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5.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4185" windowWidth="15255" windowHeight="4110" tabRatio="935"/>
  </bookViews>
  <sheets>
    <sheet name="Checks" sheetId="3" r:id="rId1"/>
    <sheet name="Cash-Gen" sheetId="13" r:id="rId2"/>
    <sheet name="Assumptions" sheetId="1" r:id="rId3"/>
    <sheet name="LTFP" sheetId="15" r:id="rId4"/>
    <sheet name="BS&amp;Ratios" sheetId="34" r:id="rId5"/>
    <sheet name="SP" sheetId="4" r:id="rId6"/>
    <sheet name="DEH" sheetId="5" r:id="rId7"/>
    <sheet name="CIV" sheetId="6" r:id="rId8"/>
    <sheet name="GM" sheetId="7" r:id="rId9"/>
    <sheet name="W&amp;W" sheetId="8" r:id="rId10"/>
    <sheet name="Cap-Gen" sheetId="9" r:id="rId11"/>
    <sheet name="Cap Inc" sheetId="40" r:id="rId12"/>
    <sheet name="Sec 94" sheetId="12" r:id="rId13"/>
    <sheet name="Res-Gen" sheetId="10" r:id="rId14"/>
    <sheet name="Res-Bal" sheetId="11" r:id="rId15"/>
    <sheet name="Debt-Gen" sheetId="14" r:id="rId16"/>
    <sheet name="Cash-W" sheetId="16" r:id="rId17"/>
    <sheet name="Cap-Water" sheetId="21" r:id="rId18"/>
    <sheet name="Cash-WW" sheetId="17" r:id="rId19"/>
    <sheet name="Cap-WW" sheetId="22" r:id="rId20"/>
    <sheet name="Res Jnls 1617 Budget" sheetId="56" state="hidden" r:id="rId21"/>
    <sheet name="Debt-Water" sheetId="19" state="hidden" r:id="rId22"/>
    <sheet name="Debt-WW" sheetId="20" r:id="rId23"/>
    <sheet name="Salaries" sheetId="26" state="hidden" r:id="rId24"/>
    <sheet name="NEWLOG" sheetId="27" state="hidden" r:id="rId25"/>
    <sheet name="Recs" sheetId="37" state="hidden" r:id="rId26"/>
    <sheet name="Summaries" sheetId="42" r:id="rId27"/>
    <sheet name="Overheads" sheetId="48" r:id="rId28"/>
    <sheet name="LTFP to AMPs" sheetId="45" state="hidden" r:id="rId29"/>
    <sheet name="Sec 94 Roads" sheetId="55" state="hidden" r:id="rId30"/>
    <sheet name="Internals" sheetId="54" r:id="rId31"/>
    <sheet name="DWM" sheetId="58" state="hidden" r:id="rId32"/>
    <sheet name="SRV" sheetId="60" r:id="rId33"/>
    <sheet name="GL Dump" sheetId="61" state="hidden" r:id="rId34"/>
  </sheets>
  <externalReferences>
    <externalReference r:id="rId35"/>
    <externalReference r:id="rId36"/>
    <externalReference r:id="rId37"/>
    <externalReference r:id="rId38"/>
  </externalReferences>
  <definedNames>
    <definedName name="_xlnm._FilterDatabase" localSheetId="10" hidden="1">'Cap-Gen'!$G$1:$G$523</definedName>
    <definedName name="_xlnm._FilterDatabase" localSheetId="17" hidden="1">'Cap-Water'!$A$3:$CX$204</definedName>
    <definedName name="_xlnm._FilterDatabase" localSheetId="19" hidden="1">'Cap-WW'!$A$3:$DF$251</definedName>
    <definedName name="_xlnm._FilterDatabase" localSheetId="7" hidden="1">CIV!$H$1:$S$8093</definedName>
    <definedName name="_xlnm._FilterDatabase" localSheetId="6" hidden="1">DEH!$G$1:$G$1108</definedName>
    <definedName name="_xlnm._FilterDatabase" localSheetId="33" hidden="1">'GL Dump'!$A$1:$B$5947</definedName>
    <definedName name="_xlnm._FilterDatabase" localSheetId="8" hidden="1">GM!$U$1:$U$1172</definedName>
    <definedName name="_xlnm._FilterDatabase" localSheetId="5" hidden="1">SP!$G$1:$G$1110</definedName>
    <definedName name="ACQUISITION_OF_ASSETS___GENERAL_FUND" localSheetId="30">'Cap-Gen'!#REF!</definedName>
    <definedName name="ACQUISITION_OF_ASSETS___GENERAL_FUND" localSheetId="20">'Cap-Gen'!#REF!</definedName>
    <definedName name="ACQUISITION_OF_ASSETS___GENERAL_FUND" localSheetId="14">'Res-Bal'!#REF!</definedName>
    <definedName name="ACQUISITION_OF_ASSETS___GENERAL_FUND" localSheetId="13">'Res-Gen'!#REF!</definedName>
    <definedName name="ACQUISITION_OF_ASSETS___GENERAL_FUND" localSheetId="29">'Cap-Gen'!#REF!</definedName>
    <definedName name="ACQUISITION_OF_ASSETS___GENERAL_FUND">'Cap-Gen'!#REF!</definedName>
    <definedName name="ADMINISTRATIVE_SERVICES" localSheetId="30">GM!#REF!</definedName>
    <definedName name="ADMINISTRATIVE_SERVICES" localSheetId="20">GM!#REF!</definedName>
    <definedName name="ADMINISTRATIVE_SERVICES" localSheetId="29">GM!#REF!</definedName>
    <definedName name="ADMINISTRATIVE_SERVICES">GM!#REF!</definedName>
    <definedName name="ADMINISTRATIVE_SERVICES____COUNCILLORS" localSheetId="30">GM!#REF!</definedName>
    <definedName name="ADMINISTRATIVE_SERVICES____COUNCILLORS" localSheetId="20">GM!#REF!</definedName>
    <definedName name="ADMINISTRATIVE_SERVICES____COUNCILLORS" localSheetId="29">GM!#REF!</definedName>
    <definedName name="ADMINISTRATIVE_SERVICES____COUNCILLORS">GM!#REF!</definedName>
    <definedName name="AERODROME_OPERATIONS" localSheetId="30">'W&amp;W'!#REF!</definedName>
    <definedName name="AERODROME_OPERATIONS" localSheetId="20">'W&amp;W'!#REF!</definedName>
    <definedName name="AERODROME_OPERATIONS" localSheetId="29">'W&amp;W'!#REF!</definedName>
    <definedName name="AERODROME_OPERATIONS">'W&amp;W'!#REF!</definedName>
    <definedName name="Aquis_of_assets" localSheetId="30">'[1]Capital Grants &amp; Exp'!#REF!</definedName>
    <definedName name="Aquis_of_assets" localSheetId="20">'[1]Capital Grants &amp; Exp'!#REF!</definedName>
    <definedName name="Aquis_of_assets" localSheetId="29">'[1]Capital Grants &amp; Exp'!#REF!</definedName>
    <definedName name="Aquis_of_assets">'[1]Capital Grants &amp; Exp'!#REF!</definedName>
    <definedName name="ART_GALLERIES" localSheetId="30">GM!#REF!</definedName>
    <definedName name="ART_GALLERIES" localSheetId="20">GM!#REF!</definedName>
    <definedName name="ART_GALLERIES" localSheetId="29">GM!#REF!</definedName>
    <definedName name="ART_GALLERIES">GM!#REF!</definedName>
    <definedName name="BRIDGES" localSheetId="30">CIV!#REF!</definedName>
    <definedName name="BRIDGES" localSheetId="24">NEWLOG!#REF!</definedName>
    <definedName name="BRIDGES" localSheetId="20">CIV!#REF!</definedName>
    <definedName name="BRIDGES" localSheetId="29">CIV!#REF!</definedName>
    <definedName name="BRIDGES">CIV!#REF!</definedName>
    <definedName name="BUILDING_AND_REGULATION" localSheetId="30">DEH!#REF!</definedName>
    <definedName name="BUILDING_AND_REGULATION" localSheetId="20">DEH!#REF!</definedName>
    <definedName name="BUILDING_AND_REGULATION" localSheetId="29">DEH!#REF!</definedName>
    <definedName name="BUILDING_AND_REGULATION">DEH!#REF!</definedName>
    <definedName name="BUSHFIRE_SERVICES" localSheetId="30">CIV!#REF!</definedName>
    <definedName name="BUSHFIRE_SERVICES" localSheetId="24">NEWLOG!#REF!</definedName>
    <definedName name="BUSHFIRE_SERVICES" localSheetId="20">CIV!#REF!</definedName>
    <definedName name="BUSHFIRE_SERVICES" localSheetId="29">CIV!#REF!</definedName>
    <definedName name="BUSHFIRE_SERVICES">CIV!#REF!</definedName>
    <definedName name="CHILD_CARE___AFTER_SCHOOL_CARE" localSheetId="30">GM!#REF!</definedName>
    <definedName name="CHILD_CARE___AFTER_SCHOOL_CARE" localSheetId="20">GM!#REF!</definedName>
    <definedName name="CHILD_CARE___AFTER_SCHOOL_CARE" localSheetId="29">GM!#REF!</definedName>
    <definedName name="CHILD_CARE___AFTER_SCHOOL_CARE">GM!#REF!</definedName>
    <definedName name="CHILD_CARE___GINGERBREAD_OCCASIONAL_CHILD_CARE_CENTRE" localSheetId="30">GM!#REF!</definedName>
    <definedName name="CHILD_CARE___GINGERBREAD_OCCASIONAL_CHILD_CARE_CENTRE" localSheetId="20">GM!#REF!</definedName>
    <definedName name="CHILD_CARE___GINGERBREAD_OCCASIONAL_CHILD_CARE_CENTRE" localSheetId="29">GM!#REF!</definedName>
    <definedName name="CHILD_CARE___GINGERBREAD_OCCASIONAL_CHILD_CARE_CENTRE">GM!#REF!</definedName>
    <definedName name="CHILD_CARE___KOALA_DAY_CARE_CENTRE" localSheetId="30">GM!#REF!</definedName>
    <definedName name="CHILD_CARE___KOALA_DAY_CARE_CENTRE" localSheetId="20">GM!#REF!</definedName>
    <definedName name="CHILD_CARE___KOALA_DAY_CARE_CENTRE" localSheetId="29">GM!#REF!</definedName>
    <definedName name="CHILD_CARE___KOALA_DAY_CARE_CENTRE">GM!#REF!</definedName>
    <definedName name="COMMUNITY_SERVICES" localSheetId="30">GM!#REF!</definedName>
    <definedName name="COMMUNITY_SERVICES" localSheetId="20">GM!#REF!</definedName>
    <definedName name="COMMUNITY_SERVICES" localSheetId="29">GM!#REF!</definedName>
    <definedName name="COMMUNITY_SERVICES">GM!#REF!</definedName>
    <definedName name="CORPORATE_MANAGEMENT" localSheetId="30">#REF!</definedName>
    <definedName name="CORPORATE_MANAGEMENT" localSheetId="20">#REF!</definedName>
    <definedName name="CORPORATE_MANAGEMENT" localSheetId="29">#REF!</definedName>
    <definedName name="CORPORATE_MANAGEMENT">#REF!</definedName>
    <definedName name="DEVELOPMENT_ASSESSMENT" localSheetId="30">DEH!#REF!</definedName>
    <definedName name="DEVELOPMENT_ASSESSMENT" localSheetId="20">DEH!#REF!</definedName>
    <definedName name="DEVELOPMENT_ASSESSMENT" localSheetId="29">DEH!#REF!</definedName>
    <definedName name="DEVELOPMENT_ASSESSMENT">DEH!#REF!</definedName>
    <definedName name="ECONOMIC_DEVELOPMENT" localSheetId="30">'W&amp;W'!#REF!</definedName>
    <definedName name="ECONOMIC_DEVELOPMENT" localSheetId="20">'W&amp;W'!#REF!</definedName>
    <definedName name="ECONOMIC_DEVELOPMENT" localSheetId="29">'W&amp;W'!#REF!</definedName>
    <definedName name="ECONOMIC_DEVELOPMENT">'W&amp;W'!#REF!</definedName>
    <definedName name="EMERGENCY_SERVICES" localSheetId="30">CIV!#REF!</definedName>
    <definedName name="EMERGENCY_SERVICES" localSheetId="24">NEWLOG!#REF!</definedName>
    <definedName name="EMERGENCY_SERVICES" localSheetId="20">CIV!#REF!</definedName>
    <definedName name="EMERGENCY_SERVICES" localSheetId="29">CIV!#REF!</definedName>
    <definedName name="EMERGENCY_SERVICES">CIV!#REF!</definedName>
    <definedName name="ENVIRONMENTAL_HEALTH" localSheetId="30">DEH!#REF!</definedName>
    <definedName name="ENVIRONMENTAL_HEALTH" localSheetId="20">DEH!#REF!</definedName>
    <definedName name="ENVIRONMENTAL_HEALTH" localSheetId="29">DEH!#REF!</definedName>
    <definedName name="ENVIRONMENTAL_HEALTH">DEH!#REF!</definedName>
    <definedName name="FINANCIAL_SERVICES" localSheetId="30">GM!#REF!</definedName>
    <definedName name="FINANCIAL_SERVICES" localSheetId="20">GM!#REF!</definedName>
    <definedName name="FINANCIAL_SERVICES" localSheetId="29">GM!#REF!</definedName>
    <definedName name="FINANCIAL_SERVICES">GM!#REF!</definedName>
    <definedName name="FINANCIAL_SERVICES____GENERAL_PURPOSE_REVENUES" localSheetId="30">GM!#REF!</definedName>
    <definedName name="FINANCIAL_SERVICES____GENERAL_PURPOSE_REVENUES" localSheetId="20">GM!#REF!</definedName>
    <definedName name="FINANCIAL_SERVICES____GENERAL_PURPOSE_REVENUES" localSheetId="29">GM!#REF!</definedName>
    <definedName name="FINANCIAL_SERVICES____GENERAL_PURPOSE_REVENUES">GM!#REF!</definedName>
    <definedName name="GENERAL_MANAGER_AND_SUPPORT_SERVICES" localSheetId="30">#REF!</definedName>
    <definedName name="GENERAL_MANAGER_AND_SUPPORT_SERVICES" localSheetId="20">#REF!</definedName>
    <definedName name="GENERAL_MANAGER_AND_SUPPORT_SERVICES" localSheetId="29">#REF!</definedName>
    <definedName name="GENERAL_MANAGER_AND_SUPPORT_SERVICES">#REF!</definedName>
    <definedName name="HUMAN_RESOURCE_MANAGEMENT" localSheetId="30">#REF!</definedName>
    <definedName name="HUMAN_RESOURCE_MANAGEMENT" localSheetId="20">#REF!</definedName>
    <definedName name="HUMAN_RESOURCE_MANAGEMENT" localSheetId="29">#REF!</definedName>
    <definedName name="HUMAN_RESOURCE_MANAGEMENT">#REF!</definedName>
    <definedName name="INFORMATION_SERVICES___COMPUTER_SERVICES" localSheetId="30">GM!#REF!</definedName>
    <definedName name="INFORMATION_SERVICES___COMPUTER_SERVICES" localSheetId="20">GM!#REF!</definedName>
    <definedName name="INFORMATION_SERVICES___COMPUTER_SERVICES" localSheetId="29">GM!#REF!</definedName>
    <definedName name="INFORMATION_SERVICES___COMPUTER_SERVICES">GM!#REF!</definedName>
    <definedName name="INFORMATION_SERVICES___GEOGRAPHICAL_INFORMATION_SERVICES__GIS" localSheetId="30">GM!#REF!</definedName>
    <definedName name="INFORMATION_SERVICES___GEOGRAPHICAL_INFORMATION_SERVICES__GIS" localSheetId="20">GM!#REF!</definedName>
    <definedName name="INFORMATION_SERVICES___GEOGRAPHICAL_INFORMATION_SERVICES__GIS" localSheetId="29">GM!#REF!</definedName>
    <definedName name="INFORMATION_SERVICES___GEOGRAPHICAL_INFORMATION_SERVICES__GIS">GM!#REF!</definedName>
    <definedName name="LAWN_CEMETERY_AND_CREMATORIUM" localSheetId="30">'W&amp;W'!#REF!</definedName>
    <definedName name="LAWN_CEMETERY_AND_CREMATORIUM" localSheetId="20">'W&amp;W'!#REF!</definedName>
    <definedName name="LAWN_CEMETERY_AND_CREMATORIUM" localSheetId="29">'W&amp;W'!#REF!</definedName>
    <definedName name="LAWN_CEMETERY_AND_CREMATORIUM">'W&amp;W'!#REF!</definedName>
    <definedName name="OLE_LINK1" localSheetId="10">'Cap-Gen'!$AH$243</definedName>
    <definedName name="OLE_LINK2" localSheetId="10">'Cap-Gen'!$AE$245</definedName>
    <definedName name="PARKS_AND_RESERVES___CITY_BEAUTIFICATION" localSheetId="30">CIV!#REF!</definedName>
    <definedName name="PARKS_AND_RESERVES___CITY_BEAUTIFICATION" localSheetId="24">NEWLOG!#REF!</definedName>
    <definedName name="PARKS_AND_RESERVES___CITY_BEAUTIFICATION" localSheetId="20">CIV!#REF!</definedName>
    <definedName name="PARKS_AND_RESERVES___CITY_BEAUTIFICATION" localSheetId="29">CIV!#REF!</definedName>
    <definedName name="PARKS_AND_RESERVES___CITY_BEAUTIFICATION">CIV!#REF!</definedName>
    <definedName name="PARKS_AND_RESERVES___RURAL" localSheetId="30">CIV!#REF!</definedName>
    <definedName name="PARKS_AND_RESERVES___RURAL" localSheetId="24">NEWLOG!#REF!</definedName>
    <definedName name="PARKS_AND_RESERVES___RURAL" localSheetId="20">CIV!#REF!</definedName>
    <definedName name="PARKS_AND_RESERVES___RURAL" localSheetId="29">CIV!#REF!</definedName>
    <definedName name="PARKS_AND_RESERVES___RURAL">CIV!#REF!</definedName>
    <definedName name="PARKS_AND_RESERVES___URBAN" localSheetId="30">CIV!#REF!</definedName>
    <definedName name="PARKS_AND_RESERVES___URBAN" localSheetId="24">NEWLOG!#REF!</definedName>
    <definedName name="PARKS_AND_RESERVES___URBAN" localSheetId="20">CIV!#REF!</definedName>
    <definedName name="PARKS_AND_RESERVES___URBAN" localSheetId="29">CIV!#REF!</definedName>
    <definedName name="PARKS_AND_RESERVES___URBAN">CIV!#REF!</definedName>
    <definedName name="_xlnm.Print_Area" localSheetId="2">Assumptions!$A$1:$Q$132</definedName>
    <definedName name="_xlnm.Print_Area" localSheetId="4">'BS&amp;Ratios'!$A$1:$Q$831</definedName>
    <definedName name="_xlnm.Print_Area" localSheetId="11">'Cap Inc'!$A$1:$P$166</definedName>
    <definedName name="_xlnm.Print_Area" localSheetId="10">'Cap-Gen'!$A$1:$AU$222</definedName>
    <definedName name="_xlnm.Print_Area" localSheetId="17">'Cap-Water'!$A$1:$AO$74</definedName>
    <definedName name="_xlnm.Print_Area" localSheetId="19">'Cap-WW'!$A$1:$AP$143</definedName>
    <definedName name="_xlnm.Print_Area" localSheetId="16">'Cash-W'!$E$2:$G$52</definedName>
    <definedName name="_xlnm.Print_Area" localSheetId="18">'Cash-WW'!$E$2:$G$52</definedName>
    <definedName name="_xlnm.Print_Area" localSheetId="0">Checks!$A$1:$Q$301</definedName>
    <definedName name="_xlnm.Print_Area" localSheetId="7">CIV!$A$1:$S$2095</definedName>
    <definedName name="_xlnm.Print_Area" localSheetId="15">'Debt-Gen'!$A$1:$AH$77</definedName>
    <definedName name="_xlnm.Print_Area" localSheetId="22">'Debt-WW'!$A$1:$AG$24</definedName>
    <definedName name="_xlnm.Print_Area" localSheetId="6">DEH!$A$1:$S$526</definedName>
    <definedName name="_xlnm.Print_Area" localSheetId="8">GM!$A$1:$S$1160</definedName>
    <definedName name="_xlnm.Print_Area" localSheetId="30">Internals!$A$1:$O$159</definedName>
    <definedName name="_xlnm.Print_Area" localSheetId="3">LTFP!$A$1:$Q$331</definedName>
    <definedName name="_xlnm.Print_Area" localSheetId="24">NEWLOG!$A$1:$R$72</definedName>
    <definedName name="_xlnm.Print_Area" localSheetId="27">Overheads!#REF!</definedName>
    <definedName name="_xlnm.Print_Area" localSheetId="25">Recs!$A$1:$T$60</definedName>
    <definedName name="_xlnm.Print_Area" localSheetId="20">'Res Jnls 1617 Budget'!$A$232:$S$280</definedName>
    <definedName name="_xlnm.Print_Area" localSheetId="14">'Res-Bal'!$A$1:$S$168</definedName>
    <definedName name="_xlnm.Print_Area" localSheetId="13">'Res-Gen'!$A$1:$S$262</definedName>
    <definedName name="_xlnm.Print_Area" localSheetId="23">Salaries!#REF!</definedName>
    <definedName name="_xlnm.Print_Area" localSheetId="12">'Sec 94'!$A$1:$P$97</definedName>
    <definedName name="_xlnm.Print_Area" localSheetId="29">'Sec 94 Roads'!$A$1:$O$43</definedName>
    <definedName name="_xlnm.Print_Area" localSheetId="5">SP!$A$1:$S$905</definedName>
    <definedName name="_xlnm.Print_Area" localSheetId="32">SRV!#REF!</definedName>
    <definedName name="_xlnm.Print_Area" localSheetId="26">Summaries!$A$194:$H$225</definedName>
    <definedName name="_xlnm.Print_Area" localSheetId="9">'W&amp;W'!$A$1:$S$591</definedName>
    <definedName name="PRIVATE_WORKS" localSheetId="30">CIV!#REF!</definedName>
    <definedName name="PRIVATE_WORKS" localSheetId="24">NEWLOG!#REF!</definedName>
    <definedName name="PRIVATE_WORKS" localSheetId="20">CIV!#REF!</definedName>
    <definedName name="PRIVATE_WORKS" localSheetId="29">CIV!#REF!</definedName>
    <definedName name="PRIVATE_WORKS">CIV!#REF!</definedName>
    <definedName name="PROPERTY_SERVICES___ADMINISTRATIVE_CENTRE" localSheetId="30">'W&amp;W'!#REF!</definedName>
    <definedName name="PROPERTY_SERVICES___ADMINISTRATIVE_CENTRE" localSheetId="20">'W&amp;W'!#REF!</definedName>
    <definedName name="PROPERTY_SERVICES___ADMINISTRATIVE_CENTRE" localSheetId="29">'W&amp;W'!#REF!</definedName>
    <definedName name="PROPERTY_SERVICES___ADMINISTRATIVE_CENTRE">'W&amp;W'!#REF!</definedName>
    <definedName name="PROPERTY_SERVICES___CARAVAN_PARKS_AND_SALEYARDS" localSheetId="30">'W&amp;W'!#REF!</definedName>
    <definedName name="PROPERTY_SERVICES___CARAVAN_PARKS_AND_SALEYARDS" localSheetId="20">'W&amp;W'!#REF!</definedName>
    <definedName name="PROPERTY_SERVICES___CARAVAN_PARKS_AND_SALEYARDS" localSheetId="29">'W&amp;W'!#REF!</definedName>
    <definedName name="PROPERTY_SERVICES___CARAVAN_PARKS_AND_SALEYARDS">'W&amp;W'!#REF!</definedName>
    <definedName name="PROPERTY_SERVICES___COMMERCIAL" localSheetId="30">'W&amp;W'!#REF!</definedName>
    <definedName name="PROPERTY_SERVICES___COMMERCIAL" localSheetId="20">'W&amp;W'!#REF!</definedName>
    <definedName name="PROPERTY_SERVICES___COMMERCIAL" localSheetId="29">'W&amp;W'!#REF!</definedName>
    <definedName name="PROPERTY_SERVICES___COMMERCIAL">'W&amp;W'!#REF!</definedName>
    <definedName name="PROPERTY_SERVICES___COMMUNITY_CENTRES" localSheetId="30">'W&amp;W'!#REF!</definedName>
    <definedName name="PROPERTY_SERVICES___COMMUNITY_CENTRES" localSheetId="20">'W&amp;W'!#REF!</definedName>
    <definedName name="PROPERTY_SERVICES___COMMUNITY_CENTRES" localSheetId="29">'W&amp;W'!#REF!</definedName>
    <definedName name="PROPERTY_SERVICES___COMMUNITY_CENTRES">'W&amp;W'!#REF!</definedName>
    <definedName name="PROPERTY_SERVICES___MISCELLANEOUS_PROPERTIES" localSheetId="30">'W&amp;W'!#REF!</definedName>
    <definedName name="PROPERTY_SERVICES___MISCELLANEOUS_PROPERTIES" localSheetId="20">'W&amp;W'!#REF!</definedName>
    <definedName name="PROPERTY_SERVICES___MISCELLANEOUS_PROPERTIES" localSheetId="29">'W&amp;W'!#REF!</definedName>
    <definedName name="PROPERTY_SERVICES___MISCELLANEOUS_PROPERTIES">'W&amp;W'!#REF!</definedName>
    <definedName name="PROPERTY_SERVICES___PUBLIC_HALLS" localSheetId="30">'W&amp;W'!#REF!</definedName>
    <definedName name="PROPERTY_SERVICES___PUBLIC_HALLS" localSheetId="20">'W&amp;W'!#REF!</definedName>
    <definedName name="PROPERTY_SERVICES___PUBLIC_HALLS" localSheetId="29">'W&amp;W'!#REF!</definedName>
    <definedName name="PROPERTY_SERVICES___PUBLIC_HALLS">'W&amp;W'!#REF!</definedName>
    <definedName name="PUBLIC_LIBRARIES" localSheetId="30">GM!#REF!</definedName>
    <definedName name="PUBLIC_LIBRARIES" localSheetId="20">GM!#REF!</definedName>
    <definedName name="PUBLIC_LIBRARIES" localSheetId="29">GM!#REF!</definedName>
    <definedName name="PUBLIC_LIBRARIES">GM!#REF!</definedName>
    <definedName name="QUARRY_OPERATIONS" localSheetId="30">'W&amp;W'!#REF!</definedName>
    <definedName name="QUARRY_OPERATIONS" localSheetId="20">'W&amp;W'!#REF!</definedName>
    <definedName name="QUARRY_OPERATIONS" localSheetId="29">'W&amp;W'!#REF!</definedName>
    <definedName name="QUARRY_OPERATIONS">'W&amp;W'!#REF!</definedName>
    <definedName name="_xlnm.Recorder" localSheetId="30">#REF!</definedName>
    <definedName name="_xlnm.Recorder" localSheetId="20">#REF!</definedName>
    <definedName name="_xlnm.Recorder" localSheetId="29">#REF!</definedName>
    <definedName name="_xlnm.Recorder">#REF!</definedName>
    <definedName name="RECREATION_SERVICES_AND_LEISURE" localSheetId="30">CIV!#REF!</definedName>
    <definedName name="RECREATION_SERVICES_AND_LEISURE" localSheetId="24">NEWLOG!#REF!</definedName>
    <definedName name="RECREATION_SERVICES_AND_LEISURE" localSheetId="20">CIV!#REF!</definedName>
    <definedName name="RECREATION_SERVICES_AND_LEISURE" localSheetId="29">CIV!#REF!</definedName>
    <definedName name="RECREATION_SERVICES_AND_LEISURE">CIV!#REF!</definedName>
    <definedName name="RESERVE_FUND_MOVEMENTS___GENERAL_FUND" localSheetId="30">'Cap-Gen'!#REF!</definedName>
    <definedName name="RESERVE_FUND_MOVEMENTS___GENERAL_FUND" localSheetId="20">'Cap-Gen'!#REF!</definedName>
    <definedName name="RESERVE_FUND_MOVEMENTS___GENERAL_FUND" localSheetId="14">'Res-Bal'!#REF!</definedName>
    <definedName name="RESERVE_FUND_MOVEMENTS___GENERAL_FUND" localSheetId="13">'Res-Gen'!$A$1</definedName>
    <definedName name="RESERVE_FUND_MOVEMENTS___GENERAL_FUND" localSheetId="29">'Cap-Gen'!#REF!</definedName>
    <definedName name="RESERVE_FUND_MOVEMENTS___GENERAL_FUND">'Cap-Gen'!#REF!</definedName>
    <definedName name="Reserve_Movements" localSheetId="30">'[1]Capital Grants &amp; Exp'!#REF!</definedName>
    <definedName name="Reserve_Movements" localSheetId="20">'[1]Capital Grants &amp; Exp'!#REF!</definedName>
    <definedName name="Reserve_Movements" localSheetId="29">'[1]Capital Grants &amp; Exp'!#REF!</definedName>
    <definedName name="Reserve_Movements">'[1]Capital Grants &amp; Exp'!#REF!</definedName>
    <definedName name="ROADS___RURAL" localSheetId="30">CIV!#REF!</definedName>
    <definedName name="ROADS___RURAL" localSheetId="24">NEWLOG!#REF!</definedName>
    <definedName name="ROADS___RURAL" localSheetId="20">CIV!#REF!</definedName>
    <definedName name="ROADS___RURAL" localSheetId="29">CIV!#REF!</definedName>
    <definedName name="ROADS___RURAL">CIV!#REF!</definedName>
    <definedName name="ROADS___URBAN" localSheetId="30">CIV!#REF!</definedName>
    <definedName name="ROADS___URBAN" localSheetId="24">NEWLOG!#REF!</definedName>
    <definedName name="ROADS___URBAN" localSheetId="20">CIV!#REF!</definedName>
    <definedName name="ROADS___URBAN" localSheetId="29">CIV!#REF!</definedName>
    <definedName name="ROADS___URBAN">CIV!#REF!</definedName>
    <definedName name="RTA_WORKS" localSheetId="30">CIV!#REF!</definedName>
    <definedName name="RTA_WORKS" localSheetId="24">NEWLOG!#REF!</definedName>
    <definedName name="RTA_WORKS" localSheetId="20">CIV!#REF!</definedName>
    <definedName name="RTA_WORKS" localSheetId="29">CIV!#REF!</definedName>
    <definedName name="RTA_WORKS">CIV!#REF!</definedName>
    <definedName name="SEWERAGE_SERVICES___MANAGEMENT" localSheetId="30">'W&amp;W'!#REF!</definedName>
    <definedName name="SEWERAGE_SERVICES___MANAGEMENT" localSheetId="20">'W&amp;W'!#REF!</definedName>
    <definedName name="SEWERAGE_SERVICES___MANAGEMENT" localSheetId="29">'W&amp;W'!#REF!</definedName>
    <definedName name="SEWERAGE_SERVICES___MANAGEMENT">'W&amp;W'!#REF!</definedName>
    <definedName name="SEWERAGE_SERVICES___OPERATIONS" localSheetId="30">'W&amp;W'!#REF!</definedName>
    <definedName name="SEWERAGE_SERVICES___OPERATIONS" localSheetId="20">'W&amp;W'!#REF!</definedName>
    <definedName name="SEWERAGE_SERVICES___OPERATIONS" localSheetId="29">'W&amp;W'!#REF!</definedName>
    <definedName name="SEWERAGE_SERVICES___OPERATIONS">'W&amp;W'!#REF!</definedName>
    <definedName name="STRATEGIC_PLANNING" localSheetId="30">DEH!#REF!</definedName>
    <definedName name="STRATEGIC_PLANNING" localSheetId="20">DEH!#REF!</definedName>
    <definedName name="STRATEGIC_PLANNING" localSheetId="29">DEH!#REF!</definedName>
    <definedName name="STRATEGIC_PLANNING">DEH!#REF!</definedName>
    <definedName name="SURVEY___DESIGN_AND_SUBDIVISION_CONTROL" localSheetId="30">CIV!#REF!</definedName>
    <definedName name="SURVEY___DESIGN_AND_SUBDIVISION_CONTROL" localSheetId="24">NEWLOG!#REF!</definedName>
    <definedName name="SURVEY___DESIGN_AND_SUBDIVISION_CONTROL" localSheetId="20">CIV!#REF!</definedName>
    <definedName name="SURVEY___DESIGN_AND_SUBDIVISION_CONTROL" localSheetId="29">CIV!#REF!</definedName>
    <definedName name="SURVEY___DESIGN_AND_SUBDIVISION_CONTROL">CIV!#REF!</definedName>
    <definedName name="SWIMMING_POOLS" localSheetId="30">'W&amp;W'!#REF!</definedName>
    <definedName name="SWIMMING_POOLS" localSheetId="20">'W&amp;W'!#REF!</definedName>
    <definedName name="SWIMMING_POOLS" localSheetId="29">'W&amp;W'!#REF!</definedName>
    <definedName name="SWIMMING_POOLS">'W&amp;W'!#REF!</definedName>
    <definedName name="TOURISM" localSheetId="30">'W&amp;W'!#REF!</definedName>
    <definedName name="TOURISM" localSheetId="20">'W&amp;W'!#REF!</definedName>
    <definedName name="TOURISM" localSheetId="29">'W&amp;W'!#REF!</definedName>
    <definedName name="TOURISM">'W&amp;W'!#REF!</definedName>
    <definedName name="TRAFFIC__ENFORCEMENT_AND_LIGHTING" localSheetId="30">CIV!#REF!</definedName>
    <definedName name="TRAFFIC__ENFORCEMENT_AND_LIGHTING" localSheetId="24">NEWLOG!#REF!</definedName>
    <definedName name="TRAFFIC__ENFORCEMENT_AND_LIGHTING" localSheetId="20">CIV!#REF!</definedName>
    <definedName name="TRAFFIC__ENFORCEMENT_AND_LIGHTING" localSheetId="29">CIV!#REF!</definedName>
    <definedName name="TRAFFIC__ENFORCEMENT_AND_LIGHTING">CIV!#REF!</definedName>
    <definedName name="WASTE_MANAGEMENT_SERVICES___COLLECTION" localSheetId="30">'W&amp;W'!#REF!</definedName>
    <definedName name="WASTE_MANAGEMENT_SERVICES___COLLECTION" localSheetId="20">'W&amp;W'!#REF!</definedName>
    <definedName name="WASTE_MANAGEMENT_SERVICES___COLLECTION" localSheetId="29">'W&amp;W'!#REF!</definedName>
    <definedName name="WASTE_MANAGEMENT_SERVICES___COLLECTION">'W&amp;W'!#REF!</definedName>
    <definedName name="WASTE_MANAGEMENT_SERVICES___DISPOSAL" localSheetId="30">'W&amp;W'!#REF!</definedName>
    <definedName name="WASTE_MANAGEMENT_SERVICES___DISPOSAL" localSheetId="20">'W&amp;W'!#REF!</definedName>
    <definedName name="WASTE_MANAGEMENT_SERVICES___DISPOSAL" localSheetId="29">'W&amp;W'!#REF!</definedName>
    <definedName name="WASTE_MANAGEMENT_SERVICES___DISPOSAL">'W&amp;W'!#REF!</definedName>
    <definedName name="WASTE_STRATEGIES" localSheetId="30">DEH!#REF!</definedName>
    <definedName name="WASTE_STRATEGIES" localSheetId="20">DEH!#REF!</definedName>
    <definedName name="WASTE_STRATEGIES" localSheetId="29">DEH!#REF!</definedName>
    <definedName name="WASTE_STRATEGIES">DEH!#REF!</definedName>
    <definedName name="WATER_SUPPLIES___MANAGEMENT" localSheetId="30">'W&amp;W'!#REF!</definedName>
    <definedName name="WATER_SUPPLIES___MANAGEMENT" localSheetId="20">'W&amp;W'!#REF!</definedName>
    <definedName name="WATER_SUPPLIES___MANAGEMENT" localSheetId="29">'W&amp;W'!#REF!</definedName>
    <definedName name="WATER_SUPPLIES___MANAGEMENT">'W&amp;W'!#REF!</definedName>
    <definedName name="WATER_SUPPLIES___OPERATIONS" localSheetId="30">'W&amp;W'!#REF!</definedName>
    <definedName name="WATER_SUPPLIES___OPERATIONS" localSheetId="20">'W&amp;W'!#REF!</definedName>
    <definedName name="WATER_SUPPLIES___OPERATIONS" localSheetId="29">'W&amp;W'!#REF!</definedName>
    <definedName name="WATER_SUPPLIES___OPERATIONS">'W&amp;W'!#REF!</definedName>
    <definedName name="WORKS_DEPOT___WYRALLAH_ROAD" localSheetId="30">CIV!#REF!</definedName>
    <definedName name="WORKS_DEPOT___WYRALLAH_ROAD" localSheetId="24">NEWLOG!#REF!</definedName>
    <definedName name="WORKS_DEPOT___WYRALLAH_ROAD" localSheetId="20">CIV!#REF!</definedName>
    <definedName name="WORKS_DEPOT___WYRALLAH_ROAD" localSheetId="29">CIV!#REF!</definedName>
    <definedName name="WORKS_DEPOT___WYRALLAH_ROAD">CIV!#REF!</definedName>
    <definedName name="WORKSHOP_AND_FLEET_OPERATIONS" localSheetId="30">CIV!#REF!</definedName>
    <definedName name="WORKSHOP_AND_FLEET_OPERATIONS" localSheetId="24">NEWLOG!#REF!</definedName>
    <definedName name="WORKSHOP_AND_FLEET_OPERATIONS" localSheetId="20">CIV!#REF!</definedName>
    <definedName name="WORKSHOP_AND_FLEET_OPERATIONS" localSheetId="29">CIV!#REF!</definedName>
    <definedName name="WORKSHOP_AND_FLEET_OPERATIONS">CIV!#REF!</definedName>
  </definedNames>
  <calcPr calcId="145621"/>
</workbook>
</file>

<file path=xl/calcChain.xml><?xml version="1.0" encoding="utf-8"?>
<calcChain xmlns="http://schemas.openxmlformats.org/spreadsheetml/2006/main">
  <c r="K114" i="9" l="1"/>
  <c r="L114" i="9" s="1"/>
  <c r="I10" i="1" l="1"/>
  <c r="I11" i="1"/>
  <c r="H11" i="1"/>
  <c r="Q148" i="34" l="1"/>
  <c r="P148" i="34"/>
  <c r="I25" i="12"/>
  <c r="D76" i="13"/>
  <c r="G139" i="9" l="1"/>
  <c r="N118" i="9"/>
  <c r="AM115" i="10"/>
  <c r="AJ115" i="10"/>
  <c r="AG115" i="10"/>
  <c r="AD115" i="10"/>
  <c r="AA115" i="10"/>
  <c r="X115" i="10"/>
  <c r="U115" i="10"/>
  <c r="R115" i="10"/>
  <c r="O115" i="10"/>
  <c r="L115" i="10"/>
  <c r="H118" i="9"/>
  <c r="I118" i="9"/>
  <c r="J118" i="9"/>
  <c r="K118" i="9"/>
  <c r="L118" i="9"/>
  <c r="M118" i="9"/>
  <c r="O118" i="9"/>
  <c r="P118" i="9"/>
  <c r="Q118" i="9"/>
  <c r="H120" i="9"/>
  <c r="H121" i="9"/>
  <c r="H123" i="9"/>
  <c r="H124" i="9"/>
  <c r="H125" i="9"/>
  <c r="H126" i="9"/>
  <c r="O40" i="37"/>
  <c r="I39" i="11" l="1"/>
  <c r="F39" i="11"/>
  <c r="C39" i="11"/>
  <c r="I41" i="11" l="1"/>
  <c r="F41" i="11"/>
  <c r="C41" i="11"/>
  <c r="D41" i="11" s="1"/>
  <c r="E41" i="11" s="1"/>
  <c r="AM41" i="11"/>
  <c r="AJ41" i="11"/>
  <c r="AG41" i="11"/>
  <c r="AD41" i="11"/>
  <c r="AA41" i="11"/>
  <c r="X41" i="11"/>
  <c r="U41" i="11"/>
  <c r="R41" i="11"/>
  <c r="O41" i="11"/>
  <c r="L41" i="11"/>
  <c r="G41" i="11" l="1"/>
  <c r="H41" i="11" s="1"/>
  <c r="J41" i="11" s="1"/>
  <c r="K41" i="11" s="1"/>
  <c r="M41" i="11" s="1"/>
  <c r="N41" i="11" s="1"/>
  <c r="P41" i="11" s="1"/>
  <c r="Q41" i="11" s="1"/>
  <c r="S41" i="11" s="1"/>
  <c r="T41" i="11" s="1"/>
  <c r="V41" i="11" s="1"/>
  <c r="W41" i="11" s="1"/>
  <c r="Y41" i="11" s="1"/>
  <c r="Z41" i="11" s="1"/>
  <c r="AB41" i="11" s="1"/>
  <c r="AC41" i="11" s="1"/>
  <c r="AE41" i="11" s="1"/>
  <c r="AF41" i="11" s="1"/>
  <c r="AH41" i="11" s="1"/>
  <c r="AI41" i="11" s="1"/>
  <c r="AK41" i="11" s="1"/>
  <c r="AL41" i="11" s="1"/>
  <c r="AN41" i="11" s="1"/>
  <c r="G8" i="12" l="1"/>
  <c r="G118" i="9"/>
  <c r="G62" i="12"/>
  <c r="O47" i="1" l="1"/>
  <c r="N47" i="1"/>
  <c r="O46" i="1"/>
  <c r="N46" i="1"/>
  <c r="I182" i="10"/>
  <c r="Q177" i="3"/>
  <c r="S519" i="8"/>
  <c r="F285" i="15"/>
  <c r="F236" i="15"/>
  <c r="F181" i="15"/>
  <c r="F126" i="15"/>
  <c r="F95" i="15"/>
  <c r="F64" i="15"/>
  <c r="F33" i="15"/>
  <c r="G65" i="15"/>
  <c r="G96" i="15"/>
  <c r="E1315" i="6"/>
  <c r="E1112" i="6"/>
  <c r="J1057" i="6"/>
  <c r="J1054" i="6"/>
  <c r="J1045" i="6"/>
  <c r="E1027" i="6"/>
  <c r="I896" i="6"/>
  <c r="D39" i="11"/>
  <c r="E39" i="11" s="1"/>
  <c r="S1103" i="7"/>
  <c r="S1136" i="6"/>
  <c r="S1063" i="6"/>
  <c r="Q159" i="3"/>
  <c r="S759" i="4"/>
  <c r="S744" i="4"/>
  <c r="E520" i="7"/>
  <c r="E97" i="7" s="1"/>
  <c r="M203" i="9" l="1"/>
  <c r="H203" i="9"/>
  <c r="K127" i="10"/>
  <c r="D1151" i="6"/>
  <c r="I7" i="11"/>
  <c r="AU180" i="9"/>
  <c r="AU183" i="9"/>
  <c r="AU184" i="9"/>
  <c r="AU185" i="9"/>
  <c r="AU186" i="9"/>
  <c r="AU187" i="9"/>
  <c r="AU188" i="9"/>
  <c r="AU189" i="9"/>
  <c r="AU190" i="9"/>
  <c r="AP180" i="9"/>
  <c r="AP181" i="9"/>
  <c r="AP182" i="9"/>
  <c r="AP183" i="9"/>
  <c r="AP184" i="9"/>
  <c r="AP185" i="9"/>
  <c r="AP186" i="9"/>
  <c r="AP187" i="9"/>
  <c r="AP188" i="9"/>
  <c r="AP189" i="9"/>
  <c r="AP190" i="9"/>
  <c r="AK186" i="9"/>
  <c r="AK187" i="9"/>
  <c r="AK188" i="9"/>
  <c r="AK189" i="9"/>
  <c r="AK190" i="9"/>
  <c r="I374" i="8"/>
  <c r="J374" i="8"/>
  <c r="E297" i="5"/>
  <c r="E286" i="5"/>
  <c r="S549" i="4"/>
  <c r="R549" i="4"/>
  <c r="Q549" i="4"/>
  <c r="P549" i="4"/>
  <c r="O549" i="4"/>
  <c r="N549" i="4"/>
  <c r="M549" i="4"/>
  <c r="L549" i="4"/>
  <c r="K549" i="4"/>
  <c r="J549" i="4"/>
  <c r="I549" i="4"/>
  <c r="H549" i="4"/>
  <c r="E549" i="4"/>
  <c r="D549" i="4"/>
  <c r="C549" i="4"/>
  <c r="B549" i="4"/>
  <c r="A549" i="4"/>
  <c r="J162" i="4"/>
  <c r="H162" i="4"/>
  <c r="H161" i="4"/>
  <c r="H160" i="4"/>
  <c r="H159" i="4"/>
  <c r="H158" i="4"/>
  <c r="H157" i="4"/>
  <c r="E162" i="4"/>
  <c r="D162" i="4"/>
  <c r="C162" i="4"/>
  <c r="B162" i="4"/>
  <c r="E161" i="4"/>
  <c r="D161" i="4"/>
  <c r="C161" i="4"/>
  <c r="B161" i="4"/>
  <c r="E160" i="4"/>
  <c r="D160" i="4"/>
  <c r="C160" i="4"/>
  <c r="B160" i="4"/>
  <c r="E159" i="4"/>
  <c r="D159" i="4"/>
  <c r="C159" i="4"/>
  <c r="B159" i="4"/>
  <c r="E158" i="4"/>
  <c r="D158" i="4"/>
  <c r="C158" i="4"/>
  <c r="B158" i="4"/>
  <c r="E157" i="4"/>
  <c r="D157" i="4"/>
  <c r="C157" i="4"/>
  <c r="B157" i="4"/>
  <c r="A161" i="4"/>
  <c r="A157" i="4"/>
  <c r="A158" i="4"/>
  <c r="A159" i="4"/>
  <c r="H122" i="4"/>
  <c r="E122" i="4"/>
  <c r="D122" i="4"/>
  <c r="C122" i="4"/>
  <c r="B122" i="4"/>
  <c r="A122" i="4"/>
  <c r="E109" i="4"/>
  <c r="A109" i="4"/>
  <c r="J109" i="4"/>
  <c r="I491" i="4"/>
  <c r="I492" i="4"/>
  <c r="I493" i="4"/>
  <c r="I496" i="4"/>
  <c r="I502" i="4"/>
  <c r="I503" i="4"/>
  <c r="A791" i="4"/>
  <c r="Q74" i="4"/>
  <c r="P74" i="4"/>
  <c r="O74" i="4"/>
  <c r="N74" i="4"/>
  <c r="M74" i="4"/>
  <c r="L74" i="4"/>
  <c r="K74" i="4"/>
  <c r="J74" i="4"/>
  <c r="J68" i="4"/>
  <c r="H69" i="4"/>
  <c r="E74" i="4"/>
  <c r="D74" i="4"/>
  <c r="C74" i="4"/>
  <c r="B74" i="4"/>
  <c r="E69" i="4"/>
  <c r="D69" i="4"/>
  <c r="C69" i="4"/>
  <c r="B69" i="4"/>
  <c r="E68" i="4"/>
  <c r="C68" i="4"/>
  <c r="B68" i="4"/>
  <c r="A69" i="4"/>
  <c r="A74" i="4"/>
  <c r="A68" i="4"/>
  <c r="H282" i="4"/>
  <c r="E282" i="4"/>
  <c r="J555" i="4"/>
  <c r="I534" i="4"/>
  <c r="I536" i="4"/>
  <c r="I69" i="4" l="1"/>
  <c r="R155" i="54" l="1"/>
  <c r="R83" i="54"/>
  <c r="R158" i="54" s="1"/>
  <c r="R59" i="54"/>
  <c r="R24" i="54"/>
  <c r="R62" i="54" s="1"/>
  <c r="R14" i="54"/>
  <c r="Q155" i="54"/>
  <c r="Q83" i="54"/>
  <c r="Q158" i="54" s="1"/>
  <c r="Q59" i="54"/>
  <c r="Q24" i="54"/>
  <c r="Q62" i="54" s="1"/>
  <c r="Q14" i="54"/>
  <c r="AL2" i="11" l="1"/>
  <c r="H209" i="9" l="1"/>
  <c r="CC61" i="9" l="1"/>
  <c r="S1079" i="6" l="1"/>
  <c r="AA130" i="10"/>
  <c r="BI43" i="9"/>
  <c r="BJ43" i="9"/>
  <c r="BI44" i="9"/>
  <c r="BJ44" i="9" s="1"/>
  <c r="BI45" i="9"/>
  <c r="BJ45" i="9"/>
  <c r="BI46" i="9"/>
  <c r="BJ46" i="9" s="1"/>
  <c r="BI47" i="9"/>
  <c r="BJ47" i="9"/>
  <c r="BI48" i="9"/>
  <c r="BJ48" i="9" s="1"/>
  <c r="BI49" i="9"/>
  <c r="BJ49" i="9"/>
  <c r="BI50" i="9"/>
  <c r="BJ50" i="9" s="1"/>
  <c r="BI51" i="9"/>
  <c r="BJ51" i="9"/>
  <c r="BI52" i="9"/>
  <c r="BJ52" i="9" s="1"/>
  <c r="BI53" i="9"/>
  <c r="BJ53" i="9"/>
  <c r="BI54" i="9"/>
  <c r="BJ54" i="9" s="1"/>
  <c r="AM114" i="11" l="1"/>
  <c r="AJ114" i="11"/>
  <c r="AG114" i="11"/>
  <c r="AD114" i="11"/>
  <c r="AA114" i="11"/>
  <c r="X114" i="11"/>
  <c r="U114" i="11"/>
  <c r="R114" i="11"/>
  <c r="R186" i="10"/>
  <c r="AJ129" i="9"/>
  <c r="AK129" i="9"/>
  <c r="AO129" i="9"/>
  <c r="AP129" i="9"/>
  <c r="AT129" i="9"/>
  <c r="AU129" i="9"/>
  <c r="P46" i="1" l="1"/>
  <c r="P47" i="1"/>
  <c r="P45" i="1"/>
  <c r="C21" i="14" l="1"/>
  <c r="C18" i="14"/>
  <c r="S566" i="8" l="1"/>
  <c r="S531" i="8"/>
  <c r="S91" i="8"/>
  <c r="S124" i="8"/>
  <c r="S138" i="8"/>
  <c r="S143" i="8"/>
  <c r="S150" i="8" s="1"/>
  <c r="S22" i="8" l="1"/>
  <c r="Q473" i="34"/>
  <c r="S943" i="7" l="1"/>
  <c r="S389" i="7"/>
  <c r="S327" i="7"/>
  <c r="S329" i="7"/>
  <c r="S361" i="7" s="1"/>
  <c r="S41" i="7" s="1"/>
  <c r="S350" i="7"/>
  <c r="S81" i="7"/>
  <c r="S2016" i="6"/>
  <c r="S716" i="6" s="1"/>
  <c r="S1845" i="6"/>
  <c r="S640" i="6" s="1"/>
  <c r="S1769" i="6"/>
  <c r="S1073" i="6"/>
  <c r="S1064" i="6"/>
  <c r="S719" i="6"/>
  <c r="S743" i="6"/>
  <c r="S627" i="6"/>
  <c r="S632" i="6"/>
  <c r="S670" i="6"/>
  <c r="S674" i="6"/>
  <c r="S687" i="6"/>
  <c r="S597" i="6"/>
  <c r="S604" i="6" s="1"/>
  <c r="S611" i="6"/>
  <c r="S614" i="6"/>
  <c r="S615" i="6"/>
  <c r="S556" i="6"/>
  <c r="S557" i="6"/>
  <c r="S558" i="6"/>
  <c r="S559" i="6"/>
  <c r="S560" i="6"/>
  <c r="S500" i="6"/>
  <c r="S517" i="6"/>
  <c r="S520" i="6"/>
  <c r="S460" i="6"/>
  <c r="S416" i="6"/>
  <c r="S388" i="6"/>
  <c r="S389" i="6"/>
  <c r="S390" i="6"/>
  <c r="S391" i="6"/>
  <c r="S392" i="6"/>
  <c r="S309" i="6"/>
  <c r="S352" i="6"/>
  <c r="S247" i="6"/>
  <c r="S271" i="6"/>
  <c r="S228" i="6"/>
  <c r="S231" i="6"/>
  <c r="S194" i="6"/>
  <c r="S174" i="6"/>
  <c r="S132" i="6"/>
  <c r="S114" i="6"/>
  <c r="S117" i="6"/>
  <c r="S79" i="6"/>
  <c r="S7" i="6"/>
  <c r="S445" i="5"/>
  <c r="S189" i="5" s="1"/>
  <c r="S204" i="5"/>
  <c r="S205" i="5"/>
  <c r="S206" i="5"/>
  <c r="S207" i="5"/>
  <c r="S159" i="5"/>
  <c r="S160" i="5"/>
  <c r="S162" i="5"/>
  <c r="S127" i="5"/>
  <c r="S144" i="5"/>
  <c r="S108" i="5"/>
  <c r="S109" i="5"/>
  <c r="S110" i="5"/>
  <c r="S111" i="5"/>
  <c r="S112" i="5"/>
  <c r="S73" i="5"/>
  <c r="S74" i="5"/>
  <c r="S75" i="5"/>
  <c r="S76" i="5"/>
  <c r="S77" i="5"/>
  <c r="S40" i="5"/>
  <c r="S573" i="4"/>
  <c r="S574" i="4"/>
  <c r="S133" i="4" s="1"/>
  <c r="S306" i="4"/>
  <c r="S307" i="4"/>
  <c r="S308" i="4"/>
  <c r="S309" i="4"/>
  <c r="S310" i="4"/>
  <c r="S253" i="4"/>
  <c r="S254" i="4"/>
  <c r="S255" i="4"/>
  <c r="S187" i="4"/>
  <c r="S201" i="4"/>
  <c r="S204" i="4"/>
  <c r="S132" i="4"/>
  <c r="S149" i="4"/>
  <c r="S150" i="4"/>
  <c r="S89" i="4"/>
  <c r="S93" i="4"/>
  <c r="Q770" i="34"/>
  <c r="Q762" i="34"/>
  <c r="Q699" i="34"/>
  <c r="Q660" i="34"/>
  <c r="Q666" i="34" s="1"/>
  <c r="Q620" i="34"/>
  <c r="Q619" i="34"/>
  <c r="Q618" i="34"/>
  <c r="Q617" i="34"/>
  <c r="Q607" i="34"/>
  <c r="Q605" i="34"/>
  <c r="Q595" i="34"/>
  <c r="Q583" i="34" s="1"/>
  <c r="Q594" i="34"/>
  <c r="Q593" i="34"/>
  <c r="Q596" i="34" s="1"/>
  <c r="Q581" i="34"/>
  <c r="Q572" i="34"/>
  <c r="Q569" i="34"/>
  <c r="Q568" i="34"/>
  <c r="Q555" i="34"/>
  <c r="Q539" i="34"/>
  <c r="Q538" i="34"/>
  <c r="Q452" i="34"/>
  <c r="Q437" i="34"/>
  <c r="Q392" i="34"/>
  <c r="Q397" i="34" s="1"/>
  <c r="Q391" i="34"/>
  <c r="Q508" i="34" s="1"/>
  <c r="Q384" i="34"/>
  <c r="Q379" i="34"/>
  <c r="Q497" i="34" s="1"/>
  <c r="Q371" i="34"/>
  <c r="Q366" i="34"/>
  <c r="Q485" i="34" s="1"/>
  <c r="Q365" i="34"/>
  <c r="Q484" i="34" s="1"/>
  <c r="Q313" i="34"/>
  <c r="Q657" i="34" s="1"/>
  <c r="Q312" i="34"/>
  <c r="Q542" i="34" s="1"/>
  <c r="Q311" i="34"/>
  <c r="Q308" i="34"/>
  <c r="Q295" i="34"/>
  <c r="Q527" i="34" s="1"/>
  <c r="Q290" i="34"/>
  <c r="Q353" i="34" s="1"/>
  <c r="Q137" i="34"/>
  <c r="Q107" i="34"/>
  <c r="Q96" i="34"/>
  <c r="Q73" i="34"/>
  <c r="Q66" i="34"/>
  <c r="Q72" i="34" s="1"/>
  <c r="Q54" i="34"/>
  <c r="Q43" i="34"/>
  <c r="Q2" i="34" s="1"/>
  <c r="Q24" i="34"/>
  <c r="Q13" i="34"/>
  <c r="Q300" i="15"/>
  <c r="Q304" i="15"/>
  <c r="Q305" i="15"/>
  <c r="Q309" i="15" s="1"/>
  <c r="Q313" i="15"/>
  <c r="Q246" i="15"/>
  <c r="Q251" i="15"/>
  <c r="Q255" i="15"/>
  <c r="Q259" i="15"/>
  <c r="Q264" i="15"/>
  <c r="Q268" i="15"/>
  <c r="Q210" i="15"/>
  <c r="BR140" i="22"/>
  <c r="BR139" i="22"/>
  <c r="BR138" i="22"/>
  <c r="BR137" i="22"/>
  <c r="BR136" i="22"/>
  <c r="BR135" i="22"/>
  <c r="BR134" i="22"/>
  <c r="BR133" i="22"/>
  <c r="BR132" i="22"/>
  <c r="BR131" i="22"/>
  <c r="BR130" i="22"/>
  <c r="BR129" i="22"/>
  <c r="BR128" i="22"/>
  <c r="BR127" i="22"/>
  <c r="BR126" i="22"/>
  <c r="BR123" i="22"/>
  <c r="BR122" i="22"/>
  <c r="BR121" i="22"/>
  <c r="BR120" i="22"/>
  <c r="BR119" i="22"/>
  <c r="BR116" i="22"/>
  <c r="BR115" i="22"/>
  <c r="BR114" i="22"/>
  <c r="BR112" i="22"/>
  <c r="BR109" i="22"/>
  <c r="BR108" i="22"/>
  <c r="BR107" i="22"/>
  <c r="BR106" i="22"/>
  <c r="BR105" i="22"/>
  <c r="BR104" i="22"/>
  <c r="BR101" i="22"/>
  <c r="BR100" i="22"/>
  <c r="BR97" i="22"/>
  <c r="BR96" i="22"/>
  <c r="BR95" i="22"/>
  <c r="BR87" i="22"/>
  <c r="BR86" i="22"/>
  <c r="BR84" i="22"/>
  <c r="BR83" i="22"/>
  <c r="BR82" i="22"/>
  <c r="BR81" i="22"/>
  <c r="BR80" i="22"/>
  <c r="BR79" i="22"/>
  <c r="BR78" i="22"/>
  <c r="BR77" i="22"/>
  <c r="BR76" i="22"/>
  <c r="BR75" i="22"/>
  <c r="BR74" i="22"/>
  <c r="BR73" i="22"/>
  <c r="BR72" i="22"/>
  <c r="BR71" i="22"/>
  <c r="BR70" i="22"/>
  <c r="BR69" i="22"/>
  <c r="BR66" i="22"/>
  <c r="BR65" i="22"/>
  <c r="BR62" i="22"/>
  <c r="BR61" i="22"/>
  <c r="BR60" i="22"/>
  <c r="BR59" i="22"/>
  <c r="BR58" i="22"/>
  <c r="BR55" i="22"/>
  <c r="BR54" i="22"/>
  <c r="BR53" i="22"/>
  <c r="BR52" i="22"/>
  <c r="BR51" i="22"/>
  <c r="BR48" i="22"/>
  <c r="BR47" i="22"/>
  <c r="BR46" i="22"/>
  <c r="BR45" i="22"/>
  <c r="BR44" i="22"/>
  <c r="BR43" i="22"/>
  <c r="BR42" i="22"/>
  <c r="BR41" i="22"/>
  <c r="BR40" i="22"/>
  <c r="BR39" i="22"/>
  <c r="BR37" i="22"/>
  <c r="BR36" i="22"/>
  <c r="BR33" i="22"/>
  <c r="BR32" i="22"/>
  <c r="BR31" i="22"/>
  <c r="BR30" i="22"/>
  <c r="BR29" i="22"/>
  <c r="BR28" i="22"/>
  <c r="BR27" i="22"/>
  <c r="BR26" i="22"/>
  <c r="BR23" i="22"/>
  <c r="BR22" i="22"/>
  <c r="BR21" i="22"/>
  <c r="BR20" i="22"/>
  <c r="BR19" i="22"/>
  <c r="BR7" i="22"/>
  <c r="BR8" i="22"/>
  <c r="BR9" i="22"/>
  <c r="BR10" i="22"/>
  <c r="BR11" i="22"/>
  <c r="BR12" i="22"/>
  <c r="BR13" i="22"/>
  <c r="BR14" i="22"/>
  <c r="BR15" i="22"/>
  <c r="BR16" i="22"/>
  <c r="BR17" i="22"/>
  <c r="BR6" i="22"/>
  <c r="S539" i="8"/>
  <c r="S158" i="8" s="1"/>
  <c r="BQ71" i="21"/>
  <c r="BQ65" i="21"/>
  <c r="BQ64" i="21"/>
  <c r="BQ60" i="21"/>
  <c r="BQ59" i="21"/>
  <c r="BQ53" i="21"/>
  <c r="BQ52" i="21"/>
  <c r="BQ51" i="21"/>
  <c r="BQ50" i="21"/>
  <c r="BQ49" i="21"/>
  <c r="BQ48" i="21"/>
  <c r="BQ47" i="21"/>
  <c r="BQ46" i="21"/>
  <c r="BQ45" i="21"/>
  <c r="BQ44" i="21"/>
  <c r="BQ43" i="21"/>
  <c r="BQ42" i="21"/>
  <c r="BQ41" i="21"/>
  <c r="BQ40" i="21"/>
  <c r="BQ37" i="21"/>
  <c r="BQ36" i="21"/>
  <c r="BQ35" i="21"/>
  <c r="BQ34" i="21"/>
  <c r="BQ33" i="21"/>
  <c r="BQ30" i="21"/>
  <c r="BQ29" i="21"/>
  <c r="BQ25" i="21"/>
  <c r="BQ24" i="21"/>
  <c r="BQ20" i="21"/>
  <c r="BQ19" i="21"/>
  <c r="BQ18" i="21"/>
  <c r="BQ17" i="21"/>
  <c r="BQ16" i="21"/>
  <c r="BQ15" i="21"/>
  <c r="BQ10" i="21"/>
  <c r="BQ11" i="21"/>
  <c r="S345" i="8"/>
  <c r="S94" i="8" s="1"/>
  <c r="CD132" i="9"/>
  <c r="CD14" i="9"/>
  <c r="Q203" i="3"/>
  <c r="S536" i="8"/>
  <c r="Q80" i="21"/>
  <c r="Q88" i="21" s="1"/>
  <c r="R1381" i="6"/>
  <c r="R463" i="6" s="1"/>
  <c r="S31" i="8" l="1"/>
  <c r="S278" i="6"/>
  <c r="S2092" i="6"/>
  <c r="Q40" i="17"/>
  <c r="Q310" i="15" s="1"/>
  <c r="S155" i="8"/>
  <c r="S28" i="8" s="1"/>
  <c r="S38" i="5"/>
  <c r="Q710" i="34"/>
  <c r="Q285" i="34"/>
  <c r="Q790" i="34"/>
  <c r="Q813" i="34" s="1"/>
  <c r="Q823" i="34" s="1"/>
  <c r="Q167" i="34"/>
  <c r="Q224" i="34" s="1"/>
  <c r="Q402" i="34" s="1"/>
  <c r="Q523" i="34"/>
  <c r="Q370" i="34"/>
  <c r="Q396" i="34"/>
  <c r="Q509" i="34"/>
  <c r="Q543" i="34"/>
  <c r="Q656" i="34"/>
  <c r="Q155" i="15"/>
  <c r="S1381" i="6"/>
  <c r="S463" i="6" s="1"/>
  <c r="R952" i="7"/>
  <c r="S952" i="7"/>
  <c r="S2046" i="6"/>
  <c r="S744" i="6" s="1"/>
  <c r="R2046" i="6"/>
  <c r="S1653" i="6"/>
  <c r="S521" i="6" s="1"/>
  <c r="S1380" i="6"/>
  <c r="R1215" i="6"/>
  <c r="S1215" i="6"/>
  <c r="S1471" i="6"/>
  <c r="S1213" i="6"/>
  <c r="S1470" i="6"/>
  <c r="S1212" i="6"/>
  <c r="Q465" i="34" l="1"/>
  <c r="Q348" i="34"/>
  <c r="S1150" i="6"/>
  <c r="S350" i="6" s="1"/>
  <c r="S1015" i="6"/>
  <c r="S230" i="6" s="1"/>
  <c r="S1014" i="6"/>
  <c r="S229" i="6" s="1"/>
  <c r="S946" i="6"/>
  <c r="S175" i="6" s="1"/>
  <c r="S948" i="6"/>
  <c r="S810" i="6"/>
  <c r="S116" i="6" s="1"/>
  <c r="S809" i="6"/>
  <c r="S115" i="6" s="1"/>
  <c r="S812" i="6"/>
  <c r="S118" i="6" s="1"/>
  <c r="S455" i="5"/>
  <c r="S203" i="5" s="1"/>
  <c r="S37" i="5" s="1"/>
  <c r="S396" i="5"/>
  <c r="S161" i="5" s="1"/>
  <c r="S39" i="5" s="1"/>
  <c r="S775" i="4"/>
  <c r="S256" i="4" s="1"/>
  <c r="S710" i="4"/>
  <c r="S203" i="4" s="1"/>
  <c r="S709" i="4"/>
  <c r="S202" i="4" s="1"/>
  <c r="S712" i="4"/>
  <c r="S205" i="4" s="1"/>
  <c r="S658" i="4"/>
  <c r="S655" i="4"/>
  <c r="S588" i="4"/>
  <c r="S147" i="4" s="1"/>
  <c r="CC203" i="9"/>
  <c r="AM241" i="10" s="1"/>
  <c r="S1651" i="6" s="1"/>
  <c r="S519" i="6" s="1"/>
  <c r="CD217" i="9"/>
  <c r="CD216" i="9"/>
  <c r="CD215" i="9"/>
  <c r="CD214" i="9"/>
  <c r="CD213" i="9"/>
  <c r="CD212" i="9"/>
  <c r="CD211" i="9"/>
  <c r="CD202" i="9"/>
  <c r="CD198" i="9"/>
  <c r="CD197" i="9"/>
  <c r="CD196" i="9"/>
  <c r="CD195" i="9"/>
  <c r="CD194" i="9"/>
  <c r="CD190" i="9"/>
  <c r="CD189" i="9"/>
  <c r="CD188" i="9"/>
  <c r="CD185" i="9"/>
  <c r="CD184" i="9"/>
  <c r="CD180" i="9"/>
  <c r="CD169" i="9"/>
  <c r="CD167" i="9"/>
  <c r="CD166" i="9"/>
  <c r="CD165" i="9"/>
  <c r="CD164" i="9"/>
  <c r="CD163" i="9"/>
  <c r="CD162" i="9"/>
  <c r="CD161" i="9"/>
  <c r="CD160" i="9"/>
  <c r="CD159" i="9"/>
  <c r="CD156" i="9"/>
  <c r="CD155" i="9"/>
  <c r="CD154" i="9"/>
  <c r="CD153" i="9"/>
  <c r="CD152" i="9"/>
  <c r="CD150" i="9"/>
  <c r="CD149" i="9"/>
  <c r="CD148" i="9"/>
  <c r="CD147" i="9"/>
  <c r="CD138" i="9"/>
  <c r="CD137" i="9"/>
  <c r="CD136" i="9"/>
  <c r="CD135" i="9"/>
  <c r="CD134" i="9"/>
  <c r="CD133" i="9"/>
  <c r="CD119" i="9"/>
  <c r="CC98" i="9"/>
  <c r="CD98" i="9" s="1"/>
  <c r="CC97" i="9"/>
  <c r="CD97" i="9"/>
  <c r="CD61" i="9"/>
  <c r="CD38" i="9"/>
  <c r="CD33" i="9"/>
  <c r="CD32" i="9"/>
  <c r="CD31" i="9"/>
  <c r="CD18" i="9"/>
  <c r="CD17" i="9"/>
  <c r="CD8" i="9"/>
  <c r="CD9" i="9"/>
  <c r="CD10" i="9"/>
  <c r="CD11" i="9"/>
  <c r="AM257" i="10"/>
  <c r="AM253" i="10"/>
  <c r="AL2" i="10"/>
  <c r="AL121" i="10" s="1"/>
  <c r="AL212" i="10"/>
  <c r="Q97" i="9"/>
  <c r="AM171" i="10"/>
  <c r="AN171" i="10" s="1"/>
  <c r="AM170" i="10"/>
  <c r="AN170" i="10" s="1"/>
  <c r="AL130" i="10"/>
  <c r="AL100" i="10"/>
  <c r="AM91" i="10"/>
  <c r="AN91" i="10" s="1"/>
  <c r="AN212" i="10"/>
  <c r="AN176" i="10"/>
  <c r="AL157" i="10"/>
  <c r="AN157" i="10" s="1"/>
  <c r="AN150" i="10"/>
  <c r="AM150" i="10"/>
  <c r="AL150" i="10"/>
  <c r="AN122" i="10"/>
  <c r="AM122" i="10"/>
  <c r="AL122" i="10"/>
  <c r="AN130" i="10"/>
  <c r="AN121" i="10"/>
  <c r="AM121" i="10"/>
  <c r="AN115" i="10"/>
  <c r="AN114" i="10"/>
  <c r="AL89" i="10"/>
  <c r="AM90" i="10"/>
  <c r="AN90" i="10" s="1"/>
  <c r="AN89" i="10"/>
  <c r="AN60" i="10"/>
  <c r="AM44" i="10"/>
  <c r="S539" i="7" s="1"/>
  <c r="AM3" i="10"/>
  <c r="AL3" i="10"/>
  <c r="S1151" i="6" l="1"/>
  <c r="S351" i="6" s="1"/>
  <c r="Q578" i="34"/>
  <c r="Q515" i="34"/>
  <c r="S947" i="6"/>
  <c r="S176" i="6" s="1"/>
  <c r="S2044" i="6"/>
  <c r="S742" i="6" s="1"/>
  <c r="CD203" i="9"/>
  <c r="Q672" i="34" l="1"/>
  <c r="Q756" i="34" s="1"/>
  <c r="Q788" i="34" s="1"/>
  <c r="Q628" i="34"/>
  <c r="Q136" i="3"/>
  <c r="Q295" i="3"/>
  <c r="Q286" i="3"/>
  <c r="Q296" i="3" s="1"/>
  <c r="Q267" i="3"/>
  <c r="Q202" i="3"/>
  <c r="Q198" i="3"/>
  <c r="Q178" i="3"/>
  <c r="Q174" i="3"/>
  <c r="Q173" i="3"/>
  <c r="Q165" i="3"/>
  <c r="Q166" i="3" s="1"/>
  <c r="Q121" i="3"/>
  <c r="Q93" i="3"/>
  <c r="Q81" i="3"/>
  <c r="Q80" i="3"/>
  <c r="Q82" i="3" s="1"/>
  <c r="Q77" i="3"/>
  <c r="Q76" i="3"/>
  <c r="Q78" i="3" s="1"/>
  <c r="Q33" i="3"/>
  <c r="Q29" i="3"/>
  <c r="Q28" i="3"/>
  <c r="Q2" i="3"/>
  <c r="Q283" i="3" s="1"/>
  <c r="Q293" i="3" s="1"/>
  <c r="P46" i="58"/>
  <c r="P44" i="58" s="1"/>
  <c r="P45" i="58"/>
  <c r="P19" i="58"/>
  <c r="R42" i="55"/>
  <c r="R31" i="55"/>
  <c r="R34" i="55" s="1"/>
  <c r="Q30" i="3" l="1"/>
  <c r="Q179" i="3"/>
  <c r="Q175" i="3"/>
  <c r="Q277" i="3"/>
  <c r="L13" i="48" l="1"/>
  <c r="AE17" i="42"/>
  <c r="Q50" i="15" s="1"/>
  <c r="AE42" i="42"/>
  <c r="AT17" i="42"/>
  <c r="Q81" i="15" s="1"/>
  <c r="AT40" i="42"/>
  <c r="AT42" i="42"/>
  <c r="AT49" i="42"/>
  <c r="BI17" i="42"/>
  <c r="Q112" i="15" s="1"/>
  <c r="BI19" i="42"/>
  <c r="BI33" i="42"/>
  <c r="BI40" i="42"/>
  <c r="BI42" i="42"/>
  <c r="BI44" i="42"/>
  <c r="BI50" i="42"/>
  <c r="Q504" i="34" s="1"/>
  <c r="Q564" i="34" s="1"/>
  <c r="X9" i="37"/>
  <c r="X10" i="37"/>
  <c r="X26" i="37"/>
  <c r="S61" i="27"/>
  <c r="S3" i="27"/>
  <c r="P42" i="42" l="1"/>
  <c r="P17" i="42"/>
  <c r="P77" i="42" s="1"/>
  <c r="R15" i="60" s="1"/>
  <c r="AE77" i="42"/>
  <c r="R41" i="60" s="1"/>
  <c r="Q505" i="34"/>
  <c r="Q113" i="15"/>
  <c r="M72" i="26"/>
  <c r="M71" i="26"/>
  <c r="M69" i="26"/>
  <c r="M67" i="26"/>
  <c r="M60" i="26"/>
  <c r="M53" i="26"/>
  <c r="L29" i="26"/>
  <c r="M31" i="26"/>
  <c r="M30" i="26"/>
  <c r="M29" i="26"/>
  <c r="X63" i="26"/>
  <c r="X69" i="26" s="1"/>
  <c r="X56" i="26"/>
  <c r="X59" i="26" s="1"/>
  <c r="X49" i="26"/>
  <c r="X52" i="26" s="1"/>
  <c r="X45" i="26"/>
  <c r="X39" i="26"/>
  <c r="X30" i="26"/>
  <c r="X31" i="26" s="1"/>
  <c r="X29" i="26"/>
  <c r="AI10" i="20"/>
  <c r="AI12" i="20"/>
  <c r="AH12" i="20"/>
  <c r="AH10" i="20"/>
  <c r="T49" i="20"/>
  <c r="T48" i="20"/>
  <c r="T53" i="20"/>
  <c r="T59" i="20"/>
  <c r="T58" i="20"/>
  <c r="T65" i="20"/>
  <c r="T64" i="20"/>
  <c r="T63" i="20"/>
  <c r="T54" i="20"/>
  <c r="T35" i="20"/>
  <c r="T36" i="20"/>
  <c r="T37" i="20"/>
  <c r="T38" i="20"/>
  <c r="T39" i="20"/>
  <c r="Q565" i="34" l="1"/>
  <c r="Q506" i="34"/>
  <c r="X66" i="26"/>
  <c r="Q573" i="34" l="1"/>
  <c r="Q566" i="34"/>
  <c r="T31" i="20"/>
  <c r="T30" i="20"/>
  <c r="S48" i="20"/>
  <c r="S50" i="20" s="1"/>
  <c r="S53" i="20"/>
  <c r="S54" i="20"/>
  <c r="S99" i="20" s="1"/>
  <c r="S55" i="20"/>
  <c r="S60" i="20"/>
  <c r="S64" i="20"/>
  <c r="S63" i="20" s="1"/>
  <c r="S65" i="20" s="1"/>
  <c r="S69" i="20"/>
  <c r="S68" i="20" s="1"/>
  <c r="S70" i="20" s="1"/>
  <c r="S73" i="20"/>
  <c r="S75" i="20" s="1"/>
  <c r="S74" i="20"/>
  <c r="S79" i="20"/>
  <c r="S78" i="20" s="1"/>
  <c r="S80" i="20" s="1"/>
  <c r="S84" i="20"/>
  <c r="S83" i="20" s="1"/>
  <c r="S85" i="20" s="1"/>
  <c r="S89" i="20"/>
  <c r="S88" i="20" s="1"/>
  <c r="S90" i="20" s="1"/>
  <c r="S95" i="20"/>
  <c r="S33" i="20"/>
  <c r="S41" i="20" s="1"/>
  <c r="S34" i="20"/>
  <c r="S35" i="20"/>
  <c r="S36" i="20"/>
  <c r="S37" i="20"/>
  <c r="S38" i="20"/>
  <c r="AI23" i="20"/>
  <c r="AH22" i="20"/>
  <c r="S100" i="20" l="1"/>
  <c r="S102" i="20"/>
  <c r="S98" i="20"/>
  <c r="T42" i="19"/>
  <c r="T23" i="19"/>
  <c r="T24" i="19"/>
  <c r="T25" i="19"/>
  <c r="T26" i="19"/>
  <c r="T27" i="19"/>
  <c r="T28" i="19"/>
  <c r="T29" i="19"/>
  <c r="T30" i="19"/>
  <c r="T31" i="19"/>
  <c r="T32" i="19"/>
  <c r="T33" i="19"/>
  <c r="T22" i="19"/>
  <c r="S105" i="19"/>
  <c r="S104" i="19"/>
  <c r="S103" i="19"/>
  <c r="S35" i="19"/>
  <c r="CT140" i="22" l="1"/>
  <c r="CT139" i="22"/>
  <c r="CT138" i="22"/>
  <c r="CT137" i="22"/>
  <c r="CT136" i="22"/>
  <c r="CT135" i="22"/>
  <c r="CT134" i="22"/>
  <c r="CT133" i="22"/>
  <c r="CT132" i="22"/>
  <c r="CT131" i="22"/>
  <c r="CT130" i="22"/>
  <c r="CT129" i="22"/>
  <c r="CT128" i="22"/>
  <c r="CT127" i="22"/>
  <c r="CT126" i="22"/>
  <c r="CT123" i="22"/>
  <c r="CT122" i="22"/>
  <c r="CT121" i="22"/>
  <c r="CT120" i="22"/>
  <c r="CT119" i="22"/>
  <c r="CT116" i="22"/>
  <c r="CT115" i="22"/>
  <c r="CT114" i="22"/>
  <c r="CT112" i="22"/>
  <c r="CT109" i="22"/>
  <c r="CT108" i="22"/>
  <c r="CT107" i="22"/>
  <c r="CT106" i="22"/>
  <c r="CT105" i="22"/>
  <c r="CT104" i="22"/>
  <c r="CT101" i="22"/>
  <c r="CT100" i="22"/>
  <c r="CT97" i="22"/>
  <c r="CT96" i="22"/>
  <c r="CT95" i="22"/>
  <c r="CT86" i="22"/>
  <c r="CT84" i="22"/>
  <c r="CT83" i="22"/>
  <c r="CT82" i="22"/>
  <c r="CT81" i="22"/>
  <c r="CT80" i="22"/>
  <c r="CT79" i="22"/>
  <c r="CT78" i="22"/>
  <c r="CT77" i="22"/>
  <c r="CT76" i="22"/>
  <c r="CT75" i="22"/>
  <c r="CT74" i="22"/>
  <c r="CT73" i="22"/>
  <c r="CT72" i="22"/>
  <c r="CT71" i="22"/>
  <c r="CT70" i="22"/>
  <c r="CT69" i="22"/>
  <c r="CT66" i="22"/>
  <c r="CT65" i="22"/>
  <c r="CT62" i="22"/>
  <c r="CT61" i="22"/>
  <c r="CT60" i="22"/>
  <c r="CT59" i="22"/>
  <c r="CT58" i="22"/>
  <c r="CT55" i="22"/>
  <c r="CT54" i="22"/>
  <c r="CT53" i="22"/>
  <c r="CT52" i="22"/>
  <c r="CT51" i="22"/>
  <c r="CT48" i="22"/>
  <c r="CT47" i="22"/>
  <c r="CT46" i="22"/>
  <c r="CT45" i="22"/>
  <c r="CT44" i="22"/>
  <c r="CT43" i="22"/>
  <c r="CT42" i="22"/>
  <c r="CT41" i="22"/>
  <c r="CT40" i="22"/>
  <c r="CT39" i="22"/>
  <c r="CT37" i="22"/>
  <c r="CT36" i="22"/>
  <c r="CT33" i="22"/>
  <c r="CT32" i="22"/>
  <c r="CT31" i="22"/>
  <c r="CT30" i="22"/>
  <c r="CT29" i="22"/>
  <c r="CT28" i="22"/>
  <c r="CT27" i="22"/>
  <c r="CT26" i="22"/>
  <c r="CT23" i="22"/>
  <c r="CT22" i="22"/>
  <c r="CT21" i="22"/>
  <c r="CT20" i="22"/>
  <c r="CT19" i="22"/>
  <c r="CT17" i="22"/>
  <c r="CT16" i="22"/>
  <c r="CT15" i="22"/>
  <c r="CT14" i="22"/>
  <c r="CT13" i="22"/>
  <c r="CT12" i="22"/>
  <c r="CT11" i="22"/>
  <c r="CT10" i="22"/>
  <c r="CT9" i="22"/>
  <c r="CT8" i="22"/>
  <c r="CT7" i="22"/>
  <c r="CT6" i="22"/>
  <c r="CT142" i="22" s="1"/>
  <c r="CF140" i="22"/>
  <c r="CF109" i="22"/>
  <c r="CF108" i="22"/>
  <c r="CF107" i="22"/>
  <c r="CF66" i="22"/>
  <c r="CF62" i="22"/>
  <c r="CF55" i="22"/>
  <c r="CF54" i="22"/>
  <c r="CF48" i="22"/>
  <c r="CF33" i="22"/>
  <c r="CF32" i="22"/>
  <c r="CF23" i="22"/>
  <c r="CF22" i="22"/>
  <c r="CF21" i="22"/>
  <c r="CF20" i="22"/>
  <c r="BO91" i="22"/>
  <c r="BR142" i="22"/>
  <c r="BR3" i="22"/>
  <c r="BR92" i="22" s="1"/>
  <c r="BQ3" i="22"/>
  <c r="BQ92" i="22" s="1"/>
  <c r="BQ142" i="22" s="1"/>
  <c r="BP3" i="22"/>
  <c r="BP92" i="22" s="1"/>
  <c r="BP142" i="22" s="1"/>
  <c r="BO3" i="22"/>
  <c r="BO92" i="22" s="1"/>
  <c r="R186" i="22"/>
  <c r="R175" i="22"/>
  <c r="R162" i="22"/>
  <c r="R149" i="22"/>
  <c r="Q79" i="17"/>
  <c r="Q60" i="17"/>
  <c r="Q26" i="17"/>
  <c r="Q11" i="17" s="1"/>
  <c r="Q295" i="15" s="1"/>
  <c r="Q317" i="15" s="1"/>
  <c r="Q17" i="17"/>
  <c r="Q16" i="17"/>
  <c r="Q31" i="17" s="1"/>
  <c r="BO142" i="22" l="1"/>
  <c r="CE71" i="21"/>
  <c r="CE70" i="21"/>
  <c r="CE69" i="21"/>
  <c r="CE68" i="21"/>
  <c r="CE65" i="21"/>
  <c r="CE64" i="21"/>
  <c r="CS64" i="21" s="1"/>
  <c r="CE61" i="21"/>
  <c r="CE60" i="21"/>
  <c r="CE59" i="21"/>
  <c r="CE58" i="21"/>
  <c r="CE57" i="21"/>
  <c r="CS57" i="21" s="1"/>
  <c r="CE56" i="21"/>
  <c r="CE53" i="21"/>
  <c r="CE52" i="21"/>
  <c r="CE51" i="21"/>
  <c r="CE50" i="21"/>
  <c r="CE49" i="21"/>
  <c r="CS49" i="21" s="1"/>
  <c r="CE48" i="21"/>
  <c r="CS48" i="21" s="1"/>
  <c r="CE47" i="21"/>
  <c r="CE46" i="21"/>
  <c r="CE45" i="21"/>
  <c r="CS45" i="21" s="1"/>
  <c r="CE44" i="21"/>
  <c r="CS44" i="21" s="1"/>
  <c r="CE43" i="21"/>
  <c r="CE42" i="21"/>
  <c r="CE41" i="21"/>
  <c r="CS41" i="21" s="1"/>
  <c r="CE40" i="21"/>
  <c r="CS40" i="21" s="1"/>
  <c r="CE37" i="21"/>
  <c r="CE36" i="21"/>
  <c r="CE35" i="21"/>
  <c r="CS35" i="21" s="1"/>
  <c r="CE34" i="21"/>
  <c r="CS34" i="21" s="1"/>
  <c r="CE33" i="21"/>
  <c r="CE30" i="21"/>
  <c r="CE29" i="21"/>
  <c r="CE28" i="21"/>
  <c r="CS28" i="21" s="1"/>
  <c r="CE24" i="21"/>
  <c r="CE23" i="21"/>
  <c r="CE20" i="21"/>
  <c r="CE19" i="21"/>
  <c r="CE18" i="21"/>
  <c r="CE17" i="21"/>
  <c r="CE16" i="21"/>
  <c r="CS16" i="21" s="1"/>
  <c r="CE15" i="21"/>
  <c r="CS15" i="21" s="1"/>
  <c r="CE14" i="21"/>
  <c r="CE11" i="21"/>
  <c r="CE9" i="21"/>
  <c r="CE8" i="21"/>
  <c r="CS8" i="21" s="1"/>
  <c r="CE7" i="21"/>
  <c r="CS71" i="21"/>
  <c r="CS59" i="21"/>
  <c r="CS58" i="21"/>
  <c r="CS56" i="21"/>
  <c r="CS51" i="21"/>
  <c r="CS50" i="21"/>
  <c r="CS47" i="21"/>
  <c r="CS46" i="21"/>
  <c r="CS43" i="21"/>
  <c r="CS42" i="21"/>
  <c r="CS37" i="21"/>
  <c r="CS36" i="21"/>
  <c r="CS33" i="21"/>
  <c r="CS29" i="21"/>
  <c r="CS18" i="21"/>
  <c r="CS17" i="21"/>
  <c r="CS14" i="21"/>
  <c r="CS11" i="21"/>
  <c r="CS7" i="21"/>
  <c r="BP73" i="21"/>
  <c r="BO73" i="21"/>
  <c r="BN73" i="21"/>
  <c r="BQ58" i="21"/>
  <c r="BQ57" i="21"/>
  <c r="BQ56" i="21"/>
  <c r="BQ28" i="21"/>
  <c r="BQ14" i="21"/>
  <c r="BQ8" i="21"/>
  <c r="BQ7" i="21"/>
  <c r="Q81" i="21"/>
  <c r="Q79" i="21"/>
  <c r="Q78" i="21"/>
  <c r="Q86" i="21" s="1"/>
  <c r="Q72" i="16"/>
  <c r="Q75" i="16" s="1"/>
  <c r="Q87" i="21" s="1"/>
  <c r="Q64" i="16"/>
  <c r="Q41" i="16"/>
  <c r="Q37" i="16"/>
  <c r="Q122" i="16" s="1"/>
  <c r="Q17" i="16"/>
  <c r="Q16" i="16"/>
  <c r="Q31" i="16" s="1"/>
  <c r="Q11" i="16"/>
  <c r="D17" i="12"/>
  <c r="D33" i="12" s="1"/>
  <c r="Q95" i="12"/>
  <c r="Q92" i="12"/>
  <c r="Q78" i="12"/>
  <c r="Q55" i="12"/>
  <c r="X25" i="37" s="1"/>
  <c r="X114" i="37" s="1"/>
  <c r="Q52" i="12"/>
  <c r="Q47" i="12"/>
  <c r="Q42" i="12"/>
  <c r="Q206" i="14"/>
  <c r="R206" i="14"/>
  <c r="R210" i="14"/>
  <c r="R211" i="14"/>
  <c r="R212" i="14"/>
  <c r="R192" i="14" s="1"/>
  <c r="R213" i="14"/>
  <c r="R193" i="14" s="1"/>
  <c r="R186" i="14"/>
  <c r="R190" i="14"/>
  <c r="R191" i="14"/>
  <c r="Q186" i="14"/>
  <c r="Q181" i="14"/>
  <c r="R181" i="14"/>
  <c r="R166" i="14"/>
  <c r="Q166" i="14"/>
  <c r="S103" i="14"/>
  <c r="R125" i="14"/>
  <c r="R120" i="14"/>
  <c r="R115" i="14"/>
  <c r="R105" i="14"/>
  <c r="S100" i="14"/>
  <c r="R81" i="14"/>
  <c r="R100" i="14" s="1"/>
  <c r="AG74" i="14"/>
  <c r="AH60" i="14"/>
  <c r="AG60" i="14"/>
  <c r="AH49" i="14"/>
  <c r="AG49" i="14"/>
  <c r="AH39" i="14"/>
  <c r="AG39" i="14"/>
  <c r="AH28" i="14"/>
  <c r="AG28" i="14"/>
  <c r="AM133" i="11"/>
  <c r="AM129" i="11"/>
  <c r="AM118" i="11"/>
  <c r="AM117" i="11"/>
  <c r="AM113" i="11"/>
  <c r="AM112" i="11"/>
  <c r="AM104" i="11"/>
  <c r="AM102" i="11"/>
  <c r="AN84" i="11"/>
  <c r="AM84" i="11"/>
  <c r="AM77" i="11"/>
  <c r="AM40" i="11"/>
  <c r="AM34" i="11"/>
  <c r="AM27" i="11"/>
  <c r="AM19" i="11"/>
  <c r="AM18" i="11"/>
  <c r="AM17" i="11"/>
  <c r="AM16" i="11"/>
  <c r="AM12" i="11"/>
  <c r="AM11" i="11"/>
  <c r="AM10" i="11"/>
  <c r="AM9" i="11"/>
  <c r="AM8" i="11"/>
  <c r="AM7" i="11"/>
  <c r="AL84" i="11"/>
  <c r="AM126" i="11"/>
  <c r="AM103" i="11"/>
  <c r="AM90" i="11"/>
  <c r="AM50" i="11"/>
  <c r="AM39" i="11"/>
  <c r="P165" i="40"/>
  <c r="P143" i="40"/>
  <c r="DE190" i="9"/>
  <c r="DE189" i="9"/>
  <c r="DE188" i="9"/>
  <c r="DE185" i="9"/>
  <c r="DE184" i="9"/>
  <c r="DE61" i="9"/>
  <c r="DE18" i="9"/>
  <c r="DE17" i="9"/>
  <c r="CC2" i="9"/>
  <c r="CC87" i="9" s="1"/>
  <c r="CB143" i="9"/>
  <c r="CD130" i="9"/>
  <c r="CD79" i="9"/>
  <c r="CC75" i="9"/>
  <c r="CB75" i="9"/>
  <c r="CA75" i="9"/>
  <c r="BZ75" i="9"/>
  <c r="CD70" i="9"/>
  <c r="CD75" i="9" s="1"/>
  <c r="CB64" i="9"/>
  <c r="CB66" i="9" s="1"/>
  <c r="CA64" i="9"/>
  <c r="CA66" i="9" s="1"/>
  <c r="BZ64" i="9"/>
  <c r="S1118" i="7" s="1"/>
  <c r="CC63" i="9"/>
  <c r="CD63" i="9" s="1"/>
  <c r="CC58" i="9"/>
  <c r="CC25" i="9"/>
  <c r="CB25" i="9"/>
  <c r="CA25" i="9"/>
  <c r="BZ25" i="9"/>
  <c r="Q498" i="9"/>
  <c r="Q392" i="9"/>
  <c r="Q75" i="9"/>
  <c r="Q3" i="9"/>
  <c r="Q88" i="9" s="1"/>
  <c r="Q174" i="9" s="1"/>
  <c r="P132" i="13"/>
  <c r="P76" i="13"/>
  <c r="S818" i="7" s="1"/>
  <c r="S304" i="7" s="1"/>
  <c r="P67" i="13"/>
  <c r="S1008" i="7"/>
  <c r="S948" i="7"/>
  <c r="S367" i="7" s="1"/>
  <c r="S817" i="7"/>
  <c r="S303" i="7" s="1"/>
  <c r="S816" i="7"/>
  <c r="S302" i="7" s="1"/>
  <c r="S713" i="7"/>
  <c r="S305" i="7"/>
  <c r="S301" i="7"/>
  <c r="S248" i="7"/>
  <c r="S247" i="7"/>
  <c r="S246" i="7"/>
  <c r="S245" i="7"/>
  <c r="S210" i="7"/>
  <c r="S209" i="7"/>
  <c r="S208" i="7"/>
  <c r="S207" i="7"/>
  <c r="S206" i="7"/>
  <c r="S163" i="7"/>
  <c r="S162" i="7"/>
  <c r="S161" i="7"/>
  <c r="S160" i="7"/>
  <c r="S159" i="7"/>
  <c r="S118" i="7"/>
  <c r="S117" i="7"/>
  <c r="S114" i="7"/>
  <c r="S3" i="7"/>
  <c r="S1124" i="7" s="1"/>
  <c r="Q79" i="6"/>
  <c r="Q114" i="6"/>
  <c r="Q117" i="6"/>
  <c r="Q132" i="6"/>
  <c r="Q7" i="6" s="1"/>
  <c r="Q174" i="6"/>
  <c r="Q194" i="6"/>
  <c r="Q210" i="6"/>
  <c r="Q228" i="6"/>
  <c r="Q231" i="6"/>
  <c r="Q247" i="6"/>
  <c r="Q271" i="6"/>
  <c r="Q278" i="6" s="1"/>
  <c r="Q309" i="6"/>
  <c r="Q352" i="6"/>
  <c r="Q388" i="6"/>
  <c r="Q389" i="6"/>
  <c r="Q390" i="6"/>
  <c r="Q391" i="6"/>
  <c r="Q392" i="6"/>
  <c r="Q416" i="6"/>
  <c r="Q460" i="6"/>
  <c r="Q500" i="6"/>
  <c r="Q517" i="6"/>
  <c r="Q520" i="6"/>
  <c r="Q556" i="6"/>
  <c r="Q557" i="6"/>
  <c r="Q558" i="6"/>
  <c r="Q559" i="6"/>
  <c r="Q560" i="6"/>
  <c r="Q597" i="6"/>
  <c r="Q604" i="6" s="1"/>
  <c r="Q611" i="6"/>
  <c r="Q614" i="6"/>
  <c r="Q615" i="6"/>
  <c r="Q627" i="6"/>
  <c r="Q632" i="6"/>
  <c r="Q670" i="6"/>
  <c r="Q674" i="6"/>
  <c r="Q2092" i="6" s="1"/>
  <c r="Q54" i="6" s="1"/>
  <c r="Q687" i="6"/>
  <c r="Q719" i="6"/>
  <c r="Q743" i="6"/>
  <c r="Q809" i="6"/>
  <c r="Q115" i="6" s="1"/>
  <c r="Q810" i="6"/>
  <c r="Q116" i="6" s="1"/>
  <c r="Q812" i="6"/>
  <c r="Q118" i="6" s="1"/>
  <c r="Q946" i="6"/>
  <c r="Q175" i="6" s="1"/>
  <c r="Q948" i="6"/>
  <c r="Q1014" i="6"/>
  <c r="Q229" i="6" s="1"/>
  <c r="Q1015" i="6"/>
  <c r="Q230" i="6" s="1"/>
  <c r="Q1064" i="6"/>
  <c r="Q1073" i="6"/>
  <c r="Q1079" i="6"/>
  <c r="Q286" i="6" s="1"/>
  <c r="Q1150" i="6"/>
  <c r="Q1212" i="6"/>
  <c r="Q1213" i="6"/>
  <c r="Q1215" i="6"/>
  <c r="Q1379" i="6"/>
  <c r="Q1380" i="6"/>
  <c r="Q1381" i="6"/>
  <c r="Q463" i="6" s="1"/>
  <c r="Q1470" i="6"/>
  <c r="Q1471" i="6"/>
  <c r="Q1653" i="6"/>
  <c r="Q521" i="6" s="1"/>
  <c r="Q1769" i="6"/>
  <c r="Q1845" i="6"/>
  <c r="Q640" i="6" s="1"/>
  <c r="Q1970" i="6"/>
  <c r="Q684" i="6" s="1"/>
  <c r="Q2016" i="6"/>
  <c r="Q716" i="6" s="1"/>
  <c r="Q2042" i="6"/>
  <c r="Q740" i="6" s="1"/>
  <c r="Q2046" i="6"/>
  <c r="Q744" i="6" s="1"/>
  <c r="H3" i="6"/>
  <c r="H360" i="6" s="1"/>
  <c r="S2042" i="6"/>
  <c r="S1970" i="6"/>
  <c r="S684" i="6" s="1"/>
  <c r="S1379" i="6"/>
  <c r="S3" i="6"/>
  <c r="AE4" i="42" s="1"/>
  <c r="S523" i="5"/>
  <c r="S522" i="5"/>
  <c r="S521" i="5"/>
  <c r="S48" i="5"/>
  <c r="P100" i="13" s="1"/>
  <c r="P93" i="13" s="1"/>
  <c r="Q60" i="3"/>
  <c r="Q46" i="3"/>
  <c r="S3" i="5"/>
  <c r="S475" i="5" s="1"/>
  <c r="Q350" i="6" l="1"/>
  <c r="S740" i="6"/>
  <c r="P42" i="58"/>
  <c r="Q56" i="12"/>
  <c r="Q205" i="3"/>
  <c r="Q193" i="3"/>
  <c r="Q114" i="16"/>
  <c r="Q261" i="15"/>
  <c r="Q260" i="15"/>
  <c r="P3" i="13"/>
  <c r="Q182" i="15" s="1"/>
  <c r="Q127" i="15" s="1"/>
  <c r="S379" i="7"/>
  <c r="S1016" i="7"/>
  <c r="S1661" i="6"/>
  <c r="S360" i="6"/>
  <c r="AT4" i="42"/>
  <c r="BI4" i="42" s="1"/>
  <c r="P4" i="42"/>
  <c r="P68" i="42" s="1"/>
  <c r="S3" i="8"/>
  <c r="S166" i="8" s="1"/>
  <c r="Q3" i="21"/>
  <c r="Q77" i="21" s="1"/>
  <c r="S529" i="6"/>
  <c r="Q18" i="12"/>
  <c r="S1149" i="6"/>
  <c r="S349" i="6" s="1"/>
  <c r="P123" i="13"/>
  <c r="Q215" i="15"/>
  <c r="Q160" i="15" s="1"/>
  <c r="AE32" i="42"/>
  <c r="P32" i="42" s="1"/>
  <c r="BZ66" i="9"/>
  <c r="CD58" i="9"/>
  <c r="R130" i="14"/>
  <c r="S520" i="5"/>
  <c r="Q22" i="3" s="1"/>
  <c r="CQ3" i="9"/>
  <c r="DE3" i="9" s="1"/>
  <c r="CC173" i="9"/>
  <c r="P125" i="13"/>
  <c r="P111" i="13"/>
  <c r="S1156" i="7"/>
  <c r="S666" i="7"/>
  <c r="S1062" i="7"/>
  <c r="S1139" i="7"/>
  <c r="S59" i="7"/>
  <c r="S257" i="7"/>
  <c r="S443" i="7"/>
  <c r="S495" i="7" s="1"/>
  <c r="S547" i="7"/>
  <c r="S601" i="7"/>
  <c r="S723" i="7"/>
  <c r="S957" i="7"/>
  <c r="S125" i="7"/>
  <c r="S171" i="7"/>
  <c r="S312" i="7"/>
  <c r="S785" i="7"/>
  <c r="S217" i="7"/>
  <c r="S825" i="7"/>
  <c r="S890" i="7" s="1"/>
  <c r="S1855" i="6"/>
  <c r="S1718" i="6"/>
  <c r="S1526" i="6"/>
  <c r="S1479" i="6"/>
  <c r="S1347" i="6"/>
  <c r="S1088" i="6"/>
  <c r="S296" i="6"/>
  <c r="S2051" i="6"/>
  <c r="S2071" i="6" s="1"/>
  <c r="S1919" i="6"/>
  <c r="S1786" i="6"/>
  <c r="S751" i="6"/>
  <c r="S567" i="6"/>
  <c r="S72" i="6"/>
  <c r="S125" i="6" s="1"/>
  <c r="S1222" i="6"/>
  <c r="S1023" i="6"/>
  <c r="X1" i="37" s="1"/>
  <c r="S818" i="6"/>
  <c r="S884" i="6" s="1"/>
  <c r="S693" i="6"/>
  <c r="S622" i="6"/>
  <c r="S241" i="6"/>
  <c r="S185" i="6"/>
  <c r="S1981" i="6"/>
  <c r="P2" i="58" s="1"/>
  <c r="S1590" i="6"/>
  <c r="S1388" i="6"/>
  <c r="S1442" i="6" s="1"/>
  <c r="S1278" i="6"/>
  <c r="S1160" i="6"/>
  <c r="S955" i="6"/>
  <c r="S470" i="6"/>
  <c r="S399" i="6"/>
  <c r="S54" i="6"/>
  <c r="S170" i="5"/>
  <c r="S214" i="5"/>
  <c r="Q38" i="3"/>
  <c r="S279" i="5"/>
  <c r="S492" i="5"/>
  <c r="S119" i="5"/>
  <c r="S338" i="5"/>
  <c r="S404" i="5"/>
  <c r="S464" i="5"/>
  <c r="S518" i="5"/>
  <c r="S85" i="5"/>
  <c r="S897" i="4"/>
  <c r="S877" i="4"/>
  <c r="S859" i="4"/>
  <c r="S847" i="4"/>
  <c r="S781" i="4"/>
  <c r="S719" i="4"/>
  <c r="S664" i="4"/>
  <c r="S598" i="4"/>
  <c r="S427" i="4"/>
  <c r="S487" i="4" s="1"/>
  <c r="S380" i="4"/>
  <c r="S317" i="4"/>
  <c r="S51" i="4"/>
  <c r="G742" i="34"/>
  <c r="C742" i="34"/>
  <c r="B742" i="34"/>
  <c r="S228" i="8" l="1"/>
  <c r="S102" i="8"/>
  <c r="CE3" i="21"/>
  <c r="CS3" i="21" s="1"/>
  <c r="R3" i="22"/>
  <c r="CF3" i="22" s="1"/>
  <c r="CT3" i="22" s="1"/>
  <c r="S290" i="8"/>
  <c r="S480" i="8"/>
  <c r="S352" i="8"/>
  <c r="Q3" i="15"/>
  <c r="Q34" i="15" s="1"/>
  <c r="S100" i="4"/>
  <c r="Q85" i="34"/>
  <c r="X62" i="37"/>
  <c r="X80" i="37" s="1"/>
  <c r="X6" i="37"/>
  <c r="S414" i="8"/>
  <c r="S39" i="8"/>
  <c r="Q237" i="15"/>
  <c r="Q3" i="17"/>
  <c r="Q3" i="16"/>
  <c r="Q34" i="12"/>
  <c r="Q3" i="12"/>
  <c r="P3" i="40"/>
  <c r="R5" i="60"/>
  <c r="AE68" i="42"/>
  <c r="R31" i="60" s="1"/>
  <c r="S333" i="6"/>
  <c r="R92" i="22"/>
  <c r="R142" i="22" s="1"/>
  <c r="P31" i="13"/>
  <c r="P50" i="13" s="1"/>
  <c r="R145" i="22" l="1"/>
  <c r="Q95" i="16"/>
  <c r="Q58" i="16"/>
  <c r="Q70" i="16" s="1"/>
  <c r="Q81" i="16"/>
  <c r="Q93" i="17"/>
  <c r="S28" i="20"/>
  <c r="S45" i="20" s="1"/>
  <c r="Q75" i="17"/>
  <c r="Q65" i="17"/>
  <c r="Q56" i="17"/>
  <c r="Q84" i="17"/>
  <c r="Q286" i="15"/>
  <c r="S20" i="19"/>
  <c r="S39" i="19" s="1"/>
  <c r="S168" i="4"/>
  <c r="S212" i="4" s="1"/>
  <c r="Q126" i="34"/>
  <c r="Q39" i="17"/>
  <c r="S540" i="8"/>
  <c r="S159" i="8" s="1"/>
  <c r="P121" i="40"/>
  <c r="P150" i="40" s="1"/>
  <c r="P53" i="40"/>
  <c r="Q65" i="15"/>
  <c r="Q96" i="15" s="1"/>
  <c r="R3" i="54"/>
  <c r="AI3" i="54" s="1"/>
  <c r="Q193" i="15"/>
  <c r="AE33" i="42"/>
  <c r="P33" i="42" s="1"/>
  <c r="P68" i="13"/>
  <c r="P124" i="13" s="1"/>
  <c r="S273" i="4" l="1"/>
  <c r="S262" i="4"/>
  <c r="BI49" i="42"/>
  <c r="BI52" i="42" s="1"/>
  <c r="Q308" i="15"/>
  <c r="Q217" i="15"/>
  <c r="Q138" i="15"/>
  <c r="Q162" i="15" s="1"/>
  <c r="Q2" i="1" l="1"/>
  <c r="R2" i="1"/>
  <c r="R106" i="1"/>
  <c r="R95" i="1"/>
  <c r="R92" i="1"/>
  <c r="R91" i="1"/>
  <c r="R90" i="1"/>
  <c r="R97" i="1" s="1"/>
  <c r="R81" i="1"/>
  <c r="R79" i="1" s="1"/>
  <c r="R80" i="1"/>
  <c r="R78" i="1"/>
  <c r="R77" i="1"/>
  <c r="R76" i="1" s="1"/>
  <c r="R74" i="1"/>
  <c r="R73" i="1"/>
  <c r="R72" i="1" s="1"/>
  <c r="R75" i="1" s="1"/>
  <c r="R68" i="1"/>
  <c r="R67" i="1"/>
  <c r="R66" i="1"/>
  <c r="R65" i="1"/>
  <c r="R64" i="1"/>
  <c r="R63" i="1"/>
  <c r="R59" i="1"/>
  <c r="R58" i="1"/>
  <c r="R57" i="1"/>
  <c r="R56" i="1"/>
  <c r="R53" i="1" s="1"/>
  <c r="R55" i="1"/>
  <c r="R54" i="1"/>
  <c r="R52" i="1"/>
  <c r="R60" i="1" s="1"/>
  <c r="R38" i="1"/>
  <c r="R34" i="1"/>
  <c r="R31" i="1"/>
  <c r="R18" i="1"/>
  <c r="R17" i="1"/>
  <c r="R16" i="1"/>
  <c r="R15" i="1"/>
  <c r="R14" i="1"/>
  <c r="R12" i="1"/>
  <c r="R9" i="1"/>
  <c r="R41" i="1" s="1"/>
  <c r="R8" i="1"/>
  <c r="R30" i="1" s="1"/>
  <c r="R32" i="1" s="1"/>
  <c r="R33" i="1" s="1"/>
  <c r="G2" i="1"/>
  <c r="R84" i="1" l="1"/>
  <c r="R4" i="55"/>
  <c r="R39" i="1"/>
  <c r="R40" i="1"/>
  <c r="R37" i="1"/>
  <c r="B113" i="4"/>
  <c r="C113" i="4"/>
  <c r="D113" i="4"/>
  <c r="E113" i="4"/>
  <c r="G113" i="4"/>
  <c r="H113" i="4"/>
  <c r="J113" i="4"/>
  <c r="J511" i="4"/>
  <c r="I512" i="4"/>
  <c r="K511" i="4" l="1"/>
  <c r="K122" i="4" s="1"/>
  <c r="J122" i="4"/>
  <c r="R42" i="1"/>
  <c r="I113" i="4"/>
  <c r="V216" i="9"/>
  <c r="AA216" i="9"/>
  <c r="AE216" i="9"/>
  <c r="AF216" i="9" s="1"/>
  <c r="AJ216" i="9"/>
  <c r="AK216" i="9" s="1"/>
  <c r="AP216" i="9"/>
  <c r="AU216" i="9"/>
  <c r="AZ216" i="9"/>
  <c r="BE216" i="9"/>
  <c r="BJ216" i="9"/>
  <c r="BO216" i="9"/>
  <c r="BT216" i="9"/>
  <c r="BY216" i="9"/>
  <c r="CF216" i="9"/>
  <c r="CG216" i="9" s="1"/>
  <c r="CS216" i="9"/>
  <c r="F51" i="9"/>
  <c r="E294" i="8"/>
  <c r="D294" i="8"/>
  <c r="E742" i="34" s="1"/>
  <c r="CT216" i="9" l="1"/>
  <c r="CU216" i="9"/>
  <c r="CH216" i="9"/>
  <c r="D112" i="3"/>
  <c r="B112" i="3"/>
  <c r="A112" i="3"/>
  <c r="H112" i="3"/>
  <c r="G112" i="3"/>
  <c r="C112" i="3"/>
  <c r="E245" i="5"/>
  <c r="D245" i="5"/>
  <c r="C245" i="5"/>
  <c r="B245" i="5"/>
  <c r="E311" i="5"/>
  <c r="E364" i="5"/>
  <c r="I425" i="5"/>
  <c r="I292" i="5"/>
  <c r="I293" i="5"/>
  <c r="I294" i="5"/>
  <c r="I295" i="5"/>
  <c r="I296" i="5"/>
  <c r="I556" i="4"/>
  <c r="D401" i="4"/>
  <c r="B401" i="4"/>
  <c r="I388" i="4"/>
  <c r="J388" i="4"/>
  <c r="D376" i="4"/>
  <c r="I337" i="4"/>
  <c r="CV216" i="9" l="1"/>
  <c r="CI216" i="9"/>
  <c r="AB61" i="9"/>
  <c r="F17" i="40"/>
  <c r="CW216" i="9" l="1"/>
  <c r="CJ216" i="9"/>
  <c r="CK216" i="9" l="1"/>
  <c r="CX216" i="9"/>
  <c r="G73" i="21"/>
  <c r="Y30" i="21"/>
  <c r="CY216" i="9" l="1"/>
  <c r="CL216" i="9"/>
  <c r="F99" i="11"/>
  <c r="G165" i="10"/>
  <c r="E162" i="10"/>
  <c r="J165" i="10"/>
  <c r="I162" i="10"/>
  <c r="CZ216" i="9" l="1"/>
  <c r="CM216" i="9"/>
  <c r="H270" i="5"/>
  <c r="H875" i="6"/>
  <c r="H876" i="6"/>
  <c r="CN216" i="9" l="1"/>
  <c r="DA216" i="9"/>
  <c r="F766" i="34"/>
  <c r="CO216" i="9" l="1"/>
  <c r="DB216" i="9"/>
  <c r="DC216" i="9" l="1"/>
  <c r="CP216" i="9"/>
  <c r="I814" i="4"/>
  <c r="E281" i="4"/>
  <c r="E278" i="4"/>
  <c r="I466" i="4"/>
  <c r="DD216" i="9" l="1"/>
  <c r="CQ216" i="9"/>
  <c r="DE216" i="9" s="1"/>
  <c r="I205" i="10" l="1"/>
  <c r="H584" i="6" l="1"/>
  <c r="I1740" i="6" l="1"/>
  <c r="J1740" i="6"/>
  <c r="H1723" i="6"/>
  <c r="H1693" i="6" l="1"/>
  <c r="H1668" i="6"/>
  <c r="G105" i="3" l="1"/>
  <c r="H1381" i="6" l="1"/>
  <c r="I52" i="11" l="1"/>
  <c r="H559" i="4" l="1"/>
  <c r="I115" i="10" l="1"/>
  <c r="H910" i="7"/>
  <c r="H893" i="7"/>
  <c r="H764" i="6"/>
  <c r="H785" i="6"/>
  <c r="H920" i="7"/>
  <c r="H783" i="6"/>
  <c r="AE83" i="9" l="1"/>
  <c r="N57" i="37" l="1"/>
  <c r="H1270" i="6" l="1"/>
  <c r="H192" i="10" l="1"/>
  <c r="AE146" i="9"/>
  <c r="I192" i="10" s="1"/>
  <c r="G146" i="9"/>
  <c r="G420" i="9"/>
  <c r="AE141" i="9" l="1"/>
  <c r="AE118" i="9" l="1"/>
  <c r="AA117" i="9"/>
  <c r="H182" i="10"/>
  <c r="AC118" i="9" l="1"/>
  <c r="G69" i="12"/>
  <c r="G78" i="12" s="1"/>
  <c r="H1079" i="6" l="1"/>
  <c r="L114" i="11"/>
  <c r="M189" i="10"/>
  <c r="AG119" i="9"/>
  <c r="H575" i="7"/>
  <c r="G131" i="9" l="1"/>
  <c r="AE131" i="9" s="1"/>
  <c r="J197" i="10"/>
  <c r="I122" i="11" s="1"/>
  <c r="H54" i="10" l="1"/>
  <c r="H1071" i="7"/>
  <c r="H974" i="7"/>
  <c r="H906" i="7"/>
  <c r="H900" i="7"/>
  <c r="H552" i="7" l="1"/>
  <c r="J54" i="10"/>
  <c r="I36" i="11" s="1"/>
  <c r="H1820" i="6"/>
  <c r="H1690" i="6"/>
  <c r="H1491" i="6"/>
  <c r="H1360" i="6"/>
  <c r="H1342" i="6"/>
  <c r="H1180" i="6"/>
  <c r="H914" i="6"/>
  <c r="H919" i="6"/>
  <c r="H908" i="6"/>
  <c r="H843" i="6"/>
  <c r="H828" i="6"/>
  <c r="H809" i="6"/>
  <c r="H780" i="6"/>
  <c r="H434" i="5"/>
  <c r="H815" i="4"/>
  <c r="H749" i="4"/>
  <c r="H734" i="4"/>
  <c r="H709" i="4"/>
  <c r="H680" i="4"/>
  <c r="H655" i="4"/>
  <c r="H631" i="4"/>
  <c r="H36" i="11"/>
  <c r="H471" i="4"/>
  <c r="H553" i="4"/>
  <c r="H479" i="4"/>
  <c r="H535" i="4"/>
  <c r="I535" i="4" s="1"/>
  <c r="H495" i="4"/>
  <c r="I495" i="4" s="1"/>
  <c r="H562" i="4"/>
  <c r="H690" i="7"/>
  <c r="J36" i="11" l="1"/>
  <c r="K36" i="11" s="1"/>
  <c r="M36" i="11" s="1"/>
  <c r="N36" i="11" s="1"/>
  <c r="P36" i="11" s="1"/>
  <c r="Q36" i="11" s="1"/>
  <c r="S36" i="11" s="1"/>
  <c r="T36" i="11" s="1"/>
  <c r="V36" i="11" s="1"/>
  <c r="W36" i="11" s="1"/>
  <c r="Y36" i="11" s="1"/>
  <c r="Z36" i="11" s="1"/>
  <c r="AB36" i="11" s="1"/>
  <c r="AC36" i="11" s="1"/>
  <c r="AE36" i="11" s="1"/>
  <c r="AF36" i="11" s="1"/>
  <c r="AH36" i="11" s="1"/>
  <c r="AI36" i="11" s="1"/>
  <c r="AK36" i="11" s="1"/>
  <c r="AL36" i="11" s="1"/>
  <c r="AN36" i="11" s="1"/>
  <c r="G59" i="21" l="1"/>
  <c r="G44" i="21"/>
  <c r="G53" i="21"/>
  <c r="G40" i="21"/>
  <c r="G37" i="21"/>
  <c r="G30" i="21"/>
  <c r="G17" i="21"/>
  <c r="AA15" i="21"/>
  <c r="G15" i="21"/>
  <c r="G9" i="21"/>
  <c r="G64" i="21"/>
  <c r="G60" i="21"/>
  <c r="G34" i="21"/>
  <c r="G29" i="21"/>
  <c r="G24" i="21"/>
  <c r="F64" i="21"/>
  <c r="C20" i="14" l="1"/>
  <c r="I20" i="14"/>
  <c r="J20" i="14"/>
  <c r="K20" i="14"/>
  <c r="L20" i="14"/>
  <c r="H364" i="5" l="1"/>
  <c r="H350" i="4"/>
  <c r="G18" i="9"/>
  <c r="G17" i="9"/>
  <c r="G93" i="14" l="1"/>
  <c r="C137" i="14"/>
  <c r="C147" i="14" l="1"/>
  <c r="C142" i="14"/>
  <c r="D147" i="14"/>
  <c r="G150" i="14" s="1"/>
  <c r="D142" i="14"/>
  <c r="E216" i="14"/>
  <c r="F216" i="14" s="1"/>
  <c r="E217" i="14"/>
  <c r="E197" i="14" s="1"/>
  <c r="H177" i="14"/>
  <c r="H176" i="14"/>
  <c r="F163" i="40"/>
  <c r="D90" i="14" s="1"/>
  <c r="F162" i="40"/>
  <c r="D89" i="14" s="1"/>
  <c r="A147" i="14"/>
  <c r="A142" i="14"/>
  <c r="E150" i="14"/>
  <c r="L21" i="14"/>
  <c r="K21" i="14"/>
  <c r="J21" i="14"/>
  <c r="I21" i="14"/>
  <c r="L18" i="14"/>
  <c r="K18" i="14"/>
  <c r="J18" i="14"/>
  <c r="I18" i="14"/>
  <c r="H174" i="14" l="1"/>
  <c r="H175" i="14"/>
  <c r="H144" i="14"/>
  <c r="F217" i="14"/>
  <c r="G217" i="14" s="1"/>
  <c r="H217" i="14" s="1"/>
  <c r="F196" i="14"/>
  <c r="G216" i="14"/>
  <c r="H216" i="14" s="1"/>
  <c r="H196" i="14" s="1"/>
  <c r="I91" i="14" s="1"/>
  <c r="N18" i="14"/>
  <c r="H143" i="14"/>
  <c r="G145" i="14"/>
  <c r="E196" i="14"/>
  <c r="M18" i="14" l="1"/>
  <c r="G197" i="14"/>
  <c r="H92" i="14" s="1"/>
  <c r="F197" i="14"/>
  <c r="G196" i="14"/>
  <c r="H91" i="14" s="1"/>
  <c r="H145" i="14"/>
  <c r="I144" i="14" s="1"/>
  <c r="H197" i="14"/>
  <c r="I92" i="14" s="1"/>
  <c r="H61" i="9"/>
  <c r="I143" i="14" l="1"/>
  <c r="P18" i="14"/>
  <c r="J744" i="4" s="1"/>
  <c r="H11" i="9"/>
  <c r="AD125" i="22"/>
  <c r="H62" i="22"/>
  <c r="H59" i="22"/>
  <c r="H48" i="22"/>
  <c r="H44" i="22"/>
  <c r="H137" i="22"/>
  <c r="H74" i="22"/>
  <c r="I73" i="22"/>
  <c r="H73" i="22"/>
  <c r="H53" i="22"/>
  <c r="I32" i="22"/>
  <c r="H21" i="22"/>
  <c r="H32" i="22"/>
  <c r="H454" i="8"/>
  <c r="H453" i="8"/>
  <c r="H450" i="8"/>
  <c r="H449" i="8"/>
  <c r="H397" i="8"/>
  <c r="H206" i="8"/>
  <c r="I216" i="14" l="1"/>
  <c r="O18" i="14"/>
  <c r="G61" i="9"/>
  <c r="H1092" i="7"/>
  <c r="H1088" i="7"/>
  <c r="H1075" i="7"/>
  <c r="H1065" i="7"/>
  <c r="H1048" i="7"/>
  <c r="H1035" i="7"/>
  <c r="H1023" i="7"/>
  <c r="H41" i="9"/>
  <c r="G41" i="9"/>
  <c r="H879" i="7"/>
  <c r="H883" i="7"/>
  <c r="H877" i="7"/>
  <c r="H908" i="7"/>
  <c r="I67" i="10" s="1"/>
  <c r="I98" i="10" l="1"/>
  <c r="I145" i="14"/>
  <c r="I196" i="14"/>
  <c r="H853" i="7"/>
  <c r="H850" i="7"/>
  <c r="H775" i="7"/>
  <c r="H802" i="7"/>
  <c r="J802" i="7" s="1"/>
  <c r="H801" i="7"/>
  <c r="J801" i="7" s="1"/>
  <c r="H797" i="7"/>
  <c r="H760" i="7"/>
  <c r="H752" i="7"/>
  <c r="H742" i="7"/>
  <c r="H730" i="7"/>
  <c r="H637" i="7"/>
  <c r="H484" i="7"/>
  <c r="H476" i="7"/>
  <c r="H460" i="7"/>
  <c r="H452" i="7"/>
  <c r="H1987" i="6"/>
  <c r="H1985" i="6"/>
  <c r="H250" i="10"/>
  <c r="H1798" i="6"/>
  <c r="J1798" i="6" s="1"/>
  <c r="H1794" i="6"/>
  <c r="H1790" i="6"/>
  <c r="H1620" i="6"/>
  <c r="H1676" i="6"/>
  <c r="H1675" i="6"/>
  <c r="J1723" i="6"/>
  <c r="I1458" i="6"/>
  <c r="H1446" i="6"/>
  <c r="J1446" i="6" s="1"/>
  <c r="I1400" i="6"/>
  <c r="I1393" i="6"/>
  <c r="J220" i="10"/>
  <c r="AE181" i="9"/>
  <c r="G181" i="9"/>
  <c r="H222" i="10"/>
  <c r="I133" i="11"/>
  <c r="H1364" i="6"/>
  <c r="H1252" i="6"/>
  <c r="J1252" i="6" s="1"/>
  <c r="H1251" i="6"/>
  <c r="J1251" i="6" s="1"/>
  <c r="H1250" i="6"/>
  <c r="J1250" i="6" s="1"/>
  <c r="H1249" i="6"/>
  <c r="J1249" i="6" s="1"/>
  <c r="H1248" i="6"/>
  <c r="J1248" i="6" s="1"/>
  <c r="H1247" i="6"/>
  <c r="J1247" i="6" s="1"/>
  <c r="H1246" i="6"/>
  <c r="J1246" i="6" s="1"/>
  <c r="J222" i="10" l="1"/>
  <c r="H1379" i="6"/>
  <c r="G165" i="9"/>
  <c r="G166" i="9"/>
  <c r="G167" i="9"/>
  <c r="G162" i="9"/>
  <c r="G163" i="9"/>
  <c r="G159" i="9"/>
  <c r="G160" i="9"/>
  <c r="AB165" i="9" l="1"/>
  <c r="AF165" i="9" s="1"/>
  <c r="H1296" i="6"/>
  <c r="H1285" i="6"/>
  <c r="H1286" i="6"/>
  <c r="J1286" i="6" s="1"/>
  <c r="H1193" i="6"/>
  <c r="G436" i="9"/>
  <c r="G462" i="9"/>
  <c r="G453" i="9"/>
  <c r="AE155" i="9"/>
  <c r="AB146" i="9" l="1"/>
  <c r="I1116" i="6"/>
  <c r="H311" i="6"/>
  <c r="I1094" i="6"/>
  <c r="I1095" i="6"/>
  <c r="AE126" i="9"/>
  <c r="G141" i="9"/>
  <c r="G128" i="9"/>
  <c r="I185" i="10" s="1"/>
  <c r="G129" i="9" l="1"/>
  <c r="AE129" i="9" s="1"/>
  <c r="G370" i="9"/>
  <c r="G329" i="9"/>
  <c r="G326" i="9"/>
  <c r="G133" i="9"/>
  <c r="G308" i="9"/>
  <c r="G361" i="9"/>
  <c r="AF131" i="9"/>
  <c r="G323" i="9"/>
  <c r="G322" i="9"/>
  <c r="G120" i="9"/>
  <c r="G364" i="9"/>
  <c r="G311" i="9"/>
  <c r="G399" i="9"/>
  <c r="G330" i="9"/>
  <c r="G365" i="9"/>
  <c r="G324" i="9"/>
  <c r="G307" i="9"/>
  <c r="F123" i="9"/>
  <c r="G119" i="9"/>
  <c r="AE119" i="9" s="1"/>
  <c r="I189" i="10"/>
  <c r="J189" i="10" s="1"/>
  <c r="I114" i="11" s="1"/>
  <c r="J114" i="11" s="1"/>
  <c r="K114" i="11" s="1"/>
  <c r="G318" i="9"/>
  <c r="F46" i="40"/>
  <c r="AF129" i="9" l="1"/>
  <c r="AE115" i="9"/>
  <c r="H176" i="10"/>
  <c r="H174" i="10"/>
  <c r="I174" i="10"/>
  <c r="G115" i="9"/>
  <c r="F115" i="9"/>
  <c r="H989" i="6"/>
  <c r="G283" i="9"/>
  <c r="G285" i="9"/>
  <c r="G254" i="9"/>
  <c r="G244" i="9"/>
  <c r="G255" i="9" l="1"/>
  <c r="G265" i="9"/>
  <c r="G267" i="9"/>
  <c r="G253" i="9"/>
  <c r="Z115" i="9"/>
  <c r="H995" i="6"/>
  <c r="J995" i="6" s="1"/>
  <c r="I967" i="6"/>
  <c r="G11" i="9"/>
  <c r="H903" i="6"/>
  <c r="H906" i="6"/>
  <c r="G82" i="9"/>
  <c r="AE82" i="9" s="1"/>
  <c r="H853" i="6" l="1"/>
  <c r="H841" i="6"/>
  <c r="H831" i="6"/>
  <c r="H830" i="6"/>
  <c r="J830" i="6" s="1"/>
  <c r="H795" i="6"/>
  <c r="H792" i="6"/>
  <c r="H772" i="6"/>
  <c r="H771" i="6"/>
  <c r="H770" i="6"/>
  <c r="J780" i="6"/>
  <c r="I780" i="6"/>
  <c r="H777" i="6"/>
  <c r="J764" i="6"/>
  <c r="H763" i="6"/>
  <c r="H79" i="6"/>
  <c r="I765" i="6"/>
  <c r="H430" i="5"/>
  <c r="H423" i="5"/>
  <c r="H414" i="5"/>
  <c r="H407" i="5"/>
  <c r="G70" i="9"/>
  <c r="J145" i="5"/>
  <c r="H145" i="5"/>
  <c r="I145" i="5" s="1"/>
  <c r="I380" i="5"/>
  <c r="H369" i="5"/>
  <c r="J129" i="5"/>
  <c r="H129" i="5"/>
  <c r="I129" i="5" s="1"/>
  <c r="H128" i="5"/>
  <c r="I359" i="5"/>
  <c r="H342" i="5"/>
  <c r="H346" i="5"/>
  <c r="H317" i="5"/>
  <c r="H311" i="5"/>
  <c r="H297" i="5"/>
  <c r="I297" i="5" s="1"/>
  <c r="H290" i="5"/>
  <c r="H288" i="5"/>
  <c r="I288" i="5" s="1"/>
  <c r="H287" i="5"/>
  <c r="I287" i="5" s="1"/>
  <c r="H286" i="5"/>
  <c r="I286" i="5" s="1"/>
  <c r="H285" i="5"/>
  <c r="H284" i="5"/>
  <c r="H784" i="6" l="1"/>
  <c r="H78" i="6"/>
  <c r="H788" i="4"/>
  <c r="H784" i="4"/>
  <c r="H785" i="4"/>
  <c r="J28" i="10"/>
  <c r="H686" i="4"/>
  <c r="I635" i="4"/>
  <c r="H632" i="4"/>
  <c r="H645" i="4"/>
  <c r="H620" i="4"/>
  <c r="H618" i="4"/>
  <c r="H475" i="4"/>
  <c r="J475" i="4" s="1"/>
  <c r="H505" i="4"/>
  <c r="H504" i="4"/>
  <c r="I504" i="4" s="1"/>
  <c r="H508" i="4"/>
  <c r="H497" i="4"/>
  <c r="I497" i="4" s="1"/>
  <c r="H501" i="4"/>
  <c r="H498" i="4"/>
  <c r="I498" i="4" s="1"/>
  <c r="H494" i="4"/>
  <c r="H464" i="4"/>
  <c r="H570" i="4"/>
  <c r="H463" i="4"/>
  <c r="I455" i="4"/>
  <c r="H437" i="4"/>
  <c r="H435" i="4"/>
  <c r="H434" i="4"/>
  <c r="H442" i="4"/>
  <c r="H444" i="4"/>
  <c r="H443" i="4"/>
  <c r="H441" i="4"/>
  <c r="H109" i="4" l="1"/>
  <c r="J501" i="4"/>
  <c r="I501" i="4"/>
  <c r="J494" i="4"/>
  <c r="I494" i="4"/>
  <c r="I397" i="4"/>
  <c r="I395" i="4"/>
  <c r="J395" i="4"/>
  <c r="G25" i="12"/>
  <c r="H25" i="12" s="1"/>
  <c r="H390" i="4"/>
  <c r="J405" i="4"/>
  <c r="H373" i="4"/>
  <c r="H74" i="4" s="1"/>
  <c r="I74" i="4" s="1"/>
  <c r="I10" i="11"/>
  <c r="J12" i="10"/>
  <c r="I374" i="4"/>
  <c r="H333" i="4" l="1"/>
  <c r="I332" i="4"/>
  <c r="I334" i="4"/>
  <c r="J332" i="4"/>
  <c r="K332" i="4" s="1"/>
  <c r="L332" i="4" s="1"/>
  <c r="M332" i="4" s="1"/>
  <c r="N332" i="4" s="1"/>
  <c r="O332" i="4" s="1"/>
  <c r="P332" i="4" s="1"/>
  <c r="Q332" i="4" s="1"/>
  <c r="R332" i="4" s="1"/>
  <c r="S332" i="4" s="1"/>
  <c r="J328" i="4"/>
  <c r="I323" i="4"/>
  <c r="J322" i="4"/>
  <c r="L16" i="14" l="1"/>
  <c r="L19" i="14" s="1"/>
  <c r="E2" i="11" l="1"/>
  <c r="E2" i="10"/>
  <c r="H403" i="45"/>
  <c r="H267" i="45"/>
  <c r="H146" i="45"/>
  <c r="H3" i="45"/>
  <c r="Z2" i="9"/>
  <c r="F775" i="34"/>
  <c r="F774" i="34"/>
  <c r="F773" i="34"/>
  <c r="F760" i="34"/>
  <c r="F43" i="34"/>
  <c r="I459" i="5"/>
  <c r="I458" i="5"/>
  <c r="I456" i="5"/>
  <c r="I447" i="5"/>
  <c r="I443" i="5"/>
  <c r="I442" i="5"/>
  <c r="I441" i="5"/>
  <c r="I440" i="5"/>
  <c r="I439" i="5"/>
  <c r="I437" i="5"/>
  <c r="I436" i="5"/>
  <c r="I433" i="5"/>
  <c r="I431" i="5"/>
  <c r="I430" i="5"/>
  <c r="I429" i="5"/>
  <c r="I428" i="5"/>
  <c r="I424" i="5"/>
  <c r="I417" i="5"/>
  <c r="I416" i="5"/>
  <c r="I415" i="5"/>
  <c r="I414" i="5"/>
  <c r="I413" i="5"/>
  <c r="I411" i="5"/>
  <c r="I410" i="5"/>
  <c r="I409" i="5"/>
  <c r="I408" i="5"/>
  <c r="I407" i="5"/>
  <c r="I395" i="5"/>
  <c r="I394" i="5"/>
  <c r="I385" i="5"/>
  <c r="I383" i="5"/>
  <c r="I378" i="5"/>
  <c r="I377" i="5"/>
  <c r="I376" i="5"/>
  <c r="I373" i="5"/>
  <c r="I372" i="5"/>
  <c r="I370" i="5"/>
  <c r="I369" i="5"/>
  <c r="I368" i="5"/>
  <c r="I366" i="5"/>
  <c r="I364" i="5"/>
  <c r="I358" i="5"/>
  <c r="I356" i="5"/>
  <c r="I354" i="5"/>
  <c r="I353" i="5"/>
  <c r="I352" i="5"/>
  <c r="I351" i="5"/>
  <c r="I350" i="5"/>
  <c r="I349" i="5"/>
  <c r="I348" i="5"/>
  <c r="I347" i="5"/>
  <c r="I346" i="5"/>
  <c r="I345" i="5"/>
  <c r="I344" i="5"/>
  <c r="I343" i="5"/>
  <c r="I342" i="5"/>
  <c r="I341" i="5"/>
  <c r="I331" i="5"/>
  <c r="I330" i="5"/>
  <c r="I329" i="5"/>
  <c r="I328" i="5"/>
  <c r="I327" i="5"/>
  <c r="I317" i="5"/>
  <c r="I315" i="5"/>
  <c r="I313" i="5"/>
  <c r="I312" i="5"/>
  <c r="I311" i="5"/>
  <c r="I305" i="5"/>
  <c r="I304" i="5"/>
  <c r="I303" i="5"/>
  <c r="I302" i="5"/>
  <c r="I301" i="5"/>
  <c r="I300" i="5"/>
  <c r="I299" i="5"/>
  <c r="I291" i="5"/>
  <c r="I290" i="5"/>
  <c r="I289" i="5"/>
  <c r="I285" i="5"/>
  <c r="I284" i="5"/>
  <c r="I283" i="5"/>
  <c r="I272" i="5"/>
  <c r="I271" i="5"/>
  <c r="I269" i="5"/>
  <c r="I268" i="5"/>
  <c r="I262" i="5"/>
  <c r="I257" i="5"/>
  <c r="I254" i="5"/>
  <c r="I251" i="5"/>
  <c r="I250" i="5"/>
  <c r="I247" i="5"/>
  <c r="I246" i="5"/>
  <c r="I245" i="5"/>
  <c r="I238" i="5"/>
  <c r="I235" i="5"/>
  <c r="I232" i="5"/>
  <c r="I231" i="5"/>
  <c r="I230" i="5"/>
  <c r="I229" i="5"/>
  <c r="I228" i="5"/>
  <c r="I227" i="5"/>
  <c r="I226" i="5"/>
  <c r="I225" i="5"/>
  <c r="I224" i="5"/>
  <c r="I223" i="5"/>
  <c r="I222" i="5"/>
  <c r="I221" i="5"/>
  <c r="I220" i="5"/>
  <c r="I219" i="5"/>
  <c r="I153" i="5"/>
  <c r="I102" i="5"/>
  <c r="I100" i="5"/>
  <c r="I67" i="5"/>
  <c r="G41" i="1"/>
  <c r="M20" i="26"/>
  <c r="G279" i="48"/>
  <c r="G278" i="48"/>
  <c r="G277" i="48"/>
  <c r="G276" i="48"/>
  <c r="P122" i="48"/>
  <c r="P121" i="48"/>
  <c r="P120" i="48"/>
  <c r="E29" i="48"/>
  <c r="F12" i="48"/>
  <c r="F11" i="48"/>
  <c r="F10" i="48"/>
  <c r="F9" i="48"/>
  <c r="H164" i="45"/>
  <c r="H161" i="45"/>
  <c r="H35" i="45"/>
  <c r="H33" i="45"/>
  <c r="H30" i="45"/>
  <c r="C45" i="58"/>
  <c r="C23" i="58"/>
  <c r="C19" i="58"/>
  <c r="C18" i="58"/>
  <c r="C17" i="58"/>
  <c r="C16" i="58"/>
  <c r="C15" i="58"/>
  <c r="C10" i="58"/>
  <c r="F782" i="34"/>
  <c r="F772" i="34"/>
  <c r="F770" i="34"/>
  <c r="F769" i="34"/>
  <c r="F768" i="34"/>
  <c r="F763" i="34"/>
  <c r="F762" i="34"/>
  <c r="F761" i="34"/>
  <c r="F758" i="34"/>
  <c r="F732" i="34"/>
  <c r="F729" i="34"/>
  <c r="F728" i="34"/>
  <c r="F725" i="34"/>
  <c r="I2045" i="6"/>
  <c r="I2032" i="6"/>
  <c r="I2028" i="6"/>
  <c r="I2027" i="6"/>
  <c r="I2026" i="6"/>
  <c r="I2022" i="6"/>
  <c r="I2020" i="6"/>
  <c r="I2018" i="6"/>
  <c r="I2016" i="6"/>
  <c r="I2013" i="6"/>
  <c r="I2012" i="6"/>
  <c r="I2010" i="6"/>
  <c r="I2008" i="6"/>
  <c r="I2006" i="6"/>
  <c r="I2005" i="6"/>
  <c r="I2004" i="6"/>
  <c r="I2003" i="6"/>
  <c r="I2002" i="6"/>
  <c r="I2001" i="6"/>
  <c r="I1999" i="6"/>
  <c r="I1994" i="6"/>
  <c r="I1986" i="6"/>
  <c r="I1973" i="6"/>
  <c r="I1960" i="6"/>
  <c r="I1959" i="6"/>
  <c r="I1958" i="6"/>
  <c r="I1955" i="6"/>
  <c r="I1954" i="6"/>
  <c r="I1953" i="6"/>
  <c r="I1952" i="6"/>
  <c r="I1951" i="6"/>
  <c r="I1947" i="6"/>
  <c r="I1946" i="6"/>
  <c r="I1943" i="6"/>
  <c r="I1942" i="6"/>
  <c r="I1939" i="6"/>
  <c r="I1938" i="6"/>
  <c r="I1937" i="6"/>
  <c r="I1936" i="6"/>
  <c r="I1935" i="6"/>
  <c r="I1934" i="6"/>
  <c r="I1928" i="6"/>
  <c r="I1927" i="6"/>
  <c r="I1926" i="6"/>
  <c r="I1925" i="6"/>
  <c r="I1924" i="6"/>
  <c r="I1914" i="6"/>
  <c r="I1913" i="6"/>
  <c r="I1911" i="6"/>
  <c r="I1910" i="6"/>
  <c r="I1909" i="6"/>
  <c r="I1908" i="6"/>
  <c r="I1907" i="6"/>
  <c r="I1906" i="6"/>
  <c r="I1900" i="6"/>
  <c r="I1899" i="6"/>
  <c r="I1898" i="6"/>
  <c r="I1897" i="6"/>
  <c r="I1896" i="6"/>
  <c r="I1895" i="6"/>
  <c r="I1894" i="6"/>
  <c r="I1891" i="6"/>
  <c r="I1890" i="6"/>
  <c r="I1888" i="6"/>
  <c r="I1887" i="6"/>
  <c r="I1886" i="6"/>
  <c r="I1882" i="6"/>
  <c r="I1881" i="6"/>
  <c r="I1880" i="6"/>
  <c r="I1879" i="6"/>
  <c r="I1877" i="6"/>
  <c r="I1874" i="6"/>
  <c r="I1873" i="6"/>
  <c r="I1872" i="6"/>
  <c r="I1866" i="6"/>
  <c r="I1862" i="6"/>
  <c r="I1861" i="6"/>
  <c r="I1859" i="6"/>
  <c r="I1850" i="6"/>
  <c r="I1848" i="6"/>
  <c r="I1847" i="6"/>
  <c r="I1842" i="6"/>
  <c r="I1839" i="6"/>
  <c r="I1838" i="6"/>
  <c r="I1837" i="6"/>
  <c r="I1836" i="6"/>
  <c r="I1834" i="6"/>
  <c r="I1833" i="6"/>
  <c r="I1832" i="6"/>
  <c r="I1830" i="6"/>
  <c r="I1828" i="6"/>
  <c r="I1827" i="6"/>
  <c r="I1825" i="6"/>
  <c r="I1824" i="6"/>
  <c r="I1823" i="6"/>
  <c r="I1822" i="6"/>
  <c r="I1821" i="6"/>
  <c r="I1820" i="6"/>
  <c r="I1819" i="6"/>
  <c r="I1818" i="6"/>
  <c r="I1817" i="6"/>
  <c r="I1811" i="6"/>
  <c r="I1810" i="6"/>
  <c r="I1809" i="6"/>
  <c r="I1808" i="6"/>
  <c r="I1807" i="6"/>
  <c r="I1806" i="6"/>
  <c r="I1805" i="6"/>
  <c r="I1802" i="6"/>
  <c r="I1800" i="6"/>
  <c r="I1799" i="6"/>
  <c r="I1798" i="6"/>
  <c r="I1794" i="6"/>
  <c r="I1792" i="6"/>
  <c r="I1791" i="6"/>
  <c r="I1790" i="6"/>
  <c r="I1778" i="6"/>
  <c r="I1775" i="6"/>
  <c r="I1763" i="6"/>
  <c r="I1762" i="6"/>
  <c r="I1761" i="6"/>
  <c r="I1758" i="6"/>
  <c r="I1757" i="6"/>
  <c r="I1754" i="6"/>
  <c r="I1753" i="6"/>
  <c r="I1752" i="6"/>
  <c r="I1749" i="6"/>
  <c r="I1746" i="6"/>
  <c r="I1743" i="6"/>
  <c r="I1742" i="6"/>
  <c r="I1741" i="6"/>
  <c r="I1739" i="6"/>
  <c r="I1732" i="6"/>
  <c r="I1729" i="6"/>
  <c r="I1726" i="6"/>
  <c r="I1725" i="6"/>
  <c r="I1724" i="6"/>
  <c r="I1711" i="6"/>
  <c r="I1710" i="6"/>
  <c r="I1709" i="6"/>
  <c r="I1708" i="6"/>
  <c r="I1707" i="6"/>
  <c r="I1696" i="6"/>
  <c r="I1693" i="6"/>
  <c r="I1692" i="6"/>
  <c r="I1691" i="6"/>
  <c r="I1690" i="6"/>
  <c r="I1687" i="6"/>
  <c r="I1685" i="6"/>
  <c r="I1676" i="6"/>
  <c r="I1675" i="6"/>
  <c r="I1668" i="6"/>
  <c r="I1667" i="6"/>
  <c r="I1666" i="6"/>
  <c r="I1649" i="6"/>
  <c r="I1638" i="6"/>
  <c r="I1636" i="6"/>
  <c r="I1634" i="6"/>
  <c r="I1632" i="6"/>
  <c r="I1630" i="6"/>
  <c r="I1629" i="6"/>
  <c r="I1628" i="6"/>
  <c r="I1627" i="6"/>
  <c r="I1626" i="6"/>
  <c r="I1624" i="6"/>
  <c r="I1621" i="6"/>
  <c r="I1620" i="6"/>
  <c r="I1616" i="6"/>
  <c r="I1615" i="6"/>
  <c r="I1614" i="6"/>
  <c r="I1613" i="6"/>
  <c r="I1611" i="6"/>
  <c r="I1610" i="6"/>
  <c r="I1604" i="6"/>
  <c r="I1602" i="6"/>
  <c r="I1599" i="6"/>
  <c r="I1597" i="6"/>
  <c r="I1595" i="6"/>
  <c r="I1580" i="6"/>
  <c r="I1579" i="6"/>
  <c r="I1573" i="6"/>
  <c r="I1568" i="6"/>
  <c r="I1567" i="6"/>
  <c r="I1566" i="6"/>
  <c r="I1565" i="6"/>
  <c r="I1564" i="6"/>
  <c r="I1562" i="6"/>
  <c r="I1561" i="6"/>
  <c r="I1560" i="6"/>
  <c r="I1559" i="6"/>
  <c r="I1557" i="6"/>
  <c r="I1556" i="6"/>
  <c r="I1555" i="6"/>
  <c r="I1553" i="6"/>
  <c r="I1552" i="6"/>
  <c r="I1551" i="6"/>
  <c r="I1550" i="6"/>
  <c r="I1549" i="6"/>
  <c r="I1548" i="6"/>
  <c r="I1547" i="6"/>
  <c r="I1546" i="6"/>
  <c r="I1537" i="6"/>
  <c r="I1534" i="6"/>
  <c r="I1531" i="6"/>
  <c r="I1518" i="6"/>
  <c r="I1515" i="6"/>
  <c r="I1504" i="6"/>
  <c r="I1501" i="6"/>
  <c r="I1500" i="6"/>
  <c r="I1499" i="6"/>
  <c r="I1498" i="6"/>
  <c r="I1497" i="6"/>
  <c r="I1496" i="6"/>
  <c r="I1495" i="6"/>
  <c r="I1494" i="6"/>
  <c r="I1493" i="6"/>
  <c r="I1492" i="6"/>
  <c r="I1491" i="6"/>
  <c r="I1484" i="6"/>
  <c r="I1473" i="6"/>
  <c r="I1472" i="6"/>
  <c r="I1469" i="6"/>
  <c r="I1464" i="6"/>
  <c r="I1459" i="6"/>
  <c r="I1457" i="6"/>
  <c r="I1456" i="6"/>
  <c r="I1455" i="6"/>
  <c r="I1454" i="6"/>
  <c r="I1453" i="6"/>
  <c r="I1452" i="6"/>
  <c r="I1451" i="6"/>
  <c r="I1450" i="6"/>
  <c r="I1449" i="6"/>
  <c r="I1448" i="6"/>
  <c r="I1447" i="6"/>
  <c r="I1446" i="6"/>
  <c r="I1445" i="6"/>
  <c r="I1437" i="6"/>
  <c r="I1436" i="6"/>
  <c r="I1435" i="6"/>
  <c r="I1433" i="6"/>
  <c r="I1432" i="6"/>
  <c r="I1431" i="6"/>
  <c r="I1430" i="6"/>
  <c r="I1429" i="6"/>
  <c r="I1428" i="6"/>
  <c r="I1427" i="6"/>
  <c r="I1426" i="6"/>
  <c r="I1425" i="6"/>
  <c r="I1424" i="6"/>
  <c r="I1423" i="6"/>
  <c r="I1422" i="6"/>
  <c r="I1420" i="6"/>
  <c r="I1419" i="6"/>
  <c r="I1418" i="6"/>
  <c r="I1416" i="6"/>
  <c r="I1415" i="6"/>
  <c r="I1414" i="6"/>
  <c r="I1413" i="6"/>
  <c r="I1411" i="6"/>
  <c r="I1410" i="6"/>
  <c r="I1409" i="6"/>
  <c r="I1408" i="6"/>
  <c r="I1407" i="6"/>
  <c r="I1401" i="6"/>
  <c r="I1399" i="6"/>
  <c r="I1398" i="6"/>
  <c r="I1397" i="6"/>
  <c r="I1396" i="6"/>
  <c r="I1395" i="6"/>
  <c r="I1394" i="6"/>
  <c r="I1392" i="6"/>
  <c r="I1378" i="6"/>
  <c r="I1368" i="6"/>
  <c r="I1367" i="6"/>
  <c r="I1364" i="6"/>
  <c r="I1363" i="6"/>
  <c r="I1362" i="6"/>
  <c r="I1361" i="6"/>
  <c r="I1360" i="6"/>
  <c r="I1357" i="6"/>
  <c r="I1356" i="6"/>
  <c r="I1355" i="6"/>
  <c r="I1354" i="6"/>
  <c r="I1353" i="6"/>
  <c r="I1352" i="6"/>
  <c r="I1351" i="6"/>
  <c r="I1343" i="6"/>
  <c r="I1342" i="6"/>
  <c r="I1341" i="6"/>
  <c r="I1340" i="6"/>
  <c r="I1338" i="6"/>
  <c r="I1335" i="6"/>
  <c r="I1332" i="6"/>
  <c r="I1331" i="6"/>
  <c r="I1325" i="6"/>
  <c r="I1324" i="6"/>
  <c r="I1322" i="6"/>
  <c r="I1321" i="6"/>
  <c r="I1320" i="6"/>
  <c r="I1319" i="6"/>
  <c r="I1318" i="6"/>
  <c r="I1317" i="6"/>
  <c r="I1316" i="6"/>
  <c r="I1313" i="6"/>
  <c r="I1312" i="6"/>
  <c r="I1311" i="6"/>
  <c r="I1310" i="6"/>
  <c r="I1309" i="6"/>
  <c r="I1306" i="6"/>
  <c r="I1305" i="6"/>
  <c r="I1304" i="6"/>
  <c r="I1297" i="6"/>
  <c r="I1296" i="6"/>
  <c r="I1294" i="6"/>
  <c r="I1293" i="6"/>
  <c r="I1290" i="6"/>
  <c r="I1289" i="6"/>
  <c r="I1288" i="6"/>
  <c r="I1287" i="6"/>
  <c r="I1286" i="6"/>
  <c r="I1285" i="6"/>
  <c r="I1284" i="6"/>
  <c r="I1283" i="6"/>
  <c r="I1270" i="6"/>
  <c r="I1269" i="6"/>
  <c r="I1268" i="6"/>
  <c r="I1267" i="6"/>
  <c r="I1266" i="6"/>
  <c r="I1255" i="6"/>
  <c r="I1245" i="6"/>
  <c r="I1242" i="6"/>
  <c r="I1239" i="6"/>
  <c r="I1232" i="6"/>
  <c r="I1216" i="6"/>
  <c r="I1211" i="6"/>
  <c r="I1200" i="6"/>
  <c r="I1197" i="6"/>
  <c r="I1196" i="6"/>
  <c r="I1195" i="6"/>
  <c r="I1194" i="6"/>
  <c r="I1193" i="6"/>
  <c r="I1192" i="6"/>
  <c r="I1191" i="6"/>
  <c r="I1190" i="6"/>
  <c r="I1189" i="6"/>
  <c r="I1185" i="6"/>
  <c r="I1184" i="6"/>
  <c r="I1183" i="6"/>
  <c r="I1182" i="6"/>
  <c r="I1181" i="6"/>
  <c r="I1173" i="6"/>
  <c r="I1172" i="6"/>
  <c r="I1171" i="6"/>
  <c r="I1170" i="6"/>
  <c r="I1167" i="6"/>
  <c r="I1166" i="6"/>
  <c r="I1165" i="6"/>
  <c r="I1139" i="6"/>
  <c r="I1138" i="6"/>
  <c r="I1133" i="6"/>
  <c r="I1131" i="6"/>
  <c r="I1129" i="6"/>
  <c r="I1128" i="6"/>
  <c r="I1126" i="6"/>
  <c r="I1125" i="6"/>
  <c r="I1124" i="6"/>
  <c r="I1123" i="6"/>
  <c r="I1122" i="6"/>
  <c r="I1121" i="6"/>
  <c r="I1117" i="6"/>
  <c r="I1115" i="6"/>
  <c r="I1110" i="6"/>
  <c r="I1109" i="6"/>
  <c r="I1108" i="6"/>
  <c r="I1103" i="6"/>
  <c r="I1102" i="6"/>
  <c r="I1100" i="6"/>
  <c r="I1099" i="6"/>
  <c r="I1098" i="6"/>
  <c r="I1097" i="6"/>
  <c r="I1096" i="6"/>
  <c r="I1092" i="6"/>
  <c r="I1091" i="6"/>
  <c r="I1068" i="6"/>
  <c r="I1067" i="6"/>
  <c r="I1066" i="6"/>
  <c r="I1054" i="6"/>
  <c r="I1052" i="6"/>
  <c r="I1045" i="6"/>
  <c r="I1034" i="6"/>
  <c r="I1033" i="6"/>
  <c r="I1032" i="6"/>
  <c r="I1030" i="6"/>
  <c r="I1029" i="6"/>
  <c r="I1027" i="6"/>
  <c r="I1013" i="6"/>
  <c r="I1002" i="6"/>
  <c r="I1001" i="6"/>
  <c r="I1000" i="6"/>
  <c r="I999" i="6"/>
  <c r="I998" i="6"/>
  <c r="I997" i="6"/>
  <c r="I995" i="6"/>
  <c r="I993" i="6"/>
  <c r="I992" i="6"/>
  <c r="I990" i="6"/>
  <c r="I989" i="6"/>
  <c r="I988" i="6"/>
  <c r="I986" i="6"/>
  <c r="I985" i="6"/>
  <c r="I984" i="6"/>
  <c r="I983" i="6"/>
  <c r="I977" i="6"/>
  <c r="I976" i="6"/>
  <c r="I974" i="6"/>
  <c r="I968" i="6"/>
  <c r="I966" i="6"/>
  <c r="I965" i="6"/>
  <c r="I963" i="6"/>
  <c r="I961" i="6"/>
  <c r="I959" i="6"/>
  <c r="I945" i="6"/>
  <c r="I936" i="6"/>
  <c r="I935" i="6"/>
  <c r="I934" i="6"/>
  <c r="I929" i="6"/>
  <c r="I928" i="6"/>
  <c r="I924" i="6"/>
  <c r="I923" i="6"/>
  <c r="I921" i="6"/>
  <c r="I920" i="6"/>
  <c r="I919" i="6"/>
  <c r="I917" i="6"/>
  <c r="I915" i="6"/>
  <c r="I914" i="6"/>
  <c r="I912" i="6"/>
  <c r="I911" i="6"/>
  <c r="I910" i="6"/>
  <c r="I909" i="6"/>
  <c r="I908" i="6"/>
  <c r="I906" i="6"/>
  <c r="I895" i="6"/>
  <c r="I894" i="6"/>
  <c r="I893" i="6"/>
  <c r="I888" i="6"/>
  <c r="I875" i="6"/>
  <c r="I874" i="6"/>
  <c r="I864" i="6"/>
  <c r="I863" i="6"/>
  <c r="I861" i="6"/>
  <c r="I860" i="6"/>
  <c r="I859" i="6"/>
  <c r="I857" i="6"/>
  <c r="I856" i="6"/>
  <c r="I855" i="6"/>
  <c r="I854" i="6"/>
  <c r="I853" i="6"/>
  <c r="I852" i="6"/>
  <c r="I851" i="6"/>
  <c r="I850" i="6"/>
  <c r="I849" i="6"/>
  <c r="I848" i="6"/>
  <c r="I847" i="6"/>
  <c r="I846" i="6"/>
  <c r="I845" i="6"/>
  <c r="I844" i="6"/>
  <c r="I843" i="6"/>
  <c r="I842" i="6"/>
  <c r="I841" i="6"/>
  <c r="I840" i="6"/>
  <c r="I839" i="6"/>
  <c r="I838" i="6"/>
  <c r="I836" i="6"/>
  <c r="I835" i="6"/>
  <c r="I834" i="6"/>
  <c r="I833" i="6"/>
  <c r="I832" i="6"/>
  <c r="I831" i="6"/>
  <c r="I830" i="6"/>
  <c r="I829" i="6"/>
  <c r="I828" i="6"/>
  <c r="I827" i="6"/>
  <c r="I822" i="6"/>
  <c r="I821" i="6"/>
  <c r="I811" i="6"/>
  <c r="I808" i="6"/>
  <c r="I798" i="6"/>
  <c r="I797" i="6"/>
  <c r="I794" i="6"/>
  <c r="I793" i="6"/>
  <c r="I791" i="6"/>
  <c r="I789" i="6"/>
  <c r="I787" i="6"/>
  <c r="I781" i="6"/>
  <c r="I778" i="6"/>
  <c r="I777" i="6"/>
  <c r="I775" i="6"/>
  <c r="I774" i="6"/>
  <c r="I773" i="6"/>
  <c r="I772" i="6"/>
  <c r="I771" i="6"/>
  <c r="I770" i="6"/>
  <c r="I764" i="6"/>
  <c r="I763" i="6"/>
  <c r="I762" i="6"/>
  <c r="I761" i="6"/>
  <c r="I756" i="6"/>
  <c r="I755" i="6"/>
  <c r="I754" i="6"/>
  <c r="I382" i="6"/>
  <c r="M103" i="26"/>
  <c r="M94" i="26"/>
  <c r="M93" i="26"/>
  <c r="M91" i="26"/>
  <c r="M88" i="26"/>
  <c r="M87" i="26"/>
  <c r="M86" i="26"/>
  <c r="M84" i="26"/>
  <c r="G283" i="48"/>
  <c r="G282" i="48"/>
  <c r="G281" i="48"/>
  <c r="G273" i="48"/>
  <c r="L26" i="48"/>
  <c r="L25" i="48"/>
  <c r="F16" i="48"/>
  <c r="F15" i="48"/>
  <c r="F14" i="48"/>
  <c r="F13" i="48"/>
  <c r="F778" i="34"/>
  <c r="F777" i="34"/>
  <c r="F776" i="34"/>
  <c r="F759" i="34"/>
  <c r="F736" i="34"/>
  <c r="F735" i="34"/>
  <c r="I1106" i="7"/>
  <c r="I1105" i="7"/>
  <c r="I1102" i="7"/>
  <c r="I1100" i="7"/>
  <c r="I1099" i="7"/>
  <c r="I1098" i="7"/>
  <c r="I1097" i="7"/>
  <c r="I1096" i="7"/>
  <c r="I1095" i="7"/>
  <c r="I1094" i="7"/>
  <c r="I1093" i="7"/>
  <c r="I1092" i="7"/>
  <c r="I1091" i="7"/>
  <c r="I1090" i="7"/>
  <c r="I1089" i="7"/>
  <c r="I1088" i="7"/>
  <c r="I1087" i="7"/>
  <c r="I1086" i="7"/>
  <c r="I1085" i="7"/>
  <c r="I1084" i="7"/>
  <c r="I1083" i="7"/>
  <c r="I1082" i="7"/>
  <c r="I1081" i="7"/>
  <c r="I1080" i="7"/>
  <c r="I1079" i="7"/>
  <c r="I1078" i="7"/>
  <c r="I1077" i="7"/>
  <c r="I1076" i="7"/>
  <c r="I1075" i="7"/>
  <c r="I1074" i="7"/>
  <c r="I1072" i="7"/>
  <c r="I1071" i="7"/>
  <c r="I1070" i="7"/>
  <c r="I1069" i="7"/>
  <c r="I1067" i="7"/>
  <c r="I1066" i="7"/>
  <c r="I1065" i="7"/>
  <c r="I1055" i="7"/>
  <c r="I1054" i="7"/>
  <c r="I1053" i="7"/>
  <c r="I1051" i="7"/>
  <c r="I1050" i="7"/>
  <c r="I1049" i="7"/>
  <c r="I1048" i="7"/>
  <c r="I1042" i="7"/>
  <c r="I1041" i="7"/>
  <c r="I1040" i="7"/>
  <c r="I1039" i="7"/>
  <c r="I1038" i="7"/>
  <c r="I1037" i="7"/>
  <c r="I1036" i="7"/>
  <c r="I1035" i="7"/>
  <c r="I1034" i="7"/>
  <c r="I1033" i="7"/>
  <c r="I1032" i="7"/>
  <c r="I1031" i="7"/>
  <c r="I1027" i="7"/>
  <c r="I1026" i="7"/>
  <c r="I1025" i="7"/>
  <c r="I1023" i="7"/>
  <c r="I1022" i="7"/>
  <c r="I1021" i="7"/>
  <c r="I1005" i="7"/>
  <c r="I995" i="7"/>
  <c r="I992" i="7"/>
  <c r="I989" i="7"/>
  <c r="I986" i="7"/>
  <c r="I984" i="7"/>
  <c r="I983" i="7"/>
  <c r="I982" i="7"/>
  <c r="I981" i="7"/>
  <c r="I980" i="7"/>
  <c r="I979" i="7"/>
  <c r="I977" i="7"/>
  <c r="I974" i="7"/>
  <c r="I973" i="7"/>
  <c r="I971" i="7"/>
  <c r="I962" i="7"/>
  <c r="I948" i="7"/>
  <c r="I938" i="7"/>
  <c r="I936" i="7"/>
  <c r="I935" i="7"/>
  <c r="I934" i="7"/>
  <c r="I933" i="7"/>
  <c r="I931" i="7"/>
  <c r="I930" i="7"/>
  <c r="I929" i="7"/>
  <c r="I928" i="7"/>
  <c r="I927" i="7"/>
  <c r="I926" i="7"/>
  <c r="I925" i="7"/>
  <c r="I922" i="7"/>
  <c r="I921" i="7"/>
  <c r="I920" i="7"/>
  <c r="I918" i="7"/>
  <c r="I917" i="7"/>
  <c r="I916" i="7"/>
  <c r="I915" i="7"/>
  <c r="I914" i="7"/>
  <c r="I913" i="7"/>
  <c r="I912" i="7"/>
  <c r="I911" i="7"/>
  <c r="I910" i="7"/>
  <c r="I907" i="7"/>
  <c r="I906" i="7"/>
  <c r="I904" i="7"/>
  <c r="I900" i="7"/>
  <c r="I899" i="7"/>
  <c r="I895" i="7"/>
  <c r="I894" i="7"/>
  <c r="I883" i="7"/>
  <c r="I882" i="7"/>
  <c r="I881" i="7"/>
  <c r="I880" i="7"/>
  <c r="I879" i="7"/>
  <c r="I878" i="7"/>
  <c r="I877" i="7"/>
  <c r="I876" i="7"/>
  <c r="I874" i="7"/>
  <c r="I873" i="7"/>
  <c r="I872" i="7"/>
  <c r="I871" i="7"/>
  <c r="I869" i="7"/>
  <c r="I862" i="7"/>
  <c r="I860" i="7"/>
  <c r="I859" i="7"/>
  <c r="I858" i="7"/>
  <c r="I856" i="7"/>
  <c r="I855" i="7"/>
  <c r="I853" i="7"/>
  <c r="I852" i="7"/>
  <c r="I849" i="7"/>
  <c r="I847" i="7"/>
  <c r="I840" i="7"/>
  <c r="I838" i="7"/>
  <c r="I837" i="7"/>
  <c r="I835" i="7"/>
  <c r="I815" i="7"/>
  <c r="I812" i="7"/>
  <c r="I804" i="7"/>
  <c r="I802" i="7"/>
  <c r="I799" i="7"/>
  <c r="I798" i="7"/>
  <c r="I797" i="7"/>
  <c r="I796" i="7"/>
  <c r="I794" i="7"/>
  <c r="I793" i="7"/>
  <c r="I790" i="7"/>
  <c r="I779" i="7"/>
  <c r="I778" i="7"/>
  <c r="I777" i="7"/>
  <c r="I775" i="7"/>
  <c r="I773" i="7"/>
  <c r="I772" i="7"/>
  <c r="I771" i="7"/>
  <c r="I770" i="7"/>
  <c r="I769" i="7"/>
  <c r="I768" i="7"/>
  <c r="I767" i="7"/>
  <c r="I766" i="7"/>
  <c r="I765" i="7"/>
  <c r="I764" i="7"/>
  <c r="I762" i="7"/>
  <c r="I761" i="7"/>
  <c r="I760" i="7"/>
  <c r="I756" i="7"/>
  <c r="I755" i="7"/>
  <c r="I754" i="7"/>
  <c r="I753" i="7"/>
  <c r="I752" i="7"/>
  <c r="I751" i="7"/>
  <c r="I750" i="7"/>
  <c r="I749" i="7"/>
  <c r="I748" i="7"/>
  <c r="I746" i="7"/>
  <c r="I745" i="7"/>
  <c r="I744" i="7"/>
  <c r="I743" i="7"/>
  <c r="I742" i="7"/>
  <c r="I735" i="7"/>
  <c r="I734" i="7"/>
  <c r="I733" i="7"/>
  <c r="I731" i="7"/>
  <c r="I730" i="7"/>
  <c r="I728" i="7"/>
  <c r="I715" i="7"/>
  <c r="I712" i="7"/>
  <c r="I706" i="7"/>
  <c r="I701" i="7"/>
  <c r="I700" i="7"/>
  <c r="I699" i="7"/>
  <c r="I698" i="7"/>
  <c r="I697" i="7"/>
  <c r="I696" i="7"/>
  <c r="I695" i="7"/>
  <c r="I684" i="7"/>
  <c r="I683" i="7"/>
  <c r="I682" i="7"/>
  <c r="I681" i="7"/>
  <c r="I674" i="7"/>
  <c r="I672" i="7"/>
  <c r="I671" i="7"/>
  <c r="I644" i="7"/>
  <c r="I642" i="7"/>
  <c r="I641" i="7"/>
  <c r="I639" i="7"/>
  <c r="I638" i="7"/>
  <c r="I637" i="7"/>
  <c r="I635" i="7"/>
  <c r="I633" i="7"/>
  <c r="I632" i="7"/>
  <c r="I630" i="7"/>
  <c r="I629" i="7"/>
  <c r="I628" i="7"/>
  <c r="I627" i="7"/>
  <c r="I623" i="7"/>
  <c r="I616" i="7"/>
  <c r="I613" i="7"/>
  <c r="I612" i="7"/>
  <c r="I611" i="7"/>
  <c r="I610" i="7"/>
  <c r="I609" i="7"/>
  <c r="I608" i="7"/>
  <c r="I607" i="7"/>
  <c r="I606" i="7"/>
  <c r="I605" i="7"/>
  <c r="I581" i="7"/>
  <c r="I580" i="7"/>
  <c r="I579" i="7"/>
  <c r="I575" i="7"/>
  <c r="I571" i="7"/>
  <c r="I570" i="7"/>
  <c r="I569" i="7"/>
  <c r="I566" i="7"/>
  <c r="I565" i="7"/>
  <c r="I564" i="7"/>
  <c r="I563" i="7"/>
  <c r="I562" i="7"/>
  <c r="I561" i="7"/>
  <c r="I557" i="7"/>
  <c r="I532" i="7"/>
  <c r="I527" i="7"/>
  <c r="I526" i="7"/>
  <c r="I522" i="7"/>
  <c r="I521" i="7"/>
  <c r="I519" i="7"/>
  <c r="I518" i="7"/>
  <c r="I517" i="7"/>
  <c r="I516" i="7"/>
  <c r="I513" i="7"/>
  <c r="I512" i="7"/>
  <c r="I511" i="7"/>
  <c r="I508" i="7"/>
  <c r="I505" i="7"/>
  <c r="I504" i="7"/>
  <c r="I503" i="7"/>
  <c r="I500" i="7"/>
  <c r="I489" i="7"/>
  <c r="I488" i="7"/>
  <c r="I487" i="7"/>
  <c r="I486" i="7"/>
  <c r="I485" i="7"/>
  <c r="I484" i="7"/>
  <c r="I481" i="7"/>
  <c r="I480" i="7"/>
  <c r="I479" i="7"/>
  <c r="I478" i="7"/>
  <c r="I477" i="7"/>
  <c r="I476" i="7"/>
  <c r="I475" i="7"/>
  <c r="I473" i="7"/>
  <c r="I471" i="7"/>
  <c r="I470" i="7"/>
  <c r="I466" i="7"/>
  <c r="I464" i="7"/>
  <c r="I463" i="7"/>
  <c r="I462" i="7"/>
  <c r="I461" i="7"/>
  <c r="I454" i="7"/>
  <c r="I453" i="7"/>
  <c r="I452" i="7"/>
  <c r="I448" i="7"/>
  <c r="I297" i="7"/>
  <c r="I295" i="7"/>
  <c r="I239" i="7"/>
  <c r="I223" i="7"/>
  <c r="I200" i="7"/>
  <c r="I109" i="7"/>
  <c r="I25" i="7"/>
  <c r="G286" i="15"/>
  <c r="G127" i="15"/>
  <c r="G3" i="15"/>
  <c r="G34" i="15" s="1"/>
  <c r="I524" i="8"/>
  <c r="I523" i="8"/>
  <c r="I522" i="8"/>
  <c r="I519" i="8"/>
  <c r="I516" i="8"/>
  <c r="I515" i="8"/>
  <c r="I514" i="8"/>
  <c r="I513" i="8"/>
  <c r="I510" i="8"/>
  <c r="I508" i="8"/>
  <c r="I507" i="8"/>
  <c r="I506" i="8"/>
  <c r="I505" i="8"/>
  <c r="I504" i="8"/>
  <c r="I503" i="8"/>
  <c r="I502" i="8"/>
  <c r="I501" i="8"/>
  <c r="I500" i="8"/>
  <c r="I499" i="8"/>
  <c r="I498" i="8"/>
  <c r="I497" i="8"/>
  <c r="I496" i="8"/>
  <c r="I493" i="8"/>
  <c r="I491" i="8"/>
  <c r="I490" i="8"/>
  <c r="I489" i="8"/>
  <c r="I488" i="8"/>
  <c r="I487" i="8"/>
  <c r="I485" i="8"/>
  <c r="I475" i="8"/>
  <c r="I474" i="8"/>
  <c r="I473" i="8"/>
  <c r="I472" i="8"/>
  <c r="I471" i="8"/>
  <c r="I470" i="8"/>
  <c r="I469" i="8"/>
  <c r="I468" i="8"/>
  <c r="I467" i="8"/>
  <c r="I466" i="8"/>
  <c r="I465" i="8"/>
  <c r="I464" i="8"/>
  <c r="I461" i="8"/>
  <c r="I459" i="8"/>
  <c r="I456" i="8"/>
  <c r="I455" i="8"/>
  <c r="I454" i="8"/>
  <c r="I453" i="8"/>
  <c r="I452" i="8"/>
  <c r="I451" i="8"/>
  <c r="I450" i="8"/>
  <c r="I449" i="8"/>
  <c r="I446" i="8"/>
  <c r="I444" i="8"/>
  <c r="I441" i="8"/>
  <c r="I440" i="8"/>
  <c r="I439" i="8"/>
  <c r="I437" i="8"/>
  <c r="I436" i="8"/>
  <c r="I435" i="8"/>
  <c r="I433" i="8"/>
  <c r="I430" i="8"/>
  <c r="I429" i="8"/>
  <c r="I428" i="8"/>
  <c r="I427" i="8"/>
  <c r="I426" i="8"/>
  <c r="I425" i="8"/>
  <c r="I424" i="8"/>
  <c r="I423" i="8"/>
  <c r="I422" i="8"/>
  <c r="I421" i="8"/>
  <c r="I420" i="8"/>
  <c r="I419" i="8"/>
  <c r="I418" i="8"/>
  <c r="I417" i="8"/>
  <c r="I408" i="8"/>
  <c r="I405" i="8"/>
  <c r="I403" i="8"/>
  <c r="I402" i="8"/>
  <c r="I399" i="8"/>
  <c r="I398" i="8"/>
  <c r="I397" i="8"/>
  <c r="I390" i="8"/>
  <c r="I387" i="8"/>
  <c r="I386" i="8"/>
  <c r="I385" i="8"/>
  <c r="I382" i="8"/>
  <c r="I381" i="8"/>
  <c r="I380" i="8"/>
  <c r="I377" i="8"/>
  <c r="I376" i="8"/>
  <c r="I375" i="8"/>
  <c r="I373" i="8"/>
  <c r="I370" i="8"/>
  <c r="I367" i="8"/>
  <c r="I366" i="8"/>
  <c r="I365" i="8"/>
  <c r="I364" i="8"/>
  <c r="I363" i="8"/>
  <c r="I359" i="8"/>
  <c r="I358" i="8"/>
  <c r="I357" i="8"/>
  <c r="I356" i="8"/>
  <c r="I331" i="8"/>
  <c r="I330" i="8"/>
  <c r="I328" i="8"/>
  <c r="I325" i="8"/>
  <c r="I324" i="8"/>
  <c r="I323" i="8"/>
  <c r="I322" i="8"/>
  <c r="I321" i="8"/>
  <c r="I320" i="8"/>
  <c r="I319" i="8"/>
  <c r="I318" i="8"/>
  <c r="I317" i="8"/>
  <c r="I316" i="8"/>
  <c r="I314" i="8"/>
  <c r="I312" i="8"/>
  <c r="I309" i="8"/>
  <c r="I308" i="8"/>
  <c r="I307" i="8"/>
  <c r="I305" i="8"/>
  <c r="I304" i="8"/>
  <c r="I301" i="8"/>
  <c r="I300" i="8"/>
  <c r="I299" i="8"/>
  <c r="I298" i="8"/>
  <c r="I297" i="8"/>
  <c r="I295" i="8"/>
  <c r="I294" i="8"/>
  <c r="I284" i="8"/>
  <c r="I283" i="8"/>
  <c r="I282" i="8"/>
  <c r="I281" i="8"/>
  <c r="I280" i="8"/>
  <c r="I279" i="8"/>
  <c r="I278" i="8"/>
  <c r="I277" i="8"/>
  <c r="I274" i="8"/>
  <c r="I273" i="8"/>
  <c r="I272" i="8"/>
  <c r="I271" i="8"/>
  <c r="I270" i="8"/>
  <c r="I269" i="8"/>
  <c r="I268" i="8"/>
  <c r="I267" i="8"/>
  <c r="I264" i="8"/>
  <c r="I263" i="8"/>
  <c r="I260" i="8"/>
  <c r="I257" i="8"/>
  <c r="I254" i="8"/>
  <c r="I253" i="8"/>
  <c r="I252" i="8"/>
  <c r="I251" i="8"/>
  <c r="I250" i="8"/>
  <c r="I248" i="8"/>
  <c r="I245" i="8"/>
  <c r="I244" i="8"/>
  <c r="I243" i="8"/>
  <c r="I242" i="8"/>
  <c r="I241" i="8"/>
  <c r="I240" i="8"/>
  <c r="I239" i="8"/>
  <c r="I238" i="8"/>
  <c r="I237" i="8"/>
  <c r="I236" i="8"/>
  <c r="I235" i="8"/>
  <c r="I234" i="8"/>
  <c r="I233" i="8"/>
  <c r="I222" i="8"/>
  <c r="I219" i="8"/>
  <c r="I218" i="8"/>
  <c r="I217" i="8"/>
  <c r="I213" i="8"/>
  <c r="I212" i="8"/>
  <c r="I211" i="8"/>
  <c r="I210" i="8"/>
  <c r="I209" i="8"/>
  <c r="I207" i="8"/>
  <c r="I206" i="8"/>
  <c r="I199" i="8"/>
  <c r="I196" i="8"/>
  <c r="I195" i="8"/>
  <c r="I194" i="8"/>
  <c r="I191" i="8"/>
  <c r="I190" i="8"/>
  <c r="I189" i="8"/>
  <c r="I188" i="8"/>
  <c r="I187" i="8"/>
  <c r="I186" i="8"/>
  <c r="I185" i="8"/>
  <c r="I182" i="8"/>
  <c r="I179" i="8"/>
  <c r="I178" i="8"/>
  <c r="I177" i="8"/>
  <c r="I174" i="8"/>
  <c r="I173" i="8"/>
  <c r="I172" i="8"/>
  <c r="I171" i="8"/>
  <c r="I480" i="8"/>
  <c r="I414" i="8"/>
  <c r="I290" i="8"/>
  <c r="I228" i="8"/>
  <c r="P95" i="48" l="1"/>
  <c r="C9" i="58"/>
  <c r="C11" i="58" s="1"/>
  <c r="C21" i="58"/>
  <c r="C20" i="58"/>
  <c r="P94" i="48" l="1"/>
  <c r="P93" i="48"/>
  <c r="Q91" i="48"/>
  <c r="P92" i="48"/>
  <c r="Q93" i="48"/>
  <c r="P91" i="48" l="1"/>
  <c r="Q92" i="48"/>
  <c r="Q95" i="48"/>
  <c r="Q94" i="48" l="1"/>
  <c r="F65" i="34" l="1"/>
  <c r="F60" i="34"/>
  <c r="F50" i="34"/>
  <c r="F47" i="34"/>
  <c r="F13" i="34"/>
  <c r="I49" i="27"/>
  <c r="I48" i="27"/>
  <c r="I45" i="27"/>
  <c r="I44" i="27"/>
  <c r="I43" i="27"/>
  <c r="I42" i="27"/>
  <c r="I41" i="27"/>
  <c r="I40" i="27"/>
  <c r="I39" i="27"/>
  <c r="I35" i="27"/>
  <c r="I34" i="27"/>
  <c r="I33" i="27"/>
  <c r="I32" i="27"/>
  <c r="I31" i="27"/>
  <c r="I30" i="27"/>
  <c r="I29" i="27"/>
  <c r="I28" i="27"/>
  <c r="I26" i="27"/>
  <c r="I18" i="27"/>
  <c r="I17" i="27"/>
  <c r="I13" i="27"/>
  <c r="I12" i="27"/>
  <c r="I9" i="27"/>
  <c r="I8" i="27"/>
  <c r="C122" i="14" l="1"/>
  <c r="E460" i="7"/>
  <c r="I460" i="7" s="1"/>
  <c r="E463" i="4"/>
  <c r="I832" i="4"/>
  <c r="I830" i="4"/>
  <c r="I829" i="4"/>
  <c r="I828" i="4"/>
  <c r="I827" i="4"/>
  <c r="I826" i="4"/>
  <c r="I825" i="4"/>
  <c r="I823" i="4"/>
  <c r="I822" i="4"/>
  <c r="I821" i="4"/>
  <c r="I820" i="4"/>
  <c r="I819" i="4"/>
  <c r="I818" i="4"/>
  <c r="I817" i="4"/>
  <c r="I816" i="4"/>
  <c r="I815" i="4"/>
  <c r="I813" i="4"/>
  <c r="I812" i="4"/>
  <c r="I811" i="4"/>
  <c r="I810" i="4"/>
  <c r="I808" i="4"/>
  <c r="I807" i="4"/>
  <c r="I806" i="4"/>
  <c r="I803" i="4"/>
  <c r="I802" i="4"/>
  <c r="I801" i="4"/>
  <c r="I797" i="4"/>
  <c r="I795" i="4"/>
  <c r="I794" i="4"/>
  <c r="I793" i="4"/>
  <c r="I792" i="4"/>
  <c r="I791" i="4"/>
  <c r="I788" i="4"/>
  <c r="I787" i="4"/>
  <c r="I785" i="4"/>
  <c r="I784" i="4"/>
  <c r="I761" i="4"/>
  <c r="I757" i="4"/>
  <c r="I756" i="4"/>
  <c r="I754" i="4"/>
  <c r="I752" i="4"/>
  <c r="I751" i="4"/>
  <c r="I750" i="4"/>
  <c r="I749" i="4"/>
  <c r="I748" i="4"/>
  <c r="I747" i="4"/>
  <c r="I742" i="4"/>
  <c r="I741" i="4"/>
  <c r="I739" i="4"/>
  <c r="I737" i="4"/>
  <c r="I736" i="4"/>
  <c r="I735" i="4"/>
  <c r="I734" i="4"/>
  <c r="I733" i="4"/>
  <c r="I732" i="4"/>
  <c r="I727" i="4"/>
  <c r="I726" i="4"/>
  <c r="I724" i="4"/>
  <c r="I723" i="4"/>
  <c r="I722" i="4"/>
  <c r="I697" i="4"/>
  <c r="I694" i="4"/>
  <c r="I691" i="4"/>
  <c r="I690" i="4"/>
  <c r="I687" i="4"/>
  <c r="I686" i="4"/>
  <c r="I685" i="4"/>
  <c r="I682" i="4"/>
  <c r="I681" i="4"/>
  <c r="I680" i="4"/>
  <c r="I670" i="4"/>
  <c r="I669" i="4"/>
  <c r="I648" i="4"/>
  <c r="I646" i="4"/>
  <c r="I645" i="4"/>
  <c r="I644" i="4"/>
  <c r="I643" i="4"/>
  <c r="I641" i="4"/>
  <c r="I640" i="4"/>
  <c r="I639" i="4"/>
  <c r="I637" i="4"/>
  <c r="I636" i="4"/>
  <c r="I634" i="4"/>
  <c r="I633" i="4"/>
  <c r="I632" i="4"/>
  <c r="I631" i="4"/>
  <c r="I630" i="4"/>
  <c r="I629" i="4"/>
  <c r="I628" i="4"/>
  <c r="I627" i="4"/>
  <c r="I626" i="4"/>
  <c r="I625" i="4"/>
  <c r="I624" i="4"/>
  <c r="I623" i="4"/>
  <c r="I621" i="4"/>
  <c r="I620" i="4"/>
  <c r="I619" i="4"/>
  <c r="I613" i="4"/>
  <c r="I611" i="4"/>
  <c r="I610" i="4"/>
  <c r="I609" i="4"/>
  <c r="I608" i="4"/>
  <c r="I606" i="4"/>
  <c r="I602" i="4"/>
  <c r="I579" i="4"/>
  <c r="I578" i="4"/>
  <c r="I577" i="4"/>
  <c r="I569" i="4"/>
  <c r="I568" i="4"/>
  <c r="I565" i="4"/>
  <c r="I564" i="4"/>
  <c r="I563" i="4"/>
  <c r="I562" i="4"/>
  <c r="I555" i="4"/>
  <c r="I554" i="4"/>
  <c r="I553" i="4"/>
  <c r="I545" i="4"/>
  <c r="I542" i="4"/>
  <c r="I541" i="4"/>
  <c r="I540" i="4"/>
  <c r="I539" i="4"/>
  <c r="I538" i="4"/>
  <c r="I529" i="4"/>
  <c r="I528" i="4"/>
  <c r="I527" i="4"/>
  <c r="I526" i="4"/>
  <c r="I522" i="4"/>
  <c r="I521" i="4"/>
  <c r="I520" i="4"/>
  <c r="I519" i="4"/>
  <c r="I518" i="4"/>
  <c r="I517" i="4"/>
  <c r="I516" i="4"/>
  <c r="I515" i="4"/>
  <c r="I514" i="4"/>
  <c r="I513" i="4"/>
  <c r="I511" i="4"/>
  <c r="I507" i="4"/>
  <c r="I506" i="4"/>
  <c r="I505" i="4"/>
  <c r="I483" i="4"/>
  <c r="I482" i="4"/>
  <c r="I480" i="4"/>
  <c r="I476" i="4"/>
  <c r="I474" i="4"/>
  <c r="I473" i="4"/>
  <c r="I472" i="4"/>
  <c r="I470" i="4"/>
  <c r="I465" i="4"/>
  <c r="I464" i="4"/>
  <c r="I457" i="4"/>
  <c r="I456" i="4"/>
  <c r="I454" i="4"/>
  <c r="I453" i="4"/>
  <c r="I448" i="4"/>
  <c r="I447" i="4"/>
  <c r="I441" i="4"/>
  <c r="I440" i="4"/>
  <c r="I439" i="4"/>
  <c r="I438" i="4"/>
  <c r="I437" i="4"/>
  <c r="I436" i="4"/>
  <c r="I435" i="4"/>
  <c r="I432" i="4"/>
  <c r="I431" i="4"/>
  <c r="I411" i="4"/>
  <c r="I406" i="4"/>
  <c r="I405" i="4"/>
  <c r="I404" i="4"/>
  <c r="I401" i="4"/>
  <c r="I398" i="4"/>
  <c r="I396" i="4"/>
  <c r="I394" i="4"/>
  <c r="I393" i="4"/>
  <c r="I392" i="4"/>
  <c r="I391" i="4"/>
  <c r="I390" i="4"/>
  <c r="I389" i="4"/>
  <c r="I387" i="4"/>
  <c r="I386" i="4"/>
  <c r="I385" i="4"/>
  <c r="I376" i="4"/>
  <c r="I375" i="4"/>
  <c r="I373" i="4"/>
  <c r="I372" i="4"/>
  <c r="I371" i="4"/>
  <c r="I370" i="4"/>
  <c r="I369" i="4"/>
  <c r="I368" i="4"/>
  <c r="I367" i="4"/>
  <c r="I366" i="4"/>
  <c r="I365" i="4"/>
  <c r="I363" i="4"/>
  <c r="I362" i="4"/>
  <c r="I361" i="4"/>
  <c r="I360" i="4"/>
  <c r="I357" i="4"/>
  <c r="I356" i="4"/>
  <c r="I355" i="4"/>
  <c r="I352" i="4"/>
  <c r="I351" i="4"/>
  <c r="I350" i="4"/>
  <c r="I344" i="4"/>
  <c r="I333" i="4"/>
  <c r="I329" i="4"/>
  <c r="I328" i="4"/>
  <c r="I327" i="4"/>
  <c r="I326" i="4"/>
  <c r="I322" i="4"/>
  <c r="I321" i="4"/>
  <c r="I83" i="4"/>
  <c r="G294" i="3" l="1"/>
  <c r="G295" i="3"/>
  <c r="D295" i="3"/>
  <c r="M39" i="37" l="1"/>
  <c r="E1081" i="6"/>
  <c r="C69" i="40"/>
  <c r="D67" i="13" l="1"/>
  <c r="E216" i="6"/>
  <c r="E222" i="6" s="1"/>
  <c r="E272" i="6"/>
  <c r="E450" i="6"/>
  <c r="E162" i="6"/>
  <c r="E176" i="11" l="1"/>
  <c r="E538" i="7" l="1"/>
  <c r="E539" i="7"/>
  <c r="E1379" i="6" l="1"/>
  <c r="K16" i="14"/>
  <c r="E306" i="4"/>
  <c r="E307" i="4"/>
  <c r="E309" i="4"/>
  <c r="E310" i="4"/>
  <c r="D306" i="4"/>
  <c r="E253" i="4"/>
  <c r="E150" i="4"/>
  <c r="E151" i="4"/>
  <c r="E93" i="4"/>
  <c r="Z206" i="9" l="1"/>
  <c r="Z166" i="9"/>
  <c r="Z154" i="9"/>
  <c r="Z141" i="9"/>
  <c r="Z110" i="9"/>
  <c r="Z96" i="9"/>
  <c r="Z51" i="9"/>
  <c r="Z46" i="9"/>
  <c r="Z45" i="9"/>
  <c r="Z11" i="9"/>
  <c r="Z21" i="9"/>
  <c r="Y18" i="9"/>
  <c r="Y17" i="9"/>
  <c r="F25" i="12" l="1"/>
  <c r="AA96" i="9"/>
  <c r="M86" i="37" l="1"/>
  <c r="D105" i="3" l="1"/>
  <c r="D103" i="3"/>
  <c r="D301" i="15"/>
  <c r="D304" i="15"/>
  <c r="D313" i="15"/>
  <c r="AA215" i="9"/>
  <c r="AA213" i="9"/>
  <c r="AA212" i="9"/>
  <c r="AA208" i="9"/>
  <c r="AA207" i="9"/>
  <c r="AA206" i="9"/>
  <c r="AA205" i="9"/>
  <c r="AA204" i="9"/>
  <c r="AA202" i="9"/>
  <c r="AA201" i="9"/>
  <c r="AA200" i="9"/>
  <c r="AA199" i="9"/>
  <c r="AA197" i="9"/>
  <c r="AA194" i="9"/>
  <c r="AA193" i="9"/>
  <c r="AA192" i="9"/>
  <c r="AA191" i="9"/>
  <c r="AA187" i="9"/>
  <c r="AA186" i="9"/>
  <c r="AA184" i="9"/>
  <c r="AA180" i="9"/>
  <c r="AA179" i="9"/>
  <c r="AA178" i="9"/>
  <c r="AA177" i="9"/>
  <c r="AA169" i="9"/>
  <c r="AA168" i="9"/>
  <c r="AA167" i="9"/>
  <c r="AA166" i="9"/>
  <c r="AA159" i="9"/>
  <c r="AA158" i="9"/>
  <c r="AA157" i="9"/>
  <c r="AA155" i="9"/>
  <c r="AA154" i="9"/>
  <c r="AA151" i="9"/>
  <c r="AA150" i="9"/>
  <c r="AA147" i="9"/>
  <c r="AA141" i="9"/>
  <c r="AA140" i="9"/>
  <c r="AA138" i="9"/>
  <c r="AA137" i="9"/>
  <c r="AA136" i="9"/>
  <c r="AA135" i="9"/>
  <c r="AA134" i="9"/>
  <c r="AA132" i="9"/>
  <c r="AA130" i="9"/>
  <c r="AA116" i="9"/>
  <c r="AA115" i="9"/>
  <c r="AA114" i="9"/>
  <c r="AA113" i="9"/>
  <c r="AA112" i="9"/>
  <c r="AA111" i="9"/>
  <c r="AA110" i="9"/>
  <c r="AA109" i="9"/>
  <c r="AA108" i="9"/>
  <c r="AA107" i="9"/>
  <c r="AA106" i="9"/>
  <c r="AA105" i="9"/>
  <c r="AA104" i="9"/>
  <c r="AA103" i="9"/>
  <c r="AA102" i="9"/>
  <c r="AA101" i="9"/>
  <c r="AA99" i="9"/>
  <c r="AA98" i="9"/>
  <c r="AA97" i="9"/>
  <c r="AA95" i="9"/>
  <c r="AA81" i="9"/>
  <c r="AA80" i="9"/>
  <c r="AA79" i="9"/>
  <c r="AA78" i="9"/>
  <c r="AA69" i="9"/>
  <c r="AA68" i="9"/>
  <c r="AA24" i="9"/>
  <c r="AA28" i="9"/>
  <c r="AA27" i="9"/>
  <c r="AA63" i="9"/>
  <c r="AA60" i="9"/>
  <c r="AA59" i="9"/>
  <c r="AA58" i="9"/>
  <c r="AA57" i="9"/>
  <c r="AA56" i="9"/>
  <c r="AA54" i="9"/>
  <c r="AA53" i="9"/>
  <c r="AA52" i="9"/>
  <c r="AA51" i="9"/>
  <c r="AA49" i="9"/>
  <c r="AA48" i="9"/>
  <c r="AA47" i="9"/>
  <c r="AA46" i="9"/>
  <c r="AA45" i="9"/>
  <c r="AA44" i="9"/>
  <c r="AA43" i="9"/>
  <c r="AA41" i="9"/>
  <c r="CC41" i="9" s="1"/>
  <c r="CD41" i="9" s="1"/>
  <c r="AA39" i="9"/>
  <c r="AA38" i="9"/>
  <c r="AA37" i="9"/>
  <c r="AA36" i="9"/>
  <c r="AA35" i="9"/>
  <c r="AA34" i="9"/>
  <c r="AA33" i="9"/>
  <c r="AA32" i="9"/>
  <c r="AA31" i="9"/>
  <c r="AA30" i="9"/>
  <c r="AA29" i="9"/>
  <c r="AA22" i="9"/>
  <c r="AA23" i="9"/>
  <c r="AA8" i="9"/>
  <c r="AA10" i="9"/>
  <c r="AA11" i="9"/>
  <c r="AA12" i="9"/>
  <c r="AA13" i="9"/>
  <c r="AA14" i="9"/>
  <c r="AA15" i="9"/>
  <c r="AA16" i="9"/>
  <c r="AA17" i="9"/>
  <c r="AA18" i="9"/>
  <c r="AA19" i="9"/>
  <c r="AA20" i="9"/>
  <c r="AA21" i="9"/>
  <c r="T32" i="42"/>
  <c r="T42" i="42"/>
  <c r="AX12" i="42"/>
  <c r="AX21" i="42"/>
  <c r="AX22" i="42"/>
  <c r="AX33" i="42"/>
  <c r="AX40" i="42"/>
  <c r="AX41" i="42"/>
  <c r="AX42" i="42"/>
  <c r="AI40" i="42"/>
  <c r="AI41" i="42"/>
  <c r="AI42" i="42"/>
  <c r="AI12" i="42"/>
  <c r="E2042" i="6"/>
  <c r="C42" i="58" s="1"/>
  <c r="E1970" i="6"/>
  <c r="E455" i="5"/>
  <c r="E588" i="4"/>
  <c r="E147" i="4" s="1"/>
  <c r="AA93" i="9"/>
  <c r="D141" i="3"/>
  <c r="E201" i="4"/>
  <c r="E840" i="4"/>
  <c r="E58" i="4"/>
  <c r="E89" i="4"/>
  <c r="E417" i="4"/>
  <c r="E90" i="4" s="1"/>
  <c r="E308" i="4" l="1"/>
  <c r="D108" i="15"/>
  <c r="D117" i="15"/>
  <c r="D116" i="15"/>
  <c r="D75" i="15"/>
  <c r="D106" i="15"/>
  <c r="E65" i="4"/>
  <c r="E66" i="4"/>
  <c r="E70" i="4"/>
  <c r="E71" i="4"/>
  <c r="E72" i="4"/>
  <c r="E73" i="4"/>
  <c r="E75" i="4"/>
  <c r="E67" i="4"/>
  <c r="E77" i="4"/>
  <c r="E78" i="4"/>
  <c r="E55" i="4"/>
  <c r="E56" i="4"/>
  <c r="E57" i="4"/>
  <c r="F337" i="34" l="1"/>
  <c r="F323" i="34"/>
  <c r="E209" i="7"/>
  <c r="E301" i="7"/>
  <c r="E304" i="7"/>
  <c r="E245" i="7"/>
  <c r="E246" i="7"/>
  <c r="E247" i="7"/>
  <c r="E248" i="7"/>
  <c r="E206" i="7"/>
  <c r="E207" i="7"/>
  <c r="E208" i="7"/>
  <c r="E210" i="7"/>
  <c r="E159" i="7"/>
  <c r="E160" i="7"/>
  <c r="E161" i="7"/>
  <c r="E162" i="7"/>
  <c r="E163" i="7"/>
  <c r="E114" i="7"/>
  <c r="E115" i="7"/>
  <c r="E116" i="7"/>
  <c r="E117" i="7"/>
  <c r="E118" i="7"/>
  <c r="E774" i="4" l="1"/>
  <c r="E255" i="4" s="1"/>
  <c r="E589" i="4"/>
  <c r="E590" i="4"/>
  <c r="E149" i="4" s="1"/>
  <c r="E1971" i="6"/>
  <c r="E1581" i="6"/>
  <c r="E1380" i="6"/>
  <c r="E1151" i="6"/>
  <c r="E1080" i="6"/>
  <c r="E1014" i="6"/>
  <c r="E809" i="6"/>
  <c r="E1068" i="7"/>
  <c r="I1068" i="7" s="1"/>
  <c r="E950" i="7"/>
  <c r="E949" i="7"/>
  <c r="E716" i="7"/>
  <c r="E249" i="7" l="1"/>
  <c r="Z96" i="22"/>
  <c r="Z97" i="22"/>
  <c r="Z98" i="22"/>
  <c r="Z99" i="22"/>
  <c r="Z100" i="22"/>
  <c r="Z101" i="22"/>
  <c r="Z102" i="22"/>
  <c r="Z103" i="22"/>
  <c r="Z104" i="22"/>
  <c r="Z105" i="22"/>
  <c r="Z106" i="22"/>
  <c r="Z107" i="22"/>
  <c r="Z108" i="22"/>
  <c r="Z109" i="22"/>
  <c r="Z110" i="22"/>
  <c r="Z111" i="22"/>
  <c r="Z112" i="22"/>
  <c r="Z113" i="22"/>
  <c r="Z114" i="22"/>
  <c r="Z115" i="22"/>
  <c r="Z116" i="22"/>
  <c r="Z117" i="22"/>
  <c r="Z118" i="22"/>
  <c r="Z119" i="22"/>
  <c r="Z120" i="22"/>
  <c r="Z121" i="22"/>
  <c r="Z122" i="22"/>
  <c r="Z123" i="22"/>
  <c r="Z124" i="22"/>
  <c r="Z126" i="22"/>
  <c r="Z127" i="22"/>
  <c r="Z128" i="22"/>
  <c r="Z129" i="22"/>
  <c r="Z130" i="22"/>
  <c r="Z131" i="22"/>
  <c r="Z132" i="22"/>
  <c r="Z133" i="22"/>
  <c r="Z134" i="22"/>
  <c r="Z135" i="22"/>
  <c r="Z136" i="22"/>
  <c r="Z137" i="22"/>
  <c r="Z138" i="22"/>
  <c r="Z139" i="22"/>
  <c r="Z140" i="22"/>
  <c r="Z95" i="22"/>
  <c r="Z18" i="22"/>
  <c r="Z19" i="22"/>
  <c r="Z20" i="22"/>
  <c r="Z21" i="22"/>
  <c r="Z22" i="22"/>
  <c r="Z23" i="22"/>
  <c r="Z24" i="22"/>
  <c r="Z25" i="22"/>
  <c r="Z26" i="22"/>
  <c r="Z27" i="22"/>
  <c r="Z28" i="22"/>
  <c r="Z29" i="22"/>
  <c r="Z30" i="22"/>
  <c r="Z31" i="22"/>
  <c r="Z32" i="22"/>
  <c r="Z33" i="22"/>
  <c r="Z34" i="22"/>
  <c r="Z35" i="22"/>
  <c r="Z36" i="22"/>
  <c r="Z37" i="22"/>
  <c r="Z38" i="22"/>
  <c r="Z39" i="22"/>
  <c r="Z40" i="22"/>
  <c r="Z41" i="22"/>
  <c r="Z42" i="22"/>
  <c r="Z43" i="22"/>
  <c r="Z44" i="22"/>
  <c r="Z45" i="22"/>
  <c r="Z46" i="22"/>
  <c r="Z47" i="22"/>
  <c r="Z48" i="22"/>
  <c r="Z49" i="22"/>
  <c r="Z50" i="22"/>
  <c r="Z51" i="22"/>
  <c r="Z52" i="22"/>
  <c r="Z53" i="22"/>
  <c r="Z54" i="22"/>
  <c r="Z55" i="22"/>
  <c r="Z56" i="22"/>
  <c r="Z57" i="22"/>
  <c r="Z58" i="22"/>
  <c r="Z59" i="22"/>
  <c r="Z60" i="22"/>
  <c r="Z61" i="22"/>
  <c r="Z62" i="22"/>
  <c r="Z63" i="22"/>
  <c r="Z64" i="22"/>
  <c r="Z65" i="22"/>
  <c r="Z66" i="22"/>
  <c r="Z67" i="22"/>
  <c r="Z68" i="22"/>
  <c r="Z69" i="22"/>
  <c r="Z70" i="22"/>
  <c r="Z71" i="22"/>
  <c r="Z72" i="22"/>
  <c r="Z73" i="22"/>
  <c r="Z74" i="22"/>
  <c r="Z75" i="22"/>
  <c r="Z76" i="22"/>
  <c r="Z77" i="22"/>
  <c r="Z78" i="22"/>
  <c r="Z79" i="22"/>
  <c r="Z80" i="22"/>
  <c r="Z81" i="22"/>
  <c r="Z82" i="22"/>
  <c r="Z83" i="22"/>
  <c r="Z84" i="22"/>
  <c r="Z85" i="22"/>
  <c r="Z86" i="22"/>
  <c r="Z87" i="22"/>
  <c r="Z7" i="22"/>
  <c r="Z8" i="22"/>
  <c r="Z9" i="22"/>
  <c r="Z10" i="22"/>
  <c r="Z11" i="22"/>
  <c r="Z12" i="22"/>
  <c r="Z13" i="22"/>
  <c r="Z14" i="22"/>
  <c r="Z15" i="22"/>
  <c r="Z16" i="22"/>
  <c r="Z17" i="22"/>
  <c r="AD6" i="22"/>
  <c r="Y10" i="21"/>
  <c r="Y11" i="21"/>
  <c r="Y12" i="21"/>
  <c r="Y13" i="21"/>
  <c r="Y15" i="21"/>
  <c r="Y16" i="21"/>
  <c r="Y17" i="21"/>
  <c r="Y18" i="21"/>
  <c r="Y19" i="21"/>
  <c r="Y20" i="21"/>
  <c r="Y21" i="21"/>
  <c r="Y22" i="21"/>
  <c r="Y23" i="21"/>
  <c r="Y24" i="21"/>
  <c r="Y25" i="21"/>
  <c r="Y26" i="21"/>
  <c r="Y27" i="21"/>
  <c r="Y31" i="21"/>
  <c r="Y32" i="21"/>
  <c r="Y34" i="21"/>
  <c r="Y35" i="21"/>
  <c r="Y38" i="21"/>
  <c r="Y39" i="21"/>
  <c r="Y40" i="21"/>
  <c r="Y52" i="21"/>
  <c r="Y53" i="21"/>
  <c r="Y54" i="21"/>
  <c r="Y55" i="21"/>
  <c r="Y56" i="21"/>
  <c r="Y57" i="21"/>
  <c r="Y58" i="21"/>
  <c r="Y59" i="21"/>
  <c r="Y60" i="21"/>
  <c r="Y61" i="21"/>
  <c r="Y62" i="21"/>
  <c r="Y63" i="21"/>
  <c r="Y64" i="21"/>
  <c r="Y65" i="21"/>
  <c r="Y66" i="21"/>
  <c r="Y67" i="21"/>
  <c r="Y68" i="21"/>
  <c r="Y69" i="21"/>
  <c r="Y70" i="21"/>
  <c r="Y71" i="21"/>
  <c r="Y9" i="21"/>
  <c r="E141" i="7" l="1"/>
  <c r="E584" i="6"/>
  <c r="E585" i="6"/>
  <c r="E136" i="4"/>
  <c r="E135" i="4"/>
  <c r="E126" i="4"/>
  <c r="E125" i="4"/>
  <c r="E124" i="4"/>
  <c r="E123" i="4"/>
  <c r="E120" i="4"/>
  <c r="E119" i="4"/>
  <c r="E118" i="4" l="1"/>
  <c r="D226" i="3"/>
  <c r="D142" i="3"/>
  <c r="D132" i="3"/>
  <c r="D134" i="3"/>
  <c r="D136" i="3"/>
  <c r="D137" i="3"/>
  <c r="D111" i="3"/>
  <c r="D113" i="3"/>
  <c r="D114" i="3"/>
  <c r="D115" i="3"/>
  <c r="D116" i="3"/>
  <c r="E53" i="10"/>
  <c r="F150" i="10" l="1"/>
  <c r="G150" i="10"/>
  <c r="F116" i="10"/>
  <c r="F94" i="10"/>
  <c r="J176" i="11"/>
  <c r="E253" i="10" l="1"/>
  <c r="F246" i="10"/>
  <c r="G239" i="10"/>
  <c r="F234" i="10" l="1"/>
  <c r="F219" i="10"/>
  <c r="E219" i="10"/>
  <c r="F193" i="10"/>
  <c r="F192" i="10" s="1"/>
  <c r="G226" i="10"/>
  <c r="F179" i="10"/>
  <c r="E179" i="10"/>
  <c r="E174" i="10"/>
  <c r="F188" i="10"/>
  <c r="G156" i="10"/>
  <c r="F75" i="11"/>
  <c r="G148" i="10"/>
  <c r="G141" i="10"/>
  <c r="G106" i="10"/>
  <c r="F105" i="10"/>
  <c r="G105" i="10" s="1"/>
  <c r="F99" i="10"/>
  <c r="F100" i="10"/>
  <c r="G100" i="10" s="1"/>
  <c r="G102" i="10"/>
  <c r="G103" i="10"/>
  <c r="G104" i="10"/>
  <c r="G107" i="10"/>
  <c r="G108" i="10"/>
  <c r="G109" i="10"/>
  <c r="G110" i="10"/>
  <c r="G111" i="10"/>
  <c r="G112" i="10"/>
  <c r="G113" i="10"/>
  <c r="G114" i="10"/>
  <c r="G98" i="10"/>
  <c r="G99" i="10"/>
  <c r="G101" i="10"/>
  <c r="G92" i="10"/>
  <c r="G87" i="10" l="1"/>
  <c r="J57" i="10"/>
  <c r="E60" i="10"/>
  <c r="G46" i="10"/>
  <c r="F31" i="11" s="1"/>
  <c r="G31" i="11" s="1"/>
  <c r="H31" i="11" s="1"/>
  <c r="J31" i="11" s="1"/>
  <c r="K31" i="11" s="1"/>
  <c r="M31" i="11" s="1"/>
  <c r="N31" i="11" s="1"/>
  <c r="P31" i="11" s="1"/>
  <c r="Q31" i="11" s="1"/>
  <c r="S31" i="11" s="1"/>
  <c r="T31" i="11" s="1"/>
  <c r="V31" i="11" s="1"/>
  <c r="W31" i="11" s="1"/>
  <c r="Y31" i="11" s="1"/>
  <c r="Z31" i="11" s="1"/>
  <c r="AB31" i="11" s="1"/>
  <c r="AC31" i="11" s="1"/>
  <c r="AE31" i="11" s="1"/>
  <c r="AF31" i="11" s="1"/>
  <c r="AH31" i="11" s="1"/>
  <c r="AI31" i="11" s="1"/>
  <c r="AK31" i="11" s="1"/>
  <c r="AL31" i="11" s="1"/>
  <c r="AN31" i="11" s="1"/>
  <c r="E27" i="11" l="1"/>
  <c r="G45" i="10"/>
  <c r="F27" i="11" s="1"/>
  <c r="G16" i="10"/>
  <c r="G27" i="11" l="1"/>
  <c r="H27" i="11" s="1"/>
  <c r="C165" i="40"/>
  <c r="C143" i="40"/>
  <c r="C131" i="40"/>
  <c r="C126" i="40"/>
  <c r="C120" i="40"/>
  <c r="C121" i="40"/>
  <c r="C150" i="40" s="1"/>
  <c r="D53" i="40"/>
  <c r="D121" i="40"/>
  <c r="D150" i="40" s="1"/>
  <c r="K74" i="14" l="1"/>
  <c r="D206" i="3"/>
  <c r="D205" i="3"/>
  <c r="C145" i="40"/>
  <c r="D77" i="13" s="1"/>
  <c r="T43" i="42" s="1"/>
  <c r="C53" i="40"/>
  <c r="C116" i="40" s="1"/>
  <c r="D123" i="13"/>
  <c r="D125" i="13"/>
  <c r="D119" i="13" l="1"/>
  <c r="D56" i="13"/>
  <c r="T40" i="42"/>
  <c r="G104" i="22"/>
  <c r="F203" i="9"/>
  <c r="F195" i="9"/>
  <c r="F503" i="9"/>
  <c r="F196" i="9" s="1"/>
  <c r="F185" i="9"/>
  <c r="F188" i="9"/>
  <c r="F426" i="9"/>
  <c r="D132" i="13" l="1"/>
  <c r="F120" i="9"/>
  <c r="F119" i="9"/>
  <c r="AA119" i="9" s="1"/>
  <c r="F139" i="9"/>
  <c r="F133" i="9"/>
  <c r="X133" i="9" s="1"/>
  <c r="AA120" i="9" l="1"/>
  <c r="F131" i="9"/>
  <c r="F128" i="9"/>
  <c r="F126" i="9"/>
  <c r="AA126" i="9" s="1"/>
  <c r="F125" i="9"/>
  <c r="AA125" i="9" s="1"/>
  <c r="F124" i="9"/>
  <c r="AA124" i="9" s="1"/>
  <c r="AA123" i="9"/>
  <c r="F94" i="9"/>
  <c r="F83" i="9"/>
  <c r="F82" i="9"/>
  <c r="AA82" i="9" s="1"/>
  <c r="F20" i="12"/>
  <c r="F28" i="12" s="1"/>
  <c r="D57" i="13" s="1"/>
  <c r="F82" i="12"/>
  <c r="F21" i="12"/>
  <c r="Z94" i="9" l="1"/>
  <c r="AA94" i="9" s="1"/>
  <c r="E949" i="6"/>
  <c r="Z131" i="9"/>
  <c r="AA131" i="9" s="1"/>
  <c r="E1020" i="7"/>
  <c r="E870" i="7"/>
  <c r="I870" i="7" s="1"/>
  <c r="E885" i="7"/>
  <c r="I885" i="7" s="1"/>
  <c r="E868" i="7"/>
  <c r="I868" i="7" s="1"/>
  <c r="E923" i="7"/>
  <c r="I923" i="7" s="1"/>
  <c r="E801" i="7"/>
  <c r="E805" i="7"/>
  <c r="I805" i="7" s="1"/>
  <c r="E792" i="7"/>
  <c r="D776" i="7"/>
  <c r="E776" i="7"/>
  <c r="E689" i="7"/>
  <c r="I689" i="7" s="1"/>
  <c r="I792" i="7" l="1"/>
  <c r="M92" i="26"/>
  <c r="I776" i="7"/>
  <c r="M85" i="26"/>
  <c r="I801" i="7"/>
  <c r="M102" i="26"/>
  <c r="I1020" i="7"/>
  <c r="E673" i="7"/>
  <c r="I673" i="7" s="1"/>
  <c r="E622" i="7"/>
  <c r="I622" i="7" s="1"/>
  <c r="E558" i="7"/>
  <c r="I558" i="7" s="1"/>
  <c r="E552" i="7"/>
  <c r="E502" i="7"/>
  <c r="I502" i="7" s="1"/>
  <c r="E474" i="7"/>
  <c r="I474" i="7" s="1"/>
  <c r="E472" i="7"/>
  <c r="I472" i="7" s="1"/>
  <c r="E465" i="7"/>
  <c r="I465" i="7" s="1"/>
  <c r="E27" i="27"/>
  <c r="I27" i="27" s="1"/>
  <c r="E38" i="27"/>
  <c r="I38" i="27" s="1"/>
  <c r="E25" i="27"/>
  <c r="I25" i="27" s="1"/>
  <c r="T7" i="42" l="1"/>
  <c r="D39" i="15" s="1"/>
  <c r="E512" i="8"/>
  <c r="E509" i="8"/>
  <c r="I509" i="8" s="1"/>
  <c r="I512" i="8" l="1"/>
  <c r="F746" i="34"/>
  <c r="T69" i="42"/>
  <c r="E434" i="8"/>
  <c r="I434" i="8" s="1"/>
  <c r="E404" i="8"/>
  <c r="I404" i="8" s="1"/>
  <c r="E362" i="8"/>
  <c r="I362" i="8" s="1"/>
  <c r="E327" i="8"/>
  <c r="I327" i="8" s="1"/>
  <c r="E311" i="8"/>
  <c r="E303" i="8"/>
  <c r="I303" i="8" s="1"/>
  <c r="E208" i="8"/>
  <c r="I208" i="8" s="1"/>
  <c r="E249" i="8"/>
  <c r="I249" i="8" s="1"/>
  <c r="E216" i="8"/>
  <c r="I216" i="8" s="1"/>
  <c r="F742" i="34" l="1"/>
  <c r="F744" i="34" s="1"/>
  <c r="I311" i="8"/>
  <c r="H742" i="34" s="1"/>
  <c r="D233" i="3"/>
  <c r="AI21" i="42"/>
  <c r="E2046" i="6"/>
  <c r="C46" i="58" s="1"/>
  <c r="E713" i="6"/>
  <c r="E665" i="6"/>
  <c r="E2030" i="6"/>
  <c r="C22" i="58" s="1"/>
  <c r="E2034" i="6" l="1"/>
  <c r="I2030" i="6"/>
  <c r="D85" i="15"/>
  <c r="E1885" i="6"/>
  <c r="E1860" i="6"/>
  <c r="I1860" i="6" s="1"/>
  <c r="E1625" i="6" l="1"/>
  <c r="I1625" i="6" s="1"/>
  <c r="E1618" i="6"/>
  <c r="I1618" i="6" s="1"/>
  <c r="E1617" i="6"/>
  <c r="I1617" i="6" s="1"/>
  <c r="E1544" i="6"/>
  <c r="I1544" i="6" s="1"/>
  <c r="E1545" i="6"/>
  <c r="I1545" i="6" s="1"/>
  <c r="E1339" i="6"/>
  <c r="I1339" i="6" s="1"/>
  <c r="E1334" i="6"/>
  <c r="I1334" i="6" s="1"/>
  <c r="E1188" i="6"/>
  <c r="I1188" i="6" s="1"/>
  <c r="E1180" i="6"/>
  <c r="I1180" i="6" l="1"/>
  <c r="H32" i="45"/>
  <c r="E1114" i="6"/>
  <c r="H34" i="45" s="1"/>
  <c r="E1104" i="6"/>
  <c r="E1057" i="6"/>
  <c r="E1042" i="6"/>
  <c r="E1040" i="6"/>
  <c r="E155" i="6"/>
  <c r="E916" i="6"/>
  <c r="E922" i="6"/>
  <c r="I922" i="6" s="1"/>
  <c r="E137" i="6"/>
  <c r="E785" i="6"/>
  <c r="E792" i="6"/>
  <c r="I792" i="6" s="1"/>
  <c r="F724" i="34" l="1"/>
  <c r="F726" i="34"/>
  <c r="H29" i="45"/>
  <c r="I1057" i="6"/>
  <c r="H31" i="45"/>
  <c r="I1104" i="6"/>
  <c r="F764" i="34"/>
  <c r="I1114" i="6"/>
  <c r="F727" i="34"/>
  <c r="E435" i="5"/>
  <c r="I435" i="5" s="1"/>
  <c r="E423" i="5"/>
  <c r="I423" i="5" s="1"/>
  <c r="E833" i="4"/>
  <c r="L101" i="42" s="1"/>
  <c r="E753" i="4"/>
  <c r="I753" i="4" s="1"/>
  <c r="E738" i="4"/>
  <c r="E341" i="4"/>
  <c r="I738" i="4" l="1"/>
  <c r="F717" i="34"/>
  <c r="E59" i="4"/>
  <c r="D210" i="15"/>
  <c r="G210" i="15" s="1"/>
  <c r="D252" i="15"/>
  <c r="D255" i="15"/>
  <c r="D264" i="15"/>
  <c r="D122" i="16"/>
  <c r="D87" i="16"/>
  <c r="D88" i="16"/>
  <c r="D27" i="16"/>
  <c r="D12" i="16" s="1"/>
  <c r="D247" i="15" s="1"/>
  <c r="D31" i="16"/>
  <c r="D41" i="16"/>
  <c r="D45" i="16"/>
  <c r="D11" i="16"/>
  <c r="D246" i="15" s="1"/>
  <c r="D64" i="16"/>
  <c r="D17" i="16" s="1"/>
  <c r="D268" i="15" l="1"/>
  <c r="D269" i="15"/>
  <c r="D121" i="16"/>
  <c r="D251" i="15"/>
  <c r="D261" i="15"/>
  <c r="AI50" i="42"/>
  <c r="D29" i="3"/>
  <c r="D165" i="3"/>
  <c r="D166" i="3" s="1"/>
  <c r="T9" i="42"/>
  <c r="D41" i="15" s="1"/>
  <c r="D90" i="16"/>
  <c r="D34" i="16" s="1"/>
  <c r="AI45" i="42" s="1"/>
  <c r="AI47" i="42" s="1"/>
  <c r="D114" i="16"/>
  <c r="E62" i="27"/>
  <c r="E61" i="27" s="1"/>
  <c r="E54" i="27"/>
  <c r="E51" i="27"/>
  <c r="E20" i="27"/>
  <c r="E3" i="27"/>
  <c r="D294" i="3"/>
  <c r="D289" i="3"/>
  <c r="D288" i="3"/>
  <c r="D287" i="3"/>
  <c r="D286" i="3"/>
  <c r="D2" i="3"/>
  <c r="D277" i="3" l="1"/>
  <c r="F4" i="48"/>
  <c r="L4" i="48" s="1"/>
  <c r="E53" i="27"/>
  <c r="E55" i="27" s="1"/>
  <c r="E60" i="27" s="1"/>
  <c r="E68" i="27" s="1"/>
  <c r="D256" i="15"/>
  <c r="D283" i="3"/>
  <c r="D117" i="3"/>
  <c r="D290" i="3"/>
  <c r="D86" i="17"/>
  <c r="D87" i="17"/>
  <c r="D60" i="17"/>
  <c r="D17" i="17" s="1"/>
  <c r="D300" i="15" s="1"/>
  <c r="D26" i="17"/>
  <c r="D11" i="17" s="1"/>
  <c r="D295" i="15" s="1"/>
  <c r="D27" i="17"/>
  <c r="D12" i="17" s="1"/>
  <c r="D296" i="15" s="1"/>
  <c r="D31" i="17"/>
  <c r="D45" i="17"/>
  <c r="D155" i="15"/>
  <c r="D97" i="13"/>
  <c r="E566" i="8"/>
  <c r="E565" i="8"/>
  <c r="E531" i="8"/>
  <c r="E530" i="8"/>
  <c r="E529" i="8"/>
  <c r="E138" i="8"/>
  <c r="E131" i="8"/>
  <c r="E130" i="8"/>
  <c r="E122" i="8"/>
  <c r="E109" i="8"/>
  <c r="E392" i="8"/>
  <c r="E337" i="8"/>
  <c r="E336" i="8"/>
  <c r="E69" i="8"/>
  <c r="E65" i="8"/>
  <c r="E62" i="8"/>
  <c r="E61" i="8"/>
  <c r="E45" i="8"/>
  <c r="E44" i="8"/>
  <c r="E143" i="8"/>
  <c r="E142" i="8"/>
  <c r="E141" i="8"/>
  <c r="E135" i="8"/>
  <c r="E132" i="8"/>
  <c r="E129" i="8"/>
  <c r="E128" i="8"/>
  <c r="E126" i="8"/>
  <c r="E125" i="8"/>
  <c r="E124" i="8"/>
  <c r="E123" i="8"/>
  <c r="E121" i="8"/>
  <c r="E120" i="8"/>
  <c r="E119" i="8"/>
  <c r="E118" i="8"/>
  <c r="E111" i="8"/>
  <c r="E110" i="8"/>
  <c r="E108" i="8"/>
  <c r="E107" i="8"/>
  <c r="E91" i="8"/>
  <c r="E79" i="8"/>
  <c r="E78" i="8"/>
  <c r="E75" i="8"/>
  <c r="E72" i="8"/>
  <c r="E68" i="8"/>
  <c r="E67" i="8"/>
  <c r="E66" i="8"/>
  <c r="E64" i="8"/>
  <c r="E63" i="8"/>
  <c r="E60" i="8"/>
  <c r="E59" i="8"/>
  <c r="E58" i="8"/>
  <c r="E57" i="8"/>
  <c r="E56" i="8"/>
  <c r="E55" i="8"/>
  <c r="E48" i="8"/>
  <c r="E47" i="8"/>
  <c r="E46" i="8"/>
  <c r="E43" i="8"/>
  <c r="E1009" i="7"/>
  <c r="E1008" i="7"/>
  <c r="E952" i="7"/>
  <c r="E819" i="7"/>
  <c r="E817" i="7"/>
  <c r="E816" i="7"/>
  <c r="F217" i="7"/>
  <c r="E1111" i="7"/>
  <c r="E1110" i="7"/>
  <c r="E405" i="7"/>
  <c r="E393" i="7"/>
  <c r="E407" i="7"/>
  <c r="E1044" i="7"/>
  <c r="E1000" i="7"/>
  <c r="E997" i="7"/>
  <c r="E965" i="7"/>
  <c r="Q89" i="48" s="1"/>
  <c r="E944" i="7"/>
  <c r="E943" i="7"/>
  <c r="E942" i="7"/>
  <c r="E737" i="7"/>
  <c r="E703" i="7"/>
  <c r="E27" i="48" s="1"/>
  <c r="E676" i="7"/>
  <c r="E195" i="7"/>
  <c r="E648" i="7"/>
  <c r="E177" i="7"/>
  <c r="E584" i="7"/>
  <c r="E583" i="7"/>
  <c r="E88" i="7"/>
  <c r="E456" i="7"/>
  <c r="E418" i="7"/>
  <c r="E417" i="7"/>
  <c r="E414" i="7"/>
  <c r="E411" i="7"/>
  <c r="E406" i="7"/>
  <c r="E397" i="7"/>
  <c r="E394" i="7"/>
  <c r="E392" i="7"/>
  <c r="E389" i="7"/>
  <c r="E388" i="7"/>
  <c r="E387" i="7"/>
  <c r="E386" i="7"/>
  <c r="E385" i="7"/>
  <c r="E384" i="7"/>
  <c r="E367" i="7"/>
  <c r="E355" i="7"/>
  <c r="E354" i="7"/>
  <c r="E352" i="7"/>
  <c r="E350" i="7"/>
  <c r="E349" i="7"/>
  <c r="E347" i="7"/>
  <c r="E346" i="7"/>
  <c r="E345" i="7"/>
  <c r="E344" i="7"/>
  <c r="E342" i="7"/>
  <c r="E341" i="7"/>
  <c r="E340" i="7"/>
  <c r="E339" i="7"/>
  <c r="E337" i="7"/>
  <c r="E336" i="7"/>
  <c r="E335" i="7"/>
  <c r="E329" i="7"/>
  <c r="E327" i="7"/>
  <c r="E326" i="7"/>
  <c r="E325" i="7"/>
  <c r="E323" i="7"/>
  <c r="E321" i="7"/>
  <c r="E319" i="7"/>
  <c r="E317" i="7"/>
  <c r="E290" i="7"/>
  <c r="E289" i="7"/>
  <c r="E286" i="7"/>
  <c r="E285" i="7"/>
  <c r="E284" i="7"/>
  <c r="E281" i="7"/>
  <c r="E280" i="7"/>
  <c r="E279" i="7"/>
  <c r="E278" i="7"/>
  <c r="E277" i="7"/>
  <c r="E274" i="7"/>
  <c r="E273" i="7"/>
  <c r="E272" i="7"/>
  <c r="E265" i="7"/>
  <c r="E264" i="7"/>
  <c r="E263" i="7"/>
  <c r="E262" i="7"/>
  <c r="E261" i="7"/>
  <c r="E234" i="7"/>
  <c r="E232" i="7"/>
  <c r="E231" i="7"/>
  <c r="E230" i="7"/>
  <c r="E229" i="7"/>
  <c r="E222" i="7"/>
  <c r="E192" i="7"/>
  <c r="E191" i="7"/>
  <c r="E190" i="7"/>
  <c r="E189" i="7"/>
  <c r="E188" i="7"/>
  <c r="E187" i="7"/>
  <c r="E181" i="7"/>
  <c r="E178" i="7"/>
  <c r="E176" i="7"/>
  <c r="E150" i="7"/>
  <c r="E149" i="7"/>
  <c r="E146" i="7"/>
  <c r="E145" i="7"/>
  <c r="E144" i="7"/>
  <c r="E138" i="7"/>
  <c r="E135" i="7"/>
  <c r="E132" i="7"/>
  <c r="E131" i="7"/>
  <c r="E130" i="7"/>
  <c r="E104" i="7"/>
  <c r="E103" i="7"/>
  <c r="E102" i="7"/>
  <c r="E99" i="7"/>
  <c r="E98" i="7"/>
  <c r="E96" i="7"/>
  <c r="E95" i="7"/>
  <c r="E94" i="7"/>
  <c r="E93" i="7"/>
  <c r="E90" i="7"/>
  <c r="E89" i="7"/>
  <c r="E87" i="7"/>
  <c r="E86" i="7"/>
  <c r="E85" i="7"/>
  <c r="E82" i="7"/>
  <c r="E81" i="7"/>
  <c r="E80" i="7"/>
  <c r="E77" i="7"/>
  <c r="E76" i="7"/>
  <c r="E75" i="7"/>
  <c r="E74" i="7"/>
  <c r="E67" i="7"/>
  <c r="E64" i="7"/>
  <c r="E3" i="7"/>
  <c r="E1779" i="6"/>
  <c r="I1779" i="6" s="1"/>
  <c r="E1653" i="6"/>
  <c r="E1652" i="6"/>
  <c r="I1652" i="6" s="1"/>
  <c r="E1583" i="6"/>
  <c r="AI11" i="42" l="1"/>
  <c r="D74" i="15" s="1"/>
  <c r="F381" i="34"/>
  <c r="D25" i="16"/>
  <c r="D10" i="16" s="1"/>
  <c r="AI20" i="42" s="1"/>
  <c r="D84" i="15" s="1"/>
  <c r="AX11" i="42"/>
  <c r="D105" i="15" s="1"/>
  <c r="F394" i="34"/>
  <c r="E149" i="8"/>
  <c r="AI9" i="42"/>
  <c r="D72" i="15" s="1"/>
  <c r="AX9" i="42"/>
  <c r="D103" i="15" s="1"/>
  <c r="E150" i="8"/>
  <c r="D135" i="3"/>
  <c r="F7" i="48"/>
  <c r="F8" i="48"/>
  <c r="AI8" i="42"/>
  <c r="AI7" i="42"/>
  <c r="D70" i="15" s="1"/>
  <c r="AX8" i="42"/>
  <c r="D102" i="15" s="1"/>
  <c r="D25" i="17"/>
  <c r="D10" i="17" s="1"/>
  <c r="AX20" i="42" s="1"/>
  <c r="P89" i="48"/>
  <c r="L14" i="48"/>
  <c r="E785" i="7"/>
  <c r="E807" i="7" s="1"/>
  <c r="E28" i="48" s="1"/>
  <c r="E153" i="7"/>
  <c r="E39" i="7" s="1"/>
  <c r="E362" i="7"/>
  <c r="E424" i="7"/>
  <c r="E1154" i="7"/>
  <c r="E361" i="7"/>
  <c r="E41" i="7" s="1"/>
  <c r="E1157" i="7"/>
  <c r="E302" i="7"/>
  <c r="E69" i="7"/>
  <c r="K127" i="42" s="1"/>
  <c r="E224" i="7"/>
  <c r="K130" i="42" s="1"/>
  <c r="E233" i="7"/>
  <c r="E236" i="7" s="1"/>
  <c r="L130" i="42" s="1"/>
  <c r="E408" i="7"/>
  <c r="E420" i="7" s="1"/>
  <c r="E1155" i="7"/>
  <c r="E303" i="7"/>
  <c r="E423" i="7"/>
  <c r="D138" i="3"/>
  <c r="E305" i="7"/>
  <c r="I819" i="7"/>
  <c r="D318" i="15"/>
  <c r="D317" i="15"/>
  <c r="E22" i="8"/>
  <c r="D71" i="15"/>
  <c r="D72" i="13"/>
  <c r="D55" i="13"/>
  <c r="T41" i="42" s="1"/>
  <c r="D44" i="15" s="1"/>
  <c r="E85" i="8"/>
  <c r="AI22" i="42"/>
  <c r="D28" i="3"/>
  <c r="D30" i="3" s="1"/>
  <c r="AI19" i="42"/>
  <c r="D169" i="3"/>
  <c r="D170" i="3" s="1"/>
  <c r="D294" i="15"/>
  <c r="D178" i="3"/>
  <c r="AX19" i="42"/>
  <c r="AI29" i="42"/>
  <c r="E371" i="7"/>
  <c r="D119" i="17"/>
  <c r="D203" i="15"/>
  <c r="E183" i="7"/>
  <c r="E360" i="7"/>
  <c r="E705" i="7"/>
  <c r="E148" i="8"/>
  <c r="D89" i="17"/>
  <c r="D34" i="17" s="1"/>
  <c r="E50" i="8"/>
  <c r="K139" i="42" s="1"/>
  <c r="D260" i="15"/>
  <c r="D103" i="17"/>
  <c r="D215" i="15"/>
  <c r="E267" i="7"/>
  <c r="K131" i="42" s="1"/>
  <c r="E1124" i="7"/>
  <c r="E598" i="4"/>
  <c r="E664" i="4"/>
  <c r="E781" i="4"/>
  <c r="D3" i="13"/>
  <c r="D182" i="15" s="1"/>
  <c r="E65" i="27"/>
  <c r="E20" i="8"/>
  <c r="E81" i="8"/>
  <c r="L139" i="42" s="1"/>
  <c r="E21" i="8"/>
  <c r="E106" i="8"/>
  <c r="E201" i="8"/>
  <c r="E84" i="8"/>
  <c r="E999" i="7"/>
  <c r="E1153" i="7"/>
  <c r="E357" i="7"/>
  <c r="L132" i="42" s="1"/>
  <c r="E1156" i="7"/>
  <c r="E292" i="7"/>
  <c r="L131" i="42" s="1"/>
  <c r="E197" i="7"/>
  <c r="L129" i="42" s="1"/>
  <c r="E152" i="7"/>
  <c r="K128" i="42" s="1"/>
  <c r="E585" i="7"/>
  <c r="E316" i="7"/>
  <c r="E864" i="7"/>
  <c r="Q88" i="48" s="1"/>
  <c r="E106" i="7"/>
  <c r="E400" i="7"/>
  <c r="E125" i="7"/>
  <c r="E171" i="7"/>
  <c r="E257" i="7"/>
  <c r="E443" i="7"/>
  <c r="E495" i="7" s="1"/>
  <c r="E529" i="7" s="1"/>
  <c r="E666" i="7"/>
  <c r="E1139" i="7"/>
  <c r="E312" i="7"/>
  <c r="E547" i="7"/>
  <c r="E618" i="7"/>
  <c r="E957" i="7"/>
  <c r="E59" i="7"/>
  <c r="E217" i="7"/>
  <c r="E601" i="7"/>
  <c r="E723" i="7"/>
  <c r="E825" i="7"/>
  <c r="E890" i="7" s="1"/>
  <c r="E939" i="7" s="1"/>
  <c r="E1062" i="7"/>
  <c r="E1107" i="7" s="1"/>
  <c r="L16" i="48" s="1"/>
  <c r="E1470" i="6"/>
  <c r="E464" i="6"/>
  <c r="E392" i="6"/>
  <c r="E390" i="6"/>
  <c r="E1017" i="6"/>
  <c r="E1016" i="6"/>
  <c r="E878" i="6"/>
  <c r="E812" i="6"/>
  <c r="E810" i="6"/>
  <c r="E115" i="6"/>
  <c r="E744" i="6"/>
  <c r="E2037" i="6"/>
  <c r="E724" i="6"/>
  <c r="E1996" i="6"/>
  <c r="E684" i="6"/>
  <c r="E1965" i="6"/>
  <c r="E1813" i="6"/>
  <c r="E1770" i="6"/>
  <c r="E1769" i="6"/>
  <c r="E1768" i="6"/>
  <c r="E1765" i="6"/>
  <c r="E1734" i="6"/>
  <c r="E1701" i="6"/>
  <c r="E1698" i="6"/>
  <c r="E1670" i="6"/>
  <c r="E1643" i="6"/>
  <c r="E1606" i="6"/>
  <c r="E1570" i="6"/>
  <c r="E1539" i="6"/>
  <c r="E1509" i="6"/>
  <c r="E1486" i="6"/>
  <c r="E1403" i="6"/>
  <c r="F771" i="34" s="1"/>
  <c r="E1374" i="6"/>
  <c r="E1373" i="6"/>
  <c r="E1299" i="6"/>
  <c r="E1257" i="6"/>
  <c r="E1205" i="6"/>
  <c r="E1202" i="6"/>
  <c r="E1175" i="6"/>
  <c r="E1144" i="6"/>
  <c r="E1141" i="6"/>
  <c r="E1105" i="6"/>
  <c r="E289" i="6"/>
  <c r="E1074" i="6"/>
  <c r="E1073" i="6"/>
  <c r="E1072" i="6"/>
  <c r="E1035" i="6"/>
  <c r="E1008" i="6"/>
  <c r="E1007" i="6"/>
  <c r="E1004" i="6"/>
  <c r="E970" i="6"/>
  <c r="E941" i="6"/>
  <c r="E938" i="6"/>
  <c r="E870" i="6"/>
  <c r="E869" i="6"/>
  <c r="E866" i="6"/>
  <c r="E824" i="6"/>
  <c r="E803" i="6"/>
  <c r="E93" i="6"/>
  <c r="E767" i="6"/>
  <c r="E743" i="6"/>
  <c r="E740" i="6"/>
  <c r="E729" i="6"/>
  <c r="E726" i="6"/>
  <c r="E725" i="6"/>
  <c r="E723" i="6"/>
  <c r="E722" i="6"/>
  <c r="E721" i="6"/>
  <c r="E720" i="6"/>
  <c r="E719" i="6"/>
  <c r="E716" i="6"/>
  <c r="E712" i="6"/>
  <c r="E711" i="6"/>
  <c r="E710" i="6"/>
  <c r="E709" i="6"/>
  <c r="E702" i="6"/>
  <c r="E701" i="6"/>
  <c r="E700" i="6"/>
  <c r="E699" i="6"/>
  <c r="E698" i="6"/>
  <c r="E697" i="6"/>
  <c r="E688" i="6"/>
  <c r="E687" i="6"/>
  <c r="E675" i="6"/>
  <c r="E674" i="6"/>
  <c r="E673" i="6"/>
  <c r="E670" i="6"/>
  <c r="E669" i="6"/>
  <c r="E668" i="6"/>
  <c r="E667" i="6"/>
  <c r="E666" i="6"/>
  <c r="E664" i="6"/>
  <c r="E663" i="6"/>
  <c r="E662" i="6"/>
  <c r="E661" i="6"/>
  <c r="E660" i="6"/>
  <c r="E659" i="6"/>
  <c r="E658" i="6"/>
  <c r="E654" i="6"/>
  <c r="E653" i="6"/>
  <c r="E652" i="6"/>
  <c r="E649" i="6"/>
  <c r="E648" i="6"/>
  <c r="E645" i="6"/>
  <c r="E644" i="6"/>
  <c r="E643" i="6"/>
  <c r="E640" i="6"/>
  <c r="E639" i="6"/>
  <c r="E638" i="6"/>
  <c r="E633" i="6"/>
  <c r="E632" i="6"/>
  <c r="E631" i="6"/>
  <c r="E630" i="6"/>
  <c r="E629" i="6"/>
  <c r="E628" i="6"/>
  <c r="E627" i="6"/>
  <c r="E626" i="6"/>
  <c r="E615" i="6"/>
  <c r="E614" i="6"/>
  <c r="E611" i="6"/>
  <c r="E598" i="6"/>
  <c r="E597" i="6"/>
  <c r="E594" i="6"/>
  <c r="E593" i="6"/>
  <c r="E592" i="6"/>
  <c r="E589" i="6"/>
  <c r="E586" i="6"/>
  <c r="E583" i="6"/>
  <c r="E576" i="6"/>
  <c r="E573" i="6"/>
  <c r="E572" i="6"/>
  <c r="E560" i="6"/>
  <c r="E559" i="6"/>
  <c r="E558" i="6"/>
  <c r="E557" i="6"/>
  <c r="E556" i="6"/>
  <c r="E545" i="6"/>
  <c r="E542" i="6"/>
  <c r="E541" i="6"/>
  <c r="E540" i="6"/>
  <c r="E539" i="6"/>
  <c r="E533" i="6"/>
  <c r="E521" i="6"/>
  <c r="E520" i="6"/>
  <c r="E517" i="6"/>
  <c r="E506" i="6"/>
  <c r="E503" i="6"/>
  <c r="E500" i="6"/>
  <c r="E497" i="6"/>
  <c r="E496" i="6"/>
  <c r="E494" i="6"/>
  <c r="E487" i="6"/>
  <c r="E484" i="6"/>
  <c r="E481" i="6"/>
  <c r="E478" i="6"/>
  <c r="E475" i="6"/>
  <c r="E460" i="6"/>
  <c r="E455" i="6"/>
  <c r="E449" i="6"/>
  <c r="E448" i="6"/>
  <c r="E445" i="6"/>
  <c r="E444" i="6"/>
  <c r="E440" i="6"/>
  <c r="E439" i="6"/>
  <c r="E438" i="6"/>
  <c r="E434" i="6"/>
  <c r="E433" i="6"/>
  <c r="E432" i="6"/>
  <c r="E431" i="6"/>
  <c r="E430" i="6"/>
  <c r="E429" i="6"/>
  <c r="E428" i="6"/>
  <c r="E427" i="6"/>
  <c r="E426" i="6"/>
  <c r="E425" i="6"/>
  <c r="E422" i="6"/>
  <c r="E416" i="6"/>
  <c r="E414" i="6"/>
  <c r="E412" i="6"/>
  <c r="E410" i="6"/>
  <c r="E409" i="6"/>
  <c r="E408" i="6"/>
  <c r="E406" i="6"/>
  <c r="E405" i="6"/>
  <c r="E404" i="6"/>
  <c r="E403" i="6"/>
  <c r="E391" i="6"/>
  <c r="E389" i="6"/>
  <c r="E388" i="6"/>
  <c r="E377" i="6"/>
  <c r="E376" i="6"/>
  <c r="E375" i="6"/>
  <c r="E366" i="6"/>
  <c r="E365" i="6"/>
  <c r="E338" i="6"/>
  <c r="E337" i="6"/>
  <c r="E336" i="6"/>
  <c r="E333" i="6"/>
  <c r="E330" i="6"/>
  <c r="E326" i="6"/>
  <c r="E325" i="6"/>
  <c r="E324" i="6"/>
  <c r="E323" i="6"/>
  <c r="E322" i="6"/>
  <c r="E321" i="6"/>
  <c r="E320" i="6"/>
  <c r="E319" i="6"/>
  <c r="E312" i="6"/>
  <c r="E311" i="6"/>
  <c r="E310" i="6"/>
  <c r="E309" i="6"/>
  <c r="E308" i="6"/>
  <c r="E305" i="6"/>
  <c r="E304" i="6"/>
  <c r="E303" i="6"/>
  <c r="E302" i="6"/>
  <c r="E301" i="6"/>
  <c r="E279" i="6"/>
  <c r="E271" i="6"/>
  <c r="E270" i="6"/>
  <c r="E264" i="6"/>
  <c r="E263" i="6"/>
  <c r="E262" i="6"/>
  <c r="E261" i="6"/>
  <c r="E260" i="6"/>
  <c r="E259" i="6"/>
  <c r="E252" i="6"/>
  <c r="E249" i="6"/>
  <c r="E248" i="6"/>
  <c r="E247" i="6"/>
  <c r="E246" i="6"/>
  <c r="E228" i="6"/>
  <c r="E215" i="6"/>
  <c r="E214" i="6"/>
  <c r="E211" i="6"/>
  <c r="E210" i="6"/>
  <c r="E209" i="6"/>
  <c r="E208" i="6"/>
  <c r="E207" i="6"/>
  <c r="E206" i="6"/>
  <c r="E205" i="6"/>
  <c r="E204" i="6"/>
  <c r="E201" i="6"/>
  <c r="E194" i="6"/>
  <c r="E193" i="6"/>
  <c r="E190" i="6"/>
  <c r="E174" i="6"/>
  <c r="E168" i="6"/>
  <c r="E161" i="6"/>
  <c r="E160" i="6"/>
  <c r="E159" i="6"/>
  <c r="E158" i="6"/>
  <c r="E154" i="6"/>
  <c r="E153" i="6"/>
  <c r="E152" i="6"/>
  <c r="E149" i="6"/>
  <c r="E148" i="6"/>
  <c r="E147" i="6"/>
  <c r="E146" i="6"/>
  <c r="E145" i="6"/>
  <c r="E144" i="6"/>
  <c r="E143" i="6"/>
  <c r="E140" i="6"/>
  <c r="E139" i="6"/>
  <c r="E138" i="6"/>
  <c r="E132" i="6"/>
  <c r="K113" i="42" s="1"/>
  <c r="E130" i="6"/>
  <c r="E117" i="6"/>
  <c r="E114" i="6"/>
  <c r="E103" i="6"/>
  <c r="E102" i="6"/>
  <c r="E99" i="6"/>
  <c r="E98" i="6"/>
  <c r="E95" i="6"/>
  <c r="E94" i="6"/>
  <c r="E92" i="6"/>
  <c r="E91" i="6"/>
  <c r="E90" i="6"/>
  <c r="E89" i="6"/>
  <c r="E88" i="6"/>
  <c r="E87" i="6"/>
  <c r="E86" i="6"/>
  <c r="E79" i="6"/>
  <c r="E78" i="6"/>
  <c r="E77" i="6"/>
  <c r="E7" i="6"/>
  <c r="Q101" i="48" s="1"/>
  <c r="E3" i="6"/>
  <c r="E360" i="6" s="1"/>
  <c r="E203" i="5"/>
  <c r="E398" i="5"/>
  <c r="E486" i="5"/>
  <c r="E451" i="5"/>
  <c r="E189" i="5"/>
  <c r="E186" i="5"/>
  <c r="E448" i="5"/>
  <c r="E419" i="5"/>
  <c r="E141" i="5"/>
  <c r="E386" i="5"/>
  <c r="E128" i="5"/>
  <c r="E125" i="5"/>
  <c r="E361" i="5"/>
  <c r="E96" i="5"/>
  <c r="E319" i="5"/>
  <c r="E307" i="5"/>
  <c r="E61" i="5"/>
  <c r="E259" i="5"/>
  <c r="E240" i="5"/>
  <c r="E207" i="5"/>
  <c r="E206" i="5"/>
  <c r="E205" i="5"/>
  <c r="E204" i="5"/>
  <c r="E192" i="5"/>
  <c r="E185" i="5"/>
  <c r="E178" i="5"/>
  <c r="E177" i="5"/>
  <c r="E176" i="5"/>
  <c r="E160" i="5"/>
  <c r="E159" i="5"/>
  <c r="E148" i="5"/>
  <c r="E144" i="5"/>
  <c r="E143" i="5"/>
  <c r="E142" i="5"/>
  <c r="E138" i="5"/>
  <c r="E137" i="5"/>
  <c r="E136" i="5"/>
  <c r="E127" i="5"/>
  <c r="E126" i="5"/>
  <c r="E112" i="5"/>
  <c r="E111" i="5"/>
  <c r="E110" i="5"/>
  <c r="E109" i="5"/>
  <c r="E108" i="5"/>
  <c r="E97" i="5"/>
  <c r="E95" i="5"/>
  <c r="E77" i="5"/>
  <c r="E76" i="5"/>
  <c r="E75" i="5"/>
  <c r="E73" i="5"/>
  <c r="E62" i="5"/>
  <c r="E54" i="5"/>
  <c r="E53" i="5"/>
  <c r="E48" i="5"/>
  <c r="D100" i="13" s="1"/>
  <c r="D93" i="13" s="1"/>
  <c r="E3" i="5"/>
  <c r="E775" i="4"/>
  <c r="E256" i="4" s="1"/>
  <c r="E712" i="4"/>
  <c r="E205" i="4" s="1"/>
  <c r="E711" i="4"/>
  <c r="E204" i="4" s="1"/>
  <c r="E710" i="4"/>
  <c r="E203" i="4" s="1"/>
  <c r="E709" i="4"/>
  <c r="E202" i="4" s="1"/>
  <c r="E655" i="4"/>
  <c r="E148" i="4" s="1"/>
  <c r="E897" i="4"/>
  <c r="E877" i="4"/>
  <c r="E859" i="4"/>
  <c r="E847" i="4"/>
  <c r="E835" i="4"/>
  <c r="E766" i="4"/>
  <c r="E238" i="4"/>
  <c r="E231" i="4"/>
  <c r="E702" i="4"/>
  <c r="E184" i="4"/>
  <c r="E672" i="4"/>
  <c r="E651" i="4"/>
  <c r="E584" i="4"/>
  <c r="E133" i="4"/>
  <c r="E132" i="4"/>
  <c r="E105" i="4"/>
  <c r="E104" i="4"/>
  <c r="E427" i="4"/>
  <c r="E487" i="4" s="1"/>
  <c r="E581" i="4" s="1"/>
  <c r="E380" i="4"/>
  <c r="E76" i="4" s="1"/>
  <c r="E317" i="4"/>
  <c r="E295" i="4"/>
  <c r="E290" i="4"/>
  <c r="E289" i="4"/>
  <c r="E280" i="4"/>
  <c r="E279" i="4"/>
  <c r="E241" i="4"/>
  <c r="E235" i="4"/>
  <c r="E228" i="4"/>
  <c r="E190" i="4"/>
  <c r="E187" i="4"/>
  <c r="E183" i="4"/>
  <c r="E182" i="4"/>
  <c r="E181" i="4"/>
  <c r="E174" i="4"/>
  <c r="E138" i="4"/>
  <c r="E137" i="4"/>
  <c r="E129" i="4"/>
  <c r="E114" i="4"/>
  <c r="E108" i="4"/>
  <c r="E107" i="4"/>
  <c r="E51" i="4"/>
  <c r="D245" i="15" l="1"/>
  <c r="T11" i="42"/>
  <c r="D105" i="16"/>
  <c r="E576" i="8"/>
  <c r="D139" i="3"/>
  <c r="AX34" i="42"/>
  <c r="E529" i="6"/>
  <c r="F18" i="12"/>
  <c r="D148" i="15"/>
  <c r="T4" i="42"/>
  <c r="E100" i="4"/>
  <c r="F85" i="34"/>
  <c r="E719" i="4"/>
  <c r="E277" i="6"/>
  <c r="T12" i="42"/>
  <c r="E118" i="6"/>
  <c r="E2092" i="6"/>
  <c r="D31" i="13" s="1"/>
  <c r="D50" i="13" s="1"/>
  <c r="D68" i="13" s="1"/>
  <c r="D124" i="13" s="1"/>
  <c r="E329" i="6"/>
  <c r="E340" i="6" s="1"/>
  <c r="L116" i="42" s="1"/>
  <c r="E734" i="6"/>
  <c r="E511" i="6"/>
  <c r="E535" i="6"/>
  <c r="K120" i="42" s="1"/>
  <c r="E604" i="6"/>
  <c r="E231" i="6"/>
  <c r="I1016" i="6"/>
  <c r="E550" i="6"/>
  <c r="E603" i="6"/>
  <c r="E605" i="6"/>
  <c r="E116" i="6"/>
  <c r="E232" i="6"/>
  <c r="E10" i="7"/>
  <c r="Q86" i="48" s="1"/>
  <c r="P88" i="48"/>
  <c r="L15" i="48"/>
  <c r="D5" i="3"/>
  <c r="L127" i="42"/>
  <c r="E30" i="48"/>
  <c r="K133" i="42"/>
  <c r="L133" i="42"/>
  <c r="E7" i="7"/>
  <c r="Q83" i="48" s="1"/>
  <c r="E8" i="7"/>
  <c r="K129" i="42"/>
  <c r="E24" i="7"/>
  <c r="P90" i="48" s="1"/>
  <c r="E19" i="7"/>
  <c r="P83" i="48" s="1"/>
  <c r="E596" i="7"/>
  <c r="E1001" i="7"/>
  <c r="E42" i="7"/>
  <c r="E38" i="7"/>
  <c r="D12" i="13" s="1"/>
  <c r="E650" i="7"/>
  <c r="D66" i="13"/>
  <c r="T31" i="42" s="1"/>
  <c r="E331" i="7"/>
  <c r="E20" i="7"/>
  <c r="P85" i="48" s="1"/>
  <c r="E23" i="7"/>
  <c r="E11" i="7"/>
  <c r="Q87" i="48" s="1"/>
  <c r="E707" i="7"/>
  <c r="E22" i="7"/>
  <c r="D160" i="15"/>
  <c r="E21" i="7"/>
  <c r="P86" i="48" s="1"/>
  <c r="E40" i="7"/>
  <c r="D316" i="15"/>
  <c r="D267" i="15"/>
  <c r="D10" i="15"/>
  <c r="D13" i="15"/>
  <c r="F291" i="34" s="1"/>
  <c r="F307" i="34"/>
  <c r="D113" i="15"/>
  <c r="D82" i="15"/>
  <c r="E41" i="4"/>
  <c r="E113" i="8"/>
  <c r="K140" i="42" s="1"/>
  <c r="AX7" i="42"/>
  <c r="D86" i="15"/>
  <c r="D77" i="15"/>
  <c r="AX45" i="42"/>
  <c r="AX29" i="42"/>
  <c r="D115" i="15"/>
  <c r="E44" i="4"/>
  <c r="D70" i="3" s="1"/>
  <c r="E197" i="5"/>
  <c r="D6" i="3"/>
  <c r="E163" i="5"/>
  <c r="E41" i="5" s="1"/>
  <c r="E195" i="4"/>
  <c r="E246" i="4"/>
  <c r="E300" i="4"/>
  <c r="E454" i="6"/>
  <c r="T21" i="42"/>
  <c r="E1143" i="7"/>
  <c r="E7" i="10"/>
  <c r="T71" i="42"/>
  <c r="E1109" i="7"/>
  <c r="E809" i="7"/>
  <c r="E238" i="7"/>
  <c r="E199" i="7"/>
  <c r="E154" i="7"/>
  <c r="E9" i="7"/>
  <c r="E531" i="7"/>
  <c r="E83" i="8"/>
  <c r="E558" i="8" s="1"/>
  <c r="E578" i="6"/>
  <c r="K121" i="42" s="1"/>
  <c r="E178" i="6"/>
  <c r="E81" i="6"/>
  <c r="K112" i="42" s="1"/>
  <c r="E704" i="6"/>
  <c r="K123" i="42" s="1"/>
  <c r="E600" i="6"/>
  <c r="L121" i="42" s="1"/>
  <c r="E1572" i="6"/>
  <c r="E435" i="6"/>
  <c r="E418" i="6"/>
  <c r="K118" i="42" s="1"/>
  <c r="E379" i="6"/>
  <c r="L117" i="42" s="1"/>
  <c r="E1204" i="6"/>
  <c r="E1206" i="6" s="1"/>
  <c r="E343" i="6"/>
  <c r="E254" i="6"/>
  <c r="K115" i="42" s="1"/>
  <c r="E175" i="6"/>
  <c r="E278" i="6"/>
  <c r="E680" i="6"/>
  <c r="E267" i="6"/>
  <c r="D160" i="3" s="1"/>
  <c r="E940" i="6"/>
  <c r="E1070" i="6"/>
  <c r="E350" i="6"/>
  <c r="E31" i="5"/>
  <c r="E1718" i="6"/>
  <c r="E379" i="7"/>
  <c r="E1016" i="7"/>
  <c r="E1661" i="6"/>
  <c r="E72" i="6"/>
  <c r="E125" i="6" s="1"/>
  <c r="D237" i="15"/>
  <c r="D3" i="16"/>
  <c r="D3" i="17"/>
  <c r="H28" i="20" s="1"/>
  <c r="D127" i="15"/>
  <c r="D3" i="15"/>
  <c r="D34" i="15" s="1"/>
  <c r="E475" i="5"/>
  <c r="E3" i="8"/>
  <c r="D111" i="13"/>
  <c r="E7" i="8"/>
  <c r="E577" i="8"/>
  <c r="E583" i="8"/>
  <c r="E14" i="8"/>
  <c r="D7" i="16" s="1"/>
  <c r="E294" i="7"/>
  <c r="E108" i="7"/>
  <c r="E941" i="7"/>
  <c r="E438" i="7"/>
  <c r="E13" i="7"/>
  <c r="Q90" i="48" s="1"/>
  <c r="E422" i="7"/>
  <c r="E2036" i="6"/>
  <c r="E731" i="6"/>
  <c r="L123" i="42" s="1"/>
  <c r="E634" i="6"/>
  <c r="K122" i="42" s="1"/>
  <c r="E1767" i="6"/>
  <c r="E1700" i="6"/>
  <c r="E547" i="6"/>
  <c r="L120" i="42" s="1"/>
  <c r="E489" i="6"/>
  <c r="K119" i="42" s="1"/>
  <c r="E314" i="6"/>
  <c r="K116" i="42" s="1"/>
  <c r="E1143" i="6"/>
  <c r="E221" i="6"/>
  <c r="E218" i="6"/>
  <c r="L114" i="42" s="1"/>
  <c r="E196" i="6"/>
  <c r="K114" i="42" s="1"/>
  <c r="E167" i="6"/>
  <c r="E164" i="6"/>
  <c r="L113" i="42" s="1"/>
  <c r="E868" i="6"/>
  <c r="E2090" i="6"/>
  <c r="E105" i="6"/>
  <c r="L112" i="42" s="1"/>
  <c r="E17" i="6"/>
  <c r="Q111" i="48" s="1"/>
  <c r="E800" i="6"/>
  <c r="E1006" i="6"/>
  <c r="E399" i="6"/>
  <c r="E470" i="6"/>
  <c r="E818" i="6"/>
  <c r="E884" i="6" s="1"/>
  <c r="E1088" i="6"/>
  <c r="E1479" i="6"/>
  <c r="E1506" i="6"/>
  <c r="E1590" i="6"/>
  <c r="E1919" i="6"/>
  <c r="E657" i="6" s="1"/>
  <c r="E1981" i="6"/>
  <c r="C2" i="58" s="1"/>
  <c r="E185" i="6"/>
  <c r="E241" i="6"/>
  <c r="E622" i="6"/>
  <c r="E693" i="6"/>
  <c r="E1023" i="6"/>
  <c r="M1" i="37" s="1"/>
  <c r="E1278" i="6"/>
  <c r="E1347" i="6"/>
  <c r="E1370" i="6" s="1"/>
  <c r="E1388" i="6"/>
  <c r="E1442" i="6" s="1"/>
  <c r="E441" i="6" s="1"/>
  <c r="E567" i="6"/>
  <c r="E751" i="6"/>
  <c r="E955" i="6"/>
  <c r="E1222" i="6"/>
  <c r="E1786" i="6"/>
  <c r="E1855" i="6"/>
  <c r="E2051" i="6"/>
  <c r="E2071" i="6" s="1"/>
  <c r="E2093" i="6"/>
  <c r="D32" i="13" s="1"/>
  <c r="E108" i="6"/>
  <c r="E296" i="6"/>
  <c r="E1160" i="6"/>
  <c r="E1526" i="6"/>
  <c r="E450" i="5"/>
  <c r="E194" i="5"/>
  <c r="L108" i="42" s="1"/>
  <c r="E150" i="5"/>
  <c r="L107" i="42" s="1"/>
  <c r="E99" i="5"/>
  <c r="L106" i="42" s="1"/>
  <c r="E321" i="5"/>
  <c r="E261" i="5"/>
  <c r="E388" i="5"/>
  <c r="E520" i="5"/>
  <c r="E52" i="5"/>
  <c r="E60" i="5"/>
  <c r="E85" i="5"/>
  <c r="E124" i="5"/>
  <c r="E175" i="5"/>
  <c r="E214" i="5"/>
  <c r="E404" i="5"/>
  <c r="E492" i="5"/>
  <c r="E89" i="5"/>
  <c r="E279" i="5"/>
  <c r="E464" i="5"/>
  <c r="E518" i="5"/>
  <c r="E119" i="5"/>
  <c r="E170" i="5"/>
  <c r="E338" i="5"/>
  <c r="E130" i="4"/>
  <c r="E227" i="4"/>
  <c r="E173" i="4"/>
  <c r="E111" i="4"/>
  <c r="E217" i="4"/>
  <c r="E106" i="4"/>
  <c r="E699" i="4"/>
  <c r="E220" i="4"/>
  <c r="E798" i="4"/>
  <c r="K101" i="42" s="1"/>
  <c r="E234" i="4"/>
  <c r="E292" i="4"/>
  <c r="E61" i="4"/>
  <c r="K97" i="42" s="1"/>
  <c r="E180" i="4"/>
  <c r="E121" i="4"/>
  <c r="E615" i="4"/>
  <c r="E763" i="4"/>
  <c r="E291" i="4"/>
  <c r="E459" i="4"/>
  <c r="E871" i="4"/>
  <c r="E284" i="4"/>
  <c r="E142" i="4"/>
  <c r="E649" i="4"/>
  <c r="E728" i="4"/>
  <c r="E408" i="4"/>
  <c r="E346" i="4"/>
  <c r="D122" i="13" l="1"/>
  <c r="D214" i="15"/>
  <c r="E32" i="7"/>
  <c r="L7" i="48"/>
  <c r="E264" i="4"/>
  <c r="E265" i="4"/>
  <c r="D286" i="15"/>
  <c r="H20" i="19"/>
  <c r="A26" i="19" s="1"/>
  <c r="E8" i="8"/>
  <c r="D6" i="16"/>
  <c r="F3" i="12"/>
  <c r="F34" i="12"/>
  <c r="E524" i="5"/>
  <c r="E900" i="4"/>
  <c r="E903" i="4"/>
  <c r="E168" i="4"/>
  <c r="E212" i="4" s="1"/>
  <c r="F126" i="34"/>
  <c r="E508" i="5"/>
  <c r="E602" i="6"/>
  <c r="E2082" i="6" s="1"/>
  <c r="E54" i="6"/>
  <c r="T33" i="42"/>
  <c r="D30" i="13"/>
  <c r="E677" i="6"/>
  <c r="L122" i="42" s="1"/>
  <c r="E1009" i="6"/>
  <c r="E22" i="6"/>
  <c r="P100" i="48" s="1"/>
  <c r="E26" i="6"/>
  <c r="P104" i="48" s="1"/>
  <c r="E1771" i="6"/>
  <c r="E246" i="10" s="1"/>
  <c r="E9" i="6"/>
  <c r="Q103" i="48" s="1"/>
  <c r="E12" i="6"/>
  <c r="Q106" i="48" s="1"/>
  <c r="E2091" i="6"/>
  <c r="E53" i="6" s="1"/>
  <c r="E23" i="6"/>
  <c r="P101" i="48" s="1"/>
  <c r="E1145" i="6"/>
  <c r="E13" i="6"/>
  <c r="Q107" i="48" s="1"/>
  <c r="E16" i="6"/>
  <c r="Q110" i="48" s="1"/>
  <c r="E6" i="6"/>
  <c r="Q100" i="48" s="1"/>
  <c r="E1508" i="6"/>
  <c r="E871" i="6"/>
  <c r="E24" i="6"/>
  <c r="P102" i="48" s="1"/>
  <c r="E30" i="6"/>
  <c r="P108" i="48" s="1"/>
  <c r="E942" i="6"/>
  <c r="E1574" i="6"/>
  <c r="E10" i="6"/>
  <c r="Q104" i="48" s="1"/>
  <c r="E1702" i="6"/>
  <c r="E2038" i="6"/>
  <c r="T19" i="42"/>
  <c r="T79" i="42" s="1"/>
  <c r="E27" i="6"/>
  <c r="P105" i="48" s="1"/>
  <c r="E31" i="6"/>
  <c r="E15" i="6"/>
  <c r="Q109" i="48" s="1"/>
  <c r="E14" i="6"/>
  <c r="Q108" i="48" s="1"/>
  <c r="E26" i="7"/>
  <c r="Q85" i="48"/>
  <c r="E33" i="7"/>
  <c r="P87" i="48"/>
  <c r="E30" i="7"/>
  <c r="D102" i="13"/>
  <c r="E359" i="7"/>
  <c r="E1146" i="7" s="1"/>
  <c r="K132" i="42"/>
  <c r="E12" i="7"/>
  <c r="E34" i="7" s="1"/>
  <c r="E945" i="7"/>
  <c r="E533" i="7"/>
  <c r="E1141" i="7"/>
  <c r="D159" i="15"/>
  <c r="E1142" i="7"/>
  <c r="E1112" i="7"/>
  <c r="D13" i="13"/>
  <c r="D49" i="13" s="1"/>
  <c r="E718" i="7"/>
  <c r="E652" i="7"/>
  <c r="E296" i="7"/>
  <c r="E307" i="7" s="1"/>
  <c r="E201" i="7"/>
  <c r="E1129" i="7" s="1"/>
  <c r="E35" i="7"/>
  <c r="E31" i="7"/>
  <c r="E165" i="7"/>
  <c r="E811" i="7"/>
  <c r="D14" i="13"/>
  <c r="F321" i="34"/>
  <c r="F326" i="34"/>
  <c r="D65" i="15"/>
  <c r="D96" i="15" s="1"/>
  <c r="G3" i="54"/>
  <c r="D43" i="15"/>
  <c r="AX10" i="42"/>
  <c r="D101" i="15"/>
  <c r="E390" i="5"/>
  <c r="E17" i="5"/>
  <c r="E452" i="5"/>
  <c r="E91" i="5"/>
  <c r="E101" i="5" s="1"/>
  <c r="E64" i="5"/>
  <c r="L105" i="42" s="1"/>
  <c r="L109" i="42" s="1"/>
  <c r="E263" i="5"/>
  <c r="E507" i="5"/>
  <c r="D68" i="3"/>
  <c r="E180" i="5"/>
  <c r="E56" i="5"/>
  <c r="E323" i="5"/>
  <c r="D22" i="13"/>
  <c r="E131" i="5"/>
  <c r="D22" i="3"/>
  <c r="E19" i="5"/>
  <c r="E127" i="4"/>
  <c r="E7" i="4"/>
  <c r="T8" i="42"/>
  <c r="D40" i="15" s="1"/>
  <c r="D40" i="13"/>
  <c r="E110" i="4"/>
  <c r="E701" i="4"/>
  <c r="E176" i="4"/>
  <c r="E192" i="4"/>
  <c r="L99" i="42" s="1"/>
  <c r="E11" i="4"/>
  <c r="D54" i="15"/>
  <c r="T81" i="42"/>
  <c r="E33" i="6"/>
  <c r="E49" i="6" s="1"/>
  <c r="F707" i="6"/>
  <c r="D7" i="3"/>
  <c r="D103" i="13"/>
  <c r="D8" i="3"/>
  <c r="T72" i="42"/>
  <c r="E1128" i="7"/>
  <c r="E240" i="7"/>
  <c r="E1145" i="7"/>
  <c r="E1144" i="7"/>
  <c r="E86" i="8"/>
  <c r="E548" i="8" s="1"/>
  <c r="D101" i="16"/>
  <c r="D242" i="15"/>
  <c r="D8" i="16"/>
  <c r="E274" i="6"/>
  <c r="E451" i="6"/>
  <c r="L118" i="42" s="1"/>
  <c r="E1372" i="6"/>
  <c r="E1071" i="6"/>
  <c r="E220" i="6"/>
  <c r="D193" i="15"/>
  <c r="E8" i="6"/>
  <c r="Q102" i="48" s="1"/>
  <c r="E55" i="6"/>
  <c r="E802" i="6"/>
  <c r="E52" i="6"/>
  <c r="E18" i="5"/>
  <c r="E222" i="4"/>
  <c r="K100" i="42" s="1"/>
  <c r="E243" i="4"/>
  <c r="L100" i="42" s="1"/>
  <c r="E34" i="4"/>
  <c r="F688" i="34" s="1"/>
  <c r="E80" i="4"/>
  <c r="L97" i="42" s="1"/>
  <c r="E1962" i="6"/>
  <c r="E480" i="8"/>
  <c r="E39" i="8"/>
  <c r="E228" i="8"/>
  <c r="E352" i="8"/>
  <c r="E290" i="8"/>
  <c r="E102" i="8"/>
  <c r="E414" i="8"/>
  <c r="E166" i="8"/>
  <c r="D93" i="17"/>
  <c r="D56" i="17"/>
  <c r="D65" i="17" s="1"/>
  <c r="D75" i="17" s="1"/>
  <c r="D84" i="17" s="1"/>
  <c r="D81" i="16"/>
  <c r="D58" i="16"/>
  <c r="D70" i="16" s="1"/>
  <c r="D95" i="16"/>
  <c r="E10" i="8"/>
  <c r="E579" i="8"/>
  <c r="E110" i="7"/>
  <c r="E1147" i="7"/>
  <c r="E425" i="7"/>
  <c r="E733" i="6"/>
  <c r="E549" i="6"/>
  <c r="E342" i="6"/>
  <c r="E166" i="6"/>
  <c r="E107" i="6"/>
  <c r="E1234" i="6"/>
  <c r="F767" i="34" s="1"/>
  <c r="E369" i="6"/>
  <c r="E1461" i="6"/>
  <c r="E606" i="6"/>
  <c r="E506" i="5"/>
  <c r="E152" i="5"/>
  <c r="E16" i="5"/>
  <c r="E505" i="5"/>
  <c r="E297" i="4"/>
  <c r="E139" i="4"/>
  <c r="L98" i="42" s="1"/>
  <c r="E834" i="4"/>
  <c r="E583" i="4"/>
  <c r="E410" i="4"/>
  <c r="E650" i="4"/>
  <c r="E765" i="4"/>
  <c r="E363" i="7" l="1"/>
  <c r="E8" i="5"/>
  <c r="E7" i="5"/>
  <c r="K105" i="42"/>
  <c r="E9" i="5"/>
  <c r="K107" i="42"/>
  <c r="E10" i="5"/>
  <c r="K108" i="42"/>
  <c r="E497" i="5"/>
  <c r="K106" i="42"/>
  <c r="E115" i="4"/>
  <c r="K98" i="42" s="1"/>
  <c r="L102" i="42"/>
  <c r="E9" i="4"/>
  <c r="K99" i="42"/>
  <c r="AI10" i="42"/>
  <c r="D73" i="15" s="1"/>
  <c r="D78" i="15" s="1"/>
  <c r="F320" i="34" s="1"/>
  <c r="D100" i="16"/>
  <c r="D241" i="15"/>
  <c r="D243" i="15" s="1"/>
  <c r="D6" i="17"/>
  <c r="D102" i="16"/>
  <c r="D104" i="16" s="1"/>
  <c r="D106" i="16" s="1"/>
  <c r="E496" i="5"/>
  <c r="E127" i="8"/>
  <c r="E145" i="8" s="1"/>
  <c r="E546" i="8"/>
  <c r="E556" i="8" s="1"/>
  <c r="E572" i="8" s="1"/>
  <c r="E498" i="5"/>
  <c r="E499" i="5"/>
  <c r="D48" i="13"/>
  <c r="T20" i="42" s="1"/>
  <c r="T29" i="42" s="1"/>
  <c r="E245" i="4"/>
  <c r="E247" i="4" s="1"/>
  <c r="E273" i="4"/>
  <c r="E262" i="4"/>
  <c r="E66" i="5"/>
  <c r="E68" i="5" s="1"/>
  <c r="E196" i="5"/>
  <c r="E480" i="5" s="1"/>
  <c r="D51" i="15"/>
  <c r="D20" i="15" s="1"/>
  <c r="E679" i="6"/>
  <c r="E2083" i="6" s="1"/>
  <c r="E32" i="6"/>
  <c r="E48" i="6" s="1"/>
  <c r="L10" i="48"/>
  <c r="P111" i="48"/>
  <c r="E38" i="6"/>
  <c r="P110" i="48"/>
  <c r="P109" i="48"/>
  <c r="L11" i="48"/>
  <c r="E276" i="6"/>
  <c r="E2076" i="6" s="1"/>
  <c r="L115" i="42"/>
  <c r="E42" i="6"/>
  <c r="E371" i="6"/>
  <c r="K117" i="42" s="1"/>
  <c r="E2081" i="6"/>
  <c r="D104" i="13"/>
  <c r="D138" i="15"/>
  <c r="D162" i="15" s="1"/>
  <c r="E28" i="6"/>
  <c r="P106" i="48" s="1"/>
  <c r="E47" i="6"/>
  <c r="E39" i="6"/>
  <c r="E1259" i="6"/>
  <c r="E735" i="6"/>
  <c r="E2084" i="6"/>
  <c r="E804" i="6"/>
  <c r="E25" i="6"/>
  <c r="P103" i="48" s="1"/>
  <c r="E1713" i="6"/>
  <c r="E46" i="6"/>
  <c r="E109" i="6"/>
  <c r="E120" i="6" s="1"/>
  <c r="E2073" i="6"/>
  <c r="E2077" i="6"/>
  <c r="T22" i="42"/>
  <c r="D46" i="15" s="1"/>
  <c r="E1075" i="6"/>
  <c r="E2062" i="6"/>
  <c r="E40" i="6"/>
  <c r="E1375" i="6"/>
  <c r="E1510" i="6"/>
  <c r="E15" i="7"/>
  <c r="E37" i="7" s="1"/>
  <c r="E1130" i="7"/>
  <c r="D9" i="13"/>
  <c r="D51" i="13"/>
  <c r="D69" i="13" s="1"/>
  <c r="E212" i="7"/>
  <c r="D65" i="13"/>
  <c r="T30" i="42"/>
  <c r="D192" i="15"/>
  <c r="E1126" i="7"/>
  <c r="E661" i="7"/>
  <c r="E251" i="7"/>
  <c r="E820" i="7"/>
  <c r="E542" i="7"/>
  <c r="D12" i="15"/>
  <c r="D23" i="15"/>
  <c r="D8" i="15"/>
  <c r="AX14" i="42"/>
  <c r="D104" i="15"/>
  <c r="E1127" i="7"/>
  <c r="E10" i="4"/>
  <c r="E194" i="4"/>
  <c r="E863" i="4" s="1"/>
  <c r="E26" i="5"/>
  <c r="E510" i="5"/>
  <c r="E28" i="5"/>
  <c r="E333" i="5"/>
  <c r="E460" i="5"/>
  <c r="E836" i="4"/>
  <c r="E17" i="4"/>
  <c r="E19" i="4"/>
  <c r="E299" i="4"/>
  <c r="E301" i="4" s="1"/>
  <c r="E412" i="4"/>
  <c r="D105" i="13"/>
  <c r="D107" i="13" s="1"/>
  <c r="D64" i="13" s="1"/>
  <c r="E703" i="4"/>
  <c r="E652" i="4"/>
  <c r="E8" i="4"/>
  <c r="E20" i="4"/>
  <c r="T70" i="42"/>
  <c r="E767" i="4"/>
  <c r="E585" i="4"/>
  <c r="E223" i="6"/>
  <c r="E2075" i="6"/>
  <c r="E169" i="6"/>
  <c r="E2074" i="6"/>
  <c r="D9" i="15"/>
  <c r="E18" i="4"/>
  <c r="D118" i="16"/>
  <c r="D13" i="16"/>
  <c r="D20" i="16" s="1"/>
  <c r="E1964" i="6"/>
  <c r="E1463" i="6"/>
  <c r="E453" i="6"/>
  <c r="D217" i="15"/>
  <c r="E21" i="5"/>
  <c r="E27" i="5"/>
  <c r="E21" i="4"/>
  <c r="E267" i="4"/>
  <c r="E82" i="4"/>
  <c r="E333" i="8"/>
  <c r="E526" i="8"/>
  <c r="E1149" i="7"/>
  <c r="E1131" i="7"/>
  <c r="E1132" i="7"/>
  <c r="E551" i="6"/>
  <c r="E344" i="6"/>
  <c r="E501" i="5"/>
  <c r="E478" i="5"/>
  <c r="E103" i="5"/>
  <c r="E477" i="5"/>
  <c r="E154" i="5"/>
  <c r="E479" i="5"/>
  <c r="E12" i="5"/>
  <c r="E25" i="5"/>
  <c r="E141" i="4"/>
  <c r="E280" i="6" l="1"/>
  <c r="D55" i="15"/>
  <c r="D24" i="15" s="1"/>
  <c r="D8" i="13"/>
  <c r="D10" i="13" s="1"/>
  <c r="D15" i="13" s="1"/>
  <c r="K109" i="42"/>
  <c r="K102" i="42"/>
  <c r="E147" i="8"/>
  <c r="E559" i="8" s="1"/>
  <c r="L140" i="42"/>
  <c r="E681" i="6"/>
  <c r="E2063" i="6" s="1"/>
  <c r="E13" i="4"/>
  <c r="E881" i="4" s="1"/>
  <c r="D290" i="15"/>
  <c r="F344" i="34"/>
  <c r="D98" i="17"/>
  <c r="E864" i="4"/>
  <c r="D191" i="15"/>
  <c r="D136" i="15" s="1"/>
  <c r="E196" i="4"/>
  <c r="E207" i="4" s="1"/>
  <c r="D53" i="15"/>
  <c r="D22" i="15" s="1"/>
  <c r="T80" i="42"/>
  <c r="E15" i="8"/>
  <c r="E584" i="8"/>
  <c r="E586" i="8" s="1"/>
  <c r="E29" i="4"/>
  <c r="E198" i="5"/>
  <c r="L9" i="48"/>
  <c r="E381" i="6"/>
  <c r="E2078" i="6" s="1"/>
  <c r="E11" i="6"/>
  <c r="Q105" i="48" s="1"/>
  <c r="E2057" i="6"/>
  <c r="E1966" i="6"/>
  <c r="E2054" i="6"/>
  <c r="E813" i="6"/>
  <c r="E2061" i="6"/>
  <c r="E41" i="6"/>
  <c r="E2055" i="6"/>
  <c r="E2053" i="6"/>
  <c r="E44" i="6"/>
  <c r="E2056" i="6"/>
  <c r="E1465" i="6"/>
  <c r="E2064" i="6"/>
  <c r="E1261" i="6"/>
  <c r="D194" i="15"/>
  <c r="D218" i="15" s="1"/>
  <c r="T34" i="42"/>
  <c r="D15" i="15"/>
  <c r="D137" i="15"/>
  <c r="D216" i="15"/>
  <c r="F145" i="8"/>
  <c r="D109" i="15"/>
  <c r="D248" i="15"/>
  <c r="E512" i="5"/>
  <c r="D19" i="13"/>
  <c r="D18" i="13"/>
  <c r="E312" i="4"/>
  <c r="E84" i="4"/>
  <c r="E593" i="4"/>
  <c r="E143" i="4"/>
  <c r="E850" i="4" s="1"/>
  <c r="E28" i="4"/>
  <c r="E659" i="4"/>
  <c r="E27" i="4"/>
  <c r="E31" i="4"/>
  <c r="E30" i="4"/>
  <c r="E714" i="4"/>
  <c r="E865" i="4"/>
  <c r="E843" i="4"/>
  <c r="E456" i="6"/>
  <c r="E2079" i="6"/>
  <c r="E23" i="4"/>
  <c r="D13" i="3"/>
  <c r="E43" i="7"/>
  <c r="E528" i="8"/>
  <c r="E335" i="8"/>
  <c r="E30" i="5"/>
  <c r="E861" i="4"/>
  <c r="E853" i="4"/>
  <c r="E1134" i="7"/>
  <c r="E1151" i="7" s="1"/>
  <c r="E1159" i="7" s="1"/>
  <c r="E562" i="6"/>
  <c r="E482" i="5"/>
  <c r="E466" i="5"/>
  <c r="E468" i="5"/>
  <c r="E209" i="5"/>
  <c r="E469" i="5"/>
  <c r="E467" i="5"/>
  <c r="E114" i="5"/>
  <c r="E862" i="4"/>
  <c r="E852" i="4"/>
  <c r="E151" i="8" l="1"/>
  <c r="E549" i="8" s="1"/>
  <c r="D213" i="15"/>
  <c r="D7" i="17"/>
  <c r="D99" i="17" s="1"/>
  <c r="D100" i="17" s="1"/>
  <c r="D102" i="17" s="1"/>
  <c r="D104" i="17" s="1"/>
  <c r="D116" i="17" s="1"/>
  <c r="L8" i="48"/>
  <c r="E383" i="6"/>
  <c r="E394" i="6" s="1"/>
  <c r="E851" i="4"/>
  <c r="E17" i="8"/>
  <c r="E19" i="8" s="1"/>
  <c r="E43" i="6"/>
  <c r="E19" i="6"/>
  <c r="E20" i="6" s="1"/>
  <c r="D139" i="15"/>
  <c r="D163" i="15" s="1"/>
  <c r="E2059" i="6"/>
  <c r="E1272" i="6"/>
  <c r="D161" i="15"/>
  <c r="E561" i="8"/>
  <c r="E588" i="8"/>
  <c r="E532" i="8"/>
  <c r="E338" i="8"/>
  <c r="D158" i="15"/>
  <c r="F334" i="34"/>
  <c r="E514" i="5"/>
  <c r="D14" i="3"/>
  <c r="D20" i="13"/>
  <c r="D23" i="13" s="1"/>
  <c r="E153" i="4"/>
  <c r="E849" i="4"/>
  <c r="E883" i="4"/>
  <c r="E887" i="4"/>
  <c r="D9" i="3"/>
  <c r="D10" i="3" s="1"/>
  <c r="D121" i="13"/>
  <c r="E32" i="5"/>
  <c r="E33" i="4"/>
  <c r="E867" i="4"/>
  <c r="E471" i="5"/>
  <c r="D291" i="15" l="1"/>
  <c r="D292" i="15" s="1"/>
  <c r="E855" i="4"/>
  <c r="E869" i="4" s="1"/>
  <c r="E873" i="4" s="1"/>
  <c r="D8" i="17"/>
  <c r="D13" i="17" s="1"/>
  <c r="D20" i="17" s="1"/>
  <c r="E2058" i="6"/>
  <c r="D26" i="13"/>
  <c r="E23" i="8"/>
  <c r="E551" i="8"/>
  <c r="E590" i="8"/>
  <c r="E484" i="5"/>
  <c r="D36" i="13"/>
  <c r="E889" i="4"/>
  <c r="E891" i="4" s="1"/>
  <c r="E35" i="4"/>
  <c r="D16" i="3"/>
  <c r="D44" i="13" l="1"/>
  <c r="T10" i="42" s="1"/>
  <c r="T73" i="42" s="1"/>
  <c r="T74" i="42" s="1"/>
  <c r="F343" i="34"/>
  <c r="E563" i="8"/>
  <c r="D297" i="15"/>
  <c r="E488" i="5"/>
  <c r="E893" i="4"/>
  <c r="D37" i="13"/>
  <c r="D38" i="13" s="1"/>
  <c r="D41" i="13" s="1"/>
  <c r="D187" i="15" l="1"/>
  <c r="D42" i="15"/>
  <c r="D11" i="15" s="1"/>
  <c r="T14" i="42"/>
  <c r="D116" i="13"/>
  <c r="E568" i="8"/>
  <c r="D132" i="15"/>
  <c r="F808" i="34"/>
  <c r="N53" i="37"/>
  <c r="D47" i="15" l="1"/>
  <c r="F303" i="34" s="1"/>
  <c r="D16" i="15"/>
  <c r="F288" i="34" l="1"/>
  <c r="G126" i="9"/>
  <c r="G125" i="9"/>
  <c r="G353" i="9" l="1"/>
  <c r="G317" i="9"/>
  <c r="G401" i="9"/>
  <c r="I1381" i="6" l="1"/>
  <c r="AB185" i="9" l="1"/>
  <c r="J86" i="10"/>
  <c r="I270" i="5" l="1"/>
  <c r="J141" i="10"/>
  <c r="I140" i="10"/>
  <c r="L27" i="11"/>
  <c r="O27" i="11"/>
  <c r="R27" i="11"/>
  <c r="U27" i="11"/>
  <c r="X27" i="11"/>
  <c r="AA27" i="11"/>
  <c r="AD27" i="11"/>
  <c r="AG27" i="11"/>
  <c r="AJ27" i="11"/>
  <c r="H525" i="7"/>
  <c r="I525" i="7" s="1"/>
  <c r="J45" i="10"/>
  <c r="I27" i="11" s="1"/>
  <c r="J27" i="11" s="1"/>
  <c r="K27" i="11" s="1"/>
  <c r="M27" i="11" l="1"/>
  <c r="N27" i="11" s="1"/>
  <c r="P27" i="11" s="1"/>
  <c r="Q27" i="11" s="1"/>
  <c r="S27" i="11" s="1"/>
  <c r="T27" i="11" s="1"/>
  <c r="V27" i="11" s="1"/>
  <c r="W27" i="11" s="1"/>
  <c r="Y27" i="11" s="1"/>
  <c r="Z27" i="11" s="1"/>
  <c r="AB27" i="11" s="1"/>
  <c r="AC27" i="11" s="1"/>
  <c r="AE27" i="11" s="1"/>
  <c r="AF27" i="11" s="1"/>
  <c r="AH27" i="11" s="1"/>
  <c r="AI27" i="11" s="1"/>
  <c r="AK27" i="11" s="1"/>
  <c r="AL27" i="11" s="1"/>
  <c r="AN27" i="11" s="1"/>
  <c r="AE103" i="9"/>
  <c r="AE105" i="9"/>
  <c r="AB324" i="9" l="1"/>
  <c r="F68" i="40"/>
  <c r="G327" i="9"/>
  <c r="G325" i="9"/>
  <c r="AF118" i="9" l="1"/>
  <c r="AB118" i="9"/>
  <c r="H1015" i="6"/>
  <c r="I144" i="10" l="1"/>
  <c r="H396" i="5" s="1"/>
  <c r="J179" i="10"/>
  <c r="F22" i="40"/>
  <c r="I382" i="5"/>
  <c r="H381" i="5"/>
  <c r="I381" i="5" l="1"/>
  <c r="H142" i="5"/>
  <c r="J182" i="10"/>
  <c r="AC133" i="9"/>
  <c r="AC188" i="9"/>
  <c r="H1380" i="6" s="1"/>
  <c r="G190" i="9"/>
  <c r="I81" i="10"/>
  <c r="I219" i="10" l="1"/>
  <c r="I1380" i="6" s="1"/>
  <c r="G474" i="9"/>
  <c r="G498" i="9" s="1"/>
  <c r="J1838" i="6"/>
  <c r="G196" i="9" l="1"/>
  <c r="AE196" i="9"/>
  <c r="AE193" i="9"/>
  <c r="I234" i="10" l="1"/>
  <c r="J188" i="10"/>
  <c r="AE96" i="9"/>
  <c r="I167" i="10" s="1"/>
  <c r="J167" i="10" s="1"/>
  <c r="I112" i="11"/>
  <c r="I96" i="11" l="1"/>
  <c r="H1581" i="6"/>
  <c r="I1581" i="6" s="1"/>
  <c r="J234" i="10"/>
  <c r="I137" i="11" s="1"/>
  <c r="AB166" i="9" l="1"/>
  <c r="AF166" i="9" s="1"/>
  <c r="AB164" i="9" l="1"/>
  <c r="AF164" i="9" s="1"/>
  <c r="AB161" i="9"/>
  <c r="AF161" i="9" s="1"/>
  <c r="AE159" i="9"/>
  <c r="AE160" i="9" s="1"/>
  <c r="AF160" i="9" s="1"/>
  <c r="F100" i="40"/>
  <c r="AB167" i="9" s="1"/>
  <c r="AF167" i="9" s="1"/>
  <c r="J205" i="10"/>
  <c r="I125" i="11" s="1"/>
  <c r="H1213" i="6" s="1"/>
  <c r="I1213" i="6" s="1"/>
  <c r="G32" i="9" l="1"/>
  <c r="H714" i="7" s="1"/>
  <c r="I714" i="7" s="1"/>
  <c r="AE32" i="9" l="1"/>
  <c r="H1333" i="6"/>
  <c r="AE187" i="9"/>
  <c r="AF187" i="9" s="1"/>
  <c r="AE186" i="9"/>
  <c r="AF186" i="9" s="1"/>
  <c r="AF188" i="9"/>
  <c r="J219" i="10"/>
  <c r="J232" i="10"/>
  <c r="J1447" i="6"/>
  <c r="J1448" i="6"/>
  <c r="J1452" i="6"/>
  <c r="J1456" i="6"/>
  <c r="I225" i="10"/>
  <c r="J225" i="10" s="1"/>
  <c r="J1437" i="6"/>
  <c r="J1436" i="6"/>
  <c r="J1333" i="6" l="1"/>
  <c r="I1333" i="6"/>
  <c r="AB163" i="9"/>
  <c r="AB162" i="9" l="1"/>
  <c r="AF162" i="9" s="1"/>
  <c r="AF163" i="9"/>
  <c r="J192" i="10"/>
  <c r="J1125" i="6"/>
  <c r="J1099" i="6"/>
  <c r="J174" i="10"/>
  <c r="G110" i="9" l="1"/>
  <c r="I166" i="10"/>
  <c r="J166" i="10" s="1"/>
  <c r="I99" i="11" s="1"/>
  <c r="J144" i="10"/>
  <c r="I71" i="11" s="1"/>
  <c r="J876" i="7" l="1"/>
  <c r="J882" i="7"/>
  <c r="G40" i="9"/>
  <c r="G42" i="9"/>
  <c r="I105" i="10" l="1"/>
  <c r="F129" i="40"/>
  <c r="J92" i="10"/>
  <c r="J107" i="10"/>
  <c r="H520" i="7" l="1"/>
  <c r="H97" i="7" s="1"/>
  <c r="J43" i="10"/>
  <c r="I25" i="11" s="1"/>
  <c r="AE8" i="9"/>
  <c r="I20" i="10"/>
  <c r="J20" i="10" s="1"/>
  <c r="I520" i="7" l="1"/>
  <c r="J799" i="7"/>
  <c r="I53" i="10"/>
  <c r="H817" i="7" l="1"/>
  <c r="I817" i="7" s="1"/>
  <c r="J53" i="10"/>
  <c r="I35" i="11" s="1"/>
  <c r="AU53" i="10"/>
  <c r="AT53" i="10"/>
  <c r="AS53" i="10"/>
  <c r="G53" i="10"/>
  <c r="F35" i="11" s="1"/>
  <c r="G35" i="11" s="1"/>
  <c r="H35" i="11" s="1"/>
  <c r="J35" i="11" l="1"/>
  <c r="K35" i="11" s="1"/>
  <c r="M35" i="11" s="1"/>
  <c r="N35" i="11" s="1"/>
  <c r="P35" i="11" s="1"/>
  <c r="Q35" i="11" s="1"/>
  <c r="S35" i="11" s="1"/>
  <c r="T35" i="11" s="1"/>
  <c r="V35" i="11" s="1"/>
  <c r="W35" i="11" s="1"/>
  <c r="Y35" i="11" s="1"/>
  <c r="Z35" i="11" s="1"/>
  <c r="AB35" i="11" s="1"/>
  <c r="AC35" i="11" s="1"/>
  <c r="AE35" i="11" s="1"/>
  <c r="AF35" i="11" s="1"/>
  <c r="AH35" i="11" s="1"/>
  <c r="AI35" i="11" s="1"/>
  <c r="AK35" i="11" s="1"/>
  <c r="AL35" i="11" s="1"/>
  <c r="AN35" i="11" s="1"/>
  <c r="J1757" i="6"/>
  <c r="J1746" i="6"/>
  <c r="J1742" i="6"/>
  <c r="AE206" i="9"/>
  <c r="G203" i="9" l="1"/>
  <c r="J93" i="10" l="1"/>
  <c r="J125" i="10" l="1"/>
  <c r="G55" i="9"/>
  <c r="G62" i="9"/>
  <c r="AE94" i="9" l="1"/>
  <c r="J169" i="10"/>
  <c r="I97" i="11" s="1"/>
  <c r="J162" i="10" l="1"/>
  <c r="I93" i="11" s="1"/>
  <c r="J160" i="10"/>
  <c r="H457" i="5"/>
  <c r="I457" i="5" s="1"/>
  <c r="J148" i="10"/>
  <c r="I75" i="11" s="1"/>
  <c r="I434" i="5"/>
  <c r="H656" i="4" l="1"/>
  <c r="H773" i="4" l="1"/>
  <c r="AE18" i="9"/>
  <c r="J33" i="10"/>
  <c r="J24" i="10" l="1"/>
  <c r="I14" i="11" s="1"/>
  <c r="G21" i="9"/>
  <c r="H658" i="4" s="1"/>
  <c r="H642" i="4"/>
  <c r="I642" i="4" s="1"/>
  <c r="J19" i="10" l="1"/>
  <c r="I11" i="11" s="1"/>
  <c r="H17" i="10"/>
  <c r="G19" i="10"/>
  <c r="I8" i="10"/>
  <c r="I9" i="10"/>
  <c r="J9" i="10" s="1"/>
  <c r="J8" i="10"/>
  <c r="H364" i="4"/>
  <c r="I364" i="4" l="1"/>
  <c r="H68" i="4"/>
  <c r="I68" i="4" s="1"/>
  <c r="H31" i="60" l="1"/>
  <c r="F31" i="60"/>
  <c r="D48" i="60" l="1"/>
  <c r="D46" i="60"/>
  <c r="D45" i="60"/>
  <c r="D44" i="60"/>
  <c r="D43" i="60"/>
  <c r="D42" i="60"/>
  <c r="D41" i="60"/>
  <c r="D40" i="60"/>
  <c r="D38" i="60"/>
  <c r="D37" i="60"/>
  <c r="D36" i="60"/>
  <c r="D35" i="60"/>
  <c r="D34" i="60"/>
  <c r="D33" i="60"/>
  <c r="J1316" i="6" l="1"/>
  <c r="J1317" i="6"/>
  <c r="H139" i="22" l="1"/>
  <c r="H134" i="22"/>
  <c r="AD124" i="22"/>
  <c r="H104" i="22"/>
  <c r="H65" i="22"/>
  <c r="H60" i="22"/>
  <c r="H16" i="22"/>
  <c r="H8" i="22"/>
  <c r="H187" i="7"/>
  <c r="I187" i="7" s="1"/>
  <c r="AE201" i="9" l="1"/>
  <c r="K37" i="1" l="1"/>
  <c r="L37" i="1"/>
  <c r="M37" i="1"/>
  <c r="K38" i="1"/>
  <c r="L38" i="1"/>
  <c r="M38" i="1"/>
  <c r="K39" i="1"/>
  <c r="L39" i="1"/>
  <c r="M39" i="1"/>
  <c r="K40" i="1"/>
  <c r="L40" i="1"/>
  <c r="M40" i="1"/>
  <c r="K41" i="1"/>
  <c r="L41" i="1"/>
  <c r="M41" i="1"/>
  <c r="G38" i="1"/>
  <c r="F38" i="1"/>
  <c r="H38" i="1"/>
  <c r="G37" i="1"/>
  <c r="F37" i="1"/>
  <c r="H37" i="1"/>
  <c r="I38" i="1"/>
  <c r="CS114" i="9"/>
  <c r="CF114" i="9"/>
  <c r="CG114" i="9" s="1"/>
  <c r="AF114" i="9"/>
  <c r="V114" i="9"/>
  <c r="CU114" i="9" l="1"/>
  <c r="CH114" i="9"/>
  <c r="CT114" i="9"/>
  <c r="S104" i="10"/>
  <c r="P104" i="10"/>
  <c r="M104" i="10"/>
  <c r="J70" i="10"/>
  <c r="AP114" i="9" l="1"/>
  <c r="CI114" i="9"/>
  <c r="I104" i="10"/>
  <c r="H947" i="6" l="1"/>
  <c r="I947" i="6" s="1"/>
  <c r="J104" i="10"/>
  <c r="AE95" i="9"/>
  <c r="CJ114" i="9"/>
  <c r="CW114" i="9"/>
  <c r="AU114" i="9"/>
  <c r="J1628" i="6"/>
  <c r="CK114" i="9" l="1"/>
  <c r="CX114" i="9"/>
  <c r="H791" i="7"/>
  <c r="I791" i="7" s="1"/>
  <c r="CL114" i="9" l="1"/>
  <c r="I221" i="10"/>
  <c r="J221" i="10" s="1"/>
  <c r="I132" i="11" s="1"/>
  <c r="K1379" i="6"/>
  <c r="L1379" i="6"/>
  <c r="M1379" i="6"/>
  <c r="N1379" i="6"/>
  <c r="O1379" i="6"/>
  <c r="P1379" i="6"/>
  <c r="R1379" i="6"/>
  <c r="J1379" i="6"/>
  <c r="I1379" i="6"/>
  <c r="G221" i="10"/>
  <c r="CM114" i="9" l="1"/>
  <c r="CN114" i="9" l="1"/>
  <c r="CO114" i="9" l="1"/>
  <c r="AF95" i="9"/>
  <c r="AK95" i="9"/>
  <c r="AP95" i="9"/>
  <c r="CP114" i="9" l="1"/>
  <c r="CQ114" i="9" s="1"/>
  <c r="L246" i="56" l="1"/>
  <c r="A292" i="4" l="1"/>
  <c r="B292" i="4"/>
  <c r="H292" i="4"/>
  <c r="I292" i="4" s="1"/>
  <c r="D290" i="4"/>
  <c r="C290" i="4"/>
  <c r="B290" i="4"/>
  <c r="A290" i="4"/>
  <c r="B370" i="4"/>
  <c r="J102" i="7"/>
  <c r="H104" i="7"/>
  <c r="I104" i="7" s="1"/>
  <c r="H103" i="7"/>
  <c r="I103" i="7" s="1"/>
  <c r="D104" i="7"/>
  <c r="C104" i="7"/>
  <c r="B104" i="7"/>
  <c r="D103" i="7"/>
  <c r="C103" i="7"/>
  <c r="B103" i="7"/>
  <c r="D102" i="7"/>
  <c r="C102" i="7"/>
  <c r="B102" i="7"/>
  <c r="A103" i="7"/>
  <c r="A104" i="7"/>
  <c r="A102" i="7"/>
  <c r="G104" i="7"/>
  <c r="G103" i="7"/>
  <c r="G102" i="7"/>
  <c r="C830" i="4"/>
  <c r="C292" i="4" s="1"/>
  <c r="K525" i="7"/>
  <c r="L525" i="7" s="1"/>
  <c r="M525" i="7" s="1"/>
  <c r="N525" i="7" s="1"/>
  <c r="O525" i="7" s="1"/>
  <c r="P525" i="7" s="1"/>
  <c r="Q525" i="7" s="1"/>
  <c r="R525" i="7" s="1"/>
  <c r="R102" i="7" l="1"/>
  <c r="S525" i="7"/>
  <c r="S102" i="7" s="1"/>
  <c r="J103" i="7"/>
  <c r="L102" i="7"/>
  <c r="P102" i="7"/>
  <c r="H102" i="7"/>
  <c r="I102" i="7" s="1"/>
  <c r="N102" i="7"/>
  <c r="K102" i="7"/>
  <c r="O102" i="7"/>
  <c r="M102" i="7"/>
  <c r="Q102" i="7"/>
  <c r="J104" i="7"/>
  <c r="I783" i="6"/>
  <c r="I784" i="6"/>
  <c r="I785" i="6"/>
  <c r="G236" i="9" l="1"/>
  <c r="G99" i="9" l="1"/>
  <c r="Z118" i="9"/>
  <c r="Z322" i="9"/>
  <c r="U322" i="9"/>
  <c r="E322" i="9"/>
  <c r="C188" i="10"/>
  <c r="D188" i="10" s="1"/>
  <c r="U131" i="9"/>
  <c r="G237" i="9" l="1"/>
  <c r="N86" i="37"/>
  <c r="U96" i="9"/>
  <c r="E131" i="9"/>
  <c r="CF131" i="9"/>
  <c r="CG131" i="9" s="1"/>
  <c r="AP131" i="9"/>
  <c r="V131" i="9" l="1"/>
  <c r="CH131" i="9"/>
  <c r="CU131" i="9"/>
  <c r="CS131" i="9"/>
  <c r="CT131" i="9"/>
  <c r="CI131" i="9" l="1"/>
  <c r="CJ131" i="9" l="1"/>
  <c r="CW131" i="9"/>
  <c r="CK131" i="9" l="1"/>
  <c r="CX131" i="9"/>
  <c r="CL131" i="9" l="1"/>
  <c r="CY131" i="9"/>
  <c r="CZ131" i="9" l="1"/>
  <c r="CM131" i="9"/>
  <c r="CN131" i="9" l="1"/>
  <c r="DA131" i="9"/>
  <c r="CO131" i="9" l="1"/>
  <c r="DB131" i="9"/>
  <c r="CP131" i="9" l="1"/>
  <c r="DC131" i="9"/>
  <c r="DD131" i="9" l="1"/>
  <c r="CQ131" i="9"/>
  <c r="DE131" i="9" s="1"/>
  <c r="H554" i="7"/>
  <c r="I554" i="7" s="1"/>
  <c r="H553" i="7"/>
  <c r="I553" i="7" s="1"/>
  <c r="I552" i="7"/>
  <c r="M33" i="48" l="1"/>
  <c r="R150" i="4" l="1"/>
  <c r="Q150" i="4"/>
  <c r="P150" i="4"/>
  <c r="O150" i="4"/>
  <c r="N150" i="4"/>
  <c r="M150" i="4"/>
  <c r="J150" i="4"/>
  <c r="R149" i="4"/>
  <c r="Q149" i="4"/>
  <c r="P149" i="4"/>
  <c r="O149" i="4"/>
  <c r="N149" i="4"/>
  <c r="M149" i="4"/>
  <c r="H150" i="4"/>
  <c r="A148" i="4"/>
  <c r="A149" i="4"/>
  <c r="B149" i="4"/>
  <c r="A150" i="4"/>
  <c r="B150" i="4"/>
  <c r="A151" i="4"/>
  <c r="B151" i="4"/>
  <c r="C151" i="4"/>
  <c r="A147" i="4"/>
  <c r="H125" i="4"/>
  <c r="I125" i="4" s="1"/>
  <c r="B125" i="4"/>
  <c r="A125" i="4"/>
  <c r="D75" i="7"/>
  <c r="C75" i="7"/>
  <c r="B75" i="7"/>
  <c r="A75" i="7"/>
  <c r="D589" i="4"/>
  <c r="D148" i="4" s="1"/>
  <c r="C590" i="4"/>
  <c r="C149" i="4" s="1"/>
  <c r="C589" i="4"/>
  <c r="C148" i="4" s="1"/>
  <c r="B589" i="4"/>
  <c r="B148" i="4" s="1"/>
  <c r="D461" i="7"/>
  <c r="A461" i="7"/>
  <c r="I463" i="4"/>
  <c r="H75" i="7" l="1"/>
  <c r="I75" i="7" s="1"/>
  <c r="H987" i="6"/>
  <c r="I987" i="6" s="1"/>
  <c r="M24" i="48" l="1"/>
  <c r="F29" i="48"/>
  <c r="H54" i="48"/>
  <c r="N94" i="26"/>
  <c r="L94" i="26"/>
  <c r="N103" i="26"/>
  <c r="N102" i="26"/>
  <c r="N93" i="26"/>
  <c r="N92" i="26"/>
  <c r="N91" i="26"/>
  <c r="N88" i="26"/>
  <c r="N87" i="26"/>
  <c r="N86" i="26"/>
  <c r="N85" i="26"/>
  <c r="N84" i="26"/>
  <c r="N104" i="26" l="1"/>
  <c r="N81" i="26"/>
  <c r="J106" i="26"/>
  <c r="N98" i="26" l="1"/>
  <c r="Z259" i="9" l="1"/>
  <c r="F174" i="10" s="1"/>
  <c r="AE203" i="9" l="1"/>
  <c r="I241" i="10" s="1"/>
  <c r="H1651" i="6" s="1"/>
  <c r="J140" i="10"/>
  <c r="I67" i="11" s="1"/>
  <c r="H789" i="4" l="1"/>
  <c r="I789" i="4" s="1"/>
  <c r="H786" i="4"/>
  <c r="I786" i="4" s="1"/>
  <c r="H533" i="4" l="1"/>
  <c r="I533" i="4" s="1"/>
  <c r="J534" i="4"/>
  <c r="H490" i="4"/>
  <c r="I490" i="4" s="1"/>
  <c r="J491" i="4"/>
  <c r="J492" i="4"/>
  <c r="I508" i="4" l="1"/>
  <c r="H525" i="4"/>
  <c r="I525" i="4" s="1"/>
  <c r="H481" i="4"/>
  <c r="I481" i="4" s="1"/>
  <c r="H2000" i="6" l="1"/>
  <c r="I2000" i="6" s="1"/>
  <c r="H1826" i="6"/>
  <c r="I1826" i="6" s="1"/>
  <c r="H1623" i="6"/>
  <c r="I1623" i="6" s="1"/>
  <c r="H1612" i="6"/>
  <c r="I1612" i="6" s="1"/>
  <c r="I618" i="4"/>
  <c r="G382" i="9" l="1"/>
  <c r="G468" i="9" l="1"/>
  <c r="G410" i="9"/>
  <c r="G411" i="9" s="1"/>
  <c r="G287" i="9"/>
  <c r="G339" i="9"/>
  <c r="H604" i="4" l="1"/>
  <c r="H603" i="4"/>
  <c r="H530" i="4"/>
  <c r="I530" i="4" s="1"/>
  <c r="I475" i="4"/>
  <c r="I471" i="4"/>
  <c r="I559" i="4"/>
  <c r="I479" i="4"/>
  <c r="H537" i="4"/>
  <c r="I537" i="4" s="1"/>
  <c r="H500" i="4"/>
  <c r="I500" i="4" s="1"/>
  <c r="H499" i="4"/>
  <c r="I499" i="4" s="1"/>
  <c r="I570" i="4"/>
  <c r="I603" i="4" l="1"/>
  <c r="I604" i="4"/>
  <c r="H126" i="4"/>
  <c r="I126" i="4" s="1"/>
  <c r="H1120" i="6" l="1"/>
  <c r="I1120" i="6" s="1"/>
  <c r="H1119" i="6"/>
  <c r="I1119" i="6" s="1"/>
  <c r="J1100" i="6" l="1"/>
  <c r="H844" i="7"/>
  <c r="I844" i="7" s="1"/>
  <c r="H842" i="7"/>
  <c r="I842" i="7" s="1"/>
  <c r="H846" i="7"/>
  <c r="I846" i="7" s="1"/>
  <c r="H845" i="7"/>
  <c r="I845" i="7" s="1"/>
  <c r="H433" i="4"/>
  <c r="I433" i="4" s="1"/>
  <c r="H452" i="4"/>
  <c r="I452" i="4" s="1"/>
  <c r="H451" i="4"/>
  <c r="I451" i="4" s="1"/>
  <c r="I434" i="4"/>
  <c r="I442" i="4"/>
  <c r="I444" i="4"/>
  <c r="E130" i="10" l="1"/>
  <c r="Z50" i="9"/>
  <c r="AA50" i="9" s="1"/>
  <c r="H272" i="7" l="1"/>
  <c r="I272" i="7" s="1"/>
  <c r="H262" i="7"/>
  <c r="I262" i="7" s="1"/>
  <c r="Z196" i="9" l="1"/>
  <c r="AA196" i="9" s="1"/>
  <c r="Z474" i="9"/>
  <c r="AA494" i="9"/>
  <c r="AA495" i="9"/>
  <c r="AA496" i="9"/>
  <c r="H498" i="9"/>
  <c r="I498" i="9"/>
  <c r="J498" i="9"/>
  <c r="K498" i="9"/>
  <c r="L498" i="9"/>
  <c r="M498" i="9"/>
  <c r="N498" i="9"/>
  <c r="O498" i="9"/>
  <c r="P498" i="9"/>
  <c r="R498" i="9"/>
  <c r="S498" i="9"/>
  <c r="T498" i="9"/>
  <c r="X498" i="9"/>
  <c r="Y498" i="9"/>
  <c r="Z146" i="9" l="1"/>
  <c r="Z465" i="9"/>
  <c r="AA465" i="9" s="1"/>
  <c r="G85" i="10"/>
  <c r="AA463" i="9"/>
  <c r="AA464" i="9"/>
  <c r="AA466" i="9"/>
  <c r="Z318" i="9" l="1"/>
  <c r="E286" i="6" l="1"/>
  <c r="S186" i="10"/>
  <c r="R109" i="11" s="1"/>
  <c r="P186" i="10"/>
  <c r="O109" i="11" s="1"/>
  <c r="M186" i="10"/>
  <c r="L109" i="11" s="1"/>
  <c r="J186" i="10"/>
  <c r="I109" i="11" s="1"/>
  <c r="G186" i="10"/>
  <c r="F109" i="11" s="1"/>
  <c r="G109" i="11" s="1"/>
  <c r="H109" i="11" s="1"/>
  <c r="J109" i="11" l="1"/>
  <c r="K109" i="11" s="1"/>
  <c r="M109" i="11" s="1"/>
  <c r="N109" i="11" s="1"/>
  <c r="P109" i="11" s="1"/>
  <c r="Q109" i="11" s="1"/>
  <c r="S109" i="11" s="1"/>
  <c r="T109" i="11" s="1"/>
  <c r="X355" i="9"/>
  <c r="H985" i="7" l="1"/>
  <c r="I985" i="7" s="1"/>
  <c r="H978" i="7"/>
  <c r="I978" i="7" s="1"/>
  <c r="H976" i="7"/>
  <c r="I976" i="7" s="1"/>
  <c r="H975" i="7"/>
  <c r="I975" i="7" s="1"/>
  <c r="H972" i="7"/>
  <c r="I972" i="7" s="1"/>
  <c r="H970" i="7"/>
  <c r="I970" i="7" s="1"/>
  <c r="H905" i="7"/>
  <c r="I905" i="7" s="1"/>
  <c r="I908" i="7"/>
  <c r="H901" i="7"/>
  <c r="H843" i="7"/>
  <c r="I843" i="7" s="1"/>
  <c r="I901" i="7" l="1"/>
  <c r="H758" i="7"/>
  <c r="I758" i="7" s="1"/>
  <c r="H757" i="7"/>
  <c r="I757" i="7" s="1"/>
  <c r="H631" i="7"/>
  <c r="I631" i="7" s="1"/>
  <c r="H626" i="7"/>
  <c r="I626" i="7" s="1"/>
  <c r="H625" i="7"/>
  <c r="I625" i="7" s="1"/>
  <c r="H510" i="7"/>
  <c r="I510" i="7" s="1"/>
  <c r="H509" i="7"/>
  <c r="I509" i="7" s="1"/>
  <c r="H507" i="7"/>
  <c r="I507" i="7" s="1"/>
  <c r="H506" i="7"/>
  <c r="I506" i="7" s="1"/>
  <c r="H501" i="7"/>
  <c r="I501" i="7" s="1"/>
  <c r="H451" i="7"/>
  <c r="I451" i="7" s="1"/>
  <c r="H467" i="7"/>
  <c r="I467" i="7" s="1"/>
  <c r="H1912" i="6"/>
  <c r="I1912" i="6" s="1"/>
  <c r="H1948" i="6"/>
  <c r="I1948" i="6" s="1"/>
  <c r="H1923" i="6"/>
  <c r="I1923" i="6" s="1"/>
  <c r="H1922" i="6"/>
  <c r="I1922" i="6" s="1"/>
  <c r="H1905" i="6"/>
  <c r="I1905" i="6" s="1"/>
  <c r="H1904" i="6"/>
  <c r="I1904" i="6" s="1"/>
  <c r="H1903" i="6"/>
  <c r="I1903" i="6" s="1"/>
  <c r="H1902" i="6"/>
  <c r="I1902" i="6" s="1"/>
  <c r="H1901" i="6"/>
  <c r="I1901" i="6" s="1"/>
  <c r="H1931" i="6"/>
  <c r="I1931" i="6" s="1"/>
  <c r="H1889" i="6"/>
  <c r="I1889" i="6" s="1"/>
  <c r="H1885" i="6"/>
  <c r="I1885" i="6" s="1"/>
  <c r="H1867" i="6" l="1"/>
  <c r="I1867" i="6" s="1"/>
  <c r="H1863" i="6"/>
  <c r="I1863" i="6" s="1"/>
  <c r="H1868" i="6"/>
  <c r="I1868" i="6" s="1"/>
  <c r="H1835" i="6"/>
  <c r="I1835" i="6" s="1"/>
  <c r="H1829" i="6"/>
  <c r="I1829" i="6" s="1"/>
  <c r="H1796" i="6"/>
  <c r="I1796" i="6" s="1"/>
  <c r="H1849" i="6"/>
  <c r="I1849" i="6" s="1"/>
  <c r="H1795" i="6"/>
  <c r="I1795" i="6" s="1"/>
  <c r="H1804" i="6"/>
  <c r="I1804" i="6" s="1"/>
  <c r="H2021" i="6"/>
  <c r="I2021" i="6" s="1"/>
  <c r="H2025" i="6"/>
  <c r="I2025" i="6" s="1"/>
  <c r="H2023" i="6"/>
  <c r="I2023" i="6" s="1"/>
  <c r="H2019" i="6"/>
  <c r="I2019" i="6" s="1"/>
  <c r="H1990" i="6"/>
  <c r="I1990" i="6" s="1"/>
  <c r="I1987" i="6"/>
  <c r="H1988" i="6"/>
  <c r="I1988" i="6" s="1"/>
  <c r="I1985" i="6"/>
  <c r="I1723" i="6"/>
  <c r="H1254" i="6"/>
  <c r="I1254" i="6" s="1"/>
  <c r="E1777" i="6" l="1"/>
  <c r="Z156" i="9"/>
  <c r="AA156" i="9" s="1"/>
  <c r="E613" i="6" l="1"/>
  <c r="X146" i="9"/>
  <c r="X458" i="9"/>
  <c r="H1601" i="6" l="1"/>
  <c r="I1601" i="6" s="1"/>
  <c r="H1315" i="6" l="1"/>
  <c r="H1295" i="6"/>
  <c r="I1295" i="6" s="1"/>
  <c r="H1686" i="6"/>
  <c r="I1686" i="6" s="1"/>
  <c r="H1684" i="6"/>
  <c r="I1684" i="6" s="1"/>
  <c r="H1683" i="6"/>
  <c r="I1683" i="6" s="1"/>
  <c r="H1682" i="6"/>
  <c r="I1682" i="6" s="1"/>
  <c r="H1681" i="6"/>
  <c r="I1681" i="6" s="1"/>
  <c r="H1680" i="6"/>
  <c r="I1680" i="6" s="1"/>
  <c r="H1679" i="6"/>
  <c r="I1679" i="6" s="1"/>
  <c r="H916" i="6"/>
  <c r="I916" i="6" s="1"/>
  <c r="H931" i="6"/>
  <c r="I931" i="6" s="1"/>
  <c r="H930" i="6"/>
  <c r="I930" i="6" s="1"/>
  <c r="H927" i="6"/>
  <c r="I927" i="6" s="1"/>
  <c r="H925" i="6"/>
  <c r="I925" i="6" s="1"/>
  <c r="H904" i="6"/>
  <c r="I904" i="6" s="1"/>
  <c r="I903" i="6"/>
  <c r="H905" i="6"/>
  <c r="I905" i="6" s="1"/>
  <c r="H902" i="6"/>
  <c r="I902" i="6" s="1"/>
  <c r="H901" i="6"/>
  <c r="I901" i="6" s="1"/>
  <c r="H900" i="6"/>
  <c r="I900" i="6" s="1"/>
  <c r="H899" i="6"/>
  <c r="I899" i="6" s="1"/>
  <c r="H898" i="6"/>
  <c r="I898" i="6" s="1"/>
  <c r="H897" i="6"/>
  <c r="I897" i="6" s="1"/>
  <c r="H892" i="6"/>
  <c r="I892" i="6" s="1"/>
  <c r="H891" i="6"/>
  <c r="I891" i="6" s="1"/>
  <c r="H890" i="6"/>
  <c r="I890" i="6" s="1"/>
  <c r="H889" i="6"/>
  <c r="I889" i="6" s="1"/>
  <c r="J1315" i="6" l="1"/>
  <c r="I1315" i="6"/>
  <c r="H779" i="6" l="1"/>
  <c r="I779" i="6" s="1"/>
  <c r="I795" i="6"/>
  <c r="H758" i="6"/>
  <c r="I758" i="6" s="1"/>
  <c r="H757" i="6"/>
  <c r="I757" i="6" s="1"/>
  <c r="AS4" i="10"/>
  <c r="AT4" i="10"/>
  <c r="AU4" i="10"/>
  <c r="AS5" i="10"/>
  <c r="AT5" i="10"/>
  <c r="AU5" i="10"/>
  <c r="AS6" i="10"/>
  <c r="AT6" i="10"/>
  <c r="AU6" i="10"/>
  <c r="AS8" i="10"/>
  <c r="AT8" i="10"/>
  <c r="AU8" i="10"/>
  <c r="AS10" i="10"/>
  <c r="AT10" i="10"/>
  <c r="AU10" i="10"/>
  <c r="AS11" i="10"/>
  <c r="AT11" i="10"/>
  <c r="AU11" i="10"/>
  <c r="AS13" i="10"/>
  <c r="AT13" i="10"/>
  <c r="AU13" i="10"/>
  <c r="AS14" i="10"/>
  <c r="AT14" i="10"/>
  <c r="AU14" i="10"/>
  <c r="AS15" i="10"/>
  <c r="AT15" i="10"/>
  <c r="AU15" i="10"/>
  <c r="AS16" i="10"/>
  <c r="AT16" i="10"/>
  <c r="AU16" i="10"/>
  <c r="AS17" i="10"/>
  <c r="AT17" i="10"/>
  <c r="AU17" i="10"/>
  <c r="AS18" i="10"/>
  <c r="AT18" i="10"/>
  <c r="AU18" i="10"/>
  <c r="AS20" i="10"/>
  <c r="AT20" i="10"/>
  <c r="AU20" i="10"/>
  <c r="AS21" i="10"/>
  <c r="AT21" i="10"/>
  <c r="AU21" i="10"/>
  <c r="AS22" i="10"/>
  <c r="AT22" i="10"/>
  <c r="AU22" i="10"/>
  <c r="AS23" i="10"/>
  <c r="AT23" i="10"/>
  <c r="AU23" i="10"/>
  <c r="AS24" i="10"/>
  <c r="AT24" i="10"/>
  <c r="AU24" i="10"/>
  <c r="AS25" i="10"/>
  <c r="AS26" i="10"/>
  <c r="AT26" i="10"/>
  <c r="AU26" i="10"/>
  <c r="AS27" i="10"/>
  <c r="AT27" i="10"/>
  <c r="AU27" i="10"/>
  <c r="AS28" i="10"/>
  <c r="AT28" i="10"/>
  <c r="AU28" i="10"/>
  <c r="AS29" i="10"/>
  <c r="AT29" i="10"/>
  <c r="AU29" i="10"/>
  <c r="AS30" i="10"/>
  <c r="AT30" i="10"/>
  <c r="AU30" i="10"/>
  <c r="AS31" i="10"/>
  <c r="AT31" i="10"/>
  <c r="AU31" i="10"/>
  <c r="AS32" i="10"/>
  <c r="AT32" i="10"/>
  <c r="AU32" i="10"/>
  <c r="AS33" i="10"/>
  <c r="AT33" i="10"/>
  <c r="AU33" i="10"/>
  <c r="AS34" i="10"/>
  <c r="AT34" i="10"/>
  <c r="AU34" i="10"/>
  <c r="AS35" i="10"/>
  <c r="AT35" i="10"/>
  <c r="AU35" i="10"/>
  <c r="AS36" i="10"/>
  <c r="AT36" i="10"/>
  <c r="AU36" i="10"/>
  <c r="AS37" i="10"/>
  <c r="AT37" i="10"/>
  <c r="AU37" i="10"/>
  <c r="AS38" i="10"/>
  <c r="AT38" i="10"/>
  <c r="AU38" i="10"/>
  <c r="AS40" i="10"/>
  <c r="AT40" i="10"/>
  <c r="AU40" i="10"/>
  <c r="AS41" i="10"/>
  <c r="AT41" i="10"/>
  <c r="AU41" i="10"/>
  <c r="AS42" i="10"/>
  <c r="AT42" i="10"/>
  <c r="AU42" i="10"/>
  <c r="AS43" i="10"/>
  <c r="AT43" i="10"/>
  <c r="AU43" i="10"/>
  <c r="AS47" i="10"/>
  <c r="AT47" i="10"/>
  <c r="AU47" i="10"/>
  <c r="AS48" i="10"/>
  <c r="AT48" i="10"/>
  <c r="AU48" i="10"/>
  <c r="AS49" i="10"/>
  <c r="AT49" i="10"/>
  <c r="AU49" i="10"/>
  <c r="AS50" i="10"/>
  <c r="AT50" i="10"/>
  <c r="AU50" i="10"/>
  <c r="AS51" i="10"/>
  <c r="AT51" i="10"/>
  <c r="AU51" i="10"/>
  <c r="AS52" i="10"/>
  <c r="AT52" i="10"/>
  <c r="AU52" i="10"/>
  <c r="AS55" i="10"/>
  <c r="AT55" i="10"/>
  <c r="AU55" i="10"/>
  <c r="AS56" i="10"/>
  <c r="AT56" i="10"/>
  <c r="AU56" i="10"/>
  <c r="AS57" i="10"/>
  <c r="AT57" i="10"/>
  <c r="AU57" i="10"/>
  <c r="AS58" i="10"/>
  <c r="AT58" i="10"/>
  <c r="AU58" i="10"/>
  <c r="AS59" i="10"/>
  <c r="AT59" i="10"/>
  <c r="AU59" i="10"/>
  <c r="AS60" i="10"/>
  <c r="AT60" i="10"/>
  <c r="AS61" i="10"/>
  <c r="AT61" i="10"/>
  <c r="AU61" i="10"/>
  <c r="AS62" i="10"/>
  <c r="AT62" i="10"/>
  <c r="AU62" i="10"/>
  <c r="AS63" i="10"/>
  <c r="AT63" i="10"/>
  <c r="AU63" i="10"/>
  <c r="AT64" i="10"/>
  <c r="AS68" i="10"/>
  <c r="AT68" i="10"/>
  <c r="AU68" i="10"/>
  <c r="AS69" i="10"/>
  <c r="AT69" i="10"/>
  <c r="AU69" i="10"/>
  <c r="AS70" i="10"/>
  <c r="AT70" i="10"/>
  <c r="AU70" i="10"/>
  <c r="AS71" i="10"/>
  <c r="AT71" i="10"/>
  <c r="AU71" i="10"/>
  <c r="AS72" i="10"/>
  <c r="AT72" i="10"/>
  <c r="AU72" i="10"/>
  <c r="AS73" i="10"/>
  <c r="AT73" i="10"/>
  <c r="AU73" i="10"/>
  <c r="AS74" i="10"/>
  <c r="AT74" i="10"/>
  <c r="AU74" i="10"/>
  <c r="AS75" i="10"/>
  <c r="AT75" i="10"/>
  <c r="AU75" i="10"/>
  <c r="AS76" i="10"/>
  <c r="AT76" i="10"/>
  <c r="AU76" i="10"/>
  <c r="AS77" i="10"/>
  <c r="AT77" i="10"/>
  <c r="AU77" i="10"/>
  <c r="AS78" i="10"/>
  <c r="AT78" i="10"/>
  <c r="AU78" i="10"/>
  <c r="AS79" i="10"/>
  <c r="AT79" i="10"/>
  <c r="AU79" i="10"/>
  <c r="AS80" i="10"/>
  <c r="AT80" i="10"/>
  <c r="AU80" i="10"/>
  <c r="AS81" i="10"/>
  <c r="AT81" i="10"/>
  <c r="AU81" i="10"/>
  <c r="AS82" i="10"/>
  <c r="AT82" i="10"/>
  <c r="AU82" i="10"/>
  <c r="AS83" i="10"/>
  <c r="AT83" i="10"/>
  <c r="AU83" i="10"/>
  <c r="AS84" i="10"/>
  <c r="AT84" i="10"/>
  <c r="AU84" i="10"/>
  <c r="AS86" i="10"/>
  <c r="AT86" i="10"/>
  <c r="AU86" i="10"/>
  <c r="AS87" i="10"/>
  <c r="AT87" i="10"/>
  <c r="AU87" i="10"/>
  <c r="AT88" i="10"/>
  <c r="AT89" i="10"/>
  <c r="AS90" i="10"/>
  <c r="AS91" i="10"/>
  <c r="AS93" i="10"/>
  <c r="AT93" i="10"/>
  <c r="AU93" i="10"/>
  <c r="AS95" i="10"/>
  <c r="AT95" i="10"/>
  <c r="AU95" i="10"/>
  <c r="AS96" i="10"/>
  <c r="AT96" i="10"/>
  <c r="AU96" i="10"/>
  <c r="AT97" i="10"/>
  <c r="AT101" i="10"/>
  <c r="AS102" i="10"/>
  <c r="AT102" i="10"/>
  <c r="AU102" i="10"/>
  <c r="AS105" i="10"/>
  <c r="AT105" i="10"/>
  <c r="AU105" i="10"/>
  <c r="AS107" i="10"/>
  <c r="AT107" i="10"/>
  <c r="AU107" i="10"/>
  <c r="AS108" i="10"/>
  <c r="AT108" i="10"/>
  <c r="AU108" i="10"/>
  <c r="AS109" i="10"/>
  <c r="AT109" i="10"/>
  <c r="AU109" i="10"/>
  <c r="AS110" i="10"/>
  <c r="AT110" i="10"/>
  <c r="AU110" i="10"/>
  <c r="AS111" i="10"/>
  <c r="AT111" i="10"/>
  <c r="AU111" i="10"/>
  <c r="AS112" i="10"/>
  <c r="AT112" i="10"/>
  <c r="AU112" i="10"/>
  <c r="AS113" i="10"/>
  <c r="AT113" i="10"/>
  <c r="AU113" i="10"/>
  <c r="AS114" i="10"/>
  <c r="AT114" i="10"/>
  <c r="AS115" i="10"/>
  <c r="AS117" i="10"/>
  <c r="AT117" i="10"/>
  <c r="AU117" i="10"/>
  <c r="AS118" i="10"/>
  <c r="AT118" i="10"/>
  <c r="AU118" i="10"/>
  <c r="AS119" i="10"/>
  <c r="AT119" i="10"/>
  <c r="AU119" i="10"/>
  <c r="AS120" i="10"/>
  <c r="AT120" i="10"/>
  <c r="AU120" i="10"/>
  <c r="AS123" i="10"/>
  <c r="AT123" i="10"/>
  <c r="AU123" i="10"/>
  <c r="AS124" i="10"/>
  <c r="AT124" i="10"/>
  <c r="AU124" i="10"/>
  <c r="AS125" i="10"/>
  <c r="AT125" i="10"/>
  <c r="AU125" i="10"/>
  <c r="AS126" i="10"/>
  <c r="AT126" i="10"/>
  <c r="AU126" i="10"/>
  <c r="AS128" i="10"/>
  <c r="AT128" i="10"/>
  <c r="AU128" i="10"/>
  <c r="AS129" i="10"/>
  <c r="AT129" i="10"/>
  <c r="AU129" i="10"/>
  <c r="AT130" i="10"/>
  <c r="AS132" i="10"/>
  <c r="AT132" i="10"/>
  <c r="AU132" i="10"/>
  <c r="AS134" i="10"/>
  <c r="AT134" i="10"/>
  <c r="AU134" i="10"/>
  <c r="AS136" i="10"/>
  <c r="AT136" i="10"/>
  <c r="AU136" i="10"/>
  <c r="AS137" i="10"/>
  <c r="AT137" i="10"/>
  <c r="AU137" i="10"/>
  <c r="AS138" i="10"/>
  <c r="AT138" i="10"/>
  <c r="AU138" i="10"/>
  <c r="AS139" i="10"/>
  <c r="AT139" i="10"/>
  <c r="AU139" i="10"/>
  <c r="AS140" i="10"/>
  <c r="AT140" i="10"/>
  <c r="AU140" i="10"/>
  <c r="AS142" i="10"/>
  <c r="AT142" i="10"/>
  <c r="AU142" i="10"/>
  <c r="AS143" i="10"/>
  <c r="AT143" i="10"/>
  <c r="AU143" i="10"/>
  <c r="AS144" i="10"/>
  <c r="AT144" i="10"/>
  <c r="AU144" i="10"/>
  <c r="AS145" i="10"/>
  <c r="AT145" i="10"/>
  <c r="AU145" i="10"/>
  <c r="AS149" i="10"/>
  <c r="AT149" i="10"/>
  <c r="AU149" i="10"/>
  <c r="AS151" i="10"/>
  <c r="AT151" i="10"/>
  <c r="AU151" i="10"/>
  <c r="AS152" i="10"/>
  <c r="AT152" i="10"/>
  <c r="AU152" i="10"/>
  <c r="AS153" i="10"/>
  <c r="AT153" i="10"/>
  <c r="AU153" i="10"/>
  <c r="AS154" i="10"/>
  <c r="AT154" i="10"/>
  <c r="AU154" i="10"/>
  <c r="AS155" i="10"/>
  <c r="AT155" i="10"/>
  <c r="AU155" i="10"/>
  <c r="AS156" i="10"/>
  <c r="AT156" i="10"/>
  <c r="AU156" i="10"/>
  <c r="AT157" i="10"/>
  <c r="AS158" i="10"/>
  <c r="AT158" i="10"/>
  <c r="AU158" i="10"/>
  <c r="AS159" i="10"/>
  <c r="AT159" i="10"/>
  <c r="AU159" i="10"/>
  <c r="AS160" i="10"/>
  <c r="AT160" i="10"/>
  <c r="AU160" i="10"/>
  <c r="AS161" i="10"/>
  <c r="AT161" i="10"/>
  <c r="AU161" i="10"/>
  <c r="AS162" i="10"/>
  <c r="AT162" i="10"/>
  <c r="AU162" i="10"/>
  <c r="AS163" i="10"/>
  <c r="AT163" i="10"/>
  <c r="AU163" i="10"/>
  <c r="AS164" i="10"/>
  <c r="AT164" i="10"/>
  <c r="AU164" i="10"/>
  <c r="AS165" i="10"/>
  <c r="AT165" i="10"/>
  <c r="AU165" i="10"/>
  <c r="AS166" i="10"/>
  <c r="AT166" i="10"/>
  <c r="AU166" i="10"/>
  <c r="AS167" i="10"/>
  <c r="AT167" i="10"/>
  <c r="AU167" i="10"/>
  <c r="AS168" i="10"/>
  <c r="AT168" i="10"/>
  <c r="AU168" i="10"/>
  <c r="AS169" i="10"/>
  <c r="AT169" i="10"/>
  <c r="AU169" i="10"/>
  <c r="AS170" i="10"/>
  <c r="AS171" i="10"/>
  <c r="AS172" i="10"/>
  <c r="AT172" i="10"/>
  <c r="AU172" i="10"/>
  <c r="AS173" i="10"/>
  <c r="AT173" i="10"/>
  <c r="AU173" i="10"/>
  <c r="AS174" i="10"/>
  <c r="AT174" i="10"/>
  <c r="AU174" i="10"/>
  <c r="AS175" i="10"/>
  <c r="AT175" i="10"/>
  <c r="AU175" i="10"/>
  <c r="AS176" i="10"/>
  <c r="AT176" i="10"/>
  <c r="AS177" i="10"/>
  <c r="AT177" i="10"/>
  <c r="AU177" i="10"/>
  <c r="AS178" i="10"/>
  <c r="AT178" i="10"/>
  <c r="AU178" i="10"/>
  <c r="AS179" i="10"/>
  <c r="AT179" i="10"/>
  <c r="AU179" i="10"/>
  <c r="AS180" i="10"/>
  <c r="AT180" i="10"/>
  <c r="AU180" i="10"/>
  <c r="AS181" i="10"/>
  <c r="AT181" i="10"/>
  <c r="AU181" i="10"/>
  <c r="AS182" i="10"/>
  <c r="AT182" i="10"/>
  <c r="AU182" i="10"/>
  <c r="AS183" i="10"/>
  <c r="AT183" i="10"/>
  <c r="AU183" i="10"/>
  <c r="AS184" i="10"/>
  <c r="AS185" i="10"/>
  <c r="AS187" i="10"/>
  <c r="AT187" i="10"/>
  <c r="AU187" i="10"/>
  <c r="AS188" i="10"/>
  <c r="AT188" i="10"/>
  <c r="AU188" i="10"/>
  <c r="AS190" i="10"/>
  <c r="AT190" i="10"/>
  <c r="AU190" i="10"/>
  <c r="AS191" i="10"/>
  <c r="AT191" i="10"/>
  <c r="AU191" i="10"/>
  <c r="AS192" i="10"/>
  <c r="AT192" i="10"/>
  <c r="AU192" i="10"/>
  <c r="AS193" i="10"/>
  <c r="AT193" i="10"/>
  <c r="AU193" i="10"/>
  <c r="AS194" i="10"/>
  <c r="AT194" i="10"/>
  <c r="AU194" i="10"/>
  <c r="AS195" i="10"/>
  <c r="AT195" i="10"/>
  <c r="AU195" i="10"/>
  <c r="AS196" i="10"/>
  <c r="AT196" i="10"/>
  <c r="AU196" i="10"/>
  <c r="AS197" i="10"/>
  <c r="AT197" i="10"/>
  <c r="AU197" i="10"/>
  <c r="AS198" i="10"/>
  <c r="AT198" i="10"/>
  <c r="AU198" i="10"/>
  <c r="AS199" i="10"/>
  <c r="AT199" i="10"/>
  <c r="AU199" i="10"/>
  <c r="AS200" i="10"/>
  <c r="AT200" i="10"/>
  <c r="AU200" i="10"/>
  <c r="AS201" i="10"/>
  <c r="AT201" i="10"/>
  <c r="AU201" i="10"/>
  <c r="AS202" i="10"/>
  <c r="AT202" i="10"/>
  <c r="AU202" i="10"/>
  <c r="AS203" i="10"/>
  <c r="AT203" i="10"/>
  <c r="AU203" i="10"/>
  <c r="AS204" i="10"/>
  <c r="AT204" i="10"/>
  <c r="AU204" i="10"/>
  <c r="AS205" i="10"/>
  <c r="AT205" i="10"/>
  <c r="AU205" i="10"/>
  <c r="AS206" i="10"/>
  <c r="AT206" i="10"/>
  <c r="AU206" i="10"/>
  <c r="AS207" i="10"/>
  <c r="AT207" i="10"/>
  <c r="AU207" i="10"/>
  <c r="AS208" i="10"/>
  <c r="AT208" i="10"/>
  <c r="AU208" i="10"/>
  <c r="AS209" i="10"/>
  <c r="AT209" i="10"/>
  <c r="AU209" i="10"/>
  <c r="AS210" i="10"/>
  <c r="AT210" i="10"/>
  <c r="AU210" i="10"/>
  <c r="AS211" i="10"/>
  <c r="AT211" i="10"/>
  <c r="AU211" i="10"/>
  <c r="AT212" i="10"/>
  <c r="AS213" i="10"/>
  <c r="AT213" i="10"/>
  <c r="AU213" i="10"/>
  <c r="AS214" i="10"/>
  <c r="AT214" i="10"/>
  <c r="AU214" i="10"/>
  <c r="AS215" i="10"/>
  <c r="AT215" i="10"/>
  <c r="AU215" i="10"/>
  <c r="AS216" i="10"/>
  <c r="AT216" i="10"/>
  <c r="AU216" i="10"/>
  <c r="AS217" i="10"/>
  <c r="AT217" i="10"/>
  <c r="AU217" i="10"/>
  <c r="AS218" i="10"/>
  <c r="AT218" i="10"/>
  <c r="AU218" i="10"/>
  <c r="AS219" i="10"/>
  <c r="AT219" i="10"/>
  <c r="AU219" i="10"/>
  <c r="AS220" i="10"/>
  <c r="AT220" i="10"/>
  <c r="AU220" i="10"/>
  <c r="AS223" i="10"/>
  <c r="AT223" i="10"/>
  <c r="AU223" i="10"/>
  <c r="AS224" i="10"/>
  <c r="AT224" i="10"/>
  <c r="AU224" i="10"/>
  <c r="AS225" i="10"/>
  <c r="AT225" i="10"/>
  <c r="AU225" i="10"/>
  <c r="AS227" i="10"/>
  <c r="AT227" i="10"/>
  <c r="AU227" i="10"/>
  <c r="AS228" i="10"/>
  <c r="AT228" i="10"/>
  <c r="AU228" i="10"/>
  <c r="AS229" i="10"/>
  <c r="AT229" i="10"/>
  <c r="AU229" i="10"/>
  <c r="AS230" i="10"/>
  <c r="AT230" i="10"/>
  <c r="AU230" i="10"/>
  <c r="AS231" i="10"/>
  <c r="AT231" i="10"/>
  <c r="AU231" i="10"/>
  <c r="AS232" i="10"/>
  <c r="AT232" i="10"/>
  <c r="AU232" i="10"/>
  <c r="AS233" i="10"/>
  <c r="AT233" i="10"/>
  <c r="AU233" i="10"/>
  <c r="AS234" i="10"/>
  <c r="AT234" i="10"/>
  <c r="AU234" i="10"/>
  <c r="AS235" i="10"/>
  <c r="AT235" i="10"/>
  <c r="AU235" i="10"/>
  <c r="AS237" i="10"/>
  <c r="AT237" i="10"/>
  <c r="AU237" i="10"/>
  <c r="AS238" i="10"/>
  <c r="AT238" i="10"/>
  <c r="AU238" i="10"/>
  <c r="AS240" i="10"/>
  <c r="AT240" i="10"/>
  <c r="AU240" i="10"/>
  <c r="AS242" i="10"/>
  <c r="AT242" i="10"/>
  <c r="AU242" i="10"/>
  <c r="AS243" i="10"/>
  <c r="AT243" i="10"/>
  <c r="AU243" i="10"/>
  <c r="AS244" i="10"/>
  <c r="AT244" i="10"/>
  <c r="AU244" i="10"/>
  <c r="AS245" i="10"/>
  <c r="AT245" i="10"/>
  <c r="AU245" i="10"/>
  <c r="AS247" i="10"/>
  <c r="AT247" i="10"/>
  <c r="AU247" i="10"/>
  <c r="AS248" i="10"/>
  <c r="AT248" i="10"/>
  <c r="AU248" i="10"/>
  <c r="AS249" i="10"/>
  <c r="AT249" i="10"/>
  <c r="AU249" i="10"/>
  <c r="AS251" i="10"/>
  <c r="AT251" i="10"/>
  <c r="AU251" i="10"/>
  <c r="AS252" i="10"/>
  <c r="AT252" i="10"/>
  <c r="AU252" i="10"/>
  <c r="AS254" i="10"/>
  <c r="AT254" i="10"/>
  <c r="AU254" i="10"/>
  <c r="AS255" i="10"/>
  <c r="AT255" i="10"/>
  <c r="AU255" i="10"/>
  <c r="AS256" i="10"/>
  <c r="AT256" i="10"/>
  <c r="AU256" i="10"/>
  <c r="AS258" i="10"/>
  <c r="AT258" i="10"/>
  <c r="AU258" i="10"/>
  <c r="AS260" i="10"/>
  <c r="AT260" i="10"/>
  <c r="AU260" i="10"/>
  <c r="AS262" i="10"/>
  <c r="AT262" i="10"/>
  <c r="AU262" i="10"/>
  <c r="I11" i="22" l="1"/>
  <c r="Z214" i="9" l="1"/>
  <c r="AA214" i="9" s="1"/>
  <c r="Z211" i="9" l="1"/>
  <c r="AA211" i="9" s="1"/>
  <c r="H1974" i="6" l="1"/>
  <c r="I1974" i="6" s="1"/>
  <c r="J81" i="10" l="1"/>
  <c r="AE190" i="9"/>
  <c r="Z487" i="9"/>
  <c r="G83" i="10" l="1"/>
  <c r="G231" i="10"/>
  <c r="G232" i="10"/>
  <c r="I62" i="9"/>
  <c r="J62" i="9" s="1"/>
  <c r="M60" i="14"/>
  <c r="C117" i="14"/>
  <c r="C102" i="14"/>
  <c r="C107" i="14"/>
  <c r="G219" i="10" l="1"/>
  <c r="B397" i="8"/>
  <c r="J397" i="8"/>
  <c r="J398" i="8"/>
  <c r="J399" i="8"/>
  <c r="J402" i="8"/>
  <c r="D403" i="8"/>
  <c r="J403" i="8"/>
  <c r="J404" i="8"/>
  <c r="J418" i="8"/>
  <c r="A419" i="8"/>
  <c r="B419" i="8"/>
  <c r="J419" i="8"/>
  <c r="J421" i="8"/>
  <c r="J422" i="8"/>
  <c r="J423" i="8"/>
  <c r="J424" i="8"/>
  <c r="J425" i="8"/>
  <c r="J426" i="8"/>
  <c r="J428" i="8"/>
  <c r="J417" i="8" l="1"/>
  <c r="H1519" i="6"/>
  <c r="I1519" i="6" s="1"/>
  <c r="AF201" i="9"/>
  <c r="I121" i="10" l="1"/>
  <c r="J121" i="10"/>
  <c r="L121" i="10"/>
  <c r="M121" i="10"/>
  <c r="O121" i="10"/>
  <c r="P121" i="10"/>
  <c r="R121" i="10"/>
  <c r="S121" i="10"/>
  <c r="U121" i="10"/>
  <c r="V121" i="10"/>
  <c r="X121" i="10"/>
  <c r="Y121" i="10"/>
  <c r="AA121" i="10"/>
  <c r="AB121" i="10"/>
  <c r="AD121" i="10"/>
  <c r="AE121" i="10"/>
  <c r="AG121" i="10"/>
  <c r="AH121" i="10"/>
  <c r="AJ121" i="10"/>
  <c r="AT121" i="10" s="1"/>
  <c r="AK121" i="10"/>
  <c r="AU121" i="10" s="1"/>
  <c r="B122" i="10"/>
  <c r="C122" i="10"/>
  <c r="D122" i="10"/>
  <c r="J1323" i="6" l="1"/>
  <c r="A406" i="6"/>
  <c r="B406" i="6"/>
  <c r="C406" i="6"/>
  <c r="D406" i="6"/>
  <c r="J1325" i="6"/>
  <c r="J1290" i="6"/>
  <c r="H406" i="6"/>
  <c r="I406" i="6" s="1"/>
  <c r="H1055" i="6" l="1"/>
  <c r="H1050" i="6"/>
  <c r="H1044" i="6"/>
  <c r="H1041" i="6"/>
  <c r="H1040" i="6"/>
  <c r="J1545" i="6"/>
  <c r="I1044" i="6" l="1"/>
  <c r="J1044" i="6"/>
  <c r="I1040" i="6"/>
  <c r="J1040" i="6"/>
  <c r="I1055" i="6"/>
  <c r="J1055" i="6"/>
  <c r="I1041" i="6"/>
  <c r="J1041" i="6"/>
  <c r="I1050" i="6"/>
  <c r="J1050" i="6"/>
  <c r="I1855" i="6"/>
  <c r="I1919" i="6" s="1"/>
  <c r="I1347" i="6"/>
  <c r="I751" i="6"/>
  <c r="I955" i="6" s="1"/>
  <c r="I1590" i="6" s="1"/>
  <c r="I185" i="6"/>
  <c r="I470" i="6" s="1"/>
  <c r="I125" i="6"/>
  <c r="I296" i="6" l="1"/>
  <c r="I241" i="6"/>
  <c r="I360" i="6" s="1"/>
  <c r="I1088" i="6"/>
  <c r="I1160" i="6" s="1"/>
  <c r="I1023" i="6"/>
  <c r="I818" i="6"/>
  <c r="I884" i="6" s="1"/>
  <c r="J185" i="9"/>
  <c r="AJ91" i="10"/>
  <c r="AT91" i="10" s="1"/>
  <c r="L91" i="10"/>
  <c r="I91" i="10"/>
  <c r="H1151" i="6" s="1"/>
  <c r="H105" i="10"/>
  <c r="J105" i="10" s="1"/>
  <c r="I1222" i="6" l="1"/>
  <c r="I1278" i="6"/>
  <c r="I399" i="6"/>
  <c r="I567" i="6" s="1"/>
  <c r="I622" i="6" s="1"/>
  <c r="I2051" i="6" s="1"/>
  <c r="I2071" i="6" s="1"/>
  <c r="B76" i="13"/>
  <c r="I1718" i="6" l="1"/>
  <c r="I1786" i="6" s="1"/>
  <c r="I1479" i="6"/>
  <c r="I1388" i="6"/>
  <c r="I1442" i="6" s="1"/>
  <c r="I1526" i="6"/>
  <c r="I1124" i="7" l="1"/>
  <c r="I1062" i="7"/>
  <c r="I1016" i="7"/>
  <c r="I890" i="7"/>
  <c r="I785" i="7"/>
  <c r="I666" i="7"/>
  <c r="I312" i="7"/>
  <c r="I379" i="7" s="1"/>
  <c r="I443" i="7" s="1"/>
  <c r="I495" i="7" s="1"/>
  <c r="I217" i="7"/>
  <c r="G521" i="9" l="1"/>
  <c r="G522" i="9" s="1"/>
  <c r="G510" i="9"/>
  <c r="G511" i="9" s="1"/>
  <c r="AT115" i="10" l="1"/>
  <c r="J59" i="10" l="1"/>
  <c r="G59" i="10"/>
  <c r="AD176" i="10"/>
  <c r="AE176" i="10" s="1"/>
  <c r="AD103" i="11" s="1"/>
  <c r="O176" i="10"/>
  <c r="P176" i="10" s="1"/>
  <c r="O103" i="11" s="1"/>
  <c r="AK176" i="10"/>
  <c r="AH176" i="10"/>
  <c r="AG103" i="11" s="1"/>
  <c r="AB176" i="10"/>
  <c r="AA103" i="11" s="1"/>
  <c r="Y176" i="10"/>
  <c r="X103" i="11" s="1"/>
  <c r="V176" i="10"/>
  <c r="U103" i="11" s="1"/>
  <c r="S176" i="10"/>
  <c r="R103" i="11" s="1"/>
  <c r="M176" i="10"/>
  <c r="L103" i="11" s="1"/>
  <c r="J176" i="10"/>
  <c r="I103" i="11" s="1"/>
  <c r="G176" i="10"/>
  <c r="F103" i="11" s="1"/>
  <c r="D176" i="10"/>
  <c r="C103" i="11" s="1"/>
  <c r="AF22" i="9"/>
  <c r="AF21" i="9"/>
  <c r="R658" i="4"/>
  <c r="Q658" i="4"/>
  <c r="P658" i="4"/>
  <c r="O658" i="4"/>
  <c r="N658" i="4"/>
  <c r="M658" i="4"/>
  <c r="L658" i="4"/>
  <c r="K658" i="4"/>
  <c r="J658" i="4"/>
  <c r="AJ103" i="11" l="1"/>
  <c r="AU176" i="10"/>
  <c r="H694" i="7" l="1"/>
  <c r="I694" i="7" s="1"/>
  <c r="H691" i="7"/>
  <c r="I691" i="7" s="1"/>
  <c r="I690" i="7"/>
  <c r="H688" i="7"/>
  <c r="H687" i="7"/>
  <c r="I687" i="7" s="1"/>
  <c r="M52" i="48" l="1"/>
  <c r="I688" i="7"/>
  <c r="H1253" i="6"/>
  <c r="I1253" i="6" s="1"/>
  <c r="I1252" i="6"/>
  <c r="I1251" i="6"/>
  <c r="I1250" i="6"/>
  <c r="I1249" i="6"/>
  <c r="I1248" i="6"/>
  <c r="I1247" i="6"/>
  <c r="I1246" i="6"/>
  <c r="H320" i="6"/>
  <c r="I320" i="6" s="1"/>
  <c r="J1109" i="6"/>
  <c r="J1110" i="6"/>
  <c r="H1113" i="6"/>
  <c r="I1113" i="6" s="1"/>
  <c r="H1112" i="6"/>
  <c r="I1112" i="6" s="1"/>
  <c r="H1134" i="6"/>
  <c r="I1134" i="6" s="1"/>
  <c r="H1061" i="6"/>
  <c r="H1060" i="6"/>
  <c r="H1059" i="6"/>
  <c r="H1049" i="6"/>
  <c r="H1048" i="6"/>
  <c r="H1047" i="6"/>
  <c r="H1043" i="6"/>
  <c r="H1042" i="6"/>
  <c r="H1039" i="6"/>
  <c r="H981" i="6"/>
  <c r="I981" i="6" s="1"/>
  <c r="H980" i="6"/>
  <c r="I980" i="6" s="1"/>
  <c r="H979" i="6"/>
  <c r="I979" i="6" s="1"/>
  <c r="H978" i="6"/>
  <c r="I978" i="6" s="1"/>
  <c r="H975" i="6"/>
  <c r="I975" i="6" s="1"/>
  <c r="I1039" i="6" l="1"/>
  <c r="J1039" i="6"/>
  <c r="I1048" i="6"/>
  <c r="J1048" i="6"/>
  <c r="I1042" i="6"/>
  <c r="J1042" i="6"/>
  <c r="I1049" i="6"/>
  <c r="J1049" i="6"/>
  <c r="I1043" i="6"/>
  <c r="J1043" i="6"/>
  <c r="I1059" i="6"/>
  <c r="J1059" i="6"/>
  <c r="I1047" i="6"/>
  <c r="J1047" i="6"/>
  <c r="I1060" i="6"/>
  <c r="J1060" i="6"/>
  <c r="I1061" i="6"/>
  <c r="J1061" i="6"/>
  <c r="AF63" i="9"/>
  <c r="AJ63" i="9"/>
  <c r="AK63" i="9" s="1"/>
  <c r="AO63" i="9"/>
  <c r="AP63" i="9" s="1"/>
  <c r="AT63" i="9"/>
  <c r="AU63" i="9" s="1"/>
  <c r="AY63" i="9"/>
  <c r="AZ63" i="9" s="1"/>
  <c r="BD63" i="9"/>
  <c r="BE63" i="9" s="1"/>
  <c r="BI63" i="9"/>
  <c r="BJ63" i="9" s="1"/>
  <c r="BN63" i="9"/>
  <c r="BO63" i="9" s="1"/>
  <c r="BS63" i="9"/>
  <c r="BT63" i="9" s="1"/>
  <c r="BX63" i="9"/>
  <c r="BY63" i="9" s="1"/>
  <c r="V63" i="9"/>
  <c r="BK61" i="9"/>
  <c r="BN61" i="9" s="1"/>
  <c r="BF61" i="9"/>
  <c r="BI61" i="9" s="1"/>
  <c r="I198" i="3"/>
  <c r="J198" i="3" s="1"/>
  <c r="K198" i="3" s="1"/>
  <c r="L198" i="3" s="1"/>
  <c r="M198" i="3" s="1"/>
  <c r="N198" i="3" s="1"/>
  <c r="O198" i="3" s="1"/>
  <c r="P198" i="3" s="1"/>
  <c r="D107" i="14"/>
  <c r="H169" i="14"/>
  <c r="AD61" i="9"/>
  <c r="I1073" i="7"/>
  <c r="D393" i="7"/>
  <c r="C393" i="7"/>
  <c r="B393" i="7"/>
  <c r="A393" i="7"/>
  <c r="D392" i="7"/>
  <c r="C392" i="7"/>
  <c r="B392" i="7"/>
  <c r="A392" i="7"/>
  <c r="P393" i="7"/>
  <c r="O393" i="7"/>
  <c r="N393" i="7"/>
  <c r="M393" i="7"/>
  <c r="L393" i="7"/>
  <c r="K393" i="7"/>
  <c r="J393" i="7"/>
  <c r="H393" i="7"/>
  <c r="I393" i="7" s="1"/>
  <c r="H392" i="7"/>
  <c r="I392" i="7" s="1"/>
  <c r="I77" i="5"/>
  <c r="I48" i="5"/>
  <c r="I3" i="5"/>
  <c r="I475" i="5" s="1"/>
  <c r="H109" i="14" l="1"/>
  <c r="H108" i="14" s="1"/>
  <c r="I492" i="5"/>
  <c r="I119" i="5"/>
  <c r="I170" i="5"/>
  <c r="I279" i="5"/>
  <c r="I338" i="5"/>
  <c r="I464" i="5"/>
  <c r="I518" i="5"/>
  <c r="I85" i="5"/>
  <c r="I214" i="5"/>
  <c r="I404" i="5"/>
  <c r="N62" i="14" l="1"/>
  <c r="M62" i="14"/>
  <c r="M63" i="14" s="1"/>
  <c r="H149" i="14"/>
  <c r="AJ11" i="9"/>
  <c r="AK11" i="9" s="1"/>
  <c r="AK8" i="9"/>
  <c r="AK9" i="9"/>
  <c r="AK10" i="9"/>
  <c r="M105" i="10"/>
  <c r="M107" i="10"/>
  <c r="M108" i="10"/>
  <c r="M109" i="10"/>
  <c r="M110" i="10"/>
  <c r="M111" i="10"/>
  <c r="K102" i="10"/>
  <c r="L102" i="10" s="1"/>
  <c r="K17" i="10" s="1"/>
  <c r="N21" i="14" l="1"/>
  <c r="H148" i="14"/>
  <c r="M102" i="10"/>
  <c r="M21" i="14" l="1"/>
  <c r="H771" i="4" s="1"/>
  <c r="H150" i="14"/>
  <c r="J12" i="55"/>
  <c r="I133" i="9" s="1"/>
  <c r="AM133" i="9" s="1"/>
  <c r="I69" i="12" s="1"/>
  <c r="I40" i="40"/>
  <c r="AQ118" i="9" l="1"/>
  <c r="I487" i="4"/>
  <c r="I380" i="4"/>
  <c r="I51" i="4"/>
  <c r="I100" i="4" s="1"/>
  <c r="I168" i="4" s="1"/>
  <c r="I212" i="4" l="1"/>
  <c r="B622" i="7"/>
  <c r="I273" i="4" l="1"/>
  <c r="I262" i="4"/>
  <c r="BC49" i="21"/>
  <c r="L65" i="1"/>
  <c r="K65" i="1"/>
  <c r="N52" i="1"/>
  <c r="L52" i="1"/>
  <c r="K52" i="1"/>
  <c r="AJ16" i="22"/>
  <c r="AD140" i="22" l="1"/>
  <c r="AH140" i="22"/>
  <c r="AL140" i="22"/>
  <c r="AP140" i="22"/>
  <c r="AT140" i="22"/>
  <c r="AX140" i="22"/>
  <c r="BB140" i="22"/>
  <c r="BF140" i="22"/>
  <c r="BJ140" i="22"/>
  <c r="BN140" i="22"/>
  <c r="BU140" i="22"/>
  <c r="BV140" i="22" s="1"/>
  <c r="CH140" i="22"/>
  <c r="AD107" i="22"/>
  <c r="AH107" i="22"/>
  <c r="AL107" i="22"/>
  <c r="AP107" i="22"/>
  <c r="AT107" i="22"/>
  <c r="AX107" i="22"/>
  <c r="BB107" i="22"/>
  <c r="BF107" i="22"/>
  <c r="BJ107" i="22"/>
  <c r="BN107" i="22"/>
  <c r="BU107" i="22"/>
  <c r="BV107" i="22" s="1"/>
  <c r="CH107" i="22"/>
  <c r="AD108" i="22"/>
  <c r="AH108" i="22"/>
  <c r="AL108" i="22"/>
  <c r="AP108" i="22"/>
  <c r="AT108" i="22"/>
  <c r="AX108" i="22"/>
  <c r="BB108" i="22"/>
  <c r="BF108" i="22"/>
  <c r="BJ108" i="22"/>
  <c r="BN108" i="22"/>
  <c r="BU108" i="22"/>
  <c r="BV108" i="22" s="1"/>
  <c r="CH108" i="22"/>
  <c r="AD109" i="22"/>
  <c r="AH109" i="22"/>
  <c r="AL109" i="22"/>
  <c r="AP109" i="22"/>
  <c r="AT109" i="22"/>
  <c r="AX109" i="22"/>
  <c r="BB109" i="22"/>
  <c r="BF109" i="22"/>
  <c r="BJ109" i="22"/>
  <c r="BN109" i="22"/>
  <c r="BU109" i="22"/>
  <c r="BV109" i="22" s="1"/>
  <c r="CH109" i="22"/>
  <c r="AD86" i="22"/>
  <c r="AH86" i="22"/>
  <c r="AL86" i="22"/>
  <c r="AP86" i="22"/>
  <c r="AT86" i="22"/>
  <c r="AX86" i="22"/>
  <c r="BB86" i="22"/>
  <c r="BF86" i="22"/>
  <c r="BJ86" i="22"/>
  <c r="BN86" i="22"/>
  <c r="AD87" i="22"/>
  <c r="AH87" i="22"/>
  <c r="AL87" i="22"/>
  <c r="AP87" i="22"/>
  <c r="AT87" i="22"/>
  <c r="AX87" i="22"/>
  <c r="BB87" i="22"/>
  <c r="BF87" i="22"/>
  <c r="BJ87" i="22"/>
  <c r="BN87" i="22"/>
  <c r="AD66" i="22"/>
  <c r="AH66" i="22"/>
  <c r="AL66" i="22"/>
  <c r="AP66" i="22"/>
  <c r="AT66" i="22"/>
  <c r="AX66" i="22"/>
  <c r="BB66" i="22"/>
  <c r="BF66" i="22"/>
  <c r="BJ66" i="22"/>
  <c r="BN66" i="22"/>
  <c r="BU66" i="22"/>
  <c r="BV66" i="22" s="1"/>
  <c r="CH66" i="22"/>
  <c r="AD62" i="22"/>
  <c r="AH62" i="22"/>
  <c r="AL62" i="22"/>
  <c r="AP62" i="22"/>
  <c r="AT62" i="22"/>
  <c r="AX62" i="22"/>
  <c r="BB62" i="22"/>
  <c r="BF62" i="22"/>
  <c r="BJ62" i="22"/>
  <c r="BN62" i="22"/>
  <c r="BU62" i="22"/>
  <c r="BV62" i="22" s="1"/>
  <c r="CH62" i="22"/>
  <c r="AD54" i="22"/>
  <c r="AH54" i="22"/>
  <c r="AL54" i="22"/>
  <c r="AP54" i="22"/>
  <c r="AT54" i="22"/>
  <c r="AX54" i="22"/>
  <c r="BB54" i="22"/>
  <c r="BF54" i="22"/>
  <c r="BJ54" i="22"/>
  <c r="BN54" i="22"/>
  <c r="BU54" i="22"/>
  <c r="BV54" i="22" s="1"/>
  <c r="CH54" i="22"/>
  <c r="AD55" i="22"/>
  <c r="AH55" i="22"/>
  <c r="AL55" i="22"/>
  <c r="AP55" i="22"/>
  <c r="AT55" i="22"/>
  <c r="AX55" i="22"/>
  <c r="BB55" i="22"/>
  <c r="BF55" i="22"/>
  <c r="BJ55" i="22"/>
  <c r="BN55" i="22"/>
  <c r="BU55" i="22"/>
  <c r="CI55" i="22" s="1"/>
  <c r="CH55" i="22"/>
  <c r="AD48" i="22"/>
  <c r="AH48" i="22"/>
  <c r="AL48" i="22"/>
  <c r="AP48" i="22"/>
  <c r="AT48" i="22"/>
  <c r="AX48" i="22"/>
  <c r="BB48" i="22"/>
  <c r="BF48" i="22"/>
  <c r="BJ48" i="22"/>
  <c r="BN48" i="22"/>
  <c r="BU48" i="22"/>
  <c r="BV48" i="22" s="1"/>
  <c r="CH48" i="22"/>
  <c r="AD32" i="22"/>
  <c r="AH32" i="22"/>
  <c r="AL32" i="22"/>
  <c r="AP32" i="22"/>
  <c r="AT32" i="22"/>
  <c r="AX32" i="22"/>
  <c r="BB32" i="22"/>
  <c r="BF32" i="22"/>
  <c r="BJ32" i="22"/>
  <c r="BN32" i="22"/>
  <c r="BU32" i="22"/>
  <c r="BV32" i="22" s="1"/>
  <c r="CH32" i="22"/>
  <c r="AD33" i="22"/>
  <c r="AH33" i="22"/>
  <c r="AL33" i="22"/>
  <c r="AP33" i="22"/>
  <c r="AT33" i="22"/>
  <c r="AX33" i="22"/>
  <c r="BB33" i="22"/>
  <c r="BF33" i="22"/>
  <c r="BJ33" i="22"/>
  <c r="BN33" i="22"/>
  <c r="BU33" i="22"/>
  <c r="BV33" i="22" s="1"/>
  <c r="CH33" i="22"/>
  <c r="AD20" i="22"/>
  <c r="AH20" i="22"/>
  <c r="AL20" i="22"/>
  <c r="AP20" i="22"/>
  <c r="AT20" i="22"/>
  <c r="AX20" i="22"/>
  <c r="BB20" i="22"/>
  <c r="BF20" i="22"/>
  <c r="BJ20" i="22"/>
  <c r="BN20" i="22"/>
  <c r="BU20" i="22"/>
  <c r="BV20" i="22" s="1"/>
  <c r="CH20" i="22"/>
  <c r="AD21" i="22"/>
  <c r="AH21" i="22"/>
  <c r="AL21" i="22"/>
  <c r="AP21" i="22"/>
  <c r="AT21" i="22"/>
  <c r="AX21" i="22"/>
  <c r="BB21" i="22"/>
  <c r="BF21" i="22"/>
  <c r="BJ21" i="22"/>
  <c r="BN21" i="22"/>
  <c r="BU21" i="22"/>
  <c r="BV21" i="22" s="1"/>
  <c r="CH21" i="22"/>
  <c r="AD22" i="22"/>
  <c r="AH22" i="22"/>
  <c r="AL22" i="22"/>
  <c r="AP22" i="22"/>
  <c r="AT22" i="22"/>
  <c r="AX22" i="22"/>
  <c r="BB22" i="22"/>
  <c r="BF22" i="22"/>
  <c r="BJ22" i="22"/>
  <c r="BN22" i="22"/>
  <c r="BU22" i="22"/>
  <c r="BV22" i="22" s="1"/>
  <c r="CH22" i="22"/>
  <c r="AD23" i="22"/>
  <c r="AH23" i="22"/>
  <c r="AL23" i="22"/>
  <c r="AP23" i="22"/>
  <c r="AT23" i="22"/>
  <c r="AX23" i="22"/>
  <c r="BB23" i="22"/>
  <c r="BF23" i="22"/>
  <c r="BJ23" i="22"/>
  <c r="BN23" i="22"/>
  <c r="BU23" i="22"/>
  <c r="BV23" i="22" s="1"/>
  <c r="CH23" i="22"/>
  <c r="AC71" i="21"/>
  <c r="AG71" i="21"/>
  <c r="AK71" i="21"/>
  <c r="AO71" i="21"/>
  <c r="AS71" i="21"/>
  <c r="AW71" i="21"/>
  <c r="BA71" i="21"/>
  <c r="BE71" i="21"/>
  <c r="BI71" i="21"/>
  <c r="BM71" i="21"/>
  <c r="BT71" i="21"/>
  <c r="CG71" i="21"/>
  <c r="AC59" i="21"/>
  <c r="AG59" i="21"/>
  <c r="AK59" i="21"/>
  <c r="AO59" i="21"/>
  <c r="AS59" i="21"/>
  <c r="AW59" i="21"/>
  <c r="BA59" i="21"/>
  <c r="BE59" i="21"/>
  <c r="BI59" i="21"/>
  <c r="BM59" i="21"/>
  <c r="BT59" i="21"/>
  <c r="CG59" i="21"/>
  <c r="AC19" i="21"/>
  <c r="AE19" i="21"/>
  <c r="AG19" i="21" s="1"/>
  <c r="AI19" i="21"/>
  <c r="AK19" i="21" s="1"/>
  <c r="AM19" i="21"/>
  <c r="AO19" i="21" s="1"/>
  <c r="AQ19" i="21"/>
  <c r="AS19" i="21" s="1"/>
  <c r="AU19" i="21"/>
  <c r="AW19" i="21" s="1"/>
  <c r="AY19" i="21"/>
  <c r="BA19" i="21" s="1"/>
  <c r="BC19" i="21"/>
  <c r="BE19" i="21" s="1"/>
  <c r="BI19" i="21"/>
  <c r="BM19" i="21"/>
  <c r="BT19" i="21"/>
  <c r="BU19" i="21" s="1"/>
  <c r="BV19" i="21" s="1"/>
  <c r="BW19" i="21" s="1"/>
  <c r="BX19" i="21" s="1"/>
  <c r="BY19" i="21" s="1"/>
  <c r="BZ19" i="21" s="1"/>
  <c r="CA19" i="21" s="1"/>
  <c r="CB19" i="21" s="1"/>
  <c r="CC19" i="21" s="1"/>
  <c r="CD19" i="21" s="1"/>
  <c r="AC20" i="21"/>
  <c r="AE20" i="21"/>
  <c r="AG20" i="21" s="1"/>
  <c r="AI20" i="21"/>
  <c r="AK20" i="21" s="1"/>
  <c r="AM20" i="21"/>
  <c r="AO20" i="21" s="1"/>
  <c r="AQ20" i="21"/>
  <c r="AS20" i="21" s="1"/>
  <c r="AU20" i="21"/>
  <c r="AW20" i="21" s="1"/>
  <c r="AY20" i="21"/>
  <c r="BA20" i="21" s="1"/>
  <c r="BC20" i="21"/>
  <c r="BE20" i="21" s="1"/>
  <c r="BI20" i="21"/>
  <c r="BM20" i="21"/>
  <c r="BT20" i="21"/>
  <c r="BU20" i="21" s="1"/>
  <c r="BV20" i="21" s="1"/>
  <c r="BW20" i="21" s="1"/>
  <c r="BX20" i="21" s="1"/>
  <c r="BY20" i="21" s="1"/>
  <c r="BZ20" i="21" s="1"/>
  <c r="CA20" i="21" s="1"/>
  <c r="CB20" i="21" s="1"/>
  <c r="CC20" i="21" s="1"/>
  <c r="CD20" i="21" s="1"/>
  <c r="AG25" i="21"/>
  <c r="AK25" i="21"/>
  <c r="AO25" i="21"/>
  <c r="AS25" i="21"/>
  <c r="AW25" i="21"/>
  <c r="BA25" i="21"/>
  <c r="BE25" i="21"/>
  <c r="BI25" i="21"/>
  <c r="BM25" i="21"/>
  <c r="AC25" i="21"/>
  <c r="J75" i="4"/>
  <c r="H75" i="4"/>
  <c r="I75" i="4" s="1"/>
  <c r="D75" i="4"/>
  <c r="C75" i="4"/>
  <c r="B75" i="4"/>
  <c r="A75" i="4"/>
  <c r="H677" i="4"/>
  <c r="I677" i="4" s="1"/>
  <c r="J513" i="8"/>
  <c r="M26" i="48"/>
  <c r="H191" i="7"/>
  <c r="I191" i="7" s="1"/>
  <c r="H85" i="7"/>
  <c r="I85" i="7" s="1"/>
  <c r="H90" i="7"/>
  <c r="I90" i="7" s="1"/>
  <c r="H76" i="7"/>
  <c r="I76" i="7" s="1"/>
  <c r="H93" i="7"/>
  <c r="I93" i="7" s="1"/>
  <c r="H96" i="7"/>
  <c r="I96" i="7" s="1"/>
  <c r="H99" i="7"/>
  <c r="I99" i="7" s="1"/>
  <c r="H86" i="7"/>
  <c r="I86" i="7" s="1"/>
  <c r="H87" i="7"/>
  <c r="I87" i="7" s="1"/>
  <c r="H3" i="7"/>
  <c r="H785" i="7" s="1"/>
  <c r="J804" i="7"/>
  <c r="J805" i="7"/>
  <c r="J1564" i="6"/>
  <c r="H1563" i="6"/>
  <c r="I1563" i="6" s="1"/>
  <c r="H1558" i="6"/>
  <c r="I1558" i="6" s="1"/>
  <c r="H1554" i="6"/>
  <c r="I1554" i="6" s="1"/>
  <c r="H1328" i="6"/>
  <c r="I1328" i="6" s="1"/>
  <c r="H1314" i="6"/>
  <c r="I1314" i="6" s="1"/>
  <c r="H438" i="5"/>
  <c r="I438" i="5" s="1"/>
  <c r="H432" i="5"/>
  <c r="I432" i="5" s="1"/>
  <c r="H54" i="5"/>
  <c r="I54" i="5" s="1"/>
  <c r="H252" i="5"/>
  <c r="I252" i="5" s="1"/>
  <c r="H426" i="5"/>
  <c r="I426" i="5" s="1"/>
  <c r="H374" i="5"/>
  <c r="I374" i="5" s="1"/>
  <c r="H365" i="5"/>
  <c r="J493" i="4"/>
  <c r="J495" i="4"/>
  <c r="J498" i="4"/>
  <c r="J499" i="4"/>
  <c r="J503" i="4"/>
  <c r="J505" i="4"/>
  <c r="J506" i="4"/>
  <c r="H573" i="4"/>
  <c r="I573" i="4" s="1"/>
  <c r="H574" i="4"/>
  <c r="I574" i="4" s="1"/>
  <c r="H469" i="4"/>
  <c r="I469" i="4" s="1"/>
  <c r="H902" i="7"/>
  <c r="H903" i="7"/>
  <c r="I903" i="7" s="1"/>
  <c r="H898" i="7"/>
  <c r="H897" i="7"/>
  <c r="H896" i="7"/>
  <c r="H851" i="7"/>
  <c r="I851" i="7" s="1"/>
  <c r="I850" i="7"/>
  <c r="H832" i="7"/>
  <c r="I832" i="7" s="1"/>
  <c r="H841" i="7"/>
  <c r="I841" i="7" s="1"/>
  <c r="H836" i="7"/>
  <c r="H834" i="7"/>
  <c r="I834" i="7" s="1"/>
  <c r="H831" i="7"/>
  <c r="I831" i="7" s="1"/>
  <c r="H130" i="10"/>
  <c r="H830" i="7"/>
  <c r="I830" i="7" s="1"/>
  <c r="H833" i="7"/>
  <c r="I833" i="7" s="1"/>
  <c r="H829" i="7"/>
  <c r="I829" i="7" s="1"/>
  <c r="AG25" i="10"/>
  <c r="AD25" i="10"/>
  <c r="P418" i="4" s="1"/>
  <c r="P91" i="4" s="1"/>
  <c r="AA25" i="10"/>
  <c r="X25" i="10"/>
  <c r="N418" i="4" s="1"/>
  <c r="N91" i="4" s="1"/>
  <c r="U25" i="10"/>
  <c r="M418" i="4" s="1"/>
  <c r="M91" i="4" s="1"/>
  <c r="R25" i="10"/>
  <c r="L418" i="4" s="1"/>
  <c r="L91" i="4" s="1"/>
  <c r="L25" i="10"/>
  <c r="O25" i="10"/>
  <c r="I25" i="10"/>
  <c r="H418" i="4" s="1"/>
  <c r="C460" i="7"/>
  <c r="C74" i="7" s="1"/>
  <c r="D460" i="7"/>
  <c r="D463" i="4"/>
  <c r="C463" i="4"/>
  <c r="I443" i="4"/>
  <c r="H612" i="4"/>
  <c r="I612" i="4" s="1"/>
  <c r="H963" i="7"/>
  <c r="F18" i="4"/>
  <c r="F28" i="4" s="1"/>
  <c r="P3" i="9"/>
  <c r="O3" i="9"/>
  <c r="N3" i="9"/>
  <c r="M3" i="9"/>
  <c r="M88" i="9" s="1"/>
  <c r="M174" i="9" s="1"/>
  <c r="K84" i="48"/>
  <c r="D67" i="7"/>
  <c r="C67" i="7"/>
  <c r="B67" i="7"/>
  <c r="A67" i="7"/>
  <c r="A85" i="7"/>
  <c r="D85" i="7"/>
  <c r="A86" i="7"/>
  <c r="B86" i="7"/>
  <c r="C86" i="7"/>
  <c r="D86" i="7"/>
  <c r="A87" i="7"/>
  <c r="B87" i="7"/>
  <c r="C87" i="7"/>
  <c r="D87" i="7"/>
  <c r="D88" i="7"/>
  <c r="A89" i="7"/>
  <c r="B89" i="7"/>
  <c r="C89" i="7"/>
  <c r="D89" i="7"/>
  <c r="A90" i="7"/>
  <c r="B90" i="7"/>
  <c r="C90" i="7"/>
  <c r="D90" i="7"/>
  <c r="C456" i="7"/>
  <c r="B456" i="7"/>
  <c r="A456" i="7"/>
  <c r="D713" i="7"/>
  <c r="D538" i="7"/>
  <c r="D115" i="7" s="1"/>
  <c r="C538" i="7"/>
  <c r="C115" i="7" s="1"/>
  <c r="B538" i="7"/>
  <c r="B115" i="7" s="1"/>
  <c r="G272" i="3"/>
  <c r="L17" i="14"/>
  <c r="J17" i="14"/>
  <c r="I17" i="14"/>
  <c r="K17" i="14"/>
  <c r="K19" i="14"/>
  <c r="I19" i="14"/>
  <c r="J19" i="14"/>
  <c r="J16" i="14"/>
  <c r="I16" i="14"/>
  <c r="E96" i="14"/>
  <c r="E219" i="14"/>
  <c r="F219" i="14" s="1"/>
  <c r="E218" i="14"/>
  <c r="F218" i="14" s="1"/>
  <c r="E215" i="14"/>
  <c r="E195" i="14" s="1"/>
  <c r="F90" i="14" s="1"/>
  <c r="E214" i="14"/>
  <c r="E194" i="14" s="1"/>
  <c r="E213" i="14"/>
  <c r="F213" i="14" s="1"/>
  <c r="E212" i="14"/>
  <c r="F212" i="14" s="1"/>
  <c r="E211" i="14"/>
  <c r="F211" i="14" s="1"/>
  <c r="G211" i="14" s="1"/>
  <c r="E210" i="14"/>
  <c r="E190" i="14" s="1"/>
  <c r="F85" i="14" s="1"/>
  <c r="E209" i="14"/>
  <c r="F209" i="14" s="1"/>
  <c r="C132" i="14"/>
  <c r="C17" i="14" s="1"/>
  <c r="A137" i="14"/>
  <c r="A132" i="14"/>
  <c r="E140" i="14"/>
  <c r="D193" i="14"/>
  <c r="D192" i="14"/>
  <c r="A195" i="14"/>
  <c r="A215" i="14" s="1"/>
  <c r="A194" i="14"/>
  <c r="A214" i="14" s="1"/>
  <c r="A199" i="14"/>
  <c r="A219" i="14" s="1"/>
  <c r="A198" i="14"/>
  <c r="A218" i="14" s="1"/>
  <c r="AD18" i="9"/>
  <c r="AF18" i="9" s="1"/>
  <c r="D174" i="14"/>
  <c r="D194" i="14" s="1"/>
  <c r="CS156" i="9"/>
  <c r="CF156" i="9"/>
  <c r="CG156" i="9" s="1"/>
  <c r="CF138" i="9"/>
  <c r="CG138" i="9" s="1"/>
  <c r="CH138" i="9" s="1"/>
  <c r="CI138" i="9" s="1"/>
  <c r="CJ138" i="9" s="1"/>
  <c r="CK138" i="9" s="1"/>
  <c r="CL138" i="9" s="1"/>
  <c r="CM138" i="9" s="1"/>
  <c r="CN138" i="9" s="1"/>
  <c r="CO138" i="9" s="1"/>
  <c r="CP138" i="9" s="1"/>
  <c r="CF137" i="9"/>
  <c r="CG137" i="9" s="1"/>
  <c r="CF136" i="9"/>
  <c r="CF135" i="9"/>
  <c r="CF134" i="9"/>
  <c r="CF133" i="9"/>
  <c r="CG133" i="9" s="1"/>
  <c r="CL98" i="9"/>
  <c r="CM98" i="9" s="1"/>
  <c r="CN98" i="9" s="1"/>
  <c r="CO98" i="9" s="1"/>
  <c r="CP98" i="9" s="1"/>
  <c r="CL97" i="9"/>
  <c r="CM97" i="9" s="1"/>
  <c r="CN97" i="9" s="1"/>
  <c r="CO97" i="9" s="1"/>
  <c r="CP97" i="9" s="1"/>
  <c r="CQ97" i="9" s="1"/>
  <c r="DE97" i="9" s="1"/>
  <c r="CS37" i="9"/>
  <c r="CF37" i="9"/>
  <c r="CS36" i="9"/>
  <c r="CF36" i="9"/>
  <c r="CS63" i="9"/>
  <c r="CF63" i="9"/>
  <c r="CS33" i="9"/>
  <c r="CS32" i="9"/>
  <c r="CS31" i="9"/>
  <c r="CT18" i="9"/>
  <c r="R64" i="9"/>
  <c r="S64" i="9"/>
  <c r="T64" i="9"/>
  <c r="T66" i="9" s="1"/>
  <c r="X64" i="9"/>
  <c r="X66" i="9" s="1"/>
  <c r="AC64" i="9"/>
  <c r="AC66" i="9" s="1"/>
  <c r="AD64" i="9"/>
  <c r="AG64" i="9"/>
  <c r="AH64" i="9"/>
  <c r="AH66" i="9" s="1"/>
  <c r="AI64" i="9"/>
  <c r="AL64" i="9"/>
  <c r="AM64" i="9"/>
  <c r="AN64" i="9"/>
  <c r="AQ64" i="9"/>
  <c r="AQ66" i="9" s="1"/>
  <c r="AR64" i="9"/>
  <c r="AR66" i="9" s="1"/>
  <c r="AS64" i="9"/>
  <c r="AV64" i="9"/>
  <c r="AV66" i="9" s="1"/>
  <c r="AW64" i="9"/>
  <c r="AX64" i="9"/>
  <c r="AX66" i="9" s="1"/>
  <c r="BA64" i="9"/>
  <c r="BA66" i="9" s="1"/>
  <c r="BB64" i="9"/>
  <c r="BB66" i="9" s="1"/>
  <c r="BC64" i="9"/>
  <c r="BC66" i="9" s="1"/>
  <c r="BF64" i="9"/>
  <c r="BF66" i="9" s="1"/>
  <c r="BG64" i="9"/>
  <c r="BG66" i="9" s="1"/>
  <c r="BH64" i="9"/>
  <c r="BH66" i="9" s="1"/>
  <c r="BK64" i="9"/>
  <c r="BL64" i="9"/>
  <c r="BM64" i="9"/>
  <c r="BM66" i="9" s="1"/>
  <c r="BP64" i="9"/>
  <c r="BP66" i="9" s="1"/>
  <c r="BQ64" i="9"/>
  <c r="BQ66" i="9" s="1"/>
  <c r="BR64" i="9"/>
  <c r="BU64" i="9"/>
  <c r="R1118" i="7" s="1"/>
  <c r="BV64" i="9"/>
  <c r="BW64" i="9"/>
  <c r="BW66" i="9" s="1"/>
  <c r="F64" i="9"/>
  <c r="Z55" i="9"/>
  <c r="AA55" i="9" s="1"/>
  <c r="G52" i="10"/>
  <c r="F34" i="11" s="1"/>
  <c r="J1743" i="6"/>
  <c r="AA198" i="9"/>
  <c r="AA455" i="9"/>
  <c r="AA452" i="9"/>
  <c r="Z456" i="9"/>
  <c r="Z442" i="9"/>
  <c r="Z460" i="9"/>
  <c r="X152" i="9"/>
  <c r="AA152" i="9" s="1"/>
  <c r="AA342" i="9"/>
  <c r="AA298" i="9"/>
  <c r="AA356" i="9"/>
  <c r="AA407" i="9"/>
  <c r="AA408" i="9"/>
  <c r="X308" i="9"/>
  <c r="AA308" i="9" s="1"/>
  <c r="X307" i="9"/>
  <c r="H392" i="9"/>
  <c r="I392" i="9"/>
  <c r="J392" i="9"/>
  <c r="K392" i="9"/>
  <c r="L392" i="9"/>
  <c r="M392" i="9"/>
  <c r="N392" i="9"/>
  <c r="O392" i="9"/>
  <c r="P392" i="9"/>
  <c r="T392" i="9"/>
  <c r="X392" i="9"/>
  <c r="Y392" i="9"/>
  <c r="Z392" i="9"/>
  <c r="AA303" i="9"/>
  <c r="AA273" i="9"/>
  <c r="AA255" i="9"/>
  <c r="C540" i="6"/>
  <c r="D539" i="6"/>
  <c r="C539" i="6"/>
  <c r="B540" i="6"/>
  <c r="B539" i="6"/>
  <c r="A540" i="6"/>
  <c r="A539" i="6"/>
  <c r="H234" i="7"/>
  <c r="I234" i="7" s="1"/>
  <c r="D234" i="7"/>
  <c r="C234" i="7"/>
  <c r="B234" i="7"/>
  <c r="A234" i="7"/>
  <c r="D1906" i="6"/>
  <c r="D1907" i="6"/>
  <c r="I126" i="11"/>
  <c r="F126" i="11"/>
  <c r="C126" i="11"/>
  <c r="D126" i="11" s="1"/>
  <c r="E126" i="11" s="1"/>
  <c r="R1213" i="6"/>
  <c r="P1213" i="6"/>
  <c r="O1213" i="6"/>
  <c r="N1213" i="6"/>
  <c r="M1213" i="6"/>
  <c r="L1213" i="6"/>
  <c r="K1213" i="6"/>
  <c r="J1213" i="6"/>
  <c r="J1212" i="6"/>
  <c r="I1212" i="6"/>
  <c r="N212" i="10"/>
  <c r="K1212" i="6" s="1"/>
  <c r="M212" i="10"/>
  <c r="L126" i="11" s="1"/>
  <c r="AF99" i="9"/>
  <c r="R171" i="10"/>
  <c r="S171" i="10" s="1"/>
  <c r="U171" i="10"/>
  <c r="V171" i="10" s="1"/>
  <c r="G313" i="34"/>
  <c r="H313" i="34" s="1"/>
  <c r="G312" i="34"/>
  <c r="H312" i="34" s="1"/>
  <c r="G311" i="34"/>
  <c r="H311" i="34" s="1"/>
  <c r="I311" i="34" s="1"/>
  <c r="J311" i="34" s="1"/>
  <c r="K311" i="34" s="1"/>
  <c r="L311" i="34" s="1"/>
  <c r="M311" i="34" s="1"/>
  <c r="N311" i="34" s="1"/>
  <c r="H54" i="34"/>
  <c r="I54" i="34" s="1"/>
  <c r="M193" i="10"/>
  <c r="J193" i="10"/>
  <c r="I118" i="11" s="1"/>
  <c r="AF100" i="9"/>
  <c r="AF101" i="9"/>
  <c r="AF102" i="9"/>
  <c r="AF103" i="9"/>
  <c r="AF104" i="9"/>
  <c r="AF105" i="9"/>
  <c r="AF106" i="9"/>
  <c r="W9" i="37"/>
  <c r="V9" i="37"/>
  <c r="U9" i="37"/>
  <c r="O46" i="58"/>
  <c r="O44" i="58" s="1"/>
  <c r="R2042" i="6"/>
  <c r="O42" i="58" s="1"/>
  <c r="R2016" i="6"/>
  <c r="R716" i="6" s="1"/>
  <c r="R1970" i="6"/>
  <c r="R684" i="6" s="1"/>
  <c r="R1653" i="6"/>
  <c r="R521" i="6" s="1"/>
  <c r="R1470" i="6"/>
  <c r="R1471" i="6"/>
  <c r="R1380" i="6"/>
  <c r="R1150" i="6"/>
  <c r="R1064" i="6"/>
  <c r="R1014" i="6"/>
  <c r="R229" i="6" s="1"/>
  <c r="P1014" i="6"/>
  <c r="P229" i="6" s="1"/>
  <c r="R1015" i="6"/>
  <c r="R230" i="6" s="1"/>
  <c r="AJ171" i="10"/>
  <c r="R812" i="6"/>
  <c r="R118" i="6" s="1"/>
  <c r="R810" i="6"/>
  <c r="R116" i="6" s="1"/>
  <c r="R53" i="20"/>
  <c r="AF10" i="20" s="1"/>
  <c r="I99" i="20"/>
  <c r="H99" i="20"/>
  <c r="G99" i="20"/>
  <c r="BJ73" i="21"/>
  <c r="P78" i="21" s="1"/>
  <c r="BK73" i="21"/>
  <c r="P79" i="21" s="1"/>
  <c r="BL73" i="21"/>
  <c r="P80" i="21" s="1"/>
  <c r="BG73" i="21"/>
  <c r="O72" i="16" s="1"/>
  <c r="O75" i="16" s="1"/>
  <c r="BF73" i="21"/>
  <c r="O78" i="21" s="1"/>
  <c r="BM65" i="21"/>
  <c r="BM64" i="21"/>
  <c r="BM60" i="21"/>
  <c r="BM58" i="21"/>
  <c r="BM57" i="21"/>
  <c r="BM56" i="21"/>
  <c r="BM53" i="21"/>
  <c r="BM52" i="21"/>
  <c r="BM51" i="21"/>
  <c r="BM50" i="21"/>
  <c r="BM49" i="21"/>
  <c r="BM48" i="21"/>
  <c r="BM47" i="21"/>
  <c r="BM46" i="21"/>
  <c r="BM45" i="21"/>
  <c r="BM44" i="21"/>
  <c r="BM43" i="21"/>
  <c r="BM42" i="21"/>
  <c r="BM41" i="21"/>
  <c r="BM40" i="21"/>
  <c r="BM37" i="21"/>
  <c r="BM36" i="21"/>
  <c r="BM35" i="21"/>
  <c r="BM34" i="21"/>
  <c r="BM33" i="21"/>
  <c r="BM30" i="21"/>
  <c r="BM29" i="21"/>
  <c r="BM28" i="21"/>
  <c r="BM24" i="21"/>
  <c r="BM18" i="21"/>
  <c r="BM17" i="21"/>
  <c r="BM16" i="21"/>
  <c r="BM15" i="21"/>
  <c r="BM14" i="21"/>
  <c r="BM11" i="21"/>
  <c r="BI11" i="21"/>
  <c r="BE11" i="21"/>
  <c r="BA11" i="21"/>
  <c r="AW11" i="21"/>
  <c r="AS11" i="21"/>
  <c r="AO11" i="21"/>
  <c r="AK11" i="21"/>
  <c r="AG11" i="21"/>
  <c r="AC11" i="21"/>
  <c r="BM10" i="21"/>
  <c r="BI10" i="21"/>
  <c r="BE10" i="21"/>
  <c r="BA10" i="21"/>
  <c r="AW10" i="21"/>
  <c r="AS10" i="21"/>
  <c r="AO10" i="21"/>
  <c r="AK10" i="21"/>
  <c r="AG10" i="21"/>
  <c r="AC10" i="21"/>
  <c r="BE9" i="21"/>
  <c r="BA9" i="21"/>
  <c r="AW9" i="21"/>
  <c r="AS9" i="21"/>
  <c r="AO9" i="21"/>
  <c r="AK9" i="21"/>
  <c r="AG9" i="21"/>
  <c r="AC9" i="21"/>
  <c r="BM7" i="21"/>
  <c r="BI7" i="21"/>
  <c r="BE7" i="21"/>
  <c r="BA7" i="21"/>
  <c r="AW7" i="21"/>
  <c r="AS7" i="21"/>
  <c r="AO7" i="21"/>
  <c r="AK7" i="21"/>
  <c r="AG7" i="21"/>
  <c r="AC7" i="21"/>
  <c r="BM8" i="21"/>
  <c r="BT58" i="21"/>
  <c r="BT57" i="21"/>
  <c r="BU57" i="21" s="1"/>
  <c r="BT56" i="21"/>
  <c r="BT17" i="21"/>
  <c r="BU17" i="21" s="1"/>
  <c r="BT16" i="21"/>
  <c r="BU16" i="21" s="1"/>
  <c r="BU139" i="22"/>
  <c r="BV139" i="22" s="1"/>
  <c r="BW139" i="22" s="1"/>
  <c r="BX139" i="22" s="1"/>
  <c r="BY139" i="22" s="1"/>
  <c r="BZ139" i="22" s="1"/>
  <c r="CA139" i="22" s="1"/>
  <c r="CB139" i="22" s="1"/>
  <c r="CC139" i="22" s="1"/>
  <c r="CD139" i="22" s="1"/>
  <c r="CE139" i="22" s="1"/>
  <c r="BU138" i="22"/>
  <c r="BV138" i="22" s="1"/>
  <c r="BU137" i="22"/>
  <c r="BV137" i="22" s="1"/>
  <c r="BW137" i="22" s="1"/>
  <c r="BX137" i="22" s="1"/>
  <c r="BY137" i="22" s="1"/>
  <c r="BZ137" i="22" s="1"/>
  <c r="CA137" i="22" s="1"/>
  <c r="CB137" i="22" s="1"/>
  <c r="CC137" i="22" s="1"/>
  <c r="CD137" i="22" s="1"/>
  <c r="CE137" i="22" s="1"/>
  <c r="BU136" i="22"/>
  <c r="BV136" i="22" s="1"/>
  <c r="BW136" i="22" s="1"/>
  <c r="BX136" i="22" s="1"/>
  <c r="BY136" i="22" s="1"/>
  <c r="BZ136" i="22" s="1"/>
  <c r="CA136" i="22" s="1"/>
  <c r="CB136" i="22" s="1"/>
  <c r="CC136" i="22" s="1"/>
  <c r="CD136" i="22" s="1"/>
  <c r="CE136" i="22" s="1"/>
  <c r="BU135" i="22"/>
  <c r="BV135" i="22" s="1"/>
  <c r="BW135" i="22" s="1"/>
  <c r="BX135" i="22" s="1"/>
  <c r="BY135" i="22" s="1"/>
  <c r="BZ135" i="22" s="1"/>
  <c r="CA135" i="22" s="1"/>
  <c r="CB135" i="22" s="1"/>
  <c r="CC135" i="22" s="1"/>
  <c r="CD135" i="22" s="1"/>
  <c r="CE135" i="22" s="1"/>
  <c r="BU134" i="22"/>
  <c r="BV134" i="22" s="1"/>
  <c r="BW134" i="22" s="1"/>
  <c r="BX134" i="22" s="1"/>
  <c r="BY134" i="22" s="1"/>
  <c r="BZ134" i="22" s="1"/>
  <c r="CA134" i="22" s="1"/>
  <c r="CB134" i="22" s="1"/>
  <c r="CC134" i="22" s="1"/>
  <c r="CD134" i="22" s="1"/>
  <c r="CE134" i="22" s="1"/>
  <c r="BU133" i="22"/>
  <c r="BV133" i="22" s="1"/>
  <c r="BW133" i="22" s="1"/>
  <c r="BX133" i="22" s="1"/>
  <c r="BY133" i="22" s="1"/>
  <c r="BZ133" i="22" s="1"/>
  <c r="CA133" i="22" s="1"/>
  <c r="CB133" i="22" s="1"/>
  <c r="CC133" i="22" s="1"/>
  <c r="CD133" i="22" s="1"/>
  <c r="CE133" i="22" s="1"/>
  <c r="BU132" i="22"/>
  <c r="BV132" i="22" s="1"/>
  <c r="BW132" i="22" s="1"/>
  <c r="BX132" i="22" s="1"/>
  <c r="BY132" i="22" s="1"/>
  <c r="BZ132" i="22" s="1"/>
  <c r="CA132" i="22" s="1"/>
  <c r="CB132" i="22" s="1"/>
  <c r="CC132" i="22" s="1"/>
  <c r="CD132" i="22" s="1"/>
  <c r="CE132" i="22" s="1"/>
  <c r="BU131" i="22"/>
  <c r="BV131" i="22" s="1"/>
  <c r="BU130" i="22"/>
  <c r="BV130" i="22" s="1"/>
  <c r="BU129" i="22"/>
  <c r="BV129" i="22" s="1"/>
  <c r="BU128" i="22"/>
  <c r="BV128" i="22" s="1"/>
  <c r="BU127" i="22"/>
  <c r="BV127" i="22" s="1"/>
  <c r="BU126" i="22"/>
  <c r="CI126" i="22" s="1"/>
  <c r="BU123" i="22"/>
  <c r="BV123" i="22" s="1"/>
  <c r="BU122" i="22"/>
  <c r="BV122" i="22" s="1"/>
  <c r="BU121" i="22"/>
  <c r="BV121" i="22" s="1"/>
  <c r="BU120" i="22"/>
  <c r="BV120" i="22" s="1"/>
  <c r="BU116" i="22"/>
  <c r="BV116" i="22" s="1"/>
  <c r="BU114" i="22"/>
  <c r="BV114" i="22" s="1"/>
  <c r="BU106" i="22"/>
  <c r="BV106" i="22" s="1"/>
  <c r="BW106" i="22" s="1"/>
  <c r="BX106" i="22" s="1"/>
  <c r="BY106" i="22" s="1"/>
  <c r="BZ106" i="22" s="1"/>
  <c r="CA106" i="22" s="1"/>
  <c r="CB106" i="22" s="1"/>
  <c r="CC106" i="22" s="1"/>
  <c r="CD106" i="22" s="1"/>
  <c r="CE106" i="22" s="1"/>
  <c r="BU105" i="22"/>
  <c r="BV105" i="22" s="1"/>
  <c r="BW105" i="22" s="1"/>
  <c r="BX105" i="22" s="1"/>
  <c r="BY105" i="22" s="1"/>
  <c r="BZ105" i="22" s="1"/>
  <c r="CA105" i="22" s="1"/>
  <c r="CB105" i="22" s="1"/>
  <c r="CC105" i="22" s="1"/>
  <c r="CD105" i="22" s="1"/>
  <c r="CE105" i="22" s="1"/>
  <c r="BU101" i="22"/>
  <c r="BV101" i="22" s="1"/>
  <c r="BU100" i="22"/>
  <c r="BV100" i="22" s="1"/>
  <c r="BU97" i="22"/>
  <c r="BV97" i="22" s="1"/>
  <c r="BU96" i="22"/>
  <c r="BV96" i="22" s="1"/>
  <c r="BU95" i="22"/>
  <c r="BV95" i="22" s="1"/>
  <c r="BU59" i="22"/>
  <c r="BV59" i="22" s="1"/>
  <c r="BU58" i="22"/>
  <c r="BV58" i="22" s="1"/>
  <c r="BW58" i="22" s="1"/>
  <c r="BU53" i="22"/>
  <c r="BV53" i="22" s="1"/>
  <c r="BU52" i="22"/>
  <c r="BV52" i="22" s="1"/>
  <c r="BU46" i="22"/>
  <c r="BV46" i="22" s="1"/>
  <c r="BW46" i="22" s="1"/>
  <c r="BX46" i="22" s="1"/>
  <c r="BU45" i="22"/>
  <c r="BV45" i="22" s="1"/>
  <c r="BW45" i="22" s="1"/>
  <c r="BX45" i="22" s="1"/>
  <c r="BU44" i="22"/>
  <c r="BV44" i="22" s="1"/>
  <c r="BW44" i="22" s="1"/>
  <c r="BX44" i="22" s="1"/>
  <c r="BU43" i="22"/>
  <c r="BV43" i="22" s="1"/>
  <c r="BU42" i="22"/>
  <c r="BV42" i="22" s="1"/>
  <c r="BU41" i="22"/>
  <c r="BV41" i="22" s="1"/>
  <c r="BU40" i="22"/>
  <c r="BV40" i="22" s="1"/>
  <c r="BW40" i="22" s="1"/>
  <c r="BX40" i="22" s="1"/>
  <c r="BU39" i="22"/>
  <c r="BV39" i="22" s="1"/>
  <c r="BW39" i="22" s="1"/>
  <c r="BX39" i="22" s="1"/>
  <c r="BU37" i="22"/>
  <c r="BV37" i="22" s="1"/>
  <c r="BU29" i="22"/>
  <c r="BV29" i="22" s="1"/>
  <c r="BW29" i="22" s="1"/>
  <c r="BX29" i="22" s="1"/>
  <c r="BY29" i="22" s="1"/>
  <c r="BU28" i="22"/>
  <c r="BV28" i="22" s="1"/>
  <c r="BW28" i="22" s="1"/>
  <c r="BX28" i="22" s="1"/>
  <c r="BU27" i="22"/>
  <c r="BV27" i="22" s="1"/>
  <c r="BU26" i="22"/>
  <c r="BV26" i="22" s="1"/>
  <c r="BN7" i="22"/>
  <c r="BN8" i="22"/>
  <c r="BN9" i="22"/>
  <c r="BN10" i="22"/>
  <c r="BN11" i="22"/>
  <c r="BN12" i="22"/>
  <c r="BN13" i="22"/>
  <c r="BN14" i="22"/>
  <c r="BN15" i="22"/>
  <c r="BN16" i="22"/>
  <c r="BN17" i="22"/>
  <c r="BN19" i="22"/>
  <c r="BN26" i="22"/>
  <c r="BN27" i="22"/>
  <c r="BN28" i="22"/>
  <c r="BN29" i="22"/>
  <c r="BN30" i="22"/>
  <c r="BN31" i="22"/>
  <c r="BN36" i="22"/>
  <c r="BN37" i="22"/>
  <c r="BN39" i="22"/>
  <c r="BN40" i="22"/>
  <c r="BN41" i="22"/>
  <c r="BN42" i="22"/>
  <c r="BN43" i="22"/>
  <c r="BN44" i="22"/>
  <c r="BN45" i="22"/>
  <c r="BN46" i="22"/>
  <c r="BN47" i="22"/>
  <c r="BN51" i="22"/>
  <c r="BN58" i="22"/>
  <c r="BN59" i="22"/>
  <c r="BN60" i="22"/>
  <c r="BN61" i="22"/>
  <c r="BN65" i="22"/>
  <c r="BN69" i="22"/>
  <c r="BN70" i="22"/>
  <c r="BN71" i="22"/>
  <c r="BN72" i="22"/>
  <c r="BN73" i="22"/>
  <c r="BN74" i="22"/>
  <c r="BN75" i="22"/>
  <c r="BN76" i="22"/>
  <c r="BN77" i="22"/>
  <c r="BN78" i="22"/>
  <c r="BN79" i="22"/>
  <c r="BN80" i="22"/>
  <c r="BN81" i="22"/>
  <c r="BN82" i="22"/>
  <c r="BN83" i="22"/>
  <c r="BN84" i="22"/>
  <c r="BN52" i="22"/>
  <c r="BN53" i="22"/>
  <c r="BN100" i="22"/>
  <c r="BN101" i="22"/>
  <c r="BN104" i="22"/>
  <c r="BN95" i="22"/>
  <c r="BN96" i="22"/>
  <c r="BN97" i="22"/>
  <c r="BN105" i="22"/>
  <c r="BN106" i="22"/>
  <c r="BN112" i="22"/>
  <c r="BN114" i="22"/>
  <c r="BN115" i="22"/>
  <c r="BN116" i="22"/>
  <c r="BN119" i="22"/>
  <c r="BN120" i="22"/>
  <c r="BN121" i="22"/>
  <c r="BN122" i="22"/>
  <c r="BN123" i="22"/>
  <c r="BN126" i="22"/>
  <c r="BN127" i="22"/>
  <c r="BN128" i="22"/>
  <c r="BN129" i="22"/>
  <c r="BN130" i="22"/>
  <c r="BN131" i="22"/>
  <c r="BN132" i="22"/>
  <c r="BN133" i="22"/>
  <c r="BN134" i="22"/>
  <c r="BN135" i="22"/>
  <c r="BN136" i="22"/>
  <c r="BN137" i="22"/>
  <c r="BN138" i="22"/>
  <c r="BN139" i="22"/>
  <c r="BJ97" i="22"/>
  <c r="BF97" i="22"/>
  <c r="BB97" i="22"/>
  <c r="AX97" i="22"/>
  <c r="AT97" i="22"/>
  <c r="AP97" i="22"/>
  <c r="AL97" i="22"/>
  <c r="AH97" i="22"/>
  <c r="AD97" i="22"/>
  <c r="BJ96" i="22"/>
  <c r="BF96" i="22"/>
  <c r="BB96" i="22"/>
  <c r="AX96" i="22"/>
  <c r="AT96" i="22"/>
  <c r="AP96" i="22"/>
  <c r="AL96" i="22"/>
  <c r="AH96" i="22"/>
  <c r="AD96" i="22"/>
  <c r="BJ53" i="22"/>
  <c r="BF53" i="22"/>
  <c r="BB53" i="22"/>
  <c r="AX53" i="22"/>
  <c r="AT53" i="22"/>
  <c r="AP53" i="22"/>
  <c r="AL53" i="22"/>
  <c r="AH53" i="22"/>
  <c r="AD53" i="22"/>
  <c r="BJ52" i="22"/>
  <c r="BF52" i="22"/>
  <c r="BB52" i="22"/>
  <c r="AX52" i="22"/>
  <c r="AT52" i="22"/>
  <c r="AP52" i="22"/>
  <c r="AL52" i="22"/>
  <c r="AH52" i="22"/>
  <c r="AD52" i="22"/>
  <c r="BN6" i="22"/>
  <c r="F91" i="22"/>
  <c r="Q186" i="22"/>
  <c r="Q175" i="22"/>
  <c r="Q162" i="22"/>
  <c r="BX217" i="9"/>
  <c r="AJ257" i="10" s="1"/>
  <c r="BX203" i="9"/>
  <c r="AJ241" i="10" s="1"/>
  <c r="BX98" i="9"/>
  <c r="BY98" i="9" s="1"/>
  <c r="BY79" i="9"/>
  <c r="BX59" i="9"/>
  <c r="BY59" i="9" s="1"/>
  <c r="BX60" i="9"/>
  <c r="BY60" i="9" s="1"/>
  <c r="BX61" i="9"/>
  <c r="BY61" i="9" s="1"/>
  <c r="BX58" i="9"/>
  <c r="BY58" i="9" s="1"/>
  <c r="R1008" i="7"/>
  <c r="C507" i="7"/>
  <c r="C88" i="7" s="1"/>
  <c r="B507" i="7"/>
  <c r="B88" i="7" s="1"/>
  <c r="A507" i="7"/>
  <c r="A88" i="7" s="1"/>
  <c r="R445" i="5"/>
  <c r="R189" i="5" s="1"/>
  <c r="Q445" i="5"/>
  <c r="Q189" i="5" s="1"/>
  <c r="P445" i="5"/>
  <c r="P189" i="5" s="1"/>
  <c r="R455" i="5"/>
  <c r="R203" i="5" s="1"/>
  <c r="Q455" i="5"/>
  <c r="Q203" i="5" s="1"/>
  <c r="R398" i="5"/>
  <c r="R163" i="5" s="1"/>
  <c r="R396" i="5"/>
  <c r="R161" i="5" s="1"/>
  <c r="Q396" i="5"/>
  <c r="Q161" i="5" s="1"/>
  <c r="R709" i="4"/>
  <c r="R202" i="4" s="1"/>
  <c r="Q709" i="4"/>
  <c r="Q202" i="4" s="1"/>
  <c r="P709" i="4"/>
  <c r="P202" i="4" s="1"/>
  <c r="R710" i="4"/>
  <c r="R203" i="4" s="1"/>
  <c r="Q710" i="4"/>
  <c r="Q203" i="4" s="1"/>
  <c r="P710" i="4"/>
  <c r="P203" i="4" s="1"/>
  <c r="R712" i="4"/>
  <c r="R205" i="4" s="1"/>
  <c r="R655" i="4"/>
  <c r="R574" i="4"/>
  <c r="R133" i="4" s="1"/>
  <c r="R573" i="4"/>
  <c r="R132" i="4" s="1"/>
  <c r="DD190" i="9"/>
  <c r="DD189" i="9"/>
  <c r="DD188" i="9"/>
  <c r="DD185" i="9"/>
  <c r="DD184" i="9"/>
  <c r="DD61" i="9"/>
  <c r="DD18" i="9"/>
  <c r="DD17" i="9"/>
  <c r="BJ147" i="9"/>
  <c r="BO147" i="9"/>
  <c r="BT147" i="9"/>
  <c r="BY147" i="9"/>
  <c r="BJ150" i="9"/>
  <c r="BO150" i="9"/>
  <c r="BT150" i="9"/>
  <c r="BY150" i="9"/>
  <c r="BJ148" i="9"/>
  <c r="BO148" i="9"/>
  <c r="BT148" i="9"/>
  <c r="BY148" i="9"/>
  <c r="BJ149" i="9"/>
  <c r="BO149" i="9"/>
  <c r="BT149" i="9"/>
  <c r="BY149" i="9"/>
  <c r="BJ152" i="9"/>
  <c r="BO152" i="9"/>
  <c r="BT152" i="9"/>
  <c r="BY152" i="9"/>
  <c r="BJ153" i="9"/>
  <c r="BO153" i="9"/>
  <c r="BT153" i="9"/>
  <c r="BY153" i="9"/>
  <c r="BJ154" i="9"/>
  <c r="BO154" i="9"/>
  <c r="BT154" i="9"/>
  <c r="BY154" i="9"/>
  <c r="BJ155" i="9"/>
  <c r="BO155" i="9"/>
  <c r="BT155" i="9"/>
  <c r="BY155" i="9"/>
  <c r="BJ156" i="9"/>
  <c r="BO156" i="9"/>
  <c r="BT156" i="9"/>
  <c r="BY156" i="9"/>
  <c r="BE147" i="9"/>
  <c r="BE150" i="9"/>
  <c r="BE148" i="9"/>
  <c r="BE149" i="9"/>
  <c r="BE152" i="9"/>
  <c r="BE153" i="9"/>
  <c r="BE154" i="9"/>
  <c r="BE155" i="9"/>
  <c r="BE156" i="9"/>
  <c r="AZ147" i="9"/>
  <c r="AZ150" i="9"/>
  <c r="AZ148" i="9"/>
  <c r="AZ149" i="9"/>
  <c r="AZ152" i="9"/>
  <c r="AZ153" i="9"/>
  <c r="AZ154" i="9"/>
  <c r="AZ155" i="9"/>
  <c r="AZ156" i="9"/>
  <c r="AU147" i="9"/>
  <c r="AU150" i="9"/>
  <c r="AU148" i="9"/>
  <c r="AU149" i="9"/>
  <c r="AU152" i="9"/>
  <c r="AU153" i="9"/>
  <c r="AU154" i="9"/>
  <c r="AU155" i="9"/>
  <c r="AU156" i="9"/>
  <c r="AP156" i="9"/>
  <c r="AK156" i="9"/>
  <c r="AF156" i="9"/>
  <c r="V156" i="9"/>
  <c r="AP194" i="9"/>
  <c r="AP195" i="9"/>
  <c r="AP196" i="9"/>
  <c r="AP197" i="9"/>
  <c r="AP198" i="9"/>
  <c r="AP211" i="9"/>
  <c r="AP212" i="9"/>
  <c r="AP213" i="9"/>
  <c r="AP214" i="9"/>
  <c r="AP215" i="9"/>
  <c r="AU211" i="9"/>
  <c r="AU212" i="9"/>
  <c r="AU213" i="9"/>
  <c r="AU214" i="9"/>
  <c r="AU215" i="9"/>
  <c r="AU194" i="9"/>
  <c r="AU195" i="9"/>
  <c r="AU196" i="9"/>
  <c r="AU197" i="9"/>
  <c r="AU198" i="9"/>
  <c r="AZ194" i="9"/>
  <c r="AZ195" i="9"/>
  <c r="AZ196" i="9"/>
  <c r="AZ197" i="9"/>
  <c r="AZ198" i="9"/>
  <c r="AZ211" i="9"/>
  <c r="AZ212" i="9"/>
  <c r="AZ213" i="9"/>
  <c r="AZ214" i="9"/>
  <c r="AZ215" i="9"/>
  <c r="BE211" i="9"/>
  <c r="BE212" i="9"/>
  <c r="BE213" i="9"/>
  <c r="BE214" i="9"/>
  <c r="BE215" i="9"/>
  <c r="BE194" i="9"/>
  <c r="BE195" i="9"/>
  <c r="BE196" i="9"/>
  <c r="BE197" i="9"/>
  <c r="BE198" i="9"/>
  <c r="BJ211" i="9"/>
  <c r="BJ212" i="9"/>
  <c r="BJ213" i="9"/>
  <c r="BJ214" i="9"/>
  <c r="BJ215" i="9"/>
  <c r="BJ194" i="9"/>
  <c r="BJ195" i="9"/>
  <c r="BJ196" i="9"/>
  <c r="BJ197" i="9"/>
  <c r="BJ198" i="9"/>
  <c r="BO211" i="9"/>
  <c r="BO212" i="9"/>
  <c r="BO213" i="9"/>
  <c r="BO214" i="9"/>
  <c r="BO215" i="9"/>
  <c r="BO194" i="9"/>
  <c r="BO195" i="9"/>
  <c r="BO196" i="9"/>
  <c r="BO197" i="9"/>
  <c r="BO198" i="9"/>
  <c r="BO202" i="9"/>
  <c r="BT194" i="9"/>
  <c r="BT195" i="9"/>
  <c r="BT196" i="9"/>
  <c r="BT197" i="9"/>
  <c r="BT198" i="9"/>
  <c r="BT202" i="9"/>
  <c r="BT211" i="9"/>
  <c r="BT212" i="9"/>
  <c r="BT213" i="9"/>
  <c r="BT214" i="9"/>
  <c r="BT215" i="9"/>
  <c r="BY215" i="9"/>
  <c r="BY214" i="9"/>
  <c r="BY213" i="9"/>
  <c r="BY212" i="9"/>
  <c r="BY211" i="9"/>
  <c r="BY202" i="9"/>
  <c r="BY198" i="9"/>
  <c r="BY197" i="9"/>
  <c r="BY196" i="9"/>
  <c r="BY195" i="9"/>
  <c r="BY194" i="9"/>
  <c r="BY190" i="9"/>
  <c r="BY189" i="9"/>
  <c r="BY188" i="9"/>
  <c r="BY185" i="9"/>
  <c r="BY184" i="9"/>
  <c r="BY180" i="9"/>
  <c r="BY169" i="9"/>
  <c r="BY167" i="9"/>
  <c r="BY166" i="9"/>
  <c r="BY165" i="9"/>
  <c r="BY164" i="9"/>
  <c r="BY163" i="9"/>
  <c r="BY162" i="9"/>
  <c r="BY161" i="9"/>
  <c r="BY160" i="9"/>
  <c r="BY159" i="9"/>
  <c r="BY138" i="9"/>
  <c r="BY137" i="9"/>
  <c r="BY136" i="9"/>
  <c r="BY135" i="9"/>
  <c r="BY134" i="9"/>
  <c r="BY133" i="9"/>
  <c r="BY132" i="9"/>
  <c r="BY130" i="9"/>
  <c r="BY119" i="9"/>
  <c r="BY70" i="9"/>
  <c r="BY75" i="9" s="1"/>
  <c r="BY38" i="9"/>
  <c r="BY33" i="9"/>
  <c r="BY32" i="9"/>
  <c r="BY31" i="9"/>
  <c r="BY18" i="9"/>
  <c r="BY17" i="9"/>
  <c r="BY14" i="9"/>
  <c r="BY8" i="9"/>
  <c r="BY9" i="9"/>
  <c r="BY10" i="9"/>
  <c r="BY11" i="9"/>
  <c r="BX2" i="9"/>
  <c r="BX87" i="9" s="1"/>
  <c r="BX173" i="9" s="1"/>
  <c r="P97" i="9"/>
  <c r="E87" i="9"/>
  <c r="E173" i="9" s="1"/>
  <c r="P75" i="9"/>
  <c r="U2" i="9"/>
  <c r="U87" i="9" s="1"/>
  <c r="U173" i="9" s="1"/>
  <c r="BH42" i="42"/>
  <c r="BH40" i="42"/>
  <c r="BH33" i="42"/>
  <c r="AS40" i="42"/>
  <c r="Q81" i="14"/>
  <c r="S181" i="14"/>
  <c r="AI2" i="11"/>
  <c r="AI84" i="11" s="1"/>
  <c r="AJ253" i="10"/>
  <c r="AT253" i="10" s="1"/>
  <c r="R1151" i="6"/>
  <c r="AI100" i="10"/>
  <c r="AS100" i="10" s="1"/>
  <c r="AJ90" i="10"/>
  <c r="AT90" i="10" s="1"/>
  <c r="AF89" i="10"/>
  <c r="AH89" i="10" s="1"/>
  <c r="AI89" i="10"/>
  <c r="AI2" i="10"/>
  <c r="AI121" i="10" s="1"/>
  <c r="AS121" i="10" s="1"/>
  <c r="O165" i="40"/>
  <c r="P205" i="3" s="1"/>
  <c r="O143" i="40"/>
  <c r="O132" i="13"/>
  <c r="O67" i="13"/>
  <c r="O123" i="13" s="1"/>
  <c r="R566" i="8"/>
  <c r="R531" i="8"/>
  <c r="K196" i="8"/>
  <c r="L196" i="8" s="1"/>
  <c r="M196" i="8" s="1"/>
  <c r="N196" i="8" s="1"/>
  <c r="O196" i="8" s="1"/>
  <c r="P196" i="8" s="1"/>
  <c r="Q196" i="8" s="1"/>
  <c r="R196" i="8" s="1"/>
  <c r="S196" i="8" s="1"/>
  <c r="R143" i="8"/>
  <c r="R150" i="8" s="1"/>
  <c r="R124" i="8"/>
  <c r="R91" i="8"/>
  <c r="P28" i="3" s="1"/>
  <c r="R22" i="8"/>
  <c r="R948" i="7"/>
  <c r="R943" i="7"/>
  <c r="R817" i="7"/>
  <c r="R816" i="7"/>
  <c r="R713" i="7"/>
  <c r="R389" i="7"/>
  <c r="R350" i="7"/>
  <c r="R329" i="7"/>
  <c r="R327" i="7"/>
  <c r="R305" i="7"/>
  <c r="R301" i="7"/>
  <c r="R248" i="7"/>
  <c r="R247" i="7"/>
  <c r="R245" i="7"/>
  <c r="R210" i="7"/>
  <c r="R209" i="7"/>
  <c r="R208" i="7"/>
  <c r="R207" i="7"/>
  <c r="R206" i="7"/>
  <c r="R163" i="7"/>
  <c r="R162" i="7"/>
  <c r="R161" i="7"/>
  <c r="R160" i="7"/>
  <c r="R159" i="7"/>
  <c r="R118" i="7"/>
  <c r="R117" i="7"/>
  <c r="R114" i="7"/>
  <c r="R81" i="7"/>
  <c r="R3" i="7"/>
  <c r="R781" i="4" s="1"/>
  <c r="R1845" i="6"/>
  <c r="R640" i="6" s="1"/>
  <c r="R1769" i="6"/>
  <c r="R1073" i="6"/>
  <c r="R948" i="6"/>
  <c r="R946" i="6"/>
  <c r="R175" i="6" s="1"/>
  <c r="R743" i="6"/>
  <c r="R719" i="6"/>
  <c r="R687" i="6"/>
  <c r="R674" i="6"/>
  <c r="R670" i="6"/>
  <c r="R632" i="6"/>
  <c r="R627" i="6"/>
  <c r="R615" i="6"/>
  <c r="R614" i="6"/>
  <c r="R611" i="6"/>
  <c r="R597" i="6"/>
  <c r="R604" i="6" s="1"/>
  <c r="R560" i="6"/>
  <c r="R559" i="6"/>
  <c r="R558" i="6"/>
  <c r="R557" i="6"/>
  <c r="R556" i="6"/>
  <c r="R520" i="6"/>
  <c r="R517" i="6"/>
  <c r="R500" i="6"/>
  <c r="R460" i="6"/>
  <c r="R416" i="6"/>
  <c r="R392" i="6"/>
  <c r="R391" i="6"/>
  <c r="R390" i="6"/>
  <c r="R389" i="6"/>
  <c r="R388" i="6"/>
  <c r="R352" i="6"/>
  <c r="R309" i="6"/>
  <c r="R271" i="6"/>
  <c r="R247" i="6"/>
  <c r="R231" i="6"/>
  <c r="R228" i="6"/>
  <c r="R194" i="6"/>
  <c r="R174" i="6"/>
  <c r="R132" i="6"/>
  <c r="R7" i="6" s="1"/>
  <c r="R117" i="6"/>
  <c r="R114" i="6"/>
  <c r="R79" i="6"/>
  <c r="R3" i="6"/>
  <c r="R360" i="6" s="1"/>
  <c r="R207" i="5"/>
  <c r="R206" i="5"/>
  <c r="R205" i="5"/>
  <c r="R204" i="5"/>
  <c r="R162" i="5"/>
  <c r="R160" i="5"/>
  <c r="R159" i="5"/>
  <c r="R127" i="5"/>
  <c r="R112" i="5"/>
  <c r="R111" i="5"/>
  <c r="R110" i="5"/>
  <c r="R109" i="5"/>
  <c r="R108" i="5"/>
  <c r="R77" i="5"/>
  <c r="R76" i="5"/>
  <c r="R75" i="5"/>
  <c r="R74" i="5"/>
  <c r="R73" i="5"/>
  <c r="R48" i="5"/>
  <c r="O100" i="13" s="1"/>
  <c r="R3" i="5"/>
  <c r="R475" i="5" s="1"/>
  <c r="R897" i="4"/>
  <c r="R877" i="4"/>
  <c r="R859" i="4"/>
  <c r="R847" i="4"/>
  <c r="R775" i="4"/>
  <c r="R256" i="4" s="1"/>
  <c r="R588" i="4"/>
  <c r="R147" i="4" s="1"/>
  <c r="R427" i="4"/>
  <c r="R487" i="4" s="1"/>
  <c r="R380" i="4"/>
  <c r="R317" i="4"/>
  <c r="R310" i="4"/>
  <c r="R309" i="4"/>
  <c r="R308" i="4"/>
  <c r="R307" i="4"/>
  <c r="R306" i="4"/>
  <c r="R255" i="4"/>
  <c r="R254" i="4"/>
  <c r="R253" i="4"/>
  <c r="R204" i="4"/>
  <c r="R201" i="4"/>
  <c r="R187" i="4"/>
  <c r="R93" i="4"/>
  <c r="R89" i="4"/>
  <c r="R51" i="4"/>
  <c r="R100" i="4" s="1"/>
  <c r="R168" i="4" s="1"/>
  <c r="P770" i="34"/>
  <c r="P762" i="34"/>
  <c r="P572" i="34"/>
  <c r="P569" i="34"/>
  <c r="P568" i="34"/>
  <c r="P555" i="34"/>
  <c r="P539" i="34"/>
  <c r="P538" i="34"/>
  <c r="P397" i="34"/>
  <c r="P392" i="34"/>
  <c r="P509" i="34"/>
  <c r="P391" i="34"/>
  <c r="P508" i="34"/>
  <c r="P379" i="34"/>
  <c r="P497" i="34"/>
  <c r="P371" i="34"/>
  <c r="P366" i="34"/>
  <c r="P485" i="34" s="1"/>
  <c r="P365" i="34"/>
  <c r="P484" i="34"/>
  <c r="P308" i="34"/>
  <c r="P290" i="34"/>
  <c r="P353" i="34" s="1"/>
  <c r="P107" i="34"/>
  <c r="P43" i="34"/>
  <c r="P313" i="15"/>
  <c r="P304" i="15"/>
  <c r="Q84" i="1"/>
  <c r="P295" i="3"/>
  <c r="P267" i="3"/>
  <c r="P165" i="3"/>
  <c r="P166" i="3" s="1"/>
  <c r="P76" i="3"/>
  <c r="P29" i="3"/>
  <c r="P2" i="3"/>
  <c r="O45" i="58"/>
  <c r="Q42" i="55"/>
  <c r="Q31" i="55"/>
  <c r="Q34" i="55" s="1"/>
  <c r="W10" i="37"/>
  <c r="R61" i="27"/>
  <c r="R3" i="27"/>
  <c r="W63" i="26"/>
  <c r="W69" i="26"/>
  <c r="W56" i="26"/>
  <c r="W59" i="26"/>
  <c r="W52" i="26"/>
  <c r="W49" i="26"/>
  <c r="W45" i="26"/>
  <c r="W39" i="26"/>
  <c r="W31" i="26"/>
  <c r="W30" i="26"/>
  <c r="W29" i="26"/>
  <c r="R95" i="20"/>
  <c r="R48" i="20"/>
  <c r="R36" i="20"/>
  <c r="AG23" i="20"/>
  <c r="AF22" i="20"/>
  <c r="R105" i="19"/>
  <c r="R104" i="19"/>
  <c r="R103" i="19"/>
  <c r="R35" i="19"/>
  <c r="P79" i="17"/>
  <c r="P60" i="17"/>
  <c r="P17" i="17" s="1"/>
  <c r="P300" i="15" s="1"/>
  <c r="P26" i="17"/>
  <c r="P11" i="17" s="1"/>
  <c r="P295" i="15" s="1"/>
  <c r="P317" i="15" s="1"/>
  <c r="P64" i="16"/>
  <c r="P41" i="16"/>
  <c r="P114" i="16" s="1"/>
  <c r="P37" i="16"/>
  <c r="P255" i="15" s="1"/>
  <c r="AS42" i="42"/>
  <c r="P17" i="16"/>
  <c r="P251" i="15" s="1"/>
  <c r="P11" i="16"/>
  <c r="P246" i="15" s="1"/>
  <c r="P268" i="15" s="1"/>
  <c r="BK91" i="22"/>
  <c r="BT53" i="21"/>
  <c r="BU53" i="21" s="1"/>
  <c r="BV53" i="21" s="1"/>
  <c r="BW53" i="21" s="1"/>
  <c r="BX53" i="21" s="1"/>
  <c r="BY53" i="21" s="1"/>
  <c r="BZ53" i="21" s="1"/>
  <c r="CA53" i="21" s="1"/>
  <c r="CB53" i="21" s="1"/>
  <c r="CC53" i="21" s="1"/>
  <c r="CD53" i="21" s="1"/>
  <c r="BT52" i="21"/>
  <c r="BU52" i="21" s="1"/>
  <c r="BV52" i="21" s="1"/>
  <c r="BW52" i="21" s="1"/>
  <c r="BX52" i="21" s="1"/>
  <c r="BY52" i="21" s="1"/>
  <c r="BZ52" i="21" s="1"/>
  <c r="CA52" i="21" s="1"/>
  <c r="CB52" i="21" s="1"/>
  <c r="CC52" i="21" s="1"/>
  <c r="CD52" i="21" s="1"/>
  <c r="P95" i="12"/>
  <c r="P92" i="12"/>
  <c r="P78" i="12"/>
  <c r="W26" i="37"/>
  <c r="P55" i="12"/>
  <c r="P52" i="12"/>
  <c r="P47" i="12"/>
  <c r="P42" i="12"/>
  <c r="AE74" i="14"/>
  <c r="AF60" i="14"/>
  <c r="AE60" i="14"/>
  <c r="AF49" i="14"/>
  <c r="AE49" i="14"/>
  <c r="AF39" i="14"/>
  <c r="AE39" i="14"/>
  <c r="R1149" i="6" s="1"/>
  <c r="R349" i="6" s="1"/>
  <c r="AF28" i="14"/>
  <c r="AE28" i="14"/>
  <c r="AJ133" i="11"/>
  <c r="AJ129" i="11"/>
  <c r="AJ118" i="11"/>
  <c r="AJ117" i="11"/>
  <c r="AJ113" i="11"/>
  <c r="AJ112" i="11"/>
  <c r="AJ104" i="11"/>
  <c r="AJ102" i="11"/>
  <c r="AK84" i="11"/>
  <c r="AJ84" i="11"/>
  <c r="AJ77" i="11"/>
  <c r="AJ40" i="11"/>
  <c r="AJ34" i="11"/>
  <c r="AJ19" i="11"/>
  <c r="AJ18" i="11"/>
  <c r="AJ17" i="11"/>
  <c r="AJ16" i="11"/>
  <c r="AJ11" i="11"/>
  <c r="AJ10" i="11"/>
  <c r="AJ9" i="11"/>
  <c r="AJ8" i="11"/>
  <c r="AJ7" i="11"/>
  <c r="AK150" i="10"/>
  <c r="AU150" i="10" s="1"/>
  <c r="AJ150" i="10"/>
  <c r="AT150" i="10" s="1"/>
  <c r="AI150" i="10"/>
  <c r="AS150" i="10" s="1"/>
  <c r="AK115" i="10"/>
  <c r="AU115" i="10" s="1"/>
  <c r="AK114" i="10"/>
  <c r="AU114" i="10" s="1"/>
  <c r="AK91" i="10"/>
  <c r="AK60" i="10"/>
  <c r="AJ44" i="10"/>
  <c r="AJ12" i="11"/>
  <c r="BW143" i="9"/>
  <c r="BX75" i="9"/>
  <c r="BW75" i="9"/>
  <c r="BV75" i="9"/>
  <c r="BU75" i="9"/>
  <c r="BX25" i="9"/>
  <c r="BW25" i="9"/>
  <c r="BV25" i="9"/>
  <c r="BU25" i="9"/>
  <c r="BU66" i="9"/>
  <c r="P264" i="15"/>
  <c r="P260" i="15"/>
  <c r="P370" i="34"/>
  <c r="P396" i="34"/>
  <c r="P384" i="34"/>
  <c r="W66" i="26"/>
  <c r="Z420" i="9"/>
  <c r="AG150" i="9"/>
  <c r="AB150" i="9"/>
  <c r="AF150" i="9" s="1"/>
  <c r="Z148" i="9"/>
  <c r="AA148" i="9" s="1"/>
  <c r="AA421" i="9"/>
  <c r="AA462" i="9"/>
  <c r="Z410" i="9"/>
  <c r="Z411" i="9" s="1"/>
  <c r="AA406" i="9"/>
  <c r="AA244" i="9"/>
  <c r="AA263" i="9"/>
  <c r="G82" i="10"/>
  <c r="C193" i="10"/>
  <c r="D193" i="10" s="1"/>
  <c r="C118" i="11" s="1"/>
  <c r="D118" i="11" s="1"/>
  <c r="E118" i="11" s="1"/>
  <c r="C192" i="10"/>
  <c r="I41" i="1"/>
  <c r="H41" i="1"/>
  <c r="K144" i="5"/>
  <c r="J144" i="5"/>
  <c r="H144" i="5"/>
  <c r="I144" i="5" s="1"/>
  <c r="H143" i="5"/>
  <c r="I143" i="5" s="1"/>
  <c r="D144" i="5"/>
  <c r="C144" i="5"/>
  <c r="B144" i="5"/>
  <c r="D143" i="5"/>
  <c r="C143" i="5"/>
  <c r="B143" i="5"/>
  <c r="A144" i="5"/>
  <c r="A143" i="5"/>
  <c r="H52" i="1"/>
  <c r="AG44" i="10"/>
  <c r="Q539" i="7" s="1"/>
  <c r="Q116" i="7" s="1"/>
  <c r="L144" i="5"/>
  <c r="H10" i="1"/>
  <c r="I40" i="1"/>
  <c r="I39" i="1"/>
  <c r="G39" i="1"/>
  <c r="H39" i="1"/>
  <c r="G40" i="1"/>
  <c r="H40" i="1"/>
  <c r="F41" i="1"/>
  <c r="F40" i="1"/>
  <c r="F39" i="1"/>
  <c r="CS182" i="9"/>
  <c r="CF182" i="9"/>
  <c r="U182" i="9"/>
  <c r="V182" i="9" s="1"/>
  <c r="AF182" i="9"/>
  <c r="Z182" i="9"/>
  <c r="AA182" i="9" s="1"/>
  <c r="Z100" i="9"/>
  <c r="AA100" i="9" s="1"/>
  <c r="U100" i="9"/>
  <c r="V100" i="9" s="1"/>
  <c r="CF100" i="9"/>
  <c r="CG100" i="9" s="1"/>
  <c r="CS100" i="9"/>
  <c r="M144" i="5"/>
  <c r="AP100" i="9"/>
  <c r="AK100" i="9"/>
  <c r="G10" i="1"/>
  <c r="F10" i="1"/>
  <c r="E10" i="1"/>
  <c r="D10" i="1"/>
  <c r="AV120" i="22"/>
  <c r="AX120" i="22" s="1"/>
  <c r="O52" i="1"/>
  <c r="M52" i="1"/>
  <c r="AL79" i="22"/>
  <c r="M65" i="1"/>
  <c r="N65" i="1" s="1"/>
  <c r="M64" i="1"/>
  <c r="N64" i="1" s="1"/>
  <c r="I13" i="1"/>
  <c r="I63" i="1"/>
  <c r="I23" i="1"/>
  <c r="AK182" i="9"/>
  <c r="J63" i="1"/>
  <c r="K63" i="1" s="1"/>
  <c r="J990" i="6"/>
  <c r="H24" i="1"/>
  <c r="H18" i="17"/>
  <c r="AY45" i="21"/>
  <c r="BA45" i="21" s="1"/>
  <c r="N63" i="1"/>
  <c r="B235" i="8"/>
  <c r="C76" i="13"/>
  <c r="S42" i="42" s="1"/>
  <c r="O63" i="1"/>
  <c r="P63" i="1" s="1"/>
  <c r="Q63" i="1" s="1"/>
  <c r="G48" i="48"/>
  <c r="H47" i="48"/>
  <c r="G47" i="48" s="1"/>
  <c r="H46" i="48"/>
  <c r="G46" i="48" s="1"/>
  <c r="R113" i="48" s="1"/>
  <c r="H44" i="48"/>
  <c r="G44" i="48"/>
  <c r="G42" i="48"/>
  <c r="B460" i="7"/>
  <c r="A460" i="7"/>
  <c r="A1296" i="6"/>
  <c r="H305" i="6"/>
  <c r="I305" i="6" s="1"/>
  <c r="H304" i="6"/>
  <c r="I304" i="6" s="1"/>
  <c r="H303" i="6"/>
  <c r="I303" i="6" s="1"/>
  <c r="D305" i="6"/>
  <c r="C305" i="6"/>
  <c r="D304" i="6"/>
  <c r="C304" i="6"/>
  <c r="D303" i="6"/>
  <c r="C303" i="6"/>
  <c r="B305" i="6"/>
  <c r="B304" i="6"/>
  <c r="B303" i="6"/>
  <c r="A305" i="6"/>
  <c r="A304" i="6"/>
  <c r="A303" i="6"/>
  <c r="B727" i="34"/>
  <c r="D1120" i="6"/>
  <c r="D1112" i="6"/>
  <c r="C264" i="6"/>
  <c r="B264" i="6"/>
  <c r="A264" i="6"/>
  <c r="A321" i="6"/>
  <c r="B321" i="6"/>
  <c r="C321" i="6"/>
  <c r="D758" i="6"/>
  <c r="C572" i="6"/>
  <c r="B572" i="6"/>
  <c r="A572" i="6"/>
  <c r="D572" i="6"/>
  <c r="D440" i="6"/>
  <c r="D439" i="6"/>
  <c r="C440" i="6"/>
  <c r="C439" i="6"/>
  <c r="B440" i="6"/>
  <c r="B439" i="6"/>
  <c r="A440" i="6"/>
  <c r="A439" i="6"/>
  <c r="AJ189" i="9"/>
  <c r="H189" i="9"/>
  <c r="DC189" i="9"/>
  <c r="DB189" i="9"/>
  <c r="DA189" i="9"/>
  <c r="CZ189" i="9"/>
  <c r="CY189" i="9"/>
  <c r="CX189" i="9"/>
  <c r="CW189" i="9"/>
  <c r="CU189" i="9"/>
  <c r="CT189" i="9"/>
  <c r="CS189" i="9"/>
  <c r="BT189" i="9"/>
  <c r="AF189" i="9"/>
  <c r="Z189" i="9"/>
  <c r="AA189" i="9" s="1"/>
  <c r="V189" i="9"/>
  <c r="D403" i="6"/>
  <c r="C403" i="6"/>
  <c r="B403" i="6"/>
  <c r="A403" i="6"/>
  <c r="D310" i="6"/>
  <c r="C310" i="6"/>
  <c r="B310" i="6"/>
  <c r="A310" i="6"/>
  <c r="D312" i="6"/>
  <c r="C312" i="6"/>
  <c r="B312" i="6"/>
  <c r="A312" i="6"/>
  <c r="A133" i="13"/>
  <c r="B1082" i="6"/>
  <c r="D726" i="34"/>
  <c r="A76" i="13"/>
  <c r="A80" i="13"/>
  <c r="D315" i="5"/>
  <c r="C67" i="4"/>
  <c r="B67" i="4"/>
  <c r="A67" i="4"/>
  <c r="A447" i="4"/>
  <c r="A113" i="4" s="1"/>
  <c r="A386" i="4"/>
  <c r="A77" i="4" s="1"/>
  <c r="B386" i="4"/>
  <c r="B77" i="4" s="1"/>
  <c r="A371" i="4"/>
  <c r="A72" i="4" s="1"/>
  <c r="B371" i="4"/>
  <c r="O295" i="3"/>
  <c r="N295" i="3"/>
  <c r="M295" i="3"/>
  <c r="L295" i="3"/>
  <c r="K295" i="3"/>
  <c r="J295" i="3"/>
  <c r="I295" i="3"/>
  <c r="H295" i="3"/>
  <c r="C295" i="3"/>
  <c r="B295" i="3"/>
  <c r="C294" i="3"/>
  <c r="B294" i="3"/>
  <c r="A300" i="3"/>
  <c r="Q127" i="5"/>
  <c r="P127" i="5"/>
  <c r="O127" i="5"/>
  <c r="N127" i="5"/>
  <c r="M127" i="5"/>
  <c r="L127" i="5"/>
  <c r="K127" i="5"/>
  <c r="J127" i="5"/>
  <c r="H127" i="5"/>
  <c r="I127" i="5" s="1"/>
  <c r="D128" i="5"/>
  <c r="C128" i="5"/>
  <c r="C127" i="5"/>
  <c r="D126" i="5"/>
  <c r="C126" i="5"/>
  <c r="C125" i="5"/>
  <c r="D124" i="5"/>
  <c r="C124" i="5"/>
  <c r="B128" i="5"/>
  <c r="B127" i="5"/>
  <c r="B125" i="5"/>
  <c r="B124" i="5"/>
  <c r="A126" i="5"/>
  <c r="A128" i="5"/>
  <c r="A125" i="5"/>
  <c r="A124" i="5"/>
  <c r="D178" i="5"/>
  <c r="C178" i="5"/>
  <c r="D177" i="5"/>
  <c r="C177" i="5"/>
  <c r="D176" i="5"/>
  <c r="C176" i="5"/>
  <c r="B177" i="5"/>
  <c r="B176" i="5"/>
  <c r="A178" i="5"/>
  <c r="A177" i="5"/>
  <c r="A176" i="5"/>
  <c r="A1784" i="6"/>
  <c r="A1659" i="6"/>
  <c r="A721" i="7"/>
  <c r="A664" i="7"/>
  <c r="A599" i="7"/>
  <c r="A545" i="7"/>
  <c r="A441" i="7"/>
  <c r="A402" i="5"/>
  <c r="A336" i="5"/>
  <c r="A277" i="5"/>
  <c r="A212" i="5"/>
  <c r="A779" i="4"/>
  <c r="D51" i="4"/>
  <c r="D89" i="4"/>
  <c r="D93" i="4"/>
  <c r="D107" i="4"/>
  <c r="D135" i="4"/>
  <c r="D137" i="4"/>
  <c r="D138" i="4"/>
  <c r="D136" i="4"/>
  <c r="D174" i="4"/>
  <c r="D180" i="4"/>
  <c r="D181" i="4"/>
  <c r="D182" i="4"/>
  <c r="D183" i="4"/>
  <c r="D184" i="4"/>
  <c r="D187" i="4"/>
  <c r="D190" i="4"/>
  <c r="D201" i="4"/>
  <c r="D220" i="4"/>
  <c r="D227" i="4"/>
  <c r="D228" i="4"/>
  <c r="D235" i="4"/>
  <c r="D241" i="4"/>
  <c r="D278" i="4"/>
  <c r="D279" i="4"/>
  <c r="D280" i="4"/>
  <c r="D282" i="4"/>
  <c r="D289" i="4"/>
  <c r="D295" i="4"/>
  <c r="D309" i="4"/>
  <c r="D310" i="4"/>
  <c r="D317" i="4"/>
  <c r="D321" i="4"/>
  <c r="D326" i="4"/>
  <c r="D327" i="4"/>
  <c r="D58" i="4"/>
  <c r="D338" i="4"/>
  <c r="D339" i="4"/>
  <c r="D342" i="4"/>
  <c r="D343" i="4"/>
  <c r="D344" i="4"/>
  <c r="D350" i="4"/>
  <c r="D351" i="4"/>
  <c r="D352" i="4"/>
  <c r="D355" i="4"/>
  <c r="D356" i="4"/>
  <c r="D357" i="4"/>
  <c r="D360" i="4"/>
  <c r="D364" i="4"/>
  <c r="D68" i="4" s="1"/>
  <c r="D369" i="4"/>
  <c r="D370" i="4"/>
  <c r="D371" i="4"/>
  <c r="D372" i="4"/>
  <c r="D380" i="4"/>
  <c r="D384" i="4"/>
  <c r="D390" i="4"/>
  <c r="D391" i="4"/>
  <c r="D392" i="4"/>
  <c r="D393" i="4"/>
  <c r="D394" i="4"/>
  <c r="D396" i="4"/>
  <c r="D404" i="4"/>
  <c r="D406" i="4"/>
  <c r="D427" i="4"/>
  <c r="D431" i="4"/>
  <c r="D432" i="4"/>
  <c r="D433" i="4"/>
  <c r="D434" i="4"/>
  <c r="D435" i="4"/>
  <c r="D436" i="4"/>
  <c r="D437" i="4"/>
  <c r="D441" i="4"/>
  <c r="D442" i="4"/>
  <c r="D109" i="4" s="1"/>
  <c r="D443" i="4"/>
  <c r="D444" i="4"/>
  <c r="D464" i="4"/>
  <c r="D469" i="4"/>
  <c r="D470" i="4"/>
  <c r="D471" i="4"/>
  <c r="D472" i="4"/>
  <c r="D473" i="4"/>
  <c r="D474" i="4"/>
  <c r="D475" i="4"/>
  <c r="D476" i="4"/>
  <c r="D479" i="4"/>
  <c r="D480" i="4"/>
  <c r="D481" i="4"/>
  <c r="D482" i="4"/>
  <c r="D483" i="4"/>
  <c r="D490" i="4"/>
  <c r="D493" i="4"/>
  <c r="D494" i="4"/>
  <c r="D495" i="4"/>
  <c r="D496" i="4"/>
  <c r="D497" i="4"/>
  <c r="D498" i="4"/>
  <c r="D499" i="4"/>
  <c r="D500" i="4"/>
  <c r="D501" i="4"/>
  <c r="D502" i="4"/>
  <c r="D503" i="4"/>
  <c r="D505" i="4"/>
  <c r="D507" i="4"/>
  <c r="D525" i="4"/>
  <c r="D526" i="4"/>
  <c r="D527" i="4"/>
  <c r="D528" i="4"/>
  <c r="D529" i="4"/>
  <c r="D533" i="4"/>
  <c r="D535" i="4"/>
  <c r="D536" i="4"/>
  <c r="D537" i="4"/>
  <c r="D538" i="4"/>
  <c r="D539" i="4"/>
  <c r="D540" i="4"/>
  <c r="D543" i="4"/>
  <c r="D544" i="4"/>
  <c r="D545" i="4"/>
  <c r="C136" i="3" s="1"/>
  <c r="D553" i="4"/>
  <c r="D554" i="4"/>
  <c r="D555" i="4"/>
  <c r="D559" i="4"/>
  <c r="D573" i="4"/>
  <c r="D574" i="4"/>
  <c r="D584" i="4"/>
  <c r="D588" i="4"/>
  <c r="D147" i="4" s="1"/>
  <c r="D591" i="4"/>
  <c r="D150" i="4" s="1"/>
  <c r="D592" i="4"/>
  <c r="D448" i="4"/>
  <c r="D451" i="4"/>
  <c r="D452" i="4"/>
  <c r="D453" i="4"/>
  <c r="D456" i="4"/>
  <c r="D457" i="4"/>
  <c r="D562" i="4"/>
  <c r="D563" i="4"/>
  <c r="D564" i="4"/>
  <c r="D565" i="4"/>
  <c r="D568" i="4"/>
  <c r="D569" i="4"/>
  <c r="D612" i="4"/>
  <c r="D649" i="4"/>
  <c r="D651" i="4"/>
  <c r="D658" i="4"/>
  <c r="D669" i="4"/>
  <c r="D699" i="4"/>
  <c r="D702" i="4"/>
  <c r="D709" i="4"/>
  <c r="D202" i="4" s="1"/>
  <c r="D710" i="4"/>
  <c r="D203" i="4" s="1"/>
  <c r="D711" i="4"/>
  <c r="D712" i="4"/>
  <c r="D205" i="4" s="1"/>
  <c r="D724" i="4"/>
  <c r="D744" i="4"/>
  <c r="D753" i="4"/>
  <c r="D766" i="4"/>
  <c r="D772" i="4"/>
  <c r="D253" i="4" s="1"/>
  <c r="D774" i="4"/>
  <c r="D255" i="4" s="1"/>
  <c r="D775" i="4"/>
  <c r="D256" i="4" s="1"/>
  <c r="D794" i="4"/>
  <c r="D821" i="4"/>
  <c r="D827" i="4"/>
  <c r="D835" i="4"/>
  <c r="D839" i="4"/>
  <c r="D307" i="4" s="1"/>
  <c r="D840" i="4"/>
  <c r="D308" i="4" s="1"/>
  <c r="D847" i="4"/>
  <c r="D859" i="4"/>
  <c r="D877" i="4"/>
  <c r="D897" i="4"/>
  <c r="I25" i="1"/>
  <c r="J1985" i="6" s="1"/>
  <c r="H25" i="1"/>
  <c r="H6" i="1"/>
  <c r="O32" i="37"/>
  <c r="P32" i="37" s="1"/>
  <c r="Q32" i="37" s="1"/>
  <c r="R32" i="37" s="1"/>
  <c r="S32" i="37" s="1"/>
  <c r="T32" i="37" s="1"/>
  <c r="U32" i="37" s="1"/>
  <c r="V32" i="37" s="1"/>
  <c r="W32" i="37" s="1"/>
  <c r="X32" i="37" s="1"/>
  <c r="AE44" i="21"/>
  <c r="AE50" i="21"/>
  <c r="A288" i="3"/>
  <c r="C288" i="3"/>
  <c r="A287" i="3"/>
  <c r="C287" i="3"/>
  <c r="A286" i="3"/>
  <c r="A289" i="3"/>
  <c r="D285" i="5"/>
  <c r="R256" i="48"/>
  <c r="U103" i="48"/>
  <c r="S110" i="48"/>
  <c r="R110" i="48"/>
  <c r="T114" i="48"/>
  <c r="S114" i="48"/>
  <c r="T113" i="48"/>
  <c r="S113" i="48"/>
  <c r="S106" i="48"/>
  <c r="T101" i="48"/>
  <c r="S100" i="48"/>
  <c r="T99" i="48"/>
  <c r="T115" i="48" s="1"/>
  <c r="S99" i="48"/>
  <c r="S86" i="48"/>
  <c r="S85" i="48"/>
  <c r="S111" i="48"/>
  <c r="S115" i="48" s="1"/>
  <c r="U115" i="48"/>
  <c r="B6" i="58"/>
  <c r="C6" i="58"/>
  <c r="B9" i="58"/>
  <c r="B10" i="58"/>
  <c r="M49" i="48"/>
  <c r="M48" i="48"/>
  <c r="M47" i="48"/>
  <c r="M46" i="48"/>
  <c r="M43" i="48"/>
  <c r="M40" i="48"/>
  <c r="M35" i="48"/>
  <c r="M30" i="48"/>
  <c r="G54" i="48"/>
  <c r="R85" i="48"/>
  <c r="H49" i="48"/>
  <c r="D56" i="58"/>
  <c r="C37" i="58"/>
  <c r="B23" i="58"/>
  <c r="B21" i="58"/>
  <c r="B20" i="58"/>
  <c r="B17" i="58"/>
  <c r="B16" i="58"/>
  <c r="B15" i="58"/>
  <c r="N45" i="58"/>
  <c r="M45" i="58"/>
  <c r="L45" i="58"/>
  <c r="K45" i="58"/>
  <c r="J45" i="58"/>
  <c r="I45" i="58"/>
  <c r="H45" i="58"/>
  <c r="G45" i="58"/>
  <c r="E45" i="58"/>
  <c r="B45" i="58"/>
  <c r="AF32" i="9"/>
  <c r="D1315" i="6"/>
  <c r="AN81" i="22"/>
  <c r="AP81" i="22" s="1"/>
  <c r="AL12" i="22"/>
  <c r="AL9" i="22"/>
  <c r="J510" i="8"/>
  <c r="J509" i="8"/>
  <c r="J507" i="8"/>
  <c r="J506" i="8"/>
  <c r="J505" i="8"/>
  <c r="J504" i="8"/>
  <c r="J503" i="8"/>
  <c r="J502" i="8"/>
  <c r="J501" i="8"/>
  <c r="J500" i="8"/>
  <c r="J498" i="8"/>
  <c r="J497" i="8"/>
  <c r="J496" i="8"/>
  <c r="J493" i="8"/>
  <c r="J490" i="8"/>
  <c r="J489" i="8"/>
  <c r="J488" i="8"/>
  <c r="J487" i="8"/>
  <c r="J485" i="8"/>
  <c r="J475" i="8"/>
  <c r="J474" i="8"/>
  <c r="J471" i="8"/>
  <c r="J470" i="8"/>
  <c r="J469" i="8"/>
  <c r="J468" i="8"/>
  <c r="J467" i="8"/>
  <c r="J466" i="8"/>
  <c r="J465" i="8"/>
  <c r="J464" i="8"/>
  <c r="J461" i="8"/>
  <c r="J459" i="8"/>
  <c r="J455" i="8"/>
  <c r="J453" i="8"/>
  <c r="J452" i="8"/>
  <c r="J451" i="8"/>
  <c r="J450" i="8"/>
  <c r="J449" i="8"/>
  <c r="J387" i="8"/>
  <c r="J373" i="8"/>
  <c r="J366" i="8"/>
  <c r="J365" i="8"/>
  <c r="B375" i="8"/>
  <c r="B109" i="8" s="1"/>
  <c r="A375" i="8"/>
  <c r="D871" i="7"/>
  <c r="C871" i="7"/>
  <c r="C336" i="7" s="1"/>
  <c r="M50" i="48"/>
  <c r="F34" i="48" s="1"/>
  <c r="O256" i="48" s="1"/>
  <c r="D870" i="7"/>
  <c r="A1946" i="6"/>
  <c r="B1817" i="6"/>
  <c r="C589" i="6"/>
  <c r="B589" i="6"/>
  <c r="A589" i="6"/>
  <c r="H589" i="6"/>
  <c r="I589" i="6" s="1"/>
  <c r="B1810" i="6"/>
  <c r="A1810" i="6"/>
  <c r="R111" i="48"/>
  <c r="D1550" i="6"/>
  <c r="A1449" i="6"/>
  <c r="D1449" i="6"/>
  <c r="B1422" i="6"/>
  <c r="B1392" i="6"/>
  <c r="A1392" i="6"/>
  <c r="B966" i="6"/>
  <c r="C321" i="4"/>
  <c r="C55" i="4" s="1"/>
  <c r="B321" i="4"/>
  <c r="B346" i="4" s="1"/>
  <c r="C405" i="4"/>
  <c r="C78" i="4" s="1"/>
  <c r="A363" i="4"/>
  <c r="J1567" i="6"/>
  <c r="J1565" i="6"/>
  <c r="J1563" i="6"/>
  <c r="J1558" i="6"/>
  <c r="J1435" i="6"/>
  <c r="J1416" i="6"/>
  <c r="J1415" i="6"/>
  <c r="J1414" i="6"/>
  <c r="J1413" i="6"/>
  <c r="J1411" i="6"/>
  <c r="J1410" i="6"/>
  <c r="J1409" i="6"/>
  <c r="J1408" i="6"/>
  <c r="H438" i="6"/>
  <c r="I438" i="6" s="1"/>
  <c r="J1407" i="6"/>
  <c r="J1334" i="6"/>
  <c r="J1332" i="6"/>
  <c r="J1331" i="6"/>
  <c r="J1324" i="6"/>
  <c r="J1322" i="6"/>
  <c r="J1321" i="6"/>
  <c r="J1320" i="6"/>
  <c r="J1319" i="6"/>
  <c r="J1318" i="6"/>
  <c r="J1314" i="6"/>
  <c r="J1313" i="6"/>
  <c r="J1312" i="6"/>
  <c r="J1311" i="6"/>
  <c r="J1310" i="6"/>
  <c r="J1309" i="6"/>
  <c r="J1131" i="6"/>
  <c r="J1126" i="6"/>
  <c r="J1124" i="6"/>
  <c r="J1123" i="6"/>
  <c r="J1122" i="6"/>
  <c r="J1121" i="6"/>
  <c r="J1120" i="6"/>
  <c r="J1119" i="6"/>
  <c r="J1117" i="6"/>
  <c r="J1115" i="6"/>
  <c r="J1114" i="6"/>
  <c r="J1112" i="6"/>
  <c r="J1113" i="6"/>
  <c r="G726" i="34"/>
  <c r="AJ217" i="9"/>
  <c r="L257" i="10" s="1"/>
  <c r="J2044" i="6" s="1"/>
  <c r="J742" i="6" s="1"/>
  <c r="AJ215" i="9"/>
  <c r="AK215" i="9" s="1"/>
  <c r="AJ214" i="9"/>
  <c r="AK214" i="9" s="1"/>
  <c r="AJ213" i="9"/>
  <c r="AK213" i="9" s="1"/>
  <c r="AJ212" i="9"/>
  <c r="AK212" i="9" s="1"/>
  <c r="AJ211" i="9"/>
  <c r="AK211" i="9" s="1"/>
  <c r="AJ210" i="9"/>
  <c r="AK210" i="9" s="1"/>
  <c r="AE217" i="9"/>
  <c r="I257" i="10" s="1"/>
  <c r="H2044" i="6" s="1"/>
  <c r="AE215" i="9"/>
  <c r="AF215" i="9" s="1"/>
  <c r="AE214" i="9"/>
  <c r="AF214" i="9" s="1"/>
  <c r="AE213" i="9"/>
  <c r="AF213" i="9" s="1"/>
  <c r="AE212" i="9"/>
  <c r="AF212" i="9" s="1"/>
  <c r="AE211" i="9"/>
  <c r="I253" i="10" s="1"/>
  <c r="AE210" i="9"/>
  <c r="AF210" i="9" s="1"/>
  <c r="AK206" i="9"/>
  <c r="AF206" i="9"/>
  <c r="AK194" i="9"/>
  <c r="AK195" i="9"/>
  <c r="AK196" i="9"/>
  <c r="AK197" i="9"/>
  <c r="AK198" i="9"/>
  <c r="AE185" i="9"/>
  <c r="AF185" i="9" s="1"/>
  <c r="AP147" i="9"/>
  <c r="AP150" i="9"/>
  <c r="AP148" i="9"/>
  <c r="AP149" i="9"/>
  <c r="AP152" i="9"/>
  <c r="AP153" i="9"/>
  <c r="AP154" i="9"/>
  <c r="AP155" i="9"/>
  <c r="AK147" i="9"/>
  <c r="AK148" i="9"/>
  <c r="AK149" i="9"/>
  <c r="AK152" i="9"/>
  <c r="AK153" i="9"/>
  <c r="AK154" i="9"/>
  <c r="AK155" i="9"/>
  <c r="AF154" i="9"/>
  <c r="AF155" i="9"/>
  <c r="AO98" i="9"/>
  <c r="AP98" i="9" s="1"/>
  <c r="AU101" i="9"/>
  <c r="AU102" i="9"/>
  <c r="AU103" i="9"/>
  <c r="AU104" i="9"/>
  <c r="AU105" i="9"/>
  <c r="AU106" i="9"/>
  <c r="AP101" i="9"/>
  <c r="AP102" i="9"/>
  <c r="AP103" i="9"/>
  <c r="AP104" i="9"/>
  <c r="AP105" i="9"/>
  <c r="AP106" i="9"/>
  <c r="AK101" i="9"/>
  <c r="AK102" i="9"/>
  <c r="AK103" i="9"/>
  <c r="AK104" i="9"/>
  <c r="AK105" i="9"/>
  <c r="AK106" i="9"/>
  <c r="AJ41" i="9"/>
  <c r="AK41" i="9" s="1"/>
  <c r="AJ42" i="9"/>
  <c r="AK42" i="9" s="1"/>
  <c r="AJ43" i="9"/>
  <c r="AK43" i="9" s="1"/>
  <c r="AJ44" i="9"/>
  <c r="AK44" i="9" s="1"/>
  <c r="AJ45" i="9"/>
  <c r="AK45" i="9" s="1"/>
  <c r="AJ46" i="9"/>
  <c r="AK46" i="9" s="1"/>
  <c r="AP52" i="9"/>
  <c r="AP51" i="9"/>
  <c r="AP50" i="9"/>
  <c r="AP49" i="9"/>
  <c r="AP43" i="9"/>
  <c r="AP44" i="9"/>
  <c r="AP45" i="9"/>
  <c r="AP46" i="9"/>
  <c r="AJ50" i="9"/>
  <c r="AK50" i="9" s="1"/>
  <c r="AJ51" i="9"/>
  <c r="AK51" i="9" s="1"/>
  <c r="AJ52" i="9"/>
  <c r="AK52" i="9" s="1"/>
  <c r="AE52" i="9"/>
  <c r="AF52" i="9" s="1"/>
  <c r="AE51" i="9"/>
  <c r="AF51" i="9" s="1"/>
  <c r="AE50" i="9"/>
  <c r="AF50" i="9" s="1"/>
  <c r="AE49" i="9"/>
  <c r="AF49" i="9" s="1"/>
  <c r="AE41" i="9"/>
  <c r="AF41" i="9" s="1"/>
  <c r="AE42" i="9"/>
  <c r="AF42" i="9" s="1"/>
  <c r="AE43" i="9"/>
  <c r="AF43" i="9" s="1"/>
  <c r="AE44" i="9"/>
  <c r="AF44" i="9" s="1"/>
  <c r="AE45" i="9"/>
  <c r="AF45" i="9" s="1"/>
  <c r="AE46" i="9"/>
  <c r="AF46" i="9" s="1"/>
  <c r="AK18" i="9"/>
  <c r="AK17" i="9"/>
  <c r="CF11" i="9"/>
  <c r="CF10" i="9"/>
  <c r="CF9" i="9"/>
  <c r="CG9" i="9" s="1"/>
  <c r="CH9" i="9" s="1"/>
  <c r="CI9" i="9" s="1"/>
  <c r="CJ9" i="9" s="1"/>
  <c r="CK9" i="9" s="1"/>
  <c r="CL9" i="9" s="1"/>
  <c r="CM9" i="9" s="1"/>
  <c r="CN9" i="9" s="1"/>
  <c r="CO9" i="9" s="1"/>
  <c r="CF8" i="9"/>
  <c r="CG8" i="9" s="1"/>
  <c r="CH8" i="9" s="1"/>
  <c r="CI8" i="9" s="1"/>
  <c r="CJ8" i="9" s="1"/>
  <c r="CK8" i="9" s="1"/>
  <c r="CL8" i="9" s="1"/>
  <c r="CM8" i="9" s="1"/>
  <c r="CN8" i="9" s="1"/>
  <c r="CO8" i="9" s="1"/>
  <c r="CP8" i="9" s="1"/>
  <c r="CF7" i="9"/>
  <c r="CG7" i="9" s="1"/>
  <c r="CH7" i="9" s="1"/>
  <c r="CI7" i="9" s="1"/>
  <c r="CJ7" i="9" s="1"/>
  <c r="CK7" i="9" s="1"/>
  <c r="CL7" i="9" s="1"/>
  <c r="CM7" i="9" s="1"/>
  <c r="CN7" i="9" s="1"/>
  <c r="CO7" i="9" s="1"/>
  <c r="CP7" i="9" s="1"/>
  <c r="CQ7" i="9" s="1"/>
  <c r="CS7" i="9"/>
  <c r="CF22" i="9"/>
  <c r="CT22" i="9" s="1"/>
  <c r="CS21" i="9"/>
  <c r="CF33" i="9"/>
  <c r="CT33" i="9" s="1"/>
  <c r="CF46" i="9"/>
  <c r="CF45" i="9"/>
  <c r="CT45" i="9" s="1"/>
  <c r="CF44" i="9"/>
  <c r="CG44" i="9" s="1"/>
  <c r="CF52" i="9"/>
  <c r="CT52" i="9" s="1"/>
  <c r="CF106" i="9"/>
  <c r="CF105" i="9"/>
  <c r="CG105" i="9" s="1"/>
  <c r="CU105" i="9" s="1"/>
  <c r="CF104" i="9"/>
  <c r="CS103" i="9"/>
  <c r="CF102" i="9"/>
  <c r="CG102" i="9" s="1"/>
  <c r="CS101" i="9"/>
  <c r="CF119" i="9"/>
  <c r="CG119" i="9" s="1"/>
  <c r="CF194" i="9"/>
  <c r="CG194" i="9" s="1"/>
  <c r="CS195" i="9"/>
  <c r="AE197" i="9"/>
  <c r="AF197" i="9" s="1"/>
  <c r="R86" i="10"/>
  <c r="L1380" i="6" s="1"/>
  <c r="O86" i="10"/>
  <c r="K1380" i="6" s="1"/>
  <c r="AT185" i="9"/>
  <c r="J75" i="10"/>
  <c r="AF194" i="9"/>
  <c r="AF195" i="9"/>
  <c r="AF196" i="9"/>
  <c r="AF198" i="9"/>
  <c r="CF197" i="9"/>
  <c r="CG197" i="9" s="1"/>
  <c r="V197" i="9"/>
  <c r="H124" i="40"/>
  <c r="J112" i="10"/>
  <c r="AB119" i="9"/>
  <c r="BJ119" i="9"/>
  <c r="AL119" i="9"/>
  <c r="AP119" i="9" s="1"/>
  <c r="AK119" i="9"/>
  <c r="BT119" i="9"/>
  <c r="BO119" i="9"/>
  <c r="BE119" i="9"/>
  <c r="AZ119" i="9"/>
  <c r="AU119" i="9"/>
  <c r="V119" i="9"/>
  <c r="CS45" i="9"/>
  <c r="CS119" i="9"/>
  <c r="CS102" i="9"/>
  <c r="CS105" i="9"/>
  <c r="CF101" i="9"/>
  <c r="CT101" i="9" s="1"/>
  <c r="CS22" i="9"/>
  <c r="CF103" i="9"/>
  <c r="CS106" i="9"/>
  <c r="CS46" i="9"/>
  <c r="CF21" i="9"/>
  <c r="CG21" i="9" s="1"/>
  <c r="CF195" i="9"/>
  <c r="CG195" i="9" s="1"/>
  <c r="CH195" i="9" s="1"/>
  <c r="CS197" i="9"/>
  <c r="CS104" i="9"/>
  <c r="CS44" i="9"/>
  <c r="CS52" i="9"/>
  <c r="CG52" i="9"/>
  <c r="CH52" i="9" s="1"/>
  <c r="CT105" i="9"/>
  <c r="CS194" i="9"/>
  <c r="L591" i="4"/>
  <c r="L150" i="4" s="1"/>
  <c r="G280" i="48"/>
  <c r="I24" i="1"/>
  <c r="M47" i="1"/>
  <c r="M46" i="1"/>
  <c r="H308" i="34"/>
  <c r="I308" i="34"/>
  <c r="J308" i="34"/>
  <c r="K308" i="34"/>
  <c r="L308" i="34"/>
  <c r="M308" i="34"/>
  <c r="N308" i="34"/>
  <c r="O308" i="34"/>
  <c r="G308" i="34"/>
  <c r="F308" i="34"/>
  <c r="E308" i="34"/>
  <c r="AH40" i="42"/>
  <c r="AJ40" i="42"/>
  <c r="AK40" i="42"/>
  <c r="AL40" i="42"/>
  <c r="AM40" i="42"/>
  <c r="AN40" i="42"/>
  <c r="AO40" i="42"/>
  <c r="AP40" i="42"/>
  <c r="AQ40" i="42"/>
  <c r="AR40" i="42"/>
  <c r="AU40" i="42"/>
  <c r="AV40" i="42"/>
  <c r="AW40" i="42"/>
  <c r="AY40" i="42"/>
  <c r="AZ40" i="42"/>
  <c r="BA40" i="42"/>
  <c r="BB40" i="42"/>
  <c r="BC40" i="42"/>
  <c r="BD40" i="42"/>
  <c r="BE40" i="42"/>
  <c r="BF40" i="42"/>
  <c r="BG40" i="42"/>
  <c r="F251" i="10"/>
  <c r="G126" i="10"/>
  <c r="F53" i="11" s="1"/>
  <c r="AA316" i="9"/>
  <c r="G176" i="11"/>
  <c r="AG171" i="10"/>
  <c r="AH171" i="10" s="1"/>
  <c r="AD171" i="10"/>
  <c r="AE171" i="10" s="1"/>
  <c r="AA171" i="10"/>
  <c r="X171" i="10"/>
  <c r="Y171" i="10" s="1"/>
  <c r="O171" i="10"/>
  <c r="P171" i="10" s="1"/>
  <c r="L171" i="10"/>
  <c r="I171" i="10"/>
  <c r="CW98" i="9"/>
  <c r="CU98" i="9"/>
  <c r="CT98" i="9"/>
  <c r="CS98" i="9"/>
  <c r="BI98" i="9"/>
  <c r="BJ98" i="9" s="1"/>
  <c r="BD98" i="9"/>
  <c r="BE98" i="9" s="1"/>
  <c r="AJ98" i="9"/>
  <c r="AK98" i="9" s="1"/>
  <c r="AF98" i="9"/>
  <c r="V98" i="9"/>
  <c r="CX98" i="9"/>
  <c r="CV98" i="9"/>
  <c r="J114" i="10"/>
  <c r="M114" i="10"/>
  <c r="P114" i="10"/>
  <c r="S114" i="10"/>
  <c r="V114" i="10"/>
  <c r="Y114" i="10"/>
  <c r="AB114" i="10"/>
  <c r="AE114" i="10"/>
  <c r="AH114" i="10"/>
  <c r="O97" i="9"/>
  <c r="N97" i="9"/>
  <c r="BN97" i="9" s="1"/>
  <c r="M97" i="9"/>
  <c r="AA170" i="10" s="1"/>
  <c r="AB170" i="10" s="1"/>
  <c r="L97" i="9"/>
  <c r="K97" i="9"/>
  <c r="AY97" i="9" s="1"/>
  <c r="AZ97" i="9" s="1"/>
  <c r="O170" i="10"/>
  <c r="AJ97" i="9"/>
  <c r="AK97" i="9" s="1"/>
  <c r="G209" i="10"/>
  <c r="AT98" i="9"/>
  <c r="AU98" i="9" s="1"/>
  <c r="BN98" i="9"/>
  <c r="BO98" i="9" s="1"/>
  <c r="AY98" i="9"/>
  <c r="AZ98" i="9" s="1"/>
  <c r="BS98" i="9"/>
  <c r="BT98" i="9" s="1"/>
  <c r="CY98" i="9"/>
  <c r="AK167" i="9"/>
  <c r="AP167" i="9"/>
  <c r="AK168" i="9"/>
  <c r="AP168" i="9"/>
  <c r="AK169" i="9"/>
  <c r="AP169" i="9"/>
  <c r="CF167" i="9"/>
  <c r="CT167" i="9" s="1"/>
  <c r="BT167" i="9"/>
  <c r="BO167" i="9"/>
  <c r="BJ167" i="9"/>
  <c r="BE167" i="9"/>
  <c r="AZ167" i="9"/>
  <c r="AU167" i="9"/>
  <c r="CF166" i="9"/>
  <c r="CG166" i="9" s="1"/>
  <c r="BT166" i="9"/>
  <c r="BO166" i="9"/>
  <c r="BJ166" i="9"/>
  <c r="BE166" i="9"/>
  <c r="AZ166" i="9"/>
  <c r="AU166" i="9"/>
  <c r="AP166" i="9"/>
  <c r="CF165" i="9"/>
  <c r="CG165" i="9" s="1"/>
  <c r="BT165" i="9"/>
  <c r="BO165" i="9"/>
  <c r="BJ165" i="9"/>
  <c r="BE165" i="9"/>
  <c r="AZ165" i="9"/>
  <c r="AU165" i="9"/>
  <c r="AP165" i="9"/>
  <c r="AK165" i="9"/>
  <c r="AK166" i="9"/>
  <c r="B125" i="11"/>
  <c r="B8" i="11"/>
  <c r="B21" i="11" s="1"/>
  <c r="G166" i="10"/>
  <c r="C591" i="4"/>
  <c r="C150" i="4" s="1"/>
  <c r="Q40" i="42"/>
  <c r="D421" i="34"/>
  <c r="B36" i="17"/>
  <c r="B308" i="15"/>
  <c r="A308" i="15"/>
  <c r="C540" i="8"/>
  <c r="C159" i="8" s="1"/>
  <c r="B540" i="8"/>
  <c r="B159" i="8" s="1"/>
  <c r="C539" i="8"/>
  <c r="C158" i="8" s="1"/>
  <c r="B539" i="8"/>
  <c r="B158" i="8" s="1"/>
  <c r="B85" i="3"/>
  <c r="C72" i="10"/>
  <c r="D72" i="10" s="1"/>
  <c r="B2" i="10"/>
  <c r="B121" i="10" s="1"/>
  <c r="E121" i="10"/>
  <c r="H2" i="10"/>
  <c r="H121" i="10" s="1"/>
  <c r="K2" i="10"/>
  <c r="K121" i="10" s="1"/>
  <c r="N2" i="10"/>
  <c r="N121" i="10" s="1"/>
  <c r="Q2" i="10"/>
  <c r="Q121" i="10" s="1"/>
  <c r="F3" i="10"/>
  <c r="F122" i="10" s="1"/>
  <c r="G3" i="10"/>
  <c r="G122" i="10" s="1"/>
  <c r="E3" i="10"/>
  <c r="E122" i="10" s="1"/>
  <c r="H3" i="10"/>
  <c r="I3" i="10"/>
  <c r="I122" i="10" s="1"/>
  <c r="C8" i="10"/>
  <c r="C10" i="10"/>
  <c r="D10" i="10" s="1"/>
  <c r="G10" i="10"/>
  <c r="F8" i="11" s="1"/>
  <c r="D15" i="10"/>
  <c r="C10" i="11" s="1"/>
  <c r="D10" i="11" s="1"/>
  <c r="E10" i="11" s="1"/>
  <c r="G15" i="10"/>
  <c r="F10" i="11" s="1"/>
  <c r="C16" i="10"/>
  <c r="D16" i="10" s="1"/>
  <c r="D17" i="10"/>
  <c r="C12" i="11" s="1"/>
  <c r="D12" i="11" s="1"/>
  <c r="E12" i="11" s="1"/>
  <c r="G17" i="10"/>
  <c r="F12" i="11" s="1"/>
  <c r="Q17" i="10"/>
  <c r="D18" i="10"/>
  <c r="G18" i="10"/>
  <c r="C20" i="10"/>
  <c r="U8" i="9" s="1"/>
  <c r="G20" i="10"/>
  <c r="C21" i="10"/>
  <c r="D21" i="10" s="1"/>
  <c r="C13" i="11" s="1"/>
  <c r="D13" i="11" s="1"/>
  <c r="D24" i="10"/>
  <c r="C14" i="11" s="1"/>
  <c r="D14" i="11" s="1"/>
  <c r="E14" i="11" s="1"/>
  <c r="G24" i="10"/>
  <c r="F14" i="11" s="1"/>
  <c r="C25" i="10"/>
  <c r="D28" i="10"/>
  <c r="G28" i="10"/>
  <c r="F16" i="11" s="1"/>
  <c r="C29" i="10"/>
  <c r="D29" i="10" s="1"/>
  <c r="D32" i="10"/>
  <c r="C17" i="11" s="1"/>
  <c r="D17" i="11" s="1"/>
  <c r="E17" i="11" s="1"/>
  <c r="C33" i="10"/>
  <c r="D33" i="10" s="1"/>
  <c r="C18" i="11" s="1"/>
  <c r="D18" i="11" s="1"/>
  <c r="E18" i="11" s="1"/>
  <c r="G36" i="10"/>
  <c r="D37" i="10"/>
  <c r="C19" i="11" s="1"/>
  <c r="D19" i="11" s="1"/>
  <c r="E19" i="11" s="1"/>
  <c r="G37" i="10"/>
  <c r="F19" i="11" s="1"/>
  <c r="D43" i="10"/>
  <c r="C25" i="11" s="1"/>
  <c r="D25" i="11" s="1"/>
  <c r="E25" i="11" s="1"/>
  <c r="G43" i="10"/>
  <c r="F25" i="11" s="1"/>
  <c r="C44" i="10"/>
  <c r="I44" i="10"/>
  <c r="L44" i="10"/>
  <c r="M44" i="10" s="1"/>
  <c r="L26" i="11" s="1"/>
  <c r="O44" i="10"/>
  <c r="R44" i="10"/>
  <c r="S44" i="10" s="1"/>
  <c r="R26" i="11" s="1"/>
  <c r="B49" i="10"/>
  <c r="D49" i="10" s="1"/>
  <c r="C30" i="11" s="1"/>
  <c r="D30" i="11" s="1"/>
  <c r="E30" i="11" s="1"/>
  <c r="G30" i="11" s="1"/>
  <c r="H30" i="11" s="1"/>
  <c r="J30" i="11" s="1"/>
  <c r="K30" i="11" s="1"/>
  <c r="M30" i="11" s="1"/>
  <c r="N30" i="11" s="1"/>
  <c r="P30" i="11" s="1"/>
  <c r="Q30" i="11" s="1"/>
  <c r="S30" i="11" s="1"/>
  <c r="T30" i="11" s="1"/>
  <c r="V30" i="11" s="1"/>
  <c r="W30" i="11" s="1"/>
  <c r="Y30" i="11" s="1"/>
  <c r="Z30" i="11" s="1"/>
  <c r="AB30" i="11" s="1"/>
  <c r="AC30" i="11" s="1"/>
  <c r="AE30" i="11" s="1"/>
  <c r="AF30" i="11" s="1"/>
  <c r="AH30" i="11" s="1"/>
  <c r="AI30" i="11" s="1"/>
  <c r="AK30" i="11" s="1"/>
  <c r="AL30" i="11" s="1"/>
  <c r="AN30" i="11" s="1"/>
  <c r="G49" i="10"/>
  <c r="D52" i="10"/>
  <c r="C34" i="11" s="1"/>
  <c r="D34" i="11" s="1"/>
  <c r="E34" i="11" s="1"/>
  <c r="D57" i="10"/>
  <c r="G57" i="10"/>
  <c r="D58" i="10"/>
  <c r="G58" i="10"/>
  <c r="D59" i="10"/>
  <c r="C40" i="11" s="1"/>
  <c r="D40" i="11" s="1"/>
  <c r="E40" i="11" s="1"/>
  <c r="G60" i="10"/>
  <c r="G39" i="11" s="1"/>
  <c r="H39" i="11" s="1"/>
  <c r="B64" i="10"/>
  <c r="D64" i="10" s="1"/>
  <c r="G64" i="10"/>
  <c r="D65" i="10"/>
  <c r="D66" i="10"/>
  <c r="B67" i="10"/>
  <c r="C67" i="10"/>
  <c r="D68" i="10"/>
  <c r="G69" i="10"/>
  <c r="J69" i="10"/>
  <c r="D70" i="10"/>
  <c r="G71" i="10"/>
  <c r="C73" i="10"/>
  <c r="D73" i="10" s="1"/>
  <c r="D74" i="10"/>
  <c r="G76" i="10"/>
  <c r="D77" i="10"/>
  <c r="G77" i="10"/>
  <c r="C78" i="10"/>
  <c r="D78" i="10" s="1"/>
  <c r="G78" i="10"/>
  <c r="G79" i="10"/>
  <c r="G80" i="10"/>
  <c r="J80" i="10"/>
  <c r="G81" i="10"/>
  <c r="G84" i="10"/>
  <c r="G86" i="10"/>
  <c r="M86" i="10"/>
  <c r="J87" i="10"/>
  <c r="M87" i="10"/>
  <c r="D88" i="10"/>
  <c r="G89" i="10"/>
  <c r="H89" i="10"/>
  <c r="J89" i="10" s="1"/>
  <c r="K89" i="10"/>
  <c r="M89" i="10" s="1"/>
  <c r="N89" i="10"/>
  <c r="P89" i="10" s="1"/>
  <c r="Q89" i="10"/>
  <c r="S89" i="10" s="1"/>
  <c r="C90" i="10"/>
  <c r="D90" i="10" s="1"/>
  <c r="G90" i="10"/>
  <c r="I90" i="10"/>
  <c r="J90" i="10" s="1"/>
  <c r="L90" i="10"/>
  <c r="M90" i="10" s="1"/>
  <c r="O90" i="10"/>
  <c r="P90" i="10" s="1"/>
  <c r="R90" i="10"/>
  <c r="S90" i="10" s="1"/>
  <c r="D91" i="10"/>
  <c r="D97" i="10"/>
  <c r="B98" i="10"/>
  <c r="D98" i="10" s="1"/>
  <c r="H98" i="10"/>
  <c r="B100" i="10"/>
  <c r="C100" i="10"/>
  <c r="H100" i="10"/>
  <c r="K100" i="10"/>
  <c r="N100" i="10"/>
  <c r="Q100" i="10"/>
  <c r="D101" i="10"/>
  <c r="B103" i="10"/>
  <c r="C103" i="10"/>
  <c r="D105" i="10"/>
  <c r="B108" i="10"/>
  <c r="D108" i="10" s="1"/>
  <c r="D110" i="10"/>
  <c r="D111" i="10"/>
  <c r="D112" i="10"/>
  <c r="D113" i="10"/>
  <c r="D115" i="10"/>
  <c r="G115" i="10"/>
  <c r="J115" i="10"/>
  <c r="M115" i="10"/>
  <c r="P115" i="10"/>
  <c r="S115" i="10"/>
  <c r="B125" i="10"/>
  <c r="D125" i="10" s="1"/>
  <c r="C52" i="11" s="1"/>
  <c r="D52" i="11" s="1"/>
  <c r="E52" i="11" s="1"/>
  <c r="G125" i="10"/>
  <c r="B126" i="10"/>
  <c r="D126" i="10" s="1"/>
  <c r="D127" i="10"/>
  <c r="D130" i="10"/>
  <c r="C50" i="11" s="1"/>
  <c r="D50" i="11" s="1"/>
  <c r="E50" i="11" s="1"/>
  <c r="G130" i="10"/>
  <c r="F50" i="11" s="1"/>
  <c r="J130" i="10"/>
  <c r="I50" i="11" s="1"/>
  <c r="K130" i="10"/>
  <c r="N130" i="10" s="1"/>
  <c r="D131" i="10"/>
  <c r="C57" i="11" s="1"/>
  <c r="D57" i="11" s="1"/>
  <c r="E57" i="11" s="1"/>
  <c r="D133" i="10"/>
  <c r="D140" i="10"/>
  <c r="C67" i="11" s="1"/>
  <c r="D67" i="11" s="1"/>
  <c r="E67" i="11" s="1"/>
  <c r="B144" i="10"/>
  <c r="D144" i="10" s="1"/>
  <c r="D145" i="10"/>
  <c r="C72" i="11" s="1"/>
  <c r="D72" i="11" s="1"/>
  <c r="C150" i="10"/>
  <c r="H150" i="10"/>
  <c r="I150" i="10"/>
  <c r="J150" i="10"/>
  <c r="K150" i="10"/>
  <c r="L150" i="10"/>
  <c r="M150" i="10"/>
  <c r="N150" i="10"/>
  <c r="O150" i="10"/>
  <c r="P150" i="10"/>
  <c r="Q150" i="10"/>
  <c r="R150" i="10"/>
  <c r="S150" i="10"/>
  <c r="D155" i="10"/>
  <c r="D156" i="10"/>
  <c r="C89" i="11" s="1"/>
  <c r="D89" i="11" s="1"/>
  <c r="E89" i="11" s="1"/>
  <c r="G157" i="10"/>
  <c r="F90" i="11" s="1"/>
  <c r="H157" i="10"/>
  <c r="J157" i="10" s="1"/>
  <c r="I90" i="11" s="1"/>
  <c r="D160" i="10"/>
  <c r="G160" i="10"/>
  <c r="C161" i="10"/>
  <c r="C162" i="10" s="1"/>
  <c r="G162" i="10"/>
  <c r="D165" i="10"/>
  <c r="D166" i="10"/>
  <c r="D167" i="10"/>
  <c r="C168" i="10"/>
  <c r="D168" i="10" s="1"/>
  <c r="C98" i="11" s="1"/>
  <c r="D98" i="11" s="1"/>
  <c r="E98" i="11" s="1"/>
  <c r="G98" i="11" s="1"/>
  <c r="H98" i="11" s="1"/>
  <c r="J98" i="11" s="1"/>
  <c r="K98" i="11" s="1"/>
  <c r="M98" i="11" s="1"/>
  <c r="N98" i="11" s="1"/>
  <c r="P98" i="11" s="1"/>
  <c r="Q98" i="11" s="1"/>
  <c r="S98" i="11" s="1"/>
  <c r="T98" i="11" s="1"/>
  <c r="V98" i="11" s="1"/>
  <c r="W98" i="11" s="1"/>
  <c r="Y98" i="11" s="1"/>
  <c r="Z98" i="11" s="1"/>
  <c r="AB98" i="11" s="1"/>
  <c r="AC98" i="11" s="1"/>
  <c r="AE98" i="11" s="1"/>
  <c r="AF98" i="11" s="1"/>
  <c r="AH98" i="11" s="1"/>
  <c r="AI98" i="11" s="1"/>
  <c r="AK98" i="11" s="1"/>
  <c r="AL98" i="11" s="1"/>
  <c r="AN98" i="11" s="1"/>
  <c r="D169" i="10"/>
  <c r="C174" i="10"/>
  <c r="D174" i="10" s="1"/>
  <c r="C175" i="10"/>
  <c r="D179" i="10"/>
  <c r="D182" i="10"/>
  <c r="C112" i="11" s="1"/>
  <c r="D112" i="11" s="1"/>
  <c r="E112" i="11" s="1"/>
  <c r="D183" i="10"/>
  <c r="C113" i="11" s="1"/>
  <c r="D113" i="11" s="1"/>
  <c r="E113" i="11" s="1"/>
  <c r="G183" i="10"/>
  <c r="F113" i="11" s="1"/>
  <c r="D184" i="10"/>
  <c r="I184" i="10"/>
  <c r="L184" i="10"/>
  <c r="M184" i="10" s="1"/>
  <c r="O184" i="10"/>
  <c r="P184" i="10" s="1"/>
  <c r="R184" i="10"/>
  <c r="S184" i="10" s="1"/>
  <c r="D185" i="10"/>
  <c r="C108" i="11" s="1"/>
  <c r="D108" i="11" s="1"/>
  <c r="E108" i="11" s="1"/>
  <c r="J185" i="10"/>
  <c r="I108" i="11" s="1"/>
  <c r="L185" i="10"/>
  <c r="M185" i="10" s="1"/>
  <c r="L108" i="11" s="1"/>
  <c r="O185" i="10"/>
  <c r="P185" i="10" s="1"/>
  <c r="O108" i="11" s="1"/>
  <c r="R185" i="10"/>
  <c r="S185" i="10" s="1"/>
  <c r="R108" i="11" s="1"/>
  <c r="C187" i="10"/>
  <c r="D187" i="10" s="1"/>
  <c r="G188" i="10"/>
  <c r="D192" i="10"/>
  <c r="C117" i="11" s="1"/>
  <c r="D117" i="11" s="1"/>
  <c r="E117" i="11" s="1"/>
  <c r="G192" i="10"/>
  <c r="F117" i="11" s="1"/>
  <c r="C194" i="10"/>
  <c r="D194" i="10" s="1"/>
  <c r="C119" i="11" s="1"/>
  <c r="D119" i="11" s="1"/>
  <c r="D195" i="10"/>
  <c r="C120" i="11" s="1"/>
  <c r="D120" i="11" s="1"/>
  <c r="D196" i="10"/>
  <c r="C121" i="11" s="1"/>
  <c r="D121" i="11" s="1"/>
  <c r="E121" i="11" s="1"/>
  <c r="D197" i="10"/>
  <c r="C122" i="11" s="1"/>
  <c r="D122" i="11" s="1"/>
  <c r="E122" i="11" s="1"/>
  <c r="F197" i="10"/>
  <c r="G197" i="10" s="1"/>
  <c r="F122" i="11" s="1"/>
  <c r="G200" i="10"/>
  <c r="D201" i="10"/>
  <c r="F202" i="10"/>
  <c r="G202" i="10" s="1"/>
  <c r="D203" i="10"/>
  <c r="D204" i="10"/>
  <c r="B205" i="10"/>
  <c r="D205" i="10" s="1"/>
  <c r="G205" i="10"/>
  <c r="D206" i="10"/>
  <c r="G207" i="10"/>
  <c r="G208" i="10"/>
  <c r="G210" i="10"/>
  <c r="G211" i="10"/>
  <c r="D215" i="10"/>
  <c r="C129" i="11" s="1"/>
  <c r="D129" i="11" s="1"/>
  <c r="E129" i="11" s="1"/>
  <c r="G215" i="10"/>
  <c r="F129" i="11" s="1"/>
  <c r="D219" i="10"/>
  <c r="C132" i="11" s="1"/>
  <c r="D132" i="11" s="1"/>
  <c r="E132" i="11" s="1"/>
  <c r="D225" i="10"/>
  <c r="C133" i="11" s="1"/>
  <c r="D133" i="11" s="1"/>
  <c r="E133" i="11" s="1"/>
  <c r="G229" i="10"/>
  <c r="G230" i="10"/>
  <c r="F139" i="11" s="1"/>
  <c r="D233" i="10"/>
  <c r="C136" i="11" s="1"/>
  <c r="D136" i="11" s="1"/>
  <c r="E136" i="11" s="1"/>
  <c r="G233" i="10"/>
  <c r="D234" i="10"/>
  <c r="C137" i="11" s="1"/>
  <c r="D137" i="11" s="1"/>
  <c r="E137" i="11" s="1"/>
  <c r="G234" i="10"/>
  <c r="B235" i="10"/>
  <c r="D235" i="10" s="1"/>
  <c r="C138" i="11" s="1"/>
  <c r="D138" i="11" s="1"/>
  <c r="E138" i="11" s="1"/>
  <c r="G235" i="10"/>
  <c r="F138" i="11" s="1"/>
  <c r="D236" i="10"/>
  <c r="C140" i="11" s="1"/>
  <c r="D140" i="11" s="1"/>
  <c r="E140" i="11" s="1"/>
  <c r="I236" i="10"/>
  <c r="L236" i="10" s="1"/>
  <c r="O236" i="10" s="1"/>
  <c r="R236" i="10" s="1"/>
  <c r="U236" i="10" s="1"/>
  <c r="D239" i="10"/>
  <c r="C143" i="11" s="1"/>
  <c r="D143" i="11" s="1"/>
  <c r="E143" i="11" s="1"/>
  <c r="D241" i="10"/>
  <c r="C146" i="11" s="1"/>
  <c r="D146" i="11" s="1"/>
  <c r="E146" i="11" s="1"/>
  <c r="D243" i="10"/>
  <c r="C149" i="11" s="1"/>
  <c r="D149" i="11" s="1"/>
  <c r="E149" i="11" s="1"/>
  <c r="G149" i="11" s="1"/>
  <c r="H149" i="11" s="1"/>
  <c r="J149" i="11" s="1"/>
  <c r="K149" i="11" s="1"/>
  <c r="M149" i="11" s="1"/>
  <c r="N149" i="11" s="1"/>
  <c r="P149" i="11" s="1"/>
  <c r="Q149" i="11" s="1"/>
  <c r="S149" i="11" s="1"/>
  <c r="T149" i="11" s="1"/>
  <c r="V149" i="11" s="1"/>
  <c r="W149" i="11" s="1"/>
  <c r="Y149" i="11" s="1"/>
  <c r="Z149" i="11" s="1"/>
  <c r="AB149" i="11" s="1"/>
  <c r="AC149" i="11" s="1"/>
  <c r="AE149" i="11" s="1"/>
  <c r="AF149" i="11" s="1"/>
  <c r="AH149" i="11" s="1"/>
  <c r="AI149" i="11" s="1"/>
  <c r="AK149" i="11" s="1"/>
  <c r="AL149" i="11" s="1"/>
  <c r="AN149" i="11" s="1"/>
  <c r="D246" i="10"/>
  <c r="C152" i="11" s="1"/>
  <c r="D152" i="11" s="1"/>
  <c r="E152" i="11" s="1"/>
  <c r="G247" i="10"/>
  <c r="J247" i="10"/>
  <c r="D251" i="10"/>
  <c r="D252" i="10"/>
  <c r="G252" i="10"/>
  <c r="J252" i="10"/>
  <c r="M252" i="10"/>
  <c r="N17" i="10"/>
  <c r="B253" i="10"/>
  <c r="H253" i="10"/>
  <c r="H1971" i="6" s="1"/>
  <c r="L253" i="10"/>
  <c r="O253" i="10"/>
  <c r="R253" i="10"/>
  <c r="G254" i="10"/>
  <c r="D257" i="10"/>
  <c r="C159" i="11" s="1"/>
  <c r="D159" i="11" s="1"/>
  <c r="B55" i="58" s="1"/>
  <c r="L421" i="10"/>
  <c r="L422" i="10"/>
  <c r="G8" i="10"/>
  <c r="F7" i="11" s="1"/>
  <c r="D25" i="10"/>
  <c r="C15" i="11" s="1"/>
  <c r="D15" i="11" s="1"/>
  <c r="E15" i="11" s="1"/>
  <c r="D656" i="4"/>
  <c r="CS167" i="9"/>
  <c r="CS165" i="9"/>
  <c r="CS166" i="9"/>
  <c r="P252" i="10"/>
  <c r="D20" i="10"/>
  <c r="J3" i="10"/>
  <c r="D1270" i="6"/>
  <c r="C1620" i="6"/>
  <c r="D1627" i="6"/>
  <c r="D1777" i="6"/>
  <c r="D613" i="6" s="1"/>
  <c r="AF193" i="9"/>
  <c r="G469" i="9"/>
  <c r="B1616" i="6"/>
  <c r="D1042" i="6"/>
  <c r="D976" i="6"/>
  <c r="R118" i="9"/>
  <c r="L39" i="37"/>
  <c r="R346" i="9"/>
  <c r="R120" i="9"/>
  <c r="U133" i="9"/>
  <c r="D809" i="6"/>
  <c r="D115" i="6" s="1"/>
  <c r="C2042" i="6"/>
  <c r="C740" i="6" s="1"/>
  <c r="C2030" i="6"/>
  <c r="D1099" i="7"/>
  <c r="E38" i="34"/>
  <c r="F422" i="34"/>
  <c r="E47" i="34"/>
  <c r="D132" i="8"/>
  <c r="C141" i="3"/>
  <c r="C132" i="3"/>
  <c r="D1845" i="6"/>
  <c r="E25" i="9"/>
  <c r="V198" i="9"/>
  <c r="R146" i="9"/>
  <c r="U482" i="9"/>
  <c r="U484" i="9"/>
  <c r="U485" i="9"/>
  <c r="V485" i="9" s="1"/>
  <c r="E498" i="9"/>
  <c r="V491" i="9"/>
  <c r="V492" i="9"/>
  <c r="V430" i="9"/>
  <c r="V421" i="9"/>
  <c r="V422" i="9"/>
  <c r="V423" i="9"/>
  <c r="R425" i="9"/>
  <c r="V294" i="9"/>
  <c r="V297" i="9"/>
  <c r="V298" i="9"/>
  <c r="V299" i="9"/>
  <c r="V320" i="9"/>
  <c r="V321" i="9"/>
  <c r="V322" i="9"/>
  <c r="U141" i="9"/>
  <c r="U399" i="9"/>
  <c r="AA242" i="9"/>
  <c r="V253" i="9"/>
  <c r="V254" i="9"/>
  <c r="V255" i="9"/>
  <c r="V256" i="9"/>
  <c r="V257" i="9"/>
  <c r="V258" i="9"/>
  <c r="V259" i="9"/>
  <c r="V260" i="9"/>
  <c r="V262" i="9"/>
  <c r="V263" i="9"/>
  <c r="V264" i="9"/>
  <c r="V251" i="9"/>
  <c r="D1380" i="6"/>
  <c r="D1379" i="6"/>
  <c r="D1150" i="6"/>
  <c r="D350" i="6" s="1"/>
  <c r="D1079" i="6"/>
  <c r="D286" i="6" s="1"/>
  <c r="E118" i="9"/>
  <c r="D1014" i="6"/>
  <c r="D229" i="6" s="1"/>
  <c r="D396" i="5"/>
  <c r="D161" i="5" s="1"/>
  <c r="E21" i="12"/>
  <c r="E23" i="12"/>
  <c r="D231" i="7"/>
  <c r="V52" i="9"/>
  <c r="E49" i="9"/>
  <c r="D2030" i="6"/>
  <c r="D2042" i="6"/>
  <c r="D1970" i="6"/>
  <c r="D684" i="6" s="1"/>
  <c r="E203" i="9"/>
  <c r="C132" i="13" s="1"/>
  <c r="D1581" i="6"/>
  <c r="D1267" i="6"/>
  <c r="B62" i="40"/>
  <c r="AG17" i="11"/>
  <c r="AD17" i="11"/>
  <c r="AA17" i="11"/>
  <c r="X17" i="11"/>
  <c r="U17" i="11"/>
  <c r="R17" i="11"/>
  <c r="O17" i="11"/>
  <c r="L17" i="11"/>
  <c r="I17" i="11"/>
  <c r="F17" i="11"/>
  <c r="F121" i="11"/>
  <c r="V22" i="9"/>
  <c r="D25" i="27"/>
  <c r="D27" i="27"/>
  <c r="D1021" i="7"/>
  <c r="D1020" i="7"/>
  <c r="D868" i="7"/>
  <c r="D885" i="7"/>
  <c r="D342" i="7" s="1"/>
  <c r="D805" i="7"/>
  <c r="D792" i="7"/>
  <c r="L85" i="26"/>
  <c r="D552" i="7"/>
  <c r="J670" i="6"/>
  <c r="K670" i="6"/>
  <c r="L670" i="6"/>
  <c r="M670" i="6"/>
  <c r="N670" i="6"/>
  <c r="O670" i="6"/>
  <c r="P670" i="6"/>
  <c r="H670" i="6"/>
  <c r="I670" i="6" s="1"/>
  <c r="D670" i="6"/>
  <c r="D1257" i="6"/>
  <c r="D1105" i="6"/>
  <c r="D269" i="5"/>
  <c r="D74" i="5" s="1"/>
  <c r="D714" i="7"/>
  <c r="D247" i="7" s="1"/>
  <c r="S152" i="9"/>
  <c r="V152" i="9" s="1"/>
  <c r="E25" i="12"/>
  <c r="E78" i="12"/>
  <c r="A62" i="12"/>
  <c r="E45" i="12"/>
  <c r="O89" i="11"/>
  <c r="L89" i="11"/>
  <c r="I89" i="11"/>
  <c r="F89" i="11"/>
  <c r="C90" i="11"/>
  <c r="D90" i="11" s="1"/>
  <c r="E90" i="11" s="1"/>
  <c r="E146" i="9"/>
  <c r="E149" i="9"/>
  <c r="CS149" i="9" s="1"/>
  <c r="E181" i="9"/>
  <c r="CS181" i="9" s="1"/>
  <c r="AL78" i="22"/>
  <c r="AL75" i="22"/>
  <c r="AF46" i="22"/>
  <c r="AH46" i="22" s="1"/>
  <c r="AF45" i="22"/>
  <c r="AH45" i="22" s="1"/>
  <c r="T77" i="22"/>
  <c r="T8" i="22"/>
  <c r="BU86" i="22"/>
  <c r="CI86" i="22" s="1"/>
  <c r="F116" i="22"/>
  <c r="CH135" i="22"/>
  <c r="BU115" i="22"/>
  <c r="CH96" i="22"/>
  <c r="BU31" i="22"/>
  <c r="BV31" i="22" s="1"/>
  <c r="BW31" i="22" s="1"/>
  <c r="BU19" i="22"/>
  <c r="BV19" i="22" s="1"/>
  <c r="BU15" i="22"/>
  <c r="D746" i="34"/>
  <c r="C746" i="34"/>
  <c r="F51" i="22"/>
  <c r="F137" i="22"/>
  <c r="F6" i="22"/>
  <c r="C132" i="8"/>
  <c r="B132" i="8"/>
  <c r="A132" i="8"/>
  <c r="C130" i="8"/>
  <c r="B130" i="8"/>
  <c r="A130" i="8"/>
  <c r="D130" i="8"/>
  <c r="C126" i="8"/>
  <c r="B126" i="8"/>
  <c r="A126" i="8"/>
  <c r="D126" i="8"/>
  <c r="D509" i="8"/>
  <c r="D489" i="8"/>
  <c r="D488" i="8"/>
  <c r="D331" i="8"/>
  <c r="C321" i="8"/>
  <c r="F739" i="34"/>
  <c r="CH86" i="22"/>
  <c r="BU61" i="22"/>
  <c r="CI61" i="22" s="1"/>
  <c r="CH132" i="22"/>
  <c r="CH19" i="22"/>
  <c r="CH133" i="22"/>
  <c r="CI132" i="22"/>
  <c r="CH134" i="22"/>
  <c r="BV115" i="22"/>
  <c r="CJ115" i="22" s="1"/>
  <c r="CI115" i="22"/>
  <c r="CH115" i="22"/>
  <c r="CH106" i="22"/>
  <c r="CH105" i="22"/>
  <c r="CI97" i="22"/>
  <c r="CH95" i="22"/>
  <c r="CH97" i="22"/>
  <c r="CH61" i="22"/>
  <c r="CH53" i="22"/>
  <c r="CH52" i="22"/>
  <c r="CH31" i="22"/>
  <c r="BV15" i="22"/>
  <c r="CJ15" i="22" s="1"/>
  <c r="CI15" i="22"/>
  <c r="CH15" i="22"/>
  <c r="BV61" i="22"/>
  <c r="BW61" i="22" s="1"/>
  <c r="CH44" i="22"/>
  <c r="CJ132" i="22"/>
  <c r="BW115" i="22"/>
  <c r="CK115" i="22" s="1"/>
  <c r="CH45" i="22"/>
  <c r="CK132" i="22"/>
  <c r="CH46" i="22"/>
  <c r="CI45" i="22"/>
  <c r="CL132" i="22"/>
  <c r="CL106" i="22"/>
  <c r="CJ45" i="22"/>
  <c r="CI46" i="22"/>
  <c r="CM132" i="22"/>
  <c r="CJ46" i="22"/>
  <c r="CK45" i="22"/>
  <c r="CN132" i="22"/>
  <c r="CK46" i="22"/>
  <c r="CO132" i="22"/>
  <c r="CO134" i="22"/>
  <c r="CO106" i="22"/>
  <c r="CP132" i="22"/>
  <c r="CQ132" i="22"/>
  <c r="CR132" i="22"/>
  <c r="CR106" i="22"/>
  <c r="C264" i="15"/>
  <c r="S61" i="21"/>
  <c r="S23" i="21"/>
  <c r="U23" i="21" s="1"/>
  <c r="S18" i="21"/>
  <c r="S17" i="21"/>
  <c r="S11" i="21"/>
  <c r="C216" i="8"/>
  <c r="C57" i="8" s="1"/>
  <c r="B216" i="8"/>
  <c r="A216" i="8"/>
  <c r="A323" i="8"/>
  <c r="L67" i="26"/>
  <c r="K67" i="26"/>
  <c r="J67" i="26"/>
  <c r="I67" i="26"/>
  <c r="H67" i="26"/>
  <c r="G67" i="26"/>
  <c r="F67" i="26"/>
  <c r="E67" i="26"/>
  <c r="D67" i="26"/>
  <c r="C67" i="26"/>
  <c r="L60" i="26"/>
  <c r="K60" i="26"/>
  <c r="J60" i="26"/>
  <c r="I60" i="26"/>
  <c r="H60" i="26"/>
  <c r="G60" i="26"/>
  <c r="F60" i="26"/>
  <c r="E60" i="26"/>
  <c r="D60" i="26"/>
  <c r="C60" i="26"/>
  <c r="D53" i="26"/>
  <c r="E53" i="26"/>
  <c r="F53" i="26"/>
  <c r="G53" i="26"/>
  <c r="H53" i="26"/>
  <c r="I53" i="26"/>
  <c r="J53" i="26"/>
  <c r="K53" i="26"/>
  <c r="L53" i="26"/>
  <c r="C53" i="26"/>
  <c r="L71" i="26"/>
  <c r="J64" i="1"/>
  <c r="J65" i="1" s="1"/>
  <c r="I64" i="1"/>
  <c r="I65" i="1" s="1"/>
  <c r="H64" i="1"/>
  <c r="C16" i="16"/>
  <c r="A444" i="8"/>
  <c r="B746" i="34" s="1"/>
  <c r="BT65" i="21"/>
  <c r="BU65" i="21" s="1"/>
  <c r="BV65" i="21" s="1"/>
  <c r="BW65" i="21" s="1"/>
  <c r="BX65" i="21" s="1"/>
  <c r="BY65" i="21" s="1"/>
  <c r="BZ65" i="21" s="1"/>
  <c r="CA65" i="21" s="1"/>
  <c r="CB65" i="21" s="1"/>
  <c r="CC65" i="21" s="1"/>
  <c r="CD65" i="21" s="1"/>
  <c r="BT60" i="21"/>
  <c r="BU60" i="21" s="1"/>
  <c r="BV60" i="21" s="1"/>
  <c r="BW60" i="21" s="1"/>
  <c r="BX60" i="21" s="1"/>
  <c r="BY60" i="21" s="1"/>
  <c r="BZ60" i="21" s="1"/>
  <c r="CA60" i="21" s="1"/>
  <c r="CB60" i="21" s="1"/>
  <c r="CC60" i="21" s="1"/>
  <c r="CD60" i="21" s="1"/>
  <c r="BT24" i="21"/>
  <c r="BU24" i="21" s="1"/>
  <c r="BV24" i="21" s="1"/>
  <c r="BW24" i="21" s="1"/>
  <c r="BX24" i="21" s="1"/>
  <c r="BY24" i="21" s="1"/>
  <c r="BZ24" i="21" s="1"/>
  <c r="CA24" i="21" s="1"/>
  <c r="CB24" i="21" s="1"/>
  <c r="CC24" i="21" s="1"/>
  <c r="CD24" i="21" s="1"/>
  <c r="BT30" i="21"/>
  <c r="BU30" i="21" s="1"/>
  <c r="BV30" i="21" s="1"/>
  <c r="BW30" i="21" s="1"/>
  <c r="BX30" i="21" s="1"/>
  <c r="BY30" i="21" s="1"/>
  <c r="BZ30" i="21" s="1"/>
  <c r="CA30" i="21" s="1"/>
  <c r="CB30" i="21" s="1"/>
  <c r="CC30" i="21" s="1"/>
  <c r="CD30" i="21" s="1"/>
  <c r="D68" i="8"/>
  <c r="C257" i="8"/>
  <c r="D249" i="8"/>
  <c r="D206" i="8"/>
  <c r="H65" i="1"/>
  <c r="J172" i="8"/>
  <c r="K172" i="8" s="1"/>
  <c r="L172" i="8" s="1"/>
  <c r="M172" i="8" s="1"/>
  <c r="N172" i="8" s="1"/>
  <c r="J171" i="8"/>
  <c r="K171" i="8" s="1"/>
  <c r="L171" i="8" s="1"/>
  <c r="M171" i="8" s="1"/>
  <c r="D1052" i="6"/>
  <c r="D1057" i="6"/>
  <c r="D1059" i="6"/>
  <c r="D1043" i="6"/>
  <c r="E20" i="12"/>
  <c r="E28" i="12" s="1"/>
  <c r="Z426" i="9"/>
  <c r="AA426" i="9" s="1"/>
  <c r="AA384" i="9"/>
  <c r="Z149" i="9"/>
  <c r="AA149" i="9" s="1"/>
  <c r="C594" i="6"/>
  <c r="B594" i="6"/>
  <c r="A594" i="6"/>
  <c r="C593" i="6"/>
  <c r="B593" i="6"/>
  <c r="A593" i="6"/>
  <c r="H594" i="6"/>
  <c r="I594" i="6" s="1"/>
  <c r="H593" i="6"/>
  <c r="I593" i="6" s="1"/>
  <c r="D594" i="6"/>
  <c r="D593" i="6"/>
  <c r="D592" i="6"/>
  <c r="A337" i="7"/>
  <c r="B337" i="7"/>
  <c r="C870" i="7"/>
  <c r="C337" i="7" s="1"/>
  <c r="B696" i="7"/>
  <c r="C696" i="7"/>
  <c r="C232" i="7" s="1"/>
  <c r="C694" i="7"/>
  <c r="L98" i="7"/>
  <c r="K98" i="7"/>
  <c r="J98" i="7"/>
  <c r="H98" i="7"/>
  <c r="I98" i="7" s="1"/>
  <c r="H95" i="7"/>
  <c r="I95" i="7" s="1"/>
  <c r="C97" i="7"/>
  <c r="C98" i="7"/>
  <c r="C96" i="7"/>
  <c r="B97" i="7"/>
  <c r="B98" i="7"/>
  <c r="B96" i="7"/>
  <c r="A99" i="7"/>
  <c r="A98" i="7"/>
  <c r="A96" i="7"/>
  <c r="A97" i="7"/>
  <c r="D99" i="7"/>
  <c r="D98" i="7"/>
  <c r="D97" i="7"/>
  <c r="D96" i="7"/>
  <c r="B697" i="4"/>
  <c r="B190" i="4" s="1"/>
  <c r="B195" i="4" s="1"/>
  <c r="F510" i="9"/>
  <c r="M71" i="37"/>
  <c r="AA299" i="9"/>
  <c r="AA300" i="9"/>
  <c r="Z296" i="9"/>
  <c r="Z493" i="9"/>
  <c r="Z498" i="9" s="1"/>
  <c r="F498" i="9"/>
  <c r="F181" i="9" s="1"/>
  <c r="AA181" i="9" s="1"/>
  <c r="F78" i="12"/>
  <c r="Z133" i="9"/>
  <c r="AA343" i="9"/>
  <c r="AA365" i="9"/>
  <c r="AA364" i="9"/>
  <c r="AA293" i="9"/>
  <c r="AA262" i="9"/>
  <c r="CT185" i="9"/>
  <c r="AA322" i="9"/>
  <c r="J512" i="8"/>
  <c r="J491" i="8"/>
  <c r="J473" i="8"/>
  <c r="J472" i="8"/>
  <c r="J444" i="8"/>
  <c r="H208" i="6"/>
  <c r="I208" i="6" s="1"/>
  <c r="I282" i="4"/>
  <c r="AA424" i="9"/>
  <c r="D424" i="9"/>
  <c r="H312" i="6"/>
  <c r="I312" i="6" s="1"/>
  <c r="AA404" i="9"/>
  <c r="AA405" i="9"/>
  <c r="D180" i="42"/>
  <c r="Z203" i="9"/>
  <c r="AA203" i="9" s="1"/>
  <c r="Z504" i="9"/>
  <c r="Z510" i="9" s="1"/>
  <c r="AA487" i="9"/>
  <c r="Z195" i="9"/>
  <c r="AA195" i="9" s="1"/>
  <c r="J428" i="6"/>
  <c r="AA253" i="9"/>
  <c r="Z9" i="9"/>
  <c r="AA9" i="9" s="1"/>
  <c r="Q398" i="5"/>
  <c r="Q163" i="5" s="1"/>
  <c r="U82" i="9"/>
  <c r="V82" i="9" s="1"/>
  <c r="U14" i="9"/>
  <c r="V14" i="9" s="1"/>
  <c r="CF198" i="9"/>
  <c r="CG198" i="9" s="1"/>
  <c r="CS198" i="9"/>
  <c r="N39" i="37"/>
  <c r="E248" i="56"/>
  <c r="E30" i="56"/>
  <c r="N237" i="56"/>
  <c r="L237" i="56"/>
  <c r="L236" i="56"/>
  <c r="L245" i="56"/>
  <c r="L235" i="56"/>
  <c r="L234" i="56"/>
  <c r="L243" i="56"/>
  <c r="L244" i="56"/>
  <c r="E13" i="3"/>
  <c r="E14" i="3"/>
  <c r="E15" i="3"/>
  <c r="E16" i="3"/>
  <c r="E21" i="3"/>
  <c r="E22" i="3"/>
  <c r="E23" i="3"/>
  <c r="E24" i="3"/>
  <c r="O29" i="3"/>
  <c r="E37" i="3"/>
  <c r="E45" i="3" s="1"/>
  <c r="E59" i="3" s="1"/>
  <c r="E120" i="3" s="1"/>
  <c r="E38" i="3"/>
  <c r="E46" i="3" s="1"/>
  <c r="E60" i="3" s="1"/>
  <c r="E121" i="3" s="1"/>
  <c r="E39" i="3"/>
  <c r="E47" i="3" s="1"/>
  <c r="E61" i="3" s="1"/>
  <c r="E122" i="3" s="1"/>
  <c r="E40" i="3"/>
  <c r="E48" i="3" s="1"/>
  <c r="E62" i="3" s="1"/>
  <c r="E123" i="3" s="1"/>
  <c r="E67" i="3"/>
  <c r="E68" i="3"/>
  <c r="E69" i="3"/>
  <c r="E70" i="3"/>
  <c r="A85" i="3"/>
  <c r="B111" i="3"/>
  <c r="C111" i="3"/>
  <c r="A113" i="3"/>
  <c r="B113" i="3"/>
  <c r="C113" i="3"/>
  <c r="A114" i="3"/>
  <c r="B114" i="3"/>
  <c r="C114" i="3"/>
  <c r="A115" i="3"/>
  <c r="B115" i="3"/>
  <c r="A116" i="3"/>
  <c r="B116" i="3"/>
  <c r="A132" i="3"/>
  <c r="B132" i="3"/>
  <c r="E132" i="3"/>
  <c r="E133" i="3"/>
  <c r="A134" i="3"/>
  <c r="B134" i="3"/>
  <c r="E134" i="3"/>
  <c r="E135" i="3"/>
  <c r="B136" i="3"/>
  <c r="E136" i="3"/>
  <c r="A137" i="3"/>
  <c r="B137" i="3"/>
  <c r="C137" i="3"/>
  <c r="A141" i="3"/>
  <c r="G145" i="3"/>
  <c r="H145" i="3"/>
  <c r="I145" i="3"/>
  <c r="A164" i="3"/>
  <c r="B164" i="3"/>
  <c r="E164" i="3"/>
  <c r="E173" i="3" s="1"/>
  <c r="A168" i="3"/>
  <c r="B168" i="3"/>
  <c r="E168" i="3"/>
  <c r="E177" i="3" s="1"/>
  <c r="E169" i="3"/>
  <c r="E178" i="3" s="1"/>
  <c r="K1152" i="6"/>
  <c r="K352" i="6" s="1"/>
  <c r="AB382" i="9"/>
  <c r="G392" i="9"/>
  <c r="V382" i="9"/>
  <c r="A249" i="6"/>
  <c r="A247" i="6"/>
  <c r="A246" i="6"/>
  <c r="B249" i="6"/>
  <c r="B248" i="6"/>
  <c r="B247" i="6"/>
  <c r="B246" i="6"/>
  <c r="C248" i="6"/>
  <c r="C247" i="6"/>
  <c r="C246" i="6"/>
  <c r="K249" i="6"/>
  <c r="AL120" i="9" s="1"/>
  <c r="I235" i="3" s="1"/>
  <c r="J249" i="6"/>
  <c r="H249" i="6"/>
  <c r="I249" i="6" s="1"/>
  <c r="P247" i="6"/>
  <c r="O247" i="6"/>
  <c r="D246" i="6"/>
  <c r="D248" i="6"/>
  <c r="R166" i="9"/>
  <c r="V166" i="9" s="1"/>
  <c r="R159" i="9"/>
  <c r="V159" i="9" s="1"/>
  <c r="C238" i="56"/>
  <c r="N246" i="56"/>
  <c r="C246" i="56"/>
  <c r="D275" i="56"/>
  <c r="D263" i="56"/>
  <c r="D280" i="56"/>
  <c r="C245" i="56"/>
  <c r="D276" i="56"/>
  <c r="D241" i="56"/>
  <c r="D269" i="56"/>
  <c r="C237" i="56"/>
  <c r="D264" i="56"/>
  <c r="D233" i="56"/>
  <c r="D226" i="56"/>
  <c r="C226" i="56"/>
  <c r="E226" i="56"/>
  <c r="C248" i="56"/>
  <c r="C250" i="56"/>
  <c r="D248" i="56"/>
  <c r="D250" i="56"/>
  <c r="E63" i="14"/>
  <c r="A209" i="14"/>
  <c r="BT31" i="9"/>
  <c r="BT32" i="9"/>
  <c r="BT33" i="9"/>
  <c r="BT38" i="9"/>
  <c r="BO31" i="9"/>
  <c r="BO32" i="9"/>
  <c r="BO33" i="9"/>
  <c r="BO38" i="9"/>
  <c r="BJ31" i="9"/>
  <c r="BJ32" i="9"/>
  <c r="BJ33" i="9"/>
  <c r="BJ38" i="9"/>
  <c r="BE31" i="9"/>
  <c r="BE32" i="9"/>
  <c r="BE33" i="9"/>
  <c r="BE38" i="9"/>
  <c r="AZ31" i="9"/>
  <c r="AZ32" i="9"/>
  <c r="AZ33" i="9"/>
  <c r="AZ38" i="9"/>
  <c r="AU31" i="9"/>
  <c r="AU32" i="9"/>
  <c r="AU33" i="9"/>
  <c r="AP31" i="9"/>
  <c r="AP32" i="9"/>
  <c r="AP33" i="9"/>
  <c r="AK31" i="9"/>
  <c r="AK32" i="9"/>
  <c r="AK33" i="9"/>
  <c r="AF33" i="9"/>
  <c r="X521" i="9"/>
  <c r="X522" i="9" s="1"/>
  <c r="Y521" i="9"/>
  <c r="Y522" i="9" s="1"/>
  <c r="Z521" i="9"/>
  <c r="AA517" i="9"/>
  <c r="AA518" i="9"/>
  <c r="AA519" i="9"/>
  <c r="AA520" i="9"/>
  <c r="AA514" i="9"/>
  <c r="X510" i="9"/>
  <c r="X511" i="9" s="1"/>
  <c r="Y510" i="9"/>
  <c r="Y511" i="9" s="1"/>
  <c r="AA506" i="9"/>
  <c r="AA509" i="9"/>
  <c r="AA503" i="9"/>
  <c r="X499" i="9"/>
  <c r="Y499" i="9"/>
  <c r="AA473" i="9"/>
  <c r="AA474" i="9"/>
  <c r="AA475" i="9"/>
  <c r="AA476" i="9"/>
  <c r="AA479" i="9"/>
  <c r="AA480" i="9"/>
  <c r="AA481" i="9"/>
  <c r="AA482" i="9"/>
  <c r="AA483" i="9"/>
  <c r="AA484" i="9"/>
  <c r="AA485" i="9"/>
  <c r="AA486" i="9"/>
  <c r="AA488" i="9"/>
  <c r="AA489" i="9"/>
  <c r="AA490" i="9"/>
  <c r="AA491" i="9"/>
  <c r="AA472" i="9"/>
  <c r="X468" i="9"/>
  <c r="X469" i="9" s="1"/>
  <c r="Y468" i="9"/>
  <c r="Y469" i="9" s="1"/>
  <c r="AA415" i="9"/>
  <c r="AA416" i="9"/>
  <c r="AA417" i="9"/>
  <c r="AA418" i="9"/>
  <c r="AA419" i="9"/>
  <c r="AA420" i="9"/>
  <c r="AA423" i="9"/>
  <c r="AA425" i="9"/>
  <c r="AA427" i="9"/>
  <c r="AA428" i="9"/>
  <c r="AA429" i="9"/>
  <c r="AA431" i="9"/>
  <c r="AA432" i="9"/>
  <c r="AA433" i="9"/>
  <c r="AA434" i="9"/>
  <c r="AA435" i="9"/>
  <c r="AA436" i="9"/>
  <c r="AA438" i="9"/>
  <c r="AA439" i="9"/>
  <c r="AA440" i="9"/>
  <c r="AA441" i="9"/>
  <c r="AA443" i="9"/>
  <c r="AA444" i="9"/>
  <c r="AA445" i="9"/>
  <c r="AA446" i="9"/>
  <c r="AA447" i="9"/>
  <c r="AA448" i="9"/>
  <c r="AA449" i="9"/>
  <c r="AA450" i="9"/>
  <c r="AA451" i="9"/>
  <c r="AA453" i="9"/>
  <c r="AA454" i="9"/>
  <c r="AA456" i="9"/>
  <c r="AA457" i="9"/>
  <c r="AA458" i="9"/>
  <c r="AA459" i="9"/>
  <c r="AA467" i="9"/>
  <c r="X410" i="9"/>
  <c r="X411" i="9" s="1"/>
  <c r="Y410" i="9"/>
  <c r="Y411" i="9" s="1"/>
  <c r="AA397" i="9"/>
  <c r="AA398" i="9"/>
  <c r="AA399" i="9"/>
  <c r="AA400" i="9"/>
  <c r="AA402" i="9"/>
  <c r="AA403" i="9"/>
  <c r="AA409" i="9"/>
  <c r="AA396" i="9"/>
  <c r="AA344" i="9"/>
  <c r="AA345" i="9"/>
  <c r="AA346" i="9"/>
  <c r="AA347" i="9"/>
  <c r="AA348" i="9"/>
  <c r="AA349" i="9"/>
  <c r="AA350" i="9"/>
  <c r="AA351" i="9"/>
  <c r="AA352" i="9"/>
  <c r="AA353" i="9"/>
  <c r="AA354" i="9"/>
  <c r="AA355" i="9"/>
  <c r="AA357" i="9"/>
  <c r="AA359" i="9"/>
  <c r="AA360" i="9"/>
  <c r="AA362" i="9"/>
  <c r="AA363" i="9"/>
  <c r="AA367" i="9"/>
  <c r="AA368" i="9"/>
  <c r="AA369" i="9"/>
  <c r="AA371" i="9"/>
  <c r="AA372" i="9"/>
  <c r="AA373" i="9"/>
  <c r="AA374" i="9"/>
  <c r="AA375" i="9"/>
  <c r="AA376" i="9"/>
  <c r="AA377" i="9"/>
  <c r="AA378" i="9"/>
  <c r="AA379" i="9"/>
  <c r="AA380" i="9"/>
  <c r="AA381" i="9"/>
  <c r="AA295" i="9"/>
  <c r="AA297" i="9"/>
  <c r="AA301" i="9"/>
  <c r="AA302" i="9"/>
  <c r="AA304" i="9"/>
  <c r="AA305" i="9"/>
  <c r="AA358" i="9"/>
  <c r="AA306" i="9"/>
  <c r="AA309" i="9"/>
  <c r="AA310" i="9"/>
  <c r="AA311" i="9"/>
  <c r="AA312" i="9"/>
  <c r="AA313" i="9"/>
  <c r="AA314" i="9"/>
  <c r="AA315" i="9"/>
  <c r="AA317" i="9"/>
  <c r="AA318" i="9"/>
  <c r="AA319" i="9"/>
  <c r="AA320" i="9"/>
  <c r="AA321" i="9"/>
  <c r="AA338" i="9"/>
  <c r="Y339" i="9"/>
  <c r="AA266" i="9"/>
  <c r="X287" i="9"/>
  <c r="X288" i="9" s="1"/>
  <c r="Y287" i="9"/>
  <c r="Y288" i="9" s="1"/>
  <c r="Z287" i="9"/>
  <c r="AA243" i="9"/>
  <c r="AA245" i="9"/>
  <c r="AA246" i="9"/>
  <c r="AA247" i="9"/>
  <c r="AA248" i="9"/>
  <c r="AA249" i="9"/>
  <c r="AA250" i="9"/>
  <c r="AA251" i="9"/>
  <c r="AA252" i="9"/>
  <c r="AA254" i="9"/>
  <c r="AA257" i="9"/>
  <c r="AA258" i="9"/>
  <c r="AA259" i="9"/>
  <c r="AA260" i="9"/>
  <c r="AA261" i="9"/>
  <c r="AA264" i="9"/>
  <c r="AA265" i="9"/>
  <c r="AA267" i="9"/>
  <c r="AA268" i="9"/>
  <c r="AA269" i="9"/>
  <c r="AA270" i="9"/>
  <c r="AA271" i="9"/>
  <c r="AA272" i="9"/>
  <c r="AA274" i="9"/>
  <c r="AA275" i="9"/>
  <c r="AA276" i="9"/>
  <c r="AA277" i="9"/>
  <c r="AA278" i="9"/>
  <c r="AA279" i="9"/>
  <c r="AA280" i="9"/>
  <c r="AA281" i="9"/>
  <c r="AA282" i="9"/>
  <c r="CF31" i="9"/>
  <c r="CF32" i="9"/>
  <c r="CT32" i="9" s="1"/>
  <c r="CS41" i="9"/>
  <c r="CF42" i="9"/>
  <c r="CG42" i="9" s="1"/>
  <c r="CF43" i="9"/>
  <c r="CG43" i="9" s="1"/>
  <c r="CF50" i="9"/>
  <c r="CG50" i="9" s="1"/>
  <c r="CS154" i="9"/>
  <c r="DC188" i="9"/>
  <c r="DB188" i="9"/>
  <c r="DA188" i="9"/>
  <c r="CZ188" i="9"/>
  <c r="CY188" i="9"/>
  <c r="CX188" i="9"/>
  <c r="CW188" i="9"/>
  <c r="CV188" i="9"/>
  <c r="CU188" i="9"/>
  <c r="CT188" i="9"/>
  <c r="CS188" i="9"/>
  <c r="DC185" i="9"/>
  <c r="DB185" i="9"/>
  <c r="DA185" i="9"/>
  <c r="CZ185" i="9"/>
  <c r="CY185" i="9"/>
  <c r="CX185" i="9"/>
  <c r="CW185" i="9"/>
  <c r="CV185" i="9"/>
  <c r="CU185" i="9"/>
  <c r="CS185" i="9"/>
  <c r="DC184" i="9"/>
  <c r="DB184" i="9"/>
  <c r="DA184" i="9"/>
  <c r="CZ184" i="9"/>
  <c r="CY184" i="9"/>
  <c r="CX184" i="9"/>
  <c r="CW184" i="9"/>
  <c r="CV184" i="9"/>
  <c r="CU184" i="9"/>
  <c r="CT184" i="9"/>
  <c r="CS184" i="9"/>
  <c r="CF211" i="9"/>
  <c r="CT211" i="9" s="1"/>
  <c r="CS212" i="9"/>
  <c r="CF213" i="9"/>
  <c r="CG213" i="9" s="1"/>
  <c r="CS214" i="9"/>
  <c r="CF215" i="9"/>
  <c r="CG215" i="9" s="1"/>
  <c r="CU215" i="9" s="1"/>
  <c r="CF206" i="9"/>
  <c r="CT206" i="9" s="1"/>
  <c r="CS206" i="9"/>
  <c r="CS211" i="9"/>
  <c r="CF214" i="9"/>
  <c r="CG214" i="9" s="1"/>
  <c r="CF41" i="9"/>
  <c r="CS42" i="9"/>
  <c r="CS213" i="9"/>
  <c r="CF212" i="9"/>
  <c r="CT212" i="9" s="1"/>
  <c r="CF154" i="9"/>
  <c r="CG154" i="9" s="1"/>
  <c r="O59" i="12"/>
  <c r="G63" i="14"/>
  <c r="F521" i="9"/>
  <c r="H107" i="4"/>
  <c r="C107" i="4"/>
  <c r="B107" i="4"/>
  <c r="A107" i="4"/>
  <c r="A160" i="4" s="1"/>
  <c r="E437" i="34"/>
  <c r="U60" i="21"/>
  <c r="D219" i="8"/>
  <c r="D57" i="8" s="1"/>
  <c r="D1195" i="6"/>
  <c r="V154" i="9"/>
  <c r="R449" i="9"/>
  <c r="V449" i="9" s="1"/>
  <c r="R460" i="9"/>
  <c r="V460" i="9" s="1"/>
  <c r="R454" i="9"/>
  <c r="V454" i="9" s="1"/>
  <c r="R442" i="9"/>
  <c r="V442" i="9" s="1"/>
  <c r="S118" i="9"/>
  <c r="V357" i="9"/>
  <c r="I78" i="12"/>
  <c r="L78" i="12"/>
  <c r="M78" i="12"/>
  <c r="N78" i="12"/>
  <c r="O78" i="12"/>
  <c r="S355" i="9"/>
  <c r="S392" i="9" s="1"/>
  <c r="R293" i="9"/>
  <c r="V293" i="9" s="1"/>
  <c r="E292" i="9"/>
  <c r="V346" i="9"/>
  <c r="A11" i="12"/>
  <c r="E87" i="12"/>
  <c r="D856" i="7"/>
  <c r="U43" i="9"/>
  <c r="V43" i="9" s="1"/>
  <c r="CS43" i="9"/>
  <c r="U49" i="9"/>
  <c r="U215" i="9"/>
  <c r="C255" i="10" s="1"/>
  <c r="CS215" i="9"/>
  <c r="D2013" i="6"/>
  <c r="D484" i="6"/>
  <c r="D1316" i="6"/>
  <c r="U94" i="9"/>
  <c r="V94" i="9" s="1"/>
  <c r="D908" i="6"/>
  <c r="D381" i="5"/>
  <c r="D127" i="5"/>
  <c r="D347" i="5"/>
  <c r="R141" i="9"/>
  <c r="BI65" i="21"/>
  <c r="BE65" i="21"/>
  <c r="BA65" i="21"/>
  <c r="AW65" i="21"/>
  <c r="AS65" i="21"/>
  <c r="AO65" i="21"/>
  <c r="AK65" i="21"/>
  <c r="AG65" i="21"/>
  <c r="AC65" i="21"/>
  <c r="BI60" i="21"/>
  <c r="BE60" i="21"/>
  <c r="BA60" i="21"/>
  <c r="AW60" i="21"/>
  <c r="AS60" i="21"/>
  <c r="AO60" i="21"/>
  <c r="AK60" i="21"/>
  <c r="AG60" i="21"/>
  <c r="AC60" i="21"/>
  <c r="BI52" i="21"/>
  <c r="BI53" i="21"/>
  <c r="BE52" i="21"/>
  <c r="BE53" i="21"/>
  <c r="BA52" i="21"/>
  <c r="BA53" i="21"/>
  <c r="AW52" i="21"/>
  <c r="AW53" i="21"/>
  <c r="AS52" i="21"/>
  <c r="AS53" i="21"/>
  <c r="AO52" i="21"/>
  <c r="AO53" i="21"/>
  <c r="AK52" i="21"/>
  <c r="AK53" i="21"/>
  <c r="AG52" i="21"/>
  <c r="AG53" i="21"/>
  <c r="AC53" i="21"/>
  <c r="AC52" i="21"/>
  <c r="BI30" i="21"/>
  <c r="BE30" i="21"/>
  <c r="BA30" i="21"/>
  <c r="AW30" i="21"/>
  <c r="AS30" i="21"/>
  <c r="AO30" i="21"/>
  <c r="AK30" i="21"/>
  <c r="AG30" i="21"/>
  <c r="AC30" i="21"/>
  <c r="BI24" i="21"/>
  <c r="BE24" i="21"/>
  <c r="BA24" i="21"/>
  <c r="AW24" i="21"/>
  <c r="AS24" i="21"/>
  <c r="AO24" i="21"/>
  <c r="AK24" i="21"/>
  <c r="AG24" i="21"/>
  <c r="AC24" i="21"/>
  <c r="BJ132" i="22"/>
  <c r="BJ133" i="22"/>
  <c r="BJ134" i="22"/>
  <c r="BF132" i="22"/>
  <c r="BF133" i="22"/>
  <c r="BF134" i="22"/>
  <c r="BB132" i="22"/>
  <c r="BB133" i="22"/>
  <c r="BB134" i="22"/>
  <c r="AX132" i="22"/>
  <c r="AX133" i="22"/>
  <c r="AX134" i="22"/>
  <c r="AT132" i="22"/>
  <c r="AT133" i="22"/>
  <c r="AT134" i="22"/>
  <c r="AP132" i="22"/>
  <c r="AP133" i="22"/>
  <c r="AP134" i="22"/>
  <c r="AL132" i="22"/>
  <c r="AL133" i="22"/>
  <c r="AL134" i="22"/>
  <c r="AH132" i="22"/>
  <c r="AH133" i="22"/>
  <c r="AH134" i="22"/>
  <c r="AD132" i="22"/>
  <c r="AD133" i="22"/>
  <c r="AD134" i="22"/>
  <c r="BJ115" i="22"/>
  <c r="BF115" i="22"/>
  <c r="BB115" i="22"/>
  <c r="AX115" i="22"/>
  <c r="AT115" i="22"/>
  <c r="AP115" i="22"/>
  <c r="AL115" i="22"/>
  <c r="AH115" i="22"/>
  <c r="AD115" i="22"/>
  <c r="BJ105" i="22"/>
  <c r="BJ106" i="22"/>
  <c r="BF105" i="22"/>
  <c r="BF106" i="22"/>
  <c r="BB105" i="22"/>
  <c r="BB106" i="22"/>
  <c r="AX105" i="22"/>
  <c r="AX106" i="22"/>
  <c r="AT105" i="22"/>
  <c r="AT106" i="22"/>
  <c r="AP105" i="22"/>
  <c r="AP106" i="22"/>
  <c r="AL105" i="22"/>
  <c r="AL106" i="22"/>
  <c r="AH105" i="22"/>
  <c r="AH106" i="22"/>
  <c r="AD105" i="22"/>
  <c r="AD106" i="22"/>
  <c r="BJ61" i="22"/>
  <c r="BF61" i="22"/>
  <c r="BB61" i="22"/>
  <c r="AX61" i="22"/>
  <c r="AT61" i="22"/>
  <c r="AP61" i="22"/>
  <c r="AL61" i="22"/>
  <c r="AH61" i="22"/>
  <c r="AD61" i="22"/>
  <c r="BJ44" i="22"/>
  <c r="BJ45" i="22"/>
  <c r="BJ46" i="22"/>
  <c r="BF44" i="22"/>
  <c r="BF45" i="22"/>
  <c r="BF46" i="22"/>
  <c r="BB44" i="22"/>
  <c r="BB45" i="22"/>
  <c r="BB46" i="22"/>
  <c r="AX44" i="22"/>
  <c r="AX45" i="22"/>
  <c r="AX46" i="22"/>
  <c r="AT44" i="22"/>
  <c r="AT45" i="22"/>
  <c r="AT46" i="22"/>
  <c r="AP44" i="22"/>
  <c r="AP45" i="22"/>
  <c r="AP46" i="22"/>
  <c r="AL44" i="22"/>
  <c r="AL45" i="22"/>
  <c r="AL46" i="22"/>
  <c r="AH44" i="22"/>
  <c r="AD44" i="22"/>
  <c r="AD45" i="22"/>
  <c r="AD46" i="22"/>
  <c r="BJ31" i="22"/>
  <c r="BF31" i="22"/>
  <c r="BB31" i="22"/>
  <c r="AX31" i="22"/>
  <c r="AT31" i="22"/>
  <c r="AP31" i="22"/>
  <c r="AL31" i="22"/>
  <c r="AH31" i="22"/>
  <c r="AD31" i="22"/>
  <c r="BJ19" i="22"/>
  <c r="BF19" i="22"/>
  <c r="BB19" i="22"/>
  <c r="AX19" i="22"/>
  <c r="AT19" i="22"/>
  <c r="AP19" i="22"/>
  <c r="AL19" i="22"/>
  <c r="AH19" i="22"/>
  <c r="AD19" i="22"/>
  <c r="BJ15" i="22"/>
  <c r="BF15" i="22"/>
  <c r="BB15" i="22"/>
  <c r="AX15" i="22"/>
  <c r="AT15" i="22"/>
  <c r="AP15" i="22"/>
  <c r="AL15" i="22"/>
  <c r="AH15" i="22"/>
  <c r="AD15" i="22"/>
  <c r="H132" i="8"/>
  <c r="I132" i="8" s="1"/>
  <c r="I209" i="3"/>
  <c r="H209" i="3"/>
  <c r="G209" i="3"/>
  <c r="E410" i="9"/>
  <c r="E411" i="9" s="1"/>
  <c r="BR143" i="9"/>
  <c r="BM143" i="9"/>
  <c r="BH143" i="9"/>
  <c r="BC143" i="9"/>
  <c r="AX143" i="9"/>
  <c r="AN143" i="9"/>
  <c r="AD143" i="9"/>
  <c r="Y143" i="9"/>
  <c r="T143" i="9"/>
  <c r="H284" i="3"/>
  <c r="H294" i="3" s="1"/>
  <c r="AL118" i="9"/>
  <c r="AG118" i="9"/>
  <c r="Q816" i="7"/>
  <c r="Q302" i="7" s="1"/>
  <c r="P816" i="7"/>
  <c r="P302" i="7" s="1"/>
  <c r="O816" i="7"/>
  <c r="O302" i="7" s="1"/>
  <c r="N816" i="7"/>
  <c r="N302" i="7" s="1"/>
  <c r="M816" i="7"/>
  <c r="M302" i="7" s="1"/>
  <c r="L816" i="7"/>
  <c r="L302" i="7" s="1"/>
  <c r="K816" i="7"/>
  <c r="K302" i="7" s="1"/>
  <c r="J816" i="7"/>
  <c r="J302" i="7" s="1"/>
  <c r="AF31" i="9"/>
  <c r="H161" i="5"/>
  <c r="V31" i="22"/>
  <c r="R429" i="9"/>
  <c r="V429" i="9" s="1"/>
  <c r="U419" i="9"/>
  <c r="BA70" i="21"/>
  <c r="AS70" i="21"/>
  <c r="AK70" i="21"/>
  <c r="AC70" i="21"/>
  <c r="AC69" i="21"/>
  <c r="BE70" i="21"/>
  <c r="AW70" i="21"/>
  <c r="AO70" i="21"/>
  <c r="AG70" i="21"/>
  <c r="AG69" i="21"/>
  <c r="CF139" i="9"/>
  <c r="CG139" i="9" s="1"/>
  <c r="CH139" i="9" s="1"/>
  <c r="CI139" i="9" s="1"/>
  <c r="CJ139" i="9" s="1"/>
  <c r="CK139" i="9" s="1"/>
  <c r="CL139" i="9" s="1"/>
  <c r="CM139" i="9" s="1"/>
  <c r="CN139" i="9" s="1"/>
  <c r="CO139" i="9" s="1"/>
  <c r="CP139" i="9" s="1"/>
  <c r="CQ139" i="9" s="1"/>
  <c r="F43" i="48"/>
  <c r="F47" i="48"/>
  <c r="F46" i="48"/>
  <c r="F45" i="48"/>
  <c r="E45" i="48" s="1"/>
  <c r="F44" i="48"/>
  <c r="J71" i="26"/>
  <c r="I71" i="26"/>
  <c r="H71" i="26"/>
  <c r="G71" i="26"/>
  <c r="F71" i="26"/>
  <c r="E71" i="26"/>
  <c r="D71" i="26"/>
  <c r="C71" i="26"/>
  <c r="K71" i="26"/>
  <c r="M81" i="26"/>
  <c r="M110" i="48"/>
  <c r="M106" i="48"/>
  <c r="N99" i="48"/>
  <c r="N113" i="48"/>
  <c r="N114" i="48"/>
  <c r="N101" i="48"/>
  <c r="N83" i="48"/>
  <c r="M100" i="48"/>
  <c r="M99" i="48"/>
  <c r="M86" i="48"/>
  <c r="M114" i="48"/>
  <c r="M113" i="48"/>
  <c r="M85" i="48"/>
  <c r="AP96" i="9"/>
  <c r="AP94" i="9"/>
  <c r="AP93" i="9"/>
  <c r="AK99" i="9"/>
  <c r="B1315" i="6"/>
  <c r="B425" i="6" s="1"/>
  <c r="C1315" i="6"/>
  <c r="C1231" i="6"/>
  <c r="B863" i="6"/>
  <c r="B869" i="6" s="1"/>
  <c r="C758" i="6"/>
  <c r="B758" i="6"/>
  <c r="A758" i="6"/>
  <c r="O103" i="48"/>
  <c r="O82" i="48"/>
  <c r="U82" i="48" s="1"/>
  <c r="E115" i="48"/>
  <c r="I115" i="48"/>
  <c r="G115" i="48"/>
  <c r="F115" i="48"/>
  <c r="C115" i="48"/>
  <c r="D115" i="48"/>
  <c r="D123" i="48" s="1"/>
  <c r="F53" i="48"/>
  <c r="L50" i="48"/>
  <c r="E34" i="48"/>
  <c r="O211" i="48" s="1"/>
  <c r="L40" i="48"/>
  <c r="L35" i="48"/>
  <c r="P805" i="4"/>
  <c r="O805" i="4"/>
  <c r="K805" i="4"/>
  <c r="J805" i="4"/>
  <c r="A73" i="4"/>
  <c r="B73" i="4"/>
  <c r="C73" i="4"/>
  <c r="H73" i="4"/>
  <c r="I73" i="4" s="1"/>
  <c r="H264" i="6"/>
  <c r="I264" i="6" s="1"/>
  <c r="H384" i="7"/>
  <c r="I384" i="7" s="1"/>
  <c r="V58" i="9"/>
  <c r="C286" i="5"/>
  <c r="C89" i="5" s="1"/>
  <c r="F17" i="4"/>
  <c r="F27" i="4" s="1"/>
  <c r="F19" i="4"/>
  <c r="F29" i="4" s="1"/>
  <c r="F20" i="4"/>
  <c r="F30" i="4" s="1"/>
  <c r="F21" i="4"/>
  <c r="F31" i="4" s="1"/>
  <c r="Q574" i="4"/>
  <c r="Q133" i="4" s="1"/>
  <c r="Q573" i="4"/>
  <c r="Q132" i="4" s="1"/>
  <c r="Q588" i="4"/>
  <c r="Q147" i="4" s="1"/>
  <c r="Q655" i="4"/>
  <c r="Q712" i="4"/>
  <c r="Q205" i="4" s="1"/>
  <c r="Q775" i="4"/>
  <c r="Q256" i="4" s="1"/>
  <c r="AD10" i="20"/>
  <c r="AC10" i="20"/>
  <c r="AB10" i="20"/>
  <c r="Z10" i="20"/>
  <c r="Q54" i="20"/>
  <c r="R54" i="20" s="1"/>
  <c r="AG10" i="20" s="1"/>
  <c r="O54" i="20"/>
  <c r="W53" i="20"/>
  <c r="U53" i="20"/>
  <c r="W54" i="20" s="1"/>
  <c r="V53" i="20"/>
  <c r="AE10" i="20"/>
  <c r="X53" i="20"/>
  <c r="AA10" i="20"/>
  <c r="AF2" i="11"/>
  <c r="AF84" i="11" s="1"/>
  <c r="AG133" i="11"/>
  <c r="AG129" i="11"/>
  <c r="AG118" i="11"/>
  <c r="AG117" i="11"/>
  <c r="AG113" i="11"/>
  <c r="AG112" i="11"/>
  <c r="AG104" i="11"/>
  <c r="AG102" i="11"/>
  <c r="AH84" i="11"/>
  <c r="AG84" i="11"/>
  <c r="AG77" i="11"/>
  <c r="AG34" i="11"/>
  <c r="AG40" i="11"/>
  <c r="AG19" i="11"/>
  <c r="AG18" i="11"/>
  <c r="AG16" i="11"/>
  <c r="AG11" i="11"/>
  <c r="AG10" i="11"/>
  <c r="AG9" i="11"/>
  <c r="AG8" i="11"/>
  <c r="AG7" i="11"/>
  <c r="P1970" i="6"/>
  <c r="P684" i="6" s="1"/>
  <c r="P1845" i="6"/>
  <c r="P640" i="6" s="1"/>
  <c r="P2016" i="6"/>
  <c r="P716" i="6" s="1"/>
  <c r="BG42" i="42"/>
  <c r="O313" i="15"/>
  <c r="O304" i="15"/>
  <c r="Q952" i="7"/>
  <c r="Q948" i="7"/>
  <c r="Q367" i="7" s="1"/>
  <c r="Q817" i="7"/>
  <c r="Q303" i="7" s="1"/>
  <c r="Q1008" i="7"/>
  <c r="AF100" i="10"/>
  <c r="AG90" i="10"/>
  <c r="AH90" i="10" s="1"/>
  <c r="AD90" i="10"/>
  <c r="AE90" i="10" s="1"/>
  <c r="AF2" i="10"/>
  <c r="AF121" i="10" s="1"/>
  <c r="AH150" i="10"/>
  <c r="AG150" i="10"/>
  <c r="AF150" i="10"/>
  <c r="AH115" i="10"/>
  <c r="AG12" i="11"/>
  <c r="Q105" i="19"/>
  <c r="Q104" i="19"/>
  <c r="Q103" i="19"/>
  <c r="Q35" i="19"/>
  <c r="CH139" i="22"/>
  <c r="BJ139" i="22"/>
  <c r="BF139" i="22"/>
  <c r="BB139" i="22"/>
  <c r="AX139" i="22"/>
  <c r="AT139" i="22"/>
  <c r="AP139" i="22"/>
  <c r="AL139" i="22"/>
  <c r="AH139" i="22"/>
  <c r="AD139" i="22"/>
  <c r="BJ138" i="22"/>
  <c r="BF138" i="22"/>
  <c r="BB138" i="22"/>
  <c r="AX138" i="22"/>
  <c r="AT138" i="22"/>
  <c r="AP138" i="22"/>
  <c r="AL138" i="22"/>
  <c r="AH138" i="22"/>
  <c r="AD138" i="22"/>
  <c r="BJ137" i="22"/>
  <c r="BF137" i="22"/>
  <c r="BB137" i="22"/>
  <c r="AX137" i="22"/>
  <c r="AT137" i="22"/>
  <c r="AP137" i="22"/>
  <c r="AL137" i="22"/>
  <c r="AH137" i="22"/>
  <c r="AD137" i="22"/>
  <c r="BJ136" i="22"/>
  <c r="BF136" i="22"/>
  <c r="BB136" i="22"/>
  <c r="AX136" i="22"/>
  <c r="AT136" i="22"/>
  <c r="AP136" i="22"/>
  <c r="AL136" i="22"/>
  <c r="AH136" i="22"/>
  <c r="AD136" i="22"/>
  <c r="BJ135" i="22"/>
  <c r="BF135" i="22"/>
  <c r="BB135" i="22"/>
  <c r="AX135" i="22"/>
  <c r="AT135" i="22"/>
  <c r="AP135" i="22"/>
  <c r="AL135" i="22"/>
  <c r="AH135" i="22"/>
  <c r="AD135" i="22"/>
  <c r="CH131" i="22"/>
  <c r="BJ131" i="22"/>
  <c r="BF131" i="22"/>
  <c r="BB131" i="22"/>
  <c r="AX131" i="22"/>
  <c r="AT131" i="22"/>
  <c r="AP131" i="22"/>
  <c r="AL131" i="22"/>
  <c r="AH131" i="22"/>
  <c r="AD131" i="22"/>
  <c r="BJ130" i="22"/>
  <c r="BF130" i="22"/>
  <c r="BB130" i="22"/>
  <c r="AX130" i="22"/>
  <c r="AT130" i="22"/>
  <c r="AP130" i="22"/>
  <c r="AL130" i="22"/>
  <c r="AH130" i="22"/>
  <c r="AD130" i="22"/>
  <c r="CH129" i="22"/>
  <c r="BJ129" i="22"/>
  <c r="BF129" i="22"/>
  <c r="BB129" i="22"/>
  <c r="AX129" i="22"/>
  <c r="AT129" i="22"/>
  <c r="AP129" i="22"/>
  <c r="AL129" i="22"/>
  <c r="AH129" i="22"/>
  <c r="AD129" i="22"/>
  <c r="BJ128" i="22"/>
  <c r="BF128" i="22"/>
  <c r="BB128" i="22"/>
  <c r="AX128" i="22"/>
  <c r="AT128" i="22"/>
  <c r="AP128" i="22"/>
  <c r="AL128" i="22"/>
  <c r="AH128" i="22"/>
  <c r="AD128" i="22"/>
  <c r="CH127" i="22"/>
  <c r="BJ127" i="22"/>
  <c r="BF127" i="22"/>
  <c r="BB127" i="22"/>
  <c r="AX127" i="22"/>
  <c r="AT127" i="22"/>
  <c r="AP127" i="22"/>
  <c r="AL127" i="22"/>
  <c r="AH127" i="22"/>
  <c r="AD127" i="22"/>
  <c r="BJ126" i="22"/>
  <c r="BF126" i="22"/>
  <c r="BB126" i="22"/>
  <c r="AX126" i="22"/>
  <c r="AT126" i="22"/>
  <c r="AP126" i="22"/>
  <c r="AL126" i="22"/>
  <c r="AH126" i="22"/>
  <c r="AD126" i="22"/>
  <c r="BJ123" i="22"/>
  <c r="BF123" i="22"/>
  <c r="BB123" i="22"/>
  <c r="AX123" i="22"/>
  <c r="AT123" i="22"/>
  <c r="AP123" i="22"/>
  <c r="AL123" i="22"/>
  <c r="AH123" i="22"/>
  <c r="AD123" i="22"/>
  <c r="CH122" i="22"/>
  <c r="BJ122" i="22"/>
  <c r="BF122" i="22"/>
  <c r="BB122" i="22"/>
  <c r="AX122" i="22"/>
  <c r="AT122" i="22"/>
  <c r="AP122" i="22"/>
  <c r="AL122" i="22"/>
  <c r="AH122" i="22"/>
  <c r="AD122" i="22"/>
  <c r="CH121" i="22"/>
  <c r="BJ121" i="22"/>
  <c r="BF121" i="22"/>
  <c r="BB121" i="22"/>
  <c r="AX121" i="22"/>
  <c r="AT121" i="22"/>
  <c r="AP121" i="22"/>
  <c r="AL121" i="22"/>
  <c r="AH121" i="22"/>
  <c r="AD121" i="22"/>
  <c r="BJ120" i="22"/>
  <c r="BF120" i="22"/>
  <c r="BB120" i="22"/>
  <c r="AT120" i="22"/>
  <c r="AP120" i="22"/>
  <c r="AL120" i="22"/>
  <c r="AH120" i="22"/>
  <c r="AD120" i="22"/>
  <c r="BJ116" i="22"/>
  <c r="BF116" i="22"/>
  <c r="BB116" i="22"/>
  <c r="AX116" i="22"/>
  <c r="AT116" i="22"/>
  <c r="AP116" i="22"/>
  <c r="AL116" i="22"/>
  <c r="AH116" i="22"/>
  <c r="AD116" i="22"/>
  <c r="V116" i="22"/>
  <c r="CH114" i="22"/>
  <c r="BJ114" i="22"/>
  <c r="BF114" i="22"/>
  <c r="BB114" i="22"/>
  <c r="AX114" i="22"/>
  <c r="AT114" i="22"/>
  <c r="AP114" i="22"/>
  <c r="AL114" i="22"/>
  <c r="AH114" i="22"/>
  <c r="AD114" i="22"/>
  <c r="V114" i="22"/>
  <c r="V97" i="22"/>
  <c r="BJ95" i="22"/>
  <c r="BF95" i="22"/>
  <c r="BB95" i="22"/>
  <c r="AX95" i="22"/>
  <c r="AT95" i="22"/>
  <c r="AP95" i="22"/>
  <c r="AL95" i="22"/>
  <c r="AH95" i="22"/>
  <c r="AD95" i="22"/>
  <c r="V95" i="22"/>
  <c r="BU47" i="22"/>
  <c r="BV47" i="22" s="1"/>
  <c r="CJ47" i="22" s="1"/>
  <c r="BJ47" i="22"/>
  <c r="BF47" i="22"/>
  <c r="BB47" i="22"/>
  <c r="AX47" i="22"/>
  <c r="AT47" i="22"/>
  <c r="AP47" i="22"/>
  <c r="AL47" i="22"/>
  <c r="AH47" i="22"/>
  <c r="AD47" i="22"/>
  <c r="V47" i="22"/>
  <c r="V37" i="22"/>
  <c r="AD37" i="22"/>
  <c r="AH37" i="22"/>
  <c r="AL37" i="22"/>
  <c r="AP37" i="22"/>
  <c r="AT37" i="22"/>
  <c r="AX37" i="22"/>
  <c r="BB37" i="22"/>
  <c r="BF37" i="22"/>
  <c r="BJ37" i="22"/>
  <c r="V39" i="22"/>
  <c r="AD39" i="22"/>
  <c r="AH39" i="22"/>
  <c r="AL39" i="22"/>
  <c r="AP39" i="22"/>
  <c r="AT39" i="22"/>
  <c r="AX39" i="22"/>
  <c r="BB39" i="22"/>
  <c r="BF39" i="22"/>
  <c r="BJ39" i="22"/>
  <c r="AD40" i="22"/>
  <c r="AH40" i="22"/>
  <c r="AL40" i="22"/>
  <c r="AP40" i="22"/>
  <c r="AT40" i="22"/>
  <c r="AX40" i="22"/>
  <c r="BB40" i="22"/>
  <c r="BF40" i="22"/>
  <c r="BJ40" i="22"/>
  <c r="V41" i="22"/>
  <c r="AD41" i="22"/>
  <c r="AH41" i="22"/>
  <c r="AL41" i="22"/>
  <c r="AP41" i="22"/>
  <c r="AT41" i="22"/>
  <c r="AX41" i="22"/>
  <c r="BB41" i="22"/>
  <c r="BF41" i="22"/>
  <c r="BJ41" i="22"/>
  <c r="V42" i="22"/>
  <c r="AD42" i="22"/>
  <c r="AH42" i="22"/>
  <c r="AL42" i="22"/>
  <c r="AP42" i="22"/>
  <c r="AT42" i="22"/>
  <c r="AX42" i="22"/>
  <c r="BB42" i="22"/>
  <c r="BF42" i="22"/>
  <c r="BJ42" i="22"/>
  <c r="V43" i="22"/>
  <c r="AD43" i="22"/>
  <c r="AH43" i="22"/>
  <c r="AL43" i="22"/>
  <c r="AP43" i="22"/>
  <c r="AT43" i="22"/>
  <c r="AX43" i="22"/>
  <c r="BB43" i="22"/>
  <c r="BF43" i="22"/>
  <c r="BJ43" i="22"/>
  <c r="BU30" i="22"/>
  <c r="BV30" i="22" s="1"/>
  <c r="BJ30" i="22"/>
  <c r="BF30" i="22"/>
  <c r="BB30" i="22"/>
  <c r="AX30" i="22"/>
  <c r="AT30" i="22"/>
  <c r="AP30" i="22"/>
  <c r="AL30" i="22"/>
  <c r="AH30" i="22"/>
  <c r="AD30" i="22"/>
  <c r="V30" i="22"/>
  <c r="BJ119" i="22"/>
  <c r="BJ112" i="22"/>
  <c r="BJ104" i="22"/>
  <c r="BJ101" i="22"/>
  <c r="BJ100" i="22"/>
  <c r="BJ84" i="22"/>
  <c r="BJ83" i="22"/>
  <c r="BJ82" i="22"/>
  <c r="BJ81" i="22"/>
  <c r="BJ80" i="22"/>
  <c r="BJ79" i="22"/>
  <c r="BJ78" i="22"/>
  <c r="BJ77" i="22"/>
  <c r="BJ76" i="22"/>
  <c r="BJ75" i="22"/>
  <c r="BJ74" i="22"/>
  <c r="BJ73" i="22"/>
  <c r="BJ72" i="22"/>
  <c r="BJ71" i="22"/>
  <c r="BJ70" i="22"/>
  <c r="BJ69" i="22"/>
  <c r="BJ65" i="22"/>
  <c r="BJ60" i="22"/>
  <c r="BJ59" i="22"/>
  <c r="BJ58" i="22"/>
  <c r="BJ51" i="22"/>
  <c r="BJ36" i="22"/>
  <c r="BJ29" i="22"/>
  <c r="BJ28" i="22"/>
  <c r="BJ27" i="22"/>
  <c r="BJ26" i="22"/>
  <c r="BJ7" i="22"/>
  <c r="BJ8" i="22"/>
  <c r="BJ9" i="22"/>
  <c r="BJ10" i="22"/>
  <c r="BJ11" i="22"/>
  <c r="BJ12" i="22"/>
  <c r="BJ13" i="22"/>
  <c r="BJ14" i="22"/>
  <c r="BJ16" i="22"/>
  <c r="BJ17" i="22"/>
  <c r="BJ6" i="22"/>
  <c r="BI64" i="21"/>
  <c r="BI58" i="21"/>
  <c r="BI57" i="21"/>
  <c r="BI56" i="21"/>
  <c r="BI8" i="21"/>
  <c r="BH73" i="21"/>
  <c r="BI51" i="21"/>
  <c r="BI50" i="21"/>
  <c r="BI49" i="21"/>
  <c r="BI48" i="21"/>
  <c r="BI47" i="21"/>
  <c r="BI46" i="21"/>
  <c r="BI45" i="21"/>
  <c r="BI44" i="21"/>
  <c r="BI43" i="21"/>
  <c r="BI42" i="21"/>
  <c r="BI41" i="21"/>
  <c r="BI40" i="21"/>
  <c r="BI37" i="21"/>
  <c r="BI36" i="21"/>
  <c r="BI35" i="21"/>
  <c r="BI34" i="21"/>
  <c r="BI33" i="21"/>
  <c r="BI29" i="21"/>
  <c r="BI28" i="21"/>
  <c r="BI18" i="21"/>
  <c r="BI17" i="21"/>
  <c r="BI16" i="21"/>
  <c r="BI15" i="21"/>
  <c r="BI14" i="21"/>
  <c r="BG91" i="22"/>
  <c r="P186" i="22"/>
  <c r="P175" i="22"/>
  <c r="P162" i="22"/>
  <c r="O64" i="16"/>
  <c r="O41" i="16"/>
  <c r="O260" i="15" s="1"/>
  <c r="O37" i="16"/>
  <c r="O255" i="15" s="1"/>
  <c r="O264" i="15"/>
  <c r="O17" i="16"/>
  <c r="O251" i="15" s="1"/>
  <c r="O11" i="16"/>
  <c r="O246" i="15" s="1"/>
  <c r="O268" i="15" s="1"/>
  <c r="O79" i="17"/>
  <c r="O60" i="17"/>
  <c r="O26" i="17"/>
  <c r="O11" i="17" s="1"/>
  <c r="O295" i="15" s="1"/>
  <c r="O317" i="15" s="1"/>
  <c r="P37" i="20"/>
  <c r="P36" i="20"/>
  <c r="P35" i="20"/>
  <c r="P34" i="20"/>
  <c r="Q95" i="20"/>
  <c r="Q48" i="20"/>
  <c r="P48" i="20"/>
  <c r="AE23" i="20"/>
  <c r="V63" i="26"/>
  <c r="V56" i="26"/>
  <c r="V59" i="26"/>
  <c r="V49" i="26"/>
  <c r="V52" i="26"/>
  <c r="V45" i="26"/>
  <c r="V39" i="26"/>
  <c r="Q61" i="27"/>
  <c r="Q3" i="27"/>
  <c r="V10" i="37"/>
  <c r="BG33" i="42"/>
  <c r="P42" i="55"/>
  <c r="P31" i="55"/>
  <c r="P34" i="55"/>
  <c r="P155" i="54"/>
  <c r="P83" i="54"/>
  <c r="P158" i="54"/>
  <c r="P59" i="54"/>
  <c r="P24" i="54"/>
  <c r="P62" i="54"/>
  <c r="P14" i="54"/>
  <c r="BS217" i="9"/>
  <c r="AG257" i="10" s="1"/>
  <c r="Q2044" i="6" s="1"/>
  <c r="Q742" i="6" s="1"/>
  <c r="BS203" i="9"/>
  <c r="AG241" i="10" s="1"/>
  <c r="Q1651" i="6" s="1"/>
  <c r="Q519" i="6" s="1"/>
  <c r="BS59" i="9"/>
  <c r="BT59" i="9" s="1"/>
  <c r="BS60" i="9"/>
  <c r="BT60" i="9" s="1"/>
  <c r="BS61" i="9"/>
  <c r="BT61" i="9" s="1"/>
  <c r="BS58" i="9"/>
  <c r="BT58" i="9" s="1"/>
  <c r="BT190" i="9"/>
  <c r="BT188" i="9"/>
  <c r="BT185" i="9"/>
  <c r="BT184" i="9"/>
  <c r="BT180" i="9"/>
  <c r="BT169" i="9"/>
  <c r="BT161" i="9"/>
  <c r="BT162" i="9"/>
  <c r="BT163" i="9"/>
  <c r="BT159" i="9"/>
  <c r="BT160" i="9"/>
  <c r="BT164" i="9"/>
  <c r="BT138" i="9"/>
  <c r="BT137" i="9"/>
  <c r="BT136" i="9"/>
  <c r="BT135" i="9"/>
  <c r="BT134" i="9"/>
  <c r="BT133" i="9"/>
  <c r="BT132" i="9"/>
  <c r="BT130" i="9"/>
  <c r="BT79" i="9"/>
  <c r="BT70" i="9"/>
  <c r="BT75" i="9" s="1"/>
  <c r="BS41" i="9"/>
  <c r="BT41" i="9" s="1"/>
  <c r="BS42" i="9"/>
  <c r="BT42" i="9" s="1"/>
  <c r="BS40" i="9"/>
  <c r="BT40" i="9" s="1"/>
  <c r="BT18" i="9"/>
  <c r="BT17" i="9"/>
  <c r="BT14" i="9"/>
  <c r="BO18" i="9"/>
  <c r="BJ18" i="9"/>
  <c r="BE18" i="9"/>
  <c r="AZ18" i="9"/>
  <c r="AU18" i="9"/>
  <c r="AP18" i="9"/>
  <c r="BO17" i="9"/>
  <c r="BJ17" i="9"/>
  <c r="BE17" i="9"/>
  <c r="AZ17" i="9"/>
  <c r="AU17" i="9"/>
  <c r="AP17" i="9"/>
  <c r="BO14" i="9"/>
  <c r="BJ14" i="9"/>
  <c r="BE14" i="9"/>
  <c r="AZ14" i="9"/>
  <c r="AU14" i="9"/>
  <c r="AP14" i="9"/>
  <c r="AK14" i="9"/>
  <c r="AF14" i="9"/>
  <c r="BT9" i="9"/>
  <c r="BT10" i="9"/>
  <c r="BT8" i="9"/>
  <c r="BT11" i="9"/>
  <c r="BO9" i="9"/>
  <c r="BO10" i="9"/>
  <c r="BO8" i="9"/>
  <c r="BO11" i="9"/>
  <c r="BJ9" i="9"/>
  <c r="BJ10" i="9"/>
  <c r="BJ8" i="9"/>
  <c r="BJ11" i="9"/>
  <c r="BE9" i="9"/>
  <c r="BE10" i="9"/>
  <c r="BE8" i="9"/>
  <c r="BE11" i="9"/>
  <c r="AZ9" i="9"/>
  <c r="AZ10" i="9"/>
  <c r="AZ8" i="9"/>
  <c r="AZ11" i="9"/>
  <c r="AU9" i="9"/>
  <c r="AU10" i="9"/>
  <c r="AU8" i="9"/>
  <c r="AP9" i="9"/>
  <c r="AP10" i="9"/>
  <c r="AP8" i="9"/>
  <c r="AF9" i="9"/>
  <c r="AF10" i="9"/>
  <c r="AF8" i="9"/>
  <c r="BS2" i="9"/>
  <c r="BS87" i="9" s="1"/>
  <c r="BS173" i="9" s="1"/>
  <c r="DC190" i="9"/>
  <c r="DC18" i="9"/>
  <c r="DC17" i="9"/>
  <c r="BS75" i="9"/>
  <c r="BR75" i="9"/>
  <c r="BQ75" i="9"/>
  <c r="BP75" i="9"/>
  <c r="BS25" i="9"/>
  <c r="BR25" i="9"/>
  <c r="BQ25" i="9"/>
  <c r="BP25" i="9"/>
  <c r="O75" i="9"/>
  <c r="N59" i="12"/>
  <c r="U26" i="37" s="1"/>
  <c r="O95" i="12"/>
  <c r="O92" i="12"/>
  <c r="V26" i="37"/>
  <c r="O55" i="12"/>
  <c r="V25" i="37" s="1"/>
  <c r="O52" i="12"/>
  <c r="O47" i="12"/>
  <c r="O42" i="12"/>
  <c r="O80" i="21"/>
  <c r="O88" i="21" s="1"/>
  <c r="O17" i="17"/>
  <c r="O300" i="15" s="1"/>
  <c r="O122" i="16"/>
  <c r="AR42" i="42"/>
  <c r="CH123" i="22"/>
  <c r="O114" i="16"/>
  <c r="CH126" i="22"/>
  <c r="CH128" i="22"/>
  <c r="CH136" i="22"/>
  <c r="CH120" i="22"/>
  <c r="CH130" i="22"/>
  <c r="CH138" i="22"/>
  <c r="CH116" i="22"/>
  <c r="CH43" i="22"/>
  <c r="CH42" i="22"/>
  <c r="CH41" i="22"/>
  <c r="CH39" i="22"/>
  <c r="CH37" i="22"/>
  <c r="CH47" i="22"/>
  <c r="CI42" i="22"/>
  <c r="CI37" i="22"/>
  <c r="CH30" i="22"/>
  <c r="V66" i="26"/>
  <c r="CI131" i="22"/>
  <c r="CI122" i="22"/>
  <c r="CI121" i="22"/>
  <c r="CI139" i="22"/>
  <c r="P81" i="14"/>
  <c r="P181" i="14"/>
  <c r="P166" i="14"/>
  <c r="P206" i="14" s="1"/>
  <c r="AD60" i="14"/>
  <c r="AC60" i="14"/>
  <c r="AD49" i="14"/>
  <c r="AC49" i="14"/>
  <c r="AD28" i="14"/>
  <c r="AC28" i="14"/>
  <c r="N143" i="40"/>
  <c r="O572" i="34"/>
  <c r="O569" i="34"/>
  <c r="O568" i="34"/>
  <c r="O555" i="34"/>
  <c r="O539" i="34"/>
  <c r="O538" i="34"/>
  <c r="O392" i="34"/>
  <c r="O397" i="34" s="1"/>
  <c r="O391" i="34"/>
  <c r="O396" i="34"/>
  <c r="O379" i="34"/>
  <c r="O497" i="34" s="1"/>
  <c r="O371" i="34"/>
  <c r="O366" i="34"/>
  <c r="O485" i="34"/>
  <c r="O365" i="34"/>
  <c r="O484" i="34" s="1"/>
  <c r="O290" i="34"/>
  <c r="O353" i="34" s="1"/>
  <c r="O107" i="34"/>
  <c r="O43" i="34"/>
  <c r="O267" i="3"/>
  <c r="O2" i="3"/>
  <c r="O277" i="3" s="1"/>
  <c r="P2" i="1"/>
  <c r="P84" i="1" s="1"/>
  <c r="Q3" i="6"/>
  <c r="Q360" i="6" s="1"/>
  <c r="Q205" i="5"/>
  <c r="Q207" i="5"/>
  <c r="Q206" i="5"/>
  <c r="Q204" i="5"/>
  <c r="Q162" i="5"/>
  <c r="Q160" i="5"/>
  <c r="Q159" i="5"/>
  <c r="Q112" i="5"/>
  <c r="Q111" i="5"/>
  <c r="Q110" i="5"/>
  <c r="Q109" i="5"/>
  <c r="Q108" i="5"/>
  <c r="Q77" i="5"/>
  <c r="Q76" i="5"/>
  <c r="Q75" i="5"/>
  <c r="Q74" i="5"/>
  <c r="Q73" i="5"/>
  <c r="Q48" i="5"/>
  <c r="N100" i="13" s="1"/>
  <c r="Q3" i="5"/>
  <c r="Q897" i="4"/>
  <c r="Q877" i="4"/>
  <c r="Q859" i="4"/>
  <c r="Q847" i="4"/>
  <c r="Q427" i="4"/>
  <c r="Q380" i="4"/>
  <c r="Q317" i="4"/>
  <c r="Q310" i="4"/>
  <c r="Q309" i="4"/>
  <c r="Q308" i="4"/>
  <c r="Q307" i="4"/>
  <c r="Q306" i="4"/>
  <c r="Q255" i="4"/>
  <c r="Q254" i="4"/>
  <c r="Q253" i="4"/>
  <c r="Q204" i="4"/>
  <c r="Q201" i="4"/>
  <c r="Q187" i="4"/>
  <c r="Q93" i="4"/>
  <c r="Q89" i="4"/>
  <c r="Q51" i="4"/>
  <c r="Q566" i="8"/>
  <c r="Q531" i="8"/>
  <c r="Q143" i="8"/>
  <c r="Q150" i="8" s="1"/>
  <c r="Q124" i="8"/>
  <c r="Q91" i="8"/>
  <c r="O28" i="3" s="1"/>
  <c r="Q75" i="8"/>
  <c r="O169" i="3" s="1"/>
  <c r="O170" i="3" s="1"/>
  <c r="Q22" i="8"/>
  <c r="Q943" i="7"/>
  <c r="Q160" i="7"/>
  <c r="Q350" i="7"/>
  <c r="Q329" i="7"/>
  <c r="Q361" i="7" s="1"/>
  <c r="Q327" i="7"/>
  <c r="Q305" i="7"/>
  <c r="Q301" i="7"/>
  <c r="Q248" i="7"/>
  <c r="Q247" i="7"/>
  <c r="Q245" i="7"/>
  <c r="Q210" i="7"/>
  <c r="Q209" i="7"/>
  <c r="Q208" i="7"/>
  <c r="Q207" i="7"/>
  <c r="Q206" i="7"/>
  <c r="Q163" i="7"/>
  <c r="Q162" i="7"/>
  <c r="Q161" i="7"/>
  <c r="Q159" i="7"/>
  <c r="Q118" i="7"/>
  <c r="Q117" i="7"/>
  <c r="Q114" i="7"/>
  <c r="Q81" i="7"/>
  <c r="Q3" i="7"/>
  <c r="Q1139" i="7" s="1"/>
  <c r="N67" i="13"/>
  <c r="N123" i="13" s="1"/>
  <c r="P186" i="14"/>
  <c r="O384" i="34"/>
  <c r="AR19" i="42"/>
  <c r="O493" i="34" s="1"/>
  <c r="O551" i="34" s="1"/>
  <c r="CJ139" i="22"/>
  <c r="O508" i="34"/>
  <c r="O370" i="34"/>
  <c r="O509" i="34"/>
  <c r="J1380" i="6"/>
  <c r="AJ185" i="9"/>
  <c r="AK185" i="9" s="1"/>
  <c r="AK180" i="9"/>
  <c r="AK184" i="9"/>
  <c r="AF180" i="9"/>
  <c r="AF184" i="9"/>
  <c r="AF190" i="9"/>
  <c r="AF152" i="9"/>
  <c r="AF153" i="9"/>
  <c r="Z153" i="9"/>
  <c r="AA153" i="9" s="1"/>
  <c r="V185" i="9"/>
  <c r="CK139" i="22"/>
  <c r="AK96" i="9"/>
  <c r="AK94" i="9"/>
  <c r="AK93" i="9"/>
  <c r="AF96" i="9"/>
  <c r="CL139" i="22"/>
  <c r="V505" i="9"/>
  <c r="V506" i="9"/>
  <c r="V509" i="9"/>
  <c r="CM139" i="22"/>
  <c r="CN139" i="22"/>
  <c r="CP136" i="22"/>
  <c r="CO139" i="22"/>
  <c r="U118" i="9"/>
  <c r="CP139" i="22"/>
  <c r="CR136" i="22"/>
  <c r="CQ139" i="22"/>
  <c r="E277" i="9"/>
  <c r="V277" i="9" s="1"/>
  <c r="E276" i="9"/>
  <c r="V276" i="9" s="1"/>
  <c r="E275" i="9"/>
  <c r="U242" i="9"/>
  <c r="U287" i="9" s="1"/>
  <c r="U288" i="9" s="1"/>
  <c r="E242" i="9"/>
  <c r="CR139" i="22"/>
  <c r="V252" i="9"/>
  <c r="V250" i="9"/>
  <c r="AA12" i="11"/>
  <c r="X12" i="11"/>
  <c r="U12" i="11"/>
  <c r="AD12" i="11"/>
  <c r="K591" i="4"/>
  <c r="K150" i="4" s="1"/>
  <c r="I82" i="12"/>
  <c r="J82" i="12" s="1"/>
  <c r="K82" i="12" s="1"/>
  <c r="L82" i="12" s="1"/>
  <c r="M82" i="12" s="1"/>
  <c r="N82" i="12" s="1"/>
  <c r="O82" i="12" s="1"/>
  <c r="P82" i="12" s="1"/>
  <c r="Q82" i="12" s="1"/>
  <c r="O11" i="37"/>
  <c r="N11" i="37"/>
  <c r="M11" i="37"/>
  <c r="AV70" i="37" s="1"/>
  <c r="L11" i="37"/>
  <c r="AU70" i="37" s="1"/>
  <c r="AU19" i="37" s="1"/>
  <c r="S50" i="14"/>
  <c r="P51" i="14"/>
  <c r="O51" i="14"/>
  <c r="N51" i="14"/>
  <c r="M51" i="14"/>
  <c r="L51" i="14"/>
  <c r="K51" i="14"/>
  <c r="E1078" i="6" s="1"/>
  <c r="E285" i="6" s="1"/>
  <c r="J51" i="14"/>
  <c r="I51" i="14"/>
  <c r="D1078" i="6" s="1"/>
  <c r="D285" i="6" s="1"/>
  <c r="H51" i="14"/>
  <c r="G51" i="14"/>
  <c r="E51" i="14"/>
  <c r="C157" i="14"/>
  <c r="C50" i="14"/>
  <c r="E160" i="14"/>
  <c r="Z188" i="9"/>
  <c r="AA188" i="9" s="1"/>
  <c r="V188" i="9"/>
  <c r="AE11" i="9"/>
  <c r="AF11" i="9" s="1"/>
  <c r="I17" i="10"/>
  <c r="H590" i="4" s="1"/>
  <c r="C152" i="14"/>
  <c r="A152" i="14"/>
  <c r="A190" i="14"/>
  <c r="A210" i="14" s="1"/>
  <c r="A191" i="14"/>
  <c r="A211" i="14" s="1"/>
  <c r="A192" i="14"/>
  <c r="A212" i="14" s="1"/>
  <c r="A193" i="14"/>
  <c r="A213" i="14" s="1"/>
  <c r="A188" i="14"/>
  <c r="A208" i="14" s="1"/>
  <c r="I178" i="14"/>
  <c r="D178" i="14" s="1"/>
  <c r="D198" i="14" s="1"/>
  <c r="E155" i="14"/>
  <c r="G156" i="40"/>
  <c r="D93" i="14" s="1"/>
  <c r="D152" i="14" s="1"/>
  <c r="I155" i="14" s="1"/>
  <c r="V130" i="9"/>
  <c r="CS130" i="9"/>
  <c r="BO130" i="9"/>
  <c r="BJ130" i="9"/>
  <c r="BE130" i="9"/>
  <c r="AZ130" i="9"/>
  <c r="AU130" i="9"/>
  <c r="AP130" i="9"/>
  <c r="AF130" i="9"/>
  <c r="CF130" i="9"/>
  <c r="CG130" i="9" s="1"/>
  <c r="AW138" i="9"/>
  <c r="K77" i="12" s="1"/>
  <c r="AW137" i="9"/>
  <c r="K76" i="12" s="1"/>
  <c r="AR136" i="9"/>
  <c r="AR135" i="9"/>
  <c r="J74" i="12" s="1"/>
  <c r="AR134" i="9"/>
  <c r="J73" i="12" s="1"/>
  <c r="J134" i="9"/>
  <c r="J135" i="9"/>
  <c r="J136" i="9"/>
  <c r="K137" i="9"/>
  <c r="K138" i="9"/>
  <c r="L35" i="55"/>
  <c r="K35" i="55"/>
  <c r="K34" i="55"/>
  <c r="L11" i="55"/>
  <c r="L10" i="55"/>
  <c r="K7" i="55"/>
  <c r="K8" i="55"/>
  <c r="K9" i="55"/>
  <c r="K6" i="55"/>
  <c r="H133" i="9"/>
  <c r="CS136" i="9"/>
  <c r="BO136" i="9"/>
  <c r="BJ136" i="9"/>
  <c r="BE136" i="9"/>
  <c r="AZ136" i="9"/>
  <c r="AP136" i="9"/>
  <c r="AK136" i="9"/>
  <c r="AF136" i="9"/>
  <c r="K31" i="55"/>
  <c r="L42" i="55"/>
  <c r="M42" i="55"/>
  <c r="N42" i="55"/>
  <c r="O42" i="55"/>
  <c r="G42" i="55"/>
  <c r="C34" i="55"/>
  <c r="C31" i="55"/>
  <c r="E31" i="55"/>
  <c r="G34" i="55"/>
  <c r="F34" i="55"/>
  <c r="O31" i="55"/>
  <c r="O34" i="55"/>
  <c r="L31" i="55"/>
  <c r="L34" i="55"/>
  <c r="M31" i="55"/>
  <c r="M34" i="55"/>
  <c r="N31" i="55"/>
  <c r="N34" i="55"/>
  <c r="G31" i="55"/>
  <c r="F31" i="55"/>
  <c r="D10" i="55"/>
  <c r="D8" i="55"/>
  <c r="D11" i="55"/>
  <c r="D7" i="55"/>
  <c r="D9" i="55"/>
  <c r="I35" i="55"/>
  <c r="I42" i="55" s="1"/>
  <c r="D12" i="55"/>
  <c r="H35" i="55"/>
  <c r="D13" i="55"/>
  <c r="D14" i="55"/>
  <c r="D15" i="55"/>
  <c r="D16" i="55"/>
  <c r="D17" i="55"/>
  <c r="D18" i="55"/>
  <c r="D19" i="55"/>
  <c r="D20" i="55"/>
  <c r="D21" i="55"/>
  <c r="D22" i="55"/>
  <c r="D23" i="55"/>
  <c r="D24" i="55"/>
  <c r="D6" i="55"/>
  <c r="H31" i="55"/>
  <c r="J35" i="55"/>
  <c r="J42" i="55"/>
  <c r="C35" i="55"/>
  <c r="K42" i="55"/>
  <c r="I31" i="55"/>
  <c r="J31" i="55"/>
  <c r="J34" i="55" s="1"/>
  <c r="T50" i="14"/>
  <c r="H34" i="55"/>
  <c r="H42" i="55"/>
  <c r="I34" i="55"/>
  <c r="D176" i="11"/>
  <c r="AJ40" i="9"/>
  <c r="AK40" i="9" s="1"/>
  <c r="AE40" i="9"/>
  <c r="AF40" i="9" s="1"/>
  <c r="Z40" i="9"/>
  <c r="AA40" i="9" s="1"/>
  <c r="CC40" i="9" s="1"/>
  <c r="CD40" i="9" s="1"/>
  <c r="CS50" i="9"/>
  <c r="B67" i="13"/>
  <c r="B123" i="13" s="1"/>
  <c r="AC100" i="10"/>
  <c r="Z100" i="10"/>
  <c r="W100" i="10"/>
  <c r="T100" i="10"/>
  <c r="H952" i="7"/>
  <c r="I952" i="7" s="1"/>
  <c r="A319" i="7"/>
  <c r="C319" i="7"/>
  <c r="R7" i="9"/>
  <c r="U7" i="9"/>
  <c r="CS8" i="9"/>
  <c r="U373" i="9"/>
  <c r="U392" i="9"/>
  <c r="U50" i="9"/>
  <c r="V50" i="9" s="1"/>
  <c r="V213" i="9"/>
  <c r="V352" i="9"/>
  <c r="E350" i="9"/>
  <c r="U306" i="9"/>
  <c r="V306" i="9" s="1"/>
  <c r="D1539" i="6"/>
  <c r="D319" i="7"/>
  <c r="V372" i="9"/>
  <c r="V373" i="9"/>
  <c r="V374" i="9"/>
  <c r="V375" i="9"/>
  <c r="V376" i="9"/>
  <c r="V377" i="9"/>
  <c r="V378" i="9"/>
  <c r="V379" i="9"/>
  <c r="V380" i="9"/>
  <c r="V381" i="9"/>
  <c r="D1676" i="6"/>
  <c r="D1454" i="6"/>
  <c r="D1453" i="6"/>
  <c r="Z190" i="9"/>
  <c r="AA190" i="9" s="1"/>
  <c r="D1299" i="6"/>
  <c r="U146" i="9"/>
  <c r="U441" i="9"/>
  <c r="V441" i="9" s="1"/>
  <c r="U318" i="9"/>
  <c r="V318" i="9" s="1"/>
  <c r="V115" i="9"/>
  <c r="J120" i="48"/>
  <c r="J121" i="48"/>
  <c r="D1268" i="6"/>
  <c r="D148" i="6"/>
  <c r="D771" i="4"/>
  <c r="D252" i="4" s="1"/>
  <c r="G41" i="55"/>
  <c r="F41" i="55"/>
  <c r="D245" i="8"/>
  <c r="V40" i="22"/>
  <c r="CH40" i="22"/>
  <c r="U150" i="9"/>
  <c r="H130" i="8"/>
  <c r="I130" i="8" s="1"/>
  <c r="V8" i="54"/>
  <c r="X8" i="54" s="1"/>
  <c r="Z8" i="54" s="1"/>
  <c r="W11" i="54"/>
  <c r="W3" i="54"/>
  <c r="U20" i="54"/>
  <c r="H18" i="1"/>
  <c r="E101" i="1"/>
  <c r="F101" i="1" s="1"/>
  <c r="E103" i="1"/>
  <c r="F103" i="1" s="1"/>
  <c r="G103" i="1" s="1"/>
  <c r="H103" i="1" s="1"/>
  <c r="I103" i="1" s="1"/>
  <c r="E104" i="1"/>
  <c r="E106" i="1"/>
  <c r="F106" i="1" s="1"/>
  <c r="G106" i="1" s="1"/>
  <c r="H106" i="1" s="1"/>
  <c r="I106" i="1" s="1"/>
  <c r="J106" i="1" s="1"/>
  <c r="K106" i="1" s="1"/>
  <c r="L106" i="1" s="1"/>
  <c r="E107" i="1"/>
  <c r="F107" i="1" s="1"/>
  <c r="G107" i="1" s="1"/>
  <c r="H107" i="1" s="1"/>
  <c r="I107" i="1" s="1"/>
  <c r="J107" i="1" s="1"/>
  <c r="K107" i="1" s="1"/>
  <c r="L107" i="1" s="1"/>
  <c r="M107" i="1" s="1"/>
  <c r="D108" i="1"/>
  <c r="E111" i="1"/>
  <c r="E114" i="1"/>
  <c r="E117" i="1" s="1"/>
  <c r="D117" i="1"/>
  <c r="D119" i="1" s="1"/>
  <c r="F104" i="1"/>
  <c r="U5" i="54"/>
  <c r="B14" i="54"/>
  <c r="U11" i="54"/>
  <c r="V5" i="54"/>
  <c r="X5" i="54" s="1"/>
  <c r="A155" i="54"/>
  <c r="O155" i="54"/>
  <c r="N155" i="54"/>
  <c r="M155" i="54"/>
  <c r="L155" i="54"/>
  <c r="K155" i="54"/>
  <c r="J155" i="54"/>
  <c r="I155" i="54"/>
  <c r="H155" i="54"/>
  <c r="G155" i="54"/>
  <c r="E155" i="54"/>
  <c r="B155" i="54"/>
  <c r="O83" i="54"/>
  <c r="N83" i="54"/>
  <c r="M83" i="54"/>
  <c r="L83" i="54"/>
  <c r="K83" i="54"/>
  <c r="J83" i="54"/>
  <c r="I83" i="54"/>
  <c r="H83" i="54"/>
  <c r="G83" i="54"/>
  <c r="E83" i="54"/>
  <c r="B83" i="54"/>
  <c r="A83" i="54"/>
  <c r="O59" i="54"/>
  <c r="N59" i="54"/>
  <c r="M59" i="54"/>
  <c r="L59" i="54"/>
  <c r="K59" i="54"/>
  <c r="J59" i="54"/>
  <c r="I59" i="54"/>
  <c r="H59" i="54"/>
  <c r="G59" i="54"/>
  <c r="E59" i="54"/>
  <c r="B59" i="54"/>
  <c r="A59" i="54"/>
  <c r="O24" i="54"/>
  <c r="N24" i="54"/>
  <c r="M24" i="54"/>
  <c r="L24" i="54"/>
  <c r="K24" i="54"/>
  <c r="J24" i="54"/>
  <c r="I24" i="54"/>
  <c r="H24" i="54"/>
  <c r="G24" i="54"/>
  <c r="E24" i="54"/>
  <c r="B24" i="54"/>
  <c r="A24" i="54"/>
  <c r="O14" i="54"/>
  <c r="N14" i="54"/>
  <c r="M14" i="54"/>
  <c r="L14" i="54"/>
  <c r="K14" i="54"/>
  <c r="J14" i="54"/>
  <c r="I14" i="54"/>
  <c r="H14" i="54"/>
  <c r="G14" i="54"/>
  <c r="F14" i="54"/>
  <c r="E14" i="54"/>
  <c r="A14" i="54"/>
  <c r="A62" i="54"/>
  <c r="G158" i="54"/>
  <c r="K158" i="54"/>
  <c r="O158" i="54"/>
  <c r="H158" i="54"/>
  <c r="B158" i="54"/>
  <c r="I158" i="54"/>
  <c r="M158" i="54"/>
  <c r="A158" i="54"/>
  <c r="L158" i="54"/>
  <c r="E158" i="54"/>
  <c r="J158" i="54"/>
  <c r="N158" i="54"/>
  <c r="M62" i="54"/>
  <c r="H62" i="54"/>
  <c r="L62" i="54"/>
  <c r="J62" i="54"/>
  <c r="N62" i="54"/>
  <c r="I62" i="54"/>
  <c r="B62" i="54"/>
  <c r="G62" i="54"/>
  <c r="K62" i="54"/>
  <c r="O62" i="54"/>
  <c r="E62" i="54"/>
  <c r="BT69" i="21"/>
  <c r="BU69" i="21" s="1"/>
  <c r="BV69" i="21" s="1"/>
  <c r="BW69" i="21" s="1"/>
  <c r="BX69" i="21" s="1"/>
  <c r="BY69" i="21" s="1"/>
  <c r="BZ69" i="21" s="1"/>
  <c r="CA69" i="21" s="1"/>
  <c r="CB69" i="21" s="1"/>
  <c r="CC69" i="21" s="1"/>
  <c r="CD69" i="21" s="1"/>
  <c r="DC61" i="9"/>
  <c r="CF58" i="9"/>
  <c r="CG58" i="9" s="1"/>
  <c r="CH58" i="9" s="1"/>
  <c r="CI58" i="9" s="1"/>
  <c r="CJ58" i="9" s="1"/>
  <c r="CK58" i="9" s="1"/>
  <c r="CL58" i="9" s="1"/>
  <c r="CM58" i="9" s="1"/>
  <c r="CN58" i="9" s="1"/>
  <c r="CO58" i="9" s="1"/>
  <c r="V481" i="9"/>
  <c r="V483" i="9"/>
  <c r="V484" i="9"/>
  <c r="V475" i="9"/>
  <c r="V476" i="9"/>
  <c r="V479" i="9"/>
  <c r="V480" i="9"/>
  <c r="C134" i="3"/>
  <c r="V490" i="9"/>
  <c r="D1381" i="6"/>
  <c r="F42" i="12"/>
  <c r="G42" i="12"/>
  <c r="H42" i="12"/>
  <c r="I42" i="12"/>
  <c r="J42" i="12"/>
  <c r="K42" i="12"/>
  <c r="L42" i="12"/>
  <c r="M42" i="12"/>
  <c r="N42" i="12"/>
  <c r="E42" i="12"/>
  <c r="V184" i="9"/>
  <c r="V489" i="9"/>
  <c r="V488" i="9"/>
  <c r="U420" i="9"/>
  <c r="V420" i="9" s="1"/>
  <c r="E417" i="9"/>
  <c r="V282" i="9"/>
  <c r="E265" i="9"/>
  <c r="V265" i="9" s="1"/>
  <c r="D11" i="1"/>
  <c r="V459" i="9"/>
  <c r="V467" i="9"/>
  <c r="U428" i="9"/>
  <c r="V428" i="9" s="1"/>
  <c r="U147" i="9"/>
  <c r="V147" i="9" s="1"/>
  <c r="U155" i="9"/>
  <c r="V155" i="9" s="1"/>
  <c r="CF55" i="9"/>
  <c r="CG55" i="9" s="1"/>
  <c r="CH55" i="9" s="1"/>
  <c r="CI55" i="9" s="1"/>
  <c r="CJ55" i="9" s="1"/>
  <c r="CK55" i="9" s="1"/>
  <c r="CL55" i="9" s="1"/>
  <c r="CM55" i="9" s="1"/>
  <c r="CN55" i="9" s="1"/>
  <c r="CO55" i="9" s="1"/>
  <c r="CP55" i="9" s="1"/>
  <c r="CQ55" i="9" s="1"/>
  <c r="U162" i="9"/>
  <c r="A1545" i="6"/>
  <c r="B1545" i="6"/>
  <c r="C329" i="4"/>
  <c r="AF147" i="9"/>
  <c r="AF149" i="9"/>
  <c r="AF148" i="9"/>
  <c r="CF148" i="9"/>
  <c r="V148" i="9"/>
  <c r="CS148" i="9"/>
  <c r="R427" i="9"/>
  <c r="V427" i="9" s="1"/>
  <c r="V319" i="9"/>
  <c r="V96" i="9"/>
  <c r="B30" i="40"/>
  <c r="R93" i="9" s="1"/>
  <c r="V86" i="22"/>
  <c r="U7" i="21"/>
  <c r="S28" i="21"/>
  <c r="U51" i="9"/>
  <c r="V51" i="9" s="1"/>
  <c r="D1183" i="6"/>
  <c r="U149" i="9"/>
  <c r="R368" i="9"/>
  <c r="R392" i="9" s="1"/>
  <c r="V281" i="9"/>
  <c r="V280" i="9"/>
  <c r="D459" i="5"/>
  <c r="D207" i="5" s="1"/>
  <c r="D759" i="4"/>
  <c r="D1583" i="6"/>
  <c r="C139" i="11"/>
  <c r="D139" i="11" s="1"/>
  <c r="E139" i="11" s="1"/>
  <c r="V371" i="9"/>
  <c r="V368" i="9"/>
  <c r="V369" i="9"/>
  <c r="D1709" i="6"/>
  <c r="V180" i="9"/>
  <c r="B1827" i="6"/>
  <c r="C1175" i="6"/>
  <c r="B922" i="6"/>
  <c r="A637" i="4"/>
  <c r="A649" i="4" s="1"/>
  <c r="B637" i="4"/>
  <c r="U83" i="9"/>
  <c r="D431" i="6"/>
  <c r="D1175" i="6"/>
  <c r="V243" i="9"/>
  <c r="S287" i="9"/>
  <c r="S288" i="9" s="1"/>
  <c r="T287" i="9"/>
  <c r="T288" i="9" s="1"/>
  <c r="R287" i="9"/>
  <c r="R288" i="9" s="1"/>
  <c r="V266" i="9"/>
  <c r="V279" i="9"/>
  <c r="CF51" i="9"/>
  <c r="CT51" i="9" s="1"/>
  <c r="CS51" i="9"/>
  <c r="V367" i="9"/>
  <c r="C97" i="11"/>
  <c r="D97" i="11" s="1"/>
  <c r="E97" i="11" s="1"/>
  <c r="D336" i="7"/>
  <c r="E210" i="9"/>
  <c r="D1974" i="6" s="1"/>
  <c r="D688" i="6" s="1"/>
  <c r="D631" i="6"/>
  <c r="V169" i="9"/>
  <c r="V153" i="9"/>
  <c r="U209" i="9"/>
  <c r="V209" i="9" s="1"/>
  <c r="V212" i="9"/>
  <c r="V211" i="9"/>
  <c r="V136" i="22"/>
  <c r="CH137" i="22"/>
  <c r="F162" i="22"/>
  <c r="E73" i="21"/>
  <c r="V31" i="9"/>
  <c r="V137" i="22"/>
  <c r="C651" i="34"/>
  <c r="B651" i="34"/>
  <c r="C645" i="34"/>
  <c r="B645" i="34"/>
  <c r="F437" i="34"/>
  <c r="G437" i="34" s="1"/>
  <c r="H437" i="34" s="1"/>
  <c r="I437" i="34" s="1"/>
  <c r="J437" i="34" s="1"/>
  <c r="K437" i="34" s="1"/>
  <c r="L437" i="34" s="1"/>
  <c r="M437" i="34" s="1"/>
  <c r="N437" i="34" s="1"/>
  <c r="E452" i="34"/>
  <c r="F452" i="34" s="1"/>
  <c r="G452" i="34" s="1"/>
  <c r="H452" i="34" s="1"/>
  <c r="I452" i="34" s="1"/>
  <c r="J452" i="34" s="1"/>
  <c r="K452" i="34" s="1"/>
  <c r="L452" i="34" s="1"/>
  <c r="M452" i="34" s="1"/>
  <c r="N452" i="34" s="1"/>
  <c r="D326" i="34"/>
  <c r="C326" i="34"/>
  <c r="C294" i="34" s="1"/>
  <c r="C526" i="34" s="1"/>
  <c r="B326" i="34"/>
  <c r="B294" i="34" s="1"/>
  <c r="C294" i="8"/>
  <c r="D742" i="34" s="1"/>
  <c r="C191" i="8"/>
  <c r="C446" i="8"/>
  <c r="C316" i="8"/>
  <c r="F294" i="45" s="1"/>
  <c r="C190" i="8"/>
  <c r="D20" i="20"/>
  <c r="D22" i="20"/>
  <c r="F22" i="20"/>
  <c r="E16" i="20"/>
  <c r="F16" i="20"/>
  <c r="B536" i="8" s="1"/>
  <c r="G16" i="20"/>
  <c r="A177" i="3" s="1"/>
  <c r="H16" i="20"/>
  <c r="H21" i="20" s="1"/>
  <c r="D16" i="20"/>
  <c r="F747" i="34"/>
  <c r="F748" i="34" s="1"/>
  <c r="D739" i="34"/>
  <c r="BT7" i="21"/>
  <c r="BU7" i="21" s="1"/>
  <c r="G295" i="34"/>
  <c r="F295" i="34"/>
  <c r="E295" i="34"/>
  <c r="D295" i="34"/>
  <c r="B295" i="34"/>
  <c r="C295" i="34"/>
  <c r="E290" i="34"/>
  <c r="F290" i="34"/>
  <c r="G290" i="34"/>
  <c r="H290" i="34"/>
  <c r="I290" i="34"/>
  <c r="J290" i="34"/>
  <c r="K290" i="34"/>
  <c r="L290" i="34"/>
  <c r="M290" i="34"/>
  <c r="N290" i="34"/>
  <c r="B289" i="34"/>
  <c r="C290" i="34"/>
  <c r="D290" i="34"/>
  <c r="B586" i="34"/>
  <c r="C586" i="34"/>
  <c r="B581" i="34"/>
  <c r="C581" i="34"/>
  <c r="B582" i="34"/>
  <c r="C582" i="34"/>
  <c r="B583" i="34"/>
  <c r="C583" i="34"/>
  <c r="E617" i="34"/>
  <c r="CG7" i="21"/>
  <c r="D319" i="6"/>
  <c r="V132" i="9"/>
  <c r="V9" i="9"/>
  <c r="D508" i="8"/>
  <c r="D131" i="8" s="1"/>
  <c r="D62" i="8"/>
  <c r="U214" i="9"/>
  <c r="V214" i="9" s="1"/>
  <c r="D1471" i="6"/>
  <c r="J28" i="14"/>
  <c r="B318" i="42"/>
  <c r="D318" i="42" s="1"/>
  <c r="B317" i="42"/>
  <c r="D317" i="42" s="1"/>
  <c r="AU41" i="42"/>
  <c r="AF41" i="42"/>
  <c r="AV41" i="42"/>
  <c r="AG41" i="42"/>
  <c r="B355" i="42"/>
  <c r="D355" i="42" s="1"/>
  <c r="C298" i="42"/>
  <c r="B268" i="42"/>
  <c r="B311" i="42"/>
  <c r="D311" i="42" s="1"/>
  <c r="M67" i="13"/>
  <c r="M123" i="13" s="1"/>
  <c r="L67" i="13"/>
  <c r="L123" i="13" s="1"/>
  <c r="K67" i="13"/>
  <c r="L215" i="15" s="1"/>
  <c r="L160" i="15" s="1"/>
  <c r="J67" i="13"/>
  <c r="K215" i="15" s="1"/>
  <c r="K160" i="15" s="1"/>
  <c r="I67" i="13"/>
  <c r="H67" i="13"/>
  <c r="I215" i="15" s="1"/>
  <c r="I160" i="15" s="1"/>
  <c r="G67" i="13"/>
  <c r="H215" i="15" s="1"/>
  <c r="H160" i="15" s="1"/>
  <c r="F67" i="13"/>
  <c r="F215" i="15" s="1"/>
  <c r="C67" i="13"/>
  <c r="C215" i="15" s="1"/>
  <c r="A67" i="13"/>
  <c r="A123" i="13" s="1"/>
  <c r="P1769" i="6"/>
  <c r="O1769" i="6"/>
  <c r="N1769" i="6"/>
  <c r="M1769" i="6"/>
  <c r="L1769" i="6"/>
  <c r="K1769" i="6"/>
  <c r="J1769" i="6"/>
  <c r="H1769" i="6"/>
  <c r="I1769" i="6" s="1"/>
  <c r="D1770" i="6"/>
  <c r="D1769" i="6"/>
  <c r="D1768" i="6"/>
  <c r="A1770" i="6"/>
  <c r="A1769" i="6"/>
  <c r="B1768" i="6"/>
  <c r="A1768" i="6"/>
  <c r="C1769" i="6"/>
  <c r="C1768" i="6"/>
  <c r="D576" i="6"/>
  <c r="B576" i="6"/>
  <c r="B603" i="6" s="1"/>
  <c r="B2091" i="6" s="1"/>
  <c r="B53" i="6" s="1"/>
  <c r="A576" i="6"/>
  <c r="A603" i="6" s="1"/>
  <c r="A2091" i="6" s="1"/>
  <c r="A53" i="6" s="1"/>
  <c r="C576" i="6"/>
  <c r="C603" i="6" s="1"/>
  <c r="C2091" i="6" s="1"/>
  <c r="C53" i="6" s="1"/>
  <c r="B822" i="6"/>
  <c r="B821" i="6"/>
  <c r="B309" i="42"/>
  <c r="D309" i="42" s="1"/>
  <c r="C877" i="6"/>
  <c r="B95" i="12"/>
  <c r="C95" i="12"/>
  <c r="C25" i="12"/>
  <c r="C943" i="7"/>
  <c r="B286" i="42"/>
  <c r="D286" i="42" s="1"/>
  <c r="B287" i="42"/>
  <c r="D287" i="42" s="1"/>
  <c r="B312" i="42"/>
  <c r="D312" i="42" s="1"/>
  <c r="B308" i="42"/>
  <c r="D308" i="42" s="1"/>
  <c r="B306" i="42"/>
  <c r="D306" i="42" s="1"/>
  <c r="B305" i="42"/>
  <c r="D305" i="42" s="1"/>
  <c r="B304" i="42"/>
  <c r="D304" i="42" s="1"/>
  <c r="B302" i="42"/>
  <c r="D302" i="42" s="1"/>
  <c r="B301" i="42"/>
  <c r="D301" i="42" s="1"/>
  <c r="B285" i="42"/>
  <c r="D285" i="42" s="1"/>
  <c r="B284" i="42"/>
  <c r="D284" i="42" s="1"/>
  <c r="B280" i="42"/>
  <c r="D280" i="42" s="1"/>
  <c r="B276" i="42"/>
  <c r="C269" i="42"/>
  <c r="C314" i="42"/>
  <c r="D313" i="42"/>
  <c r="D310" i="42"/>
  <c r="B297" i="42"/>
  <c r="D297" i="42" s="1"/>
  <c r="B295" i="42"/>
  <c r="D295" i="42" s="1"/>
  <c r="C290" i="42"/>
  <c r="C292" i="42" s="1"/>
  <c r="C281" i="42"/>
  <c r="C277" i="42"/>
  <c r="B353" i="42"/>
  <c r="D353" i="42" s="1"/>
  <c r="B337" i="42"/>
  <c r="D337" i="42" s="1"/>
  <c r="B326" i="42"/>
  <c r="D326" i="42" s="1"/>
  <c r="B327" i="42"/>
  <c r="D327" i="42" s="1"/>
  <c r="B325" i="42"/>
  <c r="D325" i="42" s="1"/>
  <c r="B323" i="42"/>
  <c r="B322" i="42"/>
  <c r="D322" i="42" s="1"/>
  <c r="B321" i="42"/>
  <c r="D321" i="42" s="1"/>
  <c r="B320" i="42"/>
  <c r="D320" i="42" s="1"/>
  <c r="B352" i="42"/>
  <c r="D352" i="42" s="1"/>
  <c r="B335" i="42"/>
  <c r="D335" i="42" s="1"/>
  <c r="B334" i="42"/>
  <c r="B333" i="42"/>
  <c r="D333" i="42" s="1"/>
  <c r="B350" i="42"/>
  <c r="D350" i="42" s="1"/>
  <c r="B349" i="42"/>
  <c r="D349" i="42" s="1"/>
  <c r="C329" i="42"/>
  <c r="C345" i="42"/>
  <c r="C360" i="42" s="1"/>
  <c r="C357" i="42"/>
  <c r="C361" i="42" s="1"/>
  <c r="C338" i="42"/>
  <c r="D331" i="42"/>
  <c r="A885" i="7"/>
  <c r="A944" i="7" s="1"/>
  <c r="A1157" i="7" s="1"/>
  <c r="B885" i="7"/>
  <c r="B944" i="7" s="1"/>
  <c r="B1157" i="7" s="1"/>
  <c r="A417" i="7"/>
  <c r="A423" i="7" s="1"/>
  <c r="A354" i="7"/>
  <c r="A355" i="7"/>
  <c r="P943" i="7"/>
  <c r="O943" i="7"/>
  <c r="N943" i="7"/>
  <c r="M943" i="7"/>
  <c r="L943" i="7"/>
  <c r="K943" i="7"/>
  <c r="J943" i="7"/>
  <c r="H943" i="7"/>
  <c r="I943" i="7" s="1"/>
  <c r="D943" i="7"/>
  <c r="D942" i="7"/>
  <c r="B943" i="7"/>
  <c r="A943" i="7"/>
  <c r="B942" i="7"/>
  <c r="A942" i="7"/>
  <c r="B267" i="42"/>
  <c r="D267" i="42" s="1"/>
  <c r="B266" i="42"/>
  <c r="D266" i="42" s="1"/>
  <c r="B265" i="42"/>
  <c r="D265" i="42" s="1"/>
  <c r="B264" i="42"/>
  <c r="D264" i="42" s="1"/>
  <c r="B259" i="42"/>
  <c r="D259" i="42" s="1"/>
  <c r="B260" i="42"/>
  <c r="D260" i="42" s="1"/>
  <c r="B258" i="42"/>
  <c r="D258" i="42" s="1"/>
  <c r="C261" i="42"/>
  <c r="C271" i="42" s="1"/>
  <c r="R7" i="42"/>
  <c r="D584" i="7"/>
  <c r="B584" i="7"/>
  <c r="B1154" i="7" s="1"/>
  <c r="A584" i="7"/>
  <c r="A1154" i="7" s="1"/>
  <c r="C584" i="7"/>
  <c r="C1154" i="7" s="1"/>
  <c r="C150" i="7"/>
  <c r="C153" i="7" s="1"/>
  <c r="C39" i="7" s="1"/>
  <c r="B66" i="13" s="1"/>
  <c r="G1145" i="7"/>
  <c r="G1143" i="7"/>
  <c r="D150" i="7"/>
  <c r="A150" i="7"/>
  <c r="A153" i="7" s="1"/>
  <c r="A39" i="7" s="1"/>
  <c r="B150" i="7"/>
  <c r="B153" i="7" s="1"/>
  <c r="B39" i="7" s="1"/>
  <c r="A66" i="13" s="1"/>
  <c r="D48" i="8"/>
  <c r="B48" i="8"/>
  <c r="A48" i="8"/>
  <c r="C48" i="8"/>
  <c r="N11" i="16"/>
  <c r="N246" i="15" s="1"/>
  <c r="N268" i="15" s="1"/>
  <c r="M11" i="16"/>
  <c r="M246" i="15" s="1"/>
  <c r="M268" i="15" s="1"/>
  <c r="L11" i="16"/>
  <c r="L246" i="15" s="1"/>
  <c r="L268" i="15" s="1"/>
  <c r="K11" i="16"/>
  <c r="K246" i="15" s="1"/>
  <c r="K268" i="15" s="1"/>
  <c r="J11" i="16"/>
  <c r="J246" i="15" s="1"/>
  <c r="J268" i="15" s="1"/>
  <c r="I11" i="16"/>
  <c r="I246" i="15" s="1"/>
  <c r="I268" i="15" s="1"/>
  <c r="H11" i="16"/>
  <c r="H246" i="15" s="1"/>
  <c r="H268" i="15" s="1"/>
  <c r="G11" i="16"/>
  <c r="F246" i="15" s="1"/>
  <c r="G246" i="15" s="1"/>
  <c r="C11" i="16"/>
  <c r="C246" i="15" s="1"/>
  <c r="B11" i="16"/>
  <c r="B246" i="15" s="1"/>
  <c r="B268" i="15" s="1"/>
  <c r="A11" i="16"/>
  <c r="A246" i="15" s="1"/>
  <c r="A268" i="15" s="1"/>
  <c r="B27" i="16"/>
  <c r="B12" i="16" s="1"/>
  <c r="B247" i="15" s="1"/>
  <c r="B269" i="15" s="1"/>
  <c r="A27" i="16"/>
  <c r="A12" i="16" s="1"/>
  <c r="A247" i="15" s="1"/>
  <c r="A269" i="15" s="1"/>
  <c r="C1761" i="6"/>
  <c r="C1770" i="6" s="1"/>
  <c r="C1030" i="6"/>
  <c r="AW21" i="42"/>
  <c r="AV21" i="42"/>
  <c r="AV22" i="42"/>
  <c r="AV12" i="42"/>
  <c r="D138" i="34"/>
  <c r="D97" i="34"/>
  <c r="D56" i="34"/>
  <c r="D47" i="34"/>
  <c r="D817" i="7"/>
  <c r="D303" i="7" s="1"/>
  <c r="D816" i="7"/>
  <c r="D302" i="7" s="1"/>
  <c r="C82" i="12"/>
  <c r="C350" i="6"/>
  <c r="AD19" i="11"/>
  <c r="AD18" i="11"/>
  <c r="AA19" i="11"/>
  <c r="AA18" i="11"/>
  <c r="X19" i="11"/>
  <c r="X18" i="11"/>
  <c r="U19" i="11"/>
  <c r="U18" i="11"/>
  <c r="R19" i="11"/>
  <c r="R18" i="11"/>
  <c r="O19" i="11"/>
  <c r="O18" i="11"/>
  <c r="L19" i="11"/>
  <c r="L18" i="11"/>
  <c r="I19" i="11"/>
  <c r="I18" i="11"/>
  <c r="C66" i="12"/>
  <c r="H196" i="3"/>
  <c r="I196" i="3" s="1"/>
  <c r="J196" i="3" s="1"/>
  <c r="K196" i="3" s="1"/>
  <c r="L196" i="3" s="1"/>
  <c r="M196" i="3" s="1"/>
  <c r="N196" i="3" s="1"/>
  <c r="O196" i="3" s="1"/>
  <c r="P196" i="3" s="1"/>
  <c r="Q196" i="3" s="1"/>
  <c r="E510" i="9"/>
  <c r="E511" i="9" s="1"/>
  <c r="H61" i="14"/>
  <c r="I10" i="20"/>
  <c r="I16" i="20" s="1"/>
  <c r="B177" i="3" s="1"/>
  <c r="C2028" i="6"/>
  <c r="C2027" i="6"/>
  <c r="C2022" i="6"/>
  <c r="C721" i="6" s="1"/>
  <c r="C2023" i="6"/>
  <c r="C722" i="6" s="1"/>
  <c r="B313" i="15"/>
  <c r="C27" i="17"/>
  <c r="C12" i="17" s="1"/>
  <c r="C296" i="15" s="1"/>
  <c r="B27" i="17"/>
  <c r="B12" i="17" s="1"/>
  <c r="B296" i="15" s="1"/>
  <c r="B318" i="15" s="1"/>
  <c r="A27" i="17"/>
  <c r="A12" i="17" s="1"/>
  <c r="A296" i="15" s="1"/>
  <c r="A318" i="15" s="1"/>
  <c r="D409" i="6"/>
  <c r="C409" i="6"/>
  <c r="A409" i="6"/>
  <c r="B409" i="6"/>
  <c r="B724" i="34"/>
  <c r="E724" i="34"/>
  <c r="D732" i="34"/>
  <c r="B732" i="34"/>
  <c r="C732" i="34"/>
  <c r="E732" i="34"/>
  <c r="N313" i="15"/>
  <c r="M313" i="15"/>
  <c r="L313" i="15"/>
  <c r="K313" i="15"/>
  <c r="J313" i="15"/>
  <c r="I313" i="15"/>
  <c r="H313" i="15"/>
  <c r="F313" i="15"/>
  <c r="G313" i="15" s="1"/>
  <c r="C313" i="15"/>
  <c r="C152" i="6"/>
  <c r="B152" i="6"/>
  <c r="A152" i="6"/>
  <c r="A149" i="6"/>
  <c r="A148" i="6"/>
  <c r="A147" i="6"/>
  <c r="A146" i="6"/>
  <c r="A145" i="6"/>
  <c r="A144" i="6"/>
  <c r="A143" i="6"/>
  <c r="C149" i="6"/>
  <c r="B149" i="6"/>
  <c r="C148" i="6"/>
  <c r="B148" i="6"/>
  <c r="C147" i="6"/>
  <c r="B147" i="6"/>
  <c r="C146" i="6"/>
  <c r="B146" i="6"/>
  <c r="C145" i="6"/>
  <c r="B145" i="6"/>
  <c r="C144" i="6"/>
  <c r="B144" i="6"/>
  <c r="C143" i="6"/>
  <c r="B143" i="6"/>
  <c r="D144" i="6"/>
  <c r="D147" i="6"/>
  <c r="D146" i="6"/>
  <c r="D145" i="6"/>
  <c r="D143" i="6"/>
  <c r="C1861" i="6"/>
  <c r="C1938" i="6"/>
  <c r="C666" i="6" s="1"/>
  <c r="C1873" i="6"/>
  <c r="C652" i="6" s="1"/>
  <c r="C1618" i="6"/>
  <c r="C1625" i="6"/>
  <c r="C1601" i="6"/>
  <c r="C1544" i="6"/>
  <c r="C1550" i="6"/>
  <c r="D416" i="6"/>
  <c r="A416" i="6"/>
  <c r="B416" i="6"/>
  <c r="C416" i="6"/>
  <c r="D1470" i="6"/>
  <c r="C1339" i="6"/>
  <c r="C431" i="6" s="1"/>
  <c r="C1295" i="6"/>
  <c r="C408" i="6" s="1"/>
  <c r="C1296" i="6"/>
  <c r="C1253" i="6"/>
  <c r="C1188" i="6"/>
  <c r="C330" i="6" s="1"/>
  <c r="C1180" i="6"/>
  <c r="R150" i="9"/>
  <c r="R419" i="9" s="1"/>
  <c r="C1117" i="6"/>
  <c r="C1098" i="6"/>
  <c r="C311" i="6" s="1"/>
  <c r="C1104" i="6"/>
  <c r="C1042" i="6"/>
  <c r="C259" i="6" s="1"/>
  <c r="A976" i="6"/>
  <c r="B725" i="34" s="1"/>
  <c r="C916" i="6"/>
  <c r="C153" i="6" s="1"/>
  <c r="C922" i="6"/>
  <c r="C792" i="7"/>
  <c r="K92" i="26" s="1"/>
  <c r="C776" i="7"/>
  <c r="K85" i="26" s="1"/>
  <c r="C502" i="7"/>
  <c r="C85" i="7" s="1"/>
  <c r="C473" i="7"/>
  <c r="C80" i="7" s="1"/>
  <c r="C885" i="7"/>
  <c r="C944" i="7" s="1"/>
  <c r="C1157" i="7" s="1"/>
  <c r="C329" i="7"/>
  <c r="C361" i="7" s="1"/>
  <c r="B329" i="7"/>
  <c r="B361" i="7" s="1"/>
  <c r="A329" i="7"/>
  <c r="A361" i="7" s="1"/>
  <c r="P329" i="7"/>
  <c r="P361" i="7" s="1"/>
  <c r="O329" i="7"/>
  <c r="O361" i="7" s="1"/>
  <c r="N329" i="7"/>
  <c r="N361" i="7" s="1"/>
  <c r="M329" i="7"/>
  <c r="M361" i="7" s="1"/>
  <c r="L329" i="7"/>
  <c r="L361" i="7" s="1"/>
  <c r="K329" i="7"/>
  <c r="K361" i="7" s="1"/>
  <c r="J329" i="7"/>
  <c r="J361" i="7" s="1"/>
  <c r="H329" i="7"/>
  <c r="I329" i="7" s="1"/>
  <c r="D329" i="7"/>
  <c r="C1020" i="7"/>
  <c r="B283" i="42" s="1"/>
  <c r="D283" i="42" s="1"/>
  <c r="A45" i="8"/>
  <c r="AH12" i="42"/>
  <c r="AG12" i="42"/>
  <c r="AF12" i="42"/>
  <c r="C44" i="8"/>
  <c r="B274" i="42" s="1"/>
  <c r="D274" i="42" s="1"/>
  <c r="A44" i="8"/>
  <c r="B190" i="8"/>
  <c r="B45" i="8" s="1"/>
  <c r="C297" i="8"/>
  <c r="C63" i="8" s="1"/>
  <c r="C249" i="8"/>
  <c r="C186" i="8"/>
  <c r="C60" i="27"/>
  <c r="C38" i="27"/>
  <c r="C25" i="27"/>
  <c r="C554" i="4"/>
  <c r="C125" i="4" s="1"/>
  <c r="C291" i="4"/>
  <c r="C670" i="4"/>
  <c r="B324" i="42" s="1"/>
  <c r="D324" i="42" s="1"/>
  <c r="C753" i="4"/>
  <c r="C738" i="4"/>
  <c r="C227" i="4" s="1"/>
  <c r="C623" i="4"/>
  <c r="C649" i="4" s="1"/>
  <c r="C20" i="12"/>
  <c r="C21" i="12"/>
  <c r="C339" i="4"/>
  <c r="E95" i="15"/>
  <c r="A95" i="15"/>
  <c r="E64" i="15"/>
  <c r="A64" i="15"/>
  <c r="E33" i="15"/>
  <c r="A33" i="15"/>
  <c r="E2" i="15"/>
  <c r="A2" i="15"/>
  <c r="E285" i="15"/>
  <c r="A285" i="15"/>
  <c r="E236" i="15"/>
  <c r="A236" i="15"/>
  <c r="E181" i="15"/>
  <c r="A181" i="15"/>
  <c r="G235" i="3"/>
  <c r="D249" i="6"/>
  <c r="AK120" i="9"/>
  <c r="AF120" i="9"/>
  <c r="CF120" i="9"/>
  <c r="H235" i="3"/>
  <c r="N95" i="12"/>
  <c r="M95" i="12"/>
  <c r="L95" i="12"/>
  <c r="K95" i="12"/>
  <c r="J95" i="12"/>
  <c r="I95" i="12"/>
  <c r="H95" i="12"/>
  <c r="G95" i="12"/>
  <c r="F95" i="12"/>
  <c r="E95" i="12"/>
  <c r="A95" i="12"/>
  <c r="A26" i="12"/>
  <c r="D848" i="6"/>
  <c r="D29" i="48" s="1"/>
  <c r="J167" i="48" s="1"/>
  <c r="T339" i="9"/>
  <c r="R311" i="9"/>
  <c r="V311" i="9" s="1"/>
  <c r="U458" i="9"/>
  <c r="U457" i="9"/>
  <c r="V457" i="9" s="1"/>
  <c r="S419" i="9"/>
  <c r="S468" i="9" s="1"/>
  <c r="S469" i="9" s="1"/>
  <c r="T419" i="9"/>
  <c r="T468" i="9" s="1"/>
  <c r="T469" i="9" s="1"/>
  <c r="U487" i="9"/>
  <c r="V315" i="9"/>
  <c r="V314" i="9"/>
  <c r="V313" i="9"/>
  <c r="V310" i="9"/>
  <c r="V309" i="9"/>
  <c r="V358" i="9"/>
  <c r="V409" i="9"/>
  <c r="V403" i="9"/>
  <c r="V402" i="9"/>
  <c r="V401" i="9"/>
  <c r="V400" i="9"/>
  <c r="V398" i="9"/>
  <c r="V397" i="9"/>
  <c r="V364" i="9"/>
  <c r="V363" i="9"/>
  <c r="V359" i="9"/>
  <c r="V354" i="9"/>
  <c r="V351" i="9"/>
  <c r="V350" i="9"/>
  <c r="V348" i="9"/>
  <c r="V345" i="9"/>
  <c r="V344" i="9"/>
  <c r="V456" i="9"/>
  <c r="V451" i="9"/>
  <c r="V450" i="9"/>
  <c r="V447" i="9"/>
  <c r="V446" i="9"/>
  <c r="V444" i="9"/>
  <c r="V443" i="9"/>
  <c r="V440" i="9"/>
  <c r="V439" i="9"/>
  <c r="V438" i="9"/>
  <c r="V436" i="9"/>
  <c r="V434" i="9"/>
  <c r="V433" i="9"/>
  <c r="V432" i="9"/>
  <c r="V431" i="9"/>
  <c r="V418" i="9"/>
  <c r="V416" i="9"/>
  <c r="V415" i="9"/>
  <c r="V486" i="9"/>
  <c r="V474" i="9"/>
  <c r="V473" i="9"/>
  <c r="V472" i="9"/>
  <c r="V504" i="9"/>
  <c r="V503" i="9"/>
  <c r="V518" i="9"/>
  <c r="V519" i="9"/>
  <c r="V520" i="9"/>
  <c r="V514" i="9"/>
  <c r="U521" i="9"/>
  <c r="U522" i="9" s="1"/>
  <c r="T521" i="9"/>
  <c r="T522" i="9" s="1"/>
  <c r="S521" i="9"/>
  <c r="S522" i="9" s="1"/>
  <c r="R521" i="9"/>
  <c r="R522" i="9" s="1"/>
  <c r="U510" i="9"/>
  <c r="U511" i="9" s="1"/>
  <c r="T510" i="9"/>
  <c r="T511" i="9" s="1"/>
  <c r="S510" i="9"/>
  <c r="S511" i="9" s="1"/>
  <c r="R510" i="9"/>
  <c r="R511" i="9" s="1"/>
  <c r="T499" i="9"/>
  <c r="S499" i="9"/>
  <c r="R499" i="9"/>
  <c r="T410" i="9"/>
  <c r="T411" i="9" s="1"/>
  <c r="S410" i="9"/>
  <c r="S411" i="9" s="1"/>
  <c r="R410" i="9"/>
  <c r="V396" i="9"/>
  <c r="V244" i="9"/>
  <c r="V245" i="9"/>
  <c r="V246" i="9"/>
  <c r="V247" i="9"/>
  <c r="V248" i="9"/>
  <c r="V249" i="9"/>
  <c r="V267" i="9"/>
  <c r="V268" i="9"/>
  <c r="V269" i="9"/>
  <c r="V270" i="9"/>
  <c r="V272" i="9"/>
  <c r="V273" i="9"/>
  <c r="V274" i="9"/>
  <c r="V487" i="9"/>
  <c r="V458" i="9"/>
  <c r="B25" i="40"/>
  <c r="CS120" i="9"/>
  <c r="R292" i="9"/>
  <c r="B125" i="8"/>
  <c r="A125" i="8"/>
  <c r="D125" i="8"/>
  <c r="I121" i="9"/>
  <c r="AO121" i="9" s="1"/>
  <c r="CF151" i="9"/>
  <c r="CT151" i="9" s="1"/>
  <c r="S133" i="9"/>
  <c r="Y10" i="20"/>
  <c r="X10" i="20"/>
  <c r="W10" i="20"/>
  <c r="V10" i="20"/>
  <c r="U10" i="20"/>
  <c r="T10" i="20"/>
  <c r="S10" i="20"/>
  <c r="R10" i="20"/>
  <c r="P10" i="20"/>
  <c r="Q10" i="20"/>
  <c r="N10" i="20"/>
  <c r="N16" i="20" s="1"/>
  <c r="O10" i="20"/>
  <c r="O16" i="20" s="1"/>
  <c r="G177" i="3" s="1"/>
  <c r="M10" i="20"/>
  <c r="M16" i="20" s="1"/>
  <c r="D177" i="3" s="1"/>
  <c r="D179" i="3" s="1"/>
  <c r="L10" i="20"/>
  <c r="L16" i="20" s="1"/>
  <c r="K10" i="20"/>
  <c r="K16" i="20" s="1"/>
  <c r="D519" i="8" s="1"/>
  <c r="J10" i="20"/>
  <c r="J16" i="20" s="1"/>
  <c r="F54" i="20"/>
  <c r="F53" i="20"/>
  <c r="F55" i="20" s="1"/>
  <c r="G55" i="20" s="1"/>
  <c r="H55" i="20" s="1"/>
  <c r="I55" i="20" s="1"/>
  <c r="J55" i="20" s="1"/>
  <c r="K55" i="20" s="1"/>
  <c r="L55" i="20" s="1"/>
  <c r="M55" i="20" s="1"/>
  <c r="N55" i="20" s="1"/>
  <c r="O55" i="20" s="1"/>
  <c r="P55" i="20" s="1"/>
  <c r="Q55" i="20" s="1"/>
  <c r="R55" i="20" s="1"/>
  <c r="F31" i="20"/>
  <c r="F21" i="20"/>
  <c r="U69" i="21"/>
  <c r="E295" i="9"/>
  <c r="E353" i="9"/>
  <c r="V353" i="9" s="1"/>
  <c r="E317" i="9"/>
  <c r="V317" i="9" s="1"/>
  <c r="E347" i="9"/>
  <c r="V347" i="9" s="1"/>
  <c r="E305" i="9"/>
  <c r="V305" i="9" s="1"/>
  <c r="E735" i="34"/>
  <c r="E729" i="34"/>
  <c r="E728" i="34"/>
  <c r="CS190" i="9"/>
  <c r="CT190" i="9"/>
  <c r="CU190" i="9"/>
  <c r="CV190" i="9"/>
  <c r="CW190" i="9"/>
  <c r="CX190" i="9"/>
  <c r="CY190" i="9"/>
  <c r="CZ190" i="9"/>
  <c r="DA190" i="9"/>
  <c r="DB190" i="9"/>
  <c r="B747" i="34"/>
  <c r="B743" i="34"/>
  <c r="J40" i="1"/>
  <c r="C674" i="6"/>
  <c r="D674" i="6"/>
  <c r="CF122" i="9"/>
  <c r="CG122" i="9" s="1"/>
  <c r="CH122" i="9" s="1"/>
  <c r="CI122" i="9" s="1"/>
  <c r="CJ122" i="9" s="1"/>
  <c r="CK122" i="9" s="1"/>
  <c r="CL122" i="9" s="1"/>
  <c r="CM122" i="9" s="1"/>
  <c r="CN122" i="9" s="1"/>
  <c r="CO122" i="9" s="1"/>
  <c r="CP122" i="9" s="1"/>
  <c r="CQ122" i="9" s="1"/>
  <c r="E521" i="9"/>
  <c r="E522" i="9" s="1"/>
  <c r="A29" i="40"/>
  <c r="B332" i="42" s="1"/>
  <c r="D332" i="42" s="1"/>
  <c r="C1083" i="7"/>
  <c r="C508" i="8"/>
  <c r="C131" i="8" s="1"/>
  <c r="C125" i="8"/>
  <c r="C970" i="7"/>
  <c r="C349" i="7" s="1"/>
  <c r="C914" i="7"/>
  <c r="C728" i="7"/>
  <c r="C737" i="7" s="1"/>
  <c r="C68" i="27"/>
  <c r="C64" i="8"/>
  <c r="C985" i="6"/>
  <c r="C206" i="6" s="1"/>
  <c r="C795" i="6"/>
  <c r="C99" i="6" s="1"/>
  <c r="C792" i="6"/>
  <c r="C781" i="6"/>
  <c r="C772" i="6"/>
  <c r="C771" i="6"/>
  <c r="C779" i="6"/>
  <c r="C774" i="6"/>
  <c r="D725" i="34"/>
  <c r="C757" i="6"/>
  <c r="C761" i="6"/>
  <c r="C78" i="6" s="1"/>
  <c r="C754" i="6"/>
  <c r="C444" i="4"/>
  <c r="V190" i="9"/>
  <c r="B674" i="6"/>
  <c r="A674" i="6"/>
  <c r="B675" i="6"/>
  <c r="A675" i="6"/>
  <c r="A673" i="6"/>
  <c r="C675" i="6"/>
  <c r="C673" i="6"/>
  <c r="D673" i="6"/>
  <c r="D675" i="6"/>
  <c r="D128" i="1"/>
  <c r="D129" i="1"/>
  <c r="D130" i="1"/>
  <c r="D131" i="1"/>
  <c r="D127" i="1"/>
  <c r="F130" i="1"/>
  <c r="G130" i="1" s="1"/>
  <c r="H130" i="1" s="1"/>
  <c r="I130" i="1" s="1"/>
  <c r="F128" i="1"/>
  <c r="G128" i="1" s="1"/>
  <c r="F129" i="1"/>
  <c r="G129" i="1" s="1"/>
  <c r="F131" i="1"/>
  <c r="G131" i="1" s="1"/>
  <c r="F127" i="1"/>
  <c r="G127" i="1"/>
  <c r="F126" i="1"/>
  <c r="G126" i="1" s="1"/>
  <c r="H126" i="1" s="1"/>
  <c r="I126" i="1" s="1"/>
  <c r="J52" i="1"/>
  <c r="AQ43" i="21"/>
  <c r="AS43" i="21" s="1"/>
  <c r="AM15" i="21"/>
  <c r="AO15" i="21" s="1"/>
  <c r="AM14" i="21"/>
  <c r="AM16" i="21"/>
  <c r="AO16" i="21" s="1"/>
  <c r="D141" i="8"/>
  <c r="D143" i="8"/>
  <c r="B64" i="8"/>
  <c r="A64" i="8"/>
  <c r="B63" i="8"/>
  <c r="A63" i="8"/>
  <c r="D64" i="8"/>
  <c r="D63" i="8"/>
  <c r="A500" i="8"/>
  <c r="A131" i="8" s="1"/>
  <c r="B61" i="8"/>
  <c r="A61" i="8"/>
  <c r="D61" i="8"/>
  <c r="C61" i="8"/>
  <c r="B123" i="8"/>
  <c r="A123" i="8"/>
  <c r="B129" i="8"/>
  <c r="A129" i="8"/>
  <c r="B128" i="8"/>
  <c r="A128" i="8"/>
  <c r="B124" i="8"/>
  <c r="A124" i="8"/>
  <c r="B122" i="8"/>
  <c r="A122" i="8"/>
  <c r="B121" i="8"/>
  <c r="A121" i="8"/>
  <c r="A119" i="8"/>
  <c r="B120" i="8"/>
  <c r="A120" i="8"/>
  <c r="A118" i="8"/>
  <c r="P124" i="8"/>
  <c r="O124" i="8"/>
  <c r="N124" i="8"/>
  <c r="M124" i="8"/>
  <c r="L124" i="8"/>
  <c r="K124" i="8"/>
  <c r="J124" i="8"/>
  <c r="H124" i="8"/>
  <c r="I124" i="8" s="1"/>
  <c r="D123" i="8"/>
  <c r="D128" i="8"/>
  <c r="D124" i="8"/>
  <c r="D122" i="8"/>
  <c r="D120" i="8"/>
  <c r="D118" i="8"/>
  <c r="C128" i="8"/>
  <c r="H126" i="8"/>
  <c r="I126" i="8" s="1"/>
  <c r="C123" i="8"/>
  <c r="C124" i="8"/>
  <c r="C118" i="8"/>
  <c r="C120" i="8"/>
  <c r="B470" i="8"/>
  <c r="B65" i="8"/>
  <c r="A65" i="8"/>
  <c r="D65" i="8"/>
  <c r="C65" i="8"/>
  <c r="B66" i="8"/>
  <c r="A66" i="8"/>
  <c r="C66" i="8"/>
  <c r="D67" i="8"/>
  <c r="C67" i="8"/>
  <c r="B67" i="8"/>
  <c r="A67" i="8"/>
  <c r="B59" i="8"/>
  <c r="A59" i="8"/>
  <c r="C59" i="8"/>
  <c r="D59" i="8"/>
  <c r="AB78" i="22"/>
  <c r="AD78" i="22" s="1"/>
  <c r="AB80" i="22"/>
  <c r="AD80" i="22" s="1"/>
  <c r="AB74" i="22"/>
  <c r="AB72" i="22"/>
  <c r="AD72" i="22" s="1"/>
  <c r="V135" i="22"/>
  <c r="V131" i="22"/>
  <c r="V130" i="22"/>
  <c r="V129" i="22"/>
  <c r="V128" i="22"/>
  <c r="V127" i="22"/>
  <c r="V126" i="22"/>
  <c r="V123" i="22"/>
  <c r="V122" i="22"/>
  <c r="V121" i="22"/>
  <c r="V101" i="22"/>
  <c r="BU81" i="22"/>
  <c r="BV81" i="22" s="1"/>
  <c r="BF81" i="22"/>
  <c r="BB81" i="22"/>
  <c r="AX81" i="22"/>
  <c r="AT81" i="22"/>
  <c r="AL81" i="22"/>
  <c r="AH81" i="22"/>
  <c r="AD81" i="22"/>
  <c r="V81" i="22"/>
  <c r="BU80" i="22"/>
  <c r="CI80" i="22" s="1"/>
  <c r="BF80" i="22"/>
  <c r="BB80" i="22"/>
  <c r="AX80" i="22"/>
  <c r="AT80" i="22"/>
  <c r="AP80" i="22"/>
  <c r="AL80" i="22"/>
  <c r="AH80" i="22"/>
  <c r="V80" i="22"/>
  <c r="BU79" i="22"/>
  <c r="CI79" i="22" s="1"/>
  <c r="BF79" i="22"/>
  <c r="BB79" i="22"/>
  <c r="AX79" i="22"/>
  <c r="AT79" i="22"/>
  <c r="AP79" i="22"/>
  <c r="AH79" i="22"/>
  <c r="AD79" i="22"/>
  <c r="V79" i="22"/>
  <c r="X77" i="22"/>
  <c r="BU76" i="22"/>
  <c r="CI76" i="22" s="1"/>
  <c r="BF76" i="22"/>
  <c r="BB76" i="22"/>
  <c r="AX76" i="22"/>
  <c r="AT76" i="22"/>
  <c r="AP76" i="22"/>
  <c r="AL76" i="22"/>
  <c r="AH76" i="22"/>
  <c r="AD76" i="22"/>
  <c r="X76" i="22"/>
  <c r="V76" i="22"/>
  <c r="BU75" i="22"/>
  <c r="CI75" i="22" s="1"/>
  <c r="BF75" i="22"/>
  <c r="BB75" i="22"/>
  <c r="AX75" i="22"/>
  <c r="AT75" i="22"/>
  <c r="AP75" i="22"/>
  <c r="AH75" i="22"/>
  <c r="AD75" i="22"/>
  <c r="X75" i="22"/>
  <c r="V75" i="22"/>
  <c r="BU73" i="22"/>
  <c r="CI73" i="22" s="1"/>
  <c r="BF73" i="22"/>
  <c r="BB73" i="22"/>
  <c r="AX73" i="22"/>
  <c r="AT73" i="22"/>
  <c r="AP73" i="22"/>
  <c r="AL73" i="22"/>
  <c r="AH73" i="22"/>
  <c r="AD73" i="22"/>
  <c r="V73" i="22"/>
  <c r="BU60" i="22"/>
  <c r="CI60" i="22" s="1"/>
  <c r="BF60" i="22"/>
  <c r="BB60" i="22"/>
  <c r="AX60" i="22"/>
  <c r="AT60" i="22"/>
  <c r="AP60" i="22"/>
  <c r="AL60" i="22"/>
  <c r="AH60" i="22"/>
  <c r="AD60" i="22"/>
  <c r="V60" i="22"/>
  <c r="BU65" i="22"/>
  <c r="CI65" i="22" s="1"/>
  <c r="BF65" i="22"/>
  <c r="BB65" i="22"/>
  <c r="AX65" i="22"/>
  <c r="AT65" i="22"/>
  <c r="AP65" i="22"/>
  <c r="AL65" i="22"/>
  <c r="AH65" i="22"/>
  <c r="AD65" i="22"/>
  <c r="V65" i="22"/>
  <c r="BU17" i="22"/>
  <c r="CI17" i="22" s="1"/>
  <c r="AL17" i="22"/>
  <c r="AH17" i="22"/>
  <c r="AD17" i="22"/>
  <c r="V17" i="22"/>
  <c r="BU13" i="22"/>
  <c r="BF13" i="22"/>
  <c r="BB13" i="22"/>
  <c r="AX13" i="22"/>
  <c r="AT13" i="22"/>
  <c r="AP13" i="22"/>
  <c r="AL13" i="22"/>
  <c r="AH13" i="22"/>
  <c r="AD13" i="22"/>
  <c r="V13" i="22"/>
  <c r="BU10" i="22"/>
  <c r="CI10" i="22" s="1"/>
  <c r="BF10" i="22"/>
  <c r="BB10" i="22"/>
  <c r="AX10" i="22"/>
  <c r="AT10" i="22"/>
  <c r="AP10" i="22"/>
  <c r="AL10" i="22"/>
  <c r="AH10" i="22"/>
  <c r="AD10" i="22"/>
  <c r="V10" i="22"/>
  <c r="CH100" i="22"/>
  <c r="V100" i="22"/>
  <c r="CH101" i="22"/>
  <c r="CH80" i="22"/>
  <c r="CH79" i="22"/>
  <c r="CH81" i="22"/>
  <c r="CI81" i="22"/>
  <c r="BV80" i="22"/>
  <c r="BW80" i="22" s="1"/>
  <c r="CH75" i="22"/>
  <c r="CH73" i="22"/>
  <c r="CH76" i="22"/>
  <c r="BV76" i="22"/>
  <c r="CJ76" i="22" s="1"/>
  <c r="CH60" i="22"/>
  <c r="AP17" i="22"/>
  <c r="CH65" i="22"/>
  <c r="BV65" i="22"/>
  <c r="BW65" i="22" s="1"/>
  <c r="CH17" i="22"/>
  <c r="CH13" i="22"/>
  <c r="CI13" i="22"/>
  <c r="BV13" i="22"/>
  <c r="CJ13" i="22" s="1"/>
  <c r="CH10" i="22"/>
  <c r="B79" i="8"/>
  <c r="B85" i="8" s="1"/>
  <c r="A79" i="8"/>
  <c r="A85" i="8" s="1"/>
  <c r="B78" i="8"/>
  <c r="A78" i="8"/>
  <c r="A84" i="8" s="1"/>
  <c r="B75" i="8"/>
  <c r="A169" i="3" s="1"/>
  <c r="A170" i="3" s="1"/>
  <c r="A75" i="8"/>
  <c r="B72" i="8"/>
  <c r="A72" i="8"/>
  <c r="B62" i="8"/>
  <c r="A62" i="8"/>
  <c r="B60" i="8"/>
  <c r="A60" i="8"/>
  <c r="A68" i="8"/>
  <c r="A69" i="8"/>
  <c r="B58" i="8"/>
  <c r="A58" i="8"/>
  <c r="B55" i="8"/>
  <c r="A55" i="8"/>
  <c r="A56" i="8"/>
  <c r="B84" i="8"/>
  <c r="A25" i="16"/>
  <c r="A10" i="16" s="1"/>
  <c r="CI101" i="22"/>
  <c r="AD101" i="22"/>
  <c r="AD100" i="22"/>
  <c r="AH101" i="22"/>
  <c r="CJ80" i="22"/>
  <c r="AT17" i="22"/>
  <c r="AL101" i="22"/>
  <c r="AH100" i="22"/>
  <c r="AP101" i="22"/>
  <c r="AX17" i="22"/>
  <c r="W44" i="21"/>
  <c r="Y44" i="21" s="1"/>
  <c r="D66" i="8"/>
  <c r="AL100" i="22"/>
  <c r="AT101" i="22"/>
  <c r="BB17" i="22"/>
  <c r="AP100" i="22"/>
  <c r="AX101" i="22"/>
  <c r="BF17" i="22"/>
  <c r="BT61" i="21"/>
  <c r="CG57" i="21"/>
  <c r="BE58" i="21"/>
  <c r="BA58" i="21"/>
  <c r="AW58" i="21"/>
  <c r="AS58" i="21"/>
  <c r="AO58" i="21"/>
  <c r="AK58" i="21"/>
  <c r="AG58" i="21"/>
  <c r="AC58" i="21"/>
  <c r="BE57" i="21"/>
  <c r="BA57" i="21"/>
  <c r="AW57" i="21"/>
  <c r="AS57" i="21"/>
  <c r="AO57" i="21"/>
  <c r="AK57" i="21"/>
  <c r="AG57" i="21"/>
  <c r="AC57" i="21"/>
  <c r="BE56" i="21"/>
  <c r="BA56" i="21"/>
  <c r="AW56" i="21"/>
  <c r="AS56" i="21"/>
  <c r="AO56" i="21"/>
  <c r="AK56" i="21"/>
  <c r="AG56" i="21"/>
  <c r="AC56" i="21"/>
  <c r="BD73" i="21"/>
  <c r="N80" i="21" s="1"/>
  <c r="BB73" i="21"/>
  <c r="N78" i="21" s="1"/>
  <c r="AZ73" i="21"/>
  <c r="M80" i="21" s="1"/>
  <c r="AX73" i="21"/>
  <c r="M78" i="21" s="1"/>
  <c r="AV73" i="21"/>
  <c r="L80" i="21" s="1"/>
  <c r="AT73" i="21"/>
  <c r="L78" i="21" s="1"/>
  <c r="AR73" i="21"/>
  <c r="D31" i="19" s="1"/>
  <c r="D87" i="19" s="1"/>
  <c r="AP73" i="21"/>
  <c r="AN73" i="21"/>
  <c r="AL73" i="21"/>
  <c r="AJ73" i="21"/>
  <c r="D29" i="19" s="1"/>
  <c r="D77" i="19" s="1"/>
  <c r="AH73" i="21"/>
  <c r="I78" i="21" s="1"/>
  <c r="AF73" i="21"/>
  <c r="D28" i="19" s="1"/>
  <c r="D72" i="19" s="1"/>
  <c r="AD73" i="21"/>
  <c r="H78" i="21" s="1"/>
  <c r="AB73" i="21"/>
  <c r="D27" i="19" s="1"/>
  <c r="D67" i="19" s="1"/>
  <c r="Z73" i="21"/>
  <c r="X73" i="21"/>
  <c r="V73" i="21"/>
  <c r="T73" i="21"/>
  <c r="D25" i="19" s="1"/>
  <c r="D57" i="19" s="1"/>
  <c r="G60" i="19" s="1"/>
  <c r="R73" i="21"/>
  <c r="U58" i="21"/>
  <c r="BE61" i="21"/>
  <c r="U57" i="21"/>
  <c r="BT47" i="21"/>
  <c r="BC47" i="21"/>
  <c r="BE47" i="21" s="1"/>
  <c r="AY47" i="21"/>
  <c r="BA47" i="21"/>
  <c r="AU47" i="21"/>
  <c r="AW47" i="21" s="1"/>
  <c r="AQ47" i="21"/>
  <c r="AS47" i="21" s="1"/>
  <c r="AO47" i="21"/>
  <c r="AI47" i="21"/>
  <c r="AK47" i="21" s="1"/>
  <c r="AE47" i="21"/>
  <c r="AG47" i="21" s="1"/>
  <c r="AA47" i="21"/>
  <c r="AC47" i="21" s="1"/>
  <c r="W47" i="21"/>
  <c r="Y47" i="21" s="1"/>
  <c r="S47" i="21"/>
  <c r="U47" i="21" s="1"/>
  <c r="BT44" i="21"/>
  <c r="BC44" i="21"/>
  <c r="BE44" i="21" s="1"/>
  <c r="AY44" i="21"/>
  <c r="BA44" i="21" s="1"/>
  <c r="AU44" i="21"/>
  <c r="AW44" i="21" s="1"/>
  <c r="AQ44" i="21"/>
  <c r="AS44" i="21" s="1"/>
  <c r="AO44" i="21"/>
  <c r="AI44" i="21"/>
  <c r="AK44" i="21"/>
  <c r="AG44" i="21"/>
  <c r="AA44" i="21"/>
  <c r="AC44" i="21" s="1"/>
  <c r="S44" i="21"/>
  <c r="U44" i="21"/>
  <c r="BT43" i="21"/>
  <c r="CH43" i="21" s="1"/>
  <c r="BC43" i="21"/>
  <c r="BE43" i="21" s="1"/>
  <c r="AY43" i="21"/>
  <c r="BA43" i="21" s="1"/>
  <c r="AU43" i="21"/>
  <c r="AW43" i="21"/>
  <c r="AO43" i="21"/>
  <c r="AI43" i="21"/>
  <c r="AK43" i="21" s="1"/>
  <c r="AE43" i="21"/>
  <c r="AG43" i="21" s="1"/>
  <c r="AA43" i="21"/>
  <c r="AC43" i="21"/>
  <c r="W43" i="21"/>
  <c r="Y43" i="21" s="1"/>
  <c r="S43" i="21"/>
  <c r="U43" i="21"/>
  <c r="BT18" i="21"/>
  <c r="BU18" i="21" s="1"/>
  <c r="BC18" i="21"/>
  <c r="BE18" i="21" s="1"/>
  <c r="AY18" i="21"/>
  <c r="BA18" i="21" s="1"/>
  <c r="AU18" i="21"/>
  <c r="AW18" i="21" s="1"/>
  <c r="AQ18" i="21"/>
  <c r="AS18" i="21" s="1"/>
  <c r="AM18" i="21"/>
  <c r="AO18" i="21" s="1"/>
  <c r="AI18" i="21"/>
  <c r="AK18" i="21" s="1"/>
  <c r="AE18" i="21"/>
  <c r="AG18" i="21" s="1"/>
  <c r="AC18" i="21"/>
  <c r="U18" i="21"/>
  <c r="BC17" i="21"/>
  <c r="BE17" i="21" s="1"/>
  <c r="AY17" i="21"/>
  <c r="BA17" i="21" s="1"/>
  <c r="AU17" i="21"/>
  <c r="AW17" i="21" s="1"/>
  <c r="AQ17" i="21"/>
  <c r="AS17" i="21" s="1"/>
  <c r="AO17" i="21"/>
  <c r="AI17" i="21"/>
  <c r="AK17" i="21" s="1"/>
  <c r="AG17" i="21"/>
  <c r="AC17" i="21"/>
  <c r="U17" i="21"/>
  <c r="BT11" i="21"/>
  <c r="U11" i="21"/>
  <c r="CG56" i="21"/>
  <c r="CH57" i="21"/>
  <c r="AK61" i="21"/>
  <c r="BA61" i="21"/>
  <c r="AO61" i="21"/>
  <c r="CG61" i="21"/>
  <c r="AC61" i="21"/>
  <c r="AS61" i="21"/>
  <c r="AG61" i="21"/>
  <c r="AW61" i="21"/>
  <c r="AT100" i="22"/>
  <c r="BF101" i="22"/>
  <c r="BB101" i="22"/>
  <c r="CH61" i="21"/>
  <c r="BU61" i="21"/>
  <c r="BV61" i="21" s="1"/>
  <c r="CG58" i="21"/>
  <c r="U61" i="21"/>
  <c r="CG47" i="21"/>
  <c r="CH47" i="21"/>
  <c r="BU47" i="21"/>
  <c r="BV47" i="21" s="1"/>
  <c r="BW47" i="21" s="1"/>
  <c r="CG43" i="21"/>
  <c r="CG44" i="21"/>
  <c r="CH44" i="21"/>
  <c r="BU44" i="21"/>
  <c r="BV44" i="21" s="1"/>
  <c r="CJ44" i="21" s="1"/>
  <c r="BU43" i="21"/>
  <c r="CI43" i="21" s="1"/>
  <c r="CG18" i="21"/>
  <c r="CG17" i="21"/>
  <c r="CH17" i="21"/>
  <c r="CG11" i="21"/>
  <c r="CH11" i="21"/>
  <c r="BU11" i="21"/>
  <c r="BV11" i="21" s="1"/>
  <c r="BW11" i="21" s="1"/>
  <c r="AX100" i="22"/>
  <c r="CI61" i="21"/>
  <c r="CI44" i="21"/>
  <c r="BV43" i="21"/>
  <c r="CJ43" i="21" s="1"/>
  <c r="BF100" i="22"/>
  <c r="BB100" i="22"/>
  <c r="BW44" i="21"/>
  <c r="P810" i="6"/>
  <c r="P116" i="6" s="1"/>
  <c r="O810" i="6"/>
  <c r="O116" i="6" s="1"/>
  <c r="N810" i="6"/>
  <c r="N116" i="6" s="1"/>
  <c r="L810" i="6"/>
  <c r="L116" i="6" s="1"/>
  <c r="K810" i="6"/>
  <c r="K116" i="6" s="1"/>
  <c r="J810" i="6"/>
  <c r="J116" i="6" s="1"/>
  <c r="H810" i="6"/>
  <c r="I810" i="6" s="1"/>
  <c r="P812" i="6"/>
  <c r="P118" i="6" s="1"/>
  <c r="O812" i="6"/>
  <c r="O118" i="6" s="1"/>
  <c r="N812" i="6"/>
  <c r="N118" i="6" s="1"/>
  <c r="M812" i="6"/>
  <c r="M118" i="6" s="1"/>
  <c r="L812" i="6"/>
  <c r="L118" i="6" s="1"/>
  <c r="K812" i="6"/>
  <c r="K118" i="6" s="1"/>
  <c r="J812" i="6"/>
  <c r="J118" i="6" s="1"/>
  <c r="H812" i="6"/>
  <c r="I812" i="6" s="1"/>
  <c r="U157" i="10"/>
  <c r="BO79" i="9"/>
  <c r="BJ79" i="9"/>
  <c r="BE79" i="9"/>
  <c r="AZ79" i="9"/>
  <c r="AU79" i="9"/>
  <c r="AP79" i="9"/>
  <c r="AK79" i="9"/>
  <c r="AF79" i="9"/>
  <c r="D812" i="6"/>
  <c r="D118" i="6" s="1"/>
  <c r="V79" i="9"/>
  <c r="CF79" i="9"/>
  <c r="CG79" i="9" s="1"/>
  <c r="CS79" i="9"/>
  <c r="C190" i="42"/>
  <c r="C180" i="42"/>
  <c r="AA161" i="9"/>
  <c r="C281" i="4"/>
  <c r="F18" i="1"/>
  <c r="D878" i="6"/>
  <c r="R163" i="9"/>
  <c r="R162" i="9"/>
  <c r="R160" i="9"/>
  <c r="V160" i="9" s="1"/>
  <c r="H1214" i="6"/>
  <c r="I1214" i="6" s="1"/>
  <c r="V167" i="9"/>
  <c r="CF161" i="9"/>
  <c r="CT161" i="9" s="1"/>
  <c r="BO161" i="9"/>
  <c r="BJ161" i="9"/>
  <c r="BE161" i="9"/>
  <c r="AZ161" i="9"/>
  <c r="AU161" i="9"/>
  <c r="AP161" i="9"/>
  <c r="AK161" i="9"/>
  <c r="V161" i="9"/>
  <c r="CF162" i="9"/>
  <c r="CG162" i="9" s="1"/>
  <c r="BO162" i="9"/>
  <c r="BJ162" i="9"/>
  <c r="BE162" i="9"/>
  <c r="AZ162" i="9"/>
  <c r="AU162" i="9"/>
  <c r="AP162" i="9"/>
  <c r="AK162" i="9"/>
  <c r="CF163" i="9"/>
  <c r="CG163" i="9" s="1"/>
  <c r="BO163" i="9"/>
  <c r="BJ163" i="9"/>
  <c r="BE163" i="9"/>
  <c r="AZ163" i="9"/>
  <c r="AU163" i="9"/>
  <c r="AP163" i="9"/>
  <c r="AK163" i="9"/>
  <c r="CF159" i="9"/>
  <c r="CG159" i="9" s="1"/>
  <c r="BO159" i="9"/>
  <c r="BJ159" i="9"/>
  <c r="BE159" i="9"/>
  <c r="AZ159" i="9"/>
  <c r="AU159" i="9"/>
  <c r="AP159" i="9"/>
  <c r="AK159" i="9"/>
  <c r="AF159" i="9"/>
  <c r="CF160" i="9"/>
  <c r="BO160" i="9"/>
  <c r="BJ160" i="9"/>
  <c r="BE160" i="9"/>
  <c r="AZ160" i="9"/>
  <c r="AU160" i="9"/>
  <c r="AP160" i="9"/>
  <c r="AK160" i="9"/>
  <c r="CF164" i="9"/>
  <c r="CG164" i="9" s="1"/>
  <c r="CU164" i="9" s="1"/>
  <c r="BO164" i="9"/>
  <c r="BJ164" i="9"/>
  <c r="BE164" i="9"/>
  <c r="AZ164" i="9"/>
  <c r="AU164" i="9"/>
  <c r="AP164" i="9"/>
  <c r="AK164" i="9"/>
  <c r="V164" i="9"/>
  <c r="CS164" i="9"/>
  <c r="CS160" i="9"/>
  <c r="CS159" i="9"/>
  <c r="CS163" i="9"/>
  <c r="CS162" i="9"/>
  <c r="CS161" i="9"/>
  <c r="I18" i="1"/>
  <c r="H136" i="4"/>
  <c r="I136" i="4" s="1"/>
  <c r="H354" i="7"/>
  <c r="I354" i="7" s="1"/>
  <c r="J863" i="6"/>
  <c r="J935" i="6"/>
  <c r="J330" i="8"/>
  <c r="E23" i="58"/>
  <c r="H355" i="7"/>
  <c r="I355" i="7" s="1"/>
  <c r="J522" i="8"/>
  <c r="J936" i="6"/>
  <c r="J1000" i="6"/>
  <c r="J934" i="6"/>
  <c r="CH164" i="9"/>
  <c r="C2012" i="6"/>
  <c r="C713" i="6" s="1"/>
  <c r="J1958" i="6"/>
  <c r="P61" i="27"/>
  <c r="O61" i="27"/>
  <c r="N61" i="27"/>
  <c r="M61" i="27"/>
  <c r="L61" i="27"/>
  <c r="K61" i="27"/>
  <c r="J61" i="27"/>
  <c r="H61" i="27"/>
  <c r="D61" i="27"/>
  <c r="B58" i="4"/>
  <c r="A58" i="4"/>
  <c r="B57" i="4"/>
  <c r="A57" i="4"/>
  <c r="B56" i="4"/>
  <c r="A56" i="4"/>
  <c r="C57" i="4"/>
  <c r="C56" i="4"/>
  <c r="A787" i="6"/>
  <c r="A94" i="6" s="1"/>
  <c r="D427" i="6"/>
  <c r="C427" i="6"/>
  <c r="B427" i="6"/>
  <c r="A427" i="6"/>
  <c r="B428" i="6"/>
  <c r="A428" i="6"/>
  <c r="D428" i="6"/>
  <c r="C428" i="6"/>
  <c r="B429" i="6"/>
  <c r="A429" i="6"/>
  <c r="D429" i="6"/>
  <c r="C429" i="6"/>
  <c r="D149" i="6"/>
  <c r="P655" i="4"/>
  <c r="O655" i="4"/>
  <c r="N655" i="4"/>
  <c r="M655" i="4"/>
  <c r="L655" i="4"/>
  <c r="K655" i="4"/>
  <c r="J655" i="4"/>
  <c r="AA60" i="14"/>
  <c r="Y60" i="14"/>
  <c r="AE61" i="9"/>
  <c r="D386" i="7"/>
  <c r="K39" i="48"/>
  <c r="C323" i="7"/>
  <c r="B323" i="7"/>
  <c r="A323" i="7"/>
  <c r="AA253" i="10"/>
  <c r="X253" i="10"/>
  <c r="U253" i="10"/>
  <c r="CF209" i="9"/>
  <c r="Z209" i="9"/>
  <c r="AA209" i="9" s="1"/>
  <c r="CS209" i="9"/>
  <c r="Q7" i="42"/>
  <c r="Q69" i="42" s="1"/>
  <c r="A33" i="60" s="1"/>
  <c r="B717" i="34"/>
  <c r="E71" i="1"/>
  <c r="E70" i="1"/>
  <c r="B288" i="3" s="1"/>
  <c r="B298" i="3" s="1"/>
  <c r="E69" i="1"/>
  <c r="B287" i="3" s="1"/>
  <c r="C297" i="3" s="1"/>
  <c r="G55" i="12"/>
  <c r="L25" i="37"/>
  <c r="AU86" i="37" s="1"/>
  <c r="AU106" i="37" s="1"/>
  <c r="C115" i="6"/>
  <c r="D735" i="34"/>
  <c r="C45" i="8"/>
  <c r="C697" i="6"/>
  <c r="D729" i="34"/>
  <c r="C386" i="7"/>
  <c r="A14" i="40"/>
  <c r="B354" i="42" s="1"/>
  <c r="D354" i="42" s="1"/>
  <c r="C120" i="4"/>
  <c r="D438" i="6"/>
  <c r="C438" i="6"/>
  <c r="B438" i="6"/>
  <c r="A438" i="6"/>
  <c r="D405" i="6"/>
  <c r="D404" i="6"/>
  <c r="C405" i="6"/>
  <c r="C404" i="6"/>
  <c r="B405" i="6"/>
  <c r="A405" i="6"/>
  <c r="B404" i="6"/>
  <c r="A404" i="6"/>
  <c r="D260" i="6"/>
  <c r="B260" i="6"/>
  <c r="A260" i="6"/>
  <c r="D259" i="6"/>
  <c r="A259" i="6"/>
  <c r="D94" i="6"/>
  <c r="C94" i="6"/>
  <c r="B94" i="6"/>
  <c r="A279" i="4"/>
  <c r="C104" i="26"/>
  <c r="C190" i="4"/>
  <c r="C195" i="4" s="1"/>
  <c r="C78" i="8"/>
  <c r="B25" i="16" s="1"/>
  <c r="B10" i="16" s="1"/>
  <c r="C141" i="8"/>
  <c r="B71" i="4"/>
  <c r="A71" i="4"/>
  <c r="N69" i="37"/>
  <c r="I6" i="1"/>
  <c r="J6" i="1" s="1"/>
  <c r="AF141" i="9"/>
  <c r="N8" i="37" s="1"/>
  <c r="B706" i="34"/>
  <c r="B705" i="34"/>
  <c r="C666" i="34"/>
  <c r="B666" i="34"/>
  <c r="B737" i="34"/>
  <c r="E736" i="34"/>
  <c r="D736" i="34"/>
  <c r="C736" i="34"/>
  <c r="B736" i="34"/>
  <c r="C735" i="34"/>
  <c r="B735" i="34"/>
  <c r="B729" i="34"/>
  <c r="B728" i="34"/>
  <c r="B726" i="34"/>
  <c r="C725" i="34"/>
  <c r="F751" i="34"/>
  <c r="E751" i="34"/>
  <c r="D751" i="34"/>
  <c r="C751" i="34"/>
  <c r="B751" i="34"/>
  <c r="B310" i="34"/>
  <c r="C98" i="26"/>
  <c r="K88" i="26"/>
  <c r="L88" i="26"/>
  <c r="J104" i="26"/>
  <c r="I104" i="26"/>
  <c r="H104" i="26"/>
  <c r="H106" i="26"/>
  <c r="J98" i="26"/>
  <c r="J100" i="26" s="1"/>
  <c r="I98" i="26"/>
  <c r="H98" i="26"/>
  <c r="H100" i="26"/>
  <c r="I106" i="26"/>
  <c r="I100" i="26"/>
  <c r="L81" i="26"/>
  <c r="K81" i="26"/>
  <c r="L103" i="26"/>
  <c r="L102" i="26"/>
  <c r="L93" i="26"/>
  <c r="L91" i="26"/>
  <c r="L87" i="26"/>
  <c r="L86" i="26"/>
  <c r="L84" i="26"/>
  <c r="K103" i="26"/>
  <c r="K93" i="26"/>
  <c r="K87" i="26"/>
  <c r="K86" i="26"/>
  <c r="K84" i="26"/>
  <c r="AD118" i="11"/>
  <c r="AA118" i="11"/>
  <c r="X118" i="11"/>
  <c r="U118" i="11"/>
  <c r="R118" i="11"/>
  <c r="O118" i="11"/>
  <c r="L118" i="11"/>
  <c r="K49" i="48"/>
  <c r="K48" i="48"/>
  <c r="K47" i="48"/>
  <c r="K46" i="48"/>
  <c r="K43" i="48"/>
  <c r="U11" i="9"/>
  <c r="B336" i="42"/>
  <c r="D336" i="42" s="1"/>
  <c r="V16" i="22"/>
  <c r="V6" i="22"/>
  <c r="V8" i="22"/>
  <c r="V11" i="22"/>
  <c r="V12" i="22"/>
  <c r="V9" i="22"/>
  <c r="V14" i="22"/>
  <c r="U16" i="21"/>
  <c r="U56" i="21"/>
  <c r="U9" i="21"/>
  <c r="U8" i="21"/>
  <c r="U64" i="21"/>
  <c r="U70" i="21"/>
  <c r="U68" i="21"/>
  <c r="L49" i="26"/>
  <c r="L52" i="26"/>
  <c r="C78" i="26"/>
  <c r="D78" i="26"/>
  <c r="E78" i="26"/>
  <c r="F78" i="26"/>
  <c r="G78" i="26"/>
  <c r="H78" i="26"/>
  <c r="I78" i="26"/>
  <c r="J78" i="26"/>
  <c r="B78" i="26"/>
  <c r="K20" i="26"/>
  <c r="K25" i="26" s="1"/>
  <c r="K5" i="26" s="1"/>
  <c r="K10" i="26" s="1"/>
  <c r="E23" i="26"/>
  <c r="E25" i="26"/>
  <c r="E27" i="26" s="1"/>
  <c r="U63" i="26"/>
  <c r="U66" i="26"/>
  <c r="T63" i="26"/>
  <c r="T66" i="26"/>
  <c r="S63" i="26"/>
  <c r="S66" i="26"/>
  <c r="R63" i="26"/>
  <c r="R66" i="26"/>
  <c r="Q63" i="26"/>
  <c r="Q66" i="26"/>
  <c r="P63" i="26"/>
  <c r="P66" i="26"/>
  <c r="O63" i="26"/>
  <c r="O66" i="26"/>
  <c r="N63" i="26"/>
  <c r="M63" i="26"/>
  <c r="M66" i="26"/>
  <c r="L63" i="26"/>
  <c r="K63" i="26"/>
  <c r="K66" i="26"/>
  <c r="I63" i="26"/>
  <c r="I66" i="26"/>
  <c r="H63" i="26"/>
  <c r="H66" i="26"/>
  <c r="G63" i="26"/>
  <c r="G66" i="26"/>
  <c r="F63" i="26"/>
  <c r="F66" i="26"/>
  <c r="E63" i="26"/>
  <c r="E66" i="26"/>
  <c r="D63" i="26"/>
  <c r="D66" i="26"/>
  <c r="C63" i="26"/>
  <c r="C66" i="26"/>
  <c r="B66" i="26"/>
  <c r="U56" i="26"/>
  <c r="U59" i="26"/>
  <c r="T56" i="26"/>
  <c r="T59" i="26"/>
  <c r="S56" i="26"/>
  <c r="S59" i="26"/>
  <c r="R56" i="26"/>
  <c r="R59" i="26"/>
  <c r="Q56" i="26"/>
  <c r="Q59" i="26"/>
  <c r="P56" i="26"/>
  <c r="P59" i="26"/>
  <c r="O56" i="26"/>
  <c r="O59" i="26"/>
  <c r="N56" i="26"/>
  <c r="N59" i="26" s="1"/>
  <c r="M56" i="26"/>
  <c r="M59" i="26"/>
  <c r="L56" i="26"/>
  <c r="L59" i="26"/>
  <c r="K56" i="26"/>
  <c r="K59" i="26"/>
  <c r="I56" i="26"/>
  <c r="I59" i="26"/>
  <c r="H56" i="26"/>
  <c r="H59" i="26"/>
  <c r="G56" i="26"/>
  <c r="G59" i="26"/>
  <c r="F56" i="26"/>
  <c r="F59" i="26"/>
  <c r="E56" i="26"/>
  <c r="E59" i="26"/>
  <c r="D56" i="26"/>
  <c r="D59" i="26"/>
  <c r="C56" i="26"/>
  <c r="C59" i="26"/>
  <c r="B59" i="26"/>
  <c r="U49" i="26"/>
  <c r="U52" i="26"/>
  <c r="T49" i="26"/>
  <c r="T52" i="26"/>
  <c r="S49" i="26"/>
  <c r="S52" i="26"/>
  <c r="R49" i="26"/>
  <c r="R52" i="26"/>
  <c r="Q49" i="26"/>
  <c r="Q52" i="26"/>
  <c r="P49" i="26"/>
  <c r="P52" i="26"/>
  <c r="O49" i="26"/>
  <c r="O52" i="26"/>
  <c r="N49" i="26"/>
  <c r="N52" i="26" s="1"/>
  <c r="M49" i="26"/>
  <c r="K49" i="26"/>
  <c r="K52" i="26"/>
  <c r="I49" i="26"/>
  <c r="I52" i="26"/>
  <c r="H49" i="26"/>
  <c r="H52" i="26"/>
  <c r="G49" i="26"/>
  <c r="G52" i="26"/>
  <c r="F49" i="26"/>
  <c r="F52" i="26"/>
  <c r="E49" i="26"/>
  <c r="E52" i="26"/>
  <c r="D49" i="26"/>
  <c r="D52" i="26"/>
  <c r="C49" i="26"/>
  <c r="C52" i="26"/>
  <c r="B52" i="26"/>
  <c r="J63" i="26"/>
  <c r="J56" i="26"/>
  <c r="J59" i="26"/>
  <c r="J49" i="26"/>
  <c r="J52" i="26"/>
  <c r="J25" i="26"/>
  <c r="J27" i="26" s="1"/>
  <c r="I25" i="26"/>
  <c r="I27" i="26" s="1"/>
  <c r="H25" i="26"/>
  <c r="H27" i="26" s="1"/>
  <c r="G25" i="26"/>
  <c r="G27" i="26" s="1"/>
  <c r="F25" i="26"/>
  <c r="F27" i="26" s="1"/>
  <c r="D25" i="26"/>
  <c r="D27" i="26" s="1"/>
  <c r="C25" i="26"/>
  <c r="C27" i="26" s="1"/>
  <c r="U45" i="26"/>
  <c r="T45" i="26"/>
  <c r="S45" i="26"/>
  <c r="R45" i="26"/>
  <c r="Q45" i="26"/>
  <c r="P45" i="26"/>
  <c r="O45" i="26"/>
  <c r="N45" i="26"/>
  <c r="M45" i="26"/>
  <c r="L45" i="26"/>
  <c r="K45" i="26"/>
  <c r="I45" i="26"/>
  <c r="H45" i="26"/>
  <c r="G45" i="26"/>
  <c r="F45" i="26"/>
  <c r="E45" i="26"/>
  <c r="D45" i="26"/>
  <c r="C45" i="26"/>
  <c r="B45" i="26"/>
  <c r="U39" i="26"/>
  <c r="T39" i="26"/>
  <c r="S39" i="26"/>
  <c r="R39" i="26"/>
  <c r="Q39" i="26"/>
  <c r="P39" i="26"/>
  <c r="O39" i="26"/>
  <c r="N39" i="26"/>
  <c r="M39" i="26"/>
  <c r="L39" i="26"/>
  <c r="K39" i="26"/>
  <c r="I39" i="26"/>
  <c r="H39" i="26"/>
  <c r="G39" i="26"/>
  <c r="F39" i="26"/>
  <c r="E39" i="26"/>
  <c r="D39" i="26"/>
  <c r="C39" i="26"/>
  <c r="B39" i="26"/>
  <c r="J45" i="26"/>
  <c r="J39" i="26"/>
  <c r="J29" i="26"/>
  <c r="B25" i="26"/>
  <c r="B27" i="26"/>
  <c r="L66" i="26"/>
  <c r="L69" i="26"/>
  <c r="V69" i="26"/>
  <c r="J30" i="26"/>
  <c r="J31" i="26"/>
  <c r="K29" i="26"/>
  <c r="K31" i="26"/>
  <c r="M52" i="26"/>
  <c r="C29" i="26"/>
  <c r="G29" i="26"/>
  <c r="F30" i="26"/>
  <c r="N24" i="26"/>
  <c r="O24" i="26" s="1"/>
  <c r="I30" i="26"/>
  <c r="L30" i="26"/>
  <c r="E30" i="26"/>
  <c r="H30" i="26"/>
  <c r="D30" i="26"/>
  <c r="C30" i="26"/>
  <c r="C31" i="26"/>
  <c r="F29" i="26"/>
  <c r="G30" i="26"/>
  <c r="H29" i="26"/>
  <c r="H31" i="26"/>
  <c r="D29" i="26"/>
  <c r="E29" i="26"/>
  <c r="I29" i="26"/>
  <c r="P69" i="26"/>
  <c r="T69" i="26"/>
  <c r="R69" i="26"/>
  <c r="J69" i="26"/>
  <c r="C69" i="26"/>
  <c r="E69" i="26"/>
  <c r="G69" i="26"/>
  <c r="I69" i="26"/>
  <c r="J66" i="26"/>
  <c r="K69" i="26"/>
  <c r="F69" i="26"/>
  <c r="S69" i="26"/>
  <c r="D69" i="26"/>
  <c r="H69" i="26"/>
  <c r="Q69" i="26"/>
  <c r="U69" i="26"/>
  <c r="D31" i="26"/>
  <c r="F31" i="26"/>
  <c r="G31" i="26"/>
  <c r="N30" i="26"/>
  <c r="E31" i="26"/>
  <c r="I31" i="26"/>
  <c r="D142" i="5"/>
  <c r="C142" i="5"/>
  <c r="A142" i="5"/>
  <c r="B142" i="5"/>
  <c r="A238" i="4"/>
  <c r="B235" i="4"/>
  <c r="A235" i="4"/>
  <c r="C235" i="4"/>
  <c r="B766" i="34"/>
  <c r="C766" i="34"/>
  <c r="D766" i="34"/>
  <c r="B768" i="34"/>
  <c r="C768" i="34"/>
  <c r="D768" i="34"/>
  <c r="E768" i="34"/>
  <c r="B769" i="34"/>
  <c r="B770" i="34"/>
  <c r="C770" i="34"/>
  <c r="D770" i="34"/>
  <c r="E770" i="34"/>
  <c r="B772" i="34"/>
  <c r="D772" i="34"/>
  <c r="B773" i="34"/>
  <c r="C773" i="34"/>
  <c r="E773" i="34"/>
  <c r="C774" i="34"/>
  <c r="D774" i="34"/>
  <c r="B775" i="34"/>
  <c r="C775" i="34"/>
  <c r="D775" i="34"/>
  <c r="E775" i="34"/>
  <c r="G775" i="34"/>
  <c r="B776" i="34"/>
  <c r="C776" i="34"/>
  <c r="D776" i="34"/>
  <c r="E776" i="34"/>
  <c r="B777" i="34"/>
  <c r="C777" i="34"/>
  <c r="E777" i="34"/>
  <c r="B778" i="34"/>
  <c r="C778" i="34"/>
  <c r="D778" i="34"/>
  <c r="E778" i="34"/>
  <c r="A781" i="34"/>
  <c r="B782" i="34"/>
  <c r="C782" i="34"/>
  <c r="M782" i="34"/>
  <c r="N782" i="34"/>
  <c r="E705" i="34"/>
  <c r="E706" i="34"/>
  <c r="E707" i="34" s="1"/>
  <c r="E212" i="34" s="1"/>
  <c r="O30" i="26"/>
  <c r="P30" i="26"/>
  <c r="L31" i="26"/>
  <c r="C49" i="14"/>
  <c r="C16" i="14"/>
  <c r="N29" i="26"/>
  <c r="Q30" i="26"/>
  <c r="R30" i="26"/>
  <c r="A158" i="8"/>
  <c r="A157" i="8"/>
  <c r="A156" i="8"/>
  <c r="A155" i="8"/>
  <c r="P531" i="8"/>
  <c r="O531" i="8"/>
  <c r="N531" i="8"/>
  <c r="M531" i="8"/>
  <c r="L531" i="8"/>
  <c r="K531" i="8"/>
  <c r="J531" i="8"/>
  <c r="H531" i="8"/>
  <c r="I531" i="8" s="1"/>
  <c r="H529" i="8"/>
  <c r="I529" i="8" s="1"/>
  <c r="D531" i="8"/>
  <c r="D529" i="8"/>
  <c r="C531" i="8"/>
  <c r="C530" i="8"/>
  <c r="C529" i="8"/>
  <c r="B531" i="8"/>
  <c r="A531" i="8"/>
  <c r="B530" i="8"/>
  <c r="A530" i="8"/>
  <c r="B529" i="8"/>
  <c r="A529" i="8"/>
  <c r="C111" i="8"/>
  <c r="C109" i="8"/>
  <c r="B111" i="8"/>
  <c r="A111" i="8"/>
  <c r="B110" i="8"/>
  <c r="AU9" i="42" s="1"/>
  <c r="A110" i="8"/>
  <c r="B108" i="8"/>
  <c r="AU11" i="42" s="1"/>
  <c r="A108" i="8"/>
  <c r="B106" i="8"/>
  <c r="A106" i="8"/>
  <c r="B46" i="8"/>
  <c r="AF11" i="42" s="1"/>
  <c r="A46" i="8"/>
  <c r="B43" i="8"/>
  <c r="AF7" i="42" s="1"/>
  <c r="A43" i="8"/>
  <c r="B47" i="8"/>
  <c r="A47" i="8"/>
  <c r="N31" i="26"/>
  <c r="O29" i="26"/>
  <c r="S30" i="26"/>
  <c r="T30" i="26"/>
  <c r="U30" i="26"/>
  <c r="O31" i="26"/>
  <c r="P29" i="26"/>
  <c r="P91" i="8"/>
  <c r="N28" i="3" s="1"/>
  <c r="O91" i="8"/>
  <c r="M28" i="3" s="1"/>
  <c r="N91" i="8"/>
  <c r="L28" i="3" s="1"/>
  <c r="M91" i="8"/>
  <c r="K28" i="3" s="1"/>
  <c r="L91" i="8"/>
  <c r="J28" i="3" s="1"/>
  <c r="K91" i="8"/>
  <c r="I28" i="3" s="1"/>
  <c r="J91" i="8"/>
  <c r="H28" i="3" s="1"/>
  <c r="H91" i="8"/>
  <c r="G28" i="3" s="1"/>
  <c r="D91" i="8"/>
  <c r="C28" i="3" s="1"/>
  <c r="C91" i="8"/>
  <c r="B28" i="3" s="1"/>
  <c r="A95" i="8"/>
  <c r="A94" i="8"/>
  <c r="A92" i="8"/>
  <c r="B91" i="8"/>
  <c r="A91" i="8"/>
  <c r="N41" i="16"/>
  <c r="AQ50" i="42" s="1"/>
  <c r="N492" i="34" s="1"/>
  <c r="N550" i="34" s="1"/>
  <c r="M41" i="16"/>
  <c r="M29" i="3" s="1"/>
  <c r="L41" i="16"/>
  <c r="AO50" i="42" s="1"/>
  <c r="L492" i="34" s="1"/>
  <c r="L550" i="34" s="1"/>
  <c r="K41" i="16"/>
  <c r="K29" i="3" s="1"/>
  <c r="J41" i="16"/>
  <c r="AM50" i="42" s="1"/>
  <c r="J492" i="34" s="1"/>
  <c r="J550" i="34" s="1"/>
  <c r="I41" i="16"/>
  <c r="AL50" i="42" s="1"/>
  <c r="I492" i="34" s="1"/>
  <c r="I550" i="34" s="1"/>
  <c r="H41" i="16"/>
  <c r="G41" i="16"/>
  <c r="G29" i="3" s="1"/>
  <c r="C41" i="16"/>
  <c r="B41" i="16"/>
  <c r="AS50" i="42" s="1"/>
  <c r="A41" i="16"/>
  <c r="AN50" i="42"/>
  <c r="C165" i="3"/>
  <c r="C166" i="3" s="1"/>
  <c r="I29" i="3"/>
  <c r="N165" i="3"/>
  <c r="N166" i="3" s="1"/>
  <c r="AJ50" i="42"/>
  <c r="M165" i="3"/>
  <c r="M166" i="3" s="1"/>
  <c r="V30" i="26"/>
  <c r="Q29" i="26"/>
  <c r="P31" i="26"/>
  <c r="B118" i="8"/>
  <c r="I52" i="1"/>
  <c r="J362" i="8" s="1"/>
  <c r="K362" i="8" s="1"/>
  <c r="L362" i="8" s="1"/>
  <c r="M362" i="8" s="1"/>
  <c r="N362" i="8" s="1"/>
  <c r="O362" i="8" s="1"/>
  <c r="G52" i="1"/>
  <c r="F52" i="1"/>
  <c r="Q31" i="26"/>
  <c r="R29" i="26"/>
  <c r="F65" i="1"/>
  <c r="F111" i="1"/>
  <c r="D69" i="8"/>
  <c r="C69" i="8"/>
  <c r="R31" i="26"/>
  <c r="S29" i="26"/>
  <c r="BT68" i="21"/>
  <c r="CG68" i="21"/>
  <c r="BT70" i="21"/>
  <c r="BU70" i="21" s="1"/>
  <c r="CG70" i="21"/>
  <c r="S31" i="26"/>
  <c r="T29" i="26"/>
  <c r="U29" i="26"/>
  <c r="U31" i="26"/>
  <c r="BU68" i="21"/>
  <c r="BV68" i="21" s="1"/>
  <c r="BW68" i="21" s="1"/>
  <c r="V29" i="26"/>
  <c r="V31" i="26"/>
  <c r="T31" i="26"/>
  <c r="BX68" i="21"/>
  <c r="BY68" i="21" s="1"/>
  <c r="BZ68" i="21" s="1"/>
  <c r="CA68" i="21" s="1"/>
  <c r="CO68" i="21" s="1"/>
  <c r="G76" i="13"/>
  <c r="H76" i="13" s="1"/>
  <c r="AF83" i="9"/>
  <c r="AF93" i="9"/>
  <c r="AF94" i="9"/>
  <c r="N2" i="3"/>
  <c r="A86" i="17"/>
  <c r="B86" i="17"/>
  <c r="C86" i="17"/>
  <c r="G86" i="17"/>
  <c r="A87" i="17"/>
  <c r="B87" i="17"/>
  <c r="C87" i="17"/>
  <c r="G87" i="17"/>
  <c r="A60" i="17"/>
  <c r="G60" i="17"/>
  <c r="H60" i="17"/>
  <c r="I60" i="17"/>
  <c r="J60" i="17"/>
  <c r="K60" i="17"/>
  <c r="L60" i="17"/>
  <c r="M60" i="17"/>
  <c r="N60" i="17"/>
  <c r="P1008" i="7"/>
  <c r="P952" i="7"/>
  <c r="P948" i="7"/>
  <c r="P367" i="7" s="1"/>
  <c r="P817" i="7"/>
  <c r="P303" i="7" s="1"/>
  <c r="AD44" i="10"/>
  <c r="P539" i="7" s="1"/>
  <c r="P116" i="7" s="1"/>
  <c r="AA44" i="10"/>
  <c r="AB44" i="10" s="1"/>
  <c r="AA26" i="11" s="1"/>
  <c r="X44" i="10"/>
  <c r="N539" i="7" s="1"/>
  <c r="N116" i="7" s="1"/>
  <c r="U44" i="10"/>
  <c r="M539" i="7" s="1"/>
  <c r="M116" i="7" s="1"/>
  <c r="P2046" i="6"/>
  <c r="P2042" i="6"/>
  <c r="P1471" i="6"/>
  <c r="O1471" i="6"/>
  <c r="N1471" i="6"/>
  <c r="M1471" i="6"/>
  <c r="L1471" i="6"/>
  <c r="K1471" i="6"/>
  <c r="J1471" i="6"/>
  <c r="H1471" i="6"/>
  <c r="P1470" i="6"/>
  <c r="O1470" i="6"/>
  <c r="N1470" i="6"/>
  <c r="M1470" i="6"/>
  <c r="L1470" i="6"/>
  <c r="K1470" i="6"/>
  <c r="J1470" i="6"/>
  <c r="H1470" i="6"/>
  <c r="I1470" i="6" s="1"/>
  <c r="P1381" i="6"/>
  <c r="P463" i="6" s="1"/>
  <c r="P1380" i="6"/>
  <c r="P1215" i="6"/>
  <c r="P1150" i="6"/>
  <c r="P1079" i="6"/>
  <c r="P286" i="6" s="1"/>
  <c r="P1015" i="6"/>
  <c r="P230" i="6" s="1"/>
  <c r="P946" i="6"/>
  <c r="P175" i="6" s="1"/>
  <c r="P455" i="5"/>
  <c r="P203" i="5" s="1"/>
  <c r="P396" i="5"/>
  <c r="P161" i="5" s="1"/>
  <c r="P398" i="5"/>
  <c r="P163" i="5" s="1"/>
  <c r="P775" i="4"/>
  <c r="P256" i="4" s="1"/>
  <c r="P712" i="4"/>
  <c r="P205" i="4" s="1"/>
  <c r="P588" i="4"/>
  <c r="P147" i="4" s="1"/>
  <c r="P574" i="4"/>
  <c r="P133" i="4" s="1"/>
  <c r="P573" i="4"/>
  <c r="P132" i="4" s="1"/>
  <c r="BF29" i="22"/>
  <c r="BB29" i="22"/>
  <c r="AX29" i="22"/>
  <c r="AT29" i="22"/>
  <c r="AP29" i="22"/>
  <c r="AL29" i="22"/>
  <c r="AH29" i="22"/>
  <c r="AD29" i="22"/>
  <c r="V29" i="22"/>
  <c r="BF28" i="22"/>
  <c r="BB28" i="22"/>
  <c r="AX28" i="22"/>
  <c r="AT28" i="22"/>
  <c r="AP28" i="22"/>
  <c r="AL28" i="22"/>
  <c r="AH28" i="22"/>
  <c r="AD28" i="22"/>
  <c r="V28" i="22"/>
  <c r="BF27" i="22"/>
  <c r="BB27" i="22"/>
  <c r="AX27" i="22"/>
  <c r="AT27" i="22"/>
  <c r="AP27" i="22"/>
  <c r="AL27" i="22"/>
  <c r="AH27" i="22"/>
  <c r="AD27" i="22"/>
  <c r="V27" i="22"/>
  <c r="BF26" i="22"/>
  <c r="BB26" i="22"/>
  <c r="AX26" i="22"/>
  <c r="AT26" i="22"/>
  <c r="AP26" i="22"/>
  <c r="AL26" i="22"/>
  <c r="AH26" i="22"/>
  <c r="AD26" i="22"/>
  <c r="V26" i="22"/>
  <c r="BF112" i="22"/>
  <c r="BF77" i="22"/>
  <c r="BF70" i="22"/>
  <c r="BF82" i="22"/>
  <c r="BF72" i="22"/>
  <c r="BF78" i="22"/>
  <c r="BF74" i="22"/>
  <c r="BF71" i="22"/>
  <c r="BF84" i="22"/>
  <c r="BF83" i="22"/>
  <c r="BF69" i="22"/>
  <c r="BF14" i="22"/>
  <c r="BF9" i="22"/>
  <c r="BF12" i="22"/>
  <c r="BF7" i="22"/>
  <c r="BF11" i="22"/>
  <c r="BF8" i="22"/>
  <c r="BF6" i="22"/>
  <c r="BF16" i="22"/>
  <c r="BF119" i="22"/>
  <c r="BF59" i="22"/>
  <c r="BF58" i="22"/>
  <c r="BF51" i="22"/>
  <c r="BF36" i="22"/>
  <c r="BC91" i="22"/>
  <c r="O186" i="22"/>
  <c r="O175" i="22"/>
  <c r="O162" i="22"/>
  <c r="Y8" i="21"/>
  <c r="AC23" i="21"/>
  <c r="AC8" i="21"/>
  <c r="AG23" i="21"/>
  <c r="AG8" i="21"/>
  <c r="AK23" i="21"/>
  <c r="AK8" i="21"/>
  <c r="AO23" i="21"/>
  <c r="AO8" i="21"/>
  <c r="AS23" i="21"/>
  <c r="AS8" i="21"/>
  <c r="AW23" i="21"/>
  <c r="AW8" i="21"/>
  <c r="BA23" i="21"/>
  <c r="BA8" i="21"/>
  <c r="BE8" i="21"/>
  <c r="BE23" i="21"/>
  <c r="BC48" i="21"/>
  <c r="BE48" i="21" s="1"/>
  <c r="BC40" i="21"/>
  <c r="BE40" i="21" s="1"/>
  <c r="BE41" i="21"/>
  <c r="BC51" i="21"/>
  <c r="BE51" i="21" s="1"/>
  <c r="BC50" i="21"/>
  <c r="BE50" i="21" s="1"/>
  <c r="BC46" i="21"/>
  <c r="BE46" i="21" s="1"/>
  <c r="BE49" i="21"/>
  <c r="BC42" i="21"/>
  <c r="BE42" i="21" s="1"/>
  <c r="BC45" i="21"/>
  <c r="BE45" i="21" s="1"/>
  <c r="BC29" i="21"/>
  <c r="BE29" i="21" s="1"/>
  <c r="BC28" i="21"/>
  <c r="BE28" i="21" s="1"/>
  <c r="BC37" i="21"/>
  <c r="BE37" i="21" s="1"/>
  <c r="BC36" i="21"/>
  <c r="BE36" i="21" s="1"/>
  <c r="BC35" i="21"/>
  <c r="BE35" i="21" s="1"/>
  <c r="BC34" i="21"/>
  <c r="BE34" i="21" s="1"/>
  <c r="BC33" i="21"/>
  <c r="BE33" i="21" s="1"/>
  <c r="BC16" i="21"/>
  <c r="BE16" i="21" s="1"/>
  <c r="BC15" i="21"/>
  <c r="BE15" i="21" s="1"/>
  <c r="BC14" i="21"/>
  <c r="BN217" i="9"/>
  <c r="BO217" i="9" s="1"/>
  <c r="BO169" i="9"/>
  <c r="BO132" i="9"/>
  <c r="BO133" i="9"/>
  <c r="BO134" i="9"/>
  <c r="BO137" i="9"/>
  <c r="BO135" i="9"/>
  <c r="BO138" i="9"/>
  <c r="BN2" i="9"/>
  <c r="BN87" i="9" s="1"/>
  <c r="BN173" i="9" s="1"/>
  <c r="BO70" i="9"/>
  <c r="BO75" i="9" s="1"/>
  <c r="BN59" i="9"/>
  <c r="BO59" i="9" s="1"/>
  <c r="BN60" i="9"/>
  <c r="BO60" i="9" s="1"/>
  <c r="BO61" i="9"/>
  <c r="BN58" i="9"/>
  <c r="BO58" i="9" s="1"/>
  <c r="BN40" i="9"/>
  <c r="BO40" i="9" s="1"/>
  <c r="BN42" i="9"/>
  <c r="BO42" i="9" s="1"/>
  <c r="BN41" i="9"/>
  <c r="BO41" i="9" s="1"/>
  <c r="DB61" i="9"/>
  <c r="BN75" i="9"/>
  <c r="BM75" i="9"/>
  <c r="BL75" i="9"/>
  <c r="BK75" i="9"/>
  <c r="BL66" i="9"/>
  <c r="BM25" i="9"/>
  <c r="BL25" i="9"/>
  <c r="BK25" i="9"/>
  <c r="N75" i="9"/>
  <c r="AC2" i="11"/>
  <c r="AC84" i="11" s="1"/>
  <c r="Z2" i="11"/>
  <c r="Z84" i="11" s="1"/>
  <c r="AC2" i="10"/>
  <c r="AC121" i="10" s="1"/>
  <c r="F1139" i="7"/>
  <c r="A669" i="6"/>
  <c r="B653" i="6"/>
  <c r="A653" i="6"/>
  <c r="C653" i="6"/>
  <c r="BE14" i="21"/>
  <c r="AD257" i="10"/>
  <c r="P2044" i="6" s="1"/>
  <c r="P742" i="6" s="1"/>
  <c r="B89" i="17"/>
  <c r="B34" i="17" s="1"/>
  <c r="BN25" i="9"/>
  <c r="A1029" i="6"/>
  <c r="B764" i="34" s="1"/>
  <c r="F380" i="4"/>
  <c r="P380" i="4"/>
  <c r="O380" i="4"/>
  <c r="N380" i="4"/>
  <c r="M380" i="4"/>
  <c r="L380" i="4"/>
  <c r="K380" i="4"/>
  <c r="J380" i="4"/>
  <c r="H380" i="4"/>
  <c r="C380" i="4"/>
  <c r="B380" i="4"/>
  <c r="A380" i="4"/>
  <c r="F2" i="45"/>
  <c r="E2" i="45"/>
  <c r="P429" i="45"/>
  <c r="P428" i="45"/>
  <c r="P427" i="45"/>
  <c r="P430" i="45" s="1"/>
  <c r="P417" i="45"/>
  <c r="P416" i="45"/>
  <c r="P409" i="45"/>
  <c r="P403" i="45"/>
  <c r="P302" i="45"/>
  <c r="P301" i="45"/>
  <c r="P300" i="45"/>
  <c r="P299" i="45"/>
  <c r="P285" i="45"/>
  <c r="P284" i="45"/>
  <c r="P275" i="45"/>
  <c r="P267" i="45"/>
  <c r="P168" i="45"/>
  <c r="P157" i="45"/>
  <c r="P153" i="45"/>
  <c r="P146" i="45"/>
  <c r="P42" i="45"/>
  <c r="P41" i="45"/>
  <c r="P25" i="45"/>
  <c r="P24" i="45"/>
  <c r="P13" i="45"/>
  <c r="P3" i="45"/>
  <c r="BF42" i="42"/>
  <c r="BF33" i="42"/>
  <c r="U10" i="37"/>
  <c r="P3" i="27"/>
  <c r="O48" i="20"/>
  <c r="O37" i="20"/>
  <c r="R37" i="20" s="1"/>
  <c r="O36" i="20"/>
  <c r="O35" i="20"/>
  <c r="R35" i="20" s="1"/>
  <c r="O34" i="20"/>
  <c r="R34" i="20" s="1"/>
  <c r="B47" i="19"/>
  <c r="C47" i="19"/>
  <c r="D48" i="19"/>
  <c r="D49" i="19"/>
  <c r="D54" i="19"/>
  <c r="D59" i="19"/>
  <c r="D64" i="19"/>
  <c r="D69" i="19"/>
  <c r="D74" i="19"/>
  <c r="D79" i="19"/>
  <c r="D84" i="19"/>
  <c r="D89" i="19"/>
  <c r="D94" i="19"/>
  <c r="D99" i="19"/>
  <c r="D50" i="19"/>
  <c r="C52" i="19"/>
  <c r="D53" i="19"/>
  <c r="D55" i="19"/>
  <c r="D58" i="19"/>
  <c r="D60" i="19"/>
  <c r="D63" i="19"/>
  <c r="D68" i="19"/>
  <c r="D73" i="19"/>
  <c r="D65" i="19"/>
  <c r="D70" i="19"/>
  <c r="D75" i="19"/>
  <c r="D80" i="19"/>
  <c r="D85" i="19"/>
  <c r="D90" i="19"/>
  <c r="D95" i="19"/>
  <c r="D100" i="19"/>
  <c r="D78" i="19"/>
  <c r="D83" i="19"/>
  <c r="D88" i="19"/>
  <c r="D93" i="19"/>
  <c r="D98" i="19"/>
  <c r="T98" i="19"/>
  <c r="T100" i="19"/>
  <c r="T99" i="19"/>
  <c r="N79" i="17"/>
  <c r="N26" i="17"/>
  <c r="N11" i="17" s="1"/>
  <c r="N295" i="15" s="1"/>
  <c r="N317" i="15" s="1"/>
  <c r="N64" i="16"/>
  <c r="N37" i="16"/>
  <c r="N122" i="16" s="1"/>
  <c r="M165" i="40"/>
  <c r="M143" i="40"/>
  <c r="N92" i="12"/>
  <c r="N55" i="12"/>
  <c r="N56" i="12" s="1"/>
  <c r="N52" i="12"/>
  <c r="N47" i="12"/>
  <c r="AD133" i="11"/>
  <c r="AD129" i="11"/>
  <c r="AD117" i="11"/>
  <c r="AD113" i="11"/>
  <c r="AD112" i="11"/>
  <c r="AD104" i="11"/>
  <c r="AD102" i="11"/>
  <c r="AE84" i="11"/>
  <c r="AD84" i="11"/>
  <c r="AD77" i="11"/>
  <c r="AD40" i="11"/>
  <c r="AD16" i="11"/>
  <c r="AD11" i="11"/>
  <c r="AD10" i="11"/>
  <c r="AD9" i="11"/>
  <c r="AD8" i="11"/>
  <c r="AD7" i="11"/>
  <c r="AE150" i="10"/>
  <c r="AD150" i="10"/>
  <c r="AC150" i="10"/>
  <c r="AE115" i="10"/>
  <c r="AC89" i="10"/>
  <c r="AE89" i="10" s="1"/>
  <c r="AD34" i="11"/>
  <c r="P1073" i="6"/>
  <c r="P948" i="6"/>
  <c r="P743" i="6"/>
  <c r="P687" i="6"/>
  <c r="P615" i="6"/>
  <c r="P614" i="6"/>
  <c r="P611" i="6"/>
  <c r="P560" i="6"/>
  <c r="P559" i="6"/>
  <c r="P558" i="6"/>
  <c r="P557" i="6"/>
  <c r="P556" i="6"/>
  <c r="P520" i="6"/>
  <c r="P517" i="6"/>
  <c r="P500" i="6"/>
  <c r="P460" i="6"/>
  <c r="P392" i="6"/>
  <c r="P391" i="6"/>
  <c r="P390" i="6"/>
  <c r="P389" i="6"/>
  <c r="P388" i="6"/>
  <c r="P352" i="6"/>
  <c r="P309" i="6"/>
  <c r="P271" i="6"/>
  <c r="P278" i="6" s="1"/>
  <c r="P231" i="6"/>
  <c r="P228" i="6"/>
  <c r="P174" i="6"/>
  <c r="P132" i="6"/>
  <c r="P7" i="6" s="1"/>
  <c r="P117" i="6"/>
  <c r="P114" i="6"/>
  <c r="P79" i="6"/>
  <c r="P3" i="6"/>
  <c r="P360" i="6" s="1"/>
  <c r="P160" i="7"/>
  <c r="P394" i="7"/>
  <c r="P350" i="7"/>
  <c r="P327" i="7"/>
  <c r="P305" i="7"/>
  <c r="P301" i="7"/>
  <c r="P248" i="7"/>
  <c r="P247" i="7"/>
  <c r="P245" i="7"/>
  <c r="P210" i="7"/>
  <c r="P209" i="7"/>
  <c r="P208" i="7"/>
  <c r="P207" i="7"/>
  <c r="P206" i="7"/>
  <c r="P163" i="7"/>
  <c r="P162" i="7"/>
  <c r="P161" i="7"/>
  <c r="P159" i="7"/>
  <c r="P118" i="7"/>
  <c r="P117" i="7"/>
  <c r="P114" i="7"/>
  <c r="P81" i="7"/>
  <c r="P3" i="7"/>
  <c r="P666" i="7" s="1"/>
  <c r="P566" i="8"/>
  <c r="P143" i="8"/>
  <c r="P150" i="8" s="1"/>
  <c r="P75" i="8"/>
  <c r="N169" i="3" s="1"/>
  <c r="N170" i="3" s="1"/>
  <c r="P205" i="5"/>
  <c r="P207" i="5"/>
  <c r="P206" i="5"/>
  <c r="P204" i="5"/>
  <c r="P162" i="5"/>
  <c r="P160" i="5"/>
  <c r="P159" i="5"/>
  <c r="P112" i="5"/>
  <c r="P111" i="5"/>
  <c r="P110" i="5"/>
  <c r="P109" i="5"/>
  <c r="P108" i="5"/>
  <c r="P77" i="5"/>
  <c r="P76" i="5"/>
  <c r="P75" i="5"/>
  <c r="P74" i="5"/>
  <c r="P73" i="5"/>
  <c r="P48" i="5"/>
  <c r="M100" i="13" s="1"/>
  <c r="P3" i="5"/>
  <c r="P404" i="5" s="1"/>
  <c r="N572" i="34"/>
  <c r="N569" i="34"/>
  <c r="N568" i="34"/>
  <c r="N555" i="34"/>
  <c r="N539" i="34"/>
  <c r="N538" i="34"/>
  <c r="N392" i="34"/>
  <c r="N509" i="34" s="1"/>
  <c r="N391" i="34"/>
  <c r="N396" i="34" s="1"/>
  <c r="N379" i="34"/>
  <c r="N497" i="34" s="1"/>
  <c r="N371" i="34"/>
  <c r="N366" i="34"/>
  <c r="N485" i="34" s="1"/>
  <c r="N365" i="34"/>
  <c r="N370" i="34" s="1"/>
  <c r="N353" i="34"/>
  <c r="N523" i="34" s="1"/>
  <c r="N107" i="34"/>
  <c r="N43" i="34"/>
  <c r="N167" i="34" s="1"/>
  <c r="N224" i="34" s="1"/>
  <c r="N402" i="34" s="1"/>
  <c r="N304" i="15"/>
  <c r="N255" i="15"/>
  <c r="O2" i="1"/>
  <c r="P897" i="4"/>
  <c r="P877" i="4"/>
  <c r="P859" i="4"/>
  <c r="P847" i="4"/>
  <c r="P427" i="4"/>
  <c r="P317" i="4"/>
  <c r="P310" i="4"/>
  <c r="P309" i="4"/>
  <c r="P308" i="4"/>
  <c r="P307" i="4"/>
  <c r="P306" i="4"/>
  <c r="P255" i="4"/>
  <c r="P254" i="4"/>
  <c r="P253" i="4"/>
  <c r="P204" i="4"/>
  <c r="P201" i="4"/>
  <c r="P187" i="4"/>
  <c r="P93" i="4"/>
  <c r="P89" i="4"/>
  <c r="P51" i="4"/>
  <c r="P100" i="4" s="1"/>
  <c r="P168" i="4" s="1"/>
  <c r="N267" i="3"/>
  <c r="AQ42" i="42"/>
  <c r="N264" i="15"/>
  <c r="P304" i="45"/>
  <c r="N17" i="17"/>
  <c r="N300" i="15" s="1"/>
  <c r="N17" i="16"/>
  <c r="N251" i="15"/>
  <c r="N260" i="15"/>
  <c r="N205" i="3"/>
  <c r="N397" i="34"/>
  <c r="N473" i="34"/>
  <c r="N484" i="34"/>
  <c r="N384" i="34"/>
  <c r="N508" i="34"/>
  <c r="O115" i="48"/>
  <c r="D6" i="48"/>
  <c r="E6" i="48" s="1"/>
  <c r="F6" i="48" s="1"/>
  <c r="J6" i="48"/>
  <c r="K6" i="48" s="1"/>
  <c r="L6" i="48" s="1"/>
  <c r="M6" i="48" s="1"/>
  <c r="E46" i="48"/>
  <c r="L113" i="48" s="1"/>
  <c r="E48" i="48"/>
  <c r="E44" i="48"/>
  <c r="L111" i="48" s="1"/>
  <c r="E47" i="48"/>
  <c r="L114" i="48" s="1"/>
  <c r="E43" i="48"/>
  <c r="L110" i="48" s="1"/>
  <c r="M115" i="48"/>
  <c r="N115" i="48"/>
  <c r="K50" i="48"/>
  <c r="D34" i="48" s="1"/>
  <c r="O167" i="48" s="1"/>
  <c r="C49" i="48"/>
  <c r="D49" i="48"/>
  <c r="F49" i="48"/>
  <c r="E42" i="48"/>
  <c r="L85" i="48" s="1"/>
  <c r="R4" i="42"/>
  <c r="R42" i="42"/>
  <c r="C162" i="6"/>
  <c r="C168" i="6" s="1"/>
  <c r="B162" i="6"/>
  <c r="B168" i="6" s="1"/>
  <c r="A162" i="6"/>
  <c r="A168" i="6" s="1"/>
  <c r="C870" i="6"/>
  <c r="C869" i="6"/>
  <c r="B870" i="6"/>
  <c r="A870" i="6"/>
  <c r="A869" i="6"/>
  <c r="C450" i="6"/>
  <c r="C455" i="6" s="1"/>
  <c r="C449" i="6"/>
  <c r="B450" i="6"/>
  <c r="B455" i="6" s="1"/>
  <c r="A450" i="6"/>
  <c r="A455" i="6" s="1"/>
  <c r="B449" i="6"/>
  <c r="A449" i="6"/>
  <c r="C1374" i="6"/>
  <c r="C1373" i="6"/>
  <c r="B1374" i="6"/>
  <c r="A1374" i="6"/>
  <c r="B1373" i="6"/>
  <c r="A1373" i="6"/>
  <c r="D870" i="6"/>
  <c r="D450" i="6"/>
  <c r="D449" i="6"/>
  <c r="D1374" i="6"/>
  <c r="D1373" i="6"/>
  <c r="A431" i="7"/>
  <c r="D418" i="7"/>
  <c r="D417" i="7"/>
  <c r="C418" i="7"/>
  <c r="C424" i="7" s="1"/>
  <c r="C42" i="7" s="1"/>
  <c r="C417" i="7"/>
  <c r="C423" i="7" s="1"/>
  <c r="B418" i="7"/>
  <c r="B424" i="7" s="1"/>
  <c r="B42" i="7" s="1"/>
  <c r="B417" i="7"/>
  <c r="B423" i="7" s="1"/>
  <c r="A418" i="7"/>
  <c r="A424" i="7" s="1"/>
  <c r="A42" i="7" s="1"/>
  <c r="D1111" i="7"/>
  <c r="D1110" i="7"/>
  <c r="C1111" i="7"/>
  <c r="C1155" i="7" s="1"/>
  <c r="C1110" i="7"/>
  <c r="B1111" i="7"/>
  <c r="B1155" i="7" s="1"/>
  <c r="A1111" i="7"/>
  <c r="A1155" i="7" s="1"/>
  <c r="B1110" i="7"/>
  <c r="A1110" i="7"/>
  <c r="C503" i="6"/>
  <c r="B503" i="6"/>
  <c r="A503" i="6"/>
  <c r="B1618" i="6"/>
  <c r="D216" i="6"/>
  <c r="C216" i="6"/>
  <c r="C222" i="6" s="1"/>
  <c r="B216" i="6"/>
  <c r="B222" i="6" s="1"/>
  <c r="A216" i="6"/>
  <c r="A222" i="6" s="1"/>
  <c r="D1008" i="6"/>
  <c r="C1008" i="6"/>
  <c r="B1008" i="6"/>
  <c r="A1008" i="6"/>
  <c r="A272" i="6"/>
  <c r="A279" i="6" s="1"/>
  <c r="D503" i="6"/>
  <c r="D272" i="6"/>
  <c r="D279" i="6" s="1"/>
  <c r="C272" i="6"/>
  <c r="C279" i="6" s="1"/>
  <c r="B272" i="6"/>
  <c r="O1073" i="6"/>
  <c r="N1073" i="6"/>
  <c r="M1073" i="6"/>
  <c r="L1073" i="6"/>
  <c r="K1073" i="6"/>
  <c r="J1073" i="6"/>
  <c r="H1073" i="6"/>
  <c r="I1073" i="6" s="1"/>
  <c r="D1073" i="6"/>
  <c r="C1073" i="6"/>
  <c r="B1073" i="6"/>
  <c r="A1073" i="6"/>
  <c r="B1072" i="6"/>
  <c r="D1074" i="6"/>
  <c r="C1074" i="6"/>
  <c r="A1074" i="6"/>
  <c r="B1074" i="6"/>
  <c r="A726" i="6"/>
  <c r="A742" i="6"/>
  <c r="A743" i="6"/>
  <c r="A744" i="6"/>
  <c r="A741" i="6"/>
  <c r="A740" i="6"/>
  <c r="A729" i="6"/>
  <c r="A725" i="6"/>
  <c r="A724" i="6"/>
  <c r="A723" i="6"/>
  <c r="A722" i="6"/>
  <c r="A721" i="6"/>
  <c r="A720" i="6"/>
  <c r="A719" i="6"/>
  <c r="A716" i="6"/>
  <c r="A713" i="6"/>
  <c r="A712" i="6"/>
  <c r="A711" i="6"/>
  <c r="A710" i="6"/>
  <c r="A709" i="6"/>
  <c r="A702" i="6"/>
  <c r="A701" i="6"/>
  <c r="A700" i="6"/>
  <c r="A699" i="6"/>
  <c r="A698" i="6"/>
  <c r="A697" i="6"/>
  <c r="D702" i="6"/>
  <c r="C702" i="6"/>
  <c r="B702" i="6"/>
  <c r="B2010" i="6"/>
  <c r="B712" i="6" s="1"/>
  <c r="A517" i="6"/>
  <c r="A518" i="6"/>
  <c r="A519" i="6"/>
  <c r="A494" i="6"/>
  <c r="A495" i="6"/>
  <c r="A496" i="6"/>
  <c r="A497" i="6"/>
  <c r="A500" i="6"/>
  <c r="A506" i="6"/>
  <c r="A511" i="6" s="1"/>
  <c r="C475" i="6"/>
  <c r="B475" i="6"/>
  <c r="A475" i="6"/>
  <c r="C487" i="6"/>
  <c r="C478" i="6"/>
  <c r="A487" i="6"/>
  <c r="A484" i="6"/>
  <c r="A481" i="6"/>
  <c r="A478" i="6"/>
  <c r="B478" i="6"/>
  <c r="D194" i="6"/>
  <c r="D193" i="6"/>
  <c r="C194" i="6"/>
  <c r="C193" i="6"/>
  <c r="A194" i="6"/>
  <c r="A193" i="6"/>
  <c r="B193" i="6"/>
  <c r="C190" i="6"/>
  <c r="A190" i="6"/>
  <c r="B190" i="6"/>
  <c r="C712" i="6"/>
  <c r="D252" i="6"/>
  <c r="C252" i="6"/>
  <c r="A252" i="6"/>
  <c r="C397" i="7"/>
  <c r="B397" i="7"/>
  <c r="A397" i="7"/>
  <c r="B386" i="7"/>
  <c r="A386" i="7"/>
  <c r="O394" i="7"/>
  <c r="N394" i="7"/>
  <c r="M394" i="7"/>
  <c r="L394" i="7"/>
  <c r="K394" i="7"/>
  <c r="J394" i="7"/>
  <c r="H394" i="7"/>
  <c r="I394" i="7" s="1"/>
  <c r="D394" i="7"/>
  <c r="C394" i="7"/>
  <c r="B394" i="7"/>
  <c r="A394" i="7"/>
  <c r="O309" i="6"/>
  <c r="N309" i="6"/>
  <c r="M309" i="6"/>
  <c r="L309" i="6"/>
  <c r="K309" i="6"/>
  <c r="J309" i="6"/>
  <c r="H309" i="6"/>
  <c r="I309" i="6" s="1"/>
  <c r="D309" i="6"/>
  <c r="C309" i="6"/>
  <c r="B309" i="6"/>
  <c r="A309" i="6"/>
  <c r="A302" i="6"/>
  <c r="B25" i="27"/>
  <c r="D1072" i="6"/>
  <c r="C1072" i="6"/>
  <c r="L30" i="37"/>
  <c r="L29" i="37"/>
  <c r="CS126" i="9"/>
  <c r="V126" i="9"/>
  <c r="CS125" i="9"/>
  <c r="V125" i="9"/>
  <c r="M29" i="37"/>
  <c r="CF125" i="9"/>
  <c r="CT125" i="9" s="1"/>
  <c r="M30" i="37"/>
  <c r="CF126" i="9"/>
  <c r="CT126" i="9" s="1"/>
  <c r="AU22" i="42"/>
  <c r="AU12" i="42"/>
  <c r="N30" i="37"/>
  <c r="N29" i="37"/>
  <c r="B363" i="8"/>
  <c r="A363" i="8"/>
  <c r="A35" i="17"/>
  <c r="AF42" i="42"/>
  <c r="C337" i="8"/>
  <c r="B337" i="8"/>
  <c r="A337" i="8"/>
  <c r="G85" i="8"/>
  <c r="AU42" i="42"/>
  <c r="A313" i="15"/>
  <c r="H141" i="8"/>
  <c r="I141" i="8" s="1"/>
  <c r="A141" i="8"/>
  <c r="B141" i="8"/>
  <c r="A25" i="17" s="1"/>
  <c r="A10" i="17" s="1"/>
  <c r="A264" i="15"/>
  <c r="C142" i="8"/>
  <c r="C149" i="8" s="1"/>
  <c r="AV34" i="42" s="1"/>
  <c r="B142" i="8"/>
  <c r="B149" i="8" s="1"/>
  <c r="AU34" i="42" s="1"/>
  <c r="A142" i="8"/>
  <c r="A149" i="8" s="1"/>
  <c r="D530" i="8"/>
  <c r="D142" i="8"/>
  <c r="AW22" i="42"/>
  <c r="C79" i="8"/>
  <c r="C85" i="8" s="1"/>
  <c r="G37" i="16"/>
  <c r="H37" i="16"/>
  <c r="I37" i="16"/>
  <c r="J37" i="16"/>
  <c r="K37" i="16"/>
  <c r="L37" i="16"/>
  <c r="M37" i="16"/>
  <c r="A122" i="16"/>
  <c r="E118" i="16"/>
  <c r="AK42" i="42"/>
  <c r="H264" i="15"/>
  <c r="AO42" i="42"/>
  <c r="L264" i="15"/>
  <c r="AL42" i="42"/>
  <c r="I264" i="15"/>
  <c r="AP42" i="42"/>
  <c r="M264" i="15"/>
  <c r="AM42" i="42"/>
  <c r="J264" i="15"/>
  <c r="AJ42" i="42"/>
  <c r="F264" i="15"/>
  <c r="G264" i="15" s="1"/>
  <c r="AN42" i="42"/>
  <c r="K264" i="15"/>
  <c r="AG42" i="42"/>
  <c r="AH42" i="42"/>
  <c r="D337" i="8"/>
  <c r="AF22" i="42"/>
  <c r="AG22" i="42"/>
  <c r="B86" i="15" s="1"/>
  <c r="D79" i="8"/>
  <c r="A252" i="15"/>
  <c r="B252" i="15"/>
  <c r="A301" i="15"/>
  <c r="B301" i="15"/>
  <c r="C301" i="15"/>
  <c r="B304" i="15"/>
  <c r="C304" i="15"/>
  <c r="F304" i="15"/>
  <c r="G304" i="15" s="1"/>
  <c r="H304" i="15"/>
  <c r="I304" i="15"/>
  <c r="J304" i="15"/>
  <c r="K304" i="15"/>
  <c r="L304" i="15"/>
  <c r="M304" i="15"/>
  <c r="J10" i="26"/>
  <c r="J11" i="26"/>
  <c r="Q17" i="42"/>
  <c r="A50" i="15" s="1"/>
  <c r="J72" i="26"/>
  <c r="A210" i="15"/>
  <c r="CF180" i="9"/>
  <c r="O1381" i="6"/>
  <c r="O463" i="6" s="1"/>
  <c r="N1381" i="6"/>
  <c r="N463" i="6" s="1"/>
  <c r="M1381" i="6"/>
  <c r="M463" i="6" s="1"/>
  <c r="L1381" i="6"/>
  <c r="L463" i="6" s="1"/>
  <c r="K1381" i="6"/>
  <c r="K463" i="6" s="1"/>
  <c r="J1381" i="6"/>
  <c r="O1380" i="6"/>
  <c r="N1380" i="6"/>
  <c r="M1380" i="6"/>
  <c r="CS180" i="9"/>
  <c r="CF121" i="9"/>
  <c r="CG121" i="9" s="1"/>
  <c r="G46" i="1"/>
  <c r="G48" i="1" s="1"/>
  <c r="G47" i="1"/>
  <c r="G45" i="1"/>
  <c r="F48" i="1"/>
  <c r="E48" i="1"/>
  <c r="CS183" i="9"/>
  <c r="U121" i="9"/>
  <c r="V121" i="9" s="1"/>
  <c r="U183" i="9"/>
  <c r="H47" i="1"/>
  <c r="I47" i="1" s="1"/>
  <c r="AK107" i="9" s="1"/>
  <c r="H45" i="1"/>
  <c r="CS107" i="9"/>
  <c r="CF107" i="9"/>
  <c r="CG107" i="9" s="1"/>
  <c r="V107" i="9"/>
  <c r="CF183" i="9"/>
  <c r="CS121" i="9"/>
  <c r="A95" i="13"/>
  <c r="I45" i="1"/>
  <c r="V183" i="9"/>
  <c r="G121" i="9"/>
  <c r="AE121" i="9" s="1"/>
  <c r="I107" i="9"/>
  <c r="AO107" i="9" s="1"/>
  <c r="AP107" i="9" s="1"/>
  <c r="D475" i="6"/>
  <c r="J107" i="9"/>
  <c r="AT107" i="9" s="1"/>
  <c r="AU107" i="9" s="1"/>
  <c r="AJ121" i="9"/>
  <c r="AK121" i="9" s="1"/>
  <c r="J48" i="1"/>
  <c r="I183" i="9"/>
  <c r="AO183" i="9" s="1"/>
  <c r="K107" i="9"/>
  <c r="AY107" i="9" s="1"/>
  <c r="J183" i="9"/>
  <c r="A78" i="6"/>
  <c r="K48" i="1"/>
  <c r="J121" i="9"/>
  <c r="AT121" i="9" s="1"/>
  <c r="L107" i="9"/>
  <c r="BD107" i="9" s="1"/>
  <c r="BE107" i="9" s="1"/>
  <c r="K183" i="9"/>
  <c r="AY183" i="9" s="1"/>
  <c r="K121" i="9"/>
  <c r="AY121" i="9" s="1"/>
  <c r="AZ121" i="9" s="1"/>
  <c r="L48" i="1"/>
  <c r="L183" i="9"/>
  <c r="BD183" i="9" s="1"/>
  <c r="M48" i="1"/>
  <c r="M183" i="9"/>
  <c r="BI183" i="9" s="1"/>
  <c r="BJ183" i="9" s="1"/>
  <c r="L121" i="9"/>
  <c r="BD121" i="9" s="1"/>
  <c r="BE121" i="9" s="1"/>
  <c r="AY33" i="42"/>
  <c r="AZ33" i="42"/>
  <c r="BA33" i="42"/>
  <c r="BB33" i="42"/>
  <c r="BC33" i="42"/>
  <c r="BD33" i="42"/>
  <c r="BE33" i="42"/>
  <c r="AW33" i="42"/>
  <c r="AV33" i="42"/>
  <c r="AU33" i="42"/>
  <c r="M26" i="17"/>
  <c r="M11" i="17" s="1"/>
  <c r="M295" i="15" s="1"/>
  <c r="M317" i="15" s="1"/>
  <c r="L26" i="17"/>
  <c r="L11" i="17" s="1"/>
  <c r="L295" i="15" s="1"/>
  <c r="L317" i="15" s="1"/>
  <c r="K26" i="17"/>
  <c r="J26" i="17"/>
  <c r="J11" i="17" s="1"/>
  <c r="J295" i="15" s="1"/>
  <c r="J317" i="15" s="1"/>
  <c r="I26" i="17"/>
  <c r="H26" i="17"/>
  <c r="H11" i="17" s="1"/>
  <c r="H295" i="15" s="1"/>
  <c r="H317" i="15" s="1"/>
  <c r="G26" i="17"/>
  <c r="C26" i="17"/>
  <c r="C11" i="17" s="1"/>
  <c r="C295" i="15" s="1"/>
  <c r="B26" i="17"/>
  <c r="B11" i="17" s="1"/>
  <c r="B295" i="15" s="1"/>
  <c r="B317" i="15" s="1"/>
  <c r="A26" i="17"/>
  <c r="A11" i="17" s="1"/>
  <c r="A295" i="15" s="1"/>
  <c r="A317" i="15" s="1"/>
  <c r="M121" i="9"/>
  <c r="BI121" i="9" s="1"/>
  <c r="C341" i="7"/>
  <c r="E11" i="1"/>
  <c r="A464" i="4"/>
  <c r="N9" i="1"/>
  <c r="AT110" i="37"/>
  <c r="AS89" i="37"/>
  <c r="AS90" i="37"/>
  <c r="AS92" i="37"/>
  <c r="AU92" i="37"/>
  <c r="AV92" i="37"/>
  <c r="AS98" i="37"/>
  <c r="AT98" i="37"/>
  <c r="AU98" i="37"/>
  <c r="AV98" i="37"/>
  <c r="AS99" i="37"/>
  <c r="AT99" i="37"/>
  <c r="AU99" i="37"/>
  <c r="AV99" i="37"/>
  <c r="AS100" i="37"/>
  <c r="AT100" i="37"/>
  <c r="AU100" i="37"/>
  <c r="AV100" i="37"/>
  <c r="AR90" i="37"/>
  <c r="AR92" i="37"/>
  <c r="AR98" i="37"/>
  <c r="AR99" i="37"/>
  <c r="AR100" i="37"/>
  <c r="AR89" i="37"/>
  <c r="AS65" i="37"/>
  <c r="AS16" i="37"/>
  <c r="AS66" i="37"/>
  <c r="AS17" i="37" s="1"/>
  <c r="AS67" i="37"/>
  <c r="AV67" i="37"/>
  <c r="AV18" i="37" s="1"/>
  <c r="AS70" i="37"/>
  <c r="AS19" i="37"/>
  <c r="AS72" i="37"/>
  <c r="AS20" i="37" s="1"/>
  <c r="AT72" i="37"/>
  <c r="AT105" i="37" s="1"/>
  <c r="AS73" i="37"/>
  <c r="AS21" i="37" s="1"/>
  <c r="AS75" i="37"/>
  <c r="AS22" i="37" s="1"/>
  <c r="AS76" i="37"/>
  <c r="AS23" i="37" s="1"/>
  <c r="AS77" i="37"/>
  <c r="AS24" i="37" s="1"/>
  <c r="AS78" i="37"/>
  <c r="AS25" i="37" s="1"/>
  <c r="AS79" i="37"/>
  <c r="AS26" i="37" s="1"/>
  <c r="AS80" i="37"/>
  <c r="AS27" i="37" s="1"/>
  <c r="AS81" i="37"/>
  <c r="AS28" i="37" s="1"/>
  <c r="AS82" i="37"/>
  <c r="AS33" i="37" s="1"/>
  <c r="AS83" i="37"/>
  <c r="AS84" i="37"/>
  <c r="AS35" i="37" s="1"/>
  <c r="AS85" i="37"/>
  <c r="AS36" i="37" s="1"/>
  <c r="AS86" i="37"/>
  <c r="AS37" i="37" s="1"/>
  <c r="AS87" i="37"/>
  <c r="AS38" i="37" s="1"/>
  <c r="AR66" i="37"/>
  <c r="AR17" i="37" s="1"/>
  <c r="AR67" i="37"/>
  <c r="AR18" i="37" s="1"/>
  <c r="AR70" i="37"/>
  <c r="AR19" i="37" s="1"/>
  <c r="AR73" i="37"/>
  <c r="AR21" i="37" s="1"/>
  <c r="AR75" i="37"/>
  <c r="AR22" i="37" s="1"/>
  <c r="AR76" i="37"/>
  <c r="AR23" i="37" s="1"/>
  <c r="AR77" i="37"/>
  <c r="AR24" i="37" s="1"/>
  <c r="AR78" i="37"/>
  <c r="AR25" i="37" s="1"/>
  <c r="AR79" i="37"/>
  <c r="AR26" i="37" s="1"/>
  <c r="AR80" i="37"/>
  <c r="AR27" i="37" s="1"/>
  <c r="AR81" i="37"/>
  <c r="AR28" i="37" s="1"/>
  <c r="AR82" i="37"/>
  <c r="AR33" i="37" s="1"/>
  <c r="AR83" i="37"/>
  <c r="AR30" i="37" s="1"/>
  <c r="AR84" i="37"/>
  <c r="AR35" i="37" s="1"/>
  <c r="AR85" i="37"/>
  <c r="AR36" i="37" s="1"/>
  <c r="AR86" i="37"/>
  <c r="AR37" i="37" s="1"/>
  <c r="AR87" i="37"/>
  <c r="AR38" i="37" s="1"/>
  <c r="AR65" i="37"/>
  <c r="AR16" i="37" s="1"/>
  <c r="O9" i="1"/>
  <c r="AT20" i="37"/>
  <c r="P9" i="1"/>
  <c r="Q9" i="1" s="1"/>
  <c r="AT92" i="37"/>
  <c r="Z14" i="37"/>
  <c r="AA13" i="37"/>
  <c r="AB13" i="37" s="1"/>
  <c r="AC13" i="37" s="1"/>
  <c r="AD13" i="37" s="1"/>
  <c r="AE13" i="37" s="1"/>
  <c r="AF13" i="37" s="1"/>
  <c r="AG13" i="37" s="1"/>
  <c r="AH13" i="37" s="1"/>
  <c r="I12" i="37"/>
  <c r="AR72" i="37" s="1"/>
  <c r="AR20" i="37" s="1"/>
  <c r="AT90" i="37"/>
  <c r="AT89" i="37"/>
  <c r="BJ132" i="9"/>
  <c r="BE132" i="9"/>
  <c r="BE133" i="9"/>
  <c r="BE134" i="9"/>
  <c r="BE137" i="9"/>
  <c r="BE135" i="9"/>
  <c r="BE138" i="9"/>
  <c r="AZ132" i="9"/>
  <c r="AU132" i="9"/>
  <c r="AU133" i="9"/>
  <c r="AU138" i="9"/>
  <c r="AP132" i="9"/>
  <c r="AP133" i="9"/>
  <c r="AP134" i="9"/>
  <c r="AP137" i="9"/>
  <c r="AP135" i="9"/>
  <c r="AP138" i="9"/>
  <c r="AF132" i="9"/>
  <c r="AF133" i="9"/>
  <c r="AF134" i="9"/>
  <c r="AF137" i="9"/>
  <c r="AF135" i="9"/>
  <c r="AF138" i="9"/>
  <c r="AK132" i="9"/>
  <c r="AK134" i="9"/>
  <c r="AK137" i="9"/>
  <c r="AK135" i="9"/>
  <c r="AK138" i="9"/>
  <c r="M27" i="37"/>
  <c r="AV89" i="37" s="1"/>
  <c r="L27" i="37"/>
  <c r="AU89" i="37" s="1"/>
  <c r="V123" i="9"/>
  <c r="L28" i="37"/>
  <c r="AU90" i="37" s="1"/>
  <c r="V124" i="9"/>
  <c r="CF124" i="9"/>
  <c r="CG124" i="9" s="1"/>
  <c r="CH124" i="9" s="1"/>
  <c r="CS123" i="9"/>
  <c r="M28" i="37"/>
  <c r="AV90" i="37" s="1"/>
  <c r="CS124" i="9"/>
  <c r="CF123" i="9"/>
  <c r="CT123" i="9" s="1"/>
  <c r="K75" i="37"/>
  <c r="X72" i="22"/>
  <c r="CH27" i="22"/>
  <c r="CH26" i="22"/>
  <c r="BU7" i="22"/>
  <c r="CI7" i="22" s="1"/>
  <c r="BT8" i="21"/>
  <c r="BU8" i="21" s="1"/>
  <c r="CI8" i="21" s="1"/>
  <c r="CS147" i="9"/>
  <c r="CF150" i="9"/>
  <c r="CT150" i="9" s="1"/>
  <c r="CS150" i="9"/>
  <c r="CF149" i="9"/>
  <c r="CG149" i="9" s="1"/>
  <c r="CF147" i="9"/>
  <c r="CG147" i="9" s="1"/>
  <c r="CG23" i="21"/>
  <c r="CG8" i="21"/>
  <c r="CH7" i="22"/>
  <c r="CH28" i="22"/>
  <c r="CI29" i="22"/>
  <c r="CH29" i="22"/>
  <c r="CH8" i="21"/>
  <c r="A633" i="6"/>
  <c r="A626" i="6"/>
  <c r="B495" i="6"/>
  <c r="BT23" i="21"/>
  <c r="BU23" i="21" s="1"/>
  <c r="C495" i="6"/>
  <c r="CJ29" i="22"/>
  <c r="CK29" i="22"/>
  <c r="CK28" i="22"/>
  <c r="B359" i="34"/>
  <c r="B355" i="34"/>
  <c r="B288" i="34"/>
  <c r="B324" i="34"/>
  <c r="C568" i="34"/>
  <c r="A253" i="3"/>
  <c r="D707" i="34"/>
  <c r="D212" i="34" s="1"/>
  <c r="C707" i="34"/>
  <c r="C212" i="34" s="1"/>
  <c r="C794" i="34" s="1"/>
  <c r="C800" i="34" s="1"/>
  <c r="B707" i="34"/>
  <c r="B212" i="34" s="1"/>
  <c r="C700" i="34"/>
  <c r="C694" i="34"/>
  <c r="C663" i="34"/>
  <c r="M572" i="34"/>
  <c r="L572" i="34"/>
  <c r="K572" i="34"/>
  <c r="J572" i="34"/>
  <c r="I572" i="34"/>
  <c r="H572" i="34"/>
  <c r="G572" i="34"/>
  <c r="F572" i="34"/>
  <c r="E572" i="34"/>
  <c r="C572" i="34"/>
  <c r="B572" i="34"/>
  <c r="B571" i="34"/>
  <c r="B570" i="34"/>
  <c r="M569" i="34"/>
  <c r="L569" i="34"/>
  <c r="K569" i="34"/>
  <c r="J569" i="34"/>
  <c r="I569" i="34"/>
  <c r="H569" i="34"/>
  <c r="G569" i="34"/>
  <c r="F569" i="34"/>
  <c r="E569" i="34"/>
  <c r="D569" i="34"/>
  <c r="C569" i="34"/>
  <c r="B569" i="34"/>
  <c r="M568" i="34"/>
  <c r="L568" i="34"/>
  <c r="K568" i="34"/>
  <c r="J568" i="34"/>
  <c r="I568" i="34"/>
  <c r="H568" i="34"/>
  <c r="G568" i="34"/>
  <c r="F568" i="34"/>
  <c r="E568" i="34"/>
  <c r="D568" i="34"/>
  <c r="B568" i="34"/>
  <c r="B567" i="34"/>
  <c r="B574" i="34"/>
  <c r="B700" i="34" s="1"/>
  <c r="B701" i="34" s="1"/>
  <c r="B207" i="34" s="1"/>
  <c r="D558" i="34"/>
  <c r="B558" i="34"/>
  <c r="B557" i="34"/>
  <c r="B556" i="34"/>
  <c r="M555" i="34"/>
  <c r="L555" i="34"/>
  <c r="K555" i="34"/>
  <c r="J555" i="34"/>
  <c r="I555" i="34"/>
  <c r="H555" i="34"/>
  <c r="G555" i="34"/>
  <c r="F555" i="34"/>
  <c r="E555" i="34"/>
  <c r="D555" i="34"/>
  <c r="C555" i="34"/>
  <c r="B555" i="34"/>
  <c r="B554" i="34"/>
  <c r="B553" i="34"/>
  <c r="B559" i="34"/>
  <c r="B694" i="34" s="1"/>
  <c r="B695" i="34" s="1"/>
  <c r="B204" i="34" s="1"/>
  <c r="B542" i="34"/>
  <c r="G543" i="34"/>
  <c r="F543" i="34"/>
  <c r="E543" i="34"/>
  <c r="D543" i="34"/>
  <c r="G542" i="34"/>
  <c r="F542" i="34"/>
  <c r="E542" i="34"/>
  <c r="D542" i="34"/>
  <c r="M539" i="34"/>
  <c r="L539" i="34"/>
  <c r="K539" i="34"/>
  <c r="J539" i="34"/>
  <c r="I539" i="34"/>
  <c r="H539" i="34"/>
  <c r="G539" i="34"/>
  <c r="F539" i="34"/>
  <c r="E539" i="34"/>
  <c r="D539" i="34"/>
  <c r="M538" i="34"/>
  <c r="L538" i="34"/>
  <c r="K538" i="34"/>
  <c r="J538" i="34"/>
  <c r="I538" i="34"/>
  <c r="H538" i="34"/>
  <c r="G538" i="34"/>
  <c r="F538" i="34"/>
  <c r="E538" i="34"/>
  <c r="D538" i="34"/>
  <c r="C543" i="34"/>
  <c r="C542" i="34"/>
  <c r="C539" i="34"/>
  <c r="C538" i="34"/>
  <c r="B543" i="34"/>
  <c r="B541" i="34"/>
  <c r="B540" i="34"/>
  <c r="B538" i="34"/>
  <c r="B537" i="34"/>
  <c r="C551" i="34"/>
  <c r="B551" i="34"/>
  <c r="C550" i="34"/>
  <c r="B550" i="34"/>
  <c r="C565" i="34"/>
  <c r="C573" i="34" s="1"/>
  <c r="B565" i="34"/>
  <c r="B573" i="34" s="1"/>
  <c r="C564" i="34"/>
  <c r="B564" i="34"/>
  <c r="C535" i="34"/>
  <c r="C544" i="34" s="1"/>
  <c r="B535" i="34"/>
  <c r="B519" i="34" s="1"/>
  <c r="B534" i="34"/>
  <c r="G527" i="34"/>
  <c r="F527" i="34"/>
  <c r="E527" i="34"/>
  <c r="D527" i="34"/>
  <c r="B527" i="34"/>
  <c r="B525" i="34"/>
  <c r="B521" i="34"/>
  <c r="C527" i="34"/>
  <c r="C519" i="34"/>
  <c r="C528" i="34" s="1"/>
  <c r="B518" i="34"/>
  <c r="C566" i="34"/>
  <c r="B566" i="34"/>
  <c r="C552" i="34"/>
  <c r="C561" i="34" s="1"/>
  <c r="C254" i="34" s="1"/>
  <c r="B552" i="34"/>
  <c r="B561" i="34" s="1"/>
  <c r="B254" i="34" s="1"/>
  <c r="B536" i="34"/>
  <c r="B354" i="34"/>
  <c r="M353" i="34"/>
  <c r="L353" i="34"/>
  <c r="K353" i="34"/>
  <c r="J353" i="34"/>
  <c r="I353" i="34"/>
  <c r="H353" i="34"/>
  <c r="G353" i="34"/>
  <c r="F353" i="34"/>
  <c r="E353" i="34"/>
  <c r="D353" i="34"/>
  <c r="B352" i="34"/>
  <c r="B393" i="34"/>
  <c r="B510" i="34" s="1"/>
  <c r="M392" i="34"/>
  <c r="M509" i="34" s="1"/>
  <c r="L392" i="34"/>
  <c r="L509" i="34" s="1"/>
  <c r="K392" i="34"/>
  <c r="K509" i="34" s="1"/>
  <c r="J392" i="34"/>
  <c r="J509" i="34" s="1"/>
  <c r="I392" i="34"/>
  <c r="I509" i="34" s="1"/>
  <c r="H392" i="34"/>
  <c r="H509" i="34" s="1"/>
  <c r="G392" i="34"/>
  <c r="G509" i="34" s="1"/>
  <c r="F392" i="34"/>
  <c r="F509" i="34" s="1"/>
  <c r="E392" i="34"/>
  <c r="E509" i="34" s="1"/>
  <c r="D392" i="34"/>
  <c r="D509" i="34" s="1"/>
  <c r="C392" i="34"/>
  <c r="B392" i="34"/>
  <c r="M391" i="34"/>
  <c r="L391" i="34"/>
  <c r="K391" i="34"/>
  <c r="J391" i="34"/>
  <c r="I391" i="34"/>
  <c r="H391" i="34"/>
  <c r="G391" i="34"/>
  <c r="F391" i="34"/>
  <c r="E391" i="34"/>
  <c r="D391" i="34"/>
  <c r="C391" i="34"/>
  <c r="B391" i="34"/>
  <c r="B390" i="34"/>
  <c r="B507" i="34" s="1"/>
  <c r="M379" i="34"/>
  <c r="L379" i="34"/>
  <c r="K379" i="34"/>
  <c r="J379" i="34"/>
  <c r="I379" i="34"/>
  <c r="H379" i="34"/>
  <c r="G379" i="34"/>
  <c r="F379" i="34"/>
  <c r="E379" i="34"/>
  <c r="D379" i="34"/>
  <c r="C379" i="34"/>
  <c r="B379" i="34"/>
  <c r="B378" i="34"/>
  <c r="B380" i="34"/>
  <c r="B498" i="34" s="1"/>
  <c r="B377" i="34"/>
  <c r="D473" i="34"/>
  <c r="D523" i="34"/>
  <c r="H473" i="34"/>
  <c r="H523" i="34"/>
  <c r="L473" i="34"/>
  <c r="L523" i="34"/>
  <c r="E473" i="34"/>
  <c r="E523" i="34"/>
  <c r="I473" i="34"/>
  <c r="I523" i="34"/>
  <c r="M473" i="34"/>
  <c r="M523" i="34"/>
  <c r="B472" i="34"/>
  <c r="B522" i="34"/>
  <c r="F473" i="34"/>
  <c r="F523" i="34"/>
  <c r="J473" i="34"/>
  <c r="J523" i="34"/>
  <c r="B474" i="34"/>
  <c r="B524" i="34"/>
  <c r="G473" i="34"/>
  <c r="G523" i="34"/>
  <c r="K473" i="34"/>
  <c r="K523" i="34"/>
  <c r="J384" i="34"/>
  <c r="J497" i="34"/>
  <c r="F396" i="34"/>
  <c r="F508" i="34"/>
  <c r="C384" i="34"/>
  <c r="C497" i="34"/>
  <c r="C396" i="34"/>
  <c r="C508" i="34"/>
  <c r="C397" i="34"/>
  <c r="C509" i="34"/>
  <c r="D384" i="34"/>
  <c r="D497" i="34"/>
  <c r="H384" i="34"/>
  <c r="H497" i="34"/>
  <c r="L384" i="34"/>
  <c r="L497" i="34"/>
  <c r="D396" i="34"/>
  <c r="D508" i="34"/>
  <c r="H396" i="34"/>
  <c r="H508" i="34"/>
  <c r="L396" i="34"/>
  <c r="L508" i="34"/>
  <c r="B384" i="34"/>
  <c r="B497" i="34"/>
  <c r="F384" i="34"/>
  <c r="F497" i="34"/>
  <c r="B396" i="34"/>
  <c r="B508" i="34"/>
  <c r="J396" i="34"/>
  <c r="J508" i="34"/>
  <c r="B397" i="34"/>
  <c r="B509" i="34"/>
  <c r="G384" i="34"/>
  <c r="G497" i="34"/>
  <c r="K384" i="34"/>
  <c r="K497" i="34"/>
  <c r="G396" i="34"/>
  <c r="G508" i="34"/>
  <c r="K396" i="34"/>
  <c r="K508" i="34"/>
  <c r="E384" i="34"/>
  <c r="E497" i="34"/>
  <c r="I384" i="34"/>
  <c r="I497" i="34"/>
  <c r="M384" i="34"/>
  <c r="M497" i="34"/>
  <c r="E396" i="34"/>
  <c r="E508" i="34"/>
  <c r="I396" i="34"/>
  <c r="I508" i="34"/>
  <c r="M396" i="34"/>
  <c r="M508" i="34"/>
  <c r="B383" i="34"/>
  <c r="B496" i="34"/>
  <c r="B382" i="34"/>
  <c r="E662" i="34"/>
  <c r="D662" i="34"/>
  <c r="D663" i="34" s="1"/>
  <c r="E663" i="34" s="1"/>
  <c r="M366" i="34"/>
  <c r="M485" i="34"/>
  <c r="L366" i="34"/>
  <c r="L485" i="34"/>
  <c r="K366" i="34"/>
  <c r="K485" i="34" s="1"/>
  <c r="J366" i="34"/>
  <c r="J485" i="34" s="1"/>
  <c r="I366" i="34"/>
  <c r="I485" i="34" s="1"/>
  <c r="H366" i="34"/>
  <c r="H485" i="34" s="1"/>
  <c r="G366" i="34"/>
  <c r="G485" i="34" s="1"/>
  <c r="F366" i="34"/>
  <c r="F485" i="34" s="1"/>
  <c r="E366" i="34"/>
  <c r="E485" i="34" s="1"/>
  <c r="D366" i="34"/>
  <c r="D485" i="34"/>
  <c r="C366" i="34"/>
  <c r="M365" i="34"/>
  <c r="L365" i="34"/>
  <c r="K365" i="34"/>
  <c r="J365" i="34"/>
  <c r="I365" i="34"/>
  <c r="H365" i="34"/>
  <c r="G365" i="34"/>
  <c r="F365" i="34"/>
  <c r="E365" i="34"/>
  <c r="D365" i="34"/>
  <c r="C365" i="34"/>
  <c r="B365" i="34"/>
  <c r="G657" i="34"/>
  <c r="F657" i="34"/>
  <c r="E657" i="34"/>
  <c r="D657" i="34"/>
  <c r="C657" i="34"/>
  <c r="B657" i="34"/>
  <c r="G656" i="34"/>
  <c r="F656" i="34"/>
  <c r="E656" i="34"/>
  <c r="D656" i="34"/>
  <c r="C656" i="34"/>
  <c r="B656" i="34"/>
  <c r="B655" i="34"/>
  <c r="B658" i="34" s="1"/>
  <c r="B665" i="34" s="1"/>
  <c r="B668" i="34" s="1"/>
  <c r="B221" i="34" s="1"/>
  <c r="B351" i="34"/>
  <c r="B471" i="34"/>
  <c r="B367" i="34"/>
  <c r="B486" i="34" s="1"/>
  <c r="B364" i="34"/>
  <c r="B483" i="34" s="1"/>
  <c r="M371" i="34"/>
  <c r="L371" i="34"/>
  <c r="K371" i="34"/>
  <c r="J371" i="34"/>
  <c r="I371" i="34"/>
  <c r="H371" i="34"/>
  <c r="G371" i="34"/>
  <c r="F371" i="34"/>
  <c r="E371" i="34"/>
  <c r="D371" i="34"/>
  <c r="C371" i="34"/>
  <c r="C358" i="34"/>
  <c r="C485" i="34"/>
  <c r="C353" i="34"/>
  <c r="H370" i="34"/>
  <c r="H484" i="34"/>
  <c r="L370" i="34"/>
  <c r="L484" i="34"/>
  <c r="E370" i="34"/>
  <c r="E484" i="34"/>
  <c r="I370" i="34"/>
  <c r="I484" i="34"/>
  <c r="M370" i="34"/>
  <c r="M484" i="34"/>
  <c r="B370" i="34"/>
  <c r="B484" i="34"/>
  <c r="F370" i="34"/>
  <c r="F484" i="34"/>
  <c r="J370" i="34"/>
  <c r="J484" i="34"/>
  <c r="D370" i="34"/>
  <c r="D484" i="34"/>
  <c r="C370" i="34"/>
  <c r="C484" i="34"/>
  <c r="G370" i="34"/>
  <c r="G484" i="34"/>
  <c r="K370" i="34"/>
  <c r="K484" i="34"/>
  <c r="C523" i="34"/>
  <c r="C473" i="34"/>
  <c r="B306" i="34"/>
  <c r="B539" i="34" s="1"/>
  <c r="B290" i="34"/>
  <c r="B292" i="34" s="1"/>
  <c r="B298" i="34" s="1"/>
  <c r="B366" i="34"/>
  <c r="B338" i="34"/>
  <c r="B342" i="34"/>
  <c r="B314" i="34"/>
  <c r="B309" i="34"/>
  <c r="B316" i="34" s="1"/>
  <c r="D632" i="34"/>
  <c r="E632" i="34" s="1"/>
  <c r="F632" i="34" s="1"/>
  <c r="G632" i="34" s="1"/>
  <c r="H632" i="34" s="1"/>
  <c r="D638" i="34"/>
  <c r="D644" i="34"/>
  <c r="D650" i="34"/>
  <c r="E650" i="34" s="1"/>
  <c r="F650" i="34" s="1"/>
  <c r="G650" i="34" s="1"/>
  <c r="H650" i="34" s="1"/>
  <c r="C639" i="34"/>
  <c r="D619" i="34"/>
  <c r="E619" i="34"/>
  <c r="D618" i="34"/>
  <c r="E618" i="34" s="1"/>
  <c r="D595" i="34"/>
  <c r="D594" i="34"/>
  <c r="E594" i="34"/>
  <c r="D593" i="34"/>
  <c r="D581" i="34" s="1"/>
  <c r="A348" i="34"/>
  <c r="D427" i="34"/>
  <c r="D422" i="34"/>
  <c r="D413" i="34"/>
  <c r="C701" i="34"/>
  <c r="C207" i="34" s="1"/>
  <c r="C695" i="34"/>
  <c r="C204" i="34" s="1"/>
  <c r="E593" i="34"/>
  <c r="F593" i="34" s="1"/>
  <c r="B353" i="34"/>
  <c r="B358" i="34"/>
  <c r="E644" i="34"/>
  <c r="E638" i="34"/>
  <c r="B369" i="34"/>
  <c r="B485" i="34"/>
  <c r="I397" i="34"/>
  <c r="M397" i="34"/>
  <c r="D397" i="34"/>
  <c r="F397" i="34"/>
  <c r="J397" i="34"/>
  <c r="G397" i="34"/>
  <c r="K397" i="34"/>
  <c r="E397" i="34"/>
  <c r="H397" i="34"/>
  <c r="L397" i="34"/>
  <c r="B315" i="34"/>
  <c r="B330" i="34"/>
  <c r="B344" i="34"/>
  <c r="B343" i="34"/>
  <c r="F619" i="34"/>
  <c r="G619" i="34"/>
  <c r="H619" i="34" s="1"/>
  <c r="E605" i="34"/>
  <c r="F594" i="34"/>
  <c r="G594" i="34"/>
  <c r="E595" i="34"/>
  <c r="F595" i="34" s="1"/>
  <c r="B473" i="34"/>
  <c r="B523" i="34"/>
  <c r="F617" i="34"/>
  <c r="H594" i="34"/>
  <c r="I594" i="34" s="1"/>
  <c r="J594" i="34" s="1"/>
  <c r="C6" i="26"/>
  <c r="B282" i="34"/>
  <c r="B281" i="34"/>
  <c r="B280" i="34"/>
  <c r="A224" i="34"/>
  <c r="A402" i="34" s="1"/>
  <c r="J264" i="8"/>
  <c r="J263" i="8"/>
  <c r="K263" i="8" s="1"/>
  <c r="H59" i="8"/>
  <c r="I59" i="8" s="1"/>
  <c r="C266" i="34"/>
  <c r="B266" i="34"/>
  <c r="C264" i="34"/>
  <c r="B264" i="34"/>
  <c r="C262" i="34"/>
  <c r="B639" i="34"/>
  <c r="B262" i="34" s="1"/>
  <c r="B633" i="34"/>
  <c r="B260" i="34" s="1"/>
  <c r="C633" i="34"/>
  <c r="C260" i="34" s="1"/>
  <c r="C38" i="34"/>
  <c r="B38" i="34"/>
  <c r="B494" i="34"/>
  <c r="B506" i="34"/>
  <c r="C599" i="34"/>
  <c r="B599" i="34"/>
  <c r="C596" i="34"/>
  <c r="B596" i="34"/>
  <c r="C611" i="34"/>
  <c r="B611" i="34"/>
  <c r="C608" i="34"/>
  <c r="B608" i="34"/>
  <c r="D607" i="34"/>
  <c r="D606" i="34"/>
  <c r="E606" i="34" s="1"/>
  <c r="C623" i="34"/>
  <c r="C625" i="34" s="1"/>
  <c r="C246" i="34" s="1"/>
  <c r="B623" i="34"/>
  <c r="C620" i="34"/>
  <c r="B620" i="34"/>
  <c r="D455" i="34"/>
  <c r="D440" i="34"/>
  <c r="D428" i="34"/>
  <c r="C421" i="34"/>
  <c r="E607" i="34"/>
  <c r="D583" i="34"/>
  <c r="C601" i="34"/>
  <c r="C242" i="34" s="1"/>
  <c r="D596" i="34"/>
  <c r="B601" i="34"/>
  <c r="B242" i="34" s="1"/>
  <c r="E596" i="34"/>
  <c r="B625" i="34"/>
  <c r="B246" i="34" s="1"/>
  <c r="D620" i="34"/>
  <c r="B613" i="34"/>
  <c r="B244" i="34" s="1"/>
  <c r="C613" i="34"/>
  <c r="C244" i="34" s="1"/>
  <c r="E583" i="34"/>
  <c r="C408" i="34"/>
  <c r="B130" i="34"/>
  <c r="B89" i="34"/>
  <c r="B47" i="34"/>
  <c r="D407" i="34"/>
  <c r="B763" i="34"/>
  <c r="B762" i="34"/>
  <c r="B761" i="34"/>
  <c r="B760" i="34"/>
  <c r="B759" i="34"/>
  <c r="B781" i="34" s="1"/>
  <c r="B758" i="34"/>
  <c r="B470" i="34"/>
  <c r="B587" i="34"/>
  <c r="B584" i="34"/>
  <c r="B31" i="34"/>
  <c r="B29" i="34"/>
  <c r="B25" i="34"/>
  <c r="B24" i="34"/>
  <c r="B23" i="34"/>
  <c r="B15" i="34"/>
  <c r="B14" i="34"/>
  <c r="B13" i="34"/>
  <c r="B9" i="34"/>
  <c r="B8" i="34"/>
  <c r="B7" i="34"/>
  <c r="B156" i="34"/>
  <c r="B157" i="34" s="1"/>
  <c r="B150" i="34"/>
  <c r="B459" i="34" s="1"/>
  <c r="B460" i="34" s="1"/>
  <c r="B142" i="34"/>
  <c r="B134" i="34"/>
  <c r="B451" i="34" s="1"/>
  <c r="B457" i="34" s="1"/>
  <c r="B115" i="34"/>
  <c r="B109" i="34"/>
  <c r="B444" i="34" s="1"/>
  <c r="B445" i="34" s="1"/>
  <c r="B101" i="34"/>
  <c r="B93" i="34"/>
  <c r="B436" i="34" s="1"/>
  <c r="B442" i="34" s="1"/>
  <c r="B30" i="34"/>
  <c r="B68" i="34"/>
  <c r="B426" i="34" s="1"/>
  <c r="B430" i="34" s="1"/>
  <c r="B17" i="34"/>
  <c r="B16" i="34"/>
  <c r="B6" i="34"/>
  <c r="B43" i="34"/>
  <c r="B589" i="34"/>
  <c r="B240" i="34" s="1"/>
  <c r="B116" i="34"/>
  <c r="B689" i="34"/>
  <c r="B201" i="34" s="1"/>
  <c r="B143" i="34"/>
  <c r="B26" i="34"/>
  <c r="B411" i="34" s="1"/>
  <c r="B414" i="34" s="1"/>
  <c r="B102" i="34"/>
  <c r="B32" i="34"/>
  <c r="B10" i="34"/>
  <c r="B405" i="34" s="1"/>
  <c r="B409" i="34" s="1"/>
  <c r="B482" i="34"/>
  <c r="B60" i="34"/>
  <c r="B18" i="34" s="1"/>
  <c r="B19" i="34" s="1"/>
  <c r="B74" i="34"/>
  <c r="B75" i="34" s="1"/>
  <c r="B51" i="34"/>
  <c r="B420" i="34" s="1"/>
  <c r="B424" i="34" s="1"/>
  <c r="C31" i="34"/>
  <c r="C29" i="34"/>
  <c r="C25" i="34"/>
  <c r="C24" i="34"/>
  <c r="C23" i="34"/>
  <c r="C15" i="34"/>
  <c r="C14" i="34"/>
  <c r="C13" i="34"/>
  <c r="C9" i="34"/>
  <c r="C8" i="34"/>
  <c r="C7" i="34"/>
  <c r="AB48" i="14"/>
  <c r="AB47" i="14"/>
  <c r="P1064" i="6"/>
  <c r="B1970" i="6"/>
  <c r="B684" i="6" s="1"/>
  <c r="O1970" i="6"/>
  <c r="O684" i="6" s="1"/>
  <c r="N1970" i="6"/>
  <c r="N684" i="6" s="1"/>
  <c r="M1970" i="6"/>
  <c r="M684" i="6" s="1"/>
  <c r="L1970" i="6"/>
  <c r="L684" i="6" s="1"/>
  <c r="K1970" i="6"/>
  <c r="K684" i="6" s="1"/>
  <c r="J1970" i="6"/>
  <c r="J684" i="6" s="1"/>
  <c r="H1970" i="6"/>
  <c r="I1970" i="6" s="1"/>
  <c r="C1970" i="6"/>
  <c r="C684" i="6" s="1"/>
  <c r="D171" i="14"/>
  <c r="D191" i="14" s="1"/>
  <c r="O166" i="14"/>
  <c r="E166" i="14"/>
  <c r="E186" i="14" s="1"/>
  <c r="O81" i="14"/>
  <c r="AB28" i="14"/>
  <c r="AA28" i="14"/>
  <c r="C47" i="34"/>
  <c r="C6" i="34" s="1"/>
  <c r="C10" i="34" s="1"/>
  <c r="C405" i="34" s="1"/>
  <c r="C409" i="34" s="1"/>
  <c r="C416" i="34" s="1"/>
  <c r="C270" i="34" s="1"/>
  <c r="O186" i="14"/>
  <c r="O206" i="14"/>
  <c r="O181" i="14"/>
  <c r="B117" i="34"/>
  <c r="B120" i="34" s="1"/>
  <c r="B122" i="34" s="1"/>
  <c r="B33" i="34"/>
  <c r="B61" i="34"/>
  <c r="C156" i="34"/>
  <c r="D153" i="34"/>
  <c r="E153" i="34" s="1"/>
  <c r="C150" i="34"/>
  <c r="C142" i="34"/>
  <c r="D141" i="34"/>
  <c r="D139" i="34"/>
  <c r="G137" i="34"/>
  <c r="H137" i="34" s="1"/>
  <c r="I137" i="34" s="1"/>
  <c r="J137" i="34" s="1"/>
  <c r="K137" i="34" s="1"/>
  <c r="L137" i="34" s="1"/>
  <c r="M137" i="34" s="1"/>
  <c r="N137" i="34" s="1"/>
  <c r="C134" i="34"/>
  <c r="C451" i="34" s="1"/>
  <c r="C457" i="34" s="1"/>
  <c r="D132" i="34"/>
  <c r="C115" i="34"/>
  <c r="D112" i="34"/>
  <c r="C109" i="34"/>
  <c r="C444" i="34" s="1"/>
  <c r="C445" i="34" s="1"/>
  <c r="D106" i="34"/>
  <c r="D23" i="34" s="1"/>
  <c r="D100" i="34"/>
  <c r="D98" i="34"/>
  <c r="D91" i="34"/>
  <c r="E407" i="34"/>
  <c r="C459" i="34"/>
  <c r="C460" i="34" s="1"/>
  <c r="D13" i="34"/>
  <c r="D14" i="34"/>
  <c r="C143" i="34"/>
  <c r="C101" i="34"/>
  <c r="E23" i="34"/>
  <c r="E14" i="34"/>
  <c r="E15" i="34"/>
  <c r="E13" i="34"/>
  <c r="C93" i="34"/>
  <c r="C436" i="34" s="1"/>
  <c r="C442" i="34" s="1"/>
  <c r="G96" i="34"/>
  <c r="H96" i="34" s="1"/>
  <c r="I96" i="34" s="1"/>
  <c r="J96" i="34" s="1"/>
  <c r="K96" i="34" s="1"/>
  <c r="L96" i="34" s="1"/>
  <c r="M96" i="34" s="1"/>
  <c r="N96" i="34" s="1"/>
  <c r="C481" i="6"/>
  <c r="BI75" i="9"/>
  <c r="BH75" i="9"/>
  <c r="BG75" i="9"/>
  <c r="BF75" i="9"/>
  <c r="BD75" i="9"/>
  <c r="BC75" i="9"/>
  <c r="BB75" i="9"/>
  <c r="BA75" i="9"/>
  <c r="AY75" i="9"/>
  <c r="AX75" i="9"/>
  <c r="AW75" i="9"/>
  <c r="AV75" i="9"/>
  <c r="AT75" i="9"/>
  <c r="AS75" i="9"/>
  <c r="AR75" i="9"/>
  <c r="AO75" i="9"/>
  <c r="AN75" i="9"/>
  <c r="AJ75" i="9"/>
  <c r="AI75" i="9"/>
  <c r="AD75" i="9"/>
  <c r="Y75" i="9"/>
  <c r="U75" i="9"/>
  <c r="T75" i="9"/>
  <c r="S75" i="9"/>
  <c r="M75" i="9"/>
  <c r="L75" i="9"/>
  <c r="K75" i="9"/>
  <c r="J75" i="9"/>
  <c r="I75" i="9"/>
  <c r="G75" i="9"/>
  <c r="C58" i="34"/>
  <c r="D7" i="34"/>
  <c r="D8" i="34"/>
  <c r="D9" i="34"/>
  <c r="C17" i="34"/>
  <c r="K94" i="26"/>
  <c r="E7" i="34"/>
  <c r="E9" i="34"/>
  <c r="E8" i="34"/>
  <c r="E17" i="34"/>
  <c r="C910" i="7"/>
  <c r="K102" i="26"/>
  <c r="K91" i="26"/>
  <c r="C177" i="7"/>
  <c r="C108" i="8"/>
  <c r="C196" i="8"/>
  <c r="C201" i="8" s="1"/>
  <c r="C46" i="8"/>
  <c r="C484" i="6"/>
  <c r="C325" i="6"/>
  <c r="C107" i="8"/>
  <c r="B275" i="42" s="1"/>
  <c r="D275" i="42" s="1"/>
  <c r="D109" i="8"/>
  <c r="C260" i="6"/>
  <c r="C110" i="8"/>
  <c r="C301" i="6"/>
  <c r="C618" i="7"/>
  <c r="C785" i="6"/>
  <c r="C28" i="12"/>
  <c r="B348" i="42" s="1"/>
  <c r="C789" i="6"/>
  <c r="C95" i="6" s="1"/>
  <c r="C770" i="6"/>
  <c r="C777" i="6"/>
  <c r="C92" i="6" s="1"/>
  <c r="C279" i="4"/>
  <c r="D206" i="6"/>
  <c r="O566" i="8"/>
  <c r="N566" i="8"/>
  <c r="M566" i="8"/>
  <c r="L566" i="8"/>
  <c r="K566" i="8"/>
  <c r="J566" i="8"/>
  <c r="H566" i="8"/>
  <c r="I566" i="8" s="1"/>
  <c r="D566" i="8"/>
  <c r="D565" i="8"/>
  <c r="C566" i="8"/>
  <c r="C565" i="8"/>
  <c r="B566" i="8"/>
  <c r="A566" i="8"/>
  <c r="B565" i="8"/>
  <c r="A565" i="8"/>
  <c r="D486" i="5"/>
  <c r="C6" i="3"/>
  <c r="B486" i="5"/>
  <c r="A6" i="3" s="1"/>
  <c r="A486" i="5"/>
  <c r="A31" i="5" s="1"/>
  <c r="C486" i="5"/>
  <c r="B6" i="3" s="1"/>
  <c r="C138" i="4"/>
  <c r="C137" i="4"/>
  <c r="C135" i="4"/>
  <c r="C136" i="4"/>
  <c r="B138" i="4"/>
  <c r="A138" i="4"/>
  <c r="B137" i="4"/>
  <c r="A137" i="4"/>
  <c r="B135" i="4"/>
  <c r="A135" i="4"/>
  <c r="B136" i="4"/>
  <c r="A136" i="4"/>
  <c r="A190" i="4"/>
  <c r="A195" i="4" s="1"/>
  <c r="C295" i="4"/>
  <c r="C300" i="4" s="1"/>
  <c r="B295" i="4"/>
  <c r="B300" i="4" s="1"/>
  <c r="A295" i="4"/>
  <c r="A300" i="4" s="1"/>
  <c r="C584" i="4"/>
  <c r="B584" i="4"/>
  <c r="A584" i="4"/>
  <c r="C651" i="4"/>
  <c r="B651" i="4"/>
  <c r="A651" i="4"/>
  <c r="C702" i="4"/>
  <c r="A702" i="4"/>
  <c r="C835" i="4"/>
  <c r="B835" i="4"/>
  <c r="A835" i="4"/>
  <c r="J6" i="26"/>
  <c r="D1965" i="6"/>
  <c r="C1965" i="6"/>
  <c r="A1965" i="6"/>
  <c r="D598" i="6"/>
  <c r="D605" i="6" s="1"/>
  <c r="D597" i="6"/>
  <c r="C597" i="6"/>
  <c r="C604" i="6" s="1"/>
  <c r="A598" i="6"/>
  <c r="A605" i="6" s="1"/>
  <c r="A597" i="6"/>
  <c r="A604" i="6" s="1"/>
  <c r="H674" i="6"/>
  <c r="I674" i="6" s="1"/>
  <c r="B1958" i="6"/>
  <c r="B673" i="6" s="1"/>
  <c r="B1761" i="6"/>
  <c r="C158" i="6"/>
  <c r="A158" i="6"/>
  <c r="J674" i="6"/>
  <c r="D162" i="6"/>
  <c r="D869" i="6"/>
  <c r="I11" i="17"/>
  <c r="I295" i="15" s="1"/>
  <c r="I317" i="15" s="1"/>
  <c r="G11" i="17"/>
  <c r="F295" i="15" s="1"/>
  <c r="G295" i="15" s="1"/>
  <c r="K11" i="17"/>
  <c r="K295" i="15" s="1"/>
  <c r="K317" i="15" s="1"/>
  <c r="D158" i="6"/>
  <c r="K674" i="6"/>
  <c r="C584" i="34"/>
  <c r="L674" i="6"/>
  <c r="M674" i="6"/>
  <c r="C71" i="4"/>
  <c r="N674" i="6"/>
  <c r="C72" i="4"/>
  <c r="O674" i="6"/>
  <c r="A138" i="8"/>
  <c r="A143" i="8"/>
  <c r="A22" i="8" s="1"/>
  <c r="A135" i="8"/>
  <c r="A93" i="8"/>
  <c r="A30" i="8" s="1"/>
  <c r="P674" i="6"/>
  <c r="R70" i="9"/>
  <c r="E75" i="9"/>
  <c r="K396" i="5"/>
  <c r="K161" i="5" s="1"/>
  <c r="J396" i="5"/>
  <c r="J161" i="5" s="1"/>
  <c r="C226" i="3"/>
  <c r="AM70" i="9"/>
  <c r="AH70" i="9"/>
  <c r="AC70" i="9"/>
  <c r="X70" i="9"/>
  <c r="AL70" i="9"/>
  <c r="AG70" i="9"/>
  <c r="J397" i="5" s="1"/>
  <c r="J162" i="5" s="1"/>
  <c r="AB70" i="9"/>
  <c r="H397" i="5" s="1"/>
  <c r="I397" i="5" s="1"/>
  <c r="AQ70" i="9"/>
  <c r="AQ75" i="9" s="1"/>
  <c r="CF83" i="9"/>
  <c r="CT83" i="9" s="1"/>
  <c r="BJ70" i="9"/>
  <c r="BJ75" i="9" s="1"/>
  <c r="BE70" i="9"/>
  <c r="BE75" i="9" s="1"/>
  <c r="AZ70" i="9"/>
  <c r="AZ75" i="9" s="1"/>
  <c r="O398" i="5"/>
  <c r="O163" i="5" s="1"/>
  <c r="N398" i="5"/>
  <c r="N163" i="5" s="1"/>
  <c r="M398" i="5"/>
  <c r="M163" i="5" s="1"/>
  <c r="L398" i="5"/>
  <c r="L163" i="5" s="1"/>
  <c r="K398" i="5"/>
  <c r="K163" i="5" s="1"/>
  <c r="H398" i="5"/>
  <c r="I398" i="5" s="1"/>
  <c r="D398" i="5"/>
  <c r="D163" i="5" s="1"/>
  <c r="C397" i="5"/>
  <c r="A39" i="12"/>
  <c r="A127" i="5"/>
  <c r="J398" i="5"/>
  <c r="J163" i="5" s="1"/>
  <c r="H75" i="9"/>
  <c r="CS83" i="9"/>
  <c r="CF70" i="9"/>
  <c r="CG70" i="9" s="1"/>
  <c r="CS70" i="9"/>
  <c r="O1215" i="6"/>
  <c r="N1215" i="6"/>
  <c r="M1215" i="6"/>
  <c r="L1215" i="6"/>
  <c r="K1215" i="6"/>
  <c r="J1215" i="6"/>
  <c r="H1215" i="6"/>
  <c r="I1215" i="6" s="1"/>
  <c r="D1215" i="6"/>
  <c r="A107" i="8"/>
  <c r="A109" i="8"/>
  <c r="F24" i="14"/>
  <c r="F59" i="14"/>
  <c r="F63" i="14"/>
  <c r="F48" i="14"/>
  <c r="F51" i="14"/>
  <c r="B1763" i="6"/>
  <c r="B785" i="6"/>
  <c r="B93" i="6" s="1"/>
  <c r="B777" i="6"/>
  <c r="B478" i="7"/>
  <c r="B477" i="7"/>
  <c r="A111" i="3" s="1"/>
  <c r="CF169" i="9"/>
  <c r="CG169" i="9" s="1"/>
  <c r="CU169" i="9" s="1"/>
  <c r="BJ169" i="9"/>
  <c r="BE169" i="9"/>
  <c r="AZ169" i="9"/>
  <c r="AU169" i="9"/>
  <c r="B155" i="6"/>
  <c r="B159" i="6"/>
  <c r="B160" i="6"/>
  <c r="B161" i="6"/>
  <c r="CS169" i="9"/>
  <c r="CT169" i="9"/>
  <c r="O948" i="6"/>
  <c r="N948" i="6"/>
  <c r="M948" i="6"/>
  <c r="L948" i="6"/>
  <c r="K948" i="6"/>
  <c r="J948" i="6"/>
  <c r="H948" i="6"/>
  <c r="I948" i="6" s="1"/>
  <c r="B764" i="6"/>
  <c r="B78" i="6" s="1"/>
  <c r="B178" i="8"/>
  <c r="B44" i="8" s="1"/>
  <c r="B734" i="7"/>
  <c r="B737" i="7" s="1"/>
  <c r="A1066" i="6"/>
  <c r="A1072" i="6" s="1"/>
  <c r="B1795" i="6"/>
  <c r="B629" i="6" s="1"/>
  <c r="D875" i="6"/>
  <c r="A82" i="12"/>
  <c r="A37" i="12"/>
  <c r="A81" i="12"/>
  <c r="AA113" i="11"/>
  <c r="X113" i="11"/>
  <c r="U113" i="11"/>
  <c r="R113" i="11"/>
  <c r="O113" i="11"/>
  <c r="L113" i="11"/>
  <c r="I113" i="11"/>
  <c r="B1928" i="6"/>
  <c r="B664" i="6" s="1"/>
  <c r="B1885" i="6"/>
  <c r="B654" i="6" s="1"/>
  <c r="B1798" i="6"/>
  <c r="C772" i="34" s="1"/>
  <c r="B1042" i="6"/>
  <c r="B259" i="6" s="1"/>
  <c r="B1057" i="6"/>
  <c r="B1032" i="6"/>
  <c r="B252" i="6" s="1"/>
  <c r="B1133" i="6"/>
  <c r="B325" i="6" s="1"/>
  <c r="B1098" i="6"/>
  <c r="B1104" i="6"/>
  <c r="P40" i="45"/>
  <c r="B1180" i="6"/>
  <c r="C727" i="34" s="1"/>
  <c r="B1188" i="6"/>
  <c r="B1245" i="6"/>
  <c r="C728" i="34" s="1"/>
  <c r="B1339" i="6"/>
  <c r="C729" i="34" s="1"/>
  <c r="B1295" i="6"/>
  <c r="B1299" i="6" s="1"/>
  <c r="B2030" i="6"/>
  <c r="B726" i="6" s="1"/>
  <c r="A1653" i="6"/>
  <c r="A521" i="6" s="1"/>
  <c r="B1601" i="6"/>
  <c r="B484" i="6" s="1"/>
  <c r="A1776" i="6"/>
  <c r="A612" i="6" s="1"/>
  <c r="B963" i="6"/>
  <c r="B850" i="6"/>
  <c r="B866" i="6" s="1"/>
  <c r="B858" i="7"/>
  <c r="B325" i="7" s="1"/>
  <c r="A858" i="7"/>
  <c r="A864" i="7" s="1"/>
  <c r="B871" i="7"/>
  <c r="B336" i="7" s="1"/>
  <c r="B836" i="7"/>
  <c r="B915" i="7"/>
  <c r="B345" i="7" s="1"/>
  <c r="B832" i="7"/>
  <c r="B830" i="7"/>
  <c r="B852" i="7"/>
  <c r="B319" i="7" s="1"/>
  <c r="B631" i="7"/>
  <c r="B188" i="7" s="1"/>
  <c r="B607" i="7"/>
  <c r="B618" i="7" s="1"/>
  <c r="B792" i="7"/>
  <c r="B281" i="7" s="1"/>
  <c r="B742" i="7"/>
  <c r="B272" i="7" s="1"/>
  <c r="AA40" i="11"/>
  <c r="X40" i="11"/>
  <c r="U40" i="11"/>
  <c r="R40" i="11"/>
  <c r="O40" i="11"/>
  <c r="L40" i="11"/>
  <c r="I40" i="11"/>
  <c r="B502" i="7"/>
  <c r="B85" i="7" s="1"/>
  <c r="B1055" i="7"/>
  <c r="B406" i="7" s="1"/>
  <c r="B1096" i="7"/>
  <c r="B1020" i="7"/>
  <c r="B384" i="7" s="1"/>
  <c r="A280" i="4"/>
  <c r="B280" i="4"/>
  <c r="C280" i="4"/>
  <c r="B281" i="4"/>
  <c r="A281" i="4"/>
  <c r="A540" i="8"/>
  <c r="A159" i="8" s="1"/>
  <c r="A32" i="8" s="1"/>
  <c r="B468" i="8"/>
  <c r="B502" i="8"/>
  <c r="B131" i="8" s="1"/>
  <c r="B119" i="8"/>
  <c r="AU21" i="42"/>
  <c r="B249" i="8"/>
  <c r="B323" i="8"/>
  <c r="B68" i="8" s="1"/>
  <c r="B69" i="8"/>
  <c r="B38" i="27"/>
  <c r="AA8" i="11"/>
  <c r="X8" i="11"/>
  <c r="U8" i="11"/>
  <c r="R8" i="11"/>
  <c r="O8" i="11"/>
  <c r="L8" i="11"/>
  <c r="I8" i="11"/>
  <c r="O709" i="4"/>
  <c r="O202" i="4" s="1"/>
  <c r="N709" i="4"/>
  <c r="N202" i="4" s="1"/>
  <c r="M709" i="4"/>
  <c r="M202" i="4" s="1"/>
  <c r="L709" i="4"/>
  <c r="L202" i="4" s="1"/>
  <c r="K709" i="4"/>
  <c r="K202" i="4" s="1"/>
  <c r="J709" i="4"/>
  <c r="J202" i="4" s="1"/>
  <c r="H202" i="4"/>
  <c r="B415" i="5"/>
  <c r="B419" i="5" s="1"/>
  <c r="B353" i="5"/>
  <c r="B361" i="5" s="1"/>
  <c r="B257" i="5"/>
  <c r="B259" i="5" s="1"/>
  <c r="B432" i="4"/>
  <c r="B104" i="4" s="1"/>
  <c r="B443" i="4"/>
  <c r="B109" i="4" s="1"/>
  <c r="B623" i="4"/>
  <c r="B612" i="4"/>
  <c r="B615" i="4" s="1"/>
  <c r="B110" i="4" s="1"/>
  <c r="B753" i="4"/>
  <c r="C717" i="34" s="1"/>
  <c r="B789" i="4"/>
  <c r="B279" i="4" s="1"/>
  <c r="A88" i="12"/>
  <c r="C129" i="8"/>
  <c r="E32" i="1"/>
  <c r="F186" i="22"/>
  <c r="G186" i="22"/>
  <c r="H186" i="22"/>
  <c r="I186" i="22"/>
  <c r="J186" i="22"/>
  <c r="K186" i="22"/>
  <c r="L186" i="22"/>
  <c r="M186" i="22"/>
  <c r="N186" i="22"/>
  <c r="S186" i="22"/>
  <c r="T186" i="22"/>
  <c r="U186" i="22"/>
  <c r="V186" i="22"/>
  <c r="F175" i="22"/>
  <c r="G175" i="22"/>
  <c r="H175" i="22"/>
  <c r="I175" i="22"/>
  <c r="J175" i="22"/>
  <c r="K175" i="22"/>
  <c r="L175" i="22"/>
  <c r="M175" i="22"/>
  <c r="N175" i="22"/>
  <c r="G162" i="22"/>
  <c r="H162" i="22"/>
  <c r="I162" i="22"/>
  <c r="J162" i="22"/>
  <c r="K162" i="22"/>
  <c r="L162" i="22"/>
  <c r="M162" i="22"/>
  <c r="N162" i="22"/>
  <c r="S162" i="22"/>
  <c r="T162" i="22"/>
  <c r="U162" i="22"/>
  <c r="V166" i="22"/>
  <c r="V165" i="22"/>
  <c r="V164" i="22"/>
  <c r="AT70" i="37"/>
  <c r="N1028" i="6"/>
  <c r="N247" i="6" s="1"/>
  <c r="M1028" i="6"/>
  <c r="M247" i="6" s="1"/>
  <c r="L1028" i="6"/>
  <c r="L247" i="6" s="1"/>
  <c r="K1028" i="6"/>
  <c r="K247" i="6" s="1"/>
  <c r="J1028" i="6"/>
  <c r="J247" i="6" s="1"/>
  <c r="H1028" i="6"/>
  <c r="I1028" i="6" s="1"/>
  <c r="D782" i="34"/>
  <c r="I782" i="34"/>
  <c r="D247" i="6"/>
  <c r="E782" i="34"/>
  <c r="J782" i="34"/>
  <c r="AT107" i="37"/>
  <c r="AT19" i="37"/>
  <c r="C129" i="4"/>
  <c r="B129" i="4"/>
  <c r="A129" i="4"/>
  <c r="I12" i="1"/>
  <c r="H260" i="6"/>
  <c r="I260" i="6" s="1"/>
  <c r="D108" i="8"/>
  <c r="AW11" i="42" s="1"/>
  <c r="C105" i="15" s="1"/>
  <c r="F79" i="1"/>
  <c r="G79" i="1" s="1"/>
  <c r="H79" i="1" s="1"/>
  <c r="I79" i="1" s="1"/>
  <c r="J79" i="1" s="1"/>
  <c r="K79" i="1" s="1"/>
  <c r="L79" i="1" s="1"/>
  <c r="M79" i="1" s="1"/>
  <c r="N79" i="1" s="1"/>
  <c r="E59" i="1"/>
  <c r="F59" i="1" s="1"/>
  <c r="G59" i="1" s="1"/>
  <c r="H59" i="1" s="1"/>
  <c r="I59" i="1" s="1"/>
  <c r="J59" i="1" s="1"/>
  <c r="K59" i="1" s="1"/>
  <c r="E58" i="1"/>
  <c r="B286" i="3" s="1"/>
  <c r="B296" i="3" s="1"/>
  <c r="F29" i="1"/>
  <c r="H34" i="1"/>
  <c r="I34" i="1"/>
  <c r="J34" i="1"/>
  <c r="K34" i="1" s="1"/>
  <c r="L34" i="1" s="1"/>
  <c r="M34" i="1" s="1"/>
  <c r="N34" i="1" s="1"/>
  <c r="O34" i="1" s="1"/>
  <c r="P34" i="1" s="1"/>
  <c r="Q34" i="1" s="1"/>
  <c r="H54" i="1"/>
  <c r="I54" i="1" s="1"/>
  <c r="J54" i="1" s="1"/>
  <c r="K54" i="1" s="1"/>
  <c r="L54" i="1" s="1"/>
  <c r="M54" i="1" s="1"/>
  <c r="N54" i="1" s="1"/>
  <c r="O54" i="1" s="1"/>
  <c r="P54" i="1" s="1"/>
  <c r="Q54" i="1" s="1"/>
  <c r="H321" i="6"/>
  <c r="I321" i="6" s="1"/>
  <c r="H319" i="6"/>
  <c r="I319" i="6" s="1"/>
  <c r="H427" i="6"/>
  <c r="I427" i="6" s="1"/>
  <c r="C106" i="8"/>
  <c r="H58" i="1"/>
  <c r="G286" i="3" s="1"/>
  <c r="D759" i="34"/>
  <c r="D781" i="34" s="1"/>
  <c r="E762" i="34"/>
  <c r="D762" i="34"/>
  <c r="I58" i="1"/>
  <c r="J58" i="1" s="1"/>
  <c r="C761" i="34"/>
  <c r="C760" i="34"/>
  <c r="D31" i="34"/>
  <c r="D71" i="34"/>
  <c r="D29" i="34" s="1"/>
  <c r="E25" i="34"/>
  <c r="D25" i="34"/>
  <c r="F8" i="1"/>
  <c r="F11" i="1" s="1"/>
  <c r="N50" i="48"/>
  <c r="N35" i="48"/>
  <c r="N40" i="48"/>
  <c r="C425" i="6"/>
  <c r="A425" i="6"/>
  <c r="C264" i="7"/>
  <c r="A264" i="7"/>
  <c r="C121" i="8"/>
  <c r="C56" i="8"/>
  <c r="E28" i="1"/>
  <c r="F28" i="1" s="1"/>
  <c r="G28" i="1" s="1"/>
  <c r="H28" i="1" s="1"/>
  <c r="I28" i="1" s="1"/>
  <c r="E27" i="1"/>
  <c r="B289" i="3"/>
  <c r="B299" i="3" s="1"/>
  <c r="B627" i="6"/>
  <c r="A627" i="6"/>
  <c r="C627" i="6"/>
  <c r="B697" i="6"/>
  <c r="F26" i="1"/>
  <c r="G26" i="1" s="1"/>
  <c r="F32" i="1"/>
  <c r="F27" i="1"/>
  <c r="C626" i="6"/>
  <c r="B626" i="6"/>
  <c r="B645" i="6"/>
  <c r="A645" i="6"/>
  <c r="C645" i="6"/>
  <c r="D627" i="6"/>
  <c r="D697" i="6"/>
  <c r="H31" i="1"/>
  <c r="I31" i="1" s="1"/>
  <c r="J31" i="1" s="1"/>
  <c r="K31" i="1" s="1"/>
  <c r="L31" i="1" s="1"/>
  <c r="M31" i="1" s="1"/>
  <c r="N31" i="1" s="1"/>
  <c r="O31" i="1" s="1"/>
  <c r="P31" i="1" s="1"/>
  <c r="Q31" i="1" s="1"/>
  <c r="B190" i="48"/>
  <c r="B235" i="48" s="1"/>
  <c r="K40" i="48"/>
  <c r="B173" i="48"/>
  <c r="B218" i="48" s="1"/>
  <c r="B174" i="48"/>
  <c r="B219" i="48" s="1"/>
  <c r="B175" i="48"/>
  <c r="B220" i="48" s="1"/>
  <c r="B176" i="48"/>
  <c r="B221" i="48" s="1"/>
  <c r="B177" i="48"/>
  <c r="B222" i="48" s="1"/>
  <c r="B178" i="48"/>
  <c r="B223" i="48" s="1"/>
  <c r="B179" i="48"/>
  <c r="B224" i="48" s="1"/>
  <c r="B180" i="48"/>
  <c r="B225" i="48" s="1"/>
  <c r="B181" i="48"/>
  <c r="B226" i="48" s="1"/>
  <c r="B182" i="48"/>
  <c r="B227" i="48" s="1"/>
  <c r="B183" i="48"/>
  <c r="B228" i="48" s="1"/>
  <c r="B184" i="48"/>
  <c r="B229" i="48" s="1"/>
  <c r="B185" i="48"/>
  <c r="B230" i="48" s="1"/>
  <c r="B186" i="48"/>
  <c r="B231" i="48" s="1"/>
  <c r="B187" i="48"/>
  <c r="B232" i="48" s="1"/>
  <c r="B188" i="48"/>
  <c r="B233" i="48" s="1"/>
  <c r="B189" i="48"/>
  <c r="B234" i="48" s="1"/>
  <c r="B201" i="48"/>
  <c r="B246" i="48" s="1"/>
  <c r="B191" i="48"/>
  <c r="B236" i="48" s="1"/>
  <c r="B192" i="48"/>
  <c r="B237" i="48" s="1"/>
  <c r="B193" i="48"/>
  <c r="B238" i="48" s="1"/>
  <c r="B194" i="48"/>
  <c r="B239" i="48" s="1"/>
  <c r="B195" i="48"/>
  <c r="B240" i="48" s="1"/>
  <c r="B196" i="48"/>
  <c r="B241" i="48" s="1"/>
  <c r="B197" i="48"/>
  <c r="B242" i="48" s="1"/>
  <c r="B198" i="48"/>
  <c r="B243" i="48" s="1"/>
  <c r="B199" i="48"/>
  <c r="B244" i="48" s="1"/>
  <c r="B200" i="48"/>
  <c r="B245" i="48" s="1"/>
  <c r="B202" i="48"/>
  <c r="B247" i="48" s="1"/>
  <c r="B203" i="48"/>
  <c r="B248" i="48" s="1"/>
  <c r="B204" i="48"/>
  <c r="B249" i="48" s="1"/>
  <c r="B171" i="48"/>
  <c r="B172" i="48"/>
  <c r="B216" i="48" s="1"/>
  <c r="CS10" i="9"/>
  <c r="C661" i="6"/>
  <c r="B661" i="6"/>
  <c r="A661" i="6"/>
  <c r="C664" i="6"/>
  <c r="A664" i="6"/>
  <c r="C663" i="6"/>
  <c r="B663" i="6"/>
  <c r="A663" i="6"/>
  <c r="D664" i="6"/>
  <c r="D663" i="6"/>
  <c r="F17" i="1"/>
  <c r="G17" i="1" s="1"/>
  <c r="H17" i="1" s="1"/>
  <c r="I17" i="1" s="1"/>
  <c r="J17" i="1" s="1"/>
  <c r="K17" i="1" s="1"/>
  <c r="L17" i="1" s="1"/>
  <c r="M17" i="1" s="1"/>
  <c r="N17" i="1" s="1"/>
  <c r="O17" i="1" s="1"/>
  <c r="P17" i="1" s="1"/>
  <c r="Q17" i="1" s="1"/>
  <c r="D660" i="34"/>
  <c r="E660" i="34" s="1"/>
  <c r="D355" i="7"/>
  <c r="C355" i="7"/>
  <c r="B355" i="7"/>
  <c r="C942" i="7"/>
  <c r="A950" i="7"/>
  <c r="A369" i="7" s="1"/>
  <c r="A947" i="6"/>
  <c r="A176" i="6" s="1"/>
  <c r="D354" i="7"/>
  <c r="C354" i="7"/>
  <c r="B354" i="7"/>
  <c r="D1000" i="7"/>
  <c r="C1000" i="7"/>
  <c r="B1000" i="7"/>
  <c r="A1000" i="7"/>
  <c r="A1117" i="7"/>
  <c r="A432" i="7" s="1"/>
  <c r="E81" i="14"/>
  <c r="F81" i="14"/>
  <c r="G81" i="14"/>
  <c r="H81" i="14"/>
  <c r="I81" i="14"/>
  <c r="J81" i="14"/>
  <c r="K81" i="14"/>
  <c r="L81" i="14"/>
  <c r="M81" i="14"/>
  <c r="N81" i="14"/>
  <c r="D86" i="14"/>
  <c r="G64" i="9"/>
  <c r="G66" i="9" s="1"/>
  <c r="C669" i="6"/>
  <c r="B669" i="6"/>
  <c r="B639" i="6"/>
  <c r="B652" i="6"/>
  <c r="B649" i="6"/>
  <c r="B648" i="6"/>
  <c r="A668" i="6"/>
  <c r="A667" i="6"/>
  <c r="A666" i="6"/>
  <c r="A665" i="6"/>
  <c r="A660" i="6"/>
  <c r="A662" i="6"/>
  <c r="A659" i="6"/>
  <c r="A658" i="6"/>
  <c r="B668" i="6"/>
  <c r="B667" i="6"/>
  <c r="B666" i="6"/>
  <c r="B665" i="6"/>
  <c r="B660" i="6"/>
  <c r="B662" i="6"/>
  <c r="B659" i="6"/>
  <c r="B658" i="6"/>
  <c r="C660" i="6"/>
  <c r="AE62" i="9"/>
  <c r="AF62" i="9" s="1"/>
  <c r="C662" i="6"/>
  <c r="C659" i="6"/>
  <c r="C1813" i="6"/>
  <c r="AP9" i="22"/>
  <c r="AT9" i="22"/>
  <c r="AX9" i="22"/>
  <c r="BB9" i="22"/>
  <c r="CH59" i="22"/>
  <c r="BB59" i="22"/>
  <c r="AX59" i="22"/>
  <c r="AT59" i="22"/>
  <c r="AP59" i="22"/>
  <c r="AL59" i="22"/>
  <c r="AH59" i="22"/>
  <c r="AD59" i="22"/>
  <c r="V59" i="22"/>
  <c r="CH58" i="22"/>
  <c r="BB58" i="22"/>
  <c r="AX58" i="22"/>
  <c r="AT58" i="22"/>
  <c r="AP58" i="22"/>
  <c r="AL58" i="22"/>
  <c r="AH58" i="22"/>
  <c r="AD58" i="22"/>
  <c r="V58" i="22"/>
  <c r="CS217" i="9"/>
  <c r="CS132" i="9"/>
  <c r="C585" i="6"/>
  <c r="C584" i="6"/>
  <c r="B584" i="6"/>
  <c r="A584" i="6"/>
  <c r="A585" i="6"/>
  <c r="B585" i="6"/>
  <c r="A592" i="6"/>
  <c r="B592" i="6"/>
  <c r="C592" i="6"/>
  <c r="AI16" i="21"/>
  <c r="AK16" i="21" s="1"/>
  <c r="AI42" i="21"/>
  <c r="AK42" i="21" s="1"/>
  <c r="AI49" i="21"/>
  <c r="AK49" i="21" s="1"/>
  <c r="AI46" i="21"/>
  <c r="AI50" i="21"/>
  <c r="AK50" i="21" s="1"/>
  <c r="AI51" i="21"/>
  <c r="AK51" i="21" s="1"/>
  <c r="AI41" i="21"/>
  <c r="AK41" i="21" s="1"/>
  <c r="AI40" i="21"/>
  <c r="AK40" i="21" s="1"/>
  <c r="AI48" i="21"/>
  <c r="AK48" i="21" s="1"/>
  <c r="AI45" i="21"/>
  <c r="AE42" i="21"/>
  <c r="AG42" i="21" s="1"/>
  <c r="AE49" i="21"/>
  <c r="AG49" i="21" s="1"/>
  <c r="AE46" i="21"/>
  <c r="AG46" i="21" s="1"/>
  <c r="AE51" i="21"/>
  <c r="AG51" i="21" s="1"/>
  <c r="AE41" i="21"/>
  <c r="AG41" i="21" s="1"/>
  <c r="AE40" i="21"/>
  <c r="AG40" i="21" s="1"/>
  <c r="AE48" i="21"/>
  <c r="AE45" i="21"/>
  <c r="AG45" i="21" s="1"/>
  <c r="AA42" i="21"/>
  <c r="AC42" i="21" s="1"/>
  <c r="AA49" i="21"/>
  <c r="AC49" i="21" s="1"/>
  <c r="AA46" i="21"/>
  <c r="AC46" i="21" s="1"/>
  <c r="AA50" i="21"/>
  <c r="AC50" i="21" s="1"/>
  <c r="AA51" i="21"/>
  <c r="AC51" i="21" s="1"/>
  <c r="AA41" i="21"/>
  <c r="AC41" i="21" s="1"/>
  <c r="AC40" i="21"/>
  <c r="AA48" i="21"/>
  <c r="AC48" i="21"/>
  <c r="AA45" i="21"/>
  <c r="AC45" i="21" s="1"/>
  <c r="W42" i="21"/>
  <c r="Y42" i="21" s="1"/>
  <c r="W49" i="21"/>
  <c r="Y49" i="21" s="1"/>
  <c r="W46" i="21"/>
  <c r="Y46" i="21" s="1"/>
  <c r="W50" i="21"/>
  <c r="Y50" i="21" s="1"/>
  <c r="W51" i="21"/>
  <c r="Y51" i="21" s="1"/>
  <c r="W41" i="21"/>
  <c r="Y41" i="21" s="1"/>
  <c r="W48" i="21"/>
  <c r="Y48" i="21" s="1"/>
  <c r="W45" i="21"/>
  <c r="Y45" i="21" s="1"/>
  <c r="S48" i="21"/>
  <c r="U48" i="21" s="1"/>
  <c r="S40" i="21"/>
  <c r="U40" i="21" s="1"/>
  <c r="S41" i="21"/>
  <c r="U41" i="21" s="1"/>
  <c r="S51" i="21"/>
  <c r="U51" i="21"/>
  <c r="S50" i="21"/>
  <c r="U50" i="21" s="1"/>
  <c r="S46" i="21"/>
  <c r="U46" i="21" s="1"/>
  <c r="S49" i="21"/>
  <c r="U49" i="21" s="1"/>
  <c r="S42" i="21"/>
  <c r="U42" i="21" s="1"/>
  <c r="S45" i="21"/>
  <c r="U45" i="21" s="1"/>
  <c r="AA29" i="21"/>
  <c r="AC29" i="21" s="1"/>
  <c r="W29" i="21"/>
  <c r="Y29" i="21" s="1"/>
  <c r="S29" i="21"/>
  <c r="U29" i="21" s="1"/>
  <c r="AA28" i="21"/>
  <c r="AC28" i="21" s="1"/>
  <c r="W28" i="21"/>
  <c r="Y28" i="21" s="1"/>
  <c r="U28" i="21"/>
  <c r="AA37" i="21"/>
  <c r="AC37" i="21" s="1"/>
  <c r="W37" i="21"/>
  <c r="Y37" i="21" s="1"/>
  <c r="S37" i="21"/>
  <c r="U37" i="21" s="1"/>
  <c r="AA36" i="21"/>
  <c r="AC36" i="21" s="1"/>
  <c r="W36" i="21"/>
  <c r="Y36" i="21" s="1"/>
  <c r="S36" i="21"/>
  <c r="U36" i="21" s="1"/>
  <c r="S35" i="21"/>
  <c r="AA34" i="21"/>
  <c r="AC34" i="21" s="1"/>
  <c r="S34" i="21"/>
  <c r="AA33" i="21"/>
  <c r="AC33" i="21" s="1"/>
  <c r="W33" i="21"/>
  <c r="Y33" i="21" s="1"/>
  <c r="U33" i="21"/>
  <c r="AA14" i="21"/>
  <c r="W14" i="21"/>
  <c r="Y14" i="21" s="1"/>
  <c r="S14" i="21"/>
  <c r="U14" i="21" s="1"/>
  <c r="AY48" i="21"/>
  <c r="BA48" i="21" s="1"/>
  <c r="AU48" i="21"/>
  <c r="AW48" i="21" s="1"/>
  <c r="AQ48" i="21"/>
  <c r="AS48" i="21" s="1"/>
  <c r="AO48" i="21"/>
  <c r="AG48" i="21"/>
  <c r="AY40" i="21"/>
  <c r="BA40" i="21" s="1"/>
  <c r="AU40" i="21"/>
  <c r="AW40" i="21" s="1"/>
  <c r="AQ40" i="21"/>
  <c r="AS40" i="21" s="1"/>
  <c r="AO40" i="21"/>
  <c r="AY41" i="21"/>
  <c r="BA41" i="21" s="1"/>
  <c r="AU41" i="21"/>
  <c r="AW41" i="21" s="1"/>
  <c r="AQ41" i="21"/>
  <c r="AS41" i="21" s="1"/>
  <c r="AO41" i="21"/>
  <c r="AY51" i="21"/>
  <c r="BA51" i="21" s="1"/>
  <c r="AU51" i="21"/>
  <c r="AW51" i="21" s="1"/>
  <c r="AQ51" i="21"/>
  <c r="AS51" i="21" s="1"/>
  <c r="AM51" i="21"/>
  <c r="AO51" i="21" s="1"/>
  <c r="AY50" i="21"/>
  <c r="BA50" i="21" s="1"/>
  <c r="AU50" i="21"/>
  <c r="AW50" i="21" s="1"/>
  <c r="AS50" i="21"/>
  <c r="AM50" i="21"/>
  <c r="AO50" i="21" s="1"/>
  <c r="AG50" i="21"/>
  <c r="BA46" i="21"/>
  <c r="AU46" i="21"/>
  <c r="AW46" i="21" s="1"/>
  <c r="AQ46" i="21"/>
  <c r="AS46" i="21" s="1"/>
  <c r="AO46" i="21"/>
  <c r="AK46" i="21"/>
  <c r="AY49" i="21"/>
  <c r="BA49" i="21" s="1"/>
  <c r="AU49" i="21"/>
  <c r="AW49" i="21" s="1"/>
  <c r="AQ49" i="21"/>
  <c r="AS49" i="21" s="1"/>
  <c r="AO49" i="21"/>
  <c r="AY42" i="21"/>
  <c r="BA42" i="21" s="1"/>
  <c r="AU42" i="21"/>
  <c r="AW42" i="21" s="1"/>
  <c r="AS42" i="21"/>
  <c r="AO42" i="21"/>
  <c r="AW45" i="21"/>
  <c r="AQ45" i="21"/>
  <c r="AS45" i="21" s="1"/>
  <c r="AO45" i="21"/>
  <c r="AK45" i="21"/>
  <c r="AY29" i="21"/>
  <c r="BA29" i="21" s="1"/>
  <c r="AU29" i="21"/>
  <c r="AW29" i="21" s="1"/>
  <c r="AQ29" i="21"/>
  <c r="AS29" i="21" s="1"/>
  <c r="AM29" i="21"/>
  <c r="AO29" i="21" s="1"/>
  <c r="AI29" i="21"/>
  <c r="AK29" i="21" s="1"/>
  <c r="AE29" i="21"/>
  <c r="AG29" i="21" s="1"/>
  <c r="AY28" i="21"/>
  <c r="BA28" i="21" s="1"/>
  <c r="AU28" i="21"/>
  <c r="AW28" i="21" s="1"/>
  <c r="AQ28" i="21"/>
  <c r="AS28" i="21" s="1"/>
  <c r="AM28" i="21"/>
  <c r="AO28" i="21" s="1"/>
  <c r="AI28" i="21"/>
  <c r="AK28" i="21" s="1"/>
  <c r="AE28" i="21"/>
  <c r="AG28" i="21" s="1"/>
  <c r="AM33" i="21"/>
  <c r="AO33" i="21" s="1"/>
  <c r="AM34" i="21"/>
  <c r="AO34" i="21" s="1"/>
  <c r="AM35" i="21"/>
  <c r="AO35" i="21" s="1"/>
  <c r="AM36" i="21"/>
  <c r="AO36" i="21" s="1"/>
  <c r="AM37" i="21"/>
  <c r="AO37" i="21" s="1"/>
  <c r="AY37" i="21"/>
  <c r="BA37" i="21" s="1"/>
  <c r="AU37" i="21"/>
  <c r="AW37" i="21" s="1"/>
  <c r="AQ37" i="21"/>
  <c r="AS37" i="21" s="1"/>
  <c r="AI37" i="21"/>
  <c r="AK37" i="21" s="1"/>
  <c r="AE37" i="21"/>
  <c r="AG37" i="21" s="1"/>
  <c r="AY36" i="21"/>
  <c r="BA36" i="21" s="1"/>
  <c r="AU36" i="21"/>
  <c r="AW36" i="21" s="1"/>
  <c r="AQ36" i="21"/>
  <c r="AS36" i="21" s="1"/>
  <c r="AI36" i="21"/>
  <c r="AK36" i="21" s="1"/>
  <c r="AE36" i="21"/>
  <c r="AG36" i="21" s="1"/>
  <c r="AY35" i="21"/>
  <c r="BA35" i="21" s="1"/>
  <c r="AU35" i="21"/>
  <c r="AW35" i="21" s="1"/>
  <c r="AQ35" i="21"/>
  <c r="AS35" i="21" s="1"/>
  <c r="AI35" i="21"/>
  <c r="AK35" i="21" s="1"/>
  <c r="AE35" i="21"/>
  <c r="AG35" i="21" s="1"/>
  <c r="AY34" i="21"/>
  <c r="BA34" i="21" s="1"/>
  <c r="AU34" i="21"/>
  <c r="AW34" i="21" s="1"/>
  <c r="AQ34" i="21"/>
  <c r="AS34" i="21" s="1"/>
  <c r="AI34" i="21"/>
  <c r="AK34" i="21" s="1"/>
  <c r="AE34" i="21"/>
  <c r="AG34" i="21" s="1"/>
  <c r="AY33" i="21"/>
  <c r="BA33" i="21" s="1"/>
  <c r="AU33" i="21"/>
  <c r="AW33" i="21" s="1"/>
  <c r="AQ33" i="21"/>
  <c r="AS33" i="21" s="1"/>
  <c r="AI33" i="21"/>
  <c r="AK33" i="21" s="1"/>
  <c r="AE33" i="21"/>
  <c r="AG33" i="21" s="1"/>
  <c r="AY16" i="21"/>
  <c r="BA16" i="21" s="1"/>
  <c r="AU16" i="21"/>
  <c r="AW16" i="21" s="1"/>
  <c r="AQ16" i="21"/>
  <c r="AS16" i="21" s="1"/>
  <c r="AE16" i="21"/>
  <c r="AG16" i="21" s="1"/>
  <c r="AY14" i="21"/>
  <c r="BA14" i="21" s="1"/>
  <c r="AU14" i="21"/>
  <c r="AQ14" i="21"/>
  <c r="AI14" i="21"/>
  <c r="AK14" i="21" s="1"/>
  <c r="AE14" i="21"/>
  <c r="AE15" i="21"/>
  <c r="AC15" i="21"/>
  <c r="S15" i="21"/>
  <c r="U15" i="21" s="1"/>
  <c r="AS14" i="21"/>
  <c r="AO14" i="21"/>
  <c r="AC14" i="21"/>
  <c r="AW14" i="21"/>
  <c r="U34" i="21"/>
  <c r="CF203" i="9"/>
  <c r="CG203" i="9" s="1"/>
  <c r="CF132" i="9"/>
  <c r="CG132" i="9" s="1"/>
  <c r="CF217" i="9"/>
  <c r="CG217" i="9" s="1"/>
  <c r="BT9" i="21"/>
  <c r="BU9" i="21" s="1"/>
  <c r="S91" i="22"/>
  <c r="W91" i="22"/>
  <c r="AA91" i="22"/>
  <c r="AE91" i="22"/>
  <c r="AI91" i="22"/>
  <c r="AM91" i="22"/>
  <c r="AQ91" i="22"/>
  <c r="AU91" i="22"/>
  <c r="AY91" i="22"/>
  <c r="C643" i="6"/>
  <c r="C629" i="6"/>
  <c r="C644" i="6"/>
  <c r="C630" i="6"/>
  <c r="A643" i="6"/>
  <c r="B643" i="6"/>
  <c r="A629" i="6"/>
  <c r="A644" i="6"/>
  <c r="B644" i="6"/>
  <c r="A630" i="6"/>
  <c r="B630" i="6"/>
  <c r="C759" i="4"/>
  <c r="C238" i="4" s="1"/>
  <c r="B759" i="4"/>
  <c r="B238" i="4" s="1"/>
  <c r="V17" i="9"/>
  <c r="O946" i="6"/>
  <c r="O175" i="6" s="1"/>
  <c r="N946" i="6"/>
  <c r="N175" i="6" s="1"/>
  <c r="M946" i="6"/>
  <c r="M175" i="6" s="1"/>
  <c r="L946" i="6"/>
  <c r="L175" i="6" s="1"/>
  <c r="K946" i="6"/>
  <c r="K175" i="6" s="1"/>
  <c r="J946" i="6"/>
  <c r="J175" i="6" s="1"/>
  <c r="I946" i="6"/>
  <c r="C130" i="6"/>
  <c r="A130" i="6"/>
  <c r="A132" i="6" s="1"/>
  <c r="A7" i="6" s="1"/>
  <c r="D941" i="6"/>
  <c r="C941" i="6"/>
  <c r="B941" i="6"/>
  <c r="A941" i="6"/>
  <c r="A938" i="6"/>
  <c r="A940" i="6" s="1"/>
  <c r="C155" i="6"/>
  <c r="A155" i="6"/>
  <c r="A212" i="42"/>
  <c r="O114" i="6"/>
  <c r="N114" i="6"/>
  <c r="M114" i="6"/>
  <c r="L114" i="6"/>
  <c r="K114" i="6"/>
  <c r="J114" i="6"/>
  <c r="H114" i="6"/>
  <c r="I114" i="6" s="1"/>
  <c r="D114" i="6"/>
  <c r="C114" i="6"/>
  <c r="B114" i="6"/>
  <c r="A118" i="6"/>
  <c r="A117" i="6"/>
  <c r="A116" i="6"/>
  <c r="A115" i="6"/>
  <c r="A114" i="6"/>
  <c r="C79" i="6"/>
  <c r="A79" i="6"/>
  <c r="B79" i="6"/>
  <c r="C866" i="6"/>
  <c r="A866" i="6"/>
  <c r="O174" i="6"/>
  <c r="N174" i="6"/>
  <c r="M174" i="6"/>
  <c r="L174" i="6"/>
  <c r="K174" i="6"/>
  <c r="J174" i="6"/>
  <c r="H174" i="6"/>
  <c r="I174" i="6" s="1"/>
  <c r="D174" i="6"/>
  <c r="C174" i="6"/>
  <c r="B174" i="6"/>
  <c r="A178" i="6"/>
  <c r="A177" i="6"/>
  <c r="A175" i="6"/>
  <c r="A174" i="6"/>
  <c r="F125" i="6"/>
  <c r="C154" i="6"/>
  <c r="B153" i="6"/>
  <c r="A154" i="6"/>
  <c r="A153" i="6"/>
  <c r="F7" i="6"/>
  <c r="F23" i="6" s="1"/>
  <c r="F39" i="6" s="1"/>
  <c r="G2074" i="6"/>
  <c r="D130" i="6"/>
  <c r="D155" i="6"/>
  <c r="D154" i="6"/>
  <c r="D153" i="6"/>
  <c r="C205" i="6"/>
  <c r="C204" i="6"/>
  <c r="B205" i="6"/>
  <c r="B204" i="6"/>
  <c r="A205" i="6"/>
  <c r="A204" i="6"/>
  <c r="F56" i="1"/>
  <c r="BJ61" i="9"/>
  <c r="BD61" i="9"/>
  <c r="BE61" i="9" s="1"/>
  <c r="AK61" i="9"/>
  <c r="AJ60" i="9"/>
  <c r="AK60" i="9" s="1"/>
  <c r="AJ58" i="9"/>
  <c r="G16" i="1"/>
  <c r="H16" i="1" s="1"/>
  <c r="I16" i="1" s="1"/>
  <c r="T7" i="22"/>
  <c r="V7" i="22" s="1"/>
  <c r="V139" i="22"/>
  <c r="D397" i="7"/>
  <c r="H386" i="7"/>
  <c r="I386" i="7" s="1"/>
  <c r="H387" i="7"/>
  <c r="I387" i="7" s="1"/>
  <c r="G778" i="34"/>
  <c r="H397" i="7"/>
  <c r="I397" i="7" s="1"/>
  <c r="E168" i="14"/>
  <c r="E208" i="14" s="1"/>
  <c r="A358" i="9"/>
  <c r="A306" i="9"/>
  <c r="A307" i="9"/>
  <c r="A504" i="9"/>
  <c r="AD16" i="22"/>
  <c r="Z6" i="22"/>
  <c r="AD8" i="22"/>
  <c r="V138" i="22"/>
  <c r="C91" i="6"/>
  <c r="C90" i="6"/>
  <c r="C89" i="6"/>
  <c r="C88" i="6"/>
  <c r="C86" i="6"/>
  <c r="B87" i="6"/>
  <c r="B88" i="6"/>
  <c r="B89" i="6"/>
  <c r="B90" i="6"/>
  <c r="B91" i="6"/>
  <c r="B86" i="6"/>
  <c r="A91" i="6"/>
  <c r="A90" i="6"/>
  <c r="A89" i="6"/>
  <c r="A88" i="6"/>
  <c r="A87" i="6"/>
  <c r="A86" i="6"/>
  <c r="P39" i="45"/>
  <c r="P45" i="45" s="1"/>
  <c r="D430" i="6"/>
  <c r="C430" i="6"/>
  <c r="B430" i="6"/>
  <c r="A430" i="6"/>
  <c r="AF97" i="9"/>
  <c r="J579" i="7"/>
  <c r="K579" i="7" s="1"/>
  <c r="L579" i="7" s="1"/>
  <c r="M579" i="7" s="1"/>
  <c r="N579" i="7" s="1"/>
  <c r="O579" i="7" s="1"/>
  <c r="P579" i="7" s="1"/>
  <c r="Q579" i="7" s="1"/>
  <c r="R579" i="7" s="1"/>
  <c r="S579" i="7" s="1"/>
  <c r="C323" i="6"/>
  <c r="B323" i="6"/>
  <c r="A323" i="6"/>
  <c r="CT97" i="9"/>
  <c r="CU97" i="9"/>
  <c r="B711" i="6"/>
  <c r="Z89" i="10"/>
  <c r="AB89" i="10" s="1"/>
  <c r="W89" i="10"/>
  <c r="Y89" i="10" s="1"/>
  <c r="T89" i="10"/>
  <c r="V89" i="10" s="1"/>
  <c r="A143" i="40"/>
  <c r="C16" i="48"/>
  <c r="C15" i="48"/>
  <c r="C14" i="48"/>
  <c r="C13" i="48"/>
  <c r="C12" i="48"/>
  <c r="C11" i="48"/>
  <c r="C10" i="48"/>
  <c r="C9" i="48"/>
  <c r="G864" i="4"/>
  <c r="G852" i="4"/>
  <c r="O255" i="4"/>
  <c r="N255" i="4"/>
  <c r="M255" i="4"/>
  <c r="L255" i="4"/>
  <c r="K255" i="4"/>
  <c r="J255" i="4"/>
  <c r="O254" i="4"/>
  <c r="N254" i="4"/>
  <c r="M254" i="4"/>
  <c r="L254" i="4"/>
  <c r="K254" i="4"/>
  <c r="J254" i="4"/>
  <c r="H254" i="4"/>
  <c r="O253" i="4"/>
  <c r="N253" i="4"/>
  <c r="M253" i="4"/>
  <c r="L253" i="4"/>
  <c r="K253" i="4"/>
  <c r="J253" i="4"/>
  <c r="H253" i="4"/>
  <c r="C253" i="4"/>
  <c r="B253" i="4"/>
  <c r="B254" i="4"/>
  <c r="A256" i="4"/>
  <c r="A255" i="4"/>
  <c r="A254" i="4"/>
  <c r="A253" i="4"/>
  <c r="A252" i="4"/>
  <c r="C241" i="4"/>
  <c r="C246" i="4" s="1"/>
  <c r="C228" i="4"/>
  <c r="B241" i="4"/>
  <c r="B246" i="4" s="1"/>
  <c r="A241" i="4"/>
  <c r="A246" i="4" s="1"/>
  <c r="A234" i="4"/>
  <c r="A231" i="4"/>
  <c r="B228" i="4"/>
  <c r="A228" i="4"/>
  <c r="B227" i="4"/>
  <c r="A227" i="4"/>
  <c r="C220" i="4"/>
  <c r="C217" i="4"/>
  <c r="C264" i="4" s="1"/>
  <c r="B220" i="4"/>
  <c r="A220" i="4"/>
  <c r="B217" i="4"/>
  <c r="A217" i="4"/>
  <c r="A264" i="4" s="1"/>
  <c r="F212" i="4"/>
  <c r="G863" i="4"/>
  <c r="G851" i="4"/>
  <c r="O204" i="4"/>
  <c r="N204" i="4"/>
  <c r="M204" i="4"/>
  <c r="L204" i="4"/>
  <c r="K204" i="4"/>
  <c r="J204" i="4"/>
  <c r="H204" i="4"/>
  <c r="O201" i="4"/>
  <c r="N201" i="4"/>
  <c r="M201" i="4"/>
  <c r="L201" i="4"/>
  <c r="K201" i="4"/>
  <c r="J201" i="4"/>
  <c r="H201" i="4"/>
  <c r="C201" i="4"/>
  <c r="A202" i="4"/>
  <c r="A203" i="4"/>
  <c r="A204" i="4"/>
  <c r="A205" i="4"/>
  <c r="B201" i="4"/>
  <c r="A201" i="4"/>
  <c r="C183" i="4"/>
  <c r="C182" i="4"/>
  <c r="C181" i="4"/>
  <c r="C180" i="4"/>
  <c r="B184" i="4"/>
  <c r="A184" i="4"/>
  <c r="B183" i="4"/>
  <c r="A183" i="4"/>
  <c r="B182" i="4"/>
  <c r="A182" i="4"/>
  <c r="B181" i="4"/>
  <c r="A181" i="4"/>
  <c r="B180" i="4"/>
  <c r="A180" i="4"/>
  <c r="C173" i="4"/>
  <c r="B174" i="4"/>
  <c r="B173" i="4"/>
  <c r="A174" i="4"/>
  <c r="A173" i="4"/>
  <c r="O187" i="4"/>
  <c r="N187" i="4"/>
  <c r="M187" i="4"/>
  <c r="L187" i="4"/>
  <c r="K187" i="4"/>
  <c r="J187" i="4"/>
  <c r="H187" i="4"/>
  <c r="I187" i="4" s="1"/>
  <c r="C187" i="4"/>
  <c r="B187" i="4"/>
  <c r="A187" i="4"/>
  <c r="D644" i="6"/>
  <c r="D626" i="6"/>
  <c r="F255" i="15"/>
  <c r="G255" i="15" s="1"/>
  <c r="G122" i="16"/>
  <c r="K255" i="15"/>
  <c r="K122" i="16"/>
  <c r="B255" i="15"/>
  <c r="B122" i="16"/>
  <c r="H255" i="15"/>
  <c r="H122" i="16"/>
  <c r="L255" i="15"/>
  <c r="L122" i="16"/>
  <c r="C255" i="15"/>
  <c r="C122" i="16"/>
  <c r="I255" i="15"/>
  <c r="I122" i="16"/>
  <c r="M255" i="15"/>
  <c r="M122" i="16"/>
  <c r="J255" i="15"/>
  <c r="J122" i="16"/>
  <c r="B117" i="6"/>
  <c r="O588" i="4"/>
  <c r="O147" i="4" s="1"/>
  <c r="N588" i="4"/>
  <c r="N147" i="4" s="1"/>
  <c r="M588" i="4"/>
  <c r="M147" i="4" s="1"/>
  <c r="L588" i="4"/>
  <c r="L147" i="4" s="1"/>
  <c r="K588" i="4"/>
  <c r="K147" i="4" s="1"/>
  <c r="J588" i="4"/>
  <c r="J147" i="4" s="1"/>
  <c r="H588" i="4"/>
  <c r="H147" i="4" s="1"/>
  <c r="C588" i="4"/>
  <c r="C147" i="4" s="1"/>
  <c r="B588" i="4"/>
  <c r="B147" i="4" s="1"/>
  <c r="A406" i="7"/>
  <c r="C254" i="4"/>
  <c r="O952" i="7"/>
  <c r="N952" i="7"/>
  <c r="M952" i="7"/>
  <c r="L952" i="7"/>
  <c r="K952" i="7"/>
  <c r="J952" i="7"/>
  <c r="C111" i="4"/>
  <c r="B111" i="4"/>
  <c r="A111" i="4"/>
  <c r="AY61" i="9"/>
  <c r="AZ61" i="9" s="1"/>
  <c r="AT61" i="9"/>
  <c r="AU61" i="9" s="1"/>
  <c r="AO61" i="9"/>
  <c r="AP61" i="9" s="1"/>
  <c r="U61" i="9"/>
  <c r="V61" i="9" s="1"/>
  <c r="C317" i="7"/>
  <c r="B317" i="7"/>
  <c r="A317" i="7"/>
  <c r="O775" i="4"/>
  <c r="O256" i="4" s="1"/>
  <c r="N775" i="4"/>
  <c r="N256" i="4" s="1"/>
  <c r="M775" i="4"/>
  <c r="M256" i="4" s="1"/>
  <c r="L775" i="4"/>
  <c r="L256" i="4" s="1"/>
  <c r="K775" i="4"/>
  <c r="K256" i="4" s="1"/>
  <c r="J775" i="4"/>
  <c r="J256" i="4" s="1"/>
  <c r="H775" i="4"/>
  <c r="H256" i="4" s="1"/>
  <c r="C256" i="4"/>
  <c r="G775" i="4"/>
  <c r="B256" i="4"/>
  <c r="C255" i="4"/>
  <c r="G774" i="4"/>
  <c r="G773" i="4"/>
  <c r="G772" i="4"/>
  <c r="C771" i="4"/>
  <c r="C252" i="4" s="1"/>
  <c r="G771" i="4"/>
  <c r="B771" i="4"/>
  <c r="B252" i="4" s="1"/>
  <c r="C766" i="4"/>
  <c r="B766" i="4"/>
  <c r="A766" i="4"/>
  <c r="A763" i="4"/>
  <c r="C744" i="4"/>
  <c r="B744" i="4"/>
  <c r="B231" i="4" s="1"/>
  <c r="C728" i="4"/>
  <c r="B288" i="42" s="1"/>
  <c r="D288" i="42" s="1"/>
  <c r="B728" i="4"/>
  <c r="A728" i="4"/>
  <c r="F719" i="4"/>
  <c r="A133" i="4"/>
  <c r="C126" i="4"/>
  <c r="B126" i="4"/>
  <c r="A126" i="4"/>
  <c r="O712" i="4"/>
  <c r="O205" i="4" s="1"/>
  <c r="N712" i="4"/>
  <c r="N205" i="4" s="1"/>
  <c r="M712" i="4"/>
  <c r="M205" i="4" s="1"/>
  <c r="L712" i="4"/>
  <c r="L205" i="4" s="1"/>
  <c r="K712" i="4"/>
  <c r="K205" i="4" s="1"/>
  <c r="J712" i="4"/>
  <c r="J205" i="4" s="1"/>
  <c r="H712" i="4"/>
  <c r="H205" i="4" s="1"/>
  <c r="C205" i="4"/>
  <c r="B205" i="4"/>
  <c r="C204" i="4"/>
  <c r="B204" i="4"/>
  <c r="O710" i="4"/>
  <c r="O203" i="4" s="1"/>
  <c r="N710" i="4"/>
  <c r="N203" i="4" s="1"/>
  <c r="M710" i="4"/>
  <c r="M203" i="4" s="1"/>
  <c r="L710" i="4"/>
  <c r="L203" i="4" s="1"/>
  <c r="K710" i="4"/>
  <c r="K203" i="4" s="1"/>
  <c r="J710" i="4"/>
  <c r="J203" i="4" s="1"/>
  <c r="H710" i="4"/>
  <c r="H203" i="4" s="1"/>
  <c r="C203" i="4"/>
  <c r="B203" i="4"/>
  <c r="C202" i="4"/>
  <c r="B202" i="4"/>
  <c r="A699" i="4"/>
  <c r="B672" i="4"/>
  <c r="A672" i="4"/>
  <c r="B255" i="4"/>
  <c r="C699" i="4"/>
  <c r="C184" i="4"/>
  <c r="D585" i="6"/>
  <c r="H6" i="26"/>
  <c r="G6" i="26"/>
  <c r="E6" i="26"/>
  <c r="F6" i="26"/>
  <c r="D6" i="26"/>
  <c r="E153" i="45"/>
  <c r="F153" i="45"/>
  <c r="G153" i="45"/>
  <c r="H153" i="45"/>
  <c r="I153" i="45"/>
  <c r="J153" i="45"/>
  <c r="K153" i="45"/>
  <c r="L153" i="45"/>
  <c r="M153" i="45"/>
  <c r="N153" i="45"/>
  <c r="O153" i="45"/>
  <c r="D153" i="45"/>
  <c r="F40" i="45"/>
  <c r="E40" i="45"/>
  <c r="E39" i="45"/>
  <c r="E45" i="45" s="1"/>
  <c r="E24" i="45"/>
  <c r="F24" i="45"/>
  <c r="G24" i="45"/>
  <c r="H24" i="45"/>
  <c r="I24" i="45"/>
  <c r="J24" i="45"/>
  <c r="K24" i="45"/>
  <c r="L24" i="45"/>
  <c r="M24" i="45"/>
  <c r="N24" i="45"/>
  <c r="O24" i="45"/>
  <c r="D24" i="45"/>
  <c r="E13" i="45"/>
  <c r="F13" i="45"/>
  <c r="G13" i="45"/>
  <c r="H13" i="45"/>
  <c r="I13" i="45"/>
  <c r="J13" i="45"/>
  <c r="K13" i="45"/>
  <c r="L13" i="45"/>
  <c r="M13" i="45"/>
  <c r="N13" i="45"/>
  <c r="O13" i="45"/>
  <c r="D13" i="45"/>
  <c r="I3" i="45"/>
  <c r="J3" i="45"/>
  <c r="K3" i="45"/>
  <c r="L3" i="45"/>
  <c r="M3" i="45"/>
  <c r="N3" i="45"/>
  <c r="O3" i="45"/>
  <c r="G3" i="45"/>
  <c r="F3" i="45"/>
  <c r="E3" i="45"/>
  <c r="D3" i="45"/>
  <c r="D7" i="26"/>
  <c r="E7" i="26"/>
  <c r="F7" i="26"/>
  <c r="G7" i="26"/>
  <c r="H7" i="26"/>
  <c r="D46" i="8"/>
  <c r="E381" i="34" s="1"/>
  <c r="O574" i="4"/>
  <c r="O133" i="4" s="1"/>
  <c r="N574" i="4"/>
  <c r="N133" i="4" s="1"/>
  <c r="M574" i="4"/>
  <c r="M133" i="4" s="1"/>
  <c r="L574" i="4"/>
  <c r="L133" i="4" s="1"/>
  <c r="K574" i="4"/>
  <c r="K133" i="4" s="1"/>
  <c r="J574" i="4"/>
  <c r="C574" i="4"/>
  <c r="C133" i="4" s="1"/>
  <c r="B133" i="4"/>
  <c r="C130" i="4"/>
  <c r="B130" i="4"/>
  <c r="A130" i="4"/>
  <c r="AT85" i="37"/>
  <c r="AT36" i="37" s="1"/>
  <c r="AT84" i="37"/>
  <c r="AT35" i="37" s="1"/>
  <c r="AT82" i="37"/>
  <c r="AT33" i="37" s="1"/>
  <c r="AT81" i="37"/>
  <c r="AT28" i="37" s="1"/>
  <c r="AT80" i="37"/>
  <c r="AT27" i="37" s="1"/>
  <c r="AT79" i="37"/>
  <c r="AT26" i="37" s="1"/>
  <c r="AT78" i="37"/>
  <c r="AT25" i="37" s="1"/>
  <c r="AT77" i="37"/>
  <c r="AT24" i="37" s="1"/>
  <c r="AT76" i="37"/>
  <c r="AT23" i="37" s="1"/>
  <c r="AT75" i="37"/>
  <c r="AT22" i="37" s="1"/>
  <c r="AT29" i="37"/>
  <c r="L13" i="37"/>
  <c r="AU73" i="37" s="1"/>
  <c r="AU21" i="37" s="1"/>
  <c r="AT73" i="37"/>
  <c r="AT21" i="37" s="1"/>
  <c r="J112" i="37"/>
  <c r="J113" i="37"/>
  <c r="J114" i="37"/>
  <c r="J115" i="37"/>
  <c r="J116" i="37"/>
  <c r="J109" i="37"/>
  <c r="K73" i="37"/>
  <c r="K70" i="37"/>
  <c r="J76" i="37"/>
  <c r="J65" i="37"/>
  <c r="J62" i="37"/>
  <c r="J80" i="37" s="1"/>
  <c r="J37" i="37"/>
  <c r="J6" i="37"/>
  <c r="AA14" i="37" s="1"/>
  <c r="A631" i="6"/>
  <c r="B631" i="6"/>
  <c r="B2016" i="6"/>
  <c r="B2042" i="6"/>
  <c r="B740" i="6" s="1"/>
  <c r="C117" i="6"/>
  <c r="C784" i="6"/>
  <c r="C93" i="6" s="1"/>
  <c r="B177" i="6"/>
  <c r="B455" i="5"/>
  <c r="B203" i="5" s="1"/>
  <c r="A42" i="12"/>
  <c r="AF59" i="9"/>
  <c r="AF60" i="9"/>
  <c r="Z62" i="9"/>
  <c r="AA62" i="9" s="1"/>
  <c r="U59" i="9"/>
  <c r="U60" i="9"/>
  <c r="CC60" i="9" s="1"/>
  <c r="CD60" i="9" s="1"/>
  <c r="U62" i="9"/>
  <c r="V62" i="9" s="1"/>
  <c r="U41" i="9"/>
  <c r="V41" i="9" s="1"/>
  <c r="BX41" i="9" s="1"/>
  <c r="BY41" i="9" s="1"/>
  <c r="U40" i="9"/>
  <c r="V40" i="9" s="1"/>
  <c r="D659" i="6"/>
  <c r="D665" i="6"/>
  <c r="J117" i="37"/>
  <c r="B116" i="6"/>
  <c r="J78" i="37"/>
  <c r="D406" i="7"/>
  <c r="C759" i="34"/>
  <c r="C781" i="34" s="1"/>
  <c r="A1257" i="6"/>
  <c r="A824" i="6"/>
  <c r="A868" i="6" s="1"/>
  <c r="A871" i="6" s="1"/>
  <c r="A879" i="6" s="1"/>
  <c r="A430" i="7"/>
  <c r="A388" i="7"/>
  <c r="A336" i="7"/>
  <c r="A327" i="7"/>
  <c r="A263" i="7"/>
  <c r="A131" i="7"/>
  <c r="A135" i="7"/>
  <c r="A366" i="6"/>
  <c r="A628" i="6"/>
  <c r="A583" i="6"/>
  <c r="A52" i="5"/>
  <c r="A53" i="5"/>
  <c r="A106" i="4"/>
  <c r="B176" i="6"/>
  <c r="D117" i="6"/>
  <c r="D416" i="45"/>
  <c r="E416" i="45"/>
  <c r="F416" i="45"/>
  <c r="G416" i="45"/>
  <c r="H416" i="45"/>
  <c r="I416" i="45"/>
  <c r="J416" i="45"/>
  <c r="K416" i="45"/>
  <c r="L416" i="45"/>
  <c r="M416" i="45"/>
  <c r="N416" i="45"/>
  <c r="O416" i="45"/>
  <c r="L157" i="45"/>
  <c r="K157" i="45"/>
  <c r="J157" i="45"/>
  <c r="I157" i="45"/>
  <c r="H157" i="45"/>
  <c r="G157" i="45"/>
  <c r="F157" i="45"/>
  <c r="E157" i="45"/>
  <c r="D157" i="45"/>
  <c r="M157" i="45"/>
  <c r="N157" i="45"/>
  <c r="O157" i="45"/>
  <c r="E284" i="45"/>
  <c r="F284" i="45"/>
  <c r="G284" i="45"/>
  <c r="H284" i="45"/>
  <c r="I284" i="45"/>
  <c r="J284" i="45"/>
  <c r="K284" i="45"/>
  <c r="L284" i="45"/>
  <c r="M284" i="45"/>
  <c r="N284" i="45"/>
  <c r="O284" i="45"/>
  <c r="D284" i="45"/>
  <c r="C1257" i="6"/>
  <c r="G121" i="37"/>
  <c r="H121" i="37" s="1"/>
  <c r="I121" i="37" s="1"/>
  <c r="J121" i="37" s="1"/>
  <c r="K121" i="37" s="1"/>
  <c r="L121" i="37" s="1"/>
  <c r="M121" i="37" s="1"/>
  <c r="N121" i="37" s="1"/>
  <c r="O121" i="37" s="1"/>
  <c r="P121" i="37" s="1"/>
  <c r="Q121" i="37" s="1"/>
  <c r="R121" i="37" s="1"/>
  <c r="S121" i="37" s="1"/>
  <c r="T121" i="37" s="1"/>
  <c r="U121" i="37" s="1"/>
  <c r="V121" i="37" s="1"/>
  <c r="W121" i="37" s="1"/>
  <c r="X121" i="37" s="1"/>
  <c r="I112" i="37"/>
  <c r="C115" i="37"/>
  <c r="D115" i="37"/>
  <c r="E115" i="37"/>
  <c r="F115" i="37"/>
  <c r="G115" i="37"/>
  <c r="H115" i="37"/>
  <c r="I115" i="37"/>
  <c r="B115" i="37"/>
  <c r="C112" i="37"/>
  <c r="D112" i="37"/>
  <c r="E112" i="37"/>
  <c r="F112" i="37"/>
  <c r="G112" i="37"/>
  <c r="H112" i="37"/>
  <c r="C113" i="37"/>
  <c r="D113" i="37"/>
  <c r="E113" i="37"/>
  <c r="F113" i="37"/>
  <c r="G113" i="37"/>
  <c r="H113" i="37"/>
  <c r="C114" i="37"/>
  <c r="D114" i="37"/>
  <c r="E114" i="37"/>
  <c r="F114" i="37"/>
  <c r="G114" i="37"/>
  <c r="H114" i="37"/>
  <c r="I114" i="37"/>
  <c r="C116" i="37"/>
  <c r="D116" i="37"/>
  <c r="E116" i="37"/>
  <c r="F116" i="37"/>
  <c r="F117" i="37" s="1"/>
  <c r="G116" i="37"/>
  <c r="H116" i="37"/>
  <c r="I116" i="37"/>
  <c r="B116" i="37"/>
  <c r="B117" i="37" s="1"/>
  <c r="B114" i="37"/>
  <c r="B113" i="37"/>
  <c r="B112" i="37"/>
  <c r="A112" i="37"/>
  <c r="B109" i="37"/>
  <c r="C109" i="37"/>
  <c r="D109" i="37"/>
  <c r="E109" i="37"/>
  <c r="F109" i="37"/>
  <c r="G109" i="37"/>
  <c r="H109" i="37"/>
  <c r="I109" i="37"/>
  <c r="I110" i="37" s="1"/>
  <c r="K109" i="37"/>
  <c r="L109" i="37"/>
  <c r="M109" i="37"/>
  <c r="N109" i="37"/>
  <c r="O109" i="37"/>
  <c r="I108" i="37"/>
  <c r="B108" i="37"/>
  <c r="A109" i="37"/>
  <c r="A108" i="37"/>
  <c r="D824" i="6"/>
  <c r="B110" i="37"/>
  <c r="E117" i="37"/>
  <c r="D117" i="37"/>
  <c r="D116" i="6"/>
  <c r="L23" i="37"/>
  <c r="AU84" i="37" s="1"/>
  <c r="AU35" i="37" s="1"/>
  <c r="L21" i="37"/>
  <c r="AU82" i="37" s="1"/>
  <c r="AU33" i="37" s="1"/>
  <c r="L20" i="37"/>
  <c r="M20" i="37" s="1"/>
  <c r="AV81" i="37" s="1"/>
  <c r="AV28" i="37" s="1"/>
  <c r="L19" i="37"/>
  <c r="AU80" i="37" s="1"/>
  <c r="AU27" i="37" s="1"/>
  <c r="L18" i="37"/>
  <c r="AU79" i="37" s="1"/>
  <c r="AU26" i="37" s="1"/>
  <c r="L17" i="37"/>
  <c r="L16" i="37"/>
  <c r="AU77" i="37" s="1"/>
  <c r="AU24" i="37" s="1"/>
  <c r="L15" i="37"/>
  <c r="AU76" i="37" s="1"/>
  <c r="AU23" i="37" s="1"/>
  <c r="L14" i="37"/>
  <c r="M14" i="37" s="1"/>
  <c r="C406" i="7"/>
  <c r="C824" i="6"/>
  <c r="G300" i="45"/>
  <c r="H300" i="45"/>
  <c r="I300" i="45"/>
  <c r="J300" i="45"/>
  <c r="K300" i="45"/>
  <c r="L300" i="45"/>
  <c r="M300" i="45"/>
  <c r="F300" i="45"/>
  <c r="E300" i="45"/>
  <c r="G301" i="45"/>
  <c r="H301" i="45"/>
  <c r="I301" i="45"/>
  <c r="J301" i="45"/>
  <c r="K301" i="45"/>
  <c r="L301" i="45"/>
  <c r="M301" i="45"/>
  <c r="N301" i="45"/>
  <c r="O301" i="45"/>
  <c r="E301" i="45"/>
  <c r="F301" i="45"/>
  <c r="F302" i="45"/>
  <c r="G302" i="45"/>
  <c r="H302" i="45"/>
  <c r="I302" i="45"/>
  <c r="J302" i="45"/>
  <c r="K302" i="45"/>
  <c r="L302" i="45"/>
  <c r="M302" i="45"/>
  <c r="N302" i="45"/>
  <c r="O302" i="45"/>
  <c r="E302" i="45"/>
  <c r="F293" i="45"/>
  <c r="E293" i="45"/>
  <c r="D293" i="45"/>
  <c r="D164" i="45"/>
  <c r="E164" i="45"/>
  <c r="F164" i="45"/>
  <c r="E34" i="45"/>
  <c r="D29" i="45"/>
  <c r="F33" i="45"/>
  <c r="E33" i="45"/>
  <c r="D33" i="45"/>
  <c r="A465" i="34"/>
  <c r="A578" i="34" s="1"/>
  <c r="V99" i="9"/>
  <c r="BX40" i="9"/>
  <c r="BY40" i="9" s="1"/>
  <c r="L22" i="37"/>
  <c r="AU83" i="37" s="1"/>
  <c r="AT83" i="37"/>
  <c r="AT30" i="37" s="1"/>
  <c r="G288" i="9"/>
  <c r="L12" i="37"/>
  <c r="L116" i="37" s="1"/>
  <c r="K116" i="37"/>
  <c r="CH104" i="22"/>
  <c r="BU51" i="22"/>
  <c r="BV51" i="22" s="1"/>
  <c r="CH112" i="22"/>
  <c r="CH77" i="22"/>
  <c r="CH70" i="22"/>
  <c r="CH82" i="22"/>
  <c r="CH72" i="22"/>
  <c r="BU78" i="22"/>
  <c r="BU74" i="22"/>
  <c r="BV74" i="22" s="1"/>
  <c r="CH71" i="22"/>
  <c r="BU84" i="22"/>
  <c r="CH83" i="22"/>
  <c r="CH69" i="22"/>
  <c r="CH14" i="22"/>
  <c r="CH9" i="22"/>
  <c r="CH12" i="22"/>
  <c r="CH11" i="22"/>
  <c r="CH8" i="22"/>
  <c r="CH6" i="22"/>
  <c r="CH16" i="22"/>
  <c r="CH36" i="22"/>
  <c r="CH119" i="22"/>
  <c r="CG64" i="21"/>
  <c r="CG40" i="21"/>
  <c r="CG51" i="21"/>
  <c r="CG46" i="21"/>
  <c r="CG42" i="21"/>
  <c r="CG29" i="21"/>
  <c r="CG28" i="21"/>
  <c r="CG37" i="21"/>
  <c r="CG35" i="21"/>
  <c r="CG34" i="21"/>
  <c r="CG15" i="21"/>
  <c r="CG14" i="21"/>
  <c r="CG16" i="21"/>
  <c r="CF210" i="9"/>
  <c r="CG210" i="9" s="1"/>
  <c r="CF110" i="9"/>
  <c r="CG110" i="9" s="1"/>
  <c r="CF179" i="9"/>
  <c r="CG179" i="9" s="1"/>
  <c r="CF155" i="9"/>
  <c r="CG155" i="9" s="1"/>
  <c r="CF153" i="9"/>
  <c r="CG153" i="9" s="1"/>
  <c r="CF152" i="9"/>
  <c r="CG152" i="9" s="1"/>
  <c r="CF141" i="9"/>
  <c r="CS135" i="9"/>
  <c r="CS134" i="9"/>
  <c r="CF128" i="9"/>
  <c r="CG128" i="9" s="1"/>
  <c r="CS127" i="9"/>
  <c r="CG118" i="9"/>
  <c r="CH118" i="9" s="1"/>
  <c r="CS115" i="9"/>
  <c r="CF113" i="9"/>
  <c r="CG113" i="9" s="1"/>
  <c r="CS99" i="9"/>
  <c r="CS96" i="9"/>
  <c r="CF93" i="9"/>
  <c r="CG93" i="9" s="1"/>
  <c r="CF82" i="9"/>
  <c r="CG82" i="9" s="1"/>
  <c r="CS73" i="9"/>
  <c r="CS62" i="9"/>
  <c r="CG60" i="9"/>
  <c r="CH60" i="9" s="1"/>
  <c r="CF59" i="9"/>
  <c r="CG59" i="9" s="1"/>
  <c r="CH59" i="9" s="1"/>
  <c r="CS61" i="9"/>
  <c r="CS14" i="9"/>
  <c r="CS11" i="9"/>
  <c r="CS94" i="9"/>
  <c r="CS9" i="9"/>
  <c r="CF49" i="9"/>
  <c r="CG49" i="9" s="1"/>
  <c r="CF40" i="9"/>
  <c r="CT40" i="9" s="1"/>
  <c r="CF30" i="9"/>
  <c r="CG30" i="9" s="1"/>
  <c r="CH30" i="9" s="1"/>
  <c r="CI30" i="9" s="1"/>
  <c r="B289" i="4"/>
  <c r="B282" i="4"/>
  <c r="B278" i="4"/>
  <c r="B114" i="4"/>
  <c r="B124" i="4"/>
  <c r="B123" i="4"/>
  <c r="B108" i="4"/>
  <c r="B106" i="4"/>
  <c r="B105" i="4"/>
  <c r="B78" i="4"/>
  <c r="B70" i="4"/>
  <c r="B66" i="4"/>
  <c r="B65" i="4"/>
  <c r="B59" i="4"/>
  <c r="F487" i="4"/>
  <c r="U217" i="9"/>
  <c r="V217" i="9" s="1"/>
  <c r="Z217" i="9"/>
  <c r="A45" i="17"/>
  <c r="A43" i="17"/>
  <c r="A36" i="17"/>
  <c r="A120" i="17" s="1"/>
  <c r="A45" i="16"/>
  <c r="CF196" i="9"/>
  <c r="CG196" i="9" s="1"/>
  <c r="CS196" i="9"/>
  <c r="AF181" i="9"/>
  <c r="H716" i="7"/>
  <c r="I716" i="7" s="1"/>
  <c r="AF151" i="9"/>
  <c r="DA18" i="9"/>
  <c r="DB18" i="9"/>
  <c r="DA17" i="9"/>
  <c r="DB17" i="9"/>
  <c r="AT34" i="37"/>
  <c r="A304" i="15"/>
  <c r="G29" i="1"/>
  <c r="G27" i="1"/>
  <c r="CS193" i="9"/>
  <c r="V193" i="9"/>
  <c r="BT14" i="21"/>
  <c r="BU14" i="21" s="1"/>
  <c r="CS97" i="9"/>
  <c r="V97" i="9"/>
  <c r="BT37" i="21"/>
  <c r="CH37" i="21" s="1"/>
  <c r="BT29" i="21"/>
  <c r="CH29" i="21" s="1"/>
  <c r="BT28" i="21"/>
  <c r="CH28" i="21" s="1"/>
  <c r="BT40" i="21"/>
  <c r="BU40" i="21" s="1"/>
  <c r="CF115" i="9"/>
  <c r="CG115" i="9" s="1"/>
  <c r="BU83" i="22"/>
  <c r="BV83" i="22" s="1"/>
  <c r="CJ83" i="22" s="1"/>
  <c r="BT34" i="21"/>
  <c r="CH34" i="21" s="1"/>
  <c r="BT46" i="21"/>
  <c r="BU46" i="21" s="1"/>
  <c r="BT33" i="21"/>
  <c r="CH33" i="21" s="1"/>
  <c r="CG33" i="21"/>
  <c r="BT35" i="21"/>
  <c r="BT45" i="21"/>
  <c r="BU45" i="21" s="1"/>
  <c r="CG45" i="21"/>
  <c r="BT42" i="21"/>
  <c r="BT50" i="21"/>
  <c r="CH50" i="21" s="1"/>
  <c r="CG50" i="21"/>
  <c r="BT51" i="21"/>
  <c r="BT48" i="21"/>
  <c r="CG48" i="21"/>
  <c r="BT36" i="21"/>
  <c r="BU36" i="21" s="1"/>
  <c r="BV36" i="21" s="1"/>
  <c r="CJ36" i="21" s="1"/>
  <c r="CG36" i="21"/>
  <c r="BT49" i="21"/>
  <c r="CH49" i="21" s="1"/>
  <c r="CG49" i="21"/>
  <c r="BT41" i="21"/>
  <c r="CH41" i="21" s="1"/>
  <c r="CG41" i="21"/>
  <c r="BU119" i="22"/>
  <c r="BV119" i="22" s="1"/>
  <c r="BU6" i="22"/>
  <c r="BU8" i="22"/>
  <c r="CI8" i="22" s="1"/>
  <c r="BU11" i="22"/>
  <c r="BV11" i="22" s="1"/>
  <c r="BU12" i="22"/>
  <c r="BU9" i="22"/>
  <c r="CI9" i="22" s="1"/>
  <c r="BU14" i="22"/>
  <c r="BV14" i="22" s="1"/>
  <c r="BU69" i="22"/>
  <c r="BV69" i="22" s="1"/>
  <c r="BU82" i="22"/>
  <c r="CI82" i="22" s="1"/>
  <c r="CH84" i="22"/>
  <c r="BU71" i="22"/>
  <c r="BV71" i="22" s="1"/>
  <c r="BU72" i="22"/>
  <c r="BV72" i="22" s="1"/>
  <c r="BU77" i="22"/>
  <c r="CF94" i="9"/>
  <c r="CG94" i="9" s="1"/>
  <c r="CH94" i="9" s="1"/>
  <c r="CF96" i="9"/>
  <c r="CG96" i="9" s="1"/>
  <c r="CF181" i="9"/>
  <c r="CG181" i="9" s="1"/>
  <c r="CT93" i="9"/>
  <c r="CF14" i="9"/>
  <c r="CF62" i="9"/>
  <c r="CG62" i="9" s="1"/>
  <c r="CF99" i="9"/>
  <c r="CG99" i="9" s="1"/>
  <c r="CF127" i="9"/>
  <c r="CG127" i="9" s="1"/>
  <c r="CS59" i="9"/>
  <c r="CS93" i="9"/>
  <c r="CS128" i="9"/>
  <c r="CS133" i="9"/>
  <c r="CS137" i="9"/>
  <c r="CS138" i="9"/>
  <c r="CS139" i="9"/>
  <c r="CS152" i="9"/>
  <c r="CU17" i="9"/>
  <c r="CY17" i="9"/>
  <c r="CS18" i="9"/>
  <c r="CW18" i="9"/>
  <c r="CS58" i="9"/>
  <c r="CW58" i="9"/>
  <c r="CT60" i="9"/>
  <c r="CS110" i="9"/>
  <c r="CX17" i="9"/>
  <c r="CV18" i="9"/>
  <c r="CZ18" i="9"/>
  <c r="CF73" i="9"/>
  <c r="CT73" i="9" s="1"/>
  <c r="CF193" i="9"/>
  <c r="CG193" i="9" s="1"/>
  <c r="CS40" i="9"/>
  <c r="CS60" i="9"/>
  <c r="CS82" i="9"/>
  <c r="CS113" i="9"/>
  <c r="CS141" i="9"/>
  <c r="CS151" i="9"/>
  <c r="CS153" i="9"/>
  <c r="CS155" i="9"/>
  <c r="CS17" i="9"/>
  <c r="CW17" i="9"/>
  <c r="CU18" i="9"/>
  <c r="CY18" i="9"/>
  <c r="CS210" i="9"/>
  <c r="CU58" i="9"/>
  <c r="CT137" i="9"/>
  <c r="CV17" i="9"/>
  <c r="CZ17" i="9"/>
  <c r="CX18" i="9"/>
  <c r="BU104" i="22"/>
  <c r="BU112" i="22"/>
  <c r="CI112" i="22" s="1"/>
  <c r="CH51" i="22"/>
  <c r="BV78" i="22"/>
  <c r="CJ78" i="22" s="1"/>
  <c r="CI78" i="22"/>
  <c r="BU70" i="22"/>
  <c r="CH74" i="22"/>
  <c r="CH78" i="22"/>
  <c r="BU16" i="22"/>
  <c r="BV16" i="22" s="1"/>
  <c r="CJ16" i="22" s="1"/>
  <c r="BU36" i="22"/>
  <c r="CI36" i="22" s="1"/>
  <c r="BT64" i="21"/>
  <c r="BT15" i="21"/>
  <c r="CH16" i="21"/>
  <c r="BU33" i="21"/>
  <c r="CI33" i="21" s="1"/>
  <c r="BU49" i="21"/>
  <c r="CI49" i="21" s="1"/>
  <c r="BU29" i="21"/>
  <c r="DA61" i="9"/>
  <c r="H878" i="6"/>
  <c r="I878" i="6" s="1"/>
  <c r="CH14" i="21"/>
  <c r="CI83" i="22"/>
  <c r="H27" i="1"/>
  <c r="G289" i="3" s="1"/>
  <c r="G299" i="3" s="1"/>
  <c r="H29" i="1"/>
  <c r="BU34" i="21"/>
  <c r="BV34" i="21" s="1"/>
  <c r="BU28" i="21"/>
  <c r="CI28" i="21" s="1"/>
  <c r="BU37" i="21"/>
  <c r="BV37" i="21" s="1"/>
  <c r="BU41" i="21"/>
  <c r="CI41" i="21" s="1"/>
  <c r="H592" i="4"/>
  <c r="H151" i="4" s="1"/>
  <c r="CH40" i="21"/>
  <c r="CH46" i="21"/>
  <c r="CX61" i="9"/>
  <c r="CY61" i="9"/>
  <c r="CU61" i="9"/>
  <c r="CZ61" i="9"/>
  <c r="CT61" i="9"/>
  <c r="BV9" i="22"/>
  <c r="CJ9" i="22" s="1"/>
  <c r="BU51" i="21"/>
  <c r="BV51" i="21" s="1"/>
  <c r="CH51" i="21"/>
  <c r="BU50" i="21"/>
  <c r="BU35" i="21"/>
  <c r="CI35" i="21" s="1"/>
  <c r="CH35" i="21"/>
  <c r="BU64" i="21"/>
  <c r="BV64" i="21" s="1"/>
  <c r="CI14" i="22"/>
  <c r="BU48" i="21"/>
  <c r="BV48" i="21" s="1"/>
  <c r="CH48" i="21"/>
  <c r="BU42" i="21"/>
  <c r="CH42" i="21"/>
  <c r="CH45" i="21"/>
  <c r="CV61" i="9"/>
  <c r="CT7" i="9"/>
  <c r="CW61" i="9"/>
  <c r="BV70" i="22"/>
  <c r="BW70" i="22" s="1"/>
  <c r="CI70" i="22"/>
  <c r="BV36" i="22"/>
  <c r="CJ36" i="22" s="1"/>
  <c r="BU15" i="21"/>
  <c r="CH15" i="21"/>
  <c r="BV33" i="21"/>
  <c r="CJ33" i="21" s="1"/>
  <c r="BV41" i="21"/>
  <c r="BW41" i="21" s="1"/>
  <c r="BV28" i="21"/>
  <c r="CJ28" i="21" s="1"/>
  <c r="BV49" i="21"/>
  <c r="CJ49" i="21" s="1"/>
  <c r="CI29" i="21"/>
  <c r="BV29" i="21"/>
  <c r="I29" i="1"/>
  <c r="CI34" i="21"/>
  <c r="I27" i="1"/>
  <c r="CI37" i="21"/>
  <c r="BV42" i="21"/>
  <c r="BW42" i="21" s="1"/>
  <c r="CI42" i="21"/>
  <c r="CI51" i="21"/>
  <c r="CI36" i="21"/>
  <c r="CU7" i="9"/>
  <c r="BW49" i="21"/>
  <c r="CJ41" i="21"/>
  <c r="BW28" i="21"/>
  <c r="CJ29" i="21"/>
  <c r="BW29" i="21"/>
  <c r="BX29" i="21" s="1"/>
  <c r="BW48" i="21"/>
  <c r="BX48" i="21" s="1"/>
  <c r="CL48" i="21" s="1"/>
  <c r="CJ48" i="21"/>
  <c r="BX49" i="21"/>
  <c r="BY49" i="21" s="1"/>
  <c r="CK49" i="21"/>
  <c r="CK29" i="21"/>
  <c r="CK48" i="21"/>
  <c r="DA9" i="9"/>
  <c r="C42" i="12"/>
  <c r="C4" i="12" s="1"/>
  <c r="V196" i="9"/>
  <c r="C143" i="8"/>
  <c r="C22" i="8" s="1"/>
  <c r="CG9" i="21"/>
  <c r="C631" i="6"/>
  <c r="D662" i="6"/>
  <c r="C1710" i="6"/>
  <c r="B143" i="8"/>
  <c r="B150" i="8" s="1"/>
  <c r="A345" i="7"/>
  <c r="O327" i="7"/>
  <c r="N327" i="7"/>
  <c r="M327" i="7"/>
  <c r="L327" i="7"/>
  <c r="K327" i="7"/>
  <c r="J327" i="7"/>
  <c r="H327" i="7"/>
  <c r="I327" i="7" s="1"/>
  <c r="D327" i="7"/>
  <c r="C327" i="7"/>
  <c r="B327" i="7"/>
  <c r="B94" i="7"/>
  <c r="B722" i="6"/>
  <c r="B140" i="6"/>
  <c r="C52" i="5"/>
  <c r="B52" i="5"/>
  <c r="B291" i="4"/>
  <c r="L11" i="11"/>
  <c r="O11" i="11"/>
  <c r="R11" i="11"/>
  <c r="U11" i="11"/>
  <c r="X11" i="11"/>
  <c r="AA11" i="11"/>
  <c r="B132" i="4"/>
  <c r="B119" i="4"/>
  <c r="B120" i="4"/>
  <c r="B121" i="4"/>
  <c r="AA16" i="11"/>
  <c r="X16" i="11"/>
  <c r="U16" i="11"/>
  <c r="R16" i="11"/>
  <c r="O16" i="11"/>
  <c r="L16" i="11"/>
  <c r="I16" i="11"/>
  <c r="L10" i="11"/>
  <c r="O10" i="11"/>
  <c r="R10" i="11"/>
  <c r="U10" i="11"/>
  <c r="X10" i="11"/>
  <c r="AA10" i="11"/>
  <c r="C116" i="6"/>
  <c r="C140" i="6"/>
  <c r="A140" i="6"/>
  <c r="D160" i="6"/>
  <c r="D161" i="6"/>
  <c r="C160" i="6"/>
  <c r="C161" i="6"/>
  <c r="A160" i="6"/>
  <c r="A161" i="6"/>
  <c r="D159" i="6"/>
  <c r="C159" i="6"/>
  <c r="A159" i="6"/>
  <c r="B460" i="6"/>
  <c r="A461" i="6"/>
  <c r="A462" i="6"/>
  <c r="A463" i="6"/>
  <c r="A464" i="6"/>
  <c r="A460" i="6"/>
  <c r="O460" i="6"/>
  <c r="N460" i="6"/>
  <c r="M460" i="6"/>
  <c r="L460" i="6"/>
  <c r="K460" i="6"/>
  <c r="J460" i="6"/>
  <c r="H460" i="6"/>
  <c r="I460" i="6" s="1"/>
  <c r="D460" i="6"/>
  <c r="C460" i="6"/>
  <c r="B445" i="6"/>
  <c r="C445" i="6"/>
  <c r="D90" i="6"/>
  <c r="A200" i="42"/>
  <c r="A205" i="42"/>
  <c r="AD112" i="22"/>
  <c r="V112" i="22"/>
  <c r="AC16" i="21"/>
  <c r="E31" i="34"/>
  <c r="AH69" i="22"/>
  <c r="AL69" i="22"/>
  <c r="AP69" i="22"/>
  <c r="AT69" i="22"/>
  <c r="AX69" i="22"/>
  <c r="BB69" i="22"/>
  <c r="AH83" i="22"/>
  <c r="AL83" i="22"/>
  <c r="AP83" i="22"/>
  <c r="AT83" i="22"/>
  <c r="AX83" i="22"/>
  <c r="BB83" i="22"/>
  <c r="AH84" i="22"/>
  <c r="AL84" i="22"/>
  <c r="AP84" i="22"/>
  <c r="AT84" i="22"/>
  <c r="AX84" i="22"/>
  <c r="BB84" i="22"/>
  <c r="AH71" i="22"/>
  <c r="AL71" i="22"/>
  <c r="AP71" i="22"/>
  <c r="AT71" i="22"/>
  <c r="AX71" i="22"/>
  <c r="BB71" i="22"/>
  <c r="AH74" i="22"/>
  <c r="AL74" i="22"/>
  <c r="AP74" i="22"/>
  <c r="AT74" i="22"/>
  <c r="AX74" i="22"/>
  <c r="BB74" i="22"/>
  <c r="V83" i="22"/>
  <c r="V69" i="22"/>
  <c r="AD119" i="22"/>
  <c r="AD51" i="22"/>
  <c r="AD36" i="22"/>
  <c r="V51" i="22"/>
  <c r="V36" i="22"/>
  <c r="AL14" i="22"/>
  <c r="AP12" i="22"/>
  <c r="AP14" i="22"/>
  <c r="AH12" i="22"/>
  <c r="AH9" i="22"/>
  <c r="AD11" i="22"/>
  <c r="AD7" i="22"/>
  <c r="AD12" i="22"/>
  <c r="AD9" i="22"/>
  <c r="AD14" i="22"/>
  <c r="AN82" i="22"/>
  <c r="AP82" i="22" s="1"/>
  <c r="X74" i="22"/>
  <c r="AT128" i="9"/>
  <c r="AU128" i="9" s="1"/>
  <c r="AT127" i="9"/>
  <c r="AU127" i="9" s="1"/>
  <c r="AO128" i="9"/>
  <c r="AP128" i="9" s="1"/>
  <c r="AO127" i="9"/>
  <c r="AP127" i="9" s="1"/>
  <c r="AJ128" i="9"/>
  <c r="AK128" i="9" s="1"/>
  <c r="AJ127" i="9"/>
  <c r="AK127" i="9" s="1"/>
  <c r="AE128" i="9"/>
  <c r="AF128" i="9" s="1"/>
  <c r="AE127" i="9"/>
  <c r="AF127" i="9" s="1"/>
  <c r="Z127" i="9"/>
  <c r="AA127" i="9" s="1"/>
  <c r="U127" i="9"/>
  <c r="V127" i="9" s="1"/>
  <c r="U128" i="9"/>
  <c r="V128" i="9" s="1"/>
  <c r="C118" i="6"/>
  <c r="Z42" i="9"/>
  <c r="AA42" i="9" s="1"/>
  <c r="CC42" i="9" s="1"/>
  <c r="CD42" i="9" s="1"/>
  <c r="U42" i="9"/>
  <c r="V42" i="9" s="1"/>
  <c r="BX42" i="9" s="1"/>
  <c r="BY42" i="9" s="1"/>
  <c r="A640" i="6"/>
  <c r="B131" i="7"/>
  <c r="C131" i="7"/>
  <c r="C94" i="7"/>
  <c r="A94" i="7"/>
  <c r="B118" i="6"/>
  <c r="CS55" i="9"/>
  <c r="U55" i="9"/>
  <c r="V55" i="9" s="1"/>
  <c r="O117" i="6"/>
  <c r="N117" i="6"/>
  <c r="M117" i="6"/>
  <c r="L117" i="6"/>
  <c r="K117" i="6"/>
  <c r="J117" i="6"/>
  <c r="H117" i="6"/>
  <c r="I117" i="6" s="1"/>
  <c r="A5" i="11"/>
  <c r="G862" i="4"/>
  <c r="G865" i="4"/>
  <c r="G861" i="4"/>
  <c r="G850" i="4"/>
  <c r="G853" i="4"/>
  <c r="G849" i="4"/>
  <c r="A196" i="42" s="1"/>
  <c r="A64" i="11"/>
  <c r="C798" i="4"/>
  <c r="B101" i="42" s="1"/>
  <c r="A798" i="4"/>
  <c r="O310" i="4"/>
  <c r="N310" i="4"/>
  <c r="M310" i="4"/>
  <c r="L310" i="4"/>
  <c r="K310" i="4"/>
  <c r="J310" i="4"/>
  <c r="H310" i="4"/>
  <c r="C310" i="4"/>
  <c r="B310" i="4"/>
  <c r="A310" i="4"/>
  <c r="O309" i="4"/>
  <c r="N309" i="4"/>
  <c r="M309" i="4"/>
  <c r="L309" i="4"/>
  <c r="K309" i="4"/>
  <c r="J309" i="4"/>
  <c r="H309" i="4"/>
  <c r="C309" i="4"/>
  <c r="B309" i="4"/>
  <c r="A309" i="4"/>
  <c r="O308" i="4"/>
  <c r="N308" i="4"/>
  <c r="M308" i="4"/>
  <c r="L308" i="4"/>
  <c r="K308" i="4"/>
  <c r="J308" i="4"/>
  <c r="H308" i="4"/>
  <c r="A308" i="4"/>
  <c r="O307" i="4"/>
  <c r="N307" i="4"/>
  <c r="M307" i="4"/>
  <c r="L307" i="4"/>
  <c r="K307" i="4"/>
  <c r="J307" i="4"/>
  <c r="H307" i="4"/>
  <c r="C307" i="4"/>
  <c r="A307" i="4"/>
  <c r="O306" i="4"/>
  <c r="N306" i="4"/>
  <c r="M306" i="4"/>
  <c r="L306" i="4"/>
  <c r="K306" i="4"/>
  <c r="J306" i="4"/>
  <c r="H306" i="4"/>
  <c r="C306" i="4"/>
  <c r="B306" i="4"/>
  <c r="A306" i="4"/>
  <c r="A291" i="4"/>
  <c r="C289" i="4"/>
  <c r="A289" i="4"/>
  <c r="C282" i="4"/>
  <c r="A282" i="4"/>
  <c r="C278" i="4"/>
  <c r="A278" i="4"/>
  <c r="F34" i="4"/>
  <c r="G584" i="4" s="1"/>
  <c r="B307" i="4"/>
  <c r="B308" i="4"/>
  <c r="C308" i="4"/>
  <c r="D53" i="5"/>
  <c r="C53" i="5"/>
  <c r="B53" i="5"/>
  <c r="B481" i="6"/>
  <c r="D388" i="7"/>
  <c r="C388" i="7"/>
  <c r="B388" i="7"/>
  <c r="D387" i="7"/>
  <c r="C387" i="7"/>
  <c r="B387" i="7"/>
  <c r="A387" i="7"/>
  <c r="D181" i="7"/>
  <c r="C181" i="7"/>
  <c r="A181" i="7"/>
  <c r="B181" i="7"/>
  <c r="C178" i="7"/>
  <c r="B178" i="7"/>
  <c r="C632" i="6"/>
  <c r="A632" i="6"/>
  <c r="B632" i="6"/>
  <c r="B311" i="6"/>
  <c r="A311" i="6"/>
  <c r="B77" i="6"/>
  <c r="A77" i="6"/>
  <c r="C175" i="5"/>
  <c r="B175" i="5"/>
  <c r="B89" i="5"/>
  <c r="B91" i="5" s="1"/>
  <c r="A89" i="5"/>
  <c r="A91" i="5" s="1"/>
  <c r="Q42" i="42"/>
  <c r="B42" i="42" s="1"/>
  <c r="Q4" i="42"/>
  <c r="AF4" i="42" s="1"/>
  <c r="O25" i="45"/>
  <c r="A92" i="12"/>
  <c r="D79" i="6"/>
  <c r="D81" i="6" s="1"/>
  <c r="G88" i="16"/>
  <c r="G87" i="16"/>
  <c r="G90" i="16" s="1"/>
  <c r="G34" i="16" s="1"/>
  <c r="C87" i="16"/>
  <c r="A88" i="16"/>
  <c r="A87" i="16"/>
  <c r="B88" i="16"/>
  <c r="B87" i="16"/>
  <c r="M92" i="12"/>
  <c r="L92" i="12"/>
  <c r="K92" i="12"/>
  <c r="J92" i="12"/>
  <c r="I92" i="12"/>
  <c r="H92" i="12"/>
  <c r="G92" i="12"/>
  <c r="F92" i="12"/>
  <c r="E92" i="12"/>
  <c r="C119" i="8"/>
  <c r="A90" i="16"/>
  <c r="A34" i="16" s="1"/>
  <c r="AD77" i="22"/>
  <c r="AD70" i="22"/>
  <c r="AD82" i="22"/>
  <c r="AD74" i="22"/>
  <c r="AD71" i="22"/>
  <c r="AD84" i="22"/>
  <c r="AD83" i="22"/>
  <c r="AD69" i="22"/>
  <c r="V70" i="22"/>
  <c r="V82" i="22"/>
  <c r="V72" i="22"/>
  <c r="V78" i="22"/>
  <c r="V74" i="22"/>
  <c r="V71" i="22"/>
  <c r="V84" i="22"/>
  <c r="AH14" i="22"/>
  <c r="V119" i="22"/>
  <c r="F32" i="6"/>
  <c r="F48" i="6" s="1"/>
  <c r="B210" i="15"/>
  <c r="B155" i="15" s="1"/>
  <c r="G104" i="1"/>
  <c r="A232" i="7"/>
  <c r="A233" i="7" s="1"/>
  <c r="A231" i="7"/>
  <c r="A230" i="7"/>
  <c r="B232" i="7"/>
  <c r="B233" i="7" s="1"/>
  <c r="D232" i="7"/>
  <c r="B231" i="7"/>
  <c r="B230" i="7"/>
  <c r="C231" i="7"/>
  <c r="C230" i="7"/>
  <c r="A322" i="6"/>
  <c r="B322" i="6"/>
  <c r="C322" i="6"/>
  <c r="A139" i="6"/>
  <c r="A138" i="6"/>
  <c r="C139" i="6"/>
  <c r="C138" i="6"/>
  <c r="B138" i="6"/>
  <c r="B99" i="6"/>
  <c r="A99" i="6"/>
  <c r="A389" i="7"/>
  <c r="A385" i="7"/>
  <c r="A384" i="7"/>
  <c r="A414" i="7"/>
  <c r="A411" i="7"/>
  <c r="A407" i="7"/>
  <c r="A408" i="7" s="1"/>
  <c r="A405" i="7"/>
  <c r="A434" i="7"/>
  <c r="A433" i="7"/>
  <c r="A326" i="7"/>
  <c r="A321" i="7"/>
  <c r="A316" i="7"/>
  <c r="A352" i="7"/>
  <c r="A350" i="7"/>
  <c r="A349" i="7"/>
  <c r="A347" i="7"/>
  <c r="A346" i="7"/>
  <c r="A341" i="7"/>
  <c r="A340" i="7"/>
  <c r="A339" i="7"/>
  <c r="A335" i="7"/>
  <c r="A371" i="7"/>
  <c r="A370" i="7"/>
  <c r="A367" i="7"/>
  <c r="A265" i="7"/>
  <c r="A262" i="7"/>
  <c r="A261" i="7"/>
  <c r="A290" i="7"/>
  <c r="A289" i="7"/>
  <c r="A286" i="7"/>
  <c r="A285" i="7"/>
  <c r="A284" i="7"/>
  <c r="A281" i="7"/>
  <c r="A280" i="7"/>
  <c r="A279" i="7"/>
  <c r="A278" i="7"/>
  <c r="A277" i="7"/>
  <c r="A274" i="7"/>
  <c r="A273" i="7"/>
  <c r="A272" i="7"/>
  <c r="A305" i="7"/>
  <c r="A304" i="7"/>
  <c r="A303" i="7"/>
  <c r="A302" i="7"/>
  <c r="A301" i="7"/>
  <c r="A249" i="7"/>
  <c r="A248" i="7"/>
  <c r="A247" i="7"/>
  <c r="A246" i="7"/>
  <c r="A245" i="7"/>
  <c r="A229" i="7"/>
  <c r="A222" i="7"/>
  <c r="A224" i="7" s="1"/>
  <c r="A10" i="7" s="1"/>
  <c r="A178" i="7"/>
  <c r="A177" i="7"/>
  <c r="A176" i="7"/>
  <c r="A195" i="7"/>
  <c r="A191" i="7"/>
  <c r="A190" i="7"/>
  <c r="A189" i="7"/>
  <c r="A188" i="7"/>
  <c r="A187" i="7"/>
  <c r="A210" i="7"/>
  <c r="A209" i="7"/>
  <c r="A208" i="7"/>
  <c r="A207" i="7"/>
  <c r="A206" i="7"/>
  <c r="A149" i="7"/>
  <c r="A146" i="7"/>
  <c r="A145" i="7"/>
  <c r="A141" i="7"/>
  <c r="A138" i="7"/>
  <c r="A132" i="7"/>
  <c r="A130" i="7"/>
  <c r="A163" i="7"/>
  <c r="A162" i="7"/>
  <c r="A161" i="7"/>
  <c r="A160" i="7"/>
  <c r="A159" i="7"/>
  <c r="A64" i="7"/>
  <c r="A69" i="7" s="1"/>
  <c r="A7" i="7" s="1"/>
  <c r="A95" i="7"/>
  <c r="A93" i="7"/>
  <c r="A82" i="7"/>
  <c r="A81" i="7"/>
  <c r="A80" i="7"/>
  <c r="A77" i="7"/>
  <c r="A76" i="7"/>
  <c r="A74" i="7"/>
  <c r="A118" i="7"/>
  <c r="A117" i="7"/>
  <c r="A116" i="7"/>
  <c r="A115" i="7"/>
  <c r="A114" i="7"/>
  <c r="A803" i="6"/>
  <c r="A654" i="6"/>
  <c r="A649" i="6"/>
  <c r="A648" i="6"/>
  <c r="A639" i="6"/>
  <c r="A638" i="6"/>
  <c r="A688" i="6"/>
  <c r="A687" i="6"/>
  <c r="A686" i="6"/>
  <c r="A685" i="6"/>
  <c r="A684" i="6"/>
  <c r="A573" i="6"/>
  <c r="A586" i="6"/>
  <c r="A615" i="6"/>
  <c r="A614" i="6"/>
  <c r="A613" i="6"/>
  <c r="A611" i="6"/>
  <c r="A533" i="6"/>
  <c r="A535" i="6" s="1"/>
  <c r="A14" i="6" s="1"/>
  <c r="A545" i="6"/>
  <c r="A550" i="6" s="1"/>
  <c r="A542" i="6"/>
  <c r="A541" i="6"/>
  <c r="A560" i="6"/>
  <c r="A559" i="6"/>
  <c r="A558" i="6"/>
  <c r="A557" i="6"/>
  <c r="A556" i="6"/>
  <c r="A520" i="6"/>
  <c r="A448" i="6"/>
  <c r="A454" i="6" s="1"/>
  <c r="A434" i="6"/>
  <c r="A433" i="6"/>
  <c r="A432" i="6"/>
  <c r="A431" i="6"/>
  <c r="A426" i="6"/>
  <c r="A422" i="6"/>
  <c r="A414" i="6"/>
  <c r="A412" i="6"/>
  <c r="A410" i="6"/>
  <c r="A408" i="6"/>
  <c r="AA7" i="9"/>
  <c r="A124" i="4"/>
  <c r="AA102" i="11"/>
  <c r="X102" i="11"/>
  <c r="U102" i="11"/>
  <c r="R102" i="11"/>
  <c r="O102" i="11"/>
  <c r="L102" i="11"/>
  <c r="C726" i="6"/>
  <c r="C725" i="6"/>
  <c r="C723" i="6"/>
  <c r="B725" i="6"/>
  <c r="B723" i="6"/>
  <c r="B721" i="6"/>
  <c r="C720" i="6"/>
  <c r="B720" i="6"/>
  <c r="A734" i="6"/>
  <c r="A392" i="6"/>
  <c r="A391" i="6"/>
  <c r="A390" i="6"/>
  <c r="A389" i="6"/>
  <c r="A388" i="6"/>
  <c r="A376" i="6"/>
  <c r="A375" i="6"/>
  <c r="A369" i="6"/>
  <c r="A365" i="6"/>
  <c r="A301" i="6"/>
  <c r="A308" i="6"/>
  <c r="A338" i="6"/>
  <c r="A337" i="6"/>
  <c r="A336" i="6"/>
  <c r="A333" i="6"/>
  <c r="A330" i="6"/>
  <c r="A329" i="6" s="1"/>
  <c r="A326" i="6"/>
  <c r="A325" i="6"/>
  <c r="A324" i="6"/>
  <c r="A320" i="6"/>
  <c r="A319" i="6"/>
  <c r="A353" i="6"/>
  <c r="A352" i="6"/>
  <c r="A351" i="6"/>
  <c r="A350" i="6"/>
  <c r="A349" i="6"/>
  <c r="A289" i="6"/>
  <c r="A288" i="6"/>
  <c r="A287" i="6"/>
  <c r="A286" i="6"/>
  <c r="A285" i="6"/>
  <c r="A271" i="6"/>
  <c r="A278" i="6" s="1"/>
  <c r="A267" i="6"/>
  <c r="A263" i="6"/>
  <c r="A262" i="6"/>
  <c r="A261" i="6"/>
  <c r="A215" i="6"/>
  <c r="A214" i="6"/>
  <c r="A211" i="6"/>
  <c r="A210" i="6"/>
  <c r="A208" i="6"/>
  <c r="A207" i="6"/>
  <c r="A201" i="6"/>
  <c r="A232" i="6"/>
  <c r="A231" i="6"/>
  <c r="A230" i="6"/>
  <c r="A229" i="6"/>
  <c r="A228" i="6"/>
  <c r="A103" i="6"/>
  <c r="A102" i="6"/>
  <c r="A137" i="6"/>
  <c r="A98" i="6"/>
  <c r="A95" i="6"/>
  <c r="A93" i="6"/>
  <c r="A92" i="6"/>
  <c r="A207" i="5"/>
  <c r="A206" i="5"/>
  <c r="A205" i="5"/>
  <c r="A204" i="5"/>
  <c r="A203" i="5"/>
  <c r="A163" i="5"/>
  <c r="A162" i="5"/>
  <c r="A161" i="5"/>
  <c r="A160" i="5"/>
  <c r="A159" i="5"/>
  <c r="A112" i="5"/>
  <c r="A111" i="5"/>
  <c r="A110" i="5"/>
  <c r="A109" i="5"/>
  <c r="A108" i="5"/>
  <c r="A77" i="5"/>
  <c r="A76" i="5"/>
  <c r="A75" i="5"/>
  <c r="A74" i="5"/>
  <c r="A73" i="5"/>
  <c r="A93" i="4"/>
  <c r="A92" i="4"/>
  <c r="A91" i="4"/>
  <c r="A90" i="4"/>
  <c r="A89" i="4"/>
  <c r="A132" i="4"/>
  <c r="A123" i="4"/>
  <c r="A120" i="4"/>
  <c r="A119" i="4"/>
  <c r="A114" i="4"/>
  <c r="A108" i="4"/>
  <c r="A105" i="4"/>
  <c r="A104" i="4"/>
  <c r="A78" i="4"/>
  <c r="A70" i="4"/>
  <c r="A65" i="4"/>
  <c r="A59" i="4"/>
  <c r="A55" i="4"/>
  <c r="A175" i="5"/>
  <c r="A192" i="5"/>
  <c r="A189" i="5"/>
  <c r="A186" i="5"/>
  <c r="A148" i="5"/>
  <c r="A141" i="5"/>
  <c r="A138" i="5"/>
  <c r="A137" i="5"/>
  <c r="A97" i="5"/>
  <c r="A96" i="5"/>
  <c r="A95" i="5"/>
  <c r="A62" i="5"/>
  <c r="A61" i="5"/>
  <c r="A60" i="5"/>
  <c r="A54" i="5"/>
  <c r="D94" i="7"/>
  <c r="BJ133" i="9"/>
  <c r="N165" i="40"/>
  <c r="O205" i="3" s="1"/>
  <c r="BJ134" i="9"/>
  <c r="BJ137" i="9"/>
  <c r="BJ135" i="9"/>
  <c r="BJ138" i="9"/>
  <c r="AZ133" i="9"/>
  <c r="AZ134" i="9"/>
  <c r="AZ135" i="9"/>
  <c r="D1582" i="6"/>
  <c r="L86" i="37"/>
  <c r="A445" i="6"/>
  <c r="C434" i="6"/>
  <c r="C433" i="6"/>
  <c r="B434" i="6"/>
  <c r="B433" i="6"/>
  <c r="C426" i="6"/>
  <c r="B426" i="6"/>
  <c r="K115" i="37"/>
  <c r="C105" i="4"/>
  <c r="H1150" i="6"/>
  <c r="I1150" i="6" s="1"/>
  <c r="J1150" i="6"/>
  <c r="K1150" i="6"/>
  <c r="L1150" i="6"/>
  <c r="M1150" i="6"/>
  <c r="N1150" i="6"/>
  <c r="O1150" i="6"/>
  <c r="O193" i="3"/>
  <c r="E772" i="34"/>
  <c r="K26" i="48"/>
  <c r="K25" i="48"/>
  <c r="D645" i="6"/>
  <c r="D643" i="6"/>
  <c r="J23" i="1"/>
  <c r="J25" i="1" s="1"/>
  <c r="F29" i="45"/>
  <c r="C124" i="4"/>
  <c r="D434" i="6"/>
  <c r="D433" i="6"/>
  <c r="D426" i="6"/>
  <c r="BB77" i="22"/>
  <c r="AX77" i="22"/>
  <c r="AT77" i="22"/>
  <c r="AP77" i="22"/>
  <c r="AL77" i="22"/>
  <c r="AH77" i="22"/>
  <c r="BB70" i="22"/>
  <c r="AX70" i="22"/>
  <c r="AT70" i="22"/>
  <c r="AP70" i="22"/>
  <c r="AL70" i="22"/>
  <c r="AH70" i="22"/>
  <c r="BB82" i="22"/>
  <c r="AX82" i="22"/>
  <c r="AT82" i="22"/>
  <c r="AL82" i="22"/>
  <c r="AH82" i="22"/>
  <c r="BB72" i="22"/>
  <c r="AX72" i="22"/>
  <c r="AT72" i="22"/>
  <c r="AP72" i="22"/>
  <c r="AL72" i="22"/>
  <c r="AH72" i="22"/>
  <c r="BB78" i="22"/>
  <c r="AX78" i="22"/>
  <c r="AT78" i="22"/>
  <c r="AP78" i="22"/>
  <c r="AH78" i="22"/>
  <c r="V120" i="22"/>
  <c r="H104" i="1"/>
  <c r="I104" i="1" s="1"/>
  <c r="D629" i="6"/>
  <c r="J1790" i="6"/>
  <c r="AF7" i="9"/>
  <c r="AO42" i="9"/>
  <c r="AP42" i="9" s="1"/>
  <c r="C542" i="6"/>
  <c r="B542" i="6"/>
  <c r="D1500" i="6"/>
  <c r="AW12" i="42"/>
  <c r="J24" i="1"/>
  <c r="K24" i="1" s="1"/>
  <c r="L24" i="1" s="1"/>
  <c r="M24" i="1" s="1"/>
  <c r="N24" i="1" s="1"/>
  <c r="O24" i="1" s="1"/>
  <c r="P24" i="1" s="1"/>
  <c r="Q24" i="1" s="1"/>
  <c r="R24" i="1" s="1"/>
  <c r="G164" i="45"/>
  <c r="AT42" i="9"/>
  <c r="AU42" i="9" s="1"/>
  <c r="D111" i="8"/>
  <c r="C339" i="7"/>
  <c r="B339" i="7"/>
  <c r="C52" i="12"/>
  <c r="D145" i="7"/>
  <c r="C145" i="7"/>
  <c r="B145" i="7"/>
  <c r="C429" i="34"/>
  <c r="D408" i="34"/>
  <c r="E408" i="34" s="1"/>
  <c r="F408" i="34" s="1"/>
  <c r="G408" i="34" s="1"/>
  <c r="A209" i="6"/>
  <c r="C70" i="4"/>
  <c r="A185" i="5"/>
  <c r="A136" i="5"/>
  <c r="C106" i="4"/>
  <c r="C77" i="4"/>
  <c r="F422" i="45"/>
  <c r="E422" i="45"/>
  <c r="D422" i="45"/>
  <c r="F428" i="45"/>
  <c r="G428" i="45"/>
  <c r="E428" i="45"/>
  <c r="F429" i="45"/>
  <c r="G429" i="45"/>
  <c r="H429" i="45"/>
  <c r="I429" i="45"/>
  <c r="J429" i="45"/>
  <c r="K429" i="45"/>
  <c r="L429" i="45"/>
  <c r="M429" i="45"/>
  <c r="N429" i="45"/>
  <c r="O429" i="45"/>
  <c r="E429" i="45"/>
  <c r="F427" i="45"/>
  <c r="G427" i="45"/>
  <c r="H427" i="45"/>
  <c r="I427" i="45"/>
  <c r="J427" i="45"/>
  <c r="K427" i="45"/>
  <c r="L427" i="45"/>
  <c r="M427" i="45"/>
  <c r="N427" i="45"/>
  <c r="O427" i="45"/>
  <c r="E427" i="45"/>
  <c r="I403" i="45"/>
  <c r="J403" i="45"/>
  <c r="K403" i="45"/>
  <c r="L403" i="45"/>
  <c r="M403" i="45"/>
  <c r="N403" i="45"/>
  <c r="O403" i="45"/>
  <c r="G403" i="45"/>
  <c r="F403" i="45"/>
  <c r="E403" i="45"/>
  <c r="E402" i="45"/>
  <c r="I402" i="45" s="1"/>
  <c r="D403" i="45"/>
  <c r="D402" i="45"/>
  <c r="F299" i="45"/>
  <c r="E299" i="45"/>
  <c r="D304" i="45"/>
  <c r="D294" i="45"/>
  <c r="F291" i="45"/>
  <c r="E291" i="45"/>
  <c r="D291" i="45"/>
  <c r="F290" i="45"/>
  <c r="E290" i="45"/>
  <c r="D290" i="45"/>
  <c r="E289" i="45"/>
  <c r="D289" i="45"/>
  <c r="I267" i="45"/>
  <c r="J267" i="45"/>
  <c r="K267" i="45"/>
  <c r="L267" i="45"/>
  <c r="M267" i="45"/>
  <c r="N267" i="45"/>
  <c r="O267" i="45"/>
  <c r="G267" i="45"/>
  <c r="F267" i="45"/>
  <c r="E267" i="45"/>
  <c r="D267" i="45"/>
  <c r="E266" i="45"/>
  <c r="J266" i="45" s="1"/>
  <c r="D266" i="45"/>
  <c r="I146" i="45"/>
  <c r="J146" i="45"/>
  <c r="K146" i="45"/>
  <c r="L146" i="45"/>
  <c r="M146" i="45"/>
  <c r="N146" i="45"/>
  <c r="O146" i="45"/>
  <c r="G146" i="45"/>
  <c r="F146" i="45"/>
  <c r="E145" i="45"/>
  <c r="E146" i="45"/>
  <c r="D146" i="45"/>
  <c r="D145" i="45"/>
  <c r="F161" i="45"/>
  <c r="E161" i="45"/>
  <c r="D161" i="45"/>
  <c r="F168" i="45"/>
  <c r="G168" i="45"/>
  <c r="E168" i="45"/>
  <c r="F42" i="45"/>
  <c r="G42" i="45"/>
  <c r="H42" i="45"/>
  <c r="I42" i="45"/>
  <c r="J42" i="45"/>
  <c r="K42" i="45"/>
  <c r="L42" i="45"/>
  <c r="M42" i="45"/>
  <c r="N42" i="45"/>
  <c r="O42" i="45"/>
  <c r="E42" i="45"/>
  <c r="F41" i="45"/>
  <c r="G41" i="45"/>
  <c r="I41" i="45"/>
  <c r="E41" i="45"/>
  <c r="F35" i="45"/>
  <c r="E35" i="45"/>
  <c r="D35" i="45"/>
  <c r="D32" i="45"/>
  <c r="F31" i="45"/>
  <c r="E31" i="45"/>
  <c r="D31" i="45"/>
  <c r="F30" i="45"/>
  <c r="E30" i="45"/>
  <c r="D30" i="45"/>
  <c r="D2" i="45"/>
  <c r="D430" i="45"/>
  <c r="O409" i="45"/>
  <c r="O417" i="45"/>
  <c r="N409" i="45"/>
  <c r="N417" i="45"/>
  <c r="M409" i="45"/>
  <c r="M417" i="45"/>
  <c r="L409" i="45"/>
  <c r="L417" i="45"/>
  <c r="K409" i="45"/>
  <c r="K417" i="45"/>
  <c r="J409" i="45"/>
  <c r="J417" i="45"/>
  <c r="I409" i="45"/>
  <c r="I417" i="45"/>
  <c r="H409" i="45"/>
  <c r="H417" i="45"/>
  <c r="G409" i="45"/>
  <c r="G417" i="45"/>
  <c r="F409" i="45"/>
  <c r="F417" i="45"/>
  <c r="E409" i="45"/>
  <c r="E417" i="45"/>
  <c r="D409" i="45"/>
  <c r="D417" i="45"/>
  <c r="O275" i="45"/>
  <c r="O285" i="45"/>
  <c r="N275" i="45"/>
  <c r="N285" i="45"/>
  <c r="M275" i="45"/>
  <c r="M285" i="45"/>
  <c r="L275" i="45"/>
  <c r="L285" i="45"/>
  <c r="K275" i="45"/>
  <c r="K285" i="45"/>
  <c r="J275" i="45"/>
  <c r="J285" i="45"/>
  <c r="I275" i="45"/>
  <c r="I285" i="45"/>
  <c r="H275" i="45"/>
  <c r="H285" i="45"/>
  <c r="G275" i="45"/>
  <c r="G285" i="45"/>
  <c r="F275" i="45"/>
  <c r="F285" i="45"/>
  <c r="E275" i="45"/>
  <c r="E285" i="45"/>
  <c r="D275" i="45"/>
  <c r="D285" i="45"/>
  <c r="D45" i="45"/>
  <c r="N25" i="45"/>
  <c r="M25" i="45"/>
  <c r="L25" i="45"/>
  <c r="K25" i="45"/>
  <c r="J25" i="45"/>
  <c r="I25" i="45"/>
  <c r="H25" i="45"/>
  <c r="G25" i="45"/>
  <c r="F25" i="45"/>
  <c r="E25" i="45"/>
  <c r="D25" i="45"/>
  <c r="B613" i="6"/>
  <c r="I76" i="37"/>
  <c r="I65" i="37"/>
  <c r="I62" i="37"/>
  <c r="I80" i="37" s="1"/>
  <c r="G59" i="12"/>
  <c r="N10" i="37"/>
  <c r="I4" i="37"/>
  <c r="F60" i="20"/>
  <c r="G60" i="20" s="1"/>
  <c r="Q34" i="20"/>
  <c r="Q35" i="20"/>
  <c r="Q36" i="20"/>
  <c r="Q37" i="20"/>
  <c r="B389" i="7"/>
  <c r="B303" i="7"/>
  <c r="B517" i="6"/>
  <c r="B500" i="6"/>
  <c r="B390" i="6"/>
  <c r="A970" i="6"/>
  <c r="B189" i="5"/>
  <c r="C78" i="12"/>
  <c r="B45" i="17"/>
  <c r="B97" i="13"/>
  <c r="B72" i="13" s="1"/>
  <c r="C533" i="6"/>
  <c r="C535" i="6" s="1"/>
  <c r="C385" i="7"/>
  <c r="C141" i="7"/>
  <c r="C545" i="6"/>
  <c r="C550" i="6" s="1"/>
  <c r="C3" i="6"/>
  <c r="C360" i="6" s="1"/>
  <c r="C201" i="6"/>
  <c r="C350" i="7"/>
  <c r="C405" i="7"/>
  <c r="C185" i="5"/>
  <c r="C62" i="5"/>
  <c r="C556" i="6"/>
  <c r="C517" i="6"/>
  <c r="D339" i="7"/>
  <c r="D1392" i="6"/>
  <c r="E766" i="34"/>
  <c r="D1729" i="6"/>
  <c r="D699" i="6"/>
  <c r="D385" i="7"/>
  <c r="D311" i="6"/>
  <c r="D698" i="6"/>
  <c r="E758" i="34"/>
  <c r="C316" i="7"/>
  <c r="C43" i="34"/>
  <c r="D43" i="34"/>
  <c r="D2" i="34" s="1"/>
  <c r="E43" i="34"/>
  <c r="E167" i="34" s="1"/>
  <c r="E224" i="34" s="1"/>
  <c r="E402" i="34" s="1"/>
  <c r="F790" i="34"/>
  <c r="F813" i="34" s="1"/>
  <c r="F823" i="34" s="1"/>
  <c r="G43" i="34"/>
  <c r="G285" i="34" s="1"/>
  <c r="G465" i="34" s="1"/>
  <c r="H43" i="34"/>
  <c r="I43" i="34"/>
  <c r="J43" i="34"/>
  <c r="K43" i="34"/>
  <c r="L43" i="34"/>
  <c r="L285" i="34" s="1"/>
  <c r="M43" i="34"/>
  <c r="M2" i="34" s="1"/>
  <c r="C665" i="6"/>
  <c r="C186" i="5"/>
  <c r="C107" i="11"/>
  <c r="D107" i="11" s="1"/>
  <c r="E107" i="11" s="1"/>
  <c r="C389" i="7"/>
  <c r="B556" i="6"/>
  <c r="B206" i="7"/>
  <c r="B114" i="7"/>
  <c r="B301" i="7"/>
  <c r="B245" i="7"/>
  <c r="B159" i="7"/>
  <c r="D119" i="8"/>
  <c r="O1845" i="6"/>
  <c r="O640" i="6" s="1"/>
  <c r="O3" i="6"/>
  <c r="O1064" i="6"/>
  <c r="D208" i="6"/>
  <c r="E725" i="34"/>
  <c r="O500" i="6"/>
  <c r="O2016" i="6"/>
  <c r="O716" i="6" s="1"/>
  <c r="O573" i="4"/>
  <c r="O132" i="4" s="1"/>
  <c r="O81" i="7"/>
  <c r="D190" i="7"/>
  <c r="O350" i="7"/>
  <c r="D62" i="5"/>
  <c r="N1845" i="6"/>
  <c r="N640" i="6" s="1"/>
  <c r="N3" i="6"/>
  <c r="N1064" i="6"/>
  <c r="N500" i="6"/>
  <c r="N2016" i="6"/>
  <c r="N716" i="6" s="1"/>
  <c r="N573" i="4"/>
  <c r="N132" i="4" s="1"/>
  <c r="N81" i="7"/>
  <c r="N350" i="7"/>
  <c r="M1845" i="6"/>
  <c r="M640" i="6" s="1"/>
  <c r="M3" i="6"/>
  <c r="M360" i="6" s="1"/>
  <c r="M1064" i="6"/>
  <c r="M500" i="6"/>
  <c r="M2016" i="6"/>
  <c r="M573" i="4"/>
  <c r="M132" i="4" s="1"/>
  <c r="M81" i="7"/>
  <c r="M350" i="7"/>
  <c r="L1845" i="6"/>
  <c r="L640" i="6" s="1"/>
  <c r="L3" i="6"/>
  <c r="L1064" i="6"/>
  <c r="L500" i="6"/>
  <c r="L2016" i="6"/>
  <c r="L573" i="4"/>
  <c r="L132" i="4" s="1"/>
  <c r="L81" i="7"/>
  <c r="L350" i="7"/>
  <c r="K1845" i="6"/>
  <c r="K640" i="6" s="1"/>
  <c r="K3" i="6"/>
  <c r="K1064" i="6"/>
  <c r="K500" i="6"/>
  <c r="K2016" i="6"/>
  <c r="K716" i="6" s="1"/>
  <c r="K573" i="4"/>
  <c r="K132" i="4" s="1"/>
  <c r="K81" i="7"/>
  <c r="K350" i="7"/>
  <c r="J1845" i="6"/>
  <c r="J640" i="6" s="1"/>
  <c r="J3" i="6"/>
  <c r="J1064" i="6"/>
  <c r="J500" i="6"/>
  <c r="J2016" i="6"/>
  <c r="J716" i="6" s="1"/>
  <c r="J573" i="4"/>
  <c r="J81" i="7"/>
  <c r="J350" i="7"/>
  <c r="H1845" i="6"/>
  <c r="I1845" i="6" s="1"/>
  <c r="H2051" i="6"/>
  <c r="H1064" i="6"/>
  <c r="I1064" i="6" s="1"/>
  <c r="H500" i="6"/>
  <c r="I500" i="6" s="1"/>
  <c r="H81" i="7"/>
  <c r="I81" i="7" s="1"/>
  <c r="H350" i="7"/>
  <c r="I350" i="7" s="1"/>
  <c r="D3" i="6"/>
  <c r="D1064" i="6"/>
  <c r="D500" i="6"/>
  <c r="D545" i="6"/>
  <c r="D2016" i="6"/>
  <c r="D716" i="6" s="1"/>
  <c r="D77" i="7"/>
  <c r="D81" i="7"/>
  <c r="D95" i="7"/>
  <c r="D189" i="7"/>
  <c r="D191" i="7"/>
  <c r="D350" i="7"/>
  <c r="C638" i="6"/>
  <c r="C320" i="6"/>
  <c r="C709" i="6"/>
  <c r="C98" i="6"/>
  <c r="C207" i="6"/>
  <c r="C335" i="7"/>
  <c r="C340" i="7"/>
  <c r="C346" i="7"/>
  <c r="C347" i="7"/>
  <c r="C407" i="7"/>
  <c r="C76" i="7"/>
  <c r="C77" i="7"/>
  <c r="C81" i="7"/>
  <c r="C82" i="7"/>
  <c r="C93" i="7"/>
  <c r="C95" i="7"/>
  <c r="C99" i="7"/>
  <c r="C187" i="7"/>
  <c r="C188" i="7"/>
  <c r="C189" i="7"/>
  <c r="C190" i="7"/>
  <c r="C191" i="7"/>
  <c r="C229" i="7"/>
  <c r="C272" i="7"/>
  <c r="C273" i="7"/>
  <c r="C274" i="7"/>
  <c r="C277" i="7"/>
  <c r="C278" i="7"/>
  <c r="C279" i="7"/>
  <c r="C284" i="7"/>
  <c r="C285" i="7"/>
  <c r="C286" i="7"/>
  <c r="C289" i="7"/>
  <c r="C290" i="7"/>
  <c r="C137" i="5"/>
  <c r="E3" i="9"/>
  <c r="F88" i="9"/>
  <c r="F174" i="9" s="1"/>
  <c r="G3" i="9"/>
  <c r="G3" i="21" s="1"/>
  <c r="G77" i="21" s="1"/>
  <c r="H3" i="9"/>
  <c r="I3" i="9"/>
  <c r="J3" i="9"/>
  <c r="J3" i="21" s="1"/>
  <c r="J77" i="21" s="1"/>
  <c r="K3" i="9"/>
  <c r="CK3" i="9" s="1"/>
  <c r="CY3" i="9" s="1"/>
  <c r="D45" i="8"/>
  <c r="B45" i="16"/>
  <c r="U90" i="10"/>
  <c r="V90" i="10" s="1"/>
  <c r="X90" i="10"/>
  <c r="Y90" i="10" s="1"/>
  <c r="V115" i="10"/>
  <c r="Y115" i="10"/>
  <c r="D135" i="7"/>
  <c r="D262" i="7"/>
  <c r="C130" i="7"/>
  <c r="C132" i="7"/>
  <c r="C135" i="7"/>
  <c r="C138" i="7"/>
  <c r="C699" i="6"/>
  <c r="C176" i="7"/>
  <c r="C222" i="7"/>
  <c r="C224" i="7" s="1"/>
  <c r="B130" i="42" s="1"/>
  <c r="C321" i="7"/>
  <c r="C54" i="5"/>
  <c r="C149" i="7"/>
  <c r="C410" i="6"/>
  <c r="C325" i="7"/>
  <c r="C326" i="7"/>
  <c r="C64" i="7"/>
  <c r="C262" i="7"/>
  <c r="C265" i="7"/>
  <c r="C263" i="7"/>
  <c r="E64" i="9"/>
  <c r="D1119" i="7" s="1"/>
  <c r="D434" i="7" s="1"/>
  <c r="L3" i="9"/>
  <c r="O3" i="7"/>
  <c r="O59" i="7" s="1"/>
  <c r="C206" i="7"/>
  <c r="C114" i="7"/>
  <c r="C301" i="7"/>
  <c r="C245" i="7"/>
  <c r="C159" i="7"/>
  <c r="D517" i="6"/>
  <c r="D556" i="6"/>
  <c r="E37" i="5" s="1"/>
  <c r="D206" i="7"/>
  <c r="D114" i="7"/>
  <c r="D301" i="7"/>
  <c r="D245" i="7"/>
  <c r="D159" i="7"/>
  <c r="H517" i="6"/>
  <c r="I517" i="6" s="1"/>
  <c r="H556" i="6"/>
  <c r="I556" i="6" s="1"/>
  <c r="H2042" i="6"/>
  <c r="I2042" i="6" s="1"/>
  <c r="H206" i="7"/>
  <c r="H114" i="7"/>
  <c r="H301" i="7"/>
  <c r="I301" i="7" s="1"/>
  <c r="H245" i="7"/>
  <c r="I245" i="7" s="1"/>
  <c r="H159" i="7"/>
  <c r="J517" i="6"/>
  <c r="J556" i="6"/>
  <c r="J2042" i="6"/>
  <c r="J740" i="6" s="1"/>
  <c r="J206" i="7"/>
  <c r="J114" i="7"/>
  <c r="J301" i="7"/>
  <c r="J245" i="7"/>
  <c r="J159" i="7"/>
  <c r="K517" i="6"/>
  <c r="K556" i="6"/>
  <c r="K2042" i="6"/>
  <c r="K206" i="7"/>
  <c r="K114" i="7"/>
  <c r="K301" i="7"/>
  <c r="K245" i="7"/>
  <c r="K159" i="7"/>
  <c r="L517" i="6"/>
  <c r="L556" i="6"/>
  <c r="L2042" i="6"/>
  <c r="L206" i="7"/>
  <c r="L114" i="7"/>
  <c r="L301" i="7"/>
  <c r="L245" i="7"/>
  <c r="L159" i="7"/>
  <c r="M517" i="6"/>
  <c r="M556" i="6"/>
  <c r="M2042" i="6"/>
  <c r="M206" i="7"/>
  <c r="M114" i="7"/>
  <c r="M301" i="7"/>
  <c r="M245" i="7"/>
  <c r="M159" i="7"/>
  <c r="N517" i="6"/>
  <c r="N556" i="6"/>
  <c r="N2042" i="6"/>
  <c r="N367" i="7"/>
  <c r="N206" i="7"/>
  <c r="N114" i="7"/>
  <c r="N301" i="7"/>
  <c r="N245" i="7"/>
  <c r="N159" i="7"/>
  <c r="O517" i="6"/>
  <c r="O556" i="6"/>
  <c r="O2042" i="6"/>
  <c r="O948" i="7"/>
  <c r="O367" i="7" s="1"/>
  <c r="O206" i="7"/>
  <c r="O114" i="7"/>
  <c r="O301" i="7"/>
  <c r="O245" i="7"/>
  <c r="O159" i="7"/>
  <c r="C965" i="7"/>
  <c r="D1009" i="7"/>
  <c r="AT59" i="9"/>
  <c r="AU59" i="9" s="1"/>
  <c r="BD59" i="9"/>
  <c r="BE59" i="9" s="1"/>
  <c r="BD60" i="9"/>
  <c r="BE60" i="9" s="1"/>
  <c r="BI60" i="9"/>
  <c r="BJ60" i="9" s="1"/>
  <c r="AA90" i="10"/>
  <c r="AB90" i="10" s="1"/>
  <c r="AB115" i="10"/>
  <c r="C75" i="5"/>
  <c r="C207" i="5"/>
  <c r="C206" i="5"/>
  <c r="C204" i="5"/>
  <c r="C205" i="5"/>
  <c r="C116" i="7"/>
  <c r="C117" i="7"/>
  <c r="C118" i="7"/>
  <c r="C249" i="7"/>
  <c r="C246" i="7"/>
  <c r="C247" i="7"/>
  <c r="C248" i="7"/>
  <c r="C160" i="7"/>
  <c r="C161" i="7"/>
  <c r="C162" i="7"/>
  <c r="C163" i="7"/>
  <c r="C208" i="7"/>
  <c r="C207" i="7"/>
  <c r="C209" i="7"/>
  <c r="C210" i="7"/>
  <c r="C302" i="7"/>
  <c r="C303" i="7"/>
  <c r="C818" i="7"/>
  <c r="C304" i="7" s="1"/>
  <c r="C305" i="7"/>
  <c r="C175" i="6"/>
  <c r="C232" i="6"/>
  <c r="C286" i="6"/>
  <c r="C390" i="6"/>
  <c r="C389" i="6"/>
  <c r="C463" i="6"/>
  <c r="C520" i="6"/>
  <c r="C521" i="6"/>
  <c r="C560" i="6"/>
  <c r="C557" i="6"/>
  <c r="C558" i="6"/>
  <c r="C615" i="6"/>
  <c r="C688" i="6"/>
  <c r="C744" i="6"/>
  <c r="B195" i="7"/>
  <c r="A138" i="3" s="1"/>
  <c r="B405" i="7"/>
  <c r="B411" i="7"/>
  <c r="B997" i="7"/>
  <c r="A85" i="12"/>
  <c r="B818" i="7"/>
  <c r="B304" i="7" s="1"/>
  <c r="B302" i="7"/>
  <c r="A31" i="16"/>
  <c r="AF19" i="42"/>
  <c r="B640" i="6"/>
  <c r="F28" i="14"/>
  <c r="F39" i="14"/>
  <c r="B1136" i="6" s="1"/>
  <c r="B333" i="6" s="1"/>
  <c r="B186" i="5"/>
  <c r="B3" i="6"/>
  <c r="B709" i="6"/>
  <c r="B710" i="6"/>
  <c r="B713" i="6"/>
  <c r="B719" i="6"/>
  <c r="B724" i="6"/>
  <c r="B729" i="6"/>
  <c r="B734" i="6" s="1"/>
  <c r="B698" i="6"/>
  <c r="B699" i="6"/>
  <c r="C758" i="34"/>
  <c r="B701" i="6"/>
  <c r="B743" i="6"/>
  <c r="A63" i="12"/>
  <c r="A78" i="12"/>
  <c r="C9" i="12"/>
  <c r="F40" i="55" s="1"/>
  <c r="A47" i="12"/>
  <c r="A52" i="12"/>
  <c r="A56" i="12"/>
  <c r="A28" i="12"/>
  <c r="B487" i="6"/>
  <c r="B496" i="6"/>
  <c r="B497" i="6"/>
  <c r="B506" i="6"/>
  <c r="B511" i="6" s="1"/>
  <c r="B1486" i="6"/>
  <c r="B1506" i="6"/>
  <c r="B1509" i="6"/>
  <c r="B1734" i="6"/>
  <c r="B628" i="6"/>
  <c r="B633" i="6"/>
  <c r="B407" i="7"/>
  <c r="B385" i="7"/>
  <c r="B965" i="7"/>
  <c r="B321" i="7"/>
  <c r="B349" i="7"/>
  <c r="AA3" i="9"/>
  <c r="AA88" i="9" s="1"/>
  <c r="AA174" i="9" s="1"/>
  <c r="BI58" i="9"/>
  <c r="BJ58" i="9" s="1"/>
  <c r="BI59" i="9"/>
  <c r="BJ59" i="9" s="1"/>
  <c r="BI2" i="9"/>
  <c r="BI87" i="9" s="1"/>
  <c r="BI173" i="9" s="1"/>
  <c r="BI210" i="9"/>
  <c r="BJ210" i="9" s="1"/>
  <c r="BI25" i="9"/>
  <c r="BH25" i="9"/>
  <c r="BG25" i="9"/>
  <c r="S88" i="9"/>
  <c r="S174" i="9" s="1"/>
  <c r="BF25" i="9"/>
  <c r="BD58" i="9"/>
  <c r="BE58" i="9" s="1"/>
  <c r="BD2" i="9"/>
  <c r="BD87" i="9" s="1"/>
  <c r="BD173" i="9" s="1"/>
  <c r="BD210" i="9"/>
  <c r="BE210" i="9" s="1"/>
  <c r="BD25" i="9"/>
  <c r="BC25" i="9"/>
  <c r="BB25" i="9"/>
  <c r="BA25" i="9"/>
  <c r="AY58" i="9"/>
  <c r="AZ58" i="9" s="1"/>
  <c r="AY59" i="9"/>
  <c r="AZ59" i="9" s="1"/>
  <c r="AY60" i="9"/>
  <c r="AZ60" i="9" s="1"/>
  <c r="AZ65" i="9"/>
  <c r="AY2" i="9"/>
  <c r="AY87" i="9" s="1"/>
  <c r="AY173" i="9" s="1"/>
  <c r="AY210" i="9"/>
  <c r="AZ210" i="9" s="1"/>
  <c r="AY25" i="9"/>
  <c r="AX25" i="9"/>
  <c r="AW25" i="9"/>
  <c r="AW66" i="9"/>
  <c r="AV25" i="9"/>
  <c r="AT210" i="9"/>
  <c r="AU210" i="9" s="1"/>
  <c r="AT58" i="9"/>
  <c r="AU58" i="9" s="1"/>
  <c r="AT60" i="9"/>
  <c r="AU60" i="9" s="1"/>
  <c r="AT2" i="9"/>
  <c r="AT87" i="9" s="1"/>
  <c r="AT173" i="9" s="1"/>
  <c r="AS25" i="9"/>
  <c r="AS66" i="9"/>
  <c r="AR25" i="9"/>
  <c r="AQ25" i="9"/>
  <c r="AO210" i="9"/>
  <c r="AP210" i="9" s="1"/>
  <c r="AO58" i="9"/>
  <c r="AO59" i="9"/>
  <c r="AP59" i="9" s="1"/>
  <c r="AO60" i="9"/>
  <c r="AP60" i="9" s="1"/>
  <c r="AO2" i="9"/>
  <c r="AO87" i="9" s="1"/>
  <c r="AO173" i="9" s="1"/>
  <c r="AN25" i="9"/>
  <c r="AM25" i="9"/>
  <c r="AM66" i="9"/>
  <c r="AL25" i="9"/>
  <c r="AJ59" i="9"/>
  <c r="AK59" i="9" s="1"/>
  <c r="AJ49" i="9"/>
  <c r="AK49" i="9" s="1"/>
  <c r="AJ2" i="9"/>
  <c r="AJ87" i="9" s="1"/>
  <c r="AJ173" i="9" s="1"/>
  <c r="AI25" i="9"/>
  <c r="AI66" i="9"/>
  <c r="AH25" i="9"/>
  <c r="AG25" i="9"/>
  <c r="AG66" i="9"/>
  <c r="AE2" i="9"/>
  <c r="AE87" i="9" s="1"/>
  <c r="AE173" i="9" s="1"/>
  <c r="AC25" i="9"/>
  <c r="AB25" i="9"/>
  <c r="Z210" i="9"/>
  <c r="AA210" i="9" s="1"/>
  <c r="Z87" i="9"/>
  <c r="Z173" i="9" s="1"/>
  <c r="X25" i="9"/>
  <c r="V113" i="9"/>
  <c r="V151" i="9"/>
  <c r="D2044" i="6"/>
  <c r="T25" i="9"/>
  <c r="S25" i="9"/>
  <c r="O93" i="4"/>
  <c r="N93" i="4"/>
  <c r="M93" i="4"/>
  <c r="L93" i="4"/>
  <c r="K93" i="4"/>
  <c r="J93" i="4"/>
  <c r="H93" i="4"/>
  <c r="C93" i="4"/>
  <c r="A5" i="9"/>
  <c r="C85" i="12"/>
  <c r="M59" i="12"/>
  <c r="T26" i="37" s="1"/>
  <c r="L59" i="12"/>
  <c r="K59" i="12"/>
  <c r="R26" i="37" s="1"/>
  <c r="J59" i="12"/>
  <c r="Q26" i="37" s="1"/>
  <c r="Q114" i="37" s="1"/>
  <c r="I59" i="12"/>
  <c r="P26" i="37" s="1"/>
  <c r="H59" i="12"/>
  <c r="E59" i="12"/>
  <c r="E63" i="12" s="1"/>
  <c r="C63" i="12"/>
  <c r="C365" i="6"/>
  <c r="C366" i="6"/>
  <c r="C414" i="6"/>
  <c r="C633" i="6"/>
  <c r="C261" i="6"/>
  <c r="C262" i="6"/>
  <c r="C263" i="6"/>
  <c r="C271" i="6"/>
  <c r="C270" i="6"/>
  <c r="C324" i="6"/>
  <c r="C336" i="6"/>
  <c r="C337" i="6"/>
  <c r="C338" i="6"/>
  <c r="C494" i="6"/>
  <c r="C496" i="6"/>
  <c r="C506" i="6"/>
  <c r="C511" i="6" s="1"/>
  <c r="C648" i="6"/>
  <c r="C649" i="6"/>
  <c r="C654" i="6"/>
  <c r="C658" i="6"/>
  <c r="C667" i="6"/>
  <c r="C668" i="6"/>
  <c r="C710" i="6"/>
  <c r="C719" i="6"/>
  <c r="C724" i="6"/>
  <c r="C729" i="6"/>
  <c r="C734" i="6" s="1"/>
  <c r="C422" i="6"/>
  <c r="C432" i="6"/>
  <c r="C448" i="6"/>
  <c r="C454" i="6" s="1"/>
  <c r="C137" i="6"/>
  <c r="C102" i="6"/>
  <c r="C103" i="6"/>
  <c r="C208" i="6"/>
  <c r="C209" i="6"/>
  <c r="C210" i="6"/>
  <c r="C211" i="6"/>
  <c r="C214" i="6"/>
  <c r="C215" i="6"/>
  <c r="C375" i="6"/>
  <c r="C376" i="6"/>
  <c r="C583" i="6"/>
  <c r="C138" i="5"/>
  <c r="C615" i="4"/>
  <c r="C110" i="4" s="1"/>
  <c r="C369" i="6"/>
  <c r="C308" i="6"/>
  <c r="C412" i="6"/>
  <c r="C573" i="6"/>
  <c r="C628" i="6"/>
  <c r="C698" i="6"/>
  <c r="C701" i="6"/>
  <c r="C455" i="5"/>
  <c r="C203" i="5" s="1"/>
  <c r="C228" i="6"/>
  <c r="C388" i="6"/>
  <c r="C611" i="6"/>
  <c r="C47" i="12"/>
  <c r="C56" i="12"/>
  <c r="C1486" i="6"/>
  <c r="C1506" i="6"/>
  <c r="C1509" i="6"/>
  <c r="C1734" i="6"/>
  <c r="C743" i="6"/>
  <c r="E47" i="12"/>
  <c r="F47" i="12"/>
  <c r="G47" i="12"/>
  <c r="H47" i="12"/>
  <c r="I47" i="12"/>
  <c r="J47" i="12"/>
  <c r="K47" i="12"/>
  <c r="L47" i="12"/>
  <c r="L56" i="12"/>
  <c r="D628" i="6"/>
  <c r="B326" i="7"/>
  <c r="B130" i="7"/>
  <c r="B132" i="7"/>
  <c r="B135" i="7"/>
  <c r="B138" i="7"/>
  <c r="B141" i="7"/>
  <c r="B146" i="7"/>
  <c r="B149" i="7"/>
  <c r="B176" i="7"/>
  <c r="B261" i="7"/>
  <c r="B262" i="7"/>
  <c r="B265" i="7"/>
  <c r="B263" i="7"/>
  <c r="B222" i="7"/>
  <c r="B224" i="7" s="1"/>
  <c r="B10" i="7" s="1"/>
  <c r="B64" i="7"/>
  <c r="B308" i="6"/>
  <c r="B301" i="6"/>
  <c r="B365" i="6"/>
  <c r="B366" i="6"/>
  <c r="B369" i="6"/>
  <c r="B410" i="6"/>
  <c r="B414" i="6"/>
  <c r="B533" i="6"/>
  <c r="B535" i="6" s="1"/>
  <c r="B573" i="6"/>
  <c r="B54" i="5"/>
  <c r="O228" i="6"/>
  <c r="O388" i="6"/>
  <c r="O611" i="6"/>
  <c r="O455" i="5"/>
  <c r="O203" i="5" s="1"/>
  <c r="O445" i="5"/>
  <c r="O189" i="5" s="1"/>
  <c r="B148" i="8"/>
  <c r="A31" i="17"/>
  <c r="AU44" i="42"/>
  <c r="D148" i="8"/>
  <c r="C95" i="8"/>
  <c r="AF9" i="42"/>
  <c r="E104" i="19"/>
  <c r="B95" i="8"/>
  <c r="D78" i="8"/>
  <c r="G299" i="45"/>
  <c r="G304" i="45" s="1"/>
  <c r="N228" i="6"/>
  <c r="N388" i="6"/>
  <c r="N611" i="6"/>
  <c r="N455" i="5"/>
  <c r="N203" i="5" s="1"/>
  <c r="N445" i="5"/>
  <c r="N189" i="5" s="1"/>
  <c r="M228" i="6"/>
  <c r="M388" i="6"/>
  <c r="M611" i="6"/>
  <c r="M455" i="5"/>
  <c r="M203" i="5" s="1"/>
  <c r="M445" i="5"/>
  <c r="M189" i="5" s="1"/>
  <c r="L228" i="6"/>
  <c r="L388" i="6"/>
  <c r="L611" i="6"/>
  <c r="L455" i="5"/>
  <c r="L203" i="5" s="1"/>
  <c r="L445" i="5"/>
  <c r="L189" i="5" s="1"/>
  <c r="K228" i="6"/>
  <c r="K388" i="6"/>
  <c r="K611" i="6"/>
  <c r="K455" i="5"/>
  <c r="K203" i="5" s="1"/>
  <c r="K445" i="5"/>
  <c r="K189" i="5" s="1"/>
  <c r="J228" i="6"/>
  <c r="J388" i="6"/>
  <c r="J611" i="6"/>
  <c r="J455" i="5"/>
  <c r="J203" i="5" s="1"/>
  <c r="J445" i="5"/>
  <c r="J189" i="5" s="1"/>
  <c r="H228" i="6"/>
  <c r="I228" i="6" s="1"/>
  <c r="H388" i="6"/>
  <c r="I388" i="6" s="1"/>
  <c r="H611" i="6"/>
  <c r="I611" i="6" s="1"/>
  <c r="H455" i="5"/>
  <c r="I455" i="5" s="1"/>
  <c r="H445" i="5"/>
  <c r="I445" i="5" s="1"/>
  <c r="D228" i="6"/>
  <c r="D388" i="6"/>
  <c r="D611" i="6"/>
  <c r="D455" i="5"/>
  <c r="D203" i="5" s="1"/>
  <c r="D445" i="5"/>
  <c r="C136" i="5"/>
  <c r="A126" i="40"/>
  <c r="A131" i="40"/>
  <c r="O615" i="6"/>
  <c r="O614" i="6"/>
  <c r="O1014" i="6"/>
  <c r="O229" i="6" s="1"/>
  <c r="O1015" i="6"/>
  <c r="O230" i="6" s="1"/>
  <c r="O231" i="6"/>
  <c r="O271" i="6"/>
  <c r="O278" i="6" s="1"/>
  <c r="M55" i="12"/>
  <c r="M56" i="12" s="1"/>
  <c r="O1079" i="6"/>
  <c r="O286" i="6" s="1"/>
  <c r="O352" i="6"/>
  <c r="O520" i="6"/>
  <c r="O687" i="6"/>
  <c r="O743" i="6"/>
  <c r="O560" i="6"/>
  <c r="O557" i="6"/>
  <c r="O558" i="6"/>
  <c r="O559" i="6"/>
  <c r="O389" i="6"/>
  <c r="O390" i="6"/>
  <c r="O391" i="6"/>
  <c r="O392" i="6"/>
  <c r="N615" i="6"/>
  <c r="N614" i="6"/>
  <c r="N1014" i="6"/>
  <c r="N229" i="6" s="1"/>
  <c r="N1015" i="6"/>
  <c r="N230" i="6" s="1"/>
  <c r="N231" i="6"/>
  <c r="N271" i="6"/>
  <c r="N278" i="6" s="1"/>
  <c r="N1079" i="6"/>
  <c r="N286" i="6" s="1"/>
  <c r="N352" i="6"/>
  <c r="N520" i="6"/>
  <c r="N687" i="6"/>
  <c r="N743" i="6"/>
  <c r="N560" i="6"/>
  <c r="N557" i="6"/>
  <c r="N558" i="6"/>
  <c r="N559" i="6"/>
  <c r="N389" i="6"/>
  <c r="N390" i="6"/>
  <c r="N391" i="6"/>
  <c r="N392" i="6"/>
  <c r="M615" i="6"/>
  <c r="M614" i="6"/>
  <c r="M1014" i="6"/>
  <c r="M229" i="6" s="1"/>
  <c r="M1015" i="6"/>
  <c r="M230" i="6" s="1"/>
  <c r="M231" i="6"/>
  <c r="M271" i="6"/>
  <c r="M278" i="6" s="1"/>
  <c r="M1079" i="6"/>
  <c r="M286" i="6" s="1"/>
  <c r="M352" i="6"/>
  <c r="M520" i="6"/>
  <c r="M687" i="6"/>
  <c r="M743" i="6"/>
  <c r="M560" i="6"/>
  <c r="M557" i="6"/>
  <c r="M558" i="6"/>
  <c r="M559" i="6"/>
  <c r="M389" i="6"/>
  <c r="M390" i="6"/>
  <c r="M391" i="6"/>
  <c r="M392" i="6"/>
  <c r="L615" i="6"/>
  <c r="L614" i="6"/>
  <c r="L1014" i="6"/>
  <c r="L229" i="6" s="1"/>
  <c r="L1015" i="6"/>
  <c r="L230" i="6" s="1"/>
  <c r="L231" i="6"/>
  <c r="L271" i="6"/>
  <c r="L1079" i="6"/>
  <c r="L286" i="6" s="1"/>
  <c r="L352" i="6"/>
  <c r="L520" i="6"/>
  <c r="L687" i="6"/>
  <c r="L743" i="6"/>
  <c r="L560" i="6"/>
  <c r="L557" i="6"/>
  <c r="L558" i="6"/>
  <c r="L559" i="6"/>
  <c r="L389" i="6"/>
  <c r="L390" i="6"/>
  <c r="L391" i="6"/>
  <c r="L392" i="6"/>
  <c r="K615" i="6"/>
  <c r="K614" i="6"/>
  <c r="K1014" i="6"/>
  <c r="K229" i="6" s="1"/>
  <c r="K1015" i="6"/>
  <c r="K230" i="6" s="1"/>
  <c r="K231" i="6"/>
  <c r="K271" i="6"/>
  <c r="K278" i="6" s="1"/>
  <c r="K1079" i="6"/>
  <c r="K286" i="6" s="1"/>
  <c r="K520" i="6"/>
  <c r="K687" i="6"/>
  <c r="K743" i="6"/>
  <c r="K560" i="6"/>
  <c r="K557" i="6"/>
  <c r="K558" i="6"/>
  <c r="K559" i="6"/>
  <c r="K389" i="6"/>
  <c r="K390" i="6"/>
  <c r="K391" i="6"/>
  <c r="K392" i="6"/>
  <c r="J615" i="6"/>
  <c r="J614" i="6"/>
  <c r="J1014" i="6"/>
  <c r="J229" i="6" s="1"/>
  <c r="J1015" i="6"/>
  <c r="J230" i="6" s="1"/>
  <c r="J231" i="6"/>
  <c r="J271" i="6"/>
  <c r="J1079" i="6"/>
  <c r="J286" i="6" s="1"/>
  <c r="J520" i="6"/>
  <c r="J687" i="6"/>
  <c r="J743" i="6"/>
  <c r="J560" i="6"/>
  <c r="J557" i="6"/>
  <c r="J558" i="6"/>
  <c r="J559" i="6"/>
  <c r="J389" i="6"/>
  <c r="J390" i="6"/>
  <c r="J391" i="6"/>
  <c r="J392" i="6"/>
  <c r="H615" i="6"/>
  <c r="I615" i="6" s="1"/>
  <c r="H614" i="6"/>
  <c r="I614" i="6" s="1"/>
  <c r="H1014" i="6"/>
  <c r="I1014" i="6" s="1"/>
  <c r="H230" i="6"/>
  <c r="H231" i="6"/>
  <c r="I231" i="6" s="1"/>
  <c r="H271" i="6"/>
  <c r="I271" i="6" s="1"/>
  <c r="I1079" i="6"/>
  <c r="H520" i="6"/>
  <c r="I520" i="6" s="1"/>
  <c r="H687" i="6"/>
  <c r="I687" i="6" s="1"/>
  <c r="H743" i="6"/>
  <c r="I743" i="6" s="1"/>
  <c r="H560" i="6"/>
  <c r="I560" i="6" s="1"/>
  <c r="H557" i="6"/>
  <c r="I557" i="6" s="1"/>
  <c r="H558" i="6"/>
  <c r="I558" i="6" s="1"/>
  <c r="H559" i="6"/>
  <c r="I559" i="6" s="1"/>
  <c r="H389" i="6"/>
  <c r="I389" i="6" s="1"/>
  <c r="H390" i="6"/>
  <c r="I390" i="6" s="1"/>
  <c r="H391" i="6"/>
  <c r="I391" i="6" s="1"/>
  <c r="H392" i="6"/>
  <c r="I392" i="6" s="1"/>
  <c r="D615" i="6"/>
  <c r="D614" i="6"/>
  <c r="D102" i="6"/>
  <c r="D103" i="6"/>
  <c r="D1016" i="6"/>
  <c r="D231" i="6" s="1"/>
  <c r="D1017" i="6"/>
  <c r="D232" i="6" s="1"/>
  <c r="D207" i="6"/>
  <c r="D214" i="6"/>
  <c r="D215" i="6"/>
  <c r="D271" i="6"/>
  <c r="D270" i="6"/>
  <c r="D336" i="6"/>
  <c r="D337" i="6"/>
  <c r="D338" i="6"/>
  <c r="D448" i="6"/>
  <c r="D1509" i="6"/>
  <c r="D1517" i="6"/>
  <c r="D1652" i="6"/>
  <c r="D520" i="6" s="1"/>
  <c r="D687" i="6"/>
  <c r="D722" i="6"/>
  <c r="D724" i="6"/>
  <c r="D729" i="6"/>
  <c r="D2046" i="6"/>
  <c r="B46" i="58" s="1"/>
  <c r="D743" i="6"/>
  <c r="D1007" i="6"/>
  <c r="D1144" i="6"/>
  <c r="D2037" i="6"/>
  <c r="D1205" i="6"/>
  <c r="D560" i="6"/>
  <c r="D557" i="6"/>
  <c r="D559" i="6"/>
  <c r="D1701" i="6"/>
  <c r="D803" i="6"/>
  <c r="D391" i="6"/>
  <c r="C614" i="6"/>
  <c r="C803" i="6"/>
  <c r="C970" i="6"/>
  <c r="C1004" i="6"/>
  <c r="C1007" i="6"/>
  <c r="C1144" i="6"/>
  <c r="C1606" i="6"/>
  <c r="C1643" i="6"/>
  <c r="C2037" i="6"/>
  <c r="C1539" i="6"/>
  <c r="C1202" i="6"/>
  <c r="C1204" i="6" s="1"/>
  <c r="C1205" i="6"/>
  <c r="C1701" i="6"/>
  <c r="C1670" i="6"/>
  <c r="C1698" i="6"/>
  <c r="C391" i="6"/>
  <c r="C392" i="6"/>
  <c r="C1234" i="6"/>
  <c r="D767" i="34" s="1"/>
  <c r="C1403" i="6"/>
  <c r="D771" i="34" s="1"/>
  <c r="B583" i="6"/>
  <c r="B586" i="6"/>
  <c r="B615" i="6"/>
  <c r="B611" i="6"/>
  <c r="B614" i="6"/>
  <c r="B95" i="6"/>
  <c r="B98" i="6"/>
  <c r="B137" i="6"/>
  <c r="B102" i="6"/>
  <c r="B103" i="6"/>
  <c r="B115" i="6"/>
  <c r="B175" i="6"/>
  <c r="B232" i="6"/>
  <c r="B201" i="6"/>
  <c r="B207" i="6"/>
  <c r="B208" i="6"/>
  <c r="B209" i="6"/>
  <c r="B210" i="6"/>
  <c r="B211" i="6"/>
  <c r="B214" i="6"/>
  <c r="B215" i="6"/>
  <c r="B228" i="6"/>
  <c r="B261" i="6"/>
  <c r="B262" i="6"/>
  <c r="B263" i="6"/>
  <c r="B271" i="6"/>
  <c r="B278" i="6" s="1"/>
  <c r="B270" i="6"/>
  <c r="B277" i="6" s="1"/>
  <c r="B286" i="6"/>
  <c r="B319" i="6"/>
  <c r="B320" i="6"/>
  <c r="B324" i="6"/>
  <c r="B336" i="6"/>
  <c r="B337" i="6"/>
  <c r="B338" i="6"/>
  <c r="B350" i="6"/>
  <c r="B422" i="6"/>
  <c r="B432" i="6"/>
  <c r="B444" i="6"/>
  <c r="B448" i="6"/>
  <c r="B454" i="6" s="1"/>
  <c r="B520" i="6"/>
  <c r="B521" i="6"/>
  <c r="B744" i="6"/>
  <c r="B767" i="6"/>
  <c r="B803" i="6"/>
  <c r="B1004" i="6"/>
  <c r="B1007" i="6"/>
  <c r="B1035" i="6"/>
  <c r="B1144" i="6"/>
  <c r="B1643" i="6"/>
  <c r="B2037" i="6"/>
  <c r="B1539" i="6"/>
  <c r="B1570" i="6"/>
  <c r="B1175" i="6"/>
  <c r="B1205" i="6"/>
  <c r="B560" i="6"/>
  <c r="B545" i="6"/>
  <c r="B550" i="6" s="1"/>
  <c r="B541" i="6"/>
  <c r="B557" i="6"/>
  <c r="B558" i="6"/>
  <c r="B559" i="6"/>
  <c r="B1701" i="6"/>
  <c r="B1670" i="6"/>
  <c r="B1698" i="6"/>
  <c r="B375" i="6"/>
  <c r="B376" i="6"/>
  <c r="B377" i="6"/>
  <c r="B388" i="6"/>
  <c r="B389" i="6"/>
  <c r="B391" i="6"/>
  <c r="B392" i="6"/>
  <c r="B1234" i="6"/>
  <c r="C767" i="34" s="1"/>
  <c r="B135" i="8"/>
  <c r="B280" i="7"/>
  <c r="B273" i="7"/>
  <c r="B274" i="7"/>
  <c r="B278" i="7"/>
  <c r="B277" i="7"/>
  <c r="B279" i="7"/>
  <c r="B284" i="7"/>
  <c r="B286" i="7"/>
  <c r="B285" i="7"/>
  <c r="B289" i="7"/>
  <c r="B290" i="7"/>
  <c r="B335" i="7"/>
  <c r="B340" i="7"/>
  <c r="B341" i="7"/>
  <c r="B346" i="7"/>
  <c r="B347" i="7"/>
  <c r="B352" i="7"/>
  <c r="B74" i="7"/>
  <c r="B76" i="7"/>
  <c r="B77" i="7"/>
  <c r="B93" i="7"/>
  <c r="B95" i="7"/>
  <c r="B99" i="7"/>
  <c r="B82" i="7"/>
  <c r="B81" i="7"/>
  <c r="B187" i="7"/>
  <c r="B189" i="7"/>
  <c r="B190" i="7"/>
  <c r="B191" i="7"/>
  <c r="B229" i="7"/>
  <c r="B192" i="5"/>
  <c r="B197" i="5" s="1"/>
  <c r="B185" i="5"/>
  <c r="B60" i="5"/>
  <c r="B61" i="5"/>
  <c r="B95" i="5"/>
  <c r="B96" i="5"/>
  <c r="B97" i="5"/>
  <c r="B136" i="5"/>
  <c r="B137" i="5"/>
  <c r="B138" i="5"/>
  <c r="B141" i="5"/>
  <c r="B148" i="5"/>
  <c r="A97" i="13"/>
  <c r="A55" i="13" s="1"/>
  <c r="Q49" i="42" s="1"/>
  <c r="D111" i="11"/>
  <c r="E111" i="11" s="1"/>
  <c r="G111" i="11" s="1"/>
  <c r="H111" i="11" s="1"/>
  <c r="J111" i="11" s="1"/>
  <c r="K111" i="11" s="1"/>
  <c r="M111" i="11" s="1"/>
  <c r="N111" i="11" s="1"/>
  <c r="P111" i="11" s="1"/>
  <c r="Q111" i="11" s="1"/>
  <c r="S111" i="11" s="1"/>
  <c r="T111" i="11" s="1"/>
  <c r="V111" i="11" s="1"/>
  <c r="W111" i="11" s="1"/>
  <c r="Y111" i="11" s="1"/>
  <c r="Z111" i="11" s="1"/>
  <c r="AB111" i="11" s="1"/>
  <c r="AC111" i="11" s="1"/>
  <c r="AE111" i="11" s="1"/>
  <c r="AF111" i="11" s="1"/>
  <c r="AH111" i="11" s="1"/>
  <c r="AI111" i="11" s="1"/>
  <c r="AK111" i="11" s="1"/>
  <c r="AL111" i="11" s="1"/>
  <c r="AN111" i="11" s="1"/>
  <c r="D75" i="11"/>
  <c r="E75" i="11" s="1"/>
  <c r="G75" i="11" s="1"/>
  <c r="H75" i="11" s="1"/>
  <c r="J75" i="11" s="1"/>
  <c r="K75" i="11" s="1"/>
  <c r="M75" i="11" s="1"/>
  <c r="N75" i="11" s="1"/>
  <c r="P75" i="11" s="1"/>
  <c r="Q75" i="11" s="1"/>
  <c r="S75" i="11" s="1"/>
  <c r="T75" i="11" s="1"/>
  <c r="V75" i="11" s="1"/>
  <c r="W75" i="11" s="1"/>
  <c r="Y75" i="11" s="1"/>
  <c r="Z75" i="11" s="1"/>
  <c r="AB75" i="11" s="1"/>
  <c r="AC75" i="11" s="1"/>
  <c r="AE75" i="11" s="1"/>
  <c r="AF75" i="11" s="1"/>
  <c r="AH75" i="11" s="1"/>
  <c r="AI75" i="11" s="1"/>
  <c r="AK75" i="11" s="1"/>
  <c r="AL75" i="11" s="1"/>
  <c r="AN75" i="11" s="1"/>
  <c r="C60" i="5"/>
  <c r="C95" i="5"/>
  <c r="D192" i="5"/>
  <c r="D761" i="34"/>
  <c r="Z28" i="14"/>
  <c r="Y28" i="14"/>
  <c r="X28" i="14"/>
  <c r="W28" i="14"/>
  <c r="V28" i="14"/>
  <c r="U28" i="14"/>
  <c r="T28" i="14"/>
  <c r="S28" i="14"/>
  <c r="R28" i="14"/>
  <c r="Q28" i="14"/>
  <c r="P28" i="14"/>
  <c r="O28" i="14"/>
  <c r="N28" i="14"/>
  <c r="M28" i="14"/>
  <c r="L28" i="14"/>
  <c r="K28" i="14"/>
  <c r="I28" i="14"/>
  <c r="H28" i="14"/>
  <c r="G28" i="14"/>
  <c r="E28" i="14"/>
  <c r="T10" i="37"/>
  <c r="S10" i="37"/>
  <c r="R10" i="37"/>
  <c r="Q10" i="37"/>
  <c r="P10" i="37"/>
  <c r="O10" i="37"/>
  <c r="A221" i="42"/>
  <c r="A220" i="42"/>
  <c r="A219" i="42"/>
  <c r="A217" i="42"/>
  <c r="A216" i="42"/>
  <c r="A215" i="42"/>
  <c r="A213" i="42"/>
  <c r="A211" i="42"/>
  <c r="A210" i="42"/>
  <c r="A209" i="42"/>
  <c r="A208" i="42"/>
  <c r="A206" i="42"/>
  <c r="F131" i="40"/>
  <c r="H99" i="10" s="1"/>
  <c r="F126" i="40"/>
  <c r="AA7" i="11"/>
  <c r="X7" i="11"/>
  <c r="U7" i="11"/>
  <c r="R7" i="11"/>
  <c r="O7" i="11"/>
  <c r="L7" i="11"/>
  <c r="F143" i="40"/>
  <c r="I102" i="11"/>
  <c r="G93" i="10"/>
  <c r="B131" i="40"/>
  <c r="B99" i="10" s="1"/>
  <c r="D99" i="10" s="1"/>
  <c r="B143" i="40"/>
  <c r="G14" i="1"/>
  <c r="AY15" i="21"/>
  <c r="AU15" i="21"/>
  <c r="AQ15" i="21"/>
  <c r="AI15" i="21"/>
  <c r="C55" i="8"/>
  <c r="C60" i="8"/>
  <c r="D23" i="19"/>
  <c r="D47" i="19" s="1"/>
  <c r="D24" i="19"/>
  <c r="D52" i="19" s="1"/>
  <c r="D26" i="19"/>
  <c r="D62" i="19" s="1"/>
  <c r="D30" i="19"/>
  <c r="D82" i="19" s="1"/>
  <c r="F68" i="1"/>
  <c r="C61" i="14"/>
  <c r="C112" i="14"/>
  <c r="C1078" i="6"/>
  <c r="C285" i="6" s="1"/>
  <c r="E39" i="14"/>
  <c r="B1115" i="7"/>
  <c r="B430" i="7" s="1"/>
  <c r="J181" i="14"/>
  <c r="B248" i="7"/>
  <c r="L24" i="37"/>
  <c r="AU85" i="37" s="1"/>
  <c r="AU36" i="37" s="1"/>
  <c r="G143" i="40"/>
  <c r="H143" i="40"/>
  <c r="I143" i="40"/>
  <c r="J143" i="40"/>
  <c r="K143" i="40"/>
  <c r="L143" i="40"/>
  <c r="C97" i="5"/>
  <c r="C192" i="5"/>
  <c r="C197" i="5" s="1"/>
  <c r="C61" i="5"/>
  <c r="C96" i="5"/>
  <c r="C141" i="5"/>
  <c r="C148" i="5"/>
  <c r="C73" i="5"/>
  <c r="C108" i="5"/>
  <c r="C159" i="5"/>
  <c r="T9" i="37"/>
  <c r="S9" i="37"/>
  <c r="R9" i="37"/>
  <c r="Q9" i="37"/>
  <c r="P9" i="37"/>
  <c r="O9" i="37"/>
  <c r="E84" i="37"/>
  <c r="H63" i="37"/>
  <c r="H65" i="37"/>
  <c r="S25" i="37"/>
  <c r="B4" i="37"/>
  <c r="C2" i="37"/>
  <c r="AT86" i="37"/>
  <c r="N9" i="37"/>
  <c r="M9" i="37"/>
  <c r="AV66" i="37" s="1"/>
  <c r="AV17" i="37" s="1"/>
  <c r="L9" i="37"/>
  <c r="AT66" i="37"/>
  <c r="AT87" i="37"/>
  <c r="AT38" i="37" s="1"/>
  <c r="G65" i="37"/>
  <c r="F65" i="37"/>
  <c r="E65" i="37"/>
  <c r="D65" i="37"/>
  <c r="C65" i="37"/>
  <c r="B65" i="37"/>
  <c r="F62" i="37"/>
  <c r="G62" i="37"/>
  <c r="H62" i="37"/>
  <c r="H80" i="37" s="1"/>
  <c r="E62" i="37"/>
  <c r="J3" i="7"/>
  <c r="J1139" i="7" s="1"/>
  <c r="K3" i="7"/>
  <c r="K547" i="7" s="1"/>
  <c r="L3" i="7"/>
  <c r="M3" i="7"/>
  <c r="M312" i="7" s="1"/>
  <c r="N3" i="7"/>
  <c r="N312" i="7" s="1"/>
  <c r="D3" i="7"/>
  <c r="C3" i="7"/>
  <c r="C1062" i="7" s="1"/>
  <c r="C1107" i="7" s="1"/>
  <c r="B73" i="5"/>
  <c r="B108" i="5"/>
  <c r="B159" i="5"/>
  <c r="B206" i="5"/>
  <c r="M26" i="37"/>
  <c r="AV87" i="37" s="1"/>
  <c r="AV38" i="37" s="1"/>
  <c r="F49" i="20"/>
  <c r="E49" i="20"/>
  <c r="E99" i="20" s="1"/>
  <c r="N48" i="20"/>
  <c r="E48" i="20"/>
  <c r="E98" i="20" s="1"/>
  <c r="D21" i="20"/>
  <c r="D23" i="20"/>
  <c r="F20" i="20" s="1"/>
  <c r="F23" i="20" s="1"/>
  <c r="H20" i="20" s="1"/>
  <c r="F22" i="19"/>
  <c r="D12" i="19"/>
  <c r="D14" i="19"/>
  <c r="F11" i="19"/>
  <c r="A3" i="6"/>
  <c r="A360" i="6" s="1"/>
  <c r="A1813" i="6"/>
  <c r="A1765" i="6"/>
  <c r="A1734" i="6"/>
  <c r="O73" i="5"/>
  <c r="O108" i="5"/>
  <c r="O159" i="5"/>
  <c r="O74" i="5"/>
  <c r="O109" i="5"/>
  <c r="O160" i="5"/>
  <c r="O204" i="5"/>
  <c r="O396" i="5"/>
  <c r="O161" i="5" s="1"/>
  <c r="O205" i="5"/>
  <c r="O75" i="5"/>
  <c r="O110" i="5"/>
  <c r="O76" i="5"/>
  <c r="O111" i="5"/>
  <c r="O162" i="5"/>
  <c r="O206" i="5"/>
  <c r="O77" i="5"/>
  <c r="O112" i="5"/>
  <c r="O207" i="5"/>
  <c r="N73" i="5"/>
  <c r="N108" i="5"/>
  <c r="N159" i="5"/>
  <c r="N74" i="5"/>
  <c r="N109" i="5"/>
  <c r="N160" i="5"/>
  <c r="N204" i="5"/>
  <c r="N396" i="5"/>
  <c r="N161" i="5" s="1"/>
  <c r="N205" i="5"/>
  <c r="N75" i="5"/>
  <c r="N110" i="5"/>
  <c r="N76" i="5"/>
  <c r="N111" i="5"/>
  <c r="N162" i="5"/>
  <c r="N206" i="5"/>
  <c r="N112" i="5"/>
  <c r="N207" i="5"/>
  <c r="M73" i="5"/>
  <c r="M108" i="5"/>
  <c r="M159" i="5"/>
  <c r="M74" i="5"/>
  <c r="M109" i="5"/>
  <c r="M160" i="5"/>
  <c r="M204" i="5"/>
  <c r="M396" i="5"/>
  <c r="M161" i="5" s="1"/>
  <c r="M205" i="5"/>
  <c r="M75" i="5"/>
  <c r="M110" i="5"/>
  <c r="M76" i="5"/>
  <c r="M111" i="5"/>
  <c r="M162" i="5"/>
  <c r="M206" i="5"/>
  <c r="M77" i="5"/>
  <c r="M112" i="5"/>
  <c r="M207" i="5"/>
  <c r="L73" i="5"/>
  <c r="L108" i="5"/>
  <c r="L159" i="5"/>
  <c r="L74" i="5"/>
  <c r="L109" i="5"/>
  <c r="L160" i="5"/>
  <c r="L204" i="5"/>
  <c r="L396" i="5"/>
  <c r="L161" i="5" s="1"/>
  <c r="L205" i="5"/>
  <c r="L75" i="5"/>
  <c r="L110" i="5"/>
  <c r="L76" i="5"/>
  <c r="L111" i="5"/>
  <c r="L206" i="5"/>
  <c r="L77" i="5"/>
  <c r="L112" i="5"/>
  <c r="L207" i="5"/>
  <c r="K73" i="5"/>
  <c r="K108" i="5"/>
  <c r="K159" i="5"/>
  <c r="K74" i="5"/>
  <c r="K109" i="5"/>
  <c r="K160" i="5"/>
  <c r="K204" i="5"/>
  <c r="K205" i="5"/>
  <c r="K75" i="5"/>
  <c r="K110" i="5"/>
  <c r="K76" i="5"/>
  <c r="K111" i="5"/>
  <c r="K206" i="5"/>
  <c r="K112" i="5"/>
  <c r="K207" i="5"/>
  <c r="J73" i="5"/>
  <c r="J108" i="5"/>
  <c r="J159" i="5"/>
  <c r="J74" i="5"/>
  <c r="J109" i="5"/>
  <c r="J160" i="5"/>
  <c r="J204" i="5"/>
  <c r="J205" i="5"/>
  <c r="J206" i="5"/>
  <c r="J207" i="5"/>
  <c r="J75" i="5"/>
  <c r="J110" i="5"/>
  <c r="J76" i="5"/>
  <c r="J111" i="5"/>
  <c r="J77" i="5"/>
  <c r="J112" i="5"/>
  <c r="H73" i="5"/>
  <c r="I73" i="5" s="1"/>
  <c r="H108" i="5"/>
  <c r="I108" i="5" s="1"/>
  <c r="H159" i="5"/>
  <c r="I159" i="5" s="1"/>
  <c r="H74" i="5"/>
  <c r="H109" i="5"/>
  <c r="I109" i="5" s="1"/>
  <c r="H160" i="5"/>
  <c r="I160" i="5" s="1"/>
  <c r="H204" i="5"/>
  <c r="I204" i="5" s="1"/>
  <c r="H76" i="5"/>
  <c r="I76" i="5" s="1"/>
  <c r="H111" i="5"/>
  <c r="I111" i="5" s="1"/>
  <c r="H206" i="5"/>
  <c r="I206" i="5" s="1"/>
  <c r="H205" i="5"/>
  <c r="I205" i="5" s="1"/>
  <c r="H75" i="5"/>
  <c r="I75" i="5" s="1"/>
  <c r="H110" i="5"/>
  <c r="I110" i="5" s="1"/>
  <c r="H77" i="5"/>
  <c r="H112" i="5"/>
  <c r="I112" i="5" s="1"/>
  <c r="H207" i="5"/>
  <c r="I207" i="5" s="1"/>
  <c r="D73" i="5"/>
  <c r="D108" i="5"/>
  <c r="D159" i="5"/>
  <c r="D109" i="5"/>
  <c r="D204" i="5"/>
  <c r="D205" i="5"/>
  <c r="D75" i="5"/>
  <c r="D110" i="5"/>
  <c r="D76" i="5"/>
  <c r="D111" i="5"/>
  <c r="D206" i="5"/>
  <c r="D77" i="5"/>
  <c r="D112" i="5"/>
  <c r="C74" i="5"/>
  <c r="C109" i="5"/>
  <c r="C160" i="5"/>
  <c r="C163" i="5"/>
  <c r="C110" i="5"/>
  <c r="B75" i="5"/>
  <c r="B77" i="5"/>
  <c r="B74" i="5"/>
  <c r="B76" i="5"/>
  <c r="B161" i="5"/>
  <c r="B160" i="5"/>
  <c r="B110" i="5"/>
  <c r="B204" i="5"/>
  <c r="B109" i="5"/>
  <c r="H143" i="8"/>
  <c r="I143" i="8" s="1"/>
  <c r="AV9" i="42"/>
  <c r="B103" i="15" s="1"/>
  <c r="D97" i="5"/>
  <c r="C259" i="5"/>
  <c r="C319" i="5"/>
  <c r="C386" i="5"/>
  <c r="C451" i="5"/>
  <c r="C84" i="8"/>
  <c r="C240" i="5"/>
  <c r="C361" i="5"/>
  <c r="C419" i="5"/>
  <c r="C307" i="5"/>
  <c r="I104" i="11"/>
  <c r="M47" i="12"/>
  <c r="AB150" i="10"/>
  <c r="Y150" i="10"/>
  <c r="V150" i="10"/>
  <c r="B249" i="7"/>
  <c r="B210" i="7"/>
  <c r="B118" i="7"/>
  <c r="B305" i="7"/>
  <c r="B163" i="7"/>
  <c r="O3" i="5"/>
  <c r="N3" i="5"/>
  <c r="M3" i="5"/>
  <c r="M492" i="5" s="1"/>
  <c r="L3" i="5"/>
  <c r="L170" i="5" s="1"/>
  <c r="K3" i="5"/>
  <c r="J3" i="5"/>
  <c r="J464" i="5" s="1"/>
  <c r="H3" i="5"/>
  <c r="H214" i="5" s="1"/>
  <c r="D3" i="5"/>
  <c r="D3" i="8" s="1"/>
  <c r="C3" i="5"/>
  <c r="N100" i="14"/>
  <c r="M100" i="14"/>
  <c r="L100" i="14"/>
  <c r="L166" i="14" s="1"/>
  <c r="K100" i="14"/>
  <c r="K166" i="14" s="1"/>
  <c r="J100" i="14"/>
  <c r="I100" i="14"/>
  <c r="H100" i="14"/>
  <c r="H166" i="14" s="1"/>
  <c r="G100" i="14"/>
  <c r="G166" i="14" s="1"/>
  <c r="F100" i="14"/>
  <c r="F166" i="14" s="1"/>
  <c r="F15" i="1"/>
  <c r="G15" i="1" s="1"/>
  <c r="C26" i="19" s="1"/>
  <c r="A127" i="14"/>
  <c r="A122" i="14"/>
  <c r="A112" i="14"/>
  <c r="S166" i="14"/>
  <c r="C100" i="14"/>
  <c r="B100" i="14"/>
  <c r="E41" i="20"/>
  <c r="D57" i="20"/>
  <c r="C52" i="20"/>
  <c r="C23" i="19"/>
  <c r="I41" i="20"/>
  <c r="H41" i="20"/>
  <c r="G41" i="20"/>
  <c r="F41" i="20"/>
  <c r="G8" i="1"/>
  <c r="D52" i="20"/>
  <c r="F13" i="19"/>
  <c r="H13" i="19"/>
  <c r="F12" i="19"/>
  <c r="H12" i="19"/>
  <c r="J12" i="19"/>
  <c r="C676" i="7"/>
  <c r="C57" i="20"/>
  <c r="A3" i="27"/>
  <c r="B3" i="27"/>
  <c r="C3" i="27"/>
  <c r="D3" i="27"/>
  <c r="H3" i="27"/>
  <c r="J3" i="27"/>
  <c r="K3" i="27"/>
  <c r="L3" i="27"/>
  <c r="M3" i="27"/>
  <c r="N3" i="27"/>
  <c r="O3" i="27"/>
  <c r="D13" i="27"/>
  <c r="D16" i="27"/>
  <c r="D20" i="27" s="1"/>
  <c r="D18" i="27"/>
  <c r="A20" i="27"/>
  <c r="B20" i="27"/>
  <c r="C20" i="27"/>
  <c r="A51" i="27"/>
  <c r="B51" i="27"/>
  <c r="B54" i="27"/>
  <c r="A54" i="27"/>
  <c r="C54" i="27"/>
  <c r="D54" i="27"/>
  <c r="A68" i="27"/>
  <c r="B10" i="26"/>
  <c r="B11" i="26"/>
  <c r="C10" i="26"/>
  <c r="D10" i="26"/>
  <c r="D11" i="26"/>
  <c r="C11" i="26"/>
  <c r="A346" i="4"/>
  <c r="A459" i="4"/>
  <c r="A615" i="4"/>
  <c r="A110" i="4" s="1"/>
  <c r="AH36" i="22"/>
  <c r="AL36" i="22"/>
  <c r="AP36" i="22"/>
  <c r="AT36" i="22"/>
  <c r="AX36" i="22"/>
  <c r="BB36" i="22"/>
  <c r="AH51" i="22"/>
  <c r="AL51" i="22"/>
  <c r="AP51" i="22"/>
  <c r="AT51" i="22"/>
  <c r="AX51" i="22"/>
  <c r="BB51" i="22"/>
  <c r="AH119" i="22"/>
  <c r="AL119" i="22"/>
  <c r="AP119" i="22"/>
  <c r="AT119" i="22"/>
  <c r="AX119" i="22"/>
  <c r="BB119" i="22"/>
  <c r="AH8" i="22"/>
  <c r="AL8" i="22"/>
  <c r="AP8" i="22"/>
  <c r="AT8" i="22"/>
  <c r="AX8" i="22"/>
  <c r="BB8" i="22"/>
  <c r="AH11" i="22"/>
  <c r="AL11" i="22"/>
  <c r="AP11" i="22"/>
  <c r="AT11" i="22"/>
  <c r="AX11" i="22"/>
  <c r="BB11" i="22"/>
  <c r="AH7" i="22"/>
  <c r="AL7" i="22"/>
  <c r="AP7" i="22"/>
  <c r="AT7" i="22"/>
  <c r="AX7" i="22"/>
  <c r="BB7" i="22"/>
  <c r="AT12" i="22"/>
  <c r="AX12" i="22"/>
  <c r="BB12" i="22"/>
  <c r="AH6" i="22"/>
  <c r="AL6" i="22"/>
  <c r="AP6" i="22"/>
  <c r="AT6" i="22"/>
  <c r="AX6" i="22"/>
  <c r="BB6" i="22"/>
  <c r="AH16" i="22"/>
  <c r="AL16" i="22"/>
  <c r="AP16" i="22"/>
  <c r="AT16" i="22"/>
  <c r="AX16" i="22"/>
  <c r="BB16" i="22"/>
  <c r="V104" i="22"/>
  <c r="A153" i="22"/>
  <c r="A155" i="22"/>
  <c r="A156" i="22"/>
  <c r="AG15" i="21"/>
  <c r="E78" i="21"/>
  <c r="F78" i="21"/>
  <c r="G78" i="21"/>
  <c r="J78" i="21"/>
  <c r="K78" i="21"/>
  <c r="D32" i="19"/>
  <c r="D92" i="19" s="1"/>
  <c r="A86" i="21"/>
  <c r="A87" i="21"/>
  <c r="A88" i="21"/>
  <c r="AC23" i="20"/>
  <c r="B3" i="7"/>
  <c r="T28" i="20"/>
  <c r="T45" i="20" s="1"/>
  <c r="A30" i="20"/>
  <c r="A47" i="20" s="1"/>
  <c r="C24" i="19"/>
  <c r="G24" i="19" s="1"/>
  <c r="B45" i="20"/>
  <c r="C45" i="20"/>
  <c r="T93" i="20"/>
  <c r="T95" i="20" s="1"/>
  <c r="T94" i="20"/>
  <c r="F4" i="19"/>
  <c r="H4" i="19"/>
  <c r="J4" i="19" s="1"/>
  <c r="G4" i="19"/>
  <c r="I4" i="19"/>
  <c r="K4" i="19"/>
  <c r="B24" i="19"/>
  <c r="B52" i="19"/>
  <c r="E35" i="19"/>
  <c r="B39" i="19"/>
  <c r="C39" i="19"/>
  <c r="T39" i="19"/>
  <c r="A41" i="19"/>
  <c r="T43" i="19"/>
  <c r="E44" i="19"/>
  <c r="F44" i="19"/>
  <c r="G44" i="19"/>
  <c r="E103" i="19"/>
  <c r="C16" i="17"/>
  <c r="E18" i="17"/>
  <c r="B31" i="17"/>
  <c r="E51" i="17"/>
  <c r="H17" i="17"/>
  <c r="G79" i="17"/>
  <c r="H79" i="17"/>
  <c r="I79" i="17"/>
  <c r="J79" i="17"/>
  <c r="K79" i="17"/>
  <c r="L79" i="17"/>
  <c r="M79" i="17"/>
  <c r="AH41" i="42"/>
  <c r="B31" i="16"/>
  <c r="C64" i="16"/>
  <c r="C17" i="16"/>
  <c r="C251" i="15" s="1"/>
  <c r="G64" i="16"/>
  <c r="H64" i="16"/>
  <c r="I64" i="16"/>
  <c r="J64" i="16"/>
  <c r="K64" i="16"/>
  <c r="L64" i="16"/>
  <c r="M64" i="16"/>
  <c r="E203" i="15"/>
  <c r="E225" i="15"/>
  <c r="E2" i="40"/>
  <c r="E52" i="40" s="1"/>
  <c r="B3" i="5"/>
  <c r="B214" i="5" s="1"/>
  <c r="C48" i="5"/>
  <c r="B100" i="13" s="1"/>
  <c r="B111" i="13" s="1"/>
  <c r="D48" i="5"/>
  <c r="C100" i="13" s="1"/>
  <c r="H48" i="5"/>
  <c r="F100" i="13" s="1"/>
  <c r="F111" i="13" s="1"/>
  <c r="J48" i="5"/>
  <c r="G100" i="13" s="1"/>
  <c r="K48" i="5"/>
  <c r="H100" i="13" s="1"/>
  <c r="L48" i="5"/>
  <c r="I100" i="13" s="1"/>
  <c r="M48" i="5"/>
  <c r="J100" i="13" s="1"/>
  <c r="J111" i="13" s="1"/>
  <c r="N48" i="5"/>
  <c r="K100" i="13" s="1"/>
  <c r="O48" i="5"/>
  <c r="L100" i="13" s="1"/>
  <c r="L93" i="13" s="1"/>
  <c r="E102" i="13"/>
  <c r="E104" i="13"/>
  <c r="A125" i="13"/>
  <c r="B125" i="13"/>
  <c r="E138" i="13"/>
  <c r="B2" i="11"/>
  <c r="B84" i="11" s="1"/>
  <c r="E84" i="11"/>
  <c r="H2" i="11"/>
  <c r="H84" i="11" s="1"/>
  <c r="K2" i="11"/>
  <c r="K84" i="11" s="1"/>
  <c r="N2" i="11"/>
  <c r="N84" i="11" s="1"/>
  <c r="Q2" i="11"/>
  <c r="Q84" i="11" s="1"/>
  <c r="T2" i="11"/>
  <c r="T84" i="11" s="1"/>
  <c r="W2" i="11"/>
  <c r="W84" i="11" s="1"/>
  <c r="D85" i="11"/>
  <c r="A7" i="11"/>
  <c r="I77" i="11"/>
  <c r="L77" i="11"/>
  <c r="O77" i="11"/>
  <c r="R77" i="11"/>
  <c r="U77" i="11"/>
  <c r="X77" i="11"/>
  <c r="AA77" i="11"/>
  <c r="C84" i="11"/>
  <c r="D84" i="11"/>
  <c r="F84" i="11"/>
  <c r="G84" i="11"/>
  <c r="I84" i="11"/>
  <c r="J84" i="11"/>
  <c r="L84" i="11"/>
  <c r="M84" i="11"/>
  <c r="O84" i="11"/>
  <c r="P84" i="11"/>
  <c r="R84" i="11"/>
  <c r="S84" i="11"/>
  <c r="U84" i="11"/>
  <c r="V84" i="11"/>
  <c r="X84" i="11"/>
  <c r="Y84" i="11"/>
  <c r="AA84" i="11"/>
  <c r="AB84" i="11"/>
  <c r="L104" i="11"/>
  <c r="O104" i="11"/>
  <c r="R104" i="11"/>
  <c r="U104" i="11"/>
  <c r="X104" i="11"/>
  <c r="AA104" i="11"/>
  <c r="L112" i="11"/>
  <c r="O112" i="11"/>
  <c r="R112" i="11"/>
  <c r="U112" i="11"/>
  <c r="X112" i="11"/>
  <c r="AA112" i="11"/>
  <c r="I117" i="11"/>
  <c r="L117" i="11"/>
  <c r="O117" i="11"/>
  <c r="R117" i="11"/>
  <c r="U117" i="11"/>
  <c r="X117" i="11"/>
  <c r="AA117" i="11"/>
  <c r="I129" i="11"/>
  <c r="L129" i="11"/>
  <c r="O129" i="11"/>
  <c r="R129" i="11"/>
  <c r="U129" i="11"/>
  <c r="X129" i="11"/>
  <c r="AA129" i="11"/>
  <c r="L133" i="11"/>
  <c r="O133" i="11"/>
  <c r="R133" i="11"/>
  <c r="U133" i="11"/>
  <c r="X133" i="11"/>
  <c r="AA133" i="11"/>
  <c r="T2" i="10"/>
  <c r="T121" i="10" s="1"/>
  <c r="W2" i="10"/>
  <c r="W121" i="10" s="1"/>
  <c r="Z2" i="10"/>
  <c r="Z121" i="10" s="1"/>
  <c r="T150" i="10"/>
  <c r="U150" i="10"/>
  <c r="W150" i="10"/>
  <c r="X150" i="10"/>
  <c r="Z150" i="10"/>
  <c r="AA150" i="10"/>
  <c r="A3" i="8"/>
  <c r="A28" i="8"/>
  <c r="A29" i="8"/>
  <c r="J143" i="8"/>
  <c r="K143" i="8"/>
  <c r="L143" i="8"/>
  <c r="L150" i="8" s="1"/>
  <c r="M143" i="8"/>
  <c r="N143" i="8"/>
  <c r="O143" i="8"/>
  <c r="A201" i="8"/>
  <c r="B201" i="8"/>
  <c r="A336" i="8"/>
  <c r="D336" i="8"/>
  <c r="C336" i="8"/>
  <c r="B336" i="8"/>
  <c r="A392" i="8"/>
  <c r="G548" i="8"/>
  <c r="G558" i="8" s="1"/>
  <c r="G576" i="8" s="1"/>
  <c r="G549" i="8"/>
  <c r="G559" i="8" s="1"/>
  <c r="G577" i="8" s="1"/>
  <c r="A3" i="7"/>
  <c r="A59" i="7" s="1"/>
  <c r="G1132" i="7"/>
  <c r="B160" i="7"/>
  <c r="B207" i="7"/>
  <c r="B246" i="7"/>
  <c r="B247" i="7"/>
  <c r="D160" i="7"/>
  <c r="D161" i="7"/>
  <c r="D162" i="7"/>
  <c r="D163" i="7"/>
  <c r="H538" i="7"/>
  <c r="H160" i="7"/>
  <c r="H207" i="7"/>
  <c r="J538" i="7"/>
  <c r="J115" i="7" s="1"/>
  <c r="J160" i="7"/>
  <c r="J207" i="7"/>
  <c r="K160" i="7"/>
  <c r="K207" i="7"/>
  <c r="L160" i="7"/>
  <c r="L207" i="7"/>
  <c r="M160" i="7"/>
  <c r="M207" i="7"/>
  <c r="N160" i="7"/>
  <c r="N207" i="7"/>
  <c r="O160" i="7"/>
  <c r="O207" i="7"/>
  <c r="B116" i="7"/>
  <c r="B161" i="7"/>
  <c r="B208" i="7"/>
  <c r="B209" i="7"/>
  <c r="D208" i="7"/>
  <c r="H117" i="7"/>
  <c r="H118" i="7"/>
  <c r="H208" i="7"/>
  <c r="H161" i="7"/>
  <c r="J817" i="7"/>
  <c r="J303" i="7" s="1"/>
  <c r="J247" i="7"/>
  <c r="J208" i="7"/>
  <c r="J161" i="7"/>
  <c r="K817" i="7"/>
  <c r="K303" i="7" s="1"/>
  <c r="K247" i="7"/>
  <c r="K208" i="7"/>
  <c r="K161" i="7"/>
  <c r="L817" i="7"/>
  <c r="L303" i="7" s="1"/>
  <c r="L247" i="7"/>
  <c r="L208" i="7"/>
  <c r="L161" i="7"/>
  <c r="M817" i="7"/>
  <c r="M303" i="7" s="1"/>
  <c r="M247" i="7"/>
  <c r="M208" i="7"/>
  <c r="M161" i="7"/>
  <c r="N817" i="7"/>
  <c r="N303" i="7" s="1"/>
  <c r="N247" i="7"/>
  <c r="N208" i="7"/>
  <c r="N161" i="7"/>
  <c r="O817" i="7"/>
  <c r="O303" i="7" s="1"/>
  <c r="O247" i="7"/>
  <c r="O208" i="7"/>
  <c r="O161" i="7"/>
  <c r="B117" i="7"/>
  <c r="B162" i="7"/>
  <c r="D1008" i="7"/>
  <c r="D248" i="7"/>
  <c r="D209" i="7"/>
  <c r="D117" i="7"/>
  <c r="H1008" i="7"/>
  <c r="I1008" i="7" s="1"/>
  <c r="H209" i="7"/>
  <c r="H248" i="7"/>
  <c r="I248" i="7" s="1"/>
  <c r="H162" i="7"/>
  <c r="J1008" i="7"/>
  <c r="J209" i="7"/>
  <c r="J117" i="7"/>
  <c r="J248" i="7"/>
  <c r="J162" i="7"/>
  <c r="K1008" i="7"/>
  <c r="K209" i="7"/>
  <c r="K117" i="7"/>
  <c r="K248" i="7"/>
  <c r="K162" i="7"/>
  <c r="L1008" i="7"/>
  <c r="L209" i="7"/>
  <c r="L117" i="7"/>
  <c r="L248" i="7"/>
  <c r="L162" i="7"/>
  <c r="M1008" i="7"/>
  <c r="M209" i="7"/>
  <c r="M117" i="7"/>
  <c r="M248" i="7"/>
  <c r="M162" i="7"/>
  <c r="N1008" i="7"/>
  <c r="N209" i="7"/>
  <c r="N117" i="7"/>
  <c r="N248" i="7"/>
  <c r="N162" i="7"/>
  <c r="O1008" i="7"/>
  <c r="O209" i="7"/>
  <c r="O117" i="7"/>
  <c r="O248" i="7"/>
  <c r="O162" i="7"/>
  <c r="D210" i="7"/>
  <c r="D118" i="7"/>
  <c r="D305" i="7"/>
  <c r="H210" i="7"/>
  <c r="H305" i="7"/>
  <c r="I305" i="7" s="1"/>
  <c r="H163" i="7"/>
  <c r="J210" i="7"/>
  <c r="J118" i="7"/>
  <c r="J305" i="7"/>
  <c r="J163" i="7"/>
  <c r="K210" i="7"/>
  <c r="K118" i="7"/>
  <c r="K305" i="7"/>
  <c r="K163" i="7"/>
  <c r="L210" i="7"/>
  <c r="L118" i="7"/>
  <c r="L305" i="7"/>
  <c r="L163" i="7"/>
  <c r="M210" i="7"/>
  <c r="M118" i="7"/>
  <c r="M305" i="7"/>
  <c r="M163" i="7"/>
  <c r="N210" i="7"/>
  <c r="N118" i="7"/>
  <c r="N305" i="7"/>
  <c r="N163" i="7"/>
  <c r="O210" i="7"/>
  <c r="O118" i="7"/>
  <c r="O305" i="7"/>
  <c r="O163" i="7"/>
  <c r="G280" i="7"/>
  <c r="G284" i="7"/>
  <c r="G285" i="7"/>
  <c r="G286" i="7"/>
  <c r="G416" i="7"/>
  <c r="F443" i="7"/>
  <c r="A583" i="7"/>
  <c r="A585" i="7" s="1"/>
  <c r="A596" i="7" s="1"/>
  <c r="A618" i="7"/>
  <c r="A648" i="7"/>
  <c r="A676" i="7"/>
  <c r="B676" i="7"/>
  <c r="A703" i="7"/>
  <c r="B703" i="7"/>
  <c r="A737" i="7"/>
  <c r="A965" i="7"/>
  <c r="A997" i="7"/>
  <c r="A1044" i="7"/>
  <c r="G1104" i="7"/>
  <c r="G1141" i="7"/>
  <c r="G1142" i="7"/>
  <c r="G1144" i="7"/>
  <c r="G1146" i="7"/>
  <c r="F6" i="6"/>
  <c r="F22" i="6" s="1"/>
  <c r="F38" i="6" s="1"/>
  <c r="F8" i="6"/>
  <c r="F24" i="6" s="1"/>
  <c r="F40" i="6" s="1"/>
  <c r="F9" i="6"/>
  <c r="F25" i="6" s="1"/>
  <c r="F41" i="6" s="1"/>
  <c r="F10" i="6"/>
  <c r="F26" i="6" s="1"/>
  <c r="F42" i="6" s="1"/>
  <c r="F11" i="6"/>
  <c r="F27" i="6" s="1"/>
  <c r="F43" i="6" s="1"/>
  <c r="F12" i="6"/>
  <c r="F28" i="6" s="1"/>
  <c r="F44" i="6" s="1"/>
  <c r="F13" i="6"/>
  <c r="F29" i="6" s="1"/>
  <c r="F45" i="6" s="1"/>
  <c r="F14" i="6"/>
  <c r="F30" i="6" s="1"/>
  <c r="F46" i="6" s="1"/>
  <c r="F15" i="6"/>
  <c r="F31" i="6" s="1"/>
  <c r="F47" i="6" s="1"/>
  <c r="F33" i="6"/>
  <c r="F49" i="6" s="1"/>
  <c r="G213" i="6"/>
  <c r="G269" i="6"/>
  <c r="G335" i="6"/>
  <c r="G382" i="6"/>
  <c r="G447" i="6"/>
  <c r="G505" i="6"/>
  <c r="G511" i="6"/>
  <c r="A3" i="5"/>
  <c r="A404" i="5" s="1"/>
  <c r="G1695" i="6"/>
  <c r="G596" i="6"/>
  <c r="G672" i="6"/>
  <c r="G684" i="6"/>
  <c r="G740" i="6" s="1"/>
  <c r="G685" i="6"/>
  <c r="G741" i="6" s="1"/>
  <c r="G686" i="6"/>
  <c r="G742" i="6" s="1"/>
  <c r="G687" i="6"/>
  <c r="G743" i="6" s="1"/>
  <c r="G688" i="6"/>
  <c r="G744" i="6" s="1"/>
  <c r="G728" i="6"/>
  <c r="F751" i="6"/>
  <c r="F818" i="6" s="1"/>
  <c r="F884" i="6" s="1"/>
  <c r="A767" i="6"/>
  <c r="G796" i="6"/>
  <c r="A800" i="6"/>
  <c r="G999" i="6"/>
  <c r="A1004" i="6"/>
  <c r="A1006" i="6" s="1"/>
  <c r="A1007" i="6"/>
  <c r="G1065" i="6"/>
  <c r="A1105" i="6"/>
  <c r="G1137" i="6"/>
  <c r="G1199" i="6" s="1"/>
  <c r="G1503" i="6" s="1"/>
  <c r="A1141" i="6"/>
  <c r="A1144" i="6"/>
  <c r="F1160" i="6"/>
  <c r="A1175" i="6"/>
  <c r="A1202" i="6"/>
  <c r="A1205" i="6"/>
  <c r="A1234" i="6"/>
  <c r="B767" i="34" s="1"/>
  <c r="A1299" i="6"/>
  <c r="G1366" i="6"/>
  <c r="F1388" i="6"/>
  <c r="A1403" i="6"/>
  <c r="B771" i="34" s="1"/>
  <c r="F1479" i="6"/>
  <c r="A1486" i="6"/>
  <c r="A1506" i="6"/>
  <c r="A1509" i="6"/>
  <c r="F1526" i="6"/>
  <c r="A1539" i="6"/>
  <c r="A1606" i="6"/>
  <c r="G1637" i="6"/>
  <c r="A1640" i="6"/>
  <c r="A1643" i="6"/>
  <c r="G1643" i="6"/>
  <c r="A1670" i="6"/>
  <c r="A1698" i="6"/>
  <c r="A1701" i="6"/>
  <c r="G1760" i="6"/>
  <c r="F1919" i="6"/>
  <c r="G1957" i="6"/>
  <c r="G1970" i="6"/>
  <c r="G2042" i="6" s="1"/>
  <c r="A42" i="58" s="1"/>
  <c r="G1971" i="6"/>
  <c r="G2043" i="6" s="1"/>
  <c r="A43" i="58" s="1"/>
  <c r="G1972" i="6"/>
  <c r="G2044" i="6" s="1"/>
  <c r="A44" i="58" s="1"/>
  <c r="G1973" i="6"/>
  <c r="G2045" i="6" s="1"/>
  <c r="A45" i="58" s="1"/>
  <c r="G1974" i="6"/>
  <c r="G2046" i="6" s="1"/>
  <c r="A46" i="58" s="1"/>
  <c r="A1996" i="6"/>
  <c r="G2031" i="6"/>
  <c r="A2037" i="6"/>
  <c r="F2071" i="6"/>
  <c r="G2073" i="6"/>
  <c r="G2075" i="6"/>
  <c r="G2076" i="6"/>
  <c r="G2077" i="6"/>
  <c r="G2078" i="6"/>
  <c r="G2079" i="6"/>
  <c r="G2080" i="6"/>
  <c r="G2081" i="6"/>
  <c r="G2082" i="6"/>
  <c r="G2083" i="6"/>
  <c r="G2084" i="6"/>
  <c r="F7" i="5"/>
  <c r="A202" i="42" s="1"/>
  <c r="F8" i="5"/>
  <c r="A203" i="42" s="1"/>
  <c r="F9" i="5"/>
  <c r="F18" i="5" s="1"/>
  <c r="F27" i="5" s="1"/>
  <c r="F10" i="5"/>
  <c r="A204" i="42" s="1"/>
  <c r="C77" i="5"/>
  <c r="C112" i="5"/>
  <c r="A48" i="5"/>
  <c r="B111" i="5"/>
  <c r="B162" i="5"/>
  <c r="C76" i="5"/>
  <c r="C111" i="5"/>
  <c r="B112" i="5"/>
  <c r="B163" i="5"/>
  <c r="A197" i="5"/>
  <c r="F214" i="5"/>
  <c r="A240" i="5"/>
  <c r="B240" i="5"/>
  <c r="A259" i="5"/>
  <c r="A307" i="5"/>
  <c r="B307" i="5"/>
  <c r="A319" i="5"/>
  <c r="B319" i="5"/>
  <c r="A361" i="5"/>
  <c r="A386" i="5"/>
  <c r="B386" i="5"/>
  <c r="A419" i="5"/>
  <c r="A448" i="5"/>
  <c r="A451" i="5"/>
  <c r="B448" i="5"/>
  <c r="B451" i="5"/>
  <c r="D451" i="5"/>
  <c r="G477" i="5"/>
  <c r="G496" i="5" s="1"/>
  <c r="G505" i="5" s="1"/>
  <c r="G478" i="5"/>
  <c r="G497" i="5" s="1"/>
  <c r="G506" i="5" s="1"/>
  <c r="G479" i="5"/>
  <c r="G498" i="5" s="1"/>
  <c r="G507" i="5" s="1"/>
  <c r="G480" i="5"/>
  <c r="G499" i="5" s="1"/>
  <c r="G508" i="5" s="1"/>
  <c r="A51" i="4"/>
  <c r="B85" i="34" s="1"/>
  <c r="B51" i="4"/>
  <c r="B100" i="4" s="1"/>
  <c r="F100" i="4"/>
  <c r="C51" i="4"/>
  <c r="D85" i="34" s="1"/>
  <c r="H51" i="4"/>
  <c r="G85" i="34" s="1"/>
  <c r="J51" i="4"/>
  <c r="J100" i="4" s="1"/>
  <c r="J168" i="4" s="1"/>
  <c r="K51" i="4"/>
  <c r="K100" i="4" s="1"/>
  <c r="L51" i="4"/>
  <c r="L100" i="4" s="1"/>
  <c r="M51" i="4"/>
  <c r="K85" i="34" s="1"/>
  <c r="N51" i="4"/>
  <c r="L85" i="34" s="1"/>
  <c r="O51" i="4"/>
  <c r="O100" i="4" s="1"/>
  <c r="O168" i="4" s="1"/>
  <c r="C65" i="4"/>
  <c r="C66" i="4"/>
  <c r="C89" i="4"/>
  <c r="B89" i="4"/>
  <c r="H89" i="4"/>
  <c r="J89" i="4"/>
  <c r="K89" i="4"/>
  <c r="L89" i="4"/>
  <c r="M89" i="4"/>
  <c r="N89" i="4"/>
  <c r="O89" i="4"/>
  <c r="B93" i="4"/>
  <c r="C104" i="4"/>
  <c r="C108" i="4"/>
  <c r="C114" i="4"/>
  <c r="G114" i="4"/>
  <c r="C119" i="4"/>
  <c r="C121" i="4"/>
  <c r="C123" i="4"/>
  <c r="A317" i="4"/>
  <c r="B317" i="4"/>
  <c r="C317" i="4"/>
  <c r="H317" i="4"/>
  <c r="J317" i="4"/>
  <c r="K317" i="4"/>
  <c r="L317" i="4"/>
  <c r="M317" i="4"/>
  <c r="N317" i="4"/>
  <c r="O317" i="4"/>
  <c r="A427" i="4"/>
  <c r="A487" i="4" s="1"/>
  <c r="B427" i="4"/>
  <c r="B487" i="4" s="1"/>
  <c r="B581" i="4" s="1"/>
  <c r="C427" i="4"/>
  <c r="H427" i="4"/>
  <c r="H487" i="4" s="1"/>
  <c r="H118" i="4" s="1"/>
  <c r="I118" i="4" s="1"/>
  <c r="J427" i="4"/>
  <c r="J487" i="4" s="1"/>
  <c r="K427" i="4"/>
  <c r="K487" i="4" s="1"/>
  <c r="L427" i="4"/>
  <c r="L487" i="4" s="1"/>
  <c r="M427" i="4"/>
  <c r="M487" i="4" s="1"/>
  <c r="N427" i="4"/>
  <c r="N487" i="4" s="1"/>
  <c r="O427" i="4"/>
  <c r="O487" i="4" s="1"/>
  <c r="A847" i="4"/>
  <c r="B847" i="4"/>
  <c r="C847" i="4"/>
  <c r="H847" i="4"/>
  <c r="J847" i="4"/>
  <c r="K847" i="4"/>
  <c r="L847" i="4"/>
  <c r="M847" i="4"/>
  <c r="N847" i="4"/>
  <c r="O847" i="4"/>
  <c r="A859" i="4"/>
  <c r="B859" i="4"/>
  <c r="C859" i="4"/>
  <c r="H859" i="4"/>
  <c r="J859" i="4"/>
  <c r="K859" i="4"/>
  <c r="L859" i="4"/>
  <c r="M859" i="4"/>
  <c r="N859" i="4"/>
  <c r="O859" i="4"/>
  <c r="A877" i="4"/>
  <c r="B877" i="4"/>
  <c r="C877" i="4"/>
  <c r="H877" i="4"/>
  <c r="J877" i="4"/>
  <c r="K877" i="4"/>
  <c r="L877" i="4"/>
  <c r="M877" i="4"/>
  <c r="N877" i="4"/>
  <c r="O877" i="4"/>
  <c r="G887" i="4"/>
  <c r="A897" i="4"/>
  <c r="B897" i="4"/>
  <c r="C897" i="4"/>
  <c r="H897" i="4"/>
  <c r="J897" i="4"/>
  <c r="K897" i="4"/>
  <c r="L897" i="4"/>
  <c r="M897" i="4"/>
  <c r="N897" i="4"/>
  <c r="O897" i="4"/>
  <c r="A2" i="3"/>
  <c r="A277" i="3" s="1"/>
  <c r="B2" i="3"/>
  <c r="C2" i="3"/>
  <c r="G2" i="3"/>
  <c r="G277" i="3" s="1"/>
  <c r="H2" i="3"/>
  <c r="H283" i="3" s="1"/>
  <c r="H293" i="3" s="1"/>
  <c r="I2" i="3"/>
  <c r="J2" i="3"/>
  <c r="K2" i="3"/>
  <c r="K283" i="3" s="1"/>
  <c r="K293" i="3" s="1"/>
  <c r="L2" i="3"/>
  <c r="M2" i="3"/>
  <c r="M283" i="3" s="1"/>
  <c r="M293" i="3" s="1"/>
  <c r="I267" i="3"/>
  <c r="J267" i="3"/>
  <c r="K267" i="3"/>
  <c r="L267" i="3"/>
  <c r="M267" i="3"/>
  <c r="E2" i="1"/>
  <c r="E84" i="1" s="1"/>
  <c r="F2" i="1"/>
  <c r="H2" i="1"/>
  <c r="H4" i="55" s="1"/>
  <c r="I2" i="1"/>
  <c r="J2" i="1"/>
  <c r="J4" i="55" s="1"/>
  <c r="K2" i="1"/>
  <c r="K4" i="55" s="1"/>
  <c r="L2" i="1"/>
  <c r="M2" i="1"/>
  <c r="N2" i="1"/>
  <c r="N4" i="55" s="1"/>
  <c r="D106" i="8"/>
  <c r="G56" i="1"/>
  <c r="H56" i="1" s="1"/>
  <c r="E55" i="1"/>
  <c r="F57" i="1"/>
  <c r="E60" i="1"/>
  <c r="G67" i="1"/>
  <c r="H67" i="1"/>
  <c r="I67" i="1" s="1"/>
  <c r="J67" i="1" s="1"/>
  <c r="K67" i="1" s="1"/>
  <c r="L67" i="1" s="1"/>
  <c r="M67" i="1" s="1"/>
  <c r="N67" i="1" s="1"/>
  <c r="O67" i="1" s="1"/>
  <c r="P67" i="1" s="1"/>
  <c r="Q67" i="1" s="1"/>
  <c r="E73" i="1"/>
  <c r="F72" i="1"/>
  <c r="H73" i="1"/>
  <c r="I73" i="1"/>
  <c r="J73" i="1" s="1"/>
  <c r="K73" i="1" s="1"/>
  <c r="L73" i="1" s="1"/>
  <c r="M73" i="1" s="1"/>
  <c r="N73" i="1" s="1"/>
  <c r="O73" i="1" s="1"/>
  <c r="P73" i="1" s="1"/>
  <c r="Q73" i="1" s="1"/>
  <c r="F74" i="1"/>
  <c r="G74" i="1" s="1"/>
  <c r="H74" i="1" s="1"/>
  <c r="I74" i="1" s="1"/>
  <c r="J74" i="1" s="1"/>
  <c r="K74" i="1" s="1"/>
  <c r="L74" i="1" s="1"/>
  <c r="M74" i="1" s="1"/>
  <c r="N74" i="1" s="1"/>
  <c r="O74" i="1" s="1"/>
  <c r="P74" i="1" s="1"/>
  <c r="Q74" i="1" s="1"/>
  <c r="E75" i="1"/>
  <c r="E77" i="1"/>
  <c r="F77" i="1"/>
  <c r="F76" i="1" s="1"/>
  <c r="E78" i="1"/>
  <c r="F78" i="1" s="1"/>
  <c r="G78" i="1" s="1"/>
  <c r="H78" i="1" s="1"/>
  <c r="I78" i="1" s="1"/>
  <c r="J78" i="1" s="1"/>
  <c r="K78" i="1" s="1"/>
  <c r="L78" i="1" s="1"/>
  <c r="M78" i="1" s="1"/>
  <c r="N78" i="1" s="1"/>
  <c r="O78" i="1" s="1"/>
  <c r="P78" i="1" s="1"/>
  <c r="Q78" i="1" s="1"/>
  <c r="E80" i="1"/>
  <c r="F80" i="1"/>
  <c r="G80" i="1" s="1"/>
  <c r="H80" i="1" s="1"/>
  <c r="I80" i="1" s="1"/>
  <c r="J80" i="1" s="1"/>
  <c r="K80" i="1" s="1"/>
  <c r="L80" i="1" s="1"/>
  <c r="M80" i="1" s="1"/>
  <c r="N80" i="1" s="1"/>
  <c r="O80" i="1" s="1"/>
  <c r="P80" i="1" s="1"/>
  <c r="Q80" i="1" s="1"/>
  <c r="E81" i="1"/>
  <c r="H81" i="1"/>
  <c r="M81" i="1"/>
  <c r="N81" i="1"/>
  <c r="O81" i="1" s="1"/>
  <c r="P81" i="1" s="1"/>
  <c r="Q81" i="1" s="1"/>
  <c r="F90" i="1"/>
  <c r="G90" i="1"/>
  <c r="H90" i="1" s="1"/>
  <c r="F91" i="1"/>
  <c r="G91" i="1" s="1"/>
  <c r="H91" i="1" s="1"/>
  <c r="I91" i="1" s="1"/>
  <c r="J91" i="1" s="1"/>
  <c r="K91" i="1" s="1"/>
  <c r="L91" i="1" s="1"/>
  <c r="M91" i="1" s="1"/>
  <c r="N91" i="1" s="1"/>
  <c r="O91" i="1" s="1"/>
  <c r="P91" i="1" s="1"/>
  <c r="Q91" i="1" s="1"/>
  <c r="F92" i="1"/>
  <c r="G92" i="1"/>
  <c r="H92" i="1" s="1"/>
  <c r="I92" i="1" s="1"/>
  <c r="J92" i="1" s="1"/>
  <c r="K92" i="1" s="1"/>
  <c r="L92" i="1" s="1"/>
  <c r="M92" i="1" s="1"/>
  <c r="N92" i="1" s="1"/>
  <c r="O92" i="1" s="1"/>
  <c r="P92" i="1" s="1"/>
  <c r="Q92" i="1" s="1"/>
  <c r="F95" i="1"/>
  <c r="G95" i="1" s="1"/>
  <c r="H95" i="1" s="1"/>
  <c r="I95" i="1" s="1"/>
  <c r="J95" i="1" s="1"/>
  <c r="K95" i="1" s="1"/>
  <c r="L95" i="1" s="1"/>
  <c r="M95" i="1" s="1"/>
  <c r="N95" i="1" s="1"/>
  <c r="O95" i="1" s="1"/>
  <c r="P95" i="1" s="1"/>
  <c r="Q95" i="1" s="1"/>
  <c r="E97" i="1"/>
  <c r="H17" i="16"/>
  <c r="H251" i="15" s="1"/>
  <c r="A23" i="19"/>
  <c r="E28" i="20"/>
  <c r="E45" i="20" s="1"/>
  <c r="E39" i="19"/>
  <c r="E11" i="26"/>
  <c r="E10" i="26"/>
  <c r="F10" i="26"/>
  <c r="F11" i="26"/>
  <c r="F12" i="26"/>
  <c r="AH112" i="22"/>
  <c r="AL112" i="22"/>
  <c r="AP112" i="22"/>
  <c r="T32" i="20"/>
  <c r="AT112" i="22"/>
  <c r="AX112" i="22"/>
  <c r="C587" i="34"/>
  <c r="A252" i="3" s="1"/>
  <c r="G17" i="17"/>
  <c r="X3" i="21"/>
  <c r="C536" i="8"/>
  <c r="B40" i="17" s="1"/>
  <c r="K77" i="5"/>
  <c r="N77" i="5"/>
  <c r="B25" i="19"/>
  <c r="H8" i="1"/>
  <c r="F48" i="20"/>
  <c r="F98" i="20" s="1"/>
  <c r="A165" i="40"/>
  <c r="E120" i="14"/>
  <c r="B165" i="40"/>
  <c r="C205" i="3" s="1"/>
  <c r="A79" i="17"/>
  <c r="M17" i="17"/>
  <c r="K17" i="17"/>
  <c r="I17" i="17"/>
  <c r="C31" i="17"/>
  <c r="L17" i="17"/>
  <c r="B126" i="40"/>
  <c r="B205" i="5"/>
  <c r="T3" i="22"/>
  <c r="T92" i="22" s="1"/>
  <c r="J12" i="1"/>
  <c r="C91" i="5"/>
  <c r="C497" i="5" s="1"/>
  <c r="H177" i="5"/>
  <c r="I177" i="5" s="1"/>
  <c r="C541" i="6"/>
  <c r="C864" i="7"/>
  <c r="G65" i="1"/>
  <c r="G111" i="1"/>
  <c r="H111" i="1" s="1"/>
  <c r="I111" i="1" s="1"/>
  <c r="J111" i="1" s="1"/>
  <c r="K111" i="1" s="1"/>
  <c r="L111" i="1" s="1"/>
  <c r="M111" i="1" s="1"/>
  <c r="E759" i="34"/>
  <c r="E781" i="34" s="1"/>
  <c r="H1653" i="6"/>
  <c r="I1653" i="6" s="1"/>
  <c r="H2046" i="6"/>
  <c r="I2046" i="6" s="1"/>
  <c r="I34" i="11"/>
  <c r="D1063" i="6"/>
  <c r="B79" i="17"/>
  <c r="BB112" i="22"/>
  <c r="J39" i="14"/>
  <c r="D1136" i="6" s="1"/>
  <c r="H39" i="14"/>
  <c r="G39" i="14"/>
  <c r="C1149" i="6" s="1"/>
  <c r="C349" i="6" s="1"/>
  <c r="I39" i="14"/>
  <c r="D1149" i="6" s="1"/>
  <c r="D349" i="6" s="1"/>
  <c r="L39" i="14"/>
  <c r="K39" i="14"/>
  <c r="E1149" i="6" s="1"/>
  <c r="E349" i="6" s="1"/>
  <c r="H1063" i="6"/>
  <c r="I1063" i="6" s="1"/>
  <c r="H1078" i="6"/>
  <c r="I1078" i="6" s="1"/>
  <c r="N39" i="14"/>
  <c r="H1136" i="6" s="1"/>
  <c r="I1136" i="6" s="1"/>
  <c r="M39" i="14"/>
  <c r="H1149" i="6" s="1"/>
  <c r="I1149" i="6" s="1"/>
  <c r="P39" i="14"/>
  <c r="J1136" i="6" s="1"/>
  <c r="J333" i="6" s="1"/>
  <c r="O39" i="14"/>
  <c r="J1149" i="6" s="1"/>
  <c r="J349" i="6" s="1"/>
  <c r="G48" i="20"/>
  <c r="G98" i="20" s="1"/>
  <c r="H48" i="20"/>
  <c r="H98" i="20" s="1"/>
  <c r="I48" i="20"/>
  <c r="I98" i="20" s="1"/>
  <c r="J48" i="20"/>
  <c r="K48" i="20"/>
  <c r="L48" i="20"/>
  <c r="M48" i="20"/>
  <c r="K65" i="37"/>
  <c r="R25" i="37"/>
  <c r="K56" i="12"/>
  <c r="G161" i="45"/>
  <c r="V110" i="9"/>
  <c r="B207" i="5"/>
  <c r="I166" i="14"/>
  <c r="M166" i="14"/>
  <c r="J166" i="14"/>
  <c r="J206" i="14" s="1"/>
  <c r="N166" i="14"/>
  <c r="N186" i="14" s="1"/>
  <c r="C25" i="19"/>
  <c r="I8" i="1"/>
  <c r="AF58" i="9"/>
  <c r="J256" i="48"/>
  <c r="J1398" i="6"/>
  <c r="J1397" i="6"/>
  <c r="I56" i="1"/>
  <c r="J56" i="1" s="1"/>
  <c r="K56" i="1" s="1"/>
  <c r="L56" i="1" s="1"/>
  <c r="M56" i="1" s="1"/>
  <c r="N56" i="1" s="1"/>
  <c r="O56" i="1" s="1"/>
  <c r="P56" i="1" s="1"/>
  <c r="Q56" i="1" s="1"/>
  <c r="H53" i="1"/>
  <c r="C8" i="48"/>
  <c r="A135" i="3"/>
  <c r="E66" i="14"/>
  <c r="A155" i="3" s="1"/>
  <c r="S26" i="37"/>
  <c r="B307" i="42"/>
  <c r="D307" i="42" s="1"/>
  <c r="AW41" i="42"/>
  <c r="E50" i="20"/>
  <c r="H41" i="55"/>
  <c r="Y8" i="54"/>
  <c r="F181" i="14"/>
  <c r="F42" i="55"/>
  <c r="J126" i="1"/>
  <c r="J1453" i="6"/>
  <c r="J1450" i="6"/>
  <c r="J1451" i="6"/>
  <c r="G747" i="34"/>
  <c r="G743" i="34"/>
  <c r="H743" i="34" s="1"/>
  <c r="J1433" i="6"/>
  <c r="J1429" i="6"/>
  <c r="J1428" i="6"/>
  <c r="J581" i="7"/>
  <c r="G114" i="34"/>
  <c r="J928" i="6"/>
  <c r="H944" i="7"/>
  <c r="I944" i="7" s="1"/>
  <c r="J850" i="6"/>
  <c r="H147" i="6"/>
  <c r="I147" i="6" s="1"/>
  <c r="H143" i="6"/>
  <c r="I143" i="6" s="1"/>
  <c r="G739" i="34"/>
  <c r="J912" i="7"/>
  <c r="H131" i="1"/>
  <c r="H129" i="1"/>
  <c r="H128" i="1"/>
  <c r="H127" i="1"/>
  <c r="G11" i="1"/>
  <c r="I120" i="9"/>
  <c r="C108" i="15"/>
  <c r="C117" i="15"/>
  <c r="C578" i="6"/>
  <c r="B121" i="42" s="1"/>
  <c r="B742" i="6"/>
  <c r="C92" i="12"/>
  <c r="AS15" i="21"/>
  <c r="BA15" i="21"/>
  <c r="AK15" i="21"/>
  <c r="AW15" i="21"/>
  <c r="H125" i="8"/>
  <c r="I125" i="8" s="1"/>
  <c r="D121" i="8"/>
  <c r="S3" i="22"/>
  <c r="S92" i="22" s="1"/>
  <c r="S142" i="22" s="1"/>
  <c r="B64" i="16"/>
  <c r="H323" i="7"/>
  <c r="I323" i="7" s="1"/>
  <c r="C57" i="19"/>
  <c r="C62" i="19"/>
  <c r="F73" i="21"/>
  <c r="F706" i="34"/>
  <c r="G706" i="34" s="1"/>
  <c r="F705" i="34"/>
  <c r="J899" i="7"/>
  <c r="E12" i="26"/>
  <c r="E769" i="34"/>
  <c r="A57" i="8"/>
  <c r="C94" i="8"/>
  <c r="D653" i="6"/>
  <c r="C1115" i="7"/>
  <c r="C430" i="7" s="1"/>
  <c r="A64" i="16"/>
  <c r="B55" i="13"/>
  <c r="B351" i="42" s="1"/>
  <c r="D351" i="42" s="1"/>
  <c r="T94" i="19"/>
  <c r="B26" i="19"/>
  <c r="B62" i="19"/>
  <c r="B57" i="19"/>
  <c r="A47" i="19"/>
  <c r="F14" i="19"/>
  <c r="H11" i="19" s="1"/>
  <c r="H14" i="19" s="1"/>
  <c r="J11" i="19" s="1"/>
  <c r="A280" i="15"/>
  <c r="B280" i="15" s="1"/>
  <c r="D439" i="34" s="1"/>
  <c r="D58" i="8"/>
  <c r="D131" i="7"/>
  <c r="D277" i="7"/>
  <c r="D264" i="7"/>
  <c r="D286" i="7"/>
  <c r="D76" i="7"/>
  <c r="D285" i="7"/>
  <c r="D278" i="7"/>
  <c r="D230" i="7"/>
  <c r="D263" i="7"/>
  <c r="D284" i="7"/>
  <c r="D93" i="7"/>
  <c r="D265" i="7"/>
  <c r="D321" i="7"/>
  <c r="D506" i="6"/>
  <c r="D323" i="6"/>
  <c r="D99" i="6"/>
  <c r="D91" i="6"/>
  <c r="D302" i="6"/>
  <c r="D710" i="6"/>
  <c r="D584" i="6"/>
  <c r="D330" i="6"/>
  <c r="D329" i="6" s="1"/>
  <c r="D322" i="6"/>
  <c r="D661" i="6"/>
  <c r="D1227" i="6"/>
  <c r="D308" i="6"/>
  <c r="D726" i="6"/>
  <c r="D583" i="6"/>
  <c r="D660" i="6"/>
  <c r="D658" i="6"/>
  <c r="D478" i="6"/>
  <c r="D1228" i="6"/>
  <c r="D734" i="6"/>
  <c r="D725" i="6"/>
  <c r="D325" i="6"/>
  <c r="D669" i="6"/>
  <c r="D712" i="6"/>
  <c r="D301" i="6"/>
  <c r="D1486" i="6"/>
  <c r="C189" i="5"/>
  <c r="D54" i="5"/>
  <c r="D148" i="5"/>
  <c r="C8" i="12"/>
  <c r="D278" i="6"/>
  <c r="D190" i="6"/>
  <c r="D487" i="6"/>
  <c r="D1035" i="6"/>
  <c r="G57" i="1"/>
  <c r="H57" i="1" s="1"/>
  <c r="I57" i="1" s="1"/>
  <c r="J57" i="1" s="1"/>
  <c r="K57" i="1" s="1"/>
  <c r="L57" i="1" s="1"/>
  <c r="M57" i="1" s="1"/>
  <c r="N57" i="1" s="1"/>
  <c r="O57" i="1" s="1"/>
  <c r="P57" i="1" s="1"/>
  <c r="Q57" i="1" s="1"/>
  <c r="D107" i="8"/>
  <c r="H193" i="6"/>
  <c r="I193" i="6" s="1"/>
  <c r="AY12" i="42"/>
  <c r="J17" i="17"/>
  <c r="J300" i="15"/>
  <c r="M17" i="16"/>
  <c r="M251" i="15" s="1"/>
  <c r="G17" i="16"/>
  <c r="F251" i="15" s="1"/>
  <c r="G251" i="15" s="1"/>
  <c r="K17" i="16"/>
  <c r="K251" i="15" s="1"/>
  <c r="C31" i="16"/>
  <c r="A255" i="15"/>
  <c r="M300" i="15"/>
  <c r="L300" i="15"/>
  <c r="I300" i="15"/>
  <c r="K300" i="15"/>
  <c r="H300" i="15"/>
  <c r="F300" i="15"/>
  <c r="G300" i="15" s="1"/>
  <c r="I17" i="16"/>
  <c r="I251" i="15" s="1"/>
  <c r="L17" i="16"/>
  <c r="L251" i="15" s="1"/>
  <c r="J17" i="16"/>
  <c r="J251" i="15" s="1"/>
  <c r="N22" i="8"/>
  <c r="N150" i="8"/>
  <c r="J22" i="8"/>
  <c r="J150" i="8"/>
  <c r="D22" i="8"/>
  <c r="H22" i="8"/>
  <c r="I22" i="8" s="1"/>
  <c r="H150" i="8"/>
  <c r="I150" i="8" s="1"/>
  <c r="A148" i="8"/>
  <c r="M22" i="8"/>
  <c r="M150" i="8"/>
  <c r="C381" i="34"/>
  <c r="AV11" i="42"/>
  <c r="D394" i="34"/>
  <c r="C7" i="48"/>
  <c r="O22" i="8"/>
  <c r="O150" i="8"/>
  <c r="K22" i="8"/>
  <c r="K150" i="8"/>
  <c r="H384" i="4"/>
  <c r="I384" i="4" s="1"/>
  <c r="D77" i="6"/>
  <c r="E763" i="34"/>
  <c r="D78" i="6"/>
  <c r="F97" i="1"/>
  <c r="H67" i="4"/>
  <c r="I67" i="4" s="1"/>
  <c r="I128" i="5"/>
  <c r="H430" i="6"/>
  <c r="I430" i="6" s="1"/>
  <c r="H176" i="5"/>
  <c r="I176" i="5" s="1"/>
  <c r="J962" i="7"/>
  <c r="H13" i="1"/>
  <c r="G68" i="1"/>
  <c r="G72" i="1"/>
  <c r="H72" i="1"/>
  <c r="I72" i="1" s="1"/>
  <c r="F75" i="1"/>
  <c r="K7" i="1"/>
  <c r="L59" i="1"/>
  <c r="K12" i="1"/>
  <c r="L12" i="1" s="1"/>
  <c r="M12" i="1" s="1"/>
  <c r="N12" i="1" s="1"/>
  <c r="O12" i="1" s="1"/>
  <c r="P12" i="1" s="1"/>
  <c r="Q12" i="1" s="1"/>
  <c r="G662" i="34"/>
  <c r="F662" i="34"/>
  <c r="E413" i="34"/>
  <c r="F413" i="34" s="1"/>
  <c r="G413" i="34" s="1"/>
  <c r="F638" i="34"/>
  <c r="E422" i="34"/>
  <c r="F644" i="34"/>
  <c r="G644" i="34" s="1"/>
  <c r="H644" i="34" s="1"/>
  <c r="E427" i="34"/>
  <c r="E455" i="34"/>
  <c r="F455" i="34" s="1"/>
  <c r="G455" i="34" s="1"/>
  <c r="E440" i="34"/>
  <c r="F440" i="34" s="1"/>
  <c r="G440" i="34" s="1"/>
  <c r="E428" i="34"/>
  <c r="F428" i="34"/>
  <c r="F606" i="34"/>
  <c r="G149" i="34"/>
  <c r="H149" i="34" s="1"/>
  <c r="G162" i="34"/>
  <c r="H162" i="34" s="1"/>
  <c r="G141" i="34"/>
  <c r="H141" i="34" s="1"/>
  <c r="F112" i="34"/>
  <c r="G112" i="34" s="1"/>
  <c r="H112" i="34" s="1"/>
  <c r="G121" i="34"/>
  <c r="H121" i="34" s="1"/>
  <c r="G147" i="34"/>
  <c r="H147" i="34" s="1"/>
  <c r="G155" i="34"/>
  <c r="H155" i="34" s="1"/>
  <c r="F132" i="34"/>
  <c r="G132" i="34" s="1"/>
  <c r="H132" i="34" s="1"/>
  <c r="G108" i="34"/>
  <c r="G139" i="34"/>
  <c r="H139" i="34" s="1"/>
  <c r="F133" i="34"/>
  <c r="G133" i="34" s="1"/>
  <c r="H133" i="34" s="1"/>
  <c r="G138" i="34"/>
  <c r="H138" i="34" s="1"/>
  <c r="G106" i="34"/>
  <c r="H106" i="34" s="1"/>
  <c r="C161" i="5"/>
  <c r="B226" i="3"/>
  <c r="J2" i="37"/>
  <c r="AR3" i="37"/>
  <c r="AR13" i="37"/>
  <c r="AR62" i="37"/>
  <c r="D429" i="34"/>
  <c r="D38" i="34"/>
  <c r="G71" i="34"/>
  <c r="J186" i="14"/>
  <c r="I186" i="14"/>
  <c r="I206" i="14"/>
  <c r="M186" i="14"/>
  <c r="M206" i="14"/>
  <c r="G66" i="14"/>
  <c r="B155" i="3" s="1"/>
  <c r="C125" i="13"/>
  <c r="D818" i="7"/>
  <c r="D304" i="7" s="1"/>
  <c r="D12" i="26"/>
  <c r="C12" i="26"/>
  <c r="D20" i="8"/>
  <c r="B20" i="8"/>
  <c r="H565" i="8"/>
  <c r="I565" i="8" s="1"/>
  <c r="H597" i="6"/>
  <c r="I597" i="6" s="1"/>
  <c r="B287" i="6"/>
  <c r="C97" i="12"/>
  <c r="V3" i="22"/>
  <c r="V92" i="22" s="1"/>
  <c r="A53" i="27"/>
  <c r="A55" i="27" s="1"/>
  <c r="A65" i="27" s="1"/>
  <c r="A57" i="13"/>
  <c r="C433" i="7"/>
  <c r="B433" i="7"/>
  <c r="H1119" i="7"/>
  <c r="G69" i="1"/>
  <c r="I81" i="1"/>
  <c r="F25" i="34"/>
  <c r="E764" i="34"/>
  <c r="D261" i="7"/>
  <c r="B53" i="27"/>
  <c r="B55" i="27" s="1"/>
  <c r="B65" i="27" s="1"/>
  <c r="G71" i="1"/>
  <c r="H71" i="1" s="1"/>
  <c r="I71" i="1" s="1"/>
  <c r="J71" i="1" s="1"/>
  <c r="K71" i="1" s="1"/>
  <c r="L71" i="1" s="1"/>
  <c r="M71" i="1" s="1"/>
  <c r="H15" i="1"/>
  <c r="C67" i="19" s="1"/>
  <c r="J8" i="1"/>
  <c r="H54" i="27"/>
  <c r="I54" i="27" s="1"/>
  <c r="D1117" i="7"/>
  <c r="D432" i="7" s="1"/>
  <c r="H14" i="1"/>
  <c r="I14" i="1" s="1"/>
  <c r="J14" i="1" s="1"/>
  <c r="K14" i="1" s="1"/>
  <c r="L14" i="1" s="1"/>
  <c r="M14" i="1" s="1"/>
  <c r="N14" i="1" s="1"/>
  <c r="O14" i="1" s="1"/>
  <c r="P14" i="1" s="1"/>
  <c r="Q14" i="1" s="1"/>
  <c r="C432" i="7"/>
  <c r="D667" i="6"/>
  <c r="D666" i="6"/>
  <c r="D668" i="6"/>
  <c r="D630" i="6"/>
  <c r="J80" i="21"/>
  <c r="J88" i="21" s="1"/>
  <c r="F80" i="21"/>
  <c r="F88" i="21" s="1"/>
  <c r="J13" i="19"/>
  <c r="H194" i="6"/>
  <c r="I194" i="6" s="1"/>
  <c r="B229" i="6"/>
  <c r="C231" i="6"/>
  <c r="D209" i="6"/>
  <c r="D95" i="6"/>
  <c r="C230" i="6"/>
  <c r="C229" i="6"/>
  <c r="D205" i="6"/>
  <c r="B230" i="6"/>
  <c r="B231" i="6"/>
  <c r="D210" i="6"/>
  <c r="D204" i="6"/>
  <c r="C9" i="11"/>
  <c r="D9" i="11" s="1"/>
  <c r="E9" i="11" s="1"/>
  <c r="B289" i="6"/>
  <c r="CS179" i="9"/>
  <c r="B419" i="4"/>
  <c r="B92" i="4" s="1"/>
  <c r="C500" i="6"/>
  <c r="C716" i="6"/>
  <c r="B687" i="6"/>
  <c r="C687" i="6"/>
  <c r="B688" i="6"/>
  <c r="V179" i="9"/>
  <c r="C640" i="6"/>
  <c r="D317" i="7"/>
  <c r="C146" i="7"/>
  <c r="D456" i="7"/>
  <c r="B12" i="26"/>
  <c r="C462" i="6"/>
  <c r="D700" i="6"/>
  <c r="D110" i="11"/>
  <c r="E110" i="11" s="1"/>
  <c r="G110" i="11" s="1"/>
  <c r="H110" i="11" s="1"/>
  <c r="J110" i="11" s="1"/>
  <c r="K110" i="11" s="1"/>
  <c r="M110" i="11" s="1"/>
  <c r="N110" i="11" s="1"/>
  <c r="P110" i="11" s="1"/>
  <c r="Q110" i="11" s="1"/>
  <c r="S110" i="11" s="1"/>
  <c r="T110" i="11" s="1"/>
  <c r="V110" i="11" s="1"/>
  <c r="W110" i="11" s="1"/>
  <c r="Y110" i="11" s="1"/>
  <c r="Z110" i="11" s="1"/>
  <c r="AB110" i="11" s="1"/>
  <c r="AC110" i="11" s="1"/>
  <c r="AE110" i="11" s="1"/>
  <c r="AF110" i="11" s="1"/>
  <c r="AH110" i="11" s="1"/>
  <c r="AI110" i="11" s="1"/>
  <c r="AK110" i="11" s="1"/>
  <c r="AL110" i="11" s="1"/>
  <c r="AN110" i="11" s="1"/>
  <c r="H97" i="5"/>
  <c r="I97" i="5" s="1"/>
  <c r="H428" i="6"/>
  <c r="I428" i="6" s="1"/>
  <c r="M72" i="37"/>
  <c r="N72" i="37" s="1"/>
  <c r="O72" i="37" s="1"/>
  <c r="M75" i="37"/>
  <c r="N75" i="37" s="1"/>
  <c r="O75" i="37" s="1"/>
  <c r="M73" i="37"/>
  <c r="N73" i="37" s="1"/>
  <c r="O73" i="37" s="1"/>
  <c r="M70" i="37"/>
  <c r="N70" i="37" s="1"/>
  <c r="O70" i="37" s="1"/>
  <c r="H71" i="4"/>
  <c r="I71" i="4" s="1"/>
  <c r="J1189" i="6"/>
  <c r="I15" i="1"/>
  <c r="C72" i="19" s="1"/>
  <c r="J26" i="27"/>
  <c r="C4" i="37"/>
  <c r="D2" i="37" s="1"/>
  <c r="C108" i="37"/>
  <c r="C110" i="37" s="1"/>
  <c r="F81" i="37"/>
  <c r="F84" i="37" s="1"/>
  <c r="E98" i="37"/>
  <c r="E100" i="37" s="1"/>
  <c r="B1149" i="6"/>
  <c r="B349" i="6" s="1"/>
  <c r="B1078" i="6"/>
  <c r="A97" i="12"/>
  <c r="J472" i="4"/>
  <c r="J1191" i="6"/>
  <c r="J854" i="6"/>
  <c r="J793" i="6"/>
  <c r="J757" i="6"/>
  <c r="J855" i="6"/>
  <c r="J836" i="6"/>
  <c r="J1173" i="6"/>
  <c r="D63" i="20"/>
  <c r="D68" i="20" s="1"/>
  <c r="D73" i="20" s="1"/>
  <c r="D78" i="20" s="1"/>
  <c r="D83" i="20" s="1"/>
  <c r="D88" i="20" s="1"/>
  <c r="D93" i="20" s="1"/>
  <c r="D58" i="20"/>
  <c r="D59" i="20"/>
  <c r="D64" i="20"/>
  <c r="D69" i="20"/>
  <c r="D74" i="20" s="1"/>
  <c r="D79" i="20" s="1"/>
  <c r="D84" i="20" s="1"/>
  <c r="D89" i="20" s="1"/>
  <c r="D94" i="20" s="1"/>
  <c r="D60" i="20"/>
  <c r="D65" i="20"/>
  <c r="D70" i="20" s="1"/>
  <c r="D75" i="20" s="1"/>
  <c r="D80" i="20" s="1"/>
  <c r="D85" i="20" s="1"/>
  <c r="D90" i="20" s="1"/>
  <c r="D95" i="20" s="1"/>
  <c r="C519" i="6"/>
  <c r="L63" i="37"/>
  <c r="L65" i="37" s="1"/>
  <c r="M24" i="37"/>
  <c r="A71" i="27"/>
  <c r="E69" i="27" s="1"/>
  <c r="E71" i="27" s="1"/>
  <c r="A17" i="17"/>
  <c r="A113" i="16"/>
  <c r="D34" i="45"/>
  <c r="I113" i="37"/>
  <c r="I117" i="37" s="1"/>
  <c r="I37" i="37"/>
  <c r="I60" i="37" s="1"/>
  <c r="K114" i="37"/>
  <c r="G35" i="45"/>
  <c r="I78" i="37"/>
  <c r="G293" i="45"/>
  <c r="G290" i="45"/>
  <c r="G34" i="45"/>
  <c r="G33" i="45"/>
  <c r="C7" i="12"/>
  <c r="CT115" i="9"/>
  <c r="CS30" i="9"/>
  <c r="B583" i="7"/>
  <c r="B585" i="7" s="1"/>
  <c r="B596" i="7" s="1"/>
  <c r="A17" i="16"/>
  <c r="C392" i="8"/>
  <c r="D84" i="8"/>
  <c r="D381" i="34"/>
  <c r="G289" i="45"/>
  <c r="F66" i="14"/>
  <c r="B138" i="8"/>
  <c r="D345" i="7"/>
  <c r="AN66" i="9"/>
  <c r="F17" i="5"/>
  <c r="F26" i="5" s="1"/>
  <c r="D52" i="5"/>
  <c r="D140" i="6"/>
  <c r="B464" i="6"/>
  <c r="B462" i="6"/>
  <c r="B463" i="6"/>
  <c r="D445" i="6"/>
  <c r="W3" i="21"/>
  <c r="U3" i="22"/>
  <c r="U92" i="22" s="1"/>
  <c r="U142" i="22" s="1"/>
  <c r="Y3" i="22"/>
  <c r="Y92" i="22" s="1"/>
  <c r="Y142" i="22" s="1"/>
  <c r="AB3" i="21"/>
  <c r="B57" i="13"/>
  <c r="R41" i="42" s="1"/>
  <c r="D1643" i="6"/>
  <c r="G294" i="45"/>
  <c r="C419" i="4"/>
  <c r="G3" i="11"/>
  <c r="C132" i="4"/>
  <c r="G422" i="45"/>
  <c r="D60" i="8"/>
  <c r="D141" i="5"/>
  <c r="C138" i="8"/>
  <c r="U42" i="42"/>
  <c r="D132" i="7"/>
  <c r="D55" i="8"/>
  <c r="C589" i="34"/>
  <c r="C240" i="34" s="1"/>
  <c r="E304" i="45"/>
  <c r="G291" i="45"/>
  <c r="C97" i="13"/>
  <c r="O26" i="37"/>
  <c r="D419" i="5"/>
  <c r="D716" i="7"/>
  <c r="D249" i="7" s="1"/>
  <c r="B352" i="6"/>
  <c r="D970" i="6"/>
  <c r="B267" i="6"/>
  <c r="B1996" i="6"/>
  <c r="G30" i="45"/>
  <c r="C1070" i="6"/>
  <c r="A2034" i="6"/>
  <c r="H96" i="5"/>
  <c r="I96" i="5" s="1"/>
  <c r="D136" i="5"/>
  <c r="D61" i="5"/>
  <c r="C448" i="5"/>
  <c r="D186" i="5"/>
  <c r="D138" i="5"/>
  <c r="D60" i="5"/>
  <c r="D137" i="5"/>
  <c r="D259" i="5"/>
  <c r="C132" i="6"/>
  <c r="B113" i="42" s="1"/>
  <c r="D132" i="6"/>
  <c r="D7" i="6" s="1"/>
  <c r="H257" i="7"/>
  <c r="M367" i="7"/>
  <c r="L367" i="7"/>
  <c r="K367" i="7"/>
  <c r="D737" i="7"/>
  <c r="G84" i="8"/>
  <c r="D340" i="7"/>
  <c r="B414" i="7"/>
  <c r="D676" i="7"/>
  <c r="D272" i="7"/>
  <c r="D229" i="7"/>
  <c r="D341" i="7"/>
  <c r="D316" i="7"/>
  <c r="J367" i="7"/>
  <c r="C367" i="7"/>
  <c r="D367" i="7"/>
  <c r="D149" i="7"/>
  <c r="D347" i="7"/>
  <c r="F3" i="13"/>
  <c r="F182" i="15" s="1"/>
  <c r="G3" i="17" s="1"/>
  <c r="L76" i="37"/>
  <c r="C352" i="6"/>
  <c r="H165" i="40"/>
  <c r="I205" i="3" s="1"/>
  <c r="C371" i="7"/>
  <c r="C434" i="7"/>
  <c r="C288" i="6"/>
  <c r="V30" i="9"/>
  <c r="CT30" i="9"/>
  <c r="D64" i="7"/>
  <c r="D758" i="34"/>
  <c r="D175" i="5"/>
  <c r="D51" i="11"/>
  <c r="E51" i="11" s="1"/>
  <c r="G51" i="11" s="1"/>
  <c r="H51" i="11" s="1"/>
  <c r="J51" i="11" s="1"/>
  <c r="K51" i="11" s="1"/>
  <c r="M51" i="11" s="1"/>
  <c r="N51" i="11" s="1"/>
  <c r="P51" i="11" s="1"/>
  <c r="Q51" i="11" s="1"/>
  <c r="S51" i="11" s="1"/>
  <c r="T51" i="11" s="1"/>
  <c r="V51" i="11" s="1"/>
  <c r="W51" i="11" s="1"/>
  <c r="Y51" i="11" s="1"/>
  <c r="Z51" i="11" s="1"/>
  <c r="AB51" i="11" s="1"/>
  <c r="AC51" i="11" s="1"/>
  <c r="AE51" i="11" s="1"/>
  <c r="AF51" i="11" s="1"/>
  <c r="AH51" i="11" s="1"/>
  <c r="AI51" i="11" s="1"/>
  <c r="AK51" i="11" s="1"/>
  <c r="AL51" i="11" s="1"/>
  <c r="AN51" i="11" s="1"/>
  <c r="H181" i="7"/>
  <c r="I181" i="7" s="1"/>
  <c r="D178" i="7"/>
  <c r="D723" i="6"/>
  <c r="G86" i="21"/>
  <c r="F86" i="21"/>
  <c r="AG20" i="42"/>
  <c r="B84" i="15" s="1"/>
  <c r="E430" i="45"/>
  <c r="D95" i="5"/>
  <c r="D185" i="5"/>
  <c r="C210" i="15"/>
  <c r="A72" i="13"/>
  <c r="H2037" i="6"/>
  <c r="I2037" i="6" s="1"/>
  <c r="B353" i="6"/>
  <c r="D139" i="6"/>
  <c r="D31" i="5"/>
  <c r="D240" i="5"/>
  <c r="D414" i="6"/>
  <c r="L165" i="40"/>
  <c r="M205" i="3" s="1"/>
  <c r="N181" i="14"/>
  <c r="J165" i="40"/>
  <c r="K205" i="3" s="1"/>
  <c r="L181" i="14"/>
  <c r="K165" i="40"/>
  <c r="L205" i="3" s="1"/>
  <c r="M181" i="14"/>
  <c r="D146" i="7"/>
  <c r="D721" i="6"/>
  <c r="D720" i="6"/>
  <c r="A377" i="6"/>
  <c r="A66" i="4"/>
  <c r="A121" i="4"/>
  <c r="AY42" i="9"/>
  <c r="AZ42" i="9" s="1"/>
  <c r="AO40" i="9"/>
  <c r="AP40" i="9" s="1"/>
  <c r="D117" i="14"/>
  <c r="X3" i="9"/>
  <c r="H168" i="45"/>
  <c r="V88" i="9"/>
  <c r="V174" i="9" s="1"/>
  <c r="AF115" i="9"/>
  <c r="H1583" i="6"/>
  <c r="I1583" i="6" s="1"/>
  <c r="B434" i="7"/>
  <c r="D1651" i="6"/>
  <c r="D519" i="6" s="1"/>
  <c r="E3" i="11"/>
  <c r="K3" i="11" s="1"/>
  <c r="B85" i="11"/>
  <c r="C85" i="11"/>
  <c r="F3" i="11"/>
  <c r="K538" i="7"/>
  <c r="K115" i="7" s="1"/>
  <c r="K119" i="11"/>
  <c r="D289" i="7"/>
  <c r="D187" i="7"/>
  <c r="D335" i="7"/>
  <c r="D188" i="7"/>
  <c r="B367" i="7"/>
  <c r="D273" i="7"/>
  <c r="D82" i="7"/>
  <c r="D80" i="7"/>
  <c r="D346" i="7"/>
  <c r="D279" i="7"/>
  <c r="D274" i="7"/>
  <c r="D176" i="7"/>
  <c r="D141" i="7"/>
  <c r="D138" i="7"/>
  <c r="C583" i="7"/>
  <c r="B350" i="7"/>
  <c r="D618" i="7"/>
  <c r="D965" i="7"/>
  <c r="C267" i="6"/>
  <c r="C1996" i="6"/>
  <c r="C700" i="6"/>
  <c r="D422" i="6"/>
  <c r="D261" i="6"/>
  <c r="D375" i="6"/>
  <c r="D263" i="6"/>
  <c r="D324" i="6"/>
  <c r="C333" i="6"/>
  <c r="A218" i="42"/>
  <c r="D326" i="6"/>
  <c r="D211" i="6"/>
  <c r="H337" i="6"/>
  <c r="I337" i="6" s="1"/>
  <c r="D92" i="6"/>
  <c r="D649" i="6"/>
  <c r="D648" i="6"/>
  <c r="D494" i="6"/>
  <c r="D377" i="6"/>
  <c r="D410" i="6"/>
  <c r="D713" i="6"/>
  <c r="D709" i="6"/>
  <c r="D432" i="6"/>
  <c r="D98" i="6"/>
  <c r="D496" i="6"/>
  <c r="D137" i="6"/>
  <c r="D654" i="6"/>
  <c r="D638" i="6"/>
  <c r="B351" i="6"/>
  <c r="D376" i="6"/>
  <c r="D320" i="6"/>
  <c r="D408" i="6"/>
  <c r="E85" i="12"/>
  <c r="F60" i="1"/>
  <c r="F430" i="45"/>
  <c r="F23" i="19"/>
  <c r="D35" i="19"/>
  <c r="F304" i="45"/>
  <c r="G70" i="1"/>
  <c r="AF110" i="9"/>
  <c r="B700" i="6"/>
  <c r="C353" i="6"/>
  <c r="H367" i="7"/>
  <c r="I367" i="7" s="1"/>
  <c r="D290" i="7"/>
  <c r="D541" i="6"/>
  <c r="B578" i="6"/>
  <c r="B15" i="6" s="1"/>
  <c r="D633" i="6"/>
  <c r="D201" i="6"/>
  <c r="D1004" i="6"/>
  <c r="Z3" i="9"/>
  <c r="U88" i="9"/>
  <c r="U174" i="9" s="1"/>
  <c r="R87" i="9"/>
  <c r="R173" i="9" s="1"/>
  <c r="Y3" i="9"/>
  <c r="T88" i="9"/>
  <c r="T174" i="9" s="1"/>
  <c r="R88" i="9"/>
  <c r="R174" i="9" s="1"/>
  <c r="E52" i="12"/>
  <c r="F52" i="12"/>
  <c r="N18" i="26"/>
  <c r="D703" i="7"/>
  <c r="D222" i="7"/>
  <c r="D70" i="11"/>
  <c r="E70" i="11" s="1"/>
  <c r="G70" i="11" s="1"/>
  <c r="H70" i="11" s="1"/>
  <c r="J70" i="11" s="1"/>
  <c r="K70" i="11" s="1"/>
  <c r="M70" i="11" s="1"/>
  <c r="N70" i="11" s="1"/>
  <c r="P70" i="11" s="1"/>
  <c r="Q70" i="11" s="1"/>
  <c r="S70" i="11" s="1"/>
  <c r="T70" i="11" s="1"/>
  <c r="V70" i="11" s="1"/>
  <c r="W70" i="11" s="1"/>
  <c r="Y70" i="11" s="1"/>
  <c r="Z70" i="11" s="1"/>
  <c r="AB70" i="11" s="1"/>
  <c r="AC70" i="11" s="1"/>
  <c r="AE70" i="11" s="1"/>
  <c r="AF70" i="11" s="1"/>
  <c r="AH70" i="11" s="1"/>
  <c r="AI70" i="11" s="1"/>
  <c r="AK70" i="11" s="1"/>
  <c r="AL70" i="11" s="1"/>
  <c r="AN70" i="11" s="1"/>
  <c r="D949" i="6"/>
  <c r="F69" i="14"/>
  <c r="A159" i="3"/>
  <c r="K126" i="1"/>
  <c r="H70" i="1"/>
  <c r="G288" i="3" s="1"/>
  <c r="G298" i="3" s="1"/>
  <c r="H125" i="5"/>
  <c r="I125" i="5" s="1"/>
  <c r="H124" i="5"/>
  <c r="I124" i="5" s="1"/>
  <c r="H178" i="5"/>
  <c r="I178" i="5" s="1"/>
  <c r="I68" i="1"/>
  <c r="J68" i="1"/>
  <c r="K68" i="1" s="1"/>
  <c r="L68" i="1" s="1"/>
  <c r="M68" i="1" s="1"/>
  <c r="N68" i="1" s="1"/>
  <c r="O68" i="1" s="1"/>
  <c r="P68" i="1" s="1"/>
  <c r="Q68" i="1" s="1"/>
  <c r="G66" i="1"/>
  <c r="L7" i="1"/>
  <c r="L126" i="1" s="1"/>
  <c r="J1602" i="6"/>
  <c r="J274" i="8"/>
  <c r="J300" i="8"/>
  <c r="J303" i="8"/>
  <c r="J301" i="8"/>
  <c r="J304" i="8"/>
  <c r="J756" i="6"/>
  <c r="J273" i="8"/>
  <c r="J305" i="8"/>
  <c r="J271" i="8"/>
  <c r="H231" i="7"/>
  <c r="I231" i="7" s="1"/>
  <c r="J1837" i="6"/>
  <c r="J589" i="6"/>
  <c r="J1897" i="6"/>
  <c r="J1726" i="6"/>
  <c r="J747" i="4"/>
  <c r="J752" i="4"/>
  <c r="J749" i="4"/>
  <c r="J1102" i="6"/>
  <c r="J241" i="8"/>
  <c r="J207" i="8"/>
  <c r="J1758" i="6"/>
  <c r="J1166" i="6"/>
  <c r="J234" i="7"/>
  <c r="J1289" i="6"/>
  <c r="J264" i="6"/>
  <c r="J1070" i="7"/>
  <c r="J1049" i="7"/>
  <c r="J1075" i="7"/>
  <c r="H585" i="6"/>
  <c r="I585" i="6" s="1"/>
  <c r="J191" i="8"/>
  <c r="J298" i="8"/>
  <c r="J272" i="8"/>
  <c r="J299" i="8"/>
  <c r="J60" i="10"/>
  <c r="H713" i="7"/>
  <c r="I713" i="7" s="1"/>
  <c r="E144" i="11"/>
  <c r="AJ41" i="42"/>
  <c r="H103" i="6"/>
  <c r="I103" i="6" s="1"/>
  <c r="C142" i="3"/>
  <c r="AU19" i="42"/>
  <c r="A178" i="3"/>
  <c r="B75" i="16"/>
  <c r="B76" i="3"/>
  <c r="A75" i="16"/>
  <c r="A76" i="3"/>
  <c r="X139" i="9"/>
  <c r="H149" i="6"/>
  <c r="I149" i="6" s="1"/>
  <c r="J34" i="27"/>
  <c r="H72" i="4"/>
  <c r="I72" i="4" s="1"/>
  <c r="J1253" i="6"/>
  <c r="J1355" i="6"/>
  <c r="J1340" i="6"/>
  <c r="H439" i="6"/>
  <c r="I439" i="6" s="1"/>
  <c r="J981" i="6"/>
  <c r="J864" i="6"/>
  <c r="J1296" i="6"/>
  <c r="J1667" i="6"/>
  <c r="J1354" i="6"/>
  <c r="J1357" i="6"/>
  <c r="J2000" i="6"/>
  <c r="J1668" i="6"/>
  <c r="J822" i="6"/>
  <c r="J974" i="6"/>
  <c r="J976" i="6"/>
  <c r="J978" i="6"/>
  <c r="J1395" i="6"/>
  <c r="J779" i="6"/>
  <c r="J998" i="6"/>
  <c r="J979" i="6"/>
  <c r="J1367" i="6"/>
  <c r="J1825" i="6"/>
  <c r="J1342" i="6"/>
  <c r="J1343" i="6"/>
  <c r="J1612" i="6"/>
  <c r="J1360" i="6"/>
  <c r="J1341" i="6"/>
  <c r="J821" i="6"/>
  <c r="J1104" i="6"/>
  <c r="J980" i="6"/>
  <c r="J869" i="7"/>
  <c r="J1085" i="7"/>
  <c r="J1083" i="7"/>
  <c r="J1086" i="7"/>
  <c r="J902" i="7"/>
  <c r="J1050" i="7"/>
  <c r="J1081" i="7"/>
  <c r="J1080" i="7"/>
  <c r="J1093" i="7"/>
  <c r="J1096" i="7"/>
  <c r="J903" i="7"/>
  <c r="H737" i="7"/>
  <c r="I737" i="7" s="1"/>
  <c r="J1076" i="7"/>
  <c r="J1089" i="7"/>
  <c r="J1087" i="7"/>
  <c r="J1068" i="7"/>
  <c r="J1091" i="7"/>
  <c r="J1088" i="7"/>
  <c r="J1084" i="7"/>
  <c r="J1078" i="7"/>
  <c r="H265" i="7"/>
  <c r="I265" i="7" s="1"/>
  <c r="J901" i="7"/>
  <c r="J1069" i="7"/>
  <c r="J1067" i="7"/>
  <c r="J1090" i="7"/>
  <c r="J1094" i="7"/>
  <c r="J1098" i="7"/>
  <c r="J1072" i="7"/>
  <c r="J1074" i="7"/>
  <c r="J1082" i="7"/>
  <c r="J1051" i="7"/>
  <c r="H67" i="7"/>
  <c r="I67" i="7" s="1"/>
  <c r="J908" i="7"/>
  <c r="J1079" i="7"/>
  <c r="J1077" i="7"/>
  <c r="J1071" i="7"/>
  <c r="J1097" i="7"/>
  <c r="J1095" i="7"/>
  <c r="H148" i="6"/>
  <c r="I148" i="6" s="1"/>
  <c r="J254" i="8"/>
  <c r="J284" i="8"/>
  <c r="J309" i="8"/>
  <c r="J268" i="8"/>
  <c r="J282" i="8"/>
  <c r="J281" i="8"/>
  <c r="J435" i="8"/>
  <c r="J240" i="8"/>
  <c r="J267" i="8"/>
  <c r="J434" i="8"/>
  <c r="J279" i="8"/>
  <c r="J189" i="8"/>
  <c r="J358" i="8"/>
  <c r="J322" i="8"/>
  <c r="J320" i="8"/>
  <c r="J248" i="8"/>
  <c r="G114" i="3"/>
  <c r="J323" i="8"/>
  <c r="J234" i="8"/>
  <c r="J283" i="8"/>
  <c r="J280" i="8"/>
  <c r="J244" i="8"/>
  <c r="J278" i="8"/>
  <c r="J206" i="8"/>
  <c r="J238" i="8"/>
  <c r="J187" i="8"/>
  <c r="J235" i="8"/>
  <c r="J209" i="8"/>
  <c r="J386" i="8"/>
  <c r="J188" i="8"/>
  <c r="J526" i="4"/>
  <c r="J538" i="4"/>
  <c r="J529" i="4"/>
  <c r="J542" i="4"/>
  <c r="J540" i="4"/>
  <c r="J528" i="4"/>
  <c r="J554" i="4"/>
  <c r="J734" i="4"/>
  <c r="J536" i="4"/>
  <c r="J541" i="4"/>
  <c r="J537" i="4"/>
  <c r="J539" i="4"/>
  <c r="J530" i="4"/>
  <c r="J527" i="4"/>
  <c r="I41" i="55"/>
  <c r="H145" i="6"/>
  <c r="I145" i="6" s="1"/>
  <c r="H146" i="6"/>
  <c r="I146" i="6" s="1"/>
  <c r="I127" i="1"/>
  <c r="H144" i="6"/>
  <c r="I144" i="6" s="1"/>
  <c r="H416" i="6"/>
  <c r="I416" i="6" s="1"/>
  <c r="H114" i="34"/>
  <c r="J1427" i="6"/>
  <c r="J295" i="8"/>
  <c r="J1167" i="6"/>
  <c r="I128" i="1"/>
  <c r="J848" i="6"/>
  <c r="J849" i="6"/>
  <c r="J851" i="6"/>
  <c r="J845" i="6"/>
  <c r="J190" i="8"/>
  <c r="J916" i="6"/>
  <c r="J1430" i="6"/>
  <c r="J1431" i="6"/>
  <c r="J236" i="8"/>
  <c r="J1455" i="6"/>
  <c r="J1454" i="6"/>
  <c r="J325" i="8"/>
  <c r="G119" i="17"/>
  <c r="AY41" i="42"/>
  <c r="I129" i="1"/>
  <c r="J847" i="6"/>
  <c r="J846" i="6"/>
  <c r="H1768" i="6"/>
  <c r="I1768" i="6" s="1"/>
  <c r="J1424" i="6"/>
  <c r="J1362" i="6"/>
  <c r="H106" i="4"/>
  <c r="I131" i="1"/>
  <c r="H739" i="34"/>
  <c r="J404" i="4"/>
  <c r="J910" i="6"/>
  <c r="J1423" i="6"/>
  <c r="J1432" i="6"/>
  <c r="J1425" i="6"/>
  <c r="H747" i="34"/>
  <c r="G751" i="34"/>
  <c r="J1396" i="6"/>
  <c r="J919" i="6"/>
  <c r="J319" i="8"/>
  <c r="J761" i="6"/>
  <c r="H152" i="6"/>
  <c r="I152" i="6" s="1"/>
  <c r="D44" i="8"/>
  <c r="AH8" i="42" s="1"/>
  <c r="A121" i="16"/>
  <c r="A251" i="15"/>
  <c r="G770" i="34"/>
  <c r="J834" i="6"/>
  <c r="H22" i="12"/>
  <c r="H20" i="12"/>
  <c r="J430" i="8"/>
  <c r="H21" i="12"/>
  <c r="J321" i="8"/>
  <c r="J327" i="8"/>
  <c r="H64" i="8"/>
  <c r="I64" i="8" s="1"/>
  <c r="H429" i="6"/>
  <c r="I429" i="6" s="1"/>
  <c r="H24" i="12"/>
  <c r="H23" i="12"/>
  <c r="H26" i="12"/>
  <c r="J795" i="4"/>
  <c r="J314" i="8"/>
  <c r="H67" i="8"/>
  <c r="I67" i="8" s="1"/>
  <c r="H128" i="8"/>
  <c r="I128" i="8" s="1"/>
  <c r="H129" i="8"/>
  <c r="I129" i="8" s="1"/>
  <c r="H63" i="8"/>
  <c r="I63" i="8" s="1"/>
  <c r="V3" i="21"/>
  <c r="Y3" i="21"/>
  <c r="Z3" i="22" s="1"/>
  <c r="Z92" i="22" s="1"/>
  <c r="B17" i="16"/>
  <c r="J889" i="6"/>
  <c r="J1099" i="7"/>
  <c r="J483" i="4"/>
  <c r="G717" i="34"/>
  <c r="J856" i="7"/>
  <c r="H120" i="4"/>
  <c r="I120" i="4" s="1"/>
  <c r="H404" i="6"/>
  <c r="I404" i="6" s="1"/>
  <c r="H403" i="6"/>
  <c r="I403" i="6" s="1"/>
  <c r="J1184" i="6"/>
  <c r="J245" i="8"/>
  <c r="J1861" i="6"/>
  <c r="J1887" i="6"/>
  <c r="J842" i="6"/>
  <c r="J853" i="6"/>
  <c r="J1906" i="6"/>
  <c r="J856" i="6"/>
  <c r="J1194" i="6"/>
  <c r="H20" i="27"/>
  <c r="I20" i="27" s="1"/>
  <c r="H361" i="5"/>
  <c r="I361" i="5" s="1"/>
  <c r="J1937" i="6"/>
  <c r="J778" i="6"/>
  <c r="J794" i="6"/>
  <c r="J844" i="6"/>
  <c r="J1185" i="6"/>
  <c r="J1170" i="6"/>
  <c r="J1196" i="6"/>
  <c r="J1351" i="6"/>
  <c r="J262" i="7"/>
  <c r="J482" i="4"/>
  <c r="J1171" i="6"/>
  <c r="J1826" i="6"/>
  <c r="J781" i="6"/>
  <c r="J852" i="6"/>
  <c r="J1172" i="6"/>
  <c r="J1836" i="6"/>
  <c r="J1868" i="6"/>
  <c r="J1910" i="6"/>
  <c r="J1305" i="6"/>
  <c r="J476" i="4"/>
  <c r="H335" i="7"/>
  <c r="I335" i="7" s="1"/>
  <c r="G705" i="34"/>
  <c r="F707" i="34"/>
  <c r="F212" i="34" s="1"/>
  <c r="F824" i="34" s="1"/>
  <c r="H428" i="45"/>
  <c r="CH70" i="21"/>
  <c r="E346" i="8"/>
  <c r="CH68" i="21"/>
  <c r="J1912" i="6"/>
  <c r="H277" i="7"/>
  <c r="I277" i="7" s="1"/>
  <c r="F301" i="15"/>
  <c r="G301" i="15" s="1"/>
  <c r="CH64" i="21"/>
  <c r="J832" i="6"/>
  <c r="H259" i="6"/>
  <c r="I259" i="6" s="1"/>
  <c r="H1111" i="7"/>
  <c r="I1111" i="7" s="1"/>
  <c r="G638" i="34"/>
  <c r="H638" i="34" s="1"/>
  <c r="H274" i="7"/>
  <c r="I274" i="7" s="1"/>
  <c r="H273" i="7"/>
  <c r="I273" i="7" s="1"/>
  <c r="N19" i="26"/>
  <c r="D423" i="45"/>
  <c r="H118" i="8"/>
  <c r="I118" i="8" s="1"/>
  <c r="H111" i="8"/>
  <c r="I111" i="8" s="1"/>
  <c r="B57" i="8"/>
  <c r="J185" i="8"/>
  <c r="C43" i="8"/>
  <c r="AG7" i="42" s="1"/>
  <c r="B60" i="17"/>
  <c r="B17" i="17" s="1"/>
  <c r="A329" i="15"/>
  <c r="B329" i="15" s="1"/>
  <c r="D454" i="34" s="1"/>
  <c r="H137" i="5"/>
  <c r="I137" i="5" s="1"/>
  <c r="B27" i="19"/>
  <c r="B67" i="19"/>
  <c r="C72" i="13"/>
  <c r="B199" i="15"/>
  <c r="AW7" i="42"/>
  <c r="D149" i="42" s="1"/>
  <c r="D86" i="6"/>
  <c r="D87" i="6"/>
  <c r="D369" i="6"/>
  <c r="D719" i="6"/>
  <c r="D88" i="6"/>
  <c r="E130" i="14"/>
  <c r="J439" i="8"/>
  <c r="J257" i="8"/>
  <c r="J58" i="8" s="1"/>
  <c r="H119" i="17"/>
  <c r="C121" i="16"/>
  <c r="B259" i="15"/>
  <c r="B113" i="16"/>
  <c r="A300" i="15"/>
  <c r="A119" i="17"/>
  <c r="H301" i="15"/>
  <c r="AF49" i="42"/>
  <c r="A259" i="15"/>
  <c r="B94" i="8"/>
  <c r="C252" i="15"/>
  <c r="J32" i="27"/>
  <c r="J758" i="6"/>
  <c r="J1872" i="6"/>
  <c r="AG29" i="42"/>
  <c r="D559" i="34"/>
  <c r="D694" i="34" s="1"/>
  <c r="D695" i="34" s="1"/>
  <c r="D204" i="34" s="1"/>
  <c r="J41" i="27"/>
  <c r="G48" i="34"/>
  <c r="G65" i="34"/>
  <c r="G428" i="34"/>
  <c r="G427" i="34"/>
  <c r="H295" i="4"/>
  <c r="I295" i="4" s="1"/>
  <c r="H835" i="4"/>
  <c r="I835" i="4" s="1"/>
  <c r="G56" i="34"/>
  <c r="J1134" i="6"/>
  <c r="J1445" i="6"/>
  <c r="J1183" i="6"/>
  <c r="H662" i="34"/>
  <c r="J1182" i="6"/>
  <c r="C62" i="20"/>
  <c r="J64" i="20" s="1"/>
  <c r="G49" i="34"/>
  <c r="G55" i="34"/>
  <c r="G422" i="34"/>
  <c r="C27" i="19"/>
  <c r="G32" i="1"/>
  <c r="G33" i="1" s="1"/>
  <c r="J473" i="4"/>
  <c r="J43" i="27"/>
  <c r="J1725" i="6"/>
  <c r="G58" i="34"/>
  <c r="H58" i="34" s="1"/>
  <c r="G50" i="34"/>
  <c r="G131" i="34"/>
  <c r="F407" i="34"/>
  <c r="G606" i="34"/>
  <c r="J1092" i="6"/>
  <c r="C6" i="12"/>
  <c r="D177" i="7"/>
  <c r="K113" i="37"/>
  <c r="AT67" i="37"/>
  <c r="AT18" i="37" s="1"/>
  <c r="N24" i="37"/>
  <c r="O24" i="37" s="1"/>
  <c r="P24" i="37" s="1"/>
  <c r="Q24" i="37" s="1"/>
  <c r="R24" i="37" s="1"/>
  <c r="S24" i="37" s="1"/>
  <c r="T24" i="37" s="1"/>
  <c r="U24" i="37" s="1"/>
  <c r="V24" i="37" s="1"/>
  <c r="W24" i="37" s="1"/>
  <c r="X24" i="37" s="1"/>
  <c r="AV85" i="37"/>
  <c r="AV36" i="37" s="1"/>
  <c r="D101" i="34"/>
  <c r="E429" i="34"/>
  <c r="G67" i="34"/>
  <c r="E69" i="14"/>
  <c r="E73" i="14" s="1"/>
  <c r="E76" i="14" s="1"/>
  <c r="D127" i="14"/>
  <c r="G130" i="14" s="1"/>
  <c r="E115" i="14"/>
  <c r="C480" i="34"/>
  <c r="C534" i="34" s="1"/>
  <c r="D480" i="34"/>
  <c r="D534" i="34" s="1"/>
  <c r="AG49" i="42"/>
  <c r="H78" i="8"/>
  <c r="I78" i="8" s="1"/>
  <c r="H422" i="45"/>
  <c r="H336" i="8"/>
  <c r="I336" i="8" s="1"/>
  <c r="C689" i="34"/>
  <c r="C201" i="34" s="1"/>
  <c r="H141" i="5"/>
  <c r="I141" i="5" s="1"/>
  <c r="A199" i="15"/>
  <c r="A144" i="15" s="1"/>
  <c r="H69" i="1"/>
  <c r="G287" i="3" s="1"/>
  <c r="G297" i="3" s="1"/>
  <c r="J81" i="1"/>
  <c r="M59" i="1"/>
  <c r="N59" i="1" s="1"/>
  <c r="O59" i="1" s="1"/>
  <c r="G762" i="34"/>
  <c r="H58" i="8"/>
  <c r="I58" i="8" s="1"/>
  <c r="H289" i="45"/>
  <c r="J31" i="27"/>
  <c r="H1205" i="6"/>
  <c r="I1205" i="6" s="1"/>
  <c r="H30" i="1"/>
  <c r="H32" i="1" s="1"/>
  <c r="H33" i="1" s="1"/>
  <c r="J915" i="6"/>
  <c r="J914" i="6"/>
  <c r="J1449" i="6"/>
  <c r="J911" i="6"/>
  <c r="J481" i="4"/>
  <c r="I66" i="10"/>
  <c r="I103" i="10" s="1"/>
  <c r="J909" i="6"/>
  <c r="J1420" i="6"/>
  <c r="J917" i="6"/>
  <c r="K8" i="1"/>
  <c r="J30" i="27"/>
  <c r="J59" i="27"/>
  <c r="J44" i="27"/>
  <c r="J931" i="6"/>
  <c r="J922" i="6"/>
  <c r="J925" i="6"/>
  <c r="H417" i="7"/>
  <c r="I417" i="7" s="1"/>
  <c r="J912" i="6"/>
  <c r="H87" i="17"/>
  <c r="J194" i="6"/>
  <c r="J1181" i="6"/>
  <c r="J923" i="6"/>
  <c r="J143" i="6"/>
  <c r="CH9" i="21"/>
  <c r="J921" i="6"/>
  <c r="J924" i="6"/>
  <c r="J930" i="6"/>
  <c r="J927" i="6"/>
  <c r="J897" i="6"/>
  <c r="J833" i="6"/>
  <c r="D122" i="14"/>
  <c r="G125" i="14" s="1"/>
  <c r="A368" i="7"/>
  <c r="D138" i="6"/>
  <c r="D866" i="6"/>
  <c r="I79" i="6"/>
  <c r="H214" i="6"/>
  <c r="I214" i="6" s="1"/>
  <c r="D89" i="6"/>
  <c r="H56" i="4"/>
  <c r="I56" i="4" s="1"/>
  <c r="H90" i="6"/>
  <c r="I90" i="6" s="1"/>
  <c r="H129" i="40"/>
  <c r="H131" i="40" s="1"/>
  <c r="N99" i="10" s="1"/>
  <c r="G131" i="40"/>
  <c r="K99" i="10" s="1"/>
  <c r="F125" i="13"/>
  <c r="H182" i="4"/>
  <c r="I182" i="4" s="1"/>
  <c r="B370" i="7"/>
  <c r="A119" i="13"/>
  <c r="B371" i="7"/>
  <c r="C742" i="6"/>
  <c r="H324" i="6"/>
  <c r="I324" i="6" s="1"/>
  <c r="H98" i="6"/>
  <c r="I98" i="6" s="1"/>
  <c r="H307" i="5"/>
  <c r="I307" i="5" s="1"/>
  <c r="E33" i="48"/>
  <c r="N184" i="48" s="1"/>
  <c r="J795" i="6"/>
  <c r="H719" i="6"/>
  <c r="I719" i="6" s="1"/>
  <c r="J1297" i="6"/>
  <c r="J480" i="4"/>
  <c r="H174" i="4"/>
  <c r="I174" i="4" s="1"/>
  <c r="H228" i="4"/>
  <c r="I228" i="4" s="1"/>
  <c r="M7" i="1"/>
  <c r="H184" i="4"/>
  <c r="I184" i="4" s="1"/>
  <c r="J737" i="4"/>
  <c r="H235" i="4"/>
  <c r="I235" i="4" s="1"/>
  <c r="H220" i="4"/>
  <c r="A652" i="6"/>
  <c r="F85" i="12"/>
  <c r="J108" i="37"/>
  <c r="J110" i="37" s="1"/>
  <c r="J4" i="37"/>
  <c r="J60" i="37" s="1"/>
  <c r="J13" i="1"/>
  <c r="F63" i="12"/>
  <c r="J797" i="4"/>
  <c r="J282" i="4" s="1"/>
  <c r="J218" i="8"/>
  <c r="J49" i="27"/>
  <c r="J382" i="8"/>
  <c r="J18" i="27"/>
  <c r="J16" i="27"/>
  <c r="K16" i="27" s="1"/>
  <c r="J529" i="8"/>
  <c r="J125" i="8"/>
  <c r="J177" i="5"/>
  <c r="J219" i="8"/>
  <c r="H88" i="16" s="1"/>
  <c r="J54" i="5"/>
  <c r="K251" i="5"/>
  <c r="J42" i="27"/>
  <c r="K42" i="27" s="1"/>
  <c r="J1394" i="6"/>
  <c r="K1394" i="6" s="1"/>
  <c r="J1192" i="6"/>
  <c r="K1192" i="6" s="1"/>
  <c r="J474" i="4"/>
  <c r="J471" i="4"/>
  <c r="K751" i="7"/>
  <c r="K757" i="7"/>
  <c r="K767" i="7"/>
  <c r="K771" i="7"/>
  <c r="J179" i="8"/>
  <c r="K179" i="8" s="1"/>
  <c r="K439" i="5"/>
  <c r="K409" i="5"/>
  <c r="K293" i="5"/>
  <c r="K341" i="5"/>
  <c r="K296" i="5"/>
  <c r="K312" i="5"/>
  <c r="K440" i="5"/>
  <c r="J535" i="4"/>
  <c r="J1352" i="6"/>
  <c r="K1352" i="6" s="1"/>
  <c r="J386" i="4"/>
  <c r="K286" i="5"/>
  <c r="J17" i="27"/>
  <c r="J12" i="27"/>
  <c r="K12" i="27" s="1"/>
  <c r="K437" i="5"/>
  <c r="J593" i="6"/>
  <c r="K287" i="5"/>
  <c r="J40" i="27"/>
  <c r="J13" i="27"/>
  <c r="K13" i="27" s="1"/>
  <c r="J45" i="27"/>
  <c r="K45" i="27" s="1"/>
  <c r="J361" i="4"/>
  <c r="J1193" i="6"/>
  <c r="K1193" i="6" s="1"/>
  <c r="J208" i="6"/>
  <c r="K299" i="5"/>
  <c r="K628" i="7"/>
  <c r="K348" i="5"/>
  <c r="K291" i="5"/>
  <c r="J1422" i="6"/>
  <c r="J243" i="8"/>
  <c r="K243" i="8" s="1"/>
  <c r="J237" i="8"/>
  <c r="K237" i="8" s="1"/>
  <c r="J829" i="6"/>
  <c r="K829" i="6" s="1"/>
  <c r="J1190" i="6"/>
  <c r="K1190" i="6" s="1"/>
  <c r="K511" i="7"/>
  <c r="K370" i="5"/>
  <c r="K343" i="5"/>
  <c r="K411" i="5"/>
  <c r="K300" i="5"/>
  <c r="K295" i="5"/>
  <c r="J843" i="6"/>
  <c r="K843" i="6" s="1"/>
  <c r="J831" i="6"/>
  <c r="K831" i="6" s="1"/>
  <c r="J33" i="27"/>
  <c r="K33" i="27" s="1"/>
  <c r="J25" i="27"/>
  <c r="C67" i="20"/>
  <c r="J15" i="1"/>
  <c r="C77" i="19" s="1"/>
  <c r="C28" i="19"/>
  <c r="K424" i="5"/>
  <c r="K442" i="5"/>
  <c r="K441" i="5"/>
  <c r="J8" i="27"/>
  <c r="J27" i="27"/>
  <c r="K27" i="27" s="1"/>
  <c r="J193" i="6"/>
  <c r="J1195" i="6"/>
  <c r="K1195" i="6" s="1"/>
  <c r="J1419" i="6"/>
  <c r="J470" i="4"/>
  <c r="K480" i="7"/>
  <c r="K753" i="7"/>
  <c r="K765" i="7"/>
  <c r="K769" i="7"/>
  <c r="K779" i="7"/>
  <c r="K408" i="5"/>
  <c r="K224" i="5"/>
  <c r="K304" i="5"/>
  <c r="K435" i="5"/>
  <c r="K830" i="6"/>
  <c r="H94" i="6"/>
  <c r="I94" i="6" s="1"/>
  <c r="K226" i="5"/>
  <c r="J1339" i="6"/>
  <c r="K1339" i="6" s="1"/>
  <c r="J1295" i="6"/>
  <c r="K1295" i="6" s="1"/>
  <c r="J859" i="6"/>
  <c r="K859" i="6" s="1"/>
  <c r="J1898" i="6"/>
  <c r="K1898" i="6" s="1"/>
  <c r="J270" i="8"/>
  <c r="K270" i="8" s="1"/>
  <c r="J525" i="4"/>
  <c r="J28" i="27"/>
  <c r="K28" i="27" s="1"/>
  <c r="K430" i="5"/>
  <c r="H385" i="7"/>
  <c r="I385" i="7" s="1"/>
  <c r="K285" i="5"/>
  <c r="K284" i="5"/>
  <c r="J9" i="27"/>
  <c r="J39" i="27"/>
  <c r="K39" i="27" s="1"/>
  <c r="J38" i="27"/>
  <c r="K38" i="27" s="1"/>
  <c r="B28" i="19"/>
  <c r="B72" i="19"/>
  <c r="J835" i="6"/>
  <c r="K227" i="5"/>
  <c r="K349" i="5"/>
  <c r="K302" i="5"/>
  <c r="J857" i="6"/>
  <c r="K857" i="6" s="1"/>
  <c r="J249" i="8"/>
  <c r="K249" i="8" s="1"/>
  <c r="J324" i="8"/>
  <c r="K503" i="7"/>
  <c r="K639" i="7"/>
  <c r="K509" i="7"/>
  <c r="J29" i="27"/>
  <c r="K29" i="27" s="1"/>
  <c r="K297" i="5"/>
  <c r="H71" i="34"/>
  <c r="K305" i="5"/>
  <c r="K225" i="5"/>
  <c r="K407" i="5"/>
  <c r="K752" i="7"/>
  <c r="J269" i="8"/>
  <c r="K269" i="8" s="1"/>
  <c r="K631" i="7"/>
  <c r="Q44" i="42"/>
  <c r="B432" i="7"/>
  <c r="H293" i="45"/>
  <c r="G727" i="34"/>
  <c r="H290" i="45"/>
  <c r="H114" i="4"/>
  <c r="I114" i="4" s="1"/>
  <c r="J317" i="8"/>
  <c r="AG11" i="42"/>
  <c r="B74" i="15" s="1"/>
  <c r="C344" i="7"/>
  <c r="A344" i="7"/>
  <c r="B344" i="7"/>
  <c r="D344" i="7"/>
  <c r="J352" i="4"/>
  <c r="X3" i="22"/>
  <c r="X92" i="22" s="1"/>
  <c r="X142" i="22" s="1"/>
  <c r="AA3" i="21"/>
  <c r="AC3" i="21"/>
  <c r="I193" i="3"/>
  <c r="AC3" i="22"/>
  <c r="AC92" i="22" s="1"/>
  <c r="AC142" i="22" s="1"/>
  <c r="AF3" i="21"/>
  <c r="C90" i="4"/>
  <c r="G85" i="12"/>
  <c r="J3" i="11"/>
  <c r="J85" i="11" s="1"/>
  <c r="G85" i="11"/>
  <c r="M3" i="11"/>
  <c r="J95" i="7"/>
  <c r="F9" i="11"/>
  <c r="H66" i="4"/>
  <c r="I66" i="4" s="1"/>
  <c r="H322" i="6"/>
  <c r="I322" i="6" s="1"/>
  <c r="H22" i="20"/>
  <c r="F210" i="15"/>
  <c r="H818" i="7"/>
  <c r="C55" i="13"/>
  <c r="J97" i="7"/>
  <c r="H291" i="45"/>
  <c r="H294" i="45"/>
  <c r="H62" i="8"/>
  <c r="I62" i="8" s="1"/>
  <c r="H299" i="45"/>
  <c r="J861" i="6"/>
  <c r="K861" i="6" s="1"/>
  <c r="J841" i="6"/>
  <c r="K841" i="6" s="1"/>
  <c r="D652" i="6"/>
  <c r="H325" i="6"/>
  <c r="I325" i="6" s="1"/>
  <c r="H729" i="6"/>
  <c r="I729" i="6" s="1"/>
  <c r="H725" i="6"/>
  <c r="I725" i="6" s="1"/>
  <c r="K250" i="5"/>
  <c r="K315" i="5"/>
  <c r="K96" i="5" s="1"/>
  <c r="H419" i="5"/>
  <c r="I419" i="5" s="1"/>
  <c r="J99" i="7"/>
  <c r="H230" i="7"/>
  <c r="I230" i="7" s="1"/>
  <c r="H278" i="7"/>
  <c r="I278" i="7" s="1"/>
  <c r="C103" i="3"/>
  <c r="H131" i="7"/>
  <c r="I131" i="7" s="1"/>
  <c r="L193" i="3"/>
  <c r="I30" i="45"/>
  <c r="H89" i="5"/>
  <c r="I89" i="5" s="1"/>
  <c r="H16" i="17"/>
  <c r="G31" i="17"/>
  <c r="H16" i="16"/>
  <c r="G31" i="16"/>
  <c r="D405" i="7"/>
  <c r="D407" i="7"/>
  <c r="K311" i="5"/>
  <c r="J232" i="7"/>
  <c r="H232" i="7"/>
  <c r="I232" i="7" s="1"/>
  <c r="J792" i="6"/>
  <c r="K428" i="5"/>
  <c r="H186" i="5"/>
  <c r="I186" i="5" s="1"/>
  <c r="J97" i="5"/>
  <c r="H104" i="4"/>
  <c r="K193" i="3"/>
  <c r="G126" i="40"/>
  <c r="K98" i="10" s="1"/>
  <c r="H125" i="40"/>
  <c r="BD42" i="9"/>
  <c r="BE42" i="9" s="1"/>
  <c r="C464" i="6"/>
  <c r="A143" i="13"/>
  <c r="A202" i="15"/>
  <c r="A147" i="15" s="1"/>
  <c r="AT40" i="9"/>
  <c r="AU40" i="9" s="1"/>
  <c r="AO41" i="9"/>
  <c r="AP41" i="9" s="1"/>
  <c r="H3" i="11"/>
  <c r="H85" i="11" s="1"/>
  <c r="F85" i="11"/>
  <c r="I3" i="11"/>
  <c r="I85" i="11" s="1"/>
  <c r="L3" i="11"/>
  <c r="O3" i="11" s="1"/>
  <c r="L538" i="7"/>
  <c r="L115" i="7" s="1"/>
  <c r="J1304" i="6"/>
  <c r="G60" i="1"/>
  <c r="H60" i="1" s="1"/>
  <c r="I60" i="1" s="1"/>
  <c r="J60" i="1" s="1"/>
  <c r="K60" i="1" s="1"/>
  <c r="L60" i="1" s="1"/>
  <c r="M60" i="1" s="1"/>
  <c r="N60" i="1" s="1"/>
  <c r="O60" i="1" s="1"/>
  <c r="F35" i="19"/>
  <c r="G23" i="19"/>
  <c r="B90" i="4"/>
  <c r="J1899" i="6"/>
  <c r="K1899" i="6" s="1"/>
  <c r="H1701" i="6"/>
  <c r="I1701" i="6" s="1"/>
  <c r="H545" i="6"/>
  <c r="I545" i="6" s="1"/>
  <c r="K777" i="6"/>
  <c r="H92" i="6"/>
  <c r="I92" i="6" s="1"/>
  <c r="H261" i="6"/>
  <c r="I261" i="6" s="1"/>
  <c r="AE3" i="9"/>
  <c r="AJ3" i="9" s="1"/>
  <c r="Z88" i="9"/>
  <c r="Z174" i="9" s="1"/>
  <c r="Y88" i="9"/>
  <c r="Y174" i="9" s="1"/>
  <c r="AD3" i="9"/>
  <c r="AI3" i="9" s="1"/>
  <c r="B68" i="27"/>
  <c r="D346" i="8"/>
  <c r="D95" i="8" s="1"/>
  <c r="I299" i="45"/>
  <c r="L52" i="12"/>
  <c r="H52" i="12"/>
  <c r="I52" i="12"/>
  <c r="J52" i="12"/>
  <c r="K52" i="12"/>
  <c r="G52" i="12"/>
  <c r="K632" i="7"/>
  <c r="O18" i="26"/>
  <c r="B519" i="6"/>
  <c r="H70" i="4"/>
  <c r="I70" i="4" s="1"/>
  <c r="K682" i="7"/>
  <c r="H60" i="5"/>
  <c r="I60" i="5" s="1"/>
  <c r="G88" i="10"/>
  <c r="K1356" i="6"/>
  <c r="I284" i="3"/>
  <c r="H326" i="6"/>
  <c r="I326" i="6" s="1"/>
  <c r="H572" i="6"/>
  <c r="I572" i="6" s="1"/>
  <c r="H126" i="5"/>
  <c r="I126" i="5" s="1"/>
  <c r="J107" i="4"/>
  <c r="J160" i="4" s="1"/>
  <c r="J2012" i="6"/>
  <c r="K2012" i="6" s="1"/>
  <c r="K474" i="8"/>
  <c r="K485" i="8"/>
  <c r="K387" i="8"/>
  <c r="K467" i="8"/>
  <c r="K455" i="8"/>
  <c r="K507" i="8"/>
  <c r="K489" i="8"/>
  <c r="K470" i="8"/>
  <c r="K509" i="8"/>
  <c r="K498" i="8"/>
  <c r="K451" i="8"/>
  <c r="K471" i="8"/>
  <c r="K506" i="8"/>
  <c r="K366" i="8"/>
  <c r="K465" i="8"/>
  <c r="K497" i="8"/>
  <c r="K373" i="8"/>
  <c r="K490" i="8"/>
  <c r="K475" i="8"/>
  <c r="K459" i="8"/>
  <c r="K125" i="8" s="1"/>
  <c r="K487" i="8"/>
  <c r="K510" i="8"/>
  <c r="K500" i="8"/>
  <c r="K496" i="8"/>
  <c r="K469" i="8"/>
  <c r="K501" i="8"/>
  <c r="K450" i="8"/>
  <c r="K502" i="8"/>
  <c r="K452" i="8"/>
  <c r="K466" i="8"/>
  <c r="K461" i="8"/>
  <c r="K493" i="8"/>
  <c r="K503" i="8"/>
  <c r="K504" i="8"/>
  <c r="K505" i="8"/>
  <c r="K473" i="8"/>
  <c r="K491" i="8"/>
  <c r="K444" i="8"/>
  <c r="K1115" i="6"/>
  <c r="K1316" i="6"/>
  <c r="K1324" i="6"/>
  <c r="K1564" i="6"/>
  <c r="K1545" i="6"/>
  <c r="K1315" i="6"/>
  <c r="K187" i="8"/>
  <c r="M60" i="10"/>
  <c r="L39" i="11" s="1"/>
  <c r="J713" i="7"/>
  <c r="J246" i="7" s="1"/>
  <c r="K273" i="8"/>
  <c r="K320" i="8"/>
  <c r="K299" i="8"/>
  <c r="J130" i="8"/>
  <c r="K381" i="5"/>
  <c r="K1746" i="6"/>
  <c r="K303" i="8"/>
  <c r="J126" i="8"/>
  <c r="K272" i="8"/>
  <c r="K1052" i="6"/>
  <c r="K264" i="6" s="1"/>
  <c r="K271" i="8"/>
  <c r="K13" i="1"/>
  <c r="L13" i="1" s="1"/>
  <c r="M13" i="1" s="1"/>
  <c r="N13" i="1" s="1"/>
  <c r="O13" i="1" s="1"/>
  <c r="P13" i="1" s="1"/>
  <c r="Q13" i="1" s="1"/>
  <c r="R13" i="1" s="1"/>
  <c r="K31" i="27"/>
  <c r="H123" i="8"/>
  <c r="I123" i="8" s="1"/>
  <c r="G746" i="34"/>
  <c r="K209" i="8"/>
  <c r="K298" i="8"/>
  <c r="K191" i="8"/>
  <c r="K827" i="6"/>
  <c r="K304" i="8"/>
  <c r="J908" i="6"/>
  <c r="K908" i="6" s="1"/>
  <c r="J1055" i="7"/>
  <c r="G736" i="34"/>
  <c r="H423" i="45"/>
  <c r="E423" i="45"/>
  <c r="AJ21" i="42"/>
  <c r="F85" i="15" s="1"/>
  <c r="G85" i="15" s="1"/>
  <c r="AK41" i="42"/>
  <c r="H55" i="8"/>
  <c r="I55" i="8" s="1"/>
  <c r="A113" i="15"/>
  <c r="H122" i="8"/>
  <c r="I122" i="8" s="1"/>
  <c r="H131" i="8"/>
  <c r="I131" i="8" s="1"/>
  <c r="H121" i="8"/>
  <c r="I121" i="8" s="1"/>
  <c r="H302" i="6"/>
  <c r="I302" i="6" s="1"/>
  <c r="J1953" i="6"/>
  <c r="H61" i="8"/>
  <c r="I61" i="8" s="1"/>
  <c r="J213" i="8"/>
  <c r="K213" i="8" s="1"/>
  <c r="K1251" i="6"/>
  <c r="J1092" i="7"/>
  <c r="K1092" i="7" s="1"/>
  <c r="K208" i="6"/>
  <c r="H280" i="4"/>
  <c r="I280" i="4" s="1"/>
  <c r="J465" i="4"/>
  <c r="H227" i="4"/>
  <c r="I227" i="4" s="1"/>
  <c r="H181" i="4"/>
  <c r="I181" i="4" s="1"/>
  <c r="H183" i="4"/>
  <c r="I183" i="4" s="1"/>
  <c r="G729" i="34"/>
  <c r="H405" i="6"/>
  <c r="I405" i="6" s="1"/>
  <c r="K477" i="7"/>
  <c r="H91" i="6"/>
  <c r="I91" i="6" s="1"/>
  <c r="G113" i="3"/>
  <c r="H60" i="8"/>
  <c r="I60" i="8" s="1"/>
  <c r="H68" i="8"/>
  <c r="I68" i="8" s="1"/>
  <c r="A70" i="17"/>
  <c r="A80" i="3"/>
  <c r="B70" i="17"/>
  <c r="B80" i="3"/>
  <c r="H123" i="4"/>
  <c r="I123" i="4" s="1"/>
  <c r="C461" i="6"/>
  <c r="J1353" i="6"/>
  <c r="K1353" i="6" s="1"/>
  <c r="H432" i="6"/>
  <c r="I432" i="6" s="1"/>
  <c r="J1418" i="6"/>
  <c r="J439" i="6" s="1"/>
  <c r="J1794" i="6"/>
  <c r="J773" i="6"/>
  <c r="K773" i="6" s="1"/>
  <c r="K89" i="6" s="1"/>
  <c r="H65" i="4"/>
  <c r="I65" i="4" s="1"/>
  <c r="J265" i="7"/>
  <c r="H188" i="7"/>
  <c r="I188" i="7" s="1"/>
  <c r="K629" i="7"/>
  <c r="K484" i="7"/>
  <c r="J1066" i="7"/>
  <c r="K1066" i="7" s="1"/>
  <c r="J364" i="8"/>
  <c r="K364" i="8" s="1"/>
  <c r="H119" i="8"/>
  <c r="I119" i="8" s="1"/>
  <c r="K1828" i="6"/>
  <c r="K217" i="8"/>
  <c r="AA8" i="54"/>
  <c r="D170" i="14"/>
  <c r="D85" i="14" s="1"/>
  <c r="K1456" i="6"/>
  <c r="K236" i="8"/>
  <c r="K190" i="8"/>
  <c r="I747" i="34"/>
  <c r="J870" i="7"/>
  <c r="K870" i="7" s="1"/>
  <c r="J872" i="7"/>
  <c r="K872" i="7" s="1"/>
  <c r="K318" i="8"/>
  <c r="K295" i="8"/>
  <c r="I114" i="34"/>
  <c r="I18" i="17"/>
  <c r="I119" i="17" s="1"/>
  <c r="AZ41" i="42"/>
  <c r="I739" i="34"/>
  <c r="J127" i="1"/>
  <c r="K279" i="8"/>
  <c r="J131" i="1"/>
  <c r="J129" i="1"/>
  <c r="J128" i="1"/>
  <c r="J416" i="6"/>
  <c r="B288" i="6"/>
  <c r="H69" i="8"/>
  <c r="I69" i="8" s="1"/>
  <c r="J1338" i="6"/>
  <c r="K1338" i="6" s="1"/>
  <c r="H431" i="6"/>
  <c r="I431" i="6" s="1"/>
  <c r="J479" i="4"/>
  <c r="G768" i="34"/>
  <c r="H530" i="8"/>
  <c r="I530" i="8" s="1"/>
  <c r="G27" i="17"/>
  <c r="G12" i="17" s="1"/>
  <c r="F296" i="15" s="1"/>
  <c r="G296" i="15" s="1"/>
  <c r="AY21" i="42"/>
  <c r="F116" i="15" s="1"/>
  <c r="G116" i="15" s="1"/>
  <c r="H109" i="8"/>
  <c r="I109" i="8" s="1"/>
  <c r="J199" i="8"/>
  <c r="K199" i="8" s="1"/>
  <c r="AJ12" i="42"/>
  <c r="J233" i="8"/>
  <c r="K233" i="8" s="1"/>
  <c r="J975" i="6"/>
  <c r="K975" i="6" s="1"/>
  <c r="G725" i="34"/>
  <c r="H770" i="34"/>
  <c r="G728" i="34"/>
  <c r="F794" i="34"/>
  <c r="F800" i="34" s="1"/>
  <c r="F814" i="34"/>
  <c r="U122" i="9"/>
  <c r="V122" i="9" s="1"/>
  <c r="CS122" i="9"/>
  <c r="H65" i="8"/>
  <c r="I65" i="8" s="1"/>
  <c r="H406" i="7"/>
  <c r="I406" i="7" s="1"/>
  <c r="J123" i="8"/>
  <c r="I18" i="16"/>
  <c r="J1285" i="6"/>
  <c r="K1285" i="6" s="1"/>
  <c r="K404" i="6" s="1"/>
  <c r="I422" i="45"/>
  <c r="K321" i="8"/>
  <c r="I20" i="12"/>
  <c r="I26" i="12"/>
  <c r="I22" i="12"/>
  <c r="I23" i="12"/>
  <c r="J429" i="6"/>
  <c r="J41" i="55"/>
  <c r="J67" i="8"/>
  <c r="I24" i="12"/>
  <c r="K327" i="8"/>
  <c r="I21" i="12"/>
  <c r="J128" i="8"/>
  <c r="J120" i="8"/>
  <c r="I289" i="45"/>
  <c r="C748" i="34"/>
  <c r="D748" i="34"/>
  <c r="H57" i="8"/>
  <c r="I57" i="8" s="1"/>
  <c r="H66" i="8"/>
  <c r="I66" i="8" s="1"/>
  <c r="B744" i="34"/>
  <c r="J297" i="8"/>
  <c r="W3" i="22"/>
  <c r="Z3" i="21"/>
  <c r="B121" i="16"/>
  <c r="B251" i="15"/>
  <c r="H281" i="4"/>
  <c r="I281" i="4" s="1"/>
  <c r="J1284" i="6"/>
  <c r="K1284" i="6" s="1"/>
  <c r="K17" i="27"/>
  <c r="K254" i="8"/>
  <c r="K40" i="27"/>
  <c r="G772" i="34"/>
  <c r="K739" i="4"/>
  <c r="K768" i="7"/>
  <c r="H45" i="8"/>
  <c r="I45" i="8" s="1"/>
  <c r="C178" i="6"/>
  <c r="B178" i="6"/>
  <c r="J1288" i="6"/>
  <c r="K1288" i="6" s="1"/>
  <c r="H162" i="6"/>
  <c r="I162" i="6" s="1"/>
  <c r="H234" i="4"/>
  <c r="I234" i="4" s="1"/>
  <c r="I423" i="45"/>
  <c r="C793" i="34"/>
  <c r="C804" i="34" s="1"/>
  <c r="K354" i="5"/>
  <c r="G75" i="1"/>
  <c r="H66" i="1"/>
  <c r="CI64" i="21"/>
  <c r="AC64" i="21"/>
  <c r="J1368" i="6"/>
  <c r="J1374" i="6" s="1"/>
  <c r="H1374" i="6"/>
  <c r="I1374" i="6" s="1"/>
  <c r="H450" i="6"/>
  <c r="I450" i="6" s="1"/>
  <c r="I428" i="45"/>
  <c r="H1373" i="6"/>
  <c r="I1373" i="6" s="1"/>
  <c r="H449" i="6"/>
  <c r="I449" i="6" s="1"/>
  <c r="N17" i="26"/>
  <c r="H73" i="21"/>
  <c r="H40" i="16" s="1"/>
  <c r="AC68" i="21"/>
  <c r="CI68" i="21"/>
  <c r="AD104" i="22"/>
  <c r="H870" i="6"/>
  <c r="I870" i="6" s="1"/>
  <c r="H705" i="34"/>
  <c r="C351" i="6"/>
  <c r="K748" i="7"/>
  <c r="N22" i="26"/>
  <c r="N23" i="26"/>
  <c r="H308" i="6"/>
  <c r="I308" i="6" s="1"/>
  <c r="G766" i="34"/>
  <c r="G769" i="34"/>
  <c r="G28" i="12"/>
  <c r="F57" i="13" s="1"/>
  <c r="G423" i="45"/>
  <c r="F423" i="45"/>
  <c r="C122" i="8"/>
  <c r="K185" i="8"/>
  <c r="D43" i="8"/>
  <c r="J328" i="8"/>
  <c r="K328" i="8" s="1"/>
  <c r="H86" i="17"/>
  <c r="H56" i="8"/>
  <c r="I56" i="8" s="1"/>
  <c r="J316" i="8"/>
  <c r="K316" i="8" s="1"/>
  <c r="J308" i="8"/>
  <c r="K308" i="8" s="1"/>
  <c r="J216" i="8"/>
  <c r="K216" i="8" s="1"/>
  <c r="H217" i="4"/>
  <c r="K622" i="7"/>
  <c r="R44" i="42"/>
  <c r="H869" i="6"/>
  <c r="I869" i="6" s="1"/>
  <c r="H158" i="6"/>
  <c r="I158" i="6" s="1"/>
  <c r="H1110" i="7"/>
  <c r="I1110" i="7" s="1"/>
  <c r="J417" i="7"/>
  <c r="J423" i="7" s="1"/>
  <c r="H132" i="6"/>
  <c r="H7" i="6" s="1"/>
  <c r="I7" i="6" s="1"/>
  <c r="AY22" i="42"/>
  <c r="J523" i="8"/>
  <c r="H142" i="8"/>
  <c r="I142" i="8" s="1"/>
  <c r="J331" i="8"/>
  <c r="H27" i="16" s="1"/>
  <c r="H12" i="16" s="1"/>
  <c r="H247" i="15" s="1"/>
  <c r="H269" i="15" s="1"/>
  <c r="H79" i="8"/>
  <c r="I79" i="8" s="1"/>
  <c r="H337" i="8"/>
  <c r="I337" i="8" s="1"/>
  <c r="H88" i="6"/>
  <c r="I88" i="6" s="1"/>
  <c r="G121" i="16"/>
  <c r="K961" i="6"/>
  <c r="K193" i="6" s="1"/>
  <c r="J565" i="8"/>
  <c r="J141" i="8"/>
  <c r="H25" i="17" s="1"/>
  <c r="H10" i="17" s="1"/>
  <c r="B120" i="17"/>
  <c r="F252" i="15"/>
  <c r="G252" i="15" s="1"/>
  <c r="H77" i="6"/>
  <c r="I77" i="6" s="1"/>
  <c r="H1105" i="6"/>
  <c r="I1105" i="6" s="1"/>
  <c r="J326" i="4"/>
  <c r="F574" i="34"/>
  <c r="F700" i="34" s="1"/>
  <c r="I147" i="34"/>
  <c r="J985" i="6"/>
  <c r="K985" i="6" s="1"/>
  <c r="H206" i="6"/>
  <c r="I206" i="6" s="1"/>
  <c r="K1447" i="6"/>
  <c r="H413" i="34"/>
  <c r="I662" i="34"/>
  <c r="I638" i="34"/>
  <c r="K43" i="27"/>
  <c r="H422" i="34"/>
  <c r="H55" i="34"/>
  <c r="H427" i="34"/>
  <c r="H65" i="34"/>
  <c r="G23" i="34"/>
  <c r="I133" i="34"/>
  <c r="H48" i="34"/>
  <c r="I650" i="34"/>
  <c r="I632" i="34"/>
  <c r="I138" i="34"/>
  <c r="H49" i="34"/>
  <c r="I644" i="34"/>
  <c r="H56" i="34"/>
  <c r="I139" i="34"/>
  <c r="I53" i="1"/>
  <c r="H106" i="8"/>
  <c r="I106" i="8" s="1"/>
  <c r="H131" i="34"/>
  <c r="H50" i="34"/>
  <c r="I112" i="34"/>
  <c r="I106" i="34"/>
  <c r="I162" i="34"/>
  <c r="I121" i="34"/>
  <c r="K41" i="27"/>
  <c r="J1091" i="6"/>
  <c r="K1091" i="6" s="1"/>
  <c r="H301" i="6"/>
  <c r="I301" i="6" s="1"/>
  <c r="AS3" i="37"/>
  <c r="AS13" i="37"/>
  <c r="AS62" i="37"/>
  <c r="K2" i="37"/>
  <c r="J1623" i="6"/>
  <c r="E101" i="34"/>
  <c r="H67" i="34"/>
  <c r="I71" i="34"/>
  <c r="J239" i="8"/>
  <c r="K239" i="8" s="1"/>
  <c r="K597" i="6"/>
  <c r="K604" i="6" s="1"/>
  <c r="J597" i="6"/>
  <c r="J604" i="6" s="1"/>
  <c r="J1103" i="6"/>
  <c r="A203" i="15"/>
  <c r="J86" i="7"/>
  <c r="Q43" i="42"/>
  <c r="B43" i="42" s="1"/>
  <c r="I69" i="1"/>
  <c r="H287" i="3" s="1"/>
  <c r="H297" i="3" s="1"/>
  <c r="H138" i="7"/>
  <c r="I138" i="7" s="1"/>
  <c r="K235" i="8"/>
  <c r="F781" i="34"/>
  <c r="J1293" i="6"/>
  <c r="K1293" i="6" s="1"/>
  <c r="H762" i="34"/>
  <c r="K733" i="7"/>
  <c r="H62" i="5"/>
  <c r="I62" i="5" s="1"/>
  <c r="J307" i="8"/>
  <c r="K307" i="8" s="1"/>
  <c r="C682" i="34"/>
  <c r="I30" i="1"/>
  <c r="H627" i="6"/>
  <c r="I627" i="6" s="1"/>
  <c r="J905" i="7"/>
  <c r="J1653" i="6"/>
  <c r="J521" i="6" s="1"/>
  <c r="AJ203" i="9"/>
  <c r="L241" i="10" s="1"/>
  <c r="J1651" i="6" s="1"/>
  <c r="J519" i="6" s="1"/>
  <c r="L8" i="1"/>
  <c r="K900" i="6"/>
  <c r="K902" i="6"/>
  <c r="J147" i="6"/>
  <c r="K899" i="6"/>
  <c r="I161" i="45"/>
  <c r="H211" i="6"/>
  <c r="I211" i="6" s="1"/>
  <c r="J888" i="6"/>
  <c r="K888" i="6" s="1"/>
  <c r="H153" i="6"/>
  <c r="I153" i="6" s="1"/>
  <c r="H130" i="6"/>
  <c r="I130" i="6" s="1"/>
  <c r="H64" i="9"/>
  <c r="H151" i="9"/>
  <c r="I151" i="9" s="1"/>
  <c r="H30" i="9"/>
  <c r="J716" i="7" s="1"/>
  <c r="J878" i="6"/>
  <c r="H7" i="9"/>
  <c r="J1165" i="6"/>
  <c r="K1165" i="6" s="1"/>
  <c r="J920" i="6"/>
  <c r="K920" i="6" s="1"/>
  <c r="H154" i="6"/>
  <c r="I154" i="6" s="1"/>
  <c r="J1942" i="6"/>
  <c r="K1742" i="6"/>
  <c r="B44" i="17"/>
  <c r="B81" i="3" s="1"/>
  <c r="C127" i="14"/>
  <c r="C19" i="14" s="1"/>
  <c r="J775" i="6"/>
  <c r="K775" i="6" s="1"/>
  <c r="K91" i="6" s="1"/>
  <c r="H1403" i="6"/>
  <c r="I1403" i="6" s="1"/>
  <c r="K79" i="6"/>
  <c r="H207" i="6"/>
  <c r="I207" i="6" s="1"/>
  <c r="H941" i="6"/>
  <c r="I941" i="6" s="1"/>
  <c r="H970" i="6"/>
  <c r="I970" i="6" s="1"/>
  <c r="J828" i="6"/>
  <c r="K828" i="6" s="1"/>
  <c r="H201" i="6"/>
  <c r="I201" i="6" s="1"/>
  <c r="H86" i="6"/>
  <c r="I86" i="6" s="1"/>
  <c r="J992" i="6"/>
  <c r="K992" i="6" s="1"/>
  <c r="J789" i="6"/>
  <c r="J132" i="6"/>
  <c r="J7" i="6" s="1"/>
  <c r="H205" i="6"/>
  <c r="I205" i="6" s="1"/>
  <c r="J774" i="6"/>
  <c r="H138" i="6"/>
  <c r="I138" i="6" s="1"/>
  <c r="H410" i="6"/>
  <c r="I410" i="6" s="1"/>
  <c r="J983" i="6"/>
  <c r="K983" i="6" s="1"/>
  <c r="H204" i="6"/>
  <c r="I204" i="6" s="1"/>
  <c r="J984" i="6"/>
  <c r="K984" i="6" s="1"/>
  <c r="I9" i="11"/>
  <c r="H78" i="4"/>
  <c r="I78" i="4" s="1"/>
  <c r="J839" i="6"/>
  <c r="K839" i="6" s="1"/>
  <c r="L839" i="6" s="1"/>
  <c r="M839" i="6" s="1"/>
  <c r="N839" i="6" s="1"/>
  <c r="O839" i="6" s="1"/>
  <c r="P839" i="6" s="1"/>
  <c r="K430" i="6"/>
  <c r="J430" i="6"/>
  <c r="V42" i="42"/>
  <c r="H210" i="15"/>
  <c r="G125" i="13"/>
  <c r="J818" i="7"/>
  <c r="J304" i="7" s="1"/>
  <c r="H262" i="6"/>
  <c r="I262" i="6" s="1"/>
  <c r="J1484" i="6"/>
  <c r="K1484" i="6" s="1"/>
  <c r="H95" i="6"/>
  <c r="I95" i="6" s="1"/>
  <c r="H99" i="6"/>
  <c r="I99" i="6" s="1"/>
  <c r="J1283" i="6"/>
  <c r="K1283" i="6" s="1"/>
  <c r="H1299" i="6"/>
  <c r="I1299" i="6" s="1"/>
  <c r="J719" i="6"/>
  <c r="J220" i="4"/>
  <c r="K751" i="4"/>
  <c r="J756" i="4"/>
  <c r="J669" i="4"/>
  <c r="H672" i="4"/>
  <c r="I672" i="4" s="1"/>
  <c r="G760" i="34"/>
  <c r="K724" i="4"/>
  <c r="J732" i="4"/>
  <c r="K742" i="4"/>
  <c r="K727" i="4"/>
  <c r="K733" i="4"/>
  <c r="K754" i="4"/>
  <c r="H728" i="4"/>
  <c r="I728" i="4" s="1"/>
  <c r="K736" i="4"/>
  <c r="J741" i="4"/>
  <c r="K748" i="4"/>
  <c r="K757" i="4"/>
  <c r="J670" i="4"/>
  <c r="J1128" i="6"/>
  <c r="H824" i="6"/>
  <c r="I824" i="6" s="1"/>
  <c r="C256" i="48"/>
  <c r="H28" i="12"/>
  <c r="J419" i="4" s="1"/>
  <c r="J92" i="4" s="1"/>
  <c r="B44" i="42"/>
  <c r="J553" i="4"/>
  <c r="H159" i="6"/>
  <c r="I159" i="6" s="1"/>
  <c r="AE55" i="9"/>
  <c r="H1009" i="7"/>
  <c r="I1009" i="7" s="1"/>
  <c r="H278" i="4"/>
  <c r="I278" i="4" s="1"/>
  <c r="H426" i="6"/>
  <c r="I426" i="6" s="1"/>
  <c r="K467" i="7"/>
  <c r="K77" i="7" s="1"/>
  <c r="H77" i="7"/>
  <c r="I77" i="7" s="1"/>
  <c r="J94" i="6"/>
  <c r="K763" i="6"/>
  <c r="K8" i="27"/>
  <c r="C30" i="19"/>
  <c r="C29" i="19"/>
  <c r="C72" i="20"/>
  <c r="K15" i="1"/>
  <c r="C82" i="19" s="1"/>
  <c r="K25" i="27"/>
  <c r="J359" i="8"/>
  <c r="J370" i="8" s="1"/>
  <c r="J108" i="8" s="1"/>
  <c r="J174" i="8"/>
  <c r="J182" i="8" s="1"/>
  <c r="J46" i="8" s="1"/>
  <c r="K253" i="10"/>
  <c r="H105" i="4"/>
  <c r="K238" i="5"/>
  <c r="K386" i="8"/>
  <c r="K49" i="27"/>
  <c r="J54" i="27"/>
  <c r="H87" i="16"/>
  <c r="K44" i="27"/>
  <c r="K438" i="5"/>
  <c r="K365" i="5"/>
  <c r="K309" i="8"/>
  <c r="K245" i="8"/>
  <c r="K435" i="8"/>
  <c r="K369" i="5"/>
  <c r="K194" i="6"/>
  <c r="K374" i="5"/>
  <c r="K1305" i="6"/>
  <c r="K278" i="8"/>
  <c r="K244" i="8"/>
  <c r="K345" i="5"/>
  <c r="B29" i="19"/>
  <c r="B77" i="19"/>
  <c r="H161" i="6"/>
  <c r="I161" i="6" s="1"/>
  <c r="H291" i="4"/>
  <c r="I291" i="4" s="1"/>
  <c r="J533" i="4"/>
  <c r="J559" i="4"/>
  <c r="H160" i="6"/>
  <c r="I160" i="6" s="1"/>
  <c r="J235" i="5"/>
  <c r="K235" i="5" s="1"/>
  <c r="H53" i="5"/>
  <c r="I53" i="5" s="1"/>
  <c r="J1363" i="6"/>
  <c r="J434" i="6" s="1"/>
  <c r="H434" i="6"/>
  <c r="I434" i="6" s="1"/>
  <c r="H388" i="7"/>
  <c r="I388" i="7" s="1"/>
  <c r="K847" i="7"/>
  <c r="K5" i="1"/>
  <c r="K18" i="27"/>
  <c r="AG64" i="21"/>
  <c r="K59" i="27"/>
  <c r="K30" i="27"/>
  <c r="L30" i="27" s="1"/>
  <c r="J562" i="7"/>
  <c r="K301" i="5"/>
  <c r="K189" i="8"/>
  <c r="K1342" i="6"/>
  <c r="L1342" i="6" s="1"/>
  <c r="K268" i="8"/>
  <c r="K234" i="8"/>
  <c r="K284" i="8"/>
  <c r="K290" i="5"/>
  <c r="K26" i="27"/>
  <c r="K283" i="8"/>
  <c r="K426" i="5"/>
  <c r="K252" i="5"/>
  <c r="K240" i="8"/>
  <c r="K248" i="8"/>
  <c r="B461" i="6"/>
  <c r="A71" i="3"/>
  <c r="I293" i="45"/>
  <c r="I31" i="45"/>
  <c r="J1180" i="6"/>
  <c r="J262" i="6"/>
  <c r="J311" i="8"/>
  <c r="I290" i="45"/>
  <c r="G29" i="45"/>
  <c r="J1254" i="6"/>
  <c r="K1254" i="6" s="1"/>
  <c r="I34" i="45"/>
  <c r="I33" i="45"/>
  <c r="H263" i="6"/>
  <c r="I263" i="6" s="1"/>
  <c r="K317" i="8"/>
  <c r="H289" i="4"/>
  <c r="I289" i="4" s="1"/>
  <c r="J860" i="6"/>
  <c r="H140" i="6"/>
  <c r="I140" i="6" s="1"/>
  <c r="J1729" i="6"/>
  <c r="K1729" i="6" s="1"/>
  <c r="K573" i="6" s="1"/>
  <c r="J762" i="6"/>
  <c r="AD3" i="22"/>
  <c r="AD92" i="22" s="1"/>
  <c r="AG3" i="21"/>
  <c r="AB3" i="22"/>
  <c r="AB92" i="22" s="1"/>
  <c r="AE3" i="21"/>
  <c r="AJ3" i="21"/>
  <c r="AG3" i="22"/>
  <c r="AG92" i="22" s="1"/>
  <c r="AG142" i="22" s="1"/>
  <c r="H62" i="12"/>
  <c r="AH139" i="9" s="1"/>
  <c r="P3" i="11"/>
  <c r="M85" i="11"/>
  <c r="H456" i="7"/>
  <c r="I456" i="7" s="1"/>
  <c r="AV44" i="42"/>
  <c r="H175" i="5"/>
  <c r="I175" i="5" s="1"/>
  <c r="I32" i="45"/>
  <c r="K520" i="7"/>
  <c r="K97" i="7" s="1"/>
  <c r="J312" i="8"/>
  <c r="K312" i="8" s="1"/>
  <c r="L312" i="8" s="1"/>
  <c r="J62" i="5"/>
  <c r="J186" i="8"/>
  <c r="I294" i="45"/>
  <c r="G95" i="13"/>
  <c r="H95" i="13" s="1"/>
  <c r="F97" i="13"/>
  <c r="J294" i="8"/>
  <c r="J62" i="8" s="1"/>
  <c r="J277" i="8"/>
  <c r="I291" i="45"/>
  <c r="J1922" i="6"/>
  <c r="J658" i="6" s="1"/>
  <c r="H583" i="6"/>
  <c r="I583" i="6" s="1"/>
  <c r="J31" i="45"/>
  <c r="J1739" i="6"/>
  <c r="K1739" i="6" s="1"/>
  <c r="H330" i="6"/>
  <c r="I330" i="6" s="1"/>
  <c r="J1133" i="6"/>
  <c r="H209" i="6"/>
  <c r="I209" i="6" s="1"/>
  <c r="J2028" i="6"/>
  <c r="K2028" i="6" s="1"/>
  <c r="J1108" i="6"/>
  <c r="J35" i="45" s="1"/>
  <c r="I35" i="45"/>
  <c r="J1364" i="6"/>
  <c r="K1364" i="6" s="1"/>
  <c r="J1188" i="6"/>
  <c r="K1188" i="6" s="1"/>
  <c r="J1287" i="6"/>
  <c r="K1287" i="6" s="1"/>
  <c r="H1227" i="6"/>
  <c r="I1227" i="6" s="1"/>
  <c r="J1242" i="6"/>
  <c r="K1242" i="6" s="1"/>
  <c r="H1643" i="6"/>
  <c r="I1643" i="6" s="1"/>
  <c r="H148" i="5"/>
  <c r="I148" i="5" s="1"/>
  <c r="J385" i="5"/>
  <c r="K385" i="5" s="1"/>
  <c r="L9" i="11"/>
  <c r="H261" i="7"/>
  <c r="I261" i="7" s="1"/>
  <c r="J230" i="7"/>
  <c r="C54" i="11"/>
  <c r="D54" i="11" s="1"/>
  <c r="E54" i="11" s="1"/>
  <c r="H284" i="7"/>
  <c r="I284" i="7" s="1"/>
  <c r="J796" i="7"/>
  <c r="K796" i="7" s="1"/>
  <c r="H229" i="7"/>
  <c r="I229" i="7" s="1"/>
  <c r="J798" i="7"/>
  <c r="K798" i="7" s="1"/>
  <c r="H286" i="7"/>
  <c r="I286" i="7" s="1"/>
  <c r="K466" i="7"/>
  <c r="B203" i="15"/>
  <c r="B148" i="15" s="1"/>
  <c r="F132" i="13"/>
  <c r="AF30" i="9"/>
  <c r="I16" i="17"/>
  <c r="H31" i="17"/>
  <c r="H31" i="16"/>
  <c r="I16" i="16"/>
  <c r="H136" i="5"/>
  <c r="I136" i="5" s="1"/>
  <c r="K364" i="5"/>
  <c r="L364" i="5" s="1"/>
  <c r="M364" i="5" s="1"/>
  <c r="K460" i="7"/>
  <c r="H210" i="6"/>
  <c r="I210" i="6" s="1"/>
  <c r="H108" i="4"/>
  <c r="H126" i="40"/>
  <c r="N98" i="10" s="1"/>
  <c r="BI42" i="9"/>
  <c r="BJ42" i="9" s="1"/>
  <c r="AY40" i="9"/>
  <c r="AZ40" i="9" s="1"/>
  <c r="AT41" i="9"/>
  <c r="AU41" i="9" s="1"/>
  <c r="L85" i="11"/>
  <c r="M538" i="7"/>
  <c r="M115" i="7" s="1"/>
  <c r="C91" i="4"/>
  <c r="H35" i="19"/>
  <c r="G35" i="19"/>
  <c r="J838" i="6"/>
  <c r="K838" i="6" s="1"/>
  <c r="L838" i="6" s="1"/>
  <c r="M838" i="6" s="1"/>
  <c r="AE88" i="9"/>
  <c r="AE174" i="9" s="1"/>
  <c r="B202" i="15"/>
  <c r="G74" i="14"/>
  <c r="B143" i="13"/>
  <c r="C26" i="34"/>
  <c r="C411" i="34" s="1"/>
  <c r="C414" i="34" s="1"/>
  <c r="C68" i="34"/>
  <c r="A44" i="17"/>
  <c r="A81" i="3" s="1"/>
  <c r="A82" i="3" s="1"/>
  <c r="J299" i="45"/>
  <c r="B67" i="20"/>
  <c r="T34" i="20"/>
  <c r="B77" i="11"/>
  <c r="I294" i="3"/>
  <c r="J25" i="12"/>
  <c r="K41" i="55" s="1"/>
  <c r="K107" i="4"/>
  <c r="K160" i="4" s="1"/>
  <c r="L498" i="8"/>
  <c r="L496" i="8"/>
  <c r="K130" i="8"/>
  <c r="L517" i="4"/>
  <c r="L519" i="4"/>
  <c r="L511" i="4"/>
  <c r="P60" i="10"/>
  <c r="O39" i="11" s="1"/>
  <c r="K713" i="7"/>
  <c r="K246" i="7" s="1"/>
  <c r="R43" i="42"/>
  <c r="K128" i="8"/>
  <c r="J422" i="45"/>
  <c r="J428" i="45"/>
  <c r="AL41" i="42"/>
  <c r="H43" i="8"/>
  <c r="I43" i="8" s="1"/>
  <c r="A111" i="17"/>
  <c r="B77" i="3"/>
  <c r="B78" i="3" s="1"/>
  <c r="A77" i="3"/>
  <c r="A78" i="3" s="1"/>
  <c r="A63" i="3"/>
  <c r="B119" i="13"/>
  <c r="BA41" i="42"/>
  <c r="K60" i="20"/>
  <c r="L60" i="20" s="1"/>
  <c r="M60" i="20" s="1"/>
  <c r="P52" i="1"/>
  <c r="L318" i="8"/>
  <c r="K131" i="1"/>
  <c r="K416" i="6"/>
  <c r="J114" i="34"/>
  <c r="L295" i="8"/>
  <c r="J48" i="8"/>
  <c r="J530" i="8"/>
  <c r="H27" i="17"/>
  <c r="H12" i="17" s="1"/>
  <c r="H296" i="15" s="1"/>
  <c r="H318" i="15" s="1"/>
  <c r="H44" i="8"/>
  <c r="J18" i="16"/>
  <c r="K18" i="16" s="1"/>
  <c r="H419" i="4"/>
  <c r="H92" i="4" s="1"/>
  <c r="I770" i="34"/>
  <c r="J24" i="12"/>
  <c r="J62" i="12" s="1"/>
  <c r="J139" i="9" s="1"/>
  <c r="J23" i="12"/>
  <c r="K297" i="8"/>
  <c r="D744" i="34"/>
  <c r="C744" i="34"/>
  <c r="AD3" i="21"/>
  <c r="AA3" i="22"/>
  <c r="W92" i="22"/>
  <c r="W142" i="22"/>
  <c r="K417" i="7"/>
  <c r="K423" i="7" s="1"/>
  <c r="I66" i="1"/>
  <c r="H75" i="1"/>
  <c r="AH104" i="22"/>
  <c r="AG68" i="21"/>
  <c r="CJ68" i="21"/>
  <c r="I705" i="34"/>
  <c r="J705" i="34" s="1"/>
  <c r="G748" i="34"/>
  <c r="B116" i="15"/>
  <c r="D161" i="42"/>
  <c r="H107" i="8"/>
  <c r="I107" i="8" s="1"/>
  <c r="AY7" i="42"/>
  <c r="A198" i="15"/>
  <c r="C784" i="34" s="1"/>
  <c r="A142" i="13"/>
  <c r="H87" i="6"/>
  <c r="I87" i="6" s="1"/>
  <c r="K1110" i="7"/>
  <c r="J1110" i="7"/>
  <c r="H697" i="6"/>
  <c r="I697" i="6" s="1"/>
  <c r="H130" i="7"/>
  <c r="I130" i="7" s="1"/>
  <c r="AZ22" i="42"/>
  <c r="K523" i="8"/>
  <c r="BA22" i="42" s="1"/>
  <c r="J142" i="8"/>
  <c r="J149" i="8" s="1"/>
  <c r="AZ34" i="42" s="1"/>
  <c r="H121" i="16"/>
  <c r="I762" i="34"/>
  <c r="AV42" i="42"/>
  <c r="C42" i="42" s="1"/>
  <c r="AU49" i="42"/>
  <c r="H252" i="15"/>
  <c r="F559" i="34"/>
  <c r="F694" i="34" s="1"/>
  <c r="C45" i="16"/>
  <c r="I32" i="1"/>
  <c r="I33" i="1"/>
  <c r="I49" i="34"/>
  <c r="I131" i="34"/>
  <c r="J131" i="34" s="1"/>
  <c r="J53" i="1"/>
  <c r="I56" i="34"/>
  <c r="I65" i="34"/>
  <c r="J65" i="34" s="1"/>
  <c r="H23" i="34"/>
  <c r="J106" i="34"/>
  <c r="I48" i="34"/>
  <c r="I427" i="34"/>
  <c r="I58" i="34"/>
  <c r="I50" i="34"/>
  <c r="J632" i="34"/>
  <c r="I55" i="34"/>
  <c r="J638" i="34"/>
  <c r="AO203" i="9"/>
  <c r="G429" i="34"/>
  <c r="I67" i="34"/>
  <c r="J67" i="34" s="1"/>
  <c r="H60" i="14"/>
  <c r="H63" i="14"/>
  <c r="J148" i="8"/>
  <c r="A148" i="15"/>
  <c r="G57" i="13"/>
  <c r="H199" i="15" s="1"/>
  <c r="J69" i="1"/>
  <c r="I287" i="3" s="1"/>
  <c r="I297" i="3" s="1"/>
  <c r="J627" i="6"/>
  <c r="J30" i="1"/>
  <c r="M8" i="1"/>
  <c r="L284" i="8"/>
  <c r="L59" i="27"/>
  <c r="J840" i="6"/>
  <c r="K840" i="6" s="1"/>
  <c r="H139" i="6"/>
  <c r="I139" i="6" s="1"/>
  <c r="I82" i="9"/>
  <c r="K878" i="6" s="1"/>
  <c r="I193" i="9"/>
  <c r="K1583" i="6" s="1"/>
  <c r="J2046" i="6"/>
  <c r="I64" i="9"/>
  <c r="K1119" i="7" s="1"/>
  <c r="K434" i="7" s="1"/>
  <c r="AJ62" i="9"/>
  <c r="AK62" i="9" s="1"/>
  <c r="J79" i="6"/>
  <c r="K132" i="6"/>
  <c r="K7" i="6" s="1"/>
  <c r="H89" i="6"/>
  <c r="I89" i="6" s="1"/>
  <c r="I131" i="40"/>
  <c r="Q99" i="10" s="1"/>
  <c r="J129" i="40"/>
  <c r="J131" i="40" s="1"/>
  <c r="T99" i="10" s="1"/>
  <c r="L34" i="11"/>
  <c r="O86" i="37"/>
  <c r="L719" i="6"/>
  <c r="K722" i="4"/>
  <c r="L722" i="4" s="1"/>
  <c r="K726" i="4"/>
  <c r="L726" i="4" s="1"/>
  <c r="H124" i="4"/>
  <c r="I124" i="4" s="1"/>
  <c r="I29" i="45"/>
  <c r="L45" i="27"/>
  <c r="L993" i="6"/>
  <c r="L33" i="27"/>
  <c r="L28" i="27"/>
  <c r="L285" i="5"/>
  <c r="L39" i="27"/>
  <c r="L278" i="8"/>
  <c r="L49" i="27"/>
  <c r="K54" i="27"/>
  <c r="L16" i="27"/>
  <c r="L42" i="27"/>
  <c r="L31" i="27"/>
  <c r="L25" i="27"/>
  <c r="L15" i="1"/>
  <c r="C87" i="19" s="1"/>
  <c r="C77" i="20"/>
  <c r="L8" i="27"/>
  <c r="L79" i="6"/>
  <c r="K108" i="37"/>
  <c r="K110" i="37" s="1"/>
  <c r="K4" i="37"/>
  <c r="AK64" i="21"/>
  <c r="J388" i="7"/>
  <c r="L17" i="27"/>
  <c r="L40" i="27"/>
  <c r="L843" i="6"/>
  <c r="L27" i="27"/>
  <c r="L791" i="4"/>
  <c r="B30" i="19"/>
  <c r="B82" i="19"/>
  <c r="L29" i="27"/>
  <c r="J71" i="34"/>
  <c r="L1065" i="7"/>
  <c r="L244" i="8"/>
  <c r="L194" i="6"/>
  <c r="L435" i="8"/>
  <c r="L44" i="27"/>
  <c r="J1583" i="6"/>
  <c r="AK193" i="9"/>
  <c r="L13" i="27"/>
  <c r="K174" i="8"/>
  <c r="K359" i="8"/>
  <c r="K370" i="8" s="1"/>
  <c r="K108" i="8" s="1"/>
  <c r="J784" i="6"/>
  <c r="L38" i="27"/>
  <c r="L185" i="8"/>
  <c r="J293" i="45"/>
  <c r="B91" i="4"/>
  <c r="AF3" i="22"/>
  <c r="AF92" i="22" s="1"/>
  <c r="AF142" i="22" s="1"/>
  <c r="H67" i="17" s="1"/>
  <c r="AI3" i="21"/>
  <c r="AH3" i="22"/>
  <c r="AH92" i="22" s="1"/>
  <c r="AK3" i="21"/>
  <c r="AN3" i="21"/>
  <c r="AK3" i="22"/>
  <c r="AK92" i="22"/>
  <c r="AK142" i="22" s="1"/>
  <c r="I36" i="17" s="1"/>
  <c r="I305" i="15" s="1"/>
  <c r="I309" i="15" s="1"/>
  <c r="I28" i="12"/>
  <c r="H57" i="13" s="1"/>
  <c r="P85" i="11"/>
  <c r="S3" i="11"/>
  <c r="S85" i="11" s="1"/>
  <c r="F72" i="13"/>
  <c r="F55" i="13"/>
  <c r="K186" i="8"/>
  <c r="L186" i="8" s="1"/>
  <c r="K294" i="8"/>
  <c r="O9" i="11"/>
  <c r="C43" i="42"/>
  <c r="C44" i="42"/>
  <c r="J16" i="17"/>
  <c r="I31" i="17"/>
  <c r="I31" i="16"/>
  <c r="J16" i="16"/>
  <c r="H407" i="7"/>
  <c r="I407" i="7" s="1"/>
  <c r="H405" i="7"/>
  <c r="I405" i="7" s="1"/>
  <c r="J210" i="6"/>
  <c r="I126" i="40"/>
  <c r="Q98" i="10" s="1"/>
  <c r="J125" i="40"/>
  <c r="J126" i="40" s="1"/>
  <c r="BI40" i="9"/>
  <c r="BJ40" i="9" s="1"/>
  <c r="BD40" i="9"/>
  <c r="BE40" i="9" s="1"/>
  <c r="AY41" i="9"/>
  <c r="AZ41" i="9" s="1"/>
  <c r="AF44" i="10"/>
  <c r="AI44" i="10" s="1"/>
  <c r="B368" i="7"/>
  <c r="I35" i="19"/>
  <c r="D142" i="34"/>
  <c r="A206" i="15"/>
  <c r="A151" i="15" s="1"/>
  <c r="C426" i="34"/>
  <c r="J346" i="8"/>
  <c r="J95" i="8" s="1"/>
  <c r="K299" i="45"/>
  <c r="S60" i="10"/>
  <c r="R39" i="11" s="1"/>
  <c r="L713" i="7"/>
  <c r="L246" i="7" s="1"/>
  <c r="A147" i="3"/>
  <c r="B63" i="3"/>
  <c r="L416" i="6"/>
  <c r="B142" i="13"/>
  <c r="B198" i="15"/>
  <c r="K530" i="8"/>
  <c r="I27" i="17"/>
  <c r="I12" i="17" s="1"/>
  <c r="I296" i="15" s="1"/>
  <c r="I318" i="15" s="1"/>
  <c r="J770" i="34"/>
  <c r="AA92" i="22"/>
  <c r="AA142" i="22" s="1"/>
  <c r="AE3" i="22"/>
  <c r="AE92" i="22" s="1"/>
  <c r="AE142" i="22" s="1"/>
  <c r="I146" i="22" s="1"/>
  <c r="I153" i="22" s="1"/>
  <c r="AH3" i="21"/>
  <c r="K60" i="14"/>
  <c r="L60" i="14"/>
  <c r="I60" i="14"/>
  <c r="J66" i="1"/>
  <c r="K66" i="1" s="1"/>
  <c r="L66" i="1" s="1"/>
  <c r="K428" i="45"/>
  <c r="AK68" i="21"/>
  <c r="CK68" i="21"/>
  <c r="AL104" i="22"/>
  <c r="D156" i="34"/>
  <c r="A116" i="15"/>
  <c r="C116" i="15"/>
  <c r="L316" i="8"/>
  <c r="P538" i="7"/>
  <c r="P115" i="7" s="1"/>
  <c r="D1516" i="6"/>
  <c r="C155" i="15"/>
  <c r="L523" i="8"/>
  <c r="L142" i="8" s="1"/>
  <c r="L149" i="8" s="1"/>
  <c r="BB34" i="42" s="1"/>
  <c r="K142" i="8"/>
  <c r="K149" i="8" s="1"/>
  <c r="BA34" i="42" s="1"/>
  <c r="I121" i="16"/>
  <c r="AW42" i="42"/>
  <c r="I252" i="15"/>
  <c r="K1653" i="6"/>
  <c r="K521" i="6" s="1"/>
  <c r="J50" i="34"/>
  <c r="J48" i="34"/>
  <c r="J49" i="34"/>
  <c r="J32" i="1"/>
  <c r="J33" i="1" s="1"/>
  <c r="J58" i="34"/>
  <c r="J56" i="34"/>
  <c r="J55" i="34"/>
  <c r="I23" i="34"/>
  <c r="K53" i="1"/>
  <c r="L53" i="1" s="1"/>
  <c r="L2" i="37"/>
  <c r="AT3" i="37"/>
  <c r="AT13" i="37"/>
  <c r="AT62" i="37"/>
  <c r="H429" i="34"/>
  <c r="I429" i="34" s="1"/>
  <c r="J60" i="14"/>
  <c r="J63" i="14"/>
  <c r="D1103" i="7" s="1"/>
  <c r="M597" i="6"/>
  <c r="M604" i="6" s="1"/>
  <c r="L597" i="6"/>
  <c r="L604" i="6" s="1"/>
  <c r="K69" i="1"/>
  <c r="J287" i="3" s="1"/>
  <c r="J297" i="3" s="1"/>
  <c r="J762" i="34"/>
  <c r="K627" i="6"/>
  <c r="K30" i="1"/>
  <c r="N8" i="1"/>
  <c r="AO217" i="9"/>
  <c r="AP217" i="9" s="1"/>
  <c r="K2046" i="6"/>
  <c r="H46" i="58" s="1"/>
  <c r="H44" i="58" s="1"/>
  <c r="K719" i="6"/>
  <c r="L132" i="6"/>
  <c r="L7" i="6" s="1"/>
  <c r="M194" i="6"/>
  <c r="M79" i="6"/>
  <c r="C31" i="19"/>
  <c r="L54" i="27"/>
  <c r="B31" i="19"/>
  <c r="B87" i="19"/>
  <c r="O34" i="11"/>
  <c r="AO64" i="21"/>
  <c r="L108" i="37"/>
  <c r="L110" i="37" s="1"/>
  <c r="L4" i="37"/>
  <c r="K293" i="45"/>
  <c r="AL3" i="22"/>
  <c r="AL92" i="22" s="1"/>
  <c r="AO3" i="21"/>
  <c r="AM3" i="21"/>
  <c r="AN3" i="22" s="1"/>
  <c r="AN92" i="22" s="1"/>
  <c r="AN142" i="22" s="1"/>
  <c r="K147" i="22" s="1"/>
  <c r="AJ3" i="22"/>
  <c r="AJ92" i="22" s="1"/>
  <c r="AO3" i="22"/>
  <c r="AO92" i="22" s="1"/>
  <c r="AO142" i="22" s="1"/>
  <c r="J36" i="17" s="1"/>
  <c r="AR3" i="21"/>
  <c r="AV3" i="21" s="1"/>
  <c r="V3" i="11"/>
  <c r="Y3" i="11" s="1"/>
  <c r="R9" i="11"/>
  <c r="AU118" i="9"/>
  <c r="K16" i="17"/>
  <c r="J31" i="17"/>
  <c r="J31" i="16"/>
  <c r="K16" i="16"/>
  <c r="K210" i="6"/>
  <c r="BD41" i="9"/>
  <c r="BE41" i="9" s="1"/>
  <c r="O538" i="7"/>
  <c r="O115" i="7" s="1"/>
  <c r="J35" i="19"/>
  <c r="B612" i="6"/>
  <c r="C430" i="34"/>
  <c r="L299" i="45"/>
  <c r="L304" i="45" s="1"/>
  <c r="B685" i="6"/>
  <c r="B518" i="6"/>
  <c r="B37" i="20"/>
  <c r="N144" i="5"/>
  <c r="V60" i="10"/>
  <c r="U39" i="11" s="1"/>
  <c r="M713" i="7"/>
  <c r="M246" i="7" s="1"/>
  <c r="B147" i="3"/>
  <c r="K63" i="14"/>
  <c r="I63" i="14"/>
  <c r="D1115" i="7" s="1"/>
  <c r="D430" i="7" s="1"/>
  <c r="L63" i="14"/>
  <c r="P40" i="37"/>
  <c r="I66" i="14"/>
  <c r="C155" i="3" s="1"/>
  <c r="M416" i="6"/>
  <c r="D784" i="34"/>
  <c r="F289" i="34"/>
  <c r="F352" i="34" s="1"/>
  <c r="F554" i="34"/>
  <c r="F378" i="34"/>
  <c r="F496" i="34" s="1"/>
  <c r="K770" i="34"/>
  <c r="AI3" i="22"/>
  <c r="AI92" i="22" s="1"/>
  <c r="AI142" i="22" s="1"/>
  <c r="J146" i="22" s="1"/>
  <c r="J153" i="22" s="1"/>
  <c r="AL3" i="21"/>
  <c r="AP3" i="21" s="1"/>
  <c r="O8" i="1"/>
  <c r="AP104" i="22"/>
  <c r="AO68" i="21"/>
  <c r="L428" i="45"/>
  <c r="E156" i="34"/>
  <c r="P1653" i="6"/>
  <c r="P521" i="6" s="1"/>
  <c r="BN203" i="9"/>
  <c r="BO203" i="9" s="1"/>
  <c r="AZ42" i="42"/>
  <c r="G42" i="42" s="1"/>
  <c r="F155" i="15"/>
  <c r="G155" i="15" s="1"/>
  <c r="E42" i="42"/>
  <c r="B111" i="17"/>
  <c r="C45" i="17"/>
  <c r="AV49" i="42"/>
  <c r="K32" i="1"/>
  <c r="K33" i="1"/>
  <c r="M2" i="37"/>
  <c r="M108" i="37" s="1"/>
  <c r="M110" i="37" s="1"/>
  <c r="AU62" i="37"/>
  <c r="AU3" i="37"/>
  <c r="AU13" i="37"/>
  <c r="E142" i="34"/>
  <c r="H66" i="14"/>
  <c r="B159" i="3" s="1"/>
  <c r="C414" i="7"/>
  <c r="K762" i="34"/>
  <c r="L30" i="1"/>
  <c r="M30" i="1" s="1"/>
  <c r="M719" i="6"/>
  <c r="AT203" i="9"/>
  <c r="L1653" i="6"/>
  <c r="L521" i="6" s="1"/>
  <c r="L2046" i="6"/>
  <c r="AT217" i="9"/>
  <c r="AU217" i="9" s="1"/>
  <c r="M132" i="6"/>
  <c r="M7" i="6" s="1"/>
  <c r="B686" i="6"/>
  <c r="N597" i="6"/>
  <c r="N604" i="6" s="1"/>
  <c r="R34" i="11"/>
  <c r="N194" i="6"/>
  <c r="AS64" i="21"/>
  <c r="B32" i="19"/>
  <c r="B92" i="19"/>
  <c r="L293" i="45"/>
  <c r="AQ3" i="21"/>
  <c r="AU3" i="21" s="1"/>
  <c r="AP3" i="22"/>
  <c r="AP92" i="22" s="1"/>
  <c r="AS3" i="21"/>
  <c r="AW3" i="21" s="1"/>
  <c r="U9" i="11"/>
  <c r="K31" i="17"/>
  <c r="L16" i="17"/>
  <c r="K31" i="16"/>
  <c r="L16" i="16"/>
  <c r="L210" i="6"/>
  <c r="BI41" i="9"/>
  <c r="BJ41" i="9" s="1"/>
  <c r="B369" i="7"/>
  <c r="K35" i="19"/>
  <c r="C75" i="8"/>
  <c r="B169" i="3" s="1"/>
  <c r="B741" i="6"/>
  <c r="M299" i="45"/>
  <c r="B38" i="20"/>
  <c r="Y60" i="10"/>
  <c r="X39" i="11" s="1"/>
  <c r="N713" i="7"/>
  <c r="N246" i="7" s="1"/>
  <c r="R257" i="10"/>
  <c r="L2044" i="6" s="1"/>
  <c r="L742" i="6" s="1"/>
  <c r="J66" i="14"/>
  <c r="C159" i="3" s="1"/>
  <c r="N416" i="6"/>
  <c r="M4" i="37"/>
  <c r="N2" i="37" s="1"/>
  <c r="L770" i="34"/>
  <c r="N60" i="14"/>
  <c r="N63" i="14" s="1"/>
  <c r="H1103" i="7" s="1"/>
  <c r="I1103" i="7" s="1"/>
  <c r="P60" i="14"/>
  <c r="M428" i="45"/>
  <c r="N300" i="45"/>
  <c r="AS68" i="21"/>
  <c r="CM68" i="21"/>
  <c r="AT104" i="22"/>
  <c r="L66" i="14"/>
  <c r="M52" i="12"/>
  <c r="J70" i="20"/>
  <c r="A107" i="3"/>
  <c r="AY42" i="42"/>
  <c r="F42" i="42" s="1"/>
  <c r="M53" i="1"/>
  <c r="L32" i="1"/>
  <c r="L33" i="1"/>
  <c r="AV62" i="37"/>
  <c r="AV3" i="37"/>
  <c r="L762" i="34"/>
  <c r="M627" i="6"/>
  <c r="N719" i="6"/>
  <c r="AY203" i="9"/>
  <c r="M1653" i="6"/>
  <c r="M521" i="6" s="1"/>
  <c r="M2046" i="6"/>
  <c r="J46" i="58" s="1"/>
  <c r="J44" i="58" s="1"/>
  <c r="AY217" i="9"/>
  <c r="U257" i="10" s="1"/>
  <c r="M2044" i="6" s="1"/>
  <c r="M742" i="6" s="1"/>
  <c r="B431" i="7"/>
  <c r="O79" i="6"/>
  <c r="N79" i="6"/>
  <c r="N132" i="6"/>
  <c r="N7" i="6" s="1"/>
  <c r="B33" i="19"/>
  <c r="B97" i="19"/>
  <c r="AW64" i="21"/>
  <c r="U34" i="11"/>
  <c r="N339" i="7"/>
  <c r="M293" i="45"/>
  <c r="AT3" i="22"/>
  <c r="AT92" i="22" s="1"/>
  <c r="X9" i="11"/>
  <c r="L31" i="17"/>
  <c r="M16" i="17"/>
  <c r="L31" i="16"/>
  <c r="M16" i="16"/>
  <c r="L35" i="19"/>
  <c r="N299" i="45"/>
  <c r="B39" i="20"/>
  <c r="K66" i="14"/>
  <c r="D155" i="3" s="1"/>
  <c r="O144" i="5"/>
  <c r="AV13" i="37"/>
  <c r="O713" i="7"/>
  <c r="O246" i="7" s="1"/>
  <c r="AB60" i="10"/>
  <c r="AA39" i="11" s="1"/>
  <c r="H1115" i="7"/>
  <c r="O416" i="6"/>
  <c r="M770" i="34"/>
  <c r="O60" i="14"/>
  <c r="M66" i="1"/>
  <c r="N66" i="1" s="1"/>
  <c r="O66" i="1" s="1"/>
  <c r="AW68" i="21"/>
  <c r="O300" i="45"/>
  <c r="N428" i="45"/>
  <c r="AX104" i="22"/>
  <c r="M31" i="17"/>
  <c r="N16" i="17"/>
  <c r="O16" i="17" s="1"/>
  <c r="M31" i="16"/>
  <c r="N16" i="16"/>
  <c r="O16" i="16" s="1"/>
  <c r="O31" i="16" s="1"/>
  <c r="O597" i="6"/>
  <c r="O604" i="6" s="1"/>
  <c r="P597" i="6"/>
  <c r="P604" i="6" s="1"/>
  <c r="O194" i="6"/>
  <c r="O719" i="6"/>
  <c r="T93" i="19"/>
  <c r="T95" i="19"/>
  <c r="A140" i="13"/>
  <c r="Q58" i="42"/>
  <c r="A224" i="15"/>
  <c r="M762" i="34"/>
  <c r="BA42" i="42"/>
  <c r="N53" i="1"/>
  <c r="O53" i="1" s="1"/>
  <c r="P53" i="1" s="1"/>
  <c r="Q53" i="1" s="1"/>
  <c r="J69" i="14"/>
  <c r="A55" i="3"/>
  <c r="N627" i="6"/>
  <c r="N1653" i="6"/>
  <c r="N521" i="6" s="1"/>
  <c r="BD203" i="9"/>
  <c r="X241" i="10" s="1"/>
  <c r="N1651" i="6" s="1"/>
  <c r="N519" i="6" s="1"/>
  <c r="BD217" i="9"/>
  <c r="N2046" i="6"/>
  <c r="O132" i="6"/>
  <c r="O7" i="6" s="1"/>
  <c r="X34" i="11"/>
  <c r="BA64" i="21"/>
  <c r="N293" i="45"/>
  <c r="AA9" i="11"/>
  <c r="A85" i="16"/>
  <c r="M35" i="19"/>
  <c r="H104" i="19"/>
  <c r="O299" i="45"/>
  <c r="P144" i="5"/>
  <c r="P713" i="7"/>
  <c r="P246" i="7" s="1"/>
  <c r="AE60" i="10"/>
  <c r="AD39" i="11" s="1"/>
  <c r="O762" i="34"/>
  <c r="A223" i="15"/>
  <c r="A168" i="15" s="1"/>
  <c r="A139" i="13"/>
  <c r="P719" i="6"/>
  <c r="P416" i="6"/>
  <c r="O770" i="34"/>
  <c r="N770" i="34"/>
  <c r="O428" i="45"/>
  <c r="BB104" i="22"/>
  <c r="R60" i="14"/>
  <c r="P627" i="6"/>
  <c r="BF104" i="22"/>
  <c r="BA68" i="21"/>
  <c r="BE64" i="21"/>
  <c r="N88" i="21"/>
  <c r="N31" i="17"/>
  <c r="N31" i="16"/>
  <c r="N762" i="34"/>
  <c r="P194" i="6"/>
  <c r="T89" i="19"/>
  <c r="BB42" i="42"/>
  <c r="B261" i="15"/>
  <c r="B114" i="16"/>
  <c r="B115" i="16" s="1"/>
  <c r="O627" i="6"/>
  <c r="Q59" i="42"/>
  <c r="BI203" i="9"/>
  <c r="AA241" i="10" s="1"/>
  <c r="O1651" i="6" s="1"/>
  <c r="O519" i="6" s="1"/>
  <c r="O1653" i="6"/>
  <c r="O521" i="6" s="1"/>
  <c r="BI217" i="9"/>
  <c r="BJ217" i="9" s="1"/>
  <c r="O2046" i="6"/>
  <c r="O744" i="6" s="1"/>
  <c r="D68" i="34"/>
  <c r="D426" i="34" s="1"/>
  <c r="D430" i="34" s="1"/>
  <c r="O293" i="45"/>
  <c r="B93" i="8"/>
  <c r="B92" i="8"/>
  <c r="J1063" i="6"/>
  <c r="H103" i="19"/>
  <c r="AH50" i="42"/>
  <c r="AG50" i="42"/>
  <c r="D492" i="34" s="1"/>
  <c r="P35" i="19"/>
  <c r="N35" i="19"/>
  <c r="R144" i="5"/>
  <c r="Q144" i="5"/>
  <c r="Q713" i="7"/>
  <c r="Q246" i="7" s="1"/>
  <c r="AH60" i="10"/>
  <c r="AG39" i="11" s="1"/>
  <c r="P293" i="45"/>
  <c r="BE68" i="21"/>
  <c r="AA34" i="11"/>
  <c r="T88" i="19"/>
  <c r="T90" i="19"/>
  <c r="BC42" i="42"/>
  <c r="D74" i="34"/>
  <c r="G25" i="9"/>
  <c r="J1078" i="6"/>
  <c r="J285" i="6" s="1"/>
  <c r="T35" i="19"/>
  <c r="O35" i="19"/>
  <c r="D75" i="8"/>
  <c r="H105" i="19"/>
  <c r="Q60" i="14"/>
  <c r="T60" i="14"/>
  <c r="BE42" i="42"/>
  <c r="T84" i="19"/>
  <c r="BD42" i="42"/>
  <c r="I104" i="19"/>
  <c r="F492" i="34"/>
  <c r="F550" i="34" s="1"/>
  <c r="E68" i="34"/>
  <c r="E426" i="34"/>
  <c r="E430" i="34" s="1"/>
  <c r="S60" i="14"/>
  <c r="T83" i="19"/>
  <c r="T85" i="19"/>
  <c r="T79" i="19"/>
  <c r="A174" i="15"/>
  <c r="C506" i="34"/>
  <c r="C494" i="34"/>
  <c r="E74" i="34"/>
  <c r="E75" i="34" s="1"/>
  <c r="I103" i="19"/>
  <c r="H75" i="8"/>
  <c r="I75" i="8" s="1"/>
  <c r="V60" i="14"/>
  <c r="T78" i="19"/>
  <c r="T80" i="19"/>
  <c r="E109" i="34"/>
  <c r="E444" i="34" s="1"/>
  <c r="E445" i="34" s="1"/>
  <c r="G114" i="16"/>
  <c r="I105" i="19"/>
  <c r="T74" i="19"/>
  <c r="F261" i="15"/>
  <c r="G261" i="15" s="1"/>
  <c r="F260" i="15"/>
  <c r="G260" i="15" s="1"/>
  <c r="E115" i="34"/>
  <c r="E30" i="34"/>
  <c r="G492" i="34"/>
  <c r="G550" i="34" s="1"/>
  <c r="J104" i="19"/>
  <c r="U60" i="14"/>
  <c r="T73" i="19"/>
  <c r="T75" i="19"/>
  <c r="J75" i="8"/>
  <c r="H169" i="3" s="1"/>
  <c r="H170" i="3" s="1"/>
  <c r="J103" i="19"/>
  <c r="W60" i="14"/>
  <c r="X60" i="14"/>
  <c r="T69" i="19"/>
  <c r="H114" i="16"/>
  <c r="J105" i="19"/>
  <c r="T59" i="19"/>
  <c r="T68" i="19"/>
  <c r="T70" i="19"/>
  <c r="T64" i="19"/>
  <c r="H261" i="15"/>
  <c r="G107" i="34" s="1"/>
  <c r="G109" i="34" s="1"/>
  <c r="H260" i="15"/>
  <c r="K104" i="19"/>
  <c r="T58" i="19"/>
  <c r="T60" i="19"/>
  <c r="T63" i="19"/>
  <c r="T65" i="19"/>
  <c r="K103" i="19"/>
  <c r="K75" i="8"/>
  <c r="I169" i="3" s="1"/>
  <c r="I170" i="3" s="1"/>
  <c r="I114" i="16"/>
  <c r="K105" i="19"/>
  <c r="AB60" i="14"/>
  <c r="I261" i="15"/>
  <c r="H107" i="34" s="1"/>
  <c r="I260" i="15"/>
  <c r="L104" i="19"/>
  <c r="L103" i="19"/>
  <c r="L75" i="8"/>
  <c r="AM19" i="42" s="1"/>
  <c r="L105" i="19"/>
  <c r="J261" i="15"/>
  <c r="I107" i="34" s="1"/>
  <c r="M104" i="19"/>
  <c r="M103" i="19"/>
  <c r="M75" i="8"/>
  <c r="AN19" i="42" s="1"/>
  <c r="K114" i="16"/>
  <c r="M105" i="19"/>
  <c r="K261" i="15"/>
  <c r="J107" i="34" s="1"/>
  <c r="K260" i="15"/>
  <c r="K492" i="34"/>
  <c r="K550" i="34" s="1"/>
  <c r="N104" i="19"/>
  <c r="N103" i="19"/>
  <c r="N75" i="8"/>
  <c r="L169" i="3" s="1"/>
  <c r="L170" i="3" s="1"/>
  <c r="N105" i="19"/>
  <c r="L114" i="16"/>
  <c r="L261" i="15"/>
  <c r="K107" i="34" s="1"/>
  <c r="L260" i="15"/>
  <c r="O104" i="19"/>
  <c r="O103" i="19"/>
  <c r="O105" i="19"/>
  <c r="O75" i="8"/>
  <c r="AP19" i="42" s="1"/>
  <c r="P104" i="19"/>
  <c r="M114" i="16"/>
  <c r="P103" i="19"/>
  <c r="P105" i="19"/>
  <c r="M261" i="15"/>
  <c r="L107" i="34" s="1"/>
  <c r="M260" i="15"/>
  <c r="D800" i="6"/>
  <c r="D93" i="6"/>
  <c r="H767" i="6"/>
  <c r="I767" i="6" s="1"/>
  <c r="D767" i="6"/>
  <c r="G11" i="26"/>
  <c r="G10" i="26"/>
  <c r="G12" i="26"/>
  <c r="H11" i="26"/>
  <c r="H10" i="26"/>
  <c r="H12" i="26"/>
  <c r="H72" i="26"/>
  <c r="I11" i="26"/>
  <c r="I6" i="26"/>
  <c r="I10" i="26"/>
  <c r="I72" i="26"/>
  <c r="I12" i="26"/>
  <c r="I7" i="26"/>
  <c r="J7" i="26"/>
  <c r="AF17" i="42"/>
  <c r="AH17" i="42"/>
  <c r="C157" i="42" s="1"/>
  <c r="AG17" i="42"/>
  <c r="B81" i="15" s="1"/>
  <c r="J12" i="26"/>
  <c r="AU17" i="42"/>
  <c r="A112" i="15" s="1"/>
  <c r="C81" i="15"/>
  <c r="AW17" i="42"/>
  <c r="D157" i="42" s="1"/>
  <c r="E761" i="34"/>
  <c r="D1670" i="6"/>
  <c r="D533" i="6"/>
  <c r="D1698" i="6"/>
  <c r="D542" i="6"/>
  <c r="C60" i="34"/>
  <c r="C18" i="34" s="1"/>
  <c r="C16" i="34"/>
  <c r="C123" i="48"/>
  <c r="C51" i="34"/>
  <c r="C61" i="34" s="1"/>
  <c r="C868" i="6"/>
  <c r="C871" i="6" s="1"/>
  <c r="C135" i="8"/>
  <c r="D8" i="48" s="1"/>
  <c r="J8" i="48" s="1"/>
  <c r="D12" i="48"/>
  <c r="J12" i="48" s="1"/>
  <c r="C1640" i="6"/>
  <c r="C497" i="6"/>
  <c r="D9" i="48"/>
  <c r="J9" i="48" s="1"/>
  <c r="C639" i="6"/>
  <c r="D13" i="48"/>
  <c r="J13" i="48" s="1"/>
  <c r="C51" i="27"/>
  <c r="C53" i="27" s="1"/>
  <c r="C55" i="27" s="1"/>
  <c r="C65" i="27" s="1"/>
  <c r="D289" i="42"/>
  <c r="D14" i="48"/>
  <c r="J14" i="48" s="1"/>
  <c r="D11" i="48"/>
  <c r="J11" i="48" s="1"/>
  <c r="C1765" i="6"/>
  <c r="C1767" i="6" s="1"/>
  <c r="C1771" i="6" s="1"/>
  <c r="C1781" i="6" s="1"/>
  <c r="C586" i="6"/>
  <c r="C352" i="7"/>
  <c r="D15" i="48"/>
  <c r="J15" i="48" s="1"/>
  <c r="D16" i="48"/>
  <c r="J16" i="48" s="1"/>
  <c r="C411" i="7"/>
  <c r="D10" i="48"/>
  <c r="J10" i="48" s="1"/>
  <c r="C2034" i="6"/>
  <c r="C711" i="6"/>
  <c r="C368" i="7"/>
  <c r="C72" i="8"/>
  <c r="C195" i="7"/>
  <c r="B138" i="3" s="1"/>
  <c r="C613" i="6"/>
  <c r="C648" i="7"/>
  <c r="C518" i="6"/>
  <c r="D326" i="7"/>
  <c r="C612" i="6"/>
  <c r="C741" i="6"/>
  <c r="C431" i="7"/>
  <c r="D1813" i="6"/>
  <c r="D632" i="6"/>
  <c r="D481" i="6"/>
  <c r="D649" i="34"/>
  <c r="D651" i="34" s="1"/>
  <c r="D266" i="34" s="1"/>
  <c r="D1606" i="6"/>
  <c r="B167" i="11"/>
  <c r="D389" i="7"/>
  <c r="D134" i="34"/>
  <c r="D451" i="34" s="1"/>
  <c r="D1996" i="6"/>
  <c r="D701" i="6"/>
  <c r="D643" i="34"/>
  <c r="D645" i="34" s="1"/>
  <c r="D264" i="34" s="1"/>
  <c r="E12" i="48"/>
  <c r="D497" i="6"/>
  <c r="E16" i="48"/>
  <c r="D411" i="7"/>
  <c r="E10" i="48"/>
  <c r="D711" i="6"/>
  <c r="D135" i="8"/>
  <c r="E13" i="48"/>
  <c r="D51" i="27"/>
  <c r="E9" i="48"/>
  <c r="D639" i="6"/>
  <c r="D93" i="34"/>
  <c r="D436" i="34" s="1"/>
  <c r="D110" i="8"/>
  <c r="E394" i="34"/>
  <c r="D72" i="8"/>
  <c r="E15" i="48"/>
  <c r="D352" i="7"/>
  <c r="D392" i="8"/>
  <c r="D195" i="7"/>
  <c r="D648" i="7"/>
  <c r="C92" i="8"/>
  <c r="C93" i="8"/>
  <c r="D47" i="8"/>
  <c r="D1116" i="7"/>
  <c r="D431" i="7" s="1"/>
  <c r="D1650" i="6"/>
  <c r="D518" i="6" s="1"/>
  <c r="D2043" i="6"/>
  <c r="C60" i="11"/>
  <c r="D60" i="11" s="1"/>
  <c r="E60" i="11" s="1"/>
  <c r="D201" i="8"/>
  <c r="AH11" i="42"/>
  <c r="C74" i="15" s="1"/>
  <c r="X100" i="10"/>
  <c r="E649" i="34"/>
  <c r="E651" i="34" s="1"/>
  <c r="E266" i="34" s="1"/>
  <c r="E134" i="34"/>
  <c r="E143" i="34" s="1"/>
  <c r="E93" i="34"/>
  <c r="E102" i="34" s="1"/>
  <c r="E643" i="34"/>
  <c r="E645" i="34" s="1"/>
  <c r="E264" i="34" s="1"/>
  <c r="H394" i="34"/>
  <c r="AZ11" i="42"/>
  <c r="H105" i="15" s="1"/>
  <c r="J389" i="7"/>
  <c r="K389" i="7"/>
  <c r="L389" i="7"/>
  <c r="M389" i="7"/>
  <c r="N389" i="7"/>
  <c r="O389" i="7"/>
  <c r="P389" i="7"/>
  <c r="Q389" i="7"/>
  <c r="F39" i="45"/>
  <c r="F45" i="45" s="1"/>
  <c r="B71" i="3"/>
  <c r="AT65" i="37"/>
  <c r="AT16" i="37" s="1"/>
  <c r="R49" i="42"/>
  <c r="C49" i="42" s="1"/>
  <c r="C289" i="6"/>
  <c r="B206" i="15"/>
  <c r="B151" i="15" s="1"/>
  <c r="B133" i="13"/>
  <c r="K37" i="37"/>
  <c r="K60" i="37" s="1"/>
  <c r="K112" i="37"/>
  <c r="K117" i="37" s="1"/>
  <c r="C287" i="6"/>
  <c r="C31" i="5"/>
  <c r="B103" i="13" s="1"/>
  <c r="D60" i="34"/>
  <c r="D18" i="34" s="1"/>
  <c r="D16" i="34"/>
  <c r="E16" i="34"/>
  <c r="E60" i="34"/>
  <c r="E18" i="34" s="1"/>
  <c r="D6" i="34"/>
  <c r="D631" i="34" s="1"/>
  <c r="D637" i="34"/>
  <c r="D639" i="34" s="1"/>
  <c r="D262" i="34" s="1"/>
  <c r="D51" i="34"/>
  <c r="D61" i="34" s="1"/>
  <c r="L25" i="26"/>
  <c r="L5" i="26" s="1"/>
  <c r="C176" i="6"/>
  <c r="C369" i="7"/>
  <c r="A148" i="3"/>
  <c r="B148" i="3"/>
  <c r="D325" i="7"/>
  <c r="B47" i="11"/>
  <c r="B62" i="11" s="1"/>
  <c r="E56" i="12"/>
  <c r="M25" i="37"/>
  <c r="AV86" i="37" s="1"/>
  <c r="AV37" i="37" s="1"/>
  <c r="F56" i="12"/>
  <c r="P25" i="37"/>
  <c r="I56" i="12"/>
  <c r="J56" i="12"/>
  <c r="AK122" i="9"/>
  <c r="CW122" i="9"/>
  <c r="AP122" i="9"/>
  <c r="B107" i="3"/>
  <c r="C686" i="6"/>
  <c r="R58" i="42"/>
  <c r="B140" i="13"/>
  <c r="B224" i="15"/>
  <c r="B230" i="15" s="1"/>
  <c r="C685" i="6"/>
  <c r="B55" i="3"/>
  <c r="B139" i="13"/>
  <c r="R59" i="42"/>
  <c r="B223" i="15"/>
  <c r="B229" i="15" s="1"/>
  <c r="B174" i="15" s="1"/>
  <c r="B161" i="11"/>
  <c r="E14" i="48"/>
  <c r="D349" i="7"/>
  <c r="D997" i="7"/>
  <c r="D1006" i="7"/>
  <c r="D1007" i="7"/>
  <c r="E11" i="48"/>
  <c r="D1765" i="6"/>
  <c r="D586" i="6"/>
  <c r="D1776" i="6"/>
  <c r="D612" i="6" s="1"/>
  <c r="E637" i="34"/>
  <c r="E639" i="34" s="1"/>
  <c r="E262" i="34" s="1"/>
  <c r="E6" i="34"/>
  <c r="E631" i="34" s="1"/>
  <c r="E51" i="34"/>
  <c r="E420" i="34" s="1"/>
  <c r="E61" i="34"/>
  <c r="P112" i="48"/>
  <c r="G275" i="48"/>
  <c r="G274" i="48"/>
  <c r="H632" i="6"/>
  <c r="I632" i="6" s="1"/>
  <c r="I278" i="48"/>
  <c r="U20" i="58"/>
  <c r="J632" i="6"/>
  <c r="K632" i="6"/>
  <c r="L632" i="6"/>
  <c r="M632" i="6"/>
  <c r="N632" i="6"/>
  <c r="O632" i="6"/>
  <c r="P632" i="6"/>
  <c r="C112" i="15" l="1"/>
  <c r="L216" i="8"/>
  <c r="L179" i="8"/>
  <c r="K350" i="5"/>
  <c r="K1054" i="6"/>
  <c r="L1054" i="6" s="1"/>
  <c r="K1057" i="6"/>
  <c r="L1057" i="6" s="1"/>
  <c r="K1045" i="6"/>
  <c r="L1045" i="6" s="1"/>
  <c r="K374" i="8"/>
  <c r="L374" i="8" s="1"/>
  <c r="K1041" i="6"/>
  <c r="L1041" i="6" s="1"/>
  <c r="K1044" i="6"/>
  <c r="L1044" i="6" s="1"/>
  <c r="K1040" i="6"/>
  <c r="L1040" i="6" s="1"/>
  <c r="K1055" i="6"/>
  <c r="L1055" i="6" s="1"/>
  <c r="K1050" i="6"/>
  <c r="L1050" i="6" s="1"/>
  <c r="K1059" i="6"/>
  <c r="L1059" i="6" s="1"/>
  <c r="K1043" i="6"/>
  <c r="L1043" i="6" s="1"/>
  <c r="K1049" i="6"/>
  <c r="L1049" i="6" s="1"/>
  <c r="K1039" i="6"/>
  <c r="L1039" i="6" s="1"/>
  <c r="K1048" i="6"/>
  <c r="L1048" i="6" s="1"/>
  <c r="K1060" i="6"/>
  <c r="L1060" i="6" s="1"/>
  <c r="K1061" i="6"/>
  <c r="L1061" i="6" s="1"/>
  <c r="K1047" i="6"/>
  <c r="L1047" i="6" s="1"/>
  <c r="K1042" i="6"/>
  <c r="L1042" i="6" s="1"/>
  <c r="K979" i="6"/>
  <c r="L234" i="8"/>
  <c r="L307" i="8"/>
  <c r="K1297" i="6"/>
  <c r="K912" i="6"/>
  <c r="K931" i="6"/>
  <c r="K188" i="8"/>
  <c r="K323" i="8"/>
  <c r="K322" i="8"/>
  <c r="K434" i="8"/>
  <c r="K281" i="8"/>
  <c r="L281" i="8" s="1"/>
  <c r="J130" i="1"/>
  <c r="K130" i="1" s="1"/>
  <c r="L240" i="8"/>
  <c r="L26" i="27"/>
  <c r="L309" i="8"/>
  <c r="L187" i="8"/>
  <c r="K761" i="6"/>
  <c r="L988" i="6"/>
  <c r="L896" i="6"/>
  <c r="L273" i="8"/>
  <c r="L473" i="8"/>
  <c r="L471" i="8"/>
  <c r="K382" i="8"/>
  <c r="K842" i="6"/>
  <c r="H408" i="34"/>
  <c r="I408" i="34" s="1"/>
  <c r="L263" i="8"/>
  <c r="M263" i="8" s="1"/>
  <c r="N263" i="8" s="1"/>
  <c r="N3" i="11"/>
  <c r="K85" i="11"/>
  <c r="R3" i="11"/>
  <c r="O85" i="11"/>
  <c r="AB3" i="11"/>
  <c r="Y85" i="11"/>
  <c r="V85" i="11"/>
  <c r="E85" i="11"/>
  <c r="G117" i="37"/>
  <c r="G63" i="12"/>
  <c r="C71" i="15"/>
  <c r="C150" i="42"/>
  <c r="AK12" i="42"/>
  <c r="K219" i="8"/>
  <c r="I88" i="16" s="1"/>
  <c r="K331" i="8"/>
  <c r="J337" i="8"/>
  <c r="J79" i="8"/>
  <c r="K257" i="8"/>
  <c r="K58" i="8" s="1"/>
  <c r="J63" i="8"/>
  <c r="AG19" i="42"/>
  <c r="D493" i="34" s="1"/>
  <c r="D551" i="34" s="1"/>
  <c r="A89" i="17"/>
  <c r="A34" i="17" s="1"/>
  <c r="AU45" i="42" s="1"/>
  <c r="AU47" i="42" s="1"/>
  <c r="J27" i="17"/>
  <c r="J12" i="17" s="1"/>
  <c r="J296" i="15" s="1"/>
  <c r="J318" i="15" s="1"/>
  <c r="BB22" i="42"/>
  <c r="L530" i="8"/>
  <c r="A50" i="8"/>
  <c r="A576" i="8" s="1"/>
  <c r="A7" i="8" s="1"/>
  <c r="B56" i="8"/>
  <c r="A379" i="6"/>
  <c r="A270" i="6"/>
  <c r="A277" i="6" s="1"/>
  <c r="K2092" i="6"/>
  <c r="K54" i="6" s="1"/>
  <c r="A1070" i="6"/>
  <c r="B431" i="6"/>
  <c r="C15" i="6"/>
  <c r="B704" i="6"/>
  <c r="B17" i="6" s="1"/>
  <c r="C1642" i="6"/>
  <c r="C1644" i="6" s="1"/>
  <c r="C1655" i="6" s="1"/>
  <c r="A1508" i="6"/>
  <c r="B1257" i="6"/>
  <c r="D435" i="6"/>
  <c r="E37" i="58"/>
  <c r="F23" i="58"/>
  <c r="B1572" i="6"/>
  <c r="B1574" i="6" s="1"/>
  <c r="B1585" i="6" s="1"/>
  <c r="C408" i="7"/>
  <c r="B342" i="7"/>
  <c r="B362" i="7" s="1"/>
  <c r="B40" i="7" s="1"/>
  <c r="A13" i="13" s="1"/>
  <c r="A49" i="13" s="1"/>
  <c r="AS44" i="10"/>
  <c r="AL44" i="10"/>
  <c r="D419" i="4"/>
  <c r="D92" i="4" s="1"/>
  <c r="C57" i="13"/>
  <c r="N193" i="3"/>
  <c r="K125" i="40"/>
  <c r="B145" i="40"/>
  <c r="D951" i="7" s="1"/>
  <c r="P193" i="3"/>
  <c r="I742" i="34"/>
  <c r="C29" i="3"/>
  <c r="AT50" i="42"/>
  <c r="I104" i="4"/>
  <c r="I108" i="4"/>
  <c r="C459" i="4"/>
  <c r="C109" i="4"/>
  <c r="B264" i="4"/>
  <c r="A265" i="4"/>
  <c r="C76" i="4"/>
  <c r="H76" i="4"/>
  <c r="A76" i="4"/>
  <c r="I217" i="4"/>
  <c r="H264" i="4"/>
  <c r="I220" i="4"/>
  <c r="H265" i="4"/>
  <c r="B72" i="4"/>
  <c r="B76" i="4" s="1"/>
  <c r="I105" i="4"/>
  <c r="I28" i="20"/>
  <c r="I45" i="20" s="1"/>
  <c r="B72" i="6"/>
  <c r="B360" i="6"/>
  <c r="I106" i="4"/>
  <c r="D72" i="6"/>
  <c r="D360" i="6"/>
  <c r="J1347" i="6"/>
  <c r="J360" i="6"/>
  <c r="K1718" i="6"/>
  <c r="K360" i="6"/>
  <c r="L567" i="6"/>
  <c r="L360" i="6"/>
  <c r="N818" i="6"/>
  <c r="N884" i="6" s="1"/>
  <c r="N360" i="6"/>
  <c r="O1718" i="6"/>
  <c r="O360" i="6"/>
  <c r="Q529" i="6"/>
  <c r="Q1661" i="6"/>
  <c r="I107" i="4"/>
  <c r="DD98" i="9"/>
  <c r="CQ98" i="9"/>
  <c r="DE98" i="9" s="1"/>
  <c r="DD138" i="9"/>
  <c r="CQ138" i="9"/>
  <c r="DE138" i="9" s="1"/>
  <c r="V59" i="9"/>
  <c r="AU4" i="42"/>
  <c r="B17" i="42"/>
  <c r="B77" i="42" s="1"/>
  <c r="A15" i="60" s="1"/>
  <c r="A81" i="15"/>
  <c r="B108" i="15"/>
  <c r="N69" i="26"/>
  <c r="N66" i="26"/>
  <c r="O69" i="26" s="1"/>
  <c r="P24" i="26"/>
  <c r="B173" i="3"/>
  <c r="A202" i="3"/>
  <c r="T60" i="20"/>
  <c r="H23" i="20"/>
  <c r="J20" i="20" s="1"/>
  <c r="T55" i="20"/>
  <c r="X54" i="20"/>
  <c r="AJ10" i="20"/>
  <c r="K69" i="20"/>
  <c r="K68" i="20" s="1"/>
  <c r="K70" i="20" s="1"/>
  <c r="L69" i="20" s="1"/>
  <c r="C155" i="8"/>
  <c r="B32" i="3" s="1"/>
  <c r="F50" i="20"/>
  <c r="G50" i="20" s="1"/>
  <c r="G102" i="20" s="1"/>
  <c r="F99" i="20"/>
  <c r="B202" i="3" s="1"/>
  <c r="A173" i="3"/>
  <c r="V54" i="20"/>
  <c r="O60" i="20"/>
  <c r="Q60" i="20" s="1"/>
  <c r="N60" i="20"/>
  <c r="P60" i="20" s="1"/>
  <c r="R60" i="20" s="1"/>
  <c r="J99" i="20"/>
  <c r="Q12" i="20"/>
  <c r="Q16" i="20" s="1"/>
  <c r="C173" i="3"/>
  <c r="C202" i="3"/>
  <c r="B174" i="3"/>
  <c r="B175" i="3" s="1"/>
  <c r="B33" i="3"/>
  <c r="B310" i="15"/>
  <c r="B112" i="17"/>
  <c r="AV50" i="42"/>
  <c r="E536" i="8"/>
  <c r="L21" i="20"/>
  <c r="A40" i="17"/>
  <c r="B155" i="8"/>
  <c r="A32" i="3" s="1"/>
  <c r="G173" i="3"/>
  <c r="G202" i="3"/>
  <c r="D536" i="8"/>
  <c r="J21" i="20"/>
  <c r="J23" i="20" s="1"/>
  <c r="N21" i="20"/>
  <c r="H536" i="8"/>
  <c r="H60" i="20"/>
  <c r="J63" i="20"/>
  <c r="E100" i="20"/>
  <c r="D202" i="3"/>
  <c r="D173" i="3"/>
  <c r="A179" i="3"/>
  <c r="E102" i="20"/>
  <c r="A203" i="3" s="1"/>
  <c r="C177" i="3"/>
  <c r="CS133" i="22"/>
  <c r="CF133" i="22"/>
  <c r="CS137" i="22"/>
  <c r="CF137" i="22"/>
  <c r="CS105" i="22"/>
  <c r="CF105" i="22"/>
  <c r="CS134" i="22"/>
  <c r="CF134" i="22"/>
  <c r="CS106" i="22"/>
  <c r="CF106" i="22"/>
  <c r="CS135" i="22"/>
  <c r="CF135" i="22"/>
  <c r="CS139" i="22"/>
  <c r="CF139" i="22"/>
  <c r="CS132" i="22"/>
  <c r="CF132" i="22"/>
  <c r="CS136" i="22"/>
  <c r="CF136" i="22"/>
  <c r="B1259" i="6"/>
  <c r="B1261" i="6" s="1"/>
  <c r="B1272" i="6" s="1"/>
  <c r="CL29" i="21"/>
  <c r="BY29" i="21"/>
  <c r="BZ29" i="21" s="1"/>
  <c r="BA3" i="21"/>
  <c r="BE3" i="21" s="1"/>
  <c r="AX3" i="22"/>
  <c r="AX92" i="22" s="1"/>
  <c r="N304" i="45"/>
  <c r="AS3" i="22"/>
  <c r="AS92" i="22" s="1"/>
  <c r="AS142" i="22" s="1"/>
  <c r="K36" i="17" s="1"/>
  <c r="BW33" i="21"/>
  <c r="BB3" i="22"/>
  <c r="BB92" i="22" s="1"/>
  <c r="AT3" i="21"/>
  <c r="AQ3" i="22"/>
  <c r="AQ92" i="22" s="1"/>
  <c r="AQ142" i="22" s="1"/>
  <c r="L146" i="22" s="1"/>
  <c r="L153" i="22" s="1"/>
  <c r="AW3" i="22"/>
  <c r="AW92" i="22" s="1"/>
  <c r="AW142" i="22" s="1"/>
  <c r="AZ3" i="21"/>
  <c r="AY3" i="21"/>
  <c r="AV3" i="22"/>
  <c r="AV92" i="22" s="1"/>
  <c r="AV142" i="22" s="1"/>
  <c r="M147" i="22" s="1"/>
  <c r="E50" i="19"/>
  <c r="E105" i="19" s="1"/>
  <c r="F49" i="19"/>
  <c r="F48" i="19" s="1"/>
  <c r="AR3" i="22"/>
  <c r="AR92" i="22" s="1"/>
  <c r="AR142" i="22" s="1"/>
  <c r="L147" i="22" s="1"/>
  <c r="AM3" i="22"/>
  <c r="AM92" i="22" s="1"/>
  <c r="AM142" i="22" s="1"/>
  <c r="K146" i="22" s="1"/>
  <c r="K153" i="22" s="1"/>
  <c r="F55" i="19"/>
  <c r="G54" i="19"/>
  <c r="Q40" i="16"/>
  <c r="C181" i="42"/>
  <c r="J14" i="19"/>
  <c r="E120" i="40"/>
  <c r="E480" i="34"/>
  <c r="E534" i="34" s="1"/>
  <c r="I69" i="14"/>
  <c r="I73" i="14" s="1"/>
  <c r="P56" i="12"/>
  <c r="E771" i="4"/>
  <c r="E252" i="4" s="1"/>
  <c r="E40" i="4" s="1"/>
  <c r="D24" i="3" s="1"/>
  <c r="R1136" i="6"/>
  <c r="R333" i="6" s="1"/>
  <c r="AU91" i="10"/>
  <c r="DD8" i="9"/>
  <c r="CQ8" i="9"/>
  <c r="DE8" i="9" s="1"/>
  <c r="BV66" i="9"/>
  <c r="S433" i="7"/>
  <c r="D397" i="5"/>
  <c r="D162" i="5" s="1"/>
  <c r="S398" i="5"/>
  <c r="S163" i="5" s="1"/>
  <c r="S41" i="5" s="1"/>
  <c r="BS97" i="9"/>
  <c r="BT97" i="9" s="1"/>
  <c r="R66" i="9"/>
  <c r="B29" i="3"/>
  <c r="A72" i="15"/>
  <c r="A82" i="15"/>
  <c r="A70" i="15"/>
  <c r="A103" i="15"/>
  <c r="A117" i="15"/>
  <c r="A74" i="15"/>
  <c r="A105" i="15"/>
  <c r="Q46" i="15"/>
  <c r="Q839" i="6"/>
  <c r="R839" i="6" s="1"/>
  <c r="S839" i="6" s="1"/>
  <c r="Q399" i="6"/>
  <c r="Q470" i="6"/>
  <c r="Q185" i="6"/>
  <c r="Q241" i="6"/>
  <c r="Q622" i="6"/>
  <c r="Q72" i="6"/>
  <c r="Q125" i="6" s="1"/>
  <c r="Q567" i="6"/>
  <c r="Q296" i="6"/>
  <c r="Q955" i="6"/>
  <c r="Q1023" i="6"/>
  <c r="Q693" i="6"/>
  <c r="Q818" i="6"/>
  <c r="Q884" i="6" s="1"/>
  <c r="Q751" i="6"/>
  <c r="Q1088" i="6"/>
  <c r="Q1222" i="6"/>
  <c r="Q1347" i="6"/>
  <c r="Q1479" i="6"/>
  <c r="Q1526" i="6"/>
  <c r="Q1786" i="6"/>
  <c r="Q1919" i="6"/>
  <c r="Q1388" i="6"/>
  <c r="Q1442" i="6" s="1"/>
  <c r="Q1718" i="6"/>
  <c r="Q1855" i="6"/>
  <c r="Q1160" i="6"/>
  <c r="Q1590" i="6"/>
  <c r="Q1981" i="6"/>
  <c r="N2" i="58" s="1"/>
  <c r="Q1278" i="6"/>
  <c r="Q2051" i="6"/>
  <c r="Q2071" i="6" s="1"/>
  <c r="A1009" i="6"/>
  <c r="A1018" i="6" s="1"/>
  <c r="F618" i="34"/>
  <c r="H618" i="34" s="1"/>
  <c r="G618" i="34"/>
  <c r="E620" i="34"/>
  <c r="F582" i="34"/>
  <c r="E582" i="34"/>
  <c r="B544" i="34"/>
  <c r="E436" i="34"/>
  <c r="C157" i="34"/>
  <c r="B371" i="34"/>
  <c r="C208" i="34"/>
  <c r="P167" i="34"/>
  <c r="P224" i="34" s="1"/>
  <c r="P402" i="34" s="1"/>
  <c r="P2" i="34"/>
  <c r="G593" i="34"/>
  <c r="H593" i="34" s="1"/>
  <c r="E76" i="34"/>
  <c r="E79" i="34" s="1"/>
  <c r="E81" i="34" s="1"/>
  <c r="O137" i="34"/>
  <c r="P137" i="34" s="1"/>
  <c r="B158" i="34"/>
  <c r="B161" i="34" s="1"/>
  <c r="B163" i="34" s="1"/>
  <c r="K594" i="34"/>
  <c r="B345" i="34"/>
  <c r="B179" i="34" s="1"/>
  <c r="O452" i="34"/>
  <c r="P452" i="34" s="1"/>
  <c r="E451" i="34"/>
  <c r="O96" i="34"/>
  <c r="P96" i="34" s="1"/>
  <c r="B356" i="34"/>
  <c r="B360" i="34" s="1"/>
  <c r="B184" i="34" s="1"/>
  <c r="B560" i="34"/>
  <c r="O437" i="34"/>
  <c r="P437" i="34" s="1"/>
  <c r="B475" i="34"/>
  <c r="B476" i="34" s="1"/>
  <c r="B227" i="34" s="1"/>
  <c r="B511" i="34"/>
  <c r="B512" i="34" s="1"/>
  <c r="B236" i="34" s="1"/>
  <c r="O311" i="34"/>
  <c r="P311" i="34" s="1"/>
  <c r="J72" i="1"/>
  <c r="I75" i="1"/>
  <c r="Q41" i="1"/>
  <c r="Q37" i="1"/>
  <c r="Q40" i="1"/>
  <c r="Q39" i="1"/>
  <c r="Q38" i="1"/>
  <c r="N183" i="9"/>
  <c r="BN183" i="9" s="1"/>
  <c r="BO183" i="9" s="1"/>
  <c r="M32" i="1"/>
  <c r="M33" i="1" s="1"/>
  <c r="N30" i="1"/>
  <c r="J1022" i="7"/>
  <c r="J1021" i="7"/>
  <c r="J1032" i="7"/>
  <c r="J1036" i="7"/>
  <c r="J1040" i="7"/>
  <c r="J1037" i="7"/>
  <c r="J1034" i="7"/>
  <c r="J1031" i="7"/>
  <c r="J1042" i="7"/>
  <c r="J1033" i="7"/>
  <c r="J1038" i="7"/>
  <c r="J1041" i="7"/>
  <c r="J16" i="1"/>
  <c r="J1025" i="7"/>
  <c r="J392" i="7" s="1"/>
  <c r="J1023" i="7"/>
  <c r="I743" i="34"/>
  <c r="H751" i="34"/>
  <c r="H97" i="1"/>
  <c r="I90" i="1"/>
  <c r="O79" i="1"/>
  <c r="P79" i="1" s="1"/>
  <c r="Q79" i="1" s="1"/>
  <c r="M107" i="9"/>
  <c r="BI107" i="9" s="1"/>
  <c r="N48" i="1"/>
  <c r="P8" i="1"/>
  <c r="J252" i="15"/>
  <c r="C82" i="20"/>
  <c r="L43" i="27"/>
  <c r="J139" i="34"/>
  <c r="L41" i="27"/>
  <c r="J121" i="34"/>
  <c r="J138" i="34"/>
  <c r="J162" i="34"/>
  <c r="J22" i="12"/>
  <c r="J21" i="12"/>
  <c r="K128" i="1"/>
  <c r="J739" i="34"/>
  <c r="K129" i="1"/>
  <c r="K127" i="1"/>
  <c r="L520" i="4"/>
  <c r="L515" i="4"/>
  <c r="L514" i="4"/>
  <c r="L1335" i="6"/>
  <c r="L373" i="8"/>
  <c r="L490" i="8"/>
  <c r="L497" i="8"/>
  <c r="L441" i="8"/>
  <c r="L466" i="7"/>
  <c r="L796" i="7"/>
  <c r="K895" i="6"/>
  <c r="L895" i="6" s="1"/>
  <c r="K930" i="6"/>
  <c r="L930" i="6" s="1"/>
  <c r="K904" i="6"/>
  <c r="L904" i="6" s="1"/>
  <c r="K917" i="6"/>
  <c r="K914" i="6"/>
  <c r="L914" i="6" s="1"/>
  <c r="K439" i="8"/>
  <c r="K1286" i="6"/>
  <c r="L1286" i="6" s="1"/>
  <c r="L1030" i="6"/>
  <c r="J120" i="9" s="1"/>
  <c r="G97" i="1"/>
  <c r="J104" i="1"/>
  <c r="C289" i="3"/>
  <c r="F58" i="1"/>
  <c r="C286" i="3" s="1"/>
  <c r="D608" i="34"/>
  <c r="D582" i="34"/>
  <c r="N37" i="1"/>
  <c r="N39" i="1"/>
  <c r="N41" i="1"/>
  <c r="N38" i="1"/>
  <c r="N40" i="1"/>
  <c r="H46" i="1"/>
  <c r="I26" i="1"/>
  <c r="H289" i="3" s="1"/>
  <c r="H299" i="3" s="1"/>
  <c r="J350" i="4"/>
  <c r="J772" i="6"/>
  <c r="J770" i="6"/>
  <c r="K770" i="6" s="1"/>
  <c r="J771" i="6"/>
  <c r="J87" i="6" s="1"/>
  <c r="J464" i="4"/>
  <c r="J463" i="4"/>
  <c r="K463" i="4" s="1"/>
  <c r="J871" i="7"/>
  <c r="J873" i="7"/>
  <c r="J1054" i="7"/>
  <c r="K1054" i="7" s="1"/>
  <c r="L1054" i="7" s="1"/>
  <c r="J41" i="1"/>
  <c r="AM41" i="42"/>
  <c r="J65" i="20"/>
  <c r="I413" i="34"/>
  <c r="J650" i="34"/>
  <c r="J147" i="34"/>
  <c r="J23" i="34" s="1"/>
  <c r="I422" i="34"/>
  <c r="L297" i="8"/>
  <c r="L327" i="8"/>
  <c r="L323" i="8"/>
  <c r="AB8" i="54"/>
  <c r="L298" i="8"/>
  <c r="L522" i="4"/>
  <c r="L521" i="4"/>
  <c r="L438" i="4"/>
  <c r="L279" i="8"/>
  <c r="L489" i="8"/>
  <c r="L487" i="8"/>
  <c r="L493" i="8"/>
  <c r="L130" i="8" s="1"/>
  <c r="L501" i="8"/>
  <c r="J284" i="3"/>
  <c r="J294" i="3" s="1"/>
  <c r="L733" i="4"/>
  <c r="L724" i="4"/>
  <c r="L733" i="7"/>
  <c r="L322" i="8"/>
  <c r="K1618" i="6"/>
  <c r="L1618" i="6" s="1"/>
  <c r="H428" i="34"/>
  <c r="I428" i="34" s="1"/>
  <c r="K32" i="27"/>
  <c r="L32" i="27" s="1"/>
  <c r="G77" i="1"/>
  <c r="H286" i="3"/>
  <c r="J575" i="7"/>
  <c r="J40" i="40"/>
  <c r="D17" i="34"/>
  <c r="O37" i="1"/>
  <c r="O39" i="1"/>
  <c r="O41" i="1"/>
  <c r="O38" i="1"/>
  <c r="O40" i="1"/>
  <c r="J39" i="1"/>
  <c r="J791" i="6"/>
  <c r="K791" i="6" s="1"/>
  <c r="L791" i="6" s="1"/>
  <c r="M791" i="6" s="1"/>
  <c r="N791" i="6" s="1"/>
  <c r="O791" i="6" s="1"/>
  <c r="L69" i="1"/>
  <c r="J121" i="16"/>
  <c r="M15" i="1"/>
  <c r="J33" i="20"/>
  <c r="J41" i="20" s="1"/>
  <c r="L776" i="7"/>
  <c r="L268" i="8"/>
  <c r="J133" i="34"/>
  <c r="J112" i="34"/>
  <c r="J644" i="34"/>
  <c r="L331" i="8"/>
  <c r="L212" i="8"/>
  <c r="L321" i="8"/>
  <c r="J20" i="12"/>
  <c r="L283" i="8"/>
  <c r="J747" i="34"/>
  <c r="J662" i="34"/>
  <c r="L518" i="4"/>
  <c r="L516" i="4"/>
  <c r="L513" i="4"/>
  <c r="L440" i="4"/>
  <c r="L470" i="8"/>
  <c r="L509" i="8"/>
  <c r="L502" i="8"/>
  <c r="L491" i="8"/>
  <c r="L386" i="8"/>
  <c r="L736" i="4"/>
  <c r="L727" i="4"/>
  <c r="L751" i="4"/>
  <c r="L828" i="6"/>
  <c r="L920" i="6"/>
  <c r="K218" i="8"/>
  <c r="L218" i="8" s="1"/>
  <c r="K1134" i="6"/>
  <c r="L1134" i="6" s="1"/>
  <c r="K1836" i="6"/>
  <c r="L1836" i="6" s="1"/>
  <c r="K1826" i="6"/>
  <c r="L1826" i="6" s="1"/>
  <c r="M1826" i="6" s="1"/>
  <c r="K358" i="8"/>
  <c r="L358" i="8" s="1"/>
  <c r="M358" i="8" s="1"/>
  <c r="N358" i="8" s="1"/>
  <c r="O358" i="8" s="1"/>
  <c r="P358" i="8" s="1"/>
  <c r="Q358" i="8" s="1"/>
  <c r="R358" i="8" s="1"/>
  <c r="S358" i="8" s="1"/>
  <c r="G55" i="1"/>
  <c r="H55" i="1" s="1"/>
  <c r="I55" i="1" s="1"/>
  <c r="J55" i="1" s="1"/>
  <c r="K55" i="1" s="1"/>
  <c r="L55" i="1" s="1"/>
  <c r="M55" i="1" s="1"/>
  <c r="N55" i="1" s="1"/>
  <c r="O55" i="1" s="1"/>
  <c r="P55" i="1" s="1"/>
  <c r="Q55" i="1" s="1"/>
  <c r="F33" i="1"/>
  <c r="L1091" i="6"/>
  <c r="L979" i="6"/>
  <c r="P38" i="1"/>
  <c r="P40" i="1"/>
  <c r="P37" i="1"/>
  <c r="P39" i="1"/>
  <c r="P41" i="1"/>
  <c r="J18" i="1"/>
  <c r="K18" i="1" s="1"/>
  <c r="J578" i="4"/>
  <c r="J37" i="1"/>
  <c r="J38" i="1"/>
  <c r="Q8" i="1"/>
  <c r="P66" i="1"/>
  <c r="K182" i="8"/>
  <c r="K46" i="8" s="1"/>
  <c r="L174" i="8"/>
  <c r="M11" i="1"/>
  <c r="L512" i="4"/>
  <c r="L646" i="4"/>
  <c r="L645" i="4"/>
  <c r="L5" i="1"/>
  <c r="M309" i="8" s="1"/>
  <c r="K6" i="1"/>
  <c r="L439" i="4"/>
  <c r="L467" i="8"/>
  <c r="M467" i="8" s="1"/>
  <c r="L459" i="8"/>
  <c r="L763" i="6"/>
  <c r="L757" i="4"/>
  <c r="L902" i="6"/>
  <c r="M902" i="6" s="1"/>
  <c r="L235" i="8"/>
  <c r="M235" i="8" s="1"/>
  <c r="L239" i="8"/>
  <c r="M239" i="8" s="1"/>
  <c r="L272" i="8"/>
  <c r="L320" i="8"/>
  <c r="M320" i="8" s="1"/>
  <c r="M307" i="8"/>
  <c r="M179" i="8"/>
  <c r="M1065" i="7"/>
  <c r="M278" i="8"/>
  <c r="M489" i="8"/>
  <c r="M988" i="6"/>
  <c r="L317" i="8"/>
  <c r="M317" i="8" s="1"/>
  <c r="L1254" i="6"/>
  <c r="L252" i="5"/>
  <c r="M252" i="5" s="1"/>
  <c r="L290" i="5"/>
  <c r="M290" i="5" s="1"/>
  <c r="L434" i="8"/>
  <c r="M434" i="8" s="1"/>
  <c r="L189" i="8"/>
  <c r="L847" i="7"/>
  <c r="M847" i="7" s="1"/>
  <c r="L842" i="6"/>
  <c r="M842" i="6" s="1"/>
  <c r="L369" i="5"/>
  <c r="M369" i="5" s="1"/>
  <c r="L365" i="5"/>
  <c r="M185" i="8"/>
  <c r="M435" i="8"/>
  <c r="M187" i="8"/>
  <c r="M516" i="4"/>
  <c r="M470" i="8"/>
  <c r="L233" i="8"/>
  <c r="M233" i="8" s="1"/>
  <c r="L1066" i="7"/>
  <c r="M1066" i="7" s="1"/>
  <c r="L213" i="8"/>
  <c r="M213" i="8" s="1"/>
  <c r="L908" i="6"/>
  <c r="M908" i="6" s="1"/>
  <c r="L1356" i="6"/>
  <c r="M1356" i="6" s="1"/>
  <c r="L632" i="7"/>
  <c r="M632" i="7" s="1"/>
  <c r="L777" i="6"/>
  <c r="L343" i="5"/>
  <c r="M343" i="5" s="1"/>
  <c r="L299" i="5"/>
  <c r="M299" i="5" s="1"/>
  <c r="L286" i="5"/>
  <c r="M286" i="5" s="1"/>
  <c r="L440" i="5"/>
  <c r="L293" i="5"/>
  <c r="M293" i="5" s="1"/>
  <c r="L771" i="7"/>
  <c r="M771" i="7" s="1"/>
  <c r="M10" i="1"/>
  <c r="N7" i="1"/>
  <c r="M126" i="1"/>
  <c r="M386" i="8"/>
  <c r="M736" i="4"/>
  <c r="M979" i="6"/>
  <c r="L503" i="8"/>
  <c r="L452" i="8"/>
  <c r="M452" i="8" s="1"/>
  <c r="L469" i="8"/>
  <c r="M469" i="8" s="1"/>
  <c r="L506" i="8"/>
  <c r="M506" i="8" s="1"/>
  <c r="L455" i="8"/>
  <c r="L474" i="8"/>
  <c r="M474" i="8" s="1"/>
  <c r="L841" i="6"/>
  <c r="M841" i="6" s="1"/>
  <c r="L305" i="5"/>
  <c r="M305" i="5" s="1"/>
  <c r="L509" i="7"/>
  <c r="L302" i="5"/>
  <c r="M302" i="5" s="1"/>
  <c r="K9" i="27"/>
  <c r="J20" i="27"/>
  <c r="L430" i="5"/>
  <c r="L1898" i="6"/>
  <c r="M1898" i="6" s="1"/>
  <c r="L226" i="5"/>
  <c r="M226" i="5" s="1"/>
  <c r="L304" i="5"/>
  <c r="M304" i="5" s="1"/>
  <c r="L769" i="7"/>
  <c r="L424" i="5"/>
  <c r="M424" i="5" s="1"/>
  <c r="L912" i="6"/>
  <c r="M912" i="6" s="1"/>
  <c r="L931" i="6"/>
  <c r="M931" i="6" s="1"/>
  <c r="G582" i="34"/>
  <c r="H606" i="34"/>
  <c r="L439" i="8"/>
  <c r="M439" i="8" s="1"/>
  <c r="L385" i="5"/>
  <c r="L248" i="8"/>
  <c r="M248" i="8" s="1"/>
  <c r="L18" i="27"/>
  <c r="M18" i="27" s="1"/>
  <c r="L374" i="5"/>
  <c r="M374" i="5" s="1"/>
  <c r="L245" i="8"/>
  <c r="L219" i="8"/>
  <c r="L754" i="4"/>
  <c r="M754" i="4" s="1"/>
  <c r="L1297" i="6"/>
  <c r="L748" i="7"/>
  <c r="L354" i="5"/>
  <c r="M354" i="5" s="1"/>
  <c r="L236" i="8"/>
  <c r="M236" i="8" s="1"/>
  <c r="L217" i="8"/>
  <c r="M217" i="8" s="1"/>
  <c r="L629" i="7"/>
  <c r="L1353" i="6"/>
  <c r="M1353" i="6" s="1"/>
  <c r="L1092" i="7"/>
  <c r="M1092" i="7" s="1"/>
  <c r="M827" i="6"/>
  <c r="L271" i="8"/>
  <c r="L303" i="8"/>
  <c r="M303" i="8" s="1"/>
  <c r="L299" i="8"/>
  <c r="M299" i="8" s="1"/>
  <c r="L1315" i="6"/>
  <c r="M1315" i="6" s="1"/>
  <c r="L1324" i="6"/>
  <c r="M1324" i="6" s="1"/>
  <c r="L505" i="8"/>
  <c r="M505" i="8" s="1"/>
  <c r="L461" i="8"/>
  <c r="L126" i="8" s="1"/>
  <c r="L450" i="8"/>
  <c r="M450" i="8" s="1"/>
  <c r="L500" i="8"/>
  <c r="M500" i="8" s="1"/>
  <c r="L475" i="8"/>
  <c r="M475" i="8" s="1"/>
  <c r="L465" i="8"/>
  <c r="L451" i="8"/>
  <c r="M451" i="8" s="1"/>
  <c r="L387" i="8"/>
  <c r="M387" i="8" s="1"/>
  <c r="L428" i="5"/>
  <c r="M428" i="5" s="1"/>
  <c r="L407" i="5"/>
  <c r="L297" i="5"/>
  <c r="M297" i="5" s="1"/>
  <c r="L503" i="7"/>
  <c r="M503" i="7" s="1"/>
  <c r="L249" i="8"/>
  <c r="M249" i="8" s="1"/>
  <c r="L227" i="5"/>
  <c r="L1295" i="6"/>
  <c r="M1295" i="6" s="1"/>
  <c r="L830" i="6"/>
  <c r="M830" i="6" s="1"/>
  <c r="L408" i="5"/>
  <c r="M408" i="5" s="1"/>
  <c r="L753" i="7"/>
  <c r="L1195" i="6"/>
  <c r="M1195" i="6" s="1"/>
  <c r="L441" i="5"/>
  <c r="M441" i="5" s="1"/>
  <c r="L300" i="5"/>
  <c r="M300" i="5" s="1"/>
  <c r="L511" i="7"/>
  <c r="L237" i="8"/>
  <c r="M237" i="8" s="1"/>
  <c r="L1193" i="6"/>
  <c r="M1193" i="6" s="1"/>
  <c r="L12" i="27"/>
  <c r="M12" i="27" s="1"/>
  <c r="L1352" i="6"/>
  <c r="L296" i="5"/>
  <c r="M296" i="5" s="1"/>
  <c r="L439" i="5"/>
  <c r="M439" i="5" s="1"/>
  <c r="L757" i="7"/>
  <c r="M757" i="7" s="1"/>
  <c r="L1192" i="6"/>
  <c r="L382" i="8"/>
  <c r="M382" i="8" s="1"/>
  <c r="K903" i="6"/>
  <c r="L903" i="6" s="1"/>
  <c r="M903" i="6" s="1"/>
  <c r="K897" i="6"/>
  <c r="L897" i="6" s="1"/>
  <c r="M897" i="6" s="1"/>
  <c r="K921" i="6"/>
  <c r="L921" i="6" s="1"/>
  <c r="K923" i="6"/>
  <c r="L923" i="6" s="1"/>
  <c r="M923" i="6" s="1"/>
  <c r="K744" i="7"/>
  <c r="L744" i="7" s="1"/>
  <c r="M744" i="7" s="1"/>
  <c r="K1420" i="6"/>
  <c r="L1420" i="6" s="1"/>
  <c r="M1420" i="6" s="1"/>
  <c r="K283" i="5"/>
  <c r="L283" i="5" s="1"/>
  <c r="K1446" i="6"/>
  <c r="L1446" i="6" s="1"/>
  <c r="M1446" i="6" s="1"/>
  <c r="K1183" i="6"/>
  <c r="L1183" i="6" s="1"/>
  <c r="M1183" i="6" s="1"/>
  <c r="K755" i="6"/>
  <c r="L755" i="6" s="1"/>
  <c r="M755" i="6" s="1"/>
  <c r="K377" i="5"/>
  <c r="L377" i="5" s="1"/>
  <c r="K220" i="5"/>
  <c r="L220" i="5" s="1"/>
  <c r="M220" i="5" s="1"/>
  <c r="L1447" i="6"/>
  <c r="M1447" i="6" s="1"/>
  <c r="L761" i="6"/>
  <c r="M761" i="6" s="1"/>
  <c r="L1284" i="6"/>
  <c r="J26" i="12"/>
  <c r="L1338" i="6"/>
  <c r="M1338" i="6" s="1"/>
  <c r="L1456" i="6"/>
  <c r="M1456" i="6" s="1"/>
  <c r="L1828" i="6"/>
  <c r="L364" i="8"/>
  <c r="M364" i="8" s="1"/>
  <c r="L1251" i="6"/>
  <c r="M1251" i="6" s="1"/>
  <c r="L191" i="8"/>
  <c r="M191" i="8" s="1"/>
  <c r="L1545" i="6"/>
  <c r="M1545" i="6" s="1"/>
  <c r="L1316" i="6"/>
  <c r="M1316" i="6" s="1"/>
  <c r="L504" i="8"/>
  <c r="L466" i="8"/>
  <c r="M466" i="8" s="1"/>
  <c r="L510" i="8"/>
  <c r="M510" i="8" s="1"/>
  <c r="L366" i="8"/>
  <c r="M366" i="8" s="1"/>
  <c r="L507" i="8"/>
  <c r="L485" i="8"/>
  <c r="L1899" i="6"/>
  <c r="M1899" i="6" s="1"/>
  <c r="L631" i="7"/>
  <c r="M631" i="7" s="1"/>
  <c r="L225" i="5"/>
  <c r="L857" i="6"/>
  <c r="M857" i="6" s="1"/>
  <c r="L270" i="8"/>
  <c r="M270" i="8" s="1"/>
  <c r="L435" i="5"/>
  <c r="M435" i="5" s="1"/>
  <c r="L480" i="7"/>
  <c r="L442" i="5"/>
  <c r="M442" i="5" s="1"/>
  <c r="L831" i="6"/>
  <c r="M831" i="6" s="1"/>
  <c r="L411" i="5"/>
  <c r="M411" i="5" s="1"/>
  <c r="L1190" i="6"/>
  <c r="L243" i="8"/>
  <c r="M243" i="8" s="1"/>
  <c r="L628" i="7"/>
  <c r="M628" i="7" s="1"/>
  <c r="L287" i="5"/>
  <c r="M287" i="5" s="1"/>
  <c r="L341" i="5"/>
  <c r="L751" i="7"/>
  <c r="M751" i="7" s="1"/>
  <c r="L1394" i="6"/>
  <c r="M1394" i="6" s="1"/>
  <c r="K425" i="5"/>
  <c r="L425" i="5" s="1"/>
  <c r="K393" i="4"/>
  <c r="L393" i="4" s="1"/>
  <c r="M393" i="4" s="1"/>
  <c r="K389" i="4"/>
  <c r="L389" i="4" s="1"/>
  <c r="M389" i="4" s="1"/>
  <c r="K375" i="4"/>
  <c r="K392" i="4"/>
  <c r="L392" i="4" s="1"/>
  <c r="M392" i="4" s="1"/>
  <c r="K374" i="4"/>
  <c r="L374" i="4" s="1"/>
  <c r="M374" i="4" s="1"/>
  <c r="K292" i="5"/>
  <c r="L292" i="5" s="1"/>
  <c r="M292" i="5" s="1"/>
  <c r="K556" i="4"/>
  <c r="L556" i="4" s="1"/>
  <c r="K391" i="4"/>
  <c r="L391" i="4" s="1"/>
  <c r="M391" i="4" s="1"/>
  <c r="K387" i="4"/>
  <c r="L387" i="4" s="1"/>
  <c r="M387" i="4" s="1"/>
  <c r="K394" i="4"/>
  <c r="L394" i="4" s="1"/>
  <c r="M394" i="4" s="1"/>
  <c r="K390" i="4"/>
  <c r="L390" i="4" s="1"/>
  <c r="M390" i="4" s="1"/>
  <c r="K376" i="4"/>
  <c r="L376" i="4" s="1"/>
  <c r="M376" i="4" s="1"/>
  <c r="K323" i="4"/>
  <c r="L323" i="4" s="1"/>
  <c r="M323" i="4" s="1"/>
  <c r="K388" i="4"/>
  <c r="L388" i="4" s="1"/>
  <c r="M388" i="4" s="1"/>
  <c r="K814" i="4"/>
  <c r="L814" i="4" s="1"/>
  <c r="M814" i="4" s="1"/>
  <c r="K1740" i="6"/>
  <c r="K1393" i="6"/>
  <c r="L1393" i="6" s="1"/>
  <c r="M1393" i="6" s="1"/>
  <c r="K1094" i="6"/>
  <c r="L1094" i="6" s="1"/>
  <c r="M1094" i="6" s="1"/>
  <c r="K1116" i="6"/>
  <c r="L1116" i="6" s="1"/>
  <c r="M1116" i="6" s="1"/>
  <c r="K1095" i="6"/>
  <c r="L1095" i="6" s="1"/>
  <c r="M1095" i="6" s="1"/>
  <c r="K359" i="5"/>
  <c r="K380" i="5"/>
  <c r="K765" i="6"/>
  <c r="L765" i="6" s="1"/>
  <c r="M765" i="6" s="1"/>
  <c r="K780" i="6"/>
  <c r="L780" i="6" s="1"/>
  <c r="M780" i="6" s="1"/>
  <c r="K635" i="4"/>
  <c r="L635" i="4" s="1"/>
  <c r="M635" i="4" s="1"/>
  <c r="K455" i="4"/>
  <c r="L455" i="4" s="1"/>
  <c r="M455" i="4" s="1"/>
  <c r="K397" i="4"/>
  <c r="L397" i="4" s="1"/>
  <c r="M397" i="4" s="1"/>
  <c r="K395" i="4"/>
  <c r="L395" i="4" s="1"/>
  <c r="M395" i="4" s="1"/>
  <c r="K1628" i="6"/>
  <c r="L1628" i="6" s="1"/>
  <c r="M1628" i="6" s="1"/>
  <c r="K221" i="5"/>
  <c r="L221" i="5" s="1"/>
  <c r="M221" i="5" s="1"/>
  <c r="K526" i="7"/>
  <c r="K527" i="7"/>
  <c r="K830" i="4"/>
  <c r="L830" i="4" s="1"/>
  <c r="M830" i="4" s="1"/>
  <c r="K465" i="7"/>
  <c r="L465" i="7" s="1"/>
  <c r="M465" i="7" s="1"/>
  <c r="K609" i="4"/>
  <c r="L609" i="4" s="1"/>
  <c r="M609" i="4" s="1"/>
  <c r="K491" i="4"/>
  <c r="L491" i="4" s="1"/>
  <c r="M491" i="4" s="1"/>
  <c r="K492" i="4"/>
  <c r="L492" i="4" s="1"/>
  <c r="M492" i="4" s="1"/>
  <c r="K534" i="4"/>
  <c r="L534" i="4" s="1"/>
  <c r="M534" i="4" s="1"/>
  <c r="K1100" i="6"/>
  <c r="L1100" i="6" s="1"/>
  <c r="M1100" i="6" s="1"/>
  <c r="K508" i="7"/>
  <c r="L508" i="7" s="1"/>
  <c r="M508" i="7" s="1"/>
  <c r="K479" i="7"/>
  <c r="K635" i="7"/>
  <c r="L635" i="7" s="1"/>
  <c r="M635" i="7" s="1"/>
  <c r="K289" i="5"/>
  <c r="L289" i="5" s="1"/>
  <c r="M289" i="5" s="1"/>
  <c r="K401" i="4"/>
  <c r="L401" i="4" s="1"/>
  <c r="M401" i="4" s="1"/>
  <c r="K328" i="4"/>
  <c r="L328" i="4" s="1"/>
  <c r="M328" i="4" s="1"/>
  <c r="K333" i="4"/>
  <c r="L333" i="4" s="1"/>
  <c r="M333" i="4" s="1"/>
  <c r="K1053" i="7"/>
  <c r="L1053" i="7" s="1"/>
  <c r="K420" i="8"/>
  <c r="L420" i="8" s="1"/>
  <c r="M420" i="8" s="1"/>
  <c r="K405" i="8"/>
  <c r="L405" i="8" s="1"/>
  <c r="M405" i="8" s="1"/>
  <c r="K404" i="8"/>
  <c r="L404" i="8" s="1"/>
  <c r="M404" i="8" s="1"/>
  <c r="K402" i="8"/>
  <c r="K421" i="8"/>
  <c r="L421" i="8" s="1"/>
  <c r="M421" i="8" s="1"/>
  <c r="K428" i="8"/>
  <c r="L428" i="8" s="1"/>
  <c r="M428" i="8" s="1"/>
  <c r="K422" i="8"/>
  <c r="L422" i="8" s="1"/>
  <c r="M422" i="8" s="1"/>
  <c r="K403" i="8"/>
  <c r="K423" i="8"/>
  <c r="L423" i="8" s="1"/>
  <c r="M423" i="8" s="1"/>
  <c r="K398" i="8"/>
  <c r="L398" i="8" s="1"/>
  <c r="M398" i="8" s="1"/>
  <c r="K419" i="8"/>
  <c r="L419" i="8" s="1"/>
  <c r="M419" i="8" s="1"/>
  <c r="K425" i="8"/>
  <c r="L425" i="8" s="1"/>
  <c r="M425" i="8" s="1"/>
  <c r="K426" i="8"/>
  <c r="L426" i="8" s="1"/>
  <c r="M426" i="8" s="1"/>
  <c r="K397" i="8"/>
  <c r="L397" i="8" s="1"/>
  <c r="M397" i="8" s="1"/>
  <c r="K424" i="8"/>
  <c r="L424" i="8" s="1"/>
  <c r="M424" i="8" s="1"/>
  <c r="K399" i="8"/>
  <c r="L399" i="8" s="1"/>
  <c r="M399" i="8" s="1"/>
  <c r="K418" i="8"/>
  <c r="L418" i="8" s="1"/>
  <c r="M418" i="8" s="1"/>
  <c r="K417" i="8"/>
  <c r="L417" i="8" s="1"/>
  <c r="M417" i="8" s="1"/>
  <c r="K1325" i="6"/>
  <c r="L1325" i="6" s="1"/>
  <c r="M1325" i="6" s="1"/>
  <c r="K1323" i="6"/>
  <c r="L1323" i="6" s="1"/>
  <c r="M1323" i="6" s="1"/>
  <c r="K1290" i="6"/>
  <c r="L1290" i="6" s="1"/>
  <c r="M1290" i="6" s="1"/>
  <c r="K646" i="4"/>
  <c r="M646" i="4" s="1"/>
  <c r="K610" i="4"/>
  <c r="L610" i="4" s="1"/>
  <c r="M610" i="4" s="1"/>
  <c r="K645" i="4"/>
  <c r="M645" i="4" s="1"/>
  <c r="K317" i="5"/>
  <c r="K257" i="5"/>
  <c r="K364" i="4"/>
  <c r="K1109" i="6"/>
  <c r="L1109" i="6" s="1"/>
  <c r="M1109" i="6" s="1"/>
  <c r="K1110" i="6"/>
  <c r="L1110" i="6" s="1"/>
  <c r="M1110" i="6" s="1"/>
  <c r="K792" i="7"/>
  <c r="L792" i="7" s="1"/>
  <c r="M792" i="7" s="1"/>
  <c r="K232" i="5"/>
  <c r="L232" i="5" s="1"/>
  <c r="M232" i="5" s="1"/>
  <c r="K222" i="5"/>
  <c r="L222" i="5" s="1"/>
  <c r="M222" i="5" s="1"/>
  <c r="K254" i="5"/>
  <c r="L254" i="5" s="1"/>
  <c r="M254" i="5" s="1"/>
  <c r="K987" i="6"/>
  <c r="K1125" i="6"/>
  <c r="L1125" i="6" s="1"/>
  <c r="M1125" i="6" s="1"/>
  <c r="K794" i="7"/>
  <c r="L794" i="7" s="1"/>
  <c r="M794" i="7" s="1"/>
  <c r="K754" i="7"/>
  <c r="L754" i="7" s="1"/>
  <c r="M754" i="7" s="1"/>
  <c r="K799" i="7"/>
  <c r="L799" i="7" s="1"/>
  <c r="M799" i="7" s="1"/>
  <c r="K644" i="4"/>
  <c r="L644" i="4" s="1"/>
  <c r="M644" i="4" s="1"/>
  <c r="K773" i="7"/>
  <c r="L773" i="7" s="1"/>
  <c r="M773" i="7" s="1"/>
  <c r="K777" i="7"/>
  <c r="L777" i="7" s="1"/>
  <c r="M777" i="7" s="1"/>
  <c r="K755" i="7"/>
  <c r="L755" i="7" s="1"/>
  <c r="M755" i="7" s="1"/>
  <c r="K1838" i="6"/>
  <c r="L1838" i="6" s="1"/>
  <c r="M1838" i="6" s="1"/>
  <c r="K1317" i="6"/>
  <c r="L1317" i="6" s="1"/>
  <c r="M1317" i="6" s="1"/>
  <c r="K229" i="5"/>
  <c r="L229" i="5" s="1"/>
  <c r="M229" i="5" s="1"/>
  <c r="K701" i="7"/>
  <c r="L701" i="7" s="1"/>
  <c r="M701" i="7" s="1"/>
  <c r="K347" i="5"/>
  <c r="L347" i="5" s="1"/>
  <c r="M347" i="5" s="1"/>
  <c r="K1247" i="6"/>
  <c r="K695" i="7"/>
  <c r="L695" i="7" s="1"/>
  <c r="M695" i="7" s="1"/>
  <c r="K464" i="7"/>
  <c r="L464" i="7" s="1"/>
  <c r="M464" i="7" s="1"/>
  <c r="K471" i="7"/>
  <c r="L471" i="7" s="1"/>
  <c r="M471" i="7" s="1"/>
  <c r="K475" i="7"/>
  <c r="K488" i="7"/>
  <c r="L488" i="7" s="1"/>
  <c r="M488" i="7" s="1"/>
  <c r="K485" i="7"/>
  <c r="L485" i="7" s="1"/>
  <c r="M485" i="7" s="1"/>
  <c r="K626" i="7"/>
  <c r="L626" i="7" s="1"/>
  <c r="K1452" i="6"/>
  <c r="L1452" i="6" s="1"/>
  <c r="M1452" i="6" s="1"/>
  <c r="K507" i="7"/>
  <c r="L507" i="7" s="1"/>
  <c r="M507" i="7" s="1"/>
  <c r="K743" i="7"/>
  <c r="L743" i="7" s="1"/>
  <c r="M743" i="7" s="1"/>
  <c r="K346" i="5"/>
  <c r="L346" i="5" s="1"/>
  <c r="M346" i="5" s="1"/>
  <c r="K506" i="7"/>
  <c r="L506" i="7" s="1"/>
  <c r="K778" i="7"/>
  <c r="L778" i="7" s="1"/>
  <c r="M778" i="7" s="1"/>
  <c r="K415" i="5"/>
  <c r="L415" i="5" s="1"/>
  <c r="M415" i="5" s="1"/>
  <c r="K1250" i="6"/>
  <c r="L1250" i="6" s="1"/>
  <c r="M1250" i="6" s="1"/>
  <c r="K1248" i="6"/>
  <c r="L1248" i="6" s="1"/>
  <c r="M1248" i="6" s="1"/>
  <c r="K472" i="7"/>
  <c r="L472" i="7" s="1"/>
  <c r="M472" i="7" s="1"/>
  <c r="K476" i="7"/>
  <c r="L476" i="7" s="1"/>
  <c r="M476" i="7" s="1"/>
  <c r="K625" i="7"/>
  <c r="L625" i="7" s="1"/>
  <c r="M625" i="7" s="1"/>
  <c r="K510" i="7"/>
  <c r="L510" i="7" s="1"/>
  <c r="M510" i="7" s="1"/>
  <c r="K486" i="7"/>
  <c r="L486" i="7" s="1"/>
  <c r="M486" i="7" s="1"/>
  <c r="K489" i="7"/>
  <c r="L489" i="7" s="1"/>
  <c r="M489" i="7" s="1"/>
  <c r="K689" i="7"/>
  <c r="L689" i="7" s="1"/>
  <c r="M689" i="7" s="1"/>
  <c r="K474" i="7"/>
  <c r="L474" i="7" s="1"/>
  <c r="M474" i="7" s="1"/>
  <c r="K802" i="7"/>
  <c r="L802" i="7" s="1"/>
  <c r="M802" i="7" s="1"/>
  <c r="K366" i="5"/>
  <c r="K642" i="4"/>
  <c r="L642" i="4" s="1"/>
  <c r="M642" i="4" s="1"/>
  <c r="K344" i="5"/>
  <c r="L344" i="5" s="1"/>
  <c r="M344" i="5" s="1"/>
  <c r="K246" i="5"/>
  <c r="L246" i="5" s="1"/>
  <c r="M246" i="5" s="1"/>
  <c r="K772" i="7"/>
  <c r="L772" i="7" s="1"/>
  <c r="M772" i="7" s="1"/>
  <c r="K378" i="5"/>
  <c r="L378" i="5" s="1"/>
  <c r="M378" i="5" s="1"/>
  <c r="K436" i="5"/>
  <c r="L436" i="5" s="1"/>
  <c r="M436" i="5" s="1"/>
  <c r="K294" i="5"/>
  <c r="L294" i="5" s="1"/>
  <c r="M294" i="5" s="1"/>
  <c r="K770" i="7"/>
  <c r="L770" i="7" s="1"/>
  <c r="M770" i="7" s="1"/>
  <c r="K373" i="5"/>
  <c r="L373" i="5" s="1"/>
  <c r="M373" i="5" s="1"/>
  <c r="K501" i="7"/>
  <c r="L501" i="7" s="1"/>
  <c r="M501" i="7" s="1"/>
  <c r="K1252" i="6"/>
  <c r="L1252" i="6" s="1"/>
  <c r="M1252" i="6" s="1"/>
  <c r="K487" i="7"/>
  <c r="L487" i="7" s="1"/>
  <c r="K453" i="7"/>
  <c r="L453" i="7" s="1"/>
  <c r="M453" i="7" s="1"/>
  <c r="K683" i="7"/>
  <c r="L683" i="7" s="1"/>
  <c r="M683" i="7" s="1"/>
  <c r="K697" i="7"/>
  <c r="L697" i="7" s="1"/>
  <c r="M697" i="7" s="1"/>
  <c r="K684" i="7"/>
  <c r="L684" i="7" s="1"/>
  <c r="K633" i="7"/>
  <c r="L633" i="7" s="1"/>
  <c r="M633" i="7" s="1"/>
  <c r="K691" i="7"/>
  <c r="L691" i="7" s="1"/>
  <c r="M691" i="7" s="1"/>
  <c r="K849" i="7"/>
  <c r="K303" i="5"/>
  <c r="L303" i="5" s="1"/>
  <c r="M303" i="5" s="1"/>
  <c r="K432" i="5"/>
  <c r="K756" i="7"/>
  <c r="L756" i="7" s="1"/>
  <c r="M756" i="7" s="1"/>
  <c r="K500" i="7"/>
  <c r="L500" i="7" s="1"/>
  <c r="M500" i="7" s="1"/>
  <c r="K688" i="7"/>
  <c r="K643" i="4"/>
  <c r="L643" i="4" s="1"/>
  <c r="M643" i="4" s="1"/>
  <c r="K699" i="7"/>
  <c r="L699" i="7" s="1"/>
  <c r="M699" i="7" s="1"/>
  <c r="K462" i="7"/>
  <c r="L462" i="7" s="1"/>
  <c r="M462" i="7" s="1"/>
  <c r="K694" i="7"/>
  <c r="L694" i="7" s="1"/>
  <c r="M694" i="7" s="1"/>
  <c r="K745" i="7"/>
  <c r="L745" i="7" s="1"/>
  <c r="M745" i="7" s="1"/>
  <c r="K698" i="7"/>
  <c r="L698" i="7" s="1"/>
  <c r="M698" i="7" s="1"/>
  <c r="K478" i="7"/>
  <c r="L478" i="7" s="1"/>
  <c r="M478" i="7" s="1"/>
  <c r="K470" i="7"/>
  <c r="L470" i="7" s="1"/>
  <c r="M470" i="7" s="1"/>
  <c r="K630" i="7"/>
  <c r="L630" i="7" s="1"/>
  <c r="M630" i="7" s="1"/>
  <c r="K452" i="7"/>
  <c r="L452" i="7" s="1"/>
  <c r="M452" i="7" s="1"/>
  <c r="K473" i="7"/>
  <c r="L473" i="7" s="1"/>
  <c r="M473" i="7" s="1"/>
  <c r="K353" i="5"/>
  <c r="L353" i="5" s="1"/>
  <c r="M353" i="5" s="1"/>
  <c r="K764" i="7"/>
  <c r="L764" i="7" s="1"/>
  <c r="M764" i="7" s="1"/>
  <c r="K464" i="4"/>
  <c r="K423" i="5"/>
  <c r="L423" i="5" s="1"/>
  <c r="K795" i="6"/>
  <c r="L795" i="6" s="1"/>
  <c r="L99" i="6" s="1"/>
  <c r="K833" i="6"/>
  <c r="L833" i="6" s="1"/>
  <c r="M833" i="6" s="1"/>
  <c r="K927" i="6"/>
  <c r="L927" i="6" s="1"/>
  <c r="M927" i="6" s="1"/>
  <c r="K1181" i="6"/>
  <c r="L1181" i="6" s="1"/>
  <c r="M1181" i="6" s="1"/>
  <c r="K513" i="7"/>
  <c r="L513" i="7" s="1"/>
  <c r="M513" i="7" s="1"/>
  <c r="K922" i="6"/>
  <c r="L922" i="6" s="1"/>
  <c r="M922" i="6" s="1"/>
  <c r="K1448" i="6"/>
  <c r="L1448" i="6" s="1"/>
  <c r="M1448" i="6" s="1"/>
  <c r="K909" i="6"/>
  <c r="L909" i="6" s="1"/>
  <c r="K911" i="6"/>
  <c r="L911" i="6" s="1"/>
  <c r="M911" i="6" s="1"/>
  <c r="K1449" i="6"/>
  <c r="L1449" i="6" s="1"/>
  <c r="M1449" i="6" s="1"/>
  <c r="K1092" i="6"/>
  <c r="K1445" i="6"/>
  <c r="L1445" i="6" s="1"/>
  <c r="M1445" i="6" s="1"/>
  <c r="K417" i="5"/>
  <c r="L417" i="5" s="1"/>
  <c r="M417" i="5" s="1"/>
  <c r="K758" i="6"/>
  <c r="L758" i="6" s="1"/>
  <c r="M758" i="6" s="1"/>
  <c r="K832" i="6"/>
  <c r="L832" i="6" s="1"/>
  <c r="K351" i="5"/>
  <c r="L351" i="5" s="1"/>
  <c r="M351" i="5" s="1"/>
  <c r="K766" i="7"/>
  <c r="L766" i="7" s="1"/>
  <c r="M766" i="7" s="1"/>
  <c r="L1364" i="6"/>
  <c r="M1364" i="6" s="1"/>
  <c r="L426" i="5"/>
  <c r="M426" i="5" s="1"/>
  <c r="L301" i="5"/>
  <c r="M301" i="5" s="1"/>
  <c r="L235" i="5"/>
  <c r="L345" i="5"/>
  <c r="M345" i="5" s="1"/>
  <c r="L1305" i="6"/>
  <c r="M1305" i="6" s="1"/>
  <c r="L438" i="5"/>
  <c r="M438" i="5" s="1"/>
  <c r="L748" i="4"/>
  <c r="M748" i="4" s="1"/>
  <c r="L742" i="4"/>
  <c r="M742" i="4" s="1"/>
  <c r="L1742" i="6"/>
  <c r="M1742" i="6" s="1"/>
  <c r="L1165" i="6"/>
  <c r="M1165" i="6" s="1"/>
  <c r="L888" i="6"/>
  <c r="M888" i="6" s="1"/>
  <c r="L899" i="6"/>
  <c r="M899" i="6" s="1"/>
  <c r="L11" i="1"/>
  <c r="L739" i="4"/>
  <c r="M739" i="4" s="1"/>
  <c r="L254" i="8"/>
  <c r="M254" i="8" s="1"/>
  <c r="L188" i="8"/>
  <c r="M188" i="8" s="1"/>
  <c r="L190" i="8"/>
  <c r="M190" i="8" s="1"/>
  <c r="L484" i="7"/>
  <c r="M484" i="7" s="1"/>
  <c r="L477" i="7"/>
  <c r="M477" i="7" s="1"/>
  <c r="L304" i="8"/>
  <c r="L209" i="8"/>
  <c r="M209" i="8" s="1"/>
  <c r="L1555" i="6"/>
  <c r="M1555" i="6" s="1"/>
  <c r="L1564" i="6"/>
  <c r="M1564" i="6" s="1"/>
  <c r="L1115" i="6"/>
  <c r="M1115" i="6" s="1"/>
  <c r="L2012" i="6"/>
  <c r="M2012" i="6" s="1"/>
  <c r="L861" i="6"/>
  <c r="M861" i="6" s="1"/>
  <c r="L752" i="7"/>
  <c r="M752" i="7" s="1"/>
  <c r="L639" i="7"/>
  <c r="M639" i="7" s="1"/>
  <c r="L349" i="5"/>
  <c r="M349" i="5" s="1"/>
  <c r="L284" i="5"/>
  <c r="M284" i="5" s="1"/>
  <c r="L859" i="6"/>
  <c r="L224" i="5"/>
  <c r="L765" i="7"/>
  <c r="M765" i="7" s="1"/>
  <c r="L295" i="5"/>
  <c r="M295" i="5" s="1"/>
  <c r="L370" i="5"/>
  <c r="M370" i="5" s="1"/>
  <c r="L829" i="6"/>
  <c r="M829" i="6" s="1"/>
  <c r="L291" i="5"/>
  <c r="M291" i="5" s="1"/>
  <c r="L437" i="5"/>
  <c r="M437" i="5" s="1"/>
  <c r="L312" i="5"/>
  <c r="M312" i="5" s="1"/>
  <c r="L409" i="5"/>
  <c r="M409" i="5" s="1"/>
  <c r="L767" i="7"/>
  <c r="M767" i="7" s="1"/>
  <c r="L251" i="5"/>
  <c r="M251" i="5" s="1"/>
  <c r="K671" i="7"/>
  <c r="L671" i="7" s="1"/>
  <c r="M671" i="7" s="1"/>
  <c r="K924" i="6"/>
  <c r="L924" i="6" s="1"/>
  <c r="M924" i="6" s="1"/>
  <c r="K749" i="7"/>
  <c r="L749" i="7" s="1"/>
  <c r="M749" i="7" s="1"/>
  <c r="K443" i="5"/>
  <c r="L443" i="5" s="1"/>
  <c r="M443" i="5" s="1"/>
  <c r="K898" i="6"/>
  <c r="L898" i="6" s="1"/>
  <c r="M898" i="6" s="1"/>
  <c r="K431" i="5"/>
  <c r="L431" i="5" s="1"/>
  <c r="M431" i="5" s="1"/>
  <c r="K11" i="1"/>
  <c r="K1436" i="6"/>
  <c r="L1436" i="6" s="1"/>
  <c r="M1436" i="6" s="1"/>
  <c r="K1437" i="6"/>
  <c r="L1437" i="6" s="1"/>
  <c r="M1437" i="6" s="1"/>
  <c r="K915" i="6"/>
  <c r="L915" i="6" s="1"/>
  <c r="M915" i="6" s="1"/>
  <c r="K1725" i="6"/>
  <c r="L1725" i="6" s="1"/>
  <c r="M1725" i="6" s="1"/>
  <c r="K1912" i="6"/>
  <c r="L1912" i="6" s="1"/>
  <c r="M1912" i="6" s="1"/>
  <c r="K352" i="5"/>
  <c r="L352" i="5" s="1"/>
  <c r="M352" i="5" s="1"/>
  <c r="K429" i="5"/>
  <c r="L429" i="5" s="1"/>
  <c r="M429" i="5" s="1"/>
  <c r="K1868" i="6"/>
  <c r="L1868" i="6" s="1"/>
  <c r="M1868" i="6" s="1"/>
  <c r="K781" i="6"/>
  <c r="L781" i="6" s="1"/>
  <c r="M781" i="6" s="1"/>
  <c r="K1185" i="6"/>
  <c r="L1185" i="6" s="1"/>
  <c r="M1185" i="6" s="1"/>
  <c r="K1937" i="6"/>
  <c r="L1937" i="6" s="1"/>
  <c r="M1937" i="6" s="1"/>
  <c r="K1861" i="6"/>
  <c r="L1861" i="6" s="1"/>
  <c r="M1861" i="6" s="1"/>
  <c r="K1184" i="6"/>
  <c r="L1184" i="6" s="1"/>
  <c r="M1184" i="6" s="1"/>
  <c r="K856" i="7"/>
  <c r="L856" i="7" s="1"/>
  <c r="M856" i="7" s="1"/>
  <c r="K906" i="6"/>
  <c r="K1396" i="6"/>
  <c r="L1396" i="6" s="1"/>
  <c r="M1396" i="6" s="1"/>
  <c r="K1432" i="6"/>
  <c r="L1432" i="6" s="1"/>
  <c r="M1432" i="6" s="1"/>
  <c r="K1362" i="6"/>
  <c r="L1362" i="6" s="1"/>
  <c r="M1362" i="6" s="1"/>
  <c r="K846" i="6"/>
  <c r="L846" i="6" s="1"/>
  <c r="M846" i="6" s="1"/>
  <c r="K1455" i="6"/>
  <c r="L1455" i="6" s="1"/>
  <c r="M1455" i="6" s="1"/>
  <c r="K1430" i="6"/>
  <c r="L1430" i="6" s="1"/>
  <c r="M1430" i="6" s="1"/>
  <c r="K851" i="6"/>
  <c r="L851" i="6" s="1"/>
  <c r="M851" i="6" s="1"/>
  <c r="K1167" i="6"/>
  <c r="L1167" i="6" s="1"/>
  <c r="M1167" i="6" s="1"/>
  <c r="K1095" i="7"/>
  <c r="L1095" i="7" s="1"/>
  <c r="M1095" i="7" s="1"/>
  <c r="K1079" i="7"/>
  <c r="L1079" i="7" s="1"/>
  <c r="M1079" i="7" s="1"/>
  <c r="K1098" i="7"/>
  <c r="L1098" i="7" s="1"/>
  <c r="M1098" i="7" s="1"/>
  <c r="K1069" i="7"/>
  <c r="L1069" i="7" s="1"/>
  <c r="M1069" i="7" s="1"/>
  <c r="K1078" i="7"/>
  <c r="L1078" i="7" s="1"/>
  <c r="M1078" i="7" s="1"/>
  <c r="K1068" i="7"/>
  <c r="L1068" i="7" s="1"/>
  <c r="M1068" i="7" s="1"/>
  <c r="K1089" i="7"/>
  <c r="L1089" i="7" s="1"/>
  <c r="M1089" i="7" s="1"/>
  <c r="K903" i="7"/>
  <c r="L903" i="7" s="1"/>
  <c r="M903" i="7" s="1"/>
  <c r="K1081" i="7"/>
  <c r="L1081" i="7" s="1"/>
  <c r="M1081" i="7" s="1"/>
  <c r="K1085" i="7"/>
  <c r="L1085" i="7" s="1"/>
  <c r="M1085" i="7" s="1"/>
  <c r="K1343" i="6"/>
  <c r="L1343" i="6" s="1"/>
  <c r="M1343" i="6" s="1"/>
  <c r="K978" i="6"/>
  <c r="L978" i="6" s="1"/>
  <c r="K1354" i="6"/>
  <c r="L1354" i="6" s="1"/>
  <c r="M1354" i="6" s="1"/>
  <c r="K1355" i="6"/>
  <c r="L1355" i="6" s="1"/>
  <c r="M1355" i="6" s="1"/>
  <c r="K34" i="27"/>
  <c r="L34" i="27" s="1"/>
  <c r="M34" i="27" s="1"/>
  <c r="K1075" i="7"/>
  <c r="L1075" i="7" s="1"/>
  <c r="M1075" i="7" s="1"/>
  <c r="K1102" i="6"/>
  <c r="L1102" i="6" s="1"/>
  <c r="M1102" i="6" s="1"/>
  <c r="K756" i="6"/>
  <c r="L756" i="6" s="1"/>
  <c r="M756" i="6" s="1"/>
  <c r="K1602" i="6"/>
  <c r="L1602" i="6" s="1"/>
  <c r="M1602" i="6" s="1"/>
  <c r="K836" i="6"/>
  <c r="L836" i="6" s="1"/>
  <c r="M836" i="6" s="1"/>
  <c r="K793" i="6"/>
  <c r="L793" i="6" s="1"/>
  <c r="M793" i="6" s="1"/>
  <c r="P70" i="37"/>
  <c r="Q70" i="37" s="1"/>
  <c r="R70" i="37" s="1"/>
  <c r="K1433" i="6"/>
  <c r="L1433" i="6" s="1"/>
  <c r="M1433" i="6" s="1"/>
  <c r="K1450" i="6"/>
  <c r="L1450" i="6" s="1"/>
  <c r="M1450" i="6" s="1"/>
  <c r="K334" i="4"/>
  <c r="L334" i="4" s="1"/>
  <c r="I69" i="21"/>
  <c r="I73" i="21" s="1"/>
  <c r="I99" i="9"/>
  <c r="N121" i="9"/>
  <c r="O48" i="1"/>
  <c r="K844" i="6"/>
  <c r="L844" i="6" s="1"/>
  <c r="M844" i="6" s="1"/>
  <c r="K1194" i="6"/>
  <c r="L1194" i="6" s="1"/>
  <c r="M1194" i="6" s="1"/>
  <c r="K853" i="6"/>
  <c r="L853" i="6" s="1"/>
  <c r="M853" i="6" s="1"/>
  <c r="K891" i="6"/>
  <c r="L891" i="6" s="1"/>
  <c r="M891" i="6" s="1"/>
  <c r="K314" i="8"/>
  <c r="K1423" i="6"/>
  <c r="L1423" i="6" s="1"/>
  <c r="M1423" i="6" s="1"/>
  <c r="K847" i="6"/>
  <c r="L847" i="6" s="1"/>
  <c r="M847" i="6" s="1"/>
  <c r="K849" i="6"/>
  <c r="L849" i="6" s="1"/>
  <c r="M849" i="6" s="1"/>
  <c r="K238" i="8"/>
  <c r="L238" i="8" s="1"/>
  <c r="M238" i="8" s="1"/>
  <c r="K280" i="8"/>
  <c r="L280" i="8" s="1"/>
  <c r="M280" i="8" s="1"/>
  <c r="K282" i="8"/>
  <c r="L282" i="8" s="1"/>
  <c r="M282" i="8" s="1"/>
  <c r="K1097" i="7"/>
  <c r="L1097" i="7" s="1"/>
  <c r="M1097" i="7" s="1"/>
  <c r="K908" i="7"/>
  <c r="L908" i="7" s="1"/>
  <c r="M908" i="7" s="1"/>
  <c r="K1082" i="7"/>
  <c r="L1082" i="7" s="1"/>
  <c r="M1082" i="7" s="1"/>
  <c r="K1094" i="7"/>
  <c r="L1094" i="7" s="1"/>
  <c r="M1094" i="7" s="1"/>
  <c r="K1084" i="7"/>
  <c r="L1084" i="7" s="1"/>
  <c r="M1084" i="7" s="1"/>
  <c r="K1076" i="7"/>
  <c r="L1076" i="7" s="1"/>
  <c r="M1076" i="7" s="1"/>
  <c r="K1096" i="7"/>
  <c r="L1096" i="7" s="1"/>
  <c r="M1096" i="7" s="1"/>
  <c r="K1050" i="7"/>
  <c r="L1050" i="7" s="1"/>
  <c r="M1050" i="7" s="1"/>
  <c r="K902" i="7"/>
  <c r="L902" i="7" s="1"/>
  <c r="M902" i="7" s="1"/>
  <c r="K1341" i="6"/>
  <c r="L1341" i="6" s="1"/>
  <c r="M1341" i="6" s="1"/>
  <c r="K998" i="6"/>
  <c r="L998" i="6" s="1"/>
  <c r="M998" i="6" s="1"/>
  <c r="K976" i="6"/>
  <c r="L976" i="6" s="1"/>
  <c r="M976" i="6" s="1"/>
  <c r="K1667" i="6"/>
  <c r="L1667" i="6" s="1"/>
  <c r="M1667" i="6" s="1"/>
  <c r="K981" i="6"/>
  <c r="K1253" i="6"/>
  <c r="L1253" i="6" s="1"/>
  <c r="M1253" i="6" s="1"/>
  <c r="K1289" i="6"/>
  <c r="L1289" i="6" s="1"/>
  <c r="L10" i="1"/>
  <c r="K855" i="6"/>
  <c r="L855" i="6" s="1"/>
  <c r="M855" i="6" s="1"/>
  <c r="K854" i="6"/>
  <c r="L854" i="6" s="1"/>
  <c r="M854" i="6" s="1"/>
  <c r="P73" i="37"/>
  <c r="Q73" i="37" s="1"/>
  <c r="R73" i="37" s="1"/>
  <c r="J11" i="1"/>
  <c r="I149" i="34"/>
  <c r="J149" i="34" s="1"/>
  <c r="K149" i="34" s="1"/>
  <c r="H440" i="34"/>
  <c r="I440" i="34" s="1"/>
  <c r="J440" i="34" s="1"/>
  <c r="K10" i="1"/>
  <c r="K962" i="7"/>
  <c r="L962" i="7" s="1"/>
  <c r="M962" i="7" s="1"/>
  <c r="K912" i="7"/>
  <c r="L912" i="7" s="1"/>
  <c r="M912" i="7" s="1"/>
  <c r="K850" i="6"/>
  <c r="L850" i="6" s="1"/>
  <c r="M850" i="6" s="1"/>
  <c r="K581" i="7"/>
  <c r="K150" i="7" s="1"/>
  <c r="K153" i="7" s="1"/>
  <c r="K39" i="7" s="1"/>
  <c r="I66" i="13" s="1"/>
  <c r="K1453" i="6"/>
  <c r="L1453" i="6" s="1"/>
  <c r="M1453" i="6" s="1"/>
  <c r="K575" i="7"/>
  <c r="L575" i="7" s="1"/>
  <c r="M575" i="7" s="1"/>
  <c r="N575" i="7" s="1"/>
  <c r="O575" i="7" s="1"/>
  <c r="P575" i="7" s="1"/>
  <c r="Q575" i="7" s="1"/>
  <c r="R575" i="7" s="1"/>
  <c r="S575" i="7" s="1"/>
  <c r="K40" i="40"/>
  <c r="K1171" i="6"/>
  <c r="L1171" i="6" s="1"/>
  <c r="M1171" i="6" s="1"/>
  <c r="K1196" i="6"/>
  <c r="L1196" i="6" s="1"/>
  <c r="M1196" i="6" s="1"/>
  <c r="K794" i="6"/>
  <c r="L794" i="6" s="1"/>
  <c r="M794" i="6" s="1"/>
  <c r="K856" i="6"/>
  <c r="L856" i="6" s="1"/>
  <c r="M856" i="6" s="1"/>
  <c r="K1099" i="7"/>
  <c r="L1099" i="7" s="1"/>
  <c r="M1099" i="7" s="1"/>
  <c r="K319" i="8"/>
  <c r="L319" i="8" s="1"/>
  <c r="M319" i="8" s="1"/>
  <c r="K910" i="6"/>
  <c r="L910" i="6" s="1"/>
  <c r="M910" i="6" s="1"/>
  <c r="K1424" i="6"/>
  <c r="L1424" i="6" s="1"/>
  <c r="M1424" i="6" s="1"/>
  <c r="K325" i="8"/>
  <c r="L325" i="8" s="1"/>
  <c r="M325" i="8" s="1"/>
  <c r="K848" i="6"/>
  <c r="L848" i="6" s="1"/>
  <c r="M848" i="6" s="1"/>
  <c r="K1427" i="6"/>
  <c r="L1427" i="6" s="1"/>
  <c r="M1427" i="6" s="1"/>
  <c r="K206" i="8"/>
  <c r="L206" i="8" s="1"/>
  <c r="M206" i="8" s="1"/>
  <c r="K1071" i="7"/>
  <c r="L1071" i="7" s="1"/>
  <c r="M1071" i="7" s="1"/>
  <c r="K1074" i="7"/>
  <c r="L1074" i="7" s="1"/>
  <c r="M1074" i="7" s="1"/>
  <c r="K1090" i="7"/>
  <c r="L1090" i="7" s="1"/>
  <c r="M1090" i="7" s="1"/>
  <c r="K901" i="7"/>
  <c r="L901" i="7" s="1"/>
  <c r="M901" i="7" s="1"/>
  <c r="K1088" i="7"/>
  <c r="L1088" i="7" s="1"/>
  <c r="M1088" i="7" s="1"/>
  <c r="K1093" i="7"/>
  <c r="L1093" i="7" s="1"/>
  <c r="M1093" i="7" s="1"/>
  <c r="K1086" i="7"/>
  <c r="L1086" i="7" s="1"/>
  <c r="M1086" i="7" s="1"/>
  <c r="K980" i="6"/>
  <c r="L980" i="6" s="1"/>
  <c r="M980" i="6" s="1"/>
  <c r="K1360" i="6"/>
  <c r="L1360" i="6" s="1"/>
  <c r="M1360" i="6" s="1"/>
  <c r="K1825" i="6"/>
  <c r="L1825" i="6" s="1"/>
  <c r="M1825" i="6" s="1"/>
  <c r="K974" i="6"/>
  <c r="L974" i="6" s="1"/>
  <c r="M974" i="6" s="1"/>
  <c r="K2000" i="6"/>
  <c r="L2000" i="6" s="1"/>
  <c r="M2000" i="6" s="1"/>
  <c r="K1070" i="7"/>
  <c r="L1070" i="7" s="1"/>
  <c r="M1070" i="7" s="1"/>
  <c r="K207" i="8"/>
  <c r="L207" i="8" s="1"/>
  <c r="M207" i="8" s="1"/>
  <c r="K1726" i="6"/>
  <c r="L1726" i="6" s="1"/>
  <c r="M1726" i="6" s="1"/>
  <c r="K1837" i="6"/>
  <c r="L1837" i="6" s="1"/>
  <c r="M1837" i="6" s="1"/>
  <c r="K305" i="8"/>
  <c r="L305" i="8" s="1"/>
  <c r="M305" i="8" s="1"/>
  <c r="K301" i="8"/>
  <c r="L301" i="8" s="1"/>
  <c r="M301" i="8" s="1"/>
  <c r="K300" i="8"/>
  <c r="L300" i="8" s="1"/>
  <c r="M300" i="8" s="1"/>
  <c r="I70" i="1"/>
  <c r="K1191" i="6"/>
  <c r="L1191" i="6" s="1"/>
  <c r="M1191" i="6" s="1"/>
  <c r="K1189" i="6"/>
  <c r="L1189" i="6" s="1"/>
  <c r="M1189" i="6" s="1"/>
  <c r="P75" i="37"/>
  <c r="Q75" i="37" s="1"/>
  <c r="R75" i="37" s="1"/>
  <c r="I132" i="34"/>
  <c r="J132" i="34" s="1"/>
  <c r="K132" i="34" s="1"/>
  <c r="H455" i="34"/>
  <c r="I455" i="34" s="1"/>
  <c r="J455" i="34" s="1"/>
  <c r="K899" i="7"/>
  <c r="L899" i="7" s="1"/>
  <c r="M899" i="7" s="1"/>
  <c r="K1428" i="6"/>
  <c r="L1428" i="6" s="1"/>
  <c r="M1428" i="6" s="1"/>
  <c r="K1397" i="6"/>
  <c r="L1397" i="6" s="1"/>
  <c r="M1397" i="6" s="1"/>
  <c r="J28" i="1"/>
  <c r="K58" i="1"/>
  <c r="I286" i="3"/>
  <c r="J178" i="8"/>
  <c r="K178" i="8" s="1"/>
  <c r="L178" i="8" s="1"/>
  <c r="M178" i="8" s="1"/>
  <c r="N178" i="8" s="1"/>
  <c r="J177" i="8"/>
  <c r="N107" i="9"/>
  <c r="BN107" i="9" s="1"/>
  <c r="K1910" i="6"/>
  <c r="L1910" i="6" s="1"/>
  <c r="M1910" i="6" s="1"/>
  <c r="K852" i="6"/>
  <c r="L852" i="6" s="1"/>
  <c r="M852" i="6" s="1"/>
  <c r="K778" i="6"/>
  <c r="L778" i="6" s="1"/>
  <c r="M778" i="6" s="1"/>
  <c r="K1906" i="6"/>
  <c r="L1906" i="6" s="1"/>
  <c r="M1906" i="6" s="1"/>
  <c r="K1887" i="6"/>
  <c r="L1887" i="6" s="1"/>
  <c r="M1887" i="6" s="1"/>
  <c r="K430" i="8"/>
  <c r="L430" i="8" s="1"/>
  <c r="M430" i="8" s="1"/>
  <c r="K834" i="6"/>
  <c r="L834" i="6" s="1"/>
  <c r="M834" i="6" s="1"/>
  <c r="K919" i="6"/>
  <c r="K1425" i="6"/>
  <c r="L1425" i="6" s="1"/>
  <c r="M1425" i="6" s="1"/>
  <c r="K1454" i="6"/>
  <c r="L1454" i="6" s="1"/>
  <c r="M1454" i="6" s="1"/>
  <c r="K1431" i="6"/>
  <c r="L1431" i="6" s="1"/>
  <c r="M1431" i="6" s="1"/>
  <c r="K845" i="6"/>
  <c r="L845" i="6" s="1"/>
  <c r="K905" i="6"/>
  <c r="L905" i="6" s="1"/>
  <c r="M905" i="6" s="1"/>
  <c r="K1077" i="7"/>
  <c r="L1077" i="7" s="1"/>
  <c r="M1077" i="7" s="1"/>
  <c r="K1072" i="7"/>
  <c r="L1072" i="7" s="1"/>
  <c r="M1072" i="7" s="1"/>
  <c r="K1067" i="7"/>
  <c r="L1067" i="7" s="1"/>
  <c r="M1067" i="7" s="1"/>
  <c r="K1091" i="7"/>
  <c r="L1091" i="7" s="1"/>
  <c r="M1091" i="7" s="1"/>
  <c r="K1087" i="7"/>
  <c r="L1087" i="7" s="1"/>
  <c r="M1087" i="7" s="1"/>
  <c r="K1080" i="7"/>
  <c r="L1080" i="7" s="1"/>
  <c r="M1080" i="7" s="1"/>
  <c r="K1083" i="7"/>
  <c r="L1083" i="7" s="1"/>
  <c r="M1083" i="7" s="1"/>
  <c r="K1104" i="6"/>
  <c r="L1104" i="6" s="1"/>
  <c r="M1104" i="6" s="1"/>
  <c r="K1612" i="6"/>
  <c r="K1395" i="6"/>
  <c r="L1395" i="6" s="1"/>
  <c r="M1395" i="6" s="1"/>
  <c r="K1357" i="6"/>
  <c r="L1357" i="6" s="1"/>
  <c r="M1357" i="6" s="1"/>
  <c r="K1340" i="6"/>
  <c r="L1340" i="6" s="1"/>
  <c r="M1340" i="6" s="1"/>
  <c r="K1166" i="6"/>
  <c r="K241" i="8"/>
  <c r="L241" i="8" s="1"/>
  <c r="M241" i="8" s="1"/>
  <c r="K1897" i="6"/>
  <c r="L1897" i="6" s="1"/>
  <c r="M1897" i="6" s="1"/>
  <c r="K274" i="8"/>
  <c r="L274" i="8" s="1"/>
  <c r="M274" i="8" s="1"/>
  <c r="K757" i="6"/>
  <c r="L757" i="6" s="1"/>
  <c r="M757" i="6" s="1"/>
  <c r="P72" i="37"/>
  <c r="Q72" i="37" s="1"/>
  <c r="R72" i="37" s="1"/>
  <c r="I155" i="34"/>
  <c r="J155" i="34" s="1"/>
  <c r="K155" i="34" s="1"/>
  <c r="I141" i="34"/>
  <c r="J141" i="34" s="1"/>
  <c r="K141" i="34" s="1"/>
  <c r="K928" i="6"/>
  <c r="L928" i="6" s="1"/>
  <c r="M928" i="6" s="1"/>
  <c r="K1429" i="6"/>
  <c r="L1429" i="6" s="1"/>
  <c r="M1429" i="6" s="1"/>
  <c r="K1451" i="6"/>
  <c r="L1451" i="6" s="1"/>
  <c r="M1451" i="6" s="1"/>
  <c r="K1398" i="6"/>
  <c r="L1398" i="6" s="1"/>
  <c r="M1398" i="6" s="1"/>
  <c r="J29" i="1"/>
  <c r="J26" i="1"/>
  <c r="K26" i="1" s="1"/>
  <c r="K25" i="1"/>
  <c r="L25" i="1" s="1"/>
  <c r="M25" i="1" s="1"/>
  <c r="N25" i="1" s="1"/>
  <c r="O25" i="1" s="1"/>
  <c r="P25" i="1" s="1"/>
  <c r="Q25" i="1" s="1"/>
  <c r="R25" i="1" s="1"/>
  <c r="J27" i="1"/>
  <c r="Q46" i="1"/>
  <c r="O183" i="9"/>
  <c r="BS183" i="9" s="1"/>
  <c r="C117" i="37"/>
  <c r="K1117" i="6"/>
  <c r="L1117" i="6" s="1"/>
  <c r="M1117" i="6" s="1"/>
  <c r="K1122" i="6"/>
  <c r="L1122" i="6" s="1"/>
  <c r="M1122" i="6" s="1"/>
  <c r="K1126" i="6"/>
  <c r="L1126" i="6" s="1"/>
  <c r="M1126" i="6" s="1"/>
  <c r="K1310" i="6"/>
  <c r="L1310" i="6" s="1"/>
  <c r="M1310" i="6" s="1"/>
  <c r="K1314" i="6"/>
  <c r="L1314" i="6" s="1"/>
  <c r="M1314" i="6" s="1"/>
  <c r="K1320" i="6"/>
  <c r="L1320" i="6" s="1"/>
  <c r="M1320" i="6" s="1"/>
  <c r="K1411" i="6"/>
  <c r="L1411" i="6" s="1"/>
  <c r="M1411" i="6" s="1"/>
  <c r="K1416" i="6"/>
  <c r="L1416" i="6" s="1"/>
  <c r="M1416" i="6" s="1"/>
  <c r="K1565" i="6"/>
  <c r="L1565" i="6" s="1"/>
  <c r="M1565" i="6" s="1"/>
  <c r="K365" i="8"/>
  <c r="L365" i="8" s="1"/>
  <c r="M365" i="8" s="1"/>
  <c r="K449" i="8"/>
  <c r="L449" i="8" s="1"/>
  <c r="M449" i="8" s="1"/>
  <c r="K453" i="8"/>
  <c r="L453" i="8" s="1"/>
  <c r="M453" i="8" s="1"/>
  <c r="K464" i="8"/>
  <c r="L464" i="8" s="1"/>
  <c r="M464" i="8" s="1"/>
  <c r="K468" i="8"/>
  <c r="L468" i="8" s="1"/>
  <c r="M468" i="8" s="1"/>
  <c r="K990" i="6"/>
  <c r="L990" i="6" s="1"/>
  <c r="M990" i="6" s="1"/>
  <c r="K1743" i="6"/>
  <c r="K805" i="7"/>
  <c r="L805" i="7" s="1"/>
  <c r="M805" i="7" s="1"/>
  <c r="K513" i="8"/>
  <c r="L513" i="8" s="1"/>
  <c r="M513" i="8" s="1"/>
  <c r="K23" i="1"/>
  <c r="L23" i="1" s="1"/>
  <c r="M23" i="1" s="1"/>
  <c r="N23" i="1" s="1"/>
  <c r="O23" i="1" s="1"/>
  <c r="P23" i="1" s="1"/>
  <c r="Q23" i="1" s="1"/>
  <c r="R23" i="1" s="1"/>
  <c r="D15" i="34"/>
  <c r="K512" i="8"/>
  <c r="L512" i="8" s="1"/>
  <c r="M512" i="8" s="1"/>
  <c r="K1123" i="6"/>
  <c r="L1123" i="6" s="1"/>
  <c r="M1123" i="6" s="1"/>
  <c r="K1131" i="6"/>
  <c r="L1131" i="6" s="1"/>
  <c r="K1321" i="6"/>
  <c r="L1321" i="6" s="1"/>
  <c r="M1321" i="6" s="1"/>
  <c r="K1332" i="6"/>
  <c r="L1332" i="6" s="1"/>
  <c r="M1332" i="6" s="1"/>
  <c r="K1408" i="6"/>
  <c r="L1408" i="6" s="1"/>
  <c r="M1408" i="6" s="1"/>
  <c r="K1413" i="6"/>
  <c r="L1413" i="6" s="1"/>
  <c r="M1413" i="6" s="1"/>
  <c r="K1435" i="6"/>
  <c r="L1435" i="6" s="1"/>
  <c r="M1435" i="6" s="1"/>
  <c r="K1567" i="6"/>
  <c r="L1567" i="6" s="1"/>
  <c r="M1567" i="6" s="1"/>
  <c r="K804" i="7"/>
  <c r="K104" i="1"/>
  <c r="L104" i="1" s="1"/>
  <c r="M104" i="1" s="1"/>
  <c r="N104" i="1" s="1"/>
  <c r="O104" i="1" s="1"/>
  <c r="P104" i="1" s="1"/>
  <c r="Q104" i="1" s="1"/>
  <c r="R104" i="1" s="1"/>
  <c r="G290" i="3"/>
  <c r="G296" i="3"/>
  <c r="E608" i="34"/>
  <c r="J103" i="1"/>
  <c r="K103" i="1" s="1"/>
  <c r="L103" i="1" s="1"/>
  <c r="M103" i="1" s="1"/>
  <c r="N103" i="1" s="1"/>
  <c r="O103" i="1" s="1"/>
  <c r="P103" i="1" s="1"/>
  <c r="Q103" i="1" s="1"/>
  <c r="R103" i="1" s="1"/>
  <c r="K472" i="8"/>
  <c r="L472" i="8" s="1"/>
  <c r="M472" i="8" s="1"/>
  <c r="K1113" i="6"/>
  <c r="L1113" i="6" s="1"/>
  <c r="K1114" i="6"/>
  <c r="L1114" i="6" s="1"/>
  <c r="M1114" i="6" s="1"/>
  <c r="K1120" i="6"/>
  <c r="L1120" i="6" s="1"/>
  <c r="M1120" i="6" s="1"/>
  <c r="K1124" i="6"/>
  <c r="L1124" i="6" s="1"/>
  <c r="M1124" i="6" s="1"/>
  <c r="K1312" i="6"/>
  <c r="L1312" i="6" s="1"/>
  <c r="M1312" i="6" s="1"/>
  <c r="K1318" i="6"/>
  <c r="L1318" i="6" s="1"/>
  <c r="M1318" i="6" s="1"/>
  <c r="K1322" i="6"/>
  <c r="L1322" i="6" s="1"/>
  <c r="M1322" i="6" s="1"/>
  <c r="K1334" i="6"/>
  <c r="K1409" i="6"/>
  <c r="L1409" i="6" s="1"/>
  <c r="M1409" i="6" s="1"/>
  <c r="K1414" i="6"/>
  <c r="L1414" i="6" s="1"/>
  <c r="M1414" i="6" s="1"/>
  <c r="K1558" i="6"/>
  <c r="L1558" i="6" s="1"/>
  <c r="M1558" i="6" s="1"/>
  <c r="H146" i="9"/>
  <c r="H141" i="9"/>
  <c r="H115" i="9"/>
  <c r="I115" i="9" s="1"/>
  <c r="J115" i="9" s="1"/>
  <c r="H181" i="9"/>
  <c r="AK181" i="9" s="1"/>
  <c r="H110" i="9"/>
  <c r="H114" i="9"/>
  <c r="K1121" i="6"/>
  <c r="L1121" i="6" s="1"/>
  <c r="M1121" i="6" s="1"/>
  <c r="K1313" i="6"/>
  <c r="L1313" i="6" s="1"/>
  <c r="M1313" i="6" s="1"/>
  <c r="K1319" i="6"/>
  <c r="L1319" i="6" s="1"/>
  <c r="M1319" i="6" s="1"/>
  <c r="K1410" i="6"/>
  <c r="L1410" i="6" s="1"/>
  <c r="M1410" i="6" s="1"/>
  <c r="K1415" i="6"/>
  <c r="L1415" i="6" s="1"/>
  <c r="M1415" i="6" s="1"/>
  <c r="K1563" i="6"/>
  <c r="L1563" i="6" s="1"/>
  <c r="M1563" i="6" s="1"/>
  <c r="J10" i="1"/>
  <c r="B999" i="7"/>
  <c r="I902" i="7"/>
  <c r="I65" i="10"/>
  <c r="AF55" i="9"/>
  <c r="B305" i="15"/>
  <c r="B309" i="15" s="1"/>
  <c r="B118" i="17"/>
  <c r="J260" i="15"/>
  <c r="C114" i="16"/>
  <c r="B113" i="17"/>
  <c r="J290" i="45"/>
  <c r="K126" i="8"/>
  <c r="J45" i="8"/>
  <c r="C394" i="34"/>
  <c r="C355" i="34" s="1"/>
  <c r="E294" i="45"/>
  <c r="C88" i="16"/>
  <c r="B328" i="34"/>
  <c r="B329" i="34" s="1"/>
  <c r="B331" i="34" s="1"/>
  <c r="B176" i="34" s="1"/>
  <c r="N261" i="15"/>
  <c r="N29" i="3"/>
  <c r="AG21" i="42"/>
  <c r="B85" i="15" s="1"/>
  <c r="P261" i="15"/>
  <c r="M107" i="34" s="1"/>
  <c r="C261" i="15"/>
  <c r="D107" i="34" s="1"/>
  <c r="H21" i="8"/>
  <c r="I21" i="8" s="1"/>
  <c r="F117" i="15"/>
  <c r="G117" i="15" s="1"/>
  <c r="J64" i="8"/>
  <c r="H148" i="8"/>
  <c r="I148" i="8" s="1"/>
  <c r="P22" i="8"/>
  <c r="N114" i="16"/>
  <c r="J165" i="3"/>
  <c r="J166" i="3" s="1"/>
  <c r="O30" i="3"/>
  <c r="O165" i="3"/>
  <c r="O166" i="3" s="1"/>
  <c r="J114" i="16"/>
  <c r="J69" i="8"/>
  <c r="J65" i="8"/>
  <c r="L22" i="8"/>
  <c r="F289" i="45"/>
  <c r="B90" i="16"/>
  <c r="B34" i="16" s="1"/>
  <c r="B120" i="16" s="1"/>
  <c r="C90" i="16"/>
  <c r="C34" i="16" s="1"/>
  <c r="B392" i="8"/>
  <c r="C68" i="8"/>
  <c r="AF21" i="42"/>
  <c r="A85" i="15" s="1"/>
  <c r="O261" i="15"/>
  <c r="B82" i="15"/>
  <c r="AJ8" i="42"/>
  <c r="F71" i="15" s="1"/>
  <c r="G71" i="15" s="1"/>
  <c r="I44" i="8"/>
  <c r="B39" i="5"/>
  <c r="A46" i="3" s="1"/>
  <c r="J148" i="5"/>
  <c r="K148" i="5"/>
  <c r="I365" i="5"/>
  <c r="H386" i="5"/>
  <c r="D324" i="15"/>
  <c r="D67" i="17"/>
  <c r="D70" i="17" s="1"/>
  <c r="D80" i="3" s="1"/>
  <c r="H117" i="37"/>
  <c r="K186" i="14"/>
  <c r="K206" i="14"/>
  <c r="L186" i="14"/>
  <c r="L206" i="14"/>
  <c r="N206" i="14"/>
  <c r="O56" i="12"/>
  <c r="E206" i="14"/>
  <c r="H63" i="12"/>
  <c r="H139" i="9"/>
  <c r="G69" i="14"/>
  <c r="G73" i="14" s="1"/>
  <c r="E198" i="14"/>
  <c r="F93" i="14" s="1"/>
  <c r="E192" i="14"/>
  <c r="F87" i="14" s="1"/>
  <c r="H186" i="14"/>
  <c r="H206" i="14"/>
  <c r="F192" i="14"/>
  <c r="G87" i="14" s="1"/>
  <c r="G212" i="14"/>
  <c r="F198" i="14"/>
  <c r="G91" i="14" s="1"/>
  <c r="G218" i="14"/>
  <c r="F186" i="14"/>
  <c r="F206" i="14"/>
  <c r="G209" i="14"/>
  <c r="F189" i="14"/>
  <c r="G84" i="14" s="1"/>
  <c r="F193" i="14"/>
  <c r="G88" i="14" s="1"/>
  <c r="G213" i="14"/>
  <c r="F199" i="14"/>
  <c r="G219" i="14"/>
  <c r="G186" i="14"/>
  <c r="G206" i="14"/>
  <c r="F191" i="14"/>
  <c r="G86" i="14" s="1"/>
  <c r="E199" i="14"/>
  <c r="F94" i="14" s="1"/>
  <c r="E193" i="14"/>
  <c r="F88" i="14" s="1"/>
  <c r="E189" i="14"/>
  <c r="F84" i="14" s="1"/>
  <c r="F215" i="14"/>
  <c r="E61" i="6"/>
  <c r="D23" i="3" s="1"/>
  <c r="F210" i="14"/>
  <c r="F214" i="14"/>
  <c r="E191" i="14"/>
  <c r="F86" i="14" s="1"/>
  <c r="E1115" i="7"/>
  <c r="I1115" i="7" s="1"/>
  <c r="E430" i="7"/>
  <c r="E48" i="7" s="1"/>
  <c r="D21" i="3" s="1"/>
  <c r="D96" i="14"/>
  <c r="D112" i="14"/>
  <c r="J63" i="12"/>
  <c r="D190" i="14"/>
  <c r="I62" i="12"/>
  <c r="AM139" i="9" s="1"/>
  <c r="AM143" i="9" s="1"/>
  <c r="U25" i="37"/>
  <c r="T25" i="37"/>
  <c r="D2034" i="6"/>
  <c r="G72" i="14"/>
  <c r="C72" i="34"/>
  <c r="K69" i="14"/>
  <c r="K73" i="14" s="1"/>
  <c r="E97" i="12"/>
  <c r="C7" i="10" s="1"/>
  <c r="C39" i="10" s="1"/>
  <c r="F480" i="34"/>
  <c r="F534" i="34" s="1"/>
  <c r="H69" i="14"/>
  <c r="L26" i="37"/>
  <c r="AU87" i="37" s="1"/>
  <c r="AU38" i="37" s="1"/>
  <c r="C482" i="34"/>
  <c r="D108" i="37"/>
  <c r="D110" i="37" s="1"/>
  <c r="D4" i="37"/>
  <c r="E2" i="37" s="1"/>
  <c r="N4" i="37"/>
  <c r="O2" i="37" s="1"/>
  <c r="N108" i="37"/>
  <c r="N110" i="37" s="1"/>
  <c r="F98" i="37"/>
  <c r="F100" i="37" s="1"/>
  <c r="G81" i="37"/>
  <c r="G84" i="37" s="1"/>
  <c r="O107" i="11"/>
  <c r="O114" i="11"/>
  <c r="L107" i="11"/>
  <c r="M114" i="11"/>
  <c r="N114" i="11" s="1"/>
  <c r="R107" i="11"/>
  <c r="F136" i="11"/>
  <c r="D104" i="3"/>
  <c r="D1006" i="6"/>
  <c r="D1009" i="6" s="1"/>
  <c r="B638" i="6"/>
  <c r="C1508" i="6"/>
  <c r="C1510" i="6" s="1"/>
  <c r="C1521" i="6" s="1"/>
  <c r="F165" i="45"/>
  <c r="B435" i="6"/>
  <c r="A108" i="6"/>
  <c r="F257" i="10"/>
  <c r="AA217" i="9"/>
  <c r="X143" i="9"/>
  <c r="AA139" i="9"/>
  <c r="X75" i="9"/>
  <c r="AA70" i="9"/>
  <c r="J450" i="6"/>
  <c r="J455" i="6" s="1"/>
  <c r="I142" i="5"/>
  <c r="L315" i="5"/>
  <c r="Z307" i="9"/>
  <c r="AA133" i="9"/>
  <c r="B170" i="3"/>
  <c r="B82" i="3"/>
  <c r="A1700" i="6"/>
  <c r="A1702" i="6" s="1"/>
  <c r="A1713" i="6" s="1"/>
  <c r="A1642" i="6"/>
  <c r="A1644" i="6" s="1"/>
  <c r="A1655" i="6" s="1"/>
  <c r="A1143" i="6"/>
  <c r="A1145" i="6" s="1"/>
  <c r="A1154" i="6" s="1"/>
  <c r="L827" i="6"/>
  <c r="J137" i="6"/>
  <c r="C2036" i="6"/>
  <c r="C2038" i="6" s="1"/>
  <c r="C2047" i="6" s="1"/>
  <c r="C1206" i="6"/>
  <c r="C1217" i="6" s="1"/>
  <c r="B1700" i="6"/>
  <c r="B1702" i="6" s="1"/>
  <c r="B1713" i="6" s="1"/>
  <c r="C196" i="6"/>
  <c r="B114" i="42" s="1"/>
  <c r="D221" i="6"/>
  <c r="B1813" i="6"/>
  <c r="C435" i="6"/>
  <c r="A343" i="6"/>
  <c r="B139" i="6"/>
  <c r="C763" i="34"/>
  <c r="B158" i="6"/>
  <c r="D680" i="6"/>
  <c r="J1328" i="6"/>
  <c r="K1328" i="6" s="1"/>
  <c r="K426" i="6" s="1"/>
  <c r="O2092" i="6"/>
  <c r="L31" i="13" s="1"/>
  <c r="L50" i="13" s="1"/>
  <c r="A1510" i="6"/>
  <c r="A1521" i="6" s="1"/>
  <c r="E29" i="45"/>
  <c r="B680" i="6"/>
  <c r="D425" i="6"/>
  <c r="A1204" i="6"/>
  <c r="A1206" i="6" s="1"/>
  <c r="A1217" i="6" s="1"/>
  <c r="K782" i="34"/>
  <c r="C444" i="6"/>
  <c r="R740" i="6"/>
  <c r="B130" i="6"/>
  <c r="B132" i="6" s="1"/>
  <c r="B7" i="6" s="1"/>
  <c r="B379" i="6"/>
  <c r="B27" i="6" s="1"/>
  <c r="B371" i="6"/>
  <c r="B11" i="6" s="1"/>
  <c r="C1006" i="6"/>
  <c r="C1009" i="6" s="1"/>
  <c r="C1018" i="6" s="1"/>
  <c r="B1508" i="6"/>
  <c r="B1510" i="6" s="1"/>
  <c r="B1521" i="6" s="1"/>
  <c r="F32" i="45"/>
  <c r="D277" i="6"/>
  <c r="C7" i="6"/>
  <c r="D196" i="6"/>
  <c r="D254" i="6"/>
  <c r="D365" i="6"/>
  <c r="H19" i="58"/>
  <c r="C1570" i="6"/>
  <c r="D168" i="6"/>
  <c r="D222" i="6"/>
  <c r="D455" i="6"/>
  <c r="B18" i="58"/>
  <c r="B22" i="58"/>
  <c r="D704" i="6"/>
  <c r="C731" i="6"/>
  <c r="C508" i="6"/>
  <c r="C29" i="6" s="1"/>
  <c r="D868" i="6"/>
  <c r="D379" i="6"/>
  <c r="H165" i="45"/>
  <c r="K101" i="48"/>
  <c r="G113" i="42"/>
  <c r="C329" i="6"/>
  <c r="B328" i="42"/>
  <c r="D328" i="42" s="1"/>
  <c r="B1606" i="6"/>
  <c r="B326" i="6"/>
  <c r="C1299" i="6"/>
  <c r="B19" i="58"/>
  <c r="B824" i="6"/>
  <c r="B81" i="6"/>
  <c r="B6" i="6" s="1"/>
  <c r="D603" i="6"/>
  <c r="D454" i="6"/>
  <c r="D6" i="6"/>
  <c r="D1234" i="6"/>
  <c r="K901" i="6"/>
  <c r="L1052" i="6"/>
  <c r="D366" i="6"/>
  <c r="S12" i="42"/>
  <c r="D12" i="42" s="1"/>
  <c r="D412" i="6"/>
  <c r="A1259" i="6"/>
  <c r="A1261" i="6" s="1"/>
  <c r="A1272" i="6" s="1"/>
  <c r="D511" i="6"/>
  <c r="A578" i="6"/>
  <c r="A15" i="6" s="1"/>
  <c r="B1202" i="6"/>
  <c r="B1204" i="6" s="1"/>
  <c r="B1206" i="6" s="1"/>
  <c r="B1217" i="6" s="1"/>
  <c r="C326" i="6"/>
  <c r="D550" i="6"/>
  <c r="C764" i="34"/>
  <c r="D604" i="6"/>
  <c r="C598" i="6"/>
  <c r="C605" i="6" s="1"/>
  <c r="C680" i="6"/>
  <c r="D540" i="6"/>
  <c r="D264" i="6"/>
  <c r="Q113" i="42"/>
  <c r="I132" i="6"/>
  <c r="A196" i="6"/>
  <c r="A8" i="6" s="1"/>
  <c r="H65" i="10"/>
  <c r="J896" i="7"/>
  <c r="K896" i="7" s="1"/>
  <c r="L896" i="7" s="1"/>
  <c r="M896" i="7" s="1"/>
  <c r="I896" i="7"/>
  <c r="I818" i="7"/>
  <c r="J897" i="7"/>
  <c r="K897" i="7" s="1"/>
  <c r="I897" i="7"/>
  <c r="F160" i="15"/>
  <c r="G160" i="15" s="1"/>
  <c r="G215" i="15"/>
  <c r="H302" i="7"/>
  <c r="I302" i="7" s="1"/>
  <c r="I816" i="7"/>
  <c r="H66" i="10"/>
  <c r="H103" i="10" s="1"/>
  <c r="I836" i="7"/>
  <c r="J898" i="7"/>
  <c r="K898" i="7" s="1"/>
  <c r="L898" i="7" s="1"/>
  <c r="M898" i="7" s="1"/>
  <c r="I898" i="7"/>
  <c r="J963" i="7"/>
  <c r="K963" i="7" s="1"/>
  <c r="I963" i="7"/>
  <c r="J893" i="7"/>
  <c r="K893" i="7" s="1"/>
  <c r="L893" i="7" s="1"/>
  <c r="M893" i="7" s="1"/>
  <c r="I893" i="7"/>
  <c r="B119" i="17"/>
  <c r="B300" i="15"/>
  <c r="J27" i="16"/>
  <c r="J12" i="16" s="1"/>
  <c r="J247" i="15" s="1"/>
  <c r="J269" i="15" s="1"/>
  <c r="M331" i="8"/>
  <c r="M79" i="8" s="1"/>
  <c r="AN22" i="42" s="1"/>
  <c r="L337" i="8"/>
  <c r="L79" i="8"/>
  <c r="L21" i="8" s="1"/>
  <c r="C230" i="42"/>
  <c r="D246" i="42"/>
  <c r="D245" i="42"/>
  <c r="F317" i="15"/>
  <c r="G317" i="15" s="1"/>
  <c r="F318" i="15"/>
  <c r="G318" i="15" s="1"/>
  <c r="F107" i="34"/>
  <c r="C245" i="42"/>
  <c r="H90" i="16"/>
  <c r="H34" i="16" s="1"/>
  <c r="H144" i="15"/>
  <c r="B147" i="15"/>
  <c r="B143" i="15"/>
  <c r="H155" i="15"/>
  <c r="B372" i="34"/>
  <c r="B373" i="34" s="1"/>
  <c r="B187" i="34" s="1"/>
  <c r="B398" i="34"/>
  <c r="B546" i="34"/>
  <c r="B547" i="34" s="1"/>
  <c r="B252" i="34" s="1"/>
  <c r="B395" i="34"/>
  <c r="B144" i="15"/>
  <c r="B575" i="34"/>
  <c r="K277" i="8"/>
  <c r="L277" i="8" s="1"/>
  <c r="J291" i="45"/>
  <c r="H744" i="34"/>
  <c r="K311" i="8"/>
  <c r="L311" i="8" s="1"/>
  <c r="M311" i="8" s="1"/>
  <c r="J88" i="16"/>
  <c r="M219" i="8"/>
  <c r="K62" i="8"/>
  <c r="L294" i="8"/>
  <c r="F101" i="15"/>
  <c r="G101" i="15" s="1"/>
  <c r="M461" i="8"/>
  <c r="L128" i="8"/>
  <c r="M485" i="8"/>
  <c r="L45" i="8"/>
  <c r="M186" i="8"/>
  <c r="K27" i="16"/>
  <c r="K12" i="16" s="1"/>
  <c r="K247" i="15" s="1"/>
  <c r="K269" i="15" s="1"/>
  <c r="E622" i="34"/>
  <c r="E623" i="34" s="1"/>
  <c r="E625" i="34" s="1"/>
  <c r="E246" i="34" s="1"/>
  <c r="C101" i="15"/>
  <c r="J57" i="8"/>
  <c r="K66" i="8"/>
  <c r="L257" i="8"/>
  <c r="AV45" i="42"/>
  <c r="AV47" i="42" s="1"/>
  <c r="F383" i="34"/>
  <c r="C558" i="34"/>
  <c r="B385" i="34"/>
  <c r="B386" i="34" s="1"/>
  <c r="B190" i="34" s="1"/>
  <c r="AG8" i="42"/>
  <c r="B71" i="15" s="1"/>
  <c r="B296" i="34"/>
  <c r="B526" i="34"/>
  <c r="B107" i="8"/>
  <c r="AU8" i="42" s="1"/>
  <c r="O82" i="15"/>
  <c r="C89" i="17"/>
  <c r="C34" i="17" s="1"/>
  <c r="AW45" i="42" s="1"/>
  <c r="AL19" i="42"/>
  <c r="I82" i="15" s="1"/>
  <c r="C47" i="8"/>
  <c r="G165" i="3"/>
  <c r="G166" i="3" s="1"/>
  <c r="K165" i="3"/>
  <c r="K166" i="3" s="1"/>
  <c r="J66" i="8"/>
  <c r="A81" i="8"/>
  <c r="A583" i="8" s="1"/>
  <c r="D150" i="8"/>
  <c r="D138" i="8"/>
  <c r="A113" i="8"/>
  <c r="A577" i="8" s="1"/>
  <c r="A8" i="8" s="1"/>
  <c r="A10" i="8" s="1"/>
  <c r="J29" i="3"/>
  <c r="A31" i="8"/>
  <c r="C25" i="17"/>
  <c r="C10" i="17" s="1"/>
  <c r="D129" i="8"/>
  <c r="AH21" i="42"/>
  <c r="A256" i="15"/>
  <c r="A260" i="15" s="1"/>
  <c r="A120" i="16"/>
  <c r="C683" i="34"/>
  <c r="C198" i="34" s="1"/>
  <c r="A254" i="3"/>
  <c r="M304" i="8"/>
  <c r="K324" i="8"/>
  <c r="J294" i="45"/>
  <c r="F108" i="15"/>
  <c r="G108" i="15" s="1"/>
  <c r="K69" i="8"/>
  <c r="L328" i="8"/>
  <c r="AV7" i="42"/>
  <c r="D622" i="34" s="1"/>
  <c r="D623" i="34" s="1"/>
  <c r="D625" i="34" s="1"/>
  <c r="D246" i="34" s="1"/>
  <c r="C113" i="8"/>
  <c r="J78" i="8"/>
  <c r="J336" i="8"/>
  <c r="A14" i="8"/>
  <c r="I27" i="16"/>
  <c r="I12" i="16" s="1"/>
  <c r="I247" i="15" s="1"/>
  <c r="I269" i="15" s="1"/>
  <c r="K337" i="8"/>
  <c r="K79" i="8"/>
  <c r="K123" i="8"/>
  <c r="K422" i="45"/>
  <c r="L444" i="8"/>
  <c r="L314" i="8"/>
  <c r="K67" i="8"/>
  <c r="K267" i="8"/>
  <c r="L267" i="8" s="1"/>
  <c r="M267" i="8" s="1"/>
  <c r="J60" i="8"/>
  <c r="B178" i="3"/>
  <c r="B179" i="3" s="1"/>
  <c r="AV19" i="42"/>
  <c r="H155" i="8"/>
  <c r="G40" i="17"/>
  <c r="AR50" i="42"/>
  <c r="O492" i="34" s="1"/>
  <c r="O494" i="34" s="1"/>
  <c r="A114" i="16"/>
  <c r="A115" i="16" s="1"/>
  <c r="AF50" i="42"/>
  <c r="A261" i="15"/>
  <c r="AK50" i="42"/>
  <c r="H492" i="34" s="1"/>
  <c r="H550" i="34" s="1"/>
  <c r="H165" i="3"/>
  <c r="H166" i="3" s="1"/>
  <c r="H29" i="3"/>
  <c r="L165" i="3"/>
  <c r="L166" i="3" s="1"/>
  <c r="L29" i="3"/>
  <c r="L30" i="3" s="1"/>
  <c r="A28" i="3"/>
  <c r="AU7" i="42"/>
  <c r="B25" i="17"/>
  <c r="B10" i="17" s="1"/>
  <c r="B103" i="17" s="1"/>
  <c r="C20" i="8"/>
  <c r="C148" i="8"/>
  <c r="H85" i="8"/>
  <c r="I85" i="8" s="1"/>
  <c r="H20" i="8"/>
  <c r="I20" i="8" s="1"/>
  <c r="H84" i="8"/>
  <c r="I84" i="8" s="1"/>
  <c r="K264" i="8"/>
  <c r="L264" i="8" s="1"/>
  <c r="M264" i="8" s="1"/>
  <c r="N264" i="8" s="1"/>
  <c r="O264" i="8" s="1"/>
  <c r="P264" i="8" s="1"/>
  <c r="Q264" i="8" s="1"/>
  <c r="J289" i="45"/>
  <c r="G89" i="17"/>
  <c r="G34" i="17" s="1"/>
  <c r="AY45" i="42" s="1"/>
  <c r="J61" i="8"/>
  <c r="A108" i="15"/>
  <c r="K45" i="8"/>
  <c r="K63" i="8"/>
  <c r="D56" i="8"/>
  <c r="A20" i="8"/>
  <c r="B682" i="34" s="1"/>
  <c r="B683" i="34" s="1"/>
  <c r="B198" i="34" s="1"/>
  <c r="C58" i="8"/>
  <c r="A77" i="15"/>
  <c r="C321" i="34" s="1"/>
  <c r="C289" i="34" s="1"/>
  <c r="J68" i="8"/>
  <c r="C62" i="8"/>
  <c r="C268" i="15"/>
  <c r="AP50" i="42"/>
  <c r="M492" i="34" s="1"/>
  <c r="M550" i="34" s="1"/>
  <c r="A155" i="15"/>
  <c r="I165" i="3"/>
  <c r="I166" i="3" s="1"/>
  <c r="B165" i="3"/>
  <c r="B166" i="3" s="1"/>
  <c r="F268" i="15"/>
  <c r="G268" i="15" s="1"/>
  <c r="K86" i="21"/>
  <c r="E86" i="21"/>
  <c r="H86" i="21"/>
  <c r="L86" i="21"/>
  <c r="N86" i="21"/>
  <c r="P122" i="16"/>
  <c r="P88" i="21"/>
  <c r="J86" i="21"/>
  <c r="L88" i="21"/>
  <c r="P16" i="16"/>
  <c r="P31" i="16" s="1"/>
  <c r="I86" i="21"/>
  <c r="M86" i="21"/>
  <c r="O86" i="21"/>
  <c r="P86" i="21"/>
  <c r="M88" i="21"/>
  <c r="C318" i="15"/>
  <c r="B495" i="34"/>
  <c r="B499" i="34" s="1"/>
  <c r="B500" i="34" s="1"/>
  <c r="B233" i="34" s="1"/>
  <c r="B487" i="34"/>
  <c r="B488" i="34" s="1"/>
  <c r="B230" i="34" s="1"/>
  <c r="H211" i="14"/>
  <c r="G191" i="14"/>
  <c r="H86" i="14" s="1"/>
  <c r="F114" i="14"/>
  <c r="F113" i="14"/>
  <c r="F190" i="14"/>
  <c r="G85" i="14" s="1"/>
  <c r="A145" i="40"/>
  <c r="C951" i="7" s="1"/>
  <c r="C370" i="7" s="1"/>
  <c r="F145" i="40"/>
  <c r="F77" i="13" s="1"/>
  <c r="K129" i="40"/>
  <c r="L129" i="40" s="1"/>
  <c r="J75" i="15"/>
  <c r="J323" i="34" s="1"/>
  <c r="O31" i="17"/>
  <c r="P16" i="17"/>
  <c r="P31" i="17" s="1"/>
  <c r="Z162" i="9"/>
  <c r="AA162" i="9" s="1"/>
  <c r="Z164" i="9"/>
  <c r="AA164" i="9" s="1"/>
  <c r="Z61" i="9"/>
  <c r="AA61" i="9" s="1"/>
  <c r="Z163" i="9"/>
  <c r="AA163" i="9" s="1"/>
  <c r="H145" i="40"/>
  <c r="M193" i="3"/>
  <c r="Z160" i="9"/>
  <c r="AA160" i="9" s="1"/>
  <c r="Z165" i="9"/>
  <c r="AA165" i="9" s="1"/>
  <c r="A143" i="15"/>
  <c r="G97" i="13"/>
  <c r="G55" i="13" s="1"/>
  <c r="V41" i="42" s="1"/>
  <c r="G41" i="42" s="1"/>
  <c r="D42" i="42"/>
  <c r="B172" i="42" s="1"/>
  <c r="E172" i="42" s="1"/>
  <c r="H13" i="34"/>
  <c r="G13" i="34"/>
  <c r="G97" i="34"/>
  <c r="F14" i="34"/>
  <c r="D258" i="3"/>
  <c r="G100" i="34"/>
  <c r="F17" i="34"/>
  <c r="F31" i="34"/>
  <c r="G90" i="34"/>
  <c r="F7" i="34"/>
  <c r="G91" i="34"/>
  <c r="F8" i="34"/>
  <c r="D584" i="34"/>
  <c r="D143" i="34"/>
  <c r="G80" i="34"/>
  <c r="F38" i="34"/>
  <c r="G98" i="34"/>
  <c r="F15" i="34"/>
  <c r="G92" i="34"/>
  <c r="F9" i="34"/>
  <c r="F23" i="34"/>
  <c r="B34" i="34"/>
  <c r="B37" i="34" s="1"/>
  <c r="B39" i="34" s="1"/>
  <c r="I16" i="27"/>
  <c r="D53" i="27"/>
  <c r="K112" i="48"/>
  <c r="G13" i="48"/>
  <c r="D159" i="3"/>
  <c r="D161" i="3" s="1"/>
  <c r="AH9" i="42"/>
  <c r="C151" i="42" s="1"/>
  <c r="AW8" i="42"/>
  <c r="C102" i="15" s="1"/>
  <c r="D149" i="8"/>
  <c r="C27" i="16"/>
  <c r="C12" i="16" s="1"/>
  <c r="C247" i="15" s="1"/>
  <c r="E8" i="48"/>
  <c r="G8" i="48" s="1"/>
  <c r="C169" i="3"/>
  <c r="C170" i="3" s="1"/>
  <c r="C25" i="16"/>
  <c r="C10" i="16" s="1"/>
  <c r="AH20" i="42" s="1"/>
  <c r="AF45" i="42"/>
  <c r="AH22" i="42"/>
  <c r="C77" i="15" s="1"/>
  <c r="E744" i="34"/>
  <c r="D113" i="8"/>
  <c r="AH7" i="42"/>
  <c r="C149" i="42" s="1"/>
  <c r="A165" i="3"/>
  <c r="A166" i="3" s="1"/>
  <c r="A305" i="15"/>
  <c r="A309" i="15" s="1"/>
  <c r="E746" i="34"/>
  <c r="E745" i="34" s="1"/>
  <c r="D408" i="7"/>
  <c r="D224" i="7"/>
  <c r="D233" i="7"/>
  <c r="D361" i="7"/>
  <c r="D423" i="7"/>
  <c r="D362" i="7"/>
  <c r="D1154" i="7"/>
  <c r="D130" i="7"/>
  <c r="D944" i="7"/>
  <c r="C138" i="3"/>
  <c r="K89" i="48"/>
  <c r="D424" i="7"/>
  <c r="D153" i="7"/>
  <c r="D323" i="7"/>
  <c r="D1155" i="7"/>
  <c r="D74" i="7"/>
  <c r="J43" i="4"/>
  <c r="K801" i="4"/>
  <c r="L801" i="4" s="1"/>
  <c r="M801" i="4" s="1"/>
  <c r="N801" i="4" s="1"/>
  <c r="O801" i="4" s="1"/>
  <c r="P801" i="4" s="1"/>
  <c r="K794" i="4"/>
  <c r="L794" i="4" s="1"/>
  <c r="M794" i="4" s="1"/>
  <c r="K568" i="4"/>
  <c r="L568" i="4" s="1"/>
  <c r="M568" i="4" s="1"/>
  <c r="K732" i="4"/>
  <c r="L732" i="4" s="1"/>
  <c r="M732" i="4" s="1"/>
  <c r="K793" i="4"/>
  <c r="L793" i="4" s="1"/>
  <c r="M793" i="4" s="1"/>
  <c r="K479" i="4"/>
  <c r="K465" i="4"/>
  <c r="L465" i="4" s="1"/>
  <c r="M465" i="4" s="1"/>
  <c r="N465" i="4" s="1"/>
  <c r="O465" i="4" s="1"/>
  <c r="P465" i="4" s="1"/>
  <c r="Q465" i="4" s="1"/>
  <c r="R465" i="4" s="1"/>
  <c r="S465" i="4" s="1"/>
  <c r="K351" i="4"/>
  <c r="L351" i="4" s="1"/>
  <c r="M351" i="4" s="1"/>
  <c r="K808" i="4"/>
  <c r="L808" i="4" s="1"/>
  <c r="M808" i="4" s="1"/>
  <c r="K564" i="4"/>
  <c r="L564" i="4" s="1"/>
  <c r="M564" i="4" s="1"/>
  <c r="K386" i="4"/>
  <c r="L386" i="4" s="1"/>
  <c r="M386" i="4" s="1"/>
  <c r="K355" i="4"/>
  <c r="L355" i="4" s="1"/>
  <c r="M355" i="4" s="1"/>
  <c r="K735" i="4"/>
  <c r="L735" i="4" s="1"/>
  <c r="M735" i="4" s="1"/>
  <c r="K357" i="4"/>
  <c r="L357" i="4" s="1"/>
  <c r="M357" i="4" s="1"/>
  <c r="K481" i="4"/>
  <c r="L481" i="4" s="1"/>
  <c r="M481" i="4" s="1"/>
  <c r="K431" i="4"/>
  <c r="L431" i="4" s="1"/>
  <c r="M431" i="4" s="1"/>
  <c r="K441" i="4"/>
  <c r="L441" i="4" s="1"/>
  <c r="K482" i="4"/>
  <c r="L482" i="4" s="1"/>
  <c r="M482" i="4" s="1"/>
  <c r="K362" i="4"/>
  <c r="K611" i="4"/>
  <c r="L611" i="4" s="1"/>
  <c r="M611" i="4" s="1"/>
  <c r="K537" i="4"/>
  <c r="L537" i="4" s="1"/>
  <c r="M537" i="4" s="1"/>
  <c r="K619" i="4"/>
  <c r="L619" i="4" s="1"/>
  <c r="M619" i="4" s="1"/>
  <c r="K613" i="4"/>
  <c r="L613" i="4" s="1"/>
  <c r="M613" i="4" s="1"/>
  <c r="K569" i="4"/>
  <c r="L569" i="4" s="1"/>
  <c r="M569" i="4" s="1"/>
  <c r="K639" i="4"/>
  <c r="L639" i="4" s="1"/>
  <c r="M639" i="4" s="1"/>
  <c r="K528" i="4"/>
  <c r="L528" i="4" s="1"/>
  <c r="M528" i="4" s="1"/>
  <c r="K632" i="4"/>
  <c r="L632" i="4" s="1"/>
  <c r="M632" i="4" s="1"/>
  <c r="K538" i="4"/>
  <c r="L538" i="4" s="1"/>
  <c r="M538" i="4" s="1"/>
  <c r="K629" i="4"/>
  <c r="L629" i="4" s="1"/>
  <c r="M629" i="4" s="1"/>
  <c r="K472" i="4"/>
  <c r="L472" i="4" s="1"/>
  <c r="M472" i="4" s="1"/>
  <c r="J132" i="4"/>
  <c r="J133" i="4"/>
  <c r="K505" i="4"/>
  <c r="L505" i="4" s="1"/>
  <c r="M505" i="4" s="1"/>
  <c r="K498" i="4"/>
  <c r="L498" i="4" s="1"/>
  <c r="M498" i="4" s="1"/>
  <c r="K806" i="4"/>
  <c r="K690" i="4"/>
  <c r="L690" i="4" s="1"/>
  <c r="M690" i="4" s="1"/>
  <c r="K827" i="4"/>
  <c r="L827" i="4" s="1"/>
  <c r="M827" i="4" s="1"/>
  <c r="K803" i="4"/>
  <c r="L803" i="4" s="1"/>
  <c r="M803" i="4" s="1"/>
  <c r="K565" i="4"/>
  <c r="L565" i="4" s="1"/>
  <c r="M565" i="4" s="1"/>
  <c r="K535" i="4"/>
  <c r="K737" i="4"/>
  <c r="L737" i="4" s="1"/>
  <c r="M737" i="4" s="1"/>
  <c r="K437" i="4"/>
  <c r="L437" i="4" s="1"/>
  <c r="M437" i="4" s="1"/>
  <c r="K473" i="4"/>
  <c r="L473" i="4" s="1"/>
  <c r="M473" i="4" s="1"/>
  <c r="K442" i="4"/>
  <c r="K476" i="4"/>
  <c r="L476" i="4" s="1"/>
  <c r="M476" i="4" s="1"/>
  <c r="K483" i="4"/>
  <c r="L483" i="4" s="1"/>
  <c r="M483" i="4" s="1"/>
  <c r="K527" i="4"/>
  <c r="L527" i="4" s="1"/>
  <c r="M527" i="4" s="1"/>
  <c r="K624" i="4"/>
  <c r="L624" i="4" s="1"/>
  <c r="M624" i="4" s="1"/>
  <c r="K603" i="4"/>
  <c r="K625" i="4"/>
  <c r="L625" i="4" s="1"/>
  <c r="M625" i="4" s="1"/>
  <c r="K536" i="4"/>
  <c r="L536" i="4" s="1"/>
  <c r="M536" i="4" s="1"/>
  <c r="K602" i="4"/>
  <c r="K821" i="4"/>
  <c r="L821" i="4" s="1"/>
  <c r="M821" i="4" s="1"/>
  <c r="K626" i="4"/>
  <c r="L626" i="4" s="1"/>
  <c r="M626" i="4" s="1"/>
  <c r="K526" i="4"/>
  <c r="L526" i="4" s="1"/>
  <c r="M526" i="4" s="1"/>
  <c r="K623" i="4"/>
  <c r="L623" i="4" s="1"/>
  <c r="M623" i="4" s="1"/>
  <c r="K636" i="4"/>
  <c r="L636" i="4" s="1"/>
  <c r="M636" i="4" s="1"/>
  <c r="K752" i="4"/>
  <c r="L752" i="4" s="1"/>
  <c r="M752" i="4" s="1"/>
  <c r="K435" i="4"/>
  <c r="L435" i="4" s="1"/>
  <c r="M435" i="4" s="1"/>
  <c r="K368" i="4"/>
  <c r="K503" i="4"/>
  <c r="L503" i="4" s="1"/>
  <c r="M503" i="4" s="1"/>
  <c r="K495" i="4"/>
  <c r="L495" i="4" s="1"/>
  <c r="M495" i="4" s="1"/>
  <c r="J126" i="4"/>
  <c r="K680" i="4"/>
  <c r="L680" i="4" s="1"/>
  <c r="M680" i="4" s="1"/>
  <c r="J235" i="4"/>
  <c r="K352" i="4"/>
  <c r="L352" i="4" s="1"/>
  <c r="M352" i="4" s="1"/>
  <c r="K525" i="4"/>
  <c r="K363" i="4"/>
  <c r="L363" i="4" s="1"/>
  <c r="M363" i="4" s="1"/>
  <c r="K471" i="4"/>
  <c r="L471" i="4" s="1"/>
  <c r="M471" i="4" s="1"/>
  <c r="K797" i="4"/>
  <c r="K282" i="4" s="1"/>
  <c r="K687" i="4"/>
  <c r="L687" i="4" s="1"/>
  <c r="M687" i="4" s="1"/>
  <c r="K788" i="4"/>
  <c r="L788" i="4" s="1"/>
  <c r="M788" i="4" s="1"/>
  <c r="K786" i="4"/>
  <c r="L786" i="4" s="1"/>
  <c r="M786" i="4" s="1"/>
  <c r="K795" i="4"/>
  <c r="L795" i="4" s="1"/>
  <c r="M795" i="4" s="1"/>
  <c r="K434" i="4"/>
  <c r="L434" i="4" s="1"/>
  <c r="K530" i="4"/>
  <c r="L530" i="4" s="1"/>
  <c r="M530" i="4" s="1"/>
  <c r="K620" i="4"/>
  <c r="L620" i="4" s="1"/>
  <c r="M620" i="4" s="1"/>
  <c r="K541" i="4"/>
  <c r="L541" i="4" s="1"/>
  <c r="M541" i="4" s="1"/>
  <c r="K686" i="4"/>
  <c r="L686" i="4" s="1"/>
  <c r="M686" i="4" s="1"/>
  <c r="K628" i="4"/>
  <c r="L628" i="4" s="1"/>
  <c r="M628" i="4" s="1"/>
  <c r="K734" i="4"/>
  <c r="L734" i="4" s="1"/>
  <c r="M734" i="4" s="1"/>
  <c r="K540" i="4"/>
  <c r="L540" i="4" s="1"/>
  <c r="M540" i="4" s="1"/>
  <c r="K542" i="4"/>
  <c r="L542" i="4" s="1"/>
  <c r="M542" i="4" s="1"/>
  <c r="K787" i="4"/>
  <c r="L787" i="4" s="1"/>
  <c r="M787" i="4" s="1"/>
  <c r="K621" i="4"/>
  <c r="L621" i="4" s="1"/>
  <c r="M621" i="4" s="1"/>
  <c r="K396" i="4"/>
  <c r="L396" i="4" s="1"/>
  <c r="M396" i="4" s="1"/>
  <c r="K405" i="4"/>
  <c r="L405" i="4" s="1"/>
  <c r="M405" i="4" s="1"/>
  <c r="K747" i="4"/>
  <c r="K826" i="4"/>
  <c r="L826" i="4" s="1"/>
  <c r="M826" i="4" s="1"/>
  <c r="K367" i="4"/>
  <c r="K406" i="4"/>
  <c r="L406" i="4" s="1"/>
  <c r="M406" i="4" s="1"/>
  <c r="K606" i="4"/>
  <c r="L606" i="4" s="1"/>
  <c r="M606" i="4" s="1"/>
  <c r="K508" i="4"/>
  <c r="L508" i="4" s="1"/>
  <c r="M508" i="4" s="1"/>
  <c r="K502" i="4"/>
  <c r="L502" i="4" s="1"/>
  <c r="M502" i="4" s="1"/>
  <c r="K494" i="4"/>
  <c r="L494" i="4" s="1"/>
  <c r="M494" i="4" s="1"/>
  <c r="K533" i="4"/>
  <c r="L533" i="4" s="1"/>
  <c r="M533" i="4" s="1"/>
  <c r="K810" i="4"/>
  <c r="L810" i="4" s="1"/>
  <c r="M810" i="4" s="1"/>
  <c r="K784" i="4"/>
  <c r="L784" i="4" s="1"/>
  <c r="M784" i="4" s="1"/>
  <c r="K563" i="4"/>
  <c r="L563" i="4" s="1"/>
  <c r="M563" i="4" s="1"/>
  <c r="J228" i="4"/>
  <c r="J70" i="4"/>
  <c r="K385" i="4"/>
  <c r="L385" i="4" s="1"/>
  <c r="M385" i="4" s="1"/>
  <c r="K475" i="4"/>
  <c r="K474" i="4"/>
  <c r="L474" i="4" s="1"/>
  <c r="M474" i="4" s="1"/>
  <c r="K360" i="4"/>
  <c r="K817" i="4"/>
  <c r="L817" i="4" s="1"/>
  <c r="M817" i="4" s="1"/>
  <c r="K432" i="4"/>
  <c r="L432" i="4" s="1"/>
  <c r="M432" i="4" s="1"/>
  <c r="K539" i="4"/>
  <c r="L539" i="4" s="1"/>
  <c r="M539" i="4" s="1"/>
  <c r="K640" i="4"/>
  <c r="L640" i="4" s="1"/>
  <c r="M640" i="4" s="1"/>
  <c r="K641" i="4"/>
  <c r="L641" i="4" s="1"/>
  <c r="M641" i="4" s="1"/>
  <c r="K682" i="4"/>
  <c r="L682" i="4" s="1"/>
  <c r="M682" i="4" s="1"/>
  <c r="K631" i="4"/>
  <c r="L631" i="4" s="1"/>
  <c r="M631" i="4" s="1"/>
  <c r="K554" i="4"/>
  <c r="L554" i="4" s="1"/>
  <c r="M554" i="4" s="1"/>
  <c r="K608" i="4"/>
  <c r="L608" i="4" s="1"/>
  <c r="M608" i="4" s="1"/>
  <c r="K604" i="4"/>
  <c r="K750" i="4"/>
  <c r="L750" i="4" s="1"/>
  <c r="M750" i="4" s="1"/>
  <c r="K753" i="4"/>
  <c r="L753" i="4" s="1"/>
  <c r="M753" i="4" s="1"/>
  <c r="K637" i="4"/>
  <c r="L637" i="4" s="1"/>
  <c r="M637" i="4" s="1"/>
  <c r="K366" i="4"/>
  <c r="K506" i="4"/>
  <c r="L506" i="4" s="1"/>
  <c r="M506" i="4" s="1"/>
  <c r="K499" i="4"/>
  <c r="L499" i="4" s="1"/>
  <c r="M499" i="4" s="1"/>
  <c r="K493" i="4"/>
  <c r="L493" i="4" s="1"/>
  <c r="M493" i="4" s="1"/>
  <c r="B106" i="42"/>
  <c r="D189" i="5"/>
  <c r="D33" i="48"/>
  <c r="D197" i="5"/>
  <c r="C22" i="13"/>
  <c r="D386" i="5"/>
  <c r="H91" i="5"/>
  <c r="I91" i="5" s="1"/>
  <c r="H189" i="5"/>
  <c r="I189" i="5" s="1"/>
  <c r="H163" i="5"/>
  <c r="I163" i="5" s="1"/>
  <c r="C524" i="5"/>
  <c r="H203" i="5"/>
  <c r="I203" i="5" s="1"/>
  <c r="H486" i="5"/>
  <c r="I486" i="5" s="1"/>
  <c r="L520" i="5"/>
  <c r="J22" i="3" s="1"/>
  <c r="H448" i="5"/>
  <c r="I448" i="5" s="1"/>
  <c r="D238" i="4"/>
  <c r="D281" i="4"/>
  <c r="D57" i="4"/>
  <c r="D246" i="4"/>
  <c r="E717" i="34"/>
  <c r="D56" i="4"/>
  <c r="D292" i="4"/>
  <c r="D231" i="4"/>
  <c r="D672" i="4"/>
  <c r="D615" i="4"/>
  <c r="E774" i="34"/>
  <c r="D70" i="4"/>
  <c r="D300" i="4"/>
  <c r="D195" i="4"/>
  <c r="D291" i="4"/>
  <c r="D217" i="4"/>
  <c r="D264" i="4" s="1"/>
  <c r="D133" i="4"/>
  <c r="D108" i="4"/>
  <c r="D73" i="4"/>
  <c r="H300" i="4"/>
  <c r="I300" i="4" s="1"/>
  <c r="H638" i="4"/>
  <c r="I638" i="4" s="1"/>
  <c r="H133" i="4"/>
  <c r="I133" i="4" s="1"/>
  <c r="H77" i="4"/>
  <c r="I77" i="4" s="1"/>
  <c r="H132" i="4"/>
  <c r="I132" i="4" s="1"/>
  <c r="D296" i="3"/>
  <c r="D298" i="3"/>
  <c r="D299" i="3"/>
  <c r="D297" i="3"/>
  <c r="I296" i="3"/>
  <c r="C296" i="3"/>
  <c r="C298" i="3"/>
  <c r="C299" i="3"/>
  <c r="D489" i="6"/>
  <c r="J91" i="6"/>
  <c r="D634" i="6"/>
  <c r="D16" i="6" s="1"/>
  <c r="L1285" i="6"/>
  <c r="M1285" i="6" s="1"/>
  <c r="C1700" i="6"/>
  <c r="C1702" i="6" s="1"/>
  <c r="C1713" i="6" s="1"/>
  <c r="A435" i="6"/>
  <c r="N40" i="5"/>
  <c r="L60" i="3" s="1"/>
  <c r="N38" i="5"/>
  <c r="L38" i="3" s="1"/>
  <c r="B31" i="5"/>
  <c r="A22" i="13" s="1"/>
  <c r="L69" i="14"/>
  <c r="E2044" i="6"/>
  <c r="C44" i="58" s="1"/>
  <c r="F259" i="10"/>
  <c r="J28" i="12"/>
  <c r="K26" i="12"/>
  <c r="K419" i="4"/>
  <c r="K92" i="4" s="1"/>
  <c r="K43" i="4" s="1"/>
  <c r="K902" i="4" s="1"/>
  <c r="E150" i="10"/>
  <c r="E229" i="6"/>
  <c r="E1015" i="6"/>
  <c r="I1015" i="6" s="1"/>
  <c r="E396" i="5"/>
  <c r="I396" i="5" s="1"/>
  <c r="K951" i="7"/>
  <c r="K370" i="7" s="1"/>
  <c r="H77" i="13"/>
  <c r="H119" i="13" s="1"/>
  <c r="T98" i="10"/>
  <c r="J145" i="40"/>
  <c r="M129" i="40"/>
  <c r="L131" i="40"/>
  <c r="Z99" i="10" s="1"/>
  <c r="K131" i="40"/>
  <c r="W99" i="10" s="1"/>
  <c r="C193" i="3"/>
  <c r="I145" i="40"/>
  <c r="G145" i="40"/>
  <c r="C77" i="13"/>
  <c r="C119" i="13" s="1"/>
  <c r="BV73" i="22"/>
  <c r="BW73" i="22" s="1"/>
  <c r="BW13" i="22"/>
  <c r="CK13" i="22" s="1"/>
  <c r="CQ137" i="22"/>
  <c r="CI39" i="22"/>
  <c r="BV75" i="22"/>
  <c r="BW75" i="22" s="1"/>
  <c r="CP134" i="22"/>
  <c r="CI72" i="22"/>
  <c r="CI74" i="22"/>
  <c r="CJ65" i="22"/>
  <c r="CL137" i="22"/>
  <c r="CL133" i="22"/>
  <c r="BX73" i="22"/>
  <c r="CK73" i="22"/>
  <c r="BW30" i="22"/>
  <c r="BX30" i="22" s="1"/>
  <c r="CJ30" i="22"/>
  <c r="CJ73" i="22"/>
  <c r="CM137" i="22"/>
  <c r="CJ39" i="22"/>
  <c r="CI137" i="22"/>
  <c r="CI30" i="22"/>
  <c r="CI123" i="22"/>
  <c r="CJ133" i="22"/>
  <c r="BV112" i="22"/>
  <c r="BW112" i="22" s="1"/>
  <c r="CK39" i="22"/>
  <c r="CI43" i="22"/>
  <c r="BW15" i="22"/>
  <c r="CK15" i="22" s="1"/>
  <c r="CJ134" i="22"/>
  <c r="CI31" i="22"/>
  <c r="CI52" i="22"/>
  <c r="CI51" i="22"/>
  <c r="CR133" i="22"/>
  <c r="CN133" i="22"/>
  <c r="CM133" i="22"/>
  <c r="CJ61" i="22"/>
  <c r="BV126" i="22"/>
  <c r="BW126" i="22" s="1"/>
  <c r="BX126" i="22" s="1"/>
  <c r="BY126" i="22" s="1"/>
  <c r="BZ126" i="22" s="1"/>
  <c r="CA126" i="22" s="1"/>
  <c r="CB126" i="22" s="1"/>
  <c r="CC126" i="22" s="1"/>
  <c r="CD126" i="22" s="1"/>
  <c r="CE126" i="22" s="1"/>
  <c r="BX115" i="22"/>
  <c r="CJ70" i="22"/>
  <c r="C36" i="17"/>
  <c r="C305" i="15" s="1"/>
  <c r="D33" i="19"/>
  <c r="D97" i="19" s="1"/>
  <c r="I80" i="21"/>
  <c r="I88" i="21" s="1"/>
  <c r="K80" i="21"/>
  <c r="K88" i="21" s="1"/>
  <c r="BV9" i="21"/>
  <c r="CI9" i="21"/>
  <c r="CI11" i="21"/>
  <c r="E80" i="21"/>
  <c r="E88" i="21" s="1"/>
  <c r="D40" i="16"/>
  <c r="E876" i="6"/>
  <c r="I876" i="6" s="1"/>
  <c r="E773" i="4"/>
  <c r="E254" i="4" s="1"/>
  <c r="H88" i="10"/>
  <c r="D199" i="15"/>
  <c r="D144" i="15" s="1"/>
  <c r="E419" i="4"/>
  <c r="C182" i="42"/>
  <c r="C183" i="42" s="1"/>
  <c r="L66" i="8"/>
  <c r="A29" i="3"/>
  <c r="AW9" i="42"/>
  <c r="C103" i="15" s="1"/>
  <c r="AO19" i="42"/>
  <c r="L493" i="34" s="1"/>
  <c r="B135" i="3"/>
  <c r="B139" i="3" s="1"/>
  <c r="AG52" i="42"/>
  <c r="C150" i="8"/>
  <c r="D85" i="8"/>
  <c r="AV8" i="42"/>
  <c r="B117" i="15"/>
  <c r="D340" i="34" s="1"/>
  <c r="D572" i="34" s="1"/>
  <c r="B105" i="15"/>
  <c r="G44" i="10"/>
  <c r="F26" i="11" s="1"/>
  <c r="A802" i="6"/>
  <c r="A804" i="6" s="1"/>
  <c r="A813" i="6" s="1"/>
  <c r="H167" i="6"/>
  <c r="I167" i="6" s="1"/>
  <c r="B167" i="6"/>
  <c r="B141" i="3"/>
  <c r="B142" i="3" s="1"/>
  <c r="D1700" i="6"/>
  <c r="M2092" i="6"/>
  <c r="B868" i="6"/>
  <c r="B871" i="6" s="1"/>
  <c r="B879" i="6" s="1"/>
  <c r="D724" i="34"/>
  <c r="C1105" i="6"/>
  <c r="G112" i="42"/>
  <c r="C1572" i="6"/>
  <c r="C1574" i="6" s="1"/>
  <c r="C1585" i="6" s="1"/>
  <c r="K1363" i="6"/>
  <c r="K434" i="6" s="1"/>
  <c r="D2092" i="6"/>
  <c r="A1767" i="6"/>
  <c r="A1771" i="6" s="1"/>
  <c r="A1781" i="6" s="1"/>
  <c r="A81" i="6"/>
  <c r="A6" i="6" s="1"/>
  <c r="C938" i="6"/>
  <c r="C940" i="6" s="1"/>
  <c r="C942" i="6" s="1"/>
  <c r="C950" i="6" s="1"/>
  <c r="D763" i="34"/>
  <c r="A704" i="6"/>
  <c r="A731" i="6"/>
  <c r="A33" i="6" s="1"/>
  <c r="B341" i="42"/>
  <c r="D341" i="42" s="1"/>
  <c r="H782" i="34"/>
  <c r="B1965" i="6"/>
  <c r="C489" i="6"/>
  <c r="C510" i="6" s="1"/>
  <c r="C302" i="6"/>
  <c r="C314" i="6" s="1"/>
  <c r="D769" i="34"/>
  <c r="B254" i="6"/>
  <c r="B9" i="6" s="1"/>
  <c r="J410" i="6"/>
  <c r="K1296" i="6"/>
  <c r="L1296" i="6" s="1"/>
  <c r="M1296" i="6" s="1"/>
  <c r="J130" i="6"/>
  <c r="P2092" i="6"/>
  <c r="B343" i="42"/>
  <c r="D343" i="42" s="1"/>
  <c r="C1259" i="6"/>
  <c r="C1261" i="6" s="1"/>
  <c r="C1272" i="6" s="1"/>
  <c r="C634" i="6"/>
  <c r="A634" i="6"/>
  <c r="A16" i="6" s="1"/>
  <c r="H247" i="6"/>
  <c r="I247" i="6" s="1"/>
  <c r="G782" i="34"/>
  <c r="C769" i="34"/>
  <c r="B408" i="6"/>
  <c r="B1769" i="6"/>
  <c r="B597" i="6"/>
  <c r="B604" i="6" s="1"/>
  <c r="A489" i="6"/>
  <c r="A13" i="6" s="1"/>
  <c r="A508" i="6"/>
  <c r="A29" i="6" s="1"/>
  <c r="D727" i="34"/>
  <c r="C1141" i="6"/>
  <c r="F34" i="45"/>
  <c r="C319" i="6"/>
  <c r="C377" i="6"/>
  <c r="C379" i="6" s="1"/>
  <c r="D728" i="34"/>
  <c r="A1570" i="6"/>
  <c r="A1572" i="6" s="1"/>
  <c r="A1574" i="6" s="1"/>
  <c r="A1585" i="6" s="1"/>
  <c r="A444" i="6"/>
  <c r="D938" i="6"/>
  <c r="D152" i="6"/>
  <c r="D164" i="6" s="1"/>
  <c r="D1202" i="6"/>
  <c r="G32" i="45"/>
  <c r="B494" i="6"/>
  <c r="B508" i="6" s="1"/>
  <c r="B29" i="6" s="1"/>
  <c r="I12" i="48" s="1"/>
  <c r="B1640" i="6"/>
  <c r="B1642" i="6" s="1"/>
  <c r="B1644" i="6" s="1"/>
  <c r="B1655" i="6" s="1"/>
  <c r="R2092" i="6"/>
  <c r="R278" i="6"/>
  <c r="J211" i="48"/>
  <c r="J1554" i="6"/>
  <c r="K1554" i="6" s="1"/>
  <c r="L1554" i="6" s="1"/>
  <c r="M1554" i="6" s="1"/>
  <c r="B1770" i="6"/>
  <c r="B1765" i="6"/>
  <c r="B1767" i="6" s="1"/>
  <c r="B598" i="6"/>
  <c r="B605" i="6" s="1"/>
  <c r="B342" i="42"/>
  <c r="D342" i="42" s="1"/>
  <c r="C1035" i="6"/>
  <c r="C1071" i="6" s="1"/>
  <c r="C1075" i="6" s="1"/>
  <c r="D764" i="34"/>
  <c r="E726" i="34"/>
  <c r="G31" i="45"/>
  <c r="D262" i="6"/>
  <c r="N2092" i="6"/>
  <c r="A371" i="6"/>
  <c r="A11" i="6" s="1"/>
  <c r="B194" i="6"/>
  <c r="B196" i="6" s="1"/>
  <c r="B8" i="6" s="1"/>
  <c r="C762" i="34"/>
  <c r="B970" i="6"/>
  <c r="B1006" i="6" s="1"/>
  <c r="B1009" i="6" s="1"/>
  <c r="B1018" i="6" s="1"/>
  <c r="C726" i="34"/>
  <c r="B1070" i="6"/>
  <c r="B1071" i="6" s="1"/>
  <c r="B1075" i="6" s="1"/>
  <c r="B800" i="6"/>
  <c r="B802" i="6" s="1"/>
  <c r="B804" i="6" s="1"/>
  <c r="B813" i="6" s="1"/>
  <c r="B92" i="6"/>
  <c r="A248" i="6"/>
  <c r="A254" i="6" s="1"/>
  <c r="A9" i="6" s="1"/>
  <c r="A1035" i="6"/>
  <c r="A1071" i="6" s="1"/>
  <c r="A1075" i="6" s="1"/>
  <c r="A1083" i="6" s="1"/>
  <c r="A418" i="6"/>
  <c r="A12" i="6" s="1"/>
  <c r="C704" i="6"/>
  <c r="D600" i="6"/>
  <c r="D31" i="6" s="1"/>
  <c r="K11" i="48" s="1"/>
  <c r="A600" i="6"/>
  <c r="A31" i="6" s="1"/>
  <c r="B412" i="6"/>
  <c r="B1403" i="6"/>
  <c r="D1570" i="6"/>
  <c r="D444" i="6"/>
  <c r="C418" i="6"/>
  <c r="C12" i="6" s="1"/>
  <c r="D731" i="6"/>
  <c r="C371" i="6"/>
  <c r="B330" i="6"/>
  <c r="B329" i="6" s="1"/>
  <c r="B340" i="6" s="1"/>
  <c r="B26" i="6" s="1"/>
  <c r="E32" i="45"/>
  <c r="B302" i="6"/>
  <c r="B1105" i="6"/>
  <c r="B634" i="6"/>
  <c r="B16" i="6" s="1"/>
  <c r="C767" i="6"/>
  <c r="C77" i="6"/>
  <c r="C81" i="6" s="1"/>
  <c r="C800" i="6"/>
  <c r="C87" i="6"/>
  <c r="C105" i="6" s="1"/>
  <c r="C724" i="34"/>
  <c r="B938" i="6"/>
  <c r="B940" i="6" s="1"/>
  <c r="B942" i="6" s="1"/>
  <c r="B950" i="6" s="1"/>
  <c r="B154" i="6"/>
  <c r="E727" i="34"/>
  <c r="D321" i="6"/>
  <c r="A314" i="6"/>
  <c r="A10" i="6" s="1"/>
  <c r="C2092" i="6"/>
  <c r="B31" i="13" s="1"/>
  <c r="B50" i="13" s="1"/>
  <c r="B68" i="13" s="1"/>
  <c r="B124" i="13" s="1"/>
  <c r="A942" i="6"/>
  <c r="A950" i="6" s="1"/>
  <c r="B344" i="42"/>
  <c r="D344" i="42" s="1"/>
  <c r="A2036" i="6"/>
  <c r="A2038" i="6" s="1"/>
  <c r="A2047" i="6" s="1"/>
  <c r="L782" i="34"/>
  <c r="A680" i="6"/>
  <c r="G284" i="48"/>
  <c r="E1471" i="6"/>
  <c r="J89" i="6"/>
  <c r="J206" i="6"/>
  <c r="L773" i="6"/>
  <c r="B489" i="6"/>
  <c r="B510" i="6" s="1"/>
  <c r="J414" i="6"/>
  <c r="K1418" i="6"/>
  <c r="G115" i="42"/>
  <c r="L19" i="58"/>
  <c r="J278" i="48"/>
  <c r="D314" i="6"/>
  <c r="D165" i="45"/>
  <c r="D169" i="45" s="1"/>
  <c r="D170" i="45" s="1"/>
  <c r="D171" i="45" s="1"/>
  <c r="E1517" i="6"/>
  <c r="B126" i="5"/>
  <c r="B131" i="5" s="1"/>
  <c r="A64" i="5"/>
  <c r="A399" i="6"/>
  <c r="A72" i="6"/>
  <c r="A125" i="6" s="1"/>
  <c r="C1590" i="6"/>
  <c r="C72" i="6"/>
  <c r="P30" i="3"/>
  <c r="J112" i="48"/>
  <c r="K13" i="48"/>
  <c r="B69" i="27"/>
  <c r="B71" i="27" s="1"/>
  <c r="C69" i="27" s="1"/>
  <c r="C71" i="27" s="1"/>
  <c r="D69" i="27" s="1"/>
  <c r="I13" i="48"/>
  <c r="B290" i="3"/>
  <c r="B39" i="15"/>
  <c r="B49" i="42"/>
  <c r="C19" i="34"/>
  <c r="E1582" i="6"/>
  <c r="E370" i="7"/>
  <c r="E1972" i="6"/>
  <c r="E1651" i="6"/>
  <c r="G184" i="10"/>
  <c r="F107" i="11" s="1"/>
  <c r="E1117" i="7"/>
  <c r="E432" i="7"/>
  <c r="E434" i="7"/>
  <c r="E1119" i="7"/>
  <c r="B168" i="15"/>
  <c r="Q41" i="42"/>
  <c r="Q47" i="42" s="1"/>
  <c r="H97" i="13"/>
  <c r="I95" i="13"/>
  <c r="J95" i="13" s="1"/>
  <c r="G72" i="13"/>
  <c r="A44" i="15"/>
  <c r="C307" i="34" s="1"/>
  <c r="C32" i="8"/>
  <c r="G117" i="1"/>
  <c r="B31" i="8"/>
  <c r="E492" i="34"/>
  <c r="E550" i="34" s="1"/>
  <c r="C31" i="8"/>
  <c r="B22" i="8"/>
  <c r="B32" i="8"/>
  <c r="D44" i="10"/>
  <c r="C26" i="11" s="1"/>
  <c r="D26" i="11" s="1"/>
  <c r="E26" i="11" s="1"/>
  <c r="R83" i="9"/>
  <c r="D253" i="10"/>
  <c r="C156" i="11" s="1"/>
  <c r="D156" i="11" s="1"/>
  <c r="E156" i="11" s="1"/>
  <c r="M39" i="5"/>
  <c r="K46" i="3" s="1"/>
  <c r="E418" i="4"/>
  <c r="E91" i="4" s="1"/>
  <c r="B115" i="4"/>
  <c r="B8" i="4" s="1"/>
  <c r="D785" i="7"/>
  <c r="D807" i="7" s="1"/>
  <c r="D1278" i="6"/>
  <c r="J44" i="10"/>
  <c r="I26" i="11" s="1"/>
  <c r="H539" i="7"/>
  <c r="CT197" i="9"/>
  <c r="AF107" i="9"/>
  <c r="H949" i="6"/>
  <c r="I949" i="6" s="1"/>
  <c r="F11" i="11"/>
  <c r="H91" i="4"/>
  <c r="H149" i="4"/>
  <c r="H443" i="7"/>
  <c r="H495" i="7" s="1"/>
  <c r="B44" i="4"/>
  <c r="A70" i="3" s="1"/>
  <c r="I239" i="10"/>
  <c r="L239" i="10" s="1"/>
  <c r="C536" i="34"/>
  <c r="C518" i="34"/>
  <c r="C520" i="34" s="1"/>
  <c r="L594" i="34"/>
  <c r="E824" i="34"/>
  <c r="E794" i="34"/>
  <c r="E800" i="34" s="1"/>
  <c r="E814" i="34"/>
  <c r="C258" i="3" s="1"/>
  <c r="O523" i="34"/>
  <c r="O473" i="34"/>
  <c r="H542" i="34"/>
  <c r="I312" i="34"/>
  <c r="H656" i="34"/>
  <c r="D420" i="34"/>
  <c r="D424" i="34" s="1"/>
  <c r="D432" i="34" s="1"/>
  <c r="D272" i="34" s="1"/>
  <c r="D798" i="34" s="1"/>
  <c r="P523" i="34"/>
  <c r="P473" i="34"/>
  <c r="J54" i="34"/>
  <c r="I13" i="34"/>
  <c r="H295" i="34"/>
  <c r="H527" i="34" s="1"/>
  <c r="H543" i="34"/>
  <c r="I313" i="34"/>
  <c r="H657" i="34"/>
  <c r="F596" i="34"/>
  <c r="I619" i="34"/>
  <c r="J619" i="34" s="1"/>
  <c r="A628" i="34"/>
  <c r="A672" i="34"/>
  <c r="C205" i="34"/>
  <c r="A515" i="34"/>
  <c r="B432" i="34"/>
  <c r="B272" i="34" s="1"/>
  <c r="F607" i="34"/>
  <c r="G607" i="34" s="1"/>
  <c r="H607" i="34" s="1"/>
  <c r="I607" i="34" s="1"/>
  <c r="J607" i="34" s="1"/>
  <c r="K607" i="34" s="1"/>
  <c r="L607" i="34" s="1"/>
  <c r="M607" i="34" s="1"/>
  <c r="N607" i="34" s="1"/>
  <c r="G595" i="34"/>
  <c r="E581" i="34"/>
  <c r="E584" i="34" s="1"/>
  <c r="F605" i="34"/>
  <c r="B317" i="34"/>
  <c r="B173" i="34" s="1"/>
  <c r="C158" i="34"/>
  <c r="C161" i="34" s="1"/>
  <c r="C163" i="34" s="1"/>
  <c r="G617" i="34"/>
  <c r="H617" i="34" s="1"/>
  <c r="B748" i="34"/>
  <c r="C116" i="34"/>
  <c r="H595" i="34"/>
  <c r="B297" i="34"/>
  <c r="B299" i="34" s="1"/>
  <c r="B170" i="34" s="1"/>
  <c r="AM22" i="42"/>
  <c r="L85" i="8"/>
  <c r="D75" i="34"/>
  <c r="D76" i="34" s="1"/>
  <c r="D79" i="34" s="1"/>
  <c r="D81" i="34" s="1"/>
  <c r="G73" i="34"/>
  <c r="H108" i="34"/>
  <c r="I108" i="34" s="1"/>
  <c r="J108" i="34" s="1"/>
  <c r="K108" i="34" s="1"/>
  <c r="G25" i="34"/>
  <c r="H92" i="34"/>
  <c r="G9" i="34"/>
  <c r="C447" i="34"/>
  <c r="C274" i="34" s="1"/>
  <c r="D102" i="34"/>
  <c r="H80" i="34"/>
  <c r="G38" i="34"/>
  <c r="G17" i="34"/>
  <c r="H100" i="34"/>
  <c r="H706" i="34"/>
  <c r="G707" i="34"/>
  <c r="G212" i="34" s="1"/>
  <c r="C102" i="34"/>
  <c r="B447" i="34"/>
  <c r="B274" i="34" s="1"/>
  <c r="E108" i="1"/>
  <c r="E119" i="1" s="1"/>
  <c r="L359" i="8"/>
  <c r="I139" i="9"/>
  <c r="CW139" i="9" s="1"/>
  <c r="B76" i="34"/>
  <c r="B79" i="34" s="1"/>
  <c r="B81" i="34" s="1"/>
  <c r="B462" i="34"/>
  <c r="B276" i="34" s="1"/>
  <c r="F663" i="34"/>
  <c r="G663" i="34" s="1"/>
  <c r="H663" i="34" s="1"/>
  <c r="I663" i="34" s="1"/>
  <c r="J663" i="34" s="1"/>
  <c r="C58" i="17"/>
  <c r="C60" i="17" s="1"/>
  <c r="C17" i="17" s="1"/>
  <c r="F146" i="22"/>
  <c r="H148" i="22"/>
  <c r="D33" i="20"/>
  <c r="G148" i="22"/>
  <c r="L22" i="20"/>
  <c r="D38" i="20"/>
  <c r="O38" i="20" s="1"/>
  <c r="M148" i="22"/>
  <c r="M156" i="22" s="1"/>
  <c r="L36" i="17"/>
  <c r="L120" i="17" s="1"/>
  <c r="CL105" i="22"/>
  <c r="M304" i="45"/>
  <c r="CJ58" i="22"/>
  <c r="CI106" i="22"/>
  <c r="CJ28" i="22"/>
  <c r="CO137" i="22"/>
  <c r="CP106" i="22"/>
  <c r="CN106" i="22"/>
  <c r="CJ106" i="22"/>
  <c r="CI53" i="22"/>
  <c r="CI44" i="22"/>
  <c r="O304" i="45"/>
  <c r="CQ106" i="22"/>
  <c r="CM106" i="22"/>
  <c r="CN136" i="22"/>
  <c r="L430" i="45"/>
  <c r="CI58" i="22"/>
  <c r="CI28" i="22"/>
  <c r="CN137" i="22"/>
  <c r="CJ40" i="22"/>
  <c r="CP105" i="22"/>
  <c r="CN105" i="22"/>
  <c r="CI136" i="22"/>
  <c r="CK106" i="22"/>
  <c r="BW74" i="22"/>
  <c r="CJ74" i="22"/>
  <c r="BX65" i="22"/>
  <c r="CK65" i="22"/>
  <c r="BX80" i="22"/>
  <c r="CK80" i="22"/>
  <c r="BW14" i="22"/>
  <c r="BX14" i="22" s="1"/>
  <c r="CJ14" i="22"/>
  <c r="CK61" i="22"/>
  <c r="BX61" i="22"/>
  <c r="BX75" i="22"/>
  <c r="CK75" i="22"/>
  <c r="BW36" i="22"/>
  <c r="CI119" i="22"/>
  <c r="CJ75" i="22"/>
  <c r="CO136" i="22"/>
  <c r="K67" i="17"/>
  <c r="BW16" i="22"/>
  <c r="CK16" i="22" s="1"/>
  <c r="CI59" i="22"/>
  <c r="CR126" i="22"/>
  <c r="CK137" i="22"/>
  <c r="CJ137" i="22"/>
  <c r="CI40" i="22"/>
  <c r="CR105" i="22"/>
  <c r="CR135" i="22"/>
  <c r="CO105" i="22"/>
  <c r="CN135" i="22"/>
  <c r="CK105" i="22"/>
  <c r="CK135" i="22"/>
  <c r="CI140" i="22"/>
  <c r="CI26" i="22"/>
  <c r="CI95" i="22"/>
  <c r="BW78" i="22"/>
  <c r="CI69" i="22"/>
  <c r="CQ136" i="22"/>
  <c r="CM136" i="22"/>
  <c r="CL136" i="22"/>
  <c r="CK40" i="22"/>
  <c r="CI47" i="22"/>
  <c r="CI116" i="22"/>
  <c r="CI120" i="22"/>
  <c r="CI127" i="22"/>
  <c r="CI105" i="22"/>
  <c r="CQ105" i="22"/>
  <c r="CQ135" i="22"/>
  <c r="CM105" i="22"/>
  <c r="CL135" i="22"/>
  <c r="CI96" i="22"/>
  <c r="CI133" i="22"/>
  <c r="CM135" i="22"/>
  <c r="BV60" i="22"/>
  <c r="CP137" i="22"/>
  <c r="CI129" i="22"/>
  <c r="CI128" i="22"/>
  <c r="CP133" i="22"/>
  <c r="CO133" i="22"/>
  <c r="CK133" i="22"/>
  <c r="CJ105" i="22"/>
  <c r="CJ135" i="22"/>
  <c r="CJ136" i="22"/>
  <c r="T142" i="22"/>
  <c r="F147" i="22" s="1"/>
  <c r="CI71" i="22"/>
  <c r="CI27" i="22"/>
  <c r="CR137" i="22"/>
  <c r="CO126" i="22"/>
  <c r="CK136" i="22"/>
  <c r="CQ133" i="22"/>
  <c r="CP135" i="22"/>
  <c r="CO135" i="22"/>
  <c r="CI135" i="22"/>
  <c r="BV86" i="22"/>
  <c r="BW86" i="22" s="1"/>
  <c r="BX86" i="22" s="1"/>
  <c r="G146" i="22"/>
  <c r="I147" i="22"/>
  <c r="I430" i="45"/>
  <c r="J22" i="20"/>
  <c r="F148" i="22"/>
  <c r="BV8" i="22"/>
  <c r="BX13" i="22"/>
  <c r="BY13" i="22" s="1"/>
  <c r="BZ13" i="22" s="1"/>
  <c r="BV10" i="22"/>
  <c r="CI11" i="22"/>
  <c r="F152" i="22"/>
  <c r="BW9" i="22"/>
  <c r="BX15" i="22"/>
  <c r="N430" i="45"/>
  <c r="BV17" i="22"/>
  <c r="BW17" i="22" s="1"/>
  <c r="BX17" i="22" s="1"/>
  <c r="M430" i="45"/>
  <c r="CI20" i="22"/>
  <c r="I304" i="45"/>
  <c r="AK49" i="42"/>
  <c r="H113" i="16"/>
  <c r="H259" i="15"/>
  <c r="AI73" i="21"/>
  <c r="C40" i="16"/>
  <c r="C259" i="15" s="1"/>
  <c r="H115" i="16"/>
  <c r="BV35" i="21"/>
  <c r="CG73" i="21"/>
  <c r="CG74" i="21" s="1"/>
  <c r="CH36" i="21"/>
  <c r="J304" i="45"/>
  <c r="H80" i="21"/>
  <c r="H88" i="21" s="1"/>
  <c r="K304" i="45"/>
  <c r="BW36" i="21"/>
  <c r="BX36" i="21" s="1"/>
  <c r="C420" i="34"/>
  <c r="C424" i="34" s="1"/>
  <c r="C432" i="34" s="1"/>
  <c r="C272" i="34" s="1"/>
  <c r="C798" i="34" s="1"/>
  <c r="H177" i="3"/>
  <c r="J519" i="8"/>
  <c r="J138" i="8" s="1"/>
  <c r="AZ19" i="42" s="1"/>
  <c r="E116" i="34"/>
  <c r="E117" i="34" s="1"/>
  <c r="E120" i="34" s="1"/>
  <c r="E122" i="34" s="1"/>
  <c r="AN41" i="42"/>
  <c r="K121" i="16"/>
  <c r="K252" i="15"/>
  <c r="L18" i="16"/>
  <c r="AR139" i="9"/>
  <c r="AU139" i="9" s="1"/>
  <c r="J18" i="17"/>
  <c r="I301" i="15"/>
  <c r="E29" i="34"/>
  <c r="E32" i="34" s="1"/>
  <c r="F29" i="34"/>
  <c r="F660" i="34"/>
  <c r="E666" i="34"/>
  <c r="C462" i="34"/>
  <c r="C276" i="34" s="1"/>
  <c r="D794" i="34"/>
  <c r="D800" i="34" s="1"/>
  <c r="D824" i="34"/>
  <c r="D814" i="34"/>
  <c r="B258" i="3" s="1"/>
  <c r="H97" i="34"/>
  <c r="G14" i="34"/>
  <c r="L18" i="1"/>
  <c r="M18" i="1" s="1"/>
  <c r="N18" i="1" s="1"/>
  <c r="O18" i="1" s="1"/>
  <c r="P18" i="1" s="1"/>
  <c r="Q18" i="1" s="1"/>
  <c r="L1105" i="7"/>
  <c r="L417" i="7" s="1"/>
  <c r="L423" i="7" s="1"/>
  <c r="X11" i="54"/>
  <c r="X18" i="54" s="1"/>
  <c r="X20" i="54" s="1"/>
  <c r="Y5" i="54"/>
  <c r="F108" i="1"/>
  <c r="G101" i="1"/>
  <c r="L870" i="7"/>
  <c r="M870" i="7" s="1"/>
  <c r="N870" i="7" s="1"/>
  <c r="O870" i="7" s="1"/>
  <c r="P870" i="7" s="1"/>
  <c r="Q870" i="7" s="1"/>
  <c r="R870" i="7" s="1"/>
  <c r="S870" i="7" s="1"/>
  <c r="L682" i="7"/>
  <c r="M682" i="7" s="1"/>
  <c r="N682" i="7" s="1"/>
  <c r="O682" i="7" s="1"/>
  <c r="P682" i="7" s="1"/>
  <c r="Q682" i="7" s="1"/>
  <c r="R682" i="7" s="1"/>
  <c r="S682" i="7" s="1"/>
  <c r="K873" i="7"/>
  <c r="L873" i="7" s="1"/>
  <c r="M873" i="7" s="1"/>
  <c r="N873" i="7" s="1"/>
  <c r="O873" i="7" s="1"/>
  <c r="P873" i="7" s="1"/>
  <c r="Q873" i="7" s="1"/>
  <c r="R873" i="7" s="1"/>
  <c r="S873" i="7" s="1"/>
  <c r="D666" i="34"/>
  <c r="I46" i="1"/>
  <c r="K522" i="8"/>
  <c r="K330" i="8"/>
  <c r="E41" i="42"/>
  <c r="L770" i="6"/>
  <c r="L86" i="6" s="1"/>
  <c r="K1304" i="6"/>
  <c r="B416" i="34"/>
  <c r="B270" i="34" s="1"/>
  <c r="K935" i="6"/>
  <c r="L935" i="6" s="1"/>
  <c r="V11" i="54"/>
  <c r="V18" i="54" s="1"/>
  <c r="V20" i="54" s="1"/>
  <c r="K791" i="7"/>
  <c r="L791" i="7" s="1"/>
  <c r="M791" i="7" s="1"/>
  <c r="L311" i="5"/>
  <c r="M311" i="5" s="1"/>
  <c r="N311" i="5" s="1"/>
  <c r="K461" i="7"/>
  <c r="L461" i="7" s="1"/>
  <c r="M461" i="7" s="1"/>
  <c r="N461" i="7" s="1"/>
  <c r="O461" i="7" s="1"/>
  <c r="P461" i="7" s="1"/>
  <c r="Q461" i="7" s="1"/>
  <c r="R461" i="7" s="1"/>
  <c r="S461" i="7" s="1"/>
  <c r="K1048" i="7"/>
  <c r="L1048" i="7" s="1"/>
  <c r="M1048" i="7" s="1"/>
  <c r="N1048" i="7" s="1"/>
  <c r="O1048" i="7" s="1"/>
  <c r="P1048" i="7" s="1"/>
  <c r="Q1048" i="7" s="1"/>
  <c r="R1048" i="7" s="1"/>
  <c r="S1048" i="7" s="1"/>
  <c r="K245" i="5"/>
  <c r="K869" i="7"/>
  <c r="L869" i="7" s="1"/>
  <c r="M869" i="7" s="1"/>
  <c r="N869" i="7" s="1"/>
  <c r="O869" i="7" s="1"/>
  <c r="P869" i="7" s="1"/>
  <c r="Q869" i="7" s="1"/>
  <c r="R869" i="7" s="1"/>
  <c r="S869" i="7" s="1"/>
  <c r="K681" i="7"/>
  <c r="L681" i="7" s="1"/>
  <c r="M681" i="7" s="1"/>
  <c r="N681" i="7" s="1"/>
  <c r="O681" i="7" s="1"/>
  <c r="P681" i="7" s="1"/>
  <c r="Q681" i="7" s="1"/>
  <c r="R681" i="7" s="1"/>
  <c r="S681" i="7" s="1"/>
  <c r="E12" i="42"/>
  <c r="CI18" i="21"/>
  <c r="BV18" i="21"/>
  <c r="BW18" i="21" s="1"/>
  <c r="CK18" i="21" s="1"/>
  <c r="CH18" i="21"/>
  <c r="O79" i="21"/>
  <c r="Q345" i="8"/>
  <c r="Q94" i="8" s="1"/>
  <c r="H346" i="8"/>
  <c r="H95" i="8" s="1"/>
  <c r="G430" i="45"/>
  <c r="L423" i="10"/>
  <c r="D395" i="5"/>
  <c r="D160" i="5" s="1"/>
  <c r="D521" i="5" s="1"/>
  <c r="V25" i="10"/>
  <c r="U15" i="11" s="1"/>
  <c r="Z185" i="9"/>
  <c r="AA185" i="9" s="1"/>
  <c r="D418" i="4"/>
  <c r="D91" i="4" s="1"/>
  <c r="D657" i="7"/>
  <c r="D207" i="7" s="1"/>
  <c r="G144" i="10"/>
  <c r="F71" i="11" s="1"/>
  <c r="G140" i="10"/>
  <c r="D1080" i="6"/>
  <c r="D287" i="6" s="1"/>
  <c r="B150" i="10"/>
  <c r="G193" i="10"/>
  <c r="F118" i="11" s="1"/>
  <c r="G118" i="11" s="1"/>
  <c r="H118" i="11" s="1"/>
  <c r="J118" i="11" s="1"/>
  <c r="K118" i="11" s="1"/>
  <c r="M118" i="11" s="1"/>
  <c r="N118" i="11" s="1"/>
  <c r="P118" i="11" s="1"/>
  <c r="Q118" i="11" s="1"/>
  <c r="S118" i="11" s="1"/>
  <c r="T118" i="11" s="1"/>
  <c r="V118" i="11" s="1"/>
  <c r="W118" i="11" s="1"/>
  <c r="Y118" i="11" s="1"/>
  <c r="Z118" i="11" s="1"/>
  <c r="AB118" i="11" s="1"/>
  <c r="AC118" i="11" s="1"/>
  <c r="AE118" i="11" s="1"/>
  <c r="AF118" i="11" s="1"/>
  <c r="AH118" i="11" s="1"/>
  <c r="AI118" i="11" s="1"/>
  <c r="AK118" i="11" s="1"/>
  <c r="AL118" i="11" s="1"/>
  <c r="AN118" i="11" s="1"/>
  <c r="G113" i="11"/>
  <c r="H113" i="11" s="1"/>
  <c r="J113" i="11" s="1"/>
  <c r="K113" i="11" s="1"/>
  <c r="M113" i="11" s="1"/>
  <c r="N113" i="11" s="1"/>
  <c r="P113" i="11" s="1"/>
  <c r="Q113" i="11" s="1"/>
  <c r="S113" i="11" s="1"/>
  <c r="T113" i="11" s="1"/>
  <c r="V113" i="11" s="1"/>
  <c r="W113" i="11" s="1"/>
  <c r="Y113" i="11" s="1"/>
  <c r="Z113" i="11" s="1"/>
  <c r="AB113" i="11" s="1"/>
  <c r="AC113" i="11" s="1"/>
  <c r="AE113" i="11" s="1"/>
  <c r="AF113" i="11" s="1"/>
  <c r="AH113" i="11" s="1"/>
  <c r="AI113" i="11" s="1"/>
  <c r="AK113" i="11" s="1"/>
  <c r="AL113" i="11" s="1"/>
  <c r="AN113" i="11" s="1"/>
  <c r="D351" i="6"/>
  <c r="U10" i="9"/>
  <c r="D590" i="4"/>
  <c r="D149" i="4" s="1"/>
  <c r="U93" i="9"/>
  <c r="V93" i="9" s="1"/>
  <c r="D8" i="10"/>
  <c r="C7" i="11" s="1"/>
  <c r="D7" i="11" s="1"/>
  <c r="E7" i="11" s="1"/>
  <c r="G7" i="11" s="1"/>
  <c r="H7" i="11" s="1"/>
  <c r="J7" i="11" s="1"/>
  <c r="K7" i="11" s="1"/>
  <c r="M7" i="11" s="1"/>
  <c r="N7" i="11" s="1"/>
  <c r="P7" i="11" s="1"/>
  <c r="Q7" i="11" s="1"/>
  <c r="S7" i="11" s="1"/>
  <c r="T7" i="11" s="1"/>
  <c r="V7" i="11" s="1"/>
  <c r="W7" i="11" s="1"/>
  <c r="Y7" i="11" s="1"/>
  <c r="Z7" i="11" s="1"/>
  <c r="AB7" i="11" s="1"/>
  <c r="AC7" i="11" s="1"/>
  <c r="AE7" i="11" s="1"/>
  <c r="AF7" i="11" s="1"/>
  <c r="AH7" i="11" s="1"/>
  <c r="AI7" i="11" s="1"/>
  <c r="AK7" i="11" s="1"/>
  <c r="AL7" i="11" s="1"/>
  <c r="AN7" i="11" s="1"/>
  <c r="C16" i="11"/>
  <c r="D16" i="11" s="1"/>
  <c r="E16" i="11" s="1"/>
  <c r="G16" i="11" s="1"/>
  <c r="H16" i="11" s="1"/>
  <c r="J16" i="11" s="1"/>
  <c r="K16" i="11" s="1"/>
  <c r="M16" i="11" s="1"/>
  <c r="N16" i="11" s="1"/>
  <c r="P16" i="11" s="1"/>
  <c r="Q16" i="11" s="1"/>
  <c r="S16" i="11" s="1"/>
  <c r="T16" i="11" s="1"/>
  <c r="V16" i="11" s="1"/>
  <c r="W16" i="11" s="1"/>
  <c r="Y16" i="11" s="1"/>
  <c r="Z16" i="11" s="1"/>
  <c r="AB16" i="11" s="1"/>
  <c r="AC16" i="11" s="1"/>
  <c r="AE16" i="11" s="1"/>
  <c r="AF16" i="11" s="1"/>
  <c r="AH16" i="11" s="1"/>
  <c r="AI16" i="11" s="1"/>
  <c r="AK16" i="11" s="1"/>
  <c r="AL16" i="11" s="1"/>
  <c r="AN16" i="11" s="1"/>
  <c r="K157" i="10"/>
  <c r="J809" i="6" s="1"/>
  <c r="J115" i="6" s="1"/>
  <c r="D161" i="10"/>
  <c r="G167" i="10"/>
  <c r="F96" i="11" s="1"/>
  <c r="G179" i="10"/>
  <c r="F104" i="11" s="1"/>
  <c r="D947" i="6"/>
  <c r="G19" i="11"/>
  <c r="H19" i="11" s="1"/>
  <c r="J19" i="11" s="1"/>
  <c r="K19" i="11" s="1"/>
  <c r="M19" i="11" s="1"/>
  <c r="N19" i="11" s="1"/>
  <c r="P19" i="11" s="1"/>
  <c r="Q19" i="11" s="1"/>
  <c r="S19" i="11" s="1"/>
  <c r="T19" i="11" s="1"/>
  <c r="V19" i="11" s="1"/>
  <c r="W19" i="11" s="1"/>
  <c r="Y19" i="11" s="1"/>
  <c r="Z19" i="11" s="1"/>
  <c r="AB19" i="11" s="1"/>
  <c r="AC19" i="11" s="1"/>
  <c r="AE19" i="11" s="1"/>
  <c r="AF19" i="11" s="1"/>
  <c r="AH19" i="11" s="1"/>
  <c r="AI19" i="11" s="1"/>
  <c r="AK19" i="11" s="1"/>
  <c r="AL19" i="11" s="1"/>
  <c r="AN19" i="11" s="1"/>
  <c r="G10" i="48"/>
  <c r="B108" i="6"/>
  <c r="K825" i="4"/>
  <c r="B42" i="4"/>
  <c r="B43" i="4"/>
  <c r="B902" i="4" s="1"/>
  <c r="C40" i="4"/>
  <c r="A42" i="4"/>
  <c r="A901" i="4" s="1"/>
  <c r="C41" i="4"/>
  <c r="C900" i="4" s="1"/>
  <c r="A43" i="4"/>
  <c r="A902" i="4" s="1"/>
  <c r="C42" i="4"/>
  <c r="B40" i="4"/>
  <c r="I189" i="48"/>
  <c r="R114" i="48"/>
  <c r="R115" i="48" s="1"/>
  <c r="G49" i="48"/>
  <c r="B217" i="48"/>
  <c r="D871" i="4"/>
  <c r="C8" i="3" s="1"/>
  <c r="J290" i="4"/>
  <c r="D798" i="4"/>
  <c r="B41" i="4"/>
  <c r="C44" i="4"/>
  <c r="C903" i="4" s="1"/>
  <c r="A40" i="4"/>
  <c r="A899" i="4" s="1"/>
  <c r="A44" i="4"/>
  <c r="A41" i="4"/>
  <c r="A900" i="4" s="1"/>
  <c r="N5" i="26"/>
  <c r="L10" i="26"/>
  <c r="L72" i="26" s="1"/>
  <c r="C202" i="34"/>
  <c r="K463" i="7"/>
  <c r="J75" i="7"/>
  <c r="BX31" i="22"/>
  <c r="BY31" i="22" s="1"/>
  <c r="CK31" i="22"/>
  <c r="D34" i="20"/>
  <c r="H36" i="17"/>
  <c r="P22" i="20" s="1"/>
  <c r="BW11" i="22"/>
  <c r="CJ11" i="22"/>
  <c r="BV7" i="22"/>
  <c r="BX70" i="22"/>
  <c r="CK70" i="22"/>
  <c r="CI16" i="22"/>
  <c r="BX58" i="22"/>
  <c r="CK58" i="22"/>
  <c r="BW130" i="22"/>
  <c r="BX130" i="22" s="1"/>
  <c r="CJ130" i="22"/>
  <c r="AT142" i="22"/>
  <c r="L149" i="22" s="1"/>
  <c r="AX142" i="22"/>
  <c r="M149" i="22" s="1"/>
  <c r="AP142" i="22"/>
  <c r="K149" i="22" s="1"/>
  <c r="O430" i="45"/>
  <c r="BX74" i="22"/>
  <c r="CK74" i="22"/>
  <c r="CJ112" i="22"/>
  <c r="BV104" i="22"/>
  <c r="CI104" i="22"/>
  <c r="CI77" i="22"/>
  <c r="BV77" i="22"/>
  <c r="CI12" i="22"/>
  <c r="BV12" i="22"/>
  <c r="CI6" i="22"/>
  <c r="BV6" i="22"/>
  <c r="BV84" i="22"/>
  <c r="CI84" i="22"/>
  <c r="AL142" i="22"/>
  <c r="J149" i="22" s="1"/>
  <c r="BB142" i="22"/>
  <c r="N149" i="22" s="1"/>
  <c r="BY30" i="22"/>
  <c r="CL30" i="22"/>
  <c r="BW42" i="22"/>
  <c r="CJ42" i="22"/>
  <c r="BW100" i="22"/>
  <c r="CJ100" i="22"/>
  <c r="J430" i="45"/>
  <c r="AB142" i="22"/>
  <c r="H539" i="8" s="1"/>
  <c r="H158" i="8" s="1"/>
  <c r="V77" i="22"/>
  <c r="V142" i="22" s="1"/>
  <c r="CL29" i="22"/>
  <c r="BW76" i="22"/>
  <c r="BV79" i="22"/>
  <c r="BW47" i="22"/>
  <c r="CR134" i="22"/>
  <c r="CN134" i="22"/>
  <c r="CK44" i="22"/>
  <c r="CJ44" i="22"/>
  <c r="BV55" i="22"/>
  <c r="BW55" i="22" s="1"/>
  <c r="CK55" i="22" s="1"/>
  <c r="AJ142" i="22"/>
  <c r="K539" i="8" s="1"/>
  <c r="K158" i="8" s="1"/>
  <c r="CJ17" i="22"/>
  <c r="CK30" i="22"/>
  <c r="CI130" i="22"/>
  <c r="CL134" i="22"/>
  <c r="CJ31" i="22"/>
  <c r="CI19" i="22"/>
  <c r="CI22" i="22"/>
  <c r="K430" i="45"/>
  <c r="V162" i="22"/>
  <c r="CI100" i="22"/>
  <c r="CI114" i="22"/>
  <c r="CI41" i="22"/>
  <c r="CI138" i="22"/>
  <c r="CQ134" i="22"/>
  <c r="CM134" i="22"/>
  <c r="CK134" i="22"/>
  <c r="CI134" i="22"/>
  <c r="BW128" i="22"/>
  <c r="CJ128" i="22"/>
  <c r="BW27" i="22"/>
  <c r="CK27" i="22" s="1"/>
  <c r="CJ27" i="22"/>
  <c r="BW97" i="22"/>
  <c r="CJ97" i="22"/>
  <c r="BY28" i="22"/>
  <c r="CM28" i="22" s="1"/>
  <c r="CL28" i="22"/>
  <c r="BW52" i="22"/>
  <c r="CJ52" i="22"/>
  <c r="BW122" i="22"/>
  <c r="CJ122" i="22"/>
  <c r="CI23" i="22"/>
  <c r="CI109" i="22"/>
  <c r="CI32" i="22"/>
  <c r="CI108" i="22"/>
  <c r="F511" i="9"/>
  <c r="V141" i="9"/>
  <c r="L8" i="37" s="1"/>
  <c r="CU52" i="9"/>
  <c r="AA505" i="9"/>
  <c r="B180" i="42"/>
  <c r="E180" i="42" s="1"/>
  <c r="J170" i="10"/>
  <c r="B118" i="4"/>
  <c r="A118" i="4"/>
  <c r="D151" i="4"/>
  <c r="D44" i="4" s="1"/>
  <c r="P42" i="4"/>
  <c r="N48" i="3" s="1"/>
  <c r="H44" i="4"/>
  <c r="H903" i="4" s="1"/>
  <c r="D40" i="4"/>
  <c r="M42" i="4"/>
  <c r="M901" i="4" s="1"/>
  <c r="N42" i="4"/>
  <c r="N901" i="4" s="1"/>
  <c r="A290" i="3"/>
  <c r="B291" i="3" s="1"/>
  <c r="H296" i="3"/>
  <c r="B297" i="3"/>
  <c r="N202" i="48"/>
  <c r="L115" i="48"/>
  <c r="N190" i="48"/>
  <c r="C871" i="4"/>
  <c r="K553" i="4"/>
  <c r="J125" i="4"/>
  <c r="A871" i="4"/>
  <c r="A34" i="4" s="1"/>
  <c r="D125" i="4"/>
  <c r="M6" i="26"/>
  <c r="L27" i="26"/>
  <c r="B528" i="34"/>
  <c r="B520" i="34"/>
  <c r="B576" i="34"/>
  <c r="B256" i="34" s="1"/>
  <c r="C363" i="42"/>
  <c r="A19" i="15"/>
  <c r="Q77" i="42"/>
  <c r="A41" i="60" s="1"/>
  <c r="A86" i="15"/>
  <c r="D189" i="42"/>
  <c r="B338" i="42"/>
  <c r="B106" i="15"/>
  <c r="D337" i="34" s="1"/>
  <c r="D393" i="34" s="1"/>
  <c r="D510" i="34" s="1"/>
  <c r="E49" i="48"/>
  <c r="J1749" i="6"/>
  <c r="J586" i="6" s="1"/>
  <c r="K168" i="4"/>
  <c r="B168" i="4"/>
  <c r="B212" i="4" s="1"/>
  <c r="J126" i="34"/>
  <c r="L168" i="4"/>
  <c r="L212" i="4" s="1"/>
  <c r="D142" i="4"/>
  <c r="D67" i="4"/>
  <c r="D127" i="4"/>
  <c r="D360" i="7"/>
  <c r="H138" i="4"/>
  <c r="I138" i="4" s="1"/>
  <c r="R518" i="5"/>
  <c r="C703" i="7"/>
  <c r="C705" i="7" s="1"/>
  <c r="C707" i="7" s="1"/>
  <c r="C718" i="7" s="1"/>
  <c r="A999" i="7"/>
  <c r="A1001" i="7" s="1"/>
  <c r="A1011" i="7" s="1"/>
  <c r="K641" i="7"/>
  <c r="L641" i="7" s="1"/>
  <c r="M641" i="7" s="1"/>
  <c r="M25" i="48"/>
  <c r="A650" i="7"/>
  <c r="A652" i="7" s="1"/>
  <c r="A661" i="7" s="1"/>
  <c r="K818" i="7"/>
  <c r="K304" i="7" s="1"/>
  <c r="I76" i="13"/>
  <c r="I210" i="15"/>
  <c r="I155" i="15" s="1"/>
  <c r="W42" i="42"/>
  <c r="H42" i="42" s="1"/>
  <c r="H125" i="13"/>
  <c r="H825" i="7"/>
  <c r="H890" i="7" s="1"/>
  <c r="H59" i="7"/>
  <c r="H1124" i="7"/>
  <c r="H125" i="7"/>
  <c r="H547" i="7"/>
  <c r="H1062" i="7"/>
  <c r="H171" i="7"/>
  <c r="H312" i="7"/>
  <c r="H781" i="4"/>
  <c r="J137" i="4"/>
  <c r="M100" i="4"/>
  <c r="P18" i="12"/>
  <c r="K742" i="7"/>
  <c r="J272" i="7"/>
  <c r="CJ18" i="21"/>
  <c r="CH7" i="21"/>
  <c r="BW64" i="21"/>
  <c r="CJ64" i="21"/>
  <c r="CH23" i="21"/>
  <c r="BY39" i="22"/>
  <c r="CL39" i="22"/>
  <c r="BW96" i="22"/>
  <c r="CJ96" i="22"/>
  <c r="BW114" i="22"/>
  <c r="CJ114" i="22"/>
  <c r="BW129" i="22"/>
  <c r="BX129" i="22" s="1"/>
  <c r="CJ129" i="22"/>
  <c r="BW109" i="22"/>
  <c r="BX109" i="22" s="1"/>
  <c r="CJ109" i="22"/>
  <c r="BW26" i="22"/>
  <c r="CK26" i="22" s="1"/>
  <c r="CJ26" i="22"/>
  <c r="BY40" i="22"/>
  <c r="CL40" i="22"/>
  <c r="BW43" i="22"/>
  <c r="CJ43" i="22"/>
  <c r="BW101" i="22"/>
  <c r="CJ101" i="22"/>
  <c r="BW127" i="22"/>
  <c r="CJ127" i="22"/>
  <c r="CJ108" i="22"/>
  <c r="BW108" i="22"/>
  <c r="BW41" i="22"/>
  <c r="CJ41" i="22"/>
  <c r="BW59" i="22"/>
  <c r="CJ59" i="22"/>
  <c r="BW123" i="22"/>
  <c r="CJ123" i="22"/>
  <c r="CJ23" i="22"/>
  <c r="BW23" i="22"/>
  <c r="BW37" i="22"/>
  <c r="CJ37" i="22"/>
  <c r="BW53" i="22"/>
  <c r="CJ53" i="22"/>
  <c r="BW95" i="22"/>
  <c r="CJ95" i="22"/>
  <c r="CI48" i="22"/>
  <c r="CI54" i="22"/>
  <c r="CJ86" i="22"/>
  <c r="CI62" i="22"/>
  <c r="CI21" i="22"/>
  <c r="CI33" i="22"/>
  <c r="CI66" i="22"/>
  <c r="CI107" i="22"/>
  <c r="R22" i="20"/>
  <c r="CJ71" i="22"/>
  <c r="BW71" i="22"/>
  <c r="BY44" i="22"/>
  <c r="CL44" i="22"/>
  <c r="AH142" i="22"/>
  <c r="I149" i="22" s="1"/>
  <c r="BW51" i="22"/>
  <c r="CJ51" i="22"/>
  <c r="BZ29" i="22"/>
  <c r="CM29" i="22"/>
  <c r="BY45" i="22"/>
  <c r="CL45" i="22"/>
  <c r="CJ19" i="22"/>
  <c r="BW19" i="22"/>
  <c r="BY46" i="22"/>
  <c r="CL46" i="22"/>
  <c r="CJ72" i="22"/>
  <c r="BW72" i="22"/>
  <c r="CJ69" i="22"/>
  <c r="BW69" i="22"/>
  <c r="CJ21" i="22"/>
  <c r="BW21" i="22"/>
  <c r="CJ33" i="22"/>
  <c r="BW33" i="22"/>
  <c r="CJ66" i="22"/>
  <c r="BW66" i="22"/>
  <c r="BW32" i="22"/>
  <c r="CJ32" i="22"/>
  <c r="BW107" i="22"/>
  <c r="CJ107" i="22"/>
  <c r="CJ22" i="22"/>
  <c r="BW22" i="22"/>
  <c r="CJ20" i="22"/>
  <c r="BW20" i="22"/>
  <c r="CJ48" i="22"/>
  <c r="BW48" i="22"/>
  <c r="CJ54" i="22"/>
  <c r="BW54" i="22"/>
  <c r="CK109" i="22"/>
  <c r="CJ140" i="22"/>
  <c r="BW140" i="22"/>
  <c r="BW62" i="22"/>
  <c r="CJ62" i="22"/>
  <c r="CZ58" i="9"/>
  <c r="CX58" i="9"/>
  <c r="DB58" i="9"/>
  <c r="CY58" i="9"/>
  <c r="CV58" i="9"/>
  <c r="CT58" i="9"/>
  <c r="DA58" i="9"/>
  <c r="CU59" i="9"/>
  <c r="CT62" i="9"/>
  <c r="AA292" i="9"/>
  <c r="CH105" i="9"/>
  <c r="CI105" i="9" s="1"/>
  <c r="CW105" i="9" s="1"/>
  <c r="Z183" i="9"/>
  <c r="AA183" i="9" s="1"/>
  <c r="F499" i="9"/>
  <c r="A340" i="6"/>
  <c r="A342" i="6" s="1"/>
  <c r="H317" i="7"/>
  <c r="I317" i="7" s="1"/>
  <c r="B264" i="7"/>
  <c r="B267" i="7" s="1"/>
  <c r="C261" i="7"/>
  <c r="C267" i="7" s="1"/>
  <c r="C281" i="7"/>
  <c r="K104" i="26"/>
  <c r="K106" i="26" s="1"/>
  <c r="A183" i="7"/>
  <c r="A8" i="7" s="1"/>
  <c r="Q12" i="42"/>
  <c r="B12" i="42" s="1"/>
  <c r="C280" i="7"/>
  <c r="D1044" i="7"/>
  <c r="D705" i="7"/>
  <c r="A360" i="7"/>
  <c r="A38" i="7" s="1"/>
  <c r="H67" i="10"/>
  <c r="C183" i="7"/>
  <c r="C8" i="7" s="1"/>
  <c r="D777" i="34"/>
  <c r="B69" i="7"/>
  <c r="B7" i="7" s="1"/>
  <c r="R12" i="42"/>
  <c r="A267" i="7"/>
  <c r="H150" i="7"/>
  <c r="B316" i="7"/>
  <c r="B331" i="7" s="1"/>
  <c r="B12" i="7" s="1"/>
  <c r="K607" i="7"/>
  <c r="L607" i="7" s="1"/>
  <c r="M607" i="7" s="1"/>
  <c r="D281" i="7"/>
  <c r="D236" i="7"/>
  <c r="D384" i="7"/>
  <c r="C10" i="7"/>
  <c r="H222" i="7"/>
  <c r="I222" i="7" s="1"/>
  <c r="D539" i="7"/>
  <c r="D116" i="7" s="1"/>
  <c r="J123" i="13"/>
  <c r="H280" i="7"/>
  <c r="I280" i="7" s="1"/>
  <c r="H340" i="7"/>
  <c r="I340" i="7" s="1"/>
  <c r="A400" i="7"/>
  <c r="A13" i="7" s="1"/>
  <c r="B864" i="7"/>
  <c r="D650" i="7"/>
  <c r="K644" i="7"/>
  <c r="L644" i="7" s="1"/>
  <c r="L191" i="7" s="1"/>
  <c r="C997" i="7"/>
  <c r="C999" i="7" s="1"/>
  <c r="C1001" i="7" s="1"/>
  <c r="C1011" i="7" s="1"/>
  <c r="J885" i="7"/>
  <c r="J342" i="7" s="1"/>
  <c r="J362" i="7" s="1"/>
  <c r="J40" i="7" s="1"/>
  <c r="G13" i="13" s="1"/>
  <c r="G49" i="13" s="1"/>
  <c r="G65" i="13" s="1"/>
  <c r="C585" i="7"/>
  <c r="C596" i="7" s="1"/>
  <c r="L27" i="48"/>
  <c r="A51" i="7"/>
  <c r="AA32" i="42"/>
  <c r="L32" i="42" s="1"/>
  <c r="A152" i="7"/>
  <c r="A1143" i="7" s="1"/>
  <c r="D183" i="7"/>
  <c r="K735" i="7"/>
  <c r="H342" i="7"/>
  <c r="I342" i="7" s="1"/>
  <c r="B80" i="7"/>
  <c r="B106" i="7" s="1"/>
  <c r="A1153" i="7"/>
  <c r="C345" i="7"/>
  <c r="L92" i="26"/>
  <c r="L98" i="26" s="1"/>
  <c r="M215" i="15"/>
  <c r="M160" i="15" s="1"/>
  <c r="A197" i="7"/>
  <c r="A20" i="7" s="1"/>
  <c r="A292" i="7"/>
  <c r="A22" i="7" s="1"/>
  <c r="C650" i="7"/>
  <c r="C652" i="7" s="1"/>
  <c r="C661" i="7" s="1"/>
  <c r="D48" i="7"/>
  <c r="C21" i="3" s="1"/>
  <c r="H178" i="7"/>
  <c r="I178" i="7" s="1"/>
  <c r="A705" i="7"/>
  <c r="A707" i="7" s="1"/>
  <c r="A718" i="7" s="1"/>
  <c r="B236" i="7"/>
  <c r="B238" i="7" s="1"/>
  <c r="B240" i="7" s="1"/>
  <c r="S7" i="42"/>
  <c r="C39" i="15" s="1"/>
  <c r="D337" i="7"/>
  <c r="AC32" i="42"/>
  <c r="N32" i="42" s="1"/>
  <c r="C233" i="7"/>
  <c r="C236" i="7" s="1"/>
  <c r="G130" i="42"/>
  <c r="D10" i="7"/>
  <c r="B49" i="7"/>
  <c r="A37" i="3" s="1"/>
  <c r="B177" i="7"/>
  <c r="B183" i="7" s="1"/>
  <c r="B8" i="7" s="1"/>
  <c r="D864" i="7"/>
  <c r="A325" i="7"/>
  <c r="A331" i="7" s="1"/>
  <c r="A12" i="7" s="1"/>
  <c r="K761" i="7"/>
  <c r="D583" i="7"/>
  <c r="C1044" i="7"/>
  <c r="C1109" i="7" s="1"/>
  <c r="C1112" i="7" s="1"/>
  <c r="C1120" i="7" s="1"/>
  <c r="B408" i="7"/>
  <c r="B420" i="7" s="1"/>
  <c r="B24" i="7" s="1"/>
  <c r="C69" i="7"/>
  <c r="B127" i="42" s="1"/>
  <c r="C384" i="7"/>
  <c r="C400" i="7" s="1"/>
  <c r="D1153" i="7"/>
  <c r="C5" i="3" s="1"/>
  <c r="C360" i="7"/>
  <c r="C38" i="7" s="1"/>
  <c r="B12" i="13" s="1"/>
  <c r="D280" i="7"/>
  <c r="D69" i="7"/>
  <c r="B648" i="7"/>
  <c r="B650" i="7" s="1"/>
  <c r="B652" i="7" s="1"/>
  <c r="B661" i="7" s="1"/>
  <c r="B1001" i="7"/>
  <c r="B1011" i="7" s="1"/>
  <c r="D331" i="7"/>
  <c r="D12" i="7" s="1"/>
  <c r="B357" i="7"/>
  <c r="B23" i="7" s="1"/>
  <c r="H347" i="7"/>
  <c r="I347" i="7" s="1"/>
  <c r="K584" i="7"/>
  <c r="K1154" i="7" s="1"/>
  <c r="J277" i="7"/>
  <c r="Q9" i="42"/>
  <c r="A41" i="15" s="1"/>
  <c r="M98" i="26"/>
  <c r="L581" i="7"/>
  <c r="L584" i="7" s="1"/>
  <c r="L1154" i="7" s="1"/>
  <c r="B1044" i="7"/>
  <c r="B360" i="7"/>
  <c r="B38" i="7" s="1"/>
  <c r="C342" i="7"/>
  <c r="C362" i="7" s="1"/>
  <c r="C40" i="7" s="1"/>
  <c r="B13" i="13" s="1"/>
  <c r="B49" i="13" s="1"/>
  <c r="B192" i="15" s="1"/>
  <c r="J90" i="7"/>
  <c r="J878" i="7"/>
  <c r="K878" i="7" s="1"/>
  <c r="L878" i="7" s="1"/>
  <c r="M878" i="7" s="1"/>
  <c r="L467" i="7"/>
  <c r="L77" i="7" s="1"/>
  <c r="J76" i="7"/>
  <c r="J900" i="7"/>
  <c r="K900" i="7" s="1"/>
  <c r="L900" i="7" s="1"/>
  <c r="M900" i="7" s="1"/>
  <c r="K730" i="7"/>
  <c r="K518" i="7"/>
  <c r="K95" i="7" s="1"/>
  <c r="H339" i="7"/>
  <c r="I339" i="7" s="1"/>
  <c r="C50" i="7"/>
  <c r="B45" i="3" s="1"/>
  <c r="H264" i="7"/>
  <c r="I264" i="7" s="1"/>
  <c r="J284" i="7"/>
  <c r="G15" i="48"/>
  <c r="L520" i="7"/>
  <c r="L97" i="7" s="1"/>
  <c r="H345" i="7"/>
  <c r="I345" i="7" s="1"/>
  <c r="O539" i="7"/>
  <c r="O116" i="7" s="1"/>
  <c r="J385" i="7"/>
  <c r="J1044" i="7"/>
  <c r="G735" i="34"/>
  <c r="H189" i="7"/>
  <c r="I189" i="7" s="1"/>
  <c r="H346" i="7"/>
  <c r="I346" i="7" s="1"/>
  <c r="J77" i="7"/>
  <c r="B50" i="7"/>
  <c r="A45" i="3" s="1"/>
  <c r="L804" i="7"/>
  <c r="K290" i="7"/>
  <c r="O23" i="26"/>
  <c r="K758" i="7"/>
  <c r="L758" i="7" s="1"/>
  <c r="K627" i="7"/>
  <c r="L627" i="7" s="1"/>
  <c r="M627" i="7" s="1"/>
  <c r="J188" i="7"/>
  <c r="H190" i="7"/>
  <c r="I190" i="7" s="1"/>
  <c r="K690" i="7"/>
  <c r="L690" i="7" s="1"/>
  <c r="M690" i="7" s="1"/>
  <c r="J231" i="7"/>
  <c r="H321" i="7"/>
  <c r="H965" i="7"/>
  <c r="I965" i="7" s="1"/>
  <c r="J290" i="7"/>
  <c r="D414" i="7"/>
  <c r="K762" i="7"/>
  <c r="J278" i="7"/>
  <c r="J406" i="7"/>
  <c r="K1055" i="7"/>
  <c r="I736" i="34" s="1"/>
  <c r="J790" i="7"/>
  <c r="K790" i="7" s="1"/>
  <c r="L790" i="7" s="1"/>
  <c r="M790" i="7" s="1"/>
  <c r="H281" i="7"/>
  <c r="I281" i="7" s="1"/>
  <c r="K965" i="7"/>
  <c r="H1000" i="7"/>
  <c r="I1000" i="7" s="1"/>
  <c r="I127" i="10"/>
  <c r="N16" i="26"/>
  <c r="K775" i="7"/>
  <c r="I123" i="13"/>
  <c r="X32" i="42"/>
  <c r="I32" i="42" s="1"/>
  <c r="H289" i="7"/>
  <c r="I289" i="7" s="1"/>
  <c r="P44" i="10"/>
  <c r="O26" i="11" s="1"/>
  <c r="K539" i="7"/>
  <c r="K116" i="7" s="1"/>
  <c r="K516" i="7"/>
  <c r="J93" i="7"/>
  <c r="H290" i="7"/>
  <c r="I290" i="7" s="1"/>
  <c r="Y32" i="42"/>
  <c r="J32" i="42" s="1"/>
  <c r="K82" i="7"/>
  <c r="O19" i="26"/>
  <c r="B51" i="7"/>
  <c r="A59" i="3" s="1"/>
  <c r="H723" i="7"/>
  <c r="H601" i="7"/>
  <c r="H664" i="4"/>
  <c r="U32" i="42"/>
  <c r="F32" i="42" s="1"/>
  <c r="C420" i="7"/>
  <c r="C133" i="42" s="1"/>
  <c r="O17" i="26"/>
  <c r="H598" i="4"/>
  <c r="H957" i="7"/>
  <c r="K760" i="7"/>
  <c r="J82" i="7"/>
  <c r="A49" i="7"/>
  <c r="H1139" i="7"/>
  <c r="H217" i="7"/>
  <c r="B400" i="7"/>
  <c r="B13" i="7" s="1"/>
  <c r="I14" i="48"/>
  <c r="K696" i="7"/>
  <c r="K232" i="7" s="1"/>
  <c r="K504" i="7"/>
  <c r="H666" i="7"/>
  <c r="F75" i="15"/>
  <c r="C106" i="15"/>
  <c r="AN3" i="9"/>
  <c r="AI88" i="9"/>
  <c r="AI174" i="9" s="1"/>
  <c r="AJ88" i="9"/>
  <c r="AJ174" i="9" s="1"/>
  <c r="AO3" i="9"/>
  <c r="AD88" i="9"/>
  <c r="AD174" i="9" s="1"/>
  <c r="CT59" i="9"/>
  <c r="D1153" i="6"/>
  <c r="CV122" i="9"/>
  <c r="AD241" i="10"/>
  <c r="P1651" i="6" s="1"/>
  <c r="P519" i="6" s="1"/>
  <c r="CT113" i="9"/>
  <c r="Z25" i="9"/>
  <c r="CS146" i="9"/>
  <c r="G40" i="45"/>
  <c r="CX138" i="9"/>
  <c r="CZ8" i="9"/>
  <c r="CY8" i="9"/>
  <c r="AA460" i="9"/>
  <c r="F25" i="9"/>
  <c r="U210" i="9"/>
  <c r="V7" i="9"/>
  <c r="CW8" i="9"/>
  <c r="Z288" i="9"/>
  <c r="CT156" i="9"/>
  <c r="CT160" i="9"/>
  <c r="AB3" i="9"/>
  <c r="AG3" i="9" s="1"/>
  <c r="CZ9" i="9"/>
  <c r="U498" i="9"/>
  <c r="O257" i="10"/>
  <c r="K2044" i="6" s="1"/>
  <c r="K742" i="6" s="1"/>
  <c r="BJ203" i="9"/>
  <c r="CH162" i="9"/>
  <c r="CV162" i="9" s="1"/>
  <c r="CU162" i="9"/>
  <c r="CU102" i="9"/>
  <c r="CH102" i="9"/>
  <c r="CV102" i="9" s="1"/>
  <c r="N1118" i="7"/>
  <c r="N433" i="7" s="1"/>
  <c r="CT102" i="9"/>
  <c r="V181" i="9"/>
  <c r="CT159" i="9"/>
  <c r="V355" i="9"/>
  <c r="V392" i="9" s="1"/>
  <c r="AA504" i="9"/>
  <c r="AA510" i="9" s="1"/>
  <c r="J1118" i="7"/>
  <c r="J433" i="7" s="1"/>
  <c r="CT181" i="9"/>
  <c r="AB2" i="9"/>
  <c r="AG2" i="9" s="1"/>
  <c r="AL2" i="9" s="1"/>
  <c r="CG73" i="9"/>
  <c r="CH73" i="9" s="1"/>
  <c r="CV73" i="9" s="1"/>
  <c r="R339" i="9"/>
  <c r="BT203" i="9"/>
  <c r="CT193" i="9"/>
  <c r="CT110" i="9"/>
  <c r="CG126" i="9"/>
  <c r="CH126" i="9" s="1"/>
  <c r="CI126" i="9" s="1"/>
  <c r="CJ126" i="9" s="1"/>
  <c r="CK126" i="9" s="1"/>
  <c r="CL126" i="9" s="1"/>
  <c r="CM126" i="9" s="1"/>
  <c r="CN126" i="9" s="1"/>
  <c r="CO126" i="9" s="1"/>
  <c r="CP126" i="9" s="1"/>
  <c r="CQ126" i="9" s="1"/>
  <c r="C234" i="42"/>
  <c r="I75" i="15"/>
  <c r="I323" i="34" s="1"/>
  <c r="I380" i="34" s="1"/>
  <c r="I498" i="34" s="1"/>
  <c r="S43" i="42"/>
  <c r="D43" i="42" s="1"/>
  <c r="B170" i="42" s="1"/>
  <c r="E170" i="42" s="1"/>
  <c r="A106" i="15"/>
  <c r="C337" i="34" s="1"/>
  <c r="C393" i="34" s="1"/>
  <c r="C510" i="34" s="1"/>
  <c r="H75" i="15"/>
  <c r="H323" i="34" s="1"/>
  <c r="H556" i="34" s="1"/>
  <c r="E181" i="14"/>
  <c r="B193" i="3" s="1"/>
  <c r="B41" i="42"/>
  <c r="CV138" i="9"/>
  <c r="CW138" i="9"/>
  <c r="CT138" i="9"/>
  <c r="DC138" i="9"/>
  <c r="CU138" i="9"/>
  <c r="Y25" i="10"/>
  <c r="X15" i="11" s="1"/>
  <c r="L539" i="7"/>
  <c r="L116" i="7" s="1"/>
  <c r="G127" i="10"/>
  <c r="F54" i="11" s="1"/>
  <c r="G54" i="11" s="1"/>
  <c r="H54" i="11" s="1"/>
  <c r="D1971" i="6"/>
  <c r="D685" i="6" s="1"/>
  <c r="B94" i="10"/>
  <c r="CT21" i="9"/>
  <c r="AU107" i="37"/>
  <c r="M23" i="37"/>
  <c r="M19" i="37"/>
  <c r="AV80" i="37" s="1"/>
  <c r="AV27" i="37" s="1"/>
  <c r="AR34" i="37"/>
  <c r="M22" i="37"/>
  <c r="M16" i="37"/>
  <c r="AV77" i="37" s="1"/>
  <c r="AV24" i="37" s="1"/>
  <c r="N113" i="37"/>
  <c r="N14" i="37"/>
  <c r="O14" i="37" s="1"/>
  <c r="P14" i="37" s="1"/>
  <c r="Q14" i="37" s="1"/>
  <c r="R14" i="37" s="1"/>
  <c r="AV75" i="37"/>
  <c r="AV22" i="37" s="1"/>
  <c r="O113" i="37"/>
  <c r="M114" i="37"/>
  <c r="M13" i="37"/>
  <c r="N13" i="37" s="1"/>
  <c r="O13" i="37" s="1"/>
  <c r="AU75" i="37"/>
  <c r="AU22" i="37" s="1"/>
  <c r="AU29" i="37"/>
  <c r="M113" i="37"/>
  <c r="M21" i="37"/>
  <c r="AR29" i="37"/>
  <c r="T114" i="37"/>
  <c r="L114" i="37"/>
  <c r="N20" i="37"/>
  <c r="O20" i="37" s="1"/>
  <c r="P20" i="37" s="1"/>
  <c r="Q20" i="37" s="1"/>
  <c r="R20" i="37" s="1"/>
  <c r="M15" i="37"/>
  <c r="P114" i="37"/>
  <c r="AU37" i="37"/>
  <c r="AU81" i="37"/>
  <c r="AU28" i="37" s="1"/>
  <c r="K76" i="37"/>
  <c r="K78" i="37" s="1"/>
  <c r="V114" i="37"/>
  <c r="M63" i="37"/>
  <c r="M65" i="37" s="1"/>
  <c r="N63" i="37" s="1"/>
  <c r="N65" i="37" s="1"/>
  <c r="O63" i="37" s="1"/>
  <c r="O65" i="37" s="1"/>
  <c r="P63" i="37" s="1"/>
  <c r="P65" i="37" s="1"/>
  <c r="Q63" i="37" s="1"/>
  <c r="Q65" i="37" s="1"/>
  <c r="L78" i="37"/>
  <c r="AT17" i="37"/>
  <c r="AT101" i="37"/>
  <c r="L10" i="37"/>
  <c r="AU67" i="37" s="1"/>
  <c r="AU18" i="37" s="1"/>
  <c r="AU66" i="37"/>
  <c r="AU17" i="37" s="1"/>
  <c r="AV106" i="37"/>
  <c r="M18" i="37"/>
  <c r="AU78" i="37"/>
  <c r="AU25" i="37" s="1"/>
  <c r="M17" i="37"/>
  <c r="AR101" i="37"/>
  <c r="AS101" i="37"/>
  <c r="AS18" i="37"/>
  <c r="AV107" i="37"/>
  <c r="AV19" i="37"/>
  <c r="AT106" i="37"/>
  <c r="AT108" i="37" s="1"/>
  <c r="AT37" i="37"/>
  <c r="AT103" i="37"/>
  <c r="AT104" i="37" s="1"/>
  <c r="AU34" i="37"/>
  <c r="AU30" i="37"/>
  <c r="AS34" i="37"/>
  <c r="AS30" i="37"/>
  <c r="L115" i="37"/>
  <c r="AU72" i="37"/>
  <c r="M12" i="37"/>
  <c r="U114" i="37"/>
  <c r="AS29" i="37"/>
  <c r="S114" i="37"/>
  <c r="E149" i="40"/>
  <c r="C75" i="15"/>
  <c r="I106" i="15"/>
  <c r="I337" i="34" s="1"/>
  <c r="C203" i="15"/>
  <c r="F106" i="15"/>
  <c r="C41" i="42"/>
  <c r="G34" i="11"/>
  <c r="H34" i="11" s="1"/>
  <c r="J34" i="11" s="1"/>
  <c r="K34" i="11" s="1"/>
  <c r="M34" i="11" s="1"/>
  <c r="N34" i="11" s="1"/>
  <c r="P34" i="11" s="1"/>
  <c r="Q34" i="11" s="1"/>
  <c r="S34" i="11" s="1"/>
  <c r="T34" i="11" s="1"/>
  <c r="V34" i="11" s="1"/>
  <c r="W34" i="11" s="1"/>
  <c r="Y34" i="11" s="1"/>
  <c r="Z34" i="11" s="1"/>
  <c r="AB34" i="11" s="1"/>
  <c r="AC34" i="11" s="1"/>
  <c r="AE34" i="11" s="1"/>
  <c r="AF34" i="11" s="1"/>
  <c r="AH34" i="11" s="1"/>
  <c r="AI34" i="11" s="1"/>
  <c r="AK34" i="11" s="1"/>
  <c r="AL34" i="11" s="1"/>
  <c r="AN34" i="11" s="1"/>
  <c r="AK90" i="10"/>
  <c r="AU90" i="10" s="1"/>
  <c r="J539" i="7"/>
  <c r="J116" i="7" s="1"/>
  <c r="AE44" i="10"/>
  <c r="AD26" i="11" s="1"/>
  <c r="V44" i="10"/>
  <c r="U26" i="11" s="1"/>
  <c r="Y44" i="10"/>
  <c r="X26" i="11" s="1"/>
  <c r="H430" i="45"/>
  <c r="J129" i="8"/>
  <c r="K488" i="8"/>
  <c r="A52" i="7"/>
  <c r="L82" i="7"/>
  <c r="L284" i="7"/>
  <c r="M796" i="7"/>
  <c r="M466" i="7"/>
  <c r="L76" i="7"/>
  <c r="M1054" i="7"/>
  <c r="L798" i="7"/>
  <c r="K286" i="7"/>
  <c r="K76" i="7"/>
  <c r="K284" i="7"/>
  <c r="M487" i="7"/>
  <c r="K321" i="7"/>
  <c r="J286" i="7"/>
  <c r="L963" i="7"/>
  <c r="AB32" i="42"/>
  <c r="M32" i="42" s="1"/>
  <c r="J215" i="15"/>
  <c r="J160" i="15" s="1"/>
  <c r="A420" i="7"/>
  <c r="R32" i="42"/>
  <c r="C32" i="42" s="1"/>
  <c r="P215" i="15"/>
  <c r="P160" i="15" s="1"/>
  <c r="AD32" i="42"/>
  <c r="O32" i="42" s="1"/>
  <c r="B215" i="15"/>
  <c r="B160" i="15" s="1"/>
  <c r="M506" i="7"/>
  <c r="L89" i="7"/>
  <c r="C52" i="7"/>
  <c r="B67" i="3" s="1"/>
  <c r="D106" i="7"/>
  <c r="F123" i="13"/>
  <c r="K20" i="27"/>
  <c r="L9" i="27"/>
  <c r="D802" i="6"/>
  <c r="A27" i="6"/>
  <c r="C249" i="6"/>
  <c r="C254" i="6" s="1"/>
  <c r="B63" i="6"/>
  <c r="A47" i="3" s="1"/>
  <c r="H2092" i="6"/>
  <c r="C879" i="6"/>
  <c r="B221" i="6"/>
  <c r="J2032" i="6"/>
  <c r="J729" i="6" s="1"/>
  <c r="J734" i="6" s="1"/>
  <c r="H425" i="6"/>
  <c r="I425" i="6" s="1"/>
  <c r="M626" i="7"/>
  <c r="J94" i="7"/>
  <c r="K517" i="7"/>
  <c r="H304" i="7"/>
  <c r="I304" i="7" s="1"/>
  <c r="J910" i="7"/>
  <c r="K910" i="7" s="1"/>
  <c r="L910" i="7" s="1"/>
  <c r="M910" i="7" s="1"/>
  <c r="K502" i="7"/>
  <c r="J85" i="7"/>
  <c r="H316" i="7"/>
  <c r="I316" i="7" s="1"/>
  <c r="H127" i="10"/>
  <c r="H319" i="7"/>
  <c r="I319" i="7" s="1"/>
  <c r="D27" i="48"/>
  <c r="H145" i="7"/>
  <c r="I145" i="7" s="1"/>
  <c r="D267" i="7"/>
  <c r="B705" i="7"/>
  <c r="B707" i="7" s="1"/>
  <c r="B718" i="7" s="1"/>
  <c r="B197" i="7"/>
  <c r="B20" i="7" s="1"/>
  <c r="C331" i="7"/>
  <c r="C292" i="7"/>
  <c r="J904" i="7"/>
  <c r="J925" i="7"/>
  <c r="K925" i="7" s="1"/>
  <c r="L925" i="7" s="1"/>
  <c r="M925" i="7" s="1"/>
  <c r="K750" i="7"/>
  <c r="P22" i="26" s="1"/>
  <c r="J273" i="7"/>
  <c r="J89" i="7"/>
  <c r="J576" i="7"/>
  <c r="J146" i="7" s="1"/>
  <c r="K562" i="7"/>
  <c r="L66" i="10"/>
  <c r="L103" i="10" s="1"/>
  <c r="K905" i="7"/>
  <c r="K728" i="7"/>
  <c r="J261" i="7"/>
  <c r="J87" i="7"/>
  <c r="K505" i="7"/>
  <c r="K89" i="7"/>
  <c r="H246" i="7"/>
  <c r="I246" i="7" s="1"/>
  <c r="B292" i="7"/>
  <c r="B22" i="7" s="1"/>
  <c r="B152" i="7"/>
  <c r="K512" i="7"/>
  <c r="J321" i="7"/>
  <c r="J965" i="7"/>
  <c r="J96" i="7"/>
  <c r="K519" i="7"/>
  <c r="C152" i="7"/>
  <c r="C1143" i="7" s="1"/>
  <c r="H303" i="7"/>
  <c r="I303" i="7" s="1"/>
  <c r="K842" i="7"/>
  <c r="L842" i="7" s="1"/>
  <c r="M842" i="7" s="1"/>
  <c r="J274" i="7"/>
  <c r="J150" i="7"/>
  <c r="J153" i="7" s="1"/>
  <c r="J39" i="7" s="1"/>
  <c r="H66" i="13" s="1"/>
  <c r="I214" i="15" s="1"/>
  <c r="I159" i="15" s="1"/>
  <c r="J580" i="7"/>
  <c r="B52" i="7"/>
  <c r="A67" i="3" s="1"/>
  <c r="J855" i="7"/>
  <c r="H434" i="7"/>
  <c r="H249" i="7"/>
  <c r="I249" i="7" s="1"/>
  <c r="K833" i="7"/>
  <c r="L833" i="7" s="1"/>
  <c r="M833" i="7" s="1"/>
  <c r="N833" i="7" s="1"/>
  <c r="O833" i="7" s="1"/>
  <c r="P833" i="7" s="1"/>
  <c r="Q833" i="7" s="1"/>
  <c r="R833" i="7" s="1"/>
  <c r="S833" i="7" s="1"/>
  <c r="K843" i="7"/>
  <c r="L843" i="7" s="1"/>
  <c r="M843" i="7" s="1"/>
  <c r="N843" i="7" s="1"/>
  <c r="O843" i="7" s="1"/>
  <c r="P843" i="7" s="1"/>
  <c r="Q843" i="7" s="1"/>
  <c r="R843" i="7" s="1"/>
  <c r="S843" i="7" s="1"/>
  <c r="K830" i="7"/>
  <c r="L830" i="7" s="1"/>
  <c r="M830" i="7" s="1"/>
  <c r="N830" i="7" s="1"/>
  <c r="O830" i="7" s="1"/>
  <c r="P830" i="7" s="1"/>
  <c r="Q830" i="7" s="1"/>
  <c r="R830" i="7" s="1"/>
  <c r="S830" i="7" s="1"/>
  <c r="H337" i="7"/>
  <c r="I337" i="7" s="1"/>
  <c r="H176" i="7"/>
  <c r="I176" i="7" s="1"/>
  <c r="H584" i="7"/>
  <c r="I584" i="7" s="1"/>
  <c r="H115" i="7"/>
  <c r="C63" i="6"/>
  <c r="B47" i="3" s="1"/>
  <c r="D108" i="6"/>
  <c r="D168" i="14"/>
  <c r="H106" i="15"/>
  <c r="H337" i="34" s="1"/>
  <c r="D334" i="42"/>
  <c r="D338" i="42" s="1"/>
  <c r="K75" i="15"/>
  <c r="K323" i="34" s="1"/>
  <c r="K380" i="34" s="1"/>
  <c r="K498" i="34" s="1"/>
  <c r="G181" i="14"/>
  <c r="AK30" i="9"/>
  <c r="CU119" i="9"/>
  <c r="CH119" i="9"/>
  <c r="CH50" i="9"/>
  <c r="CV50" i="9" s="1"/>
  <c r="CU50" i="9"/>
  <c r="CV52" i="9"/>
  <c r="CI52" i="9"/>
  <c r="CJ52" i="9" s="1"/>
  <c r="CX52" i="9" s="1"/>
  <c r="CH193" i="9"/>
  <c r="CU193" i="9"/>
  <c r="AZ217" i="9"/>
  <c r="M1118" i="7"/>
  <c r="M433" i="7" s="1"/>
  <c r="CT55" i="9"/>
  <c r="CX9" i="9"/>
  <c r="CU9" i="9"/>
  <c r="CT9" i="9"/>
  <c r="CG40" i="9"/>
  <c r="CU40" i="9" s="1"/>
  <c r="CT8" i="9"/>
  <c r="CG150" i="9"/>
  <c r="CU150" i="9" s="1"/>
  <c r="BT217" i="9"/>
  <c r="CT50" i="9"/>
  <c r="CG101" i="9"/>
  <c r="CH101" i="9" s="1"/>
  <c r="CV101" i="9" s="1"/>
  <c r="CT119" i="9"/>
  <c r="CU55" i="9"/>
  <c r="AE25" i="9"/>
  <c r="DB9" i="9"/>
  <c r="CT49" i="9"/>
  <c r="CT155" i="9"/>
  <c r="CG161" i="9"/>
  <c r="CH161" i="9" s="1"/>
  <c r="DB8" i="9"/>
  <c r="CV8" i="9"/>
  <c r="CU60" i="9"/>
  <c r="AA257" i="10"/>
  <c r="O2044" i="6" s="1"/>
  <c r="O742" i="6" s="1"/>
  <c r="CY9" i="9"/>
  <c r="BY217" i="9"/>
  <c r="CT154" i="9"/>
  <c r="AK203" i="9"/>
  <c r="T219" i="9"/>
  <c r="T221" i="9" s="1"/>
  <c r="C75" i="13" s="1"/>
  <c r="BY203" i="9"/>
  <c r="CX8" i="9"/>
  <c r="CT99" i="9"/>
  <c r="CT82" i="9"/>
  <c r="CW9" i="9"/>
  <c r="CV9" i="9"/>
  <c r="DA8" i="9"/>
  <c r="CU8" i="9"/>
  <c r="CG33" i="9"/>
  <c r="CU33" i="9" s="1"/>
  <c r="G25" i="11"/>
  <c r="H25" i="11" s="1"/>
  <c r="J25" i="11" s="1"/>
  <c r="K25" i="11" s="1"/>
  <c r="M25" i="11" s="1"/>
  <c r="N25" i="11" s="1"/>
  <c r="P25" i="11" s="1"/>
  <c r="Q25" i="11" s="1"/>
  <c r="S25" i="11" s="1"/>
  <c r="T25" i="11" s="1"/>
  <c r="V25" i="11" s="1"/>
  <c r="W25" i="11" s="1"/>
  <c r="Y25" i="11" s="1"/>
  <c r="Z25" i="11" s="1"/>
  <c r="AB25" i="11" s="1"/>
  <c r="AC25" i="11" s="1"/>
  <c r="AE25" i="11" s="1"/>
  <c r="AF25" i="11" s="1"/>
  <c r="AH25" i="11" s="1"/>
  <c r="AI25" i="11" s="1"/>
  <c r="AK25" i="11" s="1"/>
  <c r="AL25" i="11" s="1"/>
  <c r="AN25" i="11" s="1"/>
  <c r="Z75" i="9"/>
  <c r="AA75" i="9"/>
  <c r="C104" i="3"/>
  <c r="N538" i="7"/>
  <c r="N115" i="7" s="1"/>
  <c r="AH44" i="10"/>
  <c r="AG26" i="11" s="1"/>
  <c r="G139" i="11"/>
  <c r="H139" i="11" s="1"/>
  <c r="J139" i="11" s="1"/>
  <c r="K139" i="11" s="1"/>
  <c r="M139" i="11" s="1"/>
  <c r="N139" i="11" s="1"/>
  <c r="P139" i="11" s="1"/>
  <c r="Q139" i="11" s="1"/>
  <c r="S139" i="11" s="1"/>
  <c r="T139" i="11" s="1"/>
  <c r="V139" i="11" s="1"/>
  <c r="W139" i="11" s="1"/>
  <c r="Y139" i="11" s="1"/>
  <c r="Z139" i="11" s="1"/>
  <c r="AB139" i="11" s="1"/>
  <c r="AC139" i="11" s="1"/>
  <c r="AE139" i="11" s="1"/>
  <c r="AF139" i="11" s="1"/>
  <c r="AH139" i="11" s="1"/>
  <c r="AI139" i="11" s="1"/>
  <c r="AK139" i="11" s="1"/>
  <c r="AL139" i="11" s="1"/>
  <c r="AN139" i="11" s="1"/>
  <c r="G225" i="3"/>
  <c r="G226" i="3" s="1"/>
  <c r="K771" i="6"/>
  <c r="K87" i="6" s="1"/>
  <c r="H216" i="6"/>
  <c r="I216" i="6" s="1"/>
  <c r="H661" i="6"/>
  <c r="I661" i="6" s="1"/>
  <c r="H349" i="6"/>
  <c r="I349" i="6" s="1"/>
  <c r="H285" i="6"/>
  <c r="I285" i="6" s="1"/>
  <c r="J1848" i="6"/>
  <c r="K1848" i="6" s="1"/>
  <c r="K2027" i="6" s="1"/>
  <c r="K724" i="6" s="1"/>
  <c r="J1066" i="6"/>
  <c r="J270" i="6" s="1"/>
  <c r="J277" i="6" s="1"/>
  <c r="H1070" i="6"/>
  <c r="I1070" i="6" s="1"/>
  <c r="H463" i="6"/>
  <c r="J1762" i="6"/>
  <c r="J1595" i="6"/>
  <c r="J478" i="6" s="1"/>
  <c r="N20" i="26"/>
  <c r="J2005" i="6"/>
  <c r="K2005" i="6" s="1"/>
  <c r="E46" i="58"/>
  <c r="E44" i="58" s="1"/>
  <c r="H118" i="6"/>
  <c r="I118" i="6" s="1"/>
  <c r="H521" i="6"/>
  <c r="I521" i="6" s="1"/>
  <c r="H630" i="6"/>
  <c r="I630" i="6" s="1"/>
  <c r="K231" i="5"/>
  <c r="L231" i="5" s="1"/>
  <c r="M231" i="5" s="1"/>
  <c r="A388" i="5"/>
  <c r="A390" i="5" s="1"/>
  <c r="A399" i="5" s="1"/>
  <c r="H2071" i="6"/>
  <c r="H684" i="6"/>
  <c r="I684" i="6" s="1"/>
  <c r="O215" i="15"/>
  <c r="O160" i="15" s="1"/>
  <c r="R433" i="7"/>
  <c r="R367" i="7"/>
  <c r="K101" i="10"/>
  <c r="M101" i="10" s="1"/>
  <c r="K65" i="10"/>
  <c r="I97" i="7"/>
  <c r="K834" i="7"/>
  <c r="L834" i="7" s="1"/>
  <c r="M834" i="7" s="1"/>
  <c r="N834" i="7" s="1"/>
  <c r="O834" i="7" s="1"/>
  <c r="P834" i="7" s="1"/>
  <c r="Q834" i="7" s="1"/>
  <c r="R834" i="7" s="1"/>
  <c r="S834" i="7" s="1"/>
  <c r="K850" i="7"/>
  <c r="L850" i="7" s="1"/>
  <c r="M850" i="7" s="1"/>
  <c r="N850" i="7" s="1"/>
  <c r="O850" i="7" s="1"/>
  <c r="P850" i="7" s="1"/>
  <c r="Q850" i="7" s="1"/>
  <c r="R850" i="7" s="1"/>
  <c r="S850" i="7" s="1"/>
  <c r="K66" i="10"/>
  <c r="K844" i="7"/>
  <c r="L844" i="7" s="1"/>
  <c r="M844" i="7" s="1"/>
  <c r="N844" i="7" s="1"/>
  <c r="O844" i="7" s="1"/>
  <c r="P844" i="7" s="1"/>
  <c r="Q844" i="7" s="1"/>
  <c r="R844" i="7" s="1"/>
  <c r="S844" i="7" s="1"/>
  <c r="K851" i="7"/>
  <c r="L851" i="7" s="1"/>
  <c r="M851" i="7" s="1"/>
  <c r="N851" i="7" s="1"/>
  <c r="O851" i="7" s="1"/>
  <c r="P851" i="7" s="1"/>
  <c r="Q851" i="7" s="1"/>
  <c r="R851" i="7" s="1"/>
  <c r="S851" i="7" s="1"/>
  <c r="H74" i="7"/>
  <c r="I74" i="7" s="1"/>
  <c r="K841" i="7"/>
  <c r="L841" i="7" s="1"/>
  <c r="M841" i="7" s="1"/>
  <c r="N841" i="7" s="1"/>
  <c r="O841" i="7" s="1"/>
  <c r="P841" i="7" s="1"/>
  <c r="Q841" i="7" s="1"/>
  <c r="R841" i="7" s="1"/>
  <c r="S841" i="7" s="1"/>
  <c r="K846" i="7"/>
  <c r="L846" i="7" s="1"/>
  <c r="M846" i="7" s="1"/>
  <c r="N846" i="7" s="1"/>
  <c r="O846" i="7" s="1"/>
  <c r="P846" i="7" s="1"/>
  <c r="Q846" i="7" s="1"/>
  <c r="R846" i="7" s="1"/>
  <c r="S846" i="7" s="1"/>
  <c r="R539" i="7"/>
  <c r="R116" i="7" s="1"/>
  <c r="AT44" i="10"/>
  <c r="AJ39" i="11"/>
  <c r="AU60" i="10"/>
  <c r="R2044" i="6"/>
  <c r="R742" i="6" s="1"/>
  <c r="AT257" i="10"/>
  <c r="R1651" i="6"/>
  <c r="R519" i="6" s="1"/>
  <c r="AT241" i="10"/>
  <c r="AK89" i="10"/>
  <c r="AU89" i="10" s="1"/>
  <c r="AS89" i="10"/>
  <c r="AK171" i="10"/>
  <c r="AU171" i="10" s="1"/>
  <c r="AT171" i="10"/>
  <c r="D348" i="42"/>
  <c r="I81" i="12"/>
  <c r="J81" i="12" s="1"/>
  <c r="H85" i="12"/>
  <c r="K88" i="10" s="1"/>
  <c r="M88" i="10" s="1"/>
  <c r="R114" i="37"/>
  <c r="W25" i="37"/>
  <c r="W114" i="37" s="1"/>
  <c r="G56" i="12"/>
  <c r="G97" i="12" s="1"/>
  <c r="H55" i="12"/>
  <c r="N25" i="37"/>
  <c r="F43" i="55"/>
  <c r="G40" i="55" s="1"/>
  <c r="G43" i="55" s="1"/>
  <c r="H40" i="55" s="1"/>
  <c r="H43" i="55" s="1"/>
  <c r="I40" i="55" s="1"/>
  <c r="I43" i="55" s="1"/>
  <c r="J40" i="55" s="1"/>
  <c r="J43" i="55" s="1"/>
  <c r="K40" i="55" s="1"/>
  <c r="K43" i="55" s="1"/>
  <c r="L40" i="55" s="1"/>
  <c r="E7" i="12"/>
  <c r="F97" i="12"/>
  <c r="F7" i="10" s="1"/>
  <c r="E6" i="12"/>
  <c r="F6" i="12" s="1"/>
  <c r="N26" i="37"/>
  <c r="H519" i="6"/>
  <c r="H742" i="6"/>
  <c r="H286" i="6"/>
  <c r="I286" i="6" s="1"/>
  <c r="H229" i="6"/>
  <c r="H350" i="6"/>
  <c r="I350" i="6" s="1"/>
  <c r="R246" i="7"/>
  <c r="H175" i="6"/>
  <c r="I175" i="6" s="1"/>
  <c r="H116" i="6"/>
  <c r="I116" i="6" s="1"/>
  <c r="R302" i="7"/>
  <c r="R303" i="7"/>
  <c r="N215" i="15"/>
  <c r="N160" i="15" s="1"/>
  <c r="D197" i="7"/>
  <c r="C49" i="7"/>
  <c r="B37" i="3" s="1"/>
  <c r="C51" i="7"/>
  <c r="B59" i="3" s="1"/>
  <c r="H94" i="7"/>
  <c r="I94" i="7" s="1"/>
  <c r="R361" i="7"/>
  <c r="R1156" i="7" s="1"/>
  <c r="K835" i="7"/>
  <c r="L835" i="7" s="1"/>
  <c r="M835" i="7" s="1"/>
  <c r="N835" i="7" s="1"/>
  <c r="O835" i="7" s="1"/>
  <c r="P835" i="7" s="1"/>
  <c r="Q835" i="7" s="1"/>
  <c r="R835" i="7" s="1"/>
  <c r="S835" i="7" s="1"/>
  <c r="B48" i="7"/>
  <c r="A21" i="3" s="1"/>
  <c r="J616" i="7"/>
  <c r="J181" i="7" s="1"/>
  <c r="C388" i="5"/>
  <c r="C390" i="5" s="1"/>
  <c r="C39" i="5"/>
  <c r="B46" i="3" s="1"/>
  <c r="C56" i="5"/>
  <c r="C180" i="5"/>
  <c r="B521" i="5"/>
  <c r="L521" i="5"/>
  <c r="M38" i="5"/>
  <c r="K38" i="3" s="1"/>
  <c r="V521" i="9"/>
  <c r="V522" i="9" s="1"/>
  <c r="CT203" i="9"/>
  <c r="F522" i="9"/>
  <c r="CH99" i="9"/>
  <c r="CU99" i="9"/>
  <c r="V242" i="9"/>
  <c r="AA296" i="9"/>
  <c r="AF3" i="9"/>
  <c r="AF88" i="9" s="1"/>
  <c r="AF174" i="9" s="1"/>
  <c r="CT107" i="9"/>
  <c r="AA521" i="9"/>
  <c r="CV105" i="9"/>
  <c r="AF211" i="9"/>
  <c r="J253" i="10"/>
  <c r="I156" i="11" s="1"/>
  <c r="X339" i="9"/>
  <c r="X393" i="9" s="1"/>
  <c r="Z511" i="9"/>
  <c r="AF8" i="42"/>
  <c r="B50" i="8"/>
  <c r="B576" i="8" s="1"/>
  <c r="P86" i="15"/>
  <c r="P326" i="34" s="1"/>
  <c r="D21" i="8"/>
  <c r="AQ19" i="42"/>
  <c r="B21" i="8"/>
  <c r="M169" i="3"/>
  <c r="M170" i="3" s="1"/>
  <c r="AJ19" i="42"/>
  <c r="F82" i="15" s="1"/>
  <c r="G82" i="15" s="1"/>
  <c r="B81" i="8"/>
  <c r="C21" i="8"/>
  <c r="D150" i="42"/>
  <c r="C153" i="42"/>
  <c r="E7" i="48"/>
  <c r="G7" i="48" s="1"/>
  <c r="AH19" i="42"/>
  <c r="A103" i="17"/>
  <c r="AU20" i="42"/>
  <c r="A294" i="15"/>
  <c r="A316" i="15" s="1"/>
  <c r="D7" i="48"/>
  <c r="J7" i="48" s="1"/>
  <c r="A150" i="8"/>
  <c r="C135" i="3"/>
  <c r="C139" i="3" s="1"/>
  <c r="M493" i="34"/>
  <c r="M82" i="15"/>
  <c r="D550" i="34"/>
  <c r="D494" i="34"/>
  <c r="D50" i="8"/>
  <c r="J30" i="3"/>
  <c r="N30" i="3"/>
  <c r="L551" i="34"/>
  <c r="L552" i="34" s="1"/>
  <c r="L561" i="34" s="1"/>
  <c r="L254" i="34" s="1"/>
  <c r="L494" i="34"/>
  <c r="J493" i="34"/>
  <c r="J82" i="15"/>
  <c r="G140" i="42"/>
  <c r="L82" i="15"/>
  <c r="K169" i="3"/>
  <c r="K170" i="3" s="1"/>
  <c r="J169" i="3"/>
  <c r="J170" i="3" s="1"/>
  <c r="E610" i="34"/>
  <c r="E611" i="34" s="1"/>
  <c r="E613" i="34" s="1"/>
  <c r="E244" i="34" s="1"/>
  <c r="F493" i="34"/>
  <c r="H294" i="15"/>
  <c r="H316" i="15" s="1"/>
  <c r="H103" i="17"/>
  <c r="AZ20" i="42"/>
  <c r="L269" i="8"/>
  <c r="K291" i="45"/>
  <c r="B294" i="15"/>
  <c r="B316" i="15" s="1"/>
  <c r="B70" i="15"/>
  <c r="D610" i="34"/>
  <c r="D611" i="34" s="1"/>
  <c r="D613" i="34" s="1"/>
  <c r="D244" i="34" s="1"/>
  <c r="E748" i="34"/>
  <c r="H89" i="17"/>
  <c r="H34" i="17" s="1"/>
  <c r="AZ45" i="42" s="1"/>
  <c r="B77" i="15"/>
  <c r="D321" i="34" s="1"/>
  <c r="A21" i="8"/>
  <c r="B30" i="3"/>
  <c r="K60" i="8"/>
  <c r="H30" i="3"/>
  <c r="A556" i="8"/>
  <c r="A414" i="8"/>
  <c r="D546" i="8"/>
  <c r="D414" i="8"/>
  <c r="C11" i="11"/>
  <c r="D11" i="11" s="1"/>
  <c r="E11" i="11" s="1"/>
  <c r="F522" i="34"/>
  <c r="F472" i="34"/>
  <c r="AD142" i="22"/>
  <c r="H149" i="22" s="1"/>
  <c r="W73" i="21"/>
  <c r="H304" i="45"/>
  <c r="BW51" i="21"/>
  <c r="CJ51" i="21"/>
  <c r="I72" i="16"/>
  <c r="K345" i="8"/>
  <c r="K94" i="8" s="1"/>
  <c r="I79" i="21"/>
  <c r="BV70" i="21"/>
  <c r="CI70" i="21"/>
  <c r="G40" i="16"/>
  <c r="BX42" i="21"/>
  <c r="CK42" i="21"/>
  <c r="BV50" i="21"/>
  <c r="CI50" i="21"/>
  <c r="AG14" i="21"/>
  <c r="AE73" i="21"/>
  <c r="BX44" i="21"/>
  <c r="CK44" i="21"/>
  <c r="CK47" i="21"/>
  <c r="BX47" i="21"/>
  <c r="CJ42" i="21"/>
  <c r="BV45" i="21"/>
  <c r="CI45" i="21"/>
  <c r="CI23" i="21"/>
  <c r="BV23" i="21"/>
  <c r="CJ47" i="21"/>
  <c r="BV15" i="21"/>
  <c r="CI15" i="21"/>
  <c r="AM73" i="21"/>
  <c r="CJ37" i="21"/>
  <c r="BW37" i="21"/>
  <c r="BX11" i="21"/>
  <c r="CK11" i="21"/>
  <c r="AQ73" i="21"/>
  <c r="AK69" i="21"/>
  <c r="AK73" i="21" s="1"/>
  <c r="I81" i="21" s="1"/>
  <c r="J69" i="21"/>
  <c r="CI47" i="21"/>
  <c r="CL68" i="21"/>
  <c r="C113" i="16"/>
  <c r="G80" i="21"/>
  <c r="G88" i="21" s="1"/>
  <c r="BY48" i="21"/>
  <c r="CL49" i="21"/>
  <c r="CK28" i="21"/>
  <c r="BX28" i="21"/>
  <c r="BX41" i="21"/>
  <c r="CK41" i="21"/>
  <c r="CB68" i="21"/>
  <c r="CJ11" i="21"/>
  <c r="BU58" i="21"/>
  <c r="BV58" i="21" s="1"/>
  <c r="CH58" i="21"/>
  <c r="BC73" i="21"/>
  <c r="CH71" i="21"/>
  <c r="BU71" i="21"/>
  <c r="BU56" i="21"/>
  <c r="BV56" i="21" s="1"/>
  <c r="CH56" i="21"/>
  <c r="CN68" i="21"/>
  <c r="AY73" i="21"/>
  <c r="CM29" i="21"/>
  <c r="CI48" i="21"/>
  <c r="BU59" i="21"/>
  <c r="CH59" i="21"/>
  <c r="AU73" i="21"/>
  <c r="BV8" i="21"/>
  <c r="BX18" i="21"/>
  <c r="BW43" i="21"/>
  <c r="BV16" i="21"/>
  <c r="BW16" i="21" s="1"/>
  <c r="CI16" i="21"/>
  <c r="S73" i="21"/>
  <c r="C72" i="16" s="1"/>
  <c r="AA73" i="21"/>
  <c r="G121" i="11"/>
  <c r="H121" i="11" s="1"/>
  <c r="J121" i="11" s="1"/>
  <c r="K121" i="11" s="1"/>
  <c r="M121" i="11" s="1"/>
  <c r="N121" i="11" s="1"/>
  <c r="P121" i="11" s="1"/>
  <c r="Q121" i="11" s="1"/>
  <c r="S121" i="11" s="1"/>
  <c r="T121" i="11" s="1"/>
  <c r="V121" i="11" s="1"/>
  <c r="W121" i="11" s="1"/>
  <c r="Y121" i="11" s="1"/>
  <c r="Z121" i="11" s="1"/>
  <c r="AB121" i="11" s="1"/>
  <c r="AC121" i="11" s="1"/>
  <c r="AE121" i="11" s="1"/>
  <c r="AF121" i="11" s="1"/>
  <c r="AH121" i="11" s="1"/>
  <c r="AI121" i="11" s="1"/>
  <c r="AK121" i="11" s="1"/>
  <c r="AL121" i="11" s="1"/>
  <c r="AN121" i="11" s="1"/>
  <c r="F93" i="11"/>
  <c r="H430" i="7"/>
  <c r="I430" i="7" s="1"/>
  <c r="L308" i="8"/>
  <c r="K290" i="45"/>
  <c r="K65" i="8"/>
  <c r="G169" i="3"/>
  <c r="G170" i="3" s="1"/>
  <c r="AQ44" i="42"/>
  <c r="H256" i="15"/>
  <c r="AK45" i="42"/>
  <c r="AL12" i="42"/>
  <c r="K48" i="8"/>
  <c r="L199" i="8"/>
  <c r="AK11" i="42"/>
  <c r="H74" i="15" s="1"/>
  <c r="H381" i="34"/>
  <c r="BA11" i="42"/>
  <c r="I105" i="15" s="1"/>
  <c r="I394" i="34"/>
  <c r="CJ119" i="22"/>
  <c r="BW119" i="22"/>
  <c r="BW120" i="22"/>
  <c r="CJ120" i="22"/>
  <c r="BW121" i="22"/>
  <c r="CJ121" i="22"/>
  <c r="CH142" i="22"/>
  <c r="E699" i="34" s="1"/>
  <c r="V22" i="20"/>
  <c r="K120" i="17"/>
  <c r="BC44" i="42"/>
  <c r="K305" i="15"/>
  <c r="K309" i="15" s="1"/>
  <c r="BW138" i="22"/>
  <c r="CJ138" i="22"/>
  <c r="L148" i="22"/>
  <c r="L156" i="22" s="1"/>
  <c r="G147" i="22"/>
  <c r="D35" i="20"/>
  <c r="D72" i="20" s="1"/>
  <c r="K75" i="20" s="1"/>
  <c r="J148" i="22"/>
  <c r="J156" i="22" s="1"/>
  <c r="L67" i="17"/>
  <c r="BA44" i="42"/>
  <c r="I120" i="17"/>
  <c r="H305" i="15"/>
  <c r="H309" i="15" s="1"/>
  <c r="D37" i="20"/>
  <c r="D82" i="20" s="1"/>
  <c r="M85" i="20" s="1"/>
  <c r="CK129" i="22"/>
  <c r="BW131" i="22"/>
  <c r="CJ131" i="22"/>
  <c r="BY86" i="22"/>
  <c r="CL86" i="22"/>
  <c r="J120" i="17"/>
  <c r="BB44" i="42"/>
  <c r="T22" i="20"/>
  <c r="J305" i="15"/>
  <c r="J309" i="15" s="1"/>
  <c r="CJ81" i="22"/>
  <c r="BW81" i="22"/>
  <c r="Z142" i="22"/>
  <c r="G149" i="22" s="1"/>
  <c r="L539" i="8"/>
  <c r="L158" i="8" s="1"/>
  <c r="J539" i="8"/>
  <c r="J158" i="8" s="1"/>
  <c r="K148" i="22"/>
  <c r="K156" i="22" s="1"/>
  <c r="G36" i="17"/>
  <c r="M539" i="8"/>
  <c r="M158" i="8" s="1"/>
  <c r="J67" i="17"/>
  <c r="D36" i="20"/>
  <c r="D77" i="20" s="1"/>
  <c r="I148" i="22"/>
  <c r="I156" i="22" s="1"/>
  <c r="H146" i="22"/>
  <c r="H153" i="22" s="1"/>
  <c r="CK86" i="22"/>
  <c r="BW83" i="22"/>
  <c r="BV82" i="22"/>
  <c r="BW116" i="22"/>
  <c r="CJ116" i="22"/>
  <c r="D150" i="10"/>
  <c r="C71" i="11"/>
  <c r="D71" i="11" s="1"/>
  <c r="E71" i="11" s="1"/>
  <c r="M3" i="10"/>
  <c r="M122" i="10" s="1"/>
  <c r="J122" i="10"/>
  <c r="L3" i="10"/>
  <c r="K3" i="10"/>
  <c r="K122" i="10" s="1"/>
  <c r="H122" i="10"/>
  <c r="D67" i="10"/>
  <c r="D94" i="10" s="1"/>
  <c r="F125" i="11"/>
  <c r="C125" i="11"/>
  <c r="D125" i="11" s="1"/>
  <c r="E125" i="11" s="1"/>
  <c r="C99" i="11"/>
  <c r="D99" i="11" s="1"/>
  <c r="E99" i="11" s="1"/>
  <c r="G122" i="11"/>
  <c r="H122" i="11" s="1"/>
  <c r="J122" i="11" s="1"/>
  <c r="K122" i="11" s="1"/>
  <c r="M122" i="11" s="1"/>
  <c r="N122" i="11" s="1"/>
  <c r="P122" i="11" s="1"/>
  <c r="Q122" i="11" s="1"/>
  <c r="S122" i="11" s="1"/>
  <c r="T122" i="11" s="1"/>
  <c r="V122" i="11" s="1"/>
  <c r="W122" i="11" s="1"/>
  <c r="Y122" i="11" s="1"/>
  <c r="Z122" i="11" s="1"/>
  <c r="AB122" i="11" s="1"/>
  <c r="AC122" i="11" s="1"/>
  <c r="AE122" i="11" s="1"/>
  <c r="AF122" i="11" s="1"/>
  <c r="AH122" i="11" s="1"/>
  <c r="AI122" i="11" s="1"/>
  <c r="AK122" i="11" s="1"/>
  <c r="AL122" i="11" s="1"/>
  <c r="AN122" i="11" s="1"/>
  <c r="C96" i="11"/>
  <c r="D96" i="11" s="1"/>
  <c r="E96" i="11" s="1"/>
  <c r="C8" i="11"/>
  <c r="D8" i="11" s="1"/>
  <c r="E8" i="11" s="1"/>
  <c r="G8" i="11" s="1"/>
  <c r="H8" i="11" s="1"/>
  <c r="J8" i="11" s="1"/>
  <c r="K8" i="11" s="1"/>
  <c r="M8" i="11" s="1"/>
  <c r="N8" i="11" s="1"/>
  <c r="P8" i="11" s="1"/>
  <c r="Q8" i="11" s="1"/>
  <c r="S8" i="11" s="1"/>
  <c r="T8" i="11" s="1"/>
  <c r="V8" i="11" s="1"/>
  <c r="W8" i="11" s="1"/>
  <c r="Y8" i="11" s="1"/>
  <c r="Z8" i="11" s="1"/>
  <c r="AB8" i="11" s="1"/>
  <c r="AC8" i="11" s="1"/>
  <c r="AE8" i="11" s="1"/>
  <c r="AF8" i="11" s="1"/>
  <c r="AH8" i="11" s="1"/>
  <c r="AI8" i="11" s="1"/>
  <c r="AK8" i="11" s="1"/>
  <c r="AL8" i="11" s="1"/>
  <c r="AN8" i="11" s="1"/>
  <c r="CT127" i="9"/>
  <c r="CH169" i="9"/>
  <c r="CI169" i="9" s="1"/>
  <c r="CW169" i="9" s="1"/>
  <c r="CG123" i="9"/>
  <c r="CH123" i="9" s="1"/>
  <c r="T393" i="9"/>
  <c r="H247" i="7"/>
  <c r="I247" i="7" s="1"/>
  <c r="Q1118" i="7"/>
  <c r="Q433" i="7" s="1"/>
  <c r="CU94" i="9"/>
  <c r="S307" i="9"/>
  <c r="V307" i="9" s="1"/>
  <c r="S143" i="9"/>
  <c r="S219" i="9" s="1"/>
  <c r="CT196" i="9"/>
  <c r="CT164" i="9"/>
  <c r="CT132" i="9"/>
  <c r="CT96" i="9"/>
  <c r="CG83" i="9"/>
  <c r="CH83" i="9" s="1"/>
  <c r="E66" i="9"/>
  <c r="CI56" i="21"/>
  <c r="CI57" i="21"/>
  <c r="BV57" i="21"/>
  <c r="BW61" i="21"/>
  <c r="CJ61" i="21"/>
  <c r="BZ49" i="21"/>
  <c r="CM49" i="21"/>
  <c r="CI46" i="21"/>
  <c r="BV46" i="21"/>
  <c r="O87" i="21"/>
  <c r="O90" i="21" s="1"/>
  <c r="O88" i="3" s="1"/>
  <c r="BV40" i="21"/>
  <c r="CI40" i="21"/>
  <c r="BW34" i="21"/>
  <c r="CJ34" i="21"/>
  <c r="D345" i="8"/>
  <c r="D94" i="8" s="1"/>
  <c r="Y73" i="21"/>
  <c r="F81" i="21" s="1"/>
  <c r="U35" i="21"/>
  <c r="U73" i="21" s="1"/>
  <c r="E81" i="21" s="1"/>
  <c r="AC35" i="21"/>
  <c r="AC73" i="21" s="1"/>
  <c r="G81" i="21" s="1"/>
  <c r="P72" i="16"/>
  <c r="R345" i="8"/>
  <c r="R94" i="8" s="1"/>
  <c r="CN29" i="21"/>
  <c r="CA29" i="21"/>
  <c r="AG73" i="21"/>
  <c r="H81" i="21" s="1"/>
  <c r="CJ16" i="21"/>
  <c r="BV14" i="21"/>
  <c r="CI14" i="21"/>
  <c r="CI17" i="21"/>
  <c r="BV17" i="21"/>
  <c r="BV7" i="21"/>
  <c r="CI7" i="21"/>
  <c r="E693" i="34"/>
  <c r="J85" i="34"/>
  <c r="N3" i="13"/>
  <c r="O182" i="15" s="1"/>
  <c r="O3" i="17" s="1"/>
  <c r="K369" i="4"/>
  <c r="K70" i="4" s="1"/>
  <c r="Q781" i="4"/>
  <c r="C4" i="48"/>
  <c r="I4" i="48" s="1"/>
  <c r="C115" i="4"/>
  <c r="A443" i="7"/>
  <c r="A495" i="7" s="1"/>
  <c r="A529" i="7" s="1"/>
  <c r="A531" i="7" s="1"/>
  <c r="A533" i="7" s="1"/>
  <c r="A542" i="7" s="1"/>
  <c r="B303" i="42"/>
  <c r="D303" i="42" s="1"/>
  <c r="D314" i="42" s="1"/>
  <c r="B234" i="4"/>
  <c r="B243" i="4" s="1"/>
  <c r="B55" i="4"/>
  <c r="B61" i="4" s="1"/>
  <c r="B7" i="4" s="1"/>
  <c r="M1297" i="6"/>
  <c r="H720" i="6"/>
  <c r="I720" i="6" s="1"/>
  <c r="J1895" i="6"/>
  <c r="K1895" i="6" s="1"/>
  <c r="K1309" i="6"/>
  <c r="J425" i="6"/>
  <c r="H1670" i="6"/>
  <c r="I1670" i="6" s="1"/>
  <c r="K1333" i="6"/>
  <c r="K428" i="6" s="1"/>
  <c r="G9" i="48"/>
  <c r="K821" i="6"/>
  <c r="L821" i="6" s="1"/>
  <c r="M821" i="6" s="1"/>
  <c r="J406" i="6"/>
  <c r="D573" i="6"/>
  <c r="A274" i="6"/>
  <c r="A25" i="6" s="1"/>
  <c r="A41" i="6" s="1"/>
  <c r="G12" i="48"/>
  <c r="H533" i="6"/>
  <c r="I533" i="6" s="1"/>
  <c r="J267" i="6"/>
  <c r="J725" i="6"/>
  <c r="H376" i="6"/>
  <c r="I376" i="6" s="1"/>
  <c r="J1931" i="6"/>
  <c r="J665" i="6" s="1"/>
  <c r="H414" i="6"/>
  <c r="I414" i="6" s="1"/>
  <c r="J2010" i="6"/>
  <c r="G17" i="58" s="1"/>
  <c r="J1874" i="6"/>
  <c r="K1874" i="6" s="1"/>
  <c r="L1874" i="6" s="1"/>
  <c r="M1874" i="6" s="1"/>
  <c r="H1965" i="6"/>
  <c r="I1965" i="6" s="1"/>
  <c r="J1891" i="6"/>
  <c r="K1891" i="6" s="1"/>
  <c r="L1891" i="6" s="1"/>
  <c r="M1891" i="6" s="1"/>
  <c r="J1939" i="6"/>
  <c r="K1939" i="6" s="1"/>
  <c r="L1939" i="6" s="1"/>
  <c r="M1939" i="6" s="1"/>
  <c r="G42" i="58"/>
  <c r="G165" i="45"/>
  <c r="G169" i="45" s="1"/>
  <c r="G170" i="45" s="1"/>
  <c r="M19" i="58"/>
  <c r="C65" i="6"/>
  <c r="B69" i="3" s="1"/>
  <c r="G761" i="34"/>
  <c r="H336" i="6"/>
  <c r="I336" i="6" s="1"/>
  <c r="C164" i="6"/>
  <c r="C23" i="6" s="1"/>
  <c r="C62" i="6"/>
  <c r="B39" i="3" s="1"/>
  <c r="J583" i="6"/>
  <c r="J1863" i="6"/>
  <c r="K1863" i="6" s="1"/>
  <c r="J1999" i="6"/>
  <c r="K1999" i="6" s="1"/>
  <c r="L1999" i="6" s="1"/>
  <c r="M1999" i="6" s="1"/>
  <c r="J1809" i="6"/>
  <c r="K1809" i="6" s="1"/>
  <c r="L1809" i="6" s="1"/>
  <c r="M1809" i="6" s="1"/>
  <c r="H278" i="6"/>
  <c r="I278" i="6" s="1"/>
  <c r="G19" i="58"/>
  <c r="C17" i="48"/>
  <c r="C19" i="48" s="1"/>
  <c r="J1561" i="6"/>
  <c r="K1561" i="6" s="1"/>
  <c r="L1561" i="6" s="1"/>
  <c r="M1561" i="6" s="1"/>
  <c r="C1083" i="6"/>
  <c r="K784" i="6"/>
  <c r="J1486" i="6"/>
  <c r="H1202" i="6"/>
  <c r="I1202" i="6" s="1"/>
  <c r="H663" i="6"/>
  <c r="I663" i="6" s="1"/>
  <c r="J1680" i="6"/>
  <c r="K1680" i="6" s="1"/>
  <c r="L1680" i="6" s="1"/>
  <c r="M1680" i="6" s="1"/>
  <c r="J824" i="6"/>
  <c r="H675" i="6"/>
  <c r="I675" i="6" s="1"/>
  <c r="H31" i="13"/>
  <c r="H50" i="13" s="1"/>
  <c r="W33" i="42" s="1"/>
  <c r="H33" i="42" s="1"/>
  <c r="J160" i="6"/>
  <c r="B1141" i="6"/>
  <c r="B1143" i="6" s="1"/>
  <c r="B1145" i="6" s="1"/>
  <c r="B1154" i="6" s="1"/>
  <c r="K1615" i="6"/>
  <c r="L1615" i="6" s="1"/>
  <c r="M1615" i="6" s="1"/>
  <c r="H713" i="6"/>
  <c r="I713" i="6" s="1"/>
  <c r="J1810" i="6"/>
  <c r="K1810" i="6" s="1"/>
  <c r="L1810" i="6" s="1"/>
  <c r="M1810" i="6" s="1"/>
  <c r="D1734" i="6"/>
  <c r="H1088" i="6"/>
  <c r="J1278" i="6"/>
  <c r="C278" i="6"/>
  <c r="A2092" i="6"/>
  <c r="A54" i="6" s="1"/>
  <c r="R21" i="42"/>
  <c r="H459" i="4"/>
  <c r="I459" i="4" s="1"/>
  <c r="H85" i="34"/>
  <c r="B649" i="4"/>
  <c r="B127" i="4" s="1"/>
  <c r="B139" i="4" s="1"/>
  <c r="E2" i="34"/>
  <c r="A170" i="5"/>
  <c r="K277" i="3"/>
  <c r="A581" i="4"/>
  <c r="A583" i="4" s="1"/>
  <c r="A585" i="4" s="1"/>
  <c r="A593" i="4" s="1"/>
  <c r="C672" i="4"/>
  <c r="R11" i="42" s="1"/>
  <c r="A833" i="4"/>
  <c r="A834" i="4" s="1"/>
  <c r="A836" i="4" s="1"/>
  <c r="A843" i="4" s="1"/>
  <c r="M710" i="34"/>
  <c r="D790" i="34"/>
  <c r="D813" i="34" s="1"/>
  <c r="D823" i="34" s="1"/>
  <c r="B222" i="4"/>
  <c r="B10" i="4" s="1"/>
  <c r="J781" i="4"/>
  <c r="H775" i="34"/>
  <c r="L167" i="34"/>
  <c r="L224" i="34" s="1"/>
  <c r="L402" i="34" s="1"/>
  <c r="B798" i="4"/>
  <c r="J601" i="7"/>
  <c r="A1981" i="6"/>
  <c r="A338" i="5"/>
  <c r="K84" i="1"/>
  <c r="K33" i="48"/>
  <c r="K35" i="48" s="1"/>
  <c r="L1479" i="6"/>
  <c r="F2" i="34"/>
  <c r="E8" i="12"/>
  <c r="C115" i="3"/>
  <c r="D1621" i="6" s="1"/>
  <c r="B702" i="4"/>
  <c r="B871" i="4" s="1"/>
  <c r="M3" i="21"/>
  <c r="M77" i="21" s="1"/>
  <c r="A1786" i="6"/>
  <c r="A296" i="6"/>
  <c r="A379" i="7"/>
  <c r="G710" i="34"/>
  <c r="A701" i="4"/>
  <c r="A703" i="4" s="1"/>
  <c r="A714" i="4" s="1"/>
  <c r="P723" i="7"/>
  <c r="C408" i="4"/>
  <c r="C127" i="4"/>
  <c r="J529" i="6"/>
  <c r="A529" i="6"/>
  <c r="I85" i="34"/>
  <c r="G18" i="12"/>
  <c r="F3" i="40" s="1"/>
  <c r="B699" i="4"/>
  <c r="B701" i="4" s="1"/>
  <c r="B176" i="4"/>
  <c r="B9" i="4" s="1"/>
  <c r="K559" i="4"/>
  <c r="K126" i="4" s="1"/>
  <c r="J125" i="7"/>
  <c r="J723" i="7"/>
  <c r="C443" i="7"/>
  <c r="C495" i="7" s="1"/>
  <c r="C529" i="7" s="1"/>
  <c r="C531" i="7" s="1"/>
  <c r="C533" i="7" s="1"/>
  <c r="C542" i="7" s="1"/>
  <c r="J957" i="7"/>
  <c r="C601" i="7"/>
  <c r="A185" i="6"/>
  <c r="B459" i="4"/>
  <c r="J108" i="4"/>
  <c r="J666" i="7"/>
  <c r="J257" i="7"/>
  <c r="H955" i="6"/>
  <c r="A622" i="6"/>
  <c r="A1526" i="6"/>
  <c r="L266" i="45"/>
  <c r="A719" i="4"/>
  <c r="P266" i="45"/>
  <c r="A61" i="4"/>
  <c r="A7" i="4" s="1"/>
  <c r="Q4" i="55"/>
  <c r="D104" i="4"/>
  <c r="J59" i="7"/>
  <c r="J825" i="7"/>
  <c r="J890" i="7" s="1"/>
  <c r="J443" i="7"/>
  <c r="J495" i="7" s="1"/>
  <c r="J529" i="7" s="1"/>
  <c r="J1786" i="6"/>
  <c r="A567" i="6"/>
  <c r="I266" i="45"/>
  <c r="M266" i="45"/>
  <c r="N266" i="45"/>
  <c r="J785" i="7"/>
  <c r="F266" i="45"/>
  <c r="K1479" i="6"/>
  <c r="J312" i="7"/>
  <c r="J598" i="4"/>
  <c r="C125" i="7"/>
  <c r="N1919" i="6"/>
  <c r="J72" i="6"/>
  <c r="J125" i="6" s="1"/>
  <c r="G266" i="45"/>
  <c r="O266" i="45"/>
  <c r="K266" i="45"/>
  <c r="X4" i="42"/>
  <c r="AM4" i="42" s="1"/>
  <c r="BB4" i="42" s="1"/>
  <c r="J1062" i="7"/>
  <c r="N84" i="1"/>
  <c r="P785" i="7"/>
  <c r="Q1062" i="7"/>
  <c r="A955" i="6"/>
  <c r="H266" i="45"/>
  <c r="K741" i="4"/>
  <c r="L741" i="4" s="1"/>
  <c r="M741" i="4" s="1"/>
  <c r="H766" i="4"/>
  <c r="I766" i="4" s="1"/>
  <c r="J1124" i="7"/>
  <c r="C547" i="7"/>
  <c r="J547" i="7"/>
  <c r="A751" i="6"/>
  <c r="A241" i="6"/>
  <c r="D279" i="5"/>
  <c r="J664" i="4"/>
  <c r="A176" i="4"/>
  <c r="A9" i="4" s="1"/>
  <c r="P312" i="7"/>
  <c r="D120" i="4"/>
  <c r="D119" i="4"/>
  <c r="A408" i="4"/>
  <c r="A410" i="4" s="1"/>
  <c r="A412" i="4" s="1"/>
  <c r="A422" i="4" s="1"/>
  <c r="D222" i="4"/>
  <c r="D10" i="4" s="1"/>
  <c r="B408" i="4"/>
  <c r="B410" i="4" s="1"/>
  <c r="B412" i="4" s="1"/>
  <c r="B422" i="4" s="1"/>
  <c r="G3" i="13"/>
  <c r="H182" i="15" s="1"/>
  <c r="H3" i="16" s="1"/>
  <c r="H1981" i="6"/>
  <c r="A1590" i="6"/>
  <c r="G93" i="17"/>
  <c r="J279" i="4"/>
  <c r="J217" i="7"/>
  <c r="J171" i="7"/>
  <c r="B1661" i="6"/>
  <c r="A818" i="6"/>
  <c r="A884" i="6" s="1"/>
  <c r="A1088" i="6"/>
  <c r="D285" i="34"/>
  <c r="D465" i="34" s="1"/>
  <c r="D578" i="34" s="1"/>
  <c r="J719" i="4"/>
  <c r="D717" i="34"/>
  <c r="D77" i="4"/>
  <c r="J1890" i="6"/>
  <c r="K1890" i="6" s="1"/>
  <c r="L1890" i="6" s="1"/>
  <c r="M1890" i="6" s="1"/>
  <c r="J149" i="6"/>
  <c r="K892" i="6"/>
  <c r="K864" i="6"/>
  <c r="J870" i="6"/>
  <c r="J162" i="6"/>
  <c r="J168" i="6" s="1"/>
  <c r="H496" i="6"/>
  <c r="I496" i="6" s="1"/>
  <c r="J1885" i="6"/>
  <c r="K1885" i="6" s="1"/>
  <c r="L1885" i="6" s="1"/>
  <c r="M1885" i="6" s="1"/>
  <c r="H631" i="6"/>
  <c r="I631" i="6" s="1"/>
  <c r="J573" i="6"/>
  <c r="H598" i="6"/>
  <c r="I598" i="6" s="1"/>
  <c r="J1604" i="6"/>
  <c r="J487" i="6" s="1"/>
  <c r="J1675" i="6"/>
  <c r="J539" i="6" s="1"/>
  <c r="J1693" i="6"/>
  <c r="K1668" i="6"/>
  <c r="J1824" i="6"/>
  <c r="K1824" i="6" s="1"/>
  <c r="L1824" i="6" s="1"/>
  <c r="M1824" i="6" s="1"/>
  <c r="A547" i="6"/>
  <c r="A30" i="6" s="1"/>
  <c r="A46" i="6" s="1"/>
  <c r="J2030" i="6"/>
  <c r="H726" i="6"/>
  <c r="I726" i="6" s="1"/>
  <c r="J1877" i="6"/>
  <c r="K1877" i="6" s="1"/>
  <c r="L1877" i="6" s="1"/>
  <c r="M1877" i="6" s="1"/>
  <c r="K934" i="6"/>
  <c r="J159" i="6"/>
  <c r="G225" i="10"/>
  <c r="J324" i="6"/>
  <c r="J1620" i="6"/>
  <c r="K1620" i="6" s="1"/>
  <c r="L1620" i="6" s="1"/>
  <c r="M1620" i="6" s="1"/>
  <c r="K405" i="6"/>
  <c r="L1287" i="6"/>
  <c r="M1287" i="6" s="1"/>
  <c r="H592" i="6"/>
  <c r="I592" i="6" s="1"/>
  <c r="J1752" i="6"/>
  <c r="K1752" i="6" s="1"/>
  <c r="L1752" i="6" s="1"/>
  <c r="K925" i="6"/>
  <c r="L925" i="6" s="1"/>
  <c r="M925" i="6" s="1"/>
  <c r="J154" i="6"/>
  <c r="R33" i="42"/>
  <c r="C33" i="42" s="1"/>
  <c r="B193" i="15"/>
  <c r="J427" i="6"/>
  <c r="K1331" i="6"/>
  <c r="L1331" i="6" s="1"/>
  <c r="H699" i="6"/>
  <c r="I699" i="6" s="1"/>
  <c r="H768" i="34"/>
  <c r="K822" i="6"/>
  <c r="L822" i="6" s="1"/>
  <c r="M822" i="6" s="1"/>
  <c r="M1131" i="6"/>
  <c r="K762" i="6"/>
  <c r="L762" i="6" s="1"/>
  <c r="J783" i="6"/>
  <c r="D333" i="6"/>
  <c r="D1141" i="6"/>
  <c r="K330" i="6"/>
  <c r="L1188" i="6"/>
  <c r="K1133" i="6"/>
  <c r="K325" i="6" s="1"/>
  <c r="J325" i="6"/>
  <c r="J1833" i="6"/>
  <c r="K1833" i="6" s="1"/>
  <c r="L1833" i="6" s="1"/>
  <c r="M1833" i="6" s="1"/>
  <c r="J1903" i="6"/>
  <c r="K1903" i="6" s="1"/>
  <c r="L1903" i="6" s="1"/>
  <c r="M1903" i="6" s="1"/>
  <c r="J1886" i="6"/>
  <c r="K1886" i="6" s="1"/>
  <c r="L1886" i="6" s="1"/>
  <c r="M1886" i="6" s="1"/>
  <c r="J1943" i="6"/>
  <c r="K1943" i="6" s="1"/>
  <c r="L1943" i="6" s="1"/>
  <c r="M1943" i="6" s="1"/>
  <c r="H698" i="6"/>
  <c r="I698" i="6" s="1"/>
  <c r="B279" i="6"/>
  <c r="B274" i="6"/>
  <c r="B25" i="6" s="1"/>
  <c r="B41" i="6" s="1"/>
  <c r="J673" i="6"/>
  <c r="K1958" i="6"/>
  <c r="K673" i="6" s="1"/>
  <c r="D105" i="6"/>
  <c r="K376" i="6"/>
  <c r="L1242" i="6"/>
  <c r="L1227" i="6" s="1"/>
  <c r="L366" i="6" s="1"/>
  <c r="J205" i="6"/>
  <c r="K206" i="6"/>
  <c r="L985" i="6"/>
  <c r="L206" i="6" s="1"/>
  <c r="J99" i="6"/>
  <c r="J1923" i="6"/>
  <c r="J1683" i="6"/>
  <c r="K1683" i="6" s="1"/>
  <c r="L1683" i="6" s="1"/>
  <c r="M1683" i="6" s="1"/>
  <c r="K19" i="58"/>
  <c r="D267" i="6"/>
  <c r="D1070" i="6"/>
  <c r="L208" i="6"/>
  <c r="M993" i="6"/>
  <c r="H723" i="6"/>
  <c r="I723" i="6" s="1"/>
  <c r="J1935" i="6"/>
  <c r="K1935" i="6" s="1"/>
  <c r="L1935" i="6" s="1"/>
  <c r="M1935" i="6" s="1"/>
  <c r="I42" i="58"/>
  <c r="L740" i="6"/>
  <c r="B290" i="42"/>
  <c r="L984" i="6"/>
  <c r="K205" i="6"/>
  <c r="E42" i="58"/>
  <c r="H740" i="6"/>
  <c r="I740" i="6" s="1"/>
  <c r="O1388" i="6"/>
  <c r="O1442" i="6" s="1"/>
  <c r="O1222" i="6"/>
  <c r="H626" i="6"/>
  <c r="I626" i="6" s="1"/>
  <c r="J1761" i="6"/>
  <c r="K1761" i="6" s="1"/>
  <c r="L1334" i="6"/>
  <c r="M1334" i="6" s="1"/>
  <c r="K429" i="6"/>
  <c r="J1597" i="6"/>
  <c r="J475" i="6" s="1"/>
  <c r="J209" i="3"/>
  <c r="L249" i="6"/>
  <c r="AQ120" i="9" s="1"/>
  <c r="AU120" i="9" s="1"/>
  <c r="M1030" i="6"/>
  <c r="H710" i="6"/>
  <c r="I710" i="6" s="1"/>
  <c r="J305" i="6"/>
  <c r="K1173" i="6"/>
  <c r="L1173" i="6" s="1"/>
  <c r="J1908" i="6"/>
  <c r="K1908" i="6" s="1"/>
  <c r="L1908" i="6" s="1"/>
  <c r="M1908" i="6" s="1"/>
  <c r="J1821" i="6"/>
  <c r="K1821" i="6" s="1"/>
  <c r="L1821" i="6" s="1"/>
  <c r="M1821" i="6" s="1"/>
  <c r="J1800" i="6"/>
  <c r="K1800" i="6" s="1"/>
  <c r="L1800" i="6" s="1"/>
  <c r="M1800" i="6" s="1"/>
  <c r="L775" i="6"/>
  <c r="L91" i="6" s="1"/>
  <c r="H1734" i="6"/>
  <c r="I1734" i="6" s="1"/>
  <c r="J1927" i="6"/>
  <c r="J1889" i="6"/>
  <c r="K1889" i="6" s="1"/>
  <c r="L1889" i="6" s="1"/>
  <c r="M1889" i="6" s="1"/>
  <c r="J1948" i="6"/>
  <c r="K1948" i="6" s="1"/>
  <c r="L1948" i="6" s="1"/>
  <c r="M1948" i="6" s="1"/>
  <c r="J1829" i="6"/>
  <c r="K1829" i="6" s="1"/>
  <c r="L1829" i="6" s="1"/>
  <c r="M1829" i="6" s="1"/>
  <c r="J1936" i="6"/>
  <c r="K1936" i="6" s="1"/>
  <c r="L1936" i="6" s="1"/>
  <c r="M1936" i="6" s="1"/>
  <c r="J1951" i="6"/>
  <c r="K1951" i="6" s="1"/>
  <c r="L1951" i="6" s="1"/>
  <c r="M1951" i="6" s="1"/>
  <c r="A1855" i="6"/>
  <c r="A1023" i="6"/>
  <c r="A1919" i="6"/>
  <c r="A657" i="6" s="1"/>
  <c r="A677" i="6" s="1"/>
  <c r="A32" i="6" s="1"/>
  <c r="A48" i="6" s="1"/>
  <c r="A470" i="6"/>
  <c r="A1278" i="6"/>
  <c r="A1718" i="6"/>
  <c r="A1347" i="6"/>
  <c r="A1370" i="6" s="1"/>
  <c r="A1372" i="6" s="1"/>
  <c r="A1375" i="6" s="1"/>
  <c r="A1383" i="6" s="1"/>
  <c r="A1388" i="6"/>
  <c r="A1442" i="6" s="1"/>
  <c r="A441" i="6" s="1"/>
  <c r="A1479" i="6"/>
  <c r="A1016" i="7"/>
  <c r="A1222" i="6"/>
  <c r="A1160" i="6"/>
  <c r="A2071" i="6"/>
  <c r="A2051" i="6"/>
  <c r="A693" i="6"/>
  <c r="J2092" i="6"/>
  <c r="J278" i="6"/>
  <c r="C221" i="6"/>
  <c r="C559" i="6"/>
  <c r="J1867" i="6"/>
  <c r="K1867" i="6" s="1"/>
  <c r="L1867" i="6" s="1"/>
  <c r="M1867" i="6" s="1"/>
  <c r="H42" i="58"/>
  <c r="K740" i="6"/>
  <c r="L716" i="6"/>
  <c r="I19" i="58"/>
  <c r="J405" i="6"/>
  <c r="K1757" i="6"/>
  <c r="L1757" i="6" s="1"/>
  <c r="J145" i="3"/>
  <c r="J1882" i="6"/>
  <c r="K1882" i="6" s="1"/>
  <c r="L1882" i="6" s="1"/>
  <c r="M1882" i="6" s="1"/>
  <c r="B62" i="6"/>
  <c r="A39" i="3" s="1"/>
  <c r="J310" i="6"/>
  <c r="C218" i="6"/>
  <c r="C220" i="6" s="1"/>
  <c r="H665" i="6"/>
  <c r="I665" i="6" s="1"/>
  <c r="J1696" i="6"/>
  <c r="L1288" i="6"/>
  <c r="K406" i="6"/>
  <c r="J997" i="6"/>
  <c r="K997" i="6" s="1"/>
  <c r="H267" i="6"/>
  <c r="I267" i="6" s="1"/>
  <c r="J350" i="6"/>
  <c r="A105" i="6"/>
  <c r="L220" i="4"/>
  <c r="M726" i="4"/>
  <c r="M126" i="34"/>
  <c r="O212" i="4"/>
  <c r="O273" i="4" s="1"/>
  <c r="O1919" i="6"/>
  <c r="L2" i="34"/>
  <c r="D710" i="34"/>
  <c r="C192" i="4"/>
  <c r="C99" i="42" s="1"/>
  <c r="A547" i="7"/>
  <c r="O296" i="6"/>
  <c r="C58" i="4"/>
  <c r="D459" i="4"/>
  <c r="K807" i="4"/>
  <c r="L807" i="4" s="1"/>
  <c r="G75" i="17"/>
  <c r="H404" i="5"/>
  <c r="H170" i="5"/>
  <c r="J2051" i="6"/>
  <c r="J2071" i="6" s="1"/>
  <c r="H1919" i="6"/>
  <c r="D751" i="6"/>
  <c r="D1661" i="6"/>
  <c r="L379" i="7"/>
  <c r="C100" i="4"/>
  <c r="C85" i="34"/>
  <c r="S4" i="42"/>
  <c r="D4" i="42" s="1"/>
  <c r="D68" i="42" s="1"/>
  <c r="A283" i="3"/>
  <c r="E9" i="12"/>
  <c r="Q825" i="7"/>
  <c r="Q890" i="7" s="1"/>
  <c r="O171" i="7"/>
  <c r="O2051" i="6"/>
  <c r="O2071" i="6" s="1"/>
  <c r="M85" i="34"/>
  <c r="O622" i="6"/>
  <c r="H241" i="6"/>
  <c r="D173" i="4"/>
  <c r="H241" i="4"/>
  <c r="I241" i="4" s="1"/>
  <c r="H222" i="4"/>
  <c r="I222" i="4" s="1"/>
  <c r="J93" i="13"/>
  <c r="J1088" i="6"/>
  <c r="J1160" i="6"/>
  <c r="J1016" i="7"/>
  <c r="O72" i="6"/>
  <c r="O125" i="6" s="1"/>
  <c r="O1088" i="6"/>
  <c r="O693" i="6"/>
  <c r="L751" i="6"/>
  <c r="D2" i="1"/>
  <c r="D84" i="1" s="1"/>
  <c r="O1347" i="6"/>
  <c r="A765" i="4"/>
  <c r="A767" i="4" s="1"/>
  <c r="A776" i="4" s="1"/>
  <c r="N85" i="34"/>
  <c r="Q785" i="7"/>
  <c r="D192" i="4"/>
  <c r="O719" i="4"/>
  <c r="D65" i="4"/>
  <c r="L790" i="34"/>
  <c r="L813" i="34" s="1"/>
  <c r="L823" i="34" s="1"/>
  <c r="C234" i="4"/>
  <c r="C265" i="4" s="1"/>
  <c r="H119" i="4"/>
  <c r="I119" i="4" s="1"/>
  <c r="M664" i="4"/>
  <c r="L710" i="34"/>
  <c r="I109" i="4"/>
  <c r="J469" i="4"/>
  <c r="K1016" i="7"/>
  <c r="J818" i="6"/>
  <c r="J884" i="6" s="1"/>
  <c r="J185" i="6"/>
  <c r="O470" i="6"/>
  <c r="D955" i="6"/>
  <c r="O185" i="6"/>
  <c r="H180" i="4"/>
  <c r="I180" i="4" s="1"/>
  <c r="D167" i="34"/>
  <c r="D224" i="34" s="1"/>
  <c r="D402" i="34" s="1"/>
  <c r="N100" i="4"/>
  <c r="H1526" i="6"/>
  <c r="K1347" i="6"/>
  <c r="D760" i="34"/>
  <c r="C174" i="4"/>
  <c r="C176" i="4" s="1"/>
  <c r="B99" i="42" s="1"/>
  <c r="P443" i="7"/>
  <c r="P495" i="7" s="1"/>
  <c r="H408" i="4"/>
  <c r="I408" i="4" s="1"/>
  <c r="D773" i="34"/>
  <c r="Q125" i="7"/>
  <c r="D130" i="4"/>
  <c r="O1981" i="6"/>
  <c r="L2" i="58" s="1"/>
  <c r="F127" i="15"/>
  <c r="M277" i="3"/>
  <c r="P171" i="7"/>
  <c r="J955" i="6"/>
  <c r="H399" i="6"/>
  <c r="J1388" i="6"/>
  <c r="J1442" i="6" s="1"/>
  <c r="Q957" i="7"/>
  <c r="L1919" i="6"/>
  <c r="J567" i="6"/>
  <c r="J296" i="6"/>
  <c r="E760" i="34"/>
  <c r="O567" i="6"/>
  <c r="H402" i="45"/>
  <c r="A100" i="4"/>
  <c r="J84" i="1"/>
  <c r="B192" i="4"/>
  <c r="B19" i="4" s="1"/>
  <c r="A192" i="4"/>
  <c r="A19" i="4" s="1"/>
  <c r="P825" i="7"/>
  <c r="P890" i="7" s="1"/>
  <c r="Q1124" i="7"/>
  <c r="D728" i="4"/>
  <c r="L404" i="6"/>
  <c r="D276" i="42"/>
  <c r="D277" i="42" s="1"/>
  <c r="B277" i="42"/>
  <c r="L278" i="6"/>
  <c r="L2092" i="6"/>
  <c r="L54" i="6" s="1"/>
  <c r="C2090" i="6"/>
  <c r="C108" i="6"/>
  <c r="C34" i="58"/>
  <c r="C52" i="58" s="1"/>
  <c r="K1616" i="6"/>
  <c r="L1616" i="6" s="1"/>
  <c r="M1616" i="6" s="1"/>
  <c r="J594" i="6"/>
  <c r="K1758" i="6"/>
  <c r="J77" i="6"/>
  <c r="K754" i="6"/>
  <c r="L754" i="6" s="1"/>
  <c r="M754" i="6" s="1"/>
  <c r="J1795" i="6"/>
  <c r="H629" i="6"/>
  <c r="I629" i="6" s="1"/>
  <c r="D558" i="6"/>
  <c r="N19" i="58"/>
  <c r="D418" i="6"/>
  <c r="B1222" i="6"/>
  <c r="B1526" i="6"/>
  <c r="B34" i="58"/>
  <c r="B52" i="58" s="1"/>
  <c r="B547" i="6"/>
  <c r="B30" i="6" s="1"/>
  <c r="H721" i="6"/>
  <c r="I721" i="6" s="1"/>
  <c r="K138" i="6"/>
  <c r="L840" i="6"/>
  <c r="J209" i="6"/>
  <c r="H645" i="6"/>
  <c r="I645" i="6" s="1"/>
  <c r="D2036" i="6"/>
  <c r="N21" i="26"/>
  <c r="C277" i="6"/>
  <c r="C274" i="6"/>
  <c r="H1813" i="6"/>
  <c r="I1813" i="6" s="1"/>
  <c r="H366" i="6"/>
  <c r="I366" i="6" s="1"/>
  <c r="L1739" i="6"/>
  <c r="M1739" i="6" s="1"/>
  <c r="K583" i="6"/>
  <c r="J302" i="6"/>
  <c r="K1103" i="6"/>
  <c r="L1103" i="6" s="1"/>
  <c r="M1103" i="6" s="1"/>
  <c r="I584" i="6"/>
  <c r="J1741" i="6"/>
  <c r="J584" i="6" s="1"/>
  <c r="F25" i="40"/>
  <c r="G233" i="3" s="1"/>
  <c r="J1859" i="6"/>
  <c r="K1859" i="6" s="1"/>
  <c r="L1859" i="6" s="1"/>
  <c r="M1859" i="6" s="1"/>
  <c r="J1907" i="6"/>
  <c r="K1907" i="6" s="1"/>
  <c r="L1907" i="6" s="1"/>
  <c r="M1907" i="6" s="1"/>
  <c r="K1227" i="6"/>
  <c r="K366" i="6" s="1"/>
  <c r="J330" i="6"/>
  <c r="J329" i="6" s="1"/>
  <c r="J320" i="6"/>
  <c r="K1108" i="6"/>
  <c r="J140" i="6"/>
  <c r="K860" i="6"/>
  <c r="L860" i="6" s="1"/>
  <c r="M860" i="6" s="1"/>
  <c r="K893" i="6"/>
  <c r="L893" i="6" s="1"/>
  <c r="M893" i="6" s="1"/>
  <c r="J146" i="6"/>
  <c r="J1928" i="6"/>
  <c r="H664" i="6"/>
  <c r="I664" i="6" s="1"/>
  <c r="J1894" i="6"/>
  <c r="K1894" i="6" s="1"/>
  <c r="L1894" i="6" s="1"/>
  <c r="M1894" i="6" s="1"/>
  <c r="J1823" i="6"/>
  <c r="K1823" i="6" s="1"/>
  <c r="L1823" i="6" s="1"/>
  <c r="M1823" i="6" s="1"/>
  <c r="J1938" i="6"/>
  <c r="K1938" i="6" s="1"/>
  <c r="L1938" i="6" s="1"/>
  <c r="M1938" i="6" s="1"/>
  <c r="J1873" i="6"/>
  <c r="K1873" i="6" s="1"/>
  <c r="L1873" i="6" s="1"/>
  <c r="I1231" i="6"/>
  <c r="H377" i="6"/>
  <c r="I377" i="6" s="1"/>
  <c r="J1245" i="6"/>
  <c r="K1245" i="6" s="1"/>
  <c r="L1245" i="6" s="1"/>
  <c r="M1245" i="6" s="1"/>
  <c r="H1539" i="6"/>
  <c r="I1539" i="6" s="1"/>
  <c r="J1896" i="6"/>
  <c r="K1896" i="6" s="1"/>
  <c r="L1896" i="6" s="1"/>
  <c r="M1896" i="6" s="1"/>
  <c r="J1068" i="6"/>
  <c r="H272" i="6"/>
  <c r="I272" i="6" s="1"/>
  <c r="H1074" i="6"/>
  <c r="I1074" i="6" s="1"/>
  <c r="J1805" i="6"/>
  <c r="K1805" i="6" s="1"/>
  <c r="L1805" i="6" s="1"/>
  <c r="M1805" i="6" s="1"/>
  <c r="H215" i="6"/>
  <c r="I215" i="6" s="1"/>
  <c r="H1007" i="6"/>
  <c r="I1007" i="6" s="1"/>
  <c r="G91" i="10"/>
  <c r="H772" i="34"/>
  <c r="K1798" i="6"/>
  <c r="J145" i="6"/>
  <c r="K31" i="45"/>
  <c r="K262" i="6"/>
  <c r="K1419" i="6"/>
  <c r="L1419" i="6" s="1"/>
  <c r="J440" i="6"/>
  <c r="K1872" i="6"/>
  <c r="L1872" i="6" s="1"/>
  <c r="M1872" i="6" s="1"/>
  <c r="J33" i="45"/>
  <c r="J1175" i="6"/>
  <c r="K894" i="6"/>
  <c r="K589" i="6"/>
  <c r="L1746" i="6"/>
  <c r="L1328" i="6"/>
  <c r="K889" i="6"/>
  <c r="L889" i="6" s="1"/>
  <c r="M889" i="6" s="1"/>
  <c r="J148" i="6"/>
  <c r="L1848" i="6"/>
  <c r="J1934" i="6"/>
  <c r="H666" i="6"/>
  <c r="I666" i="6" s="1"/>
  <c r="J1827" i="6"/>
  <c r="K1827" i="6" s="1"/>
  <c r="L1827" i="6" s="1"/>
  <c r="M1827" i="6" s="1"/>
  <c r="J1905" i="6"/>
  <c r="K1905" i="6" s="1"/>
  <c r="L1905" i="6" s="1"/>
  <c r="M1905" i="6" s="1"/>
  <c r="J1881" i="6"/>
  <c r="K1881" i="6" s="1"/>
  <c r="L1881" i="6" s="1"/>
  <c r="M1881" i="6" s="1"/>
  <c r="J1832" i="6"/>
  <c r="K1832" i="6" s="1"/>
  <c r="L1832" i="6" s="1"/>
  <c r="M1832" i="6" s="1"/>
  <c r="J1988" i="6"/>
  <c r="K1988" i="6" s="1"/>
  <c r="L1988" i="6" s="1"/>
  <c r="M1988" i="6" s="1"/>
  <c r="N1988" i="6" s="1"/>
  <c r="O1988" i="6" s="1"/>
  <c r="P1988" i="6" s="1"/>
  <c r="Q1988" i="6" s="1"/>
  <c r="U7" i="42"/>
  <c r="F39" i="15" s="1"/>
  <c r="G39" i="15" s="1"/>
  <c r="J1911" i="6"/>
  <c r="K1911" i="6" s="1"/>
  <c r="L1911" i="6" s="1"/>
  <c r="M1911" i="6" s="1"/>
  <c r="H669" i="6"/>
  <c r="I669" i="6" s="1"/>
  <c r="J1952" i="6"/>
  <c r="K1952" i="6" s="1"/>
  <c r="L1952" i="6" s="1"/>
  <c r="AI4" i="42"/>
  <c r="AX4" i="42" s="1"/>
  <c r="M6" i="37"/>
  <c r="AD14" i="37" s="1"/>
  <c r="K1000" i="6"/>
  <c r="J214" i="6"/>
  <c r="B42" i="58"/>
  <c r="D740" i="6"/>
  <c r="D61" i="6" s="1"/>
  <c r="L1729" i="6"/>
  <c r="K1922" i="6"/>
  <c r="K658" i="6" s="1"/>
  <c r="J138" i="6"/>
  <c r="K916" i="6"/>
  <c r="L916" i="6" s="1"/>
  <c r="M916" i="6" s="1"/>
  <c r="J153" i="6"/>
  <c r="K1367" i="6"/>
  <c r="K449" i="6" s="1"/>
  <c r="J449" i="6"/>
  <c r="J1373" i="6"/>
  <c r="J2026" i="6"/>
  <c r="K2026" i="6" s="1"/>
  <c r="L2026" i="6" s="1"/>
  <c r="M2026" i="6" s="1"/>
  <c r="J92" i="6"/>
  <c r="K779" i="6"/>
  <c r="K1099" i="6"/>
  <c r="J312" i="6"/>
  <c r="J1925" i="6"/>
  <c r="A62" i="6"/>
  <c r="K1762" i="6"/>
  <c r="L1762" i="6" s="1"/>
  <c r="H506" i="6"/>
  <c r="I506" i="6" s="1"/>
  <c r="H1016" i="7"/>
  <c r="H72" i="6"/>
  <c r="H1388" i="6"/>
  <c r="H1278" i="6"/>
  <c r="H1590" i="6"/>
  <c r="H693" i="6"/>
  <c r="H1023" i="6"/>
  <c r="H622" i="6"/>
  <c r="H379" i="7"/>
  <c r="H719" i="4"/>
  <c r="H1222" i="6"/>
  <c r="H1479" i="6"/>
  <c r="H818" i="6"/>
  <c r="H470" i="6"/>
  <c r="H1718" i="6"/>
  <c r="H296" i="6"/>
  <c r="H1347" i="6"/>
  <c r="H751" i="6"/>
  <c r="H1855" i="6"/>
  <c r="H185" i="6"/>
  <c r="U4" i="42"/>
  <c r="AJ4" i="42" s="1"/>
  <c r="AY4" i="42" s="1"/>
  <c r="H1160" i="6"/>
  <c r="H567" i="6"/>
  <c r="H1786" i="6"/>
  <c r="J1222" i="6"/>
  <c r="J399" i="6"/>
  <c r="J1718" i="6"/>
  <c r="V4" i="42"/>
  <c r="AK4" i="42" s="1"/>
  <c r="AZ4" i="42" s="1"/>
  <c r="J379" i="7"/>
  <c r="J470" i="6"/>
  <c r="J1919" i="6"/>
  <c r="J1590" i="6"/>
  <c r="J1526" i="6"/>
  <c r="J1855" i="6"/>
  <c r="J1023" i="6"/>
  <c r="O1" i="37" s="1"/>
  <c r="O6" i="37" s="1"/>
  <c r="AF14" i="37" s="1"/>
  <c r="J751" i="6"/>
  <c r="J241" i="6"/>
  <c r="J1479" i="6"/>
  <c r="J693" i="6"/>
  <c r="J622" i="6"/>
  <c r="J1981" i="6"/>
  <c r="G2" i="58" s="1"/>
  <c r="K1855" i="6"/>
  <c r="K719" i="4"/>
  <c r="K1919" i="6"/>
  <c r="K751" i="6"/>
  <c r="K1023" i="6"/>
  <c r="P1" i="37" s="1"/>
  <c r="P6" i="37" s="1"/>
  <c r="AG14" i="37" s="1"/>
  <c r="W4" i="42"/>
  <c r="AL4" i="42" s="1"/>
  <c r="BA4" i="42" s="1"/>
  <c r="K567" i="6"/>
  <c r="K2051" i="6"/>
  <c r="K2071" i="6" s="1"/>
  <c r="K185" i="6"/>
  <c r="K955" i="6"/>
  <c r="K1786" i="6"/>
  <c r="K693" i="6"/>
  <c r="K296" i="6"/>
  <c r="K1590" i="6"/>
  <c r="K470" i="6"/>
  <c r="K1278" i="6"/>
  <c r="K622" i="6"/>
  <c r="K379" i="7"/>
  <c r="K1388" i="6"/>
  <c r="K1442" i="6" s="1"/>
  <c r="K1222" i="6"/>
  <c r="K1160" i="6"/>
  <c r="K399" i="6"/>
  <c r="K818" i="6"/>
  <c r="K884" i="6" s="1"/>
  <c r="K72" i="6"/>
  <c r="K125" i="6" s="1"/>
  <c r="K1088" i="6"/>
  <c r="K241" i="6"/>
  <c r="K1526" i="6"/>
  <c r="K1981" i="6"/>
  <c r="H2" i="58" s="1"/>
  <c r="L1222" i="6"/>
  <c r="L399" i="6"/>
  <c r="L72" i="6"/>
  <c r="L125" i="6" s="1"/>
  <c r="L2051" i="6"/>
  <c r="L2071" i="6" s="1"/>
  <c r="L1347" i="6"/>
  <c r="L1526" i="6"/>
  <c r="L1388" i="6"/>
  <c r="L1442" i="6" s="1"/>
  <c r="L296" i="6"/>
  <c r="L955" i="6"/>
  <c r="L185" i="6"/>
  <c r="L1590" i="6"/>
  <c r="L1855" i="6"/>
  <c r="L719" i="4"/>
  <c r="L1718" i="6"/>
  <c r="L693" i="6"/>
  <c r="L1786" i="6"/>
  <c r="L1088" i="6"/>
  <c r="L1023" i="6"/>
  <c r="Q1" i="37" s="1"/>
  <c r="Q62" i="37" s="1"/>
  <c r="Q80" i="37" s="1"/>
  <c r="L1981" i="6"/>
  <c r="I2" i="58" s="1"/>
  <c r="L1016" i="7"/>
  <c r="L241" i="6"/>
  <c r="L1278" i="6"/>
  <c r="L470" i="6"/>
  <c r="L622" i="6"/>
  <c r="L818" i="6"/>
  <c r="L884" i="6" s="1"/>
  <c r="L1160" i="6"/>
  <c r="A221" i="6"/>
  <c r="A218" i="6"/>
  <c r="B65" i="6"/>
  <c r="A69" i="3" s="1"/>
  <c r="J304" i="6"/>
  <c r="K1172" i="6"/>
  <c r="K304" i="6" s="1"/>
  <c r="J1611" i="6"/>
  <c r="K1611" i="6" s="1"/>
  <c r="L1611" i="6" s="1"/>
  <c r="M1611" i="6" s="1"/>
  <c r="J2019" i="6"/>
  <c r="K2019" i="6" s="1"/>
  <c r="L2019" i="6" s="1"/>
  <c r="M2019" i="6" s="1"/>
  <c r="J1835" i="6"/>
  <c r="K1835" i="6" s="1"/>
  <c r="L1835" i="6" s="1"/>
  <c r="M1835" i="6" s="1"/>
  <c r="J1987" i="6"/>
  <c r="J1029" i="6"/>
  <c r="J1880" i="6"/>
  <c r="K1880" i="6" s="1"/>
  <c r="L1880" i="6" s="1"/>
  <c r="M1880" i="6" s="1"/>
  <c r="H653" i="6"/>
  <c r="I653" i="6" s="1"/>
  <c r="D1403" i="6"/>
  <c r="E36" i="45"/>
  <c r="E46" i="45" s="1"/>
  <c r="E47" i="45" s="1"/>
  <c r="E165" i="45"/>
  <c r="E169" i="45" s="1"/>
  <c r="E170" i="45" s="1"/>
  <c r="E171" i="45" s="1"/>
  <c r="J1796" i="6"/>
  <c r="H190" i="6"/>
  <c r="I190" i="6" s="1"/>
  <c r="H1008" i="6"/>
  <c r="I1008" i="6" s="1"/>
  <c r="J1002" i="6"/>
  <c r="J1994" i="6"/>
  <c r="D343" i="6"/>
  <c r="K42" i="58"/>
  <c r="N740" i="6"/>
  <c r="H716" i="6"/>
  <c r="I716" i="6" s="1"/>
  <c r="E19" i="58"/>
  <c r="U17" i="58" s="1"/>
  <c r="M716" i="6"/>
  <c r="J19" i="58"/>
  <c r="D2090" i="6"/>
  <c r="B64" i="6"/>
  <c r="A61" i="3" s="1"/>
  <c r="H494" i="6"/>
  <c r="I494" i="6" s="1"/>
  <c r="J1690" i="6"/>
  <c r="K1690" i="6" s="1"/>
  <c r="L1690" i="6" s="1"/>
  <c r="M1690" i="6" s="1"/>
  <c r="J1818" i="6"/>
  <c r="K1818" i="6" s="1"/>
  <c r="L1818" i="6" s="1"/>
  <c r="M1818" i="6" s="1"/>
  <c r="J1866" i="6"/>
  <c r="K1866" i="6" s="1"/>
  <c r="H576" i="6"/>
  <c r="I576" i="6" s="1"/>
  <c r="J1732" i="6"/>
  <c r="B343" i="6"/>
  <c r="C343" i="6"/>
  <c r="C340" i="6"/>
  <c r="A61" i="6"/>
  <c r="B716" i="6"/>
  <c r="B731" i="6" s="1"/>
  <c r="B2034" i="6"/>
  <c r="B2036" i="6" s="1"/>
  <c r="B2038" i="6" s="1"/>
  <c r="B2047" i="6" s="1"/>
  <c r="H1770" i="6"/>
  <c r="I1770" i="6" s="1"/>
  <c r="H270" i="6"/>
  <c r="I270" i="6" s="1"/>
  <c r="H1144" i="6"/>
  <c r="I1144" i="6" s="1"/>
  <c r="D389" i="6"/>
  <c r="J30" i="45"/>
  <c r="J1546" i="6"/>
  <c r="K1546" i="6" s="1"/>
  <c r="L1546" i="6" s="1"/>
  <c r="M1546" i="6" s="1"/>
  <c r="H478" i="6"/>
  <c r="I478" i="6" s="1"/>
  <c r="E18" i="58"/>
  <c r="F18" i="58" s="1"/>
  <c r="J1685" i="6"/>
  <c r="K1685" i="6" s="1"/>
  <c r="L1685" i="6" s="1"/>
  <c r="M1685" i="6" s="1"/>
  <c r="J1822" i="6"/>
  <c r="K1822" i="6" s="1"/>
  <c r="L1822" i="6" s="1"/>
  <c r="M1822" i="6" s="1"/>
  <c r="C14" i="6"/>
  <c r="B120" i="42"/>
  <c r="J2027" i="6"/>
  <c r="J724" i="6" s="1"/>
  <c r="J643" i="6"/>
  <c r="H643" i="6"/>
  <c r="I643" i="6" s="1"/>
  <c r="J152" i="6"/>
  <c r="C547" i="6"/>
  <c r="C30" i="6" s="1"/>
  <c r="D392" i="6"/>
  <c r="J431" i="6"/>
  <c r="D390" i="6"/>
  <c r="J1547" i="6"/>
  <c r="K1547" i="6" s="1"/>
  <c r="L1547" i="6" s="1"/>
  <c r="M1547" i="6" s="1"/>
  <c r="J1724" i="6"/>
  <c r="J572" i="6" s="1"/>
  <c r="E22" i="58"/>
  <c r="F22" i="58" s="1"/>
  <c r="J1819" i="6"/>
  <c r="K1819" i="6" s="1"/>
  <c r="L1819" i="6" s="1"/>
  <c r="M1819" i="6" s="1"/>
  <c r="D877" i="6"/>
  <c r="D177" i="6" s="1"/>
  <c r="J1548" i="6"/>
  <c r="K1548" i="6" s="1"/>
  <c r="L1548" i="6" s="1"/>
  <c r="M1548" i="6" s="1"/>
  <c r="J1255" i="6"/>
  <c r="K1255" i="6" s="1"/>
  <c r="L1255" i="6" s="1"/>
  <c r="M1255" i="6" s="1"/>
  <c r="J1549" i="6"/>
  <c r="K1549" i="6" s="1"/>
  <c r="L1549" i="6" s="1"/>
  <c r="M1549" i="6" s="1"/>
  <c r="G444" i="34"/>
  <c r="G445" i="34" s="1"/>
  <c r="E10" i="34"/>
  <c r="E405" i="34" s="1"/>
  <c r="D10" i="34"/>
  <c r="D405" i="34" s="1"/>
  <c r="D409" i="34" s="1"/>
  <c r="D633" i="34"/>
  <c r="D260" i="34" s="1"/>
  <c r="B253" i="3"/>
  <c r="E633" i="34"/>
  <c r="E260" i="34" s="1"/>
  <c r="C253" i="3"/>
  <c r="K261" i="6"/>
  <c r="J261" i="6"/>
  <c r="K1119" i="6"/>
  <c r="K787" i="6"/>
  <c r="C33" i="6"/>
  <c r="H542" i="6"/>
  <c r="I542" i="6" s="1"/>
  <c r="H68" i="13"/>
  <c r="H124" i="13" s="1"/>
  <c r="I193" i="15"/>
  <c r="K27" i="26"/>
  <c r="K6" i="26"/>
  <c r="L6" i="26"/>
  <c r="H11" i="48"/>
  <c r="C123" i="42"/>
  <c r="H1698" i="6"/>
  <c r="I1698" i="6" s="1"/>
  <c r="H329" i="6"/>
  <c r="I329" i="6" s="1"/>
  <c r="B14" i="6"/>
  <c r="H222" i="6"/>
  <c r="I222" i="6" s="1"/>
  <c r="H455" i="6"/>
  <c r="I455" i="6" s="1"/>
  <c r="H659" i="6"/>
  <c r="I659" i="6" s="1"/>
  <c r="H475" i="6"/>
  <c r="I475" i="6" s="1"/>
  <c r="H487" i="6"/>
  <c r="I487" i="6" s="1"/>
  <c r="J1096" i="6"/>
  <c r="J1491" i="6"/>
  <c r="J1493" i="6"/>
  <c r="K1493" i="6" s="1"/>
  <c r="L1493" i="6" s="1"/>
  <c r="M1493" i="6" s="1"/>
  <c r="J1691" i="6"/>
  <c r="K1691" i="6" s="1"/>
  <c r="J1666" i="6"/>
  <c r="J1754" i="6"/>
  <c r="K1754" i="6" s="1"/>
  <c r="L1754" i="6" s="1"/>
  <c r="M1754" i="6" s="1"/>
  <c r="J2025" i="6"/>
  <c r="J723" i="6" s="1"/>
  <c r="J1494" i="6"/>
  <c r="K1494" i="6" s="1"/>
  <c r="L1494" i="6" s="1"/>
  <c r="M1494" i="6" s="1"/>
  <c r="J2006" i="6"/>
  <c r="J1626" i="6"/>
  <c r="K1626" i="6" s="1"/>
  <c r="L1626" i="6" s="1"/>
  <c r="M1626" i="6" s="1"/>
  <c r="J1497" i="6"/>
  <c r="K1497" i="6" s="1"/>
  <c r="L1497" i="6" s="1"/>
  <c r="M1497" i="6" s="1"/>
  <c r="J1679" i="6"/>
  <c r="K1679" i="6" s="1"/>
  <c r="L1679" i="6" s="1"/>
  <c r="J2004" i="6"/>
  <c r="K2004" i="6" s="1"/>
  <c r="L2004" i="6" s="1"/>
  <c r="M2004" i="6" s="1"/>
  <c r="J2020" i="6"/>
  <c r="J1624" i="6"/>
  <c r="K1624" i="6" s="1"/>
  <c r="L1624" i="6" s="1"/>
  <c r="M1624" i="6" s="1"/>
  <c r="J1808" i="6"/>
  <c r="K1808" i="6" s="1"/>
  <c r="L1808" i="6" s="1"/>
  <c r="M1808" i="6" s="1"/>
  <c r="H654" i="6"/>
  <c r="I654" i="6" s="1"/>
  <c r="J1909" i="6"/>
  <c r="K1909" i="6" s="1"/>
  <c r="L1909" i="6" s="1"/>
  <c r="M1909" i="6" s="1"/>
  <c r="J1820" i="6"/>
  <c r="K1820" i="6" s="1"/>
  <c r="L1820" i="6" s="1"/>
  <c r="M1820" i="6" s="1"/>
  <c r="J1860" i="6"/>
  <c r="K1860" i="6" s="1"/>
  <c r="J1904" i="6"/>
  <c r="K1904" i="6" s="1"/>
  <c r="L1904" i="6" s="1"/>
  <c r="M1904" i="6" s="1"/>
  <c r="J1947" i="6"/>
  <c r="K1947" i="6" s="1"/>
  <c r="L1947" i="6" s="1"/>
  <c r="M1947" i="6" s="1"/>
  <c r="J1630" i="6"/>
  <c r="K1630" i="6" s="1"/>
  <c r="L1630" i="6" s="1"/>
  <c r="M1630" i="6" s="1"/>
  <c r="D36" i="45"/>
  <c r="D46" i="45" s="1"/>
  <c r="D47" i="45" s="1"/>
  <c r="D48" i="45" s="1"/>
  <c r="F36" i="45"/>
  <c r="F46" i="45" s="1"/>
  <c r="F47" i="45" s="1"/>
  <c r="J1849" i="6"/>
  <c r="A65" i="6"/>
  <c r="C2093" i="6"/>
  <c r="B32" i="13" s="1"/>
  <c r="J1551" i="6"/>
  <c r="K1551" i="6" s="1"/>
  <c r="L1551" i="6" s="1"/>
  <c r="M1551" i="6" s="1"/>
  <c r="J1553" i="6"/>
  <c r="K1553" i="6" s="1"/>
  <c r="L1553" i="6" s="1"/>
  <c r="M1553" i="6" s="1"/>
  <c r="J1556" i="6"/>
  <c r="K1556" i="6" s="1"/>
  <c r="L1556" i="6" s="1"/>
  <c r="M1556" i="6" s="1"/>
  <c r="E6" i="58"/>
  <c r="E5" i="58" s="1"/>
  <c r="O19" i="58"/>
  <c r="H168" i="6"/>
  <c r="I168" i="6" s="1"/>
  <c r="J403" i="6"/>
  <c r="H658" i="6"/>
  <c r="I658" i="6" s="1"/>
  <c r="H1486" i="6"/>
  <c r="I1486" i="6" s="1"/>
  <c r="H1175" i="6"/>
  <c r="I1175" i="6" s="1"/>
  <c r="J1681" i="6"/>
  <c r="K1681" i="6" s="1"/>
  <c r="L1681" i="6" s="1"/>
  <c r="M1681" i="6" s="1"/>
  <c r="J2003" i="6"/>
  <c r="K2003" i="6" s="1"/>
  <c r="L2003" i="6" s="1"/>
  <c r="M2003" i="6" s="1"/>
  <c r="J1684" i="6"/>
  <c r="K1684" i="6" s="1"/>
  <c r="L1684" i="6" s="1"/>
  <c r="M1684" i="6" s="1"/>
  <c r="J1753" i="6"/>
  <c r="K1753" i="6" s="1"/>
  <c r="L1753" i="6" s="1"/>
  <c r="M1753" i="6" s="1"/>
  <c r="J1806" i="6"/>
  <c r="K1806" i="6" s="1"/>
  <c r="L1806" i="6" s="1"/>
  <c r="M1806" i="6" s="1"/>
  <c r="J798" i="6"/>
  <c r="J1839" i="6"/>
  <c r="K1839" i="6" s="1"/>
  <c r="L1839" i="6" s="1"/>
  <c r="M1839" i="6" s="1"/>
  <c r="F169" i="45"/>
  <c r="F170" i="45" s="1"/>
  <c r="J1791" i="6"/>
  <c r="K1791" i="6" s="1"/>
  <c r="L1791" i="6" s="1"/>
  <c r="M1791" i="6" s="1"/>
  <c r="N1791" i="6" s="1"/>
  <c r="O1791" i="6" s="1"/>
  <c r="P1791" i="6" s="1"/>
  <c r="H673" i="6"/>
  <c r="I673" i="6" s="1"/>
  <c r="J1544" i="6"/>
  <c r="K1544" i="6" s="1"/>
  <c r="L1544" i="6" s="1"/>
  <c r="M1544" i="6" s="1"/>
  <c r="J1559" i="6"/>
  <c r="K1559" i="6" s="1"/>
  <c r="L1559" i="6" s="1"/>
  <c r="M1559" i="6" s="1"/>
  <c r="J1562" i="6"/>
  <c r="K1562" i="6" s="1"/>
  <c r="L1562" i="6" s="1"/>
  <c r="M1562" i="6" s="1"/>
  <c r="J1566" i="6"/>
  <c r="K1566" i="6" s="1"/>
  <c r="L1566" i="6" s="1"/>
  <c r="M1566" i="6" s="1"/>
  <c r="J404" i="6"/>
  <c r="H573" i="6"/>
  <c r="I573" i="6" s="1"/>
  <c r="J1496" i="6"/>
  <c r="K1496" i="6" s="1"/>
  <c r="L1496" i="6" s="1"/>
  <c r="M1496" i="6" s="1"/>
  <c r="J1804" i="6"/>
  <c r="K1804" i="6" s="1"/>
  <c r="L1804" i="6" s="1"/>
  <c r="M1804" i="6" s="1"/>
  <c r="J1692" i="6"/>
  <c r="K1692" i="6" s="1"/>
  <c r="L1692" i="6" s="1"/>
  <c r="M1692" i="6" s="1"/>
  <c r="J1687" i="6"/>
  <c r="K1687" i="6" s="1"/>
  <c r="L1687" i="6" s="1"/>
  <c r="M1687" i="6" s="1"/>
  <c r="J1807" i="6"/>
  <c r="K1807" i="6" s="1"/>
  <c r="L1807" i="6" s="1"/>
  <c r="M1807" i="6" s="1"/>
  <c r="J1617" i="6"/>
  <c r="K1617" i="6" s="1"/>
  <c r="L1617" i="6" s="1"/>
  <c r="M1617" i="6" s="1"/>
  <c r="J2022" i="6"/>
  <c r="K2022" i="6" s="1"/>
  <c r="L2022" i="6" s="1"/>
  <c r="M2022" i="6" s="1"/>
  <c r="J2021" i="6"/>
  <c r="J1625" i="6"/>
  <c r="K1625" i="6" s="1"/>
  <c r="L1625" i="6" s="1"/>
  <c r="M1625" i="6" s="1"/>
  <c r="J1495" i="6"/>
  <c r="K1495" i="6" s="1"/>
  <c r="L1495" i="6" s="1"/>
  <c r="M1495" i="6" s="1"/>
  <c r="J1830" i="6"/>
  <c r="K1830" i="6" s="1"/>
  <c r="L1830" i="6" s="1"/>
  <c r="M1830" i="6" s="1"/>
  <c r="H248" i="6"/>
  <c r="I248" i="6" s="1"/>
  <c r="H649" i="6"/>
  <c r="I649" i="6" s="1"/>
  <c r="J1799" i="6"/>
  <c r="J1902" i="6"/>
  <c r="K1902" i="6" s="1"/>
  <c r="L1902" i="6" s="1"/>
  <c r="M1902" i="6" s="1"/>
  <c r="H333" i="6"/>
  <c r="I333" i="6" s="1"/>
  <c r="A63" i="6"/>
  <c r="J1959" i="6"/>
  <c r="K1959" i="6" s="1"/>
  <c r="J1138" i="6"/>
  <c r="H1072" i="6"/>
  <c r="I1072" i="6" s="1"/>
  <c r="J1001" i="6"/>
  <c r="J1552" i="6"/>
  <c r="K1552" i="6" s="1"/>
  <c r="L1552" i="6" s="1"/>
  <c r="M1552" i="6" s="1"/>
  <c r="J1557" i="6"/>
  <c r="K1557" i="6" s="1"/>
  <c r="L1557" i="6" s="1"/>
  <c r="M1557" i="6" s="1"/>
  <c r="J1560" i="6"/>
  <c r="K1560" i="6" s="1"/>
  <c r="L1560" i="6" s="1"/>
  <c r="M1560" i="6" s="1"/>
  <c r="J959" i="6"/>
  <c r="H550" i="6"/>
  <c r="I550" i="6" s="1"/>
  <c r="H734" i="6"/>
  <c r="I734" i="6" s="1"/>
  <c r="H36" i="45"/>
  <c r="H667" i="6"/>
  <c r="I667" i="6" s="1"/>
  <c r="H605" i="6"/>
  <c r="I605" i="6" s="1"/>
  <c r="G732" i="34"/>
  <c r="H628" i="6"/>
  <c r="I628" i="6" s="1"/>
  <c r="J2013" i="6"/>
  <c r="K1613" i="6"/>
  <c r="L1613" i="6" s="1"/>
  <c r="M1613" i="6" s="1"/>
  <c r="H539" i="6"/>
  <c r="I539" i="6" s="1"/>
  <c r="J1627" i="6"/>
  <c r="K1627" i="6" s="1"/>
  <c r="L1627" i="6" s="1"/>
  <c r="M1627" i="6" s="1"/>
  <c r="J1817" i="6"/>
  <c r="K1817" i="6" s="1"/>
  <c r="L1817" i="6" s="1"/>
  <c r="M1817" i="6" s="1"/>
  <c r="J1879" i="6"/>
  <c r="K1879" i="6" s="1"/>
  <c r="L1879" i="6" s="1"/>
  <c r="J1888" i="6"/>
  <c r="H604" i="6"/>
  <c r="I604" i="6" s="1"/>
  <c r="H652" i="6"/>
  <c r="I652" i="6" s="1"/>
  <c r="H702" i="6"/>
  <c r="I702" i="6" s="1"/>
  <c r="J1629" i="6"/>
  <c r="K1629" i="6" s="1"/>
  <c r="L1629" i="6" s="1"/>
  <c r="M1629" i="6" s="1"/>
  <c r="J1686" i="6"/>
  <c r="K1686" i="6" s="1"/>
  <c r="L1686" i="6" s="1"/>
  <c r="M1686" i="6" s="1"/>
  <c r="J1900" i="6"/>
  <c r="K1900" i="6" s="1"/>
  <c r="L1900" i="6" s="1"/>
  <c r="M1900" i="6" s="1"/>
  <c r="H640" i="6"/>
  <c r="I640" i="6" s="1"/>
  <c r="D167" i="6"/>
  <c r="D290" i="42"/>
  <c r="A64" i="6"/>
  <c r="B314" i="6"/>
  <c r="U19" i="58"/>
  <c r="J1638" i="6"/>
  <c r="J1139" i="6"/>
  <c r="J1568" i="6"/>
  <c r="K1568" i="6" s="1"/>
  <c r="L1568" i="6" s="1"/>
  <c r="M1568" i="6" s="1"/>
  <c r="J1986" i="6"/>
  <c r="K556" i="34"/>
  <c r="G192" i="14"/>
  <c r="H87" i="14" s="1"/>
  <c r="H124" i="14" s="1"/>
  <c r="N129" i="40"/>
  <c r="M131" i="40"/>
  <c r="AC99" i="10" s="1"/>
  <c r="J380" i="34"/>
  <c r="J498" i="34" s="1"/>
  <c r="J556" i="34"/>
  <c r="F208" i="14"/>
  <c r="E221" i="14"/>
  <c r="G193" i="14"/>
  <c r="H88" i="14" s="1"/>
  <c r="D100" i="10"/>
  <c r="H414" i="7"/>
  <c r="I414" i="7" s="1"/>
  <c r="H408" i="7"/>
  <c r="I408" i="7" s="1"/>
  <c r="J187" i="7"/>
  <c r="H576" i="7"/>
  <c r="I576" i="7" s="1"/>
  <c r="H149" i="7"/>
  <c r="I149" i="7" s="1"/>
  <c r="K975" i="7"/>
  <c r="L975" i="7" s="1"/>
  <c r="M975" i="7" s="1"/>
  <c r="J558" i="7"/>
  <c r="K558" i="7" s="1"/>
  <c r="L558" i="7" s="1"/>
  <c r="M558" i="7" s="1"/>
  <c r="K613" i="7"/>
  <c r="L613" i="7" s="1"/>
  <c r="M613" i="7" s="1"/>
  <c r="K983" i="7"/>
  <c r="L983" i="7" s="1"/>
  <c r="M983" i="7" s="1"/>
  <c r="J569" i="7"/>
  <c r="K569" i="7" s="1"/>
  <c r="L569" i="7" s="1"/>
  <c r="M569" i="7" s="1"/>
  <c r="K970" i="7"/>
  <c r="L970" i="7" s="1"/>
  <c r="M970" i="7" s="1"/>
  <c r="J915" i="7"/>
  <c r="K915" i="7" s="1"/>
  <c r="L915" i="7" s="1"/>
  <c r="M915" i="7" s="1"/>
  <c r="K978" i="7"/>
  <c r="L978" i="7" s="1"/>
  <c r="M978" i="7" s="1"/>
  <c r="K982" i="7"/>
  <c r="L982" i="7" s="1"/>
  <c r="M982" i="7" s="1"/>
  <c r="K981" i="7"/>
  <c r="L981" i="7" s="1"/>
  <c r="M981" i="7" s="1"/>
  <c r="K930" i="7"/>
  <c r="L930" i="7" s="1"/>
  <c r="M930" i="7" s="1"/>
  <c r="J926" i="7"/>
  <c r="J917" i="7"/>
  <c r="K917" i="7" s="1"/>
  <c r="L917" i="7" s="1"/>
  <c r="M917" i="7" s="1"/>
  <c r="K845" i="7"/>
  <c r="L845" i="7" s="1"/>
  <c r="M845" i="7" s="1"/>
  <c r="B1153" i="7"/>
  <c r="A5" i="3" s="1"/>
  <c r="H123" i="13"/>
  <c r="J553" i="7"/>
  <c r="H1155" i="7"/>
  <c r="K610" i="7"/>
  <c r="L610" i="7" s="1"/>
  <c r="M610" i="7" s="1"/>
  <c r="H423" i="7"/>
  <c r="I423" i="7" s="1"/>
  <c r="H360" i="7"/>
  <c r="I360" i="7" s="1"/>
  <c r="J874" i="7"/>
  <c r="J918" i="7"/>
  <c r="K918" i="7" s="1"/>
  <c r="L918" i="7" s="1"/>
  <c r="M918" i="7" s="1"/>
  <c r="J916" i="7"/>
  <c r="K916" i="7" s="1"/>
  <c r="L916" i="7" s="1"/>
  <c r="M916" i="7" s="1"/>
  <c r="K974" i="7"/>
  <c r="L974" i="7" s="1"/>
  <c r="M974" i="7" s="1"/>
  <c r="J566" i="7"/>
  <c r="K566" i="7" s="1"/>
  <c r="L566" i="7" s="1"/>
  <c r="M566" i="7" s="1"/>
  <c r="K984" i="7"/>
  <c r="L984" i="7" s="1"/>
  <c r="M984" i="7" s="1"/>
  <c r="J879" i="7"/>
  <c r="K929" i="7"/>
  <c r="L929" i="7" s="1"/>
  <c r="M929" i="7" s="1"/>
  <c r="J877" i="7"/>
  <c r="K877" i="7" s="1"/>
  <c r="L877" i="7" s="1"/>
  <c r="M877" i="7" s="1"/>
  <c r="J923" i="7"/>
  <c r="K923" i="7" s="1"/>
  <c r="L923" i="7" s="1"/>
  <c r="M923" i="7" s="1"/>
  <c r="J911" i="7"/>
  <c r="K911" i="7" s="1"/>
  <c r="J264" i="7"/>
  <c r="J565" i="7"/>
  <c r="K565" i="7" s="1"/>
  <c r="L565" i="7" s="1"/>
  <c r="M565" i="7" s="1"/>
  <c r="K971" i="7"/>
  <c r="L971" i="7" s="1"/>
  <c r="M971" i="7" s="1"/>
  <c r="J561" i="7"/>
  <c r="K561" i="7" s="1"/>
  <c r="L561" i="7" s="1"/>
  <c r="M561" i="7" s="1"/>
  <c r="N561" i="7" s="1"/>
  <c r="O561" i="7" s="1"/>
  <c r="P561" i="7" s="1"/>
  <c r="Q561" i="7" s="1"/>
  <c r="R561" i="7" s="1"/>
  <c r="S561" i="7" s="1"/>
  <c r="K853" i="7"/>
  <c r="L853" i="7" s="1"/>
  <c r="M853" i="7" s="1"/>
  <c r="N853" i="7" s="1"/>
  <c r="O853" i="7" s="1"/>
  <c r="P853" i="7" s="1"/>
  <c r="Q853" i="7" s="1"/>
  <c r="R853" i="7" s="1"/>
  <c r="S853" i="7" s="1"/>
  <c r="J336" i="7"/>
  <c r="K931" i="7"/>
  <c r="L931" i="7" s="1"/>
  <c r="M931" i="7" s="1"/>
  <c r="J571" i="7"/>
  <c r="K571" i="7" s="1"/>
  <c r="L571" i="7" s="1"/>
  <c r="M571" i="7" s="1"/>
  <c r="K973" i="7"/>
  <c r="L973" i="7" s="1"/>
  <c r="M973" i="7" s="1"/>
  <c r="J922" i="7"/>
  <c r="K922" i="7" s="1"/>
  <c r="L922" i="7" s="1"/>
  <c r="M922" i="7" s="1"/>
  <c r="J921" i="7"/>
  <c r="K921" i="7" s="1"/>
  <c r="K838" i="7"/>
  <c r="L838" i="7" s="1"/>
  <c r="M838" i="7" s="1"/>
  <c r="J557" i="7"/>
  <c r="K557" i="7" s="1"/>
  <c r="K986" i="7"/>
  <c r="L986" i="7" s="1"/>
  <c r="M986" i="7" s="1"/>
  <c r="K927" i="7"/>
  <c r="L927" i="7" s="1"/>
  <c r="M927" i="7" s="1"/>
  <c r="K976" i="7"/>
  <c r="L976" i="7" s="1"/>
  <c r="M976" i="7" s="1"/>
  <c r="J920" i="7"/>
  <c r="K920" i="7" s="1"/>
  <c r="L920" i="7" s="1"/>
  <c r="M920" i="7" s="1"/>
  <c r="K606" i="7"/>
  <c r="L606" i="7" s="1"/>
  <c r="M606" i="7" s="1"/>
  <c r="J1073" i="7"/>
  <c r="J407" i="7" s="1"/>
  <c r="J408" i="7" s="1"/>
  <c r="J355" i="7"/>
  <c r="H361" i="7"/>
  <c r="Z32" i="42"/>
  <c r="K32" i="42" s="1"/>
  <c r="K623" i="7"/>
  <c r="L623" i="7" s="1"/>
  <c r="M623" i="7" s="1"/>
  <c r="N623" i="7" s="1"/>
  <c r="O623" i="7" s="1"/>
  <c r="P623" i="7" s="1"/>
  <c r="Q623" i="7" s="1"/>
  <c r="R623" i="7" s="1"/>
  <c r="S623" i="7" s="1"/>
  <c r="K609" i="7"/>
  <c r="L609" i="7" s="1"/>
  <c r="M609" i="7" s="1"/>
  <c r="H233" i="7"/>
  <c r="K611" i="7"/>
  <c r="L611" i="7" s="1"/>
  <c r="M611" i="7" s="1"/>
  <c r="N611" i="7" s="1"/>
  <c r="J883" i="7"/>
  <c r="K883" i="7" s="1"/>
  <c r="L883" i="7" s="1"/>
  <c r="M883" i="7" s="1"/>
  <c r="H418" i="7"/>
  <c r="I418" i="7" s="1"/>
  <c r="J894" i="7"/>
  <c r="K894" i="7" s="1"/>
  <c r="L894" i="7" s="1"/>
  <c r="M894" i="7" s="1"/>
  <c r="H1157" i="7"/>
  <c r="J907" i="7"/>
  <c r="K907" i="7" s="1"/>
  <c r="L907" i="7" s="1"/>
  <c r="M907" i="7" s="1"/>
  <c r="J563" i="7"/>
  <c r="K563" i="7" s="1"/>
  <c r="K985" i="7"/>
  <c r="L985" i="7" s="1"/>
  <c r="M985" i="7" s="1"/>
  <c r="J895" i="7"/>
  <c r="K895" i="7" s="1"/>
  <c r="J913" i="7"/>
  <c r="J564" i="7"/>
  <c r="K564" i="7" s="1"/>
  <c r="L564" i="7" s="1"/>
  <c r="M564" i="7" s="1"/>
  <c r="K972" i="7"/>
  <c r="L972" i="7" s="1"/>
  <c r="M972" i="7" s="1"/>
  <c r="H263" i="7"/>
  <c r="I263" i="7" s="1"/>
  <c r="J570" i="7"/>
  <c r="K570" i="7" s="1"/>
  <c r="K980" i="7"/>
  <c r="L980" i="7" s="1"/>
  <c r="M980" i="7" s="1"/>
  <c r="K977" i="7"/>
  <c r="L977" i="7" s="1"/>
  <c r="M977" i="7" s="1"/>
  <c r="J914" i="7"/>
  <c r="K914" i="7" s="1"/>
  <c r="L914" i="7" s="1"/>
  <c r="M914" i="7" s="1"/>
  <c r="K928" i="7"/>
  <c r="L928" i="7" s="1"/>
  <c r="M928" i="7" s="1"/>
  <c r="K979" i="7"/>
  <c r="L979" i="7" s="1"/>
  <c r="M979" i="7" s="1"/>
  <c r="D152" i="7"/>
  <c r="D370" i="7"/>
  <c r="K27" i="48"/>
  <c r="D25" i="48" s="1"/>
  <c r="J552" i="7"/>
  <c r="D153" i="42"/>
  <c r="K493" i="34"/>
  <c r="K82" i="15"/>
  <c r="AK19" i="42"/>
  <c r="D552" i="34"/>
  <c r="D561" i="34" s="1"/>
  <c r="D254" i="34" s="1"/>
  <c r="D205" i="34"/>
  <c r="AJ7" i="42"/>
  <c r="J363" i="8"/>
  <c r="H46" i="8"/>
  <c r="I46" i="8" s="1"/>
  <c r="G25" i="16"/>
  <c r="G10" i="16" s="1"/>
  <c r="G27" i="16"/>
  <c r="G12" i="16" s="1"/>
  <c r="F247" i="15" s="1"/>
  <c r="G247" i="15" s="1"/>
  <c r="H120" i="8"/>
  <c r="I120" i="8" s="1"/>
  <c r="J437" i="8"/>
  <c r="K437" i="8" s="1"/>
  <c r="L437" i="8" s="1"/>
  <c r="M437" i="8" s="1"/>
  <c r="J436" i="8"/>
  <c r="K436" i="8" s="1"/>
  <c r="L436" i="8" s="1"/>
  <c r="M436" i="8" s="1"/>
  <c r="J210" i="8"/>
  <c r="K210" i="8" s="1"/>
  <c r="L210" i="8" s="1"/>
  <c r="M210" i="8" s="1"/>
  <c r="J433" i="8"/>
  <c r="K433" i="8" s="1"/>
  <c r="L433" i="8" s="1"/>
  <c r="M433" i="8" s="1"/>
  <c r="J211" i="8"/>
  <c r="K211" i="8" s="1"/>
  <c r="L211" i="8" s="1"/>
  <c r="M211" i="8" s="1"/>
  <c r="AJ45" i="42"/>
  <c r="F256" i="15"/>
  <c r="G256" i="15" s="1"/>
  <c r="AP44" i="42"/>
  <c r="C256" i="15"/>
  <c r="AH45" i="42"/>
  <c r="AF20" i="42"/>
  <c r="A245" i="15"/>
  <c r="A267" i="15" s="1"/>
  <c r="A105" i="16"/>
  <c r="AJ22" i="42"/>
  <c r="J118" i="8"/>
  <c r="AG45" i="42"/>
  <c r="B105" i="16"/>
  <c r="B245" i="15"/>
  <c r="B267" i="15" s="1"/>
  <c r="AY8" i="42"/>
  <c r="F102" i="15" s="1"/>
  <c r="G102" i="15" s="1"/>
  <c r="J429" i="8"/>
  <c r="J250" i="8"/>
  <c r="J173" i="8"/>
  <c r="J251" i="8"/>
  <c r="K251" i="8" s="1"/>
  <c r="L251" i="8" s="1"/>
  <c r="M251" i="8" s="1"/>
  <c r="J208" i="8"/>
  <c r="K208" i="8" s="1"/>
  <c r="L208" i="8" s="1"/>
  <c r="M208" i="8" s="1"/>
  <c r="C317" i="15"/>
  <c r="H149" i="8"/>
  <c r="I149" i="8" s="1"/>
  <c r="H48" i="8"/>
  <c r="I48" i="8" s="1"/>
  <c r="J440" i="8"/>
  <c r="P558" i="34"/>
  <c r="P492" i="34"/>
  <c r="M30" i="3"/>
  <c r="J376" i="8"/>
  <c r="K376" i="8" s="1"/>
  <c r="L376" i="8" s="1"/>
  <c r="M376" i="8" s="1"/>
  <c r="J385" i="8"/>
  <c r="J390" i="8"/>
  <c r="J454" i="8"/>
  <c r="J456" i="8"/>
  <c r="K456" i="8" s="1"/>
  <c r="L456" i="8" s="1"/>
  <c r="M456" i="8" s="1"/>
  <c r="J499" i="8"/>
  <c r="I30" i="3"/>
  <c r="C30" i="3"/>
  <c r="F114" i="1"/>
  <c r="F117" i="1" s="1"/>
  <c r="F119" i="1" s="1"/>
  <c r="J515" i="8"/>
  <c r="K515" i="8" s="1"/>
  <c r="L515" i="8" s="1"/>
  <c r="M515" i="8" s="1"/>
  <c r="G25" i="17"/>
  <c r="G10" i="17" s="1"/>
  <c r="G30" i="3"/>
  <c r="K30" i="3"/>
  <c r="J375" i="8"/>
  <c r="J377" i="8"/>
  <c r="K377" i="8" s="1"/>
  <c r="L377" i="8" s="1"/>
  <c r="M377" i="8" s="1"/>
  <c r="H138" i="8"/>
  <c r="I138" i="8" s="1"/>
  <c r="J508" i="8"/>
  <c r="K508" i="8" s="1"/>
  <c r="L508" i="8" s="1"/>
  <c r="M508" i="8" s="1"/>
  <c r="J514" i="8"/>
  <c r="J516" i="8"/>
  <c r="K516" i="8" s="1"/>
  <c r="L516" i="8" s="1"/>
  <c r="M516" i="8" s="1"/>
  <c r="J356" i="8"/>
  <c r="J357" i="8"/>
  <c r="K357" i="8" s="1"/>
  <c r="L357" i="8" s="1"/>
  <c r="M357" i="8" s="1"/>
  <c r="N357" i="8" s="1"/>
  <c r="O357" i="8" s="1"/>
  <c r="P357" i="8" s="1"/>
  <c r="Q357" i="8" s="1"/>
  <c r="R357" i="8" s="1"/>
  <c r="S357" i="8" s="1"/>
  <c r="A650" i="4"/>
  <c r="A652" i="4" s="1"/>
  <c r="A659" i="4" s="1"/>
  <c r="C650" i="4"/>
  <c r="C652" i="4" s="1"/>
  <c r="C659" i="4" s="1"/>
  <c r="DB138" i="9"/>
  <c r="AD17" i="9"/>
  <c r="H774" i="4" s="1"/>
  <c r="H255" i="4" s="1"/>
  <c r="H43" i="4" s="1"/>
  <c r="DA138" i="9"/>
  <c r="CZ138" i="9"/>
  <c r="I30" i="9"/>
  <c r="K716" i="7" s="1"/>
  <c r="K249" i="7" s="1"/>
  <c r="CV97" i="9"/>
  <c r="AA382" i="9"/>
  <c r="AA392" i="9" s="1"/>
  <c r="R411" i="9"/>
  <c r="CT124" i="9"/>
  <c r="D744" i="6"/>
  <c r="CG125" i="9"/>
  <c r="CH125" i="9" s="1"/>
  <c r="CI125" i="9" s="1"/>
  <c r="CZ98" i="9"/>
  <c r="CW97" i="9"/>
  <c r="AF125" i="9"/>
  <c r="CT44" i="9"/>
  <c r="F3" i="21"/>
  <c r="F77" i="21" s="1"/>
  <c r="CT183" i="9"/>
  <c r="J949" i="6"/>
  <c r="J178" i="6" s="1"/>
  <c r="O29" i="37"/>
  <c r="AP193" i="9"/>
  <c r="CT165" i="9"/>
  <c r="L170" i="10"/>
  <c r="M170" i="10" s="1"/>
  <c r="CT163" i="9"/>
  <c r="G132" i="13"/>
  <c r="CG32" i="9"/>
  <c r="CH32" i="9" s="1"/>
  <c r="CI32" i="9" s="1"/>
  <c r="CW32" i="9" s="1"/>
  <c r="DC98" i="9"/>
  <c r="AF217" i="9"/>
  <c r="DA98" i="9"/>
  <c r="G165" i="40"/>
  <c r="H205" i="3" s="1"/>
  <c r="DB98" i="9"/>
  <c r="AI130" i="9"/>
  <c r="AK130" i="9" s="1"/>
  <c r="BE217" i="9"/>
  <c r="X257" i="10"/>
  <c r="N2044" i="6" s="1"/>
  <c r="N742" i="6" s="1"/>
  <c r="AG87" i="9"/>
  <c r="AG173" i="9" s="1"/>
  <c r="H41" i="45"/>
  <c r="R241" i="10"/>
  <c r="L1651" i="6" s="1"/>
  <c r="L519" i="6" s="1"/>
  <c r="AU203" i="9"/>
  <c r="AK3" i="9"/>
  <c r="BJ121" i="9"/>
  <c r="F75" i="9"/>
  <c r="CH62" i="9"/>
  <c r="CU62" i="9"/>
  <c r="J1152" i="6"/>
  <c r="J352" i="6" s="1"/>
  <c r="AK150" i="9"/>
  <c r="O241" i="10"/>
  <c r="K1651" i="6" s="1"/>
  <c r="K519" i="6" s="1"/>
  <c r="AP203" i="9"/>
  <c r="CT14" i="9"/>
  <c r="CG14" i="9"/>
  <c r="CH14" i="9" s="1"/>
  <c r="CV14" i="9" s="1"/>
  <c r="CH70" i="9"/>
  <c r="CU70" i="9"/>
  <c r="CS118" i="9"/>
  <c r="E143" i="9"/>
  <c r="D1082" i="6" s="1"/>
  <c r="D289" i="6" s="1"/>
  <c r="G39" i="45"/>
  <c r="G45" i="45" s="1"/>
  <c r="E225" i="9"/>
  <c r="U499" i="9"/>
  <c r="V482" i="9"/>
  <c r="V498" i="9" s="1"/>
  <c r="AY3" i="9"/>
  <c r="AO88" i="9"/>
  <c r="AO174" i="9" s="1"/>
  <c r="L1118" i="7"/>
  <c r="L433" i="7" s="1"/>
  <c r="CT94" i="9"/>
  <c r="AZ203" i="9"/>
  <c r="U241" i="10"/>
  <c r="M1651" i="6" s="1"/>
  <c r="M519" i="6" s="1"/>
  <c r="AC3" i="9"/>
  <c r="X88" i="9"/>
  <c r="X174" i="9" s="1"/>
  <c r="E287" i="9"/>
  <c r="E288" i="9" s="1"/>
  <c r="V275" i="9"/>
  <c r="CG106" i="9"/>
  <c r="CT106" i="9"/>
  <c r="CV60" i="9"/>
  <c r="CI60" i="9"/>
  <c r="CU83" i="9"/>
  <c r="CG180" i="9"/>
  <c r="CH180" i="9" s="1"/>
  <c r="CT180" i="9"/>
  <c r="L46" i="58"/>
  <c r="L44" i="58" s="1"/>
  <c r="AT3" i="9"/>
  <c r="BR66" i="9"/>
  <c r="CT120" i="9"/>
  <c r="CG120" i="9"/>
  <c r="CH120" i="9" s="1"/>
  <c r="CI120" i="9" s="1"/>
  <c r="E468" i="9"/>
  <c r="E469" i="9" s="1"/>
  <c r="V417" i="9"/>
  <c r="F468" i="9"/>
  <c r="I146" i="9"/>
  <c r="K1153" i="6" s="1"/>
  <c r="K353" i="6" s="1"/>
  <c r="I181" i="14"/>
  <c r="CU146" i="9"/>
  <c r="Z468" i="9"/>
  <c r="Z469" i="9" s="1"/>
  <c r="V149" i="9"/>
  <c r="U425" i="9"/>
  <c r="AA493" i="9"/>
  <c r="AA498" i="9" s="1"/>
  <c r="U295" i="9"/>
  <c r="CT17" i="9"/>
  <c r="H1153" i="6"/>
  <c r="CH40" i="9"/>
  <c r="CI40" i="9" s="1"/>
  <c r="CJ40" i="9" s="1"/>
  <c r="Z64" i="9"/>
  <c r="CT209" i="9"/>
  <c r="CG209" i="9"/>
  <c r="CH209" i="9" s="1"/>
  <c r="CI209" i="9" s="1"/>
  <c r="H371" i="7"/>
  <c r="I371" i="7" s="1"/>
  <c r="V215" i="9"/>
  <c r="I40" i="45"/>
  <c r="CG183" i="9"/>
  <c r="CH183" i="9" s="1"/>
  <c r="CI183" i="9" s="1"/>
  <c r="D1653" i="6"/>
  <c r="D521" i="6" s="1"/>
  <c r="U203" i="9"/>
  <c r="V203" i="9" s="1"/>
  <c r="CS203" i="9"/>
  <c r="V399" i="9"/>
  <c r="V410" i="9" s="1"/>
  <c r="U410" i="9"/>
  <c r="U411" i="9" s="1"/>
  <c r="CU197" i="9"/>
  <c r="CH197" i="9"/>
  <c r="AB87" i="9"/>
  <c r="AB173" i="9" s="1"/>
  <c r="D1382" i="6"/>
  <c r="D464" i="6" s="1"/>
  <c r="AF203" i="9"/>
  <c r="CV59" i="9"/>
  <c r="CI59" i="9"/>
  <c r="CJ59" i="9" s="1"/>
  <c r="CX59" i="9" s="1"/>
  <c r="CV169" i="9"/>
  <c r="F287" i="9"/>
  <c r="F288" i="9" s="1"/>
  <c r="CG10" i="9"/>
  <c r="CT10" i="9"/>
  <c r="F410" i="9"/>
  <c r="F411" i="9" s="1"/>
  <c r="AA401" i="9"/>
  <c r="AA410" i="9" s="1"/>
  <c r="BK66" i="9"/>
  <c r="P1118" i="7"/>
  <c r="P433" i="7" s="1"/>
  <c r="CH132" i="9"/>
  <c r="CV132" i="9" s="1"/>
  <c r="CU132" i="9"/>
  <c r="CT148" i="9"/>
  <c r="CG148" i="9"/>
  <c r="B179" i="42"/>
  <c r="E179" i="42" s="1"/>
  <c r="V49" i="9"/>
  <c r="CS49" i="9"/>
  <c r="G220" i="10"/>
  <c r="CG63" i="9"/>
  <c r="CT63" i="9"/>
  <c r="CV94" i="9"/>
  <c r="CI94" i="9"/>
  <c r="CU181" i="9"/>
  <c r="CH181" i="9"/>
  <c r="CI181" i="9" s="1"/>
  <c r="AZ137" i="9"/>
  <c r="CU96" i="9"/>
  <c r="CH96" i="9"/>
  <c r="D952" i="7"/>
  <c r="D371" i="7" s="1"/>
  <c r="D52" i="7" s="1"/>
  <c r="C67" i="3" s="1"/>
  <c r="CH107" i="9"/>
  <c r="CV107" i="9" s="1"/>
  <c r="CU107" i="9"/>
  <c r="E499" i="9"/>
  <c r="CV30" i="9"/>
  <c r="AF146" i="9"/>
  <c r="N67" i="37" s="1"/>
  <c r="N76" i="37" s="1"/>
  <c r="CG141" i="9"/>
  <c r="CH141" i="9" s="1"/>
  <c r="CT141" i="9"/>
  <c r="D178" i="6"/>
  <c r="E339" i="9"/>
  <c r="CT103" i="9"/>
  <c r="CG103" i="9"/>
  <c r="CG104" i="9"/>
  <c r="CT104" i="9"/>
  <c r="CG11" i="9"/>
  <c r="CT11" i="9"/>
  <c r="CI164" i="9"/>
  <c r="CV164" i="9"/>
  <c r="CT162" i="9"/>
  <c r="G185" i="10"/>
  <c r="F108" i="11" s="1"/>
  <c r="G108" i="11" s="1"/>
  <c r="H108" i="11" s="1"/>
  <c r="J108" i="11" s="1"/>
  <c r="K108" i="11" s="1"/>
  <c r="M108" i="11" s="1"/>
  <c r="N108" i="11" s="1"/>
  <c r="P108" i="11" s="1"/>
  <c r="Q108" i="11" s="1"/>
  <c r="S108" i="11" s="1"/>
  <c r="T108" i="11" s="1"/>
  <c r="Z128" i="9"/>
  <c r="AA128" i="9" s="1"/>
  <c r="CT128" i="9"/>
  <c r="N27" i="37"/>
  <c r="AS136" i="9"/>
  <c r="I159" i="40" s="1"/>
  <c r="BE203" i="9"/>
  <c r="CU30" i="9"/>
  <c r="CH127" i="9"/>
  <c r="CI127" i="9" s="1"/>
  <c r="CU127" i="9"/>
  <c r="CU49" i="9"/>
  <c r="CH49" i="9"/>
  <c r="CI49" i="9" s="1"/>
  <c r="CJ49" i="9" s="1"/>
  <c r="CT70" i="9"/>
  <c r="CU159" i="9"/>
  <c r="CH159" i="9"/>
  <c r="V510" i="9"/>
  <c r="V511" i="9" s="1"/>
  <c r="Y393" i="9"/>
  <c r="AA414" i="9"/>
  <c r="CJ105" i="9"/>
  <c r="AA442" i="9"/>
  <c r="Z522" i="9"/>
  <c r="CT46" i="9"/>
  <c r="AT143" i="9"/>
  <c r="V419" i="9"/>
  <c r="AO143" i="9"/>
  <c r="V150" i="9"/>
  <c r="AB143" i="9"/>
  <c r="H1081" i="6" s="1"/>
  <c r="I1081" i="6" s="1"/>
  <c r="CT79" i="9"/>
  <c r="AS134" i="9"/>
  <c r="I157" i="40" s="1"/>
  <c r="U64" i="9"/>
  <c r="U66" i="9" s="1"/>
  <c r="V60" i="9"/>
  <c r="V64" i="9" s="1"/>
  <c r="CH149" i="9"/>
  <c r="CU149" i="9"/>
  <c r="CU165" i="9"/>
  <c r="CH165" i="9"/>
  <c r="CI165" i="9" s="1"/>
  <c r="CW165" i="9" s="1"/>
  <c r="CH166" i="9"/>
  <c r="CU166" i="9"/>
  <c r="CH194" i="9"/>
  <c r="CU194" i="9"/>
  <c r="CH137" i="9"/>
  <c r="CU137" i="9"/>
  <c r="CU44" i="9"/>
  <c r="CH44" i="9"/>
  <c r="AF119" i="9"/>
  <c r="AT62" i="9"/>
  <c r="AU62" i="9" s="1"/>
  <c r="AU64" i="9" s="1"/>
  <c r="CT217" i="9"/>
  <c r="AG75" i="9"/>
  <c r="CT149" i="9"/>
  <c r="D463" i="6"/>
  <c r="CT130" i="9"/>
  <c r="CT166" i="9"/>
  <c r="G251" i="10"/>
  <c r="CT195" i="9"/>
  <c r="M253" i="10"/>
  <c r="L156" i="11" s="1"/>
  <c r="AK151" i="9"/>
  <c r="M744" i="6"/>
  <c r="AK217" i="9"/>
  <c r="AB75" i="9"/>
  <c r="CT213" i="9"/>
  <c r="D1152" i="6"/>
  <c r="CT194" i="9"/>
  <c r="CG22" i="9"/>
  <c r="CG160" i="9"/>
  <c r="CH160" i="9" s="1"/>
  <c r="CV160" i="9" s="1"/>
  <c r="V162" i="9"/>
  <c r="H1152" i="6"/>
  <c r="I1152" i="6" s="1"/>
  <c r="Q42" i="1"/>
  <c r="AO62" i="9"/>
  <c r="AP62" i="9" s="1"/>
  <c r="CT179" i="9"/>
  <c r="DC97" i="9"/>
  <c r="CG211" i="9"/>
  <c r="CU211" i="9" s="1"/>
  <c r="J184" i="10"/>
  <c r="I107" i="11" s="1"/>
  <c r="AP118" i="9"/>
  <c r="AK115" i="9"/>
  <c r="H524" i="5"/>
  <c r="I524" i="5" s="1"/>
  <c r="R25" i="9"/>
  <c r="L397" i="5"/>
  <c r="L162" i="5" s="1"/>
  <c r="L40" i="5" s="1"/>
  <c r="J60" i="3" s="1"/>
  <c r="AP70" i="9"/>
  <c r="AP75" i="9" s="1"/>
  <c r="R468" i="9"/>
  <c r="R469" i="9" s="1"/>
  <c r="CH133" i="9"/>
  <c r="CI133" i="9" s="1"/>
  <c r="CU133" i="9"/>
  <c r="AU115" i="9"/>
  <c r="J151" i="9"/>
  <c r="AP151" i="9"/>
  <c r="H1017" i="6"/>
  <c r="I1017" i="6" s="1"/>
  <c r="CT147" i="9"/>
  <c r="J82" i="9"/>
  <c r="J193" i="9"/>
  <c r="I181" i="9"/>
  <c r="H179" i="9"/>
  <c r="CF3" i="9"/>
  <c r="CT3" i="9" s="1"/>
  <c r="AU70" i="9"/>
  <c r="AU75" i="9" s="1"/>
  <c r="AF123" i="9"/>
  <c r="AP121" i="9"/>
  <c r="CG151" i="9"/>
  <c r="CH151" i="9" s="1"/>
  <c r="CT43" i="9"/>
  <c r="CG212" i="9"/>
  <c r="CH212" i="9" s="1"/>
  <c r="CT215" i="9"/>
  <c r="P86" i="10"/>
  <c r="J1017" i="6"/>
  <c r="J232" i="6" s="1"/>
  <c r="CG45" i="9"/>
  <c r="CU45" i="9" s="1"/>
  <c r="AG143" i="9"/>
  <c r="S86" i="10"/>
  <c r="CX139" i="9"/>
  <c r="I168" i="45"/>
  <c r="V70" i="9"/>
  <c r="V75" i="9" s="1"/>
  <c r="K78" i="12"/>
  <c r="AL143" i="9"/>
  <c r="K1081" i="6" s="1"/>
  <c r="K288" i="6" s="1"/>
  <c r="CH215" i="9"/>
  <c r="CT42" i="9"/>
  <c r="AD170" i="10"/>
  <c r="P947" i="6" s="1"/>
  <c r="P176" i="6" s="1"/>
  <c r="CG46" i="9"/>
  <c r="K744" i="6"/>
  <c r="AP115" i="9"/>
  <c r="CT133" i="9"/>
  <c r="R75" i="9"/>
  <c r="V118" i="9"/>
  <c r="AF179" i="9"/>
  <c r="AF113" i="9"/>
  <c r="AM75" i="9"/>
  <c r="DC8" i="9"/>
  <c r="AO185" i="9"/>
  <c r="CT214" i="9"/>
  <c r="CG167" i="9"/>
  <c r="AG170" i="10"/>
  <c r="CU195" i="9"/>
  <c r="I126" i="9"/>
  <c r="AA522" i="9"/>
  <c r="Y100" i="10"/>
  <c r="O1118" i="7"/>
  <c r="O433" i="7" s="1"/>
  <c r="V146" i="9"/>
  <c r="R744" i="6"/>
  <c r="R170" i="10"/>
  <c r="L947" i="6" s="1"/>
  <c r="L176" i="6" s="1"/>
  <c r="AT97" i="9"/>
  <c r="AU97" i="9" s="1"/>
  <c r="K46" i="58"/>
  <c r="K44" i="58" s="1"/>
  <c r="N744" i="6"/>
  <c r="I110" i="9"/>
  <c r="AF121" i="9"/>
  <c r="AE143" i="9"/>
  <c r="R143" i="9"/>
  <c r="V120" i="9"/>
  <c r="D175" i="14"/>
  <c r="D195" i="14" s="1"/>
  <c r="F165" i="40"/>
  <c r="G205" i="3" s="1"/>
  <c r="AH133" i="9"/>
  <c r="H69" i="12" s="1"/>
  <c r="CU118" i="9"/>
  <c r="CG36" i="9"/>
  <c r="CH36" i="9" s="1"/>
  <c r="CT36" i="9"/>
  <c r="G174" i="10"/>
  <c r="F102" i="11" s="1"/>
  <c r="CG135" i="9"/>
  <c r="CT135" i="9"/>
  <c r="AK110" i="9"/>
  <c r="AP120" i="9"/>
  <c r="AK139" i="9"/>
  <c r="CV139" i="9"/>
  <c r="AE209" i="9"/>
  <c r="AF209" i="9" s="1"/>
  <c r="J75" i="12"/>
  <c r="J78" i="12" s="1"/>
  <c r="L1080" i="6" s="1"/>
  <c r="L287" i="6" s="1"/>
  <c r="CH43" i="9"/>
  <c r="CV43" i="9" s="1"/>
  <c r="CU43" i="9"/>
  <c r="CU130" i="9"/>
  <c r="CH130" i="9"/>
  <c r="AA324" i="9"/>
  <c r="F339" i="9"/>
  <c r="Y25" i="9"/>
  <c r="BO107" i="9"/>
  <c r="CG31" i="9"/>
  <c r="CT31" i="9"/>
  <c r="CT139" i="9"/>
  <c r="CG134" i="9"/>
  <c r="CT134" i="9"/>
  <c r="R351" i="6"/>
  <c r="AT183" i="9"/>
  <c r="AP99" i="9"/>
  <c r="P86" i="37"/>
  <c r="J99" i="9"/>
  <c r="AZ138" i="9"/>
  <c r="CY138" i="9"/>
  <c r="BT183" i="9"/>
  <c r="CH214" i="9"/>
  <c r="CU214" i="9"/>
  <c r="CH163" i="9"/>
  <c r="CU163" i="9"/>
  <c r="BX97" i="9"/>
  <c r="BY97" i="9" s="1"/>
  <c r="AJ170" i="10"/>
  <c r="AK118" i="9"/>
  <c r="J1009" i="7"/>
  <c r="J371" i="7" s="1"/>
  <c r="AJ55" i="9"/>
  <c r="AK55" i="9" s="1"/>
  <c r="CV55" i="9"/>
  <c r="AJ64" i="9"/>
  <c r="AH75" i="9"/>
  <c r="AK70" i="9"/>
  <c r="AK75" i="9" s="1"/>
  <c r="BN121" i="9"/>
  <c r="CI195" i="9"/>
  <c r="CV195" i="9"/>
  <c r="I141" i="9"/>
  <c r="K41" i="45" s="1"/>
  <c r="J41" i="45"/>
  <c r="AK141" i="9"/>
  <c r="O8" i="37" s="1"/>
  <c r="AS135" i="9"/>
  <c r="CG41" i="9"/>
  <c r="CT41" i="9"/>
  <c r="U170" i="10"/>
  <c r="M947" i="6" s="1"/>
  <c r="M176" i="6" s="1"/>
  <c r="CY97" i="9"/>
  <c r="J171" i="10"/>
  <c r="CP9" i="9"/>
  <c r="DC9" i="9"/>
  <c r="CG136" i="9"/>
  <c r="CT136" i="9"/>
  <c r="K397" i="5"/>
  <c r="K162" i="5" s="1"/>
  <c r="K523" i="5" s="1"/>
  <c r="AL75" i="9"/>
  <c r="X170" i="10"/>
  <c r="Y170" i="10" s="1"/>
  <c r="BD97" i="9"/>
  <c r="BE97" i="9" s="1"/>
  <c r="CZ97" i="9"/>
  <c r="CG37" i="9"/>
  <c r="CH37" i="9" s="1"/>
  <c r="CT37" i="9"/>
  <c r="I124" i="9"/>
  <c r="AF124" i="9"/>
  <c r="CT121" i="9"/>
  <c r="Z121" i="9"/>
  <c r="AA121" i="9" s="1"/>
  <c r="V163" i="9"/>
  <c r="D1214" i="6"/>
  <c r="Y64" i="9"/>
  <c r="Y66" i="9" s="1"/>
  <c r="CH42" i="9"/>
  <c r="CI42" i="9" s="1"/>
  <c r="CU42" i="9"/>
  <c r="CG182" i="9"/>
  <c r="CU182" i="9" s="1"/>
  <c r="CT182" i="9"/>
  <c r="I7" i="9"/>
  <c r="CV7" i="9"/>
  <c r="AK7" i="9"/>
  <c r="CH3" i="9"/>
  <c r="CV3" i="9" s="1"/>
  <c r="H88" i="9"/>
  <c r="H174" i="9" s="1"/>
  <c r="AE70" i="9"/>
  <c r="AC75" i="9"/>
  <c r="AF126" i="9"/>
  <c r="G33" i="10"/>
  <c r="F18" i="11" s="1"/>
  <c r="G18" i="11" s="1"/>
  <c r="H18" i="11" s="1"/>
  <c r="J18" i="11" s="1"/>
  <c r="K18" i="11" s="1"/>
  <c r="M18" i="11" s="1"/>
  <c r="N18" i="11" s="1"/>
  <c r="P18" i="11" s="1"/>
  <c r="Q18" i="11" s="1"/>
  <c r="S18" i="11" s="1"/>
  <c r="T18" i="11" s="1"/>
  <c r="V18" i="11" s="1"/>
  <c r="W18" i="11" s="1"/>
  <c r="Y18" i="11" s="1"/>
  <c r="Z18" i="11" s="1"/>
  <c r="AB18" i="11" s="1"/>
  <c r="AC18" i="11" s="1"/>
  <c r="AE18" i="11" s="1"/>
  <c r="AF18" i="11" s="1"/>
  <c r="AH18" i="11" s="1"/>
  <c r="AI18" i="11" s="1"/>
  <c r="AK18" i="11" s="1"/>
  <c r="AL18" i="11" s="1"/>
  <c r="AN18" i="11" s="1"/>
  <c r="BE183" i="9"/>
  <c r="AA287" i="9"/>
  <c r="AA288" i="9" s="1"/>
  <c r="G225" i="9"/>
  <c r="K42" i="1"/>
  <c r="F42" i="1"/>
  <c r="A321" i="5"/>
  <c r="A323" i="5" s="1"/>
  <c r="A333" i="5" s="1"/>
  <c r="B388" i="5"/>
  <c r="B390" i="5" s="1"/>
  <c r="B399" i="5" s="1"/>
  <c r="C64" i="5"/>
  <c r="C261" i="5"/>
  <c r="C263" i="5" s="1"/>
  <c r="C274" i="5" s="1"/>
  <c r="N148" i="48"/>
  <c r="N136" i="48"/>
  <c r="N158" i="48"/>
  <c r="N145" i="48"/>
  <c r="N147" i="48"/>
  <c r="A450" i="5"/>
  <c r="A452" i="5" s="1"/>
  <c r="A460" i="5" s="1"/>
  <c r="G6" i="3"/>
  <c r="H31" i="5"/>
  <c r="I31" i="5" s="1"/>
  <c r="F16" i="5"/>
  <c r="F25" i="5" s="1"/>
  <c r="K39" i="5"/>
  <c r="I46" i="3" s="1"/>
  <c r="C150" i="5"/>
  <c r="C507" i="5" s="1"/>
  <c r="K228" i="5"/>
  <c r="L228" i="5" s="1"/>
  <c r="M228" i="5" s="1"/>
  <c r="B450" i="5"/>
  <c r="B452" i="5" s="1"/>
  <c r="B460" i="5" s="1"/>
  <c r="P475" i="5"/>
  <c r="J53" i="5"/>
  <c r="N177" i="48"/>
  <c r="E45" i="60"/>
  <c r="H192" i="5"/>
  <c r="I192" i="5" s="1"/>
  <c r="C103" i="13"/>
  <c r="K434" i="5"/>
  <c r="L434" i="5" s="1"/>
  <c r="M434" i="5" s="1"/>
  <c r="F19" i="5"/>
  <c r="F28" i="5" s="1"/>
  <c r="C194" i="5"/>
  <c r="C19" i="5" s="1"/>
  <c r="A194" i="5"/>
  <c r="A508" i="5" s="1"/>
  <c r="R214" i="5"/>
  <c r="R3" i="8"/>
  <c r="R414" i="8" s="1"/>
  <c r="N185" i="48"/>
  <c r="D37" i="5"/>
  <c r="B62" i="5"/>
  <c r="B64" i="5" s="1"/>
  <c r="N194" i="48"/>
  <c r="H451" i="5"/>
  <c r="I451" i="5" s="1"/>
  <c r="H162" i="5"/>
  <c r="O523" i="5"/>
  <c r="B56" i="5"/>
  <c r="B7" i="5" s="1"/>
  <c r="A99" i="5"/>
  <c r="A506" i="5" s="1"/>
  <c r="R85" i="5"/>
  <c r="R1661" i="6"/>
  <c r="O524" i="5"/>
  <c r="P40" i="5"/>
  <c r="N60" i="3" s="1"/>
  <c r="N181" i="48"/>
  <c r="N179" i="48"/>
  <c r="B261" i="5"/>
  <c r="B263" i="5" s="1"/>
  <c r="B274" i="5" s="1"/>
  <c r="C450" i="5"/>
  <c r="C452" i="5" s="1"/>
  <c r="C460" i="5" s="1"/>
  <c r="P521" i="5"/>
  <c r="R119" i="5"/>
  <c r="R529" i="6"/>
  <c r="Q37" i="5"/>
  <c r="M40" i="5"/>
  <c r="K60" i="3" s="1"/>
  <c r="B520" i="5"/>
  <c r="A22" i="3" s="1"/>
  <c r="N183" i="48"/>
  <c r="R338" i="5"/>
  <c r="N192" i="48"/>
  <c r="B522" i="5"/>
  <c r="C99" i="5"/>
  <c r="C106" i="42" s="1"/>
  <c r="P1661" i="6"/>
  <c r="J523" i="5"/>
  <c r="A464" i="5"/>
  <c r="C66" i="5"/>
  <c r="C68" i="5" s="1"/>
  <c r="C79" i="5" s="1"/>
  <c r="D64" i="5"/>
  <c r="A518" i="5"/>
  <c r="B523" i="5"/>
  <c r="C38" i="5"/>
  <c r="B38" i="3" s="1"/>
  <c r="D96" i="5"/>
  <c r="N189" i="48"/>
  <c r="N187" i="48"/>
  <c r="H185" i="5"/>
  <c r="I185" i="5" s="1"/>
  <c r="B529" i="6"/>
  <c r="D448" i="5"/>
  <c r="H41" i="5"/>
  <c r="I41" i="5" s="1"/>
  <c r="D319" i="5"/>
  <c r="B38" i="5"/>
  <c r="A38" i="3" s="1"/>
  <c r="O40" i="5"/>
  <c r="M60" i="3" s="1"/>
  <c r="A521" i="5"/>
  <c r="B178" i="5"/>
  <c r="B180" i="5" s="1"/>
  <c r="D520" i="5"/>
  <c r="C22" i="3" s="1"/>
  <c r="J170" i="5"/>
  <c r="A279" i="5"/>
  <c r="D307" i="5"/>
  <c r="N182" i="48"/>
  <c r="N201" i="48"/>
  <c r="N203" i="48"/>
  <c r="J96" i="5"/>
  <c r="A475" i="5"/>
  <c r="D194" i="5"/>
  <c r="A201" i="42"/>
  <c r="B37" i="5"/>
  <c r="A119" i="5"/>
  <c r="N197" i="48"/>
  <c r="N199" i="48"/>
  <c r="K414" i="5"/>
  <c r="L414" i="5" s="1"/>
  <c r="A103" i="13"/>
  <c r="H138" i="5"/>
  <c r="I138" i="5" s="1"/>
  <c r="K223" i="5"/>
  <c r="L223" i="5" s="1"/>
  <c r="M223" i="5" s="1"/>
  <c r="A1661" i="6"/>
  <c r="B464" i="5"/>
  <c r="B404" i="5"/>
  <c r="A85" i="5"/>
  <c r="A41" i="5"/>
  <c r="A56" i="5"/>
  <c r="A7" i="5" s="1"/>
  <c r="Q524" i="5"/>
  <c r="A131" i="5"/>
  <c r="A9" i="5" s="1"/>
  <c r="A214" i="5"/>
  <c r="D89" i="5"/>
  <c r="E18" i="12"/>
  <c r="E3" i="12" s="1"/>
  <c r="N198" i="48"/>
  <c r="K61" i="5"/>
  <c r="J61" i="5"/>
  <c r="J185" i="5"/>
  <c r="A492" i="5"/>
  <c r="L37" i="5"/>
  <c r="A150" i="5"/>
  <c r="A507" i="5" s="1"/>
  <c r="A523" i="5"/>
  <c r="P38" i="5"/>
  <c r="N38" i="3" s="1"/>
  <c r="P520" i="5"/>
  <c r="N22" i="3" s="1"/>
  <c r="P523" i="5"/>
  <c r="K368" i="5"/>
  <c r="J137" i="5"/>
  <c r="L185" i="5"/>
  <c r="M423" i="5"/>
  <c r="K219" i="5"/>
  <c r="K413" i="5"/>
  <c r="J176" i="5"/>
  <c r="B108" i="42"/>
  <c r="C499" i="5"/>
  <c r="C10" i="5"/>
  <c r="M385" i="5"/>
  <c r="L148" i="5"/>
  <c r="K126" i="5"/>
  <c r="L350" i="5"/>
  <c r="L126" i="5" s="1"/>
  <c r="J125" i="5"/>
  <c r="M235" i="5"/>
  <c r="L53" i="5"/>
  <c r="N150" i="48"/>
  <c r="N144" i="48"/>
  <c r="N167" i="48"/>
  <c r="N140" i="48"/>
  <c r="N139" i="48"/>
  <c r="N153" i="48"/>
  <c r="N133" i="48"/>
  <c r="N137" i="48"/>
  <c r="N143" i="48"/>
  <c r="N152" i="48"/>
  <c r="N138" i="48"/>
  <c r="N151" i="48"/>
  <c r="N149" i="48"/>
  <c r="N146" i="48"/>
  <c r="N134" i="48"/>
  <c r="N159" i="48"/>
  <c r="N142" i="48"/>
  <c r="N141" i="48"/>
  <c r="N154" i="48"/>
  <c r="N135" i="48"/>
  <c r="B40" i="5"/>
  <c r="A60" i="3" s="1"/>
  <c r="R38" i="5"/>
  <c r="P38" i="3" s="1"/>
  <c r="R521" i="5"/>
  <c r="B524" i="5"/>
  <c r="B41" i="5"/>
  <c r="A68" i="3" s="1"/>
  <c r="L238" i="5"/>
  <c r="K54" i="5"/>
  <c r="B22" i="13"/>
  <c r="K53" i="5"/>
  <c r="K185" i="5"/>
  <c r="N155" i="48"/>
  <c r="C16" i="5"/>
  <c r="D39" i="8"/>
  <c r="C105" i="42"/>
  <c r="D16" i="5"/>
  <c r="A524" i="5"/>
  <c r="M524" i="5"/>
  <c r="M41" i="5"/>
  <c r="K68" i="3" s="1"/>
  <c r="O38" i="5"/>
  <c r="M38" i="3" s="1"/>
  <c r="O521" i="5"/>
  <c r="A180" i="5"/>
  <c r="A520" i="5"/>
  <c r="A37" i="5"/>
  <c r="D524" i="5"/>
  <c r="D41" i="5"/>
  <c r="C68" i="3" s="1"/>
  <c r="Q520" i="5"/>
  <c r="O22" i="3" s="1"/>
  <c r="R524" i="5"/>
  <c r="J40" i="5"/>
  <c r="H60" i="3" s="1"/>
  <c r="L96" i="5"/>
  <c r="M315" i="5"/>
  <c r="C505" i="5"/>
  <c r="H240" i="5"/>
  <c r="I240" i="5" s="1"/>
  <c r="A505" i="5"/>
  <c r="A16" i="5"/>
  <c r="N39" i="5"/>
  <c r="L46" i="3" s="1"/>
  <c r="N522" i="5"/>
  <c r="B150" i="5"/>
  <c r="B194" i="5"/>
  <c r="P41" i="5"/>
  <c r="N68" i="3" s="1"/>
  <c r="P524" i="5"/>
  <c r="Q521" i="5"/>
  <c r="Q38" i="5"/>
  <c r="O38" i="3" s="1"/>
  <c r="D125" i="5"/>
  <c r="D361" i="5"/>
  <c r="L381" i="5"/>
  <c r="M381" i="5" s="1"/>
  <c r="K142" i="5"/>
  <c r="D214" i="5"/>
  <c r="D475" i="5"/>
  <c r="D492" i="5"/>
  <c r="D338" i="5"/>
  <c r="D404" i="5"/>
  <c r="D170" i="5"/>
  <c r="D119" i="5"/>
  <c r="D85" i="5"/>
  <c r="D464" i="5"/>
  <c r="D529" i="6"/>
  <c r="D518" i="5"/>
  <c r="H61" i="5"/>
  <c r="I61" i="5" s="1"/>
  <c r="L250" i="5"/>
  <c r="N156" i="48"/>
  <c r="N157" i="48"/>
  <c r="K376" i="5"/>
  <c r="J141" i="5"/>
  <c r="B93" i="13"/>
  <c r="C521" i="5"/>
  <c r="B9" i="5"/>
  <c r="B498" i="5"/>
  <c r="N41" i="5"/>
  <c r="L68" i="3" s="1"/>
  <c r="N524" i="5"/>
  <c r="A261" i="5"/>
  <c r="A263" i="5" s="1"/>
  <c r="A274" i="5" s="1"/>
  <c r="D150" i="5"/>
  <c r="H279" i="5"/>
  <c r="H85" i="5"/>
  <c r="H529" i="6"/>
  <c r="C321" i="5"/>
  <c r="C323" i="5" s="1"/>
  <c r="C333" i="5" s="1"/>
  <c r="R40" i="5"/>
  <c r="P60" i="3" s="1"/>
  <c r="R523" i="5"/>
  <c r="H180" i="5"/>
  <c r="I180" i="5" s="1"/>
  <c r="J143" i="5"/>
  <c r="K382" i="5"/>
  <c r="K143" i="5" s="1"/>
  <c r="D261" i="5"/>
  <c r="K520" i="5"/>
  <c r="I22" i="3" s="1"/>
  <c r="L38" i="5"/>
  <c r="J38" i="3" s="1"/>
  <c r="C7" i="5"/>
  <c r="C496" i="5"/>
  <c r="Q40" i="5"/>
  <c r="O60" i="3" s="1"/>
  <c r="Q523" i="5"/>
  <c r="D180" i="5"/>
  <c r="C522" i="5"/>
  <c r="A522" i="5"/>
  <c r="A39" i="5"/>
  <c r="A497" i="5"/>
  <c r="A101" i="5"/>
  <c r="A478" i="5" s="1"/>
  <c r="A8" i="5"/>
  <c r="P518" i="5"/>
  <c r="P214" i="5"/>
  <c r="P529" i="6"/>
  <c r="P170" i="5"/>
  <c r="P3" i="8"/>
  <c r="P279" i="5"/>
  <c r="Q41" i="5"/>
  <c r="O68" i="3" s="1"/>
  <c r="I386" i="5"/>
  <c r="H52" i="5"/>
  <c r="I52" i="5" s="1"/>
  <c r="N178" i="48"/>
  <c r="N191" i="48"/>
  <c r="N186" i="48"/>
  <c r="N195" i="48"/>
  <c r="N193" i="48"/>
  <c r="N196" i="48"/>
  <c r="N211" i="48"/>
  <c r="N188" i="48"/>
  <c r="N200" i="48"/>
  <c r="N180" i="48"/>
  <c r="C41" i="5"/>
  <c r="B68" i="3" s="1"/>
  <c r="M523" i="5"/>
  <c r="M521" i="5"/>
  <c r="N523" i="5"/>
  <c r="N521" i="5"/>
  <c r="O41" i="5"/>
  <c r="M68" i="3" s="1"/>
  <c r="O39" i="5"/>
  <c r="M46" i="3" s="1"/>
  <c r="B99" i="5"/>
  <c r="B101" i="5" s="1"/>
  <c r="K37" i="5"/>
  <c r="A40" i="5"/>
  <c r="P492" i="5"/>
  <c r="R520" i="5"/>
  <c r="P22" i="3" s="1"/>
  <c r="R37" i="5"/>
  <c r="C131" i="5"/>
  <c r="P39" i="5"/>
  <c r="N46" i="3" s="1"/>
  <c r="B321" i="5"/>
  <c r="B323" i="5" s="1"/>
  <c r="B333" i="5" s="1"/>
  <c r="L39" i="5"/>
  <c r="J46" i="3" s="1"/>
  <c r="A38" i="5"/>
  <c r="K230" i="5"/>
  <c r="L230" i="5" s="1"/>
  <c r="M230" i="5" s="1"/>
  <c r="R41" i="5"/>
  <c r="P68" i="3" s="1"/>
  <c r="D56" i="5"/>
  <c r="D7" i="5" s="1"/>
  <c r="K522" i="5"/>
  <c r="L524" i="5"/>
  <c r="C8" i="5"/>
  <c r="R8" i="42"/>
  <c r="B279" i="42"/>
  <c r="D279" i="42" s="1"/>
  <c r="D281" i="42" s="1"/>
  <c r="B497" i="5"/>
  <c r="B8" i="5"/>
  <c r="Q8" i="42"/>
  <c r="Q70" i="42" s="1"/>
  <c r="A34" i="60" s="1"/>
  <c r="B105" i="42"/>
  <c r="N3" i="8"/>
  <c r="N475" i="5"/>
  <c r="N518" i="5"/>
  <c r="P751" i="6"/>
  <c r="P241" i="6"/>
  <c r="P1388" i="6"/>
  <c r="P1442" i="6" s="1"/>
  <c r="P1347" i="6"/>
  <c r="P399" i="6"/>
  <c r="P296" i="6"/>
  <c r="O723" i="7"/>
  <c r="N214" i="5"/>
  <c r="H3" i="13"/>
  <c r="I182" i="15" s="1"/>
  <c r="I3" i="17" s="1"/>
  <c r="D71" i="4"/>
  <c r="D346" i="4"/>
  <c r="D55" i="4"/>
  <c r="D100" i="4"/>
  <c r="E85" i="34"/>
  <c r="B774" i="34"/>
  <c r="B779" i="34" s="1"/>
  <c r="B783" i="34" s="1"/>
  <c r="B785" i="34" s="1"/>
  <c r="P710" i="34"/>
  <c r="P285" i="34"/>
  <c r="H129" i="4"/>
  <c r="I129" i="4" s="1"/>
  <c r="N492" i="5"/>
  <c r="D102" i="8"/>
  <c r="D290" i="8"/>
  <c r="G292" i="45" s="1"/>
  <c r="G295" i="45" s="1"/>
  <c r="G305" i="45" s="1"/>
  <c r="G306" i="45" s="1"/>
  <c r="D572" i="8"/>
  <c r="K217" i="7"/>
  <c r="B1786" i="6"/>
  <c r="B693" i="6"/>
  <c r="D66" i="4"/>
  <c r="D487" i="4"/>
  <c r="D581" i="4" s="1"/>
  <c r="D408" i="4"/>
  <c r="D59" i="4"/>
  <c r="O666" i="7"/>
  <c r="H236" i="10"/>
  <c r="H589" i="4" s="1"/>
  <c r="P719" i="4"/>
  <c r="Q100" i="4"/>
  <c r="O85" i="34"/>
  <c r="D121" i="4"/>
  <c r="N464" i="5"/>
  <c r="H57" i="4"/>
  <c r="I57" i="4" s="1"/>
  <c r="A127" i="4"/>
  <c r="A162" i="4" s="1"/>
  <c r="P1786" i="6"/>
  <c r="P2051" i="6"/>
  <c r="P2071" i="6" s="1"/>
  <c r="P487" i="4"/>
  <c r="D118" i="4"/>
  <c r="D106" i="4"/>
  <c r="L312" i="7"/>
  <c r="L547" i="7"/>
  <c r="L598" i="4"/>
  <c r="K433" i="4"/>
  <c r="J105" i="4"/>
  <c r="L957" i="7"/>
  <c r="H126" i="34"/>
  <c r="J212" i="4"/>
  <c r="C3" i="8"/>
  <c r="C492" i="5"/>
  <c r="P185" i="6"/>
  <c r="B297" i="4"/>
  <c r="B21" i="4" s="1"/>
  <c r="B833" i="4"/>
  <c r="J327" i="4"/>
  <c r="N85" i="5"/>
  <c r="H100" i="4"/>
  <c r="H168" i="4" s="1"/>
  <c r="L283" i="3"/>
  <c r="L293" i="3" s="1"/>
  <c r="L277" i="3"/>
  <c r="C487" i="4"/>
  <c r="C118" i="4" s="1"/>
  <c r="B48" i="5"/>
  <c r="A100" i="13" s="1"/>
  <c r="A111" i="13" s="1"/>
  <c r="B475" i="5"/>
  <c r="B170" i="5"/>
  <c r="B119" i="5"/>
  <c r="J475" i="5"/>
  <c r="J279" i="5"/>
  <c r="J119" i="5"/>
  <c r="J338" i="5"/>
  <c r="J85" i="5"/>
  <c r="J3" i="8"/>
  <c r="J404" i="5"/>
  <c r="J518" i="5"/>
  <c r="C312" i="7"/>
  <c r="C785" i="7"/>
  <c r="C807" i="7" s="1"/>
  <c r="C809" i="7" s="1"/>
  <c r="C811" i="7" s="1"/>
  <c r="C820" i="7" s="1"/>
  <c r="F167" i="34"/>
  <c r="F224" i="34" s="1"/>
  <c r="F402" i="34" s="1"/>
  <c r="F710" i="34"/>
  <c r="N402" i="45"/>
  <c r="J402" i="45"/>
  <c r="L402" i="45"/>
  <c r="M402" i="45"/>
  <c r="P402" i="45"/>
  <c r="G402" i="45"/>
  <c r="C59" i="4"/>
  <c r="C346" i="4"/>
  <c r="C5" i="12"/>
  <c r="E5" i="12" s="1"/>
  <c r="D129" i="4"/>
  <c r="D105" i="4"/>
  <c r="I76" i="4"/>
  <c r="O1124" i="7"/>
  <c r="O601" i="7"/>
  <c r="O598" i="4"/>
  <c r="B785" i="7"/>
  <c r="B807" i="7" s="1"/>
  <c r="B809" i="7" s="1"/>
  <c r="B811" i="7" s="1"/>
  <c r="B820" i="7" s="1"/>
  <c r="B598" i="4"/>
  <c r="D234" i="4"/>
  <c r="D265" i="4" s="1"/>
  <c r="D124" i="4"/>
  <c r="D78" i="4"/>
  <c r="J114" i="4"/>
  <c r="K448" i="4"/>
  <c r="L448" i="4" s="1"/>
  <c r="C529" i="6"/>
  <c r="O4" i="55"/>
  <c r="O84" i="1"/>
  <c r="H615" i="4"/>
  <c r="I615" i="4" s="1"/>
  <c r="K236" i="10"/>
  <c r="C126" i="34"/>
  <c r="L111" i="13"/>
  <c r="C475" i="5"/>
  <c r="I126" i="34"/>
  <c r="K212" i="4"/>
  <c r="G88" i="9"/>
  <c r="G174" i="9" s="1"/>
  <c r="CG3" i="9"/>
  <c r="CU3" i="9" s="1"/>
  <c r="O1855" i="6"/>
  <c r="O1526" i="6"/>
  <c r="O1590" i="6"/>
  <c r="O1278" i="6"/>
  <c r="O379" i="7"/>
  <c r="O1023" i="6"/>
  <c r="T1" i="37" s="1"/>
  <c r="T62" i="37" s="1"/>
  <c r="T80" i="37" s="1"/>
  <c r="O818" i="6"/>
  <c r="O884" i="6" s="1"/>
  <c r="O399" i="6"/>
  <c r="O1160" i="6"/>
  <c r="O955" i="6"/>
  <c r="O1786" i="6"/>
  <c r="O241" i="6"/>
  <c r="O751" i="6"/>
  <c r="O1479" i="6"/>
  <c r="AA4" i="42"/>
  <c r="O1016" i="7"/>
  <c r="M790" i="34"/>
  <c r="M813" i="34" s="1"/>
  <c r="M823" i="34" s="1"/>
  <c r="M285" i="34"/>
  <c r="M348" i="34" s="1"/>
  <c r="M167" i="34"/>
  <c r="M224" i="34" s="1"/>
  <c r="M402" i="34" s="1"/>
  <c r="E790" i="34"/>
  <c r="E813" i="34" s="1"/>
  <c r="E823" i="34" s="1"/>
  <c r="E285" i="34"/>
  <c r="E348" i="34" s="1"/>
  <c r="E710" i="34"/>
  <c r="C833" i="4"/>
  <c r="C763" i="4"/>
  <c r="C765" i="4" s="1"/>
  <c r="C767" i="4" s="1"/>
  <c r="C776" i="4" s="1"/>
  <c r="D111" i="4"/>
  <c r="D114" i="4"/>
  <c r="S11" i="42" s="1"/>
  <c r="D126" i="4"/>
  <c r="D123" i="4"/>
  <c r="D72" i="4"/>
  <c r="H62" i="3"/>
  <c r="A243" i="4"/>
  <c r="A20" i="4" s="1"/>
  <c r="P4" i="55"/>
  <c r="E4" i="12"/>
  <c r="Q217" i="7"/>
  <c r="Q664" i="4"/>
  <c r="C222" i="4"/>
  <c r="C10" i="4" s="1"/>
  <c r="A142" i="4"/>
  <c r="Q487" i="4"/>
  <c r="P85" i="34"/>
  <c r="D650" i="4"/>
  <c r="F738" i="34"/>
  <c r="F740" i="34" s="1"/>
  <c r="F216" i="34" s="1"/>
  <c r="F795" i="34" s="1"/>
  <c r="F801" i="34" s="1"/>
  <c r="F237" i="15"/>
  <c r="F286" i="15" s="1"/>
  <c r="A217" i="7"/>
  <c r="D166" i="8"/>
  <c r="CM3" i="9"/>
  <c r="DA3" i="9" s="1"/>
  <c r="F3" i="15"/>
  <c r="F34" i="15" s="1"/>
  <c r="F65" i="15" s="1"/>
  <c r="F96" i="15" s="1"/>
  <c r="F402" i="45"/>
  <c r="N170" i="5"/>
  <c r="N338" i="5"/>
  <c r="M475" i="5"/>
  <c r="K402" i="45"/>
  <c r="O402" i="45"/>
  <c r="A664" i="4"/>
  <c r="F285" i="34"/>
  <c r="P464" i="5"/>
  <c r="P59" i="7"/>
  <c r="P257" i="7"/>
  <c r="P622" i="6"/>
  <c r="AB4" i="42"/>
  <c r="AQ4" i="42" s="1"/>
  <c r="BF4" i="42" s="1"/>
  <c r="P379" i="7"/>
  <c r="N18" i="12"/>
  <c r="N34" i="12" s="1"/>
  <c r="M723" i="7"/>
  <c r="G348" i="34"/>
  <c r="J104" i="4"/>
  <c r="M214" i="5"/>
  <c r="H84" i="1"/>
  <c r="C142" i="4"/>
  <c r="P85" i="5"/>
  <c r="P957" i="7"/>
  <c r="P125" i="7"/>
  <c r="P1590" i="6"/>
  <c r="P1718" i="6"/>
  <c r="P664" i="4"/>
  <c r="O283" i="3"/>
  <c r="O293" i="3" s="1"/>
  <c r="P119" i="5"/>
  <c r="P1062" i="7"/>
  <c r="K789" i="4"/>
  <c r="L789" i="4" s="1"/>
  <c r="L279" i="4" s="1"/>
  <c r="K756" i="4"/>
  <c r="G65" i="17"/>
  <c r="G773" i="34"/>
  <c r="J66" i="4"/>
  <c r="H58" i="4"/>
  <c r="I58" i="4" s="1"/>
  <c r="M529" i="6"/>
  <c r="M119" i="5"/>
  <c r="M217" i="7"/>
  <c r="L171" i="7"/>
  <c r="M464" i="5"/>
  <c r="D693" i="6"/>
  <c r="D1526" i="6"/>
  <c r="D1160" i="6"/>
  <c r="D1388" i="6"/>
  <c r="D1442" i="6" s="1"/>
  <c r="D1461" i="6" s="1"/>
  <c r="L785" i="7"/>
  <c r="P601" i="7"/>
  <c r="P1124" i="7"/>
  <c r="P1526" i="6"/>
  <c r="P955" i="6"/>
  <c r="P598" i="4"/>
  <c r="AE25" i="10"/>
  <c r="AD15" i="11" s="1"/>
  <c r="P338" i="5"/>
  <c r="P1139" i="7"/>
  <c r="P217" i="7"/>
  <c r="M3" i="13"/>
  <c r="N182" i="15" s="1"/>
  <c r="N237" i="15" s="1"/>
  <c r="P781" i="4"/>
  <c r="G3" i="16"/>
  <c r="G81" i="16" s="1"/>
  <c r="J329" i="4"/>
  <c r="M170" i="5"/>
  <c r="M825" i="7"/>
  <c r="M890" i="7" s="1"/>
  <c r="D818" i="6"/>
  <c r="D884" i="6" s="1"/>
  <c r="H3" i="21"/>
  <c r="BV3" i="21" s="1"/>
  <c r="CJ3" i="21" s="1"/>
  <c r="H277" i="3"/>
  <c r="P547" i="7"/>
  <c r="L108" i="4"/>
  <c r="M441" i="4"/>
  <c r="J18" i="12"/>
  <c r="L119" i="5"/>
  <c r="L338" i="5"/>
  <c r="L475" i="5"/>
  <c r="L85" i="5"/>
  <c r="L1661" i="6"/>
  <c r="L518" i="5"/>
  <c r="L279" i="5"/>
  <c r="L492" i="5"/>
  <c r="L404" i="5"/>
  <c r="L3" i="8"/>
  <c r="L214" i="5"/>
  <c r="N257" i="7"/>
  <c r="N217" i="7"/>
  <c r="N547" i="7"/>
  <c r="N443" i="7"/>
  <c r="N495" i="7" s="1"/>
  <c r="N825" i="7"/>
  <c r="N890" i="7" s="1"/>
  <c r="N723" i="7"/>
  <c r="N1139" i="7"/>
  <c r="N171" i="7"/>
  <c r="N666" i="7"/>
  <c r="N781" i="4"/>
  <c r="N59" i="7"/>
  <c r="N1062" i="7"/>
  <c r="N664" i="4"/>
  <c r="K3" i="13"/>
  <c r="L182" i="15" s="1"/>
  <c r="N785" i="7"/>
  <c r="N957" i="7"/>
  <c r="N1124" i="7"/>
  <c r="N125" i="7"/>
  <c r="N601" i="7"/>
  <c r="C1278" i="6"/>
  <c r="C818" i="6"/>
  <c r="C884" i="6" s="1"/>
  <c r="C1088" i="6"/>
  <c r="C296" i="6"/>
  <c r="C1016" i="7"/>
  <c r="M145" i="45"/>
  <c r="O145" i="45"/>
  <c r="L145" i="45"/>
  <c r="J25" i="10"/>
  <c r="I15" i="11" s="1"/>
  <c r="P277" i="3"/>
  <c r="P283" i="3"/>
  <c r="P293" i="3" s="1"/>
  <c r="L464" i="5"/>
  <c r="C1160" i="6"/>
  <c r="L529" i="6"/>
  <c r="K475" i="5"/>
  <c r="K170" i="5"/>
  <c r="K529" i="6"/>
  <c r="K119" i="5"/>
  <c r="D125" i="7"/>
  <c r="D443" i="7"/>
  <c r="D495" i="7" s="1"/>
  <c r="D529" i="7" s="1"/>
  <c r="D957" i="7"/>
  <c r="D1124" i="7"/>
  <c r="D312" i="7"/>
  <c r="D781" i="4"/>
  <c r="D1062" i="7"/>
  <c r="D1107" i="7" s="1"/>
  <c r="D723" i="7"/>
  <c r="D601" i="7"/>
  <c r="D217" i="7"/>
  <c r="D598" i="4"/>
  <c r="D825" i="7"/>
  <c r="D890" i="7" s="1"/>
  <c r="D939" i="7" s="1"/>
  <c r="D547" i="7"/>
  <c r="D664" i="4"/>
  <c r="D171" i="7"/>
  <c r="D666" i="7"/>
  <c r="D257" i="7"/>
  <c r="D59" i="7"/>
  <c r="C3" i="13"/>
  <c r="C182" i="15" s="1"/>
  <c r="D1139" i="7"/>
  <c r="L88" i="9"/>
  <c r="L174" i="9" s="1"/>
  <c r="L3" i="21"/>
  <c r="CL3" i="9"/>
  <c r="CZ3" i="9" s="1"/>
  <c r="K88" i="9"/>
  <c r="K174" i="9" s="1"/>
  <c r="K3" i="21"/>
  <c r="I790" i="34"/>
  <c r="I813" i="34" s="1"/>
  <c r="I823" i="34" s="1"/>
  <c r="I285" i="34"/>
  <c r="I2" i="34"/>
  <c r="I167" i="34"/>
  <c r="I224" i="34" s="1"/>
  <c r="I402" i="34" s="1"/>
  <c r="I710" i="34"/>
  <c r="G4" i="55"/>
  <c r="G84" i="1"/>
  <c r="CN3" i="9"/>
  <c r="DB3" i="9" s="1"/>
  <c r="N3" i="21"/>
  <c r="CB3" i="21" s="1"/>
  <c r="CP3" i="21" s="1"/>
  <c r="N88" i="9"/>
  <c r="N174" i="9" s="1"/>
  <c r="C1479" i="6"/>
  <c r="K356" i="4"/>
  <c r="J173" i="4"/>
  <c r="J672" i="4"/>
  <c r="K669" i="4"/>
  <c r="N598" i="4"/>
  <c r="K555" i="4"/>
  <c r="L555" i="4" s="1"/>
  <c r="B167" i="34"/>
  <c r="B224" i="34" s="1"/>
  <c r="B402" i="34" s="1"/>
  <c r="B710" i="34"/>
  <c r="L465" i="34"/>
  <c r="L348" i="34"/>
  <c r="I145" i="45"/>
  <c r="K792" i="4"/>
  <c r="L792" i="4" s="1"/>
  <c r="M792" i="4" s="1"/>
  <c r="J280" i="4"/>
  <c r="H130" i="4"/>
  <c r="I130" i="4" s="1"/>
  <c r="A1124" i="7"/>
  <c r="M666" i="7"/>
  <c r="A125" i="7"/>
  <c r="D228" i="8"/>
  <c r="D480" i="8"/>
  <c r="D352" i="8"/>
  <c r="D556" i="8"/>
  <c r="H3" i="22"/>
  <c r="BU3" i="21"/>
  <c r="CI3" i="21" s="1"/>
  <c r="M781" i="4"/>
  <c r="O1139" i="7"/>
  <c r="O443" i="7"/>
  <c r="O495" i="7" s="1"/>
  <c r="O781" i="4"/>
  <c r="O257" i="7"/>
  <c r="O125" i="7"/>
  <c r="O312" i="7"/>
  <c r="O664" i="4"/>
  <c r="O825" i="7"/>
  <c r="O890" i="7" s="1"/>
  <c r="L3" i="13"/>
  <c r="M182" i="15" s="1"/>
  <c r="M237" i="15" s="1"/>
  <c r="O957" i="7"/>
  <c r="J167" i="34"/>
  <c r="J224" i="34" s="1"/>
  <c r="J402" i="34" s="1"/>
  <c r="J285" i="34"/>
  <c r="M3" i="8"/>
  <c r="M1661" i="6"/>
  <c r="M518" i="5"/>
  <c r="K18" i="12"/>
  <c r="K34" i="12" s="1"/>
  <c r="M338" i="5"/>
  <c r="A825" i="7"/>
  <c r="A890" i="7" s="1"/>
  <c r="A939" i="7" s="1"/>
  <c r="A941" i="7" s="1"/>
  <c r="A945" i="7" s="1"/>
  <c r="A953" i="7" s="1"/>
  <c r="M4" i="55"/>
  <c r="M84" i="1"/>
  <c r="C283" i="3"/>
  <c r="C277" i="3"/>
  <c r="E4" i="48"/>
  <c r="K23" i="48" s="1"/>
  <c r="L18" i="12"/>
  <c r="N279" i="5"/>
  <c r="N529" i="6"/>
  <c r="N119" i="5"/>
  <c r="N1661" i="6"/>
  <c r="N404" i="5"/>
  <c r="L125" i="7"/>
  <c r="L217" i="7"/>
  <c r="L443" i="7"/>
  <c r="L495" i="7" s="1"/>
  <c r="L664" i="4"/>
  <c r="H651" i="4"/>
  <c r="I651" i="4" s="1"/>
  <c r="H649" i="4"/>
  <c r="I649" i="4" s="1"/>
  <c r="J3" i="13"/>
  <c r="K182" i="15" s="1"/>
  <c r="K127" i="15" s="1"/>
  <c r="M1062" i="7"/>
  <c r="M601" i="7"/>
  <c r="M1139" i="7"/>
  <c r="M257" i="7"/>
  <c r="M785" i="7"/>
  <c r="M1124" i="7"/>
  <c r="M443" i="7"/>
  <c r="M495" i="7" s="1"/>
  <c r="M957" i="7"/>
  <c r="M598" i="4"/>
  <c r="M59" i="7"/>
  <c r="L107" i="4"/>
  <c r="F93" i="13"/>
  <c r="M85" i="5"/>
  <c r="M279" i="5"/>
  <c r="M547" i="7"/>
  <c r="A312" i="7"/>
  <c r="L4" i="55"/>
  <c r="L84" i="1"/>
  <c r="B283" i="3"/>
  <c r="B277" i="3"/>
  <c r="D4" i="48"/>
  <c r="J4" i="48" s="1"/>
  <c r="A352" i="8"/>
  <c r="A546" i="8"/>
  <c r="C231" i="4"/>
  <c r="A1062" i="7"/>
  <c r="A1107" i="7" s="1"/>
  <c r="A1109" i="7" s="1"/>
  <c r="A1112" i="7" s="1"/>
  <c r="A1120" i="7" s="1"/>
  <c r="A598" i="4"/>
  <c r="A666" i="7"/>
  <c r="A785" i="7"/>
  <c r="A807" i="7" s="1"/>
  <c r="A809" i="7" s="1"/>
  <c r="A811" i="7" s="1"/>
  <c r="A820" i="7" s="1"/>
  <c r="A257" i="7"/>
  <c r="A957" i="7"/>
  <c r="A171" i="7"/>
  <c r="A781" i="4"/>
  <c r="A723" i="7"/>
  <c r="K361" i="4"/>
  <c r="L361" i="4" s="1"/>
  <c r="M361" i="4" s="1"/>
  <c r="J67" i="4"/>
  <c r="A601" i="7"/>
  <c r="A1139" i="7"/>
  <c r="M404" i="5"/>
  <c r="M125" i="7"/>
  <c r="M171" i="7"/>
  <c r="C80" i="4"/>
  <c r="D833" i="4"/>
  <c r="J182" i="4"/>
  <c r="C284" i="4"/>
  <c r="C11" i="4" s="1"/>
  <c r="Q601" i="7"/>
  <c r="AC4" i="42"/>
  <c r="AR4" i="42" s="1"/>
  <c r="A40" i="3"/>
  <c r="Q443" i="7"/>
  <c r="Q495" i="7" s="1"/>
  <c r="Q312" i="7"/>
  <c r="K470" i="4"/>
  <c r="L470" i="4" s="1"/>
  <c r="M470" i="4" s="1"/>
  <c r="K436" i="4"/>
  <c r="J106" i="4"/>
  <c r="O2" i="34"/>
  <c r="O710" i="34"/>
  <c r="O285" i="34"/>
  <c r="O790" i="34"/>
  <c r="O813" i="34" s="1"/>
  <c r="O823" i="34" s="1"/>
  <c r="O167" i="34"/>
  <c r="O224" i="34" s="1"/>
  <c r="O402" i="34" s="1"/>
  <c r="O418" i="4"/>
  <c r="O91" i="4" s="1"/>
  <c r="O42" i="4" s="1"/>
  <c r="AB25" i="10"/>
  <c r="AA15" i="11" s="1"/>
  <c r="H135" i="4"/>
  <c r="I135" i="4" s="1"/>
  <c r="I122" i="4"/>
  <c r="J174" i="4"/>
  <c r="K670" i="4"/>
  <c r="H760" i="34"/>
  <c r="M434" i="4"/>
  <c r="N241" i="6"/>
  <c r="N1016" i="7"/>
  <c r="N1590" i="6"/>
  <c r="N693" i="6"/>
  <c r="N1347" i="6"/>
  <c r="N719" i="4"/>
  <c r="N1479" i="6"/>
  <c r="N1023" i="6"/>
  <c r="S1" i="37" s="1"/>
  <c r="S62" i="37" s="1"/>
  <c r="S80" i="37" s="1"/>
  <c r="N1718" i="6"/>
  <c r="N1855" i="6"/>
  <c r="N751" i="6"/>
  <c r="N2051" i="6"/>
  <c r="N2071" i="6" s="1"/>
  <c r="N470" i="6"/>
  <c r="N1981" i="6"/>
  <c r="K2" i="58" s="1"/>
  <c r="N1222" i="6"/>
  <c r="N185" i="6"/>
  <c r="N1160" i="6"/>
  <c r="N1278" i="6"/>
  <c r="N622" i="6"/>
  <c r="N1388" i="6"/>
  <c r="N1442" i="6" s="1"/>
  <c r="N379" i="7"/>
  <c r="N1786" i="6"/>
  <c r="N567" i="6"/>
  <c r="N72" i="6"/>
  <c r="N125" i="6" s="1"/>
  <c r="N296" i="6"/>
  <c r="N1088" i="6"/>
  <c r="N399" i="6"/>
  <c r="N1526" i="6"/>
  <c r="Z4" i="42"/>
  <c r="C790" i="34"/>
  <c r="C285" i="34"/>
  <c r="C167" i="34"/>
  <c r="C224" i="34" s="1"/>
  <c r="C402" i="34" s="1"/>
  <c r="C2" i="34"/>
  <c r="C710" i="34"/>
  <c r="B763" i="4"/>
  <c r="B765" i="4" s="1"/>
  <c r="B767" i="4" s="1"/>
  <c r="B776" i="4" s="1"/>
  <c r="Q418" i="4"/>
  <c r="Q91" i="4" s="1"/>
  <c r="Q42" i="4" s="1"/>
  <c r="AH25" i="10"/>
  <c r="AG15" i="11" s="1"/>
  <c r="K480" i="4"/>
  <c r="L480" i="4" s="1"/>
  <c r="M480" i="4" s="1"/>
  <c r="J120" i="4"/>
  <c r="J158" i="4" s="1"/>
  <c r="H111" i="4"/>
  <c r="I111" i="4" s="1"/>
  <c r="K529" i="4"/>
  <c r="L529" i="4" s="1"/>
  <c r="M529" i="4" s="1"/>
  <c r="J123" i="4"/>
  <c r="J161" i="4" s="1"/>
  <c r="M1855" i="6"/>
  <c r="M719" i="4"/>
  <c r="M1526" i="6"/>
  <c r="M1016" i="7"/>
  <c r="M818" i="6"/>
  <c r="M884" i="6" s="1"/>
  <c r="M399" i="6"/>
  <c r="M241" i="6"/>
  <c r="M1222" i="6"/>
  <c r="M379" i="7"/>
  <c r="M1088" i="6"/>
  <c r="M751" i="6"/>
  <c r="Y4" i="42"/>
  <c r="M1160" i="6"/>
  <c r="M1981" i="6"/>
  <c r="J2" i="58" s="1"/>
  <c r="M1718" i="6"/>
  <c r="M955" i="6"/>
  <c r="M296" i="6"/>
  <c r="M1388" i="6"/>
  <c r="M1442" i="6" s="1"/>
  <c r="M567" i="6"/>
  <c r="M693" i="6"/>
  <c r="M185" i="6"/>
  <c r="M1023" i="6"/>
  <c r="R1" i="37" s="1"/>
  <c r="M1590" i="6"/>
  <c r="M622" i="6"/>
  <c r="M72" i="6"/>
  <c r="M125" i="6" s="1"/>
  <c r="M470" i="6"/>
  <c r="M1278" i="6"/>
  <c r="M1347" i="6"/>
  <c r="M2051" i="6"/>
  <c r="M2071" i="6" s="1"/>
  <c r="M1919" i="6"/>
  <c r="M1786" i="6"/>
  <c r="M1479" i="6"/>
  <c r="K710" i="34"/>
  <c r="K790" i="34"/>
  <c r="K813" i="34" s="1"/>
  <c r="K823" i="34" s="1"/>
  <c r="K2" i="34"/>
  <c r="K285" i="34"/>
  <c r="K167" i="34"/>
  <c r="K224" i="34" s="1"/>
  <c r="K402" i="34" s="1"/>
  <c r="B142" i="4"/>
  <c r="H190" i="4"/>
  <c r="I190" i="4" s="1"/>
  <c r="H702" i="4"/>
  <c r="I702" i="4" s="1"/>
  <c r="H699" i="4"/>
  <c r="I699" i="4" s="1"/>
  <c r="K418" i="4"/>
  <c r="K91" i="4" s="1"/>
  <c r="P25" i="10"/>
  <c r="O15" i="11" s="1"/>
  <c r="R1278" i="6"/>
  <c r="R1919" i="6"/>
  <c r="R1347" i="6"/>
  <c r="R2051" i="6"/>
  <c r="R2071" i="6" s="1"/>
  <c r="R1590" i="6"/>
  <c r="R1023" i="6"/>
  <c r="W1" i="37" s="1"/>
  <c r="W6" i="37" s="1"/>
  <c r="R1981" i="6"/>
  <c r="O2" i="58" s="1"/>
  <c r="R1479" i="6"/>
  <c r="R379" i="7"/>
  <c r="R399" i="6"/>
  <c r="AD4" i="42"/>
  <c r="O4" i="42" s="1"/>
  <c r="O68" i="42" s="1"/>
  <c r="R1222" i="6"/>
  <c r="R1388" i="6"/>
  <c r="R1442" i="6" s="1"/>
  <c r="R1160" i="6"/>
  <c r="R1526" i="6"/>
  <c r="R1718" i="6"/>
  <c r="J73" i="4"/>
  <c r="K372" i="4"/>
  <c r="L362" i="4"/>
  <c r="M362" i="4" s="1"/>
  <c r="J72" i="4"/>
  <c r="K371" i="4"/>
  <c r="K404" i="4"/>
  <c r="J78" i="4"/>
  <c r="CE3" i="9"/>
  <c r="CS3" i="9" s="1"/>
  <c r="E3" i="21"/>
  <c r="E88" i="9"/>
  <c r="R1139" i="7"/>
  <c r="R312" i="7"/>
  <c r="R217" i="7"/>
  <c r="R443" i="7"/>
  <c r="R171" i="7"/>
  <c r="R547" i="7"/>
  <c r="R598" i="4"/>
  <c r="R601" i="7"/>
  <c r="R1062" i="7"/>
  <c r="O3" i="13"/>
  <c r="P182" i="15" s="1"/>
  <c r="R664" i="4"/>
  <c r="R957" i="7"/>
  <c r="G25" i="10"/>
  <c r="F15" i="11" s="1"/>
  <c r="G15" i="11" s="1"/>
  <c r="H15" i="11" s="1"/>
  <c r="O88" i="9"/>
  <c r="O174" i="9" s="1"/>
  <c r="O3" i="21"/>
  <c r="O77" i="21" s="1"/>
  <c r="CO3" i="9"/>
  <c r="DC3" i="9" s="1"/>
  <c r="G136" i="3"/>
  <c r="J545" i="4"/>
  <c r="M791" i="4"/>
  <c r="L805" i="4"/>
  <c r="A160" i="3"/>
  <c r="A161" i="3" s="1"/>
  <c r="D132" i="4"/>
  <c r="CP3" i="9"/>
  <c r="DD3" i="9" s="1"/>
  <c r="P3" i="21"/>
  <c r="P88" i="9"/>
  <c r="P174" i="9" s="1"/>
  <c r="J418" i="4"/>
  <c r="J91" i="4" s="1"/>
  <c r="M25" i="10"/>
  <c r="L15" i="11" s="1"/>
  <c r="N955" i="6"/>
  <c r="J56" i="4"/>
  <c r="K326" i="4"/>
  <c r="J457" i="4"/>
  <c r="L797" i="4"/>
  <c r="L282" i="4" s="1"/>
  <c r="I775" i="34"/>
  <c r="L806" i="4"/>
  <c r="M806" i="4" s="1"/>
  <c r="J184" i="4"/>
  <c r="K694" i="4"/>
  <c r="G774" i="34"/>
  <c r="G515" i="34"/>
  <c r="G578" i="34"/>
  <c r="K93" i="13"/>
  <c r="K111" i="13"/>
  <c r="C93" i="13"/>
  <c r="C111" i="13"/>
  <c r="B1062" i="7"/>
  <c r="B1107" i="7" s="1"/>
  <c r="B781" i="4"/>
  <c r="B217" i="7"/>
  <c r="B1124" i="7"/>
  <c r="B547" i="7"/>
  <c r="B257" i="7"/>
  <c r="B664" i="4"/>
  <c r="B171" i="7"/>
  <c r="B312" i="7"/>
  <c r="B957" i="7"/>
  <c r="B825" i="7"/>
  <c r="B890" i="7" s="1"/>
  <c r="B939" i="7" s="1"/>
  <c r="B443" i="7"/>
  <c r="B495" i="7" s="1"/>
  <c r="B529" i="7" s="1"/>
  <c r="B531" i="7" s="1"/>
  <c r="B533" i="7" s="1"/>
  <c r="B542" i="7" s="1"/>
  <c r="B125" i="7"/>
  <c r="B601" i="7"/>
  <c r="B666" i="7"/>
  <c r="B1139" i="7"/>
  <c r="A3" i="13"/>
  <c r="A182" i="15" s="1"/>
  <c r="B723" i="7"/>
  <c r="B59" i="7"/>
  <c r="C18" i="12"/>
  <c r="C404" i="5"/>
  <c r="C279" i="5"/>
  <c r="C518" i="5"/>
  <c r="C214" i="5"/>
  <c r="C170" i="5"/>
  <c r="C1661" i="6"/>
  <c r="C119" i="5"/>
  <c r="C85" i="5"/>
  <c r="C338" i="5"/>
  <c r="C464" i="5"/>
  <c r="O492" i="5"/>
  <c r="O404" i="5"/>
  <c r="O119" i="5"/>
  <c r="M18" i="12"/>
  <c r="O85" i="5"/>
  <c r="O214" i="5"/>
  <c r="K1124" i="7"/>
  <c r="K825" i="7"/>
  <c r="K890" i="7" s="1"/>
  <c r="K723" i="7"/>
  <c r="K59" i="7"/>
  <c r="K1139" i="7"/>
  <c r="K598" i="4"/>
  <c r="K601" i="7"/>
  <c r="K957" i="7"/>
  <c r="K125" i="7"/>
  <c r="K664" i="4"/>
  <c r="K171" i="7"/>
  <c r="K443" i="7"/>
  <c r="K495" i="7" s="1"/>
  <c r="K1062" i="7"/>
  <c r="K257" i="7"/>
  <c r="K785" i="7"/>
  <c r="K312" i="7"/>
  <c r="K666" i="7"/>
  <c r="K781" i="4"/>
  <c r="B1855" i="6"/>
  <c r="B296" i="6"/>
  <c r="B1160" i="6"/>
  <c r="B567" i="6"/>
  <c r="B751" i="6"/>
  <c r="B1479" i="6"/>
  <c r="B622" i="6"/>
  <c r="B2051" i="6"/>
  <c r="B379" i="7"/>
  <c r="B241" i="6"/>
  <c r="B399" i="6"/>
  <c r="B955" i="6"/>
  <c r="B1590" i="6" s="1"/>
  <c r="B125" i="6"/>
  <c r="B818" i="6"/>
  <c r="B884" i="6" s="1"/>
  <c r="B1718" i="6"/>
  <c r="B2071" i="6"/>
  <c r="B1919" i="6"/>
  <c r="B657" i="6" s="1"/>
  <c r="B677" i="6" s="1"/>
  <c r="B1088" i="6"/>
  <c r="B1981" i="6"/>
  <c r="B470" i="6"/>
  <c r="B1023" i="6"/>
  <c r="B719" i="4"/>
  <c r="B185" i="6"/>
  <c r="B1388" i="6"/>
  <c r="B1442" i="6" s="1"/>
  <c r="B441" i="6" s="1"/>
  <c r="B451" i="6" s="1"/>
  <c r="B1278" i="6"/>
  <c r="B1016" i="7"/>
  <c r="B1347" i="6"/>
  <c r="B1370" i="6" s="1"/>
  <c r="B1372" i="6" s="1"/>
  <c r="B1375" i="6" s="1"/>
  <c r="B1383" i="6" s="1"/>
  <c r="L747" i="4"/>
  <c r="K444" i="4"/>
  <c r="J124" i="4"/>
  <c r="K738" i="4"/>
  <c r="K227" i="4" s="1"/>
  <c r="H717" i="34"/>
  <c r="K220" i="4"/>
  <c r="K685" i="4"/>
  <c r="B255" i="42"/>
  <c r="C4" i="42"/>
  <c r="C68" i="42" s="1"/>
  <c r="AG4" i="42"/>
  <c r="AV4" i="42" s="1"/>
  <c r="K749" i="4"/>
  <c r="L749" i="4" s="1"/>
  <c r="M749" i="4" s="1"/>
  <c r="J234" i="4"/>
  <c r="J265" i="4" s="1"/>
  <c r="K3" i="22"/>
  <c r="BX3" i="21"/>
  <c r="CL3" i="21" s="1"/>
  <c r="J283" i="3"/>
  <c r="J293" i="3" s="1"/>
  <c r="J277" i="3"/>
  <c r="J88" i="9"/>
  <c r="J174" i="9" s="1"/>
  <c r="CJ3" i="9"/>
  <c r="CX3" i="9" s="1"/>
  <c r="H710" i="34"/>
  <c r="H2" i="34"/>
  <c r="H790" i="34"/>
  <c r="H813" i="34" s="1"/>
  <c r="H823" i="34" s="1"/>
  <c r="H285" i="34"/>
  <c r="H167" i="34"/>
  <c r="H224" i="34" s="1"/>
  <c r="H402" i="34" s="1"/>
  <c r="C567" i="6"/>
  <c r="C1981" i="6"/>
  <c r="C241" i="6"/>
  <c r="C1526" i="6"/>
  <c r="C379" i="7"/>
  <c r="C693" i="6"/>
  <c r="C1388" i="6"/>
  <c r="C1442" i="6" s="1"/>
  <c r="C1461" i="6" s="1"/>
  <c r="C1463" i="6" s="1"/>
  <c r="C1465" i="6" s="1"/>
  <c r="C1474" i="6" s="1"/>
  <c r="C1222" i="6"/>
  <c r="C470" i="6"/>
  <c r="C1347" i="6"/>
  <c r="C1370" i="6" s="1"/>
  <c r="C1023" i="6"/>
  <c r="K1" i="37" s="1"/>
  <c r="K6" i="37" s="1"/>
  <c r="AB14" i="37" s="1"/>
  <c r="C955" i="6"/>
  <c r="C751" i="6"/>
  <c r="C1786" i="6"/>
  <c r="C125" i="6"/>
  <c r="C622" i="6"/>
  <c r="C185" i="6"/>
  <c r="C1919" i="6"/>
  <c r="C657" i="6" s="1"/>
  <c r="C677" i="6" s="1"/>
  <c r="C122" i="42" s="1"/>
  <c r="C1855" i="6"/>
  <c r="C719" i="4"/>
  <c r="C1718" i="6"/>
  <c r="C2051" i="6"/>
  <c r="C2071" i="6" s="1"/>
  <c r="C399" i="6"/>
  <c r="K145" i="45"/>
  <c r="N145" i="45"/>
  <c r="G145" i="45"/>
  <c r="F145" i="45"/>
  <c r="H145" i="45"/>
  <c r="J145" i="45"/>
  <c r="P145" i="45"/>
  <c r="A80" i="4"/>
  <c r="A903" i="4"/>
  <c r="J227" i="4"/>
  <c r="C92" i="4"/>
  <c r="C43" i="4" s="1"/>
  <c r="I4" i="55"/>
  <c r="I84" i="1"/>
  <c r="I283" i="3"/>
  <c r="I293" i="3" s="1"/>
  <c r="I277" i="3"/>
  <c r="H475" i="5"/>
  <c r="H1661" i="6"/>
  <c r="H464" i="5"/>
  <c r="H119" i="5"/>
  <c r="H518" i="5"/>
  <c r="H3" i="8"/>
  <c r="H414" i="8" s="1"/>
  <c r="H338" i="5"/>
  <c r="H492" i="5"/>
  <c r="I88" i="9"/>
  <c r="I174" i="9" s="1"/>
  <c r="CI3" i="9"/>
  <c r="CW3" i="9" s="1"/>
  <c r="I3" i="21"/>
  <c r="BW3" i="21" s="1"/>
  <c r="CK3" i="21" s="1"/>
  <c r="D1347" i="6"/>
  <c r="D1370" i="6" s="1"/>
  <c r="D567" i="6"/>
  <c r="D1981" i="6"/>
  <c r="B2" i="58" s="1"/>
  <c r="D1718" i="6"/>
  <c r="D296" i="6"/>
  <c r="D1222" i="6"/>
  <c r="D470" i="6"/>
  <c r="D1088" i="6"/>
  <c r="D1590" i="6"/>
  <c r="D379" i="7"/>
  <c r="D719" i="4"/>
  <c r="D1786" i="6"/>
  <c r="D125" i="6"/>
  <c r="D622" i="6"/>
  <c r="D1855" i="6"/>
  <c r="D241" i="6"/>
  <c r="D399" i="6"/>
  <c r="D1023" i="6"/>
  <c r="L1" i="37" s="1"/>
  <c r="D1016" i="7"/>
  <c r="D2051" i="6"/>
  <c r="D2071" i="6" s="1"/>
  <c r="D1919" i="6"/>
  <c r="D657" i="6" s="1"/>
  <c r="D1479" i="6"/>
  <c r="D185" i="6"/>
  <c r="G167" i="34"/>
  <c r="G224" i="34" s="1"/>
  <c r="G402" i="34" s="1"/>
  <c r="G2" i="34"/>
  <c r="G790" i="34"/>
  <c r="G813" i="34" s="1"/>
  <c r="G823" i="34" s="1"/>
  <c r="G236" i="10"/>
  <c r="F140" i="11" s="1"/>
  <c r="G140" i="11" s="1"/>
  <c r="H140" i="11" s="1"/>
  <c r="J71" i="4"/>
  <c r="K370" i="4"/>
  <c r="J384" i="4"/>
  <c r="K321" i="4"/>
  <c r="G56" i="17"/>
  <c r="G84" i="17"/>
  <c r="H55" i="4"/>
  <c r="I55" i="4" s="1"/>
  <c r="A39" i="8"/>
  <c r="A572" i="8"/>
  <c r="A290" i="8"/>
  <c r="D292" i="45" s="1"/>
  <c r="D295" i="45" s="1"/>
  <c r="D305" i="45" s="1"/>
  <c r="D306" i="45" s="1"/>
  <c r="D307" i="45" s="1"/>
  <c r="A102" i="8"/>
  <c r="A228" i="8"/>
  <c r="A166" i="8"/>
  <c r="A480" i="8"/>
  <c r="L723" i="7"/>
  <c r="L666" i="7"/>
  <c r="L601" i="7"/>
  <c r="L825" i="7"/>
  <c r="L890" i="7" s="1"/>
  <c r="L1139" i="7"/>
  <c r="L257" i="7"/>
  <c r="L59" i="7"/>
  <c r="L781" i="4"/>
  <c r="I3" i="13"/>
  <c r="J182" i="15" s="1"/>
  <c r="L1062" i="7"/>
  <c r="L1124" i="7"/>
  <c r="O1062" i="7"/>
  <c r="O547" i="7"/>
  <c r="O785" i="7"/>
  <c r="O217" i="7"/>
  <c r="J790" i="34"/>
  <c r="J813" i="34" s="1"/>
  <c r="J823" i="34" s="1"/>
  <c r="J710" i="34"/>
  <c r="J2" i="34"/>
  <c r="G411" i="4"/>
  <c r="P1855" i="6"/>
  <c r="P693" i="6"/>
  <c r="P1088" i="6"/>
  <c r="P72" i="6"/>
  <c r="P125" i="6" s="1"/>
  <c r="P1023" i="6"/>
  <c r="U1" i="37" s="1"/>
  <c r="U62" i="37" s="1"/>
  <c r="U80" i="37" s="1"/>
  <c r="P1222" i="6"/>
  <c r="P567" i="6"/>
  <c r="P818" i="6"/>
  <c r="P884" i="6" s="1"/>
  <c r="P1479" i="6"/>
  <c r="P1278" i="6"/>
  <c r="P1160" i="6"/>
  <c r="P1016" i="7"/>
  <c r="P1981" i="6"/>
  <c r="M2" i="58" s="1"/>
  <c r="P470" i="6"/>
  <c r="P1919" i="6"/>
  <c r="Q338" i="5"/>
  <c r="Q518" i="5"/>
  <c r="Q170" i="5"/>
  <c r="H4" i="48"/>
  <c r="M4" i="48" s="1"/>
  <c r="G283" i="3"/>
  <c r="G293" i="3" s="1"/>
  <c r="B3" i="8"/>
  <c r="B414" i="8" s="1"/>
  <c r="B518" i="5"/>
  <c r="B492" i="5"/>
  <c r="B85" i="5"/>
  <c r="B338" i="5"/>
  <c r="B279" i="5"/>
  <c r="A18" i="12"/>
  <c r="H18" i="12"/>
  <c r="J1661" i="6"/>
  <c r="J492" i="5"/>
  <c r="J214" i="5"/>
  <c r="C781" i="4"/>
  <c r="C598" i="4"/>
  <c r="C1139" i="7"/>
  <c r="C664" i="4"/>
  <c r="C217" i="7"/>
  <c r="C257" i="7"/>
  <c r="C723" i="7"/>
  <c r="C171" i="7"/>
  <c r="C59" i="7"/>
  <c r="C957" i="7"/>
  <c r="C666" i="7"/>
  <c r="C1124" i="7"/>
  <c r="B3" i="13"/>
  <c r="B182" i="15" s="1"/>
  <c r="B3" i="17" s="1"/>
  <c r="C825" i="7"/>
  <c r="C890" i="7" s="1"/>
  <c r="C939" i="7" s="1"/>
  <c r="C941" i="7" s="1"/>
  <c r="C945" i="7" s="1"/>
  <c r="C953" i="7" s="1"/>
  <c r="B195" i="3" s="1"/>
  <c r="B196" i="3" s="1"/>
  <c r="N283" i="3"/>
  <c r="N293" i="3" s="1"/>
  <c r="N277" i="3"/>
  <c r="F4" i="55"/>
  <c r="F84" i="1"/>
  <c r="H581" i="4"/>
  <c r="I581" i="4" s="1"/>
  <c r="N790" i="34"/>
  <c r="N813" i="34" s="1"/>
  <c r="N823" i="34" s="1"/>
  <c r="N285" i="34"/>
  <c r="N710" i="34"/>
  <c r="N2" i="34"/>
  <c r="B285" i="34"/>
  <c r="B348" i="34" s="1"/>
  <c r="B2" i="34"/>
  <c r="Q59" i="7"/>
  <c r="Q723" i="7"/>
  <c r="Q598" i="4"/>
  <c r="S25" i="10"/>
  <c r="R15" i="11" s="1"/>
  <c r="R464" i="5"/>
  <c r="Q666" i="7"/>
  <c r="Q547" i="7"/>
  <c r="P790" i="34"/>
  <c r="P813" i="34" s="1"/>
  <c r="P823" i="34" s="1"/>
  <c r="R492" i="5"/>
  <c r="Q171" i="7"/>
  <c r="Q257" i="7"/>
  <c r="R279" i="5"/>
  <c r="R404" i="5"/>
  <c r="R170" i="5"/>
  <c r="K136" i="5"/>
  <c r="L366" i="5"/>
  <c r="J386" i="5"/>
  <c r="J136" i="5"/>
  <c r="K247" i="5"/>
  <c r="J60" i="5"/>
  <c r="M684" i="7"/>
  <c r="J229" i="7"/>
  <c r="I114" i="3"/>
  <c r="H114" i="3"/>
  <c r="D598" i="34"/>
  <c r="D599" i="34" s="1"/>
  <c r="D601" i="34" s="1"/>
  <c r="D242" i="34" s="1"/>
  <c r="B163" i="11"/>
  <c r="B166" i="11" s="1"/>
  <c r="G50" i="11"/>
  <c r="H50" i="11" s="1"/>
  <c r="J50" i="11" s="1"/>
  <c r="K50" i="11" s="1"/>
  <c r="L88" i="7"/>
  <c r="K88" i="7"/>
  <c r="J88" i="7"/>
  <c r="L475" i="7"/>
  <c r="K80" i="7"/>
  <c r="J80" i="7"/>
  <c r="K522" i="7"/>
  <c r="K1368" i="6"/>
  <c r="K1373" i="6"/>
  <c r="C105" i="3"/>
  <c r="C53" i="11"/>
  <c r="D53" i="11" s="1"/>
  <c r="E53" i="11" s="1"/>
  <c r="G53" i="11" s="1"/>
  <c r="H53" i="11" s="1"/>
  <c r="J53" i="11" s="1"/>
  <c r="K53" i="11" s="1"/>
  <c r="M53" i="11" s="1"/>
  <c r="N53" i="11" s="1"/>
  <c r="P53" i="11" s="1"/>
  <c r="Q53" i="11" s="1"/>
  <c r="S53" i="11" s="1"/>
  <c r="T53" i="11" s="1"/>
  <c r="V53" i="11" s="1"/>
  <c r="W53" i="11" s="1"/>
  <c r="Y53" i="11" s="1"/>
  <c r="Z53" i="11" s="1"/>
  <c r="AB53" i="11" s="1"/>
  <c r="AC53" i="11" s="1"/>
  <c r="AE53" i="11" s="1"/>
  <c r="AF53" i="11" s="1"/>
  <c r="AH53" i="11" s="1"/>
  <c r="AI53" i="11" s="1"/>
  <c r="AK53" i="11" s="1"/>
  <c r="AL53" i="11" s="1"/>
  <c r="AN53" i="11" s="1"/>
  <c r="D162" i="10"/>
  <c r="D876" i="6"/>
  <c r="C94" i="10"/>
  <c r="F137" i="11"/>
  <c r="G137" i="11" s="1"/>
  <c r="H137" i="11" s="1"/>
  <c r="J137" i="11" s="1"/>
  <c r="K137" i="11" s="1"/>
  <c r="M137" i="11" s="1"/>
  <c r="N137" i="11" s="1"/>
  <c r="P137" i="11" s="1"/>
  <c r="Q137" i="11" s="1"/>
  <c r="S137" i="11" s="1"/>
  <c r="T137" i="11" s="1"/>
  <c r="V137" i="11" s="1"/>
  <c r="W137" i="11" s="1"/>
  <c r="Y137" i="11" s="1"/>
  <c r="Z137" i="11" s="1"/>
  <c r="AB137" i="11" s="1"/>
  <c r="AC137" i="11" s="1"/>
  <c r="AE137" i="11" s="1"/>
  <c r="AF137" i="11" s="1"/>
  <c r="AH137" i="11" s="1"/>
  <c r="AI137" i="11" s="1"/>
  <c r="AK137" i="11" s="1"/>
  <c r="AL137" i="11" s="1"/>
  <c r="AN137" i="11" s="1"/>
  <c r="C104" i="11"/>
  <c r="D104" i="11" s="1"/>
  <c r="E104" i="11" s="1"/>
  <c r="G104" i="11" s="1"/>
  <c r="H104" i="11" s="1"/>
  <c r="J104" i="11" s="1"/>
  <c r="K104" i="11" s="1"/>
  <c r="M104" i="11" s="1"/>
  <c r="N104" i="11" s="1"/>
  <c r="P104" i="11" s="1"/>
  <c r="Q104" i="11" s="1"/>
  <c r="S104" i="11" s="1"/>
  <c r="T104" i="11" s="1"/>
  <c r="V104" i="11" s="1"/>
  <c r="W104" i="11" s="1"/>
  <c r="Y104" i="11" s="1"/>
  <c r="Z104" i="11" s="1"/>
  <c r="AB104" i="11" s="1"/>
  <c r="AC104" i="11" s="1"/>
  <c r="AE104" i="11" s="1"/>
  <c r="AF104" i="11" s="1"/>
  <c r="AH104" i="11" s="1"/>
  <c r="AI104" i="11" s="1"/>
  <c r="AK104" i="11" s="1"/>
  <c r="AL104" i="11" s="1"/>
  <c r="AN104" i="11" s="1"/>
  <c r="C116" i="10"/>
  <c r="G17" i="11"/>
  <c r="H17" i="11" s="1"/>
  <c r="J17" i="11" s="1"/>
  <c r="K17" i="11" s="1"/>
  <c r="M17" i="11" s="1"/>
  <c r="N17" i="11" s="1"/>
  <c r="P17" i="11" s="1"/>
  <c r="Q17" i="11" s="1"/>
  <c r="S17" i="11" s="1"/>
  <c r="T17" i="11" s="1"/>
  <c r="V17" i="11" s="1"/>
  <c r="W17" i="11" s="1"/>
  <c r="Y17" i="11" s="1"/>
  <c r="Z17" i="11" s="1"/>
  <c r="AB17" i="11" s="1"/>
  <c r="AC17" i="11" s="1"/>
  <c r="AE17" i="11" s="1"/>
  <c r="AF17" i="11" s="1"/>
  <c r="AH17" i="11" s="1"/>
  <c r="AI17" i="11" s="1"/>
  <c r="AK17" i="11" s="1"/>
  <c r="AL17" i="11" s="1"/>
  <c r="AN17" i="11" s="1"/>
  <c r="G117" i="11"/>
  <c r="H117" i="11" s="1"/>
  <c r="J117" i="11" s="1"/>
  <c r="K117" i="11" s="1"/>
  <c r="M117" i="11" s="1"/>
  <c r="N117" i="11" s="1"/>
  <c r="P117" i="11" s="1"/>
  <c r="Q117" i="11" s="1"/>
  <c r="S117" i="11" s="1"/>
  <c r="T117" i="11" s="1"/>
  <c r="V117" i="11" s="1"/>
  <c r="W117" i="11" s="1"/>
  <c r="Y117" i="11" s="1"/>
  <c r="Z117" i="11" s="1"/>
  <c r="AB117" i="11" s="1"/>
  <c r="AC117" i="11" s="1"/>
  <c r="AE117" i="11" s="1"/>
  <c r="AF117" i="11" s="1"/>
  <c r="AH117" i="11" s="1"/>
  <c r="AI117" i="11" s="1"/>
  <c r="AK117" i="11" s="1"/>
  <c r="AL117" i="11" s="1"/>
  <c r="AN117" i="11" s="1"/>
  <c r="E159" i="11"/>
  <c r="M522" i="5"/>
  <c r="G129" i="11"/>
  <c r="H129" i="11" s="1"/>
  <c r="J129" i="11" s="1"/>
  <c r="K129" i="11" s="1"/>
  <c r="M129" i="11" s="1"/>
  <c r="N129" i="11" s="1"/>
  <c r="P129" i="11" s="1"/>
  <c r="Q129" i="11" s="1"/>
  <c r="S129" i="11" s="1"/>
  <c r="T129" i="11" s="1"/>
  <c r="V129" i="11" s="1"/>
  <c r="W129" i="11" s="1"/>
  <c r="Y129" i="11" s="1"/>
  <c r="Z129" i="11" s="1"/>
  <c r="AB129" i="11" s="1"/>
  <c r="AC129" i="11" s="1"/>
  <c r="AE129" i="11" s="1"/>
  <c r="AF129" i="11" s="1"/>
  <c r="AH129" i="11" s="1"/>
  <c r="AI129" i="11" s="1"/>
  <c r="AK129" i="11" s="1"/>
  <c r="AL129" i="11" s="1"/>
  <c r="AN129" i="11" s="1"/>
  <c r="G67" i="10"/>
  <c r="G138" i="11"/>
  <c r="H138" i="11" s="1"/>
  <c r="J138" i="11" s="1"/>
  <c r="K138" i="11" s="1"/>
  <c r="M138" i="11" s="1"/>
  <c r="N138" i="11" s="1"/>
  <c r="P138" i="11" s="1"/>
  <c r="Q138" i="11" s="1"/>
  <c r="S138" i="11" s="1"/>
  <c r="T138" i="11" s="1"/>
  <c r="V138" i="11" s="1"/>
  <c r="W138" i="11" s="1"/>
  <c r="Y138" i="11" s="1"/>
  <c r="Z138" i="11" s="1"/>
  <c r="AB138" i="11" s="1"/>
  <c r="AC138" i="11" s="1"/>
  <c r="AE138" i="11" s="1"/>
  <c r="AF138" i="11" s="1"/>
  <c r="AH138" i="11" s="1"/>
  <c r="AI138" i="11" s="1"/>
  <c r="AK138" i="11" s="1"/>
  <c r="AL138" i="11" s="1"/>
  <c r="AN138" i="11" s="1"/>
  <c r="G89" i="11"/>
  <c r="H89" i="11" s="1"/>
  <c r="J89" i="11" s="1"/>
  <c r="K89" i="11" s="1"/>
  <c r="M89" i="11" s="1"/>
  <c r="N89" i="11" s="1"/>
  <c r="P89" i="11" s="1"/>
  <c r="Q89" i="11" s="1"/>
  <c r="S89" i="11" s="1"/>
  <c r="T89" i="11" s="1"/>
  <c r="V89" i="11" s="1"/>
  <c r="W89" i="11" s="1"/>
  <c r="Y89" i="11" s="1"/>
  <c r="Z89" i="11" s="1"/>
  <c r="AB89" i="11" s="1"/>
  <c r="AC89" i="11" s="1"/>
  <c r="AE89" i="11" s="1"/>
  <c r="AF89" i="11" s="1"/>
  <c r="AH89" i="11" s="1"/>
  <c r="AI89" i="11" s="1"/>
  <c r="AK89" i="11" s="1"/>
  <c r="AL89" i="11" s="1"/>
  <c r="AN89" i="11" s="1"/>
  <c r="M795" i="6"/>
  <c r="K99" i="6"/>
  <c r="C297" i="4"/>
  <c r="C21" i="4" s="1"/>
  <c r="D763" i="4"/>
  <c r="I111" i="13"/>
  <c r="I93" i="13"/>
  <c r="D701" i="4"/>
  <c r="N126" i="34"/>
  <c r="P212" i="4"/>
  <c r="P262" i="4" s="1"/>
  <c r="B284" i="4"/>
  <c r="B11" i="4" s="1"/>
  <c r="A284" i="4"/>
  <c r="A11" i="4" s="1"/>
  <c r="A222" i="4"/>
  <c r="H798" i="4"/>
  <c r="I798" i="4" s="1"/>
  <c r="G93" i="13"/>
  <c r="G111" i="13"/>
  <c r="H279" i="4"/>
  <c r="I279" i="4" s="1"/>
  <c r="D284" i="4"/>
  <c r="R212" i="4"/>
  <c r="P126" i="34"/>
  <c r="A297" i="4"/>
  <c r="A21" i="4" s="1"/>
  <c r="J490" i="4"/>
  <c r="H805" i="4"/>
  <c r="I805" i="4" s="1"/>
  <c r="H121" i="4"/>
  <c r="I121" i="4" s="1"/>
  <c r="J233" i="7"/>
  <c r="L688" i="7"/>
  <c r="K687" i="7"/>
  <c r="J703" i="7"/>
  <c r="A39" i="15"/>
  <c r="K1249" i="6"/>
  <c r="L1249" i="6" s="1"/>
  <c r="M1249" i="6" s="1"/>
  <c r="H728" i="34"/>
  <c r="R17" i="42"/>
  <c r="K12" i="26"/>
  <c r="AV17" i="42" s="1"/>
  <c r="K72" i="26"/>
  <c r="M193" i="15"/>
  <c r="L68" i="13"/>
  <c r="L124" i="13" s="1"/>
  <c r="AA33" i="42"/>
  <c r="L33" i="42" s="1"/>
  <c r="G763" i="34"/>
  <c r="I78" i="6"/>
  <c r="L1283" i="6"/>
  <c r="K403" i="6"/>
  <c r="L900" i="6"/>
  <c r="L1166" i="6"/>
  <c r="K310" i="6"/>
  <c r="I768" i="34"/>
  <c r="D535" i="6"/>
  <c r="G46" i="58"/>
  <c r="G44" i="58" s="1"/>
  <c r="J744" i="6"/>
  <c r="G11" i="48"/>
  <c r="H123" i="42"/>
  <c r="B285" i="6"/>
  <c r="B61" i="6" s="1"/>
  <c r="B1083" i="6"/>
  <c r="D33" i="6"/>
  <c r="K1182" i="6"/>
  <c r="L1182" i="6" s="1"/>
  <c r="M1182" i="6" s="1"/>
  <c r="J32" i="45"/>
  <c r="J1032" i="6"/>
  <c r="H252" i="6"/>
  <c r="I252" i="6" s="1"/>
  <c r="G764" i="34"/>
  <c r="H1035" i="6"/>
  <c r="I1035" i="6" s="1"/>
  <c r="S21" i="42"/>
  <c r="C54" i="15" s="1"/>
  <c r="D218" i="6"/>
  <c r="M1952" i="6"/>
  <c r="J322" i="6"/>
  <c r="K1128" i="6"/>
  <c r="K936" i="6"/>
  <c r="J941" i="6"/>
  <c r="J161" i="6"/>
  <c r="K863" i="6"/>
  <c r="J158" i="6"/>
  <c r="J869" i="6"/>
  <c r="J1550" i="6"/>
  <c r="H1570" i="6"/>
  <c r="I1570" i="6" s="1"/>
  <c r="H444" i="6"/>
  <c r="I444" i="6" s="1"/>
  <c r="J31" i="13"/>
  <c r="J50" i="13" s="1"/>
  <c r="M54" i="6"/>
  <c r="K147" i="6"/>
  <c r="L901" i="6"/>
  <c r="K431" i="6"/>
  <c r="L1339" i="6"/>
  <c r="L1247" i="6"/>
  <c r="L430" i="6"/>
  <c r="M1335" i="6"/>
  <c r="M1289" i="6"/>
  <c r="M763" i="6"/>
  <c r="L784" i="6"/>
  <c r="K439" i="6"/>
  <c r="L1418" i="6"/>
  <c r="M773" i="6"/>
  <c r="L89" i="6"/>
  <c r="L1304" i="6"/>
  <c r="K414" i="6"/>
  <c r="L1484" i="6"/>
  <c r="K1486" i="6"/>
  <c r="L919" i="6"/>
  <c r="J1306" i="6"/>
  <c r="J422" i="6" s="1"/>
  <c r="H422" i="6"/>
  <c r="I422" i="6" s="1"/>
  <c r="K209" i="6"/>
  <c r="L992" i="6"/>
  <c r="G771" i="34"/>
  <c r="K1942" i="6"/>
  <c r="L917" i="6"/>
  <c r="J1129" i="6"/>
  <c r="H323" i="6"/>
  <c r="I323" i="6" s="1"/>
  <c r="H1141" i="6"/>
  <c r="I1141" i="6" s="1"/>
  <c r="L302" i="6"/>
  <c r="K1953" i="6"/>
  <c r="K1422" i="6"/>
  <c r="L1293" i="6"/>
  <c r="K725" i="6"/>
  <c r="L2028" i="6"/>
  <c r="K792" i="6"/>
  <c r="K1246" i="6"/>
  <c r="J1227" i="6"/>
  <c r="J376" i="6"/>
  <c r="L906" i="6"/>
  <c r="L1172" i="6"/>
  <c r="K1180" i="6"/>
  <c r="J326" i="6"/>
  <c r="J303" i="6"/>
  <c r="K1170" i="6"/>
  <c r="K1610" i="6"/>
  <c r="L1610" i="6" s="1"/>
  <c r="M1610" i="6" s="1"/>
  <c r="D175" i="10"/>
  <c r="D1015" i="6"/>
  <c r="D230" i="6" s="1"/>
  <c r="J91" i="10"/>
  <c r="I1151" i="6"/>
  <c r="I772" i="34"/>
  <c r="K145" i="6"/>
  <c r="K789" i="6"/>
  <c r="J95" i="6"/>
  <c r="K1351" i="6"/>
  <c r="J432" i="6"/>
  <c r="H729" i="34"/>
  <c r="J139" i="6"/>
  <c r="J929" i="6"/>
  <c r="J938" i="6" s="1"/>
  <c r="J940" i="6" s="1"/>
  <c r="H155" i="6"/>
  <c r="I155" i="6" s="1"/>
  <c r="G724" i="34"/>
  <c r="J2002" i="6"/>
  <c r="K2002" i="6" s="1"/>
  <c r="L2002" i="6" s="1"/>
  <c r="M2002" i="6" s="1"/>
  <c r="H709" i="6"/>
  <c r="I709" i="6" s="1"/>
  <c r="J90" i="6"/>
  <c r="K774" i="6"/>
  <c r="K1794" i="6"/>
  <c r="J628" i="6"/>
  <c r="H137" i="6"/>
  <c r="I137" i="6" s="1"/>
  <c r="H866" i="6"/>
  <c r="I866" i="6" s="1"/>
  <c r="K890" i="6"/>
  <c r="J144" i="6"/>
  <c r="J1098" i="6"/>
  <c r="I311" i="6"/>
  <c r="H484" i="6"/>
  <c r="I484" i="6" s="1"/>
  <c r="J1601" i="6"/>
  <c r="K772" i="6"/>
  <c r="J88" i="6"/>
  <c r="H660" i="6"/>
  <c r="I660" i="6" s="1"/>
  <c r="J1239" i="6"/>
  <c r="H1228" i="6"/>
  <c r="I1228" i="6" s="1"/>
  <c r="H1257" i="6"/>
  <c r="I1257" i="6" s="1"/>
  <c r="H375" i="6"/>
  <c r="I375" i="6" s="1"/>
  <c r="J977" i="6"/>
  <c r="K977" i="6" s="1"/>
  <c r="L977" i="6" s="1"/>
  <c r="M977" i="6" s="1"/>
  <c r="I164" i="45"/>
  <c r="I165" i="45" s="1"/>
  <c r="H1004" i="6"/>
  <c r="I1004" i="6" s="1"/>
  <c r="J1294" i="6"/>
  <c r="H408" i="6"/>
  <c r="I408" i="6" s="1"/>
  <c r="C55" i="6"/>
  <c r="R22" i="42" s="1"/>
  <c r="H712" i="6"/>
  <c r="I712" i="6" s="1"/>
  <c r="E17" i="58"/>
  <c r="F17" i="58" s="1"/>
  <c r="J1862" i="6"/>
  <c r="K1862" i="6" s="1"/>
  <c r="L1862" i="6" s="1"/>
  <c r="M1862" i="6" s="1"/>
  <c r="H648" i="6"/>
  <c r="I648" i="6" s="1"/>
  <c r="J1426" i="6"/>
  <c r="J1834" i="6"/>
  <c r="K1834" i="6" s="1"/>
  <c r="L1834" i="6" s="1"/>
  <c r="M1834" i="6" s="1"/>
  <c r="H638" i="6"/>
  <c r="I638" i="6" s="1"/>
  <c r="J1811" i="6"/>
  <c r="H633" i="6"/>
  <c r="I633" i="6" s="1"/>
  <c r="J1901" i="6"/>
  <c r="K1901" i="6" s="1"/>
  <c r="L1901" i="6" s="1"/>
  <c r="M1901" i="6" s="1"/>
  <c r="H102" i="6"/>
  <c r="I102" i="6" s="1"/>
  <c r="H803" i="6"/>
  <c r="I803" i="6" s="1"/>
  <c r="J797" i="6"/>
  <c r="J1850" i="6"/>
  <c r="H644" i="6"/>
  <c r="I644" i="6" s="1"/>
  <c r="N42" i="58"/>
  <c r="K1311" i="6"/>
  <c r="J1392" i="6"/>
  <c r="H412" i="6"/>
  <c r="I412" i="6" s="1"/>
  <c r="H310" i="6"/>
  <c r="I310" i="6" s="1"/>
  <c r="K1790" i="6"/>
  <c r="K1723" i="6"/>
  <c r="J1361" i="6"/>
  <c r="H433" i="6"/>
  <c r="I433" i="6" s="1"/>
  <c r="H662" i="6"/>
  <c r="I662" i="6" s="1"/>
  <c r="J1946" i="6"/>
  <c r="H668" i="6"/>
  <c r="I668" i="6" s="1"/>
  <c r="H938" i="6"/>
  <c r="I938" i="6" s="1"/>
  <c r="J1636" i="6"/>
  <c r="H503" i="6"/>
  <c r="I503" i="6" s="1"/>
  <c r="J2001" i="6"/>
  <c r="E15" i="58"/>
  <c r="F15" i="58" s="1"/>
  <c r="J1492" i="6"/>
  <c r="H445" i="6"/>
  <c r="I445" i="6" s="1"/>
  <c r="J42" i="58"/>
  <c r="M740" i="6"/>
  <c r="J1682" i="6"/>
  <c r="H541" i="6"/>
  <c r="I541" i="6" s="1"/>
  <c r="D1501" i="6"/>
  <c r="D1506" i="6" s="1"/>
  <c r="J438" i="6"/>
  <c r="K1407" i="6"/>
  <c r="B37" i="58"/>
  <c r="F37" i="58"/>
  <c r="H246" i="6"/>
  <c r="I246" i="6" s="1"/>
  <c r="J1027" i="6"/>
  <c r="B329" i="42"/>
  <c r="D323" i="42"/>
  <c r="D329" i="42" s="1"/>
  <c r="J321" i="6"/>
  <c r="H540" i="6"/>
  <c r="I540" i="6" s="1"/>
  <c r="J1676" i="6"/>
  <c r="H1509" i="6"/>
  <c r="I1509" i="6" s="1"/>
  <c r="H448" i="6"/>
  <c r="I448" i="6" s="1"/>
  <c r="J1504" i="6"/>
  <c r="O740" i="6"/>
  <c r="L42" i="58"/>
  <c r="C61" i="6"/>
  <c r="B23" i="3" s="1"/>
  <c r="H93" i="6"/>
  <c r="I93" i="6" s="1"/>
  <c r="M42" i="58"/>
  <c r="P740" i="6"/>
  <c r="H409" i="6"/>
  <c r="I409" i="6" s="1"/>
  <c r="J1531" i="6"/>
  <c r="D742" i="6"/>
  <c r="B44" i="58"/>
  <c r="B105" i="6"/>
  <c r="Q21" i="42"/>
  <c r="Q81" i="42" s="1"/>
  <c r="A45" i="60" s="1"/>
  <c r="B218" i="6"/>
  <c r="B2093" i="6"/>
  <c r="B738" i="34"/>
  <c r="B750" i="34" s="1"/>
  <c r="K260" i="6"/>
  <c r="B2090" i="6"/>
  <c r="H440" i="6"/>
  <c r="I440" i="6" s="1"/>
  <c r="J1200" i="6"/>
  <c r="J1202" i="6" s="1"/>
  <c r="H338" i="6"/>
  <c r="I338" i="6" s="1"/>
  <c r="C13" i="58"/>
  <c r="C51" i="58" s="1"/>
  <c r="M91" i="10"/>
  <c r="J1151" i="6"/>
  <c r="J351" i="6" s="1"/>
  <c r="B11" i="58"/>
  <c r="B13" i="58" s="1"/>
  <c r="A167" i="6"/>
  <c r="A164" i="6"/>
  <c r="A2090" i="6"/>
  <c r="A52" i="6" s="1"/>
  <c r="J61" i="6"/>
  <c r="H23" i="3" s="1"/>
  <c r="Q719" i="4"/>
  <c r="Q379" i="7"/>
  <c r="Q1016" i="7"/>
  <c r="V1" i="37"/>
  <c r="B259" i="10"/>
  <c r="H169" i="45"/>
  <c r="H170" i="45" s="1"/>
  <c r="C167" i="6"/>
  <c r="R1855" i="6"/>
  <c r="R185" i="6"/>
  <c r="R470" i="6"/>
  <c r="R567" i="6"/>
  <c r="R1786" i="6"/>
  <c r="R1016" i="7"/>
  <c r="R241" i="6"/>
  <c r="R72" i="6"/>
  <c r="R125" i="6" s="1"/>
  <c r="R622" i="6"/>
  <c r="R751" i="6"/>
  <c r="R296" i="6"/>
  <c r="R693" i="6"/>
  <c r="R818" i="6"/>
  <c r="R884" i="6" s="1"/>
  <c r="R1088" i="6"/>
  <c r="R955" i="6"/>
  <c r="R719" i="4"/>
  <c r="B269" i="42"/>
  <c r="K585" i="6"/>
  <c r="D353" i="6"/>
  <c r="A2093" i="6"/>
  <c r="A55" i="6" s="1"/>
  <c r="P37" i="5"/>
  <c r="L42" i="1"/>
  <c r="K350" i="6"/>
  <c r="M42" i="1"/>
  <c r="A117" i="3"/>
  <c r="G253" i="10"/>
  <c r="F156" i="11" s="1"/>
  <c r="J34" i="45"/>
  <c r="H727" i="34"/>
  <c r="I36" i="45"/>
  <c r="K1112" i="6"/>
  <c r="J319" i="6"/>
  <c r="L1092" i="6"/>
  <c r="K301" i="6"/>
  <c r="J301" i="6"/>
  <c r="J263" i="6"/>
  <c r="K263" i="6"/>
  <c r="J260" i="6"/>
  <c r="I726" i="34"/>
  <c r="K259" i="6"/>
  <c r="H726" i="34"/>
  <c r="J259" i="6"/>
  <c r="L981" i="6"/>
  <c r="M981" i="6" s="1"/>
  <c r="M978" i="6"/>
  <c r="L975" i="6"/>
  <c r="K161" i="45"/>
  <c r="J161" i="45"/>
  <c r="D39" i="5"/>
  <c r="C46" i="3" s="1"/>
  <c r="D522" i="5"/>
  <c r="Q130" i="10"/>
  <c r="P130" i="10"/>
  <c r="O50" i="11" s="1"/>
  <c r="G14" i="11"/>
  <c r="H14" i="11" s="1"/>
  <c r="J14" i="11" s="1"/>
  <c r="K14" i="11" s="1"/>
  <c r="M14" i="11" s="1"/>
  <c r="N14" i="11" s="1"/>
  <c r="P14" i="11" s="1"/>
  <c r="Q14" i="11" s="1"/>
  <c r="S14" i="11" s="1"/>
  <c r="T14" i="11" s="1"/>
  <c r="V14" i="11" s="1"/>
  <c r="W14" i="11" s="1"/>
  <c r="Y14" i="11" s="1"/>
  <c r="Z14" i="11" s="1"/>
  <c r="AB14" i="11" s="1"/>
  <c r="AC14" i="11" s="1"/>
  <c r="AE14" i="11" s="1"/>
  <c r="AF14" i="11" s="1"/>
  <c r="AH14" i="11" s="1"/>
  <c r="AI14" i="11" s="1"/>
  <c r="AK14" i="11" s="1"/>
  <c r="AL14" i="11" s="1"/>
  <c r="AN14" i="11" s="1"/>
  <c r="G10" i="11"/>
  <c r="J10" i="11" s="1"/>
  <c r="J522" i="5"/>
  <c r="J39" i="5"/>
  <c r="H46" i="3" s="1"/>
  <c r="B116" i="10"/>
  <c r="M130" i="10"/>
  <c r="L50" i="11" s="1"/>
  <c r="G12" i="11"/>
  <c r="H12" i="11" s="1"/>
  <c r="Q538" i="7"/>
  <c r="Q115" i="7" s="1"/>
  <c r="D946" i="6"/>
  <c r="D175" i="6" s="1"/>
  <c r="D103" i="10"/>
  <c r="CV189" i="9"/>
  <c r="DD97" i="9"/>
  <c r="CX97" i="9"/>
  <c r="G90" i="11"/>
  <c r="H90" i="11" s="1"/>
  <c r="J90" i="11" s="1"/>
  <c r="K90" i="11" s="1"/>
  <c r="E94" i="10"/>
  <c r="O522" i="5"/>
  <c r="DB97" i="9"/>
  <c r="BO97" i="9"/>
  <c r="U143" i="9"/>
  <c r="G9" i="11"/>
  <c r="H9" i="11" s="1"/>
  <c r="J9" i="11" s="1"/>
  <c r="K9" i="11" s="1"/>
  <c r="M9" i="11" s="1"/>
  <c r="N9" i="11" s="1"/>
  <c r="P9" i="11" s="1"/>
  <c r="Q9" i="11" s="1"/>
  <c r="S9" i="11" s="1"/>
  <c r="T9" i="11" s="1"/>
  <c r="V9" i="11" s="1"/>
  <c r="W9" i="11" s="1"/>
  <c r="Y9" i="11" s="1"/>
  <c r="Z9" i="11" s="1"/>
  <c r="AB9" i="11" s="1"/>
  <c r="AC9" i="11" s="1"/>
  <c r="AE9" i="11" s="1"/>
  <c r="AF9" i="11" s="1"/>
  <c r="AH9" i="11" s="1"/>
  <c r="AI9" i="11" s="1"/>
  <c r="AK9" i="11" s="1"/>
  <c r="AL9" i="11" s="1"/>
  <c r="AN9" i="11" s="1"/>
  <c r="L522" i="5"/>
  <c r="J39" i="11"/>
  <c r="K39" i="11" s="1"/>
  <c r="M39" i="11" s="1"/>
  <c r="N39" i="11" s="1"/>
  <c r="P39" i="11" s="1"/>
  <c r="Q39" i="11" s="1"/>
  <c r="S39" i="11" s="1"/>
  <c r="T39" i="11" s="1"/>
  <c r="V39" i="11" s="1"/>
  <c r="W39" i="11" s="1"/>
  <c r="Y39" i="11" s="1"/>
  <c r="Z39" i="11" s="1"/>
  <c r="AB39" i="11" s="1"/>
  <c r="AC39" i="11" s="1"/>
  <c r="AE39" i="11" s="1"/>
  <c r="AF39" i="11" s="1"/>
  <c r="AH39" i="11" s="1"/>
  <c r="AI39" i="11" s="1"/>
  <c r="F52" i="11"/>
  <c r="G52" i="11" s="1"/>
  <c r="H52" i="11" s="1"/>
  <c r="J52" i="11" s="1"/>
  <c r="K52" i="11" s="1"/>
  <c r="M52" i="11" s="1"/>
  <c r="N52" i="11" s="1"/>
  <c r="P52" i="11" s="1"/>
  <c r="Q52" i="11" s="1"/>
  <c r="S52" i="11" s="1"/>
  <c r="T52" i="11" s="1"/>
  <c r="V52" i="11" s="1"/>
  <c r="W52" i="11" s="1"/>
  <c r="Y52" i="11" s="1"/>
  <c r="Z52" i="11" s="1"/>
  <c r="AB52" i="11" s="1"/>
  <c r="AC52" i="11" s="1"/>
  <c r="AE52" i="11" s="1"/>
  <c r="AF52" i="11" s="1"/>
  <c r="AH52" i="11" s="1"/>
  <c r="AI52" i="11" s="1"/>
  <c r="AK52" i="11" s="1"/>
  <c r="AL52" i="11" s="1"/>
  <c r="AN52" i="11" s="1"/>
  <c r="DA97" i="9"/>
  <c r="BI97" i="9"/>
  <c r="BJ97" i="9" s="1"/>
  <c r="D1580" i="6"/>
  <c r="D462" i="6"/>
  <c r="D741" i="6"/>
  <c r="X236" i="10"/>
  <c r="H1517" i="6"/>
  <c r="Q212" i="10"/>
  <c r="P212" i="10"/>
  <c r="O126" i="11" s="1"/>
  <c r="G107" i="11"/>
  <c r="H107" i="11" s="1"/>
  <c r="V133" i="9"/>
  <c r="G136" i="11"/>
  <c r="H136" i="11" s="1"/>
  <c r="J136" i="11" s="1"/>
  <c r="K136" i="11" s="1"/>
  <c r="M136" i="11" s="1"/>
  <c r="N136" i="11" s="1"/>
  <c r="P136" i="11" s="1"/>
  <c r="Q136" i="11" s="1"/>
  <c r="S136" i="11" s="1"/>
  <c r="T136" i="11" s="1"/>
  <c r="V136" i="11" s="1"/>
  <c r="W136" i="11" s="1"/>
  <c r="Y136" i="11" s="1"/>
  <c r="Z136" i="11" s="1"/>
  <c r="AB136" i="11" s="1"/>
  <c r="AC136" i="11" s="1"/>
  <c r="AE136" i="11" s="1"/>
  <c r="AF136" i="11" s="1"/>
  <c r="AH136" i="11" s="1"/>
  <c r="AI136" i="11" s="1"/>
  <c r="AK136" i="11" s="1"/>
  <c r="AL136" i="11" s="1"/>
  <c r="AN136" i="11" s="1"/>
  <c r="G126" i="11"/>
  <c r="H126" i="11" s="1"/>
  <c r="J126" i="11" s="1"/>
  <c r="K126" i="11" s="1"/>
  <c r="M126" i="11" s="1"/>
  <c r="N126" i="11" s="1"/>
  <c r="L987" i="6"/>
  <c r="J207" i="6"/>
  <c r="L961" i="6"/>
  <c r="D246" i="7"/>
  <c r="J585" i="6"/>
  <c r="L1743" i="6"/>
  <c r="M859" i="6"/>
  <c r="J866" i="6"/>
  <c r="L139" i="6"/>
  <c r="M845" i="6"/>
  <c r="K835" i="6"/>
  <c r="M832" i="6"/>
  <c r="C177" i="6"/>
  <c r="K86" i="6"/>
  <c r="K1623" i="6"/>
  <c r="L1612" i="6"/>
  <c r="M840" i="6"/>
  <c r="N840" i="6" s="1"/>
  <c r="O840" i="6" s="1"/>
  <c r="P840" i="6" s="1"/>
  <c r="N838" i="6"/>
  <c r="L138" i="6"/>
  <c r="L460" i="7"/>
  <c r="J74" i="7"/>
  <c r="H450" i="5"/>
  <c r="I450" i="5" s="1"/>
  <c r="N364" i="5"/>
  <c r="H388" i="5"/>
  <c r="I388" i="5" s="1"/>
  <c r="L245" i="5"/>
  <c r="L463" i="4"/>
  <c r="D268" i="42"/>
  <c r="D269" i="42" s="1"/>
  <c r="R69" i="42"/>
  <c r="B33" i="60" s="1"/>
  <c r="B7" i="42"/>
  <c r="B69" i="42" s="1"/>
  <c r="A7" i="60" s="1"/>
  <c r="CH115" i="9"/>
  <c r="CU115" i="9"/>
  <c r="CH196" i="9"/>
  <c r="CU196" i="9"/>
  <c r="CJ30" i="9"/>
  <c r="CH93" i="9"/>
  <c r="CU93" i="9"/>
  <c r="CH152" i="9"/>
  <c r="CU152" i="9"/>
  <c r="CH110" i="9"/>
  <c r="CU110" i="9"/>
  <c r="CI118" i="9"/>
  <c r="CV118" i="9"/>
  <c r="CH153" i="9"/>
  <c r="CU153" i="9"/>
  <c r="CU210" i="9"/>
  <c r="CH210" i="9"/>
  <c r="CK59" i="9"/>
  <c r="CH155" i="9"/>
  <c r="CU155" i="9"/>
  <c r="Y219" i="9"/>
  <c r="CJ181" i="9"/>
  <c r="CU82" i="9"/>
  <c r="CH82" i="9"/>
  <c r="CH113" i="9"/>
  <c r="CU113" i="9"/>
  <c r="CH128" i="9"/>
  <c r="CU128" i="9"/>
  <c r="CU141" i="9"/>
  <c r="CH179" i="9"/>
  <c r="CU179" i="9"/>
  <c r="CH121" i="9"/>
  <c r="CU121" i="9"/>
  <c r="AP58" i="9"/>
  <c r="CT210" i="9"/>
  <c r="L133" i="10"/>
  <c r="J1117" i="7" s="1"/>
  <c r="J432" i="7" s="1"/>
  <c r="CH147" i="9"/>
  <c r="CU147" i="9"/>
  <c r="H744" i="6"/>
  <c r="I744" i="6" s="1"/>
  <c r="CT152" i="9"/>
  <c r="CT153" i="9"/>
  <c r="CH203" i="9"/>
  <c r="CU203" i="9"/>
  <c r="CV49" i="9"/>
  <c r="AK58" i="9"/>
  <c r="AK64" i="9" s="1"/>
  <c r="CU217" i="9"/>
  <c r="CH217" i="9"/>
  <c r="CI123" i="9"/>
  <c r="CI124" i="9"/>
  <c r="N28" i="37"/>
  <c r="AU121" i="9"/>
  <c r="BJ107" i="9"/>
  <c r="AZ183" i="9"/>
  <c r="CU79" i="9"/>
  <c r="CH79" i="9"/>
  <c r="DC58" i="9"/>
  <c r="CP58" i="9"/>
  <c r="CU123" i="9"/>
  <c r="CU124" i="9"/>
  <c r="O42" i="1"/>
  <c r="AZ107" i="9"/>
  <c r="CJ209" i="9"/>
  <c r="D255" i="10"/>
  <c r="C250" i="10"/>
  <c r="D250" i="10" s="1"/>
  <c r="V11" i="9"/>
  <c r="H688" i="6"/>
  <c r="I688" i="6" s="1"/>
  <c r="E392" i="9"/>
  <c r="V292" i="9"/>
  <c r="CG51" i="9"/>
  <c r="F66" i="9"/>
  <c r="AB64" i="9"/>
  <c r="H1118" i="7" s="1"/>
  <c r="CH154" i="9"/>
  <c r="CU154" i="9"/>
  <c r="CU213" i="9"/>
  <c r="CH213" i="9"/>
  <c r="Z339" i="9"/>
  <c r="AA307" i="9"/>
  <c r="K947" i="6"/>
  <c r="P170" i="10"/>
  <c r="CU209" i="9"/>
  <c r="CI50" i="9"/>
  <c r="CU198" i="9"/>
  <c r="CH198" i="9"/>
  <c r="CG206" i="9"/>
  <c r="F392" i="9"/>
  <c r="AO97" i="9"/>
  <c r="CH21" i="9"/>
  <c r="CU21" i="9"/>
  <c r="CH156" i="9"/>
  <c r="CU156" i="9"/>
  <c r="CT198" i="9"/>
  <c r="D773" i="4"/>
  <c r="D254" i="4" s="1"/>
  <c r="CU100" i="9"/>
  <c r="CH100" i="9"/>
  <c r="CT100" i="9"/>
  <c r="G42" i="1"/>
  <c r="I46" i="58"/>
  <c r="I44" i="58" s="1"/>
  <c r="L744" i="6"/>
  <c r="J463" i="6"/>
  <c r="M171" i="10"/>
  <c r="G182" i="10"/>
  <c r="F112" i="11" s="1"/>
  <c r="G112" i="11" s="1"/>
  <c r="H112" i="11" s="1"/>
  <c r="J112" i="11" s="1"/>
  <c r="K112" i="11" s="1"/>
  <c r="M112" i="11" s="1"/>
  <c r="N112" i="11" s="1"/>
  <c r="P112" i="11" s="1"/>
  <c r="Q112" i="11" s="1"/>
  <c r="S112" i="11" s="1"/>
  <c r="T112" i="11" s="1"/>
  <c r="V112" i="11" s="1"/>
  <c r="W112" i="11" s="1"/>
  <c r="Y112" i="11" s="1"/>
  <c r="Z112" i="11" s="1"/>
  <c r="AB112" i="11" s="1"/>
  <c r="AC112" i="11" s="1"/>
  <c r="AE112" i="11" s="1"/>
  <c r="AF112" i="11" s="1"/>
  <c r="AH112" i="11" s="1"/>
  <c r="AI112" i="11" s="1"/>
  <c r="AK112" i="11" s="1"/>
  <c r="AL112" i="11" s="1"/>
  <c r="AN112" i="11" s="1"/>
  <c r="AL66" i="9"/>
  <c r="K1118" i="7"/>
  <c r="K433" i="7" s="1"/>
  <c r="AD66" i="9"/>
  <c r="D1118" i="7"/>
  <c r="D433" i="7" s="1"/>
  <c r="S66" i="9"/>
  <c r="F89" i="14"/>
  <c r="N46" i="58"/>
  <c r="N44" i="58" s="1"/>
  <c r="D204" i="4"/>
  <c r="D43" i="4" s="1"/>
  <c r="M810" i="6"/>
  <c r="M116" i="6" s="1"/>
  <c r="M46" i="58"/>
  <c r="M44" i="58" s="1"/>
  <c r="P744" i="6"/>
  <c r="AB171" i="10"/>
  <c r="O947" i="6"/>
  <c r="C290" i="3"/>
  <c r="K284" i="3"/>
  <c r="A139" i="3"/>
  <c r="A142" i="3" s="1"/>
  <c r="B117" i="3"/>
  <c r="AF61" i="9"/>
  <c r="AF64" i="9" s="1"/>
  <c r="AF66" i="9" s="1"/>
  <c r="I133" i="10"/>
  <c r="H1117" i="7" s="1"/>
  <c r="AE64" i="9"/>
  <c r="AE66" i="9" s="1"/>
  <c r="H209" i="14"/>
  <c r="G189" i="14"/>
  <c r="D169" i="14"/>
  <c r="K1049" i="7"/>
  <c r="L1049" i="7" s="1"/>
  <c r="M1049" i="7" s="1"/>
  <c r="J405" i="7"/>
  <c r="G16" i="48"/>
  <c r="C48" i="7"/>
  <c r="B21" i="3" s="1"/>
  <c r="D57" i="48"/>
  <c r="L104" i="26"/>
  <c r="L106" i="26" s="1"/>
  <c r="P19" i="26"/>
  <c r="L768" i="7"/>
  <c r="L279" i="7" s="1"/>
  <c r="F17" i="48"/>
  <c r="J103" i="10"/>
  <c r="S32" i="42"/>
  <c r="D32" i="42" s="1"/>
  <c r="K123" i="13"/>
  <c r="W32" i="42"/>
  <c r="H32" i="42" s="1"/>
  <c r="G14" i="48"/>
  <c r="K793" i="7"/>
  <c r="K642" i="7"/>
  <c r="J906" i="7"/>
  <c r="H344" i="7"/>
  <c r="I344" i="7" s="1"/>
  <c r="J554" i="7"/>
  <c r="H132" i="7"/>
  <c r="H64" i="7"/>
  <c r="I64" i="7" s="1"/>
  <c r="J448" i="7"/>
  <c r="J1106" i="7"/>
  <c r="H336" i="7"/>
  <c r="I336" i="7" s="1"/>
  <c r="J584" i="7"/>
  <c r="J1154" i="7" s="1"/>
  <c r="J868" i="7"/>
  <c r="H135" i="7"/>
  <c r="I135" i="7" s="1"/>
  <c r="G111" i="3"/>
  <c r="J66" i="10"/>
  <c r="K673" i="7"/>
  <c r="K700" i="7"/>
  <c r="C106" i="7"/>
  <c r="H88" i="7"/>
  <c r="I88" i="7" s="1"/>
  <c r="O22" i="26"/>
  <c r="H141" i="7"/>
  <c r="I141" i="7" s="1"/>
  <c r="K451" i="7"/>
  <c r="L451" i="7" s="1"/>
  <c r="M451" i="7" s="1"/>
  <c r="A48" i="7"/>
  <c r="K98" i="26"/>
  <c r="K100" i="26" s="1"/>
  <c r="D1156" i="7"/>
  <c r="R825" i="7"/>
  <c r="R723" i="7"/>
  <c r="R125" i="7"/>
  <c r="H82" i="7"/>
  <c r="I82" i="7" s="1"/>
  <c r="H341" i="7"/>
  <c r="I341" i="7" s="1"/>
  <c r="G777" i="34"/>
  <c r="R785" i="7"/>
  <c r="R1124" i="7"/>
  <c r="R666" i="7"/>
  <c r="R257" i="7"/>
  <c r="R59" i="7"/>
  <c r="A50" i="7"/>
  <c r="G65" i="10"/>
  <c r="C197" i="7"/>
  <c r="C20" i="7" s="1"/>
  <c r="R538" i="7"/>
  <c r="AK44" i="10"/>
  <c r="S116" i="7" s="1"/>
  <c r="L897" i="7"/>
  <c r="L779" i="7"/>
  <c r="K454" i="7"/>
  <c r="L840" i="7"/>
  <c r="L872" i="7"/>
  <c r="H111" i="3"/>
  <c r="K1051" i="7"/>
  <c r="A192" i="15"/>
  <c r="A137" i="15" s="1"/>
  <c r="A161" i="15" s="1"/>
  <c r="A65" i="13"/>
  <c r="C160" i="15"/>
  <c r="G97" i="10"/>
  <c r="G116" i="10" s="1"/>
  <c r="E116" i="10"/>
  <c r="C1153" i="7"/>
  <c r="B5" i="3" s="1"/>
  <c r="A342" i="7"/>
  <c r="D261" i="42"/>
  <c r="G123" i="13"/>
  <c r="C123" i="13"/>
  <c r="H57" i="48"/>
  <c r="H736" i="34"/>
  <c r="A106" i="7"/>
  <c r="H942" i="7"/>
  <c r="I942" i="7" s="1"/>
  <c r="E32" i="42"/>
  <c r="H101" i="10"/>
  <c r="J101" i="10" s="1"/>
  <c r="H89" i="7"/>
  <c r="I89" i="7" s="1"/>
  <c r="A236" i="7"/>
  <c r="J397" i="7"/>
  <c r="C738" i="34"/>
  <c r="P42" i="1"/>
  <c r="V32" i="42"/>
  <c r="G32" i="42" s="1"/>
  <c r="G66" i="10"/>
  <c r="J89" i="48"/>
  <c r="K14" i="48"/>
  <c r="D999" i="7"/>
  <c r="L622" i="7"/>
  <c r="J214" i="15"/>
  <c r="J159" i="15" s="1"/>
  <c r="I122" i="13"/>
  <c r="X31" i="42"/>
  <c r="I31" i="42" s="1"/>
  <c r="K279" i="7"/>
  <c r="J41" i="7"/>
  <c r="J1156" i="7"/>
  <c r="N41" i="7"/>
  <c r="N1156" i="7"/>
  <c r="B1156" i="7"/>
  <c r="B41" i="7"/>
  <c r="Q31" i="42"/>
  <c r="B31" i="42" s="1"/>
  <c r="A214" i="15"/>
  <c r="A159" i="15" s="1"/>
  <c r="A122" i="13"/>
  <c r="K41" i="7"/>
  <c r="K1156" i="7"/>
  <c r="O41" i="7"/>
  <c r="O1156" i="7"/>
  <c r="C41" i="7"/>
  <c r="C1156" i="7"/>
  <c r="J279" i="7"/>
  <c r="B14" i="13"/>
  <c r="L1156" i="7"/>
  <c r="L41" i="7"/>
  <c r="P1156" i="7"/>
  <c r="P41" i="7"/>
  <c r="D40" i="7"/>
  <c r="R31" i="42"/>
  <c r="C31" i="42" s="1"/>
  <c r="B214" i="15"/>
  <c r="B159" i="15" s="1"/>
  <c r="B122" i="13"/>
  <c r="A14" i="13"/>
  <c r="M1156" i="7"/>
  <c r="M41" i="7"/>
  <c r="A1156" i="7"/>
  <c r="A41" i="7"/>
  <c r="N42" i="1"/>
  <c r="G776" i="34"/>
  <c r="Q30" i="42"/>
  <c r="B30" i="42" s="1"/>
  <c r="Q41" i="7"/>
  <c r="Q1156" i="7"/>
  <c r="H80" i="7"/>
  <c r="I80" i="7" s="1"/>
  <c r="H279" i="7"/>
  <c r="I279" i="7" s="1"/>
  <c r="H703" i="7"/>
  <c r="Q32" i="42"/>
  <c r="B32" i="42" s="1"/>
  <c r="B261" i="42"/>
  <c r="A215" i="15"/>
  <c r="A160" i="15" s="1"/>
  <c r="J387" i="7"/>
  <c r="J386" i="7"/>
  <c r="K1031" i="7"/>
  <c r="K1025" i="7"/>
  <c r="K392" i="7" s="1"/>
  <c r="H778" i="34"/>
  <c r="K1023" i="7"/>
  <c r="K1073" i="7" s="1"/>
  <c r="M224" i="5"/>
  <c r="L348" i="5"/>
  <c r="K125" i="5"/>
  <c r="K288" i="5"/>
  <c r="J307" i="5"/>
  <c r="J89" i="5"/>
  <c r="J91" i="5" s="1"/>
  <c r="J178" i="5"/>
  <c r="K416" i="5"/>
  <c r="J126" i="5"/>
  <c r="J361" i="5"/>
  <c r="L432" i="5"/>
  <c r="H111" i="13"/>
  <c r="H93" i="13"/>
  <c r="L382" i="5"/>
  <c r="H497" i="5"/>
  <c r="I497" i="5" s="1"/>
  <c r="H8" i="5"/>
  <c r="I8" i="5" s="1"/>
  <c r="Q106" i="42"/>
  <c r="K433" i="5"/>
  <c r="K410" i="5"/>
  <c r="J419" i="5"/>
  <c r="J175" i="5"/>
  <c r="H319" i="5"/>
  <c r="I319" i="5" s="1"/>
  <c r="H95" i="5"/>
  <c r="I95" i="5" s="1"/>
  <c r="J128" i="5"/>
  <c r="K358" i="5"/>
  <c r="H131" i="5"/>
  <c r="H522" i="5"/>
  <c r="H39" i="5"/>
  <c r="H521" i="5"/>
  <c r="H38" i="5"/>
  <c r="G38" i="3" s="1"/>
  <c r="J524" i="5"/>
  <c r="J41" i="5"/>
  <c r="H68" i="3" s="1"/>
  <c r="J521" i="5"/>
  <c r="J38" i="5"/>
  <c r="H38" i="3" s="1"/>
  <c r="J37" i="5"/>
  <c r="J520" i="5"/>
  <c r="K524" i="5"/>
  <c r="K41" i="5"/>
  <c r="I68" i="3" s="1"/>
  <c r="O520" i="5"/>
  <c r="O37" i="5"/>
  <c r="C37" i="5"/>
  <c r="C520" i="5"/>
  <c r="C162" i="5"/>
  <c r="C399" i="5"/>
  <c r="D523" i="5"/>
  <c r="D40" i="5"/>
  <c r="C60" i="3" s="1"/>
  <c r="H225" i="3"/>
  <c r="H226" i="3" s="1"/>
  <c r="J142" i="5"/>
  <c r="J124" i="5"/>
  <c r="K342" i="5"/>
  <c r="K372" i="5"/>
  <c r="J138" i="5"/>
  <c r="K464" i="5"/>
  <c r="K3" i="8"/>
  <c r="K414" i="8" s="1"/>
  <c r="K404" i="5"/>
  <c r="K1661" i="6"/>
  <c r="I18" i="12"/>
  <c r="K492" i="5"/>
  <c r="K214" i="5"/>
  <c r="K85" i="5"/>
  <c r="K518" i="5"/>
  <c r="K338" i="5"/>
  <c r="K279" i="5"/>
  <c r="O279" i="5"/>
  <c r="O338" i="5"/>
  <c r="O3" i="8"/>
  <c r="O414" i="8" s="1"/>
  <c r="O170" i="5"/>
  <c r="O475" i="5"/>
  <c r="O464" i="5"/>
  <c r="O518" i="5"/>
  <c r="O529" i="6"/>
  <c r="O1661" i="6"/>
  <c r="L41" i="5"/>
  <c r="J68" i="3" s="1"/>
  <c r="M37" i="5"/>
  <c r="M520" i="5"/>
  <c r="N37" i="5"/>
  <c r="N520" i="5"/>
  <c r="L22" i="3" s="1"/>
  <c r="H520" i="5"/>
  <c r="I520" i="5" s="1"/>
  <c r="H37" i="5"/>
  <c r="I37" i="5" s="1"/>
  <c r="Q39" i="5"/>
  <c r="O46" i="3" s="1"/>
  <c r="Q522" i="5"/>
  <c r="Q3" i="8"/>
  <c r="Q414" i="8" s="1"/>
  <c r="Q492" i="5"/>
  <c r="Q85" i="5"/>
  <c r="Q404" i="5"/>
  <c r="Q475" i="5"/>
  <c r="Q119" i="5"/>
  <c r="Q214" i="5"/>
  <c r="O18" i="12"/>
  <c r="Q279" i="5"/>
  <c r="Q464" i="5"/>
  <c r="R39" i="5"/>
  <c r="P46" i="3" s="1"/>
  <c r="R522" i="5"/>
  <c r="K38" i="5"/>
  <c r="I38" i="3" s="1"/>
  <c r="K521" i="5"/>
  <c r="M984" i="6"/>
  <c r="L205" i="6"/>
  <c r="K204" i="6"/>
  <c r="L983" i="6"/>
  <c r="J204" i="6"/>
  <c r="AK21" i="42"/>
  <c r="H85" i="15" s="1"/>
  <c r="J59" i="8"/>
  <c r="O263" i="8"/>
  <c r="C7" i="42"/>
  <c r="C69" i="42" s="1"/>
  <c r="B7" i="60" s="1"/>
  <c r="F598" i="34"/>
  <c r="F599" i="34" s="1"/>
  <c r="F601" i="34" s="1"/>
  <c r="F242" i="34" s="1"/>
  <c r="D640" i="6"/>
  <c r="B43" i="58"/>
  <c r="P522" i="5"/>
  <c r="J1119" i="7"/>
  <c r="J434" i="7" s="1"/>
  <c r="H66" i="9"/>
  <c r="J249" i="7"/>
  <c r="F199" i="15"/>
  <c r="U41" i="42"/>
  <c r="F41" i="42" s="1"/>
  <c r="I199" i="15"/>
  <c r="I144" i="15" s="1"/>
  <c r="L535" i="4"/>
  <c r="L525" i="4"/>
  <c r="L479" i="4"/>
  <c r="E39" i="10"/>
  <c r="Q801" i="4"/>
  <c r="L475" i="4"/>
  <c r="J818" i="4"/>
  <c r="J723" i="4"/>
  <c r="G115" i="3"/>
  <c r="K627" i="4"/>
  <c r="L627" i="4" s="1"/>
  <c r="M627" i="4" s="1"/>
  <c r="H173" i="4"/>
  <c r="I173" i="4" s="1"/>
  <c r="J365" i="4"/>
  <c r="J69" i="4" s="1"/>
  <c r="M111" i="13"/>
  <c r="M93" i="13"/>
  <c r="N93" i="13"/>
  <c r="N111" i="13"/>
  <c r="B4" i="42"/>
  <c r="B68" i="42" s="1"/>
  <c r="J761" i="4"/>
  <c r="O111" i="13"/>
  <c r="O93" i="13"/>
  <c r="J507" i="4"/>
  <c r="J500" i="4"/>
  <c r="J496" i="4"/>
  <c r="J504" i="4"/>
  <c r="J497" i="4"/>
  <c r="J17" i="10"/>
  <c r="O65" i="1"/>
  <c r="P65" i="1" s="1"/>
  <c r="Q65" i="1" s="1"/>
  <c r="O178" i="8"/>
  <c r="N71" i="1"/>
  <c r="N111" i="1"/>
  <c r="O64" i="1"/>
  <c r="P64" i="1" s="1"/>
  <c r="Q64" i="1" s="1"/>
  <c r="O172" i="8"/>
  <c r="N107" i="1"/>
  <c r="N171" i="8"/>
  <c r="P60" i="1"/>
  <c r="P59" i="1"/>
  <c r="Q59" i="1" s="1"/>
  <c r="Q52" i="1"/>
  <c r="P362" i="8"/>
  <c r="M106" i="1"/>
  <c r="K18" i="17"/>
  <c r="BB41" i="42"/>
  <c r="J301" i="15"/>
  <c r="J119" i="17"/>
  <c r="G337" i="34"/>
  <c r="G744" i="34"/>
  <c r="E33" i="60"/>
  <c r="M1134" i="6" l="1"/>
  <c r="M751" i="4"/>
  <c r="M1618" i="6"/>
  <c r="M521" i="4"/>
  <c r="M914" i="6"/>
  <c r="M895" i="6"/>
  <c r="M896" i="6"/>
  <c r="M1047" i="6"/>
  <c r="M1039" i="6"/>
  <c r="M1050" i="6"/>
  <c r="M1041" i="6"/>
  <c r="M1054" i="6"/>
  <c r="M1091" i="6"/>
  <c r="M212" i="8"/>
  <c r="M322" i="8"/>
  <c r="M522" i="4"/>
  <c r="I744" i="34"/>
  <c r="M1061" i="6"/>
  <c r="M1049" i="6"/>
  <c r="M1055" i="6"/>
  <c r="M374" i="8"/>
  <c r="M920" i="6"/>
  <c r="M501" i="8"/>
  <c r="M1060" i="6"/>
  <c r="M1043" i="6"/>
  <c r="M1040" i="6"/>
  <c r="M1045" i="6"/>
  <c r="M828" i="6"/>
  <c r="M518" i="4"/>
  <c r="M724" i="4"/>
  <c r="M438" i="4"/>
  <c r="M930" i="6"/>
  <c r="M1042" i="6"/>
  <c r="M1048" i="6"/>
  <c r="M1059" i="6"/>
  <c r="M1044" i="6"/>
  <c r="M1057" i="6"/>
  <c r="R85" i="11"/>
  <c r="U3" i="11"/>
  <c r="AB85" i="11"/>
  <c r="AE3" i="11"/>
  <c r="Q3" i="11"/>
  <c r="N85" i="11"/>
  <c r="E899" i="4"/>
  <c r="AK22" i="42"/>
  <c r="J21" i="8"/>
  <c r="J85" i="8"/>
  <c r="A118" i="17"/>
  <c r="C199" i="34"/>
  <c r="M64" i="8"/>
  <c r="C72" i="15"/>
  <c r="H178" i="3"/>
  <c r="B530" i="34"/>
  <c r="C86" i="15"/>
  <c r="E326" i="34" s="1"/>
  <c r="K61" i="8"/>
  <c r="L64" i="8"/>
  <c r="K64" i="8"/>
  <c r="C115" i="16"/>
  <c r="K742" i="34"/>
  <c r="I87" i="16"/>
  <c r="I90" i="16" s="1"/>
  <c r="I34" i="16" s="1"/>
  <c r="K57" i="8"/>
  <c r="B256" i="15"/>
  <c r="B260" i="15" s="1"/>
  <c r="B34" i="3"/>
  <c r="D109" i="34"/>
  <c r="D444" i="34" s="1"/>
  <c r="D445" i="34" s="1"/>
  <c r="D113" i="34"/>
  <c r="AW10" i="42"/>
  <c r="D152" i="42" s="1"/>
  <c r="L57" i="8"/>
  <c r="C28" i="8"/>
  <c r="I493" i="34"/>
  <c r="O550" i="34"/>
  <c r="O552" i="34" s="1"/>
  <c r="O561" i="34" s="1"/>
  <c r="O254" i="34" s="1"/>
  <c r="A10" i="15"/>
  <c r="AK52" i="42"/>
  <c r="L63" i="8"/>
  <c r="K289" i="45"/>
  <c r="K294" i="45"/>
  <c r="A579" i="8"/>
  <c r="L405" i="6"/>
  <c r="M1286" i="6"/>
  <c r="J29" i="45"/>
  <c r="U31" i="58"/>
  <c r="J667" i="6"/>
  <c r="A276" i="6"/>
  <c r="K643" i="6"/>
  <c r="J712" i="6"/>
  <c r="C119" i="42"/>
  <c r="C733" i="6"/>
  <c r="J868" i="6"/>
  <c r="J669" i="6"/>
  <c r="O54" i="6"/>
  <c r="C54" i="6"/>
  <c r="B13" i="6"/>
  <c r="B45" i="6" s="1"/>
  <c r="E738" i="34"/>
  <c r="E740" i="34" s="1"/>
  <c r="E216" i="34" s="1"/>
  <c r="E795" i="34" s="1"/>
  <c r="E801" i="34" s="1"/>
  <c r="G36" i="45"/>
  <c r="D371" i="6"/>
  <c r="D381" i="6" s="1"/>
  <c r="D383" i="6" s="1"/>
  <c r="D394" i="6" s="1"/>
  <c r="K207" i="6"/>
  <c r="M824" i="6"/>
  <c r="C10" i="6"/>
  <c r="B116" i="42"/>
  <c r="K137" i="6"/>
  <c r="L263" i="6"/>
  <c r="L1133" i="6"/>
  <c r="M1133" i="6" s="1"/>
  <c r="K1675" i="6"/>
  <c r="L1367" i="6"/>
  <c r="C1372" i="6"/>
  <c r="C1375" i="6" s="1"/>
  <c r="C1383" i="6" s="1"/>
  <c r="B276" i="6"/>
  <c r="B2076" i="6" s="1"/>
  <c r="E230" i="6"/>
  <c r="I230" i="6" s="1"/>
  <c r="M770" i="6"/>
  <c r="K139" i="6"/>
  <c r="L33" i="45"/>
  <c r="G156" i="11"/>
  <c r="H156" i="11" s="1"/>
  <c r="K152" i="6"/>
  <c r="K140" i="6"/>
  <c r="K329" i="6"/>
  <c r="K321" i="6"/>
  <c r="K410" i="6"/>
  <c r="D738" i="34"/>
  <c r="L260" i="6"/>
  <c r="J98" i="6"/>
  <c r="A549" i="6"/>
  <c r="K33" i="45"/>
  <c r="L824" i="6"/>
  <c r="A451" i="6"/>
  <c r="J86" i="6"/>
  <c r="J426" i="6"/>
  <c r="L145" i="6"/>
  <c r="S145" i="7"/>
  <c r="S538" i="7"/>
  <c r="S115" i="7" s="1"/>
  <c r="AN44" i="10"/>
  <c r="AM26" i="11" s="1"/>
  <c r="N100" i="26"/>
  <c r="M100" i="26"/>
  <c r="L849" i="7"/>
  <c r="H1080" i="6"/>
  <c r="I1080" i="6" s="1"/>
  <c r="C199" i="15"/>
  <c r="C144" i="15" s="1"/>
  <c r="S41" i="42"/>
  <c r="D41" i="42" s="1"/>
  <c r="L125" i="40"/>
  <c r="K126" i="40"/>
  <c r="W98" i="10" s="1"/>
  <c r="C161" i="42"/>
  <c r="J742" i="34"/>
  <c r="Q492" i="34"/>
  <c r="AT52" i="42"/>
  <c r="L122" i="4"/>
  <c r="L160" i="4" s="1"/>
  <c r="K108" i="4"/>
  <c r="L442" i="4"/>
  <c r="D76" i="4"/>
  <c r="B80" i="4"/>
  <c r="J76" i="4"/>
  <c r="B265" i="4"/>
  <c r="B267" i="4" s="1"/>
  <c r="L360" i="4"/>
  <c r="L364" i="4"/>
  <c r="K68" i="4"/>
  <c r="L366" i="4"/>
  <c r="L367" i="4"/>
  <c r="L368" i="4"/>
  <c r="S572" i="8"/>
  <c r="S556" i="8"/>
  <c r="S546" i="8"/>
  <c r="P183" i="9"/>
  <c r="R46" i="1"/>
  <c r="Q183" i="9" s="1"/>
  <c r="CC183" i="9" s="1"/>
  <c r="CD183" i="9" s="1"/>
  <c r="C85" i="15"/>
  <c r="C23" i="15" s="1"/>
  <c r="D81" i="13"/>
  <c r="T50" i="42" s="1"/>
  <c r="S286" i="6"/>
  <c r="V210" i="9"/>
  <c r="CC210" i="9"/>
  <c r="CD59" i="9"/>
  <c r="Q19" i="15"/>
  <c r="B45" i="42"/>
  <c r="AF52" i="42"/>
  <c r="Q24" i="26"/>
  <c r="B28" i="8"/>
  <c r="F102" i="20"/>
  <c r="B203" i="3" s="1"/>
  <c r="F100" i="20"/>
  <c r="C203" i="3"/>
  <c r="L20" i="20"/>
  <c r="L23" i="20" s="1"/>
  <c r="D155" i="8"/>
  <c r="C40" i="17"/>
  <c r="A112" i="17"/>
  <c r="A113" i="17" s="1"/>
  <c r="AU50" i="42"/>
  <c r="A33" i="3"/>
  <c r="A34" i="3" s="1"/>
  <c r="A310" i="15"/>
  <c r="A174" i="3"/>
  <c r="A175" i="3" s="1"/>
  <c r="D504" i="34"/>
  <c r="D564" i="34" s="1"/>
  <c r="D518" i="34" s="1"/>
  <c r="AV52" i="42"/>
  <c r="AV54" i="42" s="1"/>
  <c r="I60" i="20"/>
  <c r="J98" i="20"/>
  <c r="H173" i="3" s="1"/>
  <c r="P12" i="20"/>
  <c r="P16" i="20" s="1"/>
  <c r="G100" i="20"/>
  <c r="H50" i="20"/>
  <c r="H102" i="20" s="1"/>
  <c r="E155" i="8"/>
  <c r="D40" i="17"/>
  <c r="CS126" i="22"/>
  <c r="CF126" i="22"/>
  <c r="Q111" i="17"/>
  <c r="CK33" i="21"/>
  <c r="BX33" i="21"/>
  <c r="F50" i="19"/>
  <c r="F103" i="19"/>
  <c r="T103" i="19" s="1"/>
  <c r="T48" i="19"/>
  <c r="T50" i="19" s="1"/>
  <c r="BC3" i="21"/>
  <c r="AZ3" i="22"/>
  <c r="AZ92" i="22" s="1"/>
  <c r="AZ142" i="22" s="1"/>
  <c r="AX3" i="21"/>
  <c r="AU3" i="22"/>
  <c r="AU92" i="22" s="1"/>
  <c r="AU142" i="22" s="1"/>
  <c r="F104" i="19"/>
  <c r="T104" i="19" s="1"/>
  <c r="T49" i="19"/>
  <c r="BA3" i="22"/>
  <c r="BA92" i="22" s="1"/>
  <c r="BA142" i="22" s="1"/>
  <c r="BD3" i="21"/>
  <c r="BF3" i="22"/>
  <c r="BF92" i="22" s="1"/>
  <c r="BF142" i="22" s="1"/>
  <c r="O149" i="22" s="1"/>
  <c r="BI3" i="21"/>
  <c r="AI49" i="42"/>
  <c r="AI52" i="42" s="1"/>
  <c r="AI54" i="42" s="1"/>
  <c r="Q113" i="16"/>
  <c r="Q115" i="16" s="1"/>
  <c r="G53" i="19"/>
  <c r="T54" i="19"/>
  <c r="D72" i="16"/>
  <c r="D76" i="3" s="1"/>
  <c r="D275" i="15"/>
  <c r="F119" i="14"/>
  <c r="S119" i="14" s="1"/>
  <c r="DD58" i="9"/>
  <c r="CQ58" i="9"/>
  <c r="DE58" i="9" s="1"/>
  <c r="DD9" i="9"/>
  <c r="CQ9" i="9"/>
  <c r="DE9" i="9" s="1"/>
  <c r="V10" i="9"/>
  <c r="AH170" i="10"/>
  <c r="Q947" i="6"/>
  <c r="Q176" i="6" s="1"/>
  <c r="A71" i="15"/>
  <c r="A101" i="15"/>
  <c r="A8" i="15" s="1"/>
  <c r="A102" i="15"/>
  <c r="C771" i="34"/>
  <c r="C779" i="34" s="1"/>
  <c r="Q11" i="42"/>
  <c r="A43" i="15" s="1"/>
  <c r="A12" i="15" s="1"/>
  <c r="Q840" i="6"/>
  <c r="R840" i="6" s="1"/>
  <c r="S840" i="6" s="1"/>
  <c r="Q1791" i="6"/>
  <c r="R1791" i="6" s="1"/>
  <c r="S1791" i="6" s="1"/>
  <c r="C233" i="3"/>
  <c r="P237" i="15"/>
  <c r="P3" i="15"/>
  <c r="I618" i="34"/>
  <c r="J618" i="34" s="1"/>
  <c r="F620" i="34"/>
  <c r="G622" i="34" s="1"/>
  <c r="G623" i="34" s="1"/>
  <c r="O607" i="34"/>
  <c r="P607" i="34" s="1"/>
  <c r="I593" i="34"/>
  <c r="J593" i="34" s="1"/>
  <c r="M594" i="34"/>
  <c r="P178" i="8"/>
  <c r="Q178" i="8" s="1"/>
  <c r="R178" i="8" s="1"/>
  <c r="S178" i="8" s="1"/>
  <c r="K287" i="3"/>
  <c r="K297" i="3" s="1"/>
  <c r="M69" i="1"/>
  <c r="K64" i="20"/>
  <c r="K1038" i="7"/>
  <c r="K1034" i="7"/>
  <c r="K1032" i="7"/>
  <c r="K28" i="1"/>
  <c r="L28" i="1" s="1"/>
  <c r="M28" i="1" s="1"/>
  <c r="N28" i="1" s="1"/>
  <c r="O28" i="1" s="1"/>
  <c r="P28" i="1" s="1"/>
  <c r="Q28" i="1" s="1"/>
  <c r="R28" i="1" s="1"/>
  <c r="G183" i="9"/>
  <c r="H48" i="1"/>
  <c r="I250" i="10" s="1"/>
  <c r="H1972" i="6" s="1"/>
  <c r="K1033" i="7"/>
  <c r="K1037" i="7"/>
  <c r="K1021" i="7"/>
  <c r="J384" i="7"/>
  <c r="Q60" i="1"/>
  <c r="O111" i="1"/>
  <c r="P111" i="1" s="1"/>
  <c r="Q111" i="1" s="1"/>
  <c r="R111" i="1" s="1"/>
  <c r="K29" i="1"/>
  <c r="L29" i="1" s="1"/>
  <c r="M29" i="1" s="1"/>
  <c r="N29" i="1" s="1"/>
  <c r="O29" i="1" s="1"/>
  <c r="P29" i="1" s="1"/>
  <c r="Q29" i="1" s="1"/>
  <c r="R29" i="1" s="1"/>
  <c r="C92" i="19"/>
  <c r="N15" i="1"/>
  <c r="C32" i="19"/>
  <c r="C87" i="20"/>
  <c r="O89" i="20" s="1"/>
  <c r="H77" i="1"/>
  <c r="I77" i="1" s="1"/>
  <c r="J77" i="1" s="1"/>
  <c r="K77" i="1" s="1"/>
  <c r="L77" i="1" s="1"/>
  <c r="M77" i="1" s="1"/>
  <c r="N77" i="1" s="1"/>
  <c r="O77" i="1" s="1"/>
  <c r="P77" i="1" s="1"/>
  <c r="Q77" i="1" s="1"/>
  <c r="G76" i="1"/>
  <c r="J743" i="34"/>
  <c r="I751" i="34"/>
  <c r="K16" i="1"/>
  <c r="L16" i="1" s="1"/>
  <c r="K1039" i="7"/>
  <c r="K1042" i="7"/>
  <c r="K1040" i="7"/>
  <c r="L1040" i="7" s="1"/>
  <c r="M1040" i="7" s="1"/>
  <c r="K1022" i="7"/>
  <c r="L1022" i="7" s="1"/>
  <c r="M1022" i="7" s="1"/>
  <c r="K72" i="1"/>
  <c r="J75" i="1"/>
  <c r="P172" i="8"/>
  <c r="Q172" i="8" s="1"/>
  <c r="R172" i="8" s="1"/>
  <c r="S172" i="8" s="1"/>
  <c r="AV118" i="9"/>
  <c r="I97" i="1"/>
  <c r="J90" i="1"/>
  <c r="K1041" i="7"/>
  <c r="K1036" i="7"/>
  <c r="O30" i="1"/>
  <c r="N32" i="1"/>
  <c r="N33" i="1" s="1"/>
  <c r="F113" i="34"/>
  <c r="F115" i="34" s="1"/>
  <c r="F109" i="34"/>
  <c r="AK114" i="9"/>
  <c r="I37" i="1"/>
  <c r="CV114" i="9"/>
  <c r="L247" i="5"/>
  <c r="C117" i="34"/>
  <c r="C120" i="34" s="1"/>
  <c r="C122" i="34" s="1"/>
  <c r="I40" i="16"/>
  <c r="K346" i="8"/>
  <c r="K95" i="8" s="1"/>
  <c r="L257" i="5"/>
  <c r="K62" i="5"/>
  <c r="L527" i="7"/>
  <c r="K104" i="7"/>
  <c r="L1740" i="6"/>
  <c r="M556" i="4"/>
  <c r="L375" i="4"/>
  <c r="K75" i="4"/>
  <c r="M425" i="5"/>
  <c r="M341" i="5"/>
  <c r="M1190" i="6"/>
  <c r="M480" i="7"/>
  <c r="M225" i="5"/>
  <c r="M507" i="8"/>
  <c r="M504" i="8"/>
  <c r="M1828" i="6"/>
  <c r="M1284" i="6"/>
  <c r="M377" i="5"/>
  <c r="M283" i="5"/>
  <c r="M921" i="6"/>
  <c r="M1192" i="6"/>
  <c r="M1352" i="6"/>
  <c r="M511" i="7"/>
  <c r="M753" i="7"/>
  <c r="M227" i="5"/>
  <c r="M407" i="5"/>
  <c r="M465" i="8"/>
  <c r="M271" i="8"/>
  <c r="M629" i="7"/>
  <c r="M188" i="7" s="1"/>
  <c r="M748" i="7"/>
  <c r="M245" i="8"/>
  <c r="M769" i="7"/>
  <c r="M430" i="5"/>
  <c r="M509" i="7"/>
  <c r="M455" i="8"/>
  <c r="M503" i="8"/>
  <c r="M733" i="7"/>
  <c r="M727" i="4"/>
  <c r="M220" i="4" s="1"/>
  <c r="M1836" i="6"/>
  <c r="M440" i="5"/>
  <c r="M777" i="6"/>
  <c r="M733" i="4"/>
  <c r="M513" i="4"/>
  <c r="M17" i="27"/>
  <c r="M365" i="5"/>
  <c r="M189" i="8"/>
  <c r="M1254" i="6"/>
  <c r="M493" i="8"/>
  <c r="M297" i="8"/>
  <c r="M44" i="27"/>
  <c r="M904" i="6"/>
  <c r="M272" i="8"/>
  <c r="M757" i="4"/>
  <c r="M439" i="4"/>
  <c r="M273" i="8"/>
  <c r="M284" i="8"/>
  <c r="M279" i="8"/>
  <c r="M49" i="27"/>
  <c r="M13" i="27"/>
  <c r="M29" i="27"/>
  <c r="J429" i="34"/>
  <c r="M471" i="8"/>
  <c r="M511" i="4"/>
  <c r="M776" i="7"/>
  <c r="L26" i="1"/>
  <c r="M26" i="1" s="1"/>
  <c r="N26" i="1" s="1"/>
  <c r="O26" i="1" s="1"/>
  <c r="P26" i="1" s="1"/>
  <c r="Q26" i="1" s="1"/>
  <c r="R26" i="1" s="1"/>
  <c r="L1792" i="6"/>
  <c r="L627" i="6" s="1"/>
  <c r="O107" i="9"/>
  <c r="BS107" i="9" s="1"/>
  <c r="BT107" i="9" s="1"/>
  <c r="Q47" i="1"/>
  <c r="J286" i="3"/>
  <c r="L58" i="1"/>
  <c r="L317" i="5"/>
  <c r="K97" i="5"/>
  <c r="L526" i="7"/>
  <c r="K103" i="7"/>
  <c r="J100" i="9"/>
  <c r="L6" i="1"/>
  <c r="J182" i="9"/>
  <c r="AU182" i="9" s="1"/>
  <c r="M512" i="4"/>
  <c r="M514" i="4"/>
  <c r="M722" i="4"/>
  <c r="M33" i="27"/>
  <c r="K106" i="34"/>
  <c r="K109" i="34" s="1"/>
  <c r="K444" i="34" s="1"/>
  <c r="K445" i="34" s="1"/>
  <c r="M281" i="8"/>
  <c r="K50" i="34"/>
  <c r="L182" i="8"/>
  <c r="L46" i="8" s="1"/>
  <c r="M174" i="8"/>
  <c r="Q66" i="1"/>
  <c r="M496" i="8"/>
  <c r="G291" i="3"/>
  <c r="G300" i="3"/>
  <c r="K177" i="8"/>
  <c r="J44" i="8"/>
  <c r="AK8" i="42" s="1"/>
  <c r="H71" i="15" s="1"/>
  <c r="H288" i="3"/>
  <c r="J70" i="1"/>
  <c r="R45" i="1"/>
  <c r="O121" i="9"/>
  <c r="BS121" i="9" s="1"/>
  <c r="P48" i="1"/>
  <c r="L403" i="8"/>
  <c r="I87" i="17"/>
  <c r="L380" i="5"/>
  <c r="L142" i="5" s="1"/>
  <c r="K145" i="5"/>
  <c r="N126" i="1"/>
  <c r="L125" i="8"/>
  <c r="M459" i="8"/>
  <c r="M986" i="6"/>
  <c r="M989" i="6"/>
  <c r="AC8" i="54"/>
  <c r="M318" i="8"/>
  <c r="K747" i="34"/>
  <c r="K25" i="12"/>
  <c r="K24" i="12"/>
  <c r="K644" i="34"/>
  <c r="M283" i="8"/>
  <c r="M26" i="27"/>
  <c r="K48" i="34"/>
  <c r="K131" i="34"/>
  <c r="M497" i="8"/>
  <c r="M298" i="8"/>
  <c r="L128" i="1"/>
  <c r="L127" i="1"/>
  <c r="L129" i="1"/>
  <c r="K21" i="12"/>
  <c r="K632" i="34"/>
  <c r="J413" i="34"/>
  <c r="K147" i="34"/>
  <c r="K162" i="34"/>
  <c r="J427" i="34"/>
  <c r="M28" i="27"/>
  <c r="M8" i="27"/>
  <c r="M45" i="27"/>
  <c r="K56" i="34"/>
  <c r="M312" i="8"/>
  <c r="M995" i="6"/>
  <c r="M373" i="8"/>
  <c r="M367" i="8"/>
  <c r="K114" i="34"/>
  <c r="L130" i="1"/>
  <c r="M321" i="8"/>
  <c r="M40" i="27"/>
  <c r="K112" i="34"/>
  <c r="K138" i="34"/>
  <c r="K638" i="34"/>
  <c r="K650" i="34"/>
  <c r="K71" i="34"/>
  <c r="M234" i="8"/>
  <c r="M31" i="27"/>
  <c r="M268" i="8"/>
  <c r="M30" i="27"/>
  <c r="M42" i="27"/>
  <c r="M59" i="27"/>
  <c r="K58" i="34"/>
  <c r="K65" i="34"/>
  <c r="K49" i="34"/>
  <c r="M441" i="8"/>
  <c r="M490" i="8"/>
  <c r="M502" i="8"/>
  <c r="M487" i="8"/>
  <c r="M521" i="7"/>
  <c r="K739" i="34"/>
  <c r="K22" i="12"/>
  <c r="K23" i="12"/>
  <c r="K662" i="34"/>
  <c r="K663" i="34" s="1"/>
  <c r="J428" i="34"/>
  <c r="K121" i="34"/>
  <c r="M323" i="8"/>
  <c r="N323" i="8" s="1"/>
  <c r="J408" i="34"/>
  <c r="M5" i="1"/>
  <c r="N1314" i="6" s="1"/>
  <c r="M16" i="27"/>
  <c r="K705" i="34"/>
  <c r="L705" i="34" s="1"/>
  <c r="M523" i="8"/>
  <c r="M509" i="8"/>
  <c r="N509" i="8" s="1"/>
  <c r="M491" i="8"/>
  <c r="N491" i="8" s="1"/>
  <c r="K743" i="34"/>
  <c r="M327" i="8"/>
  <c r="N327" i="8" s="1"/>
  <c r="K20" i="12"/>
  <c r="L20" i="12" s="1"/>
  <c r="K133" i="34"/>
  <c r="L133" i="34" s="1"/>
  <c r="M43" i="27"/>
  <c r="J422" i="34"/>
  <c r="K422" i="34" s="1"/>
  <c r="M39" i="27"/>
  <c r="N39" i="27" s="1"/>
  <c r="M240" i="8"/>
  <c r="N240" i="8" s="1"/>
  <c r="M32" i="27"/>
  <c r="K55" i="34"/>
  <c r="L55" i="34" s="1"/>
  <c r="K67" i="34"/>
  <c r="L67" i="34" s="1"/>
  <c r="M1342" i="6"/>
  <c r="N1342" i="6" s="1"/>
  <c r="M515" i="4"/>
  <c r="M440" i="4"/>
  <c r="N440" i="4" s="1"/>
  <c r="M216" i="8"/>
  <c r="N216" i="8" s="1"/>
  <c r="M41" i="27"/>
  <c r="N41" i="27" s="1"/>
  <c r="M843" i="6"/>
  <c r="M285" i="5"/>
  <c r="N285" i="5" s="1"/>
  <c r="AL11" i="42"/>
  <c r="I74" i="15" s="1"/>
  <c r="I381" i="34"/>
  <c r="M517" i="4"/>
  <c r="L131" i="1"/>
  <c r="M131" i="1" s="1"/>
  <c r="M25" i="27"/>
  <c r="N25" i="27" s="1"/>
  <c r="N512" i="8"/>
  <c r="N449" i="8"/>
  <c r="N1411" i="6"/>
  <c r="N1126" i="6"/>
  <c r="K27" i="1"/>
  <c r="I289" i="3"/>
  <c r="I299" i="3" s="1"/>
  <c r="N1398" i="6"/>
  <c r="L141" i="34"/>
  <c r="N1340" i="6"/>
  <c r="N1104" i="6"/>
  <c r="N1091" i="7"/>
  <c r="N1425" i="6"/>
  <c r="N1887" i="6"/>
  <c r="N1910" i="6"/>
  <c r="S75" i="37"/>
  <c r="N300" i="8"/>
  <c r="N1726" i="6"/>
  <c r="N1086" i="7"/>
  <c r="N1090" i="7"/>
  <c r="N1427" i="6"/>
  <c r="N856" i="6"/>
  <c r="L40" i="40"/>
  <c r="BA118" i="9"/>
  <c r="N850" i="6"/>
  <c r="S73" i="37"/>
  <c r="N1667" i="6"/>
  <c r="N1084" i="7"/>
  <c r="N1097" i="7"/>
  <c r="N238" i="8"/>
  <c r="S70" i="37"/>
  <c r="N756" i="6"/>
  <c r="N1355" i="6"/>
  <c r="N1068" i="7"/>
  <c r="N1079" i="7"/>
  <c r="N1430" i="6"/>
  <c r="N1184" i="6"/>
  <c r="N781" i="6"/>
  <c r="N1912" i="6"/>
  <c r="N443" i="5"/>
  <c r="N251" i="5"/>
  <c r="N437" i="5"/>
  <c r="N861" i="6"/>
  <c r="N1564" i="6"/>
  <c r="N477" i="7"/>
  <c r="N888" i="6"/>
  <c r="N748" i="4"/>
  <c r="N766" i="7"/>
  <c r="N911" i="6"/>
  <c r="N513" i="7"/>
  <c r="N353" i="5"/>
  <c r="N470" i="7"/>
  <c r="N694" i="7"/>
  <c r="N303" i="5"/>
  <c r="N770" i="7"/>
  <c r="N772" i="7"/>
  <c r="N489" i="7"/>
  <c r="N476" i="7"/>
  <c r="N415" i="5"/>
  <c r="N743" i="7"/>
  <c r="N485" i="7"/>
  <c r="N464" i="7"/>
  <c r="N777" i="7"/>
  <c r="N799" i="7"/>
  <c r="N1125" i="6"/>
  <c r="N232" i="5"/>
  <c r="N610" i="4"/>
  <c r="N1325" i="6"/>
  <c r="N424" i="8"/>
  <c r="N419" i="8"/>
  <c r="N422" i="8"/>
  <c r="L402" i="8"/>
  <c r="K120" i="8"/>
  <c r="I86" i="17"/>
  <c r="N289" i="5"/>
  <c r="N508" i="7"/>
  <c r="N492" i="4"/>
  <c r="N830" i="4"/>
  <c r="N1628" i="6"/>
  <c r="N635" i="4"/>
  <c r="L359" i="5"/>
  <c r="K129" i="5"/>
  <c r="N1393" i="6"/>
  <c r="N394" i="4"/>
  <c r="N391" i="4"/>
  <c r="N392" i="4"/>
  <c r="N751" i="7"/>
  <c r="N243" i="8"/>
  <c r="N442" i="5"/>
  <c r="N857" i="6"/>
  <c r="N466" i="8"/>
  <c r="N364" i="8"/>
  <c r="N220" i="5"/>
  <c r="N1446" i="6"/>
  <c r="N923" i="6"/>
  <c r="N382" i="8"/>
  <c r="N296" i="5"/>
  <c r="N237" i="8"/>
  <c r="N1195" i="6"/>
  <c r="N1295" i="6"/>
  <c r="N297" i="5"/>
  <c r="N451" i="8"/>
  <c r="N450" i="8"/>
  <c r="N303" i="8"/>
  <c r="N1353" i="6"/>
  <c r="N354" i="5"/>
  <c r="N248" i="8"/>
  <c r="H582" i="34"/>
  <c r="I606" i="34"/>
  <c r="N424" i="5"/>
  <c r="N1898" i="6"/>
  <c r="N302" i="5"/>
  <c r="N474" i="8"/>
  <c r="N452" i="8"/>
  <c r="N322" i="8"/>
  <c r="N751" i="4"/>
  <c r="N10" i="1"/>
  <c r="O7" i="1"/>
  <c r="N11" i="1"/>
  <c r="O611" i="7" s="1"/>
  <c r="N293" i="5"/>
  <c r="N343" i="5"/>
  <c r="N908" i="6"/>
  <c r="N724" i="4"/>
  <c r="N438" i="4"/>
  <c r="N187" i="8"/>
  <c r="N1134" i="6"/>
  <c r="N847" i="7"/>
  <c r="N252" i="5"/>
  <c r="N522" i="4"/>
  <c r="N1065" i="7"/>
  <c r="N1618" i="6"/>
  <c r="N320" i="8"/>
  <c r="N902" i="6"/>
  <c r="N467" i="8"/>
  <c r="N645" i="4"/>
  <c r="M498" i="8"/>
  <c r="N498" i="8" s="1"/>
  <c r="M520" i="4"/>
  <c r="N520" i="4" s="1"/>
  <c r="K139" i="34"/>
  <c r="L139" i="34" s="1"/>
  <c r="M244" i="8"/>
  <c r="N244" i="8" s="1"/>
  <c r="M27" i="27"/>
  <c r="N27" i="27" s="1"/>
  <c r="M38" i="27"/>
  <c r="N38" i="27" s="1"/>
  <c r="M473" i="8"/>
  <c r="N473" i="8" s="1"/>
  <c r="M519" i="4"/>
  <c r="N519" i="4" s="1"/>
  <c r="M295" i="8"/>
  <c r="N295" i="8" s="1"/>
  <c r="M316" i="8"/>
  <c r="N316" i="8" s="1"/>
  <c r="L603" i="4"/>
  <c r="L604" i="4"/>
  <c r="L602" i="4"/>
  <c r="I321" i="7"/>
  <c r="CJ169" i="9"/>
  <c r="AP139" i="9"/>
  <c r="AR143" i="9"/>
  <c r="P114" i="11"/>
  <c r="Q114" i="11" s="1"/>
  <c r="S114" i="11" s="1"/>
  <c r="T114" i="11" s="1"/>
  <c r="V114" i="11" s="1"/>
  <c r="W114" i="11" s="1"/>
  <c r="Y114" i="11" s="1"/>
  <c r="Z114" i="11" s="1"/>
  <c r="AB114" i="11" s="1"/>
  <c r="AC114" i="11" s="1"/>
  <c r="AE114" i="11" s="1"/>
  <c r="AF114" i="11" s="1"/>
  <c r="M337" i="8"/>
  <c r="M85" i="8"/>
  <c r="U11" i="42"/>
  <c r="G368" i="34" s="1"/>
  <c r="H150" i="5"/>
  <c r="A139" i="4"/>
  <c r="K10" i="11"/>
  <c r="M10" i="11" s="1"/>
  <c r="N10" i="11" s="1"/>
  <c r="P10" i="11" s="1"/>
  <c r="Q10" i="11" s="1"/>
  <c r="S10" i="11" s="1"/>
  <c r="T10" i="11" s="1"/>
  <c r="V10" i="11" s="1"/>
  <c r="W10" i="11" s="1"/>
  <c r="Y10" i="11" s="1"/>
  <c r="Z10" i="11" s="1"/>
  <c r="AB10" i="11" s="1"/>
  <c r="AC10" i="11" s="1"/>
  <c r="AE10" i="11" s="1"/>
  <c r="AF10" i="11" s="1"/>
  <c r="AH10" i="11" s="1"/>
  <c r="AI10" i="11" s="1"/>
  <c r="AK10" i="11" s="1"/>
  <c r="AL10" i="11" s="1"/>
  <c r="AN10" i="11" s="1"/>
  <c r="J88" i="10"/>
  <c r="G76" i="14"/>
  <c r="I72" i="14" s="1"/>
  <c r="F118" i="14"/>
  <c r="G214" i="14"/>
  <c r="F194" i="14"/>
  <c r="G89" i="14" s="1"/>
  <c r="G215" i="14"/>
  <c r="F195" i="14"/>
  <c r="G90" i="14" s="1"/>
  <c r="G199" i="14"/>
  <c r="H94" i="14" s="1"/>
  <c r="H219" i="14"/>
  <c r="G198" i="14"/>
  <c r="H93" i="14" s="1"/>
  <c r="H218" i="14"/>
  <c r="G210" i="14"/>
  <c r="F115" i="14"/>
  <c r="G94" i="14"/>
  <c r="G92" i="14"/>
  <c r="I63" i="12"/>
  <c r="K1080" i="6" s="1"/>
  <c r="K287" i="6" s="1"/>
  <c r="C74" i="34"/>
  <c r="C75" i="34" s="1"/>
  <c r="C76" i="34" s="1"/>
  <c r="C79" i="34" s="1"/>
  <c r="C81" i="34" s="1"/>
  <c r="C30" i="34"/>
  <c r="C32" i="34" s="1"/>
  <c r="C33" i="34" s="1"/>
  <c r="C34" i="34" s="1"/>
  <c r="C37" i="34" s="1"/>
  <c r="C39" i="34" s="1"/>
  <c r="CJ126" i="22"/>
  <c r="G94" i="10"/>
  <c r="O108" i="37"/>
  <c r="O110" i="37" s="1"/>
  <c r="P3" i="37"/>
  <c r="P109" i="37" s="1"/>
  <c r="O4" i="37"/>
  <c r="P2" i="37" s="1"/>
  <c r="H81" i="37"/>
  <c r="H84" i="37" s="1"/>
  <c r="G98" i="37"/>
  <c r="G100" i="37" s="1"/>
  <c r="E108" i="37"/>
  <c r="E110" i="37" s="1"/>
  <c r="E4" i="37"/>
  <c r="F2" i="37" s="1"/>
  <c r="I203" i="15"/>
  <c r="I148" i="15" s="1"/>
  <c r="CI162" i="9"/>
  <c r="E1018" i="6"/>
  <c r="W43" i="42"/>
  <c r="H43" i="42" s="1"/>
  <c r="D570" i="34"/>
  <c r="V411" i="9"/>
  <c r="M775" i="6"/>
  <c r="M91" i="6" s="1"/>
  <c r="D106" i="42"/>
  <c r="K124" i="4"/>
  <c r="K104" i="4"/>
  <c r="F144" i="15"/>
  <c r="G144" i="15" s="1"/>
  <c r="G199" i="15"/>
  <c r="G46" i="3"/>
  <c r="B43" i="6"/>
  <c r="D547" i="6"/>
  <c r="D27" i="6"/>
  <c r="G123" i="42"/>
  <c r="I123" i="42" s="1"/>
  <c r="G119" i="42"/>
  <c r="D2093" i="6"/>
  <c r="D55" i="6" s="1"/>
  <c r="A45" i="6"/>
  <c r="K77" i="6"/>
  <c r="K2032" i="6"/>
  <c r="L2032" i="6" s="1"/>
  <c r="I23" i="58" s="1"/>
  <c r="I37" i="58" s="1"/>
  <c r="K160" i="6"/>
  <c r="B2092" i="6"/>
  <c r="M410" i="6"/>
  <c r="L1363" i="6"/>
  <c r="C39" i="6"/>
  <c r="A43" i="6"/>
  <c r="B164" i="6"/>
  <c r="B23" i="6" s="1"/>
  <c r="B39" i="6" s="1"/>
  <c r="A47" i="6"/>
  <c r="L410" i="6"/>
  <c r="A381" i="6"/>
  <c r="A2078" i="6" s="1"/>
  <c r="B118" i="42"/>
  <c r="C8" i="6"/>
  <c r="B381" i="6"/>
  <c r="J211" i="6"/>
  <c r="D340" i="6"/>
  <c r="D26" i="6" s="1"/>
  <c r="D1767" i="6"/>
  <c r="D1771" i="6" s="1"/>
  <c r="D578" i="6"/>
  <c r="D602" i="6" s="1"/>
  <c r="D2082" i="6" s="1"/>
  <c r="D733" i="6"/>
  <c r="D1572" i="6"/>
  <c r="D1574" i="6" s="1"/>
  <c r="D1585" i="6" s="1"/>
  <c r="H121" i="42"/>
  <c r="D1204" i="6"/>
  <c r="D1702" i="6"/>
  <c r="D11" i="6"/>
  <c r="H117" i="42"/>
  <c r="D274" i="6"/>
  <c r="J109" i="48"/>
  <c r="G117" i="42"/>
  <c r="D13" i="6"/>
  <c r="E767" i="34"/>
  <c r="D1259" i="6"/>
  <c r="D871" i="6"/>
  <c r="D17" i="6"/>
  <c r="C600" i="6"/>
  <c r="H113" i="42"/>
  <c r="I113" i="42" s="1"/>
  <c r="D2038" i="6"/>
  <c r="G122" i="42"/>
  <c r="L264" i="6"/>
  <c r="M1052" i="6"/>
  <c r="D9" i="6"/>
  <c r="D1372" i="6"/>
  <c r="D107" i="6"/>
  <c r="D804" i="6"/>
  <c r="K100" i="48"/>
  <c r="D2091" i="6"/>
  <c r="D53" i="6" s="1"/>
  <c r="D8" i="6"/>
  <c r="G114" i="42"/>
  <c r="C735" i="6"/>
  <c r="C2084" i="6"/>
  <c r="A26" i="6"/>
  <c r="A42" i="6" s="1"/>
  <c r="H115" i="6"/>
  <c r="I115" i="6" s="1"/>
  <c r="I809" i="6"/>
  <c r="E1585" i="6"/>
  <c r="I1582" i="6"/>
  <c r="I229" i="6"/>
  <c r="E519" i="6"/>
  <c r="I519" i="6" s="1"/>
  <c r="I1651" i="6"/>
  <c r="E686" i="6"/>
  <c r="I1972" i="6"/>
  <c r="E742" i="6"/>
  <c r="I742" i="6" s="1"/>
  <c r="I2044" i="6"/>
  <c r="I1517" i="6"/>
  <c r="E1474" i="6"/>
  <c r="I1471" i="6"/>
  <c r="E25" i="48"/>
  <c r="F58" i="48" s="1"/>
  <c r="I1119" i="7"/>
  <c r="I132" i="7"/>
  <c r="H153" i="7"/>
  <c r="I153" i="7" s="1"/>
  <c r="I150" i="7"/>
  <c r="E52" i="7"/>
  <c r="I434" i="7"/>
  <c r="F27" i="48"/>
  <c r="I703" i="7"/>
  <c r="I1117" i="7"/>
  <c r="H236" i="7"/>
  <c r="I236" i="7" s="1"/>
  <c r="I233" i="7"/>
  <c r="H1156" i="7"/>
  <c r="I361" i="7"/>
  <c r="D234" i="42"/>
  <c r="G106" i="15"/>
  <c r="G323" i="34"/>
  <c r="G380" i="34" s="1"/>
  <c r="G498" i="34" s="1"/>
  <c r="G75" i="15"/>
  <c r="F269" i="15"/>
  <c r="G269" i="15" s="1"/>
  <c r="C242" i="42"/>
  <c r="D229" i="42"/>
  <c r="D237" i="42"/>
  <c r="B399" i="34"/>
  <c r="B193" i="34" s="1"/>
  <c r="M128" i="8"/>
  <c r="N485" i="8"/>
  <c r="A83" i="8"/>
  <c r="A558" i="8" s="1"/>
  <c r="L58" i="8"/>
  <c r="M257" i="8"/>
  <c r="L62" i="8"/>
  <c r="M294" i="8"/>
  <c r="K88" i="16"/>
  <c r="N219" i="8"/>
  <c r="B101" i="15"/>
  <c r="B8" i="15" s="1"/>
  <c r="M126" i="8"/>
  <c r="N461" i="8"/>
  <c r="L61" i="8"/>
  <c r="M277" i="8"/>
  <c r="C81" i="8"/>
  <c r="C583" i="8" s="1"/>
  <c r="A30" i="3"/>
  <c r="K59" i="8"/>
  <c r="AL21" i="42"/>
  <c r="I85" i="15" s="1"/>
  <c r="D294" i="34"/>
  <c r="D526" i="34" s="1"/>
  <c r="C554" i="34"/>
  <c r="K68" i="8"/>
  <c r="AL45" i="42"/>
  <c r="AL47" i="42" s="1"/>
  <c r="D151" i="42"/>
  <c r="B113" i="8"/>
  <c r="C378" i="34"/>
  <c r="L324" i="8"/>
  <c r="L68" i="8" s="1"/>
  <c r="AV20" i="42"/>
  <c r="D574" i="34" s="1"/>
  <c r="D700" i="34" s="1"/>
  <c r="D701" i="34" s="1"/>
  <c r="D207" i="34" s="1"/>
  <c r="D208" i="34" s="1"/>
  <c r="C70" i="15"/>
  <c r="C8" i="15" s="1"/>
  <c r="AW19" i="42"/>
  <c r="E505" i="34" s="1"/>
  <c r="E565" i="34" s="1"/>
  <c r="E573" i="34" s="1"/>
  <c r="C178" i="3"/>
  <c r="C179" i="3" s="1"/>
  <c r="AW20" i="42"/>
  <c r="C294" i="15"/>
  <c r="C103" i="17"/>
  <c r="AG9" i="42"/>
  <c r="B72" i="15" s="1"/>
  <c r="C50" i="8"/>
  <c r="D81" i="8"/>
  <c r="D83" i="8" s="1"/>
  <c r="B113" i="15"/>
  <c r="D505" i="34"/>
  <c r="AL22" i="42"/>
  <c r="K21" i="8"/>
  <c r="K85" i="8"/>
  <c r="L69" i="8"/>
  <c r="M328" i="8"/>
  <c r="H25" i="16"/>
  <c r="H10" i="16" s="1"/>
  <c r="J20" i="8"/>
  <c r="J84" i="8"/>
  <c r="G68" i="17"/>
  <c r="H154" i="22" s="1"/>
  <c r="G33" i="3"/>
  <c r="G174" i="3"/>
  <c r="G175" i="3" s="1"/>
  <c r="F310" i="15"/>
  <c r="G112" i="17"/>
  <c r="AY50" i="42"/>
  <c r="G504" i="34" s="1"/>
  <c r="G564" i="34" s="1"/>
  <c r="L67" i="8"/>
  <c r="M314" i="8"/>
  <c r="C577" i="8"/>
  <c r="C8" i="8" s="1"/>
  <c r="B6" i="17" s="1"/>
  <c r="B140" i="42"/>
  <c r="G32" i="3"/>
  <c r="H28" i="8"/>
  <c r="M444" i="8"/>
  <c r="L123" i="8"/>
  <c r="L422" i="45"/>
  <c r="M218" i="8"/>
  <c r="J87" i="16"/>
  <c r="J90" i="16" s="1"/>
  <c r="J34" i="16" s="1"/>
  <c r="C105" i="16"/>
  <c r="G493" i="34"/>
  <c r="C245" i="15"/>
  <c r="C267" i="15" s="1"/>
  <c r="I556" i="34"/>
  <c r="D75" i="16"/>
  <c r="D44" i="16" s="1"/>
  <c r="D47" i="16" s="1"/>
  <c r="C269" i="15"/>
  <c r="C148" i="15"/>
  <c r="C309" i="15"/>
  <c r="E321" i="34"/>
  <c r="E337" i="34"/>
  <c r="E323" i="34"/>
  <c r="E556" i="34" s="1"/>
  <c r="K145" i="40"/>
  <c r="K77" i="13" s="1"/>
  <c r="U43" i="42"/>
  <c r="F43" i="42" s="1"/>
  <c r="F203" i="15"/>
  <c r="F119" i="13"/>
  <c r="H951" i="7"/>
  <c r="I951" i="7" s="1"/>
  <c r="I211" i="14"/>
  <c r="H191" i="14"/>
  <c r="I86" i="14" s="1"/>
  <c r="H120" i="14"/>
  <c r="G114" i="14"/>
  <c r="G113" i="14"/>
  <c r="F120" i="14"/>
  <c r="C570" i="34"/>
  <c r="Z83" i="9"/>
  <c r="AA83" i="9" s="1"/>
  <c r="H523" i="5"/>
  <c r="H525" i="5" s="1"/>
  <c r="D193" i="3"/>
  <c r="I97" i="13"/>
  <c r="I72" i="13" s="1"/>
  <c r="K25" i="34"/>
  <c r="J25" i="34"/>
  <c r="H25" i="34"/>
  <c r="H90" i="34"/>
  <c r="G7" i="34"/>
  <c r="G407" i="34"/>
  <c r="H91" i="34"/>
  <c r="G8" i="34"/>
  <c r="H98" i="34"/>
  <c r="G15" i="34"/>
  <c r="D55" i="27"/>
  <c r="Q112" i="48"/>
  <c r="C84" i="15"/>
  <c r="C160" i="42"/>
  <c r="C166" i="42" s="1"/>
  <c r="AH29" i="42"/>
  <c r="E559" i="34"/>
  <c r="E694" i="34" s="1"/>
  <c r="E695" i="34" s="1"/>
  <c r="E204" i="34" s="1"/>
  <c r="E205" i="34" s="1"/>
  <c r="AW34" i="42"/>
  <c r="D577" i="8"/>
  <c r="D17" i="48"/>
  <c r="D19" i="48" s="1"/>
  <c r="B129" i="42"/>
  <c r="J88" i="48"/>
  <c r="K88" i="48"/>
  <c r="D38" i="7"/>
  <c r="D42" i="7"/>
  <c r="D41" i="7"/>
  <c r="D20" i="7"/>
  <c r="D585" i="7"/>
  <c r="D652" i="7"/>
  <c r="D400" i="7"/>
  <c r="D13" i="7" s="1"/>
  <c r="D154" i="7"/>
  <c r="D165" i="7" s="1"/>
  <c r="D21" i="7"/>
  <c r="D32" i="7" s="1"/>
  <c r="D707" i="7"/>
  <c r="D39" i="7"/>
  <c r="D1157" i="7"/>
  <c r="H194" i="5"/>
  <c r="I194" i="5" s="1"/>
  <c r="K633" i="4"/>
  <c r="L633" i="4" s="1"/>
  <c r="M633" i="4" s="1"/>
  <c r="N633" i="4" s="1"/>
  <c r="K630" i="4"/>
  <c r="L630" i="4" s="1"/>
  <c r="M630" i="4" s="1"/>
  <c r="N630" i="4" s="1"/>
  <c r="K490" i="4"/>
  <c r="L490" i="4" s="1"/>
  <c r="J292" i="4"/>
  <c r="K823" i="4"/>
  <c r="L823" i="4" s="1"/>
  <c r="M823" i="4" s="1"/>
  <c r="N823" i="4" s="1"/>
  <c r="K815" i="4"/>
  <c r="L815" i="4" s="1"/>
  <c r="M815" i="4" s="1"/>
  <c r="N815" i="4" s="1"/>
  <c r="K457" i="4"/>
  <c r="L457" i="4" s="1"/>
  <c r="M457" i="4" s="1"/>
  <c r="N457" i="4" s="1"/>
  <c r="K578" i="4"/>
  <c r="K137" i="4" s="1"/>
  <c r="K819" i="4"/>
  <c r="L819" i="4" s="1"/>
  <c r="M819" i="4" s="1"/>
  <c r="N819" i="4" s="1"/>
  <c r="K451" i="4"/>
  <c r="L451" i="4" s="1"/>
  <c r="M451" i="4" s="1"/>
  <c r="N451" i="4" s="1"/>
  <c r="K822" i="4"/>
  <c r="L822" i="4" s="1"/>
  <c r="M822" i="4" s="1"/>
  <c r="N822" i="4" s="1"/>
  <c r="K322" i="4"/>
  <c r="L322" i="4" s="1"/>
  <c r="M322" i="4" s="1"/>
  <c r="N322" i="4" s="1"/>
  <c r="K452" i="4"/>
  <c r="L452" i="4" s="1"/>
  <c r="M452" i="4" s="1"/>
  <c r="N452" i="4" s="1"/>
  <c r="J57" i="4"/>
  <c r="K677" i="4"/>
  <c r="K180" i="4" s="1"/>
  <c r="K579" i="4"/>
  <c r="K138" i="4" s="1"/>
  <c r="K500" i="4"/>
  <c r="L500" i="4" s="1"/>
  <c r="M500" i="4" s="1"/>
  <c r="N500" i="4" s="1"/>
  <c r="K501" i="4"/>
  <c r="L501" i="4" s="1"/>
  <c r="M501" i="4" s="1"/>
  <c r="N501" i="4" s="1"/>
  <c r="K813" i="4"/>
  <c r="L813" i="4" s="1"/>
  <c r="M813" i="4" s="1"/>
  <c r="N813" i="4" s="1"/>
  <c r="K691" i="4"/>
  <c r="K812" i="4"/>
  <c r="L812" i="4" s="1"/>
  <c r="M812" i="4" s="1"/>
  <c r="N812" i="4" s="1"/>
  <c r="K820" i="4"/>
  <c r="L820" i="4" s="1"/>
  <c r="M820" i="4" s="1"/>
  <c r="N820" i="4" s="1"/>
  <c r="K816" i="4"/>
  <c r="L816" i="4" s="1"/>
  <c r="M816" i="4" s="1"/>
  <c r="N816" i="4" s="1"/>
  <c r="J77" i="4"/>
  <c r="K456" i="4"/>
  <c r="L456" i="4" s="1"/>
  <c r="M456" i="4" s="1"/>
  <c r="N456" i="4" s="1"/>
  <c r="K443" i="4"/>
  <c r="L443" i="4" s="1"/>
  <c r="M443" i="4" s="1"/>
  <c r="N443" i="4" s="1"/>
  <c r="K497" i="4"/>
  <c r="L497" i="4" s="1"/>
  <c r="M497" i="4" s="1"/>
  <c r="N497" i="4" s="1"/>
  <c r="K504" i="4"/>
  <c r="L504" i="4" s="1"/>
  <c r="M504" i="4" s="1"/>
  <c r="N504" i="4" s="1"/>
  <c r="J181" i="4"/>
  <c r="K818" i="4"/>
  <c r="L818" i="4" s="1"/>
  <c r="M818" i="4" s="1"/>
  <c r="N818" i="4" s="1"/>
  <c r="D19" i="5"/>
  <c r="D91" i="5"/>
  <c r="H105" i="42"/>
  <c r="D263" i="5"/>
  <c r="H197" i="5"/>
  <c r="I197" i="5" s="1"/>
  <c r="E161" i="5"/>
  <c r="H259" i="5"/>
  <c r="I259" i="5" s="1"/>
  <c r="G68" i="3"/>
  <c r="H56" i="5"/>
  <c r="I56" i="5" s="1"/>
  <c r="Q108" i="42"/>
  <c r="D243" i="4"/>
  <c r="D245" i="4" s="1"/>
  <c r="D19" i="4"/>
  <c r="J93" i="48" s="1"/>
  <c r="E42" i="4"/>
  <c r="D110" i="4"/>
  <c r="D764" i="4"/>
  <c r="D176" i="4"/>
  <c r="D703" i="4"/>
  <c r="G101" i="42"/>
  <c r="H246" i="4"/>
  <c r="I246" i="4" s="1"/>
  <c r="H290" i="4"/>
  <c r="I290" i="4" s="1"/>
  <c r="H284" i="4"/>
  <c r="I284" i="4" s="1"/>
  <c r="H127" i="4"/>
  <c r="I127" i="4" s="1"/>
  <c r="H110" i="4"/>
  <c r="H80" i="4"/>
  <c r="I80" i="4" s="1"/>
  <c r="H10" i="4"/>
  <c r="I10" i="4" s="1"/>
  <c r="G7" i="10"/>
  <c r="F39" i="10"/>
  <c r="E92" i="4"/>
  <c r="E43" i="4" s="1"/>
  <c r="B300" i="3"/>
  <c r="H179" i="3"/>
  <c r="D300" i="3"/>
  <c r="D291" i="3"/>
  <c r="F8" i="12"/>
  <c r="I342" i="4" s="1"/>
  <c r="F9" i="12"/>
  <c r="I343" i="4" s="1"/>
  <c r="D1081" i="6"/>
  <c r="D288" i="6" s="1"/>
  <c r="E345" i="8"/>
  <c r="E94" i="8" s="1"/>
  <c r="K28" i="12"/>
  <c r="L26" i="12"/>
  <c r="I57" i="13"/>
  <c r="J199" i="15" s="1"/>
  <c r="L419" i="4"/>
  <c r="L92" i="4" s="1"/>
  <c r="L43" i="4" s="1"/>
  <c r="J62" i="3" s="1"/>
  <c r="I340" i="4"/>
  <c r="F4" i="12"/>
  <c r="I338" i="4" s="1"/>
  <c r="F7" i="12"/>
  <c r="I341" i="4" s="1"/>
  <c r="B153" i="42"/>
  <c r="E153" i="42" s="1"/>
  <c r="F5" i="12"/>
  <c r="I339" i="4" s="1"/>
  <c r="F133" i="11"/>
  <c r="G133" i="11" s="1"/>
  <c r="H133" i="11" s="1"/>
  <c r="J133" i="11" s="1"/>
  <c r="K133" i="11" s="1"/>
  <c r="M133" i="11" s="1"/>
  <c r="N133" i="11" s="1"/>
  <c r="P133" i="11" s="1"/>
  <c r="Q133" i="11" s="1"/>
  <c r="S133" i="11" s="1"/>
  <c r="T133" i="11" s="1"/>
  <c r="V133" i="11" s="1"/>
  <c r="W133" i="11" s="1"/>
  <c r="Y133" i="11" s="1"/>
  <c r="Z133" i="11" s="1"/>
  <c r="AB133" i="11" s="1"/>
  <c r="AC133" i="11" s="1"/>
  <c r="AE133" i="11" s="1"/>
  <c r="AF133" i="11" s="1"/>
  <c r="AH133" i="11" s="1"/>
  <c r="AI133" i="11" s="1"/>
  <c r="AK133" i="11" s="1"/>
  <c r="AL133" i="11" s="1"/>
  <c r="AN133" i="11" s="1"/>
  <c r="F67" i="11"/>
  <c r="G67" i="11" s="1"/>
  <c r="H67" i="11" s="1"/>
  <c r="J67" i="11" s="1"/>
  <c r="K67" i="11" s="1"/>
  <c r="M67" i="11" s="1"/>
  <c r="N67" i="11" s="1"/>
  <c r="P67" i="11" s="1"/>
  <c r="Q67" i="11" s="1"/>
  <c r="S67" i="11" s="1"/>
  <c r="T67" i="11" s="1"/>
  <c r="V67" i="11" s="1"/>
  <c r="W67" i="11" s="1"/>
  <c r="Y67" i="11" s="1"/>
  <c r="Z67" i="11" s="1"/>
  <c r="AB67" i="11" s="1"/>
  <c r="AC67" i="11" s="1"/>
  <c r="AE67" i="11" s="1"/>
  <c r="AF67" i="11" s="1"/>
  <c r="AH67" i="11" s="1"/>
  <c r="AI67" i="11" s="1"/>
  <c r="AK67" i="11" s="1"/>
  <c r="AL67" i="11" s="1"/>
  <c r="E74" i="5"/>
  <c r="I74" i="5" s="1"/>
  <c r="E274" i="5"/>
  <c r="L951" i="7"/>
  <c r="L370" i="7" s="1"/>
  <c r="I77" i="13"/>
  <c r="M951" i="7"/>
  <c r="M370" i="7" s="1"/>
  <c r="J77" i="13"/>
  <c r="J951" i="7"/>
  <c r="J370" i="7" s="1"/>
  <c r="J51" i="7" s="1"/>
  <c r="H59" i="3" s="1"/>
  <c r="G77" i="13"/>
  <c r="N951" i="7"/>
  <c r="N370" i="7" s="1"/>
  <c r="BZ28" i="22"/>
  <c r="CK112" i="22"/>
  <c r="BX112" i="22"/>
  <c r="R38" i="20"/>
  <c r="AW44" i="42"/>
  <c r="AW47" i="42" s="1"/>
  <c r="C77" i="17"/>
  <c r="C79" i="17" s="1"/>
  <c r="F156" i="22" s="1"/>
  <c r="CK14" i="22"/>
  <c r="C120" i="17"/>
  <c r="CQ126" i="22"/>
  <c r="CN126" i="22"/>
  <c r="P38" i="20"/>
  <c r="Q38" i="20"/>
  <c r="CP126" i="22"/>
  <c r="CL126" i="22"/>
  <c r="BX16" i="22"/>
  <c r="CL16" i="22" s="1"/>
  <c r="CK126" i="22"/>
  <c r="CM126" i="22"/>
  <c r="CL73" i="22"/>
  <c r="BY73" i="22"/>
  <c r="CL115" i="22"/>
  <c r="BY115" i="22"/>
  <c r="F149" i="22"/>
  <c r="D36" i="17"/>
  <c r="D44" i="17"/>
  <c r="D81" i="3" s="1"/>
  <c r="BW9" i="21"/>
  <c r="CJ9" i="21"/>
  <c r="CH73" i="21"/>
  <c r="CH74" i="21" s="1"/>
  <c r="E95" i="8"/>
  <c r="D259" i="15"/>
  <c r="D113" i="16"/>
  <c r="D115" i="16" s="1"/>
  <c r="V83" i="9"/>
  <c r="F118" i="9"/>
  <c r="F146" i="9"/>
  <c r="AA146" i="9" s="1"/>
  <c r="E258" i="4"/>
  <c r="E776" i="4"/>
  <c r="I7" i="10"/>
  <c r="I39" i="10" s="1"/>
  <c r="K74" i="7"/>
  <c r="K229" i="7"/>
  <c r="K832" i="7"/>
  <c r="L832" i="7" s="1"/>
  <c r="L229" i="7"/>
  <c r="B131" i="42"/>
  <c r="C11" i="7"/>
  <c r="B34" i="7"/>
  <c r="G26" i="11"/>
  <c r="H26" i="11" s="1"/>
  <c r="J26" i="11" s="1"/>
  <c r="K26" i="11" s="1"/>
  <c r="M26" i="11" s="1"/>
  <c r="N26" i="11" s="1"/>
  <c r="P26" i="11" s="1"/>
  <c r="Q26" i="11" s="1"/>
  <c r="S26" i="11" s="1"/>
  <c r="T26" i="11" s="1"/>
  <c r="V26" i="11" s="1"/>
  <c r="W26" i="11" s="1"/>
  <c r="Y26" i="11" s="1"/>
  <c r="Z26" i="11" s="1"/>
  <c r="AB26" i="11" s="1"/>
  <c r="AC26" i="11" s="1"/>
  <c r="AE26" i="11" s="1"/>
  <c r="AF26" i="11" s="1"/>
  <c r="AH26" i="11" s="1"/>
  <c r="AI26" i="11" s="1"/>
  <c r="L55" i="8"/>
  <c r="K55" i="8"/>
  <c r="B83" i="8"/>
  <c r="B558" i="8" s="1"/>
  <c r="B102" i="15"/>
  <c r="AV10" i="42"/>
  <c r="AV14" i="42" s="1"/>
  <c r="E1006" i="7"/>
  <c r="J190" i="7"/>
  <c r="L1110" i="7"/>
  <c r="K190" i="7"/>
  <c r="D345" i="42"/>
  <c r="D360" i="42" s="1"/>
  <c r="C512" i="6"/>
  <c r="C2080" i="6"/>
  <c r="C1143" i="6"/>
  <c r="C1145" i="6" s="1"/>
  <c r="C1154" i="6" s="1"/>
  <c r="A602" i="6"/>
  <c r="B119" i="42"/>
  <c r="D119" i="42" s="1"/>
  <c r="C13" i="6"/>
  <c r="C45" i="6" s="1"/>
  <c r="B600" i="6"/>
  <c r="B1771" i="6"/>
  <c r="B1781" i="6" s="1"/>
  <c r="D54" i="6"/>
  <c r="C31" i="13"/>
  <c r="C50" i="13" s="1"/>
  <c r="A733" i="6"/>
  <c r="A17" i="6"/>
  <c r="E462" i="6"/>
  <c r="C802" i="6"/>
  <c r="C804" i="6" s="1"/>
  <c r="C813" i="6" s="1"/>
  <c r="K31" i="13"/>
  <c r="K50" i="13" s="1"/>
  <c r="N54" i="6"/>
  <c r="J1770" i="6"/>
  <c r="B418" i="6"/>
  <c r="B12" i="6" s="1"/>
  <c r="P54" i="6"/>
  <c r="M31" i="13"/>
  <c r="M50" i="13" s="1"/>
  <c r="B117" i="42"/>
  <c r="C11" i="6"/>
  <c r="C381" i="6"/>
  <c r="B123" i="42"/>
  <c r="D123" i="42" s="1"/>
  <c r="C17" i="6"/>
  <c r="C49" i="6" s="1"/>
  <c r="A510" i="6"/>
  <c r="C16" i="6"/>
  <c r="B122" i="42"/>
  <c r="D122" i="42" s="1"/>
  <c r="B112" i="42"/>
  <c r="C6" i="6"/>
  <c r="N31" i="13"/>
  <c r="N50" i="13" s="1"/>
  <c r="C27" i="6"/>
  <c r="C117" i="42"/>
  <c r="R54" i="6"/>
  <c r="O31" i="13"/>
  <c r="O50" i="13" s="1"/>
  <c r="D940" i="6"/>
  <c r="J1070" i="6"/>
  <c r="K1066" i="6"/>
  <c r="K1072" i="6" s="1"/>
  <c r="H1071" i="6"/>
  <c r="I1071" i="6" s="1"/>
  <c r="J598" i="6"/>
  <c r="J605" i="6" s="1"/>
  <c r="K1595" i="6"/>
  <c r="K478" i="6" s="1"/>
  <c r="J1072" i="6"/>
  <c r="K440" i="6"/>
  <c r="L1958" i="6"/>
  <c r="M1958" i="6" s="1"/>
  <c r="L376" i="6"/>
  <c r="M1242" i="6"/>
  <c r="N1242" i="6" s="1"/>
  <c r="K130" i="6"/>
  <c r="B112" i="15"/>
  <c r="E351" i="6"/>
  <c r="C12" i="42"/>
  <c r="G116" i="42"/>
  <c r="D10" i="6"/>
  <c r="A103" i="5"/>
  <c r="A467" i="5" s="1"/>
  <c r="B54" i="15"/>
  <c r="B23" i="15" s="1"/>
  <c r="B40" i="15"/>
  <c r="N20" i="20"/>
  <c r="N23" i="20" s="1"/>
  <c r="E1118" i="7"/>
  <c r="E433" i="7"/>
  <c r="E162" i="5"/>
  <c r="I162" i="5" s="1"/>
  <c r="E399" i="5"/>
  <c r="E352" i="6"/>
  <c r="E1217" i="6"/>
  <c r="E463" i="6"/>
  <c r="I463" i="6" s="1"/>
  <c r="E1383" i="6"/>
  <c r="K95" i="13"/>
  <c r="J97" i="13"/>
  <c r="H72" i="13"/>
  <c r="H55" i="13"/>
  <c r="W41" i="42" s="1"/>
  <c r="H41" i="42" s="1"/>
  <c r="C540" i="34"/>
  <c r="C367" i="34"/>
  <c r="C486" i="34" s="1"/>
  <c r="AM21" i="42"/>
  <c r="J85" i="15" s="1"/>
  <c r="F505" i="34"/>
  <c r="E120" i="7"/>
  <c r="E234" i="6"/>
  <c r="E177" i="6"/>
  <c r="E879" i="6"/>
  <c r="H64" i="5"/>
  <c r="I64" i="5" s="1"/>
  <c r="B496" i="5"/>
  <c r="J65" i="10"/>
  <c r="I94" i="10"/>
  <c r="H42" i="4"/>
  <c r="Z499" i="9"/>
  <c r="H137" i="4"/>
  <c r="I137" i="4" s="1"/>
  <c r="H584" i="4"/>
  <c r="I584" i="4" s="1"/>
  <c r="R68" i="42"/>
  <c r="B31" i="60" s="1"/>
  <c r="B5" i="60"/>
  <c r="AD68" i="42"/>
  <c r="Q31" i="60" s="1"/>
  <c r="Q5" i="60"/>
  <c r="Q68" i="42"/>
  <c r="A5" i="60"/>
  <c r="S68" i="42"/>
  <c r="C31" i="60" s="1"/>
  <c r="C5" i="60"/>
  <c r="G99" i="11"/>
  <c r="H99" i="11" s="1"/>
  <c r="J99" i="11" s="1"/>
  <c r="K99" i="11" s="1"/>
  <c r="M99" i="11" s="1"/>
  <c r="N99" i="11" s="1"/>
  <c r="P99" i="11" s="1"/>
  <c r="Q99" i="11" s="1"/>
  <c r="S99" i="11" s="1"/>
  <c r="T99" i="11" s="1"/>
  <c r="V99" i="11" s="1"/>
  <c r="W99" i="11" s="1"/>
  <c r="Y99" i="11" s="1"/>
  <c r="Z99" i="11" s="1"/>
  <c r="AB99" i="11" s="1"/>
  <c r="AC99" i="11" s="1"/>
  <c r="AE99" i="11" s="1"/>
  <c r="AF99" i="11" s="1"/>
  <c r="AH99" i="11" s="1"/>
  <c r="AI99" i="11" s="1"/>
  <c r="AK99" i="11" s="1"/>
  <c r="AL99" i="11" s="1"/>
  <c r="AN99" i="11" s="1"/>
  <c r="D38" i="5"/>
  <c r="C38" i="3" s="1"/>
  <c r="F77" i="11"/>
  <c r="G11" i="11"/>
  <c r="H11" i="11" s="1"/>
  <c r="J11" i="11" s="1"/>
  <c r="K11" i="11" s="1"/>
  <c r="M11" i="11" s="1"/>
  <c r="N11" i="11" s="1"/>
  <c r="P11" i="11" s="1"/>
  <c r="Q11" i="11" s="1"/>
  <c r="S11" i="11" s="1"/>
  <c r="T11" i="11" s="1"/>
  <c r="V11" i="11" s="1"/>
  <c r="W11" i="11" s="1"/>
  <c r="Y11" i="11" s="1"/>
  <c r="Z11" i="11" s="1"/>
  <c r="AB11" i="11" s="1"/>
  <c r="AC11" i="11" s="1"/>
  <c r="AE11" i="11" s="1"/>
  <c r="AF11" i="11" s="1"/>
  <c r="AH11" i="11" s="1"/>
  <c r="AI11" i="11" s="1"/>
  <c r="AK11" i="11" s="1"/>
  <c r="AL11" i="11" s="1"/>
  <c r="AN11" i="11" s="1"/>
  <c r="F33" i="60"/>
  <c r="H620" i="34"/>
  <c r="G596" i="34"/>
  <c r="G583" i="34"/>
  <c r="J313" i="34"/>
  <c r="I295" i="34"/>
  <c r="I527" i="34" s="1"/>
  <c r="I543" i="34"/>
  <c r="I657" i="34"/>
  <c r="K54" i="34"/>
  <c r="J13" i="34"/>
  <c r="I617" i="34"/>
  <c r="B531" i="34"/>
  <c r="B250" i="34" s="1"/>
  <c r="H596" i="34"/>
  <c r="H583" i="34"/>
  <c r="G620" i="34"/>
  <c r="F581" i="34"/>
  <c r="H605" i="34"/>
  <c r="I605" i="34" s="1"/>
  <c r="F608" i="34"/>
  <c r="I595" i="34"/>
  <c r="J595" i="34" s="1"/>
  <c r="J312" i="34"/>
  <c r="I656" i="34"/>
  <c r="I542" i="34"/>
  <c r="K619" i="34"/>
  <c r="L619" i="34" s="1"/>
  <c r="F583" i="34"/>
  <c r="G605" i="34"/>
  <c r="N594" i="34"/>
  <c r="D87" i="20"/>
  <c r="BD44" i="42"/>
  <c r="X22" i="20"/>
  <c r="L305" i="15"/>
  <c r="L309" i="15" s="1"/>
  <c r="F153" i="22"/>
  <c r="G794" i="34"/>
  <c r="G800" i="34" s="1"/>
  <c r="G814" i="34"/>
  <c r="G258" i="3" s="1"/>
  <c r="G824" i="34"/>
  <c r="H38" i="34"/>
  <c r="I80" i="34"/>
  <c r="I25" i="34"/>
  <c r="J109" i="34"/>
  <c r="J444" i="34" s="1"/>
  <c r="J445" i="34" s="1"/>
  <c r="H109" i="34"/>
  <c r="H444" i="34" s="1"/>
  <c r="H445" i="34" s="1"/>
  <c r="I55" i="13"/>
  <c r="H707" i="34"/>
  <c r="H212" i="34" s="1"/>
  <c r="I706" i="34"/>
  <c r="H9" i="34"/>
  <c r="I92" i="34"/>
  <c r="H73" i="34"/>
  <c r="G31" i="34"/>
  <c r="I109" i="34"/>
  <c r="I444" i="34" s="1"/>
  <c r="I445" i="34" s="1"/>
  <c r="M1105" i="7"/>
  <c r="I100" i="34"/>
  <c r="H17" i="34"/>
  <c r="L370" i="8"/>
  <c r="L108" i="8" s="1"/>
  <c r="M359" i="8"/>
  <c r="CK130" i="22"/>
  <c r="G67" i="17"/>
  <c r="D539" i="8"/>
  <c r="D158" i="8" s="1"/>
  <c r="D31" i="8" s="1"/>
  <c r="C324" i="15"/>
  <c r="C329" i="15" s="1"/>
  <c r="BX55" i="22"/>
  <c r="BY55" i="22" s="1"/>
  <c r="C67" i="17"/>
  <c r="C70" i="17" s="1"/>
  <c r="CI142" i="22"/>
  <c r="F699" i="34" s="1"/>
  <c r="F701" i="34" s="1"/>
  <c r="F207" i="34" s="1"/>
  <c r="CJ60" i="22"/>
  <c r="BW60" i="22"/>
  <c r="BX27" i="22"/>
  <c r="CL27" i="22" s="1"/>
  <c r="BX36" i="22"/>
  <c r="CK36" i="22"/>
  <c r="CL80" i="22"/>
  <c r="BY80" i="22"/>
  <c r="CJ55" i="22"/>
  <c r="CL31" i="22"/>
  <c r="CK78" i="22"/>
  <c r="BX78" i="22"/>
  <c r="CL75" i="22"/>
  <c r="BY75" i="22"/>
  <c r="BY65" i="22"/>
  <c r="CL65" i="22"/>
  <c r="CL61" i="22"/>
  <c r="BY61" i="22"/>
  <c r="CJ10" i="22"/>
  <c r="BW10" i="22"/>
  <c r="CL13" i="22"/>
  <c r="CM13" i="22"/>
  <c r="CK17" i="22"/>
  <c r="CL15" i="22"/>
  <c r="BY15" i="22"/>
  <c r="BX9" i="22"/>
  <c r="CK9" i="22"/>
  <c r="BW8" i="22"/>
  <c r="CJ8" i="22"/>
  <c r="AH49" i="42"/>
  <c r="AH52" i="42" s="1"/>
  <c r="F79" i="21"/>
  <c r="F87" i="21" s="1"/>
  <c r="F90" i="21" s="1"/>
  <c r="BW35" i="21"/>
  <c r="CJ35" i="21"/>
  <c r="CK36" i="21"/>
  <c r="CL36" i="21"/>
  <c r="BY36" i="21"/>
  <c r="N19" i="37"/>
  <c r="O19" i="37" s="1"/>
  <c r="P19" i="37" s="1"/>
  <c r="Q19" i="37" s="1"/>
  <c r="R19" i="37" s="1"/>
  <c r="S19" i="37" s="1"/>
  <c r="H183" i="9"/>
  <c r="AJ183" i="9" s="1"/>
  <c r="AK183" i="9" s="1"/>
  <c r="I48" i="1"/>
  <c r="L250" i="10" s="1"/>
  <c r="J1972" i="6" s="1"/>
  <c r="J686" i="6" s="1"/>
  <c r="H14" i="34"/>
  <c r="I97" i="34"/>
  <c r="G153" i="34"/>
  <c r="F156" i="34"/>
  <c r="H113" i="15"/>
  <c r="H505" i="34"/>
  <c r="H565" i="34" s="1"/>
  <c r="H573" i="34" s="1"/>
  <c r="O27" i="37"/>
  <c r="I42" i="1"/>
  <c r="H273" i="3" s="1"/>
  <c r="H101" i="1"/>
  <c r="G108" i="1"/>
  <c r="G119" i="1" s="1"/>
  <c r="L68" i="20"/>
  <c r="D19" i="34"/>
  <c r="M935" i="6"/>
  <c r="L160" i="6"/>
  <c r="L330" i="8"/>
  <c r="K336" i="8"/>
  <c r="K78" i="8"/>
  <c r="J448" i="5"/>
  <c r="J450" i="5" s="1"/>
  <c r="L522" i="8"/>
  <c r="K565" i="8"/>
  <c r="K529" i="8"/>
  <c r="K141" i="8"/>
  <c r="Y11" i="54"/>
  <c r="Y18" i="54" s="1"/>
  <c r="Y20" i="54" s="1"/>
  <c r="Z5" i="54"/>
  <c r="F666" i="34"/>
  <c r="G660" i="34"/>
  <c r="M18" i="16"/>
  <c r="AO41" i="42"/>
  <c r="L75" i="15" s="1"/>
  <c r="L323" i="34" s="1"/>
  <c r="L380" i="34" s="1"/>
  <c r="L498" i="34" s="1"/>
  <c r="L121" i="16"/>
  <c r="L252" i="15"/>
  <c r="I83" i="21"/>
  <c r="J97" i="3" s="1"/>
  <c r="G79" i="21"/>
  <c r="G83" i="21" s="1"/>
  <c r="H97" i="3" s="1"/>
  <c r="AZ44" i="42"/>
  <c r="AZ47" i="42" s="1"/>
  <c r="H120" i="17"/>
  <c r="H147" i="22"/>
  <c r="G71" i="11"/>
  <c r="H71" i="11" s="1"/>
  <c r="J71" i="11" s="1"/>
  <c r="K71" i="11" s="1"/>
  <c r="M71" i="11" s="1"/>
  <c r="U25" i="9"/>
  <c r="C93" i="11"/>
  <c r="D93" i="11" s="1"/>
  <c r="E93" i="11" s="1"/>
  <c r="G93" i="11" s="1"/>
  <c r="H93" i="11" s="1"/>
  <c r="J93" i="11" s="1"/>
  <c r="K93" i="11" s="1"/>
  <c r="M93" i="11" s="1"/>
  <c r="N93" i="11" s="1"/>
  <c r="P93" i="11" s="1"/>
  <c r="Q93" i="11" s="1"/>
  <c r="S93" i="11" s="1"/>
  <c r="T93" i="11" s="1"/>
  <c r="V93" i="11" s="1"/>
  <c r="W93" i="11" s="1"/>
  <c r="Y93" i="11" s="1"/>
  <c r="Z93" i="11" s="1"/>
  <c r="AB93" i="11" s="1"/>
  <c r="AC93" i="11" s="1"/>
  <c r="AE93" i="11" s="1"/>
  <c r="AF93" i="11" s="1"/>
  <c r="AH93" i="11" s="1"/>
  <c r="AI93" i="11" s="1"/>
  <c r="AK93" i="11" s="1"/>
  <c r="AL93" i="11" s="1"/>
  <c r="AN93" i="11" s="1"/>
  <c r="P3" i="10"/>
  <c r="P122" i="10" s="1"/>
  <c r="M157" i="10"/>
  <c r="L90" i="11" s="1"/>
  <c r="M90" i="11" s="1"/>
  <c r="N90" i="11" s="1"/>
  <c r="D42" i="4"/>
  <c r="C48" i="3" s="1"/>
  <c r="N3" i="10"/>
  <c r="N122" i="10" s="1"/>
  <c r="N157" i="10"/>
  <c r="Q157" i="10" s="1"/>
  <c r="S157" i="10" s="1"/>
  <c r="R90" i="11" s="1"/>
  <c r="D176" i="6"/>
  <c r="O3" i="40"/>
  <c r="O53" i="40" s="1"/>
  <c r="L579" i="4"/>
  <c r="M579" i="4" s="1"/>
  <c r="L825" i="4"/>
  <c r="H127" i="42"/>
  <c r="D30" i="48"/>
  <c r="K167" i="48" s="1"/>
  <c r="K290" i="4"/>
  <c r="L290" i="4"/>
  <c r="S17" i="42"/>
  <c r="D17" i="42" s="1"/>
  <c r="D77" i="42" s="1"/>
  <c r="C15" i="60" s="1"/>
  <c r="H106" i="7"/>
  <c r="F30" i="48" s="1"/>
  <c r="C8" i="4"/>
  <c r="B98" i="42"/>
  <c r="L463" i="7"/>
  <c r="K75" i="7"/>
  <c r="BX26" i="22"/>
  <c r="CL26" i="22" s="1"/>
  <c r="CK47" i="22"/>
  <c r="BX47" i="22"/>
  <c r="BX42" i="22"/>
  <c r="CK42" i="22"/>
  <c r="CJ6" i="22"/>
  <c r="BW6" i="22"/>
  <c r="CJ77" i="22"/>
  <c r="BW77" i="22"/>
  <c r="CL14" i="22"/>
  <c r="BY14" i="22"/>
  <c r="BY17" i="22"/>
  <c r="CL17" i="22"/>
  <c r="CJ79" i="22"/>
  <c r="BW79" i="22"/>
  <c r="BY58" i="22"/>
  <c r="CL58" i="22"/>
  <c r="BX11" i="22"/>
  <c r="CK11" i="22"/>
  <c r="J147" i="22"/>
  <c r="I67" i="17"/>
  <c r="BX76" i="22"/>
  <c r="CK76" i="22"/>
  <c r="BX100" i="22"/>
  <c r="CK100" i="22"/>
  <c r="CM30" i="22"/>
  <c r="BZ30" i="22"/>
  <c r="CN13" i="22"/>
  <c r="CA13" i="22"/>
  <c r="CJ12" i="22"/>
  <c r="BW12" i="22"/>
  <c r="CL70" i="22"/>
  <c r="BY70" i="22"/>
  <c r="BW84" i="22"/>
  <c r="CJ84" i="22"/>
  <c r="BW104" i="22"/>
  <c r="CJ104" i="22"/>
  <c r="BY74" i="22"/>
  <c r="CL74" i="22"/>
  <c r="CJ7" i="22"/>
  <c r="BW7" i="22"/>
  <c r="BY16" i="22"/>
  <c r="BX122" i="22"/>
  <c r="CK122" i="22"/>
  <c r="BX128" i="22"/>
  <c r="CK128" i="22"/>
  <c r="BX52" i="22"/>
  <c r="CK52" i="22"/>
  <c r="BX97" i="22"/>
  <c r="CK97" i="22"/>
  <c r="CH33" i="9"/>
  <c r="CV33" i="9" s="1"/>
  <c r="AD219" i="9"/>
  <c r="C139" i="4"/>
  <c r="C98" i="42" s="1"/>
  <c r="K469" i="4"/>
  <c r="K119" i="4" s="1"/>
  <c r="J138" i="4"/>
  <c r="J118" i="4"/>
  <c r="A115" i="4"/>
  <c r="A8" i="4" s="1"/>
  <c r="H586" i="6"/>
  <c r="E17" i="48"/>
  <c r="F19" i="48" s="1"/>
  <c r="H1765" i="6"/>
  <c r="I1765" i="6" s="1"/>
  <c r="L553" i="4"/>
  <c r="K125" i="4"/>
  <c r="O48" i="3"/>
  <c r="AX17" i="42"/>
  <c r="AI17" i="42"/>
  <c r="O5" i="26"/>
  <c r="N6" i="26"/>
  <c r="B262" i="4"/>
  <c r="B273" i="4"/>
  <c r="O126" i="34"/>
  <c r="Q168" i="4"/>
  <c r="N168" i="4"/>
  <c r="N212" i="4" s="1"/>
  <c r="C168" i="4"/>
  <c r="D168" i="4"/>
  <c r="B126" i="34"/>
  <c r="A168" i="4"/>
  <c r="A212" i="4" s="1"/>
  <c r="A273" i="4" s="1"/>
  <c r="K126" i="34"/>
  <c r="M168" i="4"/>
  <c r="M212" i="4" s="1"/>
  <c r="M273" i="4" s="1"/>
  <c r="J129" i="4"/>
  <c r="J236" i="10"/>
  <c r="I140" i="11" s="1"/>
  <c r="J140" i="11" s="1"/>
  <c r="K140" i="11" s="1"/>
  <c r="H148" i="4"/>
  <c r="C581" i="4"/>
  <c r="C583" i="4" s="1"/>
  <c r="C585" i="4" s="1"/>
  <c r="C593" i="4" s="1"/>
  <c r="B583" i="4"/>
  <c r="B585" i="4" s="1"/>
  <c r="B593" i="4" s="1"/>
  <c r="A294" i="7"/>
  <c r="A296" i="7" s="1"/>
  <c r="C357" i="7"/>
  <c r="C359" i="7" s="1"/>
  <c r="J210" i="15"/>
  <c r="J155" i="15" s="1"/>
  <c r="I125" i="13"/>
  <c r="J76" i="13"/>
  <c r="L818" i="7"/>
  <c r="L304" i="7" s="1"/>
  <c r="X42" i="42"/>
  <c r="I42" i="42" s="1"/>
  <c r="I150" i="5"/>
  <c r="K783" i="6"/>
  <c r="P34" i="12"/>
  <c r="L369" i="4"/>
  <c r="M369" i="4" s="1"/>
  <c r="P3" i="12"/>
  <c r="L771" i="6"/>
  <c r="M771" i="6" s="1"/>
  <c r="L742" i="7"/>
  <c r="K272" i="7"/>
  <c r="BX64" i="21"/>
  <c r="CK64" i="21"/>
  <c r="BX23" i="22"/>
  <c r="CK23" i="22"/>
  <c r="CM31" i="22"/>
  <c r="BZ31" i="22"/>
  <c r="BX53" i="22"/>
  <c r="CK53" i="22"/>
  <c r="BX59" i="22"/>
  <c r="CK59" i="22"/>
  <c r="BX127" i="22"/>
  <c r="CK127" i="22"/>
  <c r="BZ40" i="22"/>
  <c r="CM40" i="22"/>
  <c r="BX96" i="22"/>
  <c r="CK96" i="22"/>
  <c r="BX108" i="22"/>
  <c r="CK108" i="22"/>
  <c r="BX95" i="22"/>
  <c r="CK95" i="22"/>
  <c r="BX37" i="22"/>
  <c r="CK37" i="22"/>
  <c r="BX123" i="22"/>
  <c r="CK123" i="22"/>
  <c r="CK41" i="22"/>
  <c r="BX41" i="22"/>
  <c r="BX101" i="22"/>
  <c r="CK101" i="22"/>
  <c r="BX43" i="22"/>
  <c r="CK43" i="22"/>
  <c r="BX114" i="22"/>
  <c r="CK114" i="22"/>
  <c r="BZ39" i="22"/>
  <c r="CM39" i="22"/>
  <c r="BX140" i="22"/>
  <c r="CK140" i="22"/>
  <c r="BY109" i="22"/>
  <c r="CL109" i="22"/>
  <c r="BX48" i="22"/>
  <c r="CK48" i="22"/>
  <c r="BX22" i="22"/>
  <c r="CK22" i="22"/>
  <c r="BX66" i="22"/>
  <c r="CK66" i="22"/>
  <c r="CK33" i="22"/>
  <c r="BX33" i="22"/>
  <c r="BZ45" i="22"/>
  <c r="CM45" i="22"/>
  <c r="CA29" i="22"/>
  <c r="CN29" i="22"/>
  <c r="BX51" i="22"/>
  <c r="CK51" i="22"/>
  <c r="CK107" i="22"/>
  <c r="BX107" i="22"/>
  <c r="CK72" i="22"/>
  <c r="BX72" i="22"/>
  <c r="CL112" i="22"/>
  <c r="BY112" i="22"/>
  <c r="CK54" i="22"/>
  <c r="BX54" i="22"/>
  <c r="BX20" i="22"/>
  <c r="CK20" i="22"/>
  <c r="CK21" i="22"/>
  <c r="BX21" i="22"/>
  <c r="BZ46" i="22"/>
  <c r="CM46" i="22"/>
  <c r="BZ44" i="22"/>
  <c r="CM44" i="22"/>
  <c r="CK62" i="22"/>
  <c r="BX62" i="22"/>
  <c r="CK32" i="22"/>
  <c r="BX32" i="22"/>
  <c r="CA28" i="22"/>
  <c r="CN28" i="22"/>
  <c r="BX69" i="22"/>
  <c r="CK69" i="22"/>
  <c r="BX19" i="22"/>
  <c r="CK19" i="22"/>
  <c r="BX71" i="22"/>
  <c r="CK71" i="22"/>
  <c r="E43" i="42"/>
  <c r="L730" i="7"/>
  <c r="L262" i="7" s="1"/>
  <c r="K262" i="7"/>
  <c r="K674" i="7"/>
  <c r="L674" i="7" s="1"/>
  <c r="M674" i="7" s="1"/>
  <c r="N674" i="7" s="1"/>
  <c r="H676" i="7"/>
  <c r="A11" i="7"/>
  <c r="A33" i="7" s="1"/>
  <c r="R41" i="7"/>
  <c r="F57" i="48"/>
  <c r="D238" i="7"/>
  <c r="R30" i="42"/>
  <c r="C30" i="42" s="1"/>
  <c r="H177" i="7"/>
  <c r="M644" i="7"/>
  <c r="M191" i="7" s="1"/>
  <c r="Q71" i="42"/>
  <c r="A35" i="60" s="1"/>
  <c r="J191" i="7"/>
  <c r="H224" i="7"/>
  <c r="H618" i="7"/>
  <c r="I618" i="7" s="1"/>
  <c r="H130" i="42"/>
  <c r="I130" i="42" s="1"/>
  <c r="D19" i="7"/>
  <c r="A9" i="7"/>
  <c r="A31" i="7" s="1"/>
  <c r="K233" i="7"/>
  <c r="B128" i="42"/>
  <c r="D128" i="42" s="1"/>
  <c r="D292" i="7"/>
  <c r="K612" i="7"/>
  <c r="L612" i="7" s="1"/>
  <c r="L178" i="7" s="1"/>
  <c r="A154" i="7"/>
  <c r="A165" i="7" s="1"/>
  <c r="K191" i="7"/>
  <c r="CT122" i="9"/>
  <c r="M40" i="37"/>
  <c r="C24" i="7"/>
  <c r="L518" i="7"/>
  <c r="L95" i="7" s="1"/>
  <c r="Z122" i="9"/>
  <c r="AA122" i="9" s="1"/>
  <c r="B65" i="13"/>
  <c r="M467" i="7"/>
  <c r="N467" i="7" s="1"/>
  <c r="J944" i="7"/>
  <c r="J1157" i="7" s="1"/>
  <c r="H362" i="7"/>
  <c r="I362" i="7" s="1"/>
  <c r="B133" i="42"/>
  <c r="D133" i="42" s="1"/>
  <c r="C13" i="7"/>
  <c r="B359" i="7"/>
  <c r="B363" i="7" s="1"/>
  <c r="A53" i="3"/>
  <c r="D809" i="7"/>
  <c r="B941" i="7"/>
  <c r="B945" i="7" s="1"/>
  <c r="B953" i="7" s="1"/>
  <c r="A195" i="3" s="1"/>
  <c r="A196" i="3" s="1"/>
  <c r="D28" i="48"/>
  <c r="I144" i="48" s="1"/>
  <c r="D420" i="7"/>
  <c r="K885" i="7"/>
  <c r="B21" i="7"/>
  <c r="B32" i="7" s="1"/>
  <c r="K265" i="7"/>
  <c r="L735" i="7"/>
  <c r="K829" i="7"/>
  <c r="L829" i="7" s="1"/>
  <c r="H41" i="7"/>
  <c r="I41" i="7" s="1"/>
  <c r="D9" i="7"/>
  <c r="C154" i="7"/>
  <c r="C1128" i="7" s="1"/>
  <c r="D7" i="42"/>
  <c r="D69" i="42" s="1"/>
  <c r="C7" i="60" s="1"/>
  <c r="B294" i="7"/>
  <c r="B1145" i="7" s="1"/>
  <c r="D357" i="7"/>
  <c r="B9" i="42"/>
  <c r="B71" i="42" s="1"/>
  <c r="A9" i="60" s="1"/>
  <c r="E598" i="34"/>
  <c r="E586" i="34" s="1"/>
  <c r="E587" i="34" s="1"/>
  <c r="E589" i="34" s="1"/>
  <c r="E240" i="34" s="1"/>
  <c r="P23" i="26"/>
  <c r="C9" i="7"/>
  <c r="C31" i="7" s="1"/>
  <c r="V30" i="42"/>
  <c r="G30" i="42" s="1"/>
  <c r="A199" i="7"/>
  <c r="A201" i="7" s="1"/>
  <c r="B149" i="42"/>
  <c r="E149" i="42" s="1"/>
  <c r="K836" i="7"/>
  <c r="N66" i="10" s="1"/>
  <c r="O127" i="15"/>
  <c r="M104" i="26"/>
  <c r="M106" i="26" s="1"/>
  <c r="S69" i="42"/>
  <c r="C33" i="60" s="1"/>
  <c r="H192" i="15"/>
  <c r="H216" i="15" s="1"/>
  <c r="D8" i="7"/>
  <c r="G129" i="42"/>
  <c r="C130" i="42"/>
  <c r="D130" i="42" s="1"/>
  <c r="C238" i="7"/>
  <c r="C21" i="7"/>
  <c r="C32" i="7" s="1"/>
  <c r="G132" i="42"/>
  <c r="K231" i="7"/>
  <c r="D108" i="7"/>
  <c r="L150" i="7"/>
  <c r="L153" i="7" s="1"/>
  <c r="L39" i="7" s="1"/>
  <c r="J66" i="13" s="1"/>
  <c r="M581" i="7"/>
  <c r="D7" i="7"/>
  <c r="G127" i="42"/>
  <c r="P18" i="26"/>
  <c r="L761" i="7"/>
  <c r="K86" i="48"/>
  <c r="K616" i="7"/>
  <c r="I776" i="34" s="1"/>
  <c r="B438" i="7"/>
  <c r="C7" i="7"/>
  <c r="B11" i="7"/>
  <c r="B33" i="7" s="1"/>
  <c r="K277" i="7"/>
  <c r="B102" i="13"/>
  <c r="O3" i="16"/>
  <c r="O81" i="16" s="1"/>
  <c r="H776" i="34"/>
  <c r="B1142" i="7"/>
  <c r="C294" i="7"/>
  <c r="C296" i="7" s="1"/>
  <c r="O3" i="15"/>
  <c r="O34" i="15" s="1"/>
  <c r="P3" i="54" s="1"/>
  <c r="AG3" i="54" s="1"/>
  <c r="K871" i="7"/>
  <c r="L871" i="7" s="1"/>
  <c r="J942" i="7"/>
  <c r="J280" i="7"/>
  <c r="C422" i="7"/>
  <c r="C425" i="7" s="1"/>
  <c r="H1154" i="7"/>
  <c r="B35" i="7"/>
  <c r="M520" i="7"/>
  <c r="M97" i="7" s="1"/>
  <c r="J127" i="10"/>
  <c r="I54" i="11" s="1"/>
  <c r="J54" i="11" s="1"/>
  <c r="K54" i="11" s="1"/>
  <c r="L696" i="7"/>
  <c r="M696" i="7" s="1"/>
  <c r="L775" i="7"/>
  <c r="M775" i="7" s="1"/>
  <c r="N775" i="7" s="1"/>
  <c r="K280" i="7"/>
  <c r="W31" i="42"/>
  <c r="H31" i="42" s="1"/>
  <c r="J344" i="7"/>
  <c r="M27" i="48"/>
  <c r="K274" i="7"/>
  <c r="K637" i="7"/>
  <c r="J189" i="7"/>
  <c r="B422" i="7"/>
  <c r="B425" i="7" s="1"/>
  <c r="K188" i="7"/>
  <c r="O237" i="15"/>
  <c r="Q20" i="19" s="1"/>
  <c r="Q39" i="19" s="1"/>
  <c r="J346" i="7"/>
  <c r="J281" i="7"/>
  <c r="L188" i="7"/>
  <c r="K278" i="7"/>
  <c r="L762" i="7"/>
  <c r="L1055" i="7"/>
  <c r="K406" i="7"/>
  <c r="K93" i="7"/>
  <c r="L516" i="7"/>
  <c r="H122" i="13"/>
  <c r="P16" i="26"/>
  <c r="K86" i="7"/>
  <c r="L504" i="7"/>
  <c r="P17" i="26"/>
  <c r="L760" i="7"/>
  <c r="L290" i="7"/>
  <c r="M804" i="7"/>
  <c r="C438" i="7"/>
  <c r="K801" i="7"/>
  <c r="J289" i="7"/>
  <c r="CV120" i="9"/>
  <c r="CW59" i="9"/>
  <c r="AB88" i="9"/>
  <c r="AB174" i="9" s="1"/>
  <c r="S339" i="9"/>
  <c r="S393" i="9" s="1"/>
  <c r="CW181" i="9"/>
  <c r="AS3" i="9"/>
  <c r="AX3" i="9"/>
  <c r="AN88" i="9"/>
  <c r="CW49" i="9"/>
  <c r="X219" i="9"/>
  <c r="CV181" i="9"/>
  <c r="V287" i="9"/>
  <c r="V288" i="9" s="1"/>
  <c r="CI102" i="9"/>
  <c r="CJ102" i="9" s="1"/>
  <c r="CI73" i="9"/>
  <c r="CW73" i="9" s="1"/>
  <c r="CI14" i="9"/>
  <c r="V499" i="9"/>
  <c r="CU126" i="9"/>
  <c r="CU161" i="9"/>
  <c r="CH150" i="9"/>
  <c r="CU73" i="9"/>
  <c r="H380" i="34"/>
  <c r="H498" i="34" s="1"/>
  <c r="B345" i="42"/>
  <c r="B360" i="42" s="1"/>
  <c r="D949" i="7"/>
  <c r="D368" i="7" s="1"/>
  <c r="H686" i="6"/>
  <c r="N78" i="37"/>
  <c r="AV84" i="37"/>
  <c r="AV35" i="37" s="1"/>
  <c r="N23" i="37"/>
  <c r="O23" i="37" s="1"/>
  <c r="P23" i="37" s="1"/>
  <c r="Q23" i="37" s="1"/>
  <c r="R23" i="37" s="1"/>
  <c r="S23" i="37" s="1"/>
  <c r="AV83" i="37"/>
  <c r="N22" i="37"/>
  <c r="O22" i="37" s="1"/>
  <c r="P22" i="37" s="1"/>
  <c r="Q22" i="37" s="1"/>
  <c r="R22" i="37" s="1"/>
  <c r="S22" i="37" s="1"/>
  <c r="AV73" i="37"/>
  <c r="AV21" i="37" s="1"/>
  <c r="N16" i="37"/>
  <c r="O16" i="37" s="1"/>
  <c r="P16" i="37" s="1"/>
  <c r="Q16" i="37" s="1"/>
  <c r="R16" i="37" s="1"/>
  <c r="S16" i="37" s="1"/>
  <c r="L113" i="37"/>
  <c r="AT109" i="37"/>
  <c r="AT111" i="37" s="1"/>
  <c r="N21" i="37"/>
  <c r="O21" i="37" s="1"/>
  <c r="P21" i="37" s="1"/>
  <c r="Q21" i="37" s="1"/>
  <c r="R21" i="37" s="1"/>
  <c r="S21" i="37" s="1"/>
  <c r="AV82" i="37"/>
  <c r="AV76" i="37"/>
  <c r="AV23" i="37" s="1"/>
  <c r="N15" i="37"/>
  <c r="O15" i="37" s="1"/>
  <c r="P15" i="37" s="1"/>
  <c r="Q15" i="37" s="1"/>
  <c r="R15" i="37" s="1"/>
  <c r="S15" i="37" s="1"/>
  <c r="N17" i="37"/>
  <c r="AV78" i="37"/>
  <c r="AV25" i="37" s="1"/>
  <c r="N12" i="37"/>
  <c r="AV72" i="37"/>
  <c r="M116" i="37"/>
  <c r="N18" i="37"/>
  <c r="O18" i="37" s="1"/>
  <c r="P18" i="37" s="1"/>
  <c r="Q18" i="37" s="1"/>
  <c r="R18" i="37" s="1"/>
  <c r="S18" i="37" s="1"/>
  <c r="AV79" i="37"/>
  <c r="AV26" i="37" s="1"/>
  <c r="AU105" i="37"/>
  <c r="AU108" i="37" s="1"/>
  <c r="AU20" i="37"/>
  <c r="M115" i="37"/>
  <c r="P13" i="37"/>
  <c r="E380" i="34"/>
  <c r="E498" i="34" s="1"/>
  <c r="E77" i="11"/>
  <c r="AK39" i="11"/>
  <c r="AL39" i="11" s="1"/>
  <c r="AN39" i="11" s="1"/>
  <c r="D77" i="11"/>
  <c r="K129" i="8"/>
  <c r="L488" i="8"/>
  <c r="A102" i="13"/>
  <c r="A12" i="13"/>
  <c r="N796" i="7"/>
  <c r="M284" i="7"/>
  <c r="M963" i="7"/>
  <c r="L321" i="7"/>
  <c r="L965" i="7"/>
  <c r="M798" i="7"/>
  <c r="L286" i="7"/>
  <c r="J339" i="7"/>
  <c r="M82" i="7"/>
  <c r="N487" i="7"/>
  <c r="N1054" i="7"/>
  <c r="N466" i="7"/>
  <c r="M76" i="7"/>
  <c r="J135" i="7"/>
  <c r="J236" i="7"/>
  <c r="J21" i="7" s="1"/>
  <c r="K187" i="7"/>
  <c r="K938" i="7"/>
  <c r="L938" i="7" s="1"/>
  <c r="K734" i="7"/>
  <c r="K264" i="7" s="1"/>
  <c r="A422" i="7"/>
  <c r="A24" i="7"/>
  <c r="A35" i="7" s="1"/>
  <c r="H735" i="34"/>
  <c r="J737" i="7"/>
  <c r="A438" i="7"/>
  <c r="M89" i="7"/>
  <c r="N506" i="7"/>
  <c r="L20" i="27"/>
  <c r="M9" i="27"/>
  <c r="F31" i="13"/>
  <c r="F50" i="13" s="1"/>
  <c r="H54" i="6"/>
  <c r="I54" i="6" s="1"/>
  <c r="A383" i="6"/>
  <c r="B115" i="42"/>
  <c r="C9" i="6"/>
  <c r="C46" i="6"/>
  <c r="G23" i="58"/>
  <c r="G37" i="58" s="1"/>
  <c r="J2037" i="6"/>
  <c r="B2080" i="6"/>
  <c r="B512" i="6"/>
  <c r="A2077" i="6"/>
  <c r="A344" i="6"/>
  <c r="H52" i="7"/>
  <c r="K855" i="7"/>
  <c r="J323" i="7"/>
  <c r="K96" i="7"/>
  <c r="L519" i="7"/>
  <c r="B199" i="7"/>
  <c r="H433" i="7"/>
  <c r="H116" i="7"/>
  <c r="H529" i="7"/>
  <c r="I529" i="7" s="1"/>
  <c r="M128" i="42"/>
  <c r="K87" i="7"/>
  <c r="L505" i="7"/>
  <c r="K576" i="7"/>
  <c r="K146" i="7" s="1"/>
  <c r="L562" i="7"/>
  <c r="L65" i="10"/>
  <c r="M65" i="10" s="1"/>
  <c r="K904" i="7"/>
  <c r="C131" i="42"/>
  <c r="C22" i="7"/>
  <c r="C33" i="7" s="1"/>
  <c r="K94" i="7"/>
  <c r="L517" i="7"/>
  <c r="H432" i="7"/>
  <c r="I432" i="7" s="1"/>
  <c r="J149" i="7"/>
  <c r="K580" i="7"/>
  <c r="K90" i="7"/>
  <c r="L512" i="7"/>
  <c r="K261" i="7"/>
  <c r="L728" i="7"/>
  <c r="B132" i="42"/>
  <c r="C12" i="7"/>
  <c r="G131" i="42"/>
  <c r="D11" i="7"/>
  <c r="J345" i="7"/>
  <c r="B1143" i="7"/>
  <c r="B154" i="7"/>
  <c r="B9" i="7"/>
  <c r="O66" i="10"/>
  <c r="O103" i="10" s="1"/>
  <c r="L905" i="7"/>
  <c r="L750" i="7"/>
  <c r="K273" i="7"/>
  <c r="D59" i="48"/>
  <c r="G159" i="48"/>
  <c r="G139" i="48"/>
  <c r="G135" i="48"/>
  <c r="G136" i="48"/>
  <c r="G144" i="48"/>
  <c r="G167" i="48"/>
  <c r="G150" i="48"/>
  <c r="G143" i="48"/>
  <c r="G148" i="48"/>
  <c r="G157" i="48"/>
  <c r="G158" i="48"/>
  <c r="G137" i="48"/>
  <c r="G133" i="48"/>
  <c r="G156" i="48"/>
  <c r="G155" i="48"/>
  <c r="G138" i="48"/>
  <c r="G153" i="48"/>
  <c r="G140" i="48"/>
  <c r="G142" i="48"/>
  <c r="G152" i="48"/>
  <c r="G149" i="48"/>
  <c r="G154" i="48"/>
  <c r="G134" i="48"/>
  <c r="G147" i="48"/>
  <c r="G145" i="48"/>
  <c r="G141" i="48"/>
  <c r="G151" i="48"/>
  <c r="G146" i="48"/>
  <c r="K85" i="7"/>
  <c r="L502" i="7"/>
  <c r="K317" i="7"/>
  <c r="J67" i="7"/>
  <c r="L642" i="7"/>
  <c r="M642" i="7" s="1"/>
  <c r="K876" i="7"/>
  <c r="L876" i="7" s="1"/>
  <c r="G128" i="42"/>
  <c r="H69" i="7"/>
  <c r="I69" i="7" s="1"/>
  <c r="J141" i="7"/>
  <c r="K913" i="7"/>
  <c r="L913" i="7" s="1"/>
  <c r="M913" i="7" s="1"/>
  <c r="N913" i="7" s="1"/>
  <c r="J138" i="7"/>
  <c r="D1143" i="7"/>
  <c r="J317" i="7"/>
  <c r="M229" i="7"/>
  <c r="C223" i="6"/>
  <c r="C2055" i="6" s="1"/>
  <c r="L556" i="34"/>
  <c r="F570" i="34"/>
  <c r="F393" i="34"/>
  <c r="F510" i="34" s="1"/>
  <c r="AF17" i="9"/>
  <c r="AF25" i="9" s="1"/>
  <c r="D83" i="14"/>
  <c r="D102" i="14" s="1"/>
  <c r="D188" i="14"/>
  <c r="E188" i="14" s="1"/>
  <c r="E201" i="14" s="1"/>
  <c r="AQ143" i="9"/>
  <c r="J235" i="3"/>
  <c r="K51" i="7"/>
  <c r="I59" i="3" s="1"/>
  <c r="C206" i="3"/>
  <c r="CI132" i="9"/>
  <c r="CW52" i="9"/>
  <c r="CU101" i="9"/>
  <c r="S221" i="9"/>
  <c r="CK52" i="9"/>
  <c r="CY52" i="9" s="1"/>
  <c r="D51" i="7"/>
  <c r="C59" i="3" s="1"/>
  <c r="V66" i="9"/>
  <c r="CI101" i="9"/>
  <c r="CV119" i="9"/>
  <c r="CI119" i="9"/>
  <c r="CJ162" i="9"/>
  <c r="CW162" i="9"/>
  <c r="CU120" i="9"/>
  <c r="AD25" i="9"/>
  <c r="CI193" i="9"/>
  <c r="CV193" i="9"/>
  <c r="M50" i="11"/>
  <c r="N50" i="11" s="1"/>
  <c r="P50" i="11" s="1"/>
  <c r="Q50" i="11" s="1"/>
  <c r="C77" i="11"/>
  <c r="D116" i="10"/>
  <c r="C46" i="11" s="1"/>
  <c r="D46" i="11" s="1"/>
  <c r="E46" i="11" s="1"/>
  <c r="K1604" i="6"/>
  <c r="M113" i="42"/>
  <c r="H288" i="6"/>
  <c r="H178" i="6"/>
  <c r="I178" i="6" s="1"/>
  <c r="H353" i="6"/>
  <c r="H352" i="6"/>
  <c r="H221" i="6"/>
  <c r="I221" i="6" s="1"/>
  <c r="E9" i="58"/>
  <c r="U18" i="58" s="1"/>
  <c r="H535" i="6"/>
  <c r="I535" i="6" s="1"/>
  <c r="H232" i="6"/>
  <c r="I232" i="6" s="1"/>
  <c r="H279" i="6"/>
  <c r="I279" i="6" s="1"/>
  <c r="M3" i="17"/>
  <c r="M93" i="17" s="1"/>
  <c r="A62" i="3"/>
  <c r="A64" i="3" s="1"/>
  <c r="K3" i="17"/>
  <c r="K84" i="17" s="1"/>
  <c r="E2" i="58"/>
  <c r="N1" i="37"/>
  <c r="N6" i="37" s="1"/>
  <c r="AE14" i="37" s="1"/>
  <c r="H657" i="6"/>
  <c r="I657" i="6" s="1"/>
  <c r="H1442" i="6"/>
  <c r="H441" i="6" s="1"/>
  <c r="I441" i="6" s="1"/>
  <c r="H1370" i="6"/>
  <c r="I1370" i="6" s="1"/>
  <c r="H884" i="6"/>
  <c r="H125" i="6"/>
  <c r="K831" i="7"/>
  <c r="K67" i="10"/>
  <c r="AJ26" i="11"/>
  <c r="AU44" i="10"/>
  <c r="AK170" i="10"/>
  <c r="AT170" i="10"/>
  <c r="N114" i="37"/>
  <c r="I85" i="12"/>
  <c r="H56" i="12"/>
  <c r="O25" i="37"/>
  <c r="O114" i="37" s="1"/>
  <c r="J85" i="12"/>
  <c r="Q88" i="10" s="1"/>
  <c r="S88" i="10" s="1"/>
  <c r="K81" i="12"/>
  <c r="H176" i="6"/>
  <c r="H462" i="6"/>
  <c r="R115" i="7"/>
  <c r="H351" i="6"/>
  <c r="H287" i="6"/>
  <c r="R890" i="7"/>
  <c r="D199" i="7"/>
  <c r="H129" i="42"/>
  <c r="F59" i="48"/>
  <c r="G187" i="48"/>
  <c r="G202" i="48"/>
  <c r="G183" i="48"/>
  <c r="G191" i="48"/>
  <c r="G193" i="48"/>
  <c r="G190" i="48"/>
  <c r="G182" i="48"/>
  <c r="G197" i="48"/>
  <c r="G199" i="48"/>
  <c r="G201" i="48"/>
  <c r="G192" i="48"/>
  <c r="G184" i="48"/>
  <c r="G181" i="48"/>
  <c r="G211" i="48"/>
  <c r="G200" i="48"/>
  <c r="G177" i="48"/>
  <c r="G178" i="48"/>
  <c r="G189" i="48"/>
  <c r="G179" i="48"/>
  <c r="G195" i="48"/>
  <c r="G203" i="48"/>
  <c r="G185" i="48"/>
  <c r="G194" i="48"/>
  <c r="G188" i="48"/>
  <c r="G186" i="48"/>
  <c r="G180" i="48"/>
  <c r="G198" i="48"/>
  <c r="G196" i="48"/>
  <c r="R495" i="7"/>
  <c r="A498" i="5"/>
  <c r="S8" i="42"/>
  <c r="B150" i="42" s="1"/>
  <c r="E150" i="42" s="1"/>
  <c r="F171" i="45"/>
  <c r="G171" i="45" s="1"/>
  <c r="H171" i="45" s="1"/>
  <c r="J1382" i="6"/>
  <c r="J464" i="6" s="1"/>
  <c r="CI99" i="9"/>
  <c r="CV99" i="9"/>
  <c r="B14" i="8"/>
  <c r="I7" i="48" s="1"/>
  <c r="N82" i="15"/>
  <c r="N493" i="34"/>
  <c r="B583" i="8"/>
  <c r="A6" i="16"/>
  <c r="B7" i="8"/>
  <c r="L289" i="45"/>
  <c r="M59" i="8"/>
  <c r="C159" i="42"/>
  <c r="C82" i="15"/>
  <c r="E493" i="34"/>
  <c r="AU29" i="42"/>
  <c r="A115" i="15"/>
  <c r="G139" i="42"/>
  <c r="M551" i="34"/>
  <c r="M552" i="34" s="1"/>
  <c r="M561" i="34" s="1"/>
  <c r="M254" i="34" s="1"/>
  <c r="M494" i="34"/>
  <c r="C83" i="8"/>
  <c r="C558" i="8" s="1"/>
  <c r="C139" i="42"/>
  <c r="D576" i="8"/>
  <c r="D230" i="42"/>
  <c r="D289" i="34"/>
  <c r="D352" i="34" s="1"/>
  <c r="D554" i="34"/>
  <c r="D378" i="34"/>
  <c r="F551" i="34"/>
  <c r="F552" i="34" s="1"/>
  <c r="F561" i="34" s="1"/>
  <c r="F254" i="34" s="1"/>
  <c r="F494" i="34"/>
  <c r="E45" i="42"/>
  <c r="H115" i="15"/>
  <c r="H574" i="34"/>
  <c r="H700" i="34" s="1"/>
  <c r="AZ29" i="42"/>
  <c r="M269" i="8"/>
  <c r="L60" i="8"/>
  <c r="L291" i="45"/>
  <c r="J494" i="34"/>
  <c r="J551" i="34"/>
  <c r="J552" i="34" s="1"/>
  <c r="J561" i="34" s="1"/>
  <c r="J254" i="34" s="1"/>
  <c r="I551" i="34"/>
  <c r="I552" i="34" s="1"/>
  <c r="I561" i="34" s="1"/>
  <c r="I254" i="34" s="1"/>
  <c r="I494" i="34"/>
  <c r="R572" i="8"/>
  <c r="M414" i="8"/>
  <c r="N39" i="8"/>
  <c r="N414" i="8"/>
  <c r="P352" i="8"/>
  <c r="P414" i="8"/>
  <c r="J546" i="8"/>
  <c r="J414" i="8"/>
  <c r="C39" i="8"/>
  <c r="C414" i="8"/>
  <c r="L556" i="8"/>
  <c r="L414" i="8"/>
  <c r="R352" i="8"/>
  <c r="B229" i="42"/>
  <c r="H345" i="8"/>
  <c r="F83" i="21"/>
  <c r="G97" i="3" s="1"/>
  <c r="E79" i="21"/>
  <c r="E83" i="21" s="1"/>
  <c r="CI58" i="21"/>
  <c r="K31" i="8"/>
  <c r="M72" i="16"/>
  <c r="M79" i="21"/>
  <c r="O345" i="8"/>
  <c r="O94" i="8" s="1"/>
  <c r="N72" i="16"/>
  <c r="N79" i="21"/>
  <c r="P345" i="8"/>
  <c r="P94" i="8" s="1"/>
  <c r="CL47" i="21"/>
  <c r="BY47" i="21"/>
  <c r="BW70" i="21"/>
  <c r="CJ70" i="21"/>
  <c r="G72" i="16"/>
  <c r="G76" i="3" s="1"/>
  <c r="L79" i="21"/>
  <c r="L72" i="16"/>
  <c r="N345" i="8"/>
  <c r="N94" i="8" s="1"/>
  <c r="AO69" i="21"/>
  <c r="AO73" i="21" s="1"/>
  <c r="J81" i="21" s="1"/>
  <c r="K69" i="21"/>
  <c r="J73" i="21"/>
  <c r="J72" i="16"/>
  <c r="L345" i="8"/>
  <c r="L94" i="8" s="1"/>
  <c r="L31" i="8" s="1"/>
  <c r="J79" i="21"/>
  <c r="BW50" i="21"/>
  <c r="CJ50" i="21"/>
  <c r="I75" i="16"/>
  <c r="I44" i="16" s="1"/>
  <c r="I77" i="3" s="1"/>
  <c r="I76" i="3"/>
  <c r="F693" i="34"/>
  <c r="F695" i="34" s="1"/>
  <c r="F204" i="34" s="1"/>
  <c r="CC68" i="21"/>
  <c r="CP68" i="21"/>
  <c r="BZ48" i="21"/>
  <c r="CM48" i="21"/>
  <c r="BV59" i="21"/>
  <c r="CI59" i="21"/>
  <c r="BY42" i="21"/>
  <c r="CL42" i="21"/>
  <c r="CK43" i="21"/>
  <c r="BX43" i="21"/>
  <c r="BW45" i="21"/>
  <c r="CJ45" i="21"/>
  <c r="BX51" i="21"/>
  <c r="CK51" i="21"/>
  <c r="K72" i="16"/>
  <c r="M345" i="8"/>
  <c r="M94" i="8" s="1"/>
  <c r="M31" i="8" s="1"/>
  <c r="K79" i="21"/>
  <c r="BW15" i="21"/>
  <c r="CJ15" i="21"/>
  <c r="CL44" i="21"/>
  <c r="BY44" i="21"/>
  <c r="CL18" i="21"/>
  <c r="BY18" i="21"/>
  <c r="CI71" i="21"/>
  <c r="BV71" i="21"/>
  <c r="CL41" i="21"/>
  <c r="BY41" i="21"/>
  <c r="CL11" i="21"/>
  <c r="BY11" i="21"/>
  <c r="H72" i="16"/>
  <c r="H79" i="21"/>
  <c r="H83" i="21" s="1"/>
  <c r="I97" i="3" s="1"/>
  <c r="J345" i="8"/>
  <c r="J94" i="8" s="1"/>
  <c r="J31" i="8" s="1"/>
  <c r="AJ49" i="42"/>
  <c r="AJ52" i="42" s="1"/>
  <c r="F259" i="15"/>
  <c r="G113" i="16"/>
  <c r="G115" i="16" s="1"/>
  <c r="CJ23" i="21"/>
  <c r="BW23" i="21"/>
  <c r="BW8" i="21"/>
  <c r="CJ8" i="21"/>
  <c r="BY28" i="21"/>
  <c r="CL28" i="21"/>
  <c r="BX37" i="21"/>
  <c r="CK37" i="21"/>
  <c r="G598" i="34"/>
  <c r="G96" i="11"/>
  <c r="G125" i="11"/>
  <c r="H125" i="11" s="1"/>
  <c r="J125" i="11" s="1"/>
  <c r="K125" i="11" s="1"/>
  <c r="M125" i="11" s="1"/>
  <c r="N125" i="11" s="1"/>
  <c r="P125" i="11" s="1"/>
  <c r="Q125" i="11" s="1"/>
  <c r="S125" i="11" s="1"/>
  <c r="T125" i="11" s="1"/>
  <c r="V125" i="11" s="1"/>
  <c r="W125" i="11" s="1"/>
  <c r="Y125" i="11" s="1"/>
  <c r="Z125" i="11" s="1"/>
  <c r="AB125" i="11" s="1"/>
  <c r="AC125" i="11" s="1"/>
  <c r="AE125" i="11" s="1"/>
  <c r="AF125" i="11" s="1"/>
  <c r="AH125" i="11" s="1"/>
  <c r="AI125" i="11" s="1"/>
  <c r="AK125" i="11" s="1"/>
  <c r="AL125" i="11" s="1"/>
  <c r="AN125" i="11" s="1"/>
  <c r="F132" i="11"/>
  <c r="G132" i="11" s="1"/>
  <c r="H132" i="11" s="1"/>
  <c r="J132" i="11" s="1"/>
  <c r="K132" i="11" s="1"/>
  <c r="M132" i="11" s="1"/>
  <c r="N132" i="11" s="1"/>
  <c r="P132" i="11" s="1"/>
  <c r="Q132" i="11" s="1"/>
  <c r="S132" i="11" s="1"/>
  <c r="T132" i="11" s="1"/>
  <c r="V132" i="11" s="1"/>
  <c r="W132" i="11" s="1"/>
  <c r="Y132" i="11" s="1"/>
  <c r="Z132" i="11" s="1"/>
  <c r="AB132" i="11" s="1"/>
  <c r="AC132" i="11" s="1"/>
  <c r="AE132" i="11" s="1"/>
  <c r="AF132" i="11" s="1"/>
  <c r="AH132" i="11" s="1"/>
  <c r="AI132" i="11" s="1"/>
  <c r="AK132" i="11" s="1"/>
  <c r="AL132" i="11" s="1"/>
  <c r="AN132" i="11" s="1"/>
  <c r="H48" i="7"/>
  <c r="M308" i="8"/>
  <c r="L290" i="45"/>
  <c r="L65" i="8"/>
  <c r="N59" i="8"/>
  <c r="AK47" i="42"/>
  <c r="AK54" i="42" s="1"/>
  <c r="G45" i="42"/>
  <c r="AM12" i="42"/>
  <c r="L48" i="8"/>
  <c r="M199" i="8"/>
  <c r="BX120" i="22"/>
  <c r="CK120" i="22"/>
  <c r="CK119" i="22"/>
  <c r="BX119" i="22"/>
  <c r="BX121" i="22"/>
  <c r="CK121" i="22"/>
  <c r="D190" i="42"/>
  <c r="BX138" i="22"/>
  <c r="CK138" i="22"/>
  <c r="D41" i="20"/>
  <c r="BX131" i="22"/>
  <c r="CK131" i="22"/>
  <c r="CL130" i="22"/>
  <c r="BY130" i="22"/>
  <c r="CL129" i="22"/>
  <c r="BY129" i="22"/>
  <c r="L80" i="20"/>
  <c r="M79" i="20" s="1"/>
  <c r="M78" i="20" s="1"/>
  <c r="M80" i="20" s="1"/>
  <c r="CK81" i="22"/>
  <c r="BX81" i="22"/>
  <c r="C119" i="17"/>
  <c r="C300" i="15"/>
  <c r="BW82" i="22"/>
  <c r="CJ82" i="22"/>
  <c r="G120" i="17"/>
  <c r="F305" i="15"/>
  <c r="N22" i="20"/>
  <c r="H152" i="22"/>
  <c r="H156" i="22" s="1"/>
  <c r="AY44" i="42"/>
  <c r="AY47" i="42" s="1"/>
  <c r="CK83" i="22"/>
  <c r="BX83" i="22"/>
  <c r="BZ86" i="22"/>
  <c r="CM86" i="22"/>
  <c r="L74" i="20"/>
  <c r="N84" i="20"/>
  <c r="O84" i="20"/>
  <c r="O83" i="20" s="1"/>
  <c r="O85" i="20" s="1"/>
  <c r="BX116" i="22"/>
  <c r="CK116" i="22"/>
  <c r="O3" i="10"/>
  <c r="L122" i="10"/>
  <c r="CW102" i="9"/>
  <c r="BW57" i="21"/>
  <c r="CJ57" i="21"/>
  <c r="CJ58" i="21"/>
  <c r="BW58" i="21"/>
  <c r="CK61" i="21"/>
  <c r="BX61" i="21"/>
  <c r="CJ56" i="21"/>
  <c r="BW56" i="21"/>
  <c r="CN49" i="21"/>
  <c r="CA49" i="21"/>
  <c r="CJ46" i="21"/>
  <c r="BW46" i="21"/>
  <c r="CJ40" i="21"/>
  <c r="BW40" i="21"/>
  <c r="C76" i="3"/>
  <c r="C75" i="16"/>
  <c r="C44" i="16" s="1"/>
  <c r="O76" i="3"/>
  <c r="P75" i="16"/>
  <c r="BX34" i="21"/>
  <c r="CK34" i="21"/>
  <c r="CB29" i="21"/>
  <c r="CO29" i="21"/>
  <c r="CJ14" i="21"/>
  <c r="BW14" i="21"/>
  <c r="BW17" i="21"/>
  <c r="CJ17" i="21"/>
  <c r="BX16" i="21"/>
  <c r="CK16" i="21"/>
  <c r="BW7" i="21"/>
  <c r="CJ7" i="21"/>
  <c r="B703" i="4"/>
  <c r="B714" i="4" s="1"/>
  <c r="N726" i="4"/>
  <c r="E465" i="34"/>
  <c r="E515" i="34" s="1"/>
  <c r="R480" i="8"/>
  <c r="N3" i="16"/>
  <c r="N81" i="16" s="1"/>
  <c r="L228" i="4"/>
  <c r="N3" i="17"/>
  <c r="N75" i="17" s="1"/>
  <c r="N3" i="15"/>
  <c r="N34" i="15" s="1"/>
  <c r="N65" i="15" s="1"/>
  <c r="N96" i="15" s="1"/>
  <c r="J902" i="4"/>
  <c r="P3" i="16"/>
  <c r="P81" i="16" s="1"/>
  <c r="B314" i="42"/>
  <c r="P34" i="15"/>
  <c r="C40" i="13"/>
  <c r="H99" i="42"/>
  <c r="P273" i="4"/>
  <c r="H237" i="15"/>
  <c r="H286" i="15" s="1"/>
  <c r="C31" i="4"/>
  <c r="I4" i="42"/>
  <c r="I68" i="42" s="1"/>
  <c r="R81" i="42"/>
  <c r="B45" i="60" s="1"/>
  <c r="C166" i="6"/>
  <c r="C2074" i="6" s="1"/>
  <c r="M130" i="6"/>
  <c r="J377" i="6"/>
  <c r="C113" i="42"/>
  <c r="D113" i="42" s="1"/>
  <c r="L1309" i="6"/>
  <c r="K425" i="6"/>
  <c r="D22" i="6"/>
  <c r="G121" i="42"/>
  <c r="I121" i="42" s="1"/>
  <c r="L429" i="6"/>
  <c r="C2075" i="6"/>
  <c r="H112" i="42"/>
  <c r="I112" i="42" s="1"/>
  <c r="L1333" i="6"/>
  <c r="L428" i="6" s="1"/>
  <c r="K1931" i="6"/>
  <c r="K2010" i="6"/>
  <c r="L2010" i="6" s="1"/>
  <c r="C21" i="42"/>
  <c r="C81" i="42" s="1"/>
  <c r="B19" i="60" s="1"/>
  <c r="K1770" i="6"/>
  <c r="H61" i="6"/>
  <c r="I61" i="6" s="1"/>
  <c r="T6" i="37"/>
  <c r="K1597" i="6"/>
  <c r="K475" i="6" s="1"/>
  <c r="A72" i="3"/>
  <c r="H369" i="6"/>
  <c r="I369" i="6" s="1"/>
  <c r="L583" i="6"/>
  <c r="C114" i="42"/>
  <c r="D114" i="42" s="1"/>
  <c r="G25" i="40"/>
  <c r="AG82" i="9" s="1"/>
  <c r="J1204" i="6"/>
  <c r="J1231" i="6"/>
  <c r="J369" i="6" s="1"/>
  <c r="D109" i="6"/>
  <c r="D2053" i="6" s="1"/>
  <c r="K824" i="6"/>
  <c r="B43" i="15"/>
  <c r="B12" i="15" s="1"/>
  <c r="C11" i="42"/>
  <c r="C72" i="42" s="1"/>
  <c r="B10" i="60" s="1"/>
  <c r="D368" i="34"/>
  <c r="C701" i="4"/>
  <c r="C703" i="4" s="1"/>
  <c r="C714" i="4" s="1"/>
  <c r="M789" i="4"/>
  <c r="M279" i="4" s="1"/>
  <c r="I3" i="16"/>
  <c r="I58" i="16" s="1"/>
  <c r="I70" i="16" s="1"/>
  <c r="G99" i="42"/>
  <c r="M465" i="34"/>
  <c r="M578" i="34" s="1"/>
  <c r="D99" i="42"/>
  <c r="B650" i="4"/>
  <c r="B652" i="4" s="1"/>
  <c r="B659" i="4" s="1"/>
  <c r="I237" i="15"/>
  <c r="K20" i="19" s="1"/>
  <c r="O262" i="4"/>
  <c r="J119" i="4"/>
  <c r="J157" i="4" s="1"/>
  <c r="K228" i="4"/>
  <c r="A40" i="13"/>
  <c r="A8" i="3"/>
  <c r="B34" i="4"/>
  <c r="A105" i="13" s="1"/>
  <c r="C243" i="4"/>
  <c r="C245" i="4" s="1"/>
  <c r="C247" i="4" s="1"/>
  <c r="B29" i="4"/>
  <c r="J15" i="11"/>
  <c r="K15" i="11" s="1"/>
  <c r="M15" i="11" s="1"/>
  <c r="N15" i="11" s="1"/>
  <c r="P15" i="11" s="1"/>
  <c r="Q15" i="11" s="1"/>
  <c r="S15" i="11" s="1"/>
  <c r="T15" i="11" s="1"/>
  <c r="V15" i="11" s="1"/>
  <c r="W15" i="11" s="1"/>
  <c r="Y15" i="11" s="1"/>
  <c r="Z15" i="11" s="1"/>
  <c r="AB15" i="11" s="1"/>
  <c r="AC15" i="11" s="1"/>
  <c r="AE15" i="11" s="1"/>
  <c r="AF15" i="11" s="1"/>
  <c r="AH15" i="11" s="1"/>
  <c r="AI15" i="11" s="1"/>
  <c r="K62" i="37"/>
  <c r="K80" i="37" s="1"/>
  <c r="G100" i="42"/>
  <c r="M62" i="37"/>
  <c r="M80" i="37" s="1"/>
  <c r="C212" i="4"/>
  <c r="C262" i="4" s="1"/>
  <c r="D34" i="4"/>
  <c r="A29" i="4"/>
  <c r="N3" i="22"/>
  <c r="CB3" i="22" s="1"/>
  <c r="CP3" i="22" s="1"/>
  <c r="B834" i="4"/>
  <c r="B836" i="4" s="1"/>
  <c r="B843" i="4" s="1"/>
  <c r="C410" i="4"/>
  <c r="C412" i="4" s="1"/>
  <c r="C422" i="4" s="1"/>
  <c r="A1461" i="6"/>
  <c r="A1463" i="6" s="1"/>
  <c r="A1465" i="6" s="1"/>
  <c r="A1474" i="6" s="1"/>
  <c r="D495" i="6"/>
  <c r="C116" i="3"/>
  <c r="C117" i="3" s="1"/>
  <c r="D672" i="34"/>
  <c r="D756" i="34" s="1"/>
  <c r="D788" i="34" s="1"/>
  <c r="D628" i="34"/>
  <c r="H3" i="15"/>
  <c r="H34" i="15" s="1"/>
  <c r="L559" i="4"/>
  <c r="L126" i="4" s="1"/>
  <c r="H127" i="15"/>
  <c r="B194" i="4"/>
  <c r="B196" i="4" s="1"/>
  <c r="B70" i="3"/>
  <c r="B72" i="3" s="1"/>
  <c r="D348" i="34"/>
  <c r="D779" i="34"/>
  <c r="D783" i="34" s="1"/>
  <c r="D785" i="34" s="1"/>
  <c r="D194" i="4"/>
  <c r="D765" i="4"/>
  <c r="H3" i="17"/>
  <c r="J28" i="20" s="1"/>
  <c r="J45" i="20" s="1"/>
  <c r="CA3" i="21"/>
  <c r="CO3" i="21" s="1"/>
  <c r="G34" i="12"/>
  <c r="I190" i="48"/>
  <c r="D515" i="34"/>
  <c r="J459" i="4"/>
  <c r="N228" i="8"/>
  <c r="A93" i="13"/>
  <c r="A679" i="6"/>
  <c r="A681" i="6" s="1"/>
  <c r="G3" i="12"/>
  <c r="I203" i="48"/>
  <c r="L126" i="34"/>
  <c r="Q100" i="42"/>
  <c r="J176" i="4"/>
  <c r="R72" i="42"/>
  <c r="B36" i="60" s="1"/>
  <c r="J441" i="6"/>
  <c r="A267" i="4"/>
  <c r="N741" i="4"/>
  <c r="M228" i="4"/>
  <c r="A28" i="6"/>
  <c r="A44" i="6" s="1"/>
  <c r="A453" i="6"/>
  <c r="A456" i="6" s="1"/>
  <c r="A194" i="4"/>
  <c r="A863" i="4" s="1"/>
  <c r="K280" i="4"/>
  <c r="B900" i="4"/>
  <c r="K327" i="4"/>
  <c r="K57" i="4" s="1"/>
  <c r="M262" i="4"/>
  <c r="N480" i="8"/>
  <c r="B3" i="16"/>
  <c r="B95" i="16" s="1"/>
  <c r="M4" i="42"/>
  <c r="M68" i="42" s="1"/>
  <c r="C572" i="8"/>
  <c r="E4" i="42"/>
  <c r="E68" i="42" s="1"/>
  <c r="L997" i="6"/>
  <c r="M997" i="6" s="1"/>
  <c r="I725" i="34"/>
  <c r="K211" i="6"/>
  <c r="H1143" i="6"/>
  <c r="I1143" i="6" s="1"/>
  <c r="K593" i="6"/>
  <c r="C120" i="42"/>
  <c r="D120" i="42" s="1"/>
  <c r="P62" i="37"/>
  <c r="P80" i="37" s="1"/>
  <c r="K427" i="6"/>
  <c r="H120" i="42"/>
  <c r="A22" i="6"/>
  <c r="A38" i="6" s="1"/>
  <c r="A107" i="6"/>
  <c r="J659" i="6"/>
  <c r="K1923" i="6"/>
  <c r="H725" i="34"/>
  <c r="C549" i="6"/>
  <c r="C551" i="6" s="1"/>
  <c r="B549" i="6"/>
  <c r="B551" i="6" s="1"/>
  <c r="B562" i="6" s="1"/>
  <c r="C24" i="6"/>
  <c r="C40" i="6" s="1"/>
  <c r="J652" i="6"/>
  <c r="M985" i="6"/>
  <c r="J663" i="6"/>
  <c r="K1927" i="6"/>
  <c r="L130" i="6"/>
  <c r="M208" i="6"/>
  <c r="N993" i="6"/>
  <c r="L934" i="6"/>
  <c r="K159" i="6"/>
  <c r="L1668" i="6"/>
  <c r="K1693" i="6"/>
  <c r="K542" i="6" s="1"/>
  <c r="J1141" i="6"/>
  <c r="E48" i="45"/>
  <c r="F48" i="45" s="1"/>
  <c r="H196" i="6"/>
  <c r="I196" i="6" s="1"/>
  <c r="K305" i="6"/>
  <c r="K653" i="6"/>
  <c r="K154" i="6"/>
  <c r="K1749" i="6"/>
  <c r="K586" i="6" s="1"/>
  <c r="M120" i="42"/>
  <c r="AH4" i="42"/>
  <c r="AW4" i="42" s="1"/>
  <c r="F4" i="42"/>
  <c r="F68" i="42" s="1"/>
  <c r="H115" i="42"/>
  <c r="I115" i="42" s="1"/>
  <c r="G31" i="13"/>
  <c r="G50" i="13" s="1"/>
  <c r="J54" i="6"/>
  <c r="A1962" i="6"/>
  <c r="A1964" i="6" s="1"/>
  <c r="A1966" i="6" s="1"/>
  <c r="A1976" i="6" s="1"/>
  <c r="L330" i="6"/>
  <c r="L329" i="6" s="1"/>
  <c r="M1188" i="6"/>
  <c r="N1131" i="6"/>
  <c r="K324" i="6"/>
  <c r="G758" i="34"/>
  <c r="H700" i="6"/>
  <c r="I700" i="6" s="1"/>
  <c r="L864" i="6"/>
  <c r="K870" i="6"/>
  <c r="K162" i="6"/>
  <c r="K168" i="6" s="1"/>
  <c r="F7" i="42"/>
  <c r="F69" i="42" s="1"/>
  <c r="G7" i="60" s="1"/>
  <c r="U69" i="42"/>
  <c r="G33" i="60" s="1"/>
  <c r="C64" i="6"/>
  <c r="B61" i="3" s="1"/>
  <c r="J942" i="6"/>
  <c r="K148" i="6"/>
  <c r="L77" i="6"/>
  <c r="D25" i="6"/>
  <c r="M1288" i="6"/>
  <c r="L406" i="6"/>
  <c r="K209" i="3"/>
  <c r="K145" i="3"/>
  <c r="N1030" i="6"/>
  <c r="M249" i="6"/>
  <c r="AV120" i="9" s="1"/>
  <c r="K120" i="9"/>
  <c r="G22" i="58"/>
  <c r="J726" i="6"/>
  <c r="K2030" i="6"/>
  <c r="D1071" i="6"/>
  <c r="K652" i="6"/>
  <c r="L892" i="6"/>
  <c r="K149" i="6"/>
  <c r="J626" i="6"/>
  <c r="H732" i="34"/>
  <c r="K302" i="6"/>
  <c r="D30" i="6"/>
  <c r="H23" i="58"/>
  <c r="H37" i="58" s="1"/>
  <c r="K2037" i="6"/>
  <c r="K1696" i="6"/>
  <c r="J545" i="6"/>
  <c r="J550" i="6" s="1"/>
  <c r="J1701" i="6"/>
  <c r="D1143" i="6"/>
  <c r="B138" i="15"/>
  <c r="B162" i="15" s="1"/>
  <c r="B217" i="15"/>
  <c r="C441" i="6"/>
  <c r="C451" i="6" s="1"/>
  <c r="C453" i="6" s="1"/>
  <c r="G4" i="42"/>
  <c r="G68" i="42" s="1"/>
  <c r="D212" i="4"/>
  <c r="D273" i="4" s="1"/>
  <c r="A333" i="8"/>
  <c r="A335" i="8" s="1"/>
  <c r="A338" i="8" s="1"/>
  <c r="A347" i="8" s="1"/>
  <c r="I184" i="48"/>
  <c r="I178" i="48"/>
  <c r="I200" i="48"/>
  <c r="O62" i="37"/>
  <c r="O80" i="37" s="1"/>
  <c r="I192" i="48"/>
  <c r="W62" i="37"/>
  <c r="W80" i="37" s="1"/>
  <c r="E126" i="34"/>
  <c r="C19" i="4"/>
  <c r="R166" i="8"/>
  <c r="K67" i="4"/>
  <c r="B903" i="4"/>
  <c r="I185" i="48"/>
  <c r="I182" i="48"/>
  <c r="I197" i="48"/>
  <c r="C9" i="4"/>
  <c r="I193" i="48"/>
  <c r="L262" i="4"/>
  <c r="L273" i="4"/>
  <c r="I181" i="48"/>
  <c r="J180" i="4"/>
  <c r="I187" i="48"/>
  <c r="A141" i="4"/>
  <c r="A143" i="4" s="1"/>
  <c r="B572" i="8"/>
  <c r="K114" i="4"/>
  <c r="I20" i="19"/>
  <c r="A27" i="19" s="1"/>
  <c r="A33" i="20" s="1"/>
  <c r="A62" i="20" s="1"/>
  <c r="I179" i="48"/>
  <c r="I180" i="48"/>
  <c r="I201" i="48"/>
  <c r="I195" i="48"/>
  <c r="I196" i="48"/>
  <c r="I188" i="48"/>
  <c r="D126" i="34"/>
  <c r="F825" i="34"/>
  <c r="R102" i="8"/>
  <c r="Q101" i="42"/>
  <c r="C228" i="8"/>
  <c r="R290" i="8"/>
  <c r="B556" i="8"/>
  <c r="I183" i="48"/>
  <c r="I211" i="48"/>
  <c r="I186" i="48"/>
  <c r="I177" i="48"/>
  <c r="C194" i="4"/>
  <c r="C863" i="4" s="1"/>
  <c r="K279" i="4"/>
  <c r="I202" i="48"/>
  <c r="I198" i="48"/>
  <c r="I194" i="48"/>
  <c r="C290" i="8"/>
  <c r="F292" i="45" s="1"/>
  <c r="F295" i="45" s="1"/>
  <c r="F305" i="45" s="1"/>
  <c r="F306" i="45" s="1"/>
  <c r="L290" i="8"/>
  <c r="L292" i="45" s="1"/>
  <c r="B237" i="15"/>
  <c r="B286" i="15" s="1"/>
  <c r="D115" i="4"/>
  <c r="I199" i="48"/>
  <c r="I191" i="48"/>
  <c r="R228" i="8"/>
  <c r="L464" i="4"/>
  <c r="K1732" i="6"/>
  <c r="J576" i="6"/>
  <c r="J603" i="6" s="1"/>
  <c r="J2091" i="6" s="1"/>
  <c r="J53" i="6" s="1"/>
  <c r="J1768" i="6"/>
  <c r="E771" i="34"/>
  <c r="E779" i="34" s="1"/>
  <c r="E783" i="34" s="1"/>
  <c r="L779" i="6"/>
  <c r="K92" i="6"/>
  <c r="K143" i="6"/>
  <c r="L894" i="6"/>
  <c r="L2005" i="6"/>
  <c r="H25" i="40"/>
  <c r="C115" i="42"/>
  <c r="C25" i="6"/>
  <c r="C276" i="6"/>
  <c r="J629" i="6"/>
  <c r="K1795" i="6"/>
  <c r="M404" i="6"/>
  <c r="N1285" i="6"/>
  <c r="M302" i="6"/>
  <c r="H724" i="6"/>
  <c r="I724" i="6" s="1"/>
  <c r="B33" i="6"/>
  <c r="B733" i="6"/>
  <c r="H603" i="6"/>
  <c r="I603" i="6" s="1"/>
  <c r="C234" i="6"/>
  <c r="E21" i="58"/>
  <c r="F21" i="58" s="1"/>
  <c r="J272" i="6"/>
  <c r="J274" i="6" s="1"/>
  <c r="J25" i="6" s="1"/>
  <c r="K1068" i="6"/>
  <c r="J1074" i="6"/>
  <c r="D879" i="6"/>
  <c r="F45" i="11"/>
  <c r="F750" i="34"/>
  <c r="F752" i="34" s="1"/>
  <c r="Q6" i="37"/>
  <c r="AH14" i="37" s="1"/>
  <c r="J1500" i="6"/>
  <c r="K1500" i="6" s="1"/>
  <c r="K153" i="6"/>
  <c r="B46" i="6"/>
  <c r="J216" i="6"/>
  <c r="J222" i="6" s="1"/>
  <c r="J1008" i="6"/>
  <c r="K1002" i="6"/>
  <c r="D166" i="6"/>
  <c r="D23" i="6"/>
  <c r="M116" i="42"/>
  <c r="L427" i="6"/>
  <c r="M1331" i="6"/>
  <c r="L1604" i="6"/>
  <c r="K487" i="6"/>
  <c r="K30" i="45"/>
  <c r="H277" i="6"/>
  <c r="I277" i="6" s="1"/>
  <c r="J661" i="6"/>
  <c r="K1925" i="6"/>
  <c r="L1119" i="6"/>
  <c r="M1119" i="6" s="1"/>
  <c r="I728" i="34"/>
  <c r="J167" i="6"/>
  <c r="L1922" i="6"/>
  <c r="M1922" i="6" s="1"/>
  <c r="K146" i="6"/>
  <c r="D1463" i="6"/>
  <c r="K1724" i="6"/>
  <c r="L1724" i="6" s="1"/>
  <c r="M1724" i="6" s="1"/>
  <c r="N1724" i="6" s="1"/>
  <c r="J1734" i="6"/>
  <c r="D52" i="6"/>
  <c r="C7" i="3"/>
  <c r="C30" i="13"/>
  <c r="K1614" i="6"/>
  <c r="K494" i="6" s="1"/>
  <c r="O20" i="26"/>
  <c r="A24" i="6"/>
  <c r="A40" i="6" s="1"/>
  <c r="A220" i="6"/>
  <c r="L573" i="6"/>
  <c r="M1729" i="6"/>
  <c r="M1328" i="6"/>
  <c r="L426" i="6"/>
  <c r="N253" i="10"/>
  <c r="P253" i="10" s="1"/>
  <c r="O156" i="11" s="1"/>
  <c r="L1798" i="6"/>
  <c r="K1741" i="6"/>
  <c r="K584" i="6" s="1"/>
  <c r="J1004" i="6"/>
  <c r="H4" i="42"/>
  <c r="H68" i="42" s="1"/>
  <c r="C116" i="42"/>
  <c r="D116" i="42" s="1"/>
  <c r="C26" i="6"/>
  <c r="K1987" i="6"/>
  <c r="J1990" i="6"/>
  <c r="J698" i="6"/>
  <c r="L1761" i="6"/>
  <c r="M1761" i="6" s="1"/>
  <c r="N1761" i="6" s="1"/>
  <c r="O1761" i="6" s="1"/>
  <c r="P1761" i="6" s="1"/>
  <c r="K598" i="6"/>
  <c r="K605" i="6" s="1"/>
  <c r="L643" i="6"/>
  <c r="L2027" i="6"/>
  <c r="L724" i="6" s="1"/>
  <c r="M1848" i="6"/>
  <c r="L262" i="6"/>
  <c r="L31" i="45"/>
  <c r="D292" i="42"/>
  <c r="L1758" i="6"/>
  <c r="K594" i="6"/>
  <c r="M2032" i="6"/>
  <c r="N2032" i="6" s="1"/>
  <c r="H218" i="6"/>
  <c r="G738" i="34"/>
  <c r="G740" i="34" s="1"/>
  <c r="G216" i="34" s="1"/>
  <c r="G217" i="34" s="1"/>
  <c r="G815" i="34" s="1"/>
  <c r="G259" i="3" s="1"/>
  <c r="N775" i="6"/>
  <c r="N91" i="6" s="1"/>
  <c r="I31" i="13"/>
  <c r="I50" i="13" s="1"/>
  <c r="I68" i="13" s="1"/>
  <c r="I124" i="13" s="1"/>
  <c r="C112" i="42"/>
  <c r="C22" i="6"/>
  <c r="C38" i="6" s="1"/>
  <c r="C107" i="6"/>
  <c r="L1000" i="6"/>
  <c r="K214" i="6"/>
  <c r="L589" i="6"/>
  <c r="M1746" i="6"/>
  <c r="K1928" i="6"/>
  <c r="J664" i="6"/>
  <c r="K320" i="6"/>
  <c r="K35" i="45"/>
  <c r="L1108" i="6"/>
  <c r="H877" i="6"/>
  <c r="I877" i="6" s="1"/>
  <c r="H114" i="1"/>
  <c r="H117" i="1" s="1"/>
  <c r="D12" i="6"/>
  <c r="G118" i="42"/>
  <c r="L1866" i="6"/>
  <c r="K649" i="6"/>
  <c r="A280" i="6"/>
  <c r="A2076" i="6"/>
  <c r="I727" i="34"/>
  <c r="J630" i="6"/>
  <c r="K1796" i="6"/>
  <c r="H511" i="6"/>
  <c r="I511" i="6" s="1"/>
  <c r="J666" i="6"/>
  <c r="K1934" i="6"/>
  <c r="J494" i="6"/>
  <c r="H274" i="6"/>
  <c r="I274" i="6" s="1"/>
  <c r="J649" i="6"/>
  <c r="K1994" i="6"/>
  <c r="J702" i="6"/>
  <c r="V12" i="42" s="1"/>
  <c r="J248" i="6"/>
  <c r="K1029" i="6"/>
  <c r="L1099" i="6"/>
  <c r="K312" i="6"/>
  <c r="C52" i="6"/>
  <c r="B104" i="13" s="1"/>
  <c r="B7" i="3"/>
  <c r="B30" i="13"/>
  <c r="E19" i="34"/>
  <c r="L261" i="6"/>
  <c r="K94" i="6"/>
  <c r="L787" i="6"/>
  <c r="H940" i="6"/>
  <c r="I940" i="6" s="1"/>
  <c r="L673" i="6"/>
  <c r="H1006" i="6"/>
  <c r="I1006" i="6" s="1"/>
  <c r="H547" i="6"/>
  <c r="I547" i="6" s="1"/>
  <c r="H254" i="6"/>
  <c r="I254" i="6" s="1"/>
  <c r="H435" i="6"/>
  <c r="I435" i="6" s="1"/>
  <c r="H634" i="6"/>
  <c r="H365" i="6"/>
  <c r="I365" i="6" s="1"/>
  <c r="J592" i="6"/>
  <c r="H868" i="6"/>
  <c r="I868" i="6" s="1"/>
  <c r="H1572" i="6"/>
  <c r="I1572" i="6" s="1"/>
  <c r="H14" i="6"/>
  <c r="I14" i="6" s="1"/>
  <c r="K1139" i="6"/>
  <c r="J337" i="6"/>
  <c r="B10" i="6"/>
  <c r="B342" i="6"/>
  <c r="G141" i="3"/>
  <c r="G142" i="3" s="1"/>
  <c r="E20" i="58"/>
  <c r="F20" i="58" s="1"/>
  <c r="H722" i="6"/>
  <c r="I722" i="6" s="1"/>
  <c r="H578" i="6"/>
  <c r="I578" i="6" s="1"/>
  <c r="H680" i="6"/>
  <c r="I680" i="6" s="1"/>
  <c r="J710" i="6"/>
  <c r="K2006" i="6"/>
  <c r="G21" i="58"/>
  <c r="K2025" i="6"/>
  <c r="K1666" i="6"/>
  <c r="J533" i="6"/>
  <c r="J535" i="6" s="1"/>
  <c r="J14" i="6" s="1"/>
  <c r="J1670" i="6"/>
  <c r="H761" i="34"/>
  <c r="K1491" i="6"/>
  <c r="O21" i="26"/>
  <c r="H2093" i="6"/>
  <c r="I217" i="15"/>
  <c r="I138" i="15"/>
  <c r="I162" i="15" s="1"/>
  <c r="J542" i="6"/>
  <c r="C2064" i="6"/>
  <c r="C746" i="6"/>
  <c r="H81" i="6"/>
  <c r="H1204" i="6"/>
  <c r="I1204" i="6" s="1"/>
  <c r="E21" i="42"/>
  <c r="E81" i="42" s="1"/>
  <c r="E19" i="60" s="1"/>
  <c r="H105" i="6"/>
  <c r="I105" i="6" s="1"/>
  <c r="H724" i="34"/>
  <c r="J1765" i="6"/>
  <c r="B525" i="5"/>
  <c r="H343" i="6"/>
  <c r="I343" i="6" s="1"/>
  <c r="H340" i="6"/>
  <c r="I340" i="6" s="1"/>
  <c r="H454" i="6"/>
  <c r="I454" i="6" s="1"/>
  <c r="J657" i="6"/>
  <c r="L638" i="6"/>
  <c r="K1986" i="6"/>
  <c r="J699" i="6"/>
  <c r="K1638" i="6"/>
  <c r="J1643" i="6"/>
  <c r="J506" i="6"/>
  <c r="J511" i="6" s="1"/>
  <c r="K959" i="6"/>
  <c r="J190" i="6"/>
  <c r="J196" i="6" s="1"/>
  <c r="J8" i="6" s="1"/>
  <c r="J970" i="6"/>
  <c r="K1138" i="6"/>
  <c r="J1144" i="6"/>
  <c r="J336" i="6"/>
  <c r="L729" i="6"/>
  <c r="L734" i="6" s="1"/>
  <c r="J2023" i="6"/>
  <c r="G20" i="58" s="1"/>
  <c r="K1849" i="6"/>
  <c r="J645" i="6"/>
  <c r="L1691" i="6"/>
  <c r="J308" i="6"/>
  <c r="H766" i="34"/>
  <c r="K1096" i="6"/>
  <c r="J653" i="6"/>
  <c r="N1739" i="6"/>
  <c r="M583" i="6"/>
  <c r="K110" i="48"/>
  <c r="K1888" i="6"/>
  <c r="J654" i="6"/>
  <c r="K2021" i="6"/>
  <c r="J721" i="6"/>
  <c r="H1700" i="6"/>
  <c r="I1700" i="6" s="1"/>
  <c r="J496" i="6"/>
  <c r="J638" i="6"/>
  <c r="C342" i="6"/>
  <c r="H379" i="6"/>
  <c r="H27" i="6" s="1"/>
  <c r="I27" i="6" s="1"/>
  <c r="K638" i="6"/>
  <c r="H164" i="6"/>
  <c r="I164" i="6" s="1"/>
  <c r="M405" i="6"/>
  <c r="K592" i="6"/>
  <c r="H800" i="6"/>
  <c r="I800" i="6" s="1"/>
  <c r="G46" i="45"/>
  <c r="G47" i="45" s="1"/>
  <c r="J713" i="6"/>
  <c r="K2013" i="6"/>
  <c r="K1985" i="6"/>
  <c r="G6" i="58"/>
  <c r="G5" i="58" s="1"/>
  <c r="J697" i="6"/>
  <c r="K1001" i="6"/>
  <c r="J215" i="6"/>
  <c r="J221" i="6" s="1"/>
  <c r="J1007" i="6"/>
  <c r="J675" i="6"/>
  <c r="J680" i="6" s="1"/>
  <c r="J1965" i="6"/>
  <c r="K1799" i="6"/>
  <c r="J631" i="6"/>
  <c r="A551" i="6"/>
  <c r="A2081" i="6"/>
  <c r="K798" i="6"/>
  <c r="J103" i="6"/>
  <c r="K2020" i="6"/>
  <c r="J720" i="6"/>
  <c r="U12" i="42"/>
  <c r="F12" i="42" s="1"/>
  <c r="G18" i="58"/>
  <c r="H129" i="14"/>
  <c r="O129" i="40"/>
  <c r="N131" i="40"/>
  <c r="AF99" i="10" s="1"/>
  <c r="F556" i="34"/>
  <c r="F380" i="34"/>
  <c r="F498" i="34" s="1"/>
  <c r="H123" i="14"/>
  <c r="G208" i="14"/>
  <c r="F221" i="14"/>
  <c r="D271" i="42"/>
  <c r="J176" i="7"/>
  <c r="K605" i="7"/>
  <c r="H424" i="7"/>
  <c r="I424" i="7" s="1"/>
  <c r="K608" i="7"/>
  <c r="J177" i="7"/>
  <c r="J130" i="7"/>
  <c r="K552" i="7"/>
  <c r="H267" i="7"/>
  <c r="I267" i="7" s="1"/>
  <c r="J340" i="7"/>
  <c r="K879" i="7"/>
  <c r="H38" i="7"/>
  <c r="I38" i="7" s="1"/>
  <c r="J131" i="7"/>
  <c r="K553" i="7"/>
  <c r="J316" i="7"/>
  <c r="K837" i="7"/>
  <c r="L837" i="7" s="1"/>
  <c r="M837" i="7" s="1"/>
  <c r="N837" i="7" s="1"/>
  <c r="H583" i="7"/>
  <c r="I583" i="7" s="1"/>
  <c r="H146" i="7"/>
  <c r="G759" i="34"/>
  <c r="G781" i="34" s="1"/>
  <c r="H807" i="7"/>
  <c r="A216" i="15"/>
  <c r="E167" i="48"/>
  <c r="D58" i="48"/>
  <c r="D1128" i="7"/>
  <c r="K672" i="7"/>
  <c r="L672" i="7" s="1"/>
  <c r="M672" i="7" s="1"/>
  <c r="N672" i="7" s="1"/>
  <c r="J145" i="7"/>
  <c r="H759" i="34"/>
  <c r="H781" i="34" s="1"/>
  <c r="H1153" i="7"/>
  <c r="D950" i="7"/>
  <c r="D369" i="7" s="1"/>
  <c r="K529" i="7"/>
  <c r="K995" i="7"/>
  <c r="J1000" i="7"/>
  <c r="J354" i="7"/>
  <c r="J360" i="7" s="1"/>
  <c r="J38" i="7" s="1"/>
  <c r="K874" i="7"/>
  <c r="J337" i="7"/>
  <c r="K852" i="7"/>
  <c r="N127" i="10" s="1"/>
  <c r="J319" i="7"/>
  <c r="K926" i="7"/>
  <c r="L127" i="10"/>
  <c r="J347" i="7"/>
  <c r="J132" i="8"/>
  <c r="H746" i="34"/>
  <c r="H748" i="34" s="1"/>
  <c r="K514" i="8"/>
  <c r="K375" i="8"/>
  <c r="J109" i="8"/>
  <c r="J119" i="8"/>
  <c r="O16" i="26"/>
  <c r="A84" i="15"/>
  <c r="AF29" i="42"/>
  <c r="D45" i="42"/>
  <c r="C189" i="42"/>
  <c r="AH47" i="42"/>
  <c r="F45" i="42"/>
  <c r="AJ47" i="42"/>
  <c r="F245" i="15"/>
  <c r="G245" i="15" s="1"/>
  <c r="AJ20" i="42"/>
  <c r="G105" i="16"/>
  <c r="F324" i="15"/>
  <c r="G45" i="17"/>
  <c r="D30" i="34"/>
  <c r="D32" i="34" s="1"/>
  <c r="D115" i="34"/>
  <c r="K454" i="8"/>
  <c r="J122" i="8"/>
  <c r="J423" i="45"/>
  <c r="AZ21" i="42"/>
  <c r="H116" i="15" s="1"/>
  <c r="K429" i="8"/>
  <c r="F77" i="15"/>
  <c r="G77" i="15" s="1"/>
  <c r="C260" i="15"/>
  <c r="C275" i="15"/>
  <c r="AJ11" i="42"/>
  <c r="F74" i="15" s="1"/>
  <c r="G74" i="15" s="1"/>
  <c r="G381" i="34"/>
  <c r="F101" i="34"/>
  <c r="K551" i="34"/>
  <c r="K552" i="34" s="1"/>
  <c r="K561" i="34" s="1"/>
  <c r="K254" i="34" s="1"/>
  <c r="K494" i="34"/>
  <c r="K356" i="8"/>
  <c r="J106" i="8"/>
  <c r="AZ7" i="42" s="1"/>
  <c r="AY19" i="42"/>
  <c r="G178" i="3"/>
  <c r="G179" i="3" s="1"/>
  <c r="AZ12" i="42"/>
  <c r="K390" i="8"/>
  <c r="J121" i="8"/>
  <c r="K440" i="8"/>
  <c r="AY34" i="42"/>
  <c r="K173" i="8"/>
  <c r="J43" i="8"/>
  <c r="AK7" i="42" s="1"/>
  <c r="H108" i="8"/>
  <c r="I108" i="8" s="1"/>
  <c r="C352" i="34"/>
  <c r="C383" i="34"/>
  <c r="C357" i="34" s="1"/>
  <c r="C496" i="34"/>
  <c r="K363" i="8"/>
  <c r="J107" i="8"/>
  <c r="AZ8" i="42" s="1"/>
  <c r="H102" i="15" s="1"/>
  <c r="H82" i="15"/>
  <c r="H493" i="34"/>
  <c r="R39" i="8"/>
  <c r="AY20" i="42"/>
  <c r="F294" i="15"/>
  <c r="G294" i="15" s="1"/>
  <c r="G103" i="17"/>
  <c r="K499" i="8"/>
  <c r="J131" i="8"/>
  <c r="K385" i="8"/>
  <c r="J111" i="8"/>
  <c r="P550" i="34"/>
  <c r="K250" i="8"/>
  <c r="J56" i="8"/>
  <c r="C45" i="42"/>
  <c r="J55" i="8"/>
  <c r="G610" i="34"/>
  <c r="G611" i="34" s="1"/>
  <c r="F70" i="15"/>
  <c r="G70" i="15" s="1"/>
  <c r="G551" i="34"/>
  <c r="G552" i="34" s="1"/>
  <c r="G561" i="34" s="1"/>
  <c r="G254" i="34" s="1"/>
  <c r="G494" i="34"/>
  <c r="J30" i="9"/>
  <c r="L716" i="7" s="1"/>
  <c r="L249" i="7" s="1"/>
  <c r="CH211" i="9"/>
  <c r="CI211" i="9" s="1"/>
  <c r="H132" i="13"/>
  <c r="AP30" i="9"/>
  <c r="CW30" i="9"/>
  <c r="I125" i="9"/>
  <c r="J125" i="9" s="1"/>
  <c r="S170" i="10"/>
  <c r="AI143" i="9"/>
  <c r="AI219" i="9" s="1"/>
  <c r="AI221" i="9" s="1"/>
  <c r="G75" i="13" s="1"/>
  <c r="AE170" i="10"/>
  <c r="AA64" i="9"/>
  <c r="AK146" i="9"/>
  <c r="O67" i="37" s="1"/>
  <c r="O76" i="37" s="1"/>
  <c r="O78" i="37" s="1"/>
  <c r="AK125" i="9"/>
  <c r="CV146" i="9"/>
  <c r="J947" i="6"/>
  <c r="J176" i="6" s="1"/>
  <c r="AH143" i="9"/>
  <c r="BT3" i="21"/>
  <c r="CH3" i="21" s="1"/>
  <c r="CV32" i="9"/>
  <c r="CV125" i="9"/>
  <c r="G169" i="10"/>
  <c r="F97" i="11" s="1"/>
  <c r="G97" i="11" s="1"/>
  <c r="H97" i="11" s="1"/>
  <c r="J97" i="11" s="1"/>
  <c r="K97" i="11" s="1"/>
  <c r="M97" i="11" s="1"/>
  <c r="N97" i="11" s="1"/>
  <c r="P97" i="11" s="1"/>
  <c r="Q97" i="11" s="1"/>
  <c r="S97" i="11" s="1"/>
  <c r="T97" i="11" s="1"/>
  <c r="V97" i="11" s="1"/>
  <c r="W97" i="11" s="1"/>
  <c r="Y97" i="11" s="1"/>
  <c r="Z97" i="11" s="1"/>
  <c r="AB97" i="11" s="1"/>
  <c r="AC97" i="11" s="1"/>
  <c r="AE97" i="11" s="1"/>
  <c r="AF97" i="11" s="1"/>
  <c r="AH97" i="11" s="1"/>
  <c r="AI97" i="11" s="1"/>
  <c r="AK97" i="11" s="1"/>
  <c r="AL97" i="11" s="1"/>
  <c r="AN97" i="11" s="1"/>
  <c r="CI160" i="9"/>
  <c r="CW160" i="9" s="1"/>
  <c r="I469" i="9"/>
  <c r="CU125" i="9"/>
  <c r="CU32" i="9"/>
  <c r="AK66" i="9"/>
  <c r="K40" i="5"/>
  <c r="I60" i="3" s="1"/>
  <c r="J181" i="9"/>
  <c r="AU181" i="9" s="1"/>
  <c r="AU134" i="9"/>
  <c r="CV123" i="9"/>
  <c r="AU136" i="9"/>
  <c r="CW146" i="9"/>
  <c r="AA511" i="9"/>
  <c r="CS221" i="9"/>
  <c r="E681" i="34" s="1"/>
  <c r="AP146" i="9"/>
  <c r="P67" i="37" s="1"/>
  <c r="P76" i="37" s="1"/>
  <c r="P78" i="37" s="1"/>
  <c r="AA468" i="9"/>
  <c r="J107" i="11"/>
  <c r="K107" i="11" s="1"/>
  <c r="M107" i="11" s="1"/>
  <c r="N107" i="11" s="1"/>
  <c r="P107" i="11" s="1"/>
  <c r="Q107" i="11" s="1"/>
  <c r="S107" i="11" s="1"/>
  <c r="T107" i="11" s="1"/>
  <c r="J40" i="45"/>
  <c r="J146" i="9"/>
  <c r="J469" i="9" s="1"/>
  <c r="H469" i="9"/>
  <c r="K40" i="45"/>
  <c r="I123" i="9"/>
  <c r="J42" i="1" s="1"/>
  <c r="I273" i="3" s="1"/>
  <c r="G3" i="22"/>
  <c r="G92" i="22" s="1"/>
  <c r="J1153" i="6"/>
  <c r="J353" i="6" s="1"/>
  <c r="AK123" i="9"/>
  <c r="BT121" i="9"/>
  <c r="R947" i="6"/>
  <c r="R176" i="6" s="1"/>
  <c r="H193" i="3"/>
  <c r="CJ165" i="9"/>
  <c r="CX165" i="9" s="1"/>
  <c r="CH148" i="9"/>
  <c r="CU148" i="9"/>
  <c r="BD3" i="9"/>
  <c r="AT88" i="9"/>
  <c r="AT174" i="9" s="1"/>
  <c r="S44" i="42"/>
  <c r="C143" i="13"/>
  <c r="I74" i="14"/>
  <c r="I76" i="14" s="1"/>
  <c r="K72" i="14" s="1"/>
  <c r="C202" i="15"/>
  <c r="AA411" i="9"/>
  <c r="M8" i="37"/>
  <c r="CH182" i="9"/>
  <c r="CV182" i="9" s="1"/>
  <c r="O133" i="10"/>
  <c r="K1117" i="7" s="1"/>
  <c r="K432" i="7" s="1"/>
  <c r="AO64" i="9"/>
  <c r="CU160" i="9"/>
  <c r="CI159" i="9"/>
  <c r="CV159" i="9"/>
  <c r="CH11" i="9"/>
  <c r="CI11" i="9" s="1"/>
  <c r="CJ11" i="9" s="1"/>
  <c r="CK11" i="9" s="1"/>
  <c r="CU11" i="9"/>
  <c r="CI96" i="9"/>
  <c r="CV96" i="9"/>
  <c r="CH63" i="9"/>
  <c r="CU63" i="9"/>
  <c r="AL87" i="9"/>
  <c r="AL173" i="9" s="1"/>
  <c r="AQ2" i="9"/>
  <c r="CW183" i="9"/>
  <c r="CJ183" i="9"/>
  <c r="AL3" i="9"/>
  <c r="AG88" i="9"/>
  <c r="AG174" i="9" s="1"/>
  <c r="CV70" i="9"/>
  <c r="CI70" i="9"/>
  <c r="CU180" i="9"/>
  <c r="CV40" i="9"/>
  <c r="CI107" i="9"/>
  <c r="CW107" i="9" s="1"/>
  <c r="CV127" i="9"/>
  <c r="J168" i="45"/>
  <c r="CV133" i="9"/>
  <c r="CH103" i="9"/>
  <c r="CU103" i="9"/>
  <c r="CV183" i="9"/>
  <c r="CH10" i="9"/>
  <c r="CU10" i="9"/>
  <c r="U339" i="9"/>
  <c r="U393" i="9" s="1"/>
  <c r="V295" i="9"/>
  <c r="V339" i="9" s="1"/>
  <c r="BI3" i="9"/>
  <c r="AY88" i="9"/>
  <c r="AY174" i="9" s="1"/>
  <c r="CI62" i="9"/>
  <c r="CV62" i="9"/>
  <c r="CV165" i="9"/>
  <c r="CU104" i="9"/>
  <c r="CH104" i="9"/>
  <c r="CV83" i="9"/>
  <c r="CI83" i="9"/>
  <c r="CW40" i="9"/>
  <c r="L523" i="5"/>
  <c r="L525" i="5" s="1"/>
  <c r="AK113" i="9"/>
  <c r="CU183" i="9"/>
  <c r="CX105" i="9"/>
  <c r="CK105" i="9"/>
  <c r="CV197" i="9"/>
  <c r="CI197" i="9"/>
  <c r="CJ60" i="9"/>
  <c r="CW60" i="9"/>
  <c r="CH106" i="9"/>
  <c r="CU106" i="9"/>
  <c r="AP3" i="9"/>
  <c r="AK88" i="9"/>
  <c r="AK174" i="9" s="1"/>
  <c r="E393" i="9"/>
  <c r="CU14" i="9"/>
  <c r="AA499" i="9"/>
  <c r="I113" i="9"/>
  <c r="J113" i="9" s="1"/>
  <c r="CJ164" i="9"/>
  <c r="CW164" i="9"/>
  <c r="CW94" i="9"/>
  <c r="CJ94" i="9"/>
  <c r="CV161" i="9"/>
  <c r="CI161" i="9"/>
  <c r="V425" i="9"/>
  <c r="V468" i="9" s="1"/>
  <c r="V469" i="9" s="1"/>
  <c r="U468" i="9"/>
  <c r="U469" i="9" s="1"/>
  <c r="AC88" i="9"/>
  <c r="AH3" i="9"/>
  <c r="J64" i="9"/>
  <c r="L1119" i="7" s="1"/>
  <c r="L434" i="7" s="1"/>
  <c r="C135" i="10"/>
  <c r="AB66" i="9"/>
  <c r="CV42" i="9"/>
  <c r="J97" i="12"/>
  <c r="R7" i="10" s="1"/>
  <c r="CI44" i="9"/>
  <c r="CV44" i="9"/>
  <c r="CV166" i="9"/>
  <c r="CI166" i="9"/>
  <c r="C259" i="10"/>
  <c r="AJ209" i="9"/>
  <c r="CU151" i="9"/>
  <c r="CU22" i="9"/>
  <c r="CH22" i="9"/>
  <c r="CI194" i="9"/>
  <c r="CV194" i="9"/>
  <c r="Y221" i="9"/>
  <c r="J141" i="9"/>
  <c r="K141" i="9" s="1"/>
  <c r="AP64" i="9"/>
  <c r="J156" i="11"/>
  <c r="K156" i="11" s="1"/>
  <c r="M156" i="11" s="1"/>
  <c r="N156" i="11" s="1"/>
  <c r="CI43" i="9"/>
  <c r="CJ43" i="9" s="1"/>
  <c r="I169" i="45"/>
  <c r="I170" i="45" s="1"/>
  <c r="CI137" i="9"/>
  <c r="CV137" i="9"/>
  <c r="CI149" i="9"/>
  <c r="CV149" i="9"/>
  <c r="G62" i="3"/>
  <c r="H902" i="4"/>
  <c r="CH46" i="9"/>
  <c r="CU46" i="9"/>
  <c r="N947" i="6"/>
  <c r="N176" i="6" s="1"/>
  <c r="CH167" i="9"/>
  <c r="CU167" i="9"/>
  <c r="H40" i="5"/>
  <c r="CJ32" i="9"/>
  <c r="CX32" i="9" s="1"/>
  <c r="N77" i="21"/>
  <c r="CU212" i="9"/>
  <c r="H225" i="9"/>
  <c r="CV215" i="9"/>
  <c r="CI215" i="9"/>
  <c r="AU151" i="9"/>
  <c r="K151" i="9"/>
  <c r="CU36" i="9"/>
  <c r="V143" i="9"/>
  <c r="V170" i="10"/>
  <c r="AJ66" i="9"/>
  <c r="AK179" i="9"/>
  <c r="I179" i="9"/>
  <c r="AA25" i="9"/>
  <c r="CU37" i="9"/>
  <c r="U219" i="9"/>
  <c r="CH45" i="9"/>
  <c r="CI45" i="9" s="1"/>
  <c r="K193" i="9"/>
  <c r="AU193" i="9"/>
  <c r="L1583" i="6"/>
  <c r="AT64" i="9"/>
  <c r="R133" i="10" s="1"/>
  <c r="L1117" i="7" s="1"/>
  <c r="L432" i="7" s="1"/>
  <c r="O28" i="37"/>
  <c r="D1972" i="6"/>
  <c r="D686" i="6" s="1"/>
  <c r="CC3" i="21"/>
  <c r="CQ3" i="21" s="1"/>
  <c r="I77" i="21"/>
  <c r="O30" i="37"/>
  <c r="AK126" i="9"/>
  <c r="CV126" i="9"/>
  <c r="L878" i="6"/>
  <c r="K82" i="9"/>
  <c r="CJ133" i="9"/>
  <c r="CW133" i="9"/>
  <c r="K99" i="9"/>
  <c r="Q86" i="37"/>
  <c r="AU99" i="9"/>
  <c r="J110" i="9"/>
  <c r="L949" i="6" s="1"/>
  <c r="AP110" i="9"/>
  <c r="K949" i="6"/>
  <c r="K178" i="6" s="1"/>
  <c r="CU41" i="9"/>
  <c r="CH41" i="9"/>
  <c r="AP141" i="9"/>
  <c r="P8" i="37" s="1"/>
  <c r="AK124" i="9"/>
  <c r="AP126" i="9"/>
  <c r="P30" i="37"/>
  <c r="J126" i="9"/>
  <c r="CW126" i="9"/>
  <c r="CW7" i="9"/>
  <c r="AP7" i="9"/>
  <c r="J7" i="9"/>
  <c r="D352" i="6"/>
  <c r="AO55" i="9"/>
  <c r="CW55" i="9"/>
  <c r="K1009" i="7"/>
  <c r="K371" i="7" s="1"/>
  <c r="K52" i="7" s="1"/>
  <c r="I67" i="3" s="1"/>
  <c r="I66" i="9"/>
  <c r="AP124" i="9"/>
  <c r="J124" i="9"/>
  <c r="P28" i="37"/>
  <c r="CI130" i="9"/>
  <c r="CV130" i="9"/>
  <c r="O3" i="22"/>
  <c r="CC3" i="22" s="1"/>
  <c r="CQ3" i="22" s="1"/>
  <c r="CV209" i="9"/>
  <c r="R219" i="9"/>
  <c r="I3" i="22"/>
  <c r="BW3" i="22" s="1"/>
  <c r="CK3" i="22" s="1"/>
  <c r="AE75" i="9"/>
  <c r="AF70" i="9"/>
  <c r="AF75" i="9" s="1"/>
  <c r="CJ195" i="9"/>
  <c r="CW195" i="9"/>
  <c r="CH134" i="9"/>
  <c r="CU134" i="9"/>
  <c r="CH31" i="9"/>
  <c r="CU31" i="9"/>
  <c r="D137" i="14"/>
  <c r="CJ125" i="9"/>
  <c r="CV214" i="9"/>
  <c r="CI214" i="9"/>
  <c r="AK133" i="9"/>
  <c r="AA339" i="9"/>
  <c r="J1974" i="6"/>
  <c r="J688" i="6" s="1"/>
  <c r="CV124" i="9"/>
  <c r="H77" i="21"/>
  <c r="AU137" i="9"/>
  <c r="CH136" i="9"/>
  <c r="CU136" i="9"/>
  <c r="J39" i="45"/>
  <c r="J45" i="45" s="1"/>
  <c r="CI151" i="9"/>
  <c r="CV151" i="9"/>
  <c r="CI212" i="9"/>
  <c r="CV212" i="9"/>
  <c r="CI163" i="9"/>
  <c r="CV163" i="9"/>
  <c r="I158" i="40"/>
  <c r="I165" i="40" s="1"/>
  <c r="AU135" i="9"/>
  <c r="I209" i="9"/>
  <c r="CW209" i="9" s="1"/>
  <c r="R393" i="9"/>
  <c r="BO121" i="9"/>
  <c r="K179" i="14"/>
  <c r="CH135" i="9"/>
  <c r="CU135" i="9"/>
  <c r="AS143" i="9"/>
  <c r="D505" i="5"/>
  <c r="D508" i="5"/>
  <c r="K177" i="5"/>
  <c r="C28" i="5"/>
  <c r="C196" i="5"/>
  <c r="C198" i="5" s="1"/>
  <c r="A19" i="5"/>
  <c r="H108" i="42"/>
  <c r="J150" i="5"/>
  <c r="J18" i="5" s="1"/>
  <c r="B66" i="5"/>
  <c r="B477" i="5" s="1"/>
  <c r="B16" i="5"/>
  <c r="B25" i="5" s="1"/>
  <c r="B505" i="5"/>
  <c r="I225" i="3"/>
  <c r="I226" i="3" s="1"/>
  <c r="K186" i="5"/>
  <c r="J352" i="8"/>
  <c r="K60" i="5"/>
  <c r="J64" i="5"/>
  <c r="J505" i="5" s="1"/>
  <c r="C101" i="5"/>
  <c r="C103" i="5" s="1"/>
  <c r="C506" i="5"/>
  <c r="J186" i="5"/>
  <c r="J572" i="8"/>
  <c r="C25" i="5"/>
  <c r="C17" i="5"/>
  <c r="C108" i="42"/>
  <c r="D108" i="42" s="1"/>
  <c r="A18" i="5"/>
  <c r="A27" i="5" s="1"/>
  <c r="A17" i="5"/>
  <c r="A26" i="5" s="1"/>
  <c r="A152" i="5"/>
  <c r="A154" i="5" s="1"/>
  <c r="J3" i="40"/>
  <c r="J53" i="40" s="1"/>
  <c r="C152" i="5"/>
  <c r="C479" i="5" s="1"/>
  <c r="C508" i="5"/>
  <c r="C18" i="5"/>
  <c r="F22" i="13"/>
  <c r="F103" i="13"/>
  <c r="Q525" i="5"/>
  <c r="C107" i="42"/>
  <c r="B499" i="5"/>
  <c r="B501" i="5" s="1"/>
  <c r="B10" i="5"/>
  <c r="B12" i="5" s="1"/>
  <c r="A18" i="13" s="1"/>
  <c r="B196" i="5"/>
  <c r="B198" i="5" s="1"/>
  <c r="A66" i="5"/>
  <c r="A477" i="5" s="1"/>
  <c r="A510" i="5"/>
  <c r="L546" i="8"/>
  <c r="P290" i="8"/>
  <c r="E35" i="60"/>
  <c r="P166" i="8"/>
  <c r="C546" i="8"/>
  <c r="H10" i="5"/>
  <c r="I10" i="5" s="1"/>
  <c r="P102" i="8"/>
  <c r="A496" i="5"/>
  <c r="D99" i="5"/>
  <c r="C477" i="5"/>
  <c r="D321" i="5"/>
  <c r="D450" i="5"/>
  <c r="J388" i="5"/>
  <c r="J390" i="5" s="1"/>
  <c r="J399" i="5" s="1"/>
  <c r="E34" i="12"/>
  <c r="C480" i="8"/>
  <c r="C127" i="8" s="1"/>
  <c r="C145" i="8" s="1"/>
  <c r="J240" i="5"/>
  <c r="J259" i="5" s="1"/>
  <c r="P39" i="8"/>
  <c r="C166" i="8"/>
  <c r="B3" i="40"/>
  <c r="B53" i="40" s="1"/>
  <c r="B116" i="40" s="1"/>
  <c r="S40" i="42" s="1"/>
  <c r="C466" i="5"/>
  <c r="J52" i="5"/>
  <c r="J56" i="5" s="1"/>
  <c r="J7" i="5" s="1"/>
  <c r="H499" i="5"/>
  <c r="I499" i="5" s="1"/>
  <c r="E9" i="42"/>
  <c r="E71" i="42" s="1"/>
  <c r="E9" i="60" s="1"/>
  <c r="P228" i="8"/>
  <c r="M546" i="8"/>
  <c r="C102" i="8"/>
  <c r="C556" i="8"/>
  <c r="G105" i="42"/>
  <c r="P480" i="8"/>
  <c r="P525" i="5"/>
  <c r="C352" i="8"/>
  <c r="D131" i="5"/>
  <c r="D388" i="5"/>
  <c r="B507" i="5"/>
  <c r="B18" i="5"/>
  <c r="B27" i="5" s="1"/>
  <c r="L219" i="5"/>
  <c r="K240" i="5"/>
  <c r="L39" i="8"/>
  <c r="J122" i="48"/>
  <c r="J123" i="48" s="1"/>
  <c r="D1640" i="6"/>
  <c r="A25" i="5"/>
  <c r="K447" i="5"/>
  <c r="K448" i="5" s="1"/>
  <c r="J451" i="5"/>
  <c r="J486" i="5"/>
  <c r="J192" i="5"/>
  <c r="J197" i="5" s="1"/>
  <c r="F268" i="48"/>
  <c r="A525" i="5"/>
  <c r="I131" i="5"/>
  <c r="P99" i="48"/>
  <c r="K176" i="5"/>
  <c r="L413" i="5"/>
  <c r="N423" i="5"/>
  <c r="M185" i="5"/>
  <c r="R525" i="5"/>
  <c r="B152" i="5"/>
  <c r="D268" i="48"/>
  <c r="C9" i="5"/>
  <c r="C12" i="5" s="1"/>
  <c r="K52" i="5"/>
  <c r="K56" i="5" s="1"/>
  <c r="K496" i="5" s="1"/>
  <c r="D66" i="5"/>
  <c r="B17" i="5"/>
  <c r="B26" i="5" s="1"/>
  <c r="B506" i="5"/>
  <c r="M96" i="5"/>
  <c r="N315" i="5"/>
  <c r="M238" i="5"/>
  <c r="L54" i="5"/>
  <c r="M53" i="5"/>
  <c r="N235" i="5"/>
  <c r="J99" i="48"/>
  <c r="J131" i="5"/>
  <c r="J498" i="5" s="1"/>
  <c r="H107" i="42"/>
  <c r="D18" i="5"/>
  <c r="D507" i="5"/>
  <c r="B107" i="42"/>
  <c r="M350" i="5"/>
  <c r="M126" i="5" s="1"/>
  <c r="D496" i="5"/>
  <c r="L61" i="5"/>
  <c r="M250" i="5"/>
  <c r="L376" i="5"/>
  <c r="K141" i="5"/>
  <c r="A499" i="5"/>
  <c r="A10" i="5"/>
  <c r="A196" i="5"/>
  <c r="J96" i="48"/>
  <c r="M148" i="5"/>
  <c r="N385" i="5"/>
  <c r="C498" i="5"/>
  <c r="C501" i="5" s="1"/>
  <c r="L480" i="8"/>
  <c r="L421" i="45" s="1"/>
  <c r="N160" i="48"/>
  <c r="N162" i="48" s="1"/>
  <c r="N3" i="12"/>
  <c r="D333" i="8"/>
  <c r="N204" i="48"/>
  <c r="G108" i="42"/>
  <c r="D499" i="5"/>
  <c r="D196" i="5"/>
  <c r="D10" i="5"/>
  <c r="B508" i="5"/>
  <c r="B19" i="5"/>
  <c r="L368" i="5"/>
  <c r="K137" i="5"/>
  <c r="B8" i="42"/>
  <c r="B70" i="42" s="1"/>
  <c r="A8" i="60" s="1"/>
  <c r="C8" i="42"/>
  <c r="C70" i="42" s="1"/>
  <c r="B8" i="60" s="1"/>
  <c r="R70" i="42"/>
  <c r="B34" i="60" s="1"/>
  <c r="C478" i="5"/>
  <c r="B281" i="42"/>
  <c r="B292" i="42" s="1"/>
  <c r="A40" i="15"/>
  <c r="B478" i="5"/>
  <c r="B103" i="5"/>
  <c r="A114" i="5"/>
  <c r="D105" i="42"/>
  <c r="D25" i="5"/>
  <c r="K96" i="48"/>
  <c r="M105" i="42"/>
  <c r="D586" i="34"/>
  <c r="D587" i="34" s="1"/>
  <c r="D589" i="34" s="1"/>
  <c r="D240" i="34" s="1"/>
  <c r="R9" i="42"/>
  <c r="B296" i="42"/>
  <c r="C61" i="4"/>
  <c r="C82" i="4" s="1"/>
  <c r="M101" i="42"/>
  <c r="D139" i="4"/>
  <c r="P465" i="34"/>
  <c r="P348" i="34"/>
  <c r="D410" i="4"/>
  <c r="N102" i="8"/>
  <c r="L102" i="8"/>
  <c r="I127" i="15"/>
  <c r="K3" i="12"/>
  <c r="K3" i="15"/>
  <c r="K34" i="15" s="1"/>
  <c r="J102" i="8"/>
  <c r="J166" i="8"/>
  <c r="S9" i="42"/>
  <c r="B7" i="10"/>
  <c r="S6" i="37"/>
  <c r="K612" i="4"/>
  <c r="K638" i="4" s="1"/>
  <c r="J589" i="4"/>
  <c r="J148" i="4" s="1"/>
  <c r="K454" i="4"/>
  <c r="N166" i="8"/>
  <c r="L166" i="8"/>
  <c r="D441" i="6"/>
  <c r="Q212" i="4"/>
  <c r="J290" i="8"/>
  <c r="J292" i="45" s="1"/>
  <c r="J295" i="45" s="1"/>
  <c r="J305" i="45" s="1"/>
  <c r="J306" i="45" s="1"/>
  <c r="C11" i="12"/>
  <c r="B84" i="3" s="1"/>
  <c r="E11" i="12"/>
  <c r="G126" i="34"/>
  <c r="H212" i="4"/>
  <c r="J615" i="4"/>
  <c r="K105" i="4"/>
  <c r="L433" i="4"/>
  <c r="C101" i="42"/>
  <c r="D101" i="42" s="1"/>
  <c r="C834" i="4"/>
  <c r="C836" i="4" s="1"/>
  <c r="C843" i="4" s="1"/>
  <c r="N352" i="8"/>
  <c r="L352" i="8"/>
  <c r="I3" i="15"/>
  <c r="I34" i="15" s="1"/>
  <c r="I65" i="15" s="1"/>
  <c r="I96" i="15" s="1"/>
  <c r="K3" i="16"/>
  <c r="K95" i="16" s="1"/>
  <c r="D61" i="4"/>
  <c r="D7" i="4" s="1"/>
  <c r="B100" i="42"/>
  <c r="K273" i="4"/>
  <c r="K262" i="4"/>
  <c r="AP4" i="42"/>
  <c r="BE4" i="42" s="1"/>
  <c r="L4" i="42"/>
  <c r="L68" i="42" s="1"/>
  <c r="J228" i="8"/>
  <c r="J480" i="8"/>
  <c r="C34" i="4"/>
  <c r="B105" i="13" s="1"/>
  <c r="B8" i="3"/>
  <c r="B40" i="13"/>
  <c r="N290" i="8"/>
  <c r="B40" i="3"/>
  <c r="B41" i="3" s="1"/>
  <c r="B42" i="3" s="1"/>
  <c r="J39" i="8"/>
  <c r="J556" i="8"/>
  <c r="J262" i="4"/>
  <c r="J273" i="4"/>
  <c r="D652" i="4"/>
  <c r="B48" i="3"/>
  <c r="B49" i="3" s="1"/>
  <c r="C901" i="4"/>
  <c r="K235" i="4"/>
  <c r="L756" i="4"/>
  <c r="N127" i="15"/>
  <c r="H3" i="54"/>
  <c r="Y3" i="54" s="1"/>
  <c r="P3" i="22"/>
  <c r="P92" i="22" s="1"/>
  <c r="P142" i="22" s="1"/>
  <c r="L48" i="3"/>
  <c r="M3" i="40"/>
  <c r="M121" i="40" s="1"/>
  <c r="M150" i="40" s="1"/>
  <c r="K123" i="4"/>
  <c r="C160" i="3"/>
  <c r="C161" i="3" s="1"/>
  <c r="D1109" i="7"/>
  <c r="D526" i="8"/>
  <c r="K329" i="4"/>
  <c r="H773" i="34"/>
  <c r="K16" i="48"/>
  <c r="G58" i="16"/>
  <c r="G70" i="16" s="1"/>
  <c r="H583" i="4"/>
  <c r="I583" i="4" s="1"/>
  <c r="J58" i="4"/>
  <c r="A18" i="4"/>
  <c r="A48" i="3"/>
  <c r="B901" i="4"/>
  <c r="B465" i="34"/>
  <c r="B578" i="34" s="1"/>
  <c r="F465" i="34"/>
  <c r="F348" i="34"/>
  <c r="G95" i="16"/>
  <c r="C679" i="6"/>
  <c r="C681" i="6" s="1"/>
  <c r="D297" i="4"/>
  <c r="I760" i="34"/>
  <c r="M48" i="3"/>
  <c r="O901" i="4"/>
  <c r="C17" i="4"/>
  <c r="C97" i="42"/>
  <c r="D21" i="42"/>
  <c r="D81" i="42" s="1"/>
  <c r="C19" i="60" s="1"/>
  <c r="Q556" i="8"/>
  <c r="Q572" i="8"/>
  <c r="I15" i="48"/>
  <c r="K173" i="4"/>
  <c r="D941" i="7"/>
  <c r="M286" i="15"/>
  <c r="O20" i="19"/>
  <c r="M3" i="22"/>
  <c r="BZ3" i="21"/>
  <c r="CN3" i="21" s="1"/>
  <c r="L77" i="21"/>
  <c r="K15" i="48"/>
  <c r="R556" i="8"/>
  <c r="A904" i="4"/>
  <c r="D1962" i="6"/>
  <c r="C1962" i="6"/>
  <c r="C1964" i="6" s="1"/>
  <c r="C1966" i="6" s="1"/>
  <c r="C1976" i="6" s="1"/>
  <c r="K237" i="15"/>
  <c r="L67" i="4"/>
  <c r="L104" i="4"/>
  <c r="L138" i="4"/>
  <c r="L572" i="8"/>
  <c r="L228" i="8"/>
  <c r="L34" i="12"/>
  <c r="L3" i="12"/>
  <c r="K3" i="40"/>
  <c r="N572" i="8"/>
  <c r="M352" i="8"/>
  <c r="N546" i="8"/>
  <c r="O546" i="8"/>
  <c r="R546" i="8"/>
  <c r="M480" i="8"/>
  <c r="M102" i="8"/>
  <c r="M39" i="8"/>
  <c r="P546" i="8"/>
  <c r="O572" i="8"/>
  <c r="Q546" i="8"/>
  <c r="C32" i="6"/>
  <c r="C48" i="6" s="1"/>
  <c r="I465" i="34"/>
  <c r="I348" i="34"/>
  <c r="K48" i="3"/>
  <c r="D22" i="48"/>
  <c r="D53" i="48" s="1"/>
  <c r="M572" i="8"/>
  <c r="B3" i="15"/>
  <c r="B34" i="15" s="1"/>
  <c r="B3" i="54" s="1"/>
  <c r="U3" i="54" s="1"/>
  <c r="C299" i="4"/>
  <c r="C301" i="4" s="1"/>
  <c r="M3" i="15"/>
  <c r="M34" i="15" s="1"/>
  <c r="K4" i="48"/>
  <c r="D834" i="4"/>
  <c r="D836" i="4" s="1"/>
  <c r="D843" i="4" s="1"/>
  <c r="H101" i="42"/>
  <c r="I101" i="42" s="1"/>
  <c r="J465" i="34"/>
  <c r="J348" i="34"/>
  <c r="L578" i="34"/>
  <c r="L515" i="34"/>
  <c r="L356" i="4"/>
  <c r="K66" i="4"/>
  <c r="BY3" i="21"/>
  <c r="CM3" i="21" s="1"/>
  <c r="K77" i="21"/>
  <c r="L3" i="22"/>
  <c r="L3" i="17"/>
  <c r="L3" i="15"/>
  <c r="L34" i="15" s="1"/>
  <c r="L237" i="15"/>
  <c r="L3" i="16"/>
  <c r="L127" i="15"/>
  <c r="H145" i="22"/>
  <c r="BV3" i="22"/>
  <c r="CJ3" i="22" s="1"/>
  <c r="H92" i="22"/>
  <c r="H142" i="22" s="1"/>
  <c r="C3" i="17"/>
  <c r="C3" i="16"/>
  <c r="C3" i="15"/>
  <c r="C34" i="15" s="1"/>
  <c r="C127" i="15"/>
  <c r="C237" i="15"/>
  <c r="J34" i="12"/>
  <c r="I3" i="40"/>
  <c r="J3" i="12"/>
  <c r="N556" i="8"/>
  <c r="K234" i="4"/>
  <c r="K265" i="4" s="1"/>
  <c r="P572" i="8"/>
  <c r="P556" i="8"/>
  <c r="M290" i="8"/>
  <c r="M292" i="45" s="1"/>
  <c r="B127" i="15"/>
  <c r="J3" i="22"/>
  <c r="J92" i="22" s="1"/>
  <c r="J142" i="22" s="1"/>
  <c r="K672" i="4"/>
  <c r="M127" i="15"/>
  <c r="C267" i="4"/>
  <c r="B160" i="3"/>
  <c r="B161" i="3" s="1"/>
  <c r="R19" i="42"/>
  <c r="H650" i="4"/>
  <c r="I650" i="4" s="1"/>
  <c r="M166" i="8"/>
  <c r="O556" i="8"/>
  <c r="BG4" i="42"/>
  <c r="N4" i="42"/>
  <c r="N68" i="42" s="1"/>
  <c r="M556" i="8"/>
  <c r="D531" i="7"/>
  <c r="M108" i="4"/>
  <c r="N441" i="4"/>
  <c r="M228" i="8"/>
  <c r="L669" i="4"/>
  <c r="L173" i="4" s="1"/>
  <c r="M3" i="16"/>
  <c r="M95" i="16" s="1"/>
  <c r="B1962" i="6"/>
  <c r="B1964" i="6" s="1"/>
  <c r="B1966" i="6" s="1"/>
  <c r="B1976" i="6" s="1"/>
  <c r="D127" i="8"/>
  <c r="G421" i="45"/>
  <c r="G424" i="45" s="1"/>
  <c r="G431" i="45" s="1"/>
  <c r="G432" i="45" s="1"/>
  <c r="A24" i="3"/>
  <c r="B899" i="4"/>
  <c r="A127" i="8"/>
  <c r="A145" i="8" s="1"/>
  <c r="D421" i="45"/>
  <c r="D424" i="45" s="1"/>
  <c r="D431" i="45" s="1"/>
  <c r="D432" i="45" s="1"/>
  <c r="D433" i="45" s="1"/>
  <c r="G628" i="34"/>
  <c r="G672" i="34"/>
  <c r="G756" i="34" s="1"/>
  <c r="G788" i="34" s="1"/>
  <c r="A299" i="4"/>
  <c r="A865" i="4" s="1"/>
  <c r="E825" i="34"/>
  <c r="P901" i="4"/>
  <c r="E750" i="34"/>
  <c r="E752" i="34" s="1"/>
  <c r="A3" i="12"/>
  <c r="A34" i="12"/>
  <c r="M34" i="12"/>
  <c r="L3" i="40"/>
  <c r="M3" i="12"/>
  <c r="H136" i="3"/>
  <c r="K545" i="4"/>
  <c r="C465" i="34"/>
  <c r="C348" i="34"/>
  <c r="O465" i="34"/>
  <c r="O348" i="34"/>
  <c r="P3" i="17"/>
  <c r="P65" i="17" s="1"/>
  <c r="A41" i="3"/>
  <c r="A42" i="3" s="1"/>
  <c r="J127" i="15"/>
  <c r="J237" i="15"/>
  <c r="J3" i="15"/>
  <c r="J34" i="15" s="1"/>
  <c r="J3" i="17"/>
  <c r="J3" i="16"/>
  <c r="L23" i="48"/>
  <c r="H465" i="34"/>
  <c r="H348" i="34"/>
  <c r="K182" i="4"/>
  <c r="L685" i="4"/>
  <c r="L444" i="4"/>
  <c r="A127" i="15"/>
  <c r="A3" i="16"/>
  <c r="A3" i="17"/>
  <c r="A3" i="15"/>
  <c r="A34" i="15" s="1"/>
  <c r="I16" i="48"/>
  <c r="B1109" i="7"/>
  <c r="B1112" i="7" s="1"/>
  <c r="B1120" i="7" s="1"/>
  <c r="A526" i="8"/>
  <c r="A528" i="8" s="1"/>
  <c r="A532" i="8" s="1"/>
  <c r="A541" i="8" s="1"/>
  <c r="K184" i="4"/>
  <c r="L694" i="4"/>
  <c r="K56" i="4"/>
  <c r="L326" i="4"/>
  <c r="B18" i="4"/>
  <c r="B28" i="4" s="1"/>
  <c r="B141" i="4"/>
  <c r="N434" i="4"/>
  <c r="F121" i="40"/>
  <c r="F150" i="40" s="1"/>
  <c r="F53" i="40"/>
  <c r="K4" i="42"/>
  <c r="K68" i="42" s="1"/>
  <c r="AO4" i="42"/>
  <c r="BD4" i="42" s="1"/>
  <c r="CD3" i="21"/>
  <c r="CR3" i="21" s="1"/>
  <c r="Q3" i="22"/>
  <c r="P77" i="21"/>
  <c r="M805" i="4"/>
  <c r="N791" i="4"/>
  <c r="N805" i="4" s="1"/>
  <c r="N732" i="4"/>
  <c r="N431" i="4"/>
  <c r="M104" i="4"/>
  <c r="R6" i="37"/>
  <c r="R62" i="37"/>
  <c r="R80" i="37" s="1"/>
  <c r="U6" i="37"/>
  <c r="B1461" i="6"/>
  <c r="B1463" i="6" s="1"/>
  <c r="B1465" i="6" s="1"/>
  <c r="B1474" i="6" s="1"/>
  <c r="K120" i="4"/>
  <c r="AS4" i="42"/>
  <c r="BH4" i="42" s="1"/>
  <c r="B299" i="4"/>
  <c r="B301" i="4" s="1"/>
  <c r="K384" i="4"/>
  <c r="K77" i="4" s="1"/>
  <c r="L321" i="4"/>
  <c r="BY3" i="22"/>
  <c r="CM3" i="22" s="1"/>
  <c r="K92" i="22"/>
  <c r="K142" i="22" s="1"/>
  <c r="K145" i="22"/>
  <c r="L738" i="4"/>
  <c r="I717" i="34"/>
  <c r="N362" i="4"/>
  <c r="M67" i="4"/>
  <c r="H701" i="4"/>
  <c r="I701" i="4" s="1"/>
  <c r="K174" i="4"/>
  <c r="L670" i="4"/>
  <c r="K562" i="4"/>
  <c r="M555" i="4"/>
  <c r="K72" i="4"/>
  <c r="L371" i="4"/>
  <c r="C81" i="13"/>
  <c r="C134" i="13" s="1"/>
  <c r="H774" i="34"/>
  <c r="K447" i="4"/>
  <c r="K113" i="4" s="1"/>
  <c r="P127" i="15"/>
  <c r="X3" i="54"/>
  <c r="I62" i="3"/>
  <c r="B480" i="8"/>
  <c r="A237" i="15"/>
  <c r="A286" i="15" s="1"/>
  <c r="B290" i="8"/>
  <c r="E292" i="45" s="1"/>
  <c r="E295" i="45" s="1"/>
  <c r="E305" i="45" s="1"/>
  <c r="E306" i="45" s="1"/>
  <c r="E307" i="45" s="1"/>
  <c r="B228" i="8"/>
  <c r="B102" i="8"/>
  <c r="B166" i="8" s="1"/>
  <c r="B352" i="8"/>
  <c r="B546" i="8"/>
  <c r="B39" i="8"/>
  <c r="L6" i="37"/>
  <c r="AC14" i="37" s="1"/>
  <c r="L62" i="37"/>
  <c r="L80" i="37" s="1"/>
  <c r="H102" i="8"/>
  <c r="H556" i="8"/>
  <c r="H290" i="8"/>
  <c r="H480" i="8"/>
  <c r="H166" i="8"/>
  <c r="H39" i="8"/>
  <c r="H572" i="8"/>
  <c r="H352" i="8"/>
  <c r="H546" i="8"/>
  <c r="H228" i="8"/>
  <c r="L677" i="4"/>
  <c r="B82" i="4"/>
  <c r="B17" i="4"/>
  <c r="B27" i="4" s="1"/>
  <c r="C3" i="12"/>
  <c r="C34" i="12"/>
  <c r="A3" i="40"/>
  <c r="E174" i="9"/>
  <c r="E219" i="9" s="1"/>
  <c r="K73" i="4"/>
  <c r="L372" i="4"/>
  <c r="K348" i="34"/>
  <c r="K465" i="34"/>
  <c r="M448" i="4"/>
  <c r="L114" i="4"/>
  <c r="N348" i="34"/>
  <c r="N465" i="34"/>
  <c r="M807" i="4"/>
  <c r="L404" i="4"/>
  <c r="K78" i="4"/>
  <c r="K577" i="4"/>
  <c r="J584" i="4"/>
  <c r="J135" i="4"/>
  <c r="B32" i="6"/>
  <c r="B679" i="6"/>
  <c r="L436" i="4"/>
  <c r="K106" i="4"/>
  <c r="H3" i="12"/>
  <c r="G3" i="40"/>
  <c r="H34" i="12"/>
  <c r="J55" i="4"/>
  <c r="K71" i="4"/>
  <c r="L370" i="4"/>
  <c r="B24" i="3"/>
  <c r="C899" i="4"/>
  <c r="L234" i="4"/>
  <c r="M747" i="4"/>
  <c r="J775" i="34"/>
  <c r="M797" i="4"/>
  <c r="M282" i="4" s="1"/>
  <c r="BS3" i="21"/>
  <c r="CG3" i="21" s="1"/>
  <c r="E77" i="21"/>
  <c r="F3" i="22"/>
  <c r="H195" i="4"/>
  <c r="I195" i="4" s="1"/>
  <c r="H192" i="4"/>
  <c r="I192" i="4" s="1"/>
  <c r="J4" i="42"/>
  <c r="J68" i="42" s="1"/>
  <c r="AN4" i="42"/>
  <c r="BC4" i="42" s="1"/>
  <c r="C23" i="3"/>
  <c r="M366" i="5"/>
  <c r="L136" i="5"/>
  <c r="K259" i="5"/>
  <c r="K118" i="8"/>
  <c r="N213" i="8"/>
  <c r="M55" i="8"/>
  <c r="G70" i="3"/>
  <c r="L274" i="7"/>
  <c r="Q23" i="26"/>
  <c r="M758" i="7"/>
  <c r="J106" i="7"/>
  <c r="J19" i="7" s="1"/>
  <c r="L80" i="7"/>
  <c r="M475" i="7"/>
  <c r="L522" i="7"/>
  <c r="K99" i="7"/>
  <c r="K450" i="6"/>
  <c r="K1374" i="6"/>
  <c r="L1368" i="6"/>
  <c r="L1373" i="6"/>
  <c r="M1367" i="6"/>
  <c r="L449" i="6"/>
  <c r="S3" i="10"/>
  <c r="S122" i="10" s="1"/>
  <c r="C102" i="11"/>
  <c r="D102" i="11" s="1"/>
  <c r="E102" i="11" s="1"/>
  <c r="D103" i="11"/>
  <c r="E103" i="11" s="1"/>
  <c r="G103" i="11" s="1"/>
  <c r="H103" i="11" s="1"/>
  <c r="J103" i="11" s="1"/>
  <c r="K103" i="11" s="1"/>
  <c r="M103" i="11" s="1"/>
  <c r="N103" i="11" s="1"/>
  <c r="P103" i="11" s="1"/>
  <c r="Q103" i="11" s="1"/>
  <c r="S103" i="11" s="1"/>
  <c r="T103" i="11" s="1"/>
  <c r="V103" i="11" s="1"/>
  <c r="W103" i="11" s="1"/>
  <c r="Y103" i="11" s="1"/>
  <c r="Z103" i="11" s="1"/>
  <c r="AB103" i="11" s="1"/>
  <c r="AC103" i="11" s="1"/>
  <c r="AE103" i="11" s="1"/>
  <c r="AF103" i="11" s="1"/>
  <c r="AH103" i="11" s="1"/>
  <c r="AI103" i="11" s="1"/>
  <c r="AK103" i="11" s="1"/>
  <c r="AL103" i="11" s="1"/>
  <c r="AN103" i="11" s="1"/>
  <c r="C155" i="11"/>
  <c r="D155" i="11" s="1"/>
  <c r="E155" i="11" s="1"/>
  <c r="D259" i="10"/>
  <c r="B135" i="10"/>
  <c r="P126" i="11"/>
  <c r="Q126" i="11" s="1"/>
  <c r="L140" i="6"/>
  <c r="M99" i="6"/>
  <c r="N795" i="6"/>
  <c r="J281" i="4"/>
  <c r="B31" i="4"/>
  <c r="A10" i="4"/>
  <c r="A30" i="4" s="1"/>
  <c r="A245" i="4"/>
  <c r="A17" i="4"/>
  <c r="A82" i="4"/>
  <c r="D899" i="4"/>
  <c r="C24" i="3"/>
  <c r="B62" i="3"/>
  <c r="C902" i="4"/>
  <c r="K94" i="48"/>
  <c r="D11" i="4"/>
  <c r="H833" i="4"/>
  <c r="I833" i="4" s="1"/>
  <c r="K648" i="4"/>
  <c r="J136" i="4"/>
  <c r="J651" i="4"/>
  <c r="K570" i="4"/>
  <c r="J130" i="4"/>
  <c r="H139" i="4"/>
  <c r="I139" i="4" s="1"/>
  <c r="K832" i="4"/>
  <c r="J835" i="4"/>
  <c r="J295" i="4"/>
  <c r="K697" i="4"/>
  <c r="J190" i="4"/>
  <c r="J702" i="4"/>
  <c r="B213" i="3"/>
  <c r="C783" i="34"/>
  <c r="C785" i="34" s="1"/>
  <c r="K828" i="4"/>
  <c r="K292" i="4" s="1"/>
  <c r="R273" i="4"/>
  <c r="R262" i="4"/>
  <c r="D583" i="4"/>
  <c r="D20" i="4"/>
  <c r="R130" i="42"/>
  <c r="H21" i="7"/>
  <c r="I21" i="7" s="1"/>
  <c r="M688" i="7"/>
  <c r="L231" i="7"/>
  <c r="K230" i="7"/>
  <c r="L687" i="7"/>
  <c r="S81" i="42"/>
  <c r="C45" i="60" s="1"/>
  <c r="B271" i="42"/>
  <c r="D677" i="6"/>
  <c r="B36" i="58"/>
  <c r="B38" i="58" s="1"/>
  <c r="B47" i="58" s="1"/>
  <c r="B51" i="58"/>
  <c r="C36" i="58"/>
  <c r="C38" i="58" s="1"/>
  <c r="B24" i="6"/>
  <c r="B40" i="6" s="1"/>
  <c r="B220" i="6"/>
  <c r="L936" i="6"/>
  <c r="K941" i="6"/>
  <c r="K161" i="6"/>
  <c r="A54" i="15"/>
  <c r="A23" i="15" s="1"/>
  <c r="J201" i="6"/>
  <c r="L164" i="45"/>
  <c r="B22" i="6"/>
  <c r="B38" i="6" s="1"/>
  <c r="B107" i="6"/>
  <c r="D1508" i="6"/>
  <c r="K1361" i="6"/>
  <c r="J433" i="6"/>
  <c r="J435" i="6" s="1"/>
  <c r="K1850" i="6"/>
  <c r="J644" i="6"/>
  <c r="C2077" i="6"/>
  <c r="C344" i="6"/>
  <c r="K1098" i="6"/>
  <c r="J311" i="6"/>
  <c r="K303" i="6"/>
  <c r="L1170" i="6"/>
  <c r="L1175" i="6" s="1"/>
  <c r="M906" i="6"/>
  <c r="L148" i="6"/>
  <c r="L1246" i="6"/>
  <c r="K377" i="6"/>
  <c r="K1231" i="6"/>
  <c r="K369" i="6" s="1"/>
  <c r="L1422" i="6"/>
  <c r="M1679" i="6"/>
  <c r="N1335" i="6"/>
  <c r="M430" i="6"/>
  <c r="D14" i="6"/>
  <c r="D549" i="6"/>
  <c r="G120" i="42"/>
  <c r="M900" i="6"/>
  <c r="L146" i="6"/>
  <c r="K866" i="6"/>
  <c r="J871" i="6"/>
  <c r="J164" i="45"/>
  <c r="J165" i="45" s="1"/>
  <c r="J1105" i="6"/>
  <c r="K675" i="6"/>
  <c r="K680" i="6" s="1"/>
  <c r="L1959" i="6"/>
  <c r="K1965" i="6"/>
  <c r="J540" i="6"/>
  <c r="K1676" i="6"/>
  <c r="J1698" i="6"/>
  <c r="K1636" i="6"/>
  <c r="J503" i="6"/>
  <c r="L1723" i="6"/>
  <c r="K626" i="6"/>
  <c r="L1790" i="6"/>
  <c r="K797" i="6"/>
  <c r="J102" i="6"/>
  <c r="J803" i="6"/>
  <c r="B124" i="42"/>
  <c r="L1794" i="6"/>
  <c r="K628" i="6"/>
  <c r="L1351" i="6"/>
  <c r="K432" i="6"/>
  <c r="I729" i="34"/>
  <c r="K98" i="6"/>
  <c r="L792" i="6"/>
  <c r="L1895" i="6"/>
  <c r="K657" i="6"/>
  <c r="L1953" i="6"/>
  <c r="K669" i="6"/>
  <c r="M992" i="6"/>
  <c r="L209" i="6"/>
  <c r="L414" i="6"/>
  <c r="M1484" i="6"/>
  <c r="L1486" i="6"/>
  <c r="M1418" i="6"/>
  <c r="L439" i="6"/>
  <c r="L431" i="6"/>
  <c r="M1339" i="6"/>
  <c r="N1334" i="6"/>
  <c r="M429" i="6"/>
  <c r="L863" i="6"/>
  <c r="K158" i="6"/>
  <c r="K869" i="6"/>
  <c r="J785" i="6"/>
  <c r="K764" i="6"/>
  <c r="H763" i="34"/>
  <c r="J78" i="6"/>
  <c r="J81" i="6" s="1"/>
  <c r="J6" i="6" s="1"/>
  <c r="J767" i="6"/>
  <c r="B52" i="6"/>
  <c r="A104" i="13" s="1"/>
  <c r="A7" i="3"/>
  <c r="A30" i="13"/>
  <c r="J541" i="6"/>
  <c r="K1682" i="6"/>
  <c r="J444" i="6"/>
  <c r="K1550" i="6"/>
  <c r="J1570" i="6"/>
  <c r="M1166" i="6"/>
  <c r="L310" i="6"/>
  <c r="J768" i="34"/>
  <c r="B51" i="13"/>
  <c r="R34" i="42" s="1"/>
  <c r="C34" i="42" s="1"/>
  <c r="H314" i="6"/>
  <c r="I314" i="6" s="1"/>
  <c r="L772" i="6"/>
  <c r="K88" i="6"/>
  <c r="L1863" i="6"/>
  <c r="I732" i="34"/>
  <c r="L653" i="6"/>
  <c r="M1879" i="6"/>
  <c r="M1757" i="6"/>
  <c r="L593" i="6"/>
  <c r="M1293" i="6"/>
  <c r="B81" i="13"/>
  <c r="R50" i="42" s="1"/>
  <c r="C50" i="42" s="1"/>
  <c r="D468" i="34" s="1"/>
  <c r="K164" i="45"/>
  <c r="K165" i="45" s="1"/>
  <c r="H108" i="6"/>
  <c r="I108" i="6" s="1"/>
  <c r="H2090" i="6"/>
  <c r="K1426" i="6"/>
  <c r="L1426" i="6" s="1"/>
  <c r="M1426" i="6" s="1"/>
  <c r="N1426" i="6" s="1"/>
  <c r="J1461" i="6"/>
  <c r="H418" i="6"/>
  <c r="I418" i="6" s="1"/>
  <c r="J375" i="6"/>
  <c r="J1257" i="6"/>
  <c r="K1239" i="6"/>
  <c r="J1228" i="6"/>
  <c r="J365" i="6" s="1"/>
  <c r="L890" i="6"/>
  <c r="K144" i="6"/>
  <c r="H1234" i="6"/>
  <c r="I1234" i="6" s="1"/>
  <c r="M784" i="6"/>
  <c r="N763" i="6"/>
  <c r="K193" i="15"/>
  <c r="Y33" i="42"/>
  <c r="J33" i="42" s="1"/>
  <c r="J68" i="13"/>
  <c r="J124" i="13" s="1"/>
  <c r="A23" i="6"/>
  <c r="A166" i="6"/>
  <c r="K1504" i="6"/>
  <c r="J1509" i="6"/>
  <c r="J448" i="6"/>
  <c r="J454" i="6" s="1"/>
  <c r="J252" i="6"/>
  <c r="K1032" i="6"/>
  <c r="M919" i="6"/>
  <c r="L154" i="6"/>
  <c r="M1247" i="6"/>
  <c r="J728" i="34"/>
  <c r="M909" i="6"/>
  <c r="L152" i="6"/>
  <c r="D1018" i="6"/>
  <c r="K29" i="45"/>
  <c r="L325" i="6"/>
  <c r="D740" i="34"/>
  <c r="D216" i="34" s="1"/>
  <c r="D750" i="34"/>
  <c r="D752" i="34" s="1"/>
  <c r="B740" i="34"/>
  <c r="B216" i="34" s="1"/>
  <c r="B752" i="34"/>
  <c r="L1407" i="6"/>
  <c r="K438" i="6"/>
  <c r="J668" i="6"/>
  <c r="K1946" i="6"/>
  <c r="J1403" i="6"/>
  <c r="H771" i="34" s="1"/>
  <c r="J412" i="6"/>
  <c r="K1392" i="6"/>
  <c r="L1311" i="6"/>
  <c r="H769" i="34"/>
  <c r="K1294" i="6"/>
  <c r="J1299" i="6"/>
  <c r="J408" i="6"/>
  <c r="J660" i="6"/>
  <c r="K1924" i="6"/>
  <c r="K90" i="6"/>
  <c r="L774" i="6"/>
  <c r="J323" i="6"/>
  <c r="K1129" i="6"/>
  <c r="M917" i="6"/>
  <c r="L153" i="6"/>
  <c r="L1675" i="6"/>
  <c r="K539" i="6"/>
  <c r="L147" i="6"/>
  <c r="M901" i="6"/>
  <c r="N1952" i="6"/>
  <c r="J648" i="6"/>
  <c r="K1175" i="6"/>
  <c r="L440" i="6"/>
  <c r="M1419" i="6"/>
  <c r="L304" i="6"/>
  <c r="M1172" i="6"/>
  <c r="L652" i="6"/>
  <c r="M1873" i="6"/>
  <c r="G15" i="58"/>
  <c r="K2001" i="6"/>
  <c r="J709" i="6"/>
  <c r="L305" i="6"/>
  <c r="M1173" i="6"/>
  <c r="K1811" i="6"/>
  <c r="J633" i="6"/>
  <c r="J1813" i="6"/>
  <c r="J366" i="6"/>
  <c r="K322" i="6"/>
  <c r="L1128" i="6"/>
  <c r="K10" i="48"/>
  <c r="D49" i="6"/>
  <c r="J111" i="48"/>
  <c r="B21" i="42"/>
  <c r="B81" i="42" s="1"/>
  <c r="A19" i="60" s="1"/>
  <c r="K1200" i="6"/>
  <c r="K1202" i="6" s="1"/>
  <c r="J338" i="6"/>
  <c r="J1205" i="6"/>
  <c r="D24" i="6"/>
  <c r="D220" i="6"/>
  <c r="H114" i="42"/>
  <c r="I114" i="42" s="1"/>
  <c r="K201" i="6"/>
  <c r="V6" i="37"/>
  <c r="V62" i="37"/>
  <c r="V80" i="37" s="1"/>
  <c r="M1762" i="6"/>
  <c r="B55" i="6"/>
  <c r="Q22" i="42" s="1"/>
  <c r="A46" i="15" s="1"/>
  <c r="A15" i="15" s="1"/>
  <c r="A32" i="13"/>
  <c r="A51" i="13" s="1"/>
  <c r="J409" i="6"/>
  <c r="J1539" i="6"/>
  <c r="K1531" i="6"/>
  <c r="K1027" i="6"/>
  <c r="J246" i="6"/>
  <c r="J1035" i="6"/>
  <c r="J1071" i="6" s="1"/>
  <c r="H764" i="34"/>
  <c r="K1492" i="6"/>
  <c r="J445" i="6"/>
  <c r="K1926" i="6"/>
  <c r="J662" i="6"/>
  <c r="N1821" i="6"/>
  <c r="M638" i="6"/>
  <c r="J484" i="6"/>
  <c r="K1601" i="6"/>
  <c r="K929" i="6"/>
  <c r="K938" i="6" s="1"/>
  <c r="K940" i="6" s="1"/>
  <c r="J155" i="6"/>
  <c r="J164" i="6" s="1"/>
  <c r="J23" i="6" s="1"/>
  <c r="L789" i="6"/>
  <c r="K95" i="6"/>
  <c r="L1180" i="6"/>
  <c r="K326" i="6"/>
  <c r="K32" i="45"/>
  <c r="M2028" i="6"/>
  <c r="L725" i="6"/>
  <c r="K667" i="6"/>
  <c r="L1942" i="6"/>
  <c r="K1306" i="6"/>
  <c r="H113" i="3"/>
  <c r="J1370" i="6"/>
  <c r="M1304" i="6"/>
  <c r="N754" i="6"/>
  <c r="M77" i="6"/>
  <c r="N773" i="6"/>
  <c r="M89" i="6"/>
  <c r="L1860" i="6"/>
  <c r="K648" i="6"/>
  <c r="M1283" i="6"/>
  <c r="L403" i="6"/>
  <c r="M1752" i="6"/>
  <c r="L592" i="6"/>
  <c r="M217" i="15"/>
  <c r="M138" i="15"/>
  <c r="M162" i="15" s="1"/>
  <c r="B50" i="15"/>
  <c r="B19" i="15" s="1"/>
  <c r="R77" i="42"/>
  <c r="B41" i="60" s="1"/>
  <c r="C17" i="42"/>
  <c r="C77" i="42" s="1"/>
  <c r="B15" i="60" s="1"/>
  <c r="J36" i="45"/>
  <c r="M1113" i="6"/>
  <c r="K34" i="45"/>
  <c r="L1112" i="6"/>
  <c r="K319" i="6"/>
  <c r="L301" i="6"/>
  <c r="M1092" i="6"/>
  <c r="M33" i="45"/>
  <c r="M263" i="6"/>
  <c r="M260" i="6"/>
  <c r="J726" i="34"/>
  <c r="L259" i="6"/>
  <c r="N978" i="6"/>
  <c r="M164" i="45"/>
  <c r="M975" i="6"/>
  <c r="L161" i="45"/>
  <c r="L201" i="6"/>
  <c r="Q901" i="4"/>
  <c r="T130" i="10"/>
  <c r="S130" i="10"/>
  <c r="R50" i="11" s="1"/>
  <c r="D461" i="6"/>
  <c r="D62" i="6" s="1"/>
  <c r="C39" i="3" s="1"/>
  <c r="C101" i="3"/>
  <c r="O239" i="10"/>
  <c r="J1517" i="6"/>
  <c r="S212" i="10"/>
  <c r="R126" i="11" s="1"/>
  <c r="T212" i="10"/>
  <c r="L1212" i="6"/>
  <c r="AA236" i="10"/>
  <c r="P210" i="6"/>
  <c r="M987" i="6"/>
  <c r="L207" i="6"/>
  <c r="L193" i="6"/>
  <c r="M961" i="6"/>
  <c r="L585" i="6"/>
  <c r="M1743" i="6"/>
  <c r="N859" i="6"/>
  <c r="M140" i="6"/>
  <c r="N845" i="6"/>
  <c r="M139" i="6"/>
  <c r="L835" i="6"/>
  <c r="M762" i="6"/>
  <c r="L783" i="6"/>
  <c r="M86" i="6"/>
  <c r="N770" i="6"/>
  <c r="L1623" i="6"/>
  <c r="K496" i="6"/>
  <c r="M1612" i="6"/>
  <c r="M138" i="6"/>
  <c r="O838" i="6"/>
  <c r="N138" i="6"/>
  <c r="M460" i="7"/>
  <c r="L74" i="7"/>
  <c r="H452" i="5"/>
  <c r="I452" i="5" s="1"/>
  <c r="R107" i="42"/>
  <c r="H507" i="5"/>
  <c r="I507" i="5" s="1"/>
  <c r="H390" i="5"/>
  <c r="I390" i="5" s="1"/>
  <c r="O364" i="5"/>
  <c r="H321" i="5"/>
  <c r="I321" i="5" s="1"/>
  <c r="H99" i="5"/>
  <c r="I99" i="5" s="1"/>
  <c r="L60" i="5"/>
  <c r="M245" i="5"/>
  <c r="M463" i="4"/>
  <c r="S19" i="42"/>
  <c r="S79" i="42" s="1"/>
  <c r="C43" i="60" s="1"/>
  <c r="CV36" i="9"/>
  <c r="CI36" i="9"/>
  <c r="K176" i="6"/>
  <c r="CI217" i="9"/>
  <c r="CV217" i="9"/>
  <c r="CI147" i="9"/>
  <c r="CV147" i="9"/>
  <c r="CW132" i="9"/>
  <c r="CJ132" i="9"/>
  <c r="CI141" i="9"/>
  <c r="CV141" i="9"/>
  <c r="CV113" i="9"/>
  <c r="CI113" i="9"/>
  <c r="CK40" i="9"/>
  <c r="CX40" i="9"/>
  <c r="CK181" i="9"/>
  <c r="CY59" i="9"/>
  <c r="CL59" i="9"/>
  <c r="CJ73" i="9"/>
  <c r="CW118" i="9"/>
  <c r="CJ118" i="9"/>
  <c r="CI110" i="9"/>
  <c r="CV110" i="9"/>
  <c r="CV93" i="9"/>
  <c r="CI93" i="9"/>
  <c r="CV196" i="9"/>
  <c r="CI196" i="9"/>
  <c r="CV100" i="9"/>
  <c r="CI100" i="9"/>
  <c r="CI156" i="9"/>
  <c r="CV156" i="9"/>
  <c r="AP97" i="9"/>
  <c r="F46" i="11"/>
  <c r="CU51" i="9"/>
  <c r="CH51" i="9"/>
  <c r="CK209" i="9"/>
  <c r="CJ124" i="9"/>
  <c r="CW124" i="9"/>
  <c r="CV121" i="9"/>
  <c r="CI121" i="9"/>
  <c r="CV82" i="9"/>
  <c r="CI82" i="9"/>
  <c r="CV155" i="9"/>
  <c r="CI155" i="9"/>
  <c r="CK30" i="9"/>
  <c r="D525" i="5"/>
  <c r="H181" i="14"/>
  <c r="G193" i="3" s="1"/>
  <c r="H396" i="9"/>
  <c r="CJ50" i="9"/>
  <c r="CW50" i="9"/>
  <c r="CW42" i="9"/>
  <c r="CJ42" i="9"/>
  <c r="CV154" i="9"/>
  <c r="CI154" i="9"/>
  <c r="V25" i="9"/>
  <c r="CJ120" i="9"/>
  <c r="CW120" i="9"/>
  <c r="CJ107" i="9"/>
  <c r="CX169" i="9"/>
  <c r="CK169" i="9"/>
  <c r="CI179" i="9"/>
  <c r="CV179" i="9"/>
  <c r="CV128" i="9"/>
  <c r="CI128" i="9"/>
  <c r="CI153" i="9"/>
  <c r="CV153" i="9"/>
  <c r="CI152" i="9"/>
  <c r="CV152" i="9"/>
  <c r="CV115" i="9"/>
  <c r="CI115" i="9"/>
  <c r="CJ127" i="9"/>
  <c r="CW127" i="9"/>
  <c r="CI37" i="9"/>
  <c r="CV37" i="9"/>
  <c r="CV21" i="9"/>
  <c r="CI21" i="9"/>
  <c r="CH206" i="9"/>
  <c r="CU206" i="9"/>
  <c r="CI198" i="9"/>
  <c r="CV198" i="9"/>
  <c r="CV213" i="9"/>
  <c r="CI213" i="9"/>
  <c r="CI79" i="9"/>
  <c r="CV79" i="9"/>
  <c r="CV180" i="9"/>
  <c r="CI180" i="9"/>
  <c r="CJ123" i="9"/>
  <c r="CI203" i="9"/>
  <c r="CV203" i="9"/>
  <c r="CX49" i="9"/>
  <c r="CK49" i="9"/>
  <c r="CJ14" i="9"/>
  <c r="CW14" i="9"/>
  <c r="CV210" i="9"/>
  <c r="CI210" i="9"/>
  <c r="D902" i="4"/>
  <c r="C62" i="3"/>
  <c r="O176" i="6"/>
  <c r="D132" i="14"/>
  <c r="D65" i="6"/>
  <c r="C69" i="3" s="1"/>
  <c r="C300" i="3"/>
  <c r="C291" i="3"/>
  <c r="K294" i="3"/>
  <c r="L284" i="3"/>
  <c r="D189" i="14"/>
  <c r="H189" i="14" s="1"/>
  <c r="I84" i="14" s="1"/>
  <c r="H84" i="14"/>
  <c r="J456" i="7"/>
  <c r="J531" i="7" s="1"/>
  <c r="J533" i="7" s="1"/>
  <c r="J542" i="7" s="1"/>
  <c r="H131" i="42"/>
  <c r="M768" i="7"/>
  <c r="Q19" i="26"/>
  <c r="L100" i="26"/>
  <c r="J263" i="7"/>
  <c r="J267" i="7" s="1"/>
  <c r="J11" i="7" s="1"/>
  <c r="H777" i="34"/>
  <c r="K731" i="7"/>
  <c r="B19" i="7"/>
  <c r="B108" i="7"/>
  <c r="J64" i="7"/>
  <c r="K448" i="7"/>
  <c r="K456" i="7" s="1"/>
  <c r="J67" i="10"/>
  <c r="K281" i="7"/>
  <c r="L793" i="7"/>
  <c r="K234" i="7"/>
  <c r="K703" i="7"/>
  <c r="L700" i="7"/>
  <c r="L673" i="7"/>
  <c r="K868" i="7"/>
  <c r="J335" i="7"/>
  <c r="J418" i="7"/>
  <c r="J424" i="7" s="1"/>
  <c r="J42" i="7" s="1"/>
  <c r="K1106" i="7"/>
  <c r="J1111" i="7"/>
  <c r="J1155" i="7" s="1"/>
  <c r="J83" i="48"/>
  <c r="C127" i="42"/>
  <c r="D127" i="42" s="1"/>
  <c r="C108" i="7"/>
  <c r="C19" i="7"/>
  <c r="C30" i="7" s="1"/>
  <c r="B251" i="7"/>
  <c r="B1127" i="7"/>
  <c r="E34" i="60"/>
  <c r="E8" i="42"/>
  <c r="E70" i="42" s="1"/>
  <c r="E8" i="60" s="1"/>
  <c r="V7" i="42"/>
  <c r="K554" i="7"/>
  <c r="J583" i="7"/>
  <c r="J585" i="7" s="1"/>
  <c r="J596" i="7" s="1"/>
  <c r="J132" i="7"/>
  <c r="L67" i="10"/>
  <c r="K906" i="7"/>
  <c r="K211" i="48"/>
  <c r="C45" i="11"/>
  <c r="H42" i="1"/>
  <c r="G273" i="3" s="1"/>
  <c r="N40" i="37"/>
  <c r="G143" i="9"/>
  <c r="I39" i="45"/>
  <c r="I45" i="45" s="1"/>
  <c r="I46" i="45" s="1"/>
  <c r="I47" i="45" s="1"/>
  <c r="AF122" i="9"/>
  <c r="CU122" i="9"/>
  <c r="L921" i="7"/>
  <c r="K346" i="7"/>
  <c r="L911" i="7"/>
  <c r="J85" i="48"/>
  <c r="C740" i="34"/>
  <c r="C216" i="34" s="1"/>
  <c r="C750" i="34"/>
  <c r="C752" i="34" s="1"/>
  <c r="J341" i="7"/>
  <c r="K882" i="7"/>
  <c r="L1051" i="7"/>
  <c r="I111" i="3"/>
  <c r="K405" i="7"/>
  <c r="L563" i="7"/>
  <c r="K138" i="7"/>
  <c r="A108" i="7"/>
  <c r="A19" i="7"/>
  <c r="A362" i="7"/>
  <c r="A40" i="7" s="1"/>
  <c r="A357" i="7"/>
  <c r="M872" i="7"/>
  <c r="L317" i="7"/>
  <c r="M840" i="7"/>
  <c r="L557" i="7"/>
  <c r="K135" i="7"/>
  <c r="M779" i="7"/>
  <c r="A21" i="7"/>
  <c r="A32" i="7" s="1"/>
  <c r="A238" i="7"/>
  <c r="L570" i="7"/>
  <c r="K141" i="7"/>
  <c r="K67" i="7"/>
  <c r="L454" i="7"/>
  <c r="L895" i="7"/>
  <c r="M897" i="7"/>
  <c r="C129" i="42"/>
  <c r="D129" i="42" s="1"/>
  <c r="C199" i="7"/>
  <c r="M130" i="42"/>
  <c r="M622" i="7"/>
  <c r="L187" i="7"/>
  <c r="D1001" i="7"/>
  <c r="H285" i="7"/>
  <c r="I285" i="7" s="1"/>
  <c r="J797" i="7"/>
  <c r="V21" i="42" s="1"/>
  <c r="K103" i="10"/>
  <c r="M103" i="10" s="1"/>
  <c r="M66" i="10"/>
  <c r="C167" i="48"/>
  <c r="B55" i="15"/>
  <c r="B24" i="15" s="1"/>
  <c r="B46" i="15"/>
  <c r="B15" i="15" s="1"/>
  <c r="C22" i="42"/>
  <c r="U21" i="42"/>
  <c r="B56" i="17"/>
  <c r="B75" i="17"/>
  <c r="B84" i="17"/>
  <c r="B65" i="17"/>
  <c r="B93" i="17"/>
  <c r="F28" i="20"/>
  <c r="F45" i="20" s="1"/>
  <c r="H705" i="7"/>
  <c r="I705" i="7" s="1"/>
  <c r="C13" i="13"/>
  <c r="C49" i="13" s="1"/>
  <c r="H45" i="20"/>
  <c r="H81" i="16"/>
  <c r="H58" i="16"/>
  <c r="H70" i="16" s="1"/>
  <c r="H95" i="16"/>
  <c r="N65" i="10"/>
  <c r="O75" i="17"/>
  <c r="O93" i="17"/>
  <c r="O65" i="17"/>
  <c r="O56" i="17"/>
  <c r="Q28" i="20"/>
  <c r="Q45" i="20" s="1"/>
  <c r="O84" i="17"/>
  <c r="B137" i="15"/>
  <c r="B161" i="15" s="1"/>
  <c r="B216" i="15"/>
  <c r="I56" i="17"/>
  <c r="I65" i="17"/>
  <c r="I84" i="17"/>
  <c r="I93" i="17"/>
  <c r="K28" i="20"/>
  <c r="K45" i="20" s="1"/>
  <c r="I75" i="17"/>
  <c r="J400" i="7"/>
  <c r="J13" i="7" s="1"/>
  <c r="L1031" i="7"/>
  <c r="L1025" i="7"/>
  <c r="L392" i="7" s="1"/>
  <c r="I778" i="34"/>
  <c r="L1023" i="7"/>
  <c r="L1073" i="7" s="1"/>
  <c r="K407" i="7"/>
  <c r="K408" i="7" s="1"/>
  <c r="K1044" i="7"/>
  <c r="K385" i="7"/>
  <c r="Q480" i="8"/>
  <c r="Q352" i="8"/>
  <c r="Q228" i="8"/>
  <c r="Q39" i="8"/>
  <c r="Q102" i="8"/>
  <c r="Q290" i="8"/>
  <c r="Q166" i="8"/>
  <c r="K546" i="8"/>
  <c r="K166" i="8"/>
  <c r="K290" i="8"/>
  <c r="K292" i="45" s="1"/>
  <c r="K295" i="45" s="1"/>
  <c r="K305" i="45" s="1"/>
  <c r="K306" i="45" s="1"/>
  <c r="K352" i="8"/>
  <c r="K102" i="8"/>
  <c r="K556" i="8"/>
  <c r="K480" i="8"/>
  <c r="K572" i="8"/>
  <c r="K228" i="8"/>
  <c r="K39" i="8"/>
  <c r="K525" i="5"/>
  <c r="H292" i="45"/>
  <c r="H295" i="45" s="1"/>
  <c r="H305" i="45" s="1"/>
  <c r="H306" i="45" s="1"/>
  <c r="K138" i="5"/>
  <c r="L372" i="5"/>
  <c r="K386" i="5"/>
  <c r="C40" i="5"/>
  <c r="B60" i="3" s="1"/>
  <c r="C523" i="5"/>
  <c r="C525" i="5" s="1"/>
  <c r="M22" i="3"/>
  <c r="O525" i="5"/>
  <c r="H498" i="5"/>
  <c r="I498" i="5" s="1"/>
  <c r="H9" i="5"/>
  <c r="I9" i="5" s="1"/>
  <c r="Q107" i="42"/>
  <c r="H152" i="5"/>
  <c r="I152" i="5" s="1"/>
  <c r="N381" i="5"/>
  <c r="N525" i="5"/>
  <c r="K22" i="3"/>
  <c r="M525" i="5"/>
  <c r="K361" i="5"/>
  <c r="K124" i="5"/>
  <c r="L342" i="5"/>
  <c r="B22" i="3"/>
  <c r="K313" i="5"/>
  <c r="I112" i="3" s="1"/>
  <c r="J95" i="5"/>
  <c r="J99" i="5" s="1"/>
  <c r="J101" i="5" s="1"/>
  <c r="J319" i="5"/>
  <c r="J321" i="5" s="1"/>
  <c r="J323" i="5" s="1"/>
  <c r="J333" i="5" s="1"/>
  <c r="J180" i="5"/>
  <c r="M432" i="5"/>
  <c r="K178" i="5"/>
  <c r="L416" i="5"/>
  <c r="K89" i="5"/>
  <c r="K91" i="5" s="1"/>
  <c r="K307" i="5"/>
  <c r="L288" i="5"/>
  <c r="N224" i="5"/>
  <c r="O311" i="5"/>
  <c r="G22" i="3"/>
  <c r="O228" i="8"/>
  <c r="O166" i="8"/>
  <c r="O480" i="8"/>
  <c r="O352" i="8"/>
  <c r="O39" i="8"/>
  <c r="O102" i="8"/>
  <c r="O290" i="8"/>
  <c r="L177" i="5"/>
  <c r="M414" i="5"/>
  <c r="P123" i="48"/>
  <c r="O34" i="12"/>
  <c r="O3" i="12"/>
  <c r="N3" i="40"/>
  <c r="I34" i="12"/>
  <c r="H3" i="40"/>
  <c r="I3" i="12"/>
  <c r="H22" i="3"/>
  <c r="J525" i="5"/>
  <c r="K128" i="5"/>
  <c r="L358" i="5"/>
  <c r="L410" i="5"/>
  <c r="K175" i="5"/>
  <c r="K419" i="5"/>
  <c r="L433" i="5"/>
  <c r="M433" i="5" s="1"/>
  <c r="N433" i="5" s="1"/>
  <c r="L143" i="5"/>
  <c r="M382" i="5"/>
  <c r="J225" i="3"/>
  <c r="J226" i="3" s="1"/>
  <c r="J8" i="5"/>
  <c r="J497" i="5"/>
  <c r="M348" i="5"/>
  <c r="L125" i="5"/>
  <c r="P96" i="48"/>
  <c r="M205" i="6"/>
  <c r="N984" i="6"/>
  <c r="L204" i="6"/>
  <c r="M983" i="6"/>
  <c r="M289" i="45"/>
  <c r="L59" i="8"/>
  <c r="O59" i="8"/>
  <c r="P263" i="8"/>
  <c r="B54" i="58"/>
  <c r="J52" i="7"/>
  <c r="H67" i="3" s="1"/>
  <c r="H78" i="12"/>
  <c r="M535" i="4"/>
  <c r="L124" i="4"/>
  <c r="M525" i="4"/>
  <c r="L123" i="4"/>
  <c r="L161" i="4" s="1"/>
  <c r="L120" i="4"/>
  <c r="M479" i="4"/>
  <c r="J121" i="4"/>
  <c r="J159" i="4" s="1"/>
  <c r="K496" i="4"/>
  <c r="J581" i="4"/>
  <c r="B20" i="4"/>
  <c r="B245" i="4"/>
  <c r="K618" i="4"/>
  <c r="J649" i="4"/>
  <c r="H176" i="4"/>
  <c r="I176" i="4" s="1"/>
  <c r="K634" i="4"/>
  <c r="K681" i="4"/>
  <c r="J699" i="4"/>
  <c r="J728" i="4"/>
  <c r="K723" i="4"/>
  <c r="J217" i="4"/>
  <c r="J264" i="4" s="1"/>
  <c r="K453" i="4"/>
  <c r="J111" i="4"/>
  <c r="M490" i="4"/>
  <c r="N490" i="4" s="1"/>
  <c r="J65" i="4"/>
  <c r="K350" i="4"/>
  <c r="J408" i="4"/>
  <c r="B28" i="6"/>
  <c r="B453" i="6"/>
  <c r="M475" i="4"/>
  <c r="J183" i="4"/>
  <c r="K507" i="4"/>
  <c r="H115" i="3"/>
  <c r="P286" i="15"/>
  <c r="R20" i="19"/>
  <c r="R39" i="19" s="1"/>
  <c r="A31" i="4"/>
  <c r="J289" i="4"/>
  <c r="K802" i="4"/>
  <c r="J833" i="4"/>
  <c r="J798" i="4"/>
  <c r="K785" i="4"/>
  <c r="J278" i="4"/>
  <c r="J291" i="4"/>
  <c r="K811" i="4"/>
  <c r="K761" i="4"/>
  <c r="J241" i="4"/>
  <c r="J766" i="4"/>
  <c r="K365" i="4"/>
  <c r="K69" i="4" s="1"/>
  <c r="N286" i="15"/>
  <c r="P20" i="19"/>
  <c r="P39" i="19" s="1"/>
  <c r="K183" i="4"/>
  <c r="L691" i="4"/>
  <c r="L280" i="4"/>
  <c r="R801" i="4"/>
  <c r="S801" i="4" s="1"/>
  <c r="F6" i="11"/>
  <c r="I12" i="11"/>
  <c r="O71" i="1"/>
  <c r="P71" i="1" s="1"/>
  <c r="Q71" i="1" s="1"/>
  <c r="R71" i="1" s="1"/>
  <c r="O107" i="1"/>
  <c r="P107" i="1" s="1"/>
  <c r="Q107" i="1" s="1"/>
  <c r="R107" i="1" s="1"/>
  <c r="O171" i="8"/>
  <c r="Q362" i="8"/>
  <c r="N106" i="1"/>
  <c r="J106" i="15"/>
  <c r="G393" i="34"/>
  <c r="G510" i="34" s="1"/>
  <c r="G570" i="34"/>
  <c r="L18" i="17"/>
  <c r="K301" i="15"/>
  <c r="K119" i="17"/>
  <c r="BC41" i="42"/>
  <c r="H393" i="34"/>
  <c r="H510" i="34" s="1"/>
  <c r="H570" i="34"/>
  <c r="I570" i="34"/>
  <c r="I393" i="34"/>
  <c r="I510" i="34" s="1"/>
  <c r="J144" i="15"/>
  <c r="D903" i="4"/>
  <c r="C70" i="3"/>
  <c r="A81" i="13"/>
  <c r="A23" i="3"/>
  <c r="L23" i="12" l="1"/>
  <c r="M325" i="6"/>
  <c r="L25" i="12"/>
  <c r="N1057" i="6"/>
  <c r="N1042" i="6"/>
  <c r="N1043" i="6"/>
  <c r="N1061" i="6"/>
  <c r="N1054" i="6"/>
  <c r="N1047" i="6"/>
  <c r="N487" i="8"/>
  <c r="L49" i="34"/>
  <c r="N42" i="27"/>
  <c r="N234" i="8"/>
  <c r="L138" i="34"/>
  <c r="M130" i="1"/>
  <c r="N8" i="27"/>
  <c r="L147" i="34"/>
  <c r="M129" i="1"/>
  <c r="N497" i="8"/>
  <c r="N283" i="8"/>
  <c r="N986" i="6"/>
  <c r="N1044" i="6"/>
  <c r="N1060" i="6"/>
  <c r="N374" i="8"/>
  <c r="N1041" i="6"/>
  <c r="N896" i="6"/>
  <c r="N16" i="27"/>
  <c r="L121" i="34"/>
  <c r="L22" i="12"/>
  <c r="N502" i="8"/>
  <c r="N30" i="27"/>
  <c r="L71" i="34"/>
  <c r="L112" i="34"/>
  <c r="L114" i="34"/>
  <c r="N28" i="27"/>
  <c r="K413" i="34"/>
  <c r="M127" i="1"/>
  <c r="L131" i="34"/>
  <c r="L644" i="34"/>
  <c r="M334" i="4"/>
  <c r="K128" i="9"/>
  <c r="K129" i="9"/>
  <c r="K127" i="9"/>
  <c r="N1059" i="6"/>
  <c r="N1045" i="6"/>
  <c r="N1055" i="6"/>
  <c r="N1050" i="6"/>
  <c r="N1048" i="6"/>
  <c r="N1040" i="6"/>
  <c r="N1049" i="6"/>
  <c r="N1039" i="6"/>
  <c r="AE85" i="11"/>
  <c r="AH3" i="11"/>
  <c r="U85" i="11"/>
  <c r="X3" i="11"/>
  <c r="Q85" i="11"/>
  <c r="T3" i="11"/>
  <c r="AC139" i="9"/>
  <c r="AC143" i="9" s="1"/>
  <c r="CU139" i="9"/>
  <c r="A9" i="15"/>
  <c r="L294" i="45"/>
  <c r="D116" i="34"/>
  <c r="D117" i="34" s="1"/>
  <c r="D120" i="34" s="1"/>
  <c r="D122" i="34" s="1"/>
  <c r="AW14" i="42"/>
  <c r="AN21" i="42"/>
  <c r="K85" i="15" s="1"/>
  <c r="L742" i="34"/>
  <c r="J744" i="34"/>
  <c r="C104" i="15"/>
  <c r="G113" i="34"/>
  <c r="G115" i="34" s="1"/>
  <c r="G116" i="34" s="1"/>
  <c r="D154" i="42"/>
  <c r="F86" i="15"/>
  <c r="H77" i="15"/>
  <c r="H321" i="34" s="1"/>
  <c r="F8" i="15"/>
  <c r="G8" i="15" s="1"/>
  <c r="B86" i="8"/>
  <c r="I256" i="15"/>
  <c r="AR44" i="42"/>
  <c r="H1767" i="6"/>
  <c r="I1767" i="6" s="1"/>
  <c r="C19" i="6"/>
  <c r="B26" i="13" s="1"/>
  <c r="L2037" i="6"/>
  <c r="D112" i="42"/>
  <c r="C42" i="6"/>
  <c r="L87" i="6"/>
  <c r="N1133" i="6"/>
  <c r="B280" i="6"/>
  <c r="B2056" i="6" s="1"/>
  <c r="K729" i="6"/>
  <c r="K734" i="6" s="1"/>
  <c r="D2078" i="6"/>
  <c r="B48" i="13"/>
  <c r="D342" i="6"/>
  <c r="D344" i="6" s="1"/>
  <c r="K386" i="7"/>
  <c r="N101" i="10"/>
  <c r="P101" i="10" s="1"/>
  <c r="H39" i="7"/>
  <c r="I39" i="7" s="1"/>
  <c r="I127" i="42"/>
  <c r="L51" i="7"/>
  <c r="J59" i="3" s="1"/>
  <c r="M849" i="7"/>
  <c r="N849" i="7" s="1"/>
  <c r="AN67" i="11"/>
  <c r="L126" i="40"/>
  <c r="M125" i="40"/>
  <c r="O131" i="40"/>
  <c r="AI99" i="10" s="1"/>
  <c r="AS99" i="10" s="1"/>
  <c r="P129" i="40"/>
  <c r="P131" i="40" s="1"/>
  <c r="AL99" i="10" s="1"/>
  <c r="Q550" i="34"/>
  <c r="K64" i="5"/>
  <c r="K16" i="5" s="1"/>
  <c r="H196" i="5"/>
  <c r="I196" i="5" s="1"/>
  <c r="K161" i="4"/>
  <c r="K158" i="4"/>
  <c r="K157" i="4"/>
  <c r="M122" i="4"/>
  <c r="K109" i="4"/>
  <c r="L109" i="4"/>
  <c r="M442" i="4"/>
  <c r="B11" i="42"/>
  <c r="B72" i="42" s="1"/>
  <c r="A10" i="60" s="1"/>
  <c r="Q72" i="42"/>
  <c r="A36" i="60" s="1"/>
  <c r="R97" i="42"/>
  <c r="H871" i="4"/>
  <c r="I871" i="4" s="1"/>
  <c r="H17" i="4"/>
  <c r="I17" i="4" s="1"/>
  <c r="K76" i="4"/>
  <c r="M364" i="4"/>
  <c r="L68" i="4"/>
  <c r="M360" i="4"/>
  <c r="M366" i="4"/>
  <c r="M367" i="4"/>
  <c r="M368" i="4"/>
  <c r="I110" i="4"/>
  <c r="P65" i="15"/>
  <c r="P96" i="15" s="1"/>
  <c r="Q3" i="54"/>
  <c r="AH3" i="54" s="1"/>
  <c r="D134" i="13"/>
  <c r="D207" i="15"/>
  <c r="D25" i="3"/>
  <c r="D26" i="3" s="1"/>
  <c r="D156" i="3"/>
  <c r="D157" i="3" s="1"/>
  <c r="Q121" i="9"/>
  <c r="P107" i="9"/>
  <c r="R47" i="1"/>
  <c r="Q107" i="9" s="1"/>
  <c r="BX183" i="9"/>
  <c r="BY183" i="9" s="1"/>
  <c r="CI33" i="9"/>
  <c r="A31" i="60"/>
  <c r="R24" i="26"/>
  <c r="S24" i="26"/>
  <c r="D81" i="15"/>
  <c r="AI18" i="42"/>
  <c r="D83" i="15" s="1"/>
  <c r="D112" i="15"/>
  <c r="AX18" i="42"/>
  <c r="D114" i="15" s="1"/>
  <c r="D203" i="3"/>
  <c r="O88" i="20"/>
  <c r="O90" i="20" s="1"/>
  <c r="Q89" i="20" s="1"/>
  <c r="Q88" i="20" s="1"/>
  <c r="Q90" i="20" s="1"/>
  <c r="I50" i="20"/>
  <c r="I102" i="20" s="1"/>
  <c r="G203" i="3" s="1"/>
  <c r="H100" i="20"/>
  <c r="H202" i="3"/>
  <c r="AW50" i="42"/>
  <c r="C33" i="3"/>
  <c r="C174" i="3"/>
  <c r="C175" i="3" s="1"/>
  <c r="C112" i="17"/>
  <c r="C310" i="15"/>
  <c r="D148" i="34" s="1"/>
  <c r="D150" i="34" s="1"/>
  <c r="D412" i="34" s="1"/>
  <c r="C32" i="3"/>
  <c r="C34" i="3" s="1"/>
  <c r="D28" i="8"/>
  <c r="D310" i="15"/>
  <c r="E148" i="34" s="1"/>
  <c r="D112" i="17"/>
  <c r="AX50" i="42"/>
  <c r="F504" i="34" s="1"/>
  <c r="F564" i="34" s="1"/>
  <c r="F518" i="34" s="1"/>
  <c r="D33" i="3"/>
  <c r="D174" i="3"/>
  <c r="D175" i="3" s="1"/>
  <c r="P21" i="20"/>
  <c r="J536" i="8"/>
  <c r="AU52" i="42"/>
  <c r="AU54" i="42" s="1"/>
  <c r="D32" i="3"/>
  <c r="E28" i="8"/>
  <c r="BY33" i="21"/>
  <c r="CL33" i="21"/>
  <c r="BG3" i="21"/>
  <c r="BD3" i="22"/>
  <c r="BD92" i="22" s="1"/>
  <c r="BD142" i="22" s="1"/>
  <c r="BE3" i="22"/>
  <c r="BE92" i="22" s="1"/>
  <c r="BE142" i="22" s="1"/>
  <c r="BH3" i="21"/>
  <c r="M146" i="22"/>
  <c r="M153" i="22" s="1"/>
  <c r="N539" i="8"/>
  <c r="N158" i="8" s="1"/>
  <c r="N31" i="8" s="1"/>
  <c r="D39" i="20"/>
  <c r="D92" i="20" s="1"/>
  <c r="P95" i="20" s="1"/>
  <c r="M36" i="17"/>
  <c r="N148" i="22"/>
  <c r="N156" i="22" s="1"/>
  <c r="AY3" i="22"/>
  <c r="AY92" i="22" s="1"/>
  <c r="AY142" i="22" s="1"/>
  <c r="BB3" i="21"/>
  <c r="BJ3" i="22"/>
  <c r="BJ92" i="22" s="1"/>
  <c r="BJ142" i="22" s="1"/>
  <c r="P149" i="22" s="1"/>
  <c r="BM3" i="21"/>
  <c r="M67" i="17"/>
  <c r="N147" i="22"/>
  <c r="F105" i="19"/>
  <c r="G49" i="19"/>
  <c r="D51" i="16"/>
  <c r="D83" i="16"/>
  <c r="D274" i="15"/>
  <c r="D276" i="15" s="1"/>
  <c r="G55" i="19"/>
  <c r="T53" i="19"/>
  <c r="T55" i="19" s="1"/>
  <c r="G120" i="14"/>
  <c r="H128" i="14"/>
  <c r="AU170" i="10"/>
  <c r="S524" i="5"/>
  <c r="S525" i="5" s="1"/>
  <c r="I89" i="17"/>
  <c r="I34" i="17" s="1"/>
  <c r="BA45" i="42" s="1"/>
  <c r="C32" i="13"/>
  <c r="Q1761" i="6"/>
  <c r="R1761" i="6" s="1"/>
  <c r="S1761" i="6" s="1"/>
  <c r="K593" i="34"/>
  <c r="L593" i="34"/>
  <c r="M593" i="34" s="1"/>
  <c r="N593" i="34" s="1"/>
  <c r="K618" i="34"/>
  <c r="L618" i="34" s="1"/>
  <c r="G556" i="34"/>
  <c r="G625" i="34"/>
  <c r="G246" i="34" s="1"/>
  <c r="J751" i="34"/>
  <c r="F116" i="34"/>
  <c r="L578" i="4"/>
  <c r="P30" i="1"/>
  <c r="O32" i="1"/>
  <c r="O33" i="1" s="1"/>
  <c r="L1042" i="7"/>
  <c r="M1042" i="7" s="1"/>
  <c r="N1042" i="7" s="1"/>
  <c r="O1042" i="7" s="1"/>
  <c r="P1042" i="7" s="1"/>
  <c r="Q1042" i="7" s="1"/>
  <c r="L1021" i="7"/>
  <c r="K384" i="7"/>
  <c r="G499" i="9"/>
  <c r="AE183" i="9"/>
  <c r="H1382" i="6"/>
  <c r="K387" i="7"/>
  <c r="L1038" i="7"/>
  <c r="L287" i="3"/>
  <c r="L297" i="3" s="1"/>
  <c r="N69" i="1"/>
  <c r="M730" i="7"/>
  <c r="M262" i="7" s="1"/>
  <c r="L1036" i="7"/>
  <c r="M1036" i="7" s="1"/>
  <c r="N1036" i="7" s="1"/>
  <c r="O1036" i="7" s="1"/>
  <c r="P1036" i="7" s="1"/>
  <c r="Q1036" i="7" s="1"/>
  <c r="AZ118" i="9"/>
  <c r="L72" i="1"/>
  <c r="K75" i="1"/>
  <c r="L1039" i="7"/>
  <c r="K388" i="7"/>
  <c r="H76" i="1"/>
  <c r="I76" i="1" s="1"/>
  <c r="J76" i="1" s="1"/>
  <c r="K76" i="1" s="1"/>
  <c r="L76" i="1" s="1"/>
  <c r="M76" i="1" s="1"/>
  <c r="N76" i="1" s="1"/>
  <c r="O76" i="1" s="1"/>
  <c r="P76" i="1" s="1"/>
  <c r="Q76" i="1" s="1"/>
  <c r="C97" i="19"/>
  <c r="C92" i="20"/>
  <c r="O95" i="20" s="1"/>
  <c r="C33" i="19"/>
  <c r="C39" i="20" s="1"/>
  <c r="O15" i="1"/>
  <c r="P15" i="1" s="1"/>
  <c r="Q15" i="1" s="1"/>
  <c r="L1037" i="7"/>
  <c r="M1037" i="7" s="1"/>
  <c r="K397" i="7"/>
  <c r="L1041" i="7"/>
  <c r="N1022" i="7"/>
  <c r="O1022" i="7" s="1"/>
  <c r="P1022" i="7" s="1"/>
  <c r="Q1022" i="7" s="1"/>
  <c r="M16" i="1"/>
  <c r="N16" i="1" s="1"/>
  <c r="O16" i="1" s="1"/>
  <c r="P16" i="1" s="1"/>
  <c r="M1035" i="7"/>
  <c r="N1035" i="7" s="1"/>
  <c r="O1035" i="7" s="1"/>
  <c r="P1035" i="7" s="1"/>
  <c r="Q1035" i="7" s="1"/>
  <c r="L1033" i="7"/>
  <c r="M1033" i="7" s="1"/>
  <c r="N1033" i="7" s="1"/>
  <c r="O1033" i="7" s="1"/>
  <c r="P1033" i="7" s="1"/>
  <c r="Q1033" i="7" s="1"/>
  <c r="L1032" i="7"/>
  <c r="M1032" i="7" s="1"/>
  <c r="N1032" i="7" s="1"/>
  <c r="O1032" i="7" s="1"/>
  <c r="P1032" i="7" s="1"/>
  <c r="Q1032" i="7" s="1"/>
  <c r="J97" i="1"/>
  <c r="K90" i="1"/>
  <c r="N1040" i="7"/>
  <c r="O1040" i="7" s="1"/>
  <c r="P1040" i="7" s="1"/>
  <c r="Q1040" i="7" s="1"/>
  <c r="L1034" i="7"/>
  <c r="M1034" i="7" s="1"/>
  <c r="N1034" i="7" s="1"/>
  <c r="O1034" i="7" s="1"/>
  <c r="P1034" i="7" s="1"/>
  <c r="Q1034" i="7" s="1"/>
  <c r="K63" i="20"/>
  <c r="S12" i="20"/>
  <c r="S16" i="20" s="1"/>
  <c r="K99" i="20"/>
  <c r="N417" i="5"/>
  <c r="N254" i="8"/>
  <c r="N295" i="5"/>
  <c r="N1436" i="6"/>
  <c r="N1432" i="6"/>
  <c r="N1085" i="7"/>
  <c r="N844" i="6"/>
  <c r="N902" i="7"/>
  <c r="BE118" i="9"/>
  <c r="N1424" i="6"/>
  <c r="N974" i="6"/>
  <c r="N1428" i="6"/>
  <c r="N905" i="6"/>
  <c r="N274" i="8"/>
  <c r="J289" i="3"/>
  <c r="J299" i="3" s="1"/>
  <c r="L27" i="1"/>
  <c r="N990" i="6"/>
  <c r="N517" i="4"/>
  <c r="N843" i="6"/>
  <c r="N515" i="4"/>
  <c r="N32" i="27"/>
  <c r="N43" i="27"/>
  <c r="L743" i="34"/>
  <c r="N523" i="8"/>
  <c r="M142" i="8"/>
  <c r="BC22" i="42"/>
  <c r="M530" i="8"/>
  <c r="K27" i="17"/>
  <c r="K12" i="17" s="1"/>
  <c r="K296" i="15" s="1"/>
  <c r="K318" i="15" s="1"/>
  <c r="K408" i="34"/>
  <c r="M98" i="7"/>
  <c r="N521" i="7"/>
  <c r="N59" i="27"/>
  <c r="N31" i="27"/>
  <c r="L638" i="34"/>
  <c r="N321" i="8"/>
  <c r="N373" i="8"/>
  <c r="N45" i="27"/>
  <c r="L162" i="34"/>
  <c r="L21" i="12"/>
  <c r="N298" i="8"/>
  <c r="N26" i="27"/>
  <c r="L41" i="55"/>
  <c r="L43" i="55" s="1"/>
  <c r="M40" i="55" s="1"/>
  <c r="N989" i="6"/>
  <c r="N235" i="8"/>
  <c r="N988" i="6"/>
  <c r="N518" i="4"/>
  <c r="N299" i="5"/>
  <c r="N828" i="6"/>
  <c r="N226" i="5"/>
  <c r="N754" i="4"/>
  <c r="N1324" i="6"/>
  <c r="N830" i="6"/>
  <c r="N744" i="7"/>
  <c r="N1251" i="6"/>
  <c r="N270" i="8"/>
  <c r="N393" i="4"/>
  <c r="N388" i="4"/>
  <c r="N455" i="4"/>
  <c r="N479" i="7"/>
  <c r="N1323" i="6"/>
  <c r="N347" i="5"/>
  <c r="N625" i="7"/>
  <c r="N373" i="5"/>
  <c r="N630" i="7"/>
  <c r="N1449" i="6"/>
  <c r="N742" i="4"/>
  <c r="N228" i="4" s="1"/>
  <c r="N752" i="7"/>
  <c r="N898" i="6"/>
  <c r="N856" i="7"/>
  <c r="N1089" i="7"/>
  <c r="N1423" i="6"/>
  <c r="N901" i="7"/>
  <c r="N1397" i="6"/>
  <c r="N1454" i="6"/>
  <c r="N1332" i="6"/>
  <c r="N489" i="8"/>
  <c r="N632" i="7"/>
  <c r="N305" i="5"/>
  <c r="N475" i="8"/>
  <c r="N1420" i="6"/>
  <c r="N411" i="5"/>
  <c r="N1116" i="6"/>
  <c r="N328" i="4"/>
  <c r="M317" i="5"/>
  <c r="L97" i="5"/>
  <c r="N510" i="7"/>
  <c r="N699" i="7"/>
  <c r="N190" i="8"/>
  <c r="N1937" i="6"/>
  <c r="L149" i="34"/>
  <c r="N1070" i="7"/>
  <c r="N1080" i="7"/>
  <c r="N1123" i="6"/>
  <c r="M359" i="5"/>
  <c r="L129" i="5"/>
  <c r="M210" i="6"/>
  <c r="N995" i="6"/>
  <c r="L747" i="34"/>
  <c r="K751" i="34"/>
  <c r="N307" i="8"/>
  <c r="N290" i="5"/>
  <c r="N470" i="8"/>
  <c r="N771" i="7"/>
  <c r="N912" i="6"/>
  <c r="N236" i="8"/>
  <c r="N500" i="8"/>
  <c r="N441" i="5"/>
  <c r="N1183" i="6"/>
  <c r="N1545" i="6"/>
  <c r="N831" i="6"/>
  <c r="N374" i="4"/>
  <c r="N1094" i="6"/>
  <c r="N221" i="5"/>
  <c r="N401" i="4"/>
  <c r="M403" i="8"/>
  <c r="J87" i="17"/>
  <c r="N644" i="4"/>
  <c r="N471" i="7"/>
  <c r="N689" i="7"/>
  <c r="N453" i="7"/>
  <c r="N764" i="7"/>
  <c r="N758" i="6"/>
  <c r="N899" i="6"/>
  <c r="N370" i="5"/>
  <c r="N1437" i="6"/>
  <c r="N1362" i="6"/>
  <c r="N1343" i="6"/>
  <c r="N1341" i="6"/>
  <c r="N1837" i="6"/>
  <c r="N757" i="6"/>
  <c r="L50" i="34"/>
  <c r="N722" i="4"/>
  <c r="K122" i="9"/>
  <c r="M6" i="1"/>
  <c r="N334" i="4" s="1"/>
  <c r="K115" i="9"/>
  <c r="R63" i="37"/>
  <c r="R65" i="37" s="1"/>
  <c r="N369" i="5"/>
  <c r="N736" i="4"/>
  <c r="N374" i="5"/>
  <c r="N408" i="5"/>
  <c r="N1456" i="6"/>
  <c r="N389" i="4"/>
  <c r="N423" i="8"/>
  <c r="N794" i="7"/>
  <c r="N436" i="5"/>
  <c r="N927" i="6"/>
  <c r="N829" i="6"/>
  <c r="N1069" i="7"/>
  <c r="N1082" i="7"/>
  <c r="N319" i="8"/>
  <c r="K455" i="34"/>
  <c r="S72" i="37"/>
  <c r="N1117" i="6"/>
  <c r="N776" i="7"/>
  <c r="N29" i="27"/>
  <c r="N284" i="8"/>
  <c r="N272" i="8"/>
  <c r="I582" i="34"/>
  <c r="J606" i="34"/>
  <c r="M402" i="8"/>
  <c r="J86" i="17"/>
  <c r="L120" i="8"/>
  <c r="M40" i="40"/>
  <c r="BF118" i="9"/>
  <c r="K23" i="34"/>
  <c r="L65" i="34"/>
  <c r="N312" i="8"/>
  <c r="M66" i="8"/>
  <c r="N459" i="8"/>
  <c r="M125" i="8"/>
  <c r="N278" i="8"/>
  <c r="N842" i="6"/>
  <c r="N233" i="8"/>
  <c r="O126" i="1"/>
  <c r="N469" i="8"/>
  <c r="N439" i="8"/>
  <c r="N1092" i="7"/>
  <c r="N387" i="8"/>
  <c r="N1193" i="6"/>
  <c r="N1447" i="6"/>
  <c r="N510" i="8"/>
  <c r="N628" i="7"/>
  <c r="N387" i="4"/>
  <c r="N465" i="7"/>
  <c r="N420" i="8"/>
  <c r="N425" i="8"/>
  <c r="N1109" i="6"/>
  <c r="N755" i="7"/>
  <c r="N346" i="5"/>
  <c r="N642" i="4"/>
  <c r="N633" i="7"/>
  <c r="N833" i="6"/>
  <c r="N1364" i="6"/>
  <c r="N188" i="8"/>
  <c r="N312" i="5"/>
  <c r="N352" i="5"/>
  <c r="N851" i="6"/>
  <c r="N34" i="27"/>
  <c r="N1171" i="6"/>
  <c r="I288" i="3"/>
  <c r="K70" i="1"/>
  <c r="N928" i="6"/>
  <c r="N281" i="8"/>
  <c r="N514" i="4"/>
  <c r="K100" i="9"/>
  <c r="AU100" i="9"/>
  <c r="N435" i="8"/>
  <c r="N920" i="6"/>
  <c r="N217" i="8"/>
  <c r="N300" i="5"/>
  <c r="N191" i="8"/>
  <c r="N292" i="5"/>
  <c r="M526" i="7"/>
  <c r="L103" i="7"/>
  <c r="N426" i="8"/>
  <c r="N1838" i="6"/>
  <c r="N501" i="7"/>
  <c r="N1448" i="6"/>
  <c r="N924" i="6"/>
  <c r="N903" i="7"/>
  <c r="N1096" i="7"/>
  <c r="K286" i="3"/>
  <c r="M58" i="1"/>
  <c r="N778" i="6"/>
  <c r="N1429" i="6"/>
  <c r="N511" i="4"/>
  <c r="N13" i="27"/>
  <c r="N273" i="8"/>
  <c r="V11" i="42"/>
  <c r="H43" i="15" s="1"/>
  <c r="H12" i="15" s="1"/>
  <c r="O10" i="1"/>
  <c r="P7" i="1"/>
  <c r="O11" i="1"/>
  <c r="P611" i="7" s="1"/>
  <c r="P791" i="6"/>
  <c r="Q791" i="6" s="1"/>
  <c r="AD8" i="54"/>
  <c r="L662" i="34"/>
  <c r="L663" i="34" s="1"/>
  <c r="N5" i="1"/>
  <c r="O322" i="4" s="1"/>
  <c r="N318" i="8"/>
  <c r="N745" i="7"/>
  <c r="N1165" i="6"/>
  <c r="N903" i="6"/>
  <c r="N631" i="7"/>
  <c r="N284" i="5"/>
  <c r="N495" i="4"/>
  <c r="N505" i="4"/>
  <c r="N513" i="8"/>
  <c r="N507" i="7"/>
  <c r="N503" i="4"/>
  <c r="N1296" i="6"/>
  <c r="N805" i="7"/>
  <c r="N502" i="4"/>
  <c r="N331" i="8"/>
  <c r="N802" i="7"/>
  <c r="N1189" i="6"/>
  <c r="N2012" i="6"/>
  <c r="N1091" i="6"/>
  <c r="N409" i="5"/>
  <c r="N498" i="4"/>
  <c r="N1826" i="6"/>
  <c r="N499" i="4"/>
  <c r="N493" i="4"/>
  <c r="N962" i="7"/>
  <c r="N280" i="8"/>
  <c r="N821" i="6"/>
  <c r="N895" i="6"/>
  <c r="N1310" i="6"/>
  <c r="N494" i="4"/>
  <c r="N508" i="4"/>
  <c r="N480" i="4"/>
  <c r="N251" i="8"/>
  <c r="N985" i="7"/>
  <c r="N929" i="7"/>
  <c r="N569" i="7"/>
  <c r="N1902" i="6"/>
  <c r="N1839" i="6"/>
  <c r="N2004" i="6"/>
  <c r="N1818" i="6"/>
  <c r="N1872" i="6"/>
  <c r="N1867" i="6"/>
  <c r="N925" i="6"/>
  <c r="N1885" i="6"/>
  <c r="N626" i="7"/>
  <c r="L108" i="34"/>
  <c r="N641" i="4"/>
  <c r="N367" i="4"/>
  <c r="N795" i="4"/>
  <c r="N536" i="4"/>
  <c r="N690" i="4"/>
  <c r="O690" i="4" s="1"/>
  <c r="N735" i="4"/>
  <c r="N2002" i="6"/>
  <c r="N792" i="4"/>
  <c r="O792" i="4" s="1"/>
  <c r="N228" i="5"/>
  <c r="N979" i="7"/>
  <c r="N976" i="7"/>
  <c r="N978" i="7"/>
  <c r="O978" i="7" s="1"/>
  <c r="N1560" i="6"/>
  <c r="N1684" i="6"/>
  <c r="N1549" i="6"/>
  <c r="N1880" i="6"/>
  <c r="O1880" i="6" s="1"/>
  <c r="N889" i="6"/>
  <c r="N893" i="6"/>
  <c r="N1889" i="6"/>
  <c r="N1874" i="6"/>
  <c r="O1874" i="6" s="1"/>
  <c r="N506" i="4"/>
  <c r="N360" i="4"/>
  <c r="N734" i="4"/>
  <c r="N752" i="4"/>
  <c r="O752" i="4" s="1"/>
  <c r="N437" i="4"/>
  <c r="N569" i="4"/>
  <c r="N267" i="8"/>
  <c r="N1120" i="6"/>
  <c r="O1120" i="6" s="1"/>
  <c r="N1321" i="6"/>
  <c r="N1289" i="6"/>
  <c r="N361" i="4"/>
  <c r="N67" i="4" s="1"/>
  <c r="N436" i="8"/>
  <c r="O436" i="8" s="1"/>
  <c r="N927" i="7"/>
  <c r="N984" i="7"/>
  <c r="N915" i="7"/>
  <c r="N1557" i="6"/>
  <c r="O1557" i="6" s="1"/>
  <c r="N1566" i="6"/>
  <c r="N1624" i="6"/>
  <c r="N1611" i="6"/>
  <c r="N1936" i="6"/>
  <c r="O1936" i="6" s="1"/>
  <c r="N1939" i="6"/>
  <c r="S20" i="37"/>
  <c r="N474" i="4"/>
  <c r="O474" i="4" s="1"/>
  <c r="N628" i="4"/>
  <c r="N636" i="4"/>
  <c r="N803" i="4"/>
  <c r="N386" i="4"/>
  <c r="O386" i="4" s="1"/>
  <c r="N898" i="7"/>
  <c r="N1834" i="6"/>
  <c r="N806" i="4"/>
  <c r="N211" i="8"/>
  <c r="O211" i="8" s="1"/>
  <c r="N606" i="7"/>
  <c r="N566" i="7"/>
  <c r="N558" i="7"/>
  <c r="N1807" i="6"/>
  <c r="O1807" i="6" s="1"/>
  <c r="N1681" i="6"/>
  <c r="N1626" i="6"/>
  <c r="N1245" i="6"/>
  <c r="N1908" i="6"/>
  <c r="O1908" i="6" s="1"/>
  <c r="N1890" i="6"/>
  <c r="N842" i="7"/>
  <c r="N791" i="7"/>
  <c r="N432" i="4"/>
  <c r="O432" i="4" s="1"/>
  <c r="N542" i="4"/>
  <c r="N368" i="4"/>
  <c r="N472" i="4"/>
  <c r="N357" i="4"/>
  <c r="O357" i="4" s="1"/>
  <c r="N1415" i="6"/>
  <c r="N186" i="8"/>
  <c r="N1414" i="6"/>
  <c r="N468" i="8"/>
  <c r="O468" i="8" s="1"/>
  <c r="N1451" i="6"/>
  <c r="N1083" i="7"/>
  <c r="N899" i="7"/>
  <c r="N1093" i="7"/>
  <c r="O1093" i="7" s="1"/>
  <c r="N794" i="6"/>
  <c r="N976" i="6"/>
  <c r="N849" i="6"/>
  <c r="N793" i="6"/>
  <c r="O793" i="6" s="1"/>
  <c r="N1078" i="7"/>
  <c r="N1861" i="6"/>
  <c r="N767" i="7"/>
  <c r="N1555" i="6"/>
  <c r="O1555" i="6" s="1"/>
  <c r="N301" i="5"/>
  <c r="N473" i="7"/>
  <c r="N246" i="5"/>
  <c r="O246" i="5" s="1"/>
  <c r="N488" i="7"/>
  <c r="N773" i="7"/>
  <c r="N398" i="8"/>
  <c r="N451" i="7"/>
  <c r="N433" i="8"/>
  <c r="N894" i="7"/>
  <c r="N974" i="7"/>
  <c r="O974" i="7" s="1"/>
  <c r="N975" i="7"/>
  <c r="N1830" i="6"/>
  <c r="N1753" i="6"/>
  <c r="N1547" i="6"/>
  <c r="O1547" i="6" s="1"/>
  <c r="N1835" i="6"/>
  <c r="N1823" i="6"/>
  <c r="N1948" i="6"/>
  <c r="N1287" i="6"/>
  <c r="N1810" i="6"/>
  <c r="N690" i="7"/>
  <c r="N1554" i="6"/>
  <c r="N817" i="4"/>
  <c r="O817" i="4" s="1"/>
  <c r="N396" i="4"/>
  <c r="N352" i="4"/>
  <c r="N527" i="4"/>
  <c r="N629" i="4"/>
  <c r="O629" i="4" s="1"/>
  <c r="N808" i="4"/>
  <c r="N627" i="4"/>
  <c r="N1610" i="6"/>
  <c r="N230" i="5"/>
  <c r="O230" i="5" s="1"/>
  <c r="N980" i="7"/>
  <c r="N838" i="7"/>
  <c r="N983" i="7"/>
  <c r="N2022" i="6"/>
  <c r="O2022" i="6" s="1"/>
  <c r="N1551" i="6"/>
  <c r="N1819" i="6"/>
  <c r="N2019" i="6"/>
  <c r="N1805" i="6"/>
  <c r="O1805" i="6" s="1"/>
  <c r="N1859" i="6"/>
  <c r="N1800" i="6"/>
  <c r="N1297" i="6"/>
  <c r="N753" i="4"/>
  <c r="O753" i="4" s="1"/>
  <c r="N810" i="4"/>
  <c r="N620" i="4"/>
  <c r="N626" i="4"/>
  <c r="N565" i="4"/>
  <c r="O565" i="4" s="1"/>
  <c r="N611" i="4"/>
  <c r="N1319" i="6"/>
  <c r="N928" i="7"/>
  <c r="N931" i="7"/>
  <c r="O931" i="7" s="1"/>
  <c r="N918" i="7"/>
  <c r="N613" i="7"/>
  <c r="N1495" i="6"/>
  <c r="N2003" i="6"/>
  <c r="O2003" i="6" s="1"/>
  <c r="N1497" i="6"/>
  <c r="N916" i="6"/>
  <c r="N1943" i="6"/>
  <c r="S14" i="37"/>
  <c r="T14" i="37" s="1"/>
  <c r="N750" i="4"/>
  <c r="N533" i="4"/>
  <c r="N530" i="4"/>
  <c r="N821" i="4"/>
  <c r="O821" i="4" s="1"/>
  <c r="N632" i="4"/>
  <c r="N568" i="4"/>
  <c r="N309" i="8"/>
  <c r="N977" i="6"/>
  <c r="O977" i="6" s="1"/>
  <c r="N456" i="8"/>
  <c r="N437" i="8"/>
  <c r="N986" i="7"/>
  <c r="N845" i="7"/>
  <c r="O845" i="7" s="1"/>
  <c r="N1613" i="6"/>
  <c r="N1496" i="6"/>
  <c r="N1556" i="6"/>
  <c r="N1754" i="6"/>
  <c r="O1754" i="6" s="1"/>
  <c r="N1938" i="6"/>
  <c r="N1683" i="6"/>
  <c r="N1561" i="6"/>
  <c r="N563" i="4"/>
  <c r="O563" i="4" s="1"/>
  <c r="N686" i="4"/>
  <c r="N623" i="4"/>
  <c r="N528" i="4"/>
  <c r="N564" i="4"/>
  <c r="O564" i="4" s="1"/>
  <c r="N1121" i="6"/>
  <c r="N827" i="6"/>
  <c r="N1318" i="6"/>
  <c r="N365" i="8"/>
  <c r="O365" i="8" s="1"/>
  <c r="L155" i="34"/>
  <c r="N1067" i="7"/>
  <c r="N301" i="8"/>
  <c r="N1074" i="7"/>
  <c r="O1074" i="7" s="1"/>
  <c r="N912" i="7"/>
  <c r="N1050" i="7"/>
  <c r="N891" i="6"/>
  <c r="N1102" i="6"/>
  <c r="N1095" i="7"/>
  <c r="N1868" i="6"/>
  <c r="N291" i="5"/>
  <c r="N484" i="7"/>
  <c r="O484" i="7" s="1"/>
  <c r="N351" i="5"/>
  <c r="N478" i="7"/>
  <c r="N697" i="7"/>
  <c r="N486" i="7"/>
  <c r="O486" i="7" s="1"/>
  <c r="N695" i="7"/>
  <c r="N754" i="7"/>
  <c r="N1100" i="6"/>
  <c r="O1100" i="6" s="1"/>
  <c r="N395" i="4"/>
  <c r="N1182" i="6"/>
  <c r="N516" i="8"/>
  <c r="N977" i="7"/>
  <c r="O977" i="7" s="1"/>
  <c r="N920" i="7"/>
  <c r="N917" i="7"/>
  <c r="N1900" i="6"/>
  <c r="N1687" i="6"/>
  <c r="O1687" i="6" s="1"/>
  <c r="N1553" i="6"/>
  <c r="N1822" i="6"/>
  <c r="N1911" i="6"/>
  <c r="N1907" i="6"/>
  <c r="O1907" i="6" s="1"/>
  <c r="N1935" i="6"/>
  <c r="N1877" i="6"/>
  <c r="N1999" i="6"/>
  <c r="N607" i="7"/>
  <c r="O607" i="7" s="1"/>
  <c r="N637" i="4"/>
  <c r="N385" i="4"/>
  <c r="N540" i="4"/>
  <c r="N435" i="4"/>
  <c r="O435" i="4" s="1"/>
  <c r="N473" i="4"/>
  <c r="N639" i="4"/>
  <c r="N793" i="4"/>
  <c r="O793" i="4" s="1"/>
  <c r="N1049" i="7"/>
  <c r="O1049" i="7" s="1"/>
  <c r="N860" i="6"/>
  <c r="N140" i="6" s="1"/>
  <c r="N223" i="5"/>
  <c r="O223" i="5" s="1"/>
  <c r="N515" i="8"/>
  <c r="O515" i="8" s="1"/>
  <c r="N564" i="7"/>
  <c r="O564" i="7" s="1"/>
  <c r="N571" i="7"/>
  <c r="N1686" i="6"/>
  <c r="O1686" i="6" s="1"/>
  <c r="N1692" i="6"/>
  <c r="O1692" i="6" s="1"/>
  <c r="N1808" i="6"/>
  <c r="O1808" i="6" s="1"/>
  <c r="N1685" i="6"/>
  <c r="N2026" i="6"/>
  <c r="O2026" i="6" s="1"/>
  <c r="N1896" i="6"/>
  <c r="O1896" i="6" s="1"/>
  <c r="N1103" i="6"/>
  <c r="O1103" i="6" s="1"/>
  <c r="N1833" i="6"/>
  <c r="N231" i="5"/>
  <c r="O231" i="5" s="1"/>
  <c r="N554" i="4"/>
  <c r="O554" i="4" s="1"/>
  <c r="N826" i="4"/>
  <c r="O826" i="4" s="1"/>
  <c r="N786" i="4"/>
  <c r="N625" i="4"/>
  <c r="O625" i="4" s="1"/>
  <c r="N355" i="4"/>
  <c r="O355" i="4" s="1"/>
  <c r="N1558" i="6"/>
  <c r="N1862" i="6"/>
  <c r="O1862" i="6" s="1"/>
  <c r="N907" i="7"/>
  <c r="O907" i="7" s="1"/>
  <c r="N971" i="7"/>
  <c r="O971" i="7" s="1"/>
  <c r="N610" i="7"/>
  <c r="N1568" i="6"/>
  <c r="O1568" i="6" s="1"/>
  <c r="N1617" i="6"/>
  <c r="O1617" i="6" s="1"/>
  <c r="N1630" i="6"/>
  <c r="O1630" i="6" s="1"/>
  <c r="N1493" i="6"/>
  <c r="N1827" i="6"/>
  <c r="O1827" i="6" s="1"/>
  <c r="N1620" i="6"/>
  <c r="O1620" i="6" s="1"/>
  <c r="N790" i="7"/>
  <c r="O790" i="7" s="1"/>
  <c r="N631" i="4"/>
  <c r="N606" i="4"/>
  <c r="O606" i="4" s="1"/>
  <c r="N788" i="4"/>
  <c r="O788" i="4" s="1"/>
  <c r="N476" i="4"/>
  <c r="O476" i="4" s="1"/>
  <c r="N613" i="4"/>
  <c r="O613" i="4" s="1"/>
  <c r="N304" i="8"/>
  <c r="N832" i="6"/>
  <c r="O832" i="6" s="1"/>
  <c r="N1249" i="6"/>
  <c r="O1249" i="6" s="1"/>
  <c r="N376" i="8"/>
  <c r="O376" i="8" s="1"/>
  <c r="N914" i="7"/>
  <c r="O914" i="7" s="1"/>
  <c r="N922" i="7"/>
  <c r="O922" i="7" s="1"/>
  <c r="N981" i="7"/>
  <c r="O981" i="7" s="1"/>
  <c r="N1552" i="6"/>
  <c r="O1552" i="6" s="1"/>
  <c r="N1562" i="6"/>
  <c r="O1562" i="6" s="1"/>
  <c r="N1947" i="6"/>
  <c r="O1947" i="6" s="1"/>
  <c r="N1548" i="6"/>
  <c r="O1548" i="6" s="1"/>
  <c r="N1616" i="6"/>
  <c r="O1616" i="6" s="1"/>
  <c r="N1886" i="6"/>
  <c r="O1886" i="6" s="1"/>
  <c r="N1809" i="6"/>
  <c r="O1809" i="6" s="1"/>
  <c r="N627" i="7"/>
  <c r="O627" i="7" s="1"/>
  <c r="N366" i="4"/>
  <c r="N406" i="4"/>
  <c r="O406" i="4" s="1"/>
  <c r="N687" i="4"/>
  <c r="O687" i="4" s="1"/>
  <c r="N624" i="4"/>
  <c r="O624" i="4" s="1"/>
  <c r="N619" i="4"/>
  <c r="O619" i="4" s="1"/>
  <c r="N794" i="4"/>
  <c r="O794" i="4" s="1"/>
  <c r="N1409" i="6"/>
  <c r="O1409" i="6" s="1"/>
  <c r="N1563" i="6"/>
  <c r="O1563" i="6" s="1"/>
  <c r="N1114" i="6"/>
  <c r="O1114" i="6" s="1"/>
  <c r="N1320" i="6"/>
  <c r="O1320" i="6" s="1"/>
  <c r="N1897" i="6"/>
  <c r="O1897" i="6" s="1"/>
  <c r="N1906" i="6"/>
  <c r="O1906" i="6" s="1"/>
  <c r="N207" i="8"/>
  <c r="O207" i="8" s="1"/>
  <c r="N848" i="6"/>
  <c r="O848" i="6" s="1"/>
  <c r="K440" i="34"/>
  <c r="L440" i="34" s="1"/>
  <c r="N1094" i="7"/>
  <c r="O1094" i="7" s="1"/>
  <c r="N1354" i="6"/>
  <c r="O1354" i="6" s="1"/>
  <c r="N1455" i="6"/>
  <c r="O1455" i="6" s="1"/>
  <c r="N1725" i="6"/>
  <c r="O1725" i="6" s="1"/>
  <c r="N765" i="7"/>
  <c r="O765" i="7" s="1"/>
  <c r="N739" i="4"/>
  <c r="O739" i="4" s="1"/>
  <c r="N1445" i="6"/>
  <c r="O1445" i="6" s="1"/>
  <c r="N462" i="7"/>
  <c r="O462" i="7" s="1"/>
  <c r="N1252" i="6"/>
  <c r="O1252" i="6" s="1"/>
  <c r="N472" i="7"/>
  <c r="O472" i="7" s="1"/>
  <c r="N792" i="7"/>
  <c r="O792" i="7" s="1"/>
  <c r="N417" i="8"/>
  <c r="O417" i="8" s="1"/>
  <c r="N404" i="8"/>
  <c r="O404" i="8" s="1"/>
  <c r="N491" i="4"/>
  <c r="O491" i="4" s="1"/>
  <c r="N780" i="6"/>
  <c r="O780" i="6" s="1"/>
  <c r="N323" i="4"/>
  <c r="O323" i="4" s="1"/>
  <c r="N464" i="8"/>
  <c r="N241" i="8"/>
  <c r="O241" i="8" s="1"/>
  <c r="N1431" i="6"/>
  <c r="O1431" i="6" s="1"/>
  <c r="N1191" i="6"/>
  <c r="O1191" i="6" s="1"/>
  <c r="N1088" i="7"/>
  <c r="O1088" i="7" s="1"/>
  <c r="N1196" i="6"/>
  <c r="O1196" i="6" s="1"/>
  <c r="N1253" i="6"/>
  <c r="O1253" i="6" s="1"/>
  <c r="N847" i="6"/>
  <c r="O847" i="6" s="1"/>
  <c r="N836" i="6"/>
  <c r="O836" i="6" s="1"/>
  <c r="N1167" i="6"/>
  <c r="O1167" i="6" s="1"/>
  <c r="N915" i="6"/>
  <c r="O915" i="6" s="1"/>
  <c r="N639" i="7"/>
  <c r="O639" i="7" s="1"/>
  <c r="N1305" i="6"/>
  <c r="O1305" i="6" s="1"/>
  <c r="N452" i="7"/>
  <c r="O452" i="7" s="1"/>
  <c r="N691" i="7"/>
  <c r="O691" i="7" s="1"/>
  <c r="N344" i="5"/>
  <c r="O344" i="5" s="1"/>
  <c r="N1452" i="6"/>
  <c r="O1452" i="6" s="1"/>
  <c r="N254" i="5"/>
  <c r="O254" i="5" s="1"/>
  <c r="N1290" i="6"/>
  <c r="O1290" i="6" s="1"/>
  <c r="N428" i="8"/>
  <c r="O428" i="8" s="1"/>
  <c r="N397" i="4"/>
  <c r="O397" i="4" s="1"/>
  <c r="N376" i="4"/>
  <c r="O376" i="4" s="1"/>
  <c r="N366" i="8"/>
  <c r="O366" i="8" s="1"/>
  <c r="N761" i="6"/>
  <c r="O761" i="6" s="1"/>
  <c r="N757" i="7"/>
  <c r="O757" i="7" s="1"/>
  <c r="N249" i="8"/>
  <c r="O249" i="8" s="1"/>
  <c r="N1315" i="6"/>
  <c r="O1315" i="6" s="1"/>
  <c r="N931" i="6"/>
  <c r="O931" i="6" s="1"/>
  <c r="N914" i="6"/>
  <c r="O914" i="6" s="1"/>
  <c r="N501" i="8"/>
  <c r="O501" i="8" s="1"/>
  <c r="N434" i="8"/>
  <c r="O434" i="8" s="1"/>
  <c r="N930" i="6"/>
  <c r="O930" i="6" s="1"/>
  <c r="N1416" i="6"/>
  <c r="O1416" i="6" s="1"/>
  <c r="N1087" i="7"/>
  <c r="O1087" i="7" s="1"/>
  <c r="N852" i="6"/>
  <c r="O852" i="6" s="1"/>
  <c r="L132" i="34"/>
  <c r="M132" i="34" s="1"/>
  <c r="N2000" i="6"/>
  <c r="O2000" i="6" s="1"/>
  <c r="N325" i="8"/>
  <c r="O325" i="8" s="1"/>
  <c r="N1076" i="7"/>
  <c r="O1076" i="7" s="1"/>
  <c r="N1602" i="6"/>
  <c r="O1602" i="6" s="1"/>
  <c r="N684" i="7"/>
  <c r="O684" i="7" s="1"/>
  <c r="N377" i="8"/>
  <c r="O377" i="8" s="1"/>
  <c r="N972" i="7"/>
  <c r="O972" i="7" s="1"/>
  <c r="N973" i="7"/>
  <c r="O973" i="7" s="1"/>
  <c r="N982" i="7"/>
  <c r="O982" i="7" s="1"/>
  <c r="N1817" i="6"/>
  <c r="O1817" i="6" s="1"/>
  <c r="N1559" i="6"/>
  <c r="O1559" i="6" s="1"/>
  <c r="N1904" i="6"/>
  <c r="O1904" i="6" s="1"/>
  <c r="N1546" i="6"/>
  <c r="O1546" i="6" s="1"/>
  <c r="N1881" i="6"/>
  <c r="O1881" i="6" s="1"/>
  <c r="N1882" i="6"/>
  <c r="O1882" i="6" s="1"/>
  <c r="N1903" i="6"/>
  <c r="O1903" i="6" s="1"/>
  <c r="N1824" i="6"/>
  <c r="O1824" i="6" s="1"/>
  <c r="N910" i="7"/>
  <c r="O910" i="7" s="1"/>
  <c r="N641" i="7"/>
  <c r="O641" i="7" s="1"/>
  <c r="N608" i="4"/>
  <c r="O608" i="4" s="1"/>
  <c r="N784" i="4"/>
  <c r="O784" i="4" s="1"/>
  <c r="N541" i="4"/>
  <c r="O541" i="4" s="1"/>
  <c r="N526" i="4"/>
  <c r="O526" i="4" s="1"/>
  <c r="N537" i="4"/>
  <c r="O537" i="4" s="1"/>
  <c r="N311" i="8"/>
  <c r="N1410" i="6"/>
  <c r="O1410" i="6" s="1"/>
  <c r="N981" i="6"/>
  <c r="O981" i="6" s="1"/>
  <c r="N529" i="4"/>
  <c r="O529" i="4" s="1"/>
  <c r="N434" i="5"/>
  <c r="O434" i="5" s="1"/>
  <c r="N210" i="8"/>
  <c r="O210" i="8" s="1"/>
  <c r="N609" i="7"/>
  <c r="O609" i="7" s="1"/>
  <c r="N916" i="7"/>
  <c r="O916" i="7" s="1"/>
  <c r="N1627" i="6"/>
  <c r="O1627" i="6" s="1"/>
  <c r="N1544" i="6"/>
  <c r="O1544" i="6" s="1"/>
  <c r="N1494" i="6"/>
  <c r="O1494" i="6" s="1"/>
  <c r="N1690" i="6"/>
  <c r="O1690" i="6" s="1"/>
  <c r="N1905" i="6"/>
  <c r="O1905" i="6" s="1"/>
  <c r="N1894" i="6"/>
  <c r="O1894" i="6" s="1"/>
  <c r="N1951" i="6"/>
  <c r="O1951" i="6" s="1"/>
  <c r="N1680" i="6"/>
  <c r="O1680" i="6" s="1"/>
  <c r="N640" i="4"/>
  <c r="O640" i="4" s="1"/>
  <c r="N621" i="4"/>
  <c r="O621" i="4" s="1"/>
  <c r="N471" i="4"/>
  <c r="O471" i="4" s="1"/>
  <c r="N483" i="4"/>
  <c r="O483" i="4" s="1"/>
  <c r="N538" i="4"/>
  <c r="O538" i="4" s="1"/>
  <c r="N351" i="4"/>
  <c r="O351" i="4" s="1"/>
  <c r="N1322" i="6"/>
  <c r="O1322" i="6" s="1"/>
  <c r="N1435" i="6"/>
  <c r="O1435" i="6" s="1"/>
  <c r="N1286" i="6"/>
  <c r="O1286" i="6" s="1"/>
  <c r="N470" i="4"/>
  <c r="O470" i="4" s="1"/>
  <c r="N508" i="8"/>
  <c r="O508" i="8" s="1"/>
  <c r="N883" i="7"/>
  <c r="O883" i="7" s="1"/>
  <c r="N923" i="7"/>
  <c r="O923" i="7" s="1"/>
  <c r="N930" i="7"/>
  <c r="O930" i="7" s="1"/>
  <c r="N1629" i="6"/>
  <c r="O1629" i="6" s="1"/>
  <c r="N1804" i="6"/>
  <c r="O1804" i="6" s="1"/>
  <c r="N1820" i="6"/>
  <c r="O1820" i="6" s="1"/>
  <c r="N1255" i="6"/>
  <c r="O1255" i="6" s="1"/>
  <c r="N1615" i="6"/>
  <c r="O1615" i="6" s="1"/>
  <c r="N925" i="7"/>
  <c r="O925" i="7" s="1"/>
  <c r="N878" i="7"/>
  <c r="O878" i="7" s="1"/>
  <c r="N539" i="4"/>
  <c r="O539" i="4" s="1"/>
  <c r="N787" i="4"/>
  <c r="O787" i="4" s="1"/>
  <c r="N363" i="4"/>
  <c r="O363" i="4" s="1"/>
  <c r="N737" i="4"/>
  <c r="O737" i="4" s="1"/>
  <c r="N481" i="4"/>
  <c r="O481" i="4" s="1"/>
  <c r="N893" i="7"/>
  <c r="O893" i="7" s="1"/>
  <c r="N1901" i="6"/>
  <c r="O1901" i="6" s="1"/>
  <c r="N749" i="4"/>
  <c r="O749" i="4" s="1"/>
  <c r="N208" i="8"/>
  <c r="O208" i="8" s="1"/>
  <c r="N565" i="7"/>
  <c r="O565" i="7" s="1"/>
  <c r="N970" i="7"/>
  <c r="O970" i="7" s="1"/>
  <c r="N1625" i="6"/>
  <c r="O1625" i="6" s="1"/>
  <c r="N1806" i="6"/>
  <c r="O1806" i="6" s="1"/>
  <c r="N1909" i="6"/>
  <c r="O1909" i="6" s="1"/>
  <c r="N1832" i="6"/>
  <c r="O1832" i="6" s="1"/>
  <c r="N1829" i="6"/>
  <c r="O1829" i="6" s="1"/>
  <c r="N822" i="6"/>
  <c r="O822" i="6" s="1"/>
  <c r="N1891" i="6"/>
  <c r="O1891" i="6" s="1"/>
  <c r="N900" i="7"/>
  <c r="O900" i="7" s="1"/>
  <c r="N682" i="4"/>
  <c r="O682" i="4" s="1"/>
  <c r="N405" i="4"/>
  <c r="O405" i="4" s="1"/>
  <c r="N680" i="4"/>
  <c r="O680" i="4" s="1"/>
  <c r="N827" i="4"/>
  <c r="O827" i="4" s="1"/>
  <c r="N482" i="4"/>
  <c r="O482" i="4" s="1"/>
  <c r="N896" i="7"/>
  <c r="O896" i="7" s="1"/>
  <c r="N1312" i="6"/>
  <c r="O1312" i="6" s="1"/>
  <c r="N1313" i="6"/>
  <c r="O1313" i="6" s="1"/>
  <c r="N1413" i="6"/>
  <c r="O1413" i="6" s="1"/>
  <c r="N1122" i="6"/>
  <c r="O1122" i="6" s="1"/>
  <c r="N1357" i="6"/>
  <c r="O1357" i="6" s="1"/>
  <c r="N1825" i="6"/>
  <c r="O1825" i="6" s="1"/>
  <c r="N910" i="6"/>
  <c r="O910" i="6" s="1"/>
  <c r="N854" i="6"/>
  <c r="O854" i="6" s="1"/>
  <c r="N282" i="8"/>
  <c r="O282" i="8" s="1"/>
  <c r="N1081" i="7"/>
  <c r="O1081" i="7" s="1"/>
  <c r="N1396" i="6"/>
  <c r="O1396" i="6" s="1"/>
  <c r="N749" i="7"/>
  <c r="O749" i="7" s="1"/>
  <c r="N349" i="5"/>
  <c r="O349" i="5" s="1"/>
  <c r="N438" i="5"/>
  <c r="O438" i="5" s="1"/>
  <c r="N1181" i="6"/>
  <c r="O1181" i="6" s="1"/>
  <c r="N500" i="7"/>
  <c r="O500" i="7" s="1"/>
  <c r="N294" i="5"/>
  <c r="O294" i="5" s="1"/>
  <c r="N778" i="7"/>
  <c r="O778" i="7" s="1"/>
  <c r="N1317" i="6"/>
  <c r="O1317" i="6" s="1"/>
  <c r="N397" i="8"/>
  <c r="O397" i="8" s="1"/>
  <c r="N333" i="4"/>
  <c r="O333" i="4" s="1"/>
  <c r="N1095" i="6"/>
  <c r="O1095" i="6" s="1"/>
  <c r="N646" i="4"/>
  <c r="N1408" i="6"/>
  <c r="O1408" i="6" s="1"/>
  <c r="N1565" i="6"/>
  <c r="O1565" i="6" s="1"/>
  <c r="N1395" i="6"/>
  <c r="O1395" i="6" s="1"/>
  <c r="N834" i="6"/>
  <c r="O834" i="6" s="1"/>
  <c r="N305" i="8"/>
  <c r="O305" i="8" s="1"/>
  <c r="N1071" i="7"/>
  <c r="O1071" i="7" s="1"/>
  <c r="N1453" i="6"/>
  <c r="O1453" i="6" s="1"/>
  <c r="N998" i="6"/>
  <c r="O998" i="6" s="1"/>
  <c r="N853" i="6"/>
  <c r="O853" i="6" s="1"/>
  <c r="N1075" i="7"/>
  <c r="O1075" i="7" s="1"/>
  <c r="N846" i="6"/>
  <c r="O846" i="6" s="1"/>
  <c r="N431" i="5"/>
  <c r="O431" i="5" s="1"/>
  <c r="N209" i="8"/>
  <c r="O209" i="8" s="1"/>
  <c r="N426" i="5"/>
  <c r="O426" i="5" s="1"/>
  <c r="N698" i="7"/>
  <c r="O698" i="7" s="1"/>
  <c r="N683" i="7"/>
  <c r="N474" i="7"/>
  <c r="O474" i="7" s="1"/>
  <c r="N701" i="7"/>
  <c r="O701" i="7" s="1"/>
  <c r="N1110" i="6"/>
  <c r="O1110" i="6" s="1"/>
  <c r="N418" i="8"/>
  <c r="O418" i="8" s="1"/>
  <c r="N405" i="8"/>
  <c r="O405" i="8" s="1"/>
  <c r="N609" i="4"/>
  <c r="O609" i="4" s="1"/>
  <c r="N765" i="6"/>
  <c r="O765" i="6" s="1"/>
  <c r="N287" i="5"/>
  <c r="O287" i="5" s="1"/>
  <c r="N1316" i="6"/>
  <c r="O1316" i="6" s="1"/>
  <c r="N755" i="6"/>
  <c r="O755" i="6" s="1"/>
  <c r="N12" i="27"/>
  <c r="O12" i="27" s="1"/>
  <c r="N428" i="5"/>
  <c r="O428" i="5" s="1"/>
  <c r="N304" i="5"/>
  <c r="O304" i="5" s="1"/>
  <c r="N979" i="6"/>
  <c r="O979" i="6" s="1"/>
  <c r="N286" i="5"/>
  <c r="O286" i="5" s="1"/>
  <c r="N516" i="4"/>
  <c r="O516" i="4" s="1"/>
  <c r="N317" i="8"/>
  <c r="O317" i="8" s="1"/>
  <c r="N239" i="8"/>
  <c r="O239" i="8" s="1"/>
  <c r="N1124" i="6"/>
  <c r="O1124" i="6" s="1"/>
  <c r="N1567" i="6"/>
  <c r="O1567" i="6" s="1"/>
  <c r="N1077" i="7"/>
  <c r="O1077" i="7" s="1"/>
  <c r="N980" i="6"/>
  <c r="O980" i="6" s="1"/>
  <c r="N1099" i="7"/>
  <c r="O1099" i="7" s="1"/>
  <c r="N908" i="7"/>
  <c r="O908" i="7" s="1"/>
  <c r="K428" i="34"/>
  <c r="L428" i="34" s="1"/>
  <c r="L739" i="34"/>
  <c r="M739" i="34" s="1"/>
  <c r="N490" i="8"/>
  <c r="O490" i="8" s="1"/>
  <c r="L58" i="34"/>
  <c r="M58" i="34" s="1"/>
  <c r="N268" i="8"/>
  <c r="O268" i="8" s="1"/>
  <c r="L650" i="34"/>
  <c r="M650" i="34" s="1"/>
  <c r="N40" i="27"/>
  <c r="O40" i="27" s="1"/>
  <c r="N367" i="8"/>
  <c r="O367" i="8" s="1"/>
  <c r="L56" i="34"/>
  <c r="M56" i="34" s="1"/>
  <c r="K427" i="34"/>
  <c r="L427" i="34" s="1"/>
  <c r="L632" i="34"/>
  <c r="M632" i="34" s="1"/>
  <c r="M128" i="1"/>
  <c r="N128" i="1" s="1"/>
  <c r="L48" i="34"/>
  <c r="M48" i="34" s="1"/>
  <c r="L24" i="12"/>
  <c r="K62" i="12"/>
  <c r="AE8" i="54"/>
  <c r="N521" i="4"/>
  <c r="O521" i="4" s="1"/>
  <c r="N185" i="8"/>
  <c r="N1356" i="6"/>
  <c r="O1356" i="6" s="1"/>
  <c r="N386" i="8"/>
  <c r="O386" i="8" s="1"/>
  <c r="N841" i="6"/>
  <c r="O841" i="6" s="1"/>
  <c r="N18" i="27"/>
  <c r="O18" i="27" s="1"/>
  <c r="N299" i="8"/>
  <c r="O299" i="8" s="1"/>
  <c r="N503" i="7"/>
  <c r="O503" i="7" s="1"/>
  <c r="N439" i="5"/>
  <c r="O439" i="5" s="1"/>
  <c r="N1338" i="6"/>
  <c r="O1338" i="6" s="1"/>
  <c r="N1899" i="6"/>
  <c r="O1899" i="6" s="1"/>
  <c r="N1394" i="6"/>
  <c r="O1394" i="6" s="1"/>
  <c r="N390" i="4"/>
  <c r="O390" i="4" s="1"/>
  <c r="M380" i="5"/>
  <c r="L145" i="5"/>
  <c r="N534" i="4"/>
  <c r="O534" i="4" s="1"/>
  <c r="N421" i="8"/>
  <c r="O421" i="8" s="1"/>
  <c r="N399" i="8"/>
  <c r="O399" i="8" s="1"/>
  <c r="N222" i="5"/>
  <c r="O222" i="5" s="1"/>
  <c r="N229" i="5"/>
  <c r="O229" i="5" s="1"/>
  <c r="N1250" i="6"/>
  <c r="O1250" i="6" s="1"/>
  <c r="N378" i="5"/>
  <c r="O378" i="5" s="1"/>
  <c r="N643" i="4"/>
  <c r="O643" i="4" s="1"/>
  <c r="N922" i="6"/>
  <c r="O922" i="6" s="1"/>
  <c r="N345" i="5"/>
  <c r="O345" i="5" s="1"/>
  <c r="N1115" i="6"/>
  <c r="O1115" i="6" s="1"/>
  <c r="N671" i="7"/>
  <c r="O671" i="7" s="1"/>
  <c r="N1185" i="6"/>
  <c r="O1185" i="6" s="1"/>
  <c r="N1098" i="7"/>
  <c r="O1098" i="7" s="1"/>
  <c r="N1433" i="6"/>
  <c r="O1433" i="6" s="1"/>
  <c r="N1194" i="6"/>
  <c r="O1194" i="6" s="1"/>
  <c r="N206" i="8"/>
  <c r="O206" i="8" s="1"/>
  <c r="N430" i="8"/>
  <c r="O430" i="8" s="1"/>
  <c r="N453" i="8"/>
  <c r="O453" i="8" s="1"/>
  <c r="N472" i="8"/>
  <c r="O472" i="8" s="1"/>
  <c r="N179" i="8"/>
  <c r="O179" i="8" s="1"/>
  <c r="N1066" i="7"/>
  <c r="O1066" i="7" s="1"/>
  <c r="N506" i="8"/>
  <c r="O506" i="8" s="1"/>
  <c r="N505" i="8"/>
  <c r="O505" i="8" s="1"/>
  <c r="N897" i="6"/>
  <c r="O897" i="6" s="1"/>
  <c r="N435" i="5"/>
  <c r="O435" i="5" s="1"/>
  <c r="N814" i="4"/>
  <c r="O814" i="4" s="1"/>
  <c r="N635" i="7"/>
  <c r="O635" i="7" s="1"/>
  <c r="N1248" i="6"/>
  <c r="O1248" i="6" s="1"/>
  <c r="N756" i="7"/>
  <c r="O756" i="7" s="1"/>
  <c r="N1742" i="6"/>
  <c r="O1742" i="6" s="1"/>
  <c r="N429" i="5"/>
  <c r="O429" i="5" s="1"/>
  <c r="N1450" i="6"/>
  <c r="O1450" i="6" s="1"/>
  <c r="N855" i="6"/>
  <c r="O855" i="6" s="1"/>
  <c r="N1360" i="6"/>
  <c r="O1360" i="6" s="1"/>
  <c r="N1072" i="7"/>
  <c r="O1072" i="7" s="1"/>
  <c r="H298" i="3"/>
  <c r="H290" i="3"/>
  <c r="K44" i="8"/>
  <c r="AL8" i="42" s="1"/>
  <c r="I71" i="15" s="1"/>
  <c r="L177" i="8"/>
  <c r="M182" i="8"/>
  <c r="M46" i="8" s="1"/>
  <c r="N174" i="8"/>
  <c r="L106" i="34"/>
  <c r="N512" i="4"/>
  <c r="O512" i="4" s="1"/>
  <c r="J296" i="3"/>
  <c r="N471" i="8"/>
  <c r="O471" i="8" s="1"/>
  <c r="N49" i="27"/>
  <c r="M54" i="27"/>
  <c r="N904" i="6"/>
  <c r="O904" i="6" s="1"/>
  <c r="M145" i="6"/>
  <c r="N1254" i="6"/>
  <c r="O1254" i="6" s="1"/>
  <c r="N513" i="4"/>
  <c r="O513" i="4" s="1"/>
  <c r="N1836" i="6"/>
  <c r="O1836" i="6" s="1"/>
  <c r="N503" i="8"/>
  <c r="O503" i="8" s="1"/>
  <c r="N769" i="7"/>
  <c r="O769" i="7" s="1"/>
  <c r="N271" i="8"/>
  <c r="O271" i="8" s="1"/>
  <c r="N227" i="5"/>
  <c r="O227" i="5" s="1"/>
  <c r="N1192" i="6"/>
  <c r="O1192" i="6" s="1"/>
  <c r="N1284" i="6"/>
  <c r="O1284" i="6" s="1"/>
  <c r="N225" i="5"/>
  <c r="O225" i="5" s="1"/>
  <c r="N425" i="5"/>
  <c r="O425" i="5" s="1"/>
  <c r="M527" i="7"/>
  <c r="L104" i="7"/>
  <c r="M257" i="5"/>
  <c r="L62" i="5"/>
  <c r="P121" i="9"/>
  <c r="Q48" i="1"/>
  <c r="N496" i="8"/>
  <c r="O496" i="8" s="1"/>
  <c r="AM11" i="42"/>
  <c r="J74" i="15" s="1"/>
  <c r="J381" i="34"/>
  <c r="N33" i="27"/>
  <c r="O33" i="27" s="1"/>
  <c r="K182" i="9"/>
  <c r="BX107" i="9"/>
  <c r="BY107" i="9" s="1"/>
  <c r="K429" i="34"/>
  <c r="L429" i="34" s="1"/>
  <c r="N279" i="8"/>
  <c r="O279" i="8" s="1"/>
  <c r="N439" i="4"/>
  <c r="M107" i="4"/>
  <c r="M160" i="4" s="1"/>
  <c r="N44" i="27"/>
  <c r="O44" i="27" s="1"/>
  <c r="N189" i="8"/>
  <c r="O189" i="8" s="1"/>
  <c r="M45" i="8"/>
  <c r="N733" i="4"/>
  <c r="O733" i="4" s="1"/>
  <c r="N727" i="4"/>
  <c r="O727" i="4" s="1"/>
  <c r="N455" i="8"/>
  <c r="O455" i="8" s="1"/>
  <c r="N245" i="8"/>
  <c r="O245" i="8" s="1"/>
  <c r="N753" i="7"/>
  <c r="O753" i="7" s="1"/>
  <c r="N921" i="6"/>
  <c r="O921" i="6" s="1"/>
  <c r="N1828" i="6"/>
  <c r="O1828" i="6" s="1"/>
  <c r="N480" i="7"/>
  <c r="O480" i="7" s="1"/>
  <c r="AL49" i="42"/>
  <c r="AL52" i="42" s="1"/>
  <c r="AL54" i="42" s="1"/>
  <c r="I259" i="15"/>
  <c r="I113" i="16"/>
  <c r="I115" i="16" s="1"/>
  <c r="N757" i="4"/>
  <c r="O757" i="4" s="1"/>
  <c r="N297" i="8"/>
  <c r="M63" i="8"/>
  <c r="N365" i="5"/>
  <c r="O365" i="5" s="1"/>
  <c r="N777" i="6"/>
  <c r="O777" i="6" s="1"/>
  <c r="N733" i="7"/>
  <c r="O733" i="7" s="1"/>
  <c r="N509" i="7"/>
  <c r="O509" i="7" s="1"/>
  <c r="M88" i="7"/>
  <c r="N748" i="7"/>
  <c r="O748" i="7" s="1"/>
  <c r="N465" i="8"/>
  <c r="O465" i="8" s="1"/>
  <c r="N511" i="7"/>
  <c r="O511" i="7" s="1"/>
  <c r="N283" i="5"/>
  <c r="O283" i="5" s="1"/>
  <c r="N504" i="8"/>
  <c r="O504" i="8" s="1"/>
  <c r="N1190" i="6"/>
  <c r="O1190" i="6" s="1"/>
  <c r="M375" i="4"/>
  <c r="L75" i="4"/>
  <c r="M247" i="5"/>
  <c r="F444" i="34"/>
  <c r="F445" i="34" s="1"/>
  <c r="N493" i="8"/>
  <c r="M130" i="8"/>
  <c r="N17" i="27"/>
  <c r="O17" i="27" s="1"/>
  <c r="N440" i="5"/>
  <c r="O440" i="5" s="1"/>
  <c r="N430" i="5"/>
  <c r="O430" i="5" s="1"/>
  <c r="N629" i="7"/>
  <c r="O629" i="7" s="1"/>
  <c r="N407" i="5"/>
  <c r="O407" i="5" s="1"/>
  <c r="N1352" i="6"/>
  <c r="O1352" i="6" s="1"/>
  <c r="N377" i="5"/>
  <c r="O377" i="5" s="1"/>
  <c r="N507" i="8"/>
  <c r="O507" i="8" s="1"/>
  <c r="N341" i="5"/>
  <c r="O341" i="5" s="1"/>
  <c r="N556" i="4"/>
  <c r="O556" i="4" s="1"/>
  <c r="M1740" i="6"/>
  <c r="H115" i="4"/>
  <c r="I115" i="4" s="1"/>
  <c r="H100" i="42"/>
  <c r="I100" i="42" s="1"/>
  <c r="M604" i="4"/>
  <c r="M602" i="4"/>
  <c r="M603" i="4"/>
  <c r="L902" i="4"/>
  <c r="F11" i="12"/>
  <c r="D84" i="3" s="1"/>
  <c r="A86" i="8"/>
  <c r="A97" i="8" s="1"/>
  <c r="H94" i="8"/>
  <c r="H31" i="8" s="1"/>
  <c r="G219" i="9"/>
  <c r="H1082" i="6"/>
  <c r="J1081" i="6"/>
  <c r="X41" i="42"/>
  <c r="I41" i="42" s="1"/>
  <c r="H139" i="14"/>
  <c r="N20" i="14"/>
  <c r="H759" i="4" s="1"/>
  <c r="H134" i="14"/>
  <c r="N17" i="14"/>
  <c r="H744" i="4" s="1"/>
  <c r="I744" i="4" s="1"/>
  <c r="H198" i="14"/>
  <c r="I93" i="14" s="1"/>
  <c r="I218" i="14"/>
  <c r="I198" i="14" s="1"/>
  <c r="J91" i="14" s="1"/>
  <c r="G195" i="14"/>
  <c r="H90" i="14" s="1"/>
  <c r="H215" i="14"/>
  <c r="H195" i="14" s="1"/>
  <c r="I90" i="14" s="1"/>
  <c r="H199" i="14"/>
  <c r="I94" i="14" s="1"/>
  <c r="I219" i="14"/>
  <c r="G190" i="14"/>
  <c r="H85" i="14" s="1"/>
  <c r="H210" i="14"/>
  <c r="G115" i="14"/>
  <c r="H214" i="14"/>
  <c r="H194" i="14" s="1"/>
  <c r="I89" i="14" s="1"/>
  <c r="G194" i="14"/>
  <c r="H89" i="14" s="1"/>
  <c r="A246" i="3"/>
  <c r="P4" i="37"/>
  <c r="Q2" i="37" s="1"/>
  <c r="Q3" i="37"/>
  <c r="Q109" i="37" s="1"/>
  <c r="P108" i="37"/>
  <c r="P110" i="37" s="1"/>
  <c r="I81" i="37"/>
  <c r="I84" i="37" s="1"/>
  <c r="H98" i="37"/>
  <c r="H100" i="37" s="1"/>
  <c r="F108" i="37"/>
  <c r="F4" i="37"/>
  <c r="G2" i="37" s="1"/>
  <c r="M2037" i="6"/>
  <c r="K712" i="6"/>
  <c r="C169" i="6"/>
  <c r="L1066" i="6"/>
  <c r="M376" i="6"/>
  <c r="D115" i="42"/>
  <c r="M729" i="6"/>
  <c r="M734" i="6" s="1"/>
  <c r="H1075" i="6"/>
  <c r="I1075" i="6" s="1"/>
  <c r="J600" i="6"/>
  <c r="L1595" i="6"/>
  <c r="L478" i="6" s="1"/>
  <c r="AH114" i="11"/>
  <c r="AI114" i="11" s="1"/>
  <c r="AK114" i="11" s="1"/>
  <c r="AL114" i="11" s="1"/>
  <c r="AN114" i="11" s="1"/>
  <c r="F148" i="15"/>
  <c r="G148" i="15" s="1"/>
  <c r="G203" i="15"/>
  <c r="M1595" i="6"/>
  <c r="J727" i="34"/>
  <c r="H8" i="6"/>
  <c r="I8" i="6" s="1"/>
  <c r="H1771" i="6"/>
  <c r="I1771" i="6" s="1"/>
  <c r="C41" i="6"/>
  <c r="L1749" i="6"/>
  <c r="R108" i="42"/>
  <c r="S108" i="42" s="1"/>
  <c r="O121" i="40"/>
  <c r="O150" i="40" s="1"/>
  <c r="H19" i="5"/>
  <c r="I19" i="5" s="1"/>
  <c r="K150" i="5"/>
  <c r="K507" i="5" s="1"/>
  <c r="H96" i="11"/>
  <c r="J96" i="11" s="1"/>
  <c r="E901" i="4"/>
  <c r="E902" i="4"/>
  <c r="E522" i="5"/>
  <c r="I522" i="5" s="1"/>
  <c r="I161" i="5"/>
  <c r="H508" i="5"/>
  <c r="I508" i="5" s="1"/>
  <c r="H16" i="5"/>
  <c r="I16" i="5" s="1"/>
  <c r="H261" i="5"/>
  <c r="I261" i="5" s="1"/>
  <c r="Q105" i="42"/>
  <c r="Q109" i="42" s="1"/>
  <c r="J105" i="48"/>
  <c r="B166" i="6"/>
  <c r="B2074" i="6" s="1"/>
  <c r="B54" i="6"/>
  <c r="A31" i="13"/>
  <c r="A50" i="13" s="1"/>
  <c r="M1363" i="6"/>
  <c r="L434" i="6"/>
  <c r="K105" i="48"/>
  <c r="B383" i="6"/>
  <c r="B2078" i="6"/>
  <c r="D43" i="6"/>
  <c r="D32" i="6"/>
  <c r="D48" i="6" s="1"/>
  <c r="D2058" i="6"/>
  <c r="D2073" i="6"/>
  <c r="K103" i="48"/>
  <c r="K111" i="48"/>
  <c r="I117" i="42"/>
  <c r="D276" i="6"/>
  <c r="D1642" i="6"/>
  <c r="D2057" i="6"/>
  <c r="D1465" i="6"/>
  <c r="D1474" i="6" s="1"/>
  <c r="D508" i="6"/>
  <c r="H119" i="42" s="1"/>
  <c r="I119" i="42" s="1"/>
  <c r="M264" i="6"/>
  <c r="N1052" i="6"/>
  <c r="D1713" i="6"/>
  <c r="D2084" i="6"/>
  <c r="D735" i="6"/>
  <c r="D169" i="6"/>
  <c r="D120" i="6"/>
  <c r="K102" i="48"/>
  <c r="D813" i="6"/>
  <c r="D1375" i="6"/>
  <c r="D2047" i="6"/>
  <c r="C31" i="6"/>
  <c r="C47" i="6" s="1"/>
  <c r="C602" i="6"/>
  <c r="C121" i="42"/>
  <c r="D121" i="42" s="1"/>
  <c r="D1964" i="6"/>
  <c r="J108" i="48"/>
  <c r="D2077" i="6"/>
  <c r="D606" i="6"/>
  <c r="D1261" i="6"/>
  <c r="K107" i="48"/>
  <c r="D1206" i="6"/>
  <c r="D15" i="6"/>
  <c r="H116" i="42"/>
  <c r="I116" i="42" s="1"/>
  <c r="H16" i="6"/>
  <c r="I16" i="6" s="1"/>
  <c r="I634" i="6"/>
  <c r="I351" i="6"/>
  <c r="I686" i="6"/>
  <c r="H6" i="6"/>
  <c r="I6" i="6" s="1"/>
  <c r="I81" i="6"/>
  <c r="H600" i="6"/>
  <c r="I586" i="6"/>
  <c r="I352" i="6"/>
  <c r="R117" i="42"/>
  <c r="I379" i="6"/>
  <c r="R114" i="42"/>
  <c r="I218" i="6"/>
  <c r="I462" i="6"/>
  <c r="D67" i="3"/>
  <c r="I1118" i="7"/>
  <c r="D131" i="42"/>
  <c r="D661" i="7"/>
  <c r="S22" i="42"/>
  <c r="F28" i="48"/>
  <c r="I807" i="7"/>
  <c r="Q130" i="42"/>
  <c r="I224" i="7"/>
  <c r="H183" i="7"/>
  <c r="I183" i="7" s="1"/>
  <c r="I177" i="7"/>
  <c r="U8" i="42"/>
  <c r="F40" i="15" s="1"/>
  <c r="F9" i="15" s="1"/>
  <c r="G9" i="15" s="1"/>
  <c r="I676" i="7"/>
  <c r="H152" i="7"/>
  <c r="I152" i="7" s="1"/>
  <c r="I146" i="7"/>
  <c r="I106" i="7"/>
  <c r="E51" i="7"/>
  <c r="I433" i="7"/>
  <c r="D271" i="15"/>
  <c r="G259" i="15"/>
  <c r="C14" i="8"/>
  <c r="B7" i="16" s="1"/>
  <c r="B101" i="16" s="1"/>
  <c r="L88" i="16"/>
  <c r="O219" i="8"/>
  <c r="N277" i="8"/>
  <c r="M61" i="8"/>
  <c r="M62" i="8"/>
  <c r="N294" i="8"/>
  <c r="N292" i="45" s="1"/>
  <c r="M58" i="8"/>
  <c r="N257" i="8"/>
  <c r="N128" i="8"/>
  <c r="O485" i="8"/>
  <c r="N126" i="8"/>
  <c r="O461" i="8"/>
  <c r="AV29" i="42"/>
  <c r="B115" i="15"/>
  <c r="M324" i="8"/>
  <c r="M294" i="45" s="1"/>
  <c r="A548" i="8"/>
  <c r="C113" i="15"/>
  <c r="B577" i="8"/>
  <c r="AU10" i="42"/>
  <c r="D159" i="42"/>
  <c r="G70" i="17"/>
  <c r="D24" i="34"/>
  <c r="D26" i="34" s="1"/>
  <c r="D411" i="34" s="1"/>
  <c r="D414" i="34" s="1"/>
  <c r="D416" i="34" s="1"/>
  <c r="D270" i="34" s="1"/>
  <c r="H139" i="42"/>
  <c r="I139" i="42" s="1"/>
  <c r="D583" i="8"/>
  <c r="D14" i="8"/>
  <c r="C316" i="15"/>
  <c r="C576" i="8"/>
  <c r="B139" i="42"/>
  <c r="D139" i="42" s="1"/>
  <c r="C115" i="15"/>
  <c r="D160" i="42"/>
  <c r="D166" i="42" s="1"/>
  <c r="E574" i="34"/>
  <c r="E700" i="34" s="1"/>
  <c r="E701" i="34" s="1"/>
  <c r="E207" i="34" s="1"/>
  <c r="F208" i="34" s="1"/>
  <c r="AW29" i="42"/>
  <c r="M123" i="8"/>
  <c r="N444" i="8"/>
  <c r="M422" i="45"/>
  <c r="AK20" i="42"/>
  <c r="H245" i="15"/>
  <c r="H267" i="15" s="1"/>
  <c r="H105" i="16"/>
  <c r="H86" i="15"/>
  <c r="H326" i="34" s="1"/>
  <c r="I77" i="15"/>
  <c r="I321" i="34" s="1"/>
  <c r="AS44" i="42"/>
  <c r="AM45" i="42"/>
  <c r="J256" i="15"/>
  <c r="B98" i="17"/>
  <c r="B290" i="15"/>
  <c r="D459" i="34"/>
  <c r="D460" i="34" s="1"/>
  <c r="D157" i="34"/>
  <c r="D158" i="34" s="1"/>
  <c r="D161" i="34" s="1"/>
  <c r="D163" i="34" s="1"/>
  <c r="D565" i="34"/>
  <c r="D506" i="34"/>
  <c r="N218" i="8"/>
  <c r="K87" i="16"/>
  <c r="K90" i="16" s="1"/>
  <c r="K34" i="16" s="1"/>
  <c r="AT44" i="42" s="1"/>
  <c r="M57" i="8"/>
  <c r="G34" i="3"/>
  <c r="N314" i="8"/>
  <c r="M67" i="8"/>
  <c r="K744" i="34"/>
  <c r="F150" i="34"/>
  <c r="F459" i="34" s="1"/>
  <c r="F460" i="34" s="1"/>
  <c r="N328" i="8"/>
  <c r="M69" i="8"/>
  <c r="H113" i="34"/>
  <c r="H115" i="34" s="1"/>
  <c r="H116" i="34" s="1"/>
  <c r="D120" i="16"/>
  <c r="D77" i="3"/>
  <c r="D78" i="3" s="1"/>
  <c r="C147" i="15"/>
  <c r="E294" i="34"/>
  <c r="E526" i="34" s="1"/>
  <c r="E558" i="34"/>
  <c r="E378" i="34"/>
  <c r="E554" i="34"/>
  <c r="E289" i="34"/>
  <c r="E352" i="34" s="1"/>
  <c r="D329" i="15"/>
  <c r="C109" i="15"/>
  <c r="E570" i="34"/>
  <c r="E393" i="34"/>
  <c r="E510" i="34" s="1"/>
  <c r="H370" i="7"/>
  <c r="I370" i="7" s="1"/>
  <c r="I191" i="14"/>
  <c r="J86" i="14" s="1"/>
  <c r="I120" i="14"/>
  <c r="J211" i="14"/>
  <c r="D305" i="15"/>
  <c r="AX44" i="42"/>
  <c r="AX47" i="42" s="1"/>
  <c r="G39" i="10"/>
  <c r="G60" i="3"/>
  <c r="D75" i="13"/>
  <c r="D63" i="3" s="1"/>
  <c r="I90" i="34"/>
  <c r="H407" i="34"/>
  <c r="H7" i="34"/>
  <c r="I91" i="34"/>
  <c r="H8" i="34"/>
  <c r="I98" i="34"/>
  <c r="H15" i="34"/>
  <c r="D60" i="27"/>
  <c r="D68" i="27" s="1"/>
  <c r="D71" i="27" s="1"/>
  <c r="F205" i="34"/>
  <c r="D8" i="8"/>
  <c r="D145" i="8"/>
  <c r="C6" i="16"/>
  <c r="C100" i="16" s="1"/>
  <c r="D528" i="8"/>
  <c r="D335" i="8"/>
  <c r="B9" i="15"/>
  <c r="K83" i="48"/>
  <c r="D718" i="7"/>
  <c r="K90" i="48"/>
  <c r="D1142" i="7"/>
  <c r="C14" i="13"/>
  <c r="C51" i="13" s="1"/>
  <c r="S34" i="42" s="1"/>
  <c r="D34" i="42" s="1"/>
  <c r="D1112" i="7"/>
  <c r="D24" i="7"/>
  <c r="D35" i="7" s="1"/>
  <c r="D22" i="7"/>
  <c r="J87" i="48" s="1"/>
  <c r="C66" i="13"/>
  <c r="J86" i="48"/>
  <c r="D945" i="7"/>
  <c r="D953" i="7" s="1"/>
  <c r="D110" i="7"/>
  <c r="D1126" i="7" s="1"/>
  <c r="D811" i="7"/>
  <c r="G133" i="42"/>
  <c r="D596" i="7"/>
  <c r="C102" i="13"/>
  <c r="C12" i="13"/>
  <c r="C48" i="13" s="1"/>
  <c r="C191" i="15" s="1"/>
  <c r="R105" i="42"/>
  <c r="I105" i="42"/>
  <c r="D8" i="5"/>
  <c r="J246" i="4"/>
  <c r="J701" i="4"/>
  <c r="J703" i="4" s="1"/>
  <c r="J110" i="4"/>
  <c r="D48" i="3"/>
  <c r="J222" i="4"/>
  <c r="J195" i="4"/>
  <c r="J9" i="4"/>
  <c r="J300" i="4"/>
  <c r="E39" i="5"/>
  <c r="I39" i="5" s="1"/>
  <c r="H66" i="5"/>
  <c r="I66" i="5" s="1"/>
  <c r="J98" i="48"/>
  <c r="D274" i="5"/>
  <c r="G106" i="42"/>
  <c r="D497" i="5"/>
  <c r="D452" i="5"/>
  <c r="B68" i="5"/>
  <c r="D323" i="5"/>
  <c r="D68" i="5"/>
  <c r="D9" i="5"/>
  <c r="D27" i="5" s="1"/>
  <c r="K7" i="5"/>
  <c r="H18" i="5"/>
  <c r="I18" i="5" s="1"/>
  <c r="D390" i="5"/>
  <c r="H198" i="5"/>
  <c r="I198" i="5" s="1"/>
  <c r="H496" i="5"/>
  <c r="I496" i="5" s="1"/>
  <c r="H7" i="5"/>
  <c r="I7" i="5" s="1"/>
  <c r="F33" i="48"/>
  <c r="H505" i="5"/>
  <c r="I505" i="5" s="1"/>
  <c r="D102" i="3"/>
  <c r="D767" i="4"/>
  <c r="D864" i="4"/>
  <c r="D714" i="4"/>
  <c r="H98" i="42"/>
  <c r="D80" i="4"/>
  <c r="D82" i="4" s="1"/>
  <c r="D863" i="4"/>
  <c r="D9" i="4"/>
  <c r="D21" i="4"/>
  <c r="D31" i="4" s="1"/>
  <c r="D267" i="4"/>
  <c r="E688" i="34"/>
  <c r="E682" i="34" s="1"/>
  <c r="E683" i="34" s="1"/>
  <c r="E198" i="34" s="1"/>
  <c r="H585" i="4"/>
  <c r="I585" i="4" s="1"/>
  <c r="R98" i="42"/>
  <c r="H11" i="4"/>
  <c r="I11" i="4" s="1"/>
  <c r="F143" i="9"/>
  <c r="F219" i="9" s="1"/>
  <c r="F221" i="9" s="1"/>
  <c r="AA118" i="9"/>
  <c r="G9" i="12"/>
  <c r="J343" i="4" s="1"/>
  <c r="J342" i="4"/>
  <c r="D64" i="6"/>
  <c r="C61" i="3" s="1"/>
  <c r="L28" i="12"/>
  <c r="M26" i="12"/>
  <c r="J57" i="13"/>
  <c r="K199" i="15" s="1"/>
  <c r="K144" i="15" s="1"/>
  <c r="M419" i="4"/>
  <c r="M92" i="4" s="1"/>
  <c r="M43" i="4" s="1"/>
  <c r="G7" i="12"/>
  <c r="J341" i="4" s="1"/>
  <c r="H59" i="4"/>
  <c r="I59" i="4" s="1"/>
  <c r="H346" i="4"/>
  <c r="I346" i="4" s="1"/>
  <c r="G4" i="12"/>
  <c r="J338" i="4" s="1"/>
  <c r="G5" i="12"/>
  <c r="J339" i="4" s="1"/>
  <c r="G6" i="12"/>
  <c r="J340" i="4" s="1"/>
  <c r="D62" i="3"/>
  <c r="E368" i="7"/>
  <c r="E521" i="5"/>
  <c r="I521" i="5" s="1"/>
  <c r="E38" i="5"/>
  <c r="I38" i="5" s="1"/>
  <c r="E79" i="5"/>
  <c r="G119" i="13"/>
  <c r="H203" i="15"/>
  <c r="H148" i="15" s="1"/>
  <c r="V43" i="42"/>
  <c r="G43" i="42" s="1"/>
  <c r="I119" i="13"/>
  <c r="J203" i="15"/>
  <c r="J148" i="15" s="1"/>
  <c r="X43" i="42"/>
  <c r="I43" i="42" s="1"/>
  <c r="Z43" i="42"/>
  <c r="K43" i="42" s="1"/>
  <c r="K119" i="13"/>
  <c r="L203" i="15"/>
  <c r="L148" i="15" s="1"/>
  <c r="K203" i="15"/>
  <c r="K148" i="15" s="1"/>
  <c r="J119" i="13"/>
  <c r="Y43" i="42"/>
  <c r="J43" i="42" s="1"/>
  <c r="G142" i="22"/>
  <c r="CM73" i="22"/>
  <c r="BZ73" i="22"/>
  <c r="CM115" i="22"/>
  <c r="BZ115" i="22"/>
  <c r="N90" i="20"/>
  <c r="P89" i="20" s="1"/>
  <c r="T89" i="20" s="1"/>
  <c r="BY26" i="22"/>
  <c r="D82" i="3"/>
  <c r="D118" i="17"/>
  <c r="D77" i="17"/>
  <c r="D79" i="17" s="1"/>
  <c r="D120" i="17"/>
  <c r="BX9" i="21"/>
  <c r="CK9" i="21"/>
  <c r="D85" i="16"/>
  <c r="E343" i="8"/>
  <c r="E344" i="8"/>
  <c r="E93" i="8" s="1"/>
  <c r="D49" i="7"/>
  <c r="C37" i="3" s="1"/>
  <c r="CT118" i="9"/>
  <c r="H39" i="45"/>
  <c r="H45" i="45" s="1"/>
  <c r="H46" i="45" s="1"/>
  <c r="H47" i="45" s="1"/>
  <c r="F225" i="9"/>
  <c r="E1153" i="6"/>
  <c r="I1153" i="6" s="1"/>
  <c r="CT146" i="9"/>
  <c r="H40" i="45"/>
  <c r="M67" i="37"/>
  <c r="M76" i="37" s="1"/>
  <c r="M78" i="37" s="1"/>
  <c r="F469" i="9"/>
  <c r="L7" i="37"/>
  <c r="L112" i="37" s="1"/>
  <c r="L117" i="37" s="1"/>
  <c r="E288" i="6"/>
  <c r="A7" i="16"/>
  <c r="AF18" i="42" s="1"/>
  <c r="B104" i="15"/>
  <c r="B109" i="15" s="1"/>
  <c r="D334" i="34" s="1"/>
  <c r="E454" i="34"/>
  <c r="C2060" i="6"/>
  <c r="C523" i="6"/>
  <c r="A2082" i="6"/>
  <c r="A606" i="6"/>
  <c r="A49" i="6"/>
  <c r="A19" i="6"/>
  <c r="A735" i="6"/>
  <c r="A2084" i="6"/>
  <c r="B31" i="6"/>
  <c r="B602" i="6"/>
  <c r="C68" i="13"/>
  <c r="C124" i="13" s="1"/>
  <c r="S33" i="42"/>
  <c r="D33" i="42" s="1"/>
  <c r="C193" i="15"/>
  <c r="J725" i="34"/>
  <c r="E19" i="48"/>
  <c r="K270" i="6"/>
  <c r="K277" i="6" s="1"/>
  <c r="M1227" i="6"/>
  <c r="M366" i="6" s="1"/>
  <c r="D117" i="42"/>
  <c r="L1770" i="6"/>
  <c r="L30" i="45"/>
  <c r="G17" i="48"/>
  <c r="O68" i="13"/>
  <c r="O124" i="13" s="1"/>
  <c r="P193" i="15"/>
  <c r="AD33" i="42"/>
  <c r="O33" i="42" s="1"/>
  <c r="AC33" i="42"/>
  <c r="N33" i="42" s="1"/>
  <c r="O193" i="15"/>
  <c r="N68" i="13"/>
  <c r="N124" i="13" s="1"/>
  <c r="C43" i="6"/>
  <c r="AB33" i="42"/>
  <c r="M33" i="42" s="1"/>
  <c r="N193" i="15"/>
  <c r="M68" i="13"/>
  <c r="M124" i="13" s="1"/>
  <c r="M115" i="42"/>
  <c r="K68" i="13"/>
  <c r="K124" i="13" s="1"/>
  <c r="L193" i="15"/>
  <c r="Z33" i="42"/>
  <c r="K33" i="42" s="1"/>
  <c r="M121" i="42"/>
  <c r="A2080" i="6"/>
  <c r="A512" i="6"/>
  <c r="B169" i="6"/>
  <c r="D942" i="6"/>
  <c r="M114" i="42"/>
  <c r="C383" i="6"/>
  <c r="C2078" i="6"/>
  <c r="K104" i="48"/>
  <c r="E158" i="8"/>
  <c r="E31" i="8" s="1"/>
  <c r="P20" i="20"/>
  <c r="P23" i="20" s="1"/>
  <c r="E523" i="5"/>
  <c r="I523" i="5" s="1"/>
  <c r="E40" i="5"/>
  <c r="I40" i="5" s="1"/>
  <c r="E165" i="5"/>
  <c r="E287" i="6"/>
  <c r="I287" i="6" s="1"/>
  <c r="E176" i="6"/>
  <c r="E950" i="6"/>
  <c r="E1007" i="7"/>
  <c r="J55" i="13"/>
  <c r="J72" i="13"/>
  <c r="L95" i="13"/>
  <c r="K97" i="13"/>
  <c r="F565" i="34"/>
  <c r="F506" i="34"/>
  <c r="E495" i="6"/>
  <c r="E1640" i="6"/>
  <c r="E422" i="4"/>
  <c r="H142" i="4"/>
  <c r="I142" i="4" s="1"/>
  <c r="F116" i="40"/>
  <c r="AD221" i="9"/>
  <c r="F75" i="13" s="1"/>
  <c r="F202" i="15" s="1"/>
  <c r="F147" i="15" s="1"/>
  <c r="E578" i="34"/>
  <c r="E672" i="34" s="1"/>
  <c r="E756" i="34" s="1"/>
  <c r="E788" i="34" s="1"/>
  <c r="AC68" i="42"/>
  <c r="P31" i="60" s="1"/>
  <c r="P5" i="60"/>
  <c r="V68" i="42"/>
  <c r="I31" i="60" s="1"/>
  <c r="I5" i="60"/>
  <c r="T68" i="42"/>
  <c r="E31" i="60" s="1"/>
  <c r="E5" i="60"/>
  <c r="X68" i="42"/>
  <c r="K31" i="60" s="1"/>
  <c r="K5" i="60"/>
  <c r="Z68" i="42"/>
  <c r="M31" i="60" s="1"/>
  <c r="M5" i="60"/>
  <c r="D98" i="42"/>
  <c r="C141" i="4"/>
  <c r="C862" i="4" s="1"/>
  <c r="W68" i="42"/>
  <c r="J31" i="60" s="1"/>
  <c r="J5" i="60"/>
  <c r="AB68" i="42"/>
  <c r="O31" i="60" s="1"/>
  <c r="O5" i="60"/>
  <c r="U68" i="42"/>
  <c r="G31" i="60" s="1"/>
  <c r="G5" i="60"/>
  <c r="Y68" i="42"/>
  <c r="L31" i="60" s="1"/>
  <c r="L5" i="60"/>
  <c r="AA68" i="42"/>
  <c r="N31" i="60" s="1"/>
  <c r="N5" i="60"/>
  <c r="G77" i="11"/>
  <c r="F34" i="60"/>
  <c r="F8" i="60"/>
  <c r="F19" i="60"/>
  <c r="F45" i="60"/>
  <c r="H33" i="60"/>
  <c r="J583" i="34"/>
  <c r="J596" i="34"/>
  <c r="K312" i="34"/>
  <c r="J656" i="34"/>
  <c r="J542" i="34"/>
  <c r="J617" i="34"/>
  <c r="K595" i="34"/>
  <c r="L595" i="34" s="1"/>
  <c r="L596" i="34" s="1"/>
  <c r="K13" i="34"/>
  <c r="L54" i="34"/>
  <c r="J295" i="34"/>
  <c r="J527" i="34" s="1"/>
  <c r="J543" i="34"/>
  <c r="K313" i="34"/>
  <c r="J657" i="34"/>
  <c r="O593" i="34"/>
  <c r="P593" i="34" s="1"/>
  <c r="O594" i="34"/>
  <c r="I583" i="34"/>
  <c r="I596" i="34"/>
  <c r="H608" i="34"/>
  <c r="H581" i="34"/>
  <c r="H584" i="34" s="1"/>
  <c r="J605" i="34"/>
  <c r="G581" i="34"/>
  <c r="G584" i="34" s="1"/>
  <c r="G608" i="34"/>
  <c r="G613" i="34" s="1"/>
  <c r="G244" i="34" s="1"/>
  <c r="F584" i="34"/>
  <c r="I620" i="34"/>
  <c r="M619" i="34"/>
  <c r="I608" i="34"/>
  <c r="I581" i="34"/>
  <c r="J706" i="34"/>
  <c r="I707" i="34"/>
  <c r="I212" i="34" s="1"/>
  <c r="I38" i="34"/>
  <c r="J80" i="34"/>
  <c r="M370" i="8"/>
  <c r="M108" i="8" s="1"/>
  <c r="N359" i="8"/>
  <c r="H824" i="34"/>
  <c r="H794" i="34"/>
  <c r="H800" i="34" s="1"/>
  <c r="H814" i="34"/>
  <c r="H258" i="3" s="1"/>
  <c r="J394" i="34"/>
  <c r="BB11" i="42"/>
  <c r="J105" i="15" s="1"/>
  <c r="I17" i="34"/>
  <c r="J100" i="34"/>
  <c r="J92" i="34"/>
  <c r="I9" i="34"/>
  <c r="M1110" i="7"/>
  <c r="M417" i="7"/>
  <c r="M423" i="7" s="1"/>
  <c r="N1105" i="7"/>
  <c r="I73" i="34"/>
  <c r="H31" i="34"/>
  <c r="CL55" i="22"/>
  <c r="BY27" i="22"/>
  <c r="BZ27" i="22" s="1"/>
  <c r="BX60" i="22"/>
  <c r="CK60" i="22"/>
  <c r="CM80" i="22"/>
  <c r="BZ80" i="22"/>
  <c r="F155" i="22"/>
  <c r="F158" i="22" s="1"/>
  <c r="C44" i="17"/>
  <c r="BY78" i="22"/>
  <c r="CL78" i="22"/>
  <c r="BZ75" i="22"/>
  <c r="CM75" i="22"/>
  <c r="C80" i="3"/>
  <c r="CL36" i="22"/>
  <c r="BY36" i="22"/>
  <c r="CM61" i="22"/>
  <c r="BZ61" i="22"/>
  <c r="BZ65" i="22"/>
  <c r="CM65" i="22"/>
  <c r="CM15" i="22"/>
  <c r="BZ15" i="22"/>
  <c r="CK8" i="22"/>
  <c r="BX8" i="22"/>
  <c r="BX10" i="22"/>
  <c r="CK10" i="22"/>
  <c r="CJ142" i="22"/>
  <c r="G699" i="34" s="1"/>
  <c r="CL9" i="22"/>
  <c r="BY9" i="22"/>
  <c r="AH54" i="42"/>
  <c r="BZ36" i="21"/>
  <c r="CM36" i="21"/>
  <c r="BX35" i="21"/>
  <c r="CK35" i="21"/>
  <c r="O775" i="6"/>
  <c r="L658" i="6"/>
  <c r="H660" i="34"/>
  <c r="G666" i="34"/>
  <c r="K148" i="8"/>
  <c r="I25" i="17"/>
  <c r="I10" i="17" s="1"/>
  <c r="I25" i="16"/>
  <c r="I10" i="16" s="1"/>
  <c r="K20" i="8"/>
  <c r="K84" i="8"/>
  <c r="N935" i="6"/>
  <c r="M160" i="6"/>
  <c r="G29" i="34"/>
  <c r="H153" i="34"/>
  <c r="K66" i="5"/>
  <c r="K68" i="5" s="1"/>
  <c r="J507" i="5"/>
  <c r="M252" i="15"/>
  <c r="N18" i="16"/>
  <c r="AP41" i="42"/>
  <c r="M121" i="16"/>
  <c r="H108" i="1"/>
  <c r="H119" i="1" s="1"/>
  <c r="I101" i="1"/>
  <c r="J97" i="34"/>
  <c r="I14" i="34"/>
  <c r="AA5" i="54"/>
  <c r="Z11" i="54"/>
  <c r="Z18" i="54" s="1"/>
  <c r="Z20" i="54" s="1"/>
  <c r="M330" i="8"/>
  <c r="L336" i="8"/>
  <c r="L78" i="8"/>
  <c r="M522" i="8"/>
  <c r="L529" i="8"/>
  <c r="L141" i="8"/>
  <c r="L565" i="8"/>
  <c r="L70" i="20"/>
  <c r="I78" i="3"/>
  <c r="J77" i="11"/>
  <c r="H77" i="11"/>
  <c r="K77" i="11"/>
  <c r="D63" i="6"/>
  <c r="C47" i="3" s="1"/>
  <c r="L809" i="6"/>
  <c r="L115" i="6" s="1"/>
  <c r="P157" i="10"/>
  <c r="O90" i="11" s="1"/>
  <c r="P90" i="11" s="1"/>
  <c r="Q90" i="11" s="1"/>
  <c r="S90" i="11" s="1"/>
  <c r="T90" i="11" s="1"/>
  <c r="Q3" i="10"/>
  <c r="Q122" i="10" s="1"/>
  <c r="K809" i="6"/>
  <c r="K115" i="6" s="1"/>
  <c r="T157" i="10"/>
  <c r="V157" i="10" s="1"/>
  <c r="U90" i="11" s="1"/>
  <c r="H34" i="4"/>
  <c r="I34" i="4" s="1"/>
  <c r="M825" i="4"/>
  <c r="C18" i="4"/>
  <c r="C28" i="4" s="1"/>
  <c r="J261" i="5"/>
  <c r="J263" i="5" s="1"/>
  <c r="J274" i="5" s="1"/>
  <c r="M290" i="4"/>
  <c r="B157" i="42"/>
  <c r="E157" i="42" s="1"/>
  <c r="C50" i="15"/>
  <c r="S77" i="42"/>
  <c r="C41" i="60" s="1"/>
  <c r="C23" i="7"/>
  <c r="D240" i="7"/>
  <c r="A15" i="7"/>
  <c r="D8" i="4"/>
  <c r="G98" i="42"/>
  <c r="H8" i="4"/>
  <c r="I8" i="4" s="1"/>
  <c r="Q98" i="42"/>
  <c r="M463" i="7"/>
  <c r="L75" i="7"/>
  <c r="BZ74" i="22"/>
  <c r="CM74" i="22"/>
  <c r="BX84" i="22"/>
  <c r="CK84" i="22"/>
  <c r="BZ70" i="22"/>
  <c r="CM70" i="22"/>
  <c r="CB13" i="22"/>
  <c r="CO13" i="22"/>
  <c r="CL11" i="22"/>
  <c r="BY11" i="22"/>
  <c r="BZ58" i="22"/>
  <c r="CM58" i="22"/>
  <c r="CM17" i="22"/>
  <c r="BZ17" i="22"/>
  <c r="BX7" i="22"/>
  <c r="CK7" i="22"/>
  <c r="CL100" i="22"/>
  <c r="BY100" i="22"/>
  <c r="BX79" i="22"/>
  <c r="CK79" i="22"/>
  <c r="CM14" i="22"/>
  <c r="BZ14" i="22"/>
  <c r="BX6" i="22"/>
  <c r="CK6" i="22"/>
  <c r="BY47" i="22"/>
  <c r="CL47" i="22"/>
  <c r="BX104" i="22"/>
  <c r="CK104" i="22"/>
  <c r="CK12" i="22"/>
  <c r="BX12" i="22"/>
  <c r="CA30" i="22"/>
  <c r="CN30" i="22"/>
  <c r="CL42" i="22"/>
  <c r="BY42" i="22"/>
  <c r="BZ16" i="22"/>
  <c r="CM16" i="22"/>
  <c r="CL76" i="22"/>
  <c r="BY76" i="22"/>
  <c r="BX77" i="22"/>
  <c r="CK77" i="22"/>
  <c r="BY52" i="22"/>
  <c r="CL52" i="22"/>
  <c r="BY128" i="22"/>
  <c r="CL128" i="22"/>
  <c r="BY97" i="22"/>
  <c r="CL97" i="22"/>
  <c r="BY122" i="22"/>
  <c r="CL122" i="22"/>
  <c r="E221" i="9"/>
  <c r="E224" i="9" s="1"/>
  <c r="E226" i="9" s="1"/>
  <c r="R221" i="9"/>
  <c r="U221" i="9"/>
  <c r="X221" i="9"/>
  <c r="K118" i="4"/>
  <c r="A28" i="4"/>
  <c r="K459" i="4"/>
  <c r="L469" i="4"/>
  <c r="M553" i="4"/>
  <c r="L125" i="4"/>
  <c r="J871" i="4"/>
  <c r="A1145" i="7"/>
  <c r="P5" i="26"/>
  <c r="O6" i="26"/>
  <c r="N11" i="26"/>
  <c r="M10" i="26"/>
  <c r="T17" i="42" s="1"/>
  <c r="N12" i="26"/>
  <c r="L70" i="4"/>
  <c r="N273" i="4"/>
  <c r="N262" i="4"/>
  <c r="J142" i="4"/>
  <c r="C132" i="42"/>
  <c r="C1146" i="7"/>
  <c r="C363" i="7"/>
  <c r="C1131" i="7" s="1"/>
  <c r="A1130" i="7"/>
  <c r="A307" i="7"/>
  <c r="N106" i="26"/>
  <c r="F25" i="48"/>
  <c r="H58" i="48" s="1"/>
  <c r="K210" i="15"/>
  <c r="K155" i="15" s="1"/>
  <c r="Y42" i="42"/>
  <c r="J42" i="42" s="1"/>
  <c r="J125" i="13"/>
  <c r="K76" i="13"/>
  <c r="M818" i="7"/>
  <c r="M304" i="7" s="1"/>
  <c r="M51" i="7" s="1"/>
  <c r="K59" i="3" s="1"/>
  <c r="J152" i="5"/>
  <c r="J479" i="5" s="1"/>
  <c r="Q112" i="42"/>
  <c r="I141" i="48"/>
  <c r="N789" i="4"/>
  <c r="O789" i="4" s="1"/>
  <c r="M742" i="7"/>
  <c r="L272" i="7"/>
  <c r="K505" i="5"/>
  <c r="H1372" i="6"/>
  <c r="CI73" i="21"/>
  <c r="CI74" i="21" s="1"/>
  <c r="BY64" i="21"/>
  <c r="CL64" i="21"/>
  <c r="BY41" i="22"/>
  <c r="CL41" i="22"/>
  <c r="CA39" i="22"/>
  <c r="CN39" i="22"/>
  <c r="BY43" i="22"/>
  <c r="CL43" i="22"/>
  <c r="BY37" i="22"/>
  <c r="CL37" i="22"/>
  <c r="CL96" i="22"/>
  <c r="BY96" i="22"/>
  <c r="BY59" i="22"/>
  <c r="CL59" i="22"/>
  <c r="CL23" i="22"/>
  <c r="BY23" i="22"/>
  <c r="CA31" i="22"/>
  <c r="CN31" i="22"/>
  <c r="BY114" i="22"/>
  <c r="CL114" i="22"/>
  <c r="BY101" i="22"/>
  <c r="CL101" i="22"/>
  <c r="BY123" i="22"/>
  <c r="CL123" i="22"/>
  <c r="BY95" i="22"/>
  <c r="CL95" i="22"/>
  <c r="CL108" i="22"/>
  <c r="BY108" i="22"/>
  <c r="CA40" i="22"/>
  <c r="CN40" i="22"/>
  <c r="BY127" i="22"/>
  <c r="CL127" i="22"/>
  <c r="BY53" i="22"/>
  <c r="CL53" i="22"/>
  <c r="CL62" i="22"/>
  <c r="BY62" i="22"/>
  <c r="BZ112" i="22"/>
  <c r="CM112" i="22"/>
  <c r="CL72" i="22"/>
  <c r="BY72" i="22"/>
  <c r="CL33" i="22"/>
  <c r="BY33" i="22"/>
  <c r="CL19" i="22"/>
  <c r="BY19" i="22"/>
  <c r="CB28" i="22"/>
  <c r="CO28" i="22"/>
  <c r="CA46" i="22"/>
  <c r="CN46" i="22"/>
  <c r="CM55" i="22"/>
  <c r="BZ55" i="22"/>
  <c r="CL20" i="22"/>
  <c r="BY20" i="22"/>
  <c r="CB29" i="22"/>
  <c r="CO29" i="22"/>
  <c r="CL22" i="22"/>
  <c r="BY22" i="22"/>
  <c r="CM109" i="22"/>
  <c r="BZ109" i="22"/>
  <c r="CL32" i="22"/>
  <c r="BY32" i="22"/>
  <c r="BZ26" i="22"/>
  <c r="CM26" i="22"/>
  <c r="CL21" i="22"/>
  <c r="BY21" i="22"/>
  <c r="CL54" i="22"/>
  <c r="BY54" i="22"/>
  <c r="CL107" i="22"/>
  <c r="BY107" i="22"/>
  <c r="CL71" i="22"/>
  <c r="BY71" i="22"/>
  <c r="BY69" i="22"/>
  <c r="CL69" i="22"/>
  <c r="CA44" i="22"/>
  <c r="CN44" i="22"/>
  <c r="BY51" i="22"/>
  <c r="CL51" i="22"/>
  <c r="CA45" i="22"/>
  <c r="CN45" i="22"/>
  <c r="CL66" i="22"/>
  <c r="BY66" i="22"/>
  <c r="CL48" i="22"/>
  <c r="BY48" i="22"/>
  <c r="CL140" i="22"/>
  <c r="BY140" i="22"/>
  <c r="G393" i="9"/>
  <c r="I157" i="48"/>
  <c r="J676" i="7"/>
  <c r="J705" i="7" s="1"/>
  <c r="J707" i="7" s="1"/>
  <c r="J718" i="7" s="1"/>
  <c r="H137" i="15"/>
  <c r="H161" i="15" s="1"/>
  <c r="D30" i="7"/>
  <c r="A1144" i="7"/>
  <c r="H238" i="7"/>
  <c r="J222" i="7"/>
  <c r="J224" i="7" s="1"/>
  <c r="J10" i="7" s="1"/>
  <c r="J32" i="7" s="1"/>
  <c r="J618" i="7"/>
  <c r="L836" i="7"/>
  <c r="M836" i="7" s="1"/>
  <c r="D294" i="7"/>
  <c r="D296" i="7" s="1"/>
  <c r="C211" i="48"/>
  <c r="A1128" i="7"/>
  <c r="K85" i="48"/>
  <c r="I129" i="42"/>
  <c r="Z143" i="9"/>
  <c r="Z219" i="9" s="1"/>
  <c r="C165" i="7"/>
  <c r="N56" i="17"/>
  <c r="N644" i="7"/>
  <c r="O644" i="7" s="1"/>
  <c r="M77" i="7"/>
  <c r="S130" i="42"/>
  <c r="I150" i="48"/>
  <c r="I140" i="48"/>
  <c r="I154" i="48"/>
  <c r="J178" i="7"/>
  <c r="J183" i="7" s="1"/>
  <c r="J8" i="7" s="1"/>
  <c r="M612" i="7"/>
  <c r="M178" i="7" s="1"/>
  <c r="I151" i="48"/>
  <c r="K178" i="7"/>
  <c r="I138" i="48"/>
  <c r="I149" i="48"/>
  <c r="I137" i="48"/>
  <c r="I134" i="48"/>
  <c r="I156" i="48"/>
  <c r="I153" i="48"/>
  <c r="H10" i="7"/>
  <c r="I10" i="7" s="1"/>
  <c r="I167" i="48"/>
  <c r="I158" i="48"/>
  <c r="I135" i="48"/>
  <c r="I139" i="48"/>
  <c r="H40" i="7"/>
  <c r="I40" i="7" s="1"/>
  <c r="I136" i="48"/>
  <c r="I148" i="48"/>
  <c r="I143" i="48"/>
  <c r="C15" i="7"/>
  <c r="B8" i="13" s="1"/>
  <c r="C1130" i="7"/>
  <c r="C307" i="7"/>
  <c r="D1141" i="7"/>
  <c r="O65" i="15"/>
  <c r="O96" i="15" s="1"/>
  <c r="M65" i="17"/>
  <c r="M518" i="7"/>
  <c r="M95" i="7" s="1"/>
  <c r="C1145" i="7"/>
  <c r="B134" i="42"/>
  <c r="L734" i="7"/>
  <c r="M734" i="7" s="1"/>
  <c r="C35" i="7"/>
  <c r="M133" i="42"/>
  <c r="I133" i="48"/>
  <c r="I159" i="48"/>
  <c r="I152" i="48"/>
  <c r="I147" i="48"/>
  <c r="G103" i="3"/>
  <c r="I145" i="48"/>
  <c r="I142" i="48"/>
  <c r="I146" i="48"/>
  <c r="I155" i="48"/>
  <c r="D23" i="7"/>
  <c r="H132" i="42"/>
  <c r="I132" i="42" s="1"/>
  <c r="D438" i="7"/>
  <c r="D31" i="7"/>
  <c r="H133" i="42"/>
  <c r="I133" i="42" s="1"/>
  <c r="K342" i="7"/>
  <c r="K362" i="7" s="1"/>
  <c r="K40" i="7" s="1"/>
  <c r="H13" i="13" s="1"/>
  <c r="H49" i="13" s="1"/>
  <c r="L885" i="7"/>
  <c r="K944" i="7"/>
  <c r="K1157" i="7" s="1"/>
  <c r="K316" i="7"/>
  <c r="B296" i="7"/>
  <c r="B1130" i="7" s="1"/>
  <c r="O95" i="16"/>
  <c r="B1146" i="7"/>
  <c r="B107" i="13"/>
  <c r="B64" i="13" s="1"/>
  <c r="B9" i="3" s="1"/>
  <c r="B10" i="3" s="1"/>
  <c r="O58" i="16"/>
  <c r="O70" i="16" s="1"/>
  <c r="E599" i="34"/>
  <c r="E601" i="34" s="1"/>
  <c r="E242" i="34" s="1"/>
  <c r="D15" i="7"/>
  <c r="M735" i="7"/>
  <c r="L265" i="7"/>
  <c r="D359" i="7"/>
  <c r="D422" i="7"/>
  <c r="M132" i="42"/>
  <c r="L616" i="7"/>
  <c r="M616" i="7" s="1"/>
  <c r="N520" i="7"/>
  <c r="N97" i="7" s="1"/>
  <c r="M131" i="42"/>
  <c r="J1153" i="7"/>
  <c r="H5" i="3" s="1"/>
  <c r="L280" i="7"/>
  <c r="K336" i="7"/>
  <c r="K181" i="7"/>
  <c r="K737" i="7"/>
  <c r="Q18" i="26"/>
  <c r="M761" i="7"/>
  <c r="C1144" i="7"/>
  <c r="C240" i="7"/>
  <c r="N581" i="7"/>
  <c r="M584" i="7"/>
  <c r="M1154" i="7" s="1"/>
  <c r="M150" i="7"/>
  <c r="M153" i="7" s="1"/>
  <c r="M39" i="7" s="1"/>
  <c r="K66" i="13" s="1"/>
  <c r="J122" i="13"/>
  <c r="Y31" i="42"/>
  <c r="J31" i="42" s="1"/>
  <c r="K214" i="15"/>
  <c r="K159" i="15" s="1"/>
  <c r="L232" i="7"/>
  <c r="L233" i="7" s="1"/>
  <c r="C1147" i="7"/>
  <c r="Q16" i="26"/>
  <c r="M84" i="17"/>
  <c r="L190" i="7"/>
  <c r="D60" i="48"/>
  <c r="D61" i="48" s="1"/>
  <c r="J238" i="7"/>
  <c r="J240" i="7" s="1"/>
  <c r="I95" i="16"/>
  <c r="O467" i="7"/>
  <c r="N77" i="7"/>
  <c r="N95" i="16"/>
  <c r="N84" i="17"/>
  <c r="O286" i="15"/>
  <c r="I735" i="34"/>
  <c r="J69" i="7"/>
  <c r="J108" i="7" s="1"/>
  <c r="J110" i="7" s="1"/>
  <c r="K75" i="17"/>
  <c r="N804" i="7"/>
  <c r="M290" i="7"/>
  <c r="M1055" i="7"/>
  <c r="J736" i="34"/>
  <c r="L406" i="7"/>
  <c r="K289" i="7"/>
  <c r="L801" i="7"/>
  <c r="L277" i="7"/>
  <c r="Q17" i="26"/>
  <c r="M760" i="7"/>
  <c r="J84" i="48"/>
  <c r="K106" i="7"/>
  <c r="K19" i="7" s="1"/>
  <c r="K65" i="17"/>
  <c r="L637" i="7"/>
  <c r="K189" i="7"/>
  <c r="K942" i="7"/>
  <c r="B1147" i="7"/>
  <c r="N65" i="17"/>
  <c r="K93" i="17"/>
  <c r="L86" i="7"/>
  <c r="M504" i="7"/>
  <c r="L93" i="7"/>
  <c r="M516" i="7"/>
  <c r="M762" i="7"/>
  <c r="L278" i="7"/>
  <c r="F60" i="48"/>
  <c r="F61" i="48" s="1"/>
  <c r="F51" i="48" s="1"/>
  <c r="J735" i="34"/>
  <c r="N93" i="17"/>
  <c r="K345" i="7"/>
  <c r="M28" i="20"/>
  <c r="M45" i="20" s="1"/>
  <c r="K56" i="17"/>
  <c r="AX88" i="9"/>
  <c r="BH3" i="9"/>
  <c r="AN174" i="9"/>
  <c r="AN219" i="9" s="1"/>
  <c r="AN221" i="9" s="1"/>
  <c r="AS88" i="9"/>
  <c r="AS174" i="9" s="1"/>
  <c r="BC3" i="9"/>
  <c r="CI150" i="9"/>
  <c r="CV150" i="9"/>
  <c r="G131" i="10"/>
  <c r="J169" i="45"/>
  <c r="J170" i="45" s="1"/>
  <c r="K168" i="45"/>
  <c r="K169" i="45" s="1"/>
  <c r="K170" i="45" s="1"/>
  <c r="AV30" i="37"/>
  <c r="AV34" i="37"/>
  <c r="AV33" i="37"/>
  <c r="AV29" i="37"/>
  <c r="N62" i="37"/>
  <c r="N80" i="37" s="1"/>
  <c r="AV105" i="37"/>
  <c r="AV108" i="37" s="1"/>
  <c r="AV20" i="37"/>
  <c r="N116" i="37"/>
  <c r="O12" i="37"/>
  <c r="Q13" i="37"/>
  <c r="O17" i="37"/>
  <c r="N115" i="37"/>
  <c r="F83" i="14"/>
  <c r="E105" i="14"/>
  <c r="F188" i="14"/>
  <c r="F105" i="14" s="1"/>
  <c r="AK26" i="11"/>
  <c r="AL26" i="11" s="1"/>
  <c r="AN26" i="11" s="1"/>
  <c r="M488" i="8"/>
  <c r="L129" i="8"/>
  <c r="K618" i="7"/>
  <c r="N76" i="7"/>
  <c r="O466" i="7"/>
  <c r="N963" i="7"/>
  <c r="M321" i="7"/>
  <c r="M965" i="7"/>
  <c r="N798" i="7"/>
  <c r="M286" i="7"/>
  <c r="O1054" i="7"/>
  <c r="O487" i="7"/>
  <c r="N696" i="7"/>
  <c r="M232" i="7"/>
  <c r="M233" i="7" s="1"/>
  <c r="O796" i="7"/>
  <c r="N284" i="7"/>
  <c r="I81" i="16"/>
  <c r="K355" i="7"/>
  <c r="I131" i="42"/>
  <c r="M75" i="17"/>
  <c r="K339" i="7"/>
  <c r="K344" i="7"/>
  <c r="K676" i="7"/>
  <c r="K705" i="7" s="1"/>
  <c r="K707" i="7" s="1"/>
  <c r="K718" i="7" s="1"/>
  <c r="L529" i="7"/>
  <c r="O28" i="20"/>
  <c r="O45" i="20" s="1"/>
  <c r="M56" i="17"/>
  <c r="A425" i="7"/>
  <c r="A1147" i="7"/>
  <c r="K222" i="7"/>
  <c r="K224" i="7" s="1"/>
  <c r="K10" i="7" s="1"/>
  <c r="O506" i="7"/>
  <c r="N9" i="27"/>
  <c r="M20" i="27"/>
  <c r="B2060" i="6"/>
  <c r="B523" i="6"/>
  <c r="F68" i="13"/>
  <c r="F124" i="13" s="1"/>
  <c r="U33" i="42"/>
  <c r="F33" i="42" s="1"/>
  <c r="F193" i="15"/>
  <c r="G193" i="15" s="1"/>
  <c r="A394" i="6"/>
  <c r="A2058" i="6"/>
  <c r="A2057" i="6"/>
  <c r="A355" i="6"/>
  <c r="F779" i="34"/>
  <c r="D213" i="3" s="1"/>
  <c r="C26" i="7"/>
  <c r="C34" i="7"/>
  <c r="G160" i="48"/>
  <c r="M750" i="7"/>
  <c r="L273" i="7"/>
  <c r="Q22" i="26"/>
  <c r="D132" i="42"/>
  <c r="K87" i="48"/>
  <c r="M728" i="7"/>
  <c r="L261" i="7"/>
  <c r="L90" i="7"/>
  <c r="M512" i="7"/>
  <c r="A212" i="7"/>
  <c r="A1129" i="7"/>
  <c r="L96" i="7"/>
  <c r="M519" i="7"/>
  <c r="G21" i="3"/>
  <c r="R66" i="10"/>
  <c r="R103" i="10" s="1"/>
  <c r="M905" i="7"/>
  <c r="B15" i="7"/>
  <c r="A8" i="13" s="1"/>
  <c r="B31" i="7"/>
  <c r="L94" i="7"/>
  <c r="M517" i="7"/>
  <c r="L904" i="7"/>
  <c r="O65" i="10"/>
  <c r="P65" i="10" s="1"/>
  <c r="L87" i="7"/>
  <c r="M505" i="7"/>
  <c r="H531" i="7"/>
  <c r="I531" i="7" s="1"/>
  <c r="G5" i="3"/>
  <c r="B1128" i="7"/>
  <c r="B165" i="7"/>
  <c r="K149" i="7"/>
  <c r="L580" i="7"/>
  <c r="L85" i="7"/>
  <c r="M502" i="7"/>
  <c r="L576" i="7"/>
  <c r="L146" i="7" s="1"/>
  <c r="M562" i="7"/>
  <c r="B1144" i="7"/>
  <c r="B201" i="7"/>
  <c r="K323" i="7"/>
  <c r="L855" i="7"/>
  <c r="G67" i="3"/>
  <c r="H7" i="7"/>
  <c r="I7" i="7" s="1"/>
  <c r="Q127" i="42"/>
  <c r="I128" i="42"/>
  <c r="G134" i="42"/>
  <c r="J379" i="6"/>
  <c r="J27" i="6" s="1"/>
  <c r="H206" i="3"/>
  <c r="J288" i="6"/>
  <c r="CW125" i="9"/>
  <c r="AP125" i="9"/>
  <c r="I132" i="13"/>
  <c r="P29" i="37"/>
  <c r="CJ119" i="9"/>
  <c r="CW119" i="9"/>
  <c r="CV211" i="9"/>
  <c r="CL52" i="9"/>
  <c r="CZ52" i="9" s="1"/>
  <c r="CW101" i="9"/>
  <c r="CJ101" i="9"/>
  <c r="CK162" i="9"/>
  <c r="CX162" i="9"/>
  <c r="CW193" i="9"/>
  <c r="CJ193" i="9"/>
  <c r="D135" i="10"/>
  <c r="AU30" i="9"/>
  <c r="CX30" i="9"/>
  <c r="K30" i="9"/>
  <c r="M716" i="7" s="1"/>
  <c r="M249" i="7" s="1"/>
  <c r="S70" i="42"/>
  <c r="C34" i="60" s="1"/>
  <c r="D8" i="42"/>
  <c r="D70" i="42" s="1"/>
  <c r="C8" i="60" s="1"/>
  <c r="C40" i="15"/>
  <c r="H220" i="6"/>
  <c r="I220" i="6" s="1"/>
  <c r="K1004" i="6"/>
  <c r="H1506" i="6"/>
  <c r="I1506" i="6" s="1"/>
  <c r="H738" i="34"/>
  <c r="H750" i="34" s="1"/>
  <c r="H752" i="34" s="1"/>
  <c r="Q120" i="42"/>
  <c r="A479" i="5"/>
  <c r="J66" i="5"/>
  <c r="J477" i="5" s="1"/>
  <c r="A262" i="4"/>
  <c r="H1461" i="6"/>
  <c r="I1461" i="6" s="1"/>
  <c r="I292" i="45"/>
  <c r="I295" i="45" s="1"/>
  <c r="I305" i="45" s="1"/>
  <c r="I306" i="45" s="1"/>
  <c r="G23" i="3"/>
  <c r="C134" i="42"/>
  <c r="L831" i="7"/>
  <c r="N67" i="10"/>
  <c r="N88" i="10"/>
  <c r="P88" i="10" s="1"/>
  <c r="I97" i="12"/>
  <c r="O7" i="10" s="1"/>
  <c r="L81" i="12"/>
  <c r="K85" i="12"/>
  <c r="H292" i="7"/>
  <c r="K256" i="48"/>
  <c r="K583" i="7"/>
  <c r="K585" i="7" s="1"/>
  <c r="K596" i="7" s="1"/>
  <c r="G204" i="48"/>
  <c r="D1144" i="7"/>
  <c r="D201" i="7"/>
  <c r="J152" i="7"/>
  <c r="J1143" i="7" s="1"/>
  <c r="C27" i="5"/>
  <c r="C510" i="5"/>
  <c r="AZ120" i="9"/>
  <c r="J123" i="9"/>
  <c r="Q27" i="37" s="1"/>
  <c r="I143" i="9"/>
  <c r="K1082" i="6" s="1"/>
  <c r="K289" i="6" s="1"/>
  <c r="CJ99" i="9"/>
  <c r="CW99" i="9"/>
  <c r="L295" i="45"/>
  <c r="L305" i="45" s="1"/>
  <c r="L306" i="45" s="1"/>
  <c r="N551" i="34"/>
  <c r="N552" i="34" s="1"/>
  <c r="N561" i="34" s="1"/>
  <c r="N254" i="34" s="1"/>
  <c r="N494" i="34"/>
  <c r="A241" i="15"/>
  <c r="AF10" i="42"/>
  <c r="A100" i="16"/>
  <c r="B548" i="8"/>
  <c r="B97" i="8"/>
  <c r="E551" i="34"/>
  <c r="E552" i="34" s="1"/>
  <c r="E561" i="34" s="1"/>
  <c r="E254" i="34" s="1"/>
  <c r="E494" i="34"/>
  <c r="C86" i="8"/>
  <c r="C97" i="8" s="1"/>
  <c r="D579" i="8"/>
  <c r="F622" i="34"/>
  <c r="F623" i="34" s="1"/>
  <c r="F625" i="34" s="1"/>
  <c r="F246" i="34" s="1"/>
  <c r="D7" i="8"/>
  <c r="D558" i="8"/>
  <c r="D86" i="8"/>
  <c r="F610" i="34"/>
  <c r="E7" i="42"/>
  <c r="E69" i="42" s="1"/>
  <c r="E7" i="60" s="1"/>
  <c r="C233" i="42"/>
  <c r="C229" i="42"/>
  <c r="D472" i="34"/>
  <c r="D522" i="34"/>
  <c r="G586" i="34"/>
  <c r="G587" i="34" s="1"/>
  <c r="G589" i="34" s="1"/>
  <c r="G240" i="34" s="1"/>
  <c r="N269" i="8"/>
  <c r="M60" i="8"/>
  <c r="M291" i="45"/>
  <c r="D496" i="34"/>
  <c r="D383" i="34"/>
  <c r="F316" i="15"/>
  <c r="G316" i="15" s="1"/>
  <c r="F267" i="15"/>
  <c r="G267" i="15" s="1"/>
  <c r="F309" i="15"/>
  <c r="G321" i="34"/>
  <c r="G289" i="34" s="1"/>
  <c r="G352" i="34" s="1"/>
  <c r="G599" i="34"/>
  <c r="G601" i="34" s="1"/>
  <c r="G242" i="34" s="1"/>
  <c r="CL37" i="21"/>
  <c r="BY37" i="21"/>
  <c r="CM41" i="21"/>
  <c r="BZ41" i="21"/>
  <c r="CA48" i="21"/>
  <c r="CN48" i="21"/>
  <c r="L69" i="21"/>
  <c r="AS69" i="21"/>
  <c r="AS73" i="21" s="1"/>
  <c r="K81" i="21" s="1"/>
  <c r="K73" i="21"/>
  <c r="N75" i="16"/>
  <c r="N76" i="3"/>
  <c r="CM44" i="21"/>
  <c r="BZ44" i="21"/>
  <c r="BY51" i="21"/>
  <c r="CL51" i="21"/>
  <c r="I87" i="21"/>
  <c r="I90" i="21" s="1"/>
  <c r="I88" i="3" s="1"/>
  <c r="J83" i="21"/>
  <c r="K97" i="3" s="1"/>
  <c r="M76" i="3"/>
  <c r="M75" i="16"/>
  <c r="M44" i="16" s="1"/>
  <c r="M77" i="3" s="1"/>
  <c r="BX8" i="21"/>
  <c r="CK8" i="21"/>
  <c r="BX15" i="21"/>
  <c r="CK15" i="21"/>
  <c r="CD68" i="21"/>
  <c r="BZ47" i="21"/>
  <c r="CM47" i="21"/>
  <c r="BZ28" i="21"/>
  <c r="CM28" i="21"/>
  <c r="CM42" i="21"/>
  <c r="BZ42" i="21"/>
  <c r="BX70" i="21"/>
  <c r="CK70" i="21"/>
  <c r="G75" i="16"/>
  <c r="H75" i="16"/>
  <c r="H44" i="16" s="1"/>
  <c r="H77" i="3" s="1"/>
  <c r="H76" i="3"/>
  <c r="CK45" i="21"/>
  <c r="BX45" i="21"/>
  <c r="BW59" i="21"/>
  <c r="CJ59" i="21"/>
  <c r="BW71" i="21"/>
  <c r="CJ71" i="21"/>
  <c r="CK50" i="21"/>
  <c r="BX50" i="21"/>
  <c r="CK23" i="21"/>
  <c r="BX23" i="21"/>
  <c r="CM11" i="21"/>
  <c r="BZ11" i="21"/>
  <c r="BZ18" i="21"/>
  <c r="CM18" i="21"/>
  <c r="CL43" i="21"/>
  <c r="BY43" i="21"/>
  <c r="J75" i="16"/>
  <c r="J44" i="16" s="1"/>
  <c r="J77" i="3" s="1"/>
  <c r="J76" i="3"/>
  <c r="L76" i="3"/>
  <c r="L75" i="16"/>
  <c r="L44" i="16" s="1"/>
  <c r="L77" i="3" s="1"/>
  <c r="AJ54" i="42"/>
  <c r="K76" i="3"/>
  <c r="K75" i="16"/>
  <c r="L346" i="8"/>
  <c r="L95" i="8" s="1"/>
  <c r="J40" i="16"/>
  <c r="G99" i="34"/>
  <c r="H99" i="34" s="1"/>
  <c r="N308" i="8"/>
  <c r="M290" i="45"/>
  <c r="M65" i="8"/>
  <c r="AN12" i="42"/>
  <c r="M48" i="8"/>
  <c r="N199" i="8"/>
  <c r="J77" i="15"/>
  <c r="J321" i="34" s="1"/>
  <c r="I86" i="15"/>
  <c r="I326" i="34" s="1"/>
  <c r="BY121" i="22"/>
  <c r="CL121" i="22"/>
  <c r="BY119" i="22"/>
  <c r="CL119" i="22"/>
  <c r="CL120" i="22"/>
  <c r="BY120" i="22"/>
  <c r="BY138" i="22"/>
  <c r="CL138" i="22"/>
  <c r="CM129" i="22"/>
  <c r="BZ129" i="22"/>
  <c r="CL131" i="22"/>
  <c r="BY131" i="22"/>
  <c r="CM130" i="22"/>
  <c r="BZ130" i="22"/>
  <c r="CL83" i="22"/>
  <c r="BY83" i="22"/>
  <c r="CN86" i="22"/>
  <c r="CA86" i="22"/>
  <c r="N79" i="20"/>
  <c r="N78" i="20" s="1"/>
  <c r="N80" i="20" s="1"/>
  <c r="O79" i="20"/>
  <c r="O78" i="20" s="1"/>
  <c r="O80" i="20" s="1"/>
  <c r="Q79" i="20" s="1"/>
  <c r="Q78" i="20" s="1"/>
  <c r="Q80" i="20" s="1"/>
  <c r="BX82" i="22"/>
  <c r="CK82" i="22"/>
  <c r="CL81" i="22"/>
  <c r="BY81" i="22"/>
  <c r="L73" i="20"/>
  <c r="BY116" i="22"/>
  <c r="CL116" i="22"/>
  <c r="N83" i="20"/>
  <c r="Q84" i="20"/>
  <c r="Q83" i="20" s="1"/>
  <c r="Q85" i="20" s="1"/>
  <c r="O122" i="10"/>
  <c r="R3" i="10"/>
  <c r="G48" i="45"/>
  <c r="H48" i="45" s="1"/>
  <c r="I48" i="45" s="1"/>
  <c r="AG219" i="9"/>
  <c r="AG221" i="9" s="1"/>
  <c r="CK102" i="9"/>
  <c r="CX102" i="9"/>
  <c r="E87" i="21"/>
  <c r="E90" i="21" s="1"/>
  <c r="BX56" i="21"/>
  <c r="CK56" i="21"/>
  <c r="BX58" i="21"/>
  <c r="CK58" i="21"/>
  <c r="BY61" i="21"/>
  <c r="CL61" i="21"/>
  <c r="BX57" i="21"/>
  <c r="CK57" i="21"/>
  <c r="CO49" i="21"/>
  <c r="CB49" i="21"/>
  <c r="BX46" i="21"/>
  <c r="CK46" i="21"/>
  <c r="BX40" i="21"/>
  <c r="CK40" i="21"/>
  <c r="BY34" i="21"/>
  <c r="CL34" i="21"/>
  <c r="C77" i="3"/>
  <c r="C78" i="3" s="1"/>
  <c r="C120" i="16"/>
  <c r="P87" i="21"/>
  <c r="P90" i="21" s="1"/>
  <c r="P88" i="3" s="1"/>
  <c r="CP29" i="21"/>
  <c r="CC29" i="21"/>
  <c r="BX14" i="21"/>
  <c r="CK14" i="21"/>
  <c r="BY16" i="21"/>
  <c r="CL16" i="21"/>
  <c r="BX17" i="21"/>
  <c r="CK17" i="21"/>
  <c r="BX7" i="21"/>
  <c r="CK7" i="21"/>
  <c r="C20" i="4"/>
  <c r="C30" i="4" s="1"/>
  <c r="P28" i="20"/>
  <c r="P45" i="20" s="1"/>
  <c r="O3" i="54"/>
  <c r="AF3" i="54" s="1"/>
  <c r="P58" i="16"/>
  <c r="P70" i="16" s="1"/>
  <c r="G8" i="3"/>
  <c r="P95" i="16"/>
  <c r="H75" i="17"/>
  <c r="A862" i="4"/>
  <c r="I99" i="42"/>
  <c r="N58" i="16"/>
  <c r="N70" i="16" s="1"/>
  <c r="N127" i="8"/>
  <c r="F307" i="45"/>
  <c r="G307" i="45" s="1"/>
  <c r="H307" i="45" s="1"/>
  <c r="M515" i="34"/>
  <c r="B70" i="16"/>
  <c r="B81" i="16"/>
  <c r="C29" i="4"/>
  <c r="D247" i="4"/>
  <c r="H65" i="17"/>
  <c r="O741" i="4"/>
  <c r="H84" i="17"/>
  <c r="C273" i="4"/>
  <c r="A107" i="13"/>
  <c r="A64" i="13" s="1"/>
  <c r="A9" i="3" s="1"/>
  <c r="A10" i="3" s="1"/>
  <c r="C2083" i="6"/>
  <c r="D355" i="34"/>
  <c r="J20" i="19"/>
  <c r="J39" i="19" s="1"/>
  <c r="A67" i="19"/>
  <c r="I39" i="19"/>
  <c r="G795" i="34"/>
  <c r="G801" i="34" s="1"/>
  <c r="G750" i="34"/>
  <c r="G752" i="34" s="1"/>
  <c r="J877" i="6"/>
  <c r="J177" i="6" s="1"/>
  <c r="G825" i="34"/>
  <c r="P156" i="11"/>
  <c r="Q156" i="11" s="1"/>
  <c r="H17" i="58"/>
  <c r="D1781" i="6"/>
  <c r="K665" i="6"/>
  <c r="L1931" i="6"/>
  <c r="J1501" i="6"/>
  <c r="J1506" i="6" s="1"/>
  <c r="J1508" i="6" s="1"/>
  <c r="J1510" i="6" s="1"/>
  <c r="K239" i="10" s="1"/>
  <c r="J1516" i="6" s="1"/>
  <c r="J461" i="6" s="1"/>
  <c r="K167" i="6"/>
  <c r="J1700" i="6"/>
  <c r="J1702" i="6" s="1"/>
  <c r="J1713" i="6" s="1"/>
  <c r="C2081" i="6"/>
  <c r="H602" i="6"/>
  <c r="I602" i="6" s="1"/>
  <c r="U15" i="58"/>
  <c r="L211" i="6"/>
  <c r="M1333" i="6"/>
  <c r="N1333" i="6" s="1"/>
  <c r="J100" i="48"/>
  <c r="D38" i="6"/>
  <c r="J314" i="6"/>
  <c r="J10" i="6" s="1"/>
  <c r="L1597" i="6"/>
  <c r="J547" i="6"/>
  <c r="J549" i="6" s="1"/>
  <c r="J1006" i="6"/>
  <c r="J1009" i="6" s="1"/>
  <c r="J1018" i="6" s="1"/>
  <c r="I114" i="1"/>
  <c r="I117" i="1" s="1"/>
  <c r="M1309" i="6"/>
  <c r="L425" i="6"/>
  <c r="J1206" i="6"/>
  <c r="J1217" i="6" s="1"/>
  <c r="K868" i="6"/>
  <c r="K871" i="6" s="1"/>
  <c r="W7" i="42"/>
  <c r="I598" i="34" s="1"/>
  <c r="J3" i="54"/>
  <c r="AA3" i="54" s="1"/>
  <c r="D141" i="4"/>
  <c r="D262" i="4"/>
  <c r="C105" i="13"/>
  <c r="F20" i="19"/>
  <c r="F39" i="19" s="1"/>
  <c r="I286" i="15"/>
  <c r="A2083" i="6"/>
  <c r="A48" i="13"/>
  <c r="A191" i="15" s="1"/>
  <c r="D901" i="4"/>
  <c r="D196" i="4"/>
  <c r="B58" i="16"/>
  <c r="N145" i="22"/>
  <c r="N92" i="22"/>
  <c r="N142" i="22" s="1"/>
  <c r="O540" i="8" s="1"/>
  <c r="O159" i="8" s="1"/>
  <c r="B863" i="4"/>
  <c r="A196" i="4"/>
  <c r="A207" i="4" s="1"/>
  <c r="J583" i="4"/>
  <c r="M58" i="16"/>
  <c r="M70" i="16" s="1"/>
  <c r="D18" i="4"/>
  <c r="C100" i="42"/>
  <c r="D100" i="42" s="1"/>
  <c r="C28" i="6"/>
  <c r="C44" i="6" s="1"/>
  <c r="H65" i="15"/>
  <c r="H96" i="15" s="1"/>
  <c r="I3" i="54"/>
  <c r="Z3" i="54" s="1"/>
  <c r="H93" i="17"/>
  <c r="B904" i="4"/>
  <c r="M559" i="4"/>
  <c r="H56" i="17"/>
  <c r="C196" i="4"/>
  <c r="C207" i="4" s="1"/>
  <c r="L327" i="4"/>
  <c r="L57" i="4" s="1"/>
  <c r="A2079" i="6"/>
  <c r="I204" i="48"/>
  <c r="I209" i="48" s="1"/>
  <c r="M81" i="16"/>
  <c r="J121" i="40"/>
  <c r="J150" i="40" s="1"/>
  <c r="F264" i="48"/>
  <c r="H97" i="42"/>
  <c r="D688" i="34"/>
  <c r="D689" i="34" s="1"/>
  <c r="R28" i="20"/>
  <c r="R45" i="20" s="1"/>
  <c r="B121" i="40"/>
  <c r="B150" i="40" s="1"/>
  <c r="H22" i="58"/>
  <c r="K726" i="6"/>
  <c r="L2030" i="6"/>
  <c r="D42" i="6"/>
  <c r="J104" i="48"/>
  <c r="M206" i="6"/>
  <c r="N985" i="6"/>
  <c r="I724" i="34"/>
  <c r="N1288" i="6"/>
  <c r="M406" i="6"/>
  <c r="N208" i="6"/>
  <c r="O993" i="6"/>
  <c r="L1923" i="6"/>
  <c r="K659" i="6"/>
  <c r="D1145" i="6"/>
  <c r="K1698" i="6"/>
  <c r="A2073" i="6"/>
  <c r="A109" i="6"/>
  <c r="R120" i="42"/>
  <c r="B2061" i="6"/>
  <c r="AV143" i="9"/>
  <c r="M1081" i="6" s="1"/>
  <c r="M288" i="6" s="1"/>
  <c r="K235" i="3"/>
  <c r="H30" i="6"/>
  <c r="I30" i="6" s="1"/>
  <c r="L321" i="6"/>
  <c r="J23" i="58"/>
  <c r="J37" i="58" s="1"/>
  <c r="K572" i="6"/>
  <c r="H1145" i="6"/>
  <c r="I1145" i="6" s="1"/>
  <c r="D41" i="6"/>
  <c r="B2081" i="6"/>
  <c r="L145" i="3"/>
  <c r="N249" i="6"/>
  <c r="BA120" i="9" s="1"/>
  <c r="L120" i="9"/>
  <c r="O1030" i="6"/>
  <c r="L209" i="3"/>
  <c r="O1131" i="6"/>
  <c r="K1734" i="6"/>
  <c r="K663" i="6"/>
  <c r="L1927" i="6"/>
  <c r="C118" i="42"/>
  <c r="D118" i="42" s="1"/>
  <c r="L598" i="6"/>
  <c r="L605" i="6" s="1"/>
  <c r="H25" i="6"/>
  <c r="I25" i="6" s="1"/>
  <c r="J103" i="48"/>
  <c r="K1701" i="6"/>
  <c r="L1696" i="6"/>
  <c r="K545" i="6"/>
  <c r="K550" i="6" s="1"/>
  <c r="D1075" i="6"/>
  <c r="M864" i="6"/>
  <c r="L162" i="6"/>
  <c r="L168" i="6" s="1"/>
  <c r="L870" i="6"/>
  <c r="N1188" i="6"/>
  <c r="M330" i="6"/>
  <c r="M329" i="6" s="1"/>
  <c r="M934" i="6"/>
  <c r="L159" i="6"/>
  <c r="H193" i="15"/>
  <c r="G68" i="13"/>
  <c r="G124" i="13" s="1"/>
  <c r="V33" i="42"/>
  <c r="G33" i="42" s="1"/>
  <c r="L149" i="6"/>
  <c r="M892" i="6"/>
  <c r="L324" i="6"/>
  <c r="M1668" i="6"/>
  <c r="L1693" i="6"/>
  <c r="L542" i="6" s="1"/>
  <c r="J343" i="6"/>
  <c r="J1143" i="6"/>
  <c r="J1145" i="6" s="1"/>
  <c r="J1154" i="6" s="1"/>
  <c r="I17" i="58"/>
  <c r="M2010" i="6"/>
  <c r="L712" i="6"/>
  <c r="Q114" i="42"/>
  <c r="F40" i="13"/>
  <c r="L127" i="8"/>
  <c r="C333" i="8"/>
  <c r="C335" i="8" s="1"/>
  <c r="C338" i="8" s="1"/>
  <c r="C347" i="8" s="1"/>
  <c r="J284" i="4"/>
  <c r="K531" i="7"/>
  <c r="K533" i="7" s="1"/>
  <c r="K542" i="7" s="1"/>
  <c r="H451" i="6"/>
  <c r="I451" i="6" s="1"/>
  <c r="S72" i="42"/>
  <c r="C36" i="60" s="1"/>
  <c r="M122" i="42"/>
  <c r="D11" i="42"/>
  <c r="D72" i="42" s="1"/>
  <c r="C10" i="60" s="1"/>
  <c r="E368" i="34"/>
  <c r="C213" i="3"/>
  <c r="C864" i="4"/>
  <c r="H809" i="7"/>
  <c r="I809" i="7" s="1"/>
  <c r="C43" i="15"/>
  <c r="M464" i="4"/>
  <c r="AF82" i="9"/>
  <c r="K629" i="6"/>
  <c r="L1795" i="6"/>
  <c r="J1075" i="6"/>
  <c r="K1813" i="6"/>
  <c r="J193" i="15"/>
  <c r="J217" i="15" s="1"/>
  <c r="K702" i="6"/>
  <c r="W12" i="42" s="1"/>
  <c r="L1994" i="6"/>
  <c r="A2056" i="6"/>
  <c r="A291" i="6"/>
  <c r="P20" i="26"/>
  <c r="L1614" i="6"/>
  <c r="K1008" i="6"/>
  <c r="L1002" i="6"/>
  <c r="K216" i="6"/>
  <c r="K222" i="6" s="1"/>
  <c r="H233" i="3"/>
  <c r="AK82" i="9"/>
  <c r="B735" i="6"/>
  <c r="B2084" i="6"/>
  <c r="N404" i="6"/>
  <c r="O1285" i="6"/>
  <c r="I25" i="40"/>
  <c r="M2005" i="6"/>
  <c r="J1234" i="6"/>
  <c r="H767" i="34" s="1"/>
  <c r="L1461" i="6"/>
  <c r="X33" i="42"/>
  <c r="I33" i="42" s="1"/>
  <c r="Q122" i="42"/>
  <c r="K664" i="6"/>
  <c r="L1928" i="6"/>
  <c r="I10" i="48"/>
  <c r="B49" i="6"/>
  <c r="L143" i="6"/>
  <c r="M894" i="6"/>
  <c r="K1768" i="6"/>
  <c r="K576" i="6"/>
  <c r="K603" i="6" s="1"/>
  <c r="K2091" i="6" s="1"/>
  <c r="K53" i="6" s="1"/>
  <c r="L1732" i="6"/>
  <c r="L1734" i="6" s="1"/>
  <c r="N997" i="6"/>
  <c r="M211" i="6"/>
  <c r="M1866" i="6"/>
  <c r="L649" i="6"/>
  <c r="R115" i="42"/>
  <c r="K698" i="6"/>
  <c r="L1987" i="6"/>
  <c r="K1990" i="6"/>
  <c r="N1729" i="6"/>
  <c r="M573" i="6"/>
  <c r="L1925" i="6"/>
  <c r="K661" i="6"/>
  <c r="M779" i="6"/>
  <c r="L92" i="6"/>
  <c r="B291" i="6"/>
  <c r="J218" i="6"/>
  <c r="J24" i="6" s="1"/>
  <c r="J40" i="6" s="1"/>
  <c r="K248" i="6"/>
  <c r="L1029" i="6"/>
  <c r="J578" i="6"/>
  <c r="J15" i="6" s="1"/>
  <c r="L320" i="6"/>
  <c r="M1108" i="6"/>
  <c r="L35" i="45"/>
  <c r="M1000" i="6"/>
  <c r="L214" i="6"/>
  <c r="E33" i="42"/>
  <c r="K600" i="6"/>
  <c r="K31" i="6" s="1"/>
  <c r="L1741" i="6"/>
  <c r="L584" i="6" s="1"/>
  <c r="K1765" i="6"/>
  <c r="A223" i="6"/>
  <c r="A2075" i="6"/>
  <c r="K630" i="6"/>
  <c r="L1796" i="6"/>
  <c r="M589" i="6"/>
  <c r="N1746" i="6"/>
  <c r="M262" i="6"/>
  <c r="M31" i="45"/>
  <c r="N1328" i="6"/>
  <c r="M426" i="6"/>
  <c r="L487" i="6"/>
  <c r="M1604" i="6"/>
  <c r="C104" i="13"/>
  <c r="D39" i="6"/>
  <c r="J101" i="48"/>
  <c r="L1068" i="6"/>
  <c r="K272" i="6"/>
  <c r="K1074" i="6"/>
  <c r="H177" i="6"/>
  <c r="I177" i="6" s="1"/>
  <c r="M2027" i="6"/>
  <c r="M724" i="6" s="1"/>
  <c r="M643" i="6"/>
  <c r="N1848" i="6"/>
  <c r="N325" i="6"/>
  <c r="K942" i="6"/>
  <c r="K950" i="6" s="1"/>
  <c r="H9" i="6"/>
  <c r="I9" i="6" s="1"/>
  <c r="R116" i="42"/>
  <c r="K666" i="6"/>
  <c r="L1934" i="6"/>
  <c r="K106" i="48"/>
  <c r="C109" i="6"/>
  <c r="C2073" i="6"/>
  <c r="H24" i="6"/>
  <c r="I24" i="6" s="1"/>
  <c r="N1331" i="6"/>
  <c r="M427" i="6"/>
  <c r="H2091" i="6"/>
  <c r="G9" i="58"/>
  <c r="H758" i="34"/>
  <c r="J700" i="6"/>
  <c r="L312" i="6"/>
  <c r="M1099" i="6"/>
  <c r="D2074" i="6"/>
  <c r="J279" i="6"/>
  <c r="J2093" i="6"/>
  <c r="C2076" i="6"/>
  <c r="C280" i="6"/>
  <c r="J634" i="6"/>
  <c r="J16" i="6" s="1"/>
  <c r="Q115" i="42"/>
  <c r="AB219" i="9"/>
  <c r="AB221" i="9" s="1"/>
  <c r="J1767" i="6"/>
  <c r="J1771" i="6" s="1"/>
  <c r="M1758" i="6"/>
  <c r="L594" i="6"/>
  <c r="M1798" i="6"/>
  <c r="J772" i="34"/>
  <c r="Q253" i="10"/>
  <c r="S253" i="10" s="1"/>
  <c r="R156" i="11" s="1"/>
  <c r="N1227" i="6"/>
  <c r="N366" i="6" s="1"/>
  <c r="N376" i="6"/>
  <c r="O1242" i="6"/>
  <c r="J114" i="1"/>
  <c r="J117" i="1" s="1"/>
  <c r="K877" i="6"/>
  <c r="K177" i="6" s="1"/>
  <c r="K64" i="6" s="1"/>
  <c r="I61" i="3" s="1"/>
  <c r="AL82" i="9"/>
  <c r="B252" i="3"/>
  <c r="I113" i="34"/>
  <c r="J113" i="34" s="1"/>
  <c r="J115" i="34" s="1"/>
  <c r="J116" i="34" s="1"/>
  <c r="M261" i="6"/>
  <c r="H166" i="6"/>
  <c r="H23" i="6"/>
  <c r="I23" i="6" s="1"/>
  <c r="H107" i="6"/>
  <c r="I107" i="6" s="1"/>
  <c r="H22" i="6"/>
  <c r="I22" i="6" s="1"/>
  <c r="L94" i="6"/>
  <c r="M787" i="6"/>
  <c r="A69" i="13"/>
  <c r="A194" i="15"/>
  <c r="A139" i="15" s="1"/>
  <c r="A163" i="15" s="1"/>
  <c r="Q34" i="42"/>
  <c r="B34" i="42" s="1"/>
  <c r="L1001" i="6"/>
  <c r="K1007" i="6"/>
  <c r="K215" i="6"/>
  <c r="K713" i="6"/>
  <c r="L2013" i="6"/>
  <c r="H18" i="58"/>
  <c r="R113" i="42"/>
  <c r="S113" i="42" s="1"/>
  <c r="L2021" i="6"/>
  <c r="K721" i="6"/>
  <c r="I766" i="34"/>
  <c r="K308" i="6"/>
  <c r="L1096" i="6"/>
  <c r="M1691" i="6"/>
  <c r="L1138" i="6"/>
  <c r="K336" i="6"/>
  <c r="K1144" i="6"/>
  <c r="L1986" i="6"/>
  <c r="K699" i="6"/>
  <c r="D2054" i="6"/>
  <c r="L2025" i="6"/>
  <c r="H21" i="58"/>
  <c r="K723" i="6"/>
  <c r="B2077" i="6"/>
  <c r="B344" i="6"/>
  <c r="D180" i="6"/>
  <c r="H1574" i="6"/>
  <c r="I1574" i="6" s="1"/>
  <c r="H871" i="6"/>
  <c r="I871" i="6" s="1"/>
  <c r="H549" i="6"/>
  <c r="I549" i="6" s="1"/>
  <c r="N1958" i="6"/>
  <c r="M673" i="6"/>
  <c r="J340" i="6"/>
  <c r="J26" i="6" s="1"/>
  <c r="K720" i="6"/>
  <c r="L2020" i="6"/>
  <c r="A562" i="6"/>
  <c r="A2061" i="6"/>
  <c r="F32" i="13"/>
  <c r="H55" i="6"/>
  <c r="I55" i="6" s="1"/>
  <c r="B42" i="6"/>
  <c r="B19" i="6"/>
  <c r="A26" i="13" s="1"/>
  <c r="H802" i="6"/>
  <c r="I802" i="6" s="1"/>
  <c r="H1702" i="6"/>
  <c r="I1702" i="6" s="1"/>
  <c r="L1888" i="6"/>
  <c r="K654" i="6"/>
  <c r="O1739" i="6"/>
  <c r="N583" i="6"/>
  <c r="K2023" i="6"/>
  <c r="K722" i="6" s="1"/>
  <c r="L1849" i="6"/>
  <c r="K645" i="6"/>
  <c r="L1638" i="6"/>
  <c r="K1643" i="6"/>
  <c r="K506" i="6"/>
  <c r="K511" i="6" s="1"/>
  <c r="R112" i="42"/>
  <c r="H1206" i="6"/>
  <c r="I1206" i="6" s="1"/>
  <c r="K710" i="6"/>
  <c r="L2006" i="6"/>
  <c r="H276" i="6"/>
  <c r="I276" i="6" s="1"/>
  <c r="H1009" i="6"/>
  <c r="I1009" i="6" s="1"/>
  <c r="L798" i="6"/>
  <c r="K103" i="6"/>
  <c r="L1799" i="6"/>
  <c r="K631" i="6"/>
  <c r="L1985" i="6"/>
  <c r="K697" i="6"/>
  <c r="H6" i="58"/>
  <c r="H5" i="58" s="1"/>
  <c r="J722" i="6"/>
  <c r="H141" i="3"/>
  <c r="H142" i="3" s="1"/>
  <c r="L959" i="6"/>
  <c r="K190" i="6"/>
  <c r="K196" i="6" s="1"/>
  <c r="K8" i="6" s="1"/>
  <c r="K970" i="6"/>
  <c r="K1006" i="6" s="1"/>
  <c r="H26" i="6"/>
  <c r="I26" i="6" s="1"/>
  <c r="L1491" i="6"/>
  <c r="P21" i="26"/>
  <c r="L1666" i="6"/>
  <c r="I761" i="34"/>
  <c r="K533" i="6"/>
  <c r="K535" i="6" s="1"/>
  <c r="K14" i="6" s="1"/>
  <c r="K1670" i="6"/>
  <c r="Q121" i="42"/>
  <c r="H15" i="6"/>
  <c r="I15" i="6" s="1"/>
  <c r="L1139" i="6"/>
  <c r="K337" i="6"/>
  <c r="H371" i="6"/>
  <c r="I371" i="6" s="1"/>
  <c r="H942" i="6"/>
  <c r="I942" i="6" s="1"/>
  <c r="H208" i="14"/>
  <c r="G188" i="14"/>
  <c r="G221" i="14"/>
  <c r="H213" i="14"/>
  <c r="H130" i="14" s="1"/>
  <c r="R127" i="42"/>
  <c r="G66" i="13"/>
  <c r="F12" i="13"/>
  <c r="F102" i="13"/>
  <c r="L879" i="7"/>
  <c r="K340" i="7"/>
  <c r="H707" i="7"/>
  <c r="I707" i="7" s="1"/>
  <c r="K319" i="7"/>
  <c r="L852" i="7"/>
  <c r="Q127" i="10" s="1"/>
  <c r="G12" i="13"/>
  <c r="G102" i="13"/>
  <c r="H42" i="7"/>
  <c r="I42" i="7" s="1"/>
  <c r="K347" i="7"/>
  <c r="L926" i="7"/>
  <c r="O127" i="10"/>
  <c r="K145" i="7"/>
  <c r="I759" i="34"/>
  <c r="I781" i="34" s="1"/>
  <c r="H585" i="7"/>
  <c r="I585" i="7" s="1"/>
  <c r="K131" i="7"/>
  <c r="L553" i="7"/>
  <c r="H11" i="7"/>
  <c r="I11" i="7" s="1"/>
  <c r="Q131" i="42"/>
  <c r="K130" i="7"/>
  <c r="L552" i="7"/>
  <c r="L605" i="7"/>
  <c r="K176" i="7"/>
  <c r="M127" i="10"/>
  <c r="L874" i="7"/>
  <c r="K337" i="7"/>
  <c r="L995" i="7"/>
  <c r="K1000" i="7"/>
  <c r="K354" i="7"/>
  <c r="L608" i="7"/>
  <c r="K177" i="7"/>
  <c r="H551" i="34"/>
  <c r="H552" i="34" s="1"/>
  <c r="H561" i="34" s="1"/>
  <c r="H254" i="34" s="1"/>
  <c r="H494" i="34"/>
  <c r="L173" i="8"/>
  <c r="K43" i="8"/>
  <c r="AL7" i="42" s="1"/>
  <c r="G505" i="34"/>
  <c r="F113" i="15"/>
  <c r="G113" i="15" s="1"/>
  <c r="N324" i="8"/>
  <c r="M68" i="8"/>
  <c r="C280" i="15"/>
  <c r="L454" i="8"/>
  <c r="K423" i="45"/>
  <c r="K122" i="8"/>
  <c r="AJ29" i="42"/>
  <c r="F84" i="15"/>
  <c r="G84" i="15" s="1"/>
  <c r="G559" i="34"/>
  <c r="G694" i="34" s="1"/>
  <c r="L375" i="8"/>
  <c r="K109" i="8"/>
  <c r="L385" i="8"/>
  <c r="K111" i="8"/>
  <c r="G394" i="34"/>
  <c r="AY11" i="42"/>
  <c r="F105" i="15" s="1"/>
  <c r="G105" i="15" s="1"/>
  <c r="BA12" i="42"/>
  <c r="L390" i="8"/>
  <c r="L429" i="8"/>
  <c r="BA21" i="42"/>
  <c r="I116" i="15" s="1"/>
  <c r="K132" i="8"/>
  <c r="I746" i="34"/>
  <c r="I748" i="34" s="1"/>
  <c r="L514" i="8"/>
  <c r="AY29" i="42"/>
  <c r="F115" i="15"/>
  <c r="G115" i="15" s="1"/>
  <c r="G574" i="34"/>
  <c r="G700" i="34" s="1"/>
  <c r="C522" i="34"/>
  <c r="C472" i="34"/>
  <c r="H117" i="15"/>
  <c r="G12" i="42"/>
  <c r="H108" i="15"/>
  <c r="H101" i="15"/>
  <c r="H622" i="34"/>
  <c r="H623" i="34" s="1"/>
  <c r="H625" i="34" s="1"/>
  <c r="H246" i="34" s="1"/>
  <c r="K119" i="8"/>
  <c r="L250" i="8"/>
  <c r="K56" i="8"/>
  <c r="L499" i="8"/>
  <c r="K131" i="8"/>
  <c r="L363" i="8"/>
  <c r="K107" i="8"/>
  <c r="BA8" i="42" s="1"/>
  <c r="I102" i="15" s="1"/>
  <c r="H70" i="15"/>
  <c r="L440" i="8"/>
  <c r="K121" i="8"/>
  <c r="L356" i="8"/>
  <c r="K106" i="8"/>
  <c r="BA7" i="42" s="1"/>
  <c r="L40" i="45"/>
  <c r="K1017" i="6"/>
  <c r="K232" i="6" s="1"/>
  <c r="CK165" i="9"/>
  <c r="CY165" i="9" s="1"/>
  <c r="CJ160" i="9"/>
  <c r="CK160" i="9" s="1"/>
  <c r="E687" i="34"/>
  <c r="AP123" i="9"/>
  <c r="CX181" i="9"/>
  <c r="AU146" i="9"/>
  <c r="Q67" i="37" s="1"/>
  <c r="Q76" i="37" s="1"/>
  <c r="Q78" i="37" s="1"/>
  <c r="J950" i="6"/>
  <c r="K181" i="9"/>
  <c r="AZ181" i="9" s="1"/>
  <c r="J46" i="45"/>
  <c r="J47" i="45" s="1"/>
  <c r="BU3" i="22"/>
  <c r="CI3" i="22" s="1"/>
  <c r="CW123" i="9"/>
  <c r="G145" i="22"/>
  <c r="K39" i="45"/>
  <c r="K45" i="45" s="1"/>
  <c r="P27" i="37"/>
  <c r="G150" i="22"/>
  <c r="G98" i="3" s="1"/>
  <c r="L1153" i="6"/>
  <c r="L353" i="6" s="1"/>
  <c r="CX146" i="9"/>
  <c r="K146" i="9"/>
  <c r="CY146" i="9" s="1"/>
  <c r="AO66" i="9"/>
  <c r="AP113" i="9"/>
  <c r="C261" i="10"/>
  <c r="I225" i="9"/>
  <c r="AK209" i="9"/>
  <c r="CL11" i="9"/>
  <c r="CY11" i="9"/>
  <c r="CI182" i="9"/>
  <c r="CJ182" i="9" s="1"/>
  <c r="CI106" i="9"/>
  <c r="CV106" i="9"/>
  <c r="CI103" i="9"/>
  <c r="CV103" i="9"/>
  <c r="CJ159" i="9"/>
  <c r="CW159" i="9"/>
  <c r="CK164" i="9"/>
  <c r="CX164" i="9"/>
  <c r="BD88" i="9"/>
  <c r="BD174" i="9" s="1"/>
  <c r="BN3" i="9"/>
  <c r="CI10" i="9"/>
  <c r="CV10" i="9"/>
  <c r="CI148" i="9"/>
  <c r="CV148" i="9"/>
  <c r="CK94" i="9"/>
  <c r="CX94" i="9"/>
  <c r="CW62" i="9"/>
  <c r="CJ62" i="9"/>
  <c r="CW70" i="9"/>
  <c r="CJ70" i="9"/>
  <c r="AH88" i="9"/>
  <c r="AM3" i="9"/>
  <c r="BI88" i="9"/>
  <c r="BI174" i="9" s="1"/>
  <c r="BS3" i="9"/>
  <c r="AC174" i="9"/>
  <c r="AC219" i="9" s="1"/>
  <c r="CX60" i="9"/>
  <c r="CK60" i="9"/>
  <c r="AV3" i="9"/>
  <c r="AQ3" i="9"/>
  <c r="AL88" i="9"/>
  <c r="AL174" i="9" s="1"/>
  <c r="CV63" i="9"/>
  <c r="CI63" i="9"/>
  <c r="CJ96" i="9"/>
  <c r="CW96" i="9"/>
  <c r="CW161" i="9"/>
  <c r="CJ161" i="9"/>
  <c r="CL105" i="9"/>
  <c r="CY105" i="9"/>
  <c r="AV2" i="9"/>
  <c r="AQ87" i="9"/>
  <c r="AQ173" i="9" s="1"/>
  <c r="B190" i="42"/>
  <c r="E190" i="42" s="1"/>
  <c r="D44" i="42"/>
  <c r="BX3" i="22"/>
  <c r="CL3" i="22" s="1"/>
  <c r="AP88" i="9"/>
  <c r="AP174" i="9" s="1"/>
  <c r="AU3" i="9"/>
  <c r="AZ3" i="9"/>
  <c r="CJ83" i="9"/>
  <c r="CW83" i="9"/>
  <c r="CJ197" i="9"/>
  <c r="CW197" i="9"/>
  <c r="CV104" i="9"/>
  <c r="CI104" i="9"/>
  <c r="CK183" i="9"/>
  <c r="CX183" i="9"/>
  <c r="CJ44" i="9"/>
  <c r="CW44" i="9"/>
  <c r="AO209" i="9"/>
  <c r="AO219" i="9" s="1"/>
  <c r="J209" i="9"/>
  <c r="CX209" i="9" s="1"/>
  <c r="L178" i="6"/>
  <c r="CJ149" i="9"/>
  <c r="CW149" i="9"/>
  <c r="K1974" i="6"/>
  <c r="K688" i="6" s="1"/>
  <c r="L41" i="45"/>
  <c r="CW43" i="9"/>
  <c r="CW194" i="9"/>
  <c r="CJ194" i="9"/>
  <c r="CW166" i="9"/>
  <c r="CJ166" i="9"/>
  <c r="O250" i="10"/>
  <c r="K1972" i="6" s="1"/>
  <c r="K686" i="6" s="1"/>
  <c r="I171" i="45"/>
  <c r="O92" i="22"/>
  <c r="O142" i="22" s="1"/>
  <c r="N39" i="17" s="1"/>
  <c r="AU141" i="9"/>
  <c r="Q8" i="37" s="1"/>
  <c r="CJ137" i="9"/>
  <c r="CW137" i="9"/>
  <c r="CV22" i="9"/>
  <c r="CI22" i="9"/>
  <c r="O145" i="22"/>
  <c r="AP55" i="9"/>
  <c r="AP66" i="9" s="1"/>
  <c r="AY62" i="9"/>
  <c r="AY64" i="9" s="1"/>
  <c r="U133" i="10" s="1"/>
  <c r="M1117" i="7" s="1"/>
  <c r="M432" i="7" s="1"/>
  <c r="K64" i="9"/>
  <c r="M1119" i="7" s="1"/>
  <c r="M434" i="7" s="1"/>
  <c r="CK32" i="9"/>
  <c r="CY32" i="9" s="1"/>
  <c r="I92" i="22"/>
  <c r="I142" i="22" s="1"/>
  <c r="J540" i="8" s="1"/>
  <c r="J159" i="8" s="1"/>
  <c r="J32" i="8" s="1"/>
  <c r="I145" i="22"/>
  <c r="V393" i="9"/>
  <c r="L82" i="9"/>
  <c r="M878" i="6"/>
  <c r="CV46" i="9"/>
  <c r="CI46" i="9"/>
  <c r="CV45" i="9"/>
  <c r="AZ151" i="9"/>
  <c r="L151" i="9"/>
  <c r="CK133" i="9"/>
  <c r="CX133" i="9"/>
  <c r="J179" i="9"/>
  <c r="AP179" i="9"/>
  <c r="K1382" i="6"/>
  <c r="K464" i="6" s="1"/>
  <c r="CJ215" i="9"/>
  <c r="CW215" i="9"/>
  <c r="V219" i="9"/>
  <c r="L193" i="9"/>
  <c r="M1583" i="6"/>
  <c r="AZ193" i="9"/>
  <c r="CI167" i="9"/>
  <c r="CV167" i="9"/>
  <c r="AU113" i="9"/>
  <c r="L1017" i="6"/>
  <c r="L232" i="6" s="1"/>
  <c r="L168" i="45"/>
  <c r="K113" i="9"/>
  <c r="CJ212" i="9"/>
  <c r="CW212" i="9"/>
  <c r="CK195" i="9"/>
  <c r="CX195" i="9"/>
  <c r="K55" i="9"/>
  <c r="AT55" i="9"/>
  <c r="AT66" i="9" s="1"/>
  <c r="CX55" i="9"/>
  <c r="L1009" i="7"/>
  <c r="L371" i="7" s="1"/>
  <c r="L52" i="7" s="1"/>
  <c r="J67" i="3" s="1"/>
  <c r="J66" i="9"/>
  <c r="L99" i="9"/>
  <c r="AZ99" i="9"/>
  <c r="R86" i="37"/>
  <c r="CI135" i="9"/>
  <c r="CV135" i="9"/>
  <c r="P145" i="22"/>
  <c r="K181" i="14"/>
  <c r="J193" i="3" s="1"/>
  <c r="D179" i="14"/>
  <c r="Q29" i="37"/>
  <c r="K125" i="9"/>
  <c r="AU125" i="9"/>
  <c r="CD3" i="22"/>
  <c r="CR3" i="22" s="1"/>
  <c r="CW214" i="9"/>
  <c r="CJ214" i="9"/>
  <c r="CV31" i="9"/>
  <c r="CI31" i="9"/>
  <c r="K110" i="9"/>
  <c r="AU110" i="9"/>
  <c r="L1081" i="6"/>
  <c r="L288" i="6" s="1"/>
  <c r="Q28" i="37"/>
  <c r="AU124" i="9"/>
  <c r="K124" i="9"/>
  <c r="CW45" i="9"/>
  <c r="CJ45" i="9"/>
  <c r="CI136" i="9"/>
  <c r="CV136" i="9"/>
  <c r="D355" i="6"/>
  <c r="K7" i="9"/>
  <c r="CX7" i="9"/>
  <c r="AU7" i="9"/>
  <c r="CW211" i="9"/>
  <c r="CJ211" i="9"/>
  <c r="CJ151" i="9"/>
  <c r="CW151" i="9"/>
  <c r="CJ130" i="9"/>
  <c r="CW130" i="9"/>
  <c r="J205" i="3"/>
  <c r="CX125" i="9"/>
  <c r="CK125" i="9"/>
  <c r="CJ163" i="9"/>
  <c r="CW163" i="9"/>
  <c r="CI134" i="9"/>
  <c r="CV134" i="9"/>
  <c r="Q30" i="37"/>
  <c r="AU126" i="9"/>
  <c r="K126" i="9"/>
  <c r="CX126" i="9"/>
  <c r="CI41" i="9"/>
  <c r="CV41" i="9"/>
  <c r="D94" i="14"/>
  <c r="D157" i="14" s="1"/>
  <c r="K160" i="14" s="1"/>
  <c r="A21" i="5"/>
  <c r="A68" i="5"/>
  <c r="A79" i="5" s="1"/>
  <c r="C21" i="5"/>
  <c r="B19" i="13" s="1"/>
  <c r="D107" i="42"/>
  <c r="C109" i="42"/>
  <c r="I108" i="42"/>
  <c r="C480" i="5"/>
  <c r="C482" i="5" s="1"/>
  <c r="B28" i="5"/>
  <c r="H12" i="5"/>
  <c r="I12" i="5" s="1"/>
  <c r="B480" i="5"/>
  <c r="J16" i="5"/>
  <c r="J25" i="5" s="1"/>
  <c r="J452" i="5"/>
  <c r="J460" i="5" s="1"/>
  <c r="C526" i="8"/>
  <c r="C528" i="8" s="1"/>
  <c r="C532" i="8" s="1"/>
  <c r="C538" i="8" s="1"/>
  <c r="C157" i="8" s="1"/>
  <c r="C30" i="8" s="1"/>
  <c r="D498" i="5"/>
  <c r="F421" i="45"/>
  <c r="F424" i="45" s="1"/>
  <c r="F431" i="45" s="1"/>
  <c r="F432" i="45" s="1"/>
  <c r="C26" i="5"/>
  <c r="H17" i="5"/>
  <c r="I17" i="5" s="1"/>
  <c r="C512" i="5"/>
  <c r="C154" i="5"/>
  <c r="C468" i="5" s="1"/>
  <c r="A501" i="5"/>
  <c r="A512" i="5" s="1"/>
  <c r="N165" i="48"/>
  <c r="K261" i="5"/>
  <c r="K263" i="5" s="1"/>
  <c r="K274" i="5" s="1"/>
  <c r="D152" i="5"/>
  <c r="G107" i="42"/>
  <c r="I107" i="42" s="1"/>
  <c r="H25" i="5"/>
  <c r="I25" i="5" s="1"/>
  <c r="L64" i="5"/>
  <c r="L16" i="5" s="1"/>
  <c r="M53" i="40"/>
  <c r="D506" i="5"/>
  <c r="H106" i="42"/>
  <c r="D17" i="5"/>
  <c r="D101" i="5"/>
  <c r="K388" i="5"/>
  <c r="K390" i="5" s="1"/>
  <c r="K399" i="5" s="1"/>
  <c r="N350" i="5"/>
  <c r="N126" i="5" s="1"/>
  <c r="J496" i="5"/>
  <c r="H477" i="5"/>
  <c r="I477" i="5" s="1"/>
  <c r="S107" i="42"/>
  <c r="K180" i="5"/>
  <c r="K499" i="5" s="1"/>
  <c r="B479" i="5"/>
  <c r="B154" i="5"/>
  <c r="H6" i="3"/>
  <c r="J31" i="5"/>
  <c r="L137" i="5"/>
  <c r="M368" i="5"/>
  <c r="N238" i="5"/>
  <c r="M54" i="5"/>
  <c r="A480" i="5"/>
  <c r="A482" i="5" s="1"/>
  <c r="A198" i="5"/>
  <c r="N96" i="5"/>
  <c r="O315" i="5"/>
  <c r="A468" i="5"/>
  <c r="A165" i="5"/>
  <c r="D198" i="5"/>
  <c r="D480" i="5"/>
  <c r="A28" i="5"/>
  <c r="A12" i="5"/>
  <c r="C25" i="3"/>
  <c r="C26" i="3" s="1"/>
  <c r="C209" i="5"/>
  <c r="C469" i="5"/>
  <c r="P97" i="48"/>
  <c r="M108" i="42"/>
  <c r="M376" i="5"/>
  <c r="L141" i="5"/>
  <c r="H480" i="5"/>
  <c r="I480" i="5" s="1"/>
  <c r="M107" i="42"/>
  <c r="C207" i="15"/>
  <c r="J9" i="5"/>
  <c r="J27" i="5" s="1"/>
  <c r="D477" i="5"/>
  <c r="M61" i="5"/>
  <c r="N250" i="5"/>
  <c r="B510" i="5"/>
  <c r="B512" i="5" s="1"/>
  <c r="O423" i="5"/>
  <c r="L52" i="5"/>
  <c r="L56" i="5" s="1"/>
  <c r="M219" i="5"/>
  <c r="L240" i="5"/>
  <c r="B109" i="42"/>
  <c r="N206" i="48"/>
  <c r="N209" i="48"/>
  <c r="K99" i="48"/>
  <c r="D28" i="5"/>
  <c r="L447" i="5"/>
  <c r="K486" i="5"/>
  <c r="K192" i="5"/>
  <c r="K451" i="5"/>
  <c r="N148" i="5"/>
  <c r="O385" i="5"/>
  <c r="K98" i="48"/>
  <c r="J194" i="5"/>
  <c r="J196" i="5" s="1"/>
  <c r="B469" i="5"/>
  <c r="B209" i="5"/>
  <c r="O235" i="5"/>
  <c r="N53" i="5"/>
  <c r="B21" i="5"/>
  <c r="A19" i="13" s="1"/>
  <c r="A20" i="13" s="1"/>
  <c r="A23" i="13" s="1"/>
  <c r="L176" i="5"/>
  <c r="M413" i="5"/>
  <c r="M106" i="42"/>
  <c r="C467" i="5"/>
  <c r="C114" i="5"/>
  <c r="B467" i="5"/>
  <c r="B114" i="5"/>
  <c r="B79" i="5"/>
  <c r="B466" i="5"/>
  <c r="Q96" i="48"/>
  <c r="C9" i="42"/>
  <c r="C71" i="42" s="1"/>
  <c r="B9" i="60" s="1"/>
  <c r="B41" i="15"/>
  <c r="B10" i="15" s="1"/>
  <c r="R71" i="42"/>
  <c r="B35" i="60" s="1"/>
  <c r="D451" i="6"/>
  <c r="J421" i="45"/>
  <c r="J424" i="45" s="1"/>
  <c r="J431" i="45" s="1"/>
  <c r="J432" i="45" s="1"/>
  <c r="J127" i="8"/>
  <c r="L105" i="4"/>
  <c r="L158" i="4" s="1"/>
  <c r="M433" i="4"/>
  <c r="Q273" i="4"/>
  <c r="Q262" i="4"/>
  <c r="B151" i="42"/>
  <c r="E151" i="42" s="1"/>
  <c r="C41" i="15"/>
  <c r="D9" i="42"/>
  <c r="D71" i="42" s="1"/>
  <c r="C9" i="60" s="1"/>
  <c r="S71" i="42"/>
  <c r="C35" i="60" s="1"/>
  <c r="C7" i="4"/>
  <c r="B97" i="42"/>
  <c r="N236" i="10"/>
  <c r="K589" i="4" s="1"/>
  <c r="K148" i="4" s="1"/>
  <c r="L454" i="4"/>
  <c r="D412" i="4"/>
  <c r="D296" i="42"/>
  <c r="D298" i="42" s="1"/>
  <c r="B298" i="42"/>
  <c r="M236" i="10"/>
  <c r="L140" i="11" s="1"/>
  <c r="M140" i="11" s="1"/>
  <c r="N140" i="11" s="1"/>
  <c r="K81" i="16"/>
  <c r="K58" i="16"/>
  <c r="K70" i="16" s="1"/>
  <c r="C84" i="3"/>
  <c r="D299" i="4"/>
  <c r="R20" i="42"/>
  <c r="B191" i="15"/>
  <c r="H262" i="4"/>
  <c r="H273" i="4"/>
  <c r="K615" i="4"/>
  <c r="K110" i="4" s="1"/>
  <c r="P578" i="34"/>
  <c r="P515" i="34"/>
  <c r="G97" i="42"/>
  <c r="B53" i="3"/>
  <c r="L612" i="4"/>
  <c r="L615" i="4" s="1"/>
  <c r="L110" i="4" s="1"/>
  <c r="E36" i="60"/>
  <c r="E11" i="42"/>
  <c r="F368" i="34"/>
  <c r="M97" i="42"/>
  <c r="K176" i="4"/>
  <c r="K9" i="4" s="1"/>
  <c r="B39" i="10"/>
  <c r="B261" i="10" s="1"/>
  <c r="C41" i="3" s="1"/>
  <c r="D417" i="4"/>
  <c r="D90" i="4" s="1"/>
  <c r="D41" i="4" s="1"/>
  <c r="D7" i="10"/>
  <c r="K65" i="15"/>
  <c r="K96" i="15" s="1"/>
  <c r="L3" i="54"/>
  <c r="AC3" i="54" s="1"/>
  <c r="D659" i="4"/>
  <c r="P56" i="17"/>
  <c r="P93" i="17"/>
  <c r="L235" i="4"/>
  <c r="L265" i="4" s="1"/>
  <c r="M756" i="4"/>
  <c r="F515" i="34"/>
  <c r="F578" i="34"/>
  <c r="M628" i="34"/>
  <c r="M672" i="34"/>
  <c r="M756" i="34" s="1"/>
  <c r="M788" i="34" s="1"/>
  <c r="J192" i="4"/>
  <c r="B515" i="34"/>
  <c r="P84" i="17"/>
  <c r="A54" i="3"/>
  <c r="A56" i="3" s="1"/>
  <c r="A49" i="3"/>
  <c r="A50" i="3" s="1"/>
  <c r="L329" i="4"/>
  <c r="I773" i="34"/>
  <c r="K58" i="4"/>
  <c r="P75" i="17"/>
  <c r="J145" i="22"/>
  <c r="B50" i="3"/>
  <c r="B54" i="3"/>
  <c r="B526" i="8"/>
  <c r="B528" i="8" s="1"/>
  <c r="B532" i="8" s="1"/>
  <c r="B538" i="8" s="1"/>
  <c r="B157" i="8" s="1"/>
  <c r="B30" i="8" s="1"/>
  <c r="R79" i="42"/>
  <c r="B43" i="60" s="1"/>
  <c r="B51" i="15"/>
  <c r="B20" i="15" s="1"/>
  <c r="D481" i="34"/>
  <c r="C19" i="42"/>
  <c r="C65" i="15"/>
  <c r="C96" i="15" s="1"/>
  <c r="E3" i="54"/>
  <c r="V3" i="54" s="1"/>
  <c r="C58" i="16"/>
  <c r="C70" i="16" s="1"/>
  <c r="C81" i="16"/>
  <c r="C95" i="16"/>
  <c r="J515" i="34"/>
  <c r="J578" i="34"/>
  <c r="K53" i="40"/>
  <c r="K121" i="40"/>
  <c r="K150" i="40" s="1"/>
  <c r="N579" i="4"/>
  <c r="M138" i="4"/>
  <c r="M145" i="22"/>
  <c r="M92" i="22"/>
  <c r="M142" i="22" s="1"/>
  <c r="CA3" i="22"/>
  <c r="CO3" i="22" s="1"/>
  <c r="A33" i="19"/>
  <c r="O39" i="19"/>
  <c r="L66" i="4"/>
  <c r="M356" i="4"/>
  <c r="B65" i="15"/>
  <c r="B96" i="15" s="1"/>
  <c r="U72" i="42"/>
  <c r="G36" i="60" s="1"/>
  <c r="L672" i="4"/>
  <c r="C865" i="4"/>
  <c r="C904" i="4"/>
  <c r="A2059" i="6"/>
  <c r="A465" i="6"/>
  <c r="M3" i="54"/>
  <c r="AD3" i="54" s="1"/>
  <c r="L65" i="15"/>
  <c r="L96" i="15" s="1"/>
  <c r="L628" i="34"/>
  <c r="L672" i="34"/>
  <c r="L756" i="34" s="1"/>
  <c r="L788" i="34" s="1"/>
  <c r="D533" i="7"/>
  <c r="C75" i="17"/>
  <c r="C65" i="17"/>
  <c r="G28" i="20"/>
  <c r="G45" i="20" s="1"/>
  <c r="C93" i="17"/>
  <c r="C56" i="17"/>
  <c r="C84" i="17"/>
  <c r="H140" i="42"/>
  <c r="I140" i="42" s="1"/>
  <c r="D15" i="8"/>
  <c r="D147" i="8"/>
  <c r="D584" i="8"/>
  <c r="L81" i="16"/>
  <c r="L95" i="16"/>
  <c r="L58" i="16"/>
  <c r="L70" i="16" s="1"/>
  <c r="M127" i="8"/>
  <c r="M421" i="45"/>
  <c r="J760" i="34"/>
  <c r="L286" i="15"/>
  <c r="N20" i="19"/>
  <c r="M669" i="4"/>
  <c r="M173" i="4" s="1"/>
  <c r="B333" i="8"/>
  <c r="B335" i="8" s="1"/>
  <c r="B338" i="8" s="1"/>
  <c r="B347" i="8" s="1"/>
  <c r="A127" i="3" s="1"/>
  <c r="O441" i="4"/>
  <c r="N108" i="4"/>
  <c r="H652" i="4"/>
  <c r="I652" i="4" s="1"/>
  <c r="C286" i="15"/>
  <c r="G20" i="19"/>
  <c r="H150" i="22"/>
  <c r="G39" i="17"/>
  <c r="H540" i="8"/>
  <c r="L56" i="17"/>
  <c r="N28" i="20"/>
  <c r="N45" i="20" s="1"/>
  <c r="L75" i="17"/>
  <c r="L65" i="17"/>
  <c r="L93" i="17"/>
  <c r="L84" i="17"/>
  <c r="M65" i="15"/>
  <c r="M96" i="15" s="1"/>
  <c r="N3" i="54"/>
  <c r="AE3" i="54" s="1"/>
  <c r="M70" i="4"/>
  <c r="N369" i="4"/>
  <c r="F43" i="15"/>
  <c r="G43" i="15" s="1"/>
  <c r="I53" i="40"/>
  <c r="I121" i="40"/>
  <c r="I150" i="40" s="1"/>
  <c r="I515" i="34"/>
  <c r="I578" i="34"/>
  <c r="M20" i="19"/>
  <c r="K286" i="15"/>
  <c r="C861" i="4"/>
  <c r="C84" i="4"/>
  <c r="L92" i="22"/>
  <c r="L142" i="22" s="1"/>
  <c r="BZ3" i="22"/>
  <c r="CN3" i="22" s="1"/>
  <c r="L145" i="22"/>
  <c r="M436" i="4"/>
  <c r="L106" i="4"/>
  <c r="L121" i="40"/>
  <c r="L150" i="40" s="1"/>
  <c r="L53" i="40"/>
  <c r="A301" i="4"/>
  <c r="A853" i="4" s="1"/>
  <c r="B64" i="3"/>
  <c r="A53" i="40"/>
  <c r="A116" i="40" s="1"/>
  <c r="R40" i="42" s="1"/>
  <c r="A121" i="40"/>
  <c r="A150" i="40" s="1"/>
  <c r="L72" i="4"/>
  <c r="M371" i="4"/>
  <c r="O362" i="4"/>
  <c r="M738" i="4"/>
  <c r="J717" i="34"/>
  <c r="L227" i="4"/>
  <c r="O431" i="4"/>
  <c r="A81" i="16"/>
  <c r="A58" i="16"/>
  <c r="A70" i="16"/>
  <c r="A95" i="16"/>
  <c r="O515" i="34"/>
  <c r="O578" i="34"/>
  <c r="S50" i="42"/>
  <c r="D50" i="42" s="1"/>
  <c r="E468" i="34" s="1"/>
  <c r="K775" i="34"/>
  <c r="N797" i="4"/>
  <c r="N282" i="4" s="1"/>
  <c r="G53" i="40"/>
  <c r="G116" i="40" s="1"/>
  <c r="G121" i="40"/>
  <c r="G150" i="40" s="1"/>
  <c r="L577" i="4"/>
  <c r="K135" i="4"/>
  <c r="K584" i="4"/>
  <c r="L174" i="4"/>
  <c r="L176" i="4" s="1"/>
  <c r="L9" i="4" s="1"/>
  <c r="M670" i="4"/>
  <c r="O732" i="4"/>
  <c r="L184" i="4"/>
  <c r="M694" i="4"/>
  <c r="A153" i="4"/>
  <c r="A850" i="4"/>
  <c r="J58" i="16"/>
  <c r="J70" i="16" s="1"/>
  <c r="J95" i="16"/>
  <c r="J81" i="16"/>
  <c r="C156" i="3"/>
  <c r="C157" i="3" s="1"/>
  <c r="L71" i="4"/>
  <c r="M370" i="4"/>
  <c r="E421" i="45"/>
  <c r="E424" i="45" s="1"/>
  <c r="E431" i="45" s="1"/>
  <c r="E432" i="45" s="1"/>
  <c r="E433" i="45" s="1"/>
  <c r="B127" i="8"/>
  <c r="B145" i="8" s="1"/>
  <c r="L540" i="8"/>
  <c r="L159" i="8" s="1"/>
  <c r="K150" i="22"/>
  <c r="J39" i="17"/>
  <c r="O434" i="4"/>
  <c r="L182" i="4"/>
  <c r="M685" i="4"/>
  <c r="K3" i="54"/>
  <c r="AB3" i="54" s="1"/>
  <c r="J65" i="15"/>
  <c r="J96" i="15" s="1"/>
  <c r="C578" i="34"/>
  <c r="C515" i="34"/>
  <c r="B865" i="4"/>
  <c r="H703" i="4"/>
  <c r="I703" i="4" s="1"/>
  <c r="L56" i="4"/>
  <c r="M326" i="4"/>
  <c r="J286" i="15"/>
  <c r="L20" i="19"/>
  <c r="B189" i="42"/>
  <c r="E189" i="42" s="1"/>
  <c r="D40" i="42"/>
  <c r="C44" i="15"/>
  <c r="S47" i="42"/>
  <c r="D47" i="42" s="1"/>
  <c r="B681" i="6"/>
  <c r="B2083" i="6"/>
  <c r="N515" i="34"/>
  <c r="N578" i="34"/>
  <c r="M444" i="4"/>
  <c r="M404" i="4"/>
  <c r="L78" i="4"/>
  <c r="N555" i="4"/>
  <c r="J56" i="17"/>
  <c r="J84" i="17"/>
  <c r="L28" i="20"/>
  <c r="L45" i="20" s="1"/>
  <c r="J65" i="17"/>
  <c r="J75" i="17"/>
  <c r="J93" i="17"/>
  <c r="B861" i="4"/>
  <c r="B84" i="4"/>
  <c r="H297" i="4"/>
  <c r="I297" i="4" s="1"/>
  <c r="BT3" i="22"/>
  <c r="CH3" i="22" s="1"/>
  <c r="F145" i="22"/>
  <c r="F92" i="22"/>
  <c r="F142" i="22" s="1"/>
  <c r="M234" i="4"/>
  <c r="N747" i="4"/>
  <c r="N807" i="4"/>
  <c r="N290" i="4" s="1"/>
  <c r="N448" i="4"/>
  <c r="M114" i="4"/>
  <c r="L180" i="4"/>
  <c r="M677" i="4"/>
  <c r="H127" i="8"/>
  <c r="I127" i="8" s="1"/>
  <c r="I421" i="45"/>
  <c r="I424" i="45" s="1"/>
  <c r="I431" i="45" s="1"/>
  <c r="I432" i="45" s="1"/>
  <c r="I774" i="34"/>
  <c r="L447" i="4"/>
  <c r="L113" i="4" s="1"/>
  <c r="L384" i="4"/>
  <c r="L77" i="4" s="1"/>
  <c r="M321" i="4"/>
  <c r="L55" i="4"/>
  <c r="CE3" i="22"/>
  <c r="CS3" i="22" s="1"/>
  <c r="Q92" i="22"/>
  <c r="Q142" i="22" s="1"/>
  <c r="Q145" i="22"/>
  <c r="A3" i="54"/>
  <c r="A65" i="15"/>
  <c r="A96" i="15" s="1"/>
  <c r="A15" i="8"/>
  <c r="A17" i="8" s="1"/>
  <c r="A19" i="8" s="1"/>
  <c r="A23" i="8" s="1"/>
  <c r="A34" i="8" s="1"/>
  <c r="A147" i="8"/>
  <c r="A584" i="8"/>
  <c r="A586" i="8" s="1"/>
  <c r="A588" i="8" s="1"/>
  <c r="H19" i="4"/>
  <c r="I19" i="4" s="1"/>
  <c r="R99" i="42"/>
  <c r="B48" i="6"/>
  <c r="I9" i="48"/>
  <c r="L73" i="4"/>
  <c r="M372" i="4"/>
  <c r="K578" i="34"/>
  <c r="K515" i="34"/>
  <c r="L562" i="4"/>
  <c r="K55" i="4"/>
  <c r="B143" i="4"/>
  <c r="B862" i="4"/>
  <c r="A56" i="17"/>
  <c r="A65" i="17"/>
  <c r="A93" i="17"/>
  <c r="A84" i="17"/>
  <c r="A75" i="17"/>
  <c r="H515" i="34"/>
  <c r="H578" i="34"/>
  <c r="I136" i="3"/>
  <c r="L545" i="4"/>
  <c r="C161" i="11"/>
  <c r="D679" i="6"/>
  <c r="H27" i="5"/>
  <c r="I27" i="5" s="1"/>
  <c r="N366" i="5"/>
  <c r="M136" i="5"/>
  <c r="H101" i="5"/>
  <c r="I101" i="5" s="1"/>
  <c r="H506" i="5"/>
  <c r="I506" i="5" s="1"/>
  <c r="R106" i="42"/>
  <c r="H108" i="7"/>
  <c r="I108" i="7" s="1"/>
  <c r="H19" i="7"/>
  <c r="I19" i="7" s="1"/>
  <c r="L118" i="8"/>
  <c r="J114" i="3"/>
  <c r="O213" i="8"/>
  <c r="N55" i="8"/>
  <c r="C51" i="15"/>
  <c r="B207" i="15"/>
  <c r="B152" i="15" s="1"/>
  <c r="B134" i="13"/>
  <c r="B135" i="13" s="1"/>
  <c r="B159" i="42"/>
  <c r="E159" i="42" s="1"/>
  <c r="B25" i="3"/>
  <c r="B26" i="3" s="1"/>
  <c r="M123" i="42"/>
  <c r="M274" i="7"/>
  <c r="R23" i="26"/>
  <c r="N758" i="7"/>
  <c r="N475" i="7"/>
  <c r="M80" i="7"/>
  <c r="M522" i="7"/>
  <c r="L99" i="7"/>
  <c r="K441" i="6"/>
  <c r="M1368" i="6"/>
  <c r="L450" i="6"/>
  <c r="L1374" i="6"/>
  <c r="K455" i="6"/>
  <c r="N1367" i="6"/>
  <c r="M1373" i="6"/>
  <c r="M449" i="6"/>
  <c r="V3" i="10"/>
  <c r="V122" i="10" s="1"/>
  <c r="G102" i="11"/>
  <c r="H102" i="11" s="1"/>
  <c r="J102" i="11" s="1"/>
  <c r="E161" i="11"/>
  <c r="S126" i="11"/>
  <c r="T126" i="11" s="1"/>
  <c r="D161" i="11"/>
  <c r="S50" i="11"/>
  <c r="T50" i="11" s="1"/>
  <c r="O795" i="6"/>
  <c r="N99" i="6"/>
  <c r="K281" i="4"/>
  <c r="A84" i="4"/>
  <c r="A861" i="4"/>
  <c r="A27" i="4"/>
  <c r="A864" i="4"/>
  <c r="A247" i="4"/>
  <c r="D30" i="4"/>
  <c r="J94" i="48"/>
  <c r="B312" i="4"/>
  <c r="B853" i="4"/>
  <c r="K91" i="48"/>
  <c r="L828" i="4"/>
  <c r="L292" i="4" s="1"/>
  <c r="L832" i="4"/>
  <c r="K835" i="4"/>
  <c r="K295" i="4"/>
  <c r="K300" i="4" s="1"/>
  <c r="K130" i="4"/>
  <c r="L570" i="4"/>
  <c r="K95" i="48"/>
  <c r="L697" i="4"/>
  <c r="K702" i="4"/>
  <c r="K190" i="4"/>
  <c r="K195" i="4" s="1"/>
  <c r="H141" i="4"/>
  <c r="I141" i="4" s="1"/>
  <c r="H18" i="4"/>
  <c r="I18" i="4" s="1"/>
  <c r="L648" i="4"/>
  <c r="K651" i="4"/>
  <c r="K136" i="4"/>
  <c r="B851" i="4"/>
  <c r="B207" i="4"/>
  <c r="C258" i="4"/>
  <c r="C852" i="4"/>
  <c r="C853" i="4"/>
  <c r="C312" i="4"/>
  <c r="R101" i="42"/>
  <c r="S101" i="42" s="1"/>
  <c r="H834" i="4"/>
  <c r="I834" i="4" s="1"/>
  <c r="D585" i="4"/>
  <c r="N688" i="7"/>
  <c r="M231" i="7"/>
  <c r="K236" i="7"/>
  <c r="K21" i="7" s="1"/>
  <c r="M687" i="7"/>
  <c r="L230" i="7"/>
  <c r="H122" i="42"/>
  <c r="I122" i="42" s="1"/>
  <c r="B156" i="3"/>
  <c r="B157" i="3" s="1"/>
  <c r="J39" i="6"/>
  <c r="J166" i="6"/>
  <c r="J169" i="6" s="1"/>
  <c r="J2054" i="6" s="1"/>
  <c r="M305" i="6"/>
  <c r="N1173" i="6"/>
  <c r="L1129" i="6"/>
  <c r="K323" i="6"/>
  <c r="G7" i="3"/>
  <c r="H52" i="6"/>
  <c r="I52" i="6" s="1"/>
  <c r="F30" i="13"/>
  <c r="N2028" i="6"/>
  <c r="M725" i="6"/>
  <c r="M593" i="6"/>
  <c r="N1757" i="6"/>
  <c r="M936" i="6"/>
  <c r="L941" i="6"/>
  <c r="L161" i="6"/>
  <c r="H606" i="6"/>
  <c r="I606" i="6" s="1"/>
  <c r="L165" i="45"/>
  <c r="A2063" i="6"/>
  <c r="A689" i="6"/>
  <c r="J254" i="6"/>
  <c r="N1762" i="6"/>
  <c r="M1770" i="6"/>
  <c r="M598" i="6"/>
  <c r="M605" i="6" s="1"/>
  <c r="L1500" i="6"/>
  <c r="K1501" i="6"/>
  <c r="K1506" i="6" s="1"/>
  <c r="K1508" i="6" s="1"/>
  <c r="O1952" i="6"/>
  <c r="J418" i="6"/>
  <c r="C2061" i="6"/>
  <c r="C562" i="6"/>
  <c r="G767" i="34"/>
  <c r="G779" i="34" s="1"/>
  <c r="H1259" i="6"/>
  <c r="I1259" i="6" s="1"/>
  <c r="K375" i="6"/>
  <c r="K379" i="6" s="1"/>
  <c r="K27" i="6" s="1"/>
  <c r="L1239" i="6"/>
  <c r="K1228" i="6"/>
  <c r="K1257" i="6"/>
  <c r="N1879" i="6"/>
  <c r="M653" i="6"/>
  <c r="L1550" i="6"/>
  <c r="K444" i="6"/>
  <c r="K1570" i="6"/>
  <c r="O1334" i="6"/>
  <c r="N429" i="6"/>
  <c r="J729" i="34"/>
  <c r="M1351" i="6"/>
  <c r="L432" i="6"/>
  <c r="D19" i="6"/>
  <c r="D46" i="6"/>
  <c r="K108" i="48"/>
  <c r="N1679" i="6"/>
  <c r="M148" i="6"/>
  <c r="N906" i="6"/>
  <c r="D1510" i="6"/>
  <c r="B22" i="42"/>
  <c r="J31" i="6"/>
  <c r="N1752" i="6"/>
  <c r="M592" i="6"/>
  <c r="L648" i="6"/>
  <c r="M1860" i="6"/>
  <c r="O773" i="6"/>
  <c r="N89" i="6"/>
  <c r="L1306" i="6"/>
  <c r="I113" i="3"/>
  <c r="K1370" i="6"/>
  <c r="K422" i="6"/>
  <c r="K246" i="6"/>
  <c r="K1035" i="6"/>
  <c r="L1027" i="6"/>
  <c r="I764" i="34"/>
  <c r="L2001" i="6"/>
  <c r="H15" i="58"/>
  <c r="K709" i="6"/>
  <c r="M304" i="6"/>
  <c r="N1172" i="6"/>
  <c r="L539" i="6"/>
  <c r="M1675" i="6"/>
  <c r="J1372" i="6"/>
  <c r="J1375" i="6" s="1"/>
  <c r="J1383" i="6" s="1"/>
  <c r="K668" i="6"/>
  <c r="L1946" i="6"/>
  <c r="L1504" i="6"/>
  <c r="K448" i="6"/>
  <c r="K454" i="6" s="1"/>
  <c r="K1509" i="6"/>
  <c r="L657" i="6"/>
  <c r="M1895" i="6"/>
  <c r="L626" i="6"/>
  <c r="M1790" i="6"/>
  <c r="N430" i="6"/>
  <c r="O1335" i="6"/>
  <c r="L441" i="6"/>
  <c r="M1422" i="6"/>
  <c r="L303" i="6"/>
  <c r="M1170" i="6"/>
  <c r="M1175" i="6" s="1"/>
  <c r="C2057" i="6"/>
  <c r="C355" i="6"/>
  <c r="M658" i="6"/>
  <c r="N1922" i="6"/>
  <c r="C2054" i="6"/>
  <c r="C180" i="6"/>
  <c r="L1924" i="6"/>
  <c r="K660" i="6"/>
  <c r="G124" i="42"/>
  <c r="I120" i="42"/>
  <c r="M1246" i="6"/>
  <c r="M29" i="45" s="1"/>
  <c r="L1231" i="6"/>
  <c r="L369" i="6" s="1"/>
  <c r="L377" i="6"/>
  <c r="B223" i="6"/>
  <c r="B2075" i="6"/>
  <c r="M154" i="6"/>
  <c r="N919" i="6"/>
  <c r="K217" i="15"/>
  <c r="K138" i="15"/>
  <c r="K162" i="15" s="1"/>
  <c r="M863" i="6"/>
  <c r="L869" i="6"/>
  <c r="L158" i="6"/>
  <c r="M1953" i="6"/>
  <c r="L669" i="6"/>
  <c r="L1636" i="6"/>
  <c r="K503" i="6"/>
  <c r="A55" i="15"/>
  <c r="A24" i="15" s="1"/>
  <c r="L95" i="6"/>
  <c r="M789" i="6"/>
  <c r="L1294" i="6"/>
  <c r="I769" i="34"/>
  <c r="K1299" i="6"/>
  <c r="K408" i="6"/>
  <c r="N1166" i="6"/>
  <c r="M310" i="6"/>
  <c r="K768" i="34"/>
  <c r="M792" i="6"/>
  <c r="L98" i="6"/>
  <c r="B194" i="15"/>
  <c r="B139" i="15" s="1"/>
  <c r="B163" i="15" s="1"/>
  <c r="K36" i="45"/>
  <c r="O754" i="6"/>
  <c r="J1572" i="6"/>
  <c r="J1574" i="6" s="1"/>
  <c r="J1585" i="6" s="1"/>
  <c r="M440" i="6"/>
  <c r="N1419" i="6"/>
  <c r="A39" i="6"/>
  <c r="A35" i="6"/>
  <c r="A51" i="6" s="1"/>
  <c r="A56" i="6" s="1"/>
  <c r="A67" i="6" s="1"/>
  <c r="N1595" i="6"/>
  <c r="M478" i="6"/>
  <c r="L144" i="6"/>
  <c r="M890" i="6"/>
  <c r="Q118" i="42"/>
  <c r="H12" i="6"/>
  <c r="I12" i="6" s="1"/>
  <c r="J732" i="34"/>
  <c r="M1863" i="6"/>
  <c r="N1339" i="6"/>
  <c r="M431" i="6"/>
  <c r="K1461" i="6"/>
  <c r="J451" i="6"/>
  <c r="J28" i="6" s="1"/>
  <c r="N1873" i="6"/>
  <c r="M652" i="6"/>
  <c r="J30" i="6"/>
  <c r="J46" i="6" s="1"/>
  <c r="L797" i="6"/>
  <c r="K102" i="6"/>
  <c r="K803" i="6"/>
  <c r="D2081" i="6"/>
  <c r="D551" i="6"/>
  <c r="K433" i="6"/>
  <c r="K435" i="6" s="1"/>
  <c r="L1361" i="6"/>
  <c r="M1942" i="6"/>
  <c r="L667" i="6"/>
  <c r="N1119" i="6"/>
  <c r="M321" i="6"/>
  <c r="M30" i="45"/>
  <c r="F217" i="34"/>
  <c r="F815" i="34" s="1"/>
  <c r="D825" i="34"/>
  <c r="D795" i="34"/>
  <c r="D801" i="34" s="1"/>
  <c r="A169" i="6"/>
  <c r="A2074" i="6"/>
  <c r="M439" i="6"/>
  <c r="N1418" i="6"/>
  <c r="M209" i="6"/>
  <c r="N992" i="6"/>
  <c r="M1794" i="6"/>
  <c r="L628" i="6"/>
  <c r="K540" i="6"/>
  <c r="L1676" i="6"/>
  <c r="B69" i="13"/>
  <c r="L29" i="45"/>
  <c r="N1283" i="6"/>
  <c r="M403" i="6"/>
  <c r="L475" i="6"/>
  <c r="M1597" i="6"/>
  <c r="K155" i="6"/>
  <c r="K164" i="6" s="1"/>
  <c r="L929" i="6"/>
  <c r="J724" i="34" s="1"/>
  <c r="D2075" i="6"/>
  <c r="D223" i="6"/>
  <c r="L1200" i="6"/>
  <c r="K338" i="6"/>
  <c r="K1205" i="6"/>
  <c r="L322" i="6"/>
  <c r="M1128" i="6"/>
  <c r="L90" i="6"/>
  <c r="M774" i="6"/>
  <c r="M1311" i="6"/>
  <c r="M1407" i="6"/>
  <c r="L438" i="6"/>
  <c r="N784" i="6"/>
  <c r="O763" i="6"/>
  <c r="J1463" i="6"/>
  <c r="J1465" i="6" s="1"/>
  <c r="J1474" i="6" s="1"/>
  <c r="O2032" i="6"/>
  <c r="K23" i="58"/>
  <c r="K37" i="58" s="1"/>
  <c r="N2037" i="6"/>
  <c r="N729" i="6"/>
  <c r="N734" i="6" s="1"/>
  <c r="N1293" i="6"/>
  <c r="I763" i="34"/>
  <c r="L764" i="6"/>
  <c r="K767" i="6"/>
  <c r="K785" i="6"/>
  <c r="K78" i="6"/>
  <c r="K81" i="6" s="1"/>
  <c r="C2063" i="6"/>
  <c r="C689" i="6"/>
  <c r="M146" i="6"/>
  <c r="N900" i="6"/>
  <c r="L1850" i="6"/>
  <c r="K644" i="6"/>
  <c r="B2073" i="6"/>
  <c r="B109" i="6"/>
  <c r="L1392" i="6"/>
  <c r="K1403" i="6"/>
  <c r="I771" i="34" s="1"/>
  <c r="K412" i="6"/>
  <c r="H10" i="6"/>
  <c r="I10" i="6" s="1"/>
  <c r="Q116" i="42"/>
  <c r="H342" i="6"/>
  <c r="I342" i="6" s="1"/>
  <c r="L1682" i="6"/>
  <c r="K541" i="6"/>
  <c r="J108" i="6"/>
  <c r="J2090" i="6"/>
  <c r="L1098" i="6"/>
  <c r="K311" i="6"/>
  <c r="K1105" i="6"/>
  <c r="J371" i="6"/>
  <c r="M1486" i="6"/>
  <c r="N1484" i="6"/>
  <c r="M414" i="6"/>
  <c r="M1959" i="6"/>
  <c r="L675" i="6"/>
  <c r="L680" i="6" s="1"/>
  <c r="L1965" i="6"/>
  <c r="K662" i="6"/>
  <c r="L1926" i="6"/>
  <c r="L1531" i="6"/>
  <c r="K409" i="6"/>
  <c r="K1539" i="6"/>
  <c r="M152" i="6"/>
  <c r="N909" i="6"/>
  <c r="N1304" i="6"/>
  <c r="L32" i="45"/>
  <c r="M1180" i="6"/>
  <c r="L326" i="6"/>
  <c r="K484" i="6"/>
  <c r="L1601" i="6"/>
  <c r="K445" i="6"/>
  <c r="L1492" i="6"/>
  <c r="J102" i="48"/>
  <c r="D40" i="6"/>
  <c r="L1811" i="6"/>
  <c r="K633" i="6"/>
  <c r="R1988" i="6"/>
  <c r="S1988" i="6" s="1"/>
  <c r="K1204" i="6"/>
  <c r="M147" i="6"/>
  <c r="N901" i="6"/>
  <c r="N917" i="6"/>
  <c r="M153" i="6"/>
  <c r="L586" i="6"/>
  <c r="M1749" i="6"/>
  <c r="N1247" i="6"/>
  <c r="K728" i="34"/>
  <c r="M1066" i="6"/>
  <c r="L1072" i="6"/>
  <c r="L270" i="6"/>
  <c r="L277" i="6" s="1"/>
  <c r="K252" i="6"/>
  <c r="L1032" i="6"/>
  <c r="L88" i="6"/>
  <c r="M772" i="6"/>
  <c r="J800" i="6"/>
  <c r="J802" i="6" s="1"/>
  <c r="J804" i="6" s="1"/>
  <c r="J813" i="6" s="1"/>
  <c r="J93" i="6"/>
  <c r="J105" i="6" s="1"/>
  <c r="L572" i="6"/>
  <c r="M1723" i="6"/>
  <c r="N1113" i="6"/>
  <c r="L34" i="45"/>
  <c r="L319" i="6"/>
  <c r="M1112" i="6"/>
  <c r="N1092" i="6"/>
  <c r="M301" i="6"/>
  <c r="N33" i="45"/>
  <c r="N263" i="6"/>
  <c r="N260" i="6"/>
  <c r="K726" i="34"/>
  <c r="M259" i="6"/>
  <c r="N164" i="45"/>
  <c r="O978" i="6"/>
  <c r="M161" i="45"/>
  <c r="M165" i="45" s="1"/>
  <c r="M201" i="6"/>
  <c r="K725" i="34"/>
  <c r="N975" i="6"/>
  <c r="N71" i="11"/>
  <c r="M77" i="11"/>
  <c r="V130" i="10"/>
  <c r="U50" i="11" s="1"/>
  <c r="W130" i="10"/>
  <c r="L350" i="6"/>
  <c r="W212" i="10"/>
  <c r="V212" i="10"/>
  <c r="U126" i="11" s="1"/>
  <c r="M1212" i="6"/>
  <c r="AD236" i="10"/>
  <c r="J462" i="6"/>
  <c r="R239" i="10"/>
  <c r="K1517" i="6"/>
  <c r="N987" i="6"/>
  <c r="M207" i="6"/>
  <c r="M193" i="6"/>
  <c r="N961" i="6"/>
  <c r="N1743" i="6"/>
  <c r="M585" i="6"/>
  <c r="O859" i="6"/>
  <c r="N139" i="6"/>
  <c r="O845" i="6"/>
  <c r="M835" i="6"/>
  <c r="L866" i="6"/>
  <c r="L868" i="6" s="1"/>
  <c r="L137" i="6"/>
  <c r="H2074" i="6"/>
  <c r="D19" i="42"/>
  <c r="E469" i="34" s="1"/>
  <c r="E481" i="34"/>
  <c r="E535" i="34" s="1"/>
  <c r="N762" i="6"/>
  <c r="M783" i="6"/>
  <c r="M87" i="6"/>
  <c r="N771" i="6"/>
  <c r="N86" i="6"/>
  <c r="O770" i="6"/>
  <c r="L496" i="6"/>
  <c r="M1623" i="6"/>
  <c r="N1612" i="6"/>
  <c r="P838" i="6"/>
  <c r="Q838" i="6" s="1"/>
  <c r="Q138" i="6" s="1"/>
  <c r="O138" i="6"/>
  <c r="N460" i="7"/>
  <c r="M74" i="7"/>
  <c r="H28" i="5"/>
  <c r="I28" i="5" s="1"/>
  <c r="H460" i="5"/>
  <c r="I460" i="5" s="1"/>
  <c r="H399" i="5"/>
  <c r="I399" i="5" s="1"/>
  <c r="P364" i="5"/>
  <c r="H323" i="5"/>
  <c r="I323" i="5" s="1"/>
  <c r="N245" i="5"/>
  <c r="M60" i="5"/>
  <c r="J834" i="4"/>
  <c r="N463" i="4"/>
  <c r="R52" i="42"/>
  <c r="F47" i="11"/>
  <c r="G46" i="11"/>
  <c r="H46" i="11" s="1"/>
  <c r="CW210" i="9"/>
  <c r="CJ210" i="9"/>
  <c r="CY49" i="9"/>
  <c r="CL49" i="9"/>
  <c r="CK123" i="9"/>
  <c r="CJ79" i="9"/>
  <c r="CW79" i="9"/>
  <c r="CK127" i="9"/>
  <c r="CX127" i="9"/>
  <c r="CW152" i="9"/>
  <c r="CJ152" i="9"/>
  <c r="CW179" i="9"/>
  <c r="CJ179" i="9"/>
  <c r="CK120" i="9"/>
  <c r="CX120" i="9"/>
  <c r="CJ154" i="9"/>
  <c r="CW154" i="9"/>
  <c r="CW82" i="9"/>
  <c r="CJ82" i="9"/>
  <c r="CW156" i="9"/>
  <c r="CJ156" i="9"/>
  <c r="CK73" i="9"/>
  <c r="CX73" i="9"/>
  <c r="CL181" i="9"/>
  <c r="CW217" i="9"/>
  <c r="CJ217" i="9"/>
  <c r="CJ36" i="9"/>
  <c r="CW36" i="9"/>
  <c r="H202" i="15"/>
  <c r="H147" i="15" s="1"/>
  <c r="V44" i="42"/>
  <c r="G143" i="13"/>
  <c r="O74" i="14"/>
  <c r="CJ203" i="9"/>
  <c r="CW203" i="9"/>
  <c r="CJ180" i="9"/>
  <c r="CW180" i="9"/>
  <c r="CW198" i="9"/>
  <c r="CJ198" i="9"/>
  <c r="CW37" i="9"/>
  <c r="CJ37" i="9"/>
  <c r="CW115" i="9"/>
  <c r="CJ115" i="9"/>
  <c r="CW128" i="9"/>
  <c r="CJ128" i="9"/>
  <c r="CY169" i="9"/>
  <c r="CL169" i="9"/>
  <c r="CK50" i="9"/>
  <c r="CX50" i="9"/>
  <c r="Z66" i="9"/>
  <c r="CJ100" i="9"/>
  <c r="CW100" i="9"/>
  <c r="CW196" i="9"/>
  <c r="CJ196" i="9"/>
  <c r="CZ59" i="9"/>
  <c r="CM59" i="9"/>
  <c r="CJ213" i="9"/>
  <c r="CW213" i="9"/>
  <c r="CJ21" i="9"/>
  <c r="CW21" i="9"/>
  <c r="CW153" i="9"/>
  <c r="CJ153" i="9"/>
  <c r="CK42" i="9"/>
  <c r="CX42" i="9"/>
  <c r="CW155" i="9"/>
  <c r="CJ155" i="9"/>
  <c r="CJ121" i="9"/>
  <c r="CW121" i="9"/>
  <c r="CW110" i="9"/>
  <c r="CJ110" i="9"/>
  <c r="CL40" i="9"/>
  <c r="CY40" i="9"/>
  <c r="CJ141" i="9"/>
  <c r="CW141" i="9"/>
  <c r="CJ147" i="9"/>
  <c r="CW147" i="9"/>
  <c r="CU221" i="9"/>
  <c r="CK14" i="9"/>
  <c r="CX14" i="9"/>
  <c r="L141" i="9"/>
  <c r="AZ141" i="9"/>
  <c r="R8" i="37" s="1"/>
  <c r="M41" i="45"/>
  <c r="CI206" i="9"/>
  <c r="CV206" i="9"/>
  <c r="CK107" i="9"/>
  <c r="CX107" i="9"/>
  <c r="CK43" i="9"/>
  <c r="CX43" i="9"/>
  <c r="CL30" i="9"/>
  <c r="CK124" i="9"/>
  <c r="CX124" i="9"/>
  <c r="CL209" i="9"/>
  <c r="CI51" i="9"/>
  <c r="CV51" i="9"/>
  <c r="CJ93" i="9"/>
  <c r="CW93" i="9"/>
  <c r="CK118" i="9"/>
  <c r="CX118" i="9"/>
  <c r="CJ113" i="9"/>
  <c r="CW113" i="9"/>
  <c r="CX132" i="9"/>
  <c r="CK132" i="9"/>
  <c r="Q540" i="8"/>
  <c r="Q159" i="8" s="1"/>
  <c r="O39" i="17"/>
  <c r="M74" i="14"/>
  <c r="H97" i="12"/>
  <c r="L7" i="10" s="1"/>
  <c r="I39" i="17"/>
  <c r="K540" i="8"/>
  <c r="K159" i="8" s="1"/>
  <c r="K32" i="8" s="1"/>
  <c r="J150" i="22"/>
  <c r="L294" i="3"/>
  <c r="M284" i="3"/>
  <c r="D1145" i="7"/>
  <c r="B1131" i="7"/>
  <c r="B373" i="7"/>
  <c r="R19" i="26"/>
  <c r="N768" i="7"/>
  <c r="M279" i="7"/>
  <c r="M673" i="7"/>
  <c r="L676" i="7"/>
  <c r="L222" i="7"/>
  <c r="L224" i="7" s="1"/>
  <c r="L234" i="7"/>
  <c r="M700" i="7"/>
  <c r="L703" i="7"/>
  <c r="B30" i="7"/>
  <c r="B26" i="7"/>
  <c r="C110" i="7"/>
  <c r="C1141" i="7"/>
  <c r="L868" i="7"/>
  <c r="K335" i="7"/>
  <c r="L281" i="7"/>
  <c r="M793" i="7"/>
  <c r="R16" i="26" s="1"/>
  <c r="I777" i="34"/>
  <c r="K263" i="7"/>
  <c r="K267" i="7" s="1"/>
  <c r="K11" i="7" s="1"/>
  <c r="L731" i="7"/>
  <c r="O67" i="10"/>
  <c r="L906" i="7"/>
  <c r="L554" i="7"/>
  <c r="K132" i="7"/>
  <c r="Q128" i="42"/>
  <c r="S128" i="42" s="1"/>
  <c r="K1111" i="7"/>
  <c r="K1155" i="7" s="1"/>
  <c r="K418" i="7"/>
  <c r="K424" i="7" s="1"/>
  <c r="K42" i="7" s="1"/>
  <c r="L1106" i="7"/>
  <c r="B1132" i="7"/>
  <c r="B436" i="7"/>
  <c r="L448" i="7"/>
  <c r="L456" i="7" s="1"/>
  <c r="K64" i="7"/>
  <c r="K69" i="7" s="1"/>
  <c r="M67" i="10"/>
  <c r="L94" i="10"/>
  <c r="H39" i="15"/>
  <c r="G7" i="42"/>
  <c r="G69" i="42" s="1"/>
  <c r="I7" i="60" s="1"/>
  <c r="H598" i="34"/>
  <c r="V69" i="42"/>
  <c r="I33" i="60" s="1"/>
  <c r="G14" i="13"/>
  <c r="B110" i="7"/>
  <c r="B1141" i="7"/>
  <c r="M876" i="7"/>
  <c r="M339" i="7" s="1"/>
  <c r="L339" i="7"/>
  <c r="L67" i="7"/>
  <c r="M454" i="7"/>
  <c r="M280" i="7"/>
  <c r="N779" i="7"/>
  <c r="M938" i="7"/>
  <c r="L942" i="7"/>
  <c r="L355" i="7"/>
  <c r="A30" i="7"/>
  <c r="L882" i="7"/>
  <c r="K341" i="7"/>
  <c r="M911" i="7"/>
  <c r="L345" i="7"/>
  <c r="M570" i="7"/>
  <c r="L141" i="7"/>
  <c r="M557" i="7"/>
  <c r="L135" i="7"/>
  <c r="N872" i="7"/>
  <c r="A1141" i="7"/>
  <c r="A110" i="7"/>
  <c r="I1082" i="6"/>
  <c r="C47" i="11"/>
  <c r="C62" i="11" s="1"/>
  <c r="D45" i="11"/>
  <c r="N897" i="7"/>
  <c r="M895" i="7"/>
  <c r="A1142" i="7"/>
  <c r="A240" i="7"/>
  <c r="N840" i="7"/>
  <c r="M317" i="7"/>
  <c r="A359" i="7"/>
  <c r="A23" i="7"/>
  <c r="A34" i="7" s="1"/>
  <c r="M563" i="7"/>
  <c r="L138" i="7"/>
  <c r="M921" i="7"/>
  <c r="L346" i="7"/>
  <c r="M127" i="42"/>
  <c r="C1142" i="7"/>
  <c r="C201" i="7"/>
  <c r="M190" i="7"/>
  <c r="N642" i="7"/>
  <c r="M1051" i="7"/>
  <c r="L405" i="7"/>
  <c r="J111" i="3"/>
  <c r="C795" i="34"/>
  <c r="C801" i="34" s="1"/>
  <c r="E217" i="34"/>
  <c r="E815" i="34" s="1"/>
  <c r="C259" i="3" s="1"/>
  <c r="C217" i="34"/>
  <c r="D217" i="34"/>
  <c r="D815" i="34" s="1"/>
  <c r="B259" i="3" s="1"/>
  <c r="M829" i="7"/>
  <c r="Q101" i="10"/>
  <c r="S101" i="10" s="1"/>
  <c r="D50" i="7"/>
  <c r="C45" i="3" s="1"/>
  <c r="C192" i="15"/>
  <c r="C65" i="13"/>
  <c r="S30" i="42"/>
  <c r="D30" i="42" s="1"/>
  <c r="F21" i="42"/>
  <c r="F81" i="42" s="1"/>
  <c r="G19" i="60" s="1"/>
  <c r="F54" i="15"/>
  <c r="G54" i="15" s="1"/>
  <c r="U81" i="42"/>
  <c r="G45" i="60" s="1"/>
  <c r="H45" i="60" s="1"/>
  <c r="J285" i="7"/>
  <c r="J292" i="7" s="1"/>
  <c r="K797" i="7"/>
  <c r="W21" i="42" s="1"/>
  <c r="J807" i="7"/>
  <c r="J809" i="7" s="1"/>
  <c r="J811" i="7" s="1"/>
  <c r="J820" i="7" s="1"/>
  <c r="D1011" i="7"/>
  <c r="N103" i="10"/>
  <c r="P103" i="10" s="1"/>
  <c r="P66" i="10"/>
  <c r="M129" i="42"/>
  <c r="L336" i="7"/>
  <c r="M871" i="7"/>
  <c r="M832" i="7"/>
  <c r="Q65" i="10"/>
  <c r="G245" i="48"/>
  <c r="H59" i="48"/>
  <c r="G225" i="48"/>
  <c r="G237" i="48"/>
  <c r="G229" i="48"/>
  <c r="G232" i="48"/>
  <c r="G239" i="48"/>
  <c r="G233" i="48"/>
  <c r="G240" i="48"/>
  <c r="G222" i="48"/>
  <c r="G226" i="48"/>
  <c r="G227" i="48"/>
  <c r="G223" i="48"/>
  <c r="G235" i="48"/>
  <c r="G248" i="48"/>
  <c r="G256" i="48"/>
  <c r="G224" i="48"/>
  <c r="G228" i="48"/>
  <c r="G246" i="48"/>
  <c r="G234" i="48"/>
  <c r="G247" i="48"/>
  <c r="G231" i="48"/>
  <c r="G243" i="48"/>
  <c r="G241" i="48"/>
  <c r="G244" i="48"/>
  <c r="G242" i="48"/>
  <c r="G230" i="48"/>
  <c r="G236" i="48"/>
  <c r="G238" i="48"/>
  <c r="H39" i="19"/>
  <c r="C1132" i="7"/>
  <c r="C436" i="7"/>
  <c r="N622" i="7"/>
  <c r="M187" i="7"/>
  <c r="K39" i="19"/>
  <c r="A29" i="19"/>
  <c r="M1031" i="7"/>
  <c r="L386" i="7"/>
  <c r="J778" i="34"/>
  <c r="M1025" i="7"/>
  <c r="M392" i="7" s="1"/>
  <c r="K400" i="7"/>
  <c r="K13" i="7" s="1"/>
  <c r="M1023" i="7"/>
  <c r="M1073" i="7" s="1"/>
  <c r="L385" i="7"/>
  <c r="L407" i="7"/>
  <c r="L408" i="7" s="1"/>
  <c r="L1044" i="7"/>
  <c r="J478" i="5"/>
  <c r="J103" i="5"/>
  <c r="F18" i="13"/>
  <c r="L419" i="5"/>
  <c r="M410" i="5"/>
  <c r="L175" i="5"/>
  <c r="H121" i="40"/>
  <c r="H150" i="40" s="1"/>
  <c r="H53" i="40"/>
  <c r="H116" i="40" s="1"/>
  <c r="O224" i="5"/>
  <c r="L178" i="5"/>
  <c r="M416" i="5"/>
  <c r="L186" i="5"/>
  <c r="K131" i="5"/>
  <c r="H209" i="5"/>
  <c r="I209" i="5" s="1"/>
  <c r="H469" i="5"/>
  <c r="I469" i="5" s="1"/>
  <c r="H154" i="5"/>
  <c r="I154" i="5" s="1"/>
  <c r="H479" i="5"/>
  <c r="I479" i="5" s="1"/>
  <c r="K127" i="8"/>
  <c r="K421" i="45"/>
  <c r="K25" i="5"/>
  <c r="M358" i="5"/>
  <c r="L128" i="5"/>
  <c r="P98" i="48"/>
  <c r="M177" i="5"/>
  <c r="N414" i="5"/>
  <c r="P311" i="5"/>
  <c r="M288" i="5"/>
  <c r="L307" i="5"/>
  <c r="L89" i="5"/>
  <c r="L91" i="5" s="1"/>
  <c r="L448" i="5"/>
  <c r="L313" i="5"/>
  <c r="J112" i="3" s="1"/>
  <c r="K319" i="5"/>
  <c r="K321" i="5" s="1"/>
  <c r="K323" i="5" s="1"/>
  <c r="K333" i="5" s="1"/>
  <c r="K95" i="5"/>
  <c r="K99" i="5" s="1"/>
  <c r="O381" i="5"/>
  <c r="C584" i="8"/>
  <c r="C586" i="8" s="1"/>
  <c r="C147" i="8"/>
  <c r="C15" i="8"/>
  <c r="C140" i="42"/>
  <c r="D140" i="42" s="1"/>
  <c r="M125" i="5"/>
  <c r="N348" i="5"/>
  <c r="M143" i="5"/>
  <c r="N382" i="5"/>
  <c r="L225" i="3" s="1"/>
  <c r="L226" i="3" s="1"/>
  <c r="K450" i="5"/>
  <c r="N121" i="40"/>
  <c r="N150" i="40" s="1"/>
  <c r="N53" i="40"/>
  <c r="B18" i="13"/>
  <c r="C30" i="5"/>
  <c r="K225" i="3"/>
  <c r="K226" i="3" s="1"/>
  <c r="L138" i="5"/>
  <c r="M372" i="5"/>
  <c r="L386" i="5"/>
  <c r="H421" i="45"/>
  <c r="H424" i="45" s="1"/>
  <c r="H431" i="45" s="1"/>
  <c r="H432" i="45" s="1"/>
  <c r="K8" i="5"/>
  <c r="K497" i="5"/>
  <c r="N432" i="5"/>
  <c r="M186" i="5"/>
  <c r="J10" i="5"/>
  <c r="J499" i="5"/>
  <c r="J501" i="5" s="1"/>
  <c r="J17" i="5"/>
  <c r="J506" i="5"/>
  <c r="L361" i="5"/>
  <c r="M342" i="5"/>
  <c r="L124" i="5"/>
  <c r="K18" i="5"/>
  <c r="O984" i="6"/>
  <c r="N205" i="6"/>
  <c r="M204" i="6"/>
  <c r="N983" i="6"/>
  <c r="Q263" i="8"/>
  <c r="P59" i="8"/>
  <c r="B56" i="58"/>
  <c r="H9" i="12"/>
  <c r="N535" i="4"/>
  <c r="M124" i="4"/>
  <c r="M123" i="4"/>
  <c r="M161" i="4" s="1"/>
  <c r="N525" i="4"/>
  <c r="N479" i="4"/>
  <c r="M120" i="4"/>
  <c r="L183" i="4"/>
  <c r="M691" i="4"/>
  <c r="G116" i="3"/>
  <c r="G117" i="3" s="1"/>
  <c r="H495" i="6"/>
  <c r="L802" i="4"/>
  <c r="K833" i="4"/>
  <c r="K289" i="4"/>
  <c r="B456" i="6"/>
  <c r="B2079" i="6"/>
  <c r="L453" i="4"/>
  <c r="K111" i="4"/>
  <c r="B30" i="4"/>
  <c r="F21" i="11"/>
  <c r="K129" i="4"/>
  <c r="L761" i="4"/>
  <c r="K241" i="4"/>
  <c r="K766" i="4"/>
  <c r="L785" i="4"/>
  <c r="K278" i="4"/>
  <c r="K798" i="4"/>
  <c r="J297" i="4"/>
  <c r="J1621" i="6"/>
  <c r="N475" i="4"/>
  <c r="B35" i="6"/>
  <c r="B44" i="6"/>
  <c r="L350" i="4"/>
  <c r="K65" i="4"/>
  <c r="K408" i="4"/>
  <c r="L681" i="4"/>
  <c r="K699" i="4"/>
  <c r="K701" i="4" s="1"/>
  <c r="K181" i="4"/>
  <c r="J127" i="4"/>
  <c r="J650" i="4"/>
  <c r="L496" i="4"/>
  <c r="K581" i="4"/>
  <c r="K121" i="4"/>
  <c r="K159" i="4" s="1"/>
  <c r="C456" i="6"/>
  <c r="C2079" i="6"/>
  <c r="L811" i="4"/>
  <c r="K291" i="4"/>
  <c r="L507" i="4"/>
  <c r="I115" i="3"/>
  <c r="J80" i="4"/>
  <c r="L723" i="4"/>
  <c r="K728" i="4"/>
  <c r="K217" i="4"/>
  <c r="K264" i="4" s="1"/>
  <c r="H54" i="15"/>
  <c r="H23" i="15" s="1"/>
  <c r="V81" i="42"/>
  <c r="I45" i="60" s="1"/>
  <c r="G21" i="42"/>
  <c r="G81" i="42" s="1"/>
  <c r="I19" i="60" s="1"/>
  <c r="Q99" i="42"/>
  <c r="H194" i="4"/>
  <c r="I194" i="4" s="1"/>
  <c r="H9" i="4"/>
  <c r="I9" i="4" s="1"/>
  <c r="L618" i="4"/>
  <c r="K649" i="4"/>
  <c r="B672" i="34"/>
  <c r="B756" i="34" s="1"/>
  <c r="B788" i="34" s="1"/>
  <c r="B628" i="34"/>
  <c r="M280" i="4"/>
  <c r="L365" i="4"/>
  <c r="L69" i="4" s="1"/>
  <c r="L634" i="4"/>
  <c r="B247" i="4"/>
  <c r="B864" i="4"/>
  <c r="G48" i="3"/>
  <c r="H901" i="4"/>
  <c r="J12" i="11"/>
  <c r="P171" i="8"/>
  <c r="R362" i="8"/>
  <c r="S362" i="8" s="1"/>
  <c r="O106" i="1"/>
  <c r="J337" i="34"/>
  <c r="K106" i="15"/>
  <c r="M18" i="17"/>
  <c r="L119" i="17"/>
  <c r="L301" i="15"/>
  <c r="BD41" i="42"/>
  <c r="A207" i="15"/>
  <c r="A25" i="3"/>
  <c r="A26" i="3" s="1"/>
  <c r="A156" i="3"/>
  <c r="A157" i="3" s="1"/>
  <c r="Q50" i="42"/>
  <c r="A134" i="13"/>
  <c r="A135" i="13" s="1"/>
  <c r="K9" i="48"/>
  <c r="F481" i="34"/>
  <c r="E19" i="42"/>
  <c r="E43" i="60"/>
  <c r="E229" i="42" l="1"/>
  <c r="N77" i="6"/>
  <c r="N185" i="5"/>
  <c r="N638" i="6"/>
  <c r="M742" i="34"/>
  <c r="AO21" i="42"/>
  <c r="L85" i="15" s="1"/>
  <c r="O1048" i="6"/>
  <c r="O1059" i="6"/>
  <c r="O1041" i="6"/>
  <c r="O1047" i="6"/>
  <c r="O1042" i="6"/>
  <c r="O1039" i="6"/>
  <c r="O1050" i="6"/>
  <c r="L127" i="9"/>
  <c r="AY127" i="9"/>
  <c r="U184" i="10"/>
  <c r="V184" i="10" s="1"/>
  <c r="U107" i="11" s="1"/>
  <c r="V107" i="11" s="1"/>
  <c r="W107" i="11" s="1"/>
  <c r="O374" i="8"/>
  <c r="O1054" i="6"/>
  <c r="O1057" i="6"/>
  <c r="O641" i="4"/>
  <c r="O925" i="6"/>
  <c r="O2004" i="6"/>
  <c r="O929" i="7"/>
  <c r="O508" i="4"/>
  <c r="O499" i="4"/>
  <c r="O1091" i="6"/>
  <c r="O503" i="4"/>
  <c r="O495" i="4"/>
  <c r="O1049" i="6"/>
  <c r="O1055" i="6"/>
  <c r="L129" i="9"/>
  <c r="AY129" i="9"/>
  <c r="AZ129" i="9" s="1"/>
  <c r="U186" i="10"/>
  <c r="V186" i="10" s="1"/>
  <c r="U109" i="11" s="1"/>
  <c r="V109" i="11" s="1"/>
  <c r="W109" i="11" s="1"/>
  <c r="O1060" i="6"/>
  <c r="O1061" i="6"/>
  <c r="O1040" i="6"/>
  <c r="O1045" i="6"/>
  <c r="L128" i="9"/>
  <c r="U185" i="10"/>
  <c r="V185" i="10" s="1"/>
  <c r="U108" i="11" s="1"/>
  <c r="V108" i="11" s="1"/>
  <c r="W108" i="11" s="1"/>
  <c r="AY128" i="9"/>
  <c r="AZ128" i="9" s="1"/>
  <c r="O896" i="6"/>
  <c r="O1044" i="6"/>
  <c r="O1043" i="6"/>
  <c r="X85" i="11"/>
  <c r="AA3" i="11"/>
  <c r="T85" i="11"/>
  <c r="W3" i="11"/>
  <c r="AK3" i="11"/>
  <c r="AH85" i="11"/>
  <c r="K96" i="11"/>
  <c r="H131" i="9"/>
  <c r="AF139" i="9"/>
  <c r="AF143" i="9" s="1"/>
  <c r="G86" i="15"/>
  <c r="C246" i="42"/>
  <c r="G326" i="34"/>
  <c r="C237" i="42"/>
  <c r="H378" i="34"/>
  <c r="H554" i="34"/>
  <c r="H289" i="34"/>
  <c r="H352" i="34" s="1"/>
  <c r="D152" i="15"/>
  <c r="S116" i="42"/>
  <c r="N89" i="7"/>
  <c r="N82" i="7"/>
  <c r="N730" i="7"/>
  <c r="N262" i="7" s="1"/>
  <c r="M126" i="40"/>
  <c r="AC98" i="10" s="1"/>
  <c r="N125" i="40"/>
  <c r="Z98" i="10"/>
  <c r="L145" i="40"/>
  <c r="N104" i="4"/>
  <c r="H8" i="12"/>
  <c r="N122" i="4"/>
  <c r="M109" i="4"/>
  <c r="N442" i="4"/>
  <c r="L76" i="4"/>
  <c r="M68" i="4"/>
  <c r="N364" i="4"/>
  <c r="N68" i="4" s="1"/>
  <c r="O366" i="4"/>
  <c r="N220" i="4"/>
  <c r="I228" i="48"/>
  <c r="I232" i="48"/>
  <c r="I236" i="48"/>
  <c r="I240" i="48"/>
  <c r="I244" i="48"/>
  <c r="I248" i="48"/>
  <c r="I229" i="48"/>
  <c r="I233" i="48"/>
  <c r="I237" i="48"/>
  <c r="I241" i="48"/>
  <c r="I245" i="48"/>
  <c r="I234" i="48"/>
  <c r="I230" i="48"/>
  <c r="I238" i="48"/>
  <c r="I246" i="48"/>
  <c r="I227" i="48"/>
  <c r="I231" i="48"/>
  <c r="I235" i="48"/>
  <c r="I239" i="48"/>
  <c r="I243" i="48"/>
  <c r="I247" i="48"/>
  <c r="I242" i="48"/>
  <c r="CC107" i="9"/>
  <c r="CD107" i="9" s="1"/>
  <c r="R48" i="1"/>
  <c r="CC121" i="9"/>
  <c r="J93" i="14"/>
  <c r="J154" i="14" s="1"/>
  <c r="CW33" i="9"/>
  <c r="CJ33" i="9"/>
  <c r="Q68" i="3"/>
  <c r="T24" i="26"/>
  <c r="D118" i="15"/>
  <c r="D50" i="15"/>
  <c r="T77" i="42"/>
  <c r="AX24" i="42"/>
  <c r="AX26" i="42" s="1"/>
  <c r="AX36" i="42" s="1"/>
  <c r="D87" i="15"/>
  <c r="G310" i="15"/>
  <c r="D34" i="3"/>
  <c r="E504" i="34"/>
  <c r="D182" i="42"/>
  <c r="J155" i="8"/>
  <c r="H40" i="17"/>
  <c r="E150" i="34"/>
  <c r="E24" i="34"/>
  <c r="E26" i="34" s="1"/>
  <c r="J50" i="20"/>
  <c r="I100" i="20"/>
  <c r="BZ33" i="21"/>
  <c r="CM33" i="21"/>
  <c r="G104" i="19"/>
  <c r="G48" i="19"/>
  <c r="BQ3" i="21"/>
  <c r="BN3" i="22"/>
  <c r="BN92" i="22" s="1"/>
  <c r="BN142" i="22" s="1"/>
  <c r="BF3" i="21"/>
  <c r="BC3" i="22"/>
  <c r="BC92" i="22" s="1"/>
  <c r="BC142" i="22" s="1"/>
  <c r="BI3" i="22"/>
  <c r="BI92" i="22" s="1"/>
  <c r="BI142" i="22" s="1"/>
  <c r="BL3" i="21"/>
  <c r="N146" i="22"/>
  <c r="N153" i="22" s="1"/>
  <c r="O539" i="8"/>
  <c r="O158" i="8" s="1"/>
  <c r="O31" i="8" s="1"/>
  <c r="O148" i="22"/>
  <c r="O156" i="22" s="1"/>
  <c r="N36" i="17"/>
  <c r="O147" i="22"/>
  <c r="N67" i="17"/>
  <c r="BE44" i="42"/>
  <c r="M305" i="15"/>
  <c r="M309" i="15" s="1"/>
  <c r="Z22" i="20"/>
  <c r="M120" i="17"/>
  <c r="BH3" i="22"/>
  <c r="BH92" i="22" s="1"/>
  <c r="BH142" i="22" s="1"/>
  <c r="BK3" i="21"/>
  <c r="F96" i="14"/>
  <c r="H138" i="14"/>
  <c r="H133" i="14"/>
  <c r="J144" i="14"/>
  <c r="BS88" i="9"/>
  <c r="BS174" i="9" s="1"/>
  <c r="CC3" i="9"/>
  <c r="CC88" i="9" s="1"/>
  <c r="C56" i="13"/>
  <c r="C142" i="13" s="1"/>
  <c r="BA47" i="42"/>
  <c r="H45" i="42"/>
  <c r="M618" i="34"/>
  <c r="H610" i="34"/>
  <c r="H611" i="34" s="1"/>
  <c r="H613" i="34" s="1"/>
  <c r="H244" i="34" s="1"/>
  <c r="I584" i="34"/>
  <c r="F412" i="34"/>
  <c r="F157" i="34"/>
  <c r="O631" i="4"/>
  <c r="O1493" i="6"/>
  <c r="O610" i="7"/>
  <c r="O1558" i="6"/>
  <c r="O786" i="4"/>
  <c r="O1833" i="6"/>
  <c r="O1685" i="6"/>
  <c r="O571" i="7"/>
  <c r="O860" i="6"/>
  <c r="O473" i="4"/>
  <c r="O637" i="4"/>
  <c r="O1935" i="6"/>
  <c r="O1553" i="6"/>
  <c r="O920" i="7"/>
  <c r="O395" i="4"/>
  <c r="O695" i="7"/>
  <c r="O351" i="5"/>
  <c r="O1095" i="7"/>
  <c r="O912" i="7"/>
  <c r="M155" i="34"/>
  <c r="O1121" i="6"/>
  <c r="O686" i="4"/>
  <c r="O1938" i="6"/>
  <c r="O1613" i="6"/>
  <c r="L422" i="34"/>
  <c r="O489" i="7"/>
  <c r="AF183" i="9"/>
  <c r="AE219" i="9"/>
  <c r="AE221" i="9" s="1"/>
  <c r="O1133" i="6"/>
  <c r="O1618" i="6"/>
  <c r="O1353" i="6"/>
  <c r="O251" i="5"/>
  <c r="O502" i="8"/>
  <c r="O467" i="8"/>
  <c r="O297" i="5"/>
  <c r="O422" i="8"/>
  <c r="O694" i="7"/>
  <c r="O1068" i="7"/>
  <c r="O1086" i="7"/>
  <c r="N131" i="1"/>
  <c r="O509" i="8"/>
  <c r="O775" i="7"/>
  <c r="O751" i="4"/>
  <c r="O857" i="6"/>
  <c r="O1097" i="7"/>
  <c r="O1104" i="6"/>
  <c r="O442" i="5"/>
  <c r="O610" i="4"/>
  <c r="O888" i="6"/>
  <c r="T70" i="37"/>
  <c r="T75" i="37"/>
  <c r="O440" i="4"/>
  <c r="O452" i="4"/>
  <c r="O508" i="7"/>
  <c r="O1325" i="6"/>
  <c r="O216" i="8"/>
  <c r="M644" i="34"/>
  <c r="T15" i="37"/>
  <c r="O322" i="8"/>
  <c r="O392" i="4"/>
  <c r="O485" i="7"/>
  <c r="O861" i="6"/>
  <c r="O1084" i="7"/>
  <c r="O1340" i="6"/>
  <c r="M55" i="34"/>
  <c r="O449" i="8"/>
  <c r="O289" i="5"/>
  <c r="O491" i="8"/>
  <c r="O303" i="5"/>
  <c r="I177" i="3"/>
  <c r="K519" i="8"/>
  <c r="K138" i="8" s="1"/>
  <c r="L90" i="1"/>
  <c r="K97" i="1"/>
  <c r="M1039" i="7"/>
  <c r="L388" i="7"/>
  <c r="R1036" i="7"/>
  <c r="S1036" i="7" s="1"/>
  <c r="O540" i="4"/>
  <c r="O1999" i="6"/>
  <c r="O1911" i="6"/>
  <c r="O1900" i="6"/>
  <c r="O516" i="8"/>
  <c r="O697" i="7"/>
  <c r="O291" i="5"/>
  <c r="O891" i="6"/>
  <c r="O301" i="8"/>
  <c r="O1318" i="6"/>
  <c r="O528" i="4"/>
  <c r="O1561" i="6"/>
  <c r="O1556" i="6"/>
  <c r="O856" i="6"/>
  <c r="O303" i="8"/>
  <c r="M71" i="34"/>
  <c r="O639" i="4"/>
  <c r="O385" i="4"/>
  <c r="O1877" i="6"/>
  <c r="O1822" i="6"/>
  <c r="O917" i="7"/>
  <c r="O1182" i="6"/>
  <c r="O754" i="7"/>
  <c r="O478" i="7"/>
  <c r="O1868" i="6"/>
  <c r="O1050" i="7"/>
  <c r="O1067" i="7"/>
  <c r="O623" i="4"/>
  <c r="O1683" i="6"/>
  <c r="O1496" i="6"/>
  <c r="O443" i="5"/>
  <c r="O316" i="8"/>
  <c r="O986" i="7"/>
  <c r="O309" i="8"/>
  <c r="O530" i="4"/>
  <c r="O1943" i="6"/>
  <c r="O1495" i="6"/>
  <c r="O928" i="7"/>
  <c r="O626" i="4"/>
  <c r="O1297" i="6"/>
  <c r="O2019" i="6"/>
  <c r="O983" i="7"/>
  <c r="O1610" i="6"/>
  <c r="O527" i="4"/>
  <c r="O1554" i="6"/>
  <c r="O1948" i="6"/>
  <c r="O1753" i="6"/>
  <c r="O894" i="7"/>
  <c r="O398" i="8"/>
  <c r="O849" i="7"/>
  <c r="O767" i="7"/>
  <c r="O849" i="6"/>
  <c r="O899" i="7"/>
  <c r="O1414" i="6"/>
  <c r="O472" i="4"/>
  <c r="O791" i="7"/>
  <c r="O1245" i="6"/>
  <c r="O558" i="7"/>
  <c r="O806" i="4"/>
  <c r="O803" i="4"/>
  <c r="O1611" i="6"/>
  <c r="O915" i="7"/>
  <c r="O361" i="4"/>
  <c r="O267" i="8"/>
  <c r="O734" i="4"/>
  <c r="O1889" i="6"/>
  <c r="O1549" i="6"/>
  <c r="O976" i="7"/>
  <c r="O2002" i="6"/>
  <c r="O536" i="4"/>
  <c r="O1867" i="6"/>
  <c r="O1839" i="6"/>
  <c r="O985" i="7"/>
  <c r="O494" i="4"/>
  <c r="O280" i="8"/>
  <c r="O1826" i="6"/>
  <c r="O2012" i="6"/>
  <c r="O502" i="4"/>
  <c r="O284" i="5"/>
  <c r="O1165" i="6"/>
  <c r="S63" i="37"/>
  <c r="S65" i="37" s="1"/>
  <c r="L122" i="9"/>
  <c r="K65" i="20"/>
  <c r="K33" i="20"/>
  <c r="K41" i="20" s="1"/>
  <c r="K98" i="20"/>
  <c r="R12" i="20"/>
  <c r="R16" i="20" s="1"/>
  <c r="Q1026" i="7"/>
  <c r="Q1027" i="7"/>
  <c r="Q16" i="1"/>
  <c r="R1042" i="7" s="1"/>
  <c r="S1042" i="7" s="1"/>
  <c r="N1037" i="7"/>
  <c r="O1037" i="7" s="1"/>
  <c r="P1037" i="7" s="1"/>
  <c r="Q1037" i="7" s="1"/>
  <c r="R1037" i="7" s="1"/>
  <c r="S1037" i="7" s="1"/>
  <c r="L387" i="7"/>
  <c r="M1038" i="7"/>
  <c r="O437" i="8"/>
  <c r="O568" i="4"/>
  <c r="O533" i="4"/>
  <c r="O916" i="6"/>
  <c r="O613" i="7"/>
  <c r="O1319" i="6"/>
  <c r="O620" i="4"/>
  <c r="O1800" i="6"/>
  <c r="O1819" i="6"/>
  <c r="O838" i="7"/>
  <c r="O627" i="4"/>
  <c r="O352" i="4"/>
  <c r="O690" i="7"/>
  <c r="O1823" i="6"/>
  <c r="O1830" i="6"/>
  <c r="O433" i="8"/>
  <c r="O773" i="7"/>
  <c r="O473" i="7"/>
  <c r="O1861" i="6"/>
  <c r="O976" i="6"/>
  <c r="O1083" i="7"/>
  <c r="O186" i="8"/>
  <c r="O368" i="4"/>
  <c r="O842" i="7"/>
  <c r="O1626" i="6"/>
  <c r="O566" i="7"/>
  <c r="O1834" i="6"/>
  <c r="O636" i="4"/>
  <c r="T20" i="37"/>
  <c r="O1624" i="6"/>
  <c r="O984" i="7"/>
  <c r="O1289" i="6"/>
  <c r="O569" i="4"/>
  <c r="O360" i="4"/>
  <c r="O893" i="6"/>
  <c r="O1684" i="6"/>
  <c r="O979" i="7"/>
  <c r="O795" i="4"/>
  <c r="O626" i="7"/>
  <c r="O1872" i="6"/>
  <c r="O1902" i="6"/>
  <c r="O251" i="8"/>
  <c r="O1310" i="6"/>
  <c r="O962" i="7"/>
  <c r="O498" i="4"/>
  <c r="O1189" i="6"/>
  <c r="O805" i="7"/>
  <c r="O513" i="8"/>
  <c r="O631" i="7"/>
  <c r="O745" i="7"/>
  <c r="O511" i="4"/>
  <c r="O924" i="6"/>
  <c r="O426" i="8"/>
  <c r="O191" i="8"/>
  <c r="O435" i="8"/>
  <c r="O281" i="8"/>
  <c r="O1171" i="6"/>
  <c r="O312" i="5"/>
  <c r="O633" i="7"/>
  <c r="O1109" i="6"/>
  <c r="O387" i="4"/>
  <c r="O1193" i="6"/>
  <c r="O469" i="8"/>
  <c r="O278" i="8"/>
  <c r="O29" i="27"/>
  <c r="L455" i="34"/>
  <c r="O829" i="6"/>
  <c r="O423" i="8"/>
  <c r="R1034" i="7"/>
  <c r="S1034" i="7" s="1"/>
  <c r="R1032" i="7"/>
  <c r="S1032" i="7" s="1"/>
  <c r="R1022" i="7"/>
  <c r="S1022" i="7" s="1"/>
  <c r="M72" i="1"/>
  <c r="L75" i="1"/>
  <c r="Q30" i="1"/>
  <c r="Q32" i="1" s="1"/>
  <c r="Q33" i="1" s="1"/>
  <c r="P32" i="1"/>
  <c r="P33" i="1" s="1"/>
  <c r="O456" i="8"/>
  <c r="O632" i="4"/>
  <c r="O750" i="4"/>
  <c r="O1497" i="6"/>
  <c r="O918" i="7"/>
  <c r="O611" i="4"/>
  <c r="O810" i="4"/>
  <c r="O1859" i="6"/>
  <c r="O1551" i="6"/>
  <c r="O980" i="7"/>
  <c r="O808" i="4"/>
  <c r="O396" i="4"/>
  <c r="O1810" i="6"/>
  <c r="O1835" i="6"/>
  <c r="O975" i="7"/>
  <c r="O451" i="7"/>
  <c r="O488" i="7"/>
  <c r="O301" i="5"/>
  <c r="O1078" i="7"/>
  <c r="O794" i="6"/>
  <c r="O1451" i="6"/>
  <c r="O1415" i="6"/>
  <c r="O542" i="4"/>
  <c r="O1890" i="6"/>
  <c r="O1681" i="6"/>
  <c r="O606" i="7"/>
  <c r="O898" i="7"/>
  <c r="O628" i="4"/>
  <c r="O1939" i="6"/>
  <c r="O1566" i="6"/>
  <c r="O927" i="7"/>
  <c r="O1321" i="6"/>
  <c r="O437" i="4"/>
  <c r="O506" i="4"/>
  <c r="O889" i="6"/>
  <c r="O1560" i="6"/>
  <c r="O228" i="5"/>
  <c r="O735" i="4"/>
  <c r="O367" i="4"/>
  <c r="O1885" i="6"/>
  <c r="O1818" i="6"/>
  <c r="O569" i="7"/>
  <c r="O480" i="4"/>
  <c r="O895" i="6"/>
  <c r="O493" i="4"/>
  <c r="O409" i="5"/>
  <c r="O802" i="7"/>
  <c r="O505" i="4"/>
  <c r="R1040" i="7"/>
  <c r="S1040" i="7" s="1"/>
  <c r="R1033" i="7"/>
  <c r="S1033" i="7" s="1"/>
  <c r="M1041" i="7"/>
  <c r="L397" i="7"/>
  <c r="M287" i="3"/>
  <c r="M297" i="3" s="1"/>
  <c r="O69" i="1"/>
  <c r="I1382" i="6"/>
  <c r="H464" i="6"/>
  <c r="I464" i="6" s="1"/>
  <c r="M1021" i="7"/>
  <c r="L384" i="7"/>
  <c r="M578" i="4"/>
  <c r="L137" i="4"/>
  <c r="N247" i="5"/>
  <c r="AN11" i="42"/>
  <c r="K74" i="15" s="1"/>
  <c r="K381" i="34"/>
  <c r="Y41" i="42"/>
  <c r="J41" i="42" s="1"/>
  <c r="J115" i="4"/>
  <c r="J8" i="4" s="1"/>
  <c r="N1740" i="6"/>
  <c r="O439" i="4"/>
  <c r="N107" i="4"/>
  <c r="N160" i="4" s="1"/>
  <c r="BX121" i="9"/>
  <c r="N527" i="7"/>
  <c r="M104" i="7"/>
  <c r="O49" i="27"/>
  <c r="N54" i="27"/>
  <c r="M177" i="8"/>
  <c r="L44" i="8"/>
  <c r="AM8" i="42" s="1"/>
  <c r="J71" i="15" s="1"/>
  <c r="W11" i="42"/>
  <c r="I368" i="34" s="1"/>
  <c r="N130" i="8"/>
  <c r="O493" i="8"/>
  <c r="N375" i="4"/>
  <c r="M75" i="4"/>
  <c r="M106" i="34"/>
  <c r="L109" i="34"/>
  <c r="L444" i="34" s="1"/>
  <c r="L445" i="34" s="1"/>
  <c r="K63" i="12"/>
  <c r="M1080" i="6" s="1"/>
  <c r="M287" i="6" s="1"/>
  <c r="AW139" i="9"/>
  <c r="AW143" i="9" s="1"/>
  <c r="K139" i="9"/>
  <c r="N63" i="8"/>
  <c r="O297" i="8"/>
  <c r="L182" i="9"/>
  <c r="AZ182" i="9"/>
  <c r="N257" i="5"/>
  <c r="M62" i="5"/>
  <c r="N182" i="8"/>
  <c r="N46" i="8" s="1"/>
  <c r="O174" i="8"/>
  <c r="H291" i="3"/>
  <c r="H300" i="3"/>
  <c r="N380" i="5"/>
  <c r="M145" i="5"/>
  <c r="M142" i="5"/>
  <c r="O185" i="8"/>
  <c r="N45" i="8"/>
  <c r="L62" i="12"/>
  <c r="M24" i="12"/>
  <c r="O683" i="7"/>
  <c r="N229" i="7"/>
  <c r="O311" i="8"/>
  <c r="N66" i="8"/>
  <c r="O464" i="8"/>
  <c r="N421" i="45"/>
  <c r="O304" i="8"/>
  <c r="N64" i="8"/>
  <c r="M108" i="34"/>
  <c r="L25" i="34"/>
  <c r="N88" i="7"/>
  <c r="O507" i="7"/>
  <c r="O1393" i="6"/>
  <c r="O296" i="5"/>
  <c r="O302" i="5"/>
  <c r="Q7" i="1"/>
  <c r="R7" i="1" s="1"/>
  <c r="P10" i="1"/>
  <c r="P11" i="1"/>
  <c r="Q611" i="7" s="1"/>
  <c r="O1134" i="6"/>
  <c r="O27" i="27"/>
  <c r="O674" i="7"/>
  <c r="O273" i="8"/>
  <c r="O778" i="6"/>
  <c r="O1096" i="7"/>
  <c r="O501" i="7"/>
  <c r="N526" i="7"/>
  <c r="M103" i="7"/>
  <c r="O217" i="8"/>
  <c r="AZ100" i="9"/>
  <c r="L100" i="9"/>
  <c r="J288" i="3"/>
  <c r="L70" i="1"/>
  <c r="O851" i="6"/>
  <c r="O1364" i="6"/>
  <c r="O346" i="5"/>
  <c r="O420" i="8"/>
  <c r="O510" i="8"/>
  <c r="O1092" i="7"/>
  <c r="O233" i="8"/>
  <c r="N125" i="8"/>
  <c r="O459" i="8"/>
  <c r="L413" i="34"/>
  <c r="M114" i="34"/>
  <c r="M65" i="34"/>
  <c r="L23" i="34"/>
  <c r="M121" i="34"/>
  <c r="O39" i="27"/>
  <c r="O1411" i="6"/>
  <c r="O300" i="8"/>
  <c r="N40" i="40"/>
  <c r="BK118" i="9"/>
  <c r="O1079" i="7"/>
  <c r="O748" i="4"/>
  <c r="O464" i="7"/>
  <c r="J89" i="17"/>
  <c r="J34" i="17" s="1"/>
  <c r="BB45" i="42" s="1"/>
  <c r="BB47" i="42" s="1"/>
  <c r="O237" i="8"/>
  <c r="O724" i="4"/>
  <c r="O244" i="8"/>
  <c r="O823" i="4"/>
  <c r="O812" i="4"/>
  <c r="O272" i="8"/>
  <c r="O1117" i="6"/>
  <c r="O1082" i="7"/>
  <c r="O436" i="5"/>
  <c r="O1456" i="6"/>
  <c r="O369" i="5"/>
  <c r="AZ114" i="9"/>
  <c r="CY114" i="9"/>
  <c r="O757" i="6"/>
  <c r="O1362" i="6"/>
  <c r="O758" i="6"/>
  <c r="O471" i="7"/>
  <c r="O401" i="4"/>
  <c r="O831" i="6"/>
  <c r="O500" i="8"/>
  <c r="O771" i="7"/>
  <c r="O986" i="6"/>
  <c r="O497" i="8"/>
  <c r="O995" i="6"/>
  <c r="O210" i="6" s="1"/>
  <c r="N210" i="6"/>
  <c r="O234" i="8"/>
  <c r="M23" i="12"/>
  <c r="O41" i="27"/>
  <c r="O1091" i="7"/>
  <c r="O1667" i="6"/>
  <c r="O1912" i="6"/>
  <c r="O353" i="5"/>
  <c r="O232" i="5"/>
  <c r="N359" i="5"/>
  <c r="M129" i="5"/>
  <c r="O923" i="6"/>
  <c r="O424" i="5"/>
  <c r="O252" i="5"/>
  <c r="O630" i="4"/>
  <c r="O820" i="4"/>
  <c r="T23" i="37"/>
  <c r="O1724" i="6"/>
  <c r="O1426" i="6"/>
  <c r="M149" i="34"/>
  <c r="O510" i="7"/>
  <c r="O1116" i="6"/>
  <c r="O305" i="5"/>
  <c r="O1454" i="6"/>
  <c r="O1089" i="7"/>
  <c r="O742" i="4"/>
  <c r="O228" i="4" s="1"/>
  <c r="O625" i="7"/>
  <c r="N188" i="7"/>
  <c r="O479" i="7"/>
  <c r="O270" i="8"/>
  <c r="O1324" i="6"/>
  <c r="O299" i="5"/>
  <c r="O989" i="6"/>
  <c r="O298" i="8"/>
  <c r="O373" i="8"/>
  <c r="O59" i="27"/>
  <c r="L408" i="34"/>
  <c r="M149" i="8"/>
  <c r="BC34" i="42" s="1"/>
  <c r="M21" i="8"/>
  <c r="O32" i="27"/>
  <c r="O990" i="6"/>
  <c r="O905" i="6"/>
  <c r="O1432" i="6"/>
  <c r="O417" i="5"/>
  <c r="O777" i="7"/>
  <c r="O391" i="4"/>
  <c r="O1295" i="6"/>
  <c r="O902" i="6"/>
  <c r="O822" i="4"/>
  <c r="O1065" i="7"/>
  <c r="O295" i="8"/>
  <c r="T22" i="37"/>
  <c r="O672" i="7"/>
  <c r="O13" i="27"/>
  <c r="L286" i="3"/>
  <c r="N58" i="1"/>
  <c r="O903" i="7"/>
  <c r="O1838" i="6"/>
  <c r="O292" i="5"/>
  <c r="O920" i="6"/>
  <c r="O514" i="4"/>
  <c r="I298" i="3"/>
  <c r="I290" i="3"/>
  <c r="O352" i="5"/>
  <c r="O833" i="6"/>
  <c r="O755" i="7"/>
  <c r="O465" i="7"/>
  <c r="O1447" i="6"/>
  <c r="O439" i="8"/>
  <c r="O842" i="6"/>
  <c r="O318" i="8"/>
  <c r="O28" i="27"/>
  <c r="M112" i="34"/>
  <c r="O16" i="27"/>
  <c r="M67" i="34"/>
  <c r="O1398" i="6"/>
  <c r="O1090" i="7"/>
  <c r="T73" i="37"/>
  <c r="O781" i="6"/>
  <c r="O513" i="7"/>
  <c r="O1125" i="6"/>
  <c r="N402" i="8"/>
  <c r="M120" i="8"/>
  <c r="K86" i="17"/>
  <c r="O451" i="8"/>
  <c r="O474" i="8"/>
  <c r="O847" i="7"/>
  <c r="O38" i="27"/>
  <c r="O819" i="4"/>
  <c r="O456" i="4"/>
  <c r="O284" i="8"/>
  <c r="T72" i="37"/>
  <c r="O1069" i="7"/>
  <c r="O794" i="7"/>
  <c r="O408" i="5"/>
  <c r="O1837" i="6"/>
  <c r="O1437" i="6"/>
  <c r="O764" i="7"/>
  <c r="O644" i="4"/>
  <c r="O221" i="5"/>
  <c r="O1545" i="6"/>
  <c r="O236" i="8"/>
  <c r="O470" i="8"/>
  <c r="N129" i="1"/>
  <c r="O42" i="27"/>
  <c r="O323" i="8"/>
  <c r="M133" i="34"/>
  <c r="O512" i="8"/>
  <c r="O1910" i="6"/>
  <c r="O238" i="8"/>
  <c r="O437" i="5"/>
  <c r="O770" i="7"/>
  <c r="O424" i="8"/>
  <c r="O394" i="4"/>
  <c r="O1195" i="6"/>
  <c r="O452" i="8"/>
  <c r="O320" i="8"/>
  <c r="O815" i="4"/>
  <c r="O443" i="4"/>
  <c r="T16" i="37"/>
  <c r="O837" i="7"/>
  <c r="O1123" i="6"/>
  <c r="O1937" i="6"/>
  <c r="O411" i="5"/>
  <c r="O632" i="7"/>
  <c r="O1397" i="6"/>
  <c r="O856" i="7"/>
  <c r="O1449" i="6"/>
  <c r="O347" i="5"/>
  <c r="O455" i="4"/>
  <c r="O1251" i="6"/>
  <c r="O754" i="4"/>
  <c r="O518" i="4"/>
  <c r="M25" i="12"/>
  <c r="M41" i="55"/>
  <c r="M43" i="55" s="1"/>
  <c r="N40" i="55" s="1"/>
  <c r="M21" i="12"/>
  <c r="O321" i="8"/>
  <c r="N98" i="7"/>
  <c r="O521" i="7"/>
  <c r="BD22" i="42"/>
  <c r="N142" i="8"/>
  <c r="N149" i="8" s="1"/>
  <c r="BD34" i="42" s="1"/>
  <c r="N530" i="8"/>
  <c r="L27" i="17"/>
  <c r="L12" i="17" s="1"/>
  <c r="L296" i="15" s="1"/>
  <c r="L318" i="15" s="1"/>
  <c r="O523" i="8"/>
  <c r="O515" i="4"/>
  <c r="M27" i="1"/>
  <c r="K289" i="3"/>
  <c r="K299" i="3" s="1"/>
  <c r="O1428" i="6"/>
  <c r="O902" i="7"/>
  <c r="O1436" i="6"/>
  <c r="O470" i="7"/>
  <c r="O364" i="4"/>
  <c r="O68" i="4" s="1"/>
  <c r="O243" i="8"/>
  <c r="O343" i="5"/>
  <c r="O520" i="4"/>
  <c r="O813" i="4"/>
  <c r="O726" i="4"/>
  <c r="O433" i="5"/>
  <c r="O1296" i="6"/>
  <c r="N410" i="6"/>
  <c r="N145" i="6"/>
  <c r="O903" i="6"/>
  <c r="O64" i="8"/>
  <c r="R791" i="6"/>
  <c r="S791" i="6" s="1"/>
  <c r="K296" i="3"/>
  <c r="O374" i="5"/>
  <c r="L115" i="9"/>
  <c r="AZ115" i="9"/>
  <c r="O722" i="4"/>
  <c r="O1341" i="6"/>
  <c r="O370" i="5"/>
  <c r="O453" i="7"/>
  <c r="O1094" i="6"/>
  <c r="O1183" i="6"/>
  <c r="O912" i="6"/>
  <c r="O290" i="5"/>
  <c r="L751" i="34"/>
  <c r="M747" i="34"/>
  <c r="M147" i="34"/>
  <c r="N130" i="1"/>
  <c r="M49" i="34"/>
  <c r="M705" i="34"/>
  <c r="O240" i="8"/>
  <c r="O1126" i="6"/>
  <c r="O1726" i="6"/>
  <c r="O1355" i="6"/>
  <c r="O477" i="7"/>
  <c r="O415" i="5"/>
  <c r="O492" i="4"/>
  <c r="O751" i="7"/>
  <c r="O450" i="8"/>
  <c r="O293" i="5"/>
  <c r="O498" i="8"/>
  <c r="O451" i="4"/>
  <c r="O818" i="4"/>
  <c r="T18" i="37"/>
  <c r="O1080" i="7"/>
  <c r="O190" i="8"/>
  <c r="N317" i="5"/>
  <c r="M97" i="5"/>
  <c r="O1420" i="6"/>
  <c r="O489" i="8"/>
  <c r="O901" i="7"/>
  <c r="O898" i="6"/>
  <c r="O630" i="7"/>
  <c r="O388" i="4"/>
  <c r="O744" i="7"/>
  <c r="O226" i="5"/>
  <c r="O988" i="6"/>
  <c r="M162" i="34"/>
  <c r="M638" i="34"/>
  <c r="M743" i="34"/>
  <c r="O843" i="6"/>
  <c r="O974" i="6"/>
  <c r="O844" i="6"/>
  <c r="O295" i="5"/>
  <c r="O772" i="7"/>
  <c r="O419" i="8"/>
  <c r="O364" i="8"/>
  <c r="O248" i="8"/>
  <c r="O187" i="8"/>
  <c r="O519" i="4"/>
  <c r="O816" i="4"/>
  <c r="P977" i="7"/>
  <c r="O1102" i="6"/>
  <c r="N302" i="6"/>
  <c r="P753" i="4"/>
  <c r="O1287" i="6"/>
  <c r="N405" i="6"/>
  <c r="P1908" i="6"/>
  <c r="O821" i="6"/>
  <c r="N824" i="6"/>
  <c r="N130" i="6"/>
  <c r="L27" i="16"/>
  <c r="L12" i="16" s="1"/>
  <c r="L247" i="15" s="1"/>
  <c r="L269" i="15" s="1"/>
  <c r="N337" i="8"/>
  <c r="N79" i="8"/>
  <c r="O331" i="8"/>
  <c r="P503" i="4"/>
  <c r="O877" i="7"/>
  <c r="P877" i="7" s="1"/>
  <c r="O5" i="1"/>
  <c r="P735" i="4" s="1"/>
  <c r="O935" i="7"/>
  <c r="M662" i="34"/>
  <c r="M663" i="34" s="1"/>
  <c r="O876" i="7"/>
  <c r="O646" i="4"/>
  <c r="O827" i="6"/>
  <c r="O645" i="4"/>
  <c r="M131" i="34"/>
  <c r="N131" i="34" s="1"/>
  <c r="O327" i="8"/>
  <c r="P327" i="8" s="1"/>
  <c r="O285" i="5"/>
  <c r="P285" i="5" s="1"/>
  <c r="O1425" i="6"/>
  <c r="P1425" i="6" s="1"/>
  <c r="O850" i="6"/>
  <c r="P850" i="6" s="1"/>
  <c r="O1184" i="6"/>
  <c r="P1184" i="6" s="1"/>
  <c r="O911" i="6"/>
  <c r="P911" i="6" s="1"/>
  <c r="O799" i="7"/>
  <c r="P799" i="7" s="1"/>
  <c r="O1628" i="6"/>
  <c r="P1628" i="6" s="1"/>
  <c r="O220" i="5"/>
  <c r="P220" i="5" s="1"/>
  <c r="O908" i="6"/>
  <c r="P908" i="6" s="1"/>
  <c r="M139" i="34"/>
  <c r="N139" i="34" s="1"/>
  <c r="O504" i="4"/>
  <c r="P504" i="4" s="1"/>
  <c r="O1821" i="6"/>
  <c r="O1429" i="6"/>
  <c r="P1429" i="6" s="1"/>
  <c r="O1448" i="6"/>
  <c r="P1448" i="6" s="1"/>
  <c r="O300" i="5"/>
  <c r="P300" i="5" s="1"/>
  <c r="O928" i="6"/>
  <c r="P928" i="6" s="1"/>
  <c r="O34" i="27"/>
  <c r="P34" i="27" s="1"/>
  <c r="O188" i="8"/>
  <c r="P188" i="8" s="1"/>
  <c r="O642" i="4"/>
  <c r="P642" i="4" s="1"/>
  <c r="O425" i="8"/>
  <c r="P425" i="8" s="1"/>
  <c r="O628" i="7"/>
  <c r="P628" i="7" s="1"/>
  <c r="O387" i="8"/>
  <c r="P387" i="8" s="1"/>
  <c r="P126" i="1"/>
  <c r="Q126" i="1" s="1"/>
  <c r="R126" i="1" s="1"/>
  <c r="N127" i="1"/>
  <c r="O127" i="1" s="1"/>
  <c r="O312" i="8"/>
  <c r="P312" i="8" s="1"/>
  <c r="O30" i="27"/>
  <c r="P30" i="27" s="1"/>
  <c r="M22" i="12"/>
  <c r="N22" i="12" s="1"/>
  <c r="M20" i="12"/>
  <c r="N20" i="12" s="1"/>
  <c r="O25" i="27"/>
  <c r="P25" i="27" s="1"/>
  <c r="O1887" i="6"/>
  <c r="P1887" i="6" s="1"/>
  <c r="BJ118" i="9"/>
  <c r="O756" i="6"/>
  <c r="P756" i="6" s="1"/>
  <c r="O1564" i="6"/>
  <c r="P1564" i="6" s="1"/>
  <c r="O476" i="7"/>
  <c r="P476" i="7" s="1"/>
  <c r="O635" i="4"/>
  <c r="P635" i="4" s="1"/>
  <c r="O1446" i="6"/>
  <c r="P1446" i="6" s="1"/>
  <c r="J582" i="34"/>
  <c r="K606" i="34"/>
  <c r="O633" i="4"/>
  <c r="P633" i="4" s="1"/>
  <c r="O500" i="4"/>
  <c r="P500" i="4" s="1"/>
  <c r="T21" i="37"/>
  <c r="U21" i="37" s="1"/>
  <c r="O490" i="4"/>
  <c r="P490" i="4" s="1"/>
  <c r="O776" i="7"/>
  <c r="P776" i="7" s="1"/>
  <c r="O319" i="8"/>
  <c r="P319" i="8" s="1"/>
  <c r="O927" i="6"/>
  <c r="P927" i="6" s="1"/>
  <c r="O389" i="4"/>
  <c r="P389" i="4" s="1"/>
  <c r="O736" i="4"/>
  <c r="P736" i="4" s="1"/>
  <c r="L62" i="9"/>
  <c r="N6" i="1"/>
  <c r="O6" i="1" s="1"/>
  <c r="M50" i="34"/>
  <c r="N50" i="34" s="1"/>
  <c r="O1343" i="6"/>
  <c r="P1343" i="6" s="1"/>
  <c r="O899" i="6"/>
  <c r="P899" i="6" s="1"/>
  <c r="O689" i="7"/>
  <c r="P689" i="7" s="1"/>
  <c r="N403" i="8"/>
  <c r="K87" i="17"/>
  <c r="O374" i="4"/>
  <c r="P374" i="4" s="1"/>
  <c r="O441" i="5"/>
  <c r="P441" i="5" s="1"/>
  <c r="O307" i="8"/>
  <c r="P307" i="8" s="1"/>
  <c r="O283" i="8"/>
  <c r="P283" i="8" s="1"/>
  <c r="O8" i="27"/>
  <c r="P8" i="27" s="1"/>
  <c r="M138" i="34"/>
  <c r="N138" i="34" s="1"/>
  <c r="O487" i="8"/>
  <c r="P487" i="8" s="1"/>
  <c r="O1342" i="6"/>
  <c r="P1342" i="6" s="1"/>
  <c r="M141" i="34"/>
  <c r="N141" i="34" s="1"/>
  <c r="O1427" i="6"/>
  <c r="P1427" i="6" s="1"/>
  <c r="O1430" i="6"/>
  <c r="P1430" i="6" s="1"/>
  <c r="O766" i="7"/>
  <c r="P766" i="7" s="1"/>
  <c r="O466" i="8"/>
  <c r="P466" i="8" s="1"/>
  <c r="O354" i="5"/>
  <c r="P354" i="5" s="1"/>
  <c r="O438" i="4"/>
  <c r="O473" i="8"/>
  <c r="P473" i="8" s="1"/>
  <c r="O501" i="4"/>
  <c r="P501" i="4" s="1"/>
  <c r="T19" i="37"/>
  <c r="U19" i="37" s="1"/>
  <c r="O913" i="7"/>
  <c r="P913" i="7" s="1"/>
  <c r="O1070" i="7"/>
  <c r="P1070" i="7" s="1"/>
  <c r="O699" i="7"/>
  <c r="P699" i="7" s="1"/>
  <c r="O328" i="4"/>
  <c r="P328" i="4" s="1"/>
  <c r="O475" i="8"/>
  <c r="P475" i="8" s="1"/>
  <c r="O1332" i="6"/>
  <c r="P1332" i="6" s="1"/>
  <c r="O1423" i="6"/>
  <c r="P1423" i="6" s="1"/>
  <c r="O752" i="7"/>
  <c r="P752" i="7" s="1"/>
  <c r="O373" i="5"/>
  <c r="P373" i="5" s="1"/>
  <c r="O1323" i="6"/>
  <c r="P1323" i="6" s="1"/>
  <c r="O393" i="4"/>
  <c r="P393" i="4" s="1"/>
  <c r="O830" i="6"/>
  <c r="P830" i="6" s="1"/>
  <c r="O828" i="6"/>
  <c r="P828" i="6" s="1"/>
  <c r="O235" i="8"/>
  <c r="P235" i="8" s="1"/>
  <c r="O26" i="27"/>
  <c r="P26" i="27" s="1"/>
  <c r="O45" i="27"/>
  <c r="P45" i="27" s="1"/>
  <c r="O31" i="27"/>
  <c r="P31" i="27" s="1"/>
  <c r="O43" i="27"/>
  <c r="P43" i="27" s="1"/>
  <c r="O517" i="4"/>
  <c r="P517" i="4" s="1"/>
  <c r="O274" i="8"/>
  <c r="P274" i="8" s="1"/>
  <c r="O1424" i="6"/>
  <c r="P1424" i="6" s="1"/>
  <c r="O1085" i="7"/>
  <c r="P1085" i="7" s="1"/>
  <c r="O254" i="8"/>
  <c r="P254" i="8" s="1"/>
  <c r="O743" i="7"/>
  <c r="P743" i="7" s="1"/>
  <c r="O830" i="4"/>
  <c r="P830" i="4" s="1"/>
  <c r="O382" i="8"/>
  <c r="P382" i="8" s="1"/>
  <c r="O1898" i="6"/>
  <c r="P1898" i="6" s="1"/>
  <c r="O522" i="4"/>
  <c r="P522" i="4" s="1"/>
  <c r="O457" i="4"/>
  <c r="P457" i="4" s="1"/>
  <c r="O497" i="4"/>
  <c r="P497" i="4" s="1"/>
  <c r="O1314" i="6"/>
  <c r="P1314" i="6" s="1"/>
  <c r="N602" i="4"/>
  <c r="N603" i="4"/>
  <c r="N604" i="4"/>
  <c r="L316" i="7"/>
  <c r="D120" i="7"/>
  <c r="E37" i="48"/>
  <c r="E32" i="48"/>
  <c r="E31" i="48"/>
  <c r="J110" i="48"/>
  <c r="S105" i="42"/>
  <c r="G208" i="3"/>
  <c r="F56" i="13"/>
  <c r="G146" i="3" s="1"/>
  <c r="G44" i="16"/>
  <c r="G77" i="3" s="1"/>
  <c r="G78" i="3" s="1"/>
  <c r="K102" i="11"/>
  <c r="M102" i="11" s="1"/>
  <c r="N102" i="11" s="1"/>
  <c r="P102" i="11" s="1"/>
  <c r="Q102" i="11" s="1"/>
  <c r="S102" i="11" s="1"/>
  <c r="T102" i="11" s="1"/>
  <c r="V102" i="11" s="1"/>
  <c r="W102" i="11" s="1"/>
  <c r="Y102" i="11" s="1"/>
  <c r="Z102" i="11" s="1"/>
  <c r="AB102" i="11" s="1"/>
  <c r="AC102" i="11" s="1"/>
  <c r="AE102" i="11" s="1"/>
  <c r="AF102" i="11" s="1"/>
  <c r="AH102" i="11" s="1"/>
  <c r="AI102" i="11" s="1"/>
  <c r="AK102" i="11" s="1"/>
  <c r="AL102" i="11" s="1"/>
  <c r="AN102" i="11" s="1"/>
  <c r="G56" i="13"/>
  <c r="H198" i="15" s="1"/>
  <c r="H115" i="14"/>
  <c r="I210" i="14"/>
  <c r="H190" i="14"/>
  <c r="I85" i="14" s="1"/>
  <c r="J143" i="14"/>
  <c r="R18" i="14"/>
  <c r="K744" i="4" s="1"/>
  <c r="H114" i="14"/>
  <c r="H113" i="14"/>
  <c r="J219" i="14"/>
  <c r="I199" i="14"/>
  <c r="J94" i="14" s="1"/>
  <c r="U44" i="42"/>
  <c r="G83" i="14"/>
  <c r="G96" i="14" s="1"/>
  <c r="U40" i="42"/>
  <c r="F40" i="42" s="1"/>
  <c r="J1259" i="6"/>
  <c r="J1261" i="6" s="1"/>
  <c r="J1272" i="6" s="1"/>
  <c r="G108" i="37"/>
  <c r="G110" i="37" s="1"/>
  <c r="G4" i="37"/>
  <c r="H2" i="37" s="1"/>
  <c r="I98" i="37"/>
  <c r="I100" i="37" s="1"/>
  <c r="J81" i="37"/>
  <c r="J84" i="37" s="1"/>
  <c r="F110" i="37"/>
  <c r="F120" i="37"/>
  <c r="G120" i="37" s="1"/>
  <c r="H120" i="37" s="1"/>
  <c r="I120" i="37" s="1"/>
  <c r="J120" i="37" s="1"/>
  <c r="K120" i="37" s="1"/>
  <c r="L120" i="37" s="1"/>
  <c r="M120" i="37" s="1"/>
  <c r="N120" i="37" s="1"/>
  <c r="O120" i="37" s="1"/>
  <c r="P120" i="37" s="1"/>
  <c r="Q120" i="37" s="1"/>
  <c r="R120" i="37" s="1"/>
  <c r="S120" i="37" s="1"/>
  <c r="T120" i="37" s="1"/>
  <c r="U120" i="37" s="1"/>
  <c r="V120" i="37" s="1"/>
  <c r="W120" i="37" s="1"/>
  <c r="X120" i="37" s="1"/>
  <c r="Q108" i="37"/>
  <c r="Q110" i="37" s="1"/>
  <c r="Q4" i="37"/>
  <c r="R2" i="37" s="1"/>
  <c r="R3" i="37"/>
  <c r="R109" i="37" s="1"/>
  <c r="O91" i="6"/>
  <c r="S114" i="42"/>
  <c r="H223" i="6"/>
  <c r="I223" i="6" s="1"/>
  <c r="J47" i="6"/>
  <c r="S112" i="42"/>
  <c r="H2075" i="6"/>
  <c r="D46" i="3"/>
  <c r="D12" i="5"/>
  <c r="A466" i="5"/>
  <c r="S98" i="42"/>
  <c r="I98" i="42"/>
  <c r="E904" i="4"/>
  <c r="E628" i="34"/>
  <c r="U70" i="42"/>
  <c r="G34" i="60" s="1"/>
  <c r="H263" i="5"/>
  <c r="I263" i="5" s="1"/>
  <c r="D29" i="6"/>
  <c r="D45" i="6" s="1"/>
  <c r="O350" i="5"/>
  <c r="J154" i="5"/>
  <c r="K452" i="5"/>
  <c r="K460" i="5" s="1"/>
  <c r="D79" i="5"/>
  <c r="H501" i="5"/>
  <c r="I501" i="5" s="1"/>
  <c r="K477" i="5"/>
  <c r="R109" i="42"/>
  <c r="S109" i="42" s="1"/>
  <c r="D466" i="5"/>
  <c r="B230" i="42"/>
  <c r="F8" i="42"/>
  <c r="F70" i="42" s="1"/>
  <c r="G8" i="60" s="1"/>
  <c r="H68" i="5"/>
  <c r="I68" i="5" s="1"/>
  <c r="N1363" i="6"/>
  <c r="M434" i="6"/>
  <c r="Q33" i="42"/>
  <c r="B33" i="42" s="1"/>
  <c r="Q19" i="42"/>
  <c r="A68" i="13"/>
  <c r="A124" i="13" s="1"/>
  <c r="A193" i="15"/>
  <c r="B2058" i="6"/>
  <c r="B394" i="6"/>
  <c r="D1272" i="6"/>
  <c r="C606" i="6"/>
  <c r="C2082" i="6"/>
  <c r="D2064" i="6"/>
  <c r="D746" i="6"/>
  <c r="D510" i="6"/>
  <c r="D280" i="6"/>
  <c r="D2076" i="6"/>
  <c r="F393" i="9"/>
  <c r="D1217" i="6"/>
  <c r="D1383" i="6"/>
  <c r="O1052" i="6"/>
  <c r="N264" i="6"/>
  <c r="D681" i="6"/>
  <c r="D2063" i="6" s="1"/>
  <c r="D28" i="6"/>
  <c r="K109" i="48"/>
  <c r="T243" i="48" s="1"/>
  <c r="D47" i="6"/>
  <c r="D1966" i="6"/>
  <c r="D1644" i="6"/>
  <c r="H2082" i="6"/>
  <c r="D2062" i="6"/>
  <c r="D617" i="6"/>
  <c r="E508" i="6"/>
  <c r="I495" i="6"/>
  <c r="E180" i="6"/>
  <c r="I176" i="6"/>
  <c r="E64" i="6"/>
  <c r="I288" i="6"/>
  <c r="H1375" i="6"/>
  <c r="I1375" i="6" s="1"/>
  <c r="I1372" i="6"/>
  <c r="H169" i="6"/>
  <c r="I169" i="6" s="1"/>
  <c r="I166" i="6"/>
  <c r="I600" i="6"/>
  <c r="R121" i="42"/>
  <c r="S121" i="42" s="1"/>
  <c r="H31" i="6"/>
  <c r="Q66" i="10"/>
  <c r="H154" i="7"/>
  <c r="I154" i="7" s="1"/>
  <c r="H9" i="7"/>
  <c r="I9" i="7" s="1"/>
  <c r="D33" i="7"/>
  <c r="H8" i="7"/>
  <c r="I8" i="7" s="1"/>
  <c r="H1143" i="7"/>
  <c r="H410" i="4"/>
  <c r="I410" i="4" s="1"/>
  <c r="Q129" i="42"/>
  <c r="D59" i="3"/>
  <c r="C55" i="15"/>
  <c r="C24" i="15" s="1"/>
  <c r="B161" i="42"/>
  <c r="E161" i="42" s="1"/>
  <c r="D22" i="42"/>
  <c r="C46" i="15"/>
  <c r="C15" i="15" s="1"/>
  <c r="H22" i="7"/>
  <c r="I22" i="7" s="1"/>
  <c r="I292" i="7"/>
  <c r="H240" i="7"/>
  <c r="H1127" i="7" s="1"/>
  <c r="I238" i="7"/>
  <c r="G40" i="15"/>
  <c r="E1011" i="7"/>
  <c r="D309" i="15"/>
  <c r="G309" i="15" s="1"/>
  <c r="G305" i="15"/>
  <c r="AG18" i="42"/>
  <c r="AG24" i="42" s="1"/>
  <c r="E230" i="42"/>
  <c r="F682" i="34"/>
  <c r="H8" i="15"/>
  <c r="A242" i="15"/>
  <c r="F454" i="34"/>
  <c r="F329" i="15"/>
  <c r="J381" i="8" s="1"/>
  <c r="B242" i="15"/>
  <c r="O126" i="8"/>
  <c r="P461" i="8"/>
  <c r="O128" i="8"/>
  <c r="P485" i="8"/>
  <c r="N58" i="8"/>
  <c r="O257" i="8"/>
  <c r="M88" i="16"/>
  <c r="P219" i="8"/>
  <c r="M295" i="45"/>
  <c r="M305" i="45" s="1"/>
  <c r="M306" i="45" s="1"/>
  <c r="A101" i="16"/>
  <c r="A102" i="16" s="1"/>
  <c r="A104" i="16" s="1"/>
  <c r="A106" i="16" s="1"/>
  <c r="N62" i="8"/>
  <c r="O294" i="8"/>
  <c r="O277" i="8"/>
  <c r="N61" i="8"/>
  <c r="AH10" i="42"/>
  <c r="AH14" i="42" s="1"/>
  <c r="C241" i="15"/>
  <c r="E208" i="34"/>
  <c r="D33" i="34"/>
  <c r="D34" i="34" s="1"/>
  <c r="D37" i="34" s="1"/>
  <c r="D39" i="34" s="1"/>
  <c r="B246" i="3" s="1"/>
  <c r="G378" i="34"/>
  <c r="G496" i="34" s="1"/>
  <c r="A104" i="15"/>
  <c r="A109" i="15" s="1"/>
  <c r="C334" i="34" s="1"/>
  <c r="AU14" i="42"/>
  <c r="B8" i="8"/>
  <c r="B579" i="8"/>
  <c r="G80" i="3"/>
  <c r="G44" i="17"/>
  <c r="H155" i="22"/>
  <c r="H158" i="22" s="1"/>
  <c r="G89" i="3" s="1"/>
  <c r="K424" i="45"/>
  <c r="K431" i="45" s="1"/>
  <c r="K432" i="45" s="1"/>
  <c r="K7" i="48"/>
  <c r="J113" i="48"/>
  <c r="C7" i="16"/>
  <c r="F11" i="42"/>
  <c r="G355" i="34" s="1"/>
  <c r="B6" i="16"/>
  <c r="C579" i="8"/>
  <c r="C588" i="8" s="1"/>
  <c r="C7" i="8"/>
  <c r="C10" i="8" s="1"/>
  <c r="I554" i="34"/>
  <c r="I378" i="34"/>
  <c r="I289" i="34"/>
  <c r="I352" i="34" s="1"/>
  <c r="O314" i="8"/>
  <c r="N742" i="34" s="1"/>
  <c r="N67" i="8"/>
  <c r="L744" i="34"/>
  <c r="L87" i="16"/>
  <c r="L90" i="16" s="1"/>
  <c r="L34" i="16" s="1"/>
  <c r="N57" i="8"/>
  <c r="O218" i="8"/>
  <c r="H558" i="34"/>
  <c r="H294" i="34"/>
  <c r="H526" i="34" s="1"/>
  <c r="AN45" i="42"/>
  <c r="K256" i="15"/>
  <c r="AK29" i="42"/>
  <c r="H84" i="15"/>
  <c r="H559" i="34"/>
  <c r="H694" i="34" s="1"/>
  <c r="AM47" i="42"/>
  <c r="N123" i="8"/>
  <c r="N422" i="45"/>
  <c r="O444" i="8"/>
  <c r="O328" i="8"/>
  <c r="N69" i="8"/>
  <c r="D573" i="34"/>
  <c r="D566" i="34"/>
  <c r="N44" i="16"/>
  <c r="N77" i="3" s="1"/>
  <c r="N78" i="3" s="1"/>
  <c r="C136" i="15"/>
  <c r="D280" i="15"/>
  <c r="F439" i="34" s="1"/>
  <c r="C12" i="15"/>
  <c r="E472" i="34"/>
  <c r="E522" i="34"/>
  <c r="C20" i="15"/>
  <c r="C152" i="15"/>
  <c r="C9" i="15"/>
  <c r="C19" i="15"/>
  <c r="E334" i="34"/>
  <c r="E383" i="34"/>
  <c r="E496" i="34"/>
  <c r="H51" i="7"/>
  <c r="G59" i="3" s="1"/>
  <c r="J191" i="14"/>
  <c r="K86" i="14" s="1"/>
  <c r="K118" i="14" s="1"/>
  <c r="S118" i="14" s="1"/>
  <c r="J120" i="14"/>
  <c r="D39" i="17"/>
  <c r="D308" i="15" s="1"/>
  <c r="I15" i="34"/>
  <c r="J98" i="34"/>
  <c r="I407" i="34"/>
  <c r="J90" i="34"/>
  <c r="I7" i="34"/>
  <c r="F142" i="34"/>
  <c r="F16" i="34"/>
  <c r="I8" i="34"/>
  <c r="J91" i="34"/>
  <c r="D65" i="27"/>
  <c r="D532" i="8"/>
  <c r="D586" i="8"/>
  <c r="D10" i="8"/>
  <c r="A8" i="16"/>
  <c r="A13" i="16" s="1"/>
  <c r="A20" i="16" s="1"/>
  <c r="A47" i="16" s="1"/>
  <c r="A51" i="16" s="1"/>
  <c r="D338" i="8"/>
  <c r="C6" i="17"/>
  <c r="K114" i="48"/>
  <c r="D548" i="8"/>
  <c r="D119" i="16"/>
  <c r="AI59" i="42"/>
  <c r="C69" i="13"/>
  <c r="D34" i="7"/>
  <c r="C195" i="3"/>
  <c r="C196" i="3" s="1"/>
  <c r="D1127" i="7"/>
  <c r="D1120" i="7"/>
  <c r="D1147" i="7"/>
  <c r="C8" i="13"/>
  <c r="C194" i="15"/>
  <c r="D820" i="7"/>
  <c r="S31" i="42"/>
  <c r="D31" i="42" s="1"/>
  <c r="C214" i="15"/>
  <c r="C122" i="13"/>
  <c r="J90" i="48"/>
  <c r="F105" i="13"/>
  <c r="G688" i="34"/>
  <c r="B181" i="42"/>
  <c r="E689" i="34"/>
  <c r="E201" i="34" s="1"/>
  <c r="E829" i="34" s="1"/>
  <c r="K97" i="48"/>
  <c r="J714" i="4"/>
  <c r="H4" i="12"/>
  <c r="K338" i="4" s="1"/>
  <c r="I4" i="12" s="1"/>
  <c r="L338" i="4" s="1"/>
  <c r="J4" i="12" s="1"/>
  <c r="M338" i="4" s="1"/>
  <c r="K4" i="12" s="1"/>
  <c r="N338" i="4" s="1"/>
  <c r="L4" i="12" s="1"/>
  <c r="O338" i="4" s="1"/>
  <c r="J10" i="4"/>
  <c r="J652" i="4"/>
  <c r="J21" i="4"/>
  <c r="J194" i="4"/>
  <c r="J863" i="4" s="1"/>
  <c r="H5" i="12"/>
  <c r="K339" i="4" s="1"/>
  <c r="I5" i="12" s="1"/>
  <c r="L339" i="4" s="1"/>
  <c r="J5" i="12" s="1"/>
  <c r="M339" i="4" s="1"/>
  <c r="K5" i="12" s="1"/>
  <c r="N339" i="4" s="1"/>
  <c r="L5" i="12" s="1"/>
  <c r="J139" i="4"/>
  <c r="J836" i="4"/>
  <c r="H6" i="12"/>
  <c r="J11" i="4"/>
  <c r="H8" i="3"/>
  <c r="H7" i="12"/>
  <c r="K341" i="4" s="1"/>
  <c r="J17" i="4"/>
  <c r="D479" i="5"/>
  <c r="C18" i="13"/>
  <c r="D399" i="5"/>
  <c r="D501" i="5"/>
  <c r="D333" i="5"/>
  <c r="D460" i="5"/>
  <c r="N242" i="48"/>
  <c r="N222" i="48"/>
  <c r="N232" i="48"/>
  <c r="N230" i="48"/>
  <c r="N223" i="48"/>
  <c r="N228" i="48"/>
  <c r="N240" i="48"/>
  <c r="N224" i="48"/>
  <c r="N227" i="48"/>
  <c r="N229" i="48"/>
  <c r="N233" i="48"/>
  <c r="N235" i="48"/>
  <c r="N237" i="48"/>
  <c r="N234" i="48"/>
  <c r="N241" i="48"/>
  <c r="N238" i="48"/>
  <c r="N243" i="48"/>
  <c r="N236" i="48"/>
  <c r="N225" i="48"/>
  <c r="N231" i="48"/>
  <c r="N246" i="48"/>
  <c r="N226" i="48"/>
  <c r="N244" i="48"/>
  <c r="N247" i="48"/>
  <c r="N256" i="48"/>
  <c r="N239" i="48"/>
  <c r="N245" i="48"/>
  <c r="N248" i="48"/>
  <c r="C204" i="42"/>
  <c r="H478" i="5"/>
  <c r="I478" i="5" s="1"/>
  <c r="D60" i="3"/>
  <c r="D38" i="3"/>
  <c r="D28" i="4"/>
  <c r="D258" i="4"/>
  <c r="D851" i="4"/>
  <c r="D143" i="4"/>
  <c r="J95" i="48"/>
  <c r="H593" i="4"/>
  <c r="I593" i="4" s="1"/>
  <c r="K92" i="48"/>
  <c r="K93" i="48"/>
  <c r="D29" i="4"/>
  <c r="D17" i="4"/>
  <c r="D776" i="4"/>
  <c r="D80" i="13"/>
  <c r="M118" i="42"/>
  <c r="A30" i="5"/>
  <c r="A32" i="5" s="1"/>
  <c r="A43" i="5" s="1"/>
  <c r="E347" i="8"/>
  <c r="E540" i="8"/>
  <c r="E538" i="8" s="1"/>
  <c r="G11" i="12"/>
  <c r="G84" i="3" s="1"/>
  <c r="T44" i="42"/>
  <c r="T47" i="42" s="1"/>
  <c r="F143" i="13"/>
  <c r="G206" i="3"/>
  <c r="D121" i="3"/>
  <c r="M902" i="4"/>
  <c r="K62" i="3"/>
  <c r="N26" i="12"/>
  <c r="K57" i="13"/>
  <c r="L199" i="15" s="1"/>
  <c r="L144" i="15" s="1"/>
  <c r="N419" i="4"/>
  <c r="N92" i="4" s="1"/>
  <c r="N43" i="4" s="1"/>
  <c r="H61" i="4"/>
  <c r="I61" i="4" s="1"/>
  <c r="H7" i="10"/>
  <c r="H39" i="10" s="1"/>
  <c r="A851" i="4"/>
  <c r="F783" i="34"/>
  <c r="F57" i="11"/>
  <c r="G57" i="11" s="1"/>
  <c r="H57" i="11" s="1"/>
  <c r="E525" i="5"/>
  <c r="I525" i="5" s="1"/>
  <c r="T3" i="10"/>
  <c r="T122" i="10" s="1"/>
  <c r="E291" i="6"/>
  <c r="D143" i="13"/>
  <c r="F201" i="14"/>
  <c r="CM27" i="22"/>
  <c r="CA73" i="22"/>
  <c r="CN73" i="22"/>
  <c r="P88" i="20"/>
  <c r="P90" i="20" s="1"/>
  <c r="R89" i="20" s="1"/>
  <c r="R88" i="20" s="1"/>
  <c r="R90" i="20" s="1"/>
  <c r="CA115" i="22"/>
  <c r="CN115" i="22"/>
  <c r="CL9" i="21"/>
  <c r="BY9" i="21"/>
  <c r="E92" i="8"/>
  <c r="E97" i="8" s="1"/>
  <c r="E1083" i="6"/>
  <c r="AA143" i="9"/>
  <c r="M7" i="37" s="1"/>
  <c r="M112" i="37" s="1"/>
  <c r="M117" i="37" s="1"/>
  <c r="AU65" i="37"/>
  <c r="AU101" i="37" s="1"/>
  <c r="L37" i="37"/>
  <c r="CT221" i="9"/>
  <c r="F681" i="34" s="1"/>
  <c r="AA469" i="9"/>
  <c r="E353" i="6"/>
  <c r="I353" i="6" s="1"/>
  <c r="E1154" i="6"/>
  <c r="D251" i="7"/>
  <c r="A83" i="15"/>
  <c r="A87" i="15" s="1"/>
  <c r="C325" i="34" s="1"/>
  <c r="C557" i="34" s="1"/>
  <c r="AF24" i="42"/>
  <c r="D567" i="34"/>
  <c r="D338" i="34"/>
  <c r="D344" i="34" s="1"/>
  <c r="D390" i="34"/>
  <c r="E369" i="7"/>
  <c r="A2062" i="6"/>
  <c r="A617" i="6"/>
  <c r="A746" i="6"/>
  <c r="A2064" i="6"/>
  <c r="B2082" i="6"/>
  <c r="B606" i="6"/>
  <c r="C138" i="15"/>
  <c r="C217" i="15"/>
  <c r="I11" i="48"/>
  <c r="B47" i="6"/>
  <c r="E1642" i="6"/>
  <c r="L138" i="15"/>
  <c r="L162" i="15" s="1"/>
  <c r="L217" i="15"/>
  <c r="C2058" i="6"/>
  <c r="C394" i="6"/>
  <c r="A523" i="6"/>
  <c r="A2060" i="6"/>
  <c r="P217" i="15"/>
  <c r="P138" i="15"/>
  <c r="P162" i="15" s="1"/>
  <c r="D950" i="6"/>
  <c r="N217" i="15"/>
  <c r="N138" i="15"/>
  <c r="N162" i="15" s="1"/>
  <c r="O217" i="15"/>
  <c r="O138" i="15"/>
  <c r="O162" i="15" s="1"/>
  <c r="G246" i="10"/>
  <c r="F152" i="11" s="1"/>
  <c r="G152" i="11" s="1"/>
  <c r="H152" i="11" s="1"/>
  <c r="E1776" i="6"/>
  <c r="B2054" i="6"/>
  <c r="B180" i="6"/>
  <c r="E63" i="6"/>
  <c r="K10" i="5"/>
  <c r="E43" i="5"/>
  <c r="C49" i="3"/>
  <c r="C50" i="3" s="1"/>
  <c r="D259" i="3"/>
  <c r="R20" i="20"/>
  <c r="E953" i="7"/>
  <c r="K55" i="13"/>
  <c r="K72" i="13"/>
  <c r="M95" i="13"/>
  <c r="L97" i="13"/>
  <c r="G554" i="34"/>
  <c r="F573" i="34"/>
  <c r="F566" i="34"/>
  <c r="D40" i="3"/>
  <c r="E95" i="4"/>
  <c r="M98" i="42"/>
  <c r="F36" i="60"/>
  <c r="C143" i="4"/>
  <c r="C153" i="4" s="1"/>
  <c r="H36" i="60"/>
  <c r="F43" i="60"/>
  <c r="F35" i="60"/>
  <c r="F9" i="60"/>
  <c r="F7" i="60"/>
  <c r="H7" i="60"/>
  <c r="H19" i="60"/>
  <c r="L583" i="34"/>
  <c r="K583" i="34"/>
  <c r="K596" i="34"/>
  <c r="K656" i="34"/>
  <c r="K542" i="34"/>
  <c r="L312" i="34"/>
  <c r="M595" i="34"/>
  <c r="J608" i="34"/>
  <c r="J581" i="34"/>
  <c r="J584" i="34" s="1"/>
  <c r="K605" i="34"/>
  <c r="P594" i="34"/>
  <c r="J620" i="34"/>
  <c r="N619" i="34"/>
  <c r="M54" i="34"/>
  <c r="L13" i="34"/>
  <c r="K657" i="34"/>
  <c r="L313" i="34"/>
  <c r="K295" i="34"/>
  <c r="K527" i="34" s="1"/>
  <c r="K543" i="34"/>
  <c r="K617" i="34"/>
  <c r="K1700" i="6"/>
  <c r="K1702" i="6" s="1"/>
  <c r="K1713" i="6" s="1"/>
  <c r="N1110" i="7"/>
  <c r="O1105" i="7"/>
  <c r="N417" i="7"/>
  <c r="N423" i="7" s="1"/>
  <c r="J9" i="34"/>
  <c r="K92" i="34"/>
  <c r="N370" i="8"/>
  <c r="N108" i="8" s="1"/>
  <c r="O359" i="8"/>
  <c r="K100" i="34"/>
  <c r="J17" i="34"/>
  <c r="BC11" i="42"/>
  <c r="K105" i="15" s="1"/>
  <c r="K394" i="34"/>
  <c r="J38" i="34"/>
  <c r="K80" i="34"/>
  <c r="I794" i="34"/>
  <c r="I800" i="34" s="1"/>
  <c r="I824" i="34"/>
  <c r="I814" i="34"/>
  <c r="I258" i="3" s="1"/>
  <c r="I31" i="34"/>
  <c r="J73" i="34"/>
  <c r="K706" i="34"/>
  <c r="J707" i="34"/>
  <c r="J212" i="34" s="1"/>
  <c r="CN61" i="22"/>
  <c r="CA61" i="22"/>
  <c r="BY60" i="22"/>
  <c r="CL60" i="22"/>
  <c r="BZ78" i="22"/>
  <c r="CM78" i="22"/>
  <c r="CN80" i="22"/>
  <c r="CA80" i="22"/>
  <c r="CN65" i="22"/>
  <c r="CA65" i="22"/>
  <c r="C81" i="3"/>
  <c r="C82" i="3" s="1"/>
  <c r="C118" i="17"/>
  <c r="BZ36" i="22"/>
  <c r="CM36" i="22"/>
  <c r="CN75" i="22"/>
  <c r="CA75" i="22"/>
  <c r="CM9" i="22"/>
  <c r="BZ9" i="22"/>
  <c r="CK142" i="22"/>
  <c r="H699" i="34" s="1"/>
  <c r="H701" i="34" s="1"/>
  <c r="H207" i="34" s="1"/>
  <c r="CL10" i="22"/>
  <c r="BY10" i="22"/>
  <c r="BY8" i="22"/>
  <c r="CL8" i="22"/>
  <c r="G701" i="34"/>
  <c r="G207" i="34" s="1"/>
  <c r="G208" i="34" s="1"/>
  <c r="CN15" i="22"/>
  <c r="CA15" i="22"/>
  <c r="L32" i="8"/>
  <c r="CL35" i="21"/>
  <c r="BY35" i="21"/>
  <c r="CA36" i="21"/>
  <c r="CN36" i="21"/>
  <c r="G681" i="34"/>
  <c r="G693" i="34"/>
  <c r="G695" i="34" s="1"/>
  <c r="G204" i="34" s="1"/>
  <c r="G205" i="34" s="1"/>
  <c r="N330" i="8"/>
  <c r="M78" i="8"/>
  <c r="M336" i="8"/>
  <c r="J101" i="1"/>
  <c r="I108" i="1"/>
  <c r="I119" i="1" s="1"/>
  <c r="M75" i="15"/>
  <c r="M323" i="34" s="1"/>
  <c r="I245" i="15"/>
  <c r="I267" i="15" s="1"/>
  <c r="AL20" i="42"/>
  <c r="I105" i="16"/>
  <c r="H666" i="34"/>
  <c r="I660" i="34"/>
  <c r="N522" i="8"/>
  <c r="M529" i="8"/>
  <c r="M565" i="8"/>
  <c r="M141" i="8"/>
  <c r="J14" i="34"/>
  <c r="K97" i="34"/>
  <c r="N252" i="15"/>
  <c r="O18" i="16"/>
  <c r="N121" i="16"/>
  <c r="AQ41" i="42"/>
  <c r="O935" i="6"/>
  <c r="N160" i="6"/>
  <c r="I294" i="15"/>
  <c r="I316" i="15" s="1"/>
  <c r="BA20" i="42"/>
  <c r="I103" i="17"/>
  <c r="M69" i="20"/>
  <c r="J25" i="16"/>
  <c r="J10" i="16" s="1"/>
  <c r="L84" i="8"/>
  <c r="L20" i="8"/>
  <c r="AA11" i="54"/>
  <c r="AA18" i="54" s="1"/>
  <c r="AA20" i="54" s="1"/>
  <c r="AB5" i="54"/>
  <c r="J25" i="17"/>
  <c r="J10" i="17" s="1"/>
  <c r="L148" i="8"/>
  <c r="H29" i="34"/>
  <c r="I153" i="34"/>
  <c r="V90" i="11"/>
  <c r="W90" i="11" s="1"/>
  <c r="G87" i="21"/>
  <c r="G90" i="21" s="1"/>
  <c r="G88" i="3" s="1"/>
  <c r="M809" i="6"/>
  <c r="M115" i="6" s="1"/>
  <c r="W157" i="10"/>
  <c r="N809" i="6" s="1"/>
  <c r="N115" i="6" s="1"/>
  <c r="K583" i="4"/>
  <c r="K585" i="4" s="1"/>
  <c r="N825" i="4"/>
  <c r="C80" i="13"/>
  <c r="C206" i="15" s="1"/>
  <c r="K76" i="14"/>
  <c r="M72" i="14" s="1"/>
  <c r="C208" i="3"/>
  <c r="C210" i="3" s="1"/>
  <c r="L259" i="5"/>
  <c r="L261" i="5" s="1"/>
  <c r="L263" i="5" s="1"/>
  <c r="L274" i="5" s="1"/>
  <c r="D51" i="48"/>
  <c r="D24" i="48" s="1"/>
  <c r="C373" i="7"/>
  <c r="B307" i="7"/>
  <c r="V8" i="42"/>
  <c r="G8" i="42" s="1"/>
  <c r="G70" i="42" s="1"/>
  <c r="I8" i="60" s="1"/>
  <c r="M75" i="7"/>
  <c r="N463" i="7"/>
  <c r="BZ76" i="22"/>
  <c r="CM76" i="22"/>
  <c r="BY12" i="22"/>
  <c r="CL12" i="22"/>
  <c r="CN14" i="22"/>
  <c r="CA14" i="22"/>
  <c r="BZ100" i="22"/>
  <c r="CM100" i="22"/>
  <c r="CA16" i="22"/>
  <c r="CN16" i="22"/>
  <c r="BZ47" i="22"/>
  <c r="CM47" i="22"/>
  <c r="CA58" i="22"/>
  <c r="CN58" i="22"/>
  <c r="CP13" i="22"/>
  <c r="CC13" i="22"/>
  <c r="CL84" i="22"/>
  <c r="BY84" i="22"/>
  <c r="BZ42" i="22"/>
  <c r="CM42" i="22"/>
  <c r="CN17" i="22"/>
  <c r="CA17" i="22"/>
  <c r="BZ11" i="22"/>
  <c r="CM11" i="22"/>
  <c r="CL77" i="22"/>
  <c r="BY77" i="22"/>
  <c r="CB30" i="22"/>
  <c r="CO30" i="22"/>
  <c r="BY104" i="22"/>
  <c r="CL104" i="22"/>
  <c r="CL6" i="22"/>
  <c r="BY6" i="22"/>
  <c r="BY79" i="22"/>
  <c r="CL79" i="22"/>
  <c r="CL7" i="22"/>
  <c r="BY7" i="22"/>
  <c r="CN70" i="22"/>
  <c r="CA70" i="22"/>
  <c r="CN74" i="22"/>
  <c r="CA74" i="22"/>
  <c r="BZ122" i="22"/>
  <c r="CM122" i="22"/>
  <c r="BZ52" i="22"/>
  <c r="CM52" i="22"/>
  <c r="BZ97" i="22"/>
  <c r="CM97" i="22"/>
  <c r="BZ128" i="22"/>
  <c r="CM128" i="22"/>
  <c r="G221" i="9"/>
  <c r="V221" i="9"/>
  <c r="C232" i="3" s="1"/>
  <c r="L118" i="4"/>
  <c r="M469" i="4"/>
  <c r="L119" i="4"/>
  <c r="L157" i="4" s="1"/>
  <c r="J42" i="6"/>
  <c r="N559" i="4"/>
  <c r="N126" i="4" s="1"/>
  <c r="M126" i="4"/>
  <c r="N553" i="4"/>
  <c r="M125" i="4"/>
  <c r="K871" i="4"/>
  <c r="K34" i="4" s="1"/>
  <c r="L459" i="4"/>
  <c r="N279" i="4"/>
  <c r="E41" i="60"/>
  <c r="E17" i="42"/>
  <c r="AY17" i="42"/>
  <c r="F112" i="15" s="1"/>
  <c r="D241" i="42" s="1"/>
  <c r="O12" i="26"/>
  <c r="P6" i="26"/>
  <c r="Q5" i="26"/>
  <c r="AJ17" i="42"/>
  <c r="F81" i="15" s="1"/>
  <c r="C241" i="42" s="1"/>
  <c r="O11" i="26"/>
  <c r="N10" i="26"/>
  <c r="U17" i="42" s="1"/>
  <c r="M139" i="42"/>
  <c r="K142" i="4"/>
  <c r="A23" i="4"/>
  <c r="A887" i="4" s="1"/>
  <c r="A889" i="4" s="1"/>
  <c r="K115" i="4"/>
  <c r="K8" i="4" s="1"/>
  <c r="A13" i="4"/>
  <c r="A881" i="4" s="1"/>
  <c r="A883" i="4" s="1"/>
  <c r="J585" i="4"/>
  <c r="I307" i="45"/>
  <c r="J307" i="45" s="1"/>
  <c r="K307" i="45" s="1"/>
  <c r="L307" i="45" s="1"/>
  <c r="H60" i="48"/>
  <c r="H61" i="48" s="1"/>
  <c r="H51" i="48" s="1"/>
  <c r="L76" i="13"/>
  <c r="Z42" i="42"/>
  <c r="K42" i="42" s="1"/>
  <c r="N818" i="7"/>
  <c r="N304" i="7" s="1"/>
  <c r="N51" i="7" s="1"/>
  <c r="L59" i="3" s="1"/>
  <c r="K125" i="13"/>
  <c r="L210" i="15"/>
  <c r="L155" i="15" s="1"/>
  <c r="H103" i="5"/>
  <c r="I103" i="5" s="1"/>
  <c r="N742" i="7"/>
  <c r="M272" i="7"/>
  <c r="L505" i="5"/>
  <c r="L66" i="5"/>
  <c r="L477" i="5" s="1"/>
  <c r="J68" i="5"/>
  <c r="J466" i="5" s="1"/>
  <c r="CJ73" i="21"/>
  <c r="H693" i="34" s="1"/>
  <c r="M87" i="21"/>
  <c r="M90" i="21" s="1"/>
  <c r="M88" i="3" s="1"/>
  <c r="L87" i="21"/>
  <c r="L90" i="21" s="1"/>
  <c r="L88" i="3" s="1"/>
  <c r="J87" i="21"/>
  <c r="J90" i="21" s="1"/>
  <c r="J88" i="3" s="1"/>
  <c r="M78" i="3"/>
  <c r="K83" i="21"/>
  <c r="L97" i="3" s="1"/>
  <c r="BZ64" i="21"/>
  <c r="CM64" i="21"/>
  <c r="BZ108" i="22"/>
  <c r="CM108" i="22"/>
  <c r="BZ127" i="22"/>
  <c r="CM127" i="22"/>
  <c r="BZ123" i="22"/>
  <c r="CM123" i="22"/>
  <c r="BZ114" i="22"/>
  <c r="CM114" i="22"/>
  <c r="CO31" i="22"/>
  <c r="CB31" i="22"/>
  <c r="BZ37" i="22"/>
  <c r="CM37" i="22"/>
  <c r="CB39" i="22"/>
  <c r="CO39" i="22"/>
  <c r="BZ23" i="22"/>
  <c r="CM23" i="22"/>
  <c r="BZ96" i="22"/>
  <c r="CM96" i="22"/>
  <c r="BZ53" i="22"/>
  <c r="CM53" i="22"/>
  <c r="CB40" i="22"/>
  <c r="CO40" i="22"/>
  <c r="BZ95" i="22"/>
  <c r="CM95" i="22"/>
  <c r="BZ101" i="22"/>
  <c r="CM101" i="22"/>
  <c r="BZ59" i="22"/>
  <c r="CM59" i="22"/>
  <c r="BZ43" i="22"/>
  <c r="CM43" i="22"/>
  <c r="BZ41" i="22"/>
  <c r="CM41" i="22"/>
  <c r="CM140" i="22"/>
  <c r="BZ140" i="22"/>
  <c r="CM66" i="22"/>
  <c r="BZ66" i="22"/>
  <c r="BZ21" i="22"/>
  <c r="CM21" i="22"/>
  <c r="CM22" i="22"/>
  <c r="BZ22" i="22"/>
  <c r="CN55" i="22"/>
  <c r="CA55" i="22"/>
  <c r="BZ19" i="22"/>
  <c r="CM19" i="22"/>
  <c r="BZ33" i="22"/>
  <c r="CM33" i="22"/>
  <c r="BZ72" i="22"/>
  <c r="CM72" i="22"/>
  <c r="BZ51" i="22"/>
  <c r="CM51" i="22"/>
  <c r="BZ69" i="22"/>
  <c r="CM69" i="22"/>
  <c r="CP29" i="22"/>
  <c r="CC29" i="22"/>
  <c r="CA112" i="22"/>
  <c r="CN112" i="22"/>
  <c r="CM48" i="22"/>
  <c r="BZ48" i="22"/>
  <c r="BZ71" i="22"/>
  <c r="CM71" i="22"/>
  <c r="CM107" i="22"/>
  <c r="BZ107" i="22"/>
  <c r="BZ54" i="22"/>
  <c r="CM54" i="22"/>
  <c r="CM32" i="22"/>
  <c r="BZ32" i="22"/>
  <c r="CN109" i="22"/>
  <c r="CA109" i="22"/>
  <c r="CM20" i="22"/>
  <c r="BZ20" i="22"/>
  <c r="CA27" i="22"/>
  <c r="CN27" i="22"/>
  <c r="CM62" i="22"/>
  <c r="BZ62" i="22"/>
  <c r="CO45" i="22"/>
  <c r="CB45" i="22"/>
  <c r="CO44" i="22"/>
  <c r="CB44" i="22"/>
  <c r="CA26" i="22"/>
  <c r="CN26" i="22"/>
  <c r="CO46" i="22"/>
  <c r="CB46" i="22"/>
  <c r="CP28" i="22"/>
  <c r="CC28" i="22"/>
  <c r="M428" i="6"/>
  <c r="S120" i="42"/>
  <c r="F224" i="9"/>
  <c r="F226" i="9" s="1"/>
  <c r="Z221" i="9"/>
  <c r="Z393" i="9"/>
  <c r="F13" i="13"/>
  <c r="F49" i="13" s="1"/>
  <c r="F65" i="13" s="1"/>
  <c r="H1142" i="7"/>
  <c r="O191" i="7"/>
  <c r="N191" i="7"/>
  <c r="L737" i="7"/>
  <c r="C37" i="7"/>
  <c r="C43" i="7" s="1"/>
  <c r="C54" i="7" s="1"/>
  <c r="B121" i="13"/>
  <c r="H32" i="7"/>
  <c r="I32" i="7" s="1"/>
  <c r="N612" i="7"/>
  <c r="O612" i="7" s="1"/>
  <c r="D134" i="42"/>
  <c r="C252" i="3"/>
  <c r="L264" i="7"/>
  <c r="N518" i="7"/>
  <c r="O518" i="7" s="1"/>
  <c r="D26" i="7"/>
  <c r="I160" i="48"/>
  <c r="I165" i="48" s="1"/>
  <c r="K134" i="42"/>
  <c r="D264" i="48"/>
  <c r="O520" i="7"/>
  <c r="P520" i="7" s="1"/>
  <c r="D425" i="7"/>
  <c r="H134" i="42"/>
  <c r="I134" i="42" s="1"/>
  <c r="J7" i="7"/>
  <c r="J30" i="7" s="1"/>
  <c r="I223" i="48"/>
  <c r="K735" i="34"/>
  <c r="D1146" i="7"/>
  <c r="D363" i="7"/>
  <c r="L944" i="7"/>
  <c r="L1157" i="7" s="1"/>
  <c r="M885" i="7"/>
  <c r="L342" i="7"/>
  <c r="L362" i="7" s="1"/>
  <c r="L40" i="7" s="1"/>
  <c r="I13" i="13" s="1"/>
  <c r="I49" i="13" s="1"/>
  <c r="M265" i="7"/>
  <c r="N735" i="7"/>
  <c r="L181" i="7"/>
  <c r="H65" i="13"/>
  <c r="W30" i="42"/>
  <c r="H30" i="42" s="1"/>
  <c r="I192" i="15"/>
  <c r="E24" i="48"/>
  <c r="D187" i="48" s="1"/>
  <c r="E36" i="48"/>
  <c r="Q211" i="48" s="1"/>
  <c r="R18" i="26"/>
  <c r="N761" i="7"/>
  <c r="J1142" i="7"/>
  <c r="C251" i="7"/>
  <c r="C1127" i="7"/>
  <c r="J776" i="34"/>
  <c r="L214" i="15"/>
  <c r="L159" i="15" s="1"/>
  <c r="K122" i="13"/>
  <c r="Z31" i="42"/>
  <c r="K31" i="42" s="1"/>
  <c r="O581" i="7"/>
  <c r="N150" i="7"/>
  <c r="N153" i="7" s="1"/>
  <c r="N39" i="7" s="1"/>
  <c r="L66" i="13" s="1"/>
  <c r="N584" i="7"/>
  <c r="N1154" i="7" s="1"/>
  <c r="E35" i="48"/>
  <c r="H294" i="7"/>
  <c r="I294" i="7" s="1"/>
  <c r="E26" i="48"/>
  <c r="F200" i="48" s="1"/>
  <c r="M198" i="48"/>
  <c r="K1153" i="7"/>
  <c r="I5" i="3" s="1"/>
  <c r="W8" i="42"/>
  <c r="H8" i="42" s="1"/>
  <c r="H70" i="42" s="1"/>
  <c r="J8" i="60" s="1"/>
  <c r="L211" i="48"/>
  <c r="R17" i="26"/>
  <c r="N760" i="7"/>
  <c r="M277" i="7"/>
  <c r="M637" i="7"/>
  <c r="L189" i="7"/>
  <c r="N1055" i="7"/>
  <c r="K736" i="34"/>
  <c r="M406" i="7"/>
  <c r="M93" i="7"/>
  <c r="N516" i="7"/>
  <c r="L106" i="7"/>
  <c r="L19" i="7" s="1"/>
  <c r="I738" i="34"/>
  <c r="I740" i="34" s="1"/>
  <c r="I216" i="34" s="1"/>
  <c r="I825" i="34" s="1"/>
  <c r="M801" i="7"/>
  <c r="L289" i="7"/>
  <c r="O804" i="7"/>
  <c r="N290" i="7"/>
  <c r="A28" i="19"/>
  <c r="A72" i="19" s="1"/>
  <c r="J9" i="7"/>
  <c r="M529" i="7"/>
  <c r="S127" i="42"/>
  <c r="N504" i="7"/>
  <c r="M86" i="7"/>
  <c r="M278" i="7"/>
  <c r="N762" i="7"/>
  <c r="P467" i="7"/>
  <c r="O77" i="7"/>
  <c r="CM52" i="9"/>
  <c r="CN52" i="9" s="1"/>
  <c r="BR3" i="9"/>
  <c r="BH88" i="9"/>
  <c r="AX174" i="9"/>
  <c r="AX219" i="9" s="1"/>
  <c r="AX221" i="9" s="1"/>
  <c r="AS219" i="9"/>
  <c r="AS221" i="9" s="1"/>
  <c r="BC88" i="9"/>
  <c r="BM3" i="9"/>
  <c r="H75" i="13"/>
  <c r="I206" i="3"/>
  <c r="CW150" i="9"/>
  <c r="CJ150" i="9"/>
  <c r="J171" i="45"/>
  <c r="K171" i="45" s="1"/>
  <c r="J64" i="6"/>
  <c r="H61" i="3" s="1"/>
  <c r="AU123" i="9"/>
  <c r="AP143" i="9"/>
  <c r="P7" i="37" s="1"/>
  <c r="P112" i="37" s="1"/>
  <c r="CL165" i="9"/>
  <c r="CM165" i="9" s="1"/>
  <c r="P17" i="37"/>
  <c r="O115" i="37"/>
  <c r="P12" i="37"/>
  <c r="O116" i="37"/>
  <c r="R13" i="37"/>
  <c r="M129" i="8"/>
  <c r="N488" i="8"/>
  <c r="O798" i="7"/>
  <c r="N286" i="7"/>
  <c r="O696" i="7"/>
  <c r="N232" i="7"/>
  <c r="N233" i="7" s="1"/>
  <c r="P1054" i="7"/>
  <c r="P466" i="7"/>
  <c r="O76" i="7"/>
  <c r="O284" i="7"/>
  <c r="P796" i="7"/>
  <c r="O963" i="7"/>
  <c r="N965" i="7"/>
  <c r="N321" i="7"/>
  <c r="P487" i="7"/>
  <c r="B9" i="13"/>
  <c r="B10" i="13" s="1"/>
  <c r="B15" i="13" s="1"/>
  <c r="K360" i="7"/>
  <c r="K38" i="7" s="1"/>
  <c r="H12" i="13" s="1"/>
  <c r="A436" i="7"/>
  <c r="A1132" i="7"/>
  <c r="L531" i="7"/>
  <c r="L533" i="7" s="1"/>
  <c r="L542" i="7" s="1"/>
  <c r="L583" i="7"/>
  <c r="L585" i="7" s="1"/>
  <c r="L596" i="7" s="1"/>
  <c r="L344" i="7"/>
  <c r="O89" i="7"/>
  <c r="P506" i="7"/>
  <c r="L618" i="7"/>
  <c r="O9" i="27"/>
  <c r="N20" i="27"/>
  <c r="F217" i="15"/>
  <c r="G217" i="15" s="1"/>
  <c r="F138" i="15"/>
  <c r="G138" i="15" s="1"/>
  <c r="M112" i="42"/>
  <c r="M576" i="7"/>
  <c r="M146" i="7" s="1"/>
  <c r="N562" i="7"/>
  <c r="L323" i="7"/>
  <c r="M855" i="7"/>
  <c r="R65" i="10"/>
  <c r="S65" i="10" s="1"/>
  <c r="M904" i="7"/>
  <c r="N728" i="7"/>
  <c r="M261" i="7"/>
  <c r="O730" i="7"/>
  <c r="O262" i="7" s="1"/>
  <c r="N750" i="7"/>
  <c r="M273" i="7"/>
  <c r="R22" i="26"/>
  <c r="B1149" i="7"/>
  <c r="N502" i="7"/>
  <c r="M85" i="7"/>
  <c r="M87" i="7"/>
  <c r="N505" i="7"/>
  <c r="M94" i="7"/>
  <c r="N517" i="7"/>
  <c r="N905" i="7"/>
  <c r="U66" i="10"/>
  <c r="U103" i="10" s="1"/>
  <c r="M96" i="7"/>
  <c r="N519" i="7"/>
  <c r="M90" i="7"/>
  <c r="N512" i="7"/>
  <c r="G165" i="48"/>
  <c r="G162" i="48"/>
  <c r="H533" i="7"/>
  <c r="I533" i="7" s="1"/>
  <c r="H740" i="34"/>
  <c r="H216" i="34" s="1"/>
  <c r="H795" i="34" s="1"/>
  <c r="H801" i="34" s="1"/>
  <c r="B1129" i="7"/>
  <c r="B212" i="7"/>
  <c r="M580" i="7"/>
  <c r="L149" i="7"/>
  <c r="M239" i="10"/>
  <c r="L143" i="11" s="1"/>
  <c r="CX123" i="9"/>
  <c r="K123" i="9"/>
  <c r="R27" i="37" s="1"/>
  <c r="CY162" i="9"/>
  <c r="CL162" i="9"/>
  <c r="CX101" i="9"/>
  <c r="CK101" i="9"/>
  <c r="AF219" i="9"/>
  <c r="AF221" i="9" s="1"/>
  <c r="AZ30" i="9"/>
  <c r="J132" i="13"/>
  <c r="CK193" i="9"/>
  <c r="CX193" i="9"/>
  <c r="L30" i="9"/>
  <c r="BE30" i="9" s="1"/>
  <c r="CY30" i="9"/>
  <c r="CK119" i="9"/>
  <c r="CX119" i="9"/>
  <c r="H2054" i="6"/>
  <c r="K2093" i="6"/>
  <c r="H1508" i="6"/>
  <c r="I1508" i="6" s="1"/>
  <c r="H53" i="6"/>
  <c r="I53" i="6" s="1"/>
  <c r="C107" i="13"/>
  <c r="C64" i="13" s="1"/>
  <c r="C9" i="3" s="1"/>
  <c r="C10" i="3" s="1"/>
  <c r="K1009" i="6"/>
  <c r="K1018" i="6" s="1"/>
  <c r="K634" i="6"/>
  <c r="K16" i="6" s="1"/>
  <c r="K578" i="6"/>
  <c r="K15" i="6" s="1"/>
  <c r="K47" i="6" s="1"/>
  <c r="H1463" i="6"/>
  <c r="I1463" i="6" s="1"/>
  <c r="H159" i="8"/>
  <c r="C1149" i="7"/>
  <c r="K152" i="7"/>
  <c r="K9" i="7" s="1"/>
  <c r="J154" i="7"/>
  <c r="L236" i="7"/>
  <c r="L21" i="7" s="1"/>
  <c r="R131" i="42"/>
  <c r="S131" i="42" s="1"/>
  <c r="M831" i="7"/>
  <c r="M316" i="7" s="1"/>
  <c r="Q67" i="10"/>
  <c r="T88" i="10"/>
  <c r="V88" i="10" s="1"/>
  <c r="K97" i="12"/>
  <c r="U7" i="10" s="1"/>
  <c r="U39" i="10" s="1"/>
  <c r="L85" i="12"/>
  <c r="W88" i="10" s="1"/>
  <c r="Y88" i="10" s="1"/>
  <c r="M81" i="12"/>
  <c r="E30" i="42"/>
  <c r="G206" i="48"/>
  <c r="G209" i="48"/>
  <c r="F122" i="13"/>
  <c r="F214" i="15"/>
  <c r="U31" i="42"/>
  <c r="F31" i="42" s="1"/>
  <c r="K183" i="7"/>
  <c r="K8" i="7" s="1"/>
  <c r="D1129" i="7"/>
  <c r="D212" i="7"/>
  <c r="E31" i="42"/>
  <c r="G252" i="3"/>
  <c r="CX99" i="9"/>
  <c r="CK99" i="9"/>
  <c r="C548" i="8"/>
  <c r="A243" i="15"/>
  <c r="A248" i="15" s="1"/>
  <c r="A271" i="15" s="1"/>
  <c r="A274" i="15" s="1"/>
  <c r="A73" i="15"/>
  <c r="AF14" i="42"/>
  <c r="B127" i="3"/>
  <c r="K113" i="48"/>
  <c r="A118" i="16"/>
  <c r="F611" i="34"/>
  <c r="F613" i="34" s="1"/>
  <c r="F244" i="34" s="1"/>
  <c r="F586" i="34"/>
  <c r="F587" i="34" s="1"/>
  <c r="I115" i="34"/>
  <c r="I116" i="34" s="1"/>
  <c r="C152" i="42"/>
  <c r="C154" i="42" s="1"/>
  <c r="C73" i="15"/>
  <c r="Q113" i="48"/>
  <c r="Q114" i="48"/>
  <c r="P113" i="48"/>
  <c r="K113" i="34"/>
  <c r="L113" i="34" s="1"/>
  <c r="D244" i="42"/>
  <c r="D233" i="42"/>
  <c r="C244" i="42"/>
  <c r="D242" i="42"/>
  <c r="N60" i="8"/>
  <c r="O269" i="8"/>
  <c r="N291" i="45"/>
  <c r="F12" i="15"/>
  <c r="G12" i="15" s="1"/>
  <c r="B233" i="42"/>
  <c r="F23" i="15"/>
  <c r="G23" i="15" s="1"/>
  <c r="B245" i="42"/>
  <c r="G101" i="34"/>
  <c r="CJ74" i="21"/>
  <c r="CA42" i="21"/>
  <c r="CN42" i="21"/>
  <c r="CN11" i="21"/>
  <c r="CA11" i="21"/>
  <c r="BZ51" i="21"/>
  <c r="CM51" i="21"/>
  <c r="N87" i="21"/>
  <c r="N90" i="21" s="1"/>
  <c r="N88" i="3" s="1"/>
  <c r="L78" i="3"/>
  <c r="BY70" i="21"/>
  <c r="CL70" i="21"/>
  <c r="CA44" i="21"/>
  <c r="CN44" i="21"/>
  <c r="CO48" i="21"/>
  <c r="CB48" i="21"/>
  <c r="BZ43" i="21"/>
  <c r="CM43" i="21"/>
  <c r="BY50" i="21"/>
  <c r="CL50" i="21"/>
  <c r="BX71" i="21"/>
  <c r="CK71" i="21"/>
  <c r="H78" i="3"/>
  <c r="BY15" i="21"/>
  <c r="CL15" i="21"/>
  <c r="BZ37" i="21"/>
  <c r="CM37" i="21"/>
  <c r="CL23" i="21"/>
  <c r="BY23" i="21"/>
  <c r="J78" i="3"/>
  <c r="K87" i="21"/>
  <c r="K90" i="21" s="1"/>
  <c r="K88" i="3" s="1"/>
  <c r="K44" i="16"/>
  <c r="K77" i="3" s="1"/>
  <c r="K78" i="3" s="1"/>
  <c r="CN28" i="21"/>
  <c r="CA28" i="21"/>
  <c r="H87" i="21"/>
  <c r="H90" i="21" s="1"/>
  <c r="H88" i="3" s="1"/>
  <c r="M346" i="8"/>
  <c r="M95" i="8" s="1"/>
  <c r="K40" i="16"/>
  <c r="CA41" i="21"/>
  <c r="CN41" i="21"/>
  <c r="AM49" i="42"/>
  <c r="AM52" i="42" s="1"/>
  <c r="J259" i="15"/>
  <c r="J113" i="16"/>
  <c r="J115" i="16" s="1"/>
  <c r="BX59" i="21"/>
  <c r="CK59" i="21"/>
  <c r="CK73" i="21" s="1"/>
  <c r="I693" i="34" s="1"/>
  <c r="CN18" i="21"/>
  <c r="CA18" i="21"/>
  <c r="BY45" i="21"/>
  <c r="CL45" i="21"/>
  <c r="CA47" i="21"/>
  <c r="CN47" i="21"/>
  <c r="BY8" i="21"/>
  <c r="CL8" i="21"/>
  <c r="M69" i="21"/>
  <c r="L73" i="21"/>
  <c r="AW69" i="21"/>
  <c r="AW73" i="21" s="1"/>
  <c r="L81" i="21" s="1"/>
  <c r="I39" i="15"/>
  <c r="H7" i="42"/>
  <c r="H69" i="42" s="1"/>
  <c r="J7" i="60" s="1"/>
  <c r="W69" i="42"/>
  <c r="J33" i="60" s="1"/>
  <c r="V126" i="11"/>
  <c r="W126" i="11" s="1"/>
  <c r="O308" i="8"/>
  <c r="N290" i="45"/>
  <c r="N289" i="45"/>
  <c r="N65" i="8"/>
  <c r="J554" i="34"/>
  <c r="J378" i="34"/>
  <c r="J289" i="34"/>
  <c r="J352" i="34" s="1"/>
  <c r="AO12" i="42"/>
  <c r="N48" i="8"/>
  <c r="O199" i="8"/>
  <c r="I294" i="34"/>
  <c r="I526" i="34" s="1"/>
  <c r="I558" i="34"/>
  <c r="K77" i="15"/>
  <c r="K321" i="34" s="1"/>
  <c r="J86" i="15"/>
  <c r="J326" i="34" s="1"/>
  <c r="BZ119" i="22"/>
  <c r="CM119" i="22"/>
  <c r="CM120" i="22"/>
  <c r="BZ120" i="22"/>
  <c r="BZ121" i="22"/>
  <c r="CM121" i="22"/>
  <c r="CM138" i="22"/>
  <c r="BZ138" i="22"/>
  <c r="CM131" i="22"/>
  <c r="BZ131" i="22"/>
  <c r="CA130" i="22"/>
  <c r="CN130" i="22"/>
  <c r="CA129" i="22"/>
  <c r="CN129" i="22"/>
  <c r="BY82" i="22"/>
  <c r="CL82" i="22"/>
  <c r="CO86" i="22"/>
  <c r="CB86" i="22"/>
  <c r="CM81" i="22"/>
  <c r="BZ81" i="22"/>
  <c r="BZ83" i="22"/>
  <c r="CM83" i="22"/>
  <c r="BZ116" i="22"/>
  <c r="CM116" i="22"/>
  <c r="N85" i="20"/>
  <c r="P79" i="20"/>
  <c r="L75" i="20"/>
  <c r="R122" i="10"/>
  <c r="U3" i="10"/>
  <c r="G142" i="13"/>
  <c r="H146" i="3"/>
  <c r="H63" i="3"/>
  <c r="CL102" i="9"/>
  <c r="CY102" i="9"/>
  <c r="BY57" i="21"/>
  <c r="CL57" i="21"/>
  <c r="CL58" i="21"/>
  <c r="BY58" i="21"/>
  <c r="BZ61" i="21"/>
  <c r="CM61" i="21"/>
  <c r="BY56" i="21"/>
  <c r="CL56" i="21"/>
  <c r="CP49" i="21"/>
  <c r="CC49" i="21"/>
  <c r="BY46" i="21"/>
  <c r="CL46" i="21"/>
  <c r="CL40" i="21"/>
  <c r="BY40" i="21"/>
  <c r="BZ34" i="21"/>
  <c r="CM34" i="21"/>
  <c r="CQ29" i="21"/>
  <c r="CD29" i="21"/>
  <c r="BY17" i="21"/>
  <c r="CL17" i="21"/>
  <c r="CM16" i="21"/>
  <c r="BZ16" i="21"/>
  <c r="BY14" i="21"/>
  <c r="CL14" i="21"/>
  <c r="BY7" i="21"/>
  <c r="CL7" i="21"/>
  <c r="C213" i="15"/>
  <c r="S20" i="42"/>
  <c r="B160" i="42" s="1"/>
  <c r="B166" i="42" s="1"/>
  <c r="E166" i="42" s="1"/>
  <c r="A24" i="19"/>
  <c r="A52" i="19" s="1"/>
  <c r="D852" i="4"/>
  <c r="A121" i="13"/>
  <c r="D207" i="4"/>
  <c r="D682" i="34"/>
  <c r="B254" i="3" s="1"/>
  <c r="D862" i="4"/>
  <c r="H811" i="7"/>
  <c r="I811" i="7" s="1"/>
  <c r="Q20" i="42"/>
  <c r="C35" i="6"/>
  <c r="B27" i="13" s="1"/>
  <c r="M1931" i="6"/>
  <c r="L665" i="6"/>
  <c r="H109" i="6"/>
  <c r="I109" i="6" s="1"/>
  <c r="BE120" i="9"/>
  <c r="K343" i="6"/>
  <c r="X7" i="42"/>
  <c r="K547" i="6"/>
  <c r="K30" i="6" s="1"/>
  <c r="K46" i="6" s="1"/>
  <c r="J879" i="6"/>
  <c r="S156" i="11"/>
  <c r="T156" i="11" s="1"/>
  <c r="J602" i="6"/>
  <c r="F48" i="13"/>
  <c r="U20" i="42" s="1"/>
  <c r="F53" i="15" s="1"/>
  <c r="G53" i="15" s="1"/>
  <c r="N1309" i="6"/>
  <c r="M425" i="6"/>
  <c r="E50" i="42"/>
  <c r="F468" i="34" s="1"/>
  <c r="I206" i="48"/>
  <c r="G40" i="13"/>
  <c r="I97" i="42"/>
  <c r="J34" i="4"/>
  <c r="J92" i="48"/>
  <c r="I225" i="48"/>
  <c r="M39" i="17"/>
  <c r="M308" i="15" s="1"/>
  <c r="C851" i="4"/>
  <c r="N150" i="22"/>
  <c r="N98" i="3" s="1"/>
  <c r="M99" i="42"/>
  <c r="H28" i="6"/>
  <c r="I28" i="6" s="1"/>
  <c r="I224" i="48"/>
  <c r="M327" i="4"/>
  <c r="N327" i="4" s="1"/>
  <c r="V72" i="42"/>
  <c r="I36" i="60" s="1"/>
  <c r="I222" i="48"/>
  <c r="I226" i="48"/>
  <c r="I256" i="48"/>
  <c r="M612" i="4"/>
  <c r="M615" i="4" s="1"/>
  <c r="M110" i="4" s="1"/>
  <c r="H368" i="34"/>
  <c r="G11" i="42"/>
  <c r="H355" i="34" s="1"/>
  <c r="C124" i="42"/>
  <c r="D124" i="42" s="1"/>
  <c r="N892" i="6"/>
  <c r="M149" i="6"/>
  <c r="L1701" i="6"/>
  <c r="L545" i="6"/>
  <c r="L550" i="6" s="1"/>
  <c r="M1696" i="6"/>
  <c r="M1927" i="6"/>
  <c r="L663" i="6"/>
  <c r="M209" i="3"/>
  <c r="M120" i="9"/>
  <c r="M145" i="3"/>
  <c r="P1030" i="6"/>
  <c r="Q1030" i="6" s="1"/>
  <c r="Q249" i="6" s="1"/>
  <c r="O249" i="6"/>
  <c r="BF120" i="9" s="1"/>
  <c r="BF143" i="9" s="1"/>
  <c r="O1081" i="6" s="1"/>
  <c r="O288" i="6" s="1"/>
  <c r="A120" i="6"/>
  <c r="A2053" i="6"/>
  <c r="N206" i="6"/>
  <c r="O985" i="6"/>
  <c r="L1698" i="6"/>
  <c r="N2010" i="6"/>
  <c r="J17" i="58"/>
  <c r="M712" i="6"/>
  <c r="O1188" i="6"/>
  <c r="N330" i="6"/>
  <c r="N329" i="6" s="1"/>
  <c r="L871" i="6"/>
  <c r="J220" i="6"/>
  <c r="J2075" i="6" s="1"/>
  <c r="H41" i="6"/>
  <c r="I41" i="6" s="1"/>
  <c r="K1767" i="6"/>
  <c r="K1771" i="6" s="1"/>
  <c r="O246" i="10" s="1"/>
  <c r="L235" i="3"/>
  <c r="BA143" i="9"/>
  <c r="N1081" i="6" s="1"/>
  <c r="N288" i="6" s="1"/>
  <c r="O1288" i="6"/>
  <c r="N406" i="6"/>
  <c r="B218" i="15"/>
  <c r="H46" i="6"/>
  <c r="I46" i="6" s="1"/>
  <c r="J138" i="15"/>
  <c r="J162" i="15" s="1"/>
  <c r="I141" i="3"/>
  <c r="I142" i="3" s="1"/>
  <c r="H779" i="34"/>
  <c r="H783" i="34" s="1"/>
  <c r="E34" i="42"/>
  <c r="D1083" i="6"/>
  <c r="N1668" i="6"/>
  <c r="M1693" i="6"/>
  <c r="M542" i="6" s="1"/>
  <c r="J342" i="6"/>
  <c r="J2077" i="6" s="1"/>
  <c r="N428" i="6"/>
  <c r="O1333" i="6"/>
  <c r="H217" i="15"/>
  <c r="H138" i="15"/>
  <c r="H162" i="15" s="1"/>
  <c r="N864" i="6"/>
  <c r="M162" i="6"/>
  <c r="M168" i="6" s="1"/>
  <c r="M870" i="6"/>
  <c r="I22" i="58"/>
  <c r="L726" i="6"/>
  <c r="M2030" i="6"/>
  <c r="M159" i="6"/>
  <c r="N934" i="6"/>
  <c r="P1131" i="6"/>
  <c r="H1154" i="6"/>
  <c r="L659" i="6"/>
  <c r="M1923" i="6"/>
  <c r="D1154" i="6"/>
  <c r="L938" i="6"/>
  <c r="L940" i="6" s="1"/>
  <c r="L942" i="6" s="1"/>
  <c r="L950" i="6" s="1"/>
  <c r="M324" i="6"/>
  <c r="O208" i="6"/>
  <c r="P993" i="6"/>
  <c r="J59" i="4"/>
  <c r="D97" i="42"/>
  <c r="N464" i="4"/>
  <c r="E355" i="34"/>
  <c r="J19" i="4"/>
  <c r="I150" i="22"/>
  <c r="I98" i="3" s="1"/>
  <c r="H453" i="6"/>
  <c r="I453" i="6" s="1"/>
  <c r="R118" i="42"/>
  <c r="S118" i="42" s="1"/>
  <c r="H39" i="17"/>
  <c r="H111" i="17" s="1"/>
  <c r="G210" i="3"/>
  <c r="H234" i="6"/>
  <c r="I234" i="6" s="1"/>
  <c r="C2056" i="6"/>
  <c r="C291" i="6"/>
  <c r="I758" i="34"/>
  <c r="K700" i="6"/>
  <c r="M143" i="6"/>
  <c r="N894" i="6"/>
  <c r="Q20" i="26"/>
  <c r="M1614" i="6"/>
  <c r="L494" i="6"/>
  <c r="K879" i="6"/>
  <c r="H40" i="6"/>
  <c r="I40" i="6" s="1"/>
  <c r="C2053" i="6"/>
  <c r="C120" i="6"/>
  <c r="K279" i="6"/>
  <c r="A2055" i="6"/>
  <c r="A234" i="6"/>
  <c r="N1000" i="6"/>
  <c r="M214" i="6"/>
  <c r="L1990" i="6"/>
  <c r="I9" i="58" s="1"/>
  <c r="L698" i="6"/>
  <c r="M1987" i="6"/>
  <c r="I233" i="3"/>
  <c r="AP82" i="9"/>
  <c r="N1604" i="6"/>
  <c r="M487" i="6"/>
  <c r="L216" i="6"/>
  <c r="L222" i="6" s="1"/>
  <c r="M1002" i="6"/>
  <c r="L1008" i="6"/>
  <c r="M1796" i="6"/>
  <c r="L630" i="6"/>
  <c r="M1925" i="6"/>
  <c r="L661" i="6"/>
  <c r="O997" i="6"/>
  <c r="N211" i="6"/>
  <c r="O404" i="6"/>
  <c r="P1285" i="6"/>
  <c r="C2086" i="6"/>
  <c r="A218" i="15"/>
  <c r="P1242" i="6"/>
  <c r="O376" i="6"/>
  <c r="O1227" i="6"/>
  <c r="O366" i="6" s="1"/>
  <c r="O1331" i="6"/>
  <c r="N427" i="6"/>
  <c r="H64" i="6"/>
  <c r="L1768" i="6"/>
  <c r="L576" i="6"/>
  <c r="L603" i="6" s="1"/>
  <c r="L2091" i="6" s="1"/>
  <c r="L53" i="6" s="1"/>
  <c r="M1732" i="6"/>
  <c r="M1734" i="6" s="1"/>
  <c r="N2027" i="6"/>
  <c r="N724" i="6" s="1"/>
  <c r="O1848" i="6"/>
  <c r="N643" i="6"/>
  <c r="M1928" i="6"/>
  <c r="L664" i="6"/>
  <c r="L629" i="6"/>
  <c r="M1795" i="6"/>
  <c r="L600" i="6"/>
  <c r="L31" i="6" s="1"/>
  <c r="M1741" i="6"/>
  <c r="M1765" i="6" s="1"/>
  <c r="L1765" i="6"/>
  <c r="L1767" i="6" s="1"/>
  <c r="K114" i="1"/>
  <c r="K117" i="1" s="1"/>
  <c r="AQ82" i="9"/>
  <c r="L877" i="6"/>
  <c r="L177" i="6" s="1"/>
  <c r="L64" i="6" s="1"/>
  <c r="J61" i="3" s="1"/>
  <c r="N1758" i="6"/>
  <c r="M594" i="6"/>
  <c r="N779" i="6"/>
  <c r="M92" i="6"/>
  <c r="K314" i="6"/>
  <c r="K10" i="6" s="1"/>
  <c r="I116" i="40"/>
  <c r="X40" i="42" s="1"/>
  <c r="S115" i="42"/>
  <c r="M312" i="6"/>
  <c r="N1099" i="6"/>
  <c r="O1328" i="6"/>
  <c r="N426" i="6"/>
  <c r="L248" i="6"/>
  <c r="M1029" i="6"/>
  <c r="O1729" i="6"/>
  <c r="N573" i="6"/>
  <c r="T253" i="10"/>
  <c r="V253" i="10" s="1"/>
  <c r="U156" i="11" s="1"/>
  <c r="N1798" i="6"/>
  <c r="K772" i="34"/>
  <c r="J55" i="6"/>
  <c r="V22" i="42" s="1"/>
  <c r="H46" i="15" s="1"/>
  <c r="H15" i="15" s="1"/>
  <c r="G32" i="13"/>
  <c r="G51" i="13" s="1"/>
  <c r="L272" i="6"/>
  <c r="L279" i="6" s="1"/>
  <c r="L1074" i="6"/>
  <c r="M1068" i="6"/>
  <c r="N589" i="6"/>
  <c r="O1746" i="6"/>
  <c r="N1866" i="6"/>
  <c r="M649" i="6"/>
  <c r="N2005" i="6"/>
  <c r="J25" i="40"/>
  <c r="M320" i="6"/>
  <c r="N1108" i="6"/>
  <c r="M35" i="45"/>
  <c r="L666" i="6"/>
  <c r="M1934" i="6"/>
  <c r="A2086" i="6"/>
  <c r="AL219" i="9"/>
  <c r="AL221" i="9" s="1"/>
  <c r="H56" i="13" s="1"/>
  <c r="K246" i="10"/>
  <c r="L246" i="10"/>
  <c r="N31" i="45"/>
  <c r="N262" i="6"/>
  <c r="H9" i="58"/>
  <c r="B2064" i="6"/>
  <c r="B746" i="6"/>
  <c r="L702" i="6"/>
  <c r="X12" i="42" s="1"/>
  <c r="M1994" i="6"/>
  <c r="K1572" i="6"/>
  <c r="K1574" i="6" s="1"/>
  <c r="K1585" i="6" s="1"/>
  <c r="N261" i="6"/>
  <c r="J180" i="6"/>
  <c r="J2074" i="6"/>
  <c r="H39" i="6"/>
  <c r="I39" i="6" s="1"/>
  <c r="H38" i="6"/>
  <c r="I38" i="6" s="1"/>
  <c r="H2073" i="6"/>
  <c r="M94" i="6"/>
  <c r="N787" i="6"/>
  <c r="H1261" i="6"/>
  <c r="I1261" i="6" s="1"/>
  <c r="H950" i="6"/>
  <c r="I950" i="6" s="1"/>
  <c r="M1139" i="6"/>
  <c r="L337" i="6"/>
  <c r="I6" i="58"/>
  <c r="I5" i="58" s="1"/>
  <c r="M1985" i="6"/>
  <c r="L697" i="6"/>
  <c r="M798" i="6"/>
  <c r="L103" i="6"/>
  <c r="H1018" i="6"/>
  <c r="I1018" i="6" s="1"/>
  <c r="H1217" i="6"/>
  <c r="I1217" i="6" s="1"/>
  <c r="I259" i="10"/>
  <c r="H1777" i="6"/>
  <c r="I1777" i="6" s="1"/>
  <c r="N1691" i="6"/>
  <c r="K1206" i="6"/>
  <c r="K1217" i="6" s="1"/>
  <c r="H47" i="6"/>
  <c r="I47" i="6" s="1"/>
  <c r="M1491" i="6"/>
  <c r="Q21" i="26"/>
  <c r="M2006" i="6"/>
  <c r="L710" i="6"/>
  <c r="O583" i="6"/>
  <c r="P1739" i="6"/>
  <c r="L654" i="6"/>
  <c r="M1888" i="6"/>
  <c r="L720" i="6"/>
  <c r="M2020" i="6"/>
  <c r="H2081" i="6"/>
  <c r="H551" i="6"/>
  <c r="I551" i="6" s="1"/>
  <c r="H1585" i="6"/>
  <c r="I1585" i="6" s="1"/>
  <c r="J766" i="34"/>
  <c r="M1096" i="6"/>
  <c r="L308" i="6"/>
  <c r="M2021" i="6"/>
  <c r="L721" i="6"/>
  <c r="M2013" i="6"/>
  <c r="L713" i="6"/>
  <c r="I18" i="58"/>
  <c r="M1001" i="6"/>
  <c r="L215" i="6"/>
  <c r="L1007" i="6"/>
  <c r="L1004" i="6"/>
  <c r="H42" i="6"/>
  <c r="I42" i="6" s="1"/>
  <c r="F104" i="13"/>
  <c r="H381" i="6"/>
  <c r="I381" i="6" s="1"/>
  <c r="H11" i="6"/>
  <c r="I11" i="6" s="1"/>
  <c r="Q117" i="42"/>
  <c r="S117" i="42" s="1"/>
  <c r="M959" i="6"/>
  <c r="L190" i="6"/>
  <c r="L196" i="6" s="1"/>
  <c r="L8" i="6" s="1"/>
  <c r="L970" i="6"/>
  <c r="M1799" i="6"/>
  <c r="L631" i="6"/>
  <c r="H2076" i="6"/>
  <c r="H280" i="6"/>
  <c r="I280" i="6" s="1"/>
  <c r="M1849" i="6"/>
  <c r="L645" i="6"/>
  <c r="L2023" i="6"/>
  <c r="L722" i="6" s="1"/>
  <c r="H1713" i="6"/>
  <c r="I1713" i="6" s="1"/>
  <c r="H804" i="6"/>
  <c r="I804" i="6" s="1"/>
  <c r="H20" i="58"/>
  <c r="H1776" i="6"/>
  <c r="J246" i="10"/>
  <c r="I152" i="11" s="1"/>
  <c r="M1138" i="6"/>
  <c r="L1144" i="6"/>
  <c r="L336" i="6"/>
  <c r="H2062" i="6"/>
  <c r="M1666" i="6"/>
  <c r="L1670" i="6"/>
  <c r="L533" i="6"/>
  <c r="L535" i="6" s="1"/>
  <c r="L14" i="6" s="1"/>
  <c r="J761" i="34"/>
  <c r="M1638" i="6"/>
  <c r="L506" i="6"/>
  <c r="L511" i="6" s="1"/>
  <c r="L1643" i="6"/>
  <c r="O1958" i="6"/>
  <c r="N673" i="6"/>
  <c r="H879" i="6"/>
  <c r="I879" i="6" s="1"/>
  <c r="B2057" i="6"/>
  <c r="B355" i="6"/>
  <c r="L723" i="6"/>
  <c r="I21" i="58"/>
  <c r="M2025" i="6"/>
  <c r="M1986" i="6"/>
  <c r="L699" i="6"/>
  <c r="K221" i="6"/>
  <c r="K218" i="6"/>
  <c r="I208" i="14"/>
  <c r="H188" i="14"/>
  <c r="H212" i="14"/>
  <c r="H193" i="14"/>
  <c r="H83" i="14"/>
  <c r="G105" i="14"/>
  <c r="G201" i="14"/>
  <c r="H1141" i="7"/>
  <c r="H110" i="7"/>
  <c r="M608" i="7"/>
  <c r="L177" i="7"/>
  <c r="H103" i="3"/>
  <c r="L54" i="11"/>
  <c r="M54" i="11" s="1"/>
  <c r="N54" i="11" s="1"/>
  <c r="L130" i="7"/>
  <c r="M552" i="7"/>
  <c r="H596" i="7"/>
  <c r="I596" i="7" s="1"/>
  <c r="P127" i="10"/>
  <c r="H718" i="7"/>
  <c r="I718" i="7" s="1"/>
  <c r="V31" i="42"/>
  <c r="G31" i="42" s="1"/>
  <c r="H214" i="15"/>
  <c r="H159" i="15" s="1"/>
  <c r="G122" i="13"/>
  <c r="H30" i="7"/>
  <c r="I30" i="7" s="1"/>
  <c r="M995" i="7"/>
  <c r="L354" i="7"/>
  <c r="L360" i="7" s="1"/>
  <c r="L38" i="7" s="1"/>
  <c r="L1000" i="7"/>
  <c r="L1153" i="7" s="1"/>
  <c r="J5" i="3" s="1"/>
  <c r="L131" i="7"/>
  <c r="M553" i="7"/>
  <c r="L347" i="7"/>
  <c r="M926" i="7"/>
  <c r="R127" i="10"/>
  <c r="L319" i="7"/>
  <c r="M852" i="7"/>
  <c r="T127" i="10" s="1"/>
  <c r="M874" i="7"/>
  <c r="L337" i="7"/>
  <c r="M605" i="7"/>
  <c r="L176" i="7"/>
  <c r="L145" i="7"/>
  <c r="J759" i="34"/>
  <c r="J781" i="34" s="1"/>
  <c r="F14" i="13"/>
  <c r="F51" i="13" s="1"/>
  <c r="U22" i="42"/>
  <c r="M879" i="7"/>
  <c r="L340" i="7"/>
  <c r="G522" i="34"/>
  <c r="G472" i="34"/>
  <c r="L107" i="8"/>
  <c r="BB8" i="42" s="1"/>
  <c r="J102" i="15" s="1"/>
  <c r="M363" i="8"/>
  <c r="M499" i="8"/>
  <c r="L131" i="8"/>
  <c r="L119" i="8"/>
  <c r="J746" i="34"/>
  <c r="J748" i="34" s="1"/>
  <c r="M514" i="8"/>
  <c r="L132" i="8"/>
  <c r="BB12" i="42"/>
  <c r="M390" i="8"/>
  <c r="F294" i="34"/>
  <c r="F526" i="34" s="1"/>
  <c r="F558" i="34"/>
  <c r="E439" i="34"/>
  <c r="I70" i="15"/>
  <c r="I610" i="34"/>
  <c r="I611" i="34" s="1"/>
  <c r="I613" i="34" s="1"/>
  <c r="I244" i="34" s="1"/>
  <c r="G383" i="34"/>
  <c r="M440" i="8"/>
  <c r="L121" i="8"/>
  <c r="I117" i="15"/>
  <c r="I108" i="15"/>
  <c r="H12" i="42"/>
  <c r="M173" i="8"/>
  <c r="L43" i="8"/>
  <c r="AM7" i="42" s="1"/>
  <c r="F433" i="45"/>
  <c r="G433" i="45" s="1"/>
  <c r="H433" i="45" s="1"/>
  <c r="I433" i="45" s="1"/>
  <c r="J433" i="45" s="1"/>
  <c r="I101" i="15"/>
  <c r="I622" i="34"/>
  <c r="I623" i="34" s="1"/>
  <c r="I625" i="34" s="1"/>
  <c r="I246" i="34" s="1"/>
  <c r="M250" i="8"/>
  <c r="L56" i="8"/>
  <c r="M385" i="8"/>
  <c r="L111" i="8"/>
  <c r="M375" i="8"/>
  <c r="L109" i="8"/>
  <c r="L423" i="45"/>
  <c r="L424" i="45" s="1"/>
  <c r="L431" i="45" s="1"/>
  <c r="L432" i="45" s="1"/>
  <c r="M454" i="8"/>
  <c r="L122" i="8"/>
  <c r="H101" i="34"/>
  <c r="M356" i="8"/>
  <c r="L106" i="8"/>
  <c r="BB7" i="42" s="1"/>
  <c r="BB21" i="42"/>
  <c r="J116" i="15" s="1"/>
  <c r="M429" i="8"/>
  <c r="O324" i="8"/>
  <c r="N294" i="45"/>
  <c r="N68" i="8"/>
  <c r="G565" i="34"/>
  <c r="G506" i="34"/>
  <c r="CX160" i="9"/>
  <c r="CW182" i="9"/>
  <c r="K65" i="6"/>
  <c r="I69" i="3" s="1"/>
  <c r="CY181" i="9"/>
  <c r="C254" i="3"/>
  <c r="L181" i="9"/>
  <c r="BE181" i="9" s="1"/>
  <c r="J48" i="45"/>
  <c r="L146" i="9"/>
  <c r="N1153" i="6" s="1"/>
  <c r="N353" i="6" s="1"/>
  <c r="AZ146" i="9"/>
  <c r="R67" i="37" s="1"/>
  <c r="R76" i="37" s="1"/>
  <c r="R78" i="37" s="1"/>
  <c r="I219" i="9"/>
  <c r="G140" i="34"/>
  <c r="G142" i="34" s="1"/>
  <c r="K46" i="45"/>
  <c r="K47" i="45" s="1"/>
  <c r="AZ62" i="9"/>
  <c r="AZ64" i="9" s="1"/>
  <c r="K469" i="9"/>
  <c r="M1153" i="6"/>
  <c r="M353" i="6" s="1"/>
  <c r="M40" i="45"/>
  <c r="CL32" i="9"/>
  <c r="CM32" i="9" s="1"/>
  <c r="CK83" i="9"/>
  <c r="CX83" i="9"/>
  <c r="CW63" i="9"/>
  <c r="CJ63" i="9"/>
  <c r="CK70" i="9"/>
  <c r="CX70" i="9"/>
  <c r="CX159" i="9"/>
  <c r="CK159" i="9"/>
  <c r="CM11" i="9"/>
  <c r="CZ11" i="9"/>
  <c r="CL183" i="9"/>
  <c r="CY183" i="9"/>
  <c r="BA2" i="9"/>
  <c r="AV87" i="9"/>
  <c r="AV173" i="9" s="1"/>
  <c r="AW3" i="9"/>
  <c r="AR3" i="9"/>
  <c r="AM88" i="9"/>
  <c r="CJ10" i="9"/>
  <c r="CW10" i="9"/>
  <c r="CY60" i="9"/>
  <c r="CL60" i="9"/>
  <c r="CW104" i="9"/>
  <c r="CJ104" i="9"/>
  <c r="AU88" i="9"/>
  <c r="AU174" i="9" s="1"/>
  <c r="BE3" i="9"/>
  <c r="CM105" i="9"/>
  <c r="CZ105" i="9"/>
  <c r="BA3" i="9"/>
  <c r="AQ88" i="9"/>
  <c r="AQ174" i="9" s="1"/>
  <c r="CJ148" i="9"/>
  <c r="CW148" i="9"/>
  <c r="AC221" i="9"/>
  <c r="CK62" i="9"/>
  <c r="CX62" i="9"/>
  <c r="CW103" i="9"/>
  <c r="CJ103" i="9"/>
  <c r="P540" i="8"/>
  <c r="P159" i="8" s="1"/>
  <c r="CX161" i="9"/>
  <c r="CK161" i="9"/>
  <c r="AV88" i="9"/>
  <c r="AV174" i="9" s="1"/>
  <c r="BF3" i="9"/>
  <c r="CJ106" i="9"/>
  <c r="CW106" i="9"/>
  <c r="CX96" i="9"/>
  <c r="CK96" i="9"/>
  <c r="BJ3" i="9"/>
  <c r="AZ88" i="9"/>
  <c r="AZ174" i="9" s="1"/>
  <c r="AH174" i="9"/>
  <c r="AH219" i="9" s="1"/>
  <c r="AH221" i="9" s="1"/>
  <c r="BN88" i="9"/>
  <c r="BN174" i="9" s="1"/>
  <c r="BX3" i="9"/>
  <c r="BX88" i="9" s="1"/>
  <c r="BX174" i="9" s="1"/>
  <c r="CX197" i="9"/>
  <c r="CK197" i="9"/>
  <c r="CY94" i="9"/>
  <c r="CL94" i="9"/>
  <c r="CL164" i="9"/>
  <c r="CY164" i="9"/>
  <c r="CX166" i="9"/>
  <c r="CK166" i="9"/>
  <c r="CK149" i="9"/>
  <c r="CX149" i="9"/>
  <c r="CK44" i="9"/>
  <c r="CX44" i="9"/>
  <c r="AT209" i="9"/>
  <c r="CK137" i="9"/>
  <c r="CX137" i="9"/>
  <c r="CK194" i="9"/>
  <c r="CX194" i="9"/>
  <c r="R250" i="10"/>
  <c r="L169" i="45"/>
  <c r="L170" i="45" s="1"/>
  <c r="CW22" i="9"/>
  <c r="CJ22" i="9"/>
  <c r="L1974" i="6"/>
  <c r="L688" i="6" s="1"/>
  <c r="AP209" i="9"/>
  <c r="K209" i="9"/>
  <c r="CY209" i="9" s="1"/>
  <c r="CJ46" i="9"/>
  <c r="CW46" i="9"/>
  <c r="M82" i="9"/>
  <c r="N878" i="6"/>
  <c r="CJ167" i="9"/>
  <c r="CW167" i="9"/>
  <c r="CL133" i="9"/>
  <c r="CY133" i="9"/>
  <c r="BE151" i="9"/>
  <c r="M151" i="9"/>
  <c r="CX215" i="9"/>
  <c r="CK215" i="9"/>
  <c r="AU55" i="9"/>
  <c r="AU66" i="9" s="1"/>
  <c r="AU179" i="9"/>
  <c r="K179" i="9"/>
  <c r="L1382" i="6"/>
  <c r="L464" i="6" s="1"/>
  <c r="M193" i="9"/>
  <c r="BE193" i="9"/>
  <c r="N1583" i="6"/>
  <c r="J225" i="9"/>
  <c r="CJ135" i="9"/>
  <c r="CW135" i="9"/>
  <c r="L126" i="9"/>
  <c r="AZ126" i="9"/>
  <c r="R30" i="37"/>
  <c r="CY126" i="9"/>
  <c r="CK130" i="9"/>
  <c r="CX130" i="9"/>
  <c r="CJ31" i="9"/>
  <c r="CW31" i="9"/>
  <c r="CX163" i="9"/>
  <c r="CK163" i="9"/>
  <c r="K66" i="9"/>
  <c r="M1009" i="7"/>
  <c r="M371" i="7" s="1"/>
  <c r="M52" i="7" s="1"/>
  <c r="K67" i="3" s="1"/>
  <c r="AY55" i="9"/>
  <c r="AY66" i="9" s="1"/>
  <c r="L55" i="9"/>
  <c r="CY55" i="9"/>
  <c r="CW41" i="9"/>
  <c r="CJ41" i="9"/>
  <c r="CJ134" i="9"/>
  <c r="CW134" i="9"/>
  <c r="L124" i="9"/>
  <c r="R28" i="37"/>
  <c r="AZ124" i="9"/>
  <c r="D199" i="14"/>
  <c r="D181" i="14"/>
  <c r="CY160" i="9"/>
  <c r="CL160" i="9"/>
  <c r="M99" i="9"/>
  <c r="BE99" i="9"/>
  <c r="S86" i="37"/>
  <c r="CL195" i="9"/>
  <c r="CY195" i="9"/>
  <c r="CK212" i="9"/>
  <c r="CX212" i="9"/>
  <c r="AZ110" i="9"/>
  <c r="L110" i="9"/>
  <c r="N949" i="6" s="1"/>
  <c r="L113" i="9"/>
  <c r="AZ113" i="9"/>
  <c r="M168" i="45"/>
  <c r="M169" i="45" s="1"/>
  <c r="M170" i="45" s="1"/>
  <c r="M1017" i="6"/>
  <c r="M232" i="6" s="1"/>
  <c r="CL125" i="9"/>
  <c r="CY125" i="9"/>
  <c r="CK151" i="9"/>
  <c r="CX151" i="9"/>
  <c r="CK214" i="9"/>
  <c r="CX214" i="9"/>
  <c r="R29" i="37"/>
  <c r="L125" i="9"/>
  <c r="AZ125" i="9"/>
  <c r="CJ136" i="9"/>
  <c r="CW136" i="9"/>
  <c r="CK45" i="9"/>
  <c r="CX45" i="9"/>
  <c r="M949" i="6"/>
  <c r="M178" i="6" s="1"/>
  <c r="CK211" i="9"/>
  <c r="CX211" i="9"/>
  <c r="M592" i="4"/>
  <c r="M151" i="4" s="1"/>
  <c r="M44" i="4" s="1"/>
  <c r="L7" i="9"/>
  <c r="AZ7" i="9"/>
  <c r="AZ25" i="9" s="1"/>
  <c r="CY7" i="9"/>
  <c r="K25" i="9"/>
  <c r="A514" i="5"/>
  <c r="D109" i="42"/>
  <c r="C514" i="5"/>
  <c r="B482" i="5"/>
  <c r="B514" i="5" s="1"/>
  <c r="H510" i="5"/>
  <c r="I510" i="5" s="1"/>
  <c r="S106" i="42"/>
  <c r="G109" i="42"/>
  <c r="D510" i="5"/>
  <c r="C537" i="8"/>
  <c r="C156" i="8" s="1"/>
  <c r="C29" i="8" s="1"/>
  <c r="H26" i="5"/>
  <c r="I26" i="5" s="1"/>
  <c r="H21" i="5"/>
  <c r="I21" i="5" s="1"/>
  <c r="B56" i="3"/>
  <c r="C165" i="5"/>
  <c r="B121" i="3" s="1"/>
  <c r="I106" i="42"/>
  <c r="H109" i="42"/>
  <c r="D154" i="5"/>
  <c r="D478" i="5"/>
  <c r="D103" i="5"/>
  <c r="L150" i="5"/>
  <c r="L507" i="5" s="1"/>
  <c r="J97" i="48"/>
  <c r="D26" i="5"/>
  <c r="D21" i="5"/>
  <c r="P385" i="5"/>
  <c r="O148" i="5"/>
  <c r="B537" i="8"/>
  <c r="B156" i="8" s="1"/>
  <c r="B29" i="8" s="1"/>
  <c r="Q97" i="48"/>
  <c r="O185" i="5"/>
  <c r="P423" i="5"/>
  <c r="N54" i="5"/>
  <c r="O238" i="5"/>
  <c r="L180" i="5"/>
  <c r="L499" i="5" s="1"/>
  <c r="M176" i="5"/>
  <c r="N413" i="5"/>
  <c r="M109" i="42"/>
  <c r="B30" i="5"/>
  <c r="K197" i="5"/>
  <c r="K194" i="5"/>
  <c r="L388" i="5"/>
  <c r="L390" i="5" s="1"/>
  <c r="L399" i="5" s="1"/>
  <c r="I6" i="3"/>
  <c r="K31" i="5"/>
  <c r="A469" i="5"/>
  <c r="A471" i="5" s="1"/>
  <c r="A484" i="5" s="1"/>
  <c r="A488" i="5" s="1"/>
  <c r="A209" i="5"/>
  <c r="Q98" i="48"/>
  <c r="C471" i="5"/>
  <c r="C484" i="5" s="1"/>
  <c r="C488" i="5" s="1"/>
  <c r="O53" i="5"/>
  <c r="P235" i="5"/>
  <c r="M447" i="5"/>
  <c r="L192" i="5"/>
  <c r="L197" i="5" s="1"/>
  <c r="L451" i="5"/>
  <c r="L486" i="5"/>
  <c r="N219" i="5"/>
  <c r="M52" i="5"/>
  <c r="M56" i="5" s="1"/>
  <c r="M240" i="5"/>
  <c r="D209" i="5"/>
  <c r="D469" i="5"/>
  <c r="N368" i="5"/>
  <c r="M137" i="5"/>
  <c r="B468" i="5"/>
  <c r="B471" i="5" s="1"/>
  <c r="B484" i="5" s="1"/>
  <c r="B165" i="5"/>
  <c r="A121" i="3" s="1"/>
  <c r="L131" i="5"/>
  <c r="L9" i="5" s="1"/>
  <c r="N61" i="5"/>
  <c r="O250" i="5"/>
  <c r="Q99" i="48"/>
  <c r="O96" i="5"/>
  <c r="P315" i="5"/>
  <c r="J508" i="5"/>
  <c r="J510" i="5" s="1"/>
  <c r="J512" i="5" s="1"/>
  <c r="J19" i="5"/>
  <c r="J28" i="5" s="1"/>
  <c r="G22" i="13"/>
  <c r="G103" i="13"/>
  <c r="M64" i="5"/>
  <c r="L7" i="5"/>
  <c r="L25" i="5" s="1"/>
  <c r="L496" i="5"/>
  <c r="N376" i="5"/>
  <c r="M141" i="5"/>
  <c r="D84" i="4"/>
  <c r="D861" i="4"/>
  <c r="D422" i="4"/>
  <c r="B182" i="42"/>
  <c r="E182" i="42" s="1"/>
  <c r="L638" i="4"/>
  <c r="L649" i="4" s="1"/>
  <c r="D301" i="4"/>
  <c r="D865" i="4"/>
  <c r="Q236" i="10"/>
  <c r="L589" i="4" s="1"/>
  <c r="L148" i="4" s="1"/>
  <c r="M454" i="4"/>
  <c r="N433" i="4"/>
  <c r="M105" i="4"/>
  <c r="M158" i="4" s="1"/>
  <c r="H118" i="42"/>
  <c r="I118" i="42" s="1"/>
  <c r="N669" i="4"/>
  <c r="N173" i="4" s="1"/>
  <c r="M672" i="4"/>
  <c r="C6" i="11"/>
  <c r="D39" i="10"/>
  <c r="D261" i="10" s="1"/>
  <c r="B264" i="10" s="1"/>
  <c r="C102" i="3"/>
  <c r="P672" i="34"/>
  <c r="P756" i="34" s="1"/>
  <c r="P788" i="34" s="1"/>
  <c r="P628" i="34"/>
  <c r="P236" i="10"/>
  <c r="O140" i="11" s="1"/>
  <c r="P140" i="11" s="1"/>
  <c r="Q140" i="11" s="1"/>
  <c r="D453" i="6"/>
  <c r="D900" i="4"/>
  <c r="D904" i="4" s="1"/>
  <c r="C40" i="3"/>
  <c r="E72" i="42"/>
  <c r="E10" i="60" s="1"/>
  <c r="F355" i="34"/>
  <c r="B213" i="15"/>
  <c r="B136" i="15"/>
  <c r="B158" i="15" s="1"/>
  <c r="D545" i="34"/>
  <c r="B53" i="15"/>
  <c r="B22" i="15" s="1"/>
  <c r="R29" i="42"/>
  <c r="C29" i="42" s="1"/>
  <c r="R80" i="42"/>
  <c r="B44" i="60" s="1"/>
  <c r="C20" i="42"/>
  <c r="C27" i="4"/>
  <c r="C10" i="15"/>
  <c r="F628" i="34"/>
  <c r="F672" i="34"/>
  <c r="F756" i="34" s="1"/>
  <c r="F788" i="34" s="1"/>
  <c r="M329" i="4"/>
  <c r="J773" i="34"/>
  <c r="L58" i="4"/>
  <c r="J346" i="4"/>
  <c r="M235" i="4"/>
  <c r="M265" i="4" s="1"/>
  <c r="N756" i="4"/>
  <c r="H21" i="4"/>
  <c r="I21" i="4" s="1"/>
  <c r="H98" i="3"/>
  <c r="D469" i="34"/>
  <c r="D470" i="34" s="1"/>
  <c r="C79" i="42"/>
  <c r="B17" i="60" s="1"/>
  <c r="G39" i="19"/>
  <c r="A25" i="19"/>
  <c r="A57" i="19" s="1"/>
  <c r="D482" i="34"/>
  <c r="D535" i="34"/>
  <c r="C849" i="4"/>
  <c r="C95" i="4"/>
  <c r="M66" i="4"/>
  <c r="N356" i="4"/>
  <c r="O579" i="4"/>
  <c r="N138" i="4"/>
  <c r="K760" i="34"/>
  <c r="H659" i="4"/>
  <c r="I659" i="4" s="1"/>
  <c r="N39" i="19"/>
  <c r="A32" i="19"/>
  <c r="D2083" i="6"/>
  <c r="N70" i="4"/>
  <c r="O369" i="4"/>
  <c r="M39" i="19"/>
  <c r="A31" i="19"/>
  <c r="A39" i="20"/>
  <c r="A92" i="20" s="1"/>
  <c r="A97" i="19"/>
  <c r="K284" i="4"/>
  <c r="K11" i="4" s="1"/>
  <c r="I628" i="34"/>
  <c r="I672" i="34"/>
  <c r="I756" i="34" s="1"/>
  <c r="I788" i="34" s="1"/>
  <c r="P441" i="4"/>
  <c r="O108" i="4"/>
  <c r="J114" i="48"/>
  <c r="K8" i="48"/>
  <c r="C7" i="17"/>
  <c r="D17" i="8"/>
  <c r="D559" i="8"/>
  <c r="D151" i="8"/>
  <c r="J672" i="34"/>
  <c r="J756" i="34" s="1"/>
  <c r="J788" i="34" s="1"/>
  <c r="J628" i="34"/>
  <c r="H299" i="4"/>
  <c r="I299" i="4" s="1"/>
  <c r="M540" i="8"/>
  <c r="M159" i="8" s="1"/>
  <c r="K39" i="17"/>
  <c r="L150" i="22"/>
  <c r="F308" i="15"/>
  <c r="G111" i="17"/>
  <c r="G113" i="17" s="1"/>
  <c r="AY49" i="42"/>
  <c r="AY52" i="42" s="1"/>
  <c r="AY54" i="42" s="1"/>
  <c r="D542" i="7"/>
  <c r="N540" i="8"/>
  <c r="N159" i="8" s="1"/>
  <c r="L39" i="17"/>
  <c r="M150" i="22"/>
  <c r="J136" i="3"/>
  <c r="M545" i="4"/>
  <c r="O797" i="4"/>
  <c r="O282" i="4" s="1"/>
  <c r="L775" i="34"/>
  <c r="A312" i="4"/>
  <c r="K628" i="34"/>
  <c r="K672" i="34"/>
  <c r="K756" i="34" s="1"/>
  <c r="K788" i="34" s="1"/>
  <c r="M73" i="4"/>
  <c r="N372" i="4"/>
  <c r="M447" i="4"/>
  <c r="M113" i="4" s="1"/>
  <c r="J774" i="34"/>
  <c r="N114" i="4"/>
  <c r="O448" i="4"/>
  <c r="N404" i="4"/>
  <c r="M78" i="4"/>
  <c r="B2063" i="6"/>
  <c r="B689" i="6"/>
  <c r="M56" i="4"/>
  <c r="N326" i="4"/>
  <c r="J308" i="15"/>
  <c r="BB49" i="42"/>
  <c r="J111" i="17"/>
  <c r="P732" i="4"/>
  <c r="M174" i="4"/>
  <c r="M176" i="4" s="1"/>
  <c r="M9" i="4" s="1"/>
  <c r="N670" i="4"/>
  <c r="P789" i="4"/>
  <c r="O279" i="4"/>
  <c r="K703" i="4"/>
  <c r="K714" i="4" s="1"/>
  <c r="H628" i="34"/>
  <c r="H672" i="34"/>
  <c r="H756" i="34" s="1"/>
  <c r="H788" i="34" s="1"/>
  <c r="B850" i="4"/>
  <c r="B153" i="4"/>
  <c r="P39" i="17"/>
  <c r="R540" i="8"/>
  <c r="R159" i="8" s="1"/>
  <c r="O807" i="4"/>
  <c r="O290" i="4" s="1"/>
  <c r="C628" i="34"/>
  <c r="C672" i="34"/>
  <c r="C756" i="34" s="1"/>
  <c r="C788" i="34" s="1"/>
  <c r="K98" i="3"/>
  <c r="P362" i="4"/>
  <c r="O67" i="4"/>
  <c r="M384" i="4"/>
  <c r="M77" i="4" s="1"/>
  <c r="N321" i="4"/>
  <c r="M55" i="4"/>
  <c r="O555" i="4"/>
  <c r="K717" i="34"/>
  <c r="N738" i="4"/>
  <c r="M227" i="4"/>
  <c r="A559" i="8"/>
  <c r="A561" i="8" s="1"/>
  <c r="A590" i="8" s="1"/>
  <c r="A151" i="8"/>
  <c r="M72" i="4"/>
  <c r="N371" i="4"/>
  <c r="C13" i="15"/>
  <c r="E307" i="34"/>
  <c r="B15" i="8"/>
  <c r="B147" i="8"/>
  <c r="B584" i="8"/>
  <c r="B586" i="8" s="1"/>
  <c r="B588" i="8" s="1"/>
  <c r="P431" i="4"/>
  <c r="O104" i="4"/>
  <c r="A30" i="19"/>
  <c r="L39" i="19"/>
  <c r="P434" i="4"/>
  <c r="M184" i="4"/>
  <c r="N694" i="4"/>
  <c r="D540" i="8"/>
  <c r="C39" i="17"/>
  <c r="F150" i="22"/>
  <c r="K192" i="4"/>
  <c r="K19" i="4" s="1"/>
  <c r="K29" i="4" s="1"/>
  <c r="B849" i="4"/>
  <c r="B95" i="4"/>
  <c r="N444" i="4"/>
  <c r="M182" i="4"/>
  <c r="N685" i="4"/>
  <c r="M577" i="4"/>
  <c r="L135" i="4"/>
  <c r="L584" i="4"/>
  <c r="H714" i="4"/>
  <c r="I714" i="4" s="1"/>
  <c r="V40" i="42"/>
  <c r="H208" i="3"/>
  <c r="H210" i="3" s="1"/>
  <c r="H144" i="3"/>
  <c r="M71" i="4"/>
  <c r="N370" i="4"/>
  <c r="S99" i="42"/>
  <c r="M562" i="4"/>
  <c r="M180" i="4"/>
  <c r="N677" i="4"/>
  <c r="N234" i="4"/>
  <c r="O747" i="4"/>
  <c r="N628" i="34"/>
  <c r="N672" i="34"/>
  <c r="N756" i="34" s="1"/>
  <c r="N788" i="34" s="1"/>
  <c r="O628" i="34"/>
  <c r="O672" i="34"/>
  <c r="O756" i="34" s="1"/>
  <c r="O788" i="34" s="1"/>
  <c r="B44" i="15"/>
  <c r="R47" i="42"/>
  <c r="N436" i="4"/>
  <c r="M106" i="4"/>
  <c r="D79" i="42"/>
  <c r="C17" i="60" s="1"/>
  <c r="O366" i="5"/>
  <c r="N136" i="5"/>
  <c r="H482" i="5"/>
  <c r="I482" i="5" s="1"/>
  <c r="M118" i="8"/>
  <c r="K114" i="3"/>
  <c r="O55" i="8"/>
  <c r="P213" i="8"/>
  <c r="E2043" i="6"/>
  <c r="C43" i="58" s="1"/>
  <c r="N274" i="7"/>
  <c r="O758" i="7"/>
  <c r="S23" i="26"/>
  <c r="O475" i="7"/>
  <c r="N80" i="7"/>
  <c r="N522" i="7"/>
  <c r="M99" i="7"/>
  <c r="K1463" i="6"/>
  <c r="K1465" i="6" s="1"/>
  <c r="K1474" i="6" s="1"/>
  <c r="L455" i="6"/>
  <c r="K55" i="6"/>
  <c r="W22" i="42" s="1"/>
  <c r="H32" i="13"/>
  <c r="M1374" i="6"/>
  <c r="N1368" i="6"/>
  <c r="M450" i="6"/>
  <c r="O1367" i="6"/>
  <c r="N449" i="6"/>
  <c r="N1373" i="6"/>
  <c r="J738" i="34"/>
  <c r="J740" i="34" s="1"/>
  <c r="J216" i="34" s="1"/>
  <c r="Y3" i="10"/>
  <c r="Y122" i="10" s="1"/>
  <c r="W3" i="10"/>
  <c r="W122" i="10" s="1"/>
  <c r="V50" i="11"/>
  <c r="W50" i="11" s="1"/>
  <c r="P795" i="6"/>
  <c r="O99" i="6"/>
  <c r="G687" i="34"/>
  <c r="G689" i="34" s="1"/>
  <c r="K834" i="4"/>
  <c r="K836" i="4" s="1"/>
  <c r="K843" i="4" s="1"/>
  <c r="L281" i="4"/>
  <c r="A852" i="4"/>
  <c r="A258" i="4"/>
  <c r="A849" i="4"/>
  <c r="A95" i="4"/>
  <c r="D593" i="4"/>
  <c r="H836" i="4"/>
  <c r="I836" i="4" s="1"/>
  <c r="M648" i="4"/>
  <c r="L651" i="4"/>
  <c r="L136" i="4"/>
  <c r="M570" i="4"/>
  <c r="L130" i="4"/>
  <c r="M832" i="4"/>
  <c r="L295" i="4"/>
  <c r="L300" i="4" s="1"/>
  <c r="L835" i="4"/>
  <c r="H28" i="4"/>
  <c r="I28" i="4" s="1"/>
  <c r="H862" i="4"/>
  <c r="I862" i="4" s="1"/>
  <c r="H143" i="4"/>
  <c r="I143" i="4" s="1"/>
  <c r="M697" i="4"/>
  <c r="L702" i="4"/>
  <c r="L190" i="4"/>
  <c r="L195" i="4" s="1"/>
  <c r="M828" i="4"/>
  <c r="M292" i="4" s="1"/>
  <c r="K340" i="4"/>
  <c r="I6" i="12" s="1"/>
  <c r="O688" i="7"/>
  <c r="N231" i="7"/>
  <c r="K238" i="7"/>
  <c r="K1142" i="7" s="1"/>
  <c r="K32" i="7"/>
  <c r="N687" i="7"/>
  <c r="M230" i="7"/>
  <c r="L36" i="45"/>
  <c r="K23" i="6"/>
  <c r="K39" i="6" s="1"/>
  <c r="K166" i="6"/>
  <c r="D2061" i="6"/>
  <c r="D562" i="6"/>
  <c r="N431" i="6"/>
  <c r="O1339" i="6"/>
  <c r="N440" i="6"/>
  <c r="O1419" i="6"/>
  <c r="O906" i="6"/>
  <c r="N148" i="6"/>
  <c r="M1239" i="6"/>
  <c r="L1228" i="6"/>
  <c r="L375" i="6"/>
  <c r="L379" i="6" s="1"/>
  <c r="L27" i="6" s="1"/>
  <c r="L1257" i="6"/>
  <c r="O917" i="6"/>
  <c r="N153" i="6"/>
  <c r="N1895" i="6"/>
  <c r="M657" i="6"/>
  <c r="J9" i="6"/>
  <c r="J41" i="6" s="1"/>
  <c r="J276" i="6"/>
  <c r="N147" i="6"/>
  <c r="O901" i="6"/>
  <c r="M32" i="45"/>
  <c r="N1180" i="6"/>
  <c r="M326" i="6"/>
  <c r="D2055" i="6"/>
  <c r="D234" i="6"/>
  <c r="N1794" i="6"/>
  <c r="M628" i="6"/>
  <c r="O1119" i="6"/>
  <c r="N321" i="6"/>
  <c r="N30" i="45"/>
  <c r="N1863" i="6"/>
  <c r="K732" i="34"/>
  <c r="N1422" i="6"/>
  <c r="M441" i="6"/>
  <c r="M539" i="6"/>
  <c r="N1675" i="6"/>
  <c r="M1306" i="6"/>
  <c r="J113" i="3"/>
  <c r="L422" i="6"/>
  <c r="L1370" i="6"/>
  <c r="N936" i="6"/>
  <c r="M941" i="6"/>
  <c r="M161" i="6"/>
  <c r="M1129" i="6"/>
  <c r="L323" i="6"/>
  <c r="O1247" i="6"/>
  <c r="L728" i="34"/>
  <c r="O909" i="6"/>
  <c r="N152" i="6"/>
  <c r="B120" i="6"/>
  <c r="B2053" i="6"/>
  <c r="K6" i="6"/>
  <c r="L23" i="58"/>
  <c r="L37" i="58" s="1"/>
  <c r="P2032" i="6"/>
  <c r="Q2032" i="6" s="1"/>
  <c r="O729" i="6"/>
  <c r="O734" i="6" s="1"/>
  <c r="O2037" i="6"/>
  <c r="M322" i="6"/>
  <c r="N1128" i="6"/>
  <c r="N403" i="6"/>
  <c r="O1283" i="6"/>
  <c r="N209" i="6"/>
  <c r="O992" i="6"/>
  <c r="K108" i="6"/>
  <c r="K2090" i="6"/>
  <c r="N478" i="6"/>
  <c r="O1595" i="6"/>
  <c r="O1166" i="6"/>
  <c r="N310" i="6"/>
  <c r="L768" i="34"/>
  <c r="N1953" i="6"/>
  <c r="M669" i="6"/>
  <c r="O919" i="6"/>
  <c r="N154" i="6"/>
  <c r="M1504" i="6"/>
  <c r="L1509" i="6"/>
  <c r="L448" i="6"/>
  <c r="L454" i="6" s="1"/>
  <c r="O1679" i="6"/>
  <c r="O429" i="6"/>
  <c r="P1334" i="6"/>
  <c r="O1879" i="6"/>
  <c r="N653" i="6"/>
  <c r="G783" i="34"/>
  <c r="G213" i="3"/>
  <c r="N593" i="6"/>
  <c r="O1757" i="6"/>
  <c r="N725" i="6"/>
  <c r="O2028" i="6"/>
  <c r="N305" i="6"/>
  <c r="O1173" i="6"/>
  <c r="M1636" i="6"/>
  <c r="L503" i="6"/>
  <c r="N1860" i="6"/>
  <c r="M648" i="6"/>
  <c r="N1749" i="6"/>
  <c r="M586" i="6"/>
  <c r="L445" i="6"/>
  <c r="M1492" i="6"/>
  <c r="K418" i="6"/>
  <c r="K12" i="6" s="1"/>
  <c r="O430" i="6"/>
  <c r="P1335" i="6"/>
  <c r="O1752" i="6"/>
  <c r="N592" i="6"/>
  <c r="A136" i="15"/>
  <c r="A158" i="15" s="1"/>
  <c r="A213" i="15"/>
  <c r="L1501" i="6"/>
  <c r="L1506" i="6" s="1"/>
  <c r="L1508" i="6" s="1"/>
  <c r="M1500" i="6"/>
  <c r="B2086" i="6"/>
  <c r="L252" i="6"/>
  <c r="M1032" i="6"/>
  <c r="K1510" i="6"/>
  <c r="N239" i="10" s="1"/>
  <c r="M1682" i="6"/>
  <c r="L541" i="6"/>
  <c r="J106" i="48"/>
  <c r="P763" i="6"/>
  <c r="O784" i="6"/>
  <c r="N1311" i="6"/>
  <c r="L155" i="6"/>
  <c r="L164" i="6" s="1"/>
  <c r="L166" i="6" s="1"/>
  <c r="L2074" i="6" s="1"/>
  <c r="M929" i="6"/>
  <c r="K724" i="34" s="1"/>
  <c r="N439" i="6"/>
  <c r="O1418" i="6"/>
  <c r="L433" i="6"/>
  <c r="L435" i="6" s="1"/>
  <c r="M1361" i="6"/>
  <c r="J551" i="6"/>
  <c r="J2081" i="6"/>
  <c r="P754" i="6"/>
  <c r="O77" i="6"/>
  <c r="K1372" i="6"/>
  <c r="K1375" i="6" s="1"/>
  <c r="K1383" i="6" s="1"/>
  <c r="B2055" i="6"/>
  <c r="B234" i="6"/>
  <c r="M2001" i="6"/>
  <c r="L709" i="6"/>
  <c r="I15" i="58"/>
  <c r="M88" i="6"/>
  <c r="N772" i="6"/>
  <c r="D793" i="34"/>
  <c r="D804" i="34" s="1"/>
  <c r="D201" i="34"/>
  <c r="L662" i="6"/>
  <c r="M1926" i="6"/>
  <c r="O900" i="6"/>
  <c r="N146" i="6"/>
  <c r="N789" i="6"/>
  <c r="M95" i="6"/>
  <c r="M303" i="6"/>
  <c r="N1170" i="6"/>
  <c r="N1175" i="6" s="1"/>
  <c r="N1351" i="6"/>
  <c r="M432" i="6"/>
  <c r="K729" i="34"/>
  <c r="O1762" i="6"/>
  <c r="N1770" i="6"/>
  <c r="N598" i="6"/>
  <c r="N605" i="6" s="1"/>
  <c r="N1066" i="6"/>
  <c r="M1072" i="6"/>
  <c r="M270" i="6"/>
  <c r="M277" i="6" s="1"/>
  <c r="M1098" i="6"/>
  <c r="L311" i="6"/>
  <c r="L1105" i="6"/>
  <c r="M1200" i="6"/>
  <c r="L1205" i="6"/>
  <c r="L338" i="6"/>
  <c r="J107" i="6"/>
  <c r="J22" i="6"/>
  <c r="J38" i="6" s="1"/>
  <c r="K93" i="6"/>
  <c r="K105" i="6" s="1"/>
  <c r="K22" i="6" s="1"/>
  <c r="K800" i="6"/>
  <c r="K802" i="6" s="1"/>
  <c r="K804" i="6" s="1"/>
  <c r="K813" i="6" s="1"/>
  <c r="M797" i="6"/>
  <c r="L102" i="6"/>
  <c r="L803" i="6"/>
  <c r="L167" i="6"/>
  <c r="M1027" i="6"/>
  <c r="J764" i="34"/>
  <c r="L246" i="6"/>
  <c r="L1035" i="6"/>
  <c r="C52" i="42"/>
  <c r="K727" i="34"/>
  <c r="M1811" i="6"/>
  <c r="L633" i="6"/>
  <c r="O1304" i="6"/>
  <c r="O1484" i="6"/>
  <c r="N1486" i="6"/>
  <c r="N414" i="6"/>
  <c r="H7" i="3"/>
  <c r="J52" i="6"/>
  <c r="G104" i="13" s="1"/>
  <c r="G30" i="13"/>
  <c r="H344" i="6"/>
  <c r="I344" i="6" s="1"/>
  <c r="H2077" i="6"/>
  <c r="L1403" i="6"/>
  <c r="X11" i="42" s="1"/>
  <c r="L412" i="6"/>
  <c r="M1392" i="6"/>
  <c r="M1850" i="6"/>
  <c r="L644" i="6"/>
  <c r="L785" i="6"/>
  <c r="M764" i="6"/>
  <c r="L78" i="6"/>
  <c r="L81" i="6" s="1"/>
  <c r="L6" i="6" s="1"/>
  <c r="J763" i="34"/>
  <c r="L767" i="6"/>
  <c r="O1293" i="6"/>
  <c r="L540" i="6"/>
  <c r="M1676" i="6"/>
  <c r="A180" i="6"/>
  <c r="A2054" i="6"/>
  <c r="O1873" i="6"/>
  <c r="N652" i="6"/>
  <c r="N863" i="6"/>
  <c r="M158" i="6"/>
  <c r="M869" i="6"/>
  <c r="L660" i="6"/>
  <c r="M1924" i="6"/>
  <c r="L1813" i="6"/>
  <c r="M1946" i="6"/>
  <c r="L668" i="6"/>
  <c r="N304" i="6"/>
  <c r="O1172" i="6"/>
  <c r="K254" i="6"/>
  <c r="D1521" i="6"/>
  <c r="C26" i="13"/>
  <c r="J11" i="6"/>
  <c r="J43" i="6" s="1"/>
  <c r="J381" i="6"/>
  <c r="N890" i="6"/>
  <c r="M144" i="6"/>
  <c r="M1231" i="6"/>
  <c r="M369" i="6" s="1"/>
  <c r="N1246" i="6"/>
  <c r="N29" i="45" s="1"/>
  <c r="M377" i="6"/>
  <c r="M1550" i="6"/>
  <c r="L1570" i="6"/>
  <c r="L444" i="6"/>
  <c r="J12" i="6"/>
  <c r="J44" i="6" s="1"/>
  <c r="J453" i="6"/>
  <c r="J1521" i="6"/>
  <c r="N1723" i="6"/>
  <c r="M572" i="6"/>
  <c r="L1202" i="6"/>
  <c r="L1204" i="6" s="1"/>
  <c r="N1959" i="6"/>
  <c r="M675" i="6"/>
  <c r="M680" i="6" s="1"/>
  <c r="M1965" i="6"/>
  <c r="N1407" i="6"/>
  <c r="M438" i="6"/>
  <c r="M1461" i="6"/>
  <c r="M667" i="6"/>
  <c r="N1942" i="6"/>
  <c r="N658" i="6"/>
  <c r="O1922" i="6"/>
  <c r="P773" i="6"/>
  <c r="Q773" i="6" s="1"/>
  <c r="Q89" i="6" s="1"/>
  <c r="O89" i="6"/>
  <c r="M1601" i="6"/>
  <c r="L484" i="6"/>
  <c r="L409" i="6"/>
  <c r="M1531" i="6"/>
  <c r="L1539" i="6"/>
  <c r="M90" i="6"/>
  <c r="N774" i="6"/>
  <c r="M475" i="6"/>
  <c r="N1597" i="6"/>
  <c r="M98" i="6"/>
  <c r="N792" i="6"/>
  <c r="M1294" i="6"/>
  <c r="J769" i="34"/>
  <c r="L1299" i="6"/>
  <c r="L408" i="6"/>
  <c r="M626" i="6"/>
  <c r="N1790" i="6"/>
  <c r="K451" i="6"/>
  <c r="K365" i="6"/>
  <c r="K371" i="6" s="1"/>
  <c r="K1234" i="6"/>
  <c r="P1952" i="6"/>
  <c r="O1113" i="6"/>
  <c r="M319" i="6"/>
  <c r="M34" i="45"/>
  <c r="N1112" i="6"/>
  <c r="O1092" i="6"/>
  <c r="N301" i="6"/>
  <c r="O33" i="45"/>
  <c r="O263" i="6"/>
  <c r="O260" i="6"/>
  <c r="L726" i="34"/>
  <c r="N259" i="6"/>
  <c r="P978" i="6"/>
  <c r="O164" i="45"/>
  <c r="O975" i="6"/>
  <c r="N161" i="45"/>
  <c r="N165" i="45" s="1"/>
  <c r="L725" i="34"/>
  <c r="N201" i="6"/>
  <c r="Y130" i="10"/>
  <c r="X50" i="11" s="1"/>
  <c r="Z130" i="10"/>
  <c r="Z157" i="10"/>
  <c r="O809" i="6" s="1"/>
  <c r="O115" i="6" s="1"/>
  <c r="Y157" i="10"/>
  <c r="X90" i="11" s="1"/>
  <c r="P71" i="11"/>
  <c r="N77" i="11"/>
  <c r="Y212" i="10"/>
  <c r="X126" i="11" s="1"/>
  <c r="N1212" i="6"/>
  <c r="Z212" i="10"/>
  <c r="AG236" i="10"/>
  <c r="U239" i="10"/>
  <c r="L1517" i="6"/>
  <c r="K462" i="6"/>
  <c r="M350" i="6"/>
  <c r="N207" i="6"/>
  <c r="O987" i="6"/>
  <c r="O961" i="6"/>
  <c r="N193" i="6"/>
  <c r="E482" i="34"/>
  <c r="N585" i="6"/>
  <c r="O1743" i="6"/>
  <c r="P859" i="6"/>
  <c r="O140" i="6"/>
  <c r="O139" i="6"/>
  <c r="P845" i="6"/>
  <c r="N835" i="6"/>
  <c r="M137" i="6"/>
  <c r="M866" i="6"/>
  <c r="M868" i="6" s="1"/>
  <c r="N783" i="6"/>
  <c r="O762" i="6"/>
  <c r="N87" i="6"/>
  <c r="O771" i="6"/>
  <c r="P770" i="6"/>
  <c r="Q770" i="6" s="1"/>
  <c r="O86" i="6"/>
  <c r="M496" i="6"/>
  <c r="N1623" i="6"/>
  <c r="O1612" i="6"/>
  <c r="P138" i="6"/>
  <c r="J1141" i="7"/>
  <c r="O460" i="7"/>
  <c r="N74" i="7"/>
  <c r="L450" i="5"/>
  <c r="Q364" i="5"/>
  <c r="H333" i="5"/>
  <c r="I333" i="5" s="1"/>
  <c r="N60" i="5"/>
  <c r="O245" i="5"/>
  <c r="J299" i="4"/>
  <c r="O463" i="4"/>
  <c r="M141" i="9"/>
  <c r="BE141" i="9"/>
  <c r="S8" i="37" s="1"/>
  <c r="N41" i="45"/>
  <c r="CX21" i="9"/>
  <c r="CK21" i="9"/>
  <c r="CK213" i="9"/>
  <c r="CX213" i="9"/>
  <c r="CX196" i="9"/>
  <c r="CK196" i="9"/>
  <c r="AA66" i="9"/>
  <c r="CL50" i="9"/>
  <c r="CY50" i="9"/>
  <c r="CK180" i="9"/>
  <c r="CX180" i="9"/>
  <c r="CK203" i="9"/>
  <c r="CX203" i="9"/>
  <c r="G44" i="42"/>
  <c r="CX217" i="9"/>
  <c r="CK217" i="9"/>
  <c r="CK156" i="9"/>
  <c r="CX156" i="9"/>
  <c r="CL120" i="9"/>
  <c r="CY120" i="9"/>
  <c r="CK79" i="9"/>
  <c r="CX79" i="9"/>
  <c r="CM49" i="9"/>
  <c r="CZ49" i="9"/>
  <c r="CK113" i="9"/>
  <c r="CX113" i="9"/>
  <c r="CK93" i="9"/>
  <c r="CX93" i="9"/>
  <c r="CJ51" i="9"/>
  <c r="CW51" i="9"/>
  <c r="CL124" i="9"/>
  <c r="CY124" i="9"/>
  <c r="CM30" i="9"/>
  <c r="CJ206" i="9"/>
  <c r="CW206" i="9"/>
  <c r="CK141" i="9"/>
  <c r="CX141" i="9"/>
  <c r="CK182" i="9"/>
  <c r="CX182" i="9"/>
  <c r="CZ169" i="9"/>
  <c r="CM169" i="9"/>
  <c r="CK115" i="9"/>
  <c r="CX115" i="9"/>
  <c r="CK37" i="9"/>
  <c r="CX37" i="9"/>
  <c r="CL73" i="9"/>
  <c r="CY73" i="9"/>
  <c r="CK179" i="9"/>
  <c r="CX179" i="9"/>
  <c r="CY132" i="9"/>
  <c r="CL132" i="9"/>
  <c r="CM209" i="9"/>
  <c r="CK110" i="9"/>
  <c r="CX110" i="9"/>
  <c r="CX121" i="9"/>
  <c r="CK121" i="9"/>
  <c r="CL42" i="9"/>
  <c r="CY42" i="9"/>
  <c r="CK153" i="9"/>
  <c r="CX153" i="9"/>
  <c r="CN59" i="9"/>
  <c r="DA59" i="9"/>
  <c r="CK82" i="9"/>
  <c r="CX82" i="9"/>
  <c r="CK154" i="9"/>
  <c r="CX154" i="9"/>
  <c r="CY127" i="9"/>
  <c r="CL127" i="9"/>
  <c r="CK210" i="9"/>
  <c r="CX210" i="9"/>
  <c r="CL118" i="9"/>
  <c r="CY118" i="9"/>
  <c r="CY43" i="9"/>
  <c r="CL43" i="9"/>
  <c r="CL107" i="9"/>
  <c r="CY107" i="9"/>
  <c r="CL14" i="9"/>
  <c r="CY14" i="9"/>
  <c r="CK147" i="9"/>
  <c r="CX147" i="9"/>
  <c r="CM40" i="9"/>
  <c r="CZ40" i="9"/>
  <c r="CK155" i="9"/>
  <c r="CX155" i="9"/>
  <c r="CK100" i="9"/>
  <c r="CX100" i="9"/>
  <c r="CK128" i="9"/>
  <c r="CX128" i="9"/>
  <c r="CX198" i="9"/>
  <c r="CK198" i="9"/>
  <c r="CK36" i="9"/>
  <c r="CX36" i="9"/>
  <c r="CM181" i="9"/>
  <c r="CK152" i="9"/>
  <c r="CX152" i="9"/>
  <c r="CL123" i="9"/>
  <c r="I308" i="15"/>
  <c r="I111" i="17"/>
  <c r="BA49" i="42"/>
  <c r="F44" i="42"/>
  <c r="N111" i="17"/>
  <c r="N308" i="15"/>
  <c r="BF49" i="42"/>
  <c r="J98" i="3"/>
  <c r="R37" i="14"/>
  <c r="R39" i="14" s="1"/>
  <c r="K1136" i="6" s="1"/>
  <c r="O308" i="15"/>
  <c r="O111" i="17"/>
  <c r="BG49" i="42"/>
  <c r="N284" i="3"/>
  <c r="M294" i="3"/>
  <c r="D1130" i="7"/>
  <c r="D307" i="7"/>
  <c r="L134" i="42"/>
  <c r="J1127" i="7"/>
  <c r="J251" i="7"/>
  <c r="L400" i="7"/>
  <c r="L13" i="7" s="1"/>
  <c r="O768" i="7"/>
  <c r="S19" i="26"/>
  <c r="N279" i="7"/>
  <c r="K7" i="7"/>
  <c r="K30" i="7" s="1"/>
  <c r="K108" i="7"/>
  <c r="K1141" i="7" s="1"/>
  <c r="B1126" i="7"/>
  <c r="B120" i="7"/>
  <c r="H599" i="34"/>
  <c r="H601" i="34" s="1"/>
  <c r="H242" i="34" s="1"/>
  <c r="M448" i="7"/>
  <c r="M456" i="7" s="1"/>
  <c r="L64" i="7"/>
  <c r="L69" i="7" s="1"/>
  <c r="M1106" i="7"/>
  <c r="L418" i="7"/>
  <c r="L424" i="7" s="1"/>
  <c r="L42" i="7" s="1"/>
  <c r="L1111" i="7"/>
  <c r="L1155" i="7" s="1"/>
  <c r="L132" i="7"/>
  <c r="M554" i="7"/>
  <c r="J777" i="34"/>
  <c r="L263" i="7"/>
  <c r="M731" i="7"/>
  <c r="M737" i="7" s="1"/>
  <c r="N793" i="7"/>
  <c r="S16" i="26" s="1"/>
  <c r="M281" i="7"/>
  <c r="B37" i="7"/>
  <c r="A9" i="13"/>
  <c r="A10" i="13" s="1"/>
  <c r="A15" i="13" s="1"/>
  <c r="H14" i="13"/>
  <c r="R67" i="10"/>
  <c r="M906" i="7"/>
  <c r="C120" i="7"/>
  <c r="C1126" i="7"/>
  <c r="L10" i="7"/>
  <c r="H1128" i="7"/>
  <c r="H165" i="7"/>
  <c r="I165" i="7" s="1"/>
  <c r="P67" i="10"/>
  <c r="L705" i="7"/>
  <c r="L707" i="7" s="1"/>
  <c r="L718" i="7" s="1"/>
  <c r="J143" i="9"/>
  <c r="L1082" i="6" s="1"/>
  <c r="Q40" i="37"/>
  <c r="L39" i="45"/>
  <c r="L45" i="45" s="1"/>
  <c r="AU122" i="9"/>
  <c r="CX122" i="9"/>
  <c r="M868" i="7"/>
  <c r="L335" i="7"/>
  <c r="M234" i="7"/>
  <c r="N700" i="7"/>
  <c r="M703" i="7"/>
  <c r="M222" i="7"/>
  <c r="M224" i="7" s="1"/>
  <c r="M676" i="7"/>
  <c r="N673" i="7"/>
  <c r="I599" i="34"/>
  <c r="I601" i="34" s="1"/>
  <c r="I242" i="34" s="1"/>
  <c r="C1129" i="7"/>
  <c r="C212" i="7"/>
  <c r="N563" i="7"/>
  <c r="M138" i="7"/>
  <c r="A363" i="7"/>
  <c r="A1146" i="7"/>
  <c r="A1149" i="7" s="1"/>
  <c r="O840" i="7"/>
  <c r="N317" i="7"/>
  <c r="E45" i="11"/>
  <c r="D47" i="11"/>
  <c r="D62" i="11" s="1"/>
  <c r="A26" i="7"/>
  <c r="A37" i="7" s="1"/>
  <c r="A43" i="7" s="1"/>
  <c r="A54" i="7" s="1"/>
  <c r="M942" i="7"/>
  <c r="N938" i="7"/>
  <c r="M355" i="7"/>
  <c r="O779" i="7"/>
  <c r="N280" i="7"/>
  <c r="J1126" i="7"/>
  <c r="J120" i="7"/>
  <c r="N7" i="37"/>
  <c r="N734" i="7"/>
  <c r="M264" i="7"/>
  <c r="A251" i="7"/>
  <c r="A1127" i="7"/>
  <c r="O897" i="7"/>
  <c r="O872" i="7"/>
  <c r="N557" i="7"/>
  <c r="M135" i="7"/>
  <c r="M141" i="7"/>
  <c r="N570" i="7"/>
  <c r="N911" i="7"/>
  <c r="M345" i="7"/>
  <c r="K111" i="3"/>
  <c r="N1051" i="7"/>
  <c r="M405" i="7"/>
  <c r="O642" i="7"/>
  <c r="N190" i="7"/>
  <c r="A120" i="7"/>
  <c r="A1126" i="7"/>
  <c r="L341" i="7"/>
  <c r="M882" i="7"/>
  <c r="N921" i="7"/>
  <c r="M346" i="7"/>
  <c r="N895" i="7"/>
  <c r="H289" i="6"/>
  <c r="H1083" i="6"/>
  <c r="N454" i="7"/>
  <c r="M67" i="7"/>
  <c r="F36" i="48"/>
  <c r="Q256" i="48" s="1"/>
  <c r="F35" i="48"/>
  <c r="P256" i="48" s="1"/>
  <c r="F37" i="48"/>
  <c r="R234" i="48" s="1"/>
  <c r="O622" i="7"/>
  <c r="N187" i="7"/>
  <c r="N616" i="7"/>
  <c r="K776" i="34"/>
  <c r="M181" i="7"/>
  <c r="J22" i="7"/>
  <c r="J33" i="7" s="1"/>
  <c r="J294" i="7"/>
  <c r="A77" i="19"/>
  <c r="A35" i="20"/>
  <c r="A72" i="20" s="1"/>
  <c r="N832" i="7"/>
  <c r="T65" i="10"/>
  <c r="N871" i="7"/>
  <c r="M336" i="7"/>
  <c r="C137" i="15"/>
  <c r="C216" i="15"/>
  <c r="N829" i="7"/>
  <c r="T101" i="10"/>
  <c r="V101" i="10" s="1"/>
  <c r="Q103" i="10"/>
  <c r="S103" i="10" s="1"/>
  <c r="S66" i="10"/>
  <c r="R189" i="48"/>
  <c r="R211" i="48"/>
  <c r="C54" i="3"/>
  <c r="N836" i="7"/>
  <c r="T66" i="10"/>
  <c r="A62" i="19"/>
  <c r="A31" i="20"/>
  <c r="G249" i="48"/>
  <c r="K285" i="7"/>
  <c r="K292" i="7" s="1"/>
  <c r="K807" i="7"/>
  <c r="K809" i="7" s="1"/>
  <c r="K811" i="7" s="1"/>
  <c r="K820" i="7" s="1"/>
  <c r="L797" i="7"/>
  <c r="X21" i="42" s="1"/>
  <c r="M386" i="7"/>
  <c r="N1031" i="7"/>
  <c r="N1025" i="7"/>
  <c r="N392" i="7" s="1"/>
  <c r="K778" i="34"/>
  <c r="M407" i="7"/>
  <c r="M408" i="7" s="1"/>
  <c r="N1023" i="7"/>
  <c r="N1073" i="7" s="1"/>
  <c r="M385" i="7"/>
  <c r="M1044" i="7"/>
  <c r="K506" i="5"/>
  <c r="K17" i="5"/>
  <c r="J12" i="5"/>
  <c r="K498" i="5"/>
  <c r="K501" i="5" s="1"/>
  <c r="K9" i="5"/>
  <c r="K152" i="5"/>
  <c r="N416" i="5"/>
  <c r="M178" i="5"/>
  <c r="P224" i="5"/>
  <c r="E470" i="34"/>
  <c r="K101" i="5"/>
  <c r="O126" i="5"/>
  <c r="P350" i="5"/>
  <c r="N143" i="5"/>
  <c r="O382" i="5"/>
  <c r="M225" i="3" s="1"/>
  <c r="M226" i="3" s="1"/>
  <c r="O348" i="5"/>
  <c r="N125" i="5"/>
  <c r="L497" i="5"/>
  <c r="L8" i="5"/>
  <c r="J26" i="5"/>
  <c r="K79" i="5"/>
  <c r="K466" i="5"/>
  <c r="J114" i="5"/>
  <c r="J467" i="5"/>
  <c r="M386" i="5"/>
  <c r="M138" i="5"/>
  <c r="M150" i="5" s="1"/>
  <c r="N372" i="5"/>
  <c r="N342" i="5"/>
  <c r="M361" i="5"/>
  <c r="M124" i="5"/>
  <c r="H467" i="5"/>
  <c r="I467" i="5" s="1"/>
  <c r="H114" i="5"/>
  <c r="I114" i="5" s="1"/>
  <c r="J468" i="5"/>
  <c r="J165" i="5"/>
  <c r="B14" i="3"/>
  <c r="C32" i="5"/>
  <c r="C43" i="5" s="1"/>
  <c r="C17" i="8"/>
  <c r="B7" i="17"/>
  <c r="P381" i="5"/>
  <c r="Q311" i="5"/>
  <c r="M128" i="5"/>
  <c r="N358" i="5"/>
  <c r="H468" i="5"/>
  <c r="I468" i="5" s="1"/>
  <c r="H165" i="5"/>
  <c r="I165" i="5" s="1"/>
  <c r="W40" i="42"/>
  <c r="J480" i="5"/>
  <c r="J482" i="5" s="1"/>
  <c r="J198" i="5"/>
  <c r="O432" i="5"/>
  <c r="N186" i="5"/>
  <c r="B20" i="13"/>
  <c r="B23" i="13" s="1"/>
  <c r="C151" i="8"/>
  <c r="C559" i="8"/>
  <c r="C561" i="8" s="1"/>
  <c r="M313" i="5"/>
  <c r="K112" i="3" s="1"/>
  <c r="L95" i="5"/>
  <c r="L99" i="5" s="1"/>
  <c r="L101" i="5" s="1"/>
  <c r="L319" i="5"/>
  <c r="L321" i="5" s="1"/>
  <c r="L323" i="5" s="1"/>
  <c r="L333" i="5" s="1"/>
  <c r="N288" i="5"/>
  <c r="M307" i="5"/>
  <c r="M89" i="5"/>
  <c r="M91" i="5" s="1"/>
  <c r="N177" i="5"/>
  <c r="O414" i="5"/>
  <c r="N410" i="5"/>
  <c r="M419" i="5"/>
  <c r="M175" i="5"/>
  <c r="P984" i="6"/>
  <c r="O205" i="6"/>
  <c r="N204" i="6"/>
  <c r="O983" i="6"/>
  <c r="Q59" i="8"/>
  <c r="K343" i="4"/>
  <c r="I9" i="12" s="1"/>
  <c r="L343" i="4" s="1"/>
  <c r="J9" i="12" s="1"/>
  <c r="M343" i="4" s="1"/>
  <c r="K9" i="12" s="1"/>
  <c r="O535" i="4"/>
  <c r="N124" i="4"/>
  <c r="O525" i="4"/>
  <c r="N123" i="4"/>
  <c r="N161" i="4" s="1"/>
  <c r="N120" i="4"/>
  <c r="O479" i="4"/>
  <c r="B258" i="4"/>
  <c r="B852" i="4"/>
  <c r="K342" i="4"/>
  <c r="I8" i="12" s="1"/>
  <c r="N280" i="4"/>
  <c r="H29" i="4"/>
  <c r="I29" i="4" s="1"/>
  <c r="C2059" i="6"/>
  <c r="C465" i="6"/>
  <c r="M496" i="4"/>
  <c r="L581" i="4"/>
  <c r="L121" i="4"/>
  <c r="L159" i="4" s="1"/>
  <c r="M681" i="4"/>
  <c r="L699" i="4"/>
  <c r="L701" i="4" s="1"/>
  <c r="L181" i="4"/>
  <c r="K80" i="4"/>
  <c r="K17" i="4" s="1"/>
  <c r="G682" i="34"/>
  <c r="I54" i="15"/>
  <c r="I23" i="15" s="1"/>
  <c r="W81" i="42"/>
  <c r="J45" i="60" s="1"/>
  <c r="H21" i="42"/>
  <c r="H81" i="42" s="1"/>
  <c r="J19" i="60" s="1"/>
  <c r="J196" i="4"/>
  <c r="H863" i="4"/>
  <c r="I863" i="4" s="1"/>
  <c r="H196" i="4"/>
  <c r="I196" i="4" s="1"/>
  <c r="L728" i="4"/>
  <c r="X8" i="42" s="1"/>
  <c r="M723" i="4"/>
  <c r="L217" i="4"/>
  <c r="L264" i="4" s="1"/>
  <c r="K1621" i="6"/>
  <c r="M350" i="4"/>
  <c r="L65" i="4"/>
  <c r="L408" i="4"/>
  <c r="K246" i="4"/>
  <c r="B465" i="6"/>
  <c r="B2059" i="6"/>
  <c r="M802" i="4"/>
  <c r="L289" i="4"/>
  <c r="L833" i="4"/>
  <c r="D850" i="4"/>
  <c r="D153" i="4"/>
  <c r="M634" i="4"/>
  <c r="M365" i="4"/>
  <c r="M69" i="4" s="1"/>
  <c r="K650" i="4"/>
  <c r="K652" i="4" s="1"/>
  <c r="K659" i="4" s="1"/>
  <c r="K127" i="4"/>
  <c r="K139" i="4" s="1"/>
  <c r="M507" i="4"/>
  <c r="J115" i="3"/>
  <c r="M811" i="4"/>
  <c r="L291" i="4"/>
  <c r="O475" i="4"/>
  <c r="M785" i="4"/>
  <c r="L278" i="4"/>
  <c r="L798" i="4"/>
  <c r="M761" i="4"/>
  <c r="L766" i="4"/>
  <c r="L241" i="4"/>
  <c r="L129" i="4"/>
  <c r="N691" i="4"/>
  <c r="M183" i="4"/>
  <c r="O339" i="4"/>
  <c r="M5" i="12" s="1"/>
  <c r="J18" i="4"/>
  <c r="M618" i="4"/>
  <c r="K222" i="4"/>
  <c r="B51" i="6"/>
  <c r="A27" i="13"/>
  <c r="H116" i="3"/>
  <c r="H117" i="3" s="1"/>
  <c r="J495" i="6"/>
  <c r="M453" i="4"/>
  <c r="L111" i="4"/>
  <c r="K297" i="4"/>
  <c r="K21" i="4" s="1"/>
  <c r="J31" i="4"/>
  <c r="K12" i="11"/>
  <c r="Q171" i="8"/>
  <c r="P106" i="1"/>
  <c r="K337" i="34"/>
  <c r="J393" i="34"/>
  <c r="J510" i="34" s="1"/>
  <c r="J570" i="34"/>
  <c r="N18" i="17"/>
  <c r="M119" i="17"/>
  <c r="M301" i="15"/>
  <c r="BE41" i="42"/>
  <c r="L106" i="15"/>
  <c r="F469" i="34"/>
  <c r="E79" i="42"/>
  <c r="E17" i="60" s="1"/>
  <c r="Q52" i="42"/>
  <c r="B50" i="42"/>
  <c r="C468" i="34" s="1"/>
  <c r="C470" i="34" s="1"/>
  <c r="F535" i="34"/>
  <c r="F482" i="34"/>
  <c r="A152" i="15"/>
  <c r="E544" i="34"/>
  <c r="E519" i="34"/>
  <c r="E536" i="34"/>
  <c r="M100" i="42"/>
  <c r="D689" i="6"/>
  <c r="H586" i="34" l="1"/>
  <c r="H587" i="34" s="1"/>
  <c r="H8" i="60"/>
  <c r="N178" i="7"/>
  <c r="P925" i="6"/>
  <c r="P1555" i="6"/>
  <c r="P1754" i="6"/>
  <c r="P1874" i="6"/>
  <c r="P1936" i="6"/>
  <c r="P929" i="7"/>
  <c r="P1120" i="6"/>
  <c r="P468" i="8"/>
  <c r="P1074" i="7"/>
  <c r="P435" i="4"/>
  <c r="P312" i="5"/>
  <c r="P303" i="8"/>
  <c r="P775" i="7"/>
  <c r="P896" i="6"/>
  <c r="P1045" i="6"/>
  <c r="P1055" i="6"/>
  <c r="P1054" i="6"/>
  <c r="M127" i="9"/>
  <c r="X184" i="10"/>
  <c r="Y184" i="10" s="1"/>
  <c r="X107" i="11" s="1"/>
  <c r="BD127" i="9"/>
  <c r="P1047" i="6"/>
  <c r="P1436" i="6"/>
  <c r="P455" i="4"/>
  <c r="P1397" i="6"/>
  <c r="P1123" i="6"/>
  <c r="P815" i="4"/>
  <c r="P394" i="4"/>
  <c r="P238" i="8"/>
  <c r="P323" i="8"/>
  <c r="P236" i="8"/>
  <c r="P764" i="7"/>
  <c r="P569" i="7"/>
  <c r="P1040" i="6"/>
  <c r="P1049" i="6"/>
  <c r="P374" i="8"/>
  <c r="P1050" i="6"/>
  <c r="P1041" i="6"/>
  <c r="M62" i="9"/>
  <c r="N62" i="9" s="1"/>
  <c r="P792" i="4"/>
  <c r="P211" i="8"/>
  <c r="P1547" i="6"/>
  <c r="U14" i="37"/>
  <c r="P1043" i="6"/>
  <c r="P1061" i="6"/>
  <c r="Y107" i="11"/>
  <c r="Z107" i="11" s="1"/>
  <c r="P1039" i="6"/>
  <c r="P1059" i="6"/>
  <c r="N71" i="34"/>
  <c r="P1325" i="6"/>
  <c r="P1044" i="6"/>
  <c r="M128" i="9"/>
  <c r="BD128" i="9"/>
  <c r="BE128" i="9" s="1"/>
  <c r="X185" i="10"/>
  <c r="Y185" i="10" s="1"/>
  <c r="X108" i="11" s="1"/>
  <c r="Y108" i="11" s="1"/>
  <c r="Z108" i="11" s="1"/>
  <c r="P1060" i="6"/>
  <c r="M129" i="9"/>
  <c r="X186" i="10"/>
  <c r="Y186" i="10" s="1"/>
  <c r="X109" i="11" s="1"/>
  <c r="Y109" i="11" s="1"/>
  <c r="Z109" i="11" s="1"/>
  <c r="BD129" i="9"/>
  <c r="BE129" i="9" s="1"/>
  <c r="P1057" i="6"/>
  <c r="AZ127" i="9"/>
  <c r="AY143" i="9"/>
  <c r="P1042" i="6"/>
  <c r="P1048" i="6"/>
  <c r="R11" i="1"/>
  <c r="R10" i="1"/>
  <c r="W85" i="11"/>
  <c r="Z3" i="11"/>
  <c r="AA85" i="11"/>
  <c r="AD3" i="11"/>
  <c r="AN3" i="11"/>
  <c r="AN85" i="11" s="1"/>
  <c r="AK85" i="11"/>
  <c r="AJ131" i="9"/>
  <c r="AK131" i="9" s="1"/>
  <c r="L188" i="10"/>
  <c r="CV131" i="9"/>
  <c r="H143" i="9"/>
  <c r="J1082" i="6" s="1"/>
  <c r="J289" i="6" s="1"/>
  <c r="J65" i="6" s="1"/>
  <c r="H69" i="3" s="1"/>
  <c r="M28" i="12"/>
  <c r="CD121" i="9"/>
  <c r="AP21" i="42"/>
  <c r="M85" i="15" s="1"/>
  <c r="H522" i="34"/>
  <c r="H472" i="34"/>
  <c r="G294" i="34"/>
  <c r="G526" i="34" s="1"/>
  <c r="G558" i="34"/>
  <c r="H496" i="34"/>
  <c r="H383" i="34"/>
  <c r="C19" i="8"/>
  <c r="C23" i="8" s="1"/>
  <c r="H2055" i="6"/>
  <c r="C63" i="3"/>
  <c r="C64" i="3" s="1"/>
  <c r="H33" i="7"/>
  <c r="I33" i="7" s="1"/>
  <c r="O82" i="7"/>
  <c r="E202" i="34"/>
  <c r="E819" i="34" s="1"/>
  <c r="C263" i="3" s="1"/>
  <c r="M145" i="40"/>
  <c r="N126" i="40"/>
  <c r="AF98" i="10" s="1"/>
  <c r="O125" i="40"/>
  <c r="O951" i="7"/>
  <c r="O370" i="7" s="1"/>
  <c r="L77" i="13"/>
  <c r="K162" i="4"/>
  <c r="O122" i="4"/>
  <c r="N109" i="4"/>
  <c r="O442" i="4"/>
  <c r="D35" i="6"/>
  <c r="D51" i="6" s="1"/>
  <c r="D56" i="6" s="1"/>
  <c r="J141" i="4"/>
  <c r="D44" i="6"/>
  <c r="J7" i="10"/>
  <c r="G102" i="3" s="1"/>
  <c r="H417" i="4"/>
  <c r="H90" i="4" s="1"/>
  <c r="H41" i="4" s="1"/>
  <c r="F107" i="13"/>
  <c r="F64" i="13" s="1"/>
  <c r="F121" i="13" s="1"/>
  <c r="H11" i="12"/>
  <c r="H84" i="3" s="1"/>
  <c r="J107" i="48"/>
  <c r="L198" i="48" s="1"/>
  <c r="K12" i="48"/>
  <c r="M76" i="4"/>
  <c r="U47" i="42"/>
  <c r="F47" i="42" s="1"/>
  <c r="J39" i="15"/>
  <c r="CK33" i="9"/>
  <c r="CX33" i="9"/>
  <c r="J153" i="14"/>
  <c r="C146" i="3"/>
  <c r="C198" i="15"/>
  <c r="C144" i="3"/>
  <c r="I45" i="42"/>
  <c r="U24" i="26"/>
  <c r="V24" i="26"/>
  <c r="D91" i="15"/>
  <c r="D240" i="3" s="1"/>
  <c r="D89" i="15"/>
  <c r="F325" i="34"/>
  <c r="D19" i="15"/>
  <c r="G81" i="15"/>
  <c r="D122" i="15"/>
  <c r="D241" i="3" s="1"/>
  <c r="D120" i="15"/>
  <c r="F339" i="34"/>
  <c r="G112" i="15"/>
  <c r="E459" i="34"/>
  <c r="E460" i="34" s="1"/>
  <c r="E157" i="34"/>
  <c r="E158" i="34" s="1"/>
  <c r="E161" i="34" s="1"/>
  <c r="E163" i="34" s="1"/>
  <c r="E412" i="34"/>
  <c r="J28" i="8"/>
  <c r="H32" i="3"/>
  <c r="K50" i="20"/>
  <c r="L50" i="20" s="1"/>
  <c r="M50" i="20" s="1"/>
  <c r="J102" i="20"/>
  <c r="H203" i="3" s="1"/>
  <c r="J100" i="20"/>
  <c r="E564" i="34"/>
  <c r="E506" i="34"/>
  <c r="E411" i="34"/>
  <c r="E33" i="34"/>
  <c r="E34" i="34" s="1"/>
  <c r="E37" i="34" s="1"/>
  <c r="E39" i="34" s="1"/>
  <c r="H68" i="17"/>
  <c r="AZ50" i="42"/>
  <c r="H504" i="34" s="1"/>
  <c r="H112" i="17"/>
  <c r="H113" i="17" s="1"/>
  <c r="H174" i="3"/>
  <c r="H175" i="3" s="1"/>
  <c r="H310" i="15"/>
  <c r="G148" i="34" s="1"/>
  <c r="H33" i="3"/>
  <c r="Q149" i="22"/>
  <c r="Q36" i="17"/>
  <c r="R148" i="22"/>
  <c r="R156" i="22" s="1"/>
  <c r="CR29" i="21"/>
  <c r="CA33" i="21"/>
  <c r="CN33" i="21"/>
  <c r="BO3" i="21"/>
  <c r="BL3" i="22"/>
  <c r="BL92" i="22" s="1"/>
  <c r="BL142" i="22" s="1"/>
  <c r="R146" i="22" s="1"/>
  <c r="AB22" i="20"/>
  <c r="BF44" i="42"/>
  <c r="N305" i="15"/>
  <c r="N309" i="15" s="1"/>
  <c r="N120" i="17"/>
  <c r="BP3" i="21"/>
  <c r="BM3" i="22"/>
  <c r="BM92" i="22" s="1"/>
  <c r="BM142" i="22" s="1"/>
  <c r="O67" i="17"/>
  <c r="P147" i="22"/>
  <c r="P148" i="22"/>
  <c r="P156" i="22" s="1"/>
  <c r="O36" i="17"/>
  <c r="O146" i="22"/>
  <c r="P539" i="8"/>
  <c r="P158" i="8" s="1"/>
  <c r="P31" i="8" s="1"/>
  <c r="G50" i="19"/>
  <c r="G105" i="19" s="1"/>
  <c r="G103" i="19"/>
  <c r="BG3" i="22"/>
  <c r="BG92" i="22" s="1"/>
  <c r="BG142" i="22" s="1"/>
  <c r="BJ3" i="21"/>
  <c r="BD62" i="9"/>
  <c r="BD64" i="9" s="1"/>
  <c r="X133" i="10" s="1"/>
  <c r="N1117" i="7" s="1"/>
  <c r="N432" i="7" s="1"/>
  <c r="G308" i="15"/>
  <c r="L64" i="9"/>
  <c r="N1119" i="7" s="1"/>
  <c r="N434" i="7" s="1"/>
  <c r="G63" i="3"/>
  <c r="BO118" i="9"/>
  <c r="BR88" i="9"/>
  <c r="CB3" i="9"/>
  <c r="CB88" i="9" s="1"/>
  <c r="CC174" i="9"/>
  <c r="Q86" i="6"/>
  <c r="Q729" i="6"/>
  <c r="Q734" i="6" s="1"/>
  <c r="Q2037" i="6"/>
  <c r="A53" i="15"/>
  <c r="A22" i="15" s="1"/>
  <c r="N618" i="34"/>
  <c r="O618" i="34" s="1"/>
  <c r="P618" i="34"/>
  <c r="P751" i="4"/>
  <c r="P1104" i="6"/>
  <c r="P1193" i="6"/>
  <c r="P191" i="8"/>
  <c r="P440" i="4"/>
  <c r="P506" i="4"/>
  <c r="N578" i="4"/>
  <c r="M137" i="4"/>
  <c r="N1041" i="7"/>
  <c r="M397" i="7"/>
  <c r="N1038" i="7"/>
  <c r="M387" i="7"/>
  <c r="R1027" i="7"/>
  <c r="S1027" i="7" s="1"/>
  <c r="Q394" i="7"/>
  <c r="O782" i="34"/>
  <c r="N1039" i="7"/>
  <c r="M388" i="7"/>
  <c r="I178" i="3"/>
  <c r="BA19" i="42"/>
  <c r="P2004" i="6"/>
  <c r="P978" i="7"/>
  <c r="P1557" i="6"/>
  <c r="P1807" i="6"/>
  <c r="P1093" i="7"/>
  <c r="P931" i="7"/>
  <c r="P564" i="4"/>
  <c r="P486" i="7"/>
  <c r="P816" i="4"/>
  <c r="P364" i="8"/>
  <c r="P844" i="6"/>
  <c r="N638" i="34"/>
  <c r="P226" i="5"/>
  <c r="P630" i="7"/>
  <c r="P1420" i="6"/>
  <c r="P1080" i="7"/>
  <c r="P498" i="8"/>
  <c r="P492" i="4"/>
  <c r="P1726" i="6"/>
  <c r="N49" i="34"/>
  <c r="P1094" i="6"/>
  <c r="P722" i="4"/>
  <c r="P423" i="8"/>
  <c r="P857" i="6"/>
  <c r="P491" i="8"/>
  <c r="P1109" i="6"/>
  <c r="P924" i="6"/>
  <c r="P802" i="7"/>
  <c r="N287" i="3"/>
  <c r="N297" i="3" s="1"/>
  <c r="P69" i="1"/>
  <c r="R1026" i="7"/>
  <c r="Q393" i="7"/>
  <c r="L64" i="20"/>
  <c r="R1035" i="7"/>
  <c r="S1035" i="7" s="1"/>
  <c r="I179" i="3"/>
  <c r="N1021" i="7"/>
  <c r="M384" i="7"/>
  <c r="N72" i="1"/>
  <c r="M75" i="1"/>
  <c r="K536" i="8"/>
  <c r="R21" i="20"/>
  <c r="R23" i="20" s="1"/>
  <c r="P495" i="4"/>
  <c r="P690" i="4"/>
  <c r="P752" i="4"/>
  <c r="P474" i="4"/>
  <c r="P357" i="4"/>
  <c r="P629" i="4"/>
  <c r="P977" i="6"/>
  <c r="P1907" i="6"/>
  <c r="P187" i="8"/>
  <c r="P772" i="7"/>
  <c r="P843" i="6"/>
  <c r="P388" i="4"/>
  <c r="P901" i="7"/>
  <c r="P818" i="4"/>
  <c r="P477" i="7"/>
  <c r="P240" i="8"/>
  <c r="N147" i="34"/>
  <c r="P912" i="6"/>
  <c r="Q912" i="6" s="1"/>
  <c r="P370" i="5"/>
  <c r="P316" i="8"/>
  <c r="P251" i="5"/>
  <c r="P278" i="8"/>
  <c r="P281" i="8"/>
  <c r="P322" i="4"/>
  <c r="P888" i="6"/>
  <c r="I173" i="3"/>
  <c r="I202" i="3"/>
  <c r="L97" i="1"/>
  <c r="M90" i="1"/>
  <c r="P1821" i="6"/>
  <c r="Q1821" i="6" s="1"/>
  <c r="O638" i="6"/>
  <c r="P212" i="8"/>
  <c r="P1053" i="7"/>
  <c r="P441" i="8"/>
  <c r="P5" i="1"/>
  <c r="O131" i="34" s="1"/>
  <c r="N662" i="34"/>
  <c r="N663" i="34" s="1"/>
  <c r="P645" i="4"/>
  <c r="P186" i="8"/>
  <c r="P745" i="7"/>
  <c r="Q745" i="7" s="1"/>
  <c r="P1805" i="6"/>
  <c r="Q1805" i="6" s="1"/>
  <c r="P2012" i="6"/>
  <c r="Q2012" i="6" s="1"/>
  <c r="P1999" i="6"/>
  <c r="Q1999" i="6" s="1"/>
  <c r="P631" i="7"/>
  <c r="Q631" i="7" s="1"/>
  <c r="P832" i="6"/>
  <c r="Q832" i="6" s="1"/>
  <c r="P894" i="7"/>
  <c r="P962" i="7"/>
  <c r="P895" i="6"/>
  <c r="Q895" i="6" s="1"/>
  <c r="P1310" i="6"/>
  <c r="Q1310" i="6" s="1"/>
  <c r="P1165" i="6"/>
  <c r="Q1165" i="6" s="1"/>
  <c r="P377" i="5"/>
  <c r="Q377" i="5" s="1"/>
  <c r="P1872" i="6"/>
  <c r="Q1872" i="6" s="1"/>
  <c r="P878" i="7"/>
  <c r="P1826" i="6"/>
  <c r="Q1826" i="6" s="1"/>
  <c r="P513" i="8"/>
  <c r="Q513" i="8" s="1"/>
  <c r="P2022" i="6"/>
  <c r="Q2022" i="6" s="1"/>
  <c r="P1286" i="6"/>
  <c r="Q1286" i="6" s="1"/>
  <c r="P1133" i="6"/>
  <c r="Q1133" i="6" s="1"/>
  <c r="P1091" i="6"/>
  <c r="Q1091" i="6" s="1"/>
  <c r="P280" i="8"/>
  <c r="Q280" i="8" s="1"/>
  <c r="P511" i="4"/>
  <c r="O79" i="8"/>
  <c r="O337" i="8"/>
  <c r="M27" i="16"/>
  <c r="M12" i="16" s="1"/>
  <c r="M247" i="15" s="1"/>
  <c r="M269" i="15" s="1"/>
  <c r="P331" i="8"/>
  <c r="P499" i="4"/>
  <c r="P508" i="4"/>
  <c r="Q508" i="4" s="1"/>
  <c r="P641" i="4"/>
  <c r="Q641" i="4" s="1"/>
  <c r="P1880" i="6"/>
  <c r="Q1880" i="6" s="1"/>
  <c r="P436" i="8"/>
  <c r="P386" i="4"/>
  <c r="Q386" i="4" s="1"/>
  <c r="P432" i="4"/>
  <c r="Q432" i="4" s="1"/>
  <c r="P793" i="6"/>
  <c r="Q793" i="6" s="1"/>
  <c r="P974" i="7"/>
  <c r="P817" i="4"/>
  <c r="Q817" i="4" s="1"/>
  <c r="P565" i="4"/>
  <c r="Q565" i="4" s="1"/>
  <c r="P821" i="4"/>
  <c r="P563" i="4"/>
  <c r="P1100" i="6"/>
  <c r="Q1100" i="6" s="1"/>
  <c r="P607" i="7"/>
  <c r="Q607" i="7" s="1"/>
  <c r="P519" i="4"/>
  <c r="P419" i="8"/>
  <c r="P974" i="6"/>
  <c r="Q974" i="6" s="1"/>
  <c r="N162" i="34"/>
  <c r="P744" i="7"/>
  <c r="P898" i="6"/>
  <c r="Q898" i="6" s="1"/>
  <c r="U18" i="37"/>
  <c r="V18" i="37" s="1"/>
  <c r="P293" i="5"/>
  <c r="Q293" i="5" s="1"/>
  <c r="P415" i="5"/>
  <c r="P1126" i="6"/>
  <c r="Q1126" i="6" s="1"/>
  <c r="O130" i="1"/>
  <c r="P130" i="1" s="1"/>
  <c r="P290" i="5"/>
  <c r="Q290" i="5" s="1"/>
  <c r="P453" i="7"/>
  <c r="P829" i="6"/>
  <c r="Q829" i="6" s="1"/>
  <c r="P452" i="4"/>
  <c r="Q452" i="4" s="1"/>
  <c r="P1353" i="6"/>
  <c r="Q1353" i="6" s="1"/>
  <c r="P303" i="5"/>
  <c r="P216" i="8"/>
  <c r="N644" i="34"/>
  <c r="P387" i="4"/>
  <c r="Q387" i="4" s="1"/>
  <c r="P1171" i="6"/>
  <c r="Q1171" i="6" s="1"/>
  <c r="P426" i="8"/>
  <c r="U15" i="37"/>
  <c r="V15" i="37" s="1"/>
  <c r="P485" i="7"/>
  <c r="Q485" i="7" s="1"/>
  <c r="P1340" i="6"/>
  <c r="Q1340" i="6" s="1"/>
  <c r="P903" i="6"/>
  <c r="Q903" i="6" s="1"/>
  <c r="O145" i="6"/>
  <c r="O410" i="6"/>
  <c r="P1296" i="6"/>
  <c r="Q1296" i="6" s="1"/>
  <c r="P480" i="4"/>
  <c r="P367" i="4"/>
  <c r="P889" i="6"/>
  <c r="Q889" i="6" s="1"/>
  <c r="P433" i="5"/>
  <c r="P343" i="5"/>
  <c r="P470" i="7"/>
  <c r="Q470" i="7" s="1"/>
  <c r="P521" i="7"/>
  <c r="O98" i="7"/>
  <c r="P1251" i="6"/>
  <c r="Q1251" i="6" s="1"/>
  <c r="P856" i="7"/>
  <c r="Q856" i="7" s="1"/>
  <c r="P1937" i="6"/>
  <c r="Q1937" i="6" s="1"/>
  <c r="P443" i="4"/>
  <c r="P1195" i="6"/>
  <c r="Q1195" i="6" s="1"/>
  <c r="P437" i="5"/>
  <c r="Q437" i="5" s="1"/>
  <c r="N133" i="34"/>
  <c r="P470" i="8"/>
  <c r="P644" i="4"/>
  <c r="M122" i="9"/>
  <c r="N122" i="9" s="1"/>
  <c r="P1069" i="7"/>
  <c r="Q1069" i="7" s="1"/>
  <c r="P819" i="4"/>
  <c r="P451" i="8"/>
  <c r="O402" i="8"/>
  <c r="L86" i="17"/>
  <c r="N120" i="8"/>
  <c r="U73" i="37"/>
  <c r="P16" i="27"/>
  <c r="Q16" i="27" s="1"/>
  <c r="P842" i="6"/>
  <c r="Q842" i="6" s="1"/>
  <c r="P755" i="7"/>
  <c r="P1838" i="6"/>
  <c r="Q1838" i="6" s="1"/>
  <c r="P13" i="27"/>
  <c r="Q13" i="27" s="1"/>
  <c r="P1065" i="7"/>
  <c r="Q1065" i="7" s="1"/>
  <c r="P422" i="8"/>
  <c r="P1086" i="7"/>
  <c r="P805" i="7"/>
  <c r="Q805" i="7" s="1"/>
  <c r="P1902" i="6"/>
  <c r="Q1902" i="6" s="1"/>
  <c r="P979" i="7"/>
  <c r="P569" i="4"/>
  <c r="U20" i="37"/>
  <c r="V20" i="37" s="1"/>
  <c r="P1626" i="6"/>
  <c r="Q1626" i="6" s="1"/>
  <c r="P976" i="6"/>
  <c r="Q976" i="6" s="1"/>
  <c r="P433" i="8"/>
  <c r="P352" i="4"/>
  <c r="Q352" i="4" s="1"/>
  <c r="P1800" i="6"/>
  <c r="Q1800" i="6" s="1"/>
  <c r="P916" i="6"/>
  <c r="Q916" i="6" s="1"/>
  <c r="P1496" i="6"/>
  <c r="Q1496" i="6" s="1"/>
  <c r="P1067" i="7"/>
  <c r="Q1067" i="7" s="1"/>
  <c r="P902" i="6"/>
  <c r="Q902" i="6" s="1"/>
  <c r="P777" i="7"/>
  <c r="P990" i="6"/>
  <c r="Q990" i="6" s="1"/>
  <c r="M408" i="34"/>
  <c r="P989" i="6"/>
  <c r="Q989" i="6" s="1"/>
  <c r="P1089" i="7"/>
  <c r="P510" i="7"/>
  <c r="Q510" i="7" s="1"/>
  <c r="U23" i="37"/>
  <c r="V23" i="37" s="1"/>
  <c r="P424" i="5"/>
  <c r="P232" i="5"/>
  <c r="P1091" i="7"/>
  <c r="Q1091" i="7" s="1"/>
  <c r="P771" i="7"/>
  <c r="Q771" i="7" s="1"/>
  <c r="P471" i="7"/>
  <c r="P1456" i="6"/>
  <c r="Q1456" i="6" s="1"/>
  <c r="P272" i="8"/>
  <c r="Q272" i="8" s="1"/>
  <c r="P724" i="4"/>
  <c r="Q724" i="4" s="1"/>
  <c r="P464" i="7"/>
  <c r="P39" i="27"/>
  <c r="N114" i="34"/>
  <c r="P233" i="8"/>
  <c r="Q233" i="8" s="1"/>
  <c r="P346" i="5"/>
  <c r="J298" i="3"/>
  <c r="J290" i="3"/>
  <c r="P778" i="6"/>
  <c r="Q778" i="6" s="1"/>
  <c r="P1134" i="6"/>
  <c r="Q1134" i="6" s="1"/>
  <c r="O325" i="6"/>
  <c r="P610" i="4"/>
  <c r="Q610" i="4" s="1"/>
  <c r="U75" i="37"/>
  <c r="V75" i="37" s="1"/>
  <c r="P507" i="7"/>
  <c r="O88" i="7"/>
  <c r="P985" i="7"/>
  <c r="Q985" i="7" s="1"/>
  <c r="N108" i="34"/>
  <c r="P1549" i="6"/>
  <c r="Q1549" i="6" s="1"/>
  <c r="P361" i="4"/>
  <c r="P67" i="4" s="1"/>
  <c r="P803" i="4"/>
  <c r="Q803" i="4" s="1"/>
  <c r="P791" i="7"/>
  <c r="Q791" i="7" s="1"/>
  <c r="P849" i="6"/>
  <c r="Q849" i="6" s="1"/>
  <c r="P1753" i="6"/>
  <c r="Q1753" i="6" s="1"/>
  <c r="P1610" i="6"/>
  <c r="Q1610" i="6" s="1"/>
  <c r="P626" i="4"/>
  <c r="Q626" i="4" s="1"/>
  <c r="P530" i="4"/>
  <c r="P1561" i="6"/>
  <c r="Q1561" i="6" s="1"/>
  <c r="P891" i="6"/>
  <c r="Q891" i="6" s="1"/>
  <c r="P516" i="8"/>
  <c r="Q516" i="8" s="1"/>
  <c r="P1182" i="6"/>
  <c r="Q1182" i="6" s="1"/>
  <c r="P385" i="4"/>
  <c r="P2026" i="6"/>
  <c r="Q2026" i="6" s="1"/>
  <c r="P1568" i="6"/>
  <c r="Q1568" i="6" s="1"/>
  <c r="P304" i="8"/>
  <c r="P406" i="4"/>
  <c r="P1455" i="6"/>
  <c r="Q1455" i="6" s="1"/>
  <c r="P1305" i="6"/>
  <c r="Q1305" i="6" s="1"/>
  <c r="P1315" i="6"/>
  <c r="Q1315" i="6" s="1"/>
  <c r="P377" i="8"/>
  <c r="P541" i="4"/>
  <c r="Q541" i="4" s="1"/>
  <c r="P1627" i="6"/>
  <c r="Q1627" i="6" s="1"/>
  <c r="P923" i="7"/>
  <c r="P1625" i="6"/>
  <c r="Q1625" i="6" s="1"/>
  <c r="P1413" i="6"/>
  <c r="Q1413" i="6" s="1"/>
  <c r="P1317" i="6"/>
  <c r="Q1317" i="6" s="1"/>
  <c r="P431" i="5"/>
  <c r="Q431" i="5" s="1"/>
  <c r="P980" i="6"/>
  <c r="Q980" i="6" s="1"/>
  <c r="N24" i="12"/>
  <c r="M62" i="12"/>
  <c r="P18" i="27"/>
  <c r="O380" i="5"/>
  <c r="N145" i="5"/>
  <c r="N142" i="5"/>
  <c r="P1433" i="6"/>
  <c r="Q1433" i="6" s="1"/>
  <c r="P1742" i="6"/>
  <c r="Q1742" i="6" s="1"/>
  <c r="P174" i="8"/>
  <c r="O182" i="8"/>
  <c r="O46" i="8" s="1"/>
  <c r="P227" i="5"/>
  <c r="P496" i="8"/>
  <c r="Q496" i="8" s="1"/>
  <c r="P44" i="27"/>
  <c r="Q44" i="27" s="1"/>
  <c r="P440" i="5"/>
  <c r="Q440" i="5" s="1"/>
  <c r="P793" i="4"/>
  <c r="P554" i="4"/>
  <c r="Q554" i="4" s="1"/>
  <c r="P1620" i="6"/>
  <c r="Q1620" i="6" s="1"/>
  <c r="P1809" i="6"/>
  <c r="Q1809" i="6" s="1"/>
  <c r="P780" i="6"/>
  <c r="Q780" i="6" s="1"/>
  <c r="P452" i="7"/>
  <c r="Q452" i="7" s="1"/>
  <c r="P931" i="6"/>
  <c r="Q931" i="6" s="1"/>
  <c r="P972" i="7"/>
  <c r="Q972" i="7" s="1"/>
  <c r="P526" i="4"/>
  <c r="P1894" i="6"/>
  <c r="Q1894" i="6" s="1"/>
  <c r="P930" i="7"/>
  <c r="Q930" i="7" s="1"/>
  <c r="P208" i="8"/>
  <c r="Q208" i="8" s="1"/>
  <c r="P896" i="7"/>
  <c r="P500" i="7"/>
  <c r="Q500" i="7" s="1"/>
  <c r="P853" i="6"/>
  <c r="Q853" i="6" s="1"/>
  <c r="P287" i="5"/>
  <c r="Q287" i="5" s="1"/>
  <c r="P1099" i="7"/>
  <c r="CY139" i="9"/>
  <c r="AZ139" i="9"/>
  <c r="P299" i="8"/>
  <c r="Q299" i="8" s="1"/>
  <c r="P671" i="7"/>
  <c r="Q671" i="7" s="1"/>
  <c r="P635" i="7"/>
  <c r="Q635" i="7" s="1"/>
  <c r="N106" i="34"/>
  <c r="M109" i="34"/>
  <c r="M444" i="34" s="1"/>
  <c r="M445" i="34" s="1"/>
  <c r="P921" i="6"/>
  <c r="Q921" i="6" s="1"/>
  <c r="O375" i="4"/>
  <c r="N75" i="4"/>
  <c r="P741" i="4"/>
  <c r="P1103" i="6"/>
  <c r="Q1103" i="6" s="1"/>
  <c r="P1630" i="6"/>
  <c r="Q1630" i="6" s="1"/>
  <c r="P981" i="7"/>
  <c r="Q981" i="7" s="1"/>
  <c r="P1563" i="6"/>
  <c r="Q1563" i="6" s="1"/>
  <c r="P1252" i="6"/>
  <c r="Q1252" i="6" s="1"/>
  <c r="P1253" i="6"/>
  <c r="Q1253" i="6" s="1"/>
  <c r="P376" i="4"/>
  <c r="Q376" i="4" s="1"/>
  <c r="N132" i="34"/>
  <c r="P1903" i="6"/>
  <c r="Q1903" i="6" s="1"/>
  <c r="P609" i="7"/>
  <c r="Q609" i="7" s="1"/>
  <c r="P1322" i="6"/>
  <c r="Q1322" i="6" s="1"/>
  <c r="P787" i="4"/>
  <c r="Q787" i="4" s="1"/>
  <c r="P1891" i="6"/>
  <c r="Q1891" i="6" s="1"/>
  <c r="P282" i="8"/>
  <c r="Q282" i="8" s="1"/>
  <c r="P1565" i="6"/>
  <c r="Q1565" i="6" s="1"/>
  <c r="P701" i="7"/>
  <c r="Q701" i="7" s="1"/>
  <c r="P317" i="8"/>
  <c r="Q317" i="8" s="1"/>
  <c r="P367" i="8"/>
  <c r="Q367" i="8" s="1"/>
  <c r="P503" i="7"/>
  <c r="Q503" i="7" s="1"/>
  <c r="P922" i="6"/>
  <c r="Q922" i="6" s="1"/>
  <c r="P897" i="6"/>
  <c r="Q897" i="6" s="1"/>
  <c r="P49" i="27"/>
  <c r="O54" i="27"/>
  <c r="P365" i="5"/>
  <c r="Q365" i="5" s="1"/>
  <c r="O1740" i="6"/>
  <c r="O334" i="4"/>
  <c r="P334" i="4" s="1"/>
  <c r="P1939" i="6"/>
  <c r="Q1939" i="6" s="1"/>
  <c r="P1681" i="6"/>
  <c r="Q1681" i="6" s="1"/>
  <c r="P1451" i="6"/>
  <c r="Q1451" i="6" s="1"/>
  <c r="P488" i="7"/>
  <c r="Q488" i="7" s="1"/>
  <c r="P1810" i="6"/>
  <c r="Q1810" i="6" s="1"/>
  <c r="P1551" i="6"/>
  <c r="Q1551" i="6" s="1"/>
  <c r="P918" i="7"/>
  <c r="Q918" i="7" s="1"/>
  <c r="P456" i="8"/>
  <c r="Q456" i="8" s="1"/>
  <c r="P1121" i="6"/>
  <c r="Q1121" i="6" s="1"/>
  <c r="P351" i="5"/>
  <c r="Q351" i="5" s="1"/>
  <c r="P1553" i="6"/>
  <c r="Q1553" i="6" s="1"/>
  <c r="P860" i="6"/>
  <c r="Q860" i="6" s="1"/>
  <c r="P786" i="4"/>
  <c r="Q786" i="4" s="1"/>
  <c r="P631" i="4"/>
  <c r="Q631" i="4" s="1"/>
  <c r="P1616" i="6"/>
  <c r="Q1616" i="6" s="1"/>
  <c r="P207" i="8"/>
  <c r="Q207" i="8" s="1"/>
  <c r="P404" i="8"/>
  <c r="Q404" i="8" s="1"/>
  <c r="P639" i="7"/>
  <c r="Q639" i="7" s="1"/>
  <c r="P249" i="8"/>
  <c r="Q249" i="8" s="1"/>
  <c r="P684" i="7"/>
  <c r="Q684" i="7" s="1"/>
  <c r="P784" i="4"/>
  <c r="Q784" i="4" s="1"/>
  <c r="P1690" i="6"/>
  <c r="Q1690" i="6" s="1"/>
  <c r="P883" i="7"/>
  <c r="Q883" i="7" s="1"/>
  <c r="P1901" i="6"/>
  <c r="Q1901" i="6" s="1"/>
  <c r="P827" i="4"/>
  <c r="Q827" i="4" s="1"/>
  <c r="P438" i="5"/>
  <c r="Q438" i="5" s="1"/>
  <c r="P1453" i="6"/>
  <c r="Q1453" i="6" s="1"/>
  <c r="P765" i="6"/>
  <c r="Q765" i="6" s="1"/>
  <c r="P1077" i="7"/>
  <c r="Q1077" i="7" s="1"/>
  <c r="N48" i="34"/>
  <c r="P390" i="4"/>
  <c r="Q390" i="4" s="1"/>
  <c r="P1098" i="7"/>
  <c r="Q1098" i="7" s="1"/>
  <c r="P756" i="7"/>
  <c r="Q756" i="7" s="1"/>
  <c r="P513" i="4"/>
  <c r="Q513" i="4" s="1"/>
  <c r="P757" i="4"/>
  <c r="Q757" i="4" s="1"/>
  <c r="P507" i="8"/>
  <c r="Q507" i="8" s="1"/>
  <c r="Q457" i="4"/>
  <c r="Q830" i="4"/>
  <c r="Q31" i="27"/>
  <c r="Q373" i="5"/>
  <c r="Q475" i="8"/>
  <c r="Q913" i="7"/>
  <c r="P438" i="4"/>
  <c r="O107" i="4"/>
  <c r="O160" i="4" s="1"/>
  <c r="Q766" i="7"/>
  <c r="O138" i="34"/>
  <c r="O403" i="8"/>
  <c r="L87" i="17"/>
  <c r="O50" i="34"/>
  <c r="Q389" i="4"/>
  <c r="K582" i="34"/>
  <c r="L606" i="34"/>
  <c r="Q476" i="7"/>
  <c r="Q30" i="27"/>
  <c r="Q387" i="8"/>
  <c r="Q188" i="8"/>
  <c r="Q504" i="4"/>
  <c r="P876" i="7"/>
  <c r="O339" i="7"/>
  <c r="Q877" i="7"/>
  <c r="N21" i="8"/>
  <c r="AO22" i="42"/>
  <c r="N85" i="8"/>
  <c r="Q929" i="7"/>
  <c r="Q690" i="4"/>
  <c r="Q211" i="8"/>
  <c r="Q931" i="7"/>
  <c r="Q564" i="4"/>
  <c r="P1102" i="6"/>
  <c r="Q1102" i="6" s="1"/>
  <c r="O302" i="6"/>
  <c r="Q977" i="7"/>
  <c r="Q435" i="4"/>
  <c r="Q187" i="8"/>
  <c r="Q388" i="4"/>
  <c r="Q901" i="7"/>
  <c r="O317" i="5"/>
  <c r="N97" i="5"/>
  <c r="P450" i="8"/>
  <c r="Q450" i="8" s="1"/>
  <c r="O421" i="45"/>
  <c r="Q240" i="8"/>
  <c r="O147" i="34"/>
  <c r="Q370" i="5"/>
  <c r="BE115" i="9"/>
  <c r="M115" i="9"/>
  <c r="Q316" i="8"/>
  <c r="Q251" i="5"/>
  <c r="Q491" i="8"/>
  <c r="Q278" i="8"/>
  <c r="Q281" i="8"/>
  <c r="Q303" i="8"/>
  <c r="Q569" i="7"/>
  <c r="Q735" i="4"/>
  <c r="Q506" i="4"/>
  <c r="O220" i="4"/>
  <c r="P726" i="4"/>
  <c r="N27" i="1"/>
  <c r="L289" i="3"/>
  <c r="L299" i="3" s="1"/>
  <c r="N41" i="55"/>
  <c r="N43" i="55" s="1"/>
  <c r="O40" i="55" s="1"/>
  <c r="N25" i="12"/>
  <c r="Q455" i="4"/>
  <c r="Q815" i="4"/>
  <c r="Q394" i="4"/>
  <c r="Q238" i="8"/>
  <c r="Q323" i="8"/>
  <c r="Q236" i="8"/>
  <c r="Q764" i="7"/>
  <c r="T63" i="37"/>
  <c r="T65" i="37" s="1"/>
  <c r="U63" i="37" s="1"/>
  <c r="U65" i="37" s="1"/>
  <c r="U72" i="37"/>
  <c r="V72" i="37" s="1"/>
  <c r="P38" i="27"/>
  <c r="Q38" i="27" s="1"/>
  <c r="P1125" i="6"/>
  <c r="Q1125" i="6" s="1"/>
  <c r="P1090" i="7"/>
  <c r="Q1090" i="7" s="1"/>
  <c r="N112" i="34"/>
  <c r="P439" i="8"/>
  <c r="Q439" i="8" s="1"/>
  <c r="P833" i="6"/>
  <c r="Q833" i="6" s="1"/>
  <c r="P514" i="4"/>
  <c r="Q514" i="4" s="1"/>
  <c r="P903" i="7"/>
  <c r="Q903" i="7" s="1"/>
  <c r="P672" i="7"/>
  <c r="Q672" i="7" s="1"/>
  <c r="P322" i="8"/>
  <c r="Q322" i="8" s="1"/>
  <c r="P489" i="7"/>
  <c r="Q489" i="7" s="1"/>
  <c r="P449" i="8"/>
  <c r="P1189" i="6"/>
  <c r="Q1189" i="6" s="1"/>
  <c r="P626" i="7"/>
  <c r="Q626" i="7" s="1"/>
  <c r="P1684" i="6"/>
  <c r="Q1684" i="6" s="1"/>
  <c r="P1289" i="6"/>
  <c r="Q1289" i="6" s="1"/>
  <c r="P636" i="4"/>
  <c r="Q636" i="4" s="1"/>
  <c r="P842" i="7"/>
  <c r="Q842" i="7" s="1"/>
  <c r="P1861" i="6"/>
  <c r="Q1861" i="6" s="1"/>
  <c r="P1830" i="6"/>
  <c r="Q1830" i="6" s="1"/>
  <c r="P627" i="4"/>
  <c r="Q627" i="4" s="1"/>
  <c r="P620" i="4"/>
  <c r="Q620" i="4" s="1"/>
  <c r="P533" i="4"/>
  <c r="Q533" i="4" s="1"/>
  <c r="P1683" i="6"/>
  <c r="Q1683" i="6" s="1"/>
  <c r="P1050" i="7"/>
  <c r="Q1050" i="7" s="1"/>
  <c r="P417" i="5"/>
  <c r="Q417" i="5" s="1"/>
  <c r="P32" i="27"/>
  <c r="Q32" i="27" s="1"/>
  <c r="P59" i="27"/>
  <c r="Q59" i="27" s="1"/>
  <c r="P299" i="5"/>
  <c r="Q299" i="5" s="1"/>
  <c r="P1454" i="6"/>
  <c r="Q1454" i="6" s="1"/>
  <c r="N149" i="34"/>
  <c r="P820" i="4"/>
  <c r="Q820" i="4" s="1"/>
  <c r="P923" i="6"/>
  <c r="Q923" i="6" s="1"/>
  <c r="P353" i="5"/>
  <c r="Q353" i="5" s="1"/>
  <c r="P41" i="27"/>
  <c r="Q41" i="27" s="1"/>
  <c r="P500" i="8"/>
  <c r="Q500" i="8" s="1"/>
  <c r="P758" i="6"/>
  <c r="Q758" i="6" s="1"/>
  <c r="BE114" i="9"/>
  <c r="M114" i="9"/>
  <c r="CZ114" i="9"/>
  <c r="P436" i="5"/>
  <c r="Q436" i="5" s="1"/>
  <c r="P812" i="4"/>
  <c r="Q812" i="4" s="1"/>
  <c r="P237" i="8"/>
  <c r="Q237" i="8" s="1"/>
  <c r="P748" i="4"/>
  <c r="Q748" i="4" s="1"/>
  <c r="BP118" i="9"/>
  <c r="O40" i="40"/>
  <c r="P40" i="40" s="1"/>
  <c r="N121" i="34"/>
  <c r="M413" i="34"/>
  <c r="P1092" i="7"/>
  <c r="Q1092" i="7" s="1"/>
  <c r="P1364" i="6"/>
  <c r="Q1364" i="6" s="1"/>
  <c r="M100" i="9"/>
  <c r="BE100" i="9"/>
  <c r="O526" i="7"/>
  <c r="N103" i="7"/>
  <c r="P273" i="8"/>
  <c r="Q273" i="8" s="1"/>
  <c r="P302" i="5"/>
  <c r="Q302" i="5" s="1"/>
  <c r="P694" i="7"/>
  <c r="Q694" i="7" s="1"/>
  <c r="O131" i="1"/>
  <c r="P131" i="1" s="1"/>
  <c r="P1839" i="6"/>
  <c r="Q1839" i="6" s="1"/>
  <c r="P536" i="4"/>
  <c r="Q536" i="4" s="1"/>
  <c r="P1889" i="6"/>
  <c r="Q1889" i="6" s="1"/>
  <c r="P915" i="7"/>
  <c r="Q915" i="7" s="1"/>
  <c r="P806" i="4"/>
  <c r="Q806" i="4" s="1"/>
  <c r="P472" i="4"/>
  <c r="Q472" i="4" s="1"/>
  <c r="P767" i="7"/>
  <c r="Q767" i="7" s="1"/>
  <c r="P1948" i="6"/>
  <c r="Q1948" i="6" s="1"/>
  <c r="P983" i="7"/>
  <c r="Q983" i="7" s="1"/>
  <c r="P928" i="7"/>
  <c r="Q928" i="7" s="1"/>
  <c r="P309" i="8"/>
  <c r="Q309" i="8" s="1"/>
  <c r="P528" i="4"/>
  <c r="Q528" i="4" s="1"/>
  <c r="P291" i="5"/>
  <c r="Q291" i="5" s="1"/>
  <c r="P917" i="7"/>
  <c r="Q917" i="7" s="1"/>
  <c r="P639" i="4"/>
  <c r="Q639" i="4" s="1"/>
  <c r="P231" i="5"/>
  <c r="Q231" i="5" s="1"/>
  <c r="P1827" i="6"/>
  <c r="Q1827" i="6" s="1"/>
  <c r="P914" i="7"/>
  <c r="Q914" i="7" s="1"/>
  <c r="P794" i="4"/>
  <c r="Q794" i="4" s="1"/>
  <c r="P1445" i="6"/>
  <c r="Q1445" i="6" s="1"/>
  <c r="P464" i="8"/>
  <c r="O127" i="8"/>
  <c r="P1452" i="6"/>
  <c r="Q1452" i="6" s="1"/>
  <c r="P501" i="8"/>
  <c r="Q501" i="8" s="1"/>
  <c r="P1817" i="6"/>
  <c r="Q1817" i="6" s="1"/>
  <c r="P1905" i="6"/>
  <c r="Q1905" i="6" s="1"/>
  <c r="P1820" i="6"/>
  <c r="Q1820" i="6" s="1"/>
  <c r="P1829" i="6"/>
  <c r="Q1829" i="6" s="1"/>
  <c r="P910" i="6"/>
  <c r="Q910" i="6" s="1"/>
  <c r="P646" i="4"/>
  <c r="P12" i="27"/>
  <c r="Q12" i="27" s="1"/>
  <c r="N739" i="34"/>
  <c r="L63" i="12"/>
  <c r="N1080" i="6" s="1"/>
  <c r="N287" i="6" s="1"/>
  <c r="BB139" i="9"/>
  <c r="BB143" i="9" s="1"/>
  <c r="L139" i="9"/>
  <c r="P1338" i="6"/>
  <c r="Q1338" i="6" s="1"/>
  <c r="P399" i="8"/>
  <c r="Q399" i="8" s="1"/>
  <c r="P453" i="8"/>
  <c r="Q453" i="8" s="1"/>
  <c r="P1360" i="6"/>
  <c r="Q1360" i="6" s="1"/>
  <c r="AO11" i="42"/>
  <c r="L74" i="15" s="1"/>
  <c r="L381" i="34"/>
  <c r="P425" i="5"/>
  <c r="Q425" i="5" s="1"/>
  <c r="P727" i="4"/>
  <c r="Q727" i="4" s="1"/>
  <c r="P733" i="7"/>
  <c r="Q733" i="7" s="1"/>
  <c r="P407" i="5"/>
  <c r="Q407" i="5" s="1"/>
  <c r="P1900" i="6"/>
  <c r="Q1900" i="6" s="1"/>
  <c r="P515" i="8"/>
  <c r="Q515" i="8" s="1"/>
  <c r="P788" i="4"/>
  <c r="Q788" i="4" s="1"/>
  <c r="P687" i="4"/>
  <c r="Q687" i="4" s="1"/>
  <c r="P1725" i="6"/>
  <c r="Q1725" i="6" s="1"/>
  <c r="P241" i="8"/>
  <c r="Q241" i="8" s="1"/>
  <c r="P254" i="5"/>
  <c r="Q254" i="5" s="1"/>
  <c r="P434" i="8"/>
  <c r="Q434" i="8" s="1"/>
  <c r="P1559" i="6"/>
  <c r="Q1559" i="6" s="1"/>
  <c r="P1410" i="6"/>
  <c r="Q1410" i="6" s="1"/>
  <c r="P621" i="4"/>
  <c r="Q621" i="4" s="1"/>
  <c r="P1255" i="6"/>
  <c r="Q1255" i="6" s="1"/>
  <c r="P1806" i="6"/>
  <c r="Q1806" i="6" s="1"/>
  <c r="P1122" i="6"/>
  <c r="Q1122" i="6" s="1"/>
  <c r="P397" i="8"/>
  <c r="Q397" i="8" s="1"/>
  <c r="P209" i="8"/>
  <c r="Q209" i="8" s="1"/>
  <c r="P428" i="5"/>
  <c r="Q428" i="5" s="1"/>
  <c r="P490" i="8"/>
  <c r="Q490" i="8" s="1"/>
  <c r="P1899" i="6"/>
  <c r="Q1899" i="6" s="1"/>
  <c r="P1194" i="6"/>
  <c r="Q1194" i="6" s="1"/>
  <c r="P429" i="5"/>
  <c r="Q429" i="5" s="1"/>
  <c r="P471" i="8"/>
  <c r="Q471" i="8" s="1"/>
  <c r="P279" i="8"/>
  <c r="Q279" i="8" s="1"/>
  <c r="P509" i="7"/>
  <c r="Q509" i="7" s="1"/>
  <c r="P826" i="4"/>
  <c r="Q826" i="4" s="1"/>
  <c r="P790" i="7"/>
  <c r="Q790" i="7" s="1"/>
  <c r="P1548" i="6"/>
  <c r="Q1548" i="6" s="1"/>
  <c r="P1906" i="6"/>
  <c r="Q1906" i="6" s="1"/>
  <c r="P417" i="8"/>
  <c r="Q417" i="8" s="1"/>
  <c r="P915" i="6"/>
  <c r="Q915" i="6" s="1"/>
  <c r="P757" i="7"/>
  <c r="Q757" i="7" s="1"/>
  <c r="P1602" i="6"/>
  <c r="Q1602" i="6" s="1"/>
  <c r="P608" i="4"/>
  <c r="Q608" i="4" s="1"/>
  <c r="P1494" i="6"/>
  <c r="Q1494" i="6" s="1"/>
  <c r="P508" i="8"/>
  <c r="Q508" i="8" s="1"/>
  <c r="P893" i="7"/>
  <c r="Q893" i="7" s="1"/>
  <c r="P680" i="4"/>
  <c r="Q680" i="4" s="1"/>
  <c r="P349" i="5"/>
  <c r="Q349" i="5" s="1"/>
  <c r="P1071" i="7"/>
  <c r="Q1071" i="7" s="1"/>
  <c r="P609" i="4"/>
  <c r="Q609" i="4" s="1"/>
  <c r="O128" i="1"/>
  <c r="P128" i="1" s="1"/>
  <c r="P1394" i="6"/>
  <c r="Q1394" i="6" s="1"/>
  <c r="P1185" i="6"/>
  <c r="Q1185" i="6" s="1"/>
  <c r="P1248" i="6"/>
  <c r="Q1248" i="6" s="1"/>
  <c r="N177" i="8"/>
  <c r="M44" i="8"/>
  <c r="AN8" i="42" s="1"/>
  <c r="K71" i="15" s="1"/>
  <c r="P1254" i="6"/>
  <c r="Q1254" i="6" s="1"/>
  <c r="O527" i="7"/>
  <c r="N104" i="7"/>
  <c r="P439" i="4"/>
  <c r="Q439" i="4" s="1"/>
  <c r="P283" i="5"/>
  <c r="Q283" i="5" s="1"/>
  <c r="P628" i="4"/>
  <c r="Q628" i="4" s="1"/>
  <c r="P1890" i="6"/>
  <c r="Q1890" i="6" s="1"/>
  <c r="P794" i="6"/>
  <c r="Q794" i="6" s="1"/>
  <c r="P451" i="7"/>
  <c r="Q451" i="7" s="1"/>
  <c r="P396" i="4"/>
  <c r="Q396" i="4" s="1"/>
  <c r="P1859" i="6"/>
  <c r="Q1859" i="6" s="1"/>
  <c r="P1497" i="6"/>
  <c r="Q1497" i="6" s="1"/>
  <c r="P1613" i="6"/>
  <c r="Q1613" i="6" s="1"/>
  <c r="N155" i="34"/>
  <c r="P695" i="7"/>
  <c r="Q695" i="7" s="1"/>
  <c r="P1935" i="6"/>
  <c r="Q1935" i="6" s="1"/>
  <c r="P571" i="7"/>
  <c r="Q571" i="7" s="1"/>
  <c r="P1558" i="6"/>
  <c r="Q1558" i="6" s="1"/>
  <c r="P613" i="4"/>
  <c r="Q613" i="4" s="1"/>
  <c r="P366" i="4"/>
  <c r="P1354" i="6"/>
  <c r="Q1354" i="6" s="1"/>
  <c r="P344" i="5"/>
  <c r="Q344" i="5" s="1"/>
  <c r="P914" i="6"/>
  <c r="Q914" i="6" s="1"/>
  <c r="P982" i="7"/>
  <c r="Q982" i="7" s="1"/>
  <c r="P537" i="4"/>
  <c r="Q537" i="4" s="1"/>
  <c r="P1680" i="6"/>
  <c r="Q1680" i="6" s="1"/>
  <c r="P1804" i="6"/>
  <c r="Q1804" i="6" s="1"/>
  <c r="P970" i="7"/>
  <c r="Q970" i="7" s="1"/>
  <c r="P1313" i="6"/>
  <c r="Q1313" i="6" s="1"/>
  <c r="P778" i="7"/>
  <c r="Q778" i="7" s="1"/>
  <c r="P846" i="6"/>
  <c r="Q846" i="6" s="1"/>
  <c r="P755" i="6"/>
  <c r="Q755" i="6" s="1"/>
  <c r="P521" i="4"/>
  <c r="Q521" i="4" s="1"/>
  <c r="P421" i="8"/>
  <c r="Q421" i="8" s="1"/>
  <c r="P430" i="8"/>
  <c r="Q430" i="8" s="1"/>
  <c r="P855" i="6"/>
  <c r="Q855" i="6" s="1"/>
  <c r="P271" i="8"/>
  <c r="Q271" i="8" s="1"/>
  <c r="P733" i="4"/>
  <c r="Q733" i="4" s="1"/>
  <c r="P777" i="6"/>
  <c r="Q777" i="6" s="1"/>
  <c r="O247" i="5"/>
  <c r="O60" i="5" s="1"/>
  <c r="P775" i="6"/>
  <c r="Q775" i="6" s="1"/>
  <c r="Q91" i="6" s="1"/>
  <c r="Q522" i="4"/>
  <c r="Q743" i="7"/>
  <c r="Q274" i="8"/>
  <c r="Q45" i="27"/>
  <c r="Q752" i="7"/>
  <c r="Q328" i="4"/>
  <c r="V19" i="37"/>
  <c r="Q354" i="5"/>
  <c r="Q8" i="27"/>
  <c r="Q441" i="5"/>
  <c r="Q689" i="7"/>
  <c r="N210" i="9"/>
  <c r="P6" i="1"/>
  <c r="V21" i="37"/>
  <c r="Q25" i="27"/>
  <c r="Q312" i="8"/>
  <c r="Q628" i="7"/>
  <c r="Q34" i="27"/>
  <c r="O139" i="34"/>
  <c r="Q799" i="7"/>
  <c r="Q645" i="4"/>
  <c r="Q792" i="4"/>
  <c r="Q468" i="8"/>
  <c r="P246" i="5"/>
  <c r="Q246" i="5" s="1"/>
  <c r="P230" i="5"/>
  <c r="Q230" i="5" s="1"/>
  <c r="P2003" i="6"/>
  <c r="Q2003" i="6" s="1"/>
  <c r="P845" i="7"/>
  <c r="Q845" i="7" s="1"/>
  <c r="P365" i="8"/>
  <c r="Q365" i="8" s="1"/>
  <c r="P484" i="7"/>
  <c r="Q484" i="7" s="1"/>
  <c r="P1687" i="6"/>
  <c r="Q1687" i="6" s="1"/>
  <c r="P1049" i="7"/>
  <c r="Q1049" i="7" s="1"/>
  <c r="P248" i="8"/>
  <c r="Q248" i="8" s="1"/>
  <c r="P295" i="5"/>
  <c r="Q295" i="5" s="1"/>
  <c r="N743" i="34"/>
  <c r="P988" i="6"/>
  <c r="Q988" i="6" s="1"/>
  <c r="P489" i="8"/>
  <c r="Q489" i="8" s="1"/>
  <c r="P190" i="8"/>
  <c r="Q190" i="8" s="1"/>
  <c r="P451" i="4"/>
  <c r="Q451" i="4" s="1"/>
  <c r="P751" i="7"/>
  <c r="Q751" i="7" s="1"/>
  <c r="P1355" i="6"/>
  <c r="Q1355" i="6" s="1"/>
  <c r="N705" i="34"/>
  <c r="N747" i="34"/>
  <c r="M751" i="34"/>
  <c r="P1183" i="6"/>
  <c r="Q1183" i="6" s="1"/>
  <c r="P1341" i="6"/>
  <c r="Q1341" i="6" s="1"/>
  <c r="P374" i="5"/>
  <c r="Q374" i="5" s="1"/>
  <c r="P29" i="27"/>
  <c r="Q29" i="27" s="1"/>
  <c r="P1618" i="6"/>
  <c r="Q1618" i="6" s="1"/>
  <c r="P508" i="7"/>
  <c r="Q508" i="7" s="1"/>
  <c r="P1097" i="7"/>
  <c r="Q1097" i="7" s="1"/>
  <c r="P502" i="8"/>
  <c r="Q502" i="8" s="1"/>
  <c r="P469" i="8"/>
  <c r="Q469" i="8" s="1"/>
  <c r="P633" i="7"/>
  <c r="Q633" i="7" s="1"/>
  <c r="P435" i="8"/>
  <c r="Q435" i="8" s="1"/>
  <c r="P467" i="8"/>
  <c r="Q467" i="8" s="1"/>
  <c r="P442" i="5"/>
  <c r="Q442" i="5" s="1"/>
  <c r="P1068" i="7"/>
  <c r="Q1068" i="7" s="1"/>
  <c r="P509" i="8"/>
  <c r="Q509" i="8" s="1"/>
  <c r="P505" i="4"/>
  <c r="Q505" i="4" s="1"/>
  <c r="P409" i="5"/>
  <c r="Q409" i="5" s="1"/>
  <c r="P1818" i="6"/>
  <c r="Q1818" i="6" s="1"/>
  <c r="P228" i="5"/>
  <c r="Q228" i="5" s="1"/>
  <c r="P437" i="4"/>
  <c r="Q437" i="4" s="1"/>
  <c r="P813" i="4"/>
  <c r="Q813" i="4" s="1"/>
  <c r="P243" i="8"/>
  <c r="Q243" i="8" s="1"/>
  <c r="P902" i="7"/>
  <c r="Q902" i="7" s="1"/>
  <c r="P515" i="4"/>
  <c r="Q515" i="4" s="1"/>
  <c r="P321" i="8"/>
  <c r="Q321" i="8" s="1"/>
  <c r="P518" i="4"/>
  <c r="Q518" i="4" s="1"/>
  <c r="P347" i="5"/>
  <c r="Q347" i="5" s="1"/>
  <c r="P632" i="7"/>
  <c r="Q632" i="7" s="1"/>
  <c r="P837" i="7"/>
  <c r="Q837" i="7" s="1"/>
  <c r="P320" i="8"/>
  <c r="Q320" i="8" s="1"/>
  <c r="P424" i="8"/>
  <c r="Q424" i="8" s="1"/>
  <c r="P1910" i="6"/>
  <c r="Q1910" i="6" s="1"/>
  <c r="P42" i="27"/>
  <c r="Q42" i="27" s="1"/>
  <c r="P1545" i="6"/>
  <c r="Q1545" i="6" s="1"/>
  <c r="P1437" i="6"/>
  <c r="Q1437" i="6" s="1"/>
  <c r="P408" i="5"/>
  <c r="Q408" i="5" s="1"/>
  <c r="P284" i="8"/>
  <c r="Q284" i="8" s="1"/>
  <c r="P847" i="7"/>
  <c r="Q847" i="7" s="1"/>
  <c r="K89" i="17"/>
  <c r="K34" i="17" s="1"/>
  <c r="BC45" i="42" s="1"/>
  <c r="BC47" i="42" s="1"/>
  <c r="P513" i="7"/>
  <c r="Q513" i="7" s="1"/>
  <c r="P1398" i="6"/>
  <c r="Q1398" i="6" s="1"/>
  <c r="P28" i="27"/>
  <c r="Q28" i="27" s="1"/>
  <c r="P1447" i="6"/>
  <c r="Q1447" i="6" s="1"/>
  <c r="P352" i="5"/>
  <c r="Q352" i="5" s="1"/>
  <c r="P920" i="6"/>
  <c r="Q920" i="6" s="1"/>
  <c r="M286" i="3"/>
  <c r="O58" i="1"/>
  <c r="U22" i="37"/>
  <c r="V22" i="37" s="1"/>
  <c r="P297" i="5"/>
  <c r="Q297" i="5" s="1"/>
  <c r="P861" i="6"/>
  <c r="Q861" i="6" s="1"/>
  <c r="N55" i="34"/>
  <c r="P498" i="4"/>
  <c r="Q498" i="4" s="1"/>
  <c r="P795" i="4"/>
  <c r="Q795" i="4" s="1"/>
  <c r="P893" i="6"/>
  <c r="Q893" i="6" s="1"/>
  <c r="P984" i="7"/>
  <c r="Q984" i="7" s="1"/>
  <c r="P1834" i="6"/>
  <c r="Q1834" i="6" s="1"/>
  <c r="P368" i="4"/>
  <c r="P473" i="7"/>
  <c r="Q473" i="7" s="1"/>
  <c r="P1823" i="6"/>
  <c r="Q1823" i="6" s="1"/>
  <c r="P838" i="7"/>
  <c r="Q838" i="7" s="1"/>
  <c r="P1319" i="6"/>
  <c r="Q1319" i="6" s="1"/>
  <c r="P568" i="4"/>
  <c r="Q568" i="4" s="1"/>
  <c r="P623" i="4"/>
  <c r="Q623" i="4" s="1"/>
  <c r="P1868" i="6"/>
  <c r="Q1868" i="6" s="1"/>
  <c r="P1295" i="6"/>
  <c r="Q1295" i="6" s="1"/>
  <c r="P1432" i="6"/>
  <c r="Q1432" i="6" s="1"/>
  <c r="P373" i="8"/>
  <c r="Q373" i="8" s="1"/>
  <c r="P1324" i="6"/>
  <c r="Q1324" i="6" s="1"/>
  <c r="P625" i="7"/>
  <c r="O188" i="7"/>
  <c r="P305" i="5"/>
  <c r="Q305" i="5" s="1"/>
  <c r="P1426" i="6"/>
  <c r="Q1426" i="6" s="1"/>
  <c r="P630" i="4"/>
  <c r="Q630" i="4" s="1"/>
  <c r="P1912" i="6"/>
  <c r="Q1912" i="6" s="1"/>
  <c r="N23" i="12"/>
  <c r="O23" i="12" s="1"/>
  <c r="P497" i="8"/>
  <c r="Q497" i="8" s="1"/>
  <c r="P831" i="6"/>
  <c r="Q831" i="6" s="1"/>
  <c r="P1362" i="6"/>
  <c r="Q1362" i="6" s="1"/>
  <c r="P1082" i="7"/>
  <c r="Q1082" i="7" s="1"/>
  <c r="P823" i="4"/>
  <c r="Q823" i="4" s="1"/>
  <c r="P1079" i="7"/>
  <c r="Q1079" i="7" s="1"/>
  <c r="P300" i="8"/>
  <c r="Q300" i="8" s="1"/>
  <c r="O125" i="8"/>
  <c r="P459" i="8"/>
  <c r="P510" i="8"/>
  <c r="Q510" i="8" s="1"/>
  <c r="P851" i="6"/>
  <c r="Q851" i="6" s="1"/>
  <c r="P501" i="7"/>
  <c r="Q501" i="7" s="1"/>
  <c r="P674" i="7"/>
  <c r="Q674" i="7" s="1"/>
  <c r="P296" i="5"/>
  <c r="Q296" i="5" s="1"/>
  <c r="P443" i="5"/>
  <c r="Q443" i="5" s="1"/>
  <c r="P502" i="4"/>
  <c r="Q502" i="4" s="1"/>
  <c r="P1867" i="6"/>
  <c r="Q1867" i="6" s="1"/>
  <c r="P2002" i="6"/>
  <c r="Q2002" i="6" s="1"/>
  <c r="P734" i="4"/>
  <c r="Q734" i="4" s="1"/>
  <c r="P1611" i="6"/>
  <c r="Q1611" i="6" s="1"/>
  <c r="P558" i="7"/>
  <c r="Q558" i="7" s="1"/>
  <c r="P1414" i="6"/>
  <c r="Q1414" i="6" s="1"/>
  <c r="P849" i="7"/>
  <c r="P1554" i="6"/>
  <c r="Q1554" i="6" s="1"/>
  <c r="P2019" i="6"/>
  <c r="Q2019" i="6" s="1"/>
  <c r="P1495" i="6"/>
  <c r="Q1495" i="6" s="1"/>
  <c r="P986" i="7"/>
  <c r="Q986" i="7" s="1"/>
  <c r="P1318" i="6"/>
  <c r="Q1318" i="6" s="1"/>
  <c r="P697" i="7"/>
  <c r="Q697" i="7" s="1"/>
  <c r="P478" i="7"/>
  <c r="Q478" i="7" s="1"/>
  <c r="P1822" i="6"/>
  <c r="Q1822" i="6" s="1"/>
  <c r="P223" i="5"/>
  <c r="Q223" i="5" s="1"/>
  <c r="P625" i="4"/>
  <c r="Q625" i="4" s="1"/>
  <c r="P606" i="4"/>
  <c r="Q606" i="4" s="1"/>
  <c r="P1562" i="6"/>
  <c r="Q1562" i="6" s="1"/>
  <c r="P1320" i="6"/>
  <c r="Q1320" i="6" s="1"/>
  <c r="P1088" i="7"/>
  <c r="Q1088" i="7" s="1"/>
  <c r="P1087" i="7"/>
  <c r="Q1087" i="7" s="1"/>
  <c r="P1881" i="6"/>
  <c r="Q1881" i="6" s="1"/>
  <c r="O66" i="8"/>
  <c r="P311" i="8"/>
  <c r="P640" i="4"/>
  <c r="Q640" i="4" s="1"/>
  <c r="P737" i="4"/>
  <c r="Q737" i="4" s="1"/>
  <c r="P682" i="4"/>
  <c r="Q682" i="4" s="1"/>
  <c r="P1396" i="6"/>
  <c r="Q1396" i="6" s="1"/>
  <c r="P834" i="6"/>
  <c r="Q834" i="6" s="1"/>
  <c r="P683" i="7"/>
  <c r="O229" i="7"/>
  <c r="P286" i="5"/>
  <c r="Q286" i="5" s="1"/>
  <c r="N650" i="34"/>
  <c r="P378" i="5"/>
  <c r="Q378" i="5" s="1"/>
  <c r="P506" i="8"/>
  <c r="Q506" i="8" s="1"/>
  <c r="P904" i="6"/>
  <c r="Q904" i="6" s="1"/>
  <c r="BE182" i="9"/>
  <c r="M182" i="9"/>
  <c r="P753" i="7"/>
  <c r="Q753" i="7" s="1"/>
  <c r="P465" i="8"/>
  <c r="Q465" i="8" s="1"/>
  <c r="P341" i="5"/>
  <c r="Q341" i="5" s="1"/>
  <c r="P1911" i="6"/>
  <c r="Q1911" i="6" s="1"/>
  <c r="P1692" i="6"/>
  <c r="Q1692" i="6" s="1"/>
  <c r="P907" i="7"/>
  <c r="Q907" i="7" s="1"/>
  <c r="P922" i="7"/>
  <c r="Q922" i="7" s="1"/>
  <c r="P1409" i="6"/>
  <c r="Q1409" i="6" s="1"/>
  <c r="P462" i="7"/>
  <c r="Q462" i="7" s="1"/>
  <c r="P1196" i="6"/>
  <c r="Q1196" i="6" s="1"/>
  <c r="P397" i="4"/>
  <c r="Q397" i="4" s="1"/>
  <c r="P852" i="6"/>
  <c r="Q852" i="6" s="1"/>
  <c r="P1882" i="6"/>
  <c r="Q1882" i="6" s="1"/>
  <c r="P210" i="8"/>
  <c r="Q210" i="8" s="1"/>
  <c r="P351" i="4"/>
  <c r="Q351" i="4" s="1"/>
  <c r="P539" i="4"/>
  <c r="Q539" i="4" s="1"/>
  <c r="P822" i="6"/>
  <c r="Q822" i="6" s="1"/>
  <c r="P854" i="6"/>
  <c r="Q854" i="6" s="1"/>
  <c r="P1408" i="6"/>
  <c r="Q1408" i="6" s="1"/>
  <c r="P474" i="7"/>
  <c r="Q474" i="7" s="1"/>
  <c r="P516" i="4"/>
  <c r="Q516" i="4" s="1"/>
  <c r="P40" i="27"/>
  <c r="Q40" i="27" s="1"/>
  <c r="P222" i="5"/>
  <c r="Q222" i="5" s="1"/>
  <c r="P472" i="8"/>
  <c r="Q472" i="8" s="1"/>
  <c r="P1072" i="7"/>
  <c r="Q1072" i="7" s="1"/>
  <c r="P503" i="8"/>
  <c r="Q503" i="8" s="1"/>
  <c r="P189" i="8"/>
  <c r="Q189" i="8" s="1"/>
  <c r="P511" i="7"/>
  <c r="Q511" i="7" s="1"/>
  <c r="P1352" i="6"/>
  <c r="Q1352" i="6" s="1"/>
  <c r="P564" i="7"/>
  <c r="Q564" i="7" s="1"/>
  <c r="P355" i="4"/>
  <c r="Q355" i="4" s="1"/>
  <c r="P476" i="4"/>
  <c r="Q476" i="4" s="1"/>
  <c r="P627" i="7"/>
  <c r="Q627" i="7" s="1"/>
  <c r="P1094" i="7"/>
  <c r="Q1094" i="7" s="1"/>
  <c r="P323" i="4"/>
  <c r="Q323" i="4" s="1"/>
  <c r="P691" i="7"/>
  <c r="Q691" i="7" s="1"/>
  <c r="P973" i="7"/>
  <c r="Q973" i="7" s="1"/>
  <c r="P1951" i="6"/>
  <c r="Q1951" i="6" s="1"/>
  <c r="P1629" i="6"/>
  <c r="Q1629" i="6" s="1"/>
  <c r="P565" i="7"/>
  <c r="Q565" i="7" s="1"/>
  <c r="P1312" i="6"/>
  <c r="Q1312" i="6" s="1"/>
  <c r="P294" i="5"/>
  <c r="Q294" i="5" s="1"/>
  <c r="P1075" i="7"/>
  <c r="Q1075" i="7" s="1"/>
  <c r="P1316" i="6"/>
  <c r="Q1316" i="6" s="1"/>
  <c r="P908" i="7"/>
  <c r="Q908" i="7" s="1"/>
  <c r="P534" i="4"/>
  <c r="Q534" i="4" s="1"/>
  <c r="P206" i="8"/>
  <c r="Q206" i="8" s="1"/>
  <c r="P1450" i="6"/>
  <c r="Q1450" i="6" s="1"/>
  <c r="P512" i="4"/>
  <c r="Q512" i="4" s="1"/>
  <c r="P769" i="7"/>
  <c r="Q769" i="7" s="1"/>
  <c r="BY121" i="9"/>
  <c r="P245" i="8"/>
  <c r="Q245" i="8" s="1"/>
  <c r="P430" i="5"/>
  <c r="Q430" i="5" s="1"/>
  <c r="P927" i="7"/>
  <c r="Q927" i="7" s="1"/>
  <c r="P898" i="7"/>
  <c r="Q898" i="7" s="1"/>
  <c r="P542" i="4"/>
  <c r="Q542" i="4" s="1"/>
  <c r="P1078" i="7"/>
  <c r="Q1078" i="7" s="1"/>
  <c r="P975" i="7"/>
  <c r="Q975" i="7" s="1"/>
  <c r="P808" i="4"/>
  <c r="Q808" i="4" s="1"/>
  <c r="P810" i="4"/>
  <c r="Q810" i="4" s="1"/>
  <c r="P750" i="4"/>
  <c r="Q750" i="4" s="1"/>
  <c r="P1938" i="6"/>
  <c r="Q1938" i="6" s="1"/>
  <c r="P912" i="7"/>
  <c r="Q912" i="7" s="1"/>
  <c r="P395" i="4"/>
  <c r="Q395" i="4" s="1"/>
  <c r="P637" i="4"/>
  <c r="Q637" i="4" s="1"/>
  <c r="P1685" i="6"/>
  <c r="Q1685" i="6" s="1"/>
  <c r="P610" i="7"/>
  <c r="Q610" i="7" s="1"/>
  <c r="P376" i="8"/>
  <c r="Q376" i="8" s="1"/>
  <c r="P619" i="4"/>
  <c r="Q619" i="4" s="1"/>
  <c r="P739" i="4"/>
  <c r="Q739" i="4" s="1"/>
  <c r="P1191" i="6"/>
  <c r="Q1191" i="6" s="1"/>
  <c r="P428" i="8"/>
  <c r="Q428" i="8" s="1"/>
  <c r="P1416" i="6"/>
  <c r="Q1416" i="6" s="1"/>
  <c r="P1546" i="6"/>
  <c r="Q1546" i="6" s="1"/>
  <c r="P529" i="4"/>
  <c r="Q529" i="4" s="1"/>
  <c r="P483" i="4"/>
  <c r="Q483" i="4" s="1"/>
  <c r="P925" i="7"/>
  <c r="Q925" i="7" s="1"/>
  <c r="P1832" i="6"/>
  <c r="Q1832" i="6" s="1"/>
  <c r="P1825" i="6"/>
  <c r="Q1825" i="6" s="1"/>
  <c r="P1095" i="6"/>
  <c r="Q1095" i="6" s="1"/>
  <c r="P698" i="7"/>
  <c r="Q698" i="7" s="1"/>
  <c r="P979" i="6"/>
  <c r="Q979" i="6" s="1"/>
  <c r="P268" i="8"/>
  <c r="Q268" i="8" s="1"/>
  <c r="P841" i="6"/>
  <c r="Q841" i="6" s="1"/>
  <c r="P1250" i="6"/>
  <c r="Q1250" i="6" s="1"/>
  <c r="P1066" i="7"/>
  <c r="Q1066" i="7" s="1"/>
  <c r="P225" i="5"/>
  <c r="Q225" i="5" s="1"/>
  <c r="P748" i="7"/>
  <c r="Q748" i="7" s="1"/>
  <c r="P17" i="27"/>
  <c r="Q17" i="27" s="1"/>
  <c r="P644" i="7"/>
  <c r="Q254" i="8"/>
  <c r="Q517" i="4"/>
  <c r="Q26" i="27"/>
  <c r="Q393" i="4"/>
  <c r="Q699" i="7"/>
  <c r="Q501" i="4"/>
  <c r="Q466" i="8"/>
  <c r="Q283" i="8"/>
  <c r="Q374" i="4"/>
  <c r="O62" i="9"/>
  <c r="Q319" i="8"/>
  <c r="Q500" i="4"/>
  <c r="O20" i="12"/>
  <c r="P127" i="1"/>
  <c r="Q425" i="8"/>
  <c r="Q285" i="5"/>
  <c r="P935" i="7"/>
  <c r="AA100" i="10"/>
  <c r="AB100" i="10" s="1"/>
  <c r="Q503" i="4"/>
  <c r="P821" i="6"/>
  <c r="Q821" i="6" s="1"/>
  <c r="O824" i="6"/>
  <c r="O130" i="6"/>
  <c r="Q474" i="4"/>
  <c r="Q1093" i="7"/>
  <c r="P1287" i="6"/>
  <c r="Q1287" i="6" s="1"/>
  <c r="Q405" i="6" s="1"/>
  <c r="O405" i="6"/>
  <c r="Q753" i="4"/>
  <c r="V14" i="37"/>
  <c r="Q1074" i="7"/>
  <c r="Q816" i="4"/>
  <c r="O638" i="34"/>
  <c r="Q226" i="5"/>
  <c r="Q498" i="8"/>
  <c r="Q492" i="4"/>
  <c r="O49" i="34"/>
  <c r="Q423" i="8"/>
  <c r="Q775" i="7"/>
  <c r="O71" i="34"/>
  <c r="Q312" i="5"/>
  <c r="Q191" i="8"/>
  <c r="P289" i="5"/>
  <c r="Q289" i="5" s="1"/>
  <c r="P856" i="6"/>
  <c r="Q856" i="6" s="1"/>
  <c r="P318" i="8"/>
  <c r="P493" i="4"/>
  <c r="Q493" i="4" s="1"/>
  <c r="P1885" i="6"/>
  <c r="Q1885" i="6" s="1"/>
  <c r="P1560" i="6"/>
  <c r="Q1560" i="6" s="1"/>
  <c r="P1321" i="6"/>
  <c r="Q1321" i="6" s="1"/>
  <c r="P520" i="4"/>
  <c r="Q520" i="4" s="1"/>
  <c r="P364" i="4"/>
  <c r="P1428" i="6"/>
  <c r="Q1428" i="6" s="1"/>
  <c r="O530" i="8"/>
  <c r="BE22" i="42"/>
  <c r="P523" i="8"/>
  <c r="M27" i="17"/>
  <c r="M12" i="17" s="1"/>
  <c r="M296" i="15" s="1"/>
  <c r="M318" i="15" s="1"/>
  <c r="O142" i="8"/>
  <c r="O149" i="8" s="1"/>
  <c r="BE34" i="42" s="1"/>
  <c r="N21" i="12"/>
  <c r="O21" i="12" s="1"/>
  <c r="P754" i="4"/>
  <c r="Q754" i="4" s="1"/>
  <c r="P1449" i="6"/>
  <c r="Q1449" i="6" s="1"/>
  <c r="P411" i="5"/>
  <c r="Q411" i="5" s="1"/>
  <c r="U16" i="37"/>
  <c r="V16" i="37" s="1"/>
  <c r="P452" i="8"/>
  <c r="Q452" i="8" s="1"/>
  <c r="P770" i="7"/>
  <c r="Q770" i="7" s="1"/>
  <c r="P512" i="8"/>
  <c r="Q512" i="8" s="1"/>
  <c r="O129" i="1"/>
  <c r="P129" i="1" s="1"/>
  <c r="P221" i="5"/>
  <c r="Q221" i="5" s="1"/>
  <c r="P1837" i="6"/>
  <c r="Q1837" i="6" s="1"/>
  <c r="P794" i="7"/>
  <c r="Q794" i="7" s="1"/>
  <c r="P456" i="4"/>
  <c r="Q456" i="4" s="1"/>
  <c r="P474" i="8"/>
  <c r="Q474" i="8" s="1"/>
  <c r="P781" i="6"/>
  <c r="Q781" i="6" s="1"/>
  <c r="M25" i="34"/>
  <c r="N67" i="34"/>
  <c r="Q318" i="8"/>
  <c r="P465" i="7"/>
  <c r="Q465" i="7" s="1"/>
  <c r="I291" i="3"/>
  <c r="I300" i="3"/>
  <c r="P292" i="5"/>
  <c r="Q292" i="5" s="1"/>
  <c r="L296" i="3"/>
  <c r="P295" i="8"/>
  <c r="Q295" i="8" s="1"/>
  <c r="P392" i="4"/>
  <c r="Q392" i="4" s="1"/>
  <c r="U70" i="37"/>
  <c r="V70" i="37" s="1"/>
  <c r="AF8" i="54"/>
  <c r="P251" i="8"/>
  <c r="Q251" i="8" s="1"/>
  <c r="P360" i="4"/>
  <c r="P1624" i="6"/>
  <c r="Q1624" i="6" s="1"/>
  <c r="P566" i="7"/>
  <c r="Q566" i="7" s="1"/>
  <c r="P1083" i="7"/>
  <c r="Q1083" i="7" s="1"/>
  <c r="P773" i="7"/>
  <c r="Q773" i="7" s="1"/>
  <c r="P690" i="7"/>
  <c r="Q690" i="7" s="1"/>
  <c r="P1819" i="6"/>
  <c r="Q1819" i="6" s="1"/>
  <c r="P613" i="7"/>
  <c r="Q613" i="7" s="1"/>
  <c r="P437" i="8"/>
  <c r="Q437" i="8" s="1"/>
  <c r="P827" i="6"/>
  <c r="P822" i="4"/>
  <c r="Q822" i="4" s="1"/>
  <c r="P391" i="4"/>
  <c r="Q391" i="4" s="1"/>
  <c r="P905" i="6"/>
  <c r="Q905" i="6" s="1"/>
  <c r="P298" i="8"/>
  <c r="Q298" i="8" s="1"/>
  <c r="P270" i="8"/>
  <c r="Q270" i="8" s="1"/>
  <c r="P742" i="4"/>
  <c r="Q742" i="4" s="1"/>
  <c r="P1116" i="6"/>
  <c r="Q1116" i="6" s="1"/>
  <c r="P1724" i="6"/>
  <c r="Q1724" i="6" s="1"/>
  <c r="P252" i="5"/>
  <c r="Q252" i="5" s="1"/>
  <c r="O359" i="5"/>
  <c r="N129" i="5"/>
  <c r="P1667" i="6"/>
  <c r="Q1667" i="6" s="1"/>
  <c r="P234" i="8"/>
  <c r="Q234" i="8" s="1"/>
  <c r="P986" i="6"/>
  <c r="Q986" i="6" s="1"/>
  <c r="P401" i="4"/>
  <c r="Q401" i="4" s="1"/>
  <c r="P757" i="6"/>
  <c r="Q757" i="6" s="1"/>
  <c r="P369" i="5"/>
  <c r="Q369" i="5" s="1"/>
  <c r="P1117" i="6"/>
  <c r="Q1117" i="6" s="1"/>
  <c r="P244" i="8"/>
  <c r="Q244" i="8" s="1"/>
  <c r="P1411" i="6"/>
  <c r="Q1411" i="6" s="1"/>
  <c r="M23" i="34"/>
  <c r="N65" i="34"/>
  <c r="P420" i="8"/>
  <c r="Q420" i="8" s="1"/>
  <c r="K288" i="3"/>
  <c r="M70" i="1"/>
  <c r="P217" i="8"/>
  <c r="Q217" i="8" s="1"/>
  <c r="P1096" i="7"/>
  <c r="Q1096" i="7" s="1"/>
  <c r="P27" i="27"/>
  <c r="Q27" i="27" s="1"/>
  <c r="Q11" i="1"/>
  <c r="R611" i="7" s="1"/>
  <c r="S611" i="7" s="1"/>
  <c r="Q10" i="1"/>
  <c r="P1393" i="6"/>
  <c r="Q1393" i="6" s="1"/>
  <c r="P1084" i="7"/>
  <c r="Q1084" i="7" s="1"/>
  <c r="P284" i="5"/>
  <c r="Q284" i="5" s="1"/>
  <c r="P494" i="4"/>
  <c r="Q494" i="4" s="1"/>
  <c r="P976" i="7"/>
  <c r="Q976" i="7" s="1"/>
  <c r="P267" i="8"/>
  <c r="Q267" i="8" s="1"/>
  <c r="P1245" i="6"/>
  <c r="Q1245" i="6" s="1"/>
  <c r="P899" i="7"/>
  <c r="Q899" i="7" s="1"/>
  <c r="P398" i="8"/>
  <c r="Q398" i="8" s="1"/>
  <c r="P527" i="4"/>
  <c r="Q527" i="4" s="1"/>
  <c r="P1297" i="6"/>
  <c r="Q1297" i="6" s="1"/>
  <c r="P1943" i="6"/>
  <c r="Q1943" i="6" s="1"/>
  <c r="P1556" i="6"/>
  <c r="Q1556" i="6" s="1"/>
  <c r="P301" i="8"/>
  <c r="Q301" i="8" s="1"/>
  <c r="P754" i="7"/>
  <c r="Q754" i="7" s="1"/>
  <c r="P1877" i="6"/>
  <c r="Q1877" i="6" s="1"/>
  <c r="P1686" i="6"/>
  <c r="Q1686" i="6" s="1"/>
  <c r="P1862" i="6"/>
  <c r="Q1862" i="6" s="1"/>
  <c r="P1886" i="6"/>
  <c r="Q1886" i="6" s="1"/>
  <c r="P848" i="6"/>
  <c r="Q848" i="6" s="1"/>
  <c r="P491" i="4"/>
  <c r="Q491" i="4" s="1"/>
  <c r="P836" i="6"/>
  <c r="Q836" i="6" s="1"/>
  <c r="P366" i="8"/>
  <c r="Q366" i="8" s="1"/>
  <c r="P325" i="8"/>
  <c r="Q325" i="8" s="1"/>
  <c r="P910" i="7"/>
  <c r="Q910" i="7" s="1"/>
  <c r="P434" i="5"/>
  <c r="Q434" i="5" s="1"/>
  <c r="P538" i="4"/>
  <c r="Q538" i="4" s="1"/>
  <c r="P749" i="4"/>
  <c r="Q749" i="4" s="1"/>
  <c r="P482" i="4"/>
  <c r="Q482" i="4" s="1"/>
  <c r="P1181" i="6"/>
  <c r="Q1181" i="6" s="1"/>
  <c r="P998" i="6"/>
  <c r="Q998" i="6" s="1"/>
  <c r="P418" i="8"/>
  <c r="Q418" i="8" s="1"/>
  <c r="P1124" i="6"/>
  <c r="Q1124" i="6" s="1"/>
  <c r="P185" i="8"/>
  <c r="O45" i="8"/>
  <c r="P1115" i="6"/>
  <c r="Q1115" i="6" s="1"/>
  <c r="P814" i="4"/>
  <c r="Q814" i="4" s="1"/>
  <c r="P1836" i="6"/>
  <c r="Q1836" i="6" s="1"/>
  <c r="O257" i="5"/>
  <c r="N62" i="5"/>
  <c r="O63" i="8"/>
  <c r="P297" i="8"/>
  <c r="P1190" i="6"/>
  <c r="Q1190" i="6" s="1"/>
  <c r="P540" i="4"/>
  <c r="Q540" i="4" s="1"/>
  <c r="P1896" i="6"/>
  <c r="Q1896" i="6" s="1"/>
  <c r="P1617" i="6"/>
  <c r="Q1617" i="6" s="1"/>
  <c r="P1947" i="6"/>
  <c r="Q1947" i="6" s="1"/>
  <c r="P1897" i="6"/>
  <c r="Q1897" i="6" s="1"/>
  <c r="P792" i="7"/>
  <c r="Q792" i="7" s="1"/>
  <c r="P1167" i="6"/>
  <c r="Q1167" i="6" s="1"/>
  <c r="P761" i="6"/>
  <c r="Q761" i="6" s="1"/>
  <c r="P1076" i="7"/>
  <c r="Q1076" i="7" s="1"/>
  <c r="P641" i="7"/>
  <c r="Q641" i="7" s="1"/>
  <c r="P1544" i="6"/>
  <c r="Q1544" i="6" s="1"/>
  <c r="P470" i="4"/>
  <c r="Q470" i="4" s="1"/>
  <c r="P481" i="4"/>
  <c r="Q481" i="4" s="1"/>
  <c r="P405" i="4"/>
  <c r="Q405" i="4" s="1"/>
  <c r="P749" i="7"/>
  <c r="Q749" i="7" s="1"/>
  <c r="P305" i="8"/>
  <c r="Q305" i="8" s="1"/>
  <c r="P405" i="8"/>
  <c r="Q405" i="8" s="1"/>
  <c r="P1567" i="6"/>
  <c r="Q1567" i="6" s="1"/>
  <c r="N632" i="34"/>
  <c r="P1356" i="6"/>
  <c r="Q1356" i="6" s="1"/>
  <c r="P643" i="4"/>
  <c r="Q643" i="4" s="1"/>
  <c r="P505" i="8"/>
  <c r="Q505" i="8" s="1"/>
  <c r="P1192" i="6"/>
  <c r="Q1192" i="6" s="1"/>
  <c r="P455" i="8"/>
  <c r="Q455" i="8" s="1"/>
  <c r="P493" i="8"/>
  <c r="O130" i="8"/>
  <c r="P556" i="4"/>
  <c r="Q556" i="4" s="1"/>
  <c r="P1808" i="6"/>
  <c r="Q1808" i="6" s="1"/>
  <c r="P971" i="7"/>
  <c r="Q971" i="7" s="1"/>
  <c r="P1249" i="6"/>
  <c r="Q1249" i="6" s="1"/>
  <c r="P624" i="4"/>
  <c r="Q624" i="4" s="1"/>
  <c r="P765" i="7"/>
  <c r="Q765" i="7" s="1"/>
  <c r="P1431" i="6"/>
  <c r="Q1431" i="6" s="1"/>
  <c r="P1290" i="6"/>
  <c r="Q1290" i="6" s="1"/>
  <c r="P930" i="6"/>
  <c r="Q930" i="6" s="1"/>
  <c r="P1904" i="6"/>
  <c r="Q1904" i="6" s="1"/>
  <c r="P981" i="6"/>
  <c r="Q981" i="6" s="1"/>
  <c r="P471" i="4"/>
  <c r="Q471" i="4" s="1"/>
  <c r="P1615" i="6"/>
  <c r="Q1615" i="6" s="1"/>
  <c r="P1909" i="6"/>
  <c r="Q1909" i="6" s="1"/>
  <c r="P1357" i="6"/>
  <c r="Q1357" i="6" s="1"/>
  <c r="P333" i="4"/>
  <c r="Q333" i="4" s="1"/>
  <c r="P426" i="5"/>
  <c r="Q426" i="5" s="1"/>
  <c r="P304" i="5"/>
  <c r="Q304" i="5" s="1"/>
  <c r="N58" i="34"/>
  <c r="P386" i="8"/>
  <c r="Q386" i="8" s="1"/>
  <c r="P229" i="5"/>
  <c r="Q229" i="5" s="1"/>
  <c r="P179" i="8"/>
  <c r="Q179" i="8" s="1"/>
  <c r="P1284" i="6"/>
  <c r="Q1284" i="6" s="1"/>
  <c r="P1828" i="6"/>
  <c r="Q1828" i="6" s="1"/>
  <c r="M584" i="6"/>
  <c r="P1566" i="6"/>
  <c r="Q1566" i="6" s="1"/>
  <c r="P606" i="7"/>
  <c r="Q606" i="7" s="1"/>
  <c r="P1415" i="6"/>
  <c r="Q1415" i="6" s="1"/>
  <c r="P301" i="5"/>
  <c r="Q301" i="5" s="1"/>
  <c r="P1835" i="6"/>
  <c r="Q1835" i="6" s="1"/>
  <c r="P980" i="7"/>
  <c r="Q980" i="7" s="1"/>
  <c r="P611" i="4"/>
  <c r="Q611" i="4" s="1"/>
  <c r="P632" i="4"/>
  <c r="Q632" i="4" s="1"/>
  <c r="P686" i="4"/>
  <c r="Q686" i="4" s="1"/>
  <c r="P1095" i="7"/>
  <c r="Q1095" i="7" s="1"/>
  <c r="P920" i="7"/>
  <c r="Q920" i="7" s="1"/>
  <c r="P473" i="4"/>
  <c r="Q473" i="4" s="1"/>
  <c r="P1833" i="6"/>
  <c r="Q1833" i="6" s="1"/>
  <c r="P1493" i="6"/>
  <c r="Q1493" i="6" s="1"/>
  <c r="P1552" i="6"/>
  <c r="Q1552" i="6" s="1"/>
  <c r="P1114" i="6"/>
  <c r="Q1114" i="6" s="1"/>
  <c r="P472" i="7"/>
  <c r="Q472" i="7" s="1"/>
  <c r="P847" i="6"/>
  <c r="Q847" i="6" s="1"/>
  <c r="P2000" i="6"/>
  <c r="Q2000" i="6" s="1"/>
  <c r="P1824" i="6"/>
  <c r="Q1824" i="6" s="1"/>
  <c r="P916" i="7"/>
  <c r="Q916" i="7" s="1"/>
  <c r="P1435" i="6"/>
  <c r="Q1435" i="6" s="1"/>
  <c r="P363" i="4"/>
  <c r="Q363" i="4" s="1"/>
  <c r="P900" i="7"/>
  <c r="Q900" i="7" s="1"/>
  <c r="P1081" i="7"/>
  <c r="Q1081" i="7" s="1"/>
  <c r="P1395" i="6"/>
  <c r="Q1395" i="6" s="1"/>
  <c r="P1110" i="6"/>
  <c r="Q1110" i="6" s="1"/>
  <c r="P239" i="8"/>
  <c r="Q239" i="8" s="1"/>
  <c r="N56" i="34"/>
  <c r="P439" i="5"/>
  <c r="Q439" i="5" s="1"/>
  <c r="P345" i="5"/>
  <c r="Q345" i="5" s="1"/>
  <c r="P435" i="5"/>
  <c r="Q435" i="5" s="1"/>
  <c r="P33" i="27"/>
  <c r="Q33" i="27" s="1"/>
  <c r="P480" i="7"/>
  <c r="Q480" i="7" s="1"/>
  <c r="P504" i="8"/>
  <c r="Q504" i="8" s="1"/>
  <c r="P629" i="7"/>
  <c r="Q629" i="7" s="1"/>
  <c r="O603" i="4"/>
  <c r="O604" i="4"/>
  <c r="O602" i="4"/>
  <c r="AU16" i="37"/>
  <c r="D123" i="16"/>
  <c r="D125" i="16" s="1"/>
  <c r="D93" i="3" s="1"/>
  <c r="H412" i="4"/>
  <c r="I412" i="4" s="1"/>
  <c r="E793" i="34"/>
  <c r="E804" i="34" s="1"/>
  <c r="H1383" i="6"/>
  <c r="I1383" i="6" s="1"/>
  <c r="K433" i="45"/>
  <c r="L433" i="45" s="1"/>
  <c r="H274" i="5"/>
  <c r="I274" i="5" s="1"/>
  <c r="J79" i="5"/>
  <c r="F44" i="15"/>
  <c r="G44" i="15" s="1"/>
  <c r="I289" i="6"/>
  <c r="H65" i="6"/>
  <c r="B83" i="15"/>
  <c r="B87" i="15" s="1"/>
  <c r="D325" i="34" s="1"/>
  <c r="D557" i="34" s="1"/>
  <c r="H784" i="34"/>
  <c r="H785" i="34" s="1"/>
  <c r="H143" i="15"/>
  <c r="H180" i="6"/>
  <c r="C212" i="42" s="1"/>
  <c r="D212" i="42" s="1"/>
  <c r="J216" i="14"/>
  <c r="Q18" i="14"/>
  <c r="I114" i="14"/>
  <c r="I113" i="14"/>
  <c r="J210" i="14"/>
  <c r="I190" i="14"/>
  <c r="J85" i="14" s="1"/>
  <c r="I115" i="14"/>
  <c r="J199" i="14"/>
  <c r="K94" i="14" s="1"/>
  <c r="K219" i="14"/>
  <c r="K81" i="37"/>
  <c r="J98" i="37"/>
  <c r="J100" i="37" s="1"/>
  <c r="A181" i="3" s="1"/>
  <c r="H4" i="37"/>
  <c r="H108" i="37"/>
  <c r="H110" i="37" s="1"/>
  <c r="S3" i="37"/>
  <c r="S109" i="37" s="1"/>
  <c r="R4" i="37"/>
  <c r="S2" i="37" s="1"/>
  <c r="R108" i="37"/>
  <c r="R110" i="37" s="1"/>
  <c r="AU103" i="37"/>
  <c r="AU104" i="37" s="1"/>
  <c r="AU109" i="37" s="1"/>
  <c r="J223" i="6"/>
  <c r="J234" i="6" s="1"/>
  <c r="H120" i="6"/>
  <c r="I120" i="6" s="1"/>
  <c r="J152" i="11"/>
  <c r="K152" i="11" s="1"/>
  <c r="H2053" i="6"/>
  <c r="H34" i="60"/>
  <c r="H79" i="5"/>
  <c r="I79" i="5" s="1"/>
  <c r="H466" i="5"/>
  <c r="I466" i="5" s="1"/>
  <c r="Q79" i="42"/>
  <c r="A43" i="60" s="1"/>
  <c r="A51" i="15"/>
  <c r="A20" i="15" s="1"/>
  <c r="B19" i="42"/>
  <c r="B79" i="42" s="1"/>
  <c r="A17" i="60" s="1"/>
  <c r="A217" i="15"/>
  <c r="A138" i="15"/>
  <c r="A162" i="15" s="1"/>
  <c r="K602" i="6"/>
  <c r="K2082" i="6" s="1"/>
  <c r="N434" i="6"/>
  <c r="O1363" i="6"/>
  <c r="E510" i="6"/>
  <c r="E2080" i="6" s="1"/>
  <c r="E2086" i="6" s="1"/>
  <c r="L119" i="42"/>
  <c r="E29" i="6"/>
  <c r="D1976" i="6"/>
  <c r="D2080" i="6"/>
  <c r="D512" i="6"/>
  <c r="O264" i="6"/>
  <c r="P1052" i="6"/>
  <c r="Q1052" i="6" s="1"/>
  <c r="Q264" i="6" s="1"/>
  <c r="D2056" i="6"/>
  <c r="D291" i="6"/>
  <c r="C2062" i="6"/>
  <c r="C617" i="6"/>
  <c r="D1655" i="6"/>
  <c r="I1776" i="6"/>
  <c r="I31" i="6"/>
  <c r="M11" i="48"/>
  <c r="E1644" i="6"/>
  <c r="I1083" i="6"/>
  <c r="F683" i="34"/>
  <c r="F198" i="34" s="1"/>
  <c r="D61" i="3"/>
  <c r="I64" i="6"/>
  <c r="D47" i="3"/>
  <c r="I1154" i="6"/>
  <c r="H82" i="4"/>
  <c r="I82" i="4" s="1"/>
  <c r="H7" i="4"/>
  <c r="I7" i="4" s="1"/>
  <c r="F72" i="42"/>
  <c r="G10" i="60" s="1"/>
  <c r="D1149" i="7"/>
  <c r="U30" i="42"/>
  <c r="F30" i="42" s="1"/>
  <c r="Q97" i="42"/>
  <c r="F159" i="15"/>
  <c r="G159" i="15" s="1"/>
  <c r="G214" i="15"/>
  <c r="H251" i="7"/>
  <c r="I240" i="7"/>
  <c r="H120" i="7"/>
  <c r="I120" i="7" s="1"/>
  <c r="I110" i="7"/>
  <c r="E50" i="7"/>
  <c r="D320" i="15"/>
  <c r="E245" i="42"/>
  <c r="F162" i="15"/>
  <c r="G162" i="15" s="1"/>
  <c r="M307" i="45"/>
  <c r="E233" i="42"/>
  <c r="P277" i="8"/>
  <c r="O61" i="8"/>
  <c r="Q219" i="8"/>
  <c r="N88" i="16"/>
  <c r="P257" i="8"/>
  <c r="O58" i="8"/>
  <c r="Q461" i="8"/>
  <c r="P126" i="8"/>
  <c r="O62" i="8"/>
  <c r="P294" i="8"/>
  <c r="O292" i="45"/>
  <c r="P128" i="8"/>
  <c r="Q485" i="8"/>
  <c r="A6" i="17"/>
  <c r="B10" i="8"/>
  <c r="C338" i="34"/>
  <c r="C344" i="34" s="1"/>
  <c r="C567" i="34"/>
  <c r="C390" i="34"/>
  <c r="G81" i="3"/>
  <c r="G82" i="3" s="1"/>
  <c r="G118" i="17"/>
  <c r="C242" i="15"/>
  <c r="C101" i="16"/>
  <c r="C102" i="16" s="1"/>
  <c r="C104" i="16" s="1"/>
  <c r="C106" i="16" s="1"/>
  <c r="C8" i="16"/>
  <c r="AH18" i="42"/>
  <c r="I99" i="34"/>
  <c r="I101" i="34" s="1"/>
  <c r="AM54" i="42"/>
  <c r="C590" i="8"/>
  <c r="D538" i="8"/>
  <c r="D157" i="8" s="1"/>
  <c r="H695" i="34"/>
  <c r="H204" i="34" s="1"/>
  <c r="H205" i="34" s="1"/>
  <c r="AG10" i="42"/>
  <c r="B8" i="16"/>
  <c r="B241" i="15"/>
  <c r="B243" i="15" s="1"/>
  <c r="B248" i="15" s="1"/>
  <c r="B271" i="15" s="1"/>
  <c r="B274" i="15" s="1"/>
  <c r="B276" i="15" s="1"/>
  <c r="B100" i="16"/>
  <c r="B102" i="16" s="1"/>
  <c r="B104" i="16" s="1"/>
  <c r="B106" i="16" s="1"/>
  <c r="P328" i="8"/>
  <c r="O69" i="8"/>
  <c r="O57" i="8"/>
  <c r="P218" i="8"/>
  <c r="M87" i="16"/>
  <c r="M90" i="16" s="1"/>
  <c r="M34" i="16" s="1"/>
  <c r="O123" i="8"/>
  <c r="P444" i="8"/>
  <c r="O422" i="45"/>
  <c r="O67" i="8"/>
  <c r="P314" i="8"/>
  <c r="M744" i="34"/>
  <c r="I472" i="34"/>
  <c r="I522" i="34"/>
  <c r="AO45" i="42"/>
  <c r="L256" i="15"/>
  <c r="I383" i="34"/>
  <c r="I496" i="34"/>
  <c r="AN47" i="42"/>
  <c r="C162" i="15"/>
  <c r="E784" i="34"/>
  <c r="E785" i="34" s="1"/>
  <c r="E390" i="34"/>
  <c r="E567" i="34"/>
  <c r="E338" i="34"/>
  <c r="C159" i="15"/>
  <c r="E291" i="34"/>
  <c r="E354" i="34" s="1"/>
  <c r="E474" i="34" s="1"/>
  <c r="C158" i="15"/>
  <c r="K211" i="14"/>
  <c r="D111" i="17"/>
  <c r="D113" i="17" s="1"/>
  <c r="AX49" i="42"/>
  <c r="AX52" i="42" s="1"/>
  <c r="AX54" i="42" s="1"/>
  <c r="AX56" i="42" s="1"/>
  <c r="D47" i="17"/>
  <c r="D51" i="17" s="1"/>
  <c r="AX59" i="42" s="1"/>
  <c r="G224" i="9"/>
  <c r="G226" i="9" s="1"/>
  <c r="G232" i="3"/>
  <c r="D208" i="3"/>
  <c r="D210" i="3" s="1"/>
  <c r="L60" i="37"/>
  <c r="C201" i="42"/>
  <c r="Z41" i="42"/>
  <c r="K41" i="42" s="1"/>
  <c r="J407" i="34"/>
  <c r="K90" i="34"/>
  <c r="J7" i="34"/>
  <c r="K98" i="34"/>
  <c r="J15" i="34"/>
  <c r="K91" i="34"/>
  <c r="J8" i="34"/>
  <c r="H51" i="13"/>
  <c r="D561" i="8"/>
  <c r="D344" i="8"/>
  <c r="D93" i="8" s="1"/>
  <c r="D343" i="8"/>
  <c r="D588" i="8"/>
  <c r="C290" i="15"/>
  <c r="E344" i="34"/>
  <c r="C98" i="17"/>
  <c r="D549" i="8"/>
  <c r="D19" i="8"/>
  <c r="D35" i="48"/>
  <c r="P167" i="48" s="1"/>
  <c r="D1132" i="7"/>
  <c r="D37" i="7"/>
  <c r="D373" i="7"/>
  <c r="C139" i="15"/>
  <c r="C218" i="15"/>
  <c r="I7" i="12"/>
  <c r="L341" i="4" s="1"/>
  <c r="J7" i="12" s="1"/>
  <c r="M341" i="4" s="1"/>
  <c r="K7" i="12" s="1"/>
  <c r="N341" i="4" s="1"/>
  <c r="L7" i="12" s="1"/>
  <c r="O341" i="4" s="1"/>
  <c r="M7" i="12" s="1"/>
  <c r="P341" i="4" s="1"/>
  <c r="J410" i="4"/>
  <c r="J61" i="4"/>
  <c r="J7" i="4" s="1"/>
  <c r="J659" i="4"/>
  <c r="J28" i="4"/>
  <c r="J865" i="4"/>
  <c r="J29" i="4"/>
  <c r="G105" i="13"/>
  <c r="J843" i="4"/>
  <c r="D482" i="5"/>
  <c r="D468" i="5"/>
  <c r="D512" i="5"/>
  <c r="C203" i="42"/>
  <c r="N249" i="48"/>
  <c r="H30" i="5"/>
  <c r="I30" i="5" s="1"/>
  <c r="H512" i="5"/>
  <c r="I512" i="5" s="1"/>
  <c r="J91" i="48"/>
  <c r="D27" i="4"/>
  <c r="C850" i="4"/>
  <c r="D252" i="3"/>
  <c r="C328" i="34"/>
  <c r="E44" i="42"/>
  <c r="L583" i="4"/>
  <c r="L585" i="4" s="1"/>
  <c r="E159" i="8"/>
  <c r="E32" i="8" s="1"/>
  <c r="D71" i="3"/>
  <c r="T49" i="42"/>
  <c r="T52" i="42" s="1"/>
  <c r="T54" i="42" s="1"/>
  <c r="D133" i="13"/>
  <c r="D135" i="13" s="1"/>
  <c r="D195" i="3"/>
  <c r="D196" i="3" s="1"/>
  <c r="D127" i="3"/>
  <c r="L57" i="13"/>
  <c r="M199" i="15" s="1"/>
  <c r="O419" i="4"/>
  <c r="O92" i="4" s="1"/>
  <c r="O43" i="4" s="1"/>
  <c r="O26" i="12"/>
  <c r="N28" i="12"/>
  <c r="L62" i="3"/>
  <c r="N902" i="4"/>
  <c r="AA219" i="9"/>
  <c r="AA221" i="9" s="1"/>
  <c r="AA393" i="9"/>
  <c r="F41" i="60"/>
  <c r="AF26" i="42"/>
  <c r="T88" i="20"/>
  <c r="T90" i="20" s="1"/>
  <c r="CB73" i="22"/>
  <c r="CO73" i="22"/>
  <c r="CB115" i="22"/>
  <c r="CO115" i="22"/>
  <c r="CM9" i="21"/>
  <c r="BZ9" i="21"/>
  <c r="F687" i="34"/>
  <c r="F689" i="34" s="1"/>
  <c r="F201" i="34" s="1"/>
  <c r="F829" i="34" s="1"/>
  <c r="AV65" i="37"/>
  <c r="AV103" i="37" s="1"/>
  <c r="AV104" i="37" s="1"/>
  <c r="AV109" i="37" s="1"/>
  <c r="M37" i="37"/>
  <c r="M60" i="37" s="1"/>
  <c r="C143" i="15"/>
  <c r="DA52" i="9"/>
  <c r="E65" i="6"/>
  <c r="E355" i="6"/>
  <c r="D32" i="48"/>
  <c r="M159" i="48" s="1"/>
  <c r="E373" i="7"/>
  <c r="D507" i="34"/>
  <c r="D511" i="34" s="1"/>
  <c r="D512" i="34" s="1"/>
  <c r="D236" i="34" s="1"/>
  <c r="D395" i="34"/>
  <c r="D398" i="34"/>
  <c r="E741" i="6"/>
  <c r="E2047" i="6"/>
  <c r="B617" i="6"/>
  <c r="A122" i="3" s="1"/>
  <c r="B2062" i="6"/>
  <c r="E612" i="6"/>
  <c r="E1781" i="6"/>
  <c r="L1700" i="6"/>
  <c r="L1702" i="6" s="1"/>
  <c r="L1713" i="6" s="1"/>
  <c r="K549" i="6"/>
  <c r="B488" i="5"/>
  <c r="D206" i="15"/>
  <c r="D151" i="15" s="1"/>
  <c r="E157" i="8"/>
  <c r="E30" i="8" s="1"/>
  <c r="D202" i="15"/>
  <c r="G250" i="10"/>
  <c r="F155" i="11" s="1"/>
  <c r="G454" i="34"/>
  <c r="E156" i="8"/>
  <c r="L72" i="13"/>
  <c r="L55" i="13"/>
  <c r="N95" i="13"/>
  <c r="M97" i="13"/>
  <c r="E1116" i="7"/>
  <c r="E431" i="7"/>
  <c r="E46" i="4"/>
  <c r="Y90" i="11"/>
  <c r="Z90" i="11" s="1"/>
  <c r="S49" i="42"/>
  <c r="F10" i="60"/>
  <c r="F17" i="60"/>
  <c r="N54" i="34"/>
  <c r="M13" i="34"/>
  <c r="L295" i="34"/>
  <c r="L527" i="34" s="1"/>
  <c r="L543" i="34"/>
  <c r="M313" i="34"/>
  <c r="L657" i="34"/>
  <c r="M583" i="34"/>
  <c r="M596" i="34"/>
  <c r="K620" i="34"/>
  <c r="O619" i="34"/>
  <c r="P619" i="34" s="1"/>
  <c r="K608" i="34"/>
  <c r="K581" i="34"/>
  <c r="L542" i="34"/>
  <c r="M312" i="34"/>
  <c r="L656" i="34"/>
  <c r="L617" i="34"/>
  <c r="N595" i="34"/>
  <c r="L605" i="34"/>
  <c r="L80" i="34"/>
  <c r="K38" i="34"/>
  <c r="P359" i="8"/>
  <c r="O370" i="8"/>
  <c r="O108" i="8" s="1"/>
  <c r="J824" i="34"/>
  <c r="J794" i="34"/>
  <c r="J800" i="34" s="1"/>
  <c r="J814" i="34"/>
  <c r="J258" i="3" s="1"/>
  <c r="L394" i="34"/>
  <c r="BD11" i="42"/>
  <c r="L105" i="15" s="1"/>
  <c r="O1110" i="7"/>
  <c r="P1105" i="7"/>
  <c r="O417" i="7"/>
  <c r="O423" i="7" s="1"/>
  <c r="L706" i="34"/>
  <c r="K707" i="34"/>
  <c r="K212" i="34" s="1"/>
  <c r="L92" i="34"/>
  <c r="K9" i="34"/>
  <c r="K73" i="34"/>
  <c r="J31" i="34"/>
  <c r="L100" i="34"/>
  <c r="K17" i="34"/>
  <c r="CO80" i="22"/>
  <c r="CB80" i="22"/>
  <c r="CN36" i="22"/>
  <c r="CA36" i="22"/>
  <c r="H208" i="34"/>
  <c r="CB75" i="22"/>
  <c r="CO75" i="22"/>
  <c r="CA78" i="22"/>
  <c r="CN78" i="22"/>
  <c r="CM60" i="22"/>
  <c r="BZ60" i="22"/>
  <c r="CO65" i="22"/>
  <c r="CB65" i="22"/>
  <c r="CO61" i="22"/>
  <c r="CB61" i="22"/>
  <c r="CL142" i="22"/>
  <c r="I699" i="34" s="1"/>
  <c r="CM10" i="22"/>
  <c r="BZ10" i="22"/>
  <c r="CM8" i="22"/>
  <c r="BZ8" i="22"/>
  <c r="CB15" i="22"/>
  <c r="CO15" i="22"/>
  <c r="CA9" i="22"/>
  <c r="CN9" i="22"/>
  <c r="CO36" i="21"/>
  <c r="CB36" i="21"/>
  <c r="BZ35" i="21"/>
  <c r="CM35" i="21"/>
  <c r="F24" i="48"/>
  <c r="D245" i="48" s="1"/>
  <c r="F32" i="48"/>
  <c r="M239" i="48" s="1"/>
  <c r="P935" i="6"/>
  <c r="Q935" i="6" s="1"/>
  <c r="Q160" i="6" s="1"/>
  <c r="O160" i="6"/>
  <c r="AL29" i="42"/>
  <c r="I559" i="34"/>
  <c r="I694" i="34" s="1"/>
  <c r="I695" i="34" s="1"/>
  <c r="I204" i="34" s="1"/>
  <c r="I84" i="15"/>
  <c r="O330" i="8"/>
  <c r="N336" i="8"/>
  <c r="N78" i="8"/>
  <c r="BB20" i="42"/>
  <c r="J103" i="17"/>
  <c r="J294" i="15"/>
  <c r="J316" i="15" s="1"/>
  <c r="I574" i="34"/>
  <c r="I700" i="34" s="1"/>
  <c r="BA29" i="42"/>
  <c r="I115" i="15"/>
  <c r="N75" i="15"/>
  <c r="N323" i="34" s="1"/>
  <c r="L97" i="34"/>
  <c r="K14" i="34"/>
  <c r="J660" i="34"/>
  <c r="I666" i="34"/>
  <c r="J108" i="1"/>
  <c r="J119" i="1" s="1"/>
  <c r="K101" i="1"/>
  <c r="I29" i="34"/>
  <c r="J153" i="34"/>
  <c r="O522" i="8"/>
  <c r="N529" i="8"/>
  <c r="N565" i="8"/>
  <c r="N141" i="8"/>
  <c r="AC5" i="54"/>
  <c r="AB11" i="54"/>
  <c r="AB18" i="54" s="1"/>
  <c r="AB20" i="54" s="1"/>
  <c r="J245" i="15"/>
  <c r="J267" i="15" s="1"/>
  <c r="AM20" i="42"/>
  <c r="J105" i="16"/>
  <c r="M68" i="20"/>
  <c r="P18" i="16"/>
  <c r="AR41" i="42"/>
  <c r="O121" i="16"/>
  <c r="O252" i="15"/>
  <c r="O44" i="16"/>
  <c r="M148" i="8"/>
  <c r="K25" i="17"/>
  <c r="K10" i="17" s="1"/>
  <c r="M380" i="34"/>
  <c r="M498" i="34" s="1"/>
  <c r="M556" i="34"/>
  <c r="K25" i="16"/>
  <c r="K10" i="16" s="1"/>
  <c r="M84" i="8"/>
  <c r="M20" i="8"/>
  <c r="M32" i="8"/>
  <c r="I63" i="3"/>
  <c r="I64" i="3" s="1"/>
  <c r="Y126" i="11"/>
  <c r="Z126" i="11" s="1"/>
  <c r="F80" i="13"/>
  <c r="F133" i="13" s="1"/>
  <c r="C133" i="13"/>
  <c r="C135" i="13" s="1"/>
  <c r="O825" i="4"/>
  <c r="C71" i="3"/>
  <c r="C72" i="3" s="1"/>
  <c r="O559" i="4"/>
  <c r="O126" i="4" s="1"/>
  <c r="D26" i="48"/>
  <c r="F134" i="48" s="1"/>
  <c r="D31" i="48"/>
  <c r="L167" i="48" s="1"/>
  <c r="D37" i="48"/>
  <c r="R167" i="48" s="1"/>
  <c r="D36" i="48"/>
  <c r="Q167" i="48" s="1"/>
  <c r="M259" i="5"/>
  <c r="M261" i="5" s="1"/>
  <c r="M263" i="5" s="1"/>
  <c r="M274" i="5" s="1"/>
  <c r="A891" i="4"/>
  <c r="A33" i="4"/>
  <c r="A35" i="4" s="1"/>
  <c r="A46" i="4" s="1"/>
  <c r="H40" i="15"/>
  <c r="H9" i="15" s="1"/>
  <c r="V70" i="42"/>
  <c r="I34" i="60" s="1"/>
  <c r="C51" i="6"/>
  <c r="C56" i="6" s="1"/>
  <c r="C67" i="6" s="1"/>
  <c r="N75" i="7"/>
  <c r="O463" i="7"/>
  <c r="CB70" i="22"/>
  <c r="CO70" i="22"/>
  <c r="CM77" i="22"/>
  <c r="BZ77" i="22"/>
  <c r="CB17" i="22"/>
  <c r="CO17" i="22"/>
  <c r="CQ13" i="22"/>
  <c r="CD13" i="22"/>
  <c r="CO14" i="22"/>
  <c r="CB14" i="22"/>
  <c r="CM79" i="22"/>
  <c r="BZ79" i="22"/>
  <c r="CM104" i="22"/>
  <c r="BZ104" i="22"/>
  <c r="CO16" i="22"/>
  <c r="CB16" i="22"/>
  <c r="CO74" i="22"/>
  <c r="CB74" i="22"/>
  <c r="BZ7" i="22"/>
  <c r="CM7" i="22"/>
  <c r="BZ6" i="22"/>
  <c r="CM6" i="22"/>
  <c r="BZ84" i="22"/>
  <c r="CM84" i="22"/>
  <c r="CC30" i="22"/>
  <c r="CP30" i="22"/>
  <c r="CN11" i="22"/>
  <c r="CA11" i="22"/>
  <c r="CA42" i="22"/>
  <c r="CN42" i="22"/>
  <c r="CO58" i="22"/>
  <c r="CB58" i="22"/>
  <c r="CN47" i="22"/>
  <c r="CA47" i="22"/>
  <c r="CA100" i="22"/>
  <c r="CN100" i="22"/>
  <c r="BZ12" i="22"/>
  <c r="CM12" i="22"/>
  <c r="CA76" i="22"/>
  <c r="CN76" i="22"/>
  <c r="CA128" i="22"/>
  <c r="CN128" i="22"/>
  <c r="CA122" i="22"/>
  <c r="CN122" i="22"/>
  <c r="CA97" i="22"/>
  <c r="CN97" i="22"/>
  <c r="CA52" i="22"/>
  <c r="CN52" i="22"/>
  <c r="M118" i="4"/>
  <c r="N469" i="4"/>
  <c r="M119" i="4"/>
  <c r="M157" i="4" s="1"/>
  <c r="N125" i="4"/>
  <c r="O553" i="4"/>
  <c r="L871" i="4"/>
  <c r="I40" i="13" s="1"/>
  <c r="F17" i="42"/>
  <c r="U77" i="42"/>
  <c r="G41" i="60" s="1"/>
  <c r="F50" i="15"/>
  <c r="G50" i="15" s="1"/>
  <c r="E77" i="42"/>
  <c r="E15" i="60" s="1"/>
  <c r="M25" i="26"/>
  <c r="M27" i="26" s="1"/>
  <c r="P11" i="26"/>
  <c r="AK17" i="42"/>
  <c r="H81" i="15" s="1"/>
  <c r="O10" i="26"/>
  <c r="V17" i="42" s="1"/>
  <c r="R5" i="26"/>
  <c r="Q6" i="26"/>
  <c r="P12" i="26"/>
  <c r="AZ17" i="42"/>
  <c r="H112" i="15" s="1"/>
  <c r="G40" i="3"/>
  <c r="L142" i="4"/>
  <c r="C102" i="42"/>
  <c r="C136" i="42" s="1"/>
  <c r="C23" i="4"/>
  <c r="C887" i="4" s="1"/>
  <c r="C889" i="4" s="1"/>
  <c r="B37" i="13" s="1"/>
  <c r="B45" i="13" s="1"/>
  <c r="B23" i="4"/>
  <c r="B887" i="4" s="1"/>
  <c r="B889" i="4" s="1"/>
  <c r="A37" i="13" s="1"/>
  <c r="L115" i="4"/>
  <c r="L8" i="4" s="1"/>
  <c r="M459" i="4"/>
  <c r="F31" i="48"/>
  <c r="L256" i="48" s="1"/>
  <c r="F26" i="48"/>
  <c r="F225" i="48" s="1"/>
  <c r="O818" i="7"/>
  <c r="O304" i="7" s="1"/>
  <c r="M76" i="13"/>
  <c r="AA42" i="42"/>
  <c r="L42" i="42" s="1"/>
  <c r="L125" i="13"/>
  <c r="M210" i="15"/>
  <c r="M155" i="15" s="1"/>
  <c r="K38" i="6"/>
  <c r="L68" i="5"/>
  <c r="L79" i="5" s="1"/>
  <c r="O742" i="7"/>
  <c r="N272" i="7"/>
  <c r="F19" i="13"/>
  <c r="F20" i="13" s="1"/>
  <c r="F23" i="13" s="1"/>
  <c r="I586" i="34"/>
  <c r="I587" i="34" s="1"/>
  <c r="I589" i="34" s="1"/>
  <c r="I240" i="34" s="1"/>
  <c r="L83" i="21"/>
  <c r="M97" i="3" s="1"/>
  <c r="CA64" i="21"/>
  <c r="CN64" i="21"/>
  <c r="CA43" i="22"/>
  <c r="CN43" i="22"/>
  <c r="CA101" i="22"/>
  <c r="CN101" i="22"/>
  <c r="CP40" i="22"/>
  <c r="CC40" i="22"/>
  <c r="CA96" i="22"/>
  <c r="CN96" i="22"/>
  <c r="CC39" i="22"/>
  <c r="CP39" i="22"/>
  <c r="CA114" i="22"/>
  <c r="CN114" i="22"/>
  <c r="CA127" i="22"/>
  <c r="CN127" i="22"/>
  <c r="CC31" i="22"/>
  <c r="CP31" i="22"/>
  <c r="CA41" i="22"/>
  <c r="CN41" i="22"/>
  <c r="CN59" i="22"/>
  <c r="CA59" i="22"/>
  <c r="CA95" i="22"/>
  <c r="CN95" i="22"/>
  <c r="CA53" i="22"/>
  <c r="CN53" i="22"/>
  <c r="CN23" i="22"/>
  <c r="CA23" i="22"/>
  <c r="CA37" i="22"/>
  <c r="CN37" i="22"/>
  <c r="CA123" i="22"/>
  <c r="CN123" i="22"/>
  <c r="CN108" i="22"/>
  <c r="CA108" i="22"/>
  <c r="CQ28" i="22"/>
  <c r="CD28" i="22"/>
  <c r="CC44" i="22"/>
  <c r="CP44" i="22"/>
  <c r="CC45" i="22"/>
  <c r="CP45" i="22"/>
  <c r="CO109" i="22"/>
  <c r="CB109" i="22"/>
  <c r="CN48" i="22"/>
  <c r="CA48" i="22"/>
  <c r="CO55" i="22"/>
  <c r="CB55" i="22"/>
  <c r="CN22" i="22"/>
  <c r="CA22" i="22"/>
  <c r="CN66" i="22"/>
  <c r="CA66" i="22"/>
  <c r="CO27" i="22"/>
  <c r="CB27" i="22"/>
  <c r="CN54" i="22"/>
  <c r="CA54" i="22"/>
  <c r="CN71" i="22"/>
  <c r="CA71" i="22"/>
  <c r="CA69" i="22"/>
  <c r="CN69" i="22"/>
  <c r="CN33" i="22"/>
  <c r="CA33" i="22"/>
  <c r="CN21" i="22"/>
  <c r="CA21" i="22"/>
  <c r="CC46" i="22"/>
  <c r="CP46" i="22"/>
  <c r="CA62" i="22"/>
  <c r="CN62" i="22"/>
  <c r="CN20" i="22"/>
  <c r="CA20" i="22"/>
  <c r="CA32" i="22"/>
  <c r="CN32" i="22"/>
  <c r="CA107" i="22"/>
  <c r="CN107" i="22"/>
  <c r="CD29" i="22"/>
  <c r="CQ29" i="22"/>
  <c r="CN140" i="22"/>
  <c r="CA140" i="22"/>
  <c r="CB26" i="22"/>
  <c r="CO26" i="22"/>
  <c r="CB112" i="22"/>
  <c r="CO112" i="22"/>
  <c r="CA51" i="22"/>
  <c r="CN51" i="22"/>
  <c r="CA72" i="22"/>
  <c r="CN72" i="22"/>
  <c r="CA19" i="22"/>
  <c r="CN19" i="22"/>
  <c r="F192" i="15"/>
  <c r="G192" i="15" s="1"/>
  <c r="B13" i="3"/>
  <c r="B1134" i="7"/>
  <c r="B1151" i="7" s="1"/>
  <c r="B1159" i="7" s="1"/>
  <c r="I40" i="15"/>
  <c r="I9" i="15" s="1"/>
  <c r="C9" i="13"/>
  <c r="C10" i="13" s="1"/>
  <c r="C15" i="13" s="1"/>
  <c r="W70" i="42"/>
  <c r="J34" i="60" s="1"/>
  <c r="D182" i="48"/>
  <c r="D185" i="48"/>
  <c r="I795" i="34"/>
  <c r="I801" i="34" s="1"/>
  <c r="N95" i="7"/>
  <c r="O97" i="7"/>
  <c r="L267" i="7"/>
  <c r="L11" i="7" s="1"/>
  <c r="I162" i="48"/>
  <c r="M134" i="42"/>
  <c r="D436" i="7"/>
  <c r="M531" i="7"/>
  <c r="M533" i="7" s="1"/>
  <c r="M542" i="7" s="1"/>
  <c r="D179" i="48"/>
  <c r="M183" i="48"/>
  <c r="D198" i="48"/>
  <c r="M178" i="48"/>
  <c r="H825" i="34"/>
  <c r="D201" i="48"/>
  <c r="M192" i="48"/>
  <c r="M180" i="48"/>
  <c r="M203" i="48"/>
  <c r="M190" i="48"/>
  <c r="M189" i="48"/>
  <c r="M182" i="48"/>
  <c r="D186" i="48"/>
  <c r="M201" i="48"/>
  <c r="M202" i="48"/>
  <c r="A34" i="20"/>
  <c r="A67" i="20" s="1"/>
  <c r="D178" i="48"/>
  <c r="M196" i="48"/>
  <c r="M194" i="48"/>
  <c r="D174" i="48"/>
  <c r="E211" i="48" s="1"/>
  <c r="M186" i="48"/>
  <c r="M193" i="48"/>
  <c r="D202" i="48"/>
  <c r="D181" i="48"/>
  <c r="D203" i="48"/>
  <c r="D211" i="48"/>
  <c r="D190" i="48"/>
  <c r="D191" i="48"/>
  <c r="D177" i="48"/>
  <c r="D1131" i="7"/>
  <c r="D195" i="48"/>
  <c r="D184" i="48"/>
  <c r="D180" i="48"/>
  <c r="A120" i="3"/>
  <c r="I216" i="15"/>
  <c r="I137" i="15"/>
  <c r="I161" i="15" s="1"/>
  <c r="X30" i="42"/>
  <c r="I30" i="42" s="1"/>
  <c r="I65" i="13"/>
  <c r="J192" i="15"/>
  <c r="D200" i="48"/>
  <c r="D192" i="48"/>
  <c r="D189" i="48"/>
  <c r="D183" i="48"/>
  <c r="D193" i="48"/>
  <c r="N885" i="7"/>
  <c r="M944" i="7"/>
  <c r="M1157" i="7" s="1"/>
  <c r="M342" i="7"/>
  <c r="M362" i="7" s="1"/>
  <c r="M40" i="7" s="1"/>
  <c r="J13" i="13" s="1"/>
  <c r="J49" i="13" s="1"/>
  <c r="D188" i="48"/>
  <c r="O735" i="7"/>
  <c r="N265" i="7"/>
  <c r="D194" i="48"/>
  <c r="D196" i="48"/>
  <c r="D197" i="48"/>
  <c r="D199" i="48"/>
  <c r="I750" i="34"/>
  <c r="I752" i="34" s="1"/>
  <c r="M200" i="48"/>
  <c r="M187" i="48"/>
  <c r="M197" i="48"/>
  <c r="M181" i="48"/>
  <c r="P211" i="48"/>
  <c r="M177" i="48"/>
  <c r="M179" i="48"/>
  <c r="M211" i="48"/>
  <c r="M195" i="48"/>
  <c r="M199" i="48"/>
  <c r="M188" i="48"/>
  <c r="M185" i="48"/>
  <c r="M191" i="48"/>
  <c r="M184" i="48"/>
  <c r="M214" i="15"/>
  <c r="M159" i="15" s="1"/>
  <c r="L122" i="13"/>
  <c r="AA31" i="42"/>
  <c r="L31" i="42" s="1"/>
  <c r="I217" i="34"/>
  <c r="I815" i="34" s="1"/>
  <c r="I259" i="3" s="1"/>
  <c r="O584" i="7"/>
  <c r="O1154" i="7" s="1"/>
  <c r="O150" i="7"/>
  <c r="O153" i="7" s="1"/>
  <c r="O39" i="7" s="1"/>
  <c r="M66" i="13" s="1"/>
  <c r="P581" i="7"/>
  <c r="H296" i="7"/>
  <c r="H102" i="13"/>
  <c r="H217" i="34"/>
  <c r="H815" i="34" s="1"/>
  <c r="H259" i="3" s="1"/>
  <c r="S18" i="26"/>
  <c r="O761" i="7"/>
  <c r="J217" i="34"/>
  <c r="J815" i="34" s="1"/>
  <c r="J259" i="3" s="1"/>
  <c r="M344" i="7"/>
  <c r="F192" i="48"/>
  <c r="F198" i="48"/>
  <c r="F183" i="48"/>
  <c r="F202" i="48"/>
  <c r="F186" i="48"/>
  <c r="F184" i="48"/>
  <c r="F188" i="48"/>
  <c r="H1145" i="7"/>
  <c r="E38" i="48"/>
  <c r="F195" i="48"/>
  <c r="F181" i="48"/>
  <c r="F199" i="48"/>
  <c r="F211" i="48"/>
  <c r="F201" i="48"/>
  <c r="F182" i="48"/>
  <c r="F179" i="48"/>
  <c r="F191" i="48"/>
  <c r="D145" i="48"/>
  <c r="D149" i="48"/>
  <c r="D153" i="48"/>
  <c r="D157" i="48"/>
  <c r="D139" i="48"/>
  <c r="D147" i="48"/>
  <c r="D151" i="48"/>
  <c r="D133" i="48"/>
  <c r="D135" i="48"/>
  <c r="D138" i="48"/>
  <c r="D142" i="48"/>
  <c r="D146" i="48"/>
  <c r="D148" i="48"/>
  <c r="D150" i="48"/>
  <c r="D154" i="48"/>
  <c r="D158" i="48"/>
  <c r="D130" i="48"/>
  <c r="D136" i="48"/>
  <c r="D143" i="48"/>
  <c r="D155" i="48"/>
  <c r="D137" i="48"/>
  <c r="D144" i="48"/>
  <c r="D167" i="48"/>
  <c r="D134" i="48"/>
  <c r="D141" i="48"/>
  <c r="D159" i="48"/>
  <c r="D140" i="48"/>
  <c r="D152" i="48"/>
  <c r="D156" i="48"/>
  <c r="F177" i="48"/>
  <c r="F203" i="48"/>
  <c r="F149" i="48"/>
  <c r="U29" i="42"/>
  <c r="F29" i="42" s="1"/>
  <c r="F189" i="48"/>
  <c r="F180" i="48"/>
  <c r="F194" i="48"/>
  <c r="F196" i="48"/>
  <c r="F187" i="48"/>
  <c r="C121" i="13"/>
  <c r="F190" i="48"/>
  <c r="F197" i="48"/>
  <c r="F193" i="48"/>
  <c r="F185" i="48"/>
  <c r="D683" i="34"/>
  <c r="D198" i="34" s="1"/>
  <c r="D199" i="34" s="1"/>
  <c r="F178" i="48"/>
  <c r="M583" i="7"/>
  <c r="M585" i="7" s="1"/>
  <c r="M596" i="7" s="1"/>
  <c r="M189" i="7"/>
  <c r="N637" i="7"/>
  <c r="O1055" i="7"/>
  <c r="L736" i="34"/>
  <c r="N406" i="7"/>
  <c r="N86" i="7"/>
  <c r="O504" i="7"/>
  <c r="P97" i="7"/>
  <c r="Q520" i="7"/>
  <c r="N801" i="7"/>
  <c r="M289" i="7"/>
  <c r="K154" i="7"/>
  <c r="K1128" i="7" s="1"/>
  <c r="O760" i="7"/>
  <c r="S17" i="26"/>
  <c r="N277" i="7"/>
  <c r="P804" i="7"/>
  <c r="O290" i="7"/>
  <c r="N93" i="7"/>
  <c r="O516" i="7"/>
  <c r="K1143" i="7"/>
  <c r="M236" i="7"/>
  <c r="M21" i="7" s="1"/>
  <c r="P77" i="7"/>
  <c r="Q467" i="7"/>
  <c r="O762" i="7"/>
  <c r="N278" i="7"/>
  <c r="BM88" i="9"/>
  <c r="BW3" i="9"/>
  <c r="BW88" i="9" s="1"/>
  <c r="BW174" i="9" s="1"/>
  <c r="BW219" i="9" s="1"/>
  <c r="BW221" i="9" s="1"/>
  <c r="BR174" i="9"/>
  <c r="BR219" i="9" s="1"/>
  <c r="BR221" i="9" s="1"/>
  <c r="Q74" i="14"/>
  <c r="W44" i="42"/>
  <c r="H44" i="42" s="1"/>
  <c r="I202" i="15"/>
  <c r="I147" i="15" s="1"/>
  <c r="H143" i="13"/>
  <c r="BC174" i="9"/>
  <c r="BC219" i="9" s="1"/>
  <c r="BC221" i="9" s="1"/>
  <c r="I75" i="13"/>
  <c r="J206" i="3"/>
  <c r="J75" i="13"/>
  <c r="K206" i="3"/>
  <c r="CZ146" i="9"/>
  <c r="BH174" i="9"/>
  <c r="BH219" i="9" s="1"/>
  <c r="BH221" i="9" s="1"/>
  <c r="CK150" i="9"/>
  <c r="CX150" i="9"/>
  <c r="H64" i="3"/>
  <c r="K132" i="13"/>
  <c r="N716" i="7"/>
  <c r="N249" i="7" s="1"/>
  <c r="CZ30" i="9"/>
  <c r="CZ181" i="9"/>
  <c r="CY123" i="9"/>
  <c r="F142" i="13"/>
  <c r="F198" i="15"/>
  <c r="CZ165" i="9"/>
  <c r="S13" i="37"/>
  <c r="Q12" i="37"/>
  <c r="P116" i="37"/>
  <c r="Q17" i="37"/>
  <c r="P115" i="37"/>
  <c r="I208" i="3"/>
  <c r="I210" i="3" s="1"/>
  <c r="O488" i="8"/>
  <c r="N129" i="8"/>
  <c r="P76" i="7"/>
  <c r="Q466" i="7"/>
  <c r="P696" i="7"/>
  <c r="O232" i="7"/>
  <c r="O233" i="7" s="1"/>
  <c r="P284" i="7"/>
  <c r="Q796" i="7"/>
  <c r="P963" i="7"/>
  <c r="O965" i="7"/>
  <c r="O321" i="7"/>
  <c r="O286" i="7"/>
  <c r="P798" i="7"/>
  <c r="Q487" i="7"/>
  <c r="Q1054" i="7"/>
  <c r="B120" i="3"/>
  <c r="L238" i="7"/>
  <c r="L240" i="7" s="1"/>
  <c r="M106" i="7"/>
  <c r="M19" i="7" s="1"/>
  <c r="L32" i="7"/>
  <c r="H1126" i="7"/>
  <c r="Q506" i="7"/>
  <c r="P9" i="27"/>
  <c r="O20" i="27"/>
  <c r="M117" i="42"/>
  <c r="K124" i="42"/>
  <c r="N580" i="7"/>
  <c r="M149" i="7"/>
  <c r="O905" i="7"/>
  <c r="X66" i="10"/>
  <c r="X103" i="10" s="1"/>
  <c r="P730" i="7"/>
  <c r="P262" i="7" s="1"/>
  <c r="U65" i="10"/>
  <c r="V65" i="10" s="1"/>
  <c r="N904" i="7"/>
  <c r="C206" i="42"/>
  <c r="O512" i="7"/>
  <c r="N90" i="7"/>
  <c r="N96" i="7"/>
  <c r="O519" i="7"/>
  <c r="N94" i="7"/>
  <c r="O517" i="7"/>
  <c r="H542" i="7"/>
  <c r="I542" i="7" s="1"/>
  <c r="N85" i="7"/>
  <c r="O502" i="7"/>
  <c r="O95" i="7"/>
  <c r="P518" i="7"/>
  <c r="N576" i="7"/>
  <c r="N146" i="7" s="1"/>
  <c r="O562" i="7"/>
  <c r="N87" i="7"/>
  <c r="O505" i="7"/>
  <c r="O750" i="7"/>
  <c r="N273" i="7"/>
  <c r="S22" i="26"/>
  <c r="O728" i="7"/>
  <c r="N261" i="7"/>
  <c r="M323" i="7"/>
  <c r="N855" i="7"/>
  <c r="M618" i="7"/>
  <c r="J44" i="15"/>
  <c r="J13" i="15" s="1"/>
  <c r="J291" i="34" s="1"/>
  <c r="J354" i="34" s="1"/>
  <c r="I40" i="42"/>
  <c r="M30" i="9"/>
  <c r="L132" i="13" s="1"/>
  <c r="L123" i="9"/>
  <c r="BE123" i="9" s="1"/>
  <c r="AZ123" i="9"/>
  <c r="CY193" i="9"/>
  <c r="CL193" i="9"/>
  <c r="G144" i="3"/>
  <c r="CY119" i="9"/>
  <c r="CL119" i="9"/>
  <c r="CY101" i="9"/>
  <c r="CL101" i="9"/>
  <c r="CZ162" i="9"/>
  <c r="CM162" i="9"/>
  <c r="AB157" i="10"/>
  <c r="AA90" i="11" s="1"/>
  <c r="H1510" i="6"/>
  <c r="I109" i="42"/>
  <c r="H32" i="8"/>
  <c r="H1465" i="6"/>
  <c r="I1465" i="6" s="1"/>
  <c r="G61" i="3"/>
  <c r="J1128" i="7"/>
  <c r="J165" i="7"/>
  <c r="L152" i="7"/>
  <c r="L1143" i="7" s="1"/>
  <c r="L183" i="7"/>
  <c r="L8" i="7" s="1"/>
  <c r="N831" i="7"/>
  <c r="N316" i="7" s="1"/>
  <c r="T67" i="10"/>
  <c r="L97" i="12"/>
  <c r="X7" i="10" s="1"/>
  <c r="X39" i="10" s="1"/>
  <c r="M85" i="12"/>
  <c r="Z88" i="10" s="1"/>
  <c r="AB88" i="10" s="1"/>
  <c r="N81" i="12"/>
  <c r="M4" i="12"/>
  <c r="P338" i="4" s="1"/>
  <c r="C213" i="42"/>
  <c r="D213" i="42" s="1"/>
  <c r="CL99" i="9"/>
  <c r="CY99" i="9"/>
  <c r="K115" i="34"/>
  <c r="K116" i="34" s="1"/>
  <c r="A279" i="15"/>
  <c r="A276" i="15"/>
  <c r="A119" i="16"/>
  <c r="A123" i="16" s="1"/>
  <c r="A125" i="16" s="1"/>
  <c r="A93" i="3" s="1"/>
  <c r="AF59" i="42"/>
  <c r="F589" i="34"/>
  <c r="F240" i="34" s="1"/>
  <c r="AI14" i="42"/>
  <c r="C78" i="15"/>
  <c r="N295" i="45"/>
  <c r="N305" i="45" s="1"/>
  <c r="N306" i="45" s="1"/>
  <c r="P269" i="8"/>
  <c r="O60" i="8"/>
  <c r="O291" i="45"/>
  <c r="C53" i="15"/>
  <c r="S29" i="42"/>
  <c r="D29" i="42" s="1"/>
  <c r="E545" i="34"/>
  <c r="S80" i="42"/>
  <c r="C44" i="60" s="1"/>
  <c r="E160" i="42"/>
  <c r="D20" i="42"/>
  <c r="F22" i="15"/>
  <c r="G22" i="15" s="1"/>
  <c r="B244" i="42"/>
  <c r="I8" i="15"/>
  <c r="BY71" i="21"/>
  <c r="CL71" i="21"/>
  <c r="BZ45" i="21"/>
  <c r="CM45" i="21"/>
  <c r="CB11" i="21"/>
  <c r="CO11" i="21"/>
  <c r="CO18" i="21"/>
  <c r="CB18" i="21"/>
  <c r="CB47" i="21"/>
  <c r="CO47" i="21"/>
  <c r="CO28" i="21"/>
  <c r="CB28" i="21"/>
  <c r="BA69" i="21"/>
  <c r="BA73" i="21" s="1"/>
  <c r="M81" i="21" s="1"/>
  <c r="M73" i="21"/>
  <c r="N69" i="21"/>
  <c r="CA37" i="21"/>
  <c r="CN37" i="21"/>
  <c r="CN51" i="21"/>
  <c r="CA51" i="21"/>
  <c r="L40" i="16"/>
  <c r="N346" i="8"/>
  <c r="N95" i="8" s="1"/>
  <c r="N32" i="8" s="1"/>
  <c r="CB41" i="21"/>
  <c r="CO41" i="21"/>
  <c r="BZ50" i="21"/>
  <c r="CM50" i="21"/>
  <c r="CA43" i="21"/>
  <c r="CN43" i="21"/>
  <c r="CO42" i="21"/>
  <c r="CB42" i="21"/>
  <c r="CO44" i="21"/>
  <c r="CB44" i="21"/>
  <c r="CM8" i="21"/>
  <c r="BZ8" i="21"/>
  <c r="CL59" i="21"/>
  <c r="BY59" i="21"/>
  <c r="BZ15" i="21"/>
  <c r="CM15" i="21"/>
  <c r="CC48" i="21"/>
  <c r="CP48" i="21"/>
  <c r="BZ23" i="21"/>
  <c r="CM23" i="21"/>
  <c r="BZ70" i="21"/>
  <c r="CM70" i="21"/>
  <c r="AN49" i="42"/>
  <c r="AN52" i="42" s="1"/>
  <c r="K113" i="16"/>
  <c r="K115" i="16" s="1"/>
  <c r="K259" i="15"/>
  <c r="J598" i="34"/>
  <c r="J599" i="34" s="1"/>
  <c r="J601" i="34" s="1"/>
  <c r="J242" i="34" s="1"/>
  <c r="AC157" i="10"/>
  <c r="AF157" i="10" s="1"/>
  <c r="O65" i="8"/>
  <c r="P308" i="8"/>
  <c r="O290" i="45"/>
  <c r="O289" i="45"/>
  <c r="H147" i="3"/>
  <c r="L77" i="15"/>
  <c r="L321" i="34" s="1"/>
  <c r="K86" i="15"/>
  <c r="K326" i="34" s="1"/>
  <c r="J522" i="34"/>
  <c r="J472" i="34"/>
  <c r="J294" i="34"/>
  <c r="J526" i="34" s="1"/>
  <c r="J558" i="34"/>
  <c r="O48" i="8"/>
  <c r="AP12" i="42"/>
  <c r="P199" i="8"/>
  <c r="J496" i="34"/>
  <c r="J383" i="34"/>
  <c r="K289" i="34"/>
  <c r="K352" i="34" s="1"/>
  <c r="K554" i="34"/>
  <c r="K378" i="34"/>
  <c r="CA120" i="22"/>
  <c r="CN120" i="22"/>
  <c r="CA121" i="22"/>
  <c r="CN121" i="22"/>
  <c r="CN119" i="22"/>
  <c r="CA119" i="22"/>
  <c r="CA138" i="22"/>
  <c r="CN138" i="22"/>
  <c r="CB130" i="22"/>
  <c r="CO130" i="22"/>
  <c r="CA131" i="22"/>
  <c r="CN131" i="22"/>
  <c r="CB129" i="22"/>
  <c r="CO129" i="22"/>
  <c r="CA81" i="22"/>
  <c r="CN81" i="22"/>
  <c r="CA83" i="22"/>
  <c r="CN83" i="22"/>
  <c r="CM82" i="22"/>
  <c r="BZ82" i="22"/>
  <c r="CC86" i="22"/>
  <c r="CP86" i="22"/>
  <c r="M74" i="20"/>
  <c r="P78" i="20"/>
  <c r="T79" i="20"/>
  <c r="P84" i="20"/>
  <c r="CA116" i="22"/>
  <c r="CN116" i="22"/>
  <c r="Y50" i="11"/>
  <c r="Z50" i="11" s="1"/>
  <c r="U122" i="10"/>
  <c r="X3" i="10"/>
  <c r="L469" i="9"/>
  <c r="V156" i="11"/>
  <c r="W156" i="11" s="1"/>
  <c r="CM102" i="9"/>
  <c r="CZ102" i="9"/>
  <c r="DB52" i="9"/>
  <c r="CO52" i="9"/>
  <c r="CM58" i="21"/>
  <c r="BZ58" i="21"/>
  <c r="BZ56" i="21"/>
  <c r="CM56" i="21"/>
  <c r="CA61" i="21"/>
  <c r="CN61" i="21"/>
  <c r="BZ57" i="21"/>
  <c r="CM57" i="21"/>
  <c r="CK74" i="21"/>
  <c r="CD49" i="21"/>
  <c r="CQ49" i="21"/>
  <c r="BZ46" i="21"/>
  <c r="CM46" i="21"/>
  <c r="BZ40" i="21"/>
  <c r="CM40" i="21"/>
  <c r="CA34" i="21"/>
  <c r="CN34" i="21"/>
  <c r="CM14" i="21"/>
  <c r="BZ14" i="21"/>
  <c r="BZ17" i="21"/>
  <c r="CM17" i="21"/>
  <c r="CL73" i="21"/>
  <c r="CL74" i="21" s="1"/>
  <c r="CA16" i="21"/>
  <c r="CN16" i="21"/>
  <c r="BZ7" i="21"/>
  <c r="CM7" i="21"/>
  <c r="B20" i="42"/>
  <c r="B80" i="42" s="1"/>
  <c r="A18" i="60" s="1"/>
  <c r="G72" i="42"/>
  <c r="I10" i="60" s="1"/>
  <c r="U80" i="42"/>
  <c r="G44" i="60" s="1"/>
  <c r="F191" i="15"/>
  <c r="G191" i="15" s="1"/>
  <c r="F20" i="42"/>
  <c r="F80" i="42" s="1"/>
  <c r="G18" i="60" s="1"/>
  <c r="BE49" i="42"/>
  <c r="H820" i="7"/>
  <c r="I820" i="7" s="1"/>
  <c r="G545" i="34"/>
  <c r="M111" i="17"/>
  <c r="F18" i="34"/>
  <c r="C34" i="8"/>
  <c r="F470" i="34"/>
  <c r="C541" i="8"/>
  <c r="Q80" i="42"/>
  <c r="A44" i="60" s="1"/>
  <c r="Q29" i="42"/>
  <c r="B29" i="42" s="1"/>
  <c r="H213" i="3"/>
  <c r="K194" i="4"/>
  <c r="K863" i="4" s="1"/>
  <c r="M167" i="6"/>
  <c r="X69" i="42"/>
  <c r="K33" i="60" s="1"/>
  <c r="L578" i="6"/>
  <c r="L15" i="6" s="1"/>
  <c r="L47" i="6" s="1"/>
  <c r="L1771" i="6"/>
  <c r="Q246" i="10" s="1"/>
  <c r="O1309" i="6"/>
  <c r="N425" i="6"/>
  <c r="M665" i="6"/>
  <c r="N1931" i="6"/>
  <c r="I7" i="42"/>
  <c r="I69" i="42" s="1"/>
  <c r="K7" i="60" s="1"/>
  <c r="J344" i="6"/>
  <c r="J2057" i="6" s="1"/>
  <c r="N246" i="10"/>
  <c r="P246" i="10" s="1"/>
  <c r="O152" i="11" s="1"/>
  <c r="M235" i="3"/>
  <c r="J606" i="6"/>
  <c r="J2062" i="6" s="1"/>
  <c r="J2082" i="6"/>
  <c r="H688" i="34"/>
  <c r="H682" i="34" s="1"/>
  <c r="M57" i="4"/>
  <c r="L703" i="4"/>
  <c r="L714" i="4" s="1"/>
  <c r="H301" i="4"/>
  <c r="I301" i="4" s="1"/>
  <c r="K7" i="10"/>
  <c r="M7" i="10" s="1"/>
  <c r="L192" i="4"/>
  <c r="L19" i="4" s="1"/>
  <c r="L29" i="4" s="1"/>
  <c r="H865" i="4"/>
  <c r="I865" i="4" s="1"/>
  <c r="H44" i="6"/>
  <c r="I44" i="6" s="1"/>
  <c r="E44" i="60"/>
  <c r="I249" i="48"/>
  <c r="I254" i="48" s="1"/>
  <c r="M638" i="4"/>
  <c r="M649" i="4" s="1"/>
  <c r="N612" i="4"/>
  <c r="O612" i="4" s="1"/>
  <c r="H31" i="4"/>
  <c r="I31" i="4" s="1"/>
  <c r="AZ49" i="42"/>
  <c r="AZ52" i="42" s="1"/>
  <c r="AZ54" i="42" s="1"/>
  <c r="V34" i="42"/>
  <c r="G34" i="42" s="1"/>
  <c r="H194" i="15"/>
  <c r="H139" i="15" s="1"/>
  <c r="H163" i="15" s="1"/>
  <c r="G69" i="13"/>
  <c r="K1777" i="6"/>
  <c r="K613" i="6" s="1"/>
  <c r="O259" i="10"/>
  <c r="L2093" i="6"/>
  <c r="L55" i="6" s="1"/>
  <c r="X22" i="42" s="1"/>
  <c r="AP219" i="9"/>
  <c r="N159" i="6"/>
  <c r="O934" i="6"/>
  <c r="P985" i="6"/>
  <c r="Q985" i="6" s="1"/>
  <c r="Q206" i="6" s="1"/>
  <c r="O206" i="6"/>
  <c r="B122" i="3"/>
  <c r="N324" i="6"/>
  <c r="E22" i="42"/>
  <c r="O406" i="6"/>
  <c r="P1288" i="6"/>
  <c r="Q1288" i="6" s="1"/>
  <c r="Q406" i="6" s="1"/>
  <c r="O864" i="6"/>
  <c r="N162" i="6"/>
  <c r="N168" i="6" s="1"/>
  <c r="N870" i="6"/>
  <c r="M938" i="6"/>
  <c r="M940" i="6" s="1"/>
  <c r="M942" i="6" s="1"/>
  <c r="M1767" i="6"/>
  <c r="M726" i="6"/>
  <c r="N2030" i="6"/>
  <c r="J22" i="58"/>
  <c r="P1333" i="6"/>
  <c r="Q1333" i="6" s="1"/>
  <c r="Q428" i="6" s="1"/>
  <c r="O428" i="6"/>
  <c r="P249" i="6"/>
  <c r="BK120" i="9" s="1"/>
  <c r="N120" i="9"/>
  <c r="N209" i="3"/>
  <c r="N145" i="3"/>
  <c r="M1698" i="6"/>
  <c r="N1693" i="6"/>
  <c r="N542" i="6" s="1"/>
  <c r="O1668" i="6"/>
  <c r="N1696" i="6"/>
  <c r="M545" i="6"/>
  <c r="M550" i="6" s="1"/>
  <c r="M1701" i="6"/>
  <c r="P208" i="6"/>
  <c r="F545" i="34"/>
  <c r="E20" i="42"/>
  <c r="K17" i="58"/>
  <c r="O2010" i="6"/>
  <c r="N712" i="6"/>
  <c r="N1923" i="6"/>
  <c r="M659" i="6"/>
  <c r="M663" i="6"/>
  <c r="N1927" i="6"/>
  <c r="P1188" i="6"/>
  <c r="Q1188" i="6" s="1"/>
  <c r="O330" i="6"/>
  <c r="O329" i="6" s="1"/>
  <c r="M1813" i="6"/>
  <c r="L171" i="45"/>
  <c r="M171" i="45" s="1"/>
  <c r="BJ120" i="9"/>
  <c r="O892" i="6"/>
  <c r="N149" i="6"/>
  <c r="H2079" i="6"/>
  <c r="O464" i="4"/>
  <c r="H456" i="6"/>
  <c r="I456" i="6" s="1"/>
  <c r="H308" i="15"/>
  <c r="N672" i="4"/>
  <c r="J1776" i="6"/>
  <c r="M246" i="10"/>
  <c r="L152" i="11" s="1"/>
  <c r="H613" i="6"/>
  <c r="I613" i="6" s="1"/>
  <c r="N320" i="6"/>
  <c r="O1108" i="6"/>
  <c r="N35" i="45"/>
  <c r="O589" i="6"/>
  <c r="P1746" i="6"/>
  <c r="Q1746" i="6" s="1"/>
  <c r="Q589" i="6" s="1"/>
  <c r="P1328" i="6"/>
  <c r="Q1328" i="6" s="1"/>
  <c r="Q426" i="6" s="1"/>
  <c r="O426" i="6"/>
  <c r="L879" i="6"/>
  <c r="J233" i="3"/>
  <c r="AU82" i="9"/>
  <c r="M661" i="6"/>
  <c r="N1925" i="6"/>
  <c r="N487" i="6"/>
  <c r="O1604" i="6"/>
  <c r="O1000" i="6"/>
  <c r="N214" i="6"/>
  <c r="N143" i="6"/>
  <c r="O894" i="6"/>
  <c r="H55" i="15"/>
  <c r="H24" i="15" s="1"/>
  <c r="A2066" i="6"/>
  <c r="A2088" i="6" s="1"/>
  <c r="A2094" i="6" s="1"/>
  <c r="L634" i="6"/>
  <c r="L16" i="6" s="1"/>
  <c r="I198" i="15"/>
  <c r="I143" i="15" s="1"/>
  <c r="O1798" i="6"/>
  <c r="L772" i="34"/>
  <c r="W253" i="10"/>
  <c r="Y253" i="10" s="1"/>
  <c r="X156" i="11" s="1"/>
  <c r="O573" i="6"/>
  <c r="P1729" i="6"/>
  <c r="Q1729" i="6" s="1"/>
  <c r="Q573" i="6" s="1"/>
  <c r="N312" i="6"/>
  <c r="O1099" i="6"/>
  <c r="M629" i="6"/>
  <c r="N1795" i="6"/>
  <c r="N1732" i="6"/>
  <c r="M1768" i="6"/>
  <c r="M576" i="6"/>
  <c r="M603" i="6" s="1"/>
  <c r="M2091" i="6" s="1"/>
  <c r="M53" i="6" s="1"/>
  <c r="C2066" i="6"/>
  <c r="C2088" i="6" s="1"/>
  <c r="C2094" i="6" s="1"/>
  <c r="G22" i="42"/>
  <c r="M630" i="6"/>
  <c r="N1796" i="6"/>
  <c r="O779" i="6"/>
  <c r="N92" i="6"/>
  <c r="P404" i="6"/>
  <c r="L547" i="6"/>
  <c r="L30" i="6" s="1"/>
  <c r="L46" i="6" s="1"/>
  <c r="AQ219" i="9"/>
  <c r="AQ221" i="9" s="1"/>
  <c r="I56" i="13" s="1"/>
  <c r="J144" i="3" s="1"/>
  <c r="M702" i="6"/>
  <c r="Y12" i="42" s="1"/>
  <c r="N1994" i="6"/>
  <c r="M666" i="6"/>
  <c r="N1934" i="6"/>
  <c r="M877" i="6"/>
  <c r="M177" i="6" s="1"/>
  <c r="M64" i="6" s="1"/>
  <c r="K61" i="3" s="1"/>
  <c r="L114" i="1"/>
  <c r="L117" i="1" s="1"/>
  <c r="AV82" i="9"/>
  <c r="J116" i="40"/>
  <c r="Y40" i="42" s="1"/>
  <c r="M664" i="6"/>
  <c r="N1928" i="6"/>
  <c r="P1227" i="6"/>
  <c r="P366" i="6" s="1"/>
  <c r="P376" i="6"/>
  <c r="L700" i="6"/>
  <c r="J758" i="34"/>
  <c r="N649" i="6"/>
  <c r="O1866" i="6"/>
  <c r="N1987" i="6"/>
  <c r="M698" i="6"/>
  <c r="M1990" i="6"/>
  <c r="J9" i="58" s="1"/>
  <c r="H142" i="13"/>
  <c r="M871" i="6"/>
  <c r="K606" i="6"/>
  <c r="K2062" i="6" s="1"/>
  <c r="L1510" i="6"/>
  <c r="Q239" i="10" s="1"/>
  <c r="L1516" i="6" s="1"/>
  <c r="L461" i="6" s="1"/>
  <c r="I146" i="3"/>
  <c r="O31" i="45"/>
  <c r="O262" i="6"/>
  <c r="O2005" i="6"/>
  <c r="K25" i="40"/>
  <c r="M216" i="6"/>
  <c r="M222" i="6" s="1"/>
  <c r="N1002" i="6"/>
  <c r="M1008" i="6"/>
  <c r="P1331" i="6"/>
  <c r="Q1331" i="6" s="1"/>
  <c r="O427" i="6"/>
  <c r="M248" i="6"/>
  <c r="N1029" i="6"/>
  <c r="M1074" i="6"/>
  <c r="M272" i="6"/>
  <c r="M279" i="6" s="1"/>
  <c r="N1068" i="6"/>
  <c r="N1741" i="6"/>
  <c r="N1765" i="6" s="1"/>
  <c r="M600" i="6"/>
  <c r="M31" i="6" s="1"/>
  <c r="I144" i="3"/>
  <c r="L259" i="10"/>
  <c r="J1777" i="6"/>
  <c r="J613" i="6" s="1"/>
  <c r="N594" i="6"/>
  <c r="O1758" i="6"/>
  <c r="P1848" i="6"/>
  <c r="Q1848" i="6" s="1"/>
  <c r="O2027" i="6"/>
  <c r="O724" i="6" s="1"/>
  <c r="O643" i="6"/>
  <c r="P997" i="6"/>
  <c r="Q997" i="6" s="1"/>
  <c r="Q211" i="6" s="1"/>
  <c r="O211" i="6"/>
  <c r="R20" i="26"/>
  <c r="N1614" i="6"/>
  <c r="M494" i="6"/>
  <c r="M113" i="34"/>
  <c r="L115" i="34"/>
  <c r="L116" i="34" s="1"/>
  <c r="L1006" i="6"/>
  <c r="L1009" i="6" s="1"/>
  <c r="L1018" i="6" s="1"/>
  <c r="L46" i="45"/>
  <c r="L47" i="45" s="1"/>
  <c r="O261" i="6"/>
  <c r="N94" i="6"/>
  <c r="O787" i="6"/>
  <c r="K24" i="6"/>
  <c r="K40" i="6" s="1"/>
  <c r="K220" i="6"/>
  <c r="H612" i="6"/>
  <c r="H1781" i="6"/>
  <c r="N2020" i="6"/>
  <c r="M720" i="6"/>
  <c r="O1691" i="6"/>
  <c r="N1985" i="6"/>
  <c r="M697" i="6"/>
  <c r="J6" i="58"/>
  <c r="J5" i="58" s="1"/>
  <c r="L343" i="6"/>
  <c r="G48" i="13"/>
  <c r="H191" i="15" s="1"/>
  <c r="H213" i="15" s="1"/>
  <c r="N1138" i="6"/>
  <c r="M336" i="6"/>
  <c r="M1144" i="6"/>
  <c r="H813" i="6"/>
  <c r="I813" i="6" s="1"/>
  <c r="H2056" i="6"/>
  <c r="N1799" i="6"/>
  <c r="M631" i="6"/>
  <c r="N1001" i="6"/>
  <c r="M215" i="6"/>
  <c r="M1007" i="6"/>
  <c r="M1004" i="6"/>
  <c r="R21" i="26"/>
  <c r="N1491" i="6"/>
  <c r="N798" i="6"/>
  <c r="M103" i="6"/>
  <c r="O673" i="6"/>
  <c r="P1958" i="6"/>
  <c r="Q1958" i="6" s="1"/>
  <c r="Y7" i="42"/>
  <c r="N1986" i="6"/>
  <c r="M699" i="6"/>
  <c r="N1638" i="6"/>
  <c r="M506" i="6"/>
  <c r="M511" i="6" s="1"/>
  <c r="M1643" i="6"/>
  <c r="N1666" i="6"/>
  <c r="M533" i="6"/>
  <c r="M535" i="6" s="1"/>
  <c r="M14" i="6" s="1"/>
  <c r="K761" i="34"/>
  <c r="M1670" i="6"/>
  <c r="J141" i="3"/>
  <c r="J142" i="3" s="1"/>
  <c r="H43" i="6"/>
  <c r="I43" i="6" s="1"/>
  <c r="N2021" i="6"/>
  <c r="M721" i="6"/>
  <c r="M654" i="6"/>
  <c r="N1888" i="6"/>
  <c r="N1139" i="6"/>
  <c r="M337" i="6"/>
  <c r="H1272" i="6"/>
  <c r="I1272" i="6" s="1"/>
  <c r="N2025" i="6"/>
  <c r="M723" i="6"/>
  <c r="J21" i="58"/>
  <c r="H2078" i="6"/>
  <c r="H383" i="6"/>
  <c r="I383" i="6" s="1"/>
  <c r="M710" i="6"/>
  <c r="N2006" i="6"/>
  <c r="L314" i="6"/>
  <c r="L10" i="6" s="1"/>
  <c r="D456" i="6"/>
  <c r="H124" i="42"/>
  <c r="M2023" i="6"/>
  <c r="J20" i="58" s="1"/>
  <c r="M645" i="6"/>
  <c r="N1849" i="6"/>
  <c r="N959" i="6"/>
  <c r="M190" i="6"/>
  <c r="M196" i="6" s="1"/>
  <c r="M8" i="6" s="1"/>
  <c r="M970" i="6"/>
  <c r="L221" i="6"/>
  <c r="L218" i="6"/>
  <c r="N2013" i="6"/>
  <c r="M713" i="6"/>
  <c r="J18" i="58"/>
  <c r="K766" i="34"/>
  <c r="N1096" i="6"/>
  <c r="M308" i="6"/>
  <c r="H562" i="6"/>
  <c r="I562" i="6" s="1"/>
  <c r="H2061" i="6"/>
  <c r="I20" i="58"/>
  <c r="P583" i="6"/>
  <c r="H231" i="4"/>
  <c r="I231" i="4" s="1"/>
  <c r="H96" i="14"/>
  <c r="H125" i="14"/>
  <c r="H192" i="14"/>
  <c r="I87" i="14" s="1"/>
  <c r="H221" i="14"/>
  <c r="I83" i="14"/>
  <c r="H105" i="14"/>
  <c r="I88" i="14"/>
  <c r="H110" i="14"/>
  <c r="I109" i="14" s="1"/>
  <c r="J208" i="14"/>
  <c r="I188" i="14"/>
  <c r="I12" i="13"/>
  <c r="I102" i="13"/>
  <c r="H97" i="10"/>
  <c r="H116" i="10" s="1"/>
  <c r="U34" i="42"/>
  <c r="F34" i="42" s="1"/>
  <c r="F69" i="13"/>
  <c r="F194" i="15"/>
  <c r="G194" i="15" s="1"/>
  <c r="K759" i="34"/>
  <c r="K781" i="34" s="1"/>
  <c r="M145" i="7"/>
  <c r="N874" i="7"/>
  <c r="M337" i="7"/>
  <c r="I103" i="3"/>
  <c r="O54" i="11"/>
  <c r="P54" i="11" s="1"/>
  <c r="Q54" i="11" s="1"/>
  <c r="N608" i="7"/>
  <c r="M177" i="7"/>
  <c r="N926" i="7"/>
  <c r="M347" i="7"/>
  <c r="U127" i="10"/>
  <c r="N995" i="7"/>
  <c r="M1000" i="7"/>
  <c r="M1153" i="7" s="1"/>
  <c r="K5" i="3" s="1"/>
  <c r="M354" i="7"/>
  <c r="M360" i="7" s="1"/>
  <c r="M38" i="7" s="1"/>
  <c r="H422" i="4"/>
  <c r="I422" i="4" s="1"/>
  <c r="N879" i="7"/>
  <c r="M340" i="7"/>
  <c r="N605" i="7"/>
  <c r="M176" i="7"/>
  <c r="S127" i="10"/>
  <c r="F46" i="15"/>
  <c r="G46" i="15" s="1"/>
  <c r="F22" i="42"/>
  <c r="F55" i="15"/>
  <c r="G55" i="15" s="1"/>
  <c r="N852" i="7"/>
  <c r="W127" i="10" s="1"/>
  <c r="M319" i="7"/>
  <c r="M131" i="7"/>
  <c r="N553" i="7"/>
  <c r="M130" i="7"/>
  <c r="N552" i="7"/>
  <c r="J610" i="34"/>
  <c r="J611" i="34" s="1"/>
  <c r="J613" i="34" s="1"/>
  <c r="J244" i="34" s="1"/>
  <c r="J70" i="15"/>
  <c r="N440" i="8"/>
  <c r="M121" i="8"/>
  <c r="K746" i="34"/>
  <c r="K748" i="34" s="1"/>
  <c r="N514" i="8"/>
  <c r="M132" i="8"/>
  <c r="M119" i="8"/>
  <c r="J101" i="15"/>
  <c r="J622" i="34"/>
  <c r="J623" i="34" s="1"/>
  <c r="J625" i="34" s="1"/>
  <c r="J246" i="34" s="1"/>
  <c r="N375" i="8"/>
  <c r="M109" i="8"/>
  <c r="N173" i="8"/>
  <c r="M43" i="8"/>
  <c r="AN7" i="42" s="1"/>
  <c r="N390" i="8"/>
  <c r="BC12" i="42"/>
  <c r="N499" i="8"/>
  <c r="M131" i="8"/>
  <c r="P324" i="8"/>
  <c r="O294" i="45"/>
  <c r="O68" i="8"/>
  <c r="N356" i="8"/>
  <c r="M106" i="8"/>
  <c r="BC7" i="42" s="1"/>
  <c r="J117" i="15"/>
  <c r="J108" i="15"/>
  <c r="I12" i="42"/>
  <c r="N363" i="8"/>
  <c r="M107" i="8"/>
  <c r="BC8" i="42" s="1"/>
  <c r="K102" i="15" s="1"/>
  <c r="G573" i="34"/>
  <c r="G566" i="34"/>
  <c r="N429" i="8"/>
  <c r="BC21" i="42"/>
  <c r="K116" i="15" s="1"/>
  <c r="N454" i="8"/>
  <c r="M122" i="8"/>
  <c r="M423" i="45"/>
  <c r="M424" i="45" s="1"/>
  <c r="M431" i="45" s="1"/>
  <c r="M432" i="45" s="1"/>
  <c r="N385" i="8"/>
  <c r="M111" i="8"/>
  <c r="N250" i="8"/>
  <c r="M56" i="8"/>
  <c r="H32" i="5"/>
  <c r="I32" i="5" s="1"/>
  <c r="BE146" i="9"/>
  <c r="S67" i="37" s="1"/>
  <c r="S76" i="37" s="1"/>
  <c r="S78" i="37" s="1"/>
  <c r="K48" i="45"/>
  <c r="M181" i="9"/>
  <c r="BJ181" i="9" s="1"/>
  <c r="M146" i="9"/>
  <c r="O40" i="45" s="1"/>
  <c r="N40" i="45"/>
  <c r="CZ32" i="9"/>
  <c r="H140" i="34"/>
  <c r="AY209" i="9"/>
  <c r="AZ209" i="9" s="1"/>
  <c r="M1974" i="6"/>
  <c r="M688" i="6" s="1"/>
  <c r="U250" i="10"/>
  <c r="M1972" i="6" s="1"/>
  <c r="M686" i="6" s="1"/>
  <c r="L209" i="9"/>
  <c r="CZ209" i="9" s="1"/>
  <c r="BE88" i="9"/>
  <c r="BE174" i="9" s="1"/>
  <c r="BO3" i="9"/>
  <c r="CL197" i="9"/>
  <c r="CY197" i="9"/>
  <c r="CY159" i="9"/>
  <c r="CL159" i="9"/>
  <c r="CK106" i="9"/>
  <c r="CX106" i="9"/>
  <c r="H326" i="7"/>
  <c r="I326" i="7" s="1"/>
  <c r="BE62" i="9"/>
  <c r="BE64" i="9" s="1"/>
  <c r="CK148" i="9"/>
  <c r="CX148" i="9"/>
  <c r="BF2" i="9"/>
  <c r="BA87" i="9"/>
  <c r="BA173" i="9" s="1"/>
  <c r="DA105" i="9"/>
  <c r="CN105" i="9"/>
  <c r="CX63" i="9"/>
  <c r="CK63" i="9"/>
  <c r="AR88" i="9"/>
  <c r="BB3" i="9"/>
  <c r="AW88" i="9"/>
  <c r="BG3" i="9"/>
  <c r="BJ88" i="9"/>
  <c r="BJ174" i="9" s="1"/>
  <c r="BT3" i="9"/>
  <c r="CL70" i="9"/>
  <c r="CY70" i="9"/>
  <c r="CY83" i="9"/>
  <c r="CL83" i="9"/>
  <c r="AM174" i="9"/>
  <c r="AM219" i="9" s="1"/>
  <c r="CL62" i="9"/>
  <c r="CY62" i="9"/>
  <c r="CN11" i="9"/>
  <c r="DA11" i="9"/>
  <c r="N178" i="6"/>
  <c r="CY96" i="9"/>
  <c r="CL96" i="9"/>
  <c r="BP3" i="9"/>
  <c r="BF88" i="9"/>
  <c r="BF174" i="9" s="1"/>
  <c r="CK103" i="9"/>
  <c r="CX103" i="9"/>
  <c r="BK3" i="9"/>
  <c r="BA88" i="9"/>
  <c r="BA174" i="9" s="1"/>
  <c r="CZ183" i="9"/>
  <c r="CM183" i="9"/>
  <c r="CZ94" i="9"/>
  <c r="CM94" i="9"/>
  <c r="CL161" i="9"/>
  <c r="CY161" i="9"/>
  <c r="CZ60" i="9"/>
  <c r="CM60" i="9"/>
  <c r="CM164" i="9"/>
  <c r="CZ164" i="9"/>
  <c r="CX104" i="9"/>
  <c r="CK104" i="9"/>
  <c r="CK10" i="9"/>
  <c r="CX10" i="9"/>
  <c r="CL149" i="9"/>
  <c r="CY149" i="9"/>
  <c r="L1972" i="6"/>
  <c r="L686" i="6" s="1"/>
  <c r="CL194" i="9"/>
  <c r="CY194" i="9"/>
  <c r="M64" i="9"/>
  <c r="O1119" i="7" s="1"/>
  <c r="O434" i="7" s="1"/>
  <c r="BI62" i="9"/>
  <c r="CY166" i="9"/>
  <c r="CL166" i="9"/>
  <c r="M950" i="6"/>
  <c r="CL137" i="9"/>
  <c r="CY137" i="9"/>
  <c r="CY44" i="9"/>
  <c r="CL44" i="9"/>
  <c r="CK22" i="9"/>
  <c r="CX22" i="9"/>
  <c r="AT219" i="9"/>
  <c r="AU209" i="9"/>
  <c r="AZ55" i="9"/>
  <c r="AZ66" i="9" s="1"/>
  <c r="CM133" i="9"/>
  <c r="CZ133" i="9"/>
  <c r="O1583" i="6"/>
  <c r="N193" i="9"/>
  <c r="BJ193" i="9"/>
  <c r="N82" i="9"/>
  <c r="O878" i="6"/>
  <c r="BJ151" i="9"/>
  <c r="N151" i="9"/>
  <c r="S97" i="42"/>
  <c r="CY215" i="9"/>
  <c r="CL215" i="9"/>
  <c r="AZ179" i="9"/>
  <c r="L179" i="9"/>
  <c r="L225" i="9" s="1"/>
  <c r="M1382" i="6"/>
  <c r="M464" i="6" s="1"/>
  <c r="K225" i="9"/>
  <c r="CX167" i="9"/>
  <c r="CK167" i="9"/>
  <c r="CX46" i="9"/>
  <c r="CK46" i="9"/>
  <c r="CY130" i="9"/>
  <c r="CL130" i="9"/>
  <c r="CZ55" i="9"/>
  <c r="BD55" i="9"/>
  <c r="L66" i="9"/>
  <c r="N1009" i="7"/>
  <c r="N371" i="7" s="1"/>
  <c r="M55" i="9"/>
  <c r="CL45" i="9"/>
  <c r="CY45" i="9"/>
  <c r="H140" i="14"/>
  <c r="I139" i="14" s="1"/>
  <c r="CL211" i="9"/>
  <c r="CY211" i="9"/>
  <c r="CM160" i="9"/>
  <c r="CZ160" i="9"/>
  <c r="CK134" i="9"/>
  <c r="CX134" i="9"/>
  <c r="CK31" i="9"/>
  <c r="CX31" i="9"/>
  <c r="BE125" i="9"/>
  <c r="M125" i="9"/>
  <c r="S29" i="37"/>
  <c r="K70" i="3"/>
  <c r="M903" i="4"/>
  <c r="CK136" i="9"/>
  <c r="CX136" i="9"/>
  <c r="CL212" i="9"/>
  <c r="CY212" i="9"/>
  <c r="CK41" i="9"/>
  <c r="CX41" i="9"/>
  <c r="M126" i="9"/>
  <c r="BE126" i="9"/>
  <c r="S30" i="37"/>
  <c r="CZ126" i="9"/>
  <c r="M113" i="9"/>
  <c r="N1017" i="6"/>
  <c r="N232" i="6" s="1"/>
  <c r="BE113" i="9"/>
  <c r="N168" i="45"/>
  <c r="N169" i="45" s="1"/>
  <c r="N170" i="45" s="1"/>
  <c r="CY163" i="9"/>
  <c r="CL163" i="9"/>
  <c r="BE124" i="9"/>
  <c r="M124" i="9"/>
  <c r="S28" i="37"/>
  <c r="CY214" i="9"/>
  <c r="CL214" i="9"/>
  <c r="CM195" i="9"/>
  <c r="CZ195" i="9"/>
  <c r="BE7" i="9"/>
  <c r="BE25" i="9" s="1"/>
  <c r="CZ7" i="9"/>
  <c r="L25" i="9"/>
  <c r="M7" i="9"/>
  <c r="N592" i="4"/>
  <c r="N151" i="4" s="1"/>
  <c r="N44" i="4" s="1"/>
  <c r="M110" i="9"/>
  <c r="O949" i="6" s="1"/>
  <c r="BE110" i="9"/>
  <c r="CL151" i="9"/>
  <c r="CY151" i="9"/>
  <c r="CZ125" i="9"/>
  <c r="CM125" i="9"/>
  <c r="N99" i="9"/>
  <c r="BJ99" i="9"/>
  <c r="T86" i="37"/>
  <c r="K199" i="14"/>
  <c r="D201" i="14"/>
  <c r="CK135" i="9"/>
  <c r="CX135" i="9"/>
  <c r="J21" i="5"/>
  <c r="G19" i="13" s="1"/>
  <c r="M66" i="5"/>
  <c r="M68" i="5" s="1"/>
  <c r="M79" i="5" s="1"/>
  <c r="L152" i="5"/>
  <c r="L479" i="5" s="1"/>
  <c r="D467" i="5"/>
  <c r="D114" i="5"/>
  <c r="L18" i="5"/>
  <c r="L27" i="5" s="1"/>
  <c r="N64" i="5"/>
  <c r="N505" i="5" s="1"/>
  <c r="C19" i="13"/>
  <c r="C20" i="13" s="1"/>
  <c r="C23" i="13" s="1"/>
  <c r="D30" i="5"/>
  <c r="D165" i="5"/>
  <c r="L498" i="5"/>
  <c r="L501" i="5" s="1"/>
  <c r="O376" i="5"/>
  <c r="N141" i="5"/>
  <c r="O368" i="5"/>
  <c r="N137" i="5"/>
  <c r="P238" i="5"/>
  <c r="O54" i="5"/>
  <c r="B183" i="42"/>
  <c r="P250" i="5"/>
  <c r="O61" i="5"/>
  <c r="H103" i="13"/>
  <c r="H22" i="13"/>
  <c r="L10" i="5"/>
  <c r="L12" i="5" s="1"/>
  <c r="N447" i="5"/>
  <c r="M192" i="5"/>
  <c r="M486" i="5"/>
  <c r="M451" i="5"/>
  <c r="M448" i="5"/>
  <c r="M450" i="5" s="1"/>
  <c r="Q423" i="5"/>
  <c r="P53" i="5"/>
  <c r="Q235" i="5"/>
  <c r="A14" i="3"/>
  <c r="B32" i="5"/>
  <c r="B43" i="5" s="1"/>
  <c r="M496" i="5"/>
  <c r="M7" i="5"/>
  <c r="K19" i="5"/>
  <c r="K28" i="5" s="1"/>
  <c r="K508" i="5"/>
  <c r="K510" i="5" s="1"/>
  <c r="K512" i="5" s="1"/>
  <c r="K196" i="5"/>
  <c r="L194" i="5"/>
  <c r="Q315" i="5"/>
  <c r="P96" i="5"/>
  <c r="Q385" i="5"/>
  <c r="P148" i="5"/>
  <c r="M505" i="5"/>
  <c r="L452" i="5"/>
  <c r="L460" i="5" s="1"/>
  <c r="O219" i="5"/>
  <c r="N52" i="5"/>
  <c r="N56" i="5" s="1"/>
  <c r="N240" i="5"/>
  <c r="N176" i="5"/>
  <c r="O413" i="5"/>
  <c r="M16" i="5"/>
  <c r="B541" i="8"/>
  <c r="J6" i="3"/>
  <c r="L31" i="5"/>
  <c r="C80" i="42"/>
  <c r="B18" i="60" s="1"/>
  <c r="D529" i="34"/>
  <c r="C167" i="11"/>
  <c r="C87" i="13" s="1"/>
  <c r="C21" i="11"/>
  <c r="C163" i="11" s="1"/>
  <c r="C220" i="3" s="1"/>
  <c r="D6" i="11"/>
  <c r="D312" i="4"/>
  <c r="D853" i="4"/>
  <c r="D849" i="4"/>
  <c r="D95" i="4"/>
  <c r="D2079" i="6"/>
  <c r="L760" i="34"/>
  <c r="S236" i="10"/>
  <c r="R140" i="11" s="1"/>
  <c r="S140" i="11" s="1"/>
  <c r="T140" i="11" s="1"/>
  <c r="I43" i="15"/>
  <c r="I12" i="15" s="1"/>
  <c r="O669" i="4"/>
  <c r="P669" i="4" s="1"/>
  <c r="N105" i="4"/>
  <c r="N158" i="4" s="1"/>
  <c r="O433" i="4"/>
  <c r="C53" i="3"/>
  <c r="C42" i="3"/>
  <c r="W72" i="42"/>
  <c r="J36" i="60" s="1"/>
  <c r="T236" i="10"/>
  <c r="M589" i="4" s="1"/>
  <c r="M148" i="4" s="1"/>
  <c r="N454" i="4"/>
  <c r="R54" i="42"/>
  <c r="N235" i="4"/>
  <c r="N265" i="4" s="1"/>
  <c r="O756" i="4"/>
  <c r="N329" i="4"/>
  <c r="K773" i="34"/>
  <c r="M58" i="4"/>
  <c r="B2066" i="6"/>
  <c r="B2088" i="6" s="1"/>
  <c r="B2094" i="6" s="1"/>
  <c r="P108" i="4"/>
  <c r="Q441" i="4"/>
  <c r="L284" i="4"/>
  <c r="L11" i="4" s="1"/>
  <c r="M98" i="3"/>
  <c r="O70" i="4"/>
  <c r="P369" i="4"/>
  <c r="L308" i="15"/>
  <c r="BD49" i="42"/>
  <c r="L111" i="17"/>
  <c r="L98" i="3"/>
  <c r="A87" i="19"/>
  <c r="A37" i="20"/>
  <c r="A82" i="20" s="1"/>
  <c r="N66" i="4"/>
  <c r="O356" i="4"/>
  <c r="K308" i="15"/>
  <c r="BC49" i="42"/>
  <c r="K111" i="17"/>
  <c r="AW18" i="42"/>
  <c r="C99" i="17"/>
  <c r="C100" i="17" s="1"/>
  <c r="C102" i="17" s="1"/>
  <c r="C104" i="17" s="1"/>
  <c r="C116" i="17" s="1"/>
  <c r="C291" i="15"/>
  <c r="C8" i="17"/>
  <c r="C13" i="17" s="1"/>
  <c r="A92" i="19"/>
  <c r="A38" i="20"/>
  <c r="A87" i="20" s="1"/>
  <c r="D519" i="34"/>
  <c r="D544" i="34"/>
  <c r="D536" i="34"/>
  <c r="P579" i="4"/>
  <c r="O138" i="4"/>
  <c r="N180" i="4"/>
  <c r="O677" i="4"/>
  <c r="N56" i="4"/>
  <c r="O326" i="4"/>
  <c r="H44" i="15"/>
  <c r="G40" i="42"/>
  <c r="C308" i="15"/>
  <c r="C111" i="17"/>
  <c r="C113" i="17" s="1"/>
  <c r="AW49" i="42"/>
  <c r="D49" i="42" s="1"/>
  <c r="H11" i="42"/>
  <c r="I355" i="34" s="1"/>
  <c r="O436" i="4"/>
  <c r="N106" i="4"/>
  <c r="O444" i="4"/>
  <c r="D159" i="8"/>
  <c r="D32" i="8" s="1"/>
  <c r="D537" i="8"/>
  <c r="A82" i="19"/>
  <c r="A36" i="20"/>
  <c r="A77" i="20" s="1"/>
  <c r="E367" i="34"/>
  <c r="E486" i="34" s="1"/>
  <c r="E540" i="34"/>
  <c r="K774" i="34"/>
  <c r="N447" i="4"/>
  <c r="N113" i="4" s="1"/>
  <c r="N184" i="4"/>
  <c r="O694" i="4"/>
  <c r="O371" i="4"/>
  <c r="N72" i="4"/>
  <c r="Q362" i="4"/>
  <c r="N73" i="4"/>
  <c r="O372" i="4"/>
  <c r="M775" i="34"/>
  <c r="P797" i="4"/>
  <c r="P282" i="4" s="1"/>
  <c r="N562" i="4"/>
  <c r="P104" i="4"/>
  <c r="Q431" i="4"/>
  <c r="H40" i="13"/>
  <c r="D307" i="34"/>
  <c r="N57" i="4"/>
  <c r="O327" i="4"/>
  <c r="A161" i="8"/>
  <c r="A549" i="8"/>
  <c r="A551" i="8" s="1"/>
  <c r="A563" i="8" s="1"/>
  <c r="A568" i="8" s="1"/>
  <c r="P807" i="4"/>
  <c r="N174" i="4"/>
  <c r="N176" i="4" s="1"/>
  <c r="N9" i="4" s="1"/>
  <c r="O670" i="4"/>
  <c r="O404" i="4"/>
  <c r="N78" i="4"/>
  <c r="N384" i="4"/>
  <c r="N77" i="4" s="1"/>
  <c r="O321" i="4"/>
  <c r="N55" i="4"/>
  <c r="O685" i="4"/>
  <c r="N182" i="4"/>
  <c r="L717" i="34"/>
  <c r="O738" i="4"/>
  <c r="N227" i="4"/>
  <c r="N71" i="4"/>
  <c r="O370" i="4"/>
  <c r="P279" i="4"/>
  <c r="Q789" i="4"/>
  <c r="I8" i="3"/>
  <c r="V47" i="42"/>
  <c r="G47" i="42" s="1"/>
  <c r="J750" i="34"/>
  <c r="J752" i="34" s="1"/>
  <c r="P747" i="4"/>
  <c r="O234" i="4"/>
  <c r="N577" i="4"/>
  <c r="M135" i="4"/>
  <c r="M584" i="4"/>
  <c r="S52" i="42"/>
  <c r="B559" i="8"/>
  <c r="B561" i="8" s="1"/>
  <c r="B590" i="8" s="1"/>
  <c r="B151" i="8"/>
  <c r="P555" i="4"/>
  <c r="P448" i="4"/>
  <c r="O114" i="4"/>
  <c r="K136" i="3"/>
  <c r="N545" i="4"/>
  <c r="X72" i="42"/>
  <c r="K36" i="60" s="1"/>
  <c r="Q434" i="4"/>
  <c r="B17" i="8"/>
  <c r="B19" i="8" s="1"/>
  <c r="B23" i="8" s="1"/>
  <c r="B34" i="8" s="1"/>
  <c r="I8" i="48"/>
  <c r="A7" i="17"/>
  <c r="P111" i="17"/>
  <c r="BH49" i="42"/>
  <c r="P308" i="15"/>
  <c r="Q732" i="4"/>
  <c r="P366" i="5"/>
  <c r="O136" i="5"/>
  <c r="N118" i="8"/>
  <c r="L114" i="3"/>
  <c r="Q213" i="8"/>
  <c r="G257" i="10"/>
  <c r="P758" i="7"/>
  <c r="T23" i="26"/>
  <c r="O274" i="7"/>
  <c r="P475" i="7"/>
  <c r="O80" i="7"/>
  <c r="N99" i="7"/>
  <c r="O522" i="7"/>
  <c r="N529" i="7"/>
  <c r="O1368" i="6"/>
  <c r="N1374" i="6"/>
  <c r="N450" i="6"/>
  <c r="M455" i="6"/>
  <c r="P1367" i="6"/>
  <c r="Q1367" i="6" s="1"/>
  <c r="O449" i="6"/>
  <c r="O1373" i="6"/>
  <c r="L1372" i="6"/>
  <c r="L1375" i="6" s="1"/>
  <c r="L1383" i="6" s="1"/>
  <c r="Z3" i="10"/>
  <c r="Z122" i="10" s="1"/>
  <c r="AB3" i="10"/>
  <c r="AB122" i="10" s="1"/>
  <c r="G107" i="13"/>
  <c r="G64" i="13" s="1"/>
  <c r="H9" i="3" s="1"/>
  <c r="H10" i="3" s="1"/>
  <c r="P99" i="6"/>
  <c r="J301" i="4"/>
  <c r="M281" i="4"/>
  <c r="L340" i="4"/>
  <c r="J6" i="12" s="1"/>
  <c r="L834" i="4"/>
  <c r="L836" i="4" s="1"/>
  <c r="L843" i="4" s="1"/>
  <c r="N828" i="4"/>
  <c r="N292" i="4" s="1"/>
  <c r="H850" i="4"/>
  <c r="I850" i="4" s="1"/>
  <c r="H153" i="4"/>
  <c r="I153" i="4" s="1"/>
  <c r="N570" i="4"/>
  <c r="M130" i="4"/>
  <c r="H843" i="4"/>
  <c r="I843" i="4" s="1"/>
  <c r="N832" i="4"/>
  <c r="M835" i="4"/>
  <c r="M295" i="4"/>
  <c r="M300" i="4" s="1"/>
  <c r="N697" i="4"/>
  <c r="M702" i="4"/>
  <c r="M190" i="4"/>
  <c r="M195" i="4" s="1"/>
  <c r="N648" i="4"/>
  <c r="M651" i="4"/>
  <c r="M136" i="4"/>
  <c r="P688" i="7"/>
  <c r="O231" i="7"/>
  <c r="K240" i="7"/>
  <c r="K1127" i="7" s="1"/>
  <c r="N230" i="7"/>
  <c r="O687" i="7"/>
  <c r="K738" i="34"/>
  <c r="K740" i="34" s="1"/>
  <c r="K216" i="34" s="1"/>
  <c r="K217" i="34" s="1"/>
  <c r="K815" i="34" s="1"/>
  <c r="K259" i="3" s="1"/>
  <c r="M36" i="45"/>
  <c r="P1304" i="6"/>
  <c r="Q1304" i="6" s="1"/>
  <c r="J109" i="6"/>
  <c r="J2073" i="6"/>
  <c r="O772" i="6"/>
  <c r="N88" i="6"/>
  <c r="N2001" i="6"/>
  <c r="M709" i="6"/>
  <c r="J15" i="58"/>
  <c r="O1749" i="6"/>
  <c r="N586" i="6"/>
  <c r="P1679" i="6"/>
  <c r="Q1679" i="6" s="1"/>
  <c r="P1166" i="6"/>
  <c r="Q1166" i="6" s="1"/>
  <c r="O310" i="6"/>
  <c r="M768" i="34"/>
  <c r="P1595" i="6"/>
  <c r="Q1595" i="6" s="1"/>
  <c r="O478" i="6"/>
  <c r="O936" i="6"/>
  <c r="N941" i="6"/>
  <c r="N161" i="6"/>
  <c r="O1794" i="6"/>
  <c r="N628" i="6"/>
  <c r="L365" i="6"/>
  <c r="L371" i="6" s="1"/>
  <c r="L1234" i="6"/>
  <c r="K169" i="6"/>
  <c r="K2074" i="6"/>
  <c r="N475" i="6"/>
  <c r="O1597" i="6"/>
  <c r="O1723" i="6"/>
  <c r="N572" i="6"/>
  <c r="M785" i="6"/>
  <c r="N764" i="6"/>
  <c r="M78" i="6"/>
  <c r="M81" i="6" s="1"/>
  <c r="K763" i="34"/>
  <c r="M767" i="6"/>
  <c r="N1392" i="6"/>
  <c r="M1403" i="6"/>
  <c r="K771" i="34" s="1"/>
  <c r="M412" i="6"/>
  <c r="L2090" i="6"/>
  <c r="L108" i="6"/>
  <c r="O1066" i="6"/>
  <c r="N1072" i="6"/>
  <c r="N270" i="6"/>
  <c r="N277" i="6" s="1"/>
  <c r="P900" i="6"/>
  <c r="Q900" i="6" s="1"/>
  <c r="Q146" i="6" s="1"/>
  <c r="O146" i="6"/>
  <c r="J2061" i="6"/>
  <c r="J562" i="6"/>
  <c r="N929" i="6"/>
  <c r="N938" i="6" s="1"/>
  <c r="N940" i="6" s="1"/>
  <c r="M155" i="6"/>
  <c r="M164" i="6" s="1"/>
  <c r="M23" i="6" s="1"/>
  <c r="M39" i="6" s="1"/>
  <c r="K1516" i="6"/>
  <c r="P239" i="10"/>
  <c r="O143" i="11" s="1"/>
  <c r="N1636" i="6"/>
  <c r="M503" i="6"/>
  <c r="O154" i="6"/>
  <c r="P919" i="6"/>
  <c r="Q919" i="6" s="1"/>
  <c r="P992" i="6"/>
  <c r="Q992" i="6" s="1"/>
  <c r="Q209" i="6" s="1"/>
  <c r="O209" i="6"/>
  <c r="O1675" i="6"/>
  <c r="N539" i="6"/>
  <c r="O1180" i="6"/>
  <c r="M727" i="34" s="1"/>
  <c r="N32" i="45"/>
  <c r="N326" i="6"/>
  <c r="J2076" i="6"/>
  <c r="J280" i="6"/>
  <c r="P917" i="6"/>
  <c r="Q917" i="6" s="1"/>
  <c r="O153" i="6"/>
  <c r="M375" i="6"/>
  <c r="M379" i="6" s="1"/>
  <c r="M27" i="6" s="1"/>
  <c r="M1257" i="6"/>
  <c r="M1228" i="6"/>
  <c r="N1239" i="6"/>
  <c r="L169" i="6"/>
  <c r="L727" i="34"/>
  <c r="L418" i="6"/>
  <c r="K9" i="6"/>
  <c r="P1873" i="6"/>
  <c r="Q1873" i="6" s="1"/>
  <c r="O652" i="6"/>
  <c r="L93" i="6"/>
  <c r="L105" i="6" s="1"/>
  <c r="L22" i="6" s="1"/>
  <c r="L38" i="6" s="1"/>
  <c r="L800" i="6"/>
  <c r="L802" i="6" s="1"/>
  <c r="L804" i="6" s="1"/>
  <c r="L813" i="6" s="1"/>
  <c r="N1811" i="6"/>
  <c r="M633" i="6"/>
  <c r="N797" i="6"/>
  <c r="M102" i="6"/>
  <c r="M803" i="6"/>
  <c r="N1361" i="6"/>
  <c r="M433" i="6"/>
  <c r="M435" i="6" s="1"/>
  <c r="M252" i="6"/>
  <c r="N1032" i="6"/>
  <c r="P1752" i="6"/>
  <c r="Q1752" i="6" s="1"/>
  <c r="O592" i="6"/>
  <c r="M23" i="58"/>
  <c r="M37" i="58" s="1"/>
  <c r="P729" i="6"/>
  <c r="P734" i="6" s="1"/>
  <c r="P2037" i="6"/>
  <c r="L451" i="6"/>
  <c r="L28" i="6" s="1"/>
  <c r="O890" i="6"/>
  <c r="N144" i="6"/>
  <c r="M660" i="6"/>
  <c r="N1924" i="6"/>
  <c r="P1293" i="6"/>
  <c r="Q1293" i="6" s="1"/>
  <c r="O1953" i="6"/>
  <c r="N669" i="6"/>
  <c r="O147" i="6"/>
  <c r="P901" i="6"/>
  <c r="Q901" i="6" s="1"/>
  <c r="Q147" i="6" s="1"/>
  <c r="L254" i="6"/>
  <c r="O1770" i="6"/>
  <c r="P1762" i="6"/>
  <c r="Q1762" i="6" s="1"/>
  <c r="O598" i="6"/>
  <c r="O605" i="6" s="1"/>
  <c r="O1311" i="6"/>
  <c r="M445" i="6"/>
  <c r="N1492" i="6"/>
  <c r="P1879" i="6"/>
  <c r="Q1879" i="6" s="1"/>
  <c r="O653" i="6"/>
  <c r="K107" i="6"/>
  <c r="P1419" i="6"/>
  <c r="Q1419" i="6" s="1"/>
  <c r="O440" i="6"/>
  <c r="K1259" i="6"/>
  <c r="K1261" i="6" s="1"/>
  <c r="K1272" i="6" s="1"/>
  <c r="I767" i="34"/>
  <c r="I779" i="34" s="1"/>
  <c r="O1790" i="6"/>
  <c r="N626" i="6"/>
  <c r="N1294" i="6"/>
  <c r="K769" i="34"/>
  <c r="M408" i="6"/>
  <c r="M1299" i="6"/>
  <c r="N675" i="6"/>
  <c r="N680" i="6" s="1"/>
  <c r="O1959" i="6"/>
  <c r="N1965" i="6"/>
  <c r="J456" i="6"/>
  <c r="J2079" i="6"/>
  <c r="H2057" i="6"/>
  <c r="H355" i="6"/>
  <c r="P1484" i="6"/>
  <c r="Q1484" i="6" s="1"/>
  <c r="O1486" i="6"/>
  <c r="O414" i="6"/>
  <c r="P430" i="6"/>
  <c r="O725" i="6"/>
  <c r="P2028" i="6"/>
  <c r="Q2028" i="6" s="1"/>
  <c r="Q725" i="6" s="1"/>
  <c r="P429" i="6"/>
  <c r="N1129" i="6"/>
  <c r="M323" i="6"/>
  <c r="K453" i="6"/>
  <c r="K28" i="6"/>
  <c r="K44" i="6" s="1"/>
  <c r="O1407" i="6"/>
  <c r="N438" i="6"/>
  <c r="N1461" i="6"/>
  <c r="J383" i="6"/>
  <c r="J2078" i="6"/>
  <c r="N90" i="6"/>
  <c r="O774" i="6"/>
  <c r="P1283" i="6"/>
  <c r="Q1283" i="6" s="1"/>
  <c r="O403" i="6"/>
  <c r="P1247" i="6"/>
  <c r="Q1247" i="6" s="1"/>
  <c r="M728" i="34"/>
  <c r="L732" i="34"/>
  <c r="O1863" i="6"/>
  <c r="P906" i="6"/>
  <c r="Q906" i="6" s="1"/>
  <c r="O148" i="6"/>
  <c r="N667" i="6"/>
  <c r="O1942" i="6"/>
  <c r="N1550" i="6"/>
  <c r="M444" i="6"/>
  <c r="M1570" i="6"/>
  <c r="O304" i="6"/>
  <c r="P1172" i="6"/>
  <c r="Q1172" i="6" s="1"/>
  <c r="Q304" i="6" s="1"/>
  <c r="N1098" i="6"/>
  <c r="M311" i="6"/>
  <c r="M1105" i="6"/>
  <c r="M662" i="6"/>
  <c r="N1926" i="6"/>
  <c r="N1504" i="6"/>
  <c r="M448" i="6"/>
  <c r="M454" i="6" s="1"/>
  <c r="M1509" i="6"/>
  <c r="N1306" i="6"/>
  <c r="K113" i="3"/>
  <c r="M1370" i="6"/>
  <c r="M422" i="6"/>
  <c r="K381" i="6"/>
  <c r="K11" i="6"/>
  <c r="K43" i="6" s="1"/>
  <c r="N98" i="6"/>
  <c r="O792" i="6"/>
  <c r="P1922" i="6"/>
  <c r="Q1922" i="6" s="1"/>
  <c r="Q658" i="6" s="1"/>
  <c r="O658" i="6"/>
  <c r="L1206" i="6"/>
  <c r="L1217" i="6" s="1"/>
  <c r="N1850" i="6"/>
  <c r="M644" i="6"/>
  <c r="K764" i="34"/>
  <c r="N1027" i="6"/>
  <c r="M1035" i="6"/>
  <c r="M246" i="6"/>
  <c r="N1200" i="6"/>
  <c r="N1202" i="6" s="1"/>
  <c r="N1204" i="6" s="1"/>
  <c r="M338" i="6"/>
  <c r="M1205" i="6"/>
  <c r="D202" i="34"/>
  <c r="D819" i="34" s="1"/>
  <c r="B263" i="3" s="1"/>
  <c r="D829" i="34"/>
  <c r="P784" i="6"/>
  <c r="N1682" i="6"/>
  <c r="M541" i="6"/>
  <c r="N322" i="6"/>
  <c r="O1128" i="6"/>
  <c r="O30" i="45"/>
  <c r="P1119" i="6"/>
  <c r="Q1119" i="6" s="1"/>
  <c r="O321" i="6"/>
  <c r="O1895" i="6"/>
  <c r="N657" i="6"/>
  <c r="P1339" i="6"/>
  <c r="Q1339" i="6" s="1"/>
  <c r="O431" i="6"/>
  <c r="K551" i="6"/>
  <c r="K2081" i="6"/>
  <c r="N1531" i="6"/>
  <c r="M1539" i="6"/>
  <c r="M409" i="6"/>
  <c r="N303" i="6"/>
  <c r="O1170" i="6"/>
  <c r="P89" i="6"/>
  <c r="J771" i="34"/>
  <c r="L1463" i="6"/>
  <c r="L1465" i="6" s="1"/>
  <c r="L1474" i="6" s="1"/>
  <c r="N95" i="6"/>
  <c r="O789" i="6"/>
  <c r="M1501" i="6"/>
  <c r="M1506" i="6" s="1"/>
  <c r="M1508" i="6" s="1"/>
  <c r="N1500" i="6"/>
  <c r="O305" i="6"/>
  <c r="P1173" i="6"/>
  <c r="Q1173" i="6" s="1"/>
  <c r="Q305" i="6" s="1"/>
  <c r="N648" i="6"/>
  <c r="O1860" i="6"/>
  <c r="F202" i="34"/>
  <c r="F819" i="34" s="1"/>
  <c r="L23" i="6"/>
  <c r="L39" i="6" s="1"/>
  <c r="L1572" i="6"/>
  <c r="L1574" i="6" s="1"/>
  <c r="L1585" i="6" s="1"/>
  <c r="M484" i="6"/>
  <c r="N1601" i="6"/>
  <c r="O1246" i="6"/>
  <c r="O29" i="45" s="1"/>
  <c r="N1231" i="6"/>
  <c r="N369" i="6" s="1"/>
  <c r="N377" i="6"/>
  <c r="N1946" i="6"/>
  <c r="M668" i="6"/>
  <c r="O863" i="6"/>
  <c r="N158" i="6"/>
  <c r="N869" i="6"/>
  <c r="M540" i="6"/>
  <c r="N1676" i="6"/>
  <c r="O1351" i="6"/>
  <c r="N432" i="6"/>
  <c r="L729" i="34"/>
  <c r="P77" i="6"/>
  <c r="O439" i="6"/>
  <c r="P1418" i="6"/>
  <c r="Q1418" i="6" s="1"/>
  <c r="Q439" i="6" s="1"/>
  <c r="O593" i="6"/>
  <c r="P1757" i="6"/>
  <c r="Q1757" i="6" s="1"/>
  <c r="Q593" i="6" s="1"/>
  <c r="K52" i="6"/>
  <c r="H104" i="13" s="1"/>
  <c r="I7" i="3"/>
  <c r="H30" i="13"/>
  <c r="P909" i="6"/>
  <c r="Q909" i="6" s="1"/>
  <c r="O152" i="6"/>
  <c r="N441" i="6"/>
  <c r="O1422" i="6"/>
  <c r="M1202" i="6"/>
  <c r="M1204" i="6" s="1"/>
  <c r="P1113" i="6"/>
  <c r="Q1113" i="6" s="1"/>
  <c r="N319" i="6"/>
  <c r="O1112" i="6"/>
  <c r="N34" i="45"/>
  <c r="P1092" i="6"/>
  <c r="Q1092" i="6" s="1"/>
  <c r="O301" i="6"/>
  <c r="P33" i="45"/>
  <c r="P263" i="6"/>
  <c r="P260" i="6"/>
  <c r="M726" i="34"/>
  <c r="O259" i="6"/>
  <c r="J795" i="34"/>
  <c r="J801" i="34" s="1"/>
  <c r="J2055" i="6"/>
  <c r="P164" i="45"/>
  <c r="M725" i="34"/>
  <c r="O201" i="6"/>
  <c r="P975" i="6"/>
  <c r="Q975" i="6" s="1"/>
  <c r="O161" i="45"/>
  <c r="O165" i="45" s="1"/>
  <c r="AB130" i="10"/>
  <c r="AA50" i="11" s="1"/>
  <c r="AC130" i="10"/>
  <c r="Q71" i="11"/>
  <c r="P77" i="11"/>
  <c r="AJ236" i="10"/>
  <c r="N350" i="6"/>
  <c r="M1517" i="6"/>
  <c r="X239" i="10"/>
  <c r="AB212" i="10"/>
  <c r="AA126" i="11" s="1"/>
  <c r="O1212" i="6"/>
  <c r="AC212" i="10"/>
  <c r="L462" i="6"/>
  <c r="AE157" i="10"/>
  <c r="AD90" i="11" s="1"/>
  <c r="O207" i="6"/>
  <c r="P987" i="6"/>
  <c r="Q987" i="6" s="1"/>
  <c r="O193" i="6"/>
  <c r="P961" i="6"/>
  <c r="Q961" i="6" s="1"/>
  <c r="Q193" i="6" s="1"/>
  <c r="O585" i="6"/>
  <c r="P1743" i="6"/>
  <c r="Q1743" i="6" s="1"/>
  <c r="J825" i="34"/>
  <c r="P140" i="6"/>
  <c r="P139" i="6"/>
  <c r="O835" i="6"/>
  <c r="N137" i="6"/>
  <c r="N866" i="6"/>
  <c r="N868" i="6" s="1"/>
  <c r="P762" i="6"/>
  <c r="Q762" i="6" s="1"/>
  <c r="Q783" i="6" s="1"/>
  <c r="O783" i="6"/>
  <c r="O87" i="6"/>
  <c r="P771" i="6"/>
  <c r="Q771" i="6" s="1"/>
  <c r="Q87" i="6" s="1"/>
  <c r="P86" i="6"/>
  <c r="N496" i="6"/>
  <c r="O1623" i="6"/>
  <c r="P1612" i="6"/>
  <c r="Q1612" i="6" s="1"/>
  <c r="R838" i="6"/>
  <c r="S838" i="6" s="1"/>
  <c r="S138" i="6" s="1"/>
  <c r="K110" i="7"/>
  <c r="K1126" i="7" s="1"/>
  <c r="P460" i="7"/>
  <c r="O74" i="7"/>
  <c r="M388" i="5"/>
  <c r="M390" i="5" s="1"/>
  <c r="M399" i="5" s="1"/>
  <c r="R364" i="5"/>
  <c r="S364" i="5" s="1"/>
  <c r="H471" i="5"/>
  <c r="I471" i="5" s="1"/>
  <c r="P245" i="5"/>
  <c r="P463" i="4"/>
  <c r="CM123" i="9"/>
  <c r="CL36" i="9"/>
  <c r="CY36" i="9"/>
  <c r="CL128" i="9"/>
  <c r="CY128" i="9"/>
  <c r="CL155" i="9"/>
  <c r="CY155" i="9"/>
  <c r="CL147" i="9"/>
  <c r="CY147" i="9"/>
  <c r="CM14" i="9"/>
  <c r="CZ14" i="9"/>
  <c r="CZ107" i="9"/>
  <c r="CM107" i="9"/>
  <c r="CM118" i="9"/>
  <c r="CZ118" i="9"/>
  <c r="CZ127" i="9"/>
  <c r="CM127" i="9"/>
  <c r="CL121" i="9"/>
  <c r="CY121" i="9"/>
  <c r="CZ132" i="9"/>
  <c r="CM132" i="9"/>
  <c r="CL179" i="9"/>
  <c r="CY179" i="9"/>
  <c r="CL37" i="9"/>
  <c r="CY37" i="9"/>
  <c r="CL141" i="9"/>
  <c r="CY141" i="9"/>
  <c r="CN165" i="9"/>
  <c r="DA165" i="9"/>
  <c r="CX206" i="9"/>
  <c r="CK206" i="9"/>
  <c r="CM124" i="9"/>
  <c r="CZ124" i="9"/>
  <c r="CY93" i="9"/>
  <c r="CL93" i="9"/>
  <c r="CY217" i="9"/>
  <c r="CL217" i="9"/>
  <c r="CY213" i="9"/>
  <c r="CL213" i="9"/>
  <c r="N141" i="9"/>
  <c r="BJ141" i="9"/>
  <c r="T8" i="37" s="1"/>
  <c r="O41" i="45"/>
  <c r="CL198" i="9"/>
  <c r="CY198" i="9"/>
  <c r="CM43" i="9"/>
  <c r="CZ43" i="9"/>
  <c r="CL82" i="9"/>
  <c r="CY82" i="9"/>
  <c r="CY153" i="9"/>
  <c r="CL153" i="9"/>
  <c r="CN209" i="9"/>
  <c r="DA49" i="9"/>
  <c r="CN49" i="9"/>
  <c r="CL203" i="9"/>
  <c r="CY203" i="9"/>
  <c r="CM50" i="9"/>
  <c r="CZ50" i="9"/>
  <c r="CL196" i="9"/>
  <c r="CY196" i="9"/>
  <c r="CY21" i="9"/>
  <c r="CL21" i="9"/>
  <c r="CL152" i="9"/>
  <c r="CY152" i="9"/>
  <c r="CN181" i="9"/>
  <c r="CL100" i="9"/>
  <c r="CY100" i="9"/>
  <c r="DA40" i="9"/>
  <c r="CN40" i="9"/>
  <c r="CL210" i="9"/>
  <c r="CY210" i="9"/>
  <c r="CZ73" i="9"/>
  <c r="CM73" i="9"/>
  <c r="CL115" i="9"/>
  <c r="CY115" i="9"/>
  <c r="CL182" i="9"/>
  <c r="CY182" i="9"/>
  <c r="CN30" i="9"/>
  <c r="CX51" i="9"/>
  <c r="CK51" i="9"/>
  <c r="CL113" i="9"/>
  <c r="CY113" i="9"/>
  <c r="CY154" i="9"/>
  <c r="CL154" i="9"/>
  <c r="CO59" i="9"/>
  <c r="DB59" i="9"/>
  <c r="CN32" i="9"/>
  <c r="DA32" i="9"/>
  <c r="CM42" i="9"/>
  <c r="CZ42" i="9"/>
  <c r="CL110" i="9"/>
  <c r="CY110" i="9"/>
  <c r="DA169" i="9"/>
  <c r="CN169" i="9"/>
  <c r="CY79" i="9"/>
  <c r="CL79" i="9"/>
  <c r="CM120" i="9"/>
  <c r="CZ120" i="9"/>
  <c r="CL156" i="9"/>
  <c r="CY156" i="9"/>
  <c r="CL180" i="9"/>
  <c r="CY180" i="9"/>
  <c r="I759" i="4"/>
  <c r="N66" i="14"/>
  <c r="G159" i="3" s="1"/>
  <c r="K333" i="6"/>
  <c r="K1141" i="6"/>
  <c r="K1143" i="6" s="1"/>
  <c r="K1145" i="6" s="1"/>
  <c r="H135" i="14"/>
  <c r="I134" i="14" s="1"/>
  <c r="O284" i="3"/>
  <c r="N294" i="3"/>
  <c r="L108" i="7"/>
  <c r="L110" i="7" s="1"/>
  <c r="L7" i="7"/>
  <c r="L30" i="7" s="1"/>
  <c r="P768" i="7"/>
  <c r="T19" i="26"/>
  <c r="O279" i="7"/>
  <c r="C1134" i="7"/>
  <c r="C1151" i="7" s="1"/>
  <c r="C1159" i="7" s="1"/>
  <c r="M705" i="7"/>
  <c r="M707" i="7" s="1"/>
  <c r="M718" i="7" s="1"/>
  <c r="N868" i="7"/>
  <c r="M335" i="7"/>
  <c r="I46" i="15"/>
  <c r="I15" i="15" s="1"/>
  <c r="H22" i="42"/>
  <c r="I55" i="15"/>
  <c r="I24" i="15" s="1"/>
  <c r="N281" i="7"/>
  <c r="O793" i="7"/>
  <c r="T16" i="26" s="1"/>
  <c r="K143" i="9"/>
  <c r="M1082" i="6" s="1"/>
  <c r="R40" i="37"/>
  <c r="AZ122" i="9"/>
  <c r="CY122" i="9"/>
  <c r="M39" i="45"/>
  <c r="M45" i="45" s="1"/>
  <c r="I14" i="13"/>
  <c r="M64" i="7"/>
  <c r="M69" i="7" s="1"/>
  <c r="N448" i="7"/>
  <c r="N456" i="7" s="1"/>
  <c r="N676" i="7"/>
  <c r="O673" i="7"/>
  <c r="N222" i="7"/>
  <c r="N224" i="7" s="1"/>
  <c r="N234" i="7"/>
  <c r="N703" i="7"/>
  <c r="O700" i="7"/>
  <c r="U67" i="10"/>
  <c r="N906" i="7"/>
  <c r="N731" i="7"/>
  <c r="N737" i="7" s="1"/>
  <c r="K777" i="34"/>
  <c r="M263" i="7"/>
  <c r="M267" i="7" s="1"/>
  <c r="M11" i="7" s="1"/>
  <c r="N554" i="7"/>
  <c r="M132" i="7"/>
  <c r="M1111" i="7"/>
  <c r="M1155" i="7" s="1"/>
  <c r="N1106" i="7"/>
  <c r="M418" i="7"/>
  <c r="M424" i="7" s="1"/>
  <c r="M42" i="7" s="1"/>
  <c r="H252" i="3"/>
  <c r="H589" i="34"/>
  <c r="H240" i="34" s="1"/>
  <c r="AU143" i="9"/>
  <c r="Q7" i="37" s="1"/>
  <c r="L289" i="6"/>
  <c r="S67" i="10"/>
  <c r="B43" i="7"/>
  <c r="B54" i="7" s="1"/>
  <c r="A13" i="3"/>
  <c r="M10" i="7"/>
  <c r="J219" i="9"/>
  <c r="W34" i="42"/>
  <c r="H34" i="42" s="1"/>
  <c r="H69" i="13"/>
  <c r="I194" i="15"/>
  <c r="H291" i="6"/>
  <c r="I291" i="6" s="1"/>
  <c r="O921" i="7"/>
  <c r="N346" i="7"/>
  <c r="P642" i="7"/>
  <c r="O190" i="7"/>
  <c r="O557" i="7"/>
  <c r="N135" i="7"/>
  <c r="L735" i="34"/>
  <c r="N37" i="37"/>
  <c r="N60" i="37" s="1"/>
  <c r="N112" i="37"/>
  <c r="N117" i="37" s="1"/>
  <c r="O938" i="7"/>
  <c r="N942" i="7"/>
  <c r="N355" i="7"/>
  <c r="P840" i="7"/>
  <c r="O317" i="7"/>
  <c r="O563" i="7"/>
  <c r="N138" i="7"/>
  <c r="P897" i="7"/>
  <c r="N264" i="7"/>
  <c r="O734" i="7"/>
  <c r="N67" i="7"/>
  <c r="O454" i="7"/>
  <c r="O895" i="7"/>
  <c r="P612" i="7"/>
  <c r="O178" i="7"/>
  <c r="N882" i="7"/>
  <c r="M341" i="7"/>
  <c r="G71" i="3"/>
  <c r="O1051" i="7"/>
  <c r="N405" i="7"/>
  <c r="L111" i="3"/>
  <c r="O911" i="7"/>
  <c r="N345" i="7"/>
  <c r="P872" i="7"/>
  <c r="P779" i="7"/>
  <c r="O280" i="7"/>
  <c r="E47" i="11"/>
  <c r="E62" i="11" s="1"/>
  <c r="G45" i="11"/>
  <c r="A1131" i="7"/>
  <c r="A1134" i="7" s="1"/>
  <c r="A1151" i="7" s="1"/>
  <c r="A1159" i="7" s="1"/>
  <c r="A373" i="7"/>
  <c r="O570" i="7"/>
  <c r="N141" i="7"/>
  <c r="L285" i="7"/>
  <c r="L292" i="7" s="1"/>
  <c r="L807" i="7"/>
  <c r="L809" i="7" s="1"/>
  <c r="L811" i="7" s="1"/>
  <c r="L820" i="7" s="1"/>
  <c r="M797" i="7"/>
  <c r="Y21" i="42" s="1"/>
  <c r="G133" i="10"/>
  <c r="E135" i="10"/>
  <c r="T103" i="10"/>
  <c r="V103" i="10" s="1"/>
  <c r="V66" i="10"/>
  <c r="O829" i="7"/>
  <c r="W101" i="10"/>
  <c r="Y101" i="10" s="1"/>
  <c r="M234" i="48"/>
  <c r="M230" i="48"/>
  <c r="M229" i="48"/>
  <c r="M242" i="48"/>
  <c r="M238" i="48"/>
  <c r="M246" i="48"/>
  <c r="M235" i="48"/>
  <c r="G254" i="48"/>
  <c r="G251" i="48"/>
  <c r="O836" i="7"/>
  <c r="W66" i="10"/>
  <c r="R202" i="48"/>
  <c r="R203" i="48" s="1"/>
  <c r="O871" i="7"/>
  <c r="N336" i="7"/>
  <c r="P622" i="7"/>
  <c r="O187" i="7"/>
  <c r="R247" i="48"/>
  <c r="R248" i="48" s="1"/>
  <c r="K294" i="7"/>
  <c r="K22" i="7"/>
  <c r="K33" i="7" s="1"/>
  <c r="A52" i="20"/>
  <c r="A57" i="20" s="1"/>
  <c r="A32" i="20"/>
  <c r="C161" i="15"/>
  <c r="O832" i="7"/>
  <c r="W65" i="10"/>
  <c r="J1145" i="7"/>
  <c r="J296" i="7"/>
  <c r="L776" i="34"/>
  <c r="O616" i="7"/>
  <c r="N181" i="7"/>
  <c r="F247" i="48"/>
  <c r="F232" i="48"/>
  <c r="F237" i="48"/>
  <c r="F241" i="48"/>
  <c r="F239" i="48"/>
  <c r="F230" i="48"/>
  <c r="F234" i="48"/>
  <c r="N386" i="7"/>
  <c r="O1031" i="7"/>
  <c r="O1025" i="7"/>
  <c r="O392" i="7" s="1"/>
  <c r="L778" i="34"/>
  <c r="O1023" i="7"/>
  <c r="O1073" i="7" s="1"/>
  <c r="N407" i="7"/>
  <c r="N408" i="7" s="1"/>
  <c r="N385" i="7"/>
  <c r="J514" i="5"/>
  <c r="L478" i="5"/>
  <c r="L103" i="5"/>
  <c r="P414" i="5"/>
  <c r="O177" i="5"/>
  <c r="C549" i="8"/>
  <c r="C551" i="8" s="1"/>
  <c r="C563" i="8" s="1"/>
  <c r="C568" i="8" s="1"/>
  <c r="C161" i="8"/>
  <c r="H40" i="42"/>
  <c r="I44" i="15"/>
  <c r="M507" i="5"/>
  <c r="M18" i="5"/>
  <c r="M119" i="42"/>
  <c r="L124" i="42"/>
  <c r="P126" i="5"/>
  <c r="Q350" i="5"/>
  <c r="K103" i="5"/>
  <c r="K478" i="5"/>
  <c r="M180" i="5"/>
  <c r="K26" i="5"/>
  <c r="J209" i="5"/>
  <c r="J469" i="5"/>
  <c r="J471" i="5" s="1"/>
  <c r="J484" i="5" s="1"/>
  <c r="J488" i="5" s="1"/>
  <c r="R311" i="5"/>
  <c r="S311" i="5" s="1"/>
  <c r="D201" i="42"/>
  <c r="N361" i="5"/>
  <c r="N124" i="5"/>
  <c r="O342" i="5"/>
  <c r="O125" i="5"/>
  <c r="P348" i="5"/>
  <c r="M140" i="42"/>
  <c r="O416" i="5"/>
  <c r="N178" i="5"/>
  <c r="G18" i="13"/>
  <c r="O288" i="5"/>
  <c r="N89" i="5"/>
  <c r="N91" i="5" s="1"/>
  <c r="N307" i="5"/>
  <c r="P432" i="5"/>
  <c r="O186" i="5"/>
  <c r="M8" i="5"/>
  <c r="M497" i="5"/>
  <c r="B291" i="15"/>
  <c r="B292" i="15" s="1"/>
  <c r="B297" i="15" s="1"/>
  <c r="B320" i="15" s="1"/>
  <c r="B8" i="17"/>
  <c r="B13" i="17" s="1"/>
  <c r="B20" i="17" s="1"/>
  <c r="B47" i="17" s="1"/>
  <c r="B51" i="17" s="1"/>
  <c r="B99" i="17"/>
  <c r="B100" i="17" s="1"/>
  <c r="B102" i="17" s="1"/>
  <c r="B104" i="17" s="1"/>
  <c r="B116" i="17" s="1"/>
  <c r="AV18" i="42"/>
  <c r="O143" i="5"/>
  <c r="P382" i="5"/>
  <c r="N225" i="3" s="1"/>
  <c r="N226" i="3" s="1"/>
  <c r="K154" i="5"/>
  <c r="K479" i="5"/>
  <c r="N313" i="5"/>
  <c r="L112" i="3" s="1"/>
  <c r="M95" i="5"/>
  <c r="M99" i="5" s="1"/>
  <c r="M101" i="5" s="1"/>
  <c r="M319" i="5"/>
  <c r="M321" i="5" s="1"/>
  <c r="M323" i="5" s="1"/>
  <c r="M333" i="5" s="1"/>
  <c r="E40" i="42"/>
  <c r="O410" i="5"/>
  <c r="N419" i="5"/>
  <c r="N175" i="5"/>
  <c r="L506" i="5"/>
  <c r="L17" i="5"/>
  <c r="N128" i="5"/>
  <c r="O358" i="5"/>
  <c r="Q381" i="5"/>
  <c r="M131" i="5"/>
  <c r="N138" i="5"/>
  <c r="O372" i="5"/>
  <c r="N386" i="5"/>
  <c r="Q224" i="5"/>
  <c r="K27" i="5"/>
  <c r="K12" i="5"/>
  <c r="P205" i="6"/>
  <c r="O204" i="6"/>
  <c r="P983" i="6"/>
  <c r="Q983" i="6" s="1"/>
  <c r="Q204" i="6" s="1"/>
  <c r="P535" i="4"/>
  <c r="O124" i="4"/>
  <c r="P525" i="4"/>
  <c r="O123" i="4"/>
  <c r="O161" i="4" s="1"/>
  <c r="O120" i="4"/>
  <c r="P479" i="4"/>
  <c r="P339" i="4"/>
  <c r="N5" i="12" s="1"/>
  <c r="Q339" i="4" s="1"/>
  <c r="O5" i="12" s="1"/>
  <c r="R339" i="4" s="1"/>
  <c r="A28" i="13"/>
  <c r="A33" i="13" s="1"/>
  <c r="L127" i="4"/>
  <c r="L162" i="4" s="1"/>
  <c r="L650" i="4"/>
  <c r="L652" i="4" s="1"/>
  <c r="L659" i="4" s="1"/>
  <c r="L246" i="4"/>
  <c r="L1621" i="6"/>
  <c r="L297" i="4"/>
  <c r="L21" i="4" s="1"/>
  <c r="K31" i="4"/>
  <c r="N350" i="4"/>
  <c r="M65" i="4"/>
  <c r="M408" i="4"/>
  <c r="L222" i="4"/>
  <c r="J851" i="4"/>
  <c r="J207" i="4"/>
  <c r="G254" i="3"/>
  <c r="G683" i="34"/>
  <c r="G198" i="34" s="1"/>
  <c r="N496" i="4"/>
  <c r="N118" i="4" s="1"/>
  <c r="M581" i="4"/>
  <c r="B56" i="6"/>
  <c r="B67" i="6" s="1"/>
  <c r="A15" i="3"/>
  <c r="N618" i="4"/>
  <c r="N785" i="4"/>
  <c r="M798" i="4"/>
  <c r="M278" i="4"/>
  <c r="K141" i="4"/>
  <c r="K18" i="4"/>
  <c r="N811" i="4"/>
  <c r="M291" i="4"/>
  <c r="M121" i="4"/>
  <c r="M159" i="4" s="1"/>
  <c r="K115" i="3"/>
  <c r="N507" i="4"/>
  <c r="J54" i="15"/>
  <c r="J23" i="15" s="1"/>
  <c r="X81" i="42"/>
  <c r="K45" i="60" s="1"/>
  <c r="I21" i="42"/>
  <c r="I81" i="42" s="1"/>
  <c r="K19" i="60" s="1"/>
  <c r="M289" i="4"/>
  <c r="N802" i="4"/>
  <c r="M833" i="4"/>
  <c r="N723" i="4"/>
  <c r="M728" i="4"/>
  <c r="M217" i="4"/>
  <c r="M264" i="4" s="1"/>
  <c r="N681" i="4"/>
  <c r="M699" i="4"/>
  <c r="M701" i="4" s="1"/>
  <c r="M181" i="4"/>
  <c r="O691" i="4"/>
  <c r="N183" i="4"/>
  <c r="M129" i="4"/>
  <c r="N761" i="4"/>
  <c r="M241" i="4"/>
  <c r="M766" i="4"/>
  <c r="N634" i="4"/>
  <c r="J40" i="15"/>
  <c r="J9" i="15" s="1"/>
  <c r="X70" i="42"/>
  <c r="K34" i="60" s="1"/>
  <c r="I8" i="42"/>
  <c r="I70" i="42" s="1"/>
  <c r="K8" i="60" s="1"/>
  <c r="H105" i="13"/>
  <c r="I688" i="34"/>
  <c r="I682" i="34" s="1"/>
  <c r="O280" i="4"/>
  <c r="B28" i="13"/>
  <c r="B33" i="13" s="1"/>
  <c r="L342" i="4"/>
  <c r="J8" i="12" s="1"/>
  <c r="I11" i="12"/>
  <c r="N453" i="4"/>
  <c r="M111" i="4"/>
  <c r="K10" i="4"/>
  <c r="J862" i="4"/>
  <c r="J143" i="4"/>
  <c r="P475" i="4"/>
  <c r="N343" i="4"/>
  <c r="L9" i="12" s="1"/>
  <c r="N365" i="4"/>
  <c r="N69" i="4" s="1"/>
  <c r="K299" i="4"/>
  <c r="L80" i="4"/>
  <c r="L17" i="4" s="1"/>
  <c r="I116" i="3"/>
  <c r="I117" i="3" s="1"/>
  <c r="K495" i="6"/>
  <c r="H851" i="4"/>
  <c r="I851" i="4" s="1"/>
  <c r="H207" i="4"/>
  <c r="I207" i="4" s="1"/>
  <c r="G793" i="34"/>
  <c r="G804" i="34" s="1"/>
  <c r="G201" i="34"/>
  <c r="K59" i="4"/>
  <c r="K346" i="4"/>
  <c r="K410" i="4" s="1"/>
  <c r="K412" i="4" s="1"/>
  <c r="L17" i="10"/>
  <c r="J590" i="4" s="1"/>
  <c r="J149" i="4" s="1"/>
  <c r="J42" i="4" s="1"/>
  <c r="CV11" i="9"/>
  <c r="CV221" i="9" s="1"/>
  <c r="H25" i="9"/>
  <c r="J592" i="4"/>
  <c r="J151" i="4" s="1"/>
  <c r="J44" i="4" s="1"/>
  <c r="R171" i="8"/>
  <c r="S171" i="8" s="1"/>
  <c r="Q106" i="1"/>
  <c r="L337" i="34"/>
  <c r="M106" i="15"/>
  <c r="K393" i="34"/>
  <c r="K510" i="34" s="1"/>
  <c r="K570" i="34"/>
  <c r="M144" i="15"/>
  <c r="O18" i="17"/>
  <c r="N301" i="15"/>
  <c r="BF41" i="42"/>
  <c r="N119" i="17"/>
  <c r="Q54" i="42"/>
  <c r="B52" i="42"/>
  <c r="F544" i="34"/>
  <c r="F536" i="34"/>
  <c r="F519" i="34"/>
  <c r="E528" i="34"/>
  <c r="H10" i="60" l="1"/>
  <c r="Q477" i="7"/>
  <c r="Q843" i="6"/>
  <c r="Q977" i="6"/>
  <c r="Q752" i="4"/>
  <c r="Q802" i="7"/>
  <c r="Q857" i="6"/>
  <c r="Q1080" i="7"/>
  <c r="Q486" i="7"/>
  <c r="Q1807" i="6"/>
  <c r="Q1193" i="6"/>
  <c r="Q850" i="6"/>
  <c r="Q1332" i="6"/>
  <c r="Q427" i="6" s="1"/>
  <c r="Q754" i="6"/>
  <c r="Q756" i="6"/>
  <c r="Q1423" i="6"/>
  <c r="Q1739" i="6"/>
  <c r="Q583" i="6" s="1"/>
  <c r="Q1050" i="6"/>
  <c r="Q1040" i="6"/>
  <c r="Q1123" i="6"/>
  <c r="Q1555" i="6"/>
  <c r="Q911" i="6"/>
  <c r="Q927" i="6"/>
  <c r="Q993" i="6"/>
  <c r="Q208" i="6" s="1"/>
  <c r="Q984" i="6"/>
  <c r="Q205" i="6" s="1"/>
  <c r="N127" i="9"/>
  <c r="BI127" i="9"/>
  <c r="AA184" i="10"/>
  <c r="AB184" i="10" s="1"/>
  <c r="AA107" i="11" s="1"/>
  <c r="AB107" i="11" s="1"/>
  <c r="AC107" i="11" s="1"/>
  <c r="Q896" i="6"/>
  <c r="Q1430" i="6"/>
  <c r="Q818" i="4"/>
  <c r="Q772" i="7"/>
  <c r="Q629" i="4"/>
  <c r="Q924" i="6"/>
  <c r="Q1726" i="6"/>
  <c r="Q1420" i="6"/>
  <c r="Q440" i="6" s="1"/>
  <c r="Q844" i="6"/>
  <c r="Q1557" i="6"/>
  <c r="Q1104" i="6"/>
  <c r="Q1048" i="6"/>
  <c r="Q1057" i="6"/>
  <c r="N129" i="9"/>
  <c r="AA186" i="10"/>
  <c r="AB186" i="10" s="1"/>
  <c r="AA109" i="11" s="1"/>
  <c r="AB109" i="11" s="1"/>
  <c r="AC109" i="11" s="1"/>
  <c r="BI129" i="9"/>
  <c r="BJ129" i="9" s="1"/>
  <c r="N128" i="9"/>
  <c r="AA185" i="10"/>
  <c r="AB185" i="10" s="1"/>
  <c r="AA108" i="11" s="1"/>
  <c r="AB108" i="11" s="1"/>
  <c r="AC108" i="11" s="1"/>
  <c r="BI128" i="9"/>
  <c r="BJ128" i="9" s="1"/>
  <c r="Q1754" i="6"/>
  <c r="Q1628" i="6"/>
  <c r="Q1323" i="6"/>
  <c r="Q845" i="6"/>
  <c r="Q1061" i="6"/>
  <c r="Q1446" i="6"/>
  <c r="Q1898" i="6"/>
  <c r="Q763" i="6"/>
  <c r="Q784" i="6" s="1"/>
  <c r="Q374" i="8"/>
  <c r="Q1397" i="6"/>
  <c r="Q1936" i="6"/>
  <c r="Q908" i="6"/>
  <c r="Q1427" i="6"/>
  <c r="Q1334" i="6"/>
  <c r="Q429" i="6" s="1"/>
  <c r="Q1047" i="6"/>
  <c r="Q1054" i="6"/>
  <c r="Q1425" i="6"/>
  <c r="Q828" i="6"/>
  <c r="Q592" i="6"/>
  <c r="Q888" i="6"/>
  <c r="Q357" i="4"/>
  <c r="Q495" i="4"/>
  <c r="Q1109" i="6"/>
  <c r="Q722" i="4"/>
  <c r="Q630" i="7"/>
  <c r="Q364" i="8"/>
  <c r="Q978" i="7"/>
  <c r="Q440" i="4"/>
  <c r="Q751" i="4"/>
  <c r="Q1042" i="6"/>
  <c r="Q1060" i="6"/>
  <c r="Q1044" i="6"/>
  <c r="Q1908" i="6"/>
  <c r="Q1343" i="6"/>
  <c r="Q1242" i="6"/>
  <c r="Q1059" i="6"/>
  <c r="Q1184" i="6"/>
  <c r="Q1314" i="6"/>
  <c r="Q859" i="6"/>
  <c r="Q1049" i="6"/>
  <c r="Q925" i="6"/>
  <c r="Q1429" i="6"/>
  <c r="Q830" i="6"/>
  <c r="Q1952" i="6"/>
  <c r="BE127" i="9"/>
  <c r="BD143" i="9"/>
  <c r="Q1055" i="6"/>
  <c r="Q1448" i="6"/>
  <c r="Q1424" i="6"/>
  <c r="Q154" i="6"/>
  <c r="Q322" i="4"/>
  <c r="Q1907" i="6"/>
  <c r="Q1094" i="6"/>
  <c r="Q2004" i="6"/>
  <c r="Q1325" i="6"/>
  <c r="Q1874" i="6"/>
  <c r="Q652" i="6" s="1"/>
  <c r="Q1342" i="6"/>
  <c r="Q795" i="6"/>
  <c r="Q99" i="6" s="1"/>
  <c r="Q1039" i="6"/>
  <c r="Q1043" i="6"/>
  <c r="Q1547" i="6"/>
  <c r="Q928" i="6"/>
  <c r="Q899" i="6"/>
  <c r="Q1285" i="6"/>
  <c r="Q404" i="6" s="1"/>
  <c r="Q1041" i="6"/>
  <c r="Q1436" i="6"/>
  <c r="Q827" i="6"/>
  <c r="Q1564" i="6"/>
  <c r="Q1131" i="6"/>
  <c r="Q978" i="6"/>
  <c r="Q201" i="6" s="1"/>
  <c r="Q1045" i="6"/>
  <c r="Q1120" i="6"/>
  <c r="Q321" i="6" s="1"/>
  <c r="Q1887" i="6"/>
  <c r="Q1335" i="6"/>
  <c r="Q430" i="6" s="1"/>
  <c r="AD85" i="11"/>
  <c r="AG3" i="11"/>
  <c r="Z85" i="11"/>
  <c r="AC3" i="11"/>
  <c r="AK143" i="9"/>
  <c r="O7" i="37" s="1"/>
  <c r="H219" i="9"/>
  <c r="H221" i="9" s="1"/>
  <c r="M188" i="10"/>
  <c r="L96" i="11" s="1"/>
  <c r="M96" i="11" s="1"/>
  <c r="N96" i="11" s="1"/>
  <c r="P96" i="11" s="1"/>
  <c r="Q96" i="11" s="1"/>
  <c r="S96" i="11" s="1"/>
  <c r="T96" i="11" s="1"/>
  <c r="V96" i="11" s="1"/>
  <c r="W96" i="11" s="1"/>
  <c r="Y96" i="11" s="1"/>
  <c r="Z96" i="11" s="1"/>
  <c r="AB96" i="11" s="1"/>
  <c r="AC96" i="11" s="1"/>
  <c r="AE96" i="11" s="1"/>
  <c r="AF96" i="11" s="1"/>
  <c r="AH96" i="11" s="1"/>
  <c r="AI96" i="11" s="1"/>
  <c r="AK96" i="11" s="1"/>
  <c r="AL96" i="11" s="1"/>
  <c r="AN96" i="11" s="1"/>
  <c r="J1080" i="6"/>
  <c r="AJ143" i="9"/>
  <c r="AJ219" i="9" s="1"/>
  <c r="C211" i="42"/>
  <c r="D211" i="42" s="1"/>
  <c r="C27" i="13"/>
  <c r="C28" i="13" s="1"/>
  <c r="C33" i="13" s="1"/>
  <c r="P55" i="8"/>
  <c r="AQ21" i="42"/>
  <c r="N85" i="15" s="1"/>
  <c r="J45" i="42"/>
  <c r="O742" i="34"/>
  <c r="H34" i="3"/>
  <c r="Q302" i="6"/>
  <c r="M2093" i="6"/>
  <c r="J32" i="13" s="1"/>
  <c r="N1044" i="7"/>
  <c r="C205" i="42"/>
  <c r="N7" i="12"/>
  <c r="Q341" i="4" s="1"/>
  <c r="O7" i="12" s="1"/>
  <c r="R341" i="4" s="1"/>
  <c r="M400" i="7"/>
  <c r="M13" i="7" s="1"/>
  <c r="D236" i="48"/>
  <c r="O51" i="7"/>
  <c r="M59" i="3" s="1"/>
  <c r="D223" i="48"/>
  <c r="D225" i="48"/>
  <c r="P89" i="7"/>
  <c r="P82" i="7"/>
  <c r="R393" i="7"/>
  <c r="S1026" i="7"/>
  <c r="S393" i="7" s="1"/>
  <c r="Q849" i="7"/>
  <c r="S394" i="7"/>
  <c r="Q782" i="34"/>
  <c r="N145" i="40"/>
  <c r="P125" i="40"/>
  <c r="O126" i="40"/>
  <c r="AI98" i="10" s="1"/>
  <c r="AS98" i="10" s="1"/>
  <c r="M203" i="15"/>
  <c r="M148" i="15" s="1"/>
  <c r="AA43" i="42"/>
  <c r="L43" i="42" s="1"/>
  <c r="L119" i="13"/>
  <c r="P951" i="7"/>
  <c r="P370" i="7" s="1"/>
  <c r="M77" i="13"/>
  <c r="BZ118" i="9"/>
  <c r="D514" i="5"/>
  <c r="P185" i="5"/>
  <c r="G121" i="3"/>
  <c r="P122" i="4"/>
  <c r="O109" i="4"/>
  <c r="P442" i="4"/>
  <c r="L202" i="48"/>
  <c r="L153" i="48"/>
  <c r="H861" i="4"/>
  <c r="I861" i="4" s="1"/>
  <c r="L155" i="48"/>
  <c r="L149" i="48"/>
  <c r="L151" i="48"/>
  <c r="C15" i="3"/>
  <c r="L156" i="48"/>
  <c r="L200" i="48"/>
  <c r="H84" i="4"/>
  <c r="I84" i="4" s="1"/>
  <c r="L195" i="48"/>
  <c r="L147" i="48"/>
  <c r="L150" i="48"/>
  <c r="L157" i="48"/>
  <c r="P290" i="4"/>
  <c r="L201" i="48"/>
  <c r="L194" i="48"/>
  <c r="L193" i="48"/>
  <c r="L191" i="48"/>
  <c r="L152" i="48"/>
  <c r="L203" i="48"/>
  <c r="I6" i="11"/>
  <c r="I21" i="11" s="1"/>
  <c r="J82" i="4"/>
  <c r="J84" i="4" s="1"/>
  <c r="L196" i="48"/>
  <c r="L192" i="48"/>
  <c r="L199" i="48"/>
  <c r="L158" i="48"/>
  <c r="L146" i="48"/>
  <c r="L145" i="48"/>
  <c r="L189" i="48"/>
  <c r="L197" i="48"/>
  <c r="B15" i="3"/>
  <c r="L148" i="48"/>
  <c r="L159" i="48"/>
  <c r="L190" i="48"/>
  <c r="L154" i="48"/>
  <c r="J39" i="10"/>
  <c r="N76" i="4"/>
  <c r="Q360" i="4"/>
  <c r="Q364" i="4"/>
  <c r="Q68" i="4" s="1"/>
  <c r="P68" i="4"/>
  <c r="Q366" i="4"/>
  <c r="Q367" i="4"/>
  <c r="Q368" i="4"/>
  <c r="AT236" i="10"/>
  <c r="AM236" i="10"/>
  <c r="C147" i="3"/>
  <c r="Q37" i="14"/>
  <c r="J218" i="14"/>
  <c r="G64" i="3"/>
  <c r="CL33" i="9"/>
  <c r="CY33" i="9"/>
  <c r="B88" i="42"/>
  <c r="W24" i="26"/>
  <c r="X24" i="26" s="1"/>
  <c r="H41" i="60"/>
  <c r="K102" i="20"/>
  <c r="I203" i="3" s="1"/>
  <c r="C246" i="3"/>
  <c r="T20" i="20"/>
  <c r="K100" i="20"/>
  <c r="E414" i="34"/>
  <c r="H564" i="34"/>
  <c r="H566" i="34" s="1"/>
  <c r="H506" i="34"/>
  <c r="G150" i="34"/>
  <c r="G154" i="34"/>
  <c r="G156" i="34" s="1"/>
  <c r="I154" i="22"/>
  <c r="H70" i="17"/>
  <c r="N50" i="20"/>
  <c r="P50" i="20" s="1"/>
  <c r="R50" i="20" s="1"/>
  <c r="O50" i="20"/>
  <c r="Q50" i="20" s="1"/>
  <c r="E518" i="34"/>
  <c r="E520" i="34" s="1"/>
  <c r="E566" i="34"/>
  <c r="R153" i="22"/>
  <c r="R147" i="22"/>
  <c r="Q67" i="17"/>
  <c r="Q120" i="17"/>
  <c r="AD22" i="20"/>
  <c r="E512" i="6"/>
  <c r="E2060" i="6" s="1"/>
  <c r="E2066" i="6" s="1"/>
  <c r="E2088" i="6" s="1"/>
  <c r="E2094" i="6" s="1"/>
  <c r="Q77" i="6"/>
  <c r="Q140" i="6"/>
  <c r="CR49" i="21"/>
  <c r="CO33" i="21"/>
  <c r="CB33" i="21"/>
  <c r="BG44" i="42"/>
  <c r="O120" i="17"/>
  <c r="O305" i="15"/>
  <c r="O309" i="15" s="1"/>
  <c r="Q148" i="22"/>
  <c r="Q156" i="22" s="1"/>
  <c r="P36" i="17"/>
  <c r="BN3" i="21"/>
  <c r="BK3" i="22"/>
  <c r="BK92" i="22" s="1"/>
  <c r="BK142" i="22" s="1"/>
  <c r="P67" i="17"/>
  <c r="Q147" i="22"/>
  <c r="P146" i="22"/>
  <c r="Q539" i="8"/>
  <c r="Q158" i="8" s="1"/>
  <c r="Q31" i="8" s="1"/>
  <c r="O153" i="22"/>
  <c r="O150" i="22"/>
  <c r="O98" i="3" s="1"/>
  <c r="BT88" i="9"/>
  <c r="BT174" i="9" s="1"/>
  <c r="CD3" i="9"/>
  <c r="CD88" i="9" s="1"/>
  <c r="CB174" i="9"/>
  <c r="BP88" i="9"/>
  <c r="BP174" i="9" s="1"/>
  <c r="BZ3" i="9"/>
  <c r="BZ88" i="9" s="1"/>
  <c r="Q207" i="6"/>
  <c r="Q130" i="6"/>
  <c r="Q824" i="6"/>
  <c r="Q153" i="6"/>
  <c r="Q585" i="6"/>
  <c r="Q301" i="6"/>
  <c r="Q414" i="6"/>
  <c r="Q1486" i="6"/>
  <c r="Q673" i="6"/>
  <c r="Q643" i="6"/>
  <c r="Q2027" i="6"/>
  <c r="Q724" i="6" s="1"/>
  <c r="Q653" i="6"/>
  <c r="Q139" i="6"/>
  <c r="Q638" i="6"/>
  <c r="Q145" i="6"/>
  <c r="Q325" i="6"/>
  <c r="Q310" i="6"/>
  <c r="Q1770" i="6"/>
  <c r="Q598" i="6"/>
  <c r="Q605" i="6" s="1"/>
  <c r="Q259" i="6"/>
  <c r="Q431" i="6"/>
  <c r="Q410" i="6"/>
  <c r="Q403" i="6"/>
  <c r="Q478" i="6"/>
  <c r="Q449" i="6"/>
  <c r="Q1373" i="6"/>
  <c r="Q330" i="6"/>
  <c r="Q329" i="6" s="1"/>
  <c r="Q148" i="6"/>
  <c r="Q261" i="6"/>
  <c r="R138" i="6"/>
  <c r="K584" i="34"/>
  <c r="M617" i="34"/>
  <c r="O58" i="34"/>
  <c r="O55" i="34"/>
  <c r="O48" i="34"/>
  <c r="O132" i="34"/>
  <c r="O705" i="34"/>
  <c r="O743" i="34"/>
  <c r="O121" i="34"/>
  <c r="O632" i="34"/>
  <c r="O155" i="34"/>
  <c r="O739" i="34"/>
  <c r="O149" i="34"/>
  <c r="O112" i="34"/>
  <c r="O108" i="34"/>
  <c r="O133" i="34"/>
  <c r="O162" i="34"/>
  <c r="O56" i="34"/>
  <c r="O650" i="34"/>
  <c r="O114" i="34"/>
  <c r="O644" i="34"/>
  <c r="O1039" i="7"/>
  <c r="N388" i="7"/>
  <c r="Y11" i="42"/>
  <c r="K368" i="34" s="1"/>
  <c r="I40" i="17"/>
  <c r="K155" i="8"/>
  <c r="N384" i="7"/>
  <c r="O1021" i="7"/>
  <c r="I113" i="15"/>
  <c r="I505" i="34"/>
  <c r="I565" i="34" s="1"/>
  <c r="I573" i="34" s="1"/>
  <c r="O1038" i="7"/>
  <c r="N387" i="7"/>
  <c r="O578" i="4"/>
  <c r="N137" i="4"/>
  <c r="N90" i="1"/>
  <c r="M97" i="1"/>
  <c r="L63" i="20"/>
  <c r="U12" i="20"/>
  <c r="U16" i="20" s="1"/>
  <c r="L99" i="20"/>
  <c r="L89" i="17"/>
  <c r="L34" i="17" s="1"/>
  <c r="BD45" i="42" s="1"/>
  <c r="BD47" i="42" s="1"/>
  <c r="O72" i="1"/>
  <c r="N75" i="1"/>
  <c r="Q69" i="1"/>
  <c r="O287" i="3"/>
  <c r="O297" i="3" s="1"/>
  <c r="R394" i="7"/>
  <c r="P782" i="34"/>
  <c r="O1041" i="7"/>
  <c r="N397" i="7"/>
  <c r="P130" i="8"/>
  <c r="Q493" i="8"/>
  <c r="L288" i="3"/>
  <c r="N70" i="1"/>
  <c r="N25" i="34"/>
  <c r="O67" i="34"/>
  <c r="P824" i="6"/>
  <c r="P130" i="6"/>
  <c r="N182" i="9"/>
  <c r="BJ182" i="9"/>
  <c r="Q683" i="7"/>
  <c r="P229" i="7"/>
  <c r="P125" i="8"/>
  <c r="Q459" i="8"/>
  <c r="Q625" i="7"/>
  <c r="P188" i="7"/>
  <c r="P91" i="6"/>
  <c r="N44" i="8"/>
  <c r="AO8" i="42" s="1"/>
  <c r="L71" i="15" s="1"/>
  <c r="O177" i="8"/>
  <c r="P638" i="6"/>
  <c r="Q464" i="8"/>
  <c r="P127" i="8"/>
  <c r="BT118" i="9"/>
  <c r="V63" i="37"/>
  <c r="V65" i="37" s="1"/>
  <c r="P220" i="4"/>
  <c r="Q726" i="4"/>
  <c r="P64" i="8"/>
  <c r="P302" i="6"/>
  <c r="M606" i="34"/>
  <c r="L582" i="34"/>
  <c r="Q334" i="4"/>
  <c r="P228" i="4"/>
  <c r="Q741" i="4"/>
  <c r="Q1099" i="7"/>
  <c r="Q896" i="7"/>
  <c r="Q526" i="4"/>
  <c r="Q793" i="4"/>
  <c r="Q227" i="5"/>
  <c r="Q18" i="27"/>
  <c r="Q377" i="8"/>
  <c r="Q406" i="4"/>
  <c r="Q385" i="4"/>
  <c r="Q361" i="4"/>
  <c r="Q39" i="27"/>
  <c r="Q232" i="5"/>
  <c r="Q1089" i="7"/>
  <c r="Q433" i="8"/>
  <c r="Q569" i="4"/>
  <c r="Q1086" i="7"/>
  <c r="V73" i="37"/>
  <c r="Q451" i="8"/>
  <c r="Q644" i="4"/>
  <c r="Q343" i="5"/>
  <c r="Q480" i="4"/>
  <c r="P145" i="6"/>
  <c r="Q426" i="8"/>
  <c r="Q216" i="8"/>
  <c r="Q419" i="8"/>
  <c r="Q563" i="4"/>
  <c r="Q974" i="7"/>
  <c r="Q436" i="8"/>
  <c r="Q499" i="4"/>
  <c r="O85" i="8"/>
  <c r="O21" i="8"/>
  <c r="AP22" i="42"/>
  <c r="P325" i="6"/>
  <c r="Q962" i="7"/>
  <c r="Q186" i="8"/>
  <c r="Q441" i="8"/>
  <c r="Q327" i="8"/>
  <c r="Q635" i="4"/>
  <c r="Q382" i="8"/>
  <c r="H239" i="10"/>
  <c r="H1516" i="6" s="1"/>
  <c r="H1521" i="6" s="1"/>
  <c r="P257" i="5"/>
  <c r="O62" i="5"/>
  <c r="K298" i="3"/>
  <c r="K290" i="3"/>
  <c r="Q6" i="1"/>
  <c r="O23" i="21"/>
  <c r="O61" i="21"/>
  <c r="O9" i="21"/>
  <c r="O70" i="21"/>
  <c r="O68" i="21"/>
  <c r="P527" i="7"/>
  <c r="O104" i="7"/>
  <c r="BJ100" i="9"/>
  <c r="N100" i="9"/>
  <c r="O27" i="1"/>
  <c r="M289" i="3"/>
  <c r="M299" i="3" s="1"/>
  <c r="P403" i="8"/>
  <c r="M87" i="17"/>
  <c r="N584" i="6"/>
  <c r="N600" i="6" s="1"/>
  <c r="N31" i="6" s="1"/>
  <c r="AP11" i="42"/>
  <c r="M74" i="15" s="1"/>
  <c r="M381" i="34"/>
  <c r="M63" i="12"/>
  <c r="BG139" i="9"/>
  <c r="BG143" i="9" s="1"/>
  <c r="M139" i="9"/>
  <c r="Q923" i="7"/>
  <c r="Q304" i="8"/>
  <c r="Q64" i="8" s="1"/>
  <c r="Q530" i="4"/>
  <c r="Q507" i="7"/>
  <c r="P88" i="7"/>
  <c r="Q346" i="5"/>
  <c r="Q464" i="7"/>
  <c r="Q471" i="7"/>
  <c r="Q424" i="5"/>
  <c r="Q777" i="7"/>
  <c r="Q979" i="7"/>
  <c r="Q422" i="8"/>
  <c r="Q755" i="7"/>
  <c r="Q819" i="4"/>
  <c r="Q470" i="8"/>
  <c r="Q443" i="4"/>
  <c r="Q433" i="5"/>
  <c r="P410" i="6"/>
  <c r="Q303" i="5"/>
  <c r="Q453" i="7"/>
  <c r="Q415" i="5"/>
  <c r="Q744" i="7"/>
  <c r="Q519" i="4"/>
  <c r="Q821" i="4"/>
  <c r="P337" i="8"/>
  <c r="N27" i="16"/>
  <c r="N12" i="16" s="1"/>
  <c r="N247" i="15" s="1"/>
  <c r="N269" i="15" s="1"/>
  <c r="P79" i="8"/>
  <c r="Q331" i="8"/>
  <c r="Q511" i="4"/>
  <c r="Q878" i="7"/>
  <c r="Q894" i="7"/>
  <c r="Q1053" i="7"/>
  <c r="Q300" i="5"/>
  <c r="Q633" i="4"/>
  <c r="Q307" i="8"/>
  <c r="Q473" i="8"/>
  <c r="Q235" i="8"/>
  <c r="Q497" i="4"/>
  <c r="P63" i="8"/>
  <c r="Q297" i="8"/>
  <c r="Q185" i="8"/>
  <c r="P45" i="8"/>
  <c r="P405" i="6"/>
  <c r="Q311" i="8"/>
  <c r="P66" i="8"/>
  <c r="N286" i="3"/>
  <c r="P58" i="1"/>
  <c r="O747" i="34"/>
  <c r="N751" i="34"/>
  <c r="BN210" i="9"/>
  <c r="BO210" i="9" s="1"/>
  <c r="O210" i="9"/>
  <c r="AD253" i="10"/>
  <c r="P247" i="5"/>
  <c r="CZ139" i="9"/>
  <c r="BE139" i="9"/>
  <c r="BU118" i="9"/>
  <c r="BJ114" i="9"/>
  <c r="N114" i="9"/>
  <c r="DA114" i="9"/>
  <c r="Q449" i="8"/>
  <c r="P421" i="45"/>
  <c r="O25" i="12"/>
  <c r="O41" i="55"/>
  <c r="O43" i="55" s="1"/>
  <c r="P40" i="55" s="1"/>
  <c r="P317" i="5"/>
  <c r="O97" i="5"/>
  <c r="Q876" i="7"/>
  <c r="P339" i="7"/>
  <c r="P1740" i="6"/>
  <c r="Q1740" i="6" s="1"/>
  <c r="P54" i="27"/>
  <c r="Q49" i="27"/>
  <c r="P375" i="4"/>
  <c r="O75" i="4"/>
  <c r="O106" i="34"/>
  <c r="N109" i="34"/>
  <c r="N444" i="34" s="1"/>
  <c r="N445" i="34" s="1"/>
  <c r="Q174" i="8"/>
  <c r="P182" i="8"/>
  <c r="P46" i="8" s="1"/>
  <c r="N62" i="12"/>
  <c r="O24" i="12"/>
  <c r="P98" i="7"/>
  <c r="Q521" i="7"/>
  <c r="Q212" i="8"/>
  <c r="Q220" i="5"/>
  <c r="Q642" i="4"/>
  <c r="Q776" i="7"/>
  <c r="Q487" i="8"/>
  <c r="Q1070" i="7"/>
  <c r="Q43" i="27"/>
  <c r="L139" i="4"/>
  <c r="O65" i="34"/>
  <c r="N23" i="34"/>
  <c r="P359" i="5"/>
  <c r="O129" i="5"/>
  <c r="R613" i="7"/>
  <c r="S613" i="7" s="1"/>
  <c r="Q523" i="8"/>
  <c r="BF22" i="42"/>
  <c r="N27" i="17"/>
  <c r="N12" i="17" s="1"/>
  <c r="N296" i="15" s="1"/>
  <c r="N318" i="15" s="1"/>
  <c r="P142" i="8"/>
  <c r="P149" i="8" s="1"/>
  <c r="BF34" i="42" s="1"/>
  <c r="P530" i="8"/>
  <c r="Q935" i="7"/>
  <c r="AD100" i="10"/>
  <c r="AE100" i="10" s="1"/>
  <c r="P191" i="7"/>
  <c r="Q644" i="7"/>
  <c r="M296" i="3"/>
  <c r="R646" i="4"/>
  <c r="P526" i="7"/>
  <c r="O103" i="7"/>
  <c r="R491" i="8"/>
  <c r="BJ115" i="9"/>
  <c r="N115" i="9"/>
  <c r="R357" i="4"/>
  <c r="Q438" i="4"/>
  <c r="P107" i="4"/>
  <c r="P160" i="4" s="1"/>
  <c r="R1891" i="6"/>
  <c r="P380" i="5"/>
  <c r="O145" i="5"/>
  <c r="O142" i="5"/>
  <c r="R1610" i="6"/>
  <c r="J291" i="3"/>
  <c r="J300" i="3"/>
  <c r="R16" i="27"/>
  <c r="P402" i="8"/>
  <c r="O120" i="8"/>
  <c r="M86" i="17"/>
  <c r="O122" i="9"/>
  <c r="P122" i="9" s="1"/>
  <c r="R817" i="4"/>
  <c r="Q638" i="7"/>
  <c r="Q791" i="4"/>
  <c r="Q5" i="1"/>
  <c r="Q18" i="16" s="1"/>
  <c r="O662" i="34"/>
  <c r="O663" i="34" s="1"/>
  <c r="M429" i="34"/>
  <c r="N429" i="34" s="1"/>
  <c r="M427" i="34"/>
  <c r="N427" i="34" s="1"/>
  <c r="Q490" i="4"/>
  <c r="R490" i="4" s="1"/>
  <c r="AG8" i="54"/>
  <c r="M422" i="34"/>
  <c r="N422" i="34" s="1"/>
  <c r="M428" i="34"/>
  <c r="N428" i="34" s="1"/>
  <c r="M455" i="34"/>
  <c r="N455" i="34" s="1"/>
  <c r="M440" i="34"/>
  <c r="Q646" i="4"/>
  <c r="O22" i="12"/>
  <c r="P22" i="12" s="1"/>
  <c r="Q736" i="4"/>
  <c r="R736" i="4" s="1"/>
  <c r="O141" i="34"/>
  <c r="R1332" i="6"/>
  <c r="Q1085" i="7"/>
  <c r="R1085" i="7" s="1"/>
  <c r="D30" i="8"/>
  <c r="E524" i="34"/>
  <c r="P604" i="4"/>
  <c r="P602" i="4"/>
  <c r="P603" i="4"/>
  <c r="G307" i="34"/>
  <c r="G367" i="34" s="1"/>
  <c r="G486" i="34" s="1"/>
  <c r="L154" i="5"/>
  <c r="H121" i="3"/>
  <c r="F13" i="15"/>
  <c r="G13" i="15" s="1"/>
  <c r="B234" i="42"/>
  <c r="D323" i="15"/>
  <c r="D325" i="15" s="1"/>
  <c r="N4" i="12"/>
  <c r="Q338" i="4" s="1"/>
  <c r="AF36" i="42"/>
  <c r="D328" i="34"/>
  <c r="D2086" i="6"/>
  <c r="I180" i="6"/>
  <c r="I1510" i="6"/>
  <c r="F244" i="48"/>
  <c r="F240" i="48"/>
  <c r="F248" i="48"/>
  <c r="F222" i="48"/>
  <c r="F238" i="48"/>
  <c r="F236" i="48"/>
  <c r="F245" i="48"/>
  <c r="F233" i="48"/>
  <c r="F243" i="48"/>
  <c r="F223" i="48"/>
  <c r="F229" i="48"/>
  <c r="F226" i="48"/>
  <c r="F242" i="48"/>
  <c r="F256" i="48"/>
  <c r="F227" i="48"/>
  <c r="F224" i="48"/>
  <c r="F228" i="48"/>
  <c r="F246" i="48"/>
  <c r="F235" i="48"/>
  <c r="F231" i="48"/>
  <c r="J113" i="14"/>
  <c r="Q49" i="14" s="1"/>
  <c r="J114" i="14"/>
  <c r="R49" i="14" s="1"/>
  <c r="R51" i="14" s="1"/>
  <c r="K1063" i="6" s="1"/>
  <c r="K1070" i="6" s="1"/>
  <c r="K1071" i="6" s="1"/>
  <c r="K1075" i="6" s="1"/>
  <c r="J190" i="14"/>
  <c r="K85" i="14" s="1"/>
  <c r="K210" i="14"/>
  <c r="J115" i="14"/>
  <c r="J145" i="14"/>
  <c r="J196" i="14"/>
  <c r="L94" i="14"/>
  <c r="L159" i="14" s="1"/>
  <c r="L92" i="14"/>
  <c r="H27" i="4"/>
  <c r="I27" i="4" s="1"/>
  <c r="D1134" i="7"/>
  <c r="D1151" i="7" s="1"/>
  <c r="D1159" i="7" s="1"/>
  <c r="N307" i="45"/>
  <c r="S108" i="37"/>
  <c r="S110" i="37" s="1"/>
  <c r="T3" i="37"/>
  <c r="T109" i="37" s="1"/>
  <c r="S4" i="37"/>
  <c r="T2" i="37" s="1"/>
  <c r="L81" i="37"/>
  <c r="L84" i="37" s="1"/>
  <c r="K84" i="37"/>
  <c r="K98" i="37" s="1"/>
  <c r="K100" i="37" s="1"/>
  <c r="B181" i="3" s="1"/>
  <c r="AN54" i="42"/>
  <c r="M152" i="11"/>
  <c r="N152" i="11" s="1"/>
  <c r="P152" i="11" s="1"/>
  <c r="Q152" i="11" s="1"/>
  <c r="D147" i="15"/>
  <c r="G147" i="15" s="1"/>
  <c r="G202" i="15"/>
  <c r="H514" i="5"/>
  <c r="I514" i="5" s="1"/>
  <c r="L466" i="5"/>
  <c r="J30" i="5"/>
  <c r="H14" i="3" s="1"/>
  <c r="AA41" i="42"/>
  <c r="L41" i="42" s="1"/>
  <c r="D123" i="3"/>
  <c r="O64" i="5"/>
  <c r="O505" i="5" s="1"/>
  <c r="C202" i="42"/>
  <c r="D202" i="42" s="1"/>
  <c r="M124" i="42"/>
  <c r="M151" i="48"/>
  <c r="O434" i="6"/>
  <c r="P1363" i="6"/>
  <c r="Q1363" i="6" s="1"/>
  <c r="Q434" i="6" s="1"/>
  <c r="M152" i="48"/>
  <c r="M150" i="48"/>
  <c r="E35" i="6"/>
  <c r="E51" i="6" s="1"/>
  <c r="P107" i="48"/>
  <c r="L12" i="48"/>
  <c r="E45" i="6"/>
  <c r="D2059" i="6"/>
  <c r="P264" i="6"/>
  <c r="D523" i="6"/>
  <c r="D2060" i="6"/>
  <c r="E617" i="6"/>
  <c r="I612" i="6"/>
  <c r="D101" i="3"/>
  <c r="D69" i="3"/>
  <c r="D72" i="3" s="1"/>
  <c r="I65" i="6"/>
  <c r="I1781" i="6"/>
  <c r="I355" i="6"/>
  <c r="F157" i="48"/>
  <c r="F159" i="48"/>
  <c r="F143" i="48"/>
  <c r="M154" i="48"/>
  <c r="M147" i="48"/>
  <c r="D222" i="48"/>
  <c r="D256" i="48"/>
  <c r="M227" i="48"/>
  <c r="M233" i="48"/>
  <c r="M237" i="48"/>
  <c r="M231" i="48"/>
  <c r="M232" i="48"/>
  <c r="M222" i="48"/>
  <c r="M245" i="48"/>
  <c r="R145" i="48"/>
  <c r="R158" i="48" s="1"/>
  <c r="R159" i="48" s="1"/>
  <c r="M153" i="48"/>
  <c r="M158" i="48"/>
  <c r="M144" i="48"/>
  <c r="D43" i="7"/>
  <c r="D54" i="7" s="1"/>
  <c r="M226" i="48"/>
  <c r="M225" i="48"/>
  <c r="M236" i="48"/>
  <c r="M256" i="48"/>
  <c r="M224" i="48"/>
  <c r="M248" i="48"/>
  <c r="M241" i="48"/>
  <c r="D247" i="48"/>
  <c r="D224" i="48"/>
  <c r="M223" i="48"/>
  <c r="M240" i="48"/>
  <c r="M228" i="48"/>
  <c r="M247" i="48"/>
  <c r="M243" i="48"/>
  <c r="M244" i="48"/>
  <c r="M136" i="48"/>
  <c r="M143" i="48"/>
  <c r="M135" i="48"/>
  <c r="M155" i="48"/>
  <c r="M142" i="48"/>
  <c r="M146" i="48"/>
  <c r="F139" i="48"/>
  <c r="D45" i="3"/>
  <c r="M156" i="48"/>
  <c r="M157" i="48"/>
  <c r="M133" i="48"/>
  <c r="M139" i="48"/>
  <c r="D241" i="48"/>
  <c r="D246" i="48"/>
  <c r="D244" i="48"/>
  <c r="D233" i="48"/>
  <c r="D230" i="48"/>
  <c r="D243" i="48"/>
  <c r="D238" i="48"/>
  <c r="D228" i="48"/>
  <c r="D240" i="48"/>
  <c r="D232" i="48"/>
  <c r="D248" i="48"/>
  <c r="D226" i="48"/>
  <c r="D237" i="48"/>
  <c r="D229" i="48"/>
  <c r="D220" i="48"/>
  <c r="E256" i="48" s="1"/>
  <c r="D242" i="48"/>
  <c r="D239" i="48"/>
  <c r="D227" i="48"/>
  <c r="D235" i="48"/>
  <c r="F38" i="48"/>
  <c r="D231" i="48"/>
  <c r="D234" i="48"/>
  <c r="E49" i="7"/>
  <c r="I251" i="7"/>
  <c r="C208" i="42"/>
  <c r="E1120" i="7"/>
  <c r="H307" i="7"/>
  <c r="I307" i="7" s="1"/>
  <c r="I296" i="7"/>
  <c r="E244" i="42"/>
  <c r="R461" i="8"/>
  <c r="Q126" i="8"/>
  <c r="Q277" i="8"/>
  <c r="P61" i="8"/>
  <c r="J99" i="34"/>
  <c r="R485" i="8"/>
  <c r="Q128" i="8"/>
  <c r="P58" i="8"/>
  <c r="Q257" i="8"/>
  <c r="R257" i="8" s="1"/>
  <c r="Q294" i="8"/>
  <c r="P62" i="8"/>
  <c r="P292" i="45"/>
  <c r="O88" i="16"/>
  <c r="R219" i="8"/>
  <c r="F137" i="15"/>
  <c r="G137" i="15" s="1"/>
  <c r="I205" i="34"/>
  <c r="C395" i="34"/>
  <c r="C507" i="34"/>
  <c r="C511" i="34" s="1"/>
  <c r="C512" i="34" s="1"/>
  <c r="C236" i="34" s="1"/>
  <c r="C237" i="34" s="1"/>
  <c r="C398" i="34"/>
  <c r="A290" i="15"/>
  <c r="A98" i="17"/>
  <c r="D237" i="34"/>
  <c r="C243" i="15"/>
  <c r="C83" i="15"/>
  <c r="C158" i="42"/>
  <c r="C162" i="42" s="1"/>
  <c r="C164" i="42" s="1"/>
  <c r="C168" i="42" s="1"/>
  <c r="C174" i="42" s="1"/>
  <c r="C186" i="42" s="1"/>
  <c r="AH24" i="42"/>
  <c r="AH26" i="42" s="1"/>
  <c r="C118" i="16"/>
  <c r="C13" i="16"/>
  <c r="C20" i="16" s="1"/>
  <c r="C47" i="16" s="1"/>
  <c r="C274" i="15" s="1"/>
  <c r="D117" i="17"/>
  <c r="D121" i="17" s="1"/>
  <c r="D123" i="17" s="1"/>
  <c r="D94" i="3" s="1"/>
  <c r="B13" i="16"/>
  <c r="B20" i="16" s="1"/>
  <c r="B47" i="16" s="1"/>
  <c r="B118" i="16"/>
  <c r="B73" i="15"/>
  <c r="AG14" i="42"/>
  <c r="AG26" i="42" s="1"/>
  <c r="AO47" i="42"/>
  <c r="K45" i="42"/>
  <c r="P67" i="8"/>
  <c r="Q314" i="8"/>
  <c r="N744" i="34"/>
  <c r="AP45" i="42"/>
  <c r="M256" i="15"/>
  <c r="Q218" i="8"/>
  <c r="N87" i="16"/>
  <c r="N90" i="16" s="1"/>
  <c r="N34" i="16" s="1"/>
  <c r="P57" i="8"/>
  <c r="Q444" i="8"/>
  <c r="P422" i="45"/>
  <c r="P123" i="8"/>
  <c r="Q328" i="8"/>
  <c r="P69" i="8"/>
  <c r="C292" i="15"/>
  <c r="C22" i="15"/>
  <c r="C163" i="15"/>
  <c r="E398" i="34"/>
  <c r="E395" i="34"/>
  <c r="E507" i="34"/>
  <c r="E511" i="34" s="1"/>
  <c r="E512" i="34" s="1"/>
  <c r="E236" i="34" s="1"/>
  <c r="E237" i="34" s="1"/>
  <c r="K120" i="14"/>
  <c r="K191" i="14"/>
  <c r="L86" i="14" s="1"/>
  <c r="L211" i="14"/>
  <c r="AX58" i="42"/>
  <c r="AX62" i="42" s="1"/>
  <c r="K15" i="34"/>
  <c r="L98" i="34"/>
  <c r="L90" i="34"/>
  <c r="K7" i="34"/>
  <c r="K407" i="34"/>
  <c r="L91" i="34"/>
  <c r="K8" i="34"/>
  <c r="D551" i="8"/>
  <c r="D23" i="8"/>
  <c r="D92" i="8"/>
  <c r="D97" i="8" s="1"/>
  <c r="D347" i="8"/>
  <c r="D590" i="8"/>
  <c r="F144" i="48"/>
  <c r="F153" i="48"/>
  <c r="F145" i="48"/>
  <c r="F137" i="48"/>
  <c r="F133" i="48"/>
  <c r="F142" i="48"/>
  <c r="F135" i="48"/>
  <c r="C13" i="3"/>
  <c r="J853" i="4"/>
  <c r="J412" i="4"/>
  <c r="D471" i="5"/>
  <c r="G14" i="3"/>
  <c r="H484" i="5"/>
  <c r="I484" i="5" s="1"/>
  <c r="N251" i="48"/>
  <c r="N254" i="48"/>
  <c r="H43" i="5"/>
  <c r="I43" i="5" s="1"/>
  <c r="C198" i="42"/>
  <c r="D198" i="42" s="1"/>
  <c r="N180" i="5"/>
  <c r="N499" i="5" s="1"/>
  <c r="E49" i="42"/>
  <c r="M583" i="4"/>
  <c r="M585" i="4" s="1"/>
  <c r="D232" i="3"/>
  <c r="W47" i="42"/>
  <c r="H47" i="42" s="1"/>
  <c r="F793" i="34"/>
  <c r="F804" i="34" s="1"/>
  <c r="F159" i="11"/>
  <c r="G259" i="10"/>
  <c r="D254" i="3"/>
  <c r="D142" i="13"/>
  <c r="D144" i="3"/>
  <c r="D64" i="3"/>
  <c r="P419" i="4"/>
  <c r="P92" i="4" s="1"/>
  <c r="P43" i="4" s="1"/>
  <c r="M57" i="13"/>
  <c r="N199" i="15" s="1"/>
  <c r="N144" i="15" s="1"/>
  <c r="P26" i="12"/>
  <c r="M62" i="3"/>
  <c r="O902" i="4"/>
  <c r="E29" i="42"/>
  <c r="CP73" i="22"/>
  <c r="CC73" i="22"/>
  <c r="CC115" i="22"/>
  <c r="CP115" i="22"/>
  <c r="CN9" i="21"/>
  <c r="CA9" i="21"/>
  <c r="G199" i="34"/>
  <c r="E52" i="42"/>
  <c r="AV101" i="37"/>
  <c r="AV16" i="37"/>
  <c r="U49" i="42"/>
  <c r="F49" i="42" s="1"/>
  <c r="F206" i="15"/>
  <c r="F158" i="48"/>
  <c r="F146" i="48"/>
  <c r="M141" i="48"/>
  <c r="M134" i="48"/>
  <c r="M137" i="48"/>
  <c r="M167" i="48"/>
  <c r="M145" i="48"/>
  <c r="F148" i="48"/>
  <c r="F152" i="48"/>
  <c r="F156" i="48"/>
  <c r="M140" i="48"/>
  <c r="M138" i="48"/>
  <c r="M148" i="48"/>
  <c r="M149" i="48"/>
  <c r="F150" i="48"/>
  <c r="F155" i="48"/>
  <c r="F147" i="48"/>
  <c r="F138" i="48"/>
  <c r="F167" i="48"/>
  <c r="F141" i="48"/>
  <c r="D399" i="34"/>
  <c r="D193" i="34" s="1"/>
  <c r="E746" i="6"/>
  <c r="L602" i="6"/>
  <c r="L2082" i="6" s="1"/>
  <c r="D198" i="15"/>
  <c r="G198" i="15" s="1"/>
  <c r="E1516" i="6"/>
  <c r="E541" i="8"/>
  <c r="D263" i="3"/>
  <c r="E685" i="6"/>
  <c r="E1976" i="6"/>
  <c r="H45" i="17"/>
  <c r="H324" i="15"/>
  <c r="H329" i="15" s="1"/>
  <c r="E161" i="8"/>
  <c r="E29" i="8"/>
  <c r="E34" i="8" s="1"/>
  <c r="F216" i="15"/>
  <c r="G216" i="15" s="1"/>
  <c r="M55" i="13"/>
  <c r="M72" i="13"/>
  <c r="N97" i="13"/>
  <c r="O95" i="13"/>
  <c r="F15" i="60"/>
  <c r="E436" i="7"/>
  <c r="AB90" i="11"/>
  <c r="AC90" i="11" s="1"/>
  <c r="AE90" i="11" s="1"/>
  <c r="AF90" i="11" s="1"/>
  <c r="P559" i="4"/>
  <c r="P126" i="4" s="1"/>
  <c r="H44" i="60"/>
  <c r="F44" i="60"/>
  <c r="L608" i="34"/>
  <c r="L581" i="34"/>
  <c r="L584" i="34" s="1"/>
  <c r="N312" i="34"/>
  <c r="M656" i="34"/>
  <c r="M542" i="34"/>
  <c r="M605" i="34"/>
  <c r="N583" i="34"/>
  <c r="N596" i="34"/>
  <c r="N313" i="34"/>
  <c r="M295" i="34"/>
  <c r="M527" i="34" s="1"/>
  <c r="M543" i="34"/>
  <c r="M657" i="34"/>
  <c r="L620" i="34"/>
  <c r="N13" i="34"/>
  <c r="O54" i="34"/>
  <c r="O595" i="34"/>
  <c r="M100" i="34"/>
  <c r="L17" i="34"/>
  <c r="L9" i="34"/>
  <c r="M92" i="34"/>
  <c r="Q1105" i="7"/>
  <c r="P1110" i="7"/>
  <c r="P417" i="7"/>
  <c r="P423" i="7" s="1"/>
  <c r="P370" i="8"/>
  <c r="P108" i="8" s="1"/>
  <c r="Q359" i="8"/>
  <c r="K824" i="34"/>
  <c r="K794" i="34"/>
  <c r="K800" i="34" s="1"/>
  <c r="K814" i="34"/>
  <c r="K258" i="3" s="1"/>
  <c r="K31" i="34"/>
  <c r="L73" i="34"/>
  <c r="M706" i="34"/>
  <c r="L707" i="34"/>
  <c r="L212" i="34" s="1"/>
  <c r="M80" i="34"/>
  <c r="L38" i="34"/>
  <c r="I701" i="34"/>
  <c r="I207" i="34" s="1"/>
  <c r="I208" i="34" s="1"/>
  <c r="BE11" i="42"/>
  <c r="M105" i="15" s="1"/>
  <c r="M394" i="34"/>
  <c r="CC65" i="22"/>
  <c r="CP65" i="22"/>
  <c r="CM142" i="22"/>
  <c r="J699" i="34" s="1"/>
  <c r="CC75" i="22"/>
  <c r="CP75" i="22"/>
  <c r="CN60" i="22"/>
  <c r="CA60" i="22"/>
  <c r="CP80" i="22"/>
  <c r="CC80" i="22"/>
  <c r="CO36" i="22"/>
  <c r="CB36" i="22"/>
  <c r="CC61" i="22"/>
  <c r="CP61" i="22"/>
  <c r="CO78" i="22"/>
  <c r="CB78" i="22"/>
  <c r="CB9" i="22"/>
  <c r="CO9" i="22"/>
  <c r="CC15" i="22"/>
  <c r="CP15" i="22"/>
  <c r="CA8" i="22"/>
  <c r="CN8" i="22"/>
  <c r="CA10" i="22"/>
  <c r="CN10" i="22"/>
  <c r="CA35" i="21"/>
  <c r="CN35" i="21"/>
  <c r="CP36" i="21"/>
  <c r="CC36" i="21"/>
  <c r="K105" i="16"/>
  <c r="K245" i="15"/>
  <c r="K267" i="15" s="1"/>
  <c r="AN20" i="42"/>
  <c r="O75" i="15"/>
  <c r="O323" i="34" s="1"/>
  <c r="AC11" i="54"/>
  <c r="AC18" i="54" s="1"/>
  <c r="AC20" i="54" s="1"/>
  <c r="AD5" i="54"/>
  <c r="P252" i="15"/>
  <c r="P121" i="16"/>
  <c r="AS41" i="42"/>
  <c r="P44" i="16"/>
  <c r="O77" i="3" s="1"/>
  <c r="O78" i="3" s="1"/>
  <c r="AM29" i="42"/>
  <c r="J84" i="15"/>
  <c r="J559" i="34"/>
  <c r="J694" i="34" s="1"/>
  <c r="K153" i="34"/>
  <c r="J29" i="34"/>
  <c r="K660" i="34"/>
  <c r="J666" i="34"/>
  <c r="M97" i="34"/>
  <c r="L14" i="34"/>
  <c r="P330" i="8"/>
  <c r="O78" i="8"/>
  <c r="O336" i="8"/>
  <c r="P522" i="8"/>
  <c r="O565" i="8"/>
  <c r="O529" i="8"/>
  <c r="O141" i="8"/>
  <c r="K108" i="1"/>
  <c r="K119" i="1" s="1"/>
  <c r="L101" i="1"/>
  <c r="P160" i="6"/>
  <c r="K294" i="15"/>
  <c r="K316" i="15" s="1"/>
  <c r="K103" i="17"/>
  <c r="BC20" i="42"/>
  <c r="M70" i="20"/>
  <c r="L25" i="17"/>
  <c r="L10" i="17" s="1"/>
  <c r="N148" i="8"/>
  <c r="N380" i="34"/>
  <c r="N498" i="34" s="1"/>
  <c r="N556" i="34"/>
  <c r="J115" i="15"/>
  <c r="J574" i="34"/>
  <c r="J700" i="34" s="1"/>
  <c r="BB29" i="42"/>
  <c r="L25" i="16"/>
  <c r="L10" i="16" s="1"/>
  <c r="N84" i="8"/>
  <c r="N20" i="8"/>
  <c r="AB126" i="11"/>
  <c r="AC126" i="11" s="1"/>
  <c r="P809" i="6"/>
  <c r="P115" i="6" s="1"/>
  <c r="P825" i="4"/>
  <c r="F140" i="48"/>
  <c r="D38" i="48"/>
  <c r="F151" i="48"/>
  <c r="F154" i="48"/>
  <c r="F136" i="48"/>
  <c r="N259" i="5"/>
  <c r="N261" i="5" s="1"/>
  <c r="N263" i="5" s="1"/>
  <c r="N274" i="5" s="1"/>
  <c r="R246" i="10"/>
  <c r="L1777" i="6" s="1"/>
  <c r="L613" i="6" s="1"/>
  <c r="O75" i="7"/>
  <c r="P463" i="7"/>
  <c r="CC58" i="22"/>
  <c r="CP58" i="22"/>
  <c r="CO11" i="22"/>
  <c r="CB11" i="22"/>
  <c r="CP16" i="22"/>
  <c r="CC16" i="22"/>
  <c r="CA104" i="22"/>
  <c r="CN104" i="22"/>
  <c r="CP14" i="22"/>
  <c r="CC14" i="22"/>
  <c r="CA77" i="22"/>
  <c r="CN77" i="22"/>
  <c r="CB76" i="22"/>
  <c r="CO76" i="22"/>
  <c r="CO100" i="22"/>
  <c r="CB100" i="22"/>
  <c r="CA84" i="22"/>
  <c r="CN84" i="22"/>
  <c r="CA7" i="22"/>
  <c r="CN7" i="22"/>
  <c r="CB47" i="22"/>
  <c r="CO47" i="22"/>
  <c r="CC74" i="22"/>
  <c r="CP74" i="22"/>
  <c r="CA79" i="22"/>
  <c r="CN79" i="22"/>
  <c r="CE13" i="22"/>
  <c r="CR13" i="22"/>
  <c r="CA12" i="22"/>
  <c r="CN12" i="22"/>
  <c r="CB42" i="22"/>
  <c r="CO42" i="22"/>
  <c r="CD30" i="22"/>
  <c r="CQ30" i="22"/>
  <c r="CA6" i="22"/>
  <c r="CN6" i="22"/>
  <c r="CP17" i="22"/>
  <c r="CC17" i="22"/>
  <c r="CP70" i="22"/>
  <c r="CC70" i="22"/>
  <c r="CB52" i="22"/>
  <c r="CO52" i="22"/>
  <c r="CB128" i="22"/>
  <c r="CO128" i="22"/>
  <c r="CB97" i="22"/>
  <c r="CO97" i="22"/>
  <c r="CB122" i="22"/>
  <c r="CO122" i="22"/>
  <c r="O469" i="4"/>
  <c r="N119" i="4"/>
  <c r="N157" i="4" s="1"/>
  <c r="M115" i="4"/>
  <c r="M8" i="4" s="1"/>
  <c r="H900" i="4"/>
  <c r="O125" i="4"/>
  <c r="P553" i="4"/>
  <c r="M871" i="4"/>
  <c r="J40" i="13" s="1"/>
  <c r="Q11" i="26"/>
  <c r="AL17" i="42"/>
  <c r="I81" i="15" s="1"/>
  <c r="P10" i="26"/>
  <c r="W17" i="42" s="1"/>
  <c r="S5" i="26"/>
  <c r="R6" i="26"/>
  <c r="B241" i="42"/>
  <c r="F19" i="15"/>
  <c r="E241" i="42" s="1"/>
  <c r="BA17" i="42"/>
  <c r="I112" i="15" s="1"/>
  <c r="Q12" i="26"/>
  <c r="H50" i="15"/>
  <c r="H19" i="15" s="1"/>
  <c r="G17" i="42"/>
  <c r="V77" i="42"/>
  <c r="I41" i="60" s="1"/>
  <c r="F77" i="42"/>
  <c r="G15" i="60" s="1"/>
  <c r="N15" i="26"/>
  <c r="N25" i="26" s="1"/>
  <c r="N27" i="26" s="1"/>
  <c r="N459" i="4"/>
  <c r="B867" i="4"/>
  <c r="A867" i="4"/>
  <c r="A893" i="4" s="1"/>
  <c r="M142" i="4"/>
  <c r="H102" i="42"/>
  <c r="H136" i="42" s="1"/>
  <c r="H142" i="42" s="1"/>
  <c r="B102" i="42"/>
  <c r="G102" i="42"/>
  <c r="C13" i="4"/>
  <c r="B13" i="4"/>
  <c r="D13" i="4"/>
  <c r="C867" i="4"/>
  <c r="M1771" i="6"/>
  <c r="T246" i="10" s="1"/>
  <c r="AB42" i="42"/>
  <c r="M42" i="42" s="1"/>
  <c r="N76" i="13"/>
  <c r="P818" i="7"/>
  <c r="P304" i="7" s="1"/>
  <c r="M125" i="13"/>
  <c r="N210" i="15"/>
  <c r="N155" i="15" s="1"/>
  <c r="J307" i="34"/>
  <c r="J367" i="34" s="1"/>
  <c r="J486" i="34" s="1"/>
  <c r="P742" i="7"/>
  <c r="O272" i="7"/>
  <c r="I252" i="3"/>
  <c r="M477" i="5"/>
  <c r="M83" i="21"/>
  <c r="N97" i="3" s="1"/>
  <c r="CO64" i="21"/>
  <c r="CB64" i="21"/>
  <c r="CO108" i="22"/>
  <c r="CB108" i="22"/>
  <c r="CB59" i="22"/>
  <c r="CO59" i="22"/>
  <c r="CD40" i="22"/>
  <c r="CQ40" i="22"/>
  <c r="CB37" i="22"/>
  <c r="CO37" i="22"/>
  <c r="CB53" i="22"/>
  <c r="CO53" i="22"/>
  <c r="CQ31" i="22"/>
  <c r="CD31" i="22"/>
  <c r="CB114" i="22"/>
  <c r="CO114" i="22"/>
  <c r="CD39" i="22"/>
  <c r="CQ39" i="22"/>
  <c r="CB43" i="22"/>
  <c r="CO43" i="22"/>
  <c r="CO23" i="22"/>
  <c r="CB23" i="22"/>
  <c r="CB123" i="22"/>
  <c r="CO123" i="22"/>
  <c r="CB95" i="22"/>
  <c r="CO95" i="22"/>
  <c r="CB41" i="22"/>
  <c r="CO41" i="22"/>
  <c r="CB127" i="22"/>
  <c r="CO127" i="22"/>
  <c r="CB96" i="22"/>
  <c r="CO96" i="22"/>
  <c r="CB101" i="22"/>
  <c r="CO101" i="22"/>
  <c r="CO21" i="22"/>
  <c r="CB21" i="22"/>
  <c r="CO54" i="22"/>
  <c r="CB54" i="22"/>
  <c r="CB66" i="22"/>
  <c r="CO66" i="22"/>
  <c r="CC55" i="22"/>
  <c r="CP55" i="22"/>
  <c r="CC109" i="22"/>
  <c r="CP109" i="22"/>
  <c r="CO19" i="22"/>
  <c r="CB19" i="22"/>
  <c r="CB51" i="22"/>
  <c r="CO51" i="22"/>
  <c r="CP112" i="22"/>
  <c r="CC112" i="22"/>
  <c r="CC26" i="22"/>
  <c r="CP26" i="22"/>
  <c r="CO32" i="22"/>
  <c r="CB32" i="22"/>
  <c r="CO62" i="22"/>
  <c r="CB62" i="22"/>
  <c r="CD46" i="22"/>
  <c r="CQ46" i="22"/>
  <c r="CD44" i="22"/>
  <c r="CQ44" i="22"/>
  <c r="CB140" i="22"/>
  <c r="CO140" i="22"/>
  <c r="CB20" i="22"/>
  <c r="CO20" i="22"/>
  <c r="CO33" i="22"/>
  <c r="CB33" i="22"/>
  <c r="CO71" i="22"/>
  <c r="CB71" i="22"/>
  <c r="CC27" i="22"/>
  <c r="CP27" i="22"/>
  <c r="CB22" i="22"/>
  <c r="CO22" i="22"/>
  <c r="CB48" i="22"/>
  <c r="CO48" i="22"/>
  <c r="CE28" i="22"/>
  <c r="CR28" i="22"/>
  <c r="CO72" i="22"/>
  <c r="CB72" i="22"/>
  <c r="CE29" i="22"/>
  <c r="CR29" i="22"/>
  <c r="CO107" i="22"/>
  <c r="CB107" i="22"/>
  <c r="CO69" i="22"/>
  <c r="CB69" i="22"/>
  <c r="CD45" i="22"/>
  <c r="CQ45" i="22"/>
  <c r="H1130" i="7"/>
  <c r="E199" i="34"/>
  <c r="C120" i="3"/>
  <c r="D204" i="48"/>
  <c r="D206" i="48" s="1"/>
  <c r="M204" i="48"/>
  <c r="M209" i="48" s="1"/>
  <c r="J65" i="13"/>
  <c r="K192" i="15"/>
  <c r="Y30" i="42"/>
  <c r="J30" i="42" s="1"/>
  <c r="O265" i="7"/>
  <c r="P735" i="7"/>
  <c r="N944" i="7"/>
  <c r="N1157" i="7" s="1"/>
  <c r="N342" i="7"/>
  <c r="N362" i="7" s="1"/>
  <c r="N40" i="7" s="1"/>
  <c r="K13" i="13" s="1"/>
  <c r="K49" i="13" s="1"/>
  <c r="O885" i="7"/>
  <c r="J137" i="15"/>
  <c r="J161" i="15" s="1"/>
  <c r="J216" i="15"/>
  <c r="S211" i="48"/>
  <c r="G529" i="34"/>
  <c r="R160" i="48"/>
  <c r="R165" i="48" s="1"/>
  <c r="Q581" i="7"/>
  <c r="P584" i="7"/>
  <c r="P1154" i="7" s="1"/>
  <c r="P150" i="7"/>
  <c r="P153" i="7" s="1"/>
  <c r="P39" i="7" s="1"/>
  <c r="N66" i="13" s="1"/>
  <c r="AB31" i="42"/>
  <c r="M31" i="42" s="1"/>
  <c r="N214" i="15"/>
  <c r="N159" i="15" s="1"/>
  <c r="M122" i="13"/>
  <c r="T18" i="26"/>
  <c r="P761" i="7"/>
  <c r="L1142" i="7"/>
  <c r="M32" i="7"/>
  <c r="M238" i="7"/>
  <c r="M1142" i="7" s="1"/>
  <c r="F204" i="48"/>
  <c r="F209" i="48" s="1"/>
  <c r="F263" i="48"/>
  <c r="F199" i="34"/>
  <c r="D160" i="48"/>
  <c r="M152" i="7"/>
  <c r="M154" i="7" s="1"/>
  <c r="M165" i="7" s="1"/>
  <c r="C142" i="42"/>
  <c r="O529" i="7"/>
  <c r="K165" i="7"/>
  <c r="N618" i="7"/>
  <c r="Q804" i="7"/>
  <c r="P290" i="7"/>
  <c r="P1055" i="7"/>
  <c r="M736" i="34"/>
  <c r="O406" i="7"/>
  <c r="L9" i="7"/>
  <c r="O277" i="7"/>
  <c r="T17" i="26"/>
  <c r="P760" i="7"/>
  <c r="P762" i="7"/>
  <c r="O278" i="7"/>
  <c r="R520" i="7"/>
  <c r="Q97" i="7"/>
  <c r="L154" i="7"/>
  <c r="L1128" i="7" s="1"/>
  <c r="N705" i="7"/>
  <c r="N707" i="7" s="1"/>
  <c r="N718" i="7" s="1"/>
  <c r="O86" i="7"/>
  <c r="P504" i="7"/>
  <c r="O637" i="7"/>
  <c r="N189" i="7"/>
  <c r="R467" i="7"/>
  <c r="Q77" i="7"/>
  <c r="O801" i="7"/>
  <c r="N289" i="7"/>
  <c r="N236" i="7"/>
  <c r="N21" i="7" s="1"/>
  <c r="O93" i="7"/>
  <c r="P516" i="7"/>
  <c r="L206" i="3"/>
  <c r="K75" i="13"/>
  <c r="O206" i="3"/>
  <c r="N75" i="13"/>
  <c r="L75" i="13"/>
  <c r="M206" i="3"/>
  <c r="O75" i="13"/>
  <c r="P206" i="3"/>
  <c r="BM174" i="9"/>
  <c r="BM219" i="9" s="1"/>
  <c r="X44" i="42"/>
  <c r="I143" i="13"/>
  <c r="J202" i="15"/>
  <c r="J147" i="15" s="1"/>
  <c r="S74" i="14"/>
  <c r="U74" i="14"/>
  <c r="Y44" i="42"/>
  <c r="J44" i="42" s="1"/>
  <c r="J143" i="13"/>
  <c r="K202" i="15"/>
  <c r="K147" i="15" s="1"/>
  <c r="CY150" i="9"/>
  <c r="CL150" i="9"/>
  <c r="H201" i="14"/>
  <c r="N52" i="7"/>
  <c r="L67" i="3" s="1"/>
  <c r="G784" i="34"/>
  <c r="G785" i="34" s="1"/>
  <c r="O716" i="7"/>
  <c r="O249" i="7" s="1"/>
  <c r="F143" i="15"/>
  <c r="N30" i="9"/>
  <c r="O30" i="9" s="1"/>
  <c r="DA30" i="9"/>
  <c r="CZ123" i="9"/>
  <c r="BJ30" i="9"/>
  <c r="R17" i="37"/>
  <c r="Q115" i="37"/>
  <c r="Q116" i="37"/>
  <c r="R12" i="37"/>
  <c r="T13" i="37"/>
  <c r="AB50" i="11"/>
  <c r="AC50" i="11" s="1"/>
  <c r="P488" i="8"/>
  <c r="O129" i="8"/>
  <c r="R1054" i="7"/>
  <c r="R487" i="7"/>
  <c r="Q82" i="7"/>
  <c r="Q696" i="7"/>
  <c r="P232" i="7"/>
  <c r="P233" i="7" s="1"/>
  <c r="Q76" i="7"/>
  <c r="R466" i="7"/>
  <c r="N344" i="7"/>
  <c r="P286" i="7"/>
  <c r="Q798" i="7"/>
  <c r="P965" i="7"/>
  <c r="Q963" i="7"/>
  <c r="P321" i="7"/>
  <c r="R796" i="7"/>
  <c r="Q284" i="7"/>
  <c r="N583" i="7"/>
  <c r="N585" i="7" s="1"/>
  <c r="N596" i="7" s="1"/>
  <c r="M108" i="7"/>
  <c r="M1141" i="7" s="1"/>
  <c r="N106" i="7"/>
  <c r="N19" i="7" s="1"/>
  <c r="K39" i="10"/>
  <c r="R506" i="7"/>
  <c r="Q89" i="7"/>
  <c r="Q9" i="27"/>
  <c r="P20" i="27"/>
  <c r="M547" i="6"/>
  <c r="M549" i="6" s="1"/>
  <c r="P728" i="7"/>
  <c r="O261" i="7"/>
  <c r="O87" i="7"/>
  <c r="P505" i="7"/>
  <c r="O90" i="7"/>
  <c r="P512" i="7"/>
  <c r="AA66" i="10"/>
  <c r="AA103" i="10" s="1"/>
  <c r="P905" i="7"/>
  <c r="N323" i="7"/>
  <c r="O855" i="7"/>
  <c r="P502" i="7"/>
  <c r="O85" i="7"/>
  <c r="O96" i="7"/>
  <c r="P519" i="7"/>
  <c r="Q730" i="7"/>
  <c r="Q262" i="7" s="1"/>
  <c r="O580" i="7"/>
  <c r="N149" i="7"/>
  <c r="T22" i="26"/>
  <c r="P750" i="7"/>
  <c r="O273" i="7"/>
  <c r="O576" i="7"/>
  <c r="O146" i="7" s="1"/>
  <c r="P562" i="7"/>
  <c r="P95" i="7"/>
  <c r="Q518" i="7"/>
  <c r="O94" i="7"/>
  <c r="P517" i="7"/>
  <c r="O904" i="7"/>
  <c r="X65" i="10"/>
  <c r="Y65" i="10" s="1"/>
  <c r="I108" i="14"/>
  <c r="P62" i="14"/>
  <c r="P63" i="14" s="1"/>
  <c r="J1103" i="7" s="1"/>
  <c r="J414" i="7" s="1"/>
  <c r="G147" i="3"/>
  <c r="S27" i="37"/>
  <c r="BJ146" i="9"/>
  <c r="T67" i="37" s="1"/>
  <c r="T76" i="37" s="1"/>
  <c r="T78" i="37" s="1"/>
  <c r="M123" i="9"/>
  <c r="N123" i="9" s="1"/>
  <c r="U27" i="37" s="1"/>
  <c r="CM119" i="9"/>
  <c r="CZ119" i="9"/>
  <c r="CM101" i="9"/>
  <c r="CZ101" i="9"/>
  <c r="CN162" i="9"/>
  <c r="DA162" i="9"/>
  <c r="CM193" i="9"/>
  <c r="CZ193" i="9"/>
  <c r="M1572" i="6"/>
  <c r="M1574" i="6" s="1"/>
  <c r="M1585" i="6" s="1"/>
  <c r="M452" i="5"/>
  <c r="M460" i="5" s="1"/>
  <c r="H1474" i="6"/>
  <c r="I1474" i="6" s="1"/>
  <c r="H218" i="15"/>
  <c r="O831" i="7"/>
  <c r="O316" i="7" s="1"/>
  <c r="W67" i="10"/>
  <c r="N85" i="12"/>
  <c r="AC88" i="10" s="1"/>
  <c r="AE88" i="10" s="1"/>
  <c r="O81" i="12"/>
  <c r="J97" i="10"/>
  <c r="M183" i="7"/>
  <c r="M8" i="7" s="1"/>
  <c r="F15" i="15"/>
  <c r="G15" i="15" s="1"/>
  <c r="B237" i="42"/>
  <c r="F24" i="15"/>
  <c r="G24" i="15" s="1"/>
  <c r="B246" i="42"/>
  <c r="G57" i="34"/>
  <c r="G60" i="34" s="1"/>
  <c r="G18" i="34" s="1"/>
  <c r="CM99" i="9"/>
  <c r="CZ99" i="9"/>
  <c r="C676" i="34"/>
  <c r="C281" i="34" s="1"/>
  <c r="A281" i="15"/>
  <c r="B279" i="15"/>
  <c r="P60" i="8"/>
  <c r="Q269" i="8"/>
  <c r="R269" i="8" s="1"/>
  <c r="P291" i="45"/>
  <c r="AI24" i="42"/>
  <c r="AI26" i="42" s="1"/>
  <c r="F338" i="34"/>
  <c r="F390" i="34"/>
  <c r="F567" i="34"/>
  <c r="E320" i="34"/>
  <c r="E529" i="34"/>
  <c r="D80" i="42"/>
  <c r="C18" i="60" s="1"/>
  <c r="F161" i="15"/>
  <c r="G161" i="15" s="1"/>
  <c r="I784" i="34"/>
  <c r="F136" i="15"/>
  <c r="G136" i="15" s="1"/>
  <c r="CC44" i="21"/>
  <c r="CP44" i="21"/>
  <c r="CN8" i="21"/>
  <c r="CA8" i="21"/>
  <c r="CO43" i="21"/>
  <c r="CB43" i="21"/>
  <c r="O69" i="21"/>
  <c r="BE69" i="21"/>
  <c r="BE73" i="21" s="1"/>
  <c r="N81" i="21" s="1"/>
  <c r="N73" i="21"/>
  <c r="CC18" i="21"/>
  <c r="CP18" i="21"/>
  <c r="CA23" i="21"/>
  <c r="CN23" i="21"/>
  <c r="AO49" i="42"/>
  <c r="AO52" i="42" s="1"/>
  <c r="L259" i="15"/>
  <c r="L113" i="16"/>
  <c r="L115" i="16" s="1"/>
  <c r="O346" i="8"/>
  <c r="O95" i="8" s="1"/>
  <c r="O32" i="8" s="1"/>
  <c r="M40" i="16"/>
  <c r="CP11" i="21"/>
  <c r="CC11" i="21"/>
  <c r="CQ48" i="21"/>
  <c r="CD48" i="21"/>
  <c r="CP28" i="21"/>
  <c r="CC28" i="21"/>
  <c r="CA15" i="21"/>
  <c r="CN15" i="21"/>
  <c r="CC42" i="21"/>
  <c r="CP42" i="21"/>
  <c r="CA50" i="21"/>
  <c r="CN50" i="21"/>
  <c r="CO37" i="21"/>
  <c r="CB37" i="21"/>
  <c r="CA45" i="21"/>
  <c r="CN45" i="21"/>
  <c r="CM59" i="21"/>
  <c r="BZ59" i="21"/>
  <c r="CP47" i="21"/>
  <c r="CC47" i="21"/>
  <c r="CO51" i="21"/>
  <c r="CB51" i="21"/>
  <c r="CA70" i="21"/>
  <c r="CN70" i="21"/>
  <c r="CP41" i="21"/>
  <c r="CC41" i="21"/>
  <c r="BZ71" i="21"/>
  <c r="CM71" i="21"/>
  <c r="CM73" i="21" s="1"/>
  <c r="K693" i="34" s="1"/>
  <c r="Q308" i="8"/>
  <c r="P65" i="8"/>
  <c r="P290" i="45"/>
  <c r="P289" i="45"/>
  <c r="O295" i="45"/>
  <c r="O305" i="45" s="1"/>
  <c r="O306" i="45" s="1"/>
  <c r="K522" i="34"/>
  <c r="K472" i="34"/>
  <c r="M77" i="15"/>
  <c r="M321" i="34" s="1"/>
  <c r="L86" i="15"/>
  <c r="L326" i="34" s="1"/>
  <c r="K383" i="34"/>
  <c r="K496" i="34"/>
  <c r="K294" i="34"/>
  <c r="K526" i="34" s="1"/>
  <c r="K558" i="34"/>
  <c r="Q199" i="8"/>
  <c r="P48" i="8"/>
  <c r="AQ12" i="42"/>
  <c r="L289" i="34"/>
  <c r="L352" i="34" s="1"/>
  <c r="L554" i="34"/>
  <c r="L378" i="34"/>
  <c r="J586" i="34"/>
  <c r="J587" i="34" s="1"/>
  <c r="J252" i="3" s="1"/>
  <c r="J7" i="42"/>
  <c r="J69" i="42" s="1"/>
  <c r="L7" i="60" s="1"/>
  <c r="J8" i="15"/>
  <c r="CB121" i="22"/>
  <c r="CO121" i="22"/>
  <c r="CO119" i="22"/>
  <c r="CB119" i="22"/>
  <c r="CO120" i="22"/>
  <c r="CB120" i="22"/>
  <c r="CB138" i="22"/>
  <c r="CO138" i="22"/>
  <c r="CB131" i="22"/>
  <c r="CO131" i="22"/>
  <c r="CP129" i="22"/>
  <c r="CC129" i="22"/>
  <c r="CP130" i="22"/>
  <c r="CC130" i="22"/>
  <c r="CA82" i="22"/>
  <c r="CN82" i="22"/>
  <c r="CB81" i="22"/>
  <c r="CO81" i="22"/>
  <c r="CQ86" i="22"/>
  <c r="CD86" i="22"/>
  <c r="CB83" i="22"/>
  <c r="CO83" i="22"/>
  <c r="P83" i="20"/>
  <c r="T84" i="20"/>
  <c r="T78" i="20"/>
  <c r="T80" i="20" s="1"/>
  <c r="P80" i="20"/>
  <c r="CO116" i="22"/>
  <c r="CB116" i="22"/>
  <c r="M73" i="20"/>
  <c r="Y156" i="11"/>
  <c r="Z156" i="11" s="1"/>
  <c r="X122" i="10"/>
  <c r="AA3" i="10"/>
  <c r="V127" i="10"/>
  <c r="U54" i="11" s="1"/>
  <c r="CN102" i="9"/>
  <c r="DA102" i="9"/>
  <c r="CP52" i="9"/>
  <c r="DC52" i="9"/>
  <c r="J146" i="3"/>
  <c r="J147" i="3" s="1"/>
  <c r="CN57" i="21"/>
  <c r="CA57" i="21"/>
  <c r="CA56" i="21"/>
  <c r="CN56" i="21"/>
  <c r="CN58" i="21"/>
  <c r="CA58" i="21"/>
  <c r="CO61" i="21"/>
  <c r="CB61" i="21"/>
  <c r="CA46" i="21"/>
  <c r="CN46" i="21"/>
  <c r="J693" i="34"/>
  <c r="CN40" i="21"/>
  <c r="CA40" i="21"/>
  <c r="CO34" i="21"/>
  <c r="CB34" i="21"/>
  <c r="CA17" i="21"/>
  <c r="CN17" i="21"/>
  <c r="CB16" i="21"/>
  <c r="CO16" i="21"/>
  <c r="CN14" i="21"/>
  <c r="CA14" i="21"/>
  <c r="CA7" i="21"/>
  <c r="CN7" i="21"/>
  <c r="F213" i="15"/>
  <c r="G213" i="15" s="1"/>
  <c r="B128" i="3"/>
  <c r="B129" i="3" s="1"/>
  <c r="I251" i="48"/>
  <c r="K196" i="4"/>
  <c r="K207" i="4" s="1"/>
  <c r="L1776" i="6"/>
  <c r="M1700" i="6"/>
  <c r="M1702" i="6" s="1"/>
  <c r="M1713" i="6" s="1"/>
  <c r="K1776" i="6"/>
  <c r="K612" i="6" s="1"/>
  <c r="K617" i="6" s="1"/>
  <c r="I142" i="13"/>
  <c r="P1309" i="6"/>
  <c r="Q1309" i="6" s="1"/>
  <c r="O425" i="6"/>
  <c r="L549" i="6"/>
  <c r="L2081" i="6" s="1"/>
  <c r="J63" i="3"/>
  <c r="J64" i="3" s="1"/>
  <c r="J355" i="6"/>
  <c r="BO120" i="9"/>
  <c r="N665" i="6"/>
  <c r="O1931" i="6"/>
  <c r="H853" i="4"/>
  <c r="I853" i="4" s="1"/>
  <c r="H312" i="4"/>
  <c r="I312" i="4" s="1"/>
  <c r="L194" i="4"/>
  <c r="L196" i="4" s="1"/>
  <c r="J417" i="4"/>
  <c r="J90" i="4" s="1"/>
  <c r="J41" i="4" s="1"/>
  <c r="H2059" i="6"/>
  <c r="N638" i="4"/>
  <c r="N649" i="4" s="1"/>
  <c r="D465" i="6"/>
  <c r="N615" i="4"/>
  <c r="N110" i="4" s="1"/>
  <c r="M433" i="45"/>
  <c r="N1813" i="6"/>
  <c r="R1131" i="6"/>
  <c r="O1696" i="6"/>
  <c r="N545" i="6"/>
  <c r="N550" i="6" s="1"/>
  <c r="N1701" i="6"/>
  <c r="BK143" i="9"/>
  <c r="P1081" i="6" s="1"/>
  <c r="P288" i="6" s="1"/>
  <c r="N235" i="3"/>
  <c r="P1668" i="6"/>
  <c r="Q1668" i="6" s="1"/>
  <c r="Q1693" i="6" s="1"/>
  <c r="O1693" i="6"/>
  <c r="O542" i="6" s="1"/>
  <c r="R993" i="6"/>
  <c r="P428" i="6"/>
  <c r="O870" i="6"/>
  <c r="P864" i="6"/>
  <c r="Q864" i="6" s="1"/>
  <c r="O162" i="6"/>
  <c r="O168" i="6" s="1"/>
  <c r="M879" i="6"/>
  <c r="N167" i="6"/>
  <c r="M343" i="6"/>
  <c r="S239" i="10"/>
  <c r="R143" i="11" s="1"/>
  <c r="I32" i="13"/>
  <c r="I51" i="13" s="1"/>
  <c r="I147" i="3"/>
  <c r="K22" i="58"/>
  <c r="O2030" i="6"/>
  <c r="N726" i="6"/>
  <c r="P206" i="6"/>
  <c r="P2010" i="6"/>
  <c r="Q2010" i="6" s="1"/>
  <c r="Q712" i="6" s="1"/>
  <c r="L17" i="58"/>
  <c r="O712" i="6"/>
  <c r="L48" i="45"/>
  <c r="P892" i="6"/>
  <c r="Q892" i="6" s="1"/>
  <c r="Q149" i="6" s="1"/>
  <c r="O149" i="6"/>
  <c r="P330" i="6"/>
  <c r="P329" i="6" s="1"/>
  <c r="F529" i="34"/>
  <c r="E80" i="42"/>
  <c r="E18" i="60" s="1"/>
  <c r="P934" i="6"/>
  <c r="Q934" i="6" s="1"/>
  <c r="O159" i="6"/>
  <c r="N659" i="6"/>
  <c r="O1923" i="6"/>
  <c r="Q324" i="6"/>
  <c r="O324" i="6"/>
  <c r="P406" i="6"/>
  <c r="M254" i="6"/>
  <c r="M9" i="6" s="1"/>
  <c r="M634" i="6"/>
  <c r="M16" i="6" s="1"/>
  <c r="O1927" i="6"/>
  <c r="N663" i="6"/>
  <c r="O120" i="9"/>
  <c r="R1030" i="6"/>
  <c r="O145" i="3"/>
  <c r="BP120" i="9"/>
  <c r="O209" i="3"/>
  <c r="H136" i="15"/>
  <c r="H158" i="15" s="1"/>
  <c r="P464" i="4"/>
  <c r="G9" i="3"/>
  <c r="G10" i="3" s="1"/>
  <c r="J198" i="15"/>
  <c r="J784" i="34" s="1"/>
  <c r="BA82" i="9"/>
  <c r="N877" i="6"/>
  <c r="N177" i="6" s="1"/>
  <c r="N64" i="6" s="1"/>
  <c r="L61" i="3" s="1"/>
  <c r="M114" i="1"/>
  <c r="M117" i="1" s="1"/>
  <c r="K116" i="40"/>
  <c r="Z40" i="42" s="1"/>
  <c r="N1990" i="6"/>
  <c r="O1987" i="6"/>
  <c r="N698" i="6"/>
  <c r="J40" i="42"/>
  <c r="K44" i="15"/>
  <c r="N629" i="6"/>
  <c r="O1795" i="6"/>
  <c r="M772" i="34"/>
  <c r="Z253" i="10"/>
  <c r="AB253" i="10" s="1"/>
  <c r="AA156" i="11" s="1"/>
  <c r="P1798" i="6"/>
  <c r="Q1798" i="6" s="1"/>
  <c r="J612" i="6"/>
  <c r="J617" i="6" s="1"/>
  <c r="J1781" i="6"/>
  <c r="H200" i="3" s="1"/>
  <c r="H617" i="6"/>
  <c r="N1768" i="6"/>
  <c r="O1732" i="6"/>
  <c r="N576" i="6"/>
  <c r="N603" i="6" s="1"/>
  <c r="N2091" i="6" s="1"/>
  <c r="N53" i="6" s="1"/>
  <c r="AV219" i="9"/>
  <c r="AV221" i="9" s="1"/>
  <c r="J56" i="13" s="1"/>
  <c r="K146" i="3" s="1"/>
  <c r="N216" i="6"/>
  <c r="N222" i="6" s="1"/>
  <c r="O1002" i="6"/>
  <c r="N1008" i="6"/>
  <c r="M314" i="6"/>
  <c r="M10" i="6" s="1"/>
  <c r="P2027" i="6"/>
  <c r="P724" i="6" s="1"/>
  <c r="P643" i="6"/>
  <c r="N1074" i="6"/>
  <c r="N272" i="6"/>
  <c r="N279" i="6" s="1"/>
  <c r="O1068" i="6"/>
  <c r="P31" i="45"/>
  <c r="P262" i="6"/>
  <c r="N666" i="6"/>
  <c r="O1934" i="6"/>
  <c r="F143" i="11"/>
  <c r="G143" i="11" s="1"/>
  <c r="H143" i="11" s="1"/>
  <c r="P573" i="6"/>
  <c r="P1000" i="6"/>
  <c r="Q1000" i="6" s="1"/>
  <c r="O214" i="6"/>
  <c r="P427" i="6"/>
  <c r="P211" i="6"/>
  <c r="R1285" i="6"/>
  <c r="O143" i="6"/>
  <c r="P894" i="6"/>
  <c r="Q894" i="6" s="1"/>
  <c r="Q143" i="6" s="1"/>
  <c r="O320" i="6"/>
  <c r="P1108" i="6"/>
  <c r="Q1108" i="6" s="1"/>
  <c r="O35" i="45"/>
  <c r="V20" i="42"/>
  <c r="P1099" i="6"/>
  <c r="Q1099" i="6" s="1"/>
  <c r="Q312" i="6" s="1"/>
  <c r="O312" i="6"/>
  <c r="N1734" i="6"/>
  <c r="N1767" i="6" s="1"/>
  <c r="J208" i="3"/>
  <c r="J210" i="3" s="1"/>
  <c r="G69" i="3"/>
  <c r="G72" i="3" s="1"/>
  <c r="Z7" i="42"/>
  <c r="L598" i="34" s="1"/>
  <c r="P1758" i="6"/>
  <c r="Q1758" i="6" s="1"/>
  <c r="Q594" i="6" s="1"/>
  <c r="O594" i="6"/>
  <c r="P1866" i="6"/>
  <c r="Q1866" i="6" s="1"/>
  <c r="Q649" i="6" s="1"/>
  <c r="O649" i="6"/>
  <c r="R1242" i="6"/>
  <c r="O1796" i="6"/>
  <c r="N630" i="6"/>
  <c r="O487" i="6"/>
  <c r="P1604" i="6"/>
  <c r="Q1604" i="6" s="1"/>
  <c r="Q487" i="6" s="1"/>
  <c r="P426" i="6"/>
  <c r="H63" i="6"/>
  <c r="I63" i="6" s="1"/>
  <c r="N661" i="6"/>
  <c r="O1925" i="6"/>
  <c r="N248" i="6"/>
  <c r="O1029" i="6"/>
  <c r="P2005" i="6"/>
  <c r="Q2005" i="6" s="1"/>
  <c r="L25" i="40"/>
  <c r="K233" i="3"/>
  <c r="AZ82" i="9"/>
  <c r="O1741" i="6"/>
  <c r="O584" i="6" s="1"/>
  <c r="O92" i="6"/>
  <c r="P779" i="6"/>
  <c r="Q779" i="6" s="1"/>
  <c r="Q92" i="6" s="1"/>
  <c r="O1614" i="6"/>
  <c r="S20" i="26"/>
  <c r="N494" i="6"/>
  <c r="K758" i="34"/>
  <c r="M700" i="6"/>
  <c r="N664" i="6"/>
  <c r="O1928" i="6"/>
  <c r="O1994" i="6"/>
  <c r="N702" i="6"/>
  <c r="Z12" i="42" s="1"/>
  <c r="P589" i="6"/>
  <c r="M578" i="6"/>
  <c r="Y69" i="42"/>
  <c r="L33" i="60" s="1"/>
  <c r="M115" i="34"/>
  <c r="M116" i="34" s="1"/>
  <c r="N113" i="34"/>
  <c r="P261" i="6"/>
  <c r="M46" i="45"/>
  <c r="M47" i="45" s="1"/>
  <c r="P787" i="6"/>
  <c r="Q787" i="6" s="1"/>
  <c r="Q94" i="6" s="1"/>
  <c r="O94" i="6"/>
  <c r="K598" i="34"/>
  <c r="K599" i="34" s="1"/>
  <c r="K601" i="34" s="1"/>
  <c r="K242" i="34" s="1"/>
  <c r="K39" i="15"/>
  <c r="R1739" i="6"/>
  <c r="C218" i="42"/>
  <c r="D218" i="42" s="1"/>
  <c r="L220" i="6"/>
  <c r="L24" i="6"/>
  <c r="L40" i="6" s="1"/>
  <c r="O959" i="6"/>
  <c r="N190" i="6"/>
  <c r="N196" i="6" s="1"/>
  <c r="N8" i="6" s="1"/>
  <c r="N970" i="6"/>
  <c r="H2058" i="6"/>
  <c r="H394" i="6"/>
  <c r="I394" i="6" s="1"/>
  <c r="O1001" i="6"/>
  <c r="N1007" i="6"/>
  <c r="N215" i="6"/>
  <c r="N1004" i="6"/>
  <c r="P1691" i="6"/>
  <c r="Q1691" i="6" s="1"/>
  <c r="G200" i="3"/>
  <c r="C214" i="42"/>
  <c r="D214" i="42" s="1"/>
  <c r="N2023" i="6"/>
  <c r="K20" i="58" s="1"/>
  <c r="O1849" i="6"/>
  <c r="N645" i="6"/>
  <c r="O2025" i="6"/>
  <c r="K21" i="58"/>
  <c r="N723" i="6"/>
  <c r="O1638" i="6"/>
  <c r="N506" i="6"/>
  <c r="N511" i="6" s="1"/>
  <c r="N1643" i="6"/>
  <c r="O1138" i="6"/>
  <c r="N1144" i="6"/>
  <c r="N336" i="6"/>
  <c r="I124" i="42"/>
  <c r="M1006" i="6"/>
  <c r="M1009" i="6" s="1"/>
  <c r="M1018" i="6" s="1"/>
  <c r="O2006" i="6"/>
  <c r="N710" i="6"/>
  <c r="O1139" i="6"/>
  <c r="N337" i="6"/>
  <c r="O2021" i="6"/>
  <c r="N721" i="6"/>
  <c r="O1666" i="6"/>
  <c r="N1670" i="6"/>
  <c r="N533" i="6"/>
  <c r="N535" i="6" s="1"/>
  <c r="N14" i="6" s="1"/>
  <c r="L761" i="34"/>
  <c r="P673" i="6"/>
  <c r="O798" i="6"/>
  <c r="N103" i="6"/>
  <c r="O1799" i="6"/>
  <c r="N631" i="6"/>
  <c r="O1985" i="6"/>
  <c r="K6" i="58"/>
  <c r="K5" i="58" s="1"/>
  <c r="N697" i="6"/>
  <c r="K2075" i="6"/>
  <c r="K223" i="6"/>
  <c r="L766" i="34"/>
  <c r="O1096" i="6"/>
  <c r="N308" i="6"/>
  <c r="O2013" i="6"/>
  <c r="N713" i="6"/>
  <c r="K18" i="58"/>
  <c r="K141" i="3"/>
  <c r="K142" i="3" s="1"/>
  <c r="M722" i="6"/>
  <c r="N654" i="6"/>
  <c r="O1888" i="6"/>
  <c r="O1986" i="6"/>
  <c r="N699" i="6"/>
  <c r="S21" i="26"/>
  <c r="O1491" i="6"/>
  <c r="M221" i="6"/>
  <c r="M218" i="6"/>
  <c r="O2020" i="6"/>
  <c r="N720" i="6"/>
  <c r="K208" i="14"/>
  <c r="J188" i="14"/>
  <c r="I264" i="4"/>
  <c r="I96" i="14"/>
  <c r="I129" i="14"/>
  <c r="I105" i="14"/>
  <c r="J83" i="14"/>
  <c r="I124" i="14"/>
  <c r="C197" i="42"/>
  <c r="J12" i="13"/>
  <c r="J102" i="13"/>
  <c r="O995" i="7"/>
  <c r="N354" i="7"/>
  <c r="N360" i="7" s="1"/>
  <c r="N38" i="7" s="1"/>
  <c r="N1000" i="7"/>
  <c r="N1153" i="7" s="1"/>
  <c r="L5" i="3" s="1"/>
  <c r="O608" i="7"/>
  <c r="N177" i="7"/>
  <c r="O874" i="7"/>
  <c r="N337" i="7"/>
  <c r="F139" i="15"/>
  <c r="G139" i="15" s="1"/>
  <c r="F218" i="15"/>
  <c r="G218" i="15" s="1"/>
  <c r="O552" i="7"/>
  <c r="N130" i="7"/>
  <c r="R54" i="11"/>
  <c r="S54" i="11" s="1"/>
  <c r="T54" i="11" s="1"/>
  <c r="J103" i="3"/>
  <c r="O879" i="7"/>
  <c r="N340" i="7"/>
  <c r="O852" i="7"/>
  <c r="Z127" i="10" s="1"/>
  <c r="N319" i="7"/>
  <c r="O553" i="7"/>
  <c r="N131" i="7"/>
  <c r="N176" i="7"/>
  <c r="O605" i="7"/>
  <c r="N347" i="7"/>
  <c r="X127" i="10"/>
  <c r="O926" i="7"/>
  <c r="N145" i="7"/>
  <c r="L759" i="34"/>
  <c r="L781" i="34" s="1"/>
  <c r="O429" i="8"/>
  <c r="BD21" i="42"/>
  <c r="L116" i="15" s="1"/>
  <c r="O363" i="8"/>
  <c r="N107" i="8"/>
  <c r="BD8" i="42" s="1"/>
  <c r="L102" i="15" s="1"/>
  <c r="O390" i="8"/>
  <c r="BD12" i="42"/>
  <c r="K70" i="15"/>
  <c r="K610" i="34"/>
  <c r="K611" i="34" s="1"/>
  <c r="K613" i="34" s="1"/>
  <c r="K244" i="34" s="1"/>
  <c r="N119" i="8"/>
  <c r="O250" i="8"/>
  <c r="N56" i="8"/>
  <c r="O173" i="8"/>
  <c r="N43" i="8"/>
  <c r="AO7" i="42" s="1"/>
  <c r="O375" i="8"/>
  <c r="N109" i="8"/>
  <c r="J101" i="34"/>
  <c r="N122" i="8"/>
  <c r="N423" i="45"/>
  <c r="N424" i="45" s="1"/>
  <c r="N431" i="45" s="1"/>
  <c r="N432" i="45" s="1"/>
  <c r="O454" i="8"/>
  <c r="K101" i="15"/>
  <c r="K622" i="34"/>
  <c r="K623" i="34" s="1"/>
  <c r="K625" i="34" s="1"/>
  <c r="K246" i="34" s="1"/>
  <c r="Q324" i="8"/>
  <c r="P294" i="45"/>
  <c r="P68" i="8"/>
  <c r="O499" i="8"/>
  <c r="N131" i="8"/>
  <c r="O440" i="8"/>
  <c r="N121" i="8"/>
  <c r="N111" i="8"/>
  <c r="O385" i="8"/>
  <c r="O356" i="8"/>
  <c r="N106" i="8"/>
  <c r="BD7" i="42" s="1"/>
  <c r="K108" i="15"/>
  <c r="K117" i="15"/>
  <c r="J12" i="42"/>
  <c r="F275" i="15"/>
  <c r="F280" i="15" s="1"/>
  <c r="G45" i="16"/>
  <c r="O514" i="8"/>
  <c r="L746" i="34"/>
  <c r="L748" i="34" s="1"/>
  <c r="N132" i="8"/>
  <c r="G20" i="13"/>
  <c r="G23" i="13" s="1"/>
  <c r="N66" i="5"/>
  <c r="N477" i="5" s="1"/>
  <c r="N16" i="5"/>
  <c r="AY219" i="9"/>
  <c r="AY221" i="9" s="1"/>
  <c r="O1153" i="6"/>
  <c r="O353" i="6" s="1"/>
  <c r="DA181" i="9"/>
  <c r="N146" i="9"/>
  <c r="N469" i="9" s="1"/>
  <c r="N181" i="9"/>
  <c r="DB181" i="9" s="1"/>
  <c r="DA146" i="9"/>
  <c r="M469" i="9"/>
  <c r="BD209" i="9"/>
  <c r="BD219" i="9" s="1"/>
  <c r="M209" i="9"/>
  <c r="DA209" i="9" s="1"/>
  <c r="H142" i="34"/>
  <c r="I140" i="34"/>
  <c r="N1974" i="6"/>
  <c r="N688" i="6" s="1"/>
  <c r="X250" i="10"/>
  <c r="N1972" i="6" s="1"/>
  <c r="N686" i="6" s="1"/>
  <c r="O178" i="6"/>
  <c r="AM221" i="9"/>
  <c r="H849" i="4"/>
  <c r="I849" i="4" s="1"/>
  <c r="CL10" i="9"/>
  <c r="CY10" i="9"/>
  <c r="CZ70" i="9"/>
  <c r="CM70" i="9"/>
  <c r="CL106" i="9"/>
  <c r="CY106" i="9"/>
  <c r="CY104" i="9"/>
  <c r="CL104" i="9"/>
  <c r="DA60" i="9"/>
  <c r="CN60" i="9"/>
  <c r="CN183" i="9"/>
  <c r="DA183" i="9"/>
  <c r="CM96" i="9"/>
  <c r="CZ96" i="9"/>
  <c r="CM62" i="9"/>
  <c r="CZ62" i="9"/>
  <c r="AW174" i="9"/>
  <c r="AW219" i="9" s="1"/>
  <c r="AW221" i="9" s="1"/>
  <c r="BK2" i="9"/>
  <c r="BF87" i="9"/>
  <c r="BF173" i="9" s="1"/>
  <c r="BB88" i="9"/>
  <c r="BL3" i="9"/>
  <c r="CM159" i="9"/>
  <c r="CZ159" i="9"/>
  <c r="BQ3" i="9"/>
  <c r="BG88" i="9"/>
  <c r="AR174" i="9"/>
  <c r="AR219" i="9" s="1"/>
  <c r="AR221" i="9" s="1"/>
  <c r="CM161" i="9"/>
  <c r="CZ161" i="9"/>
  <c r="DA94" i="9"/>
  <c r="CN94" i="9"/>
  <c r="CM83" i="9"/>
  <c r="CZ83" i="9"/>
  <c r="CM197" i="9"/>
  <c r="CZ197" i="9"/>
  <c r="CL148" i="9"/>
  <c r="CY148" i="9"/>
  <c r="CN164" i="9"/>
  <c r="DA164" i="9"/>
  <c r="BK88" i="9"/>
  <c r="BK174" i="9" s="1"/>
  <c r="BU3" i="9"/>
  <c r="BU88" i="9" s="1"/>
  <c r="BU174" i="9" s="1"/>
  <c r="CL103" i="9"/>
  <c r="CY103" i="9"/>
  <c r="DB105" i="9"/>
  <c r="CO105" i="9"/>
  <c r="BO88" i="9"/>
  <c r="BO174" i="9" s="1"/>
  <c r="BY3" i="9"/>
  <c r="BY88" i="9" s="1"/>
  <c r="BY174" i="9" s="1"/>
  <c r="CL63" i="9"/>
  <c r="CY63" i="9"/>
  <c r="CO11" i="9"/>
  <c r="DB11" i="9"/>
  <c r="CZ44" i="9"/>
  <c r="CM44" i="9"/>
  <c r="BI64" i="9"/>
  <c r="AA133" i="10" s="1"/>
  <c r="O1117" i="7" s="1"/>
  <c r="O432" i="7" s="1"/>
  <c r="BJ62" i="9"/>
  <c r="BJ64" i="9" s="1"/>
  <c r="CZ194" i="9"/>
  <c r="CM194" i="9"/>
  <c r="CZ166" i="9"/>
  <c r="CM166" i="9"/>
  <c r="CM137" i="9"/>
  <c r="CZ137" i="9"/>
  <c r="N171" i="45"/>
  <c r="CY22" i="9"/>
  <c r="CL22" i="9"/>
  <c r="N64" i="9"/>
  <c r="P1119" i="7" s="1"/>
  <c r="P434" i="7" s="1"/>
  <c r="BN62" i="9"/>
  <c r="CZ149" i="9"/>
  <c r="CM149" i="9"/>
  <c r="CY167" i="9"/>
  <c r="CL167" i="9"/>
  <c r="BE179" i="9"/>
  <c r="M179" i="9"/>
  <c r="N1382" i="6"/>
  <c r="N464" i="6" s="1"/>
  <c r="BO193" i="9"/>
  <c r="O193" i="9"/>
  <c r="Q1583" i="6" s="1"/>
  <c r="P1583" i="6"/>
  <c r="O151" i="9"/>
  <c r="BO151" i="9"/>
  <c r="CY46" i="9"/>
  <c r="CL46" i="9"/>
  <c r="CM215" i="9"/>
  <c r="CZ215" i="9"/>
  <c r="CN133" i="9"/>
  <c r="DA133" i="9"/>
  <c r="K219" i="9"/>
  <c r="K221" i="9" s="1"/>
  <c r="J80" i="13" s="1"/>
  <c r="P878" i="6"/>
  <c r="O82" i="9"/>
  <c r="Q878" i="6" s="1"/>
  <c r="CM163" i="9"/>
  <c r="CZ163" i="9"/>
  <c r="CM45" i="9"/>
  <c r="CZ45" i="9"/>
  <c r="CY31" i="9"/>
  <c r="CL31" i="9"/>
  <c r="CM214" i="9"/>
  <c r="CZ214" i="9"/>
  <c r="CN125" i="9"/>
  <c r="DA125" i="9"/>
  <c r="L70" i="3"/>
  <c r="N903" i="4"/>
  <c r="CL136" i="9"/>
  <c r="CY136" i="9"/>
  <c r="BE55" i="9"/>
  <c r="BE66" i="9" s="1"/>
  <c r="BD66" i="9"/>
  <c r="I138" i="14"/>
  <c r="N110" i="9"/>
  <c r="BJ110" i="9"/>
  <c r="CL135" i="9"/>
  <c r="CY135" i="9"/>
  <c r="O592" i="4"/>
  <c r="O151" i="4" s="1"/>
  <c r="O44" i="4" s="1"/>
  <c r="M25" i="9"/>
  <c r="N7" i="9"/>
  <c r="BJ7" i="9"/>
  <c r="BJ25" i="9" s="1"/>
  <c r="DA7" i="9"/>
  <c r="O168" i="45"/>
  <c r="O169" i="45" s="1"/>
  <c r="O170" i="45" s="1"/>
  <c r="N113" i="9"/>
  <c r="BJ113" i="9"/>
  <c r="O1017" i="6"/>
  <c r="O232" i="6" s="1"/>
  <c r="CY41" i="9"/>
  <c r="CL41" i="9"/>
  <c r="N125" i="9"/>
  <c r="BJ125" i="9"/>
  <c r="T29" i="37"/>
  <c r="CN160" i="9"/>
  <c r="DA160" i="9"/>
  <c r="DA126" i="9"/>
  <c r="N126" i="9"/>
  <c r="BJ126" i="9"/>
  <c r="T30" i="37"/>
  <c r="DA195" i="9"/>
  <c r="CN195" i="9"/>
  <c r="N124" i="9"/>
  <c r="BJ124" i="9"/>
  <c r="T28" i="37"/>
  <c r="CM130" i="9"/>
  <c r="CZ130" i="9"/>
  <c r="CM151" i="9"/>
  <c r="CZ151" i="9"/>
  <c r="BI55" i="9"/>
  <c r="M66" i="9"/>
  <c r="DA55" i="9"/>
  <c r="N55" i="9"/>
  <c r="O1009" i="7"/>
  <c r="O371" i="7" s="1"/>
  <c r="O99" i="9"/>
  <c r="BO99" i="9"/>
  <c r="U86" i="37"/>
  <c r="CL134" i="9"/>
  <c r="CY134" i="9"/>
  <c r="CZ212" i="9"/>
  <c r="CM212" i="9"/>
  <c r="CM211" i="9"/>
  <c r="CZ211" i="9"/>
  <c r="C121" i="3"/>
  <c r="M466" i="5"/>
  <c r="M25" i="5"/>
  <c r="C14" i="3"/>
  <c r="D32" i="5"/>
  <c r="D203" i="42"/>
  <c r="E203" i="42" s="1"/>
  <c r="I103" i="13"/>
  <c r="I22" i="13"/>
  <c r="R315" i="5"/>
  <c r="Q96" i="5"/>
  <c r="P54" i="5"/>
  <c r="Q238" i="5"/>
  <c r="R235" i="5"/>
  <c r="Q53" i="5"/>
  <c r="M31" i="5"/>
  <c r="K6" i="3"/>
  <c r="P368" i="5"/>
  <c r="O137" i="5"/>
  <c r="O447" i="5"/>
  <c r="N486" i="5"/>
  <c r="N192" i="5"/>
  <c r="N451" i="5"/>
  <c r="N448" i="5"/>
  <c r="N450" i="5" s="1"/>
  <c r="L19" i="5"/>
  <c r="L21" i="5" s="1"/>
  <c r="L196" i="5"/>
  <c r="L508" i="5"/>
  <c r="L510" i="5" s="1"/>
  <c r="L512" i="5" s="1"/>
  <c r="G121" i="13"/>
  <c r="N496" i="5"/>
  <c r="N7" i="5"/>
  <c r="D204" i="42"/>
  <c r="R423" i="5"/>
  <c r="S423" i="5" s="1"/>
  <c r="Q185" i="5"/>
  <c r="P376" i="5"/>
  <c r="O141" i="5"/>
  <c r="P413" i="5"/>
  <c r="O176" i="5"/>
  <c r="N150" i="5"/>
  <c r="N18" i="5" s="1"/>
  <c r="R385" i="5"/>
  <c r="Q148" i="5"/>
  <c r="K480" i="5"/>
  <c r="K482" i="5" s="1"/>
  <c r="K198" i="5"/>
  <c r="M197" i="5"/>
  <c r="M194" i="5"/>
  <c r="K21" i="5"/>
  <c r="H19" i="13" s="1"/>
  <c r="P219" i="5"/>
  <c r="O52" i="5"/>
  <c r="O56" i="5" s="1"/>
  <c r="O240" i="5"/>
  <c r="Q250" i="5"/>
  <c r="P61" i="5"/>
  <c r="V236" i="10"/>
  <c r="U140" i="11" s="1"/>
  <c r="V140" i="11" s="1"/>
  <c r="W140" i="11" s="1"/>
  <c r="D21" i="11"/>
  <c r="D163" i="11" s="1"/>
  <c r="C222" i="3" s="1"/>
  <c r="E6" i="11"/>
  <c r="C85" i="3"/>
  <c r="D167" i="11"/>
  <c r="P433" i="4"/>
  <c r="O105" i="4"/>
  <c r="O158" i="4" s="1"/>
  <c r="C224" i="15"/>
  <c r="C230" i="15" s="1"/>
  <c r="C106" i="3"/>
  <c r="C107" i="3" s="1"/>
  <c r="S58" i="42"/>
  <c r="C140" i="13"/>
  <c r="C86" i="13"/>
  <c r="O672" i="4"/>
  <c r="M297" i="4"/>
  <c r="M21" i="4" s="1"/>
  <c r="O173" i="4"/>
  <c r="H95" i="4"/>
  <c r="I95" i="4" s="1"/>
  <c r="W236" i="10"/>
  <c r="N589" i="4" s="1"/>
  <c r="N148" i="4" s="1"/>
  <c r="O454" i="4"/>
  <c r="J312" i="4"/>
  <c r="P612" i="4"/>
  <c r="O638" i="4"/>
  <c r="J43" i="15"/>
  <c r="J12" i="15" s="1"/>
  <c r="O329" i="4"/>
  <c r="L773" i="34"/>
  <c r="N58" i="4"/>
  <c r="L34" i="4"/>
  <c r="I105" i="13" s="1"/>
  <c r="O615" i="4"/>
  <c r="O110" i="4" s="1"/>
  <c r="O235" i="4"/>
  <c r="O265" i="4" s="1"/>
  <c r="P756" i="4"/>
  <c r="D158" i="42"/>
  <c r="D162" i="42" s="1"/>
  <c r="D164" i="42" s="1"/>
  <c r="D168" i="42" s="1"/>
  <c r="D174" i="42" s="1"/>
  <c r="D186" i="42" s="1"/>
  <c r="AW24" i="42"/>
  <c r="AW26" i="42" s="1"/>
  <c r="C114" i="15"/>
  <c r="P70" i="4"/>
  <c r="Q369" i="4"/>
  <c r="Q108" i="4"/>
  <c r="R441" i="4"/>
  <c r="M760" i="34"/>
  <c r="M703" i="4"/>
  <c r="M714" i="4" s="1"/>
  <c r="K750" i="34"/>
  <c r="K752" i="34" s="1"/>
  <c r="Q579" i="4"/>
  <c r="P138" i="4"/>
  <c r="O66" i="4"/>
  <c r="P356" i="4"/>
  <c r="M192" i="4"/>
  <c r="M19" i="4" s="1"/>
  <c r="M29" i="4" s="1"/>
  <c r="D520" i="34"/>
  <c r="D528" i="34"/>
  <c r="J474" i="34"/>
  <c r="J524" i="34"/>
  <c r="E343" i="34"/>
  <c r="E345" i="34" s="1"/>
  <c r="E179" i="34" s="1"/>
  <c r="C20" i="17"/>
  <c r="C47" i="17" s="1"/>
  <c r="C51" i="17" s="1"/>
  <c r="AW59" i="42" s="1"/>
  <c r="P114" i="4"/>
  <c r="Q448" i="4"/>
  <c r="R431" i="4"/>
  <c r="Q104" i="4"/>
  <c r="Q555" i="4"/>
  <c r="O577" i="4"/>
  <c r="N135" i="4"/>
  <c r="N584" i="4"/>
  <c r="P738" i="4"/>
  <c r="M717" i="34"/>
  <c r="O227" i="4"/>
  <c r="O562" i="4"/>
  <c r="P444" i="4"/>
  <c r="H307" i="34"/>
  <c r="H13" i="15"/>
  <c r="H291" i="34" s="1"/>
  <c r="H354" i="34" s="1"/>
  <c r="M284" i="4"/>
  <c r="R732" i="4"/>
  <c r="Q279" i="4"/>
  <c r="R789" i="4"/>
  <c r="P436" i="4"/>
  <c r="O106" i="4"/>
  <c r="O56" i="4"/>
  <c r="P326" i="4"/>
  <c r="O57" i="4"/>
  <c r="P327" i="4"/>
  <c r="I11" i="42"/>
  <c r="J355" i="34" s="1"/>
  <c r="H72" i="42"/>
  <c r="J10" i="60" s="1"/>
  <c r="L136" i="3"/>
  <c r="O545" i="4"/>
  <c r="Q747" i="4"/>
  <c r="P234" i="4"/>
  <c r="P685" i="4"/>
  <c r="O182" i="4"/>
  <c r="O447" i="4"/>
  <c r="O113" i="4" s="1"/>
  <c r="L774" i="34"/>
  <c r="O180" i="4"/>
  <c r="P677" i="4"/>
  <c r="A99" i="17"/>
  <c r="A100" i="17" s="1"/>
  <c r="A102" i="17" s="1"/>
  <c r="A104" i="17" s="1"/>
  <c r="A116" i="17" s="1"/>
  <c r="AU18" i="42"/>
  <c r="A8" i="17"/>
  <c r="A13" i="17" s="1"/>
  <c r="A20" i="17" s="1"/>
  <c r="A47" i="17" s="1"/>
  <c r="A291" i="15"/>
  <c r="A292" i="15" s="1"/>
  <c r="A297" i="15" s="1"/>
  <c r="A320" i="15" s="1"/>
  <c r="A169" i="15" s="1"/>
  <c r="O384" i="4"/>
  <c r="O77" i="4" s="1"/>
  <c r="P321" i="4"/>
  <c r="O55" i="4"/>
  <c r="J8" i="3"/>
  <c r="J368" i="34"/>
  <c r="R434" i="4"/>
  <c r="S54" i="42"/>
  <c r="P404" i="4"/>
  <c r="O78" i="4"/>
  <c r="D367" i="34"/>
  <c r="D486" i="34" s="1"/>
  <c r="D540" i="34"/>
  <c r="P371" i="4"/>
  <c r="O72" i="4"/>
  <c r="D156" i="8"/>
  <c r="D541" i="8"/>
  <c r="D181" i="42"/>
  <c r="AW52" i="42"/>
  <c r="AW54" i="42" s="1"/>
  <c r="Q807" i="4"/>
  <c r="O73" i="4"/>
  <c r="P372" i="4"/>
  <c r="C151" i="15"/>
  <c r="B549" i="8"/>
  <c r="B551" i="8" s="1"/>
  <c r="B563" i="8" s="1"/>
  <c r="B568" i="8" s="1"/>
  <c r="B161" i="8"/>
  <c r="A128" i="3" s="1"/>
  <c r="A129" i="3" s="1"/>
  <c r="R362" i="4"/>
  <c r="Q67" i="4"/>
  <c r="H48" i="13"/>
  <c r="W20" i="42" s="1"/>
  <c r="O71" i="4"/>
  <c r="P370" i="4"/>
  <c r="P670" i="4"/>
  <c r="N760" i="34" s="1"/>
  <c r="O174" i="4"/>
  <c r="Q797" i="4"/>
  <c r="Q282" i="4" s="1"/>
  <c r="N775" i="34"/>
  <c r="P694" i="4"/>
  <c r="O184" i="4"/>
  <c r="Q366" i="5"/>
  <c r="P136" i="5"/>
  <c r="M1621" i="6"/>
  <c r="K116" i="3" s="1"/>
  <c r="K117" i="3" s="1"/>
  <c r="O118" i="8"/>
  <c r="M114" i="3"/>
  <c r="Q55" i="8"/>
  <c r="R213" i="8"/>
  <c r="G159" i="11"/>
  <c r="F167" i="11"/>
  <c r="D87" i="13" s="1"/>
  <c r="Q758" i="7"/>
  <c r="U23" i="26"/>
  <c r="P274" i="7"/>
  <c r="Q475" i="7"/>
  <c r="P80" i="7"/>
  <c r="N531" i="7"/>
  <c r="N533" i="7" s="1"/>
  <c r="N542" i="7" s="1"/>
  <c r="K120" i="7"/>
  <c r="O99" i="7"/>
  <c r="P522" i="7"/>
  <c r="M1463" i="6"/>
  <c r="M1465" i="6" s="1"/>
  <c r="M1474" i="6" s="1"/>
  <c r="N455" i="6"/>
  <c r="M55" i="6"/>
  <c r="Y22" i="42" s="1"/>
  <c r="P1368" i="6"/>
  <c r="Q1368" i="6" s="1"/>
  <c r="O450" i="6"/>
  <c r="O1374" i="6"/>
  <c r="P1373" i="6"/>
  <c r="P449" i="6"/>
  <c r="M451" i="6"/>
  <c r="M28" i="6" s="1"/>
  <c r="N36" i="45"/>
  <c r="AE3" i="10"/>
  <c r="AE122" i="10" s="1"/>
  <c r="AC3" i="10"/>
  <c r="AC122" i="10" s="1"/>
  <c r="N942" i="6"/>
  <c r="N950" i="6" s="1"/>
  <c r="R795" i="6"/>
  <c r="L107" i="6"/>
  <c r="L109" i="6" s="1"/>
  <c r="L2053" i="6" s="1"/>
  <c r="N281" i="4"/>
  <c r="M340" i="4"/>
  <c r="K6" i="12" s="1"/>
  <c r="A45" i="13"/>
  <c r="A117" i="13" s="1"/>
  <c r="O648" i="4"/>
  <c r="N136" i="4"/>
  <c r="N651" i="4"/>
  <c r="O832" i="4"/>
  <c r="N835" i="4"/>
  <c r="N295" i="4"/>
  <c r="N300" i="4" s="1"/>
  <c r="O697" i="4"/>
  <c r="N702" i="4"/>
  <c r="N190" i="4"/>
  <c r="N195" i="4" s="1"/>
  <c r="O570" i="4"/>
  <c r="N130" i="4"/>
  <c r="O828" i="4"/>
  <c r="O292" i="4" s="1"/>
  <c r="Q669" i="4"/>
  <c r="P173" i="4"/>
  <c r="P231" i="7"/>
  <c r="Q688" i="7"/>
  <c r="K251" i="7"/>
  <c r="O230" i="7"/>
  <c r="P687" i="7"/>
  <c r="O586" i="6"/>
  <c r="P1749" i="6"/>
  <c r="Q1749" i="6" s="1"/>
  <c r="Q586" i="6" s="1"/>
  <c r="N871" i="6"/>
  <c r="P152" i="6"/>
  <c r="P593" i="6"/>
  <c r="N540" i="6"/>
  <c r="O1676" i="6"/>
  <c r="M1510" i="6"/>
  <c r="T239" i="10" s="1"/>
  <c r="R773" i="6"/>
  <c r="S773" i="6" s="1"/>
  <c r="S89" i="6" s="1"/>
  <c r="P30" i="45"/>
  <c r="P321" i="6"/>
  <c r="R763" i="6"/>
  <c r="O1098" i="6"/>
  <c r="N311" i="6"/>
  <c r="N1105" i="6"/>
  <c r="R1334" i="6"/>
  <c r="O1294" i="6"/>
  <c r="N408" i="6"/>
  <c r="N1299" i="6"/>
  <c r="L769" i="34"/>
  <c r="K2073" i="6"/>
  <c r="K109" i="6"/>
  <c r="M30" i="6"/>
  <c r="M46" i="6" s="1"/>
  <c r="N252" i="6"/>
  <c r="O1032" i="6"/>
  <c r="J2056" i="6"/>
  <c r="O539" i="6"/>
  <c r="P1675" i="6"/>
  <c r="Q1675" i="6" s="1"/>
  <c r="P1066" i="6"/>
  <c r="Q1066" i="6" s="1"/>
  <c r="O1072" i="6"/>
  <c r="O270" i="6"/>
  <c r="O277" i="6" s="1"/>
  <c r="P1723" i="6"/>
  <c r="Q1723" i="6" s="1"/>
  <c r="O1734" i="6"/>
  <c r="O572" i="6"/>
  <c r="K2054" i="6"/>
  <c r="K180" i="6"/>
  <c r="O628" i="6"/>
  <c r="P1794" i="6"/>
  <c r="Q1794" i="6" s="1"/>
  <c r="Q628" i="6" s="1"/>
  <c r="M1206" i="6"/>
  <c r="M1217" i="6" s="1"/>
  <c r="O95" i="6"/>
  <c r="P789" i="6"/>
  <c r="Q789" i="6" s="1"/>
  <c r="Q95" i="6" s="1"/>
  <c r="O1027" i="6"/>
  <c r="L764" i="34"/>
  <c r="N246" i="6"/>
  <c r="N1035" i="6"/>
  <c r="O1504" i="6"/>
  <c r="N448" i="6"/>
  <c r="N454" i="6" s="1"/>
  <c r="N1509" i="6"/>
  <c r="P304" i="6"/>
  <c r="P148" i="6"/>
  <c r="O90" i="6"/>
  <c r="P774" i="6"/>
  <c r="Q774" i="6" s="1"/>
  <c r="Q90" i="6" s="1"/>
  <c r="J2058" i="6"/>
  <c r="J394" i="6"/>
  <c r="J2059" i="6"/>
  <c r="J465" i="6"/>
  <c r="P1770" i="6"/>
  <c r="P598" i="6"/>
  <c r="P605" i="6" s="1"/>
  <c r="P147" i="6"/>
  <c r="O1924" i="6"/>
  <c r="N660" i="6"/>
  <c r="L2054" i="6"/>
  <c r="L180" i="6"/>
  <c r="O1239" i="6"/>
  <c r="N1257" i="6"/>
  <c r="N1228" i="6"/>
  <c r="N375" i="6"/>
  <c r="N379" i="6" s="1"/>
  <c r="N27" i="6" s="1"/>
  <c r="O1636" i="6"/>
  <c r="N503" i="6"/>
  <c r="L1259" i="6"/>
  <c r="L1261" i="6" s="1"/>
  <c r="L1272" i="6" s="1"/>
  <c r="J767" i="34"/>
  <c r="J779" i="34" s="1"/>
  <c r="P772" i="6"/>
  <c r="Q772" i="6" s="1"/>
  <c r="Q88" i="6" s="1"/>
  <c r="O88" i="6"/>
  <c r="O1682" i="6"/>
  <c r="N541" i="6"/>
  <c r="P440" i="6"/>
  <c r="L12" i="6"/>
  <c r="L44" i="6" s="1"/>
  <c r="L453" i="6"/>
  <c r="N412" i="6"/>
  <c r="O1392" i="6"/>
  <c r="N1403" i="6"/>
  <c r="L771" i="34" s="1"/>
  <c r="P478" i="6"/>
  <c r="O2001" i="6"/>
  <c r="K15" i="58"/>
  <c r="N709" i="6"/>
  <c r="O441" i="6"/>
  <c r="P1422" i="6"/>
  <c r="Q1422" i="6" s="1"/>
  <c r="Q441" i="6" s="1"/>
  <c r="O648" i="6"/>
  <c r="P1860" i="6"/>
  <c r="Q1860" i="6" s="1"/>
  <c r="P725" i="6"/>
  <c r="L724" i="34"/>
  <c r="L738" i="34" s="1"/>
  <c r="L740" i="34" s="1"/>
  <c r="L216" i="34" s="1"/>
  <c r="P1790" i="6"/>
  <c r="Q1790" i="6" s="1"/>
  <c r="O626" i="6"/>
  <c r="L9" i="6"/>
  <c r="N785" i="6"/>
  <c r="O764" i="6"/>
  <c r="N78" i="6"/>
  <c r="N81" i="6" s="1"/>
  <c r="N6" i="6" s="1"/>
  <c r="L763" i="34"/>
  <c r="N767" i="6"/>
  <c r="O475" i="6"/>
  <c r="P1597" i="6"/>
  <c r="Q1597" i="6" s="1"/>
  <c r="Q475" i="6" s="1"/>
  <c r="N768" i="34"/>
  <c r="P310" i="6"/>
  <c r="M166" i="6"/>
  <c r="M2074" i="6" s="1"/>
  <c r="P439" i="6"/>
  <c r="P863" i="6"/>
  <c r="Q863" i="6" s="1"/>
  <c r="O869" i="6"/>
  <c r="O158" i="6"/>
  <c r="N484" i="6"/>
  <c r="O1601" i="6"/>
  <c r="P1895" i="6"/>
  <c r="Q1895" i="6" s="1"/>
  <c r="Q657" i="6" s="1"/>
  <c r="O657" i="6"/>
  <c r="O1850" i="6"/>
  <c r="N644" i="6"/>
  <c r="O1926" i="6"/>
  <c r="N662" i="6"/>
  <c r="P1407" i="6"/>
  <c r="Q1407" i="6" s="1"/>
  <c r="O438" i="6"/>
  <c r="O1461" i="6"/>
  <c r="N323" i="6"/>
  <c r="O1129" i="6"/>
  <c r="I213" i="3"/>
  <c r="I783" i="34"/>
  <c r="O1492" i="6"/>
  <c r="N445" i="6"/>
  <c r="P1953" i="6"/>
  <c r="Q1953" i="6" s="1"/>
  <c r="Q669" i="6" s="1"/>
  <c r="O669" i="6"/>
  <c r="M108" i="6"/>
  <c r="M2090" i="6"/>
  <c r="J7" i="3"/>
  <c r="L52" i="6"/>
  <c r="I104" i="13" s="1"/>
  <c r="I30" i="13"/>
  <c r="M93" i="6"/>
  <c r="M105" i="6" s="1"/>
  <c r="M22" i="6" s="1"/>
  <c r="M800" i="6"/>
  <c r="M802" i="6" s="1"/>
  <c r="M804" i="6" s="1"/>
  <c r="M813" i="6" s="1"/>
  <c r="L551" i="6"/>
  <c r="O1500" i="6"/>
  <c r="N1501" i="6"/>
  <c r="N1506" i="6" s="1"/>
  <c r="N1508" i="6" s="1"/>
  <c r="O98" i="6"/>
  <c r="P792" i="6"/>
  <c r="Q792" i="6" s="1"/>
  <c r="Q98" i="6" s="1"/>
  <c r="O1811" i="6"/>
  <c r="N633" i="6"/>
  <c r="N155" i="6"/>
  <c r="N164" i="6" s="1"/>
  <c r="O929" i="6"/>
  <c r="M724" i="34" s="1"/>
  <c r="M365" i="6"/>
  <c r="M371" i="6" s="1"/>
  <c r="M1234" i="6"/>
  <c r="R1952" i="6"/>
  <c r="K562" i="6"/>
  <c r="K2061" i="6"/>
  <c r="P658" i="6"/>
  <c r="P1959" i="6"/>
  <c r="Q1959" i="6" s="1"/>
  <c r="Q675" i="6" s="1"/>
  <c r="O675" i="6"/>
  <c r="O680" i="6" s="1"/>
  <c r="O1965" i="6"/>
  <c r="P653" i="6"/>
  <c r="P936" i="6"/>
  <c r="Q936" i="6" s="1"/>
  <c r="Q161" i="6" s="1"/>
  <c r="O161" i="6"/>
  <c r="O941" i="6"/>
  <c r="P1351" i="6"/>
  <c r="Q1351" i="6" s="1"/>
  <c r="Q432" i="6" s="1"/>
  <c r="M729" i="34"/>
  <c r="O432" i="6"/>
  <c r="P305" i="6"/>
  <c r="O1550" i="6"/>
  <c r="N444" i="6"/>
  <c r="N1570" i="6"/>
  <c r="N728" i="34"/>
  <c r="P414" i="6"/>
  <c r="P1486" i="6"/>
  <c r="M1372" i="6"/>
  <c r="M1375" i="6" s="1"/>
  <c r="M1383" i="6" s="1"/>
  <c r="P890" i="6"/>
  <c r="Q890" i="6" s="1"/>
  <c r="O144" i="6"/>
  <c r="N23" i="58"/>
  <c r="N37" i="58" s="1"/>
  <c r="R2032" i="6"/>
  <c r="S2032" i="6" s="1"/>
  <c r="O797" i="6"/>
  <c r="N102" i="6"/>
  <c r="N803" i="6"/>
  <c r="P652" i="6"/>
  <c r="P1180" i="6"/>
  <c r="O32" i="45"/>
  <c r="O326" i="6"/>
  <c r="P209" i="6"/>
  <c r="K461" i="6"/>
  <c r="K1521" i="6"/>
  <c r="P146" i="6"/>
  <c r="R754" i="6"/>
  <c r="P431" i="6"/>
  <c r="P403" i="6"/>
  <c r="P1311" i="6"/>
  <c r="Q1311" i="6" s="1"/>
  <c r="P592" i="6"/>
  <c r="P1170" i="6"/>
  <c r="O303" i="6"/>
  <c r="P1128" i="6"/>
  <c r="Q1128" i="6" s="1"/>
  <c r="Q322" i="6" s="1"/>
  <c r="O322" i="6"/>
  <c r="O1306" i="6"/>
  <c r="L113" i="3"/>
  <c r="N1370" i="6"/>
  <c r="N422" i="6"/>
  <c r="P1863" i="6"/>
  <c r="Q1863" i="6" s="1"/>
  <c r="M732" i="34"/>
  <c r="R1335" i="6"/>
  <c r="M6" i="6"/>
  <c r="L381" i="6"/>
  <c r="L11" i="6"/>
  <c r="L43" i="6" s="1"/>
  <c r="O1175" i="6"/>
  <c r="P1246" i="6"/>
  <c r="Q1246" i="6" s="1"/>
  <c r="Q377" i="6" s="1"/>
  <c r="O1231" i="6"/>
  <c r="O369" i="6" s="1"/>
  <c r="O377" i="6"/>
  <c r="K383" i="6"/>
  <c r="K2078" i="6"/>
  <c r="J120" i="6"/>
  <c r="J2053" i="6"/>
  <c r="H107" i="13"/>
  <c r="H64" i="13" s="1"/>
  <c r="I9" i="3" s="1"/>
  <c r="I10" i="3" s="1"/>
  <c r="L1521" i="6"/>
  <c r="N668" i="6"/>
  <c r="O1946" i="6"/>
  <c r="O1531" i="6"/>
  <c r="N409" i="6"/>
  <c r="N1539" i="6"/>
  <c r="O1200" i="6"/>
  <c r="O1202" i="6" s="1"/>
  <c r="N1205" i="6"/>
  <c r="N1206" i="6" s="1"/>
  <c r="N1217" i="6" s="1"/>
  <c r="N338" i="6"/>
  <c r="O667" i="6"/>
  <c r="P1942" i="6"/>
  <c r="Q1942" i="6" s="1"/>
  <c r="Q667" i="6" s="1"/>
  <c r="K456" i="6"/>
  <c r="K2079" i="6"/>
  <c r="M418" i="6"/>
  <c r="M12" i="6" s="1"/>
  <c r="N433" i="6"/>
  <c r="N435" i="6" s="1"/>
  <c r="O1361" i="6"/>
  <c r="P153" i="6"/>
  <c r="N1698" i="6"/>
  <c r="P154" i="6"/>
  <c r="O319" i="6"/>
  <c r="P1112" i="6"/>
  <c r="Q1112" i="6" s="1"/>
  <c r="Q319" i="6" s="1"/>
  <c r="O34" i="45"/>
  <c r="P301" i="6"/>
  <c r="K795" i="34"/>
  <c r="K801" i="34" s="1"/>
  <c r="K825" i="34"/>
  <c r="N726" i="34"/>
  <c r="P259" i="6"/>
  <c r="P201" i="6"/>
  <c r="N725" i="34"/>
  <c r="P161" i="45"/>
  <c r="P165" i="45" s="1"/>
  <c r="P169" i="45" s="1"/>
  <c r="P170" i="45" s="1"/>
  <c r="S71" i="11"/>
  <c r="Q77" i="11"/>
  <c r="AE130" i="10"/>
  <c r="AD50" i="11" s="1"/>
  <c r="AF130" i="10"/>
  <c r="AA239" i="10"/>
  <c r="N1517" i="6"/>
  <c r="AH157" i="10"/>
  <c r="AG90" i="11" s="1"/>
  <c r="AI157" i="10"/>
  <c r="AS157" i="10" s="1"/>
  <c r="M462" i="6"/>
  <c r="O350" i="6"/>
  <c r="AF212" i="10"/>
  <c r="P1212" i="6"/>
  <c r="AE212" i="10"/>
  <c r="AD126" i="11" s="1"/>
  <c r="P207" i="6"/>
  <c r="P193" i="6"/>
  <c r="P585" i="6"/>
  <c r="R859" i="6"/>
  <c r="R845" i="6"/>
  <c r="P835" i="6"/>
  <c r="Q835" i="6" s="1"/>
  <c r="O866" i="6"/>
  <c r="O868" i="6" s="1"/>
  <c r="O137" i="6"/>
  <c r="P783" i="6"/>
  <c r="P87" i="6"/>
  <c r="R770" i="6"/>
  <c r="S770" i="6" s="1"/>
  <c r="S86" i="6" s="1"/>
  <c r="P1623" i="6"/>
  <c r="Q1623" i="6" s="1"/>
  <c r="Q496" i="6" s="1"/>
  <c r="O496" i="6"/>
  <c r="Q460" i="7"/>
  <c r="P74" i="7"/>
  <c r="L26" i="5"/>
  <c r="O16" i="5"/>
  <c r="Q245" i="5"/>
  <c r="P60" i="5"/>
  <c r="L31" i="4"/>
  <c r="M834" i="4"/>
  <c r="M836" i="4" s="1"/>
  <c r="M843" i="4" s="1"/>
  <c r="Q463" i="4"/>
  <c r="L136" i="42"/>
  <c r="L142" i="42" s="1"/>
  <c r="CZ180" i="9"/>
  <c r="CM180" i="9"/>
  <c r="CN120" i="9"/>
  <c r="DA120" i="9"/>
  <c r="CM110" i="9"/>
  <c r="CZ110" i="9"/>
  <c r="CO32" i="9"/>
  <c r="DB32" i="9"/>
  <c r="CZ196" i="9"/>
  <c r="CM196" i="9"/>
  <c r="CM203" i="9"/>
  <c r="CZ203" i="9"/>
  <c r="CZ217" i="9"/>
  <c r="CM217" i="9"/>
  <c r="CN132" i="9"/>
  <c r="DA132" i="9"/>
  <c r="DA127" i="9"/>
  <c r="CN127" i="9"/>
  <c r="CM79" i="9"/>
  <c r="CZ79" i="9"/>
  <c r="CZ154" i="9"/>
  <c r="CM154" i="9"/>
  <c r="CM113" i="9"/>
  <c r="CZ113" i="9"/>
  <c r="CO30" i="9"/>
  <c r="CM115" i="9"/>
  <c r="CZ115" i="9"/>
  <c r="CO181" i="9"/>
  <c r="CZ21" i="9"/>
  <c r="CM21" i="9"/>
  <c r="CZ153" i="9"/>
  <c r="CM153" i="9"/>
  <c r="BO141" i="9"/>
  <c r="U8" i="37" s="1"/>
  <c r="O141" i="9"/>
  <c r="CN124" i="9"/>
  <c r="DA124" i="9"/>
  <c r="DB165" i="9"/>
  <c r="CO165" i="9"/>
  <c r="CM37" i="9"/>
  <c r="CZ37" i="9"/>
  <c r="CN118" i="9"/>
  <c r="DA118" i="9"/>
  <c r="DA14" i="9"/>
  <c r="CN14" i="9"/>
  <c r="CM155" i="9"/>
  <c r="CZ155" i="9"/>
  <c r="CM128" i="9"/>
  <c r="CZ128" i="9"/>
  <c r="CM156" i="9"/>
  <c r="CZ156" i="9"/>
  <c r="DA42" i="9"/>
  <c r="CN42" i="9"/>
  <c r="DC59" i="9"/>
  <c r="CP59" i="9"/>
  <c r="CL51" i="9"/>
  <c r="CY51" i="9"/>
  <c r="DA73" i="9"/>
  <c r="CN73" i="9"/>
  <c r="DB40" i="9"/>
  <c r="CO40" i="9"/>
  <c r="CN50" i="9"/>
  <c r="DA50" i="9"/>
  <c r="CO209" i="9"/>
  <c r="CM82" i="9"/>
  <c r="CZ82" i="9"/>
  <c r="DA43" i="9"/>
  <c r="CN43" i="9"/>
  <c r="CM198" i="9"/>
  <c r="CZ198" i="9"/>
  <c r="CM213" i="9"/>
  <c r="CZ213" i="9"/>
  <c r="CM93" i="9"/>
  <c r="CZ93" i="9"/>
  <c r="CL206" i="9"/>
  <c r="CY206" i="9"/>
  <c r="DA107" i="9"/>
  <c r="CN107" i="9"/>
  <c r="DB169" i="9"/>
  <c r="CO169" i="9"/>
  <c r="CM182" i="9"/>
  <c r="CZ182" i="9"/>
  <c r="CZ210" i="9"/>
  <c r="CM210" i="9"/>
  <c r="CM100" i="9"/>
  <c r="CZ100" i="9"/>
  <c r="CZ152" i="9"/>
  <c r="CM152" i="9"/>
  <c r="CO49" i="9"/>
  <c r="DB49" i="9"/>
  <c r="CZ141" i="9"/>
  <c r="CM141" i="9"/>
  <c r="CM179" i="9"/>
  <c r="CZ179" i="9"/>
  <c r="CM121" i="9"/>
  <c r="CZ121" i="9"/>
  <c r="CZ147" i="9"/>
  <c r="CM147" i="9"/>
  <c r="CZ36" i="9"/>
  <c r="CM36" i="9"/>
  <c r="CN123" i="9"/>
  <c r="I133" i="14"/>
  <c r="N69" i="14"/>
  <c r="M66" i="14"/>
  <c r="H252" i="4"/>
  <c r="H40" i="4" s="1"/>
  <c r="K340" i="6"/>
  <c r="H238" i="4"/>
  <c r="I238" i="4" s="1"/>
  <c r="H763" i="4"/>
  <c r="I763" i="4" s="1"/>
  <c r="G160" i="3"/>
  <c r="P284" i="3"/>
  <c r="O294" i="3"/>
  <c r="L1141" i="7"/>
  <c r="M7" i="7"/>
  <c r="M30" i="7" s="1"/>
  <c r="R204" i="48"/>
  <c r="R206" i="48" s="1"/>
  <c r="Q768" i="7"/>
  <c r="U19" i="26"/>
  <c r="P279" i="7"/>
  <c r="AU219" i="9"/>
  <c r="V67" i="10"/>
  <c r="N10" i="7"/>
  <c r="J55" i="15"/>
  <c r="J24" i="15" s="1"/>
  <c r="J46" i="15"/>
  <c r="J15" i="15" s="1"/>
  <c r="I22" i="42"/>
  <c r="M289" i="6"/>
  <c r="O868" i="7"/>
  <c r="N335" i="7"/>
  <c r="Q112" i="37"/>
  <c r="S40" i="37"/>
  <c r="L143" i="9"/>
  <c r="N1082" i="6" s="1"/>
  <c r="N39" i="45"/>
  <c r="N45" i="45" s="1"/>
  <c r="BE122" i="9"/>
  <c r="CZ122" i="9"/>
  <c r="P700" i="7"/>
  <c r="O234" i="7"/>
  <c r="O703" i="7"/>
  <c r="P673" i="7"/>
  <c r="O676" i="7"/>
  <c r="O222" i="7"/>
  <c r="O224" i="7" s="1"/>
  <c r="P793" i="7"/>
  <c r="U16" i="26" s="1"/>
  <c r="O281" i="7"/>
  <c r="L65" i="6"/>
  <c r="J69" i="3" s="1"/>
  <c r="J14" i="13"/>
  <c r="O731" i="7"/>
  <c r="O737" i="7" s="1"/>
  <c r="L777" i="34"/>
  <c r="N263" i="7"/>
  <c r="N267" i="7" s="1"/>
  <c r="N11" i="7" s="1"/>
  <c r="L1127" i="7"/>
  <c r="L251" i="7"/>
  <c r="N64" i="7"/>
  <c r="N69" i="7" s="1"/>
  <c r="O448" i="7"/>
  <c r="O456" i="7" s="1"/>
  <c r="AZ143" i="9"/>
  <c r="R7" i="37" s="1"/>
  <c r="I139" i="15"/>
  <c r="I163" i="15" s="1"/>
  <c r="I218" i="15"/>
  <c r="O1106" i="7"/>
  <c r="N1111" i="7"/>
  <c r="N1155" i="7" s="1"/>
  <c r="N418" i="7"/>
  <c r="N424" i="7" s="1"/>
  <c r="N42" i="7" s="1"/>
  <c r="N132" i="7"/>
  <c r="O554" i="7"/>
  <c r="X67" i="10"/>
  <c r="O906" i="7"/>
  <c r="P570" i="7"/>
  <c r="O141" i="7"/>
  <c r="Q612" i="7"/>
  <c r="P178" i="7"/>
  <c r="P734" i="7"/>
  <c r="O264" i="7"/>
  <c r="Q840" i="7"/>
  <c r="P317" i="7"/>
  <c r="P190" i="7"/>
  <c r="Q642" i="7"/>
  <c r="D205" i="42"/>
  <c r="H45" i="11"/>
  <c r="G47" i="11"/>
  <c r="Q779" i="7"/>
  <c r="P280" i="7"/>
  <c r="Q872" i="7"/>
  <c r="P454" i="7"/>
  <c r="O67" i="7"/>
  <c r="P921" i="7"/>
  <c r="O346" i="7"/>
  <c r="L1126" i="7"/>
  <c r="L120" i="7"/>
  <c r="P1051" i="7"/>
  <c r="O405" i="7"/>
  <c r="M111" i="3"/>
  <c r="N341" i="7"/>
  <c r="O882" i="7"/>
  <c r="P895" i="7"/>
  <c r="M735" i="34"/>
  <c r="O138" i="7"/>
  <c r="P563" i="7"/>
  <c r="O135" i="7"/>
  <c r="P557" i="7"/>
  <c r="P911" i="7"/>
  <c r="O345" i="7"/>
  <c r="Q897" i="7"/>
  <c r="O355" i="7"/>
  <c r="P938" i="7"/>
  <c r="O942" i="7"/>
  <c r="P832" i="7"/>
  <c r="Z65" i="10"/>
  <c r="R249" i="48"/>
  <c r="P829" i="7"/>
  <c r="Z101" i="10"/>
  <c r="AB101" i="10" s="1"/>
  <c r="M285" i="7"/>
  <c r="M292" i="7" s="1"/>
  <c r="M807" i="7"/>
  <c r="M809" i="7" s="1"/>
  <c r="M811" i="7" s="1"/>
  <c r="M820" i="7" s="1"/>
  <c r="N797" i="7"/>
  <c r="Z21" i="42" s="1"/>
  <c r="M776" i="34"/>
  <c r="P616" i="7"/>
  <c r="O181" i="7"/>
  <c r="K296" i="7"/>
  <c r="K1145" i="7"/>
  <c r="P187" i="7"/>
  <c r="Q622" i="7"/>
  <c r="P871" i="7"/>
  <c r="O336" i="7"/>
  <c r="W103" i="10"/>
  <c r="Y103" i="10" s="1"/>
  <c r="Y66" i="10"/>
  <c r="L294" i="7"/>
  <c r="L22" i="7"/>
  <c r="L33" i="7" s="1"/>
  <c r="J307" i="7"/>
  <c r="J1130" i="7"/>
  <c r="P836" i="7"/>
  <c r="Z66" i="10"/>
  <c r="F60" i="11"/>
  <c r="O386" i="7"/>
  <c r="P1031" i="7"/>
  <c r="M778" i="34"/>
  <c r="P1025" i="7"/>
  <c r="P392" i="7" s="1"/>
  <c r="O407" i="7"/>
  <c r="O408" i="7" s="1"/>
  <c r="P1023" i="7"/>
  <c r="P1073" i="7" s="1"/>
  <c r="O385" i="7"/>
  <c r="M478" i="5"/>
  <c r="M103" i="5"/>
  <c r="O313" i="5"/>
  <c r="M112" i="3" s="1"/>
  <c r="N319" i="5"/>
  <c r="N321" i="5" s="1"/>
  <c r="N323" i="5" s="1"/>
  <c r="N333" i="5" s="1"/>
  <c r="N95" i="5"/>
  <c r="N99" i="5" s="1"/>
  <c r="N101" i="5" s="1"/>
  <c r="K468" i="5"/>
  <c r="K165" i="5"/>
  <c r="P143" i="5"/>
  <c r="Q382" i="5"/>
  <c r="O225" i="3" s="1"/>
  <c r="O226" i="3" s="1"/>
  <c r="B114" i="15"/>
  <c r="B118" i="15" s="1"/>
  <c r="AV24" i="42"/>
  <c r="AV26" i="42" s="1"/>
  <c r="Q432" i="5"/>
  <c r="P186" i="5"/>
  <c r="N8" i="5"/>
  <c r="N497" i="5"/>
  <c r="N131" i="5"/>
  <c r="K467" i="5"/>
  <c r="K114" i="5"/>
  <c r="L114" i="5"/>
  <c r="L467" i="5"/>
  <c r="M9" i="5"/>
  <c r="M27" i="5" s="1"/>
  <c r="M498" i="5"/>
  <c r="M152" i="5"/>
  <c r="R381" i="5"/>
  <c r="P288" i="5"/>
  <c r="O89" i="5"/>
  <c r="O91" i="5" s="1"/>
  <c r="O307" i="5"/>
  <c r="P416" i="5"/>
  <c r="O178" i="5"/>
  <c r="N388" i="5"/>
  <c r="N390" i="5" s="1"/>
  <c r="N399" i="5" s="1"/>
  <c r="M499" i="5"/>
  <c r="M10" i="5"/>
  <c r="R350" i="5"/>
  <c r="Q126" i="5"/>
  <c r="I13" i="15"/>
  <c r="I291" i="34" s="1"/>
  <c r="I354" i="34" s="1"/>
  <c r="I307" i="34"/>
  <c r="O128" i="5"/>
  <c r="P358" i="5"/>
  <c r="L468" i="5"/>
  <c r="L165" i="5"/>
  <c r="B117" i="17"/>
  <c r="B121" i="17" s="1"/>
  <c r="B123" i="17" s="1"/>
  <c r="B94" i="3" s="1"/>
  <c r="AV59" i="42"/>
  <c r="P114" i="48"/>
  <c r="P177" i="5"/>
  <c r="Q414" i="5"/>
  <c r="H18" i="13"/>
  <c r="R224" i="5"/>
  <c r="O138" i="5"/>
  <c r="P372" i="5"/>
  <c r="O386" i="5"/>
  <c r="P410" i="5"/>
  <c r="O175" i="5"/>
  <c r="O419" i="5"/>
  <c r="E47" i="42"/>
  <c r="M506" i="5"/>
  <c r="M17" i="5"/>
  <c r="I18" i="13"/>
  <c r="B323" i="15"/>
  <c r="B169" i="15"/>
  <c r="P125" i="5"/>
  <c r="Q348" i="5"/>
  <c r="O124" i="5"/>
  <c r="P342" i="5"/>
  <c r="O361" i="5"/>
  <c r="R984" i="6"/>
  <c r="P204" i="6"/>
  <c r="Q535" i="4"/>
  <c r="P124" i="4"/>
  <c r="Q525" i="4"/>
  <c r="P123" i="4"/>
  <c r="P161" i="4" s="1"/>
  <c r="Q479" i="4"/>
  <c r="P120" i="4"/>
  <c r="M342" i="4"/>
  <c r="J11" i="12"/>
  <c r="K301" i="4"/>
  <c r="K865" i="4"/>
  <c r="K54" i="15"/>
  <c r="K23" i="15" s="1"/>
  <c r="Y81" i="42"/>
  <c r="L45" i="60" s="1"/>
  <c r="J21" i="42"/>
  <c r="J81" i="42" s="1"/>
  <c r="L19" i="60" s="1"/>
  <c r="M246" i="4"/>
  <c r="N129" i="4"/>
  <c r="Y8" i="42"/>
  <c r="O507" i="4"/>
  <c r="L115" i="3"/>
  <c r="O811" i="4"/>
  <c r="N291" i="4"/>
  <c r="K28" i="4"/>
  <c r="O785" i="4"/>
  <c r="N798" i="4"/>
  <c r="N278" i="4"/>
  <c r="O618" i="4"/>
  <c r="O496" i="4"/>
  <c r="O118" i="4" s="1"/>
  <c r="N121" i="4"/>
  <c r="N159" i="4" s="1"/>
  <c r="N581" i="4"/>
  <c r="M80" i="4"/>
  <c r="M17" i="4" s="1"/>
  <c r="G829" i="34"/>
  <c r="G202" i="34"/>
  <c r="G819" i="34" s="1"/>
  <c r="G263" i="3" s="1"/>
  <c r="O365" i="4"/>
  <c r="O343" i="4"/>
  <c r="M9" i="12" s="1"/>
  <c r="Q475" i="4"/>
  <c r="O634" i="4"/>
  <c r="O761" i="4"/>
  <c r="N766" i="4"/>
  <c r="N241" i="4"/>
  <c r="P691" i="4"/>
  <c r="O183" i="4"/>
  <c r="O723" i="4"/>
  <c r="N217" i="4"/>
  <c r="N264" i="4" s="1"/>
  <c r="N728" i="4"/>
  <c r="Z8" i="42" s="1"/>
  <c r="K143" i="4"/>
  <c r="K862" i="4"/>
  <c r="O350" i="4"/>
  <c r="N65" i="4"/>
  <c r="N408" i="4"/>
  <c r="L299" i="4"/>
  <c r="N7" i="10"/>
  <c r="K61" i="4"/>
  <c r="J861" i="4"/>
  <c r="L346" i="4"/>
  <c r="L410" i="4" s="1"/>
  <c r="L412" i="4" s="1"/>
  <c r="L59" i="4"/>
  <c r="P280" i="4"/>
  <c r="L18" i="4"/>
  <c r="L28" i="4" s="1"/>
  <c r="L141" i="4"/>
  <c r="I84" i="3"/>
  <c r="O681" i="4"/>
  <c r="N699" i="4"/>
  <c r="N701" i="4" s="1"/>
  <c r="N181" i="4"/>
  <c r="O802" i="4"/>
  <c r="N289" i="4"/>
  <c r="N833" i="4"/>
  <c r="L10" i="4"/>
  <c r="J27" i="4"/>
  <c r="J850" i="4"/>
  <c r="O453" i="4"/>
  <c r="N111" i="4"/>
  <c r="B188" i="15"/>
  <c r="B117" i="13"/>
  <c r="R18" i="42"/>
  <c r="H102" i="3"/>
  <c r="L6" i="11"/>
  <c r="M222" i="4"/>
  <c r="M127" i="4"/>
  <c r="M162" i="4" s="1"/>
  <c r="M650" i="4"/>
  <c r="M652" i="4" s="1"/>
  <c r="M659" i="4" s="1"/>
  <c r="J116" i="3"/>
  <c r="J117" i="3" s="1"/>
  <c r="L495" i="6"/>
  <c r="H681" i="34"/>
  <c r="H687" i="34"/>
  <c r="H689" i="34" s="1"/>
  <c r="AJ25" i="9"/>
  <c r="M17" i="10"/>
  <c r="L39" i="10"/>
  <c r="H70" i="3"/>
  <c r="J903" i="4"/>
  <c r="N106" i="15"/>
  <c r="M337" i="34"/>
  <c r="L570" i="34"/>
  <c r="L393" i="34"/>
  <c r="L510" i="34" s="1"/>
  <c r="O301" i="15"/>
  <c r="O119" i="17"/>
  <c r="P18" i="17"/>
  <c r="Q18" i="17" s="1"/>
  <c r="BG41" i="42"/>
  <c r="G155" i="11"/>
  <c r="F528" i="34"/>
  <c r="F520" i="34"/>
  <c r="D67" i="6"/>
  <c r="R638" i="7" l="1"/>
  <c r="R272" i="8"/>
  <c r="R1413" i="6"/>
  <c r="R554" i="4"/>
  <c r="R510" i="8"/>
  <c r="R452" i="4"/>
  <c r="R1077" i="7"/>
  <c r="R450" i="8"/>
  <c r="R353" i="5"/>
  <c r="R2004" i="6"/>
  <c r="R815" i="4"/>
  <c r="Q152" i="6"/>
  <c r="Q121" i="16"/>
  <c r="Q252" i="15"/>
  <c r="AT41" i="42"/>
  <c r="Q75" i="15" s="1"/>
  <c r="Q323" i="34" s="1"/>
  <c r="Q44" i="16"/>
  <c r="P77" i="3" s="1"/>
  <c r="P78" i="3" s="1"/>
  <c r="R13" i="27"/>
  <c r="R452" i="7"/>
  <c r="R794" i="6"/>
  <c r="R847" i="7"/>
  <c r="R1072" i="7"/>
  <c r="R527" i="4"/>
  <c r="R902" i="6"/>
  <c r="R1874" i="6"/>
  <c r="P62" i="9"/>
  <c r="Q62" i="9" s="1"/>
  <c r="R6" i="1"/>
  <c r="O128" i="9"/>
  <c r="AD185" i="10"/>
  <c r="AE185" i="10" s="1"/>
  <c r="AD108" i="11" s="1"/>
  <c r="AE108" i="11" s="1"/>
  <c r="AF108" i="11" s="1"/>
  <c r="BN128" i="9"/>
  <c r="BO128" i="9" s="1"/>
  <c r="R1057" i="6"/>
  <c r="Q262" i="6"/>
  <c r="BJ127" i="9"/>
  <c r="BI143" i="9"/>
  <c r="R1040" i="6"/>
  <c r="R978" i="6"/>
  <c r="R5" i="1"/>
  <c r="S362" i="4" s="1"/>
  <c r="Q130" i="1"/>
  <c r="R1091" i="7"/>
  <c r="R610" i="4"/>
  <c r="R1903" i="6"/>
  <c r="S1903" i="6" s="1"/>
  <c r="R914" i="6"/>
  <c r="R1629" i="6"/>
  <c r="R471" i="4"/>
  <c r="R44" i="27"/>
  <c r="S44" i="27" s="1"/>
  <c r="R373" i="5"/>
  <c r="R1041" i="6"/>
  <c r="S1041" i="6" s="1"/>
  <c r="R1049" i="6"/>
  <c r="R1059" i="6"/>
  <c r="S1059" i="6" s="1"/>
  <c r="Q263" i="6"/>
  <c r="R1044" i="6"/>
  <c r="S1044" i="6" s="1"/>
  <c r="R374" i="8"/>
  <c r="R1061" i="6"/>
  <c r="S1061" i="6" s="1"/>
  <c r="R1048" i="6"/>
  <c r="O127" i="9"/>
  <c r="AD184" i="10"/>
  <c r="AE184" i="10" s="1"/>
  <c r="AD107" i="11" s="1"/>
  <c r="AE107" i="11" s="1"/>
  <c r="AF107" i="11" s="1"/>
  <c r="BN127" i="9"/>
  <c r="R1050" i="6"/>
  <c r="Q301" i="15"/>
  <c r="BI41" i="42"/>
  <c r="Q106" i="15" s="1"/>
  <c r="Q337" i="34" s="1"/>
  <c r="Q119" i="17"/>
  <c r="Q284" i="3"/>
  <c r="S795" i="6"/>
  <c r="S99" i="6" s="1"/>
  <c r="S789" i="4"/>
  <c r="S1054" i="7"/>
  <c r="O97" i="13"/>
  <c r="P95" i="13"/>
  <c r="P97" i="13" s="1"/>
  <c r="S1085" i="7"/>
  <c r="S452" i="4"/>
  <c r="S272" i="8"/>
  <c r="S1610" i="6"/>
  <c r="S1891" i="6"/>
  <c r="S357" i="4"/>
  <c r="S491" i="8"/>
  <c r="S2004" i="6"/>
  <c r="S510" i="8"/>
  <c r="S815" i="4"/>
  <c r="R1043" i="6"/>
  <c r="S1043" i="6" s="1"/>
  <c r="R1055" i="6"/>
  <c r="S1055" i="6" s="1"/>
  <c r="Q376" i="6"/>
  <c r="Q1227" i="6"/>
  <c r="Q366" i="6" s="1"/>
  <c r="R1060" i="6"/>
  <c r="S1060" i="6" s="1"/>
  <c r="AH8" i="54"/>
  <c r="R1054" i="6"/>
  <c r="S1054" i="6" s="1"/>
  <c r="R896" i="6"/>
  <c r="S896" i="6" s="1"/>
  <c r="S1334" i="6"/>
  <c r="S429" i="6" s="1"/>
  <c r="S763" i="6"/>
  <c r="S213" i="8"/>
  <c r="S1242" i="6"/>
  <c r="S269" i="8"/>
  <c r="S506" i="7"/>
  <c r="S1332" i="6"/>
  <c r="S646" i="4"/>
  <c r="S638" i="7"/>
  <c r="Q122" i="9"/>
  <c r="X40" i="37" s="1"/>
  <c r="S16" i="27"/>
  <c r="S1413" i="6"/>
  <c r="S554" i="4"/>
  <c r="S1077" i="7"/>
  <c r="S450" i="8"/>
  <c r="S353" i="5"/>
  <c r="R687" i="4"/>
  <c r="S687" i="4" s="1"/>
  <c r="P743" i="34"/>
  <c r="Q743" i="34" s="1"/>
  <c r="R1495" i="6"/>
  <c r="S1495" i="6" s="1"/>
  <c r="R316" i="8"/>
  <c r="S316" i="8" s="1"/>
  <c r="P287" i="3"/>
  <c r="P297" i="3" s="1"/>
  <c r="R69" i="1"/>
  <c r="Q287" i="3" s="1"/>
  <c r="Q297" i="3" s="1"/>
  <c r="R1045" i="6"/>
  <c r="S1045" i="6" s="1"/>
  <c r="S827" i="6"/>
  <c r="R1039" i="6"/>
  <c r="S1039" i="6" s="1"/>
  <c r="R1042" i="6"/>
  <c r="S1042" i="6" s="1"/>
  <c r="R1047" i="6"/>
  <c r="S1047" i="6" s="1"/>
  <c r="Q260" i="6"/>
  <c r="O129" i="9"/>
  <c r="BN129" i="9"/>
  <c r="BO129" i="9" s="1"/>
  <c r="AD186" i="10"/>
  <c r="AE186" i="10" s="1"/>
  <c r="AD109" i="11" s="1"/>
  <c r="AE109" i="11" s="1"/>
  <c r="AF109" i="11" s="1"/>
  <c r="H224" i="9"/>
  <c r="H226" i="9" s="1"/>
  <c r="G80" i="13"/>
  <c r="AC85" i="11"/>
  <c r="AF3" i="11"/>
  <c r="AG85" i="11"/>
  <c r="AJ3" i="11"/>
  <c r="AJ221" i="9"/>
  <c r="J287" i="6"/>
  <c r="J1083" i="6"/>
  <c r="AK219" i="9"/>
  <c r="O112" i="37"/>
  <c r="O117" i="37" s="1"/>
  <c r="O37" i="37"/>
  <c r="O60" i="37" s="1"/>
  <c r="L160" i="48"/>
  <c r="L165" i="48" s="1"/>
  <c r="L242" i="48"/>
  <c r="L606" i="6"/>
  <c r="L2062" i="6" s="1"/>
  <c r="S1030" i="6"/>
  <c r="S1227" i="6"/>
  <c r="S376" i="6"/>
  <c r="S2037" i="6"/>
  <c r="S729" i="6"/>
  <c r="S734" i="6" s="1"/>
  <c r="P23" i="58"/>
  <c r="P37" i="58" s="1"/>
  <c r="S784" i="6"/>
  <c r="D249" i="48"/>
  <c r="P51" i="7"/>
  <c r="N59" i="3" s="1"/>
  <c r="N400" i="7"/>
  <c r="N13" i="7" s="1"/>
  <c r="O1044" i="7"/>
  <c r="L204" i="48"/>
  <c r="L209" i="48" s="1"/>
  <c r="F267" i="48"/>
  <c r="R76" i="7"/>
  <c r="S466" i="7"/>
  <c r="S76" i="7" s="1"/>
  <c r="R284" i="7"/>
  <c r="S796" i="7"/>
  <c r="S284" i="7" s="1"/>
  <c r="R77" i="7"/>
  <c r="S467" i="7"/>
  <c r="S77" i="7" s="1"/>
  <c r="R97" i="7"/>
  <c r="S520" i="7"/>
  <c r="S97" i="7" s="1"/>
  <c r="O145" i="40"/>
  <c r="P126" i="40"/>
  <c r="AL98" i="10" s="1"/>
  <c r="P145" i="40"/>
  <c r="N203" i="15"/>
  <c r="N148" i="15" s="1"/>
  <c r="AB43" i="42"/>
  <c r="M43" i="42" s="1"/>
  <c r="M119" i="13"/>
  <c r="Q951" i="7"/>
  <c r="Q370" i="7" s="1"/>
  <c r="N77" i="13"/>
  <c r="CD118" i="9"/>
  <c r="P742" i="34"/>
  <c r="R126" i="8"/>
  <c r="S461" i="8"/>
  <c r="P88" i="16"/>
  <c r="S219" i="8"/>
  <c r="Q88" i="16" s="1"/>
  <c r="R128" i="8"/>
  <c r="S485" i="8"/>
  <c r="S128" i="8" s="1"/>
  <c r="R148" i="5"/>
  <c r="S385" i="5"/>
  <c r="S148" i="5" s="1"/>
  <c r="R53" i="5"/>
  <c r="S235" i="5"/>
  <c r="S53" i="5" s="1"/>
  <c r="R96" i="5"/>
  <c r="S315" i="5"/>
  <c r="S96" i="5" s="1"/>
  <c r="Q122" i="4"/>
  <c r="P109" i="4"/>
  <c r="Q442" i="4"/>
  <c r="O69" i="4"/>
  <c r="O76" i="4" s="1"/>
  <c r="R108" i="4"/>
  <c r="S441" i="4"/>
  <c r="S108" i="4" s="1"/>
  <c r="P343" i="4"/>
  <c r="N9" i="12" s="1"/>
  <c r="Q343" i="4" s="1"/>
  <c r="O9" i="12" s="1"/>
  <c r="R343" i="4" s="1"/>
  <c r="DE122" i="9"/>
  <c r="CD122" i="9"/>
  <c r="CC62" i="9"/>
  <c r="CC64" i="9" s="1"/>
  <c r="AM133" i="10" s="1"/>
  <c r="S1117" i="7" s="1"/>
  <c r="J155" i="14"/>
  <c r="J198" i="14"/>
  <c r="O91" i="10"/>
  <c r="Q39" i="14"/>
  <c r="K1149" i="6" s="1"/>
  <c r="K349" i="6" s="1"/>
  <c r="CZ33" i="9"/>
  <c r="CM33" i="9"/>
  <c r="G19" i="15"/>
  <c r="G157" i="34"/>
  <c r="G412" i="34"/>
  <c r="G459" i="34"/>
  <c r="G460" i="34" s="1"/>
  <c r="H80" i="3"/>
  <c r="I155" i="22"/>
  <c r="I158" i="22" s="1"/>
  <c r="H89" i="3" s="1"/>
  <c r="H44" i="17"/>
  <c r="H81" i="3" s="1"/>
  <c r="CS13" i="22"/>
  <c r="CF13" i="22"/>
  <c r="CS29" i="22"/>
  <c r="CF29" i="22"/>
  <c r="CS28" i="22"/>
  <c r="CF28" i="22"/>
  <c r="R150" i="22"/>
  <c r="Q542" i="6"/>
  <c r="Q866" i="6"/>
  <c r="Q868" i="6" s="1"/>
  <c r="Q648" i="6"/>
  <c r="CP33" i="21"/>
  <c r="CC33" i="21"/>
  <c r="CR48" i="21"/>
  <c r="P153" i="22"/>
  <c r="P150" i="22"/>
  <c r="P98" i="3" s="1"/>
  <c r="Q146" i="22"/>
  <c r="R539" i="8"/>
  <c r="R158" i="8" s="1"/>
  <c r="R31" i="8" s="1"/>
  <c r="BH44" i="42"/>
  <c r="P305" i="15"/>
  <c r="P309" i="15" s="1"/>
  <c r="P120" i="17"/>
  <c r="I128" i="14"/>
  <c r="V50" i="14"/>
  <c r="I123" i="14"/>
  <c r="Q64" i="9"/>
  <c r="S1119" i="7" s="1"/>
  <c r="S434" i="7" s="1"/>
  <c r="DD59" i="9"/>
  <c r="CQ59" i="9"/>
  <c r="DE59" i="9" s="1"/>
  <c r="DD52" i="9"/>
  <c r="CQ52" i="9"/>
  <c r="DE52" i="9" s="1"/>
  <c r="CB219" i="9"/>
  <c r="CB221" i="9" s="1"/>
  <c r="BQ88" i="9"/>
  <c r="CA3" i="9"/>
  <c r="CA88" i="9" s="1"/>
  <c r="BZ174" i="9"/>
  <c r="CD174" i="9"/>
  <c r="M89" i="17"/>
  <c r="M34" i="17" s="1"/>
  <c r="BE45" i="42" s="1"/>
  <c r="BE47" i="42" s="1"/>
  <c r="Q158" i="6"/>
  <c r="Q869" i="6"/>
  <c r="Q450" i="6"/>
  <c r="Q455" i="6" s="1"/>
  <c r="Q1374" i="6"/>
  <c r="Q159" i="6"/>
  <c r="Q941" i="6"/>
  <c r="P1175" i="6"/>
  <c r="Q1170" i="6"/>
  <c r="N727" i="34"/>
  <c r="Q1180" i="6"/>
  <c r="O727" i="34" s="1"/>
  <c r="Q438" i="6"/>
  <c r="Q1461" i="6"/>
  <c r="Q1231" i="6"/>
  <c r="Q369" i="6" s="1"/>
  <c r="Q626" i="6"/>
  <c r="Q270" i="6"/>
  <c r="Q277" i="6" s="1"/>
  <c r="Q1072" i="6"/>
  <c r="Q320" i="6"/>
  <c r="Q162" i="6"/>
  <c r="Q168" i="6" s="1"/>
  <c r="Q870" i="6"/>
  <c r="Q1965" i="6"/>
  <c r="Q144" i="6"/>
  <c r="Q137" i="6"/>
  <c r="Q572" i="6"/>
  <c r="Q539" i="6"/>
  <c r="Q214" i="6"/>
  <c r="Q425" i="6"/>
  <c r="Q680" i="6"/>
  <c r="R205" i="6"/>
  <c r="R430" i="6"/>
  <c r="R89" i="6"/>
  <c r="R429" i="6"/>
  <c r="R784" i="6"/>
  <c r="R208" i="6"/>
  <c r="R99" i="6"/>
  <c r="R583" i="6"/>
  <c r="R404" i="6"/>
  <c r="G540" i="34"/>
  <c r="N617" i="34"/>
  <c r="M620" i="34"/>
  <c r="O455" i="34"/>
  <c r="P455" i="34" s="1"/>
  <c r="Q455" i="34" s="1"/>
  <c r="O605" i="34"/>
  <c r="P605" i="34" s="1"/>
  <c r="O428" i="34"/>
  <c r="P428" i="34" s="1"/>
  <c r="Q428" i="34" s="1"/>
  <c r="O427" i="34"/>
  <c r="P427" i="34" s="1"/>
  <c r="Q427" i="34" s="1"/>
  <c r="N605" i="34"/>
  <c r="O422" i="34"/>
  <c r="P422" i="34" s="1"/>
  <c r="Q422" i="34" s="1"/>
  <c r="O429" i="34"/>
  <c r="P429" i="34" s="1"/>
  <c r="Q429" i="34" s="1"/>
  <c r="R1100" i="6"/>
  <c r="S1100" i="6" s="1"/>
  <c r="R470" i="7"/>
  <c r="S470" i="7" s="1"/>
  <c r="R1067" i="7"/>
  <c r="S1067" i="7" s="1"/>
  <c r="R541" i="4"/>
  <c r="S541" i="4" s="1"/>
  <c r="R921" i="6"/>
  <c r="S921" i="6" s="1"/>
  <c r="R786" i="4"/>
  <c r="S786" i="4" s="1"/>
  <c r="R476" i="7"/>
  <c r="S476" i="7" s="1"/>
  <c r="R1861" i="6"/>
  <c r="S1861" i="6" s="1"/>
  <c r="R309" i="8"/>
  <c r="S309" i="8" s="1"/>
  <c r="R508" i="8"/>
  <c r="S508" i="8" s="1"/>
  <c r="R689" i="7"/>
  <c r="S689" i="7" s="1"/>
  <c r="R243" i="8"/>
  <c r="S243" i="8" s="1"/>
  <c r="R1432" i="6"/>
  <c r="S1432" i="6" s="1"/>
  <c r="R462" i="7"/>
  <c r="S462" i="7" s="1"/>
  <c r="R529" i="4"/>
  <c r="S529" i="4" s="1"/>
  <c r="R908" i="6"/>
  <c r="S908" i="6" s="1"/>
  <c r="R1080" i="7"/>
  <c r="S1080" i="7" s="1"/>
  <c r="R292" i="5"/>
  <c r="S292" i="5" s="1"/>
  <c r="R1896" i="6"/>
  <c r="S1896" i="6" s="1"/>
  <c r="R847" i="6"/>
  <c r="S847" i="6" s="1"/>
  <c r="R43" i="27"/>
  <c r="S43" i="27" s="1"/>
  <c r="R642" i="4"/>
  <c r="S642" i="4" s="1"/>
  <c r="R293" i="5"/>
  <c r="S293" i="5" s="1"/>
  <c r="R1937" i="6"/>
  <c r="S1937" i="6" s="1"/>
  <c r="P108" i="34"/>
  <c r="Q108" i="34" s="1"/>
  <c r="R282" i="8"/>
  <c r="S282" i="8" s="1"/>
  <c r="R351" i="5"/>
  <c r="S351" i="5" s="1"/>
  <c r="P72" i="1"/>
  <c r="O75" i="1"/>
  <c r="T12" i="20"/>
  <c r="T16" i="20" s="1"/>
  <c r="L33" i="20"/>
  <c r="L41" i="20" s="1"/>
  <c r="L98" i="20"/>
  <c r="L65" i="20"/>
  <c r="P578" i="4"/>
  <c r="O137" i="4"/>
  <c r="I174" i="3"/>
  <c r="I175" i="3" s="1"/>
  <c r="I112" i="17"/>
  <c r="I113" i="17" s="1"/>
  <c r="I33" i="3"/>
  <c r="I68" i="17"/>
  <c r="I310" i="15"/>
  <c r="H148" i="34" s="1"/>
  <c r="BA50" i="42"/>
  <c r="R289" i="5"/>
  <c r="S289" i="5" s="1"/>
  <c r="R1567" i="6"/>
  <c r="S1567" i="6" s="1"/>
  <c r="R33" i="27"/>
  <c r="S33" i="27" s="1"/>
  <c r="R485" i="7"/>
  <c r="S485" i="7" s="1"/>
  <c r="R1065" i="7"/>
  <c r="S1065" i="7" s="1"/>
  <c r="R1568" i="6"/>
  <c r="S1568" i="6" s="1"/>
  <c r="R438" i="5"/>
  <c r="S438" i="5" s="1"/>
  <c r="P1021" i="7"/>
  <c r="O384" i="7"/>
  <c r="O397" i="7"/>
  <c r="P1041" i="7"/>
  <c r="N97" i="1"/>
  <c r="O90" i="1"/>
  <c r="P1038" i="7"/>
  <c r="O387" i="7"/>
  <c r="R367" i="4"/>
  <c r="R352" i="4"/>
  <c r="S352" i="4" s="1"/>
  <c r="R891" i="6"/>
  <c r="S891" i="6" s="1"/>
  <c r="R635" i="7"/>
  <c r="S635" i="7" s="1"/>
  <c r="R365" i="5"/>
  <c r="S365" i="5" s="1"/>
  <c r="R1090" i="7"/>
  <c r="S1090" i="7" s="1"/>
  <c r="R1194" i="6"/>
  <c r="S1194" i="6" s="1"/>
  <c r="R777" i="6"/>
  <c r="S777" i="6" s="1"/>
  <c r="R508" i="7"/>
  <c r="S508" i="7" s="1"/>
  <c r="R861" i="6"/>
  <c r="S861" i="6" s="1"/>
  <c r="R682" i="4"/>
  <c r="S682" i="4" s="1"/>
  <c r="R808" i="4"/>
  <c r="S808" i="4" s="1"/>
  <c r="R1427" i="6"/>
  <c r="S1427" i="6" s="1"/>
  <c r="R754" i="4"/>
  <c r="S754" i="4" s="1"/>
  <c r="R910" i="7"/>
  <c r="S910" i="7" s="1"/>
  <c r="R606" i="7"/>
  <c r="S606" i="7" s="1"/>
  <c r="R432" i="4"/>
  <c r="S432" i="4" s="1"/>
  <c r="R724" i="4"/>
  <c r="S724" i="4" s="1"/>
  <c r="R853" i="6"/>
  <c r="S853" i="6" s="1"/>
  <c r="R1887" i="6"/>
  <c r="S1887" i="6" s="1"/>
  <c r="R843" i="6"/>
  <c r="S843" i="6" s="1"/>
  <c r="R506" i="4"/>
  <c r="S506" i="4" s="1"/>
  <c r="R903" i="7"/>
  <c r="S903" i="7" s="1"/>
  <c r="J177" i="3"/>
  <c r="L519" i="8"/>
  <c r="L138" i="8" s="1"/>
  <c r="I32" i="3"/>
  <c r="K28" i="8"/>
  <c r="P1039" i="7"/>
  <c r="O388" i="7"/>
  <c r="Z11" i="42"/>
  <c r="Z72" i="42" s="1"/>
  <c r="M36" i="60" s="1"/>
  <c r="O28" i="12"/>
  <c r="P141" i="34"/>
  <c r="Q141" i="34" s="1"/>
  <c r="N440" i="34"/>
  <c r="R508" i="4"/>
  <c r="S508" i="4" s="1"/>
  <c r="R974" i="6"/>
  <c r="S974" i="6" s="1"/>
  <c r="P644" i="34"/>
  <c r="Q644" i="34" s="1"/>
  <c r="R856" i="7"/>
  <c r="S856" i="7" s="1"/>
  <c r="R805" i="7"/>
  <c r="S805" i="7" s="1"/>
  <c r="N408" i="34"/>
  <c r="P114" i="34"/>
  <c r="Q114" i="34" s="1"/>
  <c r="R985" i="7"/>
  <c r="S985" i="7" s="1"/>
  <c r="R2026" i="6"/>
  <c r="S2026" i="6" s="1"/>
  <c r="R980" i="6"/>
  <c r="S980" i="6" s="1"/>
  <c r="R1742" i="6"/>
  <c r="S1742" i="6" s="1"/>
  <c r="R1894" i="6"/>
  <c r="S1894" i="6" s="1"/>
  <c r="R1103" i="6"/>
  <c r="S1103" i="6" s="1"/>
  <c r="R317" i="8"/>
  <c r="S317" i="8" s="1"/>
  <c r="R1810" i="6"/>
  <c r="S1810" i="6" s="1"/>
  <c r="R784" i="4"/>
  <c r="S784" i="4" s="1"/>
  <c r="R457" i="4"/>
  <c r="S457" i="4" s="1"/>
  <c r="P138" i="34"/>
  <c r="Q138" i="34" s="1"/>
  <c r="R850" i="6"/>
  <c r="S850" i="6" s="1"/>
  <c r="R772" i="7"/>
  <c r="S772" i="7" s="1"/>
  <c r="O115" i="9"/>
  <c r="BO115" i="9"/>
  <c r="R888" i="6"/>
  <c r="S888" i="6" s="1"/>
  <c r="R323" i="8"/>
  <c r="S323" i="8" s="1"/>
  <c r="R489" i="7"/>
  <c r="S489" i="7" s="1"/>
  <c r="R417" i="5"/>
  <c r="S417" i="5" s="1"/>
  <c r="R1092" i="7"/>
  <c r="S1092" i="7" s="1"/>
  <c r="R1889" i="6"/>
  <c r="S1889" i="6" s="1"/>
  <c r="R914" i="7"/>
  <c r="S914" i="7" s="1"/>
  <c r="R425" i="5"/>
  <c r="S425" i="5" s="1"/>
  <c r="R1255" i="6"/>
  <c r="S1255" i="6" s="1"/>
  <c r="R1548" i="6"/>
  <c r="S1548" i="6" s="1"/>
  <c r="R1394" i="6"/>
  <c r="S1394" i="6" s="1"/>
  <c r="R1935" i="6"/>
  <c r="S1935" i="6" s="1"/>
  <c r="R846" i="6"/>
  <c r="S846" i="6" s="1"/>
  <c r="R830" i="6"/>
  <c r="S830" i="6" s="1"/>
  <c r="R628" i="7"/>
  <c r="S628" i="7" s="1"/>
  <c r="R2003" i="6"/>
  <c r="S2003" i="6" s="1"/>
  <c r="P705" i="34"/>
  <c r="Q705" i="34" s="1"/>
  <c r="R1068" i="7"/>
  <c r="S1068" i="7" s="1"/>
  <c r="R320" i="8"/>
  <c r="S320" i="8" s="1"/>
  <c r="R473" i="7"/>
  <c r="S473" i="7" s="1"/>
  <c r="R1362" i="6"/>
  <c r="S1362" i="6" s="1"/>
  <c r="R2002" i="6"/>
  <c r="S2002" i="6" s="1"/>
  <c r="R606" i="4"/>
  <c r="S606" i="4" s="1"/>
  <c r="R753" i="7"/>
  <c r="S753" i="7" s="1"/>
  <c r="R822" i="6"/>
  <c r="S822" i="6" s="1"/>
  <c r="R627" i="7"/>
  <c r="S627" i="7" s="1"/>
  <c r="R206" i="8"/>
  <c r="S206" i="8" s="1"/>
  <c r="R610" i="7"/>
  <c r="S610" i="7" s="1"/>
  <c r="R268" i="8"/>
  <c r="S268" i="8" s="1"/>
  <c r="R254" i="8"/>
  <c r="S254" i="8" s="1"/>
  <c r="R500" i="4"/>
  <c r="S500" i="4" s="1"/>
  <c r="AG100" i="10"/>
  <c r="AH100" i="10" s="1"/>
  <c r="R935" i="7"/>
  <c r="S935" i="7" s="1"/>
  <c r="R1907" i="6"/>
  <c r="S1907" i="6" s="1"/>
  <c r="R775" i="7"/>
  <c r="S775" i="7" s="1"/>
  <c r="R364" i="4"/>
  <c r="R221" i="5"/>
  <c r="S221" i="5" s="1"/>
  <c r="R742" i="4"/>
  <c r="S742" i="4" s="1"/>
  <c r="R1117" i="6"/>
  <c r="S1117" i="6" s="1"/>
  <c r="R284" i="5"/>
  <c r="S284" i="5" s="1"/>
  <c r="R1686" i="6"/>
  <c r="S1686" i="6" s="1"/>
  <c r="R1124" i="6"/>
  <c r="S1124" i="6" s="1"/>
  <c r="R641" i="7"/>
  <c r="S641" i="7" s="1"/>
  <c r="R1249" i="6"/>
  <c r="S1249" i="6" s="1"/>
  <c r="R386" i="8"/>
  <c r="S386" i="8" s="1"/>
  <c r="R1095" i="7"/>
  <c r="S1095" i="7" s="1"/>
  <c r="R1081" i="7"/>
  <c r="S1081" i="7" s="1"/>
  <c r="R487" i="8"/>
  <c r="S487" i="8" s="1"/>
  <c r="R212" i="8"/>
  <c r="S212" i="8" s="1"/>
  <c r="R607" i="7"/>
  <c r="S607" i="7" s="1"/>
  <c r="R1353" i="6"/>
  <c r="S1353" i="6" s="1"/>
  <c r="R521" i="7"/>
  <c r="Q98" i="7"/>
  <c r="R1069" i="7"/>
  <c r="S1069" i="7" s="1"/>
  <c r="R1626" i="6"/>
  <c r="S1626" i="6" s="1"/>
  <c r="W23" i="37"/>
  <c r="X23" i="37" s="1"/>
  <c r="R778" i="6"/>
  <c r="S778" i="6" s="1"/>
  <c r="R626" i="4"/>
  <c r="S626" i="4" s="1"/>
  <c r="R1627" i="6"/>
  <c r="S1627" i="6" s="1"/>
  <c r="AQ11" i="42"/>
  <c r="N74" i="15" s="1"/>
  <c r="N381" i="34"/>
  <c r="R931" i="6"/>
  <c r="S931" i="6" s="1"/>
  <c r="P106" i="34"/>
  <c r="Q106" i="34" s="1"/>
  <c r="Q109" i="34" s="1"/>
  <c r="Q444" i="34" s="1"/>
  <c r="Q445" i="34" s="1"/>
  <c r="O109" i="34"/>
  <c r="O444" i="34" s="1"/>
  <c r="O445" i="34" s="1"/>
  <c r="R1253" i="6"/>
  <c r="S1253" i="6" s="1"/>
  <c r="R49" i="27"/>
  <c r="Q54" i="27"/>
  <c r="R1681" i="6"/>
  <c r="S1681" i="6" s="1"/>
  <c r="R639" i="7"/>
  <c r="S639" i="7" s="1"/>
  <c r="R513" i="4"/>
  <c r="S513" i="4" s="1"/>
  <c r="R977" i="6"/>
  <c r="S977" i="6" s="1"/>
  <c r="Q317" i="5"/>
  <c r="P97" i="5"/>
  <c r="R322" i="4"/>
  <c r="S322" i="4" s="1"/>
  <c r="R38" i="27"/>
  <c r="S38" i="27" s="1"/>
  <c r="R449" i="8"/>
  <c r="S449" i="8" s="1"/>
  <c r="R32" i="27"/>
  <c r="S32" i="27" s="1"/>
  <c r="BO114" i="9"/>
  <c r="O114" i="9"/>
  <c r="DB114" i="9"/>
  <c r="BY118" i="9"/>
  <c r="R1948" i="6"/>
  <c r="S1948" i="6" s="1"/>
  <c r="R1452" i="6"/>
  <c r="S1452" i="6" s="1"/>
  <c r="R1725" i="6"/>
  <c r="S1725" i="6" s="1"/>
  <c r="R429" i="5"/>
  <c r="S429" i="5" s="1"/>
  <c r="R893" i="7"/>
  <c r="S893" i="7" s="1"/>
  <c r="R283" i="5"/>
  <c r="S283" i="5" s="1"/>
  <c r="R1354" i="6"/>
  <c r="S1354" i="6" s="1"/>
  <c r="R855" i="6"/>
  <c r="S855" i="6" s="1"/>
  <c r="R752" i="7"/>
  <c r="S752" i="7" s="1"/>
  <c r="R792" i="4"/>
  <c r="S792" i="4" s="1"/>
  <c r="R988" i="6"/>
  <c r="S988" i="6" s="1"/>
  <c r="R374" i="5"/>
  <c r="S374" i="5" s="1"/>
  <c r="R228" i="5"/>
  <c r="S228" i="5" s="1"/>
  <c r="R1437" i="6"/>
  <c r="S1437" i="6" s="1"/>
  <c r="P55" i="34"/>
  <c r="Q55" i="34" s="1"/>
  <c r="R373" i="8"/>
  <c r="S373" i="8" s="1"/>
  <c r="R300" i="8"/>
  <c r="S300" i="8" s="1"/>
  <c r="R849" i="7"/>
  <c r="R286" i="5"/>
  <c r="S286" i="5" s="1"/>
  <c r="R1196" i="6"/>
  <c r="S1196" i="6" s="1"/>
  <c r="R503" i="8"/>
  <c r="S503" i="8" s="1"/>
  <c r="R565" i="7"/>
  <c r="S565" i="7" s="1"/>
  <c r="R542" i="4"/>
  <c r="S542" i="4" s="1"/>
  <c r="R428" i="8"/>
  <c r="S428" i="8" s="1"/>
  <c r="R1446" i="6"/>
  <c r="S1446" i="6" s="1"/>
  <c r="R226" i="5"/>
  <c r="S226" i="5" s="1"/>
  <c r="R1193" i="6"/>
  <c r="S1193" i="6" s="1"/>
  <c r="R1449" i="6"/>
  <c r="S1449" i="6" s="1"/>
  <c r="R465" i="7"/>
  <c r="S465" i="7" s="1"/>
  <c r="R437" i="8"/>
  <c r="S437" i="8" s="1"/>
  <c r="R244" i="8"/>
  <c r="S244" i="8" s="1"/>
  <c r="R1245" i="6"/>
  <c r="S1245" i="6" s="1"/>
  <c r="R836" i="6"/>
  <c r="S836" i="6" s="1"/>
  <c r="R185" i="8"/>
  <c r="S185" i="8" s="1"/>
  <c r="Q45" i="8"/>
  <c r="R1617" i="6"/>
  <c r="S1617" i="6" s="1"/>
  <c r="P632" i="34"/>
  <c r="Q632" i="34" s="1"/>
  <c r="R930" i="6"/>
  <c r="S930" i="6" s="1"/>
  <c r="R1828" i="6"/>
  <c r="S1828" i="6" s="1"/>
  <c r="R1552" i="6"/>
  <c r="S1552" i="6" s="1"/>
  <c r="R439" i="5"/>
  <c r="S439" i="5" s="1"/>
  <c r="R235" i="8"/>
  <c r="S235" i="8" s="1"/>
  <c r="R300" i="5"/>
  <c r="S300" i="5" s="1"/>
  <c r="R2012" i="6"/>
  <c r="S2012" i="6" s="1"/>
  <c r="R1286" i="6"/>
  <c r="S1286" i="6" s="1"/>
  <c r="R821" i="4"/>
  <c r="S821" i="4" s="1"/>
  <c r="R453" i="7"/>
  <c r="S453" i="7" s="1"/>
  <c r="R470" i="8"/>
  <c r="S470" i="8" s="1"/>
  <c r="R979" i="7"/>
  <c r="S979" i="7" s="1"/>
  <c r="R479" i="7"/>
  <c r="S479" i="7" s="1"/>
  <c r="R346" i="5"/>
  <c r="S346" i="5" s="1"/>
  <c r="R1549" i="6"/>
  <c r="S1549" i="6" s="1"/>
  <c r="R304" i="8"/>
  <c r="S304" i="8" s="1"/>
  <c r="DA139" i="9"/>
  <c r="BJ139" i="9"/>
  <c r="R208" i="8"/>
  <c r="S208" i="8" s="1"/>
  <c r="R376" i="4"/>
  <c r="S376" i="4" s="1"/>
  <c r="R1616" i="6"/>
  <c r="S1616" i="6" s="1"/>
  <c r="R390" i="4"/>
  <c r="S390" i="4" s="1"/>
  <c r="R766" i="7"/>
  <c r="S766" i="7" s="1"/>
  <c r="R504" i="4"/>
  <c r="S504" i="4" s="1"/>
  <c r="R435" i="4"/>
  <c r="S435" i="4" s="1"/>
  <c r="R1109" i="6"/>
  <c r="S1109" i="6" s="1"/>
  <c r="R764" i="7"/>
  <c r="S764" i="7" s="1"/>
  <c r="R1189" i="6"/>
  <c r="S1189" i="6" s="1"/>
  <c r="R59" i="27"/>
  <c r="S59" i="27" s="1"/>
  <c r="P121" i="34"/>
  <c r="Q121" i="34" s="1"/>
  <c r="R1839" i="6"/>
  <c r="S1839" i="6" s="1"/>
  <c r="R231" i="5"/>
  <c r="S231" i="5" s="1"/>
  <c r="P739" i="34"/>
  <c r="Q739" i="34" s="1"/>
  <c r="R241" i="8"/>
  <c r="S241" i="8" s="1"/>
  <c r="R471" i="8"/>
  <c r="S471" i="8" s="1"/>
  <c r="R680" i="4"/>
  <c r="S680" i="4" s="1"/>
  <c r="Q527" i="7"/>
  <c r="P104" i="7"/>
  <c r="R1558" i="6"/>
  <c r="S1558" i="6" s="1"/>
  <c r="R521" i="4"/>
  <c r="S521" i="4" s="1"/>
  <c r="R8" i="27"/>
  <c r="S8" i="27" s="1"/>
  <c r="P61" i="21"/>
  <c r="BI61" i="21"/>
  <c r="R248" i="8"/>
  <c r="S248" i="8" s="1"/>
  <c r="R502" i="8"/>
  <c r="S502" i="8" s="1"/>
  <c r="R515" i="4"/>
  <c r="S515" i="4" s="1"/>
  <c r="R513" i="7"/>
  <c r="S513" i="7" s="1"/>
  <c r="R1834" i="6"/>
  <c r="S1834" i="6" s="1"/>
  <c r="R1426" i="6"/>
  <c r="S1426" i="6" s="1"/>
  <c r="R502" i="4"/>
  <c r="S502" i="4" s="1"/>
  <c r="R223" i="5"/>
  <c r="S223" i="5" s="1"/>
  <c r="R834" i="6"/>
  <c r="S834" i="6" s="1"/>
  <c r="R397" i="4"/>
  <c r="S397" i="4" s="1"/>
  <c r="R189" i="8"/>
  <c r="S189" i="8" s="1"/>
  <c r="R1312" i="6"/>
  <c r="S1312" i="6" s="1"/>
  <c r="R1078" i="7"/>
  <c r="S1078" i="7" s="1"/>
  <c r="R1416" i="6"/>
  <c r="S1416" i="6" s="1"/>
  <c r="R748" i="7"/>
  <c r="S748" i="7" s="1"/>
  <c r="R928" i="6"/>
  <c r="S928" i="6" s="1"/>
  <c r="R1908" i="6"/>
  <c r="S1908" i="6" s="1"/>
  <c r="R492" i="4"/>
  <c r="S492" i="4" s="1"/>
  <c r="R318" i="8"/>
  <c r="R794" i="7"/>
  <c r="S794" i="7" s="1"/>
  <c r="R298" i="8"/>
  <c r="S298" i="8" s="1"/>
  <c r="R1411" i="6"/>
  <c r="S1411" i="6" s="1"/>
  <c r="R1393" i="6"/>
  <c r="S1393" i="6" s="1"/>
  <c r="R754" i="7"/>
  <c r="S754" i="7" s="1"/>
  <c r="R998" i="6"/>
  <c r="S998" i="6" s="1"/>
  <c r="R1947" i="6"/>
  <c r="S1947" i="6" s="1"/>
  <c r="R1356" i="6"/>
  <c r="S1356" i="6" s="1"/>
  <c r="R1904" i="6"/>
  <c r="S1904" i="6" s="1"/>
  <c r="R301" i="5"/>
  <c r="S301" i="5" s="1"/>
  <c r="R2000" i="6"/>
  <c r="S2000" i="6" s="1"/>
  <c r="R504" i="8"/>
  <c r="S504" i="8" s="1"/>
  <c r="R1343" i="6"/>
  <c r="S1343" i="6" s="1"/>
  <c r="R441" i="8"/>
  <c r="R1165" i="6"/>
  <c r="S1165" i="6" s="1"/>
  <c r="R436" i="8"/>
  <c r="S436" i="8" s="1"/>
  <c r="R898" i="6"/>
  <c r="S898" i="6" s="1"/>
  <c r="R426" i="8"/>
  <c r="S426" i="8" s="1"/>
  <c r="R343" i="5"/>
  <c r="S343" i="5" s="1"/>
  <c r="R451" i="8"/>
  <c r="S451" i="8" s="1"/>
  <c r="R569" i="4"/>
  <c r="S569" i="4" s="1"/>
  <c r="R1089" i="7"/>
  <c r="S1089" i="7" s="1"/>
  <c r="R361" i="4"/>
  <c r="R406" i="4"/>
  <c r="S406" i="4" s="1"/>
  <c r="R18" i="27"/>
  <c r="S18" i="27" s="1"/>
  <c r="R780" i="6"/>
  <c r="S780" i="6" s="1"/>
  <c r="R671" i="7"/>
  <c r="S671" i="7" s="1"/>
  <c r="R1563" i="6"/>
  <c r="S1563" i="6" s="1"/>
  <c r="R922" i="6"/>
  <c r="S922" i="6" s="1"/>
  <c r="R860" i="6"/>
  <c r="S860" i="6" s="1"/>
  <c r="R765" i="6"/>
  <c r="S765" i="6" s="1"/>
  <c r="R913" i="7"/>
  <c r="S913" i="7" s="1"/>
  <c r="R387" i="8"/>
  <c r="S387" i="8" s="1"/>
  <c r="R629" i="4"/>
  <c r="S629" i="4" s="1"/>
  <c r="R388" i="4"/>
  <c r="S388" i="4" s="1"/>
  <c r="R281" i="8"/>
  <c r="S281" i="8" s="1"/>
  <c r="R1125" i="6"/>
  <c r="S1125" i="6" s="1"/>
  <c r="R842" i="7"/>
  <c r="S842" i="7" s="1"/>
  <c r="R923" i="6"/>
  <c r="S923" i="6" s="1"/>
  <c r="N413" i="34"/>
  <c r="R928" i="7"/>
  <c r="S928" i="7" s="1"/>
  <c r="R407" i="5"/>
  <c r="S407" i="5" s="1"/>
  <c r="R397" i="8"/>
  <c r="S397" i="8" s="1"/>
  <c r="R915" i="6"/>
  <c r="S915" i="6" s="1"/>
  <c r="O44" i="8"/>
  <c r="AP8" i="42" s="1"/>
  <c r="M71" i="15" s="1"/>
  <c r="P177" i="8"/>
  <c r="R695" i="7"/>
  <c r="S695" i="7" s="1"/>
  <c r="R778" i="7"/>
  <c r="S778" i="7" s="1"/>
  <c r="R927" i="6"/>
  <c r="S927" i="6" s="1"/>
  <c r="R1936" i="6"/>
  <c r="S1936" i="6" s="1"/>
  <c r="R489" i="8"/>
  <c r="S489" i="8" s="1"/>
  <c r="R469" i="8"/>
  <c r="S469" i="8" s="1"/>
  <c r="R321" i="8"/>
  <c r="S321" i="8" s="1"/>
  <c r="R1398" i="6"/>
  <c r="S1398" i="6" s="1"/>
  <c r="R368" i="4"/>
  <c r="R625" i="7"/>
  <c r="S625" i="7" s="1"/>
  <c r="Q188" i="7"/>
  <c r="Q125" i="8"/>
  <c r="R459" i="8"/>
  <c r="R558" i="7"/>
  <c r="S558" i="7" s="1"/>
  <c r="R683" i="7"/>
  <c r="S683" i="7" s="1"/>
  <c r="Q229" i="7"/>
  <c r="R1911" i="6"/>
  <c r="S1911" i="6" s="1"/>
  <c r="R474" i="7"/>
  <c r="S474" i="7" s="1"/>
  <c r="R691" i="7"/>
  <c r="S691" i="7" s="1"/>
  <c r="R769" i="7"/>
  <c r="S769" i="7" s="1"/>
  <c r="R1685" i="6"/>
  <c r="S1685" i="6" s="1"/>
  <c r="R979" i="6"/>
  <c r="S979" i="6" s="1"/>
  <c r="R393" i="4"/>
  <c r="S393" i="4" s="1"/>
  <c r="P20" i="12"/>
  <c r="Q20" i="12" s="1"/>
  <c r="R486" i="7"/>
  <c r="S486" i="7" s="1"/>
  <c r="R423" i="8"/>
  <c r="S423" i="8" s="1"/>
  <c r="R520" i="4"/>
  <c r="S520" i="4" s="1"/>
  <c r="R456" i="4"/>
  <c r="S456" i="4" s="1"/>
  <c r="R251" i="8"/>
  <c r="S251" i="8" s="1"/>
  <c r="R270" i="8"/>
  <c r="S270" i="8" s="1"/>
  <c r="M288" i="3"/>
  <c r="O70" i="1"/>
  <c r="R398" i="8"/>
  <c r="S398" i="8" s="1"/>
  <c r="R325" i="8"/>
  <c r="S325" i="8" s="1"/>
  <c r="R540" i="4"/>
  <c r="S540" i="4" s="1"/>
  <c r="R405" i="8"/>
  <c r="S405" i="8" s="1"/>
  <c r="R971" i="7"/>
  <c r="S971" i="7" s="1"/>
  <c r="P58" i="34"/>
  <c r="Q58" i="34" s="1"/>
  <c r="R686" i="4"/>
  <c r="S686" i="4" s="1"/>
  <c r="R900" i="7"/>
  <c r="S900" i="7" s="1"/>
  <c r="R265" i="8"/>
  <c r="S265" i="8" s="1"/>
  <c r="R252" i="8"/>
  <c r="S252" i="8" s="1"/>
  <c r="R266" i="8"/>
  <c r="S266" i="8" s="1"/>
  <c r="R253" i="8"/>
  <c r="S253" i="8" s="1"/>
  <c r="R260" i="8"/>
  <c r="R373" i="4"/>
  <c r="R74" i="4" s="1"/>
  <c r="R995" i="6"/>
  <c r="S995" i="6" s="1"/>
  <c r="S210" i="6" s="1"/>
  <c r="P662" i="34"/>
  <c r="P663" i="34" s="1"/>
  <c r="R264" i="8"/>
  <c r="S264" i="8" s="1"/>
  <c r="R263" i="8"/>
  <c r="S263" i="8" s="1"/>
  <c r="R832" i="6"/>
  <c r="S832" i="6" s="1"/>
  <c r="R745" i="7"/>
  <c r="S745" i="7" s="1"/>
  <c r="R895" i="6"/>
  <c r="S895" i="6" s="1"/>
  <c r="R631" i="7"/>
  <c r="S631" i="7" s="1"/>
  <c r="R280" i="8"/>
  <c r="S280" i="8" s="1"/>
  <c r="R1805" i="6"/>
  <c r="S1805" i="6" s="1"/>
  <c r="R2022" i="6"/>
  <c r="S2022" i="6" s="1"/>
  <c r="R1872" i="6"/>
  <c r="S1872" i="6" s="1"/>
  <c r="R1091" i="6"/>
  <c r="S1091" i="6" s="1"/>
  <c r="R513" i="8"/>
  <c r="S513" i="8" s="1"/>
  <c r="R377" i="5"/>
  <c r="S377" i="5" s="1"/>
  <c r="R386" i="4"/>
  <c r="S386" i="4" s="1"/>
  <c r="W18" i="37"/>
  <c r="X18" i="37" s="1"/>
  <c r="W15" i="37"/>
  <c r="X15" i="37" s="1"/>
  <c r="R437" i="5"/>
  <c r="S437" i="5" s="1"/>
  <c r="Q402" i="8"/>
  <c r="P120" i="8"/>
  <c r="N86" i="17"/>
  <c r="W20" i="37"/>
  <c r="X20" i="37" s="1"/>
  <c r="R510" i="7"/>
  <c r="S510" i="7" s="1"/>
  <c r="R803" i="4"/>
  <c r="S803" i="4" s="1"/>
  <c r="R1455" i="6"/>
  <c r="S1455" i="6" s="1"/>
  <c r="R496" i="8"/>
  <c r="S496" i="8" s="1"/>
  <c r="R500" i="7"/>
  <c r="S500" i="7" s="1"/>
  <c r="R1252" i="6"/>
  <c r="S1252" i="6" s="1"/>
  <c r="R897" i="6"/>
  <c r="S897" i="6" s="1"/>
  <c r="R1121" i="6"/>
  <c r="S1121" i="6" s="1"/>
  <c r="R827" i="4"/>
  <c r="S827" i="4" s="1"/>
  <c r="R828" i="6"/>
  <c r="S828" i="6" s="1"/>
  <c r="P50" i="34"/>
  <c r="Q50" i="34" s="1"/>
  <c r="R690" i="4"/>
  <c r="S690" i="4" s="1"/>
  <c r="R901" i="7"/>
  <c r="S901" i="7" s="1"/>
  <c r="R735" i="4"/>
  <c r="S735" i="4" s="1"/>
  <c r="W72" i="37"/>
  <c r="X72" i="37" s="1"/>
  <c r="R1684" i="6"/>
  <c r="S1684" i="6" s="1"/>
  <c r="R1454" i="6"/>
  <c r="S1454" i="6" s="1"/>
  <c r="R767" i="7"/>
  <c r="S767" i="7" s="1"/>
  <c r="R1905" i="6"/>
  <c r="S1905" i="6" s="1"/>
  <c r="R1900" i="6"/>
  <c r="S1900" i="6" s="1"/>
  <c r="R209" i="8"/>
  <c r="S209" i="8" s="1"/>
  <c r="R757" i="7"/>
  <c r="S757" i="7" s="1"/>
  <c r="R439" i="4"/>
  <c r="S439" i="4" s="1"/>
  <c r="R366" i="4"/>
  <c r="R430" i="8"/>
  <c r="S430" i="8" s="1"/>
  <c r="R354" i="5"/>
  <c r="S354" i="5" s="1"/>
  <c r="R799" i="7"/>
  <c r="S799" i="7" s="1"/>
  <c r="R1687" i="6"/>
  <c r="S1687" i="6" s="1"/>
  <c r="R1341" i="6"/>
  <c r="S1341" i="6" s="1"/>
  <c r="R1818" i="6"/>
  <c r="S1818" i="6" s="1"/>
  <c r="R1545" i="6"/>
  <c r="S1545" i="6" s="1"/>
  <c r="R568" i="4"/>
  <c r="S568" i="4" s="1"/>
  <c r="R1079" i="7"/>
  <c r="S1079" i="7" s="1"/>
  <c r="R1414" i="6"/>
  <c r="S1414" i="6" s="1"/>
  <c r="R1088" i="7"/>
  <c r="S1088" i="7" s="1"/>
  <c r="R1692" i="6"/>
  <c r="S1692" i="6" s="1"/>
  <c r="R516" i="4"/>
  <c r="S516" i="4" s="1"/>
  <c r="R898" i="7"/>
  <c r="S898" i="7" s="1"/>
  <c r="R1191" i="6"/>
  <c r="S1191" i="6" s="1"/>
  <c r="R225" i="5"/>
  <c r="S225" i="5" s="1"/>
  <c r="R1423" i="6"/>
  <c r="S1423" i="6" s="1"/>
  <c r="Q127" i="1"/>
  <c r="R127" i="1" s="1"/>
  <c r="R1120" i="6"/>
  <c r="S1120" i="6" s="1"/>
  <c r="P638" i="34"/>
  <c r="Q638" i="34" s="1"/>
  <c r="P71" i="34"/>
  <c r="Q71" i="34" s="1"/>
  <c r="O27" i="17"/>
  <c r="O12" i="17" s="1"/>
  <c r="O296" i="15" s="1"/>
  <c r="O318" i="15" s="1"/>
  <c r="Q530" i="8"/>
  <c r="R523" i="8"/>
  <c r="S523" i="8" s="1"/>
  <c r="Q142" i="8"/>
  <c r="Q149" i="8" s="1"/>
  <c r="BG34" i="42" s="1"/>
  <c r="BG22" i="42"/>
  <c r="R474" i="8"/>
  <c r="S474" i="8" s="1"/>
  <c r="R1083" i="7"/>
  <c r="S1083" i="7" s="1"/>
  <c r="R491" i="4"/>
  <c r="S491" i="4" s="1"/>
  <c r="R814" i="4"/>
  <c r="S814" i="4" s="1"/>
  <c r="R405" i="4"/>
  <c r="S405" i="4" s="1"/>
  <c r="R1290" i="6"/>
  <c r="S1290" i="6" s="1"/>
  <c r="R1284" i="6"/>
  <c r="S1284" i="6" s="1"/>
  <c r="R1493" i="6"/>
  <c r="S1493" i="6" s="1"/>
  <c r="P56" i="34"/>
  <c r="Q56" i="34" s="1"/>
  <c r="R776" i="7"/>
  <c r="S776" i="7" s="1"/>
  <c r="R641" i="4"/>
  <c r="S641" i="4" s="1"/>
  <c r="P162" i="34"/>
  <c r="Q162" i="34" s="1"/>
  <c r="R387" i="4"/>
  <c r="S387" i="4" s="1"/>
  <c r="R842" i="6"/>
  <c r="S842" i="6" s="1"/>
  <c r="R1800" i="6"/>
  <c r="S1800" i="6" s="1"/>
  <c r="R771" i="7"/>
  <c r="S771" i="7" s="1"/>
  <c r="W75" i="37"/>
  <c r="X75" i="37" s="1"/>
  <c r="R516" i="8"/>
  <c r="S516" i="8" s="1"/>
  <c r="R1317" i="6"/>
  <c r="S1317" i="6" s="1"/>
  <c r="R174" i="8"/>
  <c r="Q182" i="8"/>
  <c r="Q46" i="8" s="1"/>
  <c r="R930" i="7"/>
  <c r="S930" i="7" s="1"/>
  <c r="R609" i="7"/>
  <c r="S609" i="7" s="1"/>
  <c r="R1551" i="6"/>
  <c r="S1551" i="6" s="1"/>
  <c r="R1690" i="6"/>
  <c r="S1690" i="6" s="1"/>
  <c r="R830" i="4"/>
  <c r="S830" i="4" s="1"/>
  <c r="R389" i="4"/>
  <c r="S389" i="4" s="1"/>
  <c r="R876" i="7"/>
  <c r="S876" i="7" s="1"/>
  <c r="Q339" i="7"/>
  <c r="R977" i="7"/>
  <c r="S977" i="7" s="1"/>
  <c r="R912" i="6"/>
  <c r="S912" i="6" s="1"/>
  <c r="R440" i="4"/>
  <c r="S440" i="4" s="1"/>
  <c r="P25" i="12"/>
  <c r="Q25" i="12" s="1"/>
  <c r="P41" i="55"/>
  <c r="P43" i="55" s="1"/>
  <c r="Q40" i="55" s="1"/>
  <c r="P112" i="34"/>
  <c r="Q112" i="34" s="1"/>
  <c r="R1289" i="6"/>
  <c r="S1289" i="6" s="1"/>
  <c r="P149" i="34"/>
  <c r="Q149" i="34" s="1"/>
  <c r="R1364" i="6"/>
  <c r="S1364" i="6" s="1"/>
  <c r="R528" i="4"/>
  <c r="S528" i="4" s="1"/>
  <c r="R1820" i="6"/>
  <c r="S1820" i="6" s="1"/>
  <c r="R1360" i="6"/>
  <c r="S1360" i="6" s="1"/>
  <c r="R1559" i="6"/>
  <c r="S1559" i="6" s="1"/>
  <c r="R609" i="4"/>
  <c r="S609" i="4" s="1"/>
  <c r="R451" i="7"/>
  <c r="S451" i="7" s="1"/>
  <c r="R982" i="7"/>
  <c r="S982" i="7" s="1"/>
  <c r="Q247" i="5"/>
  <c r="R1430" i="6"/>
  <c r="S1430" i="6" s="1"/>
  <c r="R1564" i="6"/>
  <c r="S1564" i="6" s="1"/>
  <c r="R468" i="8"/>
  <c r="S468" i="8" s="1"/>
  <c r="R451" i="4"/>
  <c r="S451" i="4" s="1"/>
  <c r="R1097" i="7"/>
  <c r="S1097" i="7" s="1"/>
  <c r="R902" i="7"/>
  <c r="S902" i="7" s="1"/>
  <c r="R1447" i="6"/>
  <c r="S1447" i="6" s="1"/>
  <c r="R984" i="7"/>
  <c r="S984" i="7" s="1"/>
  <c r="R305" i="5"/>
  <c r="S305" i="5" s="1"/>
  <c r="R851" i="6"/>
  <c r="S851" i="6" s="1"/>
  <c r="R986" i="7"/>
  <c r="S986" i="7" s="1"/>
  <c r="R904" i="6"/>
  <c r="S904" i="6" s="1"/>
  <c r="R210" i="8"/>
  <c r="S210" i="8" s="1"/>
  <c r="R564" i="7"/>
  <c r="S564" i="7" s="1"/>
  <c r="R1316" i="6"/>
  <c r="S1316" i="6" s="1"/>
  <c r="R810" i="4"/>
  <c r="S810" i="4" s="1"/>
  <c r="R483" i="4"/>
  <c r="S483" i="4" s="1"/>
  <c r="R517" i="4"/>
  <c r="S517" i="4" s="1"/>
  <c r="R425" i="8"/>
  <c r="S425" i="8" s="1"/>
  <c r="R1287" i="6"/>
  <c r="S1287" i="6" s="1"/>
  <c r="R498" i="8"/>
  <c r="S498" i="8" s="1"/>
  <c r="R856" i="6"/>
  <c r="S856" i="6" s="1"/>
  <c r="R770" i="7"/>
  <c r="S770" i="7" s="1"/>
  <c r="W70" i="37"/>
  <c r="X70" i="37" s="1"/>
  <c r="R905" i="6"/>
  <c r="S905" i="6" s="1"/>
  <c r="R420" i="8"/>
  <c r="S420" i="8" s="1"/>
  <c r="R1297" i="6"/>
  <c r="S1297" i="6" s="1"/>
  <c r="R434" i="5"/>
  <c r="S434" i="5" s="1"/>
  <c r="R1836" i="6"/>
  <c r="S1836" i="6" s="1"/>
  <c r="R1167" i="6"/>
  <c r="S1167" i="6" s="1"/>
  <c r="R1192" i="6"/>
  <c r="S1192" i="6" s="1"/>
  <c r="R1615" i="6"/>
  <c r="S1615" i="6" s="1"/>
  <c r="R1415" i="6"/>
  <c r="S1415" i="6" s="1"/>
  <c r="R480" i="7"/>
  <c r="S480" i="7" s="1"/>
  <c r="R473" i="8"/>
  <c r="S473" i="8" s="1"/>
  <c r="R1184" i="6"/>
  <c r="S1184" i="6" s="1"/>
  <c r="R894" i="7"/>
  <c r="S894" i="7" s="1"/>
  <c r="R511" i="4"/>
  <c r="R519" i="4"/>
  <c r="S519" i="4" s="1"/>
  <c r="R303" i="5"/>
  <c r="S303" i="5" s="1"/>
  <c r="R1296" i="6"/>
  <c r="S1296" i="6" s="1"/>
  <c r="R819" i="4"/>
  <c r="S819" i="4" s="1"/>
  <c r="R976" i="6"/>
  <c r="S976" i="6" s="1"/>
  <c r="R424" i="5"/>
  <c r="S424" i="5" s="1"/>
  <c r="R1134" i="6"/>
  <c r="S1134" i="6" s="1"/>
  <c r="R849" i="6"/>
  <c r="S849" i="6" s="1"/>
  <c r="R1315" i="6"/>
  <c r="S1315" i="6" s="1"/>
  <c r="R440" i="5"/>
  <c r="S440" i="5" s="1"/>
  <c r="R287" i="5"/>
  <c r="S287" i="5" s="1"/>
  <c r="R1322" i="6"/>
  <c r="S1322" i="6" s="1"/>
  <c r="R1451" i="6"/>
  <c r="S1451" i="6" s="1"/>
  <c r="R249" i="8"/>
  <c r="S249" i="8" s="1"/>
  <c r="R757" i="4"/>
  <c r="S757" i="4" s="1"/>
  <c r="R1557" i="6"/>
  <c r="S1557" i="6" s="1"/>
  <c r="R477" i="7"/>
  <c r="S477" i="7" s="1"/>
  <c r="N289" i="3"/>
  <c r="N299" i="3" s="1"/>
  <c r="P27" i="1"/>
  <c r="R636" i="4"/>
  <c r="S636" i="4" s="1"/>
  <c r="R820" i="4"/>
  <c r="S820" i="4" s="1"/>
  <c r="BO100" i="9"/>
  <c r="O100" i="9"/>
  <c r="R806" i="4"/>
  <c r="S806" i="4" s="1"/>
  <c r="R1445" i="6"/>
  <c r="S1445" i="6" s="1"/>
  <c r="R1338" i="6"/>
  <c r="S1338" i="6" s="1"/>
  <c r="R1410" i="6"/>
  <c r="S1410" i="6" s="1"/>
  <c r="R826" i="4"/>
  <c r="S826" i="4" s="1"/>
  <c r="R628" i="4"/>
  <c r="S628" i="4" s="1"/>
  <c r="R271" i="8"/>
  <c r="S271" i="8" s="1"/>
  <c r="P68" i="21"/>
  <c r="BI68" i="21"/>
  <c r="CQ68" i="21"/>
  <c r="P23" i="21"/>
  <c r="BI23" i="21"/>
  <c r="R752" i="4"/>
  <c r="S752" i="4" s="1"/>
  <c r="R467" i="8"/>
  <c r="S467" i="8" s="1"/>
  <c r="R632" i="7"/>
  <c r="S632" i="7" s="1"/>
  <c r="R352" i="5"/>
  <c r="R838" i="7"/>
  <c r="S838" i="7" s="1"/>
  <c r="R497" i="8"/>
  <c r="S497" i="8" s="1"/>
  <c r="R1611" i="6"/>
  <c r="S1611" i="6" s="1"/>
  <c r="R1320" i="6"/>
  <c r="S1320" i="6" s="1"/>
  <c r="P650" i="34"/>
  <c r="Q650" i="34" s="1"/>
  <c r="R351" i="4"/>
  <c r="S351" i="4" s="1"/>
  <c r="R355" i="4"/>
  <c r="S355" i="4" s="1"/>
  <c r="R908" i="7"/>
  <c r="S908" i="7" s="1"/>
  <c r="R750" i="4"/>
  <c r="S750" i="4" s="1"/>
  <c r="R925" i="7"/>
  <c r="R1314" i="6"/>
  <c r="S1314" i="6" s="1"/>
  <c r="R285" i="5"/>
  <c r="S285" i="5" s="1"/>
  <c r="R1074" i="7"/>
  <c r="S1074" i="7" s="1"/>
  <c r="R722" i="4"/>
  <c r="S722" i="4" s="1"/>
  <c r="R1321" i="6"/>
  <c r="S1321" i="6" s="1"/>
  <c r="R1624" i="6"/>
  <c r="S1624" i="6" s="1"/>
  <c r="R1724" i="6"/>
  <c r="S1724" i="6" s="1"/>
  <c r="K300" i="3"/>
  <c r="K291" i="3"/>
  <c r="R976" i="7"/>
  <c r="S976" i="7" s="1"/>
  <c r="R1886" i="6"/>
  <c r="S1886" i="6" s="1"/>
  <c r="R761" i="6"/>
  <c r="S761" i="6" s="1"/>
  <c r="R455" i="8"/>
  <c r="S455" i="8" s="1"/>
  <c r="R1909" i="6"/>
  <c r="S1909" i="6" s="1"/>
  <c r="R632" i="4"/>
  <c r="S632" i="4" s="1"/>
  <c r="R363" i="4"/>
  <c r="S363" i="4" s="1"/>
  <c r="R382" i="8"/>
  <c r="S382" i="8" s="1"/>
  <c r="R635" i="4"/>
  <c r="S635" i="4" s="1"/>
  <c r="R186" i="8"/>
  <c r="S186" i="8" s="1"/>
  <c r="R1826" i="6"/>
  <c r="S1826" i="6" s="1"/>
  <c r="R974" i="7"/>
  <c r="S974" i="7" s="1"/>
  <c r="R1126" i="6"/>
  <c r="S1126" i="6" s="1"/>
  <c r="R1251" i="6"/>
  <c r="S1251" i="6" s="1"/>
  <c r="W73" i="37"/>
  <c r="X73" i="37" s="1"/>
  <c r="R433" i="8"/>
  <c r="S433" i="8" s="1"/>
  <c r="R232" i="5"/>
  <c r="S232" i="5" s="1"/>
  <c r="R1753" i="6"/>
  <c r="S1753" i="6" s="1"/>
  <c r="R377" i="8"/>
  <c r="S377" i="8" s="1"/>
  <c r="R1433" i="6"/>
  <c r="S1433" i="6" s="1"/>
  <c r="R526" i="4"/>
  <c r="S526" i="4" s="1"/>
  <c r="P132" i="34"/>
  <c r="Q132" i="34" s="1"/>
  <c r="R334" i="4"/>
  <c r="S334" i="4" s="1"/>
  <c r="R207" i="8"/>
  <c r="S207" i="8" s="1"/>
  <c r="R1098" i="7"/>
  <c r="S1098" i="7" s="1"/>
  <c r="R1342" i="6"/>
  <c r="S1342" i="6" s="1"/>
  <c r="R877" i="7"/>
  <c r="S877" i="7" s="1"/>
  <c r="R818" i="4"/>
  <c r="S818" i="4" s="1"/>
  <c r="R1397" i="6"/>
  <c r="S1397" i="6" s="1"/>
  <c r="R833" i="6"/>
  <c r="S833" i="6" s="1"/>
  <c r="R620" i="4"/>
  <c r="S620" i="4" s="1"/>
  <c r="R758" i="6"/>
  <c r="S758" i="6" s="1"/>
  <c r="R302" i="5"/>
  <c r="S302" i="5" s="1"/>
  <c r="R1827" i="6"/>
  <c r="S1827" i="6" s="1"/>
  <c r="R1817" i="6"/>
  <c r="S1817" i="6" s="1"/>
  <c r="R788" i="4"/>
  <c r="R1899" i="6"/>
  <c r="S1899" i="6" s="1"/>
  <c r="R1494" i="6"/>
  <c r="S1494" i="6" s="1"/>
  <c r="R613" i="4"/>
  <c r="S613" i="4" s="1"/>
  <c r="R421" i="8"/>
  <c r="S421" i="8" s="1"/>
  <c r="R45" i="27"/>
  <c r="S45" i="27" s="1"/>
  <c r="R312" i="8"/>
  <c r="S312" i="8" s="1"/>
  <c r="R230" i="5"/>
  <c r="S230" i="5" s="1"/>
  <c r="R1355" i="6"/>
  <c r="S1355" i="6" s="1"/>
  <c r="R442" i="5"/>
  <c r="S442" i="5" s="1"/>
  <c r="R837" i="7"/>
  <c r="S837" i="7" s="1"/>
  <c r="R920" i="6"/>
  <c r="S920" i="6" s="1"/>
  <c r="R1319" i="6"/>
  <c r="S1319" i="6" s="1"/>
  <c r="R630" i="4"/>
  <c r="S630" i="4" s="1"/>
  <c r="R2019" i="6"/>
  <c r="S2019" i="6" s="1"/>
  <c r="R1881" i="6"/>
  <c r="S1881" i="6" s="1"/>
  <c r="R378" i="5"/>
  <c r="S378" i="5" s="1"/>
  <c r="R1409" i="6"/>
  <c r="S1409" i="6" s="1"/>
  <c r="R472" i="8"/>
  <c r="S472" i="8" s="1"/>
  <c r="R1951" i="6"/>
  <c r="S1951" i="6" s="1"/>
  <c r="R927" i="7"/>
  <c r="S927" i="7" s="1"/>
  <c r="R739" i="4"/>
  <c r="S739" i="4" s="1"/>
  <c r="R1066" i="7"/>
  <c r="S1066" i="7" s="1"/>
  <c r="R466" i="8"/>
  <c r="S466" i="8" s="1"/>
  <c r="R1429" i="6"/>
  <c r="S1429" i="6" s="1"/>
  <c r="R978" i="7"/>
  <c r="S978" i="7" s="1"/>
  <c r="R844" i="6"/>
  <c r="S844" i="6" s="1"/>
  <c r="R1104" i="6"/>
  <c r="S1104" i="6" s="1"/>
  <c r="P21" i="12"/>
  <c r="Q21" i="12" s="1"/>
  <c r="P67" i="34"/>
  <c r="Q67" i="34" s="1"/>
  <c r="Q25" i="34" s="1"/>
  <c r="O25" i="34"/>
  <c r="R566" i="7"/>
  <c r="S566" i="7" s="1"/>
  <c r="R252" i="5"/>
  <c r="S252" i="5" s="1"/>
  <c r="L298" i="3"/>
  <c r="L290" i="3"/>
  <c r="R1556" i="6"/>
  <c r="S1556" i="6" s="1"/>
  <c r="R749" i="4"/>
  <c r="S749" i="4" s="1"/>
  <c r="R1897" i="6"/>
  <c r="S1897" i="6" s="1"/>
  <c r="R643" i="4"/>
  <c r="S643" i="4" s="1"/>
  <c r="R1431" i="6"/>
  <c r="S1431" i="6" s="1"/>
  <c r="R1833" i="6"/>
  <c r="S1833" i="6" s="1"/>
  <c r="R239" i="8"/>
  <c r="S239" i="8" s="1"/>
  <c r="P131" i="34"/>
  <c r="Q131" i="34" s="1"/>
  <c r="Q805" i="4"/>
  <c r="Q290" i="4" s="1"/>
  <c r="R791" i="4"/>
  <c r="Q526" i="7"/>
  <c r="P103" i="7"/>
  <c r="Q191" i="7"/>
  <c r="R644" i="7"/>
  <c r="Q359" i="5"/>
  <c r="P129" i="5"/>
  <c r="P65" i="34"/>
  <c r="Q65" i="34" s="1"/>
  <c r="O23" i="34"/>
  <c r="P109" i="34"/>
  <c r="P444" i="34" s="1"/>
  <c r="P445" i="34" s="1"/>
  <c r="O62" i="12"/>
  <c r="P24" i="12"/>
  <c r="Q24" i="12" s="1"/>
  <c r="Q62" i="12" s="1"/>
  <c r="Q375" i="4"/>
  <c r="P75" i="4"/>
  <c r="R1830" i="6"/>
  <c r="S1830" i="6" s="1"/>
  <c r="R41" i="27"/>
  <c r="S41" i="27" s="1"/>
  <c r="R237" i="8"/>
  <c r="S237" i="8" s="1"/>
  <c r="Q131" i="1"/>
  <c r="R131" i="1" s="1"/>
  <c r="R639" i="4"/>
  <c r="S639" i="4" s="1"/>
  <c r="R12" i="27"/>
  <c r="S12" i="27" s="1"/>
  <c r="R727" i="4"/>
  <c r="S727" i="4" s="1"/>
  <c r="R1806" i="6"/>
  <c r="S1806" i="6" s="1"/>
  <c r="R1906" i="6"/>
  <c r="S1906" i="6" s="1"/>
  <c r="R1185" i="6"/>
  <c r="S1185" i="6" s="1"/>
  <c r="R1613" i="6"/>
  <c r="S1613" i="6" s="1"/>
  <c r="R970" i="7"/>
  <c r="S970" i="7" s="1"/>
  <c r="R34" i="27"/>
  <c r="S34" i="27" s="1"/>
  <c r="R845" i="7"/>
  <c r="S845" i="7" s="1"/>
  <c r="R435" i="8"/>
  <c r="S435" i="8" s="1"/>
  <c r="R347" i="5"/>
  <c r="S347" i="5" s="1"/>
  <c r="O286" i="3"/>
  <c r="Q58" i="1"/>
  <c r="P286" i="3" s="1"/>
  <c r="R1823" i="6"/>
  <c r="S1823" i="6" s="1"/>
  <c r="P23" i="12"/>
  <c r="Q23" i="12" s="1"/>
  <c r="R443" i="5"/>
  <c r="S443" i="5" s="1"/>
  <c r="R1822" i="6"/>
  <c r="S1822" i="6" s="1"/>
  <c r="R311" i="8"/>
  <c r="S311" i="8" s="1"/>
  <c r="S66" i="8" s="1"/>
  <c r="Q66" i="8"/>
  <c r="R465" i="8"/>
  <c r="S465" i="8" s="1"/>
  <c r="R854" i="6"/>
  <c r="S854" i="6" s="1"/>
  <c r="R1094" i="7"/>
  <c r="S1094" i="7" s="1"/>
  <c r="R1450" i="6"/>
  <c r="S1450" i="6" s="1"/>
  <c r="R395" i="4"/>
  <c r="S395" i="4" s="1"/>
  <c r="R1095" i="6"/>
  <c r="S1095" i="6" s="1"/>
  <c r="R699" i="7"/>
  <c r="S699" i="7" s="1"/>
  <c r="R911" i="6"/>
  <c r="S911" i="6" s="1"/>
  <c r="R1754" i="6"/>
  <c r="S1754" i="6" s="1"/>
  <c r="R1094" i="6"/>
  <c r="S1094" i="6" s="1"/>
  <c r="R1560" i="6"/>
  <c r="S1560" i="6" s="1"/>
  <c r="R1837" i="6"/>
  <c r="S1837" i="6" s="1"/>
  <c r="R360" i="4"/>
  <c r="R1116" i="6"/>
  <c r="S1116" i="6" s="1"/>
  <c r="R1096" i="7"/>
  <c r="S1096" i="7" s="1"/>
  <c r="R1181" i="6"/>
  <c r="S1181" i="6" s="1"/>
  <c r="R297" i="8"/>
  <c r="S297" i="8" s="1"/>
  <c r="Q63" i="8"/>
  <c r="R1544" i="6"/>
  <c r="S1544" i="6" s="1"/>
  <c r="R556" i="4"/>
  <c r="S556" i="4" s="1"/>
  <c r="R426" i="5"/>
  <c r="S426" i="5" s="1"/>
  <c r="R611" i="4"/>
  <c r="S611" i="4" s="1"/>
  <c r="R1435" i="6"/>
  <c r="S1435" i="6" s="1"/>
  <c r="R307" i="8"/>
  <c r="S307" i="8" s="1"/>
  <c r="R1053" i="7"/>
  <c r="S1053" i="7" s="1"/>
  <c r="R1310" i="6"/>
  <c r="S1310" i="6" s="1"/>
  <c r="O27" i="16"/>
  <c r="O12" i="16" s="1"/>
  <c r="O247" i="15" s="1"/>
  <c r="O269" i="15" s="1"/>
  <c r="Q337" i="8"/>
  <c r="Q79" i="8"/>
  <c r="R331" i="8"/>
  <c r="S331" i="8" s="1"/>
  <c r="R1880" i="6"/>
  <c r="S1880" i="6" s="1"/>
  <c r="R744" i="7"/>
  <c r="S744" i="7" s="1"/>
  <c r="R1171" i="6"/>
  <c r="S1171" i="6" s="1"/>
  <c r="R433" i="5"/>
  <c r="S433" i="5" s="1"/>
  <c r="R755" i="7"/>
  <c r="S755" i="7" s="1"/>
  <c r="R916" i="6"/>
  <c r="S916" i="6" s="1"/>
  <c r="R471" i="7"/>
  <c r="S471" i="7" s="1"/>
  <c r="R530" i="4"/>
  <c r="S530" i="4" s="1"/>
  <c r="R923" i="7"/>
  <c r="S923" i="7" s="1"/>
  <c r="O1080" i="6"/>
  <c r="O287" i="6" s="1"/>
  <c r="M97" i="12"/>
  <c r="AA7" i="10" s="1"/>
  <c r="AA39" i="10" s="1"/>
  <c r="R1809" i="6"/>
  <c r="S1809" i="6" s="1"/>
  <c r="R299" i="8"/>
  <c r="S299" i="8" s="1"/>
  <c r="R1565" i="6"/>
  <c r="S1565" i="6" s="1"/>
  <c r="R918" i="7"/>
  <c r="S918" i="7" s="1"/>
  <c r="R883" i="7"/>
  <c r="S883" i="7" s="1"/>
  <c r="R1424" i="6"/>
  <c r="S1424" i="6" s="1"/>
  <c r="Q403" i="8"/>
  <c r="N87" i="17"/>
  <c r="R1547" i="6"/>
  <c r="S1547" i="6" s="1"/>
  <c r="R370" i="5"/>
  <c r="S370" i="5" s="1"/>
  <c r="R303" i="8"/>
  <c r="S303" i="8" s="1"/>
  <c r="R455" i="4"/>
  <c r="S455" i="4" s="1"/>
  <c r="R439" i="8"/>
  <c r="S439" i="8" s="1"/>
  <c r="R627" i="4"/>
  <c r="S627" i="4" s="1"/>
  <c r="R500" i="8"/>
  <c r="S500" i="8" s="1"/>
  <c r="R983" i="7"/>
  <c r="S983" i="7" s="1"/>
  <c r="R501" i="8"/>
  <c r="S501" i="8" s="1"/>
  <c r="R733" i="7"/>
  <c r="S733" i="7" s="1"/>
  <c r="R1122" i="6"/>
  <c r="S1122" i="6" s="1"/>
  <c r="R417" i="8"/>
  <c r="S417" i="8" s="1"/>
  <c r="R1248" i="6"/>
  <c r="S1248" i="6" s="1"/>
  <c r="R396" i="4"/>
  <c r="S396" i="4" s="1"/>
  <c r="R537" i="4"/>
  <c r="S537" i="4" s="1"/>
  <c r="R274" i="8"/>
  <c r="S274" i="8" s="1"/>
  <c r="BI70" i="21"/>
  <c r="P70" i="21"/>
  <c r="R246" i="5"/>
  <c r="S246" i="5" s="1"/>
  <c r="R751" i="7"/>
  <c r="S751" i="7" s="1"/>
  <c r="R505" i="4"/>
  <c r="S505" i="4" s="1"/>
  <c r="R1910" i="6"/>
  <c r="S1910" i="6" s="1"/>
  <c r="W22" i="37"/>
  <c r="X22" i="37" s="1"/>
  <c r="R1868" i="6"/>
  <c r="S1868" i="6" s="1"/>
  <c r="R823" i="4"/>
  <c r="S823" i="4" s="1"/>
  <c r="R1554" i="6"/>
  <c r="S1554" i="6" s="1"/>
  <c r="R1087" i="7"/>
  <c r="S1087" i="7" s="1"/>
  <c r="R341" i="5"/>
  <c r="S341" i="5" s="1"/>
  <c r="R1408" i="6"/>
  <c r="S1408" i="6" s="1"/>
  <c r="R323" i="4"/>
  <c r="S323" i="4" s="1"/>
  <c r="R512" i="4"/>
  <c r="S512" i="4" s="1"/>
  <c r="R637" i="4"/>
  <c r="S637" i="4" s="1"/>
  <c r="R698" i="7"/>
  <c r="S698" i="7" s="1"/>
  <c r="R26" i="27"/>
  <c r="S26" i="27" s="1"/>
  <c r="R503" i="4"/>
  <c r="S503" i="4" s="1"/>
  <c r="R364" i="8"/>
  <c r="S364" i="8" s="1"/>
  <c r="R1325" i="6"/>
  <c r="S1325" i="6" s="1"/>
  <c r="R411" i="5"/>
  <c r="S411" i="5" s="1"/>
  <c r="R690" i="7"/>
  <c r="S690" i="7" s="1"/>
  <c r="R1667" i="6"/>
  <c r="S1667" i="6" s="1"/>
  <c r="R899" i="7"/>
  <c r="S899" i="7" s="1"/>
  <c r="R366" i="8"/>
  <c r="S366" i="8" s="1"/>
  <c r="Q257" i="5"/>
  <c r="P62" i="5"/>
  <c r="R470" i="4"/>
  <c r="S470" i="4" s="1"/>
  <c r="R1808" i="6"/>
  <c r="S1808" i="6" s="1"/>
  <c r="R304" i="5"/>
  <c r="S304" i="5" s="1"/>
  <c r="R473" i="4"/>
  <c r="S473" i="4" s="1"/>
  <c r="R1110" i="6"/>
  <c r="S1110" i="6" s="1"/>
  <c r="R1323" i="6"/>
  <c r="S1323" i="6" s="1"/>
  <c r="R1821" i="6"/>
  <c r="S1821" i="6" s="1"/>
  <c r="R1999" i="6"/>
  <c r="S1999" i="6" s="1"/>
  <c r="R1133" i="6"/>
  <c r="S1133" i="6" s="1"/>
  <c r="S325" i="6" s="1"/>
  <c r="R563" i="4"/>
  <c r="S563" i="4" s="1"/>
  <c r="R829" i="6"/>
  <c r="S829" i="6" s="1"/>
  <c r="R903" i="6"/>
  <c r="S903" i="6" s="1"/>
  <c r="R1195" i="6"/>
  <c r="S1195" i="6" s="1"/>
  <c r="R1838" i="6"/>
  <c r="S1838" i="6" s="1"/>
  <c r="R1496" i="6"/>
  <c r="S1496" i="6" s="1"/>
  <c r="R1456" i="6"/>
  <c r="S1456" i="6" s="1"/>
  <c r="R1561" i="6"/>
  <c r="S1561" i="6" s="1"/>
  <c r="R1625" i="6"/>
  <c r="S1625" i="6" s="1"/>
  <c r="R227" i="5"/>
  <c r="S227" i="5" s="1"/>
  <c r="R896" i="7"/>
  <c r="S896" i="7" s="1"/>
  <c r="R741" i="4"/>
  <c r="Q228" i="4"/>
  <c r="R787" i="4"/>
  <c r="S787" i="4" s="1"/>
  <c r="R488" i="7"/>
  <c r="S488" i="7" s="1"/>
  <c r="R684" i="7"/>
  <c r="R507" i="8"/>
  <c r="S507" i="8" s="1"/>
  <c r="R929" i="7"/>
  <c r="S929" i="7" s="1"/>
  <c r="R1102" i="6"/>
  <c r="S1102" i="6" s="1"/>
  <c r="R240" i="8"/>
  <c r="S240" i="8" s="1"/>
  <c r="R569" i="7"/>
  <c r="S569" i="7" s="1"/>
  <c r="R238" i="8"/>
  <c r="S238" i="8" s="1"/>
  <c r="R322" i="8"/>
  <c r="S322" i="8" s="1"/>
  <c r="R436" i="5"/>
  <c r="S436" i="5" s="1"/>
  <c r="R536" i="4"/>
  <c r="S536" i="4" s="1"/>
  <c r="R910" i="6"/>
  <c r="S910" i="6" s="1"/>
  <c r="R254" i="5"/>
  <c r="S254" i="5" s="1"/>
  <c r="R279" i="8"/>
  <c r="S279" i="8" s="1"/>
  <c r="R349" i="5"/>
  <c r="S349" i="5" s="1"/>
  <c r="R1890" i="6"/>
  <c r="S1890" i="6" s="1"/>
  <c r="R344" i="5"/>
  <c r="S344" i="5" s="1"/>
  <c r="R733" i="4"/>
  <c r="S733" i="4" s="1"/>
  <c r="W19" i="37"/>
  <c r="X19" i="37" s="1"/>
  <c r="P139" i="34"/>
  <c r="Q139" i="34" s="1"/>
  <c r="R484" i="7"/>
  <c r="S484" i="7" s="1"/>
  <c r="R1183" i="6"/>
  <c r="S1183" i="6" s="1"/>
  <c r="R409" i="5"/>
  <c r="S409" i="5" s="1"/>
  <c r="R42" i="27"/>
  <c r="S42" i="27" s="1"/>
  <c r="R297" i="5"/>
  <c r="S297" i="5" s="1"/>
  <c r="R1295" i="6"/>
  <c r="S1295" i="6" s="1"/>
  <c r="R831" i="6"/>
  <c r="S831" i="6" s="1"/>
  <c r="R674" i="7"/>
  <c r="S674" i="7" s="1"/>
  <c r="R697" i="7"/>
  <c r="S697" i="7" s="1"/>
  <c r="R737" i="4"/>
  <c r="S737" i="4" s="1"/>
  <c r="R852" i="6"/>
  <c r="S852" i="6" s="1"/>
  <c r="R511" i="7"/>
  <c r="S511" i="7" s="1"/>
  <c r="R294" i="5"/>
  <c r="S294" i="5" s="1"/>
  <c r="R975" i="7"/>
  <c r="S975" i="7" s="1"/>
  <c r="R1546" i="6"/>
  <c r="S1546" i="6" s="1"/>
  <c r="R17" i="27"/>
  <c r="S17" i="27" s="1"/>
  <c r="R283" i="8"/>
  <c r="S283" i="8" s="1"/>
  <c r="R821" i="6"/>
  <c r="S821" i="6" s="1"/>
  <c r="R1093" i="7"/>
  <c r="S1093" i="7" s="1"/>
  <c r="R1420" i="6"/>
  <c r="S1420" i="6" s="1"/>
  <c r="R191" i="8"/>
  <c r="S191" i="8" s="1"/>
  <c r="W16" i="37"/>
  <c r="X16" i="37" s="1"/>
  <c r="R1819" i="6"/>
  <c r="S1819" i="6" s="1"/>
  <c r="R234" i="8"/>
  <c r="S234" i="8" s="1"/>
  <c r="R1084" i="7"/>
  <c r="S1084" i="7" s="1"/>
  <c r="R1877" i="6"/>
  <c r="S1877" i="6" s="1"/>
  <c r="R418" i="8"/>
  <c r="S418" i="8" s="1"/>
  <c r="R1076" i="7"/>
  <c r="S1076" i="7" s="1"/>
  <c r="R493" i="8"/>
  <c r="Q130" i="8"/>
  <c r="R981" i="6"/>
  <c r="S981" i="6" s="1"/>
  <c r="R1566" i="6"/>
  <c r="S1566" i="6" s="1"/>
  <c r="R472" i="7"/>
  <c r="S472" i="7" s="1"/>
  <c r="R435" i="5"/>
  <c r="S435" i="5" s="1"/>
  <c r="R140" i="6"/>
  <c r="Q380" i="5"/>
  <c r="P145" i="5"/>
  <c r="P142" i="5"/>
  <c r="R1939" i="6"/>
  <c r="S1939" i="6" s="1"/>
  <c r="R404" i="8"/>
  <c r="S404" i="8" s="1"/>
  <c r="R756" i="7"/>
  <c r="S756" i="7" s="1"/>
  <c r="R438" i="4"/>
  <c r="Q107" i="4"/>
  <c r="Q160" i="4" s="1"/>
  <c r="R188" i="8"/>
  <c r="S188" i="8" s="1"/>
  <c r="R931" i="7"/>
  <c r="S931" i="7" s="1"/>
  <c r="P147" i="34"/>
  <c r="Q147" i="34" s="1"/>
  <c r="Q150" i="34" s="1"/>
  <c r="R924" i="6"/>
  <c r="S924" i="6" s="1"/>
  <c r="R1123" i="6"/>
  <c r="S1123" i="6" s="1"/>
  <c r="R514" i="4"/>
  <c r="S514" i="4" s="1"/>
  <c r="R533" i="4"/>
  <c r="S533" i="4" s="1"/>
  <c r="R812" i="4"/>
  <c r="S812" i="4" s="1"/>
  <c r="R694" i="7"/>
  <c r="S694" i="7" s="1"/>
  <c r="R917" i="7"/>
  <c r="S917" i="7" s="1"/>
  <c r="R453" i="8"/>
  <c r="S453" i="8" s="1"/>
  <c r="R434" i="8"/>
  <c r="S434" i="8" s="1"/>
  <c r="R509" i="7"/>
  <c r="S509" i="7" s="1"/>
  <c r="R1071" i="7"/>
  <c r="S1071" i="7" s="1"/>
  <c r="R1497" i="6"/>
  <c r="S1497" i="6" s="1"/>
  <c r="R1804" i="6"/>
  <c r="S1804" i="6" s="1"/>
  <c r="R522" i="4"/>
  <c r="S522" i="4" s="1"/>
  <c r="W21" i="37"/>
  <c r="X21" i="37" s="1"/>
  <c r="R1807" i="6"/>
  <c r="S1807" i="6" s="1"/>
  <c r="R190" i="8"/>
  <c r="S190" i="8" s="1"/>
  <c r="R633" i="7"/>
  <c r="S633" i="7" s="1"/>
  <c r="R518" i="4"/>
  <c r="S518" i="4" s="1"/>
  <c r="R28" i="27"/>
  <c r="S28" i="27" s="1"/>
  <c r="R893" i="6"/>
  <c r="S893" i="6" s="1"/>
  <c r="R1912" i="6"/>
  <c r="S1912" i="6" s="1"/>
  <c r="R296" i="5"/>
  <c r="S296" i="5" s="1"/>
  <c r="R478" i="7"/>
  <c r="S478" i="7" s="1"/>
  <c r="R506" i="8"/>
  <c r="S506" i="8" s="1"/>
  <c r="R1882" i="6"/>
  <c r="S1882" i="6" s="1"/>
  <c r="R1352" i="6"/>
  <c r="S1352" i="6" s="1"/>
  <c r="R1075" i="7"/>
  <c r="S1075" i="7" s="1"/>
  <c r="R912" i="7"/>
  <c r="S912" i="7" s="1"/>
  <c r="R1825" i="6"/>
  <c r="S1825" i="6" s="1"/>
  <c r="R374" i="4"/>
  <c r="S374" i="4" s="1"/>
  <c r="W14" i="37"/>
  <c r="X14" i="37" s="1"/>
  <c r="P49" i="34"/>
  <c r="Q49" i="34" s="1"/>
  <c r="R1885" i="6"/>
  <c r="S1885" i="6" s="1"/>
  <c r="R452" i="8"/>
  <c r="S452" i="8" s="1"/>
  <c r="R392" i="4"/>
  <c r="S392" i="4" s="1"/>
  <c r="R391" i="4"/>
  <c r="S391" i="4" s="1"/>
  <c r="R986" i="6"/>
  <c r="S986" i="6" s="1"/>
  <c r="R217" i="8"/>
  <c r="S217" i="8" s="1"/>
  <c r="R301" i="8"/>
  <c r="S301" i="8" s="1"/>
  <c r="R482" i="4"/>
  <c r="S482" i="4" s="1"/>
  <c r="R792" i="7"/>
  <c r="S792" i="7" s="1"/>
  <c r="R505" i="8"/>
  <c r="S505" i="8" s="1"/>
  <c r="R333" i="4"/>
  <c r="S333" i="4" s="1"/>
  <c r="R980" i="7"/>
  <c r="S980" i="7" s="1"/>
  <c r="R916" i="7"/>
  <c r="S916" i="7" s="1"/>
  <c r="R1070" i="7"/>
  <c r="S1070" i="7" s="1"/>
  <c r="R220" i="5"/>
  <c r="S220" i="5" s="1"/>
  <c r="R565" i="4"/>
  <c r="S565" i="4" s="1"/>
  <c r="R290" i="5"/>
  <c r="S290" i="5" s="1"/>
  <c r="R889" i="6"/>
  <c r="S889" i="6" s="1"/>
  <c r="P133" i="34"/>
  <c r="Q133" i="34" s="1"/>
  <c r="R1902" i="6"/>
  <c r="S1902" i="6" s="1"/>
  <c r="R989" i="6"/>
  <c r="S989" i="6" s="1"/>
  <c r="R233" i="8"/>
  <c r="S233" i="8" s="1"/>
  <c r="R791" i="7"/>
  <c r="S791" i="7" s="1"/>
  <c r="R1305" i="6"/>
  <c r="S1305" i="6" s="1"/>
  <c r="BL139" i="9"/>
  <c r="BL143" i="9" s="1"/>
  <c r="N139" i="9"/>
  <c r="N63" i="12"/>
  <c r="R1620" i="6"/>
  <c r="S1620" i="6" s="1"/>
  <c r="R1630" i="6"/>
  <c r="S1630" i="6" s="1"/>
  <c r="R367" i="8"/>
  <c r="S367" i="8" s="1"/>
  <c r="R631" i="4"/>
  <c r="S631" i="4" s="1"/>
  <c r="P48" i="34"/>
  <c r="Q48" i="34" s="1"/>
  <c r="R1448" i="6"/>
  <c r="S1448" i="6" s="1"/>
  <c r="R1555" i="6"/>
  <c r="S1555" i="6" s="1"/>
  <c r="R278" i="8"/>
  <c r="S278" i="8" s="1"/>
  <c r="R1436" i="6"/>
  <c r="S1436" i="6" s="1"/>
  <c r="R236" i="8"/>
  <c r="S236" i="8" s="1"/>
  <c r="R1683" i="6"/>
  <c r="S1683" i="6" s="1"/>
  <c r="R915" i="7"/>
  <c r="S915" i="7" s="1"/>
  <c r="R794" i="4"/>
  <c r="S794" i="4" s="1"/>
  <c r="R515" i="8"/>
  <c r="S515" i="8" s="1"/>
  <c r="R428" i="5"/>
  <c r="S428" i="5" s="1"/>
  <c r="R1602" i="6"/>
  <c r="S1602" i="6" s="1"/>
  <c r="R1254" i="6"/>
  <c r="S1254" i="6" s="1"/>
  <c r="R571" i="7"/>
  <c r="S571" i="7" s="1"/>
  <c r="R755" i="6"/>
  <c r="S755" i="6" s="1"/>
  <c r="R743" i="7"/>
  <c r="S743" i="7" s="1"/>
  <c r="P210" i="9"/>
  <c r="BS210" i="9"/>
  <c r="BT210" i="9" s="1"/>
  <c r="AG253" i="10"/>
  <c r="R1425" i="6"/>
  <c r="S1425" i="6" s="1"/>
  <c r="R1049" i="7"/>
  <c r="S1049" i="7" s="1"/>
  <c r="O751" i="34"/>
  <c r="P747" i="34"/>
  <c r="Q747" i="34" s="1"/>
  <c r="Q751" i="34" s="1"/>
  <c r="R509" i="8"/>
  <c r="S509" i="8" s="1"/>
  <c r="R424" i="8"/>
  <c r="S424" i="8" s="1"/>
  <c r="N296" i="3"/>
  <c r="R623" i="4"/>
  <c r="S623" i="4" s="1"/>
  <c r="R1082" i="7"/>
  <c r="S1082" i="7" s="1"/>
  <c r="R734" i="4"/>
  <c r="S734" i="4" s="1"/>
  <c r="R1562" i="6"/>
  <c r="S1562" i="6" s="1"/>
  <c r="R1396" i="6"/>
  <c r="S1396" i="6" s="1"/>
  <c r="R907" i="7"/>
  <c r="S907" i="7" s="1"/>
  <c r="R40" i="27"/>
  <c r="S40" i="27" s="1"/>
  <c r="R973" i="7"/>
  <c r="S973" i="7" s="1"/>
  <c r="R245" i="8"/>
  <c r="S245" i="8" s="1"/>
  <c r="R376" i="8"/>
  <c r="S376" i="8" s="1"/>
  <c r="R841" i="6"/>
  <c r="S841" i="6" s="1"/>
  <c r="R899" i="6"/>
  <c r="S899" i="6" s="1"/>
  <c r="R474" i="4"/>
  <c r="S474" i="4" s="1"/>
  <c r="R816" i="4"/>
  <c r="S816" i="4" s="1"/>
  <c r="R751" i="4"/>
  <c r="S751" i="4" s="1"/>
  <c r="R1428" i="6"/>
  <c r="S1428" i="6" s="1"/>
  <c r="R781" i="6"/>
  <c r="S781" i="6" s="1"/>
  <c r="R773" i="7"/>
  <c r="S773" i="7" s="1"/>
  <c r="R401" i="4"/>
  <c r="S401" i="4" s="1"/>
  <c r="R494" i="4"/>
  <c r="S494" i="4" s="1"/>
  <c r="R1862" i="6"/>
  <c r="S1862" i="6" s="1"/>
  <c r="R749" i="7"/>
  <c r="S749" i="7" s="1"/>
  <c r="R624" i="4"/>
  <c r="S624" i="4" s="1"/>
  <c r="R229" i="5"/>
  <c r="S229" i="5" s="1"/>
  <c r="R920" i="7"/>
  <c r="S920" i="7" s="1"/>
  <c r="R1395" i="6"/>
  <c r="S1395" i="6" s="1"/>
  <c r="R497" i="4"/>
  <c r="S497" i="4" s="1"/>
  <c r="R633" i="4"/>
  <c r="S633" i="4" s="1"/>
  <c r="R645" i="4"/>
  <c r="R878" i="7"/>
  <c r="S878" i="7" s="1"/>
  <c r="AQ22" i="42"/>
  <c r="P21" i="8"/>
  <c r="P85" i="8"/>
  <c r="R793" i="6"/>
  <c r="S793" i="6" s="1"/>
  <c r="R415" i="5"/>
  <c r="S415" i="5" s="1"/>
  <c r="R1340" i="6"/>
  <c r="S1340" i="6" s="1"/>
  <c r="R443" i="4"/>
  <c r="S443" i="4" s="1"/>
  <c r="R422" i="8"/>
  <c r="S422" i="8" s="1"/>
  <c r="R777" i="7"/>
  <c r="S777" i="7" s="1"/>
  <c r="R464" i="7"/>
  <c r="S464" i="7" s="1"/>
  <c r="Q88" i="7"/>
  <c r="R507" i="7"/>
  <c r="S507" i="7" s="1"/>
  <c r="R1182" i="6"/>
  <c r="S1182" i="6" s="1"/>
  <c r="R431" i="5"/>
  <c r="S431" i="5" s="1"/>
  <c r="R972" i="7"/>
  <c r="S972" i="7" s="1"/>
  <c r="R981" i="7"/>
  <c r="S981" i="7" s="1"/>
  <c r="R503" i="7"/>
  <c r="S503" i="7" s="1"/>
  <c r="R1553" i="6"/>
  <c r="S1553" i="6" s="1"/>
  <c r="R1453" i="6"/>
  <c r="S1453" i="6" s="1"/>
  <c r="R475" i="8"/>
  <c r="S475" i="8" s="1"/>
  <c r="R30" i="27"/>
  <c r="S30" i="27" s="1"/>
  <c r="R564" i="4"/>
  <c r="S564" i="4" s="1"/>
  <c r="R857" i="6"/>
  <c r="S857" i="6" s="1"/>
  <c r="R802" i="7"/>
  <c r="S802" i="7" s="1"/>
  <c r="R394" i="4"/>
  <c r="S394" i="4" s="1"/>
  <c r="R672" i="7"/>
  <c r="S672" i="7" s="1"/>
  <c r="R1050" i="7"/>
  <c r="S1050" i="7" s="1"/>
  <c r="R748" i="4"/>
  <c r="S748" i="4" s="1"/>
  <c r="R273" i="8"/>
  <c r="S273" i="8" s="1"/>
  <c r="R291" i="5"/>
  <c r="S291" i="5" s="1"/>
  <c r="R1829" i="6"/>
  <c r="S1829" i="6" s="1"/>
  <c r="R490" i="8"/>
  <c r="S490" i="8" s="1"/>
  <c r="R608" i="4"/>
  <c r="S608" i="4" s="1"/>
  <c r="P155" i="34"/>
  <c r="Q155" i="34" s="1"/>
  <c r="R1313" i="6"/>
  <c r="S1313" i="6" s="1"/>
  <c r="R328" i="4"/>
  <c r="S328" i="4" s="1"/>
  <c r="BI9" i="21"/>
  <c r="P9" i="21"/>
  <c r="R25" i="27"/>
  <c r="S25" i="27" s="1"/>
  <c r="R365" i="8"/>
  <c r="S365" i="8" s="1"/>
  <c r="R29" i="27"/>
  <c r="S29" i="27" s="1"/>
  <c r="R437" i="4"/>
  <c r="S437" i="4" s="1"/>
  <c r="R408" i="5"/>
  <c r="S408" i="5" s="1"/>
  <c r="R498" i="4"/>
  <c r="S498" i="4" s="1"/>
  <c r="R1324" i="6"/>
  <c r="S1324" i="6" s="1"/>
  <c r="R501" i="7"/>
  <c r="R1318" i="6"/>
  <c r="S1318" i="6" s="1"/>
  <c r="R640" i="4"/>
  <c r="S640" i="4" s="1"/>
  <c r="R922" i="7"/>
  <c r="S922" i="7" s="1"/>
  <c r="R222" i="5"/>
  <c r="S222" i="5" s="1"/>
  <c r="R430" i="5"/>
  <c r="S430" i="5" s="1"/>
  <c r="R619" i="4"/>
  <c r="S619" i="4" s="1"/>
  <c r="R1250" i="6"/>
  <c r="S1250" i="6" s="1"/>
  <c r="R501" i="4"/>
  <c r="S501" i="4" s="1"/>
  <c r="R756" i="6"/>
  <c r="S756" i="6" s="1"/>
  <c r="R925" i="6"/>
  <c r="S925" i="6" s="1"/>
  <c r="R630" i="7"/>
  <c r="S630" i="7" s="1"/>
  <c r="R312" i="5"/>
  <c r="S312" i="5" s="1"/>
  <c r="R512" i="8"/>
  <c r="S512" i="8" s="1"/>
  <c r="R827" i="6"/>
  <c r="R757" i="6"/>
  <c r="S757" i="6" s="1"/>
  <c r="R27" i="27"/>
  <c r="S27" i="27" s="1"/>
  <c r="R1943" i="6"/>
  <c r="S1943" i="6" s="1"/>
  <c r="R538" i="4"/>
  <c r="S538" i="4" s="1"/>
  <c r="R1190" i="6"/>
  <c r="S1190" i="6" s="1"/>
  <c r="R305" i="8"/>
  <c r="S305" i="8" s="1"/>
  <c r="R765" i="7"/>
  <c r="S765" i="7" s="1"/>
  <c r="R179" i="8"/>
  <c r="S179" i="8" s="1"/>
  <c r="R1114" i="6"/>
  <c r="S1114" i="6" s="1"/>
  <c r="R345" i="5"/>
  <c r="S345" i="5" s="1"/>
  <c r="R327" i="8"/>
  <c r="S327" i="8" s="1"/>
  <c r="R962" i="7"/>
  <c r="S962" i="7" s="1"/>
  <c r="R499" i="4"/>
  <c r="S499" i="4" s="1"/>
  <c r="R419" i="8"/>
  <c r="S419" i="8" s="1"/>
  <c r="R216" i="8"/>
  <c r="S216" i="8" s="1"/>
  <c r="R480" i="4"/>
  <c r="S480" i="4" s="1"/>
  <c r="R644" i="4"/>
  <c r="S644" i="4" s="1"/>
  <c r="R1086" i="7"/>
  <c r="S1086" i="7" s="1"/>
  <c r="R990" i="6"/>
  <c r="S990" i="6" s="1"/>
  <c r="R39" i="27"/>
  <c r="S39" i="27" s="1"/>
  <c r="R385" i="4"/>
  <c r="S385" i="4" s="1"/>
  <c r="R793" i="4"/>
  <c r="S793" i="4" s="1"/>
  <c r="R1099" i="7"/>
  <c r="S1099" i="7" s="1"/>
  <c r="R701" i="7"/>
  <c r="S701" i="7" s="1"/>
  <c r="R456" i="8"/>
  <c r="S456" i="8" s="1"/>
  <c r="R1901" i="6"/>
  <c r="S1901" i="6" s="1"/>
  <c r="R31" i="27"/>
  <c r="S31" i="27" s="1"/>
  <c r="N606" i="34"/>
  <c r="M582" i="34"/>
  <c r="R211" i="8"/>
  <c r="S211" i="8" s="1"/>
  <c r="R187" i="8"/>
  <c r="S187" i="8" s="1"/>
  <c r="R251" i="5"/>
  <c r="S251" i="5" s="1"/>
  <c r="R726" i="4"/>
  <c r="Q220" i="4"/>
  <c r="W63" i="37"/>
  <c r="W65" i="37" s="1"/>
  <c r="X63" i="37" s="1"/>
  <c r="X65" i="37" s="1"/>
  <c r="R626" i="7"/>
  <c r="S626" i="7" s="1"/>
  <c r="R299" i="5"/>
  <c r="S299" i="5" s="1"/>
  <c r="R472" i="4"/>
  <c r="S472" i="4" s="1"/>
  <c r="R464" i="8"/>
  <c r="S464" i="8" s="1"/>
  <c r="S127" i="8" s="1"/>
  <c r="Q127" i="8"/>
  <c r="R399" i="8"/>
  <c r="S399" i="8" s="1"/>
  <c r="S118" i="8" s="1"/>
  <c r="R621" i="4"/>
  <c r="S621" i="4" s="1"/>
  <c r="R790" i="7"/>
  <c r="S790" i="7" s="1"/>
  <c r="Q128" i="1"/>
  <c r="R1859" i="6"/>
  <c r="S1859" i="6" s="1"/>
  <c r="R1680" i="6"/>
  <c r="S1680" i="6" s="1"/>
  <c r="R775" i="6"/>
  <c r="S775" i="6" s="1"/>
  <c r="R441" i="5"/>
  <c r="S441" i="5" s="1"/>
  <c r="R495" i="4"/>
  <c r="S495" i="4" s="1"/>
  <c r="R295" i="5"/>
  <c r="S295" i="5" s="1"/>
  <c r="R1618" i="6"/>
  <c r="S1618" i="6" s="1"/>
  <c r="R813" i="4"/>
  <c r="S813" i="4" s="1"/>
  <c r="R284" i="8"/>
  <c r="S284" i="8" s="1"/>
  <c r="R795" i="4"/>
  <c r="S795" i="4" s="1"/>
  <c r="R1867" i="6"/>
  <c r="S1867" i="6" s="1"/>
  <c r="R625" i="4"/>
  <c r="S625" i="4" s="1"/>
  <c r="BO182" i="9"/>
  <c r="O182" i="9"/>
  <c r="R539" i="4"/>
  <c r="S539" i="4" s="1"/>
  <c r="R476" i="4"/>
  <c r="S476" i="4" s="1"/>
  <c r="R534" i="4"/>
  <c r="S534" i="4" s="1"/>
  <c r="R1938" i="6"/>
  <c r="S1938" i="6" s="1"/>
  <c r="R1832" i="6"/>
  <c r="S1832" i="6" s="1"/>
  <c r="R1898" i="6"/>
  <c r="S1898" i="6" s="1"/>
  <c r="R319" i="8"/>
  <c r="S319" i="8" s="1"/>
  <c r="R753" i="4"/>
  <c r="S753" i="4" s="1"/>
  <c r="R1726" i="6"/>
  <c r="S1726" i="6" s="1"/>
  <c r="R493" i="4"/>
  <c r="S493" i="4" s="1"/>
  <c r="Q129" i="1"/>
  <c r="R129" i="1" s="1"/>
  <c r="R295" i="8"/>
  <c r="S295" i="8" s="1"/>
  <c r="R822" i="4"/>
  <c r="S822" i="4" s="1"/>
  <c r="R369" i="5"/>
  <c r="S369" i="5" s="1"/>
  <c r="R267" i="8"/>
  <c r="R848" i="6"/>
  <c r="S848" i="6" s="1"/>
  <c r="R1115" i="6"/>
  <c r="S1115" i="6" s="1"/>
  <c r="R481" i="4"/>
  <c r="S481" i="4" s="1"/>
  <c r="R1357" i="6"/>
  <c r="S1357" i="6" s="1"/>
  <c r="R1835" i="6"/>
  <c r="S1835" i="6" s="1"/>
  <c r="R1824" i="6"/>
  <c r="S1824" i="6" s="1"/>
  <c r="R629" i="7"/>
  <c r="S629" i="7" s="1"/>
  <c r="Q602" i="4"/>
  <c r="Q603" i="4"/>
  <c r="Q604" i="4"/>
  <c r="E234" i="42"/>
  <c r="G291" i="34"/>
  <c r="G354" i="34" s="1"/>
  <c r="G524" i="34" s="1"/>
  <c r="M249" i="48"/>
  <c r="M254" i="48" s="1"/>
  <c r="F249" i="48"/>
  <c r="H47" i="11"/>
  <c r="S256" i="48"/>
  <c r="AR21" i="42"/>
  <c r="O85" i="15" s="1"/>
  <c r="J32" i="5"/>
  <c r="J43" i="5" s="1"/>
  <c r="O66" i="5"/>
  <c r="O477" i="5" s="1"/>
  <c r="O4" i="12"/>
  <c r="R338" i="4" s="1"/>
  <c r="O307" i="45"/>
  <c r="K267" i="6"/>
  <c r="K274" i="6" s="1"/>
  <c r="K276" i="6" s="1"/>
  <c r="O62" i="14"/>
  <c r="O63" i="14" s="1"/>
  <c r="J1115" i="7" s="1"/>
  <c r="J430" i="7" s="1"/>
  <c r="J48" i="7" s="1"/>
  <c r="H21" i="3" s="1"/>
  <c r="I149" i="14"/>
  <c r="L210" i="14"/>
  <c r="K115" i="14"/>
  <c r="K190" i="14"/>
  <c r="L85" i="14" s="1"/>
  <c r="K114" i="14"/>
  <c r="T49" i="14" s="1"/>
  <c r="T51" i="14" s="1"/>
  <c r="L1063" i="6" s="1"/>
  <c r="K113" i="14"/>
  <c r="S49" i="14" s="1"/>
  <c r="P11" i="37"/>
  <c r="Q51" i="14"/>
  <c r="K1078" i="6" s="1"/>
  <c r="K285" i="6" s="1"/>
  <c r="K61" i="6" s="1"/>
  <c r="I23" i="3" s="1"/>
  <c r="H488" i="5"/>
  <c r="I488" i="5" s="1"/>
  <c r="C209" i="42"/>
  <c r="D209" i="42" s="1"/>
  <c r="U3" i="37"/>
  <c r="U109" i="37" s="1"/>
  <c r="T108" i="37"/>
  <c r="T110" i="37" s="1"/>
  <c r="T4" i="37"/>
  <c r="U2" i="37" s="1"/>
  <c r="M81" i="37"/>
  <c r="M84" i="37" s="1"/>
  <c r="L98" i="37"/>
  <c r="L100" i="37" s="1"/>
  <c r="C181" i="3" s="1"/>
  <c r="Q559" i="4"/>
  <c r="Q126" i="4" s="1"/>
  <c r="D27" i="13"/>
  <c r="D45" i="13" s="1"/>
  <c r="D46" i="13" s="1"/>
  <c r="D52" i="13" s="1"/>
  <c r="D59" i="13" s="1"/>
  <c r="N10" i="5"/>
  <c r="P434" i="6"/>
  <c r="N578" i="6"/>
  <c r="N15" i="6" s="1"/>
  <c r="N47" i="6" s="1"/>
  <c r="C122" i="3"/>
  <c r="D2066" i="6"/>
  <c r="D2088" i="6" s="1"/>
  <c r="D2094" i="6" s="1"/>
  <c r="R1052" i="6"/>
  <c r="S1052" i="6" s="1"/>
  <c r="S264" i="6" s="1"/>
  <c r="E689" i="6"/>
  <c r="D15" i="3"/>
  <c r="I617" i="6"/>
  <c r="D37" i="3"/>
  <c r="D49" i="3"/>
  <c r="D50" i="3" s="1"/>
  <c r="D54" i="3"/>
  <c r="D267" i="48"/>
  <c r="S167" i="48"/>
  <c r="D120" i="3"/>
  <c r="AO54" i="42"/>
  <c r="F151" i="15"/>
  <c r="G151" i="15" s="1"/>
  <c r="G206" i="15"/>
  <c r="E246" i="42"/>
  <c r="F163" i="15"/>
  <c r="G163" i="15" s="1"/>
  <c r="E237" i="42"/>
  <c r="Q58" i="8"/>
  <c r="R58" i="8"/>
  <c r="R277" i="8"/>
  <c r="S277" i="8" s="1"/>
  <c r="S61" i="8" s="1"/>
  <c r="Q61" i="8"/>
  <c r="R294" i="8"/>
  <c r="S294" i="8" s="1"/>
  <c r="S62" i="8" s="1"/>
  <c r="Q62" i="8"/>
  <c r="D143" i="15"/>
  <c r="G143" i="15" s="1"/>
  <c r="F784" i="34"/>
  <c r="F785" i="34" s="1"/>
  <c r="C399" i="34"/>
  <c r="C193" i="34" s="1"/>
  <c r="C194" i="34" s="1"/>
  <c r="K99" i="34"/>
  <c r="K101" i="34" s="1"/>
  <c r="C276" i="15"/>
  <c r="C83" i="16"/>
  <c r="C85" i="16" s="1"/>
  <c r="C51" i="16"/>
  <c r="C87" i="15"/>
  <c r="C248" i="15"/>
  <c r="AH36" i="42"/>
  <c r="AH56" i="42" s="1"/>
  <c r="D88" i="42"/>
  <c r="B83" i="16"/>
  <c r="B85" i="16" s="1"/>
  <c r="B51" i="16"/>
  <c r="C88" i="42"/>
  <c r="AG36" i="42"/>
  <c r="E399" i="34"/>
  <c r="E193" i="34" s="1"/>
  <c r="R444" i="8"/>
  <c r="Q123" i="8"/>
  <c r="R328" i="8"/>
  <c r="S328" i="8" s="1"/>
  <c r="Q69" i="8"/>
  <c r="Q67" i="8"/>
  <c r="R314" i="8"/>
  <c r="O744" i="34"/>
  <c r="AQ45" i="42"/>
  <c r="N256" i="15"/>
  <c r="R218" i="8"/>
  <c r="S218" i="8" s="1"/>
  <c r="Q87" i="16" s="1"/>
  <c r="Q90" i="16" s="1"/>
  <c r="Q34" i="16" s="1"/>
  <c r="O87" i="16"/>
  <c r="O90" i="16" s="1"/>
  <c r="O34" i="16" s="1"/>
  <c r="Q57" i="8"/>
  <c r="L45" i="42"/>
  <c r="AP47" i="42"/>
  <c r="C118" i="15"/>
  <c r="C120" i="15" s="1"/>
  <c r="C297" i="15"/>
  <c r="M211" i="14"/>
  <c r="L191" i="14"/>
  <c r="M86" i="14" s="1"/>
  <c r="L120" i="14"/>
  <c r="M90" i="34"/>
  <c r="L7" i="34"/>
  <c r="L407" i="34"/>
  <c r="M91" i="34"/>
  <c r="L8" i="34"/>
  <c r="M98" i="34"/>
  <c r="L15" i="34"/>
  <c r="D224" i="15"/>
  <c r="J695" i="34"/>
  <c r="J204" i="34" s="1"/>
  <c r="J205" i="34" s="1"/>
  <c r="C127" i="3"/>
  <c r="D563" i="8"/>
  <c r="M160" i="48"/>
  <c r="M165" i="48" s="1"/>
  <c r="D43" i="5"/>
  <c r="D484" i="5"/>
  <c r="C200" i="42"/>
  <c r="D200" i="42" s="1"/>
  <c r="T58" i="42"/>
  <c r="D147" i="3"/>
  <c r="AB41" i="42"/>
  <c r="M41" i="42" s="1"/>
  <c r="Q419" i="4"/>
  <c r="Q92" i="4" s="1"/>
  <c r="Q43" i="4" s="1"/>
  <c r="N57" i="13"/>
  <c r="O199" i="15" s="1"/>
  <c r="O144" i="15" s="1"/>
  <c r="N62" i="3"/>
  <c r="P902" i="4"/>
  <c r="D128" i="3"/>
  <c r="D129" i="3" s="1"/>
  <c r="E54" i="42"/>
  <c r="CQ73" i="22"/>
  <c r="CD73" i="22"/>
  <c r="CQ115" i="22"/>
  <c r="CD115" i="22"/>
  <c r="CB9" i="21"/>
  <c r="CO9" i="21"/>
  <c r="D263" i="48"/>
  <c r="J51" i="13"/>
  <c r="Y34" i="42" s="1"/>
  <c r="J34" i="42" s="1"/>
  <c r="N1700" i="6"/>
  <c r="L120" i="6"/>
  <c r="E461" i="6"/>
  <c r="E1521" i="6"/>
  <c r="E54" i="7"/>
  <c r="E421" i="34"/>
  <c r="E424" i="34" s="1"/>
  <c r="E432" i="34" s="1"/>
  <c r="E272" i="34" s="1"/>
  <c r="E798" i="34" s="1"/>
  <c r="E56" i="6"/>
  <c r="K381" i="8"/>
  <c r="H454" i="34"/>
  <c r="O72" i="13"/>
  <c r="O55" i="13"/>
  <c r="N55" i="13"/>
  <c r="N72" i="13"/>
  <c r="G120" i="16"/>
  <c r="H15" i="60"/>
  <c r="E1650" i="6"/>
  <c r="F160" i="48"/>
  <c r="F162" i="48" s="1"/>
  <c r="U246" i="10"/>
  <c r="M1777" i="6" s="1"/>
  <c r="M613" i="6" s="1"/>
  <c r="H18" i="60"/>
  <c r="F18" i="60"/>
  <c r="J540" i="34"/>
  <c r="O583" i="34"/>
  <c r="O596" i="34"/>
  <c r="P54" i="34"/>
  <c r="P13" i="34" s="1"/>
  <c r="O13" i="34"/>
  <c r="N295" i="34"/>
  <c r="N527" i="34" s="1"/>
  <c r="N657" i="34"/>
  <c r="O313" i="34"/>
  <c r="N543" i="34"/>
  <c r="M608" i="34"/>
  <c r="M581" i="34"/>
  <c r="M584" i="34" s="1"/>
  <c r="O312" i="34"/>
  <c r="N656" i="34"/>
  <c r="N542" i="34"/>
  <c r="P595" i="34"/>
  <c r="N608" i="34"/>
  <c r="J701" i="34"/>
  <c r="J207" i="34" s="1"/>
  <c r="J208" i="34" s="1"/>
  <c r="L824" i="34"/>
  <c r="L794" i="34"/>
  <c r="L800" i="34" s="1"/>
  <c r="L814" i="34"/>
  <c r="L258" i="3" s="1"/>
  <c r="N394" i="34"/>
  <c r="BF11" i="42"/>
  <c r="N105" i="15" s="1"/>
  <c r="N92" i="34"/>
  <c r="M9" i="34"/>
  <c r="N706" i="34"/>
  <c r="M707" i="34"/>
  <c r="M212" i="34" s="1"/>
  <c r="L31" i="34"/>
  <c r="M73" i="34"/>
  <c r="N80" i="34"/>
  <c r="M38" i="34"/>
  <c r="R359" i="8"/>
  <c r="Q370" i="8"/>
  <c r="Q108" i="8" s="1"/>
  <c r="Q417" i="7"/>
  <c r="Q423" i="7" s="1"/>
  <c r="R1105" i="7"/>
  <c r="S1105" i="7" s="1"/>
  <c r="Q1110" i="7"/>
  <c r="N100" i="34"/>
  <c r="M17" i="34"/>
  <c r="CQ75" i="22"/>
  <c r="CD75" i="22"/>
  <c r="CQ61" i="22"/>
  <c r="CD61" i="22"/>
  <c r="CC36" i="22"/>
  <c r="CP36" i="22"/>
  <c r="CD80" i="22"/>
  <c r="CQ80" i="22"/>
  <c r="CC78" i="22"/>
  <c r="CP78" i="22"/>
  <c r="CB60" i="22"/>
  <c r="CO60" i="22"/>
  <c r="CD65" i="22"/>
  <c r="CQ65" i="22"/>
  <c r="CN142" i="22"/>
  <c r="K699" i="34" s="1"/>
  <c r="CC9" i="22"/>
  <c r="CP9" i="22"/>
  <c r="CB8" i="22"/>
  <c r="CO8" i="22"/>
  <c r="CB10" i="22"/>
  <c r="CO10" i="22"/>
  <c r="CQ15" i="22"/>
  <c r="CD15" i="22"/>
  <c r="CB35" i="21"/>
  <c r="CO35" i="21"/>
  <c r="CD36" i="21"/>
  <c r="CQ36" i="21"/>
  <c r="O69" i="20"/>
  <c r="O68" i="20" s="1"/>
  <c r="O70" i="20" s="1"/>
  <c r="N69" i="20"/>
  <c r="R935" i="6"/>
  <c r="S935" i="6" s="1"/>
  <c r="S160" i="6" s="1"/>
  <c r="O148" i="8"/>
  <c r="M25" i="17"/>
  <c r="M10" i="17" s="1"/>
  <c r="M25" i="16"/>
  <c r="M10" i="16" s="1"/>
  <c r="O84" i="8"/>
  <c r="O20" i="8"/>
  <c r="P75" i="15"/>
  <c r="P323" i="34" s="1"/>
  <c r="O556" i="34"/>
  <c r="O380" i="34"/>
  <c r="O498" i="34" s="1"/>
  <c r="Q330" i="8"/>
  <c r="P336" i="8"/>
  <c r="P78" i="8"/>
  <c r="N97" i="34"/>
  <c r="M14" i="34"/>
  <c r="K29" i="34"/>
  <c r="L153" i="34"/>
  <c r="AD11" i="54"/>
  <c r="AD18" i="54" s="1"/>
  <c r="AD20" i="54" s="1"/>
  <c r="AE5" i="54"/>
  <c r="AN29" i="42"/>
  <c r="K559" i="34"/>
  <c r="K694" i="34" s="1"/>
  <c r="K695" i="34" s="1"/>
  <c r="K204" i="34" s="1"/>
  <c r="K84" i="15"/>
  <c r="K115" i="15"/>
  <c r="BC29" i="42"/>
  <c r="K574" i="34"/>
  <c r="K700" i="34" s="1"/>
  <c r="M101" i="1"/>
  <c r="L108" i="1"/>
  <c r="L119" i="1" s="1"/>
  <c r="L245" i="15"/>
  <c r="L267" i="15" s="1"/>
  <c r="L105" i="16"/>
  <c r="AO20" i="42"/>
  <c r="BD20" i="42"/>
  <c r="L294" i="15"/>
  <c r="L316" i="15" s="1"/>
  <c r="L103" i="17"/>
  <c r="Q522" i="8"/>
  <c r="P529" i="8"/>
  <c r="P141" i="8"/>
  <c r="P565" i="8"/>
  <c r="L660" i="34"/>
  <c r="K666" i="34"/>
  <c r="AE126" i="11"/>
  <c r="AF126" i="11" s="1"/>
  <c r="N583" i="4"/>
  <c r="N585" i="4" s="1"/>
  <c r="N593" i="4" s="1"/>
  <c r="Q825" i="4"/>
  <c r="Y47" i="42"/>
  <c r="J47" i="42" s="1"/>
  <c r="O123" i="9"/>
  <c r="P123" i="9" s="1"/>
  <c r="Q123" i="9" s="1"/>
  <c r="O259" i="5"/>
  <c r="O261" i="5" s="1"/>
  <c r="O263" i="5" s="1"/>
  <c r="O274" i="5" s="1"/>
  <c r="R259" i="10"/>
  <c r="L1781" i="6"/>
  <c r="J200" i="3" s="1"/>
  <c r="S246" i="10"/>
  <c r="R152" i="11" s="1"/>
  <c r="S152" i="11" s="1"/>
  <c r="T152" i="11" s="1"/>
  <c r="P75" i="7"/>
  <c r="Q463" i="7"/>
  <c r="CQ70" i="22"/>
  <c r="CD70" i="22"/>
  <c r="CC11" i="22"/>
  <c r="CP11" i="22"/>
  <c r="CO6" i="22"/>
  <c r="CB6" i="22"/>
  <c r="CC42" i="22"/>
  <c r="CP42" i="22"/>
  <c r="CP47" i="22"/>
  <c r="CC47" i="22"/>
  <c r="CB84" i="22"/>
  <c r="CO84" i="22"/>
  <c r="CP76" i="22"/>
  <c r="CC76" i="22"/>
  <c r="CB104" i="22"/>
  <c r="CO104" i="22"/>
  <c r="CQ17" i="22"/>
  <c r="CD17" i="22"/>
  <c r="CC100" i="22"/>
  <c r="CP100" i="22"/>
  <c r="CQ14" i="22"/>
  <c r="CD14" i="22"/>
  <c r="CQ16" i="22"/>
  <c r="CD16" i="22"/>
  <c r="CE30" i="22"/>
  <c r="CR30" i="22"/>
  <c r="CO12" i="22"/>
  <c r="CB12" i="22"/>
  <c r="CB79" i="22"/>
  <c r="CO79" i="22"/>
  <c r="CQ74" i="22"/>
  <c r="CD74" i="22"/>
  <c r="CO7" i="22"/>
  <c r="CB7" i="22"/>
  <c r="CB77" i="22"/>
  <c r="CO77" i="22"/>
  <c r="CQ58" i="22"/>
  <c r="CD58" i="22"/>
  <c r="CP97" i="22"/>
  <c r="CC97" i="22"/>
  <c r="CC128" i="22"/>
  <c r="CP128" i="22"/>
  <c r="CC122" i="22"/>
  <c r="CP122" i="22"/>
  <c r="CC52" i="22"/>
  <c r="CP52" i="22"/>
  <c r="P469" i="4"/>
  <c r="O119" i="4"/>
  <c r="O157" i="4" s="1"/>
  <c r="P125" i="4"/>
  <c r="Q553" i="4"/>
  <c r="N871" i="4"/>
  <c r="N34" i="4" s="1"/>
  <c r="G77" i="42"/>
  <c r="I15" i="60" s="1"/>
  <c r="O15" i="26"/>
  <c r="O25" i="26" s="1"/>
  <c r="O27" i="26" s="1"/>
  <c r="T5" i="26"/>
  <c r="S6" i="26"/>
  <c r="I50" i="15"/>
  <c r="I19" i="15" s="1"/>
  <c r="W77" i="42"/>
  <c r="J41" i="60" s="1"/>
  <c r="H17" i="42"/>
  <c r="BB17" i="42"/>
  <c r="J112" i="15" s="1"/>
  <c r="R12" i="26"/>
  <c r="R11" i="26"/>
  <c r="AM17" i="42"/>
  <c r="J81" i="15" s="1"/>
  <c r="Q10" i="26"/>
  <c r="X17" i="42" s="1"/>
  <c r="A855" i="4"/>
  <c r="A869" i="4" s="1"/>
  <c r="A873" i="4" s="1"/>
  <c r="N142" i="4"/>
  <c r="M139" i="4"/>
  <c r="M141" i="4" s="1"/>
  <c r="D23" i="4"/>
  <c r="N115" i="4"/>
  <c r="N8" i="4" s="1"/>
  <c r="C855" i="4"/>
  <c r="C869" i="4" s="1"/>
  <c r="C873" i="4" s="1"/>
  <c r="P224" i="48"/>
  <c r="P238" i="48"/>
  <c r="P241" i="48"/>
  <c r="P246" i="48"/>
  <c r="P231" i="48"/>
  <c r="P228" i="48"/>
  <c r="P245" i="48"/>
  <c r="P233" i="48"/>
  <c r="P235" i="48"/>
  <c r="P240" i="48"/>
  <c r="P222" i="48"/>
  <c r="P237" i="48"/>
  <c r="P223" i="48"/>
  <c r="P232" i="48"/>
  <c r="Q115" i="48"/>
  <c r="Q123" i="48" s="1"/>
  <c r="P239" i="48"/>
  <c r="P234" i="48"/>
  <c r="P242" i="48"/>
  <c r="P248" i="48"/>
  <c r="P225" i="48"/>
  <c r="P229" i="48"/>
  <c r="P230" i="48"/>
  <c r="P244" i="48"/>
  <c r="P243" i="48"/>
  <c r="P227" i="48"/>
  <c r="P226" i="48"/>
  <c r="P236" i="48"/>
  <c r="P247" i="48"/>
  <c r="D881" i="4"/>
  <c r="B881" i="4"/>
  <c r="B883" i="4" s="1"/>
  <c r="B33" i="4"/>
  <c r="M102" i="42"/>
  <c r="K136" i="42"/>
  <c r="K142" i="42" s="1"/>
  <c r="M142" i="42" s="1"/>
  <c r="B136" i="42"/>
  <c r="D102" i="42"/>
  <c r="H13" i="4"/>
  <c r="I13" i="4" s="1"/>
  <c r="B855" i="4"/>
  <c r="B869" i="4" s="1"/>
  <c r="B873" i="4" s="1"/>
  <c r="K115" i="48"/>
  <c r="K123" i="48" s="1"/>
  <c r="P196" i="48"/>
  <c r="P177" i="48"/>
  <c r="P203" i="48"/>
  <c r="P190" i="48"/>
  <c r="P198" i="48"/>
  <c r="P180" i="48"/>
  <c r="P183" i="48"/>
  <c r="P188" i="48"/>
  <c r="P138" i="48"/>
  <c r="P143" i="48"/>
  <c r="P157" i="48"/>
  <c r="P151" i="48"/>
  <c r="P159" i="48"/>
  <c r="P186" i="48"/>
  <c r="P179" i="48"/>
  <c r="P156" i="48"/>
  <c r="P194" i="48"/>
  <c r="P197" i="48"/>
  <c r="P192" i="48"/>
  <c r="P200" i="48"/>
  <c r="P158" i="48"/>
  <c r="P136" i="48"/>
  <c r="P147" i="48"/>
  <c r="P140" i="48"/>
  <c r="P149" i="48"/>
  <c r="P154" i="48"/>
  <c r="P202" i="48"/>
  <c r="P133" i="48"/>
  <c r="P191" i="48"/>
  <c r="P199" i="48"/>
  <c r="P181" i="48"/>
  <c r="P178" i="48"/>
  <c r="P155" i="48"/>
  <c r="P153" i="48"/>
  <c r="P152" i="48"/>
  <c r="P150" i="48"/>
  <c r="P146" i="48"/>
  <c r="P139" i="48"/>
  <c r="P135" i="48"/>
  <c r="P148" i="48"/>
  <c r="P145" i="48"/>
  <c r="P184" i="48"/>
  <c r="P187" i="48"/>
  <c r="P201" i="48"/>
  <c r="P189" i="48"/>
  <c r="P195" i="48"/>
  <c r="P182" i="48"/>
  <c r="P193" i="48"/>
  <c r="P185" i="48"/>
  <c r="P141" i="48"/>
  <c r="P144" i="48"/>
  <c r="P134" i="48"/>
  <c r="P137" i="48"/>
  <c r="P142" i="48"/>
  <c r="D867" i="4"/>
  <c r="C881" i="4"/>
  <c r="C883" i="4" s="1"/>
  <c r="C33" i="4"/>
  <c r="G136" i="42"/>
  <c r="I102" i="42"/>
  <c r="Q102" i="42"/>
  <c r="O459" i="4"/>
  <c r="M593" i="4"/>
  <c r="O210" i="15"/>
  <c r="O155" i="15" s="1"/>
  <c r="Q818" i="7"/>
  <c r="Q304" i="7" s="1"/>
  <c r="Q51" i="7" s="1"/>
  <c r="O59" i="3" s="1"/>
  <c r="AC42" i="42"/>
  <c r="N42" i="42" s="1"/>
  <c r="O76" i="13"/>
  <c r="N125" i="13"/>
  <c r="L863" i="4"/>
  <c r="K851" i="4"/>
  <c r="Q742" i="7"/>
  <c r="P272" i="7"/>
  <c r="N68" i="5"/>
  <c r="CC64" i="21"/>
  <c r="CP64" i="21"/>
  <c r="CP23" i="22"/>
  <c r="CC23" i="22"/>
  <c r="CR31" i="22"/>
  <c r="CE31" i="22"/>
  <c r="CC96" i="22"/>
  <c r="CP96" i="22"/>
  <c r="CP41" i="22"/>
  <c r="CC41" i="22"/>
  <c r="CC123" i="22"/>
  <c r="CP123" i="22"/>
  <c r="CE39" i="22"/>
  <c r="CR39" i="22"/>
  <c r="CC37" i="22"/>
  <c r="CP37" i="22"/>
  <c r="CC59" i="22"/>
  <c r="CP59" i="22"/>
  <c r="CP108" i="22"/>
  <c r="CC108" i="22"/>
  <c r="CC101" i="22"/>
  <c r="CP101" i="22"/>
  <c r="CC127" i="22"/>
  <c r="CP127" i="22"/>
  <c r="CP95" i="22"/>
  <c r="CC95" i="22"/>
  <c r="CC43" i="22"/>
  <c r="CP43" i="22"/>
  <c r="CC114" i="22"/>
  <c r="CP114" i="22"/>
  <c r="CC53" i="22"/>
  <c r="CP53" i="22"/>
  <c r="CE40" i="22"/>
  <c r="CR40" i="22"/>
  <c r="CP107" i="22"/>
  <c r="CC107" i="22"/>
  <c r="CP71" i="22"/>
  <c r="CC71" i="22"/>
  <c r="CP62" i="22"/>
  <c r="CC62" i="22"/>
  <c r="CP54" i="22"/>
  <c r="CC54" i="22"/>
  <c r="CE45" i="22"/>
  <c r="CR45" i="22"/>
  <c r="CP22" i="22"/>
  <c r="CC22" i="22"/>
  <c r="CP20" i="22"/>
  <c r="CC20" i="22"/>
  <c r="CP140" i="22"/>
  <c r="CC140" i="22"/>
  <c r="CE44" i="22"/>
  <c r="CR44" i="22"/>
  <c r="CQ26" i="22"/>
  <c r="CD26" i="22"/>
  <c r="CC51" i="22"/>
  <c r="CP51" i="22"/>
  <c r="CQ109" i="22"/>
  <c r="CD109" i="22"/>
  <c r="CQ55" i="22"/>
  <c r="CD55" i="22"/>
  <c r="CC69" i="22"/>
  <c r="CP69" i="22"/>
  <c r="CC72" i="22"/>
  <c r="CP72" i="22"/>
  <c r="CP33" i="22"/>
  <c r="CC33" i="22"/>
  <c r="CP32" i="22"/>
  <c r="CC32" i="22"/>
  <c r="CQ112" i="22"/>
  <c r="CD112" i="22"/>
  <c r="CP19" i="22"/>
  <c r="CC19" i="22"/>
  <c r="CP21" i="22"/>
  <c r="CC21" i="22"/>
  <c r="CP48" i="22"/>
  <c r="CC48" i="22"/>
  <c r="CQ27" i="22"/>
  <c r="CD27" i="22"/>
  <c r="CE46" i="22"/>
  <c r="CR46" i="22"/>
  <c r="CP66" i="22"/>
  <c r="CC66" i="22"/>
  <c r="BM221" i="9"/>
  <c r="M75" i="13" s="1"/>
  <c r="N314" i="6"/>
  <c r="N10" i="6" s="1"/>
  <c r="AE50" i="11"/>
  <c r="AF50" i="11" s="1"/>
  <c r="M206" i="48"/>
  <c r="D209" i="48"/>
  <c r="M240" i="7"/>
  <c r="M251" i="7" s="1"/>
  <c r="N152" i="7"/>
  <c r="N154" i="7" s="1"/>
  <c r="R162" i="48"/>
  <c r="Q735" i="7"/>
  <c r="P265" i="7"/>
  <c r="O342" i="7"/>
  <c r="O362" i="7" s="1"/>
  <c r="O40" i="7" s="1"/>
  <c r="L13" i="13" s="1"/>
  <c r="L49" i="13" s="1"/>
  <c r="P885" i="7"/>
  <c r="O944" i="7"/>
  <c r="O1157" i="7" s="1"/>
  <c r="Z30" i="42"/>
  <c r="K30" i="42" s="1"/>
  <c r="K65" i="13"/>
  <c r="L192" i="15"/>
  <c r="K216" i="15"/>
  <c r="K137" i="15"/>
  <c r="K161" i="15" s="1"/>
  <c r="O618" i="7"/>
  <c r="F206" i="48"/>
  <c r="M9" i="7"/>
  <c r="O214" i="15"/>
  <c r="O159" i="15" s="1"/>
  <c r="AC31" i="42"/>
  <c r="N31" i="42" s="1"/>
  <c r="N122" i="13"/>
  <c r="Q150" i="7"/>
  <c r="Q153" i="7" s="1"/>
  <c r="Q39" i="7" s="1"/>
  <c r="O66" i="13" s="1"/>
  <c r="Q584" i="7"/>
  <c r="Q1154" i="7" s="1"/>
  <c r="R581" i="7"/>
  <c r="S581" i="7" s="1"/>
  <c r="U18" i="26"/>
  <c r="Q761" i="7"/>
  <c r="N735" i="34"/>
  <c r="O531" i="7"/>
  <c r="O533" i="7" s="1"/>
  <c r="O542" i="7" s="1"/>
  <c r="M1143" i="7"/>
  <c r="M110" i="7"/>
  <c r="M1126" i="7" s="1"/>
  <c r="O344" i="7"/>
  <c r="D162" i="48"/>
  <c r="D165" i="48"/>
  <c r="K103" i="3"/>
  <c r="L165" i="7"/>
  <c r="N238" i="7"/>
  <c r="N1142" i="7" s="1"/>
  <c r="Q1055" i="7"/>
  <c r="P406" i="7"/>
  <c r="N736" i="34"/>
  <c r="N32" i="7"/>
  <c r="P93" i="7"/>
  <c r="Q516" i="7"/>
  <c r="P637" i="7"/>
  <c r="O189" i="7"/>
  <c r="P278" i="7"/>
  <c r="Q762" i="7"/>
  <c r="P801" i="7"/>
  <c r="O289" i="7"/>
  <c r="Q504" i="7"/>
  <c r="P86" i="7"/>
  <c r="Q760" i="7"/>
  <c r="P277" i="7"/>
  <c r="U17" i="26"/>
  <c r="R804" i="7"/>
  <c r="Q290" i="7"/>
  <c r="W74" i="14"/>
  <c r="Z44" i="42"/>
  <c r="K44" i="42" s="1"/>
  <c r="L202" i="15"/>
  <c r="L147" i="15" s="1"/>
  <c r="K143" i="13"/>
  <c r="P202" i="15"/>
  <c r="P147" i="15" s="1"/>
  <c r="AD44" i="42"/>
  <c r="O44" i="42" s="1"/>
  <c r="AC74" i="14"/>
  <c r="O143" i="13"/>
  <c r="Y74" i="14"/>
  <c r="AA44" i="42"/>
  <c r="L44" i="42" s="1"/>
  <c r="M202" i="15"/>
  <c r="M147" i="15" s="1"/>
  <c r="L143" i="13"/>
  <c r="O202" i="15"/>
  <c r="O147" i="15" s="1"/>
  <c r="AC44" i="42"/>
  <c r="N44" i="42" s="1"/>
  <c r="N143" i="13"/>
  <c r="I44" i="42"/>
  <c r="X47" i="42"/>
  <c r="I47" i="42" s="1"/>
  <c r="CM150" i="9"/>
  <c r="CZ150" i="9"/>
  <c r="BO123" i="9"/>
  <c r="P716" i="7"/>
  <c r="P249" i="7" s="1"/>
  <c r="T27" i="37"/>
  <c r="BO30" i="9"/>
  <c r="DB30" i="9"/>
  <c r="M132" i="13"/>
  <c r="BJ123" i="9"/>
  <c r="O52" i="7"/>
  <c r="M67" i="3" s="1"/>
  <c r="DB146" i="9"/>
  <c r="I785" i="34"/>
  <c r="BO146" i="9"/>
  <c r="U67" i="37" s="1"/>
  <c r="U76" i="37" s="1"/>
  <c r="U78" i="37" s="1"/>
  <c r="U13" i="37"/>
  <c r="S12" i="37"/>
  <c r="R116" i="37"/>
  <c r="S17" i="37"/>
  <c r="R115" i="37"/>
  <c r="P129" i="8"/>
  <c r="Q488" i="8"/>
  <c r="R696" i="7"/>
  <c r="S696" i="7" s="1"/>
  <c r="S232" i="7" s="1"/>
  <c r="Q232" i="7"/>
  <c r="Q233" i="7" s="1"/>
  <c r="R963" i="7"/>
  <c r="S963" i="7" s="1"/>
  <c r="Q965" i="7"/>
  <c r="Q321" i="7"/>
  <c r="Q286" i="7"/>
  <c r="R798" i="7"/>
  <c r="R209" i="48"/>
  <c r="O236" i="7"/>
  <c r="O21" i="7" s="1"/>
  <c r="P529" i="7"/>
  <c r="O583" i="7"/>
  <c r="O585" i="7" s="1"/>
  <c r="O596" i="7" s="1"/>
  <c r="O106" i="7"/>
  <c r="O19" i="7" s="1"/>
  <c r="R9" i="27"/>
  <c r="S9" i="27" s="1"/>
  <c r="Q20" i="27"/>
  <c r="R730" i="7"/>
  <c r="P96" i="7"/>
  <c r="Q519" i="7"/>
  <c r="P855" i="7"/>
  <c r="O323" i="7"/>
  <c r="Q905" i="7"/>
  <c r="AD66" i="10"/>
  <c r="AD103" i="10" s="1"/>
  <c r="Q562" i="7"/>
  <c r="P576" i="7"/>
  <c r="P146" i="7" s="1"/>
  <c r="P904" i="7"/>
  <c r="AA65" i="10"/>
  <c r="AB65" i="10" s="1"/>
  <c r="U22" i="26"/>
  <c r="Q750" i="7"/>
  <c r="P273" i="7"/>
  <c r="O149" i="7"/>
  <c r="P580" i="7"/>
  <c r="P90" i="7"/>
  <c r="Q512" i="7"/>
  <c r="P261" i="7"/>
  <c r="Q728" i="7"/>
  <c r="P94" i="7"/>
  <c r="Q517" i="7"/>
  <c r="Q95" i="7"/>
  <c r="R518" i="7"/>
  <c r="Q502" i="7"/>
  <c r="P85" i="7"/>
  <c r="Q505" i="7"/>
  <c r="P87" i="7"/>
  <c r="M48" i="45"/>
  <c r="L39" i="15"/>
  <c r="O146" i="9"/>
  <c r="DA123" i="9"/>
  <c r="DB162" i="9"/>
  <c r="CO162" i="9"/>
  <c r="O181" i="9"/>
  <c r="P181" i="9" s="1"/>
  <c r="Q181" i="9" s="1"/>
  <c r="CN193" i="9"/>
  <c r="DA193" i="9"/>
  <c r="DA101" i="9"/>
  <c r="CN101" i="9"/>
  <c r="CN119" i="9"/>
  <c r="DA119" i="9"/>
  <c r="H57" i="34"/>
  <c r="H60" i="34" s="1"/>
  <c r="H18" i="34" s="1"/>
  <c r="I69" i="13"/>
  <c r="X34" i="42"/>
  <c r="I34" i="42" s="1"/>
  <c r="J194" i="15"/>
  <c r="J139" i="15" s="1"/>
  <c r="J163" i="15" s="1"/>
  <c r="I1516" i="6"/>
  <c r="J239" i="10"/>
  <c r="N183" i="7"/>
  <c r="N8" i="7" s="1"/>
  <c r="P831" i="7"/>
  <c r="P316" i="7" s="1"/>
  <c r="Z67" i="10"/>
  <c r="P81" i="12"/>
  <c r="Q81" i="12" s="1"/>
  <c r="Q85" i="12" s="1"/>
  <c r="O85" i="12"/>
  <c r="AF88" i="10" s="1"/>
  <c r="AH88" i="10" s="1"/>
  <c r="G16" i="34"/>
  <c r="CN99" i="9"/>
  <c r="DA99" i="9"/>
  <c r="B281" i="15"/>
  <c r="B230" i="3" s="1"/>
  <c r="D438" i="34"/>
  <c r="D442" i="34" s="1"/>
  <c r="D447" i="34" s="1"/>
  <c r="D274" i="34" s="1"/>
  <c r="D676" i="34"/>
  <c r="D281" i="34" s="1"/>
  <c r="F377" i="34"/>
  <c r="F324" i="34"/>
  <c r="F330" i="34" s="1"/>
  <c r="F553" i="34"/>
  <c r="Q60" i="8"/>
  <c r="AI36" i="42"/>
  <c r="AI56" i="42" s="1"/>
  <c r="AI58" i="42" s="1"/>
  <c r="AI62" i="42" s="1"/>
  <c r="E88" i="42"/>
  <c r="E553" i="34"/>
  <c r="E377" i="34"/>
  <c r="E324" i="34"/>
  <c r="F507" i="34"/>
  <c r="F511" i="34" s="1"/>
  <c r="F512" i="34" s="1"/>
  <c r="F236" i="34" s="1"/>
  <c r="F237" i="34" s="1"/>
  <c r="F398" i="34"/>
  <c r="F395" i="34"/>
  <c r="F158" i="15"/>
  <c r="G158" i="15" s="1"/>
  <c r="BI69" i="21"/>
  <c r="O73" i="21"/>
  <c r="P69" i="21"/>
  <c r="CD11" i="21"/>
  <c r="CQ11" i="21"/>
  <c r="CD41" i="21"/>
  <c r="CQ41" i="21"/>
  <c r="N83" i="21"/>
  <c r="O97" i="3" s="1"/>
  <c r="CQ42" i="21"/>
  <c r="CD42" i="21"/>
  <c r="CC51" i="21"/>
  <c r="CP51" i="21"/>
  <c r="CO23" i="21"/>
  <c r="CB23" i="21"/>
  <c r="CB8" i="21"/>
  <c r="CO8" i="21"/>
  <c r="CP43" i="21"/>
  <c r="CC43" i="21"/>
  <c r="CB70" i="21"/>
  <c r="CO70" i="21"/>
  <c r="CO45" i="21"/>
  <c r="CB45" i="21"/>
  <c r="CB15" i="21"/>
  <c r="CO15" i="21"/>
  <c r="CD47" i="21"/>
  <c r="CQ47" i="21"/>
  <c r="CP37" i="21"/>
  <c r="CC37" i="21"/>
  <c r="CQ28" i="21"/>
  <c r="CD28" i="21"/>
  <c r="AP49" i="42"/>
  <c r="AP52" i="42" s="1"/>
  <c r="M259" i="15"/>
  <c r="M113" i="16"/>
  <c r="M115" i="16" s="1"/>
  <c r="CD18" i="21"/>
  <c r="CQ18" i="21"/>
  <c r="CB50" i="21"/>
  <c r="CO50" i="21"/>
  <c r="CN59" i="21"/>
  <c r="CN73" i="21" s="1"/>
  <c r="L693" i="34" s="1"/>
  <c r="CA59" i="21"/>
  <c r="CN71" i="21"/>
  <c r="CA71" i="21"/>
  <c r="P346" i="8"/>
  <c r="P95" i="8" s="1"/>
  <c r="P32" i="8" s="1"/>
  <c r="N40" i="16"/>
  <c r="CQ44" i="21"/>
  <c r="CD44" i="21"/>
  <c r="J589" i="34"/>
  <c r="J240" i="34" s="1"/>
  <c r="AB156" i="11"/>
  <c r="AC156" i="11" s="1"/>
  <c r="K1781" i="6"/>
  <c r="I200" i="3" s="1"/>
  <c r="I209" i="14"/>
  <c r="P295" i="45"/>
  <c r="P305" i="45" s="1"/>
  <c r="P306" i="45" s="1"/>
  <c r="R308" i="8"/>
  <c r="S308" i="8" s="1"/>
  <c r="Q65" i="8"/>
  <c r="L522" i="34"/>
  <c r="L472" i="34"/>
  <c r="L558" i="34"/>
  <c r="L294" i="34"/>
  <c r="L526" i="34" s="1"/>
  <c r="M86" i="15"/>
  <c r="M326" i="34" s="1"/>
  <c r="N77" i="15"/>
  <c r="N321" i="34" s="1"/>
  <c r="M554" i="34"/>
  <c r="M289" i="34"/>
  <c r="M352" i="34" s="1"/>
  <c r="M378" i="34"/>
  <c r="L383" i="34"/>
  <c r="L496" i="34"/>
  <c r="Q48" i="8"/>
  <c r="R199" i="8"/>
  <c r="S199" i="8" s="1"/>
  <c r="AR12" i="42"/>
  <c r="K8" i="15"/>
  <c r="BO181" i="9"/>
  <c r="P1153" i="6"/>
  <c r="P353" i="6" s="1"/>
  <c r="CC119" i="22"/>
  <c r="CP119" i="22"/>
  <c r="CP120" i="22"/>
  <c r="CC120" i="22"/>
  <c r="CP121" i="22"/>
  <c r="CC121" i="22"/>
  <c r="CC138" i="22"/>
  <c r="CP138" i="22"/>
  <c r="CQ129" i="22"/>
  <c r="CD129" i="22"/>
  <c r="CQ130" i="22"/>
  <c r="CD130" i="22"/>
  <c r="CP131" i="22"/>
  <c r="CC131" i="22"/>
  <c r="CR86" i="22"/>
  <c r="CE86" i="22"/>
  <c r="CC81" i="22"/>
  <c r="CP81" i="22"/>
  <c r="CP83" i="22"/>
  <c r="CC83" i="22"/>
  <c r="CB82" i="22"/>
  <c r="CO82" i="22"/>
  <c r="M75" i="20"/>
  <c r="R79" i="20"/>
  <c r="R78" i="20" s="1"/>
  <c r="R80" i="20" s="1"/>
  <c r="CP116" i="22"/>
  <c r="CC116" i="22"/>
  <c r="T83" i="20"/>
  <c r="T85" i="20" s="1"/>
  <c r="P85" i="20"/>
  <c r="C219" i="42"/>
  <c r="D219" i="42" s="1"/>
  <c r="L612" i="6"/>
  <c r="L617" i="6" s="1"/>
  <c r="AA122" i="10"/>
  <c r="AD3" i="10"/>
  <c r="Y127" i="10"/>
  <c r="L103" i="3" s="1"/>
  <c r="BA219" i="9"/>
  <c r="BA221" i="9" s="1"/>
  <c r="K56" i="13" s="1"/>
  <c r="CO102" i="9"/>
  <c r="DB102" i="9"/>
  <c r="BD221" i="9"/>
  <c r="K208" i="3"/>
  <c r="K210" i="3" s="1"/>
  <c r="CC61" i="21"/>
  <c r="CP61" i="21"/>
  <c r="CB56" i="21"/>
  <c r="CO56" i="21"/>
  <c r="CB58" i="21"/>
  <c r="CO58" i="21"/>
  <c r="CB57" i="21"/>
  <c r="CO57" i="21"/>
  <c r="CB46" i="21"/>
  <c r="CO46" i="21"/>
  <c r="CO40" i="21"/>
  <c r="CB40" i="21"/>
  <c r="CP34" i="21"/>
  <c r="CC34" i="21"/>
  <c r="CM74" i="21"/>
  <c r="CP16" i="21"/>
  <c r="CC16" i="21"/>
  <c r="CO14" i="21"/>
  <c r="CB14" i="21"/>
  <c r="CB17" i="21"/>
  <c r="CO17" i="21"/>
  <c r="CB7" i="21"/>
  <c r="CO7" i="21"/>
  <c r="P425" i="6"/>
  <c r="N1702" i="6"/>
  <c r="N1713" i="6" s="1"/>
  <c r="N1510" i="6"/>
  <c r="W239" i="10" s="1"/>
  <c r="N1516" i="6" s="1"/>
  <c r="N461" i="6" s="1"/>
  <c r="P1931" i="6"/>
  <c r="Q1931" i="6" s="1"/>
  <c r="Q665" i="6" s="1"/>
  <c r="O665" i="6"/>
  <c r="J422" i="4"/>
  <c r="O176" i="4"/>
  <c r="O9" i="4" s="1"/>
  <c r="N433" i="45"/>
  <c r="K43" i="15"/>
  <c r="K12" i="15" s="1"/>
  <c r="J11" i="42"/>
  <c r="J72" i="42" s="1"/>
  <c r="L10" i="60" s="1"/>
  <c r="K7" i="42"/>
  <c r="K69" i="42" s="1"/>
  <c r="M7" i="60" s="1"/>
  <c r="Y72" i="42"/>
  <c r="L36" i="60" s="1"/>
  <c r="N343" i="6"/>
  <c r="O663" i="6"/>
  <c r="P1927" i="6"/>
  <c r="Q1927" i="6" s="1"/>
  <c r="Q663" i="6" s="1"/>
  <c r="P324" i="6"/>
  <c r="O726" i="6"/>
  <c r="P2030" i="6"/>
  <c r="Q2030" i="6" s="1"/>
  <c r="Q726" i="6" s="1"/>
  <c r="L22" i="58"/>
  <c r="P1693" i="6"/>
  <c r="P542" i="6" s="1"/>
  <c r="P159" i="6"/>
  <c r="R1333" i="6"/>
  <c r="S1333" i="6" s="1"/>
  <c r="S428" i="6" s="1"/>
  <c r="R1188" i="6"/>
  <c r="S1188" i="6" s="1"/>
  <c r="S330" i="6" s="1"/>
  <c r="P209" i="3"/>
  <c r="P145" i="3"/>
  <c r="P120" i="9"/>
  <c r="R249" i="6"/>
  <c r="BU120" i="9" s="1"/>
  <c r="R1288" i="6"/>
  <c r="S1288" i="6" s="1"/>
  <c r="P149" i="6"/>
  <c r="O659" i="6"/>
  <c r="P1923" i="6"/>
  <c r="Q1923" i="6" s="1"/>
  <c r="Q659" i="6" s="1"/>
  <c r="P712" i="6"/>
  <c r="M17" i="58"/>
  <c r="P870" i="6"/>
  <c r="P162" i="6"/>
  <c r="P168" i="6" s="1"/>
  <c r="O938" i="6"/>
  <c r="O940" i="6" s="1"/>
  <c r="O942" i="6" s="1"/>
  <c r="O950" i="6" s="1"/>
  <c r="N1771" i="6"/>
  <c r="W246" i="10" s="1"/>
  <c r="BP143" i="9"/>
  <c r="Q1081" i="6" s="1"/>
  <c r="Q288" i="6" s="1"/>
  <c r="O235" i="3"/>
  <c r="BT120" i="9"/>
  <c r="R985" i="6"/>
  <c r="S985" i="6" s="1"/>
  <c r="S206" i="6" s="1"/>
  <c r="P1696" i="6"/>
  <c r="Q1696" i="6" s="1"/>
  <c r="O1701" i="6"/>
  <c r="O545" i="6"/>
  <c r="O550" i="6" s="1"/>
  <c r="J688" i="34"/>
  <c r="J682" i="34" s="1"/>
  <c r="Q464" i="4"/>
  <c r="N284" i="4"/>
  <c r="N11" i="4" s="1"/>
  <c r="C196" i="42"/>
  <c r="D196" i="42" s="1"/>
  <c r="P487" i="6"/>
  <c r="P1795" i="6"/>
  <c r="Q1795" i="6" s="1"/>
  <c r="Q629" i="6" s="1"/>
  <c r="O629" i="6"/>
  <c r="T20" i="26"/>
  <c r="P1614" i="6"/>
  <c r="Q1614" i="6" s="1"/>
  <c r="O494" i="6"/>
  <c r="O248" i="6"/>
  <c r="P1029" i="6"/>
  <c r="Q1029" i="6" s="1"/>
  <c r="Q248" i="6" s="1"/>
  <c r="P649" i="6"/>
  <c r="V29" i="42"/>
  <c r="G29" i="42" s="1"/>
  <c r="V80" i="42"/>
  <c r="I44" i="60" s="1"/>
  <c r="H53" i="15"/>
  <c r="H22" i="15" s="1"/>
  <c r="H545" i="34"/>
  <c r="G20" i="42"/>
  <c r="P214" i="6"/>
  <c r="N700" i="6"/>
  <c r="L758" i="34"/>
  <c r="R997" i="6"/>
  <c r="S997" i="6" s="1"/>
  <c r="S211" i="6" s="1"/>
  <c r="R1729" i="6"/>
  <c r="S1729" i="6" s="1"/>
  <c r="S573" i="6" s="1"/>
  <c r="K40" i="42"/>
  <c r="L44" i="15"/>
  <c r="N879" i="6"/>
  <c r="J143" i="15"/>
  <c r="P1994" i="6"/>
  <c r="Q1994" i="6" s="1"/>
  <c r="Q702" i="6" s="1"/>
  <c r="O702" i="6"/>
  <c r="AA12" i="42" s="1"/>
  <c r="O661" i="6"/>
  <c r="P1925" i="6"/>
  <c r="Q1925" i="6" s="1"/>
  <c r="Q661" i="6" s="1"/>
  <c r="P594" i="6"/>
  <c r="P320" i="6"/>
  <c r="P35" i="45"/>
  <c r="O216" i="6"/>
  <c r="O222" i="6" s="1"/>
  <c r="O1008" i="6"/>
  <c r="P1002" i="6"/>
  <c r="Q1002" i="6" s="1"/>
  <c r="K307" i="34"/>
  <c r="K13" i="15"/>
  <c r="K291" i="34" s="1"/>
  <c r="K354" i="34" s="1"/>
  <c r="O664" i="6"/>
  <c r="P1928" i="6"/>
  <c r="Q1928" i="6" s="1"/>
  <c r="Q664" i="6" s="1"/>
  <c r="O630" i="6"/>
  <c r="P1796" i="6"/>
  <c r="Q1796" i="6" s="1"/>
  <c r="Q630" i="6" s="1"/>
  <c r="N772" i="34"/>
  <c r="AC253" i="10"/>
  <c r="AE253" i="10" s="1"/>
  <c r="AD156" i="11" s="1"/>
  <c r="K9" i="58"/>
  <c r="Z69" i="42"/>
  <c r="M33" i="60" s="1"/>
  <c r="R1746" i="6"/>
  <c r="S1746" i="6" s="1"/>
  <c r="S589" i="6" s="1"/>
  <c r="N114" i="1"/>
  <c r="N117" i="1" s="1"/>
  <c r="BF82" i="9"/>
  <c r="O877" i="6"/>
  <c r="O177" i="6" s="1"/>
  <c r="O64" i="6" s="1"/>
  <c r="M61" i="3" s="1"/>
  <c r="L116" i="40"/>
  <c r="AA40" i="42" s="1"/>
  <c r="R1328" i="6"/>
  <c r="S1328" i="6" s="1"/>
  <c r="S426" i="6" s="1"/>
  <c r="R1227" i="6"/>
  <c r="R366" i="6" s="1"/>
  <c r="R376" i="6"/>
  <c r="R1331" i="6"/>
  <c r="S1331" i="6" s="1"/>
  <c r="G47" i="3"/>
  <c r="P143" i="6"/>
  <c r="R1848" i="6"/>
  <c r="S1848" i="6" s="1"/>
  <c r="L233" i="3"/>
  <c r="BE82" i="9"/>
  <c r="M15" i="6"/>
  <c r="M47" i="6" s="1"/>
  <c r="M602" i="6"/>
  <c r="P92" i="6"/>
  <c r="P1934" i="6"/>
  <c r="Q1934" i="6" s="1"/>
  <c r="Q666" i="6" s="1"/>
  <c r="O666" i="6"/>
  <c r="N634" i="6"/>
  <c r="N16" i="6" s="1"/>
  <c r="N2093" i="6"/>
  <c r="K32" i="13" s="1"/>
  <c r="N1006" i="6"/>
  <c r="N1009" i="6" s="1"/>
  <c r="N1018" i="6" s="1"/>
  <c r="O600" i="6"/>
  <c r="O31" i="6" s="1"/>
  <c r="P1741" i="6"/>
  <c r="O1765" i="6"/>
  <c r="O1767" i="6" s="1"/>
  <c r="M25" i="40"/>
  <c r="P312" i="6"/>
  <c r="O1074" i="6"/>
  <c r="O272" i="6"/>
  <c r="O279" i="6" s="1"/>
  <c r="P1068" i="6"/>
  <c r="Q1068" i="6" s="1"/>
  <c r="O1768" i="6"/>
  <c r="P1732" i="6"/>
  <c r="O576" i="6"/>
  <c r="O603" i="6" s="1"/>
  <c r="O2091" i="6" s="1"/>
  <c r="O53" i="6" s="1"/>
  <c r="O1990" i="6"/>
  <c r="L9" i="58" s="1"/>
  <c r="P1987" i="6"/>
  <c r="Q1987" i="6" s="1"/>
  <c r="O698" i="6"/>
  <c r="M1776" i="6"/>
  <c r="O113" i="34"/>
  <c r="N115" i="34"/>
  <c r="N116" i="34" s="1"/>
  <c r="M169" i="6"/>
  <c r="M2054" i="6" s="1"/>
  <c r="S261" i="6"/>
  <c r="L2073" i="6"/>
  <c r="P94" i="6"/>
  <c r="K586" i="34"/>
  <c r="K587" i="34" s="1"/>
  <c r="K252" i="3" s="1"/>
  <c r="P1986" i="6"/>
  <c r="Q1986" i="6" s="1"/>
  <c r="Q699" i="6" s="1"/>
  <c r="O699" i="6"/>
  <c r="R1958" i="6"/>
  <c r="S1958" i="6" s="1"/>
  <c r="L141" i="3"/>
  <c r="L142" i="3" s="1"/>
  <c r="N722" i="6"/>
  <c r="N1572" i="6"/>
  <c r="N1574" i="6" s="1"/>
  <c r="N1585" i="6" s="1"/>
  <c r="O1698" i="6"/>
  <c r="T21" i="26"/>
  <c r="P1491" i="6"/>
  <c r="Q1491" i="6" s="1"/>
  <c r="O654" i="6"/>
  <c r="P1888" i="6"/>
  <c r="Q1888" i="6" s="1"/>
  <c r="Q654" i="6" s="1"/>
  <c r="M766" i="34"/>
  <c r="O308" i="6"/>
  <c r="P1096" i="6"/>
  <c r="Q1096" i="6" s="1"/>
  <c r="P1799" i="6"/>
  <c r="Q1799" i="6" s="1"/>
  <c r="Q631" i="6" s="1"/>
  <c r="O631" i="6"/>
  <c r="P1666" i="6"/>
  <c r="Q1666" i="6" s="1"/>
  <c r="M761" i="34"/>
  <c r="O1670" i="6"/>
  <c r="O533" i="6"/>
  <c r="O535" i="6" s="1"/>
  <c r="O14" i="6" s="1"/>
  <c r="P1139" i="6"/>
  <c r="Q1139" i="6" s="1"/>
  <c r="Q337" i="6" s="1"/>
  <c r="O337" i="6"/>
  <c r="O723" i="6"/>
  <c r="L21" i="58"/>
  <c r="P2025" i="6"/>
  <c r="Q2025" i="6" s="1"/>
  <c r="Q723" i="6" s="1"/>
  <c r="P1001" i="6"/>
  <c r="Q1001" i="6" s="1"/>
  <c r="Q215" i="6" s="1"/>
  <c r="O1007" i="6"/>
  <c r="O215" i="6"/>
  <c r="O1004" i="6"/>
  <c r="L223" i="6"/>
  <c r="L2075" i="6"/>
  <c r="N547" i="6"/>
  <c r="N30" i="6" s="1"/>
  <c r="N46" i="6" s="1"/>
  <c r="P2020" i="6"/>
  <c r="Q2020" i="6" s="1"/>
  <c r="Q720" i="6" s="1"/>
  <c r="O720" i="6"/>
  <c r="P1638" i="6"/>
  <c r="Q1638" i="6" s="1"/>
  <c r="O506" i="6"/>
  <c r="O511" i="6" s="1"/>
  <c r="O1643" i="6"/>
  <c r="C215" i="42"/>
  <c r="D215" i="42" s="1"/>
  <c r="E215" i="42" s="1"/>
  <c r="M24" i="6"/>
  <c r="M40" i="6" s="1"/>
  <c r="M220" i="6"/>
  <c r="P2013" i="6"/>
  <c r="Q2013" i="6" s="1"/>
  <c r="Q713" i="6" s="1"/>
  <c r="L18" i="58"/>
  <c r="O713" i="6"/>
  <c r="K2055" i="6"/>
  <c r="K234" i="6"/>
  <c r="O697" i="6"/>
  <c r="P1985" i="6"/>
  <c r="Q1985" i="6" s="1"/>
  <c r="L6" i="58"/>
  <c r="L5" i="58" s="1"/>
  <c r="P798" i="6"/>
  <c r="Q798" i="6" s="1"/>
  <c r="O103" i="6"/>
  <c r="P2021" i="6"/>
  <c r="Q2021" i="6" s="1"/>
  <c r="Q721" i="6" s="1"/>
  <c r="O721" i="6"/>
  <c r="O710" i="6"/>
  <c r="P2006" i="6"/>
  <c r="Q2006" i="6" s="1"/>
  <c r="Q710" i="6" s="1"/>
  <c r="P1138" i="6"/>
  <c r="Q1138" i="6" s="1"/>
  <c r="O336" i="6"/>
  <c r="O1144" i="6"/>
  <c r="P1849" i="6"/>
  <c r="Q1849" i="6" s="1"/>
  <c r="O2023" i="6"/>
  <c r="O722" i="6" s="1"/>
  <c r="O645" i="6"/>
  <c r="N221" i="6"/>
  <c r="N218" i="6"/>
  <c r="P959" i="6"/>
  <c r="Q959" i="6" s="1"/>
  <c r="O190" i="6"/>
  <c r="O196" i="6" s="1"/>
  <c r="O970" i="6"/>
  <c r="I212" i="14"/>
  <c r="I213" i="14"/>
  <c r="K83" i="14"/>
  <c r="J105" i="14"/>
  <c r="K188" i="14"/>
  <c r="L208" i="14"/>
  <c r="D197" i="42"/>
  <c r="K12" i="13"/>
  <c r="K102" i="13"/>
  <c r="P926" i="7"/>
  <c r="AA127" i="10"/>
  <c r="O347" i="7"/>
  <c r="P608" i="7"/>
  <c r="O177" i="7"/>
  <c r="P852" i="7"/>
  <c r="AC127" i="10" s="1"/>
  <c r="O319" i="7"/>
  <c r="V54" i="11"/>
  <c r="W54" i="11" s="1"/>
  <c r="O130" i="7"/>
  <c r="P552" i="7"/>
  <c r="P553" i="7"/>
  <c r="O131" i="7"/>
  <c r="P874" i="7"/>
  <c r="O337" i="7"/>
  <c r="O145" i="7"/>
  <c r="M759" i="34"/>
  <c r="M781" i="34" s="1"/>
  <c r="P605" i="7"/>
  <c r="O176" i="7"/>
  <c r="P879" i="7"/>
  <c r="O340" i="7"/>
  <c r="P995" i="7"/>
  <c r="O1000" i="7"/>
  <c r="O1153" i="7" s="1"/>
  <c r="M5" i="3" s="1"/>
  <c r="O354" i="7"/>
  <c r="O360" i="7" s="1"/>
  <c r="O38" i="7" s="1"/>
  <c r="P356" i="8"/>
  <c r="O106" i="8"/>
  <c r="BE7" i="42" s="1"/>
  <c r="P499" i="8"/>
  <c r="O131" i="8"/>
  <c r="P375" i="8"/>
  <c r="O109" i="8"/>
  <c r="P250" i="8"/>
  <c r="O56" i="8"/>
  <c r="P390" i="8"/>
  <c r="BE12" i="42"/>
  <c r="P363" i="8"/>
  <c r="O107" i="8"/>
  <c r="BE8" i="42" s="1"/>
  <c r="M102" i="15" s="1"/>
  <c r="G439" i="34"/>
  <c r="P385" i="8"/>
  <c r="O111" i="8"/>
  <c r="P454" i="8"/>
  <c r="O122" i="8"/>
  <c r="O423" i="45"/>
  <c r="O424" i="45" s="1"/>
  <c r="O431" i="45" s="1"/>
  <c r="O432" i="45" s="1"/>
  <c r="L610" i="34"/>
  <c r="L611" i="34" s="1"/>
  <c r="L613" i="34" s="1"/>
  <c r="L244" i="34" s="1"/>
  <c r="L70" i="15"/>
  <c r="P440" i="8"/>
  <c r="O121" i="8"/>
  <c r="P173" i="8"/>
  <c r="O43" i="8"/>
  <c r="AP7" i="42" s="1"/>
  <c r="P429" i="8"/>
  <c r="BE21" i="42"/>
  <c r="M116" i="15" s="1"/>
  <c r="P514" i="8"/>
  <c r="M746" i="34"/>
  <c r="M748" i="34" s="1"/>
  <c r="O132" i="8"/>
  <c r="L622" i="34"/>
  <c r="L623" i="34" s="1"/>
  <c r="L625" i="34" s="1"/>
  <c r="L246" i="34" s="1"/>
  <c r="L101" i="15"/>
  <c r="R324" i="8"/>
  <c r="S324" i="8" s="1"/>
  <c r="Q68" i="8"/>
  <c r="O119" i="8"/>
  <c r="L108" i="15"/>
  <c r="L117" i="15"/>
  <c r="K12" i="42"/>
  <c r="N25" i="5"/>
  <c r="BI209" i="9"/>
  <c r="BJ209" i="9" s="1"/>
  <c r="AA250" i="10"/>
  <c r="O1972" i="6" s="1"/>
  <c r="O686" i="6" s="1"/>
  <c r="N209" i="9"/>
  <c r="BN209" i="9" s="1"/>
  <c r="BE209" i="9"/>
  <c r="AH90" i="11"/>
  <c r="AI90" i="11" s="1"/>
  <c r="O1974" i="6"/>
  <c r="O688" i="6" s="1"/>
  <c r="J140" i="34"/>
  <c r="I142" i="34"/>
  <c r="BI66" i="9"/>
  <c r="CN197" i="9"/>
  <c r="DA197" i="9"/>
  <c r="BK87" i="9"/>
  <c r="BK173" i="9" s="1"/>
  <c r="BP2" i="9"/>
  <c r="CN70" i="9"/>
  <c r="DA70" i="9"/>
  <c r="CP11" i="9"/>
  <c r="DC11" i="9"/>
  <c r="DB164" i="9"/>
  <c r="CO164" i="9"/>
  <c r="DB183" i="9"/>
  <c r="CO183" i="9"/>
  <c r="DC105" i="9"/>
  <c r="CP105" i="9"/>
  <c r="DB94" i="9"/>
  <c r="CO94" i="9"/>
  <c r="CZ63" i="9"/>
  <c r="CM63" i="9"/>
  <c r="CM148" i="9"/>
  <c r="CZ148" i="9"/>
  <c r="CN159" i="9"/>
  <c r="DA159" i="9"/>
  <c r="CM10" i="9"/>
  <c r="CZ10" i="9"/>
  <c r="DA96" i="9"/>
  <c r="CN96" i="9"/>
  <c r="DA83" i="9"/>
  <c r="CN83" i="9"/>
  <c r="BL88" i="9"/>
  <c r="BV3" i="9"/>
  <c r="BV88" i="9" s="1"/>
  <c r="CZ104" i="9"/>
  <c r="CM104" i="9"/>
  <c r="BG174" i="9"/>
  <c r="BG219" i="9" s="1"/>
  <c r="BG221" i="9" s="1"/>
  <c r="BQ174" i="9"/>
  <c r="CO60" i="9"/>
  <c r="DB60" i="9"/>
  <c r="CZ103" i="9"/>
  <c r="CM103" i="9"/>
  <c r="DA161" i="9"/>
  <c r="CN161" i="9"/>
  <c r="BB174" i="9"/>
  <c r="BB219" i="9" s="1"/>
  <c r="BB221" i="9" s="1"/>
  <c r="DA62" i="9"/>
  <c r="CN62" i="9"/>
  <c r="CM106" i="9"/>
  <c r="CZ106" i="9"/>
  <c r="J142" i="13"/>
  <c r="K198" i="15"/>
  <c r="K144" i="3"/>
  <c r="K147" i="3" s="1"/>
  <c r="K63" i="3"/>
  <c r="K64" i="3" s="1"/>
  <c r="O64" i="9"/>
  <c r="Q1119" i="7" s="1"/>
  <c r="Q434" i="7" s="1"/>
  <c r="BS62" i="9"/>
  <c r="BS64" i="9" s="1"/>
  <c r="AG133" i="10" s="1"/>
  <c r="Q1117" i="7" s="1"/>
  <c r="Q432" i="7" s="1"/>
  <c r="BN64" i="9"/>
  <c r="AD133" i="10" s="1"/>
  <c r="P1117" i="7" s="1"/>
  <c r="P432" i="7" s="1"/>
  <c r="BO62" i="9"/>
  <c r="BO64" i="9" s="1"/>
  <c r="CY221" i="9"/>
  <c r="N132" i="13"/>
  <c r="BT30" i="9"/>
  <c r="P30" i="9"/>
  <c r="Q30" i="9" s="1"/>
  <c r="Q716" i="7"/>
  <c r="Q249" i="7" s="1"/>
  <c r="DA149" i="9"/>
  <c r="CN149" i="9"/>
  <c r="DA166" i="9"/>
  <c r="CN166" i="9"/>
  <c r="CZ22" i="9"/>
  <c r="CM22" i="9"/>
  <c r="CN44" i="9"/>
  <c r="DA44" i="9"/>
  <c r="DA194" i="9"/>
  <c r="CN194" i="9"/>
  <c r="O171" i="45"/>
  <c r="P171" i="45" s="1"/>
  <c r="CN137" i="9"/>
  <c r="DA137" i="9"/>
  <c r="P82" i="9"/>
  <c r="BJ179" i="9"/>
  <c r="N179" i="9"/>
  <c r="O1382" i="6"/>
  <c r="O464" i="6" s="1"/>
  <c r="CO133" i="9"/>
  <c r="DB133" i="9"/>
  <c r="BT193" i="9"/>
  <c r="P193" i="9"/>
  <c r="Q193" i="9" s="1"/>
  <c r="BT151" i="9"/>
  <c r="P151" i="9"/>
  <c r="CZ167" i="9"/>
  <c r="CM167" i="9"/>
  <c r="BJ55" i="9"/>
  <c r="BJ66" i="9" s="1"/>
  <c r="CN215" i="9"/>
  <c r="DA215" i="9"/>
  <c r="CM46" i="9"/>
  <c r="CZ46" i="9"/>
  <c r="M225" i="9"/>
  <c r="BO126" i="9"/>
  <c r="U30" i="37"/>
  <c r="O126" i="9"/>
  <c r="DB126" i="9"/>
  <c r="CZ41" i="9"/>
  <c r="CM41" i="9"/>
  <c r="P99" i="9"/>
  <c r="Q99" i="9" s="1"/>
  <c r="BT99" i="9"/>
  <c r="V86" i="37"/>
  <c r="CN151" i="9"/>
  <c r="DA151" i="9"/>
  <c r="CO195" i="9"/>
  <c r="DB195" i="9"/>
  <c r="O110" i="9"/>
  <c r="BO110" i="9"/>
  <c r="CN211" i="9"/>
  <c r="DA211" i="9"/>
  <c r="DB55" i="9"/>
  <c r="P1009" i="7"/>
  <c r="P371" i="7" s="1"/>
  <c r="BN55" i="9"/>
  <c r="N66" i="9"/>
  <c r="O55" i="9"/>
  <c r="I215" i="14"/>
  <c r="CN212" i="9"/>
  <c r="DA212" i="9"/>
  <c r="V27" i="37"/>
  <c r="CM134" i="9"/>
  <c r="CZ134" i="9"/>
  <c r="L158" i="14"/>
  <c r="O903" i="4"/>
  <c r="M70" i="3"/>
  <c r="DA45" i="9"/>
  <c r="CN45" i="9"/>
  <c r="CM136" i="9"/>
  <c r="CZ136" i="9"/>
  <c r="CN214" i="9"/>
  <c r="DA214" i="9"/>
  <c r="P949" i="6"/>
  <c r="P178" i="6" s="1"/>
  <c r="CM135" i="9"/>
  <c r="CZ135" i="9"/>
  <c r="CO125" i="9"/>
  <c r="DB125" i="9"/>
  <c r="CM31" i="9"/>
  <c r="CZ31" i="9"/>
  <c r="CN163" i="9"/>
  <c r="DA163" i="9"/>
  <c r="BO125" i="9"/>
  <c r="U29" i="37"/>
  <c r="O125" i="9"/>
  <c r="CN130" i="9"/>
  <c r="DA130" i="9"/>
  <c r="O7" i="9"/>
  <c r="N25" i="9"/>
  <c r="BO7" i="9"/>
  <c r="BO25" i="9" s="1"/>
  <c r="DB7" i="9"/>
  <c r="P592" i="4"/>
  <c r="P151" i="4" s="1"/>
  <c r="P44" i="4" s="1"/>
  <c r="DB160" i="9"/>
  <c r="CO160" i="9"/>
  <c r="O113" i="9"/>
  <c r="Q1017" i="6" s="1"/>
  <c r="Q232" i="6" s="1"/>
  <c r="P1017" i="6"/>
  <c r="P232" i="6" s="1"/>
  <c r="BO113" i="9"/>
  <c r="BO124" i="9"/>
  <c r="U28" i="37"/>
  <c r="O124" i="9"/>
  <c r="L28" i="5"/>
  <c r="N507" i="5"/>
  <c r="H20" i="13"/>
  <c r="H23" i="13" s="1"/>
  <c r="K30" i="5"/>
  <c r="K32" i="5" s="1"/>
  <c r="K43" i="5" s="1"/>
  <c r="M501" i="5"/>
  <c r="I48" i="13"/>
  <c r="J191" i="15" s="1"/>
  <c r="J213" i="15" s="1"/>
  <c r="N452" i="5"/>
  <c r="N460" i="5" s="1"/>
  <c r="O131" i="5"/>
  <c r="I107" i="13"/>
  <c r="I64" i="13" s="1"/>
  <c r="I121" i="13" s="1"/>
  <c r="O150" i="5"/>
  <c r="O18" i="5" s="1"/>
  <c r="I72" i="42"/>
  <c r="K10" i="60" s="1"/>
  <c r="O68" i="5"/>
  <c r="O466" i="5" s="1"/>
  <c r="I19" i="13"/>
  <c r="I20" i="13" s="1"/>
  <c r="I23" i="13" s="1"/>
  <c r="L30" i="5"/>
  <c r="J14" i="3" s="1"/>
  <c r="L480" i="5"/>
  <c r="L482" i="5" s="1"/>
  <c r="L514" i="5" s="1"/>
  <c r="L198" i="5"/>
  <c r="N197" i="5"/>
  <c r="N194" i="5"/>
  <c r="P64" i="5"/>
  <c r="P505" i="5" s="1"/>
  <c r="R250" i="5"/>
  <c r="Q61" i="5"/>
  <c r="L6" i="3"/>
  <c r="N31" i="5"/>
  <c r="M12" i="5"/>
  <c r="J18" i="13" s="1"/>
  <c r="K469" i="5"/>
  <c r="K471" i="5" s="1"/>
  <c r="K484" i="5" s="1"/>
  <c r="K488" i="5" s="1"/>
  <c r="K209" i="5"/>
  <c r="I121" i="3" s="1"/>
  <c r="P447" i="5"/>
  <c r="O451" i="5"/>
  <c r="O192" i="5"/>
  <c r="O486" i="5"/>
  <c r="O448" i="5"/>
  <c r="O450" i="5" s="1"/>
  <c r="J22" i="13"/>
  <c r="J103" i="13"/>
  <c r="M508" i="5"/>
  <c r="M510" i="5" s="1"/>
  <c r="M19" i="5"/>
  <c r="M28" i="5" s="1"/>
  <c r="Q376" i="5"/>
  <c r="P141" i="5"/>
  <c r="Q54" i="5"/>
  <c r="R238" i="5"/>
  <c r="G203" i="42"/>
  <c r="P176" i="5"/>
  <c r="Q413" i="5"/>
  <c r="M196" i="5"/>
  <c r="M480" i="5" s="1"/>
  <c r="Q368" i="5"/>
  <c r="P137" i="5"/>
  <c r="O496" i="5"/>
  <c r="O7" i="5"/>
  <c r="O25" i="5" s="1"/>
  <c r="Q219" i="5"/>
  <c r="P240" i="5"/>
  <c r="P52" i="5"/>
  <c r="P56" i="5" s="1"/>
  <c r="D170" i="11"/>
  <c r="D166" i="11"/>
  <c r="C166" i="11" s="1"/>
  <c r="M299" i="4"/>
  <c r="M865" i="4" s="1"/>
  <c r="A188" i="15"/>
  <c r="C809" i="34" s="1"/>
  <c r="C139" i="13"/>
  <c r="C223" i="15"/>
  <c r="C55" i="3"/>
  <c r="C56" i="3" s="1"/>
  <c r="S59" i="42"/>
  <c r="B187" i="42" s="1"/>
  <c r="E21" i="11"/>
  <c r="E163" i="11" s="1"/>
  <c r="E167" i="11"/>
  <c r="G6" i="11"/>
  <c r="Z236" i="10"/>
  <c r="O589" i="4" s="1"/>
  <c r="O148" i="4" s="1"/>
  <c r="P454" i="4"/>
  <c r="Y236" i="10"/>
  <c r="X140" i="11" s="1"/>
  <c r="Y140" i="11" s="1"/>
  <c r="Z140" i="11" s="1"/>
  <c r="P105" i="4"/>
  <c r="P158" i="4" s="1"/>
  <c r="Q433" i="4"/>
  <c r="N192" i="4"/>
  <c r="N19" i="4" s="1"/>
  <c r="N29" i="4" s="1"/>
  <c r="P672" i="4"/>
  <c r="M773" i="34"/>
  <c r="P329" i="4"/>
  <c r="O58" i="4"/>
  <c r="Q612" i="4"/>
  <c r="P638" i="4"/>
  <c r="Q756" i="4"/>
  <c r="P235" i="4"/>
  <c r="P265" i="4" s="1"/>
  <c r="P615" i="4"/>
  <c r="P110" i="4" s="1"/>
  <c r="M11" i="4"/>
  <c r="M31" i="4" s="1"/>
  <c r="Q138" i="4"/>
  <c r="R579" i="4"/>
  <c r="E339" i="34"/>
  <c r="C122" i="15"/>
  <c r="AW36" i="42"/>
  <c r="AW56" i="42" s="1"/>
  <c r="D89" i="42"/>
  <c r="Q18" i="42"/>
  <c r="Q78" i="42" s="1"/>
  <c r="M194" i="4"/>
  <c r="M196" i="4" s="1"/>
  <c r="I191" i="15"/>
  <c r="C117" i="17"/>
  <c r="C121" i="17" s="1"/>
  <c r="C123" i="17" s="1"/>
  <c r="C94" i="3" s="1"/>
  <c r="Q356" i="4"/>
  <c r="P66" i="4"/>
  <c r="M34" i="4"/>
  <c r="K688" i="34" s="1"/>
  <c r="R369" i="4"/>
  <c r="Q70" i="4"/>
  <c r="N297" i="4"/>
  <c r="N21" i="4" s="1"/>
  <c r="N703" i="4"/>
  <c r="N714" i="4" s="1"/>
  <c r="W80" i="42"/>
  <c r="J44" i="60" s="1"/>
  <c r="W29" i="42"/>
  <c r="H29" i="42" s="1"/>
  <c r="I53" i="15"/>
  <c r="I22" i="15" s="1"/>
  <c r="I545" i="34"/>
  <c r="H20" i="42"/>
  <c r="H80" i="42" s="1"/>
  <c r="J18" i="60" s="1"/>
  <c r="P57" i="4"/>
  <c r="Q327" i="4"/>
  <c r="H121" i="13"/>
  <c r="D52" i="42"/>
  <c r="Q326" i="4"/>
  <c r="P56" i="4"/>
  <c r="N717" i="34"/>
  <c r="Q738" i="4"/>
  <c r="P227" i="4"/>
  <c r="K8" i="3"/>
  <c r="D161" i="8"/>
  <c r="D29" i="8"/>
  <c r="D34" i="8" s="1"/>
  <c r="D54" i="42"/>
  <c r="P545" i="4"/>
  <c r="Q545" i="4" s="1"/>
  <c r="M136" i="3"/>
  <c r="R797" i="4"/>
  <c r="O775" i="34"/>
  <c r="Q444" i="4"/>
  <c r="P73" i="4"/>
  <c r="Q372" i="4"/>
  <c r="R372" i="4" s="1"/>
  <c r="S372" i="4" s="1"/>
  <c r="S73" i="4" s="1"/>
  <c r="Q371" i="4"/>
  <c r="P72" i="4"/>
  <c r="Q677" i="4"/>
  <c r="P180" i="4"/>
  <c r="Q685" i="4"/>
  <c r="P182" i="4"/>
  <c r="P562" i="4"/>
  <c r="P577" i="4"/>
  <c r="O135" i="4"/>
  <c r="O584" i="4"/>
  <c r="R448" i="4"/>
  <c r="Q114" i="4"/>
  <c r="D183" i="42"/>
  <c r="E181" i="42"/>
  <c r="E183" i="42" s="1"/>
  <c r="Q404" i="4"/>
  <c r="P78" i="4"/>
  <c r="R747" i="4"/>
  <c r="S747" i="4" s="1"/>
  <c r="Q234" i="4"/>
  <c r="P384" i="4"/>
  <c r="P77" i="4" s="1"/>
  <c r="Q321" i="4"/>
  <c r="P55" i="4"/>
  <c r="P174" i="4"/>
  <c r="P176" i="4" s="1"/>
  <c r="P9" i="4" s="1"/>
  <c r="Q670" i="4"/>
  <c r="O760" i="34" s="1"/>
  <c r="Q436" i="4"/>
  <c r="P106" i="4"/>
  <c r="H524" i="34"/>
  <c r="H474" i="34"/>
  <c r="AU24" i="42"/>
  <c r="AU26" i="42" s="1"/>
  <c r="A114" i="15"/>
  <c r="A118" i="15" s="1"/>
  <c r="M774" i="34"/>
  <c r="P447" i="4"/>
  <c r="P113" i="4" s="1"/>
  <c r="P184" i="4"/>
  <c r="Q694" i="4"/>
  <c r="P71" i="4"/>
  <c r="Q370" i="4"/>
  <c r="R807" i="4"/>
  <c r="A323" i="15"/>
  <c r="A51" i="17"/>
  <c r="H540" i="34"/>
  <c r="H367" i="34"/>
  <c r="H486" i="34" s="1"/>
  <c r="R555" i="4"/>
  <c r="S555" i="4" s="1"/>
  <c r="M495" i="6"/>
  <c r="R366" i="5"/>
  <c r="Q136" i="5"/>
  <c r="P118" i="8"/>
  <c r="N114" i="3"/>
  <c r="R55" i="8"/>
  <c r="C47" i="58"/>
  <c r="C54" i="58"/>
  <c r="C55" i="58"/>
  <c r="I1992" i="6"/>
  <c r="H159" i="11"/>
  <c r="R758" i="7"/>
  <c r="S758" i="7" s="1"/>
  <c r="V23" i="26"/>
  <c r="Q274" i="7"/>
  <c r="M1128" i="7"/>
  <c r="R475" i="7"/>
  <c r="S475" i="7" s="1"/>
  <c r="Q80" i="7"/>
  <c r="P99" i="7"/>
  <c r="Q522" i="7"/>
  <c r="O455" i="6"/>
  <c r="P450" i="6"/>
  <c r="P1374" i="6"/>
  <c r="R1367" i="6"/>
  <c r="S1367" i="6" s="1"/>
  <c r="M44" i="6"/>
  <c r="N46" i="45"/>
  <c r="N47" i="45" s="1"/>
  <c r="AH3" i="10"/>
  <c r="AH122" i="10" s="1"/>
  <c r="AF3" i="10"/>
  <c r="AF122" i="10" s="1"/>
  <c r="O167" i="6"/>
  <c r="M38" i="6"/>
  <c r="O281" i="4"/>
  <c r="N834" i="4"/>
  <c r="N836" i="4" s="1"/>
  <c r="N843" i="4" s="1"/>
  <c r="N340" i="4"/>
  <c r="L6" i="12" s="1"/>
  <c r="P697" i="4"/>
  <c r="O190" i="4"/>
  <c r="O195" i="4" s="1"/>
  <c r="O702" i="4"/>
  <c r="P648" i="4"/>
  <c r="O651" i="4"/>
  <c r="O136" i="4"/>
  <c r="P570" i="4"/>
  <c r="O130" i="4"/>
  <c r="P828" i="4"/>
  <c r="P292" i="4" s="1"/>
  <c r="P832" i="4"/>
  <c r="O295" i="4"/>
  <c r="O300" i="4" s="1"/>
  <c r="O835" i="4"/>
  <c r="Q173" i="4"/>
  <c r="R669" i="4"/>
  <c r="S669" i="4" s="1"/>
  <c r="R688" i="7"/>
  <c r="S688" i="7" s="1"/>
  <c r="Q231" i="7"/>
  <c r="Q687" i="7"/>
  <c r="P230" i="7"/>
  <c r="O36" i="45"/>
  <c r="N23" i="6"/>
  <c r="N39" i="6" s="1"/>
  <c r="N166" i="6"/>
  <c r="N2074" i="6" s="1"/>
  <c r="P1231" i="6"/>
  <c r="P369" i="6" s="1"/>
  <c r="P377" i="6"/>
  <c r="R1679" i="6"/>
  <c r="S1679" i="6" s="1"/>
  <c r="O871" i="6"/>
  <c r="O433" i="6"/>
  <c r="O435" i="6" s="1"/>
  <c r="P1361" i="6"/>
  <c r="Q1361" i="6" s="1"/>
  <c r="M453" i="6"/>
  <c r="N108" i="6"/>
  <c r="N2090" i="6"/>
  <c r="P144" i="6"/>
  <c r="R1879" i="6"/>
  <c r="S1879" i="6" s="1"/>
  <c r="O1501" i="6"/>
  <c r="O1506" i="6" s="1"/>
  <c r="O1508" i="6" s="1"/>
  <c r="P1500" i="6"/>
  <c r="Q1500" i="6" s="1"/>
  <c r="Q1501" i="6" s="1"/>
  <c r="P1492" i="6"/>
  <c r="Q1492" i="6" s="1"/>
  <c r="O445" i="6"/>
  <c r="P438" i="6"/>
  <c r="P1461" i="6"/>
  <c r="P657" i="6"/>
  <c r="P158" i="6"/>
  <c r="P869" i="6"/>
  <c r="R1166" i="6"/>
  <c r="S1166" i="6" s="1"/>
  <c r="O768" i="34"/>
  <c r="P764" i="6"/>
  <c r="Q764" i="6" s="1"/>
  <c r="O785" i="6"/>
  <c r="O767" i="6"/>
  <c r="M763" i="34"/>
  <c r="O78" i="6"/>
  <c r="O81" i="6" s="1"/>
  <c r="O6" i="6" s="1"/>
  <c r="R2028" i="6"/>
  <c r="S2028" i="6" s="1"/>
  <c r="S725" i="6" s="1"/>
  <c r="K2053" i="6"/>
  <c r="K120" i="6"/>
  <c r="R1757" i="6"/>
  <c r="S1757" i="6" s="1"/>
  <c r="S593" i="6" s="1"/>
  <c r="O1204" i="6"/>
  <c r="N732" i="34"/>
  <c r="P303" i="6"/>
  <c r="P797" i="6"/>
  <c r="Q797" i="6" s="1"/>
  <c r="Q102" i="6" s="1"/>
  <c r="O102" i="6"/>
  <c r="O803" i="6"/>
  <c r="P1550" i="6"/>
  <c r="Q1550" i="6" s="1"/>
  <c r="O444" i="6"/>
  <c r="O1570" i="6"/>
  <c r="R1173" i="6"/>
  <c r="S1173" i="6" s="1"/>
  <c r="S305" i="6" s="1"/>
  <c r="P929" i="6"/>
  <c r="O155" i="6"/>
  <c r="O164" i="6" s="1"/>
  <c r="O166" i="6" s="1"/>
  <c r="R1418" i="6"/>
  <c r="S1418" i="6" s="1"/>
  <c r="S439" i="6" s="1"/>
  <c r="N800" i="6"/>
  <c r="N802" i="6" s="1"/>
  <c r="N804" i="6" s="1"/>
  <c r="N813" i="6" s="1"/>
  <c r="N93" i="6"/>
  <c r="N105" i="6" s="1"/>
  <c r="N22" i="6" s="1"/>
  <c r="N38" i="6" s="1"/>
  <c r="L2079" i="6"/>
  <c r="L456" i="6"/>
  <c r="P88" i="6"/>
  <c r="O1257" i="6"/>
  <c r="P1239" i="6"/>
  <c r="Q1239" i="6" s="1"/>
  <c r="O375" i="6"/>
  <c r="O379" i="6" s="1"/>
  <c r="O27" i="6" s="1"/>
  <c r="O1228" i="6"/>
  <c r="R1762" i="6"/>
  <c r="S1762" i="6" s="1"/>
  <c r="P95" i="6"/>
  <c r="P539" i="6"/>
  <c r="M2081" i="6"/>
  <c r="M551" i="6"/>
  <c r="R1119" i="6"/>
  <c r="S1119" i="6" s="1"/>
  <c r="P1682" i="6"/>
  <c r="Q1682" i="6" s="1"/>
  <c r="Q541" i="6" s="1"/>
  <c r="O541" i="6"/>
  <c r="R1172" i="6"/>
  <c r="S1172" i="6" s="1"/>
  <c r="S304" i="6" s="1"/>
  <c r="P322" i="6"/>
  <c r="P441" i="6"/>
  <c r="R901" i="6"/>
  <c r="S901" i="6" s="1"/>
  <c r="S147" i="6" s="1"/>
  <c r="P1072" i="6"/>
  <c r="P270" i="6"/>
  <c r="P277" i="6" s="1"/>
  <c r="P1946" i="6"/>
  <c r="Q1946" i="6" s="1"/>
  <c r="Q668" i="6" s="1"/>
  <c r="O668" i="6"/>
  <c r="R1339" i="6"/>
  <c r="S1339" i="6" s="1"/>
  <c r="S431" i="6" s="1"/>
  <c r="O662" i="6"/>
  <c r="P1926" i="6"/>
  <c r="Q1926" i="6" s="1"/>
  <c r="Q662" i="6" s="1"/>
  <c r="P648" i="6"/>
  <c r="J783" i="34"/>
  <c r="J785" i="34" s="1"/>
  <c r="J213" i="3"/>
  <c r="P90" i="6"/>
  <c r="O1509" i="6"/>
  <c r="O448" i="6"/>
  <c r="O454" i="6" s="1"/>
  <c r="P1504" i="6"/>
  <c r="Q1504" i="6" s="1"/>
  <c r="L2078" i="6"/>
  <c r="L383" i="6"/>
  <c r="P326" i="6"/>
  <c r="P32" i="45"/>
  <c r="R1484" i="6"/>
  <c r="S1484" i="6" s="1"/>
  <c r="P675" i="6"/>
  <c r="P680" i="6" s="1"/>
  <c r="P1965" i="6"/>
  <c r="M11" i="6"/>
  <c r="M43" i="6" s="1"/>
  <c r="M381" i="6"/>
  <c r="P475" i="6"/>
  <c r="P2001" i="6"/>
  <c r="Q2001" i="6" s="1"/>
  <c r="L15" i="58"/>
  <c r="O709" i="6"/>
  <c r="R1419" i="6"/>
  <c r="S1419" i="6" s="1"/>
  <c r="S440" i="6" s="1"/>
  <c r="N1372" i="6"/>
  <c r="N1375" i="6" s="1"/>
  <c r="N1383" i="6" s="1"/>
  <c r="R909" i="6"/>
  <c r="S909" i="6" s="1"/>
  <c r="R1873" i="6"/>
  <c r="S1873" i="6" s="1"/>
  <c r="P161" i="6"/>
  <c r="P941" i="6"/>
  <c r="P1027" i="6"/>
  <c r="Q1027" i="6" s="1"/>
  <c r="M764" i="34"/>
  <c r="O1035" i="6"/>
  <c r="O246" i="6"/>
  <c r="P586" i="6"/>
  <c r="N365" i="6"/>
  <c r="N371" i="6" s="1"/>
  <c r="N1234" i="6"/>
  <c r="P1032" i="6"/>
  <c r="Q1032" i="6" s="1"/>
  <c r="Q252" i="6" s="1"/>
  <c r="O252" i="6"/>
  <c r="P1200" i="6"/>
  <c r="O338" i="6"/>
  <c r="O1205" i="6"/>
  <c r="K394" i="6"/>
  <c r="K2058" i="6"/>
  <c r="N451" i="6"/>
  <c r="N28" i="6" s="1"/>
  <c r="K767" i="34"/>
  <c r="K779" i="34" s="1"/>
  <c r="M1259" i="6"/>
  <c r="M1261" i="6" s="1"/>
  <c r="M1272" i="6" s="1"/>
  <c r="L562" i="6"/>
  <c r="L2061" i="6"/>
  <c r="P29" i="45"/>
  <c r="R919" i="6"/>
  <c r="S919" i="6" s="1"/>
  <c r="P667" i="6"/>
  <c r="M107" i="6"/>
  <c r="R2037" i="6"/>
  <c r="O23" i="58"/>
  <c r="O37" i="58" s="1"/>
  <c r="R729" i="6"/>
  <c r="R734" i="6" s="1"/>
  <c r="R1922" i="6"/>
  <c r="S1922" i="6" s="1"/>
  <c r="S658" i="6" s="1"/>
  <c r="P1811" i="6"/>
  <c r="Q1811" i="6" s="1"/>
  <c r="Q633" i="6" s="1"/>
  <c r="O633" i="6"/>
  <c r="P1129" i="6"/>
  <c r="Q1129" i="6" s="1"/>
  <c r="Q323" i="6" s="1"/>
  <c r="O323" i="6"/>
  <c r="P1850" i="6"/>
  <c r="Q1850" i="6" s="1"/>
  <c r="Q644" i="6" s="1"/>
  <c r="O644" i="6"/>
  <c r="O484" i="6"/>
  <c r="P1601" i="6"/>
  <c r="Q1601" i="6" s="1"/>
  <c r="Q484" i="6" s="1"/>
  <c r="R1595" i="6"/>
  <c r="S1595" i="6" s="1"/>
  <c r="S478" i="6" s="1"/>
  <c r="R906" i="6"/>
  <c r="S906" i="6" s="1"/>
  <c r="N254" i="6"/>
  <c r="N9" i="6" s="1"/>
  <c r="P572" i="6"/>
  <c r="R1293" i="6"/>
  <c r="S1293" i="6" s="1"/>
  <c r="N418" i="6"/>
  <c r="P1098" i="6"/>
  <c r="Q1098" i="6" s="1"/>
  <c r="Q311" i="6" s="1"/>
  <c r="O311" i="6"/>
  <c r="O1105" i="6"/>
  <c r="M1516" i="6"/>
  <c r="V239" i="10"/>
  <c r="U143" i="11" s="1"/>
  <c r="R992" i="6"/>
  <c r="S992" i="6" s="1"/>
  <c r="S209" i="6" s="1"/>
  <c r="P432" i="6"/>
  <c r="N729" i="34"/>
  <c r="P669" i="6"/>
  <c r="P1924" i="6"/>
  <c r="Q1924" i="6" s="1"/>
  <c r="Q660" i="6" s="1"/>
  <c r="O660" i="6"/>
  <c r="P628" i="6"/>
  <c r="P1676" i="6"/>
  <c r="Q1676" i="6" s="1"/>
  <c r="Q540" i="6" s="1"/>
  <c r="O540" i="6"/>
  <c r="R917" i="6"/>
  <c r="S917" i="6" s="1"/>
  <c r="R1752" i="6"/>
  <c r="S1752" i="6" s="1"/>
  <c r="S592" i="6" s="1"/>
  <c r="P626" i="6"/>
  <c r="P1392" i="6"/>
  <c r="Q1392" i="6" s="1"/>
  <c r="O412" i="6"/>
  <c r="O1403" i="6"/>
  <c r="M771" i="34" s="1"/>
  <c r="K2059" i="6"/>
  <c r="K465" i="6"/>
  <c r="R900" i="6"/>
  <c r="S900" i="6" s="1"/>
  <c r="O409" i="6"/>
  <c r="P1531" i="6"/>
  <c r="Q1531" i="6" s="1"/>
  <c r="O1539" i="6"/>
  <c r="P1306" i="6"/>
  <c r="Q1306" i="6" s="1"/>
  <c r="M113" i="3"/>
  <c r="O422" i="6"/>
  <c r="O1370" i="6"/>
  <c r="R1283" i="6"/>
  <c r="S1283" i="6" s="1"/>
  <c r="R1247" i="6"/>
  <c r="S1247" i="6" s="1"/>
  <c r="O728" i="34"/>
  <c r="N1463" i="6"/>
  <c r="N1465" i="6" s="1"/>
  <c r="N1474" i="6" s="1"/>
  <c r="P98" i="6"/>
  <c r="R1304" i="6"/>
  <c r="S1304" i="6" s="1"/>
  <c r="K7" i="3"/>
  <c r="M52" i="6"/>
  <c r="J104" i="13" s="1"/>
  <c r="J30" i="13"/>
  <c r="O1813" i="6"/>
  <c r="P1636" i="6"/>
  <c r="Q1636" i="6" s="1"/>
  <c r="Q503" i="6" s="1"/>
  <c r="O503" i="6"/>
  <c r="P1294" i="6"/>
  <c r="Q1294" i="6" s="1"/>
  <c r="O408" i="6"/>
  <c r="M769" i="34"/>
  <c r="O1299" i="6"/>
  <c r="R1113" i="6"/>
  <c r="S1113" i="6" s="1"/>
  <c r="P319" i="6"/>
  <c r="P34" i="45"/>
  <c r="R1092" i="6"/>
  <c r="S1092" i="6" s="1"/>
  <c r="O726" i="34"/>
  <c r="O725" i="34"/>
  <c r="R975" i="6"/>
  <c r="S975" i="6" s="1"/>
  <c r="AH130" i="10"/>
  <c r="AG50" i="11" s="1"/>
  <c r="AI130" i="10"/>
  <c r="T71" i="11"/>
  <c r="S77" i="11"/>
  <c r="N462" i="6"/>
  <c r="O1517" i="6"/>
  <c r="AD239" i="10"/>
  <c r="AH212" i="10"/>
  <c r="AG126" i="11" s="1"/>
  <c r="AH126" i="11" s="1"/>
  <c r="AI126" i="11" s="1"/>
  <c r="AI212" i="10"/>
  <c r="AS212" i="10" s="1"/>
  <c r="P350" i="6"/>
  <c r="R809" i="6"/>
  <c r="R115" i="6" s="1"/>
  <c r="AK157" i="10"/>
  <c r="R987" i="6"/>
  <c r="S987" i="6" s="1"/>
  <c r="R961" i="6"/>
  <c r="S961" i="6" s="1"/>
  <c r="R1743" i="6"/>
  <c r="S1743" i="6" s="1"/>
  <c r="L750" i="34"/>
  <c r="L752" i="34" s="1"/>
  <c r="M738" i="34"/>
  <c r="M740" i="34" s="1"/>
  <c r="M216" i="34" s="1"/>
  <c r="P866" i="6"/>
  <c r="P868" i="6" s="1"/>
  <c r="P137" i="6"/>
  <c r="R762" i="6"/>
  <c r="S762" i="6" s="1"/>
  <c r="S783" i="6" s="1"/>
  <c r="R771" i="6"/>
  <c r="S771" i="6" s="1"/>
  <c r="S87" i="6" s="1"/>
  <c r="R86" i="6"/>
  <c r="P496" i="6"/>
  <c r="R1612" i="6"/>
  <c r="S1612" i="6" s="1"/>
  <c r="R460" i="7"/>
  <c r="S460" i="7" s="1"/>
  <c r="Q74" i="7"/>
  <c r="Q60" i="5"/>
  <c r="R245" i="5"/>
  <c r="S245" i="5" s="1"/>
  <c r="R463" i="4"/>
  <c r="S463" i="4" s="1"/>
  <c r="CO123" i="9"/>
  <c r="DB123" i="9"/>
  <c r="CN179" i="9"/>
  <c r="DA179" i="9"/>
  <c r="CP49" i="9"/>
  <c r="DC49" i="9"/>
  <c r="CN100" i="9"/>
  <c r="DA100" i="9"/>
  <c r="DB43" i="9"/>
  <c r="CO43" i="9"/>
  <c r="CP209" i="9"/>
  <c r="CQ209" i="9" s="1"/>
  <c r="CN21" i="9"/>
  <c r="DA21" i="9"/>
  <c r="CN113" i="9"/>
  <c r="DA113" i="9"/>
  <c r="CN203" i="9"/>
  <c r="DA203" i="9"/>
  <c r="DC32" i="9"/>
  <c r="CP32" i="9"/>
  <c r="CO120" i="9"/>
  <c r="DB120" i="9"/>
  <c r="CN36" i="9"/>
  <c r="DA36" i="9"/>
  <c r="DA141" i="9"/>
  <c r="CN141" i="9"/>
  <c r="CN152" i="9"/>
  <c r="DA152" i="9"/>
  <c r="DA210" i="9"/>
  <c r="CN210" i="9"/>
  <c r="CN182" i="9"/>
  <c r="DA182" i="9"/>
  <c r="CM206" i="9"/>
  <c r="CZ206" i="9"/>
  <c r="CN213" i="9"/>
  <c r="DA213" i="9"/>
  <c r="CN155" i="9"/>
  <c r="DA155" i="9"/>
  <c r="DB118" i="9"/>
  <c r="CO118" i="9"/>
  <c r="CO124" i="9"/>
  <c r="DB124" i="9"/>
  <c r="CP181" i="9"/>
  <c r="CQ181" i="9" s="1"/>
  <c r="CN154" i="9"/>
  <c r="DA154" i="9"/>
  <c r="DA196" i="9"/>
  <c r="CN196" i="9"/>
  <c r="DA180" i="9"/>
  <c r="CN180" i="9"/>
  <c r="AZ219" i="9"/>
  <c r="AZ221" i="9" s="1"/>
  <c r="K232" i="3" s="1"/>
  <c r="CN121" i="9"/>
  <c r="DA121" i="9"/>
  <c r="DC169" i="9"/>
  <c r="CP169" i="9"/>
  <c r="CO107" i="9"/>
  <c r="DB107" i="9"/>
  <c r="CO50" i="9"/>
  <c r="DB50" i="9"/>
  <c r="CM51" i="9"/>
  <c r="CZ51" i="9"/>
  <c r="DA156" i="9"/>
  <c r="CN156" i="9"/>
  <c r="DB14" i="9"/>
  <c r="CO14" i="9"/>
  <c r="DC165" i="9"/>
  <c r="CP165" i="9"/>
  <c r="P141" i="9"/>
  <c r="BT141" i="9"/>
  <c r="V8" i="37" s="1"/>
  <c r="CN153" i="9"/>
  <c r="DA153" i="9"/>
  <c r="CN115" i="9"/>
  <c r="DA115" i="9"/>
  <c r="CP30" i="9"/>
  <c r="CQ30" i="9" s="1"/>
  <c r="DC30" i="9"/>
  <c r="CN79" i="9"/>
  <c r="DA79" i="9"/>
  <c r="DB132" i="9"/>
  <c r="CO132" i="9"/>
  <c r="CN110" i="9"/>
  <c r="DA110" i="9"/>
  <c r="DA147" i="9"/>
  <c r="CN147" i="9"/>
  <c r="CN93" i="9"/>
  <c r="DA93" i="9"/>
  <c r="DA198" i="9"/>
  <c r="CN198" i="9"/>
  <c r="CN82" i="9"/>
  <c r="DA82" i="9"/>
  <c r="DC40" i="9"/>
  <c r="CP40" i="9"/>
  <c r="DB73" i="9"/>
  <c r="CO73" i="9"/>
  <c r="CO42" i="9"/>
  <c r="DB42" i="9"/>
  <c r="DA128" i="9"/>
  <c r="CN128" i="9"/>
  <c r="DA37" i="9"/>
  <c r="CN37" i="9"/>
  <c r="DB127" i="9"/>
  <c r="CO127" i="9"/>
  <c r="CN217" i="9"/>
  <c r="DA217" i="9"/>
  <c r="H765" i="4"/>
  <c r="I765" i="4" s="1"/>
  <c r="K26" i="6"/>
  <c r="K42" i="6" s="1"/>
  <c r="K342" i="6"/>
  <c r="G24" i="3"/>
  <c r="H899" i="4"/>
  <c r="H904" i="4" s="1"/>
  <c r="F81" i="13"/>
  <c r="H243" i="4"/>
  <c r="I243" i="4" s="1"/>
  <c r="I265" i="4"/>
  <c r="U19" i="42"/>
  <c r="G480" i="34"/>
  <c r="G155" i="3"/>
  <c r="M69" i="14"/>
  <c r="M73" i="14" s="1"/>
  <c r="M76" i="14" s="1"/>
  <c r="I214" i="14"/>
  <c r="G161" i="3"/>
  <c r="N1621" i="6"/>
  <c r="N495" i="6" s="1"/>
  <c r="P294" i="3"/>
  <c r="K224" i="9"/>
  <c r="K226" i="9" s="1"/>
  <c r="L219" i="9"/>
  <c r="L221" i="9" s="1"/>
  <c r="K80" i="13" s="1"/>
  <c r="R768" i="7"/>
  <c r="S768" i="7" s="1"/>
  <c r="X19" i="26" s="1"/>
  <c r="V19" i="26"/>
  <c r="Q279" i="7"/>
  <c r="N108" i="7"/>
  <c r="N1141" i="7" s="1"/>
  <c r="N7" i="7"/>
  <c r="N30" i="7" s="1"/>
  <c r="AA7" i="42"/>
  <c r="M598" i="34" s="1"/>
  <c r="AA67" i="10"/>
  <c r="P906" i="7"/>
  <c r="R112" i="37"/>
  <c r="K55" i="15"/>
  <c r="K24" i="15" s="1"/>
  <c r="K46" i="15"/>
  <c r="K15" i="15" s="1"/>
  <c r="J22" i="42"/>
  <c r="O705" i="7"/>
  <c r="O707" i="7" s="1"/>
  <c r="O718" i="7" s="1"/>
  <c r="N289" i="6"/>
  <c r="Y67" i="10"/>
  <c r="K14" i="13"/>
  <c r="P448" i="7"/>
  <c r="P456" i="7" s="1"/>
  <c r="O64" i="7"/>
  <c r="O69" i="7" s="1"/>
  <c r="O10" i="7"/>
  <c r="BE143" i="9"/>
  <c r="S7" i="37" s="1"/>
  <c r="M65" i="6"/>
  <c r="K69" i="3" s="1"/>
  <c r="T40" i="37"/>
  <c r="BJ122" i="9"/>
  <c r="DA122" i="9"/>
  <c r="O39" i="45"/>
  <c r="O45" i="45" s="1"/>
  <c r="M143" i="9"/>
  <c r="O1082" i="6" s="1"/>
  <c r="Q700" i="7"/>
  <c r="P234" i="7"/>
  <c r="P703" i="7"/>
  <c r="O132" i="7"/>
  <c r="P554" i="7"/>
  <c r="O418" i="7"/>
  <c r="O424" i="7" s="1"/>
  <c r="O42" i="7" s="1"/>
  <c r="O1111" i="7"/>
  <c r="O1155" i="7" s="1"/>
  <c r="P1106" i="7"/>
  <c r="J133" i="13"/>
  <c r="Y49" i="42"/>
  <c r="K71" i="3"/>
  <c r="K206" i="15"/>
  <c r="K151" i="15" s="1"/>
  <c r="P731" i="7"/>
  <c r="P737" i="7" s="1"/>
  <c r="O263" i="7"/>
  <c r="O267" i="7" s="1"/>
  <c r="O11" i="7" s="1"/>
  <c r="M777" i="34"/>
  <c r="Q793" i="7"/>
  <c r="V16" i="26" s="1"/>
  <c r="P281" i="7"/>
  <c r="Q673" i="7"/>
  <c r="P222" i="7"/>
  <c r="P224" i="7" s="1"/>
  <c r="P676" i="7"/>
  <c r="O335" i="7"/>
  <c r="P868" i="7"/>
  <c r="P355" i="7"/>
  <c r="P942" i="7"/>
  <c r="Q938" i="7"/>
  <c r="Q563" i="7"/>
  <c r="P138" i="7"/>
  <c r="Q895" i="7"/>
  <c r="R779" i="7"/>
  <c r="S779" i="7" s="1"/>
  <c r="Q280" i="7"/>
  <c r="Q734" i="7"/>
  <c r="P264" i="7"/>
  <c r="Q178" i="7"/>
  <c r="R612" i="7"/>
  <c r="S612" i="7" s="1"/>
  <c r="S178" i="7" s="1"/>
  <c r="L599" i="34"/>
  <c r="L601" i="34" s="1"/>
  <c r="L242" i="34" s="1"/>
  <c r="R897" i="7"/>
  <c r="S897" i="7" s="1"/>
  <c r="Q911" i="7"/>
  <c r="P345" i="7"/>
  <c r="P882" i="7"/>
  <c r="O341" i="7"/>
  <c r="Q1051" i="7"/>
  <c r="P405" i="7"/>
  <c r="N111" i="3"/>
  <c r="R872" i="7"/>
  <c r="S872" i="7" s="1"/>
  <c r="R642" i="7"/>
  <c r="S642" i="7" s="1"/>
  <c r="Q190" i="7"/>
  <c r="R840" i="7"/>
  <c r="S840" i="7" s="1"/>
  <c r="Q317" i="7"/>
  <c r="P346" i="7"/>
  <c r="Q921" i="7"/>
  <c r="H64" i="10"/>
  <c r="H94" i="10" s="1"/>
  <c r="H949" i="7" s="1"/>
  <c r="H864" i="7"/>
  <c r="I864" i="7" s="1"/>
  <c r="H325" i="7"/>
  <c r="I325" i="7" s="1"/>
  <c r="Q570" i="7"/>
  <c r="P141" i="7"/>
  <c r="Q557" i="7"/>
  <c r="P135" i="7"/>
  <c r="L825" i="34"/>
  <c r="L795" i="34"/>
  <c r="L801" i="34" s="1"/>
  <c r="L217" i="34"/>
  <c r="L815" i="34" s="1"/>
  <c r="L259" i="3" s="1"/>
  <c r="P67" i="7"/>
  <c r="Q454" i="7"/>
  <c r="J84" i="3"/>
  <c r="L1145" i="7"/>
  <c r="L296" i="7"/>
  <c r="N776" i="34"/>
  <c r="Q616" i="7"/>
  <c r="P181" i="7"/>
  <c r="N807" i="7"/>
  <c r="N809" i="7" s="1"/>
  <c r="N811" i="7" s="1"/>
  <c r="N820" i="7" s="1"/>
  <c r="O797" i="7"/>
  <c r="AA21" i="42" s="1"/>
  <c r="N285" i="7"/>
  <c r="N292" i="7" s="1"/>
  <c r="G60" i="11"/>
  <c r="AB66" i="10"/>
  <c r="Z103" i="10"/>
  <c r="AB103" i="10" s="1"/>
  <c r="F254" i="48"/>
  <c r="F251" i="48"/>
  <c r="Q829" i="7"/>
  <c r="AC101" i="10"/>
  <c r="AE101" i="10" s="1"/>
  <c r="Q832" i="7"/>
  <c r="AC65" i="10"/>
  <c r="Q836" i="7"/>
  <c r="AC66" i="10"/>
  <c r="D254" i="48"/>
  <c r="D251" i="48"/>
  <c r="Q871" i="7"/>
  <c r="P336" i="7"/>
  <c r="K1130" i="7"/>
  <c r="K307" i="7"/>
  <c r="M22" i="7"/>
  <c r="M33" i="7" s="1"/>
  <c r="M294" i="7"/>
  <c r="R622" i="7"/>
  <c r="S622" i="7" s="1"/>
  <c r="S187" i="7" s="1"/>
  <c r="Q187" i="7"/>
  <c r="R254" i="48"/>
  <c r="R251" i="48"/>
  <c r="Q1031" i="7"/>
  <c r="P386" i="7"/>
  <c r="Q1025" i="7"/>
  <c r="Q392" i="7" s="1"/>
  <c r="N778" i="34"/>
  <c r="P385" i="7"/>
  <c r="P407" i="7"/>
  <c r="P408" i="7" s="1"/>
  <c r="Q1023" i="7"/>
  <c r="Q1073" i="7" s="1"/>
  <c r="N103" i="5"/>
  <c r="N478" i="5"/>
  <c r="R348" i="5"/>
  <c r="Q125" i="5"/>
  <c r="O180" i="5"/>
  <c r="Q416" i="5"/>
  <c r="P178" i="5"/>
  <c r="F367" i="34"/>
  <c r="F486" i="34" s="1"/>
  <c r="F540" i="34"/>
  <c r="M154" i="5"/>
  <c r="M479" i="5"/>
  <c r="L244" i="48"/>
  <c r="L235" i="48"/>
  <c r="L241" i="48"/>
  <c r="R432" i="5"/>
  <c r="S432" i="5" s="1"/>
  <c r="Q186" i="5"/>
  <c r="Q410" i="5"/>
  <c r="P175" i="5"/>
  <c r="P419" i="5"/>
  <c r="L248" i="48"/>
  <c r="P115" i="48"/>
  <c r="I540" i="34"/>
  <c r="I367" i="34"/>
  <c r="I486" i="34" s="1"/>
  <c r="L243" i="48"/>
  <c r="L234" i="48"/>
  <c r="L240" i="48"/>
  <c r="K514" i="5"/>
  <c r="P361" i="5"/>
  <c r="P124" i="5"/>
  <c r="Q342" i="5"/>
  <c r="M26" i="5"/>
  <c r="B325" i="15"/>
  <c r="O388" i="5"/>
  <c r="O390" i="5" s="1"/>
  <c r="O399" i="5" s="1"/>
  <c r="I524" i="34"/>
  <c r="I474" i="34"/>
  <c r="O8" i="5"/>
  <c r="O497" i="5"/>
  <c r="F354" i="34"/>
  <c r="L237" i="48"/>
  <c r="L245" i="48"/>
  <c r="L238" i="48"/>
  <c r="AV36" i="42"/>
  <c r="AV56" i="42" s="1"/>
  <c r="C89" i="42"/>
  <c r="G241" i="10"/>
  <c r="E259" i="10"/>
  <c r="E261" i="10" s="1"/>
  <c r="P313" i="5"/>
  <c r="N112" i="3" s="1"/>
  <c r="O319" i="5"/>
  <c r="O321" i="5" s="1"/>
  <c r="O323" i="5" s="1"/>
  <c r="O333" i="5" s="1"/>
  <c r="O95" i="5"/>
  <c r="O99" i="5" s="1"/>
  <c r="O101" i="5" s="1"/>
  <c r="M114" i="5"/>
  <c r="M467" i="5"/>
  <c r="Q372" i="5"/>
  <c r="P138" i="5"/>
  <c r="P150" i="5" s="1"/>
  <c r="P386" i="5"/>
  <c r="R414" i="5"/>
  <c r="Q177" i="5"/>
  <c r="P128" i="5"/>
  <c r="Q358" i="5"/>
  <c r="Q288" i="5"/>
  <c r="P89" i="5"/>
  <c r="P91" i="5" s="1"/>
  <c r="P307" i="5"/>
  <c r="L247" i="48"/>
  <c r="L246" i="48"/>
  <c r="L236" i="48"/>
  <c r="L239" i="48"/>
  <c r="N498" i="5"/>
  <c r="N501" i="5" s="1"/>
  <c r="N9" i="5"/>
  <c r="N27" i="5" s="1"/>
  <c r="N152" i="5"/>
  <c r="D339" i="34"/>
  <c r="B120" i="15"/>
  <c r="B122" i="15"/>
  <c r="B241" i="3" s="1"/>
  <c r="R382" i="5"/>
  <c r="Q143" i="5"/>
  <c r="N506" i="5"/>
  <c r="N17" i="5"/>
  <c r="R983" i="6"/>
  <c r="S983" i="6" s="1"/>
  <c r="S204" i="6" s="1"/>
  <c r="R535" i="4"/>
  <c r="S535" i="4" s="1"/>
  <c r="Q124" i="4"/>
  <c r="R525" i="4"/>
  <c r="Q123" i="4"/>
  <c r="Q161" i="4" s="1"/>
  <c r="R479" i="4"/>
  <c r="S479" i="4" s="1"/>
  <c r="Q120" i="4"/>
  <c r="B52" i="15"/>
  <c r="R78" i="42"/>
  <c r="R24" i="42"/>
  <c r="C18" i="42"/>
  <c r="L143" i="4"/>
  <c r="L862" i="4"/>
  <c r="Q7" i="10"/>
  <c r="L61" i="4"/>
  <c r="K82" i="4"/>
  <c r="K7" i="4"/>
  <c r="N80" i="4"/>
  <c r="N17" i="4" s="1"/>
  <c r="K850" i="4"/>
  <c r="P507" i="4"/>
  <c r="M115" i="3"/>
  <c r="K312" i="4"/>
  <c r="K853" i="4"/>
  <c r="L851" i="4"/>
  <c r="L207" i="4"/>
  <c r="E10" i="42"/>
  <c r="P7" i="10"/>
  <c r="N39" i="10"/>
  <c r="K417" i="4"/>
  <c r="P350" i="4"/>
  <c r="O65" i="4"/>
  <c r="O408" i="4"/>
  <c r="L40" i="15"/>
  <c r="L9" i="15" s="1"/>
  <c r="Z70" i="42"/>
  <c r="M34" i="60" s="1"/>
  <c r="K8" i="42"/>
  <c r="K70" i="42" s="1"/>
  <c r="M8" i="60" s="1"/>
  <c r="Q691" i="4"/>
  <c r="P183" i="4"/>
  <c r="P761" i="4"/>
  <c r="O766" i="4"/>
  <c r="O241" i="4"/>
  <c r="M10" i="4"/>
  <c r="P453" i="4"/>
  <c r="O111" i="4"/>
  <c r="P681" i="4"/>
  <c r="O181" i="4"/>
  <c r="O699" i="4"/>
  <c r="O701" i="4" s="1"/>
  <c r="L865" i="4"/>
  <c r="L301" i="4"/>
  <c r="N222" i="4"/>
  <c r="Z81" i="42"/>
  <c r="M45" i="60" s="1"/>
  <c r="K21" i="42"/>
  <c r="K81" i="42" s="1"/>
  <c r="M19" i="60" s="1"/>
  <c r="P365" i="4"/>
  <c r="N127" i="4"/>
  <c r="N139" i="4" s="1"/>
  <c r="N650" i="4"/>
  <c r="N652" i="4" s="1"/>
  <c r="N659" i="4" s="1"/>
  <c r="P785" i="4"/>
  <c r="O278" i="4"/>
  <c r="O798" i="4"/>
  <c r="P811" i="4"/>
  <c r="O291" i="4"/>
  <c r="K40" i="15"/>
  <c r="K9" i="15" s="1"/>
  <c r="Y70" i="42"/>
  <c r="L34" i="60" s="1"/>
  <c r="J8" i="42"/>
  <c r="J70" i="42" s="1"/>
  <c r="L8" i="60" s="1"/>
  <c r="O129" i="4"/>
  <c r="M59" i="4"/>
  <c r="M346" i="4"/>
  <c r="M410" i="4" s="1"/>
  <c r="M412" i="4" s="1"/>
  <c r="B133" i="15"/>
  <c r="D809" i="34"/>
  <c r="P802" i="4"/>
  <c r="O833" i="4"/>
  <c r="O289" i="4"/>
  <c r="J900" i="4"/>
  <c r="H40" i="3"/>
  <c r="Q280" i="4"/>
  <c r="J849" i="4"/>
  <c r="J95" i="4"/>
  <c r="P723" i="4"/>
  <c r="O217" i="4"/>
  <c r="O264" i="4" s="1"/>
  <c r="O728" i="4"/>
  <c r="AA8" i="42" s="1"/>
  <c r="N246" i="4"/>
  <c r="P634" i="4"/>
  <c r="R475" i="4"/>
  <c r="S475" i="4" s="1"/>
  <c r="P496" i="4"/>
  <c r="P118" i="4" s="1"/>
  <c r="O121" i="4"/>
  <c r="O159" i="4" s="1"/>
  <c r="O581" i="4"/>
  <c r="P618" i="4"/>
  <c r="O649" i="4"/>
  <c r="K8" i="12"/>
  <c r="H254" i="3"/>
  <c r="H683" i="34"/>
  <c r="H198" i="34" s="1"/>
  <c r="H199" i="34" s="1"/>
  <c r="G133" i="13"/>
  <c r="H71" i="3"/>
  <c r="H72" i="3" s="1"/>
  <c r="V49" i="42"/>
  <c r="H206" i="15"/>
  <c r="H151" i="15" s="1"/>
  <c r="J593" i="4"/>
  <c r="L12" i="11"/>
  <c r="M39" i="10"/>
  <c r="H793" i="34"/>
  <c r="H804" i="34" s="1"/>
  <c r="H201" i="34"/>
  <c r="AK25" i="9"/>
  <c r="AK221" i="9" s="1"/>
  <c r="H232" i="3" s="1"/>
  <c r="O106" i="15"/>
  <c r="M570" i="34"/>
  <c r="M393" i="34"/>
  <c r="M510" i="34" s="1"/>
  <c r="P301" i="15"/>
  <c r="BH41" i="42"/>
  <c r="P119" i="17"/>
  <c r="N337" i="34"/>
  <c r="H155" i="11"/>
  <c r="L162" i="48" l="1"/>
  <c r="Q22" i="12"/>
  <c r="S434" i="4"/>
  <c r="S224" i="5"/>
  <c r="S1050" i="6"/>
  <c r="S1048" i="6"/>
  <c r="S373" i="5"/>
  <c r="S914" i="6"/>
  <c r="S153" i="6" s="1"/>
  <c r="R130" i="1"/>
  <c r="S736" i="4"/>
  <c r="S1952" i="6"/>
  <c r="S1040" i="6"/>
  <c r="Q726" i="34" s="1"/>
  <c r="S1057" i="6"/>
  <c r="S262" i="6" s="1"/>
  <c r="S527" i="4"/>
  <c r="S452" i="7"/>
  <c r="S1131" i="6"/>
  <c r="Q556" i="34"/>
  <c r="Q380" i="34"/>
  <c r="Q498" i="34" s="1"/>
  <c r="Q412" i="34"/>
  <c r="Q459" i="34"/>
  <c r="Q460" i="34" s="1"/>
  <c r="Q68" i="34"/>
  <c r="Q23" i="34"/>
  <c r="Q26" i="34" s="1"/>
  <c r="Q411" i="34" s="1"/>
  <c r="R54" i="27"/>
  <c r="S49" i="27"/>
  <c r="S54" i="27" s="1"/>
  <c r="BO127" i="9"/>
  <c r="BN143" i="9"/>
  <c r="R128" i="1"/>
  <c r="Q662" i="34"/>
  <c r="Q663" i="34" s="1"/>
  <c r="S318" i="8"/>
  <c r="S645" i="4"/>
  <c r="Q26" i="12"/>
  <c r="S1335" i="6"/>
  <c r="S430" i="6" s="1"/>
  <c r="S1072" i="7"/>
  <c r="S13" i="27"/>
  <c r="S20" i="27" s="1"/>
  <c r="S993" i="6"/>
  <c r="S208" i="6" s="1"/>
  <c r="S754" i="6"/>
  <c r="S77" i="6" s="1"/>
  <c r="Q31" i="34"/>
  <c r="P129" i="9"/>
  <c r="AG186" i="10"/>
  <c r="AH186" i="10" s="1"/>
  <c r="AG109" i="11" s="1"/>
  <c r="AH109" i="11" s="1"/>
  <c r="AI109" i="11" s="1"/>
  <c r="BS129" i="9"/>
  <c r="BT129" i="9" s="1"/>
  <c r="S257" i="8"/>
  <c r="S58" i="8" s="1"/>
  <c r="S431" i="4"/>
  <c r="S104" i="4" s="1"/>
  <c r="S859" i="6"/>
  <c r="S140" i="6" s="1"/>
  <c r="Q570" i="34"/>
  <c r="Q393" i="34"/>
  <c r="Q510" i="34" s="1"/>
  <c r="S374" i="8"/>
  <c r="S1049" i="6"/>
  <c r="S471" i="4"/>
  <c r="S610" i="4"/>
  <c r="S978" i="6"/>
  <c r="S201" i="6" s="1"/>
  <c r="S487" i="7"/>
  <c r="S845" i="6"/>
  <c r="S139" i="6" s="1"/>
  <c r="S1874" i="6"/>
  <c r="S847" i="7"/>
  <c r="S817" i="4"/>
  <c r="S1285" i="6"/>
  <c r="S404" i="6" s="1"/>
  <c r="S350" i="5"/>
  <c r="Q74" i="34"/>
  <c r="P55" i="13"/>
  <c r="P72" i="13"/>
  <c r="Q294" i="3"/>
  <c r="P127" i="9"/>
  <c r="AG184" i="10"/>
  <c r="AH184" i="10" s="1"/>
  <c r="AG107" i="11" s="1"/>
  <c r="AH107" i="11" s="1"/>
  <c r="AI107" i="11" s="1"/>
  <c r="BS127" i="9"/>
  <c r="S1629" i="6"/>
  <c r="S1091" i="7"/>
  <c r="S490" i="4"/>
  <c r="S1739" i="6"/>
  <c r="S583" i="6" s="1"/>
  <c r="S381" i="5"/>
  <c r="P128" i="9"/>
  <c r="BS128" i="9"/>
  <c r="BT128" i="9" s="1"/>
  <c r="AG185" i="10"/>
  <c r="AH185" i="10" s="1"/>
  <c r="AG108" i="11" s="1"/>
  <c r="AH108" i="11" s="1"/>
  <c r="AI108" i="11" s="1"/>
  <c r="S902" i="6"/>
  <c r="S794" i="6"/>
  <c r="AI8" i="54"/>
  <c r="S732" i="4"/>
  <c r="S984" i="6"/>
  <c r="S205" i="6" s="1"/>
  <c r="AF85" i="11"/>
  <c r="AI3" i="11"/>
  <c r="AM3" i="11"/>
  <c r="AM85" i="11" s="1"/>
  <c r="AJ85" i="11"/>
  <c r="J63" i="6"/>
  <c r="H47" i="3" s="1"/>
  <c r="J291" i="6"/>
  <c r="P28" i="12"/>
  <c r="S59" i="8"/>
  <c r="S68" i="8"/>
  <c r="L206" i="48"/>
  <c r="S410" i="6"/>
  <c r="S146" i="6"/>
  <c r="S321" i="6"/>
  <c r="Q728" i="34"/>
  <c r="S824" i="6"/>
  <c r="S329" i="6"/>
  <c r="S302" i="6"/>
  <c r="S263" i="6"/>
  <c r="Q725" i="34"/>
  <c r="S2027" i="6"/>
  <c r="S643" i="6"/>
  <c r="S148" i="6"/>
  <c r="S260" i="6"/>
  <c r="S154" i="6"/>
  <c r="S638" i="6"/>
  <c r="S130" i="6"/>
  <c r="S585" i="6"/>
  <c r="S152" i="6"/>
  <c r="S366" i="6"/>
  <c r="S673" i="6"/>
  <c r="S207" i="6"/>
  <c r="S145" i="6"/>
  <c r="S403" i="6"/>
  <c r="S301" i="6"/>
  <c r="S310" i="6"/>
  <c r="Q768" i="34"/>
  <c r="S249" i="6"/>
  <c r="BZ120" i="9"/>
  <c r="Q209" i="3"/>
  <c r="Q145" i="3"/>
  <c r="S193" i="6"/>
  <c r="S414" i="6"/>
  <c r="S1486" i="6"/>
  <c r="S1770" i="6"/>
  <c r="S598" i="6"/>
  <c r="S605" i="6" s="1"/>
  <c r="S406" i="6"/>
  <c r="S652" i="6"/>
  <c r="Q120" i="9"/>
  <c r="S449" i="6"/>
  <c r="S1373" i="6"/>
  <c r="S427" i="6"/>
  <c r="S91" i="6"/>
  <c r="S653" i="6"/>
  <c r="S405" i="6"/>
  <c r="O400" i="7"/>
  <c r="O13" i="7" s="1"/>
  <c r="P1044" i="7"/>
  <c r="S317" i="7"/>
  <c r="X23" i="26"/>
  <c r="S233" i="7"/>
  <c r="R82" i="7"/>
  <c r="S231" i="7"/>
  <c r="S88" i="7"/>
  <c r="R95" i="7"/>
  <c r="S518" i="7"/>
  <c r="S95" i="7" s="1"/>
  <c r="R290" i="7"/>
  <c r="S804" i="7"/>
  <c r="S290" i="7" s="1"/>
  <c r="R89" i="7"/>
  <c r="S501" i="7"/>
  <c r="S89" i="7" s="1"/>
  <c r="R229" i="7"/>
  <c r="S684" i="7"/>
  <c r="S229" i="7" s="1"/>
  <c r="S925" i="7"/>
  <c r="S190" i="7"/>
  <c r="S274" i="7"/>
  <c r="S965" i="7"/>
  <c r="S321" i="7"/>
  <c r="S339" i="7"/>
  <c r="S188" i="7"/>
  <c r="S280" i="7"/>
  <c r="S80" i="7"/>
  <c r="S74" i="7"/>
  <c r="S584" i="7"/>
  <c r="S1154" i="7" s="1"/>
  <c r="S150" i="7"/>
  <c r="S153" i="7" s="1"/>
  <c r="S82" i="7"/>
  <c r="R262" i="7"/>
  <c r="S730" i="7"/>
  <c r="S262" i="7" s="1"/>
  <c r="R286" i="7"/>
  <c r="S798" i="7"/>
  <c r="S286" i="7" s="1"/>
  <c r="S1110" i="7"/>
  <c r="S417" i="7"/>
  <c r="S423" i="7" s="1"/>
  <c r="R191" i="7"/>
  <c r="S644" i="7"/>
  <c r="S191" i="7" s="1"/>
  <c r="S279" i="7"/>
  <c r="S849" i="7"/>
  <c r="R98" i="7"/>
  <c r="S521" i="7"/>
  <c r="S98" i="7" s="1"/>
  <c r="AM100" i="10"/>
  <c r="AN100" i="10" s="1"/>
  <c r="AL88" i="10"/>
  <c r="AN88" i="10" s="1"/>
  <c r="Q139" i="9"/>
  <c r="Q63" i="12"/>
  <c r="P9" i="12"/>
  <c r="S343" i="4" s="1"/>
  <c r="AC43" i="42"/>
  <c r="N43" i="42" s="1"/>
  <c r="O203" i="15"/>
  <c r="O148" i="15" s="1"/>
  <c r="N119" i="13"/>
  <c r="S951" i="7"/>
  <c r="S370" i="7" s="1"/>
  <c r="S51" i="7" s="1"/>
  <c r="Q59" i="3" s="1"/>
  <c r="P77" i="13"/>
  <c r="R951" i="7"/>
  <c r="R370" i="7" s="1"/>
  <c r="O77" i="13"/>
  <c r="Q256" i="15"/>
  <c r="AT45" i="42"/>
  <c r="S314" i="8"/>
  <c r="S67" i="8" s="1"/>
  <c r="Q742" i="34"/>
  <c r="Q744" i="34" s="1"/>
  <c r="AT21" i="42"/>
  <c r="Q85" i="15" s="1"/>
  <c r="S69" i="8"/>
  <c r="S64" i="8"/>
  <c r="S65" i="8"/>
  <c r="R75" i="8"/>
  <c r="S260" i="8"/>
  <c r="S75" i="8" s="1"/>
  <c r="Q114" i="3"/>
  <c r="R123" i="8"/>
  <c r="S444" i="8"/>
  <c r="S123" i="8" s="1"/>
  <c r="S57" i="8"/>
  <c r="S45" i="8"/>
  <c r="S55" i="8"/>
  <c r="S126" i="8"/>
  <c r="S48" i="8"/>
  <c r="AT12" i="42"/>
  <c r="R60" i="8"/>
  <c r="S267" i="8"/>
  <c r="S60" i="8" s="1"/>
  <c r="R130" i="8"/>
  <c r="S493" i="8"/>
  <c r="S130" i="8" s="1"/>
  <c r="S79" i="8"/>
  <c r="S337" i="8"/>
  <c r="Q27" i="16"/>
  <c r="Q12" i="16" s="1"/>
  <c r="Q247" i="15" s="1"/>
  <c r="Q269" i="15" s="1"/>
  <c r="S530" i="8"/>
  <c r="S142" i="8"/>
  <c r="S149" i="8" s="1"/>
  <c r="BI34" i="42" s="1"/>
  <c r="BI22" i="42"/>
  <c r="Q27" i="17"/>
  <c r="Q12" i="17" s="1"/>
  <c r="Q296" i="15" s="1"/>
  <c r="Q318" i="15" s="1"/>
  <c r="R125" i="8"/>
  <c r="S459" i="8"/>
  <c r="S125" i="8" s="1"/>
  <c r="S63" i="8"/>
  <c r="R370" i="8"/>
  <c r="R108" i="8" s="1"/>
  <c r="P394" i="34" s="1"/>
  <c r="S359" i="8"/>
  <c r="R182" i="8"/>
  <c r="R46" i="8" s="1"/>
  <c r="S174" i="8"/>
  <c r="S182" i="8" s="1"/>
  <c r="S46" i="8" s="1"/>
  <c r="S185" i="5"/>
  <c r="R125" i="5"/>
  <c r="S348" i="5"/>
  <c r="S125" i="5" s="1"/>
  <c r="R61" i="5"/>
  <c r="S250" i="5"/>
  <c r="S61" i="5" s="1"/>
  <c r="R143" i="5"/>
  <c r="S382" i="5"/>
  <c r="R177" i="5"/>
  <c r="S414" i="5"/>
  <c r="S177" i="5" s="1"/>
  <c r="R54" i="5"/>
  <c r="S238" i="5"/>
  <c r="S54" i="5" s="1"/>
  <c r="R136" i="5"/>
  <c r="S366" i="5"/>
  <c r="S136" i="5" s="1"/>
  <c r="S186" i="5"/>
  <c r="R126" i="5"/>
  <c r="S352" i="5"/>
  <c r="S126" i="5" s="1"/>
  <c r="N162" i="4"/>
  <c r="R104" i="4"/>
  <c r="S511" i="4"/>
  <c r="S122" i="4" s="1"/>
  <c r="R122" i="4"/>
  <c r="Q109" i="4"/>
  <c r="R442" i="4"/>
  <c r="S234" i="4"/>
  <c r="R559" i="4"/>
  <c r="R126" i="4" s="1"/>
  <c r="S364" i="4"/>
  <c r="S68" i="4" s="1"/>
  <c r="R68" i="4"/>
  <c r="P69" i="4"/>
  <c r="P76" i="4" s="1"/>
  <c r="G474" i="34"/>
  <c r="S360" i="4"/>
  <c r="S366" i="4"/>
  <c r="S367" i="4"/>
  <c r="S368" i="4"/>
  <c r="S797" i="4"/>
  <c r="S282" i="4" s="1"/>
  <c r="R282" i="4"/>
  <c r="S120" i="4"/>
  <c r="R70" i="4"/>
  <c r="S369" i="4"/>
  <c r="S70" i="4" s="1"/>
  <c r="S281" i="4"/>
  <c r="R228" i="4"/>
  <c r="S741" i="4"/>
  <c r="S228" i="4" s="1"/>
  <c r="R805" i="4"/>
  <c r="R290" i="4" s="1"/>
  <c r="S791" i="4"/>
  <c r="S805" i="4" s="1"/>
  <c r="R123" i="4"/>
  <c r="S525" i="4"/>
  <c r="S123" i="4" s="1"/>
  <c r="S173" i="4"/>
  <c r="S807" i="4"/>
  <c r="R138" i="4"/>
  <c r="S579" i="4"/>
  <c r="S138" i="4" s="1"/>
  <c r="R220" i="4"/>
  <c r="S726" i="4"/>
  <c r="S220" i="4" s="1"/>
  <c r="R279" i="4"/>
  <c r="S788" i="4"/>
  <c r="S279" i="4" s="1"/>
  <c r="R67" i="4"/>
  <c r="S361" i="4"/>
  <c r="S67" i="4" s="1"/>
  <c r="R280" i="4"/>
  <c r="R114" i="4"/>
  <c r="S448" i="4"/>
  <c r="S114" i="4" s="1"/>
  <c r="S124" i="4"/>
  <c r="R107" i="4"/>
  <c r="R160" i="4" s="1"/>
  <c r="S438" i="4"/>
  <c r="S107" i="4" s="1"/>
  <c r="AJ25" i="10"/>
  <c r="R418" i="4" s="1"/>
  <c r="R91" i="4" s="1"/>
  <c r="R42" i="4" s="1"/>
  <c r="S373" i="4"/>
  <c r="R41" i="55"/>
  <c r="Q28" i="12"/>
  <c r="Q9" i="12"/>
  <c r="CD99" i="9"/>
  <c r="X86" i="37"/>
  <c r="Q82" i="9"/>
  <c r="K93" i="14"/>
  <c r="K91" i="14"/>
  <c r="K144" i="14" s="1"/>
  <c r="K143" i="14" s="1"/>
  <c r="K216" i="14" s="1"/>
  <c r="CD62" i="9"/>
  <c r="CD64" i="9" s="1"/>
  <c r="S1583" i="6"/>
  <c r="CD193" i="9"/>
  <c r="DE181" i="9"/>
  <c r="CD181" i="9"/>
  <c r="CD123" i="9"/>
  <c r="X27" i="37"/>
  <c r="DE30" i="9"/>
  <c r="S716" i="7"/>
  <c r="CD30" i="9"/>
  <c r="DA33" i="9"/>
  <c r="CN33" i="9"/>
  <c r="P91" i="10"/>
  <c r="K1151" i="6"/>
  <c r="O94" i="10"/>
  <c r="Q206" i="3"/>
  <c r="P75" i="13"/>
  <c r="Q202" i="15" s="1"/>
  <c r="Q147" i="15" s="1"/>
  <c r="H118" i="17"/>
  <c r="H82" i="3"/>
  <c r="P307" i="45"/>
  <c r="CS86" i="22"/>
  <c r="CF86" i="22"/>
  <c r="CS46" i="22"/>
  <c r="CF46" i="22"/>
  <c r="CS44" i="22"/>
  <c r="CF44" i="22"/>
  <c r="CS45" i="22"/>
  <c r="CF45" i="22"/>
  <c r="CS31" i="22"/>
  <c r="CF31" i="22"/>
  <c r="CS40" i="22"/>
  <c r="CF40" i="22"/>
  <c r="CS39" i="22"/>
  <c r="CF39" i="22"/>
  <c r="CS30" i="22"/>
  <c r="CF30" i="22"/>
  <c r="CR18" i="21"/>
  <c r="CR28" i="21"/>
  <c r="CR42" i="21"/>
  <c r="CR41" i="21"/>
  <c r="CR36" i="21"/>
  <c r="CR44" i="21"/>
  <c r="CR47" i="21"/>
  <c r="CQ33" i="21"/>
  <c r="CD33" i="21"/>
  <c r="CR11" i="21"/>
  <c r="Q69" i="21"/>
  <c r="BQ69" i="21" s="1"/>
  <c r="Q153" i="22"/>
  <c r="Q150" i="22"/>
  <c r="Q98" i="3" s="1"/>
  <c r="Q68" i="21"/>
  <c r="BM9" i="21"/>
  <c r="Q9" i="21"/>
  <c r="BM70" i="21"/>
  <c r="Q70" i="21"/>
  <c r="BM23" i="21"/>
  <c r="Q23" i="21"/>
  <c r="BM61" i="21"/>
  <c r="Q61" i="21"/>
  <c r="DD32" i="9"/>
  <c r="CQ32" i="9"/>
  <c r="DE32" i="9" s="1"/>
  <c r="DD11" i="9"/>
  <c r="CQ11" i="9"/>
  <c r="DE11" i="9" s="1"/>
  <c r="DD105" i="9"/>
  <c r="CQ105" i="9"/>
  <c r="DE105" i="9" s="1"/>
  <c r="DD40" i="9"/>
  <c r="CQ40" i="9"/>
  <c r="DE40" i="9" s="1"/>
  <c r="DD165" i="9"/>
  <c r="CQ165" i="9"/>
  <c r="DE165" i="9" s="1"/>
  <c r="DD169" i="9"/>
  <c r="CQ169" i="9"/>
  <c r="DE169" i="9" s="1"/>
  <c r="DD49" i="9"/>
  <c r="CQ49" i="9"/>
  <c r="DE49" i="9" s="1"/>
  <c r="CA174" i="9"/>
  <c r="Q949" i="6"/>
  <c r="Q178" i="6" s="1"/>
  <c r="BY141" i="9"/>
  <c r="W8" i="37" s="1"/>
  <c r="Q141" i="9"/>
  <c r="BY151" i="9"/>
  <c r="Q151" i="9"/>
  <c r="BX210" i="9"/>
  <c r="BY210" i="9" s="1"/>
  <c r="Q210" i="9"/>
  <c r="P146" i="9"/>
  <c r="Q146" i="9" s="1"/>
  <c r="Q1153" i="6"/>
  <c r="Q353" i="6" s="1"/>
  <c r="Q422" i="6"/>
  <c r="Q1370" i="6"/>
  <c r="Q709" i="6"/>
  <c r="P1734" i="6"/>
  <c r="Q1732" i="6"/>
  <c r="P1765" i="6"/>
  <c r="P1767" i="6" s="1"/>
  <c r="Q1741" i="6"/>
  <c r="Q1007" i="6"/>
  <c r="Q634" i="6"/>
  <c r="Q303" i="6"/>
  <c r="Q1175" i="6"/>
  <c r="Q167" i="6"/>
  <c r="Q412" i="6"/>
  <c r="Q1403" i="6"/>
  <c r="Q1463" i="6" s="1"/>
  <c r="Q1465" i="6" s="1"/>
  <c r="Q1474" i="6" s="1"/>
  <c r="Q448" i="6"/>
  <c r="Q454" i="6" s="1"/>
  <c r="Q1509" i="6"/>
  <c r="Q375" i="6"/>
  <c r="Q379" i="6" s="1"/>
  <c r="Q27" i="6" s="1"/>
  <c r="Q1228" i="6"/>
  <c r="Q1257" i="6"/>
  <c r="Q785" i="6"/>
  <c r="Q767" i="6"/>
  <c r="Q78" i="6"/>
  <c r="Q81" i="6" s="1"/>
  <c r="Q190" i="6"/>
  <c r="Q196" i="6" s="1"/>
  <c r="Q970" i="6"/>
  <c r="Q336" i="6"/>
  <c r="Q1144" i="6"/>
  <c r="Q697" i="6"/>
  <c r="Q506" i="6"/>
  <c r="Q511" i="6" s="1"/>
  <c r="Q1643" i="6"/>
  <c r="Q698" i="6"/>
  <c r="Q1990" i="6"/>
  <c r="Q700" i="6" s="1"/>
  <c r="Q221" i="6"/>
  <c r="Q409" i="6"/>
  <c r="Q1539" i="6"/>
  <c r="P1202" i="6"/>
  <c r="P1204" i="6" s="1"/>
  <c r="Q1200" i="6"/>
  <c r="Q1202" i="6" s="1"/>
  <c r="P938" i="6"/>
  <c r="P940" i="6" s="1"/>
  <c r="Q929" i="6"/>
  <c r="O724" i="34" s="1"/>
  <c r="Q1570" i="6"/>
  <c r="Q444" i="6"/>
  <c r="Q433" i="6"/>
  <c r="Q435" i="6" s="1"/>
  <c r="Q645" i="6"/>
  <c r="Q2023" i="6"/>
  <c r="Q722" i="6" s="1"/>
  <c r="Q308" i="6"/>
  <c r="Q1105" i="6"/>
  <c r="Q272" i="6"/>
  <c r="Q1074" i="6"/>
  <c r="Q545" i="6"/>
  <c r="Q550" i="6" s="1"/>
  <c r="Q1701" i="6"/>
  <c r="K25" i="6"/>
  <c r="K41" i="6" s="1"/>
  <c r="Q871" i="6"/>
  <c r="Q1698" i="6"/>
  <c r="Q326" i="6"/>
  <c r="Q1004" i="6"/>
  <c r="Q408" i="6"/>
  <c r="Q1299" i="6"/>
  <c r="Q246" i="6"/>
  <c r="Q254" i="6" s="1"/>
  <c r="Q1035" i="6"/>
  <c r="Q103" i="6"/>
  <c r="Q108" i="6" s="1"/>
  <c r="Q803" i="6"/>
  <c r="Q533" i="6"/>
  <c r="Q535" i="6" s="1"/>
  <c r="Q1670" i="6"/>
  <c r="Q1700" i="6" s="1"/>
  <c r="Q445" i="6"/>
  <c r="Q1506" i="6"/>
  <c r="Q1508" i="6" s="1"/>
  <c r="Q216" i="6"/>
  <c r="Q222" i="6" s="1"/>
  <c r="Q1008" i="6"/>
  <c r="Q494" i="6"/>
  <c r="Q1813" i="6"/>
  <c r="R146" i="6"/>
  <c r="R153" i="6"/>
  <c r="R478" i="6"/>
  <c r="R439" i="6"/>
  <c r="R725" i="6"/>
  <c r="R262" i="6"/>
  <c r="R406" i="6"/>
  <c r="R160" i="6"/>
  <c r="R325" i="6"/>
  <c r="R209" i="6"/>
  <c r="R658" i="6"/>
  <c r="R440" i="6"/>
  <c r="R593" i="6"/>
  <c r="R673" i="6"/>
  <c r="R573" i="6"/>
  <c r="R330" i="6"/>
  <c r="R329" i="6" s="1"/>
  <c r="R302" i="6"/>
  <c r="R410" i="6"/>
  <c r="R210" i="6"/>
  <c r="R87" i="6"/>
  <c r="R652" i="6"/>
  <c r="R431" i="6"/>
  <c r="R304" i="6"/>
  <c r="R426" i="6"/>
  <c r="R211" i="6"/>
  <c r="R428" i="6"/>
  <c r="R263" i="6"/>
  <c r="P728" i="34"/>
  <c r="R148" i="6"/>
  <c r="R147" i="6"/>
  <c r="R305" i="6"/>
  <c r="R261" i="6"/>
  <c r="R427" i="6"/>
  <c r="R589" i="6"/>
  <c r="R206" i="6"/>
  <c r="R264" i="6"/>
  <c r="R91" i="6"/>
  <c r="M251" i="48"/>
  <c r="P751" i="34"/>
  <c r="P25" i="34"/>
  <c r="O440" i="34"/>
  <c r="P440" i="34" s="1"/>
  <c r="Q440" i="34" s="1"/>
  <c r="N620" i="34"/>
  <c r="O617" i="34"/>
  <c r="P617" i="34" s="1"/>
  <c r="O408" i="34"/>
  <c r="P408" i="34" s="1"/>
  <c r="Q408" i="34" s="1"/>
  <c r="N581" i="34"/>
  <c r="O413" i="34"/>
  <c r="P413" i="34" s="1"/>
  <c r="Q413" i="34" s="1"/>
  <c r="R127" i="8"/>
  <c r="R77" i="6"/>
  <c r="R260" i="6"/>
  <c r="P397" i="7"/>
  <c r="Q1041" i="7"/>
  <c r="H150" i="34"/>
  <c r="H154" i="34"/>
  <c r="H156" i="34" s="1"/>
  <c r="J173" i="3"/>
  <c r="J202" i="3"/>
  <c r="Q72" i="1"/>
  <c r="Q75" i="1" s="1"/>
  <c r="P75" i="1"/>
  <c r="R62" i="8"/>
  <c r="AS21" i="42"/>
  <c r="P85" i="15" s="1"/>
  <c r="R64" i="8"/>
  <c r="R59" i="8"/>
  <c r="I34" i="3"/>
  <c r="P387" i="7"/>
  <c r="Q1038" i="7"/>
  <c r="I70" i="17"/>
  <c r="J154" i="22"/>
  <c r="R139" i="6"/>
  <c r="J178" i="3"/>
  <c r="J179" i="3" s="1"/>
  <c r="BB19" i="42"/>
  <c r="O97" i="1"/>
  <c r="P90" i="1"/>
  <c r="P137" i="4"/>
  <c r="Q578" i="4"/>
  <c r="L536" i="8"/>
  <c r="T21" i="20"/>
  <c r="T23" i="20" s="1"/>
  <c r="V20" i="20" s="1"/>
  <c r="R185" i="5"/>
  <c r="P388" i="7"/>
  <c r="Q1039" i="7"/>
  <c r="P384" i="7"/>
  <c r="Q1021" i="7"/>
  <c r="I504" i="34"/>
  <c r="BA52" i="42"/>
  <c r="BA54" i="42" s="1"/>
  <c r="L102" i="20"/>
  <c r="J203" i="3" s="1"/>
  <c r="M64" i="20"/>
  <c r="L100" i="20"/>
  <c r="AA11" i="42"/>
  <c r="AA72" i="42" s="1"/>
  <c r="N36" i="60" s="1"/>
  <c r="R380" i="5"/>
  <c r="Q145" i="5"/>
  <c r="Q142" i="5"/>
  <c r="R257" i="5"/>
  <c r="Q62" i="5"/>
  <c r="Q27" i="1"/>
  <c r="O289" i="3"/>
  <c r="O299" i="3" s="1"/>
  <c r="R152" i="6"/>
  <c r="R321" i="6"/>
  <c r="R20" i="27"/>
  <c r="R359" i="5"/>
  <c r="Q129" i="5"/>
  <c r="L300" i="3"/>
  <c r="L291" i="3"/>
  <c r="R234" i="4"/>
  <c r="BT123" i="9"/>
  <c r="R68" i="8"/>
  <c r="BI73" i="21"/>
  <c r="O81" i="21" s="1"/>
  <c r="O83" i="21" s="1"/>
  <c r="P97" i="3" s="1"/>
  <c r="R69" i="8"/>
  <c r="R61" i="8"/>
  <c r="P182" i="9"/>
  <c r="BT182" i="9"/>
  <c r="O606" i="34"/>
  <c r="N582" i="34"/>
  <c r="R88" i="7"/>
  <c r="DB139" i="9"/>
  <c r="BO139" i="9"/>
  <c r="Q21" i="8"/>
  <c r="AR22" i="42"/>
  <c r="N86" i="15" s="1"/>
  <c r="N326" i="34" s="1"/>
  <c r="Q85" i="8"/>
  <c r="R63" i="8"/>
  <c r="P296" i="3"/>
  <c r="P62" i="12"/>
  <c r="P23" i="34"/>
  <c r="P5" i="12"/>
  <c r="R45" i="8"/>
  <c r="P100" i="9"/>
  <c r="BT100" i="9"/>
  <c r="Q41" i="55"/>
  <c r="Q43" i="55" s="1"/>
  <c r="R40" i="55" s="1"/>
  <c r="R43" i="55" s="1"/>
  <c r="O381" i="34"/>
  <c r="AR11" i="42"/>
  <c r="O74" i="15" s="1"/>
  <c r="P27" i="17"/>
  <c r="P12" i="17" s="1"/>
  <c r="P296" i="15" s="1"/>
  <c r="P318" i="15" s="1"/>
  <c r="R142" i="8"/>
  <c r="R149" i="8" s="1"/>
  <c r="BH34" i="42" s="1"/>
  <c r="R530" i="8"/>
  <c r="BH22" i="42"/>
  <c r="R402" i="8"/>
  <c r="S402" i="8" s="1"/>
  <c r="Q86" i="17" s="1"/>
  <c r="Q120" i="8"/>
  <c r="O86" i="17"/>
  <c r="M298" i="3"/>
  <c r="M290" i="3"/>
  <c r="Q177" i="8"/>
  <c r="P44" i="8"/>
  <c r="AQ8" i="42" s="1"/>
  <c r="N71" i="15" s="1"/>
  <c r="P114" i="9"/>
  <c r="Q114" i="9" s="1"/>
  <c r="BT114" i="9"/>
  <c r="DC114" i="9"/>
  <c r="AJ100" i="10"/>
  <c r="R247" i="5"/>
  <c r="S247" i="5" s="1"/>
  <c r="S60" i="5" s="1"/>
  <c r="R339" i="7"/>
  <c r="AS11" i="42"/>
  <c r="P74" i="15" s="1"/>
  <c r="P381" i="34"/>
  <c r="AT25" i="10"/>
  <c r="O296" i="3"/>
  <c r="N89" i="17"/>
  <c r="N34" i="17" s="1"/>
  <c r="BF45" i="42" s="1"/>
  <c r="BF47" i="42" s="1"/>
  <c r="AS19" i="42"/>
  <c r="P169" i="3"/>
  <c r="P170" i="3" s="1"/>
  <c r="R188" i="7"/>
  <c r="R527" i="7"/>
  <c r="Q104" i="7"/>
  <c r="P115" i="9"/>
  <c r="BT115" i="9"/>
  <c r="R824" i="6"/>
  <c r="R130" i="6"/>
  <c r="R403" i="8"/>
  <c r="O87" i="17"/>
  <c r="BQ139" i="9"/>
  <c r="BQ143" i="9" s="1"/>
  <c r="BQ219" i="9" s="1"/>
  <c r="BQ221" i="9" s="1"/>
  <c r="O63" i="12"/>
  <c r="Q1080" i="6" s="1"/>
  <c r="Q287" i="6" s="1"/>
  <c r="O139" i="9"/>
  <c r="R154" i="6"/>
  <c r="R65" i="8"/>
  <c r="AP54" i="42"/>
  <c r="P584" i="6"/>
  <c r="P7" i="12"/>
  <c r="R526" i="7"/>
  <c r="Q103" i="7"/>
  <c r="BM68" i="21"/>
  <c r="CR68" i="21"/>
  <c r="L54" i="15"/>
  <c r="L23" i="15" s="1"/>
  <c r="R120" i="4"/>
  <c r="R124" i="4"/>
  <c r="R207" i="6"/>
  <c r="R592" i="6"/>
  <c r="R653" i="6"/>
  <c r="R1740" i="6"/>
  <c r="S1740" i="6" s="1"/>
  <c r="P1080" i="6"/>
  <c r="P287" i="6" s="1"/>
  <c r="N97" i="12"/>
  <c r="AD7" i="10" s="1"/>
  <c r="AD39" i="10" s="1"/>
  <c r="R145" i="6"/>
  <c r="R337" i="8"/>
  <c r="R79" i="8"/>
  <c r="P27" i="16"/>
  <c r="P12" i="16" s="1"/>
  <c r="P247" i="15" s="1"/>
  <c r="P269" i="15" s="1"/>
  <c r="R66" i="8"/>
  <c r="R375" i="4"/>
  <c r="Q75" i="4"/>
  <c r="R638" i="6"/>
  <c r="N288" i="3"/>
  <c r="P70" i="1"/>
  <c r="R405" i="6"/>
  <c r="R317" i="5"/>
  <c r="Q97" i="5"/>
  <c r="R603" i="4"/>
  <c r="S603" i="4" s="1"/>
  <c r="R604" i="4"/>
  <c r="S604" i="4" s="1"/>
  <c r="R602" i="4"/>
  <c r="S602" i="4" s="1"/>
  <c r="T18" i="42"/>
  <c r="D52" i="15" s="1"/>
  <c r="S18" i="14"/>
  <c r="L267" i="6"/>
  <c r="L274" i="6" s="1"/>
  <c r="L1070" i="6"/>
  <c r="L1071" i="6" s="1"/>
  <c r="L1075" i="6" s="1"/>
  <c r="L190" i="14"/>
  <c r="M85" i="14" s="1"/>
  <c r="M210" i="14"/>
  <c r="L115" i="14"/>
  <c r="P113" i="37"/>
  <c r="P117" i="37" s="1"/>
  <c r="P37" i="37"/>
  <c r="P60" i="37" s="1"/>
  <c r="P21" i="14"/>
  <c r="I148" i="14"/>
  <c r="L113" i="14"/>
  <c r="U49" i="14" s="1"/>
  <c r="L114" i="14"/>
  <c r="V49" i="14" s="1"/>
  <c r="V51" i="14" s="1"/>
  <c r="M1063" i="6" s="1"/>
  <c r="Q11" i="37"/>
  <c r="S51" i="14"/>
  <c r="L1078" i="6" s="1"/>
  <c r="L285" i="6" s="1"/>
  <c r="K1083" i="6"/>
  <c r="V3" i="37"/>
  <c r="V109" i="37" s="1"/>
  <c r="U108" i="37"/>
  <c r="U110" i="37" s="1"/>
  <c r="U4" i="37"/>
  <c r="V2" i="37" s="1"/>
  <c r="N81" i="37"/>
  <c r="N84" i="37" s="1"/>
  <c r="M98" i="37"/>
  <c r="M100" i="37" s="1"/>
  <c r="D181" i="3" s="1"/>
  <c r="N602" i="6"/>
  <c r="N2082" i="6" s="1"/>
  <c r="D117" i="13"/>
  <c r="D118" i="13" s="1"/>
  <c r="D120" i="13" s="1"/>
  <c r="D126" i="13" s="1"/>
  <c r="D138" i="13" s="1"/>
  <c r="D28" i="13"/>
  <c r="D33" i="13" s="1"/>
  <c r="R1363" i="6"/>
  <c r="S1363" i="6" s="1"/>
  <c r="S434" i="6" s="1"/>
  <c r="N55" i="6"/>
  <c r="Z22" i="42" s="1"/>
  <c r="K22" i="42" s="1"/>
  <c r="N724" i="34"/>
  <c r="N738" i="34" s="1"/>
  <c r="N740" i="34" s="1"/>
  <c r="N216" i="34" s="1"/>
  <c r="M162" i="48"/>
  <c r="K194" i="15"/>
  <c r="K139" i="15" s="1"/>
  <c r="K163" i="15" s="1"/>
  <c r="J69" i="13"/>
  <c r="C279" i="15"/>
  <c r="E438" i="34" s="1"/>
  <c r="E442" i="34" s="1"/>
  <c r="E447" i="34" s="1"/>
  <c r="E274" i="34" s="1"/>
  <c r="L99" i="34"/>
  <c r="L101" i="34" s="1"/>
  <c r="D194" i="34"/>
  <c r="E194" i="34"/>
  <c r="C271" i="15"/>
  <c r="C119" i="16"/>
  <c r="C123" i="16" s="1"/>
  <c r="C125" i="16" s="1"/>
  <c r="C93" i="3" s="1"/>
  <c r="AH59" i="42"/>
  <c r="D59" i="42" s="1"/>
  <c r="E325" i="34"/>
  <c r="C89" i="15"/>
  <c r="C91" i="15"/>
  <c r="K205" i="34"/>
  <c r="B119" i="16"/>
  <c r="B123" i="16" s="1"/>
  <c r="B125" i="16" s="1"/>
  <c r="B93" i="3" s="1"/>
  <c r="AG59" i="42"/>
  <c r="O256" i="15"/>
  <c r="AR45" i="42"/>
  <c r="R67" i="8"/>
  <c r="P744" i="34"/>
  <c r="P87" i="16"/>
  <c r="P90" i="16" s="1"/>
  <c r="P34" i="16" s="1"/>
  <c r="R57" i="8"/>
  <c r="AQ47" i="42"/>
  <c r="C320" i="15"/>
  <c r="C241" i="3"/>
  <c r="K2076" i="6"/>
  <c r="K280" i="6"/>
  <c r="M191" i="14"/>
  <c r="N86" i="14" s="1"/>
  <c r="N211" i="14"/>
  <c r="M120" i="14"/>
  <c r="N98" i="34"/>
  <c r="M15" i="34"/>
  <c r="N90" i="34"/>
  <c r="M7" i="34"/>
  <c r="M407" i="34"/>
  <c r="N91" i="34"/>
  <c r="M8" i="34"/>
  <c r="D568" i="8"/>
  <c r="C128" i="3"/>
  <c r="C129" i="3" s="1"/>
  <c r="D488" i="5"/>
  <c r="D33" i="4"/>
  <c r="E170" i="11"/>
  <c r="D222" i="3"/>
  <c r="D140" i="13"/>
  <c r="D106" i="3"/>
  <c r="D107" i="3" s="1"/>
  <c r="E465" i="6"/>
  <c r="G167" i="11"/>
  <c r="F421" i="34" s="1"/>
  <c r="D85" i="3"/>
  <c r="AC41" i="42"/>
  <c r="N41" i="42" s="1"/>
  <c r="Q902" i="4"/>
  <c r="O62" i="3"/>
  <c r="O57" i="13"/>
  <c r="P199" i="15" s="1"/>
  <c r="R419" i="4"/>
  <c r="R92" i="4" s="1"/>
  <c r="R43" i="4" s="1"/>
  <c r="V246" i="10"/>
  <c r="U152" i="11" s="1"/>
  <c r="V152" i="11" s="1"/>
  <c r="W152" i="11" s="1"/>
  <c r="U259" i="10"/>
  <c r="CE73" i="22"/>
  <c r="CR73" i="22"/>
  <c r="CR115" i="22"/>
  <c r="CE115" i="22"/>
  <c r="CP9" i="21"/>
  <c r="CC9" i="21"/>
  <c r="F165" i="48"/>
  <c r="D188" i="15"/>
  <c r="D17" i="3"/>
  <c r="I324" i="15"/>
  <c r="I329" i="15" s="1"/>
  <c r="I45" i="17"/>
  <c r="E518" i="6"/>
  <c r="E1655" i="6"/>
  <c r="O507" i="5"/>
  <c r="R82" i="42"/>
  <c r="R88" i="42" s="1"/>
  <c r="B42" i="60"/>
  <c r="Q82" i="42"/>
  <c r="Q88" i="42" s="1"/>
  <c r="A42" i="60"/>
  <c r="O656" i="34"/>
  <c r="P312" i="34"/>
  <c r="O542" i="34"/>
  <c r="P583" i="34"/>
  <c r="P596" i="34"/>
  <c r="O657" i="34"/>
  <c r="O295" i="34"/>
  <c r="O527" i="34" s="1"/>
  <c r="P313" i="34"/>
  <c r="O543" i="34"/>
  <c r="N38" i="34"/>
  <c r="O80" i="34"/>
  <c r="O706" i="34"/>
  <c r="N707" i="34"/>
  <c r="N212" i="34" s="1"/>
  <c r="O100" i="34"/>
  <c r="N17" i="34"/>
  <c r="BG11" i="42"/>
  <c r="O105" i="15" s="1"/>
  <c r="O394" i="34"/>
  <c r="M31" i="34"/>
  <c r="N73" i="34"/>
  <c r="BH11" i="42"/>
  <c r="P105" i="15" s="1"/>
  <c r="O92" i="34"/>
  <c r="N9" i="34"/>
  <c r="R1110" i="7"/>
  <c r="R417" i="7"/>
  <c r="R423" i="7" s="1"/>
  <c r="M824" i="34"/>
  <c r="M814" i="34"/>
  <c r="M258" i="3" s="1"/>
  <c r="M794" i="34"/>
  <c r="M800" i="34" s="1"/>
  <c r="CD78" i="22"/>
  <c r="CQ78" i="22"/>
  <c r="CR80" i="22"/>
  <c r="CE80" i="22"/>
  <c r="CR65" i="22"/>
  <c r="CE65" i="22"/>
  <c r="CR61" i="22"/>
  <c r="CE61" i="22"/>
  <c r="CC60" i="22"/>
  <c r="CP60" i="22"/>
  <c r="CQ36" i="22"/>
  <c r="CD36" i="22"/>
  <c r="CR75" i="22"/>
  <c r="CE75" i="22"/>
  <c r="K701" i="34"/>
  <c r="K207" i="34" s="1"/>
  <c r="K208" i="34" s="1"/>
  <c r="K681" i="34"/>
  <c r="CQ9" i="22"/>
  <c r="CD9" i="22"/>
  <c r="CR15" i="22"/>
  <c r="CE15" i="22"/>
  <c r="CC10" i="22"/>
  <c r="CP10" i="22"/>
  <c r="CO142" i="22"/>
  <c r="L699" i="34" s="1"/>
  <c r="CP8" i="22"/>
  <c r="CC8" i="22"/>
  <c r="CP35" i="21"/>
  <c r="CC35" i="21"/>
  <c r="I143" i="11"/>
  <c r="J143" i="11" s="1"/>
  <c r="K143" i="11" s="1"/>
  <c r="M143" i="11" s="1"/>
  <c r="N143" i="11" s="1"/>
  <c r="P143" i="11" s="1"/>
  <c r="Q143" i="11" s="1"/>
  <c r="S143" i="11" s="1"/>
  <c r="T143" i="11" s="1"/>
  <c r="V143" i="11" s="1"/>
  <c r="W143" i="11" s="1"/>
  <c r="Q69" i="20"/>
  <c r="Q68" i="20" s="1"/>
  <c r="Q70" i="20" s="1"/>
  <c r="L559" i="34"/>
  <c r="L694" i="34" s="1"/>
  <c r="L695" i="34" s="1"/>
  <c r="L204" i="34" s="1"/>
  <c r="L205" i="34" s="1"/>
  <c r="L84" i="15"/>
  <c r="AO29" i="42"/>
  <c r="O97" i="34"/>
  <c r="N14" i="34"/>
  <c r="P556" i="34"/>
  <c r="P380" i="34"/>
  <c r="P498" i="34" s="1"/>
  <c r="BE20" i="42"/>
  <c r="M103" i="17"/>
  <c r="M294" i="15"/>
  <c r="M316" i="15" s="1"/>
  <c r="N68" i="20"/>
  <c r="R522" i="8"/>
  <c r="S522" i="8" s="1"/>
  <c r="Q141" i="8"/>
  <c r="Q565" i="8"/>
  <c r="Q529" i="8"/>
  <c r="BD29" i="42"/>
  <c r="L115" i="15"/>
  <c r="L574" i="34"/>
  <c r="L700" i="34" s="1"/>
  <c r="M153" i="34"/>
  <c r="L29" i="34"/>
  <c r="N25" i="16"/>
  <c r="N10" i="16" s="1"/>
  <c r="P84" i="8"/>
  <c r="N101" i="1"/>
  <c r="M108" i="1"/>
  <c r="M119" i="1" s="1"/>
  <c r="M660" i="34"/>
  <c r="L666" i="34"/>
  <c r="P20" i="8"/>
  <c r="N25" i="17"/>
  <c r="N10" i="17" s="1"/>
  <c r="P148" i="8"/>
  <c r="AF5" i="54"/>
  <c r="AE11" i="54"/>
  <c r="AE18" i="54" s="1"/>
  <c r="AE20" i="54" s="1"/>
  <c r="R330" i="8"/>
  <c r="S330" i="8" s="1"/>
  <c r="Q336" i="8"/>
  <c r="Q78" i="8"/>
  <c r="AP20" i="42"/>
  <c r="M105" i="16"/>
  <c r="M245" i="15"/>
  <c r="M267" i="15" s="1"/>
  <c r="M18" i="4"/>
  <c r="M28" i="4" s="1"/>
  <c r="R825" i="4"/>
  <c r="S825" i="4" s="1"/>
  <c r="P259" i="5"/>
  <c r="P261" i="5" s="1"/>
  <c r="P263" i="5" s="1"/>
  <c r="P274" i="5" s="1"/>
  <c r="Q75" i="7"/>
  <c r="R463" i="7"/>
  <c r="CR74" i="22"/>
  <c r="CE74" i="22"/>
  <c r="CP12" i="22"/>
  <c r="CC12" i="22"/>
  <c r="CR16" i="22"/>
  <c r="CE16" i="22"/>
  <c r="CC77" i="22"/>
  <c r="CP77" i="22"/>
  <c r="CD100" i="22"/>
  <c r="CQ100" i="22"/>
  <c r="CC104" i="22"/>
  <c r="CP104" i="22"/>
  <c r="CP84" i="22"/>
  <c r="CC84" i="22"/>
  <c r="CD42" i="22"/>
  <c r="CQ42" i="22"/>
  <c r="CQ11" i="22"/>
  <c r="CD11" i="22"/>
  <c r="CE58" i="22"/>
  <c r="CR58" i="22"/>
  <c r="CP7" i="22"/>
  <c r="CC7" i="22"/>
  <c r="CE14" i="22"/>
  <c r="CR14" i="22"/>
  <c r="CR17" i="22"/>
  <c r="CE17" i="22"/>
  <c r="CD76" i="22"/>
  <c r="CQ76" i="22"/>
  <c r="CQ47" i="22"/>
  <c r="CD47" i="22"/>
  <c r="CP6" i="22"/>
  <c r="CC6" i="22"/>
  <c r="CR70" i="22"/>
  <c r="CE70" i="22"/>
  <c r="CP79" i="22"/>
  <c r="CC79" i="22"/>
  <c r="CQ52" i="22"/>
  <c r="CD52" i="22"/>
  <c r="CD128" i="22"/>
  <c r="CQ128" i="22"/>
  <c r="CD97" i="22"/>
  <c r="CQ97" i="22"/>
  <c r="CD122" i="22"/>
  <c r="CQ122" i="22"/>
  <c r="N206" i="3"/>
  <c r="Q469" i="4"/>
  <c r="P119" i="4"/>
  <c r="P157" i="4" s="1"/>
  <c r="N169" i="6"/>
  <c r="N2054" i="6" s="1"/>
  <c r="Q125" i="4"/>
  <c r="R553" i="4"/>
  <c r="O871" i="4"/>
  <c r="L40" i="13" s="1"/>
  <c r="H77" i="42"/>
  <c r="J15" i="60" s="1"/>
  <c r="P15" i="26"/>
  <c r="P25" i="26" s="1"/>
  <c r="P27" i="26" s="1"/>
  <c r="S11" i="26"/>
  <c r="AN17" i="42"/>
  <c r="K81" i="15" s="1"/>
  <c r="R10" i="26"/>
  <c r="Y17" i="42" s="1"/>
  <c r="T6" i="26"/>
  <c r="U5" i="26"/>
  <c r="BC17" i="42"/>
  <c r="K112" i="15" s="1"/>
  <c r="S12" i="26"/>
  <c r="J50" i="15"/>
  <c r="J19" i="15" s="1"/>
  <c r="I17" i="42"/>
  <c r="X77" i="42"/>
  <c r="K41" i="60" s="1"/>
  <c r="O142" i="4"/>
  <c r="M136" i="42"/>
  <c r="D887" i="4"/>
  <c r="J115" i="48"/>
  <c r="C133" i="48" s="1"/>
  <c r="O583" i="4"/>
  <c r="O585" i="4" s="1"/>
  <c r="O593" i="4" s="1"/>
  <c r="P459" i="4"/>
  <c r="O115" i="4"/>
  <c r="O8" i="4" s="1"/>
  <c r="D855" i="4"/>
  <c r="G142" i="42"/>
  <c r="I142" i="42" s="1"/>
  <c r="I136" i="42"/>
  <c r="B16" i="3"/>
  <c r="C35" i="4"/>
  <c r="C46" i="4" s="1"/>
  <c r="B123" i="3" s="1"/>
  <c r="F271" i="48"/>
  <c r="P204" i="48"/>
  <c r="B35" i="4"/>
  <c r="B46" i="4" s="1"/>
  <c r="A123" i="3" s="1"/>
  <c r="A16" i="3"/>
  <c r="B36" i="13"/>
  <c r="C891" i="4"/>
  <c r="C893" i="4" s="1"/>
  <c r="P160" i="48"/>
  <c r="D271" i="48"/>
  <c r="H881" i="4"/>
  <c r="I881" i="4" s="1"/>
  <c r="B142" i="42"/>
  <c r="D142" i="42" s="1"/>
  <c r="D136" i="42"/>
  <c r="A36" i="13"/>
  <c r="B891" i="4"/>
  <c r="B893" i="4" s="1"/>
  <c r="P249" i="48"/>
  <c r="D883" i="4"/>
  <c r="O125" i="13"/>
  <c r="P210" i="15"/>
  <c r="P155" i="15" s="1"/>
  <c r="AD42" i="42"/>
  <c r="O42" i="42" s="1"/>
  <c r="R818" i="7"/>
  <c r="R304" i="7" s="1"/>
  <c r="R742" i="7"/>
  <c r="Q272" i="7"/>
  <c r="O152" i="5"/>
  <c r="O479" i="5" s="1"/>
  <c r="O79" i="5"/>
  <c r="N79" i="5"/>
  <c r="N466" i="5"/>
  <c r="CQ64" i="21"/>
  <c r="CD64" i="21"/>
  <c r="CD95" i="22"/>
  <c r="CQ95" i="22"/>
  <c r="CD41" i="22"/>
  <c r="CQ41" i="22"/>
  <c r="CD53" i="22"/>
  <c r="CQ53" i="22"/>
  <c r="CD43" i="22"/>
  <c r="CQ43" i="22"/>
  <c r="CD101" i="22"/>
  <c r="CQ101" i="22"/>
  <c r="CQ59" i="22"/>
  <c r="CD59" i="22"/>
  <c r="CD108" i="22"/>
  <c r="CQ108" i="22"/>
  <c r="CD23" i="22"/>
  <c r="CQ23" i="22"/>
  <c r="CD114" i="22"/>
  <c r="CQ114" i="22"/>
  <c r="CD127" i="22"/>
  <c r="CQ127" i="22"/>
  <c r="CD37" i="22"/>
  <c r="CQ37" i="22"/>
  <c r="CD123" i="22"/>
  <c r="CQ123" i="22"/>
  <c r="CD96" i="22"/>
  <c r="CQ96" i="22"/>
  <c r="CQ66" i="22"/>
  <c r="CD66" i="22"/>
  <c r="CE27" i="22"/>
  <c r="CR27" i="22"/>
  <c r="CD19" i="22"/>
  <c r="CQ19" i="22"/>
  <c r="CQ32" i="22"/>
  <c r="CD32" i="22"/>
  <c r="CR109" i="22"/>
  <c r="CE109" i="22"/>
  <c r="CS109" i="22" s="1"/>
  <c r="CE26" i="22"/>
  <c r="CR26" i="22"/>
  <c r="CQ20" i="22"/>
  <c r="CD20" i="22"/>
  <c r="CD54" i="22"/>
  <c r="CQ54" i="22"/>
  <c r="CD71" i="22"/>
  <c r="CQ71" i="22"/>
  <c r="CQ72" i="22"/>
  <c r="CD72" i="22"/>
  <c r="CQ48" i="22"/>
  <c r="CD48" i="22"/>
  <c r="CD21" i="22"/>
  <c r="CQ21" i="22"/>
  <c r="CR112" i="22"/>
  <c r="CE112" i="22"/>
  <c r="CD33" i="22"/>
  <c r="CQ33" i="22"/>
  <c r="CR55" i="22"/>
  <c r="CE55" i="22"/>
  <c r="CS55" i="22" s="1"/>
  <c r="CQ140" i="22"/>
  <c r="CD140" i="22"/>
  <c r="CQ22" i="22"/>
  <c r="CD22" i="22"/>
  <c r="CQ62" i="22"/>
  <c r="CD62" i="22"/>
  <c r="CQ107" i="22"/>
  <c r="CD107" i="22"/>
  <c r="CD69" i="22"/>
  <c r="CQ69" i="22"/>
  <c r="CQ51" i="22"/>
  <c r="CD51" i="22"/>
  <c r="Z47" i="42"/>
  <c r="K47" i="42" s="1"/>
  <c r="AH50" i="11"/>
  <c r="AI50" i="11" s="1"/>
  <c r="M1127" i="7"/>
  <c r="N1143" i="7"/>
  <c r="N9" i="7"/>
  <c r="O238" i="7"/>
  <c r="O240" i="7" s="1"/>
  <c r="O32" i="7"/>
  <c r="M192" i="15"/>
  <c r="L65" i="13"/>
  <c r="AA30" i="42"/>
  <c r="L30" i="42" s="1"/>
  <c r="P944" i="7"/>
  <c r="P1157" i="7" s="1"/>
  <c r="P342" i="7"/>
  <c r="P362" i="7" s="1"/>
  <c r="P40" i="7" s="1"/>
  <c r="M13" i="13" s="1"/>
  <c r="M49" i="13" s="1"/>
  <c r="Q885" i="7"/>
  <c r="L137" i="15"/>
  <c r="L161" i="15" s="1"/>
  <c r="L216" i="15"/>
  <c r="R735" i="7"/>
  <c r="Q265" i="7"/>
  <c r="R150" i="7"/>
  <c r="R153" i="7" s="1"/>
  <c r="R39" i="7" s="1"/>
  <c r="P66" i="13" s="1"/>
  <c r="R584" i="7"/>
  <c r="R1154" i="7" s="1"/>
  <c r="O122" i="13"/>
  <c r="P214" i="15"/>
  <c r="P159" i="15" s="1"/>
  <c r="AD31" i="42"/>
  <c r="O31" i="42" s="1"/>
  <c r="M120" i="7"/>
  <c r="V18" i="26"/>
  <c r="R761" i="7"/>
  <c r="P583" i="7"/>
  <c r="P585" i="7" s="1"/>
  <c r="P596" i="7" s="1"/>
  <c r="P618" i="7"/>
  <c r="P236" i="7"/>
  <c r="P21" i="7" s="1"/>
  <c r="P52" i="7"/>
  <c r="N67" i="3" s="1"/>
  <c r="O735" i="34"/>
  <c r="Q801" i="7"/>
  <c r="P289" i="7"/>
  <c r="J218" i="15"/>
  <c r="V17" i="26"/>
  <c r="R760" i="7"/>
  <c r="S760" i="7" s="1"/>
  <c r="Q277" i="7"/>
  <c r="P189" i="7"/>
  <c r="Q637" i="7"/>
  <c r="R1055" i="7"/>
  <c r="S1055" i="7" s="1"/>
  <c r="Q736" i="34" s="1"/>
  <c r="Q406" i="7"/>
  <c r="O736" i="34"/>
  <c r="N240" i="7"/>
  <c r="N251" i="7" s="1"/>
  <c r="Q93" i="7"/>
  <c r="R516" i="7"/>
  <c r="Q278" i="7"/>
  <c r="R762" i="7"/>
  <c r="Q86" i="7"/>
  <c r="R504" i="7"/>
  <c r="AB44" i="42"/>
  <c r="M44" i="42" s="1"/>
  <c r="M143" i="13"/>
  <c r="AA74" i="14"/>
  <c r="N202" i="15"/>
  <c r="N147" i="15" s="1"/>
  <c r="CN150" i="9"/>
  <c r="DA150" i="9"/>
  <c r="DC146" i="9"/>
  <c r="O209" i="9"/>
  <c r="DC181" i="9"/>
  <c r="O469" i="9"/>
  <c r="BT146" i="9"/>
  <c r="V67" i="37" s="1"/>
  <c r="V76" i="37" s="1"/>
  <c r="V78" i="37" s="1"/>
  <c r="AD250" i="10"/>
  <c r="P1972" i="6" s="1"/>
  <c r="P686" i="6" s="1"/>
  <c r="S116" i="37"/>
  <c r="T12" i="37"/>
  <c r="T17" i="37"/>
  <c r="S115" i="37"/>
  <c r="V13" i="37"/>
  <c r="R488" i="8"/>
  <c r="Q129" i="8"/>
  <c r="R965" i="7"/>
  <c r="R321" i="7"/>
  <c r="Q529" i="7"/>
  <c r="R232" i="7"/>
  <c r="R233" i="7" s="1"/>
  <c r="P531" i="7"/>
  <c r="P533" i="7" s="1"/>
  <c r="P542" i="7" s="1"/>
  <c r="N48" i="45"/>
  <c r="P106" i="7"/>
  <c r="P19" i="7" s="1"/>
  <c r="O152" i="7"/>
  <c r="O9" i="7" s="1"/>
  <c r="P344" i="7"/>
  <c r="X246" i="10"/>
  <c r="N1777" i="6" s="1"/>
  <c r="N613" i="6" s="1"/>
  <c r="R505" i="7"/>
  <c r="Q87" i="7"/>
  <c r="R512" i="7"/>
  <c r="Q90" i="7"/>
  <c r="Q580" i="7"/>
  <c r="P149" i="7"/>
  <c r="Q576" i="7"/>
  <c r="Q146" i="7" s="1"/>
  <c r="R562" i="7"/>
  <c r="R519" i="7"/>
  <c r="Q96" i="7"/>
  <c r="R517" i="7"/>
  <c r="Q94" i="7"/>
  <c r="R905" i="7"/>
  <c r="AG66" i="10"/>
  <c r="AG103" i="10" s="1"/>
  <c r="R502" i="7"/>
  <c r="Q85" i="7"/>
  <c r="Q904" i="7"/>
  <c r="AD65" i="10"/>
  <c r="AE65" i="10" s="1"/>
  <c r="R728" i="7"/>
  <c r="Q261" i="7"/>
  <c r="R750" i="7"/>
  <c r="S750" i="7" s="1"/>
  <c r="X22" i="26" s="1"/>
  <c r="V22" i="26"/>
  <c r="Q273" i="7"/>
  <c r="P323" i="7"/>
  <c r="Q855" i="7"/>
  <c r="H16" i="34"/>
  <c r="F399" i="34"/>
  <c r="F193" i="34" s="1"/>
  <c r="F194" i="34" s="1"/>
  <c r="CO101" i="9"/>
  <c r="DB101" i="9"/>
  <c r="BT181" i="9"/>
  <c r="CO193" i="9"/>
  <c r="DB193" i="9"/>
  <c r="CO119" i="9"/>
  <c r="DB119" i="9"/>
  <c r="CP162" i="9"/>
  <c r="DC162" i="9"/>
  <c r="H461" i="6"/>
  <c r="I461" i="6" s="1"/>
  <c r="I1521" i="6"/>
  <c r="O254" i="6"/>
  <c r="O9" i="6" s="1"/>
  <c r="O183" i="7"/>
  <c r="O8" i="7" s="1"/>
  <c r="Q831" i="7"/>
  <c r="Q316" i="7" s="1"/>
  <c r="AC67" i="10"/>
  <c r="AJ90" i="11"/>
  <c r="AK90" i="11" s="1"/>
  <c r="AL90" i="11" s="1"/>
  <c r="AN90" i="11" s="1"/>
  <c r="AU157" i="10"/>
  <c r="AK130" i="10"/>
  <c r="AS130" i="10"/>
  <c r="P4" i="12"/>
  <c r="O97" i="12"/>
  <c r="AG7" i="10" s="1"/>
  <c r="AG39" i="10" s="1"/>
  <c r="P85" i="12"/>
  <c r="AE156" i="11"/>
  <c r="AF156" i="11" s="1"/>
  <c r="G219" i="42"/>
  <c r="E219" i="42"/>
  <c r="R178" i="7"/>
  <c r="R190" i="7"/>
  <c r="R80" i="7"/>
  <c r="R187" i="7"/>
  <c r="R317" i="7"/>
  <c r="R231" i="7"/>
  <c r="DB99" i="9"/>
  <c r="CO99" i="9"/>
  <c r="E676" i="34"/>
  <c r="E281" i="34" s="1"/>
  <c r="L586" i="34"/>
  <c r="L587" i="34" s="1"/>
  <c r="L252" i="3" s="1"/>
  <c r="E330" i="34"/>
  <c r="F643" i="34"/>
  <c r="F645" i="34" s="1"/>
  <c r="F264" i="34" s="1"/>
  <c r="F93" i="34"/>
  <c r="F382" i="34"/>
  <c r="F495" i="34"/>
  <c r="F499" i="34" s="1"/>
  <c r="F500" i="34" s="1"/>
  <c r="F233" i="34" s="1"/>
  <c r="F385" i="34"/>
  <c r="E495" i="34"/>
  <c r="E499" i="34" s="1"/>
  <c r="E500" i="34" s="1"/>
  <c r="E233" i="34" s="1"/>
  <c r="E385" i="34"/>
  <c r="E382" i="34"/>
  <c r="CO59" i="21"/>
  <c r="CB59" i="21"/>
  <c r="CP15" i="21"/>
  <c r="CC15" i="21"/>
  <c r="CP8" i="21"/>
  <c r="CC8" i="21"/>
  <c r="CP45" i="21"/>
  <c r="CC45" i="21"/>
  <c r="CP23" i="21"/>
  <c r="CC23" i="21"/>
  <c r="CD37" i="21"/>
  <c r="CQ37" i="21"/>
  <c r="CN74" i="21"/>
  <c r="N259" i="15"/>
  <c r="AQ49" i="42"/>
  <c r="AQ52" i="42" s="1"/>
  <c r="N113" i="16"/>
  <c r="N115" i="16" s="1"/>
  <c r="CP70" i="21"/>
  <c r="CC70" i="21"/>
  <c r="CD51" i="21"/>
  <c r="CQ51" i="21"/>
  <c r="CP50" i="21"/>
  <c r="CC50" i="21"/>
  <c r="CD43" i="21"/>
  <c r="CQ43" i="21"/>
  <c r="P73" i="21"/>
  <c r="BM69" i="21"/>
  <c r="BM73" i="21" s="1"/>
  <c r="CO71" i="21"/>
  <c r="CB71" i="21"/>
  <c r="O40" i="16"/>
  <c r="Q346" i="8"/>
  <c r="Q95" i="8" s="1"/>
  <c r="Q32" i="8" s="1"/>
  <c r="O879" i="6"/>
  <c r="K589" i="34"/>
  <c r="K240" i="34" s="1"/>
  <c r="Y239" i="10"/>
  <c r="X143" i="11" s="1"/>
  <c r="X54" i="11"/>
  <c r="Y54" i="11" s="1"/>
  <c r="Z54" i="11" s="1"/>
  <c r="I189" i="14"/>
  <c r="J84" i="14" s="1"/>
  <c r="M472" i="34"/>
  <c r="M522" i="34"/>
  <c r="O77" i="15"/>
  <c r="O321" i="34" s="1"/>
  <c r="N554" i="34"/>
  <c r="N378" i="34"/>
  <c r="N289" i="34"/>
  <c r="N352" i="34" s="1"/>
  <c r="AS12" i="42"/>
  <c r="R48" i="8"/>
  <c r="M496" i="34"/>
  <c r="M383" i="34"/>
  <c r="M294" i="34"/>
  <c r="M526" i="34" s="1"/>
  <c r="M558" i="34"/>
  <c r="L8" i="15"/>
  <c r="BY120" i="9"/>
  <c r="CD120" i="22"/>
  <c r="CQ120" i="22"/>
  <c r="CQ121" i="22"/>
  <c r="CD121" i="22"/>
  <c r="CQ119" i="22"/>
  <c r="CD119" i="22"/>
  <c r="CQ138" i="22"/>
  <c r="CD138" i="22"/>
  <c r="CE130" i="22"/>
  <c r="CR130" i="22"/>
  <c r="CQ131" i="22"/>
  <c r="CD131" i="22"/>
  <c r="CE129" i="22"/>
  <c r="CR129" i="22"/>
  <c r="CQ81" i="22"/>
  <c r="CD81" i="22"/>
  <c r="CP82" i="22"/>
  <c r="CC82" i="22"/>
  <c r="CQ83" i="22"/>
  <c r="CD83" i="22"/>
  <c r="CD116" i="22"/>
  <c r="CQ116" i="22"/>
  <c r="R84" i="20"/>
  <c r="R83" i="20" s="1"/>
  <c r="R85" i="20" s="1"/>
  <c r="O74" i="20"/>
  <c r="N74" i="20"/>
  <c r="AD122" i="10"/>
  <c r="AG3" i="10"/>
  <c r="L208" i="3"/>
  <c r="L210" i="3" s="1"/>
  <c r="CP102" i="9"/>
  <c r="DC102" i="9"/>
  <c r="CC57" i="21"/>
  <c r="CP57" i="21"/>
  <c r="CC56" i="21"/>
  <c r="CP56" i="21"/>
  <c r="CC58" i="21"/>
  <c r="CP58" i="21"/>
  <c r="CD61" i="21"/>
  <c r="CQ61" i="21"/>
  <c r="CO73" i="21"/>
  <c r="M693" i="34" s="1"/>
  <c r="CP46" i="21"/>
  <c r="CC46" i="21"/>
  <c r="CP40" i="21"/>
  <c r="CC40" i="21"/>
  <c r="CQ34" i="21"/>
  <c r="CD34" i="21"/>
  <c r="CP14" i="21"/>
  <c r="CC14" i="21"/>
  <c r="CQ16" i="21"/>
  <c r="CD16" i="21"/>
  <c r="CC17" i="21"/>
  <c r="CP17" i="21"/>
  <c r="CP7" i="21"/>
  <c r="CC7" i="21"/>
  <c r="Q672" i="4"/>
  <c r="P665" i="6"/>
  <c r="M180" i="6"/>
  <c r="N1521" i="6"/>
  <c r="R1309" i="6"/>
  <c r="S1309" i="6" s="1"/>
  <c r="N194" i="4"/>
  <c r="N196" i="4" s="1"/>
  <c r="K355" i="34"/>
  <c r="O433" i="45"/>
  <c r="X20" i="42"/>
  <c r="J545" i="34" s="1"/>
  <c r="R892" i="6"/>
  <c r="S892" i="6" s="1"/>
  <c r="S149" i="6" s="1"/>
  <c r="P871" i="6"/>
  <c r="O2093" i="6"/>
  <c r="L32" i="13" s="1"/>
  <c r="R864" i="6"/>
  <c r="S864" i="6" s="1"/>
  <c r="S324" i="6"/>
  <c r="N17" i="58"/>
  <c r="R2010" i="6"/>
  <c r="S2010" i="6" s="1"/>
  <c r="P663" i="6"/>
  <c r="P659" i="6"/>
  <c r="BU143" i="9"/>
  <c r="R1081" i="6" s="1"/>
  <c r="R288" i="6" s="1"/>
  <c r="P235" i="3"/>
  <c r="O314" i="6"/>
  <c r="O10" i="6" s="1"/>
  <c r="P1813" i="6"/>
  <c r="M22" i="58"/>
  <c r="P726" i="6"/>
  <c r="R1668" i="6"/>
  <c r="S1668" i="6" s="1"/>
  <c r="S1693" i="6" s="1"/>
  <c r="P545" i="6"/>
  <c r="P550" i="6" s="1"/>
  <c r="P1701" i="6"/>
  <c r="R934" i="6"/>
  <c r="S934" i="6" s="1"/>
  <c r="S159" i="6" s="1"/>
  <c r="M301" i="4"/>
  <c r="M853" i="4" s="1"/>
  <c r="I529" i="34"/>
  <c r="R464" i="4"/>
  <c r="S464" i="4" s="1"/>
  <c r="S118" i="4" s="1"/>
  <c r="O284" i="4"/>
  <c r="O11" i="4" s="1"/>
  <c r="P1990" i="6"/>
  <c r="M9" i="58" s="1"/>
  <c r="P698" i="6"/>
  <c r="M233" i="3"/>
  <c r="BJ82" i="9"/>
  <c r="AF253" i="10"/>
  <c r="AH253" i="10" s="1"/>
  <c r="AG156" i="11" s="1"/>
  <c r="R1798" i="6"/>
  <c r="S1798" i="6" s="1"/>
  <c r="O772" i="34"/>
  <c r="P664" i="6"/>
  <c r="R1108" i="6"/>
  <c r="S1108" i="6" s="1"/>
  <c r="P702" i="6"/>
  <c r="AB12" i="42" s="1"/>
  <c r="R1866" i="6"/>
  <c r="S1866" i="6" s="1"/>
  <c r="S649" i="6" s="1"/>
  <c r="P629" i="6"/>
  <c r="R1604" i="6"/>
  <c r="S1604" i="6" s="1"/>
  <c r="S487" i="6" s="1"/>
  <c r="BK82" i="9"/>
  <c r="O114" i="1"/>
  <c r="O117" i="1" s="1"/>
  <c r="P877" i="6"/>
  <c r="P177" i="6" s="1"/>
  <c r="P64" i="6" s="1"/>
  <c r="N61" i="3" s="1"/>
  <c r="M116" i="40"/>
  <c r="AB40" i="42" s="1"/>
  <c r="K474" i="34"/>
  <c r="K524" i="34"/>
  <c r="P248" i="6"/>
  <c r="R2005" i="6"/>
  <c r="S2005" i="6" s="1"/>
  <c r="P25" i="40" s="1"/>
  <c r="N25" i="40"/>
  <c r="Q877" i="6" s="1"/>
  <c r="Q177" i="6" s="1"/>
  <c r="Q64" i="6" s="1"/>
  <c r="P666" i="6"/>
  <c r="R1758" i="6"/>
  <c r="S1758" i="6" s="1"/>
  <c r="S594" i="6" s="1"/>
  <c r="J9" i="3"/>
  <c r="J10" i="3" s="1"/>
  <c r="O1771" i="6"/>
  <c r="P1008" i="6"/>
  <c r="P216" i="6"/>
  <c r="P222" i="6" s="1"/>
  <c r="P661" i="6"/>
  <c r="M758" i="34"/>
  <c r="O700" i="6"/>
  <c r="R1099" i="6"/>
  <c r="S1099" i="6" s="1"/>
  <c r="S312" i="6" s="1"/>
  <c r="R894" i="6"/>
  <c r="S894" i="6" s="1"/>
  <c r="S143" i="6" s="1"/>
  <c r="P1768" i="6"/>
  <c r="P576" i="6"/>
  <c r="P603" i="6" s="1"/>
  <c r="P2091" i="6" s="1"/>
  <c r="P53" i="6" s="1"/>
  <c r="R2027" i="6"/>
  <c r="R724" i="6" s="1"/>
  <c r="R643" i="6"/>
  <c r="K540" i="34"/>
  <c r="K367" i="34"/>
  <c r="K486" i="34" s="1"/>
  <c r="L307" i="34"/>
  <c r="L13" i="15"/>
  <c r="L291" i="34" s="1"/>
  <c r="L354" i="34" s="1"/>
  <c r="N549" i="6"/>
  <c r="N551" i="6" s="1"/>
  <c r="BF219" i="9"/>
  <c r="BF221" i="9" s="1"/>
  <c r="L56" i="13" s="1"/>
  <c r="M1781" i="6"/>
  <c r="K200" i="3" s="1"/>
  <c r="M612" i="6"/>
  <c r="P272" i="6"/>
  <c r="P279" i="6" s="1"/>
  <c r="P1074" i="6"/>
  <c r="P600" i="6"/>
  <c r="P31" i="6" s="1"/>
  <c r="R779" i="6"/>
  <c r="S779" i="6" s="1"/>
  <c r="S92" i="6" s="1"/>
  <c r="O578" i="6"/>
  <c r="AA47" i="42"/>
  <c r="L47" i="42" s="1"/>
  <c r="L40" i="42"/>
  <c r="M44" i="15"/>
  <c r="U20" i="26"/>
  <c r="P494" i="6"/>
  <c r="R1000" i="6"/>
  <c r="S1000" i="6" s="1"/>
  <c r="AB7" i="42"/>
  <c r="N598" i="34" s="1"/>
  <c r="P1698" i="6"/>
  <c r="H529" i="34"/>
  <c r="G80" i="42"/>
  <c r="I18" i="60" s="1"/>
  <c r="O634" i="6"/>
  <c r="O16" i="6" s="1"/>
  <c r="M606" i="6"/>
  <c r="M2062" i="6" s="1"/>
  <c r="M2082" i="6"/>
  <c r="P630" i="6"/>
  <c r="N1776" i="6"/>
  <c r="P113" i="34"/>
  <c r="Q113" i="34" s="1"/>
  <c r="O115" i="34"/>
  <c r="O116" i="34" s="1"/>
  <c r="R787" i="6"/>
  <c r="S787" i="6" s="1"/>
  <c r="S94" i="6" s="1"/>
  <c r="O343" i="6"/>
  <c r="P190" i="6"/>
  <c r="P196" i="6" s="1"/>
  <c r="P8" i="6" s="1"/>
  <c r="P970" i="6"/>
  <c r="P710" i="6"/>
  <c r="P720" i="6"/>
  <c r="O1006" i="6"/>
  <c r="O1009" i="6" s="1"/>
  <c r="O1018" i="6" s="1"/>
  <c r="P631" i="6"/>
  <c r="P654" i="6"/>
  <c r="O1700" i="6"/>
  <c r="O1702" i="6" s="1"/>
  <c r="O1713" i="6" s="1"/>
  <c r="N24" i="6"/>
  <c r="N40" i="6" s="1"/>
  <c r="N220" i="6"/>
  <c r="P1144" i="6"/>
  <c r="P336" i="6"/>
  <c r="P103" i="6"/>
  <c r="M18" i="58"/>
  <c r="P713" i="6"/>
  <c r="G215" i="42"/>
  <c r="P1643" i="6"/>
  <c r="P506" i="6"/>
  <c r="P511" i="6" s="1"/>
  <c r="O221" i="6"/>
  <c r="O218" i="6"/>
  <c r="O24" i="6" s="1"/>
  <c r="R1691" i="6"/>
  <c r="S1691" i="6" s="1"/>
  <c r="N766" i="34"/>
  <c r="P308" i="6"/>
  <c r="O547" i="6"/>
  <c r="O30" i="6" s="1"/>
  <c r="O46" i="6" s="1"/>
  <c r="O1510" i="6"/>
  <c r="Z239" i="10" s="1"/>
  <c r="O1516" i="6" s="1"/>
  <c r="P2023" i="6"/>
  <c r="P722" i="6" s="1"/>
  <c r="P645" i="6"/>
  <c r="M2075" i="6"/>
  <c r="M223" i="6"/>
  <c r="P723" i="6"/>
  <c r="M21" i="58"/>
  <c r="P337" i="6"/>
  <c r="N761" i="34"/>
  <c r="P1670" i="6"/>
  <c r="P533" i="6"/>
  <c r="P535" i="6" s="1"/>
  <c r="P14" i="6" s="1"/>
  <c r="U21" i="26"/>
  <c r="O46" i="45"/>
  <c r="O47" i="45" s="1"/>
  <c r="K51" i="13"/>
  <c r="L194" i="15" s="1"/>
  <c r="O8" i="6"/>
  <c r="M141" i="3"/>
  <c r="M142" i="3" s="1"/>
  <c r="P721" i="6"/>
  <c r="M6" i="58"/>
  <c r="M5" i="58" s="1"/>
  <c r="P697" i="6"/>
  <c r="L20" i="58"/>
  <c r="L234" i="6"/>
  <c r="L2055" i="6"/>
  <c r="P1007" i="6"/>
  <c r="P215" i="6"/>
  <c r="P1004" i="6"/>
  <c r="P699" i="6"/>
  <c r="L188" i="14"/>
  <c r="M208" i="14"/>
  <c r="K105" i="14"/>
  <c r="L83" i="14"/>
  <c r="I125" i="14"/>
  <c r="I192" i="14"/>
  <c r="J87" i="14" s="1"/>
  <c r="I130" i="14"/>
  <c r="I193" i="14"/>
  <c r="L12" i="13"/>
  <c r="L102" i="13"/>
  <c r="Q879" i="7"/>
  <c r="P340" i="7"/>
  <c r="N759" i="34"/>
  <c r="N781" i="34" s="1"/>
  <c r="P145" i="7"/>
  <c r="Q874" i="7"/>
  <c r="P337" i="7"/>
  <c r="Q553" i="7"/>
  <c r="P131" i="7"/>
  <c r="AB127" i="10"/>
  <c r="Q926" i="7"/>
  <c r="P347" i="7"/>
  <c r="AD127" i="10"/>
  <c r="H331" i="7"/>
  <c r="I331" i="7" s="1"/>
  <c r="Q995" i="7"/>
  <c r="P1000" i="7"/>
  <c r="P1153" i="7" s="1"/>
  <c r="N5" i="3" s="1"/>
  <c r="P354" i="7"/>
  <c r="P360" i="7" s="1"/>
  <c r="P38" i="7" s="1"/>
  <c r="Q605" i="7"/>
  <c r="P176" i="7"/>
  <c r="P130" i="7"/>
  <c r="Q552" i="7"/>
  <c r="P177" i="7"/>
  <c r="Q608" i="7"/>
  <c r="Q852" i="7"/>
  <c r="AF127" i="10" s="1"/>
  <c r="P319" i="7"/>
  <c r="P119" i="8"/>
  <c r="Q385" i="8"/>
  <c r="P111" i="8"/>
  <c r="BF12" i="42"/>
  <c r="Q390" i="8"/>
  <c r="P109" i="8"/>
  <c r="Q375" i="8"/>
  <c r="M70" i="15"/>
  <c r="M610" i="34"/>
  <c r="M611" i="34" s="1"/>
  <c r="M613" i="34" s="1"/>
  <c r="M244" i="34" s="1"/>
  <c r="H47" i="8"/>
  <c r="I47" i="8" s="1"/>
  <c r="H201" i="8"/>
  <c r="I201" i="8" s="1"/>
  <c r="Q429" i="8"/>
  <c r="BF21" i="42"/>
  <c r="N116" i="15" s="1"/>
  <c r="Q173" i="8"/>
  <c r="P43" i="8"/>
  <c r="AQ7" i="42" s="1"/>
  <c r="P121" i="8"/>
  <c r="Q440" i="8"/>
  <c r="P423" i="45"/>
  <c r="P424" i="45" s="1"/>
  <c r="P431" i="45" s="1"/>
  <c r="P432" i="45" s="1"/>
  <c r="Q454" i="8"/>
  <c r="P122" i="8"/>
  <c r="Q363" i="8"/>
  <c r="P107" i="8"/>
  <c r="BF8" i="42" s="1"/>
  <c r="N102" i="15" s="1"/>
  <c r="Q250" i="8"/>
  <c r="R250" i="8" s="1"/>
  <c r="S250" i="8" s="1"/>
  <c r="S56" i="8" s="1"/>
  <c r="P56" i="8"/>
  <c r="M101" i="15"/>
  <c r="M622" i="34"/>
  <c r="M623" i="34" s="1"/>
  <c r="M625" i="34" s="1"/>
  <c r="M246" i="34" s="1"/>
  <c r="Q514" i="8"/>
  <c r="N746" i="34"/>
  <c r="N748" i="34" s="1"/>
  <c r="P132" i="8"/>
  <c r="H45" i="16"/>
  <c r="H120" i="16" s="1"/>
  <c r="H275" i="15"/>
  <c r="H280" i="15" s="1"/>
  <c r="M108" i="15"/>
  <c r="M117" i="15"/>
  <c r="L12" i="42"/>
  <c r="P131" i="8"/>
  <c r="Q499" i="8"/>
  <c r="Q356" i="8"/>
  <c r="P106" i="8"/>
  <c r="BF7" i="42" s="1"/>
  <c r="DB209" i="9"/>
  <c r="P1974" i="6"/>
  <c r="P688" i="6" s="1"/>
  <c r="BI219" i="9"/>
  <c r="BI221" i="9" s="1"/>
  <c r="K140" i="34"/>
  <c r="J142" i="34"/>
  <c r="DB161" i="9"/>
  <c r="CO161" i="9"/>
  <c r="DB83" i="9"/>
  <c r="CO83" i="9"/>
  <c r="CO159" i="9"/>
  <c r="DB159" i="9"/>
  <c r="DB70" i="9"/>
  <c r="CO70" i="9"/>
  <c r="DC94" i="9"/>
  <c r="CP94" i="9"/>
  <c r="DA103" i="9"/>
  <c r="CN103" i="9"/>
  <c r="DA104" i="9"/>
  <c r="CN104" i="9"/>
  <c r="CO96" i="9"/>
  <c r="DB96" i="9"/>
  <c r="DC183" i="9"/>
  <c r="CP183" i="9"/>
  <c r="BU2" i="9"/>
  <c r="BP87" i="9"/>
  <c r="BP173" i="9" s="1"/>
  <c r="K143" i="15"/>
  <c r="K784" i="34"/>
  <c r="DA106" i="9"/>
  <c r="CN106" i="9"/>
  <c r="CN148" i="9"/>
  <c r="DA148" i="9"/>
  <c r="DD30" i="9"/>
  <c r="DB62" i="9"/>
  <c r="CO62" i="9"/>
  <c r="BV174" i="9"/>
  <c r="DA63" i="9"/>
  <c r="CN63" i="9"/>
  <c r="DC164" i="9"/>
  <c r="CP164" i="9"/>
  <c r="L146" i="3"/>
  <c r="K142" i="13"/>
  <c r="L198" i="15"/>
  <c r="L63" i="3"/>
  <c r="L64" i="3" s="1"/>
  <c r="L144" i="3"/>
  <c r="CP60" i="9"/>
  <c r="DC60" i="9"/>
  <c r="BL174" i="9"/>
  <c r="BL219" i="9" s="1"/>
  <c r="BL221" i="9" s="1"/>
  <c r="CN10" i="9"/>
  <c r="DA10" i="9"/>
  <c r="CO197" i="9"/>
  <c r="DB197" i="9"/>
  <c r="CO137" i="9"/>
  <c r="DB137" i="9"/>
  <c r="C56" i="58"/>
  <c r="BT62" i="9"/>
  <c r="BT64" i="9" s="1"/>
  <c r="DB194" i="9"/>
  <c r="CO194" i="9"/>
  <c r="CO166" i="9"/>
  <c r="DB166" i="9"/>
  <c r="DD181" i="9"/>
  <c r="CO149" i="9"/>
  <c r="DB149" i="9"/>
  <c r="K687" i="34"/>
  <c r="K689" i="34" s="1"/>
  <c r="CO44" i="9"/>
  <c r="DB44" i="9"/>
  <c r="BY30" i="9"/>
  <c r="R716" i="7"/>
  <c r="BX62" i="9"/>
  <c r="BX64" i="9" s="1"/>
  <c r="AJ133" i="10" s="1"/>
  <c r="P64" i="9"/>
  <c r="R1119" i="7" s="1"/>
  <c r="DA22" i="9"/>
  <c r="CN22" i="9"/>
  <c r="O179" i="9"/>
  <c r="BO179" i="9"/>
  <c r="P1382" i="6"/>
  <c r="P464" i="6" s="1"/>
  <c r="DB215" i="9"/>
  <c r="CO215" i="9"/>
  <c r="BY193" i="9"/>
  <c r="R1583" i="6"/>
  <c r="R878" i="6"/>
  <c r="CN46" i="9"/>
  <c r="DA46" i="9"/>
  <c r="CN167" i="9"/>
  <c r="DA167" i="9"/>
  <c r="CP133" i="9"/>
  <c r="DC133" i="9"/>
  <c r="N225" i="9"/>
  <c r="CO163" i="9"/>
  <c r="DB163" i="9"/>
  <c r="BT7" i="9"/>
  <c r="BT25" i="9" s="1"/>
  <c r="O25" i="9"/>
  <c r="Q592" i="4"/>
  <c r="Q151" i="4" s="1"/>
  <c r="Q44" i="4" s="1"/>
  <c r="DC7" i="9"/>
  <c r="P7" i="9"/>
  <c r="BO55" i="9"/>
  <c r="BO66" i="9" s="1"/>
  <c r="BN66" i="9"/>
  <c r="DB130" i="9"/>
  <c r="CO130" i="9"/>
  <c r="DB45" i="9"/>
  <c r="CO45" i="9"/>
  <c r="CN134" i="9"/>
  <c r="DA134" i="9"/>
  <c r="CO151" i="9"/>
  <c r="DB151" i="9"/>
  <c r="BT110" i="9"/>
  <c r="P110" i="9"/>
  <c r="V28" i="37"/>
  <c r="P124" i="9"/>
  <c r="Q124" i="9" s="1"/>
  <c r="BT124" i="9"/>
  <c r="DC195" i="9"/>
  <c r="CP195" i="9"/>
  <c r="BT125" i="9"/>
  <c r="V29" i="37"/>
  <c r="P125" i="9"/>
  <c r="Q125" i="9" s="1"/>
  <c r="CP125" i="9"/>
  <c r="CQ125" i="9" s="1"/>
  <c r="DC125" i="9"/>
  <c r="I140" i="14"/>
  <c r="I195" i="14"/>
  <c r="J90" i="14" s="1"/>
  <c r="V30" i="37"/>
  <c r="BT126" i="9"/>
  <c r="DC126" i="9"/>
  <c r="P126" i="9"/>
  <c r="Q126" i="9" s="1"/>
  <c r="DC55" i="9"/>
  <c r="O66" i="9"/>
  <c r="P55" i="9"/>
  <c r="Q55" i="9" s="1"/>
  <c r="Q1009" i="7"/>
  <c r="Q371" i="7" s="1"/>
  <c r="Q52" i="7" s="1"/>
  <c r="O67" i="3" s="1"/>
  <c r="BS55" i="9"/>
  <c r="CN136" i="9"/>
  <c r="DA136" i="9"/>
  <c r="P903" i="4"/>
  <c r="N70" i="3"/>
  <c r="BY123" i="9"/>
  <c r="W27" i="37"/>
  <c r="DB211" i="9"/>
  <c r="CO211" i="9"/>
  <c r="CP160" i="9"/>
  <c r="DC160" i="9"/>
  <c r="U50" i="14"/>
  <c r="L219" i="14"/>
  <c r="BY99" i="9"/>
  <c r="W86" i="37"/>
  <c r="CO212" i="9"/>
  <c r="DB212" i="9"/>
  <c r="CN41" i="9"/>
  <c r="DA41" i="9"/>
  <c r="CZ221" i="9"/>
  <c r="L687" i="34" s="1"/>
  <c r="DA31" i="9"/>
  <c r="CN31" i="9"/>
  <c r="BY181" i="9"/>
  <c r="P113" i="9"/>
  <c r="Q113" i="9" s="1"/>
  <c r="BT113" i="9"/>
  <c r="CN135" i="9"/>
  <c r="DA135" i="9"/>
  <c r="CO214" i="9"/>
  <c r="DB214" i="9"/>
  <c r="R1153" i="6"/>
  <c r="R353" i="6" s="1"/>
  <c r="BY146" i="9"/>
  <c r="W67" i="37" s="1"/>
  <c r="W76" i="37" s="1"/>
  <c r="W78" i="37" s="1"/>
  <c r="P469" i="9"/>
  <c r="DD146" i="9"/>
  <c r="I14" i="3"/>
  <c r="M512" i="5"/>
  <c r="P180" i="5"/>
  <c r="P10" i="5" s="1"/>
  <c r="O452" i="5"/>
  <c r="O460" i="5" s="1"/>
  <c r="A133" i="15"/>
  <c r="O9" i="5"/>
  <c r="O27" i="5" s="1"/>
  <c r="M198" i="5"/>
  <c r="M209" i="5" s="1"/>
  <c r="M21" i="5"/>
  <c r="J19" i="13" s="1"/>
  <c r="J20" i="13" s="1"/>
  <c r="J23" i="13" s="1"/>
  <c r="O498" i="5"/>
  <c r="P16" i="5"/>
  <c r="R219" i="5"/>
  <c r="S219" i="5" s="1"/>
  <c r="S52" i="5" s="1"/>
  <c r="S56" i="5" s="1"/>
  <c r="Q240" i="5"/>
  <c r="Q52" i="5"/>
  <c r="Q56" i="5" s="1"/>
  <c r="N508" i="5"/>
  <c r="N510" i="5" s="1"/>
  <c r="N512" i="5" s="1"/>
  <c r="N19" i="5"/>
  <c r="N28" i="5" s="1"/>
  <c r="N196" i="5"/>
  <c r="K22" i="13"/>
  <c r="K103" i="13"/>
  <c r="J48" i="13"/>
  <c r="Y20" i="42" s="1"/>
  <c r="J20" i="42" s="1"/>
  <c r="R376" i="5"/>
  <c r="Q141" i="5"/>
  <c r="M6" i="3"/>
  <c r="O31" i="5"/>
  <c r="L469" i="5"/>
  <c r="L471" i="5" s="1"/>
  <c r="L484" i="5" s="1"/>
  <c r="L488" i="5" s="1"/>
  <c r="L209" i="5"/>
  <c r="J121" i="3" s="1"/>
  <c r="L32" i="5"/>
  <c r="L43" i="5" s="1"/>
  <c r="Q447" i="5"/>
  <c r="P192" i="5"/>
  <c r="P486" i="5"/>
  <c r="P451" i="5"/>
  <c r="P448" i="5"/>
  <c r="P450" i="5" s="1"/>
  <c r="Q176" i="5"/>
  <c r="R413" i="5"/>
  <c r="P66" i="5"/>
  <c r="P7" i="5"/>
  <c r="P496" i="5"/>
  <c r="R368" i="5"/>
  <c r="Q137" i="5"/>
  <c r="O197" i="5"/>
  <c r="O194" i="5"/>
  <c r="O196" i="5" s="1"/>
  <c r="Q64" i="5"/>
  <c r="Q16" i="5" s="1"/>
  <c r="B18" i="42"/>
  <c r="B24" i="42" s="1"/>
  <c r="L8" i="3"/>
  <c r="AC236" i="10"/>
  <c r="P589" i="4" s="1"/>
  <c r="P148" i="4" s="1"/>
  <c r="Q454" i="4"/>
  <c r="G21" i="11"/>
  <c r="H6" i="11"/>
  <c r="H167" i="11" s="1"/>
  <c r="E166" i="11"/>
  <c r="C229" i="15"/>
  <c r="C168" i="15"/>
  <c r="O192" i="4"/>
  <c r="O19" i="4" s="1"/>
  <c r="O29" i="4" s="1"/>
  <c r="AB236" i="10"/>
  <c r="AA140" i="11" s="1"/>
  <c r="AB140" i="11" s="1"/>
  <c r="AC140" i="11" s="1"/>
  <c r="Q105" i="4"/>
  <c r="Q158" i="4" s="1"/>
  <c r="R433" i="4"/>
  <c r="A52" i="15"/>
  <c r="A21" i="15" s="1"/>
  <c r="A25" i="15" s="1"/>
  <c r="C293" i="34" s="1"/>
  <c r="Q24" i="42"/>
  <c r="AW58" i="42"/>
  <c r="AW62" i="42" s="1"/>
  <c r="Q235" i="4"/>
  <c r="Q265" i="4" s="1"/>
  <c r="R756" i="4"/>
  <c r="Q329" i="4"/>
  <c r="N773" i="34"/>
  <c r="P58" i="4"/>
  <c r="M863" i="4"/>
  <c r="Q615" i="4"/>
  <c r="Q110" i="4" s="1"/>
  <c r="R612" i="4"/>
  <c r="Q638" i="4"/>
  <c r="J136" i="15"/>
  <c r="J158" i="15" s="1"/>
  <c r="K40" i="13"/>
  <c r="O703" i="4"/>
  <c r="O714" i="4" s="1"/>
  <c r="I136" i="15"/>
  <c r="I213" i="15"/>
  <c r="J105" i="13"/>
  <c r="J107" i="13" s="1"/>
  <c r="J64" i="13" s="1"/>
  <c r="K9" i="3" s="1"/>
  <c r="K10" i="3" s="1"/>
  <c r="N299" i="4"/>
  <c r="N865" i="4" s="1"/>
  <c r="Q66" i="4"/>
  <c r="R356" i="4"/>
  <c r="E571" i="34"/>
  <c r="E575" i="34" s="1"/>
  <c r="E576" i="34" s="1"/>
  <c r="E256" i="34" s="1"/>
  <c r="E342" i="34"/>
  <c r="N31" i="4"/>
  <c r="N136" i="3"/>
  <c r="R545" i="4"/>
  <c r="R444" i="4"/>
  <c r="Q447" i="4"/>
  <c r="Q113" i="4" s="1"/>
  <c r="N774" i="34"/>
  <c r="R738" i="4"/>
  <c r="S738" i="4" s="1"/>
  <c r="Q717" i="34" s="1"/>
  <c r="O717" i="34"/>
  <c r="Q227" i="4"/>
  <c r="Q71" i="4"/>
  <c r="R370" i="4"/>
  <c r="R436" i="4"/>
  <c r="S436" i="4" s="1"/>
  <c r="S106" i="4" s="1"/>
  <c r="Q106" i="4"/>
  <c r="R685" i="4"/>
  <c r="Q182" i="4"/>
  <c r="P775" i="34"/>
  <c r="Q562" i="4"/>
  <c r="Q384" i="4"/>
  <c r="Q77" i="4" s="1"/>
  <c r="R321" i="4"/>
  <c r="S321" i="4" s="1"/>
  <c r="Q55" i="4"/>
  <c r="Q57" i="4"/>
  <c r="R327" i="4"/>
  <c r="Q184" i="4"/>
  <c r="R694" i="4"/>
  <c r="AU36" i="42"/>
  <c r="AU56" i="42" s="1"/>
  <c r="B89" i="42"/>
  <c r="Q180" i="4"/>
  <c r="R677" i="4"/>
  <c r="Q73" i="4"/>
  <c r="R73" i="4"/>
  <c r="Q56" i="4"/>
  <c r="R326" i="4"/>
  <c r="S326" i="4" s="1"/>
  <c r="S56" i="4" s="1"/>
  <c r="A325" i="15"/>
  <c r="A328" i="15"/>
  <c r="Q174" i="4"/>
  <c r="Q176" i="4" s="1"/>
  <c r="Q9" i="4" s="1"/>
  <c r="R670" i="4"/>
  <c r="R404" i="4"/>
  <c r="Q78" i="4"/>
  <c r="R371" i="4"/>
  <c r="Q72" i="4"/>
  <c r="C339" i="34"/>
  <c r="A120" i="15"/>
  <c r="A122" i="15"/>
  <c r="A241" i="3" s="1"/>
  <c r="A117" i="17"/>
  <c r="A121" i="17" s="1"/>
  <c r="A123" i="17" s="1"/>
  <c r="A94" i="3" s="1"/>
  <c r="AU59" i="42"/>
  <c r="Q577" i="4"/>
  <c r="P135" i="4"/>
  <c r="P584" i="4"/>
  <c r="O1621" i="6"/>
  <c r="M116" i="3" s="1"/>
  <c r="M117" i="3" s="1"/>
  <c r="Q118" i="8"/>
  <c r="O114" i="3"/>
  <c r="E10" i="58"/>
  <c r="U32" i="58" s="1"/>
  <c r="U34" i="58" s="1"/>
  <c r="W34" i="58" s="1"/>
  <c r="H1996" i="6"/>
  <c r="I1996" i="6" s="1"/>
  <c r="H701" i="6"/>
  <c r="I701" i="6" s="1"/>
  <c r="W23" i="26"/>
  <c r="R274" i="7"/>
  <c r="L116" i="3"/>
  <c r="L117" i="3" s="1"/>
  <c r="R522" i="7"/>
  <c r="S522" i="7" s="1"/>
  <c r="S99" i="7" s="1"/>
  <c r="Q99" i="7"/>
  <c r="O1463" i="6"/>
  <c r="O1465" i="6" s="1"/>
  <c r="O1474" i="6" s="1"/>
  <c r="L368" i="34"/>
  <c r="R1368" i="6"/>
  <c r="S1368" i="6" s="1"/>
  <c r="O55" i="6"/>
  <c r="AA22" i="42" s="1"/>
  <c r="P455" i="6"/>
  <c r="R449" i="6"/>
  <c r="R1373" i="6"/>
  <c r="O1372" i="6"/>
  <c r="O1375" i="6" s="1"/>
  <c r="O1383" i="6" s="1"/>
  <c r="AK3" i="10"/>
  <c r="AI3" i="10"/>
  <c r="N107" i="6"/>
  <c r="P281" i="4"/>
  <c r="O297" i="4"/>
  <c r="O21" i="4" s="1"/>
  <c r="O340" i="4"/>
  <c r="M6" i="12" s="1"/>
  <c r="P340" i="4" s="1"/>
  <c r="N6" i="12" s="1"/>
  <c r="Q340" i="4" s="1"/>
  <c r="Q828" i="4"/>
  <c r="Q292" i="4" s="1"/>
  <c r="Q697" i="4"/>
  <c r="P702" i="4"/>
  <c r="P190" i="4"/>
  <c r="P195" i="4" s="1"/>
  <c r="Q832" i="4"/>
  <c r="P295" i="4"/>
  <c r="P300" i="4" s="1"/>
  <c r="P835" i="4"/>
  <c r="Q648" i="4"/>
  <c r="P651" i="4"/>
  <c r="P136" i="4"/>
  <c r="Q570" i="4"/>
  <c r="P130" i="4"/>
  <c r="R173" i="4"/>
  <c r="Q230" i="7"/>
  <c r="R687" i="7"/>
  <c r="S687" i="7" s="1"/>
  <c r="S230" i="7" s="1"/>
  <c r="P36" i="45"/>
  <c r="P46" i="45" s="1"/>
  <c r="P47" i="45" s="1"/>
  <c r="P503" i="6"/>
  <c r="P409" i="6"/>
  <c r="P1539" i="6"/>
  <c r="R1942" i="6"/>
  <c r="S1942" i="6" s="1"/>
  <c r="S667" i="6" s="1"/>
  <c r="N11" i="6"/>
  <c r="N43" i="6" s="1"/>
  <c r="N381" i="6"/>
  <c r="R936" i="6"/>
  <c r="S936" i="6" s="1"/>
  <c r="R1128" i="6"/>
  <c r="S1128" i="6" s="1"/>
  <c r="S322" i="6" s="1"/>
  <c r="P375" i="6"/>
  <c r="P379" i="6" s="1"/>
  <c r="P27" i="6" s="1"/>
  <c r="P1228" i="6"/>
  <c r="P1257" i="6"/>
  <c r="R1311" i="6"/>
  <c r="S1311" i="6" s="1"/>
  <c r="R1895" i="6"/>
  <c r="S1895" i="6" s="1"/>
  <c r="S657" i="6" s="1"/>
  <c r="M456" i="6"/>
  <c r="M2079" i="6"/>
  <c r="R792" i="6"/>
  <c r="S792" i="6" s="1"/>
  <c r="S98" i="6" s="1"/>
  <c r="R1790" i="6"/>
  <c r="S1790" i="6" s="1"/>
  <c r="P540" i="6"/>
  <c r="P633" i="6"/>
  <c r="P1205" i="6"/>
  <c r="P1206" i="6" s="1"/>
  <c r="P1217" i="6" s="1"/>
  <c r="P338" i="6"/>
  <c r="R1959" i="6"/>
  <c r="S1959" i="6" s="1"/>
  <c r="S675" i="6" s="1"/>
  <c r="L394" i="6"/>
  <c r="L2058" i="6"/>
  <c r="R789" i="6"/>
  <c r="S789" i="6" s="1"/>
  <c r="S95" i="6" s="1"/>
  <c r="O1572" i="6"/>
  <c r="O1574" i="6" s="1"/>
  <c r="O1585" i="6" s="1"/>
  <c r="P433" i="6"/>
  <c r="P435" i="6" s="1"/>
  <c r="L767" i="34"/>
  <c r="L779" i="34" s="1"/>
  <c r="N1259" i="6"/>
  <c r="N1261" i="6" s="1"/>
  <c r="N1272" i="6" s="1"/>
  <c r="P785" i="6"/>
  <c r="P78" i="6"/>
  <c r="P81" i="6" s="1"/>
  <c r="P6" i="6" s="1"/>
  <c r="N763" i="34"/>
  <c r="P767" i="6"/>
  <c r="P484" i="6"/>
  <c r="R1066" i="6"/>
  <c r="S1066" i="6" s="1"/>
  <c r="R1170" i="6"/>
  <c r="S1170" i="6" s="1"/>
  <c r="S303" i="6" s="1"/>
  <c r="R1953" i="6"/>
  <c r="S1953" i="6" s="1"/>
  <c r="S669" i="6" s="1"/>
  <c r="K783" i="34"/>
  <c r="K213" i="3"/>
  <c r="P1570" i="6"/>
  <c r="P444" i="6"/>
  <c r="R310" i="6"/>
  <c r="P768" i="34"/>
  <c r="L43" i="15"/>
  <c r="L12" i="15" s="1"/>
  <c r="O23" i="6"/>
  <c r="O39" i="6" s="1"/>
  <c r="O451" i="6"/>
  <c r="O28" i="6" s="1"/>
  <c r="R1794" i="6"/>
  <c r="S1794" i="6" s="1"/>
  <c r="S628" i="6" s="1"/>
  <c r="R1723" i="6"/>
  <c r="S1723" i="6" s="1"/>
  <c r="S572" i="6" s="1"/>
  <c r="R1486" i="6"/>
  <c r="R414" i="6"/>
  <c r="P448" i="6"/>
  <c r="P454" i="6" s="1"/>
  <c r="P1509" i="6"/>
  <c r="R1860" i="6"/>
  <c r="S1860" i="6" s="1"/>
  <c r="M562" i="6"/>
  <c r="M2061" i="6"/>
  <c r="L2059" i="6"/>
  <c r="L465" i="6"/>
  <c r="R1863" i="6"/>
  <c r="S1863" i="6" s="1"/>
  <c r="Q732" i="34" s="1"/>
  <c r="O732" i="34"/>
  <c r="P942" i="6"/>
  <c r="P950" i="6" s="1"/>
  <c r="M109" i="6"/>
  <c r="M2073" i="6"/>
  <c r="P662" i="6"/>
  <c r="M461" i="6"/>
  <c r="M1521" i="6"/>
  <c r="R1246" i="6"/>
  <c r="S1246" i="6" s="1"/>
  <c r="S1231" i="6" s="1"/>
  <c r="S369" i="6" s="1"/>
  <c r="R772" i="6"/>
  <c r="S772" i="6" s="1"/>
  <c r="S88" i="6" s="1"/>
  <c r="R1407" i="6"/>
  <c r="S1407" i="6" s="1"/>
  <c r="K11" i="42"/>
  <c r="L355" i="34" s="1"/>
  <c r="O418" i="6"/>
  <c r="P311" i="6"/>
  <c r="P1105" i="6"/>
  <c r="P644" i="6"/>
  <c r="R1749" i="6"/>
  <c r="S1749" i="6" s="1"/>
  <c r="S586" i="6" s="1"/>
  <c r="N764" i="34"/>
  <c r="P1035" i="6"/>
  <c r="P246" i="6"/>
  <c r="M383" i="6"/>
  <c r="M2078" i="6"/>
  <c r="R1180" i="6"/>
  <c r="S1180" i="6" s="1"/>
  <c r="R1422" i="6"/>
  <c r="S1422" i="6" s="1"/>
  <c r="S441" i="6" s="1"/>
  <c r="P541" i="6"/>
  <c r="R1770" i="6"/>
  <c r="R598" i="6"/>
  <c r="R605" i="6" s="1"/>
  <c r="P155" i="6"/>
  <c r="P164" i="6" s="1"/>
  <c r="O108" i="6"/>
  <c r="O2090" i="6"/>
  <c r="O1206" i="6"/>
  <c r="O1217" i="6" s="1"/>
  <c r="P167" i="6"/>
  <c r="R890" i="6"/>
  <c r="S890" i="6" s="1"/>
  <c r="S144" i="6" s="1"/>
  <c r="P660" i="6"/>
  <c r="P323" i="6"/>
  <c r="R774" i="6"/>
  <c r="S774" i="6" s="1"/>
  <c r="S90" i="6" s="1"/>
  <c r="P1501" i="6"/>
  <c r="P1506" i="6" s="1"/>
  <c r="P1508" i="6" s="1"/>
  <c r="R403" i="6"/>
  <c r="R1597" i="6"/>
  <c r="S1597" i="6" s="1"/>
  <c r="S475" i="6" s="1"/>
  <c r="P408" i="6"/>
  <c r="P1299" i="6"/>
  <c r="N769" i="34"/>
  <c r="N113" i="3"/>
  <c r="P1370" i="6"/>
  <c r="P422" i="6"/>
  <c r="P1403" i="6"/>
  <c r="N771" i="34" s="1"/>
  <c r="P412" i="6"/>
  <c r="R1351" i="6"/>
  <c r="S1351" i="6" s="1"/>
  <c r="Q729" i="34" s="1"/>
  <c r="O729" i="34"/>
  <c r="N12" i="6"/>
  <c r="N44" i="6" s="1"/>
  <c r="N453" i="6"/>
  <c r="P252" i="6"/>
  <c r="M15" i="58"/>
  <c r="P709" i="6"/>
  <c r="P668" i="6"/>
  <c r="R1675" i="6"/>
  <c r="S1675" i="6" s="1"/>
  <c r="S539" i="6" s="1"/>
  <c r="O365" i="6"/>
  <c r="O371" i="6" s="1"/>
  <c r="O1234" i="6"/>
  <c r="P102" i="6"/>
  <c r="P803" i="6"/>
  <c r="O93" i="6"/>
  <c r="O105" i="6" s="1"/>
  <c r="O22" i="6" s="1"/>
  <c r="O38" i="6" s="1"/>
  <c r="O800" i="6"/>
  <c r="O802" i="6" s="1"/>
  <c r="O804" i="6" s="1"/>
  <c r="O813" i="6" s="1"/>
  <c r="R863" i="6"/>
  <c r="S863" i="6" s="1"/>
  <c r="P445" i="6"/>
  <c r="L7" i="3"/>
  <c r="K30" i="13"/>
  <c r="N52" i="6"/>
  <c r="K104" i="13" s="1"/>
  <c r="R1112" i="6"/>
  <c r="S1112" i="6" s="1"/>
  <c r="S319" i="6" s="1"/>
  <c r="R301" i="6"/>
  <c r="M750" i="34"/>
  <c r="M752" i="34" s="1"/>
  <c r="P726" i="34"/>
  <c r="R259" i="6"/>
  <c r="P725" i="34"/>
  <c r="R201" i="6"/>
  <c r="V71" i="11"/>
  <c r="T77" i="11"/>
  <c r="O462" i="6"/>
  <c r="AK212" i="10"/>
  <c r="R1212" i="6"/>
  <c r="P1517" i="6"/>
  <c r="AG239" i="10"/>
  <c r="Q1517" i="6" s="1"/>
  <c r="Q462" i="6" s="1"/>
  <c r="R193" i="6"/>
  <c r="L7" i="42"/>
  <c r="L69" i="42" s="1"/>
  <c r="N7" i="60" s="1"/>
  <c r="AA69" i="42"/>
  <c r="N33" i="60" s="1"/>
  <c r="R585" i="6"/>
  <c r="R835" i="6"/>
  <c r="S835" i="6" s="1"/>
  <c r="O2074" i="6"/>
  <c r="O169" i="6"/>
  <c r="M39" i="15"/>
  <c r="R783" i="6"/>
  <c r="R1623" i="6"/>
  <c r="S1623" i="6" s="1"/>
  <c r="S496" i="6" s="1"/>
  <c r="N110" i="7"/>
  <c r="N1126" i="7" s="1"/>
  <c r="R74" i="7"/>
  <c r="M482" i="5"/>
  <c r="R60" i="5"/>
  <c r="DB217" i="9"/>
  <c r="CO217" i="9"/>
  <c r="DC42" i="9"/>
  <c r="CP42" i="9"/>
  <c r="CO198" i="9"/>
  <c r="DB198" i="9"/>
  <c r="DB147" i="9"/>
  <c r="CO147" i="9"/>
  <c r="DC132" i="9"/>
  <c r="CP132" i="9"/>
  <c r="CO156" i="9"/>
  <c r="DB156" i="9"/>
  <c r="CP124" i="9"/>
  <c r="CQ124" i="9" s="1"/>
  <c r="DC124" i="9"/>
  <c r="CO155" i="9"/>
  <c r="DB155" i="9"/>
  <c r="DB213" i="9"/>
  <c r="CO213" i="9"/>
  <c r="CO152" i="9"/>
  <c r="DB152" i="9"/>
  <c r="CO36" i="9"/>
  <c r="DB36" i="9"/>
  <c r="CP120" i="9"/>
  <c r="DC120" i="9"/>
  <c r="CO203" i="9"/>
  <c r="DB203" i="9"/>
  <c r="CO113" i="9"/>
  <c r="DB113" i="9"/>
  <c r="CO21" i="9"/>
  <c r="DB21" i="9"/>
  <c r="CO100" i="9"/>
  <c r="DB100" i="9"/>
  <c r="CO179" i="9"/>
  <c r="DB179" i="9"/>
  <c r="DC127" i="9"/>
  <c r="CP127" i="9"/>
  <c r="DB128" i="9"/>
  <c r="CO128" i="9"/>
  <c r="DC73" i="9"/>
  <c r="CP73" i="9"/>
  <c r="DB153" i="9"/>
  <c r="CO153" i="9"/>
  <c r="CP50" i="9"/>
  <c r="DC50" i="9"/>
  <c r="DC107" i="9"/>
  <c r="CP107" i="9"/>
  <c r="DB180" i="9"/>
  <c r="CO180" i="9"/>
  <c r="DC118" i="9"/>
  <c r="CP118" i="9"/>
  <c r="DB210" i="9"/>
  <c r="CO210" i="9"/>
  <c r="DB141" i="9"/>
  <c r="CO141" i="9"/>
  <c r="BO209" i="9"/>
  <c r="BN219" i="9"/>
  <c r="DC14" i="9"/>
  <c r="CP14" i="9"/>
  <c r="DB154" i="9"/>
  <c r="CO154" i="9"/>
  <c r="DA206" i="9"/>
  <c r="CN206" i="9"/>
  <c r="CO182" i="9"/>
  <c r="DB182" i="9"/>
  <c r="CP123" i="9"/>
  <c r="DC123" i="9"/>
  <c r="CO37" i="9"/>
  <c r="DB37" i="9"/>
  <c r="CO82" i="9"/>
  <c r="DB82" i="9"/>
  <c r="DB93" i="9"/>
  <c r="CO93" i="9"/>
  <c r="CO110" i="9"/>
  <c r="DB110" i="9"/>
  <c r="CO79" i="9"/>
  <c r="DB79" i="9"/>
  <c r="CO115" i="9"/>
  <c r="DB115" i="9"/>
  <c r="CN51" i="9"/>
  <c r="DA51" i="9"/>
  <c r="CO121" i="9"/>
  <c r="DB121" i="9"/>
  <c r="DB196" i="9"/>
  <c r="CO196" i="9"/>
  <c r="DC43" i="9"/>
  <c r="CP43" i="9"/>
  <c r="G534" i="34"/>
  <c r="H245" i="4"/>
  <c r="I245" i="4" s="1"/>
  <c r="H20" i="4"/>
  <c r="I20" i="4" s="1"/>
  <c r="R100" i="42"/>
  <c r="U50" i="42"/>
  <c r="G25" i="3"/>
  <c r="G26" i="3" s="1"/>
  <c r="F207" i="15"/>
  <c r="G207" i="15" s="1"/>
  <c r="G156" i="3"/>
  <c r="G157" i="3" s="1"/>
  <c r="F134" i="13"/>
  <c r="F135" i="13" s="1"/>
  <c r="K344" i="6"/>
  <c r="K2077" i="6"/>
  <c r="I135" i="14"/>
  <c r="I194" i="14"/>
  <c r="G481" i="34"/>
  <c r="G535" i="34" s="1"/>
  <c r="F19" i="42"/>
  <c r="U79" i="42"/>
  <c r="G43" i="60" s="1"/>
  <c r="F51" i="15"/>
  <c r="O72" i="14"/>
  <c r="H267" i="4"/>
  <c r="I267" i="4" s="1"/>
  <c r="H767" i="4"/>
  <c r="I767" i="4" s="1"/>
  <c r="L224" i="9"/>
  <c r="L226" i="9" s="1"/>
  <c r="M217" i="34"/>
  <c r="M815" i="34" s="1"/>
  <c r="M259" i="3" s="1"/>
  <c r="BE219" i="9"/>
  <c r="BE221" i="9" s="1"/>
  <c r="L232" i="3" s="1"/>
  <c r="W19" i="26"/>
  <c r="R279" i="7"/>
  <c r="O7" i="7"/>
  <c r="O30" i="7" s="1"/>
  <c r="O108" i="7"/>
  <c r="O1141" i="7" s="1"/>
  <c r="R673" i="7"/>
  <c r="S673" i="7" s="1"/>
  <c r="S222" i="7" s="1"/>
  <c r="S224" i="7" s="1"/>
  <c r="Q676" i="7"/>
  <c r="Q222" i="7"/>
  <c r="Q224" i="7" s="1"/>
  <c r="R793" i="7"/>
  <c r="S793" i="7" s="1"/>
  <c r="S281" i="7" s="1"/>
  <c r="Q281" i="7"/>
  <c r="Q1106" i="7"/>
  <c r="P418" i="7"/>
  <c r="P424" i="7" s="1"/>
  <c r="P42" i="7" s="1"/>
  <c r="P1111" i="7"/>
  <c r="P1155" i="7" s="1"/>
  <c r="N143" i="9"/>
  <c r="P1082" i="6" s="1"/>
  <c r="U40" i="37"/>
  <c r="DB122" i="9"/>
  <c r="BO122" i="9"/>
  <c r="O289" i="6"/>
  <c r="M219" i="9"/>
  <c r="M221" i="9" s="1"/>
  <c r="K72" i="3"/>
  <c r="K218" i="15"/>
  <c r="P64" i="7"/>
  <c r="P69" i="7" s="1"/>
  <c r="Q448" i="7"/>
  <c r="Q456" i="7" s="1"/>
  <c r="L206" i="15"/>
  <c r="L151" i="15" s="1"/>
  <c r="K133" i="13"/>
  <c r="L71" i="3"/>
  <c r="Z49" i="42"/>
  <c r="R700" i="7"/>
  <c r="S700" i="7" s="1"/>
  <c r="S234" i="7" s="1"/>
  <c r="Q234" i="7"/>
  <c r="Q703" i="7"/>
  <c r="L55" i="15"/>
  <c r="L24" i="15" s="1"/>
  <c r="Q906" i="7"/>
  <c r="AD67" i="10"/>
  <c r="J49" i="42"/>
  <c r="L14" i="13"/>
  <c r="N65" i="6"/>
  <c r="L69" i="3" s="1"/>
  <c r="AB67" i="10"/>
  <c r="Q868" i="7"/>
  <c r="P335" i="7"/>
  <c r="P10" i="7"/>
  <c r="P263" i="7"/>
  <c r="P267" i="7" s="1"/>
  <c r="P11" i="7" s="1"/>
  <c r="Q731" i="7"/>
  <c r="Q737" i="7" s="1"/>
  <c r="N777" i="34"/>
  <c r="P132" i="7"/>
  <c r="Q554" i="7"/>
  <c r="P705" i="7"/>
  <c r="P707" i="7" s="1"/>
  <c r="P718" i="7" s="1"/>
  <c r="BJ143" i="9"/>
  <c r="T7" i="37" s="1"/>
  <c r="S112" i="37"/>
  <c r="N1128" i="7"/>
  <c r="N165" i="7"/>
  <c r="R557" i="7"/>
  <c r="S557" i="7" s="1"/>
  <c r="S135" i="7" s="1"/>
  <c r="Q135" i="7"/>
  <c r="M795" i="34"/>
  <c r="M801" i="34" s="1"/>
  <c r="M825" i="34"/>
  <c r="P341" i="7"/>
  <c r="Q882" i="7"/>
  <c r="M599" i="34"/>
  <c r="M601" i="34" s="1"/>
  <c r="M242" i="34" s="1"/>
  <c r="R280" i="7"/>
  <c r="R563" i="7"/>
  <c r="S563" i="7" s="1"/>
  <c r="Q138" i="7"/>
  <c r="R570" i="7"/>
  <c r="S570" i="7" s="1"/>
  <c r="S141" i="7" s="1"/>
  <c r="Q141" i="7"/>
  <c r="R921" i="7"/>
  <c r="S921" i="7" s="1"/>
  <c r="S346" i="7" s="1"/>
  <c r="Q346" i="7"/>
  <c r="R734" i="7"/>
  <c r="S734" i="7" s="1"/>
  <c r="S264" i="7" s="1"/>
  <c r="Q264" i="7"/>
  <c r="R454" i="7"/>
  <c r="S454" i="7" s="1"/>
  <c r="S67" i="7" s="1"/>
  <c r="Q67" i="7"/>
  <c r="J64" i="10"/>
  <c r="I949" i="7"/>
  <c r="Q405" i="7"/>
  <c r="R1051" i="7"/>
  <c r="S1051" i="7" s="1"/>
  <c r="S405" i="7" s="1"/>
  <c r="O111" i="3"/>
  <c r="R911" i="7"/>
  <c r="S911" i="7" s="1"/>
  <c r="S345" i="7" s="1"/>
  <c r="Q345" i="7"/>
  <c r="R895" i="7"/>
  <c r="S895" i="7" s="1"/>
  <c r="R938" i="7"/>
  <c r="S938" i="7" s="1"/>
  <c r="Q355" i="7"/>
  <c r="Q942" i="7"/>
  <c r="R836" i="7"/>
  <c r="S836" i="7" s="1"/>
  <c r="AL66" i="10" s="1"/>
  <c r="AF66" i="10"/>
  <c r="N22" i="7"/>
  <c r="N33" i="7" s="1"/>
  <c r="N294" i="7"/>
  <c r="R829" i="7"/>
  <c r="S829" i="7" s="1"/>
  <c r="AF101" i="10"/>
  <c r="AH101" i="10" s="1"/>
  <c r="P797" i="7"/>
  <c r="AB21" i="42" s="1"/>
  <c r="O285" i="7"/>
  <c r="O292" i="7" s="1"/>
  <c r="O807" i="7"/>
  <c r="O809" i="7" s="1"/>
  <c r="O811" i="7" s="1"/>
  <c r="O820" i="7" s="1"/>
  <c r="O776" i="34"/>
  <c r="R616" i="7"/>
  <c r="S616" i="7" s="1"/>
  <c r="Q181" i="7"/>
  <c r="L307" i="7"/>
  <c r="L1130" i="7"/>
  <c r="Q336" i="7"/>
  <c r="R871" i="7"/>
  <c r="S871" i="7" s="1"/>
  <c r="S336" i="7" s="1"/>
  <c r="R832" i="7"/>
  <c r="S832" i="7" s="1"/>
  <c r="AL65" i="10" s="1"/>
  <c r="AF65" i="10"/>
  <c r="M1145" i="7"/>
  <c r="M296" i="7"/>
  <c r="AC103" i="10"/>
  <c r="AE103" i="10" s="1"/>
  <c r="AE66" i="10"/>
  <c r="H60" i="11"/>
  <c r="H1029" i="7"/>
  <c r="I1029" i="7" s="1"/>
  <c r="R1031" i="7"/>
  <c r="S1031" i="7" s="1"/>
  <c r="S386" i="7" s="1"/>
  <c r="Q386" i="7"/>
  <c r="O778" i="34"/>
  <c r="R1025" i="7"/>
  <c r="S1025" i="7" s="1"/>
  <c r="R1023" i="7"/>
  <c r="S1023" i="7" s="1"/>
  <c r="Q407" i="7"/>
  <c r="Q408" i="7" s="1"/>
  <c r="Q385" i="7"/>
  <c r="O103" i="5"/>
  <c r="O478" i="5"/>
  <c r="R288" i="5"/>
  <c r="S288" i="5" s="1"/>
  <c r="S307" i="5" s="1"/>
  <c r="Q307" i="5"/>
  <c r="Q89" i="5"/>
  <c r="Q91" i="5" s="1"/>
  <c r="R372" i="5"/>
  <c r="S372" i="5" s="1"/>
  <c r="S138" i="5" s="1"/>
  <c r="Q138" i="5"/>
  <c r="Q386" i="5"/>
  <c r="F146" i="11"/>
  <c r="P388" i="5"/>
  <c r="P390" i="5" s="1"/>
  <c r="P399" i="5" s="1"/>
  <c r="P225" i="3"/>
  <c r="P226" i="3" s="1"/>
  <c r="R410" i="5"/>
  <c r="S410" i="5" s="1"/>
  <c r="Q419" i="5"/>
  <c r="Q175" i="5"/>
  <c r="M468" i="5"/>
  <c r="M165" i="5"/>
  <c r="R416" i="5"/>
  <c r="Q178" i="5"/>
  <c r="N26" i="5"/>
  <c r="Q128" i="5"/>
  <c r="R358" i="5"/>
  <c r="N12" i="5"/>
  <c r="L249" i="48"/>
  <c r="J228" i="48"/>
  <c r="K245" i="48"/>
  <c r="J225" i="48"/>
  <c r="E226" i="48"/>
  <c r="O233" i="48"/>
  <c r="E248" i="48"/>
  <c r="C223" i="48"/>
  <c r="Q233" i="48"/>
  <c r="E230" i="48"/>
  <c r="C247" i="48"/>
  <c r="J243" i="48"/>
  <c r="C229" i="48"/>
  <c r="K231" i="48"/>
  <c r="Q247" i="48"/>
  <c r="O230" i="48"/>
  <c r="K222" i="48"/>
  <c r="K230" i="48"/>
  <c r="E245" i="48"/>
  <c r="C242" i="48"/>
  <c r="Q230" i="48"/>
  <c r="E229" i="48"/>
  <c r="Q228" i="48"/>
  <c r="C245" i="48"/>
  <c r="Q239" i="48"/>
  <c r="E240" i="48"/>
  <c r="Q223" i="48"/>
  <c r="C248" i="48"/>
  <c r="O242" i="48"/>
  <c r="E242" i="48"/>
  <c r="J238" i="48"/>
  <c r="E223" i="48"/>
  <c r="J246" i="48"/>
  <c r="J248" i="48"/>
  <c r="O229" i="48"/>
  <c r="E224" i="48"/>
  <c r="J240" i="48"/>
  <c r="K241" i="48"/>
  <c r="K237" i="48"/>
  <c r="E225" i="48"/>
  <c r="Q226" i="48"/>
  <c r="Q240" i="48"/>
  <c r="E236" i="48"/>
  <c r="Q242" i="48"/>
  <c r="Q225" i="48"/>
  <c r="C235" i="48"/>
  <c r="E247" i="48"/>
  <c r="K224" i="48"/>
  <c r="J241" i="48"/>
  <c r="O235" i="48"/>
  <c r="J229" i="48"/>
  <c r="K242" i="48"/>
  <c r="K232" i="48"/>
  <c r="O225" i="48"/>
  <c r="J235" i="48"/>
  <c r="J224" i="48"/>
  <c r="C230" i="48"/>
  <c r="C236" i="48"/>
  <c r="Q238" i="48"/>
  <c r="C243" i="48"/>
  <c r="O241" i="48"/>
  <c r="J244" i="48"/>
  <c r="O245" i="48"/>
  <c r="O226" i="48"/>
  <c r="J234" i="48"/>
  <c r="O227" i="48"/>
  <c r="J223" i="48"/>
  <c r="E233" i="48"/>
  <c r="J237" i="48"/>
  <c r="J222" i="48"/>
  <c r="E239" i="48"/>
  <c r="O247" i="48"/>
  <c r="K227" i="48"/>
  <c r="K248" i="48"/>
  <c r="K236" i="48"/>
  <c r="K247" i="48"/>
  <c r="Q241" i="48"/>
  <c r="Q237" i="48"/>
  <c r="O232" i="48"/>
  <c r="Q229" i="48"/>
  <c r="E241" i="48"/>
  <c r="O228" i="48"/>
  <c r="K228" i="48"/>
  <c r="C225" i="48"/>
  <c r="E235" i="48"/>
  <c r="Q232" i="48"/>
  <c r="C239" i="48"/>
  <c r="O238" i="48"/>
  <c r="O243" i="48"/>
  <c r="K234" i="48"/>
  <c r="E244" i="48"/>
  <c r="J242" i="48"/>
  <c r="C228" i="48"/>
  <c r="J245" i="48"/>
  <c r="Q245" i="48"/>
  <c r="K233" i="48"/>
  <c r="K238" i="48"/>
  <c r="E238" i="48"/>
  <c r="J232" i="48"/>
  <c r="J239" i="48"/>
  <c r="J247" i="48"/>
  <c r="Q234" i="48"/>
  <c r="Q244" i="48"/>
  <c r="C226" i="48"/>
  <c r="O244" i="48"/>
  <c r="K240" i="48"/>
  <c r="E232" i="48"/>
  <c r="K246" i="48"/>
  <c r="Q227" i="48"/>
  <c r="C244" i="48"/>
  <c r="C231" i="48"/>
  <c r="J231" i="48"/>
  <c r="C222" i="48"/>
  <c r="C246" i="48"/>
  <c r="Q224" i="48"/>
  <c r="K243" i="48"/>
  <c r="C241" i="48"/>
  <c r="O236" i="48"/>
  <c r="E243" i="48"/>
  <c r="K244" i="48"/>
  <c r="J227" i="48"/>
  <c r="K225" i="48"/>
  <c r="J226" i="48"/>
  <c r="E227" i="48"/>
  <c r="O234" i="48"/>
  <c r="C237" i="48"/>
  <c r="C238" i="48"/>
  <c r="K235" i="48"/>
  <c r="Q246" i="48"/>
  <c r="C224" i="48"/>
  <c r="O240" i="48"/>
  <c r="E222" i="48"/>
  <c r="O222" i="48"/>
  <c r="Q222" i="48"/>
  <c r="E228" i="48"/>
  <c r="E234" i="48"/>
  <c r="E246" i="48"/>
  <c r="O224" i="48"/>
  <c r="K229" i="48"/>
  <c r="Q235" i="48"/>
  <c r="C233" i="48"/>
  <c r="Q243" i="48"/>
  <c r="C227" i="48"/>
  <c r="K239" i="48"/>
  <c r="C240" i="48"/>
  <c r="O248" i="48"/>
  <c r="Q231" i="48"/>
  <c r="Q236" i="48"/>
  <c r="K226" i="48"/>
  <c r="E237" i="48"/>
  <c r="K223" i="48"/>
  <c r="J230" i="48"/>
  <c r="J236" i="48"/>
  <c r="J233" i="48"/>
  <c r="C234" i="48"/>
  <c r="O223" i="48"/>
  <c r="O239" i="48"/>
  <c r="C232" i="48"/>
  <c r="O246" i="48"/>
  <c r="O231" i="48"/>
  <c r="O237" i="48"/>
  <c r="E231" i="48"/>
  <c r="Q248" i="48"/>
  <c r="F345" i="34"/>
  <c r="F179" i="34" s="1"/>
  <c r="R186" i="5"/>
  <c r="O154" i="5"/>
  <c r="Q313" i="5"/>
  <c r="O112" i="3" s="1"/>
  <c r="P95" i="5"/>
  <c r="P99" i="5" s="1"/>
  <c r="P101" i="5" s="1"/>
  <c r="P319" i="5"/>
  <c r="P321" i="5" s="1"/>
  <c r="P323" i="5" s="1"/>
  <c r="P333" i="5" s="1"/>
  <c r="F524" i="34"/>
  <c r="F474" i="34"/>
  <c r="R342" i="5"/>
  <c r="S342" i="5" s="1"/>
  <c r="S124" i="5" s="1"/>
  <c r="Q124" i="5"/>
  <c r="Q361" i="5"/>
  <c r="D571" i="34"/>
  <c r="D575" i="34" s="1"/>
  <c r="D576" i="34" s="1"/>
  <c r="D256" i="34" s="1"/>
  <c r="D342" i="34"/>
  <c r="D343" i="34" s="1"/>
  <c r="D345" i="34" s="1"/>
  <c r="D179" i="34" s="1"/>
  <c r="N479" i="5"/>
  <c r="N154" i="5"/>
  <c r="P497" i="5"/>
  <c r="P8" i="5"/>
  <c r="P507" i="5"/>
  <c r="P18" i="5"/>
  <c r="O17" i="5"/>
  <c r="O506" i="5"/>
  <c r="AV58" i="42"/>
  <c r="P131" i="5"/>
  <c r="O10" i="5"/>
  <c r="O499" i="5"/>
  <c r="N114" i="5"/>
  <c r="N467" i="5"/>
  <c r="R204" i="6"/>
  <c r="O80" i="4"/>
  <c r="O17" i="4" s="1"/>
  <c r="AA81" i="42"/>
  <c r="N45" i="60" s="1"/>
  <c r="L21" i="42"/>
  <c r="L81" i="42" s="1"/>
  <c r="N19" i="60" s="1"/>
  <c r="M54" i="15"/>
  <c r="M23" i="15" s="1"/>
  <c r="M40" i="15"/>
  <c r="M9" i="15" s="1"/>
  <c r="AA70" i="42"/>
  <c r="N34" i="60" s="1"/>
  <c r="L8" i="42"/>
  <c r="L70" i="42" s="1"/>
  <c r="N8" i="60" s="1"/>
  <c r="P129" i="4"/>
  <c r="O834" i="4"/>
  <c r="O836" i="4" s="1"/>
  <c r="O843" i="4" s="1"/>
  <c r="Q365" i="4"/>
  <c r="L853" i="4"/>
  <c r="L312" i="4"/>
  <c r="Q453" i="4"/>
  <c r="P111" i="4"/>
  <c r="O246" i="4"/>
  <c r="R691" i="4"/>
  <c r="Q183" i="4"/>
  <c r="K27" i="4"/>
  <c r="Q634" i="4"/>
  <c r="O222" i="4"/>
  <c r="Q802" i="4"/>
  <c r="P833" i="4"/>
  <c r="P289" i="4"/>
  <c r="N141" i="4"/>
  <c r="N18" i="4"/>
  <c r="N28" i="4" s="1"/>
  <c r="P181" i="4"/>
  <c r="Q681" i="4"/>
  <c r="P699" i="4"/>
  <c r="P701" i="4" s="1"/>
  <c r="I102" i="3"/>
  <c r="O6" i="11"/>
  <c r="L688" i="34"/>
  <c r="K105" i="13"/>
  <c r="K84" i="4"/>
  <c r="K861" i="4"/>
  <c r="L850" i="4"/>
  <c r="O127" i="4"/>
  <c r="O162" i="4" s="1"/>
  <c r="O650" i="4"/>
  <c r="O652" i="4" s="1"/>
  <c r="O659" i="4" s="1"/>
  <c r="Q496" i="4"/>
  <c r="P121" i="4"/>
  <c r="P159" i="4" s="1"/>
  <c r="P581" i="4"/>
  <c r="P728" i="4"/>
  <c r="AB8" i="42" s="1"/>
  <c r="Q723" i="4"/>
  <c r="P217" i="4"/>
  <c r="P264" i="4" s="1"/>
  <c r="M862" i="4"/>
  <c r="M143" i="4"/>
  <c r="M851" i="4"/>
  <c r="M207" i="4"/>
  <c r="Q785" i="4"/>
  <c r="P278" i="4"/>
  <c r="P798" i="4"/>
  <c r="Q761" i="4"/>
  <c r="P241" i="4"/>
  <c r="P766" i="4"/>
  <c r="Q350" i="4"/>
  <c r="P65" i="4"/>
  <c r="P408" i="4"/>
  <c r="L7" i="4"/>
  <c r="L82" i="4"/>
  <c r="B21" i="15"/>
  <c r="B25" i="15" s="1"/>
  <c r="B56" i="15"/>
  <c r="N342" i="4"/>
  <c r="L8" i="12" s="1"/>
  <c r="K11" i="12"/>
  <c r="K84" i="3" s="1"/>
  <c r="Q618" i="4"/>
  <c r="P649" i="4"/>
  <c r="T7" i="10"/>
  <c r="M61" i="4"/>
  <c r="P291" i="4"/>
  <c r="Q811" i="4"/>
  <c r="N10" i="4"/>
  <c r="K90" i="4"/>
  <c r="K41" i="4" s="1"/>
  <c r="K422" i="4"/>
  <c r="K682" i="34"/>
  <c r="N115" i="3"/>
  <c r="Q507" i="4"/>
  <c r="S7" i="10"/>
  <c r="L417" i="4"/>
  <c r="Q39" i="10"/>
  <c r="C24" i="42"/>
  <c r="C78" i="42"/>
  <c r="H202" i="34"/>
  <c r="H819" i="34" s="1"/>
  <c r="H263" i="3" s="1"/>
  <c r="H829" i="34"/>
  <c r="J153" i="4"/>
  <c r="M12" i="11"/>
  <c r="L21" i="11"/>
  <c r="G49" i="42"/>
  <c r="N393" i="34"/>
  <c r="N510" i="34" s="1"/>
  <c r="N570" i="34"/>
  <c r="P106" i="15"/>
  <c r="P144" i="15"/>
  <c r="O337" i="34"/>
  <c r="S259" i="6" l="1"/>
  <c r="S160" i="4"/>
  <c r="CS68" i="21"/>
  <c r="BQ68" i="21"/>
  <c r="S161" i="4"/>
  <c r="CS23" i="21"/>
  <c r="BQ23" i="21"/>
  <c r="CS9" i="21"/>
  <c r="BQ9" i="21"/>
  <c r="R161" i="4"/>
  <c r="Q128" i="9"/>
  <c r="AJ185" i="10"/>
  <c r="BX128" i="9"/>
  <c r="BY128" i="9" s="1"/>
  <c r="Q127" i="9"/>
  <c r="AJ184" i="10"/>
  <c r="BX127" i="9"/>
  <c r="Q129" i="9"/>
  <c r="AJ186" i="10"/>
  <c r="AK186" i="10" s="1"/>
  <c r="AJ109" i="11" s="1"/>
  <c r="AK109" i="11" s="1"/>
  <c r="AL109" i="11" s="1"/>
  <c r="BY129" i="9"/>
  <c r="BX129" i="9"/>
  <c r="Q414" i="34"/>
  <c r="N584" i="34"/>
  <c r="Q426" i="34"/>
  <c r="Q430" i="34" s="1"/>
  <c r="Q75" i="34"/>
  <c r="P289" i="3"/>
  <c r="R27" i="1"/>
  <c r="Q289" i="3" s="1"/>
  <c r="Q299" i="3" s="1"/>
  <c r="CS61" i="21"/>
  <c r="BQ61" i="21"/>
  <c r="CS70" i="21"/>
  <c r="BQ70" i="21"/>
  <c r="BT127" i="9"/>
  <c r="BS143" i="9"/>
  <c r="AI85" i="11"/>
  <c r="AL3" i="11"/>
  <c r="AL85" i="11" s="1"/>
  <c r="S648" i="6"/>
  <c r="S542" i="6"/>
  <c r="CD120" i="9"/>
  <c r="S866" i="6"/>
  <c r="S868" i="6" s="1"/>
  <c r="Q772" i="34"/>
  <c r="AL253" i="10"/>
  <c r="AN253" i="10" s="1"/>
  <c r="AM156" i="11" s="1"/>
  <c r="S137" i="6"/>
  <c r="S680" i="6"/>
  <c r="S377" i="6"/>
  <c r="S158" i="6"/>
  <c r="S869" i="6"/>
  <c r="S626" i="6"/>
  <c r="S450" i="6"/>
  <c r="S455" i="6" s="1"/>
  <c r="S1374" i="6"/>
  <c r="S214" i="6"/>
  <c r="S320" i="6"/>
  <c r="S870" i="6"/>
  <c r="S162" i="6"/>
  <c r="S168" i="6" s="1"/>
  <c r="S425" i="6"/>
  <c r="S1175" i="6"/>
  <c r="S1965" i="6"/>
  <c r="S432" i="6"/>
  <c r="S326" i="6"/>
  <c r="Q727" i="34"/>
  <c r="S438" i="6"/>
  <c r="S1461" i="6"/>
  <c r="S712" i="6"/>
  <c r="P17" i="58"/>
  <c r="Q235" i="3"/>
  <c r="BZ143" i="9"/>
  <c r="S1081" i="6" s="1"/>
  <c r="S288" i="6" s="1"/>
  <c r="S1072" i="6"/>
  <c r="S270" i="6"/>
  <c r="S277" i="6" s="1"/>
  <c r="S941" i="6"/>
  <c r="S161" i="6"/>
  <c r="P400" i="7"/>
  <c r="P13" i="7" s="1"/>
  <c r="Q1044" i="7"/>
  <c r="R51" i="7"/>
  <c r="P59" i="3" s="1"/>
  <c r="S236" i="7"/>
  <c r="S21" i="7" s="1"/>
  <c r="S10" i="7"/>
  <c r="S1073" i="7"/>
  <c r="S407" i="7" s="1"/>
  <c r="S408" i="7" s="1"/>
  <c r="S385" i="7"/>
  <c r="AL101" i="10"/>
  <c r="AN101" i="10" s="1"/>
  <c r="S942" i="7"/>
  <c r="S355" i="7"/>
  <c r="R576" i="7"/>
  <c r="R146" i="7" s="1"/>
  <c r="S562" i="7"/>
  <c r="W18" i="26"/>
  <c r="S761" i="7"/>
  <c r="X18" i="26" s="1"/>
  <c r="R272" i="7"/>
  <c r="S742" i="7"/>
  <c r="S273" i="7"/>
  <c r="Q778" i="34"/>
  <c r="S392" i="7"/>
  <c r="AL103" i="10"/>
  <c r="R261" i="7"/>
  <c r="S728" i="7"/>
  <c r="R85" i="7"/>
  <c r="S502" i="7"/>
  <c r="S85" i="7" s="1"/>
  <c r="R94" i="7"/>
  <c r="S517" i="7"/>
  <c r="S94" i="7" s="1"/>
  <c r="R90" i="7"/>
  <c r="S512" i="7"/>
  <c r="S90" i="7" s="1"/>
  <c r="R86" i="7"/>
  <c r="S504" i="7"/>
  <c r="S86" i="7" s="1"/>
  <c r="R93" i="7"/>
  <c r="S516" i="7"/>
  <c r="S93" i="7" s="1"/>
  <c r="R265" i="7"/>
  <c r="S735" i="7"/>
  <c r="Q111" i="3"/>
  <c r="S39" i="7"/>
  <c r="Q776" i="34"/>
  <c r="S181" i="7"/>
  <c r="X17" i="26"/>
  <c r="S703" i="7"/>
  <c r="S406" i="7"/>
  <c r="S676" i="7"/>
  <c r="AJ66" i="10"/>
  <c r="AJ103" i="10" s="1"/>
  <c r="AT103" i="10" s="1"/>
  <c r="S905" i="7"/>
  <c r="R96" i="7"/>
  <c r="S519" i="7"/>
  <c r="S96" i="7" s="1"/>
  <c r="R87" i="7"/>
  <c r="S505" i="7"/>
  <c r="S87" i="7" s="1"/>
  <c r="R278" i="7"/>
  <c r="S762" i="7"/>
  <c r="S278" i="7" s="1"/>
  <c r="P122" i="13"/>
  <c r="Q214" i="15"/>
  <c r="Q159" i="15" s="1"/>
  <c r="AE31" i="42"/>
  <c r="P31" i="42" s="1"/>
  <c r="R75" i="7"/>
  <c r="S463" i="7"/>
  <c r="R103" i="7"/>
  <c r="S526" i="7"/>
  <c r="S103" i="7" s="1"/>
  <c r="R104" i="7"/>
  <c r="S527" i="7"/>
  <c r="S104" i="7" s="1"/>
  <c r="X16" i="26"/>
  <c r="CA139" i="9"/>
  <c r="CA143" i="9" s="1"/>
  <c r="DE139" i="9"/>
  <c r="Q97" i="12"/>
  <c r="AM7" i="10" s="1"/>
  <c r="AD43" i="42"/>
  <c r="O43" i="42" s="1"/>
  <c r="O119" i="13"/>
  <c r="P203" i="15"/>
  <c r="P148" i="15" s="1"/>
  <c r="Q203" i="15"/>
  <c r="Q148" i="15" s="1"/>
  <c r="AE43" i="42"/>
  <c r="P43" i="42" s="1"/>
  <c r="P119" i="13"/>
  <c r="Q115" i="34"/>
  <c r="Q116" i="34" s="1"/>
  <c r="S85" i="8"/>
  <c r="S21" i="8"/>
  <c r="AT22" i="42"/>
  <c r="Q77" i="15" s="1"/>
  <c r="S78" i="8"/>
  <c r="S336" i="8"/>
  <c r="S529" i="8"/>
  <c r="S141" i="8"/>
  <c r="S565" i="8"/>
  <c r="P87" i="17"/>
  <c r="S403" i="8"/>
  <c r="Q87" i="17" s="1"/>
  <c r="Q89" i="17" s="1"/>
  <c r="Q34" i="17" s="1"/>
  <c r="BI45" i="42" s="1"/>
  <c r="BI47" i="42" s="1"/>
  <c r="BI54" i="42" s="1"/>
  <c r="Q169" i="3"/>
  <c r="Q170" i="3" s="1"/>
  <c r="AT19" i="42"/>
  <c r="BZ82" i="9"/>
  <c r="Q233" i="3" s="1"/>
  <c r="S877" i="6"/>
  <c r="S177" i="6" s="1"/>
  <c r="AT47" i="42"/>
  <c r="AT54" i="42" s="1"/>
  <c r="R129" i="8"/>
  <c r="S488" i="8"/>
  <c r="S129" i="8" s="1"/>
  <c r="S370" i="8"/>
  <c r="S108" i="8" s="1"/>
  <c r="Q381" i="34"/>
  <c r="AT11" i="42"/>
  <c r="Q74" i="15" s="1"/>
  <c r="R141" i="5"/>
  <c r="S376" i="5"/>
  <c r="S141" i="5" s="1"/>
  <c r="R97" i="5"/>
  <c r="S317" i="5"/>
  <c r="S97" i="5" s="1"/>
  <c r="R129" i="5"/>
  <c r="S359" i="5"/>
  <c r="S129" i="5" s="1"/>
  <c r="S89" i="5"/>
  <c r="S91" i="5" s="1"/>
  <c r="S143" i="5"/>
  <c r="Q225" i="3"/>
  <c r="Q226" i="3" s="1"/>
  <c r="S7" i="5"/>
  <c r="S496" i="5"/>
  <c r="R142" i="5"/>
  <c r="S380" i="5"/>
  <c r="S142" i="5" s="1"/>
  <c r="S175" i="5"/>
  <c r="R128" i="5"/>
  <c r="S358" i="5"/>
  <c r="S128" i="5" s="1"/>
  <c r="R178" i="5"/>
  <c r="S416" i="5"/>
  <c r="S178" i="5" s="1"/>
  <c r="R137" i="5"/>
  <c r="S368" i="5"/>
  <c r="S137" i="5" s="1"/>
  <c r="R176" i="5"/>
  <c r="S413" i="5"/>
  <c r="S176" i="5" s="1"/>
  <c r="R62" i="5"/>
  <c r="R64" i="5" s="1"/>
  <c r="S257" i="5"/>
  <c r="S62" i="5" s="1"/>
  <c r="S64" i="5" s="1"/>
  <c r="S240" i="5"/>
  <c r="S559" i="4"/>
  <c r="S126" i="4" s="1"/>
  <c r="S442" i="4"/>
  <c r="R109" i="4"/>
  <c r="AM25" i="10"/>
  <c r="AN25" i="10" s="1"/>
  <c r="AM15" i="11" s="1"/>
  <c r="S74" i="4"/>
  <c r="Q69" i="4"/>
  <c r="Q76" i="4" s="1"/>
  <c r="Q775" i="34"/>
  <c r="S280" i="4"/>
  <c r="S290" i="4"/>
  <c r="R72" i="4"/>
  <c r="S371" i="4"/>
  <c r="S72" i="4" s="1"/>
  <c r="S384" i="4"/>
  <c r="S77" i="4" s="1"/>
  <c r="S55" i="4"/>
  <c r="R105" i="4"/>
  <c r="R158" i="4" s="1"/>
  <c r="S433" i="4"/>
  <c r="S341" i="4"/>
  <c r="Q7" i="12" s="1"/>
  <c r="R57" i="4"/>
  <c r="S327" i="4"/>
  <c r="S57" i="4" s="1"/>
  <c r="R71" i="4"/>
  <c r="S370" i="4"/>
  <c r="S71" i="4" s="1"/>
  <c r="S444" i="4"/>
  <c r="R638" i="4"/>
  <c r="S612" i="4"/>
  <c r="S638" i="4" s="1"/>
  <c r="R75" i="4"/>
  <c r="S375" i="4"/>
  <c r="S75" i="4" s="1"/>
  <c r="R183" i="4"/>
  <c r="S691" i="4"/>
  <c r="R78" i="4"/>
  <c r="S404" i="4"/>
  <c r="S78" i="4" s="1"/>
  <c r="R182" i="4"/>
  <c r="S685" i="4"/>
  <c r="S182" i="4" s="1"/>
  <c r="O136" i="3"/>
  <c r="S545" i="4"/>
  <c r="P136" i="3" s="1"/>
  <c r="S227" i="4"/>
  <c r="R174" i="4"/>
  <c r="S670" i="4"/>
  <c r="R180" i="4"/>
  <c r="S677" i="4"/>
  <c r="R184" i="4"/>
  <c r="S694" i="4"/>
  <c r="S184" i="4" s="1"/>
  <c r="R66" i="4"/>
  <c r="S356" i="4"/>
  <c r="S66" i="4" s="1"/>
  <c r="R235" i="4"/>
  <c r="R265" i="4" s="1"/>
  <c r="S756" i="4"/>
  <c r="S235" i="4" s="1"/>
  <c r="S265" i="4" s="1"/>
  <c r="S338" i="4"/>
  <c r="Q4" i="12" s="1"/>
  <c r="R125" i="4"/>
  <c r="S553" i="4"/>
  <c r="S125" i="4" s="1"/>
  <c r="AK25" i="10"/>
  <c r="AU25" i="10" s="1"/>
  <c r="S339" i="4"/>
  <c r="Q5" i="12" s="1"/>
  <c r="P57" i="13"/>
  <c r="S419" i="4"/>
  <c r="S92" i="4" s="1"/>
  <c r="S43" i="4" s="1"/>
  <c r="S724" i="6"/>
  <c r="CD113" i="9"/>
  <c r="DE126" i="9"/>
  <c r="CD126" i="9"/>
  <c r="X30" i="37"/>
  <c r="DE125" i="9"/>
  <c r="CD125" i="9"/>
  <c r="X29" i="37"/>
  <c r="T18" i="14"/>
  <c r="L744" i="4" s="1"/>
  <c r="CD146" i="9"/>
  <c r="X67" i="37" s="1"/>
  <c r="X76" i="37" s="1"/>
  <c r="X78" i="37" s="1"/>
  <c r="S1153" i="6"/>
  <c r="S353" i="6" s="1"/>
  <c r="K351" i="6"/>
  <c r="K63" i="6" s="1"/>
  <c r="I47" i="3" s="1"/>
  <c r="K1154" i="6"/>
  <c r="K154" i="14"/>
  <c r="T37" i="14" s="1"/>
  <c r="T39" i="14" s="1"/>
  <c r="L1136" i="6" s="1"/>
  <c r="CC55" i="9"/>
  <c r="CD55" i="9" s="1"/>
  <c r="CD66" i="9" s="1"/>
  <c r="S1009" i="7"/>
  <c r="S371" i="7" s="1"/>
  <c r="DD133" i="9"/>
  <c r="CQ133" i="9"/>
  <c r="DE133" i="9" s="1"/>
  <c r="BU87" i="9"/>
  <c r="BU173" i="9" s="1"/>
  <c r="BZ2" i="9"/>
  <c r="BZ87" i="9" s="1"/>
  <c r="CD210" i="9"/>
  <c r="CD141" i="9"/>
  <c r="X8" i="37" s="1"/>
  <c r="S249" i="7"/>
  <c r="S878" i="6"/>
  <c r="DE124" i="9"/>
  <c r="CD124" i="9"/>
  <c r="X28" i="37"/>
  <c r="DE114" i="9"/>
  <c r="CD114" i="9"/>
  <c r="CO33" i="9"/>
  <c r="DB33" i="9"/>
  <c r="CD151" i="9"/>
  <c r="Q7" i="9"/>
  <c r="DE7" i="9" s="1"/>
  <c r="B59" i="42"/>
  <c r="M45" i="42"/>
  <c r="CS112" i="22"/>
  <c r="CF112" i="22"/>
  <c r="CS14" i="22"/>
  <c r="CF14" i="22"/>
  <c r="CS58" i="22"/>
  <c r="CF58" i="22"/>
  <c r="CS75" i="22"/>
  <c r="CF75" i="22"/>
  <c r="CS65" i="22"/>
  <c r="CF65" i="22"/>
  <c r="CS129" i="22"/>
  <c r="CF129" i="22"/>
  <c r="CS130" i="22"/>
  <c r="CF130" i="22"/>
  <c r="CS70" i="22"/>
  <c r="CF70" i="22"/>
  <c r="CS17" i="22"/>
  <c r="CF17" i="22"/>
  <c r="CS16" i="22"/>
  <c r="CF16" i="22"/>
  <c r="CS74" i="22"/>
  <c r="CF74" i="22"/>
  <c r="CS73" i="22"/>
  <c r="CF73" i="22"/>
  <c r="CS15" i="22"/>
  <c r="CF15" i="22"/>
  <c r="CS61" i="22"/>
  <c r="CF61" i="22"/>
  <c r="CS80" i="22"/>
  <c r="CF80" i="22"/>
  <c r="CS115" i="22"/>
  <c r="CF115" i="22"/>
  <c r="CS26" i="22"/>
  <c r="CF26" i="22"/>
  <c r="CS27" i="22"/>
  <c r="CF27" i="22"/>
  <c r="Q1372" i="6"/>
  <c r="Q1375" i="6" s="1"/>
  <c r="Q1510" i="6"/>
  <c r="Q218" i="6"/>
  <c r="Q24" i="6" s="1"/>
  <c r="Q1572" i="6"/>
  <c r="Q1574" i="6" s="1"/>
  <c r="Q1585" i="6" s="1"/>
  <c r="CS73" i="21"/>
  <c r="Q693" i="34" s="1"/>
  <c r="CR43" i="21"/>
  <c r="CR51" i="21"/>
  <c r="CR37" i="21"/>
  <c r="CR33" i="21"/>
  <c r="CR16" i="21"/>
  <c r="CR34" i="21"/>
  <c r="CR61" i="21"/>
  <c r="CR64" i="21"/>
  <c r="P81" i="21"/>
  <c r="Q90" i="21"/>
  <c r="Q88" i="3" s="1"/>
  <c r="C281" i="15"/>
  <c r="D279" i="15"/>
  <c r="D281" i="15" s="1"/>
  <c r="Q73" i="21"/>
  <c r="S346" i="8" s="1"/>
  <c r="S95" i="8" s="1"/>
  <c r="S32" i="8" s="1"/>
  <c r="AI122" i="10"/>
  <c r="AS122" i="10" s="1"/>
  <c r="AK122" i="10"/>
  <c r="AU122" i="10" s="1"/>
  <c r="AN3" i="10"/>
  <c r="Q66" i="9"/>
  <c r="DE55" i="9"/>
  <c r="Q469" i="9"/>
  <c r="DE146" i="9"/>
  <c r="DD43" i="9"/>
  <c r="CQ43" i="9"/>
  <c r="DE43" i="9" s="1"/>
  <c r="DD14" i="9"/>
  <c r="CQ14" i="9"/>
  <c r="DE14" i="9" s="1"/>
  <c r="DD118" i="9"/>
  <c r="CQ118" i="9"/>
  <c r="DE118" i="9" s="1"/>
  <c r="DD107" i="9"/>
  <c r="CQ107" i="9"/>
  <c r="DE107" i="9" s="1"/>
  <c r="DD132" i="9"/>
  <c r="CQ132" i="9"/>
  <c r="DE132" i="9" s="1"/>
  <c r="DD60" i="9"/>
  <c r="CQ60" i="9"/>
  <c r="DE60" i="9" s="1"/>
  <c r="DD123" i="9"/>
  <c r="CQ123" i="9"/>
  <c r="DE123" i="9" s="1"/>
  <c r="DD102" i="9"/>
  <c r="CQ102" i="9"/>
  <c r="DE102" i="9" s="1"/>
  <c r="DD73" i="9"/>
  <c r="CQ73" i="9"/>
  <c r="DE73" i="9" s="1"/>
  <c r="DD127" i="9"/>
  <c r="CQ127" i="9"/>
  <c r="DE127" i="9" s="1"/>
  <c r="DD42" i="9"/>
  <c r="CQ42" i="9"/>
  <c r="DE42" i="9" s="1"/>
  <c r="DD160" i="9"/>
  <c r="CQ160" i="9"/>
  <c r="DE160" i="9" s="1"/>
  <c r="DD164" i="9"/>
  <c r="CQ164" i="9"/>
  <c r="DE164" i="9" s="1"/>
  <c r="DD183" i="9"/>
  <c r="CQ183" i="9"/>
  <c r="DE183" i="9" s="1"/>
  <c r="DD94" i="9"/>
  <c r="CQ94" i="9"/>
  <c r="DE94" i="9" s="1"/>
  <c r="DD50" i="9"/>
  <c r="CQ50" i="9"/>
  <c r="DE50" i="9" s="1"/>
  <c r="DD120" i="9"/>
  <c r="CQ120" i="9"/>
  <c r="DE120" i="9" s="1"/>
  <c r="DD195" i="9"/>
  <c r="CQ195" i="9"/>
  <c r="DE195" i="9" s="1"/>
  <c r="DD162" i="9"/>
  <c r="CQ162" i="9"/>
  <c r="DE162" i="9" s="1"/>
  <c r="Q143" i="9"/>
  <c r="S1082" i="6" s="1"/>
  <c r="S289" i="6" s="1"/>
  <c r="BY182" i="9"/>
  <c r="Q182" i="9"/>
  <c r="BY100" i="9"/>
  <c r="Q100" i="9"/>
  <c r="BY110" i="9"/>
  <c r="Q110" i="9"/>
  <c r="Q25" i="9"/>
  <c r="DC209" i="9"/>
  <c r="Q1974" i="6"/>
  <c r="Q688" i="6" s="1"/>
  <c r="BY115" i="9"/>
  <c r="Q115" i="9"/>
  <c r="S1017" i="6" s="1"/>
  <c r="S232" i="6" s="1"/>
  <c r="O225" i="9"/>
  <c r="Q1382" i="6"/>
  <c r="Q464" i="6" s="1"/>
  <c r="Q1702" i="6"/>
  <c r="Q1713" i="6" s="1"/>
  <c r="Q155" i="6"/>
  <c r="Q164" i="6" s="1"/>
  <c r="Q938" i="6"/>
  <c r="Q940" i="6" s="1"/>
  <c r="Q942" i="6" s="1"/>
  <c r="Q950" i="6" s="1"/>
  <c r="Q1006" i="6"/>
  <c r="Q1009" i="6" s="1"/>
  <c r="Q1018" i="6" s="1"/>
  <c r="Q93" i="6"/>
  <c r="Q105" i="6" s="1"/>
  <c r="Q22" i="6" s="1"/>
  <c r="Q800" i="6"/>
  <c r="Q802" i="6" s="1"/>
  <c r="Q804" i="6" s="1"/>
  <c r="Q813" i="6" s="1"/>
  <c r="Q365" i="6"/>
  <c r="Q371" i="6" s="1"/>
  <c r="Q1234" i="6"/>
  <c r="Q1259" i="6" s="1"/>
  <c r="Q1261" i="6" s="1"/>
  <c r="Q1272" i="6" s="1"/>
  <c r="Q314" i="6"/>
  <c r="Q14" i="6"/>
  <c r="Q9" i="6"/>
  <c r="Q879" i="6"/>
  <c r="Q8" i="6"/>
  <c r="Q16" i="6"/>
  <c r="Q576" i="6"/>
  <c r="Q1768" i="6"/>
  <c r="Q1734" i="6"/>
  <c r="Q338" i="6"/>
  <c r="Q1205" i="6"/>
  <c r="Q6" i="6"/>
  <c r="Q451" i="6"/>
  <c r="Q28" i="6" s="1"/>
  <c r="Q547" i="6"/>
  <c r="Q30" i="6" s="1"/>
  <c r="Q418" i="6"/>
  <c r="Q279" i="6"/>
  <c r="Q2093" i="6"/>
  <c r="Q55" i="6" s="1"/>
  <c r="Q1204" i="6"/>
  <c r="Q584" i="6"/>
  <c r="Q600" i="6" s="1"/>
  <c r="Q31" i="6" s="1"/>
  <c r="Q1765" i="6"/>
  <c r="R496" i="6"/>
  <c r="R475" i="6"/>
  <c r="R441" i="6"/>
  <c r="R669" i="6"/>
  <c r="R95" i="6"/>
  <c r="R657" i="6"/>
  <c r="R649" i="6"/>
  <c r="R159" i="6"/>
  <c r="P727" i="34"/>
  <c r="R303" i="6"/>
  <c r="R98" i="6"/>
  <c r="R322" i="6"/>
  <c r="R667" i="6"/>
  <c r="R92" i="6"/>
  <c r="R143" i="6"/>
  <c r="R88" i="6"/>
  <c r="R628" i="6"/>
  <c r="R94" i="6"/>
  <c r="R214" i="6"/>
  <c r="R312" i="6"/>
  <c r="O25" i="40"/>
  <c r="O116" i="40" s="1"/>
  <c r="R487" i="6"/>
  <c r="R320" i="6"/>
  <c r="R324" i="6"/>
  <c r="R149" i="6"/>
  <c r="R434" i="6"/>
  <c r="R90" i="6"/>
  <c r="R586" i="6"/>
  <c r="P732" i="34"/>
  <c r="R594" i="6"/>
  <c r="R1693" i="6"/>
  <c r="L46" i="15"/>
  <c r="L15" i="15" s="1"/>
  <c r="P115" i="34"/>
  <c r="P116" i="34" s="1"/>
  <c r="M586" i="34"/>
  <c r="M587" i="34" s="1"/>
  <c r="M589" i="34" s="1"/>
  <c r="M240" i="34" s="1"/>
  <c r="P620" i="34"/>
  <c r="P581" i="34"/>
  <c r="N795" i="34"/>
  <c r="N801" i="34" s="1"/>
  <c r="H157" i="34"/>
  <c r="O620" i="34"/>
  <c r="O581" i="34"/>
  <c r="I564" i="34"/>
  <c r="I566" i="34" s="1"/>
  <c r="I506" i="34"/>
  <c r="Q137" i="4"/>
  <c r="R578" i="4"/>
  <c r="J113" i="15"/>
  <c r="J505" i="34"/>
  <c r="J565" i="34" s="1"/>
  <c r="J573" i="34" s="1"/>
  <c r="I44" i="17"/>
  <c r="I81" i="3" s="1"/>
  <c r="J155" i="22"/>
  <c r="J158" i="22" s="1"/>
  <c r="I89" i="3" s="1"/>
  <c r="I80" i="3"/>
  <c r="M99" i="20"/>
  <c r="W12" i="20"/>
  <c r="W16" i="20" s="1"/>
  <c r="M63" i="20"/>
  <c r="R1021" i="7"/>
  <c r="Q384" i="7"/>
  <c r="R1038" i="7"/>
  <c r="Q387" i="7"/>
  <c r="P97" i="1"/>
  <c r="Q90" i="1"/>
  <c r="Q97" i="1" s="1"/>
  <c r="H459" i="34"/>
  <c r="H460" i="34" s="1"/>
  <c r="H412" i="34"/>
  <c r="Q388" i="7"/>
  <c r="R1039" i="7"/>
  <c r="L155" i="8"/>
  <c r="J40" i="17"/>
  <c r="R1041" i="7"/>
  <c r="Q397" i="7"/>
  <c r="O288" i="3"/>
  <c r="Q70" i="1"/>
  <c r="P493" i="34"/>
  <c r="P82" i="15"/>
  <c r="P48" i="3"/>
  <c r="R901" i="4"/>
  <c r="AT100" i="10"/>
  <c r="AK100" i="10"/>
  <c r="AU100" i="10" s="1"/>
  <c r="O89" i="17"/>
  <c r="O34" i="17" s="1"/>
  <c r="BG45" i="42" s="1"/>
  <c r="BG47" i="42" s="1"/>
  <c r="P299" i="3"/>
  <c r="N298" i="3"/>
  <c r="N290" i="3"/>
  <c r="R177" i="8"/>
  <c r="Q44" i="8"/>
  <c r="AR8" i="42" s="1"/>
  <c r="O71" i="15" s="1"/>
  <c r="P606" i="34"/>
  <c r="Q606" i="34" s="1"/>
  <c r="O582" i="34"/>
  <c r="O608" i="34"/>
  <c r="AB11" i="42"/>
  <c r="N43" i="15" s="1"/>
  <c r="N12" i="15" s="1"/>
  <c r="M300" i="3"/>
  <c r="M291" i="3"/>
  <c r="P86" i="17"/>
  <c r="R120" i="8"/>
  <c r="BV139" i="9"/>
  <c r="BV143" i="9" s="1"/>
  <c r="P63" i="12"/>
  <c r="P97" i="12" s="1"/>
  <c r="AJ7" i="10" s="1"/>
  <c r="P139" i="9"/>
  <c r="AS22" i="42"/>
  <c r="O86" i="15" s="1"/>
  <c r="O326" i="34" s="1"/>
  <c r="R21" i="8"/>
  <c r="R85" i="8"/>
  <c r="DC139" i="9"/>
  <c r="BT139" i="9"/>
  <c r="BY114" i="9"/>
  <c r="DD114" i="9"/>
  <c r="R56" i="4"/>
  <c r="T24" i="42"/>
  <c r="T26" i="42" s="1"/>
  <c r="T36" i="42" s="1"/>
  <c r="T56" i="42" s="1"/>
  <c r="T78" i="42"/>
  <c r="T82" i="42" s="1"/>
  <c r="P66" i="14"/>
  <c r="H159" i="3" s="1"/>
  <c r="J759" i="4"/>
  <c r="J238" i="4" s="1"/>
  <c r="O21" i="14"/>
  <c r="I217" i="14"/>
  <c r="L25" i="6"/>
  <c r="L41" i="6" s="1"/>
  <c r="L276" i="6"/>
  <c r="N210" i="14"/>
  <c r="M190" i="14"/>
  <c r="N85" i="14" s="1"/>
  <c r="M115" i="14"/>
  <c r="K196" i="14"/>
  <c r="K145" i="14"/>
  <c r="Q113" i="37"/>
  <c r="Q117" i="37" s="1"/>
  <c r="Q37" i="37"/>
  <c r="Q60" i="37" s="1"/>
  <c r="M114" i="14"/>
  <c r="X49" i="14" s="1"/>
  <c r="M113" i="14"/>
  <c r="W49" i="14" s="1"/>
  <c r="M267" i="6"/>
  <c r="M274" i="6" s="1"/>
  <c r="M1070" i="6"/>
  <c r="M1071" i="6" s="1"/>
  <c r="M1075" i="6" s="1"/>
  <c r="L1083" i="6"/>
  <c r="N606" i="6"/>
  <c r="N2062" i="6" s="1"/>
  <c r="V108" i="37"/>
  <c r="V110" i="37" s="1"/>
  <c r="V4" i="37"/>
  <c r="W2" i="37" s="1"/>
  <c r="X3" i="37" s="1"/>
  <c r="X109" i="37" s="1"/>
  <c r="W3" i="37"/>
  <c r="W109" i="37" s="1"/>
  <c r="O81" i="37"/>
  <c r="O84" i="37" s="1"/>
  <c r="O98" i="37" s="1"/>
  <c r="N98" i="37"/>
  <c r="N100" i="37" s="1"/>
  <c r="G181" i="3" s="1"/>
  <c r="O501" i="5"/>
  <c r="B242" i="42"/>
  <c r="G51" i="15"/>
  <c r="D133" i="15"/>
  <c r="F809" i="34"/>
  <c r="AQ54" i="42"/>
  <c r="AH58" i="42"/>
  <c r="AH62" i="42" s="1"/>
  <c r="E328" i="34"/>
  <c r="E329" i="34" s="1"/>
  <c r="E331" i="34" s="1"/>
  <c r="E176" i="34" s="1"/>
  <c r="E557" i="34"/>
  <c r="E560" i="34" s="1"/>
  <c r="C240" i="3"/>
  <c r="C59" i="42"/>
  <c r="AR47" i="42"/>
  <c r="P256" i="15"/>
  <c r="AS45" i="42"/>
  <c r="C323" i="15"/>
  <c r="C325" i="15" s="1"/>
  <c r="C169" i="15"/>
  <c r="N120" i="14"/>
  <c r="O211" i="14"/>
  <c r="N191" i="14"/>
  <c r="O86" i="14" s="1"/>
  <c r="K2056" i="6"/>
  <c r="K291" i="6"/>
  <c r="D35" i="4"/>
  <c r="O90" i="34"/>
  <c r="N7" i="34"/>
  <c r="N407" i="34"/>
  <c r="N8" i="34"/>
  <c r="O91" i="34"/>
  <c r="O98" i="34"/>
  <c r="N15" i="34"/>
  <c r="J231" i="4"/>
  <c r="C16" i="3"/>
  <c r="D56" i="15"/>
  <c r="D21" i="15"/>
  <c r="AD41" i="42"/>
  <c r="O41" i="42" s="1"/>
  <c r="P62" i="3"/>
  <c r="R902" i="4"/>
  <c r="CD9" i="21"/>
  <c r="CQ9" i="21"/>
  <c r="N2081" i="6"/>
  <c r="P1510" i="6"/>
  <c r="AC239" i="10" s="1"/>
  <c r="P1516" i="6" s="1"/>
  <c r="P461" i="6" s="1"/>
  <c r="P499" i="5"/>
  <c r="D18" i="3"/>
  <c r="D169" i="15"/>
  <c r="D230" i="15"/>
  <c r="D189" i="15"/>
  <c r="M99" i="34"/>
  <c r="M101" i="34" s="1"/>
  <c r="L381" i="8"/>
  <c r="I454" i="34"/>
  <c r="E62" i="6"/>
  <c r="E523" i="6"/>
  <c r="J94" i="10"/>
  <c r="I45" i="11" s="1"/>
  <c r="J45" i="11" s="1"/>
  <c r="P583" i="4"/>
  <c r="P585" i="4" s="1"/>
  <c r="P593" i="4" s="1"/>
  <c r="A46" i="60"/>
  <c r="C82" i="42"/>
  <c r="B16" i="60"/>
  <c r="T87" i="42"/>
  <c r="E37" i="60"/>
  <c r="B46" i="60"/>
  <c r="H43" i="60"/>
  <c r="P656" i="34"/>
  <c r="P542" i="34"/>
  <c r="P294" i="34"/>
  <c r="P526" i="34" s="1"/>
  <c r="P295" i="34"/>
  <c r="P527" i="34" s="1"/>
  <c r="P657" i="34"/>
  <c r="P543" i="34"/>
  <c r="N794" i="34"/>
  <c r="N800" i="34" s="1"/>
  <c r="N824" i="34"/>
  <c r="N814" i="34"/>
  <c r="N258" i="3" s="1"/>
  <c r="P706" i="34"/>
  <c r="Q706" i="34" s="1"/>
  <c r="Q707" i="34" s="1"/>
  <c r="Q212" i="34" s="1"/>
  <c r="O707" i="34"/>
  <c r="O212" i="34" s="1"/>
  <c r="L701" i="34"/>
  <c r="L207" i="34" s="1"/>
  <c r="L208" i="34" s="1"/>
  <c r="O73" i="34"/>
  <c r="N31" i="34"/>
  <c r="O38" i="34"/>
  <c r="P80" i="34"/>
  <c r="Q80" i="34" s="1"/>
  <c r="Q38" i="34" s="1"/>
  <c r="P92" i="34"/>
  <c r="Q92" i="34" s="1"/>
  <c r="Q9" i="34" s="1"/>
  <c r="O9" i="34"/>
  <c r="P100" i="34"/>
  <c r="Q100" i="34" s="1"/>
  <c r="Q17" i="34" s="1"/>
  <c r="O17" i="34"/>
  <c r="CR78" i="22"/>
  <c r="CE78" i="22"/>
  <c r="CE36" i="22"/>
  <c r="CR36" i="22"/>
  <c r="CQ60" i="22"/>
  <c r="CD60" i="22"/>
  <c r="CQ8" i="22"/>
  <c r="CD8" i="22"/>
  <c r="CD10" i="22"/>
  <c r="CQ10" i="22"/>
  <c r="CR9" i="22"/>
  <c r="CE9" i="22"/>
  <c r="CQ35" i="21"/>
  <c r="CD35" i="21"/>
  <c r="N180" i="6"/>
  <c r="R78" i="8"/>
  <c r="R336" i="8"/>
  <c r="BF20" i="42"/>
  <c r="N103" i="17"/>
  <c r="N294" i="15"/>
  <c r="N316" i="15" s="1"/>
  <c r="N70" i="20"/>
  <c r="M559" i="34"/>
  <c r="M694" i="34" s="1"/>
  <c r="M695" i="34" s="1"/>
  <c r="M204" i="34" s="1"/>
  <c r="M84" i="15"/>
  <c r="AP29" i="42"/>
  <c r="O101" i="1"/>
  <c r="N108" i="1"/>
  <c r="N119" i="1" s="1"/>
  <c r="N153" i="34"/>
  <c r="M29" i="34"/>
  <c r="Q148" i="8"/>
  <c r="O25" i="17"/>
  <c r="O10" i="17" s="1"/>
  <c r="Q20" i="8"/>
  <c r="O25" i="16"/>
  <c r="O10" i="16" s="1"/>
  <c r="Q84" i="8"/>
  <c r="AF11" i="54"/>
  <c r="AF18" i="54" s="1"/>
  <c r="AF20" i="54" s="1"/>
  <c r="AG5" i="54"/>
  <c r="AH5" i="54" s="1"/>
  <c r="AI5" i="54" s="1"/>
  <c r="R529" i="8"/>
  <c r="R565" i="8"/>
  <c r="R141" i="8"/>
  <c r="N660" i="34"/>
  <c r="M666" i="34"/>
  <c r="N105" i="16"/>
  <c r="N245" i="15"/>
  <c r="N267" i="15" s="1"/>
  <c r="AQ20" i="42"/>
  <c r="M574" i="34"/>
  <c r="M700" i="34" s="1"/>
  <c r="BE29" i="42"/>
  <c r="M115" i="15"/>
  <c r="P97" i="34"/>
  <c r="Q97" i="34" s="1"/>
  <c r="Q14" i="34" s="1"/>
  <c r="O14" i="34"/>
  <c r="CP142" i="22"/>
  <c r="M699" i="34" s="1"/>
  <c r="Q259" i="5"/>
  <c r="Q261" i="5" s="1"/>
  <c r="Q263" i="5" s="1"/>
  <c r="Q274" i="5" s="1"/>
  <c r="Q459" i="4"/>
  <c r="P115" i="4"/>
  <c r="P8" i="4" s="1"/>
  <c r="CD79" i="22"/>
  <c r="CQ79" i="22"/>
  <c r="CQ6" i="22"/>
  <c r="CD6" i="22"/>
  <c r="CQ12" i="22"/>
  <c r="CD12" i="22"/>
  <c r="CR76" i="22"/>
  <c r="CE76" i="22"/>
  <c r="CR42" i="22"/>
  <c r="CE42" i="22"/>
  <c r="CQ104" i="22"/>
  <c r="CD104" i="22"/>
  <c r="CQ77" i="22"/>
  <c r="CD77" i="22"/>
  <c r="CE47" i="22"/>
  <c r="CR47" i="22"/>
  <c r="CQ7" i="22"/>
  <c r="CD7" i="22"/>
  <c r="CR11" i="22"/>
  <c r="CE11" i="22"/>
  <c r="CD84" i="22"/>
  <c r="CQ84" i="22"/>
  <c r="CE100" i="22"/>
  <c r="CR100" i="22"/>
  <c r="CE122" i="22"/>
  <c r="CR122" i="22"/>
  <c r="CE128" i="22"/>
  <c r="CR128" i="22"/>
  <c r="CE52" i="22"/>
  <c r="CR52" i="22"/>
  <c r="CE97" i="22"/>
  <c r="CR97" i="22"/>
  <c r="Q118" i="4"/>
  <c r="R469" i="4"/>
  <c r="S469" i="4" s="1"/>
  <c r="S119" i="4" s="1"/>
  <c r="S157" i="4" s="1"/>
  <c r="Q119" i="4"/>
  <c r="Q157" i="4" s="1"/>
  <c r="P871" i="4"/>
  <c r="P34" i="4" s="1"/>
  <c r="B124" i="3"/>
  <c r="A124" i="3"/>
  <c r="I77" i="42"/>
  <c r="K15" i="60" s="1"/>
  <c r="Q15" i="26"/>
  <c r="Q25" i="26" s="1"/>
  <c r="Q27" i="26" s="1"/>
  <c r="U6" i="26"/>
  <c r="V5" i="26"/>
  <c r="T11" i="26"/>
  <c r="AO17" i="42"/>
  <c r="L81" i="15" s="1"/>
  <c r="S10" i="26"/>
  <c r="Z17" i="42" s="1"/>
  <c r="T12" i="26"/>
  <c r="BD17" i="42"/>
  <c r="L112" i="15" s="1"/>
  <c r="Y77" i="42"/>
  <c r="L41" i="60" s="1"/>
  <c r="K50" i="15"/>
  <c r="K19" i="15" s="1"/>
  <c r="J17" i="42"/>
  <c r="P142" i="4"/>
  <c r="Q155" i="48"/>
  <c r="C139" i="48"/>
  <c r="O185" i="48"/>
  <c r="O192" i="48"/>
  <c r="J177" i="48"/>
  <c r="Q151" i="48"/>
  <c r="E145" i="48"/>
  <c r="C135" i="48"/>
  <c r="Q157" i="48"/>
  <c r="K179" i="48"/>
  <c r="K192" i="48"/>
  <c r="C138" i="48"/>
  <c r="C194" i="48"/>
  <c r="J142" i="48"/>
  <c r="K150" i="48"/>
  <c r="K157" i="48"/>
  <c r="O182" i="48"/>
  <c r="O151" i="48"/>
  <c r="E157" i="48"/>
  <c r="O149" i="48"/>
  <c r="C201" i="48"/>
  <c r="C190" i="48"/>
  <c r="C140" i="48"/>
  <c r="C143" i="48"/>
  <c r="Q158" i="48"/>
  <c r="Q142" i="48"/>
  <c r="E159" i="48"/>
  <c r="C179" i="48"/>
  <c r="K191" i="48"/>
  <c r="C195" i="48"/>
  <c r="E203" i="48"/>
  <c r="K142" i="48"/>
  <c r="E143" i="48"/>
  <c r="J188" i="48"/>
  <c r="O183" i="48"/>
  <c r="K203" i="48"/>
  <c r="O190" i="48"/>
  <c r="C147" i="48"/>
  <c r="C142" i="48"/>
  <c r="J159" i="48"/>
  <c r="C182" i="48"/>
  <c r="E158" i="48"/>
  <c r="E197" i="48"/>
  <c r="K201" i="48"/>
  <c r="K137" i="48"/>
  <c r="E190" i="48"/>
  <c r="K136" i="48"/>
  <c r="Q189" i="48"/>
  <c r="E155" i="48"/>
  <c r="Q147" i="48"/>
  <c r="E202" i="48"/>
  <c r="C181" i="48"/>
  <c r="O202" i="48"/>
  <c r="K155" i="48"/>
  <c r="E147" i="48"/>
  <c r="K189" i="48"/>
  <c r="E201" i="48"/>
  <c r="J196" i="48"/>
  <c r="J137" i="48"/>
  <c r="E141" i="48"/>
  <c r="J202" i="48"/>
  <c r="Q139" i="48"/>
  <c r="C148" i="48"/>
  <c r="E151" i="48"/>
  <c r="O200" i="48"/>
  <c r="K178" i="48"/>
  <c r="E139" i="48"/>
  <c r="O203" i="48"/>
  <c r="Q184" i="48"/>
  <c r="C198" i="48"/>
  <c r="C134" i="48"/>
  <c r="J179" i="48"/>
  <c r="C144" i="48"/>
  <c r="K152" i="48"/>
  <c r="O138" i="48"/>
  <c r="O186" i="48"/>
  <c r="Q183" i="48"/>
  <c r="K147" i="48"/>
  <c r="C154" i="48"/>
  <c r="Q133" i="48"/>
  <c r="O158" i="48"/>
  <c r="J154" i="48"/>
  <c r="J148" i="48"/>
  <c r="C184" i="48"/>
  <c r="Q197" i="48"/>
  <c r="E153" i="48"/>
  <c r="O184" i="48"/>
  <c r="O140" i="48"/>
  <c r="J198" i="48"/>
  <c r="Q149" i="48"/>
  <c r="C183" i="48"/>
  <c r="K198" i="48"/>
  <c r="J150" i="48"/>
  <c r="C191" i="48"/>
  <c r="J143" i="48"/>
  <c r="K154" i="48"/>
  <c r="Q148" i="48"/>
  <c r="K202" i="48"/>
  <c r="Q193" i="48"/>
  <c r="O201" i="48"/>
  <c r="E142" i="48"/>
  <c r="J153" i="48"/>
  <c r="O135" i="48"/>
  <c r="E134" i="48"/>
  <c r="C185" i="48"/>
  <c r="J199" i="48"/>
  <c r="E152" i="48"/>
  <c r="E192" i="48"/>
  <c r="Q156" i="48"/>
  <c r="O134" i="48"/>
  <c r="C188" i="48"/>
  <c r="K159" i="48"/>
  <c r="K186" i="48"/>
  <c r="K196" i="48"/>
  <c r="E178" i="48"/>
  <c r="E149" i="48"/>
  <c r="J189" i="48"/>
  <c r="O150" i="48"/>
  <c r="K197" i="48"/>
  <c r="C158" i="48"/>
  <c r="Q153" i="48"/>
  <c r="Q137" i="48"/>
  <c r="J197" i="48"/>
  <c r="J181" i="48"/>
  <c r="Q200" i="48"/>
  <c r="C199" i="48"/>
  <c r="K153" i="48"/>
  <c r="O136" i="48"/>
  <c r="O179" i="48"/>
  <c r="K146" i="48"/>
  <c r="J187" i="48"/>
  <c r="O199" i="48"/>
  <c r="C145" i="48"/>
  <c r="C192" i="48"/>
  <c r="O188" i="48"/>
  <c r="J147" i="48"/>
  <c r="Q199" i="48"/>
  <c r="Q186" i="48"/>
  <c r="O178" i="48"/>
  <c r="J149" i="48"/>
  <c r="O191" i="48"/>
  <c r="K200" i="48"/>
  <c r="Q180" i="48"/>
  <c r="C189" i="48"/>
  <c r="J193" i="48"/>
  <c r="E148" i="48"/>
  <c r="E184" i="48"/>
  <c r="Q138" i="48"/>
  <c r="E137" i="48"/>
  <c r="C159" i="48"/>
  <c r="J152" i="48"/>
  <c r="Q198" i="48"/>
  <c r="K156" i="48"/>
  <c r="C202" i="48"/>
  <c r="Q191" i="48"/>
  <c r="O187" i="48"/>
  <c r="K148" i="48"/>
  <c r="K193" i="48"/>
  <c r="E133" i="48"/>
  <c r="O181" i="48"/>
  <c r="Q144" i="48"/>
  <c r="E194" i="48"/>
  <c r="E180" i="48"/>
  <c r="O156" i="48"/>
  <c r="J144" i="48"/>
  <c r="Q159" i="48"/>
  <c r="J194" i="48"/>
  <c r="K143" i="48"/>
  <c r="K177" i="48"/>
  <c r="J200" i="48"/>
  <c r="J134" i="48"/>
  <c r="K185" i="48"/>
  <c r="C155" i="48"/>
  <c r="Q188" i="48"/>
  <c r="Q187" i="48"/>
  <c r="E135" i="48"/>
  <c r="C150" i="48"/>
  <c r="O152" i="48"/>
  <c r="E154" i="48"/>
  <c r="E196" i="48"/>
  <c r="Q182" i="48"/>
  <c r="J183" i="48"/>
  <c r="E189" i="48"/>
  <c r="Q192" i="48"/>
  <c r="O198" i="48"/>
  <c r="Q178" i="48"/>
  <c r="O146" i="48"/>
  <c r="K151" i="48"/>
  <c r="J136" i="48"/>
  <c r="C177" i="48"/>
  <c r="J145" i="48"/>
  <c r="Q190" i="48"/>
  <c r="K139" i="48"/>
  <c r="K194" i="48"/>
  <c r="K140" i="48"/>
  <c r="E198" i="48"/>
  <c r="O195" i="48"/>
  <c r="E144" i="48"/>
  <c r="J135" i="48"/>
  <c r="Q143" i="48"/>
  <c r="O147" i="48"/>
  <c r="E188" i="48"/>
  <c r="E156" i="48"/>
  <c r="Q201" i="48"/>
  <c r="K188" i="48"/>
  <c r="K180" i="48"/>
  <c r="J178" i="48"/>
  <c r="O148" i="48"/>
  <c r="J141" i="48"/>
  <c r="C197" i="48"/>
  <c r="Q134" i="48"/>
  <c r="K187" i="48"/>
  <c r="O144" i="48"/>
  <c r="J146" i="48"/>
  <c r="C180" i="48"/>
  <c r="J140" i="48"/>
  <c r="J151" i="48"/>
  <c r="E193" i="48"/>
  <c r="J182" i="48"/>
  <c r="K134" i="48"/>
  <c r="C153" i="48"/>
  <c r="Q194" i="48"/>
  <c r="K183" i="48"/>
  <c r="Q140" i="48"/>
  <c r="O145" i="48"/>
  <c r="J184" i="48"/>
  <c r="E140" i="48"/>
  <c r="K149" i="48"/>
  <c r="E186" i="48"/>
  <c r="E179" i="48"/>
  <c r="K181" i="48"/>
  <c r="O180" i="48"/>
  <c r="Q196" i="48"/>
  <c r="K138" i="48"/>
  <c r="E200" i="48"/>
  <c r="C151" i="48"/>
  <c r="C187" i="48"/>
  <c r="E138" i="48"/>
  <c r="J139" i="48"/>
  <c r="K135" i="48"/>
  <c r="O139" i="48"/>
  <c r="J158" i="48"/>
  <c r="Q195" i="48"/>
  <c r="C157" i="48"/>
  <c r="Q177" i="48"/>
  <c r="K141" i="48"/>
  <c r="E183" i="48"/>
  <c r="C193" i="48"/>
  <c r="K195" i="48"/>
  <c r="E185" i="48"/>
  <c r="J186" i="48"/>
  <c r="J191" i="48"/>
  <c r="C136" i="48"/>
  <c r="O193" i="48"/>
  <c r="O197" i="48"/>
  <c r="Q202" i="48"/>
  <c r="J138" i="48"/>
  <c r="C152" i="48"/>
  <c r="O196" i="48"/>
  <c r="C186" i="48"/>
  <c r="J195" i="48"/>
  <c r="Q179" i="48"/>
  <c r="E199" i="48"/>
  <c r="E195" i="48"/>
  <c r="O142" i="48"/>
  <c r="O137" i="48"/>
  <c r="J133" i="48"/>
  <c r="O189" i="48"/>
  <c r="E182" i="48"/>
  <c r="K182" i="48"/>
  <c r="Q150" i="48"/>
  <c r="E177" i="48"/>
  <c r="K190" i="48"/>
  <c r="K145" i="48"/>
  <c r="C200" i="48"/>
  <c r="E146" i="48"/>
  <c r="K144" i="48"/>
  <c r="O177" i="48"/>
  <c r="O157" i="48"/>
  <c r="C196" i="48"/>
  <c r="J192" i="48"/>
  <c r="O133" i="48"/>
  <c r="Q152" i="48"/>
  <c r="Q141" i="48"/>
  <c r="K158" i="48"/>
  <c r="E191" i="48"/>
  <c r="E150" i="48"/>
  <c r="Q145" i="48"/>
  <c r="J180" i="48"/>
  <c r="J201" i="48"/>
  <c r="E187" i="48"/>
  <c r="J155" i="48"/>
  <c r="E136" i="48"/>
  <c r="O155" i="48"/>
  <c r="J203" i="48"/>
  <c r="C203" i="48"/>
  <c r="C149" i="48"/>
  <c r="Q185" i="48"/>
  <c r="Q136" i="48"/>
  <c r="O154" i="48"/>
  <c r="J156" i="48"/>
  <c r="O194" i="48"/>
  <c r="K184" i="48"/>
  <c r="K199" i="48"/>
  <c r="Q203" i="48"/>
  <c r="O159" i="48"/>
  <c r="C178" i="48"/>
  <c r="J190" i="48"/>
  <c r="C156" i="48"/>
  <c r="Q181" i="48"/>
  <c r="O153" i="48"/>
  <c r="Q135" i="48"/>
  <c r="E181" i="48"/>
  <c r="C137" i="48"/>
  <c r="J185" i="48"/>
  <c r="O143" i="48"/>
  <c r="O141" i="48"/>
  <c r="J157" i="48"/>
  <c r="C146" i="48"/>
  <c r="Q146" i="48"/>
  <c r="K133" i="48"/>
  <c r="Q154" i="48"/>
  <c r="C141" i="48"/>
  <c r="D889" i="4"/>
  <c r="O139" i="4"/>
  <c r="O18" i="4" s="1"/>
  <c r="A44" i="13"/>
  <c r="A38" i="13"/>
  <c r="A41" i="13" s="1"/>
  <c r="P209" i="48"/>
  <c r="P206" i="48"/>
  <c r="D869" i="4"/>
  <c r="D46" i="4"/>
  <c r="P251" i="48"/>
  <c r="P254" i="48"/>
  <c r="P162" i="48"/>
  <c r="P165" i="48"/>
  <c r="C36" i="13"/>
  <c r="H883" i="4"/>
  <c r="I883" i="4" s="1"/>
  <c r="B44" i="13"/>
  <c r="B38" i="13"/>
  <c r="B41" i="13" s="1"/>
  <c r="P32" i="7"/>
  <c r="CE59" i="22"/>
  <c r="CR59" i="22"/>
  <c r="CE123" i="22"/>
  <c r="CR123" i="22"/>
  <c r="CE127" i="22"/>
  <c r="CR127" i="22"/>
  <c r="CR23" i="22"/>
  <c r="CE23" i="22"/>
  <c r="CS23" i="22" s="1"/>
  <c r="CE43" i="22"/>
  <c r="CR43" i="22"/>
  <c r="CE41" i="22"/>
  <c r="CR41" i="22"/>
  <c r="CE96" i="22"/>
  <c r="CR96" i="22"/>
  <c r="CE37" i="22"/>
  <c r="CR37" i="22"/>
  <c r="CE114" i="22"/>
  <c r="CR114" i="22"/>
  <c r="CR108" i="22"/>
  <c r="CE108" i="22"/>
  <c r="CS108" i="22" s="1"/>
  <c r="CE101" i="22"/>
  <c r="CR101" i="22"/>
  <c r="CE53" i="22"/>
  <c r="CR53" i="22"/>
  <c r="CE95" i="22"/>
  <c r="CR95" i="22"/>
  <c r="CE62" i="22"/>
  <c r="CS62" i="22" s="1"/>
  <c r="CR62" i="22"/>
  <c r="CR140" i="22"/>
  <c r="CE140" i="22"/>
  <c r="CS140" i="22" s="1"/>
  <c r="CR72" i="22"/>
  <c r="CE72" i="22"/>
  <c r="CE32" i="22"/>
  <c r="CS32" i="22" s="1"/>
  <c r="CR32" i="22"/>
  <c r="CR69" i="22"/>
  <c r="CE69" i="22"/>
  <c r="CR33" i="22"/>
  <c r="CE33" i="22"/>
  <c r="CS33" i="22" s="1"/>
  <c r="CR21" i="22"/>
  <c r="CE21" i="22"/>
  <c r="CS21" i="22" s="1"/>
  <c r="CR54" i="22"/>
  <c r="CE54" i="22"/>
  <c r="CS54" i="22" s="1"/>
  <c r="CR51" i="22"/>
  <c r="CE51" i="22"/>
  <c r="CE107" i="22"/>
  <c r="CS107" i="22" s="1"/>
  <c r="CR107" i="22"/>
  <c r="CR22" i="22"/>
  <c r="CE22" i="22"/>
  <c r="CS22" i="22" s="1"/>
  <c r="CR48" i="22"/>
  <c r="CE48" i="22"/>
  <c r="CS48" i="22" s="1"/>
  <c r="CR20" i="22"/>
  <c r="CE20" i="22"/>
  <c r="CS20" i="22" s="1"/>
  <c r="CR66" i="22"/>
  <c r="CE66" i="22"/>
  <c r="CS66" i="22" s="1"/>
  <c r="CR71" i="22"/>
  <c r="CE71" i="22"/>
  <c r="CR19" i="22"/>
  <c r="CE19" i="22"/>
  <c r="P69" i="14"/>
  <c r="O1142" i="7"/>
  <c r="P238" i="7"/>
  <c r="P1142" i="7" s="1"/>
  <c r="AB30" i="42"/>
  <c r="M30" i="42" s="1"/>
  <c r="M65" i="13"/>
  <c r="N192" i="15"/>
  <c r="Q342" i="7"/>
  <c r="Q362" i="7" s="1"/>
  <c r="Q40" i="7" s="1"/>
  <c r="N13" i="13" s="1"/>
  <c r="N49" i="13" s="1"/>
  <c r="Q944" i="7"/>
  <c r="Q1157" i="7" s="1"/>
  <c r="R885" i="7"/>
  <c r="S885" i="7" s="1"/>
  <c r="M137" i="15"/>
  <c r="M161" i="15" s="1"/>
  <c r="M216" i="15"/>
  <c r="Q531" i="7"/>
  <c r="Q533" i="7" s="1"/>
  <c r="Q542" i="7" s="1"/>
  <c r="O1143" i="7"/>
  <c r="O154" i="7"/>
  <c r="O165" i="7" s="1"/>
  <c r="W17" i="26"/>
  <c r="R277" i="7"/>
  <c r="N1127" i="7"/>
  <c r="R406" i="7"/>
  <c r="P736" i="34"/>
  <c r="R801" i="7"/>
  <c r="Q289" i="7"/>
  <c r="R637" i="7"/>
  <c r="Q189" i="7"/>
  <c r="DB150" i="9"/>
  <c r="CO150" i="9"/>
  <c r="BS209" i="9"/>
  <c r="BT209" i="9" s="1"/>
  <c r="X259" i="10"/>
  <c r="P209" i="9"/>
  <c r="R1974" i="6" s="1"/>
  <c r="AG250" i="10"/>
  <c r="Q1972" i="6" s="1"/>
  <c r="Q686" i="6" s="1"/>
  <c r="O48" i="45"/>
  <c r="P48" i="45" s="1"/>
  <c r="W13" i="37"/>
  <c r="X13" i="37" s="1"/>
  <c r="U17" i="37"/>
  <c r="T115" i="37"/>
  <c r="T116" i="37"/>
  <c r="U12" i="37"/>
  <c r="Y246" i="10"/>
  <c r="X152" i="11" s="1"/>
  <c r="Y152" i="11" s="1"/>
  <c r="Z152" i="11" s="1"/>
  <c r="Q618" i="7"/>
  <c r="Q344" i="7"/>
  <c r="Q106" i="7"/>
  <c r="Q19" i="7" s="1"/>
  <c r="Q323" i="7"/>
  <c r="R855" i="7"/>
  <c r="W22" i="26"/>
  <c r="R273" i="7"/>
  <c r="R904" i="7"/>
  <c r="AG65" i="10"/>
  <c r="AH65" i="10" s="1"/>
  <c r="Q149" i="7"/>
  <c r="R580" i="7"/>
  <c r="Y143" i="11"/>
  <c r="Z143" i="11" s="1"/>
  <c r="L589" i="34"/>
  <c r="L240" i="34" s="1"/>
  <c r="CP193" i="9"/>
  <c r="DC193" i="9"/>
  <c r="DC119" i="9"/>
  <c r="CP119" i="9"/>
  <c r="CP101" i="9"/>
  <c r="DC101" i="9"/>
  <c r="AH156" i="11"/>
  <c r="AI156" i="11" s="1"/>
  <c r="R542" i="6"/>
  <c r="R1175" i="6"/>
  <c r="R425" i="6"/>
  <c r="H465" i="6"/>
  <c r="I465" i="6" s="1"/>
  <c r="R434" i="7"/>
  <c r="Q583" i="7"/>
  <c r="Q585" i="7" s="1"/>
  <c r="Q596" i="7" s="1"/>
  <c r="R249" i="7"/>
  <c r="P152" i="7"/>
  <c r="P1143" i="7" s="1"/>
  <c r="R831" i="7"/>
  <c r="AF67" i="10"/>
  <c r="AJ50" i="11"/>
  <c r="AK50" i="11" s="1"/>
  <c r="AL50" i="11" s="1"/>
  <c r="AN50" i="11" s="1"/>
  <c r="AU130" i="10"/>
  <c r="AJ126" i="11"/>
  <c r="AK126" i="11" s="1"/>
  <c r="AL126" i="11" s="1"/>
  <c r="AN126" i="11" s="1"/>
  <c r="AU212" i="10"/>
  <c r="R1117" i="7"/>
  <c r="R432" i="7" s="1"/>
  <c r="AT133" i="10"/>
  <c r="AI88" i="10"/>
  <c r="P183" i="7"/>
  <c r="P8" i="7" s="1"/>
  <c r="M12" i="13"/>
  <c r="M102" i="13"/>
  <c r="R392" i="7"/>
  <c r="AI66" i="10"/>
  <c r="AS66" i="10" s="1"/>
  <c r="R281" i="7"/>
  <c r="AI65" i="10"/>
  <c r="R346" i="7"/>
  <c r="R230" i="7"/>
  <c r="R336" i="7"/>
  <c r="R345" i="7"/>
  <c r="R99" i="7"/>
  <c r="S247" i="48"/>
  <c r="I274" i="48" s="1"/>
  <c r="R1073" i="7"/>
  <c r="R407" i="7" s="1"/>
  <c r="R386" i="7"/>
  <c r="R141" i="7"/>
  <c r="R138" i="7"/>
  <c r="P25" i="5"/>
  <c r="CP99" i="9"/>
  <c r="DC99" i="9"/>
  <c r="E386" i="34"/>
  <c r="E190" i="34" s="1"/>
  <c r="F386" i="34"/>
  <c r="F190" i="34" s="1"/>
  <c r="F557" i="34"/>
  <c r="F560" i="34" s="1"/>
  <c r="F328" i="34"/>
  <c r="F329" i="34" s="1"/>
  <c r="F331" i="34" s="1"/>
  <c r="F176" i="34" s="1"/>
  <c r="F102" i="34"/>
  <c r="F117" i="34" s="1"/>
  <c r="F122" i="34" s="1"/>
  <c r="F436" i="34"/>
  <c r="X29" i="42"/>
  <c r="I29" i="42" s="1"/>
  <c r="I20" i="42"/>
  <c r="I80" i="42" s="1"/>
  <c r="K18" i="60" s="1"/>
  <c r="P433" i="45"/>
  <c r="F20" i="15"/>
  <c r="G20" i="15" s="1"/>
  <c r="CD45" i="21"/>
  <c r="CQ45" i="21"/>
  <c r="CP71" i="21"/>
  <c r="CC71" i="21"/>
  <c r="CQ15" i="21"/>
  <c r="CD15" i="21"/>
  <c r="CD8" i="21"/>
  <c r="CQ8" i="21"/>
  <c r="AR49" i="42"/>
  <c r="AR52" i="42" s="1"/>
  <c r="O259" i="15"/>
  <c r="O113" i="16"/>
  <c r="O115" i="16" s="1"/>
  <c r="CQ70" i="21"/>
  <c r="CD70" i="21"/>
  <c r="CQ23" i="21"/>
  <c r="CD23" i="21"/>
  <c r="CC59" i="21"/>
  <c r="CP59" i="21"/>
  <c r="CP73" i="21" s="1"/>
  <c r="CD50" i="21"/>
  <c r="CQ50" i="21"/>
  <c r="P83" i="21"/>
  <c r="Q97" i="3" s="1"/>
  <c r="R346" i="8"/>
  <c r="R95" i="8" s="1"/>
  <c r="R32" i="8" s="1"/>
  <c r="P40" i="16"/>
  <c r="P77" i="15"/>
  <c r="P321" i="34" s="1"/>
  <c r="N558" i="34"/>
  <c r="N294" i="34"/>
  <c r="N526" i="34" s="1"/>
  <c r="N522" i="34"/>
  <c r="N472" i="34"/>
  <c r="O554" i="34"/>
  <c r="O289" i="34"/>
  <c r="O352" i="34" s="1"/>
  <c r="O378" i="34"/>
  <c r="N383" i="34"/>
  <c r="N496" i="34"/>
  <c r="M8" i="15"/>
  <c r="M7" i="42"/>
  <c r="M69" i="42" s="1"/>
  <c r="O7" i="60" s="1"/>
  <c r="CE121" i="22"/>
  <c r="CR121" i="22"/>
  <c r="CR119" i="22"/>
  <c r="CE119" i="22"/>
  <c r="CE120" i="22"/>
  <c r="CR120" i="22"/>
  <c r="CE138" i="22"/>
  <c r="CR138" i="22"/>
  <c r="CE131" i="22"/>
  <c r="CR131" i="22"/>
  <c r="CR83" i="22"/>
  <c r="CE83" i="22"/>
  <c r="CE81" i="22"/>
  <c r="CR81" i="22"/>
  <c r="CQ82" i="22"/>
  <c r="CD82" i="22"/>
  <c r="N73" i="20"/>
  <c r="O73" i="20"/>
  <c r="CE116" i="22"/>
  <c r="CR116" i="22"/>
  <c r="AG122" i="10"/>
  <c r="AJ3" i="10"/>
  <c r="CD56" i="21"/>
  <c r="CQ56" i="21"/>
  <c r="CD58" i="21"/>
  <c r="CQ58" i="21"/>
  <c r="CQ57" i="21"/>
  <c r="CD57" i="21"/>
  <c r="CO74" i="21"/>
  <c r="CQ46" i="21"/>
  <c r="CD46" i="21"/>
  <c r="CD40" i="21"/>
  <c r="CQ40" i="21"/>
  <c r="CQ14" i="21"/>
  <c r="CD14" i="21"/>
  <c r="CD17" i="21"/>
  <c r="CQ17" i="21"/>
  <c r="CQ7" i="21"/>
  <c r="CD7" i="21"/>
  <c r="P703" i="4"/>
  <c r="P714" i="4" s="1"/>
  <c r="N301" i="4"/>
  <c r="N312" i="4" s="1"/>
  <c r="N863" i="4"/>
  <c r="O31" i="4"/>
  <c r="P2093" i="6"/>
  <c r="P55" i="6" s="1"/>
  <c r="AB22" i="42" s="1"/>
  <c r="M208" i="3"/>
  <c r="M210" i="3" s="1"/>
  <c r="R1931" i="6"/>
  <c r="S1931" i="6" s="1"/>
  <c r="S665" i="6" s="1"/>
  <c r="K107" i="13"/>
  <c r="K64" i="13" s="1"/>
  <c r="L9" i="3" s="1"/>
  <c r="L10" i="3" s="1"/>
  <c r="M312" i="4"/>
  <c r="O194" i="4"/>
  <c r="O196" i="4" s="1"/>
  <c r="O495" i="6"/>
  <c r="X80" i="42"/>
  <c r="K44" i="60" s="1"/>
  <c r="J53" i="15"/>
  <c r="J22" i="15" s="1"/>
  <c r="M368" i="34"/>
  <c r="L11" i="42"/>
  <c r="L72" i="42" s="1"/>
  <c r="N10" i="60" s="1"/>
  <c r="M43" i="15"/>
  <c r="M12" i="15" s="1"/>
  <c r="P1700" i="6"/>
  <c r="P1702" i="6" s="1"/>
  <c r="P1713" i="6" s="1"/>
  <c r="R1927" i="6"/>
  <c r="S1927" i="6" s="1"/>
  <c r="S663" i="6" s="1"/>
  <c r="Z34" i="42"/>
  <c r="K34" i="42" s="1"/>
  <c r="AC7" i="42"/>
  <c r="O598" i="34" s="1"/>
  <c r="R1696" i="6"/>
  <c r="S1696" i="6" s="1"/>
  <c r="O17" i="58"/>
  <c r="R712" i="6"/>
  <c r="K69" i="13"/>
  <c r="P314" i="6"/>
  <c r="P10" i="6" s="1"/>
  <c r="O549" i="6"/>
  <c r="O551" i="6" s="1"/>
  <c r="R2030" i="6"/>
  <c r="S2030" i="6" s="1"/>
  <c r="N22" i="58"/>
  <c r="R162" i="6"/>
  <c r="R168" i="6" s="1"/>
  <c r="R870" i="6"/>
  <c r="P578" i="6"/>
  <c r="P15" i="6" s="1"/>
  <c r="P47" i="6" s="1"/>
  <c r="R1923" i="6"/>
  <c r="S1923" i="6" s="1"/>
  <c r="S659" i="6" s="1"/>
  <c r="O299" i="4"/>
  <c r="O301" i="4" s="1"/>
  <c r="K191" i="15"/>
  <c r="K136" i="15" s="1"/>
  <c r="K158" i="15" s="1"/>
  <c r="O461" i="6"/>
  <c r="O1521" i="6"/>
  <c r="N233" i="3"/>
  <c r="BO82" i="9"/>
  <c r="AB239" i="10"/>
  <c r="AA143" i="11" s="1"/>
  <c r="I158" i="15"/>
  <c r="N612" i="6"/>
  <c r="N1781" i="6"/>
  <c r="L200" i="3" s="1"/>
  <c r="P343" i="6"/>
  <c r="N141" i="3"/>
  <c r="N142" i="3" s="1"/>
  <c r="M307" i="34"/>
  <c r="M13" i="15"/>
  <c r="M291" i="34" s="1"/>
  <c r="M354" i="34" s="1"/>
  <c r="R1741" i="6"/>
  <c r="S1741" i="6" s="1"/>
  <c r="S1765" i="6" s="1"/>
  <c r="R1002" i="6"/>
  <c r="S1002" i="6" s="1"/>
  <c r="N116" i="40"/>
  <c r="AC40" i="42" s="1"/>
  <c r="O61" i="3"/>
  <c r="BP82" i="9"/>
  <c r="P114" i="1"/>
  <c r="P117" i="1" s="1"/>
  <c r="N39" i="15"/>
  <c r="AB69" i="42"/>
  <c r="O33" i="60" s="1"/>
  <c r="P634" i="6"/>
  <c r="P16" i="6" s="1"/>
  <c r="O15" i="6"/>
  <c r="O47" i="6" s="1"/>
  <c r="O602" i="6"/>
  <c r="P1771" i="6"/>
  <c r="H12" i="7"/>
  <c r="I12" i="7" s="1"/>
  <c r="BK219" i="9"/>
  <c r="BK221" i="9" s="1"/>
  <c r="N208" i="3" s="1"/>
  <c r="N210" i="3" s="1"/>
  <c r="P879" i="6"/>
  <c r="R1925" i="6"/>
  <c r="S1925" i="6" s="1"/>
  <c r="S661" i="6" s="1"/>
  <c r="R1795" i="6"/>
  <c r="S1795" i="6" s="1"/>
  <c r="S629" i="6" s="1"/>
  <c r="P772" i="34"/>
  <c r="AI253" i="10"/>
  <c r="P700" i="6"/>
  <c r="N758" i="34"/>
  <c r="R1732" i="6"/>
  <c r="S1732" i="6" s="1"/>
  <c r="S1734" i="6" s="1"/>
  <c r="R1029" i="6"/>
  <c r="S1029" i="6" s="1"/>
  <c r="S248" i="6" s="1"/>
  <c r="AC12" i="42"/>
  <c r="R1994" i="6"/>
  <c r="S1994" i="6" s="1"/>
  <c r="S702" i="6" s="1"/>
  <c r="AE12" i="42" s="1"/>
  <c r="L51" i="13"/>
  <c r="AA34" i="42" s="1"/>
  <c r="L34" i="42" s="1"/>
  <c r="R1068" i="6"/>
  <c r="S1068" i="6" s="1"/>
  <c r="Q132" i="42"/>
  <c r="M617" i="6"/>
  <c r="N9" i="58"/>
  <c r="R1987" i="6"/>
  <c r="S1987" i="6" s="1"/>
  <c r="R1796" i="6"/>
  <c r="S1796" i="6" s="1"/>
  <c r="S630" i="6" s="1"/>
  <c r="L474" i="34"/>
  <c r="L524" i="34"/>
  <c r="Z246" i="10"/>
  <c r="AA246" i="10"/>
  <c r="L367" i="34"/>
  <c r="L486" i="34" s="1"/>
  <c r="L540" i="34"/>
  <c r="P547" i="6"/>
  <c r="P30" i="6" s="1"/>
  <c r="P46" i="6" s="1"/>
  <c r="R1614" i="6"/>
  <c r="S1614" i="6" s="1"/>
  <c r="V20" i="26"/>
  <c r="R1934" i="6"/>
  <c r="S1934" i="6" s="1"/>
  <c r="S666" i="6" s="1"/>
  <c r="N44" i="15"/>
  <c r="M40" i="42"/>
  <c r="AB47" i="42"/>
  <c r="M47" i="42" s="1"/>
  <c r="R1928" i="6"/>
  <c r="S1928" i="6" s="1"/>
  <c r="S664" i="6" s="1"/>
  <c r="O220" i="6"/>
  <c r="O223" i="6" s="1"/>
  <c r="R1986" i="6"/>
  <c r="S1986" i="6" s="1"/>
  <c r="S699" i="6" s="1"/>
  <c r="R1001" i="6"/>
  <c r="S1001" i="6" s="1"/>
  <c r="S215" i="6" s="1"/>
  <c r="R1985" i="6"/>
  <c r="S1985" i="6" s="1"/>
  <c r="N6" i="58"/>
  <c r="N5" i="58" s="1"/>
  <c r="R2021" i="6"/>
  <c r="S2021" i="6" s="1"/>
  <c r="S721" i="6" s="1"/>
  <c r="V21" i="26"/>
  <c r="R1491" i="6"/>
  <c r="S1491" i="6" s="1"/>
  <c r="R1666" i="6"/>
  <c r="S1666" i="6" s="1"/>
  <c r="O761" i="34"/>
  <c r="N21" i="58"/>
  <c r="R2025" i="6"/>
  <c r="S2025" i="6" s="1"/>
  <c r="S723" i="6" s="1"/>
  <c r="R1096" i="6"/>
  <c r="S1096" i="6" s="1"/>
  <c r="O766" i="34"/>
  <c r="O40" i="6"/>
  <c r="R1638" i="6"/>
  <c r="S1638" i="6" s="1"/>
  <c r="R2013" i="6"/>
  <c r="S2013" i="6" s="1"/>
  <c r="N18" i="58"/>
  <c r="R2020" i="6"/>
  <c r="S2020" i="6" s="1"/>
  <c r="S720" i="6" s="1"/>
  <c r="P1006" i="6"/>
  <c r="P1009" i="6" s="1"/>
  <c r="P1018" i="6" s="1"/>
  <c r="P254" i="6"/>
  <c r="P9" i="6" s="1"/>
  <c r="P221" i="6"/>
  <c r="P218" i="6"/>
  <c r="R1139" i="6"/>
  <c r="S1139" i="6" s="1"/>
  <c r="M234" i="6"/>
  <c r="M2055" i="6"/>
  <c r="R1138" i="6"/>
  <c r="S1138" i="6" s="1"/>
  <c r="S336" i="6" s="1"/>
  <c r="R1799" i="6"/>
  <c r="S1799" i="6" s="1"/>
  <c r="S631" i="6" s="1"/>
  <c r="M20" i="58"/>
  <c r="H704" i="6"/>
  <c r="R1849" i="6"/>
  <c r="S1849" i="6" s="1"/>
  <c r="R798" i="6"/>
  <c r="S798" i="6" s="1"/>
  <c r="N2075" i="6"/>
  <c r="N223" i="6"/>
  <c r="R1888" i="6"/>
  <c r="S1888" i="6" s="1"/>
  <c r="S654" i="6" s="1"/>
  <c r="R2006" i="6"/>
  <c r="S2006" i="6" s="1"/>
  <c r="S710" i="6" s="1"/>
  <c r="R959" i="6"/>
  <c r="S959" i="6" s="1"/>
  <c r="J124" i="14"/>
  <c r="J88" i="14"/>
  <c r="I110" i="14"/>
  <c r="J109" i="14" s="1"/>
  <c r="M188" i="14"/>
  <c r="N208" i="14"/>
  <c r="M83" i="14"/>
  <c r="L105" i="14"/>
  <c r="R852" i="7"/>
  <c r="Q319" i="7"/>
  <c r="AA54" i="11"/>
  <c r="AB54" i="11" s="1"/>
  <c r="AC54" i="11" s="1"/>
  <c r="M103" i="3"/>
  <c r="R874" i="7"/>
  <c r="S874" i="7" s="1"/>
  <c r="S337" i="7" s="1"/>
  <c r="Q337" i="7"/>
  <c r="R879" i="7"/>
  <c r="S879" i="7" s="1"/>
  <c r="S340" i="7" s="1"/>
  <c r="Q340" i="7"/>
  <c r="W16" i="26"/>
  <c r="R608" i="7"/>
  <c r="S608" i="7" s="1"/>
  <c r="S177" i="7" s="1"/>
  <c r="Q177" i="7"/>
  <c r="Q1000" i="7"/>
  <c r="Q1153" i="7" s="1"/>
  <c r="O5" i="3" s="1"/>
  <c r="Q354" i="7"/>
  <c r="Q360" i="7" s="1"/>
  <c r="Q38" i="7" s="1"/>
  <c r="R995" i="7"/>
  <c r="S995" i="7" s="1"/>
  <c r="AE127" i="10"/>
  <c r="Q145" i="7"/>
  <c r="O759" i="34"/>
  <c r="O781" i="34" s="1"/>
  <c r="R605" i="7"/>
  <c r="S605" i="7" s="1"/>
  <c r="S176" i="7" s="1"/>
  <c r="Q176" i="7"/>
  <c r="R553" i="7"/>
  <c r="S553" i="7" s="1"/>
  <c r="S131" i="7" s="1"/>
  <c r="Q131" i="7"/>
  <c r="R552" i="7"/>
  <c r="S552" i="7" s="1"/>
  <c r="Q130" i="7"/>
  <c r="R926" i="7"/>
  <c r="AG127" i="10"/>
  <c r="Q347" i="7"/>
  <c r="R356" i="8"/>
  <c r="Q106" i="8"/>
  <c r="BG7" i="42" s="1"/>
  <c r="R363" i="8"/>
  <c r="Q107" i="8"/>
  <c r="BG8" i="42" s="1"/>
  <c r="O102" i="15" s="1"/>
  <c r="N70" i="15"/>
  <c r="N610" i="34"/>
  <c r="N611" i="34" s="1"/>
  <c r="N613" i="34" s="1"/>
  <c r="N244" i="34" s="1"/>
  <c r="N108" i="15"/>
  <c r="N117" i="15"/>
  <c r="M12" i="42"/>
  <c r="R499" i="8"/>
  <c r="Q131" i="8"/>
  <c r="R173" i="8"/>
  <c r="Q43" i="8"/>
  <c r="AR7" i="42" s="1"/>
  <c r="AJ9" i="42"/>
  <c r="H50" i="8"/>
  <c r="I50" i="8" s="1"/>
  <c r="Q109" i="8"/>
  <c r="R375" i="8"/>
  <c r="K195" i="8"/>
  <c r="H439" i="34"/>
  <c r="R514" i="8"/>
  <c r="S514" i="8" s="1"/>
  <c r="Q132" i="8"/>
  <c r="O746" i="34"/>
  <c r="O748" i="34" s="1"/>
  <c r="R56" i="8"/>
  <c r="Q56" i="8"/>
  <c r="R454" i="8"/>
  <c r="Q122" i="8"/>
  <c r="R440" i="8"/>
  <c r="Q121" i="8"/>
  <c r="Q111" i="8"/>
  <c r="R385" i="8"/>
  <c r="S385" i="8" s="1"/>
  <c r="Q119" i="8"/>
  <c r="N101" i="15"/>
  <c r="N622" i="34"/>
  <c r="N623" i="34" s="1"/>
  <c r="N625" i="34" s="1"/>
  <c r="N246" i="34" s="1"/>
  <c r="R429" i="8"/>
  <c r="S429" i="8" s="1"/>
  <c r="S119" i="8" s="1"/>
  <c r="BG21" i="42"/>
  <c r="O116" i="15" s="1"/>
  <c r="BG12" i="42"/>
  <c r="R390" i="8"/>
  <c r="M514" i="5"/>
  <c r="K785" i="34"/>
  <c r="K142" i="34"/>
  <c r="L140" i="34"/>
  <c r="L147" i="3"/>
  <c r="L784" i="34"/>
  <c r="L143" i="15"/>
  <c r="CO148" i="9"/>
  <c r="DB148" i="9"/>
  <c r="CO10" i="9"/>
  <c r="DB10" i="9"/>
  <c r="DB106" i="9"/>
  <c r="CO106" i="9"/>
  <c r="CP70" i="9"/>
  <c r="DC70" i="9"/>
  <c r="DC62" i="9"/>
  <c r="CP62" i="9"/>
  <c r="CO104" i="9"/>
  <c r="DB104" i="9"/>
  <c r="M63" i="3"/>
  <c r="M64" i="3" s="1"/>
  <c r="M144" i="3"/>
  <c r="L142" i="13"/>
  <c r="M198" i="15"/>
  <c r="BN221" i="9"/>
  <c r="DC161" i="9"/>
  <c r="CP161" i="9"/>
  <c r="DC159" i="9"/>
  <c r="CP159" i="9"/>
  <c r="M146" i="3"/>
  <c r="DC197" i="9"/>
  <c r="CP197" i="9"/>
  <c r="DC96" i="9"/>
  <c r="CP96" i="9"/>
  <c r="DB63" i="9"/>
  <c r="CO63" i="9"/>
  <c r="CO103" i="9"/>
  <c r="DB103" i="9"/>
  <c r="CP83" i="9"/>
  <c r="DC83" i="9"/>
  <c r="CP194" i="9"/>
  <c r="DC194" i="9"/>
  <c r="DB22" i="9"/>
  <c r="CO22" i="9"/>
  <c r="BY62" i="9"/>
  <c r="BY64" i="9" s="1"/>
  <c r="DC166" i="9"/>
  <c r="CP166" i="9"/>
  <c r="DC44" i="9"/>
  <c r="CP44" i="9"/>
  <c r="DC149" i="9"/>
  <c r="CP149" i="9"/>
  <c r="L681" i="34"/>
  <c r="DC137" i="9"/>
  <c r="CP137" i="9"/>
  <c r="DA221" i="9"/>
  <c r="M687" i="34" s="1"/>
  <c r="DB167" i="9"/>
  <c r="CO167" i="9"/>
  <c r="DC215" i="9"/>
  <c r="CP215" i="9"/>
  <c r="R949" i="6"/>
  <c r="R178" i="6" s="1"/>
  <c r="DB46" i="9"/>
  <c r="CO46" i="9"/>
  <c r="P179" i="9"/>
  <c r="BT179" i="9"/>
  <c r="BY125" i="9"/>
  <c r="W29" i="37"/>
  <c r="DC212" i="9"/>
  <c r="CP212" i="9"/>
  <c r="DD125" i="9"/>
  <c r="CO134" i="9"/>
  <c r="DB134" i="9"/>
  <c r="R592" i="4"/>
  <c r="R151" i="4" s="1"/>
  <c r="R44" i="4" s="1"/>
  <c r="BY7" i="9"/>
  <c r="BY25" i="9" s="1"/>
  <c r="P25" i="9"/>
  <c r="DD7" i="9"/>
  <c r="W30" i="37"/>
  <c r="DD126" i="9"/>
  <c r="BY126" i="9"/>
  <c r="DB31" i="9"/>
  <c r="CO31" i="9"/>
  <c r="CO136" i="9"/>
  <c r="DB136" i="9"/>
  <c r="BT55" i="9"/>
  <c r="BT66" i="9" s="1"/>
  <c r="BS66" i="9"/>
  <c r="DD124" i="9"/>
  <c r="J139" i="14"/>
  <c r="CP214" i="9"/>
  <c r="DC214" i="9"/>
  <c r="DC45" i="9"/>
  <c r="CP45" i="9"/>
  <c r="CO135" i="9"/>
  <c r="DB135" i="9"/>
  <c r="BY113" i="9"/>
  <c r="R1017" i="6"/>
  <c r="R232" i="6" s="1"/>
  <c r="CO41" i="9"/>
  <c r="DB41" i="9"/>
  <c r="L199" i="14"/>
  <c r="L160" i="14"/>
  <c r="R1009" i="7"/>
  <c r="P66" i="9"/>
  <c r="DD55" i="9"/>
  <c r="BX55" i="9"/>
  <c r="CP151" i="9"/>
  <c r="DC151" i="9"/>
  <c r="DC163" i="9"/>
  <c r="CP163" i="9"/>
  <c r="W28" i="37"/>
  <c r="BY124" i="9"/>
  <c r="Q903" i="4"/>
  <c r="O70" i="3"/>
  <c r="DC211" i="9"/>
  <c r="CP211" i="9"/>
  <c r="CP130" i="9"/>
  <c r="DC130" i="9"/>
  <c r="R11" i="37"/>
  <c r="U51" i="14"/>
  <c r="M1078" i="6" s="1"/>
  <c r="M469" i="5"/>
  <c r="M471" i="5" s="1"/>
  <c r="M484" i="5" s="1"/>
  <c r="M488" i="5" s="1"/>
  <c r="Q505" i="5"/>
  <c r="Q180" i="5"/>
  <c r="Q499" i="5" s="1"/>
  <c r="B78" i="42"/>
  <c r="Y80" i="42"/>
  <c r="L44" i="60" s="1"/>
  <c r="K545" i="34"/>
  <c r="M30" i="5"/>
  <c r="K53" i="15"/>
  <c r="K22" i="15" s="1"/>
  <c r="Y29" i="42"/>
  <c r="J29" i="42" s="1"/>
  <c r="A56" i="15"/>
  <c r="P452" i="5"/>
  <c r="P460" i="5" s="1"/>
  <c r="L103" i="13"/>
  <c r="L22" i="13"/>
  <c r="Q150" i="5"/>
  <c r="Q507" i="5" s="1"/>
  <c r="P31" i="5"/>
  <c r="N6" i="3"/>
  <c r="N198" i="5"/>
  <c r="N480" i="5"/>
  <c r="N482" i="5" s="1"/>
  <c r="N514" i="5" s="1"/>
  <c r="P477" i="5"/>
  <c r="P68" i="5"/>
  <c r="R447" i="5"/>
  <c r="S447" i="5" s="1"/>
  <c r="Q486" i="5"/>
  <c r="Q451" i="5"/>
  <c r="Q192" i="5"/>
  <c r="Q448" i="5"/>
  <c r="Q450" i="5" s="1"/>
  <c r="Q131" i="5"/>
  <c r="Q9" i="5" s="1"/>
  <c r="O508" i="5"/>
  <c r="O510" i="5" s="1"/>
  <c r="O512" i="5" s="1"/>
  <c r="O19" i="5"/>
  <c r="O21" i="5" s="1"/>
  <c r="Q496" i="5"/>
  <c r="Q66" i="5"/>
  <c r="Q7" i="5"/>
  <c r="Q25" i="5" s="1"/>
  <c r="N21" i="5"/>
  <c r="K19" i="13" s="1"/>
  <c r="P197" i="5"/>
  <c r="P194" i="5"/>
  <c r="R52" i="5"/>
  <c r="R56" i="5" s="1"/>
  <c r="R240" i="5"/>
  <c r="J6" i="11"/>
  <c r="G85" i="3" s="1"/>
  <c r="H21" i="11"/>
  <c r="P760" i="34"/>
  <c r="R454" i="4"/>
  <c r="AF236" i="10"/>
  <c r="Q589" i="4" s="1"/>
  <c r="Q148" i="4" s="1"/>
  <c r="C174" i="15"/>
  <c r="C221" i="3"/>
  <c r="R672" i="4"/>
  <c r="R615" i="4"/>
  <c r="R110" i="4" s="1"/>
  <c r="AE236" i="10"/>
  <c r="AD140" i="11" s="1"/>
  <c r="AE140" i="11" s="1"/>
  <c r="AF140" i="11" s="1"/>
  <c r="K48" i="13"/>
  <c r="L191" i="15" s="1"/>
  <c r="R176" i="4"/>
  <c r="R9" i="4" s="1"/>
  <c r="O773" i="34"/>
  <c r="R329" i="4"/>
  <c r="S329" i="4" s="1"/>
  <c r="Q58" i="4"/>
  <c r="M8" i="3"/>
  <c r="P284" i="4"/>
  <c r="P11" i="4" s="1"/>
  <c r="O34" i="4"/>
  <c r="M688" i="34" s="1"/>
  <c r="D187" i="42"/>
  <c r="AV62" i="42"/>
  <c r="J121" i="13"/>
  <c r="A330" i="15"/>
  <c r="A175" i="15" s="1"/>
  <c r="C677" i="34"/>
  <c r="C282" i="34" s="1"/>
  <c r="B328" i="15"/>
  <c r="R562" i="4"/>
  <c r="S562" i="4" s="1"/>
  <c r="S129" i="4" s="1"/>
  <c r="R106" i="4"/>
  <c r="P192" i="4"/>
  <c r="P19" i="4" s="1"/>
  <c r="P29" i="4" s="1"/>
  <c r="R577" i="4"/>
  <c r="S577" i="4" s="1"/>
  <c r="Q135" i="4"/>
  <c r="Q584" i="4"/>
  <c r="C342" i="34"/>
  <c r="C343" i="34" s="1"/>
  <c r="C345" i="34" s="1"/>
  <c r="C179" i="34" s="1"/>
  <c r="C180" i="34" s="1"/>
  <c r="C571" i="34"/>
  <c r="C575" i="34" s="1"/>
  <c r="C576" i="34" s="1"/>
  <c r="C256" i="34" s="1"/>
  <c r="AU58" i="42"/>
  <c r="AU62" i="42" s="1"/>
  <c r="R447" i="4"/>
  <c r="O774" i="34"/>
  <c r="R384" i="4"/>
  <c r="R77" i="4" s="1"/>
  <c r="R55" i="4"/>
  <c r="P717" i="34"/>
  <c r="R227" i="4"/>
  <c r="K121" i="3"/>
  <c r="R118" i="8"/>
  <c r="P114" i="3"/>
  <c r="E11" i="58"/>
  <c r="E13" i="58" s="1"/>
  <c r="E51" i="58" s="1"/>
  <c r="R529" i="7"/>
  <c r="O110" i="7"/>
  <c r="O1126" i="7" s="1"/>
  <c r="N120" i="7"/>
  <c r="P1463" i="6"/>
  <c r="P1465" i="6" s="1"/>
  <c r="P1474" i="6" s="1"/>
  <c r="N825" i="34"/>
  <c r="M32" i="13"/>
  <c r="R450" i="6"/>
  <c r="R1374" i="6"/>
  <c r="P451" i="6"/>
  <c r="P28" i="6" s="1"/>
  <c r="N217" i="34"/>
  <c r="N815" i="34" s="1"/>
  <c r="N259" i="3" s="1"/>
  <c r="N750" i="34"/>
  <c r="N752" i="34" s="1"/>
  <c r="N109" i="6"/>
  <c r="N2073" i="6"/>
  <c r="R281" i="4"/>
  <c r="Q281" i="4"/>
  <c r="R832" i="4"/>
  <c r="S832" i="4" s="1"/>
  <c r="Q835" i="4"/>
  <c r="Q295" i="4"/>
  <c r="Q300" i="4" s="1"/>
  <c r="R828" i="4"/>
  <c r="Q651" i="4"/>
  <c r="Q136" i="4"/>
  <c r="R648" i="4"/>
  <c r="S648" i="4" s="1"/>
  <c r="R570" i="4"/>
  <c r="Q130" i="4"/>
  <c r="Q190" i="4"/>
  <c r="Q195" i="4" s="1"/>
  <c r="R697" i="4"/>
  <c r="S697" i="4" s="1"/>
  <c r="Q702" i="4"/>
  <c r="Q236" i="7"/>
  <c r="Q21" i="7" s="1"/>
  <c r="K72" i="42"/>
  <c r="M10" i="60" s="1"/>
  <c r="P23" i="6"/>
  <c r="P39" i="6" s="1"/>
  <c r="P166" i="6"/>
  <c r="P169" i="6" s="1"/>
  <c r="P800" i="6"/>
  <c r="P802" i="6" s="1"/>
  <c r="P804" i="6" s="1"/>
  <c r="P813" i="6" s="1"/>
  <c r="P93" i="6"/>
  <c r="P105" i="6" s="1"/>
  <c r="M2059" i="6"/>
  <c r="M465" i="6"/>
  <c r="N383" i="6"/>
  <c r="N2078" i="6"/>
  <c r="O52" i="6"/>
  <c r="L104" i="13" s="1"/>
  <c r="M7" i="3"/>
  <c r="L30" i="13"/>
  <c r="R438" i="6"/>
  <c r="R1461" i="6"/>
  <c r="R764" i="6"/>
  <c r="S764" i="6" s="1"/>
  <c r="O763" i="34"/>
  <c r="R1239" i="6"/>
  <c r="S1239" i="6" s="1"/>
  <c r="P2090" i="6"/>
  <c r="P108" i="6"/>
  <c r="R1946" i="6"/>
  <c r="S1946" i="6" s="1"/>
  <c r="S668" i="6" s="1"/>
  <c r="R1924" i="6"/>
  <c r="S1924" i="6" s="1"/>
  <c r="S660" i="6" s="1"/>
  <c r="R1098" i="6"/>
  <c r="S1098" i="6" s="1"/>
  <c r="S311" i="6" s="1"/>
  <c r="R1636" i="6"/>
  <c r="S1636" i="6" s="1"/>
  <c r="S503" i="6" s="1"/>
  <c r="R1492" i="6"/>
  <c r="S1492" i="6" s="1"/>
  <c r="R797" i="6"/>
  <c r="S797" i="6" s="1"/>
  <c r="S102" i="6" s="1"/>
  <c r="R1306" i="6"/>
  <c r="S1306" i="6" s="1"/>
  <c r="O113" i="3"/>
  <c r="R1027" i="6"/>
  <c r="S1027" i="6" s="1"/>
  <c r="O764" i="34"/>
  <c r="O12" i="6"/>
  <c r="O44" i="6" s="1"/>
  <c r="O453" i="6"/>
  <c r="R1601" i="6"/>
  <c r="S1601" i="6" s="1"/>
  <c r="S484" i="6" s="1"/>
  <c r="R1129" i="6"/>
  <c r="S1129" i="6" s="1"/>
  <c r="S323" i="6" s="1"/>
  <c r="R1072" i="6"/>
  <c r="R270" i="6"/>
  <c r="R277" i="6" s="1"/>
  <c r="R1811" i="6"/>
  <c r="S1811" i="6" s="1"/>
  <c r="S633" i="6" s="1"/>
  <c r="M767" i="34"/>
  <c r="M779" i="34" s="1"/>
  <c r="O1259" i="6"/>
  <c r="O1261" i="6" s="1"/>
  <c r="O1272" i="6" s="1"/>
  <c r="R1500" i="6"/>
  <c r="S1500" i="6" s="1"/>
  <c r="S1501" i="6" s="1"/>
  <c r="R929" i="6"/>
  <c r="S929" i="6" s="1"/>
  <c r="S938" i="6" s="1"/>
  <c r="S940" i="6" s="1"/>
  <c r="S942" i="6" s="1"/>
  <c r="M120" i="6"/>
  <c r="M2053" i="6"/>
  <c r="R1676" i="6"/>
  <c r="S1676" i="6" s="1"/>
  <c r="O11" i="6"/>
  <c r="O43" i="6" s="1"/>
  <c r="O381" i="6"/>
  <c r="R2001" i="6"/>
  <c r="S2001" i="6" s="1"/>
  <c r="N15" i="58"/>
  <c r="O771" i="34"/>
  <c r="R1392" i="6"/>
  <c r="S1392" i="6" s="1"/>
  <c r="P1372" i="6"/>
  <c r="P1375" i="6" s="1"/>
  <c r="P1383" i="6" s="1"/>
  <c r="R326" i="6"/>
  <c r="R1550" i="6"/>
  <c r="S1550" i="6" s="1"/>
  <c r="P1572" i="6"/>
  <c r="P1574" i="6" s="1"/>
  <c r="P1585" i="6" s="1"/>
  <c r="N456" i="6"/>
  <c r="N2079" i="6"/>
  <c r="R1231" i="6"/>
  <c r="R369" i="6" s="1"/>
  <c r="R377" i="6"/>
  <c r="R1504" i="6"/>
  <c r="S1504" i="6" s="1"/>
  <c r="R432" i="6"/>
  <c r="P729" i="34"/>
  <c r="N219" i="9"/>
  <c r="N221" i="9" s="1"/>
  <c r="N224" i="9" s="1"/>
  <c r="N226" i="9" s="1"/>
  <c r="R869" i="6"/>
  <c r="R158" i="6"/>
  <c r="R539" i="6"/>
  <c r="P418" i="6"/>
  <c r="R144" i="6"/>
  <c r="R1926" i="6"/>
  <c r="S1926" i="6" s="1"/>
  <c r="S662" i="6" s="1"/>
  <c r="R648" i="6"/>
  <c r="L783" i="34"/>
  <c r="L213" i="3"/>
  <c r="O107" i="6"/>
  <c r="R161" i="6"/>
  <c r="R941" i="6"/>
  <c r="R1682" i="6"/>
  <c r="S1682" i="6" s="1"/>
  <c r="S541" i="6" s="1"/>
  <c r="N2061" i="6"/>
  <c r="N562" i="6"/>
  <c r="R675" i="6"/>
  <c r="R680" i="6" s="1"/>
  <c r="R1965" i="6"/>
  <c r="O738" i="34"/>
  <c r="O740" i="34" s="1"/>
  <c r="O216" i="34" s="1"/>
  <c r="R1032" i="6"/>
  <c r="S1032" i="6" s="1"/>
  <c r="S252" i="6" s="1"/>
  <c r="R1294" i="6"/>
  <c r="S1294" i="6" s="1"/>
  <c r="O769" i="34"/>
  <c r="M394" i="6"/>
  <c r="M2058" i="6"/>
  <c r="R1850" i="6"/>
  <c r="S1850" i="6" s="1"/>
  <c r="S644" i="6" s="1"/>
  <c r="R572" i="6"/>
  <c r="R1361" i="6"/>
  <c r="S1361" i="6" s="1"/>
  <c r="R1200" i="6"/>
  <c r="S1200" i="6" s="1"/>
  <c r="R626" i="6"/>
  <c r="P365" i="6"/>
  <c r="P371" i="6" s="1"/>
  <c r="P1234" i="6"/>
  <c r="R1531" i="6"/>
  <c r="S1531" i="6" s="1"/>
  <c r="R319" i="6"/>
  <c r="W71" i="11"/>
  <c r="V77" i="11"/>
  <c r="R350" i="6"/>
  <c r="AJ239" i="10"/>
  <c r="AM239" i="10" s="1"/>
  <c r="P462" i="6"/>
  <c r="R137" i="6"/>
  <c r="R866" i="6"/>
  <c r="R868" i="6" s="1"/>
  <c r="O2054" i="6"/>
  <c r="O180" i="6"/>
  <c r="CP196" i="9"/>
  <c r="DC196" i="9"/>
  <c r="CP82" i="9"/>
  <c r="DC82" i="9"/>
  <c r="DC154" i="9"/>
  <c r="CP154" i="9"/>
  <c r="CP100" i="9"/>
  <c r="DC100" i="9"/>
  <c r="CP113" i="9"/>
  <c r="DC113" i="9"/>
  <c r="DC152" i="9"/>
  <c r="CP152" i="9"/>
  <c r="DC155" i="9"/>
  <c r="CP155" i="9"/>
  <c r="DC156" i="9"/>
  <c r="CP156" i="9"/>
  <c r="CP198" i="9"/>
  <c r="DC198" i="9"/>
  <c r="DB51" i="9"/>
  <c r="CO51" i="9"/>
  <c r="DC79" i="9"/>
  <c r="CP79" i="9"/>
  <c r="DC93" i="9"/>
  <c r="CP93" i="9"/>
  <c r="CP182" i="9"/>
  <c r="DC182" i="9"/>
  <c r="DC210" i="9"/>
  <c r="CP210" i="9"/>
  <c r="DC180" i="9"/>
  <c r="CP180" i="9"/>
  <c r="CP213" i="9"/>
  <c r="DC213" i="9"/>
  <c r="DC37" i="9"/>
  <c r="CP37" i="9"/>
  <c r="DB206" i="9"/>
  <c r="CO206" i="9"/>
  <c r="CP179" i="9"/>
  <c r="CQ179" i="9" s="1"/>
  <c r="DC179" i="9"/>
  <c r="DC21" i="9"/>
  <c r="CP21" i="9"/>
  <c r="DC203" i="9"/>
  <c r="CP203" i="9"/>
  <c r="CP36" i="9"/>
  <c r="DC36" i="9"/>
  <c r="CP121" i="9"/>
  <c r="DC121" i="9"/>
  <c r="CP115" i="9"/>
  <c r="DC115" i="9"/>
  <c r="CP110" i="9"/>
  <c r="DC110" i="9"/>
  <c r="DC141" i="9"/>
  <c r="CP141" i="9"/>
  <c r="DC153" i="9"/>
  <c r="CP153" i="9"/>
  <c r="DC128" i="9"/>
  <c r="CP128" i="9"/>
  <c r="DC147" i="9"/>
  <c r="CP147" i="9"/>
  <c r="DC217" i="9"/>
  <c r="CP217" i="9"/>
  <c r="G469" i="34"/>
  <c r="F79" i="42"/>
  <c r="G17" i="60" s="1"/>
  <c r="H247" i="4"/>
  <c r="I247" i="4" s="1"/>
  <c r="H864" i="4"/>
  <c r="I864" i="4" s="1"/>
  <c r="G519" i="34"/>
  <c r="G528" i="34" s="1"/>
  <c r="G544" i="34"/>
  <c r="F50" i="42"/>
  <c r="G468" i="34" s="1"/>
  <c r="U52" i="42"/>
  <c r="R102" i="42"/>
  <c r="S102" i="42" s="1"/>
  <c r="S100" i="42"/>
  <c r="G482" i="34"/>
  <c r="H776" i="4"/>
  <c r="I776" i="4" s="1"/>
  <c r="J89" i="14"/>
  <c r="K2057" i="6"/>
  <c r="K355" i="6"/>
  <c r="F24" i="34"/>
  <c r="F26" i="34" s="1"/>
  <c r="F152" i="15"/>
  <c r="G152" i="15" s="1"/>
  <c r="H30" i="4"/>
  <c r="I30" i="4" s="1"/>
  <c r="H23" i="4"/>
  <c r="I23" i="4" s="1"/>
  <c r="G518" i="34"/>
  <c r="G536" i="34"/>
  <c r="P1621" i="6"/>
  <c r="N116" i="3" s="1"/>
  <c r="N117" i="3" s="1"/>
  <c r="P7" i="7"/>
  <c r="P30" i="7" s="1"/>
  <c r="P108" i="7"/>
  <c r="P1141" i="7" s="1"/>
  <c r="Q132" i="7"/>
  <c r="R554" i="7"/>
  <c r="S554" i="7" s="1"/>
  <c r="S132" i="7" s="1"/>
  <c r="O777" i="34"/>
  <c r="Q263" i="7"/>
  <c r="Q267" i="7" s="1"/>
  <c r="Q11" i="7" s="1"/>
  <c r="R731" i="7"/>
  <c r="L22" i="42"/>
  <c r="M46" i="15"/>
  <c r="M15" i="15" s="1"/>
  <c r="M55" i="15"/>
  <c r="M24" i="15" s="1"/>
  <c r="O251" i="7"/>
  <c r="O1127" i="7"/>
  <c r="Q705" i="7"/>
  <c r="Q707" i="7" s="1"/>
  <c r="Q718" i="7" s="1"/>
  <c r="L72" i="3"/>
  <c r="O65" i="6"/>
  <c r="M69" i="3" s="1"/>
  <c r="BO143" i="9"/>
  <c r="U7" i="37" s="1"/>
  <c r="BJ219" i="9"/>
  <c r="BJ221" i="9" s="1"/>
  <c r="M232" i="3" s="1"/>
  <c r="O143" i="9"/>
  <c r="Q1082" i="6" s="1"/>
  <c r="Q289" i="6" s="1"/>
  <c r="DC122" i="9"/>
  <c r="BT122" i="9"/>
  <c r="V40" i="37"/>
  <c r="Q335" i="7"/>
  <c r="R868" i="7"/>
  <c r="S868" i="7" s="1"/>
  <c r="S335" i="7" s="1"/>
  <c r="L139" i="15"/>
  <c r="L163" i="15" s="1"/>
  <c r="L218" i="15"/>
  <c r="AE67" i="10"/>
  <c r="R448" i="7"/>
  <c r="S448" i="7" s="1"/>
  <c r="Q64" i="7"/>
  <c r="Q69" i="7" s="1"/>
  <c r="M14" i="13"/>
  <c r="Q10" i="7"/>
  <c r="T112" i="37"/>
  <c r="AG67" i="10"/>
  <c r="R906" i="7"/>
  <c r="S906" i="7" s="1"/>
  <c r="AM67" i="10" s="1"/>
  <c r="R234" i="7"/>
  <c r="R703" i="7"/>
  <c r="M224" i="9"/>
  <c r="M226" i="9" s="1"/>
  <c r="L80" i="13"/>
  <c r="R1106" i="7"/>
  <c r="S1106" i="7" s="1"/>
  <c r="Q1111" i="7"/>
  <c r="Q1155" i="7" s="1"/>
  <c r="Q418" i="7"/>
  <c r="Q424" i="7" s="1"/>
  <c r="Q42" i="7" s="1"/>
  <c r="K49" i="42"/>
  <c r="P289" i="6"/>
  <c r="R222" i="7"/>
  <c r="R676" i="7"/>
  <c r="R405" i="7"/>
  <c r="P111" i="3"/>
  <c r="R264" i="7"/>
  <c r="R135" i="7"/>
  <c r="R882" i="7"/>
  <c r="S882" i="7" s="1"/>
  <c r="S341" i="7" s="1"/>
  <c r="Q341" i="7"/>
  <c r="R355" i="7"/>
  <c r="R942" i="7"/>
  <c r="R67" i="7"/>
  <c r="P735" i="34"/>
  <c r="N599" i="34"/>
  <c r="N601" i="34" s="1"/>
  <c r="N242" i="34" s="1"/>
  <c r="O294" i="7"/>
  <c r="O22" i="7"/>
  <c r="O33" i="7" s="1"/>
  <c r="AI101" i="10"/>
  <c r="N296" i="7"/>
  <c r="N1145" i="7"/>
  <c r="M1130" i="7"/>
  <c r="M307" i="7"/>
  <c r="P776" i="34"/>
  <c r="R181" i="7"/>
  <c r="Q797" i="7"/>
  <c r="AC21" i="42" s="1"/>
  <c r="P807" i="7"/>
  <c r="P809" i="7" s="1"/>
  <c r="P811" i="7" s="1"/>
  <c r="P820" i="7" s="1"/>
  <c r="P285" i="7"/>
  <c r="P292" i="7" s="1"/>
  <c r="AF103" i="10"/>
  <c r="AH103" i="10" s="1"/>
  <c r="AH66" i="10"/>
  <c r="H389" i="7"/>
  <c r="I389" i="7" s="1"/>
  <c r="H1044" i="7"/>
  <c r="I1044" i="7" s="1"/>
  <c r="P778" i="34"/>
  <c r="R385" i="7"/>
  <c r="O198" i="5"/>
  <c r="O480" i="5"/>
  <c r="O482" i="5" s="1"/>
  <c r="N165" i="5"/>
  <c r="N468" i="5"/>
  <c r="R313" i="5"/>
  <c r="Q95" i="5"/>
  <c r="Q99" i="5" s="1"/>
  <c r="Q101" i="5" s="1"/>
  <c r="Q319" i="5"/>
  <c r="Q321" i="5" s="1"/>
  <c r="Q323" i="5" s="1"/>
  <c r="Q333" i="5" s="1"/>
  <c r="S248" i="48"/>
  <c r="K249" i="48"/>
  <c r="L251" i="48"/>
  <c r="L254" i="48"/>
  <c r="R419" i="5"/>
  <c r="R175" i="5"/>
  <c r="R180" i="5" s="1"/>
  <c r="G146" i="11"/>
  <c r="F161" i="11"/>
  <c r="E89" i="42"/>
  <c r="Q249" i="48"/>
  <c r="S224" i="48"/>
  <c r="S246" i="48"/>
  <c r="S244" i="48"/>
  <c r="S245" i="48"/>
  <c r="S223" i="48"/>
  <c r="K18" i="13"/>
  <c r="O12" i="5"/>
  <c r="Q388" i="5"/>
  <c r="Q390" i="5" s="1"/>
  <c r="Q399" i="5" s="1"/>
  <c r="R89" i="5"/>
  <c r="R91" i="5" s="1"/>
  <c r="R307" i="5"/>
  <c r="F180" i="34"/>
  <c r="P17" i="5"/>
  <c r="P506" i="5"/>
  <c r="O468" i="5"/>
  <c r="O165" i="5"/>
  <c r="O249" i="48"/>
  <c r="S241" i="48"/>
  <c r="S222" i="48"/>
  <c r="C249" i="48"/>
  <c r="J249" i="48"/>
  <c r="O26" i="5"/>
  <c r="P9" i="5"/>
  <c r="P27" i="5" s="1"/>
  <c r="P498" i="5"/>
  <c r="P501" i="5" s="1"/>
  <c r="P152" i="5"/>
  <c r="P478" i="5"/>
  <c r="P103" i="5"/>
  <c r="R124" i="5"/>
  <c r="R131" i="5" s="1"/>
  <c r="R361" i="5"/>
  <c r="F6" i="34"/>
  <c r="F10" i="34" s="1"/>
  <c r="F19" i="34" s="1"/>
  <c r="E249" i="48"/>
  <c r="R138" i="5"/>
  <c r="R150" i="5" s="1"/>
  <c r="R386" i="5"/>
  <c r="Q8" i="5"/>
  <c r="Q497" i="5"/>
  <c r="O467" i="5"/>
  <c r="O114" i="5"/>
  <c r="O342" i="4"/>
  <c r="M8" i="12" s="1"/>
  <c r="L11" i="12"/>
  <c r="J102" i="3"/>
  <c r="R6" i="11"/>
  <c r="K254" i="3"/>
  <c r="K683" i="34"/>
  <c r="K198" i="34" s="1"/>
  <c r="E73" i="42"/>
  <c r="E14" i="42"/>
  <c r="M82" i="4"/>
  <c r="M7" i="4"/>
  <c r="D310" i="34"/>
  <c r="P834" i="4"/>
  <c r="P836" i="4" s="1"/>
  <c r="P843" i="4" s="1"/>
  <c r="M850" i="4"/>
  <c r="M153" i="4"/>
  <c r="P222" i="4"/>
  <c r="K95" i="4"/>
  <c r="K849" i="4"/>
  <c r="R802" i="4"/>
  <c r="S802" i="4" s="1"/>
  <c r="Q833" i="4"/>
  <c r="Q289" i="4"/>
  <c r="N207" i="4"/>
  <c r="N851" i="4"/>
  <c r="O115" i="3"/>
  <c r="R507" i="4"/>
  <c r="T39" i="10"/>
  <c r="M417" i="4"/>
  <c r="V7" i="10"/>
  <c r="D293" i="34"/>
  <c r="P246" i="4"/>
  <c r="R723" i="4"/>
  <c r="S723" i="4" s="1"/>
  <c r="Q728" i="4"/>
  <c r="AC8" i="42" s="1"/>
  <c r="Q217" i="4"/>
  <c r="Q264" i="4" s="1"/>
  <c r="C296" i="34"/>
  <c r="C525" i="34"/>
  <c r="O10" i="4"/>
  <c r="I40" i="3"/>
  <c r="K900" i="4"/>
  <c r="R811" i="4"/>
  <c r="Q291" i="4"/>
  <c r="P127" i="4"/>
  <c r="P162" i="4" s="1"/>
  <c r="P650" i="4"/>
  <c r="P652" i="4" s="1"/>
  <c r="P659" i="4" s="1"/>
  <c r="N59" i="4"/>
  <c r="N346" i="4"/>
  <c r="N410" i="4" s="1"/>
  <c r="N412" i="4" s="1"/>
  <c r="L84" i="4"/>
  <c r="L861" i="4"/>
  <c r="R350" i="4"/>
  <c r="S350" i="4" s="1"/>
  <c r="Q65" i="4"/>
  <c r="Q408" i="4"/>
  <c r="R761" i="4"/>
  <c r="S761" i="4" s="1"/>
  <c r="Q766" i="4"/>
  <c r="Q241" i="4"/>
  <c r="R785" i="4"/>
  <c r="S785" i="4" s="1"/>
  <c r="Q278" i="4"/>
  <c r="Q798" i="4"/>
  <c r="M8" i="42"/>
  <c r="M70" i="42" s="1"/>
  <c r="O8" i="60" s="1"/>
  <c r="N40" i="15"/>
  <c r="N9" i="15" s="1"/>
  <c r="AB70" i="42"/>
  <c r="O34" i="60" s="1"/>
  <c r="R496" i="4"/>
  <c r="S496" i="4" s="1"/>
  <c r="Q121" i="4"/>
  <c r="Q159" i="4" s="1"/>
  <c r="Q581" i="4"/>
  <c r="N143" i="4"/>
  <c r="N862" i="4"/>
  <c r="P297" i="4"/>
  <c r="P21" i="4" s="1"/>
  <c r="N54" i="15"/>
  <c r="N23" i="15" s="1"/>
  <c r="AB81" i="42"/>
  <c r="O45" i="60" s="1"/>
  <c r="M21" i="42"/>
  <c r="M81" i="42" s="1"/>
  <c r="O19" i="60" s="1"/>
  <c r="P80" i="4"/>
  <c r="P17" i="4" s="1"/>
  <c r="O6" i="12"/>
  <c r="L90" i="4"/>
  <c r="L41" i="4" s="1"/>
  <c r="L422" i="4"/>
  <c r="K201" i="34"/>
  <c r="K793" i="34"/>
  <c r="K804" i="34" s="1"/>
  <c r="R618" i="4"/>
  <c r="S618" i="4" s="1"/>
  <c r="Q649" i="4"/>
  <c r="L27" i="4"/>
  <c r="J80" i="42"/>
  <c r="L18" i="60" s="1"/>
  <c r="K529" i="34"/>
  <c r="L682" i="34"/>
  <c r="L689" i="34"/>
  <c r="Q699" i="4"/>
  <c r="Q701" i="4" s="1"/>
  <c r="R681" i="4"/>
  <c r="S681" i="4" s="1"/>
  <c r="S181" i="4" s="1"/>
  <c r="Q181" i="4"/>
  <c r="R634" i="4"/>
  <c r="S634" i="4" s="1"/>
  <c r="R453" i="4"/>
  <c r="S453" i="4" s="1"/>
  <c r="Q111" i="4"/>
  <c r="R365" i="4"/>
  <c r="Q129" i="4"/>
  <c r="J901" i="4"/>
  <c r="H48" i="3"/>
  <c r="N12" i="11"/>
  <c r="O393" i="34"/>
  <c r="O510" i="34" s="1"/>
  <c r="O570" i="34"/>
  <c r="P337" i="34"/>
  <c r="H17" i="60" l="1"/>
  <c r="Q824" i="34"/>
  <c r="Q814" i="34"/>
  <c r="Q258" i="3" s="1"/>
  <c r="Q794" i="34"/>
  <c r="Q800" i="34" s="1"/>
  <c r="AK184" i="10"/>
  <c r="AT184" i="10"/>
  <c r="AM185" i="10"/>
  <c r="AN185" i="10" s="1"/>
  <c r="AM108" i="11" s="1"/>
  <c r="CC128" i="9"/>
  <c r="CD128" i="9" s="1"/>
  <c r="Q582" i="34"/>
  <c r="Q584" i="34" s="1"/>
  <c r="Q608" i="34"/>
  <c r="AM184" i="10"/>
  <c r="CC127" i="9"/>
  <c r="CD127" i="9" s="1"/>
  <c r="P288" i="3"/>
  <c r="R70" i="1"/>
  <c r="Q288" i="3" s="1"/>
  <c r="AM186" i="10"/>
  <c r="AN186" i="10" s="1"/>
  <c r="AM109" i="11" s="1"/>
  <c r="AN109" i="11" s="1"/>
  <c r="CC129" i="9"/>
  <c r="CD129" i="9" s="1"/>
  <c r="S131" i="5"/>
  <c r="BY127" i="9"/>
  <c r="BX143" i="9"/>
  <c r="AK185" i="10"/>
  <c r="AT185" i="10"/>
  <c r="BQ73" i="21"/>
  <c r="R877" i="6"/>
  <c r="R177" i="6" s="1"/>
  <c r="R64" i="6" s="1"/>
  <c r="P61" i="3" s="1"/>
  <c r="Q114" i="1"/>
  <c r="Q117" i="1" s="1"/>
  <c r="F438" i="34"/>
  <c r="P89" i="17"/>
  <c r="P34" i="17" s="1"/>
  <c r="BH45" i="42" s="1"/>
  <c r="BH47" i="42" s="1"/>
  <c r="F676" i="34"/>
  <c r="F281" i="34" s="1"/>
  <c r="S64" i="6"/>
  <c r="Q65" i="6"/>
  <c r="N617" i="6"/>
  <c r="S871" i="6"/>
  <c r="S1767" i="6"/>
  <c r="Q1206" i="6"/>
  <c r="Q1217" i="6" s="1"/>
  <c r="CD82" i="9"/>
  <c r="Q40" i="6"/>
  <c r="S1509" i="6"/>
  <c r="S448" i="6"/>
  <c r="S454" i="6" s="1"/>
  <c r="S709" i="6"/>
  <c r="P15" i="58"/>
  <c r="S422" i="6"/>
  <c r="Q113" i="3"/>
  <c r="S2023" i="6"/>
  <c r="S645" i="6"/>
  <c r="S1701" i="6"/>
  <c r="S545" i="6"/>
  <c r="S550" i="6" s="1"/>
  <c r="S408" i="6"/>
  <c r="S1299" i="6"/>
  <c r="Q769" i="34"/>
  <c r="S1403" i="6"/>
  <c r="Q771" i="34" s="1"/>
  <c r="S412" i="6"/>
  <c r="S1228" i="6"/>
  <c r="S1257" i="6"/>
  <c r="S375" i="6"/>
  <c r="S379" i="6" s="1"/>
  <c r="S27" i="6" s="1"/>
  <c r="X20" i="26"/>
  <c r="S494" i="6"/>
  <c r="S1008" i="6"/>
  <c r="S216" i="6"/>
  <c r="S222" i="6" s="1"/>
  <c r="S1007" i="6"/>
  <c r="S1813" i="6"/>
  <c r="S167" i="6"/>
  <c r="S1539" i="6"/>
  <c r="S409" i="6"/>
  <c r="S1205" i="6"/>
  <c r="S338" i="6"/>
  <c r="S1570" i="6"/>
  <c r="S444" i="6"/>
  <c r="Q724" i="34"/>
  <c r="S155" i="6"/>
  <c r="S164" i="6" s="1"/>
  <c r="Q764" i="34"/>
  <c r="S1035" i="6"/>
  <c r="S246" i="6"/>
  <c r="S254" i="6" s="1"/>
  <c r="S9" i="6" s="1"/>
  <c r="S190" i="6"/>
  <c r="S196" i="6" s="1"/>
  <c r="S970" i="6"/>
  <c r="S713" i="6"/>
  <c r="P18" i="58"/>
  <c r="Q766" i="34"/>
  <c r="S308" i="6"/>
  <c r="S314" i="6" s="1"/>
  <c r="S1105" i="6"/>
  <c r="S1670" i="6"/>
  <c r="Q761" i="34"/>
  <c r="S533" i="6"/>
  <c r="S535" i="6" s="1"/>
  <c r="S1990" i="6"/>
  <c r="P9" i="58" s="1"/>
  <c r="S698" i="6"/>
  <c r="S1074" i="6"/>
  <c r="S272" i="6"/>
  <c r="S726" i="6"/>
  <c r="P22" i="58"/>
  <c r="P21" i="58"/>
  <c r="S1141" i="6"/>
  <c r="S221" i="6"/>
  <c r="S634" i="6"/>
  <c r="S584" i="6"/>
  <c r="S600" i="6" s="1"/>
  <c r="S31" i="6" s="1"/>
  <c r="S433" i="6"/>
  <c r="S435" i="6" s="1"/>
  <c r="S1698" i="6"/>
  <c r="S540" i="6"/>
  <c r="S785" i="6"/>
  <c r="S767" i="6"/>
  <c r="Q763" i="34"/>
  <c r="S78" i="6"/>
  <c r="S81" i="6" s="1"/>
  <c r="S103" i="6"/>
  <c r="S803" i="6"/>
  <c r="S1144" i="6"/>
  <c r="S337" i="6"/>
  <c r="S1643" i="6"/>
  <c r="S506" i="6"/>
  <c r="S511" i="6" s="1"/>
  <c r="S1506" i="6"/>
  <c r="S1508" i="6" s="1"/>
  <c r="S445" i="6"/>
  <c r="X21" i="26"/>
  <c r="S697" i="6"/>
  <c r="P6" i="58"/>
  <c r="S1768" i="6"/>
  <c r="S576" i="6"/>
  <c r="S1202" i="6"/>
  <c r="S1204" i="6" s="1"/>
  <c r="S1004" i="6"/>
  <c r="S183" i="7"/>
  <c r="S8" i="7" s="1"/>
  <c r="R1044" i="7"/>
  <c r="Q400" i="7"/>
  <c r="Q13" i="7" s="1"/>
  <c r="M252" i="3"/>
  <c r="R106" i="7"/>
  <c r="AT66" i="10"/>
  <c r="S277" i="7"/>
  <c r="S32" i="7"/>
  <c r="S238" i="7"/>
  <c r="S240" i="7" s="1"/>
  <c r="S1127" i="7" s="1"/>
  <c r="S705" i="7"/>
  <c r="S707" i="7" s="1"/>
  <c r="S718" i="7" s="1"/>
  <c r="S130" i="7"/>
  <c r="AE7" i="42"/>
  <c r="S1000" i="7"/>
  <c r="S1153" i="7" s="1"/>
  <c r="Q5" i="3" s="1"/>
  <c r="S354" i="7"/>
  <c r="S360" i="7" s="1"/>
  <c r="S38" i="7" s="1"/>
  <c r="R316" i="7"/>
  <c r="S831" i="7"/>
  <c r="R388" i="7"/>
  <c r="S1039" i="7"/>
  <c r="S388" i="7" s="1"/>
  <c r="S456" i="7"/>
  <c r="S64" i="7"/>
  <c r="S69" i="7" s="1"/>
  <c r="R737" i="7"/>
  <c r="S731" i="7"/>
  <c r="S263" i="7" s="1"/>
  <c r="S852" i="7"/>
  <c r="AI127" i="10"/>
  <c r="R189" i="7"/>
  <c r="S637" i="7"/>
  <c r="S189" i="7" s="1"/>
  <c r="R397" i="7"/>
  <c r="S1041" i="7"/>
  <c r="S397" i="7" s="1"/>
  <c r="R384" i="7"/>
  <c r="S1021" i="7"/>
  <c r="S52" i="7"/>
  <c r="Q67" i="3" s="1"/>
  <c r="AM66" i="10"/>
  <c r="Q735" i="34"/>
  <c r="S1111" i="7"/>
  <c r="S1155" i="7" s="1"/>
  <c r="S418" i="7"/>
  <c r="S424" i="7" s="1"/>
  <c r="S42" i="7" s="1"/>
  <c r="P14" i="13" s="1"/>
  <c r="S926" i="7"/>
  <c r="AJ127" i="10"/>
  <c r="AT127" i="10" s="1"/>
  <c r="R149" i="7"/>
  <c r="S580" i="7"/>
  <c r="S149" i="7" s="1"/>
  <c r="R323" i="7"/>
  <c r="S855" i="7"/>
  <c r="S323" i="7" s="1"/>
  <c r="S944" i="7"/>
  <c r="S1157" i="7" s="1"/>
  <c r="S342" i="7"/>
  <c r="S362" i="7" s="1"/>
  <c r="S40" i="7" s="1"/>
  <c r="P13" i="13" s="1"/>
  <c r="P49" i="13" s="1"/>
  <c r="S529" i="7"/>
  <c r="S75" i="7"/>
  <c r="S106" i="7" s="1"/>
  <c r="S19" i="7" s="1"/>
  <c r="S618" i="7"/>
  <c r="AJ65" i="10"/>
  <c r="AT65" i="10" s="1"/>
  <c r="S904" i="7"/>
  <c r="R289" i="7"/>
  <c r="S801" i="7"/>
  <c r="S289" i="7" s="1"/>
  <c r="R387" i="7"/>
  <c r="S1038" i="7"/>
  <c r="S387" i="7" s="1"/>
  <c r="S737" i="7"/>
  <c r="S265" i="7"/>
  <c r="S261" i="7"/>
  <c r="S272" i="7"/>
  <c r="S576" i="7"/>
  <c r="S138" i="7"/>
  <c r="CA219" i="9"/>
  <c r="CA221" i="9" s="1"/>
  <c r="CD139" i="9"/>
  <c r="BU82" i="9"/>
  <c r="K153" i="14"/>
  <c r="BH12" i="42"/>
  <c r="S390" i="8"/>
  <c r="BI12" i="42" s="1"/>
  <c r="R122" i="8"/>
  <c r="S454" i="8"/>
  <c r="S122" i="8" s="1"/>
  <c r="R109" i="8"/>
  <c r="S375" i="8"/>
  <c r="S109" i="8" s="1"/>
  <c r="R106" i="8"/>
  <c r="BH7" i="42" s="1"/>
  <c r="S356" i="8"/>
  <c r="S106" i="8" s="1"/>
  <c r="BI7" i="42" s="1"/>
  <c r="Q622" i="34" s="1"/>
  <c r="Q623" i="34" s="1"/>
  <c r="Q625" i="34" s="1"/>
  <c r="Q246" i="34" s="1"/>
  <c r="Q82" i="15"/>
  <c r="Q493" i="34"/>
  <c r="S84" i="8"/>
  <c r="S20" i="8"/>
  <c r="Q25" i="16"/>
  <c r="Q10" i="16" s="1"/>
  <c r="S132" i="8"/>
  <c r="Q746" i="34"/>
  <c r="P45" i="42"/>
  <c r="S148" i="8"/>
  <c r="Q25" i="17"/>
  <c r="Q10" i="17" s="1"/>
  <c r="R121" i="8"/>
  <c r="S440" i="8"/>
  <c r="R107" i="8"/>
  <c r="BH8" i="42" s="1"/>
  <c r="P102" i="15" s="1"/>
  <c r="S363" i="8"/>
  <c r="S107" i="8" s="1"/>
  <c r="BI8" i="42" s="1"/>
  <c r="Q102" i="15" s="1"/>
  <c r="S120" i="8"/>
  <c r="R131" i="8"/>
  <c r="S499" i="8"/>
  <c r="S131" i="8" s="1"/>
  <c r="Q321" i="34"/>
  <c r="Q394" i="34"/>
  <c r="BI11" i="42"/>
  <c r="Q105" i="15" s="1"/>
  <c r="R43" i="8"/>
  <c r="AS7" i="42" s="1"/>
  <c r="S173" i="8"/>
  <c r="R44" i="8"/>
  <c r="AS8" i="42" s="1"/>
  <c r="P71" i="15" s="1"/>
  <c r="S177" i="8"/>
  <c r="S44" i="8" s="1"/>
  <c r="AT8" i="42" s="1"/>
  <c r="Q71" i="15" s="1"/>
  <c r="S150" i="5"/>
  <c r="S18" i="5" s="1"/>
  <c r="S27" i="5" s="1"/>
  <c r="S16" i="5"/>
  <c r="S505" i="5"/>
  <c r="S66" i="5"/>
  <c r="S507" i="5"/>
  <c r="S498" i="5"/>
  <c r="S9" i="5"/>
  <c r="R16" i="5"/>
  <c r="R505" i="5"/>
  <c r="P112" i="3"/>
  <c r="S313" i="5"/>
  <c r="S486" i="5"/>
  <c r="S192" i="5"/>
  <c r="S451" i="5"/>
  <c r="S448" i="5"/>
  <c r="S25" i="5"/>
  <c r="S259" i="5"/>
  <c r="S261" i="5" s="1"/>
  <c r="S263" i="5" s="1"/>
  <c r="S274" i="5" s="1"/>
  <c r="S180" i="5"/>
  <c r="S361" i="5"/>
  <c r="S8" i="5"/>
  <c r="S497" i="5"/>
  <c r="S386" i="5"/>
  <c r="S419" i="5"/>
  <c r="S450" i="5" s="1"/>
  <c r="S452" i="5" s="1"/>
  <c r="S460" i="5" s="1"/>
  <c r="S109" i="4"/>
  <c r="AJ15" i="11"/>
  <c r="AK15" i="11" s="1"/>
  <c r="AL15" i="11" s="1"/>
  <c r="AN15" i="11" s="1"/>
  <c r="S418" i="4"/>
  <c r="S91" i="4" s="1"/>
  <c r="S42" i="4" s="1"/>
  <c r="S901" i="4" s="1"/>
  <c r="AM39" i="10"/>
  <c r="R69" i="4"/>
  <c r="R76" i="4" s="1"/>
  <c r="S615" i="4"/>
  <c r="S110" i="4" s="1"/>
  <c r="S649" i="4"/>
  <c r="S135" i="4"/>
  <c r="AI236" i="10"/>
  <c r="AS236" i="10" s="1"/>
  <c r="S454" i="4"/>
  <c r="AL236" i="10" s="1"/>
  <c r="S365" i="4"/>
  <c r="S766" i="4"/>
  <c r="S241" i="4"/>
  <c r="S246" i="4" s="1"/>
  <c r="S111" i="4"/>
  <c r="S278" i="4"/>
  <c r="S284" i="4" s="1"/>
  <c r="S798" i="4"/>
  <c r="P115" i="3"/>
  <c r="S507" i="4"/>
  <c r="Q115" i="3" s="1"/>
  <c r="S835" i="4"/>
  <c r="S295" i="4"/>
  <c r="S300" i="4" s="1"/>
  <c r="S180" i="4"/>
  <c r="R130" i="4"/>
  <c r="S570" i="4"/>
  <c r="S130" i="4" s="1"/>
  <c r="R292" i="4"/>
  <c r="S828" i="4"/>
  <c r="S292" i="4" s="1"/>
  <c r="R113" i="4"/>
  <c r="S447" i="4"/>
  <c r="S58" i="4"/>
  <c r="Q773" i="34"/>
  <c r="S699" i="4"/>
  <c r="S183" i="4"/>
  <c r="S65" i="4"/>
  <c r="R291" i="4"/>
  <c r="S811" i="4"/>
  <c r="S291" i="4" s="1"/>
  <c r="S728" i="4"/>
  <c r="S217" i="4"/>
  <c r="S264" i="4" s="1"/>
  <c r="S289" i="4"/>
  <c r="S702" i="4"/>
  <c r="S190" i="4"/>
  <c r="S195" i="4" s="1"/>
  <c r="S651" i="4"/>
  <c r="S136" i="4"/>
  <c r="R137" i="4"/>
  <c r="S578" i="4"/>
  <c r="S137" i="4" s="1"/>
  <c r="S174" i="4"/>
  <c r="S176" i="4" s="1"/>
  <c r="S672" i="4"/>
  <c r="Q760" i="34"/>
  <c r="S105" i="4"/>
  <c r="S158" i="4" s="1"/>
  <c r="AG11" i="54"/>
  <c r="AG18" i="54" s="1"/>
  <c r="AG20" i="54" s="1"/>
  <c r="S902" i="4"/>
  <c r="Q62" i="3"/>
  <c r="Q199" i="15"/>
  <c r="Q144" i="15" s="1"/>
  <c r="AE41" i="42"/>
  <c r="P41" i="42" s="1"/>
  <c r="S1517" i="6"/>
  <c r="S462" i="6" s="1"/>
  <c r="BZ173" i="9"/>
  <c r="BZ219" i="9"/>
  <c r="BZ221" i="9" s="1"/>
  <c r="L333" i="6"/>
  <c r="L340" i="6" s="1"/>
  <c r="L1141" i="6"/>
  <c r="L1143" i="6" s="1"/>
  <c r="L1145" i="6" s="1"/>
  <c r="DD156" i="9"/>
  <c r="CQ156" i="9"/>
  <c r="DE156" i="9" s="1"/>
  <c r="Q179" i="9"/>
  <c r="R1382" i="6"/>
  <c r="CD100" i="9"/>
  <c r="S949" i="6"/>
  <c r="S178" i="6" s="1"/>
  <c r="DD36" i="9"/>
  <c r="CQ36" i="9"/>
  <c r="DE36" i="9" s="1"/>
  <c r="DD137" i="9"/>
  <c r="CQ137" i="9"/>
  <c r="DE137" i="9" s="1"/>
  <c r="CD115" i="9"/>
  <c r="DC33" i="9"/>
  <c r="CP33" i="9"/>
  <c r="CC66" i="9"/>
  <c r="DD37" i="9"/>
  <c r="CQ37" i="9"/>
  <c r="DE37" i="9" s="1"/>
  <c r="DD79" i="9"/>
  <c r="CQ79" i="9"/>
  <c r="DE79" i="9" s="1"/>
  <c r="CD110" i="9"/>
  <c r="CD182" i="9"/>
  <c r="K218" i="14"/>
  <c r="S37" i="14"/>
  <c r="DD21" i="9"/>
  <c r="CQ21" i="9"/>
  <c r="DE21" i="9" s="1"/>
  <c r="S592" i="4"/>
  <c r="S151" i="4" s="1"/>
  <c r="CD7" i="9"/>
  <c r="CS116" i="22"/>
  <c r="CF116" i="22"/>
  <c r="CS138" i="22"/>
  <c r="CF138" i="22"/>
  <c r="CS95" i="22"/>
  <c r="CF95" i="22"/>
  <c r="CS101" i="22"/>
  <c r="CF101" i="22"/>
  <c r="CS114" i="22"/>
  <c r="CF114" i="22"/>
  <c r="CS96" i="22"/>
  <c r="CF96" i="22"/>
  <c r="CS43" i="22"/>
  <c r="CF43" i="22"/>
  <c r="CS127" i="22"/>
  <c r="CF127" i="22"/>
  <c r="CS59" i="22"/>
  <c r="CF59" i="22"/>
  <c r="CS52" i="22"/>
  <c r="CF52" i="22"/>
  <c r="CS122" i="22"/>
  <c r="CF122" i="22"/>
  <c r="CS71" i="22"/>
  <c r="CF71" i="22"/>
  <c r="CS51" i="22"/>
  <c r="CF51" i="22"/>
  <c r="CS69" i="22"/>
  <c r="CF69" i="22"/>
  <c r="CS72" i="22"/>
  <c r="CF72" i="22"/>
  <c r="CS11" i="22"/>
  <c r="CF11" i="22"/>
  <c r="CS76" i="22"/>
  <c r="CF76" i="22"/>
  <c r="CS9" i="22"/>
  <c r="CF9" i="22"/>
  <c r="CS81" i="22"/>
  <c r="CF81" i="22"/>
  <c r="CS131" i="22"/>
  <c r="CF131" i="22"/>
  <c r="CS120" i="22"/>
  <c r="CF120" i="22"/>
  <c r="CS121" i="22"/>
  <c r="CF121" i="22"/>
  <c r="CS53" i="22"/>
  <c r="CF53" i="22"/>
  <c r="CS37" i="22"/>
  <c r="CF37" i="22"/>
  <c r="CS41" i="22"/>
  <c r="CF41" i="22"/>
  <c r="CS123" i="22"/>
  <c r="CF123" i="22"/>
  <c r="CS97" i="22"/>
  <c r="CF97" i="22"/>
  <c r="CS128" i="22"/>
  <c r="CF128" i="22"/>
  <c r="CS100" i="22"/>
  <c r="CF100" i="22"/>
  <c r="CS47" i="22"/>
  <c r="CF47" i="22"/>
  <c r="CS36" i="22"/>
  <c r="CF36" i="22"/>
  <c r="CS83" i="22"/>
  <c r="CF83" i="22"/>
  <c r="CS119" i="22"/>
  <c r="CF119" i="22"/>
  <c r="CS19" i="22"/>
  <c r="CF19" i="22"/>
  <c r="CS42" i="22"/>
  <c r="CF42" i="22"/>
  <c r="CS78" i="22"/>
  <c r="CF78" i="22"/>
  <c r="Q549" i="6"/>
  <c r="Q2081" i="6" s="1"/>
  <c r="Q107" i="6"/>
  <c r="Q109" i="6" s="1"/>
  <c r="Q1767" i="6"/>
  <c r="Q1771" i="6" s="1"/>
  <c r="AG246" i="10" s="1"/>
  <c r="Q1777" i="6" s="1"/>
  <c r="Q613" i="6" s="1"/>
  <c r="Q220" i="6"/>
  <c r="Q2075" i="6" s="1"/>
  <c r="Q61" i="3"/>
  <c r="P116" i="40"/>
  <c r="R114" i="1"/>
  <c r="R117" i="1" s="1"/>
  <c r="CS74" i="21"/>
  <c r="CR17" i="21"/>
  <c r="CR40" i="21"/>
  <c r="CR57" i="21"/>
  <c r="CR23" i="21"/>
  <c r="CR8" i="21"/>
  <c r="CR35" i="21"/>
  <c r="CR9" i="21"/>
  <c r="CR7" i="21"/>
  <c r="CR14" i="21"/>
  <c r="CR46" i="21"/>
  <c r="CR56" i="21"/>
  <c r="CR50" i="21"/>
  <c r="CR15" i="21"/>
  <c r="CR70" i="21"/>
  <c r="CR45" i="21"/>
  <c r="CR58" i="21"/>
  <c r="I82" i="3"/>
  <c r="Q83" i="21"/>
  <c r="I118" i="17"/>
  <c r="J123" i="14"/>
  <c r="J243" i="4"/>
  <c r="J245" i="4" s="1"/>
  <c r="AJ122" i="10"/>
  <c r="AT122" i="10" s="1"/>
  <c r="DD147" i="9"/>
  <c r="CQ147" i="9"/>
  <c r="DE147" i="9" s="1"/>
  <c r="DD153" i="9"/>
  <c r="CQ153" i="9"/>
  <c r="DE153" i="9" s="1"/>
  <c r="DD203" i="9"/>
  <c r="CQ203" i="9"/>
  <c r="DE203" i="9" s="1"/>
  <c r="DD180" i="9"/>
  <c r="CQ180" i="9"/>
  <c r="DE180" i="9" s="1"/>
  <c r="DD155" i="9"/>
  <c r="CQ155" i="9"/>
  <c r="DE155" i="9" s="1"/>
  <c r="DD154" i="9"/>
  <c r="CQ154" i="9"/>
  <c r="DE154" i="9" s="1"/>
  <c r="DD130" i="9"/>
  <c r="CQ130" i="9"/>
  <c r="DE130" i="9" s="1"/>
  <c r="DD44" i="9"/>
  <c r="CQ44" i="9"/>
  <c r="DE44" i="9" s="1"/>
  <c r="DD194" i="9"/>
  <c r="CQ194" i="9"/>
  <c r="DE194" i="9" s="1"/>
  <c r="DD159" i="9"/>
  <c r="CQ159" i="9"/>
  <c r="DE159" i="9" s="1"/>
  <c r="DD110" i="9"/>
  <c r="CQ110" i="9"/>
  <c r="DE110" i="9" s="1"/>
  <c r="DD121" i="9"/>
  <c r="CQ121" i="9"/>
  <c r="DE121" i="9" s="1"/>
  <c r="DD182" i="9"/>
  <c r="CQ182" i="9"/>
  <c r="DE182" i="9" s="1"/>
  <c r="DD198" i="9"/>
  <c r="CQ198" i="9"/>
  <c r="DE198" i="9" s="1"/>
  <c r="DD113" i="9"/>
  <c r="CQ113" i="9"/>
  <c r="DE113" i="9" s="1"/>
  <c r="DD196" i="9"/>
  <c r="CQ196" i="9"/>
  <c r="DE196" i="9" s="1"/>
  <c r="DD211" i="9"/>
  <c r="CQ211" i="9"/>
  <c r="DE211" i="9" s="1"/>
  <c r="DD212" i="9"/>
  <c r="CQ212" i="9"/>
  <c r="DE212" i="9" s="1"/>
  <c r="DD197" i="9"/>
  <c r="CQ197" i="9"/>
  <c r="DE197" i="9" s="1"/>
  <c r="DD101" i="9"/>
  <c r="CQ101" i="9"/>
  <c r="DE101" i="9" s="1"/>
  <c r="DD193" i="9"/>
  <c r="CQ193" i="9"/>
  <c r="DE193" i="9" s="1"/>
  <c r="DD217" i="9"/>
  <c r="CQ217" i="9"/>
  <c r="DE217" i="9" s="1"/>
  <c r="DD128" i="9"/>
  <c r="CQ128" i="9"/>
  <c r="DE128" i="9" s="1"/>
  <c r="DD141" i="9"/>
  <c r="CQ141" i="9"/>
  <c r="DE141" i="9" s="1"/>
  <c r="DD210" i="9"/>
  <c r="CQ210" i="9"/>
  <c r="DE210" i="9" s="1"/>
  <c r="DD93" i="9"/>
  <c r="CQ93" i="9"/>
  <c r="DE93" i="9" s="1"/>
  <c r="DD152" i="9"/>
  <c r="CQ152" i="9"/>
  <c r="DE152" i="9" s="1"/>
  <c r="DD151" i="9"/>
  <c r="CQ151" i="9"/>
  <c r="DE151" i="9" s="1"/>
  <c r="DD214" i="9"/>
  <c r="CQ214" i="9"/>
  <c r="DE214" i="9" s="1"/>
  <c r="DD215" i="9"/>
  <c r="CQ215" i="9"/>
  <c r="DE215" i="9" s="1"/>
  <c r="DD149" i="9"/>
  <c r="CQ149" i="9"/>
  <c r="DE149" i="9" s="1"/>
  <c r="DD166" i="9"/>
  <c r="CQ166" i="9"/>
  <c r="DE166" i="9" s="1"/>
  <c r="DD83" i="9"/>
  <c r="CQ83" i="9"/>
  <c r="DE83" i="9" s="1"/>
  <c r="DD161" i="9"/>
  <c r="CQ161" i="9"/>
  <c r="DE161" i="9" s="1"/>
  <c r="DD70" i="9"/>
  <c r="CQ70" i="9"/>
  <c r="DE70" i="9" s="1"/>
  <c r="DD119" i="9"/>
  <c r="CQ119" i="9"/>
  <c r="DE119" i="9" s="1"/>
  <c r="DD115" i="9"/>
  <c r="CQ115" i="9"/>
  <c r="DE115" i="9" s="1"/>
  <c r="DD213" i="9"/>
  <c r="CQ213" i="9"/>
  <c r="DE213" i="9" s="1"/>
  <c r="DD100" i="9"/>
  <c r="CQ100" i="9"/>
  <c r="DE100" i="9" s="1"/>
  <c r="DD82" i="9"/>
  <c r="CQ82" i="9"/>
  <c r="DE82" i="9" s="1"/>
  <c r="DD163" i="9"/>
  <c r="CQ163" i="9"/>
  <c r="DE163" i="9" s="1"/>
  <c r="DD45" i="9"/>
  <c r="CQ45" i="9"/>
  <c r="DE45" i="9" s="1"/>
  <c r="DD96" i="9"/>
  <c r="CQ96" i="9"/>
  <c r="DE96" i="9" s="1"/>
  <c r="DD62" i="9"/>
  <c r="CQ62" i="9"/>
  <c r="DE62" i="9" s="1"/>
  <c r="DD99" i="9"/>
  <c r="CQ99" i="9"/>
  <c r="DE99" i="9" s="1"/>
  <c r="Q225" i="9"/>
  <c r="Q1383" i="6"/>
  <c r="R688" i="6"/>
  <c r="Q209" i="9"/>
  <c r="Q343" i="6"/>
  <c r="Q12" i="6"/>
  <c r="Q44" i="6" s="1"/>
  <c r="Q453" i="6"/>
  <c r="Q38" i="6"/>
  <c r="Q603" i="6"/>
  <c r="Q2091" i="6" s="1"/>
  <c r="Q53" i="6" s="1"/>
  <c r="Q578" i="6"/>
  <c r="Q1621" i="6"/>
  <c r="Q10" i="6"/>
  <c r="Q23" i="6"/>
  <c r="Q39" i="6" s="1"/>
  <c r="Q166" i="6"/>
  <c r="Q2090" i="6"/>
  <c r="Q52" i="6" s="1"/>
  <c r="Q223" i="6"/>
  <c r="Q46" i="6"/>
  <c r="Q381" i="6"/>
  <c r="Q11" i="6"/>
  <c r="Q43" i="6" s="1"/>
  <c r="R541" i="6"/>
  <c r="R654" i="6"/>
  <c r="W21" i="26"/>
  <c r="R664" i="6"/>
  <c r="R666" i="6"/>
  <c r="R1734" i="6"/>
  <c r="R659" i="6"/>
  <c r="R644" i="6"/>
  <c r="R323" i="6"/>
  <c r="R660" i="6"/>
  <c r="R702" i="6"/>
  <c r="AD12" i="42" s="1"/>
  <c r="R629" i="6"/>
  <c r="R584" i="6"/>
  <c r="R665" i="6"/>
  <c r="R1202" i="6"/>
  <c r="R1204" i="6" s="1"/>
  <c r="R252" i="6"/>
  <c r="R155" i="6"/>
  <c r="R633" i="6"/>
  <c r="R484" i="6"/>
  <c r="R668" i="6"/>
  <c r="R721" i="6"/>
  <c r="R699" i="6"/>
  <c r="R630" i="6"/>
  <c r="R661" i="6"/>
  <c r="R663" i="6"/>
  <c r="R433" i="6"/>
  <c r="R435" i="6" s="1"/>
  <c r="R662" i="6"/>
  <c r="R540" i="6"/>
  <c r="R1501" i="6"/>
  <c r="R503" i="6"/>
  <c r="R710" i="6"/>
  <c r="R103" i="6"/>
  <c r="R631" i="6"/>
  <c r="R337" i="6"/>
  <c r="R248" i="6"/>
  <c r="AT239" i="10"/>
  <c r="P14" i="34"/>
  <c r="P17" i="34"/>
  <c r="P707" i="34"/>
  <c r="P212" i="34" s="1"/>
  <c r="P814" i="34" s="1"/>
  <c r="P258" i="3" s="1"/>
  <c r="P9" i="34"/>
  <c r="P38" i="34"/>
  <c r="M205" i="34"/>
  <c r="O584" i="34"/>
  <c r="L28" i="8"/>
  <c r="J32" i="3"/>
  <c r="M519" i="8"/>
  <c r="M138" i="8" s="1"/>
  <c r="K177" i="3"/>
  <c r="J174" i="3"/>
  <c r="J175" i="3" s="1"/>
  <c r="BB50" i="42"/>
  <c r="J68" i="17"/>
  <c r="J324" i="15" s="1"/>
  <c r="J329" i="15" s="1"/>
  <c r="J112" i="17"/>
  <c r="J113" i="17" s="1"/>
  <c r="J310" i="15"/>
  <c r="I148" i="34" s="1"/>
  <c r="J33" i="3"/>
  <c r="M33" i="20"/>
  <c r="M41" i="20" s="1"/>
  <c r="M65" i="20"/>
  <c r="M98" i="20"/>
  <c r="V12" i="20"/>
  <c r="V16" i="20" s="1"/>
  <c r="AT7" i="10"/>
  <c r="AC11" i="42"/>
  <c r="O43" i="15" s="1"/>
  <c r="O12" i="15" s="1"/>
  <c r="N45" i="42"/>
  <c r="P551" i="34"/>
  <c r="P552" i="34" s="1"/>
  <c r="P561" i="34" s="1"/>
  <c r="P254" i="34" s="1"/>
  <c r="P494" i="34"/>
  <c r="DD139" i="9"/>
  <c r="BY139" i="9"/>
  <c r="P298" i="3"/>
  <c r="P290" i="3"/>
  <c r="R1080" i="6"/>
  <c r="R287" i="6" s="1"/>
  <c r="P582" i="34"/>
  <c r="P584" i="34" s="1"/>
  <c r="P608" i="34"/>
  <c r="O298" i="3"/>
  <c r="O290" i="3"/>
  <c r="N291" i="3"/>
  <c r="N300" i="3"/>
  <c r="BV219" i="9"/>
  <c r="BV221" i="9" s="1"/>
  <c r="V19" i="42"/>
  <c r="H51" i="15" s="1"/>
  <c r="H20" i="15" s="1"/>
  <c r="J763" i="4"/>
  <c r="J765" i="4" s="1"/>
  <c r="I704" i="6"/>
  <c r="D58" i="42"/>
  <c r="O66" i="14"/>
  <c r="J771" i="4"/>
  <c r="J252" i="4" s="1"/>
  <c r="J40" i="4" s="1"/>
  <c r="M25" i="6"/>
  <c r="M41" i="6" s="1"/>
  <c r="M276" i="6"/>
  <c r="N114" i="14"/>
  <c r="Z49" i="14" s="1"/>
  <c r="N113" i="14"/>
  <c r="Y49" i="14" s="1"/>
  <c r="N190" i="14"/>
  <c r="O85" i="14" s="1"/>
  <c r="O210" i="14"/>
  <c r="N115" i="14"/>
  <c r="I150" i="14"/>
  <c r="I197" i="14"/>
  <c r="I221" i="14"/>
  <c r="L2076" i="6"/>
  <c r="L280" i="6"/>
  <c r="M94" i="14"/>
  <c r="M159" i="14" s="1"/>
  <c r="M92" i="14"/>
  <c r="P81" i="37"/>
  <c r="P84" i="37" s="1"/>
  <c r="O100" i="37"/>
  <c r="H181" i="3" s="1"/>
  <c r="W4" i="37"/>
  <c r="X2" i="37" s="1"/>
  <c r="W108" i="37"/>
  <c r="W110" i="37" s="1"/>
  <c r="AR54" i="42"/>
  <c r="P1521" i="6"/>
  <c r="AE239" i="10"/>
  <c r="AD143" i="11" s="1"/>
  <c r="Q10" i="5"/>
  <c r="Q12" i="5" s="1"/>
  <c r="H160" i="3"/>
  <c r="H161" i="3" s="1"/>
  <c r="P549" i="6"/>
  <c r="P2081" i="6" s="1"/>
  <c r="D39" i="3"/>
  <c r="D53" i="3" s="1"/>
  <c r="F310" i="34"/>
  <c r="D195" i="15"/>
  <c r="D220" i="15" s="1"/>
  <c r="D225" i="15" s="1"/>
  <c r="D25" i="15"/>
  <c r="D29" i="15" s="1"/>
  <c r="D134" i="15"/>
  <c r="C187" i="42"/>
  <c r="C191" i="42" s="1"/>
  <c r="AS47" i="42"/>
  <c r="O191" i="14"/>
  <c r="P86" i="14" s="1"/>
  <c r="P211" i="14"/>
  <c r="O120" i="14"/>
  <c r="P98" i="34"/>
  <c r="Q98" i="34" s="1"/>
  <c r="Q15" i="34" s="1"/>
  <c r="O15" i="34"/>
  <c r="P91" i="34"/>
  <c r="Q91" i="34" s="1"/>
  <c r="Q8" i="34" s="1"/>
  <c r="O8" i="34"/>
  <c r="P90" i="34"/>
  <c r="Q90" i="34" s="1"/>
  <c r="O7" i="34"/>
  <c r="O407" i="34"/>
  <c r="C123" i="3"/>
  <c r="C124" i="3" s="1"/>
  <c r="D891" i="4"/>
  <c r="D60" i="15"/>
  <c r="D58" i="15"/>
  <c r="D83" i="13"/>
  <c r="D88" i="13" s="1"/>
  <c r="D279" i="3" s="1"/>
  <c r="D122" i="3"/>
  <c r="D124" i="3" s="1"/>
  <c r="N99" i="34"/>
  <c r="Q583" i="4"/>
  <c r="Q585" i="4" s="1"/>
  <c r="E67" i="6"/>
  <c r="J45" i="17"/>
  <c r="K45" i="11"/>
  <c r="J858" i="7"/>
  <c r="K64" i="10" s="1"/>
  <c r="B20" i="60"/>
  <c r="B82" i="42"/>
  <c r="A16" i="60"/>
  <c r="E38" i="60"/>
  <c r="E74" i="42"/>
  <c r="E11" i="60"/>
  <c r="P824" i="34"/>
  <c r="P73" i="34"/>
  <c r="O31" i="34"/>
  <c r="O814" i="34"/>
  <c r="O258" i="3" s="1"/>
  <c r="O824" i="34"/>
  <c r="O794" i="34"/>
  <c r="O800" i="34" s="1"/>
  <c r="CE60" i="22"/>
  <c r="CR60" i="22"/>
  <c r="CQ142" i="22"/>
  <c r="N699" i="34" s="1"/>
  <c r="CE10" i="22"/>
  <c r="CR10" i="22"/>
  <c r="CE8" i="22"/>
  <c r="CR8" i="22"/>
  <c r="M701" i="34"/>
  <c r="M207" i="34" s="1"/>
  <c r="N559" i="34"/>
  <c r="N694" i="34" s="1"/>
  <c r="N84" i="15"/>
  <c r="AQ29" i="42"/>
  <c r="O245" i="15"/>
  <c r="O267" i="15" s="1"/>
  <c r="O105" i="16"/>
  <c r="AR20" i="42"/>
  <c r="O153" i="34"/>
  <c r="N29" i="34"/>
  <c r="BG20" i="42"/>
  <c r="O294" i="15"/>
  <c r="O316" i="15" s="1"/>
  <c r="O103" i="17"/>
  <c r="P25" i="17"/>
  <c r="P10" i="17" s="1"/>
  <c r="R148" i="8"/>
  <c r="P101" i="1"/>
  <c r="O108" i="1"/>
  <c r="O119" i="1" s="1"/>
  <c r="O660" i="34"/>
  <c r="N666" i="34"/>
  <c r="P69" i="20"/>
  <c r="N574" i="34"/>
  <c r="N700" i="34" s="1"/>
  <c r="N115" i="15"/>
  <c r="BF29" i="42"/>
  <c r="P25" i="16"/>
  <c r="P10" i="16" s="1"/>
  <c r="R84" i="8"/>
  <c r="R20" i="8"/>
  <c r="O141" i="4"/>
  <c r="O862" i="4" s="1"/>
  <c r="R259" i="5"/>
  <c r="R261" i="5" s="1"/>
  <c r="R263" i="5" s="1"/>
  <c r="R274" i="5" s="1"/>
  <c r="CE104" i="22"/>
  <c r="CR104" i="22"/>
  <c r="CE6" i="22"/>
  <c r="CR6" i="22"/>
  <c r="CR7" i="22"/>
  <c r="CE7" i="22"/>
  <c r="CE77" i="22"/>
  <c r="CR77" i="22"/>
  <c r="CE12" i="22"/>
  <c r="CR12" i="22"/>
  <c r="CR84" i="22"/>
  <c r="CE84" i="22"/>
  <c r="CE79" i="22"/>
  <c r="CR79" i="22"/>
  <c r="R118" i="4"/>
  <c r="S156" i="48"/>
  <c r="T156" i="48" s="1"/>
  <c r="R119" i="4"/>
  <c r="R157" i="4" s="1"/>
  <c r="Q871" i="4"/>
  <c r="Q34" i="4" s="1"/>
  <c r="U11" i="26"/>
  <c r="AP17" i="42"/>
  <c r="T10" i="26"/>
  <c r="AA17" i="42" s="1"/>
  <c r="J77" i="42"/>
  <c r="L15" i="60" s="1"/>
  <c r="R15" i="26"/>
  <c r="R25" i="26" s="1"/>
  <c r="R27" i="26" s="1"/>
  <c r="U12" i="26"/>
  <c r="BE17" i="42"/>
  <c r="M112" i="15" s="1"/>
  <c r="V6" i="26"/>
  <c r="W5" i="26"/>
  <c r="X5" i="26" s="1"/>
  <c r="Z77" i="42"/>
  <c r="M41" i="60" s="1"/>
  <c r="L50" i="15"/>
  <c r="L19" i="15" s="1"/>
  <c r="K17" i="42"/>
  <c r="S202" i="48"/>
  <c r="E274" i="48" s="1"/>
  <c r="N8" i="3"/>
  <c r="S159" i="48"/>
  <c r="C275" i="48" s="1"/>
  <c r="Q142" i="4"/>
  <c r="S203" i="48"/>
  <c r="T203" i="48" s="1"/>
  <c r="S199" i="48"/>
  <c r="T199" i="48" s="1"/>
  <c r="S198" i="48"/>
  <c r="T198" i="48" s="1"/>
  <c r="S178" i="48"/>
  <c r="S200" i="48"/>
  <c r="J160" i="48"/>
  <c r="D265" i="48"/>
  <c r="D261" i="48"/>
  <c r="C160" i="48"/>
  <c r="S133" i="48"/>
  <c r="S158" i="48"/>
  <c r="Q160" i="48"/>
  <c r="D272" i="48"/>
  <c r="S179" i="48"/>
  <c r="S135" i="48"/>
  <c r="P139" i="4"/>
  <c r="P18" i="4" s="1"/>
  <c r="D269" i="48"/>
  <c r="D270" i="48" s="1"/>
  <c r="O160" i="48"/>
  <c r="O204" i="48"/>
  <c r="F269" i="48"/>
  <c r="F270" i="48" s="1"/>
  <c r="S152" i="48"/>
  <c r="D262" i="48"/>
  <c r="E160" i="48"/>
  <c r="S154" i="48"/>
  <c r="S134" i="48"/>
  <c r="D266" i="48"/>
  <c r="K160" i="48"/>
  <c r="F272" i="48"/>
  <c r="Q204" i="48"/>
  <c r="C204" i="48"/>
  <c r="S177" i="48"/>
  <c r="F261" i="48"/>
  <c r="C37" i="13"/>
  <c r="C45" i="13" s="1"/>
  <c r="S196" i="48"/>
  <c r="E204" i="48"/>
  <c r="F262" i="48"/>
  <c r="S157" i="48"/>
  <c r="S155" i="48"/>
  <c r="K204" i="48"/>
  <c r="F266" i="48"/>
  <c r="S201" i="48"/>
  <c r="F265" i="48"/>
  <c r="J204" i="48"/>
  <c r="Q115" i="4"/>
  <c r="Q8" i="4" s="1"/>
  <c r="B187" i="15"/>
  <c r="R10" i="42"/>
  <c r="B116" i="13"/>
  <c r="B118" i="13" s="1"/>
  <c r="B120" i="13" s="1"/>
  <c r="B126" i="13" s="1"/>
  <c r="B138" i="13" s="1"/>
  <c r="B46" i="13"/>
  <c r="B52" i="13" s="1"/>
  <c r="F36" i="13"/>
  <c r="C44" i="13"/>
  <c r="J13" i="4"/>
  <c r="D873" i="4"/>
  <c r="A116" i="13"/>
  <c r="A118" i="13" s="1"/>
  <c r="A120" i="13" s="1"/>
  <c r="A126" i="13" s="1"/>
  <c r="A138" i="13" s="1"/>
  <c r="Q10" i="42"/>
  <c r="A187" i="15"/>
  <c r="A46" i="13"/>
  <c r="A52" i="13" s="1"/>
  <c r="R589" i="4"/>
  <c r="R148" i="4" s="1"/>
  <c r="R459" i="4"/>
  <c r="S249" i="48"/>
  <c r="P240" i="7"/>
  <c r="P251" i="7" s="1"/>
  <c r="N853" i="4"/>
  <c r="O1128" i="7"/>
  <c r="O192" i="15"/>
  <c r="N65" i="13"/>
  <c r="AC30" i="42"/>
  <c r="N30" i="42" s="1"/>
  <c r="N137" i="15"/>
  <c r="N161" i="15" s="1"/>
  <c r="N216" i="15"/>
  <c r="R944" i="7"/>
  <c r="R1157" i="7" s="1"/>
  <c r="R342" i="7"/>
  <c r="R362" i="7" s="1"/>
  <c r="R40" i="7" s="1"/>
  <c r="O13" i="13" s="1"/>
  <c r="O49" i="13" s="1"/>
  <c r="R618" i="7"/>
  <c r="CP150" i="9"/>
  <c r="DC150" i="9"/>
  <c r="AJ250" i="10"/>
  <c r="DD209" i="9"/>
  <c r="BS219" i="9"/>
  <c r="BS221" i="9" s="1"/>
  <c r="BX209" i="9"/>
  <c r="BX219" i="9" s="1"/>
  <c r="V12" i="37"/>
  <c r="U116" i="37"/>
  <c r="V17" i="37"/>
  <c r="U115" i="37"/>
  <c r="AK66" i="10"/>
  <c r="AU66" i="10" s="1"/>
  <c r="AI103" i="10"/>
  <c r="AS103" i="10" s="1"/>
  <c r="L69" i="13"/>
  <c r="P9" i="7"/>
  <c r="M194" i="15"/>
  <c r="M139" i="15" s="1"/>
  <c r="M163" i="15" s="1"/>
  <c r="P154" i="7"/>
  <c r="P1128" i="7" s="1"/>
  <c r="AB143" i="11"/>
  <c r="AC143" i="11" s="1"/>
  <c r="Q183" i="7"/>
  <c r="Q8" i="7" s="1"/>
  <c r="J108" i="14"/>
  <c r="R62" i="14"/>
  <c r="R63" i="14" s="1"/>
  <c r="K1103" i="7" s="1"/>
  <c r="K414" i="7" s="1"/>
  <c r="C216" i="42"/>
  <c r="D216" i="42" s="1"/>
  <c r="AC22" i="42"/>
  <c r="L19" i="13"/>
  <c r="R371" i="7"/>
  <c r="R52" i="7" s="1"/>
  <c r="R583" i="7"/>
  <c r="AI67" i="10"/>
  <c r="AS67" i="10" s="1"/>
  <c r="AK101" i="10"/>
  <c r="AU101" i="10" s="1"/>
  <c r="AS101" i="10"/>
  <c r="AK253" i="10"/>
  <c r="AS253" i="10"/>
  <c r="AS65" i="10"/>
  <c r="AK88" i="10"/>
  <c r="AU88" i="10" s="1"/>
  <c r="AS88" i="10"/>
  <c r="R408" i="7"/>
  <c r="R236" i="7"/>
  <c r="R347" i="7"/>
  <c r="R131" i="7"/>
  <c r="R177" i="7"/>
  <c r="R340" i="7"/>
  <c r="AJ67" i="10"/>
  <c r="AT67" i="10" s="1"/>
  <c r="R19" i="7"/>
  <c r="R130" i="7"/>
  <c r="R176" i="7"/>
  <c r="R337" i="7"/>
  <c r="R341" i="7"/>
  <c r="R224" i="7"/>
  <c r="R10" i="7" s="1"/>
  <c r="R335" i="7"/>
  <c r="R132" i="7"/>
  <c r="H72" i="8"/>
  <c r="I72" i="8" s="1"/>
  <c r="J529" i="34"/>
  <c r="N586" i="34"/>
  <c r="N587" i="34" s="1"/>
  <c r="N589" i="34" s="1"/>
  <c r="N240" i="34" s="1"/>
  <c r="F442" i="34"/>
  <c r="F447" i="34" s="1"/>
  <c r="F274" i="34" s="1"/>
  <c r="E242" i="42"/>
  <c r="N693" i="34"/>
  <c r="CP74" i="21"/>
  <c r="CD59" i="21"/>
  <c r="CR59" i="21" s="1"/>
  <c r="CQ59" i="21"/>
  <c r="CQ71" i="21"/>
  <c r="CD71" i="21"/>
  <c r="CR71" i="21" s="1"/>
  <c r="P259" i="15"/>
  <c r="P113" i="16"/>
  <c r="P115" i="16" s="1"/>
  <c r="AS49" i="42"/>
  <c r="AS52" i="42" s="1"/>
  <c r="AC69" i="42"/>
  <c r="P33" i="60" s="1"/>
  <c r="AH127" i="10"/>
  <c r="AG54" i="11" s="1"/>
  <c r="BH21" i="42"/>
  <c r="P116" i="15" s="1"/>
  <c r="O472" i="34"/>
  <c r="O522" i="34"/>
  <c r="P289" i="34"/>
  <c r="P352" i="34" s="1"/>
  <c r="P378" i="34"/>
  <c r="P554" i="34"/>
  <c r="O383" i="34"/>
  <c r="O496" i="34"/>
  <c r="O558" i="34"/>
  <c r="O294" i="34"/>
  <c r="O526" i="34" s="1"/>
  <c r="Q123" i="42"/>
  <c r="N8" i="15"/>
  <c r="N7" i="42"/>
  <c r="N69" i="42" s="1"/>
  <c r="P7" i="60" s="1"/>
  <c r="CE82" i="22"/>
  <c r="CR82" i="22"/>
  <c r="N75" i="20"/>
  <c r="O75" i="20"/>
  <c r="BU219" i="9"/>
  <c r="BU221" i="9" s="1"/>
  <c r="O56" i="13" s="1"/>
  <c r="BP219" i="9"/>
  <c r="BP221" i="9" s="1"/>
  <c r="O208" i="3" s="1"/>
  <c r="O210" i="3" s="1"/>
  <c r="M56" i="13"/>
  <c r="N146" i="3" s="1"/>
  <c r="O863" i="4"/>
  <c r="Q192" i="4"/>
  <c r="Q19" i="4" s="1"/>
  <c r="Q29" i="4" s="1"/>
  <c r="M355" i="34"/>
  <c r="K121" i="13"/>
  <c r="O39" i="15"/>
  <c r="H17" i="6"/>
  <c r="I17" i="6" s="1"/>
  <c r="P602" i="6"/>
  <c r="P2082" i="6" s="1"/>
  <c r="O865" i="4"/>
  <c r="M40" i="13"/>
  <c r="K213" i="15"/>
  <c r="R726" i="6"/>
  <c r="O22" i="58"/>
  <c r="R545" i="6"/>
  <c r="R550" i="6" s="1"/>
  <c r="R1701" i="6"/>
  <c r="O2075" i="6"/>
  <c r="O2081" i="6"/>
  <c r="AB72" i="42"/>
  <c r="O36" i="60" s="1"/>
  <c r="N368" i="34"/>
  <c r="M11" i="42"/>
  <c r="M72" i="42" s="1"/>
  <c r="O10" i="60" s="1"/>
  <c r="L105" i="13"/>
  <c r="L107" i="13" s="1"/>
  <c r="L64" i="13" s="1"/>
  <c r="L121" i="13" s="1"/>
  <c r="O2082" i="6"/>
  <c r="O606" i="6"/>
  <c r="O2062" i="6" s="1"/>
  <c r="P233" i="3"/>
  <c r="BY82" i="9"/>
  <c r="N307" i="34"/>
  <c r="N13" i="15"/>
  <c r="N291" i="34" s="1"/>
  <c r="N354" i="34" s="1"/>
  <c r="R1074" i="6"/>
  <c r="R272" i="6"/>
  <c r="R279" i="6" s="1"/>
  <c r="O1777" i="6"/>
  <c r="O613" i="6" s="1"/>
  <c r="AA259" i="10"/>
  <c r="R1990" i="6"/>
  <c r="R698" i="6"/>
  <c r="M524" i="34"/>
  <c r="M474" i="34"/>
  <c r="R1768" i="6"/>
  <c r="R576" i="6"/>
  <c r="R603" i="6" s="1"/>
  <c r="R2091" i="6" s="1"/>
  <c r="R53" i="6" s="1"/>
  <c r="R600" i="6"/>
  <c r="R31" i="6" s="1"/>
  <c r="R1765" i="6"/>
  <c r="O233" i="3"/>
  <c r="BT82" i="9"/>
  <c r="W20" i="26"/>
  <c r="R494" i="6"/>
  <c r="O1776" i="6"/>
  <c r="AB246" i="10"/>
  <c r="AA152" i="11" s="1"/>
  <c r="AB152" i="11" s="1"/>
  <c r="AC152" i="11" s="1"/>
  <c r="O758" i="34"/>
  <c r="AD40" i="42"/>
  <c r="AF40" i="42"/>
  <c r="N40" i="42"/>
  <c r="O44" i="15"/>
  <c r="AC47" i="42"/>
  <c r="N47" i="42" s="1"/>
  <c r="M540" i="34"/>
  <c r="M367" i="34"/>
  <c r="M486" i="34" s="1"/>
  <c r="AC246" i="10"/>
  <c r="AD246" i="10"/>
  <c r="R1008" i="6"/>
  <c r="R216" i="6"/>
  <c r="R222" i="6" s="1"/>
  <c r="P2074" i="6"/>
  <c r="R190" i="6"/>
  <c r="R196" i="6" s="1"/>
  <c r="R970" i="6"/>
  <c r="P220" i="6"/>
  <c r="P24" i="6"/>
  <c r="P40" i="6" s="1"/>
  <c r="R720" i="6"/>
  <c r="AF239" i="10"/>
  <c r="Q1516" i="6" s="1"/>
  <c r="N234" i="6"/>
  <c r="N2055" i="6"/>
  <c r="O141" i="3"/>
  <c r="O142" i="3" s="1"/>
  <c r="R1144" i="6"/>
  <c r="R336" i="6"/>
  <c r="R506" i="6"/>
  <c r="R511" i="6" s="1"/>
  <c r="R1643" i="6"/>
  <c r="R723" i="6"/>
  <c r="O21" i="58"/>
  <c r="O6" i="58"/>
  <c r="P5" i="58" s="1"/>
  <c r="R697" i="6"/>
  <c r="R215" i="6"/>
  <c r="R1007" i="6"/>
  <c r="R1004" i="6"/>
  <c r="R645" i="6"/>
  <c r="R2023" i="6"/>
  <c r="R722" i="6" s="1"/>
  <c r="P761" i="34"/>
  <c r="R533" i="6"/>
  <c r="R535" i="6" s="1"/>
  <c r="R14" i="6" s="1"/>
  <c r="R1670" i="6"/>
  <c r="O2055" i="6"/>
  <c r="O234" i="6"/>
  <c r="N20" i="58"/>
  <c r="R713" i="6"/>
  <c r="O18" i="58"/>
  <c r="P766" i="34"/>
  <c r="R308" i="6"/>
  <c r="J129" i="14"/>
  <c r="N188" i="14"/>
  <c r="O208" i="14"/>
  <c r="N83" i="14"/>
  <c r="N104" i="14" s="1"/>
  <c r="S104" i="14" s="1"/>
  <c r="M105" i="14"/>
  <c r="J212" i="14"/>
  <c r="N102" i="13"/>
  <c r="N12" i="13"/>
  <c r="AD7" i="42"/>
  <c r="P598" i="34" s="1"/>
  <c r="Q152" i="7"/>
  <c r="Q154" i="7" s="1"/>
  <c r="R145" i="7"/>
  <c r="P759" i="34"/>
  <c r="P781" i="34" s="1"/>
  <c r="H400" i="7"/>
  <c r="I400" i="7" s="1"/>
  <c r="N103" i="3"/>
  <c r="AD54" i="11"/>
  <c r="AE54" i="11" s="1"/>
  <c r="AF54" i="11" s="1"/>
  <c r="R319" i="7"/>
  <c r="R354" i="7"/>
  <c r="R1000" i="7"/>
  <c r="R119" i="8"/>
  <c r="O610" i="34"/>
  <c r="O611" i="34" s="1"/>
  <c r="O613" i="34" s="1"/>
  <c r="O244" i="34" s="1"/>
  <c r="O70" i="15"/>
  <c r="P117" i="15"/>
  <c r="P108" i="15"/>
  <c r="R111" i="8"/>
  <c r="Q139" i="42"/>
  <c r="H576" i="8"/>
  <c r="I576" i="8" s="1"/>
  <c r="P70" i="15"/>
  <c r="P610" i="34"/>
  <c r="P611" i="34" s="1"/>
  <c r="O108" i="15"/>
  <c r="O117" i="15"/>
  <c r="N12" i="42"/>
  <c r="I275" i="15"/>
  <c r="I280" i="15" s="1"/>
  <c r="I45" i="16"/>
  <c r="I120" i="16" s="1"/>
  <c r="F72" i="15"/>
  <c r="G72" i="15" s="1"/>
  <c r="O622" i="34"/>
  <c r="O623" i="34" s="1"/>
  <c r="O625" i="34" s="1"/>
  <c r="O246" i="34" s="1"/>
  <c r="O101" i="15"/>
  <c r="R132" i="8"/>
  <c r="P746" i="34"/>
  <c r="P748" i="34" s="1"/>
  <c r="P622" i="34"/>
  <c r="P623" i="34" s="1"/>
  <c r="P625" i="34" s="1"/>
  <c r="P246" i="34" s="1"/>
  <c r="P101" i="15"/>
  <c r="L142" i="34"/>
  <c r="M140" i="34"/>
  <c r="M147" i="3"/>
  <c r="J138" i="14"/>
  <c r="CP10" i="9"/>
  <c r="DC10" i="9"/>
  <c r="M143" i="15"/>
  <c r="M784" i="34"/>
  <c r="L785" i="34"/>
  <c r="DC103" i="9"/>
  <c r="CP103" i="9"/>
  <c r="DC148" i="9"/>
  <c r="CP148" i="9"/>
  <c r="DC63" i="9"/>
  <c r="CP63" i="9"/>
  <c r="DC106" i="9"/>
  <c r="CP106" i="9"/>
  <c r="CP104" i="9"/>
  <c r="DC104" i="9"/>
  <c r="M681" i="34"/>
  <c r="CP22" i="9"/>
  <c r="DC22" i="9"/>
  <c r="DD179" i="9"/>
  <c r="CP46" i="9"/>
  <c r="DC46" i="9"/>
  <c r="DC167" i="9"/>
  <c r="CP167" i="9"/>
  <c r="BY179" i="9"/>
  <c r="R464" i="6"/>
  <c r="P225" i="9"/>
  <c r="DC31" i="9"/>
  <c r="CP31" i="9"/>
  <c r="P70" i="3"/>
  <c r="R903" i="4"/>
  <c r="CP134" i="9"/>
  <c r="DC134" i="9"/>
  <c r="BY55" i="9"/>
  <c r="BY66" i="9" s="1"/>
  <c r="BX66" i="9"/>
  <c r="CP41" i="9"/>
  <c r="DC41" i="9"/>
  <c r="M285" i="6"/>
  <c r="M1083" i="6"/>
  <c r="DB221" i="9"/>
  <c r="N687" i="34" s="1"/>
  <c r="R113" i="37"/>
  <c r="R117" i="37" s="1"/>
  <c r="R37" i="37"/>
  <c r="R60" i="37" s="1"/>
  <c r="CP135" i="9"/>
  <c r="DC135" i="9"/>
  <c r="CP136" i="9"/>
  <c r="DC136" i="9"/>
  <c r="C310" i="34"/>
  <c r="C655" i="34" s="1"/>
  <c r="C658" i="34" s="1"/>
  <c r="C665" i="34" s="1"/>
  <c r="C668" i="34" s="1"/>
  <c r="Q18" i="5"/>
  <c r="Q27" i="5" s="1"/>
  <c r="O28" i="5"/>
  <c r="M32" i="5"/>
  <c r="M43" i="5" s="1"/>
  <c r="K14" i="3"/>
  <c r="Q452" i="5"/>
  <c r="Q460" i="5" s="1"/>
  <c r="K20" i="13"/>
  <c r="K23" i="13" s="1"/>
  <c r="N30" i="5"/>
  <c r="L14" i="3" s="1"/>
  <c r="Q31" i="5"/>
  <c r="O6" i="3"/>
  <c r="M103" i="13"/>
  <c r="M22" i="13"/>
  <c r="R496" i="5"/>
  <c r="R7" i="5"/>
  <c r="R25" i="5" s="1"/>
  <c r="R451" i="5"/>
  <c r="R486" i="5"/>
  <c r="R192" i="5"/>
  <c r="R448" i="5"/>
  <c r="R450" i="5" s="1"/>
  <c r="Q498" i="5"/>
  <c r="Q501" i="5" s="1"/>
  <c r="Q152" i="5"/>
  <c r="Q479" i="5" s="1"/>
  <c r="P466" i="5"/>
  <c r="P79" i="5"/>
  <c r="Q477" i="5"/>
  <c r="Q68" i="5"/>
  <c r="O514" i="5"/>
  <c r="P508" i="5"/>
  <c r="P510" i="5" s="1"/>
  <c r="P512" i="5" s="1"/>
  <c r="P19" i="5"/>
  <c r="P28" i="5" s="1"/>
  <c r="P196" i="5"/>
  <c r="L48" i="13"/>
  <c r="M191" i="15" s="1"/>
  <c r="M136" i="15" s="1"/>
  <c r="M158" i="15" s="1"/>
  <c r="Q197" i="5"/>
  <c r="Q194" i="5"/>
  <c r="N469" i="5"/>
  <c r="N471" i="5" s="1"/>
  <c r="N484" i="5" s="1"/>
  <c r="N488" i="5" s="1"/>
  <c r="N209" i="5"/>
  <c r="L121" i="3" s="1"/>
  <c r="R66" i="5"/>
  <c r="L136" i="15"/>
  <c r="L213" i="15"/>
  <c r="AH236" i="10"/>
  <c r="AG140" i="11" s="1"/>
  <c r="AH140" i="11" s="1"/>
  <c r="AI140" i="11" s="1"/>
  <c r="AK236" i="10"/>
  <c r="Z20" i="42"/>
  <c r="L53" i="15" s="1"/>
  <c r="L22" i="15" s="1"/>
  <c r="K6" i="11"/>
  <c r="M6" i="11" s="1"/>
  <c r="J21" i="11"/>
  <c r="D191" i="42"/>
  <c r="P773" i="34"/>
  <c r="R58" i="4"/>
  <c r="Q703" i="4"/>
  <c r="Q714" i="4" s="1"/>
  <c r="P194" i="4"/>
  <c r="P196" i="4" s="1"/>
  <c r="Q284" i="4"/>
  <c r="Q11" i="4" s="1"/>
  <c r="D180" i="34"/>
  <c r="P774" i="34"/>
  <c r="R135" i="4"/>
  <c r="R584" i="4"/>
  <c r="C328" i="15"/>
  <c r="D453" i="34"/>
  <c r="D457" i="34" s="1"/>
  <c r="D462" i="34" s="1"/>
  <c r="D276" i="34" s="1"/>
  <c r="D677" i="34"/>
  <c r="D282" i="34" s="1"/>
  <c r="B330" i="15"/>
  <c r="E180" i="34"/>
  <c r="P495" i="6"/>
  <c r="O120" i="7"/>
  <c r="P110" i="7"/>
  <c r="P1126" i="7" s="1"/>
  <c r="M51" i="13"/>
  <c r="N194" i="15" s="1"/>
  <c r="R455" i="6"/>
  <c r="N120" i="6"/>
  <c r="N2053" i="6"/>
  <c r="P26" i="5"/>
  <c r="R190" i="4"/>
  <c r="R195" i="4" s="1"/>
  <c r="R702" i="4"/>
  <c r="R651" i="4"/>
  <c r="R136" i="4"/>
  <c r="R295" i="4"/>
  <c r="R300" i="4" s="1"/>
  <c r="R835" i="4"/>
  <c r="Q238" i="7"/>
  <c r="Q1142" i="7" s="1"/>
  <c r="Q32" i="7"/>
  <c r="O750" i="34"/>
  <c r="O752" i="34" s="1"/>
  <c r="O795" i="34"/>
  <c r="O801" i="34" s="1"/>
  <c r="O825" i="34"/>
  <c r="O217" i="34"/>
  <c r="O815" i="34" s="1"/>
  <c r="O259" i="3" s="1"/>
  <c r="R1813" i="6"/>
  <c r="R1570" i="6"/>
  <c r="R444" i="6"/>
  <c r="O456" i="6"/>
  <c r="O2079" i="6"/>
  <c r="R1228" i="6"/>
  <c r="R375" i="6"/>
  <c r="R379" i="6" s="1"/>
  <c r="R27" i="6" s="1"/>
  <c r="R1257" i="6"/>
  <c r="N2058" i="6"/>
  <c r="N394" i="6"/>
  <c r="BO219" i="9"/>
  <c r="BO221" i="9" s="1"/>
  <c r="N232" i="3" s="1"/>
  <c r="R1141" i="6"/>
  <c r="R1299" i="6"/>
  <c r="R408" i="6"/>
  <c r="P769" i="34"/>
  <c r="O2073" i="6"/>
  <c r="O109" i="6"/>
  <c r="R938" i="6"/>
  <c r="R940" i="6" s="1"/>
  <c r="R942" i="6" s="1"/>
  <c r="R950" i="6" s="1"/>
  <c r="P113" i="3"/>
  <c r="R1370" i="6"/>
  <c r="R422" i="6"/>
  <c r="R1506" i="6"/>
  <c r="R1508" i="6" s="1"/>
  <c r="R445" i="6"/>
  <c r="R709" i="6"/>
  <c r="O15" i="58"/>
  <c r="R871" i="6"/>
  <c r="R879" i="6" s="1"/>
  <c r="R1698" i="6"/>
  <c r="N2059" i="6"/>
  <c r="N465" i="6"/>
  <c r="R311" i="6"/>
  <c r="R1105" i="6"/>
  <c r="R1205" i="6"/>
  <c r="R1206" i="6" s="1"/>
  <c r="R1217" i="6" s="1"/>
  <c r="R338" i="6"/>
  <c r="O383" i="6"/>
  <c r="O2078" i="6"/>
  <c r="R102" i="6"/>
  <c r="R803" i="6"/>
  <c r="N7" i="3"/>
  <c r="P52" i="6"/>
  <c r="M104" i="13" s="1"/>
  <c r="M30" i="13"/>
  <c r="P22" i="6"/>
  <c r="P38" i="6" s="1"/>
  <c r="P107" i="6"/>
  <c r="R164" i="6"/>
  <c r="R23" i="6" s="1"/>
  <c r="R39" i="6" s="1"/>
  <c r="R1539" i="6"/>
  <c r="R409" i="6"/>
  <c r="R167" i="6"/>
  <c r="R1403" i="6"/>
  <c r="P771" i="34" s="1"/>
  <c r="R412" i="6"/>
  <c r="M783" i="34"/>
  <c r="M213" i="3"/>
  <c r="P764" i="34"/>
  <c r="R1035" i="6"/>
  <c r="R246" i="6"/>
  <c r="R785" i="6"/>
  <c r="R78" i="6"/>
  <c r="R81" i="6" s="1"/>
  <c r="R6" i="6" s="1"/>
  <c r="P763" i="34"/>
  <c r="R767" i="6"/>
  <c r="P381" i="6"/>
  <c r="P11" i="6"/>
  <c r="P43" i="6" s="1"/>
  <c r="O562" i="6"/>
  <c r="O2061" i="6"/>
  <c r="P12" i="6"/>
  <c r="P44" i="6" s="1"/>
  <c r="P453" i="6"/>
  <c r="O116" i="3"/>
  <c r="O117" i="3" s="1"/>
  <c r="P724" i="34"/>
  <c r="P738" i="34" s="1"/>
  <c r="P740" i="34" s="1"/>
  <c r="P216" i="34" s="1"/>
  <c r="N767" i="34"/>
  <c r="N779" i="34" s="1"/>
  <c r="P1259" i="6"/>
  <c r="P1261" i="6" s="1"/>
  <c r="P1272" i="6" s="1"/>
  <c r="R448" i="6"/>
  <c r="R454" i="6" s="1"/>
  <c r="R1509" i="6"/>
  <c r="Y71" i="11"/>
  <c r="W77" i="11"/>
  <c r="R1517" i="6"/>
  <c r="P2054" i="6"/>
  <c r="P180" i="6"/>
  <c r="M80" i="13"/>
  <c r="N206" i="15" s="1"/>
  <c r="N151" i="15" s="1"/>
  <c r="DC51" i="9"/>
  <c r="CP51" i="9"/>
  <c r="G520" i="34"/>
  <c r="DC206" i="9"/>
  <c r="CP206" i="9"/>
  <c r="L342" i="6"/>
  <c r="L26" i="6"/>
  <c r="L42" i="6" s="1"/>
  <c r="G470" i="34"/>
  <c r="U54" i="42"/>
  <c r="F54" i="42" s="1"/>
  <c r="F52" i="42"/>
  <c r="H33" i="4"/>
  <c r="I33" i="4" s="1"/>
  <c r="H887" i="4"/>
  <c r="I887" i="4" s="1"/>
  <c r="F68" i="34"/>
  <c r="F426" i="34" s="1"/>
  <c r="F430" i="34" s="1"/>
  <c r="F30" i="34"/>
  <c r="F32" i="34" s="1"/>
  <c r="F33" i="34" s="1"/>
  <c r="F34" i="34" s="1"/>
  <c r="F37" i="34" s="1"/>
  <c r="F39" i="34" s="1"/>
  <c r="F411" i="34"/>
  <c r="F414" i="34" s="1"/>
  <c r="H867" i="4"/>
  <c r="I867" i="4" s="1"/>
  <c r="J134" i="14"/>
  <c r="H258" i="4"/>
  <c r="I258" i="4" s="1"/>
  <c r="H852" i="4"/>
  <c r="I852" i="4" s="1"/>
  <c r="R344" i="7"/>
  <c r="Q7" i="7"/>
  <c r="Q30" i="7" s="1"/>
  <c r="Q108" i="7"/>
  <c r="Q1141" i="7" s="1"/>
  <c r="N14" i="13"/>
  <c r="AH67" i="10"/>
  <c r="R64" i="7"/>
  <c r="O219" i="9"/>
  <c r="O221" i="9" s="1"/>
  <c r="R456" i="7"/>
  <c r="R705" i="7"/>
  <c r="U112" i="37"/>
  <c r="P65" i="6"/>
  <c r="N69" i="3" s="1"/>
  <c r="R418" i="7"/>
  <c r="R1111" i="7"/>
  <c r="N46" i="15"/>
  <c r="N15" i="15" s="1"/>
  <c r="N55" i="15"/>
  <c r="N24" i="15" s="1"/>
  <c r="M22" i="42"/>
  <c r="BT143" i="9"/>
  <c r="V7" i="37" s="1"/>
  <c r="W40" i="37"/>
  <c r="P143" i="9"/>
  <c r="R1082" i="6" s="1"/>
  <c r="DD122" i="9"/>
  <c r="BY122" i="9"/>
  <c r="L133" i="13"/>
  <c r="AA49" i="42"/>
  <c r="M71" i="3"/>
  <c r="M72" i="3" s="1"/>
  <c r="M206" i="15"/>
  <c r="M151" i="15" s="1"/>
  <c r="R263" i="7"/>
  <c r="P777" i="34"/>
  <c r="O599" i="34"/>
  <c r="O601" i="34" s="1"/>
  <c r="O242" i="34" s="1"/>
  <c r="P294" i="7"/>
  <c r="P22" i="7"/>
  <c r="P33" i="7" s="1"/>
  <c r="R797" i="7"/>
  <c r="S797" i="7" s="1"/>
  <c r="S285" i="7" s="1"/>
  <c r="Q285" i="7"/>
  <c r="Q292" i="7" s="1"/>
  <c r="Q807" i="7"/>
  <c r="Q809" i="7" s="1"/>
  <c r="Q811" i="7" s="1"/>
  <c r="Q820" i="7" s="1"/>
  <c r="N307" i="7"/>
  <c r="N1130" i="7"/>
  <c r="O1145" i="7"/>
  <c r="O296" i="7"/>
  <c r="Q103" i="5"/>
  <c r="Q478" i="5"/>
  <c r="R18" i="5"/>
  <c r="R507" i="5"/>
  <c r="E251" i="48"/>
  <c r="E254" i="48"/>
  <c r="R388" i="5"/>
  <c r="R390" i="5" s="1"/>
  <c r="R399" i="5" s="1"/>
  <c r="T222" i="48"/>
  <c r="I282" i="48"/>
  <c r="I281" i="48"/>
  <c r="T223" i="48"/>
  <c r="I283" i="48"/>
  <c r="T224" i="48"/>
  <c r="P12" i="5"/>
  <c r="R10" i="5"/>
  <c r="R499" i="5"/>
  <c r="R319" i="5"/>
  <c r="R321" i="5" s="1"/>
  <c r="R323" i="5" s="1"/>
  <c r="R333" i="5" s="1"/>
  <c r="R95" i="5"/>
  <c r="R99" i="5" s="1"/>
  <c r="R101" i="5" s="1"/>
  <c r="R152" i="5"/>
  <c r="R498" i="5"/>
  <c r="R9" i="5"/>
  <c r="T247" i="48"/>
  <c r="R8" i="5"/>
  <c r="R497" i="5"/>
  <c r="T245" i="48"/>
  <c r="I277" i="48"/>
  <c r="Q254" i="48"/>
  <c r="Q251" i="48"/>
  <c r="K254" i="48"/>
  <c r="K251" i="48"/>
  <c r="O209" i="5"/>
  <c r="M121" i="3" s="1"/>
  <c r="O469" i="5"/>
  <c r="O471" i="5" s="1"/>
  <c r="O484" i="5" s="1"/>
  <c r="O488" i="5" s="1"/>
  <c r="T241" i="48"/>
  <c r="I279" i="48"/>
  <c r="P467" i="5"/>
  <c r="P114" i="5"/>
  <c r="J254" i="48"/>
  <c r="J251" i="48"/>
  <c r="O251" i="48"/>
  <c r="O254" i="48"/>
  <c r="I276" i="48"/>
  <c r="T244" i="48"/>
  <c r="H146" i="11"/>
  <c r="H161" i="11" s="1"/>
  <c r="G161" i="11"/>
  <c r="I275" i="48"/>
  <c r="T248" i="48"/>
  <c r="Q17" i="5"/>
  <c r="Q506" i="5"/>
  <c r="F134" i="34"/>
  <c r="F649" i="34"/>
  <c r="P479" i="5"/>
  <c r="P154" i="5"/>
  <c r="C254" i="48"/>
  <c r="C251" i="48"/>
  <c r="L18" i="13"/>
  <c r="O30" i="5"/>
  <c r="I280" i="48"/>
  <c r="T246" i="48"/>
  <c r="P342" i="4"/>
  <c r="M11" i="12"/>
  <c r="Q80" i="4"/>
  <c r="Q17" i="4" s="1"/>
  <c r="R111" i="4"/>
  <c r="N21" i="42"/>
  <c r="N81" i="42" s="1"/>
  <c r="P19" i="60" s="1"/>
  <c r="AC81" i="42"/>
  <c r="P45" i="60" s="1"/>
  <c r="O54" i="15"/>
  <c r="O23" i="15" s="1"/>
  <c r="Q127" i="4"/>
  <c r="Q162" i="4" s="1"/>
  <c r="Q650" i="4"/>
  <c r="Q652" i="4" s="1"/>
  <c r="Q659" i="4" s="1"/>
  <c r="Q834" i="4"/>
  <c r="Q836" i="4" s="1"/>
  <c r="Q843" i="4" s="1"/>
  <c r="L95" i="4"/>
  <c r="L849" i="4"/>
  <c r="Q222" i="4"/>
  <c r="P31" i="4"/>
  <c r="O853" i="4"/>
  <c r="O312" i="4"/>
  <c r="R699" i="4"/>
  <c r="R701" i="4" s="1"/>
  <c r="R181" i="4"/>
  <c r="L793" i="34"/>
  <c r="L804" i="34" s="1"/>
  <c r="L201" i="34"/>
  <c r="R649" i="4"/>
  <c r="L900" i="4"/>
  <c r="J40" i="3"/>
  <c r="O207" i="4"/>
  <c r="O851" i="4"/>
  <c r="N153" i="4"/>
  <c r="N850" i="4"/>
  <c r="R121" i="4"/>
  <c r="R159" i="4" s="1"/>
  <c r="R581" i="4"/>
  <c r="Q246" i="4"/>
  <c r="N8" i="42"/>
  <c r="N70" i="42" s="1"/>
  <c r="P8" i="60" s="1"/>
  <c r="O40" i="15"/>
  <c r="O9" i="15" s="1"/>
  <c r="AC70" i="42"/>
  <c r="P34" i="60" s="1"/>
  <c r="K102" i="3"/>
  <c r="V39" i="10"/>
  <c r="U6" i="11"/>
  <c r="U21" i="11" s="1"/>
  <c r="Q297" i="4"/>
  <c r="Q21" i="4" s="1"/>
  <c r="D655" i="34"/>
  <c r="D658" i="34" s="1"/>
  <c r="D665" i="34" s="1"/>
  <c r="D668" i="34" s="1"/>
  <c r="D221" i="34" s="1"/>
  <c r="D314" i="34"/>
  <c r="D541" i="34"/>
  <c r="L84" i="3"/>
  <c r="L683" i="34"/>
  <c r="L198" i="34" s="1"/>
  <c r="L254" i="3"/>
  <c r="R340" i="4"/>
  <c r="R798" i="4"/>
  <c r="R278" i="4"/>
  <c r="R284" i="4" s="1"/>
  <c r="R65" i="4"/>
  <c r="R408" i="4"/>
  <c r="W7" i="10"/>
  <c r="N61" i="4"/>
  <c r="M682" i="34"/>
  <c r="M689" i="34"/>
  <c r="R728" i="4"/>
  <c r="AD8" i="42" s="1"/>
  <c r="R217" i="4"/>
  <c r="R264" i="4" s="1"/>
  <c r="D525" i="34"/>
  <c r="D296" i="34"/>
  <c r="M90" i="4"/>
  <c r="M41" i="4" s="1"/>
  <c r="M422" i="4"/>
  <c r="M105" i="13"/>
  <c r="N688" i="34"/>
  <c r="M27" i="4"/>
  <c r="M13" i="4"/>
  <c r="R129" i="4"/>
  <c r="K829" i="34"/>
  <c r="O28" i="4"/>
  <c r="R766" i="4"/>
  <c r="R241" i="4"/>
  <c r="P299" i="4"/>
  <c r="R833" i="4"/>
  <c r="R289" i="4"/>
  <c r="P10" i="4"/>
  <c r="M861" i="4"/>
  <c r="M84" i="4"/>
  <c r="O59" i="4"/>
  <c r="O346" i="4"/>
  <c r="O410" i="4" s="1"/>
  <c r="O412" i="4" s="1"/>
  <c r="CW11" i="9"/>
  <c r="CW221" i="9" s="1"/>
  <c r="I25" i="9"/>
  <c r="I221" i="9" s="1"/>
  <c r="K592" i="4"/>
  <c r="K151" i="4" s="1"/>
  <c r="K44" i="4" s="1"/>
  <c r="O17" i="10"/>
  <c r="P570" i="34"/>
  <c r="P393" i="34"/>
  <c r="P510" i="34" s="1"/>
  <c r="E18" i="42"/>
  <c r="F810" i="34"/>
  <c r="O45" i="42" l="1"/>
  <c r="O12" i="42"/>
  <c r="Q101" i="15"/>
  <c r="S152" i="5"/>
  <c r="P794" i="34"/>
  <c r="P800" i="34" s="1"/>
  <c r="Q7" i="34"/>
  <c r="Q407" i="34"/>
  <c r="CD143" i="9"/>
  <c r="X7" i="37" s="1"/>
  <c r="X112" i="37" s="1"/>
  <c r="AJ108" i="11"/>
  <c r="AK108" i="11" s="1"/>
  <c r="AL108" i="11" s="1"/>
  <c r="AN108" i="11" s="1"/>
  <c r="AU185" i="10"/>
  <c r="CC143" i="9"/>
  <c r="CC219" i="9"/>
  <c r="CC221" i="9" s="1"/>
  <c r="AU184" i="10"/>
  <c r="AJ107" i="11"/>
  <c r="AK107" i="11" s="1"/>
  <c r="AL107" i="11" s="1"/>
  <c r="Q298" i="3"/>
  <c r="Q290" i="3"/>
  <c r="AN184" i="10"/>
  <c r="AM107" i="11" s="1"/>
  <c r="S1080" i="6"/>
  <c r="S287" i="6" s="1"/>
  <c r="R1079" i="6"/>
  <c r="R286" i="6" s="1"/>
  <c r="X108" i="37"/>
  <c r="X110" i="37" s="1"/>
  <c r="X4" i="37"/>
  <c r="S111" i="8"/>
  <c r="S1143" i="6"/>
  <c r="S1145" i="6" s="1"/>
  <c r="R254" i="6"/>
  <c r="R9" i="6" s="1"/>
  <c r="S1463" i="6"/>
  <c r="S1465" i="6" s="1"/>
  <c r="R634" i="6"/>
  <c r="R16" i="6" s="1"/>
  <c r="X15" i="26"/>
  <c r="X25" i="26" s="1"/>
  <c r="X27" i="26" s="1"/>
  <c r="S547" i="6"/>
  <c r="S30" i="6" s="1"/>
  <c r="S1771" i="6"/>
  <c r="AL246" i="10" s="1"/>
  <c r="S343" i="6"/>
  <c r="R1767" i="6"/>
  <c r="S2090" i="6"/>
  <c r="Q738" i="34"/>
  <c r="Q740" i="34" s="1"/>
  <c r="Q216" i="34" s="1"/>
  <c r="Q217" i="34" s="1"/>
  <c r="Q815" i="34" s="1"/>
  <c r="Q259" i="3" s="1"/>
  <c r="S1510" i="6"/>
  <c r="AL239" i="10" s="1"/>
  <c r="S1206" i="6"/>
  <c r="S1700" i="6"/>
  <c r="S1702" i="6" s="1"/>
  <c r="S1713" i="6" s="1"/>
  <c r="S16" i="6"/>
  <c r="S8" i="6"/>
  <c r="S418" i="6"/>
  <c r="S365" i="6"/>
  <c r="S371" i="6" s="1"/>
  <c r="S1234" i="6"/>
  <c r="S166" i="6"/>
  <c r="S23" i="6"/>
  <c r="S39" i="6" s="1"/>
  <c r="S218" i="6"/>
  <c r="S24" i="6" s="1"/>
  <c r="Q551" i="6"/>
  <c r="S603" i="6"/>
  <c r="S2091" i="6" s="1"/>
  <c r="S578" i="6"/>
  <c r="S93" i="6"/>
  <c r="S105" i="6" s="1"/>
  <c r="S22" i="6" s="1"/>
  <c r="S800" i="6"/>
  <c r="S802" i="6" s="1"/>
  <c r="S804" i="6" s="1"/>
  <c r="S279" i="6"/>
  <c r="S2093" i="6"/>
  <c r="S700" i="6"/>
  <c r="Q758" i="34"/>
  <c r="S108" i="6"/>
  <c r="S6" i="6"/>
  <c r="S107" i="6"/>
  <c r="S14" i="6"/>
  <c r="S10" i="6"/>
  <c r="S1006" i="6"/>
  <c r="S1009" i="6" s="1"/>
  <c r="S1572" i="6"/>
  <c r="S1574" i="6" s="1"/>
  <c r="S451" i="6"/>
  <c r="S28" i="6" s="1"/>
  <c r="S340" i="6"/>
  <c r="S26" i="6" s="1"/>
  <c r="W15" i="26"/>
  <c r="W25" i="26" s="1"/>
  <c r="W27" i="26" s="1"/>
  <c r="R400" i="7"/>
  <c r="AK65" i="10"/>
  <c r="AU65" i="10" s="1"/>
  <c r="S1142" i="7"/>
  <c r="S531" i="7"/>
  <c r="S533" i="7" s="1"/>
  <c r="S542" i="7" s="1"/>
  <c r="Q777" i="34"/>
  <c r="S146" i="7"/>
  <c r="S152" i="7" s="1"/>
  <c r="Q759" i="34"/>
  <c r="Q781" i="34" s="1"/>
  <c r="AM65" i="10"/>
  <c r="S344" i="7"/>
  <c r="Q192" i="15"/>
  <c r="AE30" i="42"/>
  <c r="P30" i="42" s="1"/>
  <c r="P65" i="13"/>
  <c r="AK127" i="10"/>
  <c r="AU127" i="10" s="1"/>
  <c r="S807" i="7"/>
  <c r="S809" i="7" s="1"/>
  <c r="S811" i="7" s="1"/>
  <c r="S820" i="7" s="1"/>
  <c r="S267" i="7"/>
  <c r="AL127" i="10"/>
  <c r="S319" i="7"/>
  <c r="S108" i="7"/>
  <c r="S7" i="7"/>
  <c r="S30" i="7" s="1"/>
  <c r="AL67" i="10"/>
  <c r="AN67" i="10" s="1"/>
  <c r="S316" i="7"/>
  <c r="Q598" i="34"/>
  <c r="Q599" i="34" s="1"/>
  <c r="Q601" i="34" s="1"/>
  <c r="Q242" i="34" s="1"/>
  <c r="AE69" i="42"/>
  <c r="R33" i="60" s="1"/>
  <c r="S292" i="7"/>
  <c r="S22" i="7" s="1"/>
  <c r="S1044" i="7"/>
  <c r="S384" i="7"/>
  <c r="S400" i="7" s="1"/>
  <c r="S13" i="7" s="1"/>
  <c r="S251" i="7"/>
  <c r="AM127" i="10"/>
  <c r="S347" i="7"/>
  <c r="AM103" i="10"/>
  <c r="AN103" i="10" s="1"/>
  <c r="AN66" i="10"/>
  <c r="P102" i="13"/>
  <c r="P12" i="13"/>
  <c r="S583" i="7"/>
  <c r="S585" i="7" s="1"/>
  <c r="S596" i="7" s="1"/>
  <c r="Q103" i="17"/>
  <c r="Q294" i="15"/>
  <c r="Q316" i="15" s="1"/>
  <c r="BI20" i="42"/>
  <c r="Q748" i="34"/>
  <c r="Q551" i="34"/>
  <c r="Q552" i="34" s="1"/>
  <c r="Q561" i="34" s="1"/>
  <c r="Q254" i="34" s="1"/>
  <c r="Q494" i="34"/>
  <c r="Q108" i="15"/>
  <c r="Q15" i="15" s="1"/>
  <c r="Q86" i="15"/>
  <c r="Q326" i="34" s="1"/>
  <c r="P12" i="42"/>
  <c r="Q117" i="15"/>
  <c r="Q554" i="34"/>
  <c r="Q289" i="34"/>
  <c r="Q352" i="34" s="1"/>
  <c r="Q378" i="34"/>
  <c r="BI21" i="42"/>
  <c r="Q116" i="15" s="1"/>
  <c r="S121" i="8"/>
  <c r="Q105" i="16"/>
  <c r="Q245" i="15"/>
  <c r="Q267" i="15" s="1"/>
  <c r="AT20" i="42"/>
  <c r="S43" i="8"/>
  <c r="S319" i="5"/>
  <c r="S321" i="5" s="1"/>
  <c r="S323" i="5" s="1"/>
  <c r="S333" i="5" s="1"/>
  <c r="S95" i="5"/>
  <c r="S99" i="5" s="1"/>
  <c r="Q112" i="3"/>
  <c r="S479" i="5"/>
  <c r="S154" i="5"/>
  <c r="S68" i="5"/>
  <c r="S477" i="5"/>
  <c r="S388" i="5"/>
  <c r="S390" i="5" s="1"/>
  <c r="S399" i="5" s="1"/>
  <c r="S197" i="5"/>
  <c r="S194" i="5"/>
  <c r="S196" i="5" s="1"/>
  <c r="S1621" i="6"/>
  <c r="Q116" i="3" s="1"/>
  <c r="Q117" i="3" s="1"/>
  <c r="S499" i="5"/>
  <c r="S501" i="5" s="1"/>
  <c r="S10" i="5"/>
  <c r="S31" i="5"/>
  <c r="Q6" i="3"/>
  <c r="S833" i="4"/>
  <c r="S834" i="4" s="1"/>
  <c r="S836" i="4" s="1"/>
  <c r="S843" i="4" s="1"/>
  <c r="S650" i="4"/>
  <c r="S652" i="4" s="1"/>
  <c r="S659" i="4" s="1"/>
  <c r="S408" i="4"/>
  <c r="Q48" i="3"/>
  <c r="AE21" i="42"/>
  <c r="R80" i="4"/>
  <c r="R17" i="4" s="1"/>
  <c r="S69" i="4"/>
  <c r="S297" i="4"/>
  <c r="S21" i="4" s="1"/>
  <c r="S267" i="4"/>
  <c r="S222" i="4"/>
  <c r="S11" i="4"/>
  <c r="S299" i="4"/>
  <c r="S121" i="4"/>
  <c r="S159" i="4" s="1"/>
  <c r="S589" i="4"/>
  <c r="S148" i="4" s="1"/>
  <c r="AN236" i="10"/>
  <c r="AM140" i="11" s="1"/>
  <c r="S127" i="4"/>
  <c r="S162" i="4" s="1"/>
  <c r="S701" i="4"/>
  <c r="S703" i="4" s="1"/>
  <c r="S714" i="4" s="1"/>
  <c r="S113" i="4"/>
  <c r="AE11" i="42" s="1"/>
  <c r="Q774" i="34"/>
  <c r="S459" i="4"/>
  <c r="S9" i="4"/>
  <c r="S192" i="4"/>
  <c r="S19" i="4" s="1"/>
  <c r="S584" i="4"/>
  <c r="S871" i="4" s="1"/>
  <c r="AE8" i="42"/>
  <c r="S581" i="4"/>
  <c r="S142" i="4"/>
  <c r="AH11" i="54"/>
  <c r="AH18" i="54" s="1"/>
  <c r="AH20" i="54" s="1"/>
  <c r="J20" i="4"/>
  <c r="J30" i="4" s="1"/>
  <c r="S44" i="4"/>
  <c r="S722" i="6"/>
  <c r="P20" i="58"/>
  <c r="Q141" i="3"/>
  <c r="Q142" i="3" s="1"/>
  <c r="DD135" i="9"/>
  <c r="CQ135" i="9"/>
  <c r="DE135" i="9" s="1"/>
  <c r="DE179" i="9"/>
  <c r="S1382" i="6"/>
  <c r="S464" i="6" s="1"/>
  <c r="CD179" i="9"/>
  <c r="Q208" i="3"/>
  <c r="Q210" i="3" s="1"/>
  <c r="P56" i="13"/>
  <c r="DD136" i="9"/>
  <c r="CQ136" i="9"/>
  <c r="DE136" i="9" s="1"/>
  <c r="S1974" i="6"/>
  <c r="S688" i="6" s="1"/>
  <c r="CD209" i="9"/>
  <c r="AM250" i="10"/>
  <c r="S39" i="14"/>
  <c r="L1149" i="6" s="1"/>
  <c r="R91" i="10"/>
  <c r="DD33" i="9"/>
  <c r="CQ33" i="9"/>
  <c r="DE33" i="9" s="1"/>
  <c r="DD206" i="9"/>
  <c r="CQ206" i="9"/>
  <c r="DE206" i="9" s="1"/>
  <c r="DD134" i="9"/>
  <c r="CQ134" i="9"/>
  <c r="DE134" i="9" s="1"/>
  <c r="DD63" i="9"/>
  <c r="CQ63" i="9"/>
  <c r="DE63" i="9" s="1"/>
  <c r="K198" i="14"/>
  <c r="K155" i="14"/>
  <c r="DD22" i="9"/>
  <c r="CQ22" i="9"/>
  <c r="DE22" i="9" s="1"/>
  <c r="CD25" i="9"/>
  <c r="AG40" i="42"/>
  <c r="C40" i="42" s="1"/>
  <c r="AE40" i="42"/>
  <c r="Q300" i="3"/>
  <c r="Q291" i="3"/>
  <c r="O5" i="58"/>
  <c r="X6" i="26"/>
  <c r="CS82" i="22"/>
  <c r="CF82" i="22"/>
  <c r="CS7" i="22"/>
  <c r="CF7" i="22"/>
  <c r="CS10" i="22"/>
  <c r="CF10" i="22"/>
  <c r="CS79" i="22"/>
  <c r="CF79" i="22"/>
  <c r="CS12" i="22"/>
  <c r="CF12" i="22"/>
  <c r="CS104" i="22"/>
  <c r="CF104" i="22"/>
  <c r="CS84" i="22"/>
  <c r="CF84" i="22"/>
  <c r="CS8" i="22"/>
  <c r="CF8" i="22"/>
  <c r="CS77" i="22"/>
  <c r="CF77" i="22"/>
  <c r="CS6" i="22"/>
  <c r="CF6" i="22"/>
  <c r="CS60" i="22"/>
  <c r="CF60" i="22"/>
  <c r="Q2073" i="6"/>
  <c r="S879" i="6"/>
  <c r="CR73" i="21"/>
  <c r="P693" i="34" s="1"/>
  <c r="AJ39" i="10"/>
  <c r="AT39" i="10" s="1"/>
  <c r="V79" i="42"/>
  <c r="I43" i="60" s="1"/>
  <c r="H481" i="34"/>
  <c r="H535" i="34" s="1"/>
  <c r="H519" i="34" s="1"/>
  <c r="H528" i="34" s="1"/>
  <c r="G19" i="42"/>
  <c r="H469" i="34" s="1"/>
  <c r="J215" i="14"/>
  <c r="J128" i="14"/>
  <c r="Q219" i="9"/>
  <c r="Q221" i="9" s="1"/>
  <c r="DE209" i="9"/>
  <c r="DD51" i="9"/>
  <c r="CQ51" i="9"/>
  <c r="DE51" i="9" s="1"/>
  <c r="DD31" i="9"/>
  <c r="CQ31" i="9"/>
  <c r="DE31" i="9" s="1"/>
  <c r="DD46" i="9"/>
  <c r="CQ46" i="9"/>
  <c r="DE46" i="9" s="1"/>
  <c r="DD41" i="9"/>
  <c r="CQ41" i="9"/>
  <c r="DE41" i="9" s="1"/>
  <c r="DD167" i="9"/>
  <c r="CQ167" i="9"/>
  <c r="DE167" i="9" s="1"/>
  <c r="DD103" i="9"/>
  <c r="CQ103" i="9"/>
  <c r="DE103" i="9" s="1"/>
  <c r="DD104" i="9"/>
  <c r="CQ104" i="9"/>
  <c r="DE104" i="9" s="1"/>
  <c r="DD150" i="9"/>
  <c r="CQ150" i="9"/>
  <c r="DE150" i="9" s="1"/>
  <c r="DD106" i="9"/>
  <c r="CQ106" i="9"/>
  <c r="DE106" i="9" s="1"/>
  <c r="DD148" i="9"/>
  <c r="CQ148" i="9"/>
  <c r="DE148" i="9" s="1"/>
  <c r="DD10" i="9"/>
  <c r="CQ10" i="9"/>
  <c r="DE10" i="9" s="1"/>
  <c r="AT250" i="10"/>
  <c r="Q461" i="6"/>
  <c r="Q1521" i="6"/>
  <c r="S1474" i="6"/>
  <c r="Q120" i="6"/>
  <c r="Q2053" i="6"/>
  <c r="Q169" i="6"/>
  <c r="Q2074" i="6"/>
  <c r="Q15" i="6"/>
  <c r="Q47" i="6" s="1"/>
  <c r="Q602" i="6"/>
  <c r="Q456" i="6"/>
  <c r="Q2079" i="6"/>
  <c r="Q234" i="6"/>
  <c r="Q2055" i="6"/>
  <c r="Q495" i="6"/>
  <c r="Q383" i="6"/>
  <c r="Q2078" i="6"/>
  <c r="S1018" i="6"/>
  <c r="S950" i="6"/>
  <c r="S55" i="6"/>
  <c r="AE22" i="42" s="1"/>
  <c r="S1585" i="6"/>
  <c r="S1370" i="6"/>
  <c r="P15" i="34"/>
  <c r="P31" i="34"/>
  <c r="P8" i="34"/>
  <c r="P613" i="34"/>
  <c r="P244" i="34" s="1"/>
  <c r="N101" i="34"/>
  <c r="M208" i="34"/>
  <c r="M100" i="20"/>
  <c r="N64" i="20"/>
  <c r="M102" i="20"/>
  <c r="K154" i="22"/>
  <c r="J70" i="17"/>
  <c r="K178" i="3"/>
  <c r="K179" i="3" s="1"/>
  <c r="BC19" i="42"/>
  <c r="V21" i="20"/>
  <c r="V23" i="20" s="1"/>
  <c r="X20" i="20" s="1"/>
  <c r="M536" i="8"/>
  <c r="J504" i="34"/>
  <c r="BB52" i="42"/>
  <c r="BB54" i="42" s="1"/>
  <c r="J34" i="3"/>
  <c r="K202" i="3"/>
  <c r="K173" i="3"/>
  <c r="I150" i="34"/>
  <c r="I154" i="34"/>
  <c r="I156" i="34" s="1"/>
  <c r="AD11" i="42"/>
  <c r="P368" i="34" s="1"/>
  <c r="P300" i="3"/>
  <c r="P291" i="3"/>
  <c r="Q139" i="4"/>
  <c r="O291" i="3"/>
  <c r="O300" i="3"/>
  <c r="P1127" i="7"/>
  <c r="K21" i="11"/>
  <c r="AE143" i="11"/>
  <c r="AF143" i="11" s="1"/>
  <c r="J149" i="14"/>
  <c r="J148" i="14" s="1"/>
  <c r="G81" i="13"/>
  <c r="J899" i="4"/>
  <c r="J904" i="4" s="1"/>
  <c r="H24" i="3"/>
  <c r="H480" i="34"/>
  <c r="H534" i="34" s="1"/>
  <c r="H518" i="34" s="1"/>
  <c r="O69" i="14"/>
  <c r="O73" i="14" s="1"/>
  <c r="O76" i="14" s="1"/>
  <c r="Q72" i="14" s="1"/>
  <c r="H155" i="3"/>
  <c r="J92" i="14"/>
  <c r="I201" i="14"/>
  <c r="O113" i="14"/>
  <c r="AA49" i="14" s="1"/>
  <c r="O114" i="14"/>
  <c r="AB49" i="14" s="1"/>
  <c r="L2056" i="6"/>
  <c r="L291" i="6"/>
  <c r="M2076" i="6"/>
  <c r="M280" i="6"/>
  <c r="M2056" i="6" s="1"/>
  <c r="O190" i="14"/>
  <c r="P85" i="14" s="1"/>
  <c r="O115" i="14"/>
  <c r="P210" i="14"/>
  <c r="O143" i="4"/>
  <c r="O850" i="4" s="1"/>
  <c r="P551" i="6"/>
  <c r="P2061" i="6" s="1"/>
  <c r="Q81" i="37"/>
  <c r="Q84" i="37" s="1"/>
  <c r="P98" i="37"/>
  <c r="P100" i="37" s="1"/>
  <c r="I181" i="3" s="1"/>
  <c r="D41" i="3"/>
  <c r="D42" i="3" s="1"/>
  <c r="E187" i="42"/>
  <c r="D27" i="15"/>
  <c r="D140" i="15"/>
  <c r="F293" i="34"/>
  <c r="AS54" i="42"/>
  <c r="Q211" i="14"/>
  <c r="P120" i="14"/>
  <c r="P191" i="14"/>
  <c r="Q86" i="14" s="1"/>
  <c r="F651" i="34"/>
  <c r="F266" i="34" s="1"/>
  <c r="P7" i="34"/>
  <c r="P407" i="34"/>
  <c r="J767" i="4"/>
  <c r="J881" i="4"/>
  <c r="J267" i="4"/>
  <c r="D893" i="4"/>
  <c r="D328" i="15"/>
  <c r="R314" i="6"/>
  <c r="R10" i="6" s="1"/>
  <c r="N32" i="13"/>
  <c r="N51" i="13" s="1"/>
  <c r="AC34" i="42" s="1"/>
  <c r="N34" i="42" s="1"/>
  <c r="AF246" i="10"/>
  <c r="Q1776" i="6" s="1"/>
  <c r="N695" i="34"/>
  <c r="N204" i="34" s="1"/>
  <c r="O99" i="34"/>
  <c r="O101" i="34" s="1"/>
  <c r="M381" i="8"/>
  <c r="K45" i="17" s="1"/>
  <c r="J454" i="34"/>
  <c r="J325" i="7"/>
  <c r="E12" i="60"/>
  <c r="T88" i="42"/>
  <c r="E42" i="60"/>
  <c r="A20" i="60"/>
  <c r="N701" i="34"/>
  <c r="N207" i="34" s="1"/>
  <c r="N208" i="34" s="1"/>
  <c r="R343" i="6"/>
  <c r="CR142" i="22"/>
  <c r="O699" i="34" s="1"/>
  <c r="CS142" i="22"/>
  <c r="P699" i="34" s="1"/>
  <c r="P294" i="15"/>
  <c r="P316" i="15" s="1"/>
  <c r="BH20" i="42"/>
  <c r="P103" i="17"/>
  <c r="AR29" i="42"/>
  <c r="O84" i="15"/>
  <c r="O559" i="34"/>
  <c r="O694" i="34" s="1"/>
  <c r="AS20" i="42"/>
  <c r="P105" i="16"/>
  <c r="P245" i="15"/>
  <c r="P267" i="15" s="1"/>
  <c r="P68" i="20"/>
  <c r="T69" i="20"/>
  <c r="O666" i="34"/>
  <c r="P660" i="34"/>
  <c r="Q101" i="1"/>
  <c r="P108" i="1"/>
  <c r="P119" i="1" s="1"/>
  <c r="O574" i="34"/>
  <c r="O700" i="34" s="1"/>
  <c r="BG29" i="42"/>
  <c r="O115" i="15"/>
  <c r="P153" i="34"/>
  <c r="Q153" i="34" s="1"/>
  <c r="Q29" i="34" s="1"/>
  <c r="O29" i="34"/>
  <c r="P606" i="6"/>
  <c r="P2062" i="6" s="1"/>
  <c r="R1972" i="6"/>
  <c r="R686" i="6" s="1"/>
  <c r="R583" i="4"/>
  <c r="R585" i="4" s="1"/>
  <c r="R593" i="4" s="1"/>
  <c r="C277" i="48"/>
  <c r="P141" i="4"/>
  <c r="P143" i="4" s="1"/>
  <c r="R871" i="4"/>
  <c r="R34" i="4" s="1"/>
  <c r="T202" i="48"/>
  <c r="AA77" i="42"/>
  <c r="N41" i="60" s="1"/>
  <c r="M50" i="15"/>
  <c r="BF17" i="42"/>
  <c r="N112" i="15" s="1"/>
  <c r="V12" i="26"/>
  <c r="L17" i="42"/>
  <c r="M81" i="15"/>
  <c r="K77" i="42"/>
  <c r="M15" i="60" s="1"/>
  <c r="S15" i="26"/>
  <c r="S25" i="26" s="1"/>
  <c r="S27" i="26" s="1"/>
  <c r="W6" i="26"/>
  <c r="AQ17" i="42"/>
  <c r="N81" i="15" s="1"/>
  <c r="V11" i="26"/>
  <c r="U10" i="26"/>
  <c r="AB17" i="42" s="1"/>
  <c r="T159" i="48"/>
  <c r="C38" i="13"/>
  <c r="C41" i="13" s="1"/>
  <c r="E275" i="48"/>
  <c r="H275" i="48" s="1"/>
  <c r="E278" i="48"/>
  <c r="H278" i="48" s="1"/>
  <c r="R142" i="4"/>
  <c r="E276" i="48"/>
  <c r="H276" i="48" s="1"/>
  <c r="T177" i="48"/>
  <c r="E282" i="48"/>
  <c r="H282" i="48" s="1"/>
  <c r="S204" i="48"/>
  <c r="O162" i="48"/>
  <c r="O165" i="48"/>
  <c r="C165" i="48"/>
  <c r="C162" i="48"/>
  <c r="E277" i="48"/>
  <c r="H277" i="48" s="1"/>
  <c r="T200" i="48"/>
  <c r="J209" i="48"/>
  <c r="J206" i="48"/>
  <c r="K206" i="48"/>
  <c r="K209" i="48"/>
  <c r="E206" i="48"/>
  <c r="E209" i="48"/>
  <c r="H274" i="48"/>
  <c r="C209" i="48"/>
  <c r="C206" i="48"/>
  <c r="T134" i="48"/>
  <c r="C281" i="48"/>
  <c r="C279" i="48"/>
  <c r="T152" i="48"/>
  <c r="Q162" i="48"/>
  <c r="Q165" i="48"/>
  <c r="D284" i="48"/>
  <c r="T178" i="48"/>
  <c r="E281" i="48"/>
  <c r="H281" i="48" s="1"/>
  <c r="T155" i="48"/>
  <c r="C276" i="48"/>
  <c r="E279" i="48"/>
  <c r="H279" i="48" s="1"/>
  <c r="T196" i="48"/>
  <c r="S18" i="42"/>
  <c r="C117" i="13"/>
  <c r="C188" i="15"/>
  <c r="Q209" i="48"/>
  <c r="Q206" i="48"/>
  <c r="K165" i="48"/>
  <c r="K162" i="48"/>
  <c r="C278" i="48"/>
  <c r="T154" i="48"/>
  <c r="T135" i="48"/>
  <c r="C283" i="48"/>
  <c r="T158" i="48"/>
  <c r="C274" i="48"/>
  <c r="E280" i="48"/>
  <c r="H280" i="48" s="1"/>
  <c r="T201" i="48"/>
  <c r="C280" i="48"/>
  <c r="T157" i="48"/>
  <c r="F284" i="48"/>
  <c r="H273" i="48" s="1"/>
  <c r="E162" i="48"/>
  <c r="E165" i="48"/>
  <c r="O209" i="48"/>
  <c r="O206" i="48"/>
  <c r="T179" i="48"/>
  <c r="E283" i="48"/>
  <c r="H283" i="48" s="1"/>
  <c r="C282" i="48"/>
  <c r="S160" i="48"/>
  <c r="T133" i="48"/>
  <c r="J162" i="48"/>
  <c r="J165" i="48"/>
  <c r="R115" i="4"/>
  <c r="R8" i="4" s="1"/>
  <c r="A42" i="15"/>
  <c r="Q14" i="42"/>
  <c r="Q26" i="42" s="1"/>
  <c r="Q73" i="42"/>
  <c r="B10" i="42"/>
  <c r="B42" i="15"/>
  <c r="R73" i="42"/>
  <c r="R14" i="42"/>
  <c r="R26" i="42" s="1"/>
  <c r="C10" i="42"/>
  <c r="B132" i="15"/>
  <c r="B134" i="15" s="1"/>
  <c r="B140" i="15" s="1"/>
  <c r="B151" i="3" s="1"/>
  <c r="D808" i="34"/>
  <c r="D810" i="34" s="1"/>
  <c r="B189" i="15"/>
  <c r="B195" i="15" s="1"/>
  <c r="B220" i="15" s="1"/>
  <c r="B225" i="15" s="1"/>
  <c r="A59" i="13"/>
  <c r="A83" i="13" s="1"/>
  <c r="A88" i="13" s="1"/>
  <c r="A17" i="3"/>
  <c r="A18" i="3" s="1"/>
  <c r="B59" i="13"/>
  <c r="B83" i="13" s="1"/>
  <c r="B88" i="13" s="1"/>
  <c r="B17" i="3"/>
  <c r="B18" i="3" s="1"/>
  <c r="A132" i="15"/>
  <c r="A134" i="15" s="1"/>
  <c r="A140" i="15" s="1"/>
  <c r="A165" i="15" s="1"/>
  <c r="C808" i="34"/>
  <c r="C810" i="34" s="1"/>
  <c r="A189" i="15"/>
  <c r="A195" i="15" s="1"/>
  <c r="A220" i="15" s="1"/>
  <c r="A225" i="15" s="1"/>
  <c r="S10" i="42"/>
  <c r="C116" i="13"/>
  <c r="C187" i="15"/>
  <c r="C46" i="13"/>
  <c r="C52" i="13" s="1"/>
  <c r="Q593" i="4"/>
  <c r="I284" i="48"/>
  <c r="Q194" i="4"/>
  <c r="Q863" i="4" s="1"/>
  <c r="L20" i="13"/>
  <c r="L23" i="13" s="1"/>
  <c r="CQ73" i="21"/>
  <c r="CQ74" i="21" s="1"/>
  <c r="O65" i="13"/>
  <c r="AD30" i="42"/>
  <c r="O30" i="42" s="1"/>
  <c r="P192" i="15"/>
  <c r="R152" i="7"/>
  <c r="R9" i="7" s="1"/>
  <c r="AK103" i="10"/>
  <c r="AU103" i="10" s="1"/>
  <c r="O216" i="15"/>
  <c r="O137" i="15"/>
  <c r="O161" i="15" s="1"/>
  <c r="AB34" i="42"/>
  <c r="M34" i="42" s="1"/>
  <c r="R238" i="7"/>
  <c r="R1142" i="7" s="1"/>
  <c r="BY209" i="9"/>
  <c r="W17" i="37"/>
  <c r="V115" i="37"/>
  <c r="W12" i="37"/>
  <c r="V116" i="37"/>
  <c r="Q1143" i="7"/>
  <c r="Q9" i="7"/>
  <c r="M69" i="13"/>
  <c r="P165" i="7"/>
  <c r="N252" i="3"/>
  <c r="AK67" i="10"/>
  <c r="AU67" i="10" s="1"/>
  <c r="M218" i="15"/>
  <c r="AJ94" i="10"/>
  <c r="O103" i="3"/>
  <c r="J209" i="14"/>
  <c r="J189" i="14" s="1"/>
  <c r="K84" i="14" s="1"/>
  <c r="Q62" i="14"/>
  <c r="Q63" i="14" s="1"/>
  <c r="K1115" i="7" s="1"/>
  <c r="K430" i="7" s="1"/>
  <c r="K48" i="7" s="1"/>
  <c r="I21" i="3" s="1"/>
  <c r="H13" i="7"/>
  <c r="Q133" i="42"/>
  <c r="Q134" i="42" s="1"/>
  <c r="R360" i="7"/>
  <c r="R38" i="7" s="1"/>
  <c r="R585" i="7"/>
  <c r="R596" i="7" s="1"/>
  <c r="AJ140" i="11"/>
  <c r="AK140" i="11" s="1"/>
  <c r="AL140" i="11" s="1"/>
  <c r="AU236" i="10"/>
  <c r="AS127" i="10"/>
  <c r="AJ156" i="11"/>
  <c r="AK156" i="11" s="1"/>
  <c r="AL156" i="11" s="1"/>
  <c r="AN156" i="11" s="1"/>
  <c r="AU253" i="10"/>
  <c r="AD21" i="42"/>
  <c r="P54" i="15" s="1"/>
  <c r="P23" i="15" s="1"/>
  <c r="R1155" i="7"/>
  <c r="R531" i="7"/>
  <c r="R424" i="7"/>
  <c r="R21" i="7"/>
  <c r="R69" i="7"/>
  <c r="R7" i="7" s="1"/>
  <c r="R13" i="7"/>
  <c r="R267" i="7"/>
  <c r="R707" i="7"/>
  <c r="R1153" i="7"/>
  <c r="P67" i="3"/>
  <c r="R183" i="7"/>
  <c r="O586" i="34"/>
  <c r="O587" i="34" s="1"/>
  <c r="O589" i="34" s="1"/>
  <c r="O240" i="34" s="1"/>
  <c r="C231" i="42"/>
  <c r="J408" i="8"/>
  <c r="K408" i="8" s="1"/>
  <c r="L408" i="8" s="1"/>
  <c r="M408" i="8" s="1"/>
  <c r="N408" i="8" s="1"/>
  <c r="O408" i="8" s="1"/>
  <c r="P408" i="8" s="1"/>
  <c r="Q408" i="8" s="1"/>
  <c r="R408" i="8" s="1"/>
  <c r="S408" i="8" s="1"/>
  <c r="S135" i="8" s="1"/>
  <c r="S145" i="8" s="1"/>
  <c r="P383" i="34"/>
  <c r="P496" i="34"/>
  <c r="P522" i="34"/>
  <c r="P472" i="34"/>
  <c r="O8" i="15"/>
  <c r="P74" i="20"/>
  <c r="Q74" i="20"/>
  <c r="AH54" i="11"/>
  <c r="AI54" i="11" s="1"/>
  <c r="N56" i="13"/>
  <c r="O198" i="15" s="1"/>
  <c r="P208" i="3"/>
  <c r="P210" i="3" s="1"/>
  <c r="N63" i="3"/>
  <c r="N64" i="3" s="1"/>
  <c r="N144" i="3"/>
  <c r="N147" i="3" s="1"/>
  <c r="M142" i="13"/>
  <c r="N198" i="15"/>
  <c r="N784" i="34" s="1"/>
  <c r="P863" i="4"/>
  <c r="R1700" i="6"/>
  <c r="R1702" i="6" s="1"/>
  <c r="R1713" i="6" s="1"/>
  <c r="R547" i="6"/>
  <c r="R549" i="6" s="1"/>
  <c r="R2093" i="6"/>
  <c r="R55" i="6" s="1"/>
  <c r="P141" i="3"/>
  <c r="P142" i="3" s="1"/>
  <c r="N40" i="13"/>
  <c r="N355" i="34"/>
  <c r="R1771" i="6"/>
  <c r="AJ246" i="10" s="1"/>
  <c r="AG259" i="10"/>
  <c r="R1006" i="6"/>
  <c r="R1009" i="6" s="1"/>
  <c r="R1018" i="6" s="1"/>
  <c r="P758" i="34"/>
  <c r="R700" i="6"/>
  <c r="R578" i="6"/>
  <c r="O612" i="6"/>
  <c r="O617" i="6" s="1"/>
  <c r="O1781" i="6"/>
  <c r="M200" i="3" s="1"/>
  <c r="P1776" i="6"/>
  <c r="AE246" i="10"/>
  <c r="AD152" i="11" s="1"/>
  <c r="AE152" i="11" s="1"/>
  <c r="AF152" i="11" s="1"/>
  <c r="AF47" i="42"/>
  <c r="B40" i="42"/>
  <c r="A75" i="15"/>
  <c r="P44" i="15"/>
  <c r="AD47" i="42"/>
  <c r="O47" i="42" s="1"/>
  <c r="O40" i="42"/>
  <c r="N524" i="34"/>
  <c r="N474" i="34"/>
  <c r="AA20" i="42"/>
  <c r="M545" i="34" s="1"/>
  <c r="O9" i="58"/>
  <c r="N367" i="34"/>
  <c r="N486" i="34" s="1"/>
  <c r="N540" i="34"/>
  <c r="P1777" i="6"/>
  <c r="P613" i="6" s="1"/>
  <c r="AD259" i="10"/>
  <c r="O307" i="34"/>
  <c r="O13" i="15"/>
  <c r="O291" i="34" s="1"/>
  <c r="O354" i="34" s="1"/>
  <c r="L158" i="15"/>
  <c r="AH246" i="10"/>
  <c r="AG152" i="11" s="1"/>
  <c r="AD69" i="42"/>
  <c r="Q33" i="60" s="1"/>
  <c r="C541" i="34"/>
  <c r="R166" i="6"/>
  <c r="R169" i="6" s="1"/>
  <c r="P39" i="15"/>
  <c r="P8" i="15" s="1"/>
  <c r="C314" i="34"/>
  <c r="O7" i="42"/>
  <c r="O69" i="42" s="1"/>
  <c r="Q7" i="60" s="1"/>
  <c r="P2075" i="6"/>
  <c r="P223" i="6"/>
  <c r="R221" i="6"/>
  <c r="R218" i="6"/>
  <c r="R24" i="6" s="1"/>
  <c r="M9" i="3"/>
  <c r="M10" i="3" s="1"/>
  <c r="AH239" i="10"/>
  <c r="AG143" i="11" s="1"/>
  <c r="O20" i="58"/>
  <c r="R8" i="6"/>
  <c r="O83" i="14"/>
  <c r="N105" i="14"/>
  <c r="J125" i="14"/>
  <c r="J192" i="14"/>
  <c r="K87" i="14" s="1"/>
  <c r="Z60" i="14"/>
  <c r="O188" i="14"/>
  <c r="P208" i="14"/>
  <c r="K231" i="4"/>
  <c r="C199" i="42"/>
  <c r="L195" i="8"/>
  <c r="I439" i="34"/>
  <c r="G6" i="16"/>
  <c r="H7" i="8"/>
  <c r="I7" i="8" s="1"/>
  <c r="M142" i="34"/>
  <c r="N140" i="34"/>
  <c r="M785" i="34"/>
  <c r="P146" i="3"/>
  <c r="P198" i="15"/>
  <c r="P144" i="3"/>
  <c r="O142" i="13"/>
  <c r="P63" i="3"/>
  <c r="P64" i="3" s="1"/>
  <c r="BX221" i="9"/>
  <c r="N681" i="34"/>
  <c r="J140" i="14"/>
  <c r="J195" i="14"/>
  <c r="K90" i="14" s="1"/>
  <c r="M158" i="14"/>
  <c r="X50" i="14"/>
  <c r="X51" i="14" s="1"/>
  <c r="N1063" i="6" s="1"/>
  <c r="DD221" i="9"/>
  <c r="P687" i="34" s="1"/>
  <c r="DC221" i="9"/>
  <c r="O687" i="34" s="1"/>
  <c r="N32" i="5"/>
  <c r="N43" i="5" s="1"/>
  <c r="Q154" i="5"/>
  <c r="Q165" i="5" s="1"/>
  <c r="R452" i="5"/>
  <c r="R460" i="5" s="1"/>
  <c r="M48" i="13"/>
  <c r="AB20" i="42" s="1"/>
  <c r="AB29" i="42" s="1"/>
  <c r="M29" i="42" s="1"/>
  <c r="R197" i="5"/>
  <c r="R194" i="5"/>
  <c r="Q508" i="5"/>
  <c r="Q510" i="5" s="1"/>
  <c r="Q512" i="5" s="1"/>
  <c r="Q19" i="5"/>
  <c r="Q28" i="5" s="1"/>
  <c r="Q196" i="5"/>
  <c r="R477" i="5"/>
  <c r="R68" i="5"/>
  <c r="P21" i="5"/>
  <c r="M19" i="13" s="1"/>
  <c r="Q79" i="5"/>
  <c r="Q466" i="5"/>
  <c r="N22" i="13"/>
  <c r="N103" i="13"/>
  <c r="P480" i="5"/>
  <c r="P482" i="5" s="1"/>
  <c r="P514" i="5" s="1"/>
  <c r="P198" i="5"/>
  <c r="R31" i="5"/>
  <c r="P6" i="3"/>
  <c r="Z80" i="42"/>
  <c r="M44" i="60" s="1"/>
  <c r="L545" i="34"/>
  <c r="Z29" i="42"/>
  <c r="K29" i="42" s="1"/>
  <c r="K20" i="42"/>
  <c r="K80" i="42" s="1"/>
  <c r="M18" i="60" s="1"/>
  <c r="H85" i="3"/>
  <c r="N6" i="11"/>
  <c r="M21" i="11"/>
  <c r="R297" i="4"/>
  <c r="R21" i="4" s="1"/>
  <c r="R192" i="4"/>
  <c r="R19" i="4" s="1"/>
  <c r="R29" i="4" s="1"/>
  <c r="AC72" i="42"/>
  <c r="P36" i="60" s="1"/>
  <c r="O8" i="3"/>
  <c r="C330" i="15"/>
  <c r="E453" i="34"/>
  <c r="E457" i="34" s="1"/>
  <c r="E462" i="34" s="1"/>
  <c r="E276" i="34" s="1"/>
  <c r="E677" i="34"/>
  <c r="E282" i="34" s="1"/>
  <c r="B229" i="3"/>
  <c r="B175" i="15"/>
  <c r="P120" i="7"/>
  <c r="N11" i="42"/>
  <c r="N72" i="42" s="1"/>
  <c r="P10" i="60" s="1"/>
  <c r="O368" i="34"/>
  <c r="R1372" i="6"/>
  <c r="R1375" i="6" s="1"/>
  <c r="R1383" i="6" s="1"/>
  <c r="M133" i="13"/>
  <c r="M213" i="15"/>
  <c r="M84" i="3"/>
  <c r="R703" i="4"/>
  <c r="R714" i="4" s="1"/>
  <c r="Q240" i="7"/>
  <c r="Q251" i="7" s="1"/>
  <c r="N783" i="34"/>
  <c r="N213" i="3"/>
  <c r="R1621" i="6"/>
  <c r="P116" i="3" s="1"/>
  <c r="P117" i="3" s="1"/>
  <c r="R1463" i="6"/>
  <c r="R1465" i="6" s="1"/>
  <c r="R1474" i="6" s="1"/>
  <c r="R1510" i="6"/>
  <c r="AI239" i="10" s="1"/>
  <c r="AS239" i="10" s="1"/>
  <c r="R1143" i="6"/>
  <c r="R1145" i="6" s="1"/>
  <c r="R1154" i="6" s="1"/>
  <c r="O767" i="34"/>
  <c r="O779" i="34" s="1"/>
  <c r="O7" i="3"/>
  <c r="N104" i="13"/>
  <c r="N30" i="13"/>
  <c r="P2079" i="6"/>
  <c r="P456" i="6"/>
  <c r="R1234" i="6"/>
  <c r="R365" i="6"/>
  <c r="R371" i="6" s="1"/>
  <c r="R93" i="6"/>
  <c r="R105" i="6" s="1"/>
  <c r="R800" i="6"/>
  <c r="R802" i="6" s="1"/>
  <c r="R804" i="6" s="1"/>
  <c r="R813" i="6" s="1"/>
  <c r="O394" i="6"/>
  <c r="O2058" i="6"/>
  <c r="M107" i="13"/>
  <c r="M64" i="13" s="1"/>
  <c r="N9" i="3" s="1"/>
  <c r="N10" i="3" s="1"/>
  <c r="P109" i="6"/>
  <c r="P2073" i="6"/>
  <c r="P383" i="6"/>
  <c r="P2078" i="6"/>
  <c r="R1572" i="6"/>
  <c r="R1574" i="6" s="1"/>
  <c r="R1585" i="6" s="1"/>
  <c r="R108" i="6"/>
  <c r="R2090" i="6"/>
  <c r="P562" i="6"/>
  <c r="O120" i="6"/>
  <c r="O2053" i="6"/>
  <c r="R340" i="6"/>
  <c r="R451" i="6"/>
  <c r="R28" i="6" s="1"/>
  <c r="R418" i="6"/>
  <c r="O2059" i="6"/>
  <c r="O465" i="6"/>
  <c r="P750" i="34"/>
  <c r="P752" i="34" s="1"/>
  <c r="N71" i="3"/>
  <c r="N72" i="3" s="1"/>
  <c r="AB49" i="42"/>
  <c r="M49" i="42" s="1"/>
  <c r="Z71" i="11"/>
  <c r="Y77" i="11"/>
  <c r="R462" i="6"/>
  <c r="Q110" i="7"/>
  <c r="Q1126" i="7" s="1"/>
  <c r="Q26" i="5"/>
  <c r="Q299" i="4"/>
  <c r="Q301" i="4" s="1"/>
  <c r="Q31" i="4"/>
  <c r="H855" i="4"/>
  <c r="I855" i="4" s="1"/>
  <c r="F74" i="34"/>
  <c r="F75" i="34" s="1"/>
  <c r="G16" i="3"/>
  <c r="H35" i="4"/>
  <c r="I35" i="4" s="1"/>
  <c r="J247" i="4"/>
  <c r="J864" i="4"/>
  <c r="L344" i="6"/>
  <c r="L2077" i="6"/>
  <c r="J133" i="14"/>
  <c r="H889" i="4"/>
  <c r="I889" i="4" s="1"/>
  <c r="O69" i="3"/>
  <c r="L49" i="42"/>
  <c r="R289" i="6"/>
  <c r="N139" i="15"/>
  <c r="N163" i="15" s="1"/>
  <c r="N218" i="15"/>
  <c r="P219" i="9"/>
  <c r="P221" i="9" s="1"/>
  <c r="BT219" i="9"/>
  <c r="BT221" i="9" s="1"/>
  <c r="O232" i="3" s="1"/>
  <c r="O46" i="15"/>
  <c r="O15" i="15" s="1"/>
  <c r="N22" i="42"/>
  <c r="O55" i="15"/>
  <c r="O24" i="15" s="1"/>
  <c r="N80" i="13"/>
  <c r="O224" i="9"/>
  <c r="O226" i="9" s="1"/>
  <c r="BY143" i="9"/>
  <c r="W7" i="37" s="1"/>
  <c r="V112" i="37"/>
  <c r="P825" i="34"/>
  <c r="P795" i="34"/>
  <c r="P801" i="34" s="1"/>
  <c r="P217" i="34"/>
  <c r="P815" i="34" s="1"/>
  <c r="P259" i="3" s="1"/>
  <c r="P599" i="34"/>
  <c r="P601" i="34" s="1"/>
  <c r="P242" i="34" s="1"/>
  <c r="P586" i="34"/>
  <c r="P587" i="34" s="1"/>
  <c r="K94" i="10"/>
  <c r="M64" i="10"/>
  <c r="M94" i="10" s="1"/>
  <c r="L45" i="11" s="1"/>
  <c r="M45" i="11" s="1"/>
  <c r="Q1128" i="7"/>
  <c r="Q165" i="7"/>
  <c r="O307" i="7"/>
  <c r="O1130" i="7"/>
  <c r="Q22" i="7"/>
  <c r="Q33" i="7" s="1"/>
  <c r="Q294" i="7"/>
  <c r="P296" i="7"/>
  <c r="P1145" i="7"/>
  <c r="R807" i="7"/>
  <c r="R285" i="7"/>
  <c r="P468" i="5"/>
  <c r="P165" i="5"/>
  <c r="H1606" i="6"/>
  <c r="I1606" i="6" s="1"/>
  <c r="U9" i="42"/>
  <c r="H481" i="6"/>
  <c r="I481" i="6" s="1"/>
  <c r="F571" i="34"/>
  <c r="F575" i="34" s="1"/>
  <c r="F576" i="34" s="1"/>
  <c r="F256" i="34" s="1"/>
  <c r="F342" i="34"/>
  <c r="R501" i="5"/>
  <c r="R27" i="5"/>
  <c r="R17" i="5"/>
  <c r="R506" i="5"/>
  <c r="M18" i="13"/>
  <c r="J281" i="48"/>
  <c r="J282" i="48"/>
  <c r="M14" i="3"/>
  <c r="O32" i="5"/>
  <c r="O43" i="5" s="1"/>
  <c r="J276" i="48"/>
  <c r="N18" i="13"/>
  <c r="J279" i="48"/>
  <c r="R12" i="5"/>
  <c r="J274" i="48"/>
  <c r="T249" i="48"/>
  <c r="S251" i="48"/>
  <c r="Q467" i="5"/>
  <c r="Q114" i="5"/>
  <c r="J280" i="48"/>
  <c r="F451" i="34"/>
  <c r="F143" i="34"/>
  <c r="F158" i="34" s="1"/>
  <c r="F163" i="34" s="1"/>
  <c r="J275" i="48"/>
  <c r="E58" i="42"/>
  <c r="J277" i="48"/>
  <c r="R478" i="5"/>
  <c r="R103" i="5"/>
  <c r="R154" i="5"/>
  <c r="R479" i="5"/>
  <c r="J283" i="48"/>
  <c r="P301" i="4"/>
  <c r="P865" i="4"/>
  <c r="R246" i="4"/>
  <c r="M900" i="4"/>
  <c r="K40" i="3"/>
  <c r="P28" i="4"/>
  <c r="Z7" i="10"/>
  <c r="O61" i="4"/>
  <c r="M881" i="4"/>
  <c r="M883" i="4" s="1"/>
  <c r="R222" i="4"/>
  <c r="M201" i="34"/>
  <c r="M793" i="34"/>
  <c r="M804" i="34" s="1"/>
  <c r="R11" i="4"/>
  <c r="C221" i="34"/>
  <c r="C796" i="34" s="1"/>
  <c r="C805" i="34" s="1"/>
  <c r="D669" i="34"/>
  <c r="C669" i="34"/>
  <c r="D818" i="34"/>
  <c r="D828" i="34" s="1"/>
  <c r="D796" i="34"/>
  <c r="D805" i="34" s="1"/>
  <c r="R127" i="4"/>
  <c r="R162" i="4" s="1"/>
  <c r="R650" i="4"/>
  <c r="R652" i="4" s="1"/>
  <c r="R659" i="4" s="1"/>
  <c r="P851" i="4"/>
  <c r="P207" i="4"/>
  <c r="F537" i="34"/>
  <c r="F309" i="34"/>
  <c r="F316" i="34" s="1"/>
  <c r="F364" i="34"/>
  <c r="M95" i="4"/>
  <c r="M849" i="4"/>
  <c r="P40" i="15"/>
  <c r="P9" i="15" s="1"/>
  <c r="O8" i="42"/>
  <c r="O70" i="42" s="1"/>
  <c r="Q8" i="60" s="1"/>
  <c r="AD70" i="42"/>
  <c r="Q34" i="60" s="1"/>
  <c r="M254" i="3"/>
  <c r="M683" i="34"/>
  <c r="M198" i="34" s="1"/>
  <c r="N7" i="4"/>
  <c r="N82" i="4"/>
  <c r="R834" i="4"/>
  <c r="R836" i="4" s="1"/>
  <c r="R843" i="4" s="1"/>
  <c r="L829" i="34"/>
  <c r="Q18" i="4"/>
  <c r="Q141" i="4"/>
  <c r="N682" i="34"/>
  <c r="N689" i="34"/>
  <c r="N417" i="4"/>
  <c r="W39" i="10"/>
  <c r="Y7" i="10"/>
  <c r="N105" i="13"/>
  <c r="O688" i="34"/>
  <c r="P6" i="12"/>
  <c r="Q10" i="4"/>
  <c r="N8" i="12"/>
  <c r="P59" i="4"/>
  <c r="P346" i="4"/>
  <c r="P410" i="4" s="1"/>
  <c r="P412" i="4" s="1"/>
  <c r="H80" i="13"/>
  <c r="I57" i="34"/>
  <c r="I224" i="9"/>
  <c r="I226" i="9" s="1"/>
  <c r="AP11" i="9"/>
  <c r="AO25" i="9"/>
  <c r="AO221" i="9" s="1"/>
  <c r="I70" i="3"/>
  <c r="K903" i="4"/>
  <c r="K590" i="4"/>
  <c r="K149" i="4" s="1"/>
  <c r="K42" i="4" s="1"/>
  <c r="P17" i="10"/>
  <c r="O39" i="10"/>
  <c r="I681" i="34"/>
  <c r="I687" i="34"/>
  <c r="I689" i="34" s="1"/>
  <c r="E24" i="42"/>
  <c r="E78" i="42"/>
  <c r="E26" i="42"/>
  <c r="E36" i="42" s="1"/>
  <c r="E90" i="42"/>
  <c r="E87" i="42" s="1"/>
  <c r="CD219" i="9" l="1"/>
  <c r="AN107" i="11"/>
  <c r="Q108" i="1"/>
  <c r="Q119" i="1" s="1"/>
  <c r="R101" i="1"/>
  <c r="R108" i="1" s="1"/>
  <c r="R119" i="1" s="1"/>
  <c r="AN140" i="11"/>
  <c r="W115" i="37"/>
  <c r="X17" i="37"/>
  <c r="X115" i="37" s="1"/>
  <c r="W116" i="37"/>
  <c r="X12" i="37"/>
  <c r="X116" i="37" s="1"/>
  <c r="J23" i="4"/>
  <c r="S549" i="6"/>
  <c r="S551" i="6" s="1"/>
  <c r="AM246" i="10"/>
  <c r="S1777" i="6" s="1"/>
  <c r="S613" i="6" s="1"/>
  <c r="S46" i="6"/>
  <c r="Q750" i="34"/>
  <c r="Q752" i="34" s="1"/>
  <c r="Q825" i="34"/>
  <c r="Q795" i="34"/>
  <c r="Q801" i="34" s="1"/>
  <c r="S1516" i="6"/>
  <c r="S461" i="6" s="1"/>
  <c r="AN239" i="10"/>
  <c r="AM143" i="11" s="1"/>
  <c r="S42" i="6"/>
  <c r="S40" i="6"/>
  <c r="S38" i="6"/>
  <c r="S11" i="6"/>
  <c r="S43" i="6" s="1"/>
  <c r="S381" i="6"/>
  <c r="S15" i="6"/>
  <c r="S47" i="6" s="1"/>
  <c r="S602" i="6"/>
  <c r="S12" i="6"/>
  <c r="S44" i="6" s="1"/>
  <c r="S453" i="6"/>
  <c r="S342" i="6"/>
  <c r="S169" i="6"/>
  <c r="S2074" i="6"/>
  <c r="S220" i="6"/>
  <c r="S109" i="6"/>
  <c r="S2073" i="6"/>
  <c r="Q562" i="6"/>
  <c r="Q2061" i="6"/>
  <c r="S1259" i="6"/>
  <c r="S1261" i="6" s="1"/>
  <c r="S1272" i="6" s="1"/>
  <c r="Q767" i="34"/>
  <c r="Q779" i="34" s="1"/>
  <c r="Q783" i="34" s="1"/>
  <c r="S1776" i="6"/>
  <c r="S612" i="6" s="1"/>
  <c r="G79" i="42"/>
  <c r="I17" i="60" s="1"/>
  <c r="S495" i="6"/>
  <c r="S9" i="7"/>
  <c r="S1143" i="7"/>
  <c r="S154" i="7"/>
  <c r="AN127" i="10"/>
  <c r="S11" i="7"/>
  <c r="S33" i="7" s="1"/>
  <c r="S294" i="7"/>
  <c r="AM94" i="10"/>
  <c r="AN65" i="10"/>
  <c r="S110" i="7"/>
  <c r="S1141" i="7"/>
  <c r="Q216" i="15"/>
  <c r="Q137" i="15"/>
  <c r="Q161" i="15" s="1"/>
  <c r="S15" i="8"/>
  <c r="S584" i="8"/>
  <c r="Q496" i="34"/>
  <c r="Q383" i="34"/>
  <c r="Q522" i="34"/>
  <c r="Q472" i="34"/>
  <c r="Q294" i="34"/>
  <c r="Q526" i="34" s="1"/>
  <c r="Q558" i="34"/>
  <c r="P21" i="42"/>
  <c r="P81" i="42" s="1"/>
  <c r="R19" i="60" s="1"/>
  <c r="S526" i="8"/>
  <c r="Q84" i="15"/>
  <c r="Q559" i="34"/>
  <c r="Q694" i="34" s="1"/>
  <c r="Q695" i="34" s="1"/>
  <c r="Q204" i="34" s="1"/>
  <c r="AT29" i="42"/>
  <c r="BI29" i="42"/>
  <c r="Q574" i="34"/>
  <c r="Q700" i="34" s="1"/>
  <c r="Q701" i="34" s="1"/>
  <c r="Q207" i="34" s="1"/>
  <c r="Q115" i="15"/>
  <c r="AT7" i="42"/>
  <c r="S19" i="5"/>
  <c r="S28" i="5" s="1"/>
  <c r="S508" i="5"/>
  <c r="P22" i="13"/>
  <c r="P103" i="13"/>
  <c r="S466" i="5"/>
  <c r="S79" i="5"/>
  <c r="S12" i="5"/>
  <c r="P18" i="13" s="1"/>
  <c r="S506" i="5"/>
  <c r="S17" i="5"/>
  <c r="S101" i="5"/>
  <c r="S198" i="5"/>
  <c r="S480" i="5"/>
  <c r="S468" i="5"/>
  <c r="S165" i="5"/>
  <c r="AE81" i="42"/>
  <c r="R45" i="60" s="1"/>
  <c r="S115" i="4"/>
  <c r="S8" i="4" s="1"/>
  <c r="S76" i="4"/>
  <c r="S80" i="4" s="1"/>
  <c r="S17" i="4" s="1"/>
  <c r="B75" i="15"/>
  <c r="B13" i="15" s="1"/>
  <c r="D291" i="34" s="1"/>
  <c r="D354" i="34" s="1"/>
  <c r="B356" i="42"/>
  <c r="D356" i="42" s="1"/>
  <c r="D357" i="42" s="1"/>
  <c r="D361" i="42" s="1"/>
  <c r="D363" i="42" s="1"/>
  <c r="S583" i="4"/>
  <c r="S585" i="4" s="1"/>
  <c r="S593" i="4" s="1"/>
  <c r="S29" i="4"/>
  <c r="S31" i="4"/>
  <c r="S340" i="4"/>
  <c r="Q6" i="12" s="1"/>
  <c r="S1372" i="6"/>
  <c r="S1375" i="6" s="1"/>
  <c r="S1383" i="6" s="1"/>
  <c r="Q368" i="34"/>
  <c r="Q43" i="15"/>
  <c r="Q12" i="15" s="1"/>
  <c r="P11" i="42"/>
  <c r="AE72" i="42"/>
  <c r="R36" i="60" s="1"/>
  <c r="Q40" i="15"/>
  <c r="Q9" i="15" s="1"/>
  <c r="P8" i="42"/>
  <c r="P70" i="42" s="1"/>
  <c r="R8" i="60" s="1"/>
  <c r="AE70" i="42"/>
  <c r="R34" i="60" s="1"/>
  <c r="S194" i="4"/>
  <c r="S139" i="4"/>
  <c r="S18" i="4" s="1"/>
  <c r="S10" i="4"/>
  <c r="Q8" i="3"/>
  <c r="P40" i="13"/>
  <c r="S34" i="4"/>
  <c r="S301" i="4"/>
  <c r="S865" i="4"/>
  <c r="AI11" i="54"/>
  <c r="AI18" i="54" s="1"/>
  <c r="Q39" i="15"/>
  <c r="S65" i="6"/>
  <c r="Q69" i="3" s="1"/>
  <c r="H544" i="34"/>
  <c r="AG47" i="42"/>
  <c r="C47" i="42" s="1"/>
  <c r="P40" i="42"/>
  <c r="Q44" i="15"/>
  <c r="Q63" i="3"/>
  <c r="Q64" i="3" s="1"/>
  <c r="Q198" i="15"/>
  <c r="Q55" i="15"/>
  <c r="Q24" i="15" s="1"/>
  <c r="P22" i="42"/>
  <c r="CD221" i="9"/>
  <c r="Q232" i="3" s="1"/>
  <c r="L93" i="14"/>
  <c r="L91" i="14"/>
  <c r="L144" i="14" s="1"/>
  <c r="S1972" i="6"/>
  <c r="S686" i="6" s="1"/>
  <c r="S63" i="6" s="1"/>
  <c r="AM259" i="10"/>
  <c r="S91" i="10"/>
  <c r="L1151" i="6"/>
  <c r="L351" i="6" s="1"/>
  <c r="L63" i="6" s="1"/>
  <c r="J47" i="3" s="1"/>
  <c r="R94" i="10"/>
  <c r="P142" i="13"/>
  <c r="L349" i="6"/>
  <c r="L61" i="6" s="1"/>
  <c r="J23" i="3" s="1"/>
  <c r="L1154" i="6"/>
  <c r="Q146" i="3"/>
  <c r="DE221" i="9"/>
  <c r="P80" i="13"/>
  <c r="Q206" i="15" s="1"/>
  <c r="Q151" i="15" s="1"/>
  <c r="AE44" i="42"/>
  <c r="Q144" i="3"/>
  <c r="Q224" i="9"/>
  <c r="Q226" i="9" s="1"/>
  <c r="H482" i="34"/>
  <c r="K203" i="3"/>
  <c r="I157" i="34"/>
  <c r="S813" i="6"/>
  <c r="P32" i="13"/>
  <c r="P51" i="13" s="1"/>
  <c r="CR74" i="21"/>
  <c r="J213" i="14"/>
  <c r="R21" i="14"/>
  <c r="K759" i="4" s="1"/>
  <c r="J96" i="14"/>
  <c r="P143" i="13"/>
  <c r="AT94" i="10"/>
  <c r="Q612" i="6"/>
  <c r="Q1781" i="6"/>
  <c r="O200" i="3" s="1"/>
  <c r="Q180" i="6"/>
  <c r="Q2054" i="6"/>
  <c r="Q465" i="6"/>
  <c r="Q2059" i="6"/>
  <c r="Q394" i="6"/>
  <c r="Q2058" i="6"/>
  <c r="Q606" i="6"/>
  <c r="Q2082" i="6"/>
  <c r="S53" i="6"/>
  <c r="S1217" i="6"/>
  <c r="S1154" i="6"/>
  <c r="AT246" i="10"/>
  <c r="P666" i="34"/>
  <c r="P29" i="34"/>
  <c r="N205" i="34"/>
  <c r="I459" i="34"/>
  <c r="I460" i="34" s="1"/>
  <c r="I412" i="34"/>
  <c r="K113" i="15"/>
  <c r="K505" i="34"/>
  <c r="K565" i="34" s="1"/>
  <c r="K573" i="34" s="1"/>
  <c r="J506" i="34"/>
  <c r="J564" i="34"/>
  <c r="J566" i="34" s="1"/>
  <c r="N63" i="20"/>
  <c r="N99" i="20"/>
  <c r="Y12" i="20"/>
  <c r="Y16" i="20" s="1"/>
  <c r="K40" i="17"/>
  <c r="M155" i="8"/>
  <c r="J80" i="3"/>
  <c r="J44" i="17"/>
  <c r="K155" i="22"/>
  <c r="K158" i="22" s="1"/>
  <c r="J89" i="3" s="1"/>
  <c r="R139" i="4"/>
  <c r="R18" i="4" s="1"/>
  <c r="O153" i="4"/>
  <c r="AH143" i="11"/>
  <c r="AI143" i="11" s="1"/>
  <c r="H536" i="34"/>
  <c r="G134" i="13"/>
  <c r="G135" i="13" s="1"/>
  <c r="H25" i="3"/>
  <c r="H26" i="3" s="1"/>
  <c r="H207" i="15"/>
  <c r="H156" i="3"/>
  <c r="H157" i="3" s="1"/>
  <c r="V50" i="42"/>
  <c r="M291" i="6"/>
  <c r="P190" i="14"/>
  <c r="Q85" i="14" s="1"/>
  <c r="P115" i="14"/>
  <c r="Q210" i="14"/>
  <c r="Q21" i="14"/>
  <c r="K771" i="4" s="1"/>
  <c r="J217" i="14"/>
  <c r="P114" i="14"/>
  <c r="P113" i="14"/>
  <c r="R81" i="37"/>
  <c r="R84" i="37" s="1"/>
  <c r="Q98" i="37"/>
  <c r="Q100" i="37" s="1"/>
  <c r="J181" i="3" s="1"/>
  <c r="H15" i="7"/>
  <c r="I15" i="7" s="1"/>
  <c r="I13" i="7"/>
  <c r="D165" i="15"/>
  <c r="F677" i="34"/>
  <c r="F453" i="34"/>
  <c r="D330" i="15"/>
  <c r="Q120" i="14"/>
  <c r="Q191" i="14"/>
  <c r="R86" i="14" s="1"/>
  <c r="S86" i="14" s="1"/>
  <c r="R240" i="7"/>
  <c r="R1127" i="7" s="1"/>
  <c r="J883" i="4"/>
  <c r="J867" i="4"/>
  <c r="J776" i="4"/>
  <c r="D239" i="3"/>
  <c r="D238" i="3"/>
  <c r="O32" i="13"/>
  <c r="P862" i="4"/>
  <c r="T84" i="42"/>
  <c r="T89" i="42" s="1"/>
  <c r="Q74" i="42"/>
  <c r="Q84" i="42" s="1"/>
  <c r="Q89" i="42" s="1"/>
  <c r="A37" i="60"/>
  <c r="E46" i="60"/>
  <c r="F42" i="60"/>
  <c r="E82" i="42"/>
  <c r="E84" i="42" s="1"/>
  <c r="E16" i="60"/>
  <c r="R74" i="42"/>
  <c r="R87" i="42" s="1"/>
  <c r="B37" i="60"/>
  <c r="O701" i="34"/>
  <c r="O207" i="34" s="1"/>
  <c r="P99" i="34"/>
  <c r="Q99" i="34" s="1"/>
  <c r="Q101" i="34" s="1"/>
  <c r="T68" i="20"/>
  <c r="T70" i="20" s="1"/>
  <c r="P70" i="20"/>
  <c r="BH29" i="42"/>
  <c r="P115" i="15"/>
  <c r="P574" i="34"/>
  <c r="P700" i="34" s="1"/>
  <c r="P701" i="34" s="1"/>
  <c r="P207" i="34" s="1"/>
  <c r="P559" i="34"/>
  <c r="P694" i="34" s="1"/>
  <c r="P695" i="34" s="1"/>
  <c r="P204" i="34" s="1"/>
  <c r="P84" i="15"/>
  <c r="AS29" i="42"/>
  <c r="O693" i="34"/>
  <c r="O695" i="34" s="1"/>
  <c r="O204" i="34" s="1"/>
  <c r="M19" i="15"/>
  <c r="AB77" i="42"/>
  <c r="O41" i="60" s="1"/>
  <c r="M17" i="42"/>
  <c r="N50" i="15"/>
  <c r="N19" i="15" s="1"/>
  <c r="L77" i="42"/>
  <c r="N15" i="60" s="1"/>
  <c r="T15" i="26"/>
  <c r="T25" i="26" s="1"/>
  <c r="T27" i="26" s="1"/>
  <c r="AR17" i="42"/>
  <c r="O81" i="15" s="1"/>
  <c r="W11" i="26"/>
  <c r="X11" i="26" s="1"/>
  <c r="V10" i="26"/>
  <c r="AC17" i="42" s="1"/>
  <c r="W12" i="26"/>
  <c r="BG17" i="42"/>
  <c r="O112" i="15" s="1"/>
  <c r="C284" i="48"/>
  <c r="D285" i="48" s="1"/>
  <c r="E284" i="48"/>
  <c r="Q196" i="4"/>
  <c r="Q207" i="4" s="1"/>
  <c r="C118" i="13"/>
  <c r="C120" i="13" s="1"/>
  <c r="C126" i="13" s="1"/>
  <c r="C138" i="13" s="1"/>
  <c r="C52" i="15"/>
  <c r="D18" i="42"/>
  <c r="B158" i="42"/>
  <c r="S78" i="42"/>
  <c r="S24" i="42"/>
  <c r="S206" i="48"/>
  <c r="T204" i="48"/>
  <c r="T160" i="48"/>
  <c r="S162" i="48"/>
  <c r="H284" i="48"/>
  <c r="C133" i="15"/>
  <c r="E809" i="34"/>
  <c r="C132" i="15"/>
  <c r="E808" i="34"/>
  <c r="C189" i="15"/>
  <c r="B141" i="13"/>
  <c r="B144" i="13" s="1"/>
  <c r="B146" i="13" s="1"/>
  <c r="B92" i="3" s="1"/>
  <c r="B91" i="13"/>
  <c r="B267" i="3" s="1"/>
  <c r="B279" i="3"/>
  <c r="R60" i="42"/>
  <c r="C60" i="42" s="1"/>
  <c r="A141" i="13"/>
  <c r="A144" i="13" s="1"/>
  <c r="A146" i="13" s="1"/>
  <c r="A92" i="3" s="1"/>
  <c r="A91" i="13"/>
  <c r="A267" i="3" s="1"/>
  <c r="A279" i="3"/>
  <c r="Q60" i="42"/>
  <c r="B60" i="42" s="1"/>
  <c r="B26" i="42"/>
  <c r="B36" i="42" s="1"/>
  <c r="Q36" i="42"/>
  <c r="Q56" i="42" s="1"/>
  <c r="B90" i="42"/>
  <c r="B87" i="42" s="1"/>
  <c r="B165" i="15"/>
  <c r="B47" i="15"/>
  <c r="B11" i="15"/>
  <c r="A11" i="15"/>
  <c r="A47" i="15"/>
  <c r="B152" i="42"/>
  <c r="D10" i="42"/>
  <c r="S14" i="42"/>
  <c r="C42" i="15"/>
  <c r="S73" i="42"/>
  <c r="C73" i="42"/>
  <c r="C14" i="42"/>
  <c r="B14" i="42"/>
  <c r="B73" i="42"/>
  <c r="C17" i="3"/>
  <c r="C18" i="3" s="1"/>
  <c r="C59" i="13"/>
  <c r="C83" i="13" s="1"/>
  <c r="C88" i="13" s="1"/>
  <c r="A231" i="15"/>
  <c r="A170" i="15"/>
  <c r="A171" i="15" s="1"/>
  <c r="A226" i="15"/>
  <c r="B226" i="15"/>
  <c r="B170" i="15"/>
  <c r="B171" i="15" s="1"/>
  <c r="C90" i="42"/>
  <c r="C87" i="42" s="1"/>
  <c r="C26" i="42"/>
  <c r="C36" i="42" s="1"/>
  <c r="R36" i="42"/>
  <c r="R56" i="42" s="1"/>
  <c r="H646" i="7"/>
  <c r="I646" i="7" s="1"/>
  <c r="Q468" i="5"/>
  <c r="R1143" i="7"/>
  <c r="R154" i="7"/>
  <c r="R1128" i="7" s="1"/>
  <c r="P216" i="15"/>
  <c r="P137" i="15"/>
  <c r="P161" i="15" s="1"/>
  <c r="O194" i="15"/>
  <c r="O218" i="15" s="1"/>
  <c r="R30" i="6"/>
  <c r="R46" i="6" s="1"/>
  <c r="N69" i="13"/>
  <c r="N143" i="15"/>
  <c r="AI246" i="10"/>
  <c r="AS246" i="10" s="1"/>
  <c r="O63" i="3"/>
  <c r="O64" i="3" s="1"/>
  <c r="P103" i="3"/>
  <c r="AJ54" i="11"/>
  <c r="AK54" i="11" s="1"/>
  <c r="AL54" i="11" s="1"/>
  <c r="N107" i="13"/>
  <c r="N64" i="13" s="1"/>
  <c r="N121" i="13" s="1"/>
  <c r="AD81" i="42"/>
  <c r="Q45" i="60" s="1"/>
  <c r="O21" i="42"/>
  <c r="O81" i="42" s="1"/>
  <c r="Q19" i="60" s="1"/>
  <c r="R292" i="7"/>
  <c r="R294" i="7" s="1"/>
  <c r="R30" i="7"/>
  <c r="R32" i="7"/>
  <c r="R8" i="7"/>
  <c r="P5" i="3"/>
  <c r="R108" i="7"/>
  <c r="O12" i="13"/>
  <c r="O102" i="13"/>
  <c r="R533" i="7"/>
  <c r="R809" i="7"/>
  <c r="R11" i="7"/>
  <c r="R718" i="7"/>
  <c r="R42" i="7"/>
  <c r="O252" i="3"/>
  <c r="P73" i="20"/>
  <c r="T74" i="20"/>
  <c r="Q73" i="20"/>
  <c r="O146" i="3"/>
  <c r="N142" i="13"/>
  <c r="O144" i="3"/>
  <c r="AA29" i="42"/>
  <c r="L29" i="42" s="1"/>
  <c r="R1777" i="6"/>
  <c r="R613" i="6" s="1"/>
  <c r="R63" i="6" s="1"/>
  <c r="P47" i="3" s="1"/>
  <c r="AJ259" i="10"/>
  <c r="AT259" i="10" s="1"/>
  <c r="R299" i="4"/>
  <c r="R301" i="4" s="1"/>
  <c r="R31" i="4"/>
  <c r="P8" i="3"/>
  <c r="O40" i="13"/>
  <c r="L20" i="42"/>
  <c r="M53" i="15"/>
  <c r="M22" i="15" s="1"/>
  <c r="N191" i="15"/>
  <c r="N213" i="15" s="1"/>
  <c r="AA80" i="42"/>
  <c r="N44" i="60" s="1"/>
  <c r="R40" i="6"/>
  <c r="P307" i="34"/>
  <c r="P13" i="15"/>
  <c r="P291" i="34" s="1"/>
  <c r="P354" i="34" s="1"/>
  <c r="O524" i="34"/>
  <c r="O474" i="34"/>
  <c r="B47" i="42"/>
  <c r="AF54" i="42"/>
  <c r="C323" i="34"/>
  <c r="A78" i="15"/>
  <c r="A13" i="15"/>
  <c r="O540" i="34"/>
  <c r="O367" i="34"/>
  <c r="O486" i="34" s="1"/>
  <c r="AH152" i="11"/>
  <c r="AI152" i="11" s="1"/>
  <c r="R15" i="6"/>
  <c r="R47" i="6" s="1"/>
  <c r="R602" i="6"/>
  <c r="O355" i="34"/>
  <c r="R2074" i="6"/>
  <c r="P612" i="6"/>
  <c r="P617" i="6" s="1"/>
  <c r="P1781" i="6"/>
  <c r="N200" i="3" s="1"/>
  <c r="R220" i="6"/>
  <c r="R2075" i="6" s="1"/>
  <c r="P2055" i="6"/>
  <c r="P234" i="6"/>
  <c r="H489" i="6"/>
  <c r="I489" i="6" s="1"/>
  <c r="P83" i="14"/>
  <c r="O105" i="14"/>
  <c r="J193" i="14"/>
  <c r="J130" i="14"/>
  <c r="K124" i="14"/>
  <c r="Q208" i="14"/>
  <c r="P188" i="14"/>
  <c r="Q83" i="14" s="1"/>
  <c r="D199" i="42"/>
  <c r="J936" i="7"/>
  <c r="K936" i="7" s="1"/>
  <c r="L936" i="7" s="1"/>
  <c r="M936" i="7" s="1"/>
  <c r="N936" i="7" s="1"/>
  <c r="O936" i="7" s="1"/>
  <c r="P936" i="7" s="1"/>
  <c r="Q936" i="7" s="1"/>
  <c r="R936" i="7" s="1"/>
  <c r="S936" i="7" s="1"/>
  <c r="I99" i="10"/>
  <c r="J99" i="10" s="1"/>
  <c r="F8" i="13"/>
  <c r="I100" i="10"/>
  <c r="J100" i="10" s="1"/>
  <c r="AJ10" i="42"/>
  <c r="F241" i="15"/>
  <c r="G241" i="15" s="1"/>
  <c r="G100" i="16"/>
  <c r="J45" i="16"/>
  <c r="J120" i="16" s="1"/>
  <c r="J275" i="15"/>
  <c r="J280" i="15" s="1"/>
  <c r="N142" i="34"/>
  <c r="O140" i="34"/>
  <c r="N785" i="34"/>
  <c r="K139" i="14"/>
  <c r="O784" i="34"/>
  <c r="O143" i="15"/>
  <c r="P147" i="3"/>
  <c r="P784" i="34"/>
  <c r="P143" i="15"/>
  <c r="P681" i="34"/>
  <c r="N1070" i="6"/>
  <c r="N1071" i="6" s="1"/>
  <c r="N1075" i="6" s="1"/>
  <c r="N267" i="6"/>
  <c r="N274" i="6" s="1"/>
  <c r="O681" i="34"/>
  <c r="W50" i="14"/>
  <c r="M219" i="14"/>
  <c r="P30" i="5"/>
  <c r="N14" i="3" s="1"/>
  <c r="M20" i="13"/>
  <c r="M23" i="13" s="1"/>
  <c r="Q21" i="5"/>
  <c r="N19" i="13" s="1"/>
  <c r="N20" i="13" s="1"/>
  <c r="N23" i="13" s="1"/>
  <c r="Q480" i="5"/>
  <c r="Q482" i="5" s="1"/>
  <c r="Q514" i="5" s="1"/>
  <c r="Q198" i="5"/>
  <c r="O22" i="13"/>
  <c r="O103" i="13"/>
  <c r="P469" i="5"/>
  <c r="P471" i="5" s="1"/>
  <c r="P484" i="5" s="1"/>
  <c r="P488" i="5" s="1"/>
  <c r="P209" i="5"/>
  <c r="N48" i="13"/>
  <c r="O191" i="15" s="1"/>
  <c r="O136" i="15" s="1"/>
  <c r="O158" i="15" s="1"/>
  <c r="R466" i="5"/>
  <c r="R79" i="5"/>
  <c r="R19" i="5"/>
  <c r="R28" i="5" s="1"/>
  <c r="R508" i="5"/>
  <c r="R510" i="5" s="1"/>
  <c r="R512" i="5" s="1"/>
  <c r="R196" i="5"/>
  <c r="L529" i="34"/>
  <c r="P6" i="11"/>
  <c r="N21" i="11"/>
  <c r="N545" i="34"/>
  <c r="R194" i="4"/>
  <c r="R863" i="4" s="1"/>
  <c r="E406" i="34"/>
  <c r="E409" i="34" s="1"/>
  <c r="E416" i="34" s="1"/>
  <c r="E270" i="34" s="1"/>
  <c r="C175" i="15"/>
  <c r="Q120" i="7"/>
  <c r="M121" i="13"/>
  <c r="M20" i="42"/>
  <c r="M80" i="42" s="1"/>
  <c r="O18" i="60" s="1"/>
  <c r="AB80" i="42"/>
  <c r="O44" i="60" s="1"/>
  <c r="N53" i="15"/>
  <c r="N22" i="15" s="1"/>
  <c r="Q865" i="4"/>
  <c r="Q1127" i="7"/>
  <c r="P43" i="15"/>
  <c r="P12" i="15" s="1"/>
  <c r="R381" i="6"/>
  <c r="R11" i="6"/>
  <c r="R43" i="6" s="1"/>
  <c r="P767" i="34"/>
  <c r="P779" i="34" s="1"/>
  <c r="P783" i="34" s="1"/>
  <c r="R1259" i="6"/>
  <c r="R1261" i="6" s="1"/>
  <c r="R1272" i="6" s="1"/>
  <c r="R495" i="6"/>
  <c r="AD72" i="42"/>
  <c r="Q36" i="60" s="1"/>
  <c r="R2081" i="6"/>
  <c r="R551" i="6"/>
  <c r="P120" i="6"/>
  <c r="P2053" i="6"/>
  <c r="O30" i="13"/>
  <c r="P7" i="3"/>
  <c r="R52" i="6"/>
  <c r="O104" i="13" s="1"/>
  <c r="R22" i="6"/>
  <c r="R38" i="6" s="1"/>
  <c r="R107" i="6"/>
  <c r="R1516" i="6"/>
  <c r="R461" i="6" s="1"/>
  <c r="AK239" i="10"/>
  <c r="O11" i="42"/>
  <c r="O72" i="42" s="1"/>
  <c r="Q10" i="60" s="1"/>
  <c r="P2059" i="6"/>
  <c r="P465" i="6"/>
  <c r="R26" i="6"/>
  <c r="R42" i="6" s="1"/>
  <c r="R342" i="6"/>
  <c r="P2058" i="6"/>
  <c r="P394" i="6"/>
  <c r="O783" i="34"/>
  <c r="O213" i="3"/>
  <c r="R12" i="6"/>
  <c r="R44" i="6" s="1"/>
  <c r="R453" i="6"/>
  <c r="AB71" i="11"/>
  <c r="Z77" i="11"/>
  <c r="R2054" i="6"/>
  <c r="R180" i="6"/>
  <c r="H520" i="34"/>
  <c r="J214" i="14"/>
  <c r="L2057" i="6"/>
  <c r="L355" i="6"/>
  <c r="R66" i="14"/>
  <c r="H46" i="4"/>
  <c r="G123" i="3" s="1"/>
  <c r="J887" i="4"/>
  <c r="J33" i="4"/>
  <c r="H869" i="4"/>
  <c r="I869" i="4" s="1"/>
  <c r="H891" i="4"/>
  <c r="I891" i="4" s="1"/>
  <c r="F37" i="13"/>
  <c r="F38" i="13" s="1"/>
  <c r="F41" i="13" s="1"/>
  <c r="J852" i="4"/>
  <c r="J258" i="4"/>
  <c r="R65" i="6"/>
  <c r="P69" i="3" s="1"/>
  <c r="BY219" i="9"/>
  <c r="BY221" i="9" s="1"/>
  <c r="P232" i="3" s="1"/>
  <c r="O71" i="3"/>
  <c r="O72" i="3" s="1"/>
  <c r="N133" i="13"/>
  <c r="O206" i="15"/>
  <c r="O151" i="15" s="1"/>
  <c r="AC49" i="42"/>
  <c r="O80" i="13"/>
  <c r="P224" i="9"/>
  <c r="P226" i="9" s="1"/>
  <c r="W112" i="37"/>
  <c r="K858" i="7"/>
  <c r="N45" i="11"/>
  <c r="P589" i="34"/>
  <c r="P240" i="34" s="1"/>
  <c r="P252" i="3"/>
  <c r="P307" i="7"/>
  <c r="P1130" i="7"/>
  <c r="Q296" i="7"/>
  <c r="Q1145" i="7"/>
  <c r="H1107" i="7"/>
  <c r="H16" i="48"/>
  <c r="J1102" i="7"/>
  <c r="H411" i="7"/>
  <c r="I411" i="7" s="1"/>
  <c r="H51" i="27"/>
  <c r="I51" i="27" s="1"/>
  <c r="H13" i="48"/>
  <c r="G137" i="3"/>
  <c r="J35" i="27"/>
  <c r="R26" i="5"/>
  <c r="H15" i="48"/>
  <c r="H939" i="7"/>
  <c r="I939" i="7" s="1"/>
  <c r="J933" i="7"/>
  <c r="H352" i="7"/>
  <c r="I352" i="7" s="1"/>
  <c r="J935" i="7"/>
  <c r="H10" i="48"/>
  <c r="H711" i="6"/>
  <c r="I711" i="6" s="1"/>
  <c r="H2034" i="6"/>
  <c r="I2034" i="6" s="1"/>
  <c r="E16" i="58"/>
  <c r="F16" i="58" s="1"/>
  <c r="J2008" i="6"/>
  <c r="H333" i="8"/>
  <c r="I333" i="8" s="1"/>
  <c r="J222" i="8"/>
  <c r="H349" i="7"/>
  <c r="J989" i="7"/>
  <c r="H997" i="7"/>
  <c r="I997" i="7" s="1"/>
  <c r="G132" i="3"/>
  <c r="H14" i="48"/>
  <c r="R468" i="5"/>
  <c r="R165" i="5"/>
  <c r="H526" i="8"/>
  <c r="I526" i="8" s="1"/>
  <c r="H135" i="8"/>
  <c r="I135" i="8" s="1"/>
  <c r="H497" i="6"/>
  <c r="I497" i="6" s="1"/>
  <c r="H12" i="48"/>
  <c r="J1632" i="6"/>
  <c r="H1640" i="6"/>
  <c r="G134" i="3"/>
  <c r="H1962" i="6"/>
  <c r="I1962" i="6" s="1"/>
  <c r="H9" i="48"/>
  <c r="J1842" i="6"/>
  <c r="H639" i="6"/>
  <c r="I639" i="6" s="1"/>
  <c r="F41" i="15"/>
  <c r="G41" i="15" s="1"/>
  <c r="U71" i="42"/>
  <c r="G35" i="60" s="1"/>
  <c r="R114" i="5"/>
  <c r="R467" i="5"/>
  <c r="J273" i="48"/>
  <c r="J284" i="48" s="1"/>
  <c r="O18" i="13"/>
  <c r="J934" i="7"/>
  <c r="O682" i="34"/>
  <c r="O689" i="34"/>
  <c r="N90" i="4"/>
  <c r="N41" i="4" s="1"/>
  <c r="N422" i="4"/>
  <c r="Q143" i="4"/>
  <c r="Q862" i="4"/>
  <c r="N13" i="4"/>
  <c r="N27" i="4"/>
  <c r="M829" i="34"/>
  <c r="M202" i="34"/>
  <c r="M819" i="34" s="1"/>
  <c r="M263" i="3" s="1"/>
  <c r="AB7" i="10"/>
  <c r="O417" i="4"/>
  <c r="Z39" i="10"/>
  <c r="P61" i="4"/>
  <c r="AC7" i="10"/>
  <c r="P153" i="4"/>
  <c r="P850" i="4"/>
  <c r="N201" i="34"/>
  <c r="N793" i="34"/>
  <c r="N804" i="34" s="1"/>
  <c r="Q28" i="4"/>
  <c r="Q312" i="4"/>
  <c r="Q853" i="4"/>
  <c r="Q342" i="4"/>
  <c r="O8" i="12" s="1"/>
  <c r="N11" i="12"/>
  <c r="N84" i="3" s="1"/>
  <c r="Y39" i="10"/>
  <c r="X6" i="11"/>
  <c r="X21" i="11" s="1"/>
  <c r="L102" i="3"/>
  <c r="N683" i="34"/>
  <c r="N198" i="34" s="1"/>
  <c r="N199" i="34" s="1"/>
  <c r="N254" i="3"/>
  <c r="R10" i="4"/>
  <c r="O105" i="13"/>
  <c r="P688" i="34"/>
  <c r="P853" i="4"/>
  <c r="P312" i="4"/>
  <c r="N84" i="4"/>
  <c r="N861" i="4"/>
  <c r="F483" i="34"/>
  <c r="F487" i="34" s="1"/>
  <c r="F488" i="34" s="1"/>
  <c r="F372" i="34"/>
  <c r="F369" i="34"/>
  <c r="J36" i="13"/>
  <c r="F351" i="34"/>
  <c r="F521" i="34"/>
  <c r="F292" i="34"/>
  <c r="O82" i="4"/>
  <c r="O7" i="4"/>
  <c r="M199" i="34"/>
  <c r="I793" i="34"/>
  <c r="I804" i="34" s="1"/>
  <c r="I201" i="34"/>
  <c r="AP25" i="9"/>
  <c r="AP221" i="9" s="1"/>
  <c r="I232" i="3" s="1"/>
  <c r="I683" i="34"/>
  <c r="I198" i="34" s="1"/>
  <c r="I199" i="34" s="1"/>
  <c r="I254" i="3"/>
  <c r="K593" i="4"/>
  <c r="I16" i="34"/>
  <c r="I60" i="34"/>
  <c r="I18" i="34" s="1"/>
  <c r="O12" i="11"/>
  <c r="P39" i="10"/>
  <c r="I71" i="3"/>
  <c r="I72" i="3" s="1"/>
  <c r="W49" i="42"/>
  <c r="I206" i="15"/>
  <c r="I151" i="15" s="1"/>
  <c r="H133" i="13"/>
  <c r="E56" i="42"/>
  <c r="S2081" i="6" l="1"/>
  <c r="AN246" i="10"/>
  <c r="AM152" i="11" s="1"/>
  <c r="Q147" i="3"/>
  <c r="S120" i="6"/>
  <c r="S2053" i="6"/>
  <c r="S2077" i="6"/>
  <c r="S344" i="6"/>
  <c r="S383" i="6"/>
  <c r="S2078" i="6"/>
  <c r="S223" i="6"/>
  <c r="S2075" i="6"/>
  <c r="S606" i="6"/>
  <c r="S2082" i="6"/>
  <c r="S2054" i="6"/>
  <c r="S180" i="6"/>
  <c r="S2079" i="6"/>
  <c r="S456" i="6"/>
  <c r="S562" i="6"/>
  <c r="S2061" i="6"/>
  <c r="Q213" i="3"/>
  <c r="Q103" i="3"/>
  <c r="AM54" i="11"/>
  <c r="AN54" i="11" s="1"/>
  <c r="S296" i="7"/>
  <c r="S1145" i="7"/>
  <c r="S1128" i="7"/>
  <c r="S165" i="7"/>
  <c r="S1126" i="7"/>
  <c r="S120" i="7"/>
  <c r="AG54" i="42"/>
  <c r="AG56" i="42" s="1"/>
  <c r="AG58" i="42" s="1"/>
  <c r="Q188" i="14"/>
  <c r="R208" i="14"/>
  <c r="R188" i="14" s="1"/>
  <c r="Q105" i="14" s="1"/>
  <c r="Q205" i="34"/>
  <c r="Q208" i="34"/>
  <c r="Q70" i="15"/>
  <c r="Q8" i="15" s="1"/>
  <c r="Q610" i="34"/>
  <c r="P7" i="42"/>
  <c r="P69" i="42" s="1"/>
  <c r="R7" i="60" s="1"/>
  <c r="S510" i="5"/>
  <c r="S512" i="5" s="1"/>
  <c r="S103" i="5"/>
  <c r="S478" i="5"/>
  <c r="S482" i="5" s="1"/>
  <c r="S514" i="5" s="1"/>
  <c r="S21" i="5"/>
  <c r="S26" i="5"/>
  <c r="S469" i="5"/>
  <c r="S209" i="5"/>
  <c r="D323" i="34"/>
  <c r="D556" i="34" s="1"/>
  <c r="R141" i="4"/>
  <c r="R862" i="4" s="1"/>
  <c r="B78" i="15"/>
  <c r="D320" i="34" s="1"/>
  <c r="B357" i="42"/>
  <c r="B361" i="42" s="1"/>
  <c r="B363" i="42" s="1"/>
  <c r="S141" i="4"/>
  <c r="S143" i="4" s="1"/>
  <c r="P105" i="13"/>
  <c r="Q688" i="34"/>
  <c r="Q682" i="34" s="1"/>
  <c r="P72" i="42"/>
  <c r="R10" i="60" s="1"/>
  <c r="Q355" i="34"/>
  <c r="S28" i="4"/>
  <c r="S312" i="4"/>
  <c r="S853" i="4"/>
  <c r="S196" i="4"/>
  <c r="S863" i="4"/>
  <c r="AI20" i="54"/>
  <c r="Q54" i="15"/>
  <c r="Q23" i="15" s="1"/>
  <c r="Q307" i="34"/>
  <c r="Q13" i="15"/>
  <c r="Q291" i="34" s="1"/>
  <c r="Q354" i="34" s="1"/>
  <c r="Q474" i="34" s="1"/>
  <c r="Q687" i="34"/>
  <c r="Q681" i="34"/>
  <c r="Q143" i="15"/>
  <c r="Q784" i="34"/>
  <c r="Q785" i="34" s="1"/>
  <c r="Q194" i="15"/>
  <c r="AE34" i="42"/>
  <c r="P34" i="42" s="1"/>
  <c r="S52" i="6"/>
  <c r="Q7" i="3"/>
  <c r="L154" i="14"/>
  <c r="V37" i="14" s="1"/>
  <c r="V39" i="14" s="1"/>
  <c r="M1136" i="6" s="1"/>
  <c r="L153" i="14"/>
  <c r="L143" i="14"/>
  <c r="V18" i="14"/>
  <c r="M744" i="4" s="1"/>
  <c r="S903" i="4"/>
  <c r="Q70" i="3"/>
  <c r="AE49" i="42"/>
  <c r="P49" i="42" s="1"/>
  <c r="P133" i="13"/>
  <c r="Q71" i="3"/>
  <c r="P44" i="42"/>
  <c r="AE47" i="42"/>
  <c r="B16" i="15"/>
  <c r="B29" i="15" s="1"/>
  <c r="B238" i="3" s="1"/>
  <c r="BH17" i="42"/>
  <c r="P112" i="15" s="1"/>
  <c r="X12" i="26"/>
  <c r="X10" i="26" s="1"/>
  <c r="P30" i="13"/>
  <c r="P48" i="13" s="1"/>
  <c r="C54" i="42"/>
  <c r="P69" i="13"/>
  <c r="D474" i="34"/>
  <c r="D524" i="34"/>
  <c r="K123" i="14"/>
  <c r="P105" i="14"/>
  <c r="R83" i="14"/>
  <c r="S83" i="14" s="1"/>
  <c r="Q617" i="6"/>
  <c r="Q2062" i="6"/>
  <c r="S1521" i="6"/>
  <c r="O205" i="34"/>
  <c r="P101" i="34"/>
  <c r="O208" i="34"/>
  <c r="K32" i="3"/>
  <c r="M28" i="8"/>
  <c r="N65" i="20"/>
  <c r="N98" i="20"/>
  <c r="X12" i="20"/>
  <c r="X16" i="20" s="1"/>
  <c r="N33" i="20"/>
  <c r="N41" i="20" s="1"/>
  <c r="BC50" i="42"/>
  <c r="K112" i="17"/>
  <c r="K113" i="17" s="1"/>
  <c r="K174" i="3"/>
  <c r="K175" i="3" s="1"/>
  <c r="K310" i="15"/>
  <c r="J148" i="34" s="1"/>
  <c r="K33" i="3"/>
  <c r="K68" i="17"/>
  <c r="J81" i="3"/>
  <c r="J82" i="3" s="1"/>
  <c r="J118" i="17"/>
  <c r="L177" i="3"/>
  <c r="N519" i="8"/>
  <c r="N138" i="8" s="1"/>
  <c r="I349" i="7"/>
  <c r="H131" i="10"/>
  <c r="H1006" i="7" s="1"/>
  <c r="I1107" i="7"/>
  <c r="H1108" i="7"/>
  <c r="G66" i="34"/>
  <c r="H152" i="15"/>
  <c r="G50" i="42"/>
  <c r="H468" i="34" s="1"/>
  <c r="H470" i="34" s="1"/>
  <c r="V52" i="42"/>
  <c r="Q115" i="14"/>
  <c r="Q190" i="14"/>
  <c r="R85" i="14" s="1"/>
  <c r="J150" i="14"/>
  <c r="J197" i="14"/>
  <c r="K92" i="14" s="1"/>
  <c r="Q114" i="14"/>
  <c r="Q113" i="14"/>
  <c r="S81" i="37"/>
  <c r="S84" i="37" s="1"/>
  <c r="R98" i="37"/>
  <c r="R100" i="37" s="1"/>
  <c r="K181" i="3" s="1"/>
  <c r="H1642" i="6"/>
  <c r="I1642" i="6" s="1"/>
  <c r="I1640" i="6"/>
  <c r="R251" i="7"/>
  <c r="D175" i="15"/>
  <c r="F406" i="34"/>
  <c r="H53" i="27"/>
  <c r="I53" i="27" s="1"/>
  <c r="J855" i="4"/>
  <c r="J889" i="4"/>
  <c r="G37" i="13" s="1"/>
  <c r="G36" i="13"/>
  <c r="C279" i="3"/>
  <c r="F298" i="34"/>
  <c r="Q851" i="4"/>
  <c r="R84" i="42"/>
  <c r="R89" i="42" s="1"/>
  <c r="Q87" i="42"/>
  <c r="C74" i="42"/>
  <c r="C84" i="42" s="1"/>
  <c r="B11" i="60"/>
  <c r="B74" i="42"/>
  <c r="B84" i="42" s="1"/>
  <c r="A11" i="60"/>
  <c r="S74" i="42"/>
  <c r="C37" i="60"/>
  <c r="F37" i="60"/>
  <c r="B38" i="60"/>
  <c r="S82" i="42"/>
  <c r="S88" i="42" s="1"/>
  <c r="C42" i="60"/>
  <c r="A38" i="60"/>
  <c r="A48" i="60" s="1"/>
  <c r="E20" i="60"/>
  <c r="F16" i="60"/>
  <c r="F46" i="60"/>
  <c r="E48" i="60"/>
  <c r="H35" i="60"/>
  <c r="P208" i="34"/>
  <c r="R69" i="20"/>
  <c r="R68" i="20" s="1"/>
  <c r="R70" i="20" s="1"/>
  <c r="P205" i="34"/>
  <c r="Q62" i="42"/>
  <c r="N212" i="3" s="1"/>
  <c r="AS17" i="42"/>
  <c r="P81" i="15" s="1"/>
  <c r="W10" i="26"/>
  <c r="AD17" i="42" s="1"/>
  <c r="M77" i="42"/>
  <c r="O15" i="60" s="1"/>
  <c r="U15" i="26"/>
  <c r="U25" i="26" s="1"/>
  <c r="U27" i="26" s="1"/>
  <c r="AC77" i="42"/>
  <c r="P41" i="60" s="1"/>
  <c r="O50" i="15"/>
  <c r="O19" i="15" s="1"/>
  <c r="N17" i="42"/>
  <c r="S26" i="42"/>
  <c r="S36" i="42" s="1"/>
  <c r="S56" i="42" s="1"/>
  <c r="C56" i="15"/>
  <c r="C21" i="15"/>
  <c r="E810" i="34"/>
  <c r="E158" i="42"/>
  <c r="E162" i="42" s="1"/>
  <c r="B162" i="42"/>
  <c r="D24" i="42"/>
  <c r="D78" i="42"/>
  <c r="A232" i="15"/>
  <c r="B231" i="15"/>
  <c r="C675" i="34"/>
  <c r="C280" i="34" s="1"/>
  <c r="A176" i="15"/>
  <c r="A177" i="15" s="1"/>
  <c r="E152" i="42"/>
  <c r="E154" i="42" s="1"/>
  <c r="B154" i="42"/>
  <c r="D303" i="34"/>
  <c r="B60" i="15"/>
  <c r="B239" i="3" s="1"/>
  <c r="B58" i="15"/>
  <c r="C134" i="15"/>
  <c r="R62" i="42"/>
  <c r="O212" i="3" s="1"/>
  <c r="C47" i="15"/>
  <c r="C11" i="15"/>
  <c r="C303" i="34"/>
  <c r="A58" i="15"/>
  <c r="A60" i="15"/>
  <c r="A239" i="3" s="1"/>
  <c r="C195" i="15"/>
  <c r="D73" i="42"/>
  <c r="D14" i="42"/>
  <c r="R165" i="7"/>
  <c r="O139" i="15"/>
  <c r="O163" i="15" s="1"/>
  <c r="O9" i="3"/>
  <c r="O10" i="3" s="1"/>
  <c r="R1776" i="6"/>
  <c r="R22" i="7"/>
  <c r="R33" i="7" s="1"/>
  <c r="AK246" i="10"/>
  <c r="AD22" i="42"/>
  <c r="O22" i="42" s="1"/>
  <c r="AJ143" i="11"/>
  <c r="AK143" i="11" s="1"/>
  <c r="AL143" i="11" s="1"/>
  <c r="AN143" i="11" s="1"/>
  <c r="AU239" i="10"/>
  <c r="R542" i="7"/>
  <c r="R1141" i="7"/>
  <c r="R110" i="7"/>
  <c r="O14" i="13"/>
  <c r="O51" i="13" s="1"/>
  <c r="AD34" i="42" s="1"/>
  <c r="O34" i="42" s="1"/>
  <c r="R811" i="7"/>
  <c r="H195" i="7"/>
  <c r="I195" i="7" s="1"/>
  <c r="Q119" i="42"/>
  <c r="Q124" i="42" s="1"/>
  <c r="Q136" i="42" s="1"/>
  <c r="B231" i="42"/>
  <c r="T73" i="20"/>
  <c r="T75" i="20" s="1"/>
  <c r="P75" i="20"/>
  <c r="Q75" i="20"/>
  <c r="O147" i="3"/>
  <c r="P785" i="34"/>
  <c r="R865" i="4"/>
  <c r="R196" i="4"/>
  <c r="R851" i="4" s="1"/>
  <c r="O213" i="15"/>
  <c r="N136" i="15"/>
  <c r="N529" i="34"/>
  <c r="L80" i="42"/>
  <c r="N18" i="60" s="1"/>
  <c r="M529" i="34"/>
  <c r="R223" i="6"/>
  <c r="R234" i="6" s="1"/>
  <c r="H13" i="6"/>
  <c r="I13" i="6" s="1"/>
  <c r="P524" i="34"/>
  <c r="P474" i="34"/>
  <c r="P540" i="34"/>
  <c r="P367" i="34"/>
  <c r="P486" i="34" s="1"/>
  <c r="R606" i="6"/>
  <c r="R2082" i="6"/>
  <c r="B54" i="42"/>
  <c r="AF56" i="42"/>
  <c r="A16" i="15"/>
  <c r="C291" i="34"/>
  <c r="C556" i="34"/>
  <c r="C380" i="34"/>
  <c r="C320" i="34"/>
  <c r="A89" i="15"/>
  <c r="A91" i="15"/>
  <c r="A240" i="3" s="1"/>
  <c r="H677" i="6"/>
  <c r="I677" i="6" s="1"/>
  <c r="H1964" i="6"/>
  <c r="I1964" i="6" s="1"/>
  <c r="AC20" i="42"/>
  <c r="AC29" i="42" s="1"/>
  <c r="N29" i="42" s="1"/>
  <c r="H508" i="6"/>
  <c r="I508" i="6" s="1"/>
  <c r="H2036" i="6"/>
  <c r="I2036" i="6" s="1"/>
  <c r="H731" i="6"/>
  <c r="I731" i="6" s="1"/>
  <c r="K212" i="14"/>
  <c r="K88" i="14"/>
  <c r="J110" i="14"/>
  <c r="K109" i="14" s="1"/>
  <c r="T62" i="14" s="1"/>
  <c r="T63" i="14" s="1"/>
  <c r="L1103" i="7" s="1"/>
  <c r="L414" i="7" s="1"/>
  <c r="H420" i="7"/>
  <c r="I420" i="7" s="1"/>
  <c r="H999" i="7"/>
  <c r="I999" i="7" s="1"/>
  <c r="H941" i="7"/>
  <c r="I941" i="7" s="1"/>
  <c r="H1109" i="7"/>
  <c r="I1109" i="7" s="1"/>
  <c r="H335" i="8"/>
  <c r="I335" i="8" s="1"/>
  <c r="M195" i="8"/>
  <c r="J439" i="34"/>
  <c r="F73" i="15"/>
  <c r="G73" i="15" s="1"/>
  <c r="AJ14" i="42"/>
  <c r="Q30" i="5"/>
  <c r="O14" i="3" s="1"/>
  <c r="O785" i="34"/>
  <c r="P140" i="34"/>
  <c r="Q140" i="34" s="1"/>
  <c r="Q142" i="34" s="1"/>
  <c r="O142" i="34"/>
  <c r="K138" i="14"/>
  <c r="K215" i="14" s="1"/>
  <c r="W51" i="14"/>
  <c r="N1078" i="6" s="1"/>
  <c r="N285" i="6" s="1"/>
  <c r="S11" i="37"/>
  <c r="M160" i="14"/>
  <c r="M199" i="14"/>
  <c r="N25" i="6"/>
  <c r="N41" i="6" s="1"/>
  <c r="N276" i="6"/>
  <c r="P32" i="5"/>
  <c r="P43" i="5" s="1"/>
  <c r="O48" i="13"/>
  <c r="AD20" i="42" s="1"/>
  <c r="O20" i="42" s="1"/>
  <c r="R198" i="5"/>
  <c r="R480" i="5"/>
  <c r="R482" i="5" s="1"/>
  <c r="R514" i="5" s="1"/>
  <c r="R21" i="5"/>
  <c r="Q469" i="5"/>
  <c r="Q471" i="5" s="1"/>
  <c r="Q484" i="5" s="1"/>
  <c r="Q488" i="5" s="1"/>
  <c r="Q209" i="5"/>
  <c r="N121" i="3" s="1"/>
  <c r="Q6" i="11"/>
  <c r="S6" i="11" s="1"/>
  <c r="I85" i="3"/>
  <c r="P355" i="34"/>
  <c r="R456" i="6"/>
  <c r="R2079" i="6"/>
  <c r="R2077" i="6"/>
  <c r="R344" i="6"/>
  <c r="O107" i="13"/>
  <c r="O64" i="13" s="1"/>
  <c r="P9" i="3" s="1"/>
  <c r="P10" i="3" s="1"/>
  <c r="R109" i="6"/>
  <c r="R2073" i="6"/>
  <c r="R1521" i="6"/>
  <c r="R562" i="6"/>
  <c r="R2061" i="6"/>
  <c r="R383" i="6"/>
  <c r="R2078" i="6"/>
  <c r="P213" i="3"/>
  <c r="AC71" i="11"/>
  <c r="AB77" i="11"/>
  <c r="K238" i="4"/>
  <c r="K763" i="4"/>
  <c r="K765" i="4" s="1"/>
  <c r="K767" i="4" s="1"/>
  <c r="I160" i="3"/>
  <c r="J194" i="14"/>
  <c r="J135" i="14"/>
  <c r="J221" i="14"/>
  <c r="H873" i="4"/>
  <c r="J35" i="4"/>
  <c r="H16" i="3"/>
  <c r="I46" i="4"/>
  <c r="K252" i="4"/>
  <c r="K40" i="4" s="1"/>
  <c r="Q66" i="14"/>
  <c r="H893" i="4"/>
  <c r="R69" i="14"/>
  <c r="I159" i="3"/>
  <c r="N49" i="42"/>
  <c r="P206" i="15"/>
  <c r="P151" i="15" s="1"/>
  <c r="AD49" i="42"/>
  <c r="O133" i="13"/>
  <c r="P71" i="3"/>
  <c r="P72" i="3" s="1"/>
  <c r="M14" i="48"/>
  <c r="M13" i="48"/>
  <c r="K325" i="7"/>
  <c r="N64" i="10"/>
  <c r="R1145" i="7"/>
  <c r="R296" i="7"/>
  <c r="Q307" i="7"/>
  <c r="Q1130" i="7"/>
  <c r="L99" i="10"/>
  <c r="M99" i="10" s="1"/>
  <c r="K934" i="7"/>
  <c r="J135" i="8"/>
  <c r="J145" i="8" s="1"/>
  <c r="J526" i="8"/>
  <c r="K989" i="7"/>
  <c r="H132" i="3"/>
  <c r="J349" i="7"/>
  <c r="J997" i="7"/>
  <c r="J999" i="7" s="1"/>
  <c r="J1001" i="7" s="1"/>
  <c r="F282" i="34"/>
  <c r="F457" i="34"/>
  <c r="F462" i="34" s="1"/>
  <c r="F276" i="34" s="1"/>
  <c r="J98" i="10"/>
  <c r="J116" i="10" s="1"/>
  <c r="I46" i="11" s="1"/>
  <c r="J46" i="11" s="1"/>
  <c r="I116" i="10"/>
  <c r="H950" i="7" s="1"/>
  <c r="I950" i="7" s="1"/>
  <c r="M16" i="48"/>
  <c r="H357" i="7"/>
  <c r="I357" i="7" s="1"/>
  <c r="K935" i="7"/>
  <c r="L100" i="10"/>
  <c r="M100" i="10" s="1"/>
  <c r="L98" i="10"/>
  <c r="J352" i="7"/>
  <c r="J646" i="7"/>
  <c r="J939" i="7"/>
  <c r="K933" i="7"/>
  <c r="H137" i="3"/>
  <c r="K35" i="27"/>
  <c r="J51" i="27"/>
  <c r="J53" i="27" s="1"/>
  <c r="J55" i="27" s="1"/>
  <c r="J60" i="27" s="1"/>
  <c r="J68" i="27" s="1"/>
  <c r="J1962" i="6"/>
  <c r="J1964" i="6" s="1"/>
  <c r="J1966" i="6" s="1"/>
  <c r="J639" i="6"/>
  <c r="J677" i="6" s="1"/>
  <c r="K1842" i="6"/>
  <c r="H8" i="48"/>
  <c r="H145" i="8"/>
  <c r="I145" i="8" s="1"/>
  <c r="J72" i="8"/>
  <c r="K222" i="8"/>
  <c r="J333" i="8"/>
  <c r="K2008" i="6"/>
  <c r="J2034" i="6"/>
  <c r="G16" i="58"/>
  <c r="G34" i="58" s="1"/>
  <c r="J711" i="6"/>
  <c r="J731" i="6" s="1"/>
  <c r="J33" i="6" s="1"/>
  <c r="H648" i="7"/>
  <c r="I648" i="7" s="1"/>
  <c r="G215" i="3"/>
  <c r="H134" i="3"/>
  <c r="J1640" i="6"/>
  <c r="K1632" i="6"/>
  <c r="J497" i="6"/>
  <c r="J508" i="6" s="1"/>
  <c r="J29" i="6" s="1"/>
  <c r="H81" i="8"/>
  <c r="I81" i="8" s="1"/>
  <c r="G135" i="3"/>
  <c r="H7" i="48"/>
  <c r="E34" i="58"/>
  <c r="U16" i="58"/>
  <c r="U22" i="58" s="1"/>
  <c r="M15" i="48"/>
  <c r="J411" i="7"/>
  <c r="J420" i="7" s="1"/>
  <c r="K1102" i="7"/>
  <c r="J1107" i="7"/>
  <c r="J1109" i="7" s="1"/>
  <c r="J1112" i="7" s="1"/>
  <c r="P682" i="34"/>
  <c r="P689" i="34"/>
  <c r="Q59" i="4"/>
  <c r="Q346" i="4"/>
  <c r="Q410" i="4" s="1"/>
  <c r="Q412" i="4" s="1"/>
  <c r="R312" i="4"/>
  <c r="R853" i="4"/>
  <c r="P7" i="4"/>
  <c r="P82" i="4"/>
  <c r="O90" i="4"/>
  <c r="O41" i="4" s="1"/>
  <c r="O422" i="4"/>
  <c r="Q850" i="4"/>
  <c r="Q153" i="4"/>
  <c r="N900" i="4"/>
  <c r="L40" i="3"/>
  <c r="O27" i="4"/>
  <c r="O13" i="4"/>
  <c r="F471" i="34"/>
  <c r="F475" i="34" s="1"/>
  <c r="F359" i="34"/>
  <c r="F356" i="34"/>
  <c r="F373" i="34"/>
  <c r="N829" i="34"/>
  <c r="N202" i="34"/>
  <c r="N819" i="34" s="1"/>
  <c r="N263" i="3" s="1"/>
  <c r="AA6" i="11"/>
  <c r="AA21" i="11" s="1"/>
  <c r="M102" i="3"/>
  <c r="AB39" i="10"/>
  <c r="O201" i="34"/>
  <c r="O793" i="34"/>
  <c r="O804" i="34" s="1"/>
  <c r="O84" i="4"/>
  <c r="O861" i="4"/>
  <c r="R143" i="4"/>
  <c r="N881" i="4"/>
  <c r="N883" i="4" s="1"/>
  <c r="O683" i="34"/>
  <c r="O198" i="34" s="1"/>
  <c r="O254" i="3"/>
  <c r="F230" i="34"/>
  <c r="F797" i="34"/>
  <c r="F802" i="34" s="1"/>
  <c r="N95" i="4"/>
  <c r="N849" i="4"/>
  <c r="R28" i="4"/>
  <c r="R342" i="4"/>
  <c r="O11" i="12"/>
  <c r="P417" i="4"/>
  <c r="AC39" i="10"/>
  <c r="AE7" i="10"/>
  <c r="K153" i="4"/>
  <c r="H49" i="42"/>
  <c r="P12" i="11"/>
  <c r="O21" i="11"/>
  <c r="I829" i="34"/>
  <c r="I202" i="34"/>
  <c r="I819" i="34" s="1"/>
  <c r="I263" i="3" s="1"/>
  <c r="F655" i="34"/>
  <c r="F658" i="34" s="1"/>
  <c r="F665" i="34" s="1"/>
  <c r="F668" i="34" s="1"/>
  <c r="F541" i="34"/>
  <c r="F546" i="34" s="1"/>
  <c r="F547" i="34" s="1"/>
  <c r="F252" i="34" s="1"/>
  <c r="F314" i="34"/>
  <c r="F315" i="34" s="1"/>
  <c r="F317" i="34" s="1"/>
  <c r="S355" i="6" l="1"/>
  <c r="S2057" i="6"/>
  <c r="S2059" i="6"/>
  <c r="S465" i="6"/>
  <c r="S234" i="6"/>
  <c r="S2055" i="6"/>
  <c r="S2062" i="6"/>
  <c r="S617" i="6"/>
  <c r="S394" i="6"/>
  <c r="S2058" i="6"/>
  <c r="S307" i="7"/>
  <c r="S1130" i="7"/>
  <c r="Q611" i="34"/>
  <c r="Q613" i="34" s="1"/>
  <c r="Q244" i="34" s="1"/>
  <c r="Q586" i="34"/>
  <c r="Q587" i="34" s="1"/>
  <c r="S467" i="5"/>
  <c r="S471" i="5" s="1"/>
  <c r="S484" i="5" s="1"/>
  <c r="S488" i="5" s="1"/>
  <c r="S114" i="5"/>
  <c r="P121" i="3" s="1"/>
  <c r="S30" i="5"/>
  <c r="P19" i="13"/>
  <c r="P20" i="13" s="1"/>
  <c r="P23" i="13" s="1"/>
  <c r="B91" i="15"/>
  <c r="B240" i="3" s="1"/>
  <c r="D380" i="34"/>
  <c r="D498" i="34" s="1"/>
  <c r="B89" i="15"/>
  <c r="Q689" i="34"/>
  <c r="Q793" i="34" s="1"/>
  <c r="Q804" i="34" s="1"/>
  <c r="S862" i="4"/>
  <c r="S207" i="4"/>
  <c r="S851" i="4"/>
  <c r="S850" i="4"/>
  <c r="S153" i="4"/>
  <c r="C56" i="42"/>
  <c r="D288" i="34"/>
  <c r="D292" i="34" s="1"/>
  <c r="Q524" i="34"/>
  <c r="Q540" i="34"/>
  <c r="Q367" i="34"/>
  <c r="Q486" i="34" s="1"/>
  <c r="P104" i="13"/>
  <c r="P107" i="13" s="1"/>
  <c r="P64" i="13" s="1"/>
  <c r="Q683" i="34"/>
  <c r="Q198" i="34" s="1"/>
  <c r="Q254" i="3"/>
  <c r="Q218" i="15"/>
  <c r="Q139" i="15"/>
  <c r="Q163" i="15" s="1"/>
  <c r="Q191" i="15"/>
  <c r="AE20" i="42"/>
  <c r="Q72" i="3"/>
  <c r="U18" i="14"/>
  <c r="L216" i="14"/>
  <c r="L218" i="14"/>
  <c r="U37" i="14"/>
  <c r="M1141" i="6"/>
  <c r="M1143" i="6" s="1"/>
  <c r="M1145" i="6" s="1"/>
  <c r="M333" i="6"/>
  <c r="M340" i="6" s="1"/>
  <c r="P47" i="42"/>
  <c r="B27" i="15"/>
  <c r="D324" i="34"/>
  <c r="D377" i="34"/>
  <c r="D553" i="34"/>
  <c r="D560" i="34" s="1"/>
  <c r="AG62" i="42"/>
  <c r="C58" i="42"/>
  <c r="R114" i="14"/>
  <c r="S114" i="14" s="1"/>
  <c r="R113" i="14"/>
  <c r="S113" i="14" s="1"/>
  <c r="S85" i="14"/>
  <c r="K34" i="3"/>
  <c r="AU246" i="10"/>
  <c r="O199" i="34"/>
  <c r="P142" i="34"/>
  <c r="O829" i="34"/>
  <c r="K504" i="34"/>
  <c r="BC52" i="42"/>
  <c r="BC54" i="42" s="1"/>
  <c r="N102" i="20"/>
  <c r="O64" i="20"/>
  <c r="N100" i="20"/>
  <c r="J154" i="34"/>
  <c r="J156" i="34" s="1"/>
  <c r="J150" i="34"/>
  <c r="X21" i="20"/>
  <c r="X23" i="20" s="1"/>
  <c r="Z20" i="20" s="1"/>
  <c r="N536" i="8"/>
  <c r="L178" i="3"/>
  <c r="L179" i="3" s="1"/>
  <c r="BD19" i="42"/>
  <c r="L154" i="22"/>
  <c r="K70" i="17"/>
  <c r="K324" i="15"/>
  <c r="K329" i="15" s="1"/>
  <c r="L202" i="3"/>
  <c r="L173" i="3"/>
  <c r="V54" i="42"/>
  <c r="G54" i="42" s="1"/>
  <c r="G52" i="42"/>
  <c r="G72" i="34"/>
  <c r="G24" i="34"/>
  <c r="G26" i="34" s="1"/>
  <c r="G411" i="34" s="1"/>
  <c r="G414" i="34" s="1"/>
  <c r="G68" i="34"/>
  <c r="G426" i="34" s="1"/>
  <c r="G430" i="34" s="1"/>
  <c r="N94" i="14"/>
  <c r="N159" i="14" s="1"/>
  <c r="N92" i="14"/>
  <c r="T81" i="37"/>
  <c r="T84" i="37" s="1"/>
  <c r="S98" i="37"/>
  <c r="C232" i="42"/>
  <c r="C235" i="42" s="1"/>
  <c r="C238" i="42" s="1"/>
  <c r="C141" i="13"/>
  <c r="C144" i="13" s="1"/>
  <c r="C146" i="13" s="1"/>
  <c r="C92" i="3" s="1"/>
  <c r="H55" i="27"/>
  <c r="I55" i="27" s="1"/>
  <c r="G38" i="13"/>
  <c r="G41" i="13" s="1"/>
  <c r="J891" i="4"/>
  <c r="J46" i="4"/>
  <c r="H123" i="3" s="1"/>
  <c r="J869" i="4"/>
  <c r="D250" i="3"/>
  <c r="S60" i="42"/>
  <c r="D60" i="42" s="1"/>
  <c r="C91" i="13"/>
  <c r="C267" i="3" s="1"/>
  <c r="D248" i="3"/>
  <c r="S84" i="42"/>
  <c r="S89" i="42" s="1"/>
  <c r="S87" i="42"/>
  <c r="C38" i="60"/>
  <c r="D74" i="42"/>
  <c r="C11" i="60"/>
  <c r="D82" i="42"/>
  <c r="C16" i="60"/>
  <c r="F38" i="60"/>
  <c r="B48" i="60"/>
  <c r="F48" i="60" s="1"/>
  <c r="A12" i="60"/>
  <c r="A22" i="60" s="1"/>
  <c r="F11" i="60"/>
  <c r="B12" i="60"/>
  <c r="F20" i="60"/>
  <c r="E22" i="60"/>
  <c r="C46" i="60"/>
  <c r="D26" i="42"/>
  <c r="D36" i="42" s="1"/>
  <c r="N77" i="42"/>
  <c r="P15" i="60" s="1"/>
  <c r="V15" i="26"/>
  <c r="V25" i="26" s="1"/>
  <c r="V27" i="26" s="1"/>
  <c r="P50" i="15"/>
  <c r="P19" i="15" s="1"/>
  <c r="O17" i="42"/>
  <c r="O77" i="42" s="1"/>
  <c r="Q15" i="60" s="1"/>
  <c r="AD77" i="42"/>
  <c r="Q41" i="60" s="1"/>
  <c r="D90" i="42"/>
  <c r="D87" i="42" s="1"/>
  <c r="B164" i="42"/>
  <c r="B168" i="42" s="1"/>
  <c r="B174" i="42" s="1"/>
  <c r="B186" i="42" s="1"/>
  <c r="E164" i="42"/>
  <c r="E168" i="42" s="1"/>
  <c r="E174" i="42" s="1"/>
  <c r="E186" i="42" s="1"/>
  <c r="C25" i="15"/>
  <c r="E310" i="34"/>
  <c r="E303" i="34"/>
  <c r="C58" i="15"/>
  <c r="C60" i="15"/>
  <c r="C140" i="15"/>
  <c r="A243" i="3"/>
  <c r="C309" i="34"/>
  <c r="C364" i="34"/>
  <c r="C537" i="34"/>
  <c r="C546" i="34" s="1"/>
  <c r="C547" i="34" s="1"/>
  <c r="C252" i="34" s="1"/>
  <c r="B232" i="15"/>
  <c r="B176" i="15"/>
  <c r="B177" i="15" s="1"/>
  <c r="D675" i="34"/>
  <c r="D280" i="34" s="1"/>
  <c r="C220" i="15"/>
  <c r="D56" i="42"/>
  <c r="C16" i="15"/>
  <c r="D537" i="34"/>
  <c r="D546" i="34" s="1"/>
  <c r="D547" i="34" s="1"/>
  <c r="D252" i="34" s="1"/>
  <c r="D364" i="34"/>
  <c r="D309" i="34"/>
  <c r="R207" i="4"/>
  <c r="Q32" i="5"/>
  <c r="Q43" i="5" s="1"/>
  <c r="AJ152" i="11"/>
  <c r="AK152" i="11" s="1"/>
  <c r="AL152" i="11" s="1"/>
  <c r="AN152" i="11" s="1"/>
  <c r="R612" i="6"/>
  <c r="R617" i="6" s="1"/>
  <c r="R1781" i="6"/>
  <c r="P200" i="3" s="1"/>
  <c r="P46" i="15"/>
  <c r="P15" i="15" s="1"/>
  <c r="P55" i="15"/>
  <c r="P24" i="15" s="1"/>
  <c r="O69" i="13"/>
  <c r="P194" i="15"/>
  <c r="R1126" i="7"/>
  <c r="R120" i="7"/>
  <c r="R820" i="7"/>
  <c r="F78" i="15"/>
  <c r="G78" i="15" s="1"/>
  <c r="K108" i="14"/>
  <c r="S62" i="14" s="1"/>
  <c r="S63" i="14" s="1"/>
  <c r="L1115" i="7" s="1"/>
  <c r="L430" i="7" s="1"/>
  <c r="L48" i="7" s="1"/>
  <c r="J21" i="3" s="1"/>
  <c r="R74" i="20"/>
  <c r="N158" i="15"/>
  <c r="P191" i="15"/>
  <c r="P136" i="15" s="1"/>
  <c r="P158" i="15" s="1"/>
  <c r="AC80" i="42"/>
  <c r="P44" i="60" s="1"/>
  <c r="O53" i="15"/>
  <c r="O22" i="15" s="1"/>
  <c r="H19" i="6"/>
  <c r="I19" i="6" s="1"/>
  <c r="N20" i="42"/>
  <c r="N80" i="42" s="1"/>
  <c r="P18" i="60" s="1"/>
  <c r="R2055" i="6"/>
  <c r="R122" i="42"/>
  <c r="S122" i="42" s="1"/>
  <c r="H422" i="7"/>
  <c r="I422" i="7" s="1"/>
  <c r="O545" i="34"/>
  <c r="C288" i="34"/>
  <c r="A29" i="15"/>
  <c r="A238" i="3" s="1"/>
  <c r="A27" i="15"/>
  <c r="AF58" i="42"/>
  <c r="B56" i="42"/>
  <c r="H679" i="6"/>
  <c r="I679" i="6" s="1"/>
  <c r="C377" i="34"/>
  <c r="C553" i="34"/>
  <c r="C560" i="34" s="1"/>
  <c r="C324" i="34"/>
  <c r="R2062" i="6"/>
  <c r="H24" i="7"/>
  <c r="I24" i="7" s="1"/>
  <c r="H32" i="6"/>
  <c r="I32" i="6" s="1"/>
  <c r="C498" i="34"/>
  <c r="C354" i="34"/>
  <c r="H438" i="7"/>
  <c r="I438" i="7" s="1"/>
  <c r="R123" i="42"/>
  <c r="S123" i="42" s="1"/>
  <c r="R119" i="42"/>
  <c r="S119" i="42" s="1"/>
  <c r="H733" i="6"/>
  <c r="I733" i="6" s="1"/>
  <c r="H29" i="6"/>
  <c r="I29" i="6" s="1"/>
  <c r="H510" i="6"/>
  <c r="I510" i="6" s="1"/>
  <c r="H1644" i="6"/>
  <c r="I1644" i="6" s="1"/>
  <c r="H2038" i="6"/>
  <c r="I2038" i="6" s="1"/>
  <c r="H33" i="6"/>
  <c r="I33" i="6" s="1"/>
  <c r="H1966" i="6"/>
  <c r="I1966" i="6" s="1"/>
  <c r="K129" i="14"/>
  <c r="K125" i="14"/>
  <c r="K192" i="14"/>
  <c r="L87" i="14" s="1"/>
  <c r="H650" i="7"/>
  <c r="I650" i="7" s="1"/>
  <c r="R133" i="42"/>
  <c r="S133" i="42" s="1"/>
  <c r="H1112" i="7"/>
  <c r="I1112" i="7" s="1"/>
  <c r="H1001" i="7"/>
  <c r="H945" i="7"/>
  <c r="I945" i="7" s="1"/>
  <c r="K45" i="16"/>
  <c r="K120" i="16" s="1"/>
  <c r="K275" i="15"/>
  <c r="K280" i="15" s="1"/>
  <c r="H338" i="8"/>
  <c r="N1083" i="6"/>
  <c r="K195" i="14"/>
  <c r="L90" i="14" s="1"/>
  <c r="K140" i="14"/>
  <c r="S113" i="37"/>
  <c r="S117" i="37" s="1"/>
  <c r="S37" i="37"/>
  <c r="S60" i="37" s="1"/>
  <c r="N2076" i="6"/>
  <c r="N280" i="6"/>
  <c r="O19" i="13"/>
  <c r="O20" i="13" s="1"/>
  <c r="O23" i="13" s="1"/>
  <c r="R30" i="5"/>
  <c r="R209" i="5"/>
  <c r="O121" i="3" s="1"/>
  <c r="R469" i="5"/>
  <c r="R471" i="5" s="1"/>
  <c r="R484" i="5" s="1"/>
  <c r="R488" i="5" s="1"/>
  <c r="T6" i="11"/>
  <c r="V6" i="11" s="1"/>
  <c r="J85" i="3"/>
  <c r="P545" i="34"/>
  <c r="AD29" i="42"/>
  <c r="O29" i="42" s="1"/>
  <c r="O121" i="13"/>
  <c r="AD80" i="42"/>
  <c r="Q44" i="60" s="1"/>
  <c r="P53" i="15"/>
  <c r="P22" i="15" s="1"/>
  <c r="R2059" i="6"/>
  <c r="R465" i="6"/>
  <c r="R394" i="6"/>
  <c r="R2058" i="6"/>
  <c r="R2053" i="6"/>
  <c r="R120" i="6"/>
  <c r="R2057" i="6"/>
  <c r="R355" i="6"/>
  <c r="AE71" i="11"/>
  <c r="AC77" i="11"/>
  <c r="I24" i="3"/>
  <c r="K899" i="4"/>
  <c r="H81" i="13"/>
  <c r="K776" i="4"/>
  <c r="K267" i="4"/>
  <c r="K243" i="4"/>
  <c r="W19" i="42"/>
  <c r="K89" i="14"/>
  <c r="J201" i="14"/>
  <c r="Q69" i="14"/>
  <c r="Q73" i="14" s="1"/>
  <c r="Q76" i="14" s="1"/>
  <c r="I155" i="3"/>
  <c r="I480" i="34"/>
  <c r="I161" i="3"/>
  <c r="H17" i="48"/>
  <c r="H19" i="48" s="1"/>
  <c r="J65" i="27"/>
  <c r="O49" i="42"/>
  <c r="G52" i="58"/>
  <c r="P64" i="10"/>
  <c r="P94" i="10" s="1"/>
  <c r="O45" i="11" s="1"/>
  <c r="P45" i="11" s="1"/>
  <c r="N94" i="10"/>
  <c r="I47" i="11"/>
  <c r="R307" i="7"/>
  <c r="R1130" i="7"/>
  <c r="J24" i="7"/>
  <c r="J35" i="7" s="1"/>
  <c r="J438" i="7"/>
  <c r="J422" i="7"/>
  <c r="E52" i="58"/>
  <c r="E36" i="58"/>
  <c r="E38" i="58" s="1"/>
  <c r="K333" i="8"/>
  <c r="L222" i="8"/>
  <c r="K72" i="8"/>
  <c r="L1842" i="6"/>
  <c r="K1962" i="6"/>
  <c r="K1964" i="6" s="1"/>
  <c r="K1966" i="6" s="1"/>
  <c r="K639" i="6"/>
  <c r="K677" i="6" s="1"/>
  <c r="K51" i="27"/>
  <c r="K53" i="27" s="1"/>
  <c r="K55" i="27" s="1"/>
  <c r="K60" i="27" s="1"/>
  <c r="K68" i="27" s="1"/>
  <c r="L35" i="27"/>
  <c r="I137" i="3"/>
  <c r="J648" i="7"/>
  <c r="J650" i="7" s="1"/>
  <c r="J652" i="7" s="1"/>
  <c r="J661" i="7" s="1"/>
  <c r="J195" i="7"/>
  <c r="O100" i="10"/>
  <c r="P100" i="10" s="1"/>
  <c r="L935" i="7"/>
  <c r="J15" i="8"/>
  <c r="H7" i="17" s="1"/>
  <c r="J584" i="8"/>
  <c r="H16" i="58"/>
  <c r="H34" i="58" s="1"/>
  <c r="L2008" i="6"/>
  <c r="K2034" i="6"/>
  <c r="K711" i="6"/>
  <c r="K731" i="6" s="1"/>
  <c r="K33" i="6" s="1"/>
  <c r="J81" i="8"/>
  <c r="H135" i="3"/>
  <c r="J679" i="6"/>
  <c r="J32" i="6"/>
  <c r="J48" i="6" s="1"/>
  <c r="I1006" i="7"/>
  <c r="H392" i="8"/>
  <c r="I392" i="8" s="1"/>
  <c r="H110" i="8"/>
  <c r="I110" i="8" s="1"/>
  <c r="K997" i="7"/>
  <c r="K999" i="7" s="1"/>
  <c r="K1001" i="7" s="1"/>
  <c r="K349" i="7"/>
  <c r="I132" i="3"/>
  <c r="L989" i="7"/>
  <c r="L1632" i="6"/>
  <c r="K1640" i="6"/>
  <c r="I134" i="3"/>
  <c r="K497" i="6"/>
  <c r="K508" i="6" s="1"/>
  <c r="K29" i="6" s="1"/>
  <c r="R140" i="42"/>
  <c r="H584" i="8"/>
  <c r="I584" i="8" s="1"/>
  <c r="H15" i="8"/>
  <c r="I15" i="8" s="1"/>
  <c r="O98" i="10"/>
  <c r="K646" i="7"/>
  <c r="L933" i="7"/>
  <c r="K352" i="7"/>
  <c r="K939" i="7"/>
  <c r="L116" i="10"/>
  <c r="J950" i="7" s="1"/>
  <c r="M98" i="10"/>
  <c r="R132" i="42"/>
  <c r="S132" i="42" s="1"/>
  <c r="H23" i="7"/>
  <c r="I23" i="7" s="1"/>
  <c r="H359" i="7"/>
  <c r="I359" i="7" s="1"/>
  <c r="O99" i="10"/>
  <c r="P99" i="10" s="1"/>
  <c r="L934" i="7"/>
  <c r="K1107" i="7"/>
  <c r="K1109" i="7" s="1"/>
  <c r="K1112" i="7" s="1"/>
  <c r="L1102" i="7"/>
  <c r="K411" i="7"/>
  <c r="K420" i="7" s="1"/>
  <c r="W22" i="58"/>
  <c r="U38" i="58"/>
  <c r="R139" i="42"/>
  <c r="S139" i="42" s="1"/>
  <c r="H14" i="8"/>
  <c r="I14" i="8" s="1"/>
  <c r="H83" i="8"/>
  <c r="I83" i="8" s="1"/>
  <c r="H583" i="8"/>
  <c r="I583" i="8" s="1"/>
  <c r="H197" i="7"/>
  <c r="I197" i="7" s="1"/>
  <c r="G138" i="3"/>
  <c r="G139" i="3" s="1"/>
  <c r="J357" i="7"/>
  <c r="J23" i="7" s="1"/>
  <c r="K131" i="10"/>
  <c r="K526" i="8"/>
  <c r="K135" i="8"/>
  <c r="K145" i="8" s="1"/>
  <c r="P90" i="4"/>
  <c r="P41" i="4" s="1"/>
  <c r="P422" i="4"/>
  <c r="K36" i="13"/>
  <c r="O95" i="4"/>
  <c r="O849" i="4"/>
  <c r="P27" i="4"/>
  <c r="P13" i="4"/>
  <c r="O84" i="3"/>
  <c r="Q61" i="4"/>
  <c r="AF7" i="10"/>
  <c r="P254" i="3"/>
  <c r="P683" i="34"/>
  <c r="P198" i="34" s="1"/>
  <c r="P199" i="34" s="1"/>
  <c r="P8" i="12"/>
  <c r="R59" i="4"/>
  <c r="R346" i="4"/>
  <c r="R410" i="4" s="1"/>
  <c r="R412" i="4" s="1"/>
  <c r="F476" i="34"/>
  <c r="F227" i="34" s="1"/>
  <c r="AE39" i="10"/>
  <c r="AD6" i="11"/>
  <c r="AD21" i="11" s="1"/>
  <c r="N102" i="3"/>
  <c r="F826" i="34"/>
  <c r="O80" i="42"/>
  <c r="Q18" i="60" s="1"/>
  <c r="P529" i="34"/>
  <c r="R153" i="4"/>
  <c r="R850" i="4"/>
  <c r="F187" i="34"/>
  <c r="F827" i="34"/>
  <c r="F792" i="34"/>
  <c r="F803" i="34" s="1"/>
  <c r="O881" i="4"/>
  <c r="O883" i="4" s="1"/>
  <c r="O900" i="4"/>
  <c r="M40" i="3"/>
  <c r="F360" i="34"/>
  <c r="F184" i="34" s="1"/>
  <c r="P84" i="4"/>
  <c r="P861" i="4"/>
  <c r="P201" i="34"/>
  <c r="P829" i="34" s="1"/>
  <c r="P793" i="34"/>
  <c r="P804" i="34" s="1"/>
  <c r="O202" i="34"/>
  <c r="O819" i="34" s="1"/>
  <c r="O263" i="3" s="1"/>
  <c r="Q12" i="11"/>
  <c r="Q21" i="11" s="1"/>
  <c r="P21" i="11"/>
  <c r="I48" i="3"/>
  <c r="K901" i="4"/>
  <c r="F637" i="34"/>
  <c r="F51" i="34"/>
  <c r="K46" i="11"/>
  <c r="J859" i="7"/>
  <c r="J47" i="11"/>
  <c r="F221" i="34"/>
  <c r="F830" i="34"/>
  <c r="F791" i="34"/>
  <c r="F806" i="34" s="1"/>
  <c r="F173" i="34"/>
  <c r="F525" i="34"/>
  <c r="F530" i="34" s="1"/>
  <c r="F296" i="34"/>
  <c r="Q201" i="34" l="1"/>
  <c r="Q829" i="34" s="1"/>
  <c r="Q589" i="34"/>
  <c r="Q240" i="34" s="1"/>
  <c r="Q252" i="3"/>
  <c r="Q14" i="3"/>
  <c r="S32" i="5"/>
  <c r="S43" i="5" s="1"/>
  <c r="S342" i="4"/>
  <c r="Q8" i="12" s="1"/>
  <c r="Q11" i="12" s="1"/>
  <c r="D521" i="34"/>
  <c r="D530" i="34" s="1"/>
  <c r="B251" i="3" s="1"/>
  <c r="C62" i="42"/>
  <c r="B212" i="3" s="1"/>
  <c r="Q199" i="34"/>
  <c r="D351" i="34"/>
  <c r="D359" i="34" s="1"/>
  <c r="Q53" i="15"/>
  <c r="Q22" i="15" s="1"/>
  <c r="Q545" i="34"/>
  <c r="P20" i="42"/>
  <c r="AE29" i="42"/>
  <c r="P29" i="42" s="1"/>
  <c r="AE80" i="42"/>
  <c r="R44" i="60" s="1"/>
  <c r="Q136" i="15"/>
  <c r="Q158" i="15" s="1"/>
  <c r="Q213" i="15"/>
  <c r="P121" i="13"/>
  <c r="Q9" i="3"/>
  <c r="Q10" i="3" s="1"/>
  <c r="U39" i="14"/>
  <c r="M1149" i="6" s="1"/>
  <c r="M349" i="6" s="1"/>
  <c r="M61" i="6" s="1"/>
  <c r="K23" i="3" s="1"/>
  <c r="U91" i="10"/>
  <c r="L155" i="14"/>
  <c r="L198" i="14"/>
  <c r="M26" i="6"/>
  <c r="M42" i="6" s="1"/>
  <c r="M342" i="6"/>
  <c r="L196" i="14"/>
  <c r="L145" i="14"/>
  <c r="B58" i="42"/>
  <c r="B62" i="42" s="1"/>
  <c r="A212" i="3" s="1"/>
  <c r="L203" i="3"/>
  <c r="D329" i="34"/>
  <c r="D330" i="34"/>
  <c r="D495" i="34"/>
  <c r="D499" i="34" s="1"/>
  <c r="D500" i="34" s="1"/>
  <c r="D233" i="34" s="1"/>
  <c r="F234" i="34" s="1"/>
  <c r="D382" i="34"/>
  <c r="D385" i="34"/>
  <c r="Z50" i="14"/>
  <c r="Z51" i="14" s="1"/>
  <c r="O1063" i="6" s="1"/>
  <c r="O1070" i="6" s="1"/>
  <c r="O1071" i="6" s="1"/>
  <c r="O1075" i="6" s="1"/>
  <c r="S1781" i="6"/>
  <c r="Q200" i="3" s="1"/>
  <c r="J157" i="34"/>
  <c r="O99" i="20"/>
  <c r="AA12" i="20"/>
  <c r="AA16" i="20" s="1"/>
  <c r="O63" i="20"/>
  <c r="L505" i="34"/>
  <c r="L565" i="34" s="1"/>
  <c r="L573" i="34" s="1"/>
  <c r="L113" i="15"/>
  <c r="J412" i="34"/>
  <c r="J459" i="34"/>
  <c r="J460" i="34" s="1"/>
  <c r="N381" i="8"/>
  <c r="K454" i="34"/>
  <c r="L155" i="22"/>
  <c r="L158" i="22" s="1"/>
  <c r="K89" i="3" s="1"/>
  <c r="K44" i="17"/>
  <c r="K80" i="3"/>
  <c r="L40" i="17"/>
  <c r="N155" i="8"/>
  <c r="K564" i="34"/>
  <c r="K566" i="34" s="1"/>
  <c r="K506" i="34"/>
  <c r="I1001" i="7"/>
  <c r="I131" i="10"/>
  <c r="H1007" i="7" s="1"/>
  <c r="I1007" i="7" s="1"/>
  <c r="I338" i="8"/>
  <c r="H344" i="8"/>
  <c r="G30" i="34"/>
  <c r="G32" i="34" s="1"/>
  <c r="G33" i="34" s="1"/>
  <c r="G74" i="34"/>
  <c r="G75" i="34" s="1"/>
  <c r="K149" i="14"/>
  <c r="S100" i="37"/>
  <c r="L181" i="3" s="1"/>
  <c r="U81" i="37"/>
  <c r="U84" i="37" s="1"/>
  <c r="T98" i="37"/>
  <c r="F639" i="34"/>
  <c r="F262" i="34" s="1"/>
  <c r="H60" i="27"/>
  <c r="H68" i="27" s="1"/>
  <c r="H71" i="27" s="1"/>
  <c r="J69" i="27" s="1"/>
  <c r="J71" i="27" s="1"/>
  <c r="K69" i="27" s="1"/>
  <c r="K71" i="27" s="1"/>
  <c r="L69" i="27" s="1"/>
  <c r="B188" i="42"/>
  <c r="E188" i="42" s="1"/>
  <c r="E191" i="42" s="1"/>
  <c r="S62" i="42"/>
  <c r="P212" i="3" s="1"/>
  <c r="J873" i="4"/>
  <c r="J893" i="4"/>
  <c r="D251" i="3"/>
  <c r="D247" i="3"/>
  <c r="D84" i="42"/>
  <c r="C20" i="60"/>
  <c r="C48" i="60"/>
  <c r="C12" i="60"/>
  <c r="F12" i="60"/>
  <c r="B22" i="60"/>
  <c r="F22" i="60" s="1"/>
  <c r="E293" i="34"/>
  <c r="E655" i="34"/>
  <c r="E658" i="34" s="1"/>
  <c r="E665" i="34" s="1"/>
  <c r="E668" i="34" s="1"/>
  <c r="E541" i="34"/>
  <c r="E314" i="34"/>
  <c r="C239" i="3"/>
  <c r="D62" i="42"/>
  <c r="C212" i="3" s="1"/>
  <c r="K13" i="4"/>
  <c r="K881" i="4" s="1"/>
  <c r="K883" i="4" s="1"/>
  <c r="H36" i="13" s="1"/>
  <c r="B243" i="3"/>
  <c r="D316" i="34"/>
  <c r="D315" i="34"/>
  <c r="E288" i="34"/>
  <c r="C27" i="15"/>
  <c r="C29" i="15"/>
  <c r="D298" i="34"/>
  <c r="B247" i="3"/>
  <c r="D297" i="34"/>
  <c r="C369" i="34"/>
  <c r="C372" i="34"/>
  <c r="C483" i="34"/>
  <c r="C487" i="34" s="1"/>
  <c r="C488" i="34" s="1"/>
  <c r="C165" i="15"/>
  <c r="E364" i="34"/>
  <c r="E537" i="34"/>
  <c r="E309" i="34"/>
  <c r="D372" i="34"/>
  <c r="D483" i="34"/>
  <c r="D487" i="34" s="1"/>
  <c r="D488" i="34" s="1"/>
  <c r="D369" i="34"/>
  <c r="C225" i="15"/>
  <c r="C316" i="34"/>
  <c r="C315" i="34"/>
  <c r="P11" i="12"/>
  <c r="P139" i="15"/>
  <c r="P163" i="15" s="1"/>
  <c r="P218" i="15"/>
  <c r="N158" i="14"/>
  <c r="P213" i="15"/>
  <c r="O529" i="34"/>
  <c r="G320" i="34"/>
  <c r="K209" i="14"/>
  <c r="R73" i="20"/>
  <c r="H2083" i="6"/>
  <c r="H425" i="7"/>
  <c r="H48" i="6"/>
  <c r="I48" i="6" s="1"/>
  <c r="H1147" i="7"/>
  <c r="F26" i="13"/>
  <c r="F44" i="13" s="1"/>
  <c r="U10" i="42" s="1"/>
  <c r="H681" i="6"/>
  <c r="I681" i="6" s="1"/>
  <c r="M9" i="48"/>
  <c r="H2084" i="6"/>
  <c r="H735" i="6"/>
  <c r="I735" i="6" s="1"/>
  <c r="AF62" i="42"/>
  <c r="H35" i="7"/>
  <c r="I35" i="7" s="1"/>
  <c r="C330" i="34"/>
  <c r="C329" i="34"/>
  <c r="R124" i="42"/>
  <c r="S124" i="42" s="1"/>
  <c r="C521" i="34"/>
  <c r="C292" i="34"/>
  <c r="C474" i="34"/>
  <c r="C524" i="34"/>
  <c r="C495" i="34"/>
  <c r="C499" i="34" s="1"/>
  <c r="C500" i="34" s="1"/>
  <c r="C233" i="34" s="1"/>
  <c r="C385" i="34"/>
  <c r="C351" i="34"/>
  <c r="C382" i="34"/>
  <c r="H45" i="6"/>
  <c r="I45" i="6" s="1"/>
  <c r="M12" i="48"/>
  <c r="H512" i="6"/>
  <c r="I512" i="6" s="1"/>
  <c r="H35" i="6"/>
  <c r="I35" i="6" s="1"/>
  <c r="H2080" i="6"/>
  <c r="M10" i="48"/>
  <c r="H49" i="6"/>
  <c r="I49" i="6" s="1"/>
  <c r="L124" i="14"/>
  <c r="L123" i="14" s="1"/>
  <c r="L231" i="4"/>
  <c r="K128" i="14"/>
  <c r="H953" i="7"/>
  <c r="I953" i="7" s="1"/>
  <c r="H34" i="7"/>
  <c r="I34" i="7" s="1"/>
  <c r="H652" i="7"/>
  <c r="I652" i="7" s="1"/>
  <c r="H528" i="8"/>
  <c r="I528" i="8" s="1"/>
  <c r="H343" i="8"/>
  <c r="G7" i="17"/>
  <c r="AY18" i="42" s="1"/>
  <c r="K439" i="34"/>
  <c r="N195" i="8"/>
  <c r="N2056" i="6"/>
  <c r="N291" i="6"/>
  <c r="O267" i="6"/>
  <c r="O274" i="6" s="1"/>
  <c r="L139" i="14"/>
  <c r="K904" i="4"/>
  <c r="P14" i="3"/>
  <c r="R32" i="5"/>
  <c r="R43" i="5" s="1"/>
  <c r="W6" i="11"/>
  <c r="Y6" i="11" s="1"/>
  <c r="K85" i="3"/>
  <c r="AF71" i="11"/>
  <c r="AE77" i="11"/>
  <c r="K65" i="27"/>
  <c r="K134" i="14"/>
  <c r="K133" i="14" s="1"/>
  <c r="K96" i="14"/>
  <c r="S72" i="14"/>
  <c r="I51" i="15"/>
  <c r="I20" i="15" s="1"/>
  <c r="W79" i="42"/>
  <c r="J43" i="60" s="1"/>
  <c r="H19" i="42"/>
  <c r="I481" i="34"/>
  <c r="I535" i="34" s="1"/>
  <c r="H134" i="13"/>
  <c r="H135" i="13" s="1"/>
  <c r="W50" i="42"/>
  <c r="I25" i="3"/>
  <c r="I26" i="3" s="1"/>
  <c r="I207" i="15"/>
  <c r="I156" i="3"/>
  <c r="I157" i="3" s="1"/>
  <c r="I534" i="34"/>
  <c r="K20" i="4"/>
  <c r="K245" i="4"/>
  <c r="H586" i="8"/>
  <c r="I586" i="8" s="1"/>
  <c r="Q45" i="11"/>
  <c r="L858" i="7"/>
  <c r="M8" i="48"/>
  <c r="R129" i="42"/>
  <c r="H20" i="7"/>
  <c r="I20" i="7" s="1"/>
  <c r="H199" i="7"/>
  <c r="I199" i="7" s="1"/>
  <c r="L411" i="7"/>
  <c r="L420" i="7" s="1"/>
  <c r="M1102" i="7"/>
  <c r="L1107" i="7"/>
  <c r="L1109" i="7" s="1"/>
  <c r="L1112" i="7" s="1"/>
  <c r="R99" i="10"/>
  <c r="S99" i="10" s="1"/>
  <c r="M934" i="7"/>
  <c r="H1146" i="7"/>
  <c r="H363" i="7"/>
  <c r="I363" i="7" s="1"/>
  <c r="M2008" i="6"/>
  <c r="L2034" i="6"/>
  <c r="I16" i="58"/>
  <c r="I34" i="58" s="1"/>
  <c r="L711" i="6"/>
  <c r="L731" i="6" s="1"/>
  <c r="L33" i="6" s="1"/>
  <c r="J197" i="7"/>
  <c r="H138" i="3"/>
  <c r="H139" i="3" s="1"/>
  <c r="I135" i="3"/>
  <c r="K81" i="8"/>
  <c r="J425" i="7"/>
  <c r="J1147" i="7"/>
  <c r="L131" i="10"/>
  <c r="J1006" i="7"/>
  <c r="U40" i="58"/>
  <c r="W40" i="58" s="1"/>
  <c r="R98" i="10"/>
  <c r="L939" i="7"/>
  <c r="M933" i="7"/>
  <c r="L646" i="7"/>
  <c r="L352" i="7"/>
  <c r="K357" i="7"/>
  <c r="K23" i="7" s="1"/>
  <c r="N131" i="10"/>
  <c r="O131" i="10" s="1"/>
  <c r="K1007" i="7" s="1"/>
  <c r="H113" i="8"/>
  <c r="I113" i="8" s="1"/>
  <c r="AY9" i="42"/>
  <c r="H368" i="7"/>
  <c r="I368" i="7" s="1"/>
  <c r="J14" i="8"/>
  <c r="J583" i="8"/>
  <c r="J586" i="8" s="1"/>
  <c r="H52" i="58"/>
  <c r="K32" i="6"/>
  <c r="K679" i="6"/>
  <c r="M222" i="8"/>
  <c r="L333" i="8"/>
  <c r="L72" i="8"/>
  <c r="J35" i="6"/>
  <c r="G27" i="13" s="1"/>
  <c r="L135" i="8"/>
  <c r="L145" i="8" s="1"/>
  <c r="L526" i="8"/>
  <c r="H558" i="8"/>
  <c r="I558" i="8" s="1"/>
  <c r="H86" i="8"/>
  <c r="I86" i="8" s="1"/>
  <c r="K195" i="7"/>
  <c r="K648" i="7"/>
  <c r="K650" i="7" s="1"/>
  <c r="K652" i="7" s="1"/>
  <c r="K661" i="7" s="1"/>
  <c r="J134" i="3"/>
  <c r="L497" i="6"/>
  <c r="L508" i="6" s="1"/>
  <c r="L29" i="6" s="1"/>
  <c r="M1632" i="6"/>
  <c r="L1640" i="6"/>
  <c r="H99" i="17"/>
  <c r="AZ18" i="42"/>
  <c r="H291" i="15"/>
  <c r="M935" i="7"/>
  <c r="U100" i="10" s="1"/>
  <c r="V100" i="10" s="1"/>
  <c r="R100" i="10"/>
  <c r="S100" i="10" s="1"/>
  <c r="E43" i="58"/>
  <c r="K584" i="8"/>
  <c r="K15" i="8"/>
  <c r="I7" i="17" s="1"/>
  <c r="G7" i="16"/>
  <c r="H17" i="8"/>
  <c r="I17" i="8" s="1"/>
  <c r="K24" i="7"/>
  <c r="K35" i="7" s="1"/>
  <c r="K438" i="7"/>
  <c r="K422" i="7"/>
  <c r="M7" i="48"/>
  <c r="P98" i="10"/>
  <c r="O116" i="10"/>
  <c r="K950" i="7" s="1"/>
  <c r="L349" i="7"/>
  <c r="J132" i="3"/>
  <c r="M989" i="7"/>
  <c r="L997" i="7"/>
  <c r="L999" i="7" s="1"/>
  <c r="L1001" i="7" s="1"/>
  <c r="J2083" i="6"/>
  <c r="J681" i="6"/>
  <c r="M35" i="27"/>
  <c r="J137" i="3"/>
  <c r="L51" i="27"/>
  <c r="L53" i="27" s="1"/>
  <c r="L55" i="27" s="1"/>
  <c r="L60" i="27" s="1"/>
  <c r="L68" i="27" s="1"/>
  <c r="M1842" i="6"/>
  <c r="L639" i="6"/>
  <c r="L677" i="6" s="1"/>
  <c r="L1962" i="6"/>
  <c r="L1964" i="6" s="1"/>
  <c r="L1966" i="6" s="1"/>
  <c r="P202" i="34"/>
  <c r="P819" i="34" s="1"/>
  <c r="P263" i="3" s="1"/>
  <c r="R61" i="4"/>
  <c r="AI7" i="10"/>
  <c r="AS7" i="10" s="1"/>
  <c r="Q7" i="4"/>
  <c r="Q82" i="4"/>
  <c r="P95" i="4"/>
  <c r="P849" i="4"/>
  <c r="P881" i="4"/>
  <c r="P883" i="4" s="1"/>
  <c r="N40" i="3"/>
  <c r="P900" i="4"/>
  <c r="L36" i="13"/>
  <c r="Q417" i="4"/>
  <c r="AF39" i="10"/>
  <c r="AH7" i="10"/>
  <c r="AT25" i="9"/>
  <c r="AT221" i="9" s="1"/>
  <c r="L592" i="4"/>
  <c r="L151" i="4" s="1"/>
  <c r="L44" i="4" s="1"/>
  <c r="J25" i="9"/>
  <c r="J221" i="9" s="1"/>
  <c r="R17" i="10"/>
  <c r="CX11" i="9"/>
  <c r="CX221" i="9" s="1"/>
  <c r="J326" i="7"/>
  <c r="J331" i="7" s="1"/>
  <c r="K97" i="10"/>
  <c r="J864" i="7"/>
  <c r="J941" i="7" s="1"/>
  <c r="J945" i="7" s="1"/>
  <c r="F297" i="34"/>
  <c r="F299" i="34" s="1"/>
  <c r="F170" i="34" s="1"/>
  <c r="K47" i="11"/>
  <c r="F531" i="34"/>
  <c r="F250" i="34" s="1"/>
  <c r="F61" i="34"/>
  <c r="F76" i="34" s="1"/>
  <c r="F81" i="34" s="1"/>
  <c r="F420" i="34"/>
  <c r="F424" i="34" s="1"/>
  <c r="F432" i="34" s="1"/>
  <c r="F272" i="34" s="1"/>
  <c r="F798" i="34" s="1"/>
  <c r="F818" i="34"/>
  <c r="F796" i="34"/>
  <c r="F805" i="34" s="1"/>
  <c r="F631" i="34"/>
  <c r="E54" i="58" l="1"/>
  <c r="F43" i="58"/>
  <c r="Q202" i="34"/>
  <c r="Q819" i="34" s="1"/>
  <c r="Q263" i="3" s="1"/>
  <c r="D531" i="34"/>
  <c r="D250" i="34" s="1"/>
  <c r="S346" i="4"/>
  <c r="S410" i="4" s="1"/>
  <c r="S412" i="4" s="1"/>
  <c r="S59" i="4"/>
  <c r="S61" i="4" s="1"/>
  <c r="D356" i="34"/>
  <c r="B248" i="3" s="1"/>
  <c r="D471" i="34"/>
  <c r="D475" i="34" s="1"/>
  <c r="D476" i="34" s="1"/>
  <c r="D227" i="34" s="1"/>
  <c r="Q529" i="34"/>
  <c r="P80" i="42"/>
  <c r="R18" i="60" s="1"/>
  <c r="M93" i="14"/>
  <c r="M91" i="14"/>
  <c r="M144" i="14" s="1"/>
  <c r="M344" i="6"/>
  <c r="M2077" i="6"/>
  <c r="V91" i="10"/>
  <c r="M1151" i="6"/>
  <c r="U94" i="10"/>
  <c r="D331" i="34"/>
  <c r="D176" i="34" s="1"/>
  <c r="F177" i="34" s="1"/>
  <c r="D386" i="34"/>
  <c r="D190" i="34" s="1"/>
  <c r="F191" i="34" s="1"/>
  <c r="N219" i="14"/>
  <c r="N160" i="14" s="1"/>
  <c r="L45" i="17"/>
  <c r="K81" i="3"/>
  <c r="K82" i="3" s="1"/>
  <c r="K118" i="17"/>
  <c r="O98" i="20"/>
  <c r="O33" i="20"/>
  <c r="O41" i="20" s="1"/>
  <c r="O65" i="20"/>
  <c r="Z12" i="20"/>
  <c r="Z16" i="20" s="1"/>
  <c r="P33" i="20"/>
  <c r="P41" i="20" s="1"/>
  <c r="N28" i="8"/>
  <c r="L32" i="3"/>
  <c r="M177" i="3"/>
  <c r="O519" i="8"/>
  <c r="O138" i="8" s="1"/>
  <c r="L310" i="15"/>
  <c r="K148" i="34" s="1"/>
  <c r="BD50" i="42"/>
  <c r="L174" i="3"/>
  <c r="L175" i="3" s="1"/>
  <c r="L33" i="3"/>
  <c r="L68" i="17"/>
  <c r="L112" i="17"/>
  <c r="L113" i="17" s="1"/>
  <c r="I425" i="7"/>
  <c r="H133" i="10"/>
  <c r="H1116" i="7" s="1"/>
  <c r="T21" i="14"/>
  <c r="L759" i="4" s="1"/>
  <c r="K148" i="14"/>
  <c r="V81" i="37"/>
  <c r="V84" i="37" s="1"/>
  <c r="U98" i="37"/>
  <c r="L71" i="27"/>
  <c r="M69" i="27" s="1"/>
  <c r="H65" i="27"/>
  <c r="C22" i="60"/>
  <c r="B191" i="42"/>
  <c r="D253" i="3"/>
  <c r="E221" i="34"/>
  <c r="E796" i="34" s="1"/>
  <c r="E805" i="34" s="1"/>
  <c r="E669" i="34"/>
  <c r="F669" i="34"/>
  <c r="E546" i="34"/>
  <c r="E547" i="34" s="1"/>
  <c r="E252" i="34" s="1"/>
  <c r="E525" i="34"/>
  <c r="E296" i="34"/>
  <c r="C170" i="15"/>
  <c r="C171" i="15" s="1"/>
  <c r="C226" i="15"/>
  <c r="C231" i="15"/>
  <c r="E316" i="34"/>
  <c r="E315" i="34"/>
  <c r="C238" i="3"/>
  <c r="C373" i="34"/>
  <c r="D317" i="34"/>
  <c r="C359" i="34"/>
  <c r="C317" i="34"/>
  <c r="D373" i="34"/>
  <c r="D299" i="34"/>
  <c r="D170" i="34" s="1"/>
  <c r="D797" i="34"/>
  <c r="D802" i="34" s="1"/>
  <c r="D230" i="34"/>
  <c r="E483" i="34"/>
  <c r="E487" i="34" s="1"/>
  <c r="E488" i="34" s="1"/>
  <c r="E369" i="34"/>
  <c r="E372" i="34"/>
  <c r="C797" i="34"/>
  <c r="C802" i="34" s="1"/>
  <c r="C230" i="34"/>
  <c r="E521" i="34"/>
  <c r="E292" i="34"/>
  <c r="E351" i="34"/>
  <c r="P84" i="3"/>
  <c r="Y50" i="14"/>
  <c r="Y51" i="14" s="1"/>
  <c r="O1078" i="6" s="1"/>
  <c r="O285" i="6" s="1"/>
  <c r="H93" i="8"/>
  <c r="G377" i="34"/>
  <c r="G553" i="34"/>
  <c r="G324" i="34"/>
  <c r="G330" i="34" s="1"/>
  <c r="K189" i="14"/>
  <c r="L84" i="14" s="1"/>
  <c r="R75" i="20"/>
  <c r="H1132" i="7"/>
  <c r="F116" i="13"/>
  <c r="F187" i="15"/>
  <c r="G187" i="15" s="1"/>
  <c r="H2086" i="6"/>
  <c r="H2063" i="6"/>
  <c r="C331" i="34"/>
  <c r="C176" i="34" s="1"/>
  <c r="I1971" i="6"/>
  <c r="H2060" i="6"/>
  <c r="H241" i="10"/>
  <c r="H1650" i="6" s="1"/>
  <c r="I1650" i="6" s="1"/>
  <c r="H257" i="10"/>
  <c r="J257" i="10" s="1"/>
  <c r="I159" i="11" s="1"/>
  <c r="I167" i="11" s="1"/>
  <c r="F87" i="13" s="1"/>
  <c r="H2064" i="6"/>
  <c r="C471" i="34"/>
  <c r="C475" i="34" s="1"/>
  <c r="C356" i="34"/>
  <c r="C386" i="34"/>
  <c r="C190" i="34" s="1"/>
  <c r="C234" i="34"/>
  <c r="D234" i="34"/>
  <c r="E234" i="34"/>
  <c r="C530" i="34"/>
  <c r="C298" i="34"/>
  <c r="C297" i="34"/>
  <c r="A247" i="3"/>
  <c r="H51" i="6"/>
  <c r="I51" i="6" s="1"/>
  <c r="F27" i="13"/>
  <c r="F28" i="13" s="1"/>
  <c r="F33" i="13" s="1"/>
  <c r="G195" i="3"/>
  <c r="I135" i="10"/>
  <c r="I261" i="10" s="1"/>
  <c r="G49" i="3" s="1"/>
  <c r="F291" i="15"/>
  <c r="G291" i="15" s="1"/>
  <c r="H369" i="7"/>
  <c r="I369" i="7" s="1"/>
  <c r="G99" i="17"/>
  <c r="U73" i="42"/>
  <c r="F42" i="15"/>
  <c r="G42" i="15" s="1"/>
  <c r="U14" i="42"/>
  <c r="J131" i="10"/>
  <c r="I57" i="11" s="1"/>
  <c r="J57" i="11" s="1"/>
  <c r="K57" i="11" s="1"/>
  <c r="H1011" i="7"/>
  <c r="I1011" i="7" s="1"/>
  <c r="L212" i="14"/>
  <c r="K213" i="14"/>
  <c r="H661" i="7"/>
  <c r="I661" i="7" s="1"/>
  <c r="L45" i="16"/>
  <c r="L120" i="16" s="1"/>
  <c r="L275" i="15"/>
  <c r="L280" i="15" s="1"/>
  <c r="H92" i="8"/>
  <c r="H347" i="8"/>
  <c r="I347" i="8" s="1"/>
  <c r="H532" i="8"/>
  <c r="I532" i="8" s="1"/>
  <c r="L138" i="14"/>
  <c r="O276" i="6"/>
  <c r="O25" i="6"/>
  <c r="O41" i="6" s="1"/>
  <c r="L85" i="3"/>
  <c r="Z6" i="11"/>
  <c r="AB6" i="11" s="1"/>
  <c r="AH71" i="11"/>
  <c r="AF77" i="11"/>
  <c r="I482" i="34"/>
  <c r="K864" i="4"/>
  <c r="K867" i="4" s="1"/>
  <c r="K247" i="4"/>
  <c r="H79" i="42"/>
  <c r="J17" i="60" s="1"/>
  <c r="I469" i="34"/>
  <c r="K214" i="14"/>
  <c r="K23" i="4"/>
  <c r="K30" i="4"/>
  <c r="H50" i="42"/>
  <c r="I468" i="34" s="1"/>
  <c r="W52" i="42"/>
  <c r="I518" i="34"/>
  <c r="I536" i="34"/>
  <c r="I152" i="15"/>
  <c r="H66" i="34"/>
  <c r="I519" i="34"/>
  <c r="I528" i="34" s="1"/>
  <c r="I544" i="34"/>
  <c r="K369" i="7"/>
  <c r="K50" i="7" s="1"/>
  <c r="I45" i="3" s="1"/>
  <c r="Q64" i="10"/>
  <c r="L325" i="7"/>
  <c r="I52" i="58"/>
  <c r="L65" i="27"/>
  <c r="M1962" i="6"/>
  <c r="M1964" i="6" s="1"/>
  <c r="M1966" i="6" s="1"/>
  <c r="M639" i="6"/>
  <c r="M677" i="6" s="1"/>
  <c r="N1842" i="6"/>
  <c r="L357" i="7"/>
  <c r="L23" i="7" s="1"/>
  <c r="Q131" i="10"/>
  <c r="E47" i="58"/>
  <c r="I138" i="3"/>
  <c r="K197" i="7"/>
  <c r="K2083" i="6"/>
  <c r="K681" i="6"/>
  <c r="H7" i="16"/>
  <c r="J17" i="8"/>
  <c r="Q140" i="42"/>
  <c r="AY10" i="42"/>
  <c r="AY14" i="42" s="1"/>
  <c r="H147" i="8"/>
  <c r="I147" i="8" s="1"/>
  <c r="H577" i="8"/>
  <c r="I577" i="8" s="1"/>
  <c r="L648" i="7"/>
  <c r="L650" i="7" s="1"/>
  <c r="L652" i="7" s="1"/>
  <c r="L661" i="7" s="1"/>
  <c r="L195" i="7"/>
  <c r="U42" i="58"/>
  <c r="K133" i="10"/>
  <c r="J1132" i="7"/>
  <c r="J20" i="7"/>
  <c r="J199" i="7"/>
  <c r="AY24" i="42"/>
  <c r="F114" i="15"/>
  <c r="G114" i="15" s="1"/>
  <c r="H201" i="7"/>
  <c r="I201" i="7" s="1"/>
  <c r="H1144" i="7"/>
  <c r="K1147" i="7"/>
  <c r="K425" i="7"/>
  <c r="G8" i="16"/>
  <c r="AJ18" i="42"/>
  <c r="G101" i="16"/>
  <c r="G102" i="16" s="1"/>
  <c r="G104" i="16" s="1"/>
  <c r="G106" i="16" s="1"/>
  <c r="F242" i="15"/>
  <c r="G242" i="15" s="1"/>
  <c r="H548" i="8"/>
  <c r="I548" i="8" s="1"/>
  <c r="J135" i="3"/>
  <c r="L81" i="8"/>
  <c r="K48" i="6"/>
  <c r="K35" i="6"/>
  <c r="H27" i="13" s="1"/>
  <c r="K1006" i="7"/>
  <c r="K1011" i="7" s="1"/>
  <c r="P131" i="10"/>
  <c r="O57" i="11" s="1"/>
  <c r="M646" i="7"/>
  <c r="N933" i="7"/>
  <c r="M352" i="7"/>
  <c r="M939" i="7"/>
  <c r="U98" i="10"/>
  <c r="K583" i="8"/>
  <c r="K586" i="8" s="1"/>
  <c r="K14" i="8"/>
  <c r="M711" i="6"/>
  <c r="M731" i="6" s="1"/>
  <c r="M33" i="6" s="1"/>
  <c r="M2034" i="6"/>
  <c r="J16" i="58"/>
  <c r="J34" i="58" s="1"/>
  <c r="N2008" i="6"/>
  <c r="H1131" i="7"/>
  <c r="H26" i="7"/>
  <c r="I26" i="7" s="1"/>
  <c r="H31" i="7"/>
  <c r="I31" i="7" s="1"/>
  <c r="M349" i="7"/>
  <c r="N989" i="7"/>
  <c r="K132" i="3"/>
  <c r="M997" i="7"/>
  <c r="M999" i="7" s="1"/>
  <c r="M1001" i="7" s="1"/>
  <c r="BA18" i="42"/>
  <c r="I99" i="17"/>
  <c r="I291" i="15"/>
  <c r="M526" i="8"/>
  <c r="M135" i="8"/>
  <c r="M145" i="8" s="1"/>
  <c r="L135" i="10"/>
  <c r="L261" i="10" s="1"/>
  <c r="H49" i="3" s="1"/>
  <c r="M131" i="10"/>
  <c r="L57" i="11" s="1"/>
  <c r="J1007" i="7"/>
  <c r="N1102" i="7"/>
  <c r="M411" i="7"/>
  <c r="S129" i="42"/>
  <c r="R134" i="42"/>
  <c r="L32" i="6"/>
  <c r="L679" i="6"/>
  <c r="N35" i="27"/>
  <c r="K137" i="3"/>
  <c r="M51" i="27"/>
  <c r="M53" i="27" s="1"/>
  <c r="M55" i="27" s="1"/>
  <c r="M60" i="27" s="1"/>
  <c r="M68" i="27" s="1"/>
  <c r="K250" i="10"/>
  <c r="J2063" i="6"/>
  <c r="AZ24" i="42"/>
  <c r="H114" i="15"/>
  <c r="H118" i="15" s="1"/>
  <c r="H339" i="34" s="1"/>
  <c r="M1640" i="6"/>
  <c r="M497" i="6"/>
  <c r="M508" i="6" s="1"/>
  <c r="M29" i="6" s="1"/>
  <c r="N1632" i="6"/>
  <c r="K134" i="3"/>
  <c r="L584" i="8"/>
  <c r="L15" i="8"/>
  <c r="J7" i="17" s="1"/>
  <c r="N222" i="8"/>
  <c r="M72" i="8"/>
  <c r="M333" i="8"/>
  <c r="F103" i="15"/>
  <c r="G103" i="15" s="1"/>
  <c r="F9" i="42"/>
  <c r="S98" i="10"/>
  <c r="R116" i="10"/>
  <c r="L950" i="7" s="1"/>
  <c r="N934" i="7"/>
  <c r="U99" i="10"/>
  <c r="V99" i="10" s="1"/>
  <c r="L24" i="7"/>
  <c r="L35" i="7" s="1"/>
  <c r="L438" i="7"/>
  <c r="L422" i="7"/>
  <c r="O135" i="10"/>
  <c r="O261" i="10" s="1"/>
  <c r="I49" i="3" s="1"/>
  <c r="Q90" i="4"/>
  <c r="Q41" i="4" s="1"/>
  <c r="Q422" i="4"/>
  <c r="Q27" i="4"/>
  <c r="Q13" i="4"/>
  <c r="M36" i="13"/>
  <c r="AI39" i="10"/>
  <c r="AS39" i="10" s="1"/>
  <c r="AK7" i="10"/>
  <c r="AU7" i="10" s="1"/>
  <c r="R417" i="4"/>
  <c r="O102" i="3"/>
  <c r="AH39" i="10"/>
  <c r="AG6" i="11"/>
  <c r="AG21" i="11" s="1"/>
  <c r="R7" i="4"/>
  <c r="R82" i="4"/>
  <c r="Q861" i="4"/>
  <c r="Q84" i="4"/>
  <c r="AU11" i="9"/>
  <c r="AU25" i="9" s="1"/>
  <c r="AU221" i="9" s="1"/>
  <c r="J232" i="3" s="1"/>
  <c r="J57" i="34"/>
  <c r="J224" i="9"/>
  <c r="J226" i="9" s="1"/>
  <c r="I80" i="13"/>
  <c r="J687" i="34"/>
  <c r="J689" i="34" s="1"/>
  <c r="J681" i="34"/>
  <c r="L903" i="4"/>
  <c r="J70" i="3"/>
  <c r="L590" i="4"/>
  <c r="L149" i="4" s="1"/>
  <c r="L42" i="4" s="1"/>
  <c r="R39" i="10"/>
  <c r="S17" i="10"/>
  <c r="F828" i="34"/>
  <c r="F405" i="34"/>
  <c r="F409" i="34" s="1"/>
  <c r="F416" i="34" s="1"/>
  <c r="F270" i="34" s="1"/>
  <c r="F633" i="34"/>
  <c r="F260" i="34" s="1"/>
  <c r="K116" i="10"/>
  <c r="M97" i="10"/>
  <c r="J12" i="7"/>
  <c r="J359" i="7"/>
  <c r="Q84" i="3" l="1"/>
  <c r="B250" i="3"/>
  <c r="D360" i="34"/>
  <c r="D184" i="34" s="1"/>
  <c r="S82" i="4"/>
  <c r="S84" i="4" s="1"/>
  <c r="S849" i="4" s="1"/>
  <c r="S7" i="4"/>
  <c r="M351" i="6"/>
  <c r="M63" i="6" s="1"/>
  <c r="K47" i="3" s="1"/>
  <c r="M1154" i="6"/>
  <c r="N199" i="14"/>
  <c r="O92" i="14" s="1"/>
  <c r="AL7" i="10"/>
  <c r="M143" i="14"/>
  <c r="X18" i="14"/>
  <c r="N744" i="4" s="1"/>
  <c r="M2057" i="6"/>
  <c r="M154" i="14"/>
  <c r="X37" i="14" s="1"/>
  <c r="X39" i="14" s="1"/>
  <c r="N1136" i="6" s="1"/>
  <c r="L34" i="3"/>
  <c r="D177" i="34"/>
  <c r="O536" i="8"/>
  <c r="Z21" i="20"/>
  <c r="Z23" i="20" s="1"/>
  <c r="AB20" i="20" s="1"/>
  <c r="L504" i="34"/>
  <c r="BD52" i="42"/>
  <c r="BD54" i="42" s="1"/>
  <c r="O100" i="20"/>
  <c r="O102" i="20"/>
  <c r="M203" i="3" s="1"/>
  <c r="P64" i="20"/>
  <c r="M154" i="22"/>
  <c r="L70" i="17"/>
  <c r="K150" i="34"/>
  <c r="K154" i="34"/>
  <c r="K156" i="34" s="1"/>
  <c r="L324" i="15"/>
  <c r="L329" i="15" s="1"/>
  <c r="BE19" i="42"/>
  <c r="M178" i="3"/>
  <c r="M179" i="3" s="1"/>
  <c r="M173" i="3"/>
  <c r="M202" i="3"/>
  <c r="J133" i="10"/>
  <c r="J135" i="10" s="1"/>
  <c r="H135" i="10"/>
  <c r="K217" i="14"/>
  <c r="K221" i="14" s="1"/>
  <c r="S21" i="14"/>
  <c r="L771" i="4" s="1"/>
  <c r="L252" i="4" s="1"/>
  <c r="L40" i="4" s="1"/>
  <c r="W81" i="37"/>
  <c r="W84" i="37" s="1"/>
  <c r="V98" i="37"/>
  <c r="D243" i="42"/>
  <c r="D247" i="42" s="1"/>
  <c r="B232" i="42"/>
  <c r="B235" i="42" s="1"/>
  <c r="B238" i="42" s="1"/>
  <c r="M71" i="27"/>
  <c r="N69" i="27" s="1"/>
  <c r="U74" i="42"/>
  <c r="U87" i="42" s="1"/>
  <c r="G37" i="60"/>
  <c r="H37" i="60" s="1"/>
  <c r="E818" i="34"/>
  <c r="E317" i="34"/>
  <c r="E173" i="34" s="1"/>
  <c r="E530" i="34"/>
  <c r="C251" i="3" s="1"/>
  <c r="E359" i="34"/>
  <c r="E356" i="34"/>
  <c r="E471" i="34"/>
  <c r="E475" i="34" s="1"/>
  <c r="D826" i="34"/>
  <c r="D173" i="34"/>
  <c r="D791" i="34"/>
  <c r="D806" i="34" s="1"/>
  <c r="D830" i="34"/>
  <c r="E298" i="34"/>
  <c r="C247" i="3"/>
  <c r="E297" i="34"/>
  <c r="D792" i="34"/>
  <c r="D803" i="34" s="1"/>
  <c r="D827" i="34"/>
  <c r="D187" i="34"/>
  <c r="C187" i="34"/>
  <c r="C188" i="34" s="1"/>
  <c r="C792" i="34"/>
  <c r="C803" i="34" s="1"/>
  <c r="C232" i="15"/>
  <c r="E675" i="34"/>
  <c r="E280" i="34" s="1"/>
  <c r="C176" i="15"/>
  <c r="C177" i="15" s="1"/>
  <c r="E373" i="34"/>
  <c r="C173" i="34"/>
  <c r="C791" i="34"/>
  <c r="C806" i="34" s="1"/>
  <c r="C231" i="34"/>
  <c r="D231" i="34"/>
  <c r="D816" i="34" s="1"/>
  <c r="B260" i="3" s="1"/>
  <c r="E797" i="34"/>
  <c r="E802" i="34" s="1"/>
  <c r="E230" i="34"/>
  <c r="E826" i="34" s="1"/>
  <c r="T11" i="37"/>
  <c r="T37" i="37" s="1"/>
  <c r="T60" i="37" s="1"/>
  <c r="T100" i="37" s="1"/>
  <c r="M181" i="3" s="1"/>
  <c r="I54" i="3"/>
  <c r="I139" i="3"/>
  <c r="H97" i="8"/>
  <c r="H1149" i="7"/>
  <c r="D231" i="42"/>
  <c r="F47" i="15"/>
  <c r="G47" i="15" s="1"/>
  <c r="G495" i="34"/>
  <c r="G499" i="34" s="1"/>
  <c r="G500" i="34" s="1"/>
  <c r="G233" i="34" s="1"/>
  <c r="G234" i="34" s="1"/>
  <c r="G382" i="34"/>
  <c r="G385" i="34"/>
  <c r="F243" i="15"/>
  <c r="G243" i="15" s="1"/>
  <c r="F118" i="15"/>
  <c r="G118" i="15" s="1"/>
  <c r="G808" i="34"/>
  <c r="I1116" i="7"/>
  <c r="J250" i="10"/>
  <c r="I155" i="11" s="1"/>
  <c r="J155" i="11" s="1"/>
  <c r="C177" i="34"/>
  <c r="E177" i="34"/>
  <c r="H2066" i="6"/>
  <c r="J241" i="10"/>
  <c r="H259" i="10"/>
  <c r="H2043" i="6"/>
  <c r="C299" i="34"/>
  <c r="C170" i="34" s="1"/>
  <c r="A251" i="3"/>
  <c r="C531" i="34"/>
  <c r="C250" i="34" s="1"/>
  <c r="E191" i="34"/>
  <c r="C191" i="34"/>
  <c r="D191" i="34"/>
  <c r="A248" i="3"/>
  <c r="C360" i="34"/>
  <c r="C184" i="34" s="1"/>
  <c r="A250" i="3"/>
  <c r="C476" i="34"/>
  <c r="C227" i="34" s="1"/>
  <c r="H56" i="6"/>
  <c r="I56" i="6" s="1"/>
  <c r="G15" i="3"/>
  <c r="H373" i="7"/>
  <c r="I373" i="7" s="1"/>
  <c r="H50" i="7"/>
  <c r="M57" i="11"/>
  <c r="N57" i="11" s="1"/>
  <c r="P57" i="11" s="1"/>
  <c r="Q57" i="11" s="1"/>
  <c r="K193" i="14"/>
  <c r="K130" i="14"/>
  <c r="L192" i="14"/>
  <c r="M87" i="14" s="1"/>
  <c r="L125" i="14"/>
  <c r="H538" i="8"/>
  <c r="H537" i="8"/>
  <c r="L439" i="34"/>
  <c r="O195" i="8"/>
  <c r="O1083" i="6"/>
  <c r="O2076" i="6"/>
  <c r="O280" i="6"/>
  <c r="L215" i="14"/>
  <c r="AC6" i="11"/>
  <c r="AE6" i="11" s="1"/>
  <c r="M85" i="3"/>
  <c r="I470" i="34"/>
  <c r="AI71" i="11"/>
  <c r="AH77" i="11"/>
  <c r="I520" i="34"/>
  <c r="M65" i="27"/>
  <c r="T66" i="14"/>
  <c r="H52" i="42"/>
  <c r="W54" i="42"/>
  <c r="H54" i="42" s="1"/>
  <c r="K135" i="14"/>
  <c r="K194" i="14"/>
  <c r="K258" i="4"/>
  <c r="K852" i="4"/>
  <c r="K855" i="4" s="1"/>
  <c r="K869" i="4" s="1"/>
  <c r="K873" i="4" s="1"/>
  <c r="H24" i="34"/>
  <c r="H26" i="34" s="1"/>
  <c r="H411" i="34" s="1"/>
  <c r="H414" i="34" s="1"/>
  <c r="H68" i="34"/>
  <c r="H426" i="34" s="1"/>
  <c r="H430" i="34" s="1"/>
  <c r="H72" i="34"/>
  <c r="K887" i="4"/>
  <c r="K889" i="4" s="1"/>
  <c r="K33" i="4"/>
  <c r="I50" i="3"/>
  <c r="J52" i="58"/>
  <c r="Q94" i="10"/>
  <c r="S64" i="10"/>
  <c r="S94" i="10" s="1"/>
  <c r="R45" i="11" s="1"/>
  <c r="S45" i="11" s="1"/>
  <c r="H685" i="6"/>
  <c r="I685" i="6" s="1"/>
  <c r="H1976" i="6"/>
  <c r="I1976" i="6" s="1"/>
  <c r="F71" i="42"/>
  <c r="G9" i="60" s="1"/>
  <c r="K135" i="3"/>
  <c r="M81" i="8"/>
  <c r="H342" i="34"/>
  <c r="H571" i="34"/>
  <c r="L48" i="6"/>
  <c r="L35" i="6"/>
  <c r="I27" i="13" s="1"/>
  <c r="O1102" i="7"/>
  <c r="N411" i="7"/>
  <c r="BA24" i="42"/>
  <c r="I114" i="15"/>
  <c r="I118" i="15" s="1"/>
  <c r="I339" i="34" s="1"/>
  <c r="M357" i="7"/>
  <c r="M23" i="7" s="1"/>
  <c r="T131" i="10"/>
  <c r="F9" i="13"/>
  <c r="H37" i="7"/>
  <c r="I37" i="7" s="1"/>
  <c r="N939" i="7"/>
  <c r="X98" i="10"/>
  <c r="N646" i="7"/>
  <c r="N352" i="7"/>
  <c r="O933" i="7"/>
  <c r="F83" i="15"/>
  <c r="G83" i="15" s="1"/>
  <c r="AJ24" i="42"/>
  <c r="AJ26" i="42" s="1"/>
  <c r="H212" i="7"/>
  <c r="I212" i="7" s="1"/>
  <c r="H1129" i="7"/>
  <c r="J31" i="7"/>
  <c r="J26" i="7"/>
  <c r="G9" i="13" s="1"/>
  <c r="G45" i="13" s="1"/>
  <c r="L197" i="7"/>
  <c r="J138" i="3"/>
  <c r="J139" i="3" s="1"/>
  <c r="F104" i="15"/>
  <c r="G104" i="15" s="1"/>
  <c r="F10" i="42"/>
  <c r="F73" i="42" s="1"/>
  <c r="G11" i="60" s="1"/>
  <c r="N250" i="10"/>
  <c r="K2063" i="6"/>
  <c r="K20" i="7"/>
  <c r="K199" i="7"/>
  <c r="N333" i="8"/>
  <c r="N72" i="8"/>
  <c r="O222" i="8"/>
  <c r="L134" i="3"/>
  <c r="O1632" i="6"/>
  <c r="N497" i="6"/>
  <c r="N508" i="6" s="1"/>
  <c r="N29" i="6" s="1"/>
  <c r="N1640" i="6"/>
  <c r="S134" i="42"/>
  <c r="R136" i="42"/>
  <c r="M15" i="8"/>
  <c r="K7" i="17" s="1"/>
  <c r="M584" i="8"/>
  <c r="V98" i="10"/>
  <c r="U116" i="10"/>
  <c r="M195" i="7"/>
  <c r="M648" i="7"/>
  <c r="M650" i="7" s="1"/>
  <c r="M652" i="7" s="1"/>
  <c r="M661" i="7" s="1"/>
  <c r="G118" i="16"/>
  <c r="G13" i="16"/>
  <c r="G20" i="16" s="1"/>
  <c r="G47" i="16" s="1"/>
  <c r="F274" i="15" s="1"/>
  <c r="Q142" i="42"/>
  <c r="S140" i="42"/>
  <c r="L1006" i="7"/>
  <c r="R131" i="10"/>
  <c r="H1655" i="6"/>
  <c r="I1655" i="6" s="1"/>
  <c r="H518" i="6"/>
  <c r="I518" i="6" s="1"/>
  <c r="N639" i="6"/>
  <c r="N677" i="6" s="1"/>
  <c r="O1842" i="6"/>
  <c r="N1962" i="6"/>
  <c r="N1964" i="6" s="1"/>
  <c r="N1966" i="6" s="1"/>
  <c r="F10" i="15"/>
  <c r="G10" i="15" s="1"/>
  <c r="BB18" i="42"/>
  <c r="J291" i="15"/>
  <c r="J99" i="17"/>
  <c r="N51" i="27"/>
  <c r="N53" i="27" s="1"/>
  <c r="N55" i="27" s="1"/>
  <c r="N60" i="27" s="1"/>
  <c r="N68" i="27" s="1"/>
  <c r="L137" i="3"/>
  <c r="O35" i="27"/>
  <c r="J369" i="7"/>
  <c r="J50" i="7" s="1"/>
  <c r="H45" i="3" s="1"/>
  <c r="J1011" i="7"/>
  <c r="N135" i="8"/>
  <c r="N145" i="8" s="1"/>
  <c r="N526" i="8"/>
  <c r="L583" i="8"/>
  <c r="L586" i="8" s="1"/>
  <c r="L14" i="8"/>
  <c r="N133" i="10"/>
  <c r="K1132" i="7"/>
  <c r="AY26" i="42"/>
  <c r="M133" i="10"/>
  <c r="L60" i="11" s="1"/>
  <c r="J1116" i="7"/>
  <c r="H579" i="8"/>
  <c r="I579" i="8" s="1"/>
  <c r="H8" i="8"/>
  <c r="I8" i="8" s="1"/>
  <c r="M679" i="6"/>
  <c r="M32" i="6"/>
  <c r="L425" i="7"/>
  <c r="L1147" i="7"/>
  <c r="X99" i="10"/>
  <c r="Y99" i="10" s="1"/>
  <c r="O934" i="7"/>
  <c r="M250" i="10"/>
  <c r="L155" i="11" s="1"/>
  <c r="J1971" i="6"/>
  <c r="L681" i="6"/>
  <c r="L2083" i="6"/>
  <c r="L132" i="3"/>
  <c r="N997" i="7"/>
  <c r="N999" i="7" s="1"/>
  <c r="N1001" i="7" s="1"/>
  <c r="O989" i="7"/>
  <c r="N349" i="7"/>
  <c r="N711" i="6"/>
  <c r="N731" i="6" s="1"/>
  <c r="N33" i="6" s="1"/>
  <c r="O2008" i="6"/>
  <c r="N2034" i="6"/>
  <c r="K16" i="58"/>
  <c r="K34" i="58" s="1"/>
  <c r="K17" i="8"/>
  <c r="I7" i="16"/>
  <c r="J201" i="7"/>
  <c r="J1144" i="7"/>
  <c r="H151" i="8"/>
  <c r="I151" i="8" s="1"/>
  <c r="H559" i="8"/>
  <c r="I559" i="8" s="1"/>
  <c r="H242" i="15"/>
  <c r="AK18" i="42"/>
  <c r="H101" i="16"/>
  <c r="J159" i="11"/>
  <c r="J949" i="7"/>
  <c r="J368" i="7" s="1"/>
  <c r="R13" i="4"/>
  <c r="R27" i="4"/>
  <c r="Q881" i="4"/>
  <c r="Q883" i="4" s="1"/>
  <c r="R90" i="4"/>
  <c r="R41" i="4" s="1"/>
  <c r="R422" i="4"/>
  <c r="Q849" i="4"/>
  <c r="Q95" i="4"/>
  <c r="R861" i="4"/>
  <c r="R84" i="4"/>
  <c r="AK39" i="10"/>
  <c r="AU39" i="10" s="1"/>
  <c r="AJ6" i="11"/>
  <c r="AJ21" i="11" s="1"/>
  <c r="P102" i="3"/>
  <c r="Q900" i="4"/>
  <c r="O40" i="3"/>
  <c r="K135" i="10"/>
  <c r="J254" i="3"/>
  <c r="J683" i="34"/>
  <c r="J198" i="34" s="1"/>
  <c r="S39" i="10"/>
  <c r="R12" i="11"/>
  <c r="J71" i="3"/>
  <c r="J72" i="3" s="1"/>
  <c r="I133" i="13"/>
  <c r="X49" i="42"/>
  <c r="J206" i="15"/>
  <c r="J151" i="15" s="1"/>
  <c r="L593" i="4"/>
  <c r="J201" i="34"/>
  <c r="J793" i="34"/>
  <c r="J804" i="34" s="1"/>
  <c r="J60" i="34"/>
  <c r="J18" i="34" s="1"/>
  <c r="K57" i="34"/>
  <c r="J16" i="34"/>
  <c r="J1146" i="7"/>
  <c r="J363" i="7"/>
  <c r="J34" i="7"/>
  <c r="J15" i="7"/>
  <c r="M116" i="10"/>
  <c r="L46" i="11" s="1"/>
  <c r="H11" i="60" l="1"/>
  <c r="H9" i="60"/>
  <c r="W98" i="37"/>
  <c r="X81" i="37"/>
  <c r="X84" i="37" s="1"/>
  <c r="X98" i="37" s="1"/>
  <c r="M355" i="6"/>
  <c r="O94" i="14"/>
  <c r="O159" i="14" s="1"/>
  <c r="S27" i="4"/>
  <c r="S13" i="4"/>
  <c r="N1141" i="6"/>
  <c r="N1143" i="6" s="1"/>
  <c r="N1145" i="6" s="1"/>
  <c r="N333" i="6"/>
  <c r="N340" i="6" s="1"/>
  <c r="AL39" i="10"/>
  <c r="S417" i="4"/>
  <c r="S90" i="4" s="1"/>
  <c r="AN7" i="10"/>
  <c r="W18" i="14"/>
  <c r="M216" i="14"/>
  <c r="M153" i="14"/>
  <c r="I60" i="11"/>
  <c r="J60" i="11" s="1"/>
  <c r="AB50" i="14"/>
  <c r="AB51" i="14" s="1"/>
  <c r="P1063" i="6" s="1"/>
  <c r="P267" i="6" s="1"/>
  <c r="P274" i="6" s="1"/>
  <c r="S861" i="4"/>
  <c r="O381" i="8"/>
  <c r="L454" i="34"/>
  <c r="K157" i="34"/>
  <c r="AI16" i="20"/>
  <c r="P99" i="20"/>
  <c r="T99" i="20" s="1"/>
  <c r="P63" i="20"/>
  <c r="AC12" i="20"/>
  <c r="AC16" i="20" s="1"/>
  <c r="L564" i="34"/>
  <c r="L566" i="34" s="1"/>
  <c r="L506" i="34"/>
  <c r="K459" i="34"/>
  <c r="K460" i="34" s="1"/>
  <c r="K412" i="34"/>
  <c r="M505" i="34"/>
  <c r="M565" i="34" s="1"/>
  <c r="M573" i="34" s="1"/>
  <c r="M113" i="15"/>
  <c r="M155" i="22"/>
  <c r="M158" i="22" s="1"/>
  <c r="L89" i="3" s="1"/>
  <c r="L80" i="3"/>
  <c r="L44" i="17"/>
  <c r="M40" i="17"/>
  <c r="O155" i="8"/>
  <c r="S66" i="14"/>
  <c r="J155" i="3" s="1"/>
  <c r="K155" i="11"/>
  <c r="M155" i="11" s="1"/>
  <c r="N155" i="11" s="1"/>
  <c r="I2043" i="6"/>
  <c r="H741" i="6"/>
  <c r="I741" i="6" s="1"/>
  <c r="H261" i="10"/>
  <c r="G41" i="3" s="1"/>
  <c r="K150" i="14"/>
  <c r="K197" i="14"/>
  <c r="K201" i="14" s="1"/>
  <c r="I97" i="8"/>
  <c r="D232" i="42"/>
  <c r="D235" i="42" s="1"/>
  <c r="D238" i="42" s="1"/>
  <c r="D249" i="42" s="1"/>
  <c r="D251" i="42" s="1"/>
  <c r="C243" i="42"/>
  <c r="C247" i="42" s="1"/>
  <c r="C249" i="42" s="1"/>
  <c r="C251" i="42" s="1"/>
  <c r="N71" i="27"/>
  <c r="O69" i="27" s="1"/>
  <c r="D246" i="3"/>
  <c r="D262" i="3"/>
  <c r="G12" i="60"/>
  <c r="H12" i="60" s="1"/>
  <c r="G38" i="60"/>
  <c r="H38" i="60" s="1"/>
  <c r="E531" i="34"/>
  <c r="E250" i="34" s="1"/>
  <c r="F174" i="34"/>
  <c r="F820" i="34" s="1"/>
  <c r="E828" i="34"/>
  <c r="C262" i="3"/>
  <c r="E830" i="34"/>
  <c r="E791" i="34"/>
  <c r="E806" i="34" s="1"/>
  <c r="E299" i="34"/>
  <c r="E170" i="34" s="1"/>
  <c r="F171" i="34" s="1"/>
  <c r="E231" i="34"/>
  <c r="E816" i="34" s="1"/>
  <c r="C260" i="3" s="1"/>
  <c r="C243" i="3"/>
  <c r="D188" i="34"/>
  <c r="D817" i="34" s="1"/>
  <c r="B261" i="3" s="1"/>
  <c r="D174" i="34"/>
  <c r="D820" i="34" s="1"/>
  <c r="B264" i="3" s="1"/>
  <c r="C174" i="34"/>
  <c r="E174" i="34"/>
  <c r="E820" i="34" s="1"/>
  <c r="C264" i="3" s="1"/>
  <c r="C250" i="3"/>
  <c r="E476" i="34"/>
  <c r="E227" i="34" s="1"/>
  <c r="F228" i="34" s="1"/>
  <c r="E792" i="34"/>
  <c r="E803" i="34" s="1"/>
  <c r="E187" i="34"/>
  <c r="E188" i="34" s="1"/>
  <c r="E817" i="34" s="1"/>
  <c r="C261" i="3" s="1"/>
  <c r="E827" i="34"/>
  <c r="C248" i="3"/>
  <c r="E360" i="34"/>
  <c r="E184" i="34" s="1"/>
  <c r="F185" i="34" s="1"/>
  <c r="F231" i="34"/>
  <c r="F816" i="34" s="1"/>
  <c r="G127" i="3"/>
  <c r="T113" i="37"/>
  <c r="T117" i="37" s="1"/>
  <c r="G45" i="3"/>
  <c r="G54" i="3" s="1"/>
  <c r="C210" i="42"/>
  <c r="D210" i="42" s="1"/>
  <c r="H431" i="7"/>
  <c r="I431" i="7" s="1"/>
  <c r="H157" i="8"/>
  <c r="H2088" i="6"/>
  <c r="H1134" i="7"/>
  <c r="E231" i="42"/>
  <c r="F11" i="15"/>
  <c r="G11" i="15" s="1"/>
  <c r="F87" i="15"/>
  <c r="G87" i="15" s="1"/>
  <c r="G303" i="34"/>
  <c r="G339" i="34"/>
  <c r="G386" i="34"/>
  <c r="G190" i="34" s="1"/>
  <c r="G191" i="34" s="1"/>
  <c r="F248" i="15"/>
  <c r="G248" i="15" s="1"/>
  <c r="J259" i="10"/>
  <c r="J261" i="10" s="1"/>
  <c r="H1120" i="7"/>
  <c r="I1120" i="7" s="1"/>
  <c r="H2047" i="6"/>
  <c r="I2047" i="6" s="1"/>
  <c r="I146" i="11"/>
  <c r="I161" i="11" s="1"/>
  <c r="C171" i="34"/>
  <c r="D171" i="34"/>
  <c r="A255" i="3"/>
  <c r="A275" i="3" s="1"/>
  <c r="D185" i="34"/>
  <c r="C185" i="34"/>
  <c r="D228" i="34"/>
  <c r="C228" i="34"/>
  <c r="H689" i="6"/>
  <c r="I689" i="6" s="1"/>
  <c r="K110" i="14"/>
  <c r="L109" i="14" s="1"/>
  <c r="V62" i="14" s="1"/>
  <c r="V63" i="14" s="1"/>
  <c r="M1103" i="7" s="1"/>
  <c r="L88" i="14"/>
  <c r="M124" i="14"/>
  <c r="C207" i="42"/>
  <c r="H561" i="8"/>
  <c r="I561" i="8" s="1"/>
  <c r="H156" i="8"/>
  <c r="H541" i="8"/>
  <c r="I541" i="8" s="1"/>
  <c r="H588" i="8"/>
  <c r="I588" i="8" s="1"/>
  <c r="M275" i="15"/>
  <c r="M280" i="15" s="1"/>
  <c r="M45" i="16"/>
  <c r="M120" i="16" s="1"/>
  <c r="L195" i="14"/>
  <c r="M90" i="14" s="1"/>
  <c r="L140" i="14"/>
  <c r="P1070" i="6"/>
  <c r="P1071" i="6" s="1"/>
  <c r="P1075" i="6" s="1"/>
  <c r="O2056" i="6"/>
  <c r="O291" i="6"/>
  <c r="AF6" i="11"/>
  <c r="AH6" i="11" s="1"/>
  <c r="AI6" i="11" s="1"/>
  <c r="AK6" i="11" s="1"/>
  <c r="N85" i="3"/>
  <c r="F109" i="15"/>
  <c r="G109" i="15" s="1"/>
  <c r="AK71" i="11"/>
  <c r="AI77" i="11"/>
  <c r="J480" i="34"/>
  <c r="J159" i="3"/>
  <c r="T69" i="14"/>
  <c r="K35" i="4"/>
  <c r="K46" i="4" s="1"/>
  <c r="I123" i="3" s="1"/>
  <c r="I16" i="3"/>
  <c r="L238" i="4"/>
  <c r="L763" i="4"/>
  <c r="L765" i="4" s="1"/>
  <c r="L767" i="4" s="1"/>
  <c r="L776" i="4" s="1"/>
  <c r="J160" i="3"/>
  <c r="H37" i="13"/>
  <c r="H38" i="13" s="1"/>
  <c r="H41" i="13" s="1"/>
  <c r="K891" i="4"/>
  <c r="K893" i="4" s="1"/>
  <c r="L89" i="14"/>
  <c r="L899" i="4"/>
  <c r="J24" i="3"/>
  <c r="I81" i="13"/>
  <c r="H74" i="34"/>
  <c r="H75" i="34" s="1"/>
  <c r="H30" i="34"/>
  <c r="H32" i="34" s="1"/>
  <c r="H33" i="34" s="1"/>
  <c r="J1149" i="7"/>
  <c r="M858" i="7"/>
  <c r="T45" i="11"/>
  <c r="J1976" i="6"/>
  <c r="J685" i="6"/>
  <c r="J689" i="6" s="1"/>
  <c r="AK24" i="42"/>
  <c r="H83" i="15"/>
  <c r="H87" i="15" s="1"/>
  <c r="H325" i="34" s="1"/>
  <c r="K52" i="58"/>
  <c r="N357" i="7"/>
  <c r="N23" i="7" s="1"/>
  <c r="W131" i="10"/>
  <c r="Q250" i="10"/>
  <c r="L2063" i="6"/>
  <c r="M2083" i="6"/>
  <c r="M681" i="6"/>
  <c r="J7" i="16"/>
  <c r="L17" i="8"/>
  <c r="N15" i="8"/>
  <c r="L7" i="17" s="1"/>
  <c r="N584" i="8"/>
  <c r="BB24" i="42"/>
  <c r="J114" i="15"/>
  <c r="J118" i="15" s="1"/>
  <c r="J339" i="34" s="1"/>
  <c r="P1842" i="6"/>
  <c r="Q1842" i="6" s="1"/>
  <c r="O1962" i="6"/>
  <c r="O1964" i="6" s="1"/>
  <c r="O1966" i="6" s="1"/>
  <c r="O639" i="6"/>
  <c r="O677" i="6" s="1"/>
  <c r="R135" i="10"/>
  <c r="R261" i="10" s="1"/>
  <c r="J49" i="3" s="1"/>
  <c r="S131" i="10"/>
  <c r="R57" i="11" s="1"/>
  <c r="S57" i="11" s="1"/>
  <c r="T57" i="11" s="1"/>
  <c r="L1007" i="7"/>
  <c r="L369" i="7" s="1"/>
  <c r="L50" i="7" s="1"/>
  <c r="J45" i="3" s="1"/>
  <c r="P250" i="10"/>
  <c r="O155" i="11" s="1"/>
  <c r="K1971" i="6"/>
  <c r="L199" i="7"/>
  <c r="L20" i="7"/>
  <c r="O939" i="7"/>
  <c r="O352" i="7"/>
  <c r="P933" i="7"/>
  <c r="O646" i="7"/>
  <c r="AA98" i="10"/>
  <c r="P1102" i="7"/>
  <c r="O411" i="7"/>
  <c r="F14" i="42"/>
  <c r="N679" i="6"/>
  <c r="N32" i="6"/>
  <c r="O333" i="8"/>
  <c r="O72" i="8"/>
  <c r="P222" i="8"/>
  <c r="K201" i="7"/>
  <c r="K1144" i="7"/>
  <c r="V18" i="42"/>
  <c r="H188" i="15"/>
  <c r="G117" i="13"/>
  <c r="F88" i="42"/>
  <c r="AJ36" i="42"/>
  <c r="AJ56" i="42" s="1"/>
  <c r="G13" i="3"/>
  <c r="H43" i="7"/>
  <c r="I43" i="7" s="1"/>
  <c r="I342" i="34"/>
  <c r="I571" i="34"/>
  <c r="F74" i="42"/>
  <c r="M132" i="3"/>
  <c r="O349" i="7"/>
  <c r="P989" i="7"/>
  <c r="O997" i="7"/>
  <c r="O999" i="7" s="1"/>
  <c r="O1001" i="7" s="1"/>
  <c r="J431" i="7"/>
  <c r="J436" i="7" s="1"/>
  <c r="J1120" i="7"/>
  <c r="H197" i="3" s="1"/>
  <c r="G106" i="3"/>
  <c r="F140" i="13"/>
  <c r="F224" i="15"/>
  <c r="F230" i="15" s="1"/>
  <c r="U58" i="42"/>
  <c r="I242" i="15"/>
  <c r="AL18" i="42"/>
  <c r="I101" i="16"/>
  <c r="P2008" i="6"/>
  <c r="Q2008" i="6" s="1"/>
  <c r="L16" i="58"/>
  <c r="L34" i="58" s="1"/>
  <c r="O2034" i="6"/>
  <c r="O711" i="6"/>
  <c r="O731" i="6" s="1"/>
  <c r="O33" i="6" s="1"/>
  <c r="Q133" i="10"/>
  <c r="L1132" i="7"/>
  <c r="H54" i="3"/>
  <c r="H50" i="3"/>
  <c r="H523" i="6"/>
  <c r="I523" i="6" s="1"/>
  <c r="G83" i="16"/>
  <c r="G85" i="16" s="1"/>
  <c r="G51" i="16"/>
  <c r="F279" i="15"/>
  <c r="G89" i="34"/>
  <c r="K138" i="3"/>
  <c r="K139" i="3" s="1"/>
  <c r="M197" i="7"/>
  <c r="BC18" i="42"/>
  <c r="K99" i="17"/>
  <c r="K291" i="15"/>
  <c r="N81" i="8"/>
  <c r="L135" i="3"/>
  <c r="K26" i="7"/>
  <c r="H9" i="13" s="1"/>
  <c r="K31" i="7"/>
  <c r="N195" i="7"/>
  <c r="N648" i="7"/>
  <c r="N650" i="7" s="1"/>
  <c r="N652" i="7" s="1"/>
  <c r="N661" i="7" s="1"/>
  <c r="F45" i="13"/>
  <c r="F10" i="13"/>
  <c r="F15" i="13" s="1"/>
  <c r="M14" i="8"/>
  <c r="M583" i="8"/>
  <c r="M586" i="8" s="1"/>
  <c r="E55" i="58"/>
  <c r="E56" i="58" s="1"/>
  <c r="J167" i="11"/>
  <c r="G421" i="34" s="1"/>
  <c r="J1992" i="6"/>
  <c r="K159" i="11"/>
  <c r="K167" i="11" s="1"/>
  <c r="J1129" i="7"/>
  <c r="J212" i="7"/>
  <c r="N65" i="27"/>
  <c r="H549" i="8"/>
  <c r="I549" i="8" s="1"/>
  <c r="P934" i="7"/>
  <c r="AA99" i="10"/>
  <c r="AB99" i="10" s="1"/>
  <c r="M48" i="6"/>
  <c r="M35" i="6"/>
  <c r="J27" i="13" s="1"/>
  <c r="G6" i="17"/>
  <c r="H10" i="8"/>
  <c r="I10" i="8" s="1"/>
  <c r="F89" i="42"/>
  <c r="AY36" i="42"/>
  <c r="AY56" i="42" s="1"/>
  <c r="P133" i="10"/>
  <c r="O60" i="11" s="1"/>
  <c r="K1116" i="7"/>
  <c r="O526" i="8"/>
  <c r="O135" i="8"/>
  <c r="O145" i="8" s="1"/>
  <c r="M137" i="3"/>
  <c r="O51" i="27"/>
  <c r="O53" i="27" s="1"/>
  <c r="O55" i="27" s="1"/>
  <c r="O60" i="27" s="1"/>
  <c r="O68" i="27" s="1"/>
  <c r="O71" i="27" s="1"/>
  <c r="P69" i="27" s="1"/>
  <c r="P35" i="27"/>
  <c r="M950" i="7"/>
  <c r="R142" i="42"/>
  <c r="S142" i="42" s="1"/>
  <c r="S136" i="42"/>
  <c r="M134" i="3"/>
  <c r="P1632" i="6"/>
  <c r="Q1632" i="6" s="1"/>
  <c r="O1640" i="6"/>
  <c r="O497" i="6"/>
  <c r="O508" i="6" s="1"/>
  <c r="O29" i="6" s="1"/>
  <c r="X116" i="10"/>
  <c r="Y98" i="10"/>
  <c r="U131" i="10"/>
  <c r="M1007" i="7" s="1"/>
  <c r="M1006" i="7"/>
  <c r="J953" i="7"/>
  <c r="H195" i="3" s="1"/>
  <c r="M135" i="10"/>
  <c r="R95" i="4"/>
  <c r="R849" i="4"/>
  <c r="P40" i="3"/>
  <c r="R900" i="4"/>
  <c r="N36" i="13"/>
  <c r="R881" i="4"/>
  <c r="R883" i="4" s="1"/>
  <c r="S12" i="11"/>
  <c r="R21" i="11"/>
  <c r="I49" i="42"/>
  <c r="K60" i="34"/>
  <c r="K18" i="34" s="1"/>
  <c r="K16" i="34"/>
  <c r="L57" i="34"/>
  <c r="J199" i="34"/>
  <c r="L199" i="34"/>
  <c r="K199" i="34"/>
  <c r="K202" i="34"/>
  <c r="K819" i="34" s="1"/>
  <c r="K263" i="3" s="1"/>
  <c r="J829" i="34"/>
  <c r="J202" i="34"/>
  <c r="J819" i="34" s="1"/>
  <c r="J263" i="3" s="1"/>
  <c r="L202" i="34"/>
  <c r="L819" i="34" s="1"/>
  <c r="L263" i="3" s="1"/>
  <c r="L153" i="4"/>
  <c r="G8" i="13"/>
  <c r="J37" i="7"/>
  <c r="L47" i="11"/>
  <c r="L62" i="11" s="1"/>
  <c r="M46" i="11"/>
  <c r="J373" i="7"/>
  <c r="J1131" i="7"/>
  <c r="I62" i="11" l="1"/>
  <c r="I163" i="11" s="1"/>
  <c r="G220" i="3" s="1"/>
  <c r="AK77" i="11"/>
  <c r="AL71" i="11"/>
  <c r="S69" i="14"/>
  <c r="S73" i="14" s="1"/>
  <c r="S76" i="14" s="1"/>
  <c r="O158" i="14"/>
  <c r="AA50" i="14" s="1"/>
  <c r="W37" i="14"/>
  <c r="M218" i="14"/>
  <c r="S41" i="4"/>
  <c r="S422" i="4"/>
  <c r="M145" i="14"/>
  <c r="M196" i="14"/>
  <c r="N26" i="6"/>
  <c r="N42" i="6" s="1"/>
  <c r="N342" i="6"/>
  <c r="AN39" i="10"/>
  <c r="Q102" i="3"/>
  <c r="AM6" i="11"/>
  <c r="P85" i="3"/>
  <c r="AL6" i="11"/>
  <c r="Q639" i="6"/>
  <c r="Q677" i="6" s="1"/>
  <c r="Q1962" i="6"/>
  <c r="Q1964" i="6" s="1"/>
  <c r="Q1966" i="6" s="1"/>
  <c r="Q711" i="6"/>
  <c r="Q731" i="6" s="1"/>
  <c r="Q33" i="6" s="1"/>
  <c r="Q2034" i="6"/>
  <c r="Q497" i="6"/>
  <c r="Q508" i="6" s="1"/>
  <c r="Q29" i="6" s="1"/>
  <c r="Q1640" i="6"/>
  <c r="S881" i="4"/>
  <c r="S883" i="4" s="1"/>
  <c r="L81" i="3"/>
  <c r="L82" i="3" s="1"/>
  <c r="L118" i="17"/>
  <c r="P519" i="8"/>
  <c r="P138" i="8" s="1"/>
  <c r="N177" i="3"/>
  <c r="M32" i="3"/>
  <c r="O28" i="8"/>
  <c r="P98" i="20"/>
  <c r="Q33" i="20"/>
  <c r="P65" i="20"/>
  <c r="AB12" i="20"/>
  <c r="AB16" i="20" s="1"/>
  <c r="M310" i="15"/>
  <c r="L148" i="34" s="1"/>
  <c r="M174" i="3"/>
  <c r="M175" i="3" s="1"/>
  <c r="BE50" i="42"/>
  <c r="M112" i="17"/>
  <c r="M113" i="17" s="1"/>
  <c r="M68" i="17"/>
  <c r="M324" i="15" s="1"/>
  <c r="M329" i="15" s="1"/>
  <c r="M33" i="3"/>
  <c r="M45" i="17"/>
  <c r="D260" i="3"/>
  <c r="D264" i="3"/>
  <c r="B275" i="3"/>
  <c r="C275" i="3"/>
  <c r="E185" i="34"/>
  <c r="E228" i="34"/>
  <c r="E171" i="34"/>
  <c r="F188" i="34"/>
  <c r="F817" i="34" s="1"/>
  <c r="G50" i="3"/>
  <c r="H49" i="7"/>
  <c r="H436" i="7"/>
  <c r="M414" i="7"/>
  <c r="M420" i="7" s="1"/>
  <c r="M1107" i="7"/>
  <c r="M1109" i="7" s="1"/>
  <c r="M1112" i="7" s="1"/>
  <c r="M123" i="14"/>
  <c r="H29" i="8"/>
  <c r="H2094" i="6"/>
  <c r="H30" i="8"/>
  <c r="H1151" i="7"/>
  <c r="H264" i="10"/>
  <c r="G325" i="34"/>
  <c r="G328" i="34" s="1"/>
  <c r="G329" i="34" s="1"/>
  <c r="G331" i="34" s="1"/>
  <c r="G176" i="34" s="1"/>
  <c r="G177" i="34" s="1"/>
  <c r="F91" i="15"/>
  <c r="G91" i="15" s="1"/>
  <c r="G101" i="3"/>
  <c r="G107" i="3" s="1"/>
  <c r="F89" i="15"/>
  <c r="G89" i="15" s="1"/>
  <c r="H62" i="6"/>
  <c r="I62" i="6" s="1"/>
  <c r="E232" i="42"/>
  <c r="E235" i="42" s="1"/>
  <c r="E238" i="42" s="1"/>
  <c r="F16" i="15"/>
  <c r="G16" i="15" s="1"/>
  <c r="G342" i="34"/>
  <c r="G571" i="34"/>
  <c r="G334" i="34"/>
  <c r="G567" i="34" s="1"/>
  <c r="F271" i="15"/>
  <c r="G271" i="15" s="1"/>
  <c r="G364" i="34"/>
  <c r="G537" i="34"/>
  <c r="G309" i="34"/>
  <c r="G316" i="34" s="1"/>
  <c r="J146" i="11"/>
  <c r="H746" i="6"/>
  <c r="I746" i="6" s="1"/>
  <c r="L108" i="14"/>
  <c r="U62" i="14" s="1"/>
  <c r="U63" i="14" s="1"/>
  <c r="M1115" i="7" s="1"/>
  <c r="M430" i="7" s="1"/>
  <c r="M48" i="7" s="1"/>
  <c r="K21" i="3" s="1"/>
  <c r="P155" i="11"/>
  <c r="Q155" i="11" s="1"/>
  <c r="G197" i="3"/>
  <c r="H161" i="8"/>
  <c r="C220" i="42"/>
  <c r="D220" i="42" s="1"/>
  <c r="C217" i="42"/>
  <c r="D217" i="42" s="1"/>
  <c r="E217" i="42" s="1"/>
  <c r="H590" i="8"/>
  <c r="L129" i="14"/>
  <c r="L128" i="14" s="1"/>
  <c r="D207" i="42"/>
  <c r="E207" i="42" s="1"/>
  <c r="H19" i="8"/>
  <c r="I19" i="8" s="1"/>
  <c r="H551" i="8"/>
  <c r="I551" i="8" s="1"/>
  <c r="M439" i="34"/>
  <c r="P195" i="8"/>
  <c r="O85" i="3"/>
  <c r="O219" i="14"/>
  <c r="O160" i="14" s="1"/>
  <c r="F122" i="15"/>
  <c r="G122" i="15" s="1"/>
  <c r="F120" i="15"/>
  <c r="G120" i="15" s="1"/>
  <c r="U11" i="37"/>
  <c r="AA51" i="14"/>
  <c r="P1078" i="6" s="1"/>
  <c r="P285" i="6" s="1"/>
  <c r="P25" i="6"/>
  <c r="P41" i="6" s="1"/>
  <c r="P276" i="6"/>
  <c r="M139" i="14"/>
  <c r="H45" i="13"/>
  <c r="H117" i="13" s="1"/>
  <c r="J161" i="3"/>
  <c r="I134" i="13"/>
  <c r="I135" i="13" s="1"/>
  <c r="J25" i="3"/>
  <c r="J26" i="3" s="1"/>
  <c r="J156" i="3"/>
  <c r="J157" i="3" s="1"/>
  <c r="X50" i="42"/>
  <c r="J207" i="15"/>
  <c r="L134" i="14"/>
  <c r="L133" i="14" s="1"/>
  <c r="L96" i="14"/>
  <c r="U72" i="14"/>
  <c r="L267" i="4"/>
  <c r="L243" i="4"/>
  <c r="X19" i="42"/>
  <c r="J534" i="34"/>
  <c r="J1134" i="7"/>
  <c r="J1151" i="7" s="1"/>
  <c r="J1159" i="7" s="1"/>
  <c r="V131" i="10"/>
  <c r="U57" i="11" s="1"/>
  <c r="V57" i="11" s="1"/>
  <c r="W57" i="11" s="1"/>
  <c r="J49" i="7"/>
  <c r="H37" i="3" s="1"/>
  <c r="F86" i="13"/>
  <c r="M325" i="7"/>
  <c r="T64" i="10"/>
  <c r="L52" i="58"/>
  <c r="M1011" i="7"/>
  <c r="P497" i="6"/>
  <c r="P508" i="6" s="1"/>
  <c r="P29" i="6" s="1"/>
  <c r="P1640" i="6"/>
  <c r="N134" i="3"/>
  <c r="U135" i="10"/>
  <c r="U261" i="10" s="1"/>
  <c r="K49" i="3" s="1"/>
  <c r="K431" i="7"/>
  <c r="K436" i="7" s="1"/>
  <c r="K1120" i="7"/>
  <c r="I197" i="3" s="1"/>
  <c r="F46" i="13"/>
  <c r="F52" i="13" s="1"/>
  <c r="F188" i="15"/>
  <c r="G188" i="15" s="1"/>
  <c r="U18" i="42"/>
  <c r="F117" i="13"/>
  <c r="F118" i="13" s="1"/>
  <c r="F120" i="13" s="1"/>
  <c r="F126" i="13" s="1"/>
  <c r="F138" i="13" s="1"/>
  <c r="N583" i="8"/>
  <c r="N586" i="8" s="1"/>
  <c r="N14" i="8"/>
  <c r="M20" i="7"/>
  <c r="M199" i="7"/>
  <c r="AJ59" i="42"/>
  <c r="AJ58" i="42" s="1"/>
  <c r="AJ62" i="42" s="1"/>
  <c r="G119" i="16"/>
  <c r="G123" i="16" s="1"/>
  <c r="G125" i="16" s="1"/>
  <c r="G93" i="3" s="1"/>
  <c r="AL24" i="42"/>
  <c r="I83" i="15"/>
  <c r="I87" i="15" s="1"/>
  <c r="I325" i="34" s="1"/>
  <c r="Q989" i="7"/>
  <c r="P997" i="7"/>
  <c r="P999" i="7" s="1"/>
  <c r="P1001" i="7" s="1"/>
  <c r="N132" i="3"/>
  <c r="P349" i="7"/>
  <c r="H809" i="34"/>
  <c r="H133" i="15"/>
  <c r="Q222" i="8"/>
  <c r="P72" i="8"/>
  <c r="P333" i="8"/>
  <c r="K60" i="11"/>
  <c r="K1976" i="6"/>
  <c r="K685" i="6"/>
  <c r="K689" i="6" s="1"/>
  <c r="P1962" i="6"/>
  <c r="P1964" i="6" s="1"/>
  <c r="P1966" i="6" s="1"/>
  <c r="P639" i="6"/>
  <c r="P677" i="6" s="1"/>
  <c r="L291" i="15"/>
  <c r="L99" i="17"/>
  <c r="BD18" i="42"/>
  <c r="M2063" i="6"/>
  <c r="T250" i="10"/>
  <c r="X131" i="10"/>
  <c r="N1007" i="7" s="1"/>
  <c r="N1006" i="7"/>
  <c r="O65" i="27"/>
  <c r="M369" i="7"/>
  <c r="M50" i="7" s="1"/>
  <c r="K45" i="3" s="1"/>
  <c r="O15" i="8"/>
  <c r="M7" i="17" s="1"/>
  <c r="O584" i="8"/>
  <c r="F290" i="15"/>
  <c r="G290" i="15" s="1"/>
  <c r="G8" i="17"/>
  <c r="G344" i="34"/>
  <c r="G98" i="17"/>
  <c r="G100" i="17" s="1"/>
  <c r="G102" i="17" s="1"/>
  <c r="G104" i="17" s="1"/>
  <c r="G116" i="17" s="1"/>
  <c r="AD99" i="10"/>
  <c r="AE99" i="10" s="1"/>
  <c r="Q934" i="7"/>
  <c r="O357" i="7"/>
  <c r="O23" i="7" s="1"/>
  <c r="Z131" i="10"/>
  <c r="H52" i="15"/>
  <c r="V78" i="42"/>
  <c r="V24" i="42"/>
  <c r="G18" i="42"/>
  <c r="M135" i="3"/>
  <c r="O81" i="8"/>
  <c r="N48" i="6"/>
  <c r="AA116" i="10"/>
  <c r="AB98" i="10"/>
  <c r="J342" i="34"/>
  <c r="J571" i="34"/>
  <c r="N137" i="3"/>
  <c r="P51" i="27"/>
  <c r="P53" i="27" s="1"/>
  <c r="P55" i="27" s="1"/>
  <c r="P60" i="27" s="1"/>
  <c r="P68" i="27" s="1"/>
  <c r="P71" i="27" s="1"/>
  <c r="Q69" i="27" s="1"/>
  <c r="Q35" i="27"/>
  <c r="J701" i="6"/>
  <c r="J704" i="6" s="1"/>
  <c r="G10" i="58"/>
  <c r="G11" i="58" s="1"/>
  <c r="G13" i="58" s="1"/>
  <c r="J1996" i="6"/>
  <c r="J2036" i="6" s="1"/>
  <c r="J2038" i="6" s="1"/>
  <c r="K7" i="16"/>
  <c r="M17" i="8"/>
  <c r="N197" i="7"/>
  <c r="L138" i="3"/>
  <c r="L139" i="3" s="1"/>
  <c r="G93" i="34"/>
  <c r="G643" i="34"/>
  <c r="G645" i="34" s="1"/>
  <c r="G264" i="34" s="1"/>
  <c r="L1116" i="7"/>
  <c r="S133" i="10"/>
  <c r="R60" i="11" s="1"/>
  <c r="P711" i="6"/>
  <c r="P731" i="6" s="1"/>
  <c r="P33" i="6" s="1"/>
  <c r="M16" i="58"/>
  <c r="M34" i="58" s="1"/>
  <c r="P2034" i="6"/>
  <c r="N2083" i="6"/>
  <c r="N681" i="6"/>
  <c r="O648" i="7"/>
  <c r="O650" i="7" s="1"/>
  <c r="O652" i="7" s="1"/>
  <c r="O661" i="7" s="1"/>
  <c r="O195" i="7"/>
  <c r="L26" i="7"/>
  <c r="I9" i="13" s="1"/>
  <c r="L31" i="7"/>
  <c r="O32" i="6"/>
  <c r="O679" i="6"/>
  <c r="J101" i="16"/>
  <c r="J242" i="15"/>
  <c r="AM18" i="42"/>
  <c r="P135" i="8"/>
  <c r="P145" i="8" s="1"/>
  <c r="K114" i="15"/>
  <c r="K118" i="15" s="1"/>
  <c r="K339" i="34" s="1"/>
  <c r="BC24" i="42"/>
  <c r="F276" i="15"/>
  <c r="J47" i="8"/>
  <c r="K212" i="7"/>
  <c r="K1129" i="7"/>
  <c r="Q1102" i="7"/>
  <c r="P411" i="7"/>
  <c r="P352" i="7"/>
  <c r="P646" i="7"/>
  <c r="P939" i="7"/>
  <c r="Q933" i="7"/>
  <c r="AD98" i="10"/>
  <c r="L201" i="7"/>
  <c r="L1144" i="7"/>
  <c r="L1971" i="6"/>
  <c r="S250" i="10"/>
  <c r="R155" i="11" s="1"/>
  <c r="H328" i="34"/>
  <c r="H557" i="34"/>
  <c r="L1011" i="7"/>
  <c r="H120" i="3"/>
  <c r="O36" i="13"/>
  <c r="L16" i="34"/>
  <c r="M57" i="34"/>
  <c r="L60" i="34"/>
  <c r="L18" i="34" s="1"/>
  <c r="L901" i="4"/>
  <c r="L904" i="4" s="1"/>
  <c r="J48" i="3"/>
  <c r="S21" i="11"/>
  <c r="T12" i="11"/>
  <c r="H13" i="3"/>
  <c r="J43" i="7"/>
  <c r="G10" i="13"/>
  <c r="G15" i="13" s="1"/>
  <c r="N46" i="11"/>
  <c r="K859" i="7"/>
  <c r="M47" i="11"/>
  <c r="N35" i="6" l="1"/>
  <c r="K27" i="13" s="1"/>
  <c r="AN71" i="11"/>
  <c r="AN77" i="11" s="1"/>
  <c r="AL77" i="11"/>
  <c r="S95" i="4"/>
  <c r="AN6" i="11"/>
  <c r="Q85" i="3" s="1"/>
  <c r="AM21" i="11"/>
  <c r="S900" i="4"/>
  <c r="Q40" i="3"/>
  <c r="N344" i="6"/>
  <c r="N2077" i="6"/>
  <c r="M155" i="14"/>
  <c r="M198" i="14"/>
  <c r="X91" i="10"/>
  <c r="W39" i="14"/>
  <c r="N1149" i="6" s="1"/>
  <c r="P526" i="8"/>
  <c r="AH16" i="20"/>
  <c r="AH21" i="20" s="1"/>
  <c r="P36" i="13"/>
  <c r="Q32" i="6"/>
  <c r="Q48" i="6" s="1"/>
  <c r="Q679" i="6"/>
  <c r="N154" i="22"/>
  <c r="M70" i="17"/>
  <c r="L154" i="34"/>
  <c r="L156" i="34" s="1"/>
  <c r="L150" i="34"/>
  <c r="N202" i="3"/>
  <c r="N173" i="3"/>
  <c r="T98" i="20"/>
  <c r="P381" i="8"/>
  <c r="N45" i="17" s="1"/>
  <c r="M454" i="34"/>
  <c r="AB21" i="20"/>
  <c r="AB23" i="20" s="1"/>
  <c r="AD20" i="20" s="1"/>
  <c r="P536" i="8"/>
  <c r="N178" i="3"/>
  <c r="N179" i="3" s="1"/>
  <c r="BF19" i="42"/>
  <c r="M504" i="34"/>
  <c r="BE52" i="42"/>
  <c r="BE54" i="42" s="1"/>
  <c r="P102" i="20"/>
  <c r="P100" i="20"/>
  <c r="Q64" i="20"/>
  <c r="T33" i="20"/>
  <c r="T41" i="20" s="1"/>
  <c r="Q41" i="20"/>
  <c r="M34" i="3"/>
  <c r="K146" i="11"/>
  <c r="K161" i="11" s="1"/>
  <c r="J161" i="11"/>
  <c r="F139" i="13"/>
  <c r="G55" i="3"/>
  <c r="L149" i="14"/>
  <c r="G120" i="3"/>
  <c r="I436" i="7"/>
  <c r="I161" i="8"/>
  <c r="M212" i="14"/>
  <c r="M192" i="14" s="1"/>
  <c r="N87" i="14" s="1"/>
  <c r="D261" i="3"/>
  <c r="V82" i="42"/>
  <c r="V88" i="42" s="1"/>
  <c r="I42" i="60"/>
  <c r="G13" i="17"/>
  <c r="G343" i="34" s="1"/>
  <c r="G345" i="34" s="1"/>
  <c r="G179" i="34" s="1"/>
  <c r="G180" i="34" s="1"/>
  <c r="L13" i="4"/>
  <c r="L881" i="4" s="1"/>
  <c r="L883" i="4" s="1"/>
  <c r="I36" i="13" s="1"/>
  <c r="G37" i="3"/>
  <c r="H54" i="7"/>
  <c r="I54" i="7" s="1"/>
  <c r="M422" i="7"/>
  <c r="M24" i="7"/>
  <c r="M35" i="7" s="1"/>
  <c r="M438" i="7"/>
  <c r="G557" i="34"/>
  <c r="G560" i="34" s="1"/>
  <c r="H1159" i="7"/>
  <c r="G240" i="3"/>
  <c r="H67" i="6"/>
  <c r="I67" i="6" s="1"/>
  <c r="G39" i="3"/>
  <c r="J1599" i="6"/>
  <c r="V9" i="42" s="1"/>
  <c r="G575" i="34"/>
  <c r="G576" i="34" s="1"/>
  <c r="G256" i="34" s="1"/>
  <c r="G338" i="34"/>
  <c r="G390" i="34"/>
  <c r="G507" i="34" s="1"/>
  <c r="G511" i="34" s="1"/>
  <c r="G512" i="34" s="1"/>
  <c r="G236" i="34" s="1"/>
  <c r="G237" i="34" s="1"/>
  <c r="G288" i="34"/>
  <c r="G369" i="34"/>
  <c r="G483" i="34"/>
  <c r="G487" i="34" s="1"/>
  <c r="G488" i="34" s="1"/>
  <c r="G372" i="34"/>
  <c r="G122" i="3"/>
  <c r="C221" i="42"/>
  <c r="D221" i="42" s="1"/>
  <c r="S155" i="11"/>
  <c r="T155" i="11" s="1"/>
  <c r="L209" i="14"/>
  <c r="G217" i="42"/>
  <c r="G128" i="3"/>
  <c r="G129" i="3" s="1"/>
  <c r="L213" i="14"/>
  <c r="M231" i="4"/>
  <c r="G207" i="42"/>
  <c r="F207" i="42"/>
  <c r="N275" i="15"/>
  <c r="N280" i="15" s="1"/>
  <c r="N45" i="16"/>
  <c r="N120" i="16" s="1"/>
  <c r="H563" i="8"/>
  <c r="I563" i="8" s="1"/>
  <c r="H23" i="8"/>
  <c r="I23" i="8" s="1"/>
  <c r="O199" i="14"/>
  <c r="P1083" i="6"/>
  <c r="P280" i="6"/>
  <c r="P2076" i="6"/>
  <c r="M138" i="14"/>
  <c r="U113" i="37"/>
  <c r="U117" i="37" s="1"/>
  <c r="U37" i="37"/>
  <c r="U60" i="37" s="1"/>
  <c r="U100" i="37" s="1"/>
  <c r="N181" i="3" s="1"/>
  <c r="J54" i="7"/>
  <c r="W18" i="42"/>
  <c r="H18" i="42" s="1"/>
  <c r="I188" i="15"/>
  <c r="I809" i="34" s="1"/>
  <c r="I50" i="42"/>
  <c r="J468" i="34" s="1"/>
  <c r="X52" i="42"/>
  <c r="J518" i="34"/>
  <c r="J481" i="34"/>
  <c r="I19" i="42"/>
  <c r="X79" i="42"/>
  <c r="K43" i="60" s="1"/>
  <c r="J51" i="15"/>
  <c r="J20" i="15" s="1"/>
  <c r="L214" i="14"/>
  <c r="L20" i="4"/>
  <c r="L245" i="4"/>
  <c r="J152" i="15"/>
  <c r="I66" i="34"/>
  <c r="U59" i="42"/>
  <c r="F223" i="15"/>
  <c r="P65" i="27"/>
  <c r="M52" i="58"/>
  <c r="T94" i="10"/>
  <c r="V64" i="10"/>
  <c r="V94" i="10" s="1"/>
  <c r="U45" i="11" s="1"/>
  <c r="V45" i="11" s="1"/>
  <c r="G36" i="58"/>
  <c r="G38" i="58" s="1"/>
  <c r="G43" i="58" s="1"/>
  <c r="G54" i="58" s="1"/>
  <c r="G51" i="58"/>
  <c r="O681" i="6"/>
  <c r="O2083" i="6"/>
  <c r="O197" i="7"/>
  <c r="M138" i="3"/>
  <c r="M139" i="3" s="1"/>
  <c r="L431" i="7"/>
  <c r="L436" i="7" s="1"/>
  <c r="L1120" i="7"/>
  <c r="J197" i="3" s="1"/>
  <c r="N20" i="7"/>
  <c r="N199" i="7"/>
  <c r="G24" i="42"/>
  <c r="G78" i="42"/>
  <c r="AA131" i="10"/>
  <c r="O1007" i="7" s="1"/>
  <c r="O1006" i="7"/>
  <c r="R934" i="7"/>
  <c r="S934" i="7" s="1"/>
  <c r="AM99" i="10" s="1"/>
  <c r="AN99" i="10" s="1"/>
  <c r="AG99" i="10"/>
  <c r="AH99" i="10" s="1"/>
  <c r="K54" i="3"/>
  <c r="K50" i="3"/>
  <c r="N135" i="3"/>
  <c r="P81" i="8"/>
  <c r="AC131" i="10"/>
  <c r="P357" i="7"/>
  <c r="P23" i="7" s="1"/>
  <c r="I328" i="34"/>
  <c r="I557" i="34"/>
  <c r="M1144" i="7"/>
  <c r="M201" i="7"/>
  <c r="L1129" i="7"/>
  <c r="L212" i="7"/>
  <c r="P195" i="7"/>
  <c r="P648" i="7"/>
  <c r="P650" i="7" s="1"/>
  <c r="P652" i="7" s="1"/>
  <c r="P661" i="7" s="1"/>
  <c r="Q411" i="7"/>
  <c r="R1102" i="7"/>
  <c r="P584" i="8"/>
  <c r="P15" i="8"/>
  <c r="N7" i="17" s="1"/>
  <c r="AM24" i="42"/>
  <c r="J83" i="15"/>
  <c r="J87" i="15" s="1"/>
  <c r="J325" i="34" s="1"/>
  <c r="O48" i="6"/>
  <c r="N2063" i="6"/>
  <c r="W250" i="10"/>
  <c r="F132" i="15"/>
  <c r="G132" i="15" s="1"/>
  <c r="F292" i="15"/>
  <c r="G292" i="15" s="1"/>
  <c r="M1971" i="6"/>
  <c r="V250" i="10"/>
  <c r="U155" i="11" s="1"/>
  <c r="M60" i="11"/>
  <c r="N60" i="11" s="1"/>
  <c r="P60" i="11" s="1"/>
  <c r="Q60" i="11" s="1"/>
  <c r="S60" i="11" s="1"/>
  <c r="T60" i="11" s="1"/>
  <c r="R222" i="8"/>
  <c r="S222" i="8" s="1"/>
  <c r="Q72" i="8"/>
  <c r="Q333" i="8"/>
  <c r="M31" i="7"/>
  <c r="F52" i="15"/>
  <c r="G52" i="15" s="1"/>
  <c r="U78" i="42"/>
  <c r="F18" i="42"/>
  <c r="U24" i="42"/>
  <c r="U26" i="42" s="1"/>
  <c r="AE98" i="10"/>
  <c r="AD116" i="10"/>
  <c r="K571" i="34"/>
  <c r="K342" i="34"/>
  <c r="Q135" i="8"/>
  <c r="N16" i="58"/>
  <c r="N34" i="58" s="1"/>
  <c r="R2008" i="6"/>
  <c r="S2008" i="6" s="1"/>
  <c r="G436" i="34"/>
  <c r="G102" i="34"/>
  <c r="G117" i="34" s="1"/>
  <c r="G120" i="34" s="1"/>
  <c r="G122" i="34" s="1"/>
  <c r="K242" i="15"/>
  <c r="AN18" i="42"/>
  <c r="K101" i="16"/>
  <c r="J733" i="6"/>
  <c r="J17" i="6"/>
  <c r="J49" i="6" s="1"/>
  <c r="O14" i="8"/>
  <c r="O583" i="8"/>
  <c r="O586" i="8" s="1"/>
  <c r="Y131" i="10"/>
  <c r="X57" i="11" s="1"/>
  <c r="Y57" i="11" s="1"/>
  <c r="Z57" i="11" s="1"/>
  <c r="R1842" i="6"/>
  <c r="S1842" i="6" s="1"/>
  <c r="N17" i="8"/>
  <c r="L7" i="16"/>
  <c r="F189" i="15"/>
  <c r="G189" i="15" s="1"/>
  <c r="F133" i="15"/>
  <c r="G133" i="15" s="1"/>
  <c r="G809" i="34"/>
  <c r="G810" i="34" s="1"/>
  <c r="R1632" i="6"/>
  <c r="O134" i="3"/>
  <c r="L1976" i="6"/>
  <c r="L685" i="6"/>
  <c r="L689" i="6" s="1"/>
  <c r="Q939" i="7"/>
  <c r="Q646" i="7"/>
  <c r="Q352" i="7"/>
  <c r="R933" i="7"/>
  <c r="S933" i="7" s="1"/>
  <c r="AG98" i="10"/>
  <c r="G676" i="34"/>
  <c r="G281" i="34" s="1"/>
  <c r="F281" i="15"/>
  <c r="G438" i="34"/>
  <c r="Q51" i="27"/>
  <c r="Q53" i="27" s="1"/>
  <c r="Q55" i="27" s="1"/>
  <c r="Q60" i="27" s="1"/>
  <c r="Q68" i="27" s="1"/>
  <c r="Q71" i="27" s="1"/>
  <c r="R69" i="27" s="1"/>
  <c r="R35" i="27"/>
  <c r="O137" i="3"/>
  <c r="H21" i="15"/>
  <c r="H25" i="15" s="1"/>
  <c r="H293" i="34" s="1"/>
  <c r="H56" i="15"/>
  <c r="H310" i="34" s="1"/>
  <c r="BE18" i="42"/>
  <c r="M99" i="17"/>
  <c r="M291" i="15"/>
  <c r="N1011" i="7"/>
  <c r="BD24" i="42"/>
  <c r="L114" i="15"/>
  <c r="L118" i="15" s="1"/>
  <c r="L339" i="34" s="1"/>
  <c r="P32" i="6"/>
  <c r="P679" i="6"/>
  <c r="Q349" i="7"/>
  <c r="R989" i="7"/>
  <c r="S989" i="7" s="1"/>
  <c r="O132" i="3"/>
  <c r="Q997" i="7"/>
  <c r="Q999" i="7" s="1"/>
  <c r="Q1001" i="7" s="1"/>
  <c r="F59" i="13"/>
  <c r="F83" i="13" s="1"/>
  <c r="F88" i="13" s="1"/>
  <c r="F91" i="13" s="1"/>
  <c r="G17" i="3"/>
  <c r="T21" i="11"/>
  <c r="V12" i="11"/>
  <c r="J50" i="3"/>
  <c r="J54" i="3"/>
  <c r="M16" i="34"/>
  <c r="M60" i="34"/>
  <c r="M18" i="34" s="1"/>
  <c r="N57" i="34"/>
  <c r="N97" i="10"/>
  <c r="K326" i="7"/>
  <c r="K331" i="7" s="1"/>
  <c r="K864" i="7"/>
  <c r="K941" i="7" s="1"/>
  <c r="K945" i="7" s="1"/>
  <c r="N47" i="11"/>
  <c r="P137" i="3" l="1"/>
  <c r="S35" i="27"/>
  <c r="S1632" i="6"/>
  <c r="P134" i="3"/>
  <c r="S711" i="6"/>
  <c r="S731" i="6" s="1"/>
  <c r="S33" i="6" s="1"/>
  <c r="P16" i="58"/>
  <c r="P34" i="58" s="1"/>
  <c r="S2034" i="6"/>
  <c r="S639" i="6"/>
  <c r="S677" i="6" s="1"/>
  <c r="S1962" i="6"/>
  <c r="S1964" i="6" s="1"/>
  <c r="S1966" i="6" s="1"/>
  <c r="S349" i="7"/>
  <c r="S997" i="7"/>
  <c r="S999" i="7" s="1"/>
  <c r="S1001" i="7" s="1"/>
  <c r="S1102" i="7"/>
  <c r="P132" i="3"/>
  <c r="S352" i="7"/>
  <c r="AM98" i="10"/>
  <c r="S939" i="7"/>
  <c r="S72" i="8"/>
  <c r="S333" i="8"/>
  <c r="N349" i="6"/>
  <c r="N61" i="6" s="1"/>
  <c r="L23" i="3" s="1"/>
  <c r="N1151" i="6"/>
  <c r="N351" i="6" s="1"/>
  <c r="N63" i="6" s="1"/>
  <c r="L47" i="3" s="1"/>
  <c r="X94" i="10"/>
  <c r="Y91" i="10"/>
  <c r="N93" i="14"/>
  <c r="N91" i="14"/>
  <c r="N2057" i="6"/>
  <c r="G395" i="34"/>
  <c r="L157" i="34"/>
  <c r="Q681" i="6"/>
  <c r="Q2083" i="6"/>
  <c r="N203" i="3"/>
  <c r="L412" i="34"/>
  <c r="L459" i="34"/>
  <c r="L460" i="34" s="1"/>
  <c r="N40" i="17"/>
  <c r="P155" i="8"/>
  <c r="Q63" i="20"/>
  <c r="AE12" i="20"/>
  <c r="AE16" i="20" s="1"/>
  <c r="Q99" i="20"/>
  <c r="M564" i="34"/>
  <c r="M566" i="34" s="1"/>
  <c r="M506" i="34"/>
  <c r="M80" i="3"/>
  <c r="M44" i="17"/>
  <c r="N155" i="22"/>
  <c r="N158" i="22" s="1"/>
  <c r="M89" i="3" s="1"/>
  <c r="N505" i="34"/>
  <c r="N565" i="34" s="1"/>
  <c r="N573" i="34" s="1"/>
  <c r="N113" i="15"/>
  <c r="G53" i="3"/>
  <c r="G56" i="3" s="1"/>
  <c r="L148" i="14"/>
  <c r="V21" i="14"/>
  <c r="M759" i="4" s="1"/>
  <c r="M125" i="14"/>
  <c r="N124" i="14" s="1"/>
  <c r="P94" i="14"/>
  <c r="P159" i="14" s="1"/>
  <c r="AD50" i="14" s="1"/>
  <c r="AD51" i="14" s="1"/>
  <c r="Q1063" i="6" s="1"/>
  <c r="P92" i="14"/>
  <c r="H267" i="3"/>
  <c r="G267" i="3"/>
  <c r="G279" i="3"/>
  <c r="G124" i="3"/>
  <c r="I46" i="60"/>
  <c r="G82" i="42"/>
  <c r="I16" i="60"/>
  <c r="U82" i="42"/>
  <c r="U84" i="42" s="1"/>
  <c r="U89" i="42" s="1"/>
  <c r="G42" i="60"/>
  <c r="H42" i="60" s="1"/>
  <c r="G398" i="34"/>
  <c r="G18" i="3"/>
  <c r="G20" i="17"/>
  <c r="G47" i="17" s="1"/>
  <c r="G130" i="34" s="1"/>
  <c r="J481" i="6"/>
  <c r="J489" i="6" s="1"/>
  <c r="J13" i="6" s="1"/>
  <c r="G42" i="3"/>
  <c r="M26" i="7"/>
  <c r="J9" i="13" s="1"/>
  <c r="M1147" i="7"/>
  <c r="M425" i="7"/>
  <c r="AJ99" i="10"/>
  <c r="J1606" i="6"/>
  <c r="J1642" i="6" s="1"/>
  <c r="J1644" i="6" s="1"/>
  <c r="B243" i="42"/>
  <c r="B247" i="42" s="1"/>
  <c r="B249" i="42" s="1"/>
  <c r="B251" i="42" s="1"/>
  <c r="G221" i="42"/>
  <c r="E221" i="42"/>
  <c r="G373" i="34"/>
  <c r="F195" i="15"/>
  <c r="G195" i="15" s="1"/>
  <c r="G292" i="34"/>
  <c r="G298" i="34" s="1"/>
  <c r="G351" i="34"/>
  <c r="G521" i="34"/>
  <c r="G797" i="34"/>
  <c r="G802" i="34" s="1"/>
  <c r="G230" i="34"/>
  <c r="F297" i="15"/>
  <c r="G297" i="15" s="1"/>
  <c r="C222" i="42"/>
  <c r="C223" i="42" s="1"/>
  <c r="V155" i="11"/>
  <c r="W155" i="11" s="1"/>
  <c r="L189" i="14"/>
  <c r="M84" i="14" s="1"/>
  <c r="L193" i="14"/>
  <c r="L130" i="14"/>
  <c r="H34" i="8"/>
  <c r="I34" i="8" s="1"/>
  <c r="Q195" i="8"/>
  <c r="N439" i="34"/>
  <c r="H568" i="8"/>
  <c r="I568" i="8" s="1"/>
  <c r="P2056" i="6"/>
  <c r="P291" i="6"/>
  <c r="M215" i="14"/>
  <c r="W24" i="42"/>
  <c r="I133" i="15"/>
  <c r="F168" i="15"/>
  <c r="I52" i="15"/>
  <c r="I56" i="15" s="1"/>
  <c r="I310" i="34" s="1"/>
  <c r="W78" i="42"/>
  <c r="I24" i="34"/>
  <c r="I26" i="34" s="1"/>
  <c r="I411" i="34" s="1"/>
  <c r="I414" i="34" s="1"/>
  <c r="I68" i="34"/>
  <c r="I426" i="34" s="1"/>
  <c r="I430" i="34" s="1"/>
  <c r="I72" i="34"/>
  <c r="J535" i="34"/>
  <c r="J482" i="34"/>
  <c r="I52" i="42"/>
  <c r="X54" i="42"/>
  <c r="I54" i="42" s="1"/>
  <c r="L194" i="14"/>
  <c r="L135" i="14"/>
  <c r="L864" i="4"/>
  <c r="L867" i="4" s="1"/>
  <c r="L247" i="4"/>
  <c r="L30" i="4"/>
  <c r="L23" i="4"/>
  <c r="I79" i="42"/>
  <c r="K17" i="60" s="1"/>
  <c r="J469" i="34"/>
  <c r="J470" i="34" s="1"/>
  <c r="V66" i="14"/>
  <c r="G47" i="58"/>
  <c r="Q65" i="27"/>
  <c r="N858" i="7"/>
  <c r="W45" i="11"/>
  <c r="N52" i="58"/>
  <c r="F134" i="15"/>
  <c r="G134" i="15" s="1"/>
  <c r="L342" i="34"/>
  <c r="L571" i="34"/>
  <c r="R639" i="6"/>
  <c r="R677" i="6" s="1"/>
  <c r="R1962" i="6"/>
  <c r="R1964" i="6" s="1"/>
  <c r="R1966" i="6" s="1"/>
  <c r="F141" i="13"/>
  <c r="F144" i="13" s="1"/>
  <c r="F146" i="13" s="1"/>
  <c r="G92" i="3" s="1"/>
  <c r="U60" i="42"/>
  <c r="F60" i="42" s="1"/>
  <c r="P681" i="6"/>
  <c r="P2083" i="6"/>
  <c r="H655" i="34"/>
  <c r="H658" i="34" s="1"/>
  <c r="H665" i="34" s="1"/>
  <c r="H668" i="34" s="1"/>
  <c r="H221" i="34" s="1"/>
  <c r="H796" i="34" s="1"/>
  <c r="H805" i="34" s="1"/>
  <c r="H314" i="34"/>
  <c r="H541" i="34"/>
  <c r="R1640" i="6"/>
  <c r="R497" i="6"/>
  <c r="R508" i="6" s="1"/>
  <c r="R29" i="6" s="1"/>
  <c r="L242" i="15"/>
  <c r="L101" i="16"/>
  <c r="AO18" i="42"/>
  <c r="G442" i="34"/>
  <c r="G447" i="34" s="1"/>
  <c r="G274" i="34" s="1"/>
  <c r="F21" i="15"/>
  <c r="G21" i="15" s="1"/>
  <c r="F56" i="15"/>
  <c r="G56" i="15" s="1"/>
  <c r="O135" i="3"/>
  <c r="Q81" i="8"/>
  <c r="N1971" i="6"/>
  <c r="Y250" i="10"/>
  <c r="X155" i="11" s="1"/>
  <c r="J557" i="34"/>
  <c r="J328" i="34"/>
  <c r="R411" i="7"/>
  <c r="P197" i="7"/>
  <c r="N138" i="3"/>
  <c r="N139" i="3" s="1"/>
  <c r="AB131" i="10"/>
  <c r="AA57" i="11" s="1"/>
  <c r="AB57" i="11" s="1"/>
  <c r="AC57" i="11" s="1"/>
  <c r="N201" i="7"/>
  <c r="N1144" i="7"/>
  <c r="AG116" i="10"/>
  <c r="AH98" i="10"/>
  <c r="P48" i="6"/>
  <c r="H525" i="34"/>
  <c r="H296" i="34"/>
  <c r="Q195" i="7"/>
  <c r="Q648" i="7"/>
  <c r="Q650" i="7" s="1"/>
  <c r="Q652" i="7" s="1"/>
  <c r="Q661" i="7" s="1"/>
  <c r="M7" i="16"/>
  <c r="O17" i="8"/>
  <c r="K83" i="15"/>
  <c r="K87" i="15" s="1"/>
  <c r="K325" i="34" s="1"/>
  <c r="AN24" i="42"/>
  <c r="R2034" i="6"/>
  <c r="R711" i="6"/>
  <c r="R731" i="6" s="1"/>
  <c r="R33" i="6" s="1"/>
  <c r="O16" i="58"/>
  <c r="O34" i="58" s="1"/>
  <c r="R135" i="8"/>
  <c r="F90" i="42"/>
  <c r="F87" i="42" s="1"/>
  <c r="U36" i="42"/>
  <c r="U56" i="42" s="1"/>
  <c r="F26" i="42"/>
  <c r="F36" i="42" s="1"/>
  <c r="R72" i="8"/>
  <c r="P135" i="3" s="1"/>
  <c r="R333" i="8"/>
  <c r="M1976" i="6"/>
  <c r="M685" i="6"/>
  <c r="M689" i="6" s="1"/>
  <c r="M1129" i="7"/>
  <c r="M212" i="7"/>
  <c r="N31" i="7"/>
  <c r="O2063" i="6"/>
  <c r="Z250" i="10"/>
  <c r="F24" i="42"/>
  <c r="F78" i="42"/>
  <c r="N99" i="17"/>
  <c r="N291" i="15"/>
  <c r="BF18" i="42"/>
  <c r="H24" i="42"/>
  <c r="H78" i="42"/>
  <c r="AD131" i="10"/>
  <c r="P1007" i="7" s="1"/>
  <c r="P1006" i="7"/>
  <c r="R349" i="7"/>
  <c r="R997" i="7"/>
  <c r="AF131" i="10"/>
  <c r="Q357" i="7"/>
  <c r="Q23" i="7" s="1"/>
  <c r="M114" i="15"/>
  <c r="M118" i="15" s="1"/>
  <c r="M339" i="34" s="1"/>
  <c r="BE24" i="42"/>
  <c r="R51" i="27"/>
  <c r="R53" i="27" s="1"/>
  <c r="R55" i="27" s="1"/>
  <c r="R60" i="27" s="1"/>
  <c r="R68" i="27" s="1"/>
  <c r="R71" i="27" s="1"/>
  <c r="S69" i="27" s="1"/>
  <c r="J201" i="8"/>
  <c r="J335" i="8" s="1"/>
  <c r="J338" i="8" s="1"/>
  <c r="R939" i="7"/>
  <c r="AJ98" i="10"/>
  <c r="AT98" i="10" s="1"/>
  <c r="R646" i="7"/>
  <c r="R352" i="7"/>
  <c r="J735" i="6"/>
  <c r="J2084" i="6"/>
  <c r="V71" i="42"/>
  <c r="I35" i="60" s="1"/>
  <c r="H41" i="15"/>
  <c r="P583" i="8"/>
  <c r="P586" i="8" s="1"/>
  <c r="P14" i="8"/>
  <c r="O1011" i="7"/>
  <c r="O199" i="7"/>
  <c r="O20" i="7"/>
  <c r="O57" i="34"/>
  <c r="N16" i="34"/>
  <c r="N60" i="34"/>
  <c r="N18" i="34" s="1"/>
  <c r="V21" i="11"/>
  <c r="W12" i="11"/>
  <c r="K359" i="7"/>
  <c r="K12" i="7"/>
  <c r="P97" i="10"/>
  <c r="N116" i="10"/>
  <c r="N135" i="10" s="1"/>
  <c r="G399" i="34" l="1"/>
  <c r="G193" i="34" s="1"/>
  <c r="G194" i="34" s="1"/>
  <c r="Q137" i="3"/>
  <c r="S51" i="27"/>
  <c r="S53" i="27" s="1"/>
  <c r="S55" i="27" s="1"/>
  <c r="N355" i="6"/>
  <c r="P52" i="58"/>
  <c r="S32" i="6"/>
  <c r="S48" i="6" s="1"/>
  <c r="S679" i="6"/>
  <c r="S497" i="6"/>
  <c r="S508" i="6" s="1"/>
  <c r="S29" i="6" s="1"/>
  <c r="Q134" i="3"/>
  <c r="S1640" i="6"/>
  <c r="AM116" i="10"/>
  <c r="S950" i="7" s="1"/>
  <c r="AN98" i="10"/>
  <c r="S411" i="7"/>
  <c r="Q132" i="3"/>
  <c r="S646" i="7"/>
  <c r="S648" i="7" s="1"/>
  <c r="S650" i="7" s="1"/>
  <c r="S652" i="7" s="1"/>
  <c r="S661" i="7" s="1"/>
  <c r="AL131" i="10"/>
  <c r="S357" i="7"/>
  <c r="S23" i="7" s="1"/>
  <c r="Q135" i="3"/>
  <c r="S81" i="8"/>
  <c r="N950" i="7"/>
  <c r="N369" i="7" s="1"/>
  <c r="N50" i="7" s="1"/>
  <c r="L45" i="3" s="1"/>
  <c r="X135" i="10"/>
  <c r="X261" i="10" s="1"/>
  <c r="L49" i="3" s="1"/>
  <c r="N144" i="14"/>
  <c r="Z18" i="14" s="1"/>
  <c r="O744" i="4" s="1"/>
  <c r="N154" i="14"/>
  <c r="Z37" i="14" s="1"/>
  <c r="Z39" i="14" s="1"/>
  <c r="O1136" i="6" s="1"/>
  <c r="N153" i="14"/>
  <c r="N1154" i="6"/>
  <c r="Q267" i="6"/>
  <c r="Q274" i="6" s="1"/>
  <c r="Q1070" i="6"/>
  <c r="Q1071" i="6" s="1"/>
  <c r="Q1075" i="6" s="1"/>
  <c r="Q2063" i="6"/>
  <c r="M118" i="17"/>
  <c r="M81" i="3"/>
  <c r="M82" i="3" s="1"/>
  <c r="N174" i="3"/>
  <c r="N175" i="3" s="1"/>
  <c r="BF50" i="42"/>
  <c r="N68" i="17"/>
  <c r="N112" i="17"/>
  <c r="N113" i="17" s="1"/>
  <c r="N33" i="3"/>
  <c r="N310" i="15"/>
  <c r="M148" i="34" s="1"/>
  <c r="O177" i="3"/>
  <c r="Q519" i="8"/>
  <c r="Q65" i="20"/>
  <c r="R33" i="20"/>
  <c r="R41" i="20" s="1"/>
  <c r="AD12" i="20"/>
  <c r="AD16" i="20" s="1"/>
  <c r="Q98" i="20"/>
  <c r="P28" i="8"/>
  <c r="N32" i="3"/>
  <c r="P158" i="14"/>
  <c r="AC50" i="14" s="1"/>
  <c r="U21" i="14"/>
  <c r="L217" i="14"/>
  <c r="E243" i="42"/>
  <c r="E247" i="42" s="1"/>
  <c r="E249" i="42" s="1"/>
  <c r="E251" i="42" s="1"/>
  <c r="N123" i="14"/>
  <c r="N212" i="14" s="1"/>
  <c r="U88" i="42"/>
  <c r="H82" i="42"/>
  <c r="J16" i="60"/>
  <c r="W82" i="42"/>
  <c r="W88" i="42" s="1"/>
  <c r="J42" i="60"/>
  <c r="I20" i="60"/>
  <c r="F82" i="42"/>
  <c r="F84" i="42" s="1"/>
  <c r="G16" i="60"/>
  <c r="G46" i="60"/>
  <c r="H46" i="60" s="1"/>
  <c r="G51" i="17"/>
  <c r="AY59" i="42" s="1"/>
  <c r="J510" i="6"/>
  <c r="J2080" i="6" s="1"/>
  <c r="J2086" i="6" s="1"/>
  <c r="M1132" i="7"/>
  <c r="T133" i="10"/>
  <c r="AK99" i="10"/>
  <c r="AU99" i="10" s="1"/>
  <c r="AT99" i="10"/>
  <c r="R999" i="7"/>
  <c r="G241" i="3"/>
  <c r="G187" i="34"/>
  <c r="G188" i="34" s="1"/>
  <c r="G817" i="34" s="1"/>
  <c r="G261" i="3" s="1"/>
  <c r="G792" i="34"/>
  <c r="G803" i="34" s="1"/>
  <c r="G827" i="34"/>
  <c r="G359" i="34"/>
  <c r="G471" i="34"/>
  <c r="G475" i="34" s="1"/>
  <c r="G356" i="34"/>
  <c r="F320" i="15"/>
  <c r="G320" i="15" s="1"/>
  <c r="F25" i="15"/>
  <c r="G25" i="15" s="1"/>
  <c r="G826" i="34"/>
  <c r="G231" i="34"/>
  <c r="G816" i="34" s="1"/>
  <c r="G260" i="3" s="1"/>
  <c r="F140" i="15"/>
  <c r="G140" i="15" s="1"/>
  <c r="F220" i="15"/>
  <c r="G220" i="15" s="1"/>
  <c r="Y155" i="11"/>
  <c r="Z155" i="11" s="1"/>
  <c r="L110" i="14"/>
  <c r="M109" i="14" s="1"/>
  <c r="X62" i="14" s="1"/>
  <c r="X63" i="14" s="1"/>
  <c r="N1103" i="7" s="1"/>
  <c r="M88" i="14"/>
  <c r="O45" i="16"/>
  <c r="O120" i="16" s="1"/>
  <c r="O275" i="15"/>
  <c r="O280" i="15" s="1"/>
  <c r="M140" i="14"/>
  <c r="M195" i="14"/>
  <c r="N90" i="14" s="1"/>
  <c r="I21" i="15"/>
  <c r="I25" i="15" s="1"/>
  <c r="I293" i="34" s="1"/>
  <c r="I296" i="34" s="1"/>
  <c r="R65" i="27"/>
  <c r="H818" i="34"/>
  <c r="H828" i="34" s="1"/>
  <c r="L852" i="4"/>
  <c r="L855" i="4" s="1"/>
  <c r="L869" i="4" s="1"/>
  <c r="L873" i="4" s="1"/>
  <c r="L258" i="4"/>
  <c r="J544" i="34"/>
  <c r="J519" i="34"/>
  <c r="J536" i="34"/>
  <c r="K159" i="3"/>
  <c r="V69" i="14"/>
  <c r="I74" i="34"/>
  <c r="I75" i="34" s="1"/>
  <c r="I30" i="34"/>
  <c r="I32" i="34" s="1"/>
  <c r="I33" i="34" s="1"/>
  <c r="M238" i="4"/>
  <c r="M763" i="4"/>
  <c r="M765" i="4" s="1"/>
  <c r="M767" i="4" s="1"/>
  <c r="K160" i="3"/>
  <c r="L887" i="4"/>
  <c r="L889" i="4" s="1"/>
  <c r="L33" i="4"/>
  <c r="M89" i="14"/>
  <c r="AE131" i="10"/>
  <c r="AD57" i="11" s="1"/>
  <c r="AE57" i="11" s="1"/>
  <c r="AF57" i="11" s="1"/>
  <c r="N325" i="7"/>
  <c r="W64" i="10"/>
  <c r="P1011" i="7"/>
  <c r="J344" i="8"/>
  <c r="J93" i="8" s="1"/>
  <c r="J343" i="8"/>
  <c r="AI131" i="10"/>
  <c r="AS131" i="10" s="1"/>
  <c r="R357" i="7"/>
  <c r="O1971" i="6"/>
  <c r="AB250" i="10"/>
  <c r="AA155" i="11" s="1"/>
  <c r="N212" i="7"/>
  <c r="N1129" i="7"/>
  <c r="G310" i="34"/>
  <c r="F60" i="15"/>
  <c r="G60" i="15" s="1"/>
  <c r="F58" i="15"/>
  <c r="G58" i="15" s="1"/>
  <c r="P2063" i="6"/>
  <c r="AC250" i="10"/>
  <c r="O31" i="7"/>
  <c r="O1144" i="7"/>
  <c r="O201" i="7"/>
  <c r="R195" i="7"/>
  <c r="P138" i="3" s="1"/>
  <c r="R648" i="7"/>
  <c r="AK9" i="42"/>
  <c r="J50" i="8"/>
  <c r="Q1006" i="7"/>
  <c r="AG131" i="10"/>
  <c r="BF24" i="42"/>
  <c r="N114" i="15"/>
  <c r="N118" i="15" s="1"/>
  <c r="N339" i="34" s="1"/>
  <c r="R81" i="8"/>
  <c r="AP18" i="42"/>
  <c r="M242" i="15"/>
  <c r="M101" i="16"/>
  <c r="P20" i="7"/>
  <c r="P199" i="7"/>
  <c r="I655" i="34"/>
  <c r="I658" i="34" s="1"/>
  <c r="I665" i="34" s="1"/>
  <c r="I668" i="34" s="1"/>
  <c r="I221" i="34" s="1"/>
  <c r="I796" i="34" s="1"/>
  <c r="I805" i="34" s="1"/>
  <c r="I541" i="34"/>
  <c r="I314" i="34"/>
  <c r="N685" i="6"/>
  <c r="N689" i="6" s="1"/>
  <c r="N1976" i="6"/>
  <c r="AO24" i="42"/>
  <c r="L83" i="15"/>
  <c r="L87" i="15" s="1"/>
  <c r="L325" i="34" s="1"/>
  <c r="R32" i="6"/>
  <c r="R679" i="6"/>
  <c r="AK98" i="10"/>
  <c r="AU98" i="10" s="1"/>
  <c r="AJ116" i="10"/>
  <c r="U62" i="42"/>
  <c r="F56" i="42"/>
  <c r="Q14" i="8"/>
  <c r="Q583" i="8"/>
  <c r="P17" i="8"/>
  <c r="N7" i="16"/>
  <c r="K257" i="10"/>
  <c r="J2064" i="6"/>
  <c r="M571" i="34"/>
  <c r="M342" i="34"/>
  <c r="O52" i="58"/>
  <c r="K557" i="34"/>
  <c r="K328" i="34"/>
  <c r="Q197" i="7"/>
  <c r="O138" i="3"/>
  <c r="O139" i="3" s="1"/>
  <c r="G649" i="34"/>
  <c r="G651" i="34" s="1"/>
  <c r="G266" i="34" s="1"/>
  <c r="G134" i="34"/>
  <c r="J45" i="6"/>
  <c r="J19" i="6"/>
  <c r="K949" i="7"/>
  <c r="K368" i="7" s="1"/>
  <c r="K49" i="7" s="1"/>
  <c r="I37" i="3" s="1"/>
  <c r="Y12" i="11"/>
  <c r="W21" i="11"/>
  <c r="P57" i="34"/>
  <c r="Q57" i="34" s="1"/>
  <c r="O16" i="34"/>
  <c r="O60" i="34"/>
  <c r="O18" i="34" s="1"/>
  <c r="K15" i="7"/>
  <c r="K34" i="7"/>
  <c r="K1146" i="7"/>
  <c r="K1149" i="7" s="1"/>
  <c r="K363" i="7"/>
  <c r="P116" i="10"/>
  <c r="O46" i="11" s="1"/>
  <c r="H16" i="60" l="1"/>
  <c r="S60" i="27"/>
  <c r="S68" i="27" s="1"/>
  <c r="S71" i="27" s="1"/>
  <c r="S2083" i="6"/>
  <c r="S681" i="6"/>
  <c r="S2063" i="6" s="1"/>
  <c r="S195" i="7"/>
  <c r="S197" i="7" s="1"/>
  <c r="S20" i="7" s="1"/>
  <c r="S1006" i="7"/>
  <c r="AM131" i="10"/>
  <c r="AN131" i="10" s="1"/>
  <c r="AM57" i="11" s="1"/>
  <c r="N143" i="14"/>
  <c r="Y18" i="14" s="1"/>
  <c r="S14" i="8"/>
  <c r="S583" i="8"/>
  <c r="S586" i="8" s="1"/>
  <c r="Q16" i="34"/>
  <c r="Q60" i="34"/>
  <c r="Q18" i="34" s="1"/>
  <c r="Y37" i="14"/>
  <c r="N218" i="14"/>
  <c r="O333" i="6"/>
  <c r="O340" i="6" s="1"/>
  <c r="O1141" i="6"/>
  <c r="O1143" i="6" s="1"/>
  <c r="O1145" i="6" s="1"/>
  <c r="L54" i="3"/>
  <c r="L50" i="3"/>
  <c r="P219" i="14"/>
  <c r="P199" i="14" s="1"/>
  <c r="Q25" i="6"/>
  <c r="Q276" i="6"/>
  <c r="AT116" i="10"/>
  <c r="Q536" i="8"/>
  <c r="AD21" i="20"/>
  <c r="AD23" i="20" s="1"/>
  <c r="AF20" i="20" s="1"/>
  <c r="O154" i="22"/>
  <c r="N70" i="17"/>
  <c r="N324" i="15"/>
  <c r="N329" i="15" s="1"/>
  <c r="N34" i="3"/>
  <c r="M154" i="34"/>
  <c r="M156" i="34" s="1"/>
  <c r="M150" i="34"/>
  <c r="BF52" i="42"/>
  <c r="BF54" i="42" s="1"/>
  <c r="N504" i="34"/>
  <c r="R64" i="20"/>
  <c r="Q102" i="20"/>
  <c r="O203" i="3" s="1"/>
  <c r="Q100" i="20"/>
  <c r="O173" i="3"/>
  <c r="O202" i="3"/>
  <c r="Q138" i="8"/>
  <c r="Q526" i="8"/>
  <c r="U66" i="14"/>
  <c r="M771" i="4"/>
  <c r="M252" i="4" s="1"/>
  <c r="M40" i="4" s="1"/>
  <c r="L150" i="14"/>
  <c r="L197" i="14"/>
  <c r="L201" i="14" s="1"/>
  <c r="L221" i="14"/>
  <c r="G48" i="60"/>
  <c r="H48" i="60" s="1"/>
  <c r="J20" i="60"/>
  <c r="G20" i="60"/>
  <c r="H20" i="60" s="1"/>
  <c r="J46" i="60"/>
  <c r="G117" i="17"/>
  <c r="G121" i="17" s="1"/>
  <c r="G123" i="17" s="1"/>
  <c r="G94" i="3" s="1"/>
  <c r="J512" i="6"/>
  <c r="K241" i="10" s="1"/>
  <c r="N414" i="7"/>
  <c r="N420" i="7" s="1"/>
  <c r="N1107" i="7"/>
  <c r="N1109" i="7" s="1"/>
  <c r="N1112" i="7" s="1"/>
  <c r="V133" i="10"/>
  <c r="U60" i="11" s="1"/>
  <c r="V60" i="11" s="1"/>
  <c r="W60" i="11" s="1"/>
  <c r="M1116" i="7"/>
  <c r="R650" i="7"/>
  <c r="R23" i="7"/>
  <c r="R1001" i="7"/>
  <c r="AJ131" i="10" s="1"/>
  <c r="F29" i="15"/>
  <c r="G29" i="15" s="1"/>
  <c r="G293" i="34"/>
  <c r="G525" i="34" s="1"/>
  <c r="G530" i="34" s="1"/>
  <c r="F169" i="15"/>
  <c r="F323" i="15"/>
  <c r="F328" i="15" s="1"/>
  <c r="J380" i="8" s="1"/>
  <c r="G239" i="3"/>
  <c r="F27" i="15"/>
  <c r="G27" i="15" s="1"/>
  <c r="G47" i="34"/>
  <c r="F225" i="15"/>
  <c r="F170" i="15" s="1"/>
  <c r="G360" i="34"/>
  <c r="G184" i="34" s="1"/>
  <c r="G185" i="34" s="1"/>
  <c r="G248" i="3"/>
  <c r="G476" i="34"/>
  <c r="G227" i="34" s="1"/>
  <c r="G228" i="34" s="1"/>
  <c r="G250" i="3"/>
  <c r="F165" i="15"/>
  <c r="G165" i="15" s="1"/>
  <c r="AB155" i="11"/>
  <c r="AC155" i="11" s="1"/>
  <c r="M108" i="14"/>
  <c r="W62" i="14" s="1"/>
  <c r="W63" i="14" s="1"/>
  <c r="N1115" i="7" s="1"/>
  <c r="N430" i="7" s="1"/>
  <c r="N48" i="7" s="1"/>
  <c r="L21" i="3" s="1"/>
  <c r="N125" i="14"/>
  <c r="N192" i="14"/>
  <c r="O87" i="14" s="1"/>
  <c r="M129" i="14"/>
  <c r="N231" i="4" s="1"/>
  <c r="O439" i="34"/>
  <c r="R195" i="8"/>
  <c r="N139" i="14"/>
  <c r="K161" i="3"/>
  <c r="V11" i="37"/>
  <c r="AC51" i="14"/>
  <c r="Q1078" i="6" s="1"/>
  <c r="Q285" i="6" s="1"/>
  <c r="P160" i="14"/>
  <c r="I525" i="34"/>
  <c r="M134" i="14"/>
  <c r="M96" i="14"/>
  <c r="M267" i="4"/>
  <c r="M243" i="4"/>
  <c r="Y19" i="42"/>
  <c r="J528" i="34"/>
  <c r="J520" i="34"/>
  <c r="J16" i="3"/>
  <c r="L35" i="4"/>
  <c r="L46" i="4" s="1"/>
  <c r="J123" i="3" s="1"/>
  <c r="I37" i="13"/>
  <c r="L891" i="4"/>
  <c r="L893" i="4" s="1"/>
  <c r="Y64" i="10"/>
  <c r="Y94" i="10" s="1"/>
  <c r="X45" i="11" s="1"/>
  <c r="Y45" i="11" s="1"/>
  <c r="W94" i="10"/>
  <c r="I818" i="34"/>
  <c r="I262" i="3" s="1"/>
  <c r="G451" i="34"/>
  <c r="G143" i="34"/>
  <c r="G158" i="34" s="1"/>
  <c r="G161" i="34" s="1"/>
  <c r="G163" i="34" s="1"/>
  <c r="O7" i="16"/>
  <c r="L328" i="34"/>
  <c r="L557" i="34"/>
  <c r="N571" i="34"/>
  <c r="N342" i="34"/>
  <c r="J576" i="8"/>
  <c r="J83" i="8"/>
  <c r="O1129" i="7"/>
  <c r="O212" i="7"/>
  <c r="Q199" i="7"/>
  <c r="Q20" i="7"/>
  <c r="AY58" i="42"/>
  <c r="F59" i="42"/>
  <c r="P201" i="7"/>
  <c r="P1144" i="7"/>
  <c r="R14" i="8"/>
  <c r="R583" i="8"/>
  <c r="H72" i="15"/>
  <c r="P1971" i="6"/>
  <c r="AE250" i="10"/>
  <c r="AD155" i="11" s="1"/>
  <c r="O685" i="6"/>
  <c r="O689" i="6" s="1"/>
  <c r="O1976" i="6"/>
  <c r="M257" i="10"/>
  <c r="L159" i="11" s="1"/>
  <c r="J2043" i="6"/>
  <c r="R950" i="7"/>
  <c r="R681" i="6"/>
  <c r="R2083" i="6"/>
  <c r="P31" i="7"/>
  <c r="AH131" i="10"/>
  <c r="AG57" i="11" s="1"/>
  <c r="AH57" i="11" s="1"/>
  <c r="AI57" i="11" s="1"/>
  <c r="Q1007" i="7"/>
  <c r="J92" i="8"/>
  <c r="J347" i="8"/>
  <c r="K953" i="7"/>
  <c r="I195" i="3" s="1"/>
  <c r="J51" i="6"/>
  <c r="G26" i="13"/>
  <c r="N242" i="15"/>
  <c r="AQ18" i="42"/>
  <c r="N101" i="16"/>
  <c r="R48" i="6"/>
  <c r="AP24" i="42"/>
  <c r="M83" i="15"/>
  <c r="M87" i="15" s="1"/>
  <c r="M325" i="34" s="1"/>
  <c r="R197" i="7"/>
  <c r="P139" i="3"/>
  <c r="AF250" i="10"/>
  <c r="Q1971" i="6" s="1"/>
  <c r="G655" i="34"/>
  <c r="G658" i="34" s="1"/>
  <c r="G665" i="34" s="1"/>
  <c r="G668" i="34" s="1"/>
  <c r="G314" i="34"/>
  <c r="G315" i="34" s="1"/>
  <c r="G317" i="34" s="1"/>
  <c r="G541" i="34"/>
  <c r="G546" i="34" s="1"/>
  <c r="G547" i="34" s="1"/>
  <c r="G252" i="34" s="1"/>
  <c r="R1006" i="7"/>
  <c r="P60" i="34"/>
  <c r="P18" i="34" s="1"/>
  <c r="P16" i="34"/>
  <c r="Z12" i="11"/>
  <c r="Y21" i="11"/>
  <c r="O47" i="11"/>
  <c r="O62" i="11" s="1"/>
  <c r="P46" i="11"/>
  <c r="K373" i="7"/>
  <c r="K1131" i="7"/>
  <c r="K1134" i="7" s="1"/>
  <c r="K1151" i="7" s="1"/>
  <c r="K1159" i="7" s="1"/>
  <c r="K37" i="7"/>
  <c r="H8" i="13"/>
  <c r="P135" i="10"/>
  <c r="S65" i="27" l="1"/>
  <c r="S199" i="7"/>
  <c r="S201" i="7" s="1"/>
  <c r="Q138" i="3"/>
  <c r="Q139" i="3" s="1"/>
  <c r="S1007" i="7"/>
  <c r="AM135" i="10"/>
  <c r="AM261" i="10" s="1"/>
  <c r="Q49" i="3" s="1"/>
  <c r="N216" i="14"/>
  <c r="N145" i="14" s="1"/>
  <c r="S31" i="7"/>
  <c r="Q7" i="16"/>
  <c r="S17" i="8"/>
  <c r="N196" i="14"/>
  <c r="N198" i="14"/>
  <c r="N155" i="14"/>
  <c r="O342" i="6"/>
  <c r="O26" i="6"/>
  <c r="Y39" i="14"/>
  <c r="O1149" i="6" s="1"/>
  <c r="O349" i="6" s="1"/>
  <c r="O61" i="6" s="1"/>
  <c r="M23" i="3" s="1"/>
  <c r="AA91" i="10"/>
  <c r="AL250" i="10"/>
  <c r="S1971" i="6" s="1"/>
  <c r="S685" i="6" s="1"/>
  <c r="S689" i="6" s="1"/>
  <c r="S1144" i="7"/>
  <c r="Q41" i="6"/>
  <c r="Q1083" i="6"/>
  <c r="Q280" i="6"/>
  <c r="Q2076" i="6"/>
  <c r="M157" i="34"/>
  <c r="Q685" i="6"/>
  <c r="Q689" i="6" s="1"/>
  <c r="Q1976" i="6"/>
  <c r="R63" i="20"/>
  <c r="R99" i="20"/>
  <c r="AG12" i="20"/>
  <c r="AG16" i="20" s="1"/>
  <c r="N564" i="34"/>
  <c r="N566" i="34" s="1"/>
  <c r="N506" i="34"/>
  <c r="Q381" i="8"/>
  <c r="N454" i="34"/>
  <c r="O40" i="17"/>
  <c r="Q155" i="8"/>
  <c r="O178" i="3"/>
  <c r="O179" i="3" s="1"/>
  <c r="BG19" i="42"/>
  <c r="Q145" i="8"/>
  <c r="M459" i="34"/>
  <c r="M460" i="34" s="1"/>
  <c r="M412" i="34"/>
  <c r="N80" i="3"/>
  <c r="O155" i="22"/>
  <c r="O158" i="22" s="1"/>
  <c r="N89" i="3" s="1"/>
  <c r="N44" i="17"/>
  <c r="J81" i="13"/>
  <c r="M899" i="4"/>
  <c r="M904" i="4" s="1"/>
  <c r="K24" i="3"/>
  <c r="K480" i="34"/>
  <c r="K534" i="34" s="1"/>
  <c r="K518" i="34" s="1"/>
  <c r="K155" i="3"/>
  <c r="U69" i="14"/>
  <c r="U73" i="14" s="1"/>
  <c r="U76" i="14" s="1"/>
  <c r="W72" i="14" s="1"/>
  <c r="M776" i="4"/>
  <c r="M149" i="14"/>
  <c r="Q94" i="14"/>
  <c r="Q92" i="14"/>
  <c r="G22" i="60"/>
  <c r="H22" i="60" s="1"/>
  <c r="J2060" i="6"/>
  <c r="J2066" i="6" s="1"/>
  <c r="J2088" i="6" s="1"/>
  <c r="J2094" i="6" s="1"/>
  <c r="F325" i="15"/>
  <c r="M431" i="7"/>
  <c r="M436" i="7" s="1"/>
  <c r="M1120" i="7"/>
  <c r="K197" i="3" s="1"/>
  <c r="M128" i="14"/>
  <c r="M213" i="14" s="1"/>
  <c r="N24" i="7"/>
  <c r="N422" i="7"/>
  <c r="N438" i="7"/>
  <c r="G296" i="34"/>
  <c r="G297" i="34" s="1"/>
  <c r="G299" i="34" s="1"/>
  <c r="G170" i="34" s="1"/>
  <c r="G171" i="34" s="1"/>
  <c r="R1007" i="7"/>
  <c r="AT131" i="10"/>
  <c r="R652" i="7"/>
  <c r="G238" i="3"/>
  <c r="I120" i="3"/>
  <c r="AE155" i="11"/>
  <c r="AF155" i="11" s="1"/>
  <c r="F171" i="15"/>
  <c r="F226" i="15"/>
  <c r="G637" i="34"/>
  <c r="G639" i="34" s="1"/>
  <c r="G262" i="34" s="1"/>
  <c r="G51" i="34"/>
  <c r="G6" i="34"/>
  <c r="M209" i="14"/>
  <c r="O124" i="14"/>
  <c r="P275" i="15"/>
  <c r="P280" i="15" s="1"/>
  <c r="S195" i="8" s="1"/>
  <c r="Q275" i="15" s="1"/>
  <c r="Q280" i="15" s="1"/>
  <c r="Q439" i="34" s="1"/>
  <c r="P45" i="16"/>
  <c r="P120" i="16" s="1"/>
  <c r="V37" i="37"/>
  <c r="V60" i="37" s="1"/>
  <c r="V100" i="37" s="1"/>
  <c r="O181" i="3" s="1"/>
  <c r="V113" i="37"/>
  <c r="V117" i="37" s="1"/>
  <c r="N138" i="14"/>
  <c r="J19" i="42"/>
  <c r="K481" i="34"/>
  <c r="K51" i="15"/>
  <c r="Y79" i="42"/>
  <c r="L43" i="60" s="1"/>
  <c r="M20" i="4"/>
  <c r="M245" i="4"/>
  <c r="I38" i="13"/>
  <c r="I41" i="13" s="1"/>
  <c r="I45" i="13"/>
  <c r="M133" i="14"/>
  <c r="I828" i="34"/>
  <c r="Z45" i="11"/>
  <c r="O858" i="7"/>
  <c r="G251" i="3"/>
  <c r="G531" i="34"/>
  <c r="G250" i="34" s="1"/>
  <c r="N83" i="15"/>
  <c r="N87" i="15" s="1"/>
  <c r="N325" i="34" s="1"/>
  <c r="AQ24" i="42"/>
  <c r="P685" i="6"/>
  <c r="P689" i="6" s="1"/>
  <c r="P1976" i="6"/>
  <c r="P7" i="16"/>
  <c r="H6" i="16"/>
  <c r="J7" i="8"/>
  <c r="AH250" i="10"/>
  <c r="AG155" i="11" s="1"/>
  <c r="J110" i="8"/>
  <c r="F330" i="15"/>
  <c r="G677" i="34"/>
  <c r="G282" i="34" s="1"/>
  <c r="G453" i="34"/>
  <c r="G457" i="34" s="1"/>
  <c r="G462" i="34" s="1"/>
  <c r="G276" i="34" s="1"/>
  <c r="Q1011" i="7"/>
  <c r="J741" i="6"/>
  <c r="J2047" i="6"/>
  <c r="M241" i="10"/>
  <c r="J1650" i="6"/>
  <c r="K259" i="10"/>
  <c r="K261" i="10" s="1"/>
  <c r="H41" i="3" s="1"/>
  <c r="O101" i="16"/>
  <c r="AR18" i="42"/>
  <c r="O242" i="15"/>
  <c r="AK131" i="10"/>
  <c r="G830" i="34"/>
  <c r="G791" i="34"/>
  <c r="G806" i="34" s="1"/>
  <c r="G173" i="34"/>
  <c r="G174" i="34" s="1"/>
  <c r="G820" i="34" s="1"/>
  <c r="G264" i="3" s="1"/>
  <c r="R20" i="7"/>
  <c r="R199" i="7"/>
  <c r="G44" i="13"/>
  <c r="G28" i="13"/>
  <c r="G33" i="13" s="1"/>
  <c r="AI250" i="10"/>
  <c r="AS250" i="10" s="1"/>
  <c r="R2063" i="6"/>
  <c r="L167" i="11"/>
  <c r="G87" i="13" s="1"/>
  <c r="M159" i="11"/>
  <c r="P212" i="7"/>
  <c r="P1129" i="7"/>
  <c r="Q31" i="7"/>
  <c r="H669" i="34"/>
  <c r="G669" i="34"/>
  <c r="I669" i="34"/>
  <c r="G221" i="34"/>
  <c r="M557" i="34"/>
  <c r="M328" i="34"/>
  <c r="J56" i="6"/>
  <c r="H15" i="3"/>
  <c r="AJ135" i="10"/>
  <c r="AT135" i="10" s="1"/>
  <c r="AY62" i="42"/>
  <c r="F58" i="42"/>
  <c r="F62" i="42" s="1"/>
  <c r="G212" i="3" s="1"/>
  <c r="Q201" i="7"/>
  <c r="Q1144" i="7"/>
  <c r="J86" i="8"/>
  <c r="J558" i="8"/>
  <c r="AB12" i="11"/>
  <c r="Z21" i="11"/>
  <c r="L859" i="7"/>
  <c r="Q46" i="11"/>
  <c r="P47" i="11"/>
  <c r="H10" i="13"/>
  <c r="H15" i="13" s="1"/>
  <c r="I13" i="3"/>
  <c r="K43" i="7"/>
  <c r="K54" i="7" s="1"/>
  <c r="S1011" i="7" l="1"/>
  <c r="Q101" i="16"/>
  <c r="Q242" i="15"/>
  <c r="AT18" i="42"/>
  <c r="AA94" i="10"/>
  <c r="O950" i="7" s="1"/>
  <c r="O369" i="7" s="1"/>
  <c r="O50" i="7" s="1"/>
  <c r="M45" i="3" s="1"/>
  <c r="O1151" i="6"/>
  <c r="AB91" i="10"/>
  <c r="O2077" i="6"/>
  <c r="O344" i="6"/>
  <c r="O42" i="6"/>
  <c r="O35" i="6"/>
  <c r="L27" i="13" s="1"/>
  <c r="O93" i="14"/>
  <c r="O91" i="14"/>
  <c r="O144" i="14" s="1"/>
  <c r="AB18" i="14" s="1"/>
  <c r="P744" i="4" s="1"/>
  <c r="AN250" i="10"/>
  <c r="S212" i="7"/>
  <c r="S1129" i="7"/>
  <c r="Q45" i="16"/>
  <c r="Q120" i="16" s="1"/>
  <c r="Q291" i="6"/>
  <c r="Q2056" i="6"/>
  <c r="P439" i="34"/>
  <c r="Q15" i="8"/>
  <c r="Q584" i="8"/>
  <c r="Q586" i="8" s="1"/>
  <c r="BG50" i="42"/>
  <c r="O112" i="17"/>
  <c r="O113" i="17" s="1"/>
  <c r="O68" i="17"/>
  <c r="O324" i="15" s="1"/>
  <c r="O329" i="15" s="1"/>
  <c r="O310" i="15"/>
  <c r="N148" i="34" s="1"/>
  <c r="O174" i="3"/>
  <c r="O175" i="3" s="1"/>
  <c r="O33" i="3"/>
  <c r="O505" i="34"/>
  <c r="O565" i="34" s="1"/>
  <c r="O573" i="34" s="1"/>
  <c r="O113" i="15"/>
  <c r="R519" i="8"/>
  <c r="P177" i="3"/>
  <c r="O45" i="17"/>
  <c r="N118" i="17"/>
  <c r="N81" i="3"/>
  <c r="N82" i="3" s="1"/>
  <c r="Q28" i="8"/>
  <c r="O32" i="3"/>
  <c r="AF12" i="20"/>
  <c r="R98" i="20"/>
  <c r="R65" i="20"/>
  <c r="K207" i="15"/>
  <c r="K156" i="3"/>
  <c r="K157" i="3" s="1"/>
  <c r="K25" i="3"/>
  <c r="K26" i="3" s="1"/>
  <c r="J134" i="13"/>
  <c r="J135" i="13" s="1"/>
  <c r="Y50" i="42"/>
  <c r="M148" i="14"/>
  <c r="X21" i="14"/>
  <c r="Q159" i="14"/>
  <c r="N35" i="7"/>
  <c r="N26" i="7"/>
  <c r="K9" i="13" s="1"/>
  <c r="N425" i="7"/>
  <c r="N1147" i="7"/>
  <c r="O123" i="14"/>
  <c r="O212" i="14" s="1"/>
  <c r="G247" i="3"/>
  <c r="R369" i="7"/>
  <c r="R1011" i="7"/>
  <c r="AJ57" i="11"/>
  <c r="AK57" i="11" s="1"/>
  <c r="AL57" i="11" s="1"/>
  <c r="AN57" i="11" s="1"/>
  <c r="AU131" i="10"/>
  <c r="AJ261" i="10"/>
  <c r="R661" i="7"/>
  <c r="AH155" i="11"/>
  <c r="AI155" i="11" s="1"/>
  <c r="G631" i="34"/>
  <c r="G10" i="34"/>
  <c r="G61" i="34"/>
  <c r="G76" i="34" s="1"/>
  <c r="G79" i="34" s="1"/>
  <c r="G81" i="34" s="1"/>
  <c r="G420" i="34"/>
  <c r="G424" i="34" s="1"/>
  <c r="G432" i="34" s="1"/>
  <c r="G272" i="34" s="1"/>
  <c r="G798" i="34" s="1"/>
  <c r="M189" i="14"/>
  <c r="N84" i="14" s="1"/>
  <c r="M193" i="14"/>
  <c r="M130" i="14"/>
  <c r="N215" i="14"/>
  <c r="M30" i="4"/>
  <c r="M23" i="4"/>
  <c r="X18" i="42"/>
  <c r="J188" i="15"/>
  <c r="I117" i="13"/>
  <c r="K20" i="15"/>
  <c r="K535" i="34"/>
  <c r="K482" i="34"/>
  <c r="M214" i="14"/>
  <c r="M864" i="4"/>
  <c r="M867" i="4" s="1"/>
  <c r="M247" i="4"/>
  <c r="J79" i="42"/>
  <c r="L17" i="60" s="1"/>
  <c r="K469" i="34"/>
  <c r="Z64" i="10"/>
  <c r="O325" i="7"/>
  <c r="J548" i="8"/>
  <c r="J97" i="8"/>
  <c r="H127" i="3" s="1"/>
  <c r="Q212" i="7"/>
  <c r="Q1129" i="7"/>
  <c r="G818" i="34"/>
  <c r="G796" i="34"/>
  <c r="G805" i="34" s="1"/>
  <c r="R31" i="7"/>
  <c r="AK250" i="10"/>
  <c r="R1971" i="6"/>
  <c r="J518" i="6"/>
  <c r="J1655" i="6"/>
  <c r="P242" i="15"/>
  <c r="AS18" i="42"/>
  <c r="P101" i="16"/>
  <c r="G55" i="58"/>
  <c r="G56" i="58" s="1"/>
  <c r="N159" i="11"/>
  <c r="N167" i="11" s="1"/>
  <c r="K1992" i="6"/>
  <c r="M167" i="11"/>
  <c r="H421" i="34" s="1"/>
  <c r="O83" i="15"/>
  <c r="O87" i="15" s="1"/>
  <c r="O325" i="34" s="1"/>
  <c r="AR24" i="42"/>
  <c r="L146" i="11"/>
  <c r="M259" i="10"/>
  <c r="M261" i="10" s="1"/>
  <c r="F175" i="15"/>
  <c r="G406" i="34"/>
  <c r="H100" i="16"/>
  <c r="H102" i="16" s="1"/>
  <c r="H104" i="16" s="1"/>
  <c r="H106" i="16" s="1"/>
  <c r="H241" i="15"/>
  <c r="H243" i="15" s="1"/>
  <c r="H248" i="15" s="1"/>
  <c r="H271" i="15" s="1"/>
  <c r="H8" i="16"/>
  <c r="AK10" i="42"/>
  <c r="H106" i="3"/>
  <c r="H224" i="15"/>
  <c r="H230" i="15" s="1"/>
  <c r="V58" i="42"/>
  <c r="G140" i="13"/>
  <c r="H187" i="15"/>
  <c r="G46" i="13"/>
  <c r="G52" i="13" s="1"/>
  <c r="V10" i="42"/>
  <c r="G116" i="13"/>
  <c r="G118" i="13" s="1"/>
  <c r="G120" i="13" s="1"/>
  <c r="G126" i="13" s="1"/>
  <c r="G138" i="13" s="1"/>
  <c r="R1144" i="7"/>
  <c r="R201" i="7"/>
  <c r="H101" i="3"/>
  <c r="J746" i="6"/>
  <c r="J392" i="8"/>
  <c r="J528" i="8" s="1"/>
  <c r="J532" i="8" s="1"/>
  <c r="N557" i="34"/>
  <c r="N328" i="34"/>
  <c r="AC12" i="11"/>
  <c r="AB21" i="11"/>
  <c r="Q97" i="10"/>
  <c r="L326" i="7"/>
  <c r="L331" i="7" s="1"/>
  <c r="L864" i="7"/>
  <c r="L941" i="7" s="1"/>
  <c r="L945" i="7" s="1"/>
  <c r="Q47" i="11"/>
  <c r="AA135" i="10" l="1"/>
  <c r="AA261" i="10" s="1"/>
  <c r="M49" i="3" s="1"/>
  <c r="AT24" i="42"/>
  <c r="Q83" i="15"/>
  <c r="Q87" i="15" s="1"/>
  <c r="Q325" i="34" s="1"/>
  <c r="O154" i="14"/>
  <c r="AB37" i="14" s="1"/>
  <c r="AB39" i="14" s="1"/>
  <c r="P1136" i="6" s="1"/>
  <c r="O2057" i="6"/>
  <c r="O351" i="6"/>
  <c r="O63" i="6" s="1"/>
  <c r="M47" i="3" s="1"/>
  <c r="M54" i="3" s="1"/>
  <c r="O1154" i="6"/>
  <c r="O143" i="14"/>
  <c r="Q32" i="3"/>
  <c r="Q34" i="3" s="1"/>
  <c r="AM155" i="11"/>
  <c r="AT261" i="10"/>
  <c r="O34" i="3"/>
  <c r="Q112" i="17"/>
  <c r="Q113" i="17" s="1"/>
  <c r="Q68" i="17"/>
  <c r="AF50" i="14"/>
  <c r="AF51" i="14" s="1"/>
  <c r="R1063" i="6" s="1"/>
  <c r="Q158" i="14"/>
  <c r="S1976" i="6"/>
  <c r="P202" i="3"/>
  <c r="P173" i="3"/>
  <c r="AF16" i="20"/>
  <c r="AJ12" i="20"/>
  <c r="AJ16" i="20" s="1"/>
  <c r="R138" i="8"/>
  <c r="R526" i="8"/>
  <c r="O504" i="34"/>
  <c r="BG52" i="42"/>
  <c r="BG54" i="42" s="1"/>
  <c r="O454" i="34"/>
  <c r="R381" i="8"/>
  <c r="P45" i="17" s="1"/>
  <c r="N154" i="34"/>
  <c r="N150" i="34"/>
  <c r="R102" i="20"/>
  <c r="R100" i="20"/>
  <c r="O70" i="17"/>
  <c r="P154" i="22"/>
  <c r="O7" i="17"/>
  <c r="Q17" i="8"/>
  <c r="X66" i="14"/>
  <c r="N759" i="4"/>
  <c r="J50" i="42"/>
  <c r="K468" i="34" s="1"/>
  <c r="K470" i="34" s="1"/>
  <c r="Y52" i="42"/>
  <c r="J66" i="34"/>
  <c r="K152" i="15"/>
  <c r="W21" i="14"/>
  <c r="N771" i="4" s="1"/>
  <c r="N252" i="4" s="1"/>
  <c r="N40" i="4" s="1"/>
  <c r="M217" i="14"/>
  <c r="M221" i="14" s="1"/>
  <c r="W133" i="10"/>
  <c r="N1132" i="7"/>
  <c r="R50" i="7"/>
  <c r="AJ155" i="11"/>
  <c r="AK155" i="11" s="1"/>
  <c r="AL155" i="11" s="1"/>
  <c r="AU250" i="10"/>
  <c r="P49" i="3"/>
  <c r="G19" i="34"/>
  <c r="G34" i="34" s="1"/>
  <c r="G37" i="34" s="1"/>
  <c r="G39" i="34" s="1"/>
  <c r="G246" i="3" s="1"/>
  <c r="G405" i="34"/>
  <c r="G409" i="34" s="1"/>
  <c r="G416" i="34" s="1"/>
  <c r="G270" i="34" s="1"/>
  <c r="G633" i="34"/>
  <c r="G260" i="34" s="1"/>
  <c r="G253" i="3"/>
  <c r="N88" i="14"/>
  <c r="M110" i="14"/>
  <c r="N109" i="14" s="1"/>
  <c r="Z62" i="14" s="1"/>
  <c r="Z63" i="14" s="1"/>
  <c r="O1103" i="7" s="1"/>
  <c r="O125" i="14"/>
  <c r="O192" i="14"/>
  <c r="P87" i="14" s="1"/>
  <c r="N140" i="14"/>
  <c r="N195" i="14"/>
  <c r="O90" i="14" s="1"/>
  <c r="M194" i="14"/>
  <c r="M135" i="14"/>
  <c r="K544" i="34"/>
  <c r="K519" i="34"/>
  <c r="K536" i="34"/>
  <c r="I18" i="42"/>
  <c r="J52" i="15"/>
  <c r="X24" i="42"/>
  <c r="X78" i="42"/>
  <c r="M887" i="4"/>
  <c r="M889" i="4" s="1"/>
  <c r="M33" i="4"/>
  <c r="M852" i="4"/>
  <c r="M855" i="4" s="1"/>
  <c r="M869" i="4" s="1"/>
  <c r="M873" i="4" s="1"/>
  <c r="M258" i="4"/>
  <c r="J133" i="15"/>
  <c r="J809" i="34"/>
  <c r="H107" i="3"/>
  <c r="Z94" i="10"/>
  <c r="AB64" i="10"/>
  <c r="AB94" i="10" s="1"/>
  <c r="AA45" i="11" s="1"/>
  <c r="AB45" i="11" s="1"/>
  <c r="V73" i="42"/>
  <c r="H42" i="15"/>
  <c r="V14" i="42"/>
  <c r="V26" i="42" s="1"/>
  <c r="H13" i="16"/>
  <c r="H20" i="16" s="1"/>
  <c r="H47" i="16" s="1"/>
  <c r="H118" i="16"/>
  <c r="AZ9" i="42"/>
  <c r="J113" i="8"/>
  <c r="H808" i="34"/>
  <c r="H810" i="34" s="1"/>
  <c r="H189" i="15"/>
  <c r="H195" i="15" s="1"/>
  <c r="H220" i="15" s="1"/>
  <c r="H47" i="34" s="1"/>
  <c r="M146" i="11"/>
  <c r="L161" i="11"/>
  <c r="L163" i="11" s="1"/>
  <c r="H220" i="3" s="1"/>
  <c r="K701" i="6"/>
  <c r="K704" i="6" s="1"/>
  <c r="H10" i="58"/>
  <c r="H11" i="58" s="1"/>
  <c r="H13" i="58" s="1"/>
  <c r="K1996" i="6"/>
  <c r="K2036" i="6" s="1"/>
  <c r="K2038" i="6" s="1"/>
  <c r="R1976" i="6"/>
  <c r="R685" i="6"/>
  <c r="R689" i="6" s="1"/>
  <c r="O557" i="34"/>
  <c r="O328" i="34"/>
  <c r="H73" i="15"/>
  <c r="H78" i="15" s="1"/>
  <c r="AK14" i="42"/>
  <c r="AK26" i="42" s="1"/>
  <c r="J62" i="6"/>
  <c r="J523" i="6"/>
  <c r="H122" i="3" s="1"/>
  <c r="H124" i="3" s="1"/>
  <c r="P83" i="15"/>
  <c r="P87" i="15" s="1"/>
  <c r="P325" i="34" s="1"/>
  <c r="AS24" i="42"/>
  <c r="J537" i="8"/>
  <c r="J156" i="8" s="1"/>
  <c r="J29" i="8" s="1"/>
  <c r="J538" i="8"/>
  <c r="J157" i="8" s="1"/>
  <c r="J30" i="8" s="1"/>
  <c r="R1129" i="7"/>
  <c r="R212" i="7"/>
  <c r="G59" i="13"/>
  <c r="G83" i="13" s="1"/>
  <c r="H17" i="3"/>
  <c r="H18" i="3" s="1"/>
  <c r="K264" i="10"/>
  <c r="G86" i="13"/>
  <c r="G262" i="3"/>
  <c r="H262" i="3"/>
  <c r="G828" i="34"/>
  <c r="AE12" i="11"/>
  <c r="AC21" i="11"/>
  <c r="L12" i="7"/>
  <c r="L359" i="7"/>
  <c r="Q116" i="10"/>
  <c r="L949" i="7" s="1"/>
  <c r="L368" i="7" s="1"/>
  <c r="L49" i="7" s="1"/>
  <c r="J37" i="3" s="1"/>
  <c r="S97" i="10"/>
  <c r="O355" i="6" l="1"/>
  <c r="R267" i="6"/>
  <c r="R274" i="6" s="1"/>
  <c r="R1070" i="6"/>
  <c r="R1071" i="6" s="1"/>
  <c r="R1075" i="6" s="1"/>
  <c r="Q328" i="34"/>
  <c r="Q557" i="34"/>
  <c r="M50" i="3"/>
  <c r="AN155" i="11"/>
  <c r="O153" i="14"/>
  <c r="AA18" i="14"/>
  <c r="O216" i="14"/>
  <c r="P1141" i="6"/>
  <c r="P1143" i="6" s="1"/>
  <c r="P1145" i="6" s="1"/>
  <c r="P333" i="6"/>
  <c r="P340" i="6" s="1"/>
  <c r="R154" i="22"/>
  <c r="Q70" i="17"/>
  <c r="P150" i="34"/>
  <c r="Q219" i="14"/>
  <c r="AE50" i="14"/>
  <c r="W11" i="37" s="1"/>
  <c r="N156" i="34"/>
  <c r="N157" i="34" s="1"/>
  <c r="N412" i="34"/>
  <c r="N459" i="34"/>
  <c r="N460" i="34" s="1"/>
  <c r="P155" i="22"/>
  <c r="P158" i="22" s="1"/>
  <c r="O89" i="3" s="1"/>
  <c r="O44" i="17"/>
  <c r="O118" i="17" s="1"/>
  <c r="O506" i="34"/>
  <c r="O564" i="34"/>
  <c r="O566" i="34" s="1"/>
  <c r="R536" i="8"/>
  <c r="P40" i="17" s="1"/>
  <c r="AF21" i="20"/>
  <c r="AF23" i="20" s="1"/>
  <c r="BG18" i="42"/>
  <c r="O99" i="17"/>
  <c r="O291" i="15"/>
  <c r="P178" i="3"/>
  <c r="P179" i="3" s="1"/>
  <c r="BH19" i="42"/>
  <c r="R145" i="8"/>
  <c r="W66" i="14"/>
  <c r="L480" i="34" s="1"/>
  <c r="J24" i="34"/>
  <c r="J26" i="34" s="1"/>
  <c r="J411" i="34" s="1"/>
  <c r="J414" i="34" s="1"/>
  <c r="J72" i="34"/>
  <c r="J68" i="34"/>
  <c r="J426" i="34" s="1"/>
  <c r="J430" i="34" s="1"/>
  <c r="N238" i="4"/>
  <c r="N763" i="4"/>
  <c r="N765" i="4" s="1"/>
  <c r="N767" i="4" s="1"/>
  <c r="N776" i="4" s="1"/>
  <c r="L160" i="3"/>
  <c r="J52" i="42"/>
  <c r="Y54" i="42"/>
  <c r="J54" i="42" s="1"/>
  <c r="L159" i="3"/>
  <c r="X69" i="14"/>
  <c r="M150" i="14"/>
  <c r="M197" i="14"/>
  <c r="M201" i="14" s="1"/>
  <c r="V74" i="42"/>
  <c r="V84" i="42" s="1"/>
  <c r="V89" i="42" s="1"/>
  <c r="I37" i="60"/>
  <c r="X82" i="42"/>
  <c r="X88" i="42" s="1"/>
  <c r="K42" i="60"/>
  <c r="O414" i="7"/>
  <c r="O420" i="7" s="1"/>
  <c r="O1107" i="7"/>
  <c r="O1109" i="7" s="1"/>
  <c r="O1112" i="7" s="1"/>
  <c r="N1116" i="7"/>
  <c r="Y133" i="10"/>
  <c r="X60" i="11" s="1"/>
  <c r="Y60" i="11" s="1"/>
  <c r="Z60" i="11" s="1"/>
  <c r="P45" i="3"/>
  <c r="P50" i="3" s="1"/>
  <c r="N108" i="14"/>
  <c r="Y62" i="14" s="1"/>
  <c r="Y63" i="14" s="1"/>
  <c r="O1115" i="7" s="1"/>
  <c r="O430" i="7" s="1"/>
  <c r="O48" i="7" s="1"/>
  <c r="M21" i="3" s="1"/>
  <c r="P124" i="14"/>
  <c r="N129" i="14"/>
  <c r="O231" i="4" s="1"/>
  <c r="O139" i="14"/>
  <c r="AE51" i="14"/>
  <c r="R1078" i="6" s="1"/>
  <c r="R285" i="6" s="1"/>
  <c r="R61" i="6" s="1"/>
  <c r="P23" i="3" s="1"/>
  <c r="Q160" i="14"/>
  <c r="R276" i="6"/>
  <c r="R25" i="6"/>
  <c r="K528" i="34"/>
  <c r="K520" i="34"/>
  <c r="N899" i="4"/>
  <c r="N904" i="4" s="1"/>
  <c r="K81" i="13"/>
  <c r="L24" i="3"/>
  <c r="J56" i="15"/>
  <c r="J310" i="34" s="1"/>
  <c r="J21" i="15"/>
  <c r="J25" i="15" s="1"/>
  <c r="J293" i="34" s="1"/>
  <c r="N89" i="14"/>
  <c r="M35" i="4"/>
  <c r="M46" i="4" s="1"/>
  <c r="K123" i="3" s="1"/>
  <c r="K16" i="3"/>
  <c r="I24" i="42"/>
  <c r="I78" i="42"/>
  <c r="J37" i="13"/>
  <c r="M891" i="4"/>
  <c r="M893" i="4" s="1"/>
  <c r="AC45" i="11"/>
  <c r="P858" i="7"/>
  <c r="G88" i="13"/>
  <c r="H279" i="3" s="1"/>
  <c r="J67" i="6"/>
  <c r="H39" i="3"/>
  <c r="H320" i="34"/>
  <c r="H89" i="15"/>
  <c r="H91" i="15"/>
  <c r="H240" i="3" s="1"/>
  <c r="H51" i="58"/>
  <c r="H36" i="58"/>
  <c r="H38" i="58" s="1"/>
  <c r="H43" i="58" s="1"/>
  <c r="H54" i="58" s="1"/>
  <c r="V36" i="42"/>
  <c r="V56" i="42" s="1"/>
  <c r="G90" i="42"/>
  <c r="K1599" i="6"/>
  <c r="N146" i="11"/>
  <c r="N161" i="11" s="1"/>
  <c r="M161" i="11"/>
  <c r="AZ10" i="42"/>
  <c r="AZ14" i="42" s="1"/>
  <c r="AZ26" i="42" s="1"/>
  <c r="J577" i="8"/>
  <c r="J8" i="8" s="1"/>
  <c r="J147" i="8"/>
  <c r="H47" i="15"/>
  <c r="H223" i="15"/>
  <c r="V59" i="42"/>
  <c r="G139" i="13"/>
  <c r="H55" i="3"/>
  <c r="H103" i="15"/>
  <c r="H10" i="15" s="1"/>
  <c r="G9" i="42"/>
  <c r="J541" i="8"/>
  <c r="P328" i="34"/>
  <c r="P557" i="34"/>
  <c r="AK36" i="42"/>
  <c r="AK56" i="42" s="1"/>
  <c r="G88" i="42"/>
  <c r="K17" i="6"/>
  <c r="K49" i="6" s="1"/>
  <c r="K733" i="6"/>
  <c r="H83" i="16"/>
  <c r="H85" i="16" s="1"/>
  <c r="H89" i="34"/>
  <c r="H274" i="15"/>
  <c r="H51" i="16"/>
  <c r="AF12" i="11"/>
  <c r="AE21" i="11"/>
  <c r="L953" i="7"/>
  <c r="J195" i="3" s="1"/>
  <c r="H637" i="34"/>
  <c r="H639" i="34" s="1"/>
  <c r="H262" i="34" s="1"/>
  <c r="H51" i="34"/>
  <c r="L15" i="7"/>
  <c r="L34" i="7"/>
  <c r="L363" i="7"/>
  <c r="L1146" i="7"/>
  <c r="L1149" i="7" s="1"/>
  <c r="Q135" i="10"/>
  <c r="S116" i="10"/>
  <c r="R46" i="11" s="1"/>
  <c r="S46" i="11" s="1"/>
  <c r="O145" i="14" l="1"/>
  <c r="O196" i="14"/>
  <c r="Q199" i="14"/>
  <c r="R92" i="14" s="1"/>
  <c r="P26" i="6"/>
  <c r="P342" i="6"/>
  <c r="AA37" i="14"/>
  <c r="O218" i="14"/>
  <c r="P203" i="3"/>
  <c r="AH20" i="20"/>
  <c r="AH23" i="20" s="1"/>
  <c r="Q44" i="17"/>
  <c r="P81" i="3" s="1"/>
  <c r="P80" i="3"/>
  <c r="R155" i="22"/>
  <c r="R158" i="22" s="1"/>
  <c r="Q89" i="3" s="1"/>
  <c r="R94" i="14"/>
  <c r="R15" i="8"/>
  <c r="R584" i="8"/>
  <c r="R586" i="8" s="1"/>
  <c r="P412" i="34"/>
  <c r="P459" i="34"/>
  <c r="P460" i="34" s="1"/>
  <c r="P113" i="15"/>
  <c r="P505" i="34"/>
  <c r="P565" i="34" s="1"/>
  <c r="P573" i="34" s="1"/>
  <c r="BG24" i="42"/>
  <c r="O114" i="15"/>
  <c r="O118" i="15" s="1"/>
  <c r="O339" i="34" s="1"/>
  <c r="R155" i="8"/>
  <c r="V87" i="42"/>
  <c r="L161" i="3"/>
  <c r="L155" i="3"/>
  <c r="W69" i="14"/>
  <c r="W73" i="14" s="1"/>
  <c r="W76" i="14" s="1"/>
  <c r="Y72" i="14" s="1"/>
  <c r="N243" i="4"/>
  <c r="Z19" i="42"/>
  <c r="N267" i="4"/>
  <c r="J74" i="34"/>
  <c r="J75" i="34" s="1"/>
  <c r="J30" i="34"/>
  <c r="J32" i="34" s="1"/>
  <c r="J33" i="34" s="1"/>
  <c r="N149" i="14"/>
  <c r="K46" i="60"/>
  <c r="I82" i="42"/>
  <c r="K16" i="60"/>
  <c r="I38" i="60"/>
  <c r="N431" i="7"/>
  <c r="N436" i="7" s="1"/>
  <c r="N1120" i="7"/>
  <c r="L197" i="3" s="1"/>
  <c r="O422" i="7"/>
  <c r="O24" i="7"/>
  <c r="O438" i="7"/>
  <c r="N128" i="14"/>
  <c r="P54" i="3"/>
  <c r="N209" i="14"/>
  <c r="P123" i="14"/>
  <c r="R41" i="6"/>
  <c r="R35" i="6"/>
  <c r="O27" i="13" s="1"/>
  <c r="R280" i="6"/>
  <c r="R2076" i="6"/>
  <c r="W113" i="37"/>
  <c r="W117" i="37" s="1"/>
  <c r="W37" i="37"/>
  <c r="W60" i="37" s="1"/>
  <c r="W100" i="37" s="1"/>
  <c r="P181" i="3" s="1"/>
  <c r="O138" i="14"/>
  <c r="R1083" i="6"/>
  <c r="H47" i="58"/>
  <c r="J38" i="13"/>
  <c r="J41" i="13" s="1"/>
  <c r="J45" i="13"/>
  <c r="N134" i="14"/>
  <c r="N96" i="14"/>
  <c r="L207" i="15"/>
  <c r="L156" i="3"/>
  <c r="Z50" i="42"/>
  <c r="L25" i="3"/>
  <c r="L26" i="3" s="1"/>
  <c r="K134" i="13"/>
  <c r="K135" i="13" s="1"/>
  <c r="L534" i="34"/>
  <c r="J525" i="34"/>
  <c r="J296" i="34"/>
  <c r="J655" i="34"/>
  <c r="J658" i="34" s="1"/>
  <c r="J665" i="34" s="1"/>
  <c r="J668" i="34" s="1"/>
  <c r="J314" i="34"/>
  <c r="J541" i="34"/>
  <c r="G141" i="13"/>
  <c r="G144" i="13" s="1"/>
  <c r="G146" i="13" s="1"/>
  <c r="H92" i="3" s="1"/>
  <c r="V60" i="42"/>
  <c r="G60" i="42" s="1"/>
  <c r="AC64" i="10"/>
  <c r="P325" i="7"/>
  <c r="H643" i="34"/>
  <c r="H645" i="34" s="1"/>
  <c r="H264" i="34" s="1"/>
  <c r="H93" i="34"/>
  <c r="K735" i="6"/>
  <c r="K2084" i="6"/>
  <c r="G71" i="42"/>
  <c r="I9" i="60" s="1"/>
  <c r="J579" i="8"/>
  <c r="J588" i="8" s="1"/>
  <c r="K1606" i="6"/>
  <c r="K1642" i="6" s="1"/>
  <c r="K1644" i="6" s="1"/>
  <c r="W9" i="42"/>
  <c r="K481" i="6"/>
  <c r="K489" i="6" s="1"/>
  <c r="H42" i="3"/>
  <c r="H53" i="3"/>
  <c r="H56" i="3" s="1"/>
  <c r="H119" i="16"/>
  <c r="H123" i="16" s="1"/>
  <c r="H125" i="16" s="1"/>
  <c r="H93" i="3" s="1"/>
  <c r="AK59" i="42"/>
  <c r="AZ36" i="42"/>
  <c r="AZ56" i="42" s="1"/>
  <c r="G56" i="42" s="1"/>
  <c r="G89" i="42"/>
  <c r="H104" i="15"/>
  <c r="G10" i="42"/>
  <c r="G73" i="42" s="1"/>
  <c r="I11" i="60" s="1"/>
  <c r="G26" i="42"/>
  <c r="G36" i="42" s="1"/>
  <c r="H168" i="15"/>
  <c r="H225" i="15"/>
  <c r="H60" i="15"/>
  <c r="H239" i="3" s="1"/>
  <c r="H58" i="15"/>
  <c r="H303" i="34"/>
  <c r="H276" i="15"/>
  <c r="H279" i="15"/>
  <c r="J151" i="8"/>
  <c r="J559" i="8"/>
  <c r="J561" i="8" s="1"/>
  <c r="H324" i="34"/>
  <c r="H553" i="34"/>
  <c r="H560" i="34" s="1"/>
  <c r="H377" i="34"/>
  <c r="AH12" i="11"/>
  <c r="AF21" i="11"/>
  <c r="S135" i="10"/>
  <c r="H420" i="34"/>
  <c r="H424" i="34" s="1"/>
  <c r="H432" i="34" s="1"/>
  <c r="H272" i="34" s="1"/>
  <c r="H798" i="34" s="1"/>
  <c r="H61" i="34"/>
  <c r="H76" i="34" s="1"/>
  <c r="H79" i="34" s="1"/>
  <c r="H81" i="34" s="1"/>
  <c r="R47" i="11"/>
  <c r="R62" i="11" s="1"/>
  <c r="I8" i="13"/>
  <c r="L37" i="7"/>
  <c r="L373" i="7"/>
  <c r="J120" i="3" s="1"/>
  <c r="L1131" i="7"/>
  <c r="L1134" i="7" s="1"/>
  <c r="L1151" i="7" s="1"/>
  <c r="L1159" i="7" s="1"/>
  <c r="P2077" i="6" l="1"/>
  <c r="P344" i="6"/>
  <c r="P42" i="6"/>
  <c r="P35" i="6"/>
  <c r="M27" i="13" s="1"/>
  <c r="O155" i="14"/>
  <c r="O198" i="14"/>
  <c r="AD91" i="10"/>
  <c r="AA39" i="14"/>
  <c r="P1149" i="6" s="1"/>
  <c r="P82" i="3"/>
  <c r="S92" i="14"/>
  <c r="R159" i="14"/>
  <c r="AH50" i="14" s="1"/>
  <c r="S94" i="14"/>
  <c r="O571" i="34"/>
  <c r="O342" i="34"/>
  <c r="BH50" i="42"/>
  <c r="P68" i="17"/>
  <c r="P310" i="15"/>
  <c r="O148" i="34" s="1"/>
  <c r="P174" i="3"/>
  <c r="P175" i="3" s="1"/>
  <c r="P112" i="17"/>
  <c r="P113" i="17" s="1"/>
  <c r="P33" i="3"/>
  <c r="P32" i="3"/>
  <c r="R28" i="8"/>
  <c r="R17" i="8"/>
  <c r="P7" i="17"/>
  <c r="L157" i="3"/>
  <c r="L51" i="15"/>
  <c r="L20" i="15" s="1"/>
  <c r="Z79" i="42"/>
  <c r="M43" i="60" s="1"/>
  <c r="L481" i="34"/>
  <c r="K19" i="42"/>
  <c r="N20" i="4"/>
  <c r="N245" i="4"/>
  <c r="N148" i="14"/>
  <c r="Z21" i="14"/>
  <c r="O759" i="4" s="1"/>
  <c r="K20" i="60"/>
  <c r="I12" i="60"/>
  <c r="G87" i="42"/>
  <c r="I48" i="60"/>
  <c r="N213" i="14"/>
  <c r="N193" i="14" s="1"/>
  <c r="O35" i="7"/>
  <c r="O26" i="7"/>
  <c r="L9" i="13" s="1"/>
  <c r="O1147" i="7"/>
  <c r="O425" i="7"/>
  <c r="N189" i="14"/>
  <c r="O84" i="14" s="1"/>
  <c r="P212" i="14"/>
  <c r="N133" i="14"/>
  <c r="N214" i="14" s="1"/>
  <c r="R291" i="6"/>
  <c r="R2056" i="6"/>
  <c r="O215" i="14"/>
  <c r="G74" i="42"/>
  <c r="G84" i="42" s="1"/>
  <c r="J669" i="34"/>
  <c r="J221" i="34"/>
  <c r="K50" i="42"/>
  <c r="L468" i="34" s="1"/>
  <c r="Z52" i="42"/>
  <c r="Z66" i="14"/>
  <c r="M159" i="3" s="1"/>
  <c r="L518" i="34"/>
  <c r="Y18" i="42"/>
  <c r="J117" i="13"/>
  <c r="K188" i="15"/>
  <c r="L152" i="15"/>
  <c r="K66" i="34"/>
  <c r="V62" i="42"/>
  <c r="AC94" i="10"/>
  <c r="AE64" i="10"/>
  <c r="H281" i="15"/>
  <c r="H676" i="34"/>
  <c r="H281" i="34" s="1"/>
  <c r="K194" i="8"/>
  <c r="H438" i="34"/>
  <c r="H309" i="34"/>
  <c r="H364" i="34"/>
  <c r="H537" i="34"/>
  <c r="H546" i="34" s="1"/>
  <c r="H547" i="34" s="1"/>
  <c r="H252" i="34" s="1"/>
  <c r="K510" i="6"/>
  <c r="K13" i="6"/>
  <c r="H6" i="17"/>
  <c r="H290" i="15" s="1"/>
  <c r="J10" i="8"/>
  <c r="J19" i="8" s="1"/>
  <c r="J23" i="8" s="1"/>
  <c r="J34" i="8" s="1"/>
  <c r="H329" i="34"/>
  <c r="H330" i="34"/>
  <c r="H109" i="15"/>
  <c r="H11" i="15"/>
  <c r="H16" i="15" s="1"/>
  <c r="I41" i="15"/>
  <c r="W71" i="42"/>
  <c r="J35" i="60" s="1"/>
  <c r="AK58" i="42"/>
  <c r="K2064" i="6"/>
  <c r="N257" i="10"/>
  <c r="H495" i="34"/>
  <c r="H499" i="34" s="1"/>
  <c r="H500" i="34" s="1"/>
  <c r="H233" i="34" s="1"/>
  <c r="H234" i="34" s="1"/>
  <c r="H382" i="34"/>
  <c r="H385" i="34"/>
  <c r="J549" i="8"/>
  <c r="J551" i="8" s="1"/>
  <c r="J563" i="8" s="1"/>
  <c r="J568" i="8" s="1"/>
  <c r="J161" i="8"/>
  <c r="H128" i="3" s="1"/>
  <c r="H129" i="3" s="1"/>
  <c r="H170" i="15"/>
  <c r="J590" i="8"/>
  <c r="G14" i="42"/>
  <c r="H436" i="34"/>
  <c r="H102" i="34"/>
  <c r="H117" i="34" s="1"/>
  <c r="H120" i="34" s="1"/>
  <c r="H122" i="34" s="1"/>
  <c r="H226" i="15"/>
  <c r="AH21" i="11"/>
  <c r="AI12" i="11"/>
  <c r="J13" i="3"/>
  <c r="L43" i="7"/>
  <c r="L54" i="7" s="1"/>
  <c r="T46" i="11"/>
  <c r="M859" i="7"/>
  <c r="S47" i="11"/>
  <c r="I10" i="13"/>
  <c r="I15" i="13" s="1"/>
  <c r="I22" i="60" l="1"/>
  <c r="AE91" i="10"/>
  <c r="P1151" i="6"/>
  <c r="P351" i="6" s="1"/>
  <c r="P63" i="6" s="1"/>
  <c r="N47" i="3" s="1"/>
  <c r="AD94" i="10"/>
  <c r="P950" i="7" s="1"/>
  <c r="P369" i="7" s="1"/>
  <c r="P50" i="7" s="1"/>
  <c r="N45" i="3" s="1"/>
  <c r="AH51" i="14"/>
  <c r="P91" i="14"/>
  <c r="P93" i="14"/>
  <c r="P2057" i="6"/>
  <c r="AE94" i="10"/>
  <c r="AD45" i="11" s="1"/>
  <c r="AE45" i="11" s="1"/>
  <c r="AF45" i="11" s="1"/>
  <c r="P349" i="6"/>
  <c r="P61" i="6" s="1"/>
  <c r="N23" i="3" s="1"/>
  <c r="P1154" i="6"/>
  <c r="Q7" i="17"/>
  <c r="R158" i="14"/>
  <c r="AG50" i="14" s="1"/>
  <c r="S159" i="14"/>
  <c r="P34" i="3"/>
  <c r="P99" i="17"/>
  <c r="P291" i="15"/>
  <c r="BH18" i="42"/>
  <c r="P324" i="15"/>
  <c r="P329" i="15" s="1"/>
  <c r="S381" i="8" s="1"/>
  <c r="Q324" i="15" s="1"/>
  <c r="Q329" i="15" s="1"/>
  <c r="Q454" i="34" s="1"/>
  <c r="P70" i="17"/>
  <c r="Q154" i="22"/>
  <c r="P504" i="34"/>
  <c r="BH52" i="42"/>
  <c r="BH54" i="42" s="1"/>
  <c r="O150" i="34"/>
  <c r="O154" i="34"/>
  <c r="L535" i="34"/>
  <c r="L482" i="34"/>
  <c r="N247" i="4"/>
  <c r="N864" i="4"/>
  <c r="N867" i="4" s="1"/>
  <c r="N30" i="4"/>
  <c r="N23" i="4"/>
  <c r="L469" i="34"/>
  <c r="L470" i="34" s="1"/>
  <c r="K79" i="42"/>
  <c r="M17" i="60" s="1"/>
  <c r="N217" i="14"/>
  <c r="N221" i="14" s="1"/>
  <c r="Y21" i="14"/>
  <c r="O771" i="4" s="1"/>
  <c r="O252" i="4" s="1"/>
  <c r="O40" i="4" s="1"/>
  <c r="N130" i="14"/>
  <c r="Z133" i="10"/>
  <c r="O1132" i="7"/>
  <c r="O88" i="14"/>
  <c r="N110" i="14"/>
  <c r="O109" i="14" s="1"/>
  <c r="P125" i="14"/>
  <c r="P192" i="14"/>
  <c r="Q87" i="14" s="1"/>
  <c r="O195" i="14"/>
  <c r="P90" i="14" s="1"/>
  <c r="O140" i="14"/>
  <c r="N135" i="14"/>
  <c r="N194" i="14"/>
  <c r="Z54" i="42"/>
  <c r="K54" i="42" s="1"/>
  <c r="K52" i="42"/>
  <c r="J796" i="34"/>
  <c r="J805" i="34" s="1"/>
  <c r="J818" i="34"/>
  <c r="K133" i="15"/>
  <c r="K809" i="34"/>
  <c r="K72" i="34"/>
  <c r="K24" i="34"/>
  <c r="K26" i="34" s="1"/>
  <c r="K411" i="34" s="1"/>
  <c r="K414" i="34" s="1"/>
  <c r="K68" i="34"/>
  <c r="O238" i="4"/>
  <c r="O763" i="4"/>
  <c r="O765" i="4" s="1"/>
  <c r="O767" i="4" s="1"/>
  <c r="M160" i="3"/>
  <c r="K52" i="15"/>
  <c r="Y78" i="42"/>
  <c r="J18" i="42"/>
  <c r="Y24" i="42"/>
  <c r="Z69" i="14"/>
  <c r="H442" i="34"/>
  <c r="H447" i="34" s="1"/>
  <c r="H274" i="34" s="1"/>
  <c r="P257" i="10"/>
  <c r="O159" i="11" s="1"/>
  <c r="K2043" i="6"/>
  <c r="H331" i="34"/>
  <c r="H176" i="34" s="1"/>
  <c r="H177" i="34" s="1"/>
  <c r="K512" i="6"/>
  <c r="K2080" i="6"/>
  <c r="K2086" i="6" s="1"/>
  <c r="H372" i="34"/>
  <c r="H483" i="34"/>
  <c r="H487" i="34" s="1"/>
  <c r="H488" i="34" s="1"/>
  <c r="H369" i="34"/>
  <c r="AK62" i="42"/>
  <c r="H27" i="15"/>
  <c r="H29" i="15"/>
  <c r="H288" i="34"/>
  <c r="H316" i="34"/>
  <c r="H315" i="34"/>
  <c r="K47" i="8"/>
  <c r="K201" i="8"/>
  <c r="K335" i="8" s="1"/>
  <c r="K338" i="8" s="1"/>
  <c r="H386" i="34"/>
  <c r="H190" i="34" s="1"/>
  <c r="H191" i="34" s="1"/>
  <c r="H122" i="15"/>
  <c r="H120" i="15"/>
  <c r="H334" i="34"/>
  <c r="H8" i="17"/>
  <c r="H13" i="17" s="1"/>
  <c r="H344" i="34"/>
  <c r="H98" i="17"/>
  <c r="H100" i="17" s="1"/>
  <c r="H102" i="17" s="1"/>
  <c r="H104" i="17" s="1"/>
  <c r="H116" i="17" s="1"/>
  <c r="K19" i="6"/>
  <c r="K45" i="6"/>
  <c r="AK12" i="11"/>
  <c r="AI21" i="11"/>
  <c r="T47" i="11"/>
  <c r="T97" i="10"/>
  <c r="M326" i="7"/>
  <c r="M331" i="7" s="1"/>
  <c r="M864" i="7"/>
  <c r="M941" i="7" s="1"/>
  <c r="M945" i="7" s="1"/>
  <c r="Q858" i="7" l="1"/>
  <c r="AD135" i="10"/>
  <c r="AD261" i="10" s="1"/>
  <c r="N49" i="3" s="1"/>
  <c r="N50" i="3" s="1"/>
  <c r="Q291" i="15"/>
  <c r="BI18" i="42"/>
  <c r="P144" i="14"/>
  <c r="AD18" i="14" s="1"/>
  <c r="Q744" i="4" s="1"/>
  <c r="N54" i="3"/>
  <c r="P154" i="14"/>
  <c r="AD37" i="14" s="1"/>
  <c r="AD39" i="14" s="1"/>
  <c r="Q1136" i="6" s="1"/>
  <c r="S158" i="14"/>
  <c r="R219" i="14"/>
  <c r="P355" i="6"/>
  <c r="AK21" i="11"/>
  <c r="AL12" i="11"/>
  <c r="Q99" i="17"/>
  <c r="Q45" i="17"/>
  <c r="Q118" i="17" s="1"/>
  <c r="P454" i="34"/>
  <c r="P564" i="34"/>
  <c r="P566" i="34" s="1"/>
  <c r="P506" i="34"/>
  <c r="P114" i="15"/>
  <c r="P118" i="15" s="1"/>
  <c r="P339" i="34" s="1"/>
  <c r="BH24" i="42"/>
  <c r="O156" i="34"/>
  <c r="O157" i="34" s="1"/>
  <c r="P154" i="34"/>
  <c r="Q154" i="34" s="1"/>
  <c r="O459" i="34"/>
  <c r="O460" i="34" s="1"/>
  <c r="O412" i="34"/>
  <c r="Q155" i="22"/>
  <c r="Q158" i="22" s="1"/>
  <c r="P89" i="3" s="1"/>
  <c r="O80" i="3"/>
  <c r="P44" i="17"/>
  <c r="N258" i="4"/>
  <c r="N852" i="4"/>
  <c r="N855" i="4" s="1"/>
  <c r="N869" i="4" s="1"/>
  <c r="N873" i="4" s="1"/>
  <c r="N887" i="4"/>
  <c r="N889" i="4" s="1"/>
  <c r="N33" i="4"/>
  <c r="L519" i="34"/>
  <c r="L544" i="34"/>
  <c r="L536" i="34"/>
  <c r="N150" i="14"/>
  <c r="N197" i="14"/>
  <c r="N201" i="14" s="1"/>
  <c r="Y82" i="42"/>
  <c r="Y88" i="42" s="1"/>
  <c r="L42" i="60"/>
  <c r="O108" i="14"/>
  <c r="AA62" i="14" s="1"/>
  <c r="AA63" i="14" s="1"/>
  <c r="P1115" i="7" s="1"/>
  <c r="P430" i="7" s="1"/>
  <c r="P48" i="7" s="1"/>
  <c r="N21" i="3" s="1"/>
  <c r="AB62" i="14"/>
  <c r="AB63" i="14" s="1"/>
  <c r="P1103" i="7" s="1"/>
  <c r="AB133" i="10"/>
  <c r="AA60" i="11" s="1"/>
  <c r="AB60" i="11" s="1"/>
  <c r="AC60" i="11" s="1"/>
  <c r="O1116" i="7"/>
  <c r="Q124" i="14"/>
  <c r="O129" i="14"/>
  <c r="P231" i="4" s="1"/>
  <c r="Y66" i="14"/>
  <c r="M480" i="34" s="1"/>
  <c r="M534" i="34" s="1"/>
  <c r="M161" i="3"/>
  <c r="P139" i="14"/>
  <c r="P138" i="14" s="1"/>
  <c r="O776" i="4"/>
  <c r="J78" i="42"/>
  <c r="J24" i="42"/>
  <c r="O267" i="4"/>
  <c r="O243" i="4"/>
  <c r="AA19" i="42"/>
  <c r="K426" i="34"/>
  <c r="K430" i="34" s="1"/>
  <c r="O89" i="14"/>
  <c r="K21" i="15"/>
  <c r="K25" i="15" s="1"/>
  <c r="K293" i="34" s="1"/>
  <c r="K56" i="15"/>
  <c r="K310" i="34" s="1"/>
  <c r="J828" i="34"/>
  <c r="J262" i="3"/>
  <c r="K30" i="34"/>
  <c r="K32" i="34" s="1"/>
  <c r="K33" i="34" s="1"/>
  <c r="K74" i="34"/>
  <c r="K75" i="34" s="1"/>
  <c r="O899" i="4"/>
  <c r="O904" i="4" s="1"/>
  <c r="M24" i="3"/>
  <c r="L81" i="13"/>
  <c r="Q325" i="7"/>
  <c r="AF64" i="10"/>
  <c r="H230" i="34"/>
  <c r="H797" i="34"/>
  <c r="H802" i="34" s="1"/>
  <c r="H292" i="15"/>
  <c r="H297" i="15" s="1"/>
  <c r="H132" i="15"/>
  <c r="H134" i="15" s="1"/>
  <c r="H140" i="15" s="1"/>
  <c r="H165" i="15" s="1"/>
  <c r="K343" i="8"/>
  <c r="K344" i="8"/>
  <c r="K93" i="8" s="1"/>
  <c r="K2047" i="6"/>
  <c r="K741" i="6"/>
  <c r="K51" i="6"/>
  <c r="H26" i="13"/>
  <c r="H343" i="34"/>
  <c r="H345" i="34" s="1"/>
  <c r="H179" i="34" s="1"/>
  <c r="H180" i="34" s="1"/>
  <c r="H20" i="17"/>
  <c r="H47" i="17" s="1"/>
  <c r="K50" i="8"/>
  <c r="AL9" i="42"/>
  <c r="P159" i="11"/>
  <c r="O167" i="11"/>
  <c r="H87" i="13" s="1"/>
  <c r="H567" i="34"/>
  <c r="H575" i="34" s="1"/>
  <c r="H576" i="34" s="1"/>
  <c r="H256" i="34" s="1"/>
  <c r="H338" i="34"/>
  <c r="H390" i="34"/>
  <c r="H317" i="34"/>
  <c r="H521" i="34"/>
  <c r="H530" i="34" s="1"/>
  <c r="H351" i="34"/>
  <c r="H292" i="34"/>
  <c r="H373" i="34"/>
  <c r="N241" i="10"/>
  <c r="K2060" i="6"/>
  <c r="K2066" i="6" s="1"/>
  <c r="K2088" i="6" s="1"/>
  <c r="K2094" i="6" s="1"/>
  <c r="M359" i="7"/>
  <c r="M12" i="7"/>
  <c r="V97" i="10"/>
  <c r="T116" i="10"/>
  <c r="M949" i="7" s="1"/>
  <c r="M368" i="7" s="1"/>
  <c r="M49" i="7" s="1"/>
  <c r="K37" i="3" s="1"/>
  <c r="Q156" i="34" l="1"/>
  <c r="Q157" i="34" s="1"/>
  <c r="Q30" i="34"/>
  <c r="Q32" i="34" s="1"/>
  <c r="Q33" i="34" s="1"/>
  <c r="Q114" i="15"/>
  <c r="Q118" i="15" s="1"/>
  <c r="Q339" i="34" s="1"/>
  <c r="BI24" i="42"/>
  <c r="X11" i="37"/>
  <c r="AG51" i="14"/>
  <c r="P153" i="14"/>
  <c r="P143" i="14"/>
  <c r="R160" i="14"/>
  <c r="R199" i="14"/>
  <c r="Q1141" i="6"/>
  <c r="Q1143" i="6" s="1"/>
  <c r="Q1145" i="6" s="1"/>
  <c r="Q333" i="6"/>
  <c r="Q340" i="6" s="1"/>
  <c r="AN12" i="11"/>
  <c r="AN21" i="11" s="1"/>
  <c r="AL21" i="11"/>
  <c r="Q123" i="14"/>
  <c r="P156" i="34"/>
  <c r="P157" i="34" s="1"/>
  <c r="O81" i="3"/>
  <c r="O82" i="3" s="1"/>
  <c r="P118" i="17"/>
  <c r="P342" i="34"/>
  <c r="P571" i="34"/>
  <c r="K37" i="13"/>
  <c r="N891" i="4"/>
  <c r="N893" i="4" s="1"/>
  <c r="L16" i="3"/>
  <c r="N35" i="4"/>
  <c r="N46" i="4" s="1"/>
  <c r="L123" i="3" s="1"/>
  <c r="L528" i="34"/>
  <c r="L520" i="34"/>
  <c r="O149" i="14"/>
  <c r="J82" i="42"/>
  <c r="L16" i="60"/>
  <c r="L46" i="60"/>
  <c r="O128" i="14"/>
  <c r="O213" i="14" s="1"/>
  <c r="O209" i="14"/>
  <c r="O189" i="14" s="1"/>
  <c r="P84" i="14" s="1"/>
  <c r="O431" i="7"/>
  <c r="O436" i="7" s="1"/>
  <c r="O1120" i="7"/>
  <c r="M197" i="3" s="1"/>
  <c r="P414" i="7"/>
  <c r="P420" i="7" s="1"/>
  <c r="P1107" i="7"/>
  <c r="P1109" i="7" s="1"/>
  <c r="P1112" i="7" s="1"/>
  <c r="M155" i="3"/>
  <c r="Q212" i="14"/>
  <c r="Y69" i="14"/>
  <c r="Y73" i="14" s="1"/>
  <c r="Y76" i="14" s="1"/>
  <c r="AA72" i="14" s="1"/>
  <c r="P215" i="14"/>
  <c r="K296" i="34"/>
  <c r="K525" i="34"/>
  <c r="O20" i="4"/>
  <c r="O245" i="4"/>
  <c r="M518" i="34"/>
  <c r="O134" i="14"/>
  <c r="O96" i="14"/>
  <c r="AA50" i="42"/>
  <c r="L134" i="13"/>
  <c r="L135" i="13" s="1"/>
  <c r="M207" i="15"/>
  <c r="M25" i="3"/>
  <c r="M26" i="3" s="1"/>
  <c r="M156" i="3"/>
  <c r="K314" i="34"/>
  <c r="K655" i="34"/>
  <c r="K658" i="34" s="1"/>
  <c r="K665" i="34" s="1"/>
  <c r="K668" i="34" s="1"/>
  <c r="K541" i="34"/>
  <c r="M481" i="34"/>
  <c r="M51" i="15"/>
  <c r="L19" i="42"/>
  <c r="AA79" i="42"/>
  <c r="N43" i="60" s="1"/>
  <c r="AF94" i="10"/>
  <c r="AH64" i="10"/>
  <c r="H297" i="34"/>
  <c r="H298" i="34"/>
  <c r="H247" i="3"/>
  <c r="K83" i="8"/>
  <c r="K576" i="8"/>
  <c r="K56" i="6"/>
  <c r="I15" i="3"/>
  <c r="K92" i="8"/>
  <c r="K347" i="8"/>
  <c r="H231" i="34"/>
  <c r="H816" i="34" s="1"/>
  <c r="H260" i="3" s="1"/>
  <c r="H826" i="34"/>
  <c r="H356" i="34"/>
  <c r="H359" i="34"/>
  <c r="H471" i="34"/>
  <c r="H475" i="34" s="1"/>
  <c r="I224" i="15"/>
  <c r="I230" i="15" s="1"/>
  <c r="H140" i="13"/>
  <c r="I106" i="3"/>
  <c r="W58" i="42"/>
  <c r="H51" i="17"/>
  <c r="H130" i="34"/>
  <c r="I101" i="3"/>
  <c r="K746" i="6"/>
  <c r="H238" i="3"/>
  <c r="P241" i="10"/>
  <c r="N259" i="10"/>
  <c r="N261" i="10" s="1"/>
  <c r="I41" i="3" s="1"/>
  <c r="K1650" i="6"/>
  <c r="H531" i="34"/>
  <c r="H250" i="34" s="1"/>
  <c r="H251" i="3"/>
  <c r="H395" i="34"/>
  <c r="H507" i="34"/>
  <c r="H511" i="34" s="1"/>
  <c r="H512" i="34" s="1"/>
  <c r="H236" i="34" s="1"/>
  <c r="H237" i="34" s="1"/>
  <c r="H398" i="34"/>
  <c r="Q159" i="11"/>
  <c r="Q167" i="11" s="1"/>
  <c r="P167" i="11"/>
  <c r="I421" i="34" s="1"/>
  <c r="H55" i="58"/>
  <c r="H56" i="58" s="1"/>
  <c r="L1992" i="6"/>
  <c r="H241" i="3"/>
  <c r="H320" i="15"/>
  <c r="H792" i="34"/>
  <c r="H803" i="34" s="1"/>
  <c r="H827" i="34"/>
  <c r="H187" i="34"/>
  <c r="H188" i="34" s="1"/>
  <c r="H817" i="34" s="1"/>
  <c r="H261" i="3" s="1"/>
  <c r="H173" i="34"/>
  <c r="H174" i="34" s="1"/>
  <c r="H820" i="34" s="1"/>
  <c r="H264" i="3" s="1"/>
  <c r="H830" i="34"/>
  <c r="H791" i="34"/>
  <c r="H806" i="34" s="1"/>
  <c r="I72" i="15"/>
  <c r="H28" i="13"/>
  <c r="H33" i="13" s="1"/>
  <c r="H44" i="13"/>
  <c r="T135" i="10"/>
  <c r="M953" i="7"/>
  <c r="K195" i="3" s="1"/>
  <c r="M15" i="7"/>
  <c r="M34" i="7"/>
  <c r="M363" i="7"/>
  <c r="M1146" i="7"/>
  <c r="M1149" i="7" s="1"/>
  <c r="V116" i="10"/>
  <c r="U46" i="11" s="1"/>
  <c r="S267" i="6" l="1"/>
  <c r="S1070" i="6"/>
  <c r="S1071" i="6" s="1"/>
  <c r="S1075" i="6" s="1"/>
  <c r="Q342" i="34"/>
  <c r="Q571" i="34"/>
  <c r="Q26" i="6"/>
  <c r="Q342" i="6"/>
  <c r="AC18" i="14"/>
  <c r="P216" i="14"/>
  <c r="S1078" i="6"/>
  <c r="AC37" i="14"/>
  <c r="P218" i="14"/>
  <c r="X113" i="37"/>
  <c r="X117" i="37" s="1"/>
  <c r="X37" i="37"/>
  <c r="X60" i="37" s="1"/>
  <c r="X100" i="37" s="1"/>
  <c r="Q181" i="3" s="1"/>
  <c r="K38" i="13"/>
  <c r="K41" i="13" s="1"/>
  <c r="K45" i="13"/>
  <c r="O148" i="14"/>
  <c r="AB21" i="14"/>
  <c r="P759" i="4" s="1"/>
  <c r="L20" i="60"/>
  <c r="M157" i="3"/>
  <c r="P24" i="7"/>
  <c r="P438" i="7"/>
  <c r="P422" i="7"/>
  <c r="O193" i="14"/>
  <c r="O130" i="14"/>
  <c r="Q192" i="14"/>
  <c r="R87" i="14" s="1"/>
  <c r="Q125" i="14"/>
  <c r="O133" i="14"/>
  <c r="O214" i="14" s="1"/>
  <c r="P195" i="14"/>
  <c r="Q90" i="14" s="1"/>
  <c r="P140" i="14"/>
  <c r="I107" i="3"/>
  <c r="M482" i="34"/>
  <c r="M535" i="34"/>
  <c r="K221" i="34"/>
  <c r="K669" i="34"/>
  <c r="M152" i="15"/>
  <c r="L66" i="34"/>
  <c r="O247" i="4"/>
  <c r="O864" i="4"/>
  <c r="O867" i="4" s="1"/>
  <c r="M469" i="34"/>
  <c r="L79" i="42"/>
  <c r="N17" i="60" s="1"/>
  <c r="O30" i="4"/>
  <c r="O23" i="4"/>
  <c r="M20" i="15"/>
  <c r="L50" i="42"/>
  <c r="M468" i="34" s="1"/>
  <c r="AA52" i="42"/>
  <c r="H323" i="15"/>
  <c r="H169" i="15"/>
  <c r="H171" i="15" s="1"/>
  <c r="H399" i="34"/>
  <c r="H193" i="34" s="1"/>
  <c r="H194" i="34" s="1"/>
  <c r="H476" i="34"/>
  <c r="H227" i="34" s="1"/>
  <c r="H228" i="34" s="1"/>
  <c r="H250" i="3"/>
  <c r="O146" i="11"/>
  <c r="P259" i="10"/>
  <c r="P261" i="10" s="1"/>
  <c r="K7" i="8"/>
  <c r="I6" i="16"/>
  <c r="L701" i="6"/>
  <c r="L704" i="6" s="1"/>
  <c r="I10" i="58"/>
  <c r="I11" i="58" s="1"/>
  <c r="I13" i="58" s="1"/>
  <c r="L1996" i="6"/>
  <c r="L2036" i="6" s="1"/>
  <c r="L2038" i="6" s="1"/>
  <c r="H649" i="34"/>
  <c r="H651" i="34" s="1"/>
  <c r="H266" i="34" s="1"/>
  <c r="H134" i="34"/>
  <c r="H6" i="34"/>
  <c r="H248" i="3"/>
  <c r="H360" i="34"/>
  <c r="H184" i="34" s="1"/>
  <c r="H185" i="34" s="1"/>
  <c r="K86" i="8"/>
  <c r="K558" i="8"/>
  <c r="W10" i="42"/>
  <c r="H46" i="13"/>
  <c r="H52" i="13" s="1"/>
  <c r="H116" i="13"/>
  <c r="H118" i="13" s="1"/>
  <c r="H120" i="13" s="1"/>
  <c r="H126" i="13" s="1"/>
  <c r="H138" i="13" s="1"/>
  <c r="I187" i="15"/>
  <c r="K518" i="6"/>
  <c r="K1655" i="6"/>
  <c r="H117" i="17"/>
  <c r="H121" i="17" s="1"/>
  <c r="H123" i="17" s="1"/>
  <c r="H94" i="3" s="1"/>
  <c r="AZ59" i="42"/>
  <c r="H299" i="34"/>
  <c r="H170" i="34" s="1"/>
  <c r="H171" i="34" s="1"/>
  <c r="V135" i="10"/>
  <c r="U47" i="11"/>
  <c r="U62" i="11" s="1"/>
  <c r="V46" i="11"/>
  <c r="M1131" i="7"/>
  <c r="M1134" i="7" s="1"/>
  <c r="M1151" i="7" s="1"/>
  <c r="M1159" i="7" s="1"/>
  <c r="M373" i="7"/>
  <c r="K120" i="3" s="1"/>
  <c r="J8" i="13"/>
  <c r="M37" i="7"/>
  <c r="S274" i="6" l="1"/>
  <c r="S25" i="6" s="1"/>
  <c r="S285" i="6"/>
  <c r="S61" i="6" s="1"/>
  <c r="Q23" i="3" s="1"/>
  <c r="Q2077" i="6"/>
  <c r="Q344" i="6"/>
  <c r="P198" i="14"/>
  <c r="P155" i="14"/>
  <c r="S1083" i="6"/>
  <c r="Q42" i="6"/>
  <c r="Q35" i="6"/>
  <c r="N27" i="13" s="1"/>
  <c r="AG91" i="10"/>
  <c r="AC39" i="14"/>
  <c r="Q1149" i="6" s="1"/>
  <c r="P196" i="14"/>
  <c r="P145" i="14"/>
  <c r="R124" i="14"/>
  <c r="S124" i="14" s="1"/>
  <c r="S87" i="14"/>
  <c r="K117" i="13"/>
  <c r="L188" i="15"/>
  <c r="Z18" i="42"/>
  <c r="AB66" i="14"/>
  <c r="N159" i="3" s="1"/>
  <c r="O217" i="14"/>
  <c r="O221" i="14" s="1"/>
  <c r="AA21" i="14"/>
  <c r="P771" i="4" s="1"/>
  <c r="P1147" i="7"/>
  <c r="P425" i="7"/>
  <c r="P35" i="7"/>
  <c r="P26" i="7"/>
  <c r="M9" i="13" s="1"/>
  <c r="O110" i="14"/>
  <c r="P109" i="14" s="1"/>
  <c r="P88" i="14"/>
  <c r="Q139" i="14"/>
  <c r="O852" i="4"/>
  <c r="O855" i="4" s="1"/>
  <c r="O869" i="4" s="1"/>
  <c r="O873" i="4" s="1"/>
  <c r="O258" i="4"/>
  <c r="K796" i="34"/>
  <c r="K805" i="34" s="1"/>
  <c r="K818" i="34"/>
  <c r="O887" i="4"/>
  <c r="O889" i="4" s="1"/>
  <c r="O33" i="4"/>
  <c r="P238" i="4"/>
  <c r="P763" i="4"/>
  <c r="P765" i="4" s="1"/>
  <c r="P767" i="4" s="1"/>
  <c r="N160" i="3"/>
  <c r="L52" i="42"/>
  <c r="AA54" i="42"/>
  <c r="L54" i="42" s="1"/>
  <c r="M544" i="34"/>
  <c r="M519" i="34"/>
  <c r="M536" i="34"/>
  <c r="M470" i="34"/>
  <c r="O194" i="14"/>
  <c r="O135" i="14"/>
  <c r="L24" i="34"/>
  <c r="L26" i="34" s="1"/>
  <c r="L411" i="34" s="1"/>
  <c r="L414" i="34" s="1"/>
  <c r="L68" i="34"/>
  <c r="L426" i="34" s="1"/>
  <c r="L430" i="34" s="1"/>
  <c r="L72" i="34"/>
  <c r="K548" i="8"/>
  <c r="K97" i="8"/>
  <c r="I127" i="3" s="1"/>
  <c r="I36" i="58"/>
  <c r="I38" i="58" s="1"/>
  <c r="I43" i="58" s="1"/>
  <c r="I54" i="58" s="1"/>
  <c r="I51" i="58"/>
  <c r="I8" i="16"/>
  <c r="I241" i="15"/>
  <c r="I243" i="15" s="1"/>
  <c r="I248" i="15" s="1"/>
  <c r="I271" i="15" s="1"/>
  <c r="I100" i="16"/>
  <c r="I102" i="16" s="1"/>
  <c r="I104" i="16" s="1"/>
  <c r="I106" i="16" s="1"/>
  <c r="AL10" i="42"/>
  <c r="O161" i="11"/>
  <c r="O163" i="11" s="1"/>
  <c r="I220" i="3" s="1"/>
  <c r="P146" i="11"/>
  <c r="H59" i="13"/>
  <c r="H83" i="13" s="1"/>
  <c r="I17" i="3"/>
  <c r="H10" i="34"/>
  <c r="H631" i="34"/>
  <c r="K523" i="6"/>
  <c r="I122" i="3" s="1"/>
  <c r="K62" i="6"/>
  <c r="W73" i="42"/>
  <c r="I42" i="15"/>
  <c r="I47" i="15" s="1"/>
  <c r="I303" i="34" s="1"/>
  <c r="W14" i="42"/>
  <c r="W26" i="42" s="1"/>
  <c r="H143" i="34"/>
  <c r="H158" i="34" s="1"/>
  <c r="H161" i="34" s="1"/>
  <c r="H163" i="34" s="1"/>
  <c r="H451" i="34"/>
  <c r="AZ58" i="42"/>
  <c r="G59" i="42"/>
  <c r="I189" i="15"/>
  <c r="I195" i="15" s="1"/>
  <c r="I220" i="15" s="1"/>
  <c r="I47" i="34" s="1"/>
  <c r="I808" i="34"/>
  <c r="I810" i="34" s="1"/>
  <c r="L733" i="6"/>
  <c r="L17" i="6"/>
  <c r="L49" i="6" s="1"/>
  <c r="H86" i="13"/>
  <c r="N264" i="10"/>
  <c r="H328" i="15"/>
  <c r="K380" i="8" s="1"/>
  <c r="H325" i="15"/>
  <c r="K13" i="3"/>
  <c r="M43" i="7"/>
  <c r="M54" i="7" s="1"/>
  <c r="J10" i="13"/>
  <c r="J15" i="13" s="1"/>
  <c r="N859" i="7"/>
  <c r="V47" i="11"/>
  <c r="W46" i="11"/>
  <c r="S276" i="6" l="1"/>
  <c r="S280" i="6" s="1"/>
  <c r="S41" i="6"/>
  <c r="S35" i="6"/>
  <c r="Q349" i="6"/>
  <c r="Q61" i="6" s="1"/>
  <c r="O23" i="3" s="1"/>
  <c r="Q91" i="14"/>
  <c r="Q93" i="14"/>
  <c r="Q1151" i="6"/>
  <c r="Q351" i="6" s="1"/>
  <c r="Q63" i="6" s="1"/>
  <c r="O47" i="3" s="1"/>
  <c r="AH91" i="10"/>
  <c r="AH94" i="10" s="1"/>
  <c r="AG45" i="11" s="1"/>
  <c r="AH45" i="11" s="1"/>
  <c r="AG94" i="10"/>
  <c r="Q950" i="7" s="1"/>
  <c r="Q369" i="7" s="1"/>
  <c r="Q50" i="7" s="1"/>
  <c r="O45" i="3" s="1"/>
  <c r="Q2057" i="6"/>
  <c r="R123" i="14"/>
  <c r="S123" i="14" s="1"/>
  <c r="AA66" i="14"/>
  <c r="N480" i="34" s="1"/>
  <c r="AB69" i="14"/>
  <c r="Z24" i="42"/>
  <c r="L52" i="15"/>
  <c r="Z78" i="42"/>
  <c r="K18" i="42"/>
  <c r="L133" i="15"/>
  <c r="L809" i="34"/>
  <c r="O150" i="14"/>
  <c r="O197" i="14"/>
  <c r="O201" i="14" s="1"/>
  <c r="W74" i="42"/>
  <c r="W87" i="42" s="1"/>
  <c r="J37" i="60"/>
  <c r="I124" i="3"/>
  <c r="I18" i="3"/>
  <c r="P108" i="14"/>
  <c r="AD62" i="14"/>
  <c r="AD63" i="14" s="1"/>
  <c r="Q1103" i="7" s="1"/>
  <c r="P1132" i="7"/>
  <c r="AC133" i="10"/>
  <c r="P252" i="4"/>
  <c r="P40" i="4" s="1"/>
  <c r="P129" i="14"/>
  <c r="Q231" i="4" s="1"/>
  <c r="N161" i="3"/>
  <c r="Q138" i="14"/>
  <c r="I47" i="58"/>
  <c r="I60" i="15"/>
  <c r="I239" i="3" s="1"/>
  <c r="K828" i="34"/>
  <c r="K262" i="3"/>
  <c r="M528" i="34"/>
  <c r="M520" i="34"/>
  <c r="P267" i="4"/>
  <c r="P243" i="4"/>
  <c r="AB19" i="42"/>
  <c r="L30" i="34"/>
  <c r="L32" i="34" s="1"/>
  <c r="L33" i="34" s="1"/>
  <c r="L74" i="34"/>
  <c r="L75" i="34" s="1"/>
  <c r="P89" i="14"/>
  <c r="M16" i="3"/>
  <c r="O35" i="4"/>
  <c r="O46" i="4" s="1"/>
  <c r="M123" i="3" s="1"/>
  <c r="L37" i="13"/>
  <c r="O891" i="4"/>
  <c r="O893" i="4" s="1"/>
  <c r="N155" i="3"/>
  <c r="I58" i="15"/>
  <c r="I55" i="3"/>
  <c r="H139" i="13"/>
  <c r="W59" i="42"/>
  <c r="I223" i="15"/>
  <c r="H253" i="3"/>
  <c r="H633" i="34"/>
  <c r="H260" i="34" s="1"/>
  <c r="Q146" i="11"/>
  <c r="Q161" i="11" s="1"/>
  <c r="L1599" i="6"/>
  <c r="P161" i="11"/>
  <c r="I39" i="3"/>
  <c r="K67" i="6"/>
  <c r="H19" i="34"/>
  <c r="H34" i="34" s="1"/>
  <c r="H37" i="34" s="1"/>
  <c r="H39" i="34" s="1"/>
  <c r="H246" i="3" s="1"/>
  <c r="H405" i="34"/>
  <c r="I118" i="16"/>
  <c r="I13" i="16"/>
  <c r="I20" i="16" s="1"/>
  <c r="I47" i="16" s="1"/>
  <c r="H677" i="34"/>
  <c r="H282" i="34" s="1"/>
  <c r="H330" i="15"/>
  <c r="H453" i="34"/>
  <c r="H457" i="34" s="1"/>
  <c r="H462" i="34" s="1"/>
  <c r="H276" i="34" s="1"/>
  <c r="L735" i="6"/>
  <c r="L2084" i="6"/>
  <c r="W36" i="42"/>
  <c r="W56" i="42" s="1"/>
  <c r="H90" i="42"/>
  <c r="AL14" i="42"/>
  <c r="AL26" i="42" s="1"/>
  <c r="I73" i="15"/>
  <c r="AZ62" i="42"/>
  <c r="G58" i="42"/>
  <c r="G62" i="42" s="1"/>
  <c r="H212" i="3" s="1"/>
  <c r="H88" i="13"/>
  <c r="W47" i="11"/>
  <c r="N326" i="7"/>
  <c r="N331" i="7" s="1"/>
  <c r="W97" i="10"/>
  <c r="N864" i="7"/>
  <c r="N941" i="7" s="1"/>
  <c r="N945" i="7" s="1"/>
  <c r="I309" i="34"/>
  <c r="I537" i="34"/>
  <c r="I546" i="34" s="1"/>
  <c r="I547" i="34" s="1"/>
  <c r="I252" i="34" s="1"/>
  <c r="I364" i="34"/>
  <c r="I637" i="34"/>
  <c r="I639" i="34" s="1"/>
  <c r="I262" i="34" s="1"/>
  <c r="I51" i="34"/>
  <c r="S2076" i="6" l="1"/>
  <c r="S2056" i="6"/>
  <c r="S291" i="6"/>
  <c r="Q355" i="6"/>
  <c r="AG135" i="10"/>
  <c r="AG261" i="10" s="1"/>
  <c r="O49" i="3" s="1"/>
  <c r="O50" i="3" s="1"/>
  <c r="Q1154" i="6"/>
  <c r="Q154" i="14"/>
  <c r="Q153" i="14" s="1"/>
  <c r="Q218" i="14" s="1"/>
  <c r="O54" i="3"/>
  <c r="Q144" i="14"/>
  <c r="Q143" i="14" s="1"/>
  <c r="AI45" i="11"/>
  <c r="S858" i="7" s="1"/>
  <c r="S325" i="7" s="1"/>
  <c r="R858" i="7"/>
  <c r="AA69" i="14"/>
  <c r="AA73" i="14" s="1"/>
  <c r="AA76" i="14" s="1"/>
  <c r="AC72" i="14" s="1"/>
  <c r="K78" i="42"/>
  <c r="K24" i="42"/>
  <c r="Z82" i="42"/>
  <c r="Z88" i="42" s="1"/>
  <c r="M42" i="60"/>
  <c r="L21" i="15"/>
  <c r="L25" i="15" s="1"/>
  <c r="L293" i="34" s="1"/>
  <c r="L56" i="15"/>
  <c r="L310" i="34" s="1"/>
  <c r="P149" i="14"/>
  <c r="W84" i="42"/>
  <c r="W89" i="42" s="1"/>
  <c r="J38" i="60"/>
  <c r="M81" i="13"/>
  <c r="P128" i="14"/>
  <c r="P1116" i="7"/>
  <c r="AE133" i="10"/>
  <c r="AD60" i="11" s="1"/>
  <c r="AE60" i="11" s="1"/>
  <c r="AF60" i="11" s="1"/>
  <c r="Q414" i="7"/>
  <c r="Q420" i="7" s="1"/>
  <c r="Q1107" i="7"/>
  <c r="Q1109" i="7" s="1"/>
  <c r="Q1112" i="7" s="1"/>
  <c r="P209" i="14"/>
  <c r="P189" i="14" s="1"/>
  <c r="Q84" i="14" s="1"/>
  <c r="AC62" i="14"/>
  <c r="AC63" i="14" s="1"/>
  <c r="Q1115" i="7" s="1"/>
  <c r="Q430" i="7" s="1"/>
  <c r="Q48" i="7" s="1"/>
  <c r="O21" i="3" s="1"/>
  <c r="P776" i="4"/>
  <c r="N24" i="3"/>
  <c r="Q215" i="14"/>
  <c r="P134" i="14"/>
  <c r="P96" i="14"/>
  <c r="L38" i="13"/>
  <c r="L41" i="13" s="1"/>
  <c r="L45" i="13"/>
  <c r="N481" i="34"/>
  <c r="N535" i="34" s="1"/>
  <c r="AB79" i="42"/>
  <c r="O43" i="60" s="1"/>
  <c r="N51" i="15"/>
  <c r="M19" i="42"/>
  <c r="N534" i="34"/>
  <c r="P20" i="4"/>
  <c r="P245" i="4"/>
  <c r="K110" i="8"/>
  <c r="K392" i="8"/>
  <c r="K528" i="8" s="1"/>
  <c r="K532" i="8" s="1"/>
  <c r="I274" i="15"/>
  <c r="I89" i="34"/>
  <c r="I51" i="16"/>
  <c r="I83" i="16"/>
  <c r="I85" i="16" s="1"/>
  <c r="I225" i="15"/>
  <c r="I168" i="15"/>
  <c r="L2064" i="6"/>
  <c r="Q257" i="10"/>
  <c r="H175" i="15"/>
  <c r="H406" i="34"/>
  <c r="H409" i="34" s="1"/>
  <c r="H416" i="34" s="1"/>
  <c r="H270" i="34" s="1"/>
  <c r="I42" i="3"/>
  <c r="I53" i="3"/>
  <c r="L481" i="6"/>
  <c r="L489" i="6" s="1"/>
  <c r="X9" i="42"/>
  <c r="L1606" i="6"/>
  <c r="L1642" i="6" s="1"/>
  <c r="L1644" i="6" s="1"/>
  <c r="AL36" i="42"/>
  <c r="AL56" i="42" s="1"/>
  <c r="H88" i="42"/>
  <c r="H141" i="13"/>
  <c r="H144" i="13" s="1"/>
  <c r="H146" i="13" s="1"/>
  <c r="I92" i="3" s="1"/>
  <c r="I279" i="3"/>
  <c r="W60" i="42"/>
  <c r="H60" i="42" s="1"/>
  <c r="I78" i="15"/>
  <c r="I316" i="34"/>
  <c r="I315" i="34"/>
  <c r="I483" i="34"/>
  <c r="I487" i="34" s="1"/>
  <c r="I488" i="34" s="1"/>
  <c r="I369" i="34"/>
  <c r="I372" i="34"/>
  <c r="W116" i="10"/>
  <c r="N949" i="7" s="1"/>
  <c r="N368" i="7" s="1"/>
  <c r="N49" i="7" s="1"/>
  <c r="L37" i="3" s="1"/>
  <c r="Y97" i="10"/>
  <c r="I420" i="34"/>
  <c r="I424" i="34" s="1"/>
  <c r="I432" i="34" s="1"/>
  <c r="I272" i="34" s="1"/>
  <c r="I798" i="34" s="1"/>
  <c r="I61" i="34"/>
  <c r="I76" i="34" s="1"/>
  <c r="I79" i="34" s="1"/>
  <c r="I81" i="34" s="1"/>
  <c r="N12" i="7"/>
  <c r="N359" i="7"/>
  <c r="Q155" i="14" l="1"/>
  <c r="Q198" i="14"/>
  <c r="AE18" i="14"/>
  <c r="Q216" i="14"/>
  <c r="R325" i="7"/>
  <c r="AI64" i="10"/>
  <c r="AL64" i="10"/>
  <c r="P27" i="13"/>
  <c r="AF18" i="14"/>
  <c r="R744" i="4" s="1"/>
  <c r="M46" i="60"/>
  <c r="L541" i="34"/>
  <c r="L314" i="34"/>
  <c r="L655" i="34"/>
  <c r="L658" i="34" s="1"/>
  <c r="L665" i="34" s="1"/>
  <c r="L668" i="34" s="1"/>
  <c r="L296" i="34"/>
  <c r="L525" i="34"/>
  <c r="K82" i="42"/>
  <c r="M16" i="60"/>
  <c r="P148" i="14"/>
  <c r="AD21" i="14"/>
  <c r="Q759" i="4" s="1"/>
  <c r="J48" i="60"/>
  <c r="N207" i="15"/>
  <c r="M66" i="34" s="1"/>
  <c r="N156" i="3"/>
  <c r="N157" i="3" s="1"/>
  <c r="N25" i="3"/>
  <c r="N26" i="3" s="1"/>
  <c r="M134" i="13"/>
  <c r="M135" i="13" s="1"/>
  <c r="AB50" i="42"/>
  <c r="M50" i="42" s="1"/>
  <c r="N468" i="34" s="1"/>
  <c r="P899" i="4"/>
  <c r="P904" i="4" s="1"/>
  <c r="P213" i="14"/>
  <c r="P130" i="14" s="1"/>
  <c r="I56" i="3"/>
  <c r="Q438" i="7"/>
  <c r="Q422" i="7"/>
  <c r="Q24" i="7"/>
  <c r="P431" i="7"/>
  <c r="P436" i="7" s="1"/>
  <c r="P1120" i="7"/>
  <c r="N197" i="3" s="1"/>
  <c r="Q195" i="14"/>
  <c r="R90" i="14" s="1"/>
  <c r="Q140" i="14"/>
  <c r="P133" i="14"/>
  <c r="P214" i="14" s="1"/>
  <c r="N482" i="34"/>
  <c r="P864" i="4"/>
  <c r="P867" i="4" s="1"/>
  <c r="P247" i="4"/>
  <c r="N469" i="34"/>
  <c r="M79" i="42"/>
  <c r="O17" i="60" s="1"/>
  <c r="M188" i="15"/>
  <c r="L117" i="13"/>
  <c r="AA18" i="42"/>
  <c r="P30" i="4"/>
  <c r="P23" i="4"/>
  <c r="N20" i="15"/>
  <c r="N518" i="34"/>
  <c r="N536" i="34"/>
  <c r="N519" i="34"/>
  <c r="N528" i="34" s="1"/>
  <c r="N544" i="34"/>
  <c r="W62" i="42"/>
  <c r="I320" i="34"/>
  <c r="I89" i="15"/>
  <c r="I91" i="15"/>
  <c r="I240" i="3" s="1"/>
  <c r="S257" i="10"/>
  <c r="R159" i="11" s="1"/>
  <c r="L2043" i="6"/>
  <c r="I643" i="34"/>
  <c r="I645" i="34" s="1"/>
  <c r="I264" i="34" s="1"/>
  <c r="I93" i="34"/>
  <c r="I226" i="15"/>
  <c r="I170" i="15"/>
  <c r="I276" i="15"/>
  <c r="I279" i="15"/>
  <c r="J41" i="15"/>
  <c r="X71" i="42"/>
  <c r="K35" i="60" s="1"/>
  <c r="K537" i="8"/>
  <c r="K156" i="8" s="1"/>
  <c r="K29" i="8" s="1"/>
  <c r="K538" i="8"/>
  <c r="K157" i="8" s="1"/>
  <c r="K30" i="8" s="1"/>
  <c r="L13" i="6"/>
  <c r="L510" i="6"/>
  <c r="I119" i="16"/>
  <c r="I123" i="16" s="1"/>
  <c r="I125" i="16" s="1"/>
  <c r="I93" i="3" s="1"/>
  <c r="AL59" i="42"/>
  <c r="K113" i="8"/>
  <c r="BA9" i="42"/>
  <c r="I373" i="34"/>
  <c r="I827" i="34" s="1"/>
  <c r="I317" i="34"/>
  <c r="I173" i="34" s="1"/>
  <c r="W135" i="10"/>
  <c r="N1146" i="7"/>
  <c r="N1149" i="7" s="1"/>
  <c r="N363" i="7"/>
  <c r="N34" i="7"/>
  <c r="N15" i="7"/>
  <c r="Y116" i="10"/>
  <c r="X46" i="11" s="1"/>
  <c r="N953" i="7"/>
  <c r="I230" i="34"/>
  <c r="I797" i="34"/>
  <c r="I802" i="34" s="1"/>
  <c r="Q196" i="14" l="1"/>
  <c r="Q145" i="14"/>
  <c r="AI94" i="10"/>
  <c r="AS94" i="10" s="1"/>
  <c r="AK64" i="10"/>
  <c r="AS64" i="10"/>
  <c r="R91" i="14"/>
  <c r="R93" i="14"/>
  <c r="AL94" i="10"/>
  <c r="AN64" i="10"/>
  <c r="AN94" i="10" s="1"/>
  <c r="AM45" i="11" s="1"/>
  <c r="R139" i="14"/>
  <c r="S139" i="14" s="1"/>
  <c r="R138" i="14"/>
  <c r="S90" i="14"/>
  <c r="AD66" i="14"/>
  <c r="O159" i="3" s="1"/>
  <c r="M20" i="60"/>
  <c r="L221" i="34"/>
  <c r="L669" i="34"/>
  <c r="P217" i="14"/>
  <c r="P221" i="14" s="1"/>
  <c r="AC21" i="14"/>
  <c r="Q771" i="4" s="1"/>
  <c r="AB52" i="42"/>
  <c r="AB54" i="42" s="1"/>
  <c r="M54" i="42" s="1"/>
  <c r="N152" i="15"/>
  <c r="P193" i="14"/>
  <c r="Q88" i="14" s="1"/>
  <c r="Q35" i="7"/>
  <c r="Q26" i="7"/>
  <c r="N9" i="13" s="1"/>
  <c r="Q425" i="7"/>
  <c r="Q1147" i="7"/>
  <c r="N470" i="34"/>
  <c r="N520" i="34"/>
  <c r="M68" i="34"/>
  <c r="M426" i="34" s="1"/>
  <c r="M430" i="34" s="1"/>
  <c r="M24" i="34"/>
  <c r="M26" i="34" s="1"/>
  <c r="M411" i="34" s="1"/>
  <c r="M414" i="34" s="1"/>
  <c r="M72" i="34"/>
  <c r="Q238" i="4"/>
  <c r="Q763" i="4"/>
  <c r="Q765" i="4" s="1"/>
  <c r="Q767" i="4" s="1"/>
  <c r="O160" i="3"/>
  <c r="P194" i="14"/>
  <c r="P135" i="14"/>
  <c r="P887" i="4"/>
  <c r="P889" i="4" s="1"/>
  <c r="P33" i="4"/>
  <c r="AA78" i="42"/>
  <c r="L18" i="42"/>
  <c r="AA24" i="42"/>
  <c r="M52" i="15"/>
  <c r="P258" i="4"/>
  <c r="P852" i="4"/>
  <c r="P855" i="4" s="1"/>
  <c r="P869" i="4" s="1"/>
  <c r="P873" i="4" s="1"/>
  <c r="M809" i="34"/>
  <c r="M133" i="15"/>
  <c r="I792" i="34"/>
  <c r="I803" i="34" s="1"/>
  <c r="I187" i="34"/>
  <c r="I188" i="34" s="1"/>
  <c r="I817" i="34" s="1"/>
  <c r="I261" i="3" s="1"/>
  <c r="I103" i="15"/>
  <c r="I10" i="15" s="1"/>
  <c r="H9" i="42"/>
  <c r="L2080" i="6"/>
  <c r="L2086" i="6" s="1"/>
  <c r="L512" i="6"/>
  <c r="K541" i="8"/>
  <c r="R167" i="11"/>
  <c r="I87" i="13" s="1"/>
  <c r="S159" i="11"/>
  <c r="K147" i="8"/>
  <c r="K577" i="8"/>
  <c r="BA10" i="42"/>
  <c r="BA14" i="42" s="1"/>
  <c r="BA26" i="42" s="1"/>
  <c r="L45" i="6"/>
  <c r="L19" i="6"/>
  <c r="I676" i="34"/>
  <c r="I281" i="34" s="1"/>
  <c r="I281" i="15"/>
  <c r="L194" i="8"/>
  <c r="I438" i="34"/>
  <c r="AL58" i="42"/>
  <c r="I436" i="34"/>
  <c r="I102" i="34"/>
  <c r="I117" i="34" s="1"/>
  <c r="I120" i="34" s="1"/>
  <c r="I122" i="34" s="1"/>
  <c r="L741" i="6"/>
  <c r="L2047" i="6"/>
  <c r="I553" i="34"/>
  <c r="I560" i="34" s="1"/>
  <c r="I377" i="34"/>
  <c r="I324" i="34"/>
  <c r="I791" i="34"/>
  <c r="I806" i="34" s="1"/>
  <c r="I830" i="34"/>
  <c r="K8" i="13"/>
  <c r="N37" i="7"/>
  <c r="I174" i="34"/>
  <c r="I820" i="34" s="1"/>
  <c r="I264" i="3" s="1"/>
  <c r="I826" i="34"/>
  <c r="I231" i="34"/>
  <c r="I816" i="34" s="1"/>
  <c r="I260" i="3" s="1"/>
  <c r="L195" i="3"/>
  <c r="Y135" i="10"/>
  <c r="N373" i="7"/>
  <c r="L120" i="3" s="1"/>
  <c r="N1131" i="7"/>
  <c r="N1134" i="7" s="1"/>
  <c r="N1151" i="7" s="1"/>
  <c r="N1159" i="7" s="1"/>
  <c r="X47" i="11"/>
  <c r="X62" i="11" s="1"/>
  <c r="Y46" i="11"/>
  <c r="S138" i="14" l="1"/>
  <c r="R215" i="14"/>
  <c r="R154" i="14"/>
  <c r="S154" i="14" s="1"/>
  <c r="S93" i="14"/>
  <c r="R144" i="14"/>
  <c r="S91" i="14"/>
  <c r="AK94" i="10"/>
  <c r="AU64" i="10"/>
  <c r="AD69" i="14"/>
  <c r="AC66" i="14"/>
  <c r="AC69" i="14" s="1"/>
  <c r="AC73" i="14" s="1"/>
  <c r="AC76" i="14" s="1"/>
  <c r="L818" i="34"/>
  <c r="L796" i="34"/>
  <c r="L805" i="34" s="1"/>
  <c r="P150" i="14"/>
  <c r="P197" i="14"/>
  <c r="P201" i="14" s="1"/>
  <c r="P110" i="14"/>
  <c r="Q109" i="14" s="1"/>
  <c r="AA82" i="42"/>
  <c r="AA88" i="42" s="1"/>
  <c r="N42" i="60"/>
  <c r="M52" i="42"/>
  <c r="AF133" i="10"/>
  <c r="Q1132" i="7"/>
  <c r="Q129" i="14"/>
  <c r="Q252" i="4"/>
  <c r="Q40" i="4" s="1"/>
  <c r="M37" i="13"/>
  <c r="P891" i="4"/>
  <c r="P893" i="4" s="1"/>
  <c r="M74" i="34"/>
  <c r="M75" i="34" s="1"/>
  <c r="M30" i="34"/>
  <c r="M32" i="34" s="1"/>
  <c r="M33" i="34" s="1"/>
  <c r="L78" i="42"/>
  <c r="L24" i="42"/>
  <c r="O161" i="3"/>
  <c r="M21" i="15"/>
  <c r="M25" i="15" s="1"/>
  <c r="M293" i="34" s="1"/>
  <c r="M56" i="15"/>
  <c r="M310" i="34" s="1"/>
  <c r="N16" i="3"/>
  <c r="P35" i="4"/>
  <c r="P46" i="4" s="1"/>
  <c r="N123" i="3" s="1"/>
  <c r="Q89" i="14"/>
  <c r="Q267" i="4"/>
  <c r="Q243" i="4"/>
  <c r="AC19" i="42"/>
  <c r="I442" i="34"/>
  <c r="I447" i="34" s="1"/>
  <c r="I274" i="34" s="1"/>
  <c r="L201" i="8"/>
  <c r="L335" i="8" s="1"/>
  <c r="L338" i="8" s="1"/>
  <c r="L47" i="8"/>
  <c r="T159" i="11"/>
  <c r="T167" i="11" s="1"/>
  <c r="M1992" i="6"/>
  <c r="S167" i="11"/>
  <c r="J421" i="34" s="1"/>
  <c r="I55" i="58"/>
  <c r="I56" i="58" s="1"/>
  <c r="I104" i="15"/>
  <c r="H10" i="42"/>
  <c r="H73" i="42" s="1"/>
  <c r="J11" i="60" s="1"/>
  <c r="I140" i="13"/>
  <c r="X58" i="42"/>
  <c r="J224" i="15"/>
  <c r="J230" i="15" s="1"/>
  <c r="J106" i="3"/>
  <c r="H71" i="42"/>
  <c r="J9" i="60" s="1"/>
  <c r="I330" i="34"/>
  <c r="I329" i="34"/>
  <c r="J101" i="3"/>
  <c r="L746" i="6"/>
  <c r="AL62" i="42"/>
  <c r="K8" i="8"/>
  <c r="K579" i="8"/>
  <c r="K588" i="8" s="1"/>
  <c r="BA36" i="42"/>
  <c r="BA56" i="42" s="1"/>
  <c r="H56" i="42" s="1"/>
  <c r="H89" i="42"/>
  <c r="H26" i="42"/>
  <c r="H36" i="42" s="1"/>
  <c r="I385" i="34"/>
  <c r="I382" i="34"/>
  <c r="I495" i="34"/>
  <c r="I499" i="34" s="1"/>
  <c r="I500" i="34" s="1"/>
  <c r="I233" i="34" s="1"/>
  <c r="I234" i="34" s="1"/>
  <c r="I26" i="13"/>
  <c r="L51" i="6"/>
  <c r="K151" i="8"/>
  <c r="K559" i="8"/>
  <c r="K561" i="8" s="1"/>
  <c r="Q241" i="10"/>
  <c r="L2060" i="6"/>
  <c r="L2066" i="6" s="1"/>
  <c r="L2088" i="6" s="1"/>
  <c r="L2094" i="6" s="1"/>
  <c r="O859" i="7"/>
  <c r="Z46" i="11"/>
  <c r="Y47" i="11"/>
  <c r="N43" i="7"/>
  <c r="N54" i="7" s="1"/>
  <c r="L13" i="3"/>
  <c r="K10" i="13"/>
  <c r="K15" i="13" s="1"/>
  <c r="R153" i="14" l="1"/>
  <c r="R218" i="14" s="1"/>
  <c r="R140" i="14"/>
  <c r="R195" i="14"/>
  <c r="S144" i="14"/>
  <c r="AH18" i="14"/>
  <c r="AU94" i="10"/>
  <c r="AJ45" i="11"/>
  <c r="AK45" i="11" s="1"/>
  <c r="AL45" i="11" s="1"/>
  <c r="R143" i="14"/>
  <c r="AG18" i="14" s="1"/>
  <c r="AF62" i="14"/>
  <c r="AF63" i="14" s="1"/>
  <c r="R1103" i="7" s="1"/>
  <c r="Q128" i="14"/>
  <c r="O480" i="34"/>
  <c r="O534" i="34" s="1"/>
  <c r="O155" i="3"/>
  <c r="L828" i="34"/>
  <c r="L262" i="3"/>
  <c r="Q108" i="14"/>
  <c r="AE62" i="14" s="1"/>
  <c r="H87" i="42"/>
  <c r="J12" i="60"/>
  <c r="J22" i="60" s="1"/>
  <c r="L82" i="42"/>
  <c r="N16" i="60"/>
  <c r="N46" i="60"/>
  <c r="O24" i="3"/>
  <c r="AH133" i="10"/>
  <c r="AG60" i="11" s="1"/>
  <c r="AH60" i="11" s="1"/>
  <c r="AI60" i="11" s="1"/>
  <c r="Q1116" i="7"/>
  <c r="Q213" i="14"/>
  <c r="R231" i="4"/>
  <c r="Q776" i="4"/>
  <c r="J107" i="3"/>
  <c r="M655" i="34"/>
  <c r="M658" i="34" s="1"/>
  <c r="M665" i="34" s="1"/>
  <c r="M668" i="34" s="1"/>
  <c r="M314" i="34"/>
  <c r="M541" i="34"/>
  <c r="AE72" i="14"/>
  <c r="M38" i="13"/>
  <c r="M41" i="13" s="1"/>
  <c r="M45" i="13"/>
  <c r="O51" i="15"/>
  <c r="N19" i="42"/>
  <c r="O481" i="34"/>
  <c r="O535" i="34" s="1"/>
  <c r="AC79" i="42"/>
  <c r="P43" i="60" s="1"/>
  <c r="Q134" i="14"/>
  <c r="Q96" i="14"/>
  <c r="M525" i="34"/>
  <c r="M296" i="34"/>
  <c r="Q20" i="4"/>
  <c r="Q245" i="4"/>
  <c r="I386" i="34"/>
  <c r="I190" i="34" s="1"/>
  <c r="I191" i="34" s="1"/>
  <c r="H14" i="42"/>
  <c r="K549" i="8"/>
  <c r="K551" i="8" s="1"/>
  <c r="K563" i="8" s="1"/>
  <c r="K568" i="8" s="1"/>
  <c r="K161" i="8"/>
  <c r="I128" i="3" s="1"/>
  <c r="I109" i="15"/>
  <c r="I11" i="15"/>
  <c r="I16" i="15" s="1"/>
  <c r="J10" i="58"/>
  <c r="J11" i="58" s="1"/>
  <c r="J13" i="58" s="1"/>
  <c r="M701" i="6"/>
  <c r="M704" i="6" s="1"/>
  <c r="M1996" i="6"/>
  <c r="M2036" i="6" s="1"/>
  <c r="M2038" i="6" s="1"/>
  <c r="L56" i="6"/>
  <c r="J15" i="3"/>
  <c r="K590" i="8"/>
  <c r="S241" i="10"/>
  <c r="L1650" i="6"/>
  <c r="Q259" i="10"/>
  <c r="Q261" i="10" s="1"/>
  <c r="J41" i="3" s="1"/>
  <c r="I28" i="13"/>
  <c r="I33" i="13" s="1"/>
  <c r="I44" i="13"/>
  <c r="I6" i="17"/>
  <c r="K10" i="8"/>
  <c r="K19" i="8" s="1"/>
  <c r="K23" i="8" s="1"/>
  <c r="K34" i="8" s="1"/>
  <c r="L50" i="8"/>
  <c r="AM9" i="42"/>
  <c r="I331" i="34"/>
  <c r="I176" i="34" s="1"/>
  <c r="I177" i="34" s="1"/>
  <c r="H74" i="42"/>
  <c r="H84" i="42" s="1"/>
  <c r="L343" i="8"/>
  <c r="L344" i="8"/>
  <c r="L93" i="8" s="1"/>
  <c r="Z47" i="11"/>
  <c r="Z97" i="10"/>
  <c r="O326" i="7"/>
  <c r="O331" i="7" s="1"/>
  <c r="O864" i="7"/>
  <c r="O941" i="7" s="1"/>
  <c r="O945" i="7" s="1"/>
  <c r="R1107" i="7" l="1"/>
  <c r="R1109" i="7" s="1"/>
  <c r="R1112" i="7" s="1"/>
  <c r="R414" i="7"/>
  <c r="R420" i="7" s="1"/>
  <c r="R438" i="7" s="1"/>
  <c r="S153" i="14"/>
  <c r="R198" i="14"/>
  <c r="R155" i="14"/>
  <c r="AN45" i="11"/>
  <c r="S143" i="14"/>
  <c r="R216" i="14"/>
  <c r="AE63" i="14"/>
  <c r="Q149" i="14"/>
  <c r="Q209" i="14"/>
  <c r="N20" i="60"/>
  <c r="N81" i="13"/>
  <c r="N134" i="13" s="1"/>
  <c r="N135" i="13" s="1"/>
  <c r="Q899" i="4"/>
  <c r="Q904" i="4" s="1"/>
  <c r="I129" i="3"/>
  <c r="Q431" i="7"/>
  <c r="Q436" i="7" s="1"/>
  <c r="Q1120" i="7"/>
  <c r="O197" i="3" s="1"/>
  <c r="Q130" i="14"/>
  <c r="Q193" i="14"/>
  <c r="O482" i="34"/>
  <c r="Q864" i="4"/>
  <c r="Q867" i="4" s="1"/>
  <c r="Q247" i="4"/>
  <c r="O20" i="15"/>
  <c r="Q30" i="4"/>
  <c r="Q23" i="4"/>
  <c r="AB18" i="42"/>
  <c r="M117" i="13"/>
  <c r="N188" i="15"/>
  <c r="O544" i="34"/>
  <c r="O519" i="34"/>
  <c r="O528" i="34" s="1"/>
  <c r="O518" i="34"/>
  <c r="O536" i="34"/>
  <c r="Q133" i="14"/>
  <c r="N79" i="42"/>
  <c r="P17" i="60" s="1"/>
  <c r="O469" i="34"/>
  <c r="M221" i="34"/>
  <c r="M669" i="34"/>
  <c r="J36" i="58"/>
  <c r="J38" i="58" s="1"/>
  <c r="J43" i="58" s="1"/>
  <c r="J54" i="58" s="1"/>
  <c r="J51" i="58"/>
  <c r="I27" i="15"/>
  <c r="I288" i="34"/>
  <c r="I29" i="15"/>
  <c r="I334" i="34"/>
  <c r="I122" i="15"/>
  <c r="I120" i="15"/>
  <c r="L92" i="8"/>
  <c r="L347" i="8"/>
  <c r="L83" i="8"/>
  <c r="L576" i="8"/>
  <c r="I8" i="17"/>
  <c r="I13" i="17" s="1"/>
  <c r="I98" i="17"/>
  <c r="I100" i="17" s="1"/>
  <c r="I102" i="17" s="1"/>
  <c r="I104" i="17" s="1"/>
  <c r="I116" i="17" s="1"/>
  <c r="I344" i="34"/>
  <c r="I290" i="15"/>
  <c r="L1655" i="6"/>
  <c r="L518" i="6"/>
  <c r="M733" i="6"/>
  <c r="M17" i="6"/>
  <c r="M49" i="6" s="1"/>
  <c r="J72" i="15"/>
  <c r="X10" i="42"/>
  <c r="J187" i="15"/>
  <c r="I116" i="13"/>
  <c r="I118" i="13" s="1"/>
  <c r="I120" i="13" s="1"/>
  <c r="I126" i="13" s="1"/>
  <c r="I138" i="13" s="1"/>
  <c r="I46" i="13"/>
  <c r="I52" i="13" s="1"/>
  <c r="R146" i="11"/>
  <c r="S259" i="10"/>
  <c r="S261" i="10" s="1"/>
  <c r="O359" i="7"/>
  <c r="O12" i="7"/>
  <c r="Z116" i="10"/>
  <c r="O949" i="7" s="1"/>
  <c r="O368" i="7" s="1"/>
  <c r="O49" i="7" s="1"/>
  <c r="M37" i="3" s="1"/>
  <c r="AB97" i="10"/>
  <c r="R24" i="7" l="1"/>
  <c r="R35" i="7" s="1"/>
  <c r="R422" i="7"/>
  <c r="R425" i="7" s="1"/>
  <c r="R1132" i="7" s="1"/>
  <c r="Q189" i="14"/>
  <c r="R84" i="14" s="1"/>
  <c r="S84" i="14" s="1"/>
  <c r="R1115" i="7"/>
  <c r="R430" i="7" s="1"/>
  <c r="S231" i="4"/>
  <c r="R196" i="14"/>
  <c r="R145" i="14"/>
  <c r="Q110" i="14"/>
  <c r="R88" i="14"/>
  <c r="AF21" i="14"/>
  <c r="AF66" i="14" s="1"/>
  <c r="Q148" i="14"/>
  <c r="O156" i="3"/>
  <c r="O157" i="3" s="1"/>
  <c r="O25" i="3"/>
  <c r="O26" i="3" s="1"/>
  <c r="AC50" i="42"/>
  <c r="N50" i="42" s="1"/>
  <c r="O468" i="34" s="1"/>
  <c r="O470" i="34" s="1"/>
  <c r="O207" i="15"/>
  <c r="O152" i="15" s="1"/>
  <c r="J47" i="58"/>
  <c r="M796" i="34"/>
  <c r="M805" i="34" s="1"/>
  <c r="M818" i="34"/>
  <c r="AB78" i="42"/>
  <c r="AB24" i="42"/>
  <c r="M18" i="42"/>
  <c r="N52" i="15"/>
  <c r="N809" i="34"/>
  <c r="N133" i="15"/>
  <c r="Q258" i="4"/>
  <c r="Q852" i="4"/>
  <c r="Q855" i="4" s="1"/>
  <c r="Q869" i="4" s="1"/>
  <c r="Q873" i="4" s="1"/>
  <c r="Q214" i="14"/>
  <c r="O520" i="34"/>
  <c r="Q887" i="4"/>
  <c r="Q889" i="4" s="1"/>
  <c r="Q33" i="4"/>
  <c r="Q264" i="10"/>
  <c r="I86" i="13"/>
  <c r="S146" i="11"/>
  <c r="R161" i="11"/>
  <c r="R163" i="11" s="1"/>
  <c r="J220" i="3" s="1"/>
  <c r="X14" i="42"/>
  <c r="X26" i="42" s="1"/>
  <c r="X73" i="42"/>
  <c r="J42" i="15"/>
  <c r="J47" i="15" s="1"/>
  <c r="J60" i="15" s="1"/>
  <c r="I292" i="15"/>
  <c r="I297" i="15" s="1"/>
  <c r="I320" i="15" s="1"/>
  <c r="I132" i="15"/>
  <c r="I134" i="15" s="1"/>
  <c r="I140" i="15" s="1"/>
  <c r="I165" i="15" s="1"/>
  <c r="L7" i="8"/>
  <c r="J6" i="16"/>
  <c r="I521" i="34"/>
  <c r="I530" i="34" s="1"/>
  <c r="I351" i="34"/>
  <c r="I292" i="34"/>
  <c r="I59" i="13"/>
  <c r="I83" i="13" s="1"/>
  <c r="J17" i="3"/>
  <c r="J18" i="3" s="1"/>
  <c r="M735" i="6"/>
  <c r="M2084" i="6"/>
  <c r="L558" i="8"/>
  <c r="L86" i="8"/>
  <c r="L62" i="6"/>
  <c r="L523" i="6"/>
  <c r="J122" i="3" s="1"/>
  <c r="J124" i="3" s="1"/>
  <c r="I567" i="34"/>
  <c r="I575" i="34" s="1"/>
  <c r="I576" i="34" s="1"/>
  <c r="I256" i="34" s="1"/>
  <c r="I390" i="34"/>
  <c r="I338" i="34"/>
  <c r="J808" i="34"/>
  <c r="J810" i="34" s="1"/>
  <c r="J189" i="15"/>
  <c r="J195" i="15" s="1"/>
  <c r="J220" i="15" s="1"/>
  <c r="J47" i="34" s="1"/>
  <c r="I20" i="17"/>
  <c r="I47" i="17" s="1"/>
  <c r="I343" i="34"/>
  <c r="I345" i="34" s="1"/>
  <c r="I179" i="34" s="1"/>
  <c r="Z135" i="10"/>
  <c r="O34" i="7"/>
  <c r="O15" i="7"/>
  <c r="O363" i="7"/>
  <c r="O1146" i="7"/>
  <c r="O1149" i="7" s="1"/>
  <c r="AB116" i="10"/>
  <c r="AA46" i="11" s="1"/>
  <c r="O953" i="7"/>
  <c r="R26" i="7" l="1"/>
  <c r="O9" i="13" s="1"/>
  <c r="R1147" i="7"/>
  <c r="R48" i="7"/>
  <c r="P21" i="3" s="1"/>
  <c r="AI133" i="10"/>
  <c r="AS133" i="10" s="1"/>
  <c r="R109" i="14"/>
  <c r="AH62" i="14" s="1"/>
  <c r="AH63" i="14" s="1"/>
  <c r="S109" i="14"/>
  <c r="R129" i="14"/>
  <c r="S88" i="14"/>
  <c r="R759" i="4"/>
  <c r="R238" i="4" s="1"/>
  <c r="AE21" i="14"/>
  <c r="R771" i="4" s="1"/>
  <c r="R252" i="4" s="1"/>
  <c r="R40" i="4" s="1"/>
  <c r="Q217" i="14"/>
  <c r="X74" i="42"/>
  <c r="X84" i="42" s="1"/>
  <c r="X89" i="42" s="1"/>
  <c r="K37" i="60"/>
  <c r="AB82" i="42"/>
  <c r="AB88" i="42" s="1"/>
  <c r="O42" i="60"/>
  <c r="AC52" i="42"/>
  <c r="N52" i="42" s="1"/>
  <c r="N66" i="34"/>
  <c r="N72" i="34" s="1"/>
  <c r="N74" i="34" s="1"/>
  <c r="J303" i="34"/>
  <c r="J309" i="34" s="1"/>
  <c r="J58" i="15"/>
  <c r="O16" i="3"/>
  <c r="Q35" i="4"/>
  <c r="Q46" i="4" s="1"/>
  <c r="O123" i="3" s="1"/>
  <c r="N21" i="15"/>
  <c r="N25" i="15" s="1"/>
  <c r="N293" i="34" s="1"/>
  <c r="N56" i="15"/>
  <c r="N310" i="34" s="1"/>
  <c r="N37" i="13"/>
  <c r="Q891" i="4"/>
  <c r="Q893" i="4" s="1"/>
  <c r="AE66" i="14"/>
  <c r="M24" i="42"/>
  <c r="M78" i="42"/>
  <c r="AF69" i="14"/>
  <c r="P159" i="3"/>
  <c r="M828" i="34"/>
  <c r="M262" i="3"/>
  <c r="Q135" i="14"/>
  <c r="Q194" i="14"/>
  <c r="R89" i="14" s="1"/>
  <c r="I88" i="13"/>
  <c r="J279" i="3" s="1"/>
  <c r="I238" i="3"/>
  <c r="I180" i="34"/>
  <c r="J39" i="3"/>
  <c r="L67" i="6"/>
  <c r="I323" i="15"/>
  <c r="I169" i="15"/>
  <c r="I171" i="15" s="1"/>
  <c r="J239" i="3"/>
  <c r="I51" i="17"/>
  <c r="I130" i="34"/>
  <c r="I507" i="34"/>
  <c r="I511" i="34" s="1"/>
  <c r="I512" i="34" s="1"/>
  <c r="I236" i="34" s="1"/>
  <c r="I395" i="34"/>
  <c r="I398" i="34"/>
  <c r="I241" i="3"/>
  <c r="M2064" i="6"/>
  <c r="T257" i="10"/>
  <c r="I298" i="34"/>
  <c r="I247" i="3"/>
  <c r="I297" i="34"/>
  <c r="J241" i="15"/>
  <c r="J100" i="16"/>
  <c r="J102" i="16" s="1"/>
  <c r="J104" i="16" s="1"/>
  <c r="J106" i="16" s="1"/>
  <c r="J8" i="16"/>
  <c r="AM10" i="42"/>
  <c r="M1599" i="6"/>
  <c r="T146" i="11"/>
  <c r="S161" i="11"/>
  <c r="L97" i="8"/>
  <c r="J127" i="3" s="1"/>
  <c r="L548" i="8"/>
  <c r="I356" i="34"/>
  <c r="I359" i="34"/>
  <c r="I471" i="34"/>
  <c r="I475" i="34" s="1"/>
  <c r="J223" i="15"/>
  <c r="J55" i="3"/>
  <c r="I139" i="13"/>
  <c r="X59" i="42"/>
  <c r="I531" i="34"/>
  <c r="I250" i="34" s="1"/>
  <c r="I251" i="3"/>
  <c r="X36" i="42"/>
  <c r="X56" i="42" s="1"/>
  <c r="I90" i="42"/>
  <c r="AB135" i="10"/>
  <c r="J637" i="34"/>
  <c r="J639" i="34" s="1"/>
  <c r="J262" i="34" s="1"/>
  <c r="J51" i="34"/>
  <c r="AA47" i="11"/>
  <c r="AA62" i="11" s="1"/>
  <c r="AB46" i="11"/>
  <c r="M195" i="3"/>
  <c r="O1131" i="7"/>
  <c r="O1134" i="7" s="1"/>
  <c r="O1151" i="7" s="1"/>
  <c r="O1159" i="7" s="1"/>
  <c r="O373" i="7"/>
  <c r="M120" i="3" s="1"/>
  <c r="O37" i="7"/>
  <c r="L8" i="13"/>
  <c r="R1116" i="7" l="1"/>
  <c r="R431" i="7" s="1"/>
  <c r="R436" i="7" s="1"/>
  <c r="AK133" i="10"/>
  <c r="AU133" i="10" s="1"/>
  <c r="R108" i="14"/>
  <c r="S108" i="14" s="1"/>
  <c r="R209" i="14"/>
  <c r="R189" i="14" s="1"/>
  <c r="Q221" i="14"/>
  <c r="R128" i="14"/>
  <c r="S128" i="14" s="1"/>
  <c r="S129" i="14"/>
  <c r="R96" i="14"/>
  <c r="R134" i="14"/>
  <c r="S89" i="14"/>
  <c r="S96" i="14" s="1"/>
  <c r="R763" i="4"/>
  <c r="R765" i="4" s="1"/>
  <c r="R767" i="4" s="1"/>
  <c r="R776" i="4" s="1"/>
  <c r="P160" i="3"/>
  <c r="P161" i="3" s="1"/>
  <c r="S432" i="7"/>
  <c r="Q150" i="14"/>
  <c r="R149" i="14" s="1"/>
  <c r="AH21" i="14" s="1"/>
  <c r="AH66" i="14" s="1"/>
  <c r="AH69" i="14" s="1"/>
  <c r="Q197" i="14"/>
  <c r="Q201" i="14" s="1"/>
  <c r="X87" i="42"/>
  <c r="AC54" i="42"/>
  <c r="N54" i="42" s="1"/>
  <c r="O46" i="60"/>
  <c r="K38" i="60"/>
  <c r="M82" i="42"/>
  <c r="O16" i="60"/>
  <c r="N24" i="34"/>
  <c r="N26" i="34" s="1"/>
  <c r="N411" i="34" s="1"/>
  <c r="N414" i="34" s="1"/>
  <c r="N30" i="34"/>
  <c r="N32" i="34" s="1"/>
  <c r="N68" i="34"/>
  <c r="N426" i="34" s="1"/>
  <c r="N430" i="34" s="1"/>
  <c r="J537" i="34"/>
  <c r="J546" i="34" s="1"/>
  <c r="J547" i="34" s="1"/>
  <c r="J252" i="34" s="1"/>
  <c r="J364" i="34"/>
  <c r="J483" i="34" s="1"/>
  <c r="J487" i="34" s="1"/>
  <c r="J488" i="34" s="1"/>
  <c r="R267" i="4"/>
  <c r="R243" i="4"/>
  <c r="AD19" i="42"/>
  <c r="N38" i="13"/>
  <c r="N41" i="13" s="1"/>
  <c r="N45" i="13"/>
  <c r="AE69" i="14"/>
  <c r="AE73" i="14" s="1"/>
  <c r="AE76" i="14" s="1"/>
  <c r="AG72" i="14" s="1"/>
  <c r="P155" i="3"/>
  <c r="P480" i="34"/>
  <c r="N541" i="34"/>
  <c r="N314" i="34"/>
  <c r="N655" i="34"/>
  <c r="N658" i="34" s="1"/>
  <c r="N665" i="34" s="1"/>
  <c r="N668" i="34" s="1"/>
  <c r="P24" i="3"/>
  <c r="R899" i="4"/>
  <c r="R904" i="4" s="1"/>
  <c r="O81" i="13"/>
  <c r="N296" i="34"/>
  <c r="N525" i="34"/>
  <c r="I141" i="13"/>
  <c r="I144" i="13" s="1"/>
  <c r="I146" i="13" s="1"/>
  <c r="J92" i="3" s="1"/>
  <c r="X60" i="42"/>
  <c r="I60" i="42" s="1"/>
  <c r="I299" i="34"/>
  <c r="I170" i="34" s="1"/>
  <c r="I171" i="34" s="1"/>
  <c r="AM14" i="42"/>
  <c r="AM26" i="42" s="1"/>
  <c r="J73" i="15"/>
  <c r="J13" i="16"/>
  <c r="J20" i="16" s="1"/>
  <c r="J47" i="16" s="1"/>
  <c r="J118" i="16"/>
  <c r="I649" i="34"/>
  <c r="I651" i="34" s="1"/>
  <c r="I266" i="34" s="1"/>
  <c r="I134" i="34"/>
  <c r="I6" i="34"/>
  <c r="I325" i="15"/>
  <c r="I328" i="15"/>
  <c r="J168" i="15"/>
  <c r="I250" i="3"/>
  <c r="I476" i="34"/>
  <c r="I227" i="34" s="1"/>
  <c r="I228" i="34" s="1"/>
  <c r="I237" i="34"/>
  <c r="I248" i="3"/>
  <c r="I360" i="34"/>
  <c r="I184" i="34" s="1"/>
  <c r="I185" i="34" s="1"/>
  <c r="T161" i="11"/>
  <c r="I117" i="17"/>
  <c r="I121" i="17" s="1"/>
  <c r="I123" i="17" s="1"/>
  <c r="I94" i="3" s="1"/>
  <c r="BA59" i="42"/>
  <c r="Y9" i="42"/>
  <c r="M481" i="6"/>
  <c r="M489" i="6" s="1"/>
  <c r="M1606" i="6"/>
  <c r="M1642" i="6" s="1"/>
  <c r="M1644" i="6" s="1"/>
  <c r="J243" i="15"/>
  <c r="J248" i="15" s="1"/>
  <c r="J271" i="15" s="1"/>
  <c r="M2043" i="6"/>
  <c r="V257" i="10"/>
  <c r="U159" i="11" s="1"/>
  <c r="I399" i="34"/>
  <c r="I193" i="34" s="1"/>
  <c r="I194" i="34" s="1"/>
  <c r="J53" i="3"/>
  <c r="J56" i="3" s="1"/>
  <c r="J42" i="3"/>
  <c r="J225" i="15"/>
  <c r="J420" i="34"/>
  <c r="J424" i="34" s="1"/>
  <c r="J432" i="34" s="1"/>
  <c r="J272" i="34" s="1"/>
  <c r="J798" i="34" s="1"/>
  <c r="J61" i="34"/>
  <c r="J76" i="34" s="1"/>
  <c r="J79" i="34" s="1"/>
  <c r="J81" i="34" s="1"/>
  <c r="L10" i="13"/>
  <c r="L15" i="13" s="1"/>
  <c r="J316" i="34"/>
  <c r="J315" i="34"/>
  <c r="O43" i="7"/>
  <c r="O54" i="7" s="1"/>
  <c r="M13" i="3"/>
  <c r="P859" i="7"/>
  <c r="AC46" i="11"/>
  <c r="AB47" i="11"/>
  <c r="R1120" i="7" l="1"/>
  <c r="P197" i="3" s="1"/>
  <c r="AJ60" i="11"/>
  <c r="AK60" i="11" s="1"/>
  <c r="AL60" i="11" s="1"/>
  <c r="R110" i="14"/>
  <c r="AG62" i="14"/>
  <c r="AG63" i="14" s="1"/>
  <c r="S1115" i="7"/>
  <c r="S430" i="7" s="1"/>
  <c r="S48" i="7" s="1"/>
  <c r="Q21" i="3" s="1"/>
  <c r="R148" i="14"/>
  <c r="AG21" i="14" s="1"/>
  <c r="S149" i="14"/>
  <c r="R133" i="14"/>
  <c r="S134" i="14"/>
  <c r="K48" i="60"/>
  <c r="O20" i="60"/>
  <c r="N33" i="34"/>
  <c r="N75" i="34"/>
  <c r="J372" i="34"/>
  <c r="J369" i="34"/>
  <c r="P534" i="34"/>
  <c r="P207" i="15"/>
  <c r="O134" i="13"/>
  <c r="O135" i="13" s="1"/>
  <c r="AD50" i="42"/>
  <c r="P156" i="3"/>
  <c r="P157" i="3" s="1"/>
  <c r="P25" i="3"/>
  <c r="P26" i="3" s="1"/>
  <c r="N221" i="34"/>
  <c r="N669" i="34"/>
  <c r="O19" i="42"/>
  <c r="P51" i="15"/>
  <c r="AD79" i="42"/>
  <c r="Q43" i="60" s="1"/>
  <c r="P481" i="34"/>
  <c r="P535" i="34" s="1"/>
  <c r="R20" i="4"/>
  <c r="R245" i="4"/>
  <c r="AC18" i="42"/>
  <c r="N117" i="13"/>
  <c r="O188" i="15"/>
  <c r="X62" i="42"/>
  <c r="J226" i="15"/>
  <c r="J170" i="15"/>
  <c r="U167" i="11"/>
  <c r="J87" i="13" s="1"/>
  <c r="V159" i="11"/>
  <c r="BA58" i="42"/>
  <c r="H59" i="42"/>
  <c r="I453" i="34"/>
  <c r="I677" i="34"/>
  <c r="I282" i="34" s="1"/>
  <c r="I330" i="15"/>
  <c r="L380" i="8"/>
  <c r="I451" i="34"/>
  <c r="I143" i="34"/>
  <c r="I158" i="34" s="1"/>
  <c r="I161" i="34" s="1"/>
  <c r="I163" i="34" s="1"/>
  <c r="J78" i="15"/>
  <c r="M741" i="6"/>
  <c r="M2047" i="6"/>
  <c r="M510" i="6"/>
  <c r="M13" i="6"/>
  <c r="K41" i="15"/>
  <c r="Y71" i="42"/>
  <c r="L35" i="60" s="1"/>
  <c r="I631" i="34"/>
  <c r="I10" i="34"/>
  <c r="AM36" i="42"/>
  <c r="AM56" i="42" s="1"/>
  <c r="I88" i="42"/>
  <c r="J51" i="16"/>
  <c r="J83" i="16"/>
  <c r="J85" i="16" s="1"/>
  <c r="J274" i="15"/>
  <c r="J89" i="34"/>
  <c r="AC47" i="11"/>
  <c r="AC97" i="10"/>
  <c r="P326" i="7"/>
  <c r="P331" i="7" s="1"/>
  <c r="P864" i="7"/>
  <c r="P941" i="7" s="1"/>
  <c r="P945" i="7" s="1"/>
  <c r="J230" i="34"/>
  <c r="J797" i="34"/>
  <c r="J802" i="34" s="1"/>
  <c r="J317" i="34"/>
  <c r="S1107" i="7" l="1"/>
  <c r="S1109" i="7" s="1"/>
  <c r="S1112" i="7" s="1"/>
  <c r="S414" i="7"/>
  <c r="Q160" i="3" s="1"/>
  <c r="S133" i="14"/>
  <c r="R214" i="14"/>
  <c r="S771" i="4"/>
  <c r="S252" i="4" s="1"/>
  <c r="S40" i="4" s="1"/>
  <c r="Q24" i="3" s="1"/>
  <c r="AG66" i="14"/>
  <c r="S148" i="14"/>
  <c r="R217" i="14"/>
  <c r="S899" i="4"/>
  <c r="S904" i="4" s="1"/>
  <c r="J373" i="34"/>
  <c r="J187" i="34" s="1"/>
  <c r="J188" i="34" s="1"/>
  <c r="J817" i="34" s="1"/>
  <c r="J261" i="3" s="1"/>
  <c r="I457" i="34"/>
  <c r="I462" i="34" s="1"/>
  <c r="I276" i="34" s="1"/>
  <c r="P482" i="34"/>
  <c r="AC24" i="42"/>
  <c r="AC78" i="42"/>
  <c r="N18" i="42"/>
  <c r="O52" i="15"/>
  <c r="P469" i="34"/>
  <c r="O79" i="42"/>
  <c r="Q17" i="60" s="1"/>
  <c r="N796" i="34"/>
  <c r="N805" i="34" s="1"/>
  <c r="N818" i="34"/>
  <c r="R247" i="4"/>
  <c r="R864" i="4"/>
  <c r="R867" i="4" s="1"/>
  <c r="P544" i="34"/>
  <c r="P519" i="34"/>
  <c r="P528" i="34" s="1"/>
  <c r="O66" i="34"/>
  <c r="P152" i="15"/>
  <c r="O809" i="34"/>
  <c r="O133" i="15"/>
  <c r="R30" i="4"/>
  <c r="R23" i="4"/>
  <c r="P20" i="15"/>
  <c r="O50" i="42"/>
  <c r="P468" i="34" s="1"/>
  <c r="AD52" i="42"/>
  <c r="P518" i="34"/>
  <c r="P536" i="34"/>
  <c r="AM59" i="42"/>
  <c r="J119" i="16"/>
  <c r="J123" i="16" s="1"/>
  <c r="J125" i="16" s="1"/>
  <c r="J93" i="3" s="1"/>
  <c r="I405" i="34"/>
  <c r="I19" i="34"/>
  <c r="I34" i="34" s="1"/>
  <c r="I37" i="34" s="1"/>
  <c r="I39" i="34" s="1"/>
  <c r="I246" i="3" s="1"/>
  <c r="M2080" i="6"/>
  <c r="M2086" i="6" s="1"/>
  <c r="M512" i="6"/>
  <c r="L110" i="8"/>
  <c r="L392" i="8"/>
  <c r="L528" i="8" s="1"/>
  <c r="L532" i="8" s="1"/>
  <c r="J643" i="34"/>
  <c r="J645" i="34" s="1"/>
  <c r="J264" i="34" s="1"/>
  <c r="J93" i="34"/>
  <c r="I253" i="3"/>
  <c r="I633" i="34"/>
  <c r="I260" i="34" s="1"/>
  <c r="I175" i="15"/>
  <c r="I406" i="34"/>
  <c r="BA62" i="42"/>
  <c r="H58" i="42"/>
  <c r="H62" i="42" s="1"/>
  <c r="I212" i="3" s="1"/>
  <c r="J276" i="15"/>
  <c r="J279" i="15"/>
  <c r="M746" i="6"/>
  <c r="K101" i="3"/>
  <c r="J55" i="58"/>
  <c r="J56" i="58" s="1"/>
  <c r="V167" i="11"/>
  <c r="K421" i="34" s="1"/>
  <c r="W159" i="11"/>
  <c r="W167" i="11" s="1"/>
  <c r="N1992" i="6"/>
  <c r="M45" i="6"/>
  <c r="M19" i="6"/>
  <c r="J320" i="34"/>
  <c r="J91" i="15"/>
  <c r="J240" i="3" s="1"/>
  <c r="J89" i="15"/>
  <c r="J140" i="13"/>
  <c r="K224" i="15"/>
  <c r="K230" i="15" s="1"/>
  <c r="Y58" i="42"/>
  <c r="K106" i="3"/>
  <c r="J830" i="34"/>
  <c r="J173" i="34"/>
  <c r="J791" i="34"/>
  <c r="J806" i="34" s="1"/>
  <c r="P359" i="7"/>
  <c r="P12" i="7"/>
  <c r="J826" i="34"/>
  <c r="J231" i="34"/>
  <c r="J816" i="34" s="1"/>
  <c r="J260" i="3" s="1"/>
  <c r="AC116" i="10"/>
  <c r="P949" i="7" s="1"/>
  <c r="P368" i="7" s="1"/>
  <c r="P49" i="7" s="1"/>
  <c r="N37" i="3" s="1"/>
  <c r="AE97" i="10"/>
  <c r="P81" i="13" l="1"/>
  <c r="Q207" i="15" s="1"/>
  <c r="Q152" i="15" s="1"/>
  <c r="R194" i="14"/>
  <c r="R135" i="14"/>
  <c r="Q480" i="34"/>
  <c r="AG69" i="14"/>
  <c r="AG73" i="14" s="1"/>
  <c r="AG76" i="14" s="1"/>
  <c r="Q155" i="3"/>
  <c r="S420" i="7"/>
  <c r="AE19" i="42"/>
  <c r="Q161" i="3"/>
  <c r="S238" i="4"/>
  <c r="S243" i="4" s="1"/>
  <c r="S763" i="4"/>
  <c r="S765" i="4" s="1"/>
  <c r="S767" i="4" s="1"/>
  <c r="S776" i="4" s="1"/>
  <c r="R197" i="14"/>
  <c r="R150" i="14"/>
  <c r="R221" i="14"/>
  <c r="AC82" i="42"/>
  <c r="AC88" i="42" s="1"/>
  <c r="P42" i="60"/>
  <c r="J827" i="34"/>
  <c r="P470" i="34"/>
  <c r="J792" i="34"/>
  <c r="J803" i="34" s="1"/>
  <c r="P520" i="34"/>
  <c r="N262" i="3"/>
  <c r="N828" i="34"/>
  <c r="O21" i="15"/>
  <c r="O25" i="15" s="1"/>
  <c r="O293" i="34" s="1"/>
  <c r="O56" i="15"/>
  <c r="O310" i="34" s="1"/>
  <c r="N24" i="42"/>
  <c r="N78" i="42"/>
  <c r="O52" i="42"/>
  <c r="AD54" i="42"/>
  <c r="O54" i="42" s="1"/>
  <c r="R887" i="4"/>
  <c r="R889" i="4" s="1"/>
  <c r="R33" i="4"/>
  <c r="O24" i="34"/>
  <c r="O26" i="34" s="1"/>
  <c r="O411" i="34" s="1"/>
  <c r="O414" i="34" s="1"/>
  <c r="O68" i="34"/>
  <c r="O426" i="34" s="1"/>
  <c r="O430" i="34" s="1"/>
  <c r="O72" i="34"/>
  <c r="R258" i="4"/>
  <c r="R852" i="4"/>
  <c r="R855" i="4" s="1"/>
  <c r="R869" i="4" s="1"/>
  <c r="R873" i="4" s="1"/>
  <c r="L538" i="8"/>
  <c r="L157" i="8" s="1"/>
  <c r="L30" i="8" s="1"/>
  <c r="L537" i="8"/>
  <c r="L156" i="8" s="1"/>
  <c r="L29" i="8" s="1"/>
  <c r="J676" i="34"/>
  <c r="J281" i="34" s="1"/>
  <c r="M194" i="8"/>
  <c r="J438" i="34"/>
  <c r="J281" i="15"/>
  <c r="J102" i="34"/>
  <c r="J117" i="34" s="1"/>
  <c r="J120" i="34" s="1"/>
  <c r="J122" i="34" s="1"/>
  <c r="J436" i="34"/>
  <c r="L113" i="8"/>
  <c r="BB9" i="42"/>
  <c r="I409" i="34"/>
  <c r="I416" i="34" s="1"/>
  <c r="I270" i="34" s="1"/>
  <c r="J377" i="34"/>
  <c r="J553" i="34"/>
  <c r="J560" i="34" s="1"/>
  <c r="J324" i="34"/>
  <c r="N701" i="6"/>
  <c r="N704" i="6" s="1"/>
  <c r="N1996" i="6"/>
  <c r="N2036" i="6" s="1"/>
  <c r="N2038" i="6" s="1"/>
  <c r="K10" i="58"/>
  <c r="K11" i="58" s="1"/>
  <c r="K13" i="58" s="1"/>
  <c r="K107" i="3"/>
  <c r="T241" i="10"/>
  <c r="M2060" i="6"/>
  <c r="M2066" i="6" s="1"/>
  <c r="M2088" i="6" s="1"/>
  <c r="M2094" i="6" s="1"/>
  <c r="J26" i="13"/>
  <c r="M51" i="6"/>
  <c r="AM58" i="42"/>
  <c r="P953" i="7"/>
  <c r="N195" i="3" s="1"/>
  <c r="J174" i="34"/>
  <c r="J820" i="34" s="1"/>
  <c r="J264" i="3" s="1"/>
  <c r="P1146" i="7"/>
  <c r="P1149" i="7" s="1"/>
  <c r="P363" i="7"/>
  <c r="AC135" i="10"/>
  <c r="P34" i="7"/>
  <c r="P15" i="7"/>
  <c r="AE116" i="10"/>
  <c r="AD46" i="11" s="1"/>
  <c r="AE50" i="42" l="1"/>
  <c r="P50" i="42" s="1"/>
  <c r="Q25" i="3"/>
  <c r="Q26" i="3" s="1"/>
  <c r="Q156" i="3"/>
  <c r="Q157" i="3" s="1"/>
  <c r="P134" i="13"/>
  <c r="P135" i="13" s="1"/>
  <c r="R201" i="14"/>
  <c r="Q51" i="15"/>
  <c r="Q481" i="34"/>
  <c r="Q535" i="34" s="1"/>
  <c r="P19" i="42"/>
  <c r="AE79" i="42"/>
  <c r="R43" i="60" s="1"/>
  <c r="S438" i="7"/>
  <c r="S422" i="7"/>
  <c r="S24" i="7"/>
  <c r="Q534" i="34"/>
  <c r="S20" i="4"/>
  <c r="S245" i="4"/>
  <c r="Q468" i="34"/>
  <c r="AE52" i="42"/>
  <c r="P66" i="34"/>
  <c r="P46" i="60"/>
  <c r="N82" i="42"/>
  <c r="P16" i="60"/>
  <c r="O655" i="34"/>
  <c r="O658" i="34" s="1"/>
  <c r="O665" i="34" s="1"/>
  <c r="O668" i="34" s="1"/>
  <c r="O314" i="34"/>
  <c r="O541" i="34"/>
  <c r="O296" i="34"/>
  <c r="O525" i="34"/>
  <c r="R35" i="4"/>
  <c r="R46" i="4" s="1"/>
  <c r="P123" i="3" s="1"/>
  <c r="P16" i="3"/>
  <c r="O30" i="34"/>
  <c r="O32" i="34" s="1"/>
  <c r="O33" i="34" s="1"/>
  <c r="O74" i="34"/>
  <c r="O75" i="34" s="1"/>
  <c r="O37" i="13"/>
  <c r="R891" i="4"/>
  <c r="R893" i="4" s="1"/>
  <c r="K51" i="58"/>
  <c r="K36" i="58"/>
  <c r="K38" i="58" s="1"/>
  <c r="K43" i="58" s="1"/>
  <c r="K54" i="58" s="1"/>
  <c r="L577" i="8"/>
  <c r="L147" i="8"/>
  <c r="BB10" i="42"/>
  <c r="BB14" i="42" s="1"/>
  <c r="BB26" i="42" s="1"/>
  <c r="K15" i="3"/>
  <c r="M56" i="6"/>
  <c r="N17" i="6"/>
  <c r="N49" i="6" s="1"/>
  <c r="N733" i="6"/>
  <c r="AM62" i="42"/>
  <c r="J28" i="13"/>
  <c r="J33" i="13" s="1"/>
  <c r="J44" i="13"/>
  <c r="J329" i="34"/>
  <c r="J330" i="34"/>
  <c r="J103" i="15"/>
  <c r="I9" i="42"/>
  <c r="L541" i="8"/>
  <c r="V241" i="10"/>
  <c r="T259" i="10"/>
  <c r="T261" i="10" s="1"/>
  <c r="K41" i="3" s="1"/>
  <c r="M1650" i="6"/>
  <c r="J382" i="34"/>
  <c r="J385" i="34"/>
  <c r="J495" i="34"/>
  <c r="J499" i="34" s="1"/>
  <c r="J500" i="34" s="1"/>
  <c r="J233" i="34" s="1"/>
  <c r="J234" i="34" s="1"/>
  <c r="J442" i="34"/>
  <c r="J447" i="34" s="1"/>
  <c r="J274" i="34" s="1"/>
  <c r="M201" i="8"/>
  <c r="M335" i="8" s="1"/>
  <c r="M338" i="8" s="1"/>
  <c r="M47" i="8"/>
  <c r="AE135" i="10"/>
  <c r="P373" i="7"/>
  <c r="N120" i="3" s="1"/>
  <c r="P1131" i="7"/>
  <c r="P1134" i="7" s="1"/>
  <c r="P1151" i="7" s="1"/>
  <c r="P1159" i="7" s="1"/>
  <c r="M8" i="13"/>
  <c r="P37" i="7"/>
  <c r="AD47" i="11"/>
  <c r="AD62" i="11" s="1"/>
  <c r="AE46" i="11"/>
  <c r="Q482" i="34" l="1"/>
  <c r="Q518" i="34"/>
  <c r="Q536" i="34"/>
  <c r="S247" i="4"/>
  <c r="S864" i="4"/>
  <c r="S867" i="4" s="1"/>
  <c r="S35" i="7"/>
  <c r="S26" i="7"/>
  <c r="P9" i="13" s="1"/>
  <c r="Q469" i="34"/>
  <c r="Q470" i="34" s="1"/>
  <c r="P79" i="42"/>
  <c r="R17" i="60" s="1"/>
  <c r="S30" i="4"/>
  <c r="S23" i="4"/>
  <c r="S425" i="7"/>
  <c r="S1147" i="7"/>
  <c r="Q519" i="34"/>
  <c r="Q528" i="34" s="1"/>
  <c r="Q544" i="34"/>
  <c r="Q20" i="15"/>
  <c r="P52" i="42"/>
  <c r="AE54" i="42"/>
  <c r="P68" i="34"/>
  <c r="P426" i="34" s="1"/>
  <c r="P430" i="34" s="1"/>
  <c r="P24" i="34"/>
  <c r="P26" i="34" s="1"/>
  <c r="P411" i="34" s="1"/>
  <c r="P414" i="34" s="1"/>
  <c r="P72" i="34"/>
  <c r="P20" i="60"/>
  <c r="O38" i="13"/>
  <c r="O41" i="13" s="1"/>
  <c r="O45" i="13"/>
  <c r="O221" i="34"/>
  <c r="O669" i="34"/>
  <c r="K47" i="58"/>
  <c r="I71" i="42"/>
  <c r="K9" i="60" s="1"/>
  <c r="J331" i="34"/>
  <c r="J176" i="34" s="1"/>
  <c r="J177" i="34" s="1"/>
  <c r="L8" i="8"/>
  <c r="L579" i="8"/>
  <c r="L588" i="8" s="1"/>
  <c r="M1655" i="6"/>
  <c r="M518" i="6"/>
  <c r="AN9" i="42"/>
  <c r="M50" i="8"/>
  <c r="U146" i="11"/>
  <c r="V259" i="10"/>
  <c r="V261" i="10" s="1"/>
  <c r="I89" i="42"/>
  <c r="BB36" i="42"/>
  <c r="BB56" i="42" s="1"/>
  <c r="I56" i="42" s="1"/>
  <c r="I26" i="42"/>
  <c r="I36" i="42" s="1"/>
  <c r="J46" i="13"/>
  <c r="J52" i="13" s="1"/>
  <c r="Y10" i="42"/>
  <c r="K187" i="15"/>
  <c r="J116" i="13"/>
  <c r="J118" i="13" s="1"/>
  <c r="J120" i="13" s="1"/>
  <c r="J126" i="13" s="1"/>
  <c r="J138" i="13" s="1"/>
  <c r="L559" i="8"/>
  <c r="L561" i="8" s="1"/>
  <c r="L151" i="8"/>
  <c r="M344" i="8"/>
  <c r="M93" i="8" s="1"/>
  <c r="M343" i="8"/>
  <c r="J386" i="34"/>
  <c r="J190" i="34" s="1"/>
  <c r="J191" i="34" s="1"/>
  <c r="J10" i="15"/>
  <c r="N735" i="6"/>
  <c r="N2084" i="6"/>
  <c r="J104" i="15"/>
  <c r="J11" i="15" s="1"/>
  <c r="I10" i="42"/>
  <c r="I73" i="42" s="1"/>
  <c r="K11" i="60" s="1"/>
  <c r="N13" i="3"/>
  <c r="P43" i="7"/>
  <c r="P54" i="7" s="1"/>
  <c r="M10" i="13"/>
  <c r="M15" i="13" s="1"/>
  <c r="Q859" i="7"/>
  <c r="AF46" i="11"/>
  <c r="AE47" i="11"/>
  <c r="S1132" i="7" l="1"/>
  <c r="AL133" i="10"/>
  <c r="S852" i="4"/>
  <c r="S855" i="4" s="1"/>
  <c r="S869" i="4" s="1"/>
  <c r="S873" i="4" s="1"/>
  <c r="S258" i="4"/>
  <c r="S887" i="4"/>
  <c r="S889" i="4" s="1"/>
  <c r="S33" i="4"/>
  <c r="Q520" i="34"/>
  <c r="P54" i="42"/>
  <c r="P74" i="34"/>
  <c r="P75" i="34" s="1"/>
  <c r="P30" i="34"/>
  <c r="P32" i="34" s="1"/>
  <c r="P33" i="34" s="1"/>
  <c r="I87" i="42"/>
  <c r="K12" i="60"/>
  <c r="K22" i="60" s="1"/>
  <c r="O796" i="34"/>
  <c r="O805" i="34" s="1"/>
  <c r="O818" i="34"/>
  <c r="P188" i="15"/>
  <c r="AD18" i="42"/>
  <c r="O117" i="13"/>
  <c r="I74" i="42"/>
  <c r="I84" i="42" s="1"/>
  <c r="J16" i="15"/>
  <c r="J27" i="15" s="1"/>
  <c r="I14" i="42"/>
  <c r="W257" i="10"/>
  <c r="N2064" i="6"/>
  <c r="M92" i="8"/>
  <c r="M347" i="8"/>
  <c r="U161" i="11"/>
  <c r="U163" i="11" s="1"/>
  <c r="K220" i="3" s="1"/>
  <c r="V146" i="11"/>
  <c r="J109" i="15"/>
  <c r="L549" i="8"/>
  <c r="L551" i="8" s="1"/>
  <c r="L563" i="8" s="1"/>
  <c r="L568" i="8" s="1"/>
  <c r="L161" i="8"/>
  <c r="J128" i="3" s="1"/>
  <c r="J129" i="3" s="1"/>
  <c r="K42" i="15"/>
  <c r="K47" i="15" s="1"/>
  <c r="K58" i="15" s="1"/>
  <c r="Y14" i="42"/>
  <c r="Y26" i="42" s="1"/>
  <c r="Y73" i="42"/>
  <c r="K72" i="15"/>
  <c r="J6" i="17"/>
  <c r="L10" i="8"/>
  <c r="L19" i="8" s="1"/>
  <c r="L23" i="8" s="1"/>
  <c r="L34" i="8" s="1"/>
  <c r="J59" i="13"/>
  <c r="J83" i="13" s="1"/>
  <c r="K17" i="3"/>
  <c r="K18" i="3" s="1"/>
  <c r="J86" i="13"/>
  <c r="T264" i="10"/>
  <c r="M62" i="6"/>
  <c r="M523" i="6"/>
  <c r="K122" i="3" s="1"/>
  <c r="K124" i="3" s="1"/>
  <c r="K189" i="15"/>
  <c r="K195" i="15" s="1"/>
  <c r="K220" i="15" s="1"/>
  <c r="K47" i="34" s="1"/>
  <c r="K808" i="34"/>
  <c r="K810" i="34" s="1"/>
  <c r="M83" i="8"/>
  <c r="M576" i="8"/>
  <c r="L590" i="8"/>
  <c r="AF47" i="11"/>
  <c r="Q326" i="7"/>
  <c r="Q331" i="7" s="1"/>
  <c r="AF97" i="10"/>
  <c r="Q864" i="7"/>
  <c r="Q941" i="7" s="1"/>
  <c r="Q945" i="7" s="1"/>
  <c r="S35" i="4" l="1"/>
  <c r="S46" i="4" s="1"/>
  <c r="Q123" i="3" s="1"/>
  <c r="Q16" i="3"/>
  <c r="P37" i="13"/>
  <c r="S891" i="4"/>
  <c r="S893" i="4" s="1"/>
  <c r="S1116" i="7"/>
  <c r="AN133" i="10"/>
  <c r="AM60" i="11" s="1"/>
  <c r="AN60" i="11" s="1"/>
  <c r="Y74" i="42"/>
  <c r="Y87" i="42" s="1"/>
  <c r="L37" i="60"/>
  <c r="J29" i="15"/>
  <c r="J288" i="34"/>
  <c r="J292" i="34" s="1"/>
  <c r="AD24" i="42"/>
  <c r="P52" i="15"/>
  <c r="O18" i="42"/>
  <c r="AD78" i="42"/>
  <c r="P133" i="15"/>
  <c r="P809" i="34"/>
  <c r="O828" i="34"/>
  <c r="O262" i="3"/>
  <c r="K303" i="34"/>
  <c r="K364" i="34" s="1"/>
  <c r="K60" i="15"/>
  <c r="K239" i="3" s="1"/>
  <c r="M7" i="8"/>
  <c r="K6" i="16"/>
  <c r="J344" i="34"/>
  <c r="J290" i="15"/>
  <c r="J98" i="17"/>
  <c r="J100" i="17" s="1"/>
  <c r="J102" i="17" s="1"/>
  <c r="J104" i="17" s="1"/>
  <c r="J116" i="17" s="1"/>
  <c r="J8" i="17"/>
  <c r="J13" i="17" s="1"/>
  <c r="J122" i="15"/>
  <c r="J120" i="15"/>
  <c r="J334" i="34"/>
  <c r="M558" i="8"/>
  <c r="M86" i="8"/>
  <c r="M67" i="6"/>
  <c r="K39" i="3"/>
  <c r="J88" i="13"/>
  <c r="K223" i="15"/>
  <c r="J139" i="13"/>
  <c r="K55" i="3"/>
  <c r="Y59" i="42"/>
  <c r="Y36" i="42"/>
  <c r="Y56" i="42" s="1"/>
  <c r="J90" i="42"/>
  <c r="N1599" i="6"/>
  <c r="V161" i="11"/>
  <c r="W146" i="11"/>
  <c r="N2043" i="6"/>
  <c r="Y257" i="10"/>
  <c r="X159" i="11" s="1"/>
  <c r="Q359" i="7"/>
  <c r="Q12" i="7"/>
  <c r="K51" i="34"/>
  <c r="K637" i="34"/>
  <c r="K639" i="34" s="1"/>
  <c r="K262" i="34" s="1"/>
  <c r="AH97" i="10"/>
  <c r="AF116" i="10"/>
  <c r="P38" i="13" l="1"/>
  <c r="P41" i="13" s="1"/>
  <c r="P45" i="13"/>
  <c r="S431" i="7"/>
  <c r="S436" i="7" s="1"/>
  <c r="S1120" i="7"/>
  <c r="Q197" i="3" s="1"/>
  <c r="Q949" i="7"/>
  <c r="Q368" i="7" s="1"/>
  <c r="Q49" i="7" s="1"/>
  <c r="O37" i="3" s="1"/>
  <c r="Y84" i="42"/>
  <c r="Y89" i="42" s="1"/>
  <c r="AD82" i="42"/>
  <c r="AD88" i="42" s="1"/>
  <c r="Q42" i="60"/>
  <c r="L38" i="60"/>
  <c r="K309" i="34"/>
  <c r="K316" i="34" s="1"/>
  <c r="K537" i="34"/>
  <c r="K546" i="34" s="1"/>
  <c r="K547" i="34" s="1"/>
  <c r="K252" i="34" s="1"/>
  <c r="J351" i="34"/>
  <c r="J359" i="34" s="1"/>
  <c r="J521" i="34"/>
  <c r="J530" i="34" s="1"/>
  <c r="J531" i="34" s="1"/>
  <c r="J250" i="34" s="1"/>
  <c r="O78" i="42"/>
  <c r="O24" i="42"/>
  <c r="P21" i="15"/>
  <c r="P25" i="15" s="1"/>
  <c r="P293" i="34" s="1"/>
  <c r="P56" i="15"/>
  <c r="P310" i="34" s="1"/>
  <c r="M97" i="8"/>
  <c r="K127" i="3" s="1"/>
  <c r="M548" i="8"/>
  <c r="Y159" i="11"/>
  <c r="X167" i="11"/>
  <c r="K87" i="13" s="1"/>
  <c r="W161" i="11"/>
  <c r="K225" i="15"/>
  <c r="K168" i="15"/>
  <c r="J298" i="34"/>
  <c r="J297" i="34"/>
  <c r="Y60" i="42"/>
  <c r="J60" i="42" s="1"/>
  <c r="K279" i="3"/>
  <c r="J141" i="13"/>
  <c r="J144" i="13" s="1"/>
  <c r="J146" i="13" s="1"/>
  <c r="K92" i="3" s="1"/>
  <c r="J343" i="34"/>
  <c r="J345" i="34" s="1"/>
  <c r="J179" i="34" s="1"/>
  <c r="J20" i="17"/>
  <c r="J47" i="17" s="1"/>
  <c r="AN10" i="42"/>
  <c r="K8" i="16"/>
  <c r="K241" i="15"/>
  <c r="K100" i="16"/>
  <c r="K102" i="16" s="1"/>
  <c r="K104" i="16" s="1"/>
  <c r="K106" i="16" s="1"/>
  <c r="K53" i="3"/>
  <c r="K56" i="3" s="1"/>
  <c r="K42" i="3"/>
  <c r="J390" i="34"/>
  <c r="J567" i="34"/>
  <c r="J575" i="34" s="1"/>
  <c r="J576" i="34" s="1"/>
  <c r="J256" i="34" s="1"/>
  <c r="J338" i="34"/>
  <c r="J247" i="3" s="1"/>
  <c r="N2047" i="6"/>
  <c r="N741" i="6"/>
  <c r="N481" i="6"/>
  <c r="N489" i="6" s="1"/>
  <c r="N1606" i="6"/>
  <c r="N1642" i="6" s="1"/>
  <c r="N1644" i="6" s="1"/>
  <c r="Z9" i="42"/>
  <c r="J292" i="15"/>
  <c r="J297" i="15" s="1"/>
  <c r="J132" i="15"/>
  <c r="J134" i="15" s="1"/>
  <c r="J140" i="15" s="1"/>
  <c r="AH116" i="10"/>
  <c r="AG46" i="11" s="1"/>
  <c r="Q34" i="7"/>
  <c r="Q15" i="7"/>
  <c r="Q1146" i="7"/>
  <c r="Q1149" i="7" s="1"/>
  <c r="Q363" i="7"/>
  <c r="K483" i="34"/>
  <c r="K487" i="34" s="1"/>
  <c r="K488" i="34" s="1"/>
  <c r="K369" i="34"/>
  <c r="K372" i="34"/>
  <c r="Q953" i="7"/>
  <c r="AF135" i="10"/>
  <c r="K420" i="34"/>
  <c r="K424" i="34" s="1"/>
  <c r="K432" i="34" s="1"/>
  <c r="K272" i="34" s="1"/>
  <c r="K798" i="34" s="1"/>
  <c r="K61" i="34"/>
  <c r="K76" i="34" s="1"/>
  <c r="K79" i="34" s="1"/>
  <c r="K81" i="34" s="1"/>
  <c r="Q188" i="15" l="1"/>
  <c r="AE18" i="42"/>
  <c r="P117" i="13"/>
  <c r="L48" i="60"/>
  <c r="Q46" i="60"/>
  <c r="O82" i="42"/>
  <c r="Q16" i="60"/>
  <c r="K315" i="34"/>
  <c r="K317" i="34" s="1"/>
  <c r="K791" i="34" s="1"/>
  <c r="K806" i="34" s="1"/>
  <c r="J356" i="34"/>
  <c r="J360" i="34" s="1"/>
  <c r="J184" i="34" s="1"/>
  <c r="J185" i="34" s="1"/>
  <c r="J471" i="34"/>
  <c r="J475" i="34" s="1"/>
  <c r="J476" i="34" s="1"/>
  <c r="J227" i="34" s="1"/>
  <c r="J228" i="34" s="1"/>
  <c r="P314" i="34"/>
  <c r="P655" i="34"/>
  <c r="P658" i="34" s="1"/>
  <c r="P665" i="34" s="1"/>
  <c r="P668" i="34" s="1"/>
  <c r="P541" i="34"/>
  <c r="P525" i="34"/>
  <c r="P296" i="34"/>
  <c r="J299" i="34"/>
  <c r="J170" i="34" s="1"/>
  <c r="J171" i="34" s="1"/>
  <c r="J241" i="3"/>
  <c r="J320" i="15"/>
  <c r="L41" i="15"/>
  <c r="Z71" i="42"/>
  <c r="M35" i="60" s="1"/>
  <c r="J507" i="34"/>
  <c r="J511" i="34" s="1"/>
  <c r="J512" i="34" s="1"/>
  <c r="J236" i="34" s="1"/>
  <c r="J398" i="34"/>
  <c r="J395" i="34"/>
  <c r="K243" i="15"/>
  <c r="K248" i="15" s="1"/>
  <c r="K271" i="15" s="1"/>
  <c r="J180" i="34"/>
  <c r="K118" i="16"/>
  <c r="K13" i="16"/>
  <c r="K20" i="16" s="1"/>
  <c r="K47" i="16" s="1"/>
  <c r="N510" i="6"/>
  <c r="N13" i="6"/>
  <c r="AN14" i="42"/>
  <c r="AN26" i="42" s="1"/>
  <c r="K73" i="15"/>
  <c r="K226" i="15"/>
  <c r="K170" i="15"/>
  <c r="L224" i="15"/>
  <c r="L230" i="15" s="1"/>
  <c r="Z58" i="42"/>
  <c r="K140" i="13"/>
  <c r="L106" i="3"/>
  <c r="J165" i="15"/>
  <c r="J238" i="3"/>
  <c r="L101" i="3"/>
  <c r="N746" i="6"/>
  <c r="J51" i="17"/>
  <c r="J130" i="34"/>
  <c r="Y62" i="42"/>
  <c r="Y167" i="11"/>
  <c r="L421" i="34" s="1"/>
  <c r="K55" i="58"/>
  <c r="K56" i="58" s="1"/>
  <c r="Z159" i="11"/>
  <c r="Z167" i="11" s="1"/>
  <c r="O1992" i="6"/>
  <c r="J251" i="3"/>
  <c r="AH135" i="10"/>
  <c r="K373" i="34"/>
  <c r="K792" i="34" s="1"/>
  <c r="K803" i="34" s="1"/>
  <c r="Q373" i="7"/>
  <c r="O120" i="3" s="1"/>
  <c r="Q1131" i="7"/>
  <c r="Q1134" i="7" s="1"/>
  <c r="Q1151" i="7" s="1"/>
  <c r="Q1159" i="7" s="1"/>
  <c r="K797" i="34"/>
  <c r="K802" i="34" s="1"/>
  <c r="K230" i="34"/>
  <c r="AG47" i="11"/>
  <c r="AH46" i="11"/>
  <c r="Q37" i="7"/>
  <c r="N8" i="13"/>
  <c r="O195" i="3"/>
  <c r="Q52" i="15" l="1"/>
  <c r="AE78" i="42"/>
  <c r="AE24" i="42"/>
  <c r="P18" i="42"/>
  <c r="Q809" i="34"/>
  <c r="Q133" i="15"/>
  <c r="Q20" i="60"/>
  <c r="L107" i="3"/>
  <c r="P221" i="34"/>
  <c r="P669" i="34"/>
  <c r="J248" i="3"/>
  <c r="BB59" i="42"/>
  <c r="J117" i="17"/>
  <c r="J121" i="17" s="1"/>
  <c r="J123" i="17" s="1"/>
  <c r="J94" i="3" s="1"/>
  <c r="AN36" i="42"/>
  <c r="AN56" i="42" s="1"/>
  <c r="J88" i="42"/>
  <c r="N45" i="6"/>
  <c r="N19" i="6"/>
  <c r="J134" i="34"/>
  <c r="J649" i="34"/>
  <c r="J651" i="34" s="1"/>
  <c r="J266" i="34" s="1"/>
  <c r="J6" i="34"/>
  <c r="K78" i="15"/>
  <c r="J323" i="15"/>
  <c r="J169" i="15"/>
  <c r="J171" i="15" s="1"/>
  <c r="K89" i="34"/>
  <c r="K83" i="16"/>
  <c r="K85" i="16" s="1"/>
  <c r="K274" i="15"/>
  <c r="K51" i="16"/>
  <c r="J237" i="34"/>
  <c r="J250" i="3"/>
  <c r="K187" i="34"/>
  <c r="K188" i="34" s="1"/>
  <c r="K817" i="34" s="1"/>
  <c r="K261" i="3" s="1"/>
  <c r="L10" i="58"/>
  <c r="L11" i="58" s="1"/>
  <c r="L13" i="58" s="1"/>
  <c r="O701" i="6"/>
  <c r="O704" i="6" s="1"/>
  <c r="O1996" i="6"/>
  <c r="O2036" i="6" s="1"/>
  <c r="O2038" i="6" s="1"/>
  <c r="N512" i="6"/>
  <c r="N2080" i="6"/>
  <c r="N2086" i="6" s="1"/>
  <c r="J399" i="34"/>
  <c r="J193" i="34" s="1"/>
  <c r="K173" i="34"/>
  <c r="K174" i="34" s="1"/>
  <c r="K820" i="34" s="1"/>
  <c r="K264" i="3" s="1"/>
  <c r="K830" i="34"/>
  <c r="K827" i="34"/>
  <c r="K826" i="34"/>
  <c r="K231" i="34"/>
  <c r="K816" i="34" s="1"/>
  <c r="K260" i="3" s="1"/>
  <c r="N10" i="13"/>
  <c r="N15" i="13" s="1"/>
  <c r="Q43" i="7"/>
  <c r="Q54" i="7" s="1"/>
  <c r="O13" i="3"/>
  <c r="AI46" i="11"/>
  <c r="AH47" i="11"/>
  <c r="R859" i="7"/>
  <c r="AG62" i="11"/>
  <c r="AE82" i="42" l="1"/>
  <c r="AE88" i="42" s="1"/>
  <c r="R42" i="60"/>
  <c r="Q21" i="15"/>
  <c r="Q25" i="15" s="1"/>
  <c r="Q293" i="34" s="1"/>
  <c r="Q56" i="15"/>
  <c r="Q310" i="34" s="1"/>
  <c r="P24" i="42"/>
  <c r="P78" i="42"/>
  <c r="S859" i="7"/>
  <c r="P818" i="34"/>
  <c r="P796" i="34"/>
  <c r="P805" i="34" s="1"/>
  <c r="L51" i="58"/>
  <c r="L36" i="58"/>
  <c r="L38" i="58" s="1"/>
  <c r="L43" i="58" s="1"/>
  <c r="L54" i="58" s="1"/>
  <c r="K320" i="34"/>
  <c r="K89" i="15"/>
  <c r="K91" i="15"/>
  <c r="K240" i="3" s="1"/>
  <c r="J194" i="34"/>
  <c r="K93" i="34"/>
  <c r="K643" i="34"/>
  <c r="K645" i="34" s="1"/>
  <c r="K264" i="34" s="1"/>
  <c r="J451" i="34"/>
  <c r="J143" i="34"/>
  <c r="J158" i="34" s="1"/>
  <c r="J161" i="34" s="1"/>
  <c r="J163" i="34" s="1"/>
  <c r="O733" i="6"/>
  <c r="O17" i="6"/>
  <c r="O49" i="6" s="1"/>
  <c r="J10" i="34"/>
  <c r="J631" i="34"/>
  <c r="N51" i="6"/>
  <c r="K26" i="13"/>
  <c r="AN59" i="42"/>
  <c r="K119" i="16"/>
  <c r="K123" i="16" s="1"/>
  <c r="K125" i="16" s="1"/>
  <c r="K93" i="3" s="1"/>
  <c r="W241" i="10"/>
  <c r="N2060" i="6"/>
  <c r="N2066" i="6" s="1"/>
  <c r="N2088" i="6" s="1"/>
  <c r="N2094" i="6" s="1"/>
  <c r="K279" i="15"/>
  <c r="K276" i="15"/>
  <c r="J325" i="15"/>
  <c r="J328" i="15"/>
  <c r="BB58" i="42"/>
  <c r="I59" i="42"/>
  <c r="AI47" i="11"/>
  <c r="AI97" i="10"/>
  <c r="AS97" i="10" s="1"/>
  <c r="R864" i="7"/>
  <c r="R326" i="7"/>
  <c r="Q541" i="34" l="1"/>
  <c r="Q655" i="34"/>
  <c r="Q658" i="34" s="1"/>
  <c r="Q665" i="34" s="1"/>
  <c r="Q668" i="34" s="1"/>
  <c r="Q314" i="34"/>
  <c r="Q525" i="34"/>
  <c r="Q296" i="34"/>
  <c r="P82" i="42"/>
  <c r="R16" i="60"/>
  <c r="R46" i="60"/>
  <c r="S326" i="7"/>
  <c r="S331" i="7" s="1"/>
  <c r="S864" i="7"/>
  <c r="S941" i="7" s="1"/>
  <c r="S945" i="7" s="1"/>
  <c r="AL97" i="10"/>
  <c r="R941" i="7"/>
  <c r="R331" i="7"/>
  <c r="P262" i="3"/>
  <c r="P828" i="34"/>
  <c r="L47" i="58"/>
  <c r="K44" i="13"/>
  <c r="K28" i="13"/>
  <c r="K33" i="13" s="1"/>
  <c r="BB62" i="42"/>
  <c r="I58" i="42"/>
  <c r="I62" i="42" s="1"/>
  <c r="J212" i="3" s="1"/>
  <c r="K438" i="34"/>
  <c r="K676" i="34"/>
  <c r="K281" i="34" s="1"/>
  <c r="K281" i="15"/>
  <c r="N194" i="8"/>
  <c r="AN58" i="42"/>
  <c r="L15" i="3"/>
  <c r="N56" i="6"/>
  <c r="O2084" i="6"/>
  <c r="O735" i="6"/>
  <c r="K377" i="34"/>
  <c r="K324" i="34"/>
  <c r="K553" i="34"/>
  <c r="K560" i="34" s="1"/>
  <c r="J677" i="34"/>
  <c r="J282" i="34" s="1"/>
  <c r="J453" i="34"/>
  <c r="J457" i="34" s="1"/>
  <c r="J462" i="34" s="1"/>
  <c r="J276" i="34" s="1"/>
  <c r="M380" i="8"/>
  <c r="J330" i="15"/>
  <c r="J633" i="34"/>
  <c r="J260" i="34" s="1"/>
  <c r="J253" i="3"/>
  <c r="K102" i="34"/>
  <c r="K117" i="34" s="1"/>
  <c r="K120" i="34" s="1"/>
  <c r="K122" i="34" s="1"/>
  <c r="K436" i="34"/>
  <c r="N1650" i="6"/>
  <c r="Y241" i="10"/>
  <c r="W259" i="10"/>
  <c r="W261" i="10" s="1"/>
  <c r="L41" i="3" s="1"/>
  <c r="J405" i="34"/>
  <c r="J19" i="34"/>
  <c r="J34" i="34" s="1"/>
  <c r="J37" i="34" s="1"/>
  <c r="J39" i="34" s="1"/>
  <c r="J246" i="3" s="1"/>
  <c r="AI116" i="10"/>
  <c r="AK97" i="10"/>
  <c r="AU97" i="10" s="1"/>
  <c r="R20" i="60" l="1"/>
  <c r="Q221" i="34"/>
  <c r="Q669" i="34"/>
  <c r="AN97" i="10"/>
  <c r="AL116" i="10"/>
  <c r="S949" i="7" s="1"/>
  <c r="S368" i="7" s="1"/>
  <c r="S49" i="7" s="1"/>
  <c r="Q37" i="3" s="1"/>
  <c r="S12" i="7"/>
  <c r="S359" i="7"/>
  <c r="S363" i="7" s="1"/>
  <c r="S1131" i="7" s="1"/>
  <c r="S1134" i="7" s="1"/>
  <c r="S1151" i="7" s="1"/>
  <c r="R359" i="7"/>
  <c r="R363" i="7" s="1"/>
  <c r="R12" i="7"/>
  <c r="R15" i="7" s="1"/>
  <c r="R949" i="7"/>
  <c r="AS116" i="10"/>
  <c r="R945" i="7"/>
  <c r="K442" i="34"/>
  <c r="K447" i="34" s="1"/>
  <c r="K274" i="34" s="1"/>
  <c r="N518" i="6"/>
  <c r="N1655" i="6"/>
  <c r="K385" i="34"/>
  <c r="K382" i="34"/>
  <c r="K495" i="34"/>
  <c r="K499" i="34" s="1"/>
  <c r="K500" i="34" s="1"/>
  <c r="K233" i="34" s="1"/>
  <c r="K234" i="34" s="1"/>
  <c r="O2064" i="6"/>
  <c r="Z257" i="10"/>
  <c r="AN62" i="42"/>
  <c r="J175" i="15"/>
  <c r="J406" i="34"/>
  <c r="J409" i="34" s="1"/>
  <c r="J416" i="34" s="1"/>
  <c r="J270" i="34" s="1"/>
  <c r="X146" i="11"/>
  <c r="Y259" i="10"/>
  <c r="Y261" i="10" s="1"/>
  <c r="M392" i="8"/>
  <c r="M528" i="8" s="1"/>
  <c r="M532" i="8" s="1"/>
  <c r="M110" i="8"/>
  <c r="K330" i="34"/>
  <c r="K329" i="34"/>
  <c r="N47" i="8"/>
  <c r="N201" i="8"/>
  <c r="N335" i="8" s="1"/>
  <c r="N338" i="8" s="1"/>
  <c r="Z10" i="42"/>
  <c r="K46" i="13"/>
  <c r="K52" i="13" s="1"/>
  <c r="K116" i="13"/>
  <c r="K118" i="13" s="1"/>
  <c r="K120" i="13" s="1"/>
  <c r="K126" i="13" s="1"/>
  <c r="K138" i="13" s="1"/>
  <c r="L187" i="15"/>
  <c r="AI135" i="10"/>
  <c r="AS135" i="10" s="1"/>
  <c r="AK116" i="10"/>
  <c r="Q796" i="34" l="1"/>
  <c r="Q805" i="34" s="1"/>
  <c r="Q818" i="34"/>
  <c r="S1146" i="7"/>
  <c r="S1149" i="7" s="1"/>
  <c r="S1159" i="7" s="1"/>
  <c r="S15" i="7"/>
  <c r="S37" i="7" s="1"/>
  <c r="S43" i="7" s="1"/>
  <c r="S34" i="7"/>
  <c r="AN116" i="10"/>
  <c r="AM46" i="11" s="1"/>
  <c r="AM47" i="11" s="1"/>
  <c r="AM62" i="11" s="1"/>
  <c r="AL135" i="10"/>
  <c r="P8" i="13"/>
  <c r="S369" i="7"/>
  <c r="S50" i="7" s="1"/>
  <c r="S953" i="7"/>
  <c r="R1146" i="7"/>
  <c r="R368" i="7"/>
  <c r="R49" i="7" s="1"/>
  <c r="R34" i="7"/>
  <c r="AJ46" i="11"/>
  <c r="AJ47" i="11" s="1"/>
  <c r="AJ62" i="11" s="1"/>
  <c r="AU116" i="10"/>
  <c r="R953" i="7"/>
  <c r="K331" i="34"/>
  <c r="K176" i="34" s="1"/>
  <c r="K177" i="34" s="1"/>
  <c r="N343" i="8"/>
  <c r="N344" i="8"/>
  <c r="N93" i="8" s="1"/>
  <c r="BC9" i="42"/>
  <c r="M113" i="8"/>
  <c r="AB257" i="10"/>
  <c r="AA159" i="11" s="1"/>
  <c r="O2043" i="6"/>
  <c r="K386" i="34"/>
  <c r="K190" i="34" s="1"/>
  <c r="K191" i="34" s="1"/>
  <c r="K59" i="13"/>
  <c r="K83" i="13" s="1"/>
  <c r="L17" i="3"/>
  <c r="L18" i="3" s="1"/>
  <c r="AO9" i="42"/>
  <c r="N50" i="8"/>
  <c r="M538" i="8"/>
  <c r="M157" i="8" s="1"/>
  <c r="M30" i="8" s="1"/>
  <c r="M537" i="8"/>
  <c r="M156" i="8" s="1"/>
  <c r="M29" i="8" s="1"/>
  <c r="L42" i="15"/>
  <c r="L47" i="15" s="1"/>
  <c r="L60" i="15" s="1"/>
  <c r="Z73" i="42"/>
  <c r="Z14" i="42"/>
  <c r="Z26" i="42" s="1"/>
  <c r="W264" i="10"/>
  <c r="K86" i="13"/>
  <c r="L189" i="15"/>
  <c r="L195" i="15" s="1"/>
  <c r="L220" i="15" s="1"/>
  <c r="L47" i="34" s="1"/>
  <c r="L808" i="34"/>
  <c r="L810" i="34" s="1"/>
  <c r="Y146" i="11"/>
  <c r="X161" i="11"/>
  <c r="X163" i="11" s="1"/>
  <c r="L220" i="3" s="1"/>
  <c r="N523" i="6"/>
  <c r="L122" i="3" s="1"/>
  <c r="L124" i="3" s="1"/>
  <c r="N62" i="6"/>
  <c r="R1131" i="7"/>
  <c r="R37" i="7"/>
  <c r="O8" i="13"/>
  <c r="AK135" i="10"/>
  <c r="AU135" i="10" s="1"/>
  <c r="Q828" i="34" l="1"/>
  <c r="Q262" i="3"/>
  <c r="S54" i="7"/>
  <c r="AN135" i="10"/>
  <c r="Q13" i="3"/>
  <c r="Q195" i="3"/>
  <c r="P10" i="13"/>
  <c r="P15" i="13" s="1"/>
  <c r="S373" i="7"/>
  <c r="Q120" i="3" s="1"/>
  <c r="Z74" i="42"/>
  <c r="Z87" i="42" s="1"/>
  <c r="M37" i="60"/>
  <c r="R373" i="7"/>
  <c r="P120" i="3" s="1"/>
  <c r="R1149" i="7"/>
  <c r="AK46" i="11"/>
  <c r="R1134" i="7"/>
  <c r="P195" i="3"/>
  <c r="P37" i="3"/>
  <c r="L303" i="34"/>
  <c r="L309" i="34" s="1"/>
  <c r="L239" i="3"/>
  <c r="L58" i="15"/>
  <c r="K88" i="13"/>
  <c r="BC10" i="42"/>
  <c r="BC14" i="42" s="1"/>
  <c r="BC26" i="42" s="1"/>
  <c r="M577" i="8"/>
  <c r="M147" i="8"/>
  <c r="K139" i="13"/>
  <c r="Z59" i="42"/>
  <c r="L223" i="15"/>
  <c r="L55" i="3"/>
  <c r="N576" i="8"/>
  <c r="N83" i="8"/>
  <c r="K103" i="15"/>
  <c r="J9" i="42"/>
  <c r="Y161" i="11"/>
  <c r="O1599" i="6"/>
  <c r="Z146" i="11"/>
  <c r="M541" i="8"/>
  <c r="L72" i="15"/>
  <c r="O2047" i="6"/>
  <c r="O741" i="6"/>
  <c r="L39" i="3"/>
  <c r="N67" i="6"/>
  <c r="Z36" i="42"/>
  <c r="Z56" i="42" s="1"/>
  <c r="K90" i="42"/>
  <c r="AA167" i="11"/>
  <c r="L87" i="13" s="1"/>
  <c r="AB159" i="11"/>
  <c r="N92" i="8"/>
  <c r="N347" i="8"/>
  <c r="O10" i="13"/>
  <c r="O15" i="13" s="1"/>
  <c r="R43" i="7"/>
  <c r="P13" i="3"/>
  <c r="L51" i="34"/>
  <c r="L637" i="34"/>
  <c r="L639" i="34" s="1"/>
  <c r="L262" i="34" s="1"/>
  <c r="AK47" i="11" l="1"/>
  <c r="AL46" i="11"/>
  <c r="Q45" i="3"/>
  <c r="Z84" i="42"/>
  <c r="Z89" i="42" s="1"/>
  <c r="M38" i="60"/>
  <c r="R54" i="7"/>
  <c r="R1151" i="7"/>
  <c r="L364" i="34"/>
  <c r="L372" i="34" s="1"/>
  <c r="L537" i="34"/>
  <c r="L546" i="34" s="1"/>
  <c r="L547" i="34" s="1"/>
  <c r="L252" i="34" s="1"/>
  <c r="N86" i="8"/>
  <c r="N558" i="8"/>
  <c r="K104" i="15"/>
  <c r="K11" i="15" s="1"/>
  <c r="J10" i="42"/>
  <c r="J73" i="42" s="1"/>
  <c r="L11" i="60" s="1"/>
  <c r="M101" i="3"/>
  <c r="O746" i="6"/>
  <c r="J71" i="42"/>
  <c r="L9" i="60" s="1"/>
  <c r="L6" i="16"/>
  <c r="N7" i="8"/>
  <c r="K141" i="13"/>
  <c r="K144" i="13" s="1"/>
  <c r="K146" i="13" s="1"/>
  <c r="L92" i="3" s="1"/>
  <c r="Z60" i="42"/>
  <c r="K60" i="42" s="1"/>
  <c r="L279" i="3"/>
  <c r="AB167" i="11"/>
  <c r="M421" i="34" s="1"/>
  <c r="P1992" i="6"/>
  <c r="L55" i="58"/>
  <c r="L56" i="58" s="1"/>
  <c r="AC159" i="11"/>
  <c r="AC167" i="11" s="1"/>
  <c r="Z161" i="11"/>
  <c r="P1599" i="6"/>
  <c r="J89" i="42"/>
  <c r="BC36" i="42"/>
  <c r="BC56" i="42" s="1"/>
  <c r="J56" i="42" s="1"/>
  <c r="J26" i="42"/>
  <c r="J36" i="42" s="1"/>
  <c r="M151" i="8"/>
  <c r="M559" i="8"/>
  <c r="M561" i="8" s="1"/>
  <c r="M224" i="15"/>
  <c r="M230" i="15" s="1"/>
  <c r="AA58" i="42"/>
  <c r="M106" i="3"/>
  <c r="L140" i="13"/>
  <c r="L53" i="3"/>
  <c r="L56" i="3" s="1"/>
  <c r="L42" i="3"/>
  <c r="O1606" i="6"/>
  <c r="O1642" i="6" s="1"/>
  <c r="O1644" i="6" s="1"/>
  <c r="O481" i="6"/>
  <c r="O489" i="6" s="1"/>
  <c r="AA9" i="42"/>
  <c r="K10" i="15"/>
  <c r="L168" i="15"/>
  <c r="L225" i="15"/>
  <c r="M8" i="8"/>
  <c r="M579" i="8"/>
  <c r="M588" i="8" s="1"/>
  <c r="L420" i="34"/>
  <c r="L424" i="34" s="1"/>
  <c r="L432" i="34" s="1"/>
  <c r="L272" i="34" s="1"/>
  <c r="L798" i="34" s="1"/>
  <c r="L61" i="34"/>
  <c r="L76" i="34" s="1"/>
  <c r="L79" i="34" s="1"/>
  <c r="L81" i="34" s="1"/>
  <c r="L315" i="34"/>
  <c r="L316" i="34"/>
  <c r="AL47" i="11" l="1"/>
  <c r="AN46" i="11"/>
  <c r="M48" i="60"/>
  <c r="J87" i="42"/>
  <c r="L12" i="60"/>
  <c r="L22" i="60" s="1"/>
  <c r="R1159" i="7"/>
  <c r="M590" i="8"/>
  <c r="L369" i="34"/>
  <c r="L373" i="34" s="1"/>
  <c r="L187" i="34" s="1"/>
  <c r="K109" i="15"/>
  <c r="K122" i="15" s="1"/>
  <c r="L483" i="34"/>
  <c r="L487" i="34" s="1"/>
  <c r="L488" i="34" s="1"/>
  <c r="L230" i="34" s="1"/>
  <c r="J74" i="42"/>
  <c r="J84" i="42" s="1"/>
  <c r="L226" i="15"/>
  <c r="L170" i="15"/>
  <c r="M41" i="15"/>
  <c r="AA71" i="42"/>
  <c r="N35" i="60" s="1"/>
  <c r="M161" i="8"/>
  <c r="K128" i="3" s="1"/>
  <c r="K129" i="3" s="1"/>
  <c r="M549" i="8"/>
  <c r="M551" i="8" s="1"/>
  <c r="M563" i="8" s="1"/>
  <c r="M568" i="8" s="1"/>
  <c r="P481" i="6"/>
  <c r="P489" i="6" s="1"/>
  <c r="AB9" i="42"/>
  <c r="P1606" i="6"/>
  <c r="P1642" i="6" s="1"/>
  <c r="P1644" i="6" s="1"/>
  <c r="P701" i="6"/>
  <c r="P704" i="6" s="1"/>
  <c r="M10" i="58"/>
  <c r="M11" i="58" s="1"/>
  <c r="M13" i="58" s="1"/>
  <c r="P1996" i="6"/>
  <c r="P2036" i="6" s="1"/>
  <c r="P2038" i="6" s="1"/>
  <c r="L241" i="15"/>
  <c r="AO10" i="42"/>
  <c r="L100" i="16"/>
  <c r="L102" i="16" s="1"/>
  <c r="L104" i="16" s="1"/>
  <c r="L106" i="16" s="1"/>
  <c r="L8" i="16"/>
  <c r="M107" i="3"/>
  <c r="K16" i="15"/>
  <c r="J14" i="42"/>
  <c r="Z62" i="42"/>
  <c r="O13" i="6"/>
  <c r="O510" i="6"/>
  <c r="K6" i="17"/>
  <c r="M10" i="8"/>
  <c r="M19" i="8" s="1"/>
  <c r="M23" i="8" s="1"/>
  <c r="M34" i="8" s="1"/>
  <c r="N548" i="8"/>
  <c r="N97" i="8"/>
  <c r="L127" i="3" s="1"/>
  <c r="L317" i="34"/>
  <c r="L791" i="34" s="1"/>
  <c r="L806" i="34" s="1"/>
  <c r="AN47" i="11" l="1"/>
  <c r="K120" i="15"/>
  <c r="K334" i="34"/>
  <c r="K338" i="34" s="1"/>
  <c r="L792" i="34"/>
  <c r="L803" i="34" s="1"/>
  <c r="L797" i="34"/>
  <c r="L802" i="34" s="1"/>
  <c r="L827" i="34"/>
  <c r="N41" i="15"/>
  <c r="AB71" i="42"/>
  <c r="O35" i="60" s="1"/>
  <c r="O512" i="6"/>
  <c r="O2080" i="6"/>
  <c r="O2086" i="6" s="1"/>
  <c r="O45" i="6"/>
  <c r="O19" i="6"/>
  <c r="K29" i="15"/>
  <c r="K27" i="15"/>
  <c r="K288" i="34"/>
  <c r="AO14" i="42"/>
  <c r="AO26" i="42" s="1"/>
  <c r="L73" i="15"/>
  <c r="P510" i="6"/>
  <c r="P13" i="6"/>
  <c r="K98" i="17"/>
  <c r="K100" i="17" s="1"/>
  <c r="K102" i="17" s="1"/>
  <c r="K104" i="17" s="1"/>
  <c r="K116" i="17" s="1"/>
  <c r="K8" i="17"/>
  <c r="K13" i="17" s="1"/>
  <c r="K290" i="15"/>
  <c r="K344" i="34"/>
  <c r="L243" i="15"/>
  <c r="L248" i="15" s="1"/>
  <c r="L271" i="15" s="1"/>
  <c r="P17" i="6"/>
  <c r="P49" i="6" s="1"/>
  <c r="P733" i="6"/>
  <c r="L118" i="16"/>
  <c r="L13" i="16"/>
  <c r="L20" i="16" s="1"/>
  <c r="L47" i="16" s="1"/>
  <c r="M36" i="58"/>
  <c r="M38" i="58" s="1"/>
  <c r="M51" i="58"/>
  <c r="L173" i="34"/>
  <c r="L174" i="34" s="1"/>
  <c r="L820" i="34" s="1"/>
  <c r="L264" i="3" s="1"/>
  <c r="L830" i="34"/>
  <c r="L826" i="34"/>
  <c r="L231" i="34"/>
  <c r="L816" i="34" s="1"/>
  <c r="L260" i="3" s="1"/>
  <c r="L188" i="34"/>
  <c r="L817" i="34" s="1"/>
  <c r="L261" i="3" s="1"/>
  <c r="K567" i="34" l="1"/>
  <c r="K575" i="34" s="1"/>
  <c r="K576" i="34" s="1"/>
  <c r="K256" i="34" s="1"/>
  <c r="K390" i="34"/>
  <c r="K395" i="34" s="1"/>
  <c r="K20" i="17"/>
  <c r="K47" i="17" s="1"/>
  <c r="K343" i="34"/>
  <c r="K345" i="34" s="1"/>
  <c r="K179" i="34" s="1"/>
  <c r="L78" i="15"/>
  <c r="K88" i="42"/>
  <c r="AO36" i="42"/>
  <c r="AO56" i="42" s="1"/>
  <c r="O2060" i="6"/>
  <c r="O2066" i="6" s="1"/>
  <c r="O2088" i="6" s="1"/>
  <c r="O2094" i="6" s="1"/>
  <c r="Z241" i="10"/>
  <c r="M43" i="58"/>
  <c r="M54" i="58" s="1"/>
  <c r="P2084" i="6"/>
  <c r="P735" i="6"/>
  <c r="P19" i="6"/>
  <c r="P45" i="6"/>
  <c r="L26" i="13"/>
  <c r="O51" i="6"/>
  <c r="L83" i="16"/>
  <c r="L85" i="16" s="1"/>
  <c r="L51" i="16"/>
  <c r="L89" i="34"/>
  <c r="L274" i="15"/>
  <c r="K292" i="15"/>
  <c r="K297" i="15" s="1"/>
  <c r="K132" i="15"/>
  <c r="K134" i="15" s="1"/>
  <c r="K140" i="15" s="1"/>
  <c r="K165" i="15" s="1"/>
  <c r="P2080" i="6"/>
  <c r="P512" i="6"/>
  <c r="K521" i="34"/>
  <c r="K530" i="34" s="1"/>
  <c r="K351" i="34"/>
  <c r="K292" i="34"/>
  <c r="M47" i="58" l="1"/>
  <c r="K398" i="34"/>
  <c r="K399" i="34" s="1"/>
  <c r="K193" i="34" s="1"/>
  <c r="K507" i="34"/>
  <c r="K511" i="34" s="1"/>
  <c r="K512" i="34" s="1"/>
  <c r="K236" i="34" s="1"/>
  <c r="K237" i="34" s="1"/>
  <c r="P2086" i="6"/>
  <c r="K356" i="34"/>
  <c r="K471" i="34"/>
  <c r="K475" i="34" s="1"/>
  <c r="K359" i="34"/>
  <c r="L119" i="16"/>
  <c r="L123" i="16" s="1"/>
  <c r="L125" i="16" s="1"/>
  <c r="L93" i="3" s="1"/>
  <c r="AO59" i="42"/>
  <c r="AO58" i="42" s="1"/>
  <c r="K238" i="3"/>
  <c r="L320" i="34"/>
  <c r="L91" i="15"/>
  <c r="L240" i="3" s="1"/>
  <c r="L89" i="15"/>
  <c r="K531" i="34"/>
  <c r="K250" i="34" s="1"/>
  <c r="K251" i="3"/>
  <c r="K320" i="15"/>
  <c r="K241" i="3"/>
  <c r="M26" i="13"/>
  <c r="P51" i="6"/>
  <c r="P2060" i="6"/>
  <c r="AC241" i="10"/>
  <c r="L279" i="15"/>
  <c r="L276" i="15"/>
  <c r="O56" i="6"/>
  <c r="M15" i="3"/>
  <c r="P2064" i="6"/>
  <c r="AC257" i="10"/>
  <c r="Z259" i="10"/>
  <c r="Z261" i="10" s="1"/>
  <c r="M41" i="3" s="1"/>
  <c r="AB241" i="10"/>
  <c r="O1650" i="6"/>
  <c r="K180" i="34"/>
  <c r="K247" i="3"/>
  <c r="K297" i="34"/>
  <c r="K298" i="34"/>
  <c r="L643" i="34"/>
  <c r="L645" i="34" s="1"/>
  <c r="L264" i="34" s="1"/>
  <c r="L93" i="34"/>
  <c r="L28" i="13"/>
  <c r="L33" i="13" s="1"/>
  <c r="L44" i="13"/>
  <c r="K51" i="17"/>
  <c r="K130" i="34"/>
  <c r="K299" i="34" l="1"/>
  <c r="K170" i="34" s="1"/>
  <c r="K171" i="34" s="1"/>
  <c r="P2066" i="6"/>
  <c r="P2088" i="6" s="1"/>
  <c r="P2094" i="6" s="1"/>
  <c r="BC59" i="42"/>
  <c r="K117" i="17"/>
  <c r="K121" i="17" s="1"/>
  <c r="K123" i="17" s="1"/>
  <c r="K94" i="3" s="1"/>
  <c r="L102" i="34"/>
  <c r="L117" i="34" s="1"/>
  <c r="L120" i="34" s="1"/>
  <c r="L122" i="34" s="1"/>
  <c r="L436" i="34"/>
  <c r="AA146" i="11"/>
  <c r="Q1599" i="6" s="1"/>
  <c r="AB259" i="10"/>
  <c r="AB261" i="10" s="1"/>
  <c r="AE241" i="10"/>
  <c r="P1650" i="6"/>
  <c r="AC259" i="10"/>
  <c r="AC261" i="10" s="1"/>
  <c r="N41" i="3" s="1"/>
  <c r="K323" i="15"/>
  <c r="K169" i="15"/>
  <c r="K171" i="15" s="1"/>
  <c r="P56" i="6"/>
  <c r="N15" i="3"/>
  <c r="L324" i="34"/>
  <c r="L553" i="34"/>
  <c r="L560" i="34" s="1"/>
  <c r="L377" i="34"/>
  <c r="K194" i="34"/>
  <c r="M187" i="15"/>
  <c r="L116" i="13"/>
  <c r="L118" i="13" s="1"/>
  <c r="L120" i="13" s="1"/>
  <c r="L126" i="13" s="1"/>
  <c r="L138" i="13" s="1"/>
  <c r="L46" i="13"/>
  <c r="L52" i="13" s="1"/>
  <c r="AA10" i="42"/>
  <c r="AO62" i="42"/>
  <c r="AE257" i="10"/>
  <c r="AD159" i="11" s="1"/>
  <c r="P2043" i="6"/>
  <c r="M28" i="13"/>
  <c r="M33" i="13" s="1"/>
  <c r="M44" i="13"/>
  <c r="K250" i="3"/>
  <c r="K476" i="34"/>
  <c r="K227" i="34" s="1"/>
  <c r="K228" i="34" s="1"/>
  <c r="K134" i="34"/>
  <c r="K649" i="34"/>
  <c r="K651" i="34" s="1"/>
  <c r="K266" i="34" s="1"/>
  <c r="K6" i="34"/>
  <c r="O1655" i="6"/>
  <c r="O518" i="6"/>
  <c r="L676" i="34"/>
  <c r="L281" i="34" s="1"/>
  <c r="L281" i="15"/>
  <c r="L438" i="34"/>
  <c r="O194" i="8"/>
  <c r="K248" i="3"/>
  <c r="K360" i="34"/>
  <c r="K184" i="34" s="1"/>
  <c r="K185" i="34" s="1"/>
  <c r="Q481" i="6" l="1"/>
  <c r="Q489" i="6" s="1"/>
  <c r="Q1606" i="6"/>
  <c r="Q1642" i="6" s="1"/>
  <c r="Q1644" i="6" s="1"/>
  <c r="L86" i="13"/>
  <c r="Z264" i="10"/>
  <c r="K10" i="34"/>
  <c r="K631" i="34"/>
  <c r="M808" i="34"/>
  <c r="M810" i="34" s="1"/>
  <c r="M189" i="15"/>
  <c r="M195" i="15" s="1"/>
  <c r="M220" i="15" s="1"/>
  <c r="M47" i="34" s="1"/>
  <c r="AE259" i="10"/>
  <c r="AE261" i="10" s="1"/>
  <c r="AD146" i="11"/>
  <c r="AD161" i="11" s="1"/>
  <c r="AD163" i="11" s="1"/>
  <c r="L442" i="34"/>
  <c r="L447" i="34" s="1"/>
  <c r="L274" i="34" s="1"/>
  <c r="P741" i="6"/>
  <c r="P2047" i="6"/>
  <c r="AA14" i="42"/>
  <c r="AA26" i="42" s="1"/>
  <c r="AA73" i="42"/>
  <c r="M42" i="15"/>
  <c r="M47" i="15" s="1"/>
  <c r="M58" i="15" s="1"/>
  <c r="L329" i="34"/>
  <c r="L330" i="34"/>
  <c r="K325" i="15"/>
  <c r="K328" i="15"/>
  <c r="O201" i="8"/>
  <c r="O335" i="8" s="1"/>
  <c r="O338" i="8" s="1"/>
  <c r="O47" i="8"/>
  <c r="O62" i="6"/>
  <c r="O523" i="6"/>
  <c r="M122" i="3" s="1"/>
  <c r="M124" i="3" s="1"/>
  <c r="AD167" i="11"/>
  <c r="M87" i="13" s="1"/>
  <c r="AE159" i="11"/>
  <c r="Q1992" i="6" s="1"/>
  <c r="M17" i="3"/>
  <c r="M18" i="3" s="1"/>
  <c r="L59" i="13"/>
  <c r="L83" i="13" s="1"/>
  <c r="K451" i="34"/>
  <c r="K143" i="34"/>
  <c r="K158" i="34" s="1"/>
  <c r="K161" i="34" s="1"/>
  <c r="K163" i="34" s="1"/>
  <c r="AB10" i="42"/>
  <c r="M46" i="13"/>
  <c r="M52" i="13" s="1"/>
  <c r="M116" i="13"/>
  <c r="M118" i="13" s="1"/>
  <c r="M120" i="13" s="1"/>
  <c r="M126" i="13" s="1"/>
  <c r="M138" i="13" s="1"/>
  <c r="N187" i="15"/>
  <c r="L382" i="34"/>
  <c r="L495" i="34"/>
  <c r="L499" i="34" s="1"/>
  <c r="L500" i="34" s="1"/>
  <c r="L233" i="34" s="1"/>
  <c r="L234" i="34" s="1"/>
  <c r="L385" i="34"/>
  <c r="P518" i="6"/>
  <c r="P1655" i="6"/>
  <c r="AB146" i="11"/>
  <c r="AA161" i="11"/>
  <c r="AA163" i="11" s="1"/>
  <c r="M220" i="3" s="1"/>
  <c r="BC58" i="42"/>
  <c r="J59" i="42"/>
  <c r="Q701" i="6" l="1"/>
  <c r="Q704" i="6" s="1"/>
  <c r="Q1996" i="6"/>
  <c r="Q2036" i="6" s="1"/>
  <c r="Q2038" i="6" s="1"/>
  <c r="Q13" i="6"/>
  <c r="Q510" i="6"/>
  <c r="AA74" i="42"/>
  <c r="AA87" i="42" s="1"/>
  <c r="N37" i="60"/>
  <c r="M303" i="34"/>
  <c r="M364" i="34" s="1"/>
  <c r="L88" i="13"/>
  <c r="AA60" i="42" s="1"/>
  <c r="L60" i="42" s="1"/>
  <c r="M60" i="15"/>
  <c r="M239" i="3" s="1"/>
  <c r="L331" i="34"/>
  <c r="L176" i="34" s="1"/>
  <c r="L177" i="34" s="1"/>
  <c r="M86" i="13"/>
  <c r="AB59" i="42" s="1"/>
  <c r="L386" i="34"/>
  <c r="L190" i="34" s="1"/>
  <c r="L191" i="34" s="1"/>
  <c r="N220" i="3"/>
  <c r="AB14" i="42"/>
  <c r="AB26" i="42" s="1"/>
  <c r="AB73" i="42"/>
  <c r="N42" i="15"/>
  <c r="N47" i="15" s="1"/>
  <c r="N303" i="34" s="1"/>
  <c r="M39" i="3"/>
  <c r="O67" i="6"/>
  <c r="K330" i="15"/>
  <c r="K677" i="34"/>
  <c r="K282" i="34" s="1"/>
  <c r="N380" i="8"/>
  <c r="K453" i="34"/>
  <c r="K457" i="34" s="1"/>
  <c r="K462" i="34" s="1"/>
  <c r="K276" i="34" s="1"/>
  <c r="N101" i="3"/>
  <c r="P746" i="6"/>
  <c r="K405" i="34"/>
  <c r="K19" i="34"/>
  <c r="K34" i="34" s="1"/>
  <c r="K37" i="34" s="1"/>
  <c r="K39" i="34" s="1"/>
  <c r="K246" i="3" s="1"/>
  <c r="P62" i="6"/>
  <c r="P523" i="6"/>
  <c r="N808" i="34"/>
  <c r="N810" i="34" s="1"/>
  <c r="N189" i="15"/>
  <c r="N195" i="15" s="1"/>
  <c r="N220" i="15" s="1"/>
  <c r="N47" i="34" s="1"/>
  <c r="AF159" i="11"/>
  <c r="M55" i="58"/>
  <c r="M56" i="58" s="1"/>
  <c r="AE167" i="11"/>
  <c r="N421" i="34" s="1"/>
  <c r="AC9" i="42"/>
  <c r="O50" i="8"/>
  <c r="AP9" i="42"/>
  <c r="AC264" i="10"/>
  <c r="BC62" i="42"/>
  <c r="J58" i="42"/>
  <c r="J62" i="42" s="1"/>
  <c r="K212" i="3" s="1"/>
  <c r="M59" i="13"/>
  <c r="M83" i="13" s="1"/>
  <c r="N17" i="3"/>
  <c r="N18" i="3" s="1"/>
  <c r="R1599" i="6"/>
  <c r="AB161" i="11"/>
  <c r="AC146" i="11"/>
  <c r="S1599" i="6" s="1"/>
  <c r="M140" i="13"/>
  <c r="AB58" i="42"/>
  <c r="N106" i="3"/>
  <c r="N224" i="15"/>
  <c r="N230" i="15" s="1"/>
  <c r="O344" i="8"/>
  <c r="O93" i="8" s="1"/>
  <c r="O343" i="8"/>
  <c r="L90" i="42"/>
  <c r="AA36" i="42"/>
  <c r="AA56" i="42" s="1"/>
  <c r="K633" i="34"/>
  <c r="K260" i="34" s="1"/>
  <c r="K253" i="3"/>
  <c r="M223" i="15"/>
  <c r="AA59" i="42"/>
  <c r="M55" i="3"/>
  <c r="L139" i="13"/>
  <c r="M637" i="34"/>
  <c r="M639" i="34" s="1"/>
  <c r="M262" i="34" s="1"/>
  <c r="M51" i="34"/>
  <c r="S1606" i="6" l="1"/>
  <c r="S1642" i="6" s="1"/>
  <c r="S1644" i="6" s="1"/>
  <c r="S481" i="6"/>
  <c r="S489" i="6" s="1"/>
  <c r="Q45" i="6"/>
  <c r="Q512" i="6"/>
  <c r="Q2080" i="6"/>
  <c r="Q17" i="6"/>
  <c r="Q49" i="6" s="1"/>
  <c r="Q733" i="6"/>
  <c r="AA84" i="42"/>
  <c r="AA89" i="42" s="1"/>
  <c r="AB74" i="42"/>
  <c r="AB84" i="42" s="1"/>
  <c r="AB89" i="42" s="1"/>
  <c r="O37" i="60"/>
  <c r="N38" i="60"/>
  <c r="M309" i="34"/>
  <c r="M316" i="34" s="1"/>
  <c r="M537" i="34"/>
  <c r="M546" i="34" s="1"/>
  <c r="M547" i="34" s="1"/>
  <c r="M252" i="34" s="1"/>
  <c r="N58" i="15"/>
  <c r="M279" i="3"/>
  <c r="L141" i="13"/>
  <c r="L144" i="13" s="1"/>
  <c r="L146" i="13" s="1"/>
  <c r="M92" i="3" s="1"/>
  <c r="M88" i="13"/>
  <c r="M141" i="13" s="1"/>
  <c r="N223" i="15"/>
  <c r="N122" i="3"/>
  <c r="N124" i="3" s="1"/>
  <c r="M139" i="13"/>
  <c r="N55" i="3"/>
  <c r="N107" i="3"/>
  <c r="N110" i="8"/>
  <c r="N392" i="8"/>
  <c r="N528" i="8" s="1"/>
  <c r="N532" i="8" s="1"/>
  <c r="M42" i="3"/>
  <c r="M53" i="3"/>
  <c r="M56" i="3" s="1"/>
  <c r="O92" i="8"/>
  <c r="O347" i="8"/>
  <c r="R481" i="6"/>
  <c r="R489" i="6" s="1"/>
  <c r="R1606" i="6"/>
  <c r="R1642" i="6" s="1"/>
  <c r="R1644" i="6" s="1"/>
  <c r="M72" i="15"/>
  <c r="M225" i="15"/>
  <c r="M168" i="15"/>
  <c r="AC71" i="42"/>
  <c r="P35" i="60" s="1"/>
  <c r="O41" i="15"/>
  <c r="AA62" i="42"/>
  <c r="O83" i="8"/>
  <c r="O576" i="8"/>
  <c r="AF167" i="11"/>
  <c r="R1992" i="6"/>
  <c r="N39" i="3"/>
  <c r="P67" i="6"/>
  <c r="K175" i="15"/>
  <c r="K406" i="34"/>
  <c r="K409" i="34" s="1"/>
  <c r="K416" i="34" s="1"/>
  <c r="K270" i="34" s="1"/>
  <c r="N60" i="15"/>
  <c r="N239" i="3" s="1"/>
  <c r="AE146" i="11"/>
  <c r="AC161" i="11"/>
  <c r="N10" i="58"/>
  <c r="N11" i="58" s="1"/>
  <c r="N13" i="58" s="1"/>
  <c r="AB36" i="42"/>
  <c r="AB56" i="42" s="1"/>
  <c r="M90" i="42"/>
  <c r="M61" i="34"/>
  <c r="M76" i="34" s="1"/>
  <c r="M79" i="34" s="1"/>
  <c r="M81" i="34" s="1"/>
  <c r="M420" i="34"/>
  <c r="M424" i="34" s="1"/>
  <c r="M432" i="34" s="1"/>
  <c r="M272" i="34" s="1"/>
  <c r="M798" i="34" s="1"/>
  <c r="N51" i="34"/>
  <c r="N637" i="34"/>
  <c r="N639" i="34" s="1"/>
  <c r="N262" i="34" s="1"/>
  <c r="M483" i="34"/>
  <c r="M487" i="34" s="1"/>
  <c r="M488" i="34" s="1"/>
  <c r="M369" i="34"/>
  <c r="M372" i="34"/>
  <c r="N309" i="34"/>
  <c r="N537" i="34"/>
  <c r="N546" i="34" s="1"/>
  <c r="N547" i="34" s="1"/>
  <c r="N252" i="34" s="1"/>
  <c r="N364" i="34"/>
  <c r="Q19" i="6" l="1"/>
  <c r="Q51" i="6" s="1"/>
  <c r="Q56" i="6" s="1"/>
  <c r="S13" i="6"/>
  <c r="S45" i="6" s="1"/>
  <c r="S510" i="6"/>
  <c r="Q2060" i="6"/>
  <c r="Q735" i="6"/>
  <c r="Q2084" i="6"/>
  <c r="Q2086" i="6" s="1"/>
  <c r="AB87" i="42"/>
  <c r="N48" i="60"/>
  <c r="O38" i="60"/>
  <c r="M315" i="34"/>
  <c r="M317" i="34" s="1"/>
  <c r="M791" i="34" s="1"/>
  <c r="M806" i="34" s="1"/>
  <c r="N279" i="3"/>
  <c r="M144" i="13"/>
  <c r="M146" i="13" s="1"/>
  <c r="N92" i="3" s="1"/>
  <c r="AB60" i="42"/>
  <c r="M60" i="42" s="1"/>
  <c r="N168" i="15"/>
  <c r="N225" i="15"/>
  <c r="O10" i="58"/>
  <c r="O11" i="58" s="1"/>
  <c r="O13" i="58" s="1"/>
  <c r="R1996" i="6"/>
  <c r="R2036" i="6" s="1"/>
  <c r="R2038" i="6" s="1"/>
  <c r="R701" i="6"/>
  <c r="R704" i="6" s="1"/>
  <c r="M226" i="15"/>
  <c r="M170" i="15"/>
  <c r="N113" i="8"/>
  <c r="BD9" i="42"/>
  <c r="N51" i="58"/>
  <c r="N36" i="58"/>
  <c r="N38" i="58" s="1"/>
  <c r="N43" i="58" s="1"/>
  <c r="N54" i="58" s="1"/>
  <c r="AF146" i="11"/>
  <c r="AF161" i="11" s="1"/>
  <c r="AE161" i="11"/>
  <c r="O7" i="8"/>
  <c r="M6" i="16"/>
  <c r="R13" i="6"/>
  <c r="R510" i="6"/>
  <c r="AD9" i="42"/>
  <c r="N53" i="3"/>
  <c r="N56" i="3" s="1"/>
  <c r="N42" i="3"/>
  <c r="O558" i="8"/>
  <c r="O86" i="8"/>
  <c r="N537" i="8"/>
  <c r="N156" i="8" s="1"/>
  <c r="N29" i="8" s="1"/>
  <c r="N538" i="8"/>
  <c r="N157" i="8" s="1"/>
  <c r="N30" i="8" s="1"/>
  <c r="M373" i="34"/>
  <c r="M827" i="34" s="1"/>
  <c r="N420" i="34"/>
  <c r="N424" i="34" s="1"/>
  <c r="N432" i="34" s="1"/>
  <c r="N272" i="34" s="1"/>
  <c r="N798" i="34" s="1"/>
  <c r="N61" i="34"/>
  <c r="N76" i="34" s="1"/>
  <c r="N79" i="34" s="1"/>
  <c r="N81" i="34" s="1"/>
  <c r="N372" i="34"/>
  <c r="N369" i="34"/>
  <c r="N483" i="34"/>
  <c r="N487" i="34" s="1"/>
  <c r="N488" i="34" s="1"/>
  <c r="M230" i="34"/>
  <c r="M797" i="34"/>
  <c r="M802" i="34" s="1"/>
  <c r="N316" i="34"/>
  <c r="N315" i="34"/>
  <c r="S512" i="6" l="1"/>
  <c r="S2060" i="6" s="1"/>
  <c r="S2080" i="6"/>
  <c r="Q2064" i="6"/>
  <c r="Q2066" i="6" s="1"/>
  <c r="Q2088" i="6" s="1"/>
  <c r="Q2094" i="6" s="1"/>
  <c r="O48" i="60"/>
  <c r="AB62" i="42"/>
  <c r="N170" i="15"/>
  <c r="N226" i="15"/>
  <c r="M830" i="34"/>
  <c r="M173" i="34"/>
  <c r="N541" i="8"/>
  <c r="M792" i="34"/>
  <c r="M803" i="34" s="1"/>
  <c r="M187" i="34"/>
  <c r="O97" i="8"/>
  <c r="M127" i="3" s="1"/>
  <c r="O548" i="8"/>
  <c r="P41" i="15"/>
  <c r="AD71" i="42"/>
  <c r="Q35" i="60" s="1"/>
  <c r="AP10" i="42"/>
  <c r="M100" i="16"/>
  <c r="M102" i="16" s="1"/>
  <c r="M104" i="16" s="1"/>
  <c r="M106" i="16" s="1"/>
  <c r="M241" i="15"/>
  <c r="M8" i="16"/>
  <c r="L103" i="15"/>
  <c r="K9" i="42"/>
  <c r="O51" i="58"/>
  <c r="O36" i="58"/>
  <c r="O38" i="58" s="1"/>
  <c r="O43" i="58" s="1"/>
  <c r="R512" i="6"/>
  <c r="R2080" i="6"/>
  <c r="N577" i="8"/>
  <c r="BD10" i="42"/>
  <c r="N147" i="8"/>
  <c r="R733" i="6"/>
  <c r="R17" i="6"/>
  <c r="R49" i="6" s="1"/>
  <c r="R45" i="6"/>
  <c r="N47" i="58"/>
  <c r="AF241" i="10"/>
  <c r="Q1650" i="6" s="1"/>
  <c r="N317" i="34"/>
  <c r="N173" i="34" s="1"/>
  <c r="N373" i="34"/>
  <c r="N187" i="34" s="1"/>
  <c r="M826" i="34"/>
  <c r="M231" i="34"/>
  <c r="M816" i="34" s="1"/>
  <c r="M260" i="3" s="1"/>
  <c r="N797" i="34"/>
  <c r="N802" i="34" s="1"/>
  <c r="N230" i="34"/>
  <c r="N231" i="34" s="1"/>
  <c r="N816" i="34" s="1"/>
  <c r="N260" i="3" s="1"/>
  <c r="AL241" i="10" l="1"/>
  <c r="S1650" i="6" s="1"/>
  <c r="S518" i="6" s="1"/>
  <c r="Q518" i="6"/>
  <c r="Q1655" i="6"/>
  <c r="M174" i="34"/>
  <c r="M820" i="34" s="1"/>
  <c r="M264" i="3" s="1"/>
  <c r="M188" i="34"/>
  <c r="M817" i="34" s="1"/>
  <c r="M261" i="3" s="1"/>
  <c r="R19" i="6"/>
  <c r="O26" i="13" s="1"/>
  <c r="N174" i="34"/>
  <c r="N820" i="34" s="1"/>
  <c r="N264" i="3" s="1"/>
  <c r="N827" i="34"/>
  <c r="N792" i="34"/>
  <c r="N803" i="34" s="1"/>
  <c r="AH241" i="10"/>
  <c r="AF257" i="10"/>
  <c r="L104" i="15"/>
  <c r="L11" i="15" s="1"/>
  <c r="K10" i="42"/>
  <c r="K73" i="42" s="1"/>
  <c r="M11" i="60" s="1"/>
  <c r="BD14" i="42"/>
  <c r="BD26" i="42" s="1"/>
  <c r="M13" i="16"/>
  <c r="M20" i="16" s="1"/>
  <c r="M47" i="16" s="1"/>
  <c r="M118" i="16"/>
  <c r="N26" i="13"/>
  <c r="N8" i="8"/>
  <c r="N579" i="8"/>
  <c r="N588" i="8" s="1"/>
  <c r="O47" i="58"/>
  <c r="O54" i="58"/>
  <c r="L10" i="15"/>
  <c r="M243" i="15"/>
  <c r="M248" i="15" s="1"/>
  <c r="M271" i="15" s="1"/>
  <c r="R2084" i="6"/>
  <c r="R2086" i="6" s="1"/>
  <c r="R735" i="6"/>
  <c r="N559" i="8"/>
  <c r="N561" i="8" s="1"/>
  <c r="N151" i="8"/>
  <c r="R2060" i="6"/>
  <c r="AI241" i="10"/>
  <c r="AS241" i="10" s="1"/>
  <c r="K71" i="42"/>
  <c r="M9" i="60" s="1"/>
  <c r="M73" i="15"/>
  <c r="AP14" i="42"/>
  <c r="AP26" i="42" s="1"/>
  <c r="N791" i="34"/>
  <c r="N806" i="34" s="1"/>
  <c r="N830" i="34"/>
  <c r="N826" i="34"/>
  <c r="N188" i="34"/>
  <c r="N817" i="34" s="1"/>
  <c r="N261" i="3" s="1"/>
  <c r="AN241" i="10" l="1"/>
  <c r="AM146" i="11" s="1"/>
  <c r="S523" i="6"/>
  <c r="AF259" i="10"/>
  <c r="AF261" i="10" s="1"/>
  <c r="O41" i="3" s="1"/>
  <c r="Q2043" i="6"/>
  <c r="Q523" i="6"/>
  <c r="M12" i="60"/>
  <c r="M22" i="60" s="1"/>
  <c r="R51" i="6"/>
  <c r="P15" i="3" s="1"/>
  <c r="N590" i="8"/>
  <c r="K14" i="42"/>
  <c r="O15" i="3"/>
  <c r="K89" i="42"/>
  <c r="BD36" i="42"/>
  <c r="BD56" i="42" s="1"/>
  <c r="K56" i="42" s="1"/>
  <c r="K26" i="42"/>
  <c r="K36" i="42" s="1"/>
  <c r="L88" i="42"/>
  <c r="AP36" i="42"/>
  <c r="AP56" i="42" s="1"/>
  <c r="R1650" i="6"/>
  <c r="AK241" i="10"/>
  <c r="N28" i="13"/>
  <c r="N33" i="13" s="1"/>
  <c r="N44" i="13"/>
  <c r="K74" i="42"/>
  <c r="K84" i="42" s="1"/>
  <c r="O28" i="13"/>
  <c r="O33" i="13" s="1"/>
  <c r="O44" i="13"/>
  <c r="AI257" i="10"/>
  <c r="R2064" i="6"/>
  <c r="R2066" i="6" s="1"/>
  <c r="R2088" i="6" s="1"/>
  <c r="R2094" i="6" s="1"/>
  <c r="L16" i="15"/>
  <c r="M78" i="15"/>
  <c r="N549" i="8"/>
  <c r="N551" i="8" s="1"/>
  <c r="N563" i="8" s="1"/>
  <c r="N568" i="8" s="1"/>
  <c r="N161" i="8"/>
  <c r="L128" i="3" s="1"/>
  <c r="L129" i="3" s="1"/>
  <c r="L109" i="15"/>
  <c r="L6" i="17"/>
  <c r="N10" i="8"/>
  <c r="N19" i="8" s="1"/>
  <c r="N23" i="8" s="1"/>
  <c r="N34" i="8" s="1"/>
  <c r="M51" i="16"/>
  <c r="M89" i="34"/>
  <c r="M83" i="16"/>
  <c r="M85" i="16" s="1"/>
  <c r="M274" i="15"/>
  <c r="AH257" i="10"/>
  <c r="AG159" i="11" s="1"/>
  <c r="S1992" i="6" s="1"/>
  <c r="AG146" i="11"/>
  <c r="S701" i="6" l="1"/>
  <c r="S704" i="6" s="1"/>
  <c r="S1996" i="6"/>
  <c r="S2036" i="6" s="1"/>
  <c r="S2038" i="6" s="1"/>
  <c r="P10" i="58"/>
  <c r="AE9" i="42"/>
  <c r="Q41" i="15" s="1"/>
  <c r="Q741" i="6"/>
  <c r="Q2047" i="6"/>
  <c r="AU241" i="10"/>
  <c r="K87" i="42"/>
  <c r="AI259" i="10"/>
  <c r="AS257" i="10"/>
  <c r="R56" i="6"/>
  <c r="AH259" i="10"/>
  <c r="AH261" i="10" s="1"/>
  <c r="AF264" i="10" s="1"/>
  <c r="AH146" i="11"/>
  <c r="AG161" i="11"/>
  <c r="AG163" i="11" s="1"/>
  <c r="M279" i="15"/>
  <c r="M276" i="15"/>
  <c r="O187" i="15"/>
  <c r="N46" i="13"/>
  <c r="N52" i="13" s="1"/>
  <c r="AC10" i="42"/>
  <c r="N116" i="13"/>
  <c r="N118" i="13" s="1"/>
  <c r="N120" i="13" s="1"/>
  <c r="N126" i="13" s="1"/>
  <c r="N138" i="13" s="1"/>
  <c r="AJ146" i="11"/>
  <c r="L290" i="15"/>
  <c r="L98" i="17"/>
  <c r="L100" i="17" s="1"/>
  <c r="L102" i="17" s="1"/>
  <c r="L104" i="17" s="1"/>
  <c r="L116" i="17" s="1"/>
  <c r="L8" i="17"/>
  <c r="L13" i="17" s="1"/>
  <c r="L344" i="34"/>
  <c r="R2043" i="6"/>
  <c r="AK257" i="10"/>
  <c r="R518" i="6"/>
  <c r="R1655" i="6"/>
  <c r="M93" i="34"/>
  <c r="M643" i="34"/>
  <c r="M645" i="34" s="1"/>
  <c r="M264" i="34" s="1"/>
  <c r="M91" i="15"/>
  <c r="M240" i="3" s="1"/>
  <c r="M89" i="15"/>
  <c r="M320" i="34"/>
  <c r="P187" i="15"/>
  <c r="O116" i="13"/>
  <c r="O118" i="13" s="1"/>
  <c r="O120" i="13" s="1"/>
  <c r="O126" i="13" s="1"/>
  <c r="O138" i="13" s="1"/>
  <c r="AD10" i="42"/>
  <c r="O46" i="13"/>
  <c r="O52" i="13" s="1"/>
  <c r="L334" i="34"/>
  <c r="L120" i="15"/>
  <c r="L122" i="15"/>
  <c r="AH159" i="11"/>
  <c r="AG167" i="11"/>
  <c r="N87" i="13" s="1"/>
  <c r="AP59" i="42"/>
  <c r="M119" i="16"/>
  <c r="M123" i="16" s="1"/>
  <c r="M125" i="16" s="1"/>
  <c r="M93" i="3" s="1"/>
  <c r="L27" i="15"/>
  <c r="L288" i="34"/>
  <c r="L29" i="15"/>
  <c r="S17" i="6" l="1"/>
  <c r="S733" i="6"/>
  <c r="AE71" i="42"/>
  <c r="P11" i="58"/>
  <c r="P13" i="58" s="1"/>
  <c r="Q746" i="6"/>
  <c r="O122" i="3" s="1"/>
  <c r="O124" i="3" s="1"/>
  <c r="Q62" i="6"/>
  <c r="Q67" i="6" s="1"/>
  <c r="S1655" i="6"/>
  <c r="AJ159" i="11"/>
  <c r="AU257" i="10"/>
  <c r="AI261" i="10"/>
  <c r="AS259" i="10"/>
  <c r="N86" i="13"/>
  <c r="AC59" i="42" s="1"/>
  <c r="O220" i="3"/>
  <c r="AP58" i="42"/>
  <c r="O101" i="3"/>
  <c r="P808" i="34"/>
  <c r="P810" i="34" s="1"/>
  <c r="P189" i="15"/>
  <c r="P195" i="15" s="1"/>
  <c r="P220" i="15" s="1"/>
  <c r="AI159" i="11"/>
  <c r="N55" i="58"/>
  <c r="N56" i="58" s="1"/>
  <c r="AH167" i="11"/>
  <c r="O421" i="34" s="1"/>
  <c r="L390" i="34"/>
  <c r="L567" i="34"/>
  <c r="L575" i="34" s="1"/>
  <c r="L576" i="34" s="1"/>
  <c r="L256" i="34" s="1"/>
  <c r="L338" i="34"/>
  <c r="AD73" i="42"/>
  <c r="AD14" i="42"/>
  <c r="AD26" i="42" s="1"/>
  <c r="P42" i="15"/>
  <c r="P47" i="15" s="1"/>
  <c r="P60" i="15" s="1"/>
  <c r="L20" i="17"/>
  <c r="L47" i="17" s="1"/>
  <c r="L343" i="34"/>
  <c r="L345" i="34" s="1"/>
  <c r="L179" i="34" s="1"/>
  <c r="O42" i="15"/>
  <c r="O47" i="15" s="1"/>
  <c r="AC73" i="42"/>
  <c r="AC14" i="42"/>
  <c r="AC26" i="42" s="1"/>
  <c r="P194" i="8"/>
  <c r="M676" i="34"/>
  <c r="M281" i="34" s="1"/>
  <c r="M438" i="34"/>
  <c r="M281" i="15"/>
  <c r="O17" i="3"/>
  <c r="O18" i="3" s="1"/>
  <c r="N59" i="13"/>
  <c r="N83" i="13" s="1"/>
  <c r="L521" i="34"/>
  <c r="L530" i="34" s="1"/>
  <c r="L292" i="34"/>
  <c r="L351" i="34"/>
  <c r="O106" i="3"/>
  <c r="O224" i="15"/>
  <c r="O230" i="15" s="1"/>
  <c r="AC58" i="42"/>
  <c r="N140" i="13"/>
  <c r="O59" i="13"/>
  <c r="O83" i="13" s="1"/>
  <c r="P17" i="3"/>
  <c r="P18" i="3" s="1"/>
  <c r="M377" i="34"/>
  <c r="M324" i="34"/>
  <c r="M553" i="34"/>
  <c r="M560" i="34" s="1"/>
  <c r="M102" i="34"/>
  <c r="M117" i="34" s="1"/>
  <c r="M120" i="34" s="1"/>
  <c r="M122" i="34" s="1"/>
  <c r="M436" i="34"/>
  <c r="R523" i="6"/>
  <c r="R2047" i="6"/>
  <c r="R741" i="6"/>
  <c r="R62" i="6" s="1"/>
  <c r="L292" i="15"/>
  <c r="L297" i="15" s="1"/>
  <c r="L320" i="15" s="1"/>
  <c r="L132" i="15"/>
  <c r="L134" i="15" s="1"/>
  <c r="L140" i="15" s="1"/>
  <c r="L165" i="15" s="1"/>
  <c r="AK259" i="10"/>
  <c r="O189" i="15"/>
  <c r="O195" i="15" s="1"/>
  <c r="O220" i="15" s="1"/>
  <c r="O808" i="34"/>
  <c r="O810" i="34" s="1"/>
  <c r="AI146" i="11"/>
  <c r="AH161" i="11"/>
  <c r="S735" i="6" l="1"/>
  <c r="S2064" i="6" s="1"/>
  <c r="S2066" i="6" s="1"/>
  <c r="S2088" i="6" s="1"/>
  <c r="S2084" i="6"/>
  <c r="S2086" i="6" s="1"/>
  <c r="S19" i="6"/>
  <c r="S51" i="6" s="1"/>
  <c r="S56" i="6" s="1"/>
  <c r="S49" i="6"/>
  <c r="P51" i="58"/>
  <c r="P36" i="58"/>
  <c r="P38" i="58" s="1"/>
  <c r="AJ167" i="11"/>
  <c r="O87" i="13" s="1"/>
  <c r="P106" i="3" s="1"/>
  <c r="P55" i="58"/>
  <c r="R35" i="60"/>
  <c r="Q47" i="3"/>
  <c r="Q54" i="3" s="1"/>
  <c r="AD74" i="42"/>
  <c r="AD87" i="42" s="1"/>
  <c r="Q37" i="60"/>
  <c r="AC74" i="42"/>
  <c r="AC84" i="42" s="1"/>
  <c r="AC89" i="42" s="1"/>
  <c r="P37" i="60"/>
  <c r="AJ161" i="11"/>
  <c r="AJ163" i="11" s="1"/>
  <c r="AK261" i="10"/>
  <c r="AU259" i="10"/>
  <c r="P41" i="3"/>
  <c r="AS261" i="10"/>
  <c r="AD36" i="42"/>
  <c r="AD56" i="42" s="1"/>
  <c r="O90" i="42"/>
  <c r="P58" i="15"/>
  <c r="O223" i="15"/>
  <c r="O225" i="15" s="1"/>
  <c r="N88" i="13"/>
  <c r="O279" i="3" s="1"/>
  <c r="O55" i="3"/>
  <c r="N139" i="13"/>
  <c r="P303" i="34"/>
  <c r="P309" i="34" s="1"/>
  <c r="P239" i="3"/>
  <c r="M442" i="34"/>
  <c r="M447" i="34" s="1"/>
  <c r="M274" i="34" s="1"/>
  <c r="L531" i="34"/>
  <c r="L250" i="34" s="1"/>
  <c r="L251" i="3"/>
  <c r="O303" i="34"/>
  <c r="O60" i="15"/>
  <c r="O239" i="3" s="1"/>
  <c r="O58" i="15"/>
  <c r="AK146" i="11"/>
  <c r="AL146" i="11" s="1"/>
  <c r="AN146" i="11" s="1"/>
  <c r="AI161" i="11"/>
  <c r="L241" i="3"/>
  <c r="L238" i="3"/>
  <c r="P47" i="8"/>
  <c r="P201" i="8"/>
  <c r="P335" i="8" s="1"/>
  <c r="P338" i="8" s="1"/>
  <c r="L180" i="34"/>
  <c r="AK159" i="11"/>
  <c r="AI167" i="11"/>
  <c r="O55" i="58"/>
  <c r="O56" i="58" s="1"/>
  <c r="O107" i="3"/>
  <c r="L323" i="15"/>
  <c r="L169" i="15"/>
  <c r="L171" i="15" s="1"/>
  <c r="R67" i="6"/>
  <c r="P39" i="3"/>
  <c r="M330" i="34"/>
  <c r="M329" i="34"/>
  <c r="L356" i="34"/>
  <c r="L471" i="34"/>
  <c r="L475" i="34" s="1"/>
  <c r="L359" i="34"/>
  <c r="N90" i="42"/>
  <c r="AC36" i="42"/>
  <c r="AC56" i="42" s="1"/>
  <c r="L51" i="17"/>
  <c r="L130" i="34"/>
  <c r="L395" i="34"/>
  <c r="L398" i="34"/>
  <c r="L507" i="34"/>
  <c r="L511" i="34" s="1"/>
  <c r="L512" i="34" s="1"/>
  <c r="L236" i="34" s="1"/>
  <c r="AP62" i="42"/>
  <c r="O47" i="34"/>
  <c r="P101" i="3"/>
  <c r="R746" i="6"/>
  <c r="P122" i="3" s="1"/>
  <c r="P124" i="3" s="1"/>
  <c r="M495" i="34"/>
  <c r="M499" i="34" s="1"/>
  <c r="M500" i="34" s="1"/>
  <c r="M233" i="34" s="1"/>
  <c r="M382" i="34"/>
  <c r="M385" i="34"/>
  <c r="L297" i="34"/>
  <c r="L298" i="34"/>
  <c r="L247" i="3"/>
  <c r="O39" i="3"/>
  <c r="AL257" i="10" l="1"/>
  <c r="S2043" i="6" s="1"/>
  <c r="S741" i="6" s="1"/>
  <c r="P107" i="3"/>
  <c r="AD58" i="42"/>
  <c r="O140" i="13"/>
  <c r="S2094" i="6"/>
  <c r="P43" i="58"/>
  <c r="P54" i="58" s="1"/>
  <c r="P56" i="58" s="1"/>
  <c r="P224" i="15"/>
  <c r="P230" i="15" s="1"/>
  <c r="AU261" i="10"/>
  <c r="Q50" i="3"/>
  <c r="AK167" i="11"/>
  <c r="P421" i="34" s="1"/>
  <c r="AL159" i="11"/>
  <c r="P26" i="13"/>
  <c r="M234" i="34"/>
  <c r="AC87" i="42"/>
  <c r="AD84" i="42"/>
  <c r="AD89" i="42" s="1"/>
  <c r="P38" i="60"/>
  <c r="Q38" i="60"/>
  <c r="AI264" i="10"/>
  <c r="O86" i="13"/>
  <c r="O88" i="13" s="1"/>
  <c r="AD60" i="42" s="1"/>
  <c r="O60" i="42" s="1"/>
  <c r="P220" i="3"/>
  <c r="N141" i="13"/>
  <c r="N144" i="13" s="1"/>
  <c r="N146" i="13" s="1"/>
  <c r="O92" i="3" s="1"/>
  <c r="AC60" i="42"/>
  <c r="N60" i="42" s="1"/>
  <c r="O168" i="15"/>
  <c r="P364" i="34"/>
  <c r="P483" i="34" s="1"/>
  <c r="P487" i="34" s="1"/>
  <c r="P488" i="34" s="1"/>
  <c r="P537" i="34"/>
  <c r="P546" i="34" s="1"/>
  <c r="P547" i="34" s="1"/>
  <c r="P252" i="34" s="1"/>
  <c r="M386" i="34"/>
  <c r="M190" i="34" s="1"/>
  <c r="M331" i="34"/>
  <c r="M176" i="34" s="1"/>
  <c r="AK161" i="11"/>
  <c r="O226" i="15"/>
  <c r="O170" i="15"/>
  <c r="L649" i="34"/>
  <c r="L651" i="34" s="1"/>
  <c r="L266" i="34" s="1"/>
  <c r="L134" i="34"/>
  <c r="L6" i="34"/>
  <c r="L325" i="15"/>
  <c r="L328" i="15"/>
  <c r="AQ9" i="42"/>
  <c r="P50" i="8"/>
  <c r="O364" i="34"/>
  <c r="O309" i="34"/>
  <c r="O537" i="34"/>
  <c r="O546" i="34" s="1"/>
  <c r="O547" i="34" s="1"/>
  <c r="O252" i="34" s="1"/>
  <c r="O637" i="34"/>
  <c r="O639" i="34" s="1"/>
  <c r="O262" i="34" s="1"/>
  <c r="O51" i="34"/>
  <c r="P47" i="34"/>
  <c r="L237" i="34"/>
  <c r="L117" i="17"/>
  <c r="L121" i="17" s="1"/>
  <c r="L123" i="17" s="1"/>
  <c r="L94" i="3" s="1"/>
  <c r="BD59" i="42"/>
  <c r="L476" i="34"/>
  <c r="L227" i="34" s="1"/>
  <c r="L250" i="3"/>
  <c r="P53" i="3"/>
  <c r="P42" i="3"/>
  <c r="O42" i="3"/>
  <c r="O53" i="3"/>
  <c r="O56" i="3" s="1"/>
  <c r="L360" i="34"/>
  <c r="L184" i="34" s="1"/>
  <c r="L248" i="3"/>
  <c r="L299" i="34"/>
  <c r="L170" i="34" s="1"/>
  <c r="L399" i="34"/>
  <c r="L193" i="34" s="1"/>
  <c r="P343" i="8"/>
  <c r="P344" i="8"/>
  <c r="P93" i="8" s="1"/>
  <c r="P315" i="34"/>
  <c r="P316" i="34"/>
  <c r="AN257" i="10" l="1"/>
  <c r="AL259" i="10"/>
  <c r="AL261" i="10" s="1"/>
  <c r="Q41" i="3" s="1"/>
  <c r="P47" i="58"/>
  <c r="S746" i="6"/>
  <c r="S62" i="6"/>
  <c r="S67" i="6" s="1"/>
  <c r="AM159" i="11"/>
  <c r="AN159" i="11" s="1"/>
  <c r="AN259" i="10"/>
  <c r="AN261" i="10" s="1"/>
  <c r="S2047" i="6"/>
  <c r="Q15" i="3"/>
  <c r="AL161" i="11"/>
  <c r="AL167" i="11"/>
  <c r="Q421" i="34" s="1"/>
  <c r="P28" i="13"/>
  <c r="P33" i="13" s="1"/>
  <c r="P44" i="13"/>
  <c r="M177" i="34"/>
  <c r="M191" i="34"/>
  <c r="Q48" i="60"/>
  <c r="P48" i="60"/>
  <c r="P279" i="3"/>
  <c r="O141" i="13"/>
  <c r="O139" i="13"/>
  <c r="P55" i="3"/>
  <c r="P56" i="3" s="1"/>
  <c r="P223" i="15"/>
  <c r="P225" i="15" s="1"/>
  <c r="P170" i="15" s="1"/>
  <c r="AD59" i="42"/>
  <c r="AD62" i="42" s="1"/>
  <c r="P369" i="34"/>
  <c r="AC62" i="42"/>
  <c r="P372" i="34"/>
  <c r="L194" i="34"/>
  <c r="L228" i="34"/>
  <c r="O372" i="34"/>
  <c r="O369" i="34"/>
  <c r="O483" i="34"/>
  <c r="O487" i="34" s="1"/>
  <c r="O488" i="34" s="1"/>
  <c r="L185" i="34"/>
  <c r="BD58" i="42"/>
  <c r="K59" i="42"/>
  <c r="P576" i="8"/>
  <c r="P83" i="8"/>
  <c r="L10" i="34"/>
  <c r="L631" i="34"/>
  <c r="P637" i="34"/>
  <c r="P639" i="34" s="1"/>
  <c r="P262" i="34" s="1"/>
  <c r="P51" i="34"/>
  <c r="N72" i="15"/>
  <c r="P92" i="8"/>
  <c r="P347" i="8"/>
  <c r="L171" i="34"/>
  <c r="O420" i="34"/>
  <c r="O424" i="34" s="1"/>
  <c r="O432" i="34" s="1"/>
  <c r="O272" i="34" s="1"/>
  <c r="O798" i="34" s="1"/>
  <c r="O61" i="34"/>
  <c r="O76" i="34" s="1"/>
  <c r="O79" i="34" s="1"/>
  <c r="O81" i="34" s="1"/>
  <c r="O316" i="34"/>
  <c r="O315" i="34"/>
  <c r="L453" i="34"/>
  <c r="L677" i="34"/>
  <c r="L282" i="34" s="1"/>
  <c r="O380" i="8"/>
  <c r="L330" i="15"/>
  <c r="L451" i="34"/>
  <c r="L143" i="34"/>
  <c r="L158" i="34" s="1"/>
  <c r="L161" i="34" s="1"/>
  <c r="L163" i="34" s="1"/>
  <c r="P797" i="34"/>
  <c r="P802" i="34" s="1"/>
  <c r="P230" i="34"/>
  <c r="P826" i="34" s="1"/>
  <c r="P317" i="34"/>
  <c r="AL264" i="10" l="1"/>
  <c r="AE10" i="42"/>
  <c r="Q42" i="15" s="1"/>
  <c r="Q47" i="15" s="1"/>
  <c r="Q187" i="15"/>
  <c r="AM167" i="11"/>
  <c r="P87" i="13" s="1"/>
  <c r="Q224" i="15" s="1"/>
  <c r="Q230" i="15" s="1"/>
  <c r="AM161" i="11"/>
  <c r="AM163" i="11" s="1"/>
  <c r="Q220" i="3" s="1"/>
  <c r="Q39" i="3"/>
  <c r="Q53" i="3" s="1"/>
  <c r="Q101" i="3"/>
  <c r="Q122" i="3"/>
  <c r="Q124" i="3" s="1"/>
  <c r="AN167" i="11"/>
  <c r="AN161" i="11"/>
  <c r="P116" i="13"/>
  <c r="P118" i="13" s="1"/>
  <c r="P120" i="13" s="1"/>
  <c r="P126" i="13" s="1"/>
  <c r="P138" i="13" s="1"/>
  <c r="P46" i="13"/>
  <c r="P52" i="13" s="1"/>
  <c r="O144" i="13"/>
  <c r="O146" i="13" s="1"/>
  <c r="P92" i="3" s="1"/>
  <c r="P168" i="15"/>
  <c r="P373" i="34"/>
  <c r="P187" i="34" s="1"/>
  <c r="O317" i="34"/>
  <c r="O830" i="34" s="1"/>
  <c r="O373" i="34"/>
  <c r="P420" i="34"/>
  <c r="P424" i="34" s="1"/>
  <c r="P432" i="34" s="1"/>
  <c r="P272" i="34" s="1"/>
  <c r="P798" i="34" s="1"/>
  <c r="P61" i="34"/>
  <c r="P76" i="34" s="1"/>
  <c r="P79" i="34" s="1"/>
  <c r="P81" i="34" s="1"/>
  <c r="L19" i="34"/>
  <c r="L34" i="34" s="1"/>
  <c r="L37" i="34" s="1"/>
  <c r="L39" i="34" s="1"/>
  <c r="L246" i="3" s="1"/>
  <c r="L405" i="34"/>
  <c r="L175" i="15"/>
  <c r="L406" i="34"/>
  <c r="P86" i="8"/>
  <c r="P558" i="8"/>
  <c r="O110" i="8"/>
  <c r="O392" i="8"/>
  <c r="O528" i="8" s="1"/>
  <c r="O532" i="8" s="1"/>
  <c r="P7" i="8"/>
  <c r="N6" i="16"/>
  <c r="L457" i="34"/>
  <c r="L462" i="34" s="1"/>
  <c r="L276" i="34" s="1"/>
  <c r="L633" i="34"/>
  <c r="L260" i="34" s="1"/>
  <c r="L253" i="3"/>
  <c r="P226" i="15"/>
  <c r="BD62" i="42"/>
  <c r="K58" i="42"/>
  <c r="K62" i="42" s="1"/>
  <c r="L212" i="3" s="1"/>
  <c r="O797" i="34"/>
  <c r="O802" i="34" s="1"/>
  <c r="O230" i="34"/>
  <c r="P173" i="34"/>
  <c r="P791" i="34"/>
  <c r="P806" i="34" s="1"/>
  <c r="P830" i="34"/>
  <c r="Q42" i="3" l="1"/>
  <c r="P86" i="13"/>
  <c r="AE59" i="42" s="1"/>
  <c r="AE14" i="42"/>
  <c r="AE26" i="42" s="1"/>
  <c r="P90" i="42" s="1"/>
  <c r="AE73" i="42"/>
  <c r="R37" i="60" s="1"/>
  <c r="Q808" i="34"/>
  <c r="Q810" i="34" s="1"/>
  <c r="Q189" i="15"/>
  <c r="Q195" i="15" s="1"/>
  <c r="Q220" i="15" s="1"/>
  <c r="Q303" i="34"/>
  <c r="Q60" i="15"/>
  <c r="Q58" i="15"/>
  <c r="Q106" i="3"/>
  <c r="Q107" i="3" s="1"/>
  <c r="AE58" i="42"/>
  <c r="P140" i="13"/>
  <c r="P59" i="13"/>
  <c r="P83" i="13" s="1"/>
  <c r="Q17" i="3"/>
  <c r="P792" i="34"/>
  <c r="P803" i="34" s="1"/>
  <c r="P827" i="34"/>
  <c r="O791" i="34"/>
  <c r="O806" i="34" s="1"/>
  <c r="O792" i="34"/>
  <c r="O803" i="34" s="1"/>
  <c r="O187" i="34"/>
  <c r="O827" i="34"/>
  <c r="O173" i="34"/>
  <c r="P97" i="8"/>
  <c r="N127" i="3" s="1"/>
  <c r="P548" i="8"/>
  <c r="O537" i="8"/>
  <c r="O156" i="8" s="1"/>
  <c r="O29" i="8" s="1"/>
  <c r="O538" i="8"/>
  <c r="O157" i="8" s="1"/>
  <c r="O30" i="8" s="1"/>
  <c r="P231" i="34"/>
  <c r="P816" i="34" s="1"/>
  <c r="P260" i="3" s="1"/>
  <c r="O826" i="34"/>
  <c r="O231" i="34"/>
  <c r="O816" i="34" s="1"/>
  <c r="O260" i="3" s="1"/>
  <c r="N8" i="16"/>
  <c r="AQ10" i="42"/>
  <c r="N100" i="16"/>
  <c r="N102" i="16" s="1"/>
  <c r="N104" i="16" s="1"/>
  <c r="N106" i="16" s="1"/>
  <c r="N241" i="15"/>
  <c r="BE9" i="42"/>
  <c r="O113" i="8"/>
  <c r="L409" i="34"/>
  <c r="L416" i="34" s="1"/>
  <c r="L270" i="34" s="1"/>
  <c r="P88" i="13" l="1"/>
  <c r="Q279" i="3" s="1"/>
  <c r="Q55" i="3"/>
  <c r="Q56" i="3" s="1"/>
  <c r="AE36" i="42"/>
  <c r="AE56" i="42" s="1"/>
  <c r="AE74" i="42"/>
  <c r="AE87" i="42" s="1"/>
  <c r="Q223" i="15"/>
  <c r="Q225" i="15" s="1"/>
  <c r="P139" i="13"/>
  <c r="Q537" i="34"/>
  <c r="Q546" i="34" s="1"/>
  <c r="Q547" i="34" s="1"/>
  <c r="Q252" i="34" s="1"/>
  <c r="Q309" i="34"/>
  <c r="Q364" i="34"/>
  <c r="Q47" i="34"/>
  <c r="R38" i="60"/>
  <c r="R48" i="60" s="1"/>
  <c r="Q239" i="3"/>
  <c r="Q18" i="3"/>
  <c r="O174" i="34"/>
  <c r="O820" i="34" s="1"/>
  <c r="O264" i="3" s="1"/>
  <c r="P174" i="34"/>
  <c r="P820" i="34" s="1"/>
  <c r="P264" i="3" s="1"/>
  <c r="O541" i="8"/>
  <c r="P188" i="34"/>
  <c r="P817" i="34" s="1"/>
  <c r="P261" i="3" s="1"/>
  <c r="O188" i="34"/>
  <c r="O817" i="34" s="1"/>
  <c r="O261" i="3" s="1"/>
  <c r="BE10" i="42"/>
  <c r="BE14" i="42" s="1"/>
  <c r="BE26" i="42" s="1"/>
  <c r="O147" i="8"/>
  <c r="O577" i="8"/>
  <c r="N73" i="15"/>
  <c r="AQ14" i="42"/>
  <c r="AQ26" i="42" s="1"/>
  <c r="M103" i="15"/>
  <c r="L9" i="42"/>
  <c r="N13" i="16"/>
  <c r="N20" i="16" s="1"/>
  <c r="N47" i="16" s="1"/>
  <c r="N118" i="16"/>
  <c r="N243" i="15"/>
  <c r="N248" i="15" s="1"/>
  <c r="N271" i="15" s="1"/>
  <c r="P141" i="13" l="1"/>
  <c r="P144" i="13" s="1"/>
  <c r="P146" i="13" s="1"/>
  <c r="Q92" i="3" s="1"/>
  <c r="AE60" i="42"/>
  <c r="AE62" i="42" s="1"/>
  <c r="AE84" i="42"/>
  <c r="AE89" i="42" s="1"/>
  <c r="Q168" i="15"/>
  <c r="Q369" i="34"/>
  <c r="Q372" i="34"/>
  <c r="Q483" i="34"/>
  <c r="Q226" i="15"/>
  <c r="Q316" i="34"/>
  <c r="Q315" i="34"/>
  <c r="Q637" i="34"/>
  <c r="Q639" i="34" s="1"/>
  <c r="Q262" i="34" s="1"/>
  <c r="Q51" i="34"/>
  <c r="Q170" i="15"/>
  <c r="M10" i="15"/>
  <c r="N78" i="15"/>
  <c r="N51" i="16"/>
  <c r="N274" i="15"/>
  <c r="N83" i="16"/>
  <c r="N85" i="16" s="1"/>
  <c r="N89" i="34"/>
  <c r="O8" i="8"/>
  <c r="O579" i="8"/>
  <c r="O588" i="8" s="1"/>
  <c r="L71" i="42"/>
  <c r="N9" i="60" s="1"/>
  <c r="M88" i="42"/>
  <c r="AQ36" i="42"/>
  <c r="AQ56" i="42" s="1"/>
  <c r="O151" i="8"/>
  <c r="O559" i="8"/>
  <c r="O561" i="8" s="1"/>
  <c r="L89" i="42"/>
  <c r="BE36" i="42"/>
  <c r="BE56" i="42" s="1"/>
  <c r="L56" i="42" s="1"/>
  <c r="L26" i="42"/>
  <c r="L36" i="42" s="1"/>
  <c r="M104" i="15"/>
  <c r="M11" i="15" s="1"/>
  <c r="L10" i="42"/>
  <c r="L73" i="42" s="1"/>
  <c r="N11" i="60" s="1"/>
  <c r="P60" i="42" l="1"/>
  <c r="Q487" i="34"/>
  <c r="Q488" i="34" s="1"/>
  <c r="Q317" i="34"/>
  <c r="Q173" i="34" s="1"/>
  <c r="Q174" i="34" s="1"/>
  <c r="Q820" i="34" s="1"/>
  <c r="Q264" i="3" s="1"/>
  <c r="Q420" i="34"/>
  <c r="Q424" i="34" s="1"/>
  <c r="Q432" i="34" s="1"/>
  <c r="Q272" i="34" s="1"/>
  <c r="Q798" i="34" s="1"/>
  <c r="Q61" i="34"/>
  <c r="Q76" i="34" s="1"/>
  <c r="Q79" i="34" s="1"/>
  <c r="Q81" i="34" s="1"/>
  <c r="Q373" i="34"/>
  <c r="L87" i="42"/>
  <c r="N12" i="60"/>
  <c r="N22" i="60" s="1"/>
  <c r="M16" i="15"/>
  <c r="M29" i="15" s="1"/>
  <c r="L74" i="42"/>
  <c r="L84" i="42" s="1"/>
  <c r="N643" i="34"/>
  <c r="N645" i="34" s="1"/>
  <c r="N264" i="34" s="1"/>
  <c r="N93" i="34"/>
  <c r="N89" i="15"/>
  <c r="N320" i="34"/>
  <c r="N91" i="15"/>
  <c r="N240" i="3" s="1"/>
  <c r="O590" i="8"/>
  <c r="N279" i="15"/>
  <c r="N276" i="15"/>
  <c r="O161" i="8"/>
  <c r="M128" i="3" s="1"/>
  <c r="M129" i="3" s="1"/>
  <c r="O549" i="8"/>
  <c r="O551" i="8" s="1"/>
  <c r="O563" i="8" s="1"/>
  <c r="O568" i="8" s="1"/>
  <c r="L14" i="42"/>
  <c r="M6" i="17"/>
  <c r="O10" i="8"/>
  <c r="O19" i="8" s="1"/>
  <c r="O23" i="8" s="1"/>
  <c r="O34" i="8" s="1"/>
  <c r="N119" i="16"/>
  <c r="N123" i="16" s="1"/>
  <c r="N125" i="16" s="1"/>
  <c r="N93" i="3" s="1"/>
  <c r="AQ59" i="42"/>
  <c r="M109" i="15"/>
  <c r="Q797" i="34" l="1"/>
  <c r="Q802" i="34" s="1"/>
  <c r="Q230" i="34"/>
  <c r="Q826" i="34" s="1"/>
  <c r="Q791" i="34"/>
  <c r="Q806" i="34" s="1"/>
  <c r="Q830" i="34"/>
  <c r="Q827" i="34"/>
  <c r="Q187" i="34"/>
  <c r="Q188" i="34" s="1"/>
  <c r="Q817" i="34" s="1"/>
  <c r="Q261" i="3" s="1"/>
  <c r="Q792" i="34"/>
  <c r="Q803" i="34" s="1"/>
  <c r="M288" i="34"/>
  <c r="M292" i="34" s="1"/>
  <c r="M27" i="15"/>
  <c r="M334" i="34"/>
  <c r="M122" i="15"/>
  <c r="M120" i="15"/>
  <c r="M290" i="15"/>
  <c r="M8" i="17"/>
  <c r="M13" i="17" s="1"/>
  <c r="M98" i="17"/>
  <c r="M100" i="17" s="1"/>
  <c r="M102" i="17" s="1"/>
  <c r="M104" i="17" s="1"/>
  <c r="M116" i="17" s="1"/>
  <c r="M344" i="34"/>
  <c r="N377" i="34"/>
  <c r="N324" i="34"/>
  <c r="N553" i="34"/>
  <c r="N560" i="34" s="1"/>
  <c r="N102" i="34"/>
  <c r="N117" i="34" s="1"/>
  <c r="N120" i="34" s="1"/>
  <c r="N122" i="34" s="1"/>
  <c r="N436" i="34"/>
  <c r="AQ58" i="42"/>
  <c r="N438" i="34"/>
  <c r="N676" i="34"/>
  <c r="N281" i="34" s="1"/>
  <c r="Q194" i="8"/>
  <c r="N281" i="15"/>
  <c r="Q231" i="34" l="1"/>
  <c r="Q816" i="34" s="1"/>
  <c r="Q260" i="3" s="1"/>
  <c r="M521" i="34"/>
  <c r="M530" i="34" s="1"/>
  <c r="M531" i="34" s="1"/>
  <c r="M250" i="34" s="1"/>
  <c r="M351" i="34"/>
  <c r="M471" i="34" s="1"/>
  <c r="M475" i="34" s="1"/>
  <c r="M297" i="34"/>
  <c r="M298" i="34"/>
  <c r="Q201" i="8"/>
  <c r="Q335" i="8" s="1"/>
  <c r="Q338" i="8" s="1"/>
  <c r="Q47" i="8"/>
  <c r="N330" i="34"/>
  <c r="N329" i="34"/>
  <c r="M343" i="34"/>
  <c r="M345" i="34" s="1"/>
  <c r="M179" i="34" s="1"/>
  <c r="M20" i="17"/>
  <c r="M47" i="17" s="1"/>
  <c r="M567" i="34"/>
  <c r="M575" i="34" s="1"/>
  <c r="M576" i="34" s="1"/>
  <c r="M256" i="34" s="1"/>
  <c r="M390" i="34"/>
  <c r="M338" i="34"/>
  <c r="M247" i="3" s="1"/>
  <c r="AQ62" i="42"/>
  <c r="N442" i="34"/>
  <c r="N447" i="34" s="1"/>
  <c r="N274" i="34" s="1"/>
  <c r="N495" i="34"/>
  <c r="N499" i="34" s="1"/>
  <c r="N500" i="34" s="1"/>
  <c r="N233" i="34" s="1"/>
  <c r="N382" i="34"/>
  <c r="N385" i="34"/>
  <c r="M292" i="15"/>
  <c r="M297" i="15" s="1"/>
  <c r="M132" i="15"/>
  <c r="M134" i="15" s="1"/>
  <c r="M140" i="15" s="1"/>
  <c r="N234" i="34" l="1"/>
  <c r="M359" i="34"/>
  <c r="M356" i="34"/>
  <c r="N386" i="34"/>
  <c r="N190" i="34" s="1"/>
  <c r="M251" i="3"/>
  <c r="N331" i="34"/>
  <c r="N176" i="34" s="1"/>
  <c r="M241" i="3"/>
  <c r="M320" i="15"/>
  <c r="M180" i="34"/>
  <c r="Q344" i="8"/>
  <c r="Q93" i="8" s="1"/>
  <c r="Q343" i="8"/>
  <c r="M398" i="34"/>
  <c r="M395" i="34"/>
  <c r="M507" i="34"/>
  <c r="M511" i="34" s="1"/>
  <c r="M512" i="34" s="1"/>
  <c r="M236" i="34" s="1"/>
  <c r="M165" i="15"/>
  <c r="M238" i="3"/>
  <c r="M51" i="17"/>
  <c r="M130" i="34"/>
  <c r="AR9" i="42"/>
  <c r="Q50" i="8"/>
  <c r="M299" i="34"/>
  <c r="M170" i="34" s="1"/>
  <c r="M476" i="34"/>
  <c r="M227" i="34" s="1"/>
  <c r="N177" i="34" l="1"/>
  <c r="M171" i="34"/>
  <c r="N191" i="34"/>
  <c r="M360" i="34"/>
  <c r="M184" i="34" s="1"/>
  <c r="M248" i="3"/>
  <c r="M228" i="34"/>
  <c r="M649" i="34"/>
  <c r="M651" i="34" s="1"/>
  <c r="M266" i="34" s="1"/>
  <c r="M134" i="34"/>
  <c r="M6" i="34"/>
  <c r="M117" i="17"/>
  <c r="M121" i="17" s="1"/>
  <c r="M123" i="17" s="1"/>
  <c r="M94" i="3" s="1"/>
  <c r="BE59" i="42"/>
  <c r="Q92" i="8"/>
  <c r="Q347" i="8"/>
  <c r="Q83" i="8"/>
  <c r="Q576" i="8"/>
  <c r="M237" i="34"/>
  <c r="M323" i="15"/>
  <c r="M169" i="15"/>
  <c r="M171" i="15" s="1"/>
  <c r="M250" i="3"/>
  <c r="O72" i="15"/>
  <c r="M399" i="34"/>
  <c r="M193" i="34" s="1"/>
  <c r="M185" i="34" l="1"/>
  <c r="M194" i="34"/>
  <c r="O6" i="16"/>
  <c r="Q7" i="8"/>
  <c r="BE58" i="42"/>
  <c r="L59" i="42"/>
  <c r="M451" i="34"/>
  <c r="M143" i="34"/>
  <c r="M158" i="34" s="1"/>
  <c r="M161" i="34" s="1"/>
  <c r="M163" i="34" s="1"/>
  <c r="Q86" i="8"/>
  <c r="Q558" i="8"/>
  <c r="M10" i="34"/>
  <c r="M631" i="34"/>
  <c r="M325" i="15"/>
  <c r="M328" i="15"/>
  <c r="M19" i="34" l="1"/>
  <c r="M34" i="34" s="1"/>
  <c r="M37" i="34" s="1"/>
  <c r="M39" i="34" s="1"/>
  <c r="M246" i="3" s="1"/>
  <c r="M405" i="34"/>
  <c r="AR10" i="42"/>
  <c r="O8" i="16"/>
  <c r="O100" i="16"/>
  <c r="O102" i="16" s="1"/>
  <c r="O104" i="16" s="1"/>
  <c r="O106" i="16" s="1"/>
  <c r="O241" i="15"/>
  <c r="M253" i="3"/>
  <c r="M633" i="34"/>
  <c r="M260" i="34" s="1"/>
  <c r="Q548" i="8"/>
  <c r="Q97" i="8"/>
  <c r="O127" i="3" s="1"/>
  <c r="BE62" i="42"/>
  <c r="L58" i="42"/>
  <c r="L62" i="42" s="1"/>
  <c r="M212" i="3" s="1"/>
  <c r="M677" i="34"/>
  <c r="M282" i="34" s="1"/>
  <c r="M453" i="34"/>
  <c r="M457" i="34" s="1"/>
  <c r="M462" i="34" s="1"/>
  <c r="M276" i="34" s="1"/>
  <c r="P380" i="8"/>
  <c r="M330" i="15"/>
  <c r="M175" i="15" l="1"/>
  <c r="M406" i="34"/>
  <c r="M409" i="34" s="1"/>
  <c r="M416" i="34" s="1"/>
  <c r="M270" i="34" s="1"/>
  <c r="O13" i="16"/>
  <c r="O20" i="16" s="1"/>
  <c r="O47" i="16" s="1"/>
  <c r="O118" i="16"/>
  <c r="P110" i="8"/>
  <c r="P392" i="8"/>
  <c r="P528" i="8" s="1"/>
  <c r="P532" i="8" s="1"/>
  <c r="AR14" i="42"/>
  <c r="AR26" i="42" s="1"/>
  <c r="O73" i="15"/>
  <c r="O243" i="15"/>
  <c r="O248" i="15" s="1"/>
  <c r="O271" i="15" s="1"/>
  <c r="P113" i="8" l="1"/>
  <c r="BF9" i="42"/>
  <c r="P537" i="8"/>
  <c r="P156" i="8" s="1"/>
  <c r="P29" i="8" s="1"/>
  <c r="P538" i="8"/>
  <c r="P157" i="8" s="1"/>
  <c r="P30" i="8" s="1"/>
  <c r="O78" i="15"/>
  <c r="N88" i="42"/>
  <c r="AR36" i="42"/>
  <c r="AR56" i="42" s="1"/>
  <c r="O51" i="16"/>
  <c r="O83" i="16"/>
  <c r="O85" i="16" s="1"/>
  <c r="O274" i="15"/>
  <c r="P541" i="8" l="1"/>
  <c r="O119" i="16"/>
  <c r="O123" i="16" s="1"/>
  <c r="O125" i="16" s="1"/>
  <c r="AR59" i="42"/>
  <c r="O91" i="15"/>
  <c r="O240" i="3" s="1"/>
  <c r="O89" i="15"/>
  <c r="O320" i="34"/>
  <c r="N103" i="15"/>
  <c r="M9" i="42"/>
  <c r="O276" i="15"/>
  <c r="O279" i="15"/>
  <c r="P147" i="8"/>
  <c r="BF10" i="42"/>
  <c r="BF14" i="42" s="1"/>
  <c r="BF26" i="42" s="1"/>
  <c r="P577" i="8"/>
  <c r="M89" i="42" l="1"/>
  <c r="BF36" i="42"/>
  <c r="BF56" i="42" s="1"/>
  <c r="M56" i="42" s="1"/>
  <c r="M26" i="42"/>
  <c r="M36" i="42" s="1"/>
  <c r="P8" i="8"/>
  <c r="P579" i="8"/>
  <c r="P588" i="8" s="1"/>
  <c r="O281" i="15"/>
  <c r="O676" i="34"/>
  <c r="O281" i="34" s="1"/>
  <c r="O438" i="34"/>
  <c r="R194" i="8"/>
  <c r="N10" i="15"/>
  <c r="N104" i="15"/>
  <c r="N11" i="15" s="1"/>
  <c r="M10" i="42"/>
  <c r="M73" i="42" s="1"/>
  <c r="O11" i="60" s="1"/>
  <c r="O324" i="34"/>
  <c r="O377" i="34"/>
  <c r="O553" i="34"/>
  <c r="O560" i="34" s="1"/>
  <c r="P151" i="8"/>
  <c r="P559" i="8"/>
  <c r="P561" i="8" s="1"/>
  <c r="M71" i="42"/>
  <c r="O9" i="60" s="1"/>
  <c r="AR58" i="42"/>
  <c r="O12" i="60" l="1"/>
  <c r="O22" i="60" s="1"/>
  <c r="M87" i="42"/>
  <c r="N109" i="15"/>
  <c r="N122" i="15" s="1"/>
  <c r="N16" i="15"/>
  <c r="N27" i="15" s="1"/>
  <c r="M74" i="42"/>
  <c r="M84" i="42" s="1"/>
  <c r="P549" i="8"/>
  <c r="P551" i="8" s="1"/>
  <c r="P563" i="8" s="1"/>
  <c r="P568" i="8" s="1"/>
  <c r="P161" i="8"/>
  <c r="N128" i="3" s="1"/>
  <c r="N129" i="3" s="1"/>
  <c r="M14" i="42"/>
  <c r="O385" i="34"/>
  <c r="O382" i="34"/>
  <c r="O495" i="34"/>
  <c r="O499" i="34" s="1"/>
  <c r="O500" i="34" s="1"/>
  <c r="O233" i="34" s="1"/>
  <c r="N6" i="17"/>
  <c r="P10" i="8"/>
  <c r="P19" i="8" s="1"/>
  <c r="P23" i="8" s="1"/>
  <c r="P34" i="8" s="1"/>
  <c r="AR62" i="42"/>
  <c r="O329" i="34"/>
  <c r="O330" i="34"/>
  <c r="R47" i="8"/>
  <c r="R201" i="8"/>
  <c r="R335" i="8" s="1"/>
  <c r="R338" i="8" s="1"/>
  <c r="P590" i="8"/>
  <c r="O234" i="34" l="1"/>
  <c r="N288" i="34"/>
  <c r="N292" i="34" s="1"/>
  <c r="N334" i="34"/>
  <c r="N390" i="34" s="1"/>
  <c r="N120" i="15"/>
  <c r="N29" i="15"/>
  <c r="O386" i="34"/>
  <c r="O190" i="34" s="1"/>
  <c r="AS9" i="42"/>
  <c r="R50" i="8"/>
  <c r="O331" i="34"/>
  <c r="O176" i="34" s="1"/>
  <c r="N98" i="17"/>
  <c r="N100" i="17" s="1"/>
  <c r="N102" i="17" s="1"/>
  <c r="N104" i="17" s="1"/>
  <c r="N116" i="17" s="1"/>
  <c r="N290" i="15"/>
  <c r="N8" i="17"/>
  <c r="N13" i="17" s="1"/>
  <c r="N344" i="34"/>
  <c r="R344" i="8"/>
  <c r="R93" i="8" s="1"/>
  <c r="R343" i="8"/>
  <c r="R92" i="8" s="1"/>
  <c r="O191" i="34" l="1"/>
  <c r="O177" i="34"/>
  <c r="N338" i="34"/>
  <c r="N247" i="3" s="1"/>
  <c r="N351" i="34"/>
  <c r="N471" i="34" s="1"/>
  <c r="N475" i="34" s="1"/>
  <c r="N521" i="34"/>
  <c r="N530" i="34" s="1"/>
  <c r="N531" i="34" s="1"/>
  <c r="N250" i="34" s="1"/>
  <c r="N567" i="34"/>
  <c r="N575" i="34" s="1"/>
  <c r="N576" i="34" s="1"/>
  <c r="N256" i="34" s="1"/>
  <c r="N507" i="34"/>
  <c r="N511" i="34" s="1"/>
  <c r="N512" i="34" s="1"/>
  <c r="N236" i="34" s="1"/>
  <c r="N395" i="34"/>
  <c r="N398" i="34"/>
  <c r="N297" i="34"/>
  <c r="N298" i="34"/>
  <c r="R83" i="8"/>
  <c r="R576" i="8"/>
  <c r="N20" i="17"/>
  <c r="N47" i="17" s="1"/>
  <c r="N343" i="34"/>
  <c r="N345" i="34" s="1"/>
  <c r="N179" i="34" s="1"/>
  <c r="P72" i="15"/>
  <c r="N292" i="15"/>
  <c r="N297" i="15" s="1"/>
  <c r="N132" i="15"/>
  <c r="N134" i="15" s="1"/>
  <c r="N140" i="15" s="1"/>
  <c r="R347" i="8"/>
  <c r="N356" i="34" l="1"/>
  <c r="N359" i="34"/>
  <c r="N251" i="3"/>
  <c r="N399" i="34"/>
  <c r="N193" i="34" s="1"/>
  <c r="N51" i="17"/>
  <c r="N130" i="34"/>
  <c r="N237" i="34"/>
  <c r="N476" i="34"/>
  <c r="N227" i="34" s="1"/>
  <c r="N250" i="3"/>
  <c r="P6" i="16"/>
  <c r="R7" i="8"/>
  <c r="N299" i="34"/>
  <c r="N170" i="34" s="1"/>
  <c r="N320" i="15"/>
  <c r="N241" i="3"/>
  <c r="N165" i="15"/>
  <c r="N238" i="3"/>
  <c r="N180" i="34"/>
  <c r="R558" i="8"/>
  <c r="R86" i="8"/>
  <c r="N171" i="34" l="1"/>
  <c r="N194" i="34"/>
  <c r="N360" i="34"/>
  <c r="N184" i="34" s="1"/>
  <c r="N248" i="3"/>
  <c r="N323" i="15"/>
  <c r="N169" i="15"/>
  <c r="N171" i="15" s="1"/>
  <c r="N134" i="34"/>
  <c r="N649" i="34"/>
  <c r="N651" i="34" s="1"/>
  <c r="N266" i="34" s="1"/>
  <c r="N6" i="34"/>
  <c r="R97" i="8"/>
  <c r="P127" i="3" s="1"/>
  <c r="R548" i="8"/>
  <c r="P241" i="15"/>
  <c r="P100" i="16"/>
  <c r="P102" i="16" s="1"/>
  <c r="P104" i="16" s="1"/>
  <c r="P106" i="16" s="1"/>
  <c r="P8" i="16"/>
  <c r="AS10" i="42"/>
  <c r="N228" i="34"/>
  <c r="N117" i="17"/>
  <c r="N121" i="17" s="1"/>
  <c r="N123" i="17" s="1"/>
  <c r="N94" i="3" s="1"/>
  <c r="BF59" i="42"/>
  <c r="N185" i="34" l="1"/>
  <c r="P118" i="16"/>
  <c r="P13" i="16"/>
  <c r="P20" i="16" s="1"/>
  <c r="P47" i="16" s="1"/>
  <c r="N325" i="15"/>
  <c r="N328" i="15"/>
  <c r="N143" i="34"/>
  <c r="N158" i="34" s="1"/>
  <c r="N161" i="34" s="1"/>
  <c r="N163" i="34" s="1"/>
  <c r="N451" i="34"/>
  <c r="P243" i="15"/>
  <c r="P248" i="15" s="1"/>
  <c r="P271" i="15" s="1"/>
  <c r="N631" i="34"/>
  <c r="N10" i="34"/>
  <c r="BF58" i="42"/>
  <c r="M59" i="42"/>
  <c r="AS14" i="42"/>
  <c r="AS26" i="42" s="1"/>
  <c r="O88" i="42" s="1"/>
  <c r="P73" i="15"/>
  <c r="AS36" i="42" l="1"/>
  <c r="AS56" i="42" s="1"/>
  <c r="N633" i="34"/>
  <c r="N260" i="34" s="1"/>
  <c r="N253" i="3"/>
  <c r="O89" i="34"/>
  <c r="P51" i="16"/>
  <c r="P274" i="15"/>
  <c r="P83" i="16"/>
  <c r="P85" i="16" s="1"/>
  <c r="BF62" i="42"/>
  <c r="M58" i="42"/>
  <c r="M62" i="42" s="1"/>
  <c r="N330" i="15"/>
  <c r="N453" i="34"/>
  <c r="N457" i="34" s="1"/>
  <c r="N462" i="34" s="1"/>
  <c r="N276" i="34" s="1"/>
  <c r="N677" i="34"/>
  <c r="N282" i="34" s="1"/>
  <c r="Q380" i="8"/>
  <c r="P78" i="15"/>
  <c r="N19" i="34"/>
  <c r="N34" i="34" s="1"/>
  <c r="N37" i="34" s="1"/>
  <c r="N39" i="34" s="1"/>
  <c r="N246" i="3" s="1"/>
  <c r="N405" i="34"/>
  <c r="N175" i="15" l="1"/>
  <c r="N406" i="34"/>
  <c r="N409" i="34" s="1"/>
  <c r="N416" i="34" s="1"/>
  <c r="N270" i="34" s="1"/>
  <c r="Q392" i="8"/>
  <c r="Q528" i="8" s="1"/>
  <c r="Q532" i="8" s="1"/>
  <c r="Q110" i="8"/>
  <c r="P276" i="15"/>
  <c r="P279" i="15"/>
  <c r="S194" i="8" s="1"/>
  <c r="AS59" i="42"/>
  <c r="P119" i="16"/>
  <c r="P123" i="16" s="1"/>
  <c r="P125" i="16" s="1"/>
  <c r="O93" i="3" s="1"/>
  <c r="P89" i="15"/>
  <c r="P91" i="15"/>
  <c r="P240" i="3" s="1"/>
  <c r="P320" i="34"/>
  <c r="O93" i="34"/>
  <c r="O643" i="34"/>
  <c r="O645" i="34" s="1"/>
  <c r="O264" i="34" s="1"/>
  <c r="S47" i="8" l="1"/>
  <c r="S201" i="8"/>
  <c r="S335" i="8" s="1"/>
  <c r="S338" i="8" s="1"/>
  <c r="P377" i="34"/>
  <c r="P553" i="34"/>
  <c r="P560" i="34" s="1"/>
  <c r="P324" i="34"/>
  <c r="AS58" i="42"/>
  <c r="Q537" i="8"/>
  <c r="Q156" i="8" s="1"/>
  <c r="Q29" i="8" s="1"/>
  <c r="Q538" i="8"/>
  <c r="Q157" i="8" s="1"/>
  <c r="Q30" i="8" s="1"/>
  <c r="P676" i="34"/>
  <c r="P281" i="34" s="1"/>
  <c r="P281" i="15"/>
  <c r="P438" i="34"/>
  <c r="O436" i="34"/>
  <c r="O442" i="34" s="1"/>
  <c r="O447" i="34" s="1"/>
  <c r="O274" i="34" s="1"/>
  <c r="O102" i="34"/>
  <c r="O117" i="34" s="1"/>
  <c r="O120" i="34" s="1"/>
  <c r="O122" i="34" s="1"/>
  <c r="BG9" i="42"/>
  <c r="Q113" i="8"/>
  <c r="AT9" i="42" l="1"/>
  <c r="Q72" i="15" s="1"/>
  <c r="S50" i="8"/>
  <c r="BG10" i="42"/>
  <c r="BG14" i="42" s="1"/>
  <c r="BG26" i="42" s="1"/>
  <c r="Q577" i="8"/>
  <c r="Q147" i="8"/>
  <c r="Q541" i="8"/>
  <c r="P329" i="34"/>
  <c r="P330" i="34"/>
  <c r="O103" i="15"/>
  <c r="N9" i="42"/>
  <c r="AS62" i="42"/>
  <c r="P495" i="34"/>
  <c r="P499" i="34" s="1"/>
  <c r="P500" i="34" s="1"/>
  <c r="P233" i="34" s="1"/>
  <c r="P382" i="34"/>
  <c r="P385" i="34"/>
  <c r="S576" i="8" l="1"/>
  <c r="S83" i="8"/>
  <c r="S343" i="8"/>
  <c r="S92" i="8" s="1"/>
  <c r="S344" i="8"/>
  <c r="S93" i="8" s="1"/>
  <c r="P234" i="34"/>
  <c r="P331" i="34"/>
  <c r="P176" i="34" s="1"/>
  <c r="P386" i="34"/>
  <c r="P190" i="34" s="1"/>
  <c r="Q559" i="8"/>
  <c r="Q561" i="8" s="1"/>
  <c r="Q151" i="8"/>
  <c r="N89" i="42"/>
  <c r="BG36" i="42"/>
  <c r="BG56" i="42" s="1"/>
  <c r="N56" i="42" s="1"/>
  <c r="N26" i="42"/>
  <c r="N36" i="42" s="1"/>
  <c r="Q8" i="8"/>
  <c r="Q579" i="8"/>
  <c r="Q588" i="8" s="1"/>
  <c r="N71" i="42"/>
  <c r="P9" i="60" s="1"/>
  <c r="O10" i="15"/>
  <c r="O104" i="15"/>
  <c r="O11" i="15" s="1"/>
  <c r="N10" i="42"/>
  <c r="N73" i="42" s="1"/>
  <c r="P11" i="60" s="1"/>
  <c r="S86" i="8" l="1"/>
  <c r="S548" i="8" s="1"/>
  <c r="S558" i="8"/>
  <c r="Q6" i="16"/>
  <c r="Q100" i="16" s="1"/>
  <c r="Q102" i="16" s="1"/>
  <c r="Q104" i="16" s="1"/>
  <c r="Q106" i="16" s="1"/>
  <c r="S7" i="8"/>
  <c r="S347" i="8"/>
  <c r="P191" i="34"/>
  <c r="P177" i="34"/>
  <c r="P12" i="60"/>
  <c r="P22" i="60" s="1"/>
  <c r="N87" i="42"/>
  <c r="N74" i="42"/>
  <c r="N84" i="42" s="1"/>
  <c r="O109" i="15"/>
  <c r="O334" i="34" s="1"/>
  <c r="O16" i="15"/>
  <c r="O29" i="15" s="1"/>
  <c r="Q590" i="8"/>
  <c r="O6" i="17"/>
  <c r="Q10" i="8"/>
  <c r="Q19" i="8" s="1"/>
  <c r="Q23" i="8" s="1"/>
  <c r="Q34" i="8" s="1"/>
  <c r="Q549" i="8"/>
  <c r="Q551" i="8" s="1"/>
  <c r="Q563" i="8" s="1"/>
  <c r="Q568" i="8" s="1"/>
  <c r="Q161" i="8"/>
  <c r="O128" i="3" s="1"/>
  <c r="O129" i="3" s="1"/>
  <c r="N14" i="42"/>
  <c r="S97" i="8" l="1"/>
  <c r="Q8" i="16"/>
  <c r="Q118" i="16" s="1"/>
  <c r="Q241" i="15"/>
  <c r="Q243" i="15" s="1"/>
  <c r="Q248" i="15" s="1"/>
  <c r="Q271" i="15" s="1"/>
  <c r="AT10" i="42"/>
  <c r="Q127" i="3"/>
  <c r="O27" i="15"/>
  <c r="O122" i="15"/>
  <c r="O120" i="15"/>
  <c r="O288" i="34"/>
  <c r="O351" i="34" s="1"/>
  <c r="O344" i="34"/>
  <c r="O290" i="15"/>
  <c r="O98" i="17"/>
  <c r="O100" i="17" s="1"/>
  <c r="O102" i="17" s="1"/>
  <c r="O104" i="17" s="1"/>
  <c r="O116" i="17" s="1"/>
  <c r="O8" i="17"/>
  <c r="O13" i="17" s="1"/>
  <c r="O567" i="34"/>
  <c r="O575" i="34" s="1"/>
  <c r="O576" i="34" s="1"/>
  <c r="O256" i="34" s="1"/>
  <c r="O390" i="34"/>
  <c r="O338" i="34"/>
  <c r="Q13" i="16" l="1"/>
  <c r="Q20" i="16" s="1"/>
  <c r="Q47" i="16" s="1"/>
  <c r="Q274" i="15" s="1"/>
  <c r="Q276" i="15" s="1"/>
  <c r="Q73" i="15"/>
  <c r="Q78" i="15" s="1"/>
  <c r="AT14" i="42"/>
  <c r="AT26" i="42" s="1"/>
  <c r="O521" i="34"/>
  <c r="O530" i="34" s="1"/>
  <c r="O531" i="34" s="1"/>
  <c r="O250" i="34" s="1"/>
  <c r="O292" i="34"/>
  <c r="O298" i="34" s="1"/>
  <c r="O471" i="34"/>
  <c r="O475" i="34" s="1"/>
  <c r="O356" i="34"/>
  <c r="O359" i="34"/>
  <c r="O398" i="34"/>
  <c r="O395" i="34"/>
  <c r="O507" i="34"/>
  <c r="O511" i="34" s="1"/>
  <c r="O512" i="34" s="1"/>
  <c r="O236" i="34" s="1"/>
  <c r="O292" i="15"/>
  <c r="O297" i="15" s="1"/>
  <c r="O132" i="15"/>
  <c r="O134" i="15" s="1"/>
  <c r="O140" i="15" s="1"/>
  <c r="O20" i="17"/>
  <c r="O47" i="17" s="1"/>
  <c r="O343" i="34"/>
  <c r="O345" i="34" s="1"/>
  <c r="O179" i="34" s="1"/>
  <c r="P89" i="34" l="1"/>
  <c r="Q89" i="34" s="1"/>
  <c r="Q93" i="34" s="1"/>
  <c r="Q279" i="15"/>
  <c r="Q83" i="16"/>
  <c r="Q85" i="16" s="1"/>
  <c r="Q51" i="16"/>
  <c r="Q119" i="16" s="1"/>
  <c r="Q123" i="16" s="1"/>
  <c r="Q125" i="16" s="1"/>
  <c r="P93" i="3" s="1"/>
  <c r="AT36" i="42"/>
  <c r="AT56" i="42" s="1"/>
  <c r="P88" i="42"/>
  <c r="Q320" i="34"/>
  <c r="Q89" i="15"/>
  <c r="Q91" i="15"/>
  <c r="Q240" i="3" s="1"/>
  <c r="Q438" i="34"/>
  <c r="Q676" i="34"/>
  <c r="Q281" i="34" s="1"/>
  <c r="Q281" i="15"/>
  <c r="Q643" i="34"/>
  <c r="Q645" i="34" s="1"/>
  <c r="Q264" i="34" s="1"/>
  <c r="O180" i="34"/>
  <c r="O237" i="34"/>
  <c r="O251" i="3"/>
  <c r="O297" i="34"/>
  <c r="O299" i="34" s="1"/>
  <c r="O170" i="34" s="1"/>
  <c r="O247" i="3"/>
  <c r="O165" i="15"/>
  <c r="O238" i="3"/>
  <c r="O320" i="15"/>
  <c r="O241" i="3"/>
  <c r="O360" i="34"/>
  <c r="O184" i="34" s="1"/>
  <c r="O248" i="3"/>
  <c r="O51" i="17"/>
  <c r="O130" i="34"/>
  <c r="O399" i="34"/>
  <c r="O193" i="34" s="1"/>
  <c r="O250" i="3"/>
  <c r="O476" i="34"/>
  <c r="O227" i="34" s="1"/>
  <c r="P93" i="34" l="1"/>
  <c r="P102" i="34" s="1"/>
  <c r="P117" i="34" s="1"/>
  <c r="P120" i="34" s="1"/>
  <c r="P122" i="34" s="1"/>
  <c r="P643" i="34"/>
  <c r="P645" i="34" s="1"/>
  <c r="P264" i="34" s="1"/>
  <c r="AT59" i="42"/>
  <c r="AT58" i="42" s="1"/>
  <c r="AT62" i="42" s="1"/>
  <c r="Q324" i="34"/>
  <c r="Q377" i="34"/>
  <c r="Q553" i="34"/>
  <c r="Q560" i="34" s="1"/>
  <c r="Q436" i="34"/>
  <c r="Q442" i="34" s="1"/>
  <c r="Q447" i="34" s="1"/>
  <c r="Q274" i="34" s="1"/>
  <c r="Q102" i="34"/>
  <c r="Q117" i="34" s="1"/>
  <c r="Q120" i="34" s="1"/>
  <c r="Q122" i="34" s="1"/>
  <c r="O194" i="34"/>
  <c r="O185" i="34"/>
  <c r="O228" i="34"/>
  <c r="O171" i="34"/>
  <c r="O134" i="34"/>
  <c r="O649" i="34"/>
  <c r="O651" i="34" s="1"/>
  <c r="O266" i="34" s="1"/>
  <c r="O6" i="34"/>
  <c r="O117" i="17"/>
  <c r="O121" i="17" s="1"/>
  <c r="O123" i="17" s="1"/>
  <c r="O94" i="3" s="1"/>
  <c r="BG59" i="42"/>
  <c r="O323" i="15"/>
  <c r="O169" i="15"/>
  <c r="O171" i="15" s="1"/>
  <c r="P436" i="34" l="1"/>
  <c r="P442" i="34" s="1"/>
  <c r="P447" i="34" s="1"/>
  <c r="P274" i="34" s="1"/>
  <c r="Q495" i="34"/>
  <c r="Q499" i="34" s="1"/>
  <c r="Q500" i="34" s="1"/>
  <c r="Q233" i="34" s="1"/>
  <c r="Q234" i="34" s="1"/>
  <c r="Q382" i="34"/>
  <c r="Q385" i="34"/>
  <c r="Q330" i="34"/>
  <c r="Q329" i="34"/>
  <c r="O10" i="34"/>
  <c r="O631" i="34"/>
  <c r="O325" i="15"/>
  <c r="O328" i="15"/>
  <c r="BG58" i="42"/>
  <c r="N59" i="42"/>
  <c r="O143" i="34"/>
  <c r="O158" i="34" s="1"/>
  <c r="O161" i="34" s="1"/>
  <c r="O163" i="34" s="1"/>
  <c r="O451" i="34"/>
  <c r="Q331" i="34" l="1"/>
  <c r="Q176" i="34" s="1"/>
  <c r="Q177" i="34" s="1"/>
  <c r="Q386" i="34"/>
  <c r="Q190" i="34" s="1"/>
  <c r="Q191" i="34" s="1"/>
  <c r="O330" i="15"/>
  <c r="O677" i="34"/>
  <c r="O282" i="34" s="1"/>
  <c r="O453" i="34"/>
  <c r="O457" i="34" s="1"/>
  <c r="O462" i="34" s="1"/>
  <c r="O276" i="34" s="1"/>
  <c r="R380" i="8"/>
  <c r="O253" i="3"/>
  <c r="O633" i="34"/>
  <c r="O260" i="34" s="1"/>
  <c r="BG62" i="42"/>
  <c r="N58" i="42"/>
  <c r="N62" i="42" s="1"/>
  <c r="O19" i="34"/>
  <c r="O34" i="34" s="1"/>
  <c r="O37" i="34" s="1"/>
  <c r="O39" i="34" s="1"/>
  <c r="O405" i="34"/>
  <c r="O246" i="3" l="1"/>
  <c r="R110" i="8"/>
  <c r="R392" i="8"/>
  <c r="R528" i="8" s="1"/>
  <c r="R532" i="8" s="1"/>
  <c r="O175" i="15"/>
  <c r="O406" i="34"/>
  <c r="O409" i="34" s="1"/>
  <c r="O416" i="34" s="1"/>
  <c r="O270" i="34" s="1"/>
  <c r="R538" i="8" l="1"/>
  <c r="R157" i="8" s="1"/>
  <c r="R30" i="8" s="1"/>
  <c r="R537" i="8"/>
  <c r="R156" i="8" s="1"/>
  <c r="R29" i="8" s="1"/>
  <c r="BH9" i="42"/>
  <c r="R113" i="8"/>
  <c r="P103" i="15" l="1"/>
  <c r="O9" i="42"/>
  <c r="R577" i="8"/>
  <c r="BH10" i="42"/>
  <c r="BH14" i="42" s="1"/>
  <c r="BH26" i="42" s="1"/>
  <c r="R147" i="8"/>
  <c r="R541" i="8"/>
  <c r="O89" i="42" l="1"/>
  <c r="BH36" i="42"/>
  <c r="BH56" i="42" s="1"/>
  <c r="O56" i="42" s="1"/>
  <c r="O26" i="42"/>
  <c r="O36" i="42" s="1"/>
  <c r="R559" i="8"/>
  <c r="R561" i="8" s="1"/>
  <c r="R151" i="8"/>
  <c r="R8" i="8"/>
  <c r="R579" i="8"/>
  <c r="R588" i="8" s="1"/>
  <c r="O71" i="42"/>
  <c r="Q9" i="60" s="1"/>
  <c r="P104" i="15"/>
  <c r="P11" i="15" s="1"/>
  <c r="O10" i="42"/>
  <c r="O73" i="42" s="1"/>
  <c r="Q11" i="60" s="1"/>
  <c r="P10" i="15"/>
  <c r="Q12" i="60" l="1"/>
  <c r="Q22" i="60" s="1"/>
  <c r="O87" i="42"/>
  <c r="R590" i="8"/>
  <c r="O74" i="42"/>
  <c r="O84" i="42" s="1"/>
  <c r="P16" i="15"/>
  <c r="P288" i="34" s="1"/>
  <c r="P109" i="15"/>
  <c r="P6" i="17"/>
  <c r="R10" i="8"/>
  <c r="R19" i="8" s="1"/>
  <c r="R23" i="8" s="1"/>
  <c r="R34" i="8" s="1"/>
  <c r="O14" i="42"/>
  <c r="R549" i="8"/>
  <c r="R551" i="8" s="1"/>
  <c r="R563" i="8" s="1"/>
  <c r="R568" i="8" s="1"/>
  <c r="R161" i="8"/>
  <c r="P128" i="3" s="1"/>
  <c r="P129" i="3" s="1"/>
  <c r="P27" i="15" l="1"/>
  <c r="P29" i="15"/>
  <c r="P351" i="34"/>
  <c r="P521" i="34"/>
  <c r="P530" i="34" s="1"/>
  <c r="P292" i="34"/>
  <c r="P98" i="17"/>
  <c r="P100" i="17" s="1"/>
  <c r="P102" i="17" s="1"/>
  <c r="P104" i="17" s="1"/>
  <c r="P116" i="17" s="1"/>
  <c r="P8" i="17"/>
  <c r="P13" i="17" s="1"/>
  <c r="P344" i="34"/>
  <c r="P290" i="15"/>
  <c r="P334" i="34"/>
  <c r="P122" i="15"/>
  <c r="P120" i="15"/>
  <c r="P292" i="15" l="1"/>
  <c r="P297" i="15" s="1"/>
  <c r="P320" i="15" s="1"/>
  <c r="P132" i="15"/>
  <c r="P134" i="15" s="1"/>
  <c r="P140" i="15" s="1"/>
  <c r="P298" i="34"/>
  <c r="P297" i="34"/>
  <c r="P531" i="34"/>
  <c r="P250" i="34" s="1"/>
  <c r="P343" i="34"/>
  <c r="P345" i="34" s="1"/>
  <c r="P179" i="34" s="1"/>
  <c r="P20" i="17"/>
  <c r="P47" i="17" s="1"/>
  <c r="P359" i="34"/>
  <c r="P356" i="34"/>
  <c r="P471" i="34"/>
  <c r="P475" i="34" s="1"/>
  <c r="P338" i="34"/>
  <c r="P247" i="3" s="1"/>
  <c r="P567" i="34"/>
  <c r="P575" i="34" s="1"/>
  <c r="P576" i="34" s="1"/>
  <c r="P256" i="34" s="1"/>
  <c r="P390" i="34"/>
  <c r="P180" i="34" l="1"/>
  <c r="P241" i="3"/>
  <c r="P299" i="34"/>
  <c r="P170" i="34" s="1"/>
  <c r="P507" i="34"/>
  <c r="P511" i="34" s="1"/>
  <c r="P512" i="34" s="1"/>
  <c r="P236" i="34" s="1"/>
  <c r="P395" i="34"/>
  <c r="P398" i="34"/>
  <c r="T397" i="34" s="1"/>
  <c r="P360" i="34"/>
  <c r="P184" i="34" s="1"/>
  <c r="P51" i="17"/>
  <c r="P130" i="34"/>
  <c r="P251" i="3"/>
  <c r="P165" i="15"/>
  <c r="P238" i="3"/>
  <c r="P476" i="34"/>
  <c r="P227" i="34" s="1"/>
  <c r="P323" i="15"/>
  <c r="P169" i="15"/>
  <c r="P171" i="15" s="1"/>
  <c r="P185" i="34" l="1"/>
  <c r="P171" i="34"/>
  <c r="P228" i="34"/>
  <c r="P237" i="34"/>
  <c r="P250" i="3"/>
  <c r="P248" i="3"/>
  <c r="P649" i="34"/>
  <c r="P651" i="34" s="1"/>
  <c r="P266" i="34" s="1"/>
  <c r="P134" i="34"/>
  <c r="P6" i="34"/>
  <c r="BH59" i="42"/>
  <c r="P117" i="17"/>
  <c r="P121" i="17" s="1"/>
  <c r="P123" i="17" s="1"/>
  <c r="P94" i="3" s="1"/>
  <c r="P325" i="15"/>
  <c r="P328" i="15"/>
  <c r="S380" i="8" s="1"/>
  <c r="P399" i="34"/>
  <c r="P193" i="34" s="1"/>
  <c r="S110" i="8" l="1"/>
  <c r="S113" i="8" s="1"/>
  <c r="S392" i="8"/>
  <c r="S528" i="8" s="1"/>
  <c r="S532" i="8" s="1"/>
  <c r="P194" i="34"/>
  <c r="BH58" i="42"/>
  <c r="O59" i="42"/>
  <c r="P330" i="15"/>
  <c r="P453" i="34"/>
  <c r="P677" i="34"/>
  <c r="P282" i="34" s="1"/>
  <c r="P631" i="34"/>
  <c r="P10" i="34"/>
  <c r="P451" i="34"/>
  <c r="P143" i="34"/>
  <c r="P158" i="34" s="1"/>
  <c r="P161" i="34" s="1"/>
  <c r="P163" i="34" s="1"/>
  <c r="S147" i="8" l="1"/>
  <c r="S577" i="8"/>
  <c r="S579" i="8" s="1"/>
  <c r="S588" i="8" s="1"/>
  <c r="P457" i="34"/>
  <c r="P462" i="34" s="1"/>
  <c r="P276" i="34" s="1"/>
  <c r="P405" i="34"/>
  <c r="P19" i="34"/>
  <c r="P34" i="34" s="1"/>
  <c r="P37" i="34" s="1"/>
  <c r="P39" i="34" s="1"/>
  <c r="P246" i="3" s="1"/>
  <c r="P175" i="15"/>
  <c r="P406" i="34"/>
  <c r="P253" i="3"/>
  <c r="P633" i="34"/>
  <c r="P260" i="34" s="1"/>
  <c r="BH62" i="42"/>
  <c r="O58" i="42"/>
  <c r="O62" i="42" s="1"/>
  <c r="S151" i="8" l="1"/>
  <c r="S549" i="8" s="1"/>
  <c r="S551" i="8" s="1"/>
  <c r="S563" i="8" s="1"/>
  <c r="S559" i="8"/>
  <c r="S561" i="8" s="1"/>
  <c r="BI9" i="42"/>
  <c r="Q103" i="15" s="1"/>
  <c r="S538" i="8"/>
  <c r="S157" i="8" s="1"/>
  <c r="S30" i="8" s="1"/>
  <c r="S537" i="8"/>
  <c r="S156" i="8" s="1"/>
  <c r="S8" i="8"/>
  <c r="S10" i="8" s="1"/>
  <c r="S19" i="8" s="1"/>
  <c r="S23" i="8" s="1"/>
  <c r="P409" i="34"/>
  <c r="P416" i="34" s="1"/>
  <c r="P270" i="34" s="1"/>
  <c r="G135" i="10"/>
  <c r="G261" i="10" s="1"/>
  <c r="F40" i="11"/>
  <c r="G40" i="11" s="1"/>
  <c r="S568" i="8" l="1"/>
  <c r="S590" i="8"/>
  <c r="S29" i="8"/>
  <c r="S34" i="8" s="1"/>
  <c r="S161" i="8"/>
  <c r="BI10" i="42"/>
  <c r="BI14" i="42" s="1"/>
  <c r="BI26" i="42" s="1"/>
  <c r="P9" i="42"/>
  <c r="S541" i="8"/>
  <c r="D86" i="13"/>
  <c r="D223" i="15" s="1"/>
  <c r="F62" i="11"/>
  <c r="F163" i="11" s="1"/>
  <c r="H40" i="11"/>
  <c r="H62" i="11" s="1"/>
  <c r="G62" i="11"/>
  <c r="G163" i="11" s="1"/>
  <c r="P10" i="42" l="1"/>
  <c r="P73" i="42" s="1"/>
  <c r="R11" i="60" s="1"/>
  <c r="Q104" i="15"/>
  <c r="Q11" i="15" s="1"/>
  <c r="Q10" i="15"/>
  <c r="P89" i="42"/>
  <c r="P87" i="42" s="1"/>
  <c r="BI36" i="42"/>
  <c r="BI56" i="42" s="1"/>
  <c r="P56" i="42" s="1"/>
  <c r="P26" i="42"/>
  <c r="P36" i="42" s="1"/>
  <c r="P71" i="42"/>
  <c r="Q6" i="17"/>
  <c r="Q128" i="3"/>
  <c r="Q129" i="3" s="1"/>
  <c r="T59" i="42"/>
  <c r="D139" i="13"/>
  <c r="D55" i="3"/>
  <c r="D56" i="3" s="1"/>
  <c r="D91" i="13"/>
  <c r="D267" i="3" s="1"/>
  <c r="D229" i="15"/>
  <c r="F229" i="15" s="1"/>
  <c r="D168" i="15"/>
  <c r="D220" i="3"/>
  <c r="G170" i="11"/>
  <c r="G166" i="11"/>
  <c r="F166" i="11" s="1"/>
  <c r="F135" i="10"/>
  <c r="F261" i="10" s="1"/>
  <c r="H163" i="11"/>
  <c r="H166" i="11" s="1"/>
  <c r="J40" i="11"/>
  <c r="P14" i="42" l="1"/>
  <c r="Q109" i="15"/>
  <c r="Q334" i="34" s="1"/>
  <c r="Q390" i="34" s="1"/>
  <c r="Q16" i="15"/>
  <c r="Q288" i="34" s="1"/>
  <c r="Q290" i="15"/>
  <c r="Q344" i="34"/>
  <c r="R9" i="60"/>
  <c r="P74" i="42"/>
  <c r="P84" i="42" s="1"/>
  <c r="Q98" i="17"/>
  <c r="Q100" i="17" s="1"/>
  <c r="Q102" i="17" s="1"/>
  <c r="Q104" i="17" s="1"/>
  <c r="Q116" i="17" s="1"/>
  <c r="Q8" i="17"/>
  <c r="Q13" i="17" s="1"/>
  <c r="Q343" i="34" s="1"/>
  <c r="J62" i="11"/>
  <c r="J163" i="11" s="1"/>
  <c r="J170" i="11" s="1"/>
  <c r="D141" i="13"/>
  <c r="D144" i="13" s="1"/>
  <c r="D146" i="13" s="1"/>
  <c r="D92" i="3" s="1"/>
  <c r="T60" i="42"/>
  <c r="T62" i="42" s="1"/>
  <c r="Q212" i="3" s="1"/>
  <c r="D221" i="3"/>
  <c r="E264" i="10"/>
  <c r="D226" i="15"/>
  <c r="D170" i="15"/>
  <c r="D171" i="15" s="1"/>
  <c r="D231" i="15"/>
  <c r="F675" i="34" s="1"/>
  <c r="D174" i="15"/>
  <c r="K40" i="11"/>
  <c r="E59" i="42"/>
  <c r="Q122" i="15" l="1"/>
  <c r="Q120" i="15"/>
  <c r="Q338" i="34"/>
  <c r="Q567" i="34"/>
  <c r="Q575" i="34" s="1"/>
  <c r="Q576" i="34" s="1"/>
  <c r="Q256" i="34" s="1"/>
  <c r="Q27" i="15"/>
  <c r="Q29" i="15"/>
  <c r="Q398" i="34"/>
  <c r="Q507" i="34"/>
  <c r="Q511" i="34" s="1"/>
  <c r="Q512" i="34" s="1"/>
  <c r="Q236" i="34" s="1"/>
  <c r="Q237" i="34" s="1"/>
  <c r="Q395" i="34"/>
  <c r="Q345" i="34"/>
  <c r="Q179" i="34" s="1"/>
  <c r="Q180" i="34" s="1"/>
  <c r="Q292" i="15"/>
  <c r="Q297" i="15" s="1"/>
  <c r="Q320" i="15" s="1"/>
  <c r="Q323" i="15" s="1"/>
  <c r="Q132" i="15"/>
  <c r="Q134" i="15" s="1"/>
  <c r="Q140" i="15" s="1"/>
  <c r="Q292" i="34"/>
  <c r="Q521" i="34"/>
  <c r="Q530" i="34" s="1"/>
  <c r="Q531" i="34" s="1"/>
  <c r="Q250" i="34" s="1"/>
  <c r="Q351" i="34"/>
  <c r="Q471" i="34" s="1"/>
  <c r="Q475" i="34" s="1"/>
  <c r="Q476" i="34" s="1"/>
  <c r="R12" i="60"/>
  <c r="R22" i="60" s="1"/>
  <c r="Q20" i="17"/>
  <c r="Q47" i="17" s="1"/>
  <c r="Q130" i="34" s="1"/>
  <c r="E60" i="42"/>
  <c r="E62" i="42" s="1"/>
  <c r="D176" i="15"/>
  <c r="D177" i="15" s="1"/>
  <c r="F231" i="15"/>
  <c r="G221" i="3"/>
  <c r="D232" i="15"/>
  <c r="J166" i="11"/>
  <c r="I166" i="11" s="1"/>
  <c r="K62" i="11"/>
  <c r="K163" i="11" s="1"/>
  <c r="K166" i="11" s="1"/>
  <c r="M40" i="11"/>
  <c r="Q399" i="34" l="1"/>
  <c r="Q193" i="34" s="1"/>
  <c r="Q194" i="34" s="1"/>
  <c r="Q328" i="15"/>
  <c r="Q325" i="15"/>
  <c r="Q649" i="34"/>
  <c r="Q651" i="34" s="1"/>
  <c r="Q266" i="34" s="1"/>
  <c r="Q134" i="34"/>
  <c r="Q6" i="34"/>
  <c r="Q356" i="34"/>
  <c r="Q359" i="34"/>
  <c r="Q227" i="34"/>
  <c r="Q228" i="34" s="1"/>
  <c r="Q298" i="34"/>
  <c r="Q297" i="34"/>
  <c r="Q251" i="3"/>
  <c r="Q247" i="3"/>
  <c r="Q169" i="15"/>
  <c r="Q171" i="15" s="1"/>
  <c r="Q241" i="3"/>
  <c r="Q165" i="15"/>
  <c r="Q238" i="3"/>
  <c r="Q51" i="17"/>
  <c r="D243" i="3"/>
  <c r="D212" i="3"/>
  <c r="N40" i="11"/>
  <c r="M62" i="11"/>
  <c r="M163" i="11" s="1"/>
  <c r="F280" i="34"/>
  <c r="F232" i="15"/>
  <c r="H229" i="15"/>
  <c r="F174" i="15"/>
  <c r="Q143" i="34" l="1"/>
  <c r="Q158" i="34" s="1"/>
  <c r="Q161" i="34" s="1"/>
  <c r="Q163" i="34" s="1"/>
  <c r="Q451" i="34"/>
  <c r="Q631" i="34"/>
  <c r="Q633" i="34" s="1"/>
  <c r="Q260" i="34" s="1"/>
  <c r="Q10" i="34"/>
  <c r="Q330" i="15"/>
  <c r="Q406" i="34" s="1"/>
  <c r="Q677" i="34"/>
  <c r="Q282" i="34" s="1"/>
  <c r="Q453" i="34"/>
  <c r="Q299" i="34"/>
  <c r="Q170" i="34" s="1"/>
  <c r="Q171" i="34" s="1"/>
  <c r="Q360" i="34"/>
  <c r="Q184" i="34" s="1"/>
  <c r="Q185" i="34" s="1"/>
  <c r="Q250" i="3"/>
  <c r="Q248" i="3"/>
  <c r="Q117" i="17"/>
  <c r="Q121" i="17" s="1"/>
  <c r="Q123" i="17" s="1"/>
  <c r="Q94" i="3" s="1"/>
  <c r="BI59" i="42"/>
  <c r="D275" i="3"/>
  <c r="M166" i="11"/>
  <c r="L166" i="11" s="1"/>
  <c r="H221" i="3"/>
  <c r="H231" i="15"/>
  <c r="H232" i="15" s="1"/>
  <c r="F176" i="15"/>
  <c r="F177" i="15" s="1"/>
  <c r="G243" i="3" s="1"/>
  <c r="G275" i="3" s="1"/>
  <c r="G675" i="34"/>
  <c r="G280" i="34" s="1"/>
  <c r="H174" i="15"/>
  <c r="I229" i="15"/>
  <c r="D208" i="42"/>
  <c r="N62" i="11"/>
  <c r="N163" i="11" s="1"/>
  <c r="N166" i="11" s="1"/>
  <c r="P40" i="11"/>
  <c r="Q405" i="34" l="1"/>
  <c r="Q409" i="34" s="1"/>
  <c r="Q416" i="34" s="1"/>
  <c r="Q270" i="34" s="1"/>
  <c r="Q19" i="34"/>
  <c r="Q34" i="34" s="1"/>
  <c r="Q37" i="34" s="1"/>
  <c r="Q39" i="34" s="1"/>
  <c r="Q457" i="34"/>
  <c r="Q462" i="34" s="1"/>
  <c r="Q276" i="34" s="1"/>
  <c r="BI58" i="42"/>
  <c r="P59" i="42"/>
  <c r="P62" i="11"/>
  <c r="P163" i="11" s="1"/>
  <c r="Q40" i="11"/>
  <c r="D222" i="42"/>
  <c r="E220" i="42" s="1"/>
  <c r="H176" i="15"/>
  <c r="H177" i="15" s="1"/>
  <c r="H243" i="3" s="1"/>
  <c r="H275" i="3" s="1"/>
  <c r="H675" i="34"/>
  <c r="H280" i="34" s="1"/>
  <c r="I231" i="15"/>
  <c r="I232" i="15" s="1"/>
  <c r="I174" i="15"/>
  <c r="J229" i="15"/>
  <c r="BI62" i="42" l="1"/>
  <c r="P58" i="42"/>
  <c r="P62" i="42" s="1"/>
  <c r="Q253" i="3"/>
  <c r="Q246" i="3"/>
  <c r="Q175" i="15"/>
  <c r="E210" i="42"/>
  <c r="F210" i="42" s="1"/>
  <c r="G210" i="42"/>
  <c r="E200" i="42"/>
  <c r="F200" i="42" s="1"/>
  <c r="E204" i="42"/>
  <c r="E216" i="42"/>
  <c r="F216" i="42" s="1"/>
  <c r="E201" i="42"/>
  <c r="F201" i="42" s="1"/>
  <c r="E205" i="42"/>
  <c r="F205" i="42" s="1"/>
  <c r="E209" i="42"/>
  <c r="F209" i="42" s="1"/>
  <c r="E213" i="42"/>
  <c r="F213" i="42" s="1"/>
  <c r="E198" i="42"/>
  <c r="F198" i="42" s="1"/>
  <c r="E202" i="42"/>
  <c r="F202" i="42" s="1"/>
  <c r="E206" i="42"/>
  <c r="E214" i="42"/>
  <c r="E218" i="42"/>
  <c r="E196" i="42"/>
  <c r="E212" i="42"/>
  <c r="F212" i="42" s="1"/>
  <c r="E211" i="42"/>
  <c r="E197" i="42"/>
  <c r="F197" i="42" s="1"/>
  <c r="E199" i="42"/>
  <c r="F199" i="42" s="1"/>
  <c r="E208" i="42"/>
  <c r="F208" i="42" s="1"/>
  <c r="G206" i="42"/>
  <c r="G220" i="42"/>
  <c r="Q62" i="11"/>
  <c r="Q163" i="11" s="1"/>
  <c r="Q166" i="11" s="1"/>
  <c r="S40" i="11"/>
  <c r="P166" i="11"/>
  <c r="O166" i="11" s="1"/>
  <c r="I221" i="3"/>
  <c r="G213" i="42"/>
  <c r="G209" i="42"/>
  <c r="G212" i="42"/>
  <c r="G204" i="42"/>
  <c r="G216" i="42"/>
  <c r="G201" i="42"/>
  <c r="G196" i="42"/>
  <c r="G205" i="42"/>
  <c r="G197" i="42"/>
  <c r="G199" i="42"/>
  <c r="G211" i="42"/>
  <c r="G202" i="42"/>
  <c r="G200" i="42"/>
  <c r="G214" i="42"/>
  <c r="G198" i="42"/>
  <c r="G218" i="42"/>
  <c r="J174" i="15"/>
  <c r="K229" i="15"/>
  <c r="I176" i="15"/>
  <c r="I177" i="15" s="1"/>
  <c r="I243" i="3" s="1"/>
  <c r="I675" i="34"/>
  <c r="I280" i="34" s="1"/>
  <c r="J231" i="15"/>
  <c r="G208" i="42"/>
  <c r="I275" i="3" l="1"/>
  <c r="F214" i="42"/>
  <c r="E222" i="42"/>
  <c r="E223" i="42" s="1"/>
  <c r="F204" i="42"/>
  <c r="J176" i="15"/>
  <c r="J177" i="15" s="1"/>
  <c r="J675" i="34"/>
  <c r="J280" i="34" s="1"/>
  <c r="K231" i="15"/>
  <c r="K232" i="15" s="1"/>
  <c r="J232" i="15"/>
  <c r="F196" i="42"/>
  <c r="T40" i="11"/>
  <c r="S62" i="11"/>
  <c r="S163" i="11" s="1"/>
  <c r="G222" i="42"/>
  <c r="K174" i="15"/>
  <c r="L229" i="15"/>
  <c r="F222" i="42" l="1"/>
  <c r="F223" i="42" s="1"/>
  <c r="H208" i="42"/>
  <c r="H202" i="42"/>
  <c r="H198" i="42"/>
  <c r="H213" i="42"/>
  <c r="H216" i="42"/>
  <c r="H212" i="42"/>
  <c r="H209" i="42"/>
  <c r="H197" i="42"/>
  <c r="H201" i="42"/>
  <c r="H196" i="42"/>
  <c r="J243" i="3"/>
  <c r="H205" i="42"/>
  <c r="H211" i="42"/>
  <c r="J221" i="3"/>
  <c r="S166" i="11"/>
  <c r="R166" i="11" s="1"/>
  <c r="L174" i="15"/>
  <c r="M229" i="15"/>
  <c r="H217" i="42"/>
  <c r="H219" i="42"/>
  <c r="H203" i="42"/>
  <c r="H215" i="42"/>
  <c r="H221" i="42"/>
  <c r="H207" i="42"/>
  <c r="H206" i="42"/>
  <c r="H220" i="42"/>
  <c r="H210" i="42"/>
  <c r="T62" i="11"/>
  <c r="T163" i="11" s="1"/>
  <c r="T166" i="11" s="1"/>
  <c r="V40" i="11"/>
  <c r="H199" i="42"/>
  <c r="L231" i="15"/>
  <c r="L232" i="15" s="1"/>
  <c r="K176" i="15"/>
  <c r="K177" i="15" s="1"/>
  <c r="K243" i="3" s="1"/>
  <c r="K675" i="34"/>
  <c r="K280" i="34" s="1"/>
  <c r="H218" i="42"/>
  <c r="H204" i="42"/>
  <c r="H214" i="42"/>
  <c r="H200" i="42"/>
  <c r="J275" i="3" l="1"/>
  <c r="H222" i="42"/>
  <c r="V62" i="11"/>
  <c r="V163" i="11" s="1"/>
  <c r="W40" i="11"/>
  <c r="L675" i="34"/>
  <c r="L280" i="34" s="1"/>
  <c r="L176" i="15"/>
  <c r="L177" i="15" s="1"/>
  <c r="L243" i="3" s="1"/>
  <c r="M231" i="15"/>
  <c r="M174" i="15"/>
  <c r="N229" i="15"/>
  <c r="W62" i="11" l="1"/>
  <c r="W163" i="11" s="1"/>
  <c r="W166" i="11" s="1"/>
  <c r="Y40" i="11"/>
  <c r="M176" i="15"/>
  <c r="M177" i="15" s="1"/>
  <c r="M675" i="34"/>
  <c r="M280" i="34" s="1"/>
  <c r="N231" i="15"/>
  <c r="N232" i="15" s="1"/>
  <c r="N174" i="15"/>
  <c r="O229" i="15"/>
  <c r="K221" i="3"/>
  <c r="K275" i="3" s="1"/>
  <c r="V166" i="11"/>
  <c r="U166" i="11" s="1"/>
  <c r="M232" i="15"/>
  <c r="M243" i="3" l="1"/>
  <c r="Z40" i="11"/>
  <c r="Y62" i="11"/>
  <c r="Y163" i="11" s="1"/>
  <c r="N176" i="15"/>
  <c r="N177" i="15" s="1"/>
  <c r="N243" i="3" s="1"/>
  <c r="O231" i="15"/>
  <c r="O232" i="15" s="1"/>
  <c r="N675" i="34"/>
  <c r="N280" i="34" s="1"/>
  <c r="P229" i="15"/>
  <c r="O174" i="15"/>
  <c r="Q229" i="15" l="1"/>
  <c r="Q174" i="15" s="1"/>
  <c r="L221" i="3"/>
  <c r="L275" i="3" s="1"/>
  <c r="Y166" i="11"/>
  <c r="X166" i="11" s="1"/>
  <c r="P174" i="15"/>
  <c r="O675" i="34"/>
  <c r="O280" i="34" s="1"/>
  <c r="P231" i="15"/>
  <c r="Q231" i="15" s="1"/>
  <c r="Q675" i="34" s="1"/>
  <c r="Q280" i="34" s="1"/>
  <c r="O176" i="15"/>
  <c r="O177" i="15" s="1"/>
  <c r="O243" i="3" s="1"/>
  <c r="Z62" i="11"/>
  <c r="Z163" i="11" s="1"/>
  <c r="Z166" i="11" s="1"/>
  <c r="AB40" i="11"/>
  <c r="Q232" i="15" l="1"/>
  <c r="P232" i="15"/>
  <c r="AB62" i="11"/>
  <c r="AB163" i="11" s="1"/>
  <c r="AC40" i="11"/>
  <c r="P675" i="34"/>
  <c r="P280" i="34" s="1"/>
  <c r="P176" i="15"/>
  <c r="P177" i="15" s="1"/>
  <c r="P243" i="3" l="1"/>
  <c r="Q176" i="15"/>
  <c r="Q177" i="15" s="1"/>
  <c r="AB166" i="11"/>
  <c r="AA166" i="11" s="1"/>
  <c r="M221" i="3"/>
  <c r="M275" i="3" s="1"/>
  <c r="AC62" i="11"/>
  <c r="AC163" i="11" s="1"/>
  <c r="AC166" i="11" s="1"/>
  <c r="AE40" i="11"/>
  <c r="Q243" i="3" l="1"/>
  <c r="AF40" i="11"/>
  <c r="AE62" i="11"/>
  <c r="AE163" i="11" s="1"/>
  <c r="N221" i="3" l="1"/>
  <c r="N275" i="3" s="1"/>
  <c r="AE166" i="11"/>
  <c r="AD166" i="11" s="1"/>
  <c r="AF62" i="11"/>
  <c r="AF163" i="11" s="1"/>
  <c r="AF166" i="11" s="1"/>
  <c r="AH40" i="11"/>
  <c r="AH62" i="11" l="1"/>
  <c r="AH163" i="11" s="1"/>
  <c r="AI40" i="11"/>
  <c r="AI62" i="11" l="1"/>
  <c r="AI163" i="11" s="1"/>
  <c r="AI166" i="11" s="1"/>
  <c r="AK40" i="11"/>
  <c r="AL40" i="11" s="1"/>
  <c r="O221" i="3"/>
  <c r="O275" i="3" s="1"/>
  <c r="AH166" i="11"/>
  <c r="AG166" i="11" s="1"/>
  <c r="AN40" i="11" l="1"/>
  <c r="AL62" i="11"/>
  <c r="AL163" i="11" s="1"/>
  <c r="AL166" i="11" s="1"/>
  <c r="AK62" i="11"/>
  <c r="AK163" i="11" s="1"/>
  <c r="AN62" i="11" l="1"/>
  <c r="AN163" i="11" s="1"/>
  <c r="AK166" i="11"/>
  <c r="AJ166" i="11" s="1"/>
  <c r="P221" i="3"/>
  <c r="P275" i="3" s="1"/>
  <c r="AN166" i="11" l="1"/>
  <c r="AM166" i="11" s="1"/>
  <c r="Q221" i="3"/>
  <c r="Q275" i="3" s="1"/>
</calcChain>
</file>

<file path=xl/comments1.xml><?xml version="1.0" encoding="utf-8"?>
<comments xmlns="http://schemas.openxmlformats.org/spreadsheetml/2006/main">
  <authors>
    <author>Linda Coulter</author>
    <author>bsc</author>
  </authors>
  <commentList>
    <comment ref="D55" authorId="0">
      <text>
        <r>
          <rPr>
            <b/>
            <sz val="9"/>
            <color indexed="81"/>
            <rFont val="Tahoma"/>
            <family val="2"/>
          </rPr>
          <t>Linda Coulter:</t>
        </r>
        <r>
          <rPr>
            <sz val="9"/>
            <color indexed="81"/>
            <rFont val="Tahoma"/>
            <family val="2"/>
          </rPr>
          <t xml:space="preserve">
Adjusted by $93k to make balance</t>
        </r>
      </text>
    </comment>
    <comment ref="E196" authorId="1">
      <text>
        <r>
          <rPr>
            <b/>
            <sz val="8"/>
            <color indexed="81"/>
            <rFont val="Tahoma"/>
            <family val="2"/>
          </rPr>
          <t>bsc:</t>
        </r>
        <r>
          <rPr>
            <sz val="8"/>
            <color indexed="81"/>
            <rFont val="Tahoma"/>
            <family val="2"/>
          </rPr>
          <t xml:space="preserve">
Target Div incr due to Halls &amp; Naval Mus moving to Strageic dec 2013.
</t>
        </r>
      </text>
    </comment>
  </commentList>
</comments>
</file>

<file path=xl/comments10.xml><?xml version="1.0" encoding="utf-8"?>
<comments xmlns="http://schemas.openxmlformats.org/spreadsheetml/2006/main">
  <authors>
    <author>Linda Coulter</author>
    <author>bsc</author>
    <author>PETERM</author>
    <author>Elizabeth Tuvunivono</author>
    <author>Paul Hickey</author>
  </authors>
  <commentList>
    <comment ref="H177" authorId="0">
      <text>
        <r>
          <rPr>
            <b/>
            <sz val="9"/>
            <color indexed="81"/>
            <rFont val="Tahoma"/>
            <family val="2"/>
          </rPr>
          <t>Linda Coulter:</t>
        </r>
        <r>
          <rPr>
            <sz val="9"/>
            <color indexed="81"/>
            <rFont val="Tahoma"/>
            <family val="2"/>
          </rPr>
          <t xml:space="preserve">
Have not used 16/17 current budget as baseline as it is unrealistic. Instead have used the original 16/17 budget, indexed at 2.5%.</t>
        </r>
      </text>
    </comment>
    <comment ref="H178" authorId="0">
      <text>
        <r>
          <rPr>
            <b/>
            <sz val="9"/>
            <color indexed="81"/>
            <rFont val="Tahoma"/>
            <family val="2"/>
          </rPr>
          <t>Linda Coulter:</t>
        </r>
        <r>
          <rPr>
            <sz val="9"/>
            <color indexed="81"/>
            <rFont val="Tahoma"/>
            <family val="2"/>
          </rPr>
          <t xml:space="preserve">
Have not used 16/17 current budget as baseline as it is unrealistic. Instead have used the original 16/17 budget, indexed at 2.5%.</t>
        </r>
      </text>
    </comment>
    <comment ref="B216" authorId="1">
      <text>
        <r>
          <rPr>
            <b/>
            <sz val="8"/>
            <color indexed="81"/>
            <rFont val="Tahoma"/>
            <family val="2"/>
          </rPr>
          <t>bsc:</t>
        </r>
        <r>
          <rPr>
            <sz val="8"/>
            <color indexed="81"/>
            <rFont val="Tahoma"/>
            <family val="2"/>
          </rPr>
          <t xml:space="preserve">
30 Depot + 30 Ass Man Sys
</t>
        </r>
      </text>
    </comment>
    <comment ref="C216" authorId="1">
      <text>
        <r>
          <rPr>
            <b/>
            <sz val="8"/>
            <color indexed="81"/>
            <rFont val="Tahoma"/>
            <family val="2"/>
          </rPr>
          <t>bsc:</t>
        </r>
        <r>
          <rPr>
            <sz val="8"/>
            <color indexed="81"/>
            <rFont val="Tahoma"/>
            <family val="2"/>
          </rPr>
          <t xml:space="preserve">
$40k to Depot Capex</t>
        </r>
      </text>
    </comment>
    <comment ref="G242" authorId="0">
      <text>
        <r>
          <rPr>
            <b/>
            <sz val="9"/>
            <color indexed="81"/>
            <rFont val="Tahoma"/>
            <family val="2"/>
          </rPr>
          <t>Linda Coulter:</t>
        </r>
        <r>
          <rPr>
            <sz val="9"/>
            <color indexed="81"/>
            <rFont val="Tahoma"/>
            <family val="2"/>
          </rPr>
          <t xml:space="preserve">
Found this wasn’t in the LTFP (in error) but was in authority, so added into LTFP as part of Dec budget updates.</t>
        </r>
      </text>
    </comment>
    <comment ref="B263" authorId="1">
      <text>
        <r>
          <rPr>
            <b/>
            <sz val="8"/>
            <color indexed="81"/>
            <rFont val="Tahoma"/>
            <family val="2"/>
          </rPr>
          <t>bsc:</t>
        </r>
        <r>
          <rPr>
            <sz val="8"/>
            <color indexed="81"/>
            <rFont val="Tahoma"/>
            <family val="2"/>
          </rPr>
          <t xml:space="preserve">
11/2/13 Incr looking at 3.4%</t>
        </r>
      </text>
    </comment>
    <comment ref="C297" authorId="2">
      <text>
        <r>
          <rPr>
            <b/>
            <sz val="9"/>
            <color indexed="81"/>
            <rFont val="Tahoma"/>
            <family val="2"/>
          </rPr>
          <t>PETERM:</t>
        </r>
        <r>
          <rPr>
            <sz val="9"/>
            <color indexed="81"/>
            <rFont val="Tahoma"/>
            <family val="2"/>
          </rPr>
          <t xml:space="preserve">
$20k shifted to capital</t>
        </r>
      </text>
    </comment>
    <comment ref="G297" authorId="0">
      <text>
        <r>
          <rPr>
            <b/>
            <sz val="9"/>
            <color indexed="81"/>
            <rFont val="Tahoma"/>
            <family val="2"/>
          </rPr>
          <t>Linda Coulter:</t>
        </r>
        <r>
          <rPr>
            <sz val="9"/>
            <color indexed="81"/>
            <rFont val="Tahoma"/>
            <family val="2"/>
          </rPr>
          <t xml:space="preserve">
Job 50107.3684 was previously Marom Ck Operating Expenses. Now split into 2 job numbers "Sampling and Testing" and "Chemicals".
</t>
        </r>
      </text>
    </comment>
    <comment ref="G303" authorId="0">
      <text>
        <r>
          <rPr>
            <b/>
            <sz val="9"/>
            <color indexed="81"/>
            <rFont val="Tahoma"/>
            <family val="2"/>
          </rPr>
          <t>Linda Coulter:</t>
        </r>
        <r>
          <rPr>
            <sz val="9"/>
            <color indexed="81"/>
            <rFont val="Tahoma"/>
            <family val="2"/>
          </rPr>
          <t xml:space="preserve">
Job 50108.3679 was previously Marom Creek WTP, now split into  "Scheduled Maintenance" and "Reactive Maintenance".</t>
        </r>
      </text>
    </comment>
    <comment ref="G305" authorId="0">
      <text>
        <r>
          <rPr>
            <b/>
            <sz val="9"/>
            <color indexed="81"/>
            <rFont val="Tahoma"/>
            <family val="2"/>
          </rPr>
          <t>Linda Coulter:</t>
        </r>
        <r>
          <rPr>
            <sz val="9"/>
            <color indexed="81"/>
            <rFont val="Tahoma"/>
            <family val="2"/>
          </rPr>
          <t xml:space="preserve">
Job number changed from 50107.3685 to 50108.3685</t>
        </r>
      </text>
    </comment>
    <comment ref="G311" authorId="0">
      <text>
        <r>
          <rPr>
            <b/>
            <sz val="9"/>
            <color indexed="81"/>
            <rFont val="Tahoma"/>
            <family val="2"/>
          </rPr>
          <t>Linda Coulter:</t>
        </r>
        <r>
          <rPr>
            <sz val="9"/>
            <color indexed="81"/>
            <rFont val="Tahoma"/>
            <family val="2"/>
          </rPr>
          <t xml:space="preserve">
Need to break this budget of $395,000 into subs, not all in sub 3712</t>
        </r>
      </text>
    </comment>
    <comment ref="G320" authorId="0">
      <text>
        <r>
          <rPr>
            <b/>
            <sz val="9"/>
            <color indexed="81"/>
            <rFont val="Tahoma"/>
            <family val="2"/>
          </rPr>
          <t>Linda Coulter:</t>
        </r>
        <r>
          <rPr>
            <sz val="9"/>
            <color indexed="81"/>
            <rFont val="Tahoma"/>
            <family val="2"/>
          </rPr>
          <t xml:space="preserve">
Job number amended from 50005.3575 to 50112.3575
</t>
        </r>
      </text>
    </comment>
    <comment ref="G321" authorId="0">
      <text>
        <r>
          <rPr>
            <b/>
            <sz val="9"/>
            <color indexed="81"/>
            <rFont val="Tahoma"/>
            <family val="2"/>
          </rPr>
          <t>Linda Coulter:</t>
        </r>
        <r>
          <rPr>
            <sz val="9"/>
            <color indexed="81"/>
            <rFont val="Tahoma"/>
            <family val="2"/>
          </rPr>
          <t xml:space="preserve">
Job number changed from 50005.3583 to 50112.3583</t>
        </r>
      </text>
    </comment>
    <comment ref="G322" authorId="0">
      <text>
        <r>
          <rPr>
            <b/>
            <sz val="9"/>
            <color indexed="81"/>
            <rFont val="Tahoma"/>
            <family val="2"/>
          </rPr>
          <t>Linda Coulter:</t>
        </r>
        <r>
          <rPr>
            <sz val="9"/>
            <color indexed="81"/>
            <rFont val="Tahoma"/>
            <family val="2"/>
          </rPr>
          <t xml:space="preserve">
Job number changed from 50005.4596 to 50112.4596</t>
        </r>
      </text>
    </comment>
    <comment ref="E323" authorId="3">
      <text>
        <r>
          <rPr>
            <b/>
            <sz val="9"/>
            <color indexed="81"/>
            <rFont val="Tahoma"/>
            <family val="2"/>
          </rPr>
          <t>Elizabeth Tuvunivono:</t>
        </r>
        <r>
          <rPr>
            <sz val="9"/>
            <color indexed="81"/>
            <rFont val="Tahoma"/>
            <family val="2"/>
          </rPr>
          <t xml:space="preserve">
Marom Creek Pumping Station 50112.3637</t>
        </r>
      </text>
    </comment>
    <comment ref="G328" authorId="0">
      <text>
        <r>
          <rPr>
            <b/>
            <sz val="9"/>
            <color indexed="81"/>
            <rFont val="Tahoma"/>
            <family val="2"/>
          </rPr>
          <t>Linda Coulter:</t>
        </r>
        <r>
          <rPr>
            <sz val="9"/>
            <color indexed="81"/>
            <rFont val="Tahoma"/>
            <family val="2"/>
          </rPr>
          <t xml:space="preserve">
Need to break this budget of $102,000 into subs, not all in sub 6701.</t>
        </r>
      </text>
    </comment>
    <comment ref="C330" authorId="0">
      <text>
        <r>
          <rPr>
            <b/>
            <sz val="9"/>
            <color indexed="81"/>
            <rFont val="Tahoma"/>
            <family val="2"/>
          </rPr>
          <t>Linda Coulter:</t>
        </r>
        <r>
          <rPr>
            <sz val="9"/>
            <color indexed="81"/>
            <rFont val="Tahoma"/>
            <family val="2"/>
          </rPr>
          <t xml:space="preserve">
Amended from original budget of $1,900,000 to $1,700,000 based on forecast report PRIOR to Corey's reevaluation of assumptions. LCO 30/1/15</t>
        </r>
      </text>
    </comment>
    <comment ref="D330" authorId="4">
      <text>
        <r>
          <rPr>
            <b/>
            <sz val="9"/>
            <color indexed="81"/>
            <rFont val="Tahoma"/>
            <family val="2"/>
          </rPr>
          <t xml:space="preserve">Paul Hickey </t>
        </r>
        <r>
          <rPr>
            <sz val="9"/>
            <color indexed="81"/>
            <rFont val="Tahoma"/>
            <family val="2"/>
          </rPr>
          <t>Revised figure represents Corey Ryan email 23 March 2015</t>
        </r>
      </text>
    </comment>
    <comment ref="B404" authorId="1">
      <text>
        <r>
          <rPr>
            <b/>
            <sz val="8"/>
            <color indexed="81"/>
            <rFont val="Tahoma"/>
            <family val="2"/>
          </rPr>
          <t>bsc:</t>
        </r>
        <r>
          <rPr>
            <sz val="8"/>
            <color indexed="81"/>
            <rFont val="Tahoma"/>
            <family val="2"/>
          </rPr>
          <t xml:space="preserve">
$30,000 Asset syst in Water,$40k to Trinity Pl path($5k to SP re Rriver testing not shown).
</t>
        </r>
      </text>
    </comment>
    <comment ref="C404" authorId="1">
      <text>
        <r>
          <rPr>
            <b/>
            <sz val="8"/>
            <color indexed="81"/>
            <rFont val="Tahoma"/>
            <family val="2"/>
          </rPr>
          <t>bsc:</t>
        </r>
        <r>
          <rPr>
            <sz val="8"/>
            <color indexed="81"/>
            <rFont val="Tahoma"/>
            <family val="2"/>
          </rPr>
          <t xml:space="preserve">
$5k to SP re RR testing+$40k to Depot Capex</t>
        </r>
      </text>
    </comment>
    <comment ref="G446" authorId="0">
      <text>
        <r>
          <rPr>
            <b/>
            <sz val="9"/>
            <color indexed="81"/>
            <rFont val="Tahoma"/>
            <family val="2"/>
          </rPr>
          <t>Linda Coulter:</t>
        </r>
        <r>
          <rPr>
            <sz val="9"/>
            <color indexed="81"/>
            <rFont val="Tahoma"/>
            <family val="2"/>
          </rPr>
          <t xml:space="preserve">
Need to split out the $265k across the subs.</t>
        </r>
      </text>
    </comment>
    <comment ref="G459" authorId="0">
      <text>
        <r>
          <rPr>
            <b/>
            <sz val="9"/>
            <color indexed="81"/>
            <rFont val="Tahoma"/>
            <family val="2"/>
          </rPr>
          <t>Linda Coulter:</t>
        </r>
        <r>
          <rPr>
            <sz val="9"/>
            <color indexed="81"/>
            <rFont val="Tahoma"/>
            <family val="2"/>
          </rPr>
          <t xml:space="preserve">
Need to split out the $1120k across the subs.</t>
        </r>
      </text>
    </comment>
    <comment ref="G461" authorId="0">
      <text>
        <r>
          <rPr>
            <b/>
            <sz val="9"/>
            <color indexed="81"/>
            <rFont val="Tahoma"/>
            <family val="2"/>
          </rPr>
          <t>Linda Coulter:</t>
        </r>
        <r>
          <rPr>
            <sz val="9"/>
            <color indexed="81"/>
            <rFont val="Tahoma"/>
            <family val="2"/>
          </rPr>
          <t xml:space="preserve">
Need to split out the $180k across subs.</t>
        </r>
      </text>
    </comment>
    <comment ref="G485" authorId="0">
      <text>
        <r>
          <rPr>
            <b/>
            <sz val="9"/>
            <color indexed="81"/>
            <rFont val="Tahoma"/>
            <family val="2"/>
          </rPr>
          <t>Linda Coulter:</t>
        </r>
        <r>
          <rPr>
            <sz val="9"/>
            <color indexed="81"/>
            <rFont val="Tahoma"/>
            <family val="2"/>
          </rPr>
          <t xml:space="preserve">
Need to split out the $90k across the subs.</t>
        </r>
      </text>
    </comment>
    <comment ref="C487" authorId="2">
      <text>
        <r>
          <rPr>
            <b/>
            <sz val="9"/>
            <color indexed="81"/>
            <rFont val="Tahoma"/>
            <family val="2"/>
          </rPr>
          <t>PETERM:</t>
        </r>
        <r>
          <rPr>
            <sz val="9"/>
            <color indexed="81"/>
            <rFont val="Tahoma"/>
            <family val="2"/>
          </rPr>
          <t xml:space="preserve">
$80k transferred to capital</t>
        </r>
      </text>
    </comment>
    <comment ref="G491" authorId="0">
      <text>
        <r>
          <rPr>
            <b/>
            <sz val="9"/>
            <color indexed="81"/>
            <rFont val="Tahoma"/>
            <family val="2"/>
          </rPr>
          <t>Linda Coulter:</t>
        </r>
        <r>
          <rPr>
            <sz val="9"/>
            <color indexed="81"/>
            <rFont val="Tahoma"/>
            <family val="2"/>
          </rPr>
          <t xml:space="preserve">
Need to split out the $151k across subs.</t>
        </r>
      </text>
    </comment>
    <comment ref="B496" authorId="2">
      <text>
        <r>
          <rPr>
            <b/>
            <sz val="9"/>
            <color indexed="81"/>
            <rFont val="Tahoma"/>
            <family val="2"/>
          </rPr>
          <t>PETERM:</t>
        </r>
        <r>
          <rPr>
            <sz val="9"/>
            <color indexed="81"/>
            <rFont val="Tahoma"/>
            <family val="2"/>
          </rPr>
          <t xml:space="preserve">
adjustments done as per report by Andrew S to March ordinary meeting</t>
        </r>
      </text>
    </comment>
    <comment ref="F496" authorId="0">
      <text>
        <r>
          <rPr>
            <b/>
            <sz val="9"/>
            <color indexed="81"/>
            <rFont val="Tahoma"/>
            <family val="2"/>
          </rPr>
          <t>Linda Coulter:</t>
        </r>
        <r>
          <rPr>
            <sz val="9"/>
            <color indexed="81"/>
            <rFont val="Tahoma"/>
            <family val="2"/>
          </rPr>
          <t xml:space="preserve">
These budgets moved to 60022.3585.0401</t>
        </r>
      </text>
    </comment>
    <comment ref="B500" authorId="2">
      <text>
        <r>
          <rPr>
            <b/>
            <sz val="9"/>
            <color indexed="81"/>
            <rFont val="Tahoma"/>
            <family val="2"/>
          </rPr>
          <t>PETERM:</t>
        </r>
        <r>
          <rPr>
            <sz val="9"/>
            <color indexed="81"/>
            <rFont val="Tahoma"/>
            <family val="2"/>
          </rPr>
          <t xml:space="preserve">
adjustments done as per report by Andrew S to March ordinary meeting</t>
        </r>
      </text>
    </comment>
    <comment ref="B501" authorId="2">
      <text>
        <r>
          <rPr>
            <b/>
            <sz val="9"/>
            <color indexed="81"/>
            <rFont val="Tahoma"/>
            <family val="2"/>
          </rPr>
          <t>PETERM:</t>
        </r>
        <r>
          <rPr>
            <sz val="9"/>
            <color indexed="81"/>
            <rFont val="Tahoma"/>
            <family val="2"/>
          </rPr>
          <t xml:space="preserve">
adjustments done as per report by Andrew S to March ordinary meeting</t>
        </r>
      </text>
    </comment>
    <comment ref="B513" authorId="2">
      <text>
        <r>
          <rPr>
            <b/>
            <sz val="9"/>
            <color indexed="81"/>
            <rFont val="Tahoma"/>
            <family val="2"/>
          </rPr>
          <t>PETERM:</t>
        </r>
        <r>
          <rPr>
            <sz val="9"/>
            <color indexed="81"/>
            <rFont val="Tahoma"/>
            <family val="2"/>
          </rPr>
          <t xml:space="preserve">
adjustments done as per report by Andrew S to March ordinary meeting</t>
        </r>
      </text>
    </comment>
    <comment ref="F513" authorId="0">
      <text>
        <r>
          <rPr>
            <b/>
            <sz val="9"/>
            <color indexed="81"/>
            <rFont val="Tahoma"/>
            <family val="2"/>
          </rPr>
          <t>Linda Coulter:</t>
        </r>
        <r>
          <rPr>
            <sz val="9"/>
            <color indexed="81"/>
            <rFont val="Tahoma"/>
            <family val="2"/>
          </rPr>
          <t xml:space="preserve">
These budgets previously at 55022.3585.0401 above</t>
        </r>
      </text>
    </comment>
  </commentList>
</comments>
</file>

<file path=xl/comments11.xml><?xml version="1.0" encoding="utf-8"?>
<comments xmlns="http://schemas.openxmlformats.org/spreadsheetml/2006/main">
  <authors>
    <author>Linda Coulter</author>
    <author>Paul Hickey</author>
    <author>PETERM</author>
    <author>Elizabeth Tuvunivono</author>
  </authors>
  <commentList>
    <comment ref="C7" authorId="0">
      <text>
        <r>
          <rPr>
            <b/>
            <sz val="9"/>
            <color indexed="81"/>
            <rFont val="Tahoma"/>
            <family val="2"/>
          </rPr>
          <t>Linda Coulter:</t>
        </r>
        <r>
          <rPr>
            <sz val="9"/>
            <color indexed="81"/>
            <rFont val="Tahoma"/>
            <family val="2"/>
          </rPr>
          <t xml:space="preserve">
W78 for 15/16 year</t>
        </r>
      </text>
    </comment>
    <comment ref="F70" authorId="1">
      <text>
        <r>
          <rPr>
            <b/>
            <sz val="9"/>
            <color indexed="81"/>
            <rFont val="Tahoma"/>
            <family val="2"/>
          </rPr>
          <t>Paul Hickey:</t>
        </r>
        <r>
          <rPr>
            <sz val="9"/>
            <color indexed="81"/>
            <rFont val="Tahoma"/>
            <family val="2"/>
          </rPr>
          <t xml:space="preserve">
Eastern arm erosion $152,000 and $20,000 for Western Foreshore planning etc</t>
        </r>
      </text>
    </comment>
    <comment ref="G70" authorId="1">
      <text>
        <r>
          <rPr>
            <b/>
            <sz val="9"/>
            <color indexed="81"/>
            <rFont val="Tahoma"/>
            <family val="2"/>
          </rPr>
          <t>Paul Hickey:</t>
        </r>
        <r>
          <rPr>
            <sz val="9"/>
            <color indexed="81"/>
            <rFont val="Tahoma"/>
            <family val="2"/>
          </rPr>
          <t xml:space="preserve">
Western Foreshore - funded from reserves</t>
        </r>
      </text>
    </comment>
    <comment ref="F82"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G82"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F83" authorId="1">
      <text>
        <r>
          <rPr>
            <b/>
            <sz val="9"/>
            <color indexed="81"/>
            <rFont val="Tahoma"/>
            <family val="2"/>
          </rPr>
          <t>Paul Hickey:</t>
        </r>
        <r>
          <rPr>
            <sz val="9"/>
            <color indexed="81"/>
            <rFont val="Tahoma"/>
            <family val="2"/>
          </rPr>
          <t xml:space="preserve">
Reduce by $25,000 to ensure revenue funding is $50,000 to offset the two $25,000 reductions for depot and Building Asset Mgmt Program</t>
        </r>
      </text>
    </comment>
    <comment ref="V83" authorId="0">
      <text>
        <r>
          <rPr>
            <b/>
            <sz val="9"/>
            <color indexed="81"/>
            <rFont val="Tahoma"/>
            <family val="2"/>
          </rPr>
          <t>Linda Coulter:</t>
        </r>
        <r>
          <rPr>
            <sz val="9"/>
            <color indexed="81"/>
            <rFont val="Tahoma"/>
            <family val="2"/>
          </rPr>
          <t xml:space="preserve">
Cap expend of 496k removed from 15/16 year and transferred to Admin Building Reserve</t>
        </r>
      </text>
    </comment>
    <comment ref="F99"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H99" authorId="1">
      <text>
        <r>
          <rPr>
            <b/>
            <sz val="9"/>
            <color indexed="81"/>
            <rFont val="Tahoma"/>
            <family val="2"/>
          </rPr>
          <t>Paul Hickey:</t>
        </r>
        <r>
          <rPr>
            <sz val="9"/>
            <color indexed="81"/>
            <rFont val="Tahoma"/>
            <family val="2"/>
          </rPr>
          <t xml:space="preserve">
The funds for this year should all go to the new Ballina Sports Stadium</t>
        </r>
      </text>
    </comment>
    <comment ref="F110" authorId="0">
      <text>
        <r>
          <rPr>
            <b/>
            <sz val="9"/>
            <color indexed="81"/>
            <rFont val="Tahoma"/>
            <family val="2"/>
          </rPr>
          <t>Linda Coulter:</t>
        </r>
        <r>
          <rPr>
            <sz val="9"/>
            <color indexed="81"/>
            <rFont val="Tahoma"/>
            <family val="2"/>
          </rPr>
          <t xml:space="preserve">
51K added, being carry forward from 15/16 Public amenities program, added to 16/17 for Pop Denison.</t>
        </r>
      </text>
    </comment>
    <comment ref="G113" authorId="1">
      <text>
        <r>
          <rPr>
            <b/>
            <sz val="9"/>
            <color indexed="81"/>
            <rFont val="Tahoma"/>
            <family val="2"/>
          </rPr>
          <t>Paul Hickey:</t>
        </r>
        <r>
          <rPr>
            <sz val="9"/>
            <color indexed="81"/>
            <rFont val="Tahoma"/>
            <family val="2"/>
          </rPr>
          <t xml:space="preserve">
This year's funding transferred to Lake Ainsworth precinct as 2016/17 budget was used to cover over expenditure on Wollongbar Sports Fields</t>
        </r>
      </text>
    </comment>
    <comment ref="R118" authorId="2">
      <text>
        <r>
          <rPr>
            <b/>
            <sz val="9"/>
            <color indexed="81"/>
            <rFont val="Tahoma"/>
            <family val="2"/>
          </rPr>
          <t>PETERM:</t>
        </r>
        <r>
          <rPr>
            <sz val="9"/>
            <color indexed="81"/>
            <rFont val="Tahoma"/>
            <family val="2"/>
          </rPr>
          <t xml:space="preserve">
This is a very rough estimate of grant income to be received for roads and this amount is cpi' ed across the years. 
In 2015/16 we have been advised that we will receive 2 RTR payments. This equates to $597,000 twice. So for the benefit of the LTFP I have increased this year by the value of the extra payment $597.000 to note that it is different to the rest.</t>
        </r>
      </text>
    </comment>
    <comment ref="R120" authorId="2">
      <text>
        <r>
          <rPr>
            <b/>
            <sz val="9"/>
            <color indexed="81"/>
            <rFont val="Tahoma"/>
            <family val="2"/>
          </rPr>
          <t>PETERM:</t>
        </r>
        <r>
          <rPr>
            <sz val="9"/>
            <color indexed="81"/>
            <rFont val="Tahoma"/>
            <family val="2"/>
          </rPr>
          <t xml:space="preserve">
This is a very rough estimate of grant income to be received for roads and this amount is cpi' ed across the years. 
In 2015/16 we have been advised that we will receive 2 RTR payments. This equates to $597,000 twice. So for the benefit of the LTFP I have increased this year by the value of the extra payment $597.000 to note that it is different to the rest.</t>
        </r>
      </text>
    </comment>
    <comment ref="E124" authorId="0">
      <text>
        <r>
          <rPr>
            <b/>
            <sz val="9"/>
            <color indexed="81"/>
            <rFont val="Tahoma"/>
            <family val="2"/>
          </rPr>
          <t>Linda Coulter:</t>
        </r>
        <r>
          <rPr>
            <sz val="9"/>
            <color indexed="81"/>
            <rFont val="Tahoma"/>
            <family val="2"/>
          </rPr>
          <t xml:space="preserve">
56,800 carry forward</t>
        </r>
      </text>
    </comment>
    <comment ref="G131" authorId="1">
      <text>
        <r>
          <rPr>
            <b/>
            <sz val="9"/>
            <color indexed="81"/>
            <rFont val="Tahoma"/>
            <family val="2"/>
          </rPr>
          <t>Paul Hickey:</t>
        </r>
        <r>
          <rPr>
            <sz val="9"/>
            <color indexed="81"/>
            <rFont val="Tahoma"/>
            <family val="2"/>
          </rPr>
          <t xml:space="preserve">
Funded from $148,000 from sports fields budget and $22,000 lanes from stormwater budget</t>
        </r>
      </text>
    </comment>
    <comment ref="AQ134" authorId="1">
      <text>
        <r>
          <rPr>
            <b/>
            <sz val="9"/>
            <color indexed="81"/>
            <rFont val="Tahoma"/>
            <family val="2"/>
          </rPr>
          <t>Paul Hickey:</t>
        </r>
        <r>
          <rPr>
            <sz val="9"/>
            <color indexed="81"/>
            <rFont val="Tahoma"/>
            <family val="2"/>
          </rPr>
          <t xml:space="preserve">
Nominal grants to help fund these liabilities</t>
        </r>
      </text>
    </comment>
    <comment ref="F146" authorId="1">
      <text>
        <r>
          <rPr>
            <b/>
            <sz val="9"/>
            <color indexed="81"/>
            <rFont val="Tahoma"/>
            <family val="2"/>
          </rPr>
          <t xml:space="preserve">Paul Hickey:
</t>
        </r>
        <r>
          <rPr>
            <sz val="9"/>
            <color indexed="81"/>
            <rFont val="Tahoma"/>
            <family val="2"/>
          </rPr>
          <t>Carlisle Street Wardell is funded by reserves and should not be carried forward</t>
        </r>
      </text>
    </comment>
    <comment ref="G146" authorId="1">
      <text>
        <r>
          <rPr>
            <b/>
            <sz val="9"/>
            <color indexed="81"/>
            <rFont val="Tahoma"/>
            <family val="2"/>
          </rPr>
          <t>Paul Hickey:</t>
        </r>
        <r>
          <rPr>
            <sz val="9"/>
            <color indexed="81"/>
            <rFont val="Tahoma"/>
            <family val="2"/>
          </rPr>
          <t xml:space="preserve">
The $33,000 restores budget to what it should been however funded was reallocated to Regional Boating Plan</t>
        </r>
      </text>
    </comment>
    <comment ref="H146" authorId="1">
      <text>
        <r>
          <rPr>
            <b/>
            <sz val="9"/>
            <color indexed="81"/>
            <rFont val="Tahoma"/>
            <family val="2"/>
          </rPr>
          <t>Paul Hickey:</t>
        </r>
        <r>
          <rPr>
            <sz val="9"/>
            <color indexed="81"/>
            <rFont val="Tahoma"/>
            <family val="2"/>
          </rPr>
          <t xml:space="preserve">
The adjustments represents what the budget should have been however it was reduced by $100,000 for three years to fund Regional Boating Plan works - this last year was only $75,000</t>
        </r>
      </text>
    </comment>
    <comment ref="E151" authorId="2">
      <text>
        <r>
          <rPr>
            <b/>
            <sz val="9"/>
            <color indexed="81"/>
            <rFont val="Tahoma"/>
            <family val="2"/>
          </rPr>
          <t>PETERM:</t>
        </r>
        <r>
          <rPr>
            <sz val="9"/>
            <color indexed="81"/>
            <rFont val="Tahoma"/>
            <family val="2"/>
          </rPr>
          <t xml:space="preserve">
the - 20,000 went to Lennox CBD masterplan</t>
        </r>
      </text>
    </comment>
    <comment ref="F159" authorId="0">
      <text>
        <r>
          <rPr>
            <b/>
            <sz val="9"/>
            <color indexed="81"/>
            <rFont val="Tahoma"/>
            <family val="2"/>
          </rPr>
          <t>Linda Coulter:</t>
        </r>
        <r>
          <rPr>
            <sz val="9"/>
            <color indexed="81"/>
            <rFont val="Tahoma"/>
            <family val="2"/>
          </rPr>
          <t xml:space="preserve">
16/17 expenditure for Captain Cook Park Pontoon per Paul B summary is $258k. Reduction of $32k relates to "negative" expenditure for Brunswick St boatramp per Paul B summary.</t>
        </r>
      </text>
    </comment>
    <comment ref="Z159" authorId="0">
      <text>
        <r>
          <rPr>
            <b/>
            <sz val="9"/>
            <color indexed="81"/>
            <rFont val="Tahoma"/>
            <family val="2"/>
          </rPr>
          <t>Linda Coulter:</t>
        </r>
        <r>
          <rPr>
            <sz val="9"/>
            <color indexed="81"/>
            <rFont val="Tahoma"/>
            <family val="2"/>
          </rPr>
          <t xml:space="preserve">
Deduction of $12k relates to "negatives" for Brunswick St boatramp per Paul B summary.</t>
        </r>
      </text>
    </comment>
    <comment ref="Z160"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V162" authorId="1">
      <text>
        <r>
          <rPr>
            <b/>
            <sz val="9"/>
            <color indexed="81"/>
            <rFont val="Tahoma"/>
            <family val="2"/>
          </rPr>
          <t>Paul Hickey:</t>
        </r>
        <r>
          <rPr>
            <sz val="9"/>
            <color indexed="81"/>
            <rFont val="Tahoma"/>
            <family val="2"/>
          </rPr>
          <t xml:space="preserve">
$50,000 funded from the reduction in the footpaths budget</t>
        </r>
      </text>
    </comment>
    <comment ref="Z162"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V163" authorId="1">
      <text>
        <r>
          <rPr>
            <b/>
            <sz val="9"/>
            <color indexed="81"/>
            <rFont val="Tahoma"/>
            <family val="2"/>
          </rPr>
          <t>Paul Hickey:</t>
        </r>
        <r>
          <rPr>
            <sz val="9"/>
            <color indexed="81"/>
            <rFont val="Tahoma"/>
            <family val="2"/>
          </rPr>
          <t xml:space="preserve">
Funded by $100,000 reduction in footpath works</t>
        </r>
      </text>
    </comment>
    <comment ref="Z163"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Z164"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Z165"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Z166"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G193" authorId="1">
      <text>
        <r>
          <rPr>
            <b/>
            <sz val="9"/>
            <color indexed="81"/>
            <rFont val="Tahoma"/>
            <family val="2"/>
          </rPr>
          <t>Paul Hickey:</t>
        </r>
        <r>
          <rPr>
            <sz val="9"/>
            <color indexed="81"/>
            <rFont val="Tahoma"/>
            <family val="2"/>
          </rPr>
          <t xml:space="preserve">
Paul Hickey:
$148,000 of this year's funding transferred to Lake Ainsworth precinct as 2016/17 budget was used to cover over expenditure on Wollongbar Sports Fields
</t>
        </r>
      </text>
    </comment>
    <comment ref="A194" authorId="0">
      <text>
        <r>
          <rPr>
            <b/>
            <sz val="9"/>
            <color indexed="81"/>
            <rFont val="Tahoma"/>
            <family val="2"/>
          </rPr>
          <t>Linda Coulter:</t>
        </r>
        <r>
          <rPr>
            <sz val="9"/>
            <color indexed="81"/>
            <rFont val="Tahoma"/>
            <family val="2"/>
          </rPr>
          <t xml:space="preserve">
In-principle support of $20,000 re proposal from Ballina Tennis Club to be funded from the 17/18 Community Sports Capital Works, per Nov 16 Council meeting.</t>
        </r>
      </text>
    </comment>
    <comment ref="E203" authorId="0">
      <text>
        <r>
          <rPr>
            <b/>
            <sz val="9"/>
            <color indexed="81"/>
            <rFont val="Tahoma"/>
            <family val="2"/>
          </rPr>
          <t>Linda Coulter:</t>
        </r>
        <r>
          <rPr>
            <sz val="9"/>
            <color indexed="81"/>
            <rFont val="Tahoma"/>
            <family val="2"/>
          </rPr>
          <t xml:space="preserve">
Disposals of 317,200 deducted from here.</t>
        </r>
      </text>
    </comment>
    <comment ref="F203" authorId="3">
      <text>
        <r>
          <rPr>
            <b/>
            <sz val="9"/>
            <color indexed="81"/>
            <rFont val="Tahoma"/>
            <family val="2"/>
          </rPr>
          <t>Elizabeth Tuvunivono:</t>
        </r>
        <r>
          <rPr>
            <sz val="9"/>
            <color indexed="81"/>
            <rFont val="Tahoma"/>
            <family val="2"/>
          </rPr>
          <t xml:space="preserve">
Disposals of $326,500 deducted from here</t>
        </r>
      </text>
    </comment>
    <comment ref="G203" authorId="0">
      <text>
        <r>
          <rPr>
            <b/>
            <sz val="9"/>
            <color indexed="81"/>
            <rFont val="Tahoma"/>
            <family val="2"/>
          </rPr>
          <t>Linda Coulter:</t>
        </r>
        <r>
          <rPr>
            <sz val="9"/>
            <color indexed="81"/>
            <rFont val="Tahoma"/>
            <family val="2"/>
          </rPr>
          <t xml:space="preserve">
25k added for ranger vehicle, funded from DEH reserve</t>
        </r>
      </text>
    </comment>
    <comment ref="N209" authorId="0">
      <text>
        <r>
          <rPr>
            <b/>
            <sz val="9"/>
            <color indexed="81"/>
            <rFont val="Tahoma"/>
            <family val="2"/>
          </rPr>
          <t>Linda Coulter:</t>
        </r>
        <r>
          <rPr>
            <sz val="9"/>
            <color indexed="81"/>
            <rFont val="Tahoma"/>
            <family val="2"/>
          </rPr>
          <t xml:space="preserve">
Includes remediation $2.6m</t>
        </r>
      </text>
    </comment>
    <comment ref="F262" authorId="0">
      <text>
        <r>
          <rPr>
            <b/>
            <sz val="9"/>
            <color indexed="81"/>
            <rFont val="Tahoma"/>
            <family val="2"/>
          </rPr>
          <t>Linda Coulter:</t>
        </r>
        <r>
          <rPr>
            <sz val="9"/>
            <color indexed="81"/>
            <rFont val="Tahoma"/>
            <family val="2"/>
          </rPr>
          <t xml:space="preserve">
The 5k transferred from Urban lanes (revenue funded) and the 16k transferred from Martin St (reserve funded).</t>
        </r>
      </text>
    </comment>
    <comment ref="E306" authorId="0">
      <text>
        <r>
          <rPr>
            <b/>
            <sz val="9"/>
            <color indexed="81"/>
            <rFont val="Tahoma"/>
            <family val="2"/>
          </rPr>
          <t>Linda Coulter:</t>
        </r>
        <r>
          <rPr>
            <sz val="9"/>
            <color indexed="81"/>
            <rFont val="Tahoma"/>
            <family val="2"/>
          </rPr>
          <t xml:space="preserve">
$106,200 from s94</t>
        </r>
      </text>
    </comment>
    <comment ref="E346" authorId="0">
      <text>
        <r>
          <rPr>
            <b/>
            <sz val="9"/>
            <color indexed="81"/>
            <rFont val="Tahoma"/>
            <family val="2"/>
          </rPr>
          <t>Linda Coulter:</t>
        </r>
        <r>
          <rPr>
            <sz val="9"/>
            <color indexed="81"/>
            <rFont val="Tahoma"/>
            <family val="2"/>
          </rPr>
          <t xml:space="preserve">
174,000 is R2R</t>
        </r>
      </text>
    </comment>
    <comment ref="AA355" authorId="0">
      <text>
        <r>
          <rPr>
            <b/>
            <sz val="9"/>
            <color indexed="81"/>
            <rFont val="Tahoma"/>
            <family val="2"/>
          </rPr>
          <t>Linda Coulter:</t>
        </r>
        <r>
          <rPr>
            <sz val="9"/>
            <color indexed="81"/>
            <rFont val="Tahoma"/>
            <family val="2"/>
          </rPr>
          <t xml:space="preserve">
top up to W560 of $21,400 funded from revenue per Alex D in Dec qtr review; additional $36,000 in Mar 17 review transferred from Gap Rd Culvert, which had been funded from stormwater in the Dec review, now transferred here in the Mar 17 review.</t>
        </r>
      </text>
    </comment>
    <comment ref="AA356" authorId="0">
      <text>
        <r>
          <rPr>
            <b/>
            <sz val="9"/>
            <color indexed="81"/>
            <rFont val="Tahoma"/>
            <family val="2"/>
          </rPr>
          <t xml:space="preserve">Linda Coulter:
</t>
        </r>
        <r>
          <rPr>
            <sz val="9"/>
            <color indexed="81"/>
            <rFont val="Tahoma"/>
            <family val="2"/>
          </rPr>
          <t>$36,000 funded from stormwater, per Alex D, Dec qtr review. Then transferred over the heavy patching workorders in the Mar 17 review.</t>
        </r>
      </text>
    </comment>
    <comment ref="E376" authorId="0">
      <text>
        <r>
          <rPr>
            <b/>
            <sz val="9"/>
            <color indexed="81"/>
            <rFont val="Tahoma"/>
            <family val="2"/>
          </rPr>
          <t>Linda Coulter:</t>
        </r>
        <r>
          <rPr>
            <sz val="9"/>
            <color indexed="81"/>
            <rFont val="Tahoma"/>
            <family val="2"/>
          </rPr>
          <t xml:space="preserve">
total ND spend</t>
        </r>
      </text>
    </comment>
    <comment ref="W384" authorId="0">
      <text>
        <r>
          <rPr>
            <b/>
            <sz val="9"/>
            <color indexed="81"/>
            <rFont val="Tahoma"/>
            <family val="2"/>
          </rPr>
          <t>Linda Coulter:</t>
        </r>
        <r>
          <rPr>
            <sz val="9"/>
            <color indexed="81"/>
            <rFont val="Tahoma"/>
            <family val="2"/>
          </rPr>
          <t xml:space="preserve">
As at 17/6/16, don’t have a forecast for how the 16/17  R2R is to be allocated, per Paul B.</t>
        </r>
      </text>
    </comment>
    <comment ref="U391" authorId="0">
      <text>
        <r>
          <rPr>
            <b/>
            <sz val="9"/>
            <color indexed="81"/>
            <rFont val="Tahoma"/>
            <family val="2"/>
          </rPr>
          <t>Linda Coulter:</t>
        </r>
        <r>
          <rPr>
            <sz val="9"/>
            <color indexed="81"/>
            <rFont val="Tahoma"/>
            <family val="2"/>
          </rPr>
          <t xml:space="preserve">
Funding has not been corrected on a job by job basis above. This 192,000 has been put here simply to bring the checks into balance.</t>
        </r>
      </text>
    </comment>
  </commentList>
</comments>
</file>

<file path=xl/comments12.xml><?xml version="1.0" encoding="utf-8"?>
<comments xmlns="http://schemas.openxmlformats.org/spreadsheetml/2006/main">
  <authors>
    <author>Linda Coulter</author>
    <author>Elizabeth Tuvunivono</author>
  </authors>
  <commentList>
    <comment ref="D17" authorId="0">
      <text>
        <r>
          <rPr>
            <b/>
            <sz val="9"/>
            <color indexed="81"/>
            <rFont val="Tahoma"/>
            <family val="2"/>
          </rPr>
          <t>Linda Coulter:</t>
        </r>
        <r>
          <rPr>
            <sz val="9"/>
            <color indexed="81"/>
            <rFont val="Tahoma"/>
            <family val="2"/>
          </rPr>
          <t xml:space="preserve">
previously master 26102</t>
        </r>
      </text>
    </comment>
    <comment ref="F18" authorId="1">
      <text>
        <r>
          <rPr>
            <b/>
            <sz val="9"/>
            <color indexed="81"/>
            <rFont val="Tahoma"/>
            <charset val="1"/>
          </rPr>
          <t>Elizabeth Tuvunivono:</t>
        </r>
        <r>
          <rPr>
            <sz val="9"/>
            <color indexed="81"/>
            <rFont val="Tahoma"/>
            <charset val="1"/>
          </rPr>
          <t xml:space="preserve">
Split from above grant to link to capital expenditure for 2018. Total grant $4.5m</t>
        </r>
      </text>
    </comment>
    <comment ref="D22" authorId="1">
      <text>
        <r>
          <rPr>
            <b/>
            <sz val="9"/>
            <color indexed="81"/>
            <rFont val="Tahoma"/>
            <family val="2"/>
          </rPr>
          <t>Elizabeth Tuvunivono:</t>
        </r>
        <r>
          <rPr>
            <sz val="9"/>
            <color indexed="81"/>
            <rFont val="Tahoma"/>
            <family val="2"/>
          </rPr>
          <t xml:space="preserve">
Previously 23420.4462.0160</t>
        </r>
      </text>
    </comment>
    <comment ref="D25" authorId="0">
      <text>
        <r>
          <rPr>
            <b/>
            <sz val="9"/>
            <color indexed="81"/>
            <rFont val="Tahoma"/>
            <family val="2"/>
          </rPr>
          <t>Linda Coulter:</t>
        </r>
        <r>
          <rPr>
            <sz val="9"/>
            <color indexed="81"/>
            <rFont val="Tahoma"/>
            <family val="2"/>
          </rPr>
          <t xml:space="preserve">
previously master 22000</t>
        </r>
      </text>
    </comment>
    <comment ref="D40" authorId="0">
      <text>
        <r>
          <rPr>
            <b/>
            <sz val="9"/>
            <color indexed="81"/>
            <rFont val="Tahoma"/>
            <family val="2"/>
          </rPr>
          <t>Linda Coulter:</t>
        </r>
        <r>
          <rPr>
            <sz val="9"/>
            <color indexed="81"/>
            <rFont val="Tahoma"/>
            <family val="2"/>
          </rPr>
          <t xml:space="preserve">
previously master 22112</t>
        </r>
      </text>
    </comment>
    <comment ref="D45" authorId="1">
      <text>
        <r>
          <rPr>
            <b/>
            <sz val="9"/>
            <color indexed="81"/>
            <rFont val="Tahoma"/>
            <family val="2"/>
          </rPr>
          <t>Elizabeth Tuvunivono:</t>
        </r>
        <r>
          <rPr>
            <sz val="9"/>
            <color indexed="81"/>
            <rFont val="Tahoma"/>
            <family val="2"/>
          </rPr>
          <t xml:space="preserve">
Previously 22112</t>
        </r>
      </text>
    </comment>
    <comment ref="D73" authorId="1">
      <text>
        <r>
          <rPr>
            <b/>
            <sz val="9"/>
            <color indexed="81"/>
            <rFont val="Tahoma"/>
            <family val="2"/>
          </rPr>
          <t>Elizabeth Tuvunivono:</t>
        </r>
        <r>
          <rPr>
            <sz val="9"/>
            <color indexed="81"/>
            <rFont val="Tahoma"/>
            <family val="2"/>
          </rPr>
          <t xml:space="preserve">
22155 changed 2017
</t>
        </r>
      </text>
    </comment>
    <comment ref="D91" authorId="0">
      <text>
        <r>
          <rPr>
            <b/>
            <sz val="9"/>
            <color indexed="81"/>
            <rFont val="Tahoma"/>
            <family val="2"/>
          </rPr>
          <t>Linda Coulter:</t>
        </r>
        <r>
          <rPr>
            <sz val="9"/>
            <color indexed="81"/>
            <rFont val="Tahoma"/>
            <family val="2"/>
          </rPr>
          <t xml:space="preserve">
previously master 24004</t>
        </r>
      </text>
    </comment>
    <comment ref="D125" authorId="0">
      <text>
        <r>
          <rPr>
            <b/>
            <sz val="9"/>
            <color indexed="81"/>
            <rFont val="Tahoma"/>
            <family val="2"/>
          </rPr>
          <t>Linda Coulter:</t>
        </r>
        <r>
          <rPr>
            <sz val="9"/>
            <color indexed="81"/>
            <rFont val="Tahoma"/>
            <family val="2"/>
          </rPr>
          <t xml:space="preserve">
previously master 26070</t>
        </r>
      </text>
    </comment>
    <comment ref="D153" authorId="0">
      <text>
        <r>
          <rPr>
            <b/>
            <sz val="9"/>
            <color indexed="81"/>
            <rFont val="Tahoma"/>
            <family val="2"/>
          </rPr>
          <t>Linda Coulter:</t>
        </r>
        <r>
          <rPr>
            <sz val="9"/>
            <color indexed="81"/>
            <rFont val="Tahoma"/>
            <family val="2"/>
          </rPr>
          <t xml:space="preserve">
previously master 26102</t>
        </r>
      </text>
    </comment>
  </commentList>
</comments>
</file>

<file path=xl/comments13.xml><?xml version="1.0" encoding="utf-8"?>
<comments xmlns="http://schemas.openxmlformats.org/spreadsheetml/2006/main">
  <authors>
    <author>phickey</author>
    <author>PETERM</author>
    <author>Linda Coulter</author>
  </authors>
  <commentList>
    <comment ref="D59" authorId="0">
      <text>
        <r>
          <rPr>
            <b/>
            <sz val="8"/>
            <color indexed="81"/>
            <rFont val="Tahoma"/>
            <family val="2"/>
          </rPr>
          <t>phickey:</t>
        </r>
        <r>
          <rPr>
            <sz val="8"/>
            <color indexed="81"/>
            <rFont val="Tahoma"/>
            <family val="2"/>
          </rPr>
          <t xml:space="preserve">
Hickey and Morgan agreed to fund loan from section 94 - 100% in 10/11 and 50% from then on</t>
        </r>
      </text>
    </comment>
    <comment ref="C67" authorId="1">
      <text>
        <r>
          <rPr>
            <b/>
            <sz val="9"/>
            <color indexed="81"/>
            <rFont val="Tahoma"/>
            <family val="2"/>
          </rPr>
          <t xml:space="preserve">PETERM
</t>
        </r>
        <r>
          <rPr>
            <sz val="9"/>
            <color indexed="81"/>
            <rFont val="Tahoma"/>
            <family val="2"/>
          </rPr>
          <t xml:space="preserve">This contribution funds the project to 100% &amp; plan says can only do 70%. However we are ok to recoup in the order of $3m from the roads plan in respect to Ballina hts drive. So 30% will come from roads plan as recoupments </t>
        </r>
      </text>
    </comment>
    <comment ref="C68" authorId="1">
      <text>
        <r>
          <rPr>
            <b/>
            <sz val="9"/>
            <color indexed="81"/>
            <rFont val="Tahoma"/>
            <family val="2"/>
          </rPr>
          <t xml:space="preserve">PETERM
</t>
        </r>
        <r>
          <rPr>
            <sz val="9"/>
            <color indexed="81"/>
            <rFont val="Tahoma"/>
            <family val="2"/>
          </rPr>
          <t>This contribution funds the project to 100% les $50,000 which seems to come from misc road reserves. The plan says can only do 70%. However we are ok to recoup in the order of $3m from the roads plan in respect to Ballina hts drive. So 30% less $50,000 will come from roads plan as recoupments</t>
        </r>
      </text>
    </comment>
    <comment ref="E68" authorId="2">
      <text>
        <r>
          <rPr>
            <b/>
            <sz val="9"/>
            <color indexed="81"/>
            <rFont val="Tahoma"/>
            <family val="2"/>
          </rPr>
          <t>Linda Coulter:</t>
        </r>
        <r>
          <rPr>
            <sz val="9"/>
            <color indexed="81"/>
            <rFont val="Tahoma"/>
            <family val="2"/>
          </rPr>
          <t xml:space="preserve">
Trnsfr from s94 re public art tamar/cherry rabout</t>
        </r>
      </text>
    </comment>
    <comment ref="A69" authorId="1">
      <text>
        <r>
          <rPr>
            <b/>
            <sz val="9"/>
            <color indexed="81"/>
            <rFont val="Tahoma"/>
            <family val="2"/>
          </rPr>
          <t>PETERM:</t>
        </r>
        <r>
          <rPr>
            <sz val="9"/>
            <color indexed="81"/>
            <rFont val="Tahoma"/>
            <family val="2"/>
          </rPr>
          <t xml:space="preserve">
$5,600 is from roads existing ie unrestricted</t>
        </r>
      </text>
    </comment>
    <comment ref="A97" authorId="1">
      <text>
        <r>
          <rPr>
            <b/>
            <sz val="9"/>
            <color indexed="81"/>
            <rFont val="Tahoma"/>
            <family val="2"/>
          </rPr>
          <t>PETERM:</t>
        </r>
        <r>
          <rPr>
            <sz val="9"/>
            <color indexed="81"/>
            <rFont val="Tahoma"/>
            <family val="2"/>
          </rPr>
          <t xml:space="preserve">
nb this transfer from includes 5,600 from unrestricted roads plan existing</t>
        </r>
      </text>
    </comment>
  </commentList>
</comments>
</file>

<file path=xl/comments14.xml><?xml version="1.0" encoding="utf-8"?>
<comments xmlns="http://schemas.openxmlformats.org/spreadsheetml/2006/main">
  <authors>
    <author>Paul Hickey</author>
    <author>Linda Coulter</author>
    <author>Elizabeth Tuvunivono</author>
  </authors>
  <commentList>
    <comment ref="E32" authorId="0">
      <text>
        <r>
          <rPr>
            <b/>
            <sz val="9"/>
            <color indexed="81"/>
            <rFont val="Tahoma"/>
            <family val="2"/>
          </rPr>
          <t xml:space="preserve">Paul Hickey:
</t>
        </r>
        <r>
          <rPr>
            <sz val="9"/>
            <color indexed="81"/>
            <rFont val="Tahoma"/>
            <family val="2"/>
          </rPr>
          <t>This figures represents original financial plan cost of loan debt less actual loan debt paid = net transfer to reserve so overall impact on budget is the same.</t>
        </r>
      </text>
    </comment>
    <comment ref="E33" authorId="0">
      <text>
        <r>
          <rPr>
            <b/>
            <sz val="9"/>
            <color indexed="81"/>
            <rFont val="Tahoma"/>
            <family val="2"/>
          </rPr>
          <t xml:space="preserve">Paul Hickey:
</t>
        </r>
        <r>
          <rPr>
            <sz val="9"/>
            <color indexed="81"/>
            <rFont val="Tahoma"/>
            <family val="2"/>
          </rPr>
          <t>This figures represents original financial plan cost of loan debt less actual loan debt paid = net transfer to reserve so overall impact on budget is the same.</t>
        </r>
      </text>
    </comment>
    <comment ref="E99" authorId="1">
      <text>
        <r>
          <rPr>
            <b/>
            <sz val="9"/>
            <color indexed="81"/>
            <rFont val="Tahoma"/>
            <family val="2"/>
          </rPr>
          <t>Linda Coulter:</t>
        </r>
        <r>
          <rPr>
            <sz val="9"/>
            <color indexed="81"/>
            <rFont val="Tahoma"/>
            <family val="2"/>
          </rPr>
          <t xml:space="preserve">
225,000 russellton sales moved to Comm Infra reserve, per Council resolution 19Dec16.</t>
        </r>
      </text>
    </comment>
    <comment ref="F108" authorId="0">
      <text>
        <r>
          <rPr>
            <b/>
            <sz val="9"/>
            <color indexed="81"/>
            <rFont val="Tahoma"/>
            <family val="2"/>
          </rPr>
          <t>Paul Hickey:</t>
        </r>
        <r>
          <rPr>
            <sz val="9"/>
            <color indexed="81"/>
            <rFont val="Tahoma"/>
            <family val="2"/>
          </rPr>
          <t xml:space="preserve">
$15,000 represents auction expenses allowance</t>
        </r>
      </text>
    </comment>
    <comment ref="I131" authorId="0">
      <text>
        <r>
          <rPr>
            <b/>
            <sz val="9"/>
            <color indexed="81"/>
            <rFont val="Tahoma"/>
            <family val="2"/>
          </rPr>
          <t>Paul Hickey:</t>
        </r>
        <r>
          <rPr>
            <sz val="9"/>
            <color indexed="81"/>
            <rFont val="Tahoma"/>
            <family val="2"/>
          </rPr>
          <t xml:space="preserve">
$150,000 represents contribution to Skennars Head Sports Fields</t>
        </r>
      </text>
    </comment>
    <comment ref="I140" authorId="1">
      <text>
        <r>
          <rPr>
            <b/>
            <sz val="9"/>
            <color indexed="81"/>
            <rFont val="Tahoma"/>
            <family val="2"/>
          </rPr>
          <t>Linda Coulter:</t>
        </r>
        <r>
          <rPr>
            <sz val="9"/>
            <color indexed="81"/>
            <rFont val="Tahoma"/>
            <family val="2"/>
          </rPr>
          <t xml:space="preserve">
For Rangers vehicle $25k 
</t>
        </r>
      </text>
    </comment>
    <comment ref="F144" authorId="0">
      <text>
        <r>
          <rPr>
            <b/>
            <sz val="9"/>
            <color indexed="81"/>
            <rFont val="Tahoma"/>
            <family val="2"/>
          </rPr>
          <t>Paul Hickey:</t>
        </r>
        <r>
          <rPr>
            <sz val="9"/>
            <color indexed="81"/>
            <rFont val="Tahoma"/>
            <family val="2"/>
          </rPr>
          <t xml:space="preserve">
Reduced this figure by $15,000 as Reserve Balance was overdrawn - appears to be some sort of $15,000 transfer from in 2015/16.
LCO comment: $8k shaws bay and $20k lake ainsw carryforward added</t>
        </r>
      </text>
    </comment>
    <comment ref="I182" authorId="2">
      <text>
        <r>
          <rPr>
            <b/>
            <sz val="9"/>
            <color indexed="81"/>
            <rFont val="Tahoma"/>
            <family val="2"/>
          </rPr>
          <t>Elizabeth Tuvunivono:</t>
        </r>
        <r>
          <rPr>
            <sz val="9"/>
            <color indexed="81"/>
            <rFont val="Tahoma"/>
            <family val="2"/>
          </rPr>
          <t xml:space="preserve">
$30k W550 from Bypass reserve
</t>
        </r>
      </text>
    </comment>
    <comment ref="F197" authorId="0">
      <text>
        <r>
          <rPr>
            <b/>
            <sz val="9"/>
            <color indexed="81"/>
            <rFont val="Tahoma"/>
            <family val="2"/>
          </rPr>
          <t>Paul Hickey:</t>
        </r>
        <r>
          <rPr>
            <sz val="9"/>
            <color indexed="81"/>
            <rFont val="Tahoma"/>
            <family val="2"/>
          </rPr>
          <t xml:space="preserve">
$50,000 of this is funding pontoon works in Wardell</t>
        </r>
      </text>
    </comment>
    <comment ref="F207" authorId="1">
      <text>
        <r>
          <rPr>
            <b/>
            <sz val="9"/>
            <color indexed="81"/>
            <rFont val="Tahoma"/>
            <family val="2"/>
          </rPr>
          <t>Linda Coulter:</t>
        </r>
        <r>
          <rPr>
            <sz val="9"/>
            <color indexed="81"/>
            <rFont val="Tahoma"/>
            <family val="2"/>
          </rPr>
          <t xml:space="preserve">
Required contribution from reserves is $43k. Of this, $25k is being funded from Property reserves. Another deduction of $12k relates to the "negatives" on Paul B 16/17 expenditure summary.</t>
        </r>
      </text>
    </comment>
    <comment ref="F210" authorId="0">
      <text>
        <r>
          <rPr>
            <b/>
            <sz val="9"/>
            <color indexed="81"/>
            <rFont val="Tahoma"/>
            <family val="2"/>
          </rPr>
          <t>Paul Hickey:</t>
        </r>
        <r>
          <rPr>
            <sz val="9"/>
            <color indexed="81"/>
            <rFont val="Tahoma"/>
            <family val="2"/>
          </rPr>
          <t xml:space="preserve">
From Wardell Town Centre Reserve</t>
        </r>
      </text>
    </comment>
    <comment ref="I241" authorId="1">
      <text>
        <r>
          <rPr>
            <b/>
            <sz val="9"/>
            <color indexed="81"/>
            <rFont val="Tahoma"/>
            <family val="2"/>
          </rPr>
          <t>Linda Coulter:</t>
        </r>
        <r>
          <rPr>
            <sz val="9"/>
            <color indexed="81"/>
            <rFont val="Tahoma"/>
            <family val="2"/>
          </rPr>
          <t xml:space="preserve">
25k for rangers vehicle is funded from DEH internal reserve</t>
        </r>
      </text>
    </comment>
    <comment ref="F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X246" authorId="0">
      <text>
        <r>
          <rPr>
            <b/>
            <sz val="9"/>
            <color indexed="81"/>
            <rFont val="Tahoma"/>
            <family val="2"/>
          </rPr>
          <t>Paul Hickey:</t>
        </r>
        <r>
          <rPr>
            <sz val="9"/>
            <color indexed="81"/>
            <rFont val="Tahoma"/>
            <family val="2"/>
          </rPr>
          <t xml:space="preserve">
Dividend = $50,000 plus $150,000 for LIRS loans related to road works - The LIRS loans are finalised in 2022/23 - so reduce this figure this year based on repayments
</t>
        </r>
      </text>
    </comment>
    <comment ref="AD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G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J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M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List>
</comments>
</file>

<file path=xl/comments15.xml><?xml version="1.0" encoding="utf-8"?>
<comments xmlns="http://schemas.openxmlformats.org/spreadsheetml/2006/main">
  <authors>
    <author>PETERM</author>
    <author>Paul Hickey</author>
  </authors>
  <commentList>
    <comment ref="B72" authorId="0">
      <text>
        <r>
          <rPr>
            <b/>
            <sz val="9"/>
            <color indexed="81"/>
            <rFont val="Tahoma"/>
            <family val="2"/>
          </rPr>
          <t>PETERM:</t>
        </r>
        <r>
          <rPr>
            <sz val="9"/>
            <color indexed="81"/>
            <rFont val="Tahoma"/>
            <family val="2"/>
          </rPr>
          <t xml:space="preserve">
this is a one off c/f from 15 to 16 to fund extra days in ossm for 1 year before ossm price goes up again. See report to april 15 finance meet</t>
        </r>
      </text>
    </comment>
    <comment ref="G118" authorId="1">
      <text>
        <r>
          <rPr>
            <b/>
            <sz val="9"/>
            <color indexed="81"/>
            <rFont val="Tahoma"/>
            <family val="2"/>
          </rPr>
          <t>Paul Hickey:</t>
        </r>
        <r>
          <rPr>
            <sz val="9"/>
            <color indexed="81"/>
            <rFont val="Tahoma"/>
            <family val="2"/>
          </rPr>
          <t xml:space="preserve">
Linda Coulter:
Combined Footpaths/Coast Rec Path has net Balance of $30,000 as at 5/12/16, which represents the amt put to reserves for Shared Pth Sec 4 vegetation management. All other amounts clear to nil at 30 June 17.</t>
        </r>
      </text>
    </comment>
  </commentList>
</comments>
</file>

<file path=xl/comments16.xml><?xml version="1.0" encoding="utf-8"?>
<comments xmlns="http://schemas.openxmlformats.org/spreadsheetml/2006/main">
  <authors>
    <author>bsc</author>
  </authors>
  <commentList>
    <comment ref="A35" authorId="0">
      <text>
        <r>
          <rPr>
            <b/>
            <sz val="8"/>
            <color indexed="81"/>
            <rFont val="Tahoma"/>
            <family val="2"/>
          </rPr>
          <t xml:space="preserve">bsc:Repayments funded fr DOCS rental)
</t>
        </r>
        <r>
          <rPr>
            <sz val="8"/>
            <color indexed="81"/>
            <rFont val="Tahoma"/>
            <family val="2"/>
          </rPr>
          <t xml:space="preserve">
</t>
        </r>
      </text>
    </comment>
    <comment ref="A36" authorId="0">
      <text>
        <r>
          <rPr>
            <b/>
            <sz val="8"/>
            <color indexed="81"/>
            <rFont val="Tahoma"/>
            <family val="2"/>
          </rPr>
          <t xml:space="preserve">bsc:Repayments funded fr DOCS rental)
</t>
        </r>
        <r>
          <rPr>
            <sz val="8"/>
            <color indexed="81"/>
            <rFont val="Tahoma"/>
            <family val="2"/>
          </rPr>
          <t xml:space="preserve">
</t>
        </r>
      </text>
    </comment>
    <comment ref="A38" authorId="0">
      <text>
        <r>
          <rPr>
            <b/>
            <sz val="8"/>
            <color indexed="81"/>
            <rFont val="Tahoma"/>
            <family val="2"/>
          </rPr>
          <t xml:space="preserve">bsc:Repayments funded fr DOCS rental)
</t>
        </r>
        <r>
          <rPr>
            <sz val="8"/>
            <color indexed="81"/>
            <rFont val="Tahoma"/>
            <family val="2"/>
          </rPr>
          <t xml:space="preserve">
</t>
        </r>
      </text>
    </comment>
    <comment ref="A43" authorId="0">
      <text>
        <r>
          <rPr>
            <b/>
            <sz val="8"/>
            <color indexed="81"/>
            <rFont val="Tahoma"/>
            <family val="2"/>
          </rPr>
          <t xml:space="preserve">bsc:Repayment funded by Quarry Dividend
</t>
        </r>
        <r>
          <rPr>
            <sz val="8"/>
            <color indexed="81"/>
            <rFont val="Tahoma"/>
            <family val="2"/>
          </rPr>
          <t xml:space="preserve">
</t>
        </r>
      </text>
    </comment>
  </commentList>
</comments>
</file>

<file path=xl/comments17.xml><?xml version="1.0" encoding="utf-8"?>
<comments xmlns="http://schemas.openxmlformats.org/spreadsheetml/2006/main">
  <authors>
    <author>Linda Coulter</author>
    <author>Elizabeth Tuvunivono</author>
  </authors>
  <commentList>
    <comment ref="A6" authorId="0">
      <text>
        <r>
          <rPr>
            <b/>
            <sz val="9"/>
            <color indexed="81"/>
            <rFont val="Tahoma"/>
            <family val="2"/>
          </rPr>
          <t>Linda Coulter:</t>
        </r>
        <r>
          <rPr>
            <sz val="9"/>
            <color indexed="81"/>
            <rFont val="Tahoma"/>
            <family val="2"/>
          </rPr>
          <t xml:space="preserve">
Refer split below, line 165</t>
        </r>
      </text>
    </comment>
    <comment ref="G6" authorId="0">
      <text>
        <r>
          <rPr>
            <b/>
            <sz val="9"/>
            <color indexed="81"/>
            <rFont val="Tahoma"/>
            <family val="2"/>
          </rPr>
          <t>Linda Coulter:</t>
        </r>
        <r>
          <rPr>
            <sz val="9"/>
            <color indexed="81"/>
            <rFont val="Tahoma"/>
            <family val="2"/>
          </rPr>
          <t xml:space="preserve">
$80k added for Jamieson Ave, per Mar 16 capital expenditure review.</t>
        </r>
      </text>
    </comment>
    <comment ref="A11" authorId="0">
      <text>
        <r>
          <rPr>
            <b/>
            <sz val="9"/>
            <color indexed="81"/>
            <rFont val="Tahoma"/>
            <family val="2"/>
          </rPr>
          <t>Linda Coulter:</t>
        </r>
        <r>
          <rPr>
            <sz val="9"/>
            <color indexed="81"/>
            <rFont val="Tahoma"/>
            <family val="2"/>
          </rPr>
          <t xml:space="preserve">
Refer split, line 175
</t>
        </r>
      </text>
    </comment>
    <comment ref="A16" authorId="0">
      <text>
        <r>
          <rPr>
            <b/>
            <sz val="9"/>
            <color indexed="81"/>
            <rFont val="Tahoma"/>
            <family val="2"/>
          </rPr>
          <t>Linda Coulter:</t>
        </r>
        <r>
          <rPr>
            <sz val="9"/>
            <color indexed="81"/>
            <rFont val="Tahoma"/>
            <family val="2"/>
          </rPr>
          <t xml:space="preserve">
Refer to split below, line 152
</t>
        </r>
      </text>
    </comment>
    <comment ref="A17" authorId="0">
      <text>
        <r>
          <rPr>
            <b/>
            <sz val="9"/>
            <color indexed="81"/>
            <rFont val="Tahoma"/>
            <family val="2"/>
          </rPr>
          <t>Linda Coulter:</t>
        </r>
        <r>
          <rPr>
            <sz val="9"/>
            <color indexed="81"/>
            <rFont val="Tahoma"/>
            <family val="2"/>
          </rPr>
          <t xml:space="preserve">
Refer to split below, line 152
</t>
        </r>
      </text>
    </comment>
    <comment ref="G116" authorId="1">
      <text>
        <r>
          <rPr>
            <b/>
            <sz val="9"/>
            <color indexed="81"/>
            <rFont val="Tahoma"/>
            <family val="2"/>
          </rPr>
          <t>Elizabeth Tuvunivono:</t>
        </r>
        <r>
          <rPr>
            <sz val="9"/>
            <color indexed="81"/>
            <rFont val="Tahoma"/>
            <family val="2"/>
          </rPr>
          <t xml:space="preserve">
Relates to contra for items in one fund but capitalised in another fund 7510.5280</t>
        </r>
      </text>
    </comment>
    <comment ref="B135" authorId="1">
      <text>
        <r>
          <rPr>
            <b/>
            <sz val="9"/>
            <color indexed="81"/>
            <rFont val="Tahoma"/>
            <family val="2"/>
          </rPr>
          <t>Elizabeth Tuvunivono:</t>
        </r>
        <r>
          <rPr>
            <sz val="9"/>
            <color indexed="81"/>
            <rFont val="Tahoma"/>
            <family val="2"/>
          </rPr>
          <t xml:space="preserve">
Changed from 7508</t>
        </r>
      </text>
    </comment>
  </commentList>
</comments>
</file>

<file path=xl/comments18.xml><?xml version="1.0" encoding="utf-8"?>
<comments xmlns="http://schemas.openxmlformats.org/spreadsheetml/2006/main">
  <authors>
    <author>Linda Coulter</author>
  </authors>
  <commentList>
    <comment ref="H10" authorId="0">
      <text>
        <r>
          <rPr>
            <b/>
            <sz val="9"/>
            <color indexed="81"/>
            <rFont val="Tahoma"/>
            <family val="2"/>
          </rPr>
          <t>Linda Coulter:</t>
        </r>
        <r>
          <rPr>
            <sz val="9"/>
            <color indexed="81"/>
            <rFont val="Tahoma"/>
            <family val="2"/>
          </rPr>
          <t xml:space="preserve">
Represents principal for 3 quarters only. The fourth quarter principal per original schedule was $306,759. This was not paid as the loan was refinanced.</t>
        </r>
      </text>
    </comment>
    <comment ref="I10" authorId="0">
      <text>
        <r>
          <rPr>
            <b/>
            <sz val="9"/>
            <color indexed="81"/>
            <rFont val="Tahoma"/>
            <family val="2"/>
          </rPr>
          <t>Linda Coulter:</t>
        </r>
        <r>
          <rPr>
            <sz val="9"/>
            <color indexed="81"/>
            <rFont val="Tahoma"/>
            <family val="2"/>
          </rPr>
          <t xml:space="preserve">
Fourth quarter interest reduced from original schedule of 920,560 to actual paid 807,066.</t>
        </r>
      </text>
    </comment>
    <comment ref="F31" authorId="0">
      <text>
        <r>
          <rPr>
            <b/>
            <sz val="9"/>
            <color indexed="81"/>
            <rFont val="Tahoma"/>
            <family val="2"/>
          </rPr>
          <t>Linda Coulter:</t>
        </r>
        <r>
          <rPr>
            <sz val="9"/>
            <color indexed="81"/>
            <rFont val="Tahoma"/>
            <family val="2"/>
          </rPr>
          <t xml:space="preserve">
Reduced by 4th quarter principal and reduction in interest paid in 4th quarter due to refinancing of this loan.</t>
        </r>
      </text>
    </comment>
  </commentList>
</comments>
</file>

<file path=xl/comments19.xml><?xml version="1.0" encoding="utf-8"?>
<comments xmlns="http://schemas.openxmlformats.org/spreadsheetml/2006/main">
  <authors>
    <author>peterm</author>
  </authors>
  <commentList>
    <comment ref="H91" authorId="0">
      <text>
        <r>
          <rPr>
            <b/>
            <sz val="8"/>
            <color indexed="81"/>
            <rFont val="Tahoma"/>
            <family val="2"/>
          </rPr>
          <t>peterm:</t>
        </r>
        <r>
          <rPr>
            <sz val="8"/>
            <color indexed="81"/>
            <rFont val="Tahoma"/>
            <family val="2"/>
          </rPr>
          <t xml:space="preserve">
NB These figures represent accrual estimates not cash. There is a credit sitting in cash general that needs to be off set against these figures to get back to cash estimtes. See cap gen income below also.
</t>
        </r>
      </text>
    </comment>
  </commentList>
</comments>
</file>

<file path=xl/comments2.xml><?xml version="1.0" encoding="utf-8"?>
<comments xmlns="http://schemas.openxmlformats.org/spreadsheetml/2006/main">
  <authors>
    <author>Linda Coulter</author>
    <author>bsc</author>
    <author>PETERM</author>
  </authors>
  <commentList>
    <comment ref="D76" authorId="0">
      <text>
        <r>
          <rPr>
            <b/>
            <sz val="9"/>
            <color indexed="81"/>
            <rFont val="Tahoma"/>
            <family val="2"/>
          </rPr>
          <t>Linda Coulter:</t>
        </r>
        <r>
          <rPr>
            <sz val="9"/>
            <color indexed="81"/>
            <rFont val="Tahoma"/>
            <family val="2"/>
          </rPr>
          <t xml:space="preserve">
Figure required to balance to expected cash deficit on Checks tab.</t>
        </r>
      </text>
    </comment>
    <comment ref="A88" authorId="1">
      <text>
        <r>
          <rPr>
            <b/>
            <sz val="8"/>
            <color indexed="81"/>
            <rFont val="Tahoma"/>
            <family val="2"/>
          </rPr>
          <t>bsc:</t>
        </r>
        <r>
          <rPr>
            <sz val="8"/>
            <color indexed="81"/>
            <rFont val="Tahoma"/>
            <family val="2"/>
          </rPr>
          <t>Poss includes some non cash Stock and other adjusts. GF</t>
        </r>
        <r>
          <rPr>
            <sz val="8"/>
            <color indexed="81"/>
            <rFont val="Tahoma"/>
            <family val="2"/>
          </rPr>
          <t xml:space="preserve">
</t>
        </r>
      </text>
    </comment>
    <comment ref="A92" authorId="2">
      <text>
        <r>
          <rPr>
            <b/>
            <sz val="8"/>
            <color indexed="81"/>
            <rFont val="Tahoma"/>
            <family val="2"/>
          </rPr>
          <t>PETERM:</t>
        </r>
        <r>
          <rPr>
            <sz val="8"/>
            <color indexed="81"/>
            <rFont val="Tahoma"/>
            <family val="2"/>
          </rPr>
          <t xml:space="preserve">
The 2010/111 position calculated using LG solutions method less 2011/12 loss (at Dec) less ext 2012/13 loss</t>
        </r>
      </text>
    </comment>
  </commentList>
</comments>
</file>

<file path=xl/comments20.xml><?xml version="1.0" encoding="utf-8"?>
<comments xmlns="http://schemas.openxmlformats.org/spreadsheetml/2006/main">
  <authors>
    <author>Linda Coulter</author>
    <author>PETERM</author>
  </authors>
  <commentList>
    <comment ref="L39" authorId="0">
      <text>
        <r>
          <rPr>
            <b/>
            <sz val="9"/>
            <color indexed="81"/>
            <rFont val="Tahoma"/>
            <family val="2"/>
          </rPr>
          <t>Linda Coulter:</t>
        </r>
        <r>
          <rPr>
            <sz val="9"/>
            <color indexed="81"/>
            <rFont val="Tahoma"/>
            <family val="2"/>
          </rPr>
          <t xml:space="preserve">
98k (15/16), 102k (16/17) and 106k (17/18) from ferry adjustments mar 16 adjustments</t>
        </r>
      </text>
    </comment>
    <comment ref="K75" authorId="1">
      <text>
        <r>
          <rPr>
            <b/>
            <sz val="9"/>
            <color indexed="81"/>
            <rFont val="Tahoma"/>
            <family val="2"/>
          </rPr>
          <t>PETERM:</t>
        </r>
        <r>
          <rPr>
            <sz val="9"/>
            <color indexed="81"/>
            <rFont val="Tahoma"/>
            <family val="2"/>
          </rPr>
          <t xml:space="preserve">
$360k came off roads and was added to shared path. This adjustment and also adj cell k34 to balance this sheet
The 10k relates to removal of capital vote for robertson st in footpaths</t>
        </r>
      </text>
    </comment>
    <comment ref="F81" authorId="1">
      <text>
        <r>
          <rPr>
            <b/>
            <sz val="8"/>
            <color indexed="81"/>
            <rFont val="Tahoma"/>
            <family val="2"/>
          </rPr>
          <t>PETERM:</t>
        </r>
        <r>
          <rPr>
            <sz val="8"/>
            <color indexed="81"/>
            <rFont val="Tahoma"/>
            <family val="2"/>
          </rPr>
          <t xml:space="preserve">
donations committee took 30k and put it to community halls</t>
        </r>
      </text>
    </comment>
    <comment ref="H81" authorId="1">
      <text>
        <r>
          <rPr>
            <b/>
            <sz val="8"/>
            <color indexed="81"/>
            <rFont val="Tahoma"/>
            <family val="2"/>
          </rPr>
          <t>PETERM:</t>
        </r>
        <r>
          <rPr>
            <sz val="8"/>
            <color indexed="81"/>
            <rFont val="Tahoma"/>
            <family val="2"/>
          </rPr>
          <t xml:space="preserve">
In 2011/12 this fuigure was really $121K plus $40k for players theatre roof</t>
        </r>
      </text>
    </comment>
  </commentList>
</comments>
</file>

<file path=xl/comments21.xml><?xml version="1.0" encoding="utf-8"?>
<comments xmlns="http://schemas.openxmlformats.org/spreadsheetml/2006/main">
  <authors>
    <author>Paul Hickey</author>
  </authors>
  <commentList>
    <comment ref="F33" authorId="0">
      <text>
        <r>
          <rPr>
            <b/>
            <sz val="9"/>
            <color indexed="81"/>
            <rFont val="Tahoma"/>
            <family val="2"/>
          </rPr>
          <t>Paul Hickey:</t>
        </r>
        <r>
          <rPr>
            <sz val="9"/>
            <color indexed="81"/>
            <rFont val="Tahoma"/>
            <family val="2"/>
          </rPr>
          <t xml:space="preserve">
This calculation needs rewokring next year</t>
        </r>
      </text>
    </comment>
    <comment ref="U222" authorId="0">
      <text>
        <r>
          <rPr>
            <b/>
            <sz val="9"/>
            <color indexed="81"/>
            <rFont val="Tahoma"/>
            <family val="2"/>
          </rPr>
          <t>Paul Hickey:</t>
        </r>
        <r>
          <rPr>
            <sz val="9"/>
            <color indexed="81"/>
            <rFont val="Tahoma"/>
            <family val="2"/>
          </rPr>
          <t xml:space="preserve">
</t>
        </r>
      </text>
    </comment>
  </commentList>
</comments>
</file>

<file path=xl/comments22.xml><?xml version="1.0" encoding="utf-8"?>
<comments xmlns="http://schemas.openxmlformats.org/spreadsheetml/2006/main">
  <authors>
    <author>PETERM</author>
  </authors>
  <commentList>
    <comment ref="E39" authorId="0">
      <text>
        <r>
          <rPr>
            <b/>
            <sz val="9"/>
            <color indexed="81"/>
            <rFont val="Tahoma"/>
            <family val="2"/>
          </rPr>
          <t>PETERM:</t>
        </r>
        <r>
          <rPr>
            <sz val="9"/>
            <color indexed="81"/>
            <rFont val="Tahoma"/>
            <family val="2"/>
          </rPr>
          <t xml:space="preserve">
reduced by $1.1 million re compton dr new road and compton drive new car parking
</t>
        </r>
      </text>
    </comment>
  </commentList>
</comments>
</file>

<file path=xl/comments3.xml><?xml version="1.0" encoding="utf-8"?>
<comments xmlns="http://schemas.openxmlformats.org/spreadsheetml/2006/main">
  <authors>
    <author>Paul Hickey</author>
  </authors>
  <commentList>
    <comment ref="F66" authorId="0">
      <text>
        <r>
          <rPr>
            <b/>
            <sz val="9"/>
            <color indexed="81"/>
            <rFont val="Tahoma"/>
            <family val="2"/>
          </rPr>
          <t>Paul Hickey:</t>
        </r>
        <r>
          <rPr>
            <sz val="9"/>
            <color indexed="81"/>
            <rFont val="Tahoma"/>
            <family val="2"/>
          </rPr>
          <t xml:space="preserve">
Calculated by standard meters plus non standard income by standard meter charge</t>
        </r>
      </text>
    </comment>
  </commentList>
</comments>
</file>

<file path=xl/comments4.xml><?xml version="1.0" encoding="utf-8"?>
<comments xmlns="http://schemas.openxmlformats.org/spreadsheetml/2006/main">
  <authors>
    <author>PETERM</author>
  </authors>
  <commentList>
    <comment ref="A232" authorId="0">
      <text>
        <r>
          <rPr>
            <b/>
            <sz val="9"/>
            <color indexed="81"/>
            <rFont val="Tahoma"/>
            <family val="2"/>
          </rPr>
          <t>PETERM:</t>
        </r>
        <r>
          <rPr>
            <sz val="9"/>
            <color indexed="81"/>
            <rFont val="Tahoma"/>
            <family val="2"/>
          </rPr>
          <t xml:space="preserve">
this is $325k more than invest sheet as it does not include FVadj</t>
        </r>
      </text>
    </comment>
    <comment ref="B232" authorId="0">
      <text>
        <r>
          <rPr>
            <b/>
            <sz val="9"/>
            <color indexed="81"/>
            <rFont val="Tahoma"/>
            <family val="2"/>
          </rPr>
          <t>PETERM:</t>
        </r>
        <r>
          <rPr>
            <sz val="9"/>
            <color indexed="81"/>
            <rFont val="Tahoma"/>
            <family val="2"/>
          </rPr>
          <t xml:space="preserve">
this is $325k more than invest sheet as it does not include FVadj</t>
        </r>
      </text>
    </comment>
  </commentList>
</comments>
</file>

<file path=xl/comments5.xml><?xml version="1.0" encoding="utf-8"?>
<comments xmlns="http://schemas.openxmlformats.org/spreadsheetml/2006/main">
  <authors>
    <author>Linda Coulter</author>
    <author>bsc</author>
    <author>Peter Morgan</author>
    <author>PETERM</author>
  </authors>
  <commentList>
    <comment ref="E303" authorId="0">
      <text>
        <r>
          <rPr>
            <b/>
            <sz val="9"/>
            <color indexed="81"/>
            <rFont val="Tahoma"/>
            <family val="2"/>
          </rPr>
          <t>Linda Coulter:</t>
        </r>
        <r>
          <rPr>
            <sz val="9"/>
            <color indexed="81"/>
            <rFont val="Tahoma"/>
            <family val="2"/>
          </rPr>
          <t xml:space="preserve">
Income per ratio is 60,998
Financial Statements total income 61,579, add back fair value invest 163, is 61,742
Diff of 744
</t>
        </r>
      </text>
    </comment>
    <comment ref="E310" authorId="0">
      <text>
        <r>
          <rPr>
            <b/>
            <sz val="9"/>
            <color indexed="81"/>
            <rFont val="Tahoma"/>
            <family val="2"/>
          </rPr>
          <t>Linda Coulter:</t>
        </r>
        <r>
          <rPr>
            <sz val="9"/>
            <color indexed="81"/>
            <rFont val="Tahoma"/>
            <family val="2"/>
          </rPr>
          <t xml:space="preserve">
Net Expense per ratio is 53,259
Financial Statements total expense 52,805, add back fair value invest 163, is 52,968
Diff of 291</t>
        </r>
      </text>
    </comment>
    <comment ref="A316" authorId="1">
      <text>
        <r>
          <rPr>
            <b/>
            <sz val="8"/>
            <color indexed="81"/>
            <rFont val="Tahoma"/>
            <family val="2"/>
          </rPr>
          <t>bsc:</t>
        </r>
        <r>
          <rPr>
            <sz val="8"/>
            <color indexed="81"/>
            <rFont val="Tahoma"/>
            <family val="2"/>
          </rPr>
          <t xml:space="preserve">
Deduct $4m as Internal Income (Waste/Plant).GF
</t>
        </r>
      </text>
    </comment>
    <comment ref="E437" authorId="2">
      <text>
        <r>
          <rPr>
            <b/>
            <sz val="9"/>
            <color indexed="81"/>
            <rFont val="Tahoma"/>
            <family val="2"/>
          </rPr>
          <t>Peter Morgan:</t>
        </r>
        <r>
          <rPr>
            <sz val="9"/>
            <color indexed="81"/>
            <rFont val="Tahoma"/>
            <family val="2"/>
          </rPr>
          <t xml:space="preserve">
increased this credit to make estimated reserve balance close the the estimate reserve balance as per the March quarterly review of the refurb res plus water working capital</t>
        </r>
      </text>
    </comment>
    <comment ref="F444" authorId="0">
      <text>
        <r>
          <rPr>
            <b/>
            <sz val="9"/>
            <color indexed="81"/>
            <rFont val="Tahoma"/>
            <family val="2"/>
          </rPr>
          <t>Linda Coulter:</t>
        </r>
        <r>
          <rPr>
            <sz val="9"/>
            <color indexed="81"/>
            <rFont val="Tahoma"/>
            <family val="2"/>
          </rPr>
          <t xml:space="preserve">
For 15/16 and onwards, this figure has been divided by 2 to allow for "amounts not expected to be paid in the next 12 months".
For water fund, this represents approx half of the fund's liabilities, as the liabilities relate to employee entitlements.
The impact is quite minimal for the wastewater fund due to the large loan balances, so no adjustment has been made for the calculation of the wastewater fund.</t>
        </r>
      </text>
    </comment>
    <comment ref="D726" authorId="3">
      <text>
        <r>
          <rPr>
            <b/>
            <sz val="9"/>
            <color indexed="81"/>
            <rFont val="Tahoma"/>
            <family val="2"/>
          </rPr>
          <t>PETERM:</t>
        </r>
        <r>
          <rPr>
            <sz val="9"/>
            <color indexed="81"/>
            <rFont val="Tahoma"/>
            <family val="2"/>
          </rPr>
          <t xml:space="preserve">
Maintenance expense includes apportionment of engineers salaries as follows;
Alex 100%       $100,000
Stuart 100%     $100,000
Peter ok 50%    $ 50,000
Jamie 20%        $ 20,000
Paul B 40%        $ 40,000
John T 10%      $ 10,000
Corey 10%        </t>
        </r>
        <r>
          <rPr>
            <u/>
            <sz val="9"/>
            <color indexed="81"/>
            <rFont val="Tahoma"/>
            <family val="2"/>
          </rPr>
          <t>$ 10,000
Total                $$330,000</t>
        </r>
      </text>
    </comment>
  </commentList>
</comments>
</file>

<file path=xl/comments6.xml><?xml version="1.0" encoding="utf-8"?>
<comments xmlns="http://schemas.openxmlformats.org/spreadsheetml/2006/main">
  <authors>
    <author>Peter Morgan</author>
    <author>Paul Hickey</author>
    <author>PETERM</author>
    <author>bsc</author>
    <author>Linda Coulter</author>
  </authors>
  <commentList>
    <comment ref="E326" authorId="0">
      <text>
        <r>
          <rPr>
            <b/>
            <sz val="9"/>
            <color indexed="81"/>
            <rFont val="Tahoma"/>
            <family val="2"/>
          </rPr>
          <t>Peter Morgan:</t>
        </r>
        <r>
          <rPr>
            <sz val="9"/>
            <color indexed="81"/>
            <rFont val="Tahoma"/>
            <family val="2"/>
          </rPr>
          <t xml:space="preserve">
Craig advised that the rebate will only be going until Dec 16 so may only get half year of credits</t>
        </r>
      </text>
    </comment>
    <comment ref="E350" authorId="1">
      <text>
        <r>
          <rPr>
            <b/>
            <sz val="9"/>
            <color indexed="81"/>
            <rFont val="Tahoma"/>
            <family val="2"/>
          </rPr>
          <t>Paul Hickey:</t>
        </r>
        <r>
          <rPr>
            <sz val="9"/>
            <color indexed="81"/>
            <rFont val="Tahoma"/>
            <family val="2"/>
          </rPr>
          <t xml:space="preserve">
Includes former Holly / Nicki position - which was events</t>
        </r>
      </text>
    </comment>
    <comment ref="C361" authorId="2">
      <text>
        <r>
          <rPr>
            <b/>
            <sz val="9"/>
            <color indexed="81"/>
            <rFont val="Tahoma"/>
            <family val="2"/>
          </rPr>
          <t>PETERM:</t>
        </r>
        <r>
          <rPr>
            <sz val="9"/>
            <color indexed="81"/>
            <rFont val="Tahoma"/>
            <family val="2"/>
          </rPr>
          <t xml:space="preserve">
vote includes $10k 14/15 gen rev</t>
        </r>
      </text>
    </comment>
    <comment ref="C370" authorId="2">
      <text>
        <r>
          <rPr>
            <b/>
            <sz val="9"/>
            <color indexed="81"/>
            <rFont val="Tahoma"/>
            <family val="2"/>
          </rPr>
          <t>PETERM:</t>
        </r>
        <r>
          <rPr>
            <sz val="9"/>
            <color indexed="81"/>
            <rFont val="Tahoma"/>
            <family val="2"/>
          </rPr>
          <t xml:space="preserve">
$5k went to shared path cultural signs</t>
        </r>
      </text>
    </comment>
    <comment ref="C371" authorId="2">
      <text>
        <r>
          <rPr>
            <b/>
            <sz val="9"/>
            <color indexed="81"/>
            <rFont val="Tahoma"/>
            <family val="2"/>
          </rPr>
          <t>PETERM:</t>
        </r>
        <r>
          <rPr>
            <sz val="9"/>
            <color indexed="81"/>
            <rFont val="Tahoma"/>
            <family val="2"/>
          </rPr>
          <t xml:space="preserve">
$10k went to cultural signs for shared path</t>
        </r>
      </text>
    </comment>
    <comment ref="G447" authorId="3">
      <text>
        <r>
          <rPr>
            <b/>
            <sz val="8"/>
            <color indexed="81"/>
            <rFont val="Tahoma"/>
            <family val="2"/>
          </rPr>
          <t>bsc:</t>
        </r>
        <r>
          <rPr>
            <sz val="8"/>
            <color indexed="81"/>
            <rFont val="Tahoma"/>
            <family val="2"/>
          </rPr>
          <t xml:space="preserve">
Letter advising no longer available 21/1/14
</t>
        </r>
      </text>
    </comment>
    <comment ref="H463" authorId="1">
      <text>
        <r>
          <rPr>
            <b/>
            <sz val="9"/>
            <color indexed="81"/>
            <rFont val="Tahoma"/>
            <family val="2"/>
          </rPr>
          <t>Paul Hickey:</t>
        </r>
        <r>
          <rPr>
            <sz val="9"/>
            <color indexed="81"/>
            <rFont val="Tahoma"/>
            <family val="2"/>
          </rPr>
          <t xml:space="preserve">
$20,000 for saving during recruitment of manager
</t>
        </r>
      </text>
    </comment>
    <comment ref="E563" authorId="0">
      <text>
        <r>
          <rPr>
            <b/>
            <sz val="9"/>
            <color indexed="81"/>
            <rFont val="Tahoma"/>
            <family val="2"/>
          </rPr>
          <t>Peter Morgan:</t>
        </r>
        <r>
          <rPr>
            <sz val="9"/>
            <color indexed="81"/>
            <rFont val="Tahoma"/>
            <family val="2"/>
          </rPr>
          <t xml:space="preserve">
extra $2 k from marquee expense vote</t>
        </r>
      </text>
    </comment>
    <comment ref="J578" authorId="1">
      <text>
        <r>
          <rPr>
            <b/>
            <sz val="9"/>
            <color indexed="81"/>
            <rFont val="Tahoma"/>
            <family val="2"/>
          </rPr>
          <t>Paul Hickey:</t>
        </r>
        <r>
          <rPr>
            <sz val="9"/>
            <color indexed="81"/>
            <rFont val="Tahoma"/>
            <family val="2"/>
          </rPr>
          <t xml:space="preserve">
Includes deprecation on Ballina Indoor Sports Centre for six months</t>
        </r>
      </text>
    </comment>
    <comment ref="K578" authorId="1">
      <text>
        <r>
          <rPr>
            <b/>
            <sz val="9"/>
            <color indexed="81"/>
            <rFont val="Tahoma"/>
            <family val="2"/>
          </rPr>
          <t>Paul Hickey:</t>
        </r>
        <r>
          <rPr>
            <sz val="9"/>
            <color indexed="81"/>
            <rFont val="Tahoma"/>
            <family val="2"/>
          </rPr>
          <t xml:space="preserve">
Includes depreciation on new sports centre</t>
        </r>
      </text>
    </comment>
    <comment ref="D618" authorId="1">
      <text>
        <r>
          <rPr>
            <b/>
            <sz val="9"/>
            <color indexed="81"/>
            <rFont val="Tahoma"/>
            <family val="2"/>
          </rPr>
          <t>Paul Hickey:</t>
        </r>
        <r>
          <rPr>
            <sz val="9"/>
            <color indexed="81"/>
            <rFont val="Tahoma"/>
            <family val="2"/>
          </rPr>
          <t xml:space="preserve">
New Part-time Administration Assistant</t>
        </r>
      </text>
    </comment>
    <comment ref="H627" authorId="4">
      <text>
        <r>
          <rPr>
            <b/>
            <sz val="9"/>
            <color indexed="81"/>
            <rFont val="Tahoma"/>
            <family val="2"/>
          </rPr>
          <t>Linda Coulter:</t>
        </r>
        <r>
          <rPr>
            <sz val="9"/>
            <color indexed="81"/>
            <rFont val="Tahoma"/>
            <family val="2"/>
          </rPr>
          <t xml:space="preserve">
Increased by $2,500 for print production of annual gallery program booklet</t>
        </r>
      </text>
    </comment>
    <comment ref="E722" authorId="0">
      <text>
        <r>
          <rPr>
            <b/>
            <sz val="9"/>
            <color indexed="81"/>
            <rFont val="Tahoma"/>
            <family val="2"/>
          </rPr>
          <t>Peter Morgan:</t>
        </r>
        <r>
          <rPr>
            <sz val="9"/>
            <color indexed="81"/>
            <rFont val="Tahoma"/>
            <family val="2"/>
          </rPr>
          <t xml:space="preserve">
price for single entry to increase by 12%</t>
        </r>
      </text>
    </comment>
    <comment ref="H722" authorId="1">
      <text>
        <r>
          <rPr>
            <b/>
            <sz val="9"/>
            <color indexed="81"/>
            <rFont val="Tahoma"/>
            <family val="2"/>
          </rPr>
          <t>Paul Hickey:</t>
        </r>
        <r>
          <rPr>
            <sz val="9"/>
            <color indexed="81"/>
            <rFont val="Tahoma"/>
            <family val="2"/>
          </rPr>
          <t xml:space="preserve">
Lets assume total income will be the same even though season will be shorter</t>
        </r>
      </text>
    </comment>
    <comment ref="G794" authorId="4">
      <text>
        <r>
          <rPr>
            <b/>
            <sz val="9"/>
            <color indexed="81"/>
            <rFont val="Tahoma"/>
            <family val="2"/>
          </rPr>
          <t>Linda Coulter:</t>
        </r>
        <r>
          <rPr>
            <sz val="9"/>
            <color indexed="81"/>
            <rFont val="Tahoma"/>
            <family val="2"/>
          </rPr>
          <t xml:space="preserve">
Budget transferred to OSR 22231.8810</t>
        </r>
      </text>
    </comment>
    <comment ref="B801" authorId="3">
      <text>
        <r>
          <rPr>
            <b/>
            <sz val="8"/>
            <color indexed="81"/>
            <rFont val="Tahoma"/>
            <family val="2"/>
          </rPr>
          <t>bsc:</t>
        </r>
        <r>
          <rPr>
            <sz val="8"/>
            <color indexed="81"/>
            <rFont val="Tahoma"/>
            <family val="2"/>
          </rPr>
          <t xml:space="preserve">
T Lister moved fr Admin $64k 23/5 per PH. GF
</t>
        </r>
      </text>
    </comment>
    <comment ref="E817" authorId="4">
      <text>
        <r>
          <rPr>
            <b/>
            <sz val="9"/>
            <color indexed="81"/>
            <rFont val="Tahoma"/>
            <family val="2"/>
          </rPr>
          <t>Linda Coulter:</t>
        </r>
        <r>
          <rPr>
            <sz val="9"/>
            <color indexed="81"/>
            <rFont val="Tahoma"/>
            <family val="2"/>
          </rPr>
          <t xml:space="preserve">
Includes one off 5,300 for security camera</t>
        </r>
      </text>
    </comment>
    <comment ref="B825" authorId="2">
      <text>
        <r>
          <rPr>
            <b/>
            <sz val="8"/>
            <color indexed="81"/>
            <rFont val="Tahoma"/>
            <family val="2"/>
          </rPr>
          <t>PETERM:</t>
        </r>
        <r>
          <rPr>
            <sz val="8"/>
            <color indexed="81"/>
            <rFont val="Tahoma"/>
            <family val="2"/>
          </rPr>
          <t xml:space="preserve">
reduced by $1 re tree planting
</t>
        </r>
      </text>
    </comment>
    <comment ref="E825" authorId="0">
      <text>
        <r>
          <rPr>
            <b/>
            <sz val="9"/>
            <color indexed="81"/>
            <rFont val="Tahoma"/>
            <family val="2"/>
          </rPr>
          <t>Peter Morgan:</t>
        </r>
        <r>
          <rPr>
            <sz val="9"/>
            <color indexed="81"/>
            <rFont val="Tahoma"/>
            <family val="2"/>
          </rPr>
          <t xml:space="preserve">
$10,000 deductedfrom this budget re rotary convention. Council voted April finance meet to give them $15,000 funded from airport $5,000/VIC $5,000/working capital $5,000. The $5,000 from the airport will be costed directly to the airport.
LCO Comment:  Carryforward of $84,300 added to this budget and then $15,000 deduction offset by $15,000 increase to salaries for  extra day SJ (nb. the $15k adjustments affect future yrs also).
LCO Comment: 32k trs towards cost of fly drive campaign</t>
        </r>
      </text>
    </comment>
  </commentList>
</comments>
</file>

<file path=xl/comments7.xml><?xml version="1.0" encoding="utf-8"?>
<comments xmlns="http://schemas.openxmlformats.org/spreadsheetml/2006/main">
  <authors>
    <author>Linda Coulter</author>
    <author>bsc</author>
    <author>PETERM</author>
  </authors>
  <commentList>
    <comment ref="G230" authorId="0">
      <text>
        <r>
          <rPr>
            <b/>
            <sz val="9"/>
            <color indexed="81"/>
            <rFont val="Tahoma"/>
            <family val="2"/>
          </rPr>
          <t>Linda Coulter:</t>
        </r>
        <r>
          <rPr>
            <sz val="9"/>
            <color indexed="81"/>
            <rFont val="Tahoma"/>
            <family val="2"/>
          </rPr>
          <t xml:space="preserve">
Moved from Building Services Master 21020 to Development Services Master 21001</t>
        </r>
      </text>
    </comment>
    <comment ref="H230" authorId="0">
      <text>
        <r>
          <rPr>
            <b/>
            <sz val="9"/>
            <color indexed="81"/>
            <rFont val="Tahoma"/>
            <family val="2"/>
          </rPr>
          <t>Linda Coulter:</t>
        </r>
        <r>
          <rPr>
            <sz val="9"/>
            <color indexed="81"/>
            <rFont val="Tahoma"/>
            <family val="2"/>
          </rPr>
          <t xml:space="preserve">
Moved from Building Services to Development Services (from Master 21020 to master 21001).</t>
        </r>
      </text>
    </comment>
    <comment ref="G231" authorId="0">
      <text>
        <r>
          <rPr>
            <b/>
            <sz val="9"/>
            <color indexed="81"/>
            <rFont val="Tahoma"/>
            <family val="2"/>
          </rPr>
          <t>Linda Coulter:</t>
        </r>
        <r>
          <rPr>
            <sz val="9"/>
            <color indexed="81"/>
            <rFont val="Tahoma"/>
            <family val="2"/>
          </rPr>
          <t xml:space="preserve">
Moved from Building Services Master 21020 to Development Services Master 21001</t>
        </r>
      </text>
    </comment>
    <comment ref="H231" authorId="0">
      <text>
        <r>
          <rPr>
            <b/>
            <sz val="9"/>
            <color indexed="81"/>
            <rFont val="Tahoma"/>
            <family val="2"/>
          </rPr>
          <t>Linda Coulter:</t>
        </r>
        <r>
          <rPr>
            <sz val="9"/>
            <color indexed="81"/>
            <rFont val="Tahoma"/>
            <family val="2"/>
          </rPr>
          <t xml:space="preserve">
Moved from Building Services to Development Services.</t>
        </r>
      </text>
    </comment>
    <comment ref="G232" authorId="0">
      <text>
        <r>
          <rPr>
            <b/>
            <sz val="9"/>
            <color indexed="81"/>
            <rFont val="Tahoma"/>
            <family val="2"/>
          </rPr>
          <t>Linda Coulter:</t>
        </r>
        <r>
          <rPr>
            <sz val="9"/>
            <color indexed="81"/>
            <rFont val="Tahoma"/>
            <family val="2"/>
          </rPr>
          <t xml:space="preserve">
Moved from Building Services Master 21020 to Development Services Master 21001</t>
        </r>
      </text>
    </comment>
    <comment ref="H232" authorId="0">
      <text>
        <r>
          <rPr>
            <b/>
            <sz val="9"/>
            <color indexed="81"/>
            <rFont val="Tahoma"/>
            <family val="2"/>
          </rPr>
          <t>Linda Coulter:</t>
        </r>
        <r>
          <rPr>
            <sz val="9"/>
            <color indexed="81"/>
            <rFont val="Tahoma"/>
            <family val="2"/>
          </rPr>
          <t xml:space="preserve">
Moved from Building Services to Development Services.</t>
        </r>
      </text>
    </comment>
    <comment ref="B245" authorId="1">
      <text>
        <r>
          <rPr>
            <b/>
            <sz val="8"/>
            <color indexed="81"/>
            <rFont val="Tahoma"/>
            <family val="2"/>
          </rPr>
          <t>bsc:</t>
        </r>
        <r>
          <rPr>
            <sz val="8"/>
            <color indexed="81"/>
            <rFont val="Tahoma"/>
            <family val="2"/>
          </rPr>
          <t xml:space="preserve">
$20,000 taken to fund Elect expenses, Jenna replacement not happening for a few months per PH. GF 28/6/13. $72k McNabb not replaced, funds to Cust Serv Mngr 2/8/13
</t>
        </r>
      </text>
    </comment>
    <comment ref="E245" authorId="0">
      <text>
        <r>
          <rPr>
            <b/>
            <sz val="9"/>
            <color indexed="81"/>
            <rFont val="Tahoma"/>
            <family val="2"/>
          </rPr>
          <t>Linda Coulter:</t>
        </r>
        <r>
          <rPr>
            <sz val="9"/>
            <color indexed="81"/>
            <rFont val="Tahoma"/>
            <family val="2"/>
          </rPr>
          <t xml:space="preserve">
An approximate allocation of DEH Admin salaries costs has been made, to make 17/18 budget comparable.</t>
        </r>
      </text>
    </comment>
    <comment ref="E293" authorId="0">
      <text>
        <r>
          <rPr>
            <b/>
            <sz val="9"/>
            <color indexed="81"/>
            <rFont val="Tahoma"/>
            <family val="2"/>
          </rPr>
          <t>Linda Coulter:</t>
        </r>
        <r>
          <rPr>
            <sz val="9"/>
            <color indexed="81"/>
            <rFont val="Tahoma"/>
            <family val="2"/>
          </rPr>
          <t xml:space="preserve">
Additional revenue of $50k for 16/17</t>
        </r>
      </text>
    </comment>
    <comment ref="I293" authorId="0">
      <text>
        <r>
          <rPr>
            <b/>
            <sz val="9"/>
            <color indexed="81"/>
            <rFont val="Tahoma"/>
            <family val="2"/>
          </rPr>
          <t>Linda Coulter:</t>
        </r>
        <r>
          <rPr>
            <sz val="9"/>
            <color indexed="81"/>
            <rFont val="Tahoma"/>
            <family val="2"/>
          </rPr>
          <t xml:space="preserve">
Additional revenue of $50k for 16/17</t>
        </r>
      </text>
    </comment>
    <comment ref="E311" authorId="0">
      <text>
        <r>
          <rPr>
            <b/>
            <sz val="9"/>
            <color indexed="81"/>
            <rFont val="Tahoma"/>
            <family val="2"/>
          </rPr>
          <t>Linda Coulter:</t>
        </r>
        <r>
          <rPr>
            <sz val="9"/>
            <color indexed="81"/>
            <rFont val="Tahoma"/>
            <family val="2"/>
          </rPr>
          <t xml:space="preserve">
An approximate allocation of DEH Admin salaries has been made, to make 17/18 budget comparable.</t>
        </r>
      </text>
    </comment>
    <comment ref="I311" authorId="0">
      <text>
        <r>
          <rPr>
            <b/>
            <sz val="9"/>
            <color indexed="81"/>
            <rFont val="Tahoma"/>
            <family val="2"/>
          </rPr>
          <t>Linda Coulter:</t>
        </r>
        <r>
          <rPr>
            <sz val="9"/>
            <color indexed="81"/>
            <rFont val="Tahoma"/>
            <family val="2"/>
          </rPr>
          <t xml:space="preserve">
New part time building services compliance officer added, for 16/17 only. Hardwired the 17/18 expense.
Further 40k added as part of sept qtr review.</t>
        </r>
      </text>
    </comment>
    <comment ref="E364" authorId="0">
      <text>
        <r>
          <rPr>
            <b/>
            <sz val="9"/>
            <color indexed="81"/>
            <rFont val="Tahoma"/>
            <family val="2"/>
          </rPr>
          <t>Linda Coulter:</t>
        </r>
        <r>
          <rPr>
            <sz val="9"/>
            <color indexed="81"/>
            <rFont val="Tahoma"/>
            <family val="2"/>
          </rPr>
          <t xml:space="preserve">
An approximate allocation of DEH Admin salaries has been made, to make 17/18 budget comparable.</t>
        </r>
      </text>
    </comment>
    <comment ref="C382" authorId="2">
      <text>
        <r>
          <rPr>
            <b/>
            <sz val="9"/>
            <color indexed="81"/>
            <rFont val="Tahoma"/>
            <family val="2"/>
          </rPr>
          <t>PETERM:</t>
        </r>
        <r>
          <rPr>
            <sz val="9"/>
            <color indexed="81"/>
            <rFont val="Tahoma"/>
            <family val="2"/>
          </rPr>
          <t xml:space="preserve">
$14k c/f</t>
        </r>
      </text>
    </comment>
    <comment ref="C383" authorId="2">
      <text>
        <r>
          <rPr>
            <b/>
            <sz val="9"/>
            <color indexed="81"/>
            <rFont val="Tahoma"/>
            <family val="2"/>
          </rPr>
          <t>PETERM:</t>
        </r>
        <r>
          <rPr>
            <sz val="9"/>
            <color indexed="81"/>
            <rFont val="Tahoma"/>
            <family val="2"/>
          </rPr>
          <t xml:space="preserve">
$14k c/f</t>
        </r>
      </text>
    </comment>
    <comment ref="D445" authorId="0">
      <text>
        <r>
          <rPr>
            <b/>
            <sz val="9"/>
            <color indexed="81"/>
            <rFont val="Tahoma"/>
            <family val="2"/>
          </rPr>
          <t>Linda Coulter:</t>
        </r>
        <r>
          <rPr>
            <sz val="9"/>
            <color indexed="81"/>
            <rFont val="Tahoma"/>
            <family val="2"/>
          </rPr>
          <t xml:space="preserve">
actual 2,100</t>
        </r>
      </text>
    </comment>
  </commentList>
</comments>
</file>

<file path=xl/comments8.xml><?xml version="1.0" encoding="utf-8"?>
<comments xmlns="http://schemas.openxmlformats.org/spreadsheetml/2006/main">
  <authors>
    <author>PETERM</author>
    <author>bsc</author>
    <author>Paul Hickey</author>
    <author>Elizabeth Tuvunivono</author>
    <author>Linda Coulter</author>
  </authors>
  <commentList>
    <comment ref="B773" authorId="0">
      <text>
        <r>
          <rPr>
            <b/>
            <sz val="9"/>
            <color indexed="81"/>
            <rFont val="Tahoma"/>
            <family val="2"/>
          </rPr>
          <t>PETERM:</t>
        </r>
        <r>
          <rPr>
            <sz val="9"/>
            <color indexed="81"/>
            <rFont val="Tahoma"/>
            <family val="2"/>
          </rPr>
          <t xml:space="preserve">
this budget had $110 relocated to roads operations, the remaining amount was never approved so it was deleted (it related to extra staff at the store)
See store wages which had an extra $40k added to finance 1 full time grade 5 assistant. This was funded by a combination of overheads, less expense for 2 new store staff at lower grades, and reductions to roads/stormwater and pgr votes.</t>
        </r>
      </text>
    </comment>
    <comment ref="G783" authorId="1">
      <text>
        <r>
          <rPr>
            <b/>
            <sz val="8"/>
            <color indexed="81"/>
            <rFont val="Tahoma"/>
            <family val="2"/>
          </rPr>
          <t>bsc:</t>
        </r>
        <r>
          <rPr>
            <sz val="8"/>
            <color indexed="81"/>
            <rFont val="Tahoma"/>
            <family val="2"/>
          </rPr>
          <t xml:space="preserve">
Funding is 50/50 BSC/RTA
</t>
        </r>
      </text>
    </comment>
    <comment ref="G784" authorId="1">
      <text>
        <r>
          <rPr>
            <b/>
            <sz val="8"/>
            <color indexed="81"/>
            <rFont val="Tahoma"/>
            <family val="2"/>
          </rPr>
          <t>bsc:</t>
        </r>
        <r>
          <rPr>
            <sz val="8"/>
            <color indexed="81"/>
            <rFont val="Tahoma"/>
            <family val="2"/>
          </rPr>
          <t xml:space="preserve">
Funding is 50/50 BSC/RTA
</t>
        </r>
      </text>
    </comment>
    <comment ref="B833" authorId="1">
      <text>
        <r>
          <rPr>
            <b/>
            <sz val="8"/>
            <color indexed="81"/>
            <rFont val="Tahoma"/>
            <family val="2"/>
          </rPr>
          <t>bsc:</t>
        </r>
        <r>
          <rPr>
            <sz val="8"/>
            <color indexed="81"/>
            <rFont val="Tahoma"/>
            <family val="2"/>
          </rPr>
          <t xml:space="preserve">
31,700 fr HR Statewide Bonus
</t>
        </r>
      </text>
    </comment>
    <comment ref="J898" authorId="2">
      <text>
        <r>
          <rPr>
            <b/>
            <sz val="9"/>
            <color indexed="81"/>
            <rFont val="Tahoma"/>
            <charset val="1"/>
          </rPr>
          <t>Paul Hickey:</t>
        </r>
        <r>
          <rPr>
            <sz val="9"/>
            <color indexed="81"/>
            <rFont val="Tahoma"/>
            <charset val="1"/>
          </rPr>
          <t xml:space="preserve">
$41,000 transferred from donations</t>
        </r>
      </text>
    </comment>
    <comment ref="B948" authorId="0">
      <text>
        <r>
          <rPr>
            <b/>
            <sz val="8"/>
            <color indexed="81"/>
            <rFont val="Tahoma"/>
            <family val="2"/>
          </rPr>
          <t>PETERM:</t>
        </r>
        <r>
          <rPr>
            <sz val="8"/>
            <color indexed="81"/>
            <rFont val="Tahoma"/>
            <family val="2"/>
          </rPr>
          <t xml:space="preserve">
Includes $30k for depot lights funds from energy fund</t>
        </r>
      </text>
    </comment>
    <comment ref="G973" authorId="2">
      <text>
        <r>
          <rPr>
            <b/>
            <sz val="9"/>
            <color indexed="81"/>
            <rFont val="Tahoma"/>
            <family val="2"/>
          </rPr>
          <t>Paul Hickey:</t>
        </r>
        <r>
          <rPr>
            <sz val="9"/>
            <color indexed="81"/>
            <rFont val="Tahoma"/>
            <family val="2"/>
          </rPr>
          <t xml:space="preserve">
Need to increase total stormwater budget by 15% for three years to get to $300K approx - high priority area</t>
        </r>
      </text>
    </comment>
    <comment ref="B976" authorId="0">
      <text>
        <r>
          <rPr>
            <b/>
            <sz val="9"/>
            <color indexed="81"/>
            <rFont val="Tahoma"/>
            <family val="2"/>
          </rPr>
          <t>PETERM:</t>
        </r>
        <r>
          <rPr>
            <sz val="9"/>
            <color indexed="81"/>
            <rFont val="Tahoma"/>
            <family val="2"/>
          </rPr>
          <t xml:space="preserve">
reduced by $8
k re stores assistant</t>
        </r>
      </text>
    </comment>
    <comment ref="B983" authorId="1">
      <text>
        <r>
          <rPr>
            <b/>
            <sz val="8"/>
            <color indexed="81"/>
            <rFont val="Tahoma"/>
            <family val="2"/>
          </rPr>
          <t>bsc:</t>
        </r>
        <r>
          <rPr>
            <sz val="8"/>
            <color indexed="81"/>
            <rFont val="Tahoma"/>
            <family val="2"/>
          </rPr>
          <t xml:space="preserve">
11/2/13 advice is 3.4% incr.
</t>
        </r>
      </text>
    </comment>
    <comment ref="C992" authorId="2">
      <text>
        <r>
          <rPr>
            <b/>
            <sz val="9"/>
            <color indexed="81"/>
            <rFont val="Tahoma"/>
            <family val="2"/>
          </rPr>
          <t>Paul Hickey:</t>
        </r>
        <r>
          <rPr>
            <sz val="9"/>
            <color indexed="81"/>
            <rFont val="Tahoma"/>
            <family val="2"/>
          </rPr>
          <t xml:space="preserve">
Increased this year due to project</t>
        </r>
      </text>
    </comment>
    <comment ref="E1030" authorId="2">
      <text>
        <r>
          <rPr>
            <b/>
            <sz val="9"/>
            <color indexed="81"/>
            <rFont val="Tahoma"/>
            <family val="2"/>
          </rPr>
          <t>Paul Hickey:</t>
        </r>
        <r>
          <rPr>
            <sz val="9"/>
            <color indexed="81"/>
            <rFont val="Tahoma"/>
            <family val="2"/>
          </rPr>
          <t xml:space="preserve">
These three figures are as per Federal Government Roads to Recovery website estimates adjusted over the four years to agree with Paul B program - figures are different from figures on RTR website but balance in total</t>
        </r>
      </text>
    </comment>
    <comment ref="C1041" authorId="0">
      <text>
        <r>
          <rPr>
            <b/>
            <sz val="9"/>
            <color indexed="81"/>
            <rFont val="Tahoma"/>
            <family val="2"/>
          </rPr>
          <t>PETERM:</t>
        </r>
        <r>
          <rPr>
            <sz val="9"/>
            <color indexed="81"/>
            <rFont val="Tahoma"/>
            <family val="2"/>
          </rPr>
          <t xml:space="preserve">
funded from urban rds operations</t>
        </r>
      </text>
    </comment>
    <comment ref="B1042" authorId="0">
      <text>
        <r>
          <rPr>
            <b/>
            <sz val="9"/>
            <color indexed="81"/>
            <rFont val="Tahoma"/>
            <family val="2"/>
          </rPr>
          <t>PETERM:</t>
        </r>
        <r>
          <rPr>
            <sz val="9"/>
            <color indexed="81"/>
            <rFont val="Tahoma"/>
            <family val="2"/>
          </rPr>
          <t xml:space="preserve">
reduced by $5k re stores assistant
increased by $55k roverseers down time at depot
</t>
        </r>
      </text>
    </comment>
    <comment ref="B1047" authorId="0">
      <text>
        <r>
          <rPr>
            <b/>
            <sz val="9"/>
            <color indexed="81"/>
            <rFont val="Tahoma"/>
            <family val="2"/>
          </rPr>
          <t>PETERM:</t>
        </r>
        <r>
          <rPr>
            <sz val="9"/>
            <color indexed="81"/>
            <rFont val="Tahoma"/>
            <family val="2"/>
          </rPr>
          <t xml:space="preserve">
reduced by $7
k re stores assistant</t>
        </r>
      </text>
    </comment>
    <comment ref="B1049" authorId="0">
      <text>
        <r>
          <rPr>
            <b/>
            <sz val="9"/>
            <color indexed="81"/>
            <rFont val="Tahoma"/>
            <family val="2"/>
          </rPr>
          <t>PETERM:</t>
        </r>
        <r>
          <rPr>
            <sz val="9"/>
            <color indexed="81"/>
            <rFont val="Tahoma"/>
            <family val="2"/>
          </rPr>
          <t xml:space="preserve">
increased by $55k for supervisers down time at depot</t>
        </r>
      </text>
    </comment>
    <comment ref="B1050" authorId="0">
      <text>
        <r>
          <rPr>
            <b/>
            <sz val="9"/>
            <color indexed="81"/>
            <rFont val="Tahoma"/>
            <family val="2"/>
          </rPr>
          <t>PETERM:</t>
        </r>
        <r>
          <rPr>
            <sz val="9"/>
            <color indexed="81"/>
            <rFont val="Tahoma"/>
            <family val="2"/>
          </rPr>
          <t xml:space="preserve">
reduced by $5k re stores assistant</t>
        </r>
      </text>
    </comment>
    <comment ref="C1050" authorId="0">
      <text>
        <r>
          <rPr>
            <b/>
            <sz val="9"/>
            <color indexed="81"/>
            <rFont val="Tahoma"/>
            <family val="2"/>
          </rPr>
          <t>PETERM:</t>
        </r>
        <r>
          <rPr>
            <sz val="9"/>
            <color indexed="81"/>
            <rFont val="Tahoma"/>
            <family val="2"/>
          </rPr>
          <t xml:space="preserve">
reduced by $20k re newrybar carpark.
And then a further 410k per quarterly review.</t>
        </r>
      </text>
    </comment>
    <comment ref="B1080" authorId="1">
      <text>
        <r>
          <rPr>
            <b/>
            <sz val="8"/>
            <color indexed="81"/>
            <rFont val="Tahoma"/>
            <family val="2"/>
          </rPr>
          <t>bsc:</t>
        </r>
        <r>
          <rPr>
            <sz val="8"/>
            <color indexed="81"/>
            <rFont val="Tahoma"/>
            <family val="2"/>
          </rPr>
          <t xml:space="preserve">
$115
0k tfr fr Surf Club Res moved from Property re Carpark &amp; Rd works
</t>
        </r>
      </text>
    </comment>
    <comment ref="B1108" authorId="1">
      <text>
        <r>
          <rPr>
            <b/>
            <sz val="8"/>
            <color indexed="81"/>
            <rFont val="Tahoma"/>
            <family val="2"/>
          </rPr>
          <t>bsc:</t>
        </r>
        <r>
          <rPr>
            <sz val="8"/>
            <color indexed="81"/>
            <rFont val="Tahoma"/>
            <family val="2"/>
          </rPr>
          <t xml:space="preserve">
Saving fr 12/13 of $53,500 going to repay debt to Comm Infra.
</t>
        </r>
      </text>
    </comment>
    <comment ref="H1119" authorId="2">
      <text>
        <r>
          <rPr>
            <b/>
            <sz val="9"/>
            <color indexed="81"/>
            <rFont val="Tahoma"/>
            <family val="2"/>
          </rPr>
          <t>Paul Hickey:</t>
        </r>
        <r>
          <rPr>
            <sz val="9"/>
            <color indexed="81"/>
            <rFont val="Tahoma"/>
            <family val="2"/>
          </rPr>
          <t xml:space="preserve">
Increase to reflect extra works needed</t>
        </r>
      </text>
    </comment>
    <comment ref="B1120" authorId="0">
      <text>
        <r>
          <rPr>
            <b/>
            <sz val="9"/>
            <color indexed="81"/>
            <rFont val="Tahoma"/>
            <family val="2"/>
          </rPr>
          <t>PETERM:</t>
        </r>
        <r>
          <rPr>
            <sz val="9"/>
            <color indexed="81"/>
            <rFont val="Tahoma"/>
            <family val="2"/>
          </rPr>
          <t xml:space="preserve">
reduced by $3k re stores assistant</t>
        </r>
      </text>
    </comment>
    <comment ref="H1151" authorId="3">
      <text>
        <r>
          <rPr>
            <b/>
            <sz val="9"/>
            <color indexed="81"/>
            <rFont val="Tahoma"/>
            <charset val="1"/>
          </rPr>
          <t>Elizabeth Tuvunivono:</t>
        </r>
        <r>
          <rPr>
            <sz val="9"/>
            <color indexed="81"/>
            <rFont val="Tahoma"/>
            <charset val="1"/>
          </rPr>
          <t xml:space="preserve">
$12,100 from Roads contingency</t>
        </r>
      </text>
    </comment>
    <comment ref="C1180" authorId="0">
      <text>
        <r>
          <rPr>
            <b/>
            <sz val="9"/>
            <color indexed="81"/>
            <rFont val="Tahoma"/>
            <family val="2"/>
          </rPr>
          <t>PETERM:</t>
        </r>
        <r>
          <rPr>
            <sz val="9"/>
            <color indexed="81"/>
            <rFont val="Tahoma"/>
            <family val="2"/>
          </rPr>
          <t xml:space="preserve">
$12,000 went to martin st erosion</t>
        </r>
      </text>
    </comment>
    <comment ref="G1290" authorId="4">
      <text>
        <r>
          <rPr>
            <b/>
            <sz val="9"/>
            <color indexed="81"/>
            <rFont val="Tahoma"/>
            <family val="2"/>
          </rPr>
          <t>Linda Coulter:</t>
        </r>
        <r>
          <rPr>
            <sz val="9"/>
            <color indexed="81"/>
            <rFont val="Tahoma"/>
            <family val="2"/>
          </rPr>
          <t xml:space="preserve">
Previously in Tourism 26120.8837.235. Transferred over to Open Spaces</t>
        </r>
      </text>
    </comment>
    <comment ref="B1315" authorId="0">
      <text>
        <r>
          <rPr>
            <b/>
            <sz val="9"/>
            <color indexed="81"/>
            <rFont val="Tahoma"/>
            <family val="2"/>
          </rPr>
          <t>PETERM:</t>
        </r>
        <r>
          <rPr>
            <sz val="9"/>
            <color indexed="81"/>
            <rFont val="Tahoma"/>
            <family val="2"/>
          </rPr>
          <t xml:space="preserve">
reduced by $5k re stores assistant
reduced by $11k re browns wages
reduced by $3k re new house tree allocation
</t>
        </r>
      </text>
    </comment>
    <comment ref="G1323" authorId="4">
      <text>
        <r>
          <rPr>
            <b/>
            <sz val="9"/>
            <color indexed="81"/>
            <rFont val="Tahoma"/>
            <family val="2"/>
          </rPr>
          <t>Linda Coulter:</t>
        </r>
        <r>
          <rPr>
            <sz val="9"/>
            <color indexed="81"/>
            <rFont val="Tahoma"/>
            <family val="2"/>
          </rPr>
          <t xml:space="preserve">
Transferred from Tourism 35152.5444.401 to Open Spaces</t>
        </r>
      </text>
    </comment>
    <comment ref="G1325" authorId="4">
      <text>
        <r>
          <rPr>
            <b/>
            <sz val="9"/>
            <color indexed="81"/>
            <rFont val="Tahoma"/>
            <family val="2"/>
          </rPr>
          <t>Linda Coulter:</t>
        </r>
        <r>
          <rPr>
            <sz val="9"/>
            <color indexed="81"/>
            <rFont val="Tahoma"/>
            <family val="2"/>
          </rPr>
          <t xml:space="preserve">
Transferred from Tourism 35152.7725.401 to Open Spaces</t>
        </r>
      </text>
    </comment>
    <comment ref="D1454" authorId="4">
      <text>
        <r>
          <rPr>
            <b/>
            <sz val="9"/>
            <color indexed="81"/>
            <rFont val="Tahoma"/>
            <family val="2"/>
          </rPr>
          <t>Linda Coulter:</t>
        </r>
        <r>
          <rPr>
            <sz val="9"/>
            <color indexed="81"/>
            <rFont val="Tahoma"/>
            <family val="2"/>
          </rPr>
          <t xml:space="preserve">
Funded 50% OEH grant, 50% Stormwater Mment Plan
</t>
        </r>
      </text>
    </comment>
    <comment ref="D1455" authorId="4">
      <text>
        <r>
          <rPr>
            <b/>
            <sz val="9"/>
            <color indexed="81"/>
            <rFont val="Tahoma"/>
            <family val="2"/>
          </rPr>
          <t>Linda Coulter:</t>
        </r>
        <r>
          <rPr>
            <sz val="9"/>
            <color indexed="81"/>
            <rFont val="Tahoma"/>
            <family val="2"/>
          </rPr>
          <t xml:space="preserve">
Funded 50% OEH grant, 50% Stormwater Mment Plan</t>
        </r>
      </text>
    </comment>
    <comment ref="H1581" authorId="2">
      <text>
        <r>
          <rPr>
            <b/>
            <sz val="9"/>
            <color indexed="81"/>
            <rFont val="Tahoma"/>
            <family val="2"/>
          </rPr>
          <t>Paul Hickey:</t>
        </r>
        <r>
          <rPr>
            <sz val="9"/>
            <color indexed="81"/>
            <rFont val="Tahoma"/>
            <family val="2"/>
          </rPr>
          <t xml:space="preserve">
$150,000 represents transfer from Flat Rock Tent Park for Skennars Head Sports Feilds</t>
        </r>
      </text>
    </comment>
    <comment ref="E1667" authorId="4">
      <text>
        <r>
          <rPr>
            <b/>
            <sz val="9"/>
            <color indexed="81"/>
            <rFont val="Tahoma"/>
            <family val="2"/>
          </rPr>
          <t>Linda Coulter:</t>
        </r>
        <r>
          <rPr>
            <sz val="9"/>
            <color indexed="81"/>
            <rFont val="Tahoma"/>
            <family val="2"/>
          </rPr>
          <t xml:space="preserve">
16/17 includes a one off transition grant of $45. </t>
        </r>
      </text>
    </comment>
    <comment ref="E1792" authorId="4">
      <text>
        <r>
          <rPr>
            <b/>
            <sz val="9"/>
            <color indexed="81"/>
            <rFont val="Tahoma"/>
            <family val="2"/>
          </rPr>
          <t>Linda Coulter:</t>
        </r>
        <r>
          <rPr>
            <sz val="9"/>
            <color indexed="81"/>
            <rFont val="Tahoma"/>
            <family val="2"/>
          </rPr>
          <t xml:space="preserve">
Inc based on rate file lastest figures.</t>
        </r>
      </text>
    </comment>
    <comment ref="B1795" authorId="0">
      <text>
        <r>
          <rPr>
            <b/>
            <sz val="9"/>
            <color indexed="81"/>
            <rFont val="Tahoma"/>
            <family val="2"/>
          </rPr>
          <t>PETERM:</t>
        </r>
        <r>
          <rPr>
            <sz val="9"/>
            <color indexed="81"/>
            <rFont val="Tahoma"/>
            <family val="2"/>
          </rPr>
          <t xml:space="preserve">
price to increase by 14% for commercial self haul and 5% for other self haul items. It is assumed this will mean a drop in usage so only 5% income increase will ensue
NB revised 12/13 est is $1,297,000</t>
        </r>
      </text>
    </comment>
    <comment ref="C1795" authorId="0">
      <text>
        <r>
          <rPr>
            <b/>
            <sz val="9"/>
            <color indexed="81"/>
            <rFont val="Tahoma"/>
            <family val="2"/>
          </rPr>
          <t>PETERM:</t>
        </r>
        <r>
          <rPr>
            <sz val="9"/>
            <color indexed="81"/>
            <rFont val="Tahoma"/>
            <family val="2"/>
          </rPr>
          <t xml:space="preserve">
price increased by 10% but assumed there will be a decline in use. Also increased by 2% more than DWM to reduce subsidy</t>
        </r>
      </text>
    </comment>
    <comment ref="B1796" authorId="0">
      <text>
        <r>
          <rPr>
            <b/>
            <sz val="9"/>
            <color indexed="81"/>
            <rFont val="Tahoma"/>
            <family val="2"/>
          </rPr>
          <t>PETERM:</t>
        </r>
        <r>
          <rPr>
            <sz val="9"/>
            <color indexed="81"/>
            <rFont val="Tahoma"/>
            <family val="2"/>
          </rPr>
          <t xml:space="preserve">
price to increase by 5% </t>
        </r>
      </text>
    </comment>
    <comment ref="H1825" authorId="2">
      <text>
        <r>
          <rPr>
            <b/>
            <sz val="9"/>
            <color indexed="81"/>
            <rFont val="Tahoma"/>
            <family val="2"/>
          </rPr>
          <t>Paul Hickey:</t>
        </r>
        <r>
          <rPr>
            <sz val="9"/>
            <color indexed="81"/>
            <rFont val="Tahoma"/>
            <family val="2"/>
          </rPr>
          <t xml:space="preserve">
Minus $100,000 for reallocation of waste staff</t>
        </r>
      </text>
    </comment>
    <comment ref="C1827" authorId="1">
      <text>
        <r>
          <rPr>
            <b/>
            <sz val="8"/>
            <color indexed="81"/>
            <rFont val="Tahoma"/>
            <family val="2"/>
          </rPr>
          <t>bsc:</t>
        </r>
        <r>
          <rPr>
            <sz val="8"/>
            <color indexed="81"/>
            <rFont val="Tahoma"/>
            <family val="2"/>
          </rPr>
          <t xml:space="preserve">
$12k to Depot capex</t>
        </r>
      </text>
    </comment>
    <comment ref="C1828" authorId="1">
      <text>
        <r>
          <rPr>
            <b/>
            <sz val="8"/>
            <color indexed="81"/>
            <rFont val="Tahoma"/>
            <family val="2"/>
          </rPr>
          <t>bsc:</t>
        </r>
        <r>
          <rPr>
            <sz val="8"/>
            <color indexed="81"/>
            <rFont val="Tahoma"/>
            <family val="2"/>
          </rPr>
          <t xml:space="preserve">
$12k to Depot capex</t>
        </r>
      </text>
    </comment>
    <comment ref="B1849" authorId="0">
      <text>
        <r>
          <rPr>
            <b/>
            <sz val="9"/>
            <color indexed="81"/>
            <rFont val="Tahoma"/>
            <family val="2"/>
          </rPr>
          <t>PETERM:</t>
        </r>
        <r>
          <rPr>
            <sz val="9"/>
            <color indexed="81"/>
            <rFont val="Tahoma"/>
            <family val="2"/>
          </rPr>
          <t xml:space="preserve">
revised estimate for2012/13 then at nil increase to fees
</t>
        </r>
      </text>
    </comment>
    <comment ref="D1849" authorId="0">
      <text>
        <r>
          <rPr>
            <b/>
            <sz val="9"/>
            <color indexed="81"/>
            <rFont val="Tahoma"/>
            <family val="2"/>
          </rPr>
          <t>PETERM:</t>
        </r>
        <r>
          <rPr>
            <sz val="9"/>
            <color indexed="81"/>
            <rFont val="Tahoma"/>
            <family val="2"/>
          </rPr>
          <t xml:space="preserve">
Gate price for DWM mixed reduced from $264 to $256 to be same as self haul = 3% reduction</t>
        </r>
      </text>
    </comment>
    <comment ref="B1850" authorId="0">
      <text>
        <r>
          <rPr>
            <b/>
            <sz val="9"/>
            <color indexed="81"/>
            <rFont val="Tahoma"/>
            <family val="2"/>
          </rPr>
          <t>PETERM:</t>
        </r>
        <r>
          <rPr>
            <sz val="9"/>
            <color indexed="81"/>
            <rFont val="Tahoma"/>
            <family val="2"/>
          </rPr>
          <t xml:space="preserve">
revised estimate for 12/13 is $345,000 plus 5%</t>
        </r>
      </text>
    </comment>
    <comment ref="B1901" authorId="0">
      <text>
        <r>
          <rPr>
            <b/>
            <sz val="9"/>
            <color indexed="81"/>
            <rFont val="Tahoma"/>
            <family val="2"/>
          </rPr>
          <t>PETERM:</t>
        </r>
        <r>
          <rPr>
            <sz val="9"/>
            <color indexed="81"/>
            <rFont val="Tahoma"/>
            <family val="2"/>
          </rPr>
          <t xml:space="preserve">
Jan report says at least a $60k saving on this vote re casual staff and $120k re baler operations.</t>
        </r>
      </text>
    </comment>
    <comment ref="B1923" authorId="0">
      <text>
        <r>
          <rPr>
            <b/>
            <sz val="9"/>
            <color indexed="81"/>
            <rFont val="Tahoma"/>
            <family val="2"/>
          </rPr>
          <t>PETERM:</t>
        </r>
        <r>
          <rPr>
            <sz val="9"/>
            <color indexed="81"/>
            <rFont val="Tahoma"/>
            <family val="2"/>
          </rPr>
          <t xml:space="preserve">
taken from rod's jan report to council
assumes trucking will last 2 years</t>
        </r>
      </text>
    </comment>
    <comment ref="B1924" authorId="0">
      <text>
        <r>
          <rPr>
            <b/>
            <sz val="9"/>
            <color indexed="81"/>
            <rFont val="Tahoma"/>
            <family val="2"/>
          </rPr>
          <t>PETERM:</t>
        </r>
        <r>
          <rPr>
            <sz val="9"/>
            <color indexed="81"/>
            <rFont val="Tahoma"/>
            <family val="2"/>
          </rPr>
          <t xml:space="preserve">
taken from Rod's Jan report to council</t>
        </r>
      </text>
    </comment>
    <comment ref="B1931" authorId="0">
      <text>
        <r>
          <rPr>
            <b/>
            <sz val="9"/>
            <color indexed="81"/>
            <rFont val="Tahoma"/>
            <family val="2"/>
          </rPr>
          <t>PETERM:</t>
        </r>
        <r>
          <rPr>
            <sz val="9"/>
            <color indexed="81"/>
            <rFont val="Tahoma"/>
            <family val="2"/>
          </rPr>
          <t xml:space="preserve">
As per the jan report</t>
        </r>
      </text>
    </comment>
    <comment ref="H2000" authorId="2">
      <text>
        <r>
          <rPr>
            <b/>
            <sz val="9"/>
            <color indexed="81"/>
            <rFont val="Tahoma"/>
            <family val="2"/>
          </rPr>
          <t>Paul Hickey:</t>
        </r>
        <r>
          <rPr>
            <sz val="9"/>
            <color indexed="81"/>
            <rFont val="Tahoma"/>
            <family val="2"/>
          </rPr>
          <t xml:space="preserve">
$100,000 extra for reallocation of split for staff</t>
        </r>
      </text>
    </comment>
    <comment ref="B2005" authorId="0">
      <text>
        <r>
          <rPr>
            <b/>
            <sz val="9"/>
            <color indexed="81"/>
            <rFont val="Tahoma"/>
            <family val="2"/>
          </rPr>
          <t>PETERM:</t>
        </r>
        <r>
          <rPr>
            <sz val="9"/>
            <color indexed="81"/>
            <rFont val="Tahoma"/>
            <family val="2"/>
          </rPr>
          <t xml:space="preserve">
to procurement software in asset management</t>
        </r>
      </text>
    </comment>
    <comment ref="C2005" authorId="1">
      <text>
        <r>
          <rPr>
            <b/>
            <sz val="8"/>
            <color indexed="81"/>
            <rFont val="Tahoma"/>
            <family val="2"/>
          </rPr>
          <t>bsc:</t>
        </r>
        <r>
          <rPr>
            <sz val="8"/>
            <color indexed="81"/>
            <rFont val="Tahoma"/>
            <family val="2"/>
          </rPr>
          <t xml:space="preserve">
$11.8k to Depot Capex</t>
        </r>
      </text>
    </comment>
  </commentList>
</comments>
</file>

<file path=xl/comments9.xml><?xml version="1.0" encoding="utf-8"?>
<comments xmlns="http://schemas.openxmlformats.org/spreadsheetml/2006/main">
  <authors>
    <author>PETERM</author>
    <author>Paul Hickey</author>
    <author>Peter Morgan</author>
    <author>bsc</author>
    <author>Linda Coulter</author>
    <author>peterm</author>
    <author>Elizabeth Tuvunivono</author>
  </authors>
  <commentList>
    <comment ref="B480" authorId="0">
      <text>
        <r>
          <rPr>
            <b/>
            <sz val="9"/>
            <color indexed="81"/>
            <rFont val="Tahoma"/>
            <family val="2"/>
          </rPr>
          <t>PETERM:</t>
        </r>
        <r>
          <rPr>
            <sz val="9"/>
            <color indexed="81"/>
            <rFont val="Tahoma"/>
            <family val="2"/>
          </rPr>
          <t xml:space="preserve">
$10 k transferred to Lake A works as per May council meet</t>
        </r>
      </text>
    </comment>
    <comment ref="J518" authorId="1">
      <text>
        <r>
          <rPr>
            <b/>
            <sz val="9"/>
            <color indexed="81"/>
            <rFont val="Tahoma"/>
            <charset val="1"/>
          </rPr>
          <t>Paul Hickey:</t>
        </r>
        <r>
          <rPr>
            <sz val="9"/>
            <color indexed="81"/>
            <rFont val="Tahoma"/>
            <charset val="1"/>
          </rPr>
          <t xml:space="preserve">
Council resolved to transfer this budget to Halls Maintenance</t>
        </r>
      </text>
    </comment>
    <comment ref="C520" authorId="0">
      <text>
        <r>
          <rPr>
            <b/>
            <sz val="9"/>
            <color indexed="81"/>
            <rFont val="Tahoma"/>
            <family val="2"/>
          </rPr>
          <t>PETERM:</t>
        </r>
        <r>
          <rPr>
            <sz val="9"/>
            <color indexed="81"/>
            <rFont val="Tahoma"/>
            <family val="2"/>
          </rPr>
          <t xml:space="preserve">
this was $40k but increased by $10 as it was relocated from the festivals and events budget</t>
        </r>
      </text>
    </comment>
    <comment ref="E520" authorId="2">
      <text>
        <r>
          <rPr>
            <b/>
            <sz val="9"/>
            <color indexed="81"/>
            <rFont val="Tahoma"/>
            <family val="2"/>
          </rPr>
          <t>Peter Morgan:</t>
        </r>
        <r>
          <rPr>
            <sz val="9"/>
            <color indexed="81"/>
            <rFont val="Tahoma"/>
            <family val="2"/>
          </rPr>
          <t xml:space="preserve">
$10,000 added to this vote re roatay convention. Council voted April finance meet to give them $15,000 funded from airport $5,000/VIC $5,000/working capital $5,000. The $5,000 from the airport will be costed directly to the airpor</t>
        </r>
      </text>
    </comment>
    <comment ref="H520" authorId="1">
      <text>
        <r>
          <rPr>
            <b/>
            <sz val="9"/>
            <color indexed="81"/>
            <rFont val="Tahoma"/>
            <family val="2"/>
          </rPr>
          <t>Paul Hickey:</t>
        </r>
        <r>
          <rPr>
            <sz val="9"/>
            <color indexed="81"/>
            <rFont val="Tahoma"/>
            <family val="2"/>
          </rPr>
          <t xml:space="preserve">
$5,000 extra added for Ministers District Event (xmas lights as per November 2016 resolution)</t>
        </r>
      </text>
    </comment>
    <comment ref="E521" authorId="2">
      <text>
        <r>
          <rPr>
            <b/>
            <sz val="9"/>
            <color indexed="81"/>
            <rFont val="Tahoma"/>
            <family val="2"/>
          </rPr>
          <t>Peter Morgan:</t>
        </r>
        <r>
          <rPr>
            <sz val="9"/>
            <color indexed="81"/>
            <rFont val="Tahoma"/>
            <family val="2"/>
          </rPr>
          <t xml:space="preserve">
See Council resolution from July 16 meeting adopting a new policy and wanting a budget from 2017/18</t>
        </r>
      </text>
    </comment>
    <comment ref="C525" authorId="0">
      <text>
        <r>
          <rPr>
            <b/>
            <sz val="9"/>
            <color indexed="81"/>
            <rFont val="Tahoma"/>
            <family val="2"/>
          </rPr>
          <t>PETERM:</t>
        </r>
        <r>
          <rPr>
            <sz val="9"/>
            <color indexed="81"/>
            <rFont val="Tahoma"/>
            <family val="2"/>
          </rPr>
          <t xml:space="preserve">
$10,000 relocated to the donations program re ballina and lennox carols being $5k each. Ie they thought this was a community donations as opposed to a festival or event.</t>
        </r>
      </text>
    </comment>
    <comment ref="H525" authorId="1">
      <text>
        <r>
          <rPr>
            <b/>
            <sz val="9"/>
            <color indexed="81"/>
            <rFont val="Tahoma"/>
            <family val="2"/>
          </rPr>
          <t>Paul Hickey:</t>
        </r>
        <r>
          <rPr>
            <sz val="9"/>
            <color indexed="81"/>
            <rFont val="Tahoma"/>
            <family val="2"/>
          </rPr>
          <t xml:space="preserve">
November 2016 council resolved to transfer $5,000 from this budget to the community donations budget for the Ballina Ministers Association Event</t>
        </r>
      </text>
    </comment>
    <comment ref="B552" authorId="3">
      <text>
        <r>
          <rPr>
            <b/>
            <sz val="8"/>
            <color indexed="81"/>
            <rFont val="Tahoma"/>
            <family val="2"/>
          </rPr>
          <t>bsc:</t>
        </r>
        <r>
          <rPr>
            <sz val="8"/>
            <color indexed="81"/>
            <rFont val="Tahoma"/>
            <family val="2"/>
          </rPr>
          <t xml:space="preserve">
steves forecast show little growth, 0.2% before objections. So we have estimated 5.9% plus $10,000 for growth fom Mar to June.</t>
        </r>
      </text>
    </comment>
    <comment ref="E673" authorId="2">
      <text>
        <r>
          <rPr>
            <b/>
            <sz val="9"/>
            <color indexed="81"/>
            <rFont val="Tahoma"/>
            <family val="2"/>
          </rPr>
          <t>Peter Morgan:</t>
        </r>
        <r>
          <rPr>
            <sz val="9"/>
            <color indexed="81"/>
            <rFont val="Tahoma"/>
            <family val="2"/>
          </rPr>
          <t xml:space="preserve">
Income from this fee estimated to be $138,000. In the first two years $65,000 is applied to a new telephone system with the balance going to reserve. In later years the full balance (almost) of the income is going in to reserve.</t>
        </r>
      </text>
    </comment>
    <comment ref="G673" authorId="4">
      <text>
        <r>
          <rPr>
            <b/>
            <sz val="9"/>
            <color indexed="81"/>
            <rFont val="Tahoma"/>
            <family val="2"/>
          </rPr>
          <t xml:space="preserve">Linda Coulter:
</t>
        </r>
        <r>
          <rPr>
            <sz val="9"/>
            <color indexed="81"/>
            <rFont val="Tahoma"/>
            <family val="2"/>
          </rPr>
          <t>Budget from 26005.7693 moved to here $1000 in 16/17)</t>
        </r>
      </text>
    </comment>
    <comment ref="H681" authorId="1">
      <text>
        <r>
          <rPr>
            <b/>
            <sz val="9"/>
            <color indexed="81"/>
            <rFont val="Tahoma"/>
            <family val="2"/>
          </rPr>
          <t>Paul Hickey:</t>
        </r>
        <r>
          <rPr>
            <sz val="9"/>
            <color indexed="81"/>
            <rFont val="Tahoma"/>
            <family val="2"/>
          </rPr>
          <t xml:space="preserve">
Carol returning from maternity leave</t>
        </r>
      </text>
    </comment>
    <comment ref="E687" authorId="2">
      <text>
        <r>
          <rPr>
            <b/>
            <sz val="9"/>
            <color indexed="81"/>
            <rFont val="Tahoma"/>
            <family val="2"/>
          </rPr>
          <t>Peter Morgan:</t>
        </r>
        <r>
          <rPr>
            <sz val="9"/>
            <color indexed="81"/>
            <rFont val="Tahoma"/>
            <family val="2"/>
          </rPr>
          <t xml:space="preserve">
This cost centre primarily caters for hardware purchases that will leased, currently via Macquarie Bank. However it does also include some direct purchases that are not leased. In future (2016/17 forward) all purchases that are going to be leased will be costed to resource 416 and others (not to be leased) will go to resource 401 so we will be able to discern those acquisitions relating to a lease arrangement.
So re purchases relating to a lease arrangement we buy the equipmet outright and it adds up in the ledger all year. Towards years end Stew passes on the invoices (paid by us) to Macquarie Bank who then purchase them off us. So in the 416 resource you will end up with only lease payments because the purchase by us (debit) will be cancelled out by the purchase by Macquarie off us (credit). 
In 2016/17 Stew estimates that the lease payments will amount to apprx $170,000 sp the remaining vote is for other outright equipment purchases.</t>
        </r>
      </text>
    </comment>
    <comment ref="H730" authorId="4">
      <text>
        <r>
          <rPr>
            <b/>
            <sz val="9"/>
            <color indexed="81"/>
            <rFont val="Tahoma"/>
            <family val="2"/>
          </rPr>
          <t>Linda Coulter:</t>
        </r>
        <r>
          <rPr>
            <sz val="9"/>
            <color indexed="81"/>
            <rFont val="Tahoma"/>
            <family val="2"/>
          </rPr>
          <t xml:space="preserve">
Budgeted income adjusted down per Kelly B</t>
        </r>
      </text>
    </comment>
    <comment ref="B760" authorId="3">
      <text>
        <r>
          <rPr>
            <b/>
            <sz val="8"/>
            <color indexed="81"/>
            <rFont val="Tahoma"/>
            <family val="2"/>
          </rPr>
          <t>bsc:</t>
        </r>
        <r>
          <rPr>
            <sz val="8"/>
            <color indexed="81"/>
            <rFont val="Tahoma"/>
            <family val="2"/>
          </rPr>
          <t xml:space="preserve">
GM $17,000 paid here, than journ to below in June, so Payrate Number is less the $17,000.
</t>
        </r>
      </text>
    </comment>
    <comment ref="H761" authorId="4">
      <text>
        <r>
          <rPr>
            <b/>
            <sz val="9"/>
            <color indexed="81"/>
            <rFont val="Tahoma"/>
            <family val="2"/>
          </rPr>
          <t>Linda Coulter:</t>
        </r>
        <r>
          <rPr>
            <sz val="9"/>
            <color indexed="81"/>
            <rFont val="Tahoma"/>
            <family val="2"/>
          </rPr>
          <t xml:space="preserve">
Per Cathy 3/3/17, estimate Council contribution to be $366k. And Additional Contribution for 17/18  has gone up to $280k. Total budget required of $646k.</t>
        </r>
      </text>
    </comment>
    <comment ref="B818" authorId="5">
      <text>
        <r>
          <rPr>
            <b/>
            <sz val="8"/>
            <color indexed="81"/>
            <rFont val="Tahoma"/>
            <family val="2"/>
          </rPr>
          <t>peterm:</t>
        </r>
        <r>
          <rPr>
            <sz val="8"/>
            <color indexed="81"/>
            <rFont val="Tahoma"/>
            <family val="2"/>
          </rPr>
          <t xml:space="preserve">
This is the credit to reduce the accrual estimate to cash estimate. It should be $605k but incr bu $100k to $705k to try to balance budget. Still providing $100k more than 07/08 which is 6% extra</t>
        </r>
      </text>
    </comment>
    <comment ref="D832" authorId="1">
      <text>
        <r>
          <rPr>
            <b/>
            <sz val="9"/>
            <color indexed="81"/>
            <rFont val="Tahoma"/>
            <family val="2"/>
          </rPr>
          <t>Paul Hickey:</t>
        </r>
        <r>
          <rPr>
            <sz val="9"/>
            <color indexed="81"/>
            <rFont val="Tahoma"/>
            <family val="2"/>
          </rPr>
          <t xml:space="preserve">
Review to market every second year</t>
        </r>
      </text>
    </comment>
    <comment ref="D835" authorId="1">
      <text>
        <r>
          <rPr>
            <b/>
            <sz val="9"/>
            <color indexed="81"/>
            <rFont val="Tahoma"/>
            <family val="2"/>
          </rPr>
          <t>Paul Hickey:</t>
        </r>
        <r>
          <rPr>
            <sz val="9"/>
            <color indexed="81"/>
            <rFont val="Tahoma"/>
            <family val="2"/>
          </rPr>
          <t xml:space="preserve">
Review to market every second year</t>
        </r>
      </text>
    </comment>
    <comment ref="E870" authorId="4">
      <text>
        <r>
          <rPr>
            <b/>
            <sz val="9"/>
            <color indexed="81"/>
            <rFont val="Tahoma"/>
            <family val="2"/>
          </rPr>
          <t>Linda Coulter:</t>
        </r>
        <r>
          <rPr>
            <sz val="9"/>
            <color indexed="81"/>
            <rFont val="Tahoma"/>
            <family val="2"/>
          </rPr>
          <t xml:space="preserve">
Whilst for simplicity the refunds of $1475000 assume a completion of Ballina Heights this year, this budget has taken a more realistic approach and assumed approx 20 sales.</t>
        </r>
      </text>
    </comment>
    <comment ref="B878" authorId="3">
      <text>
        <r>
          <rPr>
            <b/>
            <sz val="8"/>
            <color indexed="81"/>
            <rFont val="Tahoma"/>
            <family val="2"/>
          </rPr>
          <t>bsc:</t>
        </r>
        <r>
          <rPr>
            <sz val="8"/>
            <color indexed="81"/>
            <rFont val="Tahoma"/>
            <family val="2"/>
          </rPr>
          <t xml:space="preserve">
Incl $130k for Arc Residual costs</t>
        </r>
      </text>
    </comment>
    <comment ref="E923" authorId="6">
      <text>
        <r>
          <rPr>
            <b/>
            <sz val="9"/>
            <color indexed="81"/>
            <rFont val="Tahoma"/>
            <family val="2"/>
          </rPr>
          <t>Elizabeth Tuvunivono:</t>
        </r>
        <r>
          <rPr>
            <sz val="9"/>
            <color indexed="81"/>
            <rFont val="Tahoma"/>
            <family val="2"/>
          </rPr>
          <t xml:space="preserve">
Includes bad debts $6,600</t>
        </r>
      </text>
    </comment>
    <comment ref="B950" authorId="3">
      <text>
        <r>
          <rPr>
            <b/>
            <sz val="8"/>
            <color indexed="81"/>
            <rFont val="Tahoma"/>
            <family val="2"/>
          </rPr>
          <t>bsc:</t>
        </r>
        <r>
          <rPr>
            <sz val="8"/>
            <color indexed="81"/>
            <rFont val="Tahoma"/>
            <family val="2"/>
          </rPr>
          <t xml:space="preserve">
$1150k tfr fr res moved to roads re Surf Club Rd &amp; Carpark.
</t>
        </r>
      </text>
    </comment>
    <comment ref="H1007" authorId="1">
      <text>
        <r>
          <rPr>
            <b/>
            <sz val="9"/>
            <color indexed="81"/>
            <rFont val="Tahoma"/>
            <family val="2"/>
          </rPr>
          <t>Paul Hickey:</t>
        </r>
        <r>
          <rPr>
            <sz val="9"/>
            <color indexed="81"/>
            <rFont val="Tahoma"/>
            <family val="2"/>
          </rPr>
          <t xml:space="preserve">
$150,000 represents transfer from Flat Rock for Skennars Head Sports Fields</t>
        </r>
      </text>
    </comment>
    <comment ref="C1038" authorId="1">
      <text>
        <r>
          <rPr>
            <b/>
            <sz val="9"/>
            <color indexed="81"/>
            <rFont val="Tahoma"/>
            <family val="2"/>
          </rPr>
          <t>Paul Hickey:</t>
        </r>
        <r>
          <rPr>
            <sz val="9"/>
            <color indexed="81"/>
            <rFont val="Tahoma"/>
            <family val="2"/>
          </rPr>
          <t xml:space="preserve">
$750,000 income from Coffs Harbour</t>
        </r>
      </text>
    </comment>
    <comment ref="H1054" authorId="1">
      <text>
        <r>
          <rPr>
            <b/>
            <sz val="9"/>
            <color indexed="81"/>
            <rFont val="Tahoma"/>
            <family val="2"/>
          </rPr>
          <t>Paul Hickey:</t>
        </r>
        <r>
          <rPr>
            <sz val="9"/>
            <color indexed="81"/>
            <rFont val="Tahoma"/>
            <family val="2"/>
          </rPr>
          <t xml:space="preserve">
Add Terminal Extension</t>
        </r>
      </text>
    </comment>
  </commentList>
</comments>
</file>

<file path=xl/connections.xml><?xml version="1.0" encoding="utf-8"?>
<connections xmlns="http://schemas.openxmlformats.org/spreadsheetml/2006/main">
  <connection id="1" name="Connection" type="1" refreshedVersion="2">
    <dbPr connection="DSN=authlive;Description=Authlive;UID=Graemef;;APP=Microsoft Office 2003;WSID=PC-DELL-36;DATABASE=authlive;Trusted_Connection=Yes;QuotedId=No" command="select total_level,total_description,bs_os_level,bs_os_description,directorate_level,directorate_description,department_level,department_description,program_level,program_description,display_sequence,op_cap_level,op_cap_description,account_type_level,account_type_description,master_number,master_description,sub_number,sub_description,resource_number,resource_description,costing_ledger,fund,program,hierarchy_num,hierarchy_name,resource_group,resource_group_description,account_type,op_cap,posting_year,committed_balance,p1_actual_ytd,p2_actual_ytd,p3_actual_ytd,p4_actual_ytd,p5_actual_ytd,p6_actual_ytd,p7_actual_ytd,p8_actual_ytd,p9_actual_ytd,p10_actual_ytd,p11_actual_ytd,p12_actual_ytd,p1_budget_ytd,p2_budget_ytd,p3_budget_ytd,p4_budget_ytd,p5_budget_ytd,p6_budget_ytd,p7_budget_ytd,p8_budget_ytd,p9_budget_ytd,p10_budget_ytd,p11_budget_ytd,p12_budget_ytd,p1_actual,p2_actual,p3_actual,p4_actual,p5_actual,p6_actual,p7_actual,p8_actual,p9_actual,p10_actual,p11_actual,p12_actual,p1_budget,p2_budget,p3_budget,p4_budget,p5_budget,p6_budget,p7_budget,p8_budget,p9_budget,p10_budget,p11_budget,p12_budget from av_hi_financial_summary where hierarchy_num='2' AND (select 1 from aualrefs where aualrefs.ref_typ='rpt_wzd' AND aualrefs.ref_val='RPTWZD') = 1 AND (select alp_key from aumnparm, aunrmast where aumnparm.nar_num=aunrmast.nar_num) = 'BALLINA SHIR'"/>
  </connection>
</connections>
</file>

<file path=xl/sharedStrings.xml><?xml version="1.0" encoding="utf-8"?>
<sst xmlns="http://schemas.openxmlformats.org/spreadsheetml/2006/main" count="18610" uniqueCount="11975">
  <si>
    <t>Operating Activities</t>
  </si>
  <si>
    <t>Purchasing Card</t>
  </si>
  <si>
    <t>4101.8795.0960</t>
  </si>
  <si>
    <t>Non-cash Developer Contributions</t>
  </si>
  <si>
    <t>32330.6650.0401</t>
  </si>
  <si>
    <t>32330.6651.0401</t>
  </si>
  <si>
    <t>32330.6652.0700</t>
  </si>
  <si>
    <t>32331.6649.0640</t>
  </si>
  <si>
    <t>32312.6192.0401</t>
  </si>
  <si>
    <t xml:space="preserve">Open Spaces and Reserves Management </t>
  </si>
  <si>
    <t xml:space="preserve">Lease - Norfolk Homes </t>
  </si>
  <si>
    <t>Lease - Wigmore Arcade</t>
  </si>
  <si>
    <t>Lease - 89 Tamar Street</t>
  </si>
  <si>
    <t>Lease - ARC</t>
  </si>
  <si>
    <t>Caravan Parks and Tent Park</t>
  </si>
  <si>
    <t>35084.8685.0401</t>
  </si>
  <si>
    <t>7506.4914.0401</t>
  </si>
  <si>
    <t>Road Plan (All Plans)</t>
  </si>
  <si>
    <t>22011.2428.0169</t>
  </si>
  <si>
    <t>22011.2429.0169</t>
  </si>
  <si>
    <t>26045.7897.0138</t>
  </si>
  <si>
    <t>Staff Broadband Contributions</t>
  </si>
  <si>
    <t>Postage</t>
  </si>
  <si>
    <t>35162.0350.0401</t>
  </si>
  <si>
    <t>35162.0420.0401</t>
  </si>
  <si>
    <t>35152.8851.0401</t>
  </si>
  <si>
    <t>35150.0420.0401</t>
  </si>
  <si>
    <t>22012.2437.0191</t>
  </si>
  <si>
    <t>35100.0415.0690</t>
  </si>
  <si>
    <t>35100.8681.0401</t>
  </si>
  <si>
    <t>35115.0425.0401</t>
  </si>
  <si>
    <t>35115.8700.0401</t>
  </si>
  <si>
    <t>35115.0420.0401</t>
  </si>
  <si>
    <t>35107.0415.0690</t>
  </si>
  <si>
    <t>General Fund - Externally Restricted Reserves Movement</t>
  </si>
  <si>
    <t>32249.3464.0401</t>
  </si>
  <si>
    <t>35006.7569.0639</t>
  </si>
  <si>
    <t>Rangers - Conferences</t>
  </si>
  <si>
    <t>WATER OPERATIONS</t>
  </si>
  <si>
    <t>Skatepark (Lennox) M &amp; R</t>
  </si>
  <si>
    <t>32267.5424.0401</t>
  </si>
  <si>
    <t>32132.4238.0401</t>
  </si>
  <si>
    <t>32132.4239.0401</t>
  </si>
  <si>
    <t>32132.4241.0401</t>
  </si>
  <si>
    <t>32135.4250.0401</t>
  </si>
  <si>
    <t>32285.0531.0401</t>
  </si>
  <si>
    <t>32285.5878.0401</t>
  </si>
  <si>
    <t>32285.0415.0690</t>
  </si>
  <si>
    <t>Collection</t>
  </si>
  <si>
    <t>Flat Rock Operating</t>
  </si>
  <si>
    <t xml:space="preserve">Ramses Street </t>
  </si>
  <si>
    <t xml:space="preserve">Airport </t>
  </si>
  <si>
    <t>Balance as at 1 July</t>
  </si>
  <si>
    <t>Balance as at 30 June</t>
  </si>
  <si>
    <t>Total Repayments</t>
  </si>
  <si>
    <t>Total External Loans</t>
  </si>
  <si>
    <t>Unrestricted Current Ratio - Consolidated</t>
  </si>
  <si>
    <t>Sub Total - Southern Cross</t>
  </si>
  <si>
    <t>Sub Total - Russellton</t>
  </si>
  <si>
    <t>Depreciation - Environmental Protection</t>
  </si>
  <si>
    <t>Annual Charges</t>
  </si>
  <si>
    <t>`</t>
  </si>
  <si>
    <t>M &amp; R Lights, Signs, Boom Gates etc</t>
  </si>
  <si>
    <t>32312.6194.0401</t>
  </si>
  <si>
    <t>Deposit Hazardous Waste</t>
  </si>
  <si>
    <t>32279.5738.0401</t>
  </si>
  <si>
    <t>35084.8690.0401</t>
  </si>
  <si>
    <t>Sh10 &amp; Pearces Ck Rd</t>
  </si>
  <si>
    <t>35120.0980.0980</t>
  </si>
  <si>
    <t>35120.0435.0700</t>
  </si>
  <si>
    <t>35120.0680.0745</t>
  </si>
  <si>
    <t>31020.4758.0422</t>
  </si>
  <si>
    <t>Net Increase / (Decrease) ELE</t>
  </si>
  <si>
    <t>Add: Non-cash items - Leave Liabilities</t>
  </si>
  <si>
    <t>Net Cash Movement (A + B)</t>
  </si>
  <si>
    <t>32340.6863.0401</t>
  </si>
  <si>
    <t>21022.1479.0062</t>
  </si>
  <si>
    <t>31020.0300.0300</t>
  </si>
  <si>
    <t>Other Grants and Contributions</t>
  </si>
  <si>
    <t>32325.0450.0401</t>
  </si>
  <si>
    <t>Heavy vehicle</t>
  </si>
  <si>
    <t>Car Parking - Ballina</t>
  </si>
  <si>
    <t>4500.2801.0961</t>
  </si>
  <si>
    <t>4500.2800.0961</t>
  </si>
  <si>
    <t>4500.2809.0961</t>
  </si>
  <si>
    <t xml:space="preserve">Depreciation </t>
  </si>
  <si>
    <t>Superannuation - Defined Benefits</t>
  </si>
  <si>
    <t>Financial Services</t>
  </si>
  <si>
    <t>Check</t>
  </si>
  <si>
    <t>22283.6821.0270</t>
  </si>
  <si>
    <t>Plant Running Expenses</t>
  </si>
  <si>
    <t>General Fund - Loan Income - Ten Year Forward Plan - New Projects</t>
  </si>
  <si>
    <t>Principal Outstanding</t>
  </si>
  <si>
    <t>32348.7020.0649</t>
  </si>
  <si>
    <t>35152.8840.0401</t>
  </si>
  <si>
    <t>35152.8845.0401</t>
  </si>
  <si>
    <t>32361.7321.0401</t>
  </si>
  <si>
    <t>Hardware Lease</t>
  </si>
  <si>
    <t xml:space="preserve">Recruitment </t>
  </si>
  <si>
    <t>31083.0415.0690</t>
  </si>
  <si>
    <t>Plant Repairs</t>
  </si>
  <si>
    <t>1056 &amp; 1194</t>
  </si>
  <si>
    <t>7512.4985.8800</t>
  </si>
  <si>
    <t>Unexpended Grants</t>
  </si>
  <si>
    <t>Management</t>
  </si>
  <si>
    <t>Beach Maintenance</t>
  </si>
  <si>
    <t>32021.0680.0745</t>
  </si>
  <si>
    <t>26005.7698.0233</t>
  </si>
  <si>
    <t>35073.8567.0401</t>
  </si>
  <si>
    <t>Maintenance - Radios</t>
  </si>
  <si>
    <t>State Highway Ordered Work</t>
  </si>
  <si>
    <t>Solid Waste Surface Water Control</t>
  </si>
  <si>
    <t>32280.5741.0401</t>
  </si>
  <si>
    <t>32364.7347.0401</t>
  </si>
  <si>
    <t>35120.4128.0401</t>
  </si>
  <si>
    <t>35120.0530.0401</t>
  </si>
  <si>
    <t>Balance as per cash reconc. (less S.94)</t>
  </si>
  <si>
    <t>Engineering Supervision Overheads</t>
  </si>
  <si>
    <t>35055.7956.0401</t>
  </si>
  <si>
    <t>Availability Charge Non-Residential</t>
  </si>
  <si>
    <t>30021.1159.0401</t>
  </si>
  <si>
    <t>30021.0680.0745</t>
  </si>
  <si>
    <t>21000.1300.0061</t>
  </si>
  <si>
    <t>21000.1301.0061</t>
  </si>
  <si>
    <t>21000.1303.0061</t>
  </si>
  <si>
    <t>Nursery Crew Support</t>
  </si>
  <si>
    <t>35051.7945.0300</t>
  </si>
  <si>
    <t>Union Delegate Expenses</t>
  </si>
  <si>
    <t>50005.7964.0300</t>
  </si>
  <si>
    <t>Accident Pay to Employees</t>
  </si>
  <si>
    <t>Country Mayors</t>
  </si>
  <si>
    <t>LGSA Special Cases</t>
  </si>
  <si>
    <t>Sundry Administration</t>
  </si>
  <si>
    <t>Total Movement in Reserves</t>
  </si>
  <si>
    <t>Excess Public Risk</t>
  </si>
  <si>
    <t>26122</t>
  </si>
  <si>
    <t>26120</t>
  </si>
  <si>
    <t>35150</t>
  </si>
  <si>
    <t>35152</t>
  </si>
  <si>
    <t>Civil Services Group</t>
  </si>
  <si>
    <t>Transfers from / (to) Internal Reserves</t>
  </si>
  <si>
    <t>Management Plans</t>
  </si>
  <si>
    <t>Loan Principal</t>
  </si>
  <si>
    <t>Library Special Projects</t>
  </si>
  <si>
    <t>Service Availability Charge Residential</t>
  </si>
  <si>
    <t>10000.0101.0031</t>
  </si>
  <si>
    <t>Water Supplies - Management</t>
  </si>
  <si>
    <t>50005.3580.0323</t>
  </si>
  <si>
    <t>50005.3580.0324</t>
  </si>
  <si>
    <t>Bank Fees</t>
  </si>
  <si>
    <t xml:space="preserve">Legal Costs </t>
  </si>
  <si>
    <t>Grant Street</t>
  </si>
  <si>
    <t>Amphitheatre and Skatepark Facilities</t>
  </si>
  <si>
    <t>Operating Grants &amp; Contributions</t>
  </si>
  <si>
    <t>4028.8852.0960</t>
  </si>
  <si>
    <t>Special Projects from Grants</t>
  </si>
  <si>
    <t>Consumables</t>
  </si>
  <si>
    <t>32020.2441.0300</t>
  </si>
  <si>
    <t>32020.2442.0300</t>
  </si>
  <si>
    <t>Depreciation - Ancillary</t>
  </si>
  <si>
    <t>Footpaths</t>
  </si>
  <si>
    <t xml:space="preserve">Water </t>
  </si>
  <si>
    <t>Waste Receival</t>
  </si>
  <si>
    <t>Vegetation Management</t>
  </si>
  <si>
    <t>Coastal Reserves</t>
  </si>
  <si>
    <t>4601.8801.0961</t>
  </si>
  <si>
    <t>Sub Total Car Parking</t>
  </si>
  <si>
    <t>Operating Income</t>
  </si>
  <si>
    <t>Sub Total - Comm Infra</t>
  </si>
  <si>
    <t>Ballina Ultimate Upgrade</t>
  </si>
  <si>
    <t>Ballina Revolve Facility Rental</t>
  </si>
  <si>
    <t>31061.1810.0401</t>
  </si>
  <si>
    <t>31061.1811.0401</t>
  </si>
  <si>
    <t>31062.1813.0635</t>
  </si>
  <si>
    <t>31062.1815.0501</t>
  </si>
  <si>
    <t>55004.4755.0300</t>
  </si>
  <si>
    <t>22101.2952.0166</t>
  </si>
  <si>
    <t>32102.3087.0401</t>
  </si>
  <si>
    <t>VEGETATION MANAGEMENT</t>
  </si>
  <si>
    <t>32261.0680.0745</t>
  </si>
  <si>
    <t>10004.3545.0190</t>
  </si>
  <si>
    <t>Staff Training and Development</t>
  </si>
  <si>
    <t>Staff Support and Recognition</t>
  </si>
  <si>
    <t>35055</t>
  </si>
  <si>
    <t>4150.8987.0960</t>
  </si>
  <si>
    <t>4650.8997.0961</t>
  </si>
  <si>
    <t>32260.5300.0343</t>
  </si>
  <si>
    <t>35005.0374.0619</t>
  </si>
  <si>
    <t>Electricity &amp; Gas</t>
  </si>
  <si>
    <t>4610.3919.0961</t>
  </si>
  <si>
    <t>4591.8653.0961</t>
  </si>
  <si>
    <t>4612.4996.0690</t>
  </si>
  <si>
    <t>Capital Movements</t>
  </si>
  <si>
    <t>Cash-General Net Movement</t>
  </si>
  <si>
    <t>Community Donations</t>
  </si>
  <si>
    <t>Movement</t>
  </si>
  <si>
    <t>Closing</t>
  </si>
  <si>
    <t>Building Modifications</t>
  </si>
  <si>
    <t>Open Space</t>
  </si>
  <si>
    <t>Donations to Community Groups</t>
  </si>
  <si>
    <t>Operating Revenue (excl Capital)</t>
  </si>
  <si>
    <t>Oncosts Wages Staff</t>
  </si>
  <si>
    <t>NORTHERN RIVERS COMMUNITY GALLERY</t>
  </si>
  <si>
    <t>35070.0300.0300</t>
  </si>
  <si>
    <t>Tintenbar Recreation Reserve</t>
  </si>
  <si>
    <t>External Contributions</t>
  </si>
  <si>
    <t>31061.1808.0401</t>
  </si>
  <si>
    <t>32116.3239.0401</t>
  </si>
  <si>
    <t>22290.7206.0030</t>
  </si>
  <si>
    <t>32011.2247.0401</t>
  </si>
  <si>
    <t>22110.3309.0190</t>
  </si>
  <si>
    <t>32110.3234.0401</t>
  </si>
  <si>
    <t>32113.3476.0401</t>
  </si>
  <si>
    <t>Security in Departure Lounge</t>
  </si>
  <si>
    <t>Strategic Planning</t>
  </si>
  <si>
    <t xml:space="preserve">Administration Centre </t>
  </si>
  <si>
    <t>Flood Management Studies and Plans</t>
  </si>
  <si>
    <t>Contributions - LSL</t>
  </si>
  <si>
    <t>32200.4015.0401</t>
  </si>
  <si>
    <t>Depreciation - Domestic Waste</t>
  </si>
  <si>
    <t xml:space="preserve">Interest on Loans </t>
  </si>
  <si>
    <t>Proceeds from Disposal of Assets</t>
  </si>
  <si>
    <t>2010/11</t>
  </si>
  <si>
    <t>26005.7690.0233</t>
  </si>
  <si>
    <t>32001.8550.0300</t>
  </si>
  <si>
    <t>4591.8666.0961</t>
  </si>
  <si>
    <t>4591.8665.0961</t>
  </si>
  <si>
    <t>4591.7859.0961</t>
  </si>
  <si>
    <t>Item</t>
  </si>
  <si>
    <t>Unsealed Rural Roads</t>
  </si>
  <si>
    <t>Surf Clubs - Insurance</t>
  </si>
  <si>
    <t xml:space="preserve">Buildings and Facilities - M. and R. </t>
  </si>
  <si>
    <t>Sealed Rural Roads - Maintenance</t>
  </si>
  <si>
    <t>Interest on Section 64 Water Contributions</t>
  </si>
  <si>
    <t>32201.0500.0401</t>
  </si>
  <si>
    <t>32201.0500.0635</t>
  </si>
  <si>
    <t>Abandoned Pensioners (State)</t>
  </si>
  <si>
    <t>Tuckombil Quarry</t>
  </si>
  <si>
    <t>Group Total - Civil Services</t>
  </si>
  <si>
    <t>26113.8749.0124</t>
  </si>
  <si>
    <t>Reserve Balances</t>
  </si>
  <si>
    <t>Environmental Health Projects</t>
  </si>
  <si>
    <t/>
  </si>
  <si>
    <t>Reserves - Externally Restricted</t>
  </si>
  <si>
    <t>PAPI / PAALC</t>
  </si>
  <si>
    <t>Miscellaneous Infrastructure</t>
  </si>
  <si>
    <t>26021.0101.0031</t>
  </si>
  <si>
    <t>32312.6166.0401</t>
  </si>
  <si>
    <t>32312.6168.0401</t>
  </si>
  <si>
    <t>32312.6170.0401</t>
  </si>
  <si>
    <t>32312.6172.0401</t>
  </si>
  <si>
    <t>Pensioner Abandonments</t>
  </si>
  <si>
    <t>Civic Activities</t>
  </si>
  <si>
    <t>26122.8822.0231</t>
  </si>
  <si>
    <t>26122.8825.0233</t>
  </si>
  <si>
    <t>Cumbalum Interchange (Sec 94)</t>
  </si>
  <si>
    <t>Loan P &amp; I - Town Centre</t>
  </si>
  <si>
    <t>ASSET SALES</t>
  </si>
  <si>
    <t>Animal Shelter</t>
  </si>
  <si>
    <t>4060.6035.0960</t>
  </si>
  <si>
    <t>4560.6045.0961</t>
  </si>
  <si>
    <t>Non-cash Expenses</t>
  </si>
  <si>
    <t>55002.4575.0690</t>
  </si>
  <si>
    <t>55004.4757.0622</t>
  </si>
  <si>
    <t>2336.8630.0401</t>
  </si>
  <si>
    <t>Rates Abandoned Business</t>
  </si>
  <si>
    <t>Contribution to Regional Library</t>
  </si>
  <si>
    <t>Transfers from / (to) Accumulated Surplus</t>
  </si>
  <si>
    <t>Loan Funds</t>
  </si>
  <si>
    <t>Urban Unseal Operations</t>
  </si>
  <si>
    <t>Weighbridge Admin Expenses</t>
  </si>
  <si>
    <t>Weighbridge Operators Wages</t>
  </si>
  <si>
    <t>32275.5624.0401</t>
  </si>
  <si>
    <t>Capital Works</t>
  </si>
  <si>
    <t>Bushland Reserves</t>
  </si>
  <si>
    <t>Maintenance Programs</t>
  </si>
  <si>
    <t>Destination Development</t>
  </si>
  <si>
    <t>HUMAN RESOURCES AND RISK MANAGEMENT</t>
  </si>
  <si>
    <t>Open Space and Reserves</t>
  </si>
  <si>
    <t>32021.2451.0401</t>
  </si>
  <si>
    <t>32021.2451.0635</t>
  </si>
  <si>
    <t>Contributions and Dividends</t>
  </si>
  <si>
    <t>Security Service</t>
  </si>
  <si>
    <t>Special Rubbish Clean-ups</t>
  </si>
  <si>
    <t>31045.3091.0401</t>
  </si>
  <si>
    <t>31045.3092.0401</t>
  </si>
  <si>
    <t>Non Cash Adjust for ELE's</t>
  </si>
  <si>
    <t>Capital Income in HR</t>
  </si>
  <si>
    <t>Employee Entitlements - Wages Staff</t>
  </si>
  <si>
    <t>Employee Entitlements - Salaried Staff</t>
  </si>
  <si>
    <t>Strategic Planning Studies / Strategies</t>
  </si>
  <si>
    <t>Training Plan - Wages Staff</t>
  </si>
  <si>
    <t>Canal Dredging</t>
  </si>
  <si>
    <t>2008/09</t>
  </si>
  <si>
    <t>Availability Charge Residential</t>
  </si>
  <si>
    <t>Urban Roads - Maintenance and Repairs</t>
  </si>
  <si>
    <t>21021.1467.0062</t>
  </si>
  <si>
    <t>21021.1468.0062</t>
  </si>
  <si>
    <t>Commercial Properties - Rates</t>
  </si>
  <si>
    <t>Civil Services</t>
  </si>
  <si>
    <t>RMCC Contract Ordered Work</t>
  </si>
  <si>
    <t>ROADS AND MARITIME SERVICES</t>
  </si>
  <si>
    <t>Road Safety Officer RMS</t>
  </si>
  <si>
    <t>Reimbursements by RMS - State Highways</t>
  </si>
  <si>
    <t>12000.4502.0047</t>
  </si>
  <si>
    <t>12000.0101.0030</t>
  </si>
  <si>
    <t>12000.0101.0031</t>
  </si>
  <si>
    <t>55022.4804.0417</t>
  </si>
  <si>
    <t>26021.0101.0030</t>
  </si>
  <si>
    <t>Plant Operations from</t>
  </si>
  <si>
    <t>22260.6368.0190</t>
  </si>
  <si>
    <t>32331.6672.0647</t>
  </si>
  <si>
    <t>32331.6650.0401</t>
  </si>
  <si>
    <t>32344.6927.0401</t>
  </si>
  <si>
    <t>Residential Rate</t>
  </si>
  <si>
    <t>Contribution to Rural Fire Fighting Fund</t>
  </si>
  <si>
    <t>21040.1637.0091</t>
  </si>
  <si>
    <t>Wollongbar Urban Expansion Area</t>
  </si>
  <si>
    <t>Long Service Awards</t>
  </si>
  <si>
    <t>Rent - Water Slide</t>
  </si>
  <si>
    <t>4041.3150.0960</t>
  </si>
  <si>
    <t>4534.3390.0961</t>
  </si>
  <si>
    <t>4046.4449.0960</t>
  </si>
  <si>
    <t>4052.5210.0960</t>
  </si>
  <si>
    <t>4052.5211.0960</t>
  </si>
  <si>
    <t xml:space="preserve">Engineering Management </t>
  </si>
  <si>
    <t>31041.1647.0401</t>
  </si>
  <si>
    <t>Miscellaneous Commercial Property Reserves</t>
  </si>
  <si>
    <t>Section 64 Contributions Collected</t>
  </si>
  <si>
    <t>Ancillary Transport</t>
  </si>
  <si>
    <t>Road Safety Direct Costs</t>
  </si>
  <si>
    <t>Capital Movements (B) - Surplus / (Deficit)</t>
  </si>
  <si>
    <t>32348.7023.0401</t>
  </si>
  <si>
    <t>32348.7024.0401</t>
  </si>
  <si>
    <t>Rental - 89 Tamar Street</t>
  </si>
  <si>
    <t>Staff Meetings</t>
  </si>
  <si>
    <t>Lodgement Fees Private Certifiers</t>
  </si>
  <si>
    <t xml:space="preserve">Domestic Waste Management </t>
  </si>
  <si>
    <t xml:space="preserve">Valuation Fees </t>
  </si>
  <si>
    <t>85000-001</t>
  </si>
  <si>
    <t>Collection Kerbside</t>
  </si>
  <si>
    <t>Interest On Investments</t>
  </si>
  <si>
    <t>Purchase Of Water</t>
  </si>
  <si>
    <t>Overheads - Southern Cross</t>
  </si>
  <si>
    <t xml:space="preserve">Loan Funds </t>
  </si>
  <si>
    <t>PRINCIPAL</t>
  </si>
  <si>
    <t>32021.2453.0401</t>
  </si>
  <si>
    <t>32096.3064.0401</t>
  </si>
  <si>
    <t>SQIDS Wollongbar</t>
  </si>
  <si>
    <t>32097.3064.0401</t>
  </si>
  <si>
    <t>SQIDS Alstonville</t>
  </si>
  <si>
    <t>32098.3064.0401</t>
  </si>
  <si>
    <t>SQIDS Ballina Heights</t>
  </si>
  <si>
    <t>26021.0100.0035</t>
  </si>
  <si>
    <t>32111.3464.0401</t>
  </si>
  <si>
    <t>32322.6420.0401</t>
  </si>
  <si>
    <t>32322.6421.0401</t>
  </si>
  <si>
    <t>Human Resources</t>
  </si>
  <si>
    <t>M &amp; R Ballina Transfer Station</t>
  </si>
  <si>
    <t>Empty Transfer Bins</t>
  </si>
  <si>
    <t>SES State Levy</t>
  </si>
  <si>
    <t>Net Operating Result - Surplus / (Deficit)</t>
  </si>
  <si>
    <t>Fleet and Plant</t>
  </si>
  <si>
    <t>Lease Payments</t>
  </si>
  <si>
    <t>35162.8890.0401</t>
  </si>
  <si>
    <t>35162.8894.0401</t>
  </si>
  <si>
    <t>35162.8891.0401</t>
  </si>
  <si>
    <t>35162.0350.0501</t>
  </si>
  <si>
    <t>10012.3535.0235</t>
  </si>
  <si>
    <t>32001.0680.0745</t>
  </si>
  <si>
    <t>21040.1631.0091</t>
  </si>
  <si>
    <t>21040.1633.0091</t>
  </si>
  <si>
    <t>21040.1634.0091</t>
  </si>
  <si>
    <t>Other Employee Costs</t>
  </si>
  <si>
    <t>2016/2017</t>
  </si>
  <si>
    <t>Youth Week</t>
  </si>
  <si>
    <t>Fleet Management and Workshop</t>
  </si>
  <si>
    <t>35021.7843.0422</t>
  </si>
  <si>
    <t>Loan Income - Capital Income</t>
  </si>
  <si>
    <t>26020.0100.0037</t>
  </si>
  <si>
    <t>35145.8758.0647</t>
  </si>
  <si>
    <t>35160.0300.0300</t>
  </si>
  <si>
    <t>35160.2250.0401</t>
  </si>
  <si>
    <t>35160.0425.0401</t>
  </si>
  <si>
    <t>Swimming Pools</t>
  </si>
  <si>
    <t>50110.3718.0401</t>
  </si>
  <si>
    <t>50109.3696.0401</t>
  </si>
  <si>
    <t>55006.0683.0703</t>
  </si>
  <si>
    <t>Operating Revenues</t>
  </si>
  <si>
    <t xml:space="preserve">Pensioners Assistance Subsidy </t>
  </si>
  <si>
    <t>35152.5443.0401</t>
  </si>
  <si>
    <t>INTEREST</t>
  </si>
  <si>
    <t>50112.0680.0749</t>
  </si>
  <si>
    <t>Small Plant Maintenance</t>
  </si>
  <si>
    <t>East Ballina</t>
  </si>
  <si>
    <t>Airport Fuel Site Rent</t>
  </si>
  <si>
    <t>Anzac Day</t>
  </si>
  <si>
    <t>Commissions - Software Maintenance</t>
  </si>
  <si>
    <t>Operating Result before Capital Amounts</t>
  </si>
  <si>
    <t>Overheads Distributed</t>
  </si>
  <si>
    <t>Checks</t>
  </si>
  <si>
    <t>Heavy Vehicle</t>
  </si>
  <si>
    <t>Stormwater</t>
  </si>
  <si>
    <t>32320.6323.0300</t>
  </si>
  <si>
    <t>26061.8513.0226</t>
  </si>
  <si>
    <t>26061.8514.0226</t>
  </si>
  <si>
    <t>Collection Kerbside MGB</t>
  </si>
  <si>
    <t>Administration - Byron Shire Council</t>
  </si>
  <si>
    <t>Other Expenses</t>
  </si>
  <si>
    <t>30000.0504.0347</t>
  </si>
  <si>
    <t>31000.0504.0347</t>
  </si>
  <si>
    <t>35006.7567.0639</t>
  </si>
  <si>
    <t>35006.7568.0639</t>
  </si>
  <si>
    <t>32262.5346.0401</t>
  </si>
  <si>
    <t>Year</t>
  </si>
  <si>
    <t>Accruals Adjustment to Cash</t>
  </si>
  <si>
    <t>Fencing and Security</t>
  </si>
  <si>
    <t>Urban Roads Heavy Patching</t>
  </si>
  <si>
    <t>Result</t>
  </si>
  <si>
    <t>Activity</t>
  </si>
  <si>
    <t>Other Revenues</t>
  </si>
  <si>
    <t>Regional Road 7735 Operations</t>
  </si>
  <si>
    <t>35001.7515.0622</t>
  </si>
  <si>
    <t>32135.4251.0401</t>
  </si>
  <si>
    <t>32135.4253.0401</t>
  </si>
  <si>
    <t>32135.4254.0401</t>
  </si>
  <si>
    <t>32135.4255.0401</t>
  </si>
  <si>
    <t>Internal Reserves</t>
  </si>
  <si>
    <t>External Reserves</t>
  </si>
  <si>
    <t>2343.8717.0401</t>
  </si>
  <si>
    <t>2344.8718.0401</t>
  </si>
  <si>
    <t>2312.7912.0401</t>
  </si>
  <si>
    <t>2323.3434.0401</t>
  </si>
  <si>
    <t>26065</t>
  </si>
  <si>
    <t>26060</t>
  </si>
  <si>
    <t>26061</t>
  </si>
  <si>
    <t>26064</t>
  </si>
  <si>
    <t>55002.0415.0690</t>
  </si>
  <si>
    <t>32340.6868.0401</t>
  </si>
  <si>
    <t>32340.6869.0622</t>
  </si>
  <si>
    <t>32340.6877.0980</t>
  </si>
  <si>
    <t>21042.1645.0138</t>
  </si>
  <si>
    <t>21042.1646.0233</t>
  </si>
  <si>
    <t>31040.0300.0300</t>
  </si>
  <si>
    <t>31040.0350.0501</t>
  </si>
  <si>
    <t>35110.0374.0640</t>
  </si>
  <si>
    <t>35115.0350.0401</t>
  </si>
  <si>
    <t>30023.0374.0640</t>
  </si>
  <si>
    <t>Plan First Levy</t>
  </si>
  <si>
    <t>32001.2285.0401</t>
  </si>
  <si>
    <t>26021.0100.0020</t>
  </si>
  <si>
    <t>STORMWATER AND ENVIRONMENTAL PROTECTION</t>
  </si>
  <si>
    <t>Marine Infrastructure</t>
  </si>
  <si>
    <t>M &amp; R Weighbridge</t>
  </si>
  <si>
    <t>STRATEGIC PLANNING</t>
  </si>
  <si>
    <t>Community Infrastructure Reserve</t>
  </si>
  <si>
    <t>Interest on Loans - Teven Bridges</t>
  </si>
  <si>
    <t>Solid Waste Landfill</t>
  </si>
  <si>
    <t>Season Tickets</t>
  </si>
  <si>
    <t>Immunisation Expenses</t>
  </si>
  <si>
    <t>50000.3612.0401</t>
  </si>
  <si>
    <t>Property - Operations and Maintenance</t>
  </si>
  <si>
    <t>50005.3577.0690</t>
  </si>
  <si>
    <t>50008.3782.0622</t>
  </si>
  <si>
    <t>Audit Fees</t>
  </si>
  <si>
    <t>Administration</t>
  </si>
  <si>
    <t>Returned Cheque and Tracing Fees</t>
  </si>
  <si>
    <t>General Manager's Group</t>
  </si>
  <si>
    <t>Growth in Water Consumption Non-Residential %</t>
  </si>
  <si>
    <t>Water Usage &gt; 350 Non-Residential %</t>
  </si>
  <si>
    <t>Overheads to Plant</t>
  </si>
  <si>
    <t>LEMC Committee Operation</t>
  </si>
  <si>
    <t>Boat Ramps - Contract Cleaning</t>
  </si>
  <si>
    <t>Change of Use Application</t>
  </si>
  <si>
    <t>Boat Ramps - Maintenance</t>
  </si>
  <si>
    <t>River Street / Riverwalk Arcade Cleaning</t>
  </si>
  <si>
    <t>26065.8527.0225</t>
  </si>
  <si>
    <t>26065.8528.0225</t>
  </si>
  <si>
    <t>26065.8529.0225</t>
  </si>
  <si>
    <t>General Fund - Loan Repayment Schedule - Ten Year Forward Plan</t>
  </si>
  <si>
    <t>Add Back Depreciation &amp; Loss on Sale</t>
  </si>
  <si>
    <t>35021.7841.0600</t>
  </si>
  <si>
    <t>Transfer Stations</t>
  </si>
  <si>
    <t>Sundry Health Income</t>
  </si>
  <si>
    <t>Cash Delivery Services</t>
  </si>
  <si>
    <t>Oncosts Recouped</t>
  </si>
  <si>
    <t>Depreciation - Public Toilets</t>
  </si>
  <si>
    <t xml:space="preserve">Wollongbar - Land Development </t>
  </si>
  <si>
    <t>DOMESTIC WASTE</t>
  </si>
  <si>
    <t>7008.3901.8800</t>
  </si>
  <si>
    <t>21020.1451.0062</t>
  </si>
  <si>
    <t>Open Spaces and Reserves</t>
  </si>
  <si>
    <t>%</t>
  </si>
  <si>
    <t>2014/2015</t>
  </si>
  <si>
    <t>Essential Fire Service Annual Fee</t>
  </si>
  <si>
    <t>Consumption Residential</t>
  </si>
  <si>
    <t xml:space="preserve">Office Expenses </t>
  </si>
  <si>
    <t>Operation Expenses</t>
  </si>
  <si>
    <t xml:space="preserve">Plumbing and Drainage </t>
  </si>
  <si>
    <t>Vehicle Costs</t>
  </si>
  <si>
    <t>Road Plan - New</t>
  </si>
  <si>
    <t>Office Expenses and Advertising</t>
  </si>
  <si>
    <t>Road Safety</t>
  </si>
  <si>
    <t xml:space="preserve">Cash Result (A) - Surplus / (Deficit) </t>
  </si>
  <si>
    <t>Balances to Cash Forecast</t>
  </si>
  <si>
    <t>Printing, Stationery and Postage</t>
  </si>
  <si>
    <t xml:space="preserve">Salaries </t>
  </si>
  <si>
    <t>OSSM - Inspections</t>
  </si>
  <si>
    <t>Interest as per Debt Sheet</t>
  </si>
  <si>
    <t>Lennox Head Surf Club</t>
  </si>
  <si>
    <t>2345.8697.0401</t>
  </si>
  <si>
    <t>RMS - Rifle Range Road</t>
  </si>
  <si>
    <t xml:space="preserve">Telephone - Private Usage </t>
  </si>
  <si>
    <t>GM Group</t>
  </si>
  <si>
    <t>Accident Pay to Employees Claimed</t>
  </si>
  <si>
    <t>Community Infrastructure</t>
  </si>
  <si>
    <t>32331.0390.0401</t>
  </si>
  <si>
    <t>32331.6649.0401</t>
  </si>
  <si>
    <t>Add Special Variation</t>
  </si>
  <si>
    <t>Less: Capital - General Revenue Funded</t>
  </si>
  <si>
    <t>Less Sect 94 Contribution to Wollongbar Link Road Loan</t>
  </si>
  <si>
    <t>Heavy Vehicles - Bridges</t>
  </si>
  <si>
    <t>Heavy Vehicles - Rural Roads</t>
  </si>
  <si>
    <t>Depreciation - Child Care Centres (Leased)</t>
  </si>
  <si>
    <t>Property Management (Commercial)</t>
  </si>
  <si>
    <t>Motor Vehicles</t>
  </si>
  <si>
    <t>Advertising</t>
  </si>
  <si>
    <t>Aviation Security Cards</t>
  </si>
  <si>
    <t>Landing Fees</t>
  </si>
  <si>
    <t>MGB Kerb Collection Business Rural</t>
  </si>
  <si>
    <t>Solid Waste Leachate Treatment</t>
  </si>
  <si>
    <t>Airport Shuttle Bus Rents</t>
  </si>
  <si>
    <t>Rural Fire Service</t>
  </si>
  <si>
    <t>7506.4894.0401</t>
  </si>
  <si>
    <t>7506.4897.0401</t>
  </si>
  <si>
    <t>7506.4898.0401</t>
  </si>
  <si>
    <t>26060.8506.0226</t>
  </si>
  <si>
    <t>32277.5674.0401</t>
  </si>
  <si>
    <t>32277.5677.0401</t>
  </si>
  <si>
    <t>32279.5733.0401</t>
  </si>
  <si>
    <t>Growth in Water Consumption Residential %</t>
  </si>
  <si>
    <t>Existing Loans</t>
  </si>
  <si>
    <t>31060.1802.0622</t>
  </si>
  <si>
    <t>31060.1803.0622</t>
  </si>
  <si>
    <t>31061.1804.0401</t>
  </si>
  <si>
    <t>31061.1805.0401</t>
  </si>
  <si>
    <t>Flat Rock to</t>
  </si>
  <si>
    <t>Flat Rock from</t>
  </si>
  <si>
    <t>Ferry Survey Inspections / Fees</t>
  </si>
  <si>
    <t>Fuel</t>
  </si>
  <si>
    <t>Community Facilities</t>
  </si>
  <si>
    <t>Construction Certificates</t>
  </si>
  <si>
    <t>Plumbing and Drainage</t>
  </si>
  <si>
    <t>Destruction of Pests</t>
  </si>
  <si>
    <t>Sundries</t>
  </si>
  <si>
    <t>Depreciation Expense</t>
  </si>
  <si>
    <t>Total Operating Expenses</t>
  </si>
  <si>
    <t>Asset Management</t>
  </si>
  <si>
    <t>Land Development</t>
  </si>
  <si>
    <t>21000.1304.0061</t>
  </si>
  <si>
    <t>Comm Infra - 89 Tamar St Costs</t>
  </si>
  <si>
    <t>4091.8646.0960</t>
  </si>
  <si>
    <t>Postponed Rates</t>
  </si>
  <si>
    <t>Engineering Management</t>
  </si>
  <si>
    <t>50102.3643.0647</t>
  </si>
  <si>
    <t>Sundry Debtor - Interest and Extra Charges</t>
  </si>
  <si>
    <t>Auditor Consulting</t>
  </si>
  <si>
    <t>Furniture and Equipment</t>
  </si>
  <si>
    <t>7526.4816.0401</t>
  </si>
  <si>
    <t>32348.7022.0401</t>
  </si>
  <si>
    <t>Non-residential Connections #</t>
  </si>
  <si>
    <t>Flat Rock - Short Term</t>
  </si>
  <si>
    <t>5015.8720.0945</t>
  </si>
  <si>
    <t>32116.3238.0401</t>
  </si>
  <si>
    <t>32325.0682.0703</t>
  </si>
  <si>
    <t>32364.7354.0401</t>
  </si>
  <si>
    <t>32364.7355.0401</t>
  </si>
  <si>
    <t>Waste Disposal</t>
  </si>
  <si>
    <t>35162.0415.0690</t>
  </si>
  <si>
    <t>Dissection of Cash Movements</t>
  </si>
  <si>
    <t>Roads</t>
  </si>
  <si>
    <t>32267.5423.0401</t>
  </si>
  <si>
    <t>32267.5425.0635</t>
  </si>
  <si>
    <t>Wollongbar</t>
  </si>
  <si>
    <t>Operational Expenses</t>
  </si>
  <si>
    <t>Internet Connections</t>
  </si>
  <si>
    <t>32360.7847.0420</t>
  </si>
  <si>
    <t>55015.4695.0401</t>
  </si>
  <si>
    <t>2010.3128.0401</t>
  </si>
  <si>
    <t>1998.4381.0401</t>
  </si>
  <si>
    <t>Water Fund</t>
  </si>
  <si>
    <t>As Per Cash Water</t>
  </si>
  <si>
    <t>35085.8599.0980</t>
  </si>
  <si>
    <t>35085.8600.0980</t>
  </si>
  <si>
    <t>Russellton Selling Costs</t>
  </si>
  <si>
    <t>Operation</t>
  </si>
  <si>
    <t>Contract</t>
  </si>
  <si>
    <t>Bank Charges</t>
  </si>
  <si>
    <t>Motor Vehicle</t>
  </si>
  <si>
    <t>Interest on Investments</t>
  </si>
  <si>
    <t xml:space="preserve">$ To </t>
  </si>
  <si>
    <t>$ From</t>
  </si>
  <si>
    <t>Councillor Elections to</t>
  </si>
  <si>
    <t>4500.2803.0961</t>
  </si>
  <si>
    <t>Road Plan New</t>
  </si>
  <si>
    <t>4500.2805.0961</t>
  </si>
  <si>
    <t>4086.8692.960</t>
  </si>
  <si>
    <t>Road Safety Salary</t>
  </si>
  <si>
    <t>55010</t>
  </si>
  <si>
    <t>55002</t>
  </si>
  <si>
    <t>55004</t>
  </si>
  <si>
    <t>55006</t>
  </si>
  <si>
    <t>55012</t>
  </si>
  <si>
    <t>55011</t>
  </si>
  <si>
    <t>55015</t>
  </si>
  <si>
    <t>55022</t>
  </si>
  <si>
    <t>Crown Reserves Cont to Maintenance</t>
  </si>
  <si>
    <t>Crown Reserves Cont to Improvements</t>
  </si>
  <si>
    <t>Overseers</t>
  </si>
  <si>
    <t>North East Weight of Loads Group</t>
  </si>
  <si>
    <t>20002.1013.0166</t>
  </si>
  <si>
    <t>30000.0300.0300</t>
  </si>
  <si>
    <t>EFTpos Bank Fees</t>
  </si>
  <si>
    <t>35145.0350.0613</t>
  </si>
  <si>
    <t>35125.0380.0613</t>
  </si>
  <si>
    <t>35031.7872.0401</t>
  </si>
  <si>
    <t>35031.7871.0401</t>
  </si>
  <si>
    <t>35031.0425.0401</t>
  </si>
  <si>
    <t>35031.0350.0401</t>
  </si>
  <si>
    <t>35031.7873.0622</t>
  </si>
  <si>
    <t>35030.0680.0745</t>
  </si>
  <si>
    <t>Environmental Extension Activities</t>
  </si>
  <si>
    <t>Vehicle</t>
  </si>
  <si>
    <t>Loan Interest and Principal Repayments</t>
  </si>
  <si>
    <t>Drainage Plans</t>
  </si>
  <si>
    <t>Section 64</t>
  </si>
  <si>
    <t>Solid Waste Site Security Fence</t>
  </si>
  <si>
    <t>21022.1478.0062</t>
  </si>
  <si>
    <t>Printing and Stationery</t>
  </si>
  <si>
    <t>22220.5055.0165</t>
  </si>
  <si>
    <t>5022.8722.0945</t>
  </si>
  <si>
    <t>22265.6525.0226</t>
  </si>
  <si>
    <t>22265.6526.0226</t>
  </si>
  <si>
    <t>32325.0530.0401</t>
  </si>
  <si>
    <t>Profit on Sale Plant</t>
  </si>
  <si>
    <t>22292.6370.0800</t>
  </si>
  <si>
    <t>Water Quality Data Management</t>
  </si>
  <si>
    <t>50112.4259.0401</t>
  </si>
  <si>
    <t>Graffiti Removal</t>
  </si>
  <si>
    <t>ANCILLARY TRANSPORT SERVICES</t>
  </si>
  <si>
    <t>ELE Reserve</t>
  </si>
  <si>
    <t>Section 94 Funding Reconciliation</t>
  </si>
  <si>
    <t>Funds Movement Reconciliation</t>
  </si>
  <si>
    <t>35056.7968.0326</t>
  </si>
  <si>
    <t>35056.7968.0323</t>
  </si>
  <si>
    <t>35056.7968.0324</t>
  </si>
  <si>
    <t>35056.7968.0325</t>
  </si>
  <si>
    <t>35056.7971.0322</t>
  </si>
  <si>
    <t>Operations</t>
  </si>
  <si>
    <t>22112.3829.0180</t>
  </si>
  <si>
    <t>26060.8750.0229</t>
  </si>
  <si>
    <t>10012.3539.0270</t>
  </si>
  <si>
    <t>10012.3540.0233</t>
  </si>
  <si>
    <t>50100.3625.0401</t>
  </si>
  <si>
    <t>Operating Result before Depreciation</t>
  </si>
  <si>
    <t>Other Operating Revenues</t>
  </si>
  <si>
    <t>Sundry Expenses</t>
  </si>
  <si>
    <t xml:space="preserve">Employee Costs </t>
  </si>
  <si>
    <t>32200.4018.0401</t>
  </si>
  <si>
    <t>20002.1014.0166</t>
  </si>
  <si>
    <t>Wigmore Cleaning</t>
  </si>
  <si>
    <t>IPB Processing Fees</t>
  </si>
  <si>
    <t>Comm Infra - Fawcett Cafe Rental</t>
  </si>
  <si>
    <t>Comm Infra - S94 Recoupments</t>
  </si>
  <si>
    <t>4591.8794.0961</t>
  </si>
  <si>
    <t>Miscellaneous</t>
  </si>
  <si>
    <t>Hardware Support</t>
  </si>
  <si>
    <t>Operating Grants and Contributions</t>
  </si>
  <si>
    <t>35058</t>
  </si>
  <si>
    <t>22290.7206.0031</t>
  </si>
  <si>
    <t>22290.7208.0040</t>
  </si>
  <si>
    <t>22292.7248.0270</t>
  </si>
  <si>
    <t>Monitoring Speed Zones and Counts</t>
  </si>
  <si>
    <t>Wigmore Insurance</t>
  </si>
  <si>
    <t>Wigmore Rates</t>
  </si>
  <si>
    <t>32344.6922.0401</t>
  </si>
  <si>
    <t>32344.6923.0401</t>
  </si>
  <si>
    <t>Operating Result</t>
  </si>
  <si>
    <t>Sub Total WUEA</t>
  </si>
  <si>
    <t>Risk Management</t>
  </si>
  <si>
    <t>Add Non-operating Funds Employed</t>
  </si>
  <si>
    <t>32115.3464.0401</t>
  </si>
  <si>
    <t>31062.0415.0690</t>
  </si>
  <si>
    <t>Sporting Grounds Vandalism Expenses</t>
  </si>
  <si>
    <t>Cemeteries to</t>
  </si>
  <si>
    <t>Percentage Growth</t>
  </si>
  <si>
    <t>Fire Control Expenses</t>
  </si>
  <si>
    <t>Interest on Loans - Dog Control</t>
  </si>
  <si>
    <t>2010.3115.0401</t>
  </si>
  <si>
    <t>32364.7349.0401</t>
  </si>
  <si>
    <t>Regional Road 7734 Maintenance</t>
  </si>
  <si>
    <t>Regional Road 7735 Maintenance</t>
  </si>
  <si>
    <t>26060.8504.0226</t>
  </si>
  <si>
    <t>26060.8505.0226</t>
  </si>
  <si>
    <t>26060.8507.0226</t>
  </si>
  <si>
    <t>Unrestricted Current Ratio - General Fund</t>
  </si>
  <si>
    <t>32255.5130.0401</t>
  </si>
  <si>
    <t>Other Community Services</t>
  </si>
  <si>
    <t>Telephone</t>
  </si>
  <si>
    <t>Electricity</t>
  </si>
  <si>
    <t xml:space="preserve">Vehicle Running Costs </t>
  </si>
  <si>
    <t>Office Cleaning</t>
  </si>
  <si>
    <t>Software Support</t>
  </si>
  <si>
    <t>Street Lighting</t>
  </si>
  <si>
    <t>Footpaths Maintenance</t>
  </si>
  <si>
    <t>Interest on Loans Ballina Pool</t>
  </si>
  <si>
    <t xml:space="preserve">Advertising </t>
  </si>
  <si>
    <t>Roads and Bridges</t>
  </si>
  <si>
    <t>Depreciation - Community Centres</t>
  </si>
  <si>
    <t>31080.0300.0300</t>
  </si>
  <si>
    <t>Sharp Safe Program</t>
  </si>
  <si>
    <t>Audit Costs</t>
  </si>
  <si>
    <t>22260.6365.0167</t>
  </si>
  <si>
    <t>Development Services Sundry Income</t>
  </si>
  <si>
    <t>Opening</t>
  </si>
  <si>
    <t>Centre Sales and Reservations</t>
  </si>
  <si>
    <t>Movement in Reserves  - Increase / (Decrease)</t>
  </si>
  <si>
    <t>Bookings and Exhibitions</t>
  </si>
  <si>
    <t>Hazard Reduction</t>
  </si>
  <si>
    <t>Wardell Cemetery</t>
  </si>
  <si>
    <t>32114.3460.0401</t>
  </si>
  <si>
    <t>Rural Road Sealed Operations</t>
  </si>
  <si>
    <t>Rural Road Sealed Maintenance</t>
  </si>
  <si>
    <t>Gravel Roads Operations</t>
  </si>
  <si>
    <t>Gravel Roads Maintenance</t>
  </si>
  <si>
    <t>32119.3468.0401</t>
  </si>
  <si>
    <t>32240.3460.0401</t>
  </si>
  <si>
    <t>Loan Funds and Long Term Debtors</t>
  </si>
  <si>
    <t>Water Meter Special Readings</t>
  </si>
  <si>
    <t>Depreciation - Fire Control</t>
  </si>
  <si>
    <t>Subtract Income Not Involving a Flow of Funds</t>
  </si>
  <si>
    <t>Repayments</t>
  </si>
  <si>
    <t>New Loans</t>
  </si>
  <si>
    <t>Cyclist Signs</t>
  </si>
  <si>
    <t>Long Service Leave</t>
  </si>
  <si>
    <t>Sick Leave</t>
  </si>
  <si>
    <t>Section 94 Closing Balance</t>
  </si>
  <si>
    <t>Training, Development and Staff Support</t>
  </si>
  <si>
    <t>50010.0435.0700</t>
  </si>
  <si>
    <t>Swimming Pools - Inspections</t>
  </si>
  <si>
    <t>State Conference Costs</t>
  </si>
  <si>
    <t>Depreciation - Emergency Services</t>
  </si>
  <si>
    <t>Sub Total</t>
  </si>
  <si>
    <t>Precinct 2 Lennox to Shag Rock</t>
  </si>
  <si>
    <t>Transfer from Reserves</t>
  </si>
  <si>
    <t>Wollongbar - Fields Development</t>
  </si>
  <si>
    <t>Recreational Water Quality Monitoring</t>
  </si>
  <si>
    <t>35005.0330.0617</t>
  </si>
  <si>
    <t>Mayoral Allowance</t>
  </si>
  <si>
    <t>Operations to</t>
  </si>
  <si>
    <t>Capital Works from</t>
  </si>
  <si>
    <t>Regional Roads Signs &amp; Lines</t>
  </si>
  <si>
    <t>32250.4233.0401</t>
  </si>
  <si>
    <t>Rates Abandoned Residential</t>
  </si>
  <si>
    <t>Sewer - Loan Repayment Schedule - Ten Year Forward Plan</t>
  </si>
  <si>
    <t>12000.4501.0043</t>
  </si>
  <si>
    <t>12004.4540.0190</t>
  </si>
  <si>
    <t>12004.4540.0193</t>
  </si>
  <si>
    <t>State Roads Ordered Works</t>
  </si>
  <si>
    <t>Waste Charges</t>
  </si>
  <si>
    <t>Water Monitoring</t>
  </si>
  <si>
    <t>Governance</t>
  </si>
  <si>
    <t>30003.1024.0401</t>
  </si>
  <si>
    <t>32262.5372.0401</t>
  </si>
  <si>
    <t>Disability Training</t>
  </si>
  <si>
    <t>32279.5740.0401</t>
  </si>
  <si>
    <t>32279.5757.0401</t>
  </si>
  <si>
    <t>Biodiversity Fund Lennox</t>
  </si>
  <si>
    <t>32280.5758.0401</t>
  </si>
  <si>
    <t>Emigrant Creek Pumping Station</t>
  </si>
  <si>
    <t>26020.0100.0011</t>
  </si>
  <si>
    <t>26020.0100.0012</t>
  </si>
  <si>
    <t>26020.0100.0038</t>
  </si>
  <si>
    <t>Employee Leave Entitlements</t>
  </si>
  <si>
    <t>Caravan Park Licence Fees</t>
  </si>
  <si>
    <t>Capital Grants</t>
  </si>
  <si>
    <t>20001.1001.0061</t>
  </si>
  <si>
    <t>FINANCIAL SERVICES</t>
  </si>
  <si>
    <t>Job No.</t>
  </si>
  <si>
    <t>Surf Life Saving Services</t>
  </si>
  <si>
    <t>4086.8692.0960</t>
  </si>
  <si>
    <t>Farmland Rate</t>
  </si>
  <si>
    <t>Gain / (Loss) on Disposal of Assets</t>
  </si>
  <si>
    <t>Ledger</t>
  </si>
  <si>
    <t>31042.1651.0401</t>
  </si>
  <si>
    <t>31042.1652.0401</t>
  </si>
  <si>
    <t>32242.3460.0401</t>
  </si>
  <si>
    <t>32248.3460.0401</t>
  </si>
  <si>
    <t>Amphitheatre M &amp; R</t>
  </si>
  <si>
    <t>35110.2250.0401</t>
  </si>
  <si>
    <t>35110.0415.0690</t>
  </si>
  <si>
    <t>35110.0420.0401</t>
  </si>
  <si>
    <t>35145.8773.0980</t>
  </si>
  <si>
    <t>12014.4534.0226</t>
  </si>
  <si>
    <t>12014.4535.0270</t>
  </si>
  <si>
    <t>55012.4615.0647</t>
  </si>
  <si>
    <t>55012.4616.0647</t>
  </si>
  <si>
    <t>Water Assumptions</t>
  </si>
  <si>
    <t>Waste Assumptions</t>
  </si>
  <si>
    <t>ASSUMPTIONS APPLIED</t>
  </si>
  <si>
    <t>Interest on Loans - Flat Rock</t>
  </si>
  <si>
    <t>Overheads to Airport</t>
  </si>
  <si>
    <t>Community Services</t>
  </si>
  <si>
    <t>Urban Roads</t>
  </si>
  <si>
    <t>Waste Non Domestic</t>
  </si>
  <si>
    <t>Animal Control</t>
  </si>
  <si>
    <t>Service Availability Charge Non-Residential</t>
  </si>
  <si>
    <t>Sewer Charges - Usage Non Residential</t>
  </si>
  <si>
    <t>Consumer Price Index (%)</t>
  </si>
  <si>
    <t>10011.3525.0091</t>
  </si>
  <si>
    <t>55000.4594.0401</t>
  </si>
  <si>
    <t>Unused Loan Funds</t>
  </si>
  <si>
    <t>32312.6190.0401</t>
  </si>
  <si>
    <t>User Charges</t>
  </si>
  <si>
    <t>4059.5809.0960</t>
  </si>
  <si>
    <t>21021.1474.0062</t>
  </si>
  <si>
    <t>Total Adjustments</t>
  </si>
  <si>
    <t xml:space="preserve">Interest on Loans - Town Centres </t>
  </si>
  <si>
    <t>Medical Examinations</t>
  </si>
  <si>
    <t>30023.0300.0300</t>
  </si>
  <si>
    <t>30023.0350.0401</t>
  </si>
  <si>
    <t>30023.0425.0401</t>
  </si>
  <si>
    <t>Civic Functions and Related Activities</t>
  </si>
  <si>
    <t>Sundry Other</t>
  </si>
  <si>
    <t>26021.0100.0022</t>
  </si>
  <si>
    <t>32265.5385.0401</t>
  </si>
  <si>
    <t xml:space="preserve">Radio Tower Sites </t>
  </si>
  <si>
    <t>General Purpose Grants</t>
  </si>
  <si>
    <t>Fringe Benefits Tax</t>
  </si>
  <si>
    <t>Subdivision Fees</t>
  </si>
  <si>
    <t>Subdivision Fees - Final Plan Fees</t>
  </si>
  <si>
    <t>26005.7695.0138</t>
  </si>
  <si>
    <t>26005.7696.0231</t>
  </si>
  <si>
    <t>26005.7697.0231</t>
  </si>
  <si>
    <t>Straying Livestock</t>
  </si>
  <si>
    <t>Kingsford Smith Park</t>
  </si>
  <si>
    <t>Sewerage Services - Management</t>
  </si>
  <si>
    <t>N/A</t>
  </si>
  <si>
    <t>Sect 64</t>
  </si>
  <si>
    <t>Reserves Movement - Increase / (Decrease)</t>
  </si>
  <si>
    <t>Civil Services - General</t>
  </si>
  <si>
    <t>21040.1638.0091</t>
  </si>
  <si>
    <t>21040.1639.0091</t>
  </si>
  <si>
    <t>Council Properties - Residential</t>
  </si>
  <si>
    <t>Markets and Special Events</t>
  </si>
  <si>
    <t>Election</t>
  </si>
  <si>
    <t>Plant</t>
  </si>
  <si>
    <t>50005.3582.0323</t>
  </si>
  <si>
    <t>50005.3582.0324</t>
  </si>
  <si>
    <t>Funding Source 2020/21</t>
  </si>
  <si>
    <t>Balance O/S</t>
  </si>
  <si>
    <t>End O/S</t>
  </si>
  <si>
    <t>Licence Fees</t>
  </si>
  <si>
    <t>Sealed Rural Roads</t>
  </si>
  <si>
    <t>Rental Old Terminal Building</t>
  </si>
  <si>
    <t>Marom Creek Pumping Station</t>
  </si>
  <si>
    <t>35051.7949.0342</t>
  </si>
  <si>
    <t>35051.7950.0340</t>
  </si>
  <si>
    <t>35052.7952.0401</t>
  </si>
  <si>
    <t>35050.0300.0300</t>
  </si>
  <si>
    <t>32266.5400.0401</t>
  </si>
  <si>
    <t>32266.5401.0300</t>
  </si>
  <si>
    <t>32267.5420.0401</t>
  </si>
  <si>
    <t>32267.5422.0401</t>
  </si>
  <si>
    <t>2013/2014</t>
  </si>
  <si>
    <t>Private Works</t>
  </si>
  <si>
    <t>Extra Charges</t>
  </si>
  <si>
    <t>Sources of Funds for Capital Expenditure</t>
  </si>
  <si>
    <t>Toilet Cleaning</t>
  </si>
  <si>
    <t>Toilet Maintenance</t>
  </si>
  <si>
    <t>Regional Roads M &amp; I</t>
  </si>
  <si>
    <t>50005.4758.0422</t>
  </si>
  <si>
    <t>32130.4226.0621</t>
  </si>
  <si>
    <t>2014/15</t>
  </si>
  <si>
    <t>Building</t>
  </si>
  <si>
    <t>Long Service Leave Contributions</t>
  </si>
  <si>
    <t>Domestic Waste</t>
  </si>
  <si>
    <t>Loan Reconciliation</t>
  </si>
  <si>
    <t>Principal as per Debt Sheet</t>
  </si>
  <si>
    <t>Principal as per Cash Gen</t>
  </si>
  <si>
    <t>Field Staff Meetings</t>
  </si>
  <si>
    <t>Depot Two - Stockpiles</t>
  </si>
  <si>
    <t>Depot and Store</t>
  </si>
  <si>
    <t>Chemicals</t>
  </si>
  <si>
    <t>22200.4000.0116</t>
  </si>
  <si>
    <t>35120.0300.0300</t>
  </si>
  <si>
    <t>Public Events and Rubbish Clean-Ups</t>
  </si>
  <si>
    <t>22260.4210.0233</t>
  </si>
  <si>
    <t>Section 94 Contributions Collected</t>
  </si>
  <si>
    <t>2010.3111.0401</t>
  </si>
  <si>
    <t>Bore Pump Lindendale Road</t>
  </si>
  <si>
    <t>35051.7948.0342</t>
  </si>
  <si>
    <t>32364.7353.0401</t>
  </si>
  <si>
    <t>Education Facility</t>
  </si>
  <si>
    <t>32020.0350.0501</t>
  </si>
  <si>
    <t>4096.4177.0960</t>
  </si>
  <si>
    <t>4596.4179.0961</t>
  </si>
  <si>
    <t>32364.7348.0690</t>
  </si>
  <si>
    <t>Unwinding of Interest Free Loan</t>
  </si>
  <si>
    <t>Annual Slippage and Overhaul</t>
  </si>
  <si>
    <t>7005.3870.0401</t>
  </si>
  <si>
    <t>Interest on S64 Transfer To Reserve</t>
  </si>
  <si>
    <t>Working Capital - Increase / (Decrease)</t>
  </si>
  <si>
    <t>Deposit Tyres</t>
  </si>
  <si>
    <t>32342.6899.0401</t>
  </si>
  <si>
    <t>32342.6900.0401</t>
  </si>
  <si>
    <t>32342.6901.0401</t>
  </si>
  <si>
    <t>32344.6921.0401</t>
  </si>
  <si>
    <t>Bush Fire Prevention</t>
  </si>
  <si>
    <t>Heavy Vehicle - Teven Bridge Loan</t>
  </si>
  <si>
    <t>Developer Contributions (Section 64)</t>
  </si>
  <si>
    <t>Ground Maintenance</t>
  </si>
  <si>
    <t>Water Backflow Prevention Device Testing</t>
  </si>
  <si>
    <t>12012.4527.0091</t>
  </si>
  <si>
    <t>12014.4533.0226</t>
  </si>
  <si>
    <t>32342.6897.0401</t>
  </si>
  <si>
    <t>32342.6898.0401</t>
  </si>
  <si>
    <t>2230.7404.8800</t>
  </si>
  <si>
    <t>4062.6292.0960</t>
  </si>
  <si>
    <t>2013/14</t>
  </si>
  <si>
    <t xml:space="preserve">Telephone </t>
  </si>
  <si>
    <t>Uniforms</t>
  </si>
  <si>
    <t>Ferry Income Season Tickets</t>
  </si>
  <si>
    <t>35120.0504.0347</t>
  </si>
  <si>
    <t>55000.0504.0347</t>
  </si>
  <si>
    <t>50000.0504.0347</t>
  </si>
  <si>
    <t>35040.0328.0343</t>
  </si>
  <si>
    <t>21040.1630.0091</t>
  </si>
  <si>
    <t>Disposal Of Derelict Vehicle</t>
  </si>
  <si>
    <t>Civica Software Licence</t>
  </si>
  <si>
    <t>FINANCIAL SERVICES - GENERAL PURPOSE REVENUES</t>
  </si>
  <si>
    <t>22012.2433.0191</t>
  </si>
  <si>
    <t>Flat Rock Overheads</t>
  </si>
  <si>
    <t>Increase / (Decrease) in Leave Entitlements</t>
  </si>
  <si>
    <t>12004.4541.0192</t>
  </si>
  <si>
    <t>32348.7018.0401</t>
  </si>
  <si>
    <t>32348.7019.0401</t>
  </si>
  <si>
    <t>State Roads - Preservation Porgram</t>
  </si>
  <si>
    <t>Sundry Fees and Charges</t>
  </si>
  <si>
    <t>Consumption Non-Residential</t>
  </si>
  <si>
    <t>Contribution to NEWLOG</t>
  </si>
  <si>
    <t>4070.7145.0960</t>
  </si>
  <si>
    <t>4570.7155.0961</t>
  </si>
  <si>
    <t>4072.7414.0960</t>
  </si>
  <si>
    <t>4572.7424.0961</t>
  </si>
  <si>
    <t>4110.3912.0960</t>
  </si>
  <si>
    <t>4110.3911.0960</t>
  </si>
  <si>
    <t>4113.4992.0960</t>
  </si>
  <si>
    <t>Less Capital Expenditure</t>
  </si>
  <si>
    <t xml:space="preserve">Less Capital Expenditure </t>
  </si>
  <si>
    <t>32340.0415.0690</t>
  </si>
  <si>
    <t>Reserves - Internally Restricted - Increase / (Decrease)</t>
  </si>
  <si>
    <t xml:space="preserve">Councillors </t>
  </si>
  <si>
    <t>(10 year fixed)</t>
  </si>
  <si>
    <t>(5 year fixed)</t>
  </si>
  <si>
    <t>Workshop</t>
  </si>
  <si>
    <t>Movements</t>
  </si>
  <si>
    <t>PROPERTY MANAGEMENT</t>
  </si>
  <si>
    <t xml:space="preserve">Capital Income </t>
  </si>
  <si>
    <t>Gain on Sale of Plant and Equipment</t>
  </si>
  <si>
    <t>Maintenance and Working Expenses</t>
  </si>
  <si>
    <t>EFTPOS Fees</t>
  </si>
  <si>
    <t>ESTIMATES</t>
  </si>
  <si>
    <t>Security Charges Jet Airlines</t>
  </si>
  <si>
    <t>32320.6400.0980</t>
  </si>
  <si>
    <t>32320.0435.0690</t>
  </si>
  <si>
    <t>Growth Rate for Non-Residential Connections %</t>
  </si>
  <si>
    <t>State Government Levy</t>
  </si>
  <si>
    <t>Environmental Health</t>
  </si>
  <si>
    <t>35125.4134.0401</t>
  </si>
  <si>
    <t>35125.4135.0401</t>
  </si>
  <si>
    <t>35125.4136.0401</t>
  </si>
  <si>
    <t>35125.4137.0401</t>
  </si>
  <si>
    <t>35125.4138.0300</t>
  </si>
  <si>
    <t>35125.4139.0300</t>
  </si>
  <si>
    <t>35125.4140.0401</t>
  </si>
  <si>
    <t>2020/2021</t>
  </si>
  <si>
    <t>55020.4715.0401</t>
  </si>
  <si>
    <t>35051.7951.0300</t>
  </si>
  <si>
    <t>35052.7957.0401</t>
  </si>
  <si>
    <t>Clay Lining of Bays Garbage Depot</t>
  </si>
  <si>
    <t>22260.6370.0800</t>
  </si>
  <si>
    <t>Stock Purchases</t>
  </si>
  <si>
    <t>Agents Fees - Long Service Payments</t>
  </si>
  <si>
    <t>Superannuation</t>
  </si>
  <si>
    <t>Fidelity Guarantee</t>
  </si>
  <si>
    <t>North Ballina - New Pumping Station</t>
  </si>
  <si>
    <t>Byron Street</t>
  </si>
  <si>
    <t>2024.4347.0401</t>
  </si>
  <si>
    <t>32021.2452.0650</t>
  </si>
  <si>
    <t>Airport Car Parking Fines</t>
  </si>
  <si>
    <t>Lease, Contract and Legal Expenses</t>
  </si>
  <si>
    <t>Operating Result - Surplus / (Deficit)</t>
  </si>
  <si>
    <t>Computer Equipment</t>
  </si>
  <si>
    <t>Postage and Freight</t>
  </si>
  <si>
    <t>Financial Services - General Purpose Revenues</t>
  </si>
  <si>
    <t>32310.0530.0401</t>
  </si>
  <si>
    <t>Bridges</t>
  </si>
  <si>
    <t>32095.3064.0401</t>
  </si>
  <si>
    <t>55022.6701.0401</t>
  </si>
  <si>
    <t>50113.6701.0401</t>
  </si>
  <si>
    <t>32361.6720.0401</t>
  </si>
  <si>
    <t>Statewide Mutual Bonus Refund</t>
  </si>
  <si>
    <t>Approach Survey</t>
  </si>
  <si>
    <t>(continued on next page)</t>
  </si>
  <si>
    <t>Diesel Fuel Rebate - On Road</t>
  </si>
  <si>
    <t>Purchase of Water</t>
  </si>
  <si>
    <t>Administrative Services</t>
  </si>
  <si>
    <t>35120.0425.0401</t>
  </si>
  <si>
    <t>35125.0420.0401</t>
  </si>
  <si>
    <t>35125.0365.0422</t>
  </si>
  <si>
    <t>35125.0415.0690</t>
  </si>
  <si>
    <t>35125.0430.0401</t>
  </si>
  <si>
    <t>35125.4130.0401</t>
  </si>
  <si>
    <t xml:space="preserve">Co-op Advertising and Promotions </t>
  </si>
  <si>
    <t>ASSUMPTIONS</t>
  </si>
  <si>
    <t>31083.1963.0401</t>
  </si>
  <si>
    <t>31083.1969.0422</t>
  </si>
  <si>
    <t>31080.0300.0340</t>
  </si>
  <si>
    <t>32361.7322.0401</t>
  </si>
  <si>
    <t>32361.0435.0700</t>
  </si>
  <si>
    <t>32364.7345.0690</t>
  </si>
  <si>
    <t>32364.7346.0401</t>
  </si>
  <si>
    <t>35145.0510.0401</t>
  </si>
  <si>
    <t>35145.0415.0690</t>
  </si>
  <si>
    <t>35145.0680.0745</t>
  </si>
  <si>
    <t>32101.3082.0401</t>
  </si>
  <si>
    <t>32101.3084.0401</t>
  </si>
  <si>
    <t>Computer Software</t>
  </si>
  <si>
    <t>Rates Control</t>
  </si>
  <si>
    <t>Package Certificates</t>
  </si>
  <si>
    <t>26070.8621.0950</t>
  </si>
  <si>
    <t>Domestic Waste Mgmt Vacant Land</t>
  </si>
  <si>
    <t>Public Toilets</t>
  </si>
  <si>
    <t>Crown Reserves</t>
  </si>
  <si>
    <t>Quarry Operations</t>
  </si>
  <si>
    <t>5010.0945.0945</t>
  </si>
  <si>
    <t>5012.0945.0945</t>
  </si>
  <si>
    <t>5003.0945.0945</t>
  </si>
  <si>
    <t>5001.0945.0945</t>
  </si>
  <si>
    <t>5030.0945.0945</t>
  </si>
  <si>
    <t>5007.0945.0945</t>
  </si>
  <si>
    <t>32270.5469.0401</t>
  </si>
  <si>
    <t>32330.0390.0401</t>
  </si>
  <si>
    <t>Alstonville Swimming Complex</t>
  </si>
  <si>
    <t>Boat Ramps</t>
  </si>
  <si>
    <t>OPERATING REVENUES</t>
  </si>
  <si>
    <t>22230.5241.0167</t>
  </si>
  <si>
    <t>Inspections Food Premises</t>
  </si>
  <si>
    <t>Section 64 and 94 Contributions</t>
  </si>
  <si>
    <t>Cash Reserves - Increase / (Decrease)</t>
  </si>
  <si>
    <t xml:space="preserve">Wastewater Reserves </t>
  </si>
  <si>
    <t>35056</t>
  </si>
  <si>
    <t>35057</t>
  </si>
  <si>
    <t>32312.6162.0401</t>
  </si>
  <si>
    <t>32312.6164.0401</t>
  </si>
  <si>
    <t>Less: Capital Expenses</t>
  </si>
  <si>
    <t>30023.0375.0401</t>
  </si>
  <si>
    <t>30023.1157.0401</t>
  </si>
  <si>
    <t>Southern Cross Masterplan</t>
  </si>
  <si>
    <t>Overheads to Waste Management</t>
  </si>
  <si>
    <t>Certificate Under Section 149</t>
  </si>
  <si>
    <t>Newlog</t>
  </si>
  <si>
    <t>Deep Drainage Systems</t>
  </si>
  <si>
    <t>Other Costs</t>
  </si>
  <si>
    <t>Ferry Income Toll Fees Council</t>
  </si>
  <si>
    <t>Office and Other Expenses</t>
  </si>
  <si>
    <t>Waste - Domestic Waste Management</t>
  </si>
  <si>
    <t>Camping Ground</t>
  </si>
  <si>
    <t>3900.8976.8800</t>
  </si>
  <si>
    <t>Ballina - Other</t>
  </si>
  <si>
    <t>32312.6182.0401</t>
  </si>
  <si>
    <t>32312.6184.0401</t>
  </si>
  <si>
    <t>31083.1971.0639</t>
  </si>
  <si>
    <t>Regional Companion Animal C'tee</t>
  </si>
  <si>
    <t>Interest on Loans - Ballina</t>
  </si>
  <si>
    <t>Building Inspection Fees</t>
  </si>
  <si>
    <t>2011/12</t>
  </si>
  <si>
    <t>Business Rate</t>
  </si>
  <si>
    <t>10000.3500.0042</t>
  </si>
  <si>
    <t>10000.3501.0042</t>
  </si>
  <si>
    <t>10010.3512.0102</t>
  </si>
  <si>
    <t>10010.3513.0102</t>
  </si>
  <si>
    <t>Council Properties - Commercial</t>
  </si>
  <si>
    <t>35000.0350.0401</t>
  </si>
  <si>
    <t>31000.0350.0501</t>
  </si>
  <si>
    <t>31000.1311.0421</t>
  </si>
  <si>
    <t>Less Operating Expenses</t>
  </si>
  <si>
    <t>30023.4144.0647</t>
  </si>
  <si>
    <t>30023.0415.0690</t>
  </si>
  <si>
    <t>30023.0420.0401</t>
  </si>
  <si>
    <t>35052.7955.0335</t>
  </si>
  <si>
    <t>35052.7955.0334</t>
  </si>
  <si>
    <t>35052.7954.0300</t>
  </si>
  <si>
    <t>35052.7953.0401</t>
  </si>
  <si>
    <t>35080.0680.0745</t>
  </si>
  <si>
    <t>35110.0680.0745</t>
  </si>
  <si>
    <t>Cemeteries from</t>
  </si>
  <si>
    <t>Plant Operations to</t>
  </si>
  <si>
    <t>4064.6465.0960</t>
  </si>
  <si>
    <t>4564.6475.0961</t>
  </si>
  <si>
    <t>4066.6536.0960</t>
  </si>
  <si>
    <t>Debt Servicing</t>
  </si>
  <si>
    <t>Dometic Waste Management</t>
  </si>
  <si>
    <t>Aircraft Movement Area</t>
  </si>
  <si>
    <t>Donations</t>
  </si>
  <si>
    <t>Rate Revenues</t>
  </si>
  <si>
    <t>1998.4393.0401</t>
  </si>
  <si>
    <t>21040.1641.0222</t>
  </si>
  <si>
    <t>Crown Properties Rental</t>
  </si>
  <si>
    <t>Crown Properties Expenses</t>
  </si>
  <si>
    <t>4086.8809.0960</t>
  </si>
  <si>
    <t>4590.8816.0961</t>
  </si>
  <si>
    <t>4591.8656.0961</t>
  </si>
  <si>
    <t>4091.8650.0960</t>
  </si>
  <si>
    <t>4533.3378.0961</t>
  </si>
  <si>
    <t>Alstonville Cemetery</t>
  </si>
  <si>
    <t>Rous Cemetry</t>
  </si>
  <si>
    <t>Tintenbar Cemetery</t>
  </si>
  <si>
    <t>32360.0350.0401</t>
  </si>
  <si>
    <t>32360.7298.0300</t>
  </si>
  <si>
    <t>32360.0350.0613</t>
  </si>
  <si>
    <t>Subscriptions and Contributions</t>
  </si>
  <si>
    <t>Plant Charged to Collections</t>
  </si>
  <si>
    <t>Staff Broadband</t>
  </si>
  <si>
    <t>Buildings Maintenance</t>
  </si>
  <si>
    <t>Lighting, Power and Cleaning</t>
  </si>
  <si>
    <t>Other Miscellaneous Works</t>
  </si>
  <si>
    <t>Consumables &amp; Minor</t>
  </si>
  <si>
    <t>Comm Infra - ARC (50%) Costs</t>
  </si>
  <si>
    <t>4091.8702.0960</t>
  </si>
  <si>
    <t>32330.0415.0690</t>
  </si>
  <si>
    <t>Transfers from / (to) External Reserves</t>
  </si>
  <si>
    <t>Pine Avenue Fencing</t>
  </si>
  <si>
    <t>Marom Creek Riparian</t>
  </si>
  <si>
    <t>50109.3697.0401</t>
  </si>
  <si>
    <t>50109.3699.0401</t>
  </si>
  <si>
    <t>2011/2012</t>
  </si>
  <si>
    <t>2012/2013</t>
  </si>
  <si>
    <t xml:space="preserve">Waste Management Business </t>
  </si>
  <si>
    <t>Pensioner Rates Subsidy General Rate</t>
  </si>
  <si>
    <t>Old Depot Site - Licence Fee</t>
  </si>
  <si>
    <t>32286.5900.0401</t>
  </si>
  <si>
    <t>32285.0425.0401</t>
  </si>
  <si>
    <t>General Manager</t>
  </si>
  <si>
    <t>Richmond Room</t>
  </si>
  <si>
    <t xml:space="preserve">Ballina </t>
  </si>
  <si>
    <t>32300.5997.0401</t>
  </si>
  <si>
    <t>32300.5998.0401</t>
  </si>
  <si>
    <t>32300.5999.0401</t>
  </si>
  <si>
    <t>Ancillary Transport Services</t>
  </si>
  <si>
    <t>35058.7980.0985</t>
  </si>
  <si>
    <t>35084.8686.0401</t>
  </si>
  <si>
    <t>35084.8687.0401</t>
  </si>
  <si>
    <t>Gap Road</t>
  </si>
  <si>
    <t>Recycling Domestic Urban and Rural</t>
  </si>
  <si>
    <t>Nursery Operations</t>
  </si>
  <si>
    <t>32280.5749.0401</t>
  </si>
  <si>
    <t>2020/21</t>
  </si>
  <si>
    <t>Variance</t>
  </si>
  <si>
    <t>26130.8883.0226</t>
  </si>
  <si>
    <t>26130.8879.0138</t>
  </si>
  <si>
    <t>26130.8880.0233</t>
  </si>
  <si>
    <t>26130.8881.0231</t>
  </si>
  <si>
    <t>26130.8882.0235</t>
  </si>
  <si>
    <t>31041.1649.0401</t>
  </si>
  <si>
    <t>Wharves and Jetties</t>
  </si>
  <si>
    <t>30020.1153.0635</t>
  </si>
  <si>
    <t>30021.1154.0401</t>
  </si>
  <si>
    <t>30021.1155.0401</t>
  </si>
  <si>
    <t>30021.1156.0401</t>
  </si>
  <si>
    <t>Operating Surplus - Surplus / (Deficit)</t>
  </si>
  <si>
    <t>Recycling Kerb Side Clean Up</t>
  </si>
  <si>
    <t>Recycling Centre Fees</t>
  </si>
  <si>
    <t>Loss on Sale of Plant</t>
  </si>
  <si>
    <t xml:space="preserve">Wigmore Sundry </t>
  </si>
  <si>
    <t>32286.5903.0401</t>
  </si>
  <si>
    <t>East Ballina Niche Walls</t>
  </si>
  <si>
    <t>30000.0350.0501</t>
  </si>
  <si>
    <t>Asset Description</t>
  </si>
  <si>
    <t>85000-004</t>
  </si>
  <si>
    <t>32001.2280.0501</t>
  </si>
  <si>
    <t>Store Administration Supplies</t>
  </si>
  <si>
    <t>Local Roads Signs</t>
  </si>
  <si>
    <t>32132.4232.0401</t>
  </si>
  <si>
    <t>Local Roads Lines</t>
  </si>
  <si>
    <t>Lennox to Pat Morton</t>
  </si>
  <si>
    <t>Recreational Walk Preconstruction</t>
  </si>
  <si>
    <t>22271.6629.0110</t>
  </si>
  <si>
    <t>22271.6632.0110</t>
  </si>
  <si>
    <t>32348.7042.0401</t>
  </si>
  <si>
    <t>32348.7043.0401</t>
  </si>
  <si>
    <t>32348.7044.0401</t>
  </si>
  <si>
    <t>32348.7045.0401</t>
  </si>
  <si>
    <t>32348.7047.0401</t>
  </si>
  <si>
    <t>32348.7048.0401</t>
  </si>
  <si>
    <t>32348.7049.0401</t>
  </si>
  <si>
    <t>32348.7050.0401</t>
  </si>
  <si>
    <t>32348.7051.0401</t>
  </si>
  <si>
    <t>Less Sect 94 Contribution to Teven Bridges Loan</t>
  </si>
  <si>
    <t>Variance - Surplus / (Shortfall)</t>
  </si>
  <si>
    <t>Building Certificates</t>
  </si>
  <si>
    <t>4566.6546.0961</t>
  </si>
  <si>
    <t>Loan Income (Cap Income to Debt Gen)</t>
  </si>
  <si>
    <t>7508.4931.0401</t>
  </si>
  <si>
    <t>Cemeteries</t>
  </si>
  <si>
    <t>Dog Pound Cleaning</t>
  </si>
  <si>
    <t>30000.0350.0401</t>
  </si>
  <si>
    <t xml:space="preserve">Salaries and Oncosts </t>
  </si>
  <si>
    <t>32023.2468.0300</t>
  </si>
  <si>
    <t>32023.2455.0401</t>
  </si>
  <si>
    <t>Total Movement in Reserves (incl Section 64)</t>
  </si>
  <si>
    <t>12002.4519.0156</t>
  </si>
  <si>
    <t>55000.0300.0300</t>
  </si>
  <si>
    <t>RURAL FIRE SERVICE</t>
  </si>
  <si>
    <t>Loss on Disposal of Assets</t>
  </si>
  <si>
    <t>Waste - Non-domestic</t>
  </si>
  <si>
    <t>Town Centres</t>
  </si>
  <si>
    <t>Employee Costs</t>
  </si>
  <si>
    <t>Unwinding Interest Free Loans</t>
  </si>
  <si>
    <t>21080.1951.0138</t>
  </si>
  <si>
    <t>21080.1952.0221</t>
  </si>
  <si>
    <t>21081.1953.0091</t>
  </si>
  <si>
    <t>21081.1954.0091</t>
  </si>
  <si>
    <t>21081.1955.0222</t>
  </si>
  <si>
    <t>21081.1956.0091</t>
  </si>
  <si>
    <t>21081.1957.0124</t>
  </si>
  <si>
    <t>21081.1960.0124</t>
  </si>
  <si>
    <t>Development Services</t>
  </si>
  <si>
    <t>Food Act Improvement Notice</t>
  </si>
  <si>
    <t>POEO Notice Fees</t>
  </si>
  <si>
    <t>Stormwater and Environmental Protection</t>
  </si>
  <si>
    <t>Grants and Contributions</t>
  </si>
  <si>
    <t>Capital Check</t>
  </si>
  <si>
    <t>Small Plant Purchases</t>
  </si>
  <si>
    <t>Workshop Small Plant Hire</t>
  </si>
  <si>
    <t>Unwinding of Interest Free Loan NPV</t>
  </si>
  <si>
    <t>Beach Permits 4WD Vehicles</t>
  </si>
  <si>
    <t>Total Section 94 Funds Collected</t>
  </si>
  <si>
    <t>Open Spaces Plan</t>
  </si>
  <si>
    <t>Community Facilities Plan</t>
  </si>
  <si>
    <t>Water - Loan Repayment Schedule - Ten Year Forward Plan</t>
  </si>
  <si>
    <t xml:space="preserve">Loan </t>
  </si>
  <si>
    <t xml:space="preserve">Principal </t>
  </si>
  <si>
    <t>O/S Princ</t>
  </si>
  <si>
    <t>Principal Paid</t>
  </si>
  <si>
    <t>Interest Paid</t>
  </si>
  <si>
    <t>Balances</t>
  </si>
  <si>
    <t>Loan No</t>
  </si>
  <si>
    <t>Lender</t>
  </si>
  <si>
    <t>32138.4270.0401</t>
  </si>
  <si>
    <t>32000.4144.0647</t>
  </si>
  <si>
    <t xml:space="preserve">Donations </t>
  </si>
  <si>
    <t>Fire Control Expenses RFS</t>
  </si>
  <si>
    <t>Commissions - Accommodation</t>
  </si>
  <si>
    <t>Waste Bale, Placement and Cover</t>
  </si>
  <si>
    <t>31000.0377.0405</t>
  </si>
  <si>
    <t>31040.4758.0422</t>
  </si>
  <si>
    <t>32261.0410.0635</t>
  </si>
  <si>
    <t>32261.4144.0647</t>
  </si>
  <si>
    <t>32330.4144.0647</t>
  </si>
  <si>
    <t>32330.0410.0635</t>
  </si>
  <si>
    <t>32331.4144.0647</t>
  </si>
  <si>
    <t>32331.0410.0635</t>
  </si>
  <si>
    <t>4500.2802.0961</t>
  </si>
  <si>
    <t>35125.4145.0401</t>
  </si>
  <si>
    <t>35125.4146.0401</t>
  </si>
  <si>
    <t>35125.4147.0639</t>
  </si>
  <si>
    <t>FLAT ROCK TENT PARK</t>
  </si>
  <si>
    <t>Workers Compensation</t>
  </si>
  <si>
    <t>Naval Museum</t>
  </si>
  <si>
    <t>Fuel For Tankers Fire</t>
  </si>
  <si>
    <t>Grants and Subsidies</t>
  </si>
  <si>
    <t>Reserves - External - Increase / (Decrease)</t>
  </si>
  <si>
    <t>Deposit Whitegoods</t>
  </si>
  <si>
    <t>32345.6999.0401</t>
  </si>
  <si>
    <t xml:space="preserve">% </t>
  </si>
  <si>
    <t>Various</t>
  </si>
  <si>
    <t>Operating Reserve from</t>
  </si>
  <si>
    <t>22012.2435.0191</t>
  </si>
  <si>
    <t>22012.2439.0191</t>
  </si>
  <si>
    <t>22012.2436.0191</t>
  </si>
  <si>
    <t>SP2002 - Pump Capacity Upgrade</t>
  </si>
  <si>
    <t>Oncosts Recouped - External Works</t>
  </si>
  <si>
    <t>Legal Expenses / Fines</t>
  </si>
  <si>
    <t>Hire of Cat Trap</t>
  </si>
  <si>
    <t>Rates</t>
  </si>
  <si>
    <t>Car Parking</t>
  </si>
  <si>
    <t>Public Transport</t>
  </si>
  <si>
    <t>21020.1452.0062</t>
  </si>
  <si>
    <t>21020.1455.0062</t>
  </si>
  <si>
    <t>22012.2434.0191</t>
  </si>
  <si>
    <t>Rural Roads</t>
  </si>
  <si>
    <t>32101.3079.0622</t>
  </si>
  <si>
    <t>35120.0350.0401</t>
  </si>
  <si>
    <t>32270.0425.0401</t>
  </si>
  <si>
    <t>32270.5465.0401</t>
  </si>
  <si>
    <t>2021/22</t>
  </si>
  <si>
    <t>Reserves - Internally Restricted</t>
  </si>
  <si>
    <t>Internal Overheads</t>
  </si>
  <si>
    <t>(Reserve balances carried forward on following page)</t>
  </si>
  <si>
    <t>Stormwater Charge</t>
  </si>
  <si>
    <t>Street and Gutter - Street Sweeper</t>
  </si>
  <si>
    <t>Externally Restricted</t>
  </si>
  <si>
    <t>Picnic Tables M &amp; R</t>
  </si>
  <si>
    <t>Ferry Income Toll Fees</t>
  </si>
  <si>
    <t>Pensioner Subsidy</t>
  </si>
  <si>
    <t>Interest Earned on Reserve</t>
  </si>
  <si>
    <t xml:space="preserve">Fines </t>
  </si>
  <si>
    <t>Maintenance of Scales</t>
  </si>
  <si>
    <t>Salaries and Oncosts</t>
  </si>
  <si>
    <t>85000-005</t>
  </si>
  <si>
    <t>4113.4993.0960</t>
  </si>
  <si>
    <t>4612.4999.0961</t>
  </si>
  <si>
    <t>4612.4995.0961</t>
  </si>
  <si>
    <t>32220.5099.0401</t>
  </si>
  <si>
    <t>Fill and Floor Levels Design Works</t>
  </si>
  <si>
    <t>2215.6442.8800</t>
  </si>
  <si>
    <t>Urban Roads Operations</t>
  </si>
  <si>
    <t>Urban Roads Reserves Operations</t>
  </si>
  <si>
    <t>Urban Roads Reserves Maintenance</t>
  </si>
  <si>
    <t>Urban Roads Maintenance</t>
  </si>
  <si>
    <t>32108.3471.0401</t>
  </si>
  <si>
    <t>32109.3475.0401</t>
  </si>
  <si>
    <t>32102.3094.0401</t>
  </si>
  <si>
    <t>32102.3095.0401</t>
  </si>
  <si>
    <t>Contribution to NSW Fire Brigades</t>
  </si>
  <si>
    <t>Alternate Phone Monitoring and Call out</t>
  </si>
  <si>
    <t>Ferry Operation Expenses</t>
  </si>
  <si>
    <t>Development Engineer Inspection Fee</t>
  </si>
  <si>
    <t>Accreditation</t>
  </si>
  <si>
    <t>35150.0425.0401</t>
  </si>
  <si>
    <t>Drains, Stormwater Channels Mtce</t>
  </si>
  <si>
    <t>Interest on Loans</t>
  </si>
  <si>
    <t>GENERAL MANAGER'S GROUP - SUMMARY</t>
  </si>
  <si>
    <t>Stormwater Drainage Levy From</t>
  </si>
  <si>
    <t>10004.3546.0192</t>
  </si>
  <si>
    <t>10003.3520.0155</t>
  </si>
  <si>
    <t>50000.0300.0300</t>
  </si>
  <si>
    <t>50005.3582.0322</t>
  </si>
  <si>
    <t>Funding Source 2019/20</t>
  </si>
  <si>
    <t>Plant and Equipment</t>
  </si>
  <si>
    <t>Rounding</t>
  </si>
  <si>
    <t>Amphitheatre Vandalism</t>
  </si>
  <si>
    <t>26050.7936.0229</t>
  </si>
  <si>
    <t>26123.8827.0148</t>
  </si>
  <si>
    <t>35152.8854.0401</t>
  </si>
  <si>
    <t>Tourism NSW Grant Project</t>
  </si>
  <si>
    <t>50005.7847.0420</t>
  </si>
  <si>
    <t>Ballina Swimming Complex</t>
  </si>
  <si>
    <t>Interest on Section 94 Contributions</t>
  </si>
  <si>
    <t>East Ballina Cemetery</t>
  </si>
  <si>
    <t>32020.2450.0623</t>
  </si>
  <si>
    <t>State Conference</t>
  </si>
  <si>
    <t>Sewer from Capital Refurb</t>
  </si>
  <si>
    <t>Water from Capital Refurb</t>
  </si>
  <si>
    <t>32330.6649.0640</t>
  </si>
  <si>
    <t>35125.4148.0639</t>
  </si>
  <si>
    <t>35125.4149.0401</t>
  </si>
  <si>
    <t>35125.4152.0401</t>
  </si>
  <si>
    <t>35125.4155.0401</t>
  </si>
  <si>
    <t>32331.6651.0401</t>
  </si>
  <si>
    <t>32330.0680.0745</t>
  </si>
  <si>
    <t>22280.6745.0041</t>
  </si>
  <si>
    <t>22280.6746.0041</t>
  </si>
  <si>
    <t>22281.6769.0101</t>
  </si>
  <si>
    <t>22281.6771.0233</t>
  </si>
  <si>
    <t>32266.0530.0401</t>
  </si>
  <si>
    <t>Total Section 94 Funds Held</t>
  </si>
  <si>
    <t>Funded from Revenue prior to SVs plus CPI</t>
  </si>
  <si>
    <t>4043.3344.0960</t>
  </si>
  <si>
    <t>32137.4261.0401</t>
  </si>
  <si>
    <t>32138.4268.0401</t>
  </si>
  <si>
    <t>22241.5590.0148</t>
  </si>
  <si>
    <t>21060.1801.0145</t>
  </si>
  <si>
    <t>Administration Building</t>
  </si>
  <si>
    <t>Hutley Drive</t>
  </si>
  <si>
    <t>21021.1470.0062</t>
  </si>
  <si>
    <t>21021.1471.0062</t>
  </si>
  <si>
    <t>Approach Clearing</t>
  </si>
  <si>
    <t>21040.1635.0091</t>
  </si>
  <si>
    <t>21040.1636.0091</t>
  </si>
  <si>
    <t>Flat Rock Tent Park</t>
  </si>
  <si>
    <t>Airport</t>
  </si>
  <si>
    <t>26060.8501.0226</t>
  </si>
  <si>
    <t>26060.8503.0226</t>
  </si>
  <si>
    <t>SP2012 - Pump Capacity Upgrade</t>
  </si>
  <si>
    <t>LOAN INCOME</t>
  </si>
  <si>
    <t>32322.6420.0640</t>
  </si>
  <si>
    <t>Bird Control Strategy</t>
  </si>
  <si>
    <t>Repayment of Principal on Loans</t>
  </si>
  <si>
    <t>Total - Increase / (Decrease)</t>
  </si>
  <si>
    <t>Overheads Charged to Plant</t>
  </si>
  <si>
    <t>Strategic Services</t>
  </si>
  <si>
    <t>Direct Expenses</t>
  </si>
  <si>
    <t>35015.0350.0401</t>
  </si>
  <si>
    <t>54000.8922.0322</t>
  </si>
  <si>
    <t>Comm Infra - Interest Earned</t>
  </si>
  <si>
    <t>Comm Infra - 89 Tamar St Rental</t>
  </si>
  <si>
    <t>32361.7325.0980</t>
  </si>
  <si>
    <t>32266.0530.0635</t>
  </si>
  <si>
    <t>32266.0415.0690</t>
  </si>
  <si>
    <t>32266.0530.0647</t>
  </si>
  <si>
    <t>Less Capital Purchases:</t>
  </si>
  <si>
    <t>Vermin Control</t>
  </si>
  <si>
    <t>Redundancy Payments</t>
  </si>
  <si>
    <t>22283.6822.0270</t>
  </si>
  <si>
    <t>22283.6823.0101</t>
  </si>
  <si>
    <t>32340.0350.0401</t>
  </si>
  <si>
    <t>32340.6862.0300</t>
  </si>
  <si>
    <t>32250.5126.0401</t>
  </si>
  <si>
    <t>35162.8897.0401</t>
  </si>
  <si>
    <t>2205.5488.0401</t>
  </si>
  <si>
    <t>Section 94's</t>
  </si>
  <si>
    <t>32261.0530.0401</t>
  </si>
  <si>
    <t>22260.6367.0126</t>
  </si>
  <si>
    <t>Interest on Loan (Flat Rock)</t>
  </si>
  <si>
    <t>35145.0435.0690</t>
  </si>
  <si>
    <t>Wigmore Arcade</t>
  </si>
  <si>
    <t>Engineering Services</t>
  </si>
  <si>
    <t>26061.8512.0226</t>
  </si>
  <si>
    <t>Council Properties - Commercial  and Residential</t>
  </si>
  <si>
    <t>Add Capital Grants and Contributions</t>
  </si>
  <si>
    <t>Bird Management</t>
  </si>
  <si>
    <t>35005.0340.0401</t>
  </si>
  <si>
    <t>35005.0335.0401</t>
  </si>
  <si>
    <t>50005</t>
  </si>
  <si>
    <t>50008</t>
  </si>
  <si>
    <t>50010</t>
  </si>
  <si>
    <t>50100</t>
  </si>
  <si>
    <t>Annual Leave</t>
  </si>
  <si>
    <t>Ballina Heights Drive</t>
  </si>
  <si>
    <t>32102.0516.0401</t>
  </si>
  <si>
    <t>Waste Bin Purchases</t>
  </si>
  <si>
    <t>General Fund - Loan Principal and Interest Repayments - Ten Year Forward Plan - New Projects Under Consideration</t>
  </si>
  <si>
    <t>Rates and Charges</t>
  </si>
  <si>
    <t>Markers, Cones &amp; Wind Indicators</t>
  </si>
  <si>
    <t>Airport NDB M and R</t>
  </si>
  <si>
    <t>Mulch Compost Sales</t>
  </si>
  <si>
    <t>Training Plan - Salaried Staff</t>
  </si>
  <si>
    <t>55022.4801.0401</t>
  </si>
  <si>
    <t>Plant Leasing</t>
  </si>
  <si>
    <t>Fleet Management</t>
  </si>
  <si>
    <t xml:space="preserve">Landfill Management </t>
  </si>
  <si>
    <t>Loan P &amp; I - Comm Buildings</t>
  </si>
  <si>
    <t>Reserves - Internal - Increase / (Decrease)</t>
  </si>
  <si>
    <t>35108.6652.0700</t>
  </si>
  <si>
    <t>35125.0377.0405</t>
  </si>
  <si>
    <t>35125.0410.0635</t>
  </si>
  <si>
    <t>Repayment of Loan Principal</t>
  </si>
  <si>
    <t>Contributions</t>
  </si>
  <si>
    <t>Water Mains - Leak Detection</t>
  </si>
  <si>
    <t>Regional Works Crew</t>
  </si>
  <si>
    <t xml:space="preserve">Section 94 Contributions </t>
  </si>
  <si>
    <t>Airport Emergency Exercises</t>
  </si>
  <si>
    <t>21021.1475.0062</t>
  </si>
  <si>
    <t>21021.1476.0062</t>
  </si>
  <si>
    <t>Total Capital Income from Land Sales</t>
  </si>
  <si>
    <t>Total Loan Income</t>
  </si>
  <si>
    <t>35005.0504.0347</t>
  </si>
  <si>
    <t>4610.3920.0690</t>
  </si>
  <si>
    <t>30002.1076.0401</t>
  </si>
  <si>
    <t>4001.1078.0960</t>
  </si>
  <si>
    <t>21060.1822.0145</t>
  </si>
  <si>
    <t>Fleet Management Software</t>
  </si>
  <si>
    <t>Funding Source 2018/19</t>
  </si>
  <si>
    <t>32364.7350.0401</t>
  </si>
  <si>
    <t>Fair Go</t>
  </si>
  <si>
    <t>Credit Card Surcharge</t>
  </si>
  <si>
    <t>OSSM - Annual Management Fee</t>
  </si>
  <si>
    <t>Expenditure Description</t>
  </si>
  <si>
    <t>Financial Assistance Grant</t>
  </si>
  <si>
    <t>32001.0300.0300</t>
  </si>
  <si>
    <t>32000.0510.0401</t>
  </si>
  <si>
    <t>32000.2250.0401</t>
  </si>
  <si>
    <t>Flat Rock - Managers Residence Rent</t>
  </si>
  <si>
    <t>Community Gallery - Café Lease</t>
  </si>
  <si>
    <t>2018/2019</t>
  </si>
  <si>
    <t>4591.7858.0961</t>
  </si>
  <si>
    <t>30002.0360.0401</t>
  </si>
  <si>
    <t>30002.1015.0401</t>
  </si>
  <si>
    <t>30002.1018.0401</t>
  </si>
  <si>
    <t>30003.1026.0401</t>
  </si>
  <si>
    <t>30002.1030.0401</t>
  </si>
  <si>
    <t>35006.7564.0639</t>
  </si>
  <si>
    <t>35006.7565.0639</t>
  </si>
  <si>
    <t>35006.7566.0639</t>
  </si>
  <si>
    <t>Christmas Decorations</t>
  </si>
  <si>
    <t>Transfer to Reserves</t>
  </si>
  <si>
    <t>7005.3874.0401</t>
  </si>
  <si>
    <t>Cleaning</t>
  </si>
  <si>
    <t>Abandonments</t>
  </si>
  <si>
    <t>Stormwater &amp; Env Protection</t>
  </si>
  <si>
    <t>Salaries - Overseers</t>
  </si>
  <si>
    <t>Total</t>
  </si>
  <si>
    <t>OSR - Operating Expenses</t>
  </si>
  <si>
    <t>32262.5345.0300</t>
  </si>
  <si>
    <t>Trf to Reserves</t>
  </si>
  <si>
    <t>Trf from Reserves</t>
  </si>
  <si>
    <t>Development Application Fees</t>
  </si>
  <si>
    <t>35145.8759.0401</t>
  </si>
  <si>
    <t>35145.8760.0401</t>
  </si>
  <si>
    <t>35145.8763.0401</t>
  </si>
  <si>
    <t>35145.8765.0401</t>
  </si>
  <si>
    <t>35145.8766.0401</t>
  </si>
  <si>
    <t>35145.8761.0401</t>
  </si>
  <si>
    <t>Workshop Fees</t>
  </si>
  <si>
    <t>26130.8884.0138</t>
  </si>
  <si>
    <t>32276.5648.0401</t>
  </si>
  <si>
    <t>32276.5649.0401</t>
  </si>
  <si>
    <t>Community Properties</t>
  </si>
  <si>
    <t>2019/20</t>
  </si>
  <si>
    <t xml:space="preserve">Foreshore Protection </t>
  </si>
  <si>
    <t>32264.6175.0401</t>
  </si>
  <si>
    <t>32344.6931.0401</t>
  </si>
  <si>
    <t>Public Recycling Trial</t>
  </si>
  <si>
    <t>Reserve Title</t>
  </si>
  <si>
    <t>32000.0410.0635</t>
  </si>
  <si>
    <t>32000.0415.0690</t>
  </si>
  <si>
    <t>1998.4222.0401</t>
  </si>
  <si>
    <t>1998.4350.0401</t>
  </si>
  <si>
    <t>Sewer Repairs Charge Owner</t>
  </si>
  <si>
    <t>55022.0680.0750</t>
  </si>
  <si>
    <t xml:space="preserve">Banner Hire </t>
  </si>
  <si>
    <t>Provision for Doubtful Rates and Annual Charges</t>
  </si>
  <si>
    <t>26040</t>
  </si>
  <si>
    <t>35030</t>
  </si>
  <si>
    <t>35031</t>
  </si>
  <si>
    <t>35040</t>
  </si>
  <si>
    <t>35015.0328.0343</t>
  </si>
  <si>
    <t>35000.0328.0343</t>
  </si>
  <si>
    <t>35050.0328.0343</t>
  </si>
  <si>
    <t>35150.0328.0343</t>
  </si>
  <si>
    <t>26100.4108.0135</t>
  </si>
  <si>
    <t>85000-006</t>
  </si>
  <si>
    <t>DEPRECIATION RECONCILIATION</t>
  </si>
  <si>
    <t>SUMMARY</t>
  </si>
  <si>
    <t>Add Section 94 Project Loans and Other New Road Loans</t>
  </si>
  <si>
    <t>Vehicle and Plant Replacement</t>
  </si>
  <si>
    <t>32276.5645.0401</t>
  </si>
  <si>
    <t>32276.5647.0401</t>
  </si>
  <si>
    <t>50005.0350.0401</t>
  </si>
  <si>
    <t>55002.7847.0420</t>
  </si>
  <si>
    <t>54002.0365.0422</t>
  </si>
  <si>
    <t>54002.8944.0422</t>
  </si>
  <si>
    <t>54002.0350.0401</t>
  </si>
  <si>
    <t>32312.6158.0401</t>
  </si>
  <si>
    <t>OSSM Approval to Operate (New)</t>
  </si>
  <si>
    <t>Car Rental Franchises</t>
  </si>
  <si>
    <t>Tapping Fees</t>
  </si>
  <si>
    <t>Tourism</t>
  </si>
  <si>
    <t>31083.0680.0745</t>
  </si>
  <si>
    <t>31083.1961.0401</t>
  </si>
  <si>
    <t>31083.1969.0647</t>
  </si>
  <si>
    <t>31083.1962.0401</t>
  </si>
  <si>
    <t>Superannuation (fr Teven Br Loan Res)</t>
  </si>
  <si>
    <t>4085.7993.0960</t>
  </si>
  <si>
    <t>Wigmore Arcade from</t>
  </si>
  <si>
    <t>Properties - Council Residential</t>
  </si>
  <si>
    <t>Properties - Council Investment</t>
  </si>
  <si>
    <t>RTA Works</t>
  </si>
  <si>
    <t>Sundry Office Expenses</t>
  </si>
  <si>
    <t>Purchase of Water Rous CC Ballina</t>
  </si>
  <si>
    <t>32360.7302.0622</t>
  </si>
  <si>
    <t>Net Operating Result</t>
  </si>
  <si>
    <t>Add Back Non-Cash Expense</t>
  </si>
  <si>
    <t>26100.4110.0135</t>
  </si>
  <si>
    <t>26100.4111.0135</t>
  </si>
  <si>
    <t>INFORMATION SERVICES</t>
  </si>
  <si>
    <t>Profit on Sale Assets</t>
  </si>
  <si>
    <t>Rural Road Reserves Operations</t>
  </si>
  <si>
    <t>Rural Road Reserves Maintenance</t>
  </si>
  <si>
    <t>32112.3471.0401</t>
  </si>
  <si>
    <t>Plan Printing and Sundry Income</t>
  </si>
  <si>
    <t>Salaries - Management</t>
  </si>
  <si>
    <t xml:space="preserve">Survey and Design </t>
  </si>
  <si>
    <t>Loan Income - Cap General</t>
  </si>
  <si>
    <t>2016/17</t>
  </si>
  <si>
    <t>Skatepark (Ballina) M &amp; R</t>
  </si>
  <si>
    <t>32310.0680.0745</t>
  </si>
  <si>
    <t>22260.6364.0126</t>
  </si>
  <si>
    <t>50102</t>
  </si>
  <si>
    <t>50101</t>
  </si>
  <si>
    <t>50107</t>
  </si>
  <si>
    <t>50110</t>
  </si>
  <si>
    <t>50109</t>
  </si>
  <si>
    <t>50112</t>
  </si>
  <si>
    <t>12000</t>
  </si>
  <si>
    <t>12004</t>
  </si>
  <si>
    <t>12012</t>
  </si>
  <si>
    <t>12002</t>
  </si>
  <si>
    <t>12010</t>
  </si>
  <si>
    <t>12014</t>
  </si>
  <si>
    <t>50000</t>
  </si>
  <si>
    <t>55000</t>
  </si>
  <si>
    <t>32342.6896.0640</t>
  </si>
  <si>
    <t>32342.6896.0401</t>
  </si>
  <si>
    <t>32342.6896.0300</t>
  </si>
  <si>
    <t>35145.0371.0501</t>
  </si>
  <si>
    <t>35145.0373.0601</t>
  </si>
  <si>
    <t>35055.7959.0340</t>
  </si>
  <si>
    <t>35055.7960.0300</t>
  </si>
  <si>
    <t>35055.7961.0345</t>
  </si>
  <si>
    <t>35055.7962.0340</t>
  </si>
  <si>
    <t>35055.7964.0300</t>
  </si>
  <si>
    <t>35055.7965.0401</t>
  </si>
  <si>
    <t>35056.7968.0322</t>
  </si>
  <si>
    <t>Promotion Recycling</t>
  </si>
  <si>
    <t>26114.8755.0169</t>
  </si>
  <si>
    <t>Crown Properties</t>
  </si>
  <si>
    <t>35000</t>
  </si>
  <si>
    <t>35005</t>
  </si>
  <si>
    <t>35001</t>
  </si>
  <si>
    <t>35015</t>
  </si>
  <si>
    <t>50112.3730.0401</t>
  </si>
  <si>
    <t>50112.3733.0401</t>
  </si>
  <si>
    <t>50112.3734.0401</t>
  </si>
  <si>
    <t>32261.5320.0401</t>
  </si>
  <si>
    <t>Cash Delivery Services Waste</t>
  </si>
  <si>
    <t>32340.0410.0635</t>
  </si>
  <si>
    <t>32340.0374.0640</t>
  </si>
  <si>
    <t>32360.0328.0343</t>
  </si>
  <si>
    <t>32261.0415.0690</t>
  </si>
  <si>
    <t>31042.1653.0401</t>
  </si>
  <si>
    <t>31043.1654.0401</t>
  </si>
  <si>
    <t>Legal Fees</t>
  </si>
  <si>
    <t>Indirect Expenses - Overheads</t>
  </si>
  <si>
    <t>Depreciation - Cemeteries</t>
  </si>
  <si>
    <t>Yard Maintenance</t>
  </si>
  <si>
    <t>Oncosts Salaried Staff</t>
  </si>
  <si>
    <t xml:space="preserve">Legal Expenses </t>
  </si>
  <si>
    <t>2012/13</t>
  </si>
  <si>
    <t>Water Carters</t>
  </si>
  <si>
    <t>Water Transport and Wharves</t>
  </si>
  <si>
    <t>Noxious Plants / Vermin</t>
  </si>
  <si>
    <t>BUILDING SERVICES</t>
  </si>
  <si>
    <t>DEVELOPMENT SERVICES</t>
  </si>
  <si>
    <t>Add: Capital Revenues</t>
  </si>
  <si>
    <t>Overheads allocated to Businesses</t>
  </si>
  <si>
    <t>General Fund</t>
  </si>
  <si>
    <t>32265.5386.0401</t>
  </si>
  <si>
    <t>32320.6390.0401</t>
  </si>
  <si>
    <t>35152.8844.0401</t>
  </si>
  <si>
    <t>2010.3130.0401</t>
  </si>
  <si>
    <t>Roads - Heavy Patching</t>
  </si>
  <si>
    <t>Companion Animal Registration Fees</t>
  </si>
  <si>
    <t>Impounding Expenses</t>
  </si>
  <si>
    <t>RESERVE MOVEMENTS - GENERAL FUND (cont'd)</t>
  </si>
  <si>
    <t>Air Conditioning M &amp; R</t>
  </si>
  <si>
    <t>Cash Result - Surplus / (Deficit)</t>
  </si>
  <si>
    <t>32116.3232.0401</t>
  </si>
  <si>
    <t>Investment Revenues</t>
  </si>
  <si>
    <t>32103.3101.0401</t>
  </si>
  <si>
    <t>Late Payment Fee on Sundry Debtors</t>
  </si>
  <si>
    <t>Water to Refurb</t>
  </si>
  <si>
    <t>Water to S64</t>
  </si>
  <si>
    <t>26028.7820.0270</t>
  </si>
  <si>
    <t>35020.0300.0300</t>
  </si>
  <si>
    <t>35020.7834.0613</t>
  </si>
  <si>
    <t>26000.7474.0270</t>
  </si>
  <si>
    <t>35000.0300.0300</t>
  </si>
  <si>
    <t>Grant Based Projects</t>
  </si>
  <si>
    <t>Workshops</t>
  </si>
  <si>
    <t>35162.8893.0401</t>
  </si>
  <si>
    <t>Abandoned Vehicles - Sale</t>
  </si>
  <si>
    <t>35020.7835.0613</t>
  </si>
  <si>
    <t>31083.1970.0401</t>
  </si>
  <si>
    <t>26025.7799.0140</t>
  </si>
  <si>
    <t>26025.7800.0141</t>
  </si>
  <si>
    <t>26026.7805.0190</t>
  </si>
  <si>
    <t>26026.7808.0190</t>
  </si>
  <si>
    <t>26113</t>
  </si>
  <si>
    <t>35145</t>
  </si>
  <si>
    <t>BALLINA - BYRON GATEWAY AIRPORT</t>
  </si>
  <si>
    <t>55002.4579.0322</t>
  </si>
  <si>
    <t>55002.4579.0326</t>
  </si>
  <si>
    <t>55002.4579.0323</t>
  </si>
  <si>
    <t>55002.4579.0324</t>
  </si>
  <si>
    <t>32200.0420.0401</t>
  </si>
  <si>
    <t>32200.0300.0341</t>
  </si>
  <si>
    <t>32200.4019.0401</t>
  </si>
  <si>
    <t>Insurance Playgroups, Day Care etc</t>
  </si>
  <si>
    <t>Repayment of Loan Principal and Long Term Debtors</t>
  </si>
  <si>
    <t>Dividends</t>
  </si>
  <si>
    <t>32020.2443.0300</t>
  </si>
  <si>
    <t>32020.2444.0300</t>
  </si>
  <si>
    <t>Job #</t>
  </si>
  <si>
    <t>35015.7727.0401</t>
  </si>
  <si>
    <t>26021.0100.0021</t>
  </si>
  <si>
    <t>Fr Civic Bld Admin Counter</t>
  </si>
  <si>
    <t>Weed Control</t>
  </si>
  <si>
    <t>Administration and Office Expenses</t>
  </si>
  <si>
    <t>SP2312 - Pump Capacity Upgrade</t>
  </si>
  <si>
    <t>Wuea</t>
  </si>
  <si>
    <t>Flat Rock</t>
  </si>
  <si>
    <t>32001.0410.0635</t>
  </si>
  <si>
    <t>32001.4144.0647</t>
  </si>
  <si>
    <t>32001.0374.0640</t>
  </si>
  <si>
    <t>26100.4101.0135</t>
  </si>
  <si>
    <t>26100.4105.0135</t>
  </si>
  <si>
    <t>26100.4107.0135</t>
  </si>
  <si>
    <t>Council Owned Properties</t>
  </si>
  <si>
    <t>Properties - Others</t>
  </si>
  <si>
    <t>Properties - Crown Reserves</t>
  </si>
  <si>
    <t>Water Testing - Various</t>
  </si>
  <si>
    <t>Advertising Community News</t>
  </si>
  <si>
    <t>Aviation Publications</t>
  </si>
  <si>
    <t>Energy Costs</t>
  </si>
  <si>
    <t>32340.6872.0401</t>
  </si>
  <si>
    <t>32340.6873.0401</t>
  </si>
  <si>
    <t>32340.6874.0401</t>
  </si>
  <si>
    <t>32340.0435.0700</t>
  </si>
  <si>
    <t>Landfill Management and Resource Recovery</t>
  </si>
  <si>
    <t>MGB Kerb Collection CBD/Street Bins</t>
  </si>
  <si>
    <t>32340.6864.0690</t>
  </si>
  <si>
    <t>32340.6865.0300</t>
  </si>
  <si>
    <t>32340.6866.0300</t>
  </si>
  <si>
    <t>Public &amp; Env Health</t>
  </si>
  <si>
    <t>Depreciation - Quarries</t>
  </si>
  <si>
    <t>Workshop Operating Expenses</t>
  </si>
  <si>
    <t>Balance as per cash reconciliation</t>
  </si>
  <si>
    <t>Variation</t>
  </si>
  <si>
    <t>Water</t>
  </si>
  <si>
    <t>Water Plant Charged to Works</t>
  </si>
  <si>
    <t>Summaries</t>
  </si>
  <si>
    <t>Summary</t>
  </si>
  <si>
    <t>Maternity and Parental Leave</t>
  </si>
  <si>
    <t>Less Depreciation</t>
  </si>
  <si>
    <t>Vehicle Running Costs</t>
  </si>
  <si>
    <t>Other</t>
  </si>
  <si>
    <t xml:space="preserve">Internal Contributions </t>
  </si>
  <si>
    <t>WESTPAC</t>
  </si>
  <si>
    <t>Block Grant</t>
  </si>
  <si>
    <t>Indirect Costs</t>
  </si>
  <si>
    <t>Depreciation Check</t>
  </si>
  <si>
    <t>Foreshore and Coastal Lakes Protection</t>
  </si>
  <si>
    <t>Interest On Investment Banks</t>
  </si>
  <si>
    <t>22231.5260.0138</t>
  </si>
  <si>
    <t>Programs</t>
  </si>
  <si>
    <t>General Fund Activities</t>
  </si>
  <si>
    <t>32340.0425.0401</t>
  </si>
  <si>
    <t>32340.0420.0401</t>
  </si>
  <si>
    <t>35080.0415.0690</t>
  </si>
  <si>
    <t>35082.0530.0401</t>
  </si>
  <si>
    <t>35082.0450.0401</t>
  </si>
  <si>
    <t>35082.0415.0690</t>
  </si>
  <si>
    <t>Road Safety Programs</t>
  </si>
  <si>
    <t>85000-007</t>
  </si>
  <si>
    <t>Total Section 94 Funds Applied</t>
  </si>
  <si>
    <t>Less Principal Repayments</t>
  </si>
  <si>
    <t>Advertising On Bus Shelters</t>
  </si>
  <si>
    <t>Other Resources</t>
  </si>
  <si>
    <t>35107.0680.0745</t>
  </si>
  <si>
    <t>Office Equipment</t>
  </si>
  <si>
    <t>Sundry Administration Expenses</t>
  </si>
  <si>
    <t>Rating Costs</t>
  </si>
  <si>
    <t>Interest to Trust Fund Deposits</t>
  </si>
  <si>
    <t>Section 603 Certificates - Urgent</t>
  </si>
  <si>
    <t>Investment Premium</t>
  </si>
  <si>
    <t>Coast Rd RTA Grant</t>
  </si>
  <si>
    <t>4043.3354.0960</t>
  </si>
  <si>
    <t>50005.3580.0326</t>
  </si>
  <si>
    <t>35070</t>
  </si>
  <si>
    <t>35073</t>
  </si>
  <si>
    <t>35074</t>
  </si>
  <si>
    <t>35076</t>
  </si>
  <si>
    <t>35080</t>
  </si>
  <si>
    <t>35082</t>
  </si>
  <si>
    <t>50005.0415.0690</t>
  </si>
  <si>
    <t>Payroll Tax</t>
  </si>
  <si>
    <t>Council Properties - Investment</t>
  </si>
  <si>
    <t>Spec Projects Grant</t>
  </si>
  <si>
    <t>Nursery Operation</t>
  </si>
  <si>
    <t>Tuckombil</t>
  </si>
  <si>
    <t>Residential</t>
  </si>
  <si>
    <t>Business</t>
  </si>
  <si>
    <t>Trade Waste General</t>
  </si>
  <si>
    <t>Employee Oncosts</t>
  </si>
  <si>
    <t>26025</t>
  </si>
  <si>
    <t>26026</t>
  </si>
  <si>
    <t>26028</t>
  </si>
  <si>
    <t>35020</t>
  </si>
  <si>
    <t>35021</t>
  </si>
  <si>
    <t>20021.1151.0148</t>
  </si>
  <si>
    <t>20021.1152.0148</t>
  </si>
  <si>
    <t>30020.0300.0300</t>
  </si>
  <si>
    <t>32201.0415.0690</t>
  </si>
  <si>
    <t>32200.4016.0401</t>
  </si>
  <si>
    <t>Pollution Control</t>
  </si>
  <si>
    <t>31061.1809.0401</t>
  </si>
  <si>
    <t>OPERATING EXPENSES (cont'd)</t>
  </si>
  <si>
    <t>55012.4617.0647</t>
  </si>
  <si>
    <t>55012.4618.0647</t>
  </si>
  <si>
    <t>55012.4619.0647</t>
  </si>
  <si>
    <t>55012.4620.0647</t>
  </si>
  <si>
    <t>55012.4621.0647</t>
  </si>
  <si>
    <t>55012.4622.0647</t>
  </si>
  <si>
    <t>4075.7658.0960</t>
  </si>
  <si>
    <t>4075.7657.0960</t>
  </si>
  <si>
    <t>4075.7659.0960</t>
  </si>
  <si>
    <t>4079.7856.0960</t>
  </si>
  <si>
    <t>4579.8664.0961</t>
  </si>
  <si>
    <t>4585.7998.0961</t>
  </si>
  <si>
    <t>4080.7880.0960</t>
  </si>
  <si>
    <t>4081.7883.0960</t>
  </si>
  <si>
    <t>4087.8642.0960</t>
  </si>
  <si>
    <t>4087.8643.0960</t>
  </si>
  <si>
    <t>35070.8552.0401</t>
  </si>
  <si>
    <t>35080.8587.0422</t>
  </si>
  <si>
    <t>35072.8556.0401</t>
  </si>
  <si>
    <t>35073.8562.0401</t>
  </si>
  <si>
    <t>Sundry Income</t>
  </si>
  <si>
    <t>Wardell Town Centre</t>
  </si>
  <si>
    <t>Advertising and Promotion</t>
  </si>
  <si>
    <t>ACTUAL</t>
  </si>
  <si>
    <t>Electricity Airport Lighting</t>
  </si>
  <si>
    <t>Overheads - Russellton</t>
  </si>
  <si>
    <t>35073.0415.0690</t>
  </si>
  <si>
    <t>35074.8562.0401</t>
  </si>
  <si>
    <t>35074.0415.0691</t>
  </si>
  <si>
    <t>35076.0530.0401</t>
  </si>
  <si>
    <t>35076.0415.0690</t>
  </si>
  <si>
    <t>35076.0450.0401</t>
  </si>
  <si>
    <t>35076.0425.0401</t>
  </si>
  <si>
    <t>35080.8584.0401</t>
  </si>
  <si>
    <t>35080.8586.0401</t>
  </si>
  <si>
    <t>Legal Costs</t>
  </si>
  <si>
    <t>Solid Waste Sampling &amp; Testing</t>
  </si>
  <si>
    <t>Street Cleaning</t>
  </si>
  <si>
    <t>Interest on Loans - Community Centres</t>
  </si>
  <si>
    <t>89 Tamar St Insurance</t>
  </si>
  <si>
    <t>Deposit</t>
  </si>
  <si>
    <t>Chickiba Wetlands</t>
  </si>
  <si>
    <t>35056.7966.0300</t>
  </si>
  <si>
    <t>Litter Penalties</t>
  </si>
  <si>
    <t>Airport Owners Assoc Membership</t>
  </si>
  <si>
    <t>Regional Roads Mtce and Improvements</t>
  </si>
  <si>
    <t>22220.5051.0127</t>
  </si>
  <si>
    <t>22152.4200.0147</t>
  </si>
  <si>
    <t>SP4003 - Storage Capacity Upgrade</t>
  </si>
  <si>
    <t>Reserve Movements Check</t>
  </si>
  <si>
    <t>22220.5050.0127</t>
  </si>
  <si>
    <t>SP2311 - Storage Capacity Upgrade</t>
  </si>
  <si>
    <t>35150.8830.0401</t>
  </si>
  <si>
    <t>35150.0415.0690</t>
  </si>
  <si>
    <t>30023.8923.0347</t>
  </si>
  <si>
    <t>Sales and Reservations</t>
  </si>
  <si>
    <t>ROADS AND BRIDGES</t>
  </si>
  <si>
    <t>31062.0680.0745</t>
  </si>
  <si>
    <t>Injured Workers Rehabilitation</t>
  </si>
  <si>
    <t>32348.7030.0401</t>
  </si>
  <si>
    <t>32348.7031.0401</t>
  </si>
  <si>
    <t>32348.7041.0401</t>
  </si>
  <si>
    <t>Seven Mile Beach Vehicle Permits</t>
  </si>
  <si>
    <t>Infrastructure Works</t>
  </si>
  <si>
    <t>Capital Expenditure</t>
  </si>
  <si>
    <t>Working Funds Checks</t>
  </si>
  <si>
    <t>Environmental Protection</t>
  </si>
  <si>
    <t>Wardell Water Control Valve</t>
  </si>
  <si>
    <t>35058.7981.0985</t>
  </si>
  <si>
    <t>35058.7984.0985</t>
  </si>
  <si>
    <t>35058.7985.0985</t>
  </si>
  <si>
    <t>Maternity Leave Conts - Centrelink</t>
  </si>
  <si>
    <t>Manager Reimbursements</t>
  </si>
  <si>
    <t>Live Well Work Well</t>
  </si>
  <si>
    <t>Airport Car Parking</t>
  </si>
  <si>
    <t>32285.5879.0401</t>
  </si>
  <si>
    <t xml:space="preserve">Audit Fees </t>
  </si>
  <si>
    <t>30023.8830.0401</t>
  </si>
  <si>
    <t>Miscellaneous Community Property Reserves</t>
  </si>
  <si>
    <t>35152.1160.0401</t>
  </si>
  <si>
    <t>10000.0101.0030</t>
  </si>
  <si>
    <t>50005.3803.0980</t>
  </si>
  <si>
    <t>Collectable</t>
  </si>
  <si>
    <t>Sundry Public Order (Busking)</t>
  </si>
  <si>
    <t>54002.0350.0419</t>
  </si>
  <si>
    <t>NOROC</t>
  </si>
  <si>
    <t>Beach Cleaning</t>
  </si>
  <si>
    <t>Interest on Overdue Rates and Charges</t>
  </si>
  <si>
    <t>Conferences and Seminars</t>
  </si>
  <si>
    <t>35145.8767.0401</t>
  </si>
  <si>
    <t>35145.8768.0401</t>
  </si>
  <si>
    <t>35145.0450.0401</t>
  </si>
  <si>
    <t>State Roads - Works Orders</t>
  </si>
  <si>
    <t>22200.4001.0270</t>
  </si>
  <si>
    <t>22200.4002.0116</t>
  </si>
  <si>
    <t>22200.4003.0116</t>
  </si>
  <si>
    <t>Description</t>
  </si>
  <si>
    <t>No.</t>
  </si>
  <si>
    <t>2015/2016</t>
  </si>
  <si>
    <t>Stormwater Drainage Maintenance</t>
  </si>
  <si>
    <t>Check (To Reserves s/sheet)</t>
  </si>
  <si>
    <t>Total - All Groups</t>
  </si>
  <si>
    <t>Library</t>
  </si>
  <si>
    <t>32200.0300.0300</t>
  </si>
  <si>
    <t>32200.0680.0740</t>
  </si>
  <si>
    <t>Community Infrastructure Reconciliation</t>
  </si>
  <si>
    <t>32270.0410.0635</t>
  </si>
  <si>
    <t>Investments</t>
  </si>
  <si>
    <t>Less Transfer to Reserves</t>
  </si>
  <si>
    <t>Fripp Oval</t>
  </si>
  <si>
    <t>Domestic Waste Management</t>
  </si>
  <si>
    <t>Depreciation - Airport</t>
  </si>
  <si>
    <t>21040.1642.0222</t>
  </si>
  <si>
    <t>Rental - ARC (50%)</t>
  </si>
  <si>
    <t>35110.0410.0635</t>
  </si>
  <si>
    <t>35115.0415.0690</t>
  </si>
  <si>
    <t>31000.0373.0601</t>
  </si>
  <si>
    <t>21040.1626.0091</t>
  </si>
  <si>
    <t>Public Pool Water Quality Inspections</t>
  </si>
  <si>
    <t>32001.0371.0501</t>
  </si>
  <si>
    <t>32020.0374.0640</t>
  </si>
  <si>
    <t>Sundry Office Administration</t>
  </si>
  <si>
    <t>32099.3064.0401</t>
  </si>
  <si>
    <t>SQIDS Ballina</t>
  </si>
  <si>
    <t>35021.7845.0405</t>
  </si>
  <si>
    <t>35021.7846.0405</t>
  </si>
  <si>
    <t>35021.7847.0420</t>
  </si>
  <si>
    <t>35021.7848.0985</t>
  </si>
  <si>
    <t>26040.7865.0146</t>
  </si>
  <si>
    <t>26040.7866.0146</t>
  </si>
  <si>
    <t>35030.0415.0690</t>
  </si>
  <si>
    <t>Quarries and Sandpit</t>
  </si>
  <si>
    <t>31020.0504.0347</t>
  </si>
  <si>
    <t>31040.0504.0347</t>
  </si>
  <si>
    <t>31082.0504.0347</t>
  </si>
  <si>
    <t>32020.0504.0347</t>
  </si>
  <si>
    <t>32260.0504.0347</t>
  </si>
  <si>
    <t>35000.0504.0347</t>
  </si>
  <si>
    <t>35020.0504.0347</t>
  </si>
  <si>
    <t>35040.0504.0347</t>
  </si>
  <si>
    <t>35050.0504.0347</t>
  </si>
  <si>
    <t>35150.0504.0347</t>
  </si>
  <si>
    <t>Add Back Depreciation</t>
  </si>
  <si>
    <t xml:space="preserve">Financial Assistance Grant </t>
  </si>
  <si>
    <t>Finished</t>
  </si>
  <si>
    <t>Sub Total - Other Land Sales</t>
  </si>
  <si>
    <t>4079.8693.0960</t>
  </si>
  <si>
    <t>IT Equipment</t>
  </si>
  <si>
    <t>4083.7921.0960</t>
  </si>
  <si>
    <t>Lake Ainsworth Env Trust Project</t>
  </si>
  <si>
    <t>32322.6422.0401</t>
  </si>
  <si>
    <t>32322.0300.0300</t>
  </si>
  <si>
    <t>Land Sale Proceeds</t>
  </si>
  <si>
    <t>2005/06</t>
  </si>
  <si>
    <t>2006/07</t>
  </si>
  <si>
    <t>2007/08</t>
  </si>
  <si>
    <t>10010.3510.0105</t>
  </si>
  <si>
    <t>2022/2023</t>
  </si>
  <si>
    <t>Funding Sources 2015/16</t>
  </si>
  <si>
    <t>35015.0450.0401</t>
  </si>
  <si>
    <t>Accident Pay to Employees Paid</t>
  </si>
  <si>
    <t>32312.6186.0401</t>
  </si>
  <si>
    <t>32312.6188.0401</t>
  </si>
  <si>
    <t xml:space="preserve">Waste Baler </t>
  </si>
  <si>
    <t xml:space="preserve">Landfill Closure </t>
  </si>
  <si>
    <t>Residential Properties</t>
  </si>
  <si>
    <t>26064.7811.0190</t>
  </si>
  <si>
    <t>32320.6701.0401</t>
  </si>
  <si>
    <t>30023.0410.0635</t>
  </si>
  <si>
    <t>Angels Bch C'way land Aq</t>
  </si>
  <si>
    <t>30023.2250.0401</t>
  </si>
  <si>
    <t>General Assumptions</t>
  </si>
  <si>
    <t>10010</t>
  </si>
  <si>
    <t>10000</t>
  </si>
  <si>
    <t>10004</t>
  </si>
  <si>
    <t>10003</t>
  </si>
  <si>
    <t>10011</t>
  </si>
  <si>
    <t>Public Risk and Plant</t>
  </si>
  <si>
    <t>22291.7228.0144</t>
  </si>
  <si>
    <t>22292.7249.0193</t>
  </si>
  <si>
    <t>Solid Waste Litter Control</t>
  </si>
  <si>
    <t>Alstonville</t>
  </si>
  <si>
    <t>Consultancies</t>
  </si>
  <si>
    <t>River Street / Riverwalk Arcade M &amp; R</t>
  </si>
  <si>
    <t>Comm Infra - Coastguard Tower</t>
  </si>
  <si>
    <t>Sale Animal Shelter</t>
  </si>
  <si>
    <t>New Animal Shelter</t>
  </si>
  <si>
    <t>4015.1670.0961</t>
  </si>
  <si>
    <t>32000.2251.0401</t>
  </si>
  <si>
    <t>35056.7971.0326</t>
  </si>
  <si>
    <t>54002.8945.0635</t>
  </si>
  <si>
    <t>54000.0300.0343</t>
  </si>
  <si>
    <t>54002.0450.0401</t>
  </si>
  <si>
    <t>54002.0350.0640</t>
  </si>
  <si>
    <t>54002.8946.0401</t>
  </si>
  <si>
    <t>10505.8966.0169</t>
  </si>
  <si>
    <t>26065.8531.0226</t>
  </si>
  <si>
    <t>26065.8532.0226</t>
  </si>
  <si>
    <t>Lease - 74 Tamar St</t>
  </si>
  <si>
    <t>Lease - 78 Tamar St</t>
  </si>
  <si>
    <t>Remediation - Unwinding PV's</t>
  </si>
  <si>
    <t>4087.8641.0960</t>
  </si>
  <si>
    <t>21060.1800.0145</t>
  </si>
  <si>
    <t>50005.3582.0325</t>
  </si>
  <si>
    <t>Russellton Rates</t>
  </si>
  <si>
    <t>Industrial Estates</t>
  </si>
  <si>
    <t>Add: Non-cash items - Unwinding Int free loan</t>
  </si>
  <si>
    <t>Maintenance Contractors</t>
  </si>
  <si>
    <t>Waste Removal</t>
  </si>
  <si>
    <t>Valuation Fees</t>
  </si>
  <si>
    <t>Councillor Elections from</t>
  </si>
  <si>
    <t>Telemetry Operations</t>
  </si>
  <si>
    <t>Educational Assistance Policy</t>
  </si>
  <si>
    <t>Maintenance</t>
  </si>
  <si>
    <t>Dog Control Collars</t>
  </si>
  <si>
    <t>26083.8678.0124</t>
  </si>
  <si>
    <t>Rangers - Uniforms</t>
  </si>
  <si>
    <t>Operating Expenses</t>
  </si>
  <si>
    <t>85000-002</t>
  </si>
  <si>
    <t>Lighting</t>
  </si>
  <si>
    <t>Reimbursements by RMS - Main Roads</t>
  </si>
  <si>
    <t>RMS Borrow Pit Aeration Pump</t>
  </si>
  <si>
    <t>Add Additional Transfer to Urban Roads Operations</t>
  </si>
  <si>
    <t>Add Additional Transfer to Urban Roads Maintenance</t>
  </si>
  <si>
    <t>Add Additional Transfer to Rural Road Reserve Operations</t>
  </si>
  <si>
    <t>Add Additional Transfer to Rural Road Sealed Mtce</t>
  </si>
  <si>
    <t>Add Additional Transfer to Gravel Roads Maintenance</t>
  </si>
  <si>
    <t>Add Additional Transfer to Street Sweeper</t>
  </si>
  <si>
    <t>32300.6000.0401</t>
  </si>
  <si>
    <t>32350.7073.0401</t>
  </si>
  <si>
    <t>32350.7074.0401</t>
  </si>
  <si>
    <t>32340.0680.0746</t>
  </si>
  <si>
    <t>22290.0100.0040</t>
  </si>
  <si>
    <t>Oncosts Recouped - Internal Works</t>
  </si>
  <si>
    <t>Depreciation</t>
  </si>
  <si>
    <t>Reserves - Externally Restricted - Increase / (Decrease)</t>
  </si>
  <si>
    <t>2015/16</t>
  </si>
  <si>
    <t>32100.0570.0401</t>
  </si>
  <si>
    <t>32100.0571.0401</t>
  </si>
  <si>
    <t>32101.3080.0622</t>
  </si>
  <si>
    <t>Remainder Of Movement Area</t>
  </si>
  <si>
    <t>Loans</t>
  </si>
  <si>
    <t>Toilet Consumables</t>
  </si>
  <si>
    <t>Toilet Electricity</t>
  </si>
  <si>
    <t>32275.5621.0401</t>
  </si>
  <si>
    <t>32275.5622.0401</t>
  </si>
  <si>
    <t>Supervision Ballina Transfer Station</t>
  </si>
  <si>
    <t>Depreciation - Flat Rock</t>
  </si>
  <si>
    <t>Less Loan Interest and Principal Repayments</t>
  </si>
  <si>
    <t>32265.5382.0401</t>
  </si>
  <si>
    <t>32265.5383.0401</t>
  </si>
  <si>
    <t>30003.1020.0401</t>
  </si>
  <si>
    <t>32496.4279.0401</t>
  </si>
  <si>
    <t>32140.0435.0700</t>
  </si>
  <si>
    <t>32132.0680.0747</t>
  </si>
  <si>
    <t>32135.0680.0747</t>
  </si>
  <si>
    <t>Depreciation - Footpaths</t>
  </si>
  <si>
    <t>Bus Shelters</t>
  </si>
  <si>
    <t>32120.3270.0401</t>
  </si>
  <si>
    <t>32110.0680.0747</t>
  </si>
  <si>
    <t>32120.0945.0700</t>
  </si>
  <si>
    <t>32110.0945.0700</t>
  </si>
  <si>
    <t>Environmental Actions</t>
  </si>
  <si>
    <t>Street Lighting Subsidy</t>
  </si>
  <si>
    <t>35005.0330.0618</t>
  </si>
  <si>
    <t>35005.0330.0619</t>
  </si>
  <si>
    <t>26023.0100.0034</t>
  </si>
  <si>
    <t>26023.0100.0032</t>
  </si>
  <si>
    <t>26023.0100.0033</t>
  </si>
  <si>
    <t>55002.0350.0401</t>
  </si>
  <si>
    <t>Walsh's Park</t>
  </si>
  <si>
    <t>50102.3638.0647</t>
  </si>
  <si>
    <t>50102.3639.0647</t>
  </si>
  <si>
    <t>50102.3640.0647</t>
  </si>
  <si>
    <t>50102.3641.0647</t>
  </si>
  <si>
    <t>50102.3642.0647</t>
  </si>
  <si>
    <t>50101.3653.0401</t>
  </si>
  <si>
    <t>50101.3654.0401</t>
  </si>
  <si>
    <t>50101.3655.0401</t>
  </si>
  <si>
    <t>50107.3684.0401</t>
  </si>
  <si>
    <t>50107.3686.0401</t>
  </si>
  <si>
    <t>50110.3712.0401</t>
  </si>
  <si>
    <t>Working Capital</t>
  </si>
  <si>
    <t>35055.7963.0200</t>
  </si>
  <si>
    <t>Receivables</t>
  </si>
  <si>
    <t>Inventories</t>
  </si>
  <si>
    <t>Total Current Assets</t>
  </si>
  <si>
    <t>Non Current Assets</t>
  </si>
  <si>
    <t>Investment Property</t>
  </si>
  <si>
    <t>Total Non-Current Assets</t>
  </si>
  <si>
    <t>TOTAL ASSETS</t>
  </si>
  <si>
    <t>LIABILITIES</t>
  </si>
  <si>
    <t>Ballina Byron Gateway Airport</t>
  </si>
  <si>
    <t>35001.7522.0622</t>
  </si>
  <si>
    <t>Roadside Vendors Missingham Bridge</t>
  </si>
  <si>
    <t>Southern Cross Selling Costs</t>
  </si>
  <si>
    <t xml:space="preserve">Southern Cross Rates </t>
  </si>
  <si>
    <t>Roads &amp; Bridges</t>
  </si>
  <si>
    <t>Hill Park Estate</t>
  </si>
  <si>
    <t>Septic Waste Disposal Charge</t>
  </si>
  <si>
    <t>Interest Transferred From Postponed</t>
  </si>
  <si>
    <t>Waste Management</t>
  </si>
  <si>
    <t>Legal Expenses</t>
  </si>
  <si>
    <t>Repair Tree Damage to Private Property</t>
  </si>
  <si>
    <t>Sediment Erosion Kits</t>
  </si>
  <si>
    <t>Engineering Stores Unaccounted for</t>
  </si>
  <si>
    <t>2019/2020</t>
  </si>
  <si>
    <t>32340.0682.0703</t>
  </si>
  <si>
    <t>Remediation Depreciation</t>
  </si>
  <si>
    <t>32320.6397.0401</t>
  </si>
  <si>
    <t>32320.6398.0401</t>
  </si>
  <si>
    <t>32110.3228.0401</t>
  </si>
  <si>
    <t>32310.0415.0690</t>
  </si>
  <si>
    <t>32137.0415.0690</t>
  </si>
  <si>
    <t>Sub Total Gen Fund</t>
  </si>
  <si>
    <t>Water Dividend - Compulsory</t>
  </si>
  <si>
    <t>Sewer Dividend - Compulsory</t>
  </si>
  <si>
    <t>22270.6629.0110</t>
  </si>
  <si>
    <t>22270.6630.0110</t>
  </si>
  <si>
    <t>22270.6632.0110</t>
  </si>
  <si>
    <t>NON-CASH CONTRIBUTIONS</t>
  </si>
  <si>
    <t>35152.8848.0401</t>
  </si>
  <si>
    <t>30002.1170.0401</t>
  </si>
  <si>
    <t>7525.4882.0401</t>
  </si>
  <si>
    <t>Emergency Services</t>
  </si>
  <si>
    <t>ASSETS</t>
  </si>
  <si>
    <t>Current Assets</t>
  </si>
  <si>
    <t>Postage Security Mail</t>
  </si>
  <si>
    <t>Sewer from Capital S64</t>
  </si>
  <si>
    <t>Water from S64 Capital</t>
  </si>
  <si>
    <t>Parking Fines</t>
  </si>
  <si>
    <t>Complying Development</t>
  </si>
  <si>
    <t>26050.7935.0229</t>
  </si>
  <si>
    <t>State Valuation Office</t>
  </si>
  <si>
    <t>Telephone Council Calls Mechanics</t>
  </si>
  <si>
    <t>Commissions - State Tourism Data</t>
  </si>
  <si>
    <t>Operating Costs</t>
  </si>
  <si>
    <t xml:space="preserve">Capital Purchases </t>
  </si>
  <si>
    <t>State Roads Mtce and Improvements</t>
  </si>
  <si>
    <t>Recycling Bin Purchases</t>
  </si>
  <si>
    <t>2018/19</t>
  </si>
  <si>
    <t>Internal Charges</t>
  </si>
  <si>
    <t>Net Cash Result - Surplus / (Deficit)</t>
  </si>
  <si>
    <t>2017/18</t>
  </si>
  <si>
    <t>Maintenance - Sheds</t>
  </si>
  <si>
    <t xml:space="preserve">Electricity </t>
  </si>
  <si>
    <t>35051.7946.0300</t>
  </si>
  <si>
    <t>Section 94 Contributions</t>
  </si>
  <si>
    <t>Surplus / (Deficit) Before Disposal of Assets</t>
  </si>
  <si>
    <t>Gain on Disposal of Assets</t>
  </si>
  <si>
    <t>State Roads - Preservation</t>
  </si>
  <si>
    <t>Borrowing Costs</t>
  </si>
  <si>
    <t>Security for Departure Lounge</t>
  </si>
  <si>
    <t>Compliance Certificates</t>
  </si>
  <si>
    <t>Reg Certificate by PCA</t>
  </si>
  <si>
    <t>Waste Administration</t>
  </si>
  <si>
    <t>Security</t>
  </si>
  <si>
    <t>General Maintenance</t>
  </si>
  <si>
    <t>Plant Charged to Works</t>
  </si>
  <si>
    <t>Loan Funds Used</t>
  </si>
  <si>
    <t>22230.5240.0167</t>
  </si>
  <si>
    <t>35150.0680.0745</t>
  </si>
  <si>
    <t>26065.8526.0225</t>
  </si>
  <si>
    <t>Alstonville Leisure and Entertainment Centre</t>
  </si>
  <si>
    <t>SP2105 - Pump Upgrade</t>
  </si>
  <si>
    <t>SP3103 - Storage Capacity Upgrade</t>
  </si>
  <si>
    <t>Net Increase in Cash from Operations</t>
  </si>
  <si>
    <t>S64</t>
  </si>
  <si>
    <t>OPERATING EXPENSES</t>
  </si>
  <si>
    <t>Loss on Sale of Plant and Equipment</t>
  </si>
  <si>
    <t>10500.8901.0228</t>
  </si>
  <si>
    <t>10500.8901.0236</t>
  </si>
  <si>
    <t>10500.8902.0222</t>
  </si>
  <si>
    <t>10500.8900.0165</t>
  </si>
  <si>
    <t>10500.0190.0800</t>
  </si>
  <si>
    <t>10500.0120.0190</t>
  </si>
  <si>
    <t>Workshop Consumables</t>
  </si>
  <si>
    <t>Saunders Oval</t>
  </si>
  <si>
    <t>Crawford Park</t>
  </si>
  <si>
    <t>Geoff Watt Oval</t>
  </si>
  <si>
    <t>Airport Sandpit</t>
  </si>
  <si>
    <t>Extraordinary Inspections</t>
  </si>
  <si>
    <t>Solid Waste Fire Control</t>
  </si>
  <si>
    <t>31083.1969.0635</t>
  </si>
  <si>
    <t>31083.1966.0401</t>
  </si>
  <si>
    <t>31083.1969.0601</t>
  </si>
  <si>
    <t>31083.1969.0640</t>
  </si>
  <si>
    <t>31083.1967.0401</t>
  </si>
  <si>
    <t>31083.1968.0401</t>
  </si>
  <si>
    <t>26113.8748.0124</t>
  </si>
  <si>
    <t>35056.7971.0323</t>
  </si>
  <si>
    <t>35056.7971.0324</t>
  </si>
  <si>
    <t>35057.7976.0635</t>
  </si>
  <si>
    <t>35057.7979.0635</t>
  </si>
  <si>
    <t>35057.7977.0635</t>
  </si>
  <si>
    <t>First Funding - 2007/08 Special Variation</t>
  </si>
  <si>
    <t>Extra Funding - 2011/12 Special Variation</t>
  </si>
  <si>
    <t>35015.0375.0401</t>
  </si>
  <si>
    <t>32312.6156.0401</t>
  </si>
  <si>
    <t>32312.6160.0401</t>
  </si>
  <si>
    <t>Grant Library Subsidy</t>
  </si>
  <si>
    <t>Metal Stockpiles</t>
  </si>
  <si>
    <t>General</t>
  </si>
  <si>
    <t>Sewer</t>
  </si>
  <si>
    <t>22231.5265.0270</t>
  </si>
  <si>
    <t>32325.0680.0752</t>
  </si>
  <si>
    <t>Green St</t>
  </si>
  <si>
    <t>Pumping Stations</t>
  </si>
  <si>
    <t>Interest on Overdue Charges</t>
  </si>
  <si>
    <t>Effluent Waste Water Testing</t>
  </si>
  <si>
    <t>Operating Result (incl. Dep)</t>
  </si>
  <si>
    <t>Waste Injured Workers Rehabilitation</t>
  </si>
  <si>
    <t>BUDGET ITEMS</t>
  </si>
  <si>
    <t xml:space="preserve"> </t>
  </si>
  <si>
    <t>ESTIMATED</t>
  </si>
  <si>
    <t>Wollongbar Urban Expansion Area (WUEA)</t>
  </si>
  <si>
    <t>Wollongbar Link Road</t>
  </si>
  <si>
    <t>Roads Plan</t>
  </si>
  <si>
    <t>Employee Costs - IT and GIS</t>
  </si>
  <si>
    <t>Abandoned Interest</t>
  </si>
  <si>
    <t>Interest Transferred To Postponed</t>
  </si>
  <si>
    <t>Operators Wages</t>
  </si>
  <si>
    <t>22281.6777.0190</t>
  </si>
  <si>
    <t>Contingency - Wollongbar</t>
  </si>
  <si>
    <t>OPERATING RESULT &amp; FUNDS MOVEMENT</t>
  </si>
  <si>
    <t>Revenues</t>
  </si>
  <si>
    <t>Expenses</t>
  </si>
  <si>
    <t>Water - Loan Principal and Interest Repayments - Ten Year Forward Plan</t>
  </si>
  <si>
    <t>Term</t>
  </si>
  <si>
    <t>Rate</t>
  </si>
  <si>
    <t>Amount</t>
  </si>
  <si>
    <t>1998.4369.0401</t>
  </si>
  <si>
    <t>35125.4141.0401</t>
  </si>
  <si>
    <t>35125.4142.0401</t>
  </si>
  <si>
    <t>35125.4143.0401</t>
  </si>
  <si>
    <t>35125.4144.0647</t>
  </si>
  <si>
    <t>Capital - General Revenue Funded</t>
  </si>
  <si>
    <t>Add Teven Loan</t>
  </si>
  <si>
    <t>Maintenance and Repairs</t>
  </si>
  <si>
    <t>Indirect Expenses</t>
  </si>
  <si>
    <t>Less Grants and Contributions - Capital</t>
  </si>
  <si>
    <t>Section 64 Levies Applied</t>
  </si>
  <si>
    <t>Equity Movements</t>
  </si>
  <si>
    <t>North Wall Lights</t>
  </si>
  <si>
    <t xml:space="preserve">Farmland </t>
  </si>
  <si>
    <t>Banking</t>
  </si>
  <si>
    <t>32285.0531.0647</t>
  </si>
  <si>
    <t>32285.0680.0745</t>
  </si>
  <si>
    <t>22250.5973.0119</t>
  </si>
  <si>
    <t>Airport Signs</t>
  </si>
  <si>
    <t>Grants</t>
  </si>
  <si>
    <t>Capital Contributions</t>
  </si>
  <si>
    <t>Human Resources and Risk Management</t>
  </si>
  <si>
    <t>32312.6196.0401</t>
  </si>
  <si>
    <t>32312.6198.0401</t>
  </si>
  <si>
    <t>32312.6201.0401</t>
  </si>
  <si>
    <t>32312.6203.0401</t>
  </si>
  <si>
    <t>32348.7021.0401</t>
  </si>
  <si>
    <t>22231.5267.0091</t>
  </si>
  <si>
    <t>Regional Sports Centre</t>
  </si>
  <si>
    <t>Ballina Surf Club</t>
  </si>
  <si>
    <t xml:space="preserve">Sub Total </t>
  </si>
  <si>
    <t>Rangers</t>
  </si>
  <si>
    <t>Turf Farm Rental</t>
  </si>
  <si>
    <t>Burns Point Ferry</t>
  </si>
  <si>
    <t>35150.8831.0401</t>
  </si>
  <si>
    <t>35150.0450.0401</t>
  </si>
  <si>
    <t>35150.8832.0401</t>
  </si>
  <si>
    <t>Heavy Vehicles - Teven Bridge Loan</t>
  </si>
  <si>
    <t>Fleet Management - Fees and Charges</t>
  </si>
  <si>
    <t>Software and Consumables</t>
  </si>
  <si>
    <t>Overheads and Debt Servicing</t>
  </si>
  <si>
    <t>Information Services</t>
  </si>
  <si>
    <t>Staff Amenities</t>
  </si>
  <si>
    <t>Civil</t>
  </si>
  <si>
    <t>Cash Surplus / (Deficit)</t>
  </si>
  <si>
    <t>26050.7943.0167</t>
  </si>
  <si>
    <t>Contributions - Training</t>
  </si>
  <si>
    <t>32000.0425.0401</t>
  </si>
  <si>
    <t>32000.0420.0401</t>
  </si>
  <si>
    <t>26065.8530.0225</t>
  </si>
  <si>
    <t>26100.4115.0135</t>
  </si>
  <si>
    <t>21020.1457.0062</t>
  </si>
  <si>
    <t>32001.2270.0340</t>
  </si>
  <si>
    <t>55004.4758.0422</t>
  </si>
  <si>
    <t>55004.4782.0401</t>
  </si>
  <si>
    <t>Roads Bridges Footpaths</t>
  </si>
  <si>
    <t xml:space="preserve">Town Centres </t>
  </si>
  <si>
    <t>Loss from Disposal of Assets</t>
  </si>
  <si>
    <t>Reserves</t>
  </si>
  <si>
    <t>Regional Roads</t>
  </si>
  <si>
    <t>Animal Surrender Fee</t>
  </si>
  <si>
    <t>TOTAL - ALL PROGRAMS - Surplus / ( Shortfall)</t>
  </si>
  <si>
    <t>Capital Budgets and Special Rates</t>
  </si>
  <si>
    <t>35111.0435.0700</t>
  </si>
  <si>
    <t>Rates and Annual Charges</t>
  </si>
  <si>
    <t>Regulatory Fees and Fines</t>
  </si>
  <si>
    <t>Promotion</t>
  </si>
  <si>
    <t>Builders Compliance Fees</t>
  </si>
  <si>
    <t>Administration and Customer Service</t>
  </si>
  <si>
    <t>Exhibitions</t>
  </si>
  <si>
    <t>Other Leave</t>
  </si>
  <si>
    <t>Road Plan - Previous</t>
  </si>
  <si>
    <t>Sub Total Roads Plan</t>
  </si>
  <si>
    <t>Sub Total Heavy Vehicles</t>
  </si>
  <si>
    <t>Comm Infra - ARC (50%) Rental</t>
  </si>
  <si>
    <t>Skennars Head</t>
  </si>
  <si>
    <t>Cawarra Park</t>
  </si>
  <si>
    <t>Add Transfer from Reserves</t>
  </si>
  <si>
    <t>SWIMMING POOLS</t>
  </si>
  <si>
    <t>Contractual Charges</t>
  </si>
  <si>
    <t>Trunk Mains</t>
  </si>
  <si>
    <t>Ancillary Transport Facilities</t>
  </si>
  <si>
    <t>Applied to;</t>
  </si>
  <si>
    <t>Telephone Ranger</t>
  </si>
  <si>
    <t>32118.3460.0401</t>
  </si>
  <si>
    <t>35015.7729.0601</t>
  </si>
  <si>
    <t>54000.8922.0324</t>
  </si>
  <si>
    <t>21020.1456.0062</t>
  </si>
  <si>
    <t>Revolving Energy Fund</t>
  </si>
  <si>
    <t>Commissions - Fishing Licences</t>
  </si>
  <si>
    <t>35001.7514.0622</t>
  </si>
  <si>
    <t>35001.7516.0622</t>
  </si>
  <si>
    <t>35001.7518.0622</t>
  </si>
  <si>
    <t>Waste Management Business Recycling</t>
  </si>
  <si>
    <t>Drug &amp; Alcohol Management</t>
  </si>
  <si>
    <t>Electric BBQ's M &amp; R</t>
  </si>
  <si>
    <t>32331.0415.0690</t>
  </si>
  <si>
    <t>Add Expenses Not Involving a Flow of Funds</t>
  </si>
  <si>
    <t>2100.1667.0401</t>
  </si>
  <si>
    <t>26100.4116.0135</t>
  </si>
  <si>
    <t>26100.4106.0135</t>
  </si>
  <si>
    <t>26100.4112.0135</t>
  </si>
  <si>
    <t>26100.4113.0135</t>
  </si>
  <si>
    <t>26100.4114.0221</t>
  </si>
  <si>
    <t>Materials and Contracts</t>
  </si>
  <si>
    <t>User Charges and Fees</t>
  </si>
  <si>
    <t>Add Additional Transfer to Main Street Cleaning - Ballina</t>
  </si>
  <si>
    <t>Roads and Bridges - Maintenance</t>
  </si>
  <si>
    <t>32000.0680.0741</t>
  </si>
  <si>
    <t>Weighbridge</t>
  </si>
  <si>
    <t>32001.2253.0401</t>
  </si>
  <si>
    <t>32001.2254.0401</t>
  </si>
  <si>
    <t>26061.8516.0226</t>
  </si>
  <si>
    <t>Depreciation - Tourism</t>
  </si>
  <si>
    <t>Aviation Security Card</t>
  </si>
  <si>
    <t>22151.4211.0235</t>
  </si>
  <si>
    <t>Wigmore Electricity</t>
  </si>
  <si>
    <t>Contra</t>
  </si>
  <si>
    <t>Wharves &amp; Jetties</t>
  </si>
  <si>
    <t>32312.6178.0401</t>
  </si>
  <si>
    <t>Total Water Consumption Non-Residential (KLs)</t>
  </si>
  <si>
    <t>Total All Funds</t>
  </si>
  <si>
    <t>Rezonings Res</t>
  </si>
  <si>
    <t>RESERVE BALANCES - GENERAL FUND (cont'd)</t>
  </si>
  <si>
    <t>Sporting Grounds Operational Expenses</t>
  </si>
  <si>
    <t>26122.8820.0231</t>
  </si>
  <si>
    <t>26122.8821.0231</t>
  </si>
  <si>
    <t>Wollongbar Link Road  (Sec 94)</t>
  </si>
  <si>
    <t>Hutley Drive (Sec 94)</t>
  </si>
  <si>
    <t xml:space="preserve">Kentwell Community Centre </t>
  </si>
  <si>
    <t>Overheads - Commercial Properties</t>
  </si>
  <si>
    <t>32278.5698.0401</t>
  </si>
  <si>
    <t>32286.5902.0401</t>
  </si>
  <si>
    <t>Megan Crescent</t>
  </si>
  <si>
    <t>Cawley Park</t>
  </si>
  <si>
    <t>Lyle Park</t>
  </si>
  <si>
    <t>89 Tamar St Rates</t>
  </si>
  <si>
    <t>22284.6843.0169</t>
  </si>
  <si>
    <t>22282.6797.0270</t>
  </si>
  <si>
    <t>22282.6799.0223</t>
  </si>
  <si>
    <t>Property Dividend</t>
  </si>
  <si>
    <t>Hanger Site Rentals</t>
  </si>
  <si>
    <t>Administration Charges</t>
  </si>
  <si>
    <t>Developer Contributions - Number of Lots PA #</t>
  </si>
  <si>
    <t>Developer Contributions - Average Lot Charge $</t>
  </si>
  <si>
    <t>Increase in Charge Per Lot %</t>
  </si>
  <si>
    <t>Water Reserves</t>
  </si>
  <si>
    <t>Developer Contributions - Section 64</t>
  </si>
  <si>
    <t>Reservoirs - Pacific Pines</t>
  </si>
  <si>
    <t>Russellton Industrial Estate</t>
  </si>
  <si>
    <t>Collection Recycling</t>
  </si>
  <si>
    <t>TOTAL LIABILITIES</t>
  </si>
  <si>
    <t>Net Assets</t>
  </si>
  <si>
    <t>EQUITY</t>
  </si>
  <si>
    <t xml:space="preserve">Legal Costs Recovered </t>
  </si>
  <si>
    <t xml:space="preserve">Profit on Sale of Assets </t>
  </si>
  <si>
    <t>Legal Costs Recovered</t>
  </si>
  <si>
    <t>32360.0680.0740</t>
  </si>
  <si>
    <t>54000.8922.0323</t>
  </si>
  <si>
    <t>Rentals</t>
  </si>
  <si>
    <t>Security Recouped</t>
  </si>
  <si>
    <t>Sub Total - Airport</t>
  </si>
  <si>
    <t>2350.</t>
  </si>
  <si>
    <t>Rural Stickers Used at Weighbridge</t>
  </si>
  <si>
    <t>21020.1459.0062</t>
  </si>
  <si>
    <t>21020.1460.0062</t>
  </si>
  <si>
    <t>21020.1464.0062</t>
  </si>
  <si>
    <t>21020.1465.0062</t>
  </si>
  <si>
    <t>35040.7903.0401</t>
  </si>
  <si>
    <t>26050.7938.0167</t>
  </si>
  <si>
    <t>26050.7937.0167</t>
  </si>
  <si>
    <t>Entrance Fees</t>
  </si>
  <si>
    <t>2021.3401.0401</t>
  </si>
  <si>
    <t>2023.3401.0401</t>
  </si>
  <si>
    <t>2022.3401.0401</t>
  </si>
  <si>
    <t>2024.4375.0401</t>
  </si>
  <si>
    <t>4575.7670.0961</t>
  </si>
  <si>
    <t>Depreciation - Drainage</t>
  </si>
  <si>
    <t>Total Non cash</t>
  </si>
  <si>
    <t xml:space="preserve">Total </t>
  </si>
  <si>
    <t>Interest On Loans</t>
  </si>
  <si>
    <t>26120.8815.0235</t>
  </si>
  <si>
    <t>35150.0300.0300</t>
  </si>
  <si>
    <t>32275.5625.0401</t>
  </si>
  <si>
    <t>32320.6394.0417</t>
  </si>
  <si>
    <t>32320.6392.0315</t>
  </si>
  <si>
    <t>Statecover Workers Comp Refund</t>
  </si>
  <si>
    <t>DOMESTIC WASTE MANAGEMENT</t>
  </si>
  <si>
    <t>32348.7032.0401</t>
  </si>
  <si>
    <t>50005.7728.0601</t>
  </si>
  <si>
    <t>55002.7728.0601</t>
  </si>
  <si>
    <t>Office Administration</t>
  </si>
  <si>
    <t>32320.2271.0401</t>
  </si>
  <si>
    <t>Fuel System Monitoring</t>
  </si>
  <si>
    <t>Commercial Properties - Insurance</t>
  </si>
  <si>
    <t>Collection Other</t>
  </si>
  <si>
    <t>1998.4394.0401</t>
  </si>
  <si>
    <t>New All Assets</t>
  </si>
  <si>
    <t>Renewals (Bld &amp; Infrastr only)</t>
  </si>
  <si>
    <t>22110.5207.0165</t>
  </si>
  <si>
    <t>32262.5373.0401</t>
  </si>
  <si>
    <t>Storm Damage</t>
  </si>
  <si>
    <t>32312.6174.0401</t>
  </si>
  <si>
    <t>32100.0680.0748</t>
  </si>
  <si>
    <t>26045.7895.0138</t>
  </si>
  <si>
    <t>35040.0300.0300</t>
  </si>
  <si>
    <t>22260.6372.0270</t>
  </si>
  <si>
    <t>Cemeteries - Operations</t>
  </si>
  <si>
    <t>Water Access Charge %</t>
  </si>
  <si>
    <t>Quays Reserve</t>
  </si>
  <si>
    <t>Chickiba Oval</t>
  </si>
  <si>
    <t>35015.7728.0601</t>
  </si>
  <si>
    <t>Loan</t>
  </si>
  <si>
    <t>Reserves - Balances as at 30 June</t>
  </si>
  <si>
    <t>35079.0530.0401</t>
  </si>
  <si>
    <t>Cash Result after Capital Movements</t>
  </si>
  <si>
    <t>50005.0316.0341</t>
  </si>
  <si>
    <t>50005.0328.0343</t>
  </si>
  <si>
    <t>55002.0316.0341</t>
  </si>
  <si>
    <t>35000.0376.0419</t>
  </si>
  <si>
    <t>35000.4758.0422</t>
  </si>
  <si>
    <t>35031.0374.0640</t>
  </si>
  <si>
    <t>35030.0410.0635</t>
  </si>
  <si>
    <t>35031.4144.0647</t>
  </si>
  <si>
    <t>35150.0371.0501</t>
  </si>
  <si>
    <t>35150.0372.0600</t>
  </si>
  <si>
    <t>35150.0410.0635</t>
  </si>
  <si>
    <t>35150.0374.0640</t>
  </si>
  <si>
    <t>35150.4144.0647</t>
  </si>
  <si>
    <t>35150.0380.0613</t>
  </si>
  <si>
    <t>35076.0410.0635</t>
  </si>
  <si>
    <t>35076.4144.0647</t>
  </si>
  <si>
    <t>35080.0410.0635</t>
  </si>
  <si>
    <t>35082.0410.0635</t>
  </si>
  <si>
    <t>35077.0410.0635</t>
  </si>
  <si>
    <t>35100.0410.0635</t>
  </si>
  <si>
    <t>35107.0410.0635</t>
  </si>
  <si>
    <t>35108.0410.0635</t>
  </si>
  <si>
    <t>Grants / Conts</t>
  </si>
  <si>
    <t>Road and Traffic Signs</t>
  </si>
  <si>
    <t>Retained Earnings</t>
  </si>
  <si>
    <t>Water Operations</t>
  </si>
  <si>
    <t>Section 94 Recoupments</t>
  </si>
  <si>
    <t>Donations - Rates and Charges</t>
  </si>
  <si>
    <t>26080.8672.0124</t>
  </si>
  <si>
    <t>26064.7806.0190</t>
  </si>
  <si>
    <t>31040.0373.0601</t>
  </si>
  <si>
    <t>31083.1969.0613</t>
  </si>
  <si>
    <t>Add Additional Transfer to Main Street Cleaning - Alstonville</t>
  </si>
  <si>
    <t>Less Saving for Above Due to Reduction in Paved Footpaths</t>
  </si>
  <si>
    <t>Less Reduced Transfer to Rural Road Sealed Operations</t>
  </si>
  <si>
    <t>Less Reduced Transfer to Gravel Roads Operations</t>
  </si>
  <si>
    <t>32325.0980.0980</t>
  </si>
  <si>
    <t>32325.0680.0745</t>
  </si>
  <si>
    <t>32326.0450.0401</t>
  </si>
  <si>
    <t>32326.6566.0647</t>
  </si>
  <si>
    <t>Telephone Mobile Hardware</t>
  </si>
  <si>
    <t>Telephone Mobile Calls</t>
  </si>
  <si>
    <t>35150.8833.0401</t>
  </si>
  <si>
    <t>Reconciliation</t>
  </si>
  <si>
    <t>Footpath Funding Reconciliation</t>
  </si>
  <si>
    <t>Comm Infra - Fawcett Cafe Costs</t>
  </si>
  <si>
    <t>4091.8703.0960</t>
  </si>
  <si>
    <t>4591.8655.0961</t>
  </si>
  <si>
    <t>4591.8684.0961</t>
  </si>
  <si>
    <t>4091.8694.0960</t>
  </si>
  <si>
    <t>Other Water Transport</t>
  </si>
  <si>
    <t>Property Management</t>
  </si>
  <si>
    <t>Roads, Bridges and Footpaths</t>
  </si>
  <si>
    <t>Re-use Concrete Crushing</t>
  </si>
  <si>
    <t>Charge</t>
  </si>
  <si>
    <t>22231.5263.0138</t>
  </si>
  <si>
    <t>22100.2950.0044</t>
  </si>
  <si>
    <t>22101.2955.0166</t>
  </si>
  <si>
    <t>32322.0328.0343</t>
  </si>
  <si>
    <t>31080.0328.0343</t>
  </si>
  <si>
    <t>31040.0328.0343</t>
  </si>
  <si>
    <t>Stormwater Drainage</t>
  </si>
  <si>
    <t>32262.5343.0300</t>
  </si>
  <si>
    <t>Property Investigations</t>
  </si>
  <si>
    <t>Council Controlled - Crown Reserves</t>
  </si>
  <si>
    <t>Depreciation - Dog Control</t>
  </si>
  <si>
    <t>Office Expenses</t>
  </si>
  <si>
    <t>54000.8922.0326</t>
  </si>
  <si>
    <t>54000.8923.0401</t>
  </si>
  <si>
    <t>Air Conditioning</t>
  </si>
  <si>
    <t>21042.1643.0138</t>
  </si>
  <si>
    <t>54000.0300.0345</t>
  </si>
  <si>
    <t>Residential Properties - Sundries</t>
  </si>
  <si>
    <t>Comm Infra - Twn Centre Loans</t>
  </si>
  <si>
    <t>Detailed and Summary Check - General Fund Activities</t>
  </si>
  <si>
    <t>Regional Works Crew Nursery</t>
  </si>
  <si>
    <t>Councillor Election</t>
  </si>
  <si>
    <t>Jury Duty</t>
  </si>
  <si>
    <t>Meter Reading</t>
  </si>
  <si>
    <t>Hire of Dog Collar</t>
  </si>
  <si>
    <t>Bridges Rural Sealed</t>
  </si>
  <si>
    <t>Road Signs Vandalism</t>
  </si>
  <si>
    <t>32260.0300.0300</t>
  </si>
  <si>
    <t>26082.8676.0124</t>
  </si>
  <si>
    <t>Residential Connections #</t>
  </si>
  <si>
    <t>Vacant Properties #</t>
  </si>
  <si>
    <t>Growth Rate for Residential Connections %</t>
  </si>
  <si>
    <t>Water - Annual Access Charge $</t>
  </si>
  <si>
    <t>Water - Consumption Charges (&lt; 350) $</t>
  </si>
  <si>
    <t>Water - Consumption Charges (&gt; 350) $</t>
  </si>
  <si>
    <t>Total Water Consumption Residential (KLs)</t>
  </si>
  <si>
    <t>Average Consumption Per Res Connection (KL)</t>
  </si>
  <si>
    <t>Water Usage &gt; 350 Residential %</t>
  </si>
  <si>
    <t>35084</t>
  </si>
  <si>
    <t>35085</t>
  </si>
  <si>
    <t>Operating Reserve to</t>
  </si>
  <si>
    <t>Lighting Inspections</t>
  </si>
  <si>
    <t>Internally Restricted</t>
  </si>
  <si>
    <t>Insurance Buildings</t>
  </si>
  <si>
    <t>State Highways Routine Maintenance</t>
  </si>
  <si>
    <t>32320.0680.0740</t>
  </si>
  <si>
    <t>35110.0350.0401</t>
  </si>
  <si>
    <t>35110.0425.0401</t>
  </si>
  <si>
    <t>Event Contributions</t>
  </si>
  <si>
    <t>OPERATING RESULTS</t>
  </si>
  <si>
    <t>35078.0530.0401</t>
  </si>
  <si>
    <t>35077.8574.0401</t>
  </si>
  <si>
    <t>35077.8575.0401</t>
  </si>
  <si>
    <t>35077.2250.0401</t>
  </si>
  <si>
    <t>35076.8601.0980</t>
  </si>
  <si>
    <t>Section 603 Certificates</t>
  </si>
  <si>
    <t>Package (Certificates / Inspections)</t>
  </si>
  <si>
    <t>Principal</t>
  </si>
  <si>
    <t>Total Operating Revenues</t>
  </si>
  <si>
    <t>32330.6649.0401</t>
  </si>
  <si>
    <t>Total Capital Expenditure</t>
  </si>
  <si>
    <t>32020.2445.0401</t>
  </si>
  <si>
    <t>32001.2446.0655</t>
  </si>
  <si>
    <t>Wollongbar Residential Estate</t>
  </si>
  <si>
    <t>Southern Cross Industrial Estate</t>
  </si>
  <si>
    <t>32344.6929.0401</t>
  </si>
  <si>
    <t>32344.6930.0401</t>
  </si>
  <si>
    <t>32345.6991.0401</t>
  </si>
  <si>
    <t>32345.6992.0401</t>
  </si>
  <si>
    <t>32345.6994.0300</t>
  </si>
  <si>
    <t>32345.6991.0647</t>
  </si>
  <si>
    <t>32345.6995.0401</t>
  </si>
  <si>
    <t>32345.6997.0401</t>
  </si>
  <si>
    <t>32345.6998.0401</t>
  </si>
  <si>
    <t>Trade Waste</t>
  </si>
  <si>
    <t>(Reserve movements carried forward on following page)</t>
  </si>
  <si>
    <t>35005.0330.0501</t>
  </si>
  <si>
    <t>35015.7720.0640</t>
  </si>
  <si>
    <t>35015.7722.0640</t>
  </si>
  <si>
    <t>35015.7723.0640</t>
  </si>
  <si>
    <t>35015.0372.0600</t>
  </si>
  <si>
    <t>35015.0371.0501</t>
  </si>
  <si>
    <t>35015.0373.0601</t>
  </si>
  <si>
    <t>30000.0328.0343</t>
  </si>
  <si>
    <t>30000.0373.0601</t>
  </si>
  <si>
    <t>35110.4144.0647</t>
  </si>
  <si>
    <t>32340.0680.0751</t>
  </si>
  <si>
    <t>2021/2022</t>
  </si>
  <si>
    <t>Interest On investments</t>
  </si>
  <si>
    <t>Depot Other Costs</t>
  </si>
  <si>
    <t>31020.0328.0343</t>
  </si>
  <si>
    <t>31000.0328.0343</t>
  </si>
  <si>
    <t>32020.0328.0343</t>
  </si>
  <si>
    <t>Sundry Other Income</t>
  </si>
  <si>
    <t>12014.4520.0235</t>
  </si>
  <si>
    <t>26120.8818.0235</t>
  </si>
  <si>
    <t>35084.8689.0401</t>
  </si>
  <si>
    <t>32348.7025.0401</t>
  </si>
  <si>
    <t>32348.7026.0401</t>
  </si>
  <si>
    <t>32348.7027.0401</t>
  </si>
  <si>
    <t>32348.7028.0401</t>
  </si>
  <si>
    <t>32348.7029.0401</t>
  </si>
  <si>
    <t>Certificates</t>
  </si>
  <si>
    <t>Precinct 4 Angels Beach</t>
  </si>
  <si>
    <t>54000.0300.0340</t>
  </si>
  <si>
    <t>54000.8924.0980</t>
  </si>
  <si>
    <t>Operation Costs</t>
  </si>
  <si>
    <t>32262.5344.0300</t>
  </si>
  <si>
    <t>5000.2100.0945</t>
  </si>
  <si>
    <t>Unsealed Rural Roads - Maintenance</t>
  </si>
  <si>
    <t>Precinct 1 Seven Mile Beach</t>
  </si>
  <si>
    <t>26100.4109.0135</t>
  </si>
  <si>
    <t>Totals</t>
  </si>
  <si>
    <t>LEDGER</t>
  </si>
  <si>
    <t>ACCOUNT</t>
  </si>
  <si>
    <t>89 Tamar St Lift Maintenance</t>
  </si>
  <si>
    <t>89 Tamar St Air Conditioning</t>
  </si>
  <si>
    <t>Community Connect</t>
  </si>
  <si>
    <t>Stormwater Upgrades</t>
  </si>
  <si>
    <t xml:space="preserve">Urban Lanes </t>
  </si>
  <si>
    <t xml:space="preserve">Printing and Stationery </t>
  </si>
  <si>
    <t>Interest</t>
  </si>
  <si>
    <t>Plant Operations</t>
  </si>
  <si>
    <t>Regional Road 545 Operations</t>
  </si>
  <si>
    <t>Regional Road 545 Maintenance</t>
  </si>
  <si>
    <t>32243.3464.0401</t>
  </si>
  <si>
    <t>Regional Road 7734 Operations</t>
  </si>
  <si>
    <t>Special Rubbish Clean-Ups</t>
  </si>
  <si>
    <t>Telephone Weighbridge</t>
  </si>
  <si>
    <t>CIVIL SERVICES</t>
  </si>
  <si>
    <t>2338.6299.0401</t>
  </si>
  <si>
    <t>OPEN SPACES AND RESERVES</t>
  </si>
  <si>
    <t>FLEET AND PLANT</t>
  </si>
  <si>
    <t>35162.0350.0613</t>
  </si>
  <si>
    <t xml:space="preserve">Sundry Fees </t>
  </si>
  <si>
    <t>Non-Cash Expenses</t>
  </si>
  <si>
    <t>10011.3526.0235</t>
  </si>
  <si>
    <t>32326.6568.0401</t>
  </si>
  <si>
    <t>Sub Total Community Facilities</t>
  </si>
  <si>
    <t>Sub Total Open Spaces</t>
  </si>
  <si>
    <t>Other Capital Grants to Reserve</t>
  </si>
  <si>
    <t>22012.2438.0191</t>
  </si>
  <si>
    <t>4043.3353.0960</t>
  </si>
  <si>
    <t>26028.7814.0091</t>
  </si>
  <si>
    <t>26028.7815.0138</t>
  </si>
  <si>
    <t>54002.0680.0801</t>
  </si>
  <si>
    <t>54002.0680.0740</t>
  </si>
  <si>
    <t>Building Services</t>
  </si>
  <si>
    <t>4043.3341.0960</t>
  </si>
  <si>
    <t>4043.3355.0960</t>
  </si>
  <si>
    <t>4043.3340.0960</t>
  </si>
  <si>
    <t>4054.5508.0960</t>
  </si>
  <si>
    <t>35030.0420.0401</t>
  </si>
  <si>
    <t>Purchase of Water Rous CC Alstonville</t>
  </si>
  <si>
    <t>General Manager's Office</t>
  </si>
  <si>
    <t>Interest on Loans - Urban Roads</t>
  </si>
  <si>
    <t>CEMETERIES</t>
  </si>
  <si>
    <t>Regional Roads Block Grant</t>
  </si>
  <si>
    <t>Administration and Public Order</t>
  </si>
  <si>
    <t>Water Testing - Lake Ainsworth</t>
  </si>
  <si>
    <t>Bubble Aerator - Lake Ainsworth</t>
  </si>
  <si>
    <t>MGB Kerbside Collection Rural</t>
  </si>
  <si>
    <t>Diesel Fuel Rebate</t>
  </si>
  <si>
    <t>Forklift M &amp; R</t>
  </si>
  <si>
    <t>Auto Doors &amp; Lift M &amp; R</t>
  </si>
  <si>
    <t>Capital Grants and Contributions</t>
  </si>
  <si>
    <t>Williams Reserve</t>
  </si>
  <si>
    <t>Gum Creek Pumping Station</t>
  </si>
  <si>
    <t>Sundry</t>
  </si>
  <si>
    <t xml:space="preserve">Section 64 Contributions </t>
  </si>
  <si>
    <t>35005.7540.0401</t>
  </si>
  <si>
    <t>Repaid</t>
  </si>
  <si>
    <t>22010.2421.0138</t>
  </si>
  <si>
    <t>22010.2424.0138</t>
  </si>
  <si>
    <t>22010.2426.0138</t>
  </si>
  <si>
    <t>22011.2427.0167</t>
  </si>
  <si>
    <t>Current Liabilities to Rest Assets</t>
  </si>
  <si>
    <t>30021.1157.0401</t>
  </si>
  <si>
    <t>31082.0300.0300</t>
  </si>
  <si>
    <t>General Revenue</t>
  </si>
  <si>
    <t>Telephone Airport</t>
  </si>
  <si>
    <t>35145.0410.0635</t>
  </si>
  <si>
    <t>35145.0374.0640</t>
  </si>
  <si>
    <t>35125.0374.0640</t>
  </si>
  <si>
    <t>35115.4144.0647</t>
  </si>
  <si>
    <t>35162.0373.0601</t>
  </si>
  <si>
    <t>35162.4144.0647</t>
  </si>
  <si>
    <t>35162.0375.0527</t>
  </si>
  <si>
    <t>35162.0410.0635</t>
  </si>
  <si>
    <t>35162.0372.0600</t>
  </si>
  <si>
    <t>35162.0374.0640</t>
  </si>
  <si>
    <t>21080.1950.0222</t>
  </si>
  <si>
    <t>Rates Abandoned Farmland</t>
  </si>
  <si>
    <t>22281.6767.0226</t>
  </si>
  <si>
    <t>22281.6775.0233</t>
  </si>
  <si>
    <t>55004.4781.0401</t>
  </si>
  <si>
    <t>55002.4583.0980</t>
  </si>
  <si>
    <t>55006.0435.0700</t>
  </si>
  <si>
    <t>12010.4514.0103</t>
  </si>
  <si>
    <t>12010.4510.0103</t>
  </si>
  <si>
    <t>12010.4512.0103</t>
  </si>
  <si>
    <t>12010.4513.0103</t>
  </si>
  <si>
    <t>12012.4526.0091</t>
  </si>
  <si>
    <t>32200.0415.0690</t>
  </si>
  <si>
    <t>32200.4017.0401</t>
  </si>
  <si>
    <t>Residential Properties Maintenance</t>
  </si>
  <si>
    <t>Waste Collection</t>
  </si>
  <si>
    <t>Interest On Loans Plant</t>
  </si>
  <si>
    <t>50100.3626.0401</t>
  </si>
  <si>
    <t>50102.3636.0647</t>
  </si>
  <si>
    <t>50102.3637.0647</t>
  </si>
  <si>
    <t>Re-use Soil and Loam</t>
  </si>
  <si>
    <t>Service Charges</t>
  </si>
  <si>
    <t>35070.0504.0347</t>
  </si>
  <si>
    <t>Council Equity Interest</t>
  </si>
  <si>
    <t>External Loans Outstanding</t>
  </si>
  <si>
    <t xml:space="preserve">State Roads - Works Order </t>
  </si>
  <si>
    <t>Legal Costs Raised</t>
  </si>
  <si>
    <t>21080.6775.0138</t>
  </si>
  <si>
    <t>Change in Net Assets as per AAS27</t>
  </si>
  <si>
    <t>AVAILABLE FUNDS RECONCILIATION</t>
  </si>
  <si>
    <t>Insurance</t>
  </si>
  <si>
    <t>Funding Source 2021/22</t>
  </si>
  <si>
    <t>Residential Properties - Insurance</t>
  </si>
  <si>
    <t>Residential Properties - Rates</t>
  </si>
  <si>
    <t>Crown Land Properties</t>
  </si>
  <si>
    <t>Salaries - Infrastructure Planning</t>
  </si>
  <si>
    <t>Salaries - Engineering Works</t>
  </si>
  <si>
    <t>Interest On Loans Airport</t>
  </si>
  <si>
    <t>Unwinding Interest Free Loan</t>
  </si>
  <si>
    <t>32110.0683.0703</t>
  </si>
  <si>
    <t>Kentwell Community Centre</t>
  </si>
  <si>
    <t>22241.5600.0148</t>
  </si>
  <si>
    <t>Porter Park</t>
  </si>
  <si>
    <t>Depreciation - Engineering</t>
  </si>
  <si>
    <t>Education - Salaries and Oncosts</t>
  </si>
  <si>
    <t>Education - Promotional Activities</t>
  </si>
  <si>
    <t>Traffic Facilities</t>
  </si>
  <si>
    <t>Reserve Dissection</t>
  </si>
  <si>
    <t>50005.3580.0322</t>
  </si>
  <si>
    <t>PROPERTY MANAGEMENT (cont'd)</t>
  </si>
  <si>
    <t>Total Overheads and Contras</t>
  </si>
  <si>
    <t>Governance Charges</t>
  </si>
  <si>
    <t>Ballina Shire Council</t>
  </si>
  <si>
    <t>35055.7958.0340</t>
  </si>
  <si>
    <t>Total Capital Grants and Contributions</t>
  </si>
  <si>
    <t>Cemetry Fees</t>
  </si>
  <si>
    <t>31083.1969.0700</t>
  </si>
  <si>
    <t>Australia Day</t>
  </si>
  <si>
    <t>Paid Carparking</t>
  </si>
  <si>
    <t>Dog Impounding Fees</t>
  </si>
  <si>
    <t>Dog Fines</t>
  </si>
  <si>
    <t>Cash Result</t>
  </si>
  <si>
    <t>Waste - Domestic</t>
  </si>
  <si>
    <t>Add: Non-cash items - Depreciation</t>
  </si>
  <si>
    <t>21000.1305.0061</t>
  </si>
  <si>
    <t>21000.1306.0061</t>
  </si>
  <si>
    <t>21000.1307.0061</t>
  </si>
  <si>
    <t>21000.1308.0138</t>
  </si>
  <si>
    <t>21001.1309.0138</t>
  </si>
  <si>
    <t>21001.1310.0228</t>
  </si>
  <si>
    <t>31000.0300.0300</t>
  </si>
  <si>
    <t>Current Liabilities</t>
  </si>
  <si>
    <t>Payables</t>
  </si>
  <si>
    <t xml:space="preserve">Borrowings </t>
  </si>
  <si>
    <t>Provisions</t>
  </si>
  <si>
    <t>Total Current Liabilities</t>
  </si>
  <si>
    <t>Non Current Liabilities</t>
  </si>
  <si>
    <t>Total Non-Current Liabilities</t>
  </si>
  <si>
    <t>85000-003</t>
  </si>
  <si>
    <t>From</t>
  </si>
  <si>
    <t>Net</t>
  </si>
  <si>
    <t>Depreciation - Halls</t>
  </si>
  <si>
    <t>Footpath Dining and Airspace</t>
  </si>
  <si>
    <t>Refunds - Insurance</t>
  </si>
  <si>
    <t>Training Contributions</t>
  </si>
  <si>
    <t>Russellton Industrial Estate Sales</t>
  </si>
  <si>
    <t>Southern Cross Industrial Estate Sales</t>
  </si>
  <si>
    <t>Sewer to refurb</t>
  </si>
  <si>
    <t>Sub Total Water &amp; Sewer Funds</t>
  </si>
  <si>
    <t>Sewer to S64</t>
  </si>
  <si>
    <t>26050</t>
  </si>
  <si>
    <t>35050</t>
  </si>
  <si>
    <t>35051</t>
  </si>
  <si>
    <t>Reserve S/Sheet</t>
  </si>
  <si>
    <t>Adjustments</t>
  </si>
  <si>
    <t>Reserve Spreadsheet</t>
  </si>
  <si>
    <t>26028.7817.0138</t>
  </si>
  <si>
    <t>26028.7818.0036</t>
  </si>
  <si>
    <t>26028.7819.0138</t>
  </si>
  <si>
    <t>32275.5623.0401</t>
  </si>
  <si>
    <t>Building Enquiry Fee</t>
  </si>
  <si>
    <t>Saunders Oval Expansion</t>
  </si>
  <si>
    <t>32279.5756.0401</t>
  </si>
  <si>
    <t>Other Properties (Council)</t>
  </si>
  <si>
    <t>Total - GM's Group</t>
  </si>
  <si>
    <t>Wigmore Arcade to</t>
  </si>
  <si>
    <t>35040.7900.0416</t>
  </si>
  <si>
    <t>35040.7900.0401</t>
  </si>
  <si>
    <t>35040.7901.0401</t>
  </si>
  <si>
    <t>35040.7902.0401</t>
  </si>
  <si>
    <t>35040.7904.0401</t>
  </si>
  <si>
    <t>35040.7905.0401</t>
  </si>
  <si>
    <t>35040.7906.0401</t>
  </si>
  <si>
    <t>35040.7907.0401</t>
  </si>
  <si>
    <t>Sundry Sales and Services</t>
  </si>
  <si>
    <t>Hardware</t>
  </si>
  <si>
    <t>Visitor Information Centre - Commissions</t>
  </si>
  <si>
    <t>Numerator</t>
  </si>
  <si>
    <t>Denominator</t>
  </si>
  <si>
    <t>Staff Training Internal</t>
  </si>
  <si>
    <t>31020.0350.0501</t>
  </si>
  <si>
    <t>26100.4118.0190</t>
  </si>
  <si>
    <t>26100.4120.0169</t>
  </si>
  <si>
    <t>54000.0300.0300</t>
  </si>
  <si>
    <t>32241.3464.0401</t>
  </si>
  <si>
    <t>Development</t>
  </si>
  <si>
    <t>Motor Vehicles (Quantity)</t>
  </si>
  <si>
    <t>Airport Emergency Generator</t>
  </si>
  <si>
    <t>32001.0415.0690</t>
  </si>
  <si>
    <t>26020.0100.0010</t>
  </si>
  <si>
    <t xml:space="preserve">Dog Pound </t>
  </si>
  <si>
    <t xml:space="preserve">Naval Museum and Florrie </t>
  </si>
  <si>
    <t>Life Education Van</t>
  </si>
  <si>
    <t>Buildings and Furniture Maintenance</t>
  </si>
  <si>
    <t>Operating Grants</t>
  </si>
  <si>
    <t>Fees and Charges</t>
  </si>
  <si>
    <t>De-Watering Costs</t>
  </si>
  <si>
    <t>Sandpit Sales</t>
  </si>
  <si>
    <t xml:space="preserve">Postage </t>
  </si>
  <si>
    <t>Licence Controlled Waste Facility</t>
  </si>
  <si>
    <t>32135.4257.0401</t>
  </si>
  <si>
    <t>22283.6820.0101</t>
  </si>
  <si>
    <t>32286.5901.0401</t>
  </si>
  <si>
    <t>Revaluation Reserves</t>
  </si>
  <si>
    <t>Shellys</t>
  </si>
  <si>
    <t>Telecommunications</t>
  </si>
  <si>
    <t>Dog Pound Electricity</t>
  </si>
  <si>
    <t>Dog Pound Food</t>
  </si>
  <si>
    <t>Dog Pound Impounding Expenses</t>
  </si>
  <si>
    <t>Dog Control Legals</t>
  </si>
  <si>
    <t>Dog Control Veterinary Expenses</t>
  </si>
  <si>
    <t>32364.7351.0690</t>
  </si>
  <si>
    <t>31061.4144.0647</t>
  </si>
  <si>
    <t>31061.0374.0640</t>
  </si>
  <si>
    <t>Less Loan Principal Repayments</t>
  </si>
  <si>
    <t>Economic Development Programs</t>
  </si>
  <si>
    <t>Northern Rivers Community Gallery</t>
  </si>
  <si>
    <t>Lennox Head Cultural and Community Centre</t>
  </si>
  <si>
    <t>Public Halls</t>
  </si>
  <si>
    <t>Subtract Funds Deployed for Non-operating Purposes</t>
  </si>
  <si>
    <t>Lennox/Skennars</t>
  </si>
  <si>
    <t>Subtract Unexpended Grants and Contributions Received During Year</t>
  </si>
  <si>
    <t>2009/10</t>
  </si>
  <si>
    <t>Funding Sources</t>
  </si>
  <si>
    <t>Fed Assistance Grant</t>
  </si>
  <si>
    <t>Audit &amp; Legal Res</t>
  </si>
  <si>
    <t>35020.7837.0613</t>
  </si>
  <si>
    <t>Safe Custody (Investments)</t>
  </si>
  <si>
    <t>50005.0410.0635</t>
  </si>
  <si>
    <t>50005.0371.0501</t>
  </si>
  <si>
    <t>50005.0374.0640</t>
  </si>
  <si>
    <t>55002.0410.0635</t>
  </si>
  <si>
    <t>55002.0374.0640</t>
  </si>
  <si>
    <t>55002.0371.0501</t>
  </si>
  <si>
    <t>32020.0373.0601</t>
  </si>
  <si>
    <t>Community Gallery</t>
  </si>
  <si>
    <t>2017/2018</t>
  </si>
  <si>
    <t>Library Services</t>
  </si>
  <si>
    <t>7502.4835.0401</t>
  </si>
  <si>
    <t>35125.4131.0401</t>
  </si>
  <si>
    <t>35125.4132.0401</t>
  </si>
  <si>
    <t>35125.4133.0401</t>
  </si>
  <si>
    <t>32300.6001.0401</t>
  </si>
  <si>
    <t>32300.6002.0401</t>
  </si>
  <si>
    <t>32300.0630.0341</t>
  </si>
  <si>
    <t>32300.0680.0746</t>
  </si>
  <si>
    <t>Trade Waste Application Fees</t>
  </si>
  <si>
    <t>Airport - Runway (LIRS)</t>
  </si>
  <si>
    <t>30003.1082.0401</t>
  </si>
  <si>
    <t>22001.5321.0229</t>
  </si>
  <si>
    <t>32001.2265.0401</t>
  </si>
  <si>
    <t>22110.3339.0165</t>
  </si>
  <si>
    <t>Property</t>
  </si>
  <si>
    <t>32262.5374.0300</t>
  </si>
  <si>
    <t>32262.5375.0300</t>
  </si>
  <si>
    <t>Sportsground Supervisor OSR Duties</t>
  </si>
  <si>
    <t>NSW LIRS Loan Subsidy</t>
  </si>
  <si>
    <t>22150.4120.0169</t>
  </si>
  <si>
    <t>22110.4120.0169</t>
  </si>
  <si>
    <t>2023/2024</t>
  </si>
  <si>
    <t>2022/23</t>
  </si>
  <si>
    <t>Funding Sources 2016/17</t>
  </si>
  <si>
    <t>Funding Source 2022/23</t>
  </si>
  <si>
    <t>AMP - Roads &amp; Transport</t>
  </si>
  <si>
    <t>Operations &amp; Maintenance</t>
  </si>
  <si>
    <t>Pavements</t>
  </si>
  <si>
    <t>Footpaths &amp; Cycleways</t>
  </si>
  <si>
    <t>Jetties, Boat Ramps, Ferry &amp; Wharf</t>
  </si>
  <si>
    <t>Kerb &amp; Gutter (concrete)</t>
  </si>
  <si>
    <t>Street Signage</t>
  </si>
  <si>
    <t>AMP - Roads Operations &amp; Maintenance</t>
  </si>
  <si>
    <t>Renewals</t>
  </si>
  <si>
    <t>Pavement</t>
  </si>
  <si>
    <t>Kerb &amp; Gutter</t>
  </si>
  <si>
    <t>AMP - Roads Renewals</t>
  </si>
  <si>
    <t>LTFP - Roads &amp; Transport</t>
  </si>
  <si>
    <t>LTFP - Roads Operations &amp; Maintenance</t>
  </si>
  <si>
    <t>LTFP - Roads Renewals</t>
  </si>
  <si>
    <t>AMP - Stormwater</t>
  </si>
  <si>
    <t>Urban Reticulation</t>
  </si>
  <si>
    <t>Rural Culverts</t>
  </si>
  <si>
    <t>Stormwater Outlets</t>
  </si>
  <si>
    <t>LTFP - Stormwater</t>
  </si>
  <si>
    <t>AMP - Water</t>
  </si>
  <si>
    <t>Treatment</t>
  </si>
  <si>
    <t>Pipes</t>
  </si>
  <si>
    <t>Pumps &amp; Bores</t>
  </si>
  <si>
    <t>Storage</t>
  </si>
  <si>
    <t>Meters</t>
  </si>
  <si>
    <t>LTFP - Water</t>
  </si>
  <si>
    <t>AMP - Sewer</t>
  </si>
  <si>
    <t>Pump Stations</t>
  </si>
  <si>
    <t>LTFP - Sewer</t>
  </si>
  <si>
    <t>AMP - Totals</t>
  </si>
  <si>
    <t>LTFP - Totals</t>
  </si>
  <si>
    <t>Difference - LTFP to AMP</t>
  </si>
  <si>
    <t>Cumulative Difference - LTFP to AMP</t>
  </si>
  <si>
    <t>AMP Totals</t>
  </si>
  <si>
    <t>LTFP Totals</t>
  </si>
  <si>
    <t>AMP - Stormwater Operations &amp; Maintenance</t>
  </si>
  <si>
    <t>AMP - Stormwater Renewals</t>
  </si>
  <si>
    <t>LTFP - Stormwater Operations &amp; Maintenance</t>
  </si>
  <si>
    <t>LTFP - Stormwater Renewals</t>
  </si>
  <si>
    <t>AMP - Water Operations &amp; Maintenance</t>
  </si>
  <si>
    <t>AMP - Water Renewals</t>
  </si>
  <si>
    <t>AMP - Water Total</t>
  </si>
  <si>
    <t>LTFP - Water Operations &amp; Maintenance</t>
  </si>
  <si>
    <t>LTFP - Water Renewals</t>
  </si>
  <si>
    <t>LTFP - Water Total</t>
  </si>
  <si>
    <t>AMP - Sewer Operations &amp; Maintenance</t>
  </si>
  <si>
    <t>AMP - Sewer Renewals</t>
  </si>
  <si>
    <t>AMP - Sewer Total</t>
  </si>
  <si>
    <t>LTFP - Sewer Operations &amp; Maintenance</t>
  </si>
  <si>
    <t>LTFP - Sewer Renewals</t>
  </si>
  <si>
    <t>LTFP - Sewer Total</t>
  </si>
  <si>
    <t>21020.1485.0062</t>
  </si>
  <si>
    <t>30023.8675.0401</t>
  </si>
  <si>
    <t>Vacation Care Services</t>
  </si>
  <si>
    <t>Solar Panel Rebates</t>
  </si>
  <si>
    <t>Bitou Bush Control (Council Lands)</t>
  </si>
  <si>
    <t>Reservoirs - Ross Lane (New)</t>
  </si>
  <si>
    <t xml:space="preserve">Street Lighting </t>
  </si>
  <si>
    <t>35005.0410.0635</t>
  </si>
  <si>
    <t>35020.7850.0613</t>
  </si>
  <si>
    <t>35020.7849.0613</t>
  </si>
  <si>
    <t>35020.7851.0613</t>
  </si>
  <si>
    <t>Secure Pay Fees</t>
  </si>
  <si>
    <t>35152.8853.0401</t>
  </si>
  <si>
    <t>35077.0415.0690</t>
  </si>
  <si>
    <t>Lennox Head Centre - Hire</t>
  </si>
  <si>
    <t>Lennox Head Centre - Vacation Care</t>
  </si>
  <si>
    <t>Technical Equipment - Maintenance</t>
  </si>
  <si>
    <t>Professional Services</t>
  </si>
  <si>
    <t>SQIDS Lennox Head</t>
  </si>
  <si>
    <t>32020.2486.0401</t>
  </si>
  <si>
    <t>32101.3099.0401</t>
  </si>
  <si>
    <t>32279.5760.0401</t>
  </si>
  <si>
    <t>26120.8810.0235</t>
  </si>
  <si>
    <t>35075.0530.0401</t>
  </si>
  <si>
    <t>35080.8585.0635</t>
  </si>
  <si>
    <t>4086.4433.0960</t>
  </si>
  <si>
    <t>4093.4424.0960</t>
  </si>
  <si>
    <t>Wollongbar Residential Estate Rates</t>
  </si>
  <si>
    <t>35072.0415.0690</t>
  </si>
  <si>
    <t>55002.7964.0300</t>
  </si>
  <si>
    <t>26083.8675.0138</t>
  </si>
  <si>
    <t>54000.0300.0335</t>
  </si>
  <si>
    <t>10004.3545.0193</t>
  </si>
  <si>
    <t xml:space="preserve">Charged to Private Works </t>
  </si>
  <si>
    <t>22154.4212.0134</t>
  </si>
  <si>
    <t>Regional Road 695 Operations</t>
  </si>
  <si>
    <t>Regional Road 695 Maintenance</t>
  </si>
  <si>
    <t>32310.0410.0635</t>
  </si>
  <si>
    <t>32310.4144.0647</t>
  </si>
  <si>
    <t>35078.0410.0635</t>
  </si>
  <si>
    <t>Overheads - Wollongbar</t>
  </si>
  <si>
    <t>35085.8602.0980</t>
  </si>
  <si>
    <t>Overheads</t>
  </si>
  <si>
    <t>32300.0980.0980</t>
  </si>
  <si>
    <t>30020.0980.0980</t>
  </si>
  <si>
    <t>Community Centres Overheads</t>
  </si>
  <si>
    <t>Lumley's Lane PMZ</t>
  </si>
  <si>
    <t>SP4004 - Upgrade Pumps</t>
  </si>
  <si>
    <t>35001.7517.0622</t>
  </si>
  <si>
    <t>26081.8678.0124</t>
  </si>
  <si>
    <t>32300.0980.0985</t>
  </si>
  <si>
    <t>Overheads Reversal</t>
  </si>
  <si>
    <t>Wollongbar Sports Fields</t>
  </si>
  <si>
    <t>Depot Two - Yard Maintenance</t>
  </si>
  <si>
    <t>Asset Condition Assessments</t>
  </si>
  <si>
    <t>Add Additional Transfer to Urban Roads Heavy Patching</t>
  </si>
  <si>
    <t>22230.5242.0169</t>
  </si>
  <si>
    <t>Donation</t>
  </si>
  <si>
    <t>Donation - Mowing on Private Property</t>
  </si>
  <si>
    <t xml:space="preserve">Street Tree Planting Program </t>
  </si>
  <si>
    <t>32267.5421.0401</t>
  </si>
  <si>
    <t>Skatepark (Ballina) Vandalism</t>
  </si>
  <si>
    <t>Repairs to Plant and Tools</t>
  </si>
  <si>
    <t xml:space="preserve">Contract Alstonville </t>
  </si>
  <si>
    <t>Contract Ballina</t>
  </si>
  <si>
    <t>Bin Purchases / Distribution/ Repair</t>
  </si>
  <si>
    <t>Rental - Crown Lands</t>
  </si>
  <si>
    <t>Purchase of Goods for Resale</t>
  </si>
  <si>
    <t>Marquee Maintenance and Replacement</t>
  </si>
  <si>
    <t>Fawcett Park Cafe Insurance</t>
  </si>
  <si>
    <t>Target Dividend</t>
  </si>
  <si>
    <t xml:space="preserve">RMS Works </t>
  </si>
  <si>
    <t>Pound</t>
  </si>
  <si>
    <t>Roads (Community Infrastructure)</t>
  </si>
  <si>
    <t>Planning Proposals - Rezonings</t>
  </si>
  <si>
    <t>Planning Proposals - Fee for Service</t>
  </si>
  <si>
    <t>Alstonville Bypass Handover</t>
  </si>
  <si>
    <t>Internal Audits</t>
  </si>
  <si>
    <t>Collection Kerbside - Disposal Fees</t>
  </si>
  <si>
    <t>Collection Kerbside - Recycling</t>
  </si>
  <si>
    <t>Collection Kerbside - Mixed Waste</t>
  </si>
  <si>
    <t>Waste Trucks - Operating Expenses</t>
  </si>
  <si>
    <t>Road Safety Officer and Programs</t>
  </si>
  <si>
    <t xml:space="preserve">Alstonville Bypass Handover </t>
  </si>
  <si>
    <t>Drainage Works</t>
  </si>
  <si>
    <t>Richmond River Blackwater</t>
  </si>
  <si>
    <t>Rental - NSW State Govt - Crown Land</t>
  </si>
  <si>
    <t>Office Equipment and Furniture</t>
  </si>
  <si>
    <t>WASTEWATER OPERATIONS</t>
  </si>
  <si>
    <t>Wastewater Operations</t>
  </si>
  <si>
    <t>Community Service Programs</t>
  </si>
  <si>
    <t>Promotional and Interpretative Signage</t>
  </si>
  <si>
    <t>Regulatory Fees and Charges</t>
  </si>
  <si>
    <t>Projects and Kits</t>
  </si>
  <si>
    <t>Roads and Maritime Services</t>
  </si>
  <si>
    <t>State Levy</t>
  </si>
  <si>
    <t>Works Depot - Employee Costs</t>
  </si>
  <si>
    <t>Works Depot - Operating Expenses</t>
  </si>
  <si>
    <t>Boat Ramp Maintenance and Cleaning</t>
  </si>
  <si>
    <t>Flood and Storm Damage</t>
  </si>
  <si>
    <t>Nursery - Sales</t>
  </si>
  <si>
    <t>4WD Permits</t>
  </si>
  <si>
    <t>Miscellaneous Fees</t>
  </si>
  <si>
    <t>Surf Life Saving Services - Contract</t>
  </si>
  <si>
    <t>Audit - External</t>
  </si>
  <si>
    <t>Audit - Internal</t>
  </si>
  <si>
    <t>Hardware Support Costs</t>
  </si>
  <si>
    <t>Software - Civica Licence</t>
  </si>
  <si>
    <t>Refunds - Workers Compensation</t>
  </si>
  <si>
    <t>Maternity Leave - Centrelink Payments</t>
  </si>
  <si>
    <t>Workers Compensation Premiums</t>
  </si>
  <si>
    <t>Properties - Council Commercial</t>
  </si>
  <si>
    <t>Footpaths / Shared Paths</t>
  </si>
  <si>
    <t>Open Space Programs</t>
  </si>
  <si>
    <t>Landfill and Resource Management</t>
  </si>
  <si>
    <t>The following loans reduce the overall roads budget</t>
  </si>
  <si>
    <t>CIVIL SERVICES GROUP - SUMMARY (GENERAL FUND)</t>
  </si>
  <si>
    <t>LANDFILL AND RESOURCE MANAGEMENT</t>
  </si>
  <si>
    <t>CIVIL SERVICES GROUP - SUMMARY (WATER AND WASTEWATER)</t>
  </si>
  <si>
    <t>SECTION 94 CONTRIBUTIONS COLLECTED</t>
  </si>
  <si>
    <t>SECTION 94 CONTRIBUTIONS APPLIED</t>
  </si>
  <si>
    <t>SECTION 94 CONTRIBUTIONS - PLAN BALANCES</t>
  </si>
  <si>
    <t>CAPITAL GRANTS AND CAPITAL CONTRIBUTIONS</t>
  </si>
  <si>
    <t>CAPITAL EXPENDITURE - GENERAL FUND</t>
  </si>
  <si>
    <t>Roads and Ancillary Transport</t>
  </si>
  <si>
    <t>Asset Data Collection</t>
  </si>
  <si>
    <t>Alison Ave</t>
  </si>
  <si>
    <t>Megan Cr/Dodge Ln</t>
  </si>
  <si>
    <t>Allens Pde</t>
  </si>
  <si>
    <t>26087.8678.0124</t>
  </si>
  <si>
    <t>Depot Lighting</t>
  </si>
  <si>
    <t>Public Amenities</t>
  </si>
  <si>
    <t>2325.3434.0401</t>
  </si>
  <si>
    <t>2315.5022.0401</t>
  </si>
  <si>
    <t>30025.0425.0401</t>
  </si>
  <si>
    <t>30025.4144.0647</t>
  </si>
  <si>
    <t>30025.8700.0401</t>
  </si>
  <si>
    <t>30025.0415.0690</t>
  </si>
  <si>
    <t>30025.0420.0401</t>
  </si>
  <si>
    <t>30025.2250.0401</t>
  </si>
  <si>
    <t>30025.0410.0635</t>
  </si>
  <si>
    <t>26082.8678.0124</t>
  </si>
  <si>
    <t>32348.7033.0401</t>
  </si>
  <si>
    <t>2010.3117.0401</t>
  </si>
  <si>
    <t>2010.3120.0401</t>
  </si>
  <si>
    <t>2010.3135.0401</t>
  </si>
  <si>
    <t>2010.3136.0401</t>
  </si>
  <si>
    <t>Carrs Bridge (River Dr)</t>
  </si>
  <si>
    <t>2079.3401.0401</t>
  </si>
  <si>
    <t>Williams reserve</t>
  </si>
  <si>
    <t>2024.6591.0401</t>
  </si>
  <si>
    <t>2205.4198.0401</t>
  </si>
  <si>
    <t>WUEA Link Road Loan</t>
  </si>
  <si>
    <t>Recoupments</t>
  </si>
  <si>
    <t>4501.1172.0961</t>
  </si>
  <si>
    <t>Revoving Enfergy re Lighting</t>
  </si>
  <si>
    <t>Other properties re Lighting</t>
  </si>
  <si>
    <t>Crown Properties re Expansion</t>
  </si>
  <si>
    <t>4081.4066.0960</t>
  </si>
  <si>
    <t>4081.7881.0960</t>
  </si>
  <si>
    <t>Comm Infra - LHCC Insurance Claim</t>
  </si>
  <si>
    <t>Comm Infra - Land Sales</t>
  </si>
  <si>
    <t>4591.8618.0961</t>
  </si>
  <si>
    <t>Comm Infra - Pools</t>
  </si>
  <si>
    <t>4069.8617.0960</t>
  </si>
  <si>
    <t>4046.4068.0960</t>
  </si>
  <si>
    <t>Porter Park Playground</t>
  </si>
  <si>
    <t>Public Amenities Lighting fr Oth Property</t>
  </si>
  <si>
    <t>4058.4191.0960</t>
  </si>
  <si>
    <t>Ballina Entrance fr Cemetery</t>
  </si>
  <si>
    <t>4062.6295.0960</t>
  </si>
  <si>
    <t>Quarries to (Op Profit)</t>
  </si>
  <si>
    <t>Tuckombil from (Capital/Dividend)</t>
  </si>
  <si>
    <t>S64 Water Contrib</t>
  </si>
  <si>
    <t>Non Cash Contrib</t>
  </si>
  <si>
    <t>S64 Sewer Contrib</t>
  </si>
  <si>
    <t>Water &amp; Sewer Capital Income (for Budget Loading Only)</t>
  </si>
  <si>
    <t>7005.3899.0401</t>
  </si>
  <si>
    <t>7005.3902.0401</t>
  </si>
  <si>
    <t>7003.3903.0401</t>
  </si>
  <si>
    <t>7003.3904.0401</t>
  </si>
  <si>
    <t>7006.3908.0401</t>
  </si>
  <si>
    <t>ENVIRONMENTAL AND PUBLIC HEALTH</t>
  </si>
  <si>
    <t>Environmental and Public Health</t>
  </si>
  <si>
    <t>50005.3578.0690</t>
  </si>
  <si>
    <t>50005.3579.0690</t>
  </si>
  <si>
    <t>Contribution WUEA Recoupments</t>
  </si>
  <si>
    <t>55002.3578.0690</t>
  </si>
  <si>
    <t>55002.3579.0690</t>
  </si>
  <si>
    <t>26063.8523.0270</t>
  </si>
  <si>
    <t>26063.8524.0270</t>
  </si>
  <si>
    <t>35070.2599.0622</t>
  </si>
  <si>
    <t>35070.2598.0622</t>
  </si>
  <si>
    <t>Ballina Hts Land Donations</t>
  </si>
  <si>
    <t>WUEA Land Donations</t>
  </si>
  <si>
    <t>Open Spaces (WUEA)</t>
  </si>
  <si>
    <t>Sub Total Recouped (Land Schemes)</t>
  </si>
  <si>
    <t>Community Facilities (WUEA)</t>
  </si>
  <si>
    <t>Roads (WUEA)</t>
  </si>
  <si>
    <t>Section 64 Recoupments (WUEA)</t>
  </si>
  <si>
    <t>Section 64 Recoupments (Ballina Hts)</t>
  </si>
  <si>
    <t>30021.1084.0401</t>
  </si>
  <si>
    <t>Depot Two - Building Maintenance</t>
  </si>
  <si>
    <t>22010.2423.0138</t>
  </si>
  <si>
    <t>2010.3133.0401</t>
  </si>
  <si>
    <t>22110.3389.0165</t>
  </si>
  <si>
    <t>RMS Ballina Bypass Handover</t>
  </si>
  <si>
    <t>Ballina Bypass Handover</t>
  </si>
  <si>
    <t>22155.4052.0182</t>
  </si>
  <si>
    <t>2024.4389.0401</t>
  </si>
  <si>
    <t>22210.4058.0160</t>
  </si>
  <si>
    <t>32320.0350.0420</t>
  </si>
  <si>
    <t xml:space="preserve">Bank Charges </t>
  </si>
  <si>
    <t>35081.0530.0401</t>
  </si>
  <si>
    <t>4063.6306.0960</t>
  </si>
  <si>
    <t xml:space="preserve">Recoupments - WUEA </t>
  </si>
  <si>
    <t>Recoupments - Ballina heights</t>
  </si>
  <si>
    <t>4089.8538.0960</t>
  </si>
  <si>
    <t>4089.8539.0960</t>
  </si>
  <si>
    <t>S64 Recoupments</t>
  </si>
  <si>
    <t>4589.8663.0961</t>
  </si>
  <si>
    <t>4589.8660.0961</t>
  </si>
  <si>
    <t>4089.8644.0960</t>
  </si>
  <si>
    <t>4089.8645.0960</t>
  </si>
  <si>
    <t>Water from S64 WUEA Recoup</t>
  </si>
  <si>
    <t>Water from S64 Bal Hts Recoup</t>
  </si>
  <si>
    <t>4110.3913.0960</t>
  </si>
  <si>
    <t>4110.3914.0960</t>
  </si>
  <si>
    <t>Sewer from S64 WUEA Recoup</t>
  </si>
  <si>
    <t>Sewer from S64 Bal Hts Recoup</t>
  </si>
  <si>
    <t>4113.3913.0960</t>
  </si>
  <si>
    <t>4113.3914.0960</t>
  </si>
  <si>
    <t>User Fees and Charges</t>
  </si>
  <si>
    <t>Interest Revenue</t>
  </si>
  <si>
    <t>User Fees &amp; Charges</t>
  </si>
  <si>
    <t>30002.1148.0401</t>
  </si>
  <si>
    <t>32286.5363.0401</t>
  </si>
  <si>
    <t>Electronic Housing Code Project</t>
  </si>
  <si>
    <t>21002.1319.0166</t>
  </si>
  <si>
    <t>Visitor Information Centre</t>
  </si>
  <si>
    <t>Total - Dev &amp; Env Health Group</t>
  </si>
  <si>
    <t>GENERAL MANAGER'S GROUP</t>
  </si>
  <si>
    <t>DEVELOPMENT &amp; ENV HEALTH GROUP</t>
  </si>
  <si>
    <t>STRATEGIC &amp; COMMUNITY FACILITIES GROUP</t>
  </si>
  <si>
    <t>STRATEGIC AND COMMUNITY FACILITIES GROUP - SUMMARY</t>
  </si>
  <si>
    <t>Strategic and Community Facilities Group</t>
  </si>
  <si>
    <t>Total - Strat &amp; Comm Facilities</t>
  </si>
  <si>
    <t>26028.7825.0138</t>
  </si>
  <si>
    <t>32001.2266.0401</t>
  </si>
  <si>
    <t>32001.2268.0401</t>
  </si>
  <si>
    <t>32100.0350.0501</t>
  </si>
  <si>
    <t>32200.0410.0635</t>
  </si>
  <si>
    <t>32251.3460.0401</t>
  </si>
  <si>
    <t>32252.3464.0401</t>
  </si>
  <si>
    <t>Conferences</t>
  </si>
  <si>
    <t>35162.0378.0401</t>
  </si>
  <si>
    <t>4054.5507.0960</t>
  </si>
  <si>
    <t>2102.2287.0401</t>
  </si>
  <si>
    <t>35120.0328.0343</t>
  </si>
  <si>
    <t>35152.4242.0401</t>
  </si>
  <si>
    <t>26067.6300.0228</t>
  </si>
  <si>
    <t>2334.3401.0401</t>
  </si>
  <si>
    <t>Alstonville Bypass</t>
  </si>
  <si>
    <t>2074.5188.0401</t>
  </si>
  <si>
    <t>4044.7855.0960</t>
  </si>
  <si>
    <t>Ballina Bypass</t>
  </si>
  <si>
    <t>4044.3396.0960</t>
  </si>
  <si>
    <t>4016.1166.0960</t>
  </si>
  <si>
    <t>Renovation from Com Opp</t>
  </si>
  <si>
    <t>4108.2821.0960</t>
  </si>
  <si>
    <t>32326.2962.0401</t>
  </si>
  <si>
    <t>32325.5881.0401</t>
  </si>
  <si>
    <t>Quarry Expansion Study</t>
  </si>
  <si>
    <t>Property Development Reserve</t>
  </si>
  <si>
    <t>Property Development</t>
  </si>
  <si>
    <t>4091.8649.0960</t>
  </si>
  <si>
    <t>22010.2419.0235</t>
  </si>
  <si>
    <t>Interest on Investments - Property Dev</t>
  </si>
  <si>
    <t>4091.6307.0960</t>
  </si>
  <si>
    <t>Property  Development</t>
  </si>
  <si>
    <t xml:space="preserve">Pollution Control </t>
  </si>
  <si>
    <t>Treatment - Corey to remove eng &amp; tech costs</t>
  </si>
  <si>
    <t>35152.8858.0401</t>
  </si>
  <si>
    <t>4106.8873.0960</t>
  </si>
  <si>
    <t>Business Marketing fr Waste</t>
  </si>
  <si>
    <t>Tourism and Events</t>
  </si>
  <si>
    <t>DEVELOPMENT AND ENVIRONMENTAL HEALTH GROUP - SUMMARY</t>
  </si>
  <si>
    <t>FERRY AND WATER TRANSPORT</t>
  </si>
  <si>
    <t>Federal - Marine Rescue Tower</t>
  </si>
  <si>
    <t>74 and 78 Tamar Street - Car Parks</t>
  </si>
  <si>
    <t>Wastewater Assumptions</t>
  </si>
  <si>
    <t>Fixed Charge %</t>
  </si>
  <si>
    <t>Variable Charge %</t>
  </si>
  <si>
    <t>Development and Env Health Group</t>
  </si>
  <si>
    <t>Ferry Wharves and Jetties</t>
  </si>
  <si>
    <t>Charged to RMS</t>
  </si>
  <si>
    <t>Total Reserves</t>
  </si>
  <si>
    <t>Tourism and Communications</t>
  </si>
  <si>
    <t>Northern Rivers Carpool</t>
  </si>
  <si>
    <t>Rangers - Salaries and Oncosts</t>
  </si>
  <si>
    <t>Conts - Other</t>
  </si>
  <si>
    <t>Works Depot - Number Two</t>
  </si>
  <si>
    <t>QUARRIES AND SANDPIT</t>
  </si>
  <si>
    <t>Northern Landfill Closure / Leachate</t>
  </si>
  <si>
    <t>Solid Waste Landfill Operations</t>
  </si>
  <si>
    <t>North East Waste Membership</t>
  </si>
  <si>
    <t>Depot Car Park</t>
  </si>
  <si>
    <t>Nursery Rates</t>
  </si>
  <si>
    <t>Nursery Insurance</t>
  </si>
  <si>
    <t>Nursery Electricity</t>
  </si>
  <si>
    <t>Overseers Wages and Oncosts</t>
  </si>
  <si>
    <t>Toilet Rates</t>
  </si>
  <si>
    <t>Sale Scrap Metal and Sundry Revenues</t>
  </si>
  <si>
    <t>Fleet Co-ordinator Salary and Oncosts</t>
  </si>
  <si>
    <t>Rural Fire Service Reimbursable Items</t>
  </si>
  <si>
    <t>Maintenance and Insurance - Vehicles</t>
  </si>
  <si>
    <t>Waste Centre Mowing and Landscaping</t>
  </si>
  <si>
    <t>Contribution Ballina Heights Recoupments</t>
  </si>
  <si>
    <t>Lease of Reservoir Sites</t>
  </si>
  <si>
    <t>Section 64 Plan Reviews</t>
  </si>
  <si>
    <t>Residential Rents (2 x Dwellings)</t>
  </si>
  <si>
    <t>BBRC Scheme</t>
  </si>
  <si>
    <t>BPAY and EFTPOS  Fees</t>
  </si>
  <si>
    <t>Australia Post Fees</t>
  </si>
  <si>
    <t>NSW State Government - Crown Rental</t>
  </si>
  <si>
    <t>Leave Entitlements</t>
  </si>
  <si>
    <t>2347.3461.0401</t>
  </si>
  <si>
    <t>4546.8803.0961</t>
  </si>
  <si>
    <t>Power Saving to Prop Dev</t>
  </si>
  <si>
    <t>4040.8754.0960</t>
  </si>
  <si>
    <t>Vegettation Management</t>
  </si>
  <si>
    <t>Tfr from</t>
  </si>
  <si>
    <t>4054.5809.0960</t>
  </si>
  <si>
    <t>50101.3656.0401</t>
  </si>
  <si>
    <t>Water Access Licence Fees</t>
  </si>
  <si>
    <t>4030.2823.0960</t>
  </si>
  <si>
    <t xml:space="preserve">Depot &amp; Admin Centre </t>
  </si>
  <si>
    <t>Wastewater Loan Forecast</t>
  </si>
  <si>
    <t>Waste Charges for DWM %</t>
  </si>
  <si>
    <t>Waste Gate Fees %</t>
  </si>
  <si>
    <t>Wastewater</t>
  </si>
  <si>
    <t>Wastewater Mains - Renewals</t>
  </si>
  <si>
    <t>Externally Restricted Cash and Investments</t>
  </si>
  <si>
    <t xml:space="preserve">Externally Restricted Receivables </t>
  </si>
  <si>
    <t xml:space="preserve">Externally Restricted Inventories and Other </t>
  </si>
  <si>
    <r>
      <t>Provisions - P</t>
    </r>
    <r>
      <rPr>
        <sz val="10"/>
        <rFont val="Arial"/>
        <family val="2"/>
      </rPr>
      <t>ayable &gt; 12 months</t>
    </r>
  </si>
  <si>
    <t>Current Liabilities relating to Restricted Assets</t>
  </si>
  <si>
    <r>
      <t>Payables - P</t>
    </r>
    <r>
      <rPr>
        <sz val="10"/>
        <rFont val="Arial"/>
        <family val="2"/>
      </rPr>
      <t>ayable &gt; 12 months</t>
    </r>
  </si>
  <si>
    <t xml:space="preserve">Sundry Debtor - Rates / Annual Charges </t>
  </si>
  <si>
    <t>Infrastructure, Property, Plant and Equipment</t>
  </si>
  <si>
    <t>Development and Environmental Health Group</t>
  </si>
  <si>
    <t>Group Total</t>
  </si>
  <si>
    <t>General Property Reserves</t>
  </si>
  <si>
    <t>Specific Property Reserves</t>
  </si>
  <si>
    <t>Summary Table for Delivery Program</t>
  </si>
  <si>
    <t>Result – Surplus/(Deficit)</t>
  </si>
  <si>
    <t>Operating Result by Operation</t>
  </si>
  <si>
    <t>Strategic and Community Facilities</t>
  </si>
  <si>
    <t>Development and Environmental Health</t>
  </si>
  <si>
    <t>Public and Environmental Health</t>
  </si>
  <si>
    <t xml:space="preserve">Governance </t>
  </si>
  <si>
    <t>General Fund - Operating Result</t>
  </si>
  <si>
    <t>Add Restricted Operations</t>
  </si>
  <si>
    <t>Water Supplies</t>
  </si>
  <si>
    <t>Wastewater Services</t>
  </si>
  <si>
    <t>Operating Revenues ($’000)</t>
  </si>
  <si>
    <t>Operating Expenses ($’000)</t>
  </si>
  <si>
    <t>Total Operating Result – Consolidated Operations</t>
  </si>
  <si>
    <r>
      <t xml:space="preserve">Operating Result - Surplus / </t>
    </r>
    <r>
      <rPr>
        <b/>
        <sz val="9"/>
        <color rgb="FFFF0000"/>
        <rFont val="Arial"/>
        <family val="2"/>
      </rPr>
      <t>(Deficit)</t>
    </r>
  </si>
  <si>
    <t>Less Depreciation and Interest Unwinding</t>
  </si>
  <si>
    <t xml:space="preserve">Surplus / (Deficit) Before Asset Disposal </t>
  </si>
  <si>
    <t>Add: Proceeds from sale of Real Estate</t>
  </si>
  <si>
    <t>Add: Non-cash items – Net Leave Increase</t>
  </si>
  <si>
    <t>Applied to</t>
  </si>
  <si>
    <t>Property and Buildings</t>
  </si>
  <si>
    <t xml:space="preserve">Repayment of Loan Principal </t>
  </si>
  <si>
    <t>Transfers from / (to) Reserves</t>
  </si>
  <si>
    <t>QUARRIES</t>
  </si>
  <si>
    <t>Quarries</t>
  </si>
  <si>
    <t>Operating Budget by Program</t>
  </si>
  <si>
    <t>Source and Application</t>
  </si>
  <si>
    <t>Forward Capital Works Program - Water and Wastewater</t>
  </si>
  <si>
    <t>Water and Wastewater External Funding</t>
  </si>
  <si>
    <t>Civil Services - Water, Wastewater</t>
  </si>
  <si>
    <t>Detailed and Summary Check - Water and Wastewater</t>
  </si>
  <si>
    <t>As Per Cash Wastewater</t>
  </si>
  <si>
    <t>Capital Income to Capital Works</t>
  </si>
  <si>
    <t>Summaries Check</t>
  </si>
  <si>
    <t>30020.0504.0347</t>
  </si>
  <si>
    <t>22112.3313.0179</t>
  </si>
  <si>
    <t>10012.3538.0226</t>
  </si>
  <si>
    <t>Community Centres</t>
  </si>
  <si>
    <t>32330.0350.0613</t>
  </si>
  <si>
    <t>32331.0350.0613</t>
  </si>
  <si>
    <t>Depreciation - Public Amenities</t>
  </si>
  <si>
    <t>Depreciation - OSR Buildings</t>
  </si>
  <si>
    <t>Depreciation - Sporting Fields</t>
  </si>
  <si>
    <t>Open Spaces and Reserves Buildings</t>
  </si>
  <si>
    <t>Depreciation - Sports Field Buildings</t>
  </si>
  <si>
    <t>Depreciation - Open Spaces Buildings</t>
  </si>
  <si>
    <t>Other Amenities</t>
  </si>
  <si>
    <t>Community Grants</t>
  </si>
  <si>
    <t>32022.5310.0401</t>
  </si>
  <si>
    <t>Tresise Place Outlets</t>
  </si>
  <si>
    <t>Ballina Quays Dredging</t>
  </si>
  <si>
    <t>Coast Rd/Ross Ln Intersection</t>
  </si>
  <si>
    <t>Yellow Ck Bridge</t>
  </si>
  <si>
    <t>Teven Bridge</t>
  </si>
  <si>
    <t>Headlands Dr</t>
  </si>
  <si>
    <t>32279.5728.0401</t>
  </si>
  <si>
    <t>32258.2302.0401</t>
  </si>
  <si>
    <t>RMS Alstonville Bypass Handover</t>
  </si>
  <si>
    <t>32361.3573.0690</t>
  </si>
  <si>
    <t>26064.7812.0190</t>
  </si>
  <si>
    <t>35078.0415.0690</t>
  </si>
  <si>
    <t>WUEA (WUEA)</t>
  </si>
  <si>
    <t xml:space="preserve">Ballina Heights BBRC </t>
  </si>
  <si>
    <t>FV Adjustment</t>
  </si>
  <si>
    <t>35125.0300.0300</t>
  </si>
  <si>
    <t>Reporting Officers</t>
  </si>
  <si>
    <t>32001.2269.0401</t>
  </si>
  <si>
    <t>Repair Fire Damage</t>
  </si>
  <si>
    <t>Oakland Ave</t>
  </si>
  <si>
    <t>2010.3109.0401</t>
  </si>
  <si>
    <t>Bagotville Rd</t>
  </si>
  <si>
    <t>2010.3123.0401</t>
  </si>
  <si>
    <t>Brunswick St</t>
  </si>
  <si>
    <t>2010.3138.0401</t>
  </si>
  <si>
    <t>RMS - Coast Rd Tobin Cl</t>
  </si>
  <si>
    <t>Ballina Cycleway</t>
  </si>
  <si>
    <t>Beachfront Pd</t>
  </si>
  <si>
    <t>32279.5600.0401</t>
  </si>
  <si>
    <t>Fonteainea</t>
  </si>
  <si>
    <t>Contributions and Grants</t>
  </si>
  <si>
    <t>Loss on Disposal Assets</t>
  </si>
  <si>
    <t>32340.0690.0801</t>
  </si>
  <si>
    <t>32348.7052.0401</t>
  </si>
  <si>
    <t>Road Maintenance</t>
  </si>
  <si>
    <t>55022.4798.0401</t>
  </si>
  <si>
    <t>22256.7812.0190</t>
  </si>
  <si>
    <t>2320.3434.0401</t>
  </si>
  <si>
    <t>30023.4157.0401</t>
  </si>
  <si>
    <t xml:space="preserve">Administration and Customer Service </t>
  </si>
  <si>
    <t>Investigations</t>
  </si>
  <si>
    <t>Social Programs</t>
  </si>
  <si>
    <t>Seniors Programs</t>
  </si>
  <si>
    <t>Youth and Children Programs</t>
  </si>
  <si>
    <t>Building and Infrastructure Renewal Ratio Calculations (figure represents percentage for renewal)</t>
  </si>
  <si>
    <t>Asset Renewal Values</t>
  </si>
  <si>
    <t>Bld &amp; Infrastructure Renewal Ratio (Consolidated)</t>
  </si>
  <si>
    <t>26085.8855.0229</t>
  </si>
  <si>
    <t>7508.4946.0401</t>
  </si>
  <si>
    <t>Unrestricted Current Ratio (Consolidated)</t>
  </si>
  <si>
    <t>Unrestricted Current Ratio (General Fund)</t>
  </si>
  <si>
    <t>Rates and Annual Charges Outstanding - Consolidated</t>
  </si>
  <si>
    <t>Rates and Charges Outstanding (Consolidated)</t>
  </si>
  <si>
    <t>Available Working Capital ($'000)</t>
  </si>
  <si>
    <t>Kerb and Gutter</t>
  </si>
  <si>
    <t>Telemetry</t>
  </si>
  <si>
    <t>Add Transfer to Operating Expenses BBRC Scheme legals</t>
  </si>
  <si>
    <t>Add Special Variation Plus Above CPI Increases</t>
  </si>
  <si>
    <t>Buildings Major Maintenance</t>
  </si>
  <si>
    <t>Tamar Street / Cherry Street Roundabout</t>
  </si>
  <si>
    <t>Roads Summary</t>
  </si>
  <si>
    <t>Add Loan Repayments</t>
  </si>
  <si>
    <t>Less Contributions to Loan Repayments</t>
  </si>
  <si>
    <t>Add Capital Transferred to Maintenance</t>
  </si>
  <si>
    <t>Add Capital Transferred to Heavy Patching</t>
  </si>
  <si>
    <t>McLeay Culvert (RMS)</t>
  </si>
  <si>
    <t>05/06</t>
  </si>
  <si>
    <t>06/07</t>
  </si>
  <si>
    <t>07/08</t>
  </si>
  <si>
    <t>08/09</t>
  </si>
  <si>
    <t>09/10</t>
  </si>
  <si>
    <t>10/11</t>
  </si>
  <si>
    <t>11/12</t>
  </si>
  <si>
    <t>12/13</t>
  </si>
  <si>
    <t>13/14</t>
  </si>
  <si>
    <t>14/15</t>
  </si>
  <si>
    <t>15/16</t>
  </si>
  <si>
    <t>16/17</t>
  </si>
  <si>
    <t>17/18</t>
  </si>
  <si>
    <t>18/19</t>
  </si>
  <si>
    <t>19/20</t>
  </si>
  <si>
    <t>20/21</t>
  </si>
  <si>
    <t>21/22</t>
  </si>
  <si>
    <t>22/23</t>
  </si>
  <si>
    <t>Roads Historical</t>
  </si>
  <si>
    <t>LTFP and links checked PM November 2013</t>
  </si>
  <si>
    <t>AMP checked/updated Corey November 2013</t>
  </si>
  <si>
    <t>Pavement (Ballina Bypass Rehab)</t>
  </si>
  <si>
    <t>Pavement (Alstonville Bypass Rehab)</t>
  </si>
  <si>
    <t>Note Re Comparison</t>
  </si>
  <si>
    <t>In respect to renewals the amount of</t>
  </si>
  <si>
    <t>funding in the LTFP reduces from 2018/19</t>
  </si>
  <si>
    <t xml:space="preserve">for approx 3 years. This is because funds </t>
  </si>
  <si>
    <t>are applied to 'new' works including:</t>
  </si>
  <si>
    <t>Hutley drive loan repayment</t>
  </si>
  <si>
    <t>Rocky point roundabout</t>
  </si>
  <si>
    <t>Teven rd climbing lanes</t>
  </si>
  <si>
    <t>Angels beach traffic signals</t>
  </si>
  <si>
    <t>DSP</t>
  </si>
  <si>
    <t>Bingle Ck Bridge (Demolition)</t>
  </si>
  <si>
    <t>2089.3457.0401</t>
  </si>
  <si>
    <t>River St / Moon St Roundabout</t>
  </si>
  <si>
    <t>4043.3346.0960</t>
  </si>
  <si>
    <t>22112.5206.0180</t>
  </si>
  <si>
    <t>22001.7636.0270</t>
  </si>
  <si>
    <t>Tamar &amp; Kerr St Ped Fac</t>
  </si>
  <si>
    <t>2024.6594.0401</t>
  </si>
  <si>
    <t>Funding Sources 2017/18</t>
  </si>
  <si>
    <t>Funding Source 2023/24</t>
  </si>
  <si>
    <t>2023/24</t>
  </si>
  <si>
    <t>2024/2025</t>
  </si>
  <si>
    <t>23/24</t>
  </si>
  <si>
    <t>22155.4266.0160</t>
  </si>
  <si>
    <t>1998.4266.0401</t>
  </si>
  <si>
    <t>Footpaths/Cycleways</t>
  </si>
  <si>
    <t>32101.4267.0401</t>
  </si>
  <si>
    <t>Trinity Place Path</t>
  </si>
  <si>
    <t>2024.4348.0401</t>
  </si>
  <si>
    <t>Employee Costs (Actual From Income Statements P &amp; L)</t>
  </si>
  <si>
    <t>32360.7636.0690</t>
  </si>
  <si>
    <t>Ballina Surf Club - Rooms Hire</t>
  </si>
  <si>
    <t>Sportsfields</t>
  </si>
  <si>
    <t>RWP Procedures</t>
  </si>
  <si>
    <t>35084.8609.0401</t>
  </si>
  <si>
    <t>35084.8610.0401</t>
  </si>
  <si>
    <t>Former Library - Licence Fee</t>
  </si>
  <si>
    <t>30025.0350.0401</t>
  </si>
  <si>
    <t>RICHMOND TWEED REGIONAL LIBRARY SERVICE</t>
  </si>
  <si>
    <t>LEP - Various</t>
  </si>
  <si>
    <t xml:space="preserve">Special Projects </t>
  </si>
  <si>
    <t>Interest on Naval Museum</t>
  </si>
  <si>
    <t>Cultural and Community Services</t>
  </si>
  <si>
    <t>Richmond Tweed Regional Library</t>
  </si>
  <si>
    <t>Cleaning Contracts</t>
  </si>
  <si>
    <t>Contribution to Salaries (Brown etc)</t>
  </si>
  <si>
    <t>Interest on Investments - Grant BBRC</t>
  </si>
  <si>
    <t>Crown Reserve Properties</t>
  </si>
  <si>
    <t>Community Centres and Halls</t>
  </si>
  <si>
    <t>Old Ballina Library (Paradise FM)</t>
  </si>
  <si>
    <t>Festivals and Events Program</t>
  </si>
  <si>
    <t xml:space="preserve">Protective Clothing </t>
  </si>
  <si>
    <t>Ballina Bypass Works</t>
  </si>
  <si>
    <t>New House - Tree Allocations</t>
  </si>
  <si>
    <t>Ballina Library Precinct</t>
  </si>
  <si>
    <t xml:space="preserve">North Creek Dredging </t>
  </si>
  <si>
    <t>Festivals and Events</t>
  </si>
  <si>
    <t>Fawcett Park Cafe Rates and Charges</t>
  </si>
  <si>
    <t>Wardell Hall</t>
  </si>
  <si>
    <t>Strategic Planning Studies</t>
  </si>
  <si>
    <t>Section 94 Reviews</t>
  </si>
  <si>
    <t>Gallery Projects</t>
  </si>
  <si>
    <t>32262.5376.0401</t>
  </si>
  <si>
    <t>4087.8661.0960</t>
  </si>
  <si>
    <t>Prop Dev - 89 Tamar St Aircon</t>
  </si>
  <si>
    <t>Prop Dev - Purch Shelly Beach Land</t>
  </si>
  <si>
    <t>Prop Dev - ARC 50% Costs</t>
  </si>
  <si>
    <t>Prop Dev - Interest Earned</t>
  </si>
  <si>
    <t>Prop Dev- WUEA Costs</t>
  </si>
  <si>
    <t>Prop Dev - CSU Dividend</t>
  </si>
  <si>
    <t>Prop Dev - Southern X(norfolk) to</t>
  </si>
  <si>
    <t>Prop Dev - ARC Rental (50%)</t>
  </si>
  <si>
    <t>Community Facilities &amp; Cust Services</t>
  </si>
  <si>
    <t>4094.xxxx.0960</t>
  </si>
  <si>
    <t>22231.5259.0138</t>
  </si>
  <si>
    <t>Vacant Commercial Land Rentals</t>
  </si>
  <si>
    <t>Other Commercial Buildings</t>
  </si>
  <si>
    <t>Reimbursement of State Levy</t>
  </si>
  <si>
    <t>Clean Up Dumped and Orphan Waste</t>
  </si>
  <si>
    <t>Levy</t>
  </si>
  <si>
    <t>Flat Rock Improvements</t>
  </si>
  <si>
    <t>Special Projects</t>
  </si>
  <si>
    <t>21062.1820.0158</t>
  </si>
  <si>
    <t>4093.xxxx.0960</t>
  </si>
  <si>
    <t>LRM</t>
  </si>
  <si>
    <t>DWM</t>
  </si>
  <si>
    <t>NEWLOG</t>
  </si>
  <si>
    <t>Management Salaries and Oncosts</t>
  </si>
  <si>
    <t>Internal Audit Services</t>
  </si>
  <si>
    <t>Gallens Road Floodplain Study</t>
  </si>
  <si>
    <t>Water Office Annual Leave</t>
  </si>
  <si>
    <t>Water Office Sick Leave</t>
  </si>
  <si>
    <t>Water Office Long Service Leave</t>
  </si>
  <si>
    <t>Water Office Maternity and Other Leave</t>
  </si>
  <si>
    <t>Water Repairs Charged to Owner</t>
  </si>
  <si>
    <t>Water Mains - Operations</t>
  </si>
  <si>
    <t>Grants - Pensioner Subsidy Water</t>
  </si>
  <si>
    <t>Grants - Pensioner Subsidy Wastewater</t>
  </si>
  <si>
    <t>Drinking Water Management System</t>
  </si>
  <si>
    <t>Reuse Pipes Maintenance and Repairs</t>
  </si>
  <si>
    <t>NSW Health</t>
  </si>
  <si>
    <t>Water Pump and Bore Stations</t>
  </si>
  <si>
    <t>Transfer from Section 64 Recoupments</t>
  </si>
  <si>
    <t>Loan Funds Applied</t>
  </si>
  <si>
    <t>Transfer from Sec 64 Recoupments (BBRC)</t>
  </si>
  <si>
    <t>Transfer from Section 64 Recoupments BBRC</t>
  </si>
  <si>
    <t>Contributions - Section 64 Recoupments BBRC</t>
  </si>
  <si>
    <t>Wastewater Reserves</t>
  </si>
  <si>
    <t>Wastewater - Capital Expenditure Carried Forward</t>
  </si>
  <si>
    <t>General Managers Group</t>
  </si>
  <si>
    <t>Library Per Capita</t>
  </si>
  <si>
    <t>Contribution to Richmond Tweed Library</t>
  </si>
  <si>
    <t>Library Sundries</t>
  </si>
  <si>
    <t>Group</t>
  </si>
  <si>
    <t>Fees</t>
  </si>
  <si>
    <t>Total Overhead Costs</t>
  </si>
  <si>
    <t>Admin</t>
  </si>
  <si>
    <t>Finance</t>
  </si>
  <si>
    <t>HR</t>
  </si>
  <si>
    <t>Fleet</t>
  </si>
  <si>
    <t>Angels Beach Dr</t>
  </si>
  <si>
    <t>2010.3137.0401</t>
  </si>
  <si>
    <t>2010.3140.0401</t>
  </si>
  <si>
    <t>Smith Dr Culvert</t>
  </si>
  <si>
    <t>Angels Beach Drive</t>
  </si>
  <si>
    <t>2093.3401.0401</t>
  </si>
  <si>
    <t>Marine Rescue Centre</t>
  </si>
  <si>
    <t>ARC Rental (50%)</t>
  </si>
  <si>
    <t>Dividend - Community Infrastructure</t>
  </si>
  <si>
    <t>Dividend - General Fund Operations</t>
  </si>
  <si>
    <t>Better Boating Program</t>
  </si>
  <si>
    <t>State - BBP - Fishery Creek Car Park</t>
  </si>
  <si>
    <t>State - BBP - Emigrant Creek Pontoon</t>
  </si>
  <si>
    <t>Roads to Recovery</t>
  </si>
  <si>
    <t>Road Works Contingency</t>
  </si>
  <si>
    <t>Balance to Investment Spreadsheet</t>
  </si>
  <si>
    <t>Vehicle Costs - Community Services</t>
  </si>
  <si>
    <t>Revised</t>
  </si>
  <si>
    <t>LIBRARY SERVICES</t>
  </si>
  <si>
    <t>Enforcement Expenses</t>
  </si>
  <si>
    <t>Abandoned Vehicles Compound</t>
  </si>
  <si>
    <t>Ballina Heights</t>
  </si>
  <si>
    <t>Wollongbar TAFE Field</t>
  </si>
  <si>
    <t>Environmental Action Plan</t>
  </si>
  <si>
    <t>Regional Centre Study</t>
  </si>
  <si>
    <t>Infrastructure - Comm Infra Res</t>
  </si>
  <si>
    <t>Other Revenues - Legals and Fines</t>
  </si>
  <si>
    <t>Commmunity Centres and Halls</t>
  </si>
  <si>
    <t>Development &amp; Envi Health Group</t>
  </si>
  <si>
    <t>Strategic &amp; Comm Facs Group</t>
  </si>
  <si>
    <t>RMS - Maguires Bridge</t>
  </si>
  <si>
    <t xml:space="preserve">Marketing and Destination Development </t>
  </si>
  <si>
    <t>Employee Costs - Engineering Works</t>
  </si>
  <si>
    <t>Vehicles</t>
  </si>
  <si>
    <t>Urban Lanes</t>
  </si>
  <si>
    <t>Grant Street (Tamar St to River)</t>
  </si>
  <si>
    <t>Martin Street (River St to Fawcett St</t>
  </si>
  <si>
    <t>Martin Street (Fawcett Street to River)</t>
  </si>
  <si>
    <t>Capital Works Checks</t>
  </si>
  <si>
    <t>Main Street Alstonville</t>
  </si>
  <si>
    <t>Ballina Street Lennox Head</t>
  </si>
  <si>
    <t>Commercial Road Alstonville</t>
  </si>
  <si>
    <t xml:space="preserve">Quays Drive West Ballina </t>
  </si>
  <si>
    <t>Robertson Street Alstonville</t>
  </si>
  <si>
    <t>Kerr Street Ballina</t>
  </si>
  <si>
    <t>Footpaths / Cycleways</t>
  </si>
  <si>
    <t>Budget Only</t>
  </si>
  <si>
    <t>Playground Improvements</t>
  </si>
  <si>
    <t>Sports Fields</t>
  </si>
  <si>
    <t>Playgrounds</t>
  </si>
  <si>
    <t>Rifle Range Road Part Segment 250</t>
  </si>
  <si>
    <t>Midgen Flat Road</t>
  </si>
  <si>
    <t>Uralba Road</t>
  </si>
  <si>
    <t>Ridgeway</t>
  </si>
  <si>
    <t xml:space="preserve">Maguires Bridge </t>
  </si>
  <si>
    <t>Bridges - Other</t>
  </si>
  <si>
    <t xml:space="preserve">Kentwell Centre </t>
  </si>
  <si>
    <t>Waste Received</t>
  </si>
  <si>
    <t>31083.1972.0401</t>
  </si>
  <si>
    <t>Car Park / Shade Covers</t>
  </si>
  <si>
    <t>Council Programs</t>
  </si>
  <si>
    <t>Human Resources and Risk</t>
  </si>
  <si>
    <t>Stormwater and Env</t>
  </si>
  <si>
    <t>Staff</t>
  </si>
  <si>
    <t>Info Tech</t>
  </si>
  <si>
    <t>Op Exp</t>
  </si>
  <si>
    <t>Overhead Distribution</t>
  </si>
  <si>
    <t>Rating</t>
  </si>
  <si>
    <t>Ballina Cenotaph</t>
  </si>
  <si>
    <t>32109.3030.0401</t>
  </si>
  <si>
    <t>Airport Income Growth (%)</t>
  </si>
  <si>
    <t>Interest on Loans (%)</t>
  </si>
  <si>
    <t>Interest on Investments (%)</t>
  </si>
  <si>
    <t>Salary and Oncost Increases (%)</t>
  </si>
  <si>
    <t>Financial Assistance Grant (%)</t>
  </si>
  <si>
    <t>Growth Rate for Rates (%)</t>
  </si>
  <si>
    <t>Rate Pegging Limit (%)</t>
  </si>
  <si>
    <t>Airport - Car Park and Shade</t>
  </si>
  <si>
    <t>Depreciation - Gallery</t>
  </si>
  <si>
    <t>Depreciation - Libraries</t>
  </si>
  <si>
    <t>Depreciation - Swimming Pools</t>
  </si>
  <si>
    <t>Original Cost</t>
  </si>
  <si>
    <t>Eng Mgm</t>
  </si>
  <si>
    <t>Dev Eng</t>
  </si>
  <si>
    <t>Gov</t>
  </si>
  <si>
    <t>GIS Staff - Salaries</t>
  </si>
  <si>
    <t>GIS</t>
  </si>
  <si>
    <t>Cont to Richmond River County Council</t>
  </si>
  <si>
    <t>Contributions from Self Funded Areas</t>
  </si>
  <si>
    <t>Building Insurance Rebates</t>
  </si>
  <si>
    <t>ENGINEERING MANAGEMENT</t>
  </si>
  <si>
    <t>Contributions and Rebates</t>
  </si>
  <si>
    <t>Buildings</t>
  </si>
  <si>
    <t>Consolidated Operating Result</t>
  </si>
  <si>
    <t>Community Buildings</t>
  </si>
  <si>
    <t xml:space="preserve">ALEC </t>
  </si>
  <si>
    <t xml:space="preserve">Ballina Naval Museum </t>
  </si>
  <si>
    <t>Library Buildings</t>
  </si>
  <si>
    <t>Animal Pound</t>
  </si>
  <si>
    <t>Stationery and Printing</t>
  </si>
  <si>
    <t>Buildings and Facilities</t>
  </si>
  <si>
    <t>Flat Rock Residence</t>
  </si>
  <si>
    <t>Depreciation - Commercial Buildings</t>
  </si>
  <si>
    <t>Chemicals and Cleaning</t>
  </si>
  <si>
    <t>Sites, Trees and Landscaping</t>
  </si>
  <si>
    <t>Depreciation - Flat Rock Tent Park</t>
  </si>
  <si>
    <t>Open Spaces - Buildings - Vandalism</t>
  </si>
  <si>
    <t>Open Spaces - Buildings</t>
  </si>
  <si>
    <t>Sport Fields - Buildings</t>
  </si>
  <si>
    <t>Shelly Beach Surf Club</t>
  </si>
  <si>
    <t>Sports Fields Buildings</t>
  </si>
  <si>
    <t>Depot and Administration Centre</t>
  </si>
  <si>
    <t>Administration Centre and Depot</t>
  </si>
  <si>
    <t>Interest on Loan</t>
  </si>
  <si>
    <t>Interest on Loans Alstonville Pool</t>
  </si>
  <si>
    <t>Annual Charges - Commercial Properties</t>
  </si>
  <si>
    <t>Fees - Self Haul Council (Works)</t>
  </si>
  <si>
    <t>Fees - Self Haul Council (DWM)</t>
  </si>
  <si>
    <t>Bulk Waste Collection Service</t>
  </si>
  <si>
    <t>SP3101 - Emerg Storage - Skennars Hd Rd</t>
  </si>
  <si>
    <t>SP2309 - Emerg Storage - Anderson St</t>
  </si>
  <si>
    <t>SP3002 - Emerg Storage - Rutherford St</t>
  </si>
  <si>
    <t>SP2013 - Upgrade Pumps - Skinner St</t>
  </si>
  <si>
    <t>Expansion Feasbility and Approvals</t>
  </si>
  <si>
    <t>Re-use</t>
  </si>
  <si>
    <t>Other Waste Costs</t>
  </si>
  <si>
    <t>Transfer and Export Costs</t>
  </si>
  <si>
    <t>Disposal of Dead Animals</t>
  </si>
  <si>
    <t>Disposal of Abandoned Vehicles</t>
  </si>
  <si>
    <t>Investigations, Leachate and Remediation</t>
  </si>
  <si>
    <t>Transfer Station Operations</t>
  </si>
  <si>
    <t>Weighbridge Operation</t>
  </si>
  <si>
    <t>Fees - Self Haul Inert</t>
  </si>
  <si>
    <t>Fees - Self Haul General</t>
  </si>
  <si>
    <t xml:space="preserve">Interest Earned on Reserve </t>
  </si>
  <si>
    <t>Building Maintenance</t>
  </si>
  <si>
    <t>Wigmore Building Maintenance</t>
  </si>
  <si>
    <t>89 Tamar St Building Maintenance</t>
  </si>
  <si>
    <t>ARC Southern Cross Maintenance</t>
  </si>
  <si>
    <t>Other Commercial Buildings - Insurance</t>
  </si>
  <si>
    <t>Other Commercial Buildings - Sundries</t>
  </si>
  <si>
    <t>Residential Properties - Maintenance</t>
  </si>
  <si>
    <t>Former Ballina Library - Maintenance</t>
  </si>
  <si>
    <t>Other  Open Spaces Amenities</t>
  </si>
  <si>
    <t>Other Community Buildings</t>
  </si>
  <si>
    <t>Surf Clubs</t>
  </si>
  <si>
    <t>Museum and Gallery</t>
  </si>
  <si>
    <t>Libraries</t>
  </si>
  <si>
    <t>Depreciation Costs (Bld &amp; Infra only)</t>
  </si>
  <si>
    <t>Population Growth Rate</t>
  </si>
  <si>
    <t>Transfer Preparation - Mixed Waste</t>
  </si>
  <si>
    <t>Transfer Preparation - Inert Waste</t>
  </si>
  <si>
    <t>Transfer Preparation - Recyclables</t>
  </si>
  <si>
    <t>Transfer - Mixed Waste</t>
  </si>
  <si>
    <t xml:space="preserve">Transfer - Inert Waste </t>
  </si>
  <si>
    <t>Transfer - Recyclables</t>
  </si>
  <si>
    <t>Transfer - Organics</t>
  </si>
  <si>
    <t>Reuse Organics, Soil and Concrete</t>
  </si>
  <si>
    <t>Collection Kerbside - Organics</t>
  </si>
  <si>
    <t>Re-use Organics</t>
  </si>
  <si>
    <t>Less Finance Reversal of Credit</t>
  </si>
  <si>
    <t>Less DWM Internal Charge</t>
  </si>
  <si>
    <t>Difference</t>
  </si>
  <si>
    <t>Tracy</t>
  </si>
  <si>
    <t>Cahill</t>
  </si>
  <si>
    <t>Group Mgrs</t>
  </si>
  <si>
    <t>Alstonville Community Pre-school</t>
  </si>
  <si>
    <t>Consolidated Results</t>
  </si>
  <si>
    <t>General Fund Results</t>
  </si>
  <si>
    <t>Interest on Kentwell Centre</t>
  </si>
  <si>
    <t>Customer Services Staff - Salaries</t>
  </si>
  <si>
    <t>Rating - Salaries</t>
  </si>
  <si>
    <t>Comms</t>
  </si>
  <si>
    <t>Land</t>
  </si>
  <si>
    <t>Revs</t>
  </si>
  <si>
    <t>Cust Ser</t>
  </si>
  <si>
    <t>IS</t>
  </si>
  <si>
    <t>Less Internal Plant Charges</t>
  </si>
  <si>
    <t>Cost Per Employee</t>
  </si>
  <si>
    <t>% of Exp</t>
  </si>
  <si>
    <t>Crown Leases for Community Groups</t>
  </si>
  <si>
    <t>Crown Leases</t>
  </si>
  <si>
    <t>Offices / Proc</t>
  </si>
  <si>
    <t xml:space="preserve">Civil Salary Overheads - Salaries </t>
  </si>
  <si>
    <t>Rating Nos</t>
  </si>
  <si>
    <t>Operating Exps</t>
  </si>
  <si>
    <t>Operating Revs</t>
  </si>
  <si>
    <t>Staff No</t>
  </si>
  <si>
    <t>Caroline</t>
  </si>
  <si>
    <t>One Third Each</t>
  </si>
  <si>
    <t>Corporate Communications Salaries</t>
  </si>
  <si>
    <t>Community Land Salaries</t>
  </si>
  <si>
    <t>Road Safety Expenses</t>
  </si>
  <si>
    <t>Depot No 1 Buildings</t>
  </si>
  <si>
    <t>Depot No 1 Maintenance Contracts</t>
  </si>
  <si>
    <t>Open Spaces - Buildings - Insurance</t>
  </si>
  <si>
    <t xml:space="preserve">Open Spaces - Buildings - Electricity </t>
  </si>
  <si>
    <t>Open Spaces - Buildings - Rates</t>
  </si>
  <si>
    <t>Sport Fields - Insurance</t>
  </si>
  <si>
    <t>Sport Fields - Rates</t>
  </si>
  <si>
    <t>Sport Fields - Electricity</t>
  </si>
  <si>
    <t>Dredging</t>
  </si>
  <si>
    <t>Roads and Other Vegetation Projects</t>
  </si>
  <si>
    <t>Roadside Maintenance Coast Road</t>
  </si>
  <si>
    <t>Annual Charges - Residential Properties</t>
  </si>
  <si>
    <t>DWM Annual Collection Charge %</t>
  </si>
  <si>
    <t>DWM Annual Collection Charge - Urban $</t>
  </si>
  <si>
    <t>DWM Annual Collection Charge - Rural $</t>
  </si>
  <si>
    <t>LRM Annual Management Charge $</t>
  </si>
  <si>
    <t>Waste Management Residential</t>
  </si>
  <si>
    <t>Services Levied - Urban</t>
  </si>
  <si>
    <t xml:space="preserve">Services Levied - Rural </t>
  </si>
  <si>
    <t>Waste - Landfill and Resource Recovery</t>
  </si>
  <si>
    <t>Pressure Mgmt Zones (PMZs)</t>
  </si>
  <si>
    <t>Pump Stns - Ballina Hts Booster</t>
  </si>
  <si>
    <t>Pump Stns - Basalt Court Booster</t>
  </si>
  <si>
    <t>Pump Stns - East Ballina Booster</t>
  </si>
  <si>
    <t>Pump Stns - Russellton Booster</t>
  </si>
  <si>
    <t>Pump Stns - Wollongbar Booster</t>
  </si>
  <si>
    <t>SP3101 - Upgrade Pumps - Skennars Hd Rd</t>
  </si>
  <si>
    <t>SP2306 - Emerg Storage - Serpentine</t>
  </si>
  <si>
    <t>SP2301 - Upgrade Pumps - Ang Bch Dr</t>
  </si>
  <si>
    <t>SP4004 - Emergency Stor - Granada Pl</t>
  </si>
  <si>
    <t>Ballina Upgrade - Project Mgmt</t>
  </si>
  <si>
    <t>SP2108 - Storage Capacity</t>
  </si>
  <si>
    <t>Other Fees and Charges</t>
  </si>
  <si>
    <t>PROCUREMENT AND BUILDING MANAGEMENT</t>
  </si>
  <si>
    <t>Procurement and Building Management</t>
  </si>
  <si>
    <t>74 and 78 Tamar Street</t>
  </si>
  <si>
    <t xml:space="preserve">Group Total </t>
  </si>
  <si>
    <t>Technology Nos</t>
  </si>
  <si>
    <t>Staff Numbers</t>
  </si>
  <si>
    <t>Transport and Gate Fees Organics</t>
  </si>
  <si>
    <t>Transport and Gate Fees Mixed Waste</t>
  </si>
  <si>
    <t>Transport and Gate Fees Inert Waste</t>
  </si>
  <si>
    <t>Transport and Gate Fees Recyclates</t>
  </si>
  <si>
    <t>MGB Kerbside Collection Urban</t>
  </si>
  <si>
    <t>Kerbside Gate Fees Urban and Rural</t>
  </si>
  <si>
    <t>Gate Fees - Self Haul</t>
  </si>
  <si>
    <t>Gate Fees - Self Haul (Inert Waste)</t>
  </si>
  <si>
    <t>21000.1302.0061</t>
  </si>
  <si>
    <t>21020.1450.0062</t>
  </si>
  <si>
    <t>POE Act</t>
  </si>
  <si>
    <t>20002.1089.0166</t>
  </si>
  <si>
    <t>30003.1099.0401</t>
  </si>
  <si>
    <t>26122.8826.0231</t>
  </si>
  <si>
    <t>22155.4039.0179</t>
  </si>
  <si>
    <t>Lennox Ballina Fountainea</t>
  </si>
  <si>
    <t>Dev Ass</t>
  </si>
  <si>
    <t xml:space="preserve">Development Engineers - Salaries </t>
  </si>
  <si>
    <t>Journal</t>
  </si>
  <si>
    <t>Procurement and Building Mgmt</t>
  </si>
  <si>
    <t>Ordinary Rate</t>
  </si>
  <si>
    <t>Overhead Costs for Distribution</t>
  </si>
  <si>
    <t>Driver</t>
  </si>
  <si>
    <t>Staff Nos</t>
  </si>
  <si>
    <t>GIS Salaries</t>
  </si>
  <si>
    <t>Barnier</t>
  </si>
  <si>
    <t>Willis</t>
  </si>
  <si>
    <t>King</t>
  </si>
  <si>
    <t>Salary Overhead (not oncosts)</t>
  </si>
  <si>
    <t>Customer Services Salaries</t>
  </si>
  <si>
    <t>Group Managers Salaries</t>
  </si>
  <si>
    <t>Notices Issued</t>
  </si>
  <si>
    <t>Infrastructure $</t>
  </si>
  <si>
    <t>Group Op Exps</t>
  </si>
  <si>
    <t>Salary Overhead Calculation</t>
  </si>
  <si>
    <t>Office Salaries and Oncosts</t>
  </si>
  <si>
    <t xml:space="preserve">Finance </t>
  </si>
  <si>
    <t>Percentage Overheads</t>
  </si>
  <si>
    <t>Steps</t>
  </si>
  <si>
    <t xml:space="preserve">Human Resources </t>
  </si>
  <si>
    <t>Admin Centre/Depot/Procurement</t>
  </si>
  <si>
    <t>Civil Salary Management</t>
  </si>
  <si>
    <t>Development Engineers - Salaries</t>
  </si>
  <si>
    <t xml:space="preserve">Development Services </t>
  </si>
  <si>
    <t>Group Mgrs and Pas</t>
  </si>
  <si>
    <t>Salaries including oncosts and overhead allocation distributed based on transactions</t>
  </si>
  <si>
    <t>Salaries</t>
  </si>
  <si>
    <t>Valuations</t>
  </si>
  <si>
    <t>Rating - Salaries and Direct Costs</t>
  </si>
  <si>
    <t>Salaries including oncosts and overhead allocation distributed based on infrastructure value sourced from latest available schedule 9a in Annual Statements - GIS records infrastructure</t>
  </si>
  <si>
    <t>Salaries including oncosts and overhead allocation distributed based on operating expenses for each program</t>
  </si>
  <si>
    <t>Salaries including oncosts and overhead allocation distributed based on operating revenues for each program</t>
  </si>
  <si>
    <t>Salaries including oncosts and overhead allocation distributed based on one third of community land being owned by General, Water and Wastewater operations</t>
  </si>
  <si>
    <t>Salaries including oncosts and overhead allocation distributed based on operating expenses for each program within the Civil Services Group</t>
  </si>
  <si>
    <t xml:space="preserve">Ballina Surf Club </t>
  </si>
  <si>
    <t>Portion</t>
  </si>
  <si>
    <t xml:space="preserve">Group Mgrs/PAs - SP&amp;CF, DEH </t>
  </si>
  <si>
    <t>% of salaries including oncosts and overhead allocation distributed based on infrastructure value sourced from schedule 9a in Annual Statements - Work relates to infrastructure</t>
  </si>
  <si>
    <t>% of salaries for two Group Managers and personal assistants, including oncosts and overhead allocation, distributed based on operating expenses for each program</t>
  </si>
  <si>
    <t>Overheads for Office Staff for Salaries (separate to oncosts)</t>
  </si>
  <si>
    <t>Ferry and Better Boating</t>
  </si>
  <si>
    <t>RMS</t>
  </si>
  <si>
    <t>Open Spaces</t>
  </si>
  <si>
    <t>LRM State Government Levy</t>
  </si>
  <si>
    <t>Pension Rebates - DWM</t>
  </si>
  <si>
    <t>RFS</t>
  </si>
  <si>
    <t>Specific Purposes Grants and Contributions Summary</t>
  </si>
  <si>
    <t>Sub Total - Operating Grants and Contributions</t>
  </si>
  <si>
    <t>Less Non Specific Items</t>
  </si>
  <si>
    <t>Less LIRS Loans (not specific)</t>
  </si>
  <si>
    <t>Total - Specific Grants and Contributions</t>
  </si>
  <si>
    <t xml:space="preserve">Financial Services </t>
  </si>
  <si>
    <t xml:space="preserve">Admin Centre/Depot/Purchasing </t>
  </si>
  <si>
    <t>% of operating expenses distributed based on infrastructure value sourced from schedule 9a in Annual Statements - Work relates to infrastructure</t>
  </si>
  <si>
    <t>Operating expenses distributed based on operating expenses for each program</t>
  </si>
  <si>
    <t>Operating expenses distributed based on operating expenses for each program - net cost has to be reduced by salaries and other costs already distributed in rating</t>
  </si>
  <si>
    <t>Operating expenses distributed based on technogology available for each program</t>
  </si>
  <si>
    <t>Operating expenses distributed based on staff numbers for each program</t>
  </si>
  <si>
    <t>32022.2490.0401</t>
  </si>
  <si>
    <t>32022.2493.0401</t>
  </si>
  <si>
    <t>32022.5461.0401</t>
  </si>
  <si>
    <t>32022.5462.0401</t>
  </si>
  <si>
    <t>32022.1964.0401</t>
  </si>
  <si>
    <t>Toilet Vandalism</t>
  </si>
  <si>
    <t>DWM Annual Collection Charge - Vacant Land $</t>
  </si>
  <si>
    <t>Services Levied - Vacant Land</t>
  </si>
  <si>
    <t>Sewer - Annual Access Charge (Connected) $</t>
  </si>
  <si>
    <t>Residential Connections (Connected) #</t>
  </si>
  <si>
    <t>Residential Connections (Not Connected) #</t>
  </si>
  <si>
    <t>Sewer - Annual Access Charge (Not Connected) $</t>
  </si>
  <si>
    <t>Sewer - Usage - Non Res (Increase Rev) $</t>
  </si>
  <si>
    <t>Procurement Salaries and Oncosts</t>
  </si>
  <si>
    <t>Capital Works Indexation (CPI Plus)</t>
  </si>
  <si>
    <t>Additional during year</t>
  </si>
  <si>
    <t>Overheads to Wastewater</t>
  </si>
  <si>
    <t>Overheads to Quarries</t>
  </si>
  <si>
    <t>Overheads to NEWLOG</t>
  </si>
  <si>
    <t>Overheads Check for Manual Entry</t>
  </si>
  <si>
    <t>32022.2576.0401</t>
  </si>
  <si>
    <t>32022.2583.0401</t>
  </si>
  <si>
    <t>32022.2577.0401</t>
  </si>
  <si>
    <t>32022.2578.0401</t>
  </si>
  <si>
    <t>32022.2579.0401</t>
  </si>
  <si>
    <t>32022.2580.0401</t>
  </si>
  <si>
    <t>32022.2581.0401</t>
  </si>
  <si>
    <t>32022.2582.0401</t>
  </si>
  <si>
    <t>(Balanced 5/6/14)</t>
  </si>
  <si>
    <t>Work Order #</t>
  </si>
  <si>
    <t>2103.7777.0401</t>
  </si>
  <si>
    <t>2220.6478.0401</t>
  </si>
  <si>
    <t>2351.4168.0401</t>
  </si>
  <si>
    <t>2351.6483.0401</t>
  </si>
  <si>
    <t>2351.4165.0401</t>
  </si>
  <si>
    <t>2200.6486.0401</t>
  </si>
  <si>
    <t>2225.6487.0401</t>
  </si>
  <si>
    <t>2128.3111.0401</t>
  </si>
  <si>
    <t>2130.7777.0401</t>
  </si>
  <si>
    <t>2131.7777.0401</t>
  </si>
  <si>
    <t>2132.7777.0401</t>
  </si>
  <si>
    <t>2108.7777.0401</t>
  </si>
  <si>
    <t>2112.7777.0401</t>
  </si>
  <si>
    <t>2113.7777.0401</t>
  </si>
  <si>
    <t>2115.7777.0401</t>
  </si>
  <si>
    <t>2118.7777.0401</t>
  </si>
  <si>
    <t>2120.7777.0401</t>
  </si>
  <si>
    <t>2122.7777.0401</t>
  </si>
  <si>
    <t>2123.7777.0401</t>
  </si>
  <si>
    <t>2124.7777.0401</t>
  </si>
  <si>
    <t>2125.7777.0401</t>
  </si>
  <si>
    <t>2126.7777.0401</t>
  </si>
  <si>
    <t>2127.7777.0401</t>
  </si>
  <si>
    <t>2133.7777.0401</t>
  </si>
  <si>
    <t>2338.7777.0401</t>
  </si>
  <si>
    <t>2030.4406.0401</t>
  </si>
  <si>
    <t>7001.3851.401</t>
  </si>
  <si>
    <t>7000.5285.401</t>
  </si>
  <si>
    <t>2138.7777.0401</t>
  </si>
  <si>
    <t>2139.7777.0401</t>
  </si>
  <si>
    <t>2140.7777.0401</t>
  </si>
  <si>
    <t>Community Services Programs</t>
  </si>
  <si>
    <t>Section 94 Road Plan Admin</t>
  </si>
  <si>
    <t>Balllina Heights Drive (LIRS)</t>
  </si>
  <si>
    <t>30001.3089.0401</t>
  </si>
  <si>
    <t>35100.0350.0401</t>
  </si>
  <si>
    <t>30025.8860.0401</t>
  </si>
  <si>
    <t>26084.8502.0138</t>
  </si>
  <si>
    <t>32201.8861.0401</t>
  </si>
  <si>
    <t>22030.8862.0160</t>
  </si>
  <si>
    <t>22112.8863.0179</t>
  </si>
  <si>
    <t>22112.3329.0179</t>
  </si>
  <si>
    <t>22210.4055.0160</t>
  </si>
  <si>
    <t>26070.8866.0950</t>
  </si>
  <si>
    <t>26084.8869.0138</t>
  </si>
  <si>
    <t>22155.4052.0179</t>
  </si>
  <si>
    <t>32348.7057.0401</t>
  </si>
  <si>
    <t>2091.3401.0401</t>
  </si>
  <si>
    <t>Roads - River/Moon St R'about</t>
  </si>
  <si>
    <t>Roads - Tamar/Cherry St R'about</t>
  </si>
  <si>
    <t>4043.3189.0960</t>
  </si>
  <si>
    <t>Comm Infra - Marine RescueTower</t>
  </si>
  <si>
    <t>4038.8754.0960</t>
  </si>
  <si>
    <t>Comm Infra - Ballina Cenotaph</t>
  </si>
  <si>
    <t>Comm Infra - Ballina Surf Club</t>
  </si>
  <si>
    <t>Comm Infra - Regional Sports centre</t>
  </si>
  <si>
    <t>Comm Infra - Com Bld Loans</t>
  </si>
  <si>
    <t>4055.5510.0960</t>
  </si>
  <si>
    <t>4038.8730.0960</t>
  </si>
  <si>
    <t>4094.8731.0960</t>
  </si>
  <si>
    <t>4538.7163.0961</t>
  </si>
  <si>
    <t>Prop Dev - Wollongbar Sportsfield</t>
  </si>
  <si>
    <t>4063.6294.0960</t>
  </si>
  <si>
    <t>Prop Dev - Southern X Costs</t>
  </si>
  <si>
    <t>Prop Dev - Russellton Costs</t>
  </si>
  <si>
    <t>Prop Dev - Wigmore Arcade</t>
  </si>
  <si>
    <t>Prop dev- WUEA Sales</t>
  </si>
  <si>
    <t>4587.8839.0961</t>
  </si>
  <si>
    <t>Prop dev- Alst Plaza Land Sale</t>
  </si>
  <si>
    <t>4587.8658.0961</t>
  </si>
  <si>
    <t>Procurement &amp; Building M'ment</t>
  </si>
  <si>
    <t>4038.8542.0960</t>
  </si>
  <si>
    <t>LH Surf Club (Ross St)</t>
  </si>
  <si>
    <t>Blackwater Study</t>
  </si>
  <si>
    <t>4042.3237.0960</t>
  </si>
  <si>
    <t>Gallans Rd Flood Study</t>
  </si>
  <si>
    <t>4531.3169.0960</t>
  </si>
  <si>
    <t>Roads contingency res</t>
  </si>
  <si>
    <t>4044.2828.0960</t>
  </si>
  <si>
    <t>Footpaths &amp; C/ways</t>
  </si>
  <si>
    <t>4046.4440.0960</t>
  </si>
  <si>
    <t>Kim Path Footpath Grant</t>
  </si>
  <si>
    <t>4045.4431.0960</t>
  </si>
  <si>
    <t>Coastal C/way RLCIP Grant</t>
  </si>
  <si>
    <t>4045.4459.0960</t>
  </si>
  <si>
    <t>Byron St Path Grant</t>
  </si>
  <si>
    <t>4045.4432.0960</t>
  </si>
  <si>
    <t>Shared Path (SIC)</t>
  </si>
  <si>
    <t>4046.4444.0960</t>
  </si>
  <si>
    <t>4045.4216.0960</t>
  </si>
  <si>
    <t>Shared Path (LA Carpark)</t>
  </si>
  <si>
    <t>Shared Path (DOT Bus Shelters)</t>
  </si>
  <si>
    <t>4045.4427.0960</t>
  </si>
  <si>
    <t>Shared Path (RTA roadsideVege)</t>
  </si>
  <si>
    <t>Shared Path (St Lighting)</t>
  </si>
  <si>
    <t>4046.2834.0960</t>
  </si>
  <si>
    <t>Shared Path (S/water plan)</t>
  </si>
  <si>
    <t>4046.2835.0960</t>
  </si>
  <si>
    <t>Shared Path (SES Bld)</t>
  </si>
  <si>
    <t>4046.2613.0960</t>
  </si>
  <si>
    <t>Shared Path (S94 AdminFees)</t>
  </si>
  <si>
    <t>4046.3168.0960</t>
  </si>
  <si>
    <t>Shared Path (Marine Infrastr)</t>
  </si>
  <si>
    <t>4046.4061.0960</t>
  </si>
  <si>
    <t>Shared Path (Ferry)</t>
  </si>
  <si>
    <t>4046.4064.0960</t>
  </si>
  <si>
    <t>Shared Path (Civil misc)</t>
  </si>
  <si>
    <t>4046.4439.0960</t>
  </si>
  <si>
    <t>Shared Path (Climate Adpt)</t>
  </si>
  <si>
    <t>4046.2614.0960</t>
  </si>
  <si>
    <t>Shared Path (Quarry)</t>
  </si>
  <si>
    <t>Boatramps fr SIC</t>
  </si>
  <si>
    <t>4050.4044.0960</t>
  </si>
  <si>
    <t>Martin St Boatharbour fr S/water</t>
  </si>
  <si>
    <t>4050.4062.0960</t>
  </si>
  <si>
    <t>Frip Oval Drainage</t>
  </si>
  <si>
    <t>4063.8436.0960</t>
  </si>
  <si>
    <t>Wollongbar Sportfield (Grant)</t>
  </si>
  <si>
    <t>Wollongbar Sportfield (Prop Dev)</t>
  </si>
  <si>
    <t>Wollongbar Sportfield (BHD rd)</t>
  </si>
  <si>
    <t>Budget Load</t>
  </si>
  <si>
    <t>W42.9999.0401</t>
  </si>
  <si>
    <t>W79.9999.0401</t>
  </si>
  <si>
    <t>W32.9999.0401</t>
  </si>
  <si>
    <t>W35.9999.0401</t>
  </si>
  <si>
    <t>W82.9999.0401</t>
  </si>
  <si>
    <t>W64.9999.0401</t>
  </si>
  <si>
    <t>W38.9999.0401</t>
  </si>
  <si>
    <t>W29.9999.0401</t>
  </si>
  <si>
    <t>W89.9999.0401</t>
  </si>
  <si>
    <t>W45.9999.0401</t>
  </si>
  <si>
    <t>W46.9999.0401</t>
  </si>
  <si>
    <t>W47.9999.0401</t>
  </si>
  <si>
    <t>W30.9999.0401</t>
  </si>
  <si>
    <t>W52.9999.0401</t>
  </si>
  <si>
    <t>W53.9999.0401</t>
  </si>
  <si>
    <t>W55.9999.0401</t>
  </si>
  <si>
    <t>W86.9999.0401</t>
  </si>
  <si>
    <t>W58.9999.0401</t>
  </si>
  <si>
    <t>W59.9999.0401</t>
  </si>
  <si>
    <t>W60.9999.0401</t>
  </si>
  <si>
    <t>W61.9999.0401</t>
  </si>
  <si>
    <t>W62.9999.0401</t>
  </si>
  <si>
    <t>W63.9999.0401</t>
  </si>
  <si>
    <t>W87.9999.0401</t>
  </si>
  <si>
    <t>W69.9999.0401</t>
  </si>
  <si>
    <t>W73.9999.0401</t>
  </si>
  <si>
    <t>W92.9999.0401</t>
  </si>
  <si>
    <t>W95.9999.0401</t>
  </si>
  <si>
    <t>W96.9999.0401</t>
  </si>
  <si>
    <t>W9.9999.0401</t>
  </si>
  <si>
    <t>W111.9999.0401</t>
  </si>
  <si>
    <t>W102.9999.0401</t>
  </si>
  <si>
    <t>W103.9999.0401</t>
  </si>
  <si>
    <t>W105.9999.0401</t>
  </si>
  <si>
    <t>W106.9999.0401</t>
  </si>
  <si>
    <t>W107.9999.0401</t>
  </si>
  <si>
    <t>Admin Building</t>
  </si>
  <si>
    <t>4520.8440.0961</t>
  </si>
  <si>
    <t>32312.6205.0401</t>
  </si>
  <si>
    <t>22150.4207.0165</t>
  </si>
  <si>
    <t>26081.8515.0226</t>
  </si>
  <si>
    <t>30002.1089.0401</t>
  </si>
  <si>
    <t>26085.7780.0950</t>
  </si>
  <si>
    <t>Ballina Surf Club (Indoor Sports)</t>
  </si>
  <si>
    <t>4038.7781.0960</t>
  </si>
  <si>
    <t>4038.7782.0960</t>
  </si>
  <si>
    <t>32348.7055.0401</t>
  </si>
  <si>
    <t>32348.7056.0401</t>
  </si>
  <si>
    <t>32350.7071.0401</t>
  </si>
  <si>
    <t>35050.0318.0340</t>
  </si>
  <si>
    <t>4045.4426.0960</t>
  </si>
  <si>
    <t>32101.3077.0622</t>
  </si>
  <si>
    <t>4610.3921.0961</t>
  </si>
  <si>
    <t>Pump Capacity Upgrade Program</t>
  </si>
  <si>
    <t>Emergency Storage Program</t>
  </si>
  <si>
    <t>W108.999.0401</t>
  </si>
  <si>
    <t>Public Art</t>
  </si>
  <si>
    <t>ADMINISTRATION CENTRE AND DEPOT FACILITIES</t>
  </si>
  <si>
    <t>Airport Art</t>
  </si>
  <si>
    <t>LEP - Blueseas</t>
  </si>
  <si>
    <t>LEP -1099 Burns Point Ferry Road</t>
  </si>
  <si>
    <t>Destination Development and Events</t>
  </si>
  <si>
    <t>Sundry (EFTPOS Charges)</t>
  </si>
  <si>
    <t>Sundry Fines</t>
  </si>
  <si>
    <t>Environmental / Public Health</t>
  </si>
  <si>
    <t>Public Order</t>
  </si>
  <si>
    <t>Mgmt Plans (Shaws Bay / Lake A)</t>
  </si>
  <si>
    <t>State Grant Projects</t>
  </si>
  <si>
    <t>Miscellaneous - Old Plan</t>
  </si>
  <si>
    <t>12010.4515.0103</t>
  </si>
  <si>
    <t>Add Members Contributions</t>
  </si>
  <si>
    <t>Net Change in Cash Reserves</t>
  </si>
  <si>
    <t>Cash Reserve Balance</t>
  </si>
  <si>
    <t>Add Opening Balance (incl ELE Res)</t>
  </si>
  <si>
    <t>Closing Balance (incl ELE Reserve)</t>
  </si>
  <si>
    <t>Rous Water</t>
  </si>
  <si>
    <t>WATER - CAPITAL EXPENDITURE</t>
  </si>
  <si>
    <t>Basalt Court Reservoir DMA</t>
  </si>
  <si>
    <t>SP2006 - Pump Capacity Upgrade</t>
  </si>
  <si>
    <t>SP2109 - Pump Capacity Upgrade</t>
  </si>
  <si>
    <t>SP2112 - Pump Capacity Upgrade</t>
  </si>
  <si>
    <t>Skennars Head Emerg Storage&amp;Pump Upgrade</t>
  </si>
  <si>
    <t>Event Signage</t>
  </si>
  <si>
    <t>Event Marquee Hire</t>
  </si>
  <si>
    <t>Administration Services</t>
  </si>
  <si>
    <t>Records Management</t>
  </si>
  <si>
    <t>Bank Charges and Sundry</t>
  </si>
  <si>
    <t>WH&amp;S Sundry Expenses</t>
  </si>
  <si>
    <t xml:space="preserve">Work Health and Safety </t>
  </si>
  <si>
    <t>Office Staff Uniforms</t>
  </si>
  <si>
    <t>74 Tamar Street</t>
  </si>
  <si>
    <t>78 Tamar Street</t>
  </si>
  <si>
    <t>30003.1106.0401</t>
  </si>
  <si>
    <t>30003.1105.0401</t>
  </si>
  <si>
    <t>Sub Total - Property Develop</t>
  </si>
  <si>
    <t>30002.1299.0401</t>
  </si>
  <si>
    <t>30002.1017.0401</t>
  </si>
  <si>
    <t>30002.1096.0401</t>
  </si>
  <si>
    <t>7508.4988.0401</t>
  </si>
  <si>
    <t>Depot and Procurement</t>
  </si>
  <si>
    <t>Admin Centre and Depot</t>
  </si>
  <si>
    <t>Payroll Tax and Other Expenses</t>
  </si>
  <si>
    <t>Roadside Vegetation Management Plan</t>
  </si>
  <si>
    <t>Community Programs</t>
  </si>
  <si>
    <t>Community Centres / Halls</t>
  </si>
  <si>
    <t>Depots and Procurement</t>
  </si>
  <si>
    <t>State - Swift St Bus Interchange</t>
  </si>
  <si>
    <t>Car Parks</t>
  </si>
  <si>
    <t>Roads Pre-Plan Sec 94</t>
  </si>
  <si>
    <t>LEP - Teven Rd</t>
  </si>
  <si>
    <t>Various Works</t>
  </si>
  <si>
    <t>Development &amp; Env Health Group</t>
  </si>
  <si>
    <t xml:space="preserve">Depreciation - Administration Centre </t>
  </si>
  <si>
    <t>Depreciation - Roads and Bridges</t>
  </si>
  <si>
    <t xml:space="preserve">Sub Total Recouped </t>
  </si>
  <si>
    <t>Land Stock Movements</t>
  </si>
  <si>
    <t>Clean Up Australia Day</t>
  </si>
  <si>
    <t>Wigmore Arcade - Refurbishment</t>
  </si>
  <si>
    <t>Interest as per Spreadsheets</t>
  </si>
  <si>
    <t xml:space="preserve">Cherry St </t>
  </si>
  <si>
    <t>2017.3401.0401</t>
  </si>
  <si>
    <t>Shaws Bay Management Plan</t>
  </si>
  <si>
    <t>22155.4038.0179</t>
  </si>
  <si>
    <t>Principal Repayments</t>
  </si>
  <si>
    <t>Loan Borrowing Interest Repayments</t>
  </si>
  <si>
    <t>Debt Service Cover Ratio - Consolidated</t>
  </si>
  <si>
    <t>Debt Service Cover Ratio (Consolidated)</t>
  </si>
  <si>
    <t>Reserves Balance (Water and W/W)</t>
  </si>
  <si>
    <t>Depreciation - Remediation - Quarries</t>
  </si>
  <si>
    <t>Less Unwinding Interest Free Loans</t>
  </si>
  <si>
    <t>Operating Result before Depreciation and Non Cash Items</t>
  </si>
  <si>
    <t>Add Back Unwinding Interest Free Loans</t>
  </si>
  <si>
    <t>Interest and Investment Revenues</t>
  </si>
  <si>
    <t>Total Income from Continuing Operations</t>
  </si>
  <si>
    <t>Employee Benefits and On-costs</t>
  </si>
  <si>
    <t>Depreciation and Amortisation</t>
  </si>
  <si>
    <t>Net Loss from Disposal of Assets</t>
  </si>
  <si>
    <t>Other Income:</t>
  </si>
  <si>
    <t>Net Gain from Disposal of Assets</t>
  </si>
  <si>
    <t>Total Expenses from Continuing Operations</t>
  </si>
  <si>
    <t>Net Operating Result for the Year</t>
  </si>
  <si>
    <t>Income Statement Check</t>
  </si>
  <si>
    <t>Grants and Contributions for Operating Purposes</t>
  </si>
  <si>
    <t>Grants and Contributions for Capital Purposes</t>
  </si>
  <si>
    <t>2353.3401.0401</t>
  </si>
  <si>
    <t>22155.4073.0179</t>
  </si>
  <si>
    <t>26081.8518.0226</t>
  </si>
  <si>
    <t>26084.8508.0138</t>
  </si>
  <si>
    <t>26084.8509.0138</t>
  </si>
  <si>
    <t>26130.8838.0226</t>
  </si>
  <si>
    <t>Ballina Gallery Café Outgoings</t>
  </si>
  <si>
    <t>26122.8824.0233</t>
  </si>
  <si>
    <t>22112.5192.0179</t>
  </si>
  <si>
    <t>Private Works Paid Up Front - Slashings</t>
  </si>
  <si>
    <t>22153.4281.0134</t>
  </si>
  <si>
    <t>32497.4214.0401</t>
  </si>
  <si>
    <t>22231.5264.0233</t>
  </si>
  <si>
    <t>22241.5761.0148</t>
  </si>
  <si>
    <t>Coastal Reserve</t>
  </si>
  <si>
    <t>32279.5671.0401</t>
  </si>
  <si>
    <t>12010.4511.0103</t>
  </si>
  <si>
    <t>Trade Waste Fixed</t>
  </si>
  <si>
    <t>Trade Waste Volumetric</t>
  </si>
  <si>
    <t>26028.7826.0138</t>
  </si>
  <si>
    <t>26028.7828.0138</t>
  </si>
  <si>
    <t>26028.7829.0138</t>
  </si>
  <si>
    <t>Credit Card Surcharge - CBA EFTPOS</t>
  </si>
  <si>
    <t>Credit Card Surcharge - POSTbillpay</t>
  </si>
  <si>
    <t>Credit Card Surcharge - Bpoint (CBA)</t>
  </si>
  <si>
    <t>35020.7832.0613</t>
  </si>
  <si>
    <t>35020.7833.0613</t>
  </si>
  <si>
    <t>35020.7836.0613</t>
  </si>
  <si>
    <t>Payment Provider Fees Bpoint (CBA)</t>
  </si>
  <si>
    <t>Payment Provider Fees Aust Post</t>
  </si>
  <si>
    <t>26045.7896.0270</t>
  </si>
  <si>
    <t xml:space="preserve">Internal Income </t>
  </si>
  <si>
    <t>26065.8576.0225</t>
  </si>
  <si>
    <t>26065.8537.0225</t>
  </si>
  <si>
    <t>2086.3404.0401</t>
  </si>
  <si>
    <t>26065.8536.0225</t>
  </si>
  <si>
    <t>Wastewater Treatment Plant Ballina</t>
  </si>
  <si>
    <t>Wastewater Treatment Plant Lennox</t>
  </si>
  <si>
    <t>Wastewater Treatment Plant Alstonville</t>
  </si>
  <si>
    <t>Wastewater Treatment Plant Wardell</t>
  </si>
  <si>
    <t>Cap Gen Check</t>
  </si>
  <si>
    <t>Cash and Investments</t>
  </si>
  <si>
    <t>2024/25</t>
  </si>
  <si>
    <t>Airport - Car Park</t>
  </si>
  <si>
    <t>Loan Calculator - These figures need to stay for formulas to work</t>
  </si>
  <si>
    <t xml:space="preserve">New </t>
  </si>
  <si>
    <t>New</t>
  </si>
  <si>
    <t>Unrestricted Current Ratio - Water Fund</t>
  </si>
  <si>
    <t>Unrestricted Current Ratio (Water Fund)</t>
  </si>
  <si>
    <t>Unrestricted Current Ratio - Wastewater Fund</t>
  </si>
  <si>
    <t>Rates and Annual Charges Outstanding - General</t>
  </si>
  <si>
    <t>Rates and Charges Outstanding (General)</t>
  </si>
  <si>
    <t>Rates and Annual Charges Outstanding - Water</t>
  </si>
  <si>
    <t>Rates and Charges Outstanding (Water)</t>
  </si>
  <si>
    <t>Rates and Annual Charges Outstanding - Wastewater</t>
  </si>
  <si>
    <t>Rates and Charges Outstanding (Wastewater)</t>
  </si>
  <si>
    <t>Own Source Operating Revenue - Consolidated</t>
  </si>
  <si>
    <t xml:space="preserve">Own Source Operating Revenue - General </t>
  </si>
  <si>
    <t>Own Source Operating Revenue - (General)</t>
  </si>
  <si>
    <t>Own Source Operating Revenue - Water</t>
  </si>
  <si>
    <t>Own Source Operating Revenue (Water)</t>
  </si>
  <si>
    <t>Own Source Operating Revenue - Wastewater</t>
  </si>
  <si>
    <t>Own Source Operating Revenue (Wastewater)</t>
  </si>
  <si>
    <t>Debt Service Cover Ratio - Water</t>
  </si>
  <si>
    <t>Debt Service Cover Ratio (Water)</t>
  </si>
  <si>
    <t>Debt Service Cover Ratio - Wastewater</t>
  </si>
  <si>
    <t>Debt Service Cover Ratio (Wastewater)</t>
  </si>
  <si>
    <t>Cash Expense Cover Ratio (Consolidated)</t>
  </si>
  <si>
    <t>Cash Expense Cover Ratio - Consolidated</t>
  </si>
  <si>
    <t>Current Year Cash and Equivalents</t>
  </si>
  <si>
    <t>Payments from Cash Flows</t>
  </si>
  <si>
    <t xml:space="preserve">Cash Expense Cover Ratio - General </t>
  </si>
  <si>
    <t>Cash Expense Cover Ratio (General)</t>
  </si>
  <si>
    <t>Cash Expense Cover Ratio - Water</t>
  </si>
  <si>
    <t>Cash Expense Cover Ratio (Water)</t>
  </si>
  <si>
    <t>Cash Expense Cover Ratio - Wastewater</t>
  </si>
  <si>
    <t>Cash Expense Cover Ratio (Wastewater)</t>
  </si>
  <si>
    <t>Unrestricted Current Ratio (Wastewater Fund)</t>
  </si>
  <si>
    <t>Total Services</t>
  </si>
  <si>
    <t>Rous Water % Increase as per their LTFP</t>
  </si>
  <si>
    <t>Consolidated</t>
  </si>
  <si>
    <t>Cash Expense Cover Ratio</t>
  </si>
  <si>
    <t>Unrestricted Current Ratio - Target &gt; 1.5:1</t>
  </si>
  <si>
    <t>Operating Performance Ratio - Consolidated</t>
  </si>
  <si>
    <t>Operating Performance Ratio (Consolidated)</t>
  </si>
  <si>
    <t>Operating Performance Ratio - General</t>
  </si>
  <si>
    <t>Operating Performance Ratio (General)</t>
  </si>
  <si>
    <t xml:space="preserve">Operating Performance Ratio - Water </t>
  </si>
  <si>
    <t>Operating Performance Ratio (Water)</t>
  </si>
  <si>
    <t xml:space="preserve">Operating Performance Ratio - Wastewater </t>
  </si>
  <si>
    <t>Operating Performance Ratio (Wastewater)</t>
  </si>
  <si>
    <t>Rates and Annual Charges Outstanding - Target &lt; 10%</t>
  </si>
  <si>
    <t>Average Percentage Growth</t>
  </si>
  <si>
    <t>Bld &amp; Infrastructure Renewal Ratio (Water)</t>
  </si>
  <si>
    <t>Debt Service Cover Ratio - General</t>
  </si>
  <si>
    <t>Debt Service Cover Ratio (General)</t>
  </si>
  <si>
    <t>Bld &amp; Infrastructure Renewal Ratio - General</t>
  </si>
  <si>
    <t>Bld &amp; Infrastructure Renewal Ratio (General)</t>
  </si>
  <si>
    <t xml:space="preserve">Bld &amp; Infrastructure Renewal Ratio - Water </t>
  </si>
  <si>
    <t>Bld &amp; Infrastructure Renewal Ratio - Wastewater</t>
  </si>
  <si>
    <t>Bld &amp; Infrastructure Renewal Ratio (Wastewater)</t>
  </si>
  <si>
    <t>Externally Restricted Cash / Investments (Dev Conts)</t>
  </si>
  <si>
    <t>Less Fair Value Adjustments</t>
  </si>
  <si>
    <t>Less Capital Grants and Contributions</t>
  </si>
  <si>
    <t>Less Revaluation Decrements</t>
  </si>
  <si>
    <t>Adjusted Operating Result (Numerator)</t>
  </si>
  <si>
    <t>Adjusted Continuing Expenses</t>
  </si>
  <si>
    <t>Less Gain from Disposal of Assets</t>
  </si>
  <si>
    <t>Less Operating Grants and Contribution</t>
  </si>
  <si>
    <t>Fair Value Adjustments</t>
  </si>
  <si>
    <t>Total Continuing Income</t>
  </si>
  <si>
    <t>Three Year Average</t>
  </si>
  <si>
    <t>Cost Efficiency - General Fund</t>
  </si>
  <si>
    <t>Net Loss from the Disposal of Assets</t>
  </si>
  <si>
    <t>Revaluation Decrements</t>
  </si>
  <si>
    <t>Expenditure Deflated by</t>
  </si>
  <si>
    <t>Deflated Expenditure</t>
  </si>
  <si>
    <t>Gain from Disposal of Assets</t>
  </si>
  <si>
    <t>Total Continuing Income less Fair Value etc</t>
  </si>
  <si>
    <t>Excluding Capital Grants and Contributions</t>
  </si>
  <si>
    <t>Debt Service Ratio - Consolidated</t>
  </si>
  <si>
    <t>Debt Service Ratio - General</t>
  </si>
  <si>
    <t>Debt Service Ratio - Water</t>
  </si>
  <si>
    <t>Debt Service Ratio - Wastewater</t>
  </si>
  <si>
    <t>Excluding Fair Value Adjustments</t>
  </si>
  <si>
    <t>Excluding Gain From Disposal of Assets</t>
  </si>
  <si>
    <t>Debt Service Ratio (Consolidated)</t>
  </si>
  <si>
    <t>Debt Service Ratio (General)</t>
  </si>
  <si>
    <t>Debt Service Ratio (Water)</t>
  </si>
  <si>
    <t>Debt Service Ratio (Wastewater)</t>
  </si>
  <si>
    <t>Excluding Interest</t>
  </si>
  <si>
    <t>Excluding Depreciation</t>
  </si>
  <si>
    <t>Excluding Loss from from Disposal of Assets</t>
  </si>
  <si>
    <t>Excluding Revaluation Decrements</t>
  </si>
  <si>
    <t>Debt Service Cover Ratio - Target &gt; 2.0</t>
  </si>
  <si>
    <t>Net Expenses</t>
  </si>
  <si>
    <t>Cumulative Deflation</t>
  </si>
  <si>
    <t>Building and Infrastructure Renewals</t>
  </si>
  <si>
    <t>Infrastructure Backlog Ratio - General</t>
  </si>
  <si>
    <t>Estimated Cost to bring Assets to Standard</t>
  </si>
  <si>
    <t>Total WDV of Infrastructure and Buildings</t>
  </si>
  <si>
    <t>Actual Revenue Funding</t>
  </si>
  <si>
    <t>Ratios and Balance Sheet Checks</t>
  </si>
  <si>
    <t>Balance Sheets</t>
  </si>
  <si>
    <t>Operating Performance Ratio</t>
  </si>
  <si>
    <t>Own Source Operating Revenue Ratio</t>
  </si>
  <si>
    <t>Unrestricted Current Ratio</t>
  </si>
  <si>
    <t>Debt Service Ratio</t>
  </si>
  <si>
    <t>Debt Service Cover Ratio</t>
  </si>
  <si>
    <t>Rates and Annual Charges O/S Ratio</t>
  </si>
  <si>
    <t>Building and Infrastructure Renewal</t>
  </si>
  <si>
    <t>Externally Cash (not included in ratio calculation)</t>
  </si>
  <si>
    <t>Externally Restricted Receivables (not in ratio)</t>
  </si>
  <si>
    <t>Vacant Property Annual Charges</t>
  </si>
  <si>
    <t>Internal Plant Hire Charges</t>
  </si>
  <si>
    <t>User Fees and Charges - External</t>
  </si>
  <si>
    <t>User Fees and Charges - Internal</t>
  </si>
  <si>
    <t>Waste - Internal Fees and Charges</t>
  </si>
  <si>
    <t xml:space="preserve">Consolidated Result </t>
  </si>
  <si>
    <t xml:space="preserve">General </t>
  </si>
  <si>
    <t xml:space="preserve">Wastewater </t>
  </si>
  <si>
    <t>Business Marketing (Business Dividend)</t>
  </si>
  <si>
    <t>32201.3917.0401</t>
  </si>
  <si>
    <t>Less Bitumen Reseals Transferred from Operating to Capital - Urban</t>
  </si>
  <si>
    <t>Less Bitumen Reseals Transferred from Operating to Capital - Rural</t>
  </si>
  <si>
    <t>Add Teven Road Loan Temporary Adjustment (cash flow needed due to down turn in revenues)</t>
  </si>
  <si>
    <t>This figure should be based on original transfer but then changed each year for adjustments</t>
  </si>
  <si>
    <t>Add Heavy Patching Transferred from Capital to Operating (original figure around $284,000 in 2012/13)</t>
  </si>
  <si>
    <t>Reseals Urban</t>
  </si>
  <si>
    <t>Rural Reseals</t>
  </si>
  <si>
    <t>Adjustment to make sure s/sheet balances - this is actually the shortfall or (surplus)</t>
  </si>
  <si>
    <t>Add monies transferred to fund Shared Pathway Capital Works (one off)</t>
  </si>
  <si>
    <t>Add monies transferred to Newrybar Car Park Capital Works (one off)</t>
  </si>
  <si>
    <t>Add monies transferred to Playground Equip Program Capital Works (one off)</t>
  </si>
  <si>
    <t>Shelly Beach Toilets (part)</t>
  </si>
  <si>
    <t>Transfer to Air Conditioning Reserve</t>
  </si>
  <si>
    <t>2011/12 Budget Forecasts</t>
  </si>
  <si>
    <t>Cumbalum Way - Loan</t>
  </si>
  <si>
    <t>Hutley Drive - Loan</t>
  </si>
  <si>
    <t>McLeavy Culvert - Loan</t>
  </si>
  <si>
    <t>Teven Bridges - Loan</t>
  </si>
  <si>
    <t>Less Teven Loan Funded from Reserves</t>
  </si>
  <si>
    <t>Forecast</t>
  </si>
  <si>
    <t>Roads - Section 94 New and Reconstruct</t>
  </si>
  <si>
    <t>2012/13 Budget Forecasts</t>
  </si>
  <si>
    <t>Less Teven Road Loan Temporary Adjustment (cash flow needed due to down turn in property transactions and planning approvals)</t>
  </si>
  <si>
    <t>Add Heavy Patching Transferred from Capital to Operating</t>
  </si>
  <si>
    <t>Add Additional Transfer to Urban Rads Heavy Patching</t>
  </si>
  <si>
    <t>2013/14 Budget Forecasts</t>
  </si>
  <si>
    <t>Add Additional Transfer to OSR re Tree Root Barriers</t>
  </si>
  <si>
    <t>Less Transfer from Coogee St Drainage re Cumb Culvert</t>
  </si>
  <si>
    <t>Add transfer to Op costs of BBRC scheme legals</t>
  </si>
  <si>
    <t>2014/15 Budget Forecasts</t>
  </si>
  <si>
    <t>Less Bitumen Urban</t>
  </si>
  <si>
    <t>Less Bitumen Rural</t>
  </si>
  <si>
    <t>Add Transfer to Shared Path</t>
  </si>
  <si>
    <t>Add Transger to Newrybar</t>
  </si>
  <si>
    <t>Add Transfer to Playground</t>
  </si>
  <si>
    <t>Add Other Transfer</t>
  </si>
  <si>
    <t>General Fund Rev Less Bitumen Plus Other</t>
  </si>
  <si>
    <t xml:space="preserve">Heavy Patching </t>
  </si>
  <si>
    <t>Variance from 2013/14</t>
  </si>
  <si>
    <t>Sec 94 Wollongbar Link Road</t>
  </si>
  <si>
    <t>Sec 94 Loans etc</t>
  </si>
  <si>
    <t>Shortfall in Funding</t>
  </si>
  <si>
    <t>Bank Charges EFTPOS Fees</t>
  </si>
  <si>
    <t>Add: Funds Transferred to Other Projects</t>
  </si>
  <si>
    <t>Pollution Control and Dredging</t>
  </si>
  <si>
    <t>Fit for the Future Additional Percentage (%)</t>
  </si>
  <si>
    <t>Combined Growth, Rate Peg and Fit for Future (%)</t>
  </si>
  <si>
    <t>Additional Transfer to Paths Maintenance</t>
  </si>
  <si>
    <t>Additional Transfer to Paths Inspections</t>
  </si>
  <si>
    <t>Additional Transfer to Signs</t>
  </si>
  <si>
    <t>Additional Transfer to Bus Shelters</t>
  </si>
  <si>
    <t>35076.8858.0401</t>
  </si>
  <si>
    <t>Wigmore Business Marketing</t>
  </si>
  <si>
    <t>Killen Falls works</t>
  </si>
  <si>
    <t>Transfer from Crawford House capital to Shelly Beach Surf club maintenance LCO11/12/14</t>
  </si>
  <si>
    <t>Add Back Unwinding of Interest Free Loans</t>
  </si>
  <si>
    <t>Eliminate Non-cash Movements</t>
  </si>
  <si>
    <t>Business Rates</t>
  </si>
  <si>
    <t>Water Annual Charges</t>
  </si>
  <si>
    <t>Wastewater Annual Charges</t>
  </si>
  <si>
    <t>Other Waste Charges</t>
  </si>
  <si>
    <t>Long Term Financial Plan Summary (including Internal Transcation Eliminations)</t>
  </si>
  <si>
    <t>Internal Charges - Reduce Total Income and Expenses</t>
  </si>
  <si>
    <t>LEP - Stewart Farm</t>
  </si>
  <si>
    <t xml:space="preserve">Grants and Contributions </t>
  </si>
  <si>
    <t>Rural Fire Service Approved Projects</t>
  </si>
  <si>
    <t>Contribution - Works</t>
  </si>
  <si>
    <t xml:space="preserve">Interest on Grant </t>
  </si>
  <si>
    <t>Staff Lease Fees</t>
  </si>
  <si>
    <t>Killen Falls</t>
  </si>
  <si>
    <t>LRM Dividends</t>
  </si>
  <si>
    <t>Total Dividend</t>
  </si>
  <si>
    <t>Road Capital</t>
  </si>
  <si>
    <t xml:space="preserve">Open Spaces </t>
  </si>
  <si>
    <t>Public Amenities - Improvements</t>
  </si>
  <si>
    <t>Water User Charges</t>
  </si>
  <si>
    <t>Water Consumption Charge Increase %</t>
  </si>
  <si>
    <t>Sundy User Charges</t>
  </si>
  <si>
    <t>RMS - Gateway Treatments</t>
  </si>
  <si>
    <t>State - Newrybar Fire Shed</t>
  </si>
  <si>
    <t>Surplus Land - Alstonville Plaza</t>
  </si>
  <si>
    <t xml:space="preserve">Land Sale - Standard Lots </t>
  </si>
  <si>
    <t>Land Sale - Large Lots</t>
  </si>
  <si>
    <t>Land Sale - Standard Lots</t>
  </si>
  <si>
    <t>SECTION 64 CONTRIBUTION MOVEMENTS</t>
  </si>
  <si>
    <t>RESERVE MOVEMENTS</t>
  </si>
  <si>
    <t>OPERATING RESULT AND FUND MOVEMENT</t>
  </si>
  <si>
    <t>50112.690</t>
  </si>
  <si>
    <t>Wastewater Reserves - Increase / (Decrease)</t>
  </si>
  <si>
    <t>55022.690</t>
  </si>
  <si>
    <t>Water Refurbishment Reserve and Working Capital</t>
  </si>
  <si>
    <t>Refurbishment / Working Cap - Increase / (Decrease)</t>
  </si>
  <si>
    <t>Increase / (Decrease) in Leave and Other Liabilities</t>
  </si>
  <si>
    <t xml:space="preserve">Transfers from / (to) Internal Reserves and Working </t>
  </si>
  <si>
    <t>CAPITAL GRANTS AND CONTRIBUTIONS - CASH</t>
  </si>
  <si>
    <t>Gain on Sale of Assets</t>
  </si>
  <si>
    <t>Less Heavy Patching Transferred from Operating to Capital - Urban</t>
  </si>
  <si>
    <t>Less Heavy Patching Transferred from Operating to Capital - Rural</t>
  </si>
  <si>
    <t>Loss on Disposal of Infrastructure</t>
  </si>
  <si>
    <t>Add Back Loss on Sale of Infrastructure</t>
  </si>
  <si>
    <t>Dividends - Water and Wastewater</t>
  </si>
  <si>
    <t>32350.7072.0401</t>
  </si>
  <si>
    <t>Internal Contribution to Depot</t>
  </si>
  <si>
    <t>Internal Contribution to Asset Management</t>
  </si>
  <si>
    <t>Internal Contribution to Trinity Place</t>
  </si>
  <si>
    <t>Total Contributions Eliminated</t>
  </si>
  <si>
    <t>22112.5066.179</t>
  </si>
  <si>
    <t>32348.7058.0401</t>
  </si>
  <si>
    <t>Adjustment - Unclear from Statements</t>
  </si>
  <si>
    <t>RMS Contribution</t>
  </si>
  <si>
    <t>Miscellaneous Contributions</t>
  </si>
  <si>
    <t>LIRS Subsidy</t>
  </si>
  <si>
    <t>Interest on Reserves and Loans</t>
  </si>
  <si>
    <t>Commissions - On Consignment</t>
  </si>
  <si>
    <t>Third Party Flood Modelling</t>
  </si>
  <si>
    <t>Diesel Rebate</t>
  </si>
  <si>
    <t>Sundry Revenues</t>
  </si>
  <si>
    <t>Scrap Metal Sales</t>
  </si>
  <si>
    <t>Waste Trucks - Internal Charges</t>
  </si>
  <si>
    <t>Loss on Disposal of Infrastructure Assets</t>
  </si>
  <si>
    <t>Add Back Unwinding Interest Free Loan</t>
  </si>
  <si>
    <t>Add Back Loss on Disposal of Infrastructure Assets</t>
  </si>
  <si>
    <t>Add Back Unwinding of Interest Free Loan NPV</t>
  </si>
  <si>
    <t>Add Back Loss on Disposal of Infra Assets</t>
  </si>
  <si>
    <t>Less Loss on Disposal of Infrastructure Assets</t>
  </si>
  <si>
    <t>Add Back Loss on Diposal of Infrastructure</t>
  </si>
  <si>
    <t>Add Back Loss from Disposal of Infrastructure</t>
  </si>
  <si>
    <t>Loss on Disposal of Plant &amp; Equipment</t>
  </si>
  <si>
    <t>32320.690.</t>
  </si>
  <si>
    <t>35120.0690.</t>
  </si>
  <si>
    <t>LTFP Check</t>
  </si>
  <si>
    <t>Ancillary</t>
  </si>
  <si>
    <t>State - BBP - Wardell Town Centre</t>
  </si>
  <si>
    <t>Rural Roads and Bridges</t>
  </si>
  <si>
    <t>LIRS Loan Subsidy</t>
  </si>
  <si>
    <t>BBRC</t>
  </si>
  <si>
    <t>Landfill Operations</t>
  </si>
  <si>
    <t>LRM Operations</t>
  </si>
  <si>
    <t>% Op Exp</t>
  </si>
  <si>
    <t xml:space="preserve">Charge </t>
  </si>
  <si>
    <t>Rating Exps</t>
  </si>
  <si>
    <t>Issued 15/16</t>
  </si>
  <si>
    <t>Nos 15/16</t>
  </si>
  <si>
    <t>Cost Drivers</t>
  </si>
  <si>
    <t>Debit 15/16</t>
  </si>
  <si>
    <t>Credit 15/16</t>
  </si>
  <si>
    <t>Less LRM Internal Charges</t>
  </si>
  <si>
    <t>Less Disposal on Infrastructure Assets</t>
  </si>
  <si>
    <t>Overhead Distribution - 2015/16</t>
  </si>
  <si>
    <t>ITEM</t>
  </si>
  <si>
    <t>ENGINEERING (ASSET) MANAGEMENT</t>
  </si>
  <si>
    <t>STRATEGIC PLANNING (cont'd)</t>
  </si>
  <si>
    <t>Lennox Head Cultural and Comm Centre</t>
  </si>
  <si>
    <t>Alstonville Leisure &amp; Entertainment Centre</t>
  </si>
  <si>
    <t>Visitor Information Centre - Merchandise</t>
  </si>
  <si>
    <t>Kentwell Community Centre - Hire</t>
  </si>
  <si>
    <t>Kentwell Community Centre - Lease</t>
  </si>
  <si>
    <t>Ballina Surf Club - Café / Kiosk Outgoings</t>
  </si>
  <si>
    <t>Ballina Surf Club - Café / Kiosk Lease</t>
  </si>
  <si>
    <t>Salaries and Oncosts - Comm Centres</t>
  </si>
  <si>
    <t>Interest on Loans - Naval Museum</t>
  </si>
  <si>
    <t xml:space="preserve">Development App Advertising Fee </t>
  </si>
  <si>
    <t>Development App Compliance Levy</t>
  </si>
  <si>
    <t>Urgency Fee Certificate - Section 150</t>
  </si>
  <si>
    <t>Development App Fees (Building)</t>
  </si>
  <si>
    <t>Swimming Pools - Cert of Compliance</t>
  </si>
  <si>
    <t>Registrations / Inspections Food Regs</t>
  </si>
  <si>
    <t>Registrations / Inspections LG act</t>
  </si>
  <si>
    <t>LANDFILL AND RESOURCE MANAGEMENT (cont'd)</t>
  </si>
  <si>
    <t>Employee Costs - Mgmt and Admin</t>
  </si>
  <si>
    <t xml:space="preserve">Bus Shelters and Public Transport </t>
  </si>
  <si>
    <t>Domestic Waste Mgmt Annual Charges</t>
  </si>
  <si>
    <t>State Governent - Pensioner Subsidy</t>
  </si>
  <si>
    <t xml:space="preserve">Collection Kerbside - Recycling Disposal </t>
  </si>
  <si>
    <t>Section 94 Plans Administration Conts</t>
  </si>
  <si>
    <t>Administration Centre - Building Mtce</t>
  </si>
  <si>
    <t xml:space="preserve">Picnic Tables Construction / Installation </t>
  </si>
  <si>
    <t>Cont to RRCC - Drainage Union</t>
  </si>
  <si>
    <t>Main Street - Cleaning - Alstonville</t>
  </si>
  <si>
    <t xml:space="preserve">Main Street - Cleaning - Ballina </t>
  </si>
  <si>
    <t>Operations Open Spaces and Reserves</t>
  </si>
  <si>
    <t>Donation - Mowing (Wardell / Alstonville)</t>
  </si>
  <si>
    <t>Nursery Buildings and Facilities - Mtce</t>
  </si>
  <si>
    <t xml:space="preserve">MGB Kerb Collection Business DWM </t>
  </si>
  <si>
    <t xml:space="preserve">Solid Waste Dust, Odour &amp; Vermin </t>
  </si>
  <si>
    <t>Dry Inert Spread, Compact &amp; Cover</t>
  </si>
  <si>
    <t xml:space="preserve">Add Back Depreciation and Non Cash </t>
  </si>
  <si>
    <t xml:space="preserve">Employee Costs - Infrastructure </t>
  </si>
  <si>
    <t>Conts - Road Safety Officer / Programs</t>
  </si>
  <si>
    <t>Add Back Loss on Infrastructure</t>
  </si>
  <si>
    <t>Add Back Loss on Infrastructure Assets</t>
  </si>
  <si>
    <t xml:space="preserve">Add Back Loss on Infrastructure </t>
  </si>
  <si>
    <t>Depreciation - Open Spaces</t>
  </si>
  <si>
    <t>Cemeteries - Operating Expenses</t>
  </si>
  <si>
    <t>Other Services</t>
  </si>
  <si>
    <t>Town Entry Beautification Program</t>
  </si>
  <si>
    <t>Cemeteries - Fees and Charges</t>
  </si>
  <si>
    <t>Waste Collection and Recycling</t>
  </si>
  <si>
    <t>OPEN SPACES AND RESERVES (cont'd)</t>
  </si>
  <si>
    <t>Landfill Maintenance</t>
  </si>
  <si>
    <t>Venm Management</t>
  </si>
  <si>
    <t>Community Groups - Council Fees</t>
  </si>
  <si>
    <t xml:space="preserve">Overheads Distributed </t>
  </si>
  <si>
    <t>Commission - Rous Water Dev Apps</t>
  </si>
  <si>
    <t>Office Equipment Mtce and Rental</t>
  </si>
  <si>
    <t>Telephone After Hours Calls</t>
  </si>
  <si>
    <t xml:space="preserve">Transfers from Postponed Rates </t>
  </si>
  <si>
    <t xml:space="preserve">Transfers to Postponed Rates </t>
  </si>
  <si>
    <t>Abandoned Pensioners S160AA (BSC)</t>
  </si>
  <si>
    <t>Abandoned Pensioners S160AA (State)</t>
  </si>
  <si>
    <t>Revaluations (Finance) PPE</t>
  </si>
  <si>
    <t>Miscellanous Revenues (Insurance)</t>
  </si>
  <si>
    <t>Tintenbar Chambers (Alstonville)</t>
  </si>
  <si>
    <t>Interest on Investments - Comm Infras</t>
  </si>
  <si>
    <t>Interest on Investments - BBRC</t>
  </si>
  <si>
    <t>Ballina Heights Sales - BBRC Refunds</t>
  </si>
  <si>
    <t>WUEA Sales - BBRC Refunds</t>
  </si>
  <si>
    <t>Airport Building Area, Roads / Services</t>
  </si>
  <si>
    <t>Councillors Allowances and Exps</t>
  </si>
  <si>
    <t>Former Tintenbar Chambers - Mtce</t>
  </si>
  <si>
    <t>Former Ballina Chambers - Mtce</t>
  </si>
  <si>
    <t xml:space="preserve">Other Crown Commercial Buildings </t>
  </si>
  <si>
    <t>Fawcett Park Café Building Mtce</t>
  </si>
  <si>
    <t>Other Commercial Buildings - Mtce</t>
  </si>
  <si>
    <t>BALLINA - BYRON GATEWAY AIRPORT (cont'd)</t>
  </si>
  <si>
    <t>HUMAN RESOURCES AND RISK MANAGEMENT (cont'd)</t>
  </si>
  <si>
    <t>Funding Source 2024/25</t>
  </si>
  <si>
    <t>WASTEWATER - CAPITAL EXPENDITURE</t>
  </si>
  <si>
    <t>Add Back Loss on Infrasturcture Assets</t>
  </si>
  <si>
    <t>CAPITAL GRANTS AND CONTRIBUTIONS</t>
  </si>
  <si>
    <t>Car Parking - Sharpes Beach Rent</t>
  </si>
  <si>
    <t>Car Parking - Maintenance and Rates</t>
  </si>
  <si>
    <t>Other Beach Exps - Insurance / Permits</t>
  </si>
  <si>
    <t>Electricty, Heating and Cleaning</t>
  </si>
  <si>
    <t>Rates, Insurance and Security</t>
  </si>
  <si>
    <t>Visitor Centre Office Expenses</t>
  </si>
  <si>
    <t>Deprec - Tourism Building and Assets</t>
  </si>
  <si>
    <t>Fire Control Expenses (Council Control)</t>
  </si>
  <si>
    <t>Donations - Rates / Charges</t>
  </si>
  <si>
    <t>Donations - SCU Scholarship</t>
  </si>
  <si>
    <t>Donations - Halls / Buildings</t>
  </si>
  <si>
    <t>Donations - Lighthouse Chairs</t>
  </si>
  <si>
    <t>Donations - General</t>
  </si>
  <si>
    <t>Donations - Planning Fees</t>
  </si>
  <si>
    <t>Other Subscriptions</t>
  </si>
  <si>
    <t>Lease - State Government - Crown Land</t>
  </si>
  <si>
    <t xml:space="preserve">Contribution - Ballina Surf Club - Kiosk </t>
  </si>
  <si>
    <t>Rental - State Govt - Crown (Pre-schools)</t>
  </si>
  <si>
    <t>Rental - State Govt - Crown Lands</t>
  </si>
  <si>
    <t>Net Increase / (Decrease) Leave Liabilities and Other Net Current Assets</t>
  </si>
  <si>
    <t xml:space="preserve">Contributions </t>
  </si>
  <si>
    <t>Contribution to Works and BBRC</t>
  </si>
  <si>
    <t>Other Maintenance</t>
  </si>
  <si>
    <t>Other Operations</t>
  </si>
  <si>
    <t>50113</t>
  </si>
  <si>
    <t>Water Treatment Plant</t>
  </si>
  <si>
    <t>Main Renewals</t>
  </si>
  <si>
    <t>Water Meter - Replacement</t>
  </si>
  <si>
    <t>Interest on Section 64 Contributions</t>
  </si>
  <si>
    <t>Contributions to Works and BBRC</t>
  </si>
  <si>
    <t>WATER OPERATIONS (cont'd)</t>
  </si>
  <si>
    <t>Add Back Loss on Infrastructure Disposal</t>
  </si>
  <si>
    <t>Abandoned Pensioners S160AA State</t>
  </si>
  <si>
    <t>Sales Direct From Bulk Filling Stations</t>
  </si>
  <si>
    <t>Abandoned Pensioners S16AA State</t>
  </si>
  <si>
    <t>Add Back Loss Infrastructure Disposal</t>
  </si>
  <si>
    <t>CAPITAL GRANTS AND CAPITAL CONTRIBUTIONS (cont'd)</t>
  </si>
  <si>
    <t>Wastewater Fund - Loan Principal and Interest Repayment Schedule</t>
  </si>
  <si>
    <t>Interim Draw Down</t>
  </si>
  <si>
    <t>10 Years Fixed - Renewable</t>
  </si>
  <si>
    <t>Renewal</t>
  </si>
  <si>
    <t>Date</t>
  </si>
  <si>
    <t>5 Years Fixed - Renewable</t>
  </si>
  <si>
    <t>(Ledger 5025.0945.0945)</t>
  </si>
  <si>
    <t>10 Years Interest Free</t>
  </si>
  <si>
    <t>Wastewater - Loan Principal and Interest Repayments - Ten Year Forward Plan</t>
  </si>
  <si>
    <t>Landfill Opening</t>
  </si>
  <si>
    <t xml:space="preserve">Ballina 2000/01 </t>
  </si>
  <si>
    <t xml:space="preserve">Ballina 2002/03 </t>
  </si>
  <si>
    <t xml:space="preserve">Ballina 2003/04 </t>
  </si>
  <si>
    <t>Ballina 2012/13 (LIRS) (Quarry Funded)</t>
  </si>
  <si>
    <t>Reseal (LIRS) (Quarry Funded)</t>
  </si>
  <si>
    <t>Net Operating Result Before Capital Income</t>
  </si>
  <si>
    <t>Application Fee VMC</t>
  </si>
  <si>
    <t>Net Movement in Other Working Capital Items</t>
  </si>
  <si>
    <t>Operating Grants Check (approx only)</t>
  </si>
  <si>
    <t>Total Operating Result - Surplus / (Deficit)</t>
  </si>
  <si>
    <t>Total Cash Result - Surplus / (Deficit)</t>
  </si>
  <si>
    <t>NET PROGRAM OPERATING RESULT</t>
  </si>
  <si>
    <t>Total Cash Operating Result - Surplus / (Deficit)</t>
  </si>
  <si>
    <t xml:space="preserve">Summary Net Operating Costs </t>
  </si>
  <si>
    <t>Interest on Loans - Alstonville</t>
  </si>
  <si>
    <t>Lake Ainsworth Management Plan</t>
  </si>
  <si>
    <t>Interest on Loan Dog Pound</t>
  </si>
  <si>
    <t>Employee Costs Dissection</t>
  </si>
  <si>
    <t>Salaries and Wages</t>
  </si>
  <si>
    <t>ELE</t>
  </si>
  <si>
    <t>Superannuation - defined contribution</t>
  </si>
  <si>
    <t>Superannuation - defined benefit</t>
  </si>
  <si>
    <t>Workers Compensation Insurance</t>
  </si>
  <si>
    <t>FBT</t>
  </si>
  <si>
    <t>Training Costs</t>
  </si>
  <si>
    <t>Less Capitalised Cost</t>
  </si>
  <si>
    <t>Total Employee Costs Expensed</t>
  </si>
  <si>
    <t>Current</t>
  </si>
  <si>
    <t>Non-Current</t>
  </si>
  <si>
    <t>Movement In Provisions</t>
  </si>
  <si>
    <t>Increase</t>
  </si>
  <si>
    <t>Payments</t>
  </si>
  <si>
    <t>Closing Balance</t>
  </si>
  <si>
    <t>Opening Balance</t>
  </si>
  <si>
    <t>Provisions as per Annual Statements</t>
  </si>
  <si>
    <t>Net Increase (Decrease) in Current ELE</t>
  </si>
  <si>
    <t>Less Change in Minor Funds</t>
  </si>
  <si>
    <t>Net General Fund</t>
  </si>
  <si>
    <t>Minor Fund Provisions - Current</t>
  </si>
  <si>
    <t>Motor Vehicle Salaried Staff Charges</t>
  </si>
  <si>
    <t>State - Lake Ainsworth (PRMF)</t>
  </si>
  <si>
    <t>State - Marine Rescue Tower (PRMF)</t>
  </si>
  <si>
    <t>Essential Energy - Ballina Heights Drive</t>
  </si>
  <si>
    <t>RMS - 3x3 Rifle Range Rd</t>
  </si>
  <si>
    <t>Kingsford Smith Drive</t>
  </si>
  <si>
    <t>Nursery Sales - External</t>
  </si>
  <si>
    <t>Nursery Sales - Council</t>
  </si>
  <si>
    <t xml:space="preserve">Rural Fire Service Fire Trails </t>
  </si>
  <si>
    <t xml:space="preserve">Crown Lands Weed Control </t>
  </si>
  <si>
    <t>Lake Ainsworth Mgmt Plan Actions</t>
  </si>
  <si>
    <t>Net Incr / (Decr) in Leave and Working Capital</t>
  </si>
  <si>
    <t>Former Tintenbar Chambers - Lic Fee</t>
  </si>
  <si>
    <t>Coastal Recreation Path Reserve</t>
  </si>
  <si>
    <t>Coastal Recreational Path</t>
  </si>
  <si>
    <t>Wharves Jetties and Pontoons</t>
  </si>
  <si>
    <t>SALARIES AND WAGES ANALYSIS</t>
  </si>
  <si>
    <t>General Fund Expense Impact Adopted Budget</t>
  </si>
  <si>
    <t>Total Oncost</t>
  </si>
  <si>
    <t>LSL</t>
  </si>
  <si>
    <t>Net Increase / (Decrease) Leave Liabilities</t>
  </si>
  <si>
    <t>Maternity Leave</t>
  </si>
  <si>
    <t>Percentage Change from Previous Year Original</t>
  </si>
  <si>
    <t>Debt Service Ratio - Target &lt; 20% (Fit for the Future)</t>
  </si>
  <si>
    <t>Operating Performance Ratio - Target &gt; 0 average over three years (Fit for the Future)</t>
  </si>
  <si>
    <t>Own Source Operating Revenue  - Target &gt; 60% average over three years (Fit for the Future)</t>
  </si>
  <si>
    <t>Building and Infrastructure Asset Renewal Ratio - Target &gt; Greater than 100% average over three years (Fit for the Future)</t>
  </si>
  <si>
    <t>Infrastructure Backlog Ratio - Target &lt; 2% (Fit for the Future)</t>
  </si>
  <si>
    <t>Asset Maintenance Ratio - Target &gt; 100% average over three years (Fit for the Future)</t>
  </si>
  <si>
    <t>Asset Maintenance Data</t>
  </si>
  <si>
    <t>Total General Fund - Actual Annual Maintenance</t>
  </si>
  <si>
    <t>Water Supplies - Actual Annual Maintenance</t>
  </si>
  <si>
    <t>General Fund - Required Annual Maintenance</t>
  </si>
  <si>
    <t>Total Water Fund - Required Annual Maintenance</t>
  </si>
  <si>
    <t>Total Wastewater Fund - Required Annual Mtce</t>
  </si>
  <si>
    <t>Total - Actual Annual Maintenance</t>
  </si>
  <si>
    <t>Total - Required Annual Maintenace</t>
  </si>
  <si>
    <t>Wastewater Services - Actual Annual Maintenance</t>
  </si>
  <si>
    <t>Ratio</t>
  </si>
  <si>
    <t>Less Items that are not maintenance in linked accounts</t>
  </si>
  <si>
    <t>Population Data</t>
  </si>
  <si>
    <t>Real Operating Expenditure Per Capita Over Time (Fit for the Future) (Decrease Over Time)</t>
  </si>
  <si>
    <t>Ratio Check</t>
  </si>
  <si>
    <t>Skennars Head - Coast Rd</t>
  </si>
  <si>
    <t>W130.9999.0401</t>
  </si>
  <si>
    <t>Water - no internal eliminations</t>
  </si>
  <si>
    <t>Wastewater - no internal eliminations</t>
  </si>
  <si>
    <t>Consolidated - internal eliminations</t>
  </si>
  <si>
    <t xml:space="preserve">Total Eliminations </t>
  </si>
  <si>
    <t>Total Internal Rates, Annual Charges</t>
  </si>
  <si>
    <t>Heritage Programs</t>
  </si>
  <si>
    <t>Visitor Centre</t>
  </si>
  <si>
    <t xml:space="preserve">Operating Performance Ratio </t>
  </si>
  <si>
    <t>Own Source Operating Rev Ratio</t>
  </si>
  <si>
    <t>Asset Renewal Ratio</t>
  </si>
  <si>
    <t>Infrastructure Backlog Ratio</t>
  </si>
  <si>
    <t xml:space="preserve">Asset Maintenance Ratio </t>
  </si>
  <si>
    <t>Real Operating Expend Per Capita</t>
  </si>
  <si>
    <t>Lennox Head Community Centre</t>
  </si>
  <si>
    <t>Wollongbar Res Estate Selling Costs</t>
  </si>
  <si>
    <t xml:space="preserve">Pool Heating </t>
  </si>
  <si>
    <t>Sales - Maps</t>
  </si>
  <si>
    <t>Sales - Souvenirs</t>
  </si>
  <si>
    <t xml:space="preserve">Aboriginal Child / Family Centre Charges </t>
  </si>
  <si>
    <t>Office Exps, Advertising, Consultants</t>
  </si>
  <si>
    <t>Asset Management / Modelling</t>
  </si>
  <si>
    <t>Urban Roads - Heavy Patching</t>
  </si>
  <si>
    <t>Rural Roads Heavy Patching</t>
  </si>
  <si>
    <t>Commercial Activities &gt; 12mths</t>
  </si>
  <si>
    <t>Short Term Licences / Hire</t>
  </si>
  <si>
    <t>Duplicate Keys and Other Revenues</t>
  </si>
  <si>
    <t>Grants - Regional Works Crew</t>
  </si>
  <si>
    <t>Pacific Pines Fields</t>
  </si>
  <si>
    <t>Fire Control Expenses Council</t>
  </si>
  <si>
    <t>Environmental Monitoring and Approvals</t>
  </si>
  <si>
    <t>Waste Bailing Facility and Recycling</t>
  </si>
  <si>
    <t>Recycling Sundries</t>
  </si>
  <si>
    <t>Abandoned Pensioners (Council)</t>
  </si>
  <si>
    <t>Promotion and Education</t>
  </si>
  <si>
    <t>Coastal and Bushland Reserves</t>
  </si>
  <si>
    <t>Sports Fields - Operating Expenses</t>
  </si>
  <si>
    <t>E Waste</t>
  </si>
  <si>
    <t>Employee Support Services</t>
  </si>
  <si>
    <t>Earnings before Int, Dep (EBITDA)</t>
  </si>
  <si>
    <t>Civil Services (continued)</t>
  </si>
  <si>
    <t>Wollongbar BBRC</t>
  </si>
  <si>
    <t>31061.1795.0401</t>
  </si>
  <si>
    <t>RFS Control Centre Grounds/Clearing</t>
  </si>
  <si>
    <t>22280.6744.0041</t>
  </si>
  <si>
    <t>Recyclables Sales Paper</t>
  </si>
  <si>
    <t>Recyclables Sales Metal</t>
  </si>
  <si>
    <t>32340.4146.0401</t>
  </si>
  <si>
    <t xml:space="preserve">Education  </t>
  </si>
  <si>
    <t>10012.1310.0228</t>
  </si>
  <si>
    <t>35070.2597.0422</t>
  </si>
  <si>
    <t>35070.8554.0401</t>
  </si>
  <si>
    <t>Airport Evaluation</t>
  </si>
  <si>
    <t>26100.4117.0135</t>
  </si>
  <si>
    <t>Southern Cross Drive Rehab</t>
  </si>
  <si>
    <t>Legal Expenses/Fines Income</t>
  </si>
  <si>
    <t>Oeprating Revs</t>
  </si>
  <si>
    <t>FINANCIAL INDICATORS - RATIO SUMMARY</t>
  </si>
  <si>
    <t>FINANCIAL INDICATORS - RATIO SUMMARY (CONT'D)</t>
  </si>
  <si>
    <t>WASTEWATER OPERATIONS (cont'd)</t>
  </si>
  <si>
    <t>Waste Levy</t>
  </si>
  <si>
    <t>Landfill - Levy Works</t>
  </si>
  <si>
    <t>W133.9999.0401</t>
  </si>
  <si>
    <t>W134.9999.0401</t>
  </si>
  <si>
    <t>BBRC Program</t>
  </si>
  <si>
    <t>26063</t>
  </si>
  <si>
    <t>Road Funding Capital Reconciliation</t>
  </si>
  <si>
    <t>Depot Capital Contributions Check</t>
  </si>
  <si>
    <t>Net Result ($'000)</t>
  </si>
  <si>
    <t>Wollongbar Skate Park</t>
  </si>
  <si>
    <t>Missingham Car Park</t>
  </si>
  <si>
    <t>Ballina Town Entry Treatments</t>
  </si>
  <si>
    <t>Captain Cook Master Plan</t>
  </si>
  <si>
    <t>East Wardell, Pontoon</t>
  </si>
  <si>
    <t xml:space="preserve">Community Infrastructure </t>
  </si>
  <si>
    <t>Plant and Equipment Maintenance</t>
  </si>
  <si>
    <t>Add Back Loss on Disposal of Infrast</t>
  </si>
  <si>
    <t>Loss on Disposal of Infras Assets</t>
  </si>
  <si>
    <t>Capital Roads - General Revenue Funded</t>
  </si>
  <si>
    <t>Capital Bridges - General Revenue Funded</t>
  </si>
  <si>
    <t>RTR - Various Urban and Rural Projects</t>
  </si>
  <si>
    <t>Procurement Software Improvements</t>
  </si>
  <si>
    <t>SES Headquarters</t>
  </si>
  <si>
    <t>Swimming Pool - Ballina</t>
  </si>
  <si>
    <t>Swimming Pool - Alstonville</t>
  </si>
  <si>
    <t>Workshop Lifting Improvements</t>
  </si>
  <si>
    <t>Fig Tree Management Program</t>
  </si>
  <si>
    <t>Tree Planting Programs</t>
  </si>
  <si>
    <t>Tree Lopping and Maintenance</t>
  </si>
  <si>
    <t>Media and Production</t>
  </si>
  <si>
    <t>Amphitheatre / Skateparks - Insurance</t>
  </si>
  <si>
    <t>Section 94 Recouped to Community Infrastructure Reserve</t>
  </si>
  <si>
    <t>Lennox Car Parking</t>
  </si>
  <si>
    <t>Grants and Conts - Solar Panel Rebates</t>
  </si>
  <si>
    <t>Grants and Conts - Ballina Centre Study</t>
  </si>
  <si>
    <t>Grants and Conts - Other</t>
  </si>
  <si>
    <t xml:space="preserve">Community Facilities </t>
  </si>
  <si>
    <t>Urban Roads - Bitumen Reseals</t>
  </si>
  <si>
    <t>Rural Roads - Bitumen Reseals</t>
  </si>
  <si>
    <t>Rural Roads - Heavy Patching</t>
  </si>
  <si>
    <t>Sports Fields - Projects</t>
  </si>
  <si>
    <t>Coast Road Landslip Revegetation</t>
  </si>
  <si>
    <t>Precinct 5 Shelly / Lighthouse Beaches</t>
  </si>
  <si>
    <t xml:space="preserve">Precinct 3 Boulder to Sharpes </t>
  </si>
  <si>
    <t>Bailing Building Maintenance</t>
  </si>
  <si>
    <t>Bailing Building Electricity</t>
  </si>
  <si>
    <t>Bailing Equipment Maintenance</t>
  </si>
  <si>
    <t>Bailing Equipment Cardboard</t>
  </si>
  <si>
    <t>30003.1110.0401</t>
  </si>
  <si>
    <t>Cawarra Pk drainage</t>
  </si>
  <si>
    <t>W139.9999.401</t>
  </si>
  <si>
    <t>W138.9999.0401</t>
  </si>
  <si>
    <t>Contract Alstonville Extra Lifesavers</t>
  </si>
  <si>
    <t>Contract Ballina Extra Lifesavers</t>
  </si>
  <si>
    <t>Depreciation - Maritime Infrastructure</t>
  </si>
  <si>
    <t>Depreciation - Maritime</t>
  </si>
  <si>
    <t>Fishery Creek - Pontoon</t>
  </si>
  <si>
    <t>Faulks Reserve – Pontoon</t>
  </si>
  <si>
    <t>North Creek Road, Lennox - Ramp</t>
  </si>
  <si>
    <t>Brunswick Street, Ballina - Ramp</t>
  </si>
  <si>
    <t>State - RBP - East Wardell, Pontoon</t>
  </si>
  <si>
    <t>State - RBP - Captain Cook Park – Pontoons</t>
  </si>
  <si>
    <t>State - RBP - Faulks Reserve – Pontoon</t>
  </si>
  <si>
    <t>State - RBP - Emigrant Creek - Access</t>
  </si>
  <si>
    <t>State - RBP - Nth Ck Road, Lennox - Ramp</t>
  </si>
  <si>
    <t>State - RBP - Brunswick St, Ballina - Ramp</t>
  </si>
  <si>
    <t>Add Funds Financing Regional Boating Plan Works</t>
  </si>
  <si>
    <t>Contributions (Depot / Admin Capital)</t>
  </si>
  <si>
    <t>Income from Continuing Operations</t>
  </si>
  <si>
    <t>Revenue</t>
  </si>
  <si>
    <t>Other Income</t>
  </si>
  <si>
    <t>Expenses from Continuing Operations</t>
  </si>
  <si>
    <t>Employee Benefits and On-Costs</t>
  </si>
  <si>
    <t>Total Expense from Continuing Operations</t>
  </si>
  <si>
    <t>Operating Result from Continuing Operations</t>
  </si>
  <si>
    <t>Net Operating Result before Capital Grants and Contributions Provided for Capital Purposes</t>
  </si>
  <si>
    <t>Surveying Equipment</t>
  </si>
  <si>
    <t>Water Reservoirs</t>
  </si>
  <si>
    <t>Underbore - Ross Lane</t>
  </si>
  <si>
    <t>Main Renewal - Smith Drive</t>
  </si>
  <si>
    <t>East Ballina Boosted PZ Aug</t>
  </si>
  <si>
    <t>Wardell Mains</t>
  </si>
  <si>
    <t>North Ballina Reticulation Mains</t>
  </si>
  <si>
    <t>North Ballina Distribution Mains</t>
  </si>
  <si>
    <t>Pine Ave Distribution Mains</t>
  </si>
  <si>
    <t>Ballina Island Distribution Mains</t>
  </si>
  <si>
    <t>Lennox Head Mains</t>
  </si>
  <si>
    <t>Russellton Reticulation Mains</t>
  </si>
  <si>
    <t>Pacific Pine Distribution Main</t>
  </si>
  <si>
    <t>West Ballina Bypass Distn Main</t>
  </si>
  <si>
    <t>Lennox Palms Dist and Reticulation</t>
  </si>
  <si>
    <t>Marom Creek WTP - Chem Storage</t>
  </si>
  <si>
    <t xml:space="preserve">Marom Creek WTP - SCADA </t>
  </si>
  <si>
    <t xml:space="preserve">Marom Creek WTP - Process </t>
  </si>
  <si>
    <t>Marom Creek WTP - Renewals</t>
  </si>
  <si>
    <t>CURA B Distribution Main</t>
  </si>
  <si>
    <t xml:space="preserve">Bore Pump Ellis Road </t>
  </si>
  <si>
    <t>Reservoirs Maintenance</t>
  </si>
  <si>
    <t>Water Quality Testing</t>
  </si>
  <si>
    <t>SP3001 - Pump Stn - Byron Street, Lennox</t>
  </si>
  <si>
    <t>SP3110 - Pump Stn - Montwood Drive</t>
  </si>
  <si>
    <t>SP5006 - Richmond St Storage and Gravity</t>
  </si>
  <si>
    <t xml:space="preserve">SP2402 - Lindsay Avenue </t>
  </si>
  <si>
    <t>Ballina - Post Completion Works</t>
  </si>
  <si>
    <t>Ballina Treatment Plant Upgrade</t>
  </si>
  <si>
    <t>Lennox Head Treatment Plant Upgrade</t>
  </si>
  <si>
    <t>Alstonville Treatment Plant Upgrade</t>
  </si>
  <si>
    <t>Treatment Facilities - Minor Capital</t>
  </si>
  <si>
    <t xml:space="preserve">Ballina - Solar </t>
  </si>
  <si>
    <t>Wardell Treatment Plant Upgrade</t>
  </si>
  <si>
    <t>SP4006 - Gravity Sewer A'ville</t>
  </si>
  <si>
    <t>WWTP40 - Gravity Main A'ville</t>
  </si>
  <si>
    <t>GM4104 - Gravity Main Wollongbar</t>
  </si>
  <si>
    <t>GM4104 - Transfer Mains A'ville / W'bar</t>
  </si>
  <si>
    <t>GMWUEA - Gravity Mains</t>
  </si>
  <si>
    <t>Hutley Drive - Parallel Mains</t>
  </si>
  <si>
    <t>SP3111 - The Grove Rising Main</t>
  </si>
  <si>
    <t>GM2101 - Gravity Main West Ballina</t>
  </si>
  <si>
    <t>GM2104 - Gravity Main West Ballina</t>
  </si>
  <si>
    <t>SP2401 - Power Drive Rising Main Ext</t>
  </si>
  <si>
    <t>RM-PS6 - CURA B Transfer Rising Main</t>
  </si>
  <si>
    <t>Ocean Breeze Repair and Lining</t>
  </si>
  <si>
    <t>RW Distribution Storage and Completion</t>
  </si>
  <si>
    <t xml:space="preserve">Main Renewals  </t>
  </si>
  <si>
    <t>Service Connections</t>
  </si>
  <si>
    <t>New Wastewater Connection (Gravity)</t>
  </si>
  <si>
    <t>New Wastewater Connection (E-one)</t>
  </si>
  <si>
    <t>Reuse Program</t>
  </si>
  <si>
    <t>Lennox - Post Completion Works</t>
  </si>
  <si>
    <t>Wastewater Mains Maintenance</t>
  </si>
  <si>
    <t>Camera and Jetting Mains Maintenance</t>
  </si>
  <si>
    <t>5 Years Fixed - Rened 18/19</t>
  </si>
  <si>
    <t>Telemetry Maintenance</t>
  </si>
  <si>
    <t>Subscriptions and Software</t>
  </si>
  <si>
    <t>Miscellaneous Other</t>
  </si>
  <si>
    <t>WTP - Gum Creek Operating Expenses</t>
  </si>
  <si>
    <t>Mains Maintenance</t>
  </si>
  <si>
    <t xml:space="preserve">Water Reservoirs </t>
  </si>
  <si>
    <t xml:space="preserve">Water Energy Costs </t>
  </si>
  <si>
    <t>Water Pumping Stations - Operations</t>
  </si>
  <si>
    <t>Water Mains - Maintenance</t>
  </si>
  <si>
    <t>Water Connections - Maintenance</t>
  </si>
  <si>
    <t xml:space="preserve">Water Service Connections </t>
  </si>
  <si>
    <t>Ballina Heights Reservoir</t>
  </si>
  <si>
    <t>Bore Pump - Ellis Road</t>
  </si>
  <si>
    <t xml:space="preserve">Bore Pump  - Lindendale Road </t>
  </si>
  <si>
    <t>Sewage Pumping Station Operations</t>
  </si>
  <si>
    <t>Pumping Stations - Operations</t>
  </si>
  <si>
    <t xml:space="preserve">Wastewater Energy Costs </t>
  </si>
  <si>
    <t>Sewage Pumping Station Maintenance</t>
  </si>
  <si>
    <t>Pumping Stations - Maintenance</t>
  </si>
  <si>
    <t>Treatment Plants - Operations</t>
  </si>
  <si>
    <t>Treatment Plants - Biosolids</t>
  </si>
  <si>
    <t>Treatment Plants - Maintenance</t>
  </si>
  <si>
    <t>Mains - Maintenance</t>
  </si>
  <si>
    <t>Camera and Jetting</t>
  </si>
  <si>
    <t xml:space="preserve">Other Operations </t>
  </si>
  <si>
    <t>Mains - Operations</t>
  </si>
  <si>
    <t>Water Quality Testing (Recycled)</t>
  </si>
  <si>
    <t>Water Treatment Plants - Operations</t>
  </si>
  <si>
    <t>Water Treatment Plants - Maintenance</t>
  </si>
  <si>
    <t xml:space="preserve">Water Treatment Plants - Operations </t>
  </si>
  <si>
    <t>7000.3843.401</t>
  </si>
  <si>
    <t>Byron</t>
  </si>
  <si>
    <t>Coffs</t>
  </si>
  <si>
    <t>Lismore</t>
  </si>
  <si>
    <t>Tweed</t>
  </si>
  <si>
    <t>Richmond Valley</t>
  </si>
  <si>
    <t>Main Renewal - Recurrent</t>
  </si>
  <si>
    <t>Reservoirs - Access Upgrades</t>
  </si>
  <si>
    <t>Properties - Investment / Commercial</t>
  </si>
  <si>
    <t>Interest on Investments - Comm Infra</t>
  </si>
  <si>
    <t>Unwinding Remediation PV</t>
  </si>
  <si>
    <t>Remediation Unwinding PV</t>
  </si>
  <si>
    <t>20021.8519.148</t>
  </si>
  <si>
    <t>35162.8904.0401</t>
  </si>
  <si>
    <t>Netball Courts</t>
  </si>
  <si>
    <t>On Site Septic Management</t>
  </si>
  <si>
    <t>26120.7699.0233</t>
  </si>
  <si>
    <t>W146.9999.0401</t>
  </si>
  <si>
    <t>W145.9999.0401</t>
  </si>
  <si>
    <t>W147.9999.0401</t>
  </si>
  <si>
    <t>W150.9999.0401</t>
  </si>
  <si>
    <t>W148.9999.0401</t>
  </si>
  <si>
    <t>s94 Reseals</t>
  </si>
  <si>
    <t>s94 Heavy Patching</t>
  </si>
  <si>
    <t>RMS - Speed Zones</t>
  </si>
  <si>
    <t>2352.3414.0401</t>
  </si>
  <si>
    <t>Jabiru Park Play Equipment</t>
  </si>
  <si>
    <t>W122.9999.0401</t>
  </si>
  <si>
    <t>35080.4144.0647</t>
  </si>
  <si>
    <t>Commercial Properties - Electricity</t>
  </si>
  <si>
    <t>50108.3679.0401</t>
  </si>
  <si>
    <t>Installation of New Meters 20ml</t>
  </si>
  <si>
    <t>30003.1112.0401</t>
  </si>
  <si>
    <t>Martin Street (Richmond River to River St)</t>
  </si>
  <si>
    <t>Tanamera Drive</t>
  </si>
  <si>
    <t>Coogee St Pump Station</t>
  </si>
  <si>
    <t>Lennox Head Main Beach (refurbishment)</t>
  </si>
  <si>
    <t>Riverview Park (paint/repairs)</t>
  </si>
  <si>
    <t>Flat Rock (repairs)</t>
  </si>
  <si>
    <t>Grant St, Ballina</t>
  </si>
  <si>
    <t>Simpson Ave, Wollongbar</t>
  </si>
  <si>
    <t>Fox St, Ballina</t>
  </si>
  <si>
    <t>Tamarind Dr, North Ballina</t>
  </si>
  <si>
    <t>22282.6800.0223</t>
  </si>
  <si>
    <t>Hockey Club Rent</t>
  </si>
  <si>
    <t>Marine Rescue Tower (PRMF)</t>
  </si>
  <si>
    <t>Ledger #</t>
  </si>
  <si>
    <t>WO #</t>
  </si>
  <si>
    <t>n/a</t>
  </si>
  <si>
    <t>7000.4984.401</t>
  </si>
  <si>
    <t>7001.3850.401</t>
  </si>
  <si>
    <t>7001.3865.401</t>
  </si>
  <si>
    <t>7002.3863.401</t>
  </si>
  <si>
    <t>W144.9999.0401</t>
  </si>
  <si>
    <t>W128.9999.0401</t>
  </si>
  <si>
    <t>7006.5275.0401</t>
  </si>
  <si>
    <t>7006.5274.0401</t>
  </si>
  <si>
    <t>7503.4834.0401</t>
  </si>
  <si>
    <t>W123.9999.0401</t>
  </si>
  <si>
    <t>7503.4842.0401</t>
  </si>
  <si>
    <t>7503.4838.0401</t>
  </si>
  <si>
    <t>7503.5279.0401</t>
  </si>
  <si>
    <t>W109.9999.0401</t>
  </si>
  <si>
    <t>7504.3954.0401</t>
  </si>
  <si>
    <t>7510.5284.0401</t>
  </si>
  <si>
    <t>7531.4989.0401</t>
  </si>
  <si>
    <t>W110.9999.0401</t>
  </si>
  <si>
    <t>7532.4948.0401</t>
  </si>
  <si>
    <t>7507.4876.0401</t>
  </si>
  <si>
    <t>7507.4920.0401</t>
  </si>
  <si>
    <t>7507.5287.0401</t>
  </si>
  <si>
    <t>7500.5297.0401</t>
  </si>
  <si>
    <t>W141.9999.0401</t>
  </si>
  <si>
    <t>7500.5282.0401</t>
  </si>
  <si>
    <t>7500.5298.0401</t>
  </si>
  <si>
    <t>W142.9999.0401</t>
  </si>
  <si>
    <t>7500.5299.0401</t>
  </si>
  <si>
    <t>W143.9999.0401</t>
  </si>
  <si>
    <t>7508.5286.0401</t>
  </si>
  <si>
    <t>W129.9999.0401</t>
  </si>
  <si>
    <t>7508.5277.0401</t>
  </si>
  <si>
    <t>Marom Creek Rd</t>
  </si>
  <si>
    <t>Teven Rd - R2R</t>
  </si>
  <si>
    <t>7000.3946.401</t>
  </si>
  <si>
    <t>W357.9999.0401</t>
  </si>
  <si>
    <t>7001.3947.0401</t>
  </si>
  <si>
    <t>W368.9999.0401</t>
  </si>
  <si>
    <t>7001.3948.0401</t>
  </si>
  <si>
    <t>W369.9999.0401</t>
  </si>
  <si>
    <t>W337.9999.0401</t>
  </si>
  <si>
    <t>W370.9999.0401</t>
  </si>
  <si>
    <t>W371.9999.0401</t>
  </si>
  <si>
    <t>7007.3941.0401</t>
  </si>
  <si>
    <t>W372.9999.0401</t>
  </si>
  <si>
    <t>7007.3942.0401</t>
  </si>
  <si>
    <t>W373.9999.0401</t>
  </si>
  <si>
    <t>7007.3943.0401</t>
  </si>
  <si>
    <t>W338.9999.0401</t>
  </si>
  <si>
    <t>Water Meter - New &lt;20mm</t>
  </si>
  <si>
    <t>7009.3944.0401</t>
  </si>
  <si>
    <t>W339.9999.0401</t>
  </si>
  <si>
    <t>Water Meter - New &gt; 20mm</t>
  </si>
  <si>
    <t>W340.9999.0401</t>
  </si>
  <si>
    <t>7009.3945.0401</t>
  </si>
  <si>
    <t>W341.9999.0401</t>
  </si>
  <si>
    <t>7504.3955.0401</t>
  </si>
  <si>
    <t>W342.9999.0401</t>
  </si>
  <si>
    <t>7504.3956.0401</t>
  </si>
  <si>
    <t>W343.9999.0401</t>
  </si>
  <si>
    <t>7504.3957.0401</t>
  </si>
  <si>
    <t>W344.9999.0401</t>
  </si>
  <si>
    <t>7504.3958.0401</t>
  </si>
  <si>
    <t>W345.9999.0401</t>
  </si>
  <si>
    <t>7526.3960.0401</t>
  </si>
  <si>
    <t>W374.9999.0401</t>
  </si>
  <si>
    <t>7507.3961.0401</t>
  </si>
  <si>
    <t>W375.9999.0401</t>
  </si>
  <si>
    <t>W376.9999.0401</t>
  </si>
  <si>
    <t>7508.4891.0401</t>
  </si>
  <si>
    <t>Urban Roads - Airport Boulevard</t>
  </si>
  <si>
    <t>Ratio Summaries</t>
  </si>
  <si>
    <t>89 Tamar Street - Air-conditioning</t>
  </si>
  <si>
    <t>78 Tamar Street Car Park - Toilets</t>
  </si>
  <si>
    <t>East Wardell - Pontoon</t>
  </si>
  <si>
    <t>Sec 94</t>
  </si>
  <si>
    <t>CAPITAL EXPENDITURE - GENERAL FUND - ASSET RENEWAL RATIO CALCULATIONS</t>
  </si>
  <si>
    <t>Ballina Hockey Club</t>
  </si>
  <si>
    <t>FINANCIAL RATIOS - CALCULATIONS</t>
  </si>
  <si>
    <t>FINANCIAL RATIOS - CALCULATIONS (CONT'D)</t>
  </si>
  <si>
    <t>CAPITAL EXPENDITURE - GENERAL FUND (cont'd)</t>
  </si>
  <si>
    <t>WASTEWATER - CAPITAL EXPENDITURE (cont'd)</t>
  </si>
  <si>
    <t>GENERAL FUND - LOAN PRINCIPAL AND INTEREST REPAYMENT SCHEDULE</t>
  </si>
  <si>
    <t>Water Capital - Service Connection</t>
  </si>
  <si>
    <t>W377.9999.0401</t>
  </si>
  <si>
    <t>7510.5283.0401</t>
  </si>
  <si>
    <t>see breakup</t>
  </si>
  <si>
    <t>Bryron St Wardell</t>
  </si>
  <si>
    <t>Carlisle St Wardell</t>
  </si>
  <si>
    <t>2137.7777.0401</t>
  </si>
  <si>
    <t>2134.5483.0401</t>
  </si>
  <si>
    <t>2010.3110.0401</t>
  </si>
  <si>
    <t>2010.4037.0401</t>
  </si>
  <si>
    <t>Angels Beach Dr &amp; Links Av R/Bout</t>
  </si>
  <si>
    <t>2354.7777.0401</t>
  </si>
  <si>
    <t>W151.9999.0401</t>
  </si>
  <si>
    <t>2046.7777.0401</t>
  </si>
  <si>
    <t>2146.7777.0401</t>
  </si>
  <si>
    <t>2048.7777.0401</t>
  </si>
  <si>
    <t>2148.7777.0401</t>
  </si>
  <si>
    <t>2047.7777.0401</t>
  </si>
  <si>
    <t>2147.7777.0401</t>
  </si>
  <si>
    <t>23420.4462.0160</t>
  </si>
  <si>
    <t>Stormwater Management Plan</t>
  </si>
  <si>
    <t>Shared Path Section 3</t>
  </si>
  <si>
    <t>2157.7777.0401</t>
  </si>
  <si>
    <t>W389.9999.0401</t>
  </si>
  <si>
    <t>2151.7777.0401</t>
  </si>
  <si>
    <t>W381.9999.0401</t>
  </si>
  <si>
    <t>Grant St -R2R seg 20</t>
  </si>
  <si>
    <t>Fox St seg 40</t>
  </si>
  <si>
    <t>2152.7777.0401</t>
  </si>
  <si>
    <t>W382.9999.0401</t>
  </si>
  <si>
    <t>Marsh Ave seg 10</t>
  </si>
  <si>
    <t>2153.7777.0401</t>
  </si>
  <si>
    <t>W393.9999.0401</t>
  </si>
  <si>
    <t>Cawarra St seg 10</t>
  </si>
  <si>
    <t>2154.7777.0401</t>
  </si>
  <si>
    <t>W384.9999.0401</t>
  </si>
  <si>
    <t>2158.7777.0401</t>
  </si>
  <si>
    <t>W390.9999.0401</t>
  </si>
  <si>
    <t>W379.9999.0401</t>
  </si>
  <si>
    <t>2149.7777.0401</t>
  </si>
  <si>
    <t>W378.9999.0401</t>
  </si>
  <si>
    <t>Houghlahans Creek Rd pt seg 150</t>
  </si>
  <si>
    <t>2155.7777.0401</t>
  </si>
  <si>
    <t>W386.9999.0401</t>
  </si>
  <si>
    <t>2156.7777.0401</t>
  </si>
  <si>
    <t>W388.9999.0401</t>
  </si>
  <si>
    <t>Roads - Hutley Dr</t>
  </si>
  <si>
    <t>Comm Infra - Land Dale Dividend</t>
  </si>
  <si>
    <t>Comm Infra - Coastal Path</t>
  </si>
  <si>
    <t>Comm Infra - Wollongbar Skate Park</t>
  </si>
  <si>
    <t>Prop Dev - Norfolk Rental</t>
  </si>
  <si>
    <t>Prop Dev - Airport Boulevard</t>
  </si>
  <si>
    <t>Environmental &amp; Public Health</t>
  </si>
  <si>
    <t>Shaws Bay/Lake A Management Plan</t>
  </si>
  <si>
    <t>Env Protection Management Plans</t>
  </si>
  <si>
    <t>Roads Pre Plan s94</t>
  </si>
  <si>
    <t>Wardell Town Centure</t>
  </si>
  <si>
    <t>East Wardell Pontoon (Wardell TC)</t>
  </si>
  <si>
    <t>East Wardell Pontoon (Com Infra)</t>
  </si>
  <si>
    <t>Interest on s94 contributions</t>
  </si>
  <si>
    <t>Refer Cap Water, Total Cap Expenditure</t>
  </si>
  <si>
    <t>Refer Cap Water Funding Sources, Cap Expenditure being funded from s64</t>
  </si>
  <si>
    <t>Sum of recoups shown above</t>
  </si>
  <si>
    <t>NOTE A below</t>
  </si>
  <si>
    <t>NOTE A</t>
  </si>
  <si>
    <t>NOTE B</t>
  </si>
  <si>
    <t>NOTE B below</t>
  </si>
  <si>
    <t>Operating Surplus Cash W line 8</t>
  </si>
  <si>
    <t>Dividend, per Cash W</t>
  </si>
  <si>
    <t>Refer Cash WW line86</t>
  </si>
  <si>
    <t>Refer Cash WW line87</t>
  </si>
  <si>
    <t>Dividend, per Cash WW</t>
  </si>
  <si>
    <t>NOTE C below</t>
  </si>
  <si>
    <t>NOTE C</t>
  </si>
  <si>
    <t>Refer Cap WW, Total Cap Expenditure</t>
  </si>
  <si>
    <t>Refer Cap WW Funding Sources, Cap Expenditure being funded from s64</t>
  </si>
  <si>
    <t>Refer Debt WW, Principal paid</t>
  </si>
  <si>
    <t>NOTE D below</t>
  </si>
  <si>
    <t>NOTE D</t>
  </si>
  <si>
    <t>Operating Surplus Cash WW line 8</t>
  </si>
  <si>
    <t>4043.5193.0960</t>
  </si>
  <si>
    <t>4591.8670.0961</t>
  </si>
  <si>
    <t>4046.5194.0960</t>
  </si>
  <si>
    <t>4055.5195.0960</t>
  </si>
  <si>
    <t>4587.5196.0961</t>
  </si>
  <si>
    <t>4114.3195.0961</t>
  </si>
  <si>
    <t>4010.3213.0960</t>
  </si>
  <si>
    <t>4010.5198.0960</t>
  </si>
  <si>
    <t>4042.5200.0960</t>
  </si>
  <si>
    <t>4043.5201.0960</t>
  </si>
  <si>
    <t>4046.5202.0960</t>
  </si>
  <si>
    <t>4046.4451.0960</t>
  </si>
  <si>
    <t>4050.5203.0960</t>
  </si>
  <si>
    <t>4050.5204.0960</t>
  </si>
  <si>
    <t>4563.1188.0961</t>
  </si>
  <si>
    <t xml:space="preserve">Net </t>
  </si>
  <si>
    <t xml:space="preserve">Air Conditioning </t>
  </si>
  <si>
    <t>26050.7940.0200</t>
  </si>
  <si>
    <t>35100.4144.0647</t>
  </si>
  <si>
    <t>35125.4151.0405</t>
  </si>
  <si>
    <t>W149.9999.0401</t>
  </si>
  <si>
    <t>W391.9999.0401</t>
  </si>
  <si>
    <t>W419.9999.0401</t>
  </si>
  <si>
    <t>2172.7777.0401</t>
  </si>
  <si>
    <t>2215.6455.8800</t>
  </si>
  <si>
    <t>2102.3964.0401</t>
  </si>
  <si>
    <t>W394.9999.0401</t>
  </si>
  <si>
    <t>2101.0536.0401</t>
  </si>
  <si>
    <t>W395.9999.0401</t>
  </si>
  <si>
    <t>W396.9999.0401</t>
  </si>
  <si>
    <t>W397.9999.0401</t>
  </si>
  <si>
    <t>W398.9999.0401</t>
  </si>
  <si>
    <t>W400.9999.0401</t>
  </si>
  <si>
    <t>2200.3965.0401</t>
  </si>
  <si>
    <t>2200.3966.0401</t>
  </si>
  <si>
    <t>2200.3967.0401</t>
  </si>
  <si>
    <t>2200.3968.0401</t>
  </si>
  <si>
    <t>W402.9999.0401</t>
  </si>
  <si>
    <t>2160.7777.0401</t>
  </si>
  <si>
    <t>W418.9999.0401</t>
  </si>
  <si>
    <t>2171.7777.0401</t>
  </si>
  <si>
    <t>W153.9999.0401</t>
  </si>
  <si>
    <t>2010.3103.0401</t>
  </si>
  <si>
    <t>W413.9999.0401</t>
  </si>
  <si>
    <t>2162.7777.0401</t>
  </si>
  <si>
    <t>W412.9999.0401</t>
  </si>
  <si>
    <t>2161.7777.0401</t>
  </si>
  <si>
    <t>W403.9999.0401</t>
  </si>
  <si>
    <t>2170.7777.0401</t>
  </si>
  <si>
    <t>W404.9999.0401</t>
  </si>
  <si>
    <t>2164.7777.0401</t>
  </si>
  <si>
    <t>W405.9999.0401</t>
  </si>
  <si>
    <t>2165.7777.0401</t>
  </si>
  <si>
    <t>W406.9999.0401</t>
  </si>
  <si>
    <t>W407.9999.0401</t>
  </si>
  <si>
    <t>W408.9999.0401</t>
  </si>
  <si>
    <t>W409.9999.0401</t>
  </si>
  <si>
    <t>2167.7777.0401</t>
  </si>
  <si>
    <t>2168.7777.0401</t>
  </si>
  <si>
    <t>2169.7777.0401</t>
  </si>
  <si>
    <t>W401.9999.0401</t>
  </si>
  <si>
    <t>2134.3969.0401</t>
  </si>
  <si>
    <t>W414.9999.0401</t>
  </si>
  <si>
    <t>2207.5887.0401</t>
  </si>
  <si>
    <t>W415.9999.0401</t>
  </si>
  <si>
    <t>2207.5888.0401</t>
  </si>
  <si>
    <t>W416.9999.0401</t>
  </si>
  <si>
    <t>2207.5889.0401</t>
  </si>
  <si>
    <t>W383.9999.0401</t>
  </si>
  <si>
    <t>30002.1114.0401</t>
  </si>
  <si>
    <t>32001.0425.0401</t>
  </si>
  <si>
    <t>32001.0420.0401</t>
  </si>
  <si>
    <t>32001.2250.0401</t>
  </si>
  <si>
    <t>W162.9999.0401</t>
  </si>
  <si>
    <t>32022.1115.0401</t>
  </si>
  <si>
    <t>32022.2491.0401</t>
  </si>
  <si>
    <t>32022.2492.0401</t>
  </si>
  <si>
    <t>32265.5389.0401</t>
  </si>
  <si>
    <t>32322.6423.0401</t>
  </si>
  <si>
    <t>35125.4159.0401</t>
  </si>
  <si>
    <t>50113.3734.0401</t>
  </si>
  <si>
    <t>55020.4716.0401</t>
  </si>
  <si>
    <t>55020.4717.0401</t>
  </si>
  <si>
    <t>55020.4718.0401</t>
  </si>
  <si>
    <t>55022.3734.0401</t>
  </si>
  <si>
    <t>55022.3585.0401</t>
  </si>
  <si>
    <t>W154.9999.0401</t>
  </si>
  <si>
    <t>4044.5197.0960</t>
  </si>
  <si>
    <t>Road Plan - Former Plan</t>
  </si>
  <si>
    <t>Sub Total Recouped for Roads Pre-Plan</t>
  </si>
  <si>
    <t>Infrastructure Backlog Ratio (&lt; 2.0%)</t>
  </si>
  <si>
    <t>Real Operating Expend Per Capita (Decreasing real terms)</t>
  </si>
  <si>
    <t>Grants - Roads to Recovery</t>
  </si>
  <si>
    <t>Fit for the Future Results</t>
  </si>
  <si>
    <t>Asset Maintenance Ratio (&gt; 100%)</t>
  </si>
  <si>
    <t>Debt Service Ratio (&lt; 20%)</t>
  </si>
  <si>
    <t>Own Source Operating Rev Ratio (&gt; 70%)</t>
  </si>
  <si>
    <t>Asset Renewal Ratio (&gt; 100%)</t>
  </si>
  <si>
    <t xml:space="preserve">Operating Performance Ratio (&gt; 0%) </t>
  </si>
  <si>
    <t>General Fund - Working Funds Check</t>
  </si>
  <si>
    <t>TOURISM</t>
  </si>
  <si>
    <t>20 Million Trees</t>
  </si>
  <si>
    <t>LEP - Blue Seas Parade</t>
  </si>
  <si>
    <t>LEP - Reservoir Hill</t>
  </si>
  <si>
    <t>Administration Costs</t>
  </si>
  <si>
    <t>Private</t>
  </si>
  <si>
    <t>Main Renewal - Smith Drive Design</t>
  </si>
  <si>
    <t>Total Movement in Reserves (incl Sec 64)</t>
  </si>
  <si>
    <t>Gain on Sale of Equipment</t>
  </si>
  <si>
    <t>Fees and Fines</t>
  </si>
  <si>
    <t xml:space="preserve">Plant  Maintenance </t>
  </si>
  <si>
    <t xml:space="preserve">Fees </t>
  </si>
  <si>
    <t>Landstock</t>
  </si>
  <si>
    <t>Non-Cash Movements</t>
  </si>
  <si>
    <t>35072,3,4</t>
  </si>
  <si>
    <t>Flood Mgmt - Third Party Modelling</t>
  </si>
  <si>
    <t>Flood Mgmt - Management Plan</t>
  </si>
  <si>
    <t>Coastal Zone Management Plan</t>
  </si>
  <si>
    <t>Bypass Funds - Alstonville</t>
  </si>
  <si>
    <t xml:space="preserve">Private Works Paid in Arrears </t>
  </si>
  <si>
    <t>Interest Earned on Investments</t>
  </si>
  <si>
    <t xml:space="preserve">Grants - Sporting Fields </t>
  </si>
  <si>
    <t xml:space="preserve">Interest </t>
  </si>
  <si>
    <t>Organics Rollouts</t>
  </si>
  <si>
    <t>Organics Collection Urban Gate Fees</t>
  </si>
  <si>
    <t>Transfer Preparation - Recyclates</t>
  </si>
  <si>
    <t>Gate - Council (DWM - Recyclables)</t>
  </si>
  <si>
    <t>Gate - Council (DWM - Mixed)</t>
  </si>
  <si>
    <t>Gate - Self Haul (Council Works)</t>
  </si>
  <si>
    <t>Non Rateable Charges</t>
  </si>
  <si>
    <t>Accrual 2014/15</t>
  </si>
  <si>
    <t>Green Street</t>
  </si>
  <si>
    <t>2010.3102.0401</t>
  </si>
  <si>
    <t>Skinners Street</t>
  </si>
  <si>
    <t>2010.3141.0401</t>
  </si>
  <si>
    <t>Section 94 Conts (External)</t>
  </si>
  <si>
    <t>Waste Levy (External)</t>
  </si>
  <si>
    <t>Management Plans (Part External)</t>
  </si>
  <si>
    <t>Alstonville Pre-School</t>
  </si>
  <si>
    <t>Alstonville Preshool</t>
  </si>
  <si>
    <t>Equipment Replacement</t>
  </si>
  <si>
    <t>Legal / Audit / Revaluations</t>
  </si>
  <si>
    <t>Coastal Path Reserve</t>
  </si>
  <si>
    <t>Recreational Boating Studies</t>
  </si>
  <si>
    <t>Boat Ramps and Infrastructure</t>
  </si>
  <si>
    <t xml:space="preserve">Loss on Disposal of Infrastructure </t>
  </si>
  <si>
    <t>10012.6370.</t>
  </si>
  <si>
    <t>Gain on Disposal of Plant and Equipment</t>
  </si>
  <si>
    <t>26026.7809.0190</t>
  </si>
  <si>
    <t>Investments Premium on Future Value</t>
  </si>
  <si>
    <t xml:space="preserve">Add Back Non-Cash Premium </t>
  </si>
  <si>
    <t>Premium Adjustments</t>
  </si>
  <si>
    <t xml:space="preserve">Add Back Non Cash Premium </t>
  </si>
  <si>
    <t>Non-cash Investment Premium</t>
  </si>
  <si>
    <t xml:space="preserve">Financial Services - General Purpose </t>
  </si>
  <si>
    <t xml:space="preserve">Human Resources and Risk </t>
  </si>
  <si>
    <t xml:space="preserve">Non Cash Investment Premium </t>
  </si>
  <si>
    <t xml:space="preserve">Add Back Non Cash Investment Premium </t>
  </si>
  <si>
    <t>Statements</t>
  </si>
  <si>
    <t>Farmland</t>
  </si>
  <si>
    <t>Waste Management Services</t>
  </si>
  <si>
    <t>Interest on Other External Restrictions</t>
  </si>
  <si>
    <t>Add Back Landstock Movements</t>
  </si>
  <si>
    <t>Add Back Gain / Loss on Disposal of Infrastructure</t>
  </si>
  <si>
    <t>Add Back Landstock</t>
  </si>
  <si>
    <t>Land Stock</t>
  </si>
  <si>
    <t>Less Land Stock</t>
  </si>
  <si>
    <t>Land Stock Movement</t>
  </si>
  <si>
    <t>Less Land Stock Movement</t>
  </si>
  <si>
    <t>Add Back Land Stock Movement</t>
  </si>
  <si>
    <t>Pensioners' Rates Subsidies:</t>
  </si>
  <si>
    <t xml:space="preserve">  - Water</t>
  </si>
  <si>
    <t xml:space="preserve">  - Sewerage</t>
  </si>
  <si>
    <t xml:space="preserve">  - Domestic Waste Management</t>
  </si>
  <si>
    <t>Bushfire &amp; Emergency Services</t>
  </si>
  <si>
    <t>Coastguard Tower</t>
  </si>
  <si>
    <t>Public Reserve Management Program</t>
  </si>
  <si>
    <t>Lennox Auditorium</t>
  </si>
  <si>
    <t>Fishery Creek Car Park</t>
  </si>
  <si>
    <t>Lake Ainsworth</t>
  </si>
  <si>
    <t>Operating Contributions</t>
  </si>
  <si>
    <t>Section 64 Water</t>
  </si>
  <si>
    <t>Section 64 Sewer</t>
  </si>
  <si>
    <t>Employment and Training</t>
  </si>
  <si>
    <t>Road Works</t>
  </si>
  <si>
    <t>Dedications</t>
  </si>
  <si>
    <t>Seciton 94</t>
  </si>
  <si>
    <t>RMS (Block Grant, RTR)</t>
  </si>
  <si>
    <t>Legal Settlement</t>
  </si>
  <si>
    <t>Pensioners' Rates Subsidy</t>
  </si>
  <si>
    <t>Fair Value Adjustment Rental Props</t>
  </si>
  <si>
    <t>Add Back Fair Value Adjustments</t>
  </si>
  <si>
    <t>Fair Value Adjustments Rental Props</t>
  </si>
  <si>
    <t>Add Back Fair Value Adjustments Rental Properties</t>
  </si>
  <si>
    <t>Fair Value Adjustments Rental Properties</t>
  </si>
  <si>
    <t>Add Back Fair Value Adjustments Rental Props</t>
  </si>
  <si>
    <t>Waste</t>
  </si>
  <si>
    <t>Planning and Building</t>
  </si>
  <si>
    <t>Aerodrome</t>
  </si>
  <si>
    <t>Ferry</t>
  </si>
  <si>
    <t>Plant Hire</t>
  </si>
  <si>
    <t>Quarry</t>
  </si>
  <si>
    <t>Total User Charges</t>
  </si>
  <si>
    <t>Interest and Dividends</t>
  </si>
  <si>
    <t>Interest Earned and Dividends</t>
  </si>
  <si>
    <t>Fair Value Adjustments - Investment Properties</t>
  </si>
  <si>
    <t>Rental Income - Investment Properties</t>
  </si>
  <si>
    <t>Rental Income - Other Council Properties</t>
  </si>
  <si>
    <t>Fines - Parking</t>
  </si>
  <si>
    <t>Fines - Other</t>
  </si>
  <si>
    <t>Commissions &amp; Agency Fees</t>
  </si>
  <si>
    <t>Insurance Claim Recoveries</t>
  </si>
  <si>
    <r>
      <t xml:space="preserve">Recycling Income </t>
    </r>
    <r>
      <rPr>
        <sz val="8"/>
        <rFont val="Arial"/>
        <family val="2"/>
      </rPr>
      <t>(non domestic)</t>
    </r>
  </si>
  <si>
    <t>Legal Fees Recovered - Other</t>
  </si>
  <si>
    <t>Legal Fees Recovered - Rates and Charges</t>
  </si>
  <si>
    <t>Total Grants and Contributions</t>
  </si>
  <si>
    <t>Operating</t>
  </si>
  <si>
    <t>Capital</t>
  </si>
  <si>
    <t>Total Income Reconciliation</t>
  </si>
  <si>
    <t>Roads (Transferred to Internal Reserve)</t>
  </si>
  <si>
    <t>Miscellaneous Sales</t>
  </si>
  <si>
    <t>Reassessment of Provision for Remediation</t>
  </si>
  <si>
    <t>Non-cash Items</t>
  </si>
  <si>
    <t>Remediation Provision Adjustment</t>
  </si>
  <si>
    <t>22266.6527.0235</t>
  </si>
  <si>
    <t>Other Revenues - Non-cash Items</t>
  </si>
  <si>
    <t xml:space="preserve">Add Back Remediation </t>
  </si>
  <si>
    <t>Add Back Remediation</t>
  </si>
  <si>
    <t>Remediation</t>
  </si>
  <si>
    <t>Add Back Unwinding</t>
  </si>
  <si>
    <t>Operating Result before Non-cash Items</t>
  </si>
  <si>
    <t>Unwinding of Interest Free Loans</t>
  </si>
  <si>
    <t>Add: Non-cash items - Fair Value Property Adjustments</t>
  </si>
  <si>
    <t>Add Back Investment Premiums</t>
  </si>
  <si>
    <t>Investment Premiums</t>
  </si>
  <si>
    <t>Add: Non-cash items - Investment Premiums</t>
  </si>
  <si>
    <t>Statements Reconciliation - Revenues</t>
  </si>
  <si>
    <t xml:space="preserve">Other - General </t>
  </si>
  <si>
    <t>Other - Water and Wastewater</t>
  </si>
  <si>
    <t>30001.8695.0401</t>
  </si>
  <si>
    <t>Volunteer Group Assistance</t>
  </si>
  <si>
    <t>26090.8568.0138</t>
  </si>
  <si>
    <t>26087/26090</t>
  </si>
  <si>
    <t>Public Toilet Insurance</t>
  </si>
  <si>
    <t>32285.0410.0635</t>
  </si>
  <si>
    <t>W423.9999.0401</t>
  </si>
  <si>
    <t>Midgen Flat Rd Culvert</t>
  </si>
  <si>
    <t>Wellers Rd Culvert</t>
  </si>
  <si>
    <t>Walsh Lane Culvert</t>
  </si>
  <si>
    <t>W424.9999.0401</t>
  </si>
  <si>
    <t>W425.9999.0401</t>
  </si>
  <si>
    <t>32270.5459.0401</t>
  </si>
  <si>
    <t>32278.5699.0401</t>
  </si>
  <si>
    <t>Environmental Plans and Studies</t>
  </si>
  <si>
    <t>32278.5701.0401</t>
  </si>
  <si>
    <t>World Environment Day</t>
  </si>
  <si>
    <t>32278.5702.0401</t>
  </si>
  <si>
    <t>Landcare Training/Certification</t>
  </si>
  <si>
    <t>32278.5703.0401</t>
  </si>
  <si>
    <t>National Tree Day</t>
  </si>
  <si>
    <t>32278.5708.0401</t>
  </si>
  <si>
    <t>Landcare Resources</t>
  </si>
  <si>
    <t>32278.5709.0401</t>
  </si>
  <si>
    <t>Community Group Insurance</t>
  </si>
  <si>
    <t>32278.5710.0401</t>
  </si>
  <si>
    <t>Fencing Resources</t>
  </si>
  <si>
    <t>32278.5714.0401</t>
  </si>
  <si>
    <t>GIS/Mapping/Permits</t>
  </si>
  <si>
    <t>32278.5713.0401</t>
  </si>
  <si>
    <t>Field Days Promotions</t>
  </si>
  <si>
    <t>32278.5715.0401</t>
  </si>
  <si>
    <t>Plantings</t>
  </si>
  <si>
    <t>32278.5716.0401</t>
  </si>
  <si>
    <t>Padlocks/Keys</t>
  </si>
  <si>
    <t>32279.5762.0401</t>
  </si>
  <si>
    <t>Chickiba Wetlands OEH Grant</t>
  </si>
  <si>
    <t>22241.5762.0148</t>
  </si>
  <si>
    <t>Chickiba Wetland OEH Grant</t>
  </si>
  <si>
    <t>W421.9999.0401</t>
  </si>
  <si>
    <t>50105.3665.0401</t>
  </si>
  <si>
    <t>50106.3665.0401</t>
  </si>
  <si>
    <t>Reservoir Operation</t>
  </si>
  <si>
    <t>50105/50106</t>
  </si>
  <si>
    <t>55021</t>
  </si>
  <si>
    <t>30001.1111.0401</t>
  </si>
  <si>
    <t>W430.9999.0401</t>
  </si>
  <si>
    <t>River St Regional Rd</t>
  </si>
  <si>
    <t>Outstanding Principal Balance</t>
  </si>
  <si>
    <t xml:space="preserve">Wastewater Outstanding Principal </t>
  </si>
  <si>
    <t>Bld &amp; Infrastructure Renewal Ratio - Consolidated</t>
  </si>
  <si>
    <t>35001.7521.0622</t>
  </si>
  <si>
    <t>2312.7923.0401</t>
  </si>
  <si>
    <t>W124.9999.0401</t>
  </si>
  <si>
    <t>Landfill - Water Refill Stations</t>
  </si>
  <si>
    <t>2225.7128.0401</t>
  </si>
  <si>
    <t>22284.6845.0160</t>
  </si>
  <si>
    <t>2027.3401.0401</t>
  </si>
  <si>
    <t>Admin Centre - Improvements</t>
  </si>
  <si>
    <t>Survey Equipment</t>
  </si>
  <si>
    <t>32001.8549.0401</t>
  </si>
  <si>
    <t>W152.9999.0401</t>
  </si>
  <si>
    <t>W380.9999.0401</t>
  </si>
  <si>
    <t>2216.6466.0401</t>
  </si>
  <si>
    <t>22157.4046.0179</t>
  </si>
  <si>
    <t>32201.8871.0401</t>
  </si>
  <si>
    <t>32240.5120.0401</t>
  </si>
  <si>
    <t>32262.5247.0401</t>
  </si>
  <si>
    <t>Crown Lands - Plan Reimbursement</t>
  </si>
  <si>
    <t>Martin Street Boat Harbour Plan</t>
  </si>
  <si>
    <t>Ballina Trawler Harbour Plan</t>
  </si>
  <si>
    <t>OSSM - Renew/New Owner Approvals</t>
  </si>
  <si>
    <t>OSSM - Install/Upgrade Approvals</t>
  </si>
  <si>
    <t>Wardell Tip Rehabilitation</t>
  </si>
  <si>
    <t>Roads - Roads to Recovery</t>
  </si>
  <si>
    <t>Roads - LRM Dividend</t>
  </si>
  <si>
    <t>Coastal Shared Path - Stage 3</t>
  </si>
  <si>
    <t>Captain Cook Park – Pontoon</t>
  </si>
  <si>
    <t>Landfill - External Road</t>
  </si>
  <si>
    <t>32262.5366.0401</t>
  </si>
  <si>
    <t>Four Wheel Drive Ticket Machine</t>
  </si>
  <si>
    <t>RTR - River St Ballina</t>
  </si>
  <si>
    <t>RTR - Wardell Rd</t>
  </si>
  <si>
    <t>RTR - Fox St</t>
  </si>
  <si>
    <t>W431.9999.0401</t>
  </si>
  <si>
    <t>Wardell Rd Reconstruction seg 10 to 50</t>
  </si>
  <si>
    <t>River St (Brunswick to Tweed St)</t>
  </si>
  <si>
    <t>Howards Road Alignment</t>
  </si>
  <si>
    <t>2336.7792.0401</t>
  </si>
  <si>
    <t>2336.7791.0401</t>
  </si>
  <si>
    <t>Sports Fields Improvements</t>
  </si>
  <si>
    <t>W428.9999.0401</t>
  </si>
  <si>
    <t>W429.9999.0401</t>
  </si>
  <si>
    <t>2134.5099.0401</t>
  </si>
  <si>
    <t>30003.1167.0401</t>
  </si>
  <si>
    <t>Jack Pl Stormwater Repair</t>
  </si>
  <si>
    <t>W433.9999.0401</t>
  </si>
  <si>
    <t>2010.3146.0401</t>
  </si>
  <si>
    <t>W435.9999.0401</t>
  </si>
  <si>
    <t xml:space="preserve">Newrybar Swamp Rd </t>
  </si>
  <si>
    <t>2010.3147.0401</t>
  </si>
  <si>
    <t>22112.5085.0179</t>
  </si>
  <si>
    <t>RMS - River Street</t>
  </si>
  <si>
    <t>Teven Rd Black Spot Programme</t>
  </si>
  <si>
    <t>22112.3311.0179</t>
  </si>
  <si>
    <t>RMS - Teven Road</t>
  </si>
  <si>
    <t>22112.8872.0179</t>
  </si>
  <si>
    <t>Northlakes</t>
  </si>
  <si>
    <t>35073.3471.0401</t>
  </si>
  <si>
    <t>Southern Cross Mowing</t>
  </si>
  <si>
    <t>50005.0369.0401</t>
  </si>
  <si>
    <t>50112.4597.0401</t>
  </si>
  <si>
    <t>Water Management System</t>
  </si>
  <si>
    <t>50112.4756.0401</t>
  </si>
  <si>
    <t>Education Promotional Activities</t>
  </si>
  <si>
    <t>55002.0369.0401</t>
  </si>
  <si>
    <t>55021.3734.0401</t>
  </si>
  <si>
    <t>W434.9999.0401</t>
  </si>
  <si>
    <t>7504.3939.0401</t>
  </si>
  <si>
    <t>Dual Reticulation Ballina Heights Drive</t>
  </si>
  <si>
    <t>7510.5302.0401</t>
  </si>
  <si>
    <t>W436.9999.0401</t>
  </si>
  <si>
    <t>W437.9999.0401</t>
  </si>
  <si>
    <t>Ross St (Pacific Pde to Gibson St)</t>
  </si>
  <si>
    <t>Lake Ainsworth Precinct Improvements</t>
  </si>
  <si>
    <t>W441.9999.0401</t>
  </si>
  <si>
    <t>2173.7777.0401</t>
  </si>
  <si>
    <t>2145.7777.0401</t>
  </si>
  <si>
    <t xml:space="preserve">SP3101 - Skennars Head / Tara Downs </t>
  </si>
  <si>
    <t>22155.4361.0160</t>
  </si>
  <si>
    <t>Coastal Shared Path - Stage 4</t>
  </si>
  <si>
    <t>RMS - Coastal Shared Path - Stage 3</t>
  </si>
  <si>
    <t>Redevelopment</t>
  </si>
  <si>
    <t>Shaws Bay CZMP</t>
  </si>
  <si>
    <t>Dividend - Property Development</t>
  </si>
  <si>
    <t>Lake Ainsworth Precinct</t>
  </si>
  <si>
    <t>Mapping Project</t>
  </si>
  <si>
    <t>Wigmore Arcade - Roofing</t>
  </si>
  <si>
    <t>Recreational Path - Cultural Signs</t>
  </si>
  <si>
    <t>Open Spaces - Sports Fields</t>
  </si>
  <si>
    <t>Landfill - Improvements</t>
  </si>
  <si>
    <t xml:space="preserve">Landfill - Stockpile Processing </t>
  </si>
  <si>
    <t>Domestic Waste - Trucks</t>
  </si>
  <si>
    <t>Open Spaces - Parks / Reserves</t>
  </si>
  <si>
    <t>Depot 1 - Improvements</t>
  </si>
  <si>
    <t>Recycled Water Program</t>
  </si>
  <si>
    <t>Reservoirs - East Ballina</t>
  </si>
  <si>
    <t>RMS - Coastal Shared Path - Stages 1 and 2</t>
  </si>
  <si>
    <t>State - RBP - Fishery Creek - Pontoon</t>
  </si>
  <si>
    <t>State - Shared Path Cultural Signage</t>
  </si>
  <si>
    <t>State - Lennox Community Centre</t>
  </si>
  <si>
    <t>Private - Reimbursement</t>
  </si>
  <si>
    <t>Ballina High School - Road Reserve</t>
  </si>
  <si>
    <t>North Creek Road - Development</t>
  </si>
  <si>
    <t>Special Projects (Grant Funded)</t>
  </si>
  <si>
    <t>Shared Path Cultural signs</t>
  </si>
  <si>
    <t xml:space="preserve">Coastal Recreational Path </t>
  </si>
  <si>
    <t>30023.4156.0401</t>
  </si>
  <si>
    <t>Kiosk Sales</t>
  </si>
  <si>
    <t>26083.4156.0233</t>
  </si>
  <si>
    <t>Pearces Creek Rd Ch30 seg15</t>
  </si>
  <si>
    <t>HW10 Handover Heavy Patch</t>
  </si>
  <si>
    <t>HW10 Handover Reseal</t>
  </si>
  <si>
    <t>W444.9999.0401</t>
  </si>
  <si>
    <t>W445.9999.0401</t>
  </si>
  <si>
    <t>Coastal Path Section 1 (Angels Beach to Sharpes Beach)</t>
  </si>
  <si>
    <t>W443.9999.0401</t>
  </si>
  <si>
    <t>Play equipment removal Lennox Head</t>
  </si>
  <si>
    <t>W442.9999.0401</t>
  </si>
  <si>
    <t>Disc Golf Bicentenial Park</t>
  </si>
  <si>
    <t>50112.4598.0401</t>
  </si>
  <si>
    <t>Demand Management</t>
  </si>
  <si>
    <t>7504.3936.0401</t>
  </si>
  <si>
    <t>W446.9999.0401</t>
  </si>
  <si>
    <t>Bolwarra Ct Playground</t>
  </si>
  <si>
    <t>W447.9999.0401</t>
  </si>
  <si>
    <t>Halls Upgrade Various</t>
  </si>
  <si>
    <t>22241.5764.0148</t>
  </si>
  <si>
    <t>Lennox Point Compensatory</t>
  </si>
  <si>
    <t>32280.5764.0401</t>
  </si>
  <si>
    <t>Geoff Watt Oval Play Equipment Replacement</t>
  </si>
  <si>
    <t>Missingham Park Shade Structure Painting</t>
  </si>
  <si>
    <t>Westlands Park Play Equipment replacement</t>
  </si>
  <si>
    <t>W450.9999.0401</t>
  </si>
  <si>
    <t>W451.9999.0401</t>
  </si>
  <si>
    <t>Lakefield Park Play Equipment replacement</t>
  </si>
  <si>
    <t>Lions Park Play Equipment replacement</t>
  </si>
  <si>
    <t>Fitzroy Park Play Equipment replacement</t>
  </si>
  <si>
    <t>Lindsay Park Play Equipment</t>
  </si>
  <si>
    <t>Alabaster Park Play Equipment replacement</t>
  </si>
  <si>
    <t>Crown Land Weeds Control</t>
  </si>
  <si>
    <t>Ballina Library - Improvements</t>
  </si>
  <si>
    <t>Ballina Redevelopment</t>
  </si>
  <si>
    <t>Alstonville Redevelopment</t>
  </si>
  <si>
    <t xml:space="preserve">North Creek Road Development </t>
  </si>
  <si>
    <t>Bypass Funds - Ballina</t>
  </si>
  <si>
    <t>INTERNAL ELIMINATIONS</t>
  </si>
  <si>
    <t>Rates and Charges - Note 3</t>
  </si>
  <si>
    <t>General Purpose</t>
  </si>
  <si>
    <t>Water (Access)</t>
  </si>
  <si>
    <t>Water (Consumption)</t>
  </si>
  <si>
    <t>Sewerage Service</t>
  </si>
  <si>
    <t>Other Income Adjustments</t>
  </si>
  <si>
    <t>S94 Roads (Land Dev)</t>
  </si>
  <si>
    <t>S64 Water (Land Dev)</t>
  </si>
  <si>
    <t>S64 Sewer (Land Dev)</t>
  </si>
  <si>
    <t>Plant - Internal</t>
  </si>
  <si>
    <t>AAS27 COGS</t>
  </si>
  <si>
    <t>Total Income Eliminations</t>
  </si>
  <si>
    <t>Stat Fees in Capital (Coded)</t>
  </si>
  <si>
    <t>Stat Fees (Not Coded)</t>
  </si>
  <si>
    <t>AAS27 COGS - Real Estate Development</t>
  </si>
  <si>
    <t>Other Waste Management</t>
  </si>
  <si>
    <t>Resource Code 270</t>
  </si>
  <si>
    <t>10011.3525.</t>
  </si>
  <si>
    <t>Water Tapping Fees</t>
  </si>
  <si>
    <t>10012.3539.</t>
  </si>
  <si>
    <t>10100.3826.</t>
  </si>
  <si>
    <t>Dev Contrib (Non Cash)</t>
  </si>
  <si>
    <t>12014.4535.</t>
  </si>
  <si>
    <t>Sewer Plant Charged works</t>
  </si>
  <si>
    <t>12020.3826.</t>
  </si>
  <si>
    <t>20002.2963.</t>
  </si>
  <si>
    <t>Cont Water &amp; Sewer Strategic Sudies</t>
  </si>
  <si>
    <t>22001.7636.</t>
  </si>
  <si>
    <t>Cont - Procurement/Mtnce Staff</t>
  </si>
  <si>
    <t>22001.7637.</t>
  </si>
  <si>
    <t>Cont - Procurement software</t>
  </si>
  <si>
    <t>21998.2291.</t>
  </si>
  <si>
    <t>Cont Water &amp; Sewer Admin</t>
  </si>
  <si>
    <t>22000.2272.</t>
  </si>
  <si>
    <t>Cont Water &amp; Sewer Depot</t>
  </si>
  <si>
    <t>22030.3830.</t>
  </si>
  <si>
    <t>22155.6595.</t>
  </si>
  <si>
    <t>Cont -Sewer to Trinity Place Path</t>
  </si>
  <si>
    <t>22010.2419.</t>
  </si>
  <si>
    <t>Eng Overheads charged to works</t>
  </si>
  <si>
    <t>22033.3826.</t>
  </si>
  <si>
    <t>22112.3826.</t>
  </si>
  <si>
    <t>22200.4001.</t>
  </si>
  <si>
    <t>22231.5265.</t>
  </si>
  <si>
    <t>Nursery Sales Council Jobs</t>
  </si>
  <si>
    <t>22260.6372.</t>
  </si>
  <si>
    <t>Staff Car Charges</t>
  </si>
  <si>
    <t>22281.6766.</t>
  </si>
  <si>
    <t>Weighbridge Rural Stickers from DWM</t>
  </si>
  <si>
    <t>22282.6797.</t>
  </si>
  <si>
    <t>Recyclables From Council (DWM)</t>
  </si>
  <si>
    <t>22283.6821.</t>
  </si>
  <si>
    <t>Waste Disposal Fees Council Jobs</t>
  </si>
  <si>
    <t>22283.6822.</t>
  </si>
  <si>
    <t>Waste Disposal Fees Council (DWM)</t>
  </si>
  <si>
    <t>22292.7248.</t>
  </si>
  <si>
    <t>DWM Plant Charged to Works</t>
  </si>
  <si>
    <t>26028.7820.</t>
  </si>
  <si>
    <t>Water &amp; Sewer Dividend Comp</t>
  </si>
  <si>
    <t>26045.7896.</t>
  </si>
  <si>
    <t>IS Income</t>
  </si>
  <si>
    <t>26063.8523.</t>
  </si>
  <si>
    <t>Cont From Wat/Sew WUEA Recoup</t>
  </si>
  <si>
    <t>26063.8524.</t>
  </si>
  <si>
    <t>Cont From Wat/Sew Bal Hts Dr Recoup</t>
  </si>
  <si>
    <t>32011.2246.</t>
  </si>
  <si>
    <t>Sale Soil</t>
  </si>
  <si>
    <t>32011.2247.</t>
  </si>
  <si>
    <t>Sale Metal</t>
  </si>
  <si>
    <t>32011.2248.</t>
  </si>
  <si>
    <t>Sale Shale</t>
  </si>
  <si>
    <t>32011.2249.</t>
  </si>
  <si>
    <t>Sale Sand</t>
  </si>
  <si>
    <t>32322.6421.</t>
  </si>
  <si>
    <t>Oils Issued</t>
  </si>
  <si>
    <t>Income Eliminations</t>
  </si>
  <si>
    <t>Expense Eliminations</t>
  </si>
  <si>
    <t>IT Inc</t>
  </si>
  <si>
    <t>DWM Plant</t>
  </si>
  <si>
    <t>Water Plant/Dev ass</t>
  </si>
  <si>
    <t>Sewer Plant/Dev ass</t>
  </si>
  <si>
    <t>Dev Prov Assets</t>
  </si>
  <si>
    <t>Eng Supervis. Sale Metal, Oils</t>
  </si>
  <si>
    <t>Plant - Staff Cars</t>
  </si>
  <si>
    <t>Nursery</t>
  </si>
  <si>
    <t>AAS27 Expense Adj</t>
  </si>
  <si>
    <t>D/A &amp; S94 Fees</t>
  </si>
  <si>
    <t>Manual Adjustments</t>
  </si>
  <si>
    <t>Resource Code 690</t>
  </si>
  <si>
    <t>Water Compulsory Dividend</t>
  </si>
  <si>
    <t>Sewer Dividend Compulsory</t>
  </si>
  <si>
    <t>Lennox Hd Com Centre</t>
  </si>
  <si>
    <t>Rates Fire Control</t>
  </si>
  <si>
    <t>Rates Dog Pound</t>
  </si>
  <si>
    <t>Rates Admin Centre</t>
  </si>
  <si>
    <t>Rates Works Depot</t>
  </si>
  <si>
    <t>Rates Parking Areas</t>
  </si>
  <si>
    <t>Rates Ferry</t>
  </si>
  <si>
    <t>Rates Wharves &amp; Jetties</t>
  </si>
  <si>
    <t>Rates Parks &amp; Gardens</t>
  </si>
  <si>
    <t>Rates Nursery</t>
  </si>
  <si>
    <t>Rates Public Toilets</t>
  </si>
  <si>
    <t>Rates Sporting Grounds</t>
  </si>
  <si>
    <t>Rates Ballina Pool</t>
  </si>
  <si>
    <t>Rates Alstonville Pool</t>
  </si>
  <si>
    <t>Rates Waste Mgt Centre</t>
  </si>
  <si>
    <t>Cont to Procurement/Mtce Staff</t>
  </si>
  <si>
    <t>Cont to Procurement Software</t>
  </si>
  <si>
    <t>Waste Internal Contrib to Depot</t>
  </si>
  <si>
    <t>DWM to Admin</t>
  </si>
  <si>
    <t>DWM Rural Stickers used at Weighbridge</t>
  </si>
  <si>
    <t>DWM Kerbside Collection Disposal Fees</t>
  </si>
  <si>
    <t>DWM Recycling Weighbridge Fees</t>
  </si>
  <si>
    <t>Rates Library</t>
  </si>
  <si>
    <t>Rates Wollongbar Estate</t>
  </si>
  <si>
    <t>Rates Southern Cross</t>
  </si>
  <si>
    <t>Rates Russellton</t>
  </si>
  <si>
    <t>Rates 74 Tamar St</t>
  </si>
  <si>
    <t>Rates Wigmore</t>
  </si>
  <si>
    <t>Rates 89 Tamar St</t>
  </si>
  <si>
    <t>Rates Fawcett St</t>
  </si>
  <si>
    <t>Rates Other Properties</t>
  </si>
  <si>
    <t>Rates 78 Tamar St</t>
  </si>
  <si>
    <t>Rates Residential Properties</t>
  </si>
  <si>
    <t>Rates Old T'bar Council Chambers</t>
  </si>
  <si>
    <t>Rates ALEC</t>
  </si>
  <si>
    <t>Rates Public Halls</t>
  </si>
  <si>
    <t>Rates Kentwell Community Centre</t>
  </si>
  <si>
    <t>Rates Richmond Room</t>
  </si>
  <si>
    <t>Rates Airport</t>
  </si>
  <si>
    <t>Rates Flat Rock</t>
  </si>
  <si>
    <t>Rates Tourist Office</t>
  </si>
  <si>
    <t>Rates Community Gallery</t>
  </si>
  <si>
    <t>Water Supply Rates</t>
  </si>
  <si>
    <t>Water to Admin</t>
  </si>
  <si>
    <t>Water Contribution Trim</t>
  </si>
  <si>
    <t>Water Contribution WUEA BBRC</t>
  </si>
  <si>
    <t>Water Contribution Bal Hts BBRC</t>
  </si>
  <si>
    <t>Water Contribution Assets</t>
  </si>
  <si>
    <t>Sewer Rates Services</t>
  </si>
  <si>
    <t>Sewer to Admin</t>
  </si>
  <si>
    <t>Sewer Contribution WUEA BBRC</t>
  </si>
  <si>
    <t>Sewer Contribution Bal Hts BBRC</t>
  </si>
  <si>
    <t>Sewer Contibution Trinity Pl Path</t>
  </si>
  <si>
    <t>Sewer Contribution to GF Various Projects</t>
  </si>
  <si>
    <t>Sewer Contribution Assets</t>
  </si>
  <si>
    <t>4610.3920.</t>
  </si>
  <si>
    <t>4612.4996.</t>
  </si>
  <si>
    <t>30023.415.</t>
  </si>
  <si>
    <t>30025.415.</t>
  </si>
  <si>
    <t>31062.415.</t>
  </si>
  <si>
    <t>31083.415.</t>
  </si>
  <si>
    <t>32000.415.</t>
  </si>
  <si>
    <t>32001.415.</t>
  </si>
  <si>
    <t>32021.415.</t>
  </si>
  <si>
    <t>32137.415.</t>
  </si>
  <si>
    <t>32200.415.</t>
  </si>
  <si>
    <t>32201.415.</t>
  </si>
  <si>
    <t>32261.415.</t>
  </si>
  <si>
    <t>32266.415.</t>
  </si>
  <si>
    <t>32285.415.</t>
  </si>
  <si>
    <t>32310.415.</t>
  </si>
  <si>
    <t>32330.415.</t>
  </si>
  <si>
    <t>32331.415.</t>
  </si>
  <si>
    <t>32340.415.</t>
  </si>
  <si>
    <t>32300.7636</t>
  </si>
  <si>
    <t>32320.7636</t>
  </si>
  <si>
    <t>32325.7636</t>
  </si>
  <si>
    <t>32340.7636</t>
  </si>
  <si>
    <t>32360.7636</t>
  </si>
  <si>
    <t>35120.7636</t>
  </si>
  <si>
    <t>50005.7636</t>
  </si>
  <si>
    <t>55002.7636</t>
  </si>
  <si>
    <t>32320.7637</t>
  </si>
  <si>
    <t>32360.7637</t>
  </si>
  <si>
    <t>50005.7637</t>
  </si>
  <si>
    <t>32340.3573.</t>
  </si>
  <si>
    <t>32340.6864.</t>
  </si>
  <si>
    <t>32361.3573.</t>
  </si>
  <si>
    <t>32364.7345.</t>
  </si>
  <si>
    <t>32364.7348</t>
  </si>
  <si>
    <t>32364.7351.</t>
  </si>
  <si>
    <t>35030.415.</t>
  </si>
  <si>
    <t>35072.415.</t>
  </si>
  <si>
    <t>35073.415.</t>
  </si>
  <si>
    <t>35074.415.</t>
  </si>
  <si>
    <t>35075.415.</t>
  </si>
  <si>
    <t>35076.415.</t>
  </si>
  <si>
    <t>35077.415</t>
  </si>
  <si>
    <t>35078.415</t>
  </si>
  <si>
    <t>35080.415.</t>
  </si>
  <si>
    <t>35081.415.</t>
  </si>
  <si>
    <t>35082.415.</t>
  </si>
  <si>
    <t>35084.8686.</t>
  </si>
  <si>
    <t>35100.415.</t>
  </si>
  <si>
    <t>35107.415.</t>
  </si>
  <si>
    <t>35110.415.</t>
  </si>
  <si>
    <t>35115.415.</t>
  </si>
  <si>
    <t>35125.415.</t>
  </si>
  <si>
    <t>35145.415.</t>
  </si>
  <si>
    <t>35150.415</t>
  </si>
  <si>
    <t>35162.415.</t>
  </si>
  <si>
    <t>50005.415.</t>
  </si>
  <si>
    <t>50005.3573.</t>
  </si>
  <si>
    <t>50005.3577.</t>
  </si>
  <si>
    <t>50005.3578.</t>
  </si>
  <si>
    <t>50005.3579.</t>
  </si>
  <si>
    <t>50005.4576.</t>
  </si>
  <si>
    <t>55002.415.</t>
  </si>
  <si>
    <t>55002.3573.</t>
  </si>
  <si>
    <t>55002.3578.</t>
  </si>
  <si>
    <t>55002.3579.</t>
  </si>
  <si>
    <t>55002.4574.</t>
  </si>
  <si>
    <t>55002.4575.</t>
  </si>
  <si>
    <t>55002.4576.</t>
  </si>
  <si>
    <t>Total Expense Eliminations</t>
  </si>
  <si>
    <t>General - internal eliminations</t>
  </si>
  <si>
    <t>Eliminations included in Income Statement</t>
  </si>
  <si>
    <t>Extra Funds Transferred to Community Buildings from 2020/21 - as working capital surplus was high</t>
  </si>
  <si>
    <t>Allocations (includes adjustments)</t>
  </si>
  <si>
    <t>General Fund Income</t>
  </si>
  <si>
    <t>General Fund Expenses</t>
  </si>
  <si>
    <t>Cash Expense Cover Ratio (months)</t>
  </si>
  <si>
    <t>W459.9999.0401</t>
  </si>
  <si>
    <t>Martin St to Winton Ln to Crane</t>
  </si>
  <si>
    <t>32348.6942.0401</t>
  </si>
  <si>
    <t>Asbestos Cleanup</t>
  </si>
  <si>
    <t>W458.9999.0401</t>
  </si>
  <si>
    <t>7500.5303.0401</t>
  </si>
  <si>
    <t>55015.4681.0401</t>
  </si>
  <si>
    <t>55015.4686.0401</t>
  </si>
  <si>
    <t>55015.4691.0401</t>
  </si>
  <si>
    <t>55015.3761.0401</t>
  </si>
  <si>
    <t>W462.9999.0401</t>
  </si>
  <si>
    <t>7510.5304.0401</t>
  </si>
  <si>
    <t>20001.1099.0061</t>
  </si>
  <si>
    <t>35152.8813.0401</t>
  </si>
  <si>
    <t>Visitor Information Guide</t>
  </si>
  <si>
    <t>Part V Activity Fee</t>
  </si>
  <si>
    <t>Certified Air Ground Controller (CAGRO)</t>
  </si>
  <si>
    <t>22265.6528.0233</t>
  </si>
  <si>
    <t>22281.6781.0101</t>
  </si>
  <si>
    <t>Asbestos Kits Sales</t>
  </si>
  <si>
    <t>22241.5765.0148</t>
  </si>
  <si>
    <t>Northlakes OEH Grant</t>
  </si>
  <si>
    <t>22255.6264.0138</t>
  </si>
  <si>
    <t>Ferngrove</t>
  </si>
  <si>
    <t>32312.6264.0401</t>
  </si>
  <si>
    <t>26061.8525.0226</t>
  </si>
  <si>
    <t>W460.9999.0401</t>
  </si>
  <si>
    <t>Teven Rd (ND) WO 460</t>
  </si>
  <si>
    <t>W464.9999.0401</t>
  </si>
  <si>
    <t>Howards Rd (ND) WO 464</t>
  </si>
  <si>
    <t>Marom Creek (ND) WO 463</t>
  </si>
  <si>
    <t>Friday Hut Rd (ND) WO 465</t>
  </si>
  <si>
    <t>Mitchell Pl (ND) WO 466</t>
  </si>
  <si>
    <t>Albert Sheather Pl (ND) WO 467</t>
  </si>
  <si>
    <t>Lindendale Rd (ND) WO 468</t>
  </si>
  <si>
    <t>W463.9999.0401</t>
  </si>
  <si>
    <t>W465.9999.0401</t>
  </si>
  <si>
    <t>W466.9999.0401</t>
  </si>
  <si>
    <t>W467.9999.0401</t>
  </si>
  <si>
    <t>W468.9999.0401</t>
  </si>
  <si>
    <t>21112.8398.0180</t>
  </si>
  <si>
    <t>32348.6781.0401</t>
  </si>
  <si>
    <t>Asbestos Kits and Disposal Fees</t>
  </si>
  <si>
    <t>32348.7046.0401</t>
  </si>
  <si>
    <t>Deposit Scrap Metal</t>
  </si>
  <si>
    <t>22284.6844.0169</t>
  </si>
  <si>
    <t>Carbon Refund</t>
  </si>
  <si>
    <t>26070.8913.0950</t>
  </si>
  <si>
    <t>22274.6524.0160</t>
  </si>
  <si>
    <t>State - Lennox Auditorium Capital Income</t>
  </si>
  <si>
    <t>Marine Rescue Centre (PRMF)</t>
  </si>
  <si>
    <t>Bagotville Quarry</t>
  </si>
  <si>
    <t>Tintenbar Quarry</t>
  </si>
  <si>
    <t>Land Sale Dividend (Sthn X 50%)</t>
  </si>
  <si>
    <t>Land Sales - Various</t>
  </si>
  <si>
    <t>Wigmore Arcade Capital</t>
  </si>
  <si>
    <t>Airport Lease Evaluation</t>
  </si>
  <si>
    <t>Norfolk Homes Rental (100%)</t>
  </si>
  <si>
    <t>Southern Cross Movements</t>
  </si>
  <si>
    <t>Russellton Movements</t>
  </si>
  <si>
    <t>Wollongbar Movements</t>
  </si>
  <si>
    <t>54 North Creek Road</t>
  </si>
  <si>
    <t>Lane Sale - Alstonville Tennis Court Site</t>
  </si>
  <si>
    <t>Lease - Fawcett Street Café</t>
  </si>
  <si>
    <t>Rental - Fawcett Street Café</t>
  </si>
  <si>
    <t>Add Capital Income Applied</t>
  </si>
  <si>
    <t>S 94 - Hutley Drive</t>
  </si>
  <si>
    <t>S 94 - Heavy Vehicles</t>
  </si>
  <si>
    <t xml:space="preserve">Council </t>
  </si>
  <si>
    <t>Section 94 Roads Reserve Balance</t>
  </si>
  <si>
    <t>Projects</t>
  </si>
  <si>
    <t>River Street Fisheries Ck Bridge to Tweed St - Four Laning</t>
  </si>
  <si>
    <t>Tamarind Dr, North Creek Rd to Kerr St - Four Laning</t>
  </si>
  <si>
    <t>River St, Upgrade Fisheries Creek Bridge - Four Lane</t>
  </si>
  <si>
    <t>Tamarind Dr, Duplication of North Creek Canal Bridge - Separate Two Lanes</t>
  </si>
  <si>
    <t>River St, Fisheries Ck Bridge to Sthn Interchange of Bypass - Four Laning</t>
  </si>
  <si>
    <t>Other River Street Improvements (land)</t>
  </si>
  <si>
    <t>Hutley Drive Extension</t>
  </si>
  <si>
    <t>Section 94 Roads Plan Analysis</t>
  </si>
  <si>
    <t>Timeframe</t>
  </si>
  <si>
    <t>2011-2019</t>
  </si>
  <si>
    <t>Council Revenue</t>
  </si>
  <si>
    <t>2015/16 Cost</t>
  </si>
  <si>
    <t>Bangalow Road / Hogan Street - new Left In / Left Out</t>
  </si>
  <si>
    <t>Angels Beach Drive / Sheather Street - new Left In / Left Out</t>
  </si>
  <si>
    <t>Angels Beach Drive / Sheather Street - LILO (Land Component)</t>
  </si>
  <si>
    <t>North Creek Road and Bridge</t>
  </si>
  <si>
    <t>North Creek Road and Bridge (Land Component)</t>
  </si>
  <si>
    <t>Ross Lane Improvements - West</t>
  </si>
  <si>
    <t>Ross Lane Improvements - East</t>
  </si>
  <si>
    <t>Ross Lane Improvements - East (Land Component)</t>
  </si>
  <si>
    <t>2019-2028</t>
  </si>
  <si>
    <t>Tamarind Dr to Southern Cross Drive - Right Turn Ban</t>
  </si>
  <si>
    <t>North Creek Road / Reservoir Rd / Hutley Dr, Traffic calming</t>
  </si>
  <si>
    <t>Sandy Flat Road</t>
  </si>
  <si>
    <t>North Creek Road - Northern 350m  joining Hutley Dr &amp; Byron Bay Rd</t>
  </si>
  <si>
    <t>Developer %</t>
  </si>
  <si>
    <t>Collected Plus Interest</t>
  </si>
  <si>
    <t>Expended</t>
  </si>
  <si>
    <t>S 94 - River St - Four Lanes</t>
  </si>
  <si>
    <t>S 94 - Tamarind Dr - Four Lanes</t>
  </si>
  <si>
    <t xml:space="preserve">S 94 - Tamarind Dr - Bridge </t>
  </si>
  <si>
    <t>Road Plan - New (including Former Plan)</t>
  </si>
  <si>
    <t>River St - Four Lanes</t>
  </si>
  <si>
    <t xml:space="preserve">River St - Bridge </t>
  </si>
  <si>
    <t>River St - Land</t>
  </si>
  <si>
    <t>Tamarind Dr - Four Lanes</t>
  </si>
  <si>
    <t xml:space="preserve">Tamarind Dr - Bridge </t>
  </si>
  <si>
    <t>River St Upgrade - Moon to Grant</t>
  </si>
  <si>
    <t>Airport  - Car Park</t>
  </si>
  <si>
    <t xml:space="preserve">Ballina 2018/19 </t>
  </si>
  <si>
    <t>Pop Denison Master Plan</t>
  </si>
  <si>
    <t>Shaws Bay Coastal Zone Management Plan</t>
  </si>
  <si>
    <t>Bolwarra Court Playground</t>
  </si>
  <si>
    <t>River St - Four Lanes - Section 94 Plan</t>
  </si>
  <si>
    <t>River St - Bridge - Section 94 Plan</t>
  </si>
  <si>
    <t>River St - Land - Section 94 Plan</t>
  </si>
  <si>
    <t xml:space="preserve">River St - Four Laning - Section 94 </t>
  </si>
  <si>
    <t>Ballina Indoor Sports Centre</t>
  </si>
  <si>
    <t>Landfill Operations - Sports Centre</t>
  </si>
  <si>
    <t>W471.9999.0401</t>
  </si>
  <si>
    <t>North Creek Rd Drainage</t>
  </si>
  <si>
    <t>W470.9999.0401</t>
  </si>
  <si>
    <t>W474.9999.0401</t>
  </si>
  <si>
    <t>W473.9999.0401</t>
  </si>
  <si>
    <t>32022.5458.0401</t>
  </si>
  <si>
    <t>Marine Rescue Tower Maintenance</t>
  </si>
  <si>
    <t>W476.9999.0401</t>
  </si>
  <si>
    <t>Upgd Amen Bldg Megan Cr Sport Field</t>
  </si>
  <si>
    <t>Contributions (Admin Roof / Air-cond)</t>
  </si>
  <si>
    <t>Landfill Operations - Admin Centre</t>
  </si>
  <si>
    <t>Admin Centre - Roof and Air-con</t>
  </si>
  <si>
    <t>One off Allocations to Administration Centre Air-con</t>
  </si>
  <si>
    <t>2025/26</t>
  </si>
  <si>
    <t>Alstonville Leisure / Entertainment Centre</t>
  </si>
  <si>
    <t>Teven Bridges</t>
  </si>
  <si>
    <t>Funding Source 2025/26</t>
  </si>
  <si>
    <t>Airport - Apron</t>
  </si>
  <si>
    <t xml:space="preserve">Shellys </t>
  </si>
  <si>
    <t>NEWF Grant</t>
  </si>
  <si>
    <t>Other Strategic Plans and Studies</t>
  </si>
  <si>
    <t>Lennox Head Centre - Kiosk Sales</t>
  </si>
  <si>
    <t>Corporate Comms Salaries (now in governance)</t>
  </si>
  <si>
    <t>2015/16 - Revenues and Expenses (always based on previous year to automate calcs)</t>
  </si>
  <si>
    <t>2016/17 Calculations</t>
  </si>
  <si>
    <t>Assets (Note9a)</t>
  </si>
  <si>
    <t>Overhead Distribution - 2016/17</t>
  </si>
  <si>
    <t>Debit 16/17</t>
  </si>
  <si>
    <t>Credit 16/17</t>
  </si>
  <si>
    <t>Total Nos 15/16</t>
  </si>
  <si>
    <t>Ferngrove Agreement</t>
  </si>
  <si>
    <t>% Change</t>
  </si>
  <si>
    <t>Net Cash Cost - All Funds</t>
  </si>
  <si>
    <t>Net General Fund Cost as per adopted Budget</t>
  </si>
  <si>
    <t>General Fund %</t>
  </si>
  <si>
    <t>March 2016</t>
  </si>
  <si>
    <t>Community Hall Upgrades</t>
  </si>
  <si>
    <t>Ballina Marine Rescue Centre</t>
  </si>
  <si>
    <t>Roads - Reconstruction Program</t>
  </si>
  <si>
    <t xml:space="preserve">S 94 - River St - Four Lanes Bridge </t>
  </si>
  <si>
    <t>S 94 - River St - Four Lanes Land</t>
  </si>
  <si>
    <t>Footpaths / Shared Paths Program</t>
  </si>
  <si>
    <t>Missingham Park - Car Park</t>
  </si>
  <si>
    <t>Crown Reserve Works Program</t>
  </si>
  <si>
    <t xml:space="preserve">Kingsford Smith - Netball Lights </t>
  </si>
  <si>
    <t>Ethernet Telemetry Upgrade</t>
  </si>
  <si>
    <t>GENERAL FUND BALANCE SHEET ($'000)</t>
  </si>
  <si>
    <t>WASTEWATER BALANCE SHEET ($'000)</t>
  </si>
  <si>
    <t>CONSOLIDATED BALANCE SHEET ($'000)</t>
  </si>
  <si>
    <t>WATER SUPPLY BALANCE SHEET ($'000)</t>
  </si>
  <si>
    <t>Second Stage Installations</t>
  </si>
  <si>
    <t>RESERVE MOVEMENTS - GENERAL FUND</t>
  </si>
  <si>
    <t>Natural Disaster Funding</t>
  </si>
  <si>
    <t>RMS - Shared Path East - Preconstruction</t>
  </si>
  <si>
    <t>Shared Path East Preconstruction</t>
  </si>
  <si>
    <t>W478.9999.0401</t>
  </si>
  <si>
    <t>32262.5249.0401</t>
  </si>
  <si>
    <t>Tintenbar Pavillion PRMF</t>
  </si>
  <si>
    <t>Landfill - Wollongbar Asbestos</t>
  </si>
  <si>
    <t>2225.7138.0401</t>
  </si>
  <si>
    <t>Wollongbar Asbestos</t>
  </si>
  <si>
    <t>7504.3934.0401</t>
  </si>
  <si>
    <t>W475.9999.0401</t>
  </si>
  <si>
    <t>Replace Fencing Treatment Plants</t>
  </si>
  <si>
    <t>Additional funds for road works in last three years as working capital result is high</t>
  </si>
  <si>
    <t>24/25</t>
  </si>
  <si>
    <t>25/26</t>
  </si>
  <si>
    <t>Shaws Bay CZMP Actions</t>
  </si>
  <si>
    <t>OEH - Shaws Bay CZMP</t>
  </si>
  <si>
    <t>CZMPs Plans-Shaws/Lake A - Budgets</t>
  </si>
  <si>
    <t>Information Fee</t>
  </si>
  <si>
    <t>Information Fee Income</t>
  </si>
  <si>
    <t>Telephone System</t>
  </si>
  <si>
    <t>Roads to Recovery Op and Cap Compare</t>
  </si>
  <si>
    <t>Sub Total - Roads and Bridges</t>
  </si>
  <si>
    <t>Add Bridge monies which is probably an increase in budget</t>
  </si>
  <si>
    <t>Add Roads to Recovery (Op but Cap)</t>
  </si>
  <si>
    <t>Less Roads to Recovery (Op but Cap)</t>
  </si>
  <si>
    <t>Eliminate Fit for the Future Increases funded from extra rates</t>
  </si>
  <si>
    <t>Sullage Dump Point - Bicentennial gardens</t>
  </si>
  <si>
    <t>Desalination Plant</t>
  </si>
  <si>
    <t>Reservoir Access and Integrity Upgrades</t>
  </si>
  <si>
    <t>Recycled Water</t>
  </si>
  <si>
    <t>35107.0530.0690</t>
  </si>
  <si>
    <t>31041.1648.0401</t>
  </si>
  <si>
    <t>Sediment Control Kits Purchase</t>
  </si>
  <si>
    <t>22260.6369.0138</t>
  </si>
  <si>
    <t>Other Plant Income</t>
  </si>
  <si>
    <t>22281.8750.0138</t>
  </si>
  <si>
    <t>Landfill - Recycled Loadout</t>
  </si>
  <si>
    <t>35040.7924.0401</t>
  </si>
  <si>
    <t>W485.9999.0401</t>
  </si>
  <si>
    <t>S94 Nth Creek Rd Lennox Deviation</t>
  </si>
  <si>
    <t>W480.9999.0401</t>
  </si>
  <si>
    <t>22155.4032.0160</t>
  </si>
  <si>
    <t>RMS - Kerr St from Bentinck to Fox</t>
  </si>
  <si>
    <t>22155.4029.0160</t>
  </si>
  <si>
    <t>22155.4030.0160</t>
  </si>
  <si>
    <t>22155.4031.0160</t>
  </si>
  <si>
    <t>RMS - Fox St from Kerr to Hickey</t>
  </si>
  <si>
    <t>RMS - Martin St Winton to Crane</t>
  </si>
  <si>
    <t>W479.9999.0401</t>
  </si>
  <si>
    <t>W440.9999.0401</t>
  </si>
  <si>
    <t>W484.9999.0401</t>
  </si>
  <si>
    <t>Airport Passenger Charges</t>
  </si>
  <si>
    <t xml:space="preserve">Airlines Conts to CAGRO </t>
  </si>
  <si>
    <t>Business Process Review</t>
  </si>
  <si>
    <t>Ballina Indoor Sports Centre - Kiosk Sales</t>
  </si>
  <si>
    <t>35001.7523.0622</t>
  </si>
  <si>
    <t>Pop Denison</t>
  </si>
  <si>
    <t>Airport Terminal</t>
  </si>
  <si>
    <t>League Club Grandstand</t>
  </si>
  <si>
    <t>Mountain Bike Club Access Road</t>
  </si>
  <si>
    <t>Wollongbar Preschool - Car Park</t>
  </si>
  <si>
    <t>50112.3575.0401</t>
  </si>
  <si>
    <t>50112.3583.0401</t>
  </si>
  <si>
    <t>50112.4596.0401</t>
  </si>
  <si>
    <t>East Ballina Boosted</t>
  </si>
  <si>
    <t>Cumbalum Boosted</t>
  </si>
  <si>
    <t>Basalt Court Boosted</t>
  </si>
  <si>
    <t>Wollongbar Boosted</t>
  </si>
  <si>
    <t>WTP - Marom Creek Sampling and Testing</t>
  </si>
  <si>
    <t>50108.3685.0401</t>
  </si>
  <si>
    <t>Fishery Creek Pontoon</t>
  </si>
  <si>
    <t>Faulks Reserve, Pontoon</t>
  </si>
  <si>
    <t>Burns Point Ferry Road Tide Gates</t>
  </si>
  <si>
    <t>Rutherford St and Tresise Pl</t>
  </si>
  <si>
    <t>Urban Stormwater Management Plan Action</t>
  </si>
  <si>
    <t>Park Lane, Lennox Hd - refuge</t>
  </si>
  <si>
    <t>Allens Parade, Lennox Head</t>
  </si>
  <si>
    <t>Gum Creek</t>
  </si>
  <si>
    <t>WTP - Marom Creek Chemicals</t>
  </si>
  <si>
    <t>WTP - Marom Creek Operations</t>
  </si>
  <si>
    <t>WTP - Marom Creek Catchment Operations</t>
  </si>
  <si>
    <t>50111.3701.0401</t>
  </si>
  <si>
    <t>55002.0328.0343</t>
  </si>
  <si>
    <t>55022.4582.0401</t>
  </si>
  <si>
    <t>55022.4596.0401</t>
  </si>
  <si>
    <t>55022.4597.0401</t>
  </si>
  <si>
    <t>55010.4661.0401</t>
  </si>
  <si>
    <t>Ballina WWTP</t>
  </si>
  <si>
    <t>Lennox WWTP</t>
  </si>
  <si>
    <t>Alstonville WWTP</t>
  </si>
  <si>
    <t>Wardell WWTP</t>
  </si>
  <si>
    <t>Ballina Pump Stations</t>
  </si>
  <si>
    <t>Lennox Pump Stations</t>
  </si>
  <si>
    <t>Alstonville Pump Stations</t>
  </si>
  <si>
    <t>Wardell Pump Stations</t>
  </si>
  <si>
    <t>55013</t>
  </si>
  <si>
    <t>Treatment - Operations</t>
  </si>
  <si>
    <t>Donations Sewer Charges</t>
  </si>
  <si>
    <t>Dial Before You Dig (DBYD) Annual Fees</t>
  </si>
  <si>
    <t>Ballina WWTP - Operations</t>
  </si>
  <si>
    <t>Lennox WWTP - Operations</t>
  </si>
  <si>
    <t>Alstonville WWTP - Operations</t>
  </si>
  <si>
    <t>Wardell WWTP - Operations</t>
  </si>
  <si>
    <t>Ballina WWTP - Chemicals</t>
  </si>
  <si>
    <t>Lennox WWTP - Chemicals</t>
  </si>
  <si>
    <t>Alstonville WWTP - Chemicals</t>
  </si>
  <si>
    <t>Wardell WWTP - Chemicals</t>
  </si>
  <si>
    <t>55015.3762.0401</t>
  </si>
  <si>
    <t>Lennox WWTP - Sampling/Test</t>
  </si>
  <si>
    <t>55015.3763.0401</t>
  </si>
  <si>
    <t>Alstonville WWTP - Sampling/Test</t>
  </si>
  <si>
    <t>Ballina WWTP - Sampling/Testing</t>
  </si>
  <si>
    <t>55015.3764.0401</t>
  </si>
  <si>
    <t>Wardell WWTP - Sampling/Test</t>
  </si>
  <si>
    <t>Biosolids Disposal</t>
  </si>
  <si>
    <t>55019</t>
  </si>
  <si>
    <t>Lennox Head WWTP</t>
  </si>
  <si>
    <t>Reactive Maintenance</t>
  </si>
  <si>
    <t>55022.4799.0401</t>
  </si>
  <si>
    <t>55014</t>
  </si>
  <si>
    <t>Simpson Ave Wollongbar- refuge</t>
  </si>
  <si>
    <t>Horizon Drive, West Ballina - refuge</t>
  </si>
  <si>
    <t>Compton Drive to Nth Wall, East Ballina</t>
  </si>
  <si>
    <t>Fox St, Ballina - refuge</t>
  </si>
  <si>
    <t>Ross St, Lennox Head</t>
  </si>
  <si>
    <t>Sneaths Road, Wollongbar</t>
  </si>
  <si>
    <t>Emigrant Creek - Access study</t>
  </si>
  <si>
    <t>2223.3444.0401</t>
  </si>
  <si>
    <t>W449.9999.0401</t>
  </si>
  <si>
    <t>2199.7777.0401</t>
  </si>
  <si>
    <t>2342.4404.0401</t>
  </si>
  <si>
    <t>2375.3959.0401</t>
  </si>
  <si>
    <t>2351.3963.0401</t>
  </si>
  <si>
    <t>2010.3149.0401</t>
  </si>
  <si>
    <t>2010.4035.0401</t>
  </si>
  <si>
    <t>2177.7777.0401</t>
  </si>
  <si>
    <t>2176.7777.0401</t>
  </si>
  <si>
    <t>2142.7777.0401</t>
  </si>
  <si>
    <t>2150.7777.0401</t>
  </si>
  <si>
    <t>2083.2361.0401</t>
  </si>
  <si>
    <t>2083.2362.0401</t>
  </si>
  <si>
    <t>2358.7777.0401</t>
  </si>
  <si>
    <t>2355.7777.0401</t>
  </si>
  <si>
    <t>2134.5326.0401</t>
  </si>
  <si>
    <t>2134.5327.0401</t>
  </si>
  <si>
    <t>2134.3971.0401</t>
  </si>
  <si>
    <t>2174.7777.0401</t>
  </si>
  <si>
    <t>2134.5329.0401</t>
  </si>
  <si>
    <t>W453.9999.0401</t>
  </si>
  <si>
    <t>2134.5330.0401</t>
  </si>
  <si>
    <t>W454.9999.0401</t>
  </si>
  <si>
    <t>2134.5331.0401</t>
  </si>
  <si>
    <t>W455.9999.0401</t>
  </si>
  <si>
    <t>2134.5332.0401</t>
  </si>
  <si>
    <t>W456.9999.0401</t>
  </si>
  <si>
    <t>2134.5333.0401</t>
  </si>
  <si>
    <t>W457.9999.0401</t>
  </si>
  <si>
    <t>2225.6495.0401</t>
  </si>
  <si>
    <t>2225.5291.0401</t>
  </si>
  <si>
    <t>W136.9999.0401</t>
  </si>
  <si>
    <t>2225.6496.0401</t>
  </si>
  <si>
    <t>2010.3143.0401</t>
  </si>
  <si>
    <t>2010.3144.0401</t>
  </si>
  <si>
    <t>2010.3145.0401</t>
  </si>
  <si>
    <t>2143.7777.0401</t>
  </si>
  <si>
    <t>W432.9999.0401</t>
  </si>
  <si>
    <t>2341.7777.0401</t>
  </si>
  <si>
    <t>Fawcett Lane seg 10</t>
  </si>
  <si>
    <t>Hickey Place seg 10</t>
  </si>
  <si>
    <t>Skinner St seg 10</t>
  </si>
  <si>
    <t>Skinner St (Part) seg 20</t>
  </si>
  <si>
    <t>Sunnybank Drv seg 20</t>
  </si>
  <si>
    <t>Bagotville Road seg 50 (part)</t>
  </si>
  <si>
    <t>Bagotville Road seg 15</t>
  </si>
  <si>
    <t>Friday Hut Rd (part) seg 170</t>
  </si>
  <si>
    <t>Marom Creek Road Devils Elbow seg 130 (part)</t>
  </si>
  <si>
    <t>Nashua Rd (Half) seg 10</t>
  </si>
  <si>
    <t>Coastal Path Section 2</t>
  </si>
  <si>
    <t>Roads to Recovery Income not yet allocated</t>
  </si>
  <si>
    <t>Records Projects</t>
  </si>
  <si>
    <t>2312.1100.0401</t>
  </si>
  <si>
    <t>26045.7693.0233</t>
  </si>
  <si>
    <t>35040.7718.0300</t>
  </si>
  <si>
    <t>Salaries and Oncosts Records</t>
  </si>
  <si>
    <t>35040.7721.0401</t>
  </si>
  <si>
    <t>Airport - Terminal</t>
  </si>
  <si>
    <t>2220.6497.0401</t>
  </si>
  <si>
    <t>W494.9999.0401</t>
  </si>
  <si>
    <t>2312.7524.0401</t>
  </si>
  <si>
    <t>2359.7777.0401</t>
  </si>
  <si>
    <t>W495.9999.0401</t>
  </si>
  <si>
    <t>2200.6498.0401</t>
  </si>
  <si>
    <t>W496.9999.0401</t>
  </si>
  <si>
    <t>2010.4027.0401</t>
  </si>
  <si>
    <t>W498.9999.0401</t>
  </si>
  <si>
    <t>2010.4026.0401</t>
  </si>
  <si>
    <t>W499.9999.0401</t>
  </si>
  <si>
    <t>2010.4025.0401</t>
  </si>
  <si>
    <t>W500.9999.0401</t>
  </si>
  <si>
    <t>2010.4024.0401</t>
  </si>
  <si>
    <t>W501.9999.0401</t>
  </si>
  <si>
    <t>2010.4023.0401</t>
  </si>
  <si>
    <t>W502.9999.0401</t>
  </si>
  <si>
    <t>2179.7777.0401</t>
  </si>
  <si>
    <t>2181.7777.0401</t>
  </si>
  <si>
    <t>2182.7777.0401</t>
  </si>
  <si>
    <t>2183.7777.0401</t>
  </si>
  <si>
    <t>2184.7777.0401</t>
  </si>
  <si>
    <t>W503.9999.0401</t>
  </si>
  <si>
    <t>W505.9999.0401</t>
  </si>
  <si>
    <t>W506.9999.0401</t>
  </si>
  <si>
    <t>W507.9999.0401</t>
  </si>
  <si>
    <t>W508.9999.0401</t>
  </si>
  <si>
    <t>Fenwick Drive seg 15</t>
  </si>
  <si>
    <t>2185.7777.0401</t>
  </si>
  <si>
    <t>W509.9999.0401</t>
  </si>
  <si>
    <t>Shelly Beach Road seg 10</t>
  </si>
  <si>
    <t>Swift Street seg 30 (part)</t>
  </si>
  <si>
    <t>2186.7777.0401</t>
  </si>
  <si>
    <t>2187.7777.0401</t>
  </si>
  <si>
    <t>W510.9999.0401</t>
  </si>
  <si>
    <t>W511.9999.0401</t>
  </si>
  <si>
    <t>2188.7777.0401</t>
  </si>
  <si>
    <t>2189.7777.0401</t>
  </si>
  <si>
    <t>W512.9999.0401</t>
  </si>
  <si>
    <t>W513.9999.0401</t>
  </si>
  <si>
    <t>2190.7777.0401</t>
  </si>
  <si>
    <t>W514.9999.0401</t>
  </si>
  <si>
    <t>2191.7777.0401</t>
  </si>
  <si>
    <t>2192.7777.0401</t>
  </si>
  <si>
    <t>W515.9999.0401</t>
  </si>
  <si>
    <t>W516.9999.0401</t>
  </si>
  <si>
    <t>2361.7777.0401</t>
  </si>
  <si>
    <t>W517.9999.0401</t>
  </si>
  <si>
    <t>2362.7777.0401</t>
  </si>
  <si>
    <t>2363.7777.0401</t>
  </si>
  <si>
    <t>W518.9999.0401</t>
  </si>
  <si>
    <t>W519.9999.0401</t>
  </si>
  <si>
    <t>2364.7777.0401</t>
  </si>
  <si>
    <t>W520.9999.0401</t>
  </si>
  <si>
    <t>2366.7777.0401</t>
  </si>
  <si>
    <t>W521.9999.0401</t>
  </si>
  <si>
    <t>2367.7777.0401</t>
  </si>
  <si>
    <t>W522.9999.0401</t>
  </si>
  <si>
    <t>2368.7777.0401</t>
  </si>
  <si>
    <t>2369.7777.0401</t>
  </si>
  <si>
    <t>W523.9999.0401</t>
  </si>
  <si>
    <t>W524.9999.0401</t>
  </si>
  <si>
    <t>2371.7777.0401</t>
  </si>
  <si>
    <t>W525.9999.0401</t>
  </si>
  <si>
    <t>2372.7777.0401</t>
  </si>
  <si>
    <t>2373.7777.0401</t>
  </si>
  <si>
    <t>W526.9999.0401</t>
  </si>
  <si>
    <t>W527.9999.0401</t>
  </si>
  <si>
    <t>2207.5890.0401</t>
  </si>
  <si>
    <t>W528.9999.0401</t>
  </si>
  <si>
    <t>Transfers To &amp; From Reserves 2016/17</t>
  </si>
  <si>
    <t>GM tab</t>
  </si>
  <si>
    <t>Interest per SP tab</t>
  </si>
  <si>
    <t>OSR - Pop Denison Master Plan</t>
  </si>
  <si>
    <t>Contributions applied per Sec 94 tab</t>
  </si>
  <si>
    <t>Contributions collected per Sec 94 tab</t>
  </si>
  <si>
    <t>Net movement in Section 94 here should agree to net movement inS04 contributions in  Res-Gen</t>
  </si>
  <si>
    <t>Work your way through the Res-Gen tab to pick up movements</t>
  </si>
  <si>
    <t>4506.8617.0961</t>
  </si>
  <si>
    <t>Comm Infra - Admin Roof &amp; Aircon</t>
  </si>
  <si>
    <t>Comm Infra - League Club Grandstand</t>
  </si>
  <si>
    <t>Comm Infra - Shaws Bay Plan</t>
  </si>
  <si>
    <t>Comm Infra - Missingham Car Park</t>
  </si>
  <si>
    <t>Comm Infra - Captain Cook Masterplan</t>
  </si>
  <si>
    <t>4091.8733.0960</t>
  </si>
  <si>
    <t>Prop Dev - North Creek Road Development</t>
  </si>
  <si>
    <t>Prop Dev - 54 North Creek Road Sale</t>
  </si>
  <si>
    <t>Admin Building - Air Con</t>
  </si>
  <si>
    <t>4030.8440.0960</t>
  </si>
  <si>
    <t>4050.4070.0960</t>
  </si>
  <si>
    <t>Ferries, Wharves Capital Expenditure funded from Boat Ramps/Infrastructure Reserve</t>
  </si>
  <si>
    <t>Keith Hall Ramp (Com Infra)</t>
  </si>
  <si>
    <t>Captain Cook Park Pontoon (Com Infra)</t>
  </si>
  <si>
    <t>Transfer Public Amenities</t>
  </si>
  <si>
    <t>Wollongbar Sportfield</t>
  </si>
  <si>
    <t>Admin Centre</t>
  </si>
  <si>
    <t>Refer Cash W line 42 Dividend</t>
  </si>
  <si>
    <t>Refer Cash W line 88</t>
  </si>
  <si>
    <t>Refer Cash W line 89</t>
  </si>
  <si>
    <t>Refer Cash WW line 18</t>
  </si>
  <si>
    <t>Refer Cash WW line 16</t>
  </si>
  <si>
    <t>Sum of s64 contributions 1340000 and s94 interest 126,400, per Cash WW</t>
  </si>
  <si>
    <t>Sum of s64 contributions 630,000 and s94 interest 234,100, per Cash W</t>
  </si>
  <si>
    <t>RMS - Angels Drive / Links Ave Roundabout</t>
  </si>
  <si>
    <t>State - Disaster - Local and Rural Roads</t>
  </si>
  <si>
    <t>Grants - Natural Disaster</t>
  </si>
  <si>
    <t>Ross Lane / Coast Rd Roundabout</t>
  </si>
  <si>
    <t>Skennars Head Road seg 90</t>
  </si>
  <si>
    <t>Additional R2R - River Drive</t>
  </si>
  <si>
    <t>Governance and Communications</t>
  </si>
  <si>
    <t>4054.4097.0960</t>
  </si>
  <si>
    <t>4594.4086.0961</t>
  </si>
  <si>
    <t>4070.4086.0960</t>
  </si>
  <si>
    <t>4583.4087.0961</t>
  </si>
  <si>
    <t>4030.4088.0960</t>
  </si>
  <si>
    <t>4075.4089.0960</t>
  </si>
  <si>
    <t>4010.4090.0960</t>
  </si>
  <si>
    <t>4046.4091.0960</t>
  </si>
  <si>
    <t>4055.4092.0960</t>
  </si>
  <si>
    <t>4087.4093.0960</t>
  </si>
  <si>
    <t>4587.4094.0961</t>
  </si>
  <si>
    <t>4530.4095.0961</t>
  </si>
  <si>
    <t>4050.4096.0960</t>
  </si>
  <si>
    <t>4050.4098.0960</t>
  </si>
  <si>
    <t>4030.4084.0960</t>
  </si>
  <si>
    <t>4063.4099.0960</t>
  </si>
  <si>
    <t>4010.4100.0960</t>
  </si>
  <si>
    <t>50101.3657.0401</t>
  </si>
  <si>
    <t>50101.3658.0401</t>
  </si>
  <si>
    <t>50101.3659.0401</t>
  </si>
  <si>
    <t>50101.3660.0401</t>
  </si>
  <si>
    <t>50108.3691.0401</t>
  </si>
  <si>
    <t>55015.3692.0401</t>
  </si>
  <si>
    <t>55015.3693.0401</t>
  </si>
  <si>
    <t>55015.3694.0401</t>
  </si>
  <si>
    <t>55015.3695.0401</t>
  </si>
  <si>
    <t>55023</t>
  </si>
  <si>
    <t>Footpath Carlisle St Wardell</t>
  </si>
  <si>
    <t>2194.7777.0401</t>
  </si>
  <si>
    <t>2195.5567.401</t>
  </si>
  <si>
    <t>24000.4185.0160</t>
  </si>
  <si>
    <t>24001.2272.0270</t>
  </si>
  <si>
    <t>24001.2295.0270</t>
  </si>
  <si>
    <t>24002.4463.0179</t>
  </si>
  <si>
    <t>24002.5569.0179</t>
  </si>
  <si>
    <t>24004.8865.0160</t>
  </si>
  <si>
    <t>24004.4435.0160</t>
  </si>
  <si>
    <t>24004.4436.0160</t>
  </si>
  <si>
    <t>24004.4437.0160</t>
  </si>
  <si>
    <t>24004.4438.0160</t>
  </si>
  <si>
    <t>24004.4040.0160</t>
  </si>
  <si>
    <t>24004.4492.0160</t>
  </si>
  <si>
    <t>24005.5717.0169</t>
  </si>
  <si>
    <t>24006.8621.0950</t>
  </si>
  <si>
    <t>24006.8867.0950</t>
  </si>
  <si>
    <t>24006.8915.0950</t>
  </si>
  <si>
    <t>24008.4461.0940</t>
  </si>
  <si>
    <t>24009.4493.0940</t>
  </si>
  <si>
    <t>Refer Cash W line 18</t>
  </si>
  <si>
    <t>Refer Cash W line 16</t>
  </si>
  <si>
    <t>Net movement in WW s64 agrees to LTFP tab</t>
  </si>
  <si>
    <t>Net movement in W s64 agrees to LTFP tab</t>
  </si>
  <si>
    <t>Deduct s94 interest, Cash W line 46</t>
  </si>
  <si>
    <t>Deduct s94 interest, Cash WW line 46</t>
  </si>
  <si>
    <t>ok</t>
  </si>
  <si>
    <t>50107.3688.0401</t>
  </si>
  <si>
    <t>50107.3689.0401</t>
  </si>
  <si>
    <t>50107.3690.0401</t>
  </si>
  <si>
    <t>32340.7852.0690</t>
  </si>
  <si>
    <t>2101.537.0401</t>
  </si>
  <si>
    <t>W537.9999.0401</t>
  </si>
  <si>
    <t>W536.9999.0401</t>
  </si>
  <si>
    <t>2193.7777.0401</t>
  </si>
  <si>
    <t>W538.9999.0401</t>
  </si>
  <si>
    <t>7002.3866.0401</t>
  </si>
  <si>
    <t>W492.9999.0401</t>
  </si>
  <si>
    <t>7003.5306.0401</t>
  </si>
  <si>
    <t>W493.9999.0401</t>
  </si>
  <si>
    <t>7006.3922.0401</t>
  </si>
  <si>
    <t>W529.9999.0401</t>
  </si>
  <si>
    <t>7504.4991.0401</t>
  </si>
  <si>
    <t>W530.9999.0401</t>
  </si>
  <si>
    <t>7504.4949.0401</t>
  </si>
  <si>
    <t>W531.9999.0401</t>
  </si>
  <si>
    <t>7504.4950.0401</t>
  </si>
  <si>
    <t>W532.9999.0401</t>
  </si>
  <si>
    <t>7507.4951.0401</t>
  </si>
  <si>
    <t>W533.9999.0401</t>
  </si>
  <si>
    <t>7811.4952.0401</t>
  </si>
  <si>
    <t>W534.9999.0401</t>
  </si>
  <si>
    <t>7811.4953.0401</t>
  </si>
  <si>
    <t>W535.9999.0401</t>
  </si>
  <si>
    <t>W539.9999.0401</t>
  </si>
  <si>
    <t>24011.7972.270</t>
  </si>
  <si>
    <t>21000.1448.0091</t>
  </si>
  <si>
    <t>55022.4756.0401</t>
  </si>
  <si>
    <t>W67.9999.0401</t>
  </si>
  <si>
    <t>4038.2799.0960</t>
  </si>
  <si>
    <t>4045.4083.0960</t>
  </si>
  <si>
    <t>25000.3825.0177</t>
  </si>
  <si>
    <t>25000.3826.0175</t>
  </si>
  <si>
    <t>25500.4545.0178</t>
  </si>
  <si>
    <t>25500.3826.0176</t>
  </si>
  <si>
    <t>4038.5830.0960</t>
  </si>
  <si>
    <t>VIC Shower Reserve</t>
  </si>
  <si>
    <t>Net movement here should agrees to LTFP 'ResGen'</t>
  </si>
  <si>
    <t>2104.7899.0401</t>
  </si>
  <si>
    <t>W540.9999.0401</t>
  </si>
  <si>
    <t>22231.8810.0235</t>
  </si>
  <si>
    <t>32262.5440.0401</t>
  </si>
  <si>
    <t>Refer Cash WW line 41 Dividend</t>
  </si>
  <si>
    <t>This figure represents total cap expenditure $3,884,000 PLUS dividend to be paid out of $34,000 LESS cap expend funded from s64 of $1,820,000 LESS amts to recoup included in op result $100,000</t>
  </si>
  <si>
    <t>Federal - Ross Lane / Coast Road Roundabout</t>
  </si>
  <si>
    <t>RMS - Coast Road / Skennars Hd Rd R'about</t>
  </si>
  <si>
    <t>RMS - Ross Lane Straightening</t>
  </si>
  <si>
    <t>Coast Road / Skennars Hd Rd R'about</t>
  </si>
  <si>
    <t>24002.5558.0179</t>
  </si>
  <si>
    <t>24002.5557.0179</t>
  </si>
  <si>
    <t>2196.7777.0401</t>
  </si>
  <si>
    <t>W541.9999.0401</t>
  </si>
  <si>
    <t>2197.7777.0401</t>
  </si>
  <si>
    <t>W542.9999.0401</t>
  </si>
  <si>
    <t>24013.8708.0160</t>
  </si>
  <si>
    <t>24013.8876.0160</t>
  </si>
  <si>
    <t>Funds to Lennox Head CBD Master Plan</t>
  </si>
  <si>
    <t>Playgrounds (Section 94 Plan)</t>
  </si>
  <si>
    <t>RMS - Regional Road Program</t>
  </si>
  <si>
    <t>Ballina RSL - Captain Cook Park Master Plan</t>
  </si>
  <si>
    <t>Public Art Contributions</t>
  </si>
  <si>
    <t>VIC Shower Facility</t>
  </si>
  <si>
    <t>Community Facilities (Ballina Heights)</t>
  </si>
  <si>
    <t>Connections for Green Field Sites</t>
  </si>
  <si>
    <t>SP2001 - Wet Well Protection - Swift Street</t>
  </si>
  <si>
    <t>SP4004 - Pump Stn - Granada Place</t>
  </si>
  <si>
    <t>Kubota Membrane Turbine Replacement</t>
  </si>
  <si>
    <t>Rising Main Rehabilitation - Swift Street</t>
  </si>
  <si>
    <t>SP3001 - Byron Street, Lennox Head</t>
  </si>
  <si>
    <t>Low Pressure Sewer System Coopers Close</t>
  </si>
  <si>
    <t>Vacuum Excavation Truck</t>
  </si>
  <si>
    <t>Wardell - Boardwalk</t>
  </si>
  <si>
    <t>32020.1114.0401</t>
  </si>
  <si>
    <t>30002.1117.0401</t>
  </si>
  <si>
    <t>Killen Falls Plan of Management</t>
  </si>
  <si>
    <t>30002.1118.0401</t>
  </si>
  <si>
    <t>30002.1119.0401</t>
  </si>
  <si>
    <t>Tosha Falls Plan of Management</t>
  </si>
  <si>
    <t>24013.2600.0160</t>
  </si>
  <si>
    <t>24013.8910.0160</t>
  </si>
  <si>
    <t>2141.7777.0401</t>
  </si>
  <si>
    <t>2175.7777.0401</t>
  </si>
  <si>
    <t>2353.3402.0401</t>
  </si>
  <si>
    <t>Shared Path Section 3 Prov for traffic</t>
  </si>
  <si>
    <t>2357.7777.0401</t>
  </si>
  <si>
    <t>32279.5605.0401</t>
  </si>
  <si>
    <t>2225.5290.0401</t>
  </si>
  <si>
    <t>W487.9999.0401</t>
  </si>
  <si>
    <t>W427.9999.0401</t>
  </si>
  <si>
    <t>35040.7925.0401</t>
  </si>
  <si>
    <t>Business Records Scanning</t>
  </si>
  <si>
    <t>LHCC Maintenance</t>
  </si>
  <si>
    <t>30001.1116.0401</t>
  </si>
  <si>
    <t>20002.1116.0166</t>
  </si>
  <si>
    <t>2105.1120.0401</t>
  </si>
  <si>
    <t>W543.9999.0401</t>
  </si>
  <si>
    <t>W544.9999.0401</t>
  </si>
  <si>
    <t>W545.9999.0401</t>
  </si>
  <si>
    <t>Buildings AMP - Head Quarters</t>
  </si>
  <si>
    <t>Buildings AMP - ALEC</t>
  </si>
  <si>
    <t>W547.9999.0401</t>
  </si>
  <si>
    <t>Buildings AMP - LHCC</t>
  </si>
  <si>
    <t>22110.3829.0169</t>
  </si>
  <si>
    <t>Fishery Creek Bridge Guard Rail</t>
  </si>
  <si>
    <t>W549.9999.0401</t>
  </si>
  <si>
    <t>2198.7777.0401</t>
  </si>
  <si>
    <t>W550.9999.0401</t>
  </si>
  <si>
    <t>2201.7777.0401</t>
  </si>
  <si>
    <t>Canal Bridge Guard Rail</t>
  </si>
  <si>
    <t>Kerr St Edge Drains</t>
  </si>
  <si>
    <t>River St Edge Drains</t>
  </si>
  <si>
    <t>32135.4368.0401</t>
  </si>
  <si>
    <t>PAMP</t>
  </si>
  <si>
    <t>22150.4368.0165</t>
  </si>
  <si>
    <t>Amounts to PAMP operating expenses</t>
  </si>
  <si>
    <t>PAMP works</t>
  </si>
  <si>
    <t>2024.6596.0401</t>
  </si>
  <si>
    <t>W481.9999.0401</t>
  </si>
  <si>
    <t>2200.4190.0401</t>
  </si>
  <si>
    <t>55002.4584.0401</t>
  </si>
  <si>
    <t>Asset Revaluation</t>
  </si>
  <si>
    <t>W347.9999.0401</t>
  </si>
  <si>
    <t>35080.4082.0401</t>
  </si>
  <si>
    <t>2336.7793.401</t>
  </si>
  <si>
    <t>9 North Creek Road</t>
  </si>
  <si>
    <t>2336.6571.0401</t>
  </si>
  <si>
    <t>W556.9999.0401</t>
  </si>
  <si>
    <t>7000.3946.0401</t>
  </si>
  <si>
    <t>W358.9999.0401</t>
  </si>
  <si>
    <t>W548.9999.0401</t>
  </si>
  <si>
    <t>7531.4994.0401</t>
  </si>
  <si>
    <t>30020.7724.0401</t>
  </si>
  <si>
    <t>35160.7563.0401</t>
  </si>
  <si>
    <t>Subscription Regional Arts Council</t>
  </si>
  <si>
    <t>35162.8885.0401</t>
  </si>
  <si>
    <t>26123.8916.0148</t>
  </si>
  <si>
    <t>35152.8908.0401</t>
  </si>
  <si>
    <t>Fly Drive Campaign</t>
  </si>
  <si>
    <t>31020.7542.0401</t>
  </si>
  <si>
    <t>32102.3093.0401</t>
  </si>
  <si>
    <t>22241.5766.0148</t>
  </si>
  <si>
    <t>32280.5766.0401</t>
  </si>
  <si>
    <t>32348.7059.0401</t>
  </si>
  <si>
    <t>32348.7060.0401</t>
  </si>
  <si>
    <t>50005.3586.0401</t>
  </si>
  <si>
    <t>12010.3512.0102</t>
  </si>
  <si>
    <t>12010.3513.0102</t>
  </si>
  <si>
    <t>Recycled Residential Water Consumption</t>
  </si>
  <si>
    <t>Recycled Non Residential Water Consumption</t>
  </si>
  <si>
    <t>26028.7842.0235</t>
  </si>
  <si>
    <t>35021.7842.0422</t>
  </si>
  <si>
    <t>Legal Expenses Debtors</t>
  </si>
  <si>
    <t>Legal Expenses Rates/Water</t>
  </si>
  <si>
    <t>35125.8908.0401</t>
  </si>
  <si>
    <t>The Coast Rd (Angels Beach)</t>
  </si>
  <si>
    <t>Riverbank Rd (R2R)</t>
  </si>
  <si>
    <t>W491.9999.0401</t>
  </si>
  <si>
    <t>22157.4012.0179</t>
  </si>
  <si>
    <t>Trawler Boat Harbour</t>
  </si>
  <si>
    <t>24004.4011.0160</t>
  </si>
  <si>
    <t>State - RBP - Keith Hall Boat Ramp Design</t>
  </si>
  <si>
    <t>24006.8620.0950</t>
  </si>
  <si>
    <t>30023.8579.0401</t>
  </si>
  <si>
    <t>Auditorium Event Hire</t>
  </si>
  <si>
    <t>Co-op Advertising - Airport Brochure Rack</t>
  </si>
  <si>
    <t>Ocean Breeze Plan of Management</t>
  </si>
  <si>
    <t>LEP - Greenwood Place</t>
  </si>
  <si>
    <t xml:space="preserve">LEP - Southern Cross </t>
  </si>
  <si>
    <t>Fund Raising Events</t>
  </si>
  <si>
    <t>Heritage and Culture Projects Grants</t>
  </si>
  <si>
    <t>Section 94 Plan - Cumbalum Review</t>
  </si>
  <si>
    <t>Planing Strategies - Reviews</t>
  </si>
  <si>
    <t>Planning Proposals - Fees for Services</t>
  </si>
  <si>
    <t>Lennox Head Centre - Event Hire</t>
  </si>
  <si>
    <t>Cash Delivery Services Admin Centre</t>
  </si>
  <si>
    <t>Other Community Programs</t>
  </si>
  <si>
    <t>Donations - Sporting Groups</t>
  </si>
  <si>
    <t>Donations - Sthn Cross Scholarship</t>
  </si>
  <si>
    <t xml:space="preserve">Donations - Public Halls - Rates </t>
  </si>
  <si>
    <t>Donations - Public Halls - Capital</t>
  </si>
  <si>
    <t>Donations - Community Groups</t>
  </si>
  <si>
    <t>LGNSW</t>
  </si>
  <si>
    <t>Australian Coastal Councils</t>
  </si>
  <si>
    <t>BBRC Legal and Valuation Fees</t>
  </si>
  <si>
    <t>Other Revenues (non-cash)</t>
  </si>
  <si>
    <t>89 Tamar Street - Outgoings</t>
  </si>
  <si>
    <t>Fawcett Street Café - Outgoings</t>
  </si>
  <si>
    <t>Wigmore Arcade - Outgoings</t>
  </si>
  <si>
    <t>Tintenbar Chambers - Outgoings</t>
  </si>
  <si>
    <t>Water / Wastewater WUEA Recoup</t>
  </si>
  <si>
    <t>Water / Wastewater BHD Recoup</t>
  </si>
  <si>
    <t>BBRC Legal and Valuation Charges</t>
  </si>
  <si>
    <t>North Creek Dredging</t>
  </si>
  <si>
    <t>Ballina Bar and Sand Nourishment</t>
  </si>
  <si>
    <t>2336.8581.0401</t>
  </si>
  <si>
    <t>2336.8606.0401</t>
  </si>
  <si>
    <t>W555.9999.0401</t>
  </si>
  <si>
    <t>2324.5281.0401</t>
  </si>
  <si>
    <t>32135.4407.0401</t>
  </si>
  <si>
    <t>W551.9998.0401</t>
  </si>
  <si>
    <t>W552.9998.0401</t>
  </si>
  <si>
    <t>W563.9999.0401</t>
  </si>
  <si>
    <t>2202.7777.0401</t>
  </si>
  <si>
    <t>Road Closure Applications</t>
  </si>
  <si>
    <t>32000.0374.0640</t>
  </si>
  <si>
    <t>Abandoned Pensioners S160AA Council</t>
  </si>
  <si>
    <t>Compulsory Dividend</t>
  </si>
  <si>
    <t>Salaries and Oncosts - Capital Contra</t>
  </si>
  <si>
    <t>Pumping Stations - Energy Costs</t>
  </si>
  <si>
    <t>Water Quality Testing, Reading and Other</t>
  </si>
  <si>
    <t>Telemetry and Plant Maintenance</t>
  </si>
  <si>
    <t>OSR Operations Re-Use Pipes and Irrigation</t>
  </si>
  <si>
    <t>Engineering and Technical</t>
  </si>
  <si>
    <t>Wollongbar Fields (Contingency)</t>
  </si>
  <si>
    <t>Movement In Provision</t>
  </si>
  <si>
    <t>Marom Creek - Scheduled Maintenance</t>
  </si>
  <si>
    <t>Marom Creek - Reactive Maintenance</t>
  </si>
  <si>
    <t>Water Mains - Cleaning Program</t>
  </si>
  <si>
    <t>Water Hydrants - Maintenance</t>
  </si>
  <si>
    <t>Water Field Staff Other Leave</t>
  </si>
  <si>
    <t>Water Field Staff Annual Leave</t>
  </si>
  <si>
    <t>Water Field Staff Sick Leave</t>
  </si>
  <si>
    <t>Water Field Long Service Leave</t>
  </si>
  <si>
    <t>FFTF Results Per Year</t>
  </si>
  <si>
    <t>Asset Maintenance Ratio ( &gt; 100%)</t>
  </si>
  <si>
    <t>Debt Service Ratio ( &lt; 20%)</t>
  </si>
  <si>
    <t>Own Source Operating Rev Ratio ( &gt; 60%)</t>
  </si>
  <si>
    <t>Asset Renewal Ratio ( &gt; 100%)</t>
  </si>
  <si>
    <t xml:space="preserve">Operating Performance Ratio ( &gt; 0%) </t>
  </si>
  <si>
    <t>89 Tamar Street</t>
  </si>
  <si>
    <t>Pump Station Southern Cross</t>
  </si>
  <si>
    <t>Shelly Beach Café</t>
  </si>
  <si>
    <t xml:space="preserve">Community Gallery </t>
  </si>
  <si>
    <t>Marom Creek - Catchment Maintenance</t>
  </si>
  <si>
    <t>Administration and Customer Service - Overheads</t>
  </si>
  <si>
    <t>Specialist Water Staff Training</t>
  </si>
  <si>
    <t>Abandoned Pensioners S16AA Council</t>
  </si>
  <si>
    <t>60010</t>
  </si>
  <si>
    <t>60023</t>
  </si>
  <si>
    <t>60024</t>
  </si>
  <si>
    <t>60025</t>
  </si>
  <si>
    <t>Recycled Water - Mains Maintenance</t>
  </si>
  <si>
    <t>Recycled Water - Reservoirs Operations</t>
  </si>
  <si>
    <t>Recycled Water - Reservoirs Maintenance</t>
  </si>
  <si>
    <t>Recycled Water - Connections Maintenance</t>
  </si>
  <si>
    <t>Camera and Jetting - Maintenance</t>
  </si>
  <si>
    <t>Cabbage Tree Island Emergency Maintenance</t>
  </si>
  <si>
    <t>Cabbage Tree Island Program Maintenance</t>
  </si>
  <si>
    <t>Pumping Stations - Renewal Program</t>
  </si>
  <si>
    <t>Pumping Stations - Capacity Upgrade Program</t>
  </si>
  <si>
    <t>Ballina - Control Valve</t>
  </si>
  <si>
    <t>Ballina - DAF Dismantling</t>
  </si>
  <si>
    <t>Ballina - Septic Receival</t>
  </si>
  <si>
    <t>Ballina - Gantry crane</t>
  </si>
  <si>
    <t>Ballina - Manifold Blower Upgrade</t>
  </si>
  <si>
    <t>Lennox - EAT Decanters</t>
  </si>
  <si>
    <t>Alstonville - Maturation Pond</t>
  </si>
  <si>
    <t>Alstonville - Diffused Aeration Upgrade</t>
  </si>
  <si>
    <t>Wardell - SCADA Upgrade</t>
  </si>
  <si>
    <t xml:space="preserve">Plant Replacement </t>
  </si>
  <si>
    <t>Plant Replacement - CCTV</t>
  </si>
  <si>
    <t>Ross Lane - Dual Reticulation Reservoir</t>
  </si>
  <si>
    <t>Ballina Heights - Boosted Pumping Station</t>
  </si>
  <si>
    <t>Lennox Palms Estate - Reticulation Mains</t>
  </si>
  <si>
    <t>Montwood Drive - Distribution Mains</t>
  </si>
  <si>
    <t>Henderson Farm - Distribution Mains</t>
  </si>
  <si>
    <t>Meadows Estate - Distribution Main</t>
  </si>
  <si>
    <t>Greenfield Grove - Distribution Mains</t>
  </si>
  <si>
    <t>Lennox Head - Distribution Mains</t>
  </si>
  <si>
    <t>Fig Tree Hill - Distribution Mains</t>
  </si>
  <si>
    <t>CURA B - Distribution Mains</t>
  </si>
  <si>
    <t>Lennox to Angels Drive - Main</t>
  </si>
  <si>
    <t>Recycled Water - Hydrant Standpipes</t>
  </si>
  <si>
    <t>Recycled Water - Hydrant Installations</t>
  </si>
  <si>
    <t>Kings Court - Reservoir</t>
  </si>
  <si>
    <t>Recycled Water - Communications</t>
  </si>
  <si>
    <t>Recycled Water - Connection Audits</t>
  </si>
  <si>
    <t>Recycled Water - Alstonville</t>
  </si>
  <si>
    <t>Recycled Water - Design and Management</t>
  </si>
  <si>
    <t>Quarry Road - Mountain Bike</t>
  </si>
  <si>
    <t xml:space="preserve">Faulks Reserve, Pontoon </t>
  </si>
  <si>
    <t>Development Services Resources</t>
  </si>
  <si>
    <t xml:space="preserve">Library Projects </t>
  </si>
  <si>
    <t>Shaws Bay / Lake Ains CZMPs</t>
  </si>
  <si>
    <t>Keith Hall Lane - Ramp Design</t>
  </si>
  <si>
    <t>Keith Hall Lane - Ramp Construct</t>
  </si>
  <si>
    <t>Quarry Dividend</t>
  </si>
  <si>
    <t xml:space="preserve">Keith Hall, Ramp </t>
  </si>
  <si>
    <t>Buildings Asset Mgmt Program</t>
  </si>
  <si>
    <t>Hutley Drive - North Creek Road</t>
  </si>
  <si>
    <t>Environmental Health Resources</t>
  </si>
  <si>
    <t>Administration and Financial Services</t>
  </si>
  <si>
    <t>22151.3515.0190</t>
  </si>
  <si>
    <t>Wardell Town Centre Interest</t>
  </si>
  <si>
    <t>32254.5578.0401</t>
  </si>
  <si>
    <t>MR7734 Howards Bridge</t>
  </si>
  <si>
    <t>32262.5338.0401</t>
  </si>
  <si>
    <t>Cumbalum/Ballina Heights</t>
  </si>
  <si>
    <t>32312.6206.0401</t>
  </si>
  <si>
    <t>22285.6527.0235</t>
  </si>
  <si>
    <t>32340.7847.0420</t>
  </si>
  <si>
    <t>32348.6748.0401</t>
  </si>
  <si>
    <t>32348.6749.0401</t>
  </si>
  <si>
    <t>32350.7138.0401</t>
  </si>
  <si>
    <t>32350.7326.0401</t>
  </si>
  <si>
    <t>35160.0680.0745</t>
  </si>
  <si>
    <t>32101.0680.0741</t>
  </si>
  <si>
    <t>2105.1098.0401</t>
  </si>
  <si>
    <t>Gallery Foyer</t>
  </si>
  <si>
    <t>RMS Contributions</t>
  </si>
  <si>
    <t>Wollongbar Fields (Grant)</t>
  </si>
  <si>
    <t>Wollongbar Fields (Council)</t>
  </si>
  <si>
    <t>Building Renewals</t>
  </si>
  <si>
    <t>Building Asset Renewal</t>
  </si>
  <si>
    <t>Amenities Improvements</t>
  </si>
  <si>
    <t>Trawler Harbour Plan</t>
  </si>
  <si>
    <t>Swimming Pool - Capital</t>
  </si>
  <si>
    <t>Swimming Pool - Operations</t>
  </si>
  <si>
    <t>22112.8914.0180</t>
  </si>
  <si>
    <t>24002.4477.0179</t>
  </si>
  <si>
    <t>22155.4028.0160</t>
  </si>
  <si>
    <t>24007.4160.0160</t>
  </si>
  <si>
    <t>Lennox St Soak Away</t>
  </si>
  <si>
    <t>2010.4020.0401</t>
  </si>
  <si>
    <t>2178.7777.0401</t>
  </si>
  <si>
    <t>Angels Beach</t>
  </si>
  <si>
    <t>W486.9999.0401</t>
  </si>
  <si>
    <t>Coast Rd West Section 1</t>
  </si>
  <si>
    <t>2348.3429.0401</t>
  </si>
  <si>
    <t>Shared Path Skennars Hd/Nth Rd Section 2</t>
  </si>
  <si>
    <t>2349.3434.0401</t>
  </si>
  <si>
    <t>Porter Park Embellishment</t>
  </si>
  <si>
    <t>as at 30/6/16</t>
  </si>
  <si>
    <t>Booyal Bushland Res Compensatory</t>
  </si>
  <si>
    <t>Ballina Bar - Sand Nourishment</t>
  </si>
  <si>
    <t>VEGETATION MANAGEMENT (cont'd)</t>
  </si>
  <si>
    <t>7 North Creek Road</t>
  </si>
  <si>
    <t>13 Cessna Crescent</t>
  </si>
  <si>
    <t>Ballina Tennis Club</t>
  </si>
  <si>
    <t>To</t>
  </si>
  <si>
    <t xml:space="preserve">State - RBP - Keith Hall Boat Ramp </t>
  </si>
  <si>
    <t>River St - Moon to Grant Beautification</t>
  </si>
  <si>
    <t>State or Federal - Indoor Sports Centre</t>
  </si>
  <si>
    <t>Operations and Capital</t>
  </si>
  <si>
    <t xml:space="preserve">Waste - Domestic </t>
  </si>
  <si>
    <t>Keith Hall, Ramp (Comm Infra)</t>
  </si>
  <si>
    <t xml:space="preserve">Captain Cook Pontoon (Comm Infra) </t>
  </si>
  <si>
    <t>Fishery Creek Pontoon (Comm Infr)</t>
  </si>
  <si>
    <t>Infrastructure - Prop Dev Dividend</t>
  </si>
  <si>
    <t>Infrastructure - Comm Infra Dividend</t>
  </si>
  <si>
    <t>26131.8918.0148</t>
  </si>
  <si>
    <t>35162.8918.0401</t>
  </si>
  <si>
    <t>22101.3105.0148</t>
  </si>
  <si>
    <t>USMP Envirotrust Video</t>
  </si>
  <si>
    <t>32101.3105.0401</t>
  </si>
  <si>
    <t>Southern Cross Drive Heavy Patching</t>
  </si>
  <si>
    <t>32262.5768.0401</t>
  </si>
  <si>
    <t>Killens Falls Temporary Toilet</t>
  </si>
  <si>
    <t>22241.5767.0148</t>
  </si>
  <si>
    <t>Lennox Meadows Drainage Basin</t>
  </si>
  <si>
    <t>32280.5767.0401</t>
  </si>
  <si>
    <t>32340.6878.0401</t>
  </si>
  <si>
    <t>Waste Audits</t>
  </si>
  <si>
    <t>Stokers Quarry</t>
  </si>
  <si>
    <t>Stage 1 Rectification Works</t>
  </si>
  <si>
    <t>32325.7635.0401</t>
  </si>
  <si>
    <t>State - Marine Rescue Tower (P/Ship)</t>
  </si>
  <si>
    <t>Private - Ballina Heights Drive</t>
  </si>
  <si>
    <t>NCHP - Ross Street Mobilisation</t>
  </si>
  <si>
    <t>State - Shared Path (PRMF)</t>
  </si>
  <si>
    <t>Private - Newrybar Car Park</t>
  </si>
  <si>
    <t>RMS - Grant River Streets Refuge</t>
  </si>
  <si>
    <t>RMS - Ballina St - Coast Rd to Allens Parade</t>
  </si>
  <si>
    <t>Less Capitalisation of Wages</t>
  </si>
  <si>
    <t>Developer Contributed Assets</t>
  </si>
  <si>
    <t>Less Developer Contributed Assets</t>
  </si>
  <si>
    <t>Roads to Recovery (shown in LTFP as Capital in 15/16)</t>
  </si>
  <si>
    <t>Overheads Check for Automatic Entry</t>
  </si>
  <si>
    <t>Total in Financial Services</t>
  </si>
  <si>
    <t>To be journalled during the year</t>
  </si>
  <si>
    <t>Federal - Airport Boulevard</t>
  </si>
  <si>
    <t xml:space="preserve">Airport Boulevard Road </t>
  </si>
  <si>
    <t>Skennars Head Fields - Expansion</t>
  </si>
  <si>
    <t>Skennars Head Fields</t>
  </si>
  <si>
    <t xml:space="preserve">Natural Disasters </t>
  </si>
  <si>
    <t>Event and Film Revenues</t>
  </si>
  <si>
    <t>Shark Management</t>
  </si>
  <si>
    <t>Bitou Bush and Various</t>
  </si>
  <si>
    <t>Waste Collection Business</t>
  </si>
  <si>
    <t>Remediation Provisions Adjustment</t>
  </si>
  <si>
    <t>Bulk Waste Collection Business Props</t>
  </si>
  <si>
    <t>Asbestos (funded by Rest Reserve)</t>
  </si>
  <si>
    <t>Illegal Dumping (funded by Rest Reserve)</t>
  </si>
  <si>
    <t>Biochar Preconstruction</t>
  </si>
  <si>
    <t>Lifelong Learning Program</t>
  </si>
  <si>
    <t>Sec 64 Contributions Applied to Capital Projects</t>
  </si>
  <si>
    <t>Sec 64 Contributions Applied to Loan Principal</t>
  </si>
  <si>
    <t>Section 94 Applied to Loan Principal</t>
  </si>
  <si>
    <t>Reserve Balance as per LTFP</t>
  </si>
  <si>
    <t>Reserve Balance from above</t>
  </si>
  <si>
    <t>Reasonable Cost Adjustments</t>
  </si>
  <si>
    <t>Overhead Distribution - 2017/18</t>
  </si>
  <si>
    <t>BALLINA SHIRE COUNCIL</t>
  </si>
  <si>
    <t>REASONABLE COSTS AND CHARGES</t>
  </si>
  <si>
    <t>A.</t>
  </si>
  <si>
    <t>BEST ESTIMATE ASSUMPTIONS</t>
  </si>
  <si>
    <t>Budget</t>
  </si>
  <si>
    <t>1.</t>
  </si>
  <si>
    <t>$</t>
  </si>
  <si>
    <t>Interest Expense</t>
  </si>
  <si>
    <t>Pensioner Write-off (Net)</t>
  </si>
  <si>
    <t>Total Domestic Waste Costs</t>
  </si>
  <si>
    <t>Council's Waste Facility is treated as a separate business unit. The business unit</t>
  </si>
  <si>
    <t>has calculated the reasonable cost of providing this facility to all users (commercial,</t>
  </si>
  <si>
    <t>domestic and non-domestic). All users are charged on a rate per tonne for waste</t>
  </si>
  <si>
    <t>disposed.</t>
  </si>
  <si>
    <t>2.</t>
  </si>
  <si>
    <t>Domestic Waste Charges</t>
  </si>
  <si>
    <t>Total Domestic Waste Income</t>
  </si>
  <si>
    <t>B.</t>
  </si>
  <si>
    <t>CALCULATION OF REASONABLE COST</t>
  </si>
  <si>
    <t>Provision for future works if in surplus</t>
  </si>
  <si>
    <t>TOTAL REASONABLE COST</t>
  </si>
  <si>
    <t>Collection and Disposal</t>
  </si>
  <si>
    <t>2017/2018 Annualised Domestic Waste Costs</t>
  </si>
  <si>
    <t>DOMESTIC WASTE MANAGEMENT SERVICES</t>
  </si>
  <si>
    <t>Pensioner Write-offs</t>
  </si>
  <si>
    <t>Growth</t>
  </si>
  <si>
    <t>Cheyne Willebrand (LRM / DWM allocation)</t>
  </si>
  <si>
    <t>Simon Smith (swap LRM / DWM %)</t>
  </si>
  <si>
    <t>Hellyer, Dobbs, Dover Allocation</t>
  </si>
  <si>
    <t xml:space="preserve">Extras </t>
  </si>
  <si>
    <t>ABCs - Adjust General Fund Notices Issued Only</t>
  </si>
  <si>
    <t>Nos 16/17</t>
  </si>
  <si>
    <t>March 2017</t>
  </si>
  <si>
    <t>Source from Pay Estimates Spreadsheet</t>
  </si>
  <si>
    <t>2017/18 Calculations</t>
  </si>
  <si>
    <t>Total Rates and Charges Bill Check</t>
  </si>
  <si>
    <t>Average Residential Rate</t>
  </si>
  <si>
    <t>Water Connection</t>
  </si>
  <si>
    <t>Percentage Change</t>
  </si>
  <si>
    <t>Add deletion of transfer from Quarry Reserve</t>
  </si>
  <si>
    <t>Planning Proposals and Other Fees</t>
  </si>
  <si>
    <t xml:space="preserve">Planning Proposals </t>
  </si>
  <si>
    <t>Reservoirs  - Operations and Maintenance</t>
  </si>
  <si>
    <t>Maintenance - Other</t>
  </si>
  <si>
    <t>Operations - Other</t>
  </si>
  <si>
    <t>Recycled Water - Maintenance and Operations</t>
  </si>
  <si>
    <t>SPORTS FIELDS</t>
  </si>
  <si>
    <t>Other Fines and Other Revenues</t>
  </si>
  <si>
    <t>OSSM Fees and Charges</t>
  </si>
  <si>
    <t>Litter Fines</t>
  </si>
  <si>
    <t>Other Regulatory Fees and Charges</t>
  </si>
  <si>
    <t>Registrations and Inspections</t>
  </si>
  <si>
    <t>DWM Operations (External)</t>
  </si>
  <si>
    <t>Plant and Fleel Operations</t>
  </si>
  <si>
    <t xml:space="preserve">Netball Courts </t>
  </si>
  <si>
    <t xml:space="preserve">Airport Operations </t>
  </si>
  <si>
    <t>Miscellaneous Grants</t>
  </si>
  <si>
    <t>Ballina Men's Shed Rates and Charges</t>
  </si>
  <si>
    <t>Section 94 Plan Reviews</t>
  </si>
  <si>
    <t>Section 94 Plan - Reviews</t>
  </si>
  <si>
    <t>Contract Management Charges</t>
  </si>
  <si>
    <t>Engineering Inspections and Overheads</t>
  </si>
  <si>
    <t>Depreciation - Administration Building</t>
  </si>
  <si>
    <t>Cont to CC - Drainage Unions</t>
  </si>
  <si>
    <t>Cont to County Council (CC)</t>
  </si>
  <si>
    <t>Cont to CC - Coastal Zone Mgmt Plan</t>
  </si>
  <si>
    <t>Foreshore Protection Works</t>
  </si>
  <si>
    <t>Boating Programs</t>
  </si>
  <si>
    <t>Martin Street Boat Harbour</t>
  </si>
  <si>
    <t xml:space="preserve">Commercial Activity Licences </t>
  </si>
  <si>
    <t>State Govt - Crown Reserve Contribution</t>
  </si>
  <si>
    <t>ANZAC Local Grant Program</t>
  </si>
  <si>
    <t>Skatepark (Wollongbar) M &amp; R</t>
  </si>
  <si>
    <t>Amphitheatre and Skateparks</t>
  </si>
  <si>
    <t>Noxious Plants (County Council)</t>
  </si>
  <si>
    <t>Weed Control - Cont to County Council</t>
  </si>
  <si>
    <t>Gain on Disposal of Equipment</t>
  </si>
  <si>
    <t>Remediation Provisions</t>
  </si>
  <si>
    <t>Fees - Council Recyclables (DWM)</t>
  </si>
  <si>
    <t>Rural Stickers</t>
  </si>
  <si>
    <t>Collection Kerbside - Bin Purchases</t>
  </si>
  <si>
    <t>Natural Disasters</t>
  </si>
  <si>
    <t>Burns Point Ferry - Toll Fees</t>
  </si>
  <si>
    <t>Burns Point Ferry - Season Tickets</t>
  </si>
  <si>
    <t>Burns Point Ferry - Diesel Rebate</t>
  </si>
  <si>
    <t>Martin Street Boat Harbour Erosion</t>
  </si>
  <si>
    <t xml:space="preserve">Buildings Cleaning and Maintenance </t>
  </si>
  <si>
    <t>Rental Terminal Building Extension</t>
  </si>
  <si>
    <t>Rental Terminal Building</t>
  </si>
  <si>
    <t>General Fund - Cash Flow</t>
  </si>
  <si>
    <t>Water Fund - Cash Flow</t>
  </si>
  <si>
    <t xml:space="preserve">Buildings - Fit for the Future </t>
  </si>
  <si>
    <t xml:space="preserve">Open Spaces - Fit for the Future </t>
  </si>
  <si>
    <t>Fit for the Future Expenditure</t>
  </si>
  <si>
    <t>Healthy Waterways</t>
  </si>
  <si>
    <t>Richmond River</t>
  </si>
  <si>
    <t>Waterbodies</t>
  </si>
  <si>
    <t>Healthy Waterways Program</t>
  </si>
  <si>
    <t>FIT FOR THE FUTURE RESULTS</t>
  </si>
  <si>
    <t>Russellton Sales</t>
  </si>
  <si>
    <t>Water Consumption (172kl)</t>
  </si>
  <si>
    <t>2026/27</t>
  </si>
  <si>
    <t>Commercial Road A'ville - Car Park</t>
  </si>
  <si>
    <t>Ballina Gateway Airport</t>
  </si>
  <si>
    <t>Expenditure Year</t>
  </si>
  <si>
    <t>Funding Source 2026/27</t>
  </si>
  <si>
    <t>Wastewater Fund - Cash Flow</t>
  </si>
  <si>
    <t>FUNDS MOVEMENT</t>
  </si>
  <si>
    <t>2025/2026</t>
  </si>
  <si>
    <t>2026/2027</t>
  </si>
  <si>
    <t>Ferry Slippage</t>
  </si>
  <si>
    <t>Coastal Walk</t>
  </si>
  <si>
    <t xml:space="preserve">RESERVE BALANCES - GENERAL FUND </t>
  </si>
  <si>
    <t>Main Renewal - Shelly Beach Road</t>
  </si>
  <si>
    <t>Network Servers Pine Avenue</t>
  </si>
  <si>
    <t>Recycled Water Valve Angels Beach Drive</t>
  </si>
  <si>
    <t>Lennox - Epoxy Replacement</t>
  </si>
  <si>
    <t xml:space="preserve">Net Operating Result </t>
  </si>
  <si>
    <t>Tuckombil and Stokers Quarries</t>
  </si>
  <si>
    <t xml:space="preserve">Gallery Expansion </t>
  </si>
  <si>
    <t>Footpaths - Maintenance</t>
  </si>
  <si>
    <t>Footpaths - Inspections</t>
  </si>
  <si>
    <t xml:space="preserve">Shared Paths - Disabled Access </t>
  </si>
  <si>
    <t>Shared Paths - Inspections / Maintenance</t>
  </si>
  <si>
    <t xml:space="preserve">Pedestrian Access and Mobility Plan </t>
  </si>
  <si>
    <t>Unpaved Footpaths - Maintenance</t>
  </si>
  <si>
    <t>Shared Paths - Vegetation Management</t>
  </si>
  <si>
    <t>Sharpes Beach Car Park Rent</t>
  </si>
  <si>
    <t>Car Parking - Rates and Charges</t>
  </si>
  <si>
    <t>S 94 - River / Moon Sts Roundabout</t>
  </si>
  <si>
    <t>Quarry Rents</t>
  </si>
  <si>
    <t>Quarry Royalties</t>
  </si>
  <si>
    <t>Quarry Sales</t>
  </si>
  <si>
    <t>20002.1107.0166</t>
  </si>
  <si>
    <t>30002.1107.0401</t>
  </si>
  <si>
    <t>20001.1168.0061</t>
  </si>
  <si>
    <t>30003.1168.0401</t>
  </si>
  <si>
    <t>30001.1091.0401</t>
  </si>
  <si>
    <t>Public Art Projects</t>
  </si>
  <si>
    <t>26131.8919.0148</t>
  </si>
  <si>
    <t>35162.8919.0401</t>
  </si>
  <si>
    <t>26130.8907.0235</t>
  </si>
  <si>
    <t>31000.1320.0401</t>
  </si>
  <si>
    <t>Reduction to W544 SES building</t>
  </si>
  <si>
    <t>W546.9999.0401</t>
  </si>
  <si>
    <t>Reduction to W546 ALEC building</t>
  </si>
  <si>
    <t>24013.8917.</t>
  </si>
  <si>
    <t>Increase to W545 Wigmore Hall (Swift St)</t>
  </si>
  <si>
    <t>22101.3087.0166</t>
  </si>
  <si>
    <t>22101.4267.0148</t>
  </si>
  <si>
    <t>Ballina Floodplain Mgmt Plan - Gallens Rd</t>
  </si>
  <si>
    <t>22110.5214.0169</t>
  </si>
  <si>
    <t>Hutley Drive (Elevations Estate)</t>
  </si>
  <si>
    <t>2208.7777.0401</t>
  </si>
  <si>
    <t>W567.9999.0401</t>
  </si>
  <si>
    <t>W569.9999.0401</t>
  </si>
  <si>
    <t>Uralba Rd Bridge Deck Replacement</t>
  </si>
  <si>
    <t>2209.7777.0401</t>
  </si>
  <si>
    <t>Pearces Ck Rd Bridge Deck Replacement</t>
  </si>
  <si>
    <t>W570.9999.0401</t>
  </si>
  <si>
    <t>2211.7777.0401</t>
  </si>
  <si>
    <t>W561.9999.0401</t>
  </si>
  <si>
    <t>s94 Heavy Patching Gap Rd Culvert</t>
  </si>
  <si>
    <t>24015.6115.0169</t>
  </si>
  <si>
    <t>32326.6570.0401</t>
  </si>
  <si>
    <t>32325.8766.0401</t>
  </si>
  <si>
    <t>EPA Licence Fees</t>
  </si>
  <si>
    <t>22265.0415.0235</t>
  </si>
  <si>
    <t>Outgoings (Rates) Recovered</t>
  </si>
  <si>
    <t>32340.7926.0401</t>
  </si>
  <si>
    <t>BIS Training</t>
  </si>
  <si>
    <t>35057.7988.0401</t>
  </si>
  <si>
    <t>Halls Risk Management Project</t>
  </si>
  <si>
    <t>2301.7969.0401</t>
  </si>
  <si>
    <t>2301.7970.0401</t>
  </si>
  <si>
    <t>35040.7926.0401</t>
  </si>
  <si>
    <t>Airport Lease Rentals</t>
  </si>
  <si>
    <t>26100.4125.0135</t>
  </si>
  <si>
    <t>Landing Fees ABaSS</t>
  </si>
  <si>
    <t>2351.4188.0401</t>
  </si>
  <si>
    <t>50005.7926.0401</t>
  </si>
  <si>
    <t>50005.4584.0401</t>
  </si>
  <si>
    <t>55002.7926.0401</t>
  </si>
  <si>
    <t>Fishery Ck and Canal Br Balustrades</t>
  </si>
  <si>
    <t>Performance Management Module</t>
  </si>
  <si>
    <t>Onboarding Module</t>
  </si>
  <si>
    <t>S94 Heavy Patching funded from revenue (per Alex D)</t>
  </si>
  <si>
    <t>Ballina Indoor Sports Centre - Stadium</t>
  </si>
  <si>
    <t>Ballina Indoor Sports Centre - Room Hire</t>
  </si>
  <si>
    <t xml:space="preserve">Certified Air Ground Radio Service </t>
  </si>
  <si>
    <t>Special Rate Variation Check</t>
  </si>
  <si>
    <t>Less works allocated</t>
  </si>
  <si>
    <t>Ballina Swimming Pool - Stage One</t>
  </si>
  <si>
    <t>Alstonville Swimming Pool - Stage Two</t>
  </si>
  <si>
    <t>Alstonville Swimming Pool - Stage One</t>
  </si>
  <si>
    <t>Ballina Swimming Pool - Stage Two</t>
  </si>
  <si>
    <t>Ballina - Stage One</t>
  </si>
  <si>
    <t>Alstonville - Stage One</t>
  </si>
  <si>
    <t>Ballina - Stage Two</t>
  </si>
  <si>
    <t>Alstonville - Stage Two</t>
  </si>
  <si>
    <t>This loan borrowed September 2017</t>
  </si>
  <si>
    <t>RMS 3x3 Supplementary Block grant</t>
  </si>
  <si>
    <t>Rounding adjustment re Fit for Future increases</t>
  </si>
  <si>
    <t>Fit for the Future Indicator</t>
  </si>
  <si>
    <t>Asset Maintenance Ratio</t>
  </si>
  <si>
    <t>Miscellaneous Revenues</t>
  </si>
  <si>
    <t>Corporate Office Expenses</t>
  </si>
  <si>
    <t>Records</t>
  </si>
  <si>
    <t>COMMUNITY FACILITIES</t>
  </si>
  <si>
    <t>35051.7969.0401</t>
  </si>
  <si>
    <t>35051.7970.0401</t>
  </si>
  <si>
    <t>21001.1458.0062</t>
  </si>
  <si>
    <t>21001.1463.0062</t>
  </si>
  <si>
    <t>Regional Works Crew Supervision</t>
  </si>
  <si>
    <t>Arborist</t>
  </si>
  <si>
    <t>Urban Street Tree Maintenance</t>
  </si>
  <si>
    <t>Basalt Court Reservoir</t>
  </si>
  <si>
    <t>55002.3586.0401</t>
  </si>
  <si>
    <t>Training</t>
  </si>
  <si>
    <t>60022.3585.0401</t>
  </si>
  <si>
    <t>35055.        .0401</t>
  </si>
  <si>
    <t>Health Monitioring</t>
  </si>
  <si>
    <t>Significant Tree Register</t>
  </si>
  <si>
    <t>Marom Creek WTP - Upgrade</t>
  </si>
  <si>
    <t>Airport Pump Station - Well Refurbishment</t>
  </si>
  <si>
    <t>Pump Station Control Upgrade</t>
  </si>
  <si>
    <t>Portable Belt Presee Upgrade</t>
  </si>
  <si>
    <t>Ballina - Contaminated Vac Ex Waste Receival</t>
  </si>
  <si>
    <t>Treatment Plant Master Plan</t>
  </si>
  <si>
    <t>Lennox - Membrane Replacement</t>
  </si>
  <si>
    <t>Karaluren Close, Lennox Head PS</t>
  </si>
  <si>
    <t>Forklift for Ballina WWTP</t>
  </si>
  <si>
    <t>Backhoe</t>
  </si>
  <si>
    <t>Bypass Pump</t>
  </si>
  <si>
    <t>Computer Software and Subscriptions</t>
  </si>
  <si>
    <t xml:space="preserve">Office and Depot Facilities </t>
  </si>
  <si>
    <t>Community Buildings Maintenance</t>
  </si>
  <si>
    <t>Open Spaces Buildings Maintenance</t>
  </si>
  <si>
    <t>Roads - Airport Boulevard</t>
  </si>
  <si>
    <t>Sale Land for Sports Centre</t>
  </si>
  <si>
    <t>Henderson Farm Residual or ARC</t>
  </si>
  <si>
    <t>Landing Fees Other (ABaSS Exempt)</t>
  </si>
  <si>
    <t>Contributions - Fire Station, NDB etc</t>
  </si>
  <si>
    <t>26100</t>
  </si>
  <si>
    <t>Terminal</t>
  </si>
  <si>
    <t>State - Airport Taxiway (RTIF)</t>
  </si>
  <si>
    <t>State - Terminal (RTIF)</t>
  </si>
  <si>
    <t>Airport Dividend</t>
  </si>
  <si>
    <t xml:space="preserve">Apron </t>
  </si>
  <si>
    <t>Museum and Gallery NSW Audience</t>
  </si>
  <si>
    <t>Env Health Education / Projects</t>
  </si>
  <si>
    <t>Astonville Main Street Lights (Private Circuit)</t>
  </si>
  <si>
    <t>Ballina Main Street Lights (Private Circuit)</t>
  </si>
  <si>
    <t>Performance Management Software</t>
  </si>
  <si>
    <t>Onboarding Software Support</t>
  </si>
  <si>
    <t xml:space="preserve">Gallery Stock Sales </t>
  </si>
  <si>
    <t>Gallery Commission on Sales</t>
  </si>
  <si>
    <t>Fire Station Casual Room Bookings</t>
  </si>
  <si>
    <t>Houghlahans Creek Rd Culverts</t>
  </si>
  <si>
    <t>Tide Gates to Urban Streets</t>
  </si>
  <si>
    <t>Pine Avenue, East Ballina</t>
  </si>
  <si>
    <t>Burnett St, Ballina</t>
  </si>
  <si>
    <t>Alston Ave, Alstonville</t>
  </si>
  <si>
    <t>Hill St refuge, East Ballina</t>
  </si>
  <si>
    <t>Chickiba Dr, East Ballina</t>
  </si>
  <si>
    <t>Tamar St seg 30</t>
  </si>
  <si>
    <t>Cherry St seg 220-230</t>
  </si>
  <si>
    <t>Saunders Oval Lighting</t>
  </si>
  <si>
    <t>North Missingham (Rebuild)</t>
  </si>
  <si>
    <t>22231.8837.0235</t>
  </si>
  <si>
    <t>Banner Sales Expense</t>
  </si>
  <si>
    <t>32262.7725.0401</t>
  </si>
  <si>
    <t>32262.5444.0401</t>
  </si>
  <si>
    <t>Water Meter - Conversion of Meters</t>
  </si>
  <si>
    <t>New Inlet - Lennox Reservoir</t>
  </si>
  <si>
    <t xml:space="preserve">SP2401 - Power Drive Pumps </t>
  </si>
  <si>
    <t>Swift St Pump Station / Pipework Refurb</t>
  </si>
  <si>
    <t>East Ballina Master Plan</t>
  </si>
  <si>
    <t>Communications</t>
  </si>
  <si>
    <t>COMMUNICATIONS</t>
  </si>
  <si>
    <t>COMMUNICATIONS (cont'd)</t>
  </si>
  <si>
    <t>Stormwater - Management Plans</t>
  </si>
  <si>
    <t xml:space="preserve">Landfill - Organics Processing </t>
  </si>
  <si>
    <t>Boat Channel Outlet Tide Flap</t>
  </si>
  <si>
    <t>58 Riverside Dr</t>
  </si>
  <si>
    <t>Coast Roads Tobin Close to B'dary</t>
  </si>
  <si>
    <t>Synthetic Hockey Field</t>
  </si>
  <si>
    <t>Buildings AMP - Ferry Shed</t>
  </si>
  <si>
    <t>Buildings AMP - Hall Swift Street</t>
  </si>
  <si>
    <t>Buildings AMP - VIC Facilities</t>
  </si>
  <si>
    <t>Lake Ainsworth / Wollongbar Fields</t>
  </si>
  <si>
    <t>Vacuum Excavation Equipment</t>
  </si>
  <si>
    <t>Demolish Grays Lane Reservoir</t>
  </si>
  <si>
    <t>Recycled Water Bulk User Smart Metering</t>
  </si>
  <si>
    <t>Chickiba Pump Station Refurbishment</t>
  </si>
  <si>
    <t>Security at Lennox and Ballina</t>
  </si>
  <si>
    <t>Ballina - Programed membrane</t>
  </si>
  <si>
    <t>Alstonville - Biosolids Management</t>
  </si>
  <si>
    <t>Alstonville - SCADA Upgrade</t>
  </si>
  <si>
    <t>Software Purchases</t>
  </si>
  <si>
    <t>Fire Station Operating Expenses</t>
  </si>
  <si>
    <t>PUBLIC ORDER</t>
  </si>
  <si>
    <t>Buildings - LRM Dividend</t>
  </si>
  <si>
    <t>Community Property</t>
  </si>
  <si>
    <t>Commercial Use of Footpaths</t>
  </si>
  <si>
    <t>20002.1111.0166</t>
  </si>
  <si>
    <t>20002.1170.0166</t>
  </si>
  <si>
    <t>30002.1097.0401</t>
  </si>
  <si>
    <t>30005.1128.0401</t>
  </si>
  <si>
    <t>21022.1482.0062</t>
  </si>
  <si>
    <t>21020.1458.0062</t>
  </si>
  <si>
    <t>Fire Service Notification Fee</t>
  </si>
  <si>
    <t>Rates (Internal)</t>
  </si>
  <si>
    <t>30023.7879.0401</t>
  </si>
  <si>
    <t>2105.8920.0401</t>
  </si>
  <si>
    <t>Gallery</t>
  </si>
  <si>
    <t>22220.8398.0180</t>
  </si>
  <si>
    <t>35005.7542.0401</t>
  </si>
  <si>
    <t>35015.7721.0640</t>
  </si>
  <si>
    <t>Emergency Services Levy</t>
  </si>
  <si>
    <t>26025.4124.0166</t>
  </si>
  <si>
    <t>35020.4124.0401</t>
  </si>
  <si>
    <t>Heavy Patching and reseals</t>
  </si>
  <si>
    <t>Increase to W505 Skennars Hd Rd</t>
  </si>
  <si>
    <t>Increase to W506 Skinner St</t>
  </si>
  <si>
    <t>Decrease to W508 Sunnybank Dr</t>
  </si>
  <si>
    <t>Decrease to W511 Swift St</t>
  </si>
  <si>
    <t>Increase to W522 Gibbon rd</t>
  </si>
  <si>
    <t>Increase to W514 Friday Hut Rd</t>
  </si>
  <si>
    <t>Increase to W520 Horizon dr</t>
  </si>
  <si>
    <t>Decrease to W521 Park Lane</t>
  </si>
  <si>
    <t>Increase to W524 Sneaths Rd</t>
  </si>
  <si>
    <t>Footpath Asset Renewals</t>
  </si>
  <si>
    <t>2374.7777.0401</t>
  </si>
  <si>
    <t>W575.9999.0401</t>
  </si>
  <si>
    <t>Bulwinkel Park Play Equipment</t>
  </si>
  <si>
    <t>Porter Park Play Equipment</t>
  </si>
  <si>
    <t>Rubiton Park Play Equipment</t>
  </si>
  <si>
    <t>2134.5334.0401</t>
  </si>
  <si>
    <t>W572.9999.0401</t>
  </si>
  <si>
    <t>2134.5335.0401</t>
  </si>
  <si>
    <t>W573.9999.0401</t>
  </si>
  <si>
    <t>2134.5336.0401</t>
  </si>
  <si>
    <t>W574.9999.0401</t>
  </si>
  <si>
    <t>Sharpes Beach Observation Tower</t>
  </si>
  <si>
    <t>W568.9999.0401</t>
  </si>
  <si>
    <t>Wbar &amp; Aville Rugby Club Contributions</t>
  </si>
  <si>
    <t>Emergency Services Grant</t>
  </si>
  <si>
    <t>Emergency Service Levy</t>
  </si>
  <si>
    <t>Elson Dixon Employment</t>
  </si>
  <si>
    <t>26050.7932.0300</t>
  </si>
  <si>
    <t>35050.7932.0300</t>
  </si>
  <si>
    <t>22150.4481.0165</t>
  </si>
  <si>
    <t>32132.4481.0401</t>
  </si>
  <si>
    <t>Fernleigh Road seg 10</t>
  </si>
  <si>
    <t>Links Avenue seg 60</t>
  </si>
  <si>
    <t>Marom Creek Road seg 130</t>
  </si>
  <si>
    <t>River Drive seg 90</t>
  </si>
  <si>
    <t>Burnet Street seg 80</t>
  </si>
  <si>
    <t>Fernleigh Road seg 70</t>
  </si>
  <si>
    <t>Simmons Street seg 20</t>
  </si>
  <si>
    <t>Northumberland Drive seg 10</t>
  </si>
  <si>
    <t>Wardell Road seg 70 and 80</t>
  </si>
  <si>
    <t>River Drive seg 140</t>
  </si>
  <si>
    <t>32021.0415.0690</t>
  </si>
  <si>
    <t>Printing and Stationary</t>
  </si>
  <si>
    <t>30025.0374.0640</t>
  </si>
  <si>
    <t>W562.9999.0401</t>
  </si>
  <si>
    <t xml:space="preserve">Ballina Flood Management Plan </t>
  </si>
  <si>
    <t>COMMUNITY FACILITIES (cont'd)</t>
  </si>
  <si>
    <t>Private Works Paid in Advance</t>
  </si>
  <si>
    <t xml:space="preserve">Lennox Surf Club </t>
  </si>
  <si>
    <t xml:space="preserve">RMS </t>
  </si>
  <si>
    <t>Less Lake Ainsworth Works Funded from Other Revenue Sources</t>
  </si>
  <si>
    <t>Lake Ainsworth Upgrades</t>
  </si>
  <si>
    <t>River St - Moon to Grant</t>
  </si>
  <si>
    <t>Park Improvements</t>
  </si>
  <si>
    <t>Park Improvements - LRM Dividend</t>
  </si>
  <si>
    <t>Ballina Town Entry Statements</t>
  </si>
  <si>
    <t>2344.8718.401</t>
  </si>
  <si>
    <t>2320.3434.401</t>
  </si>
  <si>
    <t>W577.9999.401</t>
  </si>
  <si>
    <t>Lennox Head Community Centre - Cladding</t>
  </si>
  <si>
    <t>Lennox Head Community Centre - Painting</t>
  </si>
  <si>
    <t>W578.9999.401</t>
  </si>
  <si>
    <t>Ballina Surf Club - Painiting</t>
  </si>
  <si>
    <t>W579.9999.401</t>
  </si>
  <si>
    <t>Kentwell Community Centre - Painting</t>
  </si>
  <si>
    <t>W580.9999.401</t>
  </si>
  <si>
    <t>Alstronville Pool - Building Repaint</t>
  </si>
  <si>
    <t>W581.9999.401</t>
  </si>
  <si>
    <t>W482.9999.0401</t>
  </si>
  <si>
    <t>W582.9999.0401</t>
  </si>
  <si>
    <t>2376.7777.0401</t>
  </si>
  <si>
    <t>2377.7777.0401</t>
  </si>
  <si>
    <t>W583.9999.0401</t>
  </si>
  <si>
    <t>2210.6027.0401</t>
  </si>
  <si>
    <t>W584.9999.0401</t>
  </si>
  <si>
    <t>Kerr St (Tamar St to Richmond River)</t>
  </si>
  <si>
    <t>2378.7777.0401</t>
  </si>
  <si>
    <t>W585.9999.0401</t>
  </si>
  <si>
    <t>2379.7777.0401</t>
  </si>
  <si>
    <t>W586.9999.0401</t>
  </si>
  <si>
    <t>2380.7777.0401</t>
  </si>
  <si>
    <t>W587.9999.0401</t>
  </si>
  <si>
    <t>2381.7777.0401</t>
  </si>
  <si>
    <t>W588.9999.0401</t>
  </si>
  <si>
    <t>2382.7777.0401</t>
  </si>
  <si>
    <t>W589.9999.0401</t>
  </si>
  <si>
    <t>2383.7777.0401</t>
  </si>
  <si>
    <t>2384.7777.0401</t>
  </si>
  <si>
    <t>2385.7777.0401</t>
  </si>
  <si>
    <t>W590.9999.0401</t>
  </si>
  <si>
    <t>W591.9999.0401</t>
  </si>
  <si>
    <t>W592.9999.0401</t>
  </si>
  <si>
    <t>2386.7777.0401</t>
  </si>
  <si>
    <t>W593.9999.0401</t>
  </si>
  <si>
    <t>Pimlico Road Seg 40</t>
  </si>
  <si>
    <t>2387.7777.0401</t>
  </si>
  <si>
    <t>W594.9999.0401</t>
  </si>
  <si>
    <t>2388.7777.0401</t>
  </si>
  <si>
    <t>W595.9999.0401</t>
  </si>
  <si>
    <t>2389.7777.0401</t>
  </si>
  <si>
    <t>W596.9999.0401</t>
  </si>
  <si>
    <t>2390.7777.0401</t>
  </si>
  <si>
    <t>W597.9999.0401</t>
  </si>
  <si>
    <t>Chickiba Dr/Links Ave, East Ballina Refuge</t>
  </si>
  <si>
    <t>W598.9999.0401</t>
  </si>
  <si>
    <t>2392.7777.0401</t>
  </si>
  <si>
    <t>W599.9999.0401</t>
  </si>
  <si>
    <t>2393.7777.0401</t>
  </si>
  <si>
    <t>2394.7777.0401</t>
  </si>
  <si>
    <t>2395.7777.0401</t>
  </si>
  <si>
    <t>2396.7777.0401</t>
  </si>
  <si>
    <t>2397.7777.0401</t>
  </si>
  <si>
    <t>W600.9999.0401</t>
  </si>
  <si>
    <t>W601.9999.0401</t>
  </si>
  <si>
    <t>W602.9999.0401</t>
  </si>
  <si>
    <t>W603.9999.0401</t>
  </si>
  <si>
    <t>W604.9999.0401</t>
  </si>
  <si>
    <t>Shared Path East (Coast Road)</t>
  </si>
  <si>
    <t>2207.5891.0401</t>
  </si>
  <si>
    <t>W605.9999.0401</t>
  </si>
  <si>
    <t>7001.3852.0401</t>
  </si>
  <si>
    <t>W606.9999.0401</t>
  </si>
  <si>
    <t>7001.3853.0401</t>
  </si>
  <si>
    <t>W607.9999.0401</t>
  </si>
  <si>
    <t>Smart Water Meter Network</t>
  </si>
  <si>
    <t>7002.3860.0401</t>
  </si>
  <si>
    <t>W608.9999.0401</t>
  </si>
  <si>
    <t>7005.3869.0401</t>
  </si>
  <si>
    <t>W621.9999.0401</t>
  </si>
  <si>
    <t>PRV at Water Wheels</t>
  </si>
  <si>
    <t>7006.5269.0401</t>
  </si>
  <si>
    <t>W609.9999.0401</t>
  </si>
  <si>
    <t>7007.3933.0401</t>
  </si>
  <si>
    <t>W610.9999.0401</t>
  </si>
  <si>
    <t>7503.4866.0401</t>
  </si>
  <si>
    <t>W611.9999.0401</t>
  </si>
  <si>
    <t>7503.4870.0401</t>
  </si>
  <si>
    <t>W612.9999.0401</t>
  </si>
  <si>
    <t>7503.4872.0401</t>
  </si>
  <si>
    <t>W613.9999.0401</t>
  </si>
  <si>
    <t>W576.9999.0401</t>
  </si>
  <si>
    <t>7502.4837.0401</t>
  </si>
  <si>
    <t>7503.4873.0401</t>
  </si>
  <si>
    <t>W614.9999.0401</t>
  </si>
  <si>
    <t>7504.3932.0401</t>
  </si>
  <si>
    <t>W615.9999.0401</t>
  </si>
  <si>
    <t>7504.3931.0401</t>
  </si>
  <si>
    <t>W616.9999.0401</t>
  </si>
  <si>
    <t>7526.4822.0401</t>
  </si>
  <si>
    <t>W617.9999.0401</t>
  </si>
  <si>
    <t>W618.9999.0401</t>
  </si>
  <si>
    <t>7526.4823.0401</t>
  </si>
  <si>
    <t>7508.4997.0401</t>
  </si>
  <si>
    <t>W619.9999.0401</t>
  </si>
  <si>
    <t>W620.9999.0401</t>
  </si>
  <si>
    <t>2200.4189.0401</t>
  </si>
  <si>
    <t>2398.7777.0401</t>
  </si>
  <si>
    <t>W622.9999.0401</t>
  </si>
  <si>
    <t>7009.3930.0401</t>
  </si>
  <si>
    <t>W624.9999.0401</t>
  </si>
  <si>
    <t>7532.4954.0401</t>
  </si>
  <si>
    <t>W623.9999.0401</t>
  </si>
  <si>
    <t>Internal Audit</t>
  </si>
  <si>
    <t>Festivals and Events Support</t>
  </si>
  <si>
    <t>Councillor Fees</t>
  </si>
  <si>
    <t>Councillor Meeting Expenses</t>
  </si>
  <si>
    <t>Councillor Stationery and Equipment</t>
  </si>
  <si>
    <t>Councillor Telephones</t>
  </si>
  <si>
    <t>Civic Activities - Insurance</t>
  </si>
  <si>
    <t>Mayor - Vehicle and Travelling</t>
  </si>
  <si>
    <t>Councillor - Travelling Expenses</t>
  </si>
  <si>
    <t>Councillor - Training and Development</t>
  </si>
  <si>
    <t>Elections</t>
  </si>
  <si>
    <t>Councillor - Induction Training</t>
  </si>
  <si>
    <t>30001.3106.0401</t>
  </si>
  <si>
    <t>26088.4156.0233</t>
  </si>
  <si>
    <t>26088.7700.0138</t>
  </si>
  <si>
    <t>26088.8678.0124</t>
  </si>
  <si>
    <t>35112.0350.0401</t>
  </si>
  <si>
    <t>35112.0374.0640</t>
  </si>
  <si>
    <t>35112.0375.0401</t>
  </si>
  <si>
    <t>35112.0410.0635</t>
  </si>
  <si>
    <t>35112.0415.0690</t>
  </si>
  <si>
    <t>35112.4156.0401</t>
  </si>
  <si>
    <t>35112.0420.0401</t>
  </si>
  <si>
    <t>35112.0425.0401</t>
  </si>
  <si>
    <t>35112.0460.0401</t>
  </si>
  <si>
    <t>35112.2250.0401</t>
  </si>
  <si>
    <t>35112.4144.0647</t>
  </si>
  <si>
    <t>26130.7733.0138</t>
  </si>
  <si>
    <t>35162.0369.0401</t>
  </si>
  <si>
    <t>35162.7739.0401</t>
  </si>
  <si>
    <t>32330.6654.0647</t>
  </si>
  <si>
    <t>31045.3108.0401</t>
  </si>
  <si>
    <t>22151.0111.0138</t>
  </si>
  <si>
    <t>32130.4482.0401</t>
  </si>
  <si>
    <t>32130.4483.0401</t>
  </si>
  <si>
    <t>22220.5066.0179</t>
  </si>
  <si>
    <t>32267.5426.0401</t>
  </si>
  <si>
    <t>24006.8921.0950</t>
  </si>
  <si>
    <t>W625.9999.0401</t>
  </si>
  <si>
    <t>21001.1482.0062</t>
  </si>
  <si>
    <t>24003.4029.0160</t>
  </si>
  <si>
    <t>24004.4034.0160</t>
  </si>
  <si>
    <t>24000.4160.0940</t>
  </si>
  <si>
    <t>26100.4123.0226</t>
  </si>
  <si>
    <t>26130.8885.0235</t>
  </si>
  <si>
    <t>30023.0371.0501</t>
  </si>
  <si>
    <t>30023.0372.0600</t>
  </si>
  <si>
    <t>31063.1821.0401</t>
  </si>
  <si>
    <t>35008.7592.0619</t>
  </si>
  <si>
    <t>35125.4127.0401</t>
  </si>
  <si>
    <t>55002.4806.0401</t>
  </si>
  <si>
    <t>55000.8397.0300</t>
  </si>
  <si>
    <t>50005.3572.0690</t>
  </si>
  <si>
    <t>55002.3572.0690</t>
  </si>
  <si>
    <t>30001.5429.0401</t>
  </si>
  <si>
    <t>Workshop Crane - Major Maintenance</t>
  </si>
  <si>
    <t>Stormwater - Fit for the Future</t>
  </si>
  <si>
    <t xml:space="preserve">Roads - Fit for Future </t>
  </si>
  <si>
    <t>Recycled water meters new</t>
  </si>
  <si>
    <t>W557.9999.0401</t>
  </si>
  <si>
    <t>Rate Pegging / Special Variation Percentage (%) (1)</t>
  </si>
  <si>
    <t>Estimated extra income as per application</t>
  </si>
  <si>
    <t>Plans of Management</t>
  </si>
  <si>
    <t>30003.1027.0401</t>
  </si>
  <si>
    <t>Planning Agreement Wavebreak</t>
  </si>
  <si>
    <t>35107.8583.0401</t>
  </si>
  <si>
    <t>Northlakes Hall</t>
  </si>
  <si>
    <t>Property Assessments</t>
  </si>
  <si>
    <t>Ocean Pool - Shelley Beach</t>
  </si>
  <si>
    <t>W626.9999.0401</t>
  </si>
  <si>
    <t>W497.9999.0401</t>
  </si>
  <si>
    <t>Lake Ainsworth Southern Precinct Improvements</t>
  </si>
  <si>
    <t>W630.9999.0401</t>
  </si>
  <si>
    <t>River Dr (R2R)</t>
  </si>
  <si>
    <t>Community Events</t>
  </si>
  <si>
    <t>Baseline Survey</t>
  </si>
  <si>
    <t>Increase to WO146, W561 and W150</t>
  </si>
  <si>
    <t>costing_ledger</t>
  </si>
  <si>
    <t>p12_actual_ytd</t>
  </si>
  <si>
    <t>32110.0690.0805</t>
  </si>
  <si>
    <t>50112.0690.0805</t>
  </si>
  <si>
    <t>32100.0690.0805</t>
  </si>
  <si>
    <t>35120.0690.0805</t>
  </si>
  <si>
    <t>55022.0690.0805</t>
  </si>
  <si>
    <t>32340.0690.0805</t>
  </si>
  <si>
    <t>32266.0690.0805</t>
  </si>
  <si>
    <t>35120.0690.0802</t>
  </si>
  <si>
    <t>32100.0690.0802</t>
  </si>
  <si>
    <t>50112.0690.0802</t>
  </si>
  <si>
    <t>32110.0690.0802</t>
  </si>
  <si>
    <t>55022.0690.0802</t>
  </si>
  <si>
    <t>32320.0690.0802</t>
  </si>
  <si>
    <t>32266.0690.0802</t>
  </si>
  <si>
    <t>32000.0690.0802</t>
  </si>
  <si>
    <t>50112.0690.0801</t>
  </si>
  <si>
    <t>32320.0690.0801</t>
  </si>
  <si>
    <t>12010.4515.0800</t>
  </si>
  <si>
    <t>10012.6370.0800</t>
  </si>
  <si>
    <t>35058.7983.0985</t>
  </si>
  <si>
    <t>35009.7616.0985</t>
  </si>
  <si>
    <t>35058.7982.0985</t>
  </si>
  <si>
    <t>35009.7617.0980</t>
  </si>
  <si>
    <t>55022.3585.0970</t>
  </si>
  <si>
    <t>55020.3806.0970</t>
  </si>
  <si>
    <t>55020.4716.0970</t>
  </si>
  <si>
    <t>55023.3738.0970</t>
  </si>
  <si>
    <t>55022.3734.0970</t>
  </si>
  <si>
    <t>55020.3737.0970</t>
  </si>
  <si>
    <t>55020.3740.0970</t>
  </si>
  <si>
    <t>55020.3743.0970</t>
  </si>
  <si>
    <t>55013.4662.0970</t>
  </si>
  <si>
    <t>55014.4663.0970</t>
  </si>
  <si>
    <t>55014.4666.0970</t>
  </si>
  <si>
    <t>55011.4668.0970</t>
  </si>
  <si>
    <t>55010.4667.0970</t>
  </si>
  <si>
    <t>55010.4664.0970</t>
  </si>
  <si>
    <t>55010.4661.0970</t>
  </si>
  <si>
    <t>50110.3722.0970</t>
  </si>
  <si>
    <t>50110.3708.0970</t>
  </si>
  <si>
    <t>50111.3712.0970</t>
  </si>
  <si>
    <t>32496.8947.0970</t>
  </si>
  <si>
    <t>32496.8953.0970</t>
  </si>
  <si>
    <t>55023.3798.0970</t>
  </si>
  <si>
    <t>55023.4717.0970</t>
  </si>
  <si>
    <t>60010.4661.0970</t>
  </si>
  <si>
    <t>60023.4668.0970</t>
  </si>
  <si>
    <t>32361.6729.0970</t>
  </si>
  <si>
    <t>32364.7351.0970</t>
  </si>
  <si>
    <t>32286.5900.0970</t>
  </si>
  <si>
    <t>32312.6172.0970</t>
  </si>
  <si>
    <t>32300.6000.0970</t>
  </si>
  <si>
    <t>32286.5903.0970</t>
  </si>
  <si>
    <t>32310.6138.0970</t>
  </si>
  <si>
    <t>32348.7057.0970</t>
  </si>
  <si>
    <t>32345.6999.0970</t>
  </si>
  <si>
    <t>32344.6929.0970</t>
  </si>
  <si>
    <t>32344.6932.0970</t>
  </si>
  <si>
    <t>32342.6898.0970</t>
  </si>
  <si>
    <t>32342.6901.0970</t>
  </si>
  <si>
    <t>32312.6192.0970</t>
  </si>
  <si>
    <t>50108.3691.0970</t>
  </si>
  <si>
    <t>50106.3703.0970</t>
  </si>
  <si>
    <t>50106.3666.0970</t>
  </si>
  <si>
    <t>32497.8951.0970</t>
  </si>
  <si>
    <t>32497.8957.0970</t>
  </si>
  <si>
    <t>32497.6644.0970</t>
  </si>
  <si>
    <t>32497.8934.0970</t>
  </si>
  <si>
    <t>32497.8937.0970</t>
  </si>
  <si>
    <t>32497.8931.0970</t>
  </si>
  <si>
    <t>35078.0530.0970</t>
  </si>
  <si>
    <t>35145.8763.0970</t>
  </si>
  <si>
    <t>35125.4139.0970</t>
  </si>
  <si>
    <t>35125.4159.0970</t>
  </si>
  <si>
    <t>32262.5373.0970</t>
  </si>
  <si>
    <t>32264.6180.0970</t>
  </si>
  <si>
    <t>32266.5401.0970</t>
  </si>
  <si>
    <t>32262.5768.0970</t>
  </si>
  <si>
    <t>32267.5422.0970</t>
  </si>
  <si>
    <t>32242.3474.0970</t>
  </si>
  <si>
    <t>32243.3464.0970</t>
  </si>
  <si>
    <t>32242.3477.0970</t>
  </si>
  <si>
    <t>32251.5543.0970</t>
  </si>
  <si>
    <t>32251.3462.0970</t>
  </si>
  <si>
    <t>32251.5546.0970</t>
  </si>
  <si>
    <t>32262.5359.0970</t>
  </si>
  <si>
    <t>32262.5356.0970</t>
  </si>
  <si>
    <t>32262.5353.0970</t>
  </si>
  <si>
    <t>32110.3235.0970</t>
  </si>
  <si>
    <t>32111.3465.0970</t>
  </si>
  <si>
    <t>32111.3468.0970</t>
  </si>
  <si>
    <t>32112.3472.0970</t>
  </si>
  <si>
    <t>32113.3476.0970</t>
  </si>
  <si>
    <t>32114.3460.0970</t>
  </si>
  <si>
    <t>32115.3464.0970</t>
  </si>
  <si>
    <t>32115.3467.0970</t>
  </si>
  <si>
    <t>32120.3287.0970</t>
  </si>
  <si>
    <t>32240.3463.0970</t>
  </si>
  <si>
    <t>32240.5544.0970</t>
  </si>
  <si>
    <t>32242.3460.0970</t>
  </si>
  <si>
    <t>32200.4019.0970</t>
  </si>
  <si>
    <t>32119.3469.0970</t>
  </si>
  <si>
    <t>30021.1157.0970</t>
  </si>
  <si>
    <t>30023.8579.0970</t>
  </si>
  <si>
    <t>31083.1968.0970</t>
  </si>
  <si>
    <t>31061.1810.0970</t>
  </si>
  <si>
    <t>32022.2582.0970</t>
  </si>
  <si>
    <t>32022.2579.0970</t>
  </si>
  <si>
    <t>32011.2248.0970</t>
  </si>
  <si>
    <t>32095.3065.0970</t>
  </si>
  <si>
    <t>32099.3064.0970</t>
  </si>
  <si>
    <t>32108.3473.0970</t>
  </si>
  <si>
    <t>55014.4669.0970</t>
  </si>
  <si>
    <t>55013.4665.0970</t>
  </si>
  <si>
    <t>55013.4668.0970</t>
  </si>
  <si>
    <t>55015.3763.0970</t>
  </si>
  <si>
    <t>55020.3746.0970</t>
  </si>
  <si>
    <t>55020.3769.0970</t>
  </si>
  <si>
    <t>55020.3766.0970</t>
  </si>
  <si>
    <t>55020.3772.0970</t>
  </si>
  <si>
    <t>55020.3786.0970</t>
  </si>
  <si>
    <t>55020.3792.0970</t>
  </si>
  <si>
    <t>55020.3789.0970</t>
  </si>
  <si>
    <t>55020.3809.0970</t>
  </si>
  <si>
    <t>55020.3812.0970</t>
  </si>
  <si>
    <t>55022.4799.0970</t>
  </si>
  <si>
    <t>55023.3784.0970</t>
  </si>
  <si>
    <t>55023.3804.0970</t>
  </si>
  <si>
    <t>60010.4664.0970</t>
  </si>
  <si>
    <t>55023.3744.0970</t>
  </si>
  <si>
    <t>55023.3767.0970</t>
  </si>
  <si>
    <t>60025.4665.0970</t>
  </si>
  <si>
    <t>60010.4667.0970</t>
  </si>
  <si>
    <t>60022.4756.0970</t>
  </si>
  <si>
    <t>30023.1157.0970</t>
  </si>
  <si>
    <t>32011.2240.0970</t>
  </si>
  <si>
    <t>32001.2285.0970</t>
  </si>
  <si>
    <t>32022.5462.0970</t>
  </si>
  <si>
    <t>32022.1964.0970</t>
  </si>
  <si>
    <t>35125.4145.0970</t>
  </si>
  <si>
    <t>50105.3667.0970</t>
  </si>
  <si>
    <t>50105.3670.0970</t>
  </si>
  <si>
    <t>50105.3673.0970</t>
  </si>
  <si>
    <t>50106.3677.0970</t>
  </si>
  <si>
    <t>50106.3717.0970</t>
  </si>
  <si>
    <t>55010.4670.0970</t>
  </si>
  <si>
    <t>50113.3734.0970</t>
  </si>
  <si>
    <t>50111.3723.0970</t>
  </si>
  <si>
    <t>50112.3730.0970</t>
  </si>
  <si>
    <t>50110.3716.0970</t>
  </si>
  <si>
    <t>50111.3703.0970</t>
  </si>
  <si>
    <t>50108.3685.0970</t>
  </si>
  <si>
    <t>50107.3684.0970</t>
  </si>
  <si>
    <t>32102.3094.0970</t>
  </si>
  <si>
    <t>32119.3478.0970</t>
  </si>
  <si>
    <t>32120.3270.0970</t>
  </si>
  <si>
    <t>32125.3302.0970</t>
  </si>
  <si>
    <t>32132.4232.0970</t>
  </si>
  <si>
    <t>32132.4238.0970</t>
  </si>
  <si>
    <t>35076.0425.0970</t>
  </si>
  <si>
    <t>32497.8940.0970</t>
  </si>
  <si>
    <t>32497.8943.0970</t>
  </si>
  <si>
    <t>32497.8960.0970</t>
  </si>
  <si>
    <t>35031.0425.0970</t>
  </si>
  <si>
    <t>35040.7904.0970</t>
  </si>
  <si>
    <t>35051.7946.0970</t>
  </si>
  <si>
    <t>55020.3765.0970</t>
  </si>
  <si>
    <t>55020.3767.0970</t>
  </si>
  <si>
    <t>55020.3770.0970</t>
  </si>
  <si>
    <t>55020.3771.0970</t>
  </si>
  <si>
    <t>55020.3773.0970</t>
  </si>
  <si>
    <t>55020.3784.0970</t>
  </si>
  <si>
    <t>55020.3785.0970</t>
  </si>
  <si>
    <t>55020.3788.0970</t>
  </si>
  <si>
    <t>55020.3790.0970</t>
  </si>
  <si>
    <t>55020.3791.0970</t>
  </si>
  <si>
    <t>55020.3794.0970</t>
  </si>
  <si>
    <t>55020.3796.0970</t>
  </si>
  <si>
    <t>55020.3797.0970</t>
  </si>
  <si>
    <t>55020.3798.0970</t>
  </si>
  <si>
    <t>55020.3799.0970</t>
  </si>
  <si>
    <t>55020.3804.0970</t>
  </si>
  <si>
    <t>55020.3808.0970</t>
  </si>
  <si>
    <t>55020.3810.0970</t>
  </si>
  <si>
    <t>55020.3811.0970</t>
  </si>
  <si>
    <t>55020.3813.0970</t>
  </si>
  <si>
    <t>55020.3814.0970</t>
  </si>
  <si>
    <t>55020.3815.0970</t>
  </si>
  <si>
    <t>55020.4718.0970</t>
  </si>
  <si>
    <t>55020.4717.0970</t>
  </si>
  <si>
    <t>55020.4715.0970</t>
  </si>
  <si>
    <t>55015.4697.0970</t>
  </si>
  <si>
    <t>55015.4695.0970</t>
  </si>
  <si>
    <t>55020.3738.0970</t>
  </si>
  <si>
    <t>55020.3739.0970</t>
  </si>
  <si>
    <t>55020.3741.0970</t>
  </si>
  <si>
    <t>55020.3742.0970</t>
  </si>
  <si>
    <t>55020.3744.0970</t>
  </si>
  <si>
    <t>55020.3747.0970</t>
  </si>
  <si>
    <t>55020.3748.0970</t>
  </si>
  <si>
    <t>55015.4681.0970</t>
  </si>
  <si>
    <t>55015.3762.0970</t>
  </si>
  <si>
    <t>55015.3764.0970</t>
  </si>
  <si>
    <t>55015.3692.0970</t>
  </si>
  <si>
    <t>55015.3693.0970</t>
  </si>
  <si>
    <t>55015.3761.0970</t>
  </si>
  <si>
    <t>55015.4686.0970</t>
  </si>
  <si>
    <t>55015.4691.0970</t>
  </si>
  <si>
    <t>55023.3771.0970</t>
  </si>
  <si>
    <t>55023.3772.0970</t>
  </si>
  <si>
    <t>55023.3785.0970</t>
  </si>
  <si>
    <t>55023.3786.0970</t>
  </si>
  <si>
    <t>55023.3789.0970</t>
  </si>
  <si>
    <t>55023.3790.0970</t>
  </si>
  <si>
    <t>55023.3791.0970</t>
  </si>
  <si>
    <t>55023.3792.0970</t>
  </si>
  <si>
    <t>55023.3794.0970</t>
  </si>
  <si>
    <t>55023.3797.0970</t>
  </si>
  <si>
    <t>55023.3799.0970</t>
  </si>
  <si>
    <t>55023.3806.0970</t>
  </si>
  <si>
    <t>55023.3809.0970</t>
  </si>
  <si>
    <t>60010.4662.0970</t>
  </si>
  <si>
    <t>60010.4663.0970</t>
  </si>
  <si>
    <t>60010.4665.0970</t>
  </si>
  <si>
    <t>60010.4666.0970</t>
  </si>
  <si>
    <t>60011.3816.0970</t>
  </si>
  <si>
    <t>55023.3811.0970</t>
  </si>
  <si>
    <t>55023.3812.0970</t>
  </si>
  <si>
    <t>55023.3813.0970</t>
  </si>
  <si>
    <t>55023.4715.0970</t>
  </si>
  <si>
    <t>55023.4718.0970</t>
  </si>
  <si>
    <t>55023.4716.0970</t>
  </si>
  <si>
    <t>55023.3740.0970</t>
  </si>
  <si>
    <t>55023.3742.0970</t>
  </si>
  <si>
    <t>55023.3743.0970</t>
  </si>
  <si>
    <t>55023.3746.0970</t>
  </si>
  <si>
    <t>55023.3765.0970</t>
  </si>
  <si>
    <t>55023.3766.0970</t>
  </si>
  <si>
    <t>55023.3770.0970</t>
  </si>
  <si>
    <t>55022.6709.0970</t>
  </si>
  <si>
    <t>55023.3737.0970</t>
  </si>
  <si>
    <t>55023.3739.0970</t>
  </si>
  <si>
    <t>55021.3734.0970</t>
  </si>
  <si>
    <t>55022.4798.0970</t>
  </si>
  <si>
    <t>55022.4801.0970</t>
  </si>
  <si>
    <t>32240.3472.0970</t>
  </si>
  <si>
    <t>32241.3476.0970</t>
  </si>
  <si>
    <t>32243.3467.0970</t>
  </si>
  <si>
    <t>32248.3473.0970</t>
  </si>
  <si>
    <t>32250.4234.0970</t>
  </si>
  <si>
    <t>32250.4237.0970</t>
  </si>
  <si>
    <t>32251.3471.0970</t>
  </si>
  <si>
    <t>32251.3474.0970</t>
  </si>
  <si>
    <t>32252.3478.0970</t>
  </si>
  <si>
    <t>60022.3583.0970</t>
  </si>
  <si>
    <t>60022.4597.0970</t>
  </si>
  <si>
    <t>60023.3677.0970</t>
  </si>
  <si>
    <t>60024.3677.0970</t>
  </si>
  <si>
    <t>60024.4665.0970</t>
  </si>
  <si>
    <t>60025.4664.0970</t>
  </si>
  <si>
    <t>60025.4666.0970</t>
  </si>
  <si>
    <t>32132.4481.0970</t>
  </si>
  <si>
    <t>32135.4250.0970</t>
  </si>
  <si>
    <t>32138.4268.0970</t>
  </si>
  <si>
    <t>32135.4253.0970</t>
  </si>
  <si>
    <t>32275.5621.0970</t>
  </si>
  <si>
    <t>32275.5624.0970</t>
  </si>
  <si>
    <t>32265.5383.0970</t>
  </si>
  <si>
    <t>32270.5469.0970</t>
  </si>
  <si>
    <t>32312.6264.0970</t>
  </si>
  <si>
    <t>32311.5464.0970</t>
  </si>
  <si>
    <t>32312.6158.0970</t>
  </si>
  <si>
    <t>32310.6147.0970</t>
  </si>
  <si>
    <t>32310.6150.0970</t>
  </si>
  <si>
    <t>32360.7298.0970</t>
  </si>
  <si>
    <t>32348.7046.0970</t>
  </si>
  <si>
    <t>32348.7023.0970</t>
  </si>
  <si>
    <t>32348.7060.0970</t>
  </si>
  <si>
    <t>32330.6649.0970</t>
  </si>
  <si>
    <t>32348.6748.0970</t>
  </si>
  <si>
    <t>55014.4662.0970</t>
  </si>
  <si>
    <t>55014.4664.0970</t>
  </si>
  <si>
    <t>55014.4665.0970</t>
  </si>
  <si>
    <t>55014.4667.0970</t>
  </si>
  <si>
    <t>55014.4668.0970</t>
  </si>
  <si>
    <t>55014.4670.0970</t>
  </si>
  <si>
    <t>55013.4669.0970</t>
  </si>
  <si>
    <t>55013.4670.0970</t>
  </si>
  <si>
    <t>55013.4671.0970</t>
  </si>
  <si>
    <t>55013.4672.0970</t>
  </si>
  <si>
    <t>55014.4661.0970</t>
  </si>
  <si>
    <t>55013.4663.0970</t>
  </si>
  <si>
    <t>55013.4664.0970</t>
  </si>
  <si>
    <t>55013.4666.0970</t>
  </si>
  <si>
    <t>55013.4667.0970</t>
  </si>
  <si>
    <t>55013.4661.0970</t>
  </si>
  <si>
    <t>50113.6704.0970</t>
  </si>
  <si>
    <t>50113.6709.0970</t>
  </si>
  <si>
    <t>55011.4661.0970</t>
  </si>
  <si>
    <t>55011.4666.0970</t>
  </si>
  <si>
    <t>55011.4667.0970</t>
  </si>
  <si>
    <t>55011.4669.0970</t>
  </si>
  <si>
    <t>55011.4670.0970</t>
  </si>
  <si>
    <t>55011.4664.0970</t>
  </si>
  <si>
    <t>55011.4665.0970</t>
  </si>
  <si>
    <t>55011.4663.0970</t>
  </si>
  <si>
    <t>55011.4662.0970</t>
  </si>
  <si>
    <t>55010.4666.0970</t>
  </si>
  <si>
    <t>55010.4668.0970</t>
  </si>
  <si>
    <t>55010.4669.0970</t>
  </si>
  <si>
    <t>55010.4663.0970</t>
  </si>
  <si>
    <t>55010.4665.0970</t>
  </si>
  <si>
    <t>55010.4662.0970</t>
  </si>
  <si>
    <t>50105.3717.0970</t>
  </si>
  <si>
    <t>50106.3665.0970</t>
  </si>
  <si>
    <t>50106.3667.0970</t>
  </si>
  <si>
    <t>50106.3668.0970</t>
  </si>
  <si>
    <t>50106.3669.0970</t>
  </si>
  <si>
    <t>50106.3671.0970</t>
  </si>
  <si>
    <t>50106.3673.0970</t>
  </si>
  <si>
    <t>50107.3686.0970</t>
  </si>
  <si>
    <t>50107.3688.0970</t>
  </si>
  <si>
    <t>50107.3689.0970</t>
  </si>
  <si>
    <t>50108.3679.0970</t>
  </si>
  <si>
    <t>50110.3712.0970</t>
  </si>
  <si>
    <t>50110.3713.0970</t>
  </si>
  <si>
    <t>50110.3714.0970</t>
  </si>
  <si>
    <t>50110.3715.0970</t>
  </si>
  <si>
    <t>50110.3717.0970</t>
  </si>
  <si>
    <t>50110.3701.0970</t>
  </si>
  <si>
    <t>50110.3703.0970</t>
  </si>
  <si>
    <t>50109.3697.0970</t>
  </si>
  <si>
    <t>50109.3699.0970</t>
  </si>
  <si>
    <t>50109.3696.0970</t>
  </si>
  <si>
    <t>50110.3718.0970</t>
  </si>
  <si>
    <t>50110.3723.0970</t>
  </si>
  <si>
    <t>50110.3724.0970</t>
  </si>
  <si>
    <t>50111.3701.0970</t>
  </si>
  <si>
    <t>50111.3713.0970</t>
  </si>
  <si>
    <t>50111.3714.0970</t>
  </si>
  <si>
    <t>50111.3715.0970</t>
  </si>
  <si>
    <t>50111.3716.0970</t>
  </si>
  <si>
    <t>50111.3717.0970</t>
  </si>
  <si>
    <t>50112.4597.0970</t>
  </si>
  <si>
    <t>50112.3734.0970</t>
  </si>
  <si>
    <t>50112.3583.0970</t>
  </si>
  <si>
    <t>50112.3637.0970</t>
  </si>
  <si>
    <t>50111.3722.0970</t>
  </si>
  <si>
    <t>50112.3575.0970</t>
  </si>
  <si>
    <t>50105.3671.0970</t>
  </si>
  <si>
    <t>50105.3703.0970</t>
  </si>
  <si>
    <t>50105.3668.0970</t>
  </si>
  <si>
    <t>50105.3669.0970</t>
  </si>
  <si>
    <t>50105.3665.0970</t>
  </si>
  <si>
    <t>50105.3666.0970</t>
  </si>
  <si>
    <t>50005.3586.0970</t>
  </si>
  <si>
    <t>35160.2250.0970</t>
  </si>
  <si>
    <t>35152.5444.0970</t>
  </si>
  <si>
    <t>35152.7725.0970</t>
  </si>
  <si>
    <t>35152.1160.0970</t>
  </si>
  <si>
    <t>35152.8840.0970</t>
  </si>
  <si>
    <t>35152.8845.0970</t>
  </si>
  <si>
    <t>35152.8844.0970</t>
  </si>
  <si>
    <t>35150.0450.0970</t>
  </si>
  <si>
    <t>35125.4138.0970</t>
  </si>
  <si>
    <t>35125.4140.0970</t>
  </si>
  <si>
    <t>35125.4149.0970</t>
  </si>
  <si>
    <t>35125.4143.0970</t>
  </si>
  <si>
    <t>35125.4135.0970</t>
  </si>
  <si>
    <t>35125.0300.0970</t>
  </si>
  <si>
    <t>35120.4128.0970</t>
  </si>
  <si>
    <t>35120.0530.0970</t>
  </si>
  <si>
    <t>35145.8761.0970</t>
  </si>
  <si>
    <t>35082.0530.0970</t>
  </si>
  <si>
    <t>35084.8689.0970</t>
  </si>
  <si>
    <t>35084.8686.0970</t>
  </si>
  <si>
    <t>35080.8584.0970</t>
  </si>
  <si>
    <t>35080.8586.0970</t>
  </si>
  <si>
    <t>32496.8954.0970</t>
  </si>
  <si>
    <t>32496.6648.0970</t>
  </si>
  <si>
    <t>32496.8955.0970</t>
  </si>
  <si>
    <t>32497.6640.0970</t>
  </si>
  <si>
    <t>32497.8925.0970</t>
  </si>
  <si>
    <t>32497.8927.0970</t>
  </si>
  <si>
    <t>32497.8928.0970</t>
  </si>
  <si>
    <t>32497.8929.0970</t>
  </si>
  <si>
    <t>32497.8930.0970</t>
  </si>
  <si>
    <t>32497.8932.0970</t>
  </si>
  <si>
    <t>32497.8926.0970</t>
  </si>
  <si>
    <t>32497.8933.0970</t>
  </si>
  <si>
    <t>32497.8935.0970</t>
  </si>
  <si>
    <t>32497.8938.0970</t>
  </si>
  <si>
    <t>32497.8939.0970</t>
  </si>
  <si>
    <t>32497.8941.0970</t>
  </si>
  <si>
    <t>32497.8942.0970</t>
  </si>
  <si>
    <t>32497.8936.0970</t>
  </si>
  <si>
    <t>32497.8949.0970</t>
  </si>
  <si>
    <t>32497.8950.0970</t>
  </si>
  <si>
    <t>32497.8952.0970</t>
  </si>
  <si>
    <t>32497.8956.0970</t>
  </si>
  <si>
    <t>32497.8958.0970</t>
  </si>
  <si>
    <t>35001.7518.0970</t>
  </si>
  <si>
    <t>35015.0450.0970</t>
  </si>
  <si>
    <t>35040.7903.0970</t>
  </si>
  <si>
    <t>35077.8575.0970</t>
  </si>
  <si>
    <t>35077.8574.0970</t>
  </si>
  <si>
    <t>35076.0530.0970</t>
  </si>
  <si>
    <t>35051.7951.0970</t>
  </si>
  <si>
    <t>32310.6143.0970</t>
  </si>
  <si>
    <t>32310.6145.0970</t>
  </si>
  <si>
    <t>32312.6156.0970</t>
  </si>
  <si>
    <t>32312.6157.0970</t>
  </si>
  <si>
    <t>32312.6162.0970</t>
  </si>
  <si>
    <t>32312.6160.0970</t>
  </si>
  <si>
    <t>32312.6174.0970</t>
  </si>
  <si>
    <t>32312.6182.0970</t>
  </si>
  <si>
    <t>32312.6184.0970</t>
  </si>
  <si>
    <t>32312.6168.0970</t>
  </si>
  <si>
    <t>32312.6170.0970</t>
  </si>
  <si>
    <t>32312.6166.0970</t>
  </si>
  <si>
    <t>32312.6164.0970</t>
  </si>
  <si>
    <t>32312.6186.0970</t>
  </si>
  <si>
    <t>32312.6188.0970</t>
  </si>
  <si>
    <t>32312.6190.0970</t>
  </si>
  <si>
    <t>32312.6193.0970</t>
  </si>
  <si>
    <t>32312.6194.0970</t>
  </si>
  <si>
    <t>32312.6196.0970</t>
  </si>
  <si>
    <t>32312.6205.0970</t>
  </si>
  <si>
    <t>32312.6206.0970</t>
  </si>
  <si>
    <t>32320.6704.0970</t>
  </si>
  <si>
    <t>32320.6705.0970</t>
  </si>
  <si>
    <t>32320.6709.0970</t>
  </si>
  <si>
    <t>32320.6397.0970</t>
  </si>
  <si>
    <t>32278.5701.0970</t>
  </si>
  <si>
    <t>32278.5703.0970</t>
  </si>
  <si>
    <t>32278.5708.0970</t>
  </si>
  <si>
    <t>32278.5715.0970</t>
  </si>
  <si>
    <t>32279.5605.0970</t>
  </si>
  <si>
    <t>32278.5710.0970</t>
  </si>
  <si>
    <t>32278.5698.0970</t>
  </si>
  <si>
    <t>32280.5741.0970</t>
  </si>
  <si>
    <t>32286.5363.0970</t>
  </si>
  <si>
    <t>32286.5901.0970</t>
  </si>
  <si>
    <t>32285.5878.0970</t>
  </si>
  <si>
    <t>32285.0425.0970</t>
  </si>
  <si>
    <t>32285.0531.0970</t>
  </si>
  <si>
    <t>32300.6001.0970</t>
  </si>
  <si>
    <t>32300.5999.0970</t>
  </si>
  <si>
    <t>32300.6002.0970</t>
  </si>
  <si>
    <t>32300.5997.0970</t>
  </si>
  <si>
    <t>32300.5998.0970</t>
  </si>
  <si>
    <t>32286.5902.0970</t>
  </si>
  <si>
    <t>32310.6140.0970</t>
  </si>
  <si>
    <t>32310.6136.0970</t>
  </si>
  <si>
    <t>32348.7024.0970</t>
  </si>
  <si>
    <t>32348.7025.0970</t>
  </si>
  <si>
    <t>32348.7027.0970</t>
  </si>
  <si>
    <t>32348.6749.0970</t>
  </si>
  <si>
    <t>32348.6942.0970</t>
  </si>
  <si>
    <t>32348.7022.0970</t>
  </si>
  <si>
    <t>32345.6994.0970</t>
  </si>
  <si>
    <t>32345.6995.0970</t>
  </si>
  <si>
    <t>32345.6991.0970</t>
  </si>
  <si>
    <t>32344.6922.0970</t>
  </si>
  <si>
    <t>32344.6924.0970</t>
  </si>
  <si>
    <t>32342.6900.0970</t>
  </si>
  <si>
    <t>32344.6921.0970</t>
  </si>
  <si>
    <t>32342.6897.0970</t>
  </si>
  <si>
    <t>32342.6899.0970</t>
  </si>
  <si>
    <t>32342.6896.0970</t>
  </si>
  <si>
    <t>32340.6868.0970</t>
  </si>
  <si>
    <t>32340.6865.0970</t>
  </si>
  <si>
    <t>32340.6862.0970</t>
  </si>
  <si>
    <t>32340.0350.0970</t>
  </si>
  <si>
    <t>32340.0425.0970</t>
  </si>
  <si>
    <t>32340.4146.0970</t>
  </si>
  <si>
    <t>32325.0530.0970</t>
  </si>
  <si>
    <t>32322.6420.0970</t>
  </si>
  <si>
    <t>32364.7353.0970</t>
  </si>
  <si>
    <t>32364.7349.0970</t>
  </si>
  <si>
    <t>32364.7347.0970</t>
  </si>
  <si>
    <t>32364.7346.0970</t>
  </si>
  <si>
    <t>32348.7049.0970</t>
  </si>
  <si>
    <t>32348.7050.0970</t>
  </si>
  <si>
    <t>32348.7048.0970</t>
  </si>
  <si>
    <t>32348.7045.0970</t>
  </si>
  <si>
    <t>32348.7041.0970</t>
  </si>
  <si>
    <t>32348.7056.0970</t>
  </si>
  <si>
    <t>32350.7073.0970</t>
  </si>
  <si>
    <t>32348.7055.0970</t>
  </si>
  <si>
    <t>32348.7052.0970</t>
  </si>
  <si>
    <t>32348.7051.0970</t>
  </si>
  <si>
    <t>32361.6724.0970</t>
  </si>
  <si>
    <t>32240.3473.0970</t>
  </si>
  <si>
    <t>32240.3474.0970</t>
  </si>
  <si>
    <t>32240.3477.0970</t>
  </si>
  <si>
    <t>32241.3464.0970</t>
  </si>
  <si>
    <t>32241.3465.0970</t>
  </si>
  <si>
    <t>32241.3467.0970</t>
  </si>
  <si>
    <t>32241.3468.0970</t>
  </si>
  <si>
    <t>32241.3478.0970</t>
  </si>
  <si>
    <t>32242.3462.0970</t>
  </si>
  <si>
    <t>32242.3471.0970</t>
  </si>
  <si>
    <t>32242.3472.0970</t>
  </si>
  <si>
    <t>32242.3473.0970</t>
  </si>
  <si>
    <t>32243.3465.0970</t>
  </si>
  <si>
    <t>32243.3468.0970</t>
  </si>
  <si>
    <t>32243.3475.0970</t>
  </si>
  <si>
    <t>32243.3476.0970</t>
  </si>
  <si>
    <t>32243.3478.0970</t>
  </si>
  <si>
    <t>32248.3460.0970</t>
  </si>
  <si>
    <t>32248.3462.0970</t>
  </si>
  <si>
    <t>32248.3471.0970</t>
  </si>
  <si>
    <t>32248.3472.0970</t>
  </si>
  <si>
    <t>32248.3474.0970</t>
  </si>
  <si>
    <t>32248.3477.0970</t>
  </si>
  <si>
    <t>32248.5544.0970</t>
  </si>
  <si>
    <t>32249.3464.0970</t>
  </si>
  <si>
    <t>32249.3465.0970</t>
  </si>
  <si>
    <t>32249.3466.0970</t>
  </si>
  <si>
    <t>32249.3467.0970</t>
  </si>
  <si>
    <t>32249.3468.0970</t>
  </si>
  <si>
    <t>32241.3472.0970</t>
  </si>
  <si>
    <t>32249.3476.0970</t>
  </si>
  <si>
    <t>32249.3478.0970</t>
  </si>
  <si>
    <t>32250.4224.0970</t>
  </si>
  <si>
    <t>32250.4233.0970</t>
  </si>
  <si>
    <t>32250.4236.0970</t>
  </si>
  <si>
    <t>32250.4244.0970</t>
  </si>
  <si>
    <t>32250.4245.0970</t>
  </si>
  <si>
    <t>32250.4246.0970</t>
  </si>
  <si>
    <t>32250.4247.0970</t>
  </si>
  <si>
    <t>32250.5068.0970</t>
  </si>
  <si>
    <t>32250.5126.0970</t>
  </si>
  <si>
    <t>32251.3460.0970</t>
  </si>
  <si>
    <t>32251.3472.0970</t>
  </si>
  <si>
    <t>32251.3473.0970</t>
  </si>
  <si>
    <t>32251.3477.0970</t>
  </si>
  <si>
    <t>32251.5541.0970</t>
  </si>
  <si>
    <t>32251.5542.0970</t>
  </si>
  <si>
    <t>32251.5544.0970</t>
  </si>
  <si>
    <t>32252.3464.0970</t>
  </si>
  <si>
    <t>32252.3465.0970</t>
  </si>
  <si>
    <t>32252.3467.0970</t>
  </si>
  <si>
    <t>32252.3468.0970</t>
  </si>
  <si>
    <t>32252.3476.0970</t>
  </si>
  <si>
    <t>32252.5548.0970</t>
  </si>
  <si>
    <t>32254.5577.0970</t>
  </si>
  <si>
    <t>32262.5742.0970</t>
  </si>
  <si>
    <t>32262.7725.0970</t>
  </si>
  <si>
    <t>32264.6175.0970</t>
  </si>
  <si>
    <t>32262.5444.0970</t>
  </si>
  <si>
    <t>32262.5470.0970</t>
  </si>
  <si>
    <t>32262.5556.0970</t>
  </si>
  <si>
    <t>32262.5390.0970</t>
  </si>
  <si>
    <t>32262.5440.0970</t>
  </si>
  <si>
    <t>32262.5364.0970</t>
  </si>
  <si>
    <t>32262.5368.0970</t>
  </si>
  <si>
    <t>32262.5370.0970</t>
  </si>
  <si>
    <t>32262.5371.0970</t>
  </si>
  <si>
    <t>32262.5354.0970</t>
  </si>
  <si>
    <t>32262.5355.0970</t>
  </si>
  <si>
    <t>32262.5352.0970</t>
  </si>
  <si>
    <t>32262.5351.0970</t>
  </si>
  <si>
    <t>32262.5344.0970</t>
  </si>
  <si>
    <t>32240.3471.0970</t>
  </si>
  <si>
    <t>32261.0530.0970</t>
  </si>
  <si>
    <t>32262.5249.0970</t>
  </si>
  <si>
    <t>32262.5338.0970</t>
  </si>
  <si>
    <t>32262.4152.0970</t>
  </si>
  <si>
    <t>32261.5320.0970</t>
  </si>
  <si>
    <t>32262.5349.0970</t>
  </si>
  <si>
    <t>32262.5350.0970</t>
  </si>
  <si>
    <t>32262.5348.0970</t>
  </si>
  <si>
    <t>32262.5347.0970</t>
  </si>
  <si>
    <t>32262.5346.0970</t>
  </si>
  <si>
    <t>32262.5343.0970</t>
  </si>
  <si>
    <t>32276.5649.0970</t>
  </si>
  <si>
    <t>32270.5459.0970</t>
  </si>
  <si>
    <t>32275.5622.0970</t>
  </si>
  <si>
    <t>32275.5623.0970</t>
  </si>
  <si>
    <t>32275.5625.0970</t>
  </si>
  <si>
    <t>32270.5465.0970</t>
  </si>
  <si>
    <t>32267.5420.0970</t>
  </si>
  <si>
    <t>32267.5421.0970</t>
  </si>
  <si>
    <t>32267.5424.0970</t>
  </si>
  <si>
    <t>32265.5385.0970</t>
  </si>
  <si>
    <t>32265.5386.0970</t>
  </si>
  <si>
    <t>32265.5389.0970</t>
  </si>
  <si>
    <t>32266.0530.0970</t>
  </si>
  <si>
    <t>32266.5400.0970</t>
  </si>
  <si>
    <t>32240.3460.0970</t>
  </si>
  <si>
    <t>32240.3462.0970</t>
  </si>
  <si>
    <t>32130.4226.0970</t>
  </si>
  <si>
    <t>32132.4259.0970</t>
  </si>
  <si>
    <t>32132.4231.0970</t>
  </si>
  <si>
    <t>32132.4241.0970</t>
  </si>
  <si>
    <t>32135.4251.0970</t>
  </si>
  <si>
    <t>32135.4254.0970</t>
  </si>
  <si>
    <t>32135.4256.0970</t>
  </si>
  <si>
    <t>32135.4257.0970</t>
  </si>
  <si>
    <t>32201.0500.0970</t>
  </si>
  <si>
    <t>32200.4015.0970</t>
  </si>
  <si>
    <t>32120.3280.0970</t>
  </si>
  <si>
    <t>32120.3286.0970</t>
  </si>
  <si>
    <t>32120.3298.0970</t>
  </si>
  <si>
    <t>32116.3238.0970</t>
  </si>
  <si>
    <t>32116.3239.0970</t>
  </si>
  <si>
    <t>32116.3232.0970</t>
  </si>
  <si>
    <t>32118.3460.0970</t>
  </si>
  <si>
    <t>32118.3477.0970</t>
  </si>
  <si>
    <t>32119.3468.0970</t>
  </si>
  <si>
    <t>32119.3470.0970</t>
  </si>
  <si>
    <t>32112.3471.0970</t>
  </si>
  <si>
    <t>32112.3473.0970</t>
  </si>
  <si>
    <t>32112.3474.0970</t>
  </si>
  <si>
    <t>32113.3475.0970</t>
  </si>
  <si>
    <t>32114.3462.0970</t>
  </si>
  <si>
    <t>32114.3477.0970</t>
  </si>
  <si>
    <t>32115.3478.0970</t>
  </si>
  <si>
    <t>32115.3468.0970</t>
  </si>
  <si>
    <t>32115.3465.0970</t>
  </si>
  <si>
    <t>32110.3228.0970</t>
  </si>
  <si>
    <t>32110.3234.0970</t>
  </si>
  <si>
    <t>32110.3460.0970</t>
  </si>
  <si>
    <t>32110.3462.0970</t>
  </si>
  <si>
    <t>32110.3463.0970</t>
  </si>
  <si>
    <t>32111.3464.0970</t>
  </si>
  <si>
    <t>32111.3467.0970</t>
  </si>
  <si>
    <t>32102.0516.0970</t>
  </si>
  <si>
    <t>32108.3471.0970</t>
  </si>
  <si>
    <t>32108.3472.0970</t>
  </si>
  <si>
    <t>32108.3474.0970</t>
  </si>
  <si>
    <t>32109.3030.0970</t>
  </si>
  <si>
    <t>32109.3475.0970</t>
  </si>
  <si>
    <t>32109.3476.0970</t>
  </si>
  <si>
    <t>32110.3088.0970</t>
  </si>
  <si>
    <t>32022.2576.0970</t>
  </si>
  <si>
    <t>32022.2577.0970</t>
  </si>
  <si>
    <t>32022.2578.0970</t>
  </si>
  <si>
    <t>32022.2580.0970</t>
  </si>
  <si>
    <t>32022.2581.0970</t>
  </si>
  <si>
    <t>32022.2583.0970</t>
  </si>
  <si>
    <t>32022.5461.0970</t>
  </si>
  <si>
    <t>32011.2249.0970</t>
  </si>
  <si>
    <t>32011.2247.0970</t>
  </si>
  <si>
    <t>32021.2451.0970</t>
  </si>
  <si>
    <t>32022.2490.0970</t>
  </si>
  <si>
    <t>32022.2491.0970</t>
  </si>
  <si>
    <t>32022.2492.0970</t>
  </si>
  <si>
    <t>32022.2493.0970</t>
  </si>
  <si>
    <t>32021.2453.0970</t>
  </si>
  <si>
    <t>32022.1115.0970</t>
  </si>
  <si>
    <t>32096.3065.0970</t>
  </si>
  <si>
    <t>32096.3066.0970</t>
  </si>
  <si>
    <t>32098.3064.0970</t>
  </si>
  <si>
    <t>32099.3065.0970</t>
  </si>
  <si>
    <t>32099.3066.0970</t>
  </si>
  <si>
    <t>32095.3064.0970</t>
  </si>
  <si>
    <t>32095.3066.0970</t>
  </si>
  <si>
    <t>32096.3064.0970</t>
  </si>
  <si>
    <t>32023.2459.0970</t>
  </si>
  <si>
    <t>32023.2457.0970</t>
  </si>
  <si>
    <t>32023.2475.0970</t>
  </si>
  <si>
    <t>32100.0570.0970</t>
  </si>
  <si>
    <t>32100.0571.0970</t>
  </si>
  <si>
    <t>32011.2243.0970</t>
  </si>
  <si>
    <t>32011.2238.0970</t>
  </si>
  <si>
    <t>32011.2241.0970</t>
  </si>
  <si>
    <t>32011.2245.0970</t>
  </si>
  <si>
    <t>32011.2246.0970</t>
  </si>
  <si>
    <t>32001.5553.0970</t>
  </si>
  <si>
    <t>31045.3092.0970</t>
  </si>
  <si>
    <t>31042.1653.0970</t>
  </si>
  <si>
    <t>31063.1828.0970</t>
  </si>
  <si>
    <t>31063.1829.0970</t>
  </si>
  <si>
    <t>31080.0300.0970</t>
  </si>
  <si>
    <t>32001.2266.0970</t>
  </si>
  <si>
    <t>32001.0425.0970</t>
  </si>
  <si>
    <t>32001.2254.0970</t>
  </si>
  <si>
    <t>32000.0425.0970</t>
  </si>
  <si>
    <t>32000.0510.0970</t>
  </si>
  <si>
    <t>32000.5552.0970</t>
  </si>
  <si>
    <t>31083.1961.0970</t>
  </si>
  <si>
    <t>31083.1962.0970</t>
  </si>
  <si>
    <t>31000.0373.0970</t>
  </si>
  <si>
    <t>30025.0425.0970</t>
  </si>
  <si>
    <t>30005.1128.0970</t>
  </si>
  <si>
    <t>30021.1154.0970</t>
  </si>
  <si>
    <t>30001.8695.0970</t>
  </si>
  <si>
    <t>30002.1148.0970</t>
  </si>
  <si>
    <t>30002.1089.0970</t>
  </si>
  <si>
    <t>30002.1030.0970</t>
  </si>
  <si>
    <t>35081.0415.0690</t>
  </si>
  <si>
    <t>35084.8686.0690</t>
  </si>
  <si>
    <t>35074.0415.0690</t>
  </si>
  <si>
    <t>32325.0980.0690</t>
  </si>
  <si>
    <t>32325.0415.0690</t>
  </si>
  <si>
    <t>35145.8763.0507</t>
  </si>
  <si>
    <t>35150.0425.0507</t>
  </si>
  <si>
    <t>35125.4139.0507</t>
  </si>
  <si>
    <t>32497.8931.0507</t>
  </si>
  <si>
    <t>32497.8937.0507</t>
  </si>
  <si>
    <t>32497.8934.0507</t>
  </si>
  <si>
    <t>32497.6644.0507</t>
  </si>
  <si>
    <t>32361.6729.0507</t>
  </si>
  <si>
    <t>60023.4668.0507</t>
  </si>
  <si>
    <t>60010.4661.0507</t>
  </si>
  <si>
    <t>55023.4717.0507</t>
  </si>
  <si>
    <t>55022.6705.0507</t>
  </si>
  <si>
    <t>55020.4716.0507</t>
  </si>
  <si>
    <t>55014.4666.0507</t>
  </si>
  <si>
    <t>55020.3806.0507</t>
  </si>
  <si>
    <t>55020.3743.0507</t>
  </si>
  <si>
    <t>55020.3740.0507</t>
  </si>
  <si>
    <t>55020.3737.0507</t>
  </si>
  <si>
    <t>55013.4662.0507</t>
  </si>
  <si>
    <t>55015.3694.0507</t>
  </si>
  <si>
    <t>50110.3722.0507</t>
  </si>
  <si>
    <t>50111.3712.0507</t>
  </si>
  <si>
    <t>50110.3708.0507</t>
  </si>
  <si>
    <t>55010.4667.0507</t>
  </si>
  <si>
    <t>55010.4664.0507</t>
  </si>
  <si>
    <t>55010.4661.0507</t>
  </si>
  <si>
    <t>55011.4668.0507</t>
  </si>
  <si>
    <t>32312.6192.0507</t>
  </si>
  <si>
    <t>32340.6867.0507</t>
  </si>
  <si>
    <t>32342.6898.0507</t>
  </si>
  <si>
    <t>32348.7057.0507</t>
  </si>
  <si>
    <t>32344.6929.0507</t>
  </si>
  <si>
    <t>32286.5900.0507</t>
  </si>
  <si>
    <t>32285.5879.0507</t>
  </si>
  <si>
    <t>32312.6172.0507</t>
  </si>
  <si>
    <t>32300.6000.0507</t>
  </si>
  <si>
    <t>50108.3691.0507</t>
  </si>
  <si>
    <t>50106.3703.0507</t>
  </si>
  <si>
    <t>32262.5373.0507</t>
  </si>
  <si>
    <t>55010.4670.0507</t>
  </si>
  <si>
    <t>50112.3730.0507</t>
  </si>
  <si>
    <t>50111.3723.0507</t>
  </si>
  <si>
    <t>50111.3703.0507</t>
  </si>
  <si>
    <t>50110.3716.0507</t>
  </si>
  <si>
    <t>50108.3685.0507</t>
  </si>
  <si>
    <t>50107.3684.0507</t>
  </si>
  <si>
    <t>32120.3270.0507</t>
  </si>
  <si>
    <t>32119.3478.0507</t>
  </si>
  <si>
    <t>32132.4238.0507</t>
  </si>
  <si>
    <t>32125.3302.0507</t>
  </si>
  <si>
    <t>35125.4145.0507</t>
  </si>
  <si>
    <t>50105.3667.0507</t>
  </si>
  <si>
    <t>32262.5356.0507</t>
  </si>
  <si>
    <t>32262.5353.0507</t>
  </si>
  <si>
    <t>32251.3462.0507</t>
  </si>
  <si>
    <t>32242.3460.0507</t>
  </si>
  <si>
    <t>32240.5544.0507</t>
  </si>
  <si>
    <t>32120.3287.0507</t>
  </si>
  <si>
    <t>32119.3469.0507</t>
  </si>
  <si>
    <t>32118.3462.0507</t>
  </si>
  <si>
    <t>32115.3467.0507</t>
  </si>
  <si>
    <t>32115.3464.0507</t>
  </si>
  <si>
    <t>32114.3460.0507</t>
  </si>
  <si>
    <t>32113.3476.0507</t>
  </si>
  <si>
    <t>32112.3472.0507</t>
  </si>
  <si>
    <t>32111.3468.0507</t>
  </si>
  <si>
    <t>32110.3235.0507</t>
  </si>
  <si>
    <t>31083.1968.0507</t>
  </si>
  <si>
    <t>32108.3473.0507</t>
  </si>
  <si>
    <t>32022.2579.0507</t>
  </si>
  <si>
    <t>32022.2582.0507</t>
  </si>
  <si>
    <t>55022.4799.0507</t>
  </si>
  <si>
    <t>55020.3792.0507</t>
  </si>
  <si>
    <t>55020.3786.0507</t>
  </si>
  <si>
    <t>55020.3766.0507</t>
  </si>
  <si>
    <t>55020.3746.0507</t>
  </si>
  <si>
    <t>55013.4668.0507</t>
  </si>
  <si>
    <t>55013.4665.0507</t>
  </si>
  <si>
    <t>60010.4667.0507</t>
  </si>
  <si>
    <t>60025.4665.0507</t>
  </si>
  <si>
    <t>60010.4664.0507</t>
  </si>
  <si>
    <t>55023.3804.0507</t>
  </si>
  <si>
    <t>55023.3784.0507</t>
  </si>
  <si>
    <t>55023.3744.0507</t>
  </si>
  <si>
    <t>32497.8960.0507</t>
  </si>
  <si>
    <t>32497.8943.0507</t>
  </si>
  <si>
    <t>32497.8940.0507</t>
  </si>
  <si>
    <t>35051.7946.0507</t>
  </si>
  <si>
    <t>35031.0425.0507</t>
  </si>
  <si>
    <t>35076.0425.0507</t>
  </si>
  <si>
    <t>32240.3472.0507</t>
  </si>
  <si>
    <t>32135.4250.0507</t>
  </si>
  <si>
    <t>32135.4253.0507</t>
  </si>
  <si>
    <t>32132.4481.0507</t>
  </si>
  <si>
    <t>60025.4666.0507</t>
  </si>
  <si>
    <t>60025.4664.0507</t>
  </si>
  <si>
    <t>60024.4665.0507</t>
  </si>
  <si>
    <t>60024.3677.0507</t>
  </si>
  <si>
    <t>32348.7023.0507</t>
  </si>
  <si>
    <t>32348.7060.0507</t>
  </si>
  <si>
    <t>32340.6873.0507</t>
  </si>
  <si>
    <t>32361.6721.0507</t>
  </si>
  <si>
    <t>32310.6150.0507</t>
  </si>
  <si>
    <t>32310.6147.0507</t>
  </si>
  <si>
    <t>32311.5464.0507</t>
  </si>
  <si>
    <t>32275.5621.0507</t>
  </si>
  <si>
    <t>32265.5383.0507</t>
  </si>
  <si>
    <t>60010.4666.0507</t>
  </si>
  <si>
    <t>60010.4665.0507</t>
  </si>
  <si>
    <t>60010.4662.0507</t>
  </si>
  <si>
    <t>55023.4716.0507</t>
  </si>
  <si>
    <t>55023.4715.0507</t>
  </si>
  <si>
    <t>55023.3813.0507</t>
  </si>
  <si>
    <t>55023.3812.0507</t>
  </si>
  <si>
    <t>55023.3806.0507</t>
  </si>
  <si>
    <t>55023.3799.0507</t>
  </si>
  <si>
    <t>55023.3794.0507</t>
  </si>
  <si>
    <t>55023.3792.0507</t>
  </si>
  <si>
    <t>55023.3791.0507</t>
  </si>
  <si>
    <t>55023.3789.0507</t>
  </si>
  <si>
    <t>55023.3786.0507</t>
  </si>
  <si>
    <t>55023.3770.0507</t>
  </si>
  <si>
    <t>55023.3765.0507</t>
  </si>
  <si>
    <t>55023.3743.0507</t>
  </si>
  <si>
    <t>55023.3742.0507</t>
  </si>
  <si>
    <t>55023.3740.0507</t>
  </si>
  <si>
    <t>55023.3739.0507</t>
  </si>
  <si>
    <t>55022.6710.0507</t>
  </si>
  <si>
    <t>55022.6709.0507</t>
  </si>
  <si>
    <t>55022.6704.0507</t>
  </si>
  <si>
    <t>55021.3734.0507</t>
  </si>
  <si>
    <t>55022.4801.0507</t>
  </si>
  <si>
    <t>55022.6701.0507</t>
  </si>
  <si>
    <t>55020.4718.0507</t>
  </si>
  <si>
    <t>55020.4717.0507</t>
  </si>
  <si>
    <t>55020.4715.0507</t>
  </si>
  <si>
    <t>55020.3813.0507</t>
  </si>
  <si>
    <t>55020.3798.0507</t>
  </si>
  <si>
    <t>55020.3794.0507</t>
  </si>
  <si>
    <t>55020.3791.0507</t>
  </si>
  <si>
    <t>55020.3788.0507</t>
  </si>
  <si>
    <t>55020.3785.0507</t>
  </si>
  <si>
    <t>55020.3784.0507</t>
  </si>
  <si>
    <t>55020.3771.0507</t>
  </si>
  <si>
    <t>55020.3770.0507</t>
  </si>
  <si>
    <t>55020.3767.0507</t>
  </si>
  <si>
    <t>55020.3765.0507</t>
  </si>
  <si>
    <t>55020.3744.0507</t>
  </si>
  <si>
    <t>55020.3742.0507</t>
  </si>
  <si>
    <t>55020.3741.0507</t>
  </si>
  <si>
    <t>55020.3739.0507</t>
  </si>
  <si>
    <t>55015.4695.0507</t>
  </si>
  <si>
    <t>55015.4686.0507</t>
  </si>
  <si>
    <t>55015.4691.0507</t>
  </si>
  <si>
    <t>55015.3761.0507</t>
  </si>
  <si>
    <t>55015.3693.0507</t>
  </si>
  <si>
    <t>55015.3692.0507</t>
  </si>
  <si>
    <t>55015.3762.0507</t>
  </si>
  <si>
    <t>55015.4681.0507</t>
  </si>
  <si>
    <t>55014.4670.0507</t>
  </si>
  <si>
    <t>55014.4668.0507</t>
  </si>
  <si>
    <t>55014.4667.0507</t>
  </si>
  <si>
    <t>55014.4662.0507</t>
  </si>
  <si>
    <t>55014.4661.0507</t>
  </si>
  <si>
    <t>55013.4671.0507</t>
  </si>
  <si>
    <t>55013.4670.0507</t>
  </si>
  <si>
    <t>55013.4669.0507</t>
  </si>
  <si>
    <t>55013.4667.0507</t>
  </si>
  <si>
    <t>55013.4666.0507</t>
  </si>
  <si>
    <t>55013.4664.0507</t>
  </si>
  <si>
    <t>55013.4663.0507</t>
  </si>
  <si>
    <t>55013.4661.0507</t>
  </si>
  <si>
    <t>35125.4149.0507</t>
  </si>
  <si>
    <t>35125.4140.0507</t>
  </si>
  <si>
    <t>35125.4133.0507</t>
  </si>
  <si>
    <t>35125.4135.0507</t>
  </si>
  <si>
    <t>35115.0425.0507</t>
  </si>
  <si>
    <t>35110.0425.0507</t>
  </si>
  <si>
    <t>35120.4128.0507</t>
  </si>
  <si>
    <t>35120.0530.0507</t>
  </si>
  <si>
    <t>35120.0425.0507</t>
  </si>
  <si>
    <t>35120.0350.0507</t>
  </si>
  <si>
    <t>50105.3668.0507</t>
  </si>
  <si>
    <t>50105.3665.0507</t>
  </si>
  <si>
    <t>35160.0425.0507</t>
  </si>
  <si>
    <t>35152.5444.0507</t>
  </si>
  <si>
    <t>35152.8844.0507</t>
  </si>
  <si>
    <t>55011.4670.0507</t>
  </si>
  <si>
    <t>55011.4669.0507</t>
  </si>
  <si>
    <t>55011.4667.0507</t>
  </si>
  <si>
    <t>55011.4666.0507</t>
  </si>
  <si>
    <t>55011.4665.0507</t>
  </si>
  <si>
    <t>55011.4664.0507</t>
  </si>
  <si>
    <t>55011.4663.0507</t>
  </si>
  <si>
    <t>55011.4662.0507</t>
  </si>
  <si>
    <t>55011.4661.0507</t>
  </si>
  <si>
    <t>55010.4669.0507</t>
  </si>
  <si>
    <t>55010.4668.0507</t>
  </si>
  <si>
    <t>55010.4666.0507</t>
  </si>
  <si>
    <t>55010.4663.0507</t>
  </si>
  <si>
    <t>55010.4662.0507</t>
  </si>
  <si>
    <t>50113.6710.0507</t>
  </si>
  <si>
    <t>50113.6709.0507</t>
  </si>
  <si>
    <t>50113.6705.0507</t>
  </si>
  <si>
    <t>50113.6704.0507</t>
  </si>
  <si>
    <t>50113.6701.0507</t>
  </si>
  <si>
    <t>50111.3717.0507</t>
  </si>
  <si>
    <t>50111.3716.0507</t>
  </si>
  <si>
    <t>50111.3715.0507</t>
  </si>
  <si>
    <t>50111.3714.0507</t>
  </si>
  <si>
    <t>50111.3713.0507</t>
  </si>
  <si>
    <t>50111.3701.0507</t>
  </si>
  <si>
    <t>50110.3724.0507</t>
  </si>
  <si>
    <t>50110.3723.0507</t>
  </si>
  <si>
    <t>50110.3718.0507</t>
  </si>
  <si>
    <t>50112.3583.0507</t>
  </si>
  <si>
    <t>50111.3722.0507</t>
  </si>
  <si>
    <t>50112.3734.0507</t>
  </si>
  <si>
    <t>50108.3679.0507</t>
  </si>
  <si>
    <t>50107.3689.0507</t>
  </si>
  <si>
    <t>50107.3688.0507</t>
  </si>
  <si>
    <t>50106.3673.0507</t>
  </si>
  <si>
    <t>50106.3665.0507</t>
  </si>
  <si>
    <t>50110.3717.0507</t>
  </si>
  <si>
    <t>50110.3715.0507</t>
  </si>
  <si>
    <t>50110.3714.0507</t>
  </si>
  <si>
    <t>50110.3713.0507</t>
  </si>
  <si>
    <t>50110.3712.0507</t>
  </si>
  <si>
    <t>50110.3703.0507</t>
  </si>
  <si>
    <t>50110.3701.0507</t>
  </si>
  <si>
    <t>50109.3699.0507</t>
  </si>
  <si>
    <t>50109.3697.0507</t>
  </si>
  <si>
    <t>50109.3696.0507</t>
  </si>
  <si>
    <t>32496.8955.0507</t>
  </si>
  <si>
    <t>32497.8958.0507</t>
  </si>
  <si>
    <t>32497.8952.0507</t>
  </si>
  <si>
    <t>32497.8949.0507</t>
  </si>
  <si>
    <t>32497.8942.0507</t>
  </si>
  <si>
    <t>32497.8941.0507</t>
  </si>
  <si>
    <t>32497.8935.0507</t>
  </si>
  <si>
    <t>32497.8933.0507</t>
  </si>
  <si>
    <t>32497.8930.0507</t>
  </si>
  <si>
    <t>32497.6640.0507</t>
  </si>
  <si>
    <t>35077.8574.0507</t>
  </si>
  <si>
    <t>35076.0530.0507</t>
  </si>
  <si>
    <t>35055.7956.0507</t>
  </si>
  <si>
    <t>35040.7903.0507</t>
  </si>
  <si>
    <t>32286.5901.0507</t>
  </si>
  <si>
    <t>32285.5878.0507</t>
  </si>
  <si>
    <t>32285.0531.0507</t>
  </si>
  <si>
    <t>32285.0425.0507</t>
  </si>
  <si>
    <t>32310.6142.0507</t>
  </si>
  <si>
    <t>32300.6002.0507</t>
  </si>
  <si>
    <t>32300.5999.0507</t>
  </si>
  <si>
    <t>32300.6001.0507</t>
  </si>
  <si>
    <t>32300.5998.0507</t>
  </si>
  <si>
    <t>32300.5997.0507</t>
  </si>
  <si>
    <t>32278.5710.0507</t>
  </si>
  <si>
    <t>32279.5605.0507</t>
  </si>
  <si>
    <t>32278.5715.0507</t>
  </si>
  <si>
    <t>32278.5708.0507</t>
  </si>
  <si>
    <t>32278.5703.0507</t>
  </si>
  <si>
    <t>32278.5701.0507</t>
  </si>
  <si>
    <t>32312.6160.0507</t>
  </si>
  <si>
    <t>32312.6162.0507</t>
  </si>
  <si>
    <t>32312.6156.0507</t>
  </si>
  <si>
    <t>32312.6174.0507</t>
  </si>
  <si>
    <t>32312.6168.0507</t>
  </si>
  <si>
    <t>32312.6166.0507</t>
  </si>
  <si>
    <t>32312.6164.0507</t>
  </si>
  <si>
    <t>32312.6205.0507</t>
  </si>
  <si>
    <t>32312.6196.0507</t>
  </si>
  <si>
    <t>32312.6190.0507</t>
  </si>
  <si>
    <t>32312.6188.0507</t>
  </si>
  <si>
    <t>32320.6705.0507</t>
  </si>
  <si>
    <t>32320.6704.0507</t>
  </si>
  <si>
    <t>32320.6710.0507</t>
  </si>
  <si>
    <t>32320.6709.0507</t>
  </si>
  <si>
    <t>32320.6708.0507</t>
  </si>
  <si>
    <t>32320.6401.0507</t>
  </si>
  <si>
    <t>32320.6396.0507</t>
  </si>
  <si>
    <t>32320.6701.0507</t>
  </si>
  <si>
    <t>32320.6397.0507</t>
  </si>
  <si>
    <t>32320.6395.0507</t>
  </si>
  <si>
    <t>32320.2271.0507</t>
  </si>
  <si>
    <t>32364.7346.0507</t>
  </si>
  <si>
    <t>32364.7347.0507</t>
  </si>
  <si>
    <t>32348.7041.0507</t>
  </si>
  <si>
    <t>32350.7073.0507</t>
  </si>
  <si>
    <t>32348.7052.0507</t>
  </si>
  <si>
    <t>32348.7051.0507</t>
  </si>
  <si>
    <t>32361.6725.0507</t>
  </si>
  <si>
    <t>32361.6724.0507</t>
  </si>
  <si>
    <t>32361.6720.0507</t>
  </si>
  <si>
    <t>32348.7029.0507</t>
  </si>
  <si>
    <t>32348.7027.0507</t>
  </si>
  <si>
    <t>32348.7026.0507</t>
  </si>
  <si>
    <t>32348.7024.0507</t>
  </si>
  <si>
    <t>32348.6942.0507</t>
  </si>
  <si>
    <t>32348.6749.0507</t>
  </si>
  <si>
    <t>32345.6995.0507</t>
  </si>
  <si>
    <t>32345.6991.0507</t>
  </si>
  <si>
    <t>32342.6900.0507</t>
  </si>
  <si>
    <t>32344.6924.0507</t>
  </si>
  <si>
    <t>32344.6922.0507</t>
  </si>
  <si>
    <t>32325.0530.0507</t>
  </si>
  <si>
    <t>32322.6420.0507</t>
  </si>
  <si>
    <t>32322.6421.0507</t>
  </si>
  <si>
    <t>32340.0425.0507</t>
  </si>
  <si>
    <t>32331.6649.0507</t>
  </si>
  <si>
    <t>32340.0350.0507</t>
  </si>
  <si>
    <t>32340.6872.0507</t>
  </si>
  <si>
    <t>32342.6897.0507</t>
  </si>
  <si>
    <t>32340.6868.0507</t>
  </si>
  <si>
    <t>32278.5698.0507</t>
  </si>
  <si>
    <t>32276.5649.0507</t>
  </si>
  <si>
    <t>32270.5459.0507</t>
  </si>
  <si>
    <t>32275.5623.0507</t>
  </si>
  <si>
    <t>32275.5622.0507</t>
  </si>
  <si>
    <t>32265.5386.0507</t>
  </si>
  <si>
    <t>32266.5400.0507</t>
  </si>
  <si>
    <t>32252.5548.0507</t>
  </si>
  <si>
    <t>32252.3476.0507</t>
  </si>
  <si>
    <t>32252.3468.0507</t>
  </si>
  <si>
    <t>32252.3464.0507</t>
  </si>
  <si>
    <t>32251.5544.0507</t>
  </si>
  <si>
    <t>32251.5542.0507</t>
  </si>
  <si>
    <t>32251.3472.0507</t>
  </si>
  <si>
    <t>32251.3460.0507</t>
  </si>
  <si>
    <t>32250.5126.0507</t>
  </si>
  <si>
    <t>32250.4246.0507</t>
  </si>
  <si>
    <t>32250.4224.0507</t>
  </si>
  <si>
    <t>32249.3468.0507</t>
  </si>
  <si>
    <t>32248.3472.0507</t>
  </si>
  <si>
    <t>32248.3462.0507</t>
  </si>
  <si>
    <t>32248.3460.0507</t>
  </si>
  <si>
    <t>32243.3475.0507</t>
  </si>
  <si>
    <t>32243.3468.0507</t>
  </si>
  <si>
    <t>32242.3472.0507</t>
  </si>
  <si>
    <t>32242.3462.0507</t>
  </si>
  <si>
    <t>32241.3478.0507</t>
  </si>
  <si>
    <t>32241.3468.0507</t>
  </si>
  <si>
    <t>32240.3473.0507</t>
  </si>
  <si>
    <t>32262.5370.0507</t>
  </si>
  <si>
    <t>32262.5368.0507</t>
  </si>
  <si>
    <t>32262.5364.0507</t>
  </si>
  <si>
    <t>32262.5355.0507</t>
  </si>
  <si>
    <t>32262.5354.0507</t>
  </si>
  <si>
    <t>32262.5352.0507</t>
  </si>
  <si>
    <t>32262.5351.0507</t>
  </si>
  <si>
    <t>32262.5556.0507</t>
  </si>
  <si>
    <t>32262.5470.0507</t>
  </si>
  <si>
    <t>32262.5444.0507</t>
  </si>
  <si>
    <t>32262.5440.0507</t>
  </si>
  <si>
    <t>32261.0530.0507</t>
  </si>
  <si>
    <t>32262.5338.0507</t>
  </si>
  <si>
    <t>32262.4152.0507</t>
  </si>
  <si>
    <t>32261.5320.0507</t>
  </si>
  <si>
    <t>32262.5350.0507</t>
  </si>
  <si>
    <t>32262.5349.0507</t>
  </si>
  <si>
    <t>32262.5348.0507</t>
  </si>
  <si>
    <t>32262.5347.0507</t>
  </si>
  <si>
    <t>32262.5346.0507</t>
  </si>
  <si>
    <t>32240.3462.0507</t>
  </si>
  <si>
    <t>32240.3460.0507</t>
  </si>
  <si>
    <t>32201.0500.0507</t>
  </si>
  <si>
    <t>32200.4018.0507</t>
  </si>
  <si>
    <t>32200.4015.0507</t>
  </si>
  <si>
    <t>32135.4257.0507</t>
  </si>
  <si>
    <t>32135.4254.0507</t>
  </si>
  <si>
    <t>32135.4251.0507</t>
  </si>
  <si>
    <t>32132.4259.0507</t>
  </si>
  <si>
    <t>32132.4231.0507</t>
  </si>
  <si>
    <t>32120.3286.0507</t>
  </si>
  <si>
    <t>32119.3470.0507</t>
  </si>
  <si>
    <t>32116.3238.0507</t>
  </si>
  <si>
    <t>32116.3232.0507</t>
  </si>
  <si>
    <t>32115.3478.0507</t>
  </si>
  <si>
    <t>32115.3468.0507</t>
  </si>
  <si>
    <t>32115.3465.0507</t>
  </si>
  <si>
    <t>32114.3462.0507</t>
  </si>
  <si>
    <t>32113.3475.0507</t>
  </si>
  <si>
    <t>32112.3473.0507</t>
  </si>
  <si>
    <t>32112.3471.0507</t>
  </si>
  <si>
    <t>32111.3467.0507</t>
  </si>
  <si>
    <t>32111.3464.0507</t>
  </si>
  <si>
    <t>32110.3460.0507</t>
  </si>
  <si>
    <t>32110.3234.0507</t>
  </si>
  <si>
    <t>32110.3228.0507</t>
  </si>
  <si>
    <t>32102.0516.0507</t>
  </si>
  <si>
    <t>32108.3474.0507</t>
  </si>
  <si>
    <t>32108.3472.0507</t>
  </si>
  <si>
    <t>32109.3476.0507</t>
  </si>
  <si>
    <t>32110.3088.0507</t>
  </si>
  <si>
    <t>32021.2453.0507</t>
  </si>
  <si>
    <t>32022.2492.0507</t>
  </si>
  <si>
    <t>32022.2491.0507</t>
  </si>
  <si>
    <t>32021.2451.0507</t>
  </si>
  <si>
    <t>32022.2583.0507</t>
  </si>
  <si>
    <t>32022.2577.0507</t>
  </si>
  <si>
    <t>32098.3064.0507</t>
  </si>
  <si>
    <t>32100.0571.0507</t>
  </si>
  <si>
    <t>32100.0570.0507</t>
  </si>
  <si>
    <t>30021.1154.0507</t>
  </si>
  <si>
    <t>30025.0425.0507</t>
  </si>
  <si>
    <t>30023.0425.0507</t>
  </si>
  <si>
    <t>31000.0373.0507</t>
  </si>
  <si>
    <t>31000.0350.0507</t>
  </si>
  <si>
    <t>30002.1148.0507</t>
  </si>
  <si>
    <t>31083.1961.0507</t>
  </si>
  <si>
    <t>31083.1970.0507</t>
  </si>
  <si>
    <t>32000.0510.0507</t>
  </si>
  <si>
    <t>32000.0425.0507</t>
  </si>
  <si>
    <t>32000.5552.0507</t>
  </si>
  <si>
    <t>32001.0371.0507</t>
  </si>
  <si>
    <t>32001.2266.0507</t>
  </si>
  <si>
    <t>32001.0425.0507</t>
  </si>
  <si>
    <t>32001.2254.0507</t>
  </si>
  <si>
    <t>31042.1653.0507</t>
  </si>
  <si>
    <t>31041.1649.0507</t>
  </si>
  <si>
    <t>31040.0350.0507</t>
  </si>
  <si>
    <t>31061.1809.0507</t>
  </si>
  <si>
    <t>32011.2241.0507</t>
  </si>
  <si>
    <t>32011.2238.0507</t>
  </si>
  <si>
    <t>32001.5553.0507</t>
  </si>
  <si>
    <t>32001.2270.0507</t>
  </si>
  <si>
    <t>35120.0350.0501</t>
  </si>
  <si>
    <t>35040.7905.0501</t>
  </si>
  <si>
    <t>35015.7726.0501</t>
  </si>
  <si>
    <t>32340.0350.0501</t>
  </si>
  <si>
    <t>32322.6421.0501</t>
  </si>
  <si>
    <t>32360.0350.0501</t>
  </si>
  <si>
    <t>35070.6300.0422</t>
  </si>
  <si>
    <t>32325.0450.0422</t>
  </si>
  <si>
    <t>32320.6323.0420</t>
  </si>
  <si>
    <t>32266.5400.0420</t>
  </si>
  <si>
    <t>30001.1111.0420</t>
  </si>
  <si>
    <t>35021.7847.0419</t>
  </si>
  <si>
    <t>50005.7847.0419</t>
  </si>
  <si>
    <t>55002.7847.0419</t>
  </si>
  <si>
    <t>35076.0450.0419</t>
  </si>
  <si>
    <t>35070.6300.0405</t>
  </si>
  <si>
    <t>35070.2597.0405</t>
  </si>
  <si>
    <t>55011.4668.0402</t>
  </si>
  <si>
    <t>55010.4661.0402</t>
  </si>
  <si>
    <t>55010.4664.0402</t>
  </si>
  <si>
    <t>55010.4667.0402</t>
  </si>
  <si>
    <t>50111.3712.0402</t>
  </si>
  <si>
    <t>50110.3722.0402</t>
  </si>
  <si>
    <t>55013.4662.0402</t>
  </si>
  <si>
    <t>55020.3740.0402</t>
  </si>
  <si>
    <t>55020.3743.0402</t>
  </si>
  <si>
    <t>55020.3806.0402</t>
  </si>
  <si>
    <t>55014.4666.0402</t>
  </si>
  <si>
    <t>55020.4716.0402</t>
  </si>
  <si>
    <t>55022.3585.0402</t>
  </si>
  <si>
    <t>55023.3798.0402</t>
  </si>
  <si>
    <t>55023.4717.0402</t>
  </si>
  <si>
    <t>60010.4661.0402</t>
  </si>
  <si>
    <t>32361.6729.0402</t>
  </si>
  <si>
    <t>32344.6929.0402</t>
  </si>
  <si>
    <t>32348.7057.0402</t>
  </si>
  <si>
    <t>32342.6898.0402</t>
  </si>
  <si>
    <t>32312.6192.0402</t>
  </si>
  <si>
    <t>32285.5879.0402</t>
  </si>
  <si>
    <t>32286.5900.0402</t>
  </si>
  <si>
    <t>32312.6172.0402</t>
  </si>
  <si>
    <t>32310.6138.0402</t>
  </si>
  <si>
    <t>32286.5903.0402</t>
  </si>
  <si>
    <t>32300.6000.0402</t>
  </si>
  <si>
    <t>50108.3691.0402</t>
  </si>
  <si>
    <t>32497.6644.0402</t>
  </si>
  <si>
    <t>32497.8937.0402</t>
  </si>
  <si>
    <t>32497.8931.0402</t>
  </si>
  <si>
    <t>35000.0350.0402</t>
  </si>
  <si>
    <t>32262.5768.0402</t>
  </si>
  <si>
    <t>32267.5422.0402</t>
  </si>
  <si>
    <t>32278.5713.0402</t>
  </si>
  <si>
    <t>32111.3465.0402</t>
  </si>
  <si>
    <t>32111.3468.0402</t>
  </si>
  <si>
    <t>32112.3472.0402</t>
  </si>
  <si>
    <t>32114.3460.0402</t>
  </si>
  <si>
    <t>32115.3464.0402</t>
  </si>
  <si>
    <t>32115.3467.0402</t>
  </si>
  <si>
    <t>32119.3469.0402</t>
  </si>
  <si>
    <t>32120.3287.0402</t>
  </si>
  <si>
    <t>32200.4019.0402</t>
  </si>
  <si>
    <t>32240.5544.0402</t>
  </si>
  <si>
    <t>32243.3464.0402</t>
  </si>
  <si>
    <t>32251.3462.0402</t>
  </si>
  <si>
    <t>32262.5353.0402</t>
  </si>
  <si>
    <t>32262.5356.0402</t>
  </si>
  <si>
    <t>32262.5359.0402</t>
  </si>
  <si>
    <t>55014.4669.0402</t>
  </si>
  <si>
    <t>55013.4665.0402</t>
  </si>
  <si>
    <t>55013.4668.0402</t>
  </si>
  <si>
    <t>55020.3746.0402</t>
  </si>
  <si>
    <t>55020.3766.0402</t>
  </si>
  <si>
    <t>55020.3769.0402</t>
  </si>
  <si>
    <t>55020.3772.0402</t>
  </si>
  <si>
    <t>55020.3786.0402</t>
  </si>
  <si>
    <t>55020.3792.0402</t>
  </si>
  <si>
    <t>55020.3812.0402</t>
  </si>
  <si>
    <t>55022.4799.0402</t>
  </si>
  <si>
    <t>60025.4665.0402</t>
  </si>
  <si>
    <t>55023.3767.0402</t>
  </si>
  <si>
    <t>55023.3784.0402</t>
  </si>
  <si>
    <t>55023.3804.0402</t>
  </si>
  <si>
    <t>55023.3744.0402</t>
  </si>
  <si>
    <t>32022.2582.0402</t>
  </si>
  <si>
    <t>32022.2579.0402</t>
  </si>
  <si>
    <t>32108.3473.0402</t>
  </si>
  <si>
    <t>30023.8579.0402</t>
  </si>
  <si>
    <t>31061.1804.0402</t>
  </si>
  <si>
    <t>30021.1157.0402</t>
  </si>
  <si>
    <t>31083.1968.0402</t>
  </si>
  <si>
    <t>31061.1810.0402</t>
  </si>
  <si>
    <t>32125.3302.0402</t>
  </si>
  <si>
    <t>32120.3270.0402</t>
  </si>
  <si>
    <t>50107.3684.0402</t>
  </si>
  <si>
    <t>50108.3685.0402</t>
  </si>
  <si>
    <t>50110.3716.0402</t>
  </si>
  <si>
    <t>50111.3723.0402</t>
  </si>
  <si>
    <t>50113.3734.0402</t>
  </si>
  <si>
    <t>35125.4145.0402</t>
  </si>
  <si>
    <t>50105.3670.0402</t>
  </si>
  <si>
    <t>50105.3673.0402</t>
  </si>
  <si>
    <t>50105.3667.0402</t>
  </si>
  <si>
    <t>35162.8890.0402</t>
  </si>
  <si>
    <t>32022.1964.0402</t>
  </si>
  <si>
    <t>30023.1157.0402</t>
  </si>
  <si>
    <t>31000.0377.0402</t>
  </si>
  <si>
    <t>30003.1113.0402</t>
  </si>
  <si>
    <t>60023.3677.0402</t>
  </si>
  <si>
    <t>60024.3677.0402</t>
  </si>
  <si>
    <t>60024.4665.0402</t>
  </si>
  <si>
    <t>32132.4481.0402</t>
  </si>
  <si>
    <t>32135.4253.0402</t>
  </si>
  <si>
    <t>32135.4250.0402</t>
  </si>
  <si>
    <t>32138.4268.0402</t>
  </si>
  <si>
    <t>32241.3476.0402</t>
  </si>
  <si>
    <t>32250.4237.0402</t>
  </si>
  <si>
    <t>32251.3471.0402</t>
  </si>
  <si>
    <t>32311.5464.0402</t>
  </si>
  <si>
    <t>32312.6158.0402</t>
  </si>
  <si>
    <t>32310.6147.0402</t>
  </si>
  <si>
    <t>32312.6264.0402</t>
  </si>
  <si>
    <t>32265.5383.0402</t>
  </si>
  <si>
    <t>32270.5469.0402</t>
  </si>
  <si>
    <t>32275.5621.0402</t>
  </si>
  <si>
    <t>32275.5624.0402</t>
  </si>
  <si>
    <t>32360.7298.0402</t>
  </si>
  <si>
    <t>32348.6748.0402</t>
  </si>
  <si>
    <t>32330.6649.0402</t>
  </si>
  <si>
    <t>32348.7060.0402</t>
  </si>
  <si>
    <t>32348.7023.0402</t>
  </si>
  <si>
    <t>55021.3734.0402</t>
  </si>
  <si>
    <t>55022.4798.0402</t>
  </si>
  <si>
    <t>55022.4801.0402</t>
  </si>
  <si>
    <t>55022.6704.0402</t>
  </si>
  <si>
    <t>55022.6709.0402</t>
  </si>
  <si>
    <t>55023.3737.0402</t>
  </si>
  <si>
    <t>55023.3739.0402</t>
  </si>
  <si>
    <t>55023.3740.0402</t>
  </si>
  <si>
    <t>55023.3742.0402</t>
  </si>
  <si>
    <t>55023.3743.0402</t>
  </si>
  <si>
    <t>55023.3748.0402</t>
  </si>
  <si>
    <t>55023.3765.0402</t>
  </si>
  <si>
    <t>55023.3766.0402</t>
  </si>
  <si>
    <t>55023.3770.0402</t>
  </si>
  <si>
    <t>55023.3771.0402</t>
  </si>
  <si>
    <t>55023.3772.0402</t>
  </si>
  <si>
    <t>55023.3785.0402</t>
  </si>
  <si>
    <t>55023.3786.0402</t>
  </si>
  <si>
    <t>55023.3789.0402</t>
  </si>
  <si>
    <t>55023.3790.0402</t>
  </si>
  <si>
    <t>55023.3791.0402</t>
  </si>
  <si>
    <t>55023.3792.0402</t>
  </si>
  <si>
    <t>55023.3794.0402</t>
  </si>
  <si>
    <t>55023.3797.0402</t>
  </si>
  <si>
    <t>55023.3799.0402</t>
  </si>
  <si>
    <t>55023.3806.0402</t>
  </si>
  <si>
    <t>55023.3811.0402</t>
  </si>
  <si>
    <t>55023.3812.0402</t>
  </si>
  <si>
    <t>55023.3813.0402</t>
  </si>
  <si>
    <t>55023.4715.0402</t>
  </si>
  <si>
    <t>55023.4716.0402</t>
  </si>
  <si>
    <t>55023.4718.0402</t>
  </si>
  <si>
    <t>60010.4662.0402</t>
  </si>
  <si>
    <t>60010.4663.0402</t>
  </si>
  <si>
    <t>60010.4666.0402</t>
  </si>
  <si>
    <t>55020.3765.0402</t>
  </si>
  <si>
    <t>55020.3767.0402</t>
  </si>
  <si>
    <t>55020.3770.0402</t>
  </si>
  <si>
    <t>55020.3771.0402</t>
  </si>
  <si>
    <t>55020.3784.0402</t>
  </si>
  <si>
    <t>55020.3785.0402</t>
  </si>
  <si>
    <t>55020.3790.0402</t>
  </si>
  <si>
    <t>55020.3791.0402</t>
  </si>
  <si>
    <t>55020.3794.0402</t>
  </si>
  <si>
    <t>55020.3798.0402</t>
  </si>
  <si>
    <t>55020.3804.0402</t>
  </si>
  <si>
    <t>55020.3810.0402</t>
  </si>
  <si>
    <t>55020.3813.0402</t>
  </si>
  <si>
    <t>55020.3815.0402</t>
  </si>
  <si>
    <t>55020.4715.0402</t>
  </si>
  <si>
    <t>55020.4717.0402</t>
  </si>
  <si>
    <t>55020.4718.0402</t>
  </si>
  <si>
    <t>55020.3738.0402</t>
  </si>
  <si>
    <t>55020.3739.0402</t>
  </si>
  <si>
    <t>55020.3741.0402</t>
  </si>
  <si>
    <t>55020.3742.0402</t>
  </si>
  <si>
    <t>55020.3744.0402</t>
  </si>
  <si>
    <t>55020.3748.0402</t>
  </si>
  <si>
    <t>55015.4691.0402</t>
  </si>
  <si>
    <t>55015.3693.0402</t>
  </si>
  <si>
    <t>55015.4681.0402</t>
  </si>
  <si>
    <t>32497.8940.0402</t>
  </si>
  <si>
    <t>35040.7904.0402</t>
  </si>
  <si>
    <t>35040.7718.0402</t>
  </si>
  <si>
    <t>55013.4661.0402</t>
  </si>
  <si>
    <t>55013.4663.0402</t>
  </si>
  <si>
    <t>55013.4664.0402</t>
  </si>
  <si>
    <t>55013.4666.0402</t>
  </si>
  <si>
    <t>55013.4667.0402</t>
  </si>
  <si>
    <t>55013.4669.0402</t>
  </si>
  <si>
    <t>55013.4670.0402</t>
  </si>
  <si>
    <t>55013.4671.0402</t>
  </si>
  <si>
    <t>55014.4661.0402</t>
  </si>
  <si>
    <t>55014.4662.0402</t>
  </si>
  <si>
    <t>55014.4668.0402</t>
  </si>
  <si>
    <t>50105.3665.0402</t>
  </si>
  <si>
    <t>50105.3666.0402</t>
  </si>
  <si>
    <t>50105.3668.0402</t>
  </si>
  <si>
    <t>50105.3703.0402</t>
  </si>
  <si>
    <t>35152.8840.0402</t>
  </si>
  <si>
    <t>35152.8844.0402</t>
  </si>
  <si>
    <t>35152.8845.0402</t>
  </si>
  <si>
    <t>35152.7725.0402</t>
  </si>
  <si>
    <t>35150.0300.0402</t>
  </si>
  <si>
    <t>35160.2250.0402</t>
  </si>
  <si>
    <t>35162.0378.0402</t>
  </si>
  <si>
    <t>50005.0350.0402</t>
  </si>
  <si>
    <t>35162.8897.0402</t>
  </si>
  <si>
    <t>35125.4135.0402</t>
  </si>
  <si>
    <t>35125.4133.0402</t>
  </si>
  <si>
    <t>35125.4137.0402</t>
  </si>
  <si>
    <t>35125.4140.0402</t>
  </si>
  <si>
    <t>35125.4143.0402</t>
  </si>
  <si>
    <t>35120.0530.0402</t>
  </si>
  <si>
    <t>35125.0300.0402</t>
  </si>
  <si>
    <t>35120.0300.0402</t>
  </si>
  <si>
    <t>35145.8761.0402</t>
  </si>
  <si>
    <t>35145.0350.0402</t>
  </si>
  <si>
    <t>50106.3665.0402</t>
  </si>
  <si>
    <t>50108.3679.0402</t>
  </si>
  <si>
    <t>50110.3712.0402</t>
  </si>
  <si>
    <t>50110.3713.0402</t>
  </si>
  <si>
    <t>50110.3714.0402</t>
  </si>
  <si>
    <t>50110.3715.0402</t>
  </si>
  <si>
    <t>50110.3717.0402</t>
  </si>
  <si>
    <t>50110.3701.0402</t>
  </si>
  <si>
    <t>50110.3703.0402</t>
  </si>
  <si>
    <t>50109.3697.0402</t>
  </si>
  <si>
    <t>50109.3699.0402</t>
  </si>
  <si>
    <t>50110.3718.0402</t>
  </si>
  <si>
    <t>50110.3723.0402</t>
  </si>
  <si>
    <t>50110.3724.0402</t>
  </si>
  <si>
    <t>50111.3701.0402</t>
  </si>
  <si>
    <t>50111.3713.0402</t>
  </si>
  <si>
    <t>50111.3714.0402</t>
  </si>
  <si>
    <t>50111.3715.0402</t>
  </si>
  <si>
    <t>50111.3716.0402</t>
  </si>
  <si>
    <t>50111.3717.0402</t>
  </si>
  <si>
    <t>50111.3722.0402</t>
  </si>
  <si>
    <t>50112.3575.0402</t>
  </si>
  <si>
    <t>50112.3583.0402</t>
  </si>
  <si>
    <t>50112.4597.0402</t>
  </si>
  <si>
    <t>55010.4662.0402</t>
  </si>
  <si>
    <t>55010.4663.0402</t>
  </si>
  <si>
    <t>55010.4665.0402</t>
  </si>
  <si>
    <t>55010.4666.0402</t>
  </si>
  <si>
    <t>55010.4668.0402</t>
  </si>
  <si>
    <t>55010.4669.0402</t>
  </si>
  <si>
    <t>55011.4661.0402</t>
  </si>
  <si>
    <t>55011.4662.0402</t>
  </si>
  <si>
    <t>55011.4663.0402</t>
  </si>
  <si>
    <t>55011.4664.0402</t>
  </si>
  <si>
    <t>55011.4665.0402</t>
  </si>
  <si>
    <t>55011.4666.0402</t>
  </si>
  <si>
    <t>55011.4667.0402</t>
  </si>
  <si>
    <t>55011.4669.0402</t>
  </si>
  <si>
    <t>55011.4670.0402</t>
  </si>
  <si>
    <t>50113.6704.0402</t>
  </si>
  <si>
    <t>50113.6709.0402</t>
  </si>
  <si>
    <t>55002.0350.0402</t>
  </si>
  <si>
    <t>35082.0530.0402</t>
  </si>
  <si>
    <t>35084.8686.0402</t>
  </si>
  <si>
    <t>35080.8584.0402</t>
  </si>
  <si>
    <t>35080.8586.0402</t>
  </si>
  <si>
    <t>35076.0530.0402</t>
  </si>
  <si>
    <t>35077.8574.0402</t>
  </si>
  <si>
    <t>35040.7903.0402</t>
  </si>
  <si>
    <t>35040.7900.0402</t>
  </si>
  <si>
    <t>35040.0300.0402</t>
  </si>
  <si>
    <t>35050.0300.0402</t>
  </si>
  <si>
    <t>35040.7925.0402</t>
  </si>
  <si>
    <t>35015.0350.0402</t>
  </si>
  <si>
    <t>35015.7718.0402</t>
  </si>
  <si>
    <t>32497.6640.0402</t>
  </si>
  <si>
    <t>32497.8930.0402</t>
  </si>
  <si>
    <t>32497.8938.0402</t>
  </si>
  <si>
    <t>32497.8941.0402</t>
  </si>
  <si>
    <t>32497.8942.0402</t>
  </si>
  <si>
    <t>35001.7518.0402</t>
  </si>
  <si>
    <t>32279.5605.0402</t>
  </si>
  <si>
    <t>32278.5701.0402</t>
  </si>
  <si>
    <t>32278.5714.0402</t>
  </si>
  <si>
    <t>32280.5741.0402</t>
  </si>
  <si>
    <t>32285.0425.0402</t>
  </si>
  <si>
    <t>32285.0531.0402</t>
  </si>
  <si>
    <t>32285.5878.0402</t>
  </si>
  <si>
    <t>32286.5363.0402</t>
  </si>
  <si>
    <t>32286.5901.0402</t>
  </si>
  <si>
    <t>32310.6136.0402</t>
  </si>
  <si>
    <t>32310.6140.0402</t>
  </si>
  <si>
    <t>32286.5902.0402</t>
  </si>
  <si>
    <t>32300.5997.0402</t>
  </si>
  <si>
    <t>32312.6186.0402</t>
  </si>
  <si>
    <t>32312.6188.0402</t>
  </si>
  <si>
    <t>32312.6190.0402</t>
  </si>
  <si>
    <t>32312.6193.0402</t>
  </si>
  <si>
    <t>32312.6194.0402</t>
  </si>
  <si>
    <t>32312.6196.0402</t>
  </si>
  <si>
    <t>32312.6205.0402</t>
  </si>
  <si>
    <t>32312.6206.0402</t>
  </si>
  <si>
    <t>32320.6709.0402</t>
  </si>
  <si>
    <t>32320.6704.0402</t>
  </si>
  <si>
    <t>32320.6397.0402</t>
  </si>
  <si>
    <t>32320.2271.0402</t>
  </si>
  <si>
    <t>32312.6164.0402</t>
  </si>
  <si>
    <t>32312.6166.0402</t>
  </si>
  <si>
    <t>32312.6168.0402</t>
  </si>
  <si>
    <t>32312.6170.0402</t>
  </si>
  <si>
    <t>32312.6174.0402</t>
  </si>
  <si>
    <t>32312.6182.0402</t>
  </si>
  <si>
    <t>32312.6184.0402</t>
  </si>
  <si>
    <t>32310.6143.0402</t>
  </si>
  <si>
    <t>32310.6151.0402</t>
  </si>
  <si>
    <t>32312.6156.0402</t>
  </si>
  <si>
    <t>32312.6157.0402</t>
  </si>
  <si>
    <t>32312.6162.0402</t>
  </si>
  <si>
    <t>32312.6160.0402</t>
  </si>
  <si>
    <t>32348.7019.0402</t>
  </si>
  <si>
    <t>32348.7024.0402</t>
  </si>
  <si>
    <t>32348.7025.0402</t>
  </si>
  <si>
    <t>32348.7026.0402</t>
  </si>
  <si>
    <t>32348.7027.0402</t>
  </si>
  <si>
    <t>32344.6922.0402</t>
  </si>
  <si>
    <t>32342.6900.0402</t>
  </si>
  <si>
    <t>32344.6921.0402</t>
  </si>
  <si>
    <t>32345.6991.0402</t>
  </si>
  <si>
    <t>32345.6995.0402</t>
  </si>
  <si>
    <t>32342.6899.0402</t>
  </si>
  <si>
    <t>32342.6896.0402</t>
  </si>
  <si>
    <t>32340.6868.0402</t>
  </si>
  <si>
    <t>32340.6865.0402</t>
  </si>
  <si>
    <t>32340.6862.0402</t>
  </si>
  <si>
    <t>32340.0425.0402</t>
  </si>
  <si>
    <t>32331.6649.0402</t>
  </si>
  <si>
    <t>32340.0350.0402</t>
  </si>
  <si>
    <t>32325.0530.0402</t>
  </si>
  <si>
    <t>32322.6423.0402</t>
  </si>
  <si>
    <t>32322.6421.0402</t>
  </si>
  <si>
    <t>32322.6420.0402</t>
  </si>
  <si>
    <t>32364.7353.0402</t>
  </si>
  <si>
    <t>32364.7349.0402</t>
  </si>
  <si>
    <t>32364.7347.0402</t>
  </si>
  <si>
    <t>32364.7346.0402</t>
  </si>
  <si>
    <t>32348.7051.0402</t>
  </si>
  <si>
    <t>32350.7073.0402</t>
  </si>
  <si>
    <t>32348.7041.0402</t>
  </si>
  <si>
    <t>32348.7049.0402</t>
  </si>
  <si>
    <t>32361.6724.0402</t>
  </si>
  <si>
    <t>32265.5385.0402</t>
  </si>
  <si>
    <t>32265.5386.0402</t>
  </si>
  <si>
    <t>32266.0530.0402</t>
  </si>
  <si>
    <t>32267.5420.0402</t>
  </si>
  <si>
    <t>32267.5421.0402</t>
  </si>
  <si>
    <t>32267.5424.0402</t>
  </si>
  <si>
    <t>32270.5459.0402</t>
  </si>
  <si>
    <t>32270.5465.0402</t>
  </si>
  <si>
    <t>32275.5622.0402</t>
  </si>
  <si>
    <t>32275.5623.0402</t>
  </si>
  <si>
    <t>32275.5625.0402</t>
  </si>
  <si>
    <t>32241.3478.0402</t>
  </si>
  <si>
    <t>32242.3471.0402</t>
  </si>
  <si>
    <t>32243.3465.0402</t>
  </si>
  <si>
    <t>32243.3468.0402</t>
  </si>
  <si>
    <t>32248.5544.0402</t>
  </si>
  <si>
    <t>32250.4224.0402</t>
  </si>
  <si>
    <t>32250.4236.0402</t>
  </si>
  <si>
    <t>32250.5068.0402</t>
  </si>
  <si>
    <t>32250.5126.0402</t>
  </si>
  <si>
    <t>32251.3473.0402</t>
  </si>
  <si>
    <t>32251.5542.0402</t>
  </si>
  <si>
    <t>32251.5544.0402</t>
  </si>
  <si>
    <t>32252.3464.0402</t>
  </si>
  <si>
    <t>32252.5548.0402</t>
  </si>
  <si>
    <t>32254.5577.0402</t>
  </si>
  <si>
    <t>32262.5375.0402</t>
  </si>
  <si>
    <t>32262.5390.0402</t>
  </si>
  <si>
    <t>32262.5440.0402</t>
  </si>
  <si>
    <t>32262.5470.0402</t>
  </si>
  <si>
    <t>32262.5556.0402</t>
  </si>
  <si>
    <t>32262.7725.0402</t>
  </si>
  <si>
    <t>32262.5351.0402</t>
  </si>
  <si>
    <t>32262.5352.0402</t>
  </si>
  <si>
    <t>32262.5354.0402</t>
  </si>
  <si>
    <t>32262.5355.0402</t>
  </si>
  <si>
    <t>32262.5344.0402</t>
  </si>
  <si>
    <t>32262.5364.0402</t>
  </si>
  <si>
    <t>32262.5368.0402</t>
  </si>
  <si>
    <t>32262.5371.0402</t>
  </si>
  <si>
    <t>32262.5374.0402</t>
  </si>
  <si>
    <t>32261.5320.0402</t>
  </si>
  <si>
    <t>32262.4152.0402</t>
  </si>
  <si>
    <t>32262.5249.0402</t>
  </si>
  <si>
    <t>32262.5338.0402</t>
  </si>
  <si>
    <t>32262.5347.0402</t>
  </si>
  <si>
    <t>32262.5348.0402</t>
  </si>
  <si>
    <t>32262.5349.0402</t>
  </si>
  <si>
    <t>32262.5350.0402</t>
  </si>
  <si>
    <t>32262.5346.0402</t>
  </si>
  <si>
    <t>32262.5343.0402</t>
  </si>
  <si>
    <t>32261.0530.0402</t>
  </si>
  <si>
    <t>32240.3471.0402</t>
  </si>
  <si>
    <t>32116.3238.0402</t>
  </si>
  <si>
    <t>32116.3239.0402</t>
  </si>
  <si>
    <t>32119.3470.0402</t>
  </si>
  <si>
    <t>32120.3280.0402</t>
  </si>
  <si>
    <t>32120.3286.0402</t>
  </si>
  <si>
    <t>32120.3298.0402</t>
  </si>
  <si>
    <t>32130.4226.0402</t>
  </si>
  <si>
    <t>32132.4231.0402</t>
  </si>
  <si>
    <t>32135.4251.0402</t>
  </si>
  <si>
    <t>32135.4254.0402</t>
  </si>
  <si>
    <t>32135.4256.0402</t>
  </si>
  <si>
    <t>32200.4015.0402</t>
  </si>
  <si>
    <t>32201.0500.0402</t>
  </si>
  <si>
    <t>32200.0300.0402</t>
  </si>
  <si>
    <t>32135.4368.0402</t>
  </si>
  <si>
    <t>32102.0516.0402</t>
  </si>
  <si>
    <t>32108.3472.0402</t>
  </si>
  <si>
    <t>32110.3088.0402</t>
  </si>
  <si>
    <t>32110.3234.0402</t>
  </si>
  <si>
    <t>32110.3460.0402</t>
  </si>
  <si>
    <t>32110.3462.0402</t>
  </si>
  <si>
    <t>32110.3463.0402</t>
  </si>
  <si>
    <t>32111.3464.0402</t>
  </si>
  <si>
    <t>32111.3467.0402</t>
  </si>
  <si>
    <t>32112.3471.0402</t>
  </si>
  <si>
    <t>32112.3473.0402</t>
  </si>
  <si>
    <t>32114.3462.0402</t>
  </si>
  <si>
    <t>32115.3465.0402</t>
  </si>
  <si>
    <t>32115.3468.0402</t>
  </si>
  <si>
    <t>32115.3478.0402</t>
  </si>
  <si>
    <t>32095.3066.0402</t>
  </si>
  <si>
    <t>32023.2459.0402</t>
  </si>
  <si>
    <t>32023.2475.0402</t>
  </si>
  <si>
    <t>32096.3066.0402</t>
  </si>
  <si>
    <t>32100.0570.0402</t>
  </si>
  <si>
    <t>32100.0571.0402</t>
  </si>
  <si>
    <t>32022.2494.0402</t>
  </si>
  <si>
    <t>32022.2576.0402</t>
  </si>
  <si>
    <t>32022.2577.0402</t>
  </si>
  <si>
    <t>32022.2578.0402</t>
  </si>
  <si>
    <t>32022.2580.0402</t>
  </si>
  <si>
    <t>32022.2581.0402</t>
  </si>
  <si>
    <t>32022.2583.0402</t>
  </si>
  <si>
    <t>32022.5461.0402</t>
  </si>
  <si>
    <t>32021.2451.0402</t>
  </si>
  <si>
    <t>32022.2490.0402</t>
  </si>
  <si>
    <t>32022.2491.0402</t>
  </si>
  <si>
    <t>32022.2492.0402</t>
  </si>
  <si>
    <t>32022.2493.0402</t>
  </si>
  <si>
    <t>32021.2453.0402</t>
  </si>
  <si>
    <t>32022.1115.0402</t>
  </si>
  <si>
    <t>32001.5553.0402</t>
  </si>
  <si>
    <t>32011.2238.0402</t>
  </si>
  <si>
    <t>32011.2241.0402</t>
  </si>
  <si>
    <t>30001.8695.0402</t>
  </si>
  <si>
    <t>30002.0360.0402</t>
  </si>
  <si>
    <t>30001.1091.0402</t>
  </si>
  <si>
    <t>30002.1030.0402</t>
  </si>
  <si>
    <t>30002.1089.0402</t>
  </si>
  <si>
    <t>30002.1148.0402</t>
  </si>
  <si>
    <t>30002.1118.0402</t>
  </si>
  <si>
    <t>30000.0300.0402</t>
  </si>
  <si>
    <t>30023.0300.0402</t>
  </si>
  <si>
    <t>30023.4144.0402</t>
  </si>
  <si>
    <t>30023.4156.0402</t>
  </si>
  <si>
    <t>30025.0425.0402</t>
  </si>
  <si>
    <t>31000.0300.0402</t>
  </si>
  <si>
    <t>31020.0300.0402</t>
  </si>
  <si>
    <t>30003.1079.0402</t>
  </si>
  <si>
    <t>30005.1128.0402</t>
  </si>
  <si>
    <t>32001.0425.0402</t>
  </si>
  <si>
    <t>32001.2254.0402</t>
  </si>
  <si>
    <t>32001.2266.0402</t>
  </si>
  <si>
    <t>32000.0425.0402</t>
  </si>
  <si>
    <t>32000.0510.0402</t>
  </si>
  <si>
    <t>32000.5552.0402</t>
  </si>
  <si>
    <t>32001.0300.0402</t>
  </si>
  <si>
    <t>31082.0300.0402</t>
  </si>
  <si>
    <t>31083.1961.0402</t>
  </si>
  <si>
    <t>31045.3091.0402</t>
  </si>
  <si>
    <t>31042.1653.0402</t>
  </si>
  <si>
    <t>31042.1652.0402</t>
  </si>
  <si>
    <t>31042.1651.0402</t>
  </si>
  <si>
    <t>31040.0300.0402</t>
  </si>
  <si>
    <t>31080.0300.0402</t>
  </si>
  <si>
    <t>31061.1809.0402</t>
  </si>
  <si>
    <t>35031.7873.0401</t>
  </si>
  <si>
    <t>35000.7724.0401</t>
  </si>
  <si>
    <t>35055.7962.0401</t>
  </si>
  <si>
    <t>35074.8566.0401</t>
  </si>
  <si>
    <t>32497.8957.0401</t>
  </si>
  <si>
    <t>32497.8951.0401</t>
  </si>
  <si>
    <t>32497.8937.0401</t>
  </si>
  <si>
    <t>32497.8934.0401</t>
  </si>
  <si>
    <t>32497.6644.0401</t>
  </si>
  <si>
    <t>35125.4139.0401</t>
  </si>
  <si>
    <t>50106.3703.0401</t>
  </si>
  <si>
    <t>50106.3666.0401</t>
  </si>
  <si>
    <t>32312.6189.0401</t>
  </si>
  <si>
    <t>32300.0630.0401</t>
  </si>
  <si>
    <t>32496.8947.0401</t>
  </si>
  <si>
    <t>32364.7348.0401</t>
  </si>
  <si>
    <t>32361.6729.0401</t>
  </si>
  <si>
    <t>60025.4662.0401</t>
  </si>
  <si>
    <t>60023.4668.0401</t>
  </si>
  <si>
    <t>60010.4661.0401</t>
  </si>
  <si>
    <t>55023.4717.0401</t>
  </si>
  <si>
    <t>55023.3798.0401</t>
  </si>
  <si>
    <t>55023.3738.0401</t>
  </si>
  <si>
    <t>55022.6708.0401</t>
  </si>
  <si>
    <t>55022.6705.0401</t>
  </si>
  <si>
    <t>55014.4666.0401</t>
  </si>
  <si>
    <t>55020.3806.0401</t>
  </si>
  <si>
    <t>55020.3743.0401</t>
  </si>
  <si>
    <t>55020.3740.0401</t>
  </si>
  <si>
    <t>55020.3737.0401</t>
  </si>
  <si>
    <t>55014.4663.0401</t>
  </si>
  <si>
    <t>55013.4662.0401</t>
  </si>
  <si>
    <t>55012.4615.0401</t>
  </si>
  <si>
    <t>50110.3722.0401</t>
  </si>
  <si>
    <t>50111.3712.0401</t>
  </si>
  <si>
    <t>50110.3708.0401</t>
  </si>
  <si>
    <t>55010.4667.0401</t>
  </si>
  <si>
    <t>55010.4664.0401</t>
  </si>
  <si>
    <t>55011.4668.0401</t>
  </si>
  <si>
    <t>30003.1113.0401</t>
  </si>
  <si>
    <t>32020.0350.0401</t>
  </si>
  <si>
    <t>32011.2240.0401</t>
  </si>
  <si>
    <t>50105.3667.0401</t>
  </si>
  <si>
    <t>50106.3717.0401</t>
  </si>
  <si>
    <t>55010.4670.0401</t>
  </si>
  <si>
    <t>50113.6708.0401</t>
  </si>
  <si>
    <t>50111.3723.0401</t>
  </si>
  <si>
    <t>50111.3703.0401</t>
  </si>
  <si>
    <t>50110.3716.0401</t>
  </si>
  <si>
    <t>32119.3478.0401</t>
  </si>
  <si>
    <t>32125.3302.0401</t>
  </si>
  <si>
    <t>31060.1803.0401</t>
  </si>
  <si>
    <t>32108.3473.0401</t>
  </si>
  <si>
    <t>32011.2248.0401</t>
  </si>
  <si>
    <t>55023.3741.0401</t>
  </si>
  <si>
    <t>55023.3744.0401</t>
  </si>
  <si>
    <t>55023.3747.0401</t>
  </si>
  <si>
    <t>60010.4664.0401</t>
  </si>
  <si>
    <t>55023.3810.0401</t>
  </si>
  <si>
    <t>55023.3804.0401</t>
  </si>
  <si>
    <t>55023.3784.0401</t>
  </si>
  <si>
    <t>60022.4756.0401</t>
  </si>
  <si>
    <t>55023.3767.0401</t>
  </si>
  <si>
    <t>60010.4667.0401</t>
  </si>
  <si>
    <t>60025.4668.0401</t>
  </si>
  <si>
    <t>60025.4665.0401</t>
  </si>
  <si>
    <t>55020.3812.0401</t>
  </si>
  <si>
    <t>55020.3809.0401</t>
  </si>
  <si>
    <t>55020.3792.0401</t>
  </si>
  <si>
    <t>55020.3789.0401</t>
  </si>
  <si>
    <t>55020.3786.0401</t>
  </si>
  <si>
    <t>55020.3772.0401</t>
  </si>
  <si>
    <t>55020.3769.0401</t>
  </si>
  <si>
    <t>55020.3766.0401</t>
  </si>
  <si>
    <t>55020.3746.0401</t>
  </si>
  <si>
    <t>55019.4615.0401</t>
  </si>
  <si>
    <t>55013.4668.0401</t>
  </si>
  <si>
    <t>55014.4669.0401</t>
  </si>
  <si>
    <t>55013.4665.0401</t>
  </si>
  <si>
    <t>32262.5359.0401</t>
  </si>
  <si>
    <t>32262.5356.0401</t>
  </si>
  <si>
    <t>32262.5353.0401</t>
  </si>
  <si>
    <t>32251.5543.0401</t>
  </si>
  <si>
    <t>32242.3477.0401</t>
  </si>
  <si>
    <t>32240.5544.0401</t>
  </si>
  <si>
    <t>32240.3463.0401</t>
  </si>
  <si>
    <t>32120.3287.0401</t>
  </si>
  <si>
    <t>32119.3469.0401</t>
  </si>
  <si>
    <t>32115.3467.0401</t>
  </si>
  <si>
    <t>32114.3463.0401</t>
  </si>
  <si>
    <t>32112.3472.0401</t>
  </si>
  <si>
    <t>32111.3468.0401</t>
  </si>
  <si>
    <t>32111.3465.0401</t>
  </si>
  <si>
    <t>32110.3235.0401</t>
  </si>
  <si>
    <t>32265.5391.0401</t>
  </si>
  <si>
    <t>32264.6180.0401</t>
  </si>
  <si>
    <t>35015.7728.0401</t>
  </si>
  <si>
    <t>35051.7949.0401</t>
  </si>
  <si>
    <t>35051.7946.0401</t>
  </si>
  <si>
    <t>35008.7602.0401</t>
  </si>
  <si>
    <t>35008.7605.0401</t>
  </si>
  <si>
    <t>32497.8960.0401</t>
  </si>
  <si>
    <t>32497.8943.0401</t>
  </si>
  <si>
    <t>32497.8940.0401</t>
  </si>
  <si>
    <t>55020.3748.0401</t>
  </si>
  <si>
    <t>55020.3747.0401</t>
  </si>
  <si>
    <t>55020.3744.0401</t>
  </si>
  <si>
    <t>55020.3741.0401</t>
  </si>
  <si>
    <t>55020.3739.0401</t>
  </si>
  <si>
    <t>55019.4617.0401</t>
  </si>
  <si>
    <t>55019.4616.0401</t>
  </si>
  <si>
    <t>55020.3814.0401</t>
  </si>
  <si>
    <t>55020.3813.0401</t>
  </si>
  <si>
    <t>55020.3811.0401</t>
  </si>
  <si>
    <t>55020.3810.0401</t>
  </si>
  <si>
    <t>55020.3805.0401</t>
  </si>
  <si>
    <t>55020.3804.0401</t>
  </si>
  <si>
    <t>55020.3799.0401</t>
  </si>
  <si>
    <t>55020.3796.0401</t>
  </si>
  <si>
    <t>55020.3795.0401</t>
  </si>
  <si>
    <t>55020.3794.0401</t>
  </si>
  <si>
    <t>55020.3791.0401</t>
  </si>
  <si>
    <t>55020.3790.0401</t>
  </si>
  <si>
    <t>55020.3788.0401</t>
  </si>
  <si>
    <t>55020.3787.0401</t>
  </si>
  <si>
    <t>55020.3785.0401</t>
  </si>
  <si>
    <t>55020.3784.0401</t>
  </si>
  <si>
    <t>55020.3771.0401</t>
  </si>
  <si>
    <t>55020.3770.0401</t>
  </si>
  <si>
    <t>55020.3767.0401</t>
  </si>
  <si>
    <t>55020.3765.0401</t>
  </si>
  <si>
    <t>60011.3816.0401</t>
  </si>
  <si>
    <t>60011.3658.0401</t>
  </si>
  <si>
    <t>60010.4666.0401</t>
  </si>
  <si>
    <t>60010.4665.0401</t>
  </si>
  <si>
    <t>60010.4662.0401</t>
  </si>
  <si>
    <t>60009.3699.0401</t>
  </si>
  <si>
    <t>60009.3696.0401</t>
  </si>
  <si>
    <t>55023.4718.0401</t>
  </si>
  <si>
    <t>55023.4716.0401</t>
  </si>
  <si>
    <t>55023.4715.0401</t>
  </si>
  <si>
    <t>55023.3815.0401</t>
  </si>
  <si>
    <t>55023.3814.0401</t>
  </si>
  <si>
    <t>55023.3813.0401</t>
  </si>
  <si>
    <t>55023.3812.0401</t>
  </si>
  <si>
    <t>55023.3811.0401</t>
  </si>
  <si>
    <t>55023.3806.0401</t>
  </si>
  <si>
    <t>55023.3799.0401</t>
  </si>
  <si>
    <t>55023.3797.0401</t>
  </si>
  <si>
    <t>55023.3794.0401</t>
  </si>
  <si>
    <t>55023.3793.0401</t>
  </si>
  <si>
    <t>55023.3792.0401</t>
  </si>
  <si>
    <t>55023.3791.0401</t>
  </si>
  <si>
    <t>55023.3790.0401</t>
  </si>
  <si>
    <t>55023.3789.0401</t>
  </si>
  <si>
    <t>55023.3786.0401</t>
  </si>
  <si>
    <t>55023.3785.0401</t>
  </si>
  <si>
    <t>55023.3772.0401</t>
  </si>
  <si>
    <t>55023.3771.0401</t>
  </si>
  <si>
    <t>55023.3770.0401</t>
  </si>
  <si>
    <t>55023.3766.0401</t>
  </si>
  <si>
    <t>55023.3765.0401</t>
  </si>
  <si>
    <t>55023.3748.0401</t>
  </si>
  <si>
    <t>55023.3746.0401</t>
  </si>
  <si>
    <t>55023.3743.0401</t>
  </si>
  <si>
    <t>55023.3742.0401</t>
  </si>
  <si>
    <t>55023.3740.0401</t>
  </si>
  <si>
    <t>55023.3739.0401</t>
  </si>
  <si>
    <t>55023.3737.0401</t>
  </si>
  <si>
    <t>55022.6710.0401</t>
  </si>
  <si>
    <t>55022.6709.0401</t>
  </si>
  <si>
    <t>55022.6707.0401</t>
  </si>
  <si>
    <t>55022.6706.0401</t>
  </si>
  <si>
    <t>55022.6704.0401</t>
  </si>
  <si>
    <t>55022.6702.0401</t>
  </si>
  <si>
    <t>55022.4805.0401</t>
  </si>
  <si>
    <t>55022.4580.0401</t>
  </si>
  <si>
    <t>32361.6721.0401</t>
  </si>
  <si>
    <t>32262.5345.0401</t>
  </si>
  <si>
    <t>32310.6147.0401</t>
  </si>
  <si>
    <t>32311.5464.0401</t>
  </si>
  <si>
    <t>32251.3474.0401</t>
  </si>
  <si>
    <t>32251.3471.0401</t>
  </si>
  <si>
    <t>32250.4237.0401</t>
  </si>
  <si>
    <t>32250.4234.0401</t>
  </si>
  <si>
    <t>32242.3463.0401</t>
  </si>
  <si>
    <t>60025.4666.0401</t>
  </si>
  <si>
    <t>60025.4664.0401</t>
  </si>
  <si>
    <t>60025.4661.0401</t>
  </si>
  <si>
    <t>60024.4668.0401</t>
  </si>
  <si>
    <t>60024.4665.0401</t>
  </si>
  <si>
    <t>60024.3677.0401</t>
  </si>
  <si>
    <t>60023.4665.0401</t>
  </si>
  <si>
    <t>60023.3677.0401</t>
  </si>
  <si>
    <t>60022.4600.0401</t>
  </si>
  <si>
    <t>60022.4599.0401</t>
  </si>
  <si>
    <t>60022.4597.0401</t>
  </si>
  <si>
    <t>60022.3583.0401</t>
  </si>
  <si>
    <t>60022.3575.0401</t>
  </si>
  <si>
    <t>50113.6710.0401</t>
  </si>
  <si>
    <t>50113.6709.0401</t>
  </si>
  <si>
    <t>50113.6707.0401</t>
  </si>
  <si>
    <t>50113.6706.0401</t>
  </si>
  <si>
    <t>50113.6705.0401</t>
  </si>
  <si>
    <t>50113.6704.0401</t>
  </si>
  <si>
    <t>50113.6702.0401</t>
  </si>
  <si>
    <t>55011.4670.0401</t>
  </si>
  <si>
    <t>55011.4669.0401</t>
  </si>
  <si>
    <t>55011.4667.0401</t>
  </si>
  <si>
    <t>55011.4666.0401</t>
  </si>
  <si>
    <t>55011.4665.0401</t>
  </si>
  <si>
    <t>55011.4664.0401</t>
  </si>
  <si>
    <t>55011.4663.0401</t>
  </si>
  <si>
    <t>55011.4662.0401</t>
  </si>
  <si>
    <t>55011.4661.0401</t>
  </si>
  <si>
    <t>55010.4669.0401</t>
  </si>
  <si>
    <t>55010.4668.0401</t>
  </si>
  <si>
    <t>55010.4666.0401</t>
  </si>
  <si>
    <t>55010.4665.0401</t>
  </si>
  <si>
    <t>55010.4662.0401</t>
  </si>
  <si>
    <t>50112.3637.0401</t>
  </si>
  <si>
    <t>50111.3722.0401</t>
  </si>
  <si>
    <t>50111.3717.0401</t>
  </si>
  <si>
    <t>50111.3716.0401</t>
  </si>
  <si>
    <t>50111.3715.0401</t>
  </si>
  <si>
    <t>50111.3714.0401</t>
  </si>
  <si>
    <t>50111.3713.0401</t>
  </si>
  <si>
    <t>50110.3724.0401</t>
  </si>
  <si>
    <t>50110.3723.0401</t>
  </si>
  <si>
    <t>50108.3683.0401</t>
  </si>
  <si>
    <t>50110.3703.0401</t>
  </si>
  <si>
    <t>50110.3701.0401</t>
  </si>
  <si>
    <t>50110.3717.0401</t>
  </si>
  <si>
    <t>50110.3715.0401</t>
  </si>
  <si>
    <t>50110.3714.0401</t>
  </si>
  <si>
    <t>50110.3713.0401</t>
  </si>
  <si>
    <t>50106.3670.0401</t>
  </si>
  <si>
    <t>50106.3673.0401</t>
  </si>
  <si>
    <t>50106.3669.0401</t>
  </si>
  <si>
    <t>50106.3668.0401</t>
  </si>
  <si>
    <t>50106.3667.0401</t>
  </si>
  <si>
    <t>50105.3717.0401</t>
  </si>
  <si>
    <t>35145.0350.0401</t>
  </si>
  <si>
    <t>35152.7725.0401</t>
  </si>
  <si>
    <t>35152.5444.0401</t>
  </si>
  <si>
    <t>50005.7728.0401</t>
  </si>
  <si>
    <t>50105.3703.0401</t>
  </si>
  <si>
    <t>50105.3669.0401</t>
  </si>
  <si>
    <t>50105.3668.0401</t>
  </si>
  <si>
    <t>50105.3666.0401</t>
  </si>
  <si>
    <t>50102.3637.0401</t>
  </si>
  <si>
    <t>55012.4620.0401</t>
  </si>
  <si>
    <t>55014.4670.0401</t>
  </si>
  <si>
    <t>55014.4668.0401</t>
  </si>
  <si>
    <t>55014.4667.0401</t>
  </si>
  <si>
    <t>55014.4665.0401</t>
  </si>
  <si>
    <t>55014.4664.0401</t>
  </si>
  <si>
    <t>55014.4662.0401</t>
  </si>
  <si>
    <t>55014.4661.0401</t>
  </si>
  <si>
    <t>55014.4660.0401</t>
  </si>
  <si>
    <t>55013.4671.0401</t>
  </si>
  <si>
    <t>55013.4670.0401</t>
  </si>
  <si>
    <t>55013.4669.0401</t>
  </si>
  <si>
    <t>55013.4667.0401</t>
  </si>
  <si>
    <t>55013.4666.0401</t>
  </si>
  <si>
    <t>55013.4664.0401</t>
  </si>
  <si>
    <t>55013.4663.0401</t>
  </si>
  <si>
    <t>55013.4661.0401</t>
  </si>
  <si>
    <t>55012.4619.0401</t>
  </si>
  <si>
    <t>55012.4616.0401</t>
  </si>
  <si>
    <t>35008.7597.0401</t>
  </si>
  <si>
    <t>35006.7569.0401</t>
  </si>
  <si>
    <t>35008.7592.0401</t>
  </si>
  <si>
    <t>35005.0330.0401</t>
  </si>
  <si>
    <t>35001.7515.0401</t>
  </si>
  <si>
    <t>35001.7517.0401</t>
  </si>
  <si>
    <t>35001.7518.0401</t>
  </si>
  <si>
    <t>32497.8961.0401</t>
  </si>
  <si>
    <t>32497.8936.0401</t>
  </si>
  <si>
    <t>32497.8949.0401</t>
  </si>
  <si>
    <t>32497.8952.0401</t>
  </si>
  <si>
    <t>32497.8941.0401</t>
  </si>
  <si>
    <t>32497.8938.0401</t>
  </si>
  <si>
    <t>32497.8935.0401</t>
  </si>
  <si>
    <t>32497.8930.0401</t>
  </si>
  <si>
    <t>32497.8929.0401</t>
  </si>
  <si>
    <t>32497.8925.0401</t>
  </si>
  <si>
    <t>32497.6640.0401</t>
  </si>
  <si>
    <t>35015.7724.0401</t>
  </si>
  <si>
    <t>35015.7723.0401</t>
  </si>
  <si>
    <t>35015.7721.0401</t>
  </si>
  <si>
    <t>35015.7720.0401</t>
  </si>
  <si>
    <t>35015.7729.0401</t>
  </si>
  <si>
    <t>35008.7600.0401</t>
  </si>
  <si>
    <t>35008.7603.0401</t>
  </si>
  <si>
    <t>35008.7604.0401</t>
  </si>
  <si>
    <t>35008.7606.0401</t>
  </si>
  <si>
    <t>35010.1160.0401</t>
  </si>
  <si>
    <t>35050.0300.0401</t>
  </si>
  <si>
    <t>35051.7948.0401</t>
  </si>
  <si>
    <t>35051.7950.0401</t>
  </si>
  <si>
    <t>35057.7977.0401</t>
  </si>
  <si>
    <t>35055.7958.0401</t>
  </si>
  <si>
    <t>35072.8566.0401</t>
  </si>
  <si>
    <t>35073.8566.0401</t>
  </si>
  <si>
    <t>32497.6605.0401</t>
  </si>
  <si>
    <t>32496.8955.0401</t>
  </si>
  <si>
    <t>32496.6648.0401</t>
  </si>
  <si>
    <t>32496.8954.0401</t>
  </si>
  <si>
    <t>35080.8587.0401</t>
  </si>
  <si>
    <t>35080.8581.0401</t>
  </si>
  <si>
    <t>35107.0530.0401</t>
  </si>
  <si>
    <t>32360.7302.0401</t>
  </si>
  <si>
    <t>32361.6722.0401</t>
  </si>
  <si>
    <t>32361.6727.0401</t>
  </si>
  <si>
    <t>32361.6726.0401</t>
  </si>
  <si>
    <t>32361.6725.0401</t>
  </si>
  <si>
    <t>32361.6724.0401</t>
  </si>
  <si>
    <t>32361.7329.0401</t>
  </si>
  <si>
    <t>32344.6924.0401</t>
  </si>
  <si>
    <t>32310.6151.0401</t>
  </si>
  <si>
    <t>32310.6145.0401</t>
  </si>
  <si>
    <t>32320.0350.0401</t>
  </si>
  <si>
    <t>32320.6323.0401</t>
  </si>
  <si>
    <t>32320.6394.0401</t>
  </si>
  <si>
    <t>32320.6401.0401</t>
  </si>
  <si>
    <t>32320.6706.0401</t>
  </si>
  <si>
    <t>32320.6705.0401</t>
  </si>
  <si>
    <t>32320.6704.0401</t>
  </si>
  <si>
    <t>32320.6702.0401</t>
  </si>
  <si>
    <t>32320.6710.0401</t>
  </si>
  <si>
    <t>32320.6709.0401</t>
  </si>
  <si>
    <t>32320.6708.0401</t>
  </si>
  <si>
    <t>32320.6707.0401</t>
  </si>
  <si>
    <t>32312.6202.0401</t>
  </si>
  <si>
    <t>32310.6140.0401</t>
  </si>
  <si>
    <t>32310.6136.0401</t>
  </si>
  <si>
    <t>32262.5343.0401</t>
  </si>
  <si>
    <t>32260.5300.0401</t>
  </si>
  <si>
    <t>32262.5350.0401</t>
  </si>
  <si>
    <t>32262.5349.0401</t>
  </si>
  <si>
    <t>32262.5348.0401</t>
  </si>
  <si>
    <t>32262.5347.0401</t>
  </si>
  <si>
    <t>32262.4152.0401</t>
  </si>
  <si>
    <t>32262.5374.0401</t>
  </si>
  <si>
    <t>32262.5370.0401</t>
  </si>
  <si>
    <t>32262.5368.0401</t>
  </si>
  <si>
    <t>32262.5364.0401</t>
  </si>
  <si>
    <t>32262.5360.0401</t>
  </si>
  <si>
    <t>32262.5355.0401</t>
  </si>
  <si>
    <t>32262.5354.0401</t>
  </si>
  <si>
    <t>32262.5352.0401</t>
  </si>
  <si>
    <t>32262.5351.0401</t>
  </si>
  <si>
    <t>32262.5556.0401</t>
  </si>
  <si>
    <t>32262.5470.0401</t>
  </si>
  <si>
    <t>32262.5390.0401</t>
  </si>
  <si>
    <t>32252.5548.0401</t>
  </si>
  <si>
    <t>32251.5544.0401</t>
  </si>
  <si>
    <t>32251.5542.0401</t>
  </si>
  <si>
    <t>32251.3472.0401</t>
  </si>
  <si>
    <t>32251.3463.0401</t>
  </si>
  <si>
    <t>32250.4247.0401</t>
  </si>
  <si>
    <t>32250.4246.0401</t>
  </si>
  <si>
    <t>31061.1809.0200</t>
  </si>
  <si>
    <t>32250.4244.0401</t>
  </si>
  <si>
    <t>32250.4236.0401</t>
  </si>
  <si>
    <t>32250.4229.0401</t>
  </si>
  <si>
    <t>32249.3467.0401</t>
  </si>
  <si>
    <t>32249.3466.0401</t>
  </si>
  <si>
    <t>32248.3471.0401</t>
  </si>
  <si>
    <t>32248.3463.0401</t>
  </si>
  <si>
    <t>32243.3475.0401</t>
  </si>
  <si>
    <t>32310.4144.0200</t>
  </si>
  <si>
    <t>32243.3465.0401</t>
  </si>
  <si>
    <t>32242.3473.0401</t>
  </si>
  <si>
    <t>32242.3471.0401</t>
  </si>
  <si>
    <t>32242.3462.0401</t>
  </si>
  <si>
    <t>32240.3473.0401</t>
  </si>
  <si>
    <t>32320.6401.0200</t>
  </si>
  <si>
    <t>32022.0685.0401</t>
  </si>
  <si>
    <t>32011.2249.0401</t>
  </si>
  <si>
    <t>35005.0335.0200</t>
  </si>
  <si>
    <t>32023.2456.0401</t>
  </si>
  <si>
    <t>32022.8686.0401</t>
  </si>
  <si>
    <t>32023.2481.0401</t>
  </si>
  <si>
    <t>32101.3077.0401</t>
  </si>
  <si>
    <t>32099.3065.0401</t>
  </si>
  <si>
    <t>32023.2475.0401</t>
  </si>
  <si>
    <t>32023.2457.0401</t>
  </si>
  <si>
    <t>32023.2459.0401</t>
  </si>
  <si>
    <t>32023.2484.0401</t>
  </si>
  <si>
    <t>35040.7902.0200</t>
  </si>
  <si>
    <t>32115.3478.0401</t>
  </si>
  <si>
    <t>32115.3468.0401</t>
  </si>
  <si>
    <t>32115.3465.0401</t>
  </si>
  <si>
    <t>32110.3076.0401</t>
  </si>
  <si>
    <t>32114.3477.0401</t>
  </si>
  <si>
    <t>32114.3462.0401</t>
  </si>
  <si>
    <t>32113.3475.0401</t>
  </si>
  <si>
    <t>32112.3473.0401</t>
  </si>
  <si>
    <t>32111.3467.0401</t>
  </si>
  <si>
    <t>32110.3463.0401</t>
  </si>
  <si>
    <t>32110.3460.0401</t>
  </si>
  <si>
    <t>32110.3088.0401</t>
  </si>
  <si>
    <t>32109.3476.0401</t>
  </si>
  <si>
    <t>35052.7957.0200</t>
  </si>
  <si>
    <t>35055.7964.0200</t>
  </si>
  <si>
    <t>35070.2597.0200</t>
  </si>
  <si>
    <t>32132.4231.0401</t>
  </si>
  <si>
    <t>35080.8587.0200</t>
  </si>
  <si>
    <t>32130.4226.0401</t>
  </si>
  <si>
    <t>32120.4005.0401</t>
  </si>
  <si>
    <t>32120.3286.0401</t>
  </si>
  <si>
    <t>32120.3272.0401</t>
  </si>
  <si>
    <t>32119.3470.0401</t>
  </si>
  <si>
    <t>35082.0450.0200</t>
  </si>
  <si>
    <t>35125.4141.0200</t>
  </si>
  <si>
    <t>32240.3471.0401</t>
  </si>
  <si>
    <t>32240.3462.0401</t>
  </si>
  <si>
    <t>35145.8758.0200</t>
  </si>
  <si>
    <t>31062.1821.0401</t>
  </si>
  <si>
    <t>35152.8840.0200</t>
  </si>
  <si>
    <t>32311.5464.0200</t>
  </si>
  <si>
    <t>31080.0300.0401</t>
  </si>
  <si>
    <t>31040.0300.0401</t>
  </si>
  <si>
    <t>31040.0350.0401</t>
  </si>
  <si>
    <t>31060.1802.0401</t>
  </si>
  <si>
    <t>35055.7965.0200</t>
  </si>
  <si>
    <t>35070.6300.0200</t>
  </si>
  <si>
    <t>32020.0350.0200</t>
  </si>
  <si>
    <t>31083.1969.0401</t>
  </si>
  <si>
    <t>32000.5552.0401</t>
  </si>
  <si>
    <t>31083.1968.0200</t>
  </si>
  <si>
    <t>55012.4615.0200</t>
  </si>
  <si>
    <t>35020.4124.0200</t>
  </si>
  <si>
    <t>35055.7959.0200</t>
  </si>
  <si>
    <t>30004.0300.0401</t>
  </si>
  <si>
    <t>35073.8562.0200</t>
  </si>
  <si>
    <t>35080.0415.0200</t>
  </si>
  <si>
    <t>30003.1079.0401</t>
  </si>
  <si>
    <t>31020.0350.0401</t>
  </si>
  <si>
    <t>31000.0350.0401</t>
  </si>
  <si>
    <t>30001.5440.0401</t>
  </si>
  <si>
    <t>32001.2296.0401</t>
  </si>
  <si>
    <t>32011.2245.0401</t>
  </si>
  <si>
    <t>32011.2241.0401</t>
  </si>
  <si>
    <t>32011.2238.0401</t>
  </si>
  <si>
    <t>32011.2243.0401</t>
  </si>
  <si>
    <t>32001.2270.0401</t>
  </si>
  <si>
    <t>32001.5553.0401</t>
  </si>
  <si>
    <t>55011.4668.0400</t>
  </si>
  <si>
    <t>55010.4661.0400</t>
  </si>
  <si>
    <t>55010.4664.0400</t>
  </si>
  <si>
    <t>55010.4667.0400</t>
  </si>
  <si>
    <t>50111.3712.0400</t>
  </si>
  <si>
    <t>55013.4662.0400</t>
  </si>
  <si>
    <t>55020.3740.0400</t>
  </si>
  <si>
    <t>55020.4716.0400</t>
  </si>
  <si>
    <t>55023.4717.0400</t>
  </si>
  <si>
    <t>60010.4661.0400</t>
  </si>
  <si>
    <t>32496.8947.0400</t>
  </si>
  <si>
    <t>32348.7031.0400</t>
  </si>
  <si>
    <t>32348.7057.0400</t>
  </si>
  <si>
    <t>32286.5903.0400</t>
  </si>
  <si>
    <t>32300.6000.0400</t>
  </si>
  <si>
    <t>50108.3691.0400</t>
  </si>
  <si>
    <t>35125.4139.0400</t>
  </si>
  <si>
    <t>32497.6644.0400</t>
  </si>
  <si>
    <t>32497.8934.0400</t>
  </si>
  <si>
    <t>32497.8937.0400</t>
  </si>
  <si>
    <t>32497.8931.0400</t>
  </si>
  <si>
    <t>32262.5768.0400</t>
  </si>
  <si>
    <t>32264.6180.0400</t>
  </si>
  <si>
    <t>32110.3235.0400</t>
  </si>
  <si>
    <t>32111.3465.0400</t>
  </si>
  <si>
    <t>32111.3468.0400</t>
  </si>
  <si>
    <t>32113.3476.0400</t>
  </si>
  <si>
    <t>32115.3464.0400</t>
  </si>
  <si>
    <t>32115.3467.0400</t>
  </si>
  <si>
    <t>32119.3469.0400</t>
  </si>
  <si>
    <t>32240.5544.0400</t>
  </si>
  <si>
    <t>32262.5353.0400</t>
  </si>
  <si>
    <t>55013.4668.0400</t>
  </si>
  <si>
    <t>55020.3766.0400</t>
  </si>
  <si>
    <t>55020.3789.0400</t>
  </si>
  <si>
    <t>55020.3809.0400</t>
  </si>
  <si>
    <t>55020.3812.0400</t>
  </si>
  <si>
    <t>55022.4799.0400</t>
  </si>
  <si>
    <t>60025.4665.0400</t>
  </si>
  <si>
    <t>60010.4667.0400</t>
  </si>
  <si>
    <t>55023.3784.0400</t>
  </si>
  <si>
    <t>60010.4664.0400</t>
  </si>
  <si>
    <t>32011.2248.0400</t>
  </si>
  <si>
    <t>32108.3473.0400</t>
  </si>
  <si>
    <t>31063.1835.0400</t>
  </si>
  <si>
    <t>32132.4232.0400</t>
  </si>
  <si>
    <t>32125.3302.0400</t>
  </si>
  <si>
    <t>32119.3478.0400</t>
  </si>
  <si>
    <t>32120.3270.0400</t>
  </si>
  <si>
    <t>50110.3716.0400</t>
  </si>
  <si>
    <t>50111.3723.0400</t>
  </si>
  <si>
    <t>31063.1824.0400</t>
  </si>
  <si>
    <t>31063.1827.0400</t>
  </si>
  <si>
    <t>32132.4481.0400</t>
  </si>
  <si>
    <t>32240.3472.0400</t>
  </si>
  <si>
    <t>32242.3463.0400</t>
  </si>
  <si>
    <t>32243.3467.0400</t>
  </si>
  <si>
    <t>32248.3473.0400</t>
  </si>
  <si>
    <t>32250.4237.0400</t>
  </si>
  <si>
    <t>32311.5464.0400</t>
  </si>
  <si>
    <t>32312.6178.0400</t>
  </si>
  <si>
    <t>32265.5383.0400</t>
  </si>
  <si>
    <t>32270.5469.0400</t>
  </si>
  <si>
    <t>32348.7023.0400</t>
  </si>
  <si>
    <t>55022.4798.0400</t>
  </si>
  <si>
    <t>55023.3740.0400</t>
  </si>
  <si>
    <t>55023.3765.0400</t>
  </si>
  <si>
    <t>55023.3766.0400</t>
  </si>
  <si>
    <t>55023.3770.0400</t>
  </si>
  <si>
    <t>55023.3786.0400</t>
  </si>
  <si>
    <t>55023.3790.0400</t>
  </si>
  <si>
    <t>55023.3792.0400</t>
  </si>
  <si>
    <t>55023.3812.0400</t>
  </si>
  <si>
    <t>55023.3813.0400</t>
  </si>
  <si>
    <t>55023.4715.0400</t>
  </si>
  <si>
    <t>55023.4716.0400</t>
  </si>
  <si>
    <t>60010.4662.0400</t>
  </si>
  <si>
    <t>60010.4665.0400</t>
  </si>
  <si>
    <t>60010.4666.0400</t>
  </si>
  <si>
    <t>60011.3816.0400</t>
  </si>
  <si>
    <t>55020.3765.0400</t>
  </si>
  <si>
    <t>55020.3770.0400</t>
  </si>
  <si>
    <t>55020.3784.0400</t>
  </si>
  <si>
    <t>55020.3791.0400</t>
  </si>
  <si>
    <t>55020.3797.0400</t>
  </si>
  <si>
    <t>55020.3813.0400</t>
  </si>
  <si>
    <t>55020.3814.0400</t>
  </si>
  <si>
    <t>55020.4715.0400</t>
  </si>
  <si>
    <t>55020.4718.0400</t>
  </si>
  <si>
    <t>55015.4695.0400</t>
  </si>
  <si>
    <t>55019.4617.0400</t>
  </si>
  <si>
    <t>55020.3741.0400</t>
  </si>
  <si>
    <t>55015.4691.0400</t>
  </si>
  <si>
    <t>55015.4686.0400</t>
  </si>
  <si>
    <t>55015.3692.0400</t>
  </si>
  <si>
    <t>55015.4681.0400</t>
  </si>
  <si>
    <t>55013.4661.0400</t>
  </si>
  <si>
    <t>55013.4663.0400</t>
  </si>
  <si>
    <t>55013.4664.0400</t>
  </si>
  <si>
    <t>55013.4666.0400</t>
  </si>
  <si>
    <t>55013.4667.0400</t>
  </si>
  <si>
    <t>55013.4669.0400</t>
  </si>
  <si>
    <t>55013.4670.0400</t>
  </si>
  <si>
    <t>55013.4671.0400</t>
  </si>
  <si>
    <t>55014.4661.0400</t>
  </si>
  <si>
    <t>55014.4668.0400</t>
  </si>
  <si>
    <t>50105.3665.0400</t>
  </si>
  <si>
    <t>50105.3668.0400</t>
  </si>
  <si>
    <t>35152.8840.0400</t>
  </si>
  <si>
    <t>35152.8844.0400</t>
  </si>
  <si>
    <t>35152.5444.0400</t>
  </si>
  <si>
    <t>35125.4136.0400</t>
  </si>
  <si>
    <t>35125.4143.0400</t>
  </si>
  <si>
    <t>35120.0530.0400</t>
  </si>
  <si>
    <t>35145.0510.0400</t>
  </si>
  <si>
    <t>50110.3712.0400</t>
  </si>
  <si>
    <t>50110.3714.0400</t>
  </si>
  <si>
    <t>50110.3715.0400</t>
  </si>
  <si>
    <t>50110.3701.0400</t>
  </si>
  <si>
    <t>50110.3703.0400</t>
  </si>
  <si>
    <t>50109.3697.0400</t>
  </si>
  <si>
    <t>50110.3718.0400</t>
  </si>
  <si>
    <t>50110.3723.0400</t>
  </si>
  <si>
    <t>50110.3724.0400</t>
  </si>
  <si>
    <t>50111.3701.0400</t>
  </si>
  <si>
    <t>50111.3713.0400</t>
  </si>
  <si>
    <t>50111.3714.0400</t>
  </si>
  <si>
    <t>50111.3715.0400</t>
  </si>
  <si>
    <t>50111.3716.0400</t>
  </si>
  <si>
    <t>50111.3717.0400</t>
  </si>
  <si>
    <t>50111.3722.0400</t>
  </si>
  <si>
    <t>55010.4662.0400</t>
  </si>
  <si>
    <t>55010.4666.0400</t>
  </si>
  <si>
    <t>55010.4668.0400</t>
  </si>
  <si>
    <t>55010.4669.0400</t>
  </si>
  <si>
    <t>55011.4661.0400</t>
  </si>
  <si>
    <t>55011.4662.0400</t>
  </si>
  <si>
    <t>55011.4663.0400</t>
  </si>
  <si>
    <t>55011.4666.0400</t>
  </si>
  <si>
    <t>55011.4667.0400</t>
  </si>
  <si>
    <t>55011.4669.0400</t>
  </si>
  <si>
    <t>32496.8954.0400</t>
  </si>
  <si>
    <t>32496.6648.0400</t>
  </si>
  <si>
    <t>35040.7903.0400</t>
  </si>
  <si>
    <t>32497.6625.0400</t>
  </si>
  <si>
    <t>32497.6640.0400</t>
  </si>
  <si>
    <t>32497.8929.0400</t>
  </si>
  <si>
    <t>32497.8933.0400</t>
  </si>
  <si>
    <t>32497.8935.0400</t>
  </si>
  <si>
    <t>32497.8942.0400</t>
  </si>
  <si>
    <t>32497.8952.0400</t>
  </si>
  <si>
    <t>32497.8958.0400</t>
  </si>
  <si>
    <t>32497.8959.0400</t>
  </si>
  <si>
    <t>32278.5715.0400</t>
  </si>
  <si>
    <t>32279.5605.0400</t>
  </si>
  <si>
    <t>32278.5701.0400</t>
  </si>
  <si>
    <t>32278.5708.0400</t>
  </si>
  <si>
    <t>32280.5741.0400</t>
  </si>
  <si>
    <t>32285.0531.0400</t>
  </si>
  <si>
    <t>32300.6001.0400</t>
  </si>
  <si>
    <t>32300.5997.0400</t>
  </si>
  <si>
    <t>32312.6188.0400</t>
  </si>
  <si>
    <t>32312.6190.0400</t>
  </si>
  <si>
    <t>32312.6205.0400</t>
  </si>
  <si>
    <t>32320.6705.0400</t>
  </si>
  <si>
    <t>32320.6397.0400</t>
  </si>
  <si>
    <t>32312.6164.0400</t>
  </si>
  <si>
    <t>32312.6166.0400</t>
  </si>
  <si>
    <t>32312.6168.0400</t>
  </si>
  <si>
    <t>32312.6174.0400</t>
  </si>
  <si>
    <t>32312.6184.0400</t>
  </si>
  <si>
    <t>32312.6156.0400</t>
  </si>
  <si>
    <t>32312.6160.0400</t>
  </si>
  <si>
    <t>32348.6942.0400</t>
  </si>
  <si>
    <t>32348.7024.0400</t>
  </si>
  <si>
    <t>32348.7030.0400</t>
  </si>
  <si>
    <t>32322.6420.0400</t>
  </si>
  <si>
    <t>32364.7347.0400</t>
  </si>
  <si>
    <t>32348.7052.0400</t>
  </si>
  <si>
    <t>32350.7073.0400</t>
  </si>
  <si>
    <t>32265.5389.0400</t>
  </si>
  <si>
    <t>32266.5400.0400</t>
  </si>
  <si>
    <t>32270.5465.0400</t>
  </si>
  <si>
    <t>32275.5622.0400</t>
  </si>
  <si>
    <t>32275.5625.0400</t>
  </si>
  <si>
    <t>32240.3473.0400</t>
  </si>
  <si>
    <t>32242.3471.0400</t>
  </si>
  <si>
    <t>32242.3472.0400</t>
  </si>
  <si>
    <t>32242.3473.0400</t>
  </si>
  <si>
    <t>32243.3465.0400</t>
  </si>
  <si>
    <t>32243.3475.0400</t>
  </si>
  <si>
    <t>32248.3472.0400</t>
  </si>
  <si>
    <t>32249.3467.0400</t>
  </si>
  <si>
    <t>32250.4229.0400</t>
  </si>
  <si>
    <t>32250.4244.0400</t>
  </si>
  <si>
    <t>32250.4246.0400</t>
  </si>
  <si>
    <t>32250.5068.0400</t>
  </si>
  <si>
    <t>32250.5126.0400</t>
  </si>
  <si>
    <t>32251.3472.0400</t>
  </si>
  <si>
    <t>32251.3473.0400</t>
  </si>
  <si>
    <t>32251.5544.0400</t>
  </si>
  <si>
    <t>32252.3464.0400</t>
  </si>
  <si>
    <t>32252.3468.0400</t>
  </si>
  <si>
    <t>32262.5390.0400</t>
  </si>
  <si>
    <t>32262.5444.0400</t>
  </si>
  <si>
    <t>32262.5556.0400</t>
  </si>
  <si>
    <t>32262.5351.0400</t>
  </si>
  <si>
    <t>32262.5352.0400</t>
  </si>
  <si>
    <t>32262.5368.0400</t>
  </si>
  <si>
    <t>32262.5338.0400</t>
  </si>
  <si>
    <t>32262.5349.0400</t>
  </si>
  <si>
    <t>32262.5350.0400</t>
  </si>
  <si>
    <t>32262.5346.0400</t>
  </si>
  <si>
    <t>32116.3232.0400</t>
  </si>
  <si>
    <t>32119.3470.0400</t>
  </si>
  <si>
    <t>32120.3286.0400</t>
  </si>
  <si>
    <t>32130.4226.0400</t>
  </si>
  <si>
    <t>32132.4231.0400</t>
  </si>
  <si>
    <t>32132.4241.0400</t>
  </si>
  <si>
    <t>32135.4254.0400</t>
  </si>
  <si>
    <t>32200.4015.0400</t>
  </si>
  <si>
    <t>32102.0516.0400</t>
  </si>
  <si>
    <t>32109.3030.0400</t>
  </si>
  <si>
    <t>32109.3476.0400</t>
  </si>
  <si>
    <t>32111.3464.0400</t>
  </si>
  <si>
    <t>32111.3467.0400</t>
  </si>
  <si>
    <t>32112.3471.0400</t>
  </si>
  <si>
    <t>32112.3473.0400</t>
  </si>
  <si>
    <t>32113.3475.0400</t>
  </si>
  <si>
    <t>32114.3477.0400</t>
  </si>
  <si>
    <t>32115.3468.0400</t>
  </si>
  <si>
    <t>32115.3478.0400</t>
  </si>
  <si>
    <t>32095.3064.0400</t>
  </si>
  <si>
    <t>32096.3065.0400</t>
  </si>
  <si>
    <t>32098.3064.0400</t>
  </si>
  <si>
    <t>32099.3065.0400</t>
  </si>
  <si>
    <t>32100.0570.0400</t>
  </si>
  <si>
    <t>32100.0571.0400</t>
  </si>
  <si>
    <t>32011.2249.0400</t>
  </si>
  <si>
    <t>32011.2247.0400</t>
  </si>
  <si>
    <t>32022.2491.0400</t>
  </si>
  <si>
    <t>32022.2492.0400</t>
  </si>
  <si>
    <t>30001.8695.0400</t>
  </si>
  <si>
    <t>30002.1030.0400</t>
  </si>
  <si>
    <t>30002.1148.0400</t>
  </si>
  <si>
    <t>30005.1128.0400</t>
  </si>
  <si>
    <t>31063.1828.0400</t>
  </si>
  <si>
    <t>31063.1829.0400</t>
  </si>
  <si>
    <t>31063.1830.0400</t>
  </si>
  <si>
    <t>31063.1831.0400</t>
  </si>
  <si>
    <t>31063.1832.0400</t>
  </si>
  <si>
    <t>31063.1833.0400</t>
  </si>
  <si>
    <t>31063.1834.0400</t>
  </si>
  <si>
    <t>31063.1823.0400</t>
  </si>
  <si>
    <t>31063.1825.0400</t>
  </si>
  <si>
    <t>31063.1826.0400</t>
  </si>
  <si>
    <t>35070.0690.0807</t>
  </si>
  <si>
    <t>50112.0680.0748</t>
  </si>
  <si>
    <t>55022.0680.0747</t>
  </si>
  <si>
    <t>35120.0680.0747</t>
  </si>
  <si>
    <t>50112.0680.0747</t>
  </si>
  <si>
    <t>32340.0680.0747</t>
  </si>
  <si>
    <t>32300.0680.0747</t>
  </si>
  <si>
    <t>35145.0680.0746</t>
  </si>
  <si>
    <t>55022.0680.0746</t>
  </si>
  <si>
    <t>50112.0680.0746</t>
  </si>
  <si>
    <t>35120.0680.0746</t>
  </si>
  <si>
    <t>32310.0680.0746</t>
  </si>
  <si>
    <t>32330.0680.0746</t>
  </si>
  <si>
    <t>32261.0680.0746</t>
  </si>
  <si>
    <t>32103.0680.0746</t>
  </si>
  <si>
    <t>32132.0680.0746</t>
  </si>
  <si>
    <t>35162.0680.0745</t>
  </si>
  <si>
    <t>55022.0680.0745</t>
  </si>
  <si>
    <t>50112.0680.0745</t>
  </si>
  <si>
    <t>32340.0680.0745</t>
  </si>
  <si>
    <t>32200.0680.0745</t>
  </si>
  <si>
    <t>32000.0680.0745</t>
  </si>
  <si>
    <t>35120.0680.0743</t>
  </si>
  <si>
    <t>32340.0680.0743</t>
  </si>
  <si>
    <t>32261.0680.0743</t>
  </si>
  <si>
    <t>30021.0680.0743</t>
  </si>
  <si>
    <t>35120.0680.0742</t>
  </si>
  <si>
    <t>32340.0680.0742</t>
  </si>
  <si>
    <t>32000.0680.0742</t>
  </si>
  <si>
    <t>35120.0680.0741</t>
  </si>
  <si>
    <t>35080.0680.0741</t>
  </si>
  <si>
    <t>55022.0680.0740</t>
  </si>
  <si>
    <t>50112.0680.0740</t>
  </si>
  <si>
    <t>35120.0680.0740</t>
  </si>
  <si>
    <t>35110.0680.0740</t>
  </si>
  <si>
    <t>35030.0680.0740</t>
  </si>
  <si>
    <t>32310.0680.0740</t>
  </si>
  <si>
    <t>32340.0680.0740</t>
  </si>
  <si>
    <t>32330.0680.0740</t>
  </si>
  <si>
    <t>32325.0680.0740</t>
  </si>
  <si>
    <t>30021.0680.0740</t>
  </si>
  <si>
    <t>32000.0680.0740</t>
  </si>
  <si>
    <t>35008.7602.0342</t>
  </si>
  <si>
    <t>35051.7946.0342</t>
  </si>
  <si>
    <t>35008.7593.0342</t>
  </si>
  <si>
    <t>35008.7595.0342</t>
  </si>
  <si>
    <t>35008.7597.0342</t>
  </si>
  <si>
    <t>35008.7606.0342</t>
  </si>
  <si>
    <t>35008.7604.0342</t>
  </si>
  <si>
    <t>35008.7603.0342</t>
  </si>
  <si>
    <t>32340.6865.0342</t>
  </si>
  <si>
    <t>35125.0415.0341</t>
  </si>
  <si>
    <t>35070.0316.0341</t>
  </si>
  <si>
    <t>35051.7949.0340</t>
  </si>
  <si>
    <t>50005.3582.0326</t>
  </si>
  <si>
    <t>55002.4579.0320</t>
  </si>
  <si>
    <t>50005.3582.0320</t>
  </si>
  <si>
    <t>35056.7971.0320</t>
  </si>
  <si>
    <t>35056.7968.0320</t>
  </si>
  <si>
    <t>50005.3580.0319</t>
  </si>
  <si>
    <t>55002.4579.0319</t>
  </si>
  <si>
    <t>35056.7968.0319</t>
  </si>
  <si>
    <t>35056.7971.0319</t>
  </si>
  <si>
    <t>35000.0350.0310</t>
  </si>
  <si>
    <t>32497.8937.0310</t>
  </si>
  <si>
    <t>32497.8957.0310</t>
  </si>
  <si>
    <t>32497.8951.0310</t>
  </si>
  <si>
    <t>32497.8931.0310</t>
  </si>
  <si>
    <t>32497.8934.0310</t>
  </si>
  <si>
    <t>32497.6644.0310</t>
  </si>
  <si>
    <t>35020.0300.0310</t>
  </si>
  <si>
    <t>35078.0530.0310</t>
  </si>
  <si>
    <t>35145.8763.0310</t>
  </si>
  <si>
    <t>35125.4139.0310</t>
  </si>
  <si>
    <t>32496.8953.0310</t>
  </si>
  <si>
    <t>32496.8947.0310</t>
  </si>
  <si>
    <t>32361.6729.0310</t>
  </si>
  <si>
    <t>60025.4662.0310</t>
  </si>
  <si>
    <t>60023.4668.0310</t>
  </si>
  <si>
    <t>60010.4661.0310</t>
  </si>
  <si>
    <t>55023.4717.0310</t>
  </si>
  <si>
    <t>55023.3798.0310</t>
  </si>
  <si>
    <t>55023.3738.0310</t>
  </si>
  <si>
    <t>55022.3734.0310</t>
  </si>
  <si>
    <t>55022.3585.0310</t>
  </si>
  <si>
    <t>55020.3806.0310</t>
  </si>
  <si>
    <t>55020.4716.0310</t>
  </si>
  <si>
    <t>55014.4666.0310</t>
  </si>
  <si>
    <t>55020.3743.0310</t>
  </si>
  <si>
    <t>55020.3740.0310</t>
  </si>
  <si>
    <t>55020.3737.0310</t>
  </si>
  <si>
    <t>55014.4663.0310</t>
  </si>
  <si>
    <t>55013.4662.0310</t>
  </si>
  <si>
    <t>55002.4806.0310</t>
  </si>
  <si>
    <t>50110.3722.0310</t>
  </si>
  <si>
    <t>50111.3712.0310</t>
  </si>
  <si>
    <t>50110.3708.0310</t>
  </si>
  <si>
    <t>55010.4667.0310</t>
  </si>
  <si>
    <t>55010.4664.0310</t>
  </si>
  <si>
    <t>55010.4661.0310</t>
  </si>
  <si>
    <t>55011.4668.0310</t>
  </si>
  <si>
    <t>32348.7057.0310</t>
  </si>
  <si>
    <t>32345.6999.0310</t>
  </si>
  <si>
    <t>32344.6932.0310</t>
  </si>
  <si>
    <t>32342.6901.0310</t>
  </si>
  <si>
    <t>32344.6929.0310</t>
  </si>
  <si>
    <t>32342.6898.0310</t>
  </si>
  <si>
    <t>32286.5903.0310</t>
  </si>
  <si>
    <t>32312.6192.0310</t>
  </si>
  <si>
    <t>32312.6172.0310</t>
  </si>
  <si>
    <t>32310.6141.0310</t>
  </si>
  <si>
    <t>32310.6138.0310</t>
  </si>
  <si>
    <t>32300.6000.0310</t>
  </si>
  <si>
    <t>32286.5900.0310</t>
  </si>
  <si>
    <t>50108.3691.0310</t>
  </si>
  <si>
    <t>50106.3703.0310</t>
  </si>
  <si>
    <t>32267.5422.0310</t>
  </si>
  <si>
    <t>32264.6180.0310</t>
  </si>
  <si>
    <t>32262.5768.0310</t>
  </si>
  <si>
    <t>32262.5373.0310</t>
  </si>
  <si>
    <t>32266.5401.0310</t>
  </si>
  <si>
    <t>55010.4670.0310</t>
  </si>
  <si>
    <t>50112.3730.0310</t>
  </si>
  <si>
    <t>50113.3734.0310</t>
  </si>
  <si>
    <t>50111.3723.0310</t>
  </si>
  <si>
    <t>50111.3703.0310</t>
  </si>
  <si>
    <t>50110.3716.0310</t>
  </si>
  <si>
    <t>50108.3685.0310</t>
  </si>
  <si>
    <t>50107.3684.0310</t>
  </si>
  <si>
    <t>32120.3270.0310</t>
  </si>
  <si>
    <t>32119.3478.0310</t>
  </si>
  <si>
    <t>32102.3094.0310</t>
  </si>
  <si>
    <t>32125.3302.0310</t>
  </si>
  <si>
    <t>32132.4232.0310</t>
  </si>
  <si>
    <t>35125.4145.0310</t>
  </si>
  <si>
    <t>50105.3667.0310</t>
  </si>
  <si>
    <t>50106.3677.0310</t>
  </si>
  <si>
    <t>50105.3673.0310</t>
  </si>
  <si>
    <t>50105.3670.0310</t>
  </si>
  <si>
    <t>30023.4157.0310</t>
  </si>
  <si>
    <t>30023.1157.0310</t>
  </si>
  <si>
    <t>32022.5462.0310</t>
  </si>
  <si>
    <t>32020.0350.0310</t>
  </si>
  <si>
    <t>32022.1964.0310</t>
  </si>
  <si>
    <t>32001.2285.0310</t>
  </si>
  <si>
    <t>32011.2240.0310</t>
  </si>
  <si>
    <t>32262.5359.0310</t>
  </si>
  <si>
    <t>32262.5356.0310</t>
  </si>
  <si>
    <t>32262.5353.0310</t>
  </si>
  <si>
    <t>32251.3462.0310</t>
  </si>
  <si>
    <t>32251.5543.0310</t>
  </si>
  <si>
    <t>32243.3464.0310</t>
  </si>
  <si>
    <t>32242.3477.0310</t>
  </si>
  <si>
    <t>32242.3474.0310</t>
  </si>
  <si>
    <t>32242.3460.0310</t>
  </si>
  <si>
    <t>32240.5544.0310</t>
  </si>
  <si>
    <t>32240.3463.0310</t>
  </si>
  <si>
    <t>32200.4019.0310</t>
  </si>
  <si>
    <t>32120.3287.0310</t>
  </si>
  <si>
    <t>32119.3469.0310</t>
  </si>
  <si>
    <t>32118.3462.0310</t>
  </si>
  <si>
    <t>32115.3467.0310</t>
  </si>
  <si>
    <t>32115.3464.0310</t>
  </si>
  <si>
    <t>32114.3460.0310</t>
  </si>
  <si>
    <t>32113.3476.0310</t>
  </si>
  <si>
    <t>32112.3472.0310</t>
  </si>
  <si>
    <t>32111.3468.0310</t>
  </si>
  <si>
    <t>32111.3465.0310</t>
  </si>
  <si>
    <t>32110.3235.0310</t>
  </si>
  <si>
    <t>55022.4799.0310</t>
  </si>
  <si>
    <t>55020.3812.0310</t>
  </si>
  <si>
    <t>55020.3809.0310</t>
  </si>
  <si>
    <t>55020.3792.0310</t>
  </si>
  <si>
    <t>55020.3789.0310</t>
  </si>
  <si>
    <t>55020.3786.0310</t>
  </si>
  <si>
    <t>55020.3772.0310</t>
  </si>
  <si>
    <t>55020.3769.0310</t>
  </si>
  <si>
    <t>55020.3766.0310</t>
  </si>
  <si>
    <t>55020.3746.0310</t>
  </si>
  <si>
    <t>55015.3763.0310</t>
  </si>
  <si>
    <t>55014.4669.0310</t>
  </si>
  <si>
    <t>55013.4668.0310</t>
  </si>
  <si>
    <t>55013.4665.0310</t>
  </si>
  <si>
    <t>60010.4664.0310</t>
  </si>
  <si>
    <t>55023.3810.0310</t>
  </si>
  <si>
    <t>55023.3804.0310</t>
  </si>
  <si>
    <t>55023.3784.0310</t>
  </si>
  <si>
    <t>55023.3744.0310</t>
  </si>
  <si>
    <t>55023.3741.0310</t>
  </si>
  <si>
    <t>60022.4756.0310</t>
  </si>
  <si>
    <t>55023.3767.0310</t>
  </si>
  <si>
    <t>60010.4667.0310</t>
  </si>
  <si>
    <t>60025.4665.0310</t>
  </si>
  <si>
    <t>31061.1810.0310</t>
  </si>
  <si>
    <t>31061.1804.0310</t>
  </si>
  <si>
    <t>31083.1968.0310</t>
  </si>
  <si>
    <t>30023.8579.0310</t>
  </si>
  <si>
    <t>30021.1157.0310</t>
  </si>
  <si>
    <t>32108.3473.0310</t>
  </si>
  <si>
    <t>32099.3064.0310</t>
  </si>
  <si>
    <t>32095.3065.0310</t>
  </si>
  <si>
    <t>32022.2579.0310</t>
  </si>
  <si>
    <t>32022.2582.0310</t>
  </si>
  <si>
    <t>32011.2248.0310</t>
  </si>
  <si>
    <t>60011.3816.0310</t>
  </si>
  <si>
    <t>60010.4666.0310</t>
  </si>
  <si>
    <t>60010.4665.0310</t>
  </si>
  <si>
    <t>60010.4663.0310</t>
  </si>
  <si>
    <t>60010.4662.0310</t>
  </si>
  <si>
    <t>55023.4718.0310</t>
  </si>
  <si>
    <t>55023.4716.0310</t>
  </si>
  <si>
    <t>55023.4715.0310</t>
  </si>
  <si>
    <t>55023.3814.0310</t>
  </si>
  <si>
    <t>55023.3813.0310</t>
  </si>
  <si>
    <t>55023.3812.0310</t>
  </si>
  <si>
    <t>55023.3811.0310</t>
  </si>
  <si>
    <t>55023.3809.0310</t>
  </si>
  <si>
    <t>55023.3806.0310</t>
  </si>
  <si>
    <t>55023.3799.0310</t>
  </si>
  <si>
    <t>55023.3797.0310</t>
  </si>
  <si>
    <t>55023.3794.0310</t>
  </si>
  <si>
    <t>55023.3792.0310</t>
  </si>
  <si>
    <t>55023.3791.0310</t>
  </si>
  <si>
    <t>55023.3790.0310</t>
  </si>
  <si>
    <t>55023.3789.0310</t>
  </si>
  <si>
    <t>55023.3786.0310</t>
  </si>
  <si>
    <t>55023.3785.0310</t>
  </si>
  <si>
    <t>55023.3772.0310</t>
  </si>
  <si>
    <t>55023.3771.0310</t>
  </si>
  <si>
    <t>55023.3770.0310</t>
  </si>
  <si>
    <t>55023.3766.0310</t>
  </si>
  <si>
    <t>55023.3765.0310</t>
  </si>
  <si>
    <t>55023.3746.0310</t>
  </si>
  <si>
    <t>55023.3743.0310</t>
  </si>
  <si>
    <t>55023.3742.0310</t>
  </si>
  <si>
    <t>55023.3740.0310</t>
  </si>
  <si>
    <t>55023.3739.0310</t>
  </si>
  <si>
    <t>55023.3737.0310</t>
  </si>
  <si>
    <t>55022.6709.0310</t>
  </si>
  <si>
    <t>55022.4801.0310</t>
  </si>
  <si>
    <t>55022.4798.0310</t>
  </si>
  <si>
    <t>55021.3734.0310</t>
  </si>
  <si>
    <t>55020.4718.0310</t>
  </si>
  <si>
    <t>55020.4717.0310</t>
  </si>
  <si>
    <t>55020.4715.0310</t>
  </si>
  <si>
    <t>55020.3815.0310</t>
  </si>
  <si>
    <t>55020.3814.0310</t>
  </si>
  <si>
    <t>55020.3813.0310</t>
  </si>
  <si>
    <t>55020.3811.0310</t>
  </si>
  <si>
    <t>55020.3810.0310</t>
  </si>
  <si>
    <t>55020.3808.0310</t>
  </si>
  <si>
    <t>55020.3804.0310</t>
  </si>
  <si>
    <t>55020.3799.0310</t>
  </si>
  <si>
    <t>55020.3798.0310</t>
  </si>
  <si>
    <t>55020.3797.0310</t>
  </si>
  <si>
    <t>55020.3796.0310</t>
  </si>
  <si>
    <t>55020.3794.0310</t>
  </si>
  <si>
    <t>55020.3791.0310</t>
  </si>
  <si>
    <t>55020.3790.0310</t>
  </si>
  <si>
    <t>55020.3788.0310</t>
  </si>
  <si>
    <t>55020.3785.0310</t>
  </si>
  <si>
    <t>55020.3784.0310</t>
  </si>
  <si>
    <t>55020.3773.0310</t>
  </si>
  <si>
    <t>55020.3771.0310</t>
  </si>
  <si>
    <t>55020.3770.0310</t>
  </si>
  <si>
    <t>55020.3767.0310</t>
  </si>
  <si>
    <t>55020.3765.0310</t>
  </si>
  <si>
    <t>55020.3748.0310</t>
  </si>
  <si>
    <t>55020.3747.0310</t>
  </si>
  <si>
    <t>55020.3744.0310</t>
  </si>
  <si>
    <t>55020.3742.0310</t>
  </si>
  <si>
    <t>55020.3741.0310</t>
  </si>
  <si>
    <t>55020.3739.0310</t>
  </si>
  <si>
    <t>55020.3738.0310</t>
  </si>
  <si>
    <t>55015.4697.0310</t>
  </si>
  <si>
    <t>55015.4695.0310</t>
  </si>
  <si>
    <t>55015.4691.0310</t>
  </si>
  <si>
    <t>55015.4686.0310</t>
  </si>
  <si>
    <t>55015.4681.0310</t>
  </si>
  <si>
    <t>55015.3764.0310</t>
  </si>
  <si>
    <t>55015.3762.0310</t>
  </si>
  <si>
    <t>55015.3761.0310</t>
  </si>
  <si>
    <t>55015.3693.0310</t>
  </si>
  <si>
    <t>55015.3692.0310</t>
  </si>
  <si>
    <t>32252.3478.0310</t>
  </si>
  <si>
    <t>32251.3474.0310</t>
  </si>
  <si>
    <t>32251.3471.0310</t>
  </si>
  <si>
    <t>32250.4237.0310</t>
  </si>
  <si>
    <t>32248.3473.0310</t>
  </si>
  <si>
    <t>32250.4234.0310</t>
  </si>
  <si>
    <t>32243.3467.0310</t>
  </si>
  <si>
    <t>32241.3476.0310</t>
  </si>
  <si>
    <t>32240.3472.0310</t>
  </si>
  <si>
    <t>32138.4268.0310</t>
  </si>
  <si>
    <t>32135.4250.0310</t>
  </si>
  <si>
    <t>32135.4253.0310</t>
  </si>
  <si>
    <t>32132.4481.0310</t>
  </si>
  <si>
    <t>60025.4664.0310</t>
  </si>
  <si>
    <t>60024.4665.0310</t>
  </si>
  <si>
    <t>60024.3677.0310</t>
  </si>
  <si>
    <t>60023.3677.0310</t>
  </si>
  <si>
    <t>60022.3583.0310</t>
  </si>
  <si>
    <t>32275.5624.0310</t>
  </si>
  <si>
    <t>32275.5621.0310</t>
  </si>
  <si>
    <t>32270.5469.0310</t>
  </si>
  <si>
    <t>32265.5383.0310</t>
  </si>
  <si>
    <t>32262.5345.0310</t>
  </si>
  <si>
    <t>32312.6264.0310</t>
  </si>
  <si>
    <t>32312.6198.0310</t>
  </si>
  <si>
    <t>32312.6178.0310</t>
  </si>
  <si>
    <t>32310.6150.0310</t>
  </si>
  <si>
    <t>32310.6147.0310</t>
  </si>
  <si>
    <t>32312.6158.0310</t>
  </si>
  <si>
    <t>32311.5464.0310</t>
  </si>
  <si>
    <t>32360.7298.0310</t>
  </si>
  <si>
    <t>32350.7074.0310</t>
  </si>
  <si>
    <t>32348.7060.0310</t>
  </si>
  <si>
    <t>32348.7046.0310</t>
  </si>
  <si>
    <t>32348.7023.0310</t>
  </si>
  <si>
    <t>32348.6748.0310</t>
  </si>
  <si>
    <t>32330.6649.0310</t>
  </si>
  <si>
    <t>32497.8960.0310</t>
  </si>
  <si>
    <t>32497.8940.0310</t>
  </si>
  <si>
    <t>35031.0425.0310</t>
  </si>
  <si>
    <t>35040.7904.0310</t>
  </si>
  <si>
    <t>35051.7946.0310</t>
  </si>
  <si>
    <t>35055.7965.0310</t>
  </si>
  <si>
    <t>35076.0425.0310</t>
  </si>
  <si>
    <t>55014.4670.0310</t>
  </si>
  <si>
    <t>55014.4668.0310</t>
  </si>
  <si>
    <t>55014.4667.0310</t>
  </si>
  <si>
    <t>55014.4665.0310</t>
  </si>
  <si>
    <t>55014.4664.0310</t>
  </si>
  <si>
    <t>55014.4662.0310</t>
  </si>
  <si>
    <t>55014.4661.0310</t>
  </si>
  <si>
    <t>55013.4672.0310</t>
  </si>
  <si>
    <t>55013.4671.0310</t>
  </si>
  <si>
    <t>55013.4670.0310</t>
  </si>
  <si>
    <t>55013.4669.0310</t>
  </si>
  <si>
    <t>55013.4667.0310</t>
  </si>
  <si>
    <t>55013.4666.0310</t>
  </si>
  <si>
    <t>55013.4664.0310</t>
  </si>
  <si>
    <t>55013.4663.0310</t>
  </si>
  <si>
    <t>55013.4661.0310</t>
  </si>
  <si>
    <t>55011.4670.0310</t>
  </si>
  <si>
    <t>55011.4669.0310</t>
  </si>
  <si>
    <t>55011.4667.0310</t>
  </si>
  <si>
    <t>55011.4666.0310</t>
  </si>
  <si>
    <t>55011.4665.0310</t>
  </si>
  <si>
    <t>55011.4664.0310</t>
  </si>
  <si>
    <t>55011.4663.0310</t>
  </si>
  <si>
    <t>55011.4662.0310</t>
  </si>
  <si>
    <t>55011.4661.0310</t>
  </si>
  <si>
    <t>55010.4669.0310</t>
  </si>
  <si>
    <t>55010.4668.0310</t>
  </si>
  <si>
    <t>55010.4666.0310</t>
  </si>
  <si>
    <t>55010.4665.0310</t>
  </si>
  <si>
    <t>55010.4663.0310</t>
  </si>
  <si>
    <t>55010.4662.0310</t>
  </si>
  <si>
    <t>55002.4579.0310</t>
  </si>
  <si>
    <t>55002.0350.0310</t>
  </si>
  <si>
    <t>50113.6709.0310</t>
  </si>
  <si>
    <t>50112.4597.0310</t>
  </si>
  <si>
    <t>50112.3734.0310</t>
  </si>
  <si>
    <t>50112.3637.0310</t>
  </si>
  <si>
    <t>50112.3583.0310</t>
  </si>
  <si>
    <t>50112.3575.0310</t>
  </si>
  <si>
    <t>50111.3722.0310</t>
  </si>
  <si>
    <t>50111.3717.0310</t>
  </si>
  <si>
    <t>50111.3716.0310</t>
  </si>
  <si>
    <t>50111.3715.0310</t>
  </si>
  <si>
    <t>50111.3714.0310</t>
  </si>
  <si>
    <t>50111.3713.0310</t>
  </si>
  <si>
    <t>50111.3701.0310</t>
  </si>
  <si>
    <t>50110.3724.0310</t>
  </si>
  <si>
    <t>50110.3723.0310</t>
  </si>
  <si>
    <t>50110.3718.0310</t>
  </si>
  <si>
    <t>50110.3717.0310</t>
  </si>
  <si>
    <t>50110.3715.0310</t>
  </si>
  <si>
    <t>50110.3714.0310</t>
  </si>
  <si>
    <t>50110.3713.0310</t>
  </si>
  <si>
    <t>50110.3712.0310</t>
  </si>
  <si>
    <t>50110.3703.0310</t>
  </si>
  <si>
    <t>50110.3701.0310</t>
  </si>
  <si>
    <t>50109.3699.0310</t>
  </si>
  <si>
    <t>50109.3697.0310</t>
  </si>
  <si>
    <t>50109.3696.0310</t>
  </si>
  <si>
    <t>50108.3679.0310</t>
  </si>
  <si>
    <t>50107.3689.0310</t>
  </si>
  <si>
    <t>50107.3688.0310</t>
  </si>
  <si>
    <t>50107.3686.0310</t>
  </si>
  <si>
    <t>50106.3673.0310</t>
  </si>
  <si>
    <t>50106.3671.0310</t>
  </si>
  <si>
    <t>50106.3669.0310</t>
  </si>
  <si>
    <t>50106.3668.0310</t>
  </si>
  <si>
    <t>50106.3667.0310</t>
  </si>
  <si>
    <t>50106.3665.0310</t>
  </si>
  <si>
    <t>50105.3717.0310</t>
  </si>
  <si>
    <t>35125.0300.0310</t>
  </si>
  <si>
    <t>35120.4128.0310</t>
  </si>
  <si>
    <t>35120.0530.0310</t>
  </si>
  <si>
    <t>35120.0300.0310</t>
  </si>
  <si>
    <t>35120.0350.0310</t>
  </si>
  <si>
    <t>35120.0425.0310</t>
  </si>
  <si>
    <t>35125.4133.0310</t>
  </si>
  <si>
    <t>35125.4135.0310</t>
  </si>
  <si>
    <t>35125.4140.0310</t>
  </si>
  <si>
    <t>35125.4138.0310</t>
  </si>
  <si>
    <t>35125.4149.0310</t>
  </si>
  <si>
    <t>35125.4143.0310</t>
  </si>
  <si>
    <t>35145.8761.0310</t>
  </si>
  <si>
    <t>50105.3703.0310</t>
  </si>
  <si>
    <t>50105.3671.0310</t>
  </si>
  <si>
    <t>50105.3669.0310</t>
  </si>
  <si>
    <t>50105.3668.0310</t>
  </si>
  <si>
    <t>50105.3666.0310</t>
  </si>
  <si>
    <t>50105.3665.0310</t>
  </si>
  <si>
    <t>50005.3586.0310</t>
  </si>
  <si>
    <t>50005.3582.0310</t>
  </si>
  <si>
    <t>50005.3580.0310</t>
  </si>
  <si>
    <t>35160.2250.0310</t>
  </si>
  <si>
    <t>35150.0450.0310</t>
  </si>
  <si>
    <t>35152.7725.0310</t>
  </si>
  <si>
    <t>35152.5444.0310</t>
  </si>
  <si>
    <t>35152.8845.0310</t>
  </si>
  <si>
    <t>35152.8844.0310</t>
  </si>
  <si>
    <t>35152.1160.0310</t>
  </si>
  <si>
    <t>35152.8840.0310</t>
  </si>
  <si>
    <t>32496.8955.0310</t>
  </si>
  <si>
    <t>32496.6648.0310</t>
  </si>
  <si>
    <t>32496.8954.0310</t>
  </si>
  <si>
    <t>32497.8956.0310</t>
  </si>
  <si>
    <t>32497.8958.0310</t>
  </si>
  <si>
    <t>32497.8952.0310</t>
  </si>
  <si>
    <t>32497.8950.0310</t>
  </si>
  <si>
    <t>32497.8949.0310</t>
  </si>
  <si>
    <t>32497.8936.0310</t>
  </si>
  <si>
    <t>32497.8942.0310</t>
  </si>
  <si>
    <t>32497.8941.0310</t>
  </si>
  <si>
    <t>32497.8939.0310</t>
  </si>
  <si>
    <t>32497.8938.0310</t>
  </si>
  <si>
    <t>32497.8935.0310</t>
  </si>
  <si>
    <t>32497.8933.0310</t>
  </si>
  <si>
    <t>32497.8932.0310</t>
  </si>
  <si>
    <t>32497.8926.0310</t>
  </si>
  <si>
    <t>32497.8930.0310</t>
  </si>
  <si>
    <t>32497.8929.0310</t>
  </si>
  <si>
    <t>32497.8928.0310</t>
  </si>
  <si>
    <t>32497.8927.0310</t>
  </si>
  <si>
    <t>32497.8925.0310</t>
  </si>
  <si>
    <t>32497.6640.0310</t>
  </si>
  <si>
    <t>35000.0300.0310</t>
  </si>
  <si>
    <t>35001.7518.0310</t>
  </si>
  <si>
    <t>35015.0450.0310</t>
  </si>
  <si>
    <t>35040.7903.0310</t>
  </si>
  <si>
    <t>35040.7900.0310</t>
  </si>
  <si>
    <t>35040.0300.0310</t>
  </si>
  <si>
    <t>35050.7932.0310</t>
  </si>
  <si>
    <t>35051.7945.0310</t>
  </si>
  <si>
    <t>35077.8575.0310</t>
  </si>
  <si>
    <t>35077.8574.0310</t>
  </si>
  <si>
    <t>35076.0530.0310</t>
  </si>
  <si>
    <t>35056.7971.0310</t>
  </si>
  <si>
    <t>35056.7968.0310</t>
  </si>
  <si>
    <t>35055.7960.0310</t>
  </si>
  <si>
    <t>35052.7954.0310</t>
  </si>
  <si>
    <t>35051.7951.0310</t>
  </si>
  <si>
    <t>35080.8586.0310</t>
  </si>
  <si>
    <t>35080.8584.0310</t>
  </si>
  <si>
    <t>35084.8689.0310</t>
  </si>
  <si>
    <t>35084.8686.0310</t>
  </si>
  <si>
    <t>35082.0530.0310</t>
  </si>
  <si>
    <t>32310.6136.0310</t>
  </si>
  <si>
    <t>32300.6002.0310</t>
  </si>
  <si>
    <t>32300.6001.0310</t>
  </si>
  <si>
    <t>32300.5999.0310</t>
  </si>
  <si>
    <t>32300.5998.0310</t>
  </si>
  <si>
    <t>32300.5997.0310</t>
  </si>
  <si>
    <t>32286.5902.0310</t>
  </si>
  <si>
    <t>32286.5901.0310</t>
  </si>
  <si>
    <t>32286.5363.0310</t>
  </si>
  <si>
    <t>32285.5878.0310</t>
  </si>
  <si>
    <t>32285.0531.0310</t>
  </si>
  <si>
    <t>32285.0425.0310</t>
  </si>
  <si>
    <t>32280.5741.0310</t>
  </si>
  <si>
    <t>32278.5708.0310</t>
  </si>
  <si>
    <t>32278.5703.0310</t>
  </si>
  <si>
    <t>32278.5701.0310</t>
  </si>
  <si>
    <t>32279.5605.0310</t>
  </si>
  <si>
    <t>32278.5715.0310</t>
  </si>
  <si>
    <t>32278.5710.0310</t>
  </si>
  <si>
    <t>32312.6184.0310</t>
  </si>
  <si>
    <t>32312.6182.0310</t>
  </si>
  <si>
    <t>32312.6174.0310</t>
  </si>
  <si>
    <t>32312.6170.0310</t>
  </si>
  <si>
    <t>32312.6168.0310</t>
  </si>
  <si>
    <t>32312.6166.0310</t>
  </si>
  <si>
    <t>32312.6164.0310</t>
  </si>
  <si>
    <t>32312.6162.0310</t>
  </si>
  <si>
    <t>32312.6160.0310</t>
  </si>
  <si>
    <t>32312.6157.0310</t>
  </si>
  <si>
    <t>32312.6156.0310</t>
  </si>
  <si>
    <t>32310.6151.0310</t>
  </si>
  <si>
    <t>32310.6145.0310</t>
  </si>
  <si>
    <t>32310.6143.0310</t>
  </si>
  <si>
    <t>32312.6206.0310</t>
  </si>
  <si>
    <t>32312.6205.0310</t>
  </si>
  <si>
    <t>32312.6203.0310</t>
  </si>
  <si>
    <t>32312.6196.0310</t>
  </si>
  <si>
    <t>32312.6194.0310</t>
  </si>
  <si>
    <t>32312.6193.0310</t>
  </si>
  <si>
    <t>32312.6190.0310</t>
  </si>
  <si>
    <t>32312.6188.0310</t>
  </si>
  <si>
    <t>32312.6186.0310</t>
  </si>
  <si>
    <t>32320.6397.0310</t>
  </si>
  <si>
    <t>32320.6704.0310</t>
  </si>
  <si>
    <t>32320.6709.0310</t>
  </si>
  <si>
    <t>32348.7050.0310</t>
  </si>
  <si>
    <t>32348.7049.0310</t>
  </si>
  <si>
    <t>32348.7048.0310</t>
  </si>
  <si>
    <t>32348.7045.0310</t>
  </si>
  <si>
    <t>32348.7041.0310</t>
  </si>
  <si>
    <t>32350.7073.0310</t>
  </si>
  <si>
    <t>32348.7059.0310</t>
  </si>
  <si>
    <t>32348.7056.0310</t>
  </si>
  <si>
    <t>32348.7052.0310</t>
  </si>
  <si>
    <t>32348.7051.0310</t>
  </si>
  <si>
    <t>32348.7055.0310</t>
  </si>
  <si>
    <t>32361.6724.0310</t>
  </si>
  <si>
    <t>32361.7329.0310</t>
  </si>
  <si>
    <t>32364.7349.0310</t>
  </si>
  <si>
    <t>32364.7347.0310</t>
  </si>
  <si>
    <t>32364.7346.0310</t>
  </si>
  <si>
    <t>32364.7353.0310</t>
  </si>
  <si>
    <t>32345.6995.0310</t>
  </si>
  <si>
    <t>32345.6994.0310</t>
  </si>
  <si>
    <t>32345.6991.0310</t>
  </si>
  <si>
    <t>32344.6921.0310</t>
  </si>
  <si>
    <t>32342.6900.0310</t>
  </si>
  <si>
    <t>32344.6924.0310</t>
  </si>
  <si>
    <t>32344.6922.0310</t>
  </si>
  <si>
    <t>32348.7029.0310</t>
  </si>
  <si>
    <t>32348.7027.0310</t>
  </si>
  <si>
    <t>32348.7025.0310</t>
  </si>
  <si>
    <t>32348.7024.0310</t>
  </si>
  <si>
    <t>32348.6942.0310</t>
  </si>
  <si>
    <t>32348.6749.0310</t>
  </si>
  <si>
    <t>32348.7022.0310</t>
  </si>
  <si>
    <t>32348.7021.0310</t>
  </si>
  <si>
    <t>32342.6899.0310</t>
  </si>
  <si>
    <t>32342.6897.0310</t>
  </si>
  <si>
    <t>32342.6896.0310</t>
  </si>
  <si>
    <t>32340.6868.0310</t>
  </si>
  <si>
    <t>32340.6865.0310</t>
  </si>
  <si>
    <t>32340.6862.0310</t>
  </si>
  <si>
    <t>32340.0350.0310</t>
  </si>
  <si>
    <t>32340.4146.0310</t>
  </si>
  <si>
    <t>32340.0425.0310</t>
  </si>
  <si>
    <t>32326.6568.0310</t>
  </si>
  <si>
    <t>32322.0328.0310</t>
  </si>
  <si>
    <t>32325.0530.0310</t>
  </si>
  <si>
    <t>32322.6420.0310</t>
  </si>
  <si>
    <t>32322.0300.0310</t>
  </si>
  <si>
    <t>32278.5698.0310</t>
  </si>
  <si>
    <t>32276.5649.0310</t>
  </si>
  <si>
    <t>32275.5625.0310</t>
  </si>
  <si>
    <t>32275.5623.0310</t>
  </si>
  <si>
    <t>32275.5622.0310</t>
  </si>
  <si>
    <t>32270.5465.0310</t>
  </si>
  <si>
    <t>32270.5459.0310</t>
  </si>
  <si>
    <t>32267.5424.0310</t>
  </si>
  <si>
    <t>32267.5421.0310</t>
  </si>
  <si>
    <t>32267.5420.0310</t>
  </si>
  <si>
    <t>32266.5400.0310</t>
  </si>
  <si>
    <t>32266.0530.0310</t>
  </si>
  <si>
    <t>32265.5389.0310</t>
  </si>
  <si>
    <t>32265.5386.0310</t>
  </si>
  <si>
    <t>32265.5385.0310</t>
  </si>
  <si>
    <t>32254.5577.0310</t>
  </si>
  <si>
    <t>32252.5548.0310</t>
  </si>
  <si>
    <t>32252.3476.0310</t>
  </si>
  <si>
    <t>32252.3468.0310</t>
  </si>
  <si>
    <t>32252.3467.0310</t>
  </si>
  <si>
    <t>32252.3465.0310</t>
  </si>
  <si>
    <t>32252.3464.0310</t>
  </si>
  <si>
    <t>32251.5544.0310</t>
  </si>
  <si>
    <t>32251.5542.0310</t>
  </si>
  <si>
    <t>32251.3477.0310</t>
  </si>
  <si>
    <t>32251.3473.0310</t>
  </si>
  <si>
    <t>32251.3472.0310</t>
  </si>
  <si>
    <t>32251.3460.0310</t>
  </si>
  <si>
    <t>32250.5068.0310</t>
  </si>
  <si>
    <t>32250.4247.0310</t>
  </si>
  <si>
    <t>32250.4246.0310</t>
  </si>
  <si>
    <t>32250.4245.0310</t>
  </si>
  <si>
    <t>32250.4244.0310</t>
  </si>
  <si>
    <t>32250.4236.0310</t>
  </si>
  <si>
    <t>32250.4233.0310</t>
  </si>
  <si>
    <t>32250.4224.0310</t>
  </si>
  <si>
    <t>32249.3478.0310</t>
  </si>
  <si>
    <t>32249.3476.0310</t>
  </si>
  <si>
    <t>32241.3472.0310</t>
  </si>
  <si>
    <t>32249.3468.0310</t>
  </si>
  <si>
    <t>32249.3467.0310</t>
  </si>
  <si>
    <t>32249.3466.0310</t>
  </si>
  <si>
    <t>32249.3465.0310</t>
  </si>
  <si>
    <t>32248.5544.0310</t>
  </si>
  <si>
    <t>32248.3477.0310</t>
  </si>
  <si>
    <t>32001.0425.0300</t>
  </si>
  <si>
    <t>32248.3474.0310</t>
  </si>
  <si>
    <t>32248.3472.0310</t>
  </si>
  <si>
    <t>32248.3471.0310</t>
  </si>
  <si>
    <t>32248.3462.0310</t>
  </si>
  <si>
    <t>32248.3460.0310</t>
  </si>
  <si>
    <t>32243.3476.0310</t>
  </si>
  <si>
    <t>32243.3475.0310</t>
  </si>
  <si>
    <t>32243.3468.0310</t>
  </si>
  <si>
    <t>32243.3465.0310</t>
  </si>
  <si>
    <t>32242.3473.0310</t>
  </si>
  <si>
    <t>32242.3472.0310</t>
  </si>
  <si>
    <t>32242.3471.0310</t>
  </si>
  <si>
    <t>32242.3462.0310</t>
  </si>
  <si>
    <t>32241.3478.0310</t>
  </si>
  <si>
    <t>32241.3468.0310</t>
  </si>
  <si>
    <t>32001.2254.0300</t>
  </si>
  <si>
    <t>32241.3467.0310</t>
  </si>
  <si>
    <t>32241.3465.0310</t>
  </si>
  <si>
    <t>32240.3477.0310</t>
  </si>
  <si>
    <t>32240.3474.0310</t>
  </si>
  <si>
    <t>32240.3473.0310</t>
  </si>
  <si>
    <t>32261.0530.0310</t>
  </si>
  <si>
    <t>32262.5338.0310</t>
  </si>
  <si>
    <t>32262.5249.0310</t>
  </si>
  <si>
    <t>32262.4152.0310</t>
  </si>
  <si>
    <t>32261.5320.0310</t>
  </si>
  <si>
    <t>32262.5350.0310</t>
  </si>
  <si>
    <t>32262.5349.0310</t>
  </si>
  <si>
    <t>32262.5348.0310</t>
  </si>
  <si>
    <t>32262.5347.0310</t>
  </si>
  <si>
    <t>32262.5346.0310</t>
  </si>
  <si>
    <t>32262.5343.0310</t>
  </si>
  <si>
    <t>32262.5374.0310</t>
  </si>
  <si>
    <t>32262.5371.0310</t>
  </si>
  <si>
    <t>32262.5370.0310</t>
  </si>
  <si>
    <t>32262.5368.0310</t>
  </si>
  <si>
    <t>32262.5364.0310</t>
  </si>
  <si>
    <t>32262.5344.0310</t>
  </si>
  <si>
    <t>32262.5355.0310</t>
  </si>
  <si>
    <t>32262.5354.0310</t>
  </si>
  <si>
    <t>32262.5352.0310</t>
  </si>
  <si>
    <t>32262.5351.0310</t>
  </si>
  <si>
    <t>32264.6175.0310</t>
  </si>
  <si>
    <t>32262.7725.0310</t>
  </si>
  <si>
    <t>32262.5742.0310</t>
  </si>
  <si>
    <t>32262.5556.0310</t>
  </si>
  <si>
    <t>32262.5470.0310</t>
  </si>
  <si>
    <t>32262.5444.0310</t>
  </si>
  <si>
    <t>32262.5440.0310</t>
  </si>
  <si>
    <t>32262.5390.0310</t>
  </si>
  <si>
    <t>32240.3471.0310</t>
  </si>
  <si>
    <t>32240.3462.0310</t>
  </si>
  <si>
    <t>32240.3460.0310</t>
  </si>
  <si>
    <t>32201.0500.0310</t>
  </si>
  <si>
    <t>32200.4015.0310</t>
  </si>
  <si>
    <t>32200.0300.0310</t>
  </si>
  <si>
    <t>32135.4368.0310</t>
  </si>
  <si>
    <t>32135.4257.0310</t>
  </si>
  <si>
    <t>32135.4256.0310</t>
  </si>
  <si>
    <t>32135.4254.0310</t>
  </si>
  <si>
    <t>32001.2266.0300</t>
  </si>
  <si>
    <t>32135.4251.0310</t>
  </si>
  <si>
    <t>32132.4259.0310</t>
  </si>
  <si>
    <t>32132.4241.0310</t>
  </si>
  <si>
    <t>32132.4231.0310</t>
  </si>
  <si>
    <t>32130.4226.0310</t>
  </si>
  <si>
    <t>32120.3298.0310</t>
  </si>
  <si>
    <t>32120.3286.0310</t>
  </si>
  <si>
    <t>32120.3280.0310</t>
  </si>
  <si>
    <t>31083.1962.0300</t>
  </si>
  <si>
    <t>32119.3470.0310</t>
  </si>
  <si>
    <t>32119.3468.0310</t>
  </si>
  <si>
    <t>32118.3477.0310</t>
  </si>
  <si>
    <t>32118.3460.0310</t>
  </si>
  <si>
    <t>32116.3239.0310</t>
  </si>
  <si>
    <t>32116.3238.0310</t>
  </si>
  <si>
    <t>32116.3232.0310</t>
  </si>
  <si>
    <t>32115.3478.0310</t>
  </si>
  <si>
    <t>32115.3468.0310</t>
  </si>
  <si>
    <t>32115.3465.0310</t>
  </si>
  <si>
    <t>32114.3477.0310</t>
  </si>
  <si>
    <t>32114.3462.0310</t>
  </si>
  <si>
    <t>32113.3475.0310</t>
  </si>
  <si>
    <t>32112.3474.0310</t>
  </si>
  <si>
    <t>32112.3473.0310</t>
  </si>
  <si>
    <t>32112.3471.0310</t>
  </si>
  <si>
    <t>32111.3467.0310</t>
  </si>
  <si>
    <t>32111.3464.0310</t>
  </si>
  <si>
    <t>32110.3463.0310</t>
  </si>
  <si>
    <t>31083.1961.0300</t>
  </si>
  <si>
    <t>32110.3462.0310</t>
  </si>
  <si>
    <t>32110.3460.0310</t>
  </si>
  <si>
    <t>32110.3234.0310</t>
  </si>
  <si>
    <t>32110.3228.0310</t>
  </si>
  <si>
    <t>32110.3088.0310</t>
  </si>
  <si>
    <t>32109.3476.0310</t>
  </si>
  <si>
    <t>32109.3475.0310</t>
  </si>
  <si>
    <t>32109.3030.0310</t>
  </si>
  <si>
    <t>32108.3474.0310</t>
  </si>
  <si>
    <t>32108.3472.0310</t>
  </si>
  <si>
    <t>32108.3471.0310</t>
  </si>
  <si>
    <t>32102.0516.0310</t>
  </si>
  <si>
    <t>32000.0425.0300</t>
  </si>
  <si>
    <t>32100.0571.0310</t>
  </si>
  <si>
    <t>32100.0570.0310</t>
  </si>
  <si>
    <t>32099.3066.0310</t>
  </si>
  <si>
    <t>32099.3065.0310</t>
  </si>
  <si>
    <t>32098.3065.0310</t>
  </si>
  <si>
    <t>32098.3064.0310</t>
  </si>
  <si>
    <t>32096.3066.0310</t>
  </si>
  <si>
    <t>32000.0510.0300</t>
  </si>
  <si>
    <t>32096.3065.0310</t>
  </si>
  <si>
    <t>32096.3064.0310</t>
  </si>
  <si>
    <t>32095.3066.0310</t>
  </si>
  <si>
    <t>32095.3064.0310</t>
  </si>
  <si>
    <t>32023.2459.0310</t>
  </si>
  <si>
    <t>32023.2457.0310</t>
  </si>
  <si>
    <t>32023.2475.0310</t>
  </si>
  <si>
    <t>32022.5461.0310</t>
  </si>
  <si>
    <t>32022.2583.0310</t>
  </si>
  <si>
    <t>32000.5552.0300</t>
  </si>
  <si>
    <t>32022.2581.0310</t>
  </si>
  <si>
    <t>32022.2580.0310</t>
  </si>
  <si>
    <t>32022.2578.0310</t>
  </si>
  <si>
    <t>32022.2577.0310</t>
  </si>
  <si>
    <t>32022.2576.0310</t>
  </si>
  <si>
    <t>32022.1115.0310</t>
  </si>
  <si>
    <t>32021.2453.0310</t>
  </si>
  <si>
    <t>32022.2493.0310</t>
  </si>
  <si>
    <t>32022.2492.0310</t>
  </si>
  <si>
    <t>32022.2491.0310</t>
  </si>
  <si>
    <t>32022.2490.0310</t>
  </si>
  <si>
    <t>32021.2451.0310</t>
  </si>
  <si>
    <t>32020.2441.0310</t>
  </si>
  <si>
    <t>32011.2247.0310</t>
  </si>
  <si>
    <t>32011.2249.0310</t>
  </si>
  <si>
    <t>32001.5553.0310</t>
  </si>
  <si>
    <t>31061.1809.0300</t>
  </si>
  <si>
    <t>32011.2241.0310</t>
  </si>
  <si>
    <t>32011.2238.0310</t>
  </si>
  <si>
    <t>32011.2243.0310</t>
  </si>
  <si>
    <t>32011.2245.0310</t>
  </si>
  <si>
    <t>32011.2246.0310</t>
  </si>
  <si>
    <t>30021.1154.0310</t>
  </si>
  <si>
    <t>30005.1128.0310</t>
  </si>
  <si>
    <t>30025.0425.0310</t>
  </si>
  <si>
    <t>31000.0373.0310</t>
  </si>
  <si>
    <t>30002.1148.0310</t>
  </si>
  <si>
    <t>30002.1089.0310</t>
  </si>
  <si>
    <t>31063.1828.0300</t>
  </si>
  <si>
    <t>31063.1829.0300</t>
  </si>
  <si>
    <t>30002.1030.0310</t>
  </si>
  <si>
    <t>30001.1091.0310</t>
  </si>
  <si>
    <t>30001.8695.0310</t>
  </si>
  <si>
    <t>31045.3092.0310</t>
  </si>
  <si>
    <t>31042.1653.0310</t>
  </si>
  <si>
    <t>31020.4758.0310</t>
  </si>
  <si>
    <t>31080.0300.0310</t>
  </si>
  <si>
    <t>31063.1829.0310</t>
  </si>
  <si>
    <t>31063.1828.0310</t>
  </si>
  <si>
    <t>31061.1809.0310</t>
  </si>
  <si>
    <t>32001.0300.0310</t>
  </si>
  <si>
    <t>32000.5552.0310</t>
  </si>
  <si>
    <t>32000.0510.0310</t>
  </si>
  <si>
    <t>32000.0425.0310</t>
  </si>
  <si>
    <t>31083.1961.0310</t>
  </si>
  <si>
    <t>31083.1962.0310</t>
  </si>
  <si>
    <t>32001.2266.0310</t>
  </si>
  <si>
    <t>32001.2254.0310</t>
  </si>
  <si>
    <t>32001.0425.0310</t>
  </si>
  <si>
    <t>31020.4758.0300</t>
  </si>
  <si>
    <t>50108.3691.0302</t>
  </si>
  <si>
    <t>32286.5900.0302</t>
  </si>
  <si>
    <t>32285.5879.0302</t>
  </si>
  <si>
    <t>32300.6000.0302</t>
  </si>
  <si>
    <t>32310.6138.0302</t>
  </si>
  <si>
    <t>32312.6172.0302</t>
  </si>
  <si>
    <t>32286.5903.0302</t>
  </si>
  <si>
    <t>32344.6929.0302</t>
  </si>
  <si>
    <t>32342.6901.0302</t>
  </si>
  <si>
    <t>32348.7057.0302</t>
  </si>
  <si>
    <t>55011.4668.0302</t>
  </si>
  <si>
    <t>55010.4661.0302</t>
  </si>
  <si>
    <t>55010.4664.0302</t>
  </si>
  <si>
    <t>55010.4667.0302</t>
  </si>
  <si>
    <t>50110.3708.0302</t>
  </si>
  <si>
    <t>50111.3712.0302</t>
  </si>
  <si>
    <t>50110.3722.0302</t>
  </si>
  <si>
    <t>31042.1653.0300</t>
  </si>
  <si>
    <t>55013.4662.0302</t>
  </si>
  <si>
    <t>55014.4663.0302</t>
  </si>
  <si>
    <t>55020.3737.0302</t>
  </si>
  <si>
    <t>55020.3740.0302</t>
  </si>
  <si>
    <t>55020.3743.0302</t>
  </si>
  <si>
    <t>55014.4666.0302</t>
  </si>
  <si>
    <t>31045.3092.0300</t>
  </si>
  <si>
    <t>55020.4716.0302</t>
  </si>
  <si>
    <t>55020.3806.0302</t>
  </si>
  <si>
    <t>55022.3585.0302</t>
  </si>
  <si>
    <t>55022.3734.0302</t>
  </si>
  <si>
    <t>55023.3798.0302</t>
  </si>
  <si>
    <t>55023.4717.0302</t>
  </si>
  <si>
    <t>60010.4661.0302</t>
  </si>
  <si>
    <t>32361.6729.0302</t>
  </si>
  <si>
    <t>35125.4139.0302</t>
  </si>
  <si>
    <t>35080.4082.0302</t>
  </si>
  <si>
    <t>35020.0300.0302</t>
  </si>
  <si>
    <t>30001.8695.0300</t>
  </si>
  <si>
    <t>32497.6644.0302</t>
  </si>
  <si>
    <t>32497.8951.0302</t>
  </si>
  <si>
    <t>32011.2248.0302</t>
  </si>
  <si>
    <t>32022.2582.0302</t>
  </si>
  <si>
    <t>32022.2579.0302</t>
  </si>
  <si>
    <t>32095.3065.0302</t>
  </si>
  <si>
    <t>32099.3064.0302</t>
  </si>
  <si>
    <t>30001.1091.0300</t>
  </si>
  <si>
    <t>32108.3473.0302</t>
  </si>
  <si>
    <t>30021.1157.0302</t>
  </si>
  <si>
    <t>60025.4665.0302</t>
  </si>
  <si>
    <t>55023.3767.0302</t>
  </si>
  <si>
    <t>55022.4799.0302</t>
  </si>
  <si>
    <t>55023.3784.0302</t>
  </si>
  <si>
    <t>55023.3804.0302</t>
  </si>
  <si>
    <t>60010.4664.0302</t>
  </si>
  <si>
    <t>30002.1030.0300</t>
  </si>
  <si>
    <t>55013.4665.0302</t>
  </si>
  <si>
    <t>55013.4668.0302</t>
  </si>
  <si>
    <t>55014.4669.0302</t>
  </si>
  <si>
    <t>30002.1089.0300</t>
  </si>
  <si>
    <t>55020.3746.0302</t>
  </si>
  <si>
    <t>55020.3766.0302</t>
  </si>
  <si>
    <t>55020.3769.0302</t>
  </si>
  <si>
    <t>55020.3772.0302</t>
  </si>
  <si>
    <t>55020.3786.0302</t>
  </si>
  <si>
    <t>55020.3789.0302</t>
  </si>
  <si>
    <t>30002.1148.0300</t>
  </si>
  <si>
    <t>55020.3792.0302</t>
  </si>
  <si>
    <t>30002.1118.0300</t>
  </si>
  <si>
    <t>55020.3809.0302</t>
  </si>
  <si>
    <t>55020.3812.0302</t>
  </si>
  <si>
    <t>32111.3465.0302</t>
  </si>
  <si>
    <t>30002.1170.0300</t>
  </si>
  <si>
    <t>32111.3468.0302</t>
  </si>
  <si>
    <t>32112.3472.0302</t>
  </si>
  <si>
    <t>32113.3476.0302</t>
  </si>
  <si>
    <t>32114.3460.0302</t>
  </si>
  <si>
    <t>32115.3464.0302</t>
  </si>
  <si>
    <t>32115.3467.0302</t>
  </si>
  <si>
    <t>32119.3469.0302</t>
  </si>
  <si>
    <t>32120.3287.0302</t>
  </si>
  <si>
    <t>32200.4019.0302</t>
  </si>
  <si>
    <t>32242.3460.0302</t>
  </si>
  <si>
    <t>32242.3474.0302</t>
  </si>
  <si>
    <t>32242.3477.0302</t>
  </si>
  <si>
    <t>32243.3464.0302</t>
  </si>
  <si>
    <t>32011.2240.0302</t>
  </si>
  <si>
    <t>31000.0373.0300</t>
  </si>
  <si>
    <t>32022.1964.0302</t>
  </si>
  <si>
    <t>32022.5462.0302</t>
  </si>
  <si>
    <t>50105.3673.0302</t>
  </si>
  <si>
    <t>50106.3717.0302</t>
  </si>
  <si>
    <t>50105.3667.0302</t>
  </si>
  <si>
    <t>32132.4232.0302</t>
  </si>
  <si>
    <t>32125.3302.0302</t>
  </si>
  <si>
    <t>32119.3478.0302</t>
  </si>
  <si>
    <t>32120.3270.0302</t>
  </si>
  <si>
    <t>50107.3684.0302</t>
  </si>
  <si>
    <t>50110.3716.0302</t>
  </si>
  <si>
    <t>50111.3703.0302</t>
  </si>
  <si>
    <t>50111.3723.0302</t>
  </si>
  <si>
    <t>50113.3734.0302</t>
  </si>
  <si>
    <t>50112.3730.0302</t>
  </si>
  <si>
    <t>32262.5373.0302</t>
  </si>
  <si>
    <t>32267.5422.0302</t>
  </si>
  <si>
    <t>35076.0425.0302</t>
  </si>
  <si>
    <t>32497.8940.0302</t>
  </si>
  <si>
    <t>32497.8960.0302</t>
  </si>
  <si>
    <t>32330.6649.0302</t>
  </si>
  <si>
    <t>32348.7023.0302</t>
  </si>
  <si>
    <t>30025.0425.0300</t>
  </si>
  <si>
    <t>32348.7046.0302</t>
  </si>
  <si>
    <t>32348.7060.0302</t>
  </si>
  <si>
    <t>32360.7298.0302</t>
  </si>
  <si>
    <t>32312.6264.0302</t>
  </si>
  <si>
    <t>30004.0300.0300</t>
  </si>
  <si>
    <t>32262.5345.0302</t>
  </si>
  <si>
    <t>32265.5383.0302</t>
  </si>
  <si>
    <t>30005.1128.0300</t>
  </si>
  <si>
    <t>32270.5469.0302</t>
  </si>
  <si>
    <t>32275.5624.0302</t>
  </si>
  <si>
    <t>60023.3677.0302</t>
  </si>
  <si>
    <t>60024.3677.0302</t>
  </si>
  <si>
    <t>60025.4664.0302</t>
  </si>
  <si>
    <t>60025.4666.0302</t>
  </si>
  <si>
    <t>32135.4250.0302</t>
  </si>
  <si>
    <t>32240.3472.0302</t>
  </si>
  <si>
    <t>30021.1154.0300</t>
  </si>
  <si>
    <t>32241.3476.0302</t>
  </si>
  <si>
    <t>32242.3463.0302</t>
  </si>
  <si>
    <t>32243.3467.0302</t>
  </si>
  <si>
    <t>32250.4234.0302</t>
  </si>
  <si>
    <t>32248.3473.0302</t>
  </si>
  <si>
    <t>32250.4237.0302</t>
  </si>
  <si>
    <t>32251.3471.0302</t>
  </si>
  <si>
    <t>32251.3474.0302</t>
  </si>
  <si>
    <t>32252.3478.0302</t>
  </si>
  <si>
    <t>55015.3692.0302</t>
  </si>
  <si>
    <t>55015.3693.0302</t>
  </si>
  <si>
    <t>55015.3761.0302</t>
  </si>
  <si>
    <t>55015.3762.0302</t>
  </si>
  <si>
    <t>32011.2247.0300</t>
  </si>
  <si>
    <t>55015.3764.0302</t>
  </si>
  <si>
    <t>55015.4681.0302</t>
  </si>
  <si>
    <t>55015.4686.0302</t>
  </si>
  <si>
    <t>55015.4691.0302</t>
  </si>
  <si>
    <t>55015.4695.0302</t>
  </si>
  <si>
    <t>55015.4697.0302</t>
  </si>
  <si>
    <t>55020.3741.0302</t>
  </si>
  <si>
    <t>55020.3742.0302</t>
  </si>
  <si>
    <t>32011.2246.0300</t>
  </si>
  <si>
    <t>55020.3747.0302</t>
  </si>
  <si>
    <t>55020.3765.0302</t>
  </si>
  <si>
    <t>32011.2245.0300</t>
  </si>
  <si>
    <t>55020.3767.0302</t>
  </si>
  <si>
    <t>55020.3771.0302</t>
  </si>
  <si>
    <t>55020.3773.0302</t>
  </si>
  <si>
    <t>32011.2243.0300</t>
  </si>
  <si>
    <t>55020.3784.0302</t>
  </si>
  <si>
    <t>55020.3785.0302</t>
  </si>
  <si>
    <t>32011.2238.0300</t>
  </si>
  <si>
    <t>55020.3788.0302</t>
  </si>
  <si>
    <t>32011.2241.0300</t>
  </si>
  <si>
    <t>55020.3790.0302</t>
  </si>
  <si>
    <t>55020.3791.0302</t>
  </si>
  <si>
    <t>55020.3796.0302</t>
  </si>
  <si>
    <t>55020.3797.0302</t>
  </si>
  <si>
    <t>32001.5553.0300</t>
  </si>
  <si>
    <t>55020.3798.0302</t>
  </si>
  <si>
    <t>55020.3804.0302</t>
  </si>
  <si>
    <t>55020.3808.0302</t>
  </si>
  <si>
    <t>55020.3810.0302</t>
  </si>
  <si>
    <t>55020.3813.0302</t>
  </si>
  <si>
    <t>55020.4715.0302</t>
  </si>
  <si>
    <t>55020.4717.0302</t>
  </si>
  <si>
    <t>55020.4718.0302</t>
  </si>
  <si>
    <t>55021.3734.0302</t>
  </si>
  <si>
    <t>55022.4798.0302</t>
  </si>
  <si>
    <t>32011.2249.0300</t>
  </si>
  <si>
    <t>55022.4801.0302</t>
  </si>
  <si>
    <t>55022.6709.0302</t>
  </si>
  <si>
    <t>55023.3737.0302</t>
  </si>
  <si>
    <t>55023.3765.0302</t>
  </si>
  <si>
    <t>55023.3766.0302</t>
  </si>
  <si>
    <t>55023.3770.0302</t>
  </si>
  <si>
    <t>55023.3771.0302</t>
  </si>
  <si>
    <t>55023.3786.0302</t>
  </si>
  <si>
    <t>55023.3789.0302</t>
  </si>
  <si>
    <t>55023.3791.0302</t>
  </si>
  <si>
    <t>55023.3792.0302</t>
  </si>
  <si>
    <t>55023.3794.0302</t>
  </si>
  <si>
    <t>55023.3799.0302</t>
  </si>
  <si>
    <t>55023.3809.0302</t>
  </si>
  <si>
    <t>55023.3811.0302</t>
  </si>
  <si>
    <t>55023.3812.0302</t>
  </si>
  <si>
    <t>55023.3813.0302</t>
  </si>
  <si>
    <t>55023.4715.0302</t>
  </si>
  <si>
    <t>55023.4716.0302</t>
  </si>
  <si>
    <t>55023.4718.0302</t>
  </si>
  <si>
    <t>60010.4663.0302</t>
  </si>
  <si>
    <t>60010.4666.0302</t>
  </si>
  <si>
    <t>60011.3816.0302</t>
  </si>
  <si>
    <t>35152.8840.0302</t>
  </si>
  <si>
    <t>35152.8844.0302</t>
  </si>
  <si>
    <t>35152.8845.0302</t>
  </si>
  <si>
    <t>35150.0300.0302</t>
  </si>
  <si>
    <t>50105.3665.0302</t>
  </si>
  <si>
    <t>50105.3666.0302</t>
  </si>
  <si>
    <t>50105.3668.0302</t>
  </si>
  <si>
    <t>50105.3703.0302</t>
  </si>
  <si>
    <t>50105.3704.0302</t>
  </si>
  <si>
    <t>35125.4143.0302</t>
  </si>
  <si>
    <t>35125.4138.0302</t>
  </si>
  <si>
    <t>35120.0300.0302</t>
  </si>
  <si>
    <t>35120.0530.0302</t>
  </si>
  <si>
    <t>35125.0300.0302</t>
  </si>
  <si>
    <t>32021.2451.0300</t>
  </si>
  <si>
    <t>50105.3717.0302</t>
  </si>
  <si>
    <t>50106.3671.0302</t>
  </si>
  <si>
    <t>50106.3673.0302</t>
  </si>
  <si>
    <t>50107.3689.0302</t>
  </si>
  <si>
    <t>50108.3679.0302</t>
  </si>
  <si>
    <t>50109.3697.0302</t>
  </si>
  <si>
    <t>50109.3699.0302</t>
  </si>
  <si>
    <t>50110.3701.0302</t>
  </si>
  <si>
    <t>50110.3703.0302</t>
  </si>
  <si>
    <t>32022.2490.0300</t>
  </si>
  <si>
    <t>50110.3712.0302</t>
  </si>
  <si>
    <t>50110.3713.0302</t>
  </si>
  <si>
    <t>50110.3714.0302</t>
  </si>
  <si>
    <t>32022.2491.0300</t>
  </si>
  <si>
    <t>50110.3715.0302</t>
  </si>
  <si>
    <t>50110.3717.0302</t>
  </si>
  <si>
    <t>50110.3718.0302</t>
  </si>
  <si>
    <t>32022.2492.0300</t>
  </si>
  <si>
    <t>50110.3723.0302</t>
  </si>
  <si>
    <t>50110.3724.0302</t>
  </si>
  <si>
    <t>50111.3701.0302</t>
  </si>
  <si>
    <t>32022.2493.0300</t>
  </si>
  <si>
    <t>50111.3713.0302</t>
  </si>
  <si>
    <t>50111.3714.0302</t>
  </si>
  <si>
    <t>50111.3715.0302</t>
  </si>
  <si>
    <t>50111.3716.0302</t>
  </si>
  <si>
    <t>50111.3717.0302</t>
  </si>
  <si>
    <t>50111.3722.0302</t>
  </si>
  <si>
    <t>32021.2453.0300</t>
  </si>
  <si>
    <t>50112.3575.0302</t>
  </si>
  <si>
    <t>50112.3583.0302</t>
  </si>
  <si>
    <t>50112.3734.0302</t>
  </si>
  <si>
    <t>32020.8397.0300</t>
  </si>
  <si>
    <t>50113.6704.0302</t>
  </si>
  <si>
    <t>50113.6709.0302</t>
  </si>
  <si>
    <t>55010.4662.0302</t>
  </si>
  <si>
    <t>32022.1115.0300</t>
  </si>
  <si>
    <t>55010.4663.0302</t>
  </si>
  <si>
    <t>55010.4665.0302</t>
  </si>
  <si>
    <t>55010.4666.0302</t>
  </si>
  <si>
    <t>32022.2576.0300</t>
  </si>
  <si>
    <t>55010.4668.0302</t>
  </si>
  <si>
    <t>55010.4669.0302</t>
  </si>
  <si>
    <t>55011.4661.0302</t>
  </si>
  <si>
    <t>32022.2577.0300</t>
  </si>
  <si>
    <t>55011.4662.0302</t>
  </si>
  <si>
    <t>55011.4663.0302</t>
  </si>
  <si>
    <t>55011.4664.0302</t>
  </si>
  <si>
    <t>32022.2578.0300</t>
  </si>
  <si>
    <t>55011.4666.0302</t>
  </si>
  <si>
    <t>55011.4667.0302</t>
  </si>
  <si>
    <t>55011.4669.0302</t>
  </si>
  <si>
    <t>32022.2580.0300</t>
  </si>
  <si>
    <t>55011.4670.0302</t>
  </si>
  <si>
    <t>55013.4661.0302</t>
  </si>
  <si>
    <t>55013.4663.0302</t>
  </si>
  <si>
    <t>32022.2581.0300</t>
  </si>
  <si>
    <t>55013.4664.0302</t>
  </si>
  <si>
    <t>55013.4666.0302</t>
  </si>
  <si>
    <t>55013.4667.0302</t>
  </si>
  <si>
    <t>32022.2583.0300</t>
  </si>
  <si>
    <t>55013.4669.0302</t>
  </si>
  <si>
    <t>55013.4670.0302</t>
  </si>
  <si>
    <t>55013.4671.0302</t>
  </si>
  <si>
    <t>55014.4661.0302</t>
  </si>
  <si>
    <t>55014.4662.0302</t>
  </si>
  <si>
    <t>55014.4668.0302</t>
  </si>
  <si>
    <t>55014.4670.0302</t>
  </si>
  <si>
    <t>35082.0530.0302</t>
  </si>
  <si>
    <t>35084.8689.0302</t>
  </si>
  <si>
    <t>32022.5461.0300</t>
  </si>
  <si>
    <t>35080.8584.0302</t>
  </si>
  <si>
    <t>35076.0530.0302</t>
  </si>
  <si>
    <t>35077.8574.0302</t>
  </si>
  <si>
    <t>35050.0300.0302</t>
  </si>
  <si>
    <t>35040.0300.0302</t>
  </si>
  <si>
    <t>35000.0300.0302</t>
  </si>
  <si>
    <t>32497.8928.0302</t>
  </si>
  <si>
    <t>32497.8929.0302</t>
  </si>
  <si>
    <t>32497.8930.0302</t>
  </si>
  <si>
    <t>32497.8939.0302</t>
  </si>
  <si>
    <t>32497.8958.0302</t>
  </si>
  <si>
    <t>32496.8955.0302</t>
  </si>
  <si>
    <t>32322.0300.0302</t>
  </si>
  <si>
    <t>32322.6420.0302</t>
  </si>
  <si>
    <t>32326.6568.0302</t>
  </si>
  <si>
    <t>32340.0425.0302</t>
  </si>
  <si>
    <t>32340.6862.0302</t>
  </si>
  <si>
    <t>32340.6865.0302</t>
  </si>
  <si>
    <t>32023.2475.0300</t>
  </si>
  <si>
    <t>32340.6868.0302</t>
  </si>
  <si>
    <t>32342.6896.0302</t>
  </si>
  <si>
    <t>32342.6899.0302</t>
  </si>
  <si>
    <t>32348.7021.0302</t>
  </si>
  <si>
    <t>32023.2457.0300</t>
  </si>
  <si>
    <t>32348.7022.0302</t>
  </si>
  <si>
    <t>32348.6942.0302</t>
  </si>
  <si>
    <t>32348.7024.0302</t>
  </si>
  <si>
    <t>32023.2459.0300</t>
  </si>
  <si>
    <t>32348.7027.0302</t>
  </si>
  <si>
    <t>32348.7029.0302</t>
  </si>
  <si>
    <t>32344.6922.0302</t>
  </si>
  <si>
    <t>32344.6924.0302</t>
  </si>
  <si>
    <t>32342.6900.0302</t>
  </si>
  <si>
    <t>32344.6921.0302</t>
  </si>
  <si>
    <t>32095.3064.0300</t>
  </si>
  <si>
    <t>32345.6994.0302</t>
  </si>
  <si>
    <t>32345.6995.0302</t>
  </si>
  <si>
    <t>32364.7353.0302</t>
  </si>
  <si>
    <t>32364.7346.0302</t>
  </si>
  <si>
    <t>32364.7347.0302</t>
  </si>
  <si>
    <t>32095.3066.0300</t>
  </si>
  <si>
    <t>32364.7349.0302</t>
  </si>
  <si>
    <t>32361.6724.0302</t>
  </si>
  <si>
    <t>32348.7055.0302</t>
  </si>
  <si>
    <t>32348.7051.0302</t>
  </si>
  <si>
    <t>32348.7052.0302</t>
  </si>
  <si>
    <t>32348.7056.0302</t>
  </si>
  <si>
    <t>32096.3064.0300</t>
  </si>
  <si>
    <t>32350.7073.0302</t>
  </si>
  <si>
    <t>32348.7041.0302</t>
  </si>
  <si>
    <t>32348.7045.0302</t>
  </si>
  <si>
    <t>32348.7048.0302</t>
  </si>
  <si>
    <t>32348.7049.0302</t>
  </si>
  <si>
    <t>32096.3065.0300</t>
  </si>
  <si>
    <t>32348.7050.0302</t>
  </si>
  <si>
    <t>32320.6709.0302</t>
  </si>
  <si>
    <t>32320.6704.0302</t>
  </si>
  <si>
    <t>32096.3066.0300</t>
  </si>
  <si>
    <t>32320.6705.0302</t>
  </si>
  <si>
    <t>32320.6397.0302</t>
  </si>
  <si>
    <t>32312.6186.0302</t>
  </si>
  <si>
    <t>32312.6188.0302</t>
  </si>
  <si>
    <t>32312.6190.0302</t>
  </si>
  <si>
    <t>32097.3064.0300</t>
  </si>
  <si>
    <t>32312.6196.0302</t>
  </si>
  <si>
    <t>32312.6205.0302</t>
  </si>
  <si>
    <t>32312.6206.0302</t>
  </si>
  <si>
    <t>32312.6156.0302</t>
  </si>
  <si>
    <t>32312.6160.0302</t>
  </si>
  <si>
    <t>32312.6162.0302</t>
  </si>
  <si>
    <t>32098.3064.0300</t>
  </si>
  <si>
    <t>32098.3065.0300</t>
  </si>
  <si>
    <t>32312.6164.0302</t>
  </si>
  <si>
    <t>32312.6166.0302</t>
  </si>
  <si>
    <t>32312.6168.0302</t>
  </si>
  <si>
    <t>32312.6170.0302</t>
  </si>
  <si>
    <t>32312.6182.0302</t>
  </si>
  <si>
    <t>32099.3065.0300</t>
  </si>
  <si>
    <t>32312.6184.0302</t>
  </si>
  <si>
    <t>32278.5710.0302</t>
  </si>
  <si>
    <t>32099.3066.0300</t>
  </si>
  <si>
    <t>32278.5715.0302</t>
  </si>
  <si>
    <t>32279.5605.0302</t>
  </si>
  <si>
    <t>32278.5701.0302</t>
  </si>
  <si>
    <t>32280.5741.0302</t>
  </si>
  <si>
    <t>32285.0425.0302</t>
  </si>
  <si>
    <t>32285.0531.0302</t>
  </si>
  <si>
    <t>32285.5878.0302</t>
  </si>
  <si>
    <t>32286.5901.0302</t>
  </si>
  <si>
    <t>32100.0570.0300</t>
  </si>
  <si>
    <t>32286.5902.0302</t>
  </si>
  <si>
    <t>32300.5997.0302</t>
  </si>
  <si>
    <t>32300.5998.0302</t>
  </si>
  <si>
    <t>32300.5999.0302</t>
  </si>
  <si>
    <t>32262.5440.0302</t>
  </si>
  <si>
    <t>32262.5470.0302</t>
  </si>
  <si>
    <t>32262.5556.0302</t>
  </si>
  <si>
    <t>32262.5742.0302</t>
  </si>
  <si>
    <t>32100.0571.0300</t>
  </si>
  <si>
    <t>32262.5351.0302</t>
  </si>
  <si>
    <t>32262.5352.0302</t>
  </si>
  <si>
    <t>32262.5355.0302</t>
  </si>
  <si>
    <t>32262.5344.0302</t>
  </si>
  <si>
    <t>32262.5368.0302</t>
  </si>
  <si>
    <t>32262.5346.0302</t>
  </si>
  <si>
    <t>32262.5347.0302</t>
  </si>
  <si>
    <t>32262.5348.0302</t>
  </si>
  <si>
    <t>32262.5349.0302</t>
  </si>
  <si>
    <t>32262.5350.0302</t>
  </si>
  <si>
    <t>32261.5320.0302</t>
  </si>
  <si>
    <t>32262.4152.0302</t>
  </si>
  <si>
    <t>32262.5249.0302</t>
  </si>
  <si>
    <t>32262.5338.0302</t>
  </si>
  <si>
    <t>32261.0530.0302</t>
  </si>
  <si>
    <t>32240.3473.0302</t>
  </si>
  <si>
    <t>32240.3474.0302</t>
  </si>
  <si>
    <t>32240.3477.0302</t>
  </si>
  <si>
    <t>32241.3467.0302</t>
  </si>
  <si>
    <t>32241.3468.0302</t>
  </si>
  <si>
    <t>32241.3478.0302</t>
  </si>
  <si>
    <t>32101.3082.0300</t>
  </si>
  <si>
    <t>32242.3471.0302</t>
  </si>
  <si>
    <t>32242.3472.0302</t>
  </si>
  <si>
    <t>32242.3473.0302</t>
  </si>
  <si>
    <t>32243.3465.0302</t>
  </si>
  <si>
    <t>32243.3468.0302</t>
  </si>
  <si>
    <t>32243.3475.0302</t>
  </si>
  <si>
    <t>32243.3476.0302</t>
  </si>
  <si>
    <t>32243.3478.0302</t>
  </si>
  <si>
    <t>32248.3460.0302</t>
  </si>
  <si>
    <t>32248.3471.0302</t>
  </si>
  <si>
    <t>32102.0516.0300</t>
  </si>
  <si>
    <t>32248.3472.0302</t>
  </si>
  <si>
    <t>32248.3474.0302</t>
  </si>
  <si>
    <t>32248.3477.0302</t>
  </si>
  <si>
    <t>32249.3464.0302</t>
  </si>
  <si>
    <t>32249.3466.0302</t>
  </si>
  <si>
    <t>32249.3467.0302</t>
  </si>
  <si>
    <t>32249.3468.0302</t>
  </si>
  <si>
    <t>32249.3476.0302</t>
  </si>
  <si>
    <t>32249.3478.0302</t>
  </si>
  <si>
    <t>32250.4246.0302</t>
  </si>
  <si>
    <t>32250.5068.0302</t>
  </si>
  <si>
    <t>32251.3460.0302</t>
  </si>
  <si>
    <t>32251.3472.0302</t>
  </si>
  <si>
    <t>32251.3473.0302</t>
  </si>
  <si>
    <t>32251.3477.0302</t>
  </si>
  <si>
    <t>32251.5542.0302</t>
  </si>
  <si>
    <t>32251.5544.0302</t>
  </si>
  <si>
    <t>32252.3464.0302</t>
  </si>
  <si>
    <t>32252.3465.0302</t>
  </si>
  <si>
    <t>32252.3467.0302</t>
  </si>
  <si>
    <t>32252.3468.0302</t>
  </si>
  <si>
    <t>32108.3471.0300</t>
  </si>
  <si>
    <t>32252.3476.0302</t>
  </si>
  <si>
    <t>32252.5548.0302</t>
  </si>
  <si>
    <t>32265.5386.0302</t>
  </si>
  <si>
    <t>32266.5400.0302</t>
  </si>
  <si>
    <t>32267.5420.0302</t>
  </si>
  <si>
    <t>32267.5421.0302</t>
  </si>
  <si>
    <t>32267.5424.0302</t>
  </si>
  <si>
    <t>32108.3472.0300</t>
  </si>
  <si>
    <t>32270.5459.0302</t>
  </si>
  <si>
    <t>32275.5622.0302</t>
  </si>
  <si>
    <t>32275.5623.0302</t>
  </si>
  <si>
    <t>32275.5625.0302</t>
  </si>
  <si>
    <t>32011.2249.0302</t>
  </si>
  <si>
    <t>32011.2247.0302</t>
  </si>
  <si>
    <t>32020.2441.0302</t>
  </si>
  <si>
    <t>32021.2451.0302</t>
  </si>
  <si>
    <t>32108.3474.0300</t>
  </si>
  <si>
    <t>32022.2490.0302</t>
  </si>
  <si>
    <t>32109.3030.0300</t>
  </si>
  <si>
    <t>32022.2491.0302</t>
  </si>
  <si>
    <t>32109.3475.0300</t>
  </si>
  <si>
    <t>32022.2492.0302</t>
  </si>
  <si>
    <t>32022.2493.0302</t>
  </si>
  <si>
    <t>32022.2576.0302</t>
  </si>
  <si>
    <t>32022.2577.0302</t>
  </si>
  <si>
    <t>32022.2578.0302</t>
  </si>
  <si>
    <t>32022.2580.0302</t>
  </si>
  <si>
    <t>32022.2583.0302</t>
  </si>
  <si>
    <t>32109.3476.0300</t>
  </si>
  <si>
    <t>32022.5461.0302</t>
  </si>
  <si>
    <t>32023.2459.0302</t>
  </si>
  <si>
    <t>32110.3088.0300</t>
  </si>
  <si>
    <t>32095.3064.0302</t>
  </si>
  <si>
    <t>32096.3064.0302</t>
  </si>
  <si>
    <t>32096.3065.0302</t>
  </si>
  <si>
    <t>32097.3064.0302</t>
  </si>
  <si>
    <t>32098.3064.0302</t>
  </si>
  <si>
    <t>32099.3065.0302</t>
  </si>
  <si>
    <t>32100.0570.0302</t>
  </si>
  <si>
    <t>32100.0571.0302</t>
  </si>
  <si>
    <t>32110.3228.0300</t>
  </si>
  <si>
    <t>32102.0516.0302</t>
  </si>
  <si>
    <t>32108.3471.0302</t>
  </si>
  <si>
    <t>32108.3472.0302</t>
  </si>
  <si>
    <t>32108.3474.0302</t>
  </si>
  <si>
    <t>32109.3476.0302</t>
  </si>
  <si>
    <t>32110.3088.0302</t>
  </si>
  <si>
    <t>32110.3228.0302</t>
  </si>
  <si>
    <t>32110.3234.0302</t>
  </si>
  <si>
    <t>32110.3234.0300</t>
  </si>
  <si>
    <t>32110.3460.0302</t>
  </si>
  <si>
    <t>32111.3464.0302</t>
  </si>
  <si>
    <t>32111.3467.0302</t>
  </si>
  <si>
    <t>32112.3471.0302</t>
  </si>
  <si>
    <t>32112.3473.0302</t>
  </si>
  <si>
    <t>32112.3474.0302</t>
  </si>
  <si>
    <t>32113.3475.0302</t>
  </si>
  <si>
    <t>32114.3462.0302</t>
  </si>
  <si>
    <t>32110.3460.0300</t>
  </si>
  <si>
    <t>32114.3477.0302</t>
  </si>
  <si>
    <t>32115.3465.0302</t>
  </si>
  <si>
    <t>32115.3468.0302</t>
  </si>
  <si>
    <t>32115.3478.0302</t>
  </si>
  <si>
    <t>32116.3232.0302</t>
  </si>
  <si>
    <t>32110.3462.0300</t>
  </si>
  <si>
    <t>32116.3238.0302</t>
  </si>
  <si>
    <t>32116.3239.0302</t>
  </si>
  <si>
    <t>32118.3460.0302</t>
  </si>
  <si>
    <t>32118.3477.0302</t>
  </si>
  <si>
    <t>32110.3463.0300</t>
  </si>
  <si>
    <t>32119.3468.0302</t>
  </si>
  <si>
    <t>32119.3470.0302</t>
  </si>
  <si>
    <t>32120.3286.0302</t>
  </si>
  <si>
    <t>32120.3298.0302</t>
  </si>
  <si>
    <t>32130.4226.0302</t>
  </si>
  <si>
    <t>32132.4231.0302</t>
  </si>
  <si>
    <t>32132.4241.0302</t>
  </si>
  <si>
    <t>32135.4251.0302</t>
  </si>
  <si>
    <t>32135.4254.0302</t>
  </si>
  <si>
    <t>32200.0300.0302</t>
  </si>
  <si>
    <t>32200.4015.0302</t>
  </si>
  <si>
    <t>32201.0500.0302</t>
  </si>
  <si>
    <t>32240.3460.0302</t>
  </si>
  <si>
    <t>32240.3471.0302</t>
  </si>
  <si>
    <t>32111.3464.0300</t>
  </si>
  <si>
    <t>32001.0425.0302</t>
  </si>
  <si>
    <t>32001.2254.0302</t>
  </si>
  <si>
    <t>32001.2266.0302</t>
  </si>
  <si>
    <t>31082.0300.0302</t>
  </si>
  <si>
    <t>31083.1961.0302</t>
  </si>
  <si>
    <t>32000.5552.0302</t>
  </si>
  <si>
    <t>31061.1809.0302</t>
  </si>
  <si>
    <t>31063.1828.0302</t>
  </si>
  <si>
    <t>31080.0300.0302</t>
  </si>
  <si>
    <t>31040.0300.0302</t>
  </si>
  <si>
    <t>30001.1091.0302</t>
  </si>
  <si>
    <t>30002.1018.0302</t>
  </si>
  <si>
    <t>30002.1148.0302</t>
  </si>
  <si>
    <t>31020.0300.0302</t>
  </si>
  <si>
    <t>32111.3467.0300</t>
  </si>
  <si>
    <t>30023.4144.0302</t>
  </si>
  <si>
    <t>30021.1154.0302</t>
  </si>
  <si>
    <t>32011.2245.0302</t>
  </si>
  <si>
    <t>32011.2241.0302</t>
  </si>
  <si>
    <t>32001.5553.0302</t>
  </si>
  <si>
    <t>35000.0350.0300</t>
  </si>
  <si>
    <t>32497.8937.0300</t>
  </si>
  <si>
    <t>32497.8957.0300</t>
  </si>
  <si>
    <t>32497.8951.0300</t>
  </si>
  <si>
    <t>32497.8931.0300</t>
  </si>
  <si>
    <t>32497.8934.0300</t>
  </si>
  <si>
    <t>32112.3471.0300</t>
  </si>
  <si>
    <t>32497.6644.0300</t>
  </si>
  <si>
    <t>35078.0530.0300</t>
  </si>
  <si>
    <t>35145.8763.0300</t>
  </si>
  <si>
    <t>32496.8953.0300</t>
  </si>
  <si>
    <t>32112.3473.0300</t>
  </si>
  <si>
    <t>32496.8947.0300</t>
  </si>
  <si>
    <t>32361.6729.0300</t>
  </si>
  <si>
    <t>60025.4662.0300</t>
  </si>
  <si>
    <t>60023.4668.0300</t>
  </si>
  <si>
    <t>60010.4661.0300</t>
  </si>
  <si>
    <t>55023.4717.0300</t>
  </si>
  <si>
    <t>55023.3798.0300</t>
  </si>
  <si>
    <t>55023.3738.0300</t>
  </si>
  <si>
    <t>32112.3474.0300</t>
  </si>
  <si>
    <t>55022.3734.0300</t>
  </si>
  <si>
    <t>55022.3585.0300</t>
  </si>
  <si>
    <t>55020.3806.0300</t>
  </si>
  <si>
    <t>55020.4716.0300</t>
  </si>
  <si>
    <t>32113.3475.0300</t>
  </si>
  <si>
    <t>55020.3743.0300</t>
  </si>
  <si>
    <t>55020.3740.0300</t>
  </si>
  <si>
    <t>55020.3737.0300</t>
  </si>
  <si>
    <t>55014.4663.0300</t>
  </si>
  <si>
    <t>55013.4662.0300</t>
  </si>
  <si>
    <t>55014.4666.0300</t>
  </si>
  <si>
    <t>55002.4806.0300</t>
  </si>
  <si>
    <t>32114.3462.0300</t>
  </si>
  <si>
    <t>50111.3712.0300</t>
  </si>
  <si>
    <t>50110.3722.0300</t>
  </si>
  <si>
    <t>50110.3708.0300</t>
  </si>
  <si>
    <t>55010.4667.0300</t>
  </si>
  <si>
    <t>55010.4664.0300</t>
  </si>
  <si>
    <t>55010.4661.0300</t>
  </si>
  <si>
    <t>55011.4668.0300</t>
  </si>
  <si>
    <t>32348.7057.0300</t>
  </si>
  <si>
    <t>32114.3477.0300</t>
  </si>
  <si>
    <t>32345.6999.0300</t>
  </si>
  <si>
    <t>32344.6932.0300</t>
  </si>
  <si>
    <t>32342.6901.0300</t>
  </si>
  <si>
    <t>32344.6929.0300</t>
  </si>
  <si>
    <t>32342.6898.0300</t>
  </si>
  <si>
    <t>32286.5903.0300</t>
  </si>
  <si>
    <t>32312.6192.0300</t>
  </si>
  <si>
    <t>32312.6189.0300</t>
  </si>
  <si>
    <t>32312.6172.0300</t>
  </si>
  <si>
    <t>32310.6141.0300</t>
  </si>
  <si>
    <t>32310.6138.0300</t>
  </si>
  <si>
    <t>32300.6000.0300</t>
  </si>
  <si>
    <t>32286.5900.0300</t>
  </si>
  <si>
    <t>50108.3691.0300</t>
  </si>
  <si>
    <t>50106.3703.0300</t>
  </si>
  <si>
    <t>50106.3666.0300</t>
  </si>
  <si>
    <t>50101.3654.0300</t>
  </si>
  <si>
    <t>32264.6180.0300</t>
  </si>
  <si>
    <t>32267.5422.0300</t>
  </si>
  <si>
    <t>32262.5768.0300</t>
  </si>
  <si>
    <t>32262.5373.0300</t>
  </si>
  <si>
    <t>55010.4670.0300</t>
  </si>
  <si>
    <t>50112.3730.0300</t>
  </si>
  <si>
    <t>50113.3734.0300</t>
  </si>
  <si>
    <t>50111.3723.0300</t>
  </si>
  <si>
    <t>50111.3703.0300</t>
  </si>
  <si>
    <t>50110.3716.0300</t>
  </si>
  <si>
    <t>32115.3465.0300</t>
  </si>
  <si>
    <t>50108.3685.0300</t>
  </si>
  <si>
    <t>50107.3684.0300</t>
  </si>
  <si>
    <t>32120.3270.0300</t>
  </si>
  <si>
    <t>32119.3478.0300</t>
  </si>
  <si>
    <t>32102.3094.0300</t>
  </si>
  <si>
    <t>32132.4238.0300</t>
  </si>
  <si>
    <t>32125.3302.0300</t>
  </si>
  <si>
    <t>32132.4232.0300</t>
  </si>
  <si>
    <t>35125.4145.0300</t>
  </si>
  <si>
    <t>35150.0328.0300</t>
  </si>
  <si>
    <t>50105.3667.0300</t>
  </si>
  <si>
    <t>32115.3468.0300</t>
  </si>
  <si>
    <t>50106.3677.0300</t>
  </si>
  <si>
    <t>50105.3673.0300</t>
  </si>
  <si>
    <t>50105.3670.0300</t>
  </si>
  <si>
    <t>30023.4157.0300</t>
  </si>
  <si>
    <t>30023.1157.0300</t>
  </si>
  <si>
    <t>30001.1116.0300</t>
  </si>
  <si>
    <t>32022.5462.0300</t>
  </si>
  <si>
    <t>32020.0350.0300</t>
  </si>
  <si>
    <t>32115.3478.0300</t>
  </si>
  <si>
    <t>32022.1964.0300</t>
  </si>
  <si>
    <t>32001.2285.0300</t>
  </si>
  <si>
    <t>32011.2240.0300</t>
  </si>
  <si>
    <t>32262.5359.0300</t>
  </si>
  <si>
    <t>32262.5356.0300</t>
  </si>
  <si>
    <t>32262.5353.0300</t>
  </si>
  <si>
    <t>32251.5546.0300</t>
  </si>
  <si>
    <t>32251.3462.0300</t>
  </si>
  <si>
    <t>32251.5543.0300</t>
  </si>
  <si>
    <t>32243.3464.0300</t>
  </si>
  <si>
    <t>32242.3477.0300</t>
  </si>
  <si>
    <t>32242.3474.0300</t>
  </si>
  <si>
    <t>32242.3460.0300</t>
  </si>
  <si>
    <t>32116.3232.0300</t>
  </si>
  <si>
    <t>32240.5544.0300</t>
  </si>
  <si>
    <t>32240.3463.0300</t>
  </si>
  <si>
    <t>32200.4019.0300</t>
  </si>
  <si>
    <t>32119.3469.0300</t>
  </si>
  <si>
    <t>32120.3287.0300</t>
  </si>
  <si>
    <t>32118.3462.0300</t>
  </si>
  <si>
    <t>32116.3238.0300</t>
  </si>
  <si>
    <t>32115.3467.0300</t>
  </si>
  <si>
    <t>32115.3464.0300</t>
  </si>
  <si>
    <t>32114.3460.0300</t>
  </si>
  <si>
    <t>32113.3476.0300</t>
  </si>
  <si>
    <t>32112.3472.0300</t>
  </si>
  <si>
    <t>32111.3468.0300</t>
  </si>
  <si>
    <t>32116.3239.0300</t>
  </si>
  <si>
    <t>32111.3465.0300</t>
  </si>
  <si>
    <t>32110.3235.0300</t>
  </si>
  <si>
    <t>55020.3812.0300</t>
  </si>
  <si>
    <t>55020.3809.0300</t>
  </si>
  <si>
    <t>55020.3792.0300</t>
  </si>
  <si>
    <t>55020.3789.0300</t>
  </si>
  <si>
    <t>55020.3786.0300</t>
  </si>
  <si>
    <t>55020.3772.0300</t>
  </si>
  <si>
    <t>55020.3769.0300</t>
  </si>
  <si>
    <t>55020.3766.0300</t>
  </si>
  <si>
    <t>55020.3746.0300</t>
  </si>
  <si>
    <t>55015.3763.0300</t>
  </si>
  <si>
    <t>55014.4669.0300</t>
  </si>
  <si>
    <t>55013.4668.0300</t>
  </si>
  <si>
    <t>55013.4665.0300</t>
  </si>
  <si>
    <t>60010.4664.0300</t>
  </si>
  <si>
    <t>55023.3810.0300</t>
  </si>
  <si>
    <t>55023.3804.0300</t>
  </si>
  <si>
    <t>55023.3784.0300</t>
  </si>
  <si>
    <t>55023.3744.0300</t>
  </si>
  <si>
    <t>55023.3741.0300</t>
  </si>
  <si>
    <t>55022.4799.0300</t>
  </si>
  <si>
    <t>55023.3767.0300</t>
  </si>
  <si>
    <t>60010.4667.0300</t>
  </si>
  <si>
    <t>60025.4665.0300</t>
  </si>
  <si>
    <t>60022.4756.0300</t>
  </si>
  <si>
    <t>31061.1810.0300</t>
  </si>
  <si>
    <t>32118.3460.0300</t>
  </si>
  <si>
    <t>31061.1804.0300</t>
  </si>
  <si>
    <t>31083.1968.0300</t>
  </si>
  <si>
    <t>30023.8579.0300</t>
  </si>
  <si>
    <t>30021.1157.0300</t>
  </si>
  <si>
    <t>32108.3473.0300</t>
  </si>
  <si>
    <t>32099.3064.0300</t>
  </si>
  <si>
    <t>32095.3065.0300</t>
  </si>
  <si>
    <t>32022.2579.0300</t>
  </si>
  <si>
    <t>32118.3477.0300</t>
  </si>
  <si>
    <t>32022.2582.0300</t>
  </si>
  <si>
    <t>32011.2248.0300</t>
  </si>
  <si>
    <t>60010.4666.0300</t>
  </si>
  <si>
    <t>60010.4665.0300</t>
  </si>
  <si>
    <t>60010.4663.0300</t>
  </si>
  <si>
    <t>60010.4662.0300</t>
  </si>
  <si>
    <t>55023.4718.0300</t>
  </si>
  <si>
    <t>32119.3468.0300</t>
  </si>
  <si>
    <t>55023.4716.0300</t>
  </si>
  <si>
    <t>55023.4715.0300</t>
  </si>
  <si>
    <t>55023.3814.0300</t>
  </si>
  <si>
    <t>55023.3813.0300</t>
  </si>
  <si>
    <t>55023.3812.0300</t>
  </si>
  <si>
    <t>55023.3811.0300</t>
  </si>
  <si>
    <t>55023.3809.0300</t>
  </si>
  <si>
    <t>32119.3470.0300</t>
  </si>
  <si>
    <t>55023.3806.0300</t>
  </si>
  <si>
    <t>55023.3799.0300</t>
  </si>
  <si>
    <t>55023.3797.0300</t>
  </si>
  <si>
    <t>55023.3794.0300</t>
  </si>
  <si>
    <t>55023.3792.0300</t>
  </si>
  <si>
    <t>55023.3791.0300</t>
  </si>
  <si>
    <t>55023.3790.0300</t>
  </si>
  <si>
    <t>55023.3789.0300</t>
  </si>
  <si>
    <t>55023.3786.0300</t>
  </si>
  <si>
    <t>55023.3785.0300</t>
  </si>
  <si>
    <t>55023.3772.0300</t>
  </si>
  <si>
    <t>55023.3771.0300</t>
  </si>
  <si>
    <t>55023.3770.0300</t>
  </si>
  <si>
    <t>55023.3766.0300</t>
  </si>
  <si>
    <t>55023.3765.0300</t>
  </si>
  <si>
    <t>55023.3746.0300</t>
  </si>
  <si>
    <t>55023.3743.0300</t>
  </si>
  <si>
    <t>55023.3742.0300</t>
  </si>
  <si>
    <t>55023.3740.0300</t>
  </si>
  <si>
    <t>55023.3739.0300</t>
  </si>
  <si>
    <t>55023.3737.0300</t>
  </si>
  <si>
    <t>55022.6709.0300</t>
  </si>
  <si>
    <t>32120.3280.0300</t>
  </si>
  <si>
    <t>55022.6704.0300</t>
  </si>
  <si>
    <t>55022.4801.0300</t>
  </si>
  <si>
    <t>55022.4798.0300</t>
  </si>
  <si>
    <t>55022.4582.0300</t>
  </si>
  <si>
    <t>55021.3734.0300</t>
  </si>
  <si>
    <t>55020.4718.0300</t>
  </si>
  <si>
    <t>55020.4717.0300</t>
  </si>
  <si>
    <t>55020.4715.0300</t>
  </si>
  <si>
    <t>55020.3815.0300</t>
  </si>
  <si>
    <t>32120.3286.0300</t>
  </si>
  <si>
    <t>55020.3814.0300</t>
  </si>
  <si>
    <t>55020.3813.0300</t>
  </si>
  <si>
    <t>55020.3811.0300</t>
  </si>
  <si>
    <t>55020.3810.0300</t>
  </si>
  <si>
    <t>55020.3808.0300</t>
  </si>
  <si>
    <t>55020.3804.0300</t>
  </si>
  <si>
    <t>55020.3799.0300</t>
  </si>
  <si>
    <t>55020.3798.0300</t>
  </si>
  <si>
    <t>32120.3298.0300</t>
  </si>
  <si>
    <t>55020.3797.0300</t>
  </si>
  <si>
    <t>55020.3796.0300</t>
  </si>
  <si>
    <t>55020.3794.0300</t>
  </si>
  <si>
    <t>55020.3791.0300</t>
  </si>
  <si>
    <t>55020.3790.0300</t>
  </si>
  <si>
    <t>55020.3788.0300</t>
  </si>
  <si>
    <t>55020.3785.0300</t>
  </si>
  <si>
    <t>55020.3784.0300</t>
  </si>
  <si>
    <t>55020.3773.0300</t>
  </si>
  <si>
    <t>55020.3771.0300</t>
  </si>
  <si>
    <t>55020.3770.0300</t>
  </si>
  <si>
    <t>55020.3767.0300</t>
  </si>
  <si>
    <t>55020.3765.0300</t>
  </si>
  <si>
    <t>55020.3748.0300</t>
  </si>
  <si>
    <t>55020.3747.0300</t>
  </si>
  <si>
    <t>55020.3744.0300</t>
  </si>
  <si>
    <t>55020.3742.0300</t>
  </si>
  <si>
    <t>55020.3741.0300</t>
  </si>
  <si>
    <t>55020.3739.0300</t>
  </si>
  <si>
    <t>55020.3738.0300</t>
  </si>
  <si>
    <t>55015.4697.0300</t>
  </si>
  <si>
    <t>55015.4695.0300</t>
  </si>
  <si>
    <t>55015.4691.0300</t>
  </si>
  <si>
    <t>55015.4686.0300</t>
  </si>
  <si>
    <t>55015.4681.0300</t>
  </si>
  <si>
    <t>55015.3764.0300</t>
  </si>
  <si>
    <t>55015.3762.0300</t>
  </si>
  <si>
    <t>55015.3761.0300</t>
  </si>
  <si>
    <t>55015.3693.0300</t>
  </si>
  <si>
    <t>55015.3692.0300</t>
  </si>
  <si>
    <t>32252.3478.0300</t>
  </si>
  <si>
    <t>32251.3474.0300</t>
  </si>
  <si>
    <t>32130.4226.0300</t>
  </si>
  <si>
    <t>32251.3471.0300</t>
  </si>
  <si>
    <t>32250.4237.0300</t>
  </si>
  <si>
    <t>32250.4234.0300</t>
  </si>
  <si>
    <t>32248.3473.0300</t>
  </si>
  <si>
    <t>32243.3467.0300</t>
  </si>
  <si>
    <t>32241.3476.0300</t>
  </si>
  <si>
    <t>32240.3472.0300</t>
  </si>
  <si>
    <t>32138.4268.0300</t>
  </si>
  <si>
    <t>32135.4253.0300</t>
  </si>
  <si>
    <t>32135.4250.0300</t>
  </si>
  <si>
    <t>32132.4481.0300</t>
  </si>
  <si>
    <t>60025.4664.0300</t>
  </si>
  <si>
    <t>32132.4231.0300</t>
  </si>
  <si>
    <t>60024.4665.0300</t>
  </si>
  <si>
    <t>60024.3677.0300</t>
  </si>
  <si>
    <t>60023.3677.0300</t>
  </si>
  <si>
    <t>60022.4597.0300</t>
  </si>
  <si>
    <t>60022.3583.0300</t>
  </si>
  <si>
    <t>32275.5621.0300</t>
  </si>
  <si>
    <t>32275.5624.0300</t>
  </si>
  <si>
    <t>32270.5469.0300</t>
  </si>
  <si>
    <t>32265.5383.0300</t>
  </si>
  <si>
    <t>32132.4241.0300</t>
  </si>
  <si>
    <t>32312.6264.0300</t>
  </si>
  <si>
    <t>32312.6198.0300</t>
  </si>
  <si>
    <t>32312.6178.0300</t>
  </si>
  <si>
    <t>32310.6150.0300</t>
  </si>
  <si>
    <t>32310.6147.0300</t>
  </si>
  <si>
    <t>32312.6158.0300</t>
  </si>
  <si>
    <t>32311.5464.0300</t>
  </si>
  <si>
    <t>32132.4259.0300</t>
  </si>
  <si>
    <t>32350.7074.0300</t>
  </si>
  <si>
    <t>32348.7060.0300</t>
  </si>
  <si>
    <t>32348.7046.0300</t>
  </si>
  <si>
    <t>32348.7023.0300</t>
  </si>
  <si>
    <t>32348.6748.0300</t>
  </si>
  <si>
    <t>32330.6649.0300</t>
  </si>
  <si>
    <t>32497.8960.0300</t>
  </si>
  <si>
    <t>32497.8943.0300</t>
  </si>
  <si>
    <t>32497.8940.0300</t>
  </si>
  <si>
    <t>35031.0425.0300</t>
  </si>
  <si>
    <t>35040.7904.0300</t>
  </si>
  <si>
    <t>35055.7965.0300</t>
  </si>
  <si>
    <t>35076.0425.0300</t>
  </si>
  <si>
    <t>55014.4670.0300</t>
  </si>
  <si>
    <t>55014.4668.0300</t>
  </si>
  <si>
    <t>32135.4251.0300</t>
  </si>
  <si>
    <t>55014.4667.0300</t>
  </si>
  <si>
    <t>55014.4665.0300</t>
  </si>
  <si>
    <t>55014.4664.0300</t>
  </si>
  <si>
    <t>55014.4662.0300</t>
  </si>
  <si>
    <t>55014.4661.0300</t>
  </si>
  <si>
    <t>55013.4672.0300</t>
  </si>
  <si>
    <t>55013.4671.0300</t>
  </si>
  <si>
    <t>55013.4670.0300</t>
  </si>
  <si>
    <t>55013.4669.0300</t>
  </si>
  <si>
    <t>55013.4667.0300</t>
  </si>
  <si>
    <t>55013.4666.0300</t>
  </si>
  <si>
    <t>55013.4664.0300</t>
  </si>
  <si>
    <t>55013.4663.0300</t>
  </si>
  <si>
    <t>55013.4661.0300</t>
  </si>
  <si>
    <t>32135.4254.0300</t>
  </si>
  <si>
    <t>55011.4670.0300</t>
  </si>
  <si>
    <t>55011.4669.0300</t>
  </si>
  <si>
    <t>55011.4667.0300</t>
  </si>
  <si>
    <t>55011.4666.0300</t>
  </si>
  <si>
    <t>55011.4665.0300</t>
  </si>
  <si>
    <t>55011.4664.0300</t>
  </si>
  <si>
    <t>55011.4663.0300</t>
  </si>
  <si>
    <t>55011.4662.0300</t>
  </si>
  <si>
    <t>32135.4256.0300</t>
  </si>
  <si>
    <t>55011.4661.0300</t>
  </si>
  <si>
    <t>55010.4669.0300</t>
  </si>
  <si>
    <t>55010.4668.0300</t>
  </si>
  <si>
    <t>55010.4666.0300</t>
  </si>
  <si>
    <t>55010.4665.0300</t>
  </si>
  <si>
    <t>55010.4663.0300</t>
  </si>
  <si>
    <t>55010.4662.0300</t>
  </si>
  <si>
    <t>32135.4257.0300</t>
  </si>
  <si>
    <t>55002.4579.0300</t>
  </si>
  <si>
    <t>55002.0350.0300</t>
  </si>
  <si>
    <t>32135.4368.0300</t>
  </si>
  <si>
    <t>50113.6709.0300</t>
  </si>
  <si>
    <t>50113.6704.0300</t>
  </si>
  <si>
    <t>50112.4597.0300</t>
  </si>
  <si>
    <t>50112.3734.0300</t>
  </si>
  <si>
    <t>50112.3637.0300</t>
  </si>
  <si>
    <t>50112.3583.0300</t>
  </si>
  <si>
    <t>50112.3575.0300</t>
  </si>
  <si>
    <t>50111.3722.0300</t>
  </si>
  <si>
    <t>50111.3717.0300</t>
  </si>
  <si>
    <t>50111.3716.0300</t>
  </si>
  <si>
    <t>50111.3715.0300</t>
  </si>
  <si>
    <t>50111.3714.0300</t>
  </si>
  <si>
    <t>50111.3713.0300</t>
  </si>
  <si>
    <t>50111.3701.0300</t>
  </si>
  <si>
    <t>50110.3724.0300</t>
  </si>
  <si>
    <t>50110.3723.0300</t>
  </si>
  <si>
    <t>32200.4015.0300</t>
  </si>
  <si>
    <t>50110.3721.0300</t>
  </si>
  <si>
    <t>50110.3718.0300</t>
  </si>
  <si>
    <t>50110.3717.0300</t>
  </si>
  <si>
    <t>50110.3715.0300</t>
  </si>
  <si>
    <t>50110.3714.0300</t>
  </si>
  <si>
    <t>50110.3713.0300</t>
  </si>
  <si>
    <t>50110.3712.0300</t>
  </si>
  <si>
    <t>50110.3707.0300</t>
  </si>
  <si>
    <t>32201.0500.0300</t>
  </si>
  <si>
    <t>50110.3703.0300</t>
  </si>
  <si>
    <t>50110.3701.0300</t>
  </si>
  <si>
    <t>50109.3699.0300</t>
  </si>
  <si>
    <t>50109.3697.0300</t>
  </si>
  <si>
    <t>50109.3696.0300</t>
  </si>
  <si>
    <t>50108.3679.0300</t>
  </si>
  <si>
    <t>50107.3689.0300</t>
  </si>
  <si>
    <t>50107.3688.0300</t>
  </si>
  <si>
    <t>50107.3686.0300</t>
  </si>
  <si>
    <t>50106.3673.0300</t>
  </si>
  <si>
    <t>50106.3671.0300</t>
  </si>
  <si>
    <t>50106.3669.0300</t>
  </si>
  <si>
    <t>50106.3668.0300</t>
  </si>
  <si>
    <t>50106.3667.0300</t>
  </si>
  <si>
    <t>50106.3665.0300</t>
  </si>
  <si>
    <t>50105.3717.0300</t>
  </si>
  <si>
    <t>35120.4128.0300</t>
  </si>
  <si>
    <t>35120.0530.0300</t>
  </si>
  <si>
    <t>35120.0425.0300</t>
  </si>
  <si>
    <t>35120.0350.0300</t>
  </si>
  <si>
    <t>35125.4133.0300</t>
  </si>
  <si>
    <t>35125.4135.0300</t>
  </si>
  <si>
    <t>35125.4140.0300</t>
  </si>
  <si>
    <t>35125.4137.0300</t>
  </si>
  <si>
    <t>35125.4149.0300</t>
  </si>
  <si>
    <t>35125.4143.0300</t>
  </si>
  <si>
    <t>35145.8761.0300</t>
  </si>
  <si>
    <t>50105.3704.0300</t>
  </si>
  <si>
    <t>50105.3703.0300</t>
  </si>
  <si>
    <t>50105.3677.0300</t>
  </si>
  <si>
    <t>50105.3671.0300</t>
  </si>
  <si>
    <t>50105.3669.0300</t>
  </si>
  <si>
    <t>50105.3668.0300</t>
  </si>
  <si>
    <t>50105.3666.0300</t>
  </si>
  <si>
    <t>50105.3665.0300</t>
  </si>
  <si>
    <t>50005.3586.0300</t>
  </si>
  <si>
    <t>50000.8397.0300</t>
  </si>
  <si>
    <t>35160.2250.0300</t>
  </si>
  <si>
    <t>35150.0450.0300</t>
  </si>
  <si>
    <t>35152.7725.0300</t>
  </si>
  <si>
    <t>35152.5444.0300</t>
  </si>
  <si>
    <t>35152.8845.0300</t>
  </si>
  <si>
    <t>35152.8844.0300</t>
  </si>
  <si>
    <t>35152.1160.0300</t>
  </si>
  <si>
    <t>35152.8840.0300</t>
  </si>
  <si>
    <t>32496.8955.0300</t>
  </si>
  <si>
    <t>32496.8954.0300</t>
  </si>
  <si>
    <t>32496.6648.0300</t>
  </si>
  <si>
    <t>32497.8956.0300</t>
  </si>
  <si>
    <t>32497.8958.0300</t>
  </si>
  <si>
    <t>32497.8952.0300</t>
  </si>
  <si>
    <t>32497.8950.0300</t>
  </si>
  <si>
    <t>32497.8949.0300</t>
  </si>
  <si>
    <t>32497.8936.0300</t>
  </si>
  <si>
    <t>32497.8942.0300</t>
  </si>
  <si>
    <t>32497.8941.0300</t>
  </si>
  <si>
    <t>32497.8938.0300</t>
  </si>
  <si>
    <t>32240.3460.0300</t>
  </si>
  <si>
    <t>32497.8935.0300</t>
  </si>
  <si>
    <t>32497.8933.0300</t>
  </si>
  <si>
    <t>32497.8932.0300</t>
  </si>
  <si>
    <t>32497.8926.0300</t>
  </si>
  <si>
    <t>32497.8930.0300</t>
  </si>
  <si>
    <t>32497.8929.0300</t>
  </si>
  <si>
    <t>32240.3462.0300</t>
  </si>
  <si>
    <t>32497.8928.0300</t>
  </si>
  <si>
    <t>32497.8927.0300</t>
  </si>
  <si>
    <t>32497.8925.0300</t>
  </si>
  <si>
    <t>32497.6640.0300</t>
  </si>
  <si>
    <t>32497.6625.0300</t>
  </si>
  <si>
    <t>35001.7518.0300</t>
  </si>
  <si>
    <t>35015.0450.0300</t>
  </si>
  <si>
    <t>35015.7718.0300</t>
  </si>
  <si>
    <t>32240.3471.0300</t>
  </si>
  <si>
    <t>35040.7903.0300</t>
  </si>
  <si>
    <t>35040.7900.0300</t>
  </si>
  <si>
    <t>35077.8575.0300</t>
  </si>
  <si>
    <t>35077.8574.0300</t>
  </si>
  <si>
    <t>32262.5390.0300</t>
  </si>
  <si>
    <t>35076.0530.0300</t>
  </si>
  <si>
    <t>32262.5440.0300</t>
  </si>
  <si>
    <t>32262.5444.0300</t>
  </si>
  <si>
    <t>35056.7971.0300</t>
  </si>
  <si>
    <t>35080.8586.0300</t>
  </si>
  <si>
    <t>32262.5470.0300</t>
  </si>
  <si>
    <t>35080.8584.0300</t>
  </si>
  <si>
    <t>35084.8689.0300</t>
  </si>
  <si>
    <t>32262.5556.0300</t>
  </si>
  <si>
    <t>35084.8686.0300</t>
  </si>
  <si>
    <t>35082.0530.0300</t>
  </si>
  <si>
    <t>32310.6140.0300</t>
  </si>
  <si>
    <t>32310.6136.0300</t>
  </si>
  <si>
    <t>32310.0530.0300</t>
  </si>
  <si>
    <t>32300.6002.0300</t>
  </si>
  <si>
    <t>32262.5742.0300</t>
  </si>
  <si>
    <t>32300.6001.0300</t>
  </si>
  <si>
    <t>32262.7725.0300</t>
  </si>
  <si>
    <t>32300.5999.0300</t>
  </si>
  <si>
    <t>32300.5998.0300</t>
  </si>
  <si>
    <t>32264.6175.0300</t>
  </si>
  <si>
    <t>32300.5997.0300</t>
  </si>
  <si>
    <t>32286.5902.0300</t>
  </si>
  <si>
    <t>32286.5901.0300</t>
  </si>
  <si>
    <t>32286.5363.0300</t>
  </si>
  <si>
    <t>32285.5878.0300</t>
  </si>
  <si>
    <t>32285.0531.0300</t>
  </si>
  <si>
    <t>32285.0425.0300</t>
  </si>
  <si>
    <t>32280.5741.0300</t>
  </si>
  <si>
    <t>32278.5708.0300</t>
  </si>
  <si>
    <t>32278.5703.0300</t>
  </si>
  <si>
    <t>32278.5701.0300</t>
  </si>
  <si>
    <t>32279.5605.0300</t>
  </si>
  <si>
    <t>32278.5715.0300</t>
  </si>
  <si>
    <t>32278.5710.0300</t>
  </si>
  <si>
    <t>32312.6184.0300</t>
  </si>
  <si>
    <t>32312.6182.0300</t>
  </si>
  <si>
    <t>32312.6174.0300</t>
  </si>
  <si>
    <t>32262.5351.0300</t>
  </si>
  <si>
    <t>32312.6170.0300</t>
  </si>
  <si>
    <t>32312.6168.0300</t>
  </si>
  <si>
    <t>32312.6166.0300</t>
  </si>
  <si>
    <t>32312.6164.0300</t>
  </si>
  <si>
    <t>32312.6162.0300</t>
  </si>
  <si>
    <t>32312.6160.0300</t>
  </si>
  <si>
    <t>32312.6157.0300</t>
  </si>
  <si>
    <t>32312.6156.0300</t>
  </si>
  <si>
    <t>32262.5352.0300</t>
  </si>
  <si>
    <t>32310.6151.0300</t>
  </si>
  <si>
    <t>32310.6145.0300</t>
  </si>
  <si>
    <t>32310.6143.0300</t>
  </si>
  <si>
    <t>32312.6206.0300</t>
  </si>
  <si>
    <t>32312.6205.0300</t>
  </si>
  <si>
    <t>32312.6203.0300</t>
  </si>
  <si>
    <t>32312.6196.0300</t>
  </si>
  <si>
    <t>32312.6194.0300</t>
  </si>
  <si>
    <t>32262.5354.0300</t>
  </si>
  <si>
    <t>32312.6193.0300</t>
  </si>
  <si>
    <t>32312.6190.0300</t>
  </si>
  <si>
    <t>32312.6188.0300</t>
  </si>
  <si>
    <t>32312.6186.0300</t>
  </si>
  <si>
    <t>32320.6397.0300</t>
  </si>
  <si>
    <t>32320.6705.0300</t>
  </si>
  <si>
    <t>32320.6704.0300</t>
  </si>
  <si>
    <t>32262.5355.0300</t>
  </si>
  <si>
    <t>32320.6709.0300</t>
  </si>
  <si>
    <t>32348.7050.0300</t>
  </si>
  <si>
    <t>32348.7049.0300</t>
  </si>
  <si>
    <t>32348.7048.0300</t>
  </si>
  <si>
    <t>32348.7045.0300</t>
  </si>
  <si>
    <t>32348.7041.0300</t>
  </si>
  <si>
    <t>32350.7073.0300</t>
  </si>
  <si>
    <t>32348.7059.0300</t>
  </si>
  <si>
    <t>32348.7056.0300</t>
  </si>
  <si>
    <t>32348.7052.0300</t>
  </si>
  <si>
    <t>32348.7051.0300</t>
  </si>
  <si>
    <t>32348.7055.0300</t>
  </si>
  <si>
    <t>32361.6724.0300</t>
  </si>
  <si>
    <t>32361.7329.0300</t>
  </si>
  <si>
    <t>32364.7349.0300</t>
  </si>
  <si>
    <t>32364.7347.0300</t>
  </si>
  <si>
    <t>32364.7346.0300</t>
  </si>
  <si>
    <t>32364.7353.0300</t>
  </si>
  <si>
    <t>32345.6995.0300</t>
  </si>
  <si>
    <t>32345.6991.0300</t>
  </si>
  <si>
    <t>32344.6921.0300</t>
  </si>
  <si>
    <t>32342.6900.0300</t>
  </si>
  <si>
    <t>32344.6924.0300</t>
  </si>
  <si>
    <t>32344.6922.0300</t>
  </si>
  <si>
    <t>32348.7029.0300</t>
  </si>
  <si>
    <t>32348.7027.0300</t>
  </si>
  <si>
    <t>32348.7026.0300</t>
  </si>
  <si>
    <t>32262.5364.0300</t>
  </si>
  <si>
    <t>32348.7025.0300</t>
  </si>
  <si>
    <t>32348.7024.0300</t>
  </si>
  <si>
    <t>32348.6942.0300</t>
  </si>
  <si>
    <t>32348.6749.0300</t>
  </si>
  <si>
    <t>32348.7022.0300</t>
  </si>
  <si>
    <t>32348.7021.0300</t>
  </si>
  <si>
    <t>32348.7019.0300</t>
  </si>
  <si>
    <t>32342.6899.0300</t>
  </si>
  <si>
    <t>32342.6897.0300</t>
  </si>
  <si>
    <t>32262.5368.0300</t>
  </si>
  <si>
    <t>32340.6868.0300</t>
  </si>
  <si>
    <t>32340.0350.0300</t>
  </si>
  <si>
    <t>32340.4146.0300</t>
  </si>
  <si>
    <t>32262.5370.0300</t>
  </si>
  <si>
    <t>32340.0425.0300</t>
  </si>
  <si>
    <t>32326.6568.0300</t>
  </si>
  <si>
    <t>32322.0328.0300</t>
  </si>
  <si>
    <t>32325.0530.0300</t>
  </si>
  <si>
    <t>32322.6420.0300</t>
  </si>
  <si>
    <t>32262.5371.0300</t>
  </si>
  <si>
    <t>32278.5698.0300</t>
  </si>
  <si>
    <t>32276.5649.0300</t>
  </si>
  <si>
    <t>32275.5625.0300</t>
  </si>
  <si>
    <t>32275.5623.0300</t>
  </si>
  <si>
    <t>32275.5622.0300</t>
  </si>
  <si>
    <t>32270.5465.0300</t>
  </si>
  <si>
    <t>32270.5459.0300</t>
  </si>
  <si>
    <t>32267.5424.0300</t>
  </si>
  <si>
    <t>32267.5421.0300</t>
  </si>
  <si>
    <t>32267.5420.0300</t>
  </si>
  <si>
    <t>32266.5400.0300</t>
  </si>
  <si>
    <t>32266.0530.0300</t>
  </si>
  <si>
    <t>32265.5389.0300</t>
  </si>
  <si>
    <t>32265.5386.0300</t>
  </si>
  <si>
    <t>32265.5385.0300</t>
  </si>
  <si>
    <t>32254.5577.0300</t>
  </si>
  <si>
    <t>32252.5548.0300</t>
  </si>
  <si>
    <t>32252.3476.0300</t>
  </si>
  <si>
    <t>32252.3468.0300</t>
  </si>
  <si>
    <t>32252.3467.0300</t>
  </si>
  <si>
    <t>32252.3465.0300</t>
  </si>
  <si>
    <t>32252.3464.0300</t>
  </si>
  <si>
    <t>32262.5346.0300</t>
  </si>
  <si>
    <t>32251.5544.0300</t>
  </si>
  <si>
    <t>32251.5542.0300</t>
  </si>
  <si>
    <t>32251.5541.0300</t>
  </si>
  <si>
    <t>32251.3477.0300</t>
  </si>
  <si>
    <t>32251.3473.0300</t>
  </si>
  <si>
    <t>32251.3472.0300</t>
  </si>
  <si>
    <t>32251.3460.0300</t>
  </si>
  <si>
    <t>32250.5126.0300</t>
  </si>
  <si>
    <t>32250.5068.0300</t>
  </si>
  <si>
    <t>32250.4247.0300</t>
  </si>
  <si>
    <t>32250.4246.0300</t>
  </si>
  <si>
    <t>32250.4245.0300</t>
  </si>
  <si>
    <t>32250.4244.0300</t>
  </si>
  <si>
    <t>32262.5347.0300</t>
  </si>
  <si>
    <t>32250.4236.0300</t>
  </si>
  <si>
    <t>32250.4233.0300</t>
  </si>
  <si>
    <t>32250.4224.0300</t>
  </si>
  <si>
    <t>32249.3478.0300</t>
  </si>
  <si>
    <t>32249.3476.0300</t>
  </si>
  <si>
    <t>32241.3472.0300</t>
  </si>
  <si>
    <t>32249.3468.0300</t>
  </si>
  <si>
    <t>32249.3467.0300</t>
  </si>
  <si>
    <t>32262.5348.0300</t>
  </si>
  <si>
    <t>32249.3466.0300</t>
  </si>
  <si>
    <t>32249.3465.0300</t>
  </si>
  <si>
    <t>32249.3464.0300</t>
  </si>
  <si>
    <t>32248.5544.0300</t>
  </si>
  <si>
    <t>32248.3477.0300</t>
  </si>
  <si>
    <t>32248.3474.0300</t>
  </si>
  <si>
    <t>32248.3472.0300</t>
  </si>
  <si>
    <t>32248.3471.0300</t>
  </si>
  <si>
    <t>32262.5349.0300</t>
  </si>
  <si>
    <t>32248.3462.0300</t>
  </si>
  <si>
    <t>32248.3460.0300</t>
  </si>
  <si>
    <t>32243.3478.0300</t>
  </si>
  <si>
    <t>32243.3476.0300</t>
  </si>
  <si>
    <t>32243.3475.0300</t>
  </si>
  <si>
    <t>32243.3468.0300</t>
  </si>
  <si>
    <t>32243.3465.0300</t>
  </si>
  <si>
    <t>32242.3473.0300</t>
  </si>
  <si>
    <t>32262.5350.0300</t>
  </si>
  <si>
    <t>32242.3472.0300</t>
  </si>
  <si>
    <t>32242.3471.0300</t>
  </si>
  <si>
    <t>32242.3462.0300</t>
  </si>
  <si>
    <t>32241.3478.0300</t>
  </si>
  <si>
    <t>32241.3468.0300</t>
  </si>
  <si>
    <t>32241.3467.0300</t>
  </si>
  <si>
    <t>32241.3465.0300</t>
  </si>
  <si>
    <t>32240.3477.0300</t>
  </si>
  <si>
    <t>32261.5320.0300</t>
  </si>
  <si>
    <t>32240.3474.0300</t>
  </si>
  <si>
    <t>32240.3473.0300</t>
  </si>
  <si>
    <t>32261.0530.0300</t>
  </si>
  <si>
    <t>32262.5338.0300</t>
  </si>
  <si>
    <t>32262.5249.0300</t>
  </si>
  <si>
    <t>32262.4152.0300</t>
  </si>
  <si>
    <t>22033.3826.0174</t>
  </si>
  <si>
    <t>22112.8398.0180</t>
  </si>
  <si>
    <t>12022.4546.0183</t>
  </si>
  <si>
    <t>21041.3068.0148</t>
  </si>
  <si>
    <t>26050.7932.0148</t>
  </si>
  <si>
    <t>26131.8920.0148</t>
  </si>
  <si>
    <t>22157.8871.0165</t>
  </si>
  <si>
    <t>22101.2954.0166</t>
  </si>
  <si>
    <t>20002.1087.0166</t>
  </si>
  <si>
    <t>26050.7944.0167</t>
  </si>
  <si>
    <t>22256.6115.0169</t>
  </si>
  <si>
    <t>22157.8871.0169</t>
  </si>
  <si>
    <t>26100.4117.0169</t>
  </si>
  <si>
    <t>22241.5607.0169</t>
  </si>
  <si>
    <t>21041.3092.0169</t>
  </si>
  <si>
    <t>20002.7805.0190</t>
  </si>
  <si>
    <t>22110.3389.0190</t>
  </si>
  <si>
    <t>22110.3339.0190</t>
  </si>
  <si>
    <t>22012.2440.0191</t>
  </si>
  <si>
    <t>22012.2431.0191</t>
  </si>
  <si>
    <t>26026.7809.0196</t>
  </si>
  <si>
    <t>03120.0450.0655</t>
  </si>
  <si>
    <t>35150.2413.0655</t>
  </si>
  <si>
    <t>32310.6138.0647</t>
  </si>
  <si>
    <t>55022.3734.0647</t>
  </si>
  <si>
    <t>32262.5356.0647</t>
  </si>
  <si>
    <t>32348.7023.0647</t>
  </si>
  <si>
    <t>50105.3666.0647</t>
  </si>
  <si>
    <t>32200.4015.0647</t>
  </si>
  <si>
    <t>55022.3734.0640</t>
  </si>
  <si>
    <t>55010.4661.0640</t>
  </si>
  <si>
    <t>55010.4664.0640</t>
  </si>
  <si>
    <t>35040.7901.0640</t>
  </si>
  <si>
    <t>50107.3684.0640</t>
  </si>
  <si>
    <t>55010.4670.0640</t>
  </si>
  <si>
    <t>35040.7721.0640</t>
  </si>
  <si>
    <t>55022.4801.0640</t>
  </si>
  <si>
    <t>55015.4691.0640</t>
  </si>
  <si>
    <t>32135.4250.0640</t>
  </si>
  <si>
    <t>32262.5345.0640</t>
  </si>
  <si>
    <t>32348.7023.0640</t>
  </si>
  <si>
    <t>50109.3696.0640</t>
  </si>
  <si>
    <t>50112.3734.0640</t>
  </si>
  <si>
    <t>55011.4662.0640</t>
  </si>
  <si>
    <t>35080.8584.0640</t>
  </si>
  <si>
    <t>35077.8575.0640</t>
  </si>
  <si>
    <t>35040.7902.0640</t>
  </si>
  <si>
    <t>35040.7903.0640</t>
  </si>
  <si>
    <t>32285.5878.0640</t>
  </si>
  <si>
    <t>32285.0425.0640</t>
  </si>
  <si>
    <t>32266.5400.0640</t>
  </si>
  <si>
    <t>32262.5361.0640</t>
  </si>
  <si>
    <t>32262.5351.0640</t>
  </si>
  <si>
    <t>32262.5352.0640</t>
  </si>
  <si>
    <t>32261.5320.0640</t>
  </si>
  <si>
    <t>32262.5347.0640</t>
  </si>
  <si>
    <t>32262.5348.0640</t>
  </si>
  <si>
    <t>32116.3232.0640</t>
  </si>
  <si>
    <t>32200.4015.0640</t>
  </si>
  <si>
    <t>30025.0350.0640</t>
  </si>
  <si>
    <t>31042.1653.0640</t>
  </si>
  <si>
    <t>35015.0450.0639</t>
  </si>
  <si>
    <t>35006.7563.0639</t>
  </si>
  <si>
    <t>55002.4806.0635</t>
  </si>
  <si>
    <t>32300.0630.0635</t>
  </si>
  <si>
    <t>32001.2265.0635</t>
  </si>
  <si>
    <t>32020.2445.0635</t>
  </si>
  <si>
    <t>55022.6707.0635</t>
  </si>
  <si>
    <t>32138.4268.0635</t>
  </si>
  <si>
    <t>50113.6707.0635</t>
  </si>
  <si>
    <t>35040.7903.0635</t>
  </si>
  <si>
    <t>32325.0530.0635</t>
  </si>
  <si>
    <t>32326.6566.0635</t>
  </si>
  <si>
    <t>32361.6727.0635</t>
  </si>
  <si>
    <t>32320.6707.0635</t>
  </si>
  <si>
    <t>31061.1809.0635</t>
  </si>
  <si>
    <t>32277.5677.0622</t>
  </si>
  <si>
    <t>32100.3061.0622</t>
  </si>
  <si>
    <t>35005.7541.0619</t>
  </si>
  <si>
    <t>35008.7605.0619</t>
  </si>
  <si>
    <t>35008.7602.0619</t>
  </si>
  <si>
    <t>35008.7606.0619</t>
  </si>
  <si>
    <t>35008.7604.0619</t>
  </si>
  <si>
    <t>35008.7603.0619</t>
  </si>
  <si>
    <t>35008.7600.0619</t>
  </si>
  <si>
    <t>35008.7594.0619</t>
  </si>
  <si>
    <t>35008.7593.0619</t>
  </si>
  <si>
    <t>35008.7595.0619</t>
  </si>
  <si>
    <t>35008.7597.0619</t>
  </si>
  <si>
    <t>35008.7589.0619</t>
  </si>
  <si>
    <t>35005.0340.0619</t>
  </si>
  <si>
    <t>35005.7540.0619</t>
  </si>
  <si>
    <t>35005.7540.0618</t>
  </si>
  <si>
    <t>35070.6300.0613</t>
  </si>
  <si>
    <t>32270.5469.0613</t>
  </si>
  <si>
    <t>32340.0350.0613</t>
  </si>
  <si>
    <t>32262.5346.0613</t>
  </si>
  <si>
    <t>32200.4015.0613</t>
  </si>
  <si>
    <t>30023.0350.0613</t>
  </si>
  <si>
    <t>35150.0385.0612</t>
  </si>
  <si>
    <t>35082.0385.0612</t>
  </si>
  <si>
    <t>32497.0385.0612</t>
  </si>
  <si>
    <t>35020.0385.0612</t>
  </si>
  <si>
    <t>31000.0385.0612</t>
  </si>
  <si>
    <t>31080.0385.0612</t>
  </si>
  <si>
    <t>35051.7950.0601</t>
  </si>
  <si>
    <t>32011.2242.0270</t>
  </si>
  <si>
    <t>32011.2243.0270</t>
  </si>
  <si>
    <t>32011.2244.0270</t>
  </si>
  <si>
    <t>32011.2245.0270</t>
  </si>
  <si>
    <t>32011.2246.0270</t>
  </si>
  <si>
    <t>32011.2247.0270</t>
  </si>
  <si>
    <t>32011.2249.0270</t>
  </si>
  <si>
    <t>32322.6421.0270</t>
  </si>
  <si>
    <t>32011.2240.0270</t>
  </si>
  <si>
    <t>32011.2248.0270</t>
  </si>
  <si>
    <t>26065.0130.0220</t>
  </si>
  <si>
    <t>21001.1310.0222</t>
  </si>
  <si>
    <t>22255.8517.0226</t>
  </si>
  <si>
    <t>22260.6369.0229</t>
  </si>
  <si>
    <t>22151.4202.0232</t>
  </si>
  <si>
    <t>22281.6770.0233</t>
  </si>
  <si>
    <t>26005.7692.0233</t>
  </si>
  <si>
    <t>26122.8905.0233</t>
  </si>
  <si>
    <t>26122.8906.0233</t>
  </si>
  <si>
    <t>26130.8918.0235</t>
  </si>
  <si>
    <t>26120.8837.0235</t>
  </si>
  <si>
    <t>10012.3540.0235</t>
  </si>
  <si>
    <t>10011.3527.0235</t>
  </si>
  <si>
    <t>20005.8290.0235</t>
  </si>
  <si>
    <t>26028.7817.0235</t>
  </si>
  <si>
    <t>22151.4277.0235</t>
  </si>
  <si>
    <t>20005.1124.0235</t>
  </si>
  <si>
    <t>20005.1127.0235</t>
  </si>
  <si>
    <t>12000.4501.0047</t>
  </si>
  <si>
    <t>10100.8399.0951</t>
  </si>
  <si>
    <t>12020.8399.0951</t>
  </si>
  <si>
    <t>24014.8911.0950</t>
  </si>
  <si>
    <t>26070.8867.0950</t>
  </si>
  <si>
    <t>20001.1113.0061</t>
  </si>
  <si>
    <t>21000.1308.0061</t>
  </si>
  <si>
    <t>21020.1453.0062</t>
  </si>
  <si>
    <t>21020.1454.0062</t>
  </si>
  <si>
    <t>21020.1462.0062</t>
  </si>
  <si>
    <t>21020.1463.0062</t>
  </si>
  <si>
    <t>12012.4528.0091</t>
  </si>
  <si>
    <t>22231.5259.0091</t>
  </si>
  <si>
    <t>22010.2420.0091</t>
  </si>
  <si>
    <t>10010.3513.0091</t>
  </si>
  <si>
    <t>22280.6745.0101</t>
  </si>
  <si>
    <t>10010.3510.0102</t>
  </si>
  <si>
    <t>26083.8579.0124</t>
  </si>
  <si>
    <t>26084.8583.0124</t>
  </si>
  <si>
    <t>22260.6369.0126</t>
  </si>
  <si>
    <t>22153.6648.0134</t>
  </si>
  <si>
    <t>22153.8954.0134</t>
  </si>
  <si>
    <t>22153.8955.0134</t>
  </si>
  <si>
    <t>22154.6383.0134</t>
  </si>
  <si>
    <t>22154.6620.0134</t>
  </si>
  <si>
    <t>22154.6623.0134</t>
  </si>
  <si>
    <t>22154.6625.0134</t>
  </si>
  <si>
    <t>22154.6640.0134</t>
  </si>
  <si>
    <t>22154.6642.0134</t>
  </si>
  <si>
    <t>22154.8926.0134</t>
  </si>
  <si>
    <t>22154.8927.0134</t>
  </si>
  <si>
    <t>22154.8929.0134</t>
  </si>
  <si>
    <t>22154.8930.0134</t>
  </si>
  <si>
    <t>22154.8932.0134</t>
  </si>
  <si>
    <t>22154.8933.0134</t>
  </si>
  <si>
    <t>22154.8935.0134</t>
  </si>
  <si>
    <t>22154.8936.0134</t>
  </si>
  <si>
    <t>22154.8938.0134</t>
  </si>
  <si>
    <t>22154.8939.0134</t>
  </si>
  <si>
    <t>22154.8940.0134</t>
  </si>
  <si>
    <t>22154.8941.0134</t>
  </si>
  <si>
    <t>22154.8942.0134</t>
  </si>
  <si>
    <t>22154.8943.0134</t>
  </si>
  <si>
    <t>22154.8949.0134</t>
  </si>
  <si>
    <t>22154.8950.0134</t>
  </si>
  <si>
    <t>22154.8952.0134</t>
  </si>
  <si>
    <t>22154.8956.0134</t>
  </si>
  <si>
    <t>22154.8958.0134</t>
  </si>
  <si>
    <t>22154.8959.0134</t>
  </si>
  <si>
    <t>22154.8960.0134</t>
  </si>
  <si>
    <t>22154.8961.0134</t>
  </si>
  <si>
    <t>22153.8947.0134</t>
  </si>
  <si>
    <t>22153.8953.0134</t>
  </si>
  <si>
    <t>22154.4214.0134</t>
  </si>
  <si>
    <t>22154.6601.0134</t>
  </si>
  <si>
    <t>22154.6644.0134</t>
  </si>
  <si>
    <t>22154.6647.0134</t>
  </si>
  <si>
    <t>22154.8934.0134</t>
  </si>
  <si>
    <t>22154.8937.0134</t>
  </si>
  <si>
    <t>22154.8957.0134</t>
  </si>
  <si>
    <t>22154.8925.0134</t>
  </si>
  <si>
    <t>22154.8928.0134</t>
  </si>
  <si>
    <t>22154.8931.0134</t>
  </si>
  <si>
    <t>22154.8951.0134</t>
  </si>
  <si>
    <t>26100.4103.0135</t>
  </si>
  <si>
    <t>26100.4104.0135</t>
  </si>
  <si>
    <t>26100.4121.0135</t>
  </si>
  <si>
    <t>26100.4150.0135</t>
  </si>
  <si>
    <t>26100.4102.0135</t>
  </si>
  <si>
    <t>26100.4122.0135</t>
  </si>
  <si>
    <t>26083.8678.0138</t>
  </si>
  <si>
    <t>26082.8678.0138</t>
  </si>
  <si>
    <t>26045.7898.0138</t>
  </si>
  <si>
    <t>26028.7823.0138</t>
  </si>
  <si>
    <t>22280.6744.0138</t>
  </si>
  <si>
    <t>24007.4160.0940</t>
  </si>
  <si>
    <t>24017.8920.0157</t>
  </si>
  <si>
    <t>24003.4266.0160</t>
  </si>
  <si>
    <t>24003.4368.0160</t>
  </si>
  <si>
    <t>24005.5606.0160</t>
  </si>
  <si>
    <t>24007.4185.0160</t>
  </si>
  <si>
    <t>24016.4462.0160</t>
  </si>
  <si>
    <t>24005.5251.0169</t>
  </si>
  <si>
    <t>24013.8917.0169</t>
  </si>
  <si>
    <t>24015.6114.0169</t>
  </si>
  <si>
    <t>24010.2602.0172</t>
  </si>
  <si>
    <t>24010.2603.0172</t>
  </si>
  <si>
    <t>24010.2605.0172</t>
  </si>
  <si>
    <t>24010.2606.0172</t>
  </si>
  <si>
    <t>24010.2608.0172</t>
  </si>
  <si>
    <t>24010.2609.0172</t>
  </si>
  <si>
    <t>24010.2617.0172</t>
  </si>
  <si>
    <t>24010.2610.0172</t>
  </si>
  <si>
    <t>24010.2601.0172</t>
  </si>
  <si>
    <t>24010.2604.0172</t>
  </si>
  <si>
    <t>24010.2607.0172</t>
  </si>
  <si>
    <t>24002.3826.0174</t>
  </si>
  <si>
    <t>24002.5066.0179</t>
  </si>
  <si>
    <t>24002.5608.0179</t>
  </si>
  <si>
    <t>24002.5610.0179</t>
  </si>
  <si>
    <t>24003.4464.0179</t>
  </si>
  <si>
    <t>24003.8872.0179</t>
  </si>
  <si>
    <t>24002.3311.0179</t>
  </si>
  <si>
    <t>24002.8872.0179</t>
  </si>
  <si>
    <t>24002.4478.0179</t>
  </si>
  <si>
    <t>24002.8398.0180</t>
  </si>
  <si>
    <t>Community Facilities (New)</t>
  </si>
  <si>
    <t>BSCPP 12/002 Robb Street</t>
  </si>
  <si>
    <t>Bad Debts</t>
  </si>
  <si>
    <t>Cert of Compliance Swim Pools</t>
  </si>
  <si>
    <t>32286/32311</t>
  </si>
  <si>
    <t>SES Coastal Hazard Study</t>
  </si>
  <si>
    <t>32127.8398.0401/32125.3302</t>
  </si>
  <si>
    <t>Waste Centre Uniforms/Safety Equipment</t>
  </si>
  <si>
    <t>Hazardous Waste Collection</t>
  </si>
  <si>
    <t>Commence Collection of E-Waste</t>
  </si>
  <si>
    <t>Recovery Satchels to Residents</t>
  </si>
  <si>
    <t>Recycled Water Tapping Fees</t>
  </si>
  <si>
    <t>35125.0385.0612</t>
  </si>
  <si>
    <t>24017.892.</t>
  </si>
  <si>
    <t>Toilet Improvement Program</t>
  </si>
  <si>
    <t>2207.5885.0401</t>
  </si>
  <si>
    <t>2204.7777.0401</t>
  </si>
  <si>
    <t>W565.9999.0401</t>
  </si>
  <si>
    <t>2206.7777.0401</t>
  </si>
  <si>
    <t>Regional Roads Reseals Wo 553</t>
  </si>
  <si>
    <t>Regional Roads Heavy Patching Wo 554</t>
  </si>
  <si>
    <t>2077.5550.0401</t>
  </si>
  <si>
    <t>2077.5551.0401</t>
  </si>
  <si>
    <t xml:space="preserve">Westlands Park Play Equipment </t>
  </si>
  <si>
    <t>2134.5328.0401</t>
  </si>
  <si>
    <t>W452.9999.0401</t>
  </si>
  <si>
    <t>SP2301 - Pipework replacement</t>
  </si>
  <si>
    <t>7502.5294.0401</t>
  </si>
  <si>
    <t>W131.9999.0401</t>
  </si>
  <si>
    <t>Gravity Truck - Wollongbar</t>
  </si>
  <si>
    <t>7506.4916.0401</t>
  </si>
  <si>
    <t>Sewer Telemetry Program</t>
  </si>
  <si>
    <t>7510.4967.0401</t>
  </si>
  <si>
    <t>Ballina - Upgrade Other</t>
  </si>
  <si>
    <t>7526.4884.0401</t>
  </si>
  <si>
    <t>7811.5278.0401</t>
  </si>
  <si>
    <t>Financial Assistance Grant In Advance</t>
  </si>
  <si>
    <t>Auction Expenses</t>
  </si>
  <si>
    <t>20001.1321.0061</t>
  </si>
  <si>
    <t>20005.1122.0235</t>
  </si>
  <si>
    <t>Statutory Minimum Rent (Crown Land)</t>
  </si>
  <si>
    <t>30001.1084.0401</t>
  </si>
  <si>
    <t>NR Carpool</t>
  </si>
  <si>
    <t>30003.1321.0401</t>
  </si>
  <si>
    <t>35162.7735.0401</t>
  </si>
  <si>
    <t>Adobe Creative Cloud Software Licence 2</t>
  </si>
  <si>
    <t>21042.3000.0169</t>
  </si>
  <si>
    <t>Reinst Coastal EEC Environl Trust R&amp;R</t>
  </si>
  <si>
    <t>Other Revenue</t>
  </si>
  <si>
    <t>31045.3000.0401</t>
  </si>
  <si>
    <t>Walk, Cycle, Public Transport Map</t>
  </si>
  <si>
    <t>32020.0410.0635</t>
  </si>
  <si>
    <t>Contribution - Wastewater to USMP</t>
  </si>
  <si>
    <t>Cronulla St - Kerb WO631</t>
  </si>
  <si>
    <t>2128.3142.0401</t>
  </si>
  <si>
    <t>W631.9999.0401</t>
  </si>
  <si>
    <t>24002.2297.0160</t>
  </si>
  <si>
    <t>24002.5611.0179</t>
  </si>
  <si>
    <t>Byron Bay Rd, Lnx Hd Seg310,320,330 WO628</t>
  </si>
  <si>
    <t>2399.7777.0401</t>
  </si>
  <si>
    <t>W628.9999.0401</t>
  </si>
  <si>
    <t>Airport Boulevard</t>
  </si>
  <si>
    <t>24002.5612.0179</t>
  </si>
  <si>
    <t>Ellis Rd - RMS Safety Initiative WO634</t>
  </si>
  <si>
    <t>2401.7777.0401</t>
  </si>
  <si>
    <t>W634.9999.0401</t>
  </si>
  <si>
    <t>RMS - repair program regional rds (rms)</t>
  </si>
  <si>
    <t>RMS - supplementary block grant</t>
  </si>
  <si>
    <t>24002.5581.0179</t>
  </si>
  <si>
    <t>W564.9999.0401</t>
  </si>
  <si>
    <t>2203.7777.0401</t>
  </si>
  <si>
    <t>Bypass Funds - T2E</t>
  </si>
  <si>
    <t>Heavy Patching T2E Handover</t>
  </si>
  <si>
    <t>Reseal T2E Handover</t>
  </si>
  <si>
    <t>Traffic Facilities T2E Handover</t>
  </si>
  <si>
    <t>Road Widening (land acquist) Cumbalum WO629</t>
  </si>
  <si>
    <t>W629.9999.0401</t>
  </si>
  <si>
    <t>Shared Path Ballina CBD to Sharpes</t>
  </si>
  <si>
    <t>Shared Path Compton Dr + Richmond River</t>
  </si>
  <si>
    <t>22150.2497.0169</t>
  </si>
  <si>
    <t>32132.4484.0401</t>
  </si>
  <si>
    <t>Country Passenger Transport Infras</t>
  </si>
  <si>
    <t>22241.5598.0148</t>
  </si>
  <si>
    <t>Roadside Vegetation Mgmt Plan</t>
  </si>
  <si>
    <t>Visions Estate SEPP Restoration</t>
  </si>
  <si>
    <t>32280.5769.0401</t>
  </si>
  <si>
    <t>King Park Shade WO627</t>
  </si>
  <si>
    <t>2134.5427.0401</t>
  </si>
  <si>
    <t>W627.9999.0401</t>
  </si>
  <si>
    <t>26100.4126.0135</t>
  </si>
  <si>
    <t>Urban reticulation system WO632</t>
  </si>
  <si>
    <t>7811.4955.0401</t>
  </si>
  <si>
    <t>W632.9999.0401</t>
  </si>
  <si>
    <t>Ballina - Stage Three</t>
  </si>
  <si>
    <t>Alstonville - Stage Three</t>
  </si>
  <si>
    <t>This loan to be borrowed Feb 2018</t>
  </si>
  <si>
    <t>Alstonville Swimming Pool - Stage Three</t>
  </si>
  <si>
    <t>Ballina Swimming Pool - Stage Three</t>
  </si>
  <si>
    <t>Insurance Reserve</t>
  </si>
  <si>
    <t>North Creek Road</t>
  </si>
  <si>
    <t>Decrease to WO587 Cherry St</t>
  </si>
  <si>
    <t>Decrease Northumberland WO590</t>
  </si>
  <si>
    <t>Decrease to Wardell Rd WO591</t>
  </si>
  <si>
    <t>Increase to reseals WO553 and WO554 from RMS</t>
  </si>
  <si>
    <t>Decrease in Lake Ainsworth Upgrades</t>
  </si>
  <si>
    <t>32023.2456/2475/2459/2489.0401</t>
  </si>
  <si>
    <t>Staff Morning Tea</t>
  </si>
  <si>
    <t>General Fund Cash Surplus/(Deficit)</t>
  </si>
  <si>
    <t>22011.2489.0165</t>
  </si>
  <si>
    <t>22241.5769.0169</t>
  </si>
  <si>
    <t>24003.2497.0179</t>
  </si>
  <si>
    <t>24005.6118.0160</t>
  </si>
  <si>
    <t>9 Byron Bay Rd Planning Proposal</t>
  </si>
  <si>
    <t>Community Land Application fee</t>
  </si>
  <si>
    <t>Lennox Head Master Plan Consultation</t>
  </si>
  <si>
    <t>BSCPP 15/003 Service Centre</t>
  </si>
  <si>
    <t>BCSPP 16/003 Boeing Avenue</t>
  </si>
  <si>
    <t xml:space="preserve">ALEC - Hire </t>
  </si>
  <si>
    <t>Quarry Surveys</t>
  </si>
  <si>
    <t>Coastal EEC Environmental Trust</t>
  </si>
  <si>
    <t>Other Grants</t>
  </si>
  <si>
    <t>Ballina Surf Club - Refurbishment</t>
  </si>
  <si>
    <t>Ballina Surf Club - Storage Shed</t>
  </si>
  <si>
    <t>Bad Ddebts</t>
  </si>
  <si>
    <t>2027/28</t>
  </si>
  <si>
    <t>ESTIMATE</t>
  </si>
  <si>
    <t>Funding Source 2027/28</t>
  </si>
  <si>
    <t>2027/2028</t>
  </si>
  <si>
    <t>25/27</t>
  </si>
  <si>
    <t xml:space="preserve">Ballina Major Regional Centre </t>
  </si>
  <si>
    <t>Aboriginal Cultural Programs</t>
  </si>
  <si>
    <t>Koala Management Plan</t>
  </si>
  <si>
    <t>Other Heritage and Culture Projects</t>
  </si>
  <si>
    <t>Koala Management Actions</t>
  </si>
  <si>
    <t>Operating Cost (Excl Deprec &amp; Interest)</t>
  </si>
  <si>
    <t>Kentwell Centre</t>
  </si>
  <si>
    <t>Major Facility Operating Results</t>
  </si>
  <si>
    <t>Gallery Lighting</t>
  </si>
  <si>
    <t>Shaws Bay Coastal Management Plan</t>
  </si>
  <si>
    <t>17/08 Load</t>
  </si>
  <si>
    <t>State - Arts NSW - Lighting</t>
  </si>
  <si>
    <t>Shaws Bay CMP - OEH</t>
  </si>
  <si>
    <t xml:space="preserve">Internal  - Depot / Administration Centre </t>
  </si>
  <si>
    <t>Internal - Admin Centre - Roofing / Air Cond</t>
  </si>
  <si>
    <t>State - Marine Rescue Tower</t>
  </si>
  <si>
    <t>Private - Wigmore Hall (Swift St)</t>
  </si>
  <si>
    <t>RMS - Byron Bay Road Roundabout</t>
  </si>
  <si>
    <t>RMS - Ellis Rd - Safety Initiative</t>
  </si>
  <si>
    <t xml:space="preserve">RMS - Angels Beach Drive </t>
  </si>
  <si>
    <t>RMS - Highway Handover</t>
  </si>
  <si>
    <t>Private - Playground Elevation Estate</t>
  </si>
  <si>
    <t xml:space="preserve">State - Ocean Pool </t>
  </si>
  <si>
    <t>State - Sharpes Beach Observation Tower</t>
  </si>
  <si>
    <t>Wastewater - Bulwinkel Park</t>
  </si>
  <si>
    <t>State - Netball Club Contributions</t>
  </si>
  <si>
    <t>Reseals</t>
  </si>
  <si>
    <t>Ballina Bypass Handover (T2E)</t>
  </si>
  <si>
    <t>Marom Creek WTP - Secure Yield</t>
  </si>
  <si>
    <t>Salaries and Oncosts - Customer Service</t>
  </si>
  <si>
    <t>Coastal Management Plan</t>
  </si>
  <si>
    <t>Cont to RRCC - CMP</t>
  </si>
  <si>
    <t>Lake Ainsworth - Ross Street</t>
  </si>
  <si>
    <t>Captain Cook Park Pontoon</t>
  </si>
  <si>
    <t>Lennox Village Renewal</t>
  </si>
  <si>
    <t>Playground Elevation Estate</t>
  </si>
  <si>
    <t>Shared Path</t>
  </si>
  <si>
    <t>Quarry - Shaws Bay CMP</t>
  </si>
  <si>
    <t>Quarry - Operations</t>
  </si>
  <si>
    <t>Roads Construction</t>
  </si>
  <si>
    <t>(1) 3.4% of the 9.1% for 2018/19 (on top of the 5.70% in the above table) has already been included in 2017/18 - therefore there is no need to repeat that figure in 2018/19 for the purposes of this calculation</t>
  </si>
  <si>
    <t>Information Fee and Equipment</t>
  </si>
  <si>
    <t>CONSOLIDATED OPERATIONS - INCOME STATEMENT (2013/14 to 2027/28)</t>
  </si>
  <si>
    <t>GENERAL FUND - INCOME STATEMENT (2013/14 to 2027/28)</t>
  </si>
  <si>
    <t>WATER FUND - INCOME STATEMENT (2013/14 to 2027/28)</t>
  </si>
  <si>
    <t>WASTEWATER FUND - INCOME STATEMENT (2013/14 to 2027/28)</t>
  </si>
  <si>
    <t>CONSOLIDATED OPERATIONS - LONG TERM FINANCIAL PLAN (2013/14 to 2027/28)</t>
  </si>
  <si>
    <t>GENERAL FUND - LONG TERM FINANCIAL PLAN (2013/14 to 2027/28)</t>
  </si>
  <si>
    <t>WATER OPERATIONS - LONG TERM FINANCIAL PLAN (2013/14 to 2027/28)</t>
  </si>
  <si>
    <t>WASTEWATER OPERATIONS - LONG TERM FINANCIAL PLAN (2013/14 to 2027/28)</t>
  </si>
  <si>
    <t>CONSOLIDATED OPERATIONS - INCOME STATEMENT (2013/14 to 2027/28) - SCENARIO ONE - PROPOSED SPECIAL RATE VARIATION EXCLUDED</t>
  </si>
  <si>
    <t>GENERAL FUND - INCOME STATEMENT (2013/14 to 2027/28) - SCENARIO ONE - PROPOSED SPECIAL RATE VARIATION EXCLUDED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</si>
</sst>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43" formatCode="_-* #,##0.00_-;\-* #,##0.00_-;_-* &quot;-&quot;??_-;_-@_-"/>
    <numFmt numFmtId="164" formatCode="_(* #,##0.00_);_(* \(#,##0.00\);_(* &quot;-&quot;??_);_(@_)"/>
    <numFmt numFmtId="165" formatCode="_(&quot;$&quot;* #,##0.00_);_(&quot;$&quot;* \(#,##0.00\);_(&quot;$&quot;* &quot;-&quot;??_);_(@_)"/>
    <numFmt numFmtId="166" formatCode="_(* #,##0_);_(* \(#,##0\);_(* &quot;-&quot;??_);_(@_)"/>
    <numFmt numFmtId="167" formatCode="0.0%"/>
    <numFmt numFmtId="168" formatCode="#,##0;[Red]\(#,##0\)"/>
    <numFmt numFmtId="169" formatCode="#,##0.0;[Red]\(#,##0.0\)"/>
    <numFmt numFmtId="170" formatCode="#,##0.00;[Red]\(#,##0.00\)"/>
    <numFmt numFmtId="171" formatCode="#,##0.000;[Red]\(#,##0.000\)"/>
    <numFmt numFmtId="172" formatCode="#,##0.0000;[Red]\(#,##0.0000\)"/>
    <numFmt numFmtId="173" formatCode="0.0"/>
    <numFmt numFmtId="174" formatCode="&quot;$&quot;#,##0"/>
    <numFmt numFmtId="175" formatCode="####.####.####"/>
    <numFmt numFmtId="176" formatCode="_(&quot;$&quot;* #,##0_);_(&quot;$&quot;* \(#,##0\);_(&quot;$&quot;* &quot;-&quot;??_);_(@_)"/>
    <numFmt numFmtId="177" formatCode="#,##0;[Red]General;\(#,##0\)"/>
    <numFmt numFmtId="178" formatCode="#,##0;[Red]\(##,#00"/>
    <numFmt numFmtId="179" formatCode="[$-C09]dd\-mmm\-yy;@"/>
    <numFmt numFmtId="180" formatCode="0.000"/>
  </numFmts>
  <fonts count="52" x14ac:knownFonts="1">
    <font>
      <sz val="10"/>
      <name val="Arial"/>
    </font>
    <font>
      <sz val="11"/>
      <color theme="1"/>
      <name val="Calibri"/>
      <family val="2"/>
      <scheme val="minor"/>
    </font>
    <font>
      <b/>
      <sz val="10"/>
      <name val="Arial"/>
      <family val="2"/>
    </font>
    <font>
      <b/>
      <i/>
      <sz val="10"/>
      <name val="Arial"/>
      <family val="2"/>
    </font>
    <font>
      <sz val="10"/>
      <name val="Arial"/>
      <family val="2"/>
    </font>
    <font>
      <sz val="10"/>
      <name val="Arial"/>
      <family val="2"/>
    </font>
    <font>
      <b/>
      <sz val="10"/>
      <name val="Arial"/>
      <family val="2"/>
    </font>
    <font>
      <b/>
      <i/>
      <sz val="10"/>
      <name val="Arial"/>
      <family val="2"/>
    </font>
    <font>
      <b/>
      <i/>
      <sz val="14"/>
      <name val="Times New Roman"/>
      <family val="1"/>
    </font>
    <font>
      <sz val="8"/>
      <name val="Arial"/>
      <family val="2"/>
    </font>
    <font>
      <b/>
      <sz val="10"/>
      <name val="Arial"/>
      <family val="2"/>
    </font>
    <font>
      <b/>
      <sz val="12"/>
      <name val="Arial"/>
      <family val="2"/>
    </font>
    <font>
      <b/>
      <i/>
      <u/>
      <sz val="10"/>
      <name val="Arial"/>
      <family val="2"/>
    </font>
    <font>
      <b/>
      <u/>
      <sz val="10"/>
      <name val="Arial"/>
      <family val="2"/>
    </font>
    <font>
      <u/>
      <sz val="10"/>
      <name val="Arial"/>
      <family val="2"/>
    </font>
    <font>
      <b/>
      <i/>
      <u/>
      <sz val="10"/>
      <name val="Arial"/>
      <family val="2"/>
    </font>
    <font>
      <b/>
      <sz val="8"/>
      <name val="Arial"/>
      <family val="2"/>
    </font>
    <font>
      <b/>
      <i/>
      <sz val="14"/>
      <name val="Arial"/>
      <family val="2"/>
    </font>
    <font>
      <sz val="14"/>
      <name val="Arial"/>
      <family val="2"/>
    </font>
    <font>
      <b/>
      <sz val="14"/>
      <name val="Arial"/>
      <family val="2"/>
    </font>
    <font>
      <b/>
      <i/>
      <sz val="10"/>
      <color indexed="12"/>
      <name val="Arial"/>
      <family val="2"/>
    </font>
    <font>
      <sz val="8"/>
      <color indexed="81"/>
      <name val="Tahoma"/>
      <family val="2"/>
    </font>
    <font>
      <b/>
      <sz val="8"/>
      <color indexed="81"/>
      <name val="Tahoma"/>
      <family val="2"/>
    </font>
    <font>
      <b/>
      <sz val="10"/>
      <color indexed="12"/>
      <name val="Arial"/>
      <family val="2"/>
    </font>
    <font>
      <b/>
      <sz val="10"/>
      <color indexed="10"/>
      <name val="Arial"/>
      <family val="2"/>
    </font>
    <font>
      <i/>
      <sz val="10"/>
      <name val="Arial"/>
      <family val="2"/>
    </font>
    <font>
      <u/>
      <sz val="10"/>
      <color indexed="12"/>
      <name val="Arial"/>
      <family val="2"/>
    </font>
    <font>
      <b/>
      <sz val="9"/>
      <name val="Arial"/>
      <family val="2"/>
    </font>
    <font>
      <sz val="9"/>
      <name val="Arial"/>
      <family val="2"/>
    </font>
    <font>
      <b/>
      <i/>
      <sz val="9"/>
      <name val="Arial"/>
      <family val="2"/>
    </font>
    <font>
      <i/>
      <sz val="14"/>
      <name val="Arial"/>
      <family val="2"/>
    </font>
    <font>
      <b/>
      <sz val="8"/>
      <color indexed="12"/>
      <name val="Arial"/>
      <family val="2"/>
    </font>
    <font>
      <i/>
      <u/>
      <sz val="10"/>
      <name val="Arial"/>
      <family val="2"/>
    </font>
    <font>
      <sz val="10"/>
      <name val="Arial"/>
      <family val="2"/>
    </font>
    <font>
      <sz val="10"/>
      <color indexed="12"/>
      <name val="Arial"/>
      <family val="2"/>
    </font>
    <font>
      <sz val="10"/>
      <name val="Arial"/>
      <family val="2"/>
    </font>
    <font>
      <sz val="9"/>
      <name val="Arial"/>
      <family val="2"/>
    </font>
    <font>
      <sz val="10"/>
      <name val="Arial"/>
      <family val="2"/>
    </font>
    <font>
      <sz val="9"/>
      <color indexed="81"/>
      <name val="Tahoma"/>
      <family val="2"/>
    </font>
    <font>
      <b/>
      <sz val="9"/>
      <color indexed="81"/>
      <name val="Tahoma"/>
      <family val="2"/>
    </font>
    <font>
      <sz val="9"/>
      <color rgb="FFFF0000"/>
      <name val="Arial"/>
      <family val="2"/>
    </font>
    <font>
      <b/>
      <sz val="9"/>
      <color rgb="FFFF0000"/>
      <name val="Arial"/>
      <family val="2"/>
    </font>
    <font>
      <b/>
      <u/>
      <sz val="9"/>
      <name val="Arial"/>
      <family val="2"/>
    </font>
    <font>
      <sz val="10"/>
      <color rgb="FF000000"/>
      <name val="Times New Roman"/>
      <family val="1"/>
    </font>
    <font>
      <u/>
      <sz val="9"/>
      <color indexed="81"/>
      <name val="Tahoma"/>
      <family val="2"/>
    </font>
    <font>
      <sz val="10"/>
      <color rgb="FF00B050"/>
      <name val="Arial"/>
      <family val="2"/>
    </font>
    <font>
      <sz val="10"/>
      <color rgb="FFFF0000"/>
      <name val="Arial"/>
      <family val="2"/>
    </font>
    <font>
      <sz val="10"/>
      <name val="Arial Narrow"/>
      <family val="2"/>
    </font>
    <font>
      <b/>
      <sz val="10"/>
      <color rgb="FFFF0000"/>
      <name val="Arial"/>
      <family val="2"/>
    </font>
    <font>
      <b/>
      <sz val="10"/>
      <color indexed="18"/>
      <name val="Arial"/>
      <family val="2"/>
    </font>
    <font>
      <sz val="9"/>
      <color indexed="81"/>
      <name val="Tahoma"/>
      <charset val="1"/>
    </font>
    <font>
      <b/>
      <sz val="9"/>
      <color indexed="81"/>
      <name val="Tahoma"/>
      <charset val="1"/>
    </font>
  </fonts>
  <fills count="13">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35"/>
        <bgColor indexed="64"/>
      </patternFill>
    </fill>
    <fill>
      <patternFill patternType="solid">
        <fgColor theme="8" tint="0.59996337778862885"/>
        <bgColor indexed="64"/>
      </patternFill>
    </fill>
    <fill>
      <patternFill patternType="solid">
        <fgColor rgb="FF92D05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s>
  <borders count="225">
    <border>
      <left/>
      <right/>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thick">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bottom/>
      <diagonal/>
    </border>
    <border>
      <left/>
      <right/>
      <top style="medium">
        <color indexed="64"/>
      </top>
      <bottom style="medium">
        <color indexed="64"/>
      </bottom>
      <diagonal/>
    </border>
    <border>
      <left style="thin">
        <color indexed="64"/>
      </left>
      <right/>
      <top/>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ck">
        <color indexed="64"/>
      </bottom>
      <diagonal/>
    </border>
    <border>
      <left/>
      <right style="thick">
        <color indexed="64"/>
      </right>
      <top/>
      <bottom style="thick">
        <color indexed="64"/>
      </bottom>
      <diagonal/>
    </border>
    <border>
      <left style="thin">
        <color indexed="64"/>
      </left>
      <right/>
      <top/>
      <bottom style="thick">
        <color indexed="64"/>
      </bottom>
      <diagonal/>
    </border>
    <border>
      <left style="thin">
        <color indexed="64"/>
      </left>
      <right/>
      <top/>
      <bottom style="medium">
        <color indexed="64"/>
      </bottom>
      <diagonal/>
    </border>
    <border>
      <left style="thick">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ck">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ck">
        <color indexed="64"/>
      </right>
      <top style="medium">
        <color indexed="64"/>
      </top>
      <bottom/>
      <diagonal/>
    </border>
    <border>
      <left style="thick">
        <color indexed="64"/>
      </left>
      <right style="thin">
        <color indexed="64"/>
      </right>
      <top/>
      <bottom style="thick">
        <color indexed="64"/>
      </bottom>
      <diagonal/>
    </border>
    <border>
      <left/>
      <right/>
      <top style="thin">
        <color indexed="64"/>
      </top>
      <bottom style="medium">
        <color indexed="64"/>
      </bottom>
      <diagonal/>
    </border>
    <border>
      <left style="thick">
        <color indexed="64"/>
      </left>
      <right/>
      <top/>
      <bottom/>
      <diagonal/>
    </border>
    <border>
      <left/>
      <right style="thick">
        <color indexed="64"/>
      </right>
      <top style="medium">
        <color indexed="64"/>
      </top>
      <bottom/>
      <diagonal/>
    </border>
    <border>
      <left/>
      <right style="thin">
        <color indexed="64"/>
      </right>
      <top style="thick">
        <color indexed="64"/>
      </top>
      <bottom/>
      <diagonal/>
    </border>
    <border>
      <left style="thin">
        <color indexed="64"/>
      </left>
      <right/>
      <top style="medium">
        <color indexed="64"/>
      </top>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diagonal/>
    </border>
    <border>
      <left style="thin">
        <color indexed="64"/>
      </left>
      <right style="medium">
        <color indexed="64"/>
      </right>
      <top/>
      <bottom style="thick">
        <color indexed="64"/>
      </bottom>
      <diagonal/>
    </border>
    <border>
      <left/>
      <right style="medium">
        <color indexed="64"/>
      </right>
      <top style="medium">
        <color indexed="64"/>
      </top>
      <bottom/>
      <diagonal/>
    </border>
    <border>
      <left/>
      <right style="thick">
        <color indexed="64"/>
      </right>
      <top/>
      <bottom style="medium">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diagonal/>
    </border>
    <border>
      <left/>
      <right style="thick">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style="thin">
        <color indexed="64"/>
      </right>
      <top/>
      <bottom style="thick">
        <color indexed="64"/>
      </bottom>
      <diagonal/>
    </border>
    <border>
      <left style="thick">
        <color indexed="64"/>
      </left>
      <right style="thin">
        <color indexed="64"/>
      </right>
      <top style="medium">
        <color indexed="64"/>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n">
        <color indexed="64"/>
      </right>
      <top style="thin">
        <color indexed="64"/>
      </top>
      <bottom style="double">
        <color indexed="64"/>
      </bottom>
      <diagonal/>
    </border>
    <border>
      <left/>
      <right style="thick">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style="thick">
        <color indexed="64"/>
      </top>
      <bottom/>
      <diagonal/>
    </border>
    <border>
      <left style="medium">
        <color indexed="64"/>
      </left>
      <right/>
      <top style="medium">
        <color indexed="64"/>
      </top>
      <bottom style="medium">
        <color indexed="64"/>
      </bottom>
      <diagonal/>
    </border>
    <border>
      <left/>
      <right style="thick">
        <color indexed="64"/>
      </right>
      <top style="medium">
        <color indexed="64"/>
      </top>
      <bottom style="thin">
        <color indexed="64"/>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ck">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ck">
        <color indexed="64"/>
      </right>
      <top style="thick">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ck">
        <color indexed="64"/>
      </left>
      <right/>
      <top style="medium">
        <color indexed="64"/>
      </top>
      <bottom/>
      <diagonal/>
    </border>
    <border>
      <left style="thick">
        <color indexed="64"/>
      </left>
      <right/>
      <top/>
      <bottom style="medium">
        <color indexed="64"/>
      </bottom>
      <diagonal/>
    </border>
    <border>
      <left/>
      <right style="thick">
        <color indexed="64"/>
      </right>
      <top style="thick">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ck">
        <color indexed="64"/>
      </top>
      <bottom/>
      <diagonal/>
    </border>
    <border>
      <left style="medium">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n">
        <color indexed="64"/>
      </top>
      <bottom/>
      <diagonal/>
    </border>
    <border>
      <left/>
      <right style="thick">
        <color indexed="64"/>
      </right>
      <top style="thin">
        <color indexed="64"/>
      </top>
      <bottom/>
      <diagonal/>
    </border>
    <border>
      <left style="thin">
        <color indexed="64"/>
      </left>
      <right/>
      <top style="medium">
        <color indexed="64"/>
      </top>
      <bottom style="thin">
        <color indexed="64"/>
      </bottom>
      <diagonal/>
    </border>
    <border>
      <left style="thick">
        <color indexed="64"/>
      </left>
      <right/>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n">
        <color indexed="64"/>
      </left>
      <right style="thin">
        <color indexed="64"/>
      </right>
      <top style="thick">
        <color indexed="64"/>
      </top>
      <bottom style="double">
        <color indexed="64"/>
      </bottom>
      <diagonal/>
    </border>
    <border>
      <left style="thin">
        <color indexed="64"/>
      </left>
      <right style="medium">
        <color indexed="64"/>
      </right>
      <top style="thick">
        <color indexed="64"/>
      </top>
      <bottom style="double">
        <color indexed="64"/>
      </bottom>
      <diagonal/>
    </border>
    <border>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right/>
      <top style="thick">
        <color indexed="64"/>
      </top>
      <bottom style="double">
        <color indexed="64"/>
      </bottom>
      <diagonal/>
    </border>
    <border>
      <left/>
      <right style="medium">
        <color indexed="64"/>
      </right>
      <top style="thick">
        <color indexed="64"/>
      </top>
      <bottom style="double">
        <color indexed="64"/>
      </bottom>
      <diagonal/>
    </border>
    <border>
      <left style="thick">
        <color indexed="64"/>
      </left>
      <right style="medium">
        <color indexed="64"/>
      </right>
      <top style="thick">
        <color indexed="64"/>
      </top>
      <bottom style="double">
        <color indexed="64"/>
      </bottom>
      <diagonal/>
    </border>
    <border>
      <left style="thin">
        <color indexed="64"/>
      </left>
      <right/>
      <top style="thick">
        <color indexed="64"/>
      </top>
      <bottom style="double">
        <color indexed="64"/>
      </bottom>
      <diagonal/>
    </border>
    <border>
      <left style="medium">
        <color indexed="64"/>
      </left>
      <right style="thin">
        <color indexed="64"/>
      </right>
      <top style="thick">
        <color indexed="64"/>
      </top>
      <bottom style="double">
        <color indexed="64"/>
      </bottom>
      <diagonal/>
    </border>
    <border>
      <left style="thin">
        <color indexed="64"/>
      </left>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ck">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ck">
        <color indexed="64"/>
      </top>
      <bottom/>
      <diagonal/>
    </border>
    <border>
      <left style="thin">
        <color indexed="64"/>
      </left>
      <right style="thin">
        <color indexed="64"/>
      </right>
      <top style="double">
        <color indexed="64"/>
      </top>
      <bottom/>
      <diagonal/>
    </border>
    <border>
      <left style="thick">
        <color indexed="64"/>
      </left>
      <right/>
      <top style="thick">
        <color indexed="64"/>
      </top>
      <bottom/>
      <diagonal/>
    </border>
    <border>
      <left style="medium">
        <color indexed="64"/>
      </left>
      <right/>
      <top/>
      <bottom style="thick">
        <color indexed="64"/>
      </bottom>
      <diagonal/>
    </border>
    <border>
      <left style="thick">
        <color indexed="64"/>
      </left>
      <right style="thin">
        <color indexed="64"/>
      </right>
      <top/>
      <bottom style="thin">
        <color indexed="64"/>
      </bottom>
      <diagonal/>
    </border>
    <border>
      <left style="thick">
        <color indexed="64"/>
      </left>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ck">
        <color indexed="64"/>
      </left>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medium">
        <color indexed="64"/>
      </top>
      <bottom style="double">
        <color indexed="64"/>
      </bottom>
      <diagonal/>
    </border>
    <border>
      <left/>
      <right style="thick">
        <color indexed="64"/>
      </right>
      <top/>
      <bottom style="thin">
        <color indexed="64"/>
      </bottom>
      <diagonal/>
    </border>
    <border>
      <left style="thick">
        <color indexed="64"/>
      </left>
      <right style="medium">
        <color indexed="64"/>
      </right>
      <top style="thin">
        <color indexed="64"/>
      </top>
      <bottom/>
      <diagonal/>
    </border>
    <border>
      <left style="medium">
        <color indexed="64"/>
      </left>
      <right/>
      <top style="thin">
        <color indexed="64"/>
      </top>
      <bottom/>
      <diagonal/>
    </border>
    <border>
      <left/>
      <right/>
      <top style="thick">
        <color indexed="64"/>
      </top>
      <bottom style="thick">
        <color indexed="64"/>
      </bottom>
      <diagonal/>
    </border>
    <border>
      <left style="thick">
        <color indexed="64"/>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n">
        <color indexed="64"/>
      </right>
      <top style="thick">
        <color indexed="64"/>
      </top>
      <bottom style="medium">
        <color indexed="64"/>
      </bottom>
      <diagonal/>
    </border>
    <border>
      <left/>
      <right style="thin">
        <color indexed="64"/>
      </right>
      <top style="thin">
        <color indexed="64"/>
      </top>
      <bottom style="double">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ck">
        <color indexed="64"/>
      </top>
      <bottom style="medium">
        <color indexed="64"/>
      </bottom>
      <diagonal/>
    </border>
    <border>
      <left style="medium">
        <color indexed="64"/>
      </left>
      <right style="thick">
        <color indexed="64"/>
      </right>
      <top/>
      <bottom style="thick">
        <color indexed="64"/>
      </bottom>
      <diagonal/>
    </border>
    <border>
      <left/>
      <right/>
      <top style="medium">
        <color indexed="64"/>
      </top>
      <bottom style="double">
        <color indexed="64"/>
      </bottom>
      <diagonal/>
    </border>
    <border>
      <left style="thick">
        <color indexed="64"/>
      </left>
      <right/>
      <top style="medium">
        <color indexed="64"/>
      </top>
      <bottom style="thick">
        <color indexed="64"/>
      </bottom>
      <diagonal/>
    </border>
    <border>
      <left style="thin">
        <color indexed="64"/>
      </left>
      <right/>
      <top style="medium">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ck">
        <color indexed="64"/>
      </top>
      <bottom style="double">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style="thick">
        <color auto="1"/>
      </right>
      <top style="thick">
        <color indexed="64"/>
      </top>
      <bottom style="double">
        <color indexed="64"/>
      </bottom>
      <diagonal/>
    </border>
    <border>
      <left style="medium">
        <color indexed="64"/>
      </left>
      <right style="thin">
        <color indexed="64"/>
      </right>
      <top style="medium">
        <color indexed="64"/>
      </top>
      <bottom style="double">
        <color indexed="64"/>
      </bottom>
      <diagonal/>
    </border>
    <border>
      <left style="thick">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style="medium">
        <color indexed="64"/>
      </bottom>
      <diagonal/>
    </border>
    <border>
      <left/>
      <right style="thick">
        <color indexed="64"/>
      </right>
      <top style="medium">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style="double">
        <color indexed="64"/>
      </bottom>
      <diagonal/>
    </border>
    <border>
      <left style="thick">
        <color indexed="64"/>
      </left>
      <right/>
      <top style="medium">
        <color indexed="64"/>
      </top>
      <bottom style="thin">
        <color indexed="64"/>
      </bottom>
      <diagonal/>
    </border>
    <border>
      <left/>
      <right style="thin">
        <color indexed="64"/>
      </right>
      <top style="thick">
        <color indexed="64"/>
      </top>
      <bottom style="thin">
        <color indexed="64"/>
      </bottom>
      <diagonal/>
    </border>
    <border>
      <left style="medium">
        <color indexed="64"/>
      </left>
      <right style="medium">
        <color indexed="64"/>
      </right>
      <top style="thin">
        <color indexed="64"/>
      </top>
      <bottom style="double">
        <color indexed="64"/>
      </bottom>
      <diagonal/>
    </border>
    <border>
      <left style="thin">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diagonal/>
    </border>
    <border>
      <left/>
      <right style="medium">
        <color indexed="64"/>
      </right>
      <top style="thin">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ck">
        <color indexed="64"/>
      </right>
      <top style="thick">
        <color indexed="64"/>
      </top>
      <bottom/>
      <diagonal/>
    </border>
    <border>
      <left style="thin">
        <color indexed="64"/>
      </left>
      <right/>
      <top style="thin">
        <color indexed="64"/>
      </top>
      <bottom style="thick">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double">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medium">
        <color indexed="64"/>
      </bottom>
      <diagonal/>
    </border>
    <border>
      <left style="medium">
        <color indexed="64"/>
      </left>
      <right/>
      <top style="thick">
        <color indexed="64"/>
      </top>
      <bottom style="medium">
        <color indexed="64"/>
      </bottom>
      <diagonal/>
    </border>
    <border>
      <left style="medium">
        <color indexed="64"/>
      </left>
      <right style="medium">
        <color indexed="64"/>
      </right>
      <top style="thick">
        <color indexed="64"/>
      </top>
      <bottom style="thick">
        <color indexed="64"/>
      </bottom>
      <diagonal/>
    </border>
    <border>
      <left/>
      <right style="medium">
        <color indexed="64"/>
      </right>
      <top/>
      <bottom style="hair">
        <color indexed="64"/>
      </bottom>
      <diagonal/>
    </border>
    <border>
      <left/>
      <right/>
      <top style="medium">
        <color indexed="23"/>
      </top>
      <bottom style="medium">
        <color indexed="23"/>
      </bottom>
      <diagonal/>
    </border>
    <border>
      <left/>
      <right/>
      <top style="thin">
        <color indexed="23"/>
      </top>
      <bottom/>
      <diagonal/>
    </border>
    <border>
      <left/>
      <right/>
      <top style="thin">
        <color indexed="23"/>
      </top>
      <bottom style="medium">
        <color indexed="23"/>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style="thick">
        <color indexed="64"/>
      </right>
      <top/>
      <bottom style="medium">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s>
  <cellStyleXfs count="14">
    <xf numFmtId="0" fontId="0" fillId="0" borderId="0"/>
    <xf numFmtId="164" fontId="4" fillId="0" borderId="0" applyFont="0" applyFill="0" applyBorder="0" applyAlignment="0" applyProtection="0"/>
    <xf numFmtId="165" fontId="4" fillId="0" borderId="0" applyFont="0" applyFill="0" applyBorder="0" applyAlignment="0" applyProtection="0"/>
    <xf numFmtId="0" fontId="26" fillId="0" borderId="0" applyNumberFormat="0" applyFill="0" applyBorder="0" applyAlignment="0" applyProtection="0">
      <alignment vertical="top"/>
      <protection locked="0"/>
    </xf>
    <xf numFmtId="9" fontId="4"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43"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cellStyleXfs>
  <cellXfs count="2737">
    <xf numFmtId="0" fontId="0" fillId="0" borderId="0" xfId="0"/>
    <xf numFmtId="0" fontId="0" fillId="0" borderId="0" xfId="0" applyFill="1"/>
    <xf numFmtId="168" fontId="5" fillId="0" borderId="3" xfId="0" applyNumberFormat="1" applyFont="1" applyBorder="1" applyAlignment="1">
      <alignment horizontal="center"/>
    </xf>
    <xf numFmtId="168" fontId="5" fillId="0" borderId="4" xfId="0" applyNumberFormat="1" applyFont="1" applyBorder="1"/>
    <xf numFmtId="168" fontId="5" fillId="0" borderId="0" xfId="0" applyNumberFormat="1" applyFont="1" applyBorder="1"/>
    <xf numFmtId="168" fontId="5" fillId="0" borderId="0" xfId="0" applyNumberFormat="1" applyFont="1"/>
    <xf numFmtId="168" fontId="4" fillId="0" borderId="0" xfId="0" applyNumberFormat="1" applyFont="1"/>
    <xf numFmtId="168" fontId="4" fillId="0" borderId="4" xfId="0" applyNumberFormat="1" applyFont="1" applyBorder="1"/>
    <xf numFmtId="168" fontId="5" fillId="0" borderId="14" xfId="0" applyNumberFormat="1" applyFont="1" applyBorder="1"/>
    <xf numFmtId="168" fontId="5" fillId="0" borderId="3" xfId="0" applyNumberFormat="1" applyFont="1" applyFill="1" applyBorder="1"/>
    <xf numFmtId="168" fontId="4" fillId="0" borderId="0" xfId="0" applyNumberFormat="1" applyFont="1" applyBorder="1"/>
    <xf numFmtId="168" fontId="2" fillId="0" borderId="0" xfId="0" applyNumberFormat="1" applyFont="1"/>
    <xf numFmtId="168" fontId="6" fillId="0" borderId="0" xfId="0" applyNumberFormat="1" applyFont="1"/>
    <xf numFmtId="168" fontId="6" fillId="0" borderId="18" xfId="0" applyNumberFormat="1" applyFont="1" applyFill="1" applyBorder="1" applyAlignment="1">
      <alignment horizontal="center"/>
    </xf>
    <xf numFmtId="168" fontId="5" fillId="0" borderId="28" xfId="0" applyNumberFormat="1" applyFont="1" applyBorder="1"/>
    <xf numFmtId="168" fontId="7" fillId="0" borderId="0" xfId="0" applyNumberFormat="1" applyFont="1" applyBorder="1"/>
    <xf numFmtId="168" fontId="6" fillId="0" borderId="29" xfId="0" applyNumberFormat="1" applyFont="1" applyFill="1" applyBorder="1"/>
    <xf numFmtId="168" fontId="6" fillId="0" borderId="0" xfId="0" applyNumberFormat="1" applyFont="1" applyBorder="1"/>
    <xf numFmtId="168" fontId="2" fillId="0" borderId="0" xfId="0" applyNumberFormat="1" applyFont="1" applyBorder="1"/>
    <xf numFmtId="168" fontId="2" fillId="0" borderId="0" xfId="0" applyNumberFormat="1" applyFont="1" applyBorder="1" applyAlignment="1">
      <alignment horizontal="left"/>
    </xf>
    <xf numFmtId="168" fontId="0" fillId="0" borderId="0" xfId="0" applyNumberFormat="1"/>
    <xf numFmtId="168" fontId="6" fillId="0" borderId="3" xfId="0" applyNumberFormat="1" applyFont="1" applyFill="1" applyBorder="1"/>
    <xf numFmtId="168" fontId="6" fillId="0" borderId="4" xfId="0" applyNumberFormat="1" applyFont="1" applyBorder="1"/>
    <xf numFmtId="168" fontId="5" fillId="0" borderId="11" xfId="0" applyNumberFormat="1" applyFont="1" applyFill="1" applyBorder="1"/>
    <xf numFmtId="168" fontId="6" fillId="0" borderId="28" xfId="0" applyNumberFormat="1" applyFont="1" applyFill="1" applyBorder="1"/>
    <xf numFmtId="168" fontId="4" fillId="0" borderId="28" xfId="0" applyNumberFormat="1" applyFont="1" applyFill="1" applyBorder="1"/>
    <xf numFmtId="168" fontId="6" fillId="0" borderId="32" xfId="0" applyNumberFormat="1" applyFont="1" applyFill="1" applyBorder="1"/>
    <xf numFmtId="168" fontId="6" fillId="0" borderId="0" xfId="0" applyNumberFormat="1" applyFont="1" applyFill="1" applyBorder="1"/>
    <xf numFmtId="168" fontId="6" fillId="0" borderId="2" xfId="0" quotePrefix="1" applyNumberFormat="1" applyFont="1" applyFill="1" applyBorder="1" applyAlignment="1">
      <alignment horizontal="center"/>
    </xf>
    <xf numFmtId="168" fontId="5" fillId="0" borderId="15" xfId="0" applyNumberFormat="1" applyFont="1" applyFill="1" applyBorder="1"/>
    <xf numFmtId="168" fontId="4" fillId="0" borderId="15" xfId="0" applyNumberFormat="1" applyFont="1" applyFill="1" applyBorder="1"/>
    <xf numFmtId="168" fontId="4" fillId="0" borderId="0" xfId="0" applyNumberFormat="1" applyFont="1" applyFill="1" applyBorder="1"/>
    <xf numFmtId="168" fontId="6" fillId="0" borderId="15" xfId="0" applyNumberFormat="1" applyFont="1" applyFill="1" applyBorder="1"/>
    <xf numFmtId="168" fontId="2" fillId="0" borderId="4" xfId="0" applyNumberFormat="1" applyFont="1" applyBorder="1"/>
    <xf numFmtId="168" fontId="5" fillId="0" borderId="0" xfId="0" applyNumberFormat="1" applyFont="1" applyFill="1"/>
    <xf numFmtId="168" fontId="6" fillId="0" borderId="21" xfId="0" applyNumberFormat="1" applyFont="1" applyFill="1" applyBorder="1"/>
    <xf numFmtId="168" fontId="0" fillId="0" borderId="0" xfId="0" applyNumberFormat="1" applyFill="1"/>
    <xf numFmtId="168" fontId="6" fillId="0" borderId="11" xfId="0" applyNumberFormat="1" applyFont="1" applyFill="1" applyBorder="1"/>
    <xf numFmtId="168" fontId="18" fillId="0" borderId="0" xfId="0" applyNumberFormat="1" applyFont="1" applyFill="1"/>
    <xf numFmtId="168" fontId="6" fillId="0" borderId="0" xfId="0" applyNumberFormat="1" applyFont="1" applyFill="1"/>
    <xf numFmtId="168" fontId="6" fillId="0" borderId="18" xfId="0" quotePrefix="1" applyNumberFormat="1" applyFont="1" applyFill="1" applyBorder="1" applyAlignment="1">
      <alignment horizontal="center"/>
    </xf>
    <xf numFmtId="168" fontId="5" fillId="0" borderId="6" xfId="0" applyNumberFormat="1" applyFont="1" applyFill="1" applyBorder="1"/>
    <xf numFmtId="168" fontId="5" fillId="0" borderId="17" xfId="0" applyNumberFormat="1" applyFont="1" applyFill="1" applyBorder="1"/>
    <xf numFmtId="168" fontId="6" fillId="0" borderId="27" xfId="0" quotePrefix="1" applyNumberFormat="1" applyFont="1" applyFill="1" applyBorder="1" applyAlignment="1">
      <alignment horizontal="center" wrapText="1"/>
    </xf>
    <xf numFmtId="168" fontId="2" fillId="0" borderId="18" xfId="0" quotePrefix="1" applyNumberFormat="1" applyFont="1" applyFill="1" applyBorder="1" applyAlignment="1">
      <alignment horizontal="center"/>
    </xf>
    <xf numFmtId="168" fontId="5" fillId="0" borderId="34" xfId="0" applyNumberFormat="1" applyFont="1" applyFill="1" applyBorder="1"/>
    <xf numFmtId="168" fontId="5" fillId="0" borderId="0" xfId="0" applyNumberFormat="1" applyFont="1" applyFill="1" applyBorder="1"/>
    <xf numFmtId="168" fontId="5" fillId="0" borderId="13" xfId="0" applyNumberFormat="1" applyFont="1" applyFill="1" applyBorder="1"/>
    <xf numFmtId="168" fontId="0" fillId="0" borderId="3" xfId="0" applyNumberFormat="1" applyFill="1" applyBorder="1"/>
    <xf numFmtId="168" fontId="5" fillId="0" borderId="8" xfId="0" applyNumberFormat="1" applyFont="1" applyFill="1" applyBorder="1"/>
    <xf numFmtId="168" fontId="7" fillId="0" borderId="15" xfId="0" applyNumberFormat="1" applyFont="1" applyFill="1" applyBorder="1"/>
    <xf numFmtId="168" fontId="0" fillId="0" borderId="16" xfId="0" applyNumberFormat="1" applyFill="1" applyBorder="1"/>
    <xf numFmtId="168" fontId="6" fillId="0" borderId="23" xfId="0" applyNumberFormat="1" applyFont="1" applyFill="1" applyBorder="1"/>
    <xf numFmtId="168" fontId="2" fillId="0" borderId="29" xfId="0" applyNumberFormat="1" applyFont="1" applyFill="1" applyBorder="1"/>
    <xf numFmtId="168" fontId="5" fillId="0" borderId="28" xfId="0" applyNumberFormat="1" applyFont="1" applyFill="1" applyBorder="1"/>
    <xf numFmtId="168" fontId="5" fillId="0" borderId="0" xfId="0" applyNumberFormat="1" applyFont="1" applyFill="1" applyBorder="1" applyAlignment="1">
      <alignment horizontal="left"/>
    </xf>
    <xf numFmtId="168" fontId="2" fillId="0" borderId="0" xfId="0" applyNumberFormat="1" applyFont="1" applyFill="1" applyBorder="1" applyAlignment="1">
      <alignment horizontal="left"/>
    </xf>
    <xf numFmtId="168" fontId="5" fillId="0" borderId="0" xfId="0" quotePrefix="1" applyNumberFormat="1" applyFont="1" applyFill="1" applyBorder="1" applyAlignment="1">
      <alignment horizontal="left"/>
    </xf>
    <xf numFmtId="168" fontId="4" fillId="0" borderId="0" xfId="0" applyNumberFormat="1" applyFont="1" applyFill="1" applyBorder="1" applyAlignment="1">
      <alignment horizontal="left"/>
    </xf>
    <xf numFmtId="168" fontId="6" fillId="0" borderId="0" xfId="0" quotePrefix="1" applyNumberFormat="1" applyFont="1" applyFill="1" applyBorder="1" applyAlignment="1">
      <alignment horizontal="left"/>
    </xf>
    <xf numFmtId="168" fontId="6" fillId="0" borderId="35" xfId="0" applyNumberFormat="1" applyFont="1" applyFill="1" applyBorder="1"/>
    <xf numFmtId="168" fontId="5" fillId="0" borderId="16" xfId="0" applyNumberFormat="1" applyFont="1" applyFill="1" applyBorder="1"/>
    <xf numFmtId="168" fontId="6" fillId="0" borderId="16" xfId="0" applyNumberFormat="1" applyFont="1" applyFill="1" applyBorder="1"/>
    <xf numFmtId="168" fontId="2" fillId="0" borderId="3" xfId="0" applyNumberFormat="1" applyFont="1" applyFill="1" applyBorder="1"/>
    <xf numFmtId="168" fontId="6" fillId="0" borderId="8" xfId="0" applyNumberFormat="1" applyFont="1" applyFill="1" applyBorder="1"/>
    <xf numFmtId="168" fontId="2" fillId="0" borderId="0" xfId="0" applyNumberFormat="1" applyFont="1" applyFill="1"/>
    <xf numFmtId="168" fontId="6" fillId="0" borderId="21" xfId="0" applyNumberFormat="1" applyFont="1" applyFill="1" applyBorder="1" applyAlignment="1">
      <alignment horizontal="left"/>
    </xf>
    <xf numFmtId="168" fontId="6" fillId="0" borderId="5" xfId="0" applyNumberFormat="1" applyFont="1" applyFill="1" applyBorder="1"/>
    <xf numFmtId="168" fontId="5" fillId="0" borderId="18" xfId="0" applyNumberFormat="1" applyFont="1" applyFill="1" applyBorder="1"/>
    <xf numFmtId="168" fontId="6" fillId="0" borderId="36" xfId="0" applyNumberFormat="1" applyFont="1" applyFill="1" applyBorder="1"/>
    <xf numFmtId="168" fontId="5" fillId="0" borderId="0" xfId="0" applyNumberFormat="1" applyFont="1" applyFill="1" applyBorder="1" applyAlignment="1">
      <alignment horizontal="center"/>
    </xf>
    <xf numFmtId="168" fontId="6" fillId="0" borderId="37" xfId="0" applyNumberFormat="1" applyFont="1" applyFill="1" applyBorder="1" applyAlignment="1">
      <alignment horizontal="left"/>
    </xf>
    <xf numFmtId="168" fontId="6" fillId="0" borderId="38" xfId="0" applyNumberFormat="1" applyFont="1" applyFill="1" applyBorder="1"/>
    <xf numFmtId="168" fontId="6" fillId="0" borderId="39" xfId="0" applyNumberFormat="1" applyFont="1" applyFill="1" applyBorder="1"/>
    <xf numFmtId="168" fontId="5" fillId="0" borderId="40" xfId="0" applyNumberFormat="1" applyFont="1" applyFill="1" applyBorder="1"/>
    <xf numFmtId="168" fontId="6" fillId="0" borderId="4" xfId="0" applyNumberFormat="1" applyFont="1" applyFill="1" applyBorder="1"/>
    <xf numFmtId="168" fontId="5" fillId="0" borderId="42" xfId="0" applyNumberFormat="1" applyFont="1" applyFill="1" applyBorder="1"/>
    <xf numFmtId="168" fontId="4" fillId="0" borderId="4" xfId="0" applyNumberFormat="1" applyFont="1" applyFill="1" applyBorder="1"/>
    <xf numFmtId="168" fontId="4" fillId="0" borderId="16" xfId="0" applyNumberFormat="1" applyFont="1" applyFill="1" applyBorder="1"/>
    <xf numFmtId="168" fontId="4" fillId="0" borderId="3" xfId="0" applyNumberFormat="1" applyFont="1" applyFill="1" applyBorder="1"/>
    <xf numFmtId="168" fontId="4" fillId="0" borderId="0" xfId="0" applyNumberFormat="1" applyFont="1" applyFill="1"/>
    <xf numFmtId="168" fontId="6" fillId="0" borderId="19" xfId="0" applyNumberFormat="1" applyFont="1" applyFill="1" applyBorder="1"/>
    <xf numFmtId="168" fontId="6" fillId="0" borderId="20" xfId="0" applyNumberFormat="1" applyFont="1" applyFill="1" applyBorder="1"/>
    <xf numFmtId="168" fontId="5" fillId="0" borderId="43" xfId="0" applyNumberFormat="1" applyFont="1" applyFill="1" applyBorder="1"/>
    <xf numFmtId="168" fontId="6" fillId="0" borderId="0" xfId="0" applyNumberFormat="1" applyFont="1" applyFill="1" applyBorder="1" applyAlignment="1">
      <alignment horizontal="left"/>
    </xf>
    <xf numFmtId="168" fontId="5" fillId="0" borderId="3" xfId="0" applyNumberFormat="1" applyFont="1" applyFill="1" applyBorder="1" applyAlignment="1">
      <alignment horizontal="center"/>
    </xf>
    <xf numFmtId="168" fontId="6" fillId="0" borderId="13" xfId="0" applyNumberFormat="1" applyFont="1" applyFill="1" applyBorder="1"/>
    <xf numFmtId="168" fontId="5" fillId="0" borderId="11" xfId="0" applyNumberFormat="1" applyFont="1" applyFill="1" applyBorder="1" applyAlignment="1">
      <alignment horizontal="center"/>
    </xf>
    <xf numFmtId="168" fontId="6" fillId="0" borderId="5" xfId="0" applyNumberFormat="1" applyFont="1" applyFill="1" applyBorder="1" applyAlignment="1">
      <alignment horizontal="left"/>
    </xf>
    <xf numFmtId="168" fontId="5" fillId="0" borderId="4" xfId="0" applyNumberFormat="1" applyFont="1" applyFill="1" applyBorder="1"/>
    <xf numFmtId="168" fontId="6" fillId="0" borderId="44" xfId="0" applyNumberFormat="1" applyFont="1" applyFill="1" applyBorder="1"/>
    <xf numFmtId="168" fontId="7" fillId="0" borderId="0" xfId="0" applyNumberFormat="1" applyFont="1" applyFill="1" applyBorder="1"/>
    <xf numFmtId="168" fontId="2" fillId="0" borderId="0" xfId="0" applyNumberFormat="1" applyFont="1" applyFill="1" applyBorder="1"/>
    <xf numFmtId="168" fontId="6" fillId="0" borderId="0" xfId="0" applyNumberFormat="1" applyFont="1" applyFill="1" applyAlignment="1">
      <alignment horizontal="center"/>
    </xf>
    <xf numFmtId="168" fontId="2" fillId="0" borderId="2" xfId="0" quotePrefix="1" applyNumberFormat="1" applyFont="1" applyFill="1" applyBorder="1" applyAlignment="1">
      <alignment horizontal="center"/>
    </xf>
    <xf numFmtId="168" fontId="2" fillId="0" borderId="45" xfId="0" quotePrefix="1" applyNumberFormat="1" applyFont="1" applyFill="1" applyBorder="1" applyAlignment="1">
      <alignment horizontal="center"/>
    </xf>
    <xf numFmtId="168" fontId="5" fillId="0" borderId="0" xfId="0" applyNumberFormat="1" applyFont="1" applyFill="1" applyAlignment="1">
      <alignment horizontal="center"/>
    </xf>
    <xf numFmtId="168" fontId="5" fillId="0" borderId="3" xfId="0" applyNumberFormat="1" applyFont="1" applyFill="1" applyBorder="1" applyAlignment="1">
      <alignment horizontal="right"/>
    </xf>
    <xf numFmtId="168" fontId="4" fillId="0" borderId="0" xfId="0" quotePrefix="1" applyNumberFormat="1" applyFont="1" applyFill="1" applyBorder="1" applyAlignment="1">
      <alignment horizontal="left"/>
    </xf>
    <xf numFmtId="168" fontId="5" fillId="0" borderId="4" xfId="0" applyNumberFormat="1" applyFont="1" applyFill="1" applyBorder="1" applyAlignment="1">
      <alignment horizontal="right"/>
    </xf>
    <xf numFmtId="168" fontId="6" fillId="0" borderId="29" xfId="0" applyNumberFormat="1" applyFont="1" applyFill="1" applyBorder="1" applyAlignment="1">
      <alignment horizontal="right"/>
    </xf>
    <xf numFmtId="168" fontId="6" fillId="0" borderId="30" xfId="0" applyNumberFormat="1" applyFont="1" applyFill="1" applyBorder="1" applyAlignment="1">
      <alignment horizontal="right"/>
    </xf>
    <xf numFmtId="168" fontId="6" fillId="0" borderId="30" xfId="0" applyNumberFormat="1" applyFont="1" applyFill="1" applyBorder="1"/>
    <xf numFmtId="168" fontId="6" fillId="0" borderId="3" xfId="0" applyNumberFormat="1" applyFont="1" applyFill="1" applyBorder="1" applyAlignment="1">
      <alignment horizontal="right"/>
    </xf>
    <xf numFmtId="168" fontId="2" fillId="0" borderId="35" xfId="0" applyNumberFormat="1" applyFont="1" applyFill="1" applyBorder="1"/>
    <xf numFmtId="168" fontId="2" fillId="0" borderId="30" xfId="0" applyNumberFormat="1" applyFont="1" applyFill="1" applyBorder="1"/>
    <xf numFmtId="168" fontId="2" fillId="0" borderId="16" xfId="0" applyNumberFormat="1" applyFont="1" applyFill="1" applyBorder="1"/>
    <xf numFmtId="168" fontId="2" fillId="0" borderId="4" xfId="0" applyNumberFormat="1" applyFont="1" applyFill="1" applyBorder="1"/>
    <xf numFmtId="168" fontId="5" fillId="0" borderId="45" xfId="0" applyNumberFormat="1" applyFont="1" applyFill="1" applyBorder="1"/>
    <xf numFmtId="168" fontId="6" fillId="0" borderId="40" xfId="0" applyNumberFormat="1" applyFont="1" applyFill="1" applyBorder="1"/>
    <xf numFmtId="168" fontId="5" fillId="0" borderId="39" xfId="0" applyNumberFormat="1" applyFont="1" applyFill="1" applyBorder="1"/>
    <xf numFmtId="168" fontId="5" fillId="0" borderId="36" xfId="0" applyNumberFormat="1" applyFont="1" applyFill="1" applyBorder="1"/>
    <xf numFmtId="168" fontId="5" fillId="0" borderId="20" xfId="0" applyNumberFormat="1" applyFont="1" applyFill="1" applyBorder="1"/>
    <xf numFmtId="168" fontId="5" fillId="0" borderId="19" xfId="0" applyNumberFormat="1" applyFont="1" applyFill="1" applyBorder="1"/>
    <xf numFmtId="168" fontId="5" fillId="0" borderId="12" xfId="0" applyNumberFormat="1" applyFont="1" applyFill="1" applyBorder="1"/>
    <xf numFmtId="168" fontId="0" fillId="0" borderId="0" xfId="0" applyNumberFormat="1" applyFill="1" applyBorder="1"/>
    <xf numFmtId="168" fontId="5" fillId="0" borderId="29" xfId="0" applyNumberFormat="1" applyFont="1" applyFill="1" applyBorder="1"/>
    <xf numFmtId="168" fontId="2" fillId="0" borderId="0" xfId="0" quotePrefix="1" applyNumberFormat="1" applyFont="1" applyFill="1" applyBorder="1" applyAlignment="1">
      <alignment horizontal="left"/>
    </xf>
    <xf numFmtId="168" fontId="5" fillId="0" borderId="32" xfId="0" applyNumberFormat="1" applyFont="1" applyFill="1" applyBorder="1"/>
    <xf numFmtId="168" fontId="5" fillId="0" borderId="19" xfId="0" applyNumberFormat="1" applyFont="1" applyFill="1" applyBorder="1" applyAlignment="1">
      <alignment horizontal="center"/>
    </xf>
    <xf numFmtId="168" fontId="5" fillId="0" borderId="5" xfId="0" applyNumberFormat="1" applyFont="1" applyFill="1" applyBorder="1" applyAlignment="1">
      <alignment horizontal="left"/>
    </xf>
    <xf numFmtId="168" fontId="5" fillId="0" borderId="5" xfId="0" applyNumberFormat="1" applyFont="1" applyFill="1" applyBorder="1"/>
    <xf numFmtId="168" fontId="6" fillId="0" borderId="15" xfId="0" applyNumberFormat="1" applyFont="1" applyFill="1" applyBorder="1" applyAlignment="1">
      <alignment horizontal="left"/>
    </xf>
    <xf numFmtId="168" fontId="5" fillId="0" borderId="38" xfId="0" applyNumberFormat="1" applyFont="1" applyFill="1" applyBorder="1"/>
    <xf numFmtId="168" fontId="6" fillId="0" borderId="1" xfId="0" applyNumberFormat="1" applyFont="1" applyFill="1" applyBorder="1"/>
    <xf numFmtId="168" fontId="2" fillId="0" borderId="23" xfId="0" applyNumberFormat="1" applyFont="1" applyFill="1" applyBorder="1"/>
    <xf numFmtId="168" fontId="6" fillId="0" borderId="3" xfId="0" applyNumberFormat="1" applyFont="1" applyFill="1" applyBorder="1" applyAlignment="1">
      <alignment horizontal="center"/>
    </xf>
    <xf numFmtId="168" fontId="6" fillId="0" borderId="29" xfId="0" applyNumberFormat="1" applyFont="1" applyFill="1" applyBorder="1" applyAlignment="1">
      <alignment horizontal="center"/>
    </xf>
    <xf numFmtId="168" fontId="6" fillId="0" borderId="47" xfId="0" applyNumberFormat="1" applyFont="1" applyFill="1" applyBorder="1"/>
    <xf numFmtId="168" fontId="5" fillId="0" borderId="0" xfId="0" applyNumberFormat="1" applyFont="1" applyFill="1" applyBorder="1" applyAlignment="1">
      <alignment horizontal="right"/>
    </xf>
    <xf numFmtId="168" fontId="6" fillId="0" borderId="18" xfId="0" applyNumberFormat="1" applyFont="1" applyFill="1" applyBorder="1"/>
    <xf numFmtId="168" fontId="5" fillId="0" borderId="22" xfId="0" applyNumberFormat="1" applyFont="1" applyFill="1" applyBorder="1"/>
    <xf numFmtId="168" fontId="6" fillId="0" borderId="49" xfId="0" applyNumberFormat="1" applyFont="1" applyFill="1" applyBorder="1"/>
    <xf numFmtId="168" fontId="5" fillId="0" borderId="49" xfId="0" applyNumberFormat="1" applyFont="1" applyFill="1" applyBorder="1"/>
    <xf numFmtId="168" fontId="5" fillId="0" borderId="3" xfId="0" applyNumberFormat="1" applyFont="1" applyFill="1" applyBorder="1" applyAlignment="1"/>
    <xf numFmtId="168" fontId="5" fillId="0" borderId="16" xfId="0" applyNumberFormat="1" applyFont="1" applyFill="1" applyBorder="1" applyAlignment="1"/>
    <xf numFmtId="168" fontId="5" fillId="0" borderId="4" xfId="0" applyNumberFormat="1" applyFont="1" applyFill="1" applyBorder="1" applyAlignment="1"/>
    <xf numFmtId="168" fontId="6" fillId="0" borderId="30" xfId="0" applyNumberFormat="1" applyFont="1" applyFill="1" applyBorder="1" applyAlignment="1"/>
    <xf numFmtId="168" fontId="6" fillId="0" borderId="3" xfId="0" applyNumberFormat="1" applyFont="1" applyFill="1" applyBorder="1" applyAlignment="1"/>
    <xf numFmtId="168" fontId="6" fillId="0" borderId="4" xfId="0" applyNumberFormat="1" applyFont="1" applyFill="1" applyBorder="1" applyAlignment="1"/>
    <xf numFmtId="168" fontId="6" fillId="0" borderId="36" xfId="0" applyNumberFormat="1" applyFont="1" applyFill="1" applyBorder="1" applyAlignment="1"/>
    <xf numFmtId="168" fontId="6" fillId="0" borderId="19" xfId="0" applyNumberFormat="1" applyFont="1" applyFill="1" applyBorder="1" applyAlignment="1"/>
    <xf numFmtId="168" fontId="6" fillId="0" borderId="38" xfId="0" applyNumberFormat="1" applyFont="1" applyFill="1" applyBorder="1" applyAlignment="1"/>
    <xf numFmtId="168" fontId="6" fillId="0" borderId="0" xfId="0" applyNumberFormat="1" applyFont="1" applyFill="1" applyBorder="1" applyAlignment="1"/>
    <xf numFmtId="168" fontId="5" fillId="0" borderId="0" xfId="0" applyNumberFormat="1" applyFont="1" applyFill="1" applyBorder="1" applyAlignment="1"/>
    <xf numFmtId="168" fontId="6" fillId="0" borderId="29" xfId="0" applyNumberFormat="1" applyFont="1" applyFill="1" applyBorder="1" applyAlignment="1"/>
    <xf numFmtId="168" fontId="6" fillId="0" borderId="11" xfId="0" applyNumberFormat="1" applyFont="1" applyFill="1" applyBorder="1" applyAlignment="1"/>
    <xf numFmtId="168" fontId="5" fillId="0" borderId="38" xfId="0" applyNumberFormat="1" applyFont="1" applyFill="1" applyBorder="1" applyAlignment="1"/>
    <xf numFmtId="168" fontId="5" fillId="0" borderId="19" xfId="0" applyNumberFormat="1" applyFont="1" applyFill="1" applyBorder="1" applyAlignment="1"/>
    <xf numFmtId="168" fontId="5" fillId="0" borderId="0" xfId="0" applyNumberFormat="1" applyFont="1" applyFill="1" applyAlignment="1"/>
    <xf numFmtId="168" fontId="6" fillId="0" borderId="3" xfId="0" quotePrefix="1" applyNumberFormat="1" applyFont="1" applyFill="1" applyBorder="1" applyAlignment="1">
      <alignment horizontal="center"/>
    </xf>
    <xf numFmtId="168" fontId="6" fillId="0" borderId="29" xfId="0" quotePrefix="1" applyNumberFormat="1" applyFont="1" applyFill="1" applyBorder="1" applyAlignment="1">
      <alignment horizontal="center"/>
    </xf>
    <xf numFmtId="168" fontId="6" fillId="0" borderId="4" xfId="0" quotePrefix="1" applyNumberFormat="1" applyFont="1" applyFill="1" applyBorder="1" applyAlignment="1">
      <alignment horizontal="center"/>
    </xf>
    <xf numFmtId="168" fontId="0" fillId="0" borderId="0" xfId="0" applyNumberFormat="1" applyBorder="1"/>
    <xf numFmtId="168" fontId="4" fillId="0" borderId="28" xfId="0" applyNumberFormat="1" applyFont="1" applyBorder="1"/>
    <xf numFmtId="168" fontId="2" fillId="0" borderId="28" xfId="0" applyNumberFormat="1" applyFont="1" applyBorder="1"/>
    <xf numFmtId="168" fontId="6" fillId="0" borderId="14" xfId="0" applyNumberFormat="1" applyFont="1" applyFill="1" applyBorder="1" applyAlignment="1">
      <alignment horizontal="centerContinuous"/>
    </xf>
    <xf numFmtId="168" fontId="13" fillId="0" borderId="0" xfId="0" applyNumberFormat="1" applyFont="1" applyBorder="1"/>
    <xf numFmtId="168" fontId="5" fillId="0" borderId="53" xfId="0" applyNumberFormat="1" applyFont="1" applyFill="1" applyBorder="1"/>
    <xf numFmtId="168" fontId="6" fillId="0" borderId="61" xfId="0" quotePrefix="1" applyNumberFormat="1" applyFont="1" applyBorder="1" applyAlignment="1">
      <alignment horizontal="center"/>
    </xf>
    <xf numFmtId="168" fontId="0" fillId="0" borderId="4" xfId="0" applyNumberFormat="1" applyBorder="1"/>
    <xf numFmtId="168" fontId="0" fillId="0" borderId="4" xfId="0" applyNumberFormat="1" applyFill="1" applyBorder="1"/>
    <xf numFmtId="0" fontId="6" fillId="0" borderId="18" xfId="0" quotePrefix="1" applyNumberFormat="1" applyFont="1" applyFill="1" applyBorder="1" applyAlignment="1">
      <alignment horizontal="center"/>
    </xf>
    <xf numFmtId="0" fontId="6" fillId="0" borderId="15" xfId="0" applyNumberFormat="1" applyFont="1" applyFill="1" applyBorder="1" applyAlignment="1">
      <alignment horizontal="center"/>
    </xf>
    <xf numFmtId="0" fontId="6" fillId="0" borderId="4" xfId="0" applyNumberFormat="1" applyFont="1" applyFill="1" applyBorder="1" applyAlignment="1">
      <alignment horizontal="center"/>
    </xf>
    <xf numFmtId="0" fontId="5" fillId="0" borderId="0" xfId="0" applyNumberFormat="1" applyFont="1" applyFill="1" applyBorder="1" applyAlignment="1">
      <alignment horizontal="center"/>
    </xf>
    <xf numFmtId="0" fontId="6" fillId="0" borderId="11" xfId="0" applyNumberFormat="1" applyFont="1" applyFill="1" applyBorder="1"/>
    <xf numFmtId="0" fontId="5" fillId="0" borderId="3" xfId="0" applyNumberFormat="1" applyFont="1" applyFill="1" applyBorder="1" applyAlignment="1">
      <alignment horizontal="center"/>
    </xf>
    <xf numFmtId="0" fontId="5" fillId="0" borderId="11" xfId="0" applyNumberFormat="1" applyFont="1" applyFill="1" applyBorder="1" applyAlignment="1">
      <alignment horizontal="center"/>
    </xf>
    <xf numFmtId="0" fontId="6" fillId="0" borderId="0" xfId="0" applyNumberFormat="1" applyFont="1" applyFill="1" applyBorder="1"/>
    <xf numFmtId="0" fontId="6" fillId="0" borderId="15" xfId="0" applyNumberFormat="1" applyFont="1" applyFill="1" applyBorder="1" applyAlignment="1">
      <alignment horizontal="left"/>
    </xf>
    <xf numFmtId="0" fontId="6" fillId="0" borderId="0" xfId="0" applyNumberFormat="1" applyFont="1" applyFill="1" applyBorder="1" applyAlignment="1">
      <alignment horizontal="center"/>
    </xf>
    <xf numFmtId="0" fontId="5" fillId="0" borderId="0" xfId="0" applyNumberFormat="1" applyFont="1" applyFill="1" applyAlignment="1">
      <alignment horizontal="center"/>
    </xf>
    <xf numFmtId="0" fontId="6" fillId="0" borderId="3" xfId="0" applyNumberFormat="1" applyFont="1" applyFill="1" applyBorder="1" applyAlignment="1">
      <alignment horizontal="center"/>
    </xf>
    <xf numFmtId="172" fontId="5" fillId="0" borderId="3" xfId="0" applyNumberFormat="1" applyFont="1" applyFill="1" applyBorder="1"/>
    <xf numFmtId="1" fontId="5" fillId="0" borderId="3" xfId="0" applyNumberFormat="1" applyFont="1" applyFill="1" applyBorder="1" applyAlignment="1">
      <alignment horizontal="center"/>
    </xf>
    <xf numFmtId="168" fontId="5" fillId="0" borderId="29" xfId="0" applyNumberFormat="1" applyFont="1" applyBorder="1" applyAlignment="1">
      <alignment horizontal="center"/>
    </xf>
    <xf numFmtId="1" fontId="5" fillId="0" borderId="4" xfId="0" applyNumberFormat="1" applyFont="1" applyFill="1" applyBorder="1" applyAlignment="1">
      <alignment horizontal="center"/>
    </xf>
    <xf numFmtId="1" fontId="5" fillId="0" borderId="6" xfId="0" applyNumberFormat="1" applyFont="1" applyFill="1" applyBorder="1"/>
    <xf numFmtId="1" fontId="6" fillId="0" borderId="0" xfId="0" applyNumberFormat="1" applyFont="1" applyFill="1" applyBorder="1"/>
    <xf numFmtId="1" fontId="7" fillId="0" borderId="0" xfId="0" applyNumberFormat="1" applyFont="1" applyFill="1" applyBorder="1"/>
    <xf numFmtId="1" fontId="6" fillId="0" borderId="0" xfId="0" quotePrefix="1" applyNumberFormat="1" applyFont="1" applyFill="1" applyBorder="1" applyAlignment="1">
      <alignment horizontal="left"/>
    </xf>
    <xf numFmtId="1" fontId="5" fillId="0" borderId="0" xfId="0" applyNumberFormat="1" applyFont="1" applyFill="1" applyBorder="1"/>
    <xf numFmtId="1" fontId="5" fillId="0" borderId="0" xfId="0" applyNumberFormat="1" applyFont="1" applyFill="1" applyBorder="1" applyAlignment="1">
      <alignment horizontal="left"/>
    </xf>
    <xf numFmtId="1" fontId="6" fillId="0" borderId="38" xfId="0" applyNumberFormat="1" applyFont="1" applyFill="1" applyBorder="1"/>
    <xf numFmtId="1" fontId="6" fillId="0" borderId="0" xfId="0" applyNumberFormat="1" applyFont="1" applyFill="1" applyBorder="1" applyAlignment="1">
      <alignment horizontal="left"/>
    </xf>
    <xf numFmtId="1" fontId="6" fillId="0" borderId="5" xfId="0" applyNumberFormat="1" applyFont="1" applyFill="1" applyBorder="1" applyAlignment="1">
      <alignment horizontal="left"/>
    </xf>
    <xf numFmtId="1" fontId="6" fillId="0" borderId="18" xfId="0" quotePrefix="1" applyNumberFormat="1" applyFont="1" applyFill="1" applyBorder="1" applyAlignment="1">
      <alignment horizontal="center"/>
    </xf>
    <xf numFmtId="1" fontId="6" fillId="0" borderId="4" xfId="0" applyNumberFormat="1" applyFont="1" applyFill="1" applyBorder="1" applyAlignment="1">
      <alignment horizontal="center"/>
    </xf>
    <xf numFmtId="1" fontId="5" fillId="0" borderId="0" xfId="0" applyNumberFormat="1" applyFont="1" applyFill="1" applyBorder="1" applyAlignment="1">
      <alignment horizontal="center"/>
    </xf>
    <xf numFmtId="1" fontId="6" fillId="0" borderId="11" xfId="0" applyNumberFormat="1" applyFont="1" applyFill="1" applyBorder="1"/>
    <xf numFmtId="1" fontId="5" fillId="0" borderId="11" xfId="0" applyNumberFormat="1" applyFont="1" applyFill="1" applyBorder="1" applyAlignment="1">
      <alignment horizontal="center"/>
    </xf>
    <xf numFmtId="1" fontId="5" fillId="0" borderId="38" xfId="0" applyNumberFormat="1" applyFont="1" applyFill="1" applyBorder="1" applyAlignment="1">
      <alignment horizontal="center"/>
    </xf>
    <xf numFmtId="1" fontId="5" fillId="0" borderId="0" xfId="0" applyNumberFormat="1" applyFont="1" applyFill="1" applyAlignment="1">
      <alignment horizontal="center"/>
    </xf>
    <xf numFmtId="0" fontId="6" fillId="0" borderId="0" xfId="0" applyFont="1" applyFill="1" applyBorder="1" applyAlignment="1">
      <alignment horizontal="center"/>
    </xf>
    <xf numFmtId="0" fontId="6" fillId="0" borderId="8" xfId="0" applyFont="1" applyFill="1" applyBorder="1" applyAlignment="1">
      <alignment horizontal="center"/>
    </xf>
    <xf numFmtId="0" fontId="6" fillId="0" borderId="61" xfId="0" applyFont="1" applyFill="1" applyBorder="1" applyAlignment="1">
      <alignment horizontal="center"/>
    </xf>
    <xf numFmtId="0" fontId="6" fillId="0" borderId="62" xfId="0" applyFont="1" applyFill="1" applyBorder="1" applyAlignment="1">
      <alignment horizontal="center"/>
    </xf>
    <xf numFmtId="168" fontId="2" fillId="0" borderId="28" xfId="0" applyNumberFormat="1" applyFont="1" applyFill="1" applyBorder="1"/>
    <xf numFmtId="168" fontId="2" fillId="0" borderId="54" xfId="0" applyNumberFormat="1" applyFont="1" applyFill="1" applyBorder="1"/>
    <xf numFmtId="168" fontId="2" fillId="0" borderId="55" xfId="0" applyNumberFormat="1" applyFont="1" applyFill="1" applyBorder="1" applyAlignment="1">
      <alignment horizontal="left"/>
    </xf>
    <xf numFmtId="168" fontId="2" fillId="0" borderId="55" xfId="0" applyNumberFormat="1" applyFont="1" applyFill="1" applyBorder="1"/>
    <xf numFmtId="168" fontId="2" fillId="0" borderId="56" xfId="0" applyNumberFormat="1" applyFont="1" applyFill="1" applyBorder="1"/>
    <xf numFmtId="168" fontId="2" fillId="0" borderId="58" xfId="0" applyNumberFormat="1" applyFont="1" applyFill="1" applyBorder="1"/>
    <xf numFmtId="168" fontId="2" fillId="0" borderId="57" xfId="0" applyNumberFormat="1" applyFont="1" applyFill="1" applyBorder="1"/>
    <xf numFmtId="168" fontId="6" fillId="0" borderId="6" xfId="0" quotePrefix="1" applyNumberFormat="1" applyFont="1" applyFill="1" applyBorder="1" applyAlignment="1">
      <alignment horizontal="center"/>
    </xf>
    <xf numFmtId="168" fontId="20" fillId="0" borderId="0" xfId="0" applyNumberFormat="1" applyFont="1" applyFill="1" applyBorder="1"/>
    <xf numFmtId="168" fontId="3" fillId="0" borderId="0" xfId="0" applyNumberFormat="1" applyFont="1" applyFill="1" applyBorder="1"/>
    <xf numFmtId="168" fontId="4" fillId="0" borderId="5" xfId="0" applyNumberFormat="1" applyFont="1" applyFill="1" applyBorder="1"/>
    <xf numFmtId="168" fontId="24" fillId="0" borderId="0" xfId="0" applyNumberFormat="1" applyFont="1" applyFill="1"/>
    <xf numFmtId="0" fontId="6" fillId="0" borderId="3" xfId="0" applyFont="1" applyFill="1" applyBorder="1" applyAlignment="1">
      <alignment horizontal="center"/>
    </xf>
    <xf numFmtId="38" fontId="6" fillId="0" borderId="69" xfId="1" applyNumberFormat="1" applyFont="1" applyFill="1" applyBorder="1"/>
    <xf numFmtId="38" fontId="6" fillId="0" borderId="71" xfId="1" applyNumberFormat="1" applyFont="1" applyFill="1" applyBorder="1"/>
    <xf numFmtId="38" fontId="6" fillId="0" borderId="73" xfId="1" applyNumberFormat="1" applyFont="1" applyFill="1" applyBorder="1"/>
    <xf numFmtId="38" fontId="5" fillId="0" borderId="0" xfId="0" applyNumberFormat="1" applyFont="1" applyFill="1"/>
    <xf numFmtId="38" fontId="6" fillId="0" borderId="74" xfId="1" applyNumberFormat="1" applyFont="1" applyFill="1" applyBorder="1"/>
    <xf numFmtId="38" fontId="6" fillId="0" borderId="75" xfId="1" applyNumberFormat="1" applyFont="1" applyFill="1" applyBorder="1"/>
    <xf numFmtId="168" fontId="25" fillId="0" borderId="0" xfId="0" applyNumberFormat="1" applyFont="1" applyFill="1" applyBorder="1" applyAlignment="1">
      <alignment horizontal="left"/>
    </xf>
    <xf numFmtId="168" fontId="5" fillId="0" borderId="42" xfId="0" applyNumberFormat="1" applyFont="1" applyFill="1" applyBorder="1" applyAlignment="1">
      <alignment horizontal="right"/>
    </xf>
    <xf numFmtId="168" fontId="2" fillId="0" borderId="61" xfId="0" applyNumberFormat="1" applyFont="1" applyFill="1" applyBorder="1" applyAlignment="1">
      <alignment horizontal="center"/>
    </xf>
    <xf numFmtId="168" fontId="2" fillId="0" borderId="3" xfId="0" applyNumberFormat="1" applyFont="1" applyFill="1" applyBorder="1" applyAlignment="1">
      <alignment horizontal="center"/>
    </xf>
    <xf numFmtId="168" fontId="6" fillId="0" borderId="41" xfId="0" applyNumberFormat="1" applyFont="1" applyFill="1" applyBorder="1"/>
    <xf numFmtId="168" fontId="2" fillId="0" borderId="76" xfId="0" applyNumberFormat="1" applyFont="1" applyFill="1" applyBorder="1" applyAlignment="1">
      <alignment horizontal="center"/>
    </xf>
    <xf numFmtId="168" fontId="5" fillId="0" borderId="77" xfId="0" applyNumberFormat="1" applyFont="1" applyFill="1" applyBorder="1"/>
    <xf numFmtId="168" fontId="2" fillId="0" borderId="61" xfId="0" quotePrefix="1" applyNumberFormat="1" applyFont="1" applyBorder="1" applyAlignment="1">
      <alignment horizontal="center"/>
    </xf>
    <xf numFmtId="168" fontId="2" fillId="0" borderId="1" xfId="0" quotePrefix="1" applyNumberFormat="1" applyFont="1" applyFill="1" applyBorder="1" applyAlignment="1">
      <alignment horizontal="left"/>
    </xf>
    <xf numFmtId="168" fontId="5" fillId="0" borderId="5" xfId="0" applyNumberFormat="1" applyFont="1" applyFill="1" applyBorder="1" applyAlignment="1">
      <alignment horizontal="center"/>
    </xf>
    <xf numFmtId="168" fontId="5" fillId="0" borderId="21" xfId="0" applyNumberFormat="1" applyFont="1" applyFill="1" applyBorder="1"/>
    <xf numFmtId="168" fontId="4" fillId="0" borderId="21" xfId="0" applyNumberFormat="1" applyFont="1" applyFill="1" applyBorder="1"/>
    <xf numFmtId="168" fontId="2" fillId="0" borderId="67" xfId="0" applyNumberFormat="1" applyFont="1" applyFill="1" applyBorder="1" applyAlignment="1">
      <alignment horizontal="center"/>
    </xf>
    <xf numFmtId="168" fontId="2" fillId="0" borderId="78" xfId="0" applyNumberFormat="1" applyFont="1" applyFill="1" applyBorder="1" applyAlignment="1">
      <alignment horizontal="center"/>
    </xf>
    <xf numFmtId="168" fontId="14" fillId="0" borderId="3" xfId="0" applyNumberFormat="1" applyFont="1" applyFill="1" applyBorder="1"/>
    <xf numFmtId="168" fontId="14" fillId="0" borderId="42" xfId="0" applyNumberFormat="1" applyFont="1" applyFill="1" applyBorder="1"/>
    <xf numFmtId="168" fontId="14" fillId="0" borderId="4" xfId="0" applyNumberFormat="1" applyFont="1" applyFill="1" applyBorder="1"/>
    <xf numFmtId="168" fontId="14" fillId="0" borderId="0" xfId="0" applyNumberFormat="1" applyFont="1" applyFill="1" applyBorder="1"/>
    <xf numFmtId="168" fontId="14" fillId="0" borderId="8" xfId="0" applyNumberFormat="1" applyFont="1" applyFill="1" applyBorder="1"/>
    <xf numFmtId="168" fontId="14" fillId="0" borderId="0" xfId="0" applyNumberFormat="1" applyFont="1" applyFill="1"/>
    <xf numFmtId="168" fontId="5" fillId="0" borderId="80" xfId="0" applyNumberFormat="1" applyFont="1" applyFill="1" applyBorder="1"/>
    <xf numFmtId="168" fontId="6" fillId="0" borderId="81" xfId="0" applyNumberFormat="1" applyFont="1" applyFill="1" applyBorder="1"/>
    <xf numFmtId="49" fontId="5" fillId="0" borderId="3" xfId="0" applyNumberFormat="1" applyFont="1" applyFill="1" applyBorder="1" applyAlignment="1">
      <alignment horizontal="center"/>
    </xf>
    <xf numFmtId="49" fontId="5" fillId="0" borderId="4" xfId="0" applyNumberFormat="1" applyFont="1" applyFill="1" applyBorder="1" applyAlignment="1">
      <alignment horizontal="center"/>
    </xf>
    <xf numFmtId="49" fontId="6" fillId="0" borderId="4" xfId="0" applyNumberFormat="1" applyFont="1" applyFill="1" applyBorder="1" applyAlignment="1">
      <alignment horizontal="center"/>
    </xf>
    <xf numFmtId="0" fontId="5" fillId="0" borderId="15" xfId="0" applyNumberFormat="1" applyFont="1" applyFill="1" applyBorder="1" applyAlignment="1">
      <alignment horizontal="left"/>
    </xf>
    <xf numFmtId="38" fontId="6" fillId="0" borderId="83" xfId="1" applyNumberFormat="1" applyFont="1" applyFill="1" applyBorder="1"/>
    <xf numFmtId="0" fontId="6" fillId="0" borderId="85" xfId="0" applyFont="1" applyFill="1" applyBorder="1" applyAlignment="1">
      <alignment horizontal="center"/>
    </xf>
    <xf numFmtId="3" fontId="0" fillId="0" borderId="0" xfId="0" applyNumberFormat="1" applyFill="1"/>
    <xf numFmtId="0" fontId="5" fillId="0" borderId="0" xfId="0" applyFont="1" applyFill="1"/>
    <xf numFmtId="0" fontId="5" fillId="0" borderId="0" xfId="0" applyFont="1" applyFill="1" applyBorder="1"/>
    <xf numFmtId="0" fontId="5" fillId="0" borderId="3" xfId="0" quotePrefix="1" applyNumberFormat="1" applyFont="1" applyFill="1" applyBorder="1" applyAlignment="1">
      <alignment horizontal="center"/>
    </xf>
    <xf numFmtId="0" fontId="5" fillId="0" borderId="15" xfId="0" quotePrefix="1" applyNumberFormat="1" applyFont="1" applyFill="1" applyBorder="1" applyAlignment="1">
      <alignment horizontal="center"/>
    </xf>
    <xf numFmtId="0" fontId="6" fillId="0" borderId="67" xfId="0" applyFont="1" applyFill="1" applyBorder="1" applyAlignment="1">
      <alignment horizontal="center"/>
    </xf>
    <xf numFmtId="0" fontId="6" fillId="0" borderId="0" xfId="0" applyNumberFormat="1" applyFont="1" applyFill="1" applyBorder="1" applyAlignment="1">
      <alignment horizontal="left"/>
    </xf>
    <xf numFmtId="0" fontId="5" fillId="0" borderId="5" xfId="0" applyNumberFormat="1" applyFont="1" applyFill="1" applyBorder="1" applyAlignment="1">
      <alignment horizontal="center"/>
    </xf>
    <xf numFmtId="0" fontId="5" fillId="0" borderId="37" xfId="0" applyNumberFormat="1" applyFont="1" applyFill="1" applyBorder="1" applyAlignment="1">
      <alignment horizontal="center"/>
    </xf>
    <xf numFmtId="0" fontId="5" fillId="0" borderId="40" xfId="0" applyNumberFormat="1" applyFont="1" applyFill="1" applyBorder="1" applyAlignment="1">
      <alignment horizontal="center"/>
    </xf>
    <xf numFmtId="168" fontId="5" fillId="0" borderId="3" xfId="0" applyNumberFormat="1" applyFont="1" applyFill="1" applyBorder="1" applyProtection="1"/>
    <xf numFmtId="168" fontId="7" fillId="0" borderId="3" xfId="0" applyNumberFormat="1" applyFont="1" applyFill="1" applyBorder="1"/>
    <xf numFmtId="168" fontId="5" fillId="0" borderId="3" xfId="0" applyNumberFormat="1" applyFont="1" applyFill="1" applyBorder="1" applyAlignment="1">
      <alignment horizontal="left"/>
    </xf>
    <xf numFmtId="168" fontId="6" fillId="0" borderId="40" xfId="0" applyNumberFormat="1" applyFont="1" applyFill="1" applyBorder="1" applyAlignment="1">
      <alignment horizontal="left"/>
    </xf>
    <xf numFmtId="168" fontId="6" fillId="0" borderId="11" xfId="0" applyNumberFormat="1" applyFont="1" applyFill="1" applyBorder="1" applyAlignment="1">
      <alignment horizontal="left"/>
    </xf>
    <xf numFmtId="168" fontId="6" fillId="0" borderId="3" xfId="0" applyNumberFormat="1" applyFont="1" applyFill="1" applyBorder="1" applyAlignment="1">
      <alignment horizontal="left"/>
    </xf>
    <xf numFmtId="168" fontId="25" fillId="0" borderId="3" xfId="0" applyNumberFormat="1" applyFont="1" applyFill="1" applyBorder="1" applyAlignment="1">
      <alignment horizontal="left"/>
    </xf>
    <xf numFmtId="168" fontId="6" fillId="0" borderId="29" xfId="0" applyNumberFormat="1" applyFont="1" applyFill="1" applyBorder="1" applyAlignment="1">
      <alignment horizontal="left"/>
    </xf>
    <xf numFmtId="168" fontId="6" fillId="0" borderId="77" xfId="0" applyNumberFormat="1" applyFont="1" applyFill="1" applyBorder="1"/>
    <xf numFmtId="168" fontId="5" fillId="0" borderId="42" xfId="0" applyNumberFormat="1" applyFont="1" applyFill="1" applyBorder="1" applyAlignment="1"/>
    <xf numFmtId="168" fontId="5" fillId="0" borderId="0" xfId="0" applyNumberFormat="1" applyFont="1" applyFill="1" applyAlignment="1">
      <alignment horizontal="right"/>
    </xf>
    <xf numFmtId="168" fontId="6" fillId="0" borderId="90" xfId="0" applyNumberFormat="1" applyFont="1" applyFill="1" applyBorder="1"/>
    <xf numFmtId="168" fontId="6" fillId="0" borderId="3" xfId="0" quotePrefix="1" applyNumberFormat="1" applyFont="1" applyFill="1" applyBorder="1" applyAlignment="1">
      <alignment horizontal="left"/>
    </xf>
    <xf numFmtId="168" fontId="5" fillId="0" borderId="11" xfId="0" applyNumberFormat="1" applyFont="1" applyFill="1" applyBorder="1" applyAlignment="1">
      <alignment horizontal="left"/>
    </xf>
    <xf numFmtId="168" fontId="6" fillId="0" borderId="4" xfId="0" applyNumberFormat="1" applyFont="1" applyFill="1" applyBorder="1" applyAlignment="1">
      <alignment horizontal="right"/>
    </xf>
    <xf numFmtId="168" fontId="6" fillId="0" borderId="63" xfId="0" applyNumberFormat="1" applyFont="1" applyFill="1" applyBorder="1"/>
    <xf numFmtId="168" fontId="6" fillId="0" borderId="15" xfId="0" applyNumberFormat="1" applyFont="1" applyFill="1" applyBorder="1" applyAlignment="1">
      <alignment horizontal="center"/>
    </xf>
    <xf numFmtId="168" fontId="6" fillId="0" borderId="91" xfId="0" applyNumberFormat="1" applyFont="1" applyFill="1" applyBorder="1"/>
    <xf numFmtId="168" fontId="6" fillId="0" borderId="92" xfId="0" applyNumberFormat="1" applyFont="1" applyFill="1" applyBorder="1"/>
    <xf numFmtId="168" fontId="6" fillId="0" borderId="93" xfId="0" applyNumberFormat="1" applyFont="1" applyFill="1" applyBorder="1"/>
    <xf numFmtId="168" fontId="6" fillId="0" borderId="11" xfId="0" applyNumberFormat="1" applyFont="1" applyFill="1" applyBorder="1" applyAlignment="1">
      <alignment horizontal="center"/>
    </xf>
    <xf numFmtId="168" fontId="6" fillId="0" borderId="36" xfId="0" applyNumberFormat="1" applyFont="1" applyFill="1" applyBorder="1" applyAlignment="1">
      <alignment horizontal="center"/>
    </xf>
    <xf numFmtId="168" fontId="6" fillId="0" borderId="19" xfId="0" applyNumberFormat="1" applyFont="1" applyFill="1" applyBorder="1" applyAlignment="1">
      <alignment horizontal="center"/>
    </xf>
    <xf numFmtId="168" fontId="6" fillId="0" borderId="94" xfId="0" applyNumberFormat="1" applyFont="1" applyFill="1" applyBorder="1" applyAlignment="1">
      <alignment horizontal="center"/>
    </xf>
    <xf numFmtId="168" fontId="5" fillId="0" borderId="38" xfId="0" applyNumberFormat="1" applyFont="1" applyFill="1" applyBorder="1" applyAlignment="1">
      <alignment horizontal="center"/>
    </xf>
    <xf numFmtId="168" fontId="6" fillId="0" borderId="94" xfId="0" applyNumberFormat="1" applyFont="1" applyFill="1" applyBorder="1"/>
    <xf numFmtId="168" fontId="6" fillId="0" borderId="90" xfId="0" applyNumberFormat="1" applyFont="1" applyFill="1" applyBorder="1" applyAlignment="1"/>
    <xf numFmtId="168" fontId="6" fillId="0" borderId="95" xfId="0" applyNumberFormat="1" applyFont="1" applyFill="1" applyBorder="1"/>
    <xf numFmtId="168" fontId="6" fillId="0" borderId="42" xfId="0" applyNumberFormat="1" applyFont="1" applyFill="1" applyBorder="1"/>
    <xf numFmtId="168" fontId="2" fillId="0" borderId="4" xfId="0" applyNumberFormat="1" applyFont="1" applyFill="1" applyBorder="1" applyAlignment="1">
      <alignment horizontal="center"/>
    </xf>
    <xf numFmtId="0" fontId="6" fillId="0" borderId="0" xfId="0" applyFont="1" applyFill="1"/>
    <xf numFmtId="38" fontId="6" fillId="0" borderId="0" xfId="0" applyNumberFormat="1" applyFont="1" applyFill="1"/>
    <xf numFmtId="168" fontId="6" fillId="0" borderId="97" xfId="0" applyNumberFormat="1" applyFont="1" applyFill="1" applyBorder="1" applyAlignment="1">
      <alignment horizontal="left"/>
    </xf>
    <xf numFmtId="168" fontId="6" fillId="0" borderId="11" xfId="0" applyNumberFormat="1" applyFont="1" applyFill="1" applyBorder="1" applyAlignment="1">
      <alignment horizontal="right"/>
    </xf>
    <xf numFmtId="168" fontId="6" fillId="0" borderId="43" xfId="0" applyNumberFormat="1" applyFont="1" applyFill="1" applyBorder="1"/>
    <xf numFmtId="168" fontId="5" fillId="0" borderId="98" xfId="0" applyNumberFormat="1" applyFont="1" applyFill="1" applyBorder="1"/>
    <xf numFmtId="168" fontId="6" fillId="0" borderId="99" xfId="0" applyNumberFormat="1" applyFont="1" applyFill="1" applyBorder="1" applyAlignment="1">
      <alignment horizontal="left"/>
    </xf>
    <xf numFmtId="168" fontId="7" fillId="0" borderId="100" xfId="0" applyNumberFormat="1" applyFont="1" applyFill="1" applyBorder="1"/>
    <xf numFmtId="168" fontId="6" fillId="0" borderId="100" xfId="0" applyNumberFormat="1" applyFont="1" applyFill="1" applyBorder="1"/>
    <xf numFmtId="168" fontId="6" fillId="0" borderId="101" xfId="0" applyNumberFormat="1" applyFont="1" applyFill="1" applyBorder="1"/>
    <xf numFmtId="168" fontId="12" fillId="0" borderId="100" xfId="0" applyNumberFormat="1" applyFont="1" applyFill="1" applyBorder="1"/>
    <xf numFmtId="168" fontId="5" fillId="0" borderId="100" xfId="0" applyNumberFormat="1" applyFont="1" applyFill="1" applyBorder="1"/>
    <xf numFmtId="168" fontId="5" fillId="0" borderId="102" xfId="0" applyNumberFormat="1" applyFont="1" applyFill="1" applyBorder="1"/>
    <xf numFmtId="168" fontId="12" fillId="0" borderId="0" xfId="0" applyNumberFormat="1" applyFont="1" applyFill="1" applyBorder="1"/>
    <xf numFmtId="168" fontId="12" fillId="0" borderId="102" xfId="0" applyNumberFormat="1" applyFont="1" applyFill="1" applyBorder="1"/>
    <xf numFmtId="168" fontId="6" fillId="0" borderId="103" xfId="0" applyNumberFormat="1" applyFont="1" applyFill="1" applyBorder="1"/>
    <xf numFmtId="168" fontId="6" fillId="0" borderId="104" xfId="0" applyNumberFormat="1" applyFont="1" applyFill="1" applyBorder="1"/>
    <xf numFmtId="168" fontId="6" fillId="0" borderId="105" xfId="0" applyNumberFormat="1" applyFont="1" applyFill="1" applyBorder="1"/>
    <xf numFmtId="168" fontId="6" fillId="0" borderId="106" xfId="0" applyNumberFormat="1" applyFont="1" applyFill="1" applyBorder="1"/>
    <xf numFmtId="168" fontId="6" fillId="0" borderId="107" xfId="0" applyNumberFormat="1" applyFont="1" applyFill="1" applyBorder="1"/>
    <xf numFmtId="168" fontId="6" fillId="0" borderId="108" xfId="0" applyNumberFormat="1" applyFont="1" applyFill="1" applyBorder="1"/>
    <xf numFmtId="168" fontId="6" fillId="0" borderId="110" xfId="0" applyNumberFormat="1" applyFont="1" applyFill="1" applyBorder="1"/>
    <xf numFmtId="168" fontId="6" fillId="0" borderId="111" xfId="0" applyNumberFormat="1" applyFont="1" applyFill="1" applyBorder="1"/>
    <xf numFmtId="168" fontId="6" fillId="0" borderId="112" xfId="0" applyNumberFormat="1" applyFont="1" applyFill="1" applyBorder="1" applyAlignment="1">
      <alignment horizontal="center"/>
    </xf>
    <xf numFmtId="168" fontId="6" fillId="0" borderId="84" xfId="0" applyNumberFormat="1" applyFont="1" applyFill="1" applyBorder="1" applyAlignment="1">
      <alignment horizontal="centerContinuous"/>
    </xf>
    <xf numFmtId="168" fontId="6" fillId="0" borderId="62" xfId="0" applyNumberFormat="1" applyFont="1" applyFill="1" applyBorder="1" applyAlignment="1">
      <alignment horizontal="centerContinuous"/>
    </xf>
    <xf numFmtId="168" fontId="6" fillId="0" borderId="61" xfId="0" applyNumberFormat="1" applyFont="1" applyFill="1" applyBorder="1" applyAlignment="1">
      <alignment horizontal="center"/>
    </xf>
    <xf numFmtId="168" fontId="6" fillId="0" borderId="76" xfId="0" applyNumberFormat="1" applyFont="1" applyFill="1" applyBorder="1" applyAlignment="1">
      <alignment horizontal="center"/>
    </xf>
    <xf numFmtId="168" fontId="6" fillId="0" borderId="67" xfId="0" applyNumberFormat="1" applyFont="1" applyFill="1" applyBorder="1" applyAlignment="1">
      <alignment horizontal="center" wrapText="1"/>
    </xf>
    <xf numFmtId="168" fontId="6" fillId="0" borderId="14" xfId="0" applyNumberFormat="1" applyFont="1" applyFill="1" applyBorder="1" applyAlignment="1">
      <alignment horizontal="center" wrapText="1"/>
    </xf>
    <xf numFmtId="168" fontId="6" fillId="0" borderId="78" xfId="0" applyNumberFormat="1" applyFont="1" applyFill="1" applyBorder="1" applyAlignment="1">
      <alignment horizontal="center" wrapText="1"/>
    </xf>
    <xf numFmtId="168" fontId="6" fillId="0" borderId="76" xfId="0" applyNumberFormat="1" applyFont="1" applyFill="1" applyBorder="1" applyAlignment="1">
      <alignment horizontal="center" wrapText="1"/>
    </xf>
    <xf numFmtId="168" fontId="25" fillId="0" borderId="0" xfId="0" applyNumberFormat="1" applyFont="1" applyFill="1"/>
    <xf numFmtId="0" fontId="6" fillId="0" borderId="16" xfId="0" applyFont="1" applyFill="1" applyBorder="1" applyAlignment="1">
      <alignment horizontal="center"/>
    </xf>
    <xf numFmtId="0" fontId="6" fillId="0" borderId="0" xfId="0" applyFont="1" applyFill="1" applyBorder="1"/>
    <xf numFmtId="0" fontId="6" fillId="0" borderId="4" xfId="0" applyFont="1" applyFill="1" applyBorder="1"/>
    <xf numFmtId="168" fontId="18" fillId="0" borderId="0" xfId="0" applyNumberFormat="1" applyFont="1" applyFill="1" applyBorder="1"/>
    <xf numFmtId="168" fontId="5" fillId="0" borderId="117" xfId="0" applyNumberFormat="1" applyFont="1" applyFill="1" applyBorder="1"/>
    <xf numFmtId="168" fontId="6" fillId="0" borderId="37" xfId="0" applyNumberFormat="1" applyFont="1" applyFill="1" applyBorder="1"/>
    <xf numFmtId="168" fontId="6" fillId="0" borderId="118" xfId="0" applyNumberFormat="1" applyFont="1" applyFill="1" applyBorder="1"/>
    <xf numFmtId="168" fontId="6" fillId="0" borderId="119" xfId="0" applyNumberFormat="1" applyFont="1" applyFill="1" applyBorder="1"/>
    <xf numFmtId="168" fontId="6" fillId="0" borderId="120" xfId="0" applyNumberFormat="1" applyFont="1" applyFill="1" applyBorder="1"/>
    <xf numFmtId="168" fontId="6" fillId="0" borderId="121" xfId="0" applyNumberFormat="1" applyFont="1" applyFill="1" applyBorder="1"/>
    <xf numFmtId="168" fontId="28" fillId="0" borderId="0" xfId="0" applyNumberFormat="1" applyFont="1" applyFill="1"/>
    <xf numFmtId="168" fontId="28" fillId="0" borderId="0" xfId="0" applyNumberFormat="1" applyFont="1" applyFill="1" applyBorder="1"/>
    <xf numFmtId="168" fontId="28" fillId="0" borderId="0" xfId="0" applyNumberFormat="1" applyFont="1" applyFill="1" applyBorder="1" applyAlignment="1"/>
    <xf numFmtId="168" fontId="27" fillId="0" borderId="0" xfId="0" applyNumberFormat="1" applyFont="1" applyFill="1" applyBorder="1"/>
    <xf numFmtId="168" fontId="27" fillId="0" borderId="3" xfId="0" applyNumberFormat="1" applyFont="1" applyFill="1" applyBorder="1"/>
    <xf numFmtId="0" fontId="28" fillId="0" borderId="3" xfId="0" applyNumberFormat="1" applyFont="1" applyFill="1" applyBorder="1" applyAlignment="1">
      <alignment horizontal="center"/>
    </xf>
    <xf numFmtId="168" fontId="27" fillId="0" borderId="3" xfId="0" applyNumberFormat="1" applyFont="1" applyFill="1" applyBorder="1" applyAlignment="1"/>
    <xf numFmtId="168" fontId="28" fillId="0" borderId="3" xfId="0" applyNumberFormat="1" applyFont="1" applyFill="1" applyBorder="1"/>
    <xf numFmtId="168" fontId="27" fillId="0" borderId="29" xfId="0" applyNumberFormat="1" applyFont="1" applyFill="1" applyBorder="1"/>
    <xf numFmtId="168" fontId="27" fillId="0" borderId="30" xfId="0" applyNumberFormat="1" applyFont="1" applyFill="1" applyBorder="1" applyAlignment="1"/>
    <xf numFmtId="168" fontId="27" fillId="0" borderId="11" xfId="0" applyNumberFormat="1" applyFont="1" applyFill="1" applyBorder="1"/>
    <xf numFmtId="0" fontId="28" fillId="0" borderId="11" xfId="0" applyNumberFormat="1" applyFont="1" applyFill="1" applyBorder="1" applyAlignment="1">
      <alignment horizontal="center"/>
    </xf>
    <xf numFmtId="168" fontId="27" fillId="0" borderId="11" xfId="0" applyNumberFormat="1" applyFont="1" applyFill="1" applyBorder="1" applyAlignment="1"/>
    <xf numFmtId="168" fontId="28" fillId="0" borderId="11" xfId="0" applyNumberFormat="1" applyFont="1" applyFill="1" applyBorder="1"/>
    <xf numFmtId="168" fontId="28" fillId="0" borderId="20" xfId="0" applyNumberFormat="1" applyFont="1" applyFill="1" applyBorder="1"/>
    <xf numFmtId="0" fontId="28" fillId="0" borderId="0" xfId="0" applyNumberFormat="1" applyFont="1" applyFill="1" applyBorder="1" applyAlignment="1">
      <alignment horizontal="center"/>
    </xf>
    <xf numFmtId="168" fontId="27" fillId="0" borderId="0" xfId="0" applyNumberFormat="1" applyFont="1" applyFill="1" applyBorder="1" applyAlignment="1">
      <alignment horizontal="left"/>
    </xf>
    <xf numFmtId="168" fontId="27" fillId="0" borderId="38" xfId="0" applyNumberFormat="1" applyFont="1" applyFill="1" applyBorder="1" applyAlignment="1"/>
    <xf numFmtId="168" fontId="28" fillId="0" borderId="0" xfId="0" applyNumberFormat="1" applyFont="1" applyFill="1" applyBorder="1" applyAlignment="1">
      <alignment horizontal="left"/>
    </xf>
    <xf numFmtId="168" fontId="28" fillId="0" borderId="3" xfId="0" applyNumberFormat="1" applyFont="1" applyFill="1" applyBorder="1" applyAlignment="1">
      <alignment horizontal="center"/>
    </xf>
    <xf numFmtId="168" fontId="28" fillId="0" borderId="3" xfId="0" applyNumberFormat="1" applyFont="1" applyFill="1" applyBorder="1" applyAlignment="1"/>
    <xf numFmtId="168" fontId="27" fillId="0" borderId="4" xfId="0" applyNumberFormat="1" applyFont="1" applyFill="1" applyBorder="1" applyAlignment="1"/>
    <xf numFmtId="168" fontId="5" fillId="0" borderId="7" xfId="0" applyNumberFormat="1" applyFont="1" applyFill="1" applyBorder="1"/>
    <xf numFmtId="3" fontId="0" fillId="0" borderId="0" xfId="0" applyNumberFormat="1" applyFill="1" applyAlignment="1">
      <alignment horizontal="right"/>
    </xf>
    <xf numFmtId="168" fontId="6" fillId="0" borderId="40" xfId="0" applyNumberFormat="1" applyFont="1" applyFill="1" applyBorder="1" applyAlignment="1">
      <alignment horizontal="center"/>
    </xf>
    <xf numFmtId="168" fontId="5" fillId="0" borderId="13" xfId="0" applyNumberFormat="1" applyFont="1" applyFill="1" applyBorder="1" applyAlignment="1">
      <alignment horizontal="right"/>
    </xf>
    <xf numFmtId="168" fontId="5" fillId="0" borderId="8" xfId="0" applyNumberFormat="1" applyFont="1" applyFill="1" applyBorder="1" applyAlignment="1">
      <alignment horizontal="right"/>
    </xf>
    <xf numFmtId="1" fontId="7" fillId="0" borderId="124" xfId="0" applyNumberFormat="1" applyFont="1" applyFill="1" applyBorder="1" applyAlignment="1">
      <alignment horizontal="left"/>
    </xf>
    <xf numFmtId="168" fontId="6" fillId="0" borderId="125" xfId="0" applyNumberFormat="1" applyFont="1" applyFill="1" applyBorder="1"/>
    <xf numFmtId="1" fontId="7" fillId="0" borderId="0" xfId="0" applyNumberFormat="1" applyFont="1" applyFill="1" applyBorder="1" applyAlignment="1">
      <alignment horizontal="left"/>
    </xf>
    <xf numFmtId="1" fontId="5" fillId="0" borderId="0" xfId="0" applyNumberFormat="1" applyFont="1" applyFill="1" applyBorder="1" applyAlignment="1"/>
    <xf numFmtId="1" fontId="6" fillId="0" borderId="90" xfId="0" applyNumberFormat="1" applyFont="1" applyFill="1" applyBorder="1" applyAlignment="1">
      <alignment horizontal="center"/>
    </xf>
    <xf numFmtId="168" fontId="7" fillId="0" borderId="124" xfId="0" applyNumberFormat="1" applyFont="1" applyFill="1" applyBorder="1" applyAlignment="1">
      <alignment horizontal="left"/>
    </xf>
    <xf numFmtId="168" fontId="7" fillId="0" borderId="3" xfId="0" applyNumberFormat="1" applyFont="1" applyFill="1" applyBorder="1" applyAlignment="1">
      <alignment horizontal="left"/>
    </xf>
    <xf numFmtId="1" fontId="6" fillId="0" borderId="124" xfId="0" applyNumberFormat="1" applyFont="1" applyFill="1" applyBorder="1" applyAlignment="1">
      <alignment horizontal="center"/>
    </xf>
    <xf numFmtId="168" fontId="7" fillId="0" borderId="94" xfId="0" applyNumberFormat="1" applyFont="1" applyFill="1" applyBorder="1" applyAlignment="1">
      <alignment horizontal="left"/>
    </xf>
    <xf numFmtId="168" fontId="6" fillId="0" borderId="126" xfId="0" applyNumberFormat="1" applyFont="1" applyFill="1" applyBorder="1"/>
    <xf numFmtId="168" fontId="6" fillId="0" borderId="90" xfId="0" applyNumberFormat="1" applyFont="1" applyFill="1" applyBorder="1" applyAlignment="1">
      <alignment horizontal="center"/>
    </xf>
    <xf numFmtId="168" fontId="7" fillId="0" borderId="0" xfId="0" applyNumberFormat="1" applyFont="1" applyFill="1" applyBorder="1" applyAlignment="1">
      <alignment horizontal="left"/>
    </xf>
    <xf numFmtId="0" fontId="6" fillId="0" borderId="90" xfId="0" applyNumberFormat="1" applyFont="1" applyFill="1" applyBorder="1" applyAlignment="1">
      <alignment horizontal="center"/>
    </xf>
    <xf numFmtId="168" fontId="7" fillId="0" borderId="11" xfId="0" applyNumberFormat="1" applyFont="1" applyFill="1" applyBorder="1" applyAlignment="1">
      <alignment horizontal="left"/>
    </xf>
    <xf numFmtId="0" fontId="6" fillId="0" borderId="124" xfId="0" applyNumberFormat="1" applyFont="1" applyFill="1" applyBorder="1" applyAlignment="1">
      <alignment horizontal="center"/>
    </xf>
    <xf numFmtId="0" fontId="5" fillId="0" borderId="0" xfId="0" applyNumberFormat="1" applyFont="1" applyFill="1"/>
    <xf numFmtId="0" fontId="5" fillId="0" borderId="4" xfId="0" applyFont="1" applyFill="1" applyBorder="1"/>
    <xf numFmtId="0" fontId="6" fillId="0" borderId="94" xfId="0" applyNumberFormat="1" applyFont="1" applyFill="1" applyBorder="1" applyAlignment="1">
      <alignment horizontal="center"/>
    </xf>
    <xf numFmtId="0" fontId="5" fillId="0" borderId="0" xfId="0" applyNumberFormat="1" applyFont="1" applyFill="1" applyBorder="1"/>
    <xf numFmtId="168" fontId="18" fillId="0" borderId="0" xfId="0" applyNumberFormat="1" applyFont="1" applyFill="1" applyBorder="1" applyAlignment="1">
      <alignment horizontal="center" vertical="center"/>
    </xf>
    <xf numFmtId="0" fontId="5" fillId="0" borderId="38" xfId="0" applyNumberFormat="1" applyFont="1" applyFill="1" applyBorder="1" applyAlignment="1">
      <alignment horizontal="center"/>
    </xf>
    <xf numFmtId="168" fontId="6" fillId="0" borderId="38" xfId="0" applyNumberFormat="1" applyFont="1" applyFill="1" applyBorder="1" applyAlignment="1">
      <alignment horizontal="left"/>
    </xf>
    <xf numFmtId="168" fontId="23" fillId="0" borderId="0" xfId="0" applyNumberFormat="1" applyFont="1" applyFill="1" applyBorder="1"/>
    <xf numFmtId="166" fontId="23" fillId="0" borderId="0" xfId="1" applyNumberFormat="1" applyFont="1" applyFill="1" applyBorder="1"/>
    <xf numFmtId="9" fontId="5" fillId="0" borderId="0" xfId="4" applyFont="1" applyFill="1"/>
    <xf numFmtId="168" fontId="6" fillId="0" borderId="124" xfId="0" applyNumberFormat="1" applyFont="1" applyFill="1" applyBorder="1" applyAlignment="1">
      <alignment horizontal="center"/>
    </xf>
    <xf numFmtId="168" fontId="6" fillId="0" borderId="16" xfId="0" quotePrefix="1" applyNumberFormat="1" applyFont="1" applyFill="1" applyBorder="1" applyAlignment="1">
      <alignment horizontal="center"/>
    </xf>
    <xf numFmtId="49" fontId="28" fillId="0" borderId="0" xfId="0" applyNumberFormat="1" applyFont="1" applyFill="1"/>
    <xf numFmtId="168" fontId="2" fillId="0" borderId="42" xfId="0" applyNumberFormat="1" applyFont="1" applyFill="1" applyBorder="1" applyAlignment="1">
      <alignment horizontal="center"/>
    </xf>
    <xf numFmtId="168" fontId="2" fillId="0" borderId="0" xfId="0" applyNumberFormat="1" applyFont="1" applyFill="1" applyBorder="1" applyAlignment="1">
      <alignment horizontal="center"/>
    </xf>
    <xf numFmtId="0" fontId="5" fillId="0" borderId="3" xfId="0" applyFont="1" applyFill="1" applyBorder="1"/>
    <xf numFmtId="168" fontId="5" fillId="0" borderId="129" xfId="0" applyNumberFormat="1" applyFont="1" applyFill="1" applyBorder="1"/>
    <xf numFmtId="168" fontId="6" fillId="0" borderId="61" xfId="0" applyNumberFormat="1" applyFont="1" applyFill="1" applyBorder="1" applyAlignment="1">
      <alignment horizontal="center" wrapText="1"/>
    </xf>
    <xf numFmtId="168" fontId="2" fillId="0" borderId="112" xfId="0" applyNumberFormat="1" applyFont="1" applyFill="1" applyBorder="1" applyAlignment="1">
      <alignment horizontal="center"/>
    </xf>
    <xf numFmtId="1" fontId="5" fillId="0" borderId="19" xfId="0" applyNumberFormat="1" applyFont="1" applyFill="1" applyBorder="1" applyAlignment="1">
      <alignment horizontal="center"/>
    </xf>
    <xf numFmtId="168" fontId="25" fillId="0" borderId="68" xfId="0" applyNumberFormat="1" applyFont="1" applyFill="1" applyBorder="1"/>
    <xf numFmtId="168" fontId="2" fillId="0" borderId="29" xfId="0" applyNumberFormat="1" applyFont="1" applyFill="1" applyBorder="1" applyAlignment="1">
      <alignment horizontal="center"/>
    </xf>
    <xf numFmtId="168" fontId="6" fillId="0" borderId="131" xfId="0" applyNumberFormat="1" applyFont="1" applyFill="1" applyBorder="1"/>
    <xf numFmtId="168" fontId="2" fillId="0" borderId="85" xfId="0" applyNumberFormat="1" applyFont="1" applyFill="1" applyBorder="1" applyAlignment="1">
      <alignment horizontal="center"/>
    </xf>
    <xf numFmtId="168" fontId="5" fillId="0" borderId="49" xfId="0" applyNumberFormat="1" applyFont="1" applyFill="1" applyBorder="1" applyAlignment="1">
      <alignment horizontal="right"/>
    </xf>
    <xf numFmtId="168" fontId="13" fillId="0" borderId="0" xfId="0" applyNumberFormat="1" applyFont="1" applyFill="1"/>
    <xf numFmtId="0" fontId="0" fillId="0" borderId="0" xfId="0" applyFill="1" applyBorder="1" applyAlignment="1">
      <alignment horizontal="left"/>
    </xf>
    <xf numFmtId="0" fontId="0" fillId="0" borderId="0" xfId="0" applyFill="1" applyAlignment="1">
      <alignment horizontal="left"/>
    </xf>
    <xf numFmtId="168" fontId="5" fillId="0" borderId="18" xfId="0" applyNumberFormat="1" applyFont="1" applyFill="1" applyBorder="1" applyAlignment="1">
      <alignment horizontal="right"/>
    </xf>
    <xf numFmtId="0" fontId="6" fillId="0" borderId="19" xfId="0" applyNumberFormat="1" applyFont="1" applyFill="1" applyBorder="1"/>
    <xf numFmtId="1" fontId="6" fillId="0" borderId="19" xfId="0" applyNumberFormat="1" applyFont="1" applyFill="1" applyBorder="1"/>
    <xf numFmtId="168" fontId="5" fillId="0" borderId="117" xfId="0" applyNumberFormat="1" applyFont="1" applyFill="1" applyBorder="1" applyAlignment="1">
      <alignment horizontal="center"/>
    </xf>
    <xf numFmtId="9" fontId="5" fillId="0" borderId="3" xfId="4" applyFont="1" applyFill="1" applyBorder="1" applyAlignment="1">
      <alignment horizontal="center"/>
    </xf>
    <xf numFmtId="9" fontId="5" fillId="0" borderId="3" xfId="4" applyFont="1" applyFill="1" applyBorder="1"/>
    <xf numFmtId="1" fontId="6" fillId="0" borderId="15" xfId="0" quotePrefix="1" applyNumberFormat="1" applyFont="1" applyFill="1" applyBorder="1" applyAlignment="1">
      <alignment horizontal="left"/>
    </xf>
    <xf numFmtId="168" fontId="2" fillId="0" borderId="49" xfId="0" applyNumberFormat="1" applyFont="1" applyFill="1" applyBorder="1" applyAlignment="1">
      <alignment horizontal="center"/>
    </xf>
    <xf numFmtId="168" fontId="2" fillId="0" borderId="98" xfId="0" applyNumberFormat="1" applyFont="1" applyFill="1" applyBorder="1"/>
    <xf numFmtId="168" fontId="6" fillId="0" borderId="100" xfId="0" applyNumberFormat="1" applyFont="1" applyFill="1" applyBorder="1" applyAlignment="1">
      <alignment horizontal="left"/>
    </xf>
    <xf numFmtId="168" fontId="5" fillId="0" borderId="100" xfId="0" applyNumberFormat="1" applyFont="1" applyFill="1" applyBorder="1" applyAlignment="1">
      <alignment horizontal="left"/>
    </xf>
    <xf numFmtId="168" fontId="6" fillId="0" borderId="109" xfId="0" applyNumberFormat="1" applyFont="1" applyFill="1" applyBorder="1" applyAlignment="1">
      <alignment horizontal="left"/>
    </xf>
    <xf numFmtId="168" fontId="12" fillId="0" borderId="100" xfId="0" applyNumberFormat="1" applyFont="1" applyFill="1" applyBorder="1" applyAlignment="1">
      <alignment horizontal="left"/>
    </xf>
    <xf numFmtId="168" fontId="14" fillId="0" borderId="100" xfId="0" applyNumberFormat="1" applyFont="1" applyFill="1" applyBorder="1" applyAlignment="1">
      <alignment horizontal="left"/>
    </xf>
    <xf numFmtId="168" fontId="6" fillId="0" borderId="102" xfId="0" applyNumberFormat="1" applyFont="1" applyFill="1" applyBorder="1" applyAlignment="1">
      <alignment horizontal="left"/>
    </xf>
    <xf numFmtId="168" fontId="2" fillId="0" borderId="100" xfId="0" applyNumberFormat="1" applyFont="1" applyFill="1" applyBorder="1"/>
    <xf numFmtId="38" fontId="5" fillId="0" borderId="11" xfId="0" applyNumberFormat="1" applyFont="1" applyFill="1" applyBorder="1"/>
    <xf numFmtId="168" fontId="5" fillId="0" borderId="135" xfId="0" applyNumberFormat="1" applyFont="1" applyFill="1" applyBorder="1"/>
    <xf numFmtId="168" fontId="5" fillId="0" borderId="100" xfId="0" quotePrefix="1" applyNumberFormat="1" applyFont="1" applyFill="1" applyBorder="1"/>
    <xf numFmtId="168" fontId="2" fillId="0" borderId="4" xfId="0" applyNumberFormat="1" applyFont="1" applyFill="1" applyBorder="1" applyAlignment="1">
      <alignment horizontal="left"/>
    </xf>
    <xf numFmtId="168" fontId="2" fillId="0" borderId="4" xfId="0" applyNumberFormat="1" applyFont="1" applyBorder="1" applyAlignment="1">
      <alignment horizontal="left"/>
    </xf>
    <xf numFmtId="0" fontId="6" fillId="0" borderId="3" xfId="0" applyFont="1" applyFill="1" applyBorder="1"/>
    <xf numFmtId="0" fontId="5" fillId="0" borderId="3" xfId="0" applyNumberFormat="1" applyFont="1" applyFill="1" applyBorder="1" applyAlignment="1">
      <alignment horizontal="left"/>
    </xf>
    <xf numFmtId="0" fontId="6" fillId="0" borderId="3" xfId="0" applyNumberFormat="1" applyFont="1" applyFill="1" applyBorder="1" applyAlignment="1">
      <alignment horizontal="left"/>
    </xf>
    <xf numFmtId="168" fontId="5" fillId="0" borderId="3" xfId="0" quotePrefix="1" applyNumberFormat="1" applyFont="1" applyFill="1" applyBorder="1" applyAlignment="1">
      <alignment horizontal="left"/>
    </xf>
    <xf numFmtId="168" fontId="25" fillId="0" borderId="117" xfId="0" applyNumberFormat="1" applyFont="1" applyFill="1" applyBorder="1" applyAlignment="1">
      <alignment horizontal="left"/>
    </xf>
    <xf numFmtId="0" fontId="5" fillId="0" borderId="11" xfId="0" applyNumberFormat="1" applyFont="1" applyFill="1" applyBorder="1" applyAlignment="1">
      <alignment horizontal="left"/>
    </xf>
    <xf numFmtId="168" fontId="29" fillId="0" borderId="3" xfId="0" applyNumberFormat="1" applyFont="1" applyFill="1" applyBorder="1" applyAlignment="1">
      <alignment horizontal="left"/>
    </xf>
    <xf numFmtId="168" fontId="5" fillId="0" borderId="117" xfId="0" applyNumberFormat="1" applyFont="1" applyFill="1" applyBorder="1" applyAlignment="1">
      <alignment horizontal="left"/>
    </xf>
    <xf numFmtId="168" fontId="5" fillId="0" borderId="28" xfId="0" applyNumberFormat="1" applyFont="1" applyFill="1" applyBorder="1" applyAlignment="1">
      <alignment horizontal="right"/>
    </xf>
    <xf numFmtId="168" fontId="6" fillId="0" borderId="23" xfId="0" applyNumberFormat="1" applyFont="1" applyFill="1" applyBorder="1" applyAlignment="1">
      <alignment horizontal="right"/>
    </xf>
    <xf numFmtId="168" fontId="6" fillId="0" borderId="28" xfId="0" applyNumberFormat="1" applyFont="1" applyFill="1" applyBorder="1" applyAlignment="1">
      <alignment horizontal="right"/>
    </xf>
    <xf numFmtId="168" fontId="6" fillId="0" borderId="28" xfId="0" applyNumberFormat="1" applyFont="1" applyFill="1" applyBorder="1" applyAlignment="1">
      <alignment horizontal="center"/>
    </xf>
    <xf numFmtId="168" fontId="6" fillId="0" borderId="26" xfId="0" applyNumberFormat="1" applyFont="1" applyFill="1" applyBorder="1" applyAlignment="1">
      <alignment horizontal="center"/>
    </xf>
    <xf numFmtId="168" fontId="6" fillId="0" borderId="97" xfId="0" applyNumberFormat="1" applyFont="1" applyFill="1" applyBorder="1"/>
    <xf numFmtId="170" fontId="5" fillId="0" borderId="3" xfId="0" applyNumberFormat="1" applyFont="1" applyFill="1" applyBorder="1"/>
    <xf numFmtId="38" fontId="5" fillId="0" borderId="3" xfId="1" applyNumberFormat="1" applyFont="1" applyFill="1" applyBorder="1"/>
    <xf numFmtId="38" fontId="5" fillId="0" borderId="42" xfId="1" applyNumberFormat="1" applyFont="1" applyFill="1" applyBorder="1"/>
    <xf numFmtId="38" fontId="5" fillId="0" borderId="4" xfId="1" applyNumberFormat="1" applyFont="1" applyFill="1" applyBorder="1"/>
    <xf numFmtId="38" fontId="5" fillId="0" borderId="8" xfId="1" applyNumberFormat="1" applyFont="1" applyFill="1" applyBorder="1"/>
    <xf numFmtId="38" fontId="5" fillId="0" borderId="0" xfId="1" applyNumberFormat="1" applyFont="1" applyFill="1" applyBorder="1"/>
    <xf numFmtId="38" fontId="5" fillId="0" borderId="7" xfId="1" applyNumberFormat="1" applyFont="1" applyFill="1" applyBorder="1"/>
    <xf numFmtId="0" fontId="6" fillId="0" borderId="4" xfId="0" applyFont="1" applyFill="1" applyBorder="1" applyAlignment="1">
      <alignment horizontal="center"/>
    </xf>
    <xf numFmtId="0" fontId="6" fillId="0" borderId="49" xfId="0" applyFont="1" applyFill="1" applyBorder="1" applyAlignment="1">
      <alignment horizontal="center"/>
    </xf>
    <xf numFmtId="0" fontId="6" fillId="0" borderId="30" xfId="0" applyFont="1" applyFill="1" applyBorder="1" applyAlignment="1">
      <alignment horizontal="center"/>
    </xf>
    <xf numFmtId="168" fontId="14" fillId="0" borderId="49" xfId="0" applyNumberFormat="1" applyFont="1" applyFill="1" applyBorder="1"/>
    <xf numFmtId="168" fontId="6" fillId="0" borderId="28" xfId="0" applyNumberFormat="1" applyFont="1" applyFill="1" applyBorder="1" applyAlignment="1">
      <alignment horizontal="left"/>
    </xf>
    <xf numFmtId="168" fontId="5" fillId="0" borderId="28" xfId="0" applyNumberFormat="1" applyFont="1" applyFill="1" applyBorder="1" applyAlignment="1">
      <alignment horizontal="left"/>
    </xf>
    <xf numFmtId="38" fontId="5" fillId="0" borderId="11" xfId="1" applyNumberFormat="1" applyFont="1" applyFill="1" applyBorder="1"/>
    <xf numFmtId="38" fontId="5" fillId="0" borderId="140" xfId="1" applyNumberFormat="1" applyFont="1" applyFill="1" applyBorder="1"/>
    <xf numFmtId="38" fontId="5" fillId="0" borderId="77" xfId="1" applyNumberFormat="1" applyFont="1" applyFill="1" applyBorder="1"/>
    <xf numFmtId="38" fontId="5" fillId="0" borderId="5" xfId="1" applyNumberFormat="1" applyFont="1" applyFill="1" applyBorder="1"/>
    <xf numFmtId="38" fontId="5" fillId="0" borderId="134" xfId="1" applyNumberFormat="1" applyFont="1" applyFill="1" applyBorder="1"/>
    <xf numFmtId="168" fontId="31" fillId="0" borderId="0" xfId="0" applyNumberFormat="1" applyFont="1" applyFill="1" applyBorder="1" applyAlignment="1">
      <alignment horizontal="left"/>
    </xf>
    <xf numFmtId="0" fontId="5" fillId="0" borderId="22" xfId="0" applyNumberFormat="1" applyFont="1" applyFill="1" applyBorder="1" applyAlignment="1">
      <alignment horizontal="center"/>
    </xf>
    <xf numFmtId="168" fontId="6" fillId="0" borderId="22" xfId="0" applyNumberFormat="1" applyFont="1" applyFill="1" applyBorder="1" applyAlignment="1">
      <alignment horizontal="left"/>
    </xf>
    <xf numFmtId="0" fontId="0" fillId="0" borderId="129" xfId="0" applyBorder="1"/>
    <xf numFmtId="168" fontId="6" fillId="0" borderId="93" xfId="0" applyNumberFormat="1" applyFont="1" applyFill="1" applyBorder="1" applyAlignment="1">
      <alignment horizontal="left"/>
    </xf>
    <xf numFmtId="168" fontId="5" fillId="0" borderId="115" xfId="0" applyNumberFormat="1" applyFont="1" applyFill="1" applyBorder="1"/>
    <xf numFmtId="168" fontId="5" fillId="0" borderId="117" xfId="0" applyNumberFormat="1" applyFont="1" applyFill="1" applyBorder="1" applyAlignment="1"/>
    <xf numFmtId="168" fontId="5" fillId="0" borderId="115" xfId="0" applyNumberFormat="1" applyFont="1" applyFill="1" applyBorder="1" applyAlignment="1">
      <alignment horizontal="center"/>
    </xf>
    <xf numFmtId="168" fontId="5" fillId="0" borderId="115" xfId="0" applyNumberFormat="1" applyFont="1" applyFill="1" applyBorder="1" applyAlignment="1"/>
    <xf numFmtId="168" fontId="6" fillId="0" borderId="26" xfId="0" applyNumberFormat="1" applyFont="1" applyFill="1" applyBorder="1"/>
    <xf numFmtId="166" fontId="5" fillId="0" borderId="4" xfId="1" applyNumberFormat="1" applyFont="1" applyFill="1" applyBorder="1" applyAlignment="1"/>
    <xf numFmtId="168" fontId="5" fillId="0" borderId="4" xfId="0" applyNumberFormat="1" applyFont="1" applyBorder="1" applyAlignment="1">
      <alignment horizontal="center"/>
    </xf>
    <xf numFmtId="168" fontId="6" fillId="0" borderId="90" xfId="0" applyNumberFormat="1" applyFont="1" applyFill="1" applyBorder="1" applyAlignment="1">
      <alignment horizontal="right"/>
    </xf>
    <xf numFmtId="168" fontId="6" fillId="0" borderId="27" xfId="0" quotePrefix="1" applyNumberFormat="1" applyFont="1" applyFill="1" applyBorder="1" applyAlignment="1">
      <alignment horizontal="center"/>
    </xf>
    <xf numFmtId="14" fontId="5" fillId="0" borderId="5" xfId="0" applyNumberFormat="1" applyFont="1" applyFill="1" applyBorder="1" applyAlignment="1">
      <alignment horizontal="center"/>
    </xf>
    <xf numFmtId="9" fontId="6" fillId="0" borderId="0" xfId="4" applyFont="1" applyFill="1" applyBorder="1"/>
    <xf numFmtId="168" fontId="5" fillId="3" borderId="3" xfId="0" applyNumberFormat="1" applyFont="1" applyFill="1" applyBorder="1"/>
    <xf numFmtId="175" fontId="5" fillId="0" borderId="0" xfId="0" applyNumberFormat="1" applyFont="1" applyFill="1" applyBorder="1" applyAlignment="1">
      <alignment horizontal="center"/>
    </xf>
    <xf numFmtId="175" fontId="5" fillId="0" borderId="3" xfId="0" applyNumberFormat="1" applyFont="1" applyFill="1" applyBorder="1" applyAlignment="1">
      <alignment horizontal="center"/>
    </xf>
    <xf numFmtId="175" fontId="5" fillId="0" borderId="6" xfId="0" applyNumberFormat="1" applyFont="1" applyFill="1" applyBorder="1"/>
    <xf numFmtId="175" fontId="6" fillId="0" borderId="0" xfId="0" applyNumberFormat="1" applyFont="1" applyFill="1" applyBorder="1"/>
    <xf numFmtId="175" fontId="7" fillId="0" borderId="0" xfId="0" applyNumberFormat="1" applyFont="1" applyFill="1" applyBorder="1"/>
    <xf numFmtId="175" fontId="5" fillId="0" borderId="0" xfId="0" applyNumberFormat="1" applyFont="1" applyFill="1" applyBorder="1"/>
    <xf numFmtId="175" fontId="6" fillId="0" borderId="0" xfId="0" quotePrefix="1" applyNumberFormat="1" applyFont="1" applyFill="1" applyBorder="1" applyAlignment="1">
      <alignment horizontal="left"/>
    </xf>
    <xf numFmtId="175" fontId="5" fillId="0" borderId="0" xfId="0" applyNumberFormat="1" applyFont="1" applyFill="1" applyBorder="1" applyAlignment="1">
      <alignment horizontal="left"/>
    </xf>
    <xf numFmtId="175" fontId="25" fillId="0" borderId="0" xfId="0" applyNumberFormat="1" applyFont="1" applyFill="1" applyBorder="1" applyAlignment="1">
      <alignment horizontal="left"/>
    </xf>
    <xf numFmtId="175" fontId="7" fillId="0" borderId="124" xfId="0" applyNumberFormat="1" applyFont="1" applyFill="1" applyBorder="1" applyAlignment="1">
      <alignment horizontal="left"/>
    </xf>
    <xf numFmtId="175" fontId="6" fillId="0" borderId="5" xfId="0" applyNumberFormat="1" applyFont="1" applyFill="1" applyBorder="1" applyAlignment="1">
      <alignment horizontal="left"/>
    </xf>
    <xf numFmtId="175" fontId="6" fillId="0" borderId="38" xfId="0" applyNumberFormat="1" applyFont="1" applyFill="1" applyBorder="1"/>
    <xf numFmtId="175" fontId="7" fillId="0" borderId="0" xfId="0" applyNumberFormat="1" applyFont="1" applyFill="1" applyBorder="1" applyAlignment="1">
      <alignment horizontal="left"/>
    </xf>
    <xf numFmtId="175" fontId="6" fillId="0" borderId="0" xfId="0" applyNumberFormat="1" applyFont="1" applyFill="1" applyBorder="1" applyAlignment="1">
      <alignment horizontal="left"/>
    </xf>
    <xf numFmtId="175" fontId="5" fillId="0" borderId="0" xfId="0" applyNumberFormat="1" applyFont="1" applyFill="1" applyBorder="1" applyAlignment="1"/>
    <xf numFmtId="175" fontId="5" fillId="0" borderId="4" xfId="0" applyNumberFormat="1" applyFont="1" applyFill="1" applyBorder="1" applyAlignment="1">
      <alignment horizontal="center"/>
    </xf>
    <xf numFmtId="175" fontId="6" fillId="0" borderId="4" xfId="0" applyNumberFormat="1" applyFont="1" applyFill="1" applyBorder="1" applyAlignment="1">
      <alignment horizontal="center"/>
    </xf>
    <xf numFmtId="175" fontId="6" fillId="0" borderId="90" xfId="0" applyNumberFormat="1" applyFont="1" applyFill="1" applyBorder="1" applyAlignment="1">
      <alignment horizontal="center"/>
    </xf>
    <xf numFmtId="175" fontId="5" fillId="0" borderId="19" xfId="0" applyNumberFormat="1" applyFont="1" applyFill="1" applyBorder="1" applyAlignment="1">
      <alignment horizontal="center"/>
    </xf>
    <xf numFmtId="175" fontId="5" fillId="0" borderId="38" xfId="0" applyNumberFormat="1" applyFont="1" applyFill="1" applyBorder="1" applyAlignment="1">
      <alignment horizontal="center"/>
    </xf>
    <xf numFmtId="175" fontId="6" fillId="0" borderId="124" xfId="0" applyNumberFormat="1" applyFont="1" applyFill="1" applyBorder="1" applyAlignment="1">
      <alignment horizontal="center"/>
    </xf>
    <xf numFmtId="175" fontId="6" fillId="0" borderId="11" xfId="0" applyNumberFormat="1" applyFont="1" applyFill="1" applyBorder="1"/>
    <xf numFmtId="175" fontId="5" fillId="0" borderId="0" xfId="0" applyNumberFormat="1" applyFont="1" applyFill="1"/>
    <xf numFmtId="175" fontId="5" fillId="0" borderId="11" xfId="0" applyNumberFormat="1" applyFont="1" applyFill="1" applyBorder="1" applyAlignment="1">
      <alignment horizontal="center"/>
    </xf>
    <xf numFmtId="175" fontId="6" fillId="0" borderId="19" xfId="0" applyNumberFormat="1" applyFont="1" applyFill="1" applyBorder="1"/>
    <xf numFmtId="175" fontId="6" fillId="0" borderId="0" xfId="0" applyNumberFormat="1" applyFont="1" applyFill="1" applyBorder="1" applyAlignment="1">
      <alignment horizontal="center"/>
    </xf>
    <xf numFmtId="175" fontId="5" fillId="0" borderId="21" xfId="0" applyNumberFormat="1" applyFont="1" applyFill="1" applyBorder="1" applyAlignment="1">
      <alignment horizontal="center"/>
    </xf>
    <xf numFmtId="175" fontId="5" fillId="0" borderId="0" xfId="0" applyNumberFormat="1" applyFont="1" applyFill="1" applyAlignment="1">
      <alignment horizontal="center"/>
    </xf>
    <xf numFmtId="175" fontId="5" fillId="0" borderId="15" xfId="0" applyNumberFormat="1" applyFont="1" applyFill="1" applyBorder="1" applyAlignment="1">
      <alignment horizontal="center"/>
    </xf>
    <xf numFmtId="175" fontId="6" fillId="0" borderId="18" xfId="0" quotePrefix="1" applyNumberFormat="1" applyFont="1" applyFill="1" applyBorder="1" applyAlignment="1">
      <alignment horizontal="center"/>
    </xf>
    <xf numFmtId="175" fontId="6" fillId="0" borderId="3" xfId="0" applyNumberFormat="1" applyFont="1" applyFill="1" applyBorder="1" applyAlignment="1">
      <alignment horizontal="center"/>
    </xf>
    <xf numFmtId="168" fontId="2" fillId="0" borderId="18" xfId="0" applyNumberFormat="1" applyFont="1" applyFill="1" applyBorder="1" applyAlignment="1">
      <alignment horizontal="center"/>
    </xf>
    <xf numFmtId="168" fontId="5" fillId="3" borderId="3" xfId="0" applyNumberFormat="1" applyFont="1" applyFill="1" applyBorder="1" applyAlignment="1">
      <alignment horizontal="right"/>
    </xf>
    <xf numFmtId="168" fontId="2" fillId="0" borderId="28" xfId="0" applyNumberFormat="1" applyFont="1" applyFill="1" applyBorder="1" applyAlignment="1">
      <alignment horizontal="center"/>
    </xf>
    <xf numFmtId="168" fontId="2" fillId="0" borderId="0" xfId="0" applyNumberFormat="1" applyFont="1" applyFill="1" applyBorder="1" applyAlignment="1">
      <alignment horizontal="right"/>
    </xf>
    <xf numFmtId="168" fontId="2" fillId="0" borderId="17" xfId="0" applyNumberFormat="1" applyFont="1" applyFill="1" applyBorder="1" applyAlignment="1">
      <alignment horizontal="right"/>
    </xf>
    <xf numFmtId="168" fontId="6" fillId="0" borderId="59" xfId="0" applyNumberFormat="1" applyFont="1" applyFill="1" applyBorder="1" applyAlignment="1">
      <alignment horizontal="right"/>
    </xf>
    <xf numFmtId="168" fontId="5" fillId="3" borderId="4" xfId="0" applyNumberFormat="1" applyFont="1" applyFill="1" applyBorder="1" applyAlignment="1">
      <alignment horizontal="right"/>
    </xf>
    <xf numFmtId="168" fontId="6" fillId="0" borderId="59" xfId="0" applyNumberFormat="1" applyFont="1" applyFill="1" applyBorder="1"/>
    <xf numFmtId="168" fontId="5" fillId="0" borderId="132" xfId="0" applyNumberFormat="1" applyFont="1" applyFill="1" applyBorder="1"/>
    <xf numFmtId="168" fontId="5" fillId="0" borderId="69" xfId="0" applyNumberFormat="1" applyFont="1" applyFill="1" applyBorder="1" applyAlignment="1">
      <alignment horizontal="right"/>
    </xf>
    <xf numFmtId="38" fontId="5" fillId="0" borderId="19" xfId="0" applyNumberFormat="1" applyFont="1" applyFill="1" applyBorder="1"/>
    <xf numFmtId="0" fontId="6" fillId="0" borderId="61" xfId="0" quotePrefix="1" applyFont="1" applyFill="1" applyBorder="1" applyAlignment="1">
      <alignment horizontal="center"/>
    </xf>
    <xf numFmtId="168" fontId="6" fillId="0" borderId="124" xfId="0" applyNumberFormat="1" applyFont="1" applyFill="1" applyBorder="1"/>
    <xf numFmtId="0" fontId="5" fillId="0" borderId="18" xfId="0" applyNumberFormat="1" applyFont="1" applyFill="1" applyBorder="1" applyAlignment="1">
      <alignment horizontal="center"/>
    </xf>
    <xf numFmtId="168" fontId="6" fillId="0" borderId="18" xfId="0" applyNumberFormat="1" applyFont="1" applyFill="1" applyBorder="1" applyAlignment="1">
      <alignment horizontal="left"/>
    </xf>
    <xf numFmtId="168" fontId="6" fillId="0" borderId="32" xfId="0" applyNumberFormat="1" applyFont="1" applyFill="1" applyBorder="1" applyAlignment="1">
      <alignment horizontal="right"/>
    </xf>
    <xf numFmtId="168" fontId="6" fillId="0" borderId="127" xfId="0" applyNumberFormat="1" applyFont="1" applyFill="1" applyBorder="1"/>
    <xf numFmtId="168" fontId="5" fillId="0" borderId="28" xfId="0" applyNumberFormat="1" applyFont="1" applyFill="1" applyBorder="1" applyProtection="1"/>
    <xf numFmtId="172" fontId="5" fillId="0" borderId="28" xfId="0" applyNumberFormat="1" applyFont="1" applyFill="1" applyBorder="1"/>
    <xf numFmtId="170" fontId="5" fillId="0" borderId="28" xfId="0" applyNumberFormat="1" applyFont="1" applyFill="1" applyBorder="1"/>
    <xf numFmtId="9" fontId="6" fillId="0" borderId="32" xfId="4" applyFont="1" applyFill="1" applyBorder="1"/>
    <xf numFmtId="49" fontId="5" fillId="0" borderId="15" xfId="0" applyNumberFormat="1" applyFont="1" applyFill="1" applyBorder="1" applyAlignment="1">
      <alignment horizontal="center"/>
    </xf>
    <xf numFmtId="168" fontId="7" fillId="0" borderId="3" xfId="0" applyNumberFormat="1" applyFont="1" applyFill="1" applyBorder="1" applyAlignment="1">
      <alignment horizontal="center"/>
    </xf>
    <xf numFmtId="168" fontId="2" fillId="0" borderId="142" xfId="0" applyNumberFormat="1" applyFont="1" applyFill="1" applyBorder="1"/>
    <xf numFmtId="168" fontId="6" fillId="0" borderId="143" xfId="0" applyNumberFormat="1" applyFont="1" applyFill="1" applyBorder="1"/>
    <xf numFmtId="168" fontId="6" fillId="0" borderId="144" xfId="0" applyNumberFormat="1" applyFont="1" applyFill="1" applyBorder="1"/>
    <xf numFmtId="168" fontId="6" fillId="0" borderId="145" xfId="0" applyNumberFormat="1" applyFont="1" applyFill="1" applyBorder="1"/>
    <xf numFmtId="168" fontId="6" fillId="0" borderId="146" xfId="0" applyNumberFormat="1" applyFont="1" applyFill="1" applyBorder="1"/>
    <xf numFmtId="168" fontId="6" fillId="0" borderId="147" xfId="0" applyNumberFormat="1" applyFont="1" applyFill="1" applyBorder="1"/>
    <xf numFmtId="168" fontId="6" fillId="0" borderId="28" xfId="0" quotePrefix="1" applyNumberFormat="1" applyFont="1" applyFill="1" applyBorder="1" applyAlignment="1">
      <alignment horizontal="center"/>
    </xf>
    <xf numFmtId="168" fontId="6" fillId="0" borderId="94" xfId="0" applyNumberFormat="1" applyFont="1" applyFill="1" applyBorder="1" applyAlignment="1"/>
    <xf numFmtId="168" fontId="5" fillId="0" borderId="11" xfId="0" applyNumberFormat="1" applyFont="1" applyFill="1" applyBorder="1" applyAlignment="1"/>
    <xf numFmtId="168" fontId="6" fillId="0" borderId="40" xfId="0" applyNumberFormat="1" applyFont="1" applyFill="1" applyBorder="1" applyAlignment="1"/>
    <xf numFmtId="49" fontId="6" fillId="0" borderId="98" xfId="0" applyNumberFormat="1" applyFont="1" applyFill="1" applyBorder="1" applyAlignment="1">
      <alignment horizontal="left"/>
    </xf>
    <xf numFmtId="0" fontId="6" fillId="0" borderId="100" xfId="0" applyFont="1" applyFill="1" applyBorder="1"/>
    <xf numFmtId="0" fontId="6" fillId="0" borderId="100" xfId="0" applyFont="1" applyFill="1" applyBorder="1" applyAlignment="1">
      <alignment horizontal="left" vertical="center"/>
    </xf>
    <xf numFmtId="0" fontId="6" fillId="0" borderId="150" xfId="0" applyFont="1" applyFill="1" applyBorder="1" applyAlignment="1">
      <alignment wrapText="1"/>
    </xf>
    <xf numFmtId="0" fontId="5" fillId="0" borderId="151" xfId="0" applyFont="1" applyFill="1" applyBorder="1"/>
    <xf numFmtId="9" fontId="5" fillId="0" borderId="4" xfId="4" applyFont="1" applyFill="1" applyBorder="1" applyAlignment="1"/>
    <xf numFmtId="9" fontId="5" fillId="0" borderId="0" xfId="4" applyFont="1" applyFill="1" applyBorder="1"/>
    <xf numFmtId="168" fontId="5" fillId="0" borderId="116" xfId="0" applyNumberFormat="1" applyFont="1" applyFill="1" applyBorder="1"/>
    <xf numFmtId="168" fontId="25" fillId="0" borderId="3" xfId="0" applyNumberFormat="1" applyFont="1" applyFill="1" applyBorder="1"/>
    <xf numFmtId="168" fontId="6" fillId="0" borderId="52" xfId="0" quotePrefix="1" applyNumberFormat="1" applyFont="1" applyFill="1" applyBorder="1" applyAlignment="1">
      <alignment horizontal="center"/>
    </xf>
    <xf numFmtId="0" fontId="2" fillId="0" borderId="0" xfId="0" applyFont="1" applyFill="1" applyBorder="1"/>
    <xf numFmtId="168" fontId="6" fillId="0" borderId="152" xfId="0" applyNumberFormat="1" applyFont="1" applyFill="1" applyBorder="1"/>
    <xf numFmtId="168" fontId="6" fillId="0" borderId="34" xfId="0" applyNumberFormat="1" applyFont="1" applyFill="1" applyBorder="1"/>
    <xf numFmtId="168" fontId="6" fillId="0" borderId="86" xfId="0" applyNumberFormat="1" applyFont="1" applyFill="1" applyBorder="1"/>
    <xf numFmtId="168" fontId="5" fillId="0" borderId="155" xfId="0" applyNumberFormat="1" applyFont="1" applyFill="1" applyBorder="1"/>
    <xf numFmtId="3" fontId="0" fillId="0" borderId="3" xfId="0" applyNumberFormat="1" applyFill="1" applyBorder="1"/>
    <xf numFmtId="3" fontId="0" fillId="0" borderId="4" xfId="0" applyNumberFormat="1" applyFill="1" applyBorder="1" applyAlignment="1">
      <alignment horizontal="right"/>
    </xf>
    <xf numFmtId="3" fontId="0" fillId="0" borderId="4" xfId="0" applyNumberFormat="1" applyFill="1" applyBorder="1"/>
    <xf numFmtId="3" fontId="0" fillId="0" borderId="4" xfId="0" applyNumberFormat="1" applyFill="1" applyBorder="1" applyAlignment="1"/>
    <xf numFmtId="3" fontId="0" fillId="0" borderId="117" xfId="0" applyNumberFormat="1" applyFill="1" applyBorder="1" applyAlignment="1">
      <alignment horizontal="right"/>
    </xf>
    <xf numFmtId="3" fontId="0" fillId="0" borderId="115" xfId="0" applyNumberFormat="1" applyFill="1" applyBorder="1" applyAlignment="1">
      <alignment horizontal="right"/>
    </xf>
    <xf numFmtId="0" fontId="0" fillId="0" borderId="4" xfId="0" applyFill="1" applyBorder="1" applyAlignment="1">
      <alignment horizontal="left"/>
    </xf>
    <xf numFmtId="168" fontId="6" fillId="0" borderId="28" xfId="0" applyNumberFormat="1" applyFont="1" applyBorder="1"/>
    <xf numFmtId="0" fontId="33" fillId="0" borderId="3" xfId="0" applyFont="1" applyFill="1" applyBorder="1" applyAlignment="1">
      <alignment horizontal="right"/>
    </xf>
    <xf numFmtId="3" fontId="33" fillId="0" borderId="3" xfId="0" applyNumberFormat="1" applyFont="1" applyFill="1" applyBorder="1" applyAlignment="1">
      <alignment horizontal="right"/>
    </xf>
    <xf numFmtId="3" fontId="4" fillId="0" borderId="3" xfId="0" applyNumberFormat="1" applyFont="1" applyFill="1" applyBorder="1" applyAlignment="1">
      <alignment horizontal="right"/>
    </xf>
    <xf numFmtId="0" fontId="4" fillId="0" borderId="0" xfId="0" applyFont="1"/>
    <xf numFmtId="0" fontId="4" fillId="0" borderId="28" xfId="0" applyFont="1" applyFill="1" applyBorder="1"/>
    <xf numFmtId="3" fontId="10" fillId="0" borderId="69" xfId="0" applyNumberFormat="1" applyFont="1" applyFill="1" applyBorder="1" applyAlignment="1">
      <alignment horizontal="right"/>
    </xf>
    <xf numFmtId="0" fontId="35" fillId="0" borderId="3" xfId="0" applyFont="1" applyFill="1" applyBorder="1" applyAlignment="1">
      <alignment horizontal="right"/>
    </xf>
    <xf numFmtId="3" fontId="6" fillId="0" borderId="69" xfId="0" applyNumberFormat="1" applyFont="1" applyFill="1" applyBorder="1" applyAlignment="1">
      <alignment horizontal="right"/>
    </xf>
    <xf numFmtId="10" fontId="6" fillId="0" borderId="3" xfId="0" applyNumberFormat="1" applyFont="1" applyFill="1" applyBorder="1" applyAlignment="1">
      <alignment horizontal="center"/>
    </xf>
    <xf numFmtId="0" fontId="6" fillId="0" borderId="28" xfId="0" applyFont="1" applyFill="1" applyBorder="1"/>
    <xf numFmtId="3" fontId="2" fillId="0" borderId="61" xfId="0" applyNumberFormat="1" applyFont="1" applyFill="1" applyBorder="1" applyAlignment="1">
      <alignment horizontal="center"/>
    </xf>
    <xf numFmtId="1" fontId="6" fillId="0" borderId="124" xfId="0" applyNumberFormat="1" applyFont="1" applyFill="1" applyBorder="1" applyAlignment="1">
      <alignment horizontal="left"/>
    </xf>
    <xf numFmtId="168" fontId="6" fillId="0" borderId="49" xfId="0" applyNumberFormat="1" applyFont="1" applyFill="1" applyBorder="1" applyAlignment="1">
      <alignment horizontal="center"/>
    </xf>
    <xf numFmtId="168" fontId="6" fillId="0" borderId="4" xfId="0" applyNumberFormat="1" applyFont="1" applyFill="1" applyBorder="1" applyAlignment="1">
      <alignment horizontal="center" wrapText="1"/>
    </xf>
    <xf numFmtId="168" fontId="6" fillId="0" borderId="0" xfId="0" applyNumberFormat="1" applyFont="1" applyFill="1" applyBorder="1" applyAlignment="1">
      <alignment horizontal="center" wrapText="1"/>
    </xf>
    <xf numFmtId="168" fontId="6" fillId="0" borderId="42" xfId="0" applyNumberFormat="1" applyFont="1" applyFill="1" applyBorder="1" applyAlignment="1">
      <alignment horizontal="center" wrapText="1"/>
    </xf>
    <xf numFmtId="168" fontId="6" fillId="0" borderId="3" xfId="0" applyNumberFormat="1" applyFont="1" applyFill="1" applyBorder="1" applyAlignment="1">
      <alignment horizontal="center" wrapText="1"/>
    </xf>
    <xf numFmtId="168" fontId="6" fillId="0" borderId="13" xfId="0" applyNumberFormat="1" applyFont="1" applyFill="1" applyBorder="1" applyAlignment="1">
      <alignment horizontal="center" wrapText="1"/>
    </xf>
    <xf numFmtId="0" fontId="2" fillId="0" borderId="0" xfId="0" applyFont="1" applyFill="1"/>
    <xf numFmtId="0" fontId="6" fillId="0" borderId="34" xfId="0" applyNumberFormat="1" applyFont="1" applyFill="1" applyBorder="1"/>
    <xf numFmtId="0" fontId="4" fillId="0" borderId="34" xfId="0" applyNumberFormat="1" applyFont="1" applyFill="1" applyBorder="1"/>
    <xf numFmtId="0" fontId="5" fillId="0" borderId="34" xfId="0" applyNumberFormat="1" applyFont="1" applyFill="1" applyBorder="1"/>
    <xf numFmtId="49" fontId="4" fillId="0" borderId="4" xfId="0" applyNumberFormat="1" applyFont="1" applyFill="1" applyBorder="1" applyAlignment="1">
      <alignment horizontal="center"/>
    </xf>
    <xf numFmtId="49" fontId="4" fillId="0" borderId="3" xfId="0" applyNumberFormat="1" applyFont="1" applyFill="1" applyBorder="1" applyAlignment="1">
      <alignment horizontal="center"/>
    </xf>
    <xf numFmtId="168" fontId="6" fillId="0" borderId="136" xfId="0" applyNumberFormat="1" applyFont="1" applyFill="1" applyBorder="1" applyAlignment="1">
      <alignment horizontal="center"/>
    </xf>
    <xf numFmtId="168" fontId="6" fillId="0" borderId="48" xfId="0" applyNumberFormat="1" applyFont="1" applyFill="1" applyBorder="1" applyAlignment="1">
      <alignment horizontal="center"/>
    </xf>
    <xf numFmtId="168" fontId="4" fillId="0" borderId="34" xfId="0" applyNumberFormat="1" applyFont="1" applyFill="1" applyBorder="1"/>
    <xf numFmtId="168" fontId="4" fillId="0" borderId="42" xfId="0" applyNumberFormat="1" applyFont="1" applyFill="1" applyBorder="1"/>
    <xf numFmtId="168" fontId="4" fillId="0" borderId="34" xfId="0" applyNumberFormat="1" applyFont="1" applyFill="1" applyBorder="1" applyAlignment="1">
      <alignment horizontal="center"/>
    </xf>
    <xf numFmtId="168" fontId="4" fillId="0" borderId="3" xfId="0" applyNumberFormat="1" applyFont="1" applyFill="1" applyBorder="1" applyAlignment="1">
      <alignment horizontal="center"/>
    </xf>
    <xf numFmtId="9" fontId="4" fillId="0" borderId="3" xfId="4" applyFont="1" applyFill="1" applyBorder="1" applyAlignment="1">
      <alignment horizontal="center"/>
    </xf>
    <xf numFmtId="168" fontId="4" fillId="0" borderId="42" xfId="0" applyNumberFormat="1" applyFont="1" applyFill="1" applyBorder="1" applyAlignment="1">
      <alignment horizontal="center"/>
    </xf>
    <xf numFmtId="168" fontId="4" fillId="0" borderId="8" xfId="0" applyNumberFormat="1" applyFont="1" applyFill="1" applyBorder="1"/>
    <xf numFmtId="168" fontId="4" fillId="0" borderId="43" xfId="0" applyNumberFormat="1" applyFont="1" applyFill="1" applyBorder="1"/>
    <xf numFmtId="9" fontId="6" fillId="0" borderId="40" xfId="4" applyFont="1" applyFill="1" applyBorder="1" applyAlignment="1">
      <alignment horizontal="center"/>
    </xf>
    <xf numFmtId="168" fontId="6" fillId="0" borderId="41" xfId="0" applyNumberFormat="1" applyFont="1" applyFill="1" applyBorder="1" applyAlignment="1">
      <alignment horizontal="center"/>
    </xf>
    <xf numFmtId="168" fontId="4" fillId="0" borderId="97" xfId="0" applyNumberFormat="1" applyFont="1" applyFill="1" applyBorder="1"/>
    <xf numFmtId="168" fontId="4" fillId="0" borderId="11" xfId="0" applyNumberFormat="1" applyFont="1" applyFill="1" applyBorder="1"/>
    <xf numFmtId="168" fontId="4" fillId="0" borderId="19" xfId="0" applyNumberFormat="1" applyFont="1" applyFill="1" applyBorder="1"/>
    <xf numFmtId="168" fontId="4" fillId="0" borderId="20" xfId="0" applyNumberFormat="1" applyFont="1" applyFill="1" applyBorder="1"/>
    <xf numFmtId="9" fontId="6" fillId="0" borderId="3" xfId="4" applyFont="1" applyFill="1" applyBorder="1" applyAlignment="1">
      <alignment horizontal="center"/>
    </xf>
    <xf numFmtId="168" fontId="6" fillId="0" borderId="42" xfId="0" applyNumberFormat="1" applyFont="1" applyFill="1" applyBorder="1" applyAlignment="1">
      <alignment horizontal="center"/>
    </xf>
    <xf numFmtId="9" fontId="6" fillId="0" borderId="38" xfId="4" applyFont="1" applyFill="1" applyBorder="1" applyAlignment="1">
      <alignment horizontal="center"/>
    </xf>
    <xf numFmtId="168" fontId="6" fillId="0" borderId="91" xfId="0" applyNumberFormat="1" applyFont="1" applyFill="1" applyBorder="1" applyAlignment="1">
      <alignment horizontal="center"/>
    </xf>
    <xf numFmtId="168" fontId="4" fillId="0" borderId="0" xfId="0" applyNumberFormat="1" applyFont="1" applyFill="1" applyBorder="1" applyAlignment="1">
      <alignment horizontal="center"/>
    </xf>
    <xf numFmtId="9" fontId="4" fillId="0" borderId="0" xfId="4" applyFont="1" applyFill="1" applyBorder="1" applyAlignment="1">
      <alignment horizontal="center"/>
    </xf>
    <xf numFmtId="168" fontId="4" fillId="0" borderId="8" xfId="0" applyNumberFormat="1" applyFont="1" applyFill="1" applyBorder="1" applyAlignment="1">
      <alignment horizontal="center"/>
    </xf>
    <xf numFmtId="9" fontId="6" fillId="0" borderId="0" xfId="4" applyFont="1" applyFill="1" applyBorder="1" applyAlignment="1">
      <alignment horizontal="center"/>
    </xf>
    <xf numFmtId="168" fontId="4" fillId="0" borderId="77" xfId="0" applyNumberFormat="1" applyFont="1" applyFill="1" applyBorder="1"/>
    <xf numFmtId="0" fontId="4" fillId="0" borderId="0" xfId="0" applyFont="1" applyFill="1" applyAlignment="1">
      <alignment horizontal="right"/>
    </xf>
    <xf numFmtId="0" fontId="4" fillId="0" borderId="3" xfId="0" applyNumberFormat="1" applyFont="1" applyFill="1" applyBorder="1"/>
    <xf numFmtId="0" fontId="5" fillId="0" borderId="8" xfId="0" applyFont="1" applyFill="1" applyBorder="1" applyAlignment="1">
      <alignment horizontal="center"/>
    </xf>
    <xf numFmtId="38" fontId="4" fillId="0" borderId="49" xfId="1" applyNumberFormat="1" applyFont="1" applyFill="1" applyBorder="1"/>
    <xf numFmtId="38" fontId="4" fillId="0" borderId="3" xfId="1" applyNumberFormat="1" applyFont="1" applyFill="1" applyBorder="1"/>
    <xf numFmtId="38" fontId="4" fillId="0" borderId="8" xfId="1" applyNumberFormat="1" applyFont="1" applyFill="1" applyBorder="1"/>
    <xf numFmtId="9" fontId="6" fillId="0" borderId="44" xfId="4" applyFont="1" applyFill="1" applyBorder="1" applyAlignment="1">
      <alignment horizontal="center"/>
    </xf>
    <xf numFmtId="9" fontId="5" fillId="0" borderId="8" xfId="4" applyFont="1" applyFill="1" applyBorder="1" applyAlignment="1">
      <alignment horizontal="center"/>
    </xf>
    <xf numFmtId="9" fontId="24" fillId="0" borderId="0" xfId="4" applyFont="1" applyFill="1"/>
    <xf numFmtId="9" fontId="6" fillId="0" borderId="0" xfId="4" applyFont="1" applyFill="1"/>
    <xf numFmtId="9" fontId="0" fillId="0" borderId="0" xfId="4" applyFont="1" applyFill="1"/>
    <xf numFmtId="168" fontId="4" fillId="0" borderId="100" xfId="0" applyNumberFormat="1" applyFont="1" applyFill="1" applyBorder="1"/>
    <xf numFmtId="168" fontId="4" fillId="0" borderId="28" xfId="0" applyNumberFormat="1" applyFont="1" applyFill="1" applyBorder="1" applyAlignment="1">
      <alignment horizontal="left"/>
    </xf>
    <xf numFmtId="168" fontId="25" fillId="0" borderId="4" xfId="0" applyNumberFormat="1" applyFont="1" applyFill="1" applyBorder="1"/>
    <xf numFmtId="168" fontId="25" fillId="0" borderId="42" xfId="0" applyNumberFormat="1" applyFont="1" applyFill="1" applyBorder="1"/>
    <xf numFmtId="168" fontId="25" fillId="0" borderId="7" xfId="0" applyNumberFormat="1" applyFont="1" applyFill="1" applyBorder="1"/>
    <xf numFmtId="168" fontId="25" fillId="0" borderId="0" xfId="0" applyNumberFormat="1" applyFont="1" applyFill="1" applyBorder="1"/>
    <xf numFmtId="168" fontId="25" fillId="0" borderId="8" xfId="0" applyNumberFormat="1" applyFont="1" applyFill="1" applyBorder="1"/>
    <xf numFmtId="168" fontId="25" fillId="0" borderId="100" xfId="0" applyNumberFormat="1" applyFont="1" applyFill="1" applyBorder="1" applyAlignment="1">
      <alignment horizontal="left"/>
    </xf>
    <xf numFmtId="168" fontId="6" fillId="0" borderId="156" xfId="0" applyNumberFormat="1" applyFont="1" applyFill="1" applyBorder="1" applyAlignment="1">
      <alignment horizontal="left"/>
    </xf>
    <xf numFmtId="168" fontId="6" fillId="0" borderId="94" xfId="0" applyNumberFormat="1" applyFont="1" applyFill="1" applyBorder="1" applyAlignment="1">
      <alignment horizontal="right"/>
    </xf>
    <xf numFmtId="168" fontId="6" fillId="0" borderId="157" xfId="0" applyNumberFormat="1" applyFont="1" applyFill="1" applyBorder="1"/>
    <xf numFmtId="168" fontId="6" fillId="0" borderId="0" xfId="0" applyNumberFormat="1" applyFont="1" applyFill="1" applyAlignment="1">
      <alignment horizontal="right"/>
    </xf>
    <xf numFmtId="168" fontId="7" fillId="0" borderId="0" xfId="0" applyNumberFormat="1" applyFont="1" applyFill="1" applyAlignment="1">
      <alignment horizontal="right"/>
    </xf>
    <xf numFmtId="168" fontId="7" fillId="0" borderId="0" xfId="0" applyNumberFormat="1" applyFont="1" applyFill="1"/>
    <xf numFmtId="168" fontId="7" fillId="0" borderId="42" xfId="0" applyNumberFormat="1" applyFont="1" applyFill="1" applyBorder="1"/>
    <xf numFmtId="168" fontId="7" fillId="0" borderId="4" xfId="0" applyNumberFormat="1" applyFont="1" applyFill="1" applyBorder="1"/>
    <xf numFmtId="168" fontId="7" fillId="0" borderId="7" xfId="0" applyNumberFormat="1" applyFont="1" applyFill="1" applyBorder="1"/>
    <xf numFmtId="168" fontId="7" fillId="0" borderId="8" xfId="0" applyNumberFormat="1" applyFont="1" applyFill="1" applyBorder="1"/>
    <xf numFmtId="168" fontId="4" fillId="0" borderId="100" xfId="0" applyNumberFormat="1" applyFont="1" applyFill="1" applyBorder="1" applyAlignment="1">
      <alignment horizontal="left"/>
    </xf>
    <xf numFmtId="168" fontId="4" fillId="0" borderId="3" xfId="0" applyNumberFormat="1" applyFont="1" applyFill="1" applyBorder="1" applyAlignment="1">
      <alignment horizontal="left"/>
    </xf>
    <xf numFmtId="168" fontId="5" fillId="0" borderId="68" xfId="0" applyNumberFormat="1" applyFont="1" applyFill="1" applyBorder="1" applyAlignment="1"/>
    <xf numFmtId="168" fontId="4" fillId="0" borderId="49" xfId="0" applyNumberFormat="1" applyFont="1" applyFill="1" applyBorder="1" applyAlignment="1">
      <alignment horizontal="right"/>
    </xf>
    <xf numFmtId="168" fontId="25" fillId="0" borderId="128" xfId="0" applyNumberFormat="1" applyFont="1" applyFill="1" applyBorder="1"/>
    <xf numFmtId="168" fontId="4" fillId="3" borderId="3" xfId="0" applyNumberFormat="1" applyFont="1" applyFill="1" applyBorder="1" applyAlignment="1">
      <alignment horizontal="right"/>
    </xf>
    <xf numFmtId="15" fontId="0" fillId="0" borderId="4" xfId="0" applyNumberFormat="1" applyFill="1" applyBorder="1" applyAlignment="1">
      <alignment horizontal="center"/>
    </xf>
    <xf numFmtId="3" fontId="2" fillId="0" borderId="3" xfId="0" applyNumberFormat="1" applyFont="1" applyFill="1" applyBorder="1" applyAlignment="1">
      <alignment horizontal="center"/>
    </xf>
    <xf numFmtId="168" fontId="4" fillId="0" borderId="49" xfId="0" applyNumberFormat="1" applyFont="1" applyFill="1" applyBorder="1"/>
    <xf numFmtId="3" fontId="0" fillId="0" borderId="4" xfId="0" applyNumberFormat="1" applyFill="1" applyBorder="1" applyAlignment="1">
      <alignment horizontal="left"/>
    </xf>
    <xf numFmtId="15" fontId="6" fillId="0" borderId="4" xfId="0" applyNumberFormat="1" applyFont="1" applyFill="1" applyBorder="1" applyAlignment="1">
      <alignment horizontal="center"/>
    </xf>
    <xf numFmtId="3" fontId="6" fillId="0" borderId="4" xfId="0" applyNumberFormat="1" applyFont="1" applyFill="1" applyBorder="1"/>
    <xf numFmtId="0" fontId="6" fillId="0" borderId="0" xfId="0" applyFont="1" applyFill="1" applyAlignment="1">
      <alignment horizontal="left"/>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16" xfId="0" applyNumberFormat="1" applyFill="1" applyBorder="1" applyAlignment="1">
      <alignment horizontal="right"/>
    </xf>
    <xf numFmtId="168" fontId="0" fillId="0" borderId="3" xfId="0" applyNumberFormat="1" applyFill="1" applyBorder="1" applyAlignment="1">
      <alignment horizontal="left"/>
    </xf>
    <xf numFmtId="168" fontId="0" fillId="0" borderId="4" xfId="0" applyNumberFormat="1" applyFill="1" applyBorder="1" applyAlignment="1">
      <alignment horizontal="left"/>
    </xf>
    <xf numFmtId="168" fontId="0" fillId="0" borderId="117" xfId="0" applyNumberFormat="1" applyFill="1" applyBorder="1"/>
    <xf numFmtId="168" fontId="0" fillId="0" borderId="3" xfId="0" applyNumberFormat="1" applyFill="1" applyBorder="1" applyAlignment="1"/>
    <xf numFmtId="168" fontId="0" fillId="0" borderId="4" xfId="0" applyNumberFormat="1" applyFill="1" applyBorder="1" applyAlignment="1"/>
    <xf numFmtId="0" fontId="4" fillId="0" borderId="34" xfId="0" applyFont="1" applyFill="1" applyBorder="1" applyAlignment="1">
      <alignment horizontal="left"/>
    </xf>
    <xf numFmtId="0" fontId="4" fillId="0" borderId="34" xfId="0" applyFont="1" applyFill="1" applyBorder="1"/>
    <xf numFmtId="0" fontId="6" fillId="0" borderId="34" xfId="0" applyFont="1" applyFill="1" applyBorder="1"/>
    <xf numFmtId="0" fontId="2" fillId="0" borderId="34" xfId="0" applyFont="1" applyFill="1" applyBorder="1" applyAlignment="1">
      <alignment horizontal="left"/>
    </xf>
    <xf numFmtId="0" fontId="6" fillId="0" borderId="34" xfId="0" applyFont="1" applyFill="1" applyBorder="1" applyAlignment="1">
      <alignment horizontal="left"/>
    </xf>
    <xf numFmtId="168" fontId="4" fillId="0" borderId="3" xfId="0" applyNumberFormat="1" applyFont="1" applyFill="1" applyBorder="1" applyAlignment="1">
      <alignment horizontal="right"/>
    </xf>
    <xf numFmtId="168" fontId="4" fillId="0" borderId="16" xfId="0" applyNumberFormat="1" applyFont="1" applyFill="1" applyBorder="1" applyAlignment="1">
      <alignment horizontal="right"/>
    </xf>
    <xf numFmtId="0" fontId="4" fillId="0" borderId="3" xfId="0" applyFont="1" applyFill="1" applyBorder="1"/>
    <xf numFmtId="0" fontId="4" fillId="0" borderId="4" xfId="0" applyFont="1" applyFill="1" applyBorder="1"/>
    <xf numFmtId="0" fontId="6" fillId="0" borderId="37" xfId="0" applyNumberFormat="1" applyFont="1" applyFill="1" applyBorder="1" applyAlignment="1">
      <alignment horizontal="center"/>
    </xf>
    <xf numFmtId="168" fontId="6" fillId="0" borderId="37" xfId="0" quotePrefix="1" applyNumberFormat="1" applyFont="1" applyFill="1" applyBorder="1" applyAlignment="1">
      <alignment horizontal="left"/>
    </xf>
    <xf numFmtId="0" fontId="6" fillId="0" borderId="29" xfId="0" applyNumberFormat="1" applyFont="1" applyFill="1" applyBorder="1" applyAlignment="1">
      <alignment horizontal="center"/>
    </xf>
    <xf numFmtId="0" fontId="4" fillId="0" borderId="100" xfId="0" applyFont="1" applyFill="1" applyBorder="1" applyProtection="1">
      <protection locked="0"/>
    </xf>
    <xf numFmtId="0" fontId="5" fillId="0" borderId="100" xfId="0" applyFont="1" applyFill="1" applyBorder="1" applyProtection="1">
      <protection locked="0"/>
    </xf>
    <xf numFmtId="38" fontId="4" fillId="0" borderId="4" xfId="1" applyNumberFormat="1" applyFont="1" applyFill="1" applyBorder="1"/>
    <xf numFmtId="38" fontId="4" fillId="0" borderId="0" xfId="1" applyNumberFormat="1" applyFont="1" applyFill="1" applyBorder="1"/>
    <xf numFmtId="38" fontId="4" fillId="0" borderId="42" xfId="1" applyNumberFormat="1" applyFont="1" applyFill="1" applyBorder="1"/>
    <xf numFmtId="0" fontId="4" fillId="0" borderId="100" xfId="0" applyFont="1" applyFill="1" applyBorder="1" applyAlignment="1">
      <alignment vertical="center"/>
    </xf>
    <xf numFmtId="0" fontId="4" fillId="0" borderId="100" xfId="0" applyFont="1" applyFill="1" applyBorder="1"/>
    <xf numFmtId="0" fontId="4" fillId="0" borderId="100" xfId="0" applyFont="1" applyFill="1" applyBorder="1" applyAlignment="1">
      <alignment horizontal="left" vertical="center"/>
    </xf>
    <xf numFmtId="0" fontId="4" fillId="0" borderId="100" xfId="0" applyFont="1" applyFill="1" applyBorder="1" applyAlignment="1">
      <alignment horizontal="left" vertical="top" wrapText="1"/>
    </xf>
    <xf numFmtId="38" fontId="5" fillId="0" borderId="51" xfId="1" applyNumberFormat="1" applyFont="1" applyFill="1" applyBorder="1"/>
    <xf numFmtId="0" fontId="4" fillId="0" borderId="97" xfId="0" applyFont="1" applyFill="1" applyBorder="1"/>
    <xf numFmtId="168" fontId="4" fillId="0" borderId="11" xfId="0" applyNumberFormat="1" applyFont="1" applyFill="1" applyBorder="1" applyAlignment="1">
      <alignment horizontal="right"/>
    </xf>
    <xf numFmtId="168" fontId="4" fillId="0" borderId="20" xfId="0" applyNumberFormat="1" applyFont="1" applyFill="1" applyBorder="1" applyAlignment="1">
      <alignment horizontal="right"/>
    </xf>
    <xf numFmtId="168" fontId="4" fillId="0" borderId="4" xfId="0" applyNumberFormat="1" applyFont="1" applyFill="1" applyBorder="1" applyAlignment="1">
      <alignment horizontal="right"/>
    </xf>
    <xf numFmtId="38" fontId="5" fillId="0" borderId="19" xfId="1" applyNumberFormat="1" applyFont="1" applyFill="1" applyBorder="1"/>
    <xf numFmtId="0" fontId="6" fillId="0" borderId="98" xfId="0" applyFont="1" applyFill="1" applyBorder="1" applyAlignment="1">
      <alignment horizontal="left" indent="1"/>
    </xf>
    <xf numFmtId="0" fontId="5" fillId="0" borderId="99" xfId="0" applyFont="1" applyFill="1" applyBorder="1" applyAlignment="1">
      <alignment horizontal="left" indent="1"/>
    </xf>
    <xf numFmtId="9" fontId="6" fillId="0" borderId="10" xfId="4" applyFont="1" applyFill="1" applyBorder="1" applyAlignment="1">
      <alignment horizontal="center"/>
    </xf>
    <xf numFmtId="0" fontId="6" fillId="0" borderId="67" xfId="0" quotePrefix="1" applyFont="1" applyFill="1" applyBorder="1" applyAlignment="1">
      <alignment horizontal="center"/>
    </xf>
    <xf numFmtId="9" fontId="5" fillId="0" borderId="80" xfId="4" applyFont="1" applyFill="1" applyBorder="1" applyAlignment="1">
      <alignment horizontal="center"/>
    </xf>
    <xf numFmtId="10" fontId="4" fillId="0" borderId="3" xfId="4" applyNumberFormat="1" applyFont="1" applyFill="1" applyBorder="1" applyAlignment="1">
      <alignment horizontal="center"/>
    </xf>
    <xf numFmtId="3" fontId="6" fillId="0" borderId="69" xfId="0" applyNumberFormat="1" applyFont="1" applyFill="1" applyBorder="1"/>
    <xf numFmtId="168" fontId="6" fillId="0" borderId="159" xfId="0" applyNumberFormat="1" applyFont="1" applyFill="1" applyBorder="1" applyAlignment="1">
      <alignment horizontal="center"/>
    </xf>
    <xf numFmtId="168" fontId="6" fillId="0" borderId="160" xfId="0" applyNumberFormat="1" applyFont="1" applyFill="1" applyBorder="1" applyAlignment="1">
      <alignment horizontal="center"/>
    </xf>
    <xf numFmtId="168" fontId="6" fillId="0" borderId="161" xfId="0" applyNumberFormat="1" applyFont="1" applyFill="1" applyBorder="1" applyAlignment="1">
      <alignment horizontal="center"/>
    </xf>
    <xf numFmtId="168" fontId="6" fillId="0" borderId="160" xfId="0" quotePrefix="1" applyNumberFormat="1" applyFont="1" applyFill="1" applyBorder="1" applyAlignment="1">
      <alignment horizontal="center"/>
    </xf>
    <xf numFmtId="168" fontId="6" fillId="0" borderId="88" xfId="0" applyNumberFormat="1" applyFont="1" applyFill="1" applyBorder="1" applyAlignment="1">
      <alignment horizontal="center"/>
    </xf>
    <xf numFmtId="168" fontId="6" fillId="0" borderId="162" xfId="0" quotePrefix="1" applyNumberFormat="1" applyFont="1" applyFill="1" applyBorder="1" applyAlignment="1">
      <alignment horizontal="center"/>
    </xf>
    <xf numFmtId="168" fontId="4" fillId="0" borderId="15" xfId="0" applyNumberFormat="1" applyFont="1" applyFill="1" applyBorder="1" applyAlignment="1">
      <alignment horizontal="center"/>
    </xf>
    <xf numFmtId="168" fontId="4" fillId="0" borderId="49" xfId="0" applyNumberFormat="1" applyFont="1" applyFill="1" applyBorder="1" applyAlignment="1">
      <alignment horizontal="center"/>
    </xf>
    <xf numFmtId="168" fontId="4" fillId="0" borderId="53" xfId="0" applyNumberFormat="1" applyFont="1" applyFill="1" applyBorder="1"/>
    <xf numFmtId="168" fontId="6" fillId="0" borderId="163" xfId="0" quotePrefix="1" applyNumberFormat="1" applyFont="1" applyFill="1" applyBorder="1" applyAlignment="1">
      <alignment horizontal="center"/>
    </xf>
    <xf numFmtId="9" fontId="0" fillId="0" borderId="4" xfId="4" applyNumberFormat="1" applyFont="1" applyFill="1" applyBorder="1"/>
    <xf numFmtId="168" fontId="4" fillId="0" borderId="34" xfId="0" applyNumberFormat="1" applyFont="1" applyFill="1" applyBorder="1" applyAlignment="1">
      <alignment horizontal="left"/>
    </xf>
    <xf numFmtId="168" fontId="6" fillId="0" borderId="4" xfId="0" applyNumberFormat="1" applyFont="1" applyFill="1" applyBorder="1" applyAlignment="1">
      <alignment horizontal="left"/>
    </xf>
    <xf numFmtId="0" fontId="6" fillId="0" borderId="127" xfId="0" applyNumberFormat="1" applyFont="1" applyFill="1" applyBorder="1" applyAlignment="1">
      <alignment horizontal="center"/>
    </xf>
    <xf numFmtId="168" fontId="0" fillId="0" borderId="117" xfId="0" applyNumberFormat="1" applyFill="1" applyBorder="1" applyAlignment="1">
      <alignment horizontal="right"/>
    </xf>
    <xf numFmtId="168" fontId="0" fillId="0" borderId="115" xfId="0" applyNumberFormat="1" applyFill="1" applyBorder="1" applyAlignment="1">
      <alignment horizontal="right"/>
    </xf>
    <xf numFmtId="171" fontId="6" fillId="0" borderId="4" xfId="0" applyNumberFormat="1" applyFont="1" applyFill="1" applyBorder="1" applyAlignment="1"/>
    <xf numFmtId="171" fontId="6" fillId="0" borderId="3" xfId="0" applyNumberFormat="1" applyFont="1" applyFill="1" applyBorder="1"/>
    <xf numFmtId="168" fontId="4" fillId="0" borderId="3" xfId="0" applyNumberFormat="1" applyFont="1" applyFill="1" applyBorder="1" applyAlignment="1"/>
    <xf numFmtId="168" fontId="4" fillId="0" borderId="4" xfId="0" applyNumberFormat="1" applyFont="1" applyFill="1" applyBorder="1" applyAlignment="1"/>
    <xf numFmtId="168" fontId="0" fillId="0" borderId="4" xfId="0" applyNumberFormat="1" applyBorder="1" applyAlignment="1">
      <alignment horizontal="center"/>
    </xf>
    <xf numFmtId="168" fontId="0" fillId="0" borderId="3" xfId="0" applyNumberFormat="1" applyBorder="1" applyAlignment="1">
      <alignment horizontal="center"/>
    </xf>
    <xf numFmtId="168" fontId="0" fillId="0" borderId="0" xfId="0" applyNumberFormat="1" applyAlignment="1">
      <alignment horizontal="center"/>
    </xf>
    <xf numFmtId="168" fontId="0" fillId="0" borderId="0" xfId="0" applyNumberFormat="1" applyBorder="1" applyAlignment="1">
      <alignment horizontal="center"/>
    </xf>
    <xf numFmtId="0" fontId="16" fillId="0" borderId="90" xfId="0" applyFont="1" applyFill="1" applyBorder="1" applyAlignment="1">
      <alignment horizontal="center"/>
    </xf>
    <xf numFmtId="0" fontId="16" fillId="0" borderId="115" xfId="0" applyFont="1" applyFill="1" applyBorder="1" applyAlignment="1">
      <alignment horizontal="center"/>
    </xf>
    <xf numFmtId="14" fontId="0" fillId="0" borderId="4" xfId="0" applyNumberFormat="1" applyFill="1" applyBorder="1" applyAlignment="1">
      <alignment horizontal="left"/>
    </xf>
    <xf numFmtId="168" fontId="6" fillId="0" borderId="16" xfId="0" applyNumberFormat="1" applyFont="1" applyFill="1" applyBorder="1" applyAlignment="1">
      <alignment horizontal="right"/>
    </xf>
    <xf numFmtId="0" fontId="6" fillId="0" borderId="4" xfId="0" applyFont="1" applyFill="1" applyBorder="1" applyAlignment="1">
      <alignment horizontal="left"/>
    </xf>
    <xf numFmtId="3" fontId="6" fillId="0" borderId="164" xfId="0" applyNumberFormat="1" applyFont="1" applyFill="1" applyBorder="1" applyAlignment="1">
      <alignment horizontal="right"/>
    </xf>
    <xf numFmtId="168" fontId="6" fillId="0" borderId="164" xfId="0" applyNumberFormat="1" applyFont="1" applyFill="1" applyBorder="1" applyAlignment="1">
      <alignment horizontal="right"/>
    </xf>
    <xf numFmtId="3" fontId="6" fillId="0" borderId="27" xfId="0" applyNumberFormat="1" applyFont="1" applyFill="1" applyBorder="1" applyAlignment="1"/>
    <xf numFmtId="168" fontId="6" fillId="0" borderId="2" xfId="0" applyNumberFormat="1" applyFont="1" applyFill="1" applyBorder="1" applyAlignment="1"/>
    <xf numFmtId="168" fontId="6" fillId="0" borderId="27" xfId="0" applyNumberFormat="1" applyFont="1" applyFill="1" applyBorder="1" applyAlignment="1"/>
    <xf numFmtId="0" fontId="4" fillId="0" borderId="97" xfId="0" applyFont="1" applyFill="1" applyBorder="1" applyAlignment="1">
      <alignment horizontal="left"/>
    </xf>
    <xf numFmtId="0" fontId="4" fillId="0" borderId="0" xfId="0" applyFont="1" applyFill="1" applyAlignment="1">
      <alignment horizontal="left"/>
    </xf>
    <xf numFmtId="0" fontId="0" fillId="0" borderId="0" xfId="0" applyFill="1" applyAlignment="1">
      <alignment horizontal="center"/>
    </xf>
    <xf numFmtId="0" fontId="6" fillId="0" borderId="133" xfId="0" applyFont="1" applyFill="1" applyBorder="1" applyAlignment="1">
      <alignment horizontal="center"/>
    </xf>
    <xf numFmtId="0" fontId="4" fillId="0" borderId="0" xfId="0" applyFont="1" applyFill="1"/>
    <xf numFmtId="0" fontId="6" fillId="0" borderId="133" xfId="0" applyFont="1" applyFill="1" applyBorder="1" applyAlignment="1">
      <alignment horizontal="left"/>
    </xf>
    <xf numFmtId="0" fontId="0" fillId="0" borderId="4" xfId="0" applyFill="1" applyBorder="1" applyAlignment="1">
      <alignment horizontal="center"/>
    </xf>
    <xf numFmtId="0" fontId="13" fillId="0" borderId="4" xfId="0" applyFont="1" applyFill="1" applyBorder="1" applyAlignment="1">
      <alignment horizontal="center"/>
    </xf>
    <xf numFmtId="0" fontId="5" fillId="0" borderId="4" xfId="0" applyFont="1" applyFill="1" applyBorder="1" applyAlignment="1">
      <alignment horizontal="center"/>
    </xf>
    <xf numFmtId="168" fontId="6" fillId="0" borderId="69" xfId="0" applyNumberFormat="1" applyFont="1" applyFill="1" applyBorder="1" applyAlignment="1">
      <alignment horizontal="right"/>
    </xf>
    <xf numFmtId="168" fontId="2" fillId="0" borderId="3" xfId="0" applyNumberFormat="1" applyFont="1" applyFill="1" applyBorder="1" applyAlignment="1">
      <alignment horizontal="right"/>
    </xf>
    <xf numFmtId="168" fontId="2" fillId="0" borderId="4" xfId="0" applyNumberFormat="1" applyFont="1" applyFill="1" applyBorder="1" applyAlignment="1">
      <alignment horizontal="right"/>
    </xf>
    <xf numFmtId="168" fontId="2" fillId="0" borderId="16" xfId="0" applyNumberFormat="1" applyFont="1" applyFill="1" applyBorder="1" applyAlignment="1">
      <alignment horizontal="right"/>
    </xf>
    <xf numFmtId="168" fontId="2" fillId="2" borderId="3" xfId="0" applyNumberFormat="1" applyFont="1" applyFill="1" applyBorder="1" applyAlignment="1">
      <alignment horizontal="right"/>
    </xf>
    <xf numFmtId="168" fontId="2" fillId="2" borderId="4" xfId="0" applyNumberFormat="1" applyFont="1" applyFill="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2" fillId="0" borderId="3" xfId="0" applyNumberFormat="1" applyFont="1" applyBorder="1" applyAlignment="1">
      <alignment horizontal="right"/>
    </xf>
    <xf numFmtId="168" fontId="2" fillId="0" borderId="4" xfId="0" applyNumberFormat="1" applyFont="1" applyBorder="1" applyAlignment="1">
      <alignment horizontal="right"/>
    </xf>
    <xf numFmtId="168" fontId="5" fillId="0" borderId="16" xfId="0" applyNumberFormat="1" applyFont="1" applyFill="1" applyBorder="1" applyAlignment="1">
      <alignment horizontal="right"/>
    </xf>
    <xf numFmtId="168" fontId="4" fillId="0" borderId="3" xfId="0" applyNumberFormat="1" applyFont="1" applyBorder="1" applyAlignment="1">
      <alignment horizontal="right"/>
    </xf>
    <xf numFmtId="168" fontId="4" fillId="0" borderId="4" xfId="0" applyNumberFormat="1" applyFont="1" applyBorder="1" applyAlignment="1">
      <alignment horizontal="right"/>
    </xf>
    <xf numFmtId="168" fontId="6" fillId="0" borderId="4" xfId="0" applyNumberFormat="1" applyFont="1" applyBorder="1" applyAlignment="1">
      <alignment horizontal="right"/>
    </xf>
    <xf numFmtId="168" fontId="6" fillId="0" borderId="3" xfId="0" applyNumberFormat="1" applyFont="1" applyBorder="1" applyAlignment="1">
      <alignment horizontal="right"/>
    </xf>
    <xf numFmtId="170" fontId="4" fillId="0" borderId="3" xfId="0" applyNumberFormat="1" applyFont="1" applyBorder="1" applyAlignment="1">
      <alignment horizontal="right"/>
    </xf>
    <xf numFmtId="168" fontId="5" fillId="0" borderId="3" xfId="0" applyNumberFormat="1" applyFont="1" applyBorder="1" applyAlignment="1">
      <alignment horizontal="right"/>
    </xf>
    <xf numFmtId="168" fontId="5" fillId="0" borderId="4" xfId="0" applyNumberFormat="1" applyFont="1" applyBorder="1" applyAlignment="1">
      <alignment horizontal="right"/>
    </xf>
    <xf numFmtId="168" fontId="6" fillId="2" borderId="4" xfId="0" applyNumberFormat="1" applyFont="1" applyFill="1" applyBorder="1" applyAlignment="1">
      <alignment horizontal="right"/>
    </xf>
    <xf numFmtId="168" fontId="6" fillId="2" borderId="3" xfId="0" applyNumberFormat="1" applyFont="1" applyFill="1" applyBorder="1" applyAlignment="1">
      <alignment horizontal="right"/>
    </xf>
    <xf numFmtId="168" fontId="4" fillId="0" borderId="11" xfId="0" applyNumberFormat="1" applyFont="1" applyFill="1" applyBorder="1" applyAlignment="1">
      <alignment horizontal="center"/>
    </xf>
    <xf numFmtId="9" fontId="4" fillId="0" borderId="11" xfId="4" applyFont="1" applyFill="1" applyBorder="1" applyAlignment="1">
      <alignment horizontal="center"/>
    </xf>
    <xf numFmtId="168" fontId="4" fillId="0" borderId="43" xfId="0" applyNumberFormat="1" applyFont="1" applyFill="1" applyBorder="1" applyAlignment="1">
      <alignment horizontal="center"/>
    </xf>
    <xf numFmtId="168" fontId="4" fillId="0" borderId="53" xfId="0" applyNumberFormat="1" applyFont="1" applyFill="1" applyBorder="1" applyAlignment="1">
      <alignment horizontal="center"/>
    </xf>
    <xf numFmtId="168" fontId="2" fillId="0" borderId="15" xfId="0" applyNumberFormat="1" applyFont="1" applyBorder="1"/>
    <xf numFmtId="168" fontId="0" fillId="0" borderId="117" xfId="0" applyNumberFormat="1" applyFill="1" applyBorder="1" applyAlignment="1">
      <alignment horizontal="left"/>
    </xf>
    <xf numFmtId="0" fontId="16" fillId="0" borderId="69" xfId="0" applyFont="1" applyFill="1" applyBorder="1" applyAlignment="1">
      <alignment horizontal="left"/>
    </xf>
    <xf numFmtId="0" fontId="16" fillId="0" borderId="74" xfId="0" applyFont="1" applyFill="1" applyBorder="1" applyAlignment="1">
      <alignment horizontal="left"/>
    </xf>
    <xf numFmtId="3" fontId="16" fillId="0" borderId="69" xfId="0" applyNumberFormat="1" applyFont="1" applyFill="1" applyBorder="1" applyAlignment="1">
      <alignment horizontal="right"/>
    </xf>
    <xf numFmtId="3" fontId="16" fillId="0" borderId="74" xfId="0" applyNumberFormat="1" applyFont="1" applyFill="1" applyBorder="1" applyAlignment="1">
      <alignment horizontal="right"/>
    </xf>
    <xf numFmtId="0" fontId="4" fillId="0" borderId="0" xfId="0" applyFont="1" applyFill="1" applyAlignment="1">
      <alignment horizontal="center"/>
    </xf>
    <xf numFmtId="15" fontId="4" fillId="0" borderId="0" xfId="0" applyNumberFormat="1" applyFont="1" applyFill="1" applyAlignment="1">
      <alignment horizontal="center"/>
    </xf>
    <xf numFmtId="0" fontId="14" fillId="0" borderId="34" xfId="0" applyFont="1" applyFill="1" applyBorder="1"/>
    <xf numFmtId="168" fontId="2" fillId="0" borderId="135" xfId="0" applyNumberFormat="1" applyFont="1" applyFill="1" applyBorder="1"/>
    <xf numFmtId="168" fontId="6" fillId="0" borderId="129" xfId="0" applyNumberFormat="1" applyFont="1" applyFill="1" applyBorder="1" applyAlignment="1">
      <alignment horizontal="center"/>
    </xf>
    <xf numFmtId="168" fontId="2" fillId="0" borderId="117" xfId="0" applyNumberFormat="1" applyFont="1" applyFill="1" applyBorder="1" applyAlignment="1">
      <alignment horizontal="center"/>
    </xf>
    <xf numFmtId="168" fontId="4" fillId="0" borderId="4" xfId="0" applyNumberFormat="1" applyFont="1" applyFill="1" applyBorder="1" applyAlignment="1">
      <alignment horizontal="center" wrapText="1"/>
    </xf>
    <xf numFmtId="168" fontId="4" fillId="0" borderId="117" xfId="0" applyNumberFormat="1" applyFont="1" applyFill="1" applyBorder="1"/>
    <xf numFmtId="175" fontId="4" fillId="0" borderId="3" xfId="0" applyNumberFormat="1" applyFont="1" applyFill="1" applyBorder="1" applyAlignment="1">
      <alignment horizontal="center"/>
    </xf>
    <xf numFmtId="0" fontId="4" fillId="0" borderId="4" xfId="0" applyNumberFormat="1" applyFont="1" applyFill="1" applyBorder="1" applyAlignment="1">
      <alignment horizontal="center"/>
    </xf>
    <xf numFmtId="175" fontId="4" fillId="0" borderId="4" xfId="0" applyNumberFormat="1" applyFont="1" applyFill="1" applyBorder="1" applyAlignment="1">
      <alignment horizontal="center"/>
    </xf>
    <xf numFmtId="0" fontId="4" fillId="0" borderId="0" xfId="0" applyFont="1" applyFill="1" applyBorder="1"/>
    <xf numFmtId="0" fontId="4" fillId="0" borderId="3" xfId="0" applyNumberFormat="1" applyFont="1" applyFill="1" applyBorder="1" applyAlignment="1">
      <alignment horizontal="center"/>
    </xf>
    <xf numFmtId="168" fontId="4" fillId="0" borderId="0" xfId="0" applyNumberFormat="1" applyFont="1" applyFill="1" applyBorder="1" applyAlignment="1">
      <alignment horizontal="right"/>
    </xf>
    <xf numFmtId="0" fontId="4" fillId="0" borderId="3" xfId="0" applyNumberFormat="1" applyFont="1" applyFill="1" applyBorder="1" applyAlignment="1">
      <alignment horizontal="right"/>
    </xf>
    <xf numFmtId="0" fontId="2" fillId="0" borderId="100" xfId="0" applyFont="1" applyFill="1" applyBorder="1" applyProtection="1">
      <protection locked="0"/>
    </xf>
    <xf numFmtId="0" fontId="4" fillId="0" borderId="8" xfId="0" applyFont="1" applyFill="1" applyBorder="1" applyAlignment="1">
      <alignment horizontal="center"/>
    </xf>
    <xf numFmtId="168" fontId="2" fillId="0" borderId="100" xfId="0" applyNumberFormat="1" applyFont="1" applyFill="1" applyBorder="1" applyAlignment="1">
      <alignment horizontal="left"/>
    </xf>
    <xf numFmtId="168" fontId="6" fillId="0" borderId="170" xfId="0" quotePrefix="1" applyNumberFormat="1" applyFont="1" applyFill="1" applyBorder="1" applyAlignment="1">
      <alignment horizontal="center"/>
    </xf>
    <xf numFmtId="168" fontId="2" fillId="0" borderId="3" xfId="0" applyNumberFormat="1" applyFont="1" applyFill="1" applyBorder="1" applyAlignment="1">
      <alignment horizontal="left"/>
    </xf>
    <xf numFmtId="0" fontId="4" fillId="0" borderId="3" xfId="0" applyNumberFormat="1" applyFont="1" applyFill="1" applyBorder="1" applyAlignment="1">
      <alignment horizontal="left"/>
    </xf>
    <xf numFmtId="1" fontId="4" fillId="0" borderId="0" xfId="0" applyNumberFormat="1" applyFont="1" applyFill="1" applyBorder="1"/>
    <xf numFmtId="3" fontId="0" fillId="0" borderId="0" xfId="0" applyNumberFormat="1" applyFill="1" applyBorder="1"/>
    <xf numFmtId="168" fontId="2" fillId="0" borderId="129" xfId="0" applyNumberFormat="1" applyFont="1" applyFill="1" applyBorder="1"/>
    <xf numFmtId="168" fontId="4" fillId="3" borderId="3" xfId="0" applyNumberFormat="1" applyFont="1" applyFill="1" applyBorder="1" applyAlignment="1">
      <alignment horizontal="center"/>
    </xf>
    <xf numFmtId="0" fontId="2" fillId="0" borderId="129" xfId="0" applyFont="1" applyBorder="1"/>
    <xf numFmtId="168" fontId="5" fillId="5" borderId="0" xfId="0" applyNumberFormat="1" applyFont="1" applyFill="1"/>
    <xf numFmtId="168" fontId="28" fillId="0" borderId="0" xfId="0" applyNumberFormat="1" applyFont="1" applyFill="1" applyAlignment="1">
      <alignment horizontal="right"/>
    </xf>
    <xf numFmtId="168" fontId="6" fillId="0" borderId="117" xfId="0" applyNumberFormat="1" applyFont="1" applyFill="1" applyBorder="1"/>
    <xf numFmtId="0" fontId="6" fillId="0" borderId="117" xfId="0" applyNumberFormat="1" applyFont="1" applyFill="1" applyBorder="1" applyAlignment="1">
      <alignment horizontal="center"/>
    </xf>
    <xf numFmtId="168" fontId="2" fillId="0" borderId="94" xfId="0" applyNumberFormat="1" applyFont="1" applyFill="1" applyBorder="1"/>
    <xf numFmtId="168" fontId="4" fillId="0" borderId="117" xfId="0" applyNumberFormat="1" applyFont="1" applyFill="1" applyBorder="1" applyAlignment="1"/>
    <xf numFmtId="168" fontId="4" fillId="0" borderId="115" xfId="0" applyNumberFormat="1" applyFont="1" applyFill="1" applyBorder="1" applyAlignment="1"/>
    <xf numFmtId="168" fontId="6" fillId="0" borderId="172" xfId="0" applyNumberFormat="1" applyFont="1" applyFill="1" applyBorder="1"/>
    <xf numFmtId="0" fontId="4" fillId="0" borderId="4" xfId="0" applyFont="1" applyFill="1" applyBorder="1" applyAlignment="1">
      <alignment horizontal="center"/>
    </xf>
    <xf numFmtId="168" fontId="2" fillId="0" borderId="109" xfId="0" applyNumberFormat="1" applyFont="1" applyFill="1" applyBorder="1"/>
    <xf numFmtId="168" fontId="2" fillId="0" borderId="109" xfId="0" applyNumberFormat="1" applyFont="1" applyFill="1" applyBorder="1" applyAlignment="1">
      <alignment horizontal="left"/>
    </xf>
    <xf numFmtId="168" fontId="4" fillId="0" borderId="4" xfId="0" applyNumberFormat="1" applyFont="1" applyFill="1" applyBorder="1" applyAlignment="1">
      <alignment horizontal="center"/>
    </xf>
    <xf numFmtId="168" fontId="4" fillId="0" borderId="8" xfId="0" applyNumberFormat="1" applyFont="1" applyFill="1" applyBorder="1" applyAlignment="1">
      <alignment horizontal="center" wrapText="1"/>
    </xf>
    <xf numFmtId="168" fontId="2" fillId="0" borderId="28" xfId="0" applyNumberFormat="1" applyFont="1" applyFill="1" applyBorder="1" applyAlignment="1">
      <alignment horizontal="left"/>
    </xf>
    <xf numFmtId="166" fontId="37" fillId="0" borderId="0" xfId="1" applyNumberFormat="1" applyFont="1" applyFill="1"/>
    <xf numFmtId="0" fontId="2" fillId="0" borderId="34" xfId="0" applyNumberFormat="1" applyFont="1" applyFill="1" applyBorder="1"/>
    <xf numFmtId="168" fontId="6" fillId="0" borderId="56" xfId="0" applyNumberFormat="1" applyFont="1" applyFill="1" applyBorder="1"/>
    <xf numFmtId="0" fontId="6" fillId="0" borderId="56" xfId="0" applyNumberFormat="1" applyFont="1" applyFill="1" applyBorder="1" applyAlignment="1">
      <alignment horizontal="center"/>
    </xf>
    <xf numFmtId="168" fontId="6" fillId="0" borderId="57" xfId="0" applyNumberFormat="1" applyFont="1" applyFill="1" applyBorder="1" applyAlignment="1">
      <alignment horizontal="left"/>
    </xf>
    <xf numFmtId="168" fontId="6" fillId="0" borderId="58" xfId="0" applyNumberFormat="1" applyFont="1" applyFill="1" applyBorder="1"/>
    <xf numFmtId="168" fontId="6" fillId="0" borderId="54" xfId="0" applyNumberFormat="1" applyFont="1" applyFill="1" applyBorder="1"/>
    <xf numFmtId="0" fontId="6" fillId="0" borderId="174" xfId="0" applyNumberFormat="1" applyFont="1" applyFill="1" applyBorder="1" applyAlignment="1">
      <alignment horizontal="center"/>
    </xf>
    <xf numFmtId="168" fontId="6" fillId="0" borderId="56" xfId="0" quotePrefix="1" applyNumberFormat="1" applyFont="1" applyFill="1" applyBorder="1" applyAlignment="1">
      <alignment horizontal="left"/>
    </xf>
    <xf numFmtId="168" fontId="6" fillId="0" borderId="56" xfId="0" applyNumberFormat="1" applyFont="1" applyFill="1" applyBorder="1" applyAlignment="1"/>
    <xf numFmtId="0" fontId="2" fillId="0" borderId="100" xfId="0" applyFont="1" applyFill="1" applyBorder="1" applyAlignment="1">
      <alignment vertical="center"/>
    </xf>
    <xf numFmtId="168" fontId="0" fillId="0" borderId="115" xfId="0" applyNumberFormat="1" applyFill="1" applyBorder="1"/>
    <xf numFmtId="168" fontId="4" fillId="0" borderId="100" xfId="0" quotePrefix="1" applyNumberFormat="1" applyFont="1" applyFill="1" applyBorder="1"/>
    <xf numFmtId="49" fontId="5" fillId="0" borderId="99" xfId="0" applyNumberFormat="1" applyFont="1" applyFill="1" applyBorder="1" applyAlignment="1">
      <alignment horizontal="left"/>
    </xf>
    <xf numFmtId="0" fontId="4" fillId="0" borderId="7" xfId="0" applyFont="1" applyFill="1" applyBorder="1"/>
    <xf numFmtId="0" fontId="2" fillId="0" borderId="7" xfId="0" applyFont="1" applyFill="1" applyBorder="1"/>
    <xf numFmtId="0" fontId="2" fillId="0" borderId="9" xfId="0" applyFont="1" applyFill="1" applyBorder="1"/>
    <xf numFmtId="168" fontId="2" fillId="0" borderId="0" xfId="1" applyNumberFormat="1" applyFont="1" applyFill="1" applyBorder="1"/>
    <xf numFmtId="0" fontId="2" fillId="0" borderId="64" xfId="0" applyFont="1" applyFill="1" applyBorder="1"/>
    <xf numFmtId="1" fontId="0" fillId="0" borderId="0" xfId="0" applyNumberFormat="1" applyFill="1"/>
    <xf numFmtId="0" fontId="4" fillId="0" borderId="129" xfId="0" applyFont="1" applyFill="1" applyBorder="1"/>
    <xf numFmtId="168" fontId="4" fillId="0" borderId="3" xfId="0" quotePrefix="1" applyNumberFormat="1" applyFont="1" applyFill="1" applyBorder="1" applyAlignment="1">
      <alignment horizontal="right"/>
    </xf>
    <xf numFmtId="0" fontId="2" fillId="0" borderId="34" xfId="0" applyFont="1" applyFill="1" applyBorder="1"/>
    <xf numFmtId="168" fontId="27" fillId="0" borderId="29" xfId="0" applyNumberFormat="1" applyFont="1" applyFill="1" applyBorder="1" applyAlignment="1"/>
    <xf numFmtId="168" fontId="28" fillId="0" borderId="28" xfId="0" applyNumberFormat="1" applyFont="1" applyFill="1" applyBorder="1"/>
    <xf numFmtId="168" fontId="27" fillId="0" borderId="28" xfId="0" applyNumberFormat="1" applyFont="1" applyFill="1" applyBorder="1"/>
    <xf numFmtId="168" fontId="27" fillId="0" borderId="23" xfId="0" applyNumberFormat="1" applyFont="1" applyFill="1" applyBorder="1"/>
    <xf numFmtId="168" fontId="27" fillId="0" borderId="32" xfId="0" applyNumberFormat="1" applyFont="1" applyFill="1" applyBorder="1"/>
    <xf numFmtId="10" fontId="4" fillId="0" borderId="3" xfId="0" applyNumberFormat="1" applyFont="1" applyFill="1" applyBorder="1" applyAlignment="1">
      <alignment horizontal="right"/>
    </xf>
    <xf numFmtId="0" fontId="2" fillId="0" borderId="7" xfId="0" applyFont="1" applyFill="1" applyBorder="1" applyAlignment="1">
      <alignment horizontal="right"/>
    </xf>
    <xf numFmtId="10" fontId="4" fillId="0" borderId="15" xfId="0" applyNumberFormat="1" applyFont="1" applyFill="1" applyBorder="1" applyAlignment="1">
      <alignment horizontal="right"/>
    </xf>
    <xf numFmtId="0" fontId="2" fillId="0" borderId="49" xfId="0" applyFont="1" applyFill="1" applyBorder="1" applyAlignment="1">
      <alignment horizontal="right"/>
    </xf>
    <xf numFmtId="9" fontId="4" fillId="0" borderId="0" xfId="4" applyFont="1" applyFill="1" applyBorder="1"/>
    <xf numFmtId="9" fontId="25" fillId="0" borderId="0" xfId="4" applyFont="1" applyFill="1"/>
    <xf numFmtId="3" fontId="0" fillId="0" borderId="16" xfId="0" applyNumberFormat="1" applyFill="1" applyBorder="1"/>
    <xf numFmtId="9" fontId="2" fillId="0" borderId="3" xfId="4" applyFont="1" applyFill="1" applyBorder="1"/>
    <xf numFmtId="0" fontId="2" fillId="0" borderId="139" xfId="0" applyFont="1" applyFill="1" applyBorder="1"/>
    <xf numFmtId="167" fontId="6" fillId="0" borderId="3" xfId="0" applyNumberFormat="1" applyFont="1" applyFill="1" applyBorder="1" applyAlignment="1">
      <alignment horizontal="right"/>
    </xf>
    <xf numFmtId="173" fontId="6" fillId="0" borderId="3" xfId="0" applyNumberFormat="1" applyFont="1" applyFill="1" applyBorder="1" applyAlignment="1">
      <alignment horizontal="right"/>
    </xf>
    <xf numFmtId="3" fontId="33" fillId="0" borderId="94" xfId="0" applyNumberFormat="1" applyFont="1" applyFill="1" applyBorder="1" applyAlignment="1">
      <alignment horizontal="right"/>
    </xf>
    <xf numFmtId="0" fontId="7" fillId="0" borderId="152" xfId="0" applyFont="1" applyFill="1" applyBorder="1"/>
    <xf numFmtId="166" fontId="4" fillId="0" borderId="0" xfId="1" applyNumberFormat="1" applyFont="1" applyFill="1"/>
    <xf numFmtId="166" fontId="0" fillId="0" borderId="0" xfId="1" applyNumberFormat="1" applyFont="1" applyFill="1"/>
    <xf numFmtId="168" fontId="0" fillId="0" borderId="115" xfId="0" applyNumberFormat="1" applyFill="1" applyBorder="1" applyAlignment="1">
      <alignment horizontal="left"/>
    </xf>
    <xf numFmtId="3" fontId="0" fillId="0" borderId="117" xfId="0" applyNumberFormat="1" applyFill="1" applyBorder="1"/>
    <xf numFmtId="3" fontId="0" fillId="0" borderId="115" xfId="0" applyNumberFormat="1" applyFill="1" applyBorder="1"/>
    <xf numFmtId="168" fontId="2" fillId="0" borderId="27" xfId="0" quotePrefix="1" applyNumberFormat="1" applyFont="1" applyFill="1" applyBorder="1" applyAlignment="1">
      <alignment horizontal="center"/>
    </xf>
    <xf numFmtId="49" fontId="2" fillId="0" borderId="4" xfId="0" applyNumberFormat="1" applyFont="1" applyFill="1" applyBorder="1" applyAlignment="1">
      <alignment horizontal="center"/>
    </xf>
    <xf numFmtId="175" fontId="4" fillId="0" borderId="15" xfId="0" applyNumberFormat="1" applyFont="1" applyFill="1" applyBorder="1" applyAlignment="1">
      <alignment horizontal="center"/>
    </xf>
    <xf numFmtId="0" fontId="2" fillId="0" borderId="15" xfId="0" applyNumberFormat="1" applyFont="1" applyFill="1" applyBorder="1" applyAlignment="1">
      <alignment horizontal="left"/>
    </xf>
    <xf numFmtId="168" fontId="2" fillId="0" borderId="11" xfId="0" applyNumberFormat="1" applyFont="1" applyFill="1" applyBorder="1"/>
    <xf numFmtId="168" fontId="2" fillId="0" borderId="0" xfId="0" applyNumberFormat="1" applyFont="1" applyBorder="1" applyAlignment="1">
      <alignment horizontal="right"/>
    </xf>
    <xf numFmtId="168" fontId="2" fillId="0" borderId="15" xfId="0" applyNumberFormat="1" applyFont="1" applyFill="1" applyBorder="1" applyAlignment="1">
      <alignment horizontal="left"/>
    </xf>
    <xf numFmtId="168" fontId="0" fillId="0" borderId="15" xfId="0" applyNumberFormat="1" applyBorder="1"/>
    <xf numFmtId="168" fontId="2" fillId="0" borderId="3" xfId="0" applyNumberFormat="1" applyFont="1" applyBorder="1" applyAlignment="1">
      <alignment horizontal="center"/>
    </xf>
    <xf numFmtId="1" fontId="4" fillId="0" borderId="0" xfId="0" applyNumberFormat="1" applyFont="1" applyFill="1" applyBorder="1" applyAlignment="1">
      <alignment horizontal="center"/>
    </xf>
    <xf numFmtId="1" fontId="4" fillId="0" borderId="3" xfId="0" applyNumberFormat="1" applyFont="1" applyFill="1" applyBorder="1" applyAlignment="1">
      <alignment horizontal="center"/>
    </xf>
    <xf numFmtId="168" fontId="2" fillId="0" borderId="1" xfId="0" applyNumberFormat="1" applyFont="1" applyFill="1" applyBorder="1"/>
    <xf numFmtId="1" fontId="2" fillId="0" borderId="4" xfId="0" applyNumberFormat="1" applyFont="1" applyFill="1" applyBorder="1" applyAlignment="1">
      <alignment horizontal="center"/>
    </xf>
    <xf numFmtId="1" fontId="4" fillId="0" borderId="4" xfId="0" applyNumberFormat="1" applyFont="1" applyFill="1" applyBorder="1" applyAlignment="1">
      <alignment horizontal="center"/>
    </xf>
    <xf numFmtId="168" fontId="2" fillId="0" borderId="47" xfId="0" applyNumberFormat="1" applyFont="1" applyFill="1" applyBorder="1"/>
    <xf numFmtId="1" fontId="2" fillId="0" borderId="90" xfId="0" applyNumberFormat="1" applyFont="1" applyFill="1" applyBorder="1" applyAlignment="1">
      <alignment horizontal="center"/>
    </xf>
    <xf numFmtId="168" fontId="3" fillId="0" borderId="124" xfId="0" applyNumberFormat="1" applyFont="1" applyFill="1" applyBorder="1" applyAlignment="1">
      <alignment horizontal="left"/>
    </xf>
    <xf numFmtId="168" fontId="2" fillId="0" borderId="94" xfId="0" applyNumberFormat="1" applyFont="1" applyFill="1" applyBorder="1" applyAlignment="1">
      <alignment horizontal="center"/>
    </xf>
    <xf numFmtId="168" fontId="2" fillId="0" borderId="90" xfId="0" applyNumberFormat="1" applyFont="1" applyFill="1" applyBorder="1"/>
    <xf numFmtId="168" fontId="2" fillId="0" borderId="32" xfId="0" applyNumberFormat="1" applyFont="1" applyFill="1" applyBorder="1"/>
    <xf numFmtId="1" fontId="4" fillId="0" borderId="11" xfId="0" applyNumberFormat="1" applyFont="1" applyFill="1" applyBorder="1" applyAlignment="1">
      <alignment horizontal="center"/>
    </xf>
    <xf numFmtId="168" fontId="2" fillId="0" borderId="5" xfId="0" applyNumberFormat="1" applyFont="1" applyFill="1" applyBorder="1" applyAlignment="1">
      <alignment horizontal="left"/>
    </xf>
    <xf numFmtId="168" fontId="2" fillId="0" borderId="11" xfId="0" applyNumberFormat="1" applyFont="1" applyFill="1" applyBorder="1" applyAlignment="1">
      <alignment horizontal="center"/>
    </xf>
    <xf numFmtId="168" fontId="4" fillId="0" borderId="17" xfId="0" applyNumberFormat="1" applyFont="1" applyFill="1" applyBorder="1"/>
    <xf numFmtId="168" fontId="4" fillId="0" borderId="18" xfId="0" applyNumberFormat="1" applyFont="1" applyFill="1" applyBorder="1"/>
    <xf numFmtId="168" fontId="2" fillId="0" borderId="63" xfId="0" applyNumberFormat="1" applyFont="1" applyFill="1" applyBorder="1"/>
    <xf numFmtId="168" fontId="2" fillId="0" borderId="40" xfId="0" applyNumberFormat="1" applyFont="1" applyFill="1" applyBorder="1"/>
    <xf numFmtId="1" fontId="4" fillId="0" borderId="38" xfId="0" applyNumberFormat="1" applyFont="1" applyFill="1" applyBorder="1" applyAlignment="1">
      <alignment horizontal="center"/>
    </xf>
    <xf numFmtId="168" fontId="4" fillId="0" borderId="36" xfId="0" applyNumberFormat="1" applyFont="1" applyFill="1" applyBorder="1"/>
    <xf numFmtId="168" fontId="4" fillId="0" borderId="40" xfId="0" applyNumberFormat="1" applyFont="1" applyFill="1" applyBorder="1"/>
    <xf numFmtId="168" fontId="3" fillId="0" borderId="3" xfId="0" applyNumberFormat="1" applyFont="1" applyFill="1" applyBorder="1" applyAlignment="1">
      <alignment horizontal="left"/>
    </xf>
    <xf numFmtId="1" fontId="2" fillId="0" borderId="124" xfId="0" applyNumberFormat="1" applyFont="1" applyFill="1" applyBorder="1" applyAlignment="1">
      <alignment horizontal="center"/>
    </xf>
    <xf numFmtId="168" fontId="3" fillId="0" borderId="94" xfId="0" applyNumberFormat="1" applyFont="1" applyFill="1" applyBorder="1" applyAlignment="1">
      <alignment horizontal="left"/>
    </xf>
    <xf numFmtId="168" fontId="2" fillId="0" borderId="11" xfId="0" applyNumberFormat="1" applyFont="1" applyFill="1" applyBorder="1" applyAlignment="1">
      <alignment horizontal="left"/>
    </xf>
    <xf numFmtId="1" fontId="4" fillId="0" borderId="0" xfId="0" applyNumberFormat="1" applyFont="1" applyFill="1"/>
    <xf numFmtId="168" fontId="4" fillId="0" borderId="0" xfId="0" applyNumberFormat="1" applyFont="1" applyFill="1" applyAlignment="1">
      <alignment horizontal="center"/>
    </xf>
    <xf numFmtId="0" fontId="4" fillId="0" borderId="15" xfId="0" applyNumberFormat="1" applyFont="1" applyFill="1" applyBorder="1" applyAlignment="1">
      <alignment horizontal="center"/>
    </xf>
    <xf numFmtId="0" fontId="4" fillId="0" borderId="37" xfId="0" applyNumberFormat="1" applyFont="1" applyFill="1" applyBorder="1" applyAlignment="1">
      <alignment horizontal="center"/>
    </xf>
    <xf numFmtId="168" fontId="4" fillId="0" borderId="0" xfId="0" applyNumberFormat="1" applyFont="1" applyFill="1" applyBorder="1" applyAlignment="1"/>
    <xf numFmtId="168" fontId="3" fillId="0" borderId="15" xfId="0" applyNumberFormat="1" applyFont="1" applyFill="1" applyBorder="1"/>
    <xf numFmtId="0" fontId="2" fillId="0" borderId="3" xfId="0" applyNumberFormat="1" applyFont="1" applyFill="1" applyBorder="1" applyAlignment="1">
      <alignment horizontal="center"/>
    </xf>
    <xf numFmtId="168" fontId="2" fillId="0" borderId="29" xfId="0" applyNumberFormat="1" applyFont="1" applyFill="1" applyBorder="1" applyAlignment="1"/>
    <xf numFmtId="0" fontId="2" fillId="0" borderId="4" xfId="0" applyNumberFormat="1" applyFont="1" applyFill="1" applyBorder="1" applyAlignment="1">
      <alignment horizontal="center"/>
    </xf>
    <xf numFmtId="168" fontId="2" fillId="0" borderId="0" xfId="0" applyNumberFormat="1" applyFont="1" applyFill="1" applyBorder="1" applyAlignment="1"/>
    <xf numFmtId="0" fontId="2" fillId="0" borderId="90" xfId="0" applyNumberFormat="1" applyFont="1" applyFill="1" applyBorder="1" applyAlignment="1">
      <alignment horizontal="center"/>
    </xf>
    <xf numFmtId="0" fontId="4" fillId="0" borderId="21" xfId="0" applyNumberFormat="1" applyFont="1" applyFill="1" applyBorder="1" applyAlignment="1">
      <alignment horizontal="center"/>
    </xf>
    <xf numFmtId="168" fontId="2" fillId="0" borderId="11" xfId="0" applyNumberFormat="1" applyFont="1" applyFill="1" applyBorder="1" applyAlignment="1"/>
    <xf numFmtId="168" fontId="2" fillId="0" borderId="36" xfId="0" applyNumberFormat="1" applyFont="1" applyFill="1" applyBorder="1"/>
    <xf numFmtId="0" fontId="4" fillId="0" borderId="40" xfId="0" applyNumberFormat="1" applyFont="1" applyFill="1" applyBorder="1" applyAlignment="1">
      <alignment horizontal="center"/>
    </xf>
    <xf numFmtId="0" fontId="2" fillId="0" borderId="94" xfId="0" applyNumberFormat="1" applyFont="1" applyFill="1" applyBorder="1" applyAlignment="1">
      <alignment horizontal="center"/>
    </xf>
    <xf numFmtId="0" fontId="2" fillId="0" borderId="11" xfId="0" applyNumberFormat="1" applyFont="1" applyFill="1" applyBorder="1"/>
    <xf numFmtId="0" fontId="2" fillId="0" borderId="0" xfId="0" applyNumberFormat="1" applyFont="1" applyFill="1" applyBorder="1"/>
    <xf numFmtId="168" fontId="6" fillId="0" borderId="95" xfId="0" applyNumberFormat="1" applyFont="1" applyFill="1" applyBorder="1" applyAlignment="1">
      <alignment horizontal="right"/>
    </xf>
    <xf numFmtId="168" fontId="6" fillId="0" borderId="35" xfId="0" applyNumberFormat="1" applyFont="1" applyFill="1" applyBorder="1" applyAlignment="1">
      <alignment horizontal="right"/>
    </xf>
    <xf numFmtId="9" fontId="2" fillId="0" borderId="0" xfId="4" applyFont="1" applyFill="1"/>
    <xf numFmtId="168" fontId="2" fillId="0" borderId="0" xfId="0" applyNumberFormat="1" applyFont="1" applyFill="1" applyAlignment="1">
      <alignment horizontal="left"/>
    </xf>
    <xf numFmtId="168" fontId="4" fillId="0" borderId="3" xfId="0" applyNumberFormat="1" applyFont="1" applyBorder="1" applyAlignment="1">
      <alignment horizontal="center"/>
    </xf>
    <xf numFmtId="0" fontId="2" fillId="0" borderId="100" xfId="0" applyFont="1" applyFill="1" applyBorder="1" applyAlignment="1">
      <alignment horizontal="left" vertical="center"/>
    </xf>
    <xf numFmtId="38" fontId="2" fillId="0" borderId="0" xfId="0" applyNumberFormat="1" applyFont="1" applyFill="1"/>
    <xf numFmtId="9" fontId="2" fillId="0" borderId="0" xfId="4" applyFont="1" applyFill="1" applyBorder="1"/>
    <xf numFmtId="0" fontId="4" fillId="0" borderId="0" xfId="0" applyNumberFormat="1" applyFont="1" applyFill="1" applyBorder="1" applyAlignment="1">
      <alignment horizontal="center"/>
    </xf>
    <xf numFmtId="168" fontId="2" fillId="0" borderId="163" xfId="0" quotePrefix="1" applyNumberFormat="1" applyFont="1" applyFill="1" applyBorder="1" applyAlignment="1">
      <alignment horizontal="center"/>
    </xf>
    <xf numFmtId="0" fontId="7" fillId="0" borderId="0" xfId="0" applyFont="1" applyFill="1" applyBorder="1" applyAlignment="1" applyProtection="1">
      <protection locked="0"/>
    </xf>
    <xf numFmtId="167" fontId="4" fillId="0" borderId="3" xfId="4" applyNumberFormat="1" applyFont="1" applyFill="1" applyBorder="1" applyAlignment="1">
      <alignment horizontal="center"/>
    </xf>
    <xf numFmtId="167" fontId="6" fillId="0" borderId="3" xfId="4" applyNumberFormat="1" applyFont="1" applyFill="1" applyBorder="1" applyAlignment="1">
      <alignment horizontal="center"/>
    </xf>
    <xf numFmtId="0" fontId="2" fillId="0" borderId="4" xfId="0" applyFont="1" applyFill="1" applyBorder="1"/>
    <xf numFmtId="168" fontId="5" fillId="0" borderId="7" xfId="0" applyNumberFormat="1" applyFont="1" applyFill="1" applyBorder="1" applyAlignment="1">
      <alignment horizontal="right"/>
    </xf>
    <xf numFmtId="0" fontId="4" fillId="0" borderId="3" xfId="0" quotePrefix="1" applyNumberFormat="1" applyFont="1" applyFill="1" applyBorder="1" applyAlignment="1">
      <alignment horizontal="center"/>
    </xf>
    <xf numFmtId="168" fontId="4" fillId="0" borderId="16" xfId="0" quotePrefix="1" applyNumberFormat="1" applyFont="1" applyFill="1" applyBorder="1" applyAlignment="1">
      <alignment horizontal="right"/>
    </xf>
    <xf numFmtId="1" fontId="0" fillId="0" borderId="0" xfId="0" applyNumberFormat="1" applyFont="1" applyFill="1" applyBorder="1"/>
    <xf numFmtId="49" fontId="4" fillId="0" borderId="4" xfId="0" quotePrefix="1" applyNumberFormat="1" applyFont="1" applyFill="1" applyBorder="1" applyAlignment="1">
      <alignment horizontal="center"/>
    </xf>
    <xf numFmtId="0" fontId="5" fillId="0" borderId="4" xfId="0" quotePrefix="1" applyNumberFormat="1" applyFont="1" applyFill="1" applyBorder="1" applyAlignment="1">
      <alignment horizontal="center"/>
    </xf>
    <xf numFmtId="0" fontId="5" fillId="0" borderId="0" xfId="0" applyFont="1" applyFill="1" applyBorder="1" applyAlignment="1">
      <alignment horizontal="center"/>
    </xf>
    <xf numFmtId="0" fontId="4" fillId="0" borderId="0" xfId="0" applyFont="1" applyFill="1" applyBorder="1" applyAlignment="1">
      <alignment horizontal="center"/>
    </xf>
    <xf numFmtId="9" fontId="4" fillId="0" borderId="8" xfId="4" applyFont="1" applyFill="1" applyBorder="1" applyAlignment="1">
      <alignment horizontal="center"/>
    </xf>
    <xf numFmtId="0" fontId="4" fillId="0" borderId="3" xfId="0" applyFont="1" applyFill="1" applyBorder="1" applyAlignment="1">
      <alignment horizontal="center"/>
    </xf>
    <xf numFmtId="49" fontId="6" fillId="0" borderId="1" xfId="0" applyNumberFormat="1" applyFont="1" applyFill="1" applyBorder="1" applyAlignment="1">
      <alignment horizontal="center"/>
    </xf>
    <xf numFmtId="0" fontId="6" fillId="0" borderId="6" xfId="0" applyFont="1" applyFill="1" applyBorder="1" applyAlignment="1">
      <alignment horizontal="center"/>
    </xf>
    <xf numFmtId="9" fontId="6" fillId="0" borderId="83" xfId="4" applyFont="1" applyFill="1" applyBorder="1" applyAlignment="1">
      <alignment wrapText="1"/>
    </xf>
    <xf numFmtId="9" fontId="5" fillId="0" borderId="180" xfId="4" applyFont="1" applyFill="1" applyBorder="1"/>
    <xf numFmtId="168" fontId="6" fillId="0" borderId="92" xfId="0" applyNumberFormat="1" applyFont="1" applyFill="1" applyBorder="1" applyAlignment="1">
      <alignment horizontal="right"/>
    </xf>
    <xf numFmtId="168" fontId="4" fillId="0" borderId="3" xfId="0" quotePrefix="1" applyNumberFormat="1" applyFont="1" applyFill="1" applyBorder="1"/>
    <xf numFmtId="168" fontId="4" fillId="0" borderId="11" xfId="0" applyNumberFormat="1" applyFont="1" applyFill="1" applyBorder="1" applyAlignment="1">
      <alignment horizontal="center" vertical="center"/>
    </xf>
    <xf numFmtId="2" fontId="6" fillId="0" borderId="3" xfId="0" applyNumberFormat="1" applyFont="1" applyFill="1" applyBorder="1" applyAlignment="1">
      <alignment horizontal="right"/>
    </xf>
    <xf numFmtId="168" fontId="2" fillId="0" borderId="34" xfId="0" applyNumberFormat="1" applyFont="1" applyBorder="1"/>
    <xf numFmtId="176" fontId="4" fillId="0" borderId="4" xfId="2" applyNumberFormat="1" applyFont="1" applyFill="1" applyBorder="1" applyAlignment="1">
      <alignment horizontal="center"/>
    </xf>
    <xf numFmtId="0" fontId="5" fillId="0" borderId="100" xfId="0" applyFont="1" applyFill="1" applyBorder="1" applyAlignment="1">
      <alignment horizontal="left" indent="1"/>
    </xf>
    <xf numFmtId="0" fontId="2" fillId="0" borderId="100" xfId="0" applyFont="1" applyFill="1" applyBorder="1" applyAlignment="1">
      <alignment horizontal="left" vertical="top" wrapText="1"/>
    </xf>
    <xf numFmtId="168" fontId="6" fillId="0" borderId="49" xfId="0" applyNumberFormat="1" applyFont="1" applyFill="1" applyBorder="1" applyAlignment="1">
      <alignment horizontal="right"/>
    </xf>
    <xf numFmtId="15" fontId="4" fillId="0" borderId="4" xfId="0" applyNumberFormat="1" applyFont="1" applyFill="1" applyBorder="1" applyAlignment="1">
      <alignment horizontal="center"/>
    </xf>
    <xf numFmtId="10" fontId="6" fillId="0" borderId="3" xfId="0" applyNumberFormat="1" applyFont="1" applyFill="1" applyBorder="1" applyAlignment="1">
      <alignment horizontal="right"/>
    </xf>
    <xf numFmtId="2" fontId="4" fillId="0" borderId="3" xfId="0" applyNumberFormat="1" applyFont="1" applyFill="1" applyBorder="1" applyAlignment="1">
      <alignment horizontal="right"/>
    </xf>
    <xf numFmtId="173" fontId="4" fillId="0" borderId="3" xfId="0" applyNumberFormat="1" applyFont="1" applyFill="1" applyBorder="1" applyAlignment="1">
      <alignment horizontal="right"/>
    </xf>
    <xf numFmtId="0" fontId="4" fillId="0" borderId="3" xfId="0" applyFont="1" applyFill="1" applyBorder="1" applyAlignment="1">
      <alignment horizontal="right"/>
    </xf>
    <xf numFmtId="168" fontId="4" fillId="0" borderId="5" xfId="0" applyNumberFormat="1" applyFont="1" applyFill="1" applyBorder="1" applyAlignment="1">
      <alignment horizontal="right"/>
    </xf>
    <xf numFmtId="167" fontId="4" fillId="0" borderId="3" xfId="0" applyNumberFormat="1" applyFont="1" applyFill="1" applyBorder="1" applyAlignment="1">
      <alignment horizontal="right"/>
    </xf>
    <xf numFmtId="3" fontId="4" fillId="0" borderId="3" xfId="0" applyNumberFormat="1" applyFont="1" applyFill="1" applyBorder="1"/>
    <xf numFmtId="168" fontId="6" fillId="0" borderId="69" xfId="0" applyNumberFormat="1" applyFont="1" applyFill="1" applyBorder="1"/>
    <xf numFmtId="9" fontId="4" fillId="0" borderId="3" xfId="4" applyFont="1" applyFill="1" applyBorder="1" applyAlignment="1">
      <alignment horizontal="right"/>
    </xf>
    <xf numFmtId="167" fontId="4" fillId="0" borderId="3" xfId="4" applyNumberFormat="1" applyFont="1" applyFill="1" applyBorder="1" applyAlignment="1">
      <alignment horizontal="right"/>
    </xf>
    <xf numFmtId="3" fontId="2" fillId="0" borderId="16" xfId="0" applyNumberFormat="1" applyFont="1" applyFill="1" applyBorder="1" applyAlignment="1">
      <alignment horizontal="center"/>
    </xf>
    <xf numFmtId="0" fontId="6" fillId="0" borderId="97" xfId="0" applyFont="1" applyFill="1" applyBorder="1" applyAlignment="1">
      <alignment horizontal="left"/>
    </xf>
    <xf numFmtId="178" fontId="0" fillId="0" borderId="3" xfId="0" applyNumberFormat="1" applyFill="1" applyBorder="1"/>
    <xf numFmtId="10" fontId="2" fillId="0" borderId="3" xfId="4" applyNumberFormat="1" applyFont="1" applyFill="1" applyBorder="1"/>
    <xf numFmtId="0" fontId="2" fillId="0" borderId="97" xfId="0" applyFont="1" applyFill="1" applyBorder="1" applyAlignment="1">
      <alignment horizontal="left"/>
    </xf>
    <xf numFmtId="2" fontId="6" fillId="0" borderId="11" xfId="0" applyNumberFormat="1" applyFont="1" applyFill="1" applyBorder="1" applyAlignment="1">
      <alignment horizontal="right"/>
    </xf>
    <xf numFmtId="3" fontId="4" fillId="0" borderId="3" xfId="0" applyNumberFormat="1" applyFont="1" applyFill="1" applyBorder="1" applyAlignment="1">
      <alignment horizontal="center"/>
    </xf>
    <xf numFmtId="168" fontId="33" fillId="0" borderId="3" xfId="0" applyNumberFormat="1" applyFont="1" applyFill="1" applyBorder="1" applyAlignment="1">
      <alignment horizontal="right"/>
    </xf>
    <xf numFmtId="0" fontId="2" fillId="0" borderId="97" xfId="0" applyFont="1" applyFill="1" applyBorder="1"/>
    <xf numFmtId="168" fontId="2" fillId="0" borderId="11" xfId="0" applyNumberFormat="1" applyFont="1" applyFill="1" applyBorder="1" applyAlignment="1">
      <alignment horizontal="right"/>
    </xf>
    <xf numFmtId="168" fontId="14" fillId="0" borderId="16" xfId="0" applyNumberFormat="1" applyFont="1" applyFill="1" applyBorder="1"/>
    <xf numFmtId="168" fontId="6" fillId="0" borderId="181" xfId="0" applyNumberFormat="1" applyFont="1" applyFill="1" applyBorder="1"/>
    <xf numFmtId="168" fontId="25" fillId="0" borderId="16" xfId="0" applyNumberFormat="1" applyFont="1" applyFill="1" applyBorder="1"/>
    <xf numFmtId="168" fontId="7" fillId="0" borderId="16" xfId="0" applyNumberFormat="1" applyFont="1" applyFill="1" applyBorder="1"/>
    <xf numFmtId="168" fontId="6" fillId="0" borderId="169" xfId="0" applyNumberFormat="1" applyFont="1" applyFill="1" applyBorder="1"/>
    <xf numFmtId="168" fontId="6" fillId="0" borderId="50" xfId="0" applyNumberFormat="1" applyFont="1" applyFill="1" applyBorder="1"/>
    <xf numFmtId="168" fontId="6" fillId="0" borderId="182" xfId="0" applyNumberFormat="1" applyFont="1" applyFill="1" applyBorder="1"/>
    <xf numFmtId="10" fontId="4" fillId="0" borderId="4" xfId="0" applyNumberFormat="1" applyFont="1" applyFill="1" applyBorder="1" applyAlignment="1">
      <alignment horizontal="right"/>
    </xf>
    <xf numFmtId="168" fontId="4" fillId="0" borderId="19" xfId="0" applyNumberFormat="1" applyFont="1" applyFill="1" applyBorder="1" applyAlignment="1">
      <alignment horizontal="right"/>
    </xf>
    <xf numFmtId="3" fontId="2" fillId="0" borderId="67" xfId="0" applyNumberFormat="1" applyFont="1" applyFill="1" applyBorder="1" applyAlignment="1">
      <alignment horizontal="center"/>
    </xf>
    <xf numFmtId="173" fontId="6" fillId="0" borderId="4" xfId="0" applyNumberFormat="1" applyFont="1" applyFill="1" applyBorder="1" applyAlignment="1">
      <alignment horizontal="right"/>
    </xf>
    <xf numFmtId="3" fontId="4" fillId="0" borderId="90" xfId="0" applyNumberFormat="1" applyFont="1" applyFill="1" applyBorder="1" applyAlignment="1">
      <alignment horizontal="right"/>
    </xf>
    <xf numFmtId="167" fontId="4" fillId="0" borderId="4" xfId="4" applyNumberFormat="1" applyFont="1" applyFill="1" applyBorder="1" applyAlignment="1">
      <alignment horizontal="right"/>
    </xf>
    <xf numFmtId="167" fontId="4" fillId="0" borderId="4" xfId="0" applyNumberFormat="1" applyFont="1" applyFill="1" applyBorder="1" applyAlignment="1">
      <alignment horizontal="right"/>
    </xf>
    <xf numFmtId="9" fontId="4" fillId="0" borderId="4" xfId="4" applyFont="1" applyFill="1" applyBorder="1" applyAlignment="1">
      <alignment horizontal="right"/>
    </xf>
    <xf numFmtId="3" fontId="33" fillId="0" borderId="90" xfId="0" applyNumberFormat="1" applyFont="1" applyFill="1" applyBorder="1" applyAlignment="1">
      <alignment horizontal="right"/>
    </xf>
    <xf numFmtId="3" fontId="33" fillId="0" borderId="4" xfId="0" applyNumberFormat="1" applyFont="1" applyFill="1" applyBorder="1" applyAlignment="1">
      <alignment horizontal="right"/>
    </xf>
    <xf numFmtId="2" fontId="4" fillId="0" borderId="4" xfId="0" applyNumberFormat="1" applyFont="1" applyFill="1" applyBorder="1" applyAlignment="1">
      <alignment horizontal="right"/>
    </xf>
    <xf numFmtId="173" fontId="4" fillId="0" borderId="4" xfId="0" applyNumberFormat="1" applyFont="1" applyFill="1" applyBorder="1" applyAlignment="1">
      <alignment horizontal="right"/>
    </xf>
    <xf numFmtId="0" fontId="4" fillId="0" borderId="4" xfId="0" applyFont="1" applyFill="1" applyBorder="1" applyAlignment="1">
      <alignment horizontal="right"/>
    </xf>
    <xf numFmtId="3" fontId="4" fillId="0" borderId="4" xfId="0" applyNumberFormat="1" applyFont="1" applyFill="1" applyBorder="1" applyAlignment="1">
      <alignment horizontal="right"/>
    </xf>
    <xf numFmtId="2" fontId="6" fillId="0" borderId="4" xfId="0" applyNumberFormat="1" applyFont="1" applyFill="1" applyBorder="1" applyAlignment="1">
      <alignment horizontal="right"/>
    </xf>
    <xf numFmtId="10" fontId="6" fillId="0" borderId="4" xfId="0" applyNumberFormat="1" applyFont="1" applyFill="1" applyBorder="1" applyAlignment="1">
      <alignment horizontal="right"/>
    </xf>
    <xf numFmtId="10" fontId="6" fillId="0" borderId="4" xfId="0" applyNumberFormat="1" applyFont="1" applyFill="1" applyBorder="1" applyAlignment="1">
      <alignment horizontal="center"/>
    </xf>
    <xf numFmtId="168" fontId="6" fillId="0" borderId="74" xfId="0" applyNumberFormat="1" applyFont="1" applyFill="1" applyBorder="1" applyAlignment="1">
      <alignment horizontal="right"/>
    </xf>
    <xf numFmtId="3" fontId="6" fillId="0" borderId="74" xfId="0" applyNumberFormat="1" applyFont="1" applyFill="1" applyBorder="1" applyAlignment="1">
      <alignment horizontal="right"/>
    </xf>
    <xf numFmtId="0" fontId="33" fillId="0" borderId="4" xfId="0" applyFont="1" applyFill="1" applyBorder="1" applyAlignment="1">
      <alignment horizontal="right"/>
    </xf>
    <xf numFmtId="3" fontId="10" fillId="0" borderId="74" xfId="0" applyNumberFormat="1" applyFont="1" applyFill="1" applyBorder="1" applyAlignment="1">
      <alignment horizontal="right"/>
    </xf>
    <xf numFmtId="0" fontId="35" fillId="0" borderId="4" xfId="0" applyFont="1" applyFill="1" applyBorder="1" applyAlignment="1">
      <alignment horizontal="right"/>
    </xf>
    <xf numFmtId="168" fontId="33" fillId="0" borderId="4" xfId="0" applyNumberFormat="1" applyFont="1" applyFill="1" applyBorder="1" applyAlignment="1">
      <alignment horizontal="right"/>
    </xf>
    <xf numFmtId="3" fontId="2" fillId="0" borderId="4" xfId="0" applyNumberFormat="1" applyFont="1" applyFill="1" applyBorder="1" applyAlignment="1">
      <alignment horizontal="center"/>
    </xf>
    <xf numFmtId="167" fontId="6" fillId="0" borderId="4" xfId="0" applyNumberFormat="1" applyFont="1" applyFill="1" applyBorder="1" applyAlignment="1">
      <alignment horizontal="right"/>
    </xf>
    <xf numFmtId="3" fontId="4" fillId="0" borderId="94" xfId="0" applyNumberFormat="1" applyFont="1" applyFill="1" applyBorder="1" applyAlignment="1">
      <alignment horizontal="right"/>
    </xf>
    <xf numFmtId="2" fontId="6" fillId="0" borderId="19" xfId="0" applyNumberFormat="1" applyFont="1" applyFill="1" applyBorder="1" applyAlignment="1">
      <alignment horizontal="right"/>
    </xf>
    <xf numFmtId="170" fontId="6" fillId="0" borderId="4" xfId="0" applyNumberFormat="1" applyFont="1" applyFill="1" applyBorder="1" applyAlignment="1">
      <alignment horizontal="right"/>
    </xf>
    <xf numFmtId="9" fontId="2" fillId="0" borderId="4" xfId="4" applyFont="1" applyFill="1" applyBorder="1"/>
    <xf numFmtId="178" fontId="0" fillId="0" borderId="4" xfId="0" applyNumberFormat="1" applyFill="1" applyBorder="1"/>
    <xf numFmtId="10" fontId="2" fillId="0" borderId="4" xfId="4" applyNumberFormat="1" applyFont="1" applyFill="1" applyBorder="1"/>
    <xf numFmtId="0" fontId="7" fillId="0" borderId="34" xfId="0" applyFont="1" applyFill="1" applyBorder="1"/>
    <xf numFmtId="0" fontId="2" fillId="0" borderId="139" xfId="0" applyFont="1" applyFill="1" applyBorder="1" applyAlignment="1">
      <alignment horizontal="left"/>
    </xf>
    <xf numFmtId="173" fontId="6" fillId="0" borderId="61" xfId="0" applyNumberFormat="1" applyFont="1" applyFill="1" applyBorder="1" applyAlignment="1">
      <alignment horizontal="center"/>
    </xf>
    <xf numFmtId="173" fontId="6" fillId="0" borderId="67" xfId="0" applyNumberFormat="1" applyFont="1" applyFill="1" applyBorder="1" applyAlignment="1">
      <alignment horizontal="center"/>
    </xf>
    <xf numFmtId="173" fontId="6" fillId="0" borderId="61" xfId="0" applyNumberFormat="1" applyFont="1" applyFill="1" applyBorder="1" applyAlignment="1">
      <alignment horizontal="right"/>
    </xf>
    <xf numFmtId="173" fontId="6" fillId="0" borderId="67" xfId="0" applyNumberFormat="1" applyFont="1" applyFill="1" applyBorder="1" applyAlignment="1">
      <alignment horizontal="right"/>
    </xf>
    <xf numFmtId="168" fontId="2" fillId="0" borderId="95" xfId="0" applyNumberFormat="1" applyFont="1" applyFill="1" applyBorder="1"/>
    <xf numFmtId="168" fontId="4" fillId="0" borderId="39" xfId="0" applyNumberFormat="1" applyFont="1" applyFill="1" applyBorder="1"/>
    <xf numFmtId="168" fontId="4" fillId="0" borderId="16" xfId="0" applyNumberFormat="1" applyFont="1" applyFill="1" applyBorder="1" applyAlignment="1"/>
    <xf numFmtId="168" fontId="2" fillId="0" borderId="3" xfId="0" applyNumberFormat="1" applyFont="1" applyFill="1" applyBorder="1" applyAlignment="1"/>
    <xf numFmtId="168" fontId="2" fillId="0" borderId="94" xfId="0" applyNumberFormat="1" applyFont="1" applyFill="1" applyBorder="1" applyAlignment="1"/>
    <xf numFmtId="168" fontId="2" fillId="0" borderId="40" xfId="0" applyNumberFormat="1" applyFont="1" applyFill="1" applyBorder="1" applyAlignment="1"/>
    <xf numFmtId="168" fontId="5" fillId="0" borderId="3" xfId="0" quotePrefix="1" applyNumberFormat="1" applyFont="1" applyFill="1" applyBorder="1" applyAlignment="1"/>
    <xf numFmtId="168" fontId="6" fillId="0" borderId="136" xfId="0" quotePrefix="1" applyNumberFormat="1" applyFont="1" applyFill="1" applyBorder="1" applyAlignment="1">
      <alignment horizontal="center"/>
    </xf>
    <xf numFmtId="168" fontId="7" fillId="0" borderId="5" xfId="0" applyNumberFormat="1" applyFont="1" applyFill="1" applyBorder="1" applyAlignment="1">
      <alignment horizontal="left"/>
    </xf>
    <xf numFmtId="168" fontId="5" fillId="0" borderId="29" xfId="0" applyNumberFormat="1" applyFont="1" applyFill="1" applyBorder="1" applyAlignment="1">
      <alignment horizontal="center"/>
    </xf>
    <xf numFmtId="0" fontId="6" fillId="0" borderId="52" xfId="0" quotePrefix="1" applyNumberFormat="1" applyFont="1" applyFill="1" applyBorder="1" applyAlignment="1">
      <alignment horizontal="center"/>
    </xf>
    <xf numFmtId="168" fontId="6" fillId="0" borderId="141" xfId="0" quotePrefix="1" applyNumberFormat="1" applyFont="1" applyFill="1" applyBorder="1" applyAlignment="1">
      <alignment horizontal="center"/>
    </xf>
    <xf numFmtId="175" fontId="5" fillId="0" borderId="15" xfId="0" applyNumberFormat="1" applyFont="1" applyFill="1" applyBorder="1" applyAlignment="1"/>
    <xf numFmtId="168" fontId="6" fillId="0" borderId="95" xfId="0" applyNumberFormat="1" applyFont="1" applyFill="1" applyBorder="1" applyAlignment="1"/>
    <xf numFmtId="168" fontId="5" fillId="0" borderId="35" xfId="0" applyNumberFormat="1" applyFont="1" applyFill="1" applyBorder="1"/>
    <xf numFmtId="168" fontId="6" fillId="0" borderId="155" xfId="0" applyNumberFormat="1" applyFont="1" applyFill="1" applyBorder="1"/>
    <xf numFmtId="168" fontId="6" fillId="0" borderId="183" xfId="0" applyNumberFormat="1" applyFont="1" applyFill="1" applyBorder="1"/>
    <xf numFmtId="168" fontId="6" fillId="0" borderId="140" xfId="0" applyNumberFormat="1" applyFont="1" applyFill="1" applyBorder="1"/>
    <xf numFmtId="0" fontId="6" fillId="0" borderId="140" xfId="0" applyNumberFormat="1" applyFont="1" applyFill="1" applyBorder="1" applyAlignment="1">
      <alignment horizontal="center"/>
    </xf>
    <xf numFmtId="168" fontId="7" fillId="0" borderId="140" xfId="0" applyNumberFormat="1" applyFont="1" applyFill="1" applyBorder="1" applyAlignment="1">
      <alignment horizontal="left"/>
    </xf>
    <xf numFmtId="168" fontId="6" fillId="0" borderId="179" xfId="0" applyNumberFormat="1" applyFont="1" applyFill="1" applyBorder="1" applyAlignment="1"/>
    <xf numFmtId="168" fontId="6" fillId="0" borderId="140" xfId="0" applyNumberFormat="1" applyFont="1" applyFill="1" applyBorder="1" applyAlignment="1">
      <alignment horizontal="center"/>
    </xf>
    <xf numFmtId="168" fontId="6" fillId="0" borderId="184" xfId="0" applyNumberFormat="1" applyFont="1" applyFill="1" applyBorder="1"/>
    <xf numFmtId="168" fontId="6" fillId="0" borderId="179" xfId="0" applyNumberFormat="1" applyFont="1" applyFill="1" applyBorder="1"/>
    <xf numFmtId="1" fontId="6" fillId="0" borderId="149" xfId="0" applyNumberFormat="1" applyFont="1" applyFill="1" applyBorder="1" applyAlignment="1">
      <alignment horizontal="center"/>
    </xf>
    <xf numFmtId="9" fontId="5" fillId="0" borderId="16" xfId="4" applyFont="1" applyFill="1" applyBorder="1" applyAlignment="1"/>
    <xf numFmtId="9" fontId="5" fillId="0" borderId="3" xfId="4" applyFont="1" applyFill="1" applyBorder="1" applyAlignment="1"/>
    <xf numFmtId="166" fontId="5" fillId="0" borderId="16" xfId="1" applyNumberFormat="1" applyFont="1" applyFill="1" applyBorder="1" applyAlignment="1"/>
    <xf numFmtId="166" fontId="5" fillId="0" borderId="3" xfId="1" applyNumberFormat="1" applyFont="1" applyFill="1" applyBorder="1" applyAlignment="1"/>
    <xf numFmtId="171" fontId="5" fillId="0" borderId="3" xfId="0" applyNumberFormat="1" applyFont="1" applyFill="1" applyBorder="1" applyAlignment="1"/>
    <xf numFmtId="168" fontId="6" fillId="0" borderId="52" xfId="0" applyNumberFormat="1" applyFont="1" applyFill="1" applyBorder="1" applyAlignment="1">
      <alignment horizontal="center"/>
    </xf>
    <xf numFmtId="168" fontId="6" fillId="0" borderId="185" xfId="0" quotePrefix="1" applyNumberFormat="1" applyFont="1" applyFill="1" applyBorder="1" applyAlignment="1">
      <alignment horizontal="center"/>
    </xf>
    <xf numFmtId="168" fontId="6" fillId="0" borderId="162" xfId="0" applyNumberFormat="1" applyFont="1" applyFill="1" applyBorder="1" applyAlignment="1">
      <alignment horizontal="left"/>
    </xf>
    <xf numFmtId="168" fontId="6" fillId="0" borderId="68" xfId="0" quotePrefix="1" applyNumberFormat="1" applyFont="1" applyFill="1" applyBorder="1" applyAlignment="1">
      <alignment horizontal="center"/>
    </xf>
    <xf numFmtId="168" fontId="2" fillId="0" borderId="160" xfId="0" quotePrefix="1" applyNumberFormat="1" applyFont="1" applyFill="1" applyBorder="1" applyAlignment="1">
      <alignment horizontal="center"/>
    </xf>
    <xf numFmtId="168" fontId="2" fillId="0" borderId="88" xfId="0" quotePrefix="1" applyNumberFormat="1" applyFont="1" applyFill="1" applyBorder="1" applyAlignment="1">
      <alignment horizontal="center"/>
    </xf>
    <xf numFmtId="168" fontId="6" fillId="0" borderId="159" xfId="0" quotePrefix="1" applyNumberFormat="1" applyFont="1" applyFill="1" applyBorder="1" applyAlignment="1">
      <alignment horizontal="center"/>
    </xf>
    <xf numFmtId="168" fontId="6" fillId="0" borderId="160" xfId="0" applyNumberFormat="1" applyFont="1" applyFill="1" applyBorder="1" applyAlignment="1">
      <alignment horizontal="left"/>
    </xf>
    <xf numFmtId="168" fontId="8" fillId="0" borderId="68" xfId="0" applyNumberFormat="1" applyFont="1" applyFill="1" applyBorder="1" applyAlignment="1">
      <alignment vertical="center"/>
    </xf>
    <xf numFmtId="168" fontId="2" fillId="0" borderId="7" xfId="0" applyNumberFormat="1" applyFont="1" applyFill="1" applyBorder="1" applyAlignment="1">
      <alignment horizontal="center"/>
    </xf>
    <xf numFmtId="168" fontId="6" fillId="0" borderId="178" xfId="0" applyNumberFormat="1" applyFont="1" applyFill="1" applyBorder="1"/>
    <xf numFmtId="168" fontId="14" fillId="0" borderId="7" xfId="0" applyNumberFormat="1" applyFont="1" applyFill="1" applyBorder="1"/>
    <xf numFmtId="168" fontId="6" fillId="0" borderId="7" xfId="0" applyNumberFormat="1" applyFont="1" applyFill="1" applyBorder="1"/>
    <xf numFmtId="168" fontId="6" fillId="0" borderId="134" xfId="0" applyNumberFormat="1" applyFont="1" applyFill="1" applyBorder="1"/>
    <xf numFmtId="168" fontId="8" fillId="0" borderId="38" xfId="0" applyNumberFormat="1" applyFont="1" applyFill="1" applyBorder="1" applyAlignment="1">
      <alignment vertical="center"/>
    </xf>
    <xf numFmtId="168" fontId="5" fillId="0" borderId="39" xfId="0" applyNumberFormat="1" applyFont="1" applyFill="1" applyBorder="1" applyAlignment="1"/>
    <xf numFmtId="168" fontId="5" fillId="0" borderId="134" xfId="0" applyNumberFormat="1" applyFont="1" applyFill="1" applyBorder="1"/>
    <xf numFmtId="10" fontId="5" fillId="0" borderId="3" xfId="4" applyNumberFormat="1" applyFont="1" applyFill="1" applyBorder="1" applyAlignment="1">
      <alignment horizontal="center"/>
    </xf>
    <xf numFmtId="168" fontId="6" fillId="0" borderId="186" xfId="0" applyNumberFormat="1" applyFont="1" applyFill="1" applyBorder="1"/>
    <xf numFmtId="0" fontId="17" fillId="0" borderId="0" xfId="0" applyFont="1" applyFill="1" applyBorder="1" applyAlignment="1">
      <alignment horizontal="center" vertical="center"/>
    </xf>
    <xf numFmtId="0" fontId="6" fillId="0" borderId="0" xfId="0" applyFont="1" applyFill="1" applyBorder="1" applyAlignment="1">
      <alignment horizontal="center" vertical="center"/>
    </xf>
    <xf numFmtId="38" fontId="6" fillId="0" borderId="0" xfId="1" applyNumberFormat="1" applyFont="1" applyFill="1" applyBorder="1"/>
    <xf numFmtId="0" fontId="7" fillId="0" borderId="0" xfId="0" applyFont="1" applyFill="1" applyBorder="1" applyAlignment="1">
      <alignment horizontal="center" vertical="center"/>
    </xf>
    <xf numFmtId="0" fontId="6" fillId="0" borderId="84" xfId="0" quotePrefix="1" applyFont="1" applyFill="1" applyBorder="1" applyAlignment="1">
      <alignment horizontal="center"/>
    </xf>
    <xf numFmtId="168" fontId="2" fillId="0" borderId="136" xfId="0" applyNumberFormat="1" applyFont="1" applyFill="1" applyBorder="1" applyAlignment="1">
      <alignment horizontal="center"/>
    </xf>
    <xf numFmtId="168" fontId="2" fillId="0" borderId="48" xfId="0" applyNumberFormat="1" applyFont="1" applyFill="1" applyBorder="1" applyAlignment="1">
      <alignment horizontal="center"/>
    </xf>
    <xf numFmtId="168" fontId="2" fillId="0" borderId="40" xfId="0" applyNumberFormat="1" applyFont="1" applyFill="1" applyBorder="1" applyAlignment="1">
      <alignment horizontal="center"/>
    </xf>
    <xf numFmtId="9" fontId="2" fillId="0" borderId="40" xfId="4" applyFont="1" applyFill="1" applyBorder="1" applyAlignment="1">
      <alignment horizontal="center"/>
    </xf>
    <xf numFmtId="168" fontId="2" fillId="0" borderId="41" xfId="0" applyNumberFormat="1" applyFont="1" applyFill="1" applyBorder="1" applyAlignment="1">
      <alignment horizontal="center"/>
    </xf>
    <xf numFmtId="168" fontId="2" fillId="0" borderId="39" xfId="0" applyNumberFormat="1" applyFont="1" applyFill="1" applyBorder="1"/>
    <xf numFmtId="9" fontId="2" fillId="0" borderId="3" xfId="4" applyFont="1" applyFill="1" applyBorder="1" applyAlignment="1">
      <alignment horizontal="center"/>
    </xf>
    <xf numFmtId="168" fontId="2" fillId="0" borderId="42" xfId="0" applyNumberFormat="1" applyFont="1" applyFill="1" applyBorder="1"/>
    <xf numFmtId="10" fontId="2" fillId="0" borderId="3" xfId="4" applyNumberFormat="1" applyFont="1" applyFill="1" applyBorder="1" applyAlignment="1">
      <alignment horizontal="center"/>
    </xf>
    <xf numFmtId="9" fontId="2" fillId="0" borderId="38" xfId="4" applyFont="1" applyFill="1" applyBorder="1" applyAlignment="1">
      <alignment horizontal="center"/>
    </xf>
    <xf numFmtId="168" fontId="2" fillId="0" borderId="91" xfId="0" applyNumberFormat="1" applyFont="1" applyFill="1" applyBorder="1" applyAlignment="1">
      <alignment horizontal="center"/>
    </xf>
    <xf numFmtId="168" fontId="2" fillId="0" borderId="41" xfId="0" applyNumberFormat="1" applyFont="1" applyFill="1" applyBorder="1"/>
    <xf numFmtId="9" fontId="2" fillId="0" borderId="0" xfId="4" applyFont="1" applyFill="1" applyBorder="1" applyAlignment="1">
      <alignment horizontal="center"/>
    </xf>
    <xf numFmtId="168" fontId="2" fillId="0" borderId="8" xfId="0" applyNumberFormat="1" applyFont="1" applyFill="1" applyBorder="1" applyAlignment="1">
      <alignment horizontal="center"/>
    </xf>
    <xf numFmtId="0" fontId="4" fillId="0" borderId="4" xfId="0" applyFont="1" applyFill="1" applyBorder="1" applyAlignment="1">
      <alignment horizontal="left"/>
    </xf>
    <xf numFmtId="0" fontId="4" fillId="0" borderId="3" xfId="0" applyFont="1" applyFill="1" applyBorder="1" applyAlignment="1">
      <alignment horizontal="left"/>
    </xf>
    <xf numFmtId="0" fontId="14" fillId="0" borderId="4" xfId="0" applyFont="1" applyFill="1" applyBorder="1" applyAlignment="1">
      <alignment horizontal="center"/>
    </xf>
    <xf numFmtId="14" fontId="4" fillId="0" borderId="4" xfId="0" applyNumberFormat="1" applyFont="1" applyFill="1" applyBorder="1" applyAlignment="1">
      <alignment horizontal="center"/>
    </xf>
    <xf numFmtId="0" fontId="16" fillId="0" borderId="94" xfId="0" applyFont="1" applyFill="1" applyBorder="1" applyAlignment="1">
      <alignment horizontal="center"/>
    </xf>
    <xf numFmtId="0" fontId="16" fillId="0" borderId="117" xfId="0" applyFont="1" applyFill="1" applyBorder="1" applyAlignment="1">
      <alignment horizontal="center"/>
    </xf>
    <xf numFmtId="9" fontId="0" fillId="0" borderId="3" xfId="4" applyFont="1" applyFill="1" applyBorder="1" applyAlignment="1">
      <alignment horizontal="center"/>
    </xf>
    <xf numFmtId="9" fontId="13" fillId="0" borderId="3" xfId="4" applyFont="1" applyFill="1" applyBorder="1" applyAlignment="1">
      <alignment horizontal="center"/>
    </xf>
    <xf numFmtId="167" fontId="0" fillId="0" borderId="3" xfId="4" applyNumberFormat="1" applyFont="1" applyFill="1" applyBorder="1" applyAlignment="1">
      <alignment horizontal="center"/>
    </xf>
    <xf numFmtId="10" fontId="14" fillId="0" borderId="3" xfId="4" applyNumberFormat="1" applyFont="1" applyFill="1" applyBorder="1" applyAlignment="1">
      <alignment horizontal="center"/>
    </xf>
    <xf numFmtId="175" fontId="3" fillId="0" borderId="4" xfId="0" applyNumberFormat="1" applyFont="1" applyFill="1" applyBorder="1" applyAlignment="1">
      <alignment horizontal="left"/>
    </xf>
    <xf numFmtId="175" fontId="3" fillId="0" borderId="124" xfId="0" applyNumberFormat="1" applyFont="1" applyFill="1" applyBorder="1" applyAlignment="1">
      <alignment horizontal="left"/>
    </xf>
    <xf numFmtId="1" fontId="3" fillId="0" borderId="4" xfId="0" applyNumberFormat="1" applyFont="1" applyFill="1" applyBorder="1" applyAlignment="1">
      <alignment horizontal="left"/>
    </xf>
    <xf numFmtId="1" fontId="3" fillId="0" borderId="124" xfId="0" applyNumberFormat="1" applyFont="1" applyFill="1" applyBorder="1" applyAlignment="1">
      <alignment horizontal="left"/>
    </xf>
    <xf numFmtId="168" fontId="7" fillId="0" borderId="29" xfId="0" applyNumberFormat="1" applyFont="1" applyFill="1" applyBorder="1" applyAlignment="1">
      <alignment horizontal="left"/>
    </xf>
    <xf numFmtId="168" fontId="7" fillId="0" borderId="40" xfId="0" applyNumberFormat="1" applyFont="1" applyFill="1" applyBorder="1" applyAlignment="1">
      <alignment horizontal="left"/>
    </xf>
    <xf numFmtId="167" fontId="2" fillId="0" borderId="3" xfId="4" applyNumberFormat="1" applyFont="1" applyBorder="1" applyAlignment="1">
      <alignment horizontal="center"/>
    </xf>
    <xf numFmtId="167" fontId="2" fillId="0" borderId="3" xfId="4" applyNumberFormat="1" applyFont="1" applyFill="1" applyBorder="1" applyAlignment="1">
      <alignment horizontal="right"/>
    </xf>
    <xf numFmtId="167" fontId="2" fillId="0" borderId="4" xfId="4" applyNumberFormat="1" applyFont="1" applyFill="1" applyBorder="1" applyAlignment="1">
      <alignment horizontal="right"/>
    </xf>
    <xf numFmtId="0" fontId="6" fillId="0" borderId="1" xfId="0" applyNumberFormat="1" applyFont="1" applyFill="1" applyBorder="1" applyAlignment="1">
      <alignment horizontal="center"/>
    </xf>
    <xf numFmtId="168" fontId="3" fillId="0" borderId="29" xfId="0" applyNumberFormat="1" applyFont="1" applyFill="1" applyBorder="1" applyAlignment="1">
      <alignment horizontal="left"/>
    </xf>
    <xf numFmtId="10" fontId="4" fillId="0" borderId="7" xfId="4" applyNumberFormat="1" applyFont="1" applyFill="1" applyBorder="1" applyAlignment="1">
      <alignment horizontal="right"/>
    </xf>
    <xf numFmtId="168" fontId="5" fillId="0" borderId="49" xfId="0" applyNumberFormat="1" applyFont="1" applyFill="1" applyBorder="1" applyAlignment="1"/>
    <xf numFmtId="168" fontId="8" fillId="0" borderId="88" xfId="0" applyNumberFormat="1" applyFont="1" applyFill="1" applyBorder="1" applyAlignment="1">
      <alignment vertical="center"/>
    </xf>
    <xf numFmtId="166" fontId="0" fillId="0" borderId="0" xfId="1" applyNumberFormat="1" applyFont="1" applyFill="1" applyAlignment="1">
      <alignment horizontal="left"/>
    </xf>
    <xf numFmtId="8" fontId="0" fillId="0" borderId="0" xfId="0" applyNumberFormat="1" applyFill="1" applyAlignment="1">
      <alignment horizontal="left"/>
    </xf>
    <xf numFmtId="167" fontId="0" fillId="0" borderId="0" xfId="4" applyNumberFormat="1" applyFont="1" applyFill="1" applyAlignment="1">
      <alignment horizontal="left"/>
    </xf>
    <xf numFmtId="168" fontId="2" fillId="0" borderId="59" xfId="0" applyNumberFormat="1" applyFont="1" applyFill="1" applyBorder="1"/>
    <xf numFmtId="168" fontId="2" fillId="0" borderId="164" xfId="0" applyNumberFormat="1" applyFont="1" applyFill="1" applyBorder="1"/>
    <xf numFmtId="168" fontId="2" fillId="0" borderId="18" xfId="0" applyNumberFormat="1" applyFont="1" applyFill="1" applyBorder="1"/>
    <xf numFmtId="168" fontId="2" fillId="0" borderId="82" xfId="0" applyNumberFormat="1" applyFont="1" applyFill="1" applyBorder="1"/>
    <xf numFmtId="9" fontId="6" fillId="0" borderId="8" xfId="4" applyFont="1" applyFill="1" applyBorder="1" applyAlignment="1">
      <alignment horizontal="center"/>
    </xf>
    <xf numFmtId="38" fontId="6" fillId="0" borderId="4" xfId="0" applyNumberFormat="1" applyFont="1" applyFill="1" applyBorder="1" applyAlignment="1">
      <alignment horizontal="center"/>
    </xf>
    <xf numFmtId="166" fontId="5" fillId="0" borderId="0" xfId="1" applyNumberFormat="1" applyFont="1" applyFill="1"/>
    <xf numFmtId="178" fontId="5" fillId="0" borderId="0" xfId="0" applyNumberFormat="1" applyFont="1" applyFill="1"/>
    <xf numFmtId="9" fontId="5" fillId="0" borderId="0" xfId="0" applyNumberFormat="1" applyFont="1" applyFill="1"/>
    <xf numFmtId="168" fontId="5" fillId="0" borderId="0" xfId="1" applyNumberFormat="1" applyFont="1" applyFill="1"/>
    <xf numFmtId="166" fontId="4" fillId="0" borderId="3" xfId="1" applyNumberFormat="1" applyFont="1" applyFill="1" applyBorder="1" applyAlignment="1">
      <alignment horizontal="right"/>
    </xf>
    <xf numFmtId="166" fontId="4" fillId="0" borderId="16" xfId="1" applyNumberFormat="1" applyFont="1" applyFill="1" applyBorder="1" applyAlignment="1">
      <alignment horizontal="right"/>
    </xf>
    <xf numFmtId="168" fontId="6" fillId="0" borderId="3" xfId="0" quotePrefix="1" applyNumberFormat="1" applyFont="1" applyFill="1" applyBorder="1" applyAlignment="1">
      <alignment horizontal="right"/>
    </xf>
    <xf numFmtId="10" fontId="4" fillId="0" borderId="3" xfId="4" applyNumberFormat="1" applyFont="1" applyFill="1" applyBorder="1" applyAlignment="1">
      <alignment horizontal="right"/>
    </xf>
    <xf numFmtId="10" fontId="4" fillId="0" borderId="4" xfId="4" applyNumberFormat="1" applyFont="1" applyFill="1" applyBorder="1" applyAlignment="1">
      <alignment horizontal="right"/>
    </xf>
    <xf numFmtId="0" fontId="6" fillId="0" borderId="75" xfId="0" applyFont="1" applyFill="1" applyBorder="1" applyAlignment="1">
      <alignment wrapText="1"/>
    </xf>
    <xf numFmtId="0" fontId="5" fillId="0" borderId="149" xfId="0" applyFont="1" applyFill="1" applyBorder="1"/>
    <xf numFmtId="0" fontId="4" fillId="0" borderId="100" xfId="0" applyFont="1" applyFill="1" applyBorder="1" applyAlignment="1">
      <alignment horizontal="left"/>
    </xf>
    <xf numFmtId="0" fontId="2" fillId="0" borderId="100" xfId="0" applyFont="1" applyFill="1" applyBorder="1" applyAlignment="1">
      <alignment horizontal="left"/>
    </xf>
    <xf numFmtId="168" fontId="6" fillId="0" borderId="67" xfId="0" applyNumberFormat="1" applyFont="1" applyFill="1" applyBorder="1" applyAlignment="1">
      <alignment horizontal="center"/>
    </xf>
    <xf numFmtId="3" fontId="4" fillId="0" borderId="0" xfId="0" applyNumberFormat="1" applyFont="1" applyFill="1" applyAlignment="1">
      <alignment horizontal="left"/>
    </xf>
    <xf numFmtId="10" fontId="4" fillId="0" borderId="3" xfId="0" applyNumberFormat="1" applyFont="1" applyFill="1" applyBorder="1" applyAlignment="1">
      <alignment horizontal="center"/>
    </xf>
    <xf numFmtId="179" fontId="4" fillId="0" borderId="3" xfId="0" applyNumberFormat="1" applyFont="1" applyFill="1" applyBorder="1" applyAlignment="1">
      <alignment horizontal="center"/>
    </xf>
    <xf numFmtId="168" fontId="6" fillId="0" borderId="112" xfId="0" applyNumberFormat="1" applyFont="1" applyFill="1" applyBorder="1" applyAlignment="1">
      <alignment horizontal="center" wrapText="1"/>
    </xf>
    <xf numFmtId="168" fontId="6" fillId="0" borderId="15" xfId="0" applyNumberFormat="1" applyFont="1" applyFill="1" applyBorder="1" applyAlignment="1">
      <alignment horizontal="center" wrapText="1"/>
    </xf>
    <xf numFmtId="9" fontId="25" fillId="0" borderId="0" xfId="4" applyFont="1" applyFill="1" applyBorder="1"/>
    <xf numFmtId="9" fontId="5" fillId="0" borderId="5" xfId="4" applyFont="1" applyFill="1" applyBorder="1"/>
    <xf numFmtId="168" fontId="2" fillId="0" borderId="33" xfId="0" applyNumberFormat="1" applyFont="1" applyFill="1" applyBorder="1" applyAlignment="1">
      <alignment horizontal="center"/>
    </xf>
    <xf numFmtId="168" fontId="2" fillId="0" borderId="176" xfId="0" applyNumberFormat="1" applyFont="1" applyFill="1" applyBorder="1" applyAlignment="1">
      <alignment horizontal="center"/>
    </xf>
    <xf numFmtId="168" fontId="4" fillId="0" borderId="7" xfId="0" applyNumberFormat="1" applyFont="1" applyFill="1" applyBorder="1"/>
    <xf numFmtId="0" fontId="6" fillId="0" borderId="78" xfId="0" applyFont="1" applyFill="1" applyBorder="1" applyAlignment="1">
      <alignment horizontal="center"/>
    </xf>
    <xf numFmtId="38" fontId="5" fillId="0" borderId="31" xfId="1" applyNumberFormat="1" applyFont="1" applyFill="1" applyBorder="1"/>
    <xf numFmtId="38" fontId="5" fillId="0" borderId="13" xfId="1" applyNumberFormat="1" applyFont="1" applyFill="1" applyBorder="1"/>
    <xf numFmtId="38" fontId="4" fillId="0" borderId="13" xfId="1" applyNumberFormat="1" applyFont="1" applyFill="1" applyBorder="1"/>
    <xf numFmtId="0" fontId="7" fillId="0" borderId="8" xfId="0" applyFont="1" applyFill="1" applyBorder="1" applyAlignment="1" applyProtection="1">
      <protection locked="0"/>
    </xf>
    <xf numFmtId="38" fontId="5" fillId="0" borderId="16" xfId="1" applyNumberFormat="1" applyFont="1" applyFill="1" applyBorder="1"/>
    <xf numFmtId="0" fontId="5" fillId="0" borderId="102" xfId="0" applyFont="1" applyFill="1" applyBorder="1" applyProtection="1">
      <protection locked="0"/>
    </xf>
    <xf numFmtId="0" fontId="5" fillId="0" borderId="5" xfId="0" applyFont="1" applyFill="1" applyBorder="1" applyProtection="1">
      <protection locked="0"/>
    </xf>
    <xf numFmtId="9" fontId="5" fillId="0" borderId="5" xfId="4" applyFont="1" applyFill="1" applyBorder="1" applyProtection="1">
      <protection locked="0"/>
    </xf>
    <xf numFmtId="168" fontId="4" fillId="0" borderId="4" xfId="0" quotePrefix="1" applyNumberFormat="1" applyFont="1" applyFill="1" applyBorder="1" applyAlignment="1">
      <alignment horizontal="center"/>
    </xf>
    <xf numFmtId="0" fontId="0" fillId="6" borderId="0" xfId="0" applyFill="1"/>
    <xf numFmtId="0" fontId="4" fillId="6" borderId="0" xfId="0" applyFont="1" applyFill="1"/>
    <xf numFmtId="0" fontId="4" fillId="6" borderId="0" xfId="0" applyFont="1" applyFill="1" applyBorder="1"/>
    <xf numFmtId="0" fontId="0" fillId="7" borderId="0" xfId="0" applyFill="1"/>
    <xf numFmtId="0" fontId="4" fillId="6" borderId="0" xfId="0" applyFont="1" applyFill="1" applyAlignment="1">
      <alignment horizontal="left"/>
    </xf>
    <xf numFmtId="168" fontId="0" fillId="0" borderId="124" xfId="0" applyNumberFormat="1" applyBorder="1"/>
    <xf numFmtId="0" fontId="0" fillId="0" borderId="124" xfId="0" applyBorder="1"/>
    <xf numFmtId="0" fontId="4" fillId="7" borderId="0" xfId="0" applyFont="1" applyFill="1"/>
    <xf numFmtId="0" fontId="4" fillId="7" borderId="0" xfId="0" applyFont="1" applyFill="1" applyBorder="1"/>
    <xf numFmtId="0" fontId="4" fillId="7" borderId="0" xfId="0" applyFont="1" applyFill="1" applyAlignment="1">
      <alignment horizontal="left"/>
    </xf>
    <xf numFmtId="0" fontId="0" fillId="8" borderId="0" xfId="0" applyFill="1"/>
    <xf numFmtId="168" fontId="0" fillId="8" borderId="0" xfId="0" applyNumberFormat="1" applyFill="1"/>
    <xf numFmtId="0" fontId="0" fillId="8" borderId="0" xfId="0" applyFill="1" applyAlignment="1">
      <alignment horizontal="right"/>
    </xf>
    <xf numFmtId="168" fontId="4" fillId="0" borderId="4" xfId="0" applyNumberFormat="1" applyFont="1" applyBorder="1" applyAlignment="1">
      <alignment horizontal="center"/>
    </xf>
    <xf numFmtId="168" fontId="4" fillId="0" borderId="15" xfId="0" applyNumberFormat="1" applyFont="1" applyFill="1" applyBorder="1" applyAlignment="1">
      <alignment horizontal="left"/>
    </xf>
    <xf numFmtId="168" fontId="4" fillId="0" borderId="4" xfId="0" applyNumberFormat="1" applyFont="1" applyFill="1" applyBorder="1" applyAlignment="1">
      <alignment horizontal="left"/>
    </xf>
    <xf numFmtId="0" fontId="5" fillId="0" borderId="15" xfId="0" applyNumberFormat="1" applyFont="1" applyFill="1" applyBorder="1" applyAlignment="1">
      <alignment horizontal="center"/>
    </xf>
    <xf numFmtId="0" fontId="5" fillId="0" borderId="4" xfId="0" applyNumberFormat="1" applyFont="1" applyFill="1" applyBorder="1" applyAlignment="1">
      <alignment horizontal="center"/>
    </xf>
    <xf numFmtId="0" fontId="4" fillId="0" borderId="15" xfId="0" applyNumberFormat="1" applyFont="1" applyFill="1" applyBorder="1" applyAlignment="1">
      <alignment horizontal="left"/>
    </xf>
    <xf numFmtId="0" fontId="4" fillId="0" borderId="4" xfId="0" applyNumberFormat="1" applyFont="1" applyFill="1" applyBorder="1" applyAlignment="1">
      <alignment horizontal="left"/>
    </xf>
    <xf numFmtId="168" fontId="5" fillId="0" borderId="15" xfId="0" applyNumberFormat="1" applyFont="1" applyFill="1" applyBorder="1" applyAlignment="1">
      <alignment horizontal="center"/>
    </xf>
    <xf numFmtId="168" fontId="5" fillId="0" borderId="4" xfId="0" applyNumberFormat="1" applyFont="1" applyFill="1" applyBorder="1" applyAlignment="1">
      <alignment horizontal="center"/>
    </xf>
    <xf numFmtId="168" fontId="6" fillId="0" borderId="15" xfId="0" quotePrefix="1" applyNumberFormat="1" applyFont="1" applyFill="1" applyBorder="1" applyAlignment="1">
      <alignment horizontal="left"/>
    </xf>
    <xf numFmtId="168" fontId="6" fillId="0" borderId="4" xfId="0" quotePrefix="1" applyNumberFormat="1" applyFont="1" applyFill="1" applyBorder="1" applyAlignment="1">
      <alignment horizontal="left"/>
    </xf>
    <xf numFmtId="168" fontId="7" fillId="0" borderId="15" xfId="0" applyNumberFormat="1" applyFont="1" applyFill="1" applyBorder="1" applyAlignment="1">
      <alignment horizontal="left"/>
    </xf>
    <xf numFmtId="168" fontId="7" fillId="0" borderId="4" xfId="0" applyNumberFormat="1" applyFont="1" applyFill="1" applyBorder="1" applyAlignment="1">
      <alignment horizontal="left"/>
    </xf>
    <xf numFmtId="1" fontId="6" fillId="0" borderId="37" xfId="0" applyNumberFormat="1" applyFont="1" applyFill="1" applyBorder="1" applyAlignment="1">
      <alignment horizontal="center"/>
    </xf>
    <xf numFmtId="1" fontId="6" fillId="0" borderId="30" xfId="0" applyNumberFormat="1" applyFont="1" applyFill="1" applyBorder="1" applyAlignment="1">
      <alignment horizontal="center"/>
    </xf>
    <xf numFmtId="0" fontId="5" fillId="0" borderId="114" xfId="0" applyNumberFormat="1" applyFont="1" applyFill="1" applyBorder="1" applyAlignment="1">
      <alignment horizontal="center"/>
    </xf>
    <xf numFmtId="0" fontId="5" fillId="0" borderId="115" xfId="0" applyNumberFormat="1" applyFont="1" applyFill="1" applyBorder="1" applyAlignment="1">
      <alignment horizontal="center"/>
    </xf>
    <xf numFmtId="168" fontId="7" fillId="0" borderId="127" xfId="0" applyNumberFormat="1" applyFont="1" applyFill="1" applyBorder="1" applyAlignment="1">
      <alignment horizontal="left"/>
    </xf>
    <xf numFmtId="168" fontId="7" fillId="0" borderId="90" xfId="0" applyNumberFormat="1" applyFont="1" applyFill="1" applyBorder="1" applyAlignment="1">
      <alignment horizontal="left"/>
    </xf>
    <xf numFmtId="168" fontId="3" fillId="0" borderId="127" xfId="0" applyNumberFormat="1" applyFont="1" applyFill="1" applyBorder="1" applyAlignment="1">
      <alignment horizontal="left"/>
    </xf>
    <xf numFmtId="0" fontId="5" fillId="0" borderId="21" xfId="0" applyNumberFormat="1" applyFont="1" applyFill="1" applyBorder="1" applyAlignment="1">
      <alignment horizontal="center"/>
    </xf>
    <xf numFmtId="0" fontId="5" fillId="0" borderId="19" xfId="0" applyNumberFormat="1" applyFont="1" applyFill="1" applyBorder="1" applyAlignment="1">
      <alignment horizontal="center"/>
    </xf>
    <xf numFmtId="0" fontId="5" fillId="0" borderId="93" xfId="0" applyNumberFormat="1" applyFont="1" applyFill="1" applyBorder="1" applyAlignment="1">
      <alignment horizontal="center"/>
    </xf>
    <xf numFmtId="0" fontId="5" fillId="0" borderId="36" xfId="0" applyNumberFormat="1" applyFont="1" applyFill="1" applyBorder="1" applyAlignment="1">
      <alignment horizontal="center"/>
    </xf>
    <xf numFmtId="168" fontId="5" fillId="0" borderId="15" xfId="0" applyNumberFormat="1" applyFont="1" applyFill="1" applyBorder="1" applyAlignment="1">
      <alignment horizontal="left"/>
    </xf>
    <xf numFmtId="168" fontId="5" fillId="0" borderId="4" xfId="0" applyNumberFormat="1" applyFont="1" applyFill="1" applyBorder="1" applyAlignment="1">
      <alignment horizontal="left"/>
    </xf>
    <xf numFmtId="168" fontId="3" fillId="0" borderId="37" xfId="0" applyNumberFormat="1" applyFont="1" applyFill="1" applyBorder="1" applyAlignment="1">
      <alignment horizontal="left"/>
    </xf>
    <xf numFmtId="168" fontId="7" fillId="0" borderId="30" xfId="0" applyNumberFormat="1" applyFont="1" applyFill="1" applyBorder="1" applyAlignment="1">
      <alignment horizontal="left"/>
    </xf>
    <xf numFmtId="168" fontId="3" fillId="0" borderId="15" xfId="0" applyNumberFormat="1" applyFont="1" applyFill="1" applyBorder="1" applyAlignment="1">
      <alignment horizontal="left"/>
    </xf>
    <xf numFmtId="168" fontId="25" fillId="0" borderId="114" xfId="0" applyNumberFormat="1" applyFont="1" applyFill="1" applyBorder="1" applyAlignment="1">
      <alignment horizontal="left"/>
    </xf>
    <xf numFmtId="168" fontId="25" fillId="0" borderId="115" xfId="0" applyNumberFormat="1" applyFont="1" applyFill="1" applyBorder="1" applyAlignment="1">
      <alignment horizontal="left"/>
    </xf>
    <xf numFmtId="0" fontId="6" fillId="0" borderId="21" xfId="0" applyNumberFormat="1" applyFont="1" applyFill="1" applyBorder="1" applyAlignment="1">
      <alignment horizontal="center"/>
    </xf>
    <xf numFmtId="0" fontId="6" fillId="0" borderId="19" xfId="0" applyNumberFormat="1" applyFont="1" applyFill="1" applyBorder="1" applyAlignment="1">
      <alignment horizontal="center"/>
    </xf>
    <xf numFmtId="168" fontId="6" fillId="0" borderId="4" xfId="0" applyNumberFormat="1" applyFont="1" applyFill="1" applyBorder="1" applyAlignment="1">
      <alignment horizontal="center"/>
    </xf>
    <xf numFmtId="0" fontId="4" fillId="0" borderId="11" xfId="0" applyNumberFormat="1" applyFont="1" applyFill="1" applyBorder="1" applyAlignment="1">
      <alignment horizontal="center" vertical="center"/>
    </xf>
    <xf numFmtId="168" fontId="3" fillId="0" borderId="11" xfId="0" applyNumberFormat="1" applyFont="1" applyFill="1" applyBorder="1" applyAlignment="1">
      <alignment horizontal="center"/>
    </xf>
    <xf numFmtId="168" fontId="3" fillId="0" borderId="20" xfId="0" applyNumberFormat="1" applyFont="1" applyFill="1" applyBorder="1" applyAlignment="1">
      <alignment horizontal="center"/>
    </xf>
    <xf numFmtId="0" fontId="18" fillId="0" borderId="0" xfId="0" applyNumberFormat="1" applyFont="1" applyFill="1" applyBorder="1" applyAlignment="1">
      <alignment horizontal="center" vertical="center"/>
    </xf>
    <xf numFmtId="168" fontId="17" fillId="0" borderId="0" xfId="0" applyNumberFormat="1" applyFont="1" applyFill="1" applyBorder="1" applyAlignment="1">
      <alignment horizontal="center"/>
    </xf>
    <xf numFmtId="168" fontId="3" fillId="0" borderId="0" xfId="0" applyNumberFormat="1" applyFont="1" applyFill="1" applyBorder="1" applyAlignment="1">
      <alignment horizontal="left"/>
    </xf>
    <xf numFmtId="0" fontId="2" fillId="0" borderId="3" xfId="0" applyFont="1" applyFill="1" applyBorder="1"/>
    <xf numFmtId="168" fontId="4" fillId="0" borderId="3" xfId="0" quotePrefix="1" applyNumberFormat="1" applyFont="1" applyFill="1" applyBorder="1" applyAlignment="1">
      <alignment horizontal="left"/>
    </xf>
    <xf numFmtId="168" fontId="5" fillId="0" borderId="4" xfId="1" applyNumberFormat="1" applyFont="1" applyFill="1" applyBorder="1"/>
    <xf numFmtId="168" fontId="5" fillId="0" borderId="0" xfId="1" applyNumberFormat="1" applyFont="1" applyFill="1" applyBorder="1"/>
    <xf numFmtId="168" fontId="6" fillId="0" borderId="69" xfId="1" applyNumberFormat="1" applyFont="1" applyFill="1" applyBorder="1"/>
    <xf numFmtId="168" fontId="6" fillId="0" borderId="83" xfId="1" applyNumberFormat="1" applyFont="1" applyFill="1" applyBorder="1"/>
    <xf numFmtId="168" fontId="6" fillId="0" borderId="72" xfId="1" applyNumberFormat="1" applyFont="1" applyFill="1" applyBorder="1"/>
    <xf numFmtId="168" fontId="6" fillId="0" borderId="74" xfId="1" applyNumberFormat="1" applyFont="1" applyFill="1" applyBorder="1"/>
    <xf numFmtId="168" fontId="6" fillId="0" borderId="73" xfId="1" applyNumberFormat="1" applyFont="1" applyFill="1" applyBorder="1"/>
    <xf numFmtId="168" fontId="5" fillId="0" borderId="3" xfId="1" applyNumberFormat="1" applyFont="1" applyFill="1" applyBorder="1"/>
    <xf numFmtId="168" fontId="4" fillId="0" borderId="4" xfId="1" applyNumberFormat="1" applyFont="1" applyFill="1" applyBorder="1"/>
    <xf numFmtId="168" fontId="4" fillId="0" borderId="3" xfId="1" applyNumberFormat="1" applyFont="1" applyFill="1" applyBorder="1"/>
    <xf numFmtId="168" fontId="7" fillId="0" borderId="29" xfId="0" applyNumberFormat="1" applyFont="1" applyFill="1" applyBorder="1"/>
    <xf numFmtId="175" fontId="6" fillId="0" borderId="15" xfId="0" quotePrefix="1" applyNumberFormat="1" applyFont="1" applyFill="1" applyBorder="1" applyAlignment="1">
      <alignment horizontal="left"/>
    </xf>
    <xf numFmtId="168" fontId="4" fillId="0" borderId="4" xfId="0" quotePrefix="1" applyNumberFormat="1" applyFont="1" applyFill="1" applyBorder="1" applyAlignment="1">
      <alignment horizontal="right"/>
    </xf>
    <xf numFmtId="168" fontId="2" fillId="0" borderId="90" xfId="0" applyNumberFormat="1" applyFont="1" applyFill="1" applyBorder="1" applyAlignment="1">
      <alignment horizontal="right"/>
    </xf>
    <xf numFmtId="10" fontId="4" fillId="0" borderId="4" xfId="4" applyNumberFormat="1" applyFont="1" applyFill="1" applyBorder="1" applyAlignment="1">
      <alignment horizontal="center"/>
    </xf>
    <xf numFmtId="170" fontId="4" fillId="0" borderId="4" xfId="1" applyNumberFormat="1" applyFont="1" applyFill="1" applyBorder="1" applyAlignment="1">
      <alignment horizontal="right"/>
    </xf>
    <xf numFmtId="170" fontId="6" fillId="0" borderId="4" xfId="1" applyNumberFormat="1" applyFont="1" applyFill="1" applyBorder="1" applyAlignment="1">
      <alignment horizontal="right"/>
    </xf>
    <xf numFmtId="168" fontId="3" fillId="0" borderId="19" xfId="0" applyNumberFormat="1" applyFont="1" applyFill="1" applyBorder="1" applyAlignment="1">
      <alignment horizontal="center"/>
    </xf>
    <xf numFmtId="168" fontId="6" fillId="0" borderId="68" xfId="0" applyNumberFormat="1" applyFont="1" applyBorder="1" applyAlignment="1">
      <alignment horizontal="center"/>
    </xf>
    <xf numFmtId="168" fontId="6" fillId="0" borderId="137" xfId="0" quotePrefix="1" applyNumberFormat="1" applyFont="1" applyBorder="1" applyAlignment="1">
      <alignment horizontal="center"/>
    </xf>
    <xf numFmtId="168" fontId="2" fillId="0" borderId="62" xfId="0" quotePrefix="1" applyNumberFormat="1" applyFont="1" applyBorder="1" applyAlignment="1">
      <alignment horizontal="center"/>
    </xf>
    <xf numFmtId="168" fontId="5" fillId="0" borderId="23" xfId="0" applyNumberFormat="1" applyFont="1" applyBorder="1"/>
    <xf numFmtId="168" fontId="5" fillId="0" borderId="16" xfId="0" applyNumberFormat="1" applyFont="1" applyBorder="1" applyAlignment="1">
      <alignment horizontal="center"/>
    </xf>
    <xf numFmtId="168" fontId="0" fillId="0" borderId="28" xfId="0" applyNumberFormat="1" applyBorder="1"/>
    <xf numFmtId="168" fontId="0" fillId="0" borderId="16" xfId="0" applyNumberFormat="1" applyBorder="1" applyAlignment="1">
      <alignment horizontal="center"/>
    </xf>
    <xf numFmtId="168" fontId="0" fillId="0" borderId="28" xfId="0" applyNumberFormat="1" applyFill="1" applyBorder="1"/>
    <xf numFmtId="168" fontId="2" fillId="2" borderId="28" xfId="0" applyNumberFormat="1" applyFont="1" applyFill="1" applyBorder="1"/>
    <xf numFmtId="168" fontId="2" fillId="2" borderId="16" xfId="0" applyNumberFormat="1" applyFont="1" applyFill="1" applyBorder="1" applyAlignment="1">
      <alignment horizontal="right"/>
    </xf>
    <xf numFmtId="168" fontId="0" fillId="0" borderId="16" xfId="0" applyNumberFormat="1" applyBorder="1" applyAlignment="1">
      <alignment horizontal="right"/>
    </xf>
    <xf numFmtId="168" fontId="2" fillId="0" borderId="16" xfId="0" applyNumberFormat="1" applyFont="1" applyBorder="1" applyAlignment="1">
      <alignment horizontal="right"/>
    </xf>
    <xf numFmtId="168" fontId="4" fillId="0" borderId="16" xfId="0" applyNumberFormat="1" applyFont="1" applyBorder="1" applyAlignment="1">
      <alignment horizontal="right"/>
    </xf>
    <xf numFmtId="168" fontId="6" fillId="0" borderId="16" xfId="0" applyNumberFormat="1" applyFont="1" applyBorder="1" applyAlignment="1">
      <alignment horizontal="right"/>
    </xf>
    <xf numFmtId="168" fontId="4" fillId="5" borderId="28" xfId="0" applyNumberFormat="1" applyFont="1" applyFill="1" applyBorder="1"/>
    <xf numFmtId="168" fontId="5" fillId="0" borderId="16" xfId="0" applyNumberFormat="1" applyFont="1" applyBorder="1" applyAlignment="1">
      <alignment horizontal="right"/>
    </xf>
    <xf numFmtId="168" fontId="6" fillId="2" borderId="28" xfId="0" applyNumberFormat="1" applyFont="1" applyFill="1" applyBorder="1"/>
    <xf numFmtId="168" fontId="6" fillId="2" borderId="16" xfId="0" applyNumberFormat="1" applyFont="1" applyFill="1" applyBorder="1" applyAlignment="1">
      <alignment horizontal="right"/>
    </xf>
    <xf numFmtId="168" fontId="5" fillId="3" borderId="28" xfId="0" applyNumberFormat="1" applyFont="1" applyFill="1" applyBorder="1"/>
    <xf numFmtId="168" fontId="4" fillId="0" borderId="16" xfId="0" applyNumberFormat="1" applyFont="1" applyBorder="1" applyAlignment="1">
      <alignment horizontal="center"/>
    </xf>
    <xf numFmtId="168" fontId="2" fillId="4" borderId="54" xfId="0" applyNumberFormat="1" applyFont="1" applyFill="1" applyBorder="1"/>
    <xf numFmtId="168" fontId="2" fillId="4" borderId="56" xfId="0" applyNumberFormat="1" applyFont="1" applyFill="1" applyBorder="1" applyAlignment="1">
      <alignment horizontal="right"/>
    </xf>
    <xf numFmtId="168" fontId="2" fillId="4" borderId="55" xfId="0" applyNumberFormat="1" applyFont="1" applyFill="1" applyBorder="1"/>
    <xf numFmtId="168" fontId="2" fillId="4" borderId="57" xfId="0" applyNumberFormat="1" applyFont="1" applyFill="1" applyBorder="1"/>
    <xf numFmtId="168" fontId="2" fillId="4" borderId="57" xfId="0" applyNumberFormat="1" applyFont="1" applyFill="1" applyBorder="1" applyAlignment="1">
      <alignment horizontal="right"/>
    </xf>
    <xf numFmtId="168" fontId="2" fillId="4" borderId="58" xfId="0" applyNumberFormat="1" applyFont="1" applyFill="1" applyBorder="1" applyAlignment="1">
      <alignment horizontal="right"/>
    </xf>
    <xf numFmtId="168" fontId="2" fillId="0" borderId="165" xfId="0" applyNumberFormat="1" applyFont="1" applyBorder="1" applyAlignment="1">
      <alignment horizontal="center"/>
    </xf>
    <xf numFmtId="168" fontId="2" fillId="0" borderId="193" xfId="0" applyNumberFormat="1" applyFont="1" applyBorder="1" applyAlignment="1">
      <alignment horizontal="center"/>
    </xf>
    <xf numFmtId="168" fontId="2" fillId="0" borderId="192" xfId="0" applyNumberFormat="1" applyFont="1" applyBorder="1"/>
    <xf numFmtId="168" fontId="0" fillId="0" borderId="166" xfId="0" applyNumberFormat="1" applyBorder="1"/>
    <xf numFmtId="168" fontId="0" fillId="0" borderId="34" xfId="0" applyNumberFormat="1" applyBorder="1"/>
    <xf numFmtId="168" fontId="2" fillId="0" borderId="97" xfId="0" applyNumberFormat="1" applyFont="1" applyBorder="1"/>
    <xf numFmtId="168" fontId="2" fillId="0" borderId="11" xfId="0" applyNumberFormat="1" applyFont="1" applyBorder="1" applyAlignment="1">
      <alignment horizontal="right"/>
    </xf>
    <xf numFmtId="168" fontId="2" fillId="0" borderId="21" xfId="0" applyNumberFormat="1" applyFont="1" applyBorder="1"/>
    <xf numFmtId="168" fontId="2" fillId="0" borderId="5" xfId="0" applyNumberFormat="1" applyFont="1" applyBorder="1"/>
    <xf numFmtId="168" fontId="2" fillId="0" borderId="20" xfId="0" applyNumberFormat="1" applyFont="1" applyBorder="1" applyAlignment="1">
      <alignment horizontal="right"/>
    </xf>
    <xf numFmtId="3" fontId="4" fillId="0" borderId="4" xfId="0" applyNumberFormat="1" applyFont="1" applyFill="1" applyBorder="1" applyAlignment="1">
      <alignment horizontal="center"/>
    </xf>
    <xf numFmtId="164" fontId="6" fillId="0" borderId="4" xfId="1" applyNumberFormat="1" applyFont="1" applyFill="1" applyBorder="1" applyAlignment="1">
      <alignment horizontal="right"/>
    </xf>
    <xf numFmtId="168" fontId="2" fillId="0" borderId="19" xfId="0" applyNumberFormat="1" applyFont="1" applyFill="1" applyBorder="1" applyAlignment="1">
      <alignment horizontal="right"/>
    </xf>
    <xf numFmtId="168" fontId="5" fillId="0" borderId="171" xfId="0" applyNumberFormat="1" applyFont="1" applyFill="1" applyBorder="1"/>
    <xf numFmtId="168" fontId="6" fillId="0" borderId="128" xfId="0" quotePrefix="1" applyNumberFormat="1" applyFont="1" applyFill="1" applyBorder="1" applyAlignment="1">
      <alignment horizontal="center"/>
    </xf>
    <xf numFmtId="0" fontId="0" fillId="0" borderId="0" xfId="0" applyFill="1" applyBorder="1"/>
    <xf numFmtId="168" fontId="2" fillId="0" borderId="195" xfId="0" applyNumberFormat="1" applyFont="1" applyFill="1" applyBorder="1"/>
    <xf numFmtId="168" fontId="2" fillId="0" borderId="8" xfId="0" applyNumberFormat="1" applyFont="1" applyFill="1" applyBorder="1"/>
    <xf numFmtId="168" fontId="5" fillId="0" borderId="10" xfId="0" applyNumberFormat="1" applyFont="1" applyFill="1" applyBorder="1"/>
    <xf numFmtId="168" fontId="6" fillId="0" borderId="51" xfId="0" applyNumberFormat="1" applyFont="1" applyFill="1" applyBorder="1"/>
    <xf numFmtId="168" fontId="6" fillId="0" borderId="196" xfId="0" applyNumberFormat="1" applyFont="1" applyFill="1" applyBorder="1"/>
    <xf numFmtId="168" fontId="6" fillId="0" borderId="87" xfId="0" quotePrefix="1" applyNumberFormat="1" applyFont="1" applyFill="1" applyBorder="1" applyAlignment="1">
      <alignment horizontal="center"/>
    </xf>
    <xf numFmtId="168" fontId="6" fillId="0" borderId="17" xfId="0" quotePrefix="1" applyNumberFormat="1" applyFont="1" applyFill="1" applyBorder="1" applyAlignment="1">
      <alignment horizontal="center"/>
    </xf>
    <xf numFmtId="168" fontId="6" fillId="0" borderId="18" xfId="0" quotePrefix="1" applyNumberFormat="1" applyFont="1" applyFill="1" applyBorder="1" applyAlignment="1">
      <alignment horizontal="center" wrapText="1"/>
    </xf>
    <xf numFmtId="38" fontId="6" fillId="0" borderId="3" xfId="0" applyNumberFormat="1" applyFont="1" applyFill="1" applyBorder="1" applyAlignment="1">
      <alignment horizontal="center"/>
    </xf>
    <xf numFmtId="38" fontId="5" fillId="0" borderId="20" xfId="1" applyNumberFormat="1" applyFont="1" applyFill="1" applyBorder="1"/>
    <xf numFmtId="38" fontId="5" fillId="0" borderId="43" xfId="1" applyNumberFormat="1" applyFont="1" applyFill="1" applyBorder="1"/>
    <xf numFmtId="168" fontId="6" fillId="0" borderId="48" xfId="0" quotePrefix="1" applyNumberFormat="1" applyFont="1" applyFill="1" applyBorder="1" applyAlignment="1">
      <alignment horizontal="center"/>
    </xf>
    <xf numFmtId="168" fontId="2" fillId="0" borderId="1" xfId="0" applyNumberFormat="1" applyFont="1" applyFill="1" applyBorder="1" applyAlignment="1">
      <alignment horizontal="center"/>
    </xf>
    <xf numFmtId="168" fontId="6" fillId="0" borderId="197" xfId="0" applyNumberFormat="1" applyFont="1" applyFill="1" applyBorder="1"/>
    <xf numFmtId="168" fontId="5" fillId="0" borderId="8" xfId="0" applyNumberFormat="1" applyFont="1" applyFill="1" applyBorder="1" applyAlignment="1"/>
    <xf numFmtId="168" fontId="5" fillId="0" borderId="91" xfId="0" applyNumberFormat="1" applyFont="1" applyFill="1" applyBorder="1" applyAlignment="1"/>
    <xf numFmtId="168" fontId="8" fillId="0" borderId="131" xfId="0" applyNumberFormat="1" applyFont="1" applyFill="1" applyBorder="1" applyAlignment="1">
      <alignment vertical="center"/>
    </xf>
    <xf numFmtId="168" fontId="5" fillId="0" borderId="128" xfId="0" applyNumberFormat="1" applyFont="1" applyFill="1" applyBorder="1" applyAlignment="1"/>
    <xf numFmtId="168" fontId="5" fillId="0" borderId="7" xfId="0" applyNumberFormat="1" applyFont="1" applyFill="1" applyBorder="1" applyAlignment="1"/>
    <xf numFmtId="168" fontId="14" fillId="0" borderId="1" xfId="0" applyNumberFormat="1" applyFont="1" applyFill="1" applyBorder="1"/>
    <xf numFmtId="168" fontId="6" fillId="0" borderId="198" xfId="0" applyNumberFormat="1" applyFont="1" applyFill="1" applyBorder="1"/>
    <xf numFmtId="49" fontId="4" fillId="0" borderId="15" xfId="0" applyNumberFormat="1" applyFont="1" applyFill="1" applyBorder="1" applyAlignment="1">
      <alignment horizontal="center"/>
    </xf>
    <xf numFmtId="168" fontId="4" fillId="0" borderId="135" xfId="0" applyNumberFormat="1" applyFont="1" applyFill="1" applyBorder="1"/>
    <xf numFmtId="0" fontId="0" fillId="0" borderId="3" xfId="0" applyFill="1" applyBorder="1" applyAlignment="1">
      <alignment horizontal="center"/>
    </xf>
    <xf numFmtId="10" fontId="0" fillId="0" borderId="3" xfId="0" applyNumberFormat="1" applyFill="1" applyBorder="1" applyAlignment="1">
      <alignment horizontal="right"/>
    </xf>
    <xf numFmtId="166" fontId="0" fillId="0" borderId="3" xfId="1" applyNumberFormat="1" applyFont="1" applyFill="1" applyBorder="1" applyAlignment="1">
      <alignment horizontal="right"/>
    </xf>
    <xf numFmtId="166" fontId="4" fillId="0" borderId="3" xfId="0" applyNumberFormat="1" applyFont="1" applyFill="1" applyBorder="1" applyAlignment="1">
      <alignment horizontal="right"/>
    </xf>
    <xf numFmtId="164" fontId="0" fillId="0" borderId="3" xfId="1" applyFont="1" applyFill="1" applyBorder="1" applyAlignment="1">
      <alignment horizontal="right"/>
    </xf>
    <xf numFmtId="9" fontId="0" fillId="0" borderId="3" xfId="4" applyFont="1" applyFill="1" applyBorder="1" applyAlignment="1">
      <alignment horizontal="right"/>
    </xf>
    <xf numFmtId="0" fontId="0" fillId="0" borderId="40" xfId="0" applyFill="1" applyBorder="1"/>
    <xf numFmtId="0" fontId="0" fillId="0" borderId="3" xfId="0" applyFill="1" applyBorder="1"/>
    <xf numFmtId="0" fontId="0" fillId="0" borderId="11" xfId="0" applyFill="1" applyBorder="1"/>
    <xf numFmtId="168" fontId="0" fillId="0" borderId="7" xfId="0" applyNumberFormat="1" applyFill="1" applyBorder="1"/>
    <xf numFmtId="168" fontId="2" fillId="0" borderId="66" xfId="0" applyNumberFormat="1" applyFont="1" applyFill="1" applyBorder="1"/>
    <xf numFmtId="168" fontId="5" fillId="0" borderId="66" xfId="0" applyNumberFormat="1" applyFont="1" applyFill="1" applyBorder="1"/>
    <xf numFmtId="38" fontId="5" fillId="0" borderId="49" xfId="1" applyNumberFormat="1" applyFont="1" applyFill="1" applyBorder="1"/>
    <xf numFmtId="168" fontId="5" fillId="0" borderId="49" xfId="1" applyNumberFormat="1" applyFont="1" applyFill="1" applyBorder="1"/>
    <xf numFmtId="168" fontId="4" fillId="0" borderId="8" xfId="1" applyNumberFormat="1" applyFont="1" applyFill="1" applyBorder="1"/>
    <xf numFmtId="168" fontId="4" fillId="0" borderId="49" xfId="1" applyNumberFormat="1" applyFont="1" applyFill="1" applyBorder="1"/>
    <xf numFmtId="167" fontId="5" fillId="0" borderId="0" xfId="4" applyNumberFormat="1" applyFont="1" applyFill="1"/>
    <xf numFmtId="0" fontId="6" fillId="0" borderId="64" xfId="0" applyFont="1" applyFill="1" applyBorder="1" applyAlignment="1">
      <alignment horizontal="center"/>
    </xf>
    <xf numFmtId="0" fontId="30" fillId="0" borderId="0" xfId="0" applyFont="1" applyFill="1"/>
    <xf numFmtId="0" fontId="6" fillId="0" borderId="98" xfId="0" applyFont="1" applyFill="1" applyBorder="1" applyAlignment="1"/>
    <xf numFmtId="0" fontId="2" fillId="0" borderId="29" xfId="0" applyFont="1" applyFill="1" applyBorder="1" applyAlignment="1">
      <alignment horizontal="center"/>
    </xf>
    <xf numFmtId="0" fontId="2" fillId="0" borderId="37" xfId="0" applyFont="1" applyFill="1" applyBorder="1" applyAlignment="1">
      <alignment horizontal="center"/>
    </xf>
    <xf numFmtId="0" fontId="2" fillId="0" borderId="18" xfId="0" applyFont="1" applyFill="1" applyBorder="1" applyAlignment="1">
      <alignment horizontal="center"/>
    </xf>
    <xf numFmtId="0" fontId="2" fillId="0" borderId="6" xfId="0" applyFont="1" applyFill="1" applyBorder="1" applyAlignment="1">
      <alignment horizontal="center"/>
    </xf>
    <xf numFmtId="168" fontId="6" fillId="0" borderId="8" xfId="0" quotePrefix="1" applyNumberFormat="1" applyFont="1" applyFill="1" applyBorder="1" applyAlignment="1">
      <alignment horizontal="center"/>
    </xf>
    <xf numFmtId="168" fontId="5" fillId="0" borderId="8" xfId="1" applyNumberFormat="1" applyFont="1" applyFill="1" applyBorder="1"/>
    <xf numFmtId="38" fontId="4" fillId="0" borderId="0" xfId="0" applyNumberFormat="1" applyFont="1" applyFill="1" applyBorder="1"/>
    <xf numFmtId="38" fontId="5" fillId="0" borderId="0" xfId="0" applyNumberFormat="1" applyFont="1" applyFill="1" applyBorder="1"/>
    <xf numFmtId="168" fontId="5" fillId="0" borderId="16" xfId="1" applyNumberFormat="1" applyFont="1" applyFill="1" applyBorder="1"/>
    <xf numFmtId="168" fontId="4" fillId="0" borderId="16" xfId="1" applyNumberFormat="1" applyFont="1" applyFill="1" applyBorder="1"/>
    <xf numFmtId="168" fontId="5" fillId="0" borderId="100" xfId="0" applyNumberFormat="1" applyFont="1" applyFill="1" applyBorder="1" applyAlignment="1">
      <alignment horizontal="left" indent="1"/>
    </xf>
    <xf numFmtId="168" fontId="5" fillId="0" borderId="138" xfId="0" applyNumberFormat="1" applyFont="1" applyFill="1" applyBorder="1"/>
    <xf numFmtId="0" fontId="6" fillId="0" borderId="150" xfId="0" applyFont="1" applyFill="1" applyBorder="1" applyAlignment="1">
      <alignment horizontal="left"/>
    </xf>
    <xf numFmtId="168" fontId="5" fillId="0" borderId="102" xfId="0" applyNumberFormat="1" applyFont="1" applyFill="1" applyBorder="1" applyAlignment="1">
      <alignment horizontal="left" indent="1"/>
    </xf>
    <xf numFmtId="0" fontId="25" fillId="0" borderId="0" xfId="0" applyFont="1" applyFill="1"/>
    <xf numFmtId="0" fontId="2" fillId="0" borderId="0" xfId="0" applyFont="1" applyFill="1" applyBorder="1" applyAlignment="1">
      <alignment horizontal="left" vertical="center"/>
    </xf>
    <xf numFmtId="168" fontId="32" fillId="0" borderId="100" xfId="0" applyNumberFormat="1" applyFont="1" applyFill="1" applyBorder="1" applyAlignment="1">
      <alignment horizontal="left"/>
    </xf>
    <xf numFmtId="168" fontId="6" fillId="0" borderId="101" xfId="0" applyNumberFormat="1" applyFont="1" applyFill="1" applyBorder="1" applyAlignment="1">
      <alignment horizontal="left"/>
    </xf>
    <xf numFmtId="168" fontId="2" fillId="0" borderId="101" xfId="0" applyNumberFormat="1" applyFont="1" applyFill="1" applyBorder="1" applyAlignment="1">
      <alignment horizontal="left"/>
    </xf>
    <xf numFmtId="168" fontId="2" fillId="0" borderId="199" xfId="0" applyNumberFormat="1" applyFont="1" applyFill="1" applyBorder="1"/>
    <xf numFmtId="168" fontId="6" fillId="0" borderId="200" xfId="0" applyNumberFormat="1" applyFont="1" applyFill="1" applyBorder="1" applyAlignment="1">
      <alignment horizontal="left"/>
    </xf>
    <xf numFmtId="168" fontId="6" fillId="0" borderId="201" xfId="0" applyNumberFormat="1" applyFont="1" applyFill="1" applyBorder="1" applyAlignment="1">
      <alignment horizontal="left"/>
    </xf>
    <xf numFmtId="168" fontId="12" fillId="0" borderId="201" xfId="0" applyNumberFormat="1" applyFont="1" applyFill="1" applyBorder="1" applyAlignment="1">
      <alignment horizontal="left"/>
    </xf>
    <xf numFmtId="168" fontId="4" fillId="0" borderId="201" xfId="0" applyNumberFormat="1" applyFont="1" applyFill="1" applyBorder="1" applyAlignment="1">
      <alignment horizontal="left"/>
    </xf>
    <xf numFmtId="168" fontId="5" fillId="0" borderId="201" xfId="0" applyNumberFormat="1" applyFont="1" applyFill="1" applyBorder="1" applyAlignment="1">
      <alignment horizontal="left"/>
    </xf>
    <xf numFmtId="168" fontId="2" fillId="0" borderId="201" xfId="0" applyNumberFormat="1" applyFont="1" applyFill="1" applyBorder="1" applyAlignment="1">
      <alignment horizontal="left"/>
    </xf>
    <xf numFmtId="168" fontId="2" fillId="0" borderId="202" xfId="0" applyNumberFormat="1" applyFont="1" applyFill="1" applyBorder="1" applyAlignment="1">
      <alignment horizontal="left"/>
    </xf>
    <xf numFmtId="168" fontId="12" fillId="0" borderId="201" xfId="0" applyNumberFormat="1" applyFont="1" applyFill="1" applyBorder="1"/>
    <xf numFmtId="168" fontId="6" fillId="0" borderId="202" xfId="0" applyNumberFormat="1" applyFont="1" applyFill="1" applyBorder="1" applyAlignment="1">
      <alignment horizontal="left"/>
    </xf>
    <xf numFmtId="168" fontId="5" fillId="0" borderId="201" xfId="0" applyNumberFormat="1" applyFont="1" applyFill="1" applyBorder="1"/>
    <xf numFmtId="168" fontId="2" fillId="0" borderId="203" xfId="0" applyNumberFormat="1" applyFont="1" applyFill="1" applyBorder="1"/>
    <xf numFmtId="168" fontId="5" fillId="0" borderId="204" xfId="0" applyNumberFormat="1" applyFont="1" applyFill="1" applyBorder="1"/>
    <xf numFmtId="168" fontId="2" fillId="0" borderId="101" xfId="0" applyNumberFormat="1" applyFont="1" applyFill="1" applyBorder="1"/>
    <xf numFmtId="0" fontId="28" fillId="0" borderId="0" xfId="0" applyFont="1" applyFill="1"/>
    <xf numFmtId="3" fontId="0" fillId="0" borderId="3" xfId="0" applyNumberFormat="1" applyFill="1" applyBorder="1" applyAlignment="1">
      <alignment horizontal="right"/>
    </xf>
    <xf numFmtId="168" fontId="5" fillId="0" borderId="123" xfId="0" applyNumberFormat="1" applyFont="1" applyFill="1" applyBorder="1" applyAlignment="1">
      <alignment horizontal="left"/>
    </xf>
    <xf numFmtId="49" fontId="4" fillId="0" borderId="80" xfId="0" applyNumberFormat="1" applyFont="1" applyFill="1" applyBorder="1" applyAlignment="1">
      <alignment horizontal="left"/>
    </xf>
    <xf numFmtId="168" fontId="4" fillId="0" borderId="80" xfId="0" applyNumberFormat="1" applyFont="1" applyFill="1" applyBorder="1" applyAlignment="1">
      <alignment horizontal="left"/>
    </xf>
    <xf numFmtId="49" fontId="5" fillId="0" borderId="80" xfId="0" applyNumberFormat="1" applyFont="1" applyFill="1" applyBorder="1" applyAlignment="1">
      <alignment horizontal="left"/>
    </xf>
    <xf numFmtId="168" fontId="5" fillId="0" borderId="80" xfId="0" applyNumberFormat="1" applyFont="1" applyFill="1" applyBorder="1" applyAlignment="1">
      <alignment horizontal="left"/>
    </xf>
    <xf numFmtId="168" fontId="6" fillId="0" borderId="178" xfId="0" applyNumberFormat="1" applyFont="1" applyFill="1" applyBorder="1" applyAlignment="1">
      <alignment horizontal="left"/>
    </xf>
    <xf numFmtId="49" fontId="4" fillId="0" borderId="7" xfId="0" applyNumberFormat="1" applyFont="1" applyFill="1" applyBorder="1" applyAlignment="1">
      <alignment horizontal="left"/>
    </xf>
    <xf numFmtId="168" fontId="6" fillId="0" borderId="131" xfId="0" applyNumberFormat="1" applyFont="1" applyFill="1" applyBorder="1" applyAlignment="1">
      <alignment horizontal="left"/>
    </xf>
    <xf numFmtId="168" fontId="5" fillId="0" borderId="7" xfId="0" applyNumberFormat="1" applyFont="1" applyFill="1" applyBorder="1" applyAlignment="1">
      <alignment horizontal="left"/>
    </xf>
    <xf numFmtId="168" fontId="6" fillId="0" borderId="7" xfId="0" applyNumberFormat="1" applyFont="1" applyFill="1" applyBorder="1" applyAlignment="1">
      <alignment horizontal="left"/>
    </xf>
    <xf numFmtId="168" fontId="12" fillId="0" borderId="7" xfId="0" applyNumberFormat="1" applyFont="1" applyFill="1" applyBorder="1" applyAlignment="1">
      <alignment horizontal="left"/>
    </xf>
    <xf numFmtId="168" fontId="7" fillId="0" borderId="7" xfId="0" applyNumberFormat="1" applyFont="1" applyFill="1" applyBorder="1" applyAlignment="1">
      <alignment horizontal="left"/>
    </xf>
    <xf numFmtId="168" fontId="13" fillId="0" borderId="7" xfId="0" applyNumberFormat="1" applyFont="1" applyFill="1" applyBorder="1" applyAlignment="1">
      <alignment horizontal="left"/>
    </xf>
    <xf numFmtId="49" fontId="5" fillId="0" borderId="7" xfId="0" applyNumberFormat="1" applyFont="1" applyFill="1" applyBorder="1" applyAlignment="1">
      <alignment horizontal="left"/>
    </xf>
    <xf numFmtId="168" fontId="12" fillId="0" borderId="134" xfId="0" applyNumberFormat="1" applyFont="1" applyFill="1" applyBorder="1" applyAlignment="1">
      <alignment horizontal="left"/>
    </xf>
    <xf numFmtId="168" fontId="12" fillId="0" borderId="0" xfId="0" applyNumberFormat="1" applyFont="1" applyFill="1" applyBorder="1" applyAlignment="1">
      <alignment horizontal="left"/>
    </xf>
    <xf numFmtId="168" fontId="6" fillId="0" borderId="9" xfId="0" applyNumberFormat="1" applyFont="1" applyFill="1" applyBorder="1" applyAlignment="1">
      <alignment horizontal="left"/>
    </xf>
    <xf numFmtId="168" fontId="4" fillId="0" borderId="7" xfId="0" applyNumberFormat="1" applyFont="1" applyFill="1" applyBorder="1" applyAlignment="1">
      <alignment horizontal="left"/>
    </xf>
    <xf numFmtId="168" fontId="5" fillId="0" borderId="0" xfId="0" applyNumberFormat="1" applyFont="1" applyFill="1" applyAlignment="1">
      <alignment horizontal="left"/>
    </xf>
    <xf numFmtId="168" fontId="5" fillId="0" borderId="6" xfId="0" applyNumberFormat="1" applyFont="1" applyFill="1" applyBorder="1" applyAlignment="1">
      <alignment horizontal="left"/>
    </xf>
    <xf numFmtId="49" fontId="4" fillId="0" borderId="0" xfId="0" applyNumberFormat="1" applyFont="1" applyFill="1" applyBorder="1" applyAlignment="1">
      <alignment horizontal="left"/>
    </xf>
    <xf numFmtId="168" fontId="4" fillId="0" borderId="49" xfId="0" applyNumberFormat="1" applyFont="1" applyFill="1" applyBorder="1" applyAlignment="1">
      <alignment horizontal="left"/>
    </xf>
    <xf numFmtId="168" fontId="5" fillId="0" borderId="123" xfId="0" applyNumberFormat="1" applyFont="1" applyFill="1" applyBorder="1" applyAlignment="1"/>
    <xf numFmtId="49" fontId="4" fillId="0" borderId="80" xfId="0" applyNumberFormat="1" applyFont="1" applyFill="1" applyBorder="1" applyAlignment="1"/>
    <xf numFmtId="168" fontId="6" fillId="0" borderId="80" xfId="0" applyNumberFormat="1" applyFont="1" applyFill="1" applyBorder="1" applyAlignment="1"/>
    <xf numFmtId="168" fontId="4" fillId="0" borderId="80" xfId="0" applyNumberFormat="1" applyFont="1" applyFill="1" applyBorder="1" applyAlignment="1"/>
    <xf numFmtId="49" fontId="5" fillId="0" borderId="80" xfId="0" applyNumberFormat="1" applyFont="1" applyFill="1" applyBorder="1" applyAlignment="1"/>
    <xf numFmtId="168" fontId="5" fillId="0" borderId="80" xfId="0" applyNumberFormat="1" applyFont="1" applyFill="1" applyBorder="1" applyAlignment="1"/>
    <xf numFmtId="168" fontId="6" fillId="0" borderId="178" xfId="0" applyNumberFormat="1" applyFont="1" applyFill="1" applyBorder="1" applyAlignment="1"/>
    <xf numFmtId="49" fontId="4" fillId="0" borderId="7" xfId="0" applyNumberFormat="1" applyFont="1" applyFill="1" applyBorder="1" applyAlignment="1"/>
    <xf numFmtId="168" fontId="6" fillId="0" borderId="131" xfId="0" applyNumberFormat="1" applyFont="1" applyFill="1" applyBorder="1" applyAlignment="1"/>
    <xf numFmtId="168" fontId="6" fillId="0" borderId="7" xfId="0" applyNumberFormat="1" applyFont="1" applyFill="1" applyBorder="1" applyAlignment="1"/>
    <xf numFmtId="168" fontId="12" fillId="0" borderId="7" xfId="0" applyNumberFormat="1" applyFont="1" applyFill="1" applyBorder="1" applyAlignment="1"/>
    <xf numFmtId="168" fontId="7" fillId="0" borderId="7" xfId="0" applyNumberFormat="1" applyFont="1" applyFill="1" applyBorder="1" applyAlignment="1"/>
    <xf numFmtId="168" fontId="13" fillId="0" borderId="7" xfId="0" applyNumberFormat="1" applyFont="1" applyFill="1" applyBorder="1" applyAlignment="1"/>
    <xf numFmtId="49" fontId="5" fillId="0" borderId="7" xfId="0" applyNumberFormat="1" applyFont="1" applyFill="1" applyBorder="1" applyAlignment="1"/>
    <xf numFmtId="168" fontId="12" fillId="0" borderId="134" xfId="0" applyNumberFormat="1" applyFont="1" applyFill="1" applyBorder="1" applyAlignment="1"/>
    <xf numFmtId="168" fontId="12" fillId="0" borderId="0" xfId="0" applyNumberFormat="1" applyFont="1" applyFill="1" applyBorder="1" applyAlignment="1"/>
    <xf numFmtId="168" fontId="6" fillId="0" borderId="9" xfId="0" applyNumberFormat="1" applyFont="1" applyFill="1" applyBorder="1" applyAlignment="1"/>
    <xf numFmtId="168" fontId="4" fillId="0" borderId="7" xfId="0" applyNumberFormat="1" applyFont="1" applyFill="1" applyBorder="1" applyAlignment="1"/>
    <xf numFmtId="168" fontId="5" fillId="0" borderId="6" xfId="0" applyNumberFormat="1" applyFont="1" applyFill="1" applyBorder="1" applyAlignment="1"/>
    <xf numFmtId="168" fontId="4" fillId="0" borderId="129" xfId="0" applyNumberFormat="1" applyFont="1" applyFill="1" applyBorder="1" applyAlignment="1">
      <alignment horizontal="center"/>
    </xf>
    <xf numFmtId="168" fontId="4" fillId="3" borderId="117" xfId="0" applyNumberFormat="1" applyFont="1" applyFill="1" applyBorder="1" applyAlignment="1">
      <alignment horizontal="right"/>
    </xf>
    <xf numFmtId="0" fontId="4" fillId="9" borderId="0" xfId="0" applyFont="1" applyFill="1"/>
    <xf numFmtId="0" fontId="0" fillId="9" borderId="0" xfId="0" applyFill="1"/>
    <xf numFmtId="168" fontId="6" fillId="0" borderId="0" xfId="0" applyNumberFormat="1" applyFont="1" applyFill="1" applyBorder="1" applyAlignment="1">
      <alignment horizontal="center"/>
    </xf>
    <xf numFmtId="168" fontId="6" fillId="0" borderId="6" xfId="0" applyNumberFormat="1" applyFont="1" applyFill="1" applyBorder="1" applyAlignment="1">
      <alignment horizontal="center"/>
    </xf>
    <xf numFmtId="0" fontId="0" fillId="0" borderId="129" xfId="0" applyFill="1" applyBorder="1"/>
    <xf numFmtId="0" fontId="0" fillId="0" borderId="124" xfId="0" applyFill="1" applyBorder="1"/>
    <xf numFmtId="0" fontId="25" fillId="0" borderId="4" xfId="0" applyFont="1" applyFill="1" applyBorder="1" applyAlignment="1">
      <alignment horizontal="center"/>
    </xf>
    <xf numFmtId="3" fontId="27" fillId="0" borderId="0" xfId="0" applyNumberFormat="1" applyFont="1" applyFill="1" applyAlignment="1">
      <alignment horizontal="justify" vertical="center"/>
    </xf>
    <xf numFmtId="3" fontId="28" fillId="0" borderId="0" xfId="0" applyNumberFormat="1" applyFont="1" applyFill="1" applyAlignment="1">
      <alignment horizontal="justify" vertical="center"/>
    </xf>
    <xf numFmtId="49" fontId="4" fillId="0" borderId="0" xfId="0" applyNumberFormat="1" applyFont="1" applyFill="1" applyBorder="1" applyAlignment="1"/>
    <xf numFmtId="168" fontId="0" fillId="9" borderId="0" xfId="0" applyNumberFormat="1" applyFill="1"/>
    <xf numFmtId="168" fontId="5" fillId="0" borderId="130" xfId="0" applyNumberFormat="1" applyFont="1" applyFill="1" applyBorder="1" applyAlignment="1">
      <alignment horizontal="left"/>
    </xf>
    <xf numFmtId="168" fontId="6" fillId="0" borderId="80" xfId="0" applyNumberFormat="1" applyFont="1" applyFill="1" applyBorder="1" applyAlignment="1">
      <alignment horizontal="left"/>
    </xf>
    <xf numFmtId="168" fontId="6" fillId="0" borderId="205" xfId="0" applyNumberFormat="1" applyFont="1" applyFill="1" applyBorder="1" applyAlignment="1">
      <alignment horizontal="left"/>
    </xf>
    <xf numFmtId="168" fontId="12" fillId="0" borderId="80" xfId="0" applyNumberFormat="1" applyFont="1" applyFill="1" applyBorder="1" applyAlignment="1">
      <alignment horizontal="left"/>
    </xf>
    <xf numFmtId="168" fontId="6" fillId="0" borderId="206" xfId="0" applyNumberFormat="1" applyFont="1" applyFill="1" applyBorder="1" applyAlignment="1">
      <alignment horizontal="left"/>
    </xf>
    <xf numFmtId="168" fontId="7" fillId="0" borderId="80" xfId="0" applyNumberFormat="1" applyFont="1" applyFill="1" applyBorder="1" applyAlignment="1">
      <alignment horizontal="left"/>
    </xf>
    <xf numFmtId="168" fontId="13" fillId="0" borderId="80" xfId="0" applyNumberFormat="1" applyFont="1" applyFill="1" applyBorder="1" applyAlignment="1">
      <alignment horizontal="left"/>
    </xf>
    <xf numFmtId="168" fontId="12" fillId="0" borderId="207" xfId="0" applyNumberFormat="1" applyFont="1" applyFill="1" applyBorder="1" applyAlignment="1">
      <alignment horizontal="left"/>
    </xf>
    <xf numFmtId="168" fontId="6" fillId="0" borderId="79" xfId="0" applyNumberFormat="1" applyFont="1" applyFill="1" applyBorder="1" applyAlignment="1">
      <alignment horizontal="left"/>
    </xf>
    <xf numFmtId="168" fontId="4" fillId="10" borderId="0" xfId="0" applyNumberFormat="1" applyFont="1" applyFill="1" applyBorder="1"/>
    <xf numFmtId="168" fontId="4" fillId="10" borderId="4" xfId="0" applyNumberFormat="1" applyFont="1" applyFill="1" applyBorder="1"/>
    <xf numFmtId="49" fontId="4" fillId="0" borderId="0" xfId="0" applyNumberFormat="1" applyFont="1" applyFill="1" applyBorder="1" applyAlignment="1">
      <alignment horizontal="center"/>
    </xf>
    <xf numFmtId="168" fontId="6" fillId="0" borderId="3" xfId="0" quotePrefix="1" applyNumberFormat="1" applyFont="1" applyFill="1" applyBorder="1" applyAlignment="1">
      <alignment horizontal="center" wrapText="1"/>
    </xf>
    <xf numFmtId="168" fontId="27" fillId="0" borderId="2" xfId="0" quotePrefix="1" applyNumberFormat="1" applyFont="1" applyFill="1" applyBorder="1" applyAlignment="1">
      <alignment horizontal="center"/>
    </xf>
    <xf numFmtId="168" fontId="2" fillId="0" borderId="75" xfId="0" applyNumberFormat="1" applyFont="1" applyFill="1" applyBorder="1"/>
    <xf numFmtId="168" fontId="2" fillId="0" borderId="0" xfId="0" applyNumberFormat="1" applyFont="1" applyFill="1" applyAlignment="1"/>
    <xf numFmtId="168" fontId="6" fillId="0" borderId="29" xfId="0" quotePrefix="1" applyNumberFormat="1" applyFont="1" applyFill="1" applyBorder="1" applyAlignment="1">
      <alignment horizontal="left"/>
    </xf>
    <xf numFmtId="168" fontId="6" fillId="0" borderId="11" xfId="0" quotePrefix="1" applyNumberFormat="1" applyFont="1" applyFill="1" applyBorder="1" applyAlignment="1">
      <alignment horizontal="left"/>
    </xf>
    <xf numFmtId="38" fontId="4" fillId="0" borderId="4" xfId="0" applyNumberFormat="1" applyFont="1" applyFill="1" applyBorder="1"/>
    <xf numFmtId="168" fontId="48" fillId="10" borderId="0" xfId="0" applyNumberFormat="1" applyFont="1" applyFill="1" applyBorder="1"/>
    <xf numFmtId="168" fontId="5" fillId="0" borderId="15" xfId="0" applyNumberFormat="1" applyFont="1" applyFill="1" applyBorder="1" applyAlignment="1">
      <alignment horizontal="right"/>
    </xf>
    <xf numFmtId="168" fontId="2" fillId="0" borderId="87" xfId="0" applyNumberFormat="1" applyFont="1" applyFill="1" applyBorder="1" applyAlignment="1">
      <alignment horizontal="center"/>
    </xf>
    <xf numFmtId="9" fontId="5" fillId="0" borderId="34" xfId="4" applyFont="1" applyFill="1" applyBorder="1"/>
    <xf numFmtId="9" fontId="4" fillId="0" borderId="34" xfId="4" applyFont="1" applyFill="1" applyBorder="1"/>
    <xf numFmtId="9" fontId="5" fillId="0" borderId="97" xfId="4" applyFont="1" applyFill="1" applyBorder="1"/>
    <xf numFmtId="168" fontId="2" fillId="0" borderId="68" xfId="0" applyNumberFormat="1" applyFont="1" applyBorder="1" applyAlignment="1">
      <alignment horizontal="center"/>
    </xf>
    <xf numFmtId="38" fontId="4" fillId="0" borderId="0" xfId="0" applyNumberFormat="1" applyFont="1" applyFill="1"/>
    <xf numFmtId="168" fontId="2" fillId="0" borderId="4" xfId="0" applyNumberFormat="1" applyFont="1" applyFill="1" applyBorder="1" applyAlignment="1"/>
    <xf numFmtId="168" fontId="2" fillId="0" borderId="16" xfId="0" applyNumberFormat="1" applyFont="1" applyFill="1" applyBorder="1" applyAlignment="1"/>
    <xf numFmtId="9" fontId="5" fillId="0" borderId="16" xfId="4" applyFont="1" applyFill="1" applyBorder="1" applyAlignment="1">
      <alignment horizontal="center"/>
    </xf>
    <xf numFmtId="168" fontId="2" fillId="0" borderId="38" xfId="0" applyNumberFormat="1" applyFont="1" applyBorder="1"/>
    <xf numFmtId="168" fontId="5" fillId="0" borderId="36" xfId="0" applyNumberFormat="1" applyFont="1" applyBorder="1"/>
    <xf numFmtId="168" fontId="2" fillId="0" borderId="19" xfId="0" applyNumberFormat="1" applyFont="1" applyBorder="1"/>
    <xf numFmtId="168" fontId="2" fillId="0" borderId="40" xfId="0" applyNumberFormat="1" applyFont="1" applyBorder="1" applyAlignment="1">
      <alignment horizontal="center"/>
    </xf>
    <xf numFmtId="168" fontId="2" fillId="0" borderId="63" xfId="0" applyNumberFormat="1" applyFont="1" applyBorder="1" applyAlignment="1">
      <alignment horizontal="center"/>
    </xf>
    <xf numFmtId="168" fontId="2" fillId="0" borderId="36" xfId="0" applyNumberFormat="1" applyFont="1" applyBorder="1" applyAlignment="1">
      <alignment horizontal="center"/>
    </xf>
    <xf numFmtId="168" fontId="2" fillId="0" borderId="39" xfId="0" applyNumberFormat="1" applyFont="1" applyBorder="1" applyAlignment="1">
      <alignment horizontal="center"/>
    </xf>
    <xf numFmtId="168" fontId="2" fillId="0" borderId="32" xfId="0" applyNumberFormat="1" applyFont="1" applyBorder="1" applyAlignment="1">
      <alignment horizontal="center"/>
    </xf>
    <xf numFmtId="167" fontId="2" fillId="0" borderId="11" xfId="4" applyNumberFormat="1" applyFont="1" applyBorder="1" applyAlignment="1">
      <alignment horizontal="center"/>
    </xf>
    <xf numFmtId="167" fontId="2" fillId="0" borderId="19" xfId="4" applyNumberFormat="1" applyFont="1" applyBorder="1" applyAlignment="1">
      <alignment horizontal="center"/>
    </xf>
    <xf numFmtId="167" fontId="2" fillId="0" borderId="20" xfId="4" applyNumberFormat="1" applyFont="1" applyBorder="1" applyAlignment="1">
      <alignment horizontal="center"/>
    </xf>
    <xf numFmtId="168" fontId="6" fillId="0" borderId="38" xfId="0" applyNumberFormat="1" applyFont="1" applyFill="1" applyBorder="1" applyAlignment="1">
      <alignment horizontal="center"/>
    </xf>
    <xf numFmtId="168" fontId="6" fillId="0" borderId="30" xfId="0" applyNumberFormat="1" applyFont="1" applyFill="1" applyBorder="1" applyAlignment="1">
      <alignment horizontal="center"/>
    </xf>
    <xf numFmtId="168" fontId="2" fillId="0" borderId="36" xfId="0" applyNumberFormat="1" applyFont="1" applyFill="1" applyBorder="1" applyAlignment="1"/>
    <xf numFmtId="168" fontId="2" fillId="0" borderId="19" xfId="0" applyNumberFormat="1" applyFont="1" applyFill="1" applyBorder="1" applyAlignment="1"/>
    <xf numFmtId="168" fontId="5" fillId="0" borderId="11" xfId="0" applyNumberFormat="1" applyFont="1" applyFill="1" applyBorder="1" applyAlignment="1">
      <alignment horizontal="right"/>
    </xf>
    <xf numFmtId="168" fontId="2" fillId="0" borderId="30" xfId="0" applyNumberFormat="1" applyFont="1" applyFill="1" applyBorder="1" applyAlignment="1"/>
    <xf numFmtId="168" fontId="2" fillId="0" borderId="90" xfId="0" applyNumberFormat="1" applyFont="1" applyFill="1" applyBorder="1" applyAlignment="1"/>
    <xf numFmtId="168" fontId="2" fillId="0" borderId="97" xfId="0" applyNumberFormat="1" applyFont="1" applyFill="1" applyBorder="1"/>
    <xf numFmtId="168" fontId="5" fillId="0" borderId="23" xfId="0" applyNumberFormat="1" applyFont="1" applyFill="1" applyBorder="1"/>
    <xf numFmtId="168" fontId="4" fillId="0" borderId="32" xfId="0" applyNumberFormat="1" applyFont="1" applyFill="1" applyBorder="1" applyAlignment="1">
      <alignment horizontal="center" vertical="center"/>
    </xf>
    <xf numFmtId="168" fontId="6" fillId="0" borderId="133" xfId="0" applyNumberFormat="1" applyFont="1" applyFill="1" applyBorder="1"/>
    <xf numFmtId="168" fontId="5" fillId="0" borderId="26" xfId="0" applyNumberFormat="1" applyFont="1" applyFill="1" applyBorder="1" applyAlignment="1">
      <alignment horizontal="right"/>
    </xf>
    <xf numFmtId="168" fontId="2" fillId="0" borderId="27" xfId="0" quotePrefix="1" applyNumberFormat="1" applyFont="1" applyFill="1" applyBorder="1" applyAlignment="1">
      <alignment horizontal="center" wrapText="1"/>
    </xf>
    <xf numFmtId="168" fontId="6" fillId="0" borderId="5" xfId="0" applyNumberFormat="1" applyFont="1" applyFill="1" applyBorder="1" applyAlignment="1"/>
    <xf numFmtId="170" fontId="5" fillId="0" borderId="4" xfId="0" applyNumberFormat="1" applyFont="1" applyFill="1" applyBorder="1" applyAlignment="1"/>
    <xf numFmtId="168" fontId="4" fillId="0" borderId="15" xfId="0" applyNumberFormat="1" applyFont="1" applyFill="1" applyBorder="1" applyAlignment="1"/>
    <xf numFmtId="168" fontId="5" fillId="0" borderId="28" xfId="0" applyNumberFormat="1" applyFont="1" applyFill="1" applyBorder="1" applyAlignment="1"/>
    <xf numFmtId="168" fontId="6" fillId="0" borderId="2" xfId="0" applyNumberFormat="1" applyFont="1" applyFill="1" applyBorder="1" applyAlignment="1">
      <alignment horizontal="center"/>
    </xf>
    <xf numFmtId="168" fontId="5" fillId="0" borderId="15" xfId="0" applyNumberFormat="1" applyFont="1" applyFill="1" applyBorder="1" applyAlignment="1"/>
    <xf numFmtId="168" fontId="6" fillId="0" borderId="37" xfId="0" applyNumberFormat="1" applyFont="1" applyFill="1" applyBorder="1" applyAlignment="1"/>
    <xf numFmtId="168" fontId="6" fillId="0" borderId="15" xfId="0" applyNumberFormat="1" applyFont="1" applyFill="1" applyBorder="1" applyAlignment="1"/>
    <xf numFmtId="168" fontId="6" fillId="0" borderId="22" xfId="0" quotePrefix="1" applyNumberFormat="1" applyFont="1" applyFill="1" applyBorder="1" applyAlignment="1">
      <alignment horizontal="center"/>
    </xf>
    <xf numFmtId="1" fontId="6" fillId="0" borderId="3" xfId="0" applyNumberFormat="1" applyFont="1" applyFill="1" applyBorder="1" applyAlignment="1">
      <alignment horizontal="center"/>
    </xf>
    <xf numFmtId="49" fontId="6" fillId="0" borderId="3" xfId="0" applyNumberFormat="1" applyFont="1" applyFill="1" applyBorder="1" applyAlignment="1">
      <alignment horizontal="center"/>
    </xf>
    <xf numFmtId="168" fontId="7" fillId="0" borderId="11" xfId="0" applyNumberFormat="1" applyFont="1" applyFill="1" applyBorder="1" applyAlignment="1">
      <alignment horizontal="center"/>
    </xf>
    <xf numFmtId="168" fontId="6" fillId="0" borderId="22" xfId="0" applyNumberFormat="1" applyFont="1" applyFill="1" applyBorder="1"/>
    <xf numFmtId="168" fontId="5" fillId="0" borderId="114" xfId="0" applyNumberFormat="1" applyFont="1" applyFill="1" applyBorder="1"/>
    <xf numFmtId="1" fontId="5" fillId="0" borderId="40" xfId="0" applyNumberFormat="1" applyFont="1" applyFill="1" applyBorder="1" applyAlignment="1">
      <alignment horizontal="center"/>
    </xf>
    <xf numFmtId="1" fontId="5" fillId="0" borderId="117" xfId="0" applyNumberFormat="1" applyFont="1" applyFill="1" applyBorder="1" applyAlignment="1">
      <alignment horizontal="center"/>
    </xf>
    <xf numFmtId="168" fontId="7" fillId="0" borderId="117" xfId="0" applyNumberFormat="1" applyFont="1" applyFill="1" applyBorder="1" applyAlignment="1">
      <alignment horizontal="left"/>
    </xf>
    <xf numFmtId="168" fontId="5" fillId="0" borderId="97" xfId="0" applyNumberFormat="1" applyFont="1" applyFill="1" applyBorder="1"/>
    <xf numFmtId="168" fontId="2" fillId="0" borderId="4" xfId="0" applyNumberFormat="1" applyFont="1" applyBorder="1" applyAlignment="1">
      <alignment horizontal="center"/>
    </xf>
    <xf numFmtId="168" fontId="2" fillId="0" borderId="16" xfId="0" applyNumberFormat="1" applyFont="1" applyBorder="1" applyAlignment="1">
      <alignment horizontal="center"/>
    </xf>
    <xf numFmtId="168" fontId="4" fillId="0" borderId="28" xfId="0" applyNumberFormat="1" applyFont="1" applyBorder="1" applyAlignment="1">
      <alignment horizontal="center"/>
    </xf>
    <xf numFmtId="168" fontId="2" fillId="0" borderId="28" xfId="0" applyNumberFormat="1" applyFont="1" applyBorder="1" applyAlignment="1">
      <alignment horizontal="center"/>
    </xf>
    <xf numFmtId="168" fontId="2" fillId="0" borderId="18" xfId="0" quotePrefix="1" applyNumberFormat="1" applyFont="1" applyFill="1" applyBorder="1" applyAlignment="1">
      <alignment horizontal="center" wrapText="1"/>
    </xf>
    <xf numFmtId="168" fontId="5" fillId="0" borderId="37" xfId="0" applyNumberFormat="1" applyFont="1" applyFill="1" applyBorder="1"/>
    <xf numFmtId="168" fontId="2" fillId="0" borderId="15" xfId="0" applyNumberFormat="1" applyFont="1" applyFill="1" applyBorder="1"/>
    <xf numFmtId="168" fontId="25" fillId="0" borderId="15" xfId="0" applyNumberFormat="1" applyFont="1" applyFill="1" applyBorder="1" applyAlignment="1">
      <alignment horizontal="left"/>
    </xf>
    <xf numFmtId="168" fontId="5" fillId="0" borderId="15" xfId="0" quotePrefix="1" applyNumberFormat="1" applyFont="1" applyFill="1" applyBorder="1" applyAlignment="1">
      <alignment horizontal="left"/>
    </xf>
    <xf numFmtId="0" fontId="5" fillId="0" borderId="15" xfId="0" applyFont="1" applyFill="1" applyBorder="1"/>
    <xf numFmtId="168" fontId="2" fillId="0" borderId="15" xfId="0" quotePrefix="1" applyNumberFormat="1" applyFont="1" applyFill="1" applyBorder="1" applyAlignment="1">
      <alignment horizontal="left"/>
    </xf>
    <xf numFmtId="168" fontId="2" fillId="0" borderId="93" xfId="0" applyNumberFormat="1" applyFont="1" applyFill="1" applyBorder="1" applyAlignment="1">
      <alignment horizontal="left"/>
    </xf>
    <xf numFmtId="0" fontId="4" fillId="0" borderId="93" xfId="0" applyNumberFormat="1" applyFont="1" applyFill="1" applyBorder="1" applyAlignment="1">
      <alignment horizontal="center"/>
    </xf>
    <xf numFmtId="167" fontId="5" fillId="0" borderId="3" xfId="4" applyNumberFormat="1" applyFont="1" applyBorder="1" applyAlignment="1">
      <alignment horizontal="center"/>
    </xf>
    <xf numFmtId="167" fontId="5" fillId="0" borderId="4" xfId="4" applyNumberFormat="1" applyFont="1" applyBorder="1" applyAlignment="1">
      <alignment horizontal="center"/>
    </xf>
    <xf numFmtId="167" fontId="5" fillId="0" borderId="16" xfId="4" applyNumberFormat="1" applyFont="1" applyBorder="1" applyAlignment="1">
      <alignment horizontal="center"/>
    </xf>
    <xf numFmtId="168" fontId="7" fillId="0" borderId="21" xfId="0" applyNumberFormat="1" applyFont="1" applyFill="1" applyBorder="1" applyAlignment="1">
      <alignment horizontal="left"/>
    </xf>
    <xf numFmtId="1" fontId="6" fillId="0" borderId="94" xfId="0" applyNumberFormat="1" applyFont="1" applyFill="1" applyBorder="1" applyAlignment="1">
      <alignment horizontal="center"/>
    </xf>
    <xf numFmtId="168" fontId="6" fillId="0" borderId="1" xfId="0" applyNumberFormat="1" applyFont="1" applyFill="1" applyBorder="1" applyAlignment="1"/>
    <xf numFmtId="3" fontId="6" fillId="0" borderId="67" xfId="0" applyNumberFormat="1" applyFont="1" applyFill="1" applyBorder="1" applyAlignment="1">
      <alignment horizontal="center"/>
    </xf>
    <xf numFmtId="3" fontId="6" fillId="0" borderId="4" xfId="0" applyNumberFormat="1" applyFont="1" applyFill="1" applyBorder="1" applyAlignment="1">
      <alignment horizontal="center"/>
    </xf>
    <xf numFmtId="168" fontId="2" fillId="0" borderId="74" xfId="0" applyNumberFormat="1" applyFont="1" applyFill="1" applyBorder="1"/>
    <xf numFmtId="168" fontId="6" fillId="0" borderId="27" xfId="0" applyNumberFormat="1" applyFont="1" applyFill="1" applyBorder="1"/>
    <xf numFmtId="168" fontId="6" fillId="0" borderId="74" xfId="0" applyNumberFormat="1" applyFont="1" applyFill="1" applyBorder="1"/>
    <xf numFmtId="3" fontId="0" fillId="0" borderId="11" xfId="0" applyNumberFormat="1" applyFill="1" applyBorder="1"/>
    <xf numFmtId="3" fontId="0" fillId="0" borderId="5" xfId="0" applyNumberFormat="1" applyFill="1" applyBorder="1"/>
    <xf numFmtId="10" fontId="4" fillId="0" borderId="3" xfId="4" applyNumberFormat="1" applyFont="1" applyFill="1" applyBorder="1"/>
    <xf numFmtId="9" fontId="4" fillId="0" borderId="3" xfId="0" applyNumberFormat="1" applyFont="1" applyFill="1" applyBorder="1"/>
    <xf numFmtId="3" fontId="0" fillId="0" borderId="94" xfId="0" applyNumberFormat="1" applyFill="1" applyBorder="1"/>
    <xf numFmtId="167" fontId="4" fillId="0" borderId="3" xfId="0" applyNumberFormat="1" applyFont="1" applyFill="1" applyBorder="1"/>
    <xf numFmtId="174" fontId="4" fillId="0" borderId="3" xfId="0" applyNumberFormat="1" applyFont="1" applyFill="1" applyBorder="1"/>
    <xf numFmtId="10" fontId="4" fillId="0" borderId="3" xfId="0" applyNumberFormat="1" applyFont="1" applyFill="1" applyBorder="1"/>
    <xf numFmtId="10" fontId="6" fillId="0" borderId="3" xfId="0" applyNumberFormat="1" applyFont="1" applyFill="1" applyBorder="1"/>
    <xf numFmtId="2" fontId="4" fillId="0" borderId="3" xfId="0" applyNumberFormat="1" applyFont="1" applyFill="1" applyBorder="1"/>
    <xf numFmtId="170" fontId="4" fillId="0" borderId="3" xfId="1" applyNumberFormat="1" applyFont="1" applyFill="1" applyBorder="1"/>
    <xf numFmtId="170" fontId="6" fillId="0" borderId="3" xfId="1" applyNumberFormat="1" applyFont="1" applyFill="1" applyBorder="1"/>
    <xf numFmtId="2" fontId="6" fillId="0" borderId="3" xfId="0" applyNumberFormat="1" applyFont="1" applyFill="1" applyBorder="1"/>
    <xf numFmtId="180" fontId="6" fillId="0" borderId="3" xfId="0" applyNumberFormat="1" applyFont="1" applyFill="1" applyBorder="1"/>
    <xf numFmtId="10" fontId="6" fillId="0" borderId="3" xfId="4" applyNumberFormat="1" applyFont="1" applyFill="1" applyBorder="1"/>
    <xf numFmtId="167" fontId="6" fillId="0" borderId="3" xfId="0" applyNumberFormat="1" applyFont="1" applyFill="1" applyBorder="1"/>
    <xf numFmtId="164" fontId="6" fillId="0" borderId="3" xfId="1" applyNumberFormat="1" applyFont="1" applyFill="1" applyBorder="1"/>
    <xf numFmtId="167" fontId="4" fillId="0" borderId="3" xfId="4" applyNumberFormat="1" applyFont="1" applyFill="1" applyBorder="1"/>
    <xf numFmtId="170" fontId="6" fillId="0" borderId="3" xfId="0" applyNumberFormat="1" applyFont="1" applyFill="1" applyBorder="1"/>
    <xf numFmtId="3" fontId="0" fillId="0" borderId="40" xfId="0" applyNumberFormat="1" applyFill="1" applyBorder="1"/>
    <xf numFmtId="180" fontId="28" fillId="0" borderId="3" xfId="0" applyNumberFormat="1" applyFont="1" applyFill="1" applyBorder="1" applyAlignment="1">
      <alignment horizontal="right" vertical="center"/>
    </xf>
    <xf numFmtId="10" fontId="28" fillId="0" borderId="3" xfId="0" applyNumberFormat="1" applyFont="1" applyFill="1" applyBorder="1" applyAlignment="1">
      <alignment horizontal="right" vertical="center"/>
    </xf>
    <xf numFmtId="2" fontId="28" fillId="0" borderId="3" xfId="0" applyNumberFormat="1" applyFont="1" applyFill="1" applyBorder="1" applyAlignment="1">
      <alignment horizontal="right" vertical="center"/>
    </xf>
    <xf numFmtId="168" fontId="0" fillId="0" borderId="40" xfId="0" applyNumberFormat="1" applyFill="1" applyBorder="1"/>
    <xf numFmtId="10" fontId="45" fillId="0" borderId="3" xfId="4" applyNumberFormat="1" applyFont="1" applyFill="1" applyBorder="1"/>
    <xf numFmtId="9" fontId="45" fillId="0" borderId="3" xfId="4" applyNumberFormat="1" applyFont="1" applyFill="1" applyBorder="1"/>
    <xf numFmtId="9" fontId="45" fillId="0" borderId="3" xfId="0" applyNumberFormat="1" applyFont="1" applyFill="1" applyBorder="1"/>
    <xf numFmtId="168" fontId="0" fillId="0" borderId="94" xfId="0" applyNumberFormat="1" applyFill="1" applyBorder="1"/>
    <xf numFmtId="168" fontId="6" fillId="0" borderId="15" xfId="0" quotePrefix="1" applyNumberFormat="1" applyFont="1" applyFill="1" applyBorder="1" applyAlignment="1">
      <alignment horizontal="center"/>
    </xf>
    <xf numFmtId="168" fontId="2" fillId="0" borderId="124" xfId="0" applyNumberFormat="1" applyFont="1" applyFill="1" applyBorder="1"/>
    <xf numFmtId="168" fontId="2" fillId="0" borderId="124" xfId="0" applyNumberFormat="1" applyFont="1" applyFill="1" applyBorder="1" applyAlignment="1"/>
    <xf numFmtId="168" fontId="2" fillId="0" borderId="21" xfId="0" applyNumberFormat="1" applyFont="1" applyFill="1" applyBorder="1" applyAlignment="1"/>
    <xf numFmtId="168" fontId="6" fillId="0" borderId="46" xfId="0" quotePrefix="1" applyNumberFormat="1" applyFont="1" applyFill="1" applyBorder="1" applyAlignment="1">
      <alignment horizontal="center"/>
    </xf>
    <xf numFmtId="168" fontId="5" fillId="0" borderId="18" xfId="0" applyNumberFormat="1" applyFont="1" applyFill="1" applyBorder="1" applyAlignment="1"/>
    <xf numFmtId="168" fontId="6" fillId="0" borderId="124" xfId="0" applyNumberFormat="1" applyFont="1" applyFill="1" applyBorder="1" applyAlignment="1"/>
    <xf numFmtId="168" fontId="5" fillId="0" borderId="22" xfId="0" applyNumberFormat="1" applyFont="1" applyFill="1" applyBorder="1" applyAlignment="1"/>
    <xf numFmtId="168" fontId="6" fillId="0" borderId="127" xfId="0" applyNumberFormat="1" applyFont="1" applyFill="1" applyBorder="1" applyAlignment="1"/>
    <xf numFmtId="168" fontId="6" fillId="0" borderId="93" xfId="0" applyNumberFormat="1" applyFont="1" applyFill="1" applyBorder="1" applyAlignment="1"/>
    <xf numFmtId="168" fontId="6" fillId="0" borderId="149" xfId="0" applyNumberFormat="1" applyFont="1" applyFill="1" applyBorder="1" applyAlignment="1"/>
    <xf numFmtId="168" fontId="5" fillId="0" borderId="5" xfId="0" applyNumberFormat="1" applyFont="1" applyFill="1" applyBorder="1" applyAlignment="1"/>
    <xf numFmtId="168" fontId="5" fillId="0" borderId="29" xfId="0" applyNumberFormat="1" applyFont="1" applyFill="1" applyBorder="1" applyAlignment="1"/>
    <xf numFmtId="168" fontId="6" fillId="0" borderId="21" xfId="0" applyNumberFormat="1" applyFont="1" applyFill="1" applyBorder="1" applyAlignment="1"/>
    <xf numFmtId="168" fontId="27" fillId="0" borderId="0" xfId="0" applyNumberFormat="1" applyFont="1" applyFill="1" applyBorder="1" applyAlignment="1"/>
    <xf numFmtId="168" fontId="5" fillId="0" borderId="18" xfId="0" applyNumberFormat="1" applyFont="1" applyFill="1" applyBorder="1" applyAlignment="1">
      <alignment horizontal="center"/>
    </xf>
    <xf numFmtId="168" fontId="5" fillId="0" borderId="4" xfId="0" quotePrefix="1" applyNumberFormat="1" applyFont="1" applyFill="1" applyBorder="1" applyAlignment="1">
      <alignment horizontal="right"/>
    </xf>
    <xf numFmtId="168" fontId="6" fillId="0" borderId="4" xfId="0" quotePrefix="1" applyNumberFormat="1" applyFont="1" applyFill="1" applyBorder="1" applyAlignment="1">
      <alignment horizontal="right"/>
    </xf>
    <xf numFmtId="168" fontId="4" fillId="0" borderId="3" xfId="0" quotePrefix="1" applyNumberFormat="1" applyFont="1" applyFill="1" applyBorder="1" applyAlignment="1">
      <alignment horizontal="center"/>
    </xf>
    <xf numFmtId="168" fontId="6" fillId="0" borderId="26" xfId="0" quotePrefix="1" applyNumberFormat="1" applyFont="1" applyFill="1" applyBorder="1" applyAlignment="1">
      <alignment horizontal="center"/>
    </xf>
    <xf numFmtId="168" fontId="4" fillId="0" borderId="28" xfId="0" quotePrefix="1" applyNumberFormat="1" applyFont="1" applyFill="1" applyBorder="1" applyAlignment="1">
      <alignment horizontal="right"/>
    </xf>
    <xf numFmtId="168" fontId="6" fillId="0" borderId="23" xfId="0" applyNumberFormat="1" applyFont="1" applyFill="1" applyBorder="1" applyAlignment="1"/>
    <xf numFmtId="168" fontId="6" fillId="0" borderId="32" xfId="0" applyNumberFormat="1" applyFont="1" applyFill="1" applyBorder="1" applyAlignment="1"/>
    <xf numFmtId="168" fontId="4" fillId="0" borderId="28" xfId="0" applyNumberFormat="1" applyFont="1" applyFill="1" applyBorder="1" applyAlignment="1">
      <alignment horizontal="right"/>
    </xf>
    <xf numFmtId="168" fontId="4" fillId="0" borderId="28" xfId="0" quotePrefix="1" applyNumberFormat="1" applyFont="1" applyFill="1" applyBorder="1" applyAlignment="1">
      <alignment horizontal="center"/>
    </xf>
    <xf numFmtId="168" fontId="6" fillId="0" borderId="47" xfId="0" applyNumberFormat="1" applyFont="1" applyFill="1" applyBorder="1" applyAlignment="1">
      <alignment horizontal="right"/>
    </xf>
    <xf numFmtId="168" fontId="6" fillId="0" borderId="28" xfId="0" quotePrefix="1" applyNumberFormat="1" applyFont="1" applyFill="1" applyBorder="1" applyAlignment="1">
      <alignment horizontal="right"/>
    </xf>
    <xf numFmtId="168" fontId="6" fillId="0" borderId="85" xfId="0" applyNumberFormat="1" applyFont="1" applyFill="1" applyBorder="1" applyAlignment="1">
      <alignment horizontal="centerContinuous"/>
    </xf>
    <xf numFmtId="168" fontId="6" fillId="0" borderId="76" xfId="0" applyNumberFormat="1" applyFont="1" applyFill="1" applyBorder="1" applyAlignment="1">
      <alignment horizontal="centerContinuous"/>
    </xf>
    <xf numFmtId="168" fontId="6" fillId="0" borderId="67" xfId="0" applyNumberFormat="1" applyFont="1" applyFill="1" applyBorder="1" applyAlignment="1">
      <alignment horizontal="centerContinuous"/>
    </xf>
    <xf numFmtId="168" fontId="6" fillId="0" borderId="105" xfId="0" applyNumberFormat="1" applyFont="1" applyFill="1" applyBorder="1" applyAlignment="1">
      <alignment horizontal="right"/>
    </xf>
    <xf numFmtId="168" fontId="6" fillId="0" borderId="36" xfId="0" applyNumberFormat="1" applyFont="1" applyFill="1" applyBorder="1" applyAlignment="1">
      <alignment horizontal="right"/>
    </xf>
    <xf numFmtId="168" fontId="6" fillId="0" borderId="5" xfId="0" applyNumberFormat="1" applyFont="1" applyFill="1" applyBorder="1" applyAlignment="1">
      <alignment horizontal="right"/>
    </xf>
    <xf numFmtId="168" fontId="6" fillId="0" borderId="103" xfId="0" applyNumberFormat="1" applyFont="1" applyFill="1" applyBorder="1" applyAlignment="1">
      <alignment horizontal="right"/>
    </xf>
    <xf numFmtId="168" fontId="6" fillId="0" borderId="53" xfId="0" applyNumberFormat="1" applyFont="1" applyFill="1" applyBorder="1"/>
    <xf numFmtId="168" fontId="6" fillId="0" borderId="66" xfId="0" applyNumberFormat="1" applyFont="1" applyFill="1" applyBorder="1"/>
    <xf numFmtId="0" fontId="4" fillId="0" borderId="0" xfId="0" applyNumberFormat="1" applyFont="1" applyFill="1" applyAlignment="1">
      <alignment horizontal="right"/>
    </xf>
    <xf numFmtId="38" fontId="4" fillId="0" borderId="4" xfId="1" quotePrefix="1" applyNumberFormat="1" applyFont="1" applyFill="1" applyBorder="1"/>
    <xf numFmtId="0" fontId="6" fillId="0" borderId="15" xfId="0" applyFont="1" applyFill="1" applyBorder="1"/>
    <xf numFmtId="168" fontId="6" fillId="0" borderId="64" xfId="0" applyNumberFormat="1" applyFont="1" applyFill="1" applyBorder="1" applyAlignment="1">
      <alignment horizontal="centerContinuous"/>
    </xf>
    <xf numFmtId="168" fontId="2" fillId="0" borderId="167" xfId="0" applyNumberFormat="1" applyFont="1" applyBorder="1" applyAlignment="1">
      <alignment horizontal="center"/>
    </xf>
    <xf numFmtId="168" fontId="6" fillId="0" borderId="8" xfId="0" applyNumberFormat="1" applyFont="1" applyFill="1" applyBorder="1" applyAlignment="1">
      <alignment horizontal="center"/>
    </xf>
    <xf numFmtId="10" fontId="2" fillId="0" borderId="4" xfId="4" applyNumberFormat="1" applyFont="1" applyBorder="1" applyAlignment="1">
      <alignment horizontal="center"/>
    </xf>
    <xf numFmtId="10" fontId="2" fillId="0" borderId="3" xfId="4" applyNumberFormat="1" applyFont="1" applyBorder="1" applyAlignment="1">
      <alignment horizontal="center"/>
    </xf>
    <xf numFmtId="10" fontId="2" fillId="0" borderId="16" xfId="4" applyNumberFormat="1" applyFont="1" applyBorder="1" applyAlignment="1">
      <alignment horizontal="center"/>
    </xf>
    <xf numFmtId="10" fontId="2" fillId="0" borderId="11" xfId="4" applyNumberFormat="1" applyFont="1" applyBorder="1" applyAlignment="1">
      <alignment horizontal="center"/>
    </xf>
    <xf numFmtId="10" fontId="2" fillId="0" borderId="19" xfId="4" applyNumberFormat="1" applyFont="1" applyBorder="1" applyAlignment="1">
      <alignment horizontal="center"/>
    </xf>
    <xf numFmtId="10" fontId="2" fillId="0" borderId="20" xfId="4" applyNumberFormat="1" applyFont="1" applyBorder="1" applyAlignment="1">
      <alignment horizontal="center"/>
    </xf>
    <xf numFmtId="168" fontId="2" fillId="0" borderId="133" xfId="0" applyNumberFormat="1" applyFont="1" applyFill="1" applyBorder="1" applyAlignment="1">
      <alignment vertical="center"/>
    </xf>
    <xf numFmtId="168" fontId="2" fillId="0" borderId="38" xfId="0" applyNumberFormat="1" applyFont="1" applyFill="1" applyBorder="1" applyAlignment="1">
      <alignment vertical="center"/>
    </xf>
    <xf numFmtId="168" fontId="2" fillId="0" borderId="39" xfId="0" applyNumberFormat="1" applyFont="1" applyFill="1" applyBorder="1" applyAlignment="1">
      <alignment vertical="center"/>
    </xf>
    <xf numFmtId="168" fontId="2" fillId="0" borderId="38" xfId="0" applyNumberFormat="1" applyFont="1" applyFill="1" applyBorder="1"/>
    <xf numFmtId="168" fontId="4" fillId="0" borderId="3" xfId="1" applyNumberFormat="1" applyFont="1" applyFill="1" applyBorder="1" applyAlignment="1">
      <alignment horizontal="right"/>
    </xf>
    <xf numFmtId="168" fontId="6" fillId="0" borderId="13" xfId="0" applyNumberFormat="1" applyFont="1" applyFill="1" applyBorder="1" applyAlignment="1">
      <alignment horizontal="center"/>
    </xf>
    <xf numFmtId="3" fontId="6" fillId="0" borderId="3" xfId="0" applyNumberFormat="1" applyFont="1" applyFill="1" applyBorder="1"/>
    <xf numFmtId="168" fontId="6" fillId="0" borderId="168" xfId="0" applyNumberFormat="1" applyFont="1" applyFill="1" applyBorder="1" applyAlignment="1">
      <alignment vertical="center"/>
    </xf>
    <xf numFmtId="168" fontId="6" fillId="0" borderId="158" xfId="0" applyNumberFormat="1" applyFont="1" applyFill="1" applyBorder="1" applyAlignment="1">
      <alignment vertical="center"/>
    </xf>
    <xf numFmtId="168" fontId="6" fillId="0" borderId="169" xfId="0" applyNumberFormat="1" applyFont="1" applyFill="1" applyBorder="1" applyAlignment="1">
      <alignment vertical="center"/>
    </xf>
    <xf numFmtId="168" fontId="2" fillId="0" borderId="128" xfId="0" quotePrefix="1" applyNumberFormat="1" applyFont="1" applyFill="1" applyBorder="1" applyAlignment="1">
      <alignment horizontal="center"/>
    </xf>
    <xf numFmtId="38" fontId="4" fillId="0" borderId="16" xfId="0" applyNumberFormat="1" applyFont="1" applyFill="1" applyBorder="1"/>
    <xf numFmtId="38" fontId="4" fillId="0" borderId="42" xfId="0" applyNumberFormat="1" applyFont="1" applyFill="1" applyBorder="1"/>
    <xf numFmtId="38" fontId="4" fillId="0" borderId="3" xfId="0" applyNumberFormat="1" applyFont="1" applyFill="1" applyBorder="1"/>
    <xf numFmtId="0" fontId="5" fillId="0" borderId="34" xfId="0" applyNumberFormat="1" applyFont="1" applyFill="1" applyBorder="1" applyAlignment="1">
      <alignment horizontal="center"/>
    </xf>
    <xf numFmtId="168" fontId="7" fillId="0" borderId="34" xfId="0" applyNumberFormat="1" applyFont="1" applyFill="1" applyBorder="1"/>
    <xf numFmtId="0" fontId="6" fillId="0" borderId="34" xfId="0" applyNumberFormat="1" applyFont="1" applyFill="1" applyBorder="1" applyAlignment="1">
      <alignment horizontal="center"/>
    </xf>
    <xf numFmtId="168" fontId="6" fillId="0" borderId="34" xfId="0" quotePrefix="1" applyNumberFormat="1" applyFont="1" applyFill="1" applyBorder="1" applyAlignment="1">
      <alignment horizontal="left"/>
    </xf>
    <xf numFmtId="168" fontId="5" fillId="0" borderId="34" xfId="0" applyNumberFormat="1" applyFont="1" applyFill="1" applyBorder="1" applyAlignment="1">
      <alignment horizontal="left"/>
    </xf>
    <xf numFmtId="168" fontId="7" fillId="0" borderId="28" xfId="0" applyNumberFormat="1" applyFont="1" applyFill="1" applyBorder="1" applyAlignment="1">
      <alignment horizontal="left"/>
    </xf>
    <xf numFmtId="168" fontId="25" fillId="0" borderId="34" xfId="0" applyNumberFormat="1" applyFont="1" applyFill="1" applyBorder="1" applyAlignment="1">
      <alignment horizontal="left"/>
    </xf>
    <xf numFmtId="168" fontId="7" fillId="0" borderId="152" xfId="0" applyNumberFormat="1" applyFont="1" applyFill="1" applyBorder="1" applyAlignment="1">
      <alignment horizontal="left"/>
    </xf>
    <xf numFmtId="0" fontId="5" fillId="0" borderId="97" xfId="0" applyNumberFormat="1" applyFont="1" applyFill="1" applyBorder="1" applyAlignment="1">
      <alignment horizontal="center"/>
    </xf>
    <xf numFmtId="0" fontId="5" fillId="0" borderId="63" xfId="0" applyNumberFormat="1" applyFont="1" applyFill="1" applyBorder="1" applyAlignment="1">
      <alignment horizontal="center"/>
    </xf>
    <xf numFmtId="168" fontId="7" fillId="0" borderId="47" xfId="0" applyNumberFormat="1" applyFont="1" applyFill="1" applyBorder="1" applyAlignment="1">
      <alignment horizontal="left"/>
    </xf>
    <xf numFmtId="0" fontId="6" fillId="0" borderId="32" xfId="0" applyNumberFormat="1" applyFont="1" applyFill="1" applyBorder="1"/>
    <xf numFmtId="168" fontId="6" fillId="0" borderId="61" xfId="0" quotePrefix="1" applyNumberFormat="1" applyFont="1" applyFill="1" applyBorder="1" applyAlignment="1">
      <alignment horizontal="center"/>
    </xf>
    <xf numFmtId="168" fontId="6" fillId="0" borderId="85" xfId="0" applyNumberFormat="1" applyFont="1" applyFill="1" applyBorder="1" applyAlignment="1">
      <alignment horizontal="center"/>
    </xf>
    <xf numFmtId="168" fontId="12" fillId="0" borderId="5" xfId="0" applyNumberFormat="1" applyFont="1" applyFill="1" applyBorder="1" applyAlignment="1">
      <alignment horizontal="left"/>
    </xf>
    <xf numFmtId="38" fontId="6" fillId="0" borderId="49" xfId="0" applyNumberFormat="1" applyFont="1" applyFill="1" applyBorder="1" applyAlignment="1">
      <alignment horizontal="center"/>
    </xf>
    <xf numFmtId="0" fontId="17" fillId="0" borderId="38" xfId="0" applyFont="1" applyFill="1" applyBorder="1" applyAlignment="1">
      <alignment horizontal="center" vertical="center"/>
    </xf>
    <xf numFmtId="0" fontId="17" fillId="0" borderId="39" xfId="0" applyFont="1" applyFill="1" applyBorder="1" applyAlignment="1">
      <alignment horizontal="center" vertical="center"/>
    </xf>
    <xf numFmtId="168" fontId="6" fillId="0" borderId="71" xfId="1" applyNumberFormat="1" applyFont="1" applyFill="1" applyBorder="1"/>
    <xf numFmtId="168" fontId="2" fillId="0" borderId="46" xfId="0" quotePrefix="1" applyNumberFormat="1" applyFont="1" applyFill="1" applyBorder="1" applyAlignment="1">
      <alignment horizontal="center"/>
    </xf>
    <xf numFmtId="168" fontId="2" fillId="0" borderId="93" xfId="0" applyNumberFormat="1" applyFont="1" applyFill="1" applyBorder="1"/>
    <xf numFmtId="168" fontId="2" fillId="0" borderId="208" xfId="0" quotePrefix="1" applyNumberFormat="1" applyFont="1" applyFill="1" applyBorder="1" applyAlignment="1">
      <alignment horizontal="center"/>
    </xf>
    <xf numFmtId="168" fontId="4" fillId="0" borderId="15" xfId="0" applyNumberFormat="1" applyFont="1" applyFill="1" applyBorder="1" applyAlignment="1">
      <alignment horizontal="right"/>
    </xf>
    <xf numFmtId="168" fontId="4" fillId="0" borderId="3" xfId="1" applyNumberFormat="1" applyFont="1" applyFill="1" applyBorder="1" applyAlignment="1"/>
    <xf numFmtId="168" fontId="4" fillId="0" borderId="4" xfId="1" applyNumberFormat="1" applyFont="1" applyFill="1" applyBorder="1" applyAlignment="1"/>
    <xf numFmtId="168" fontId="2" fillId="0" borderId="2" xfId="0" applyNumberFormat="1" applyFont="1" applyFill="1" applyBorder="1" applyAlignment="1">
      <alignment horizontal="right"/>
    </xf>
    <xf numFmtId="168" fontId="2" fillId="0" borderId="2" xfId="0" applyNumberFormat="1" applyFont="1" applyFill="1" applyBorder="1" applyAlignment="1">
      <alignment horizontal="left"/>
    </xf>
    <xf numFmtId="0" fontId="2" fillId="0" borderId="69" xfId="0" applyFont="1" applyFill="1" applyBorder="1" applyAlignment="1">
      <alignment horizontal="center"/>
    </xf>
    <xf numFmtId="38" fontId="6" fillId="0" borderId="29" xfId="0" applyNumberFormat="1" applyFont="1" applyFill="1" applyBorder="1"/>
    <xf numFmtId="38" fontId="4" fillId="0" borderId="11" xfId="0" applyNumberFormat="1" applyFont="1" applyFill="1" applyBorder="1"/>
    <xf numFmtId="38" fontId="4" fillId="0" borderId="19" xfId="0" applyNumberFormat="1" applyFont="1" applyFill="1" applyBorder="1"/>
    <xf numFmtId="0" fontId="0" fillId="0" borderId="1" xfId="0" applyFill="1" applyBorder="1"/>
    <xf numFmtId="0" fontId="0" fillId="0" borderId="6" xfId="0" applyFill="1" applyBorder="1"/>
    <xf numFmtId="168" fontId="0" fillId="0" borderId="0" xfId="1" applyNumberFormat="1" applyFont="1" applyFill="1" applyBorder="1"/>
    <xf numFmtId="168" fontId="2" fillId="0" borderId="6" xfId="0" applyNumberFormat="1" applyFont="1" applyFill="1" applyBorder="1"/>
    <xf numFmtId="0" fontId="2" fillId="0" borderId="6" xfId="0" applyFont="1" applyFill="1" applyBorder="1"/>
    <xf numFmtId="0" fontId="28" fillId="0" borderId="8" xfId="0" applyFont="1" applyFill="1" applyBorder="1" applyAlignment="1">
      <alignment horizontal="right" vertical="top" wrapText="1"/>
    </xf>
    <xf numFmtId="177" fontId="28" fillId="0" borderId="8" xfId="0" applyNumberFormat="1" applyFont="1" applyFill="1" applyBorder="1" applyAlignment="1">
      <alignment horizontal="right" vertical="top" wrapText="1"/>
    </xf>
    <xf numFmtId="168" fontId="28" fillId="0" borderId="8" xfId="0" applyNumberFormat="1" applyFont="1" applyFill="1" applyBorder="1" applyAlignment="1">
      <alignment horizontal="right" wrapText="1"/>
    </xf>
    <xf numFmtId="168" fontId="27" fillId="0" borderId="8" xfId="0" applyNumberFormat="1" applyFont="1" applyFill="1" applyBorder="1" applyAlignment="1">
      <alignment horizontal="right" wrapText="1"/>
    </xf>
    <xf numFmtId="168" fontId="28" fillId="0" borderId="8" xfId="0" applyNumberFormat="1" applyFont="1" applyFill="1" applyBorder="1" applyAlignment="1">
      <alignment wrapText="1"/>
    </xf>
    <xf numFmtId="168" fontId="27" fillId="0" borderId="8" xfId="0" applyNumberFormat="1" applyFont="1" applyFill="1" applyBorder="1" applyAlignment="1">
      <alignment wrapText="1"/>
    </xf>
    <xf numFmtId="0" fontId="27" fillId="0" borderId="10" xfId="0" applyFont="1" applyFill="1" applyBorder="1" applyAlignment="1">
      <alignment horizontal="right" vertical="top" wrapText="1"/>
    </xf>
    <xf numFmtId="3" fontId="6" fillId="0" borderId="0" xfId="0" applyNumberFormat="1" applyFont="1" applyFill="1" applyBorder="1" applyAlignment="1">
      <alignment horizontal="center"/>
    </xf>
    <xf numFmtId="9" fontId="0" fillId="0" borderId="0" xfId="0" applyNumberFormat="1" applyFill="1"/>
    <xf numFmtId="3" fontId="6" fillId="0" borderId="0" xfId="0" applyNumberFormat="1" applyFont="1" applyFill="1" applyBorder="1"/>
    <xf numFmtId="3" fontId="6" fillId="0" borderId="0" xfId="0" applyNumberFormat="1" applyFont="1" applyFill="1"/>
    <xf numFmtId="9" fontId="46" fillId="0" borderId="0" xfId="0" applyNumberFormat="1" applyFont="1" applyFill="1" applyBorder="1"/>
    <xf numFmtId="14" fontId="4" fillId="0" borderId="0" xfId="0" applyNumberFormat="1" applyFont="1" applyFill="1" applyAlignment="1">
      <alignment horizontal="right"/>
    </xf>
    <xf numFmtId="0" fontId="5" fillId="0" borderId="3" xfId="0" applyFont="1" applyFill="1" applyBorder="1" applyAlignment="1">
      <alignment horizontal="center"/>
    </xf>
    <xf numFmtId="0" fontId="5" fillId="0" borderId="11" xfId="0" applyFont="1" applyFill="1" applyBorder="1"/>
    <xf numFmtId="168" fontId="6" fillId="0" borderId="45" xfId="0" quotePrefix="1" applyNumberFormat="1" applyFont="1" applyFill="1" applyBorder="1" applyAlignment="1">
      <alignment horizontal="center"/>
    </xf>
    <xf numFmtId="167" fontId="45" fillId="0" borderId="3" xfId="4" applyNumberFormat="1" applyFont="1" applyFill="1" applyBorder="1"/>
    <xf numFmtId="168" fontId="2" fillId="0" borderId="17" xfId="0" quotePrefix="1" applyNumberFormat="1" applyFont="1" applyFill="1" applyBorder="1" applyAlignment="1">
      <alignment horizontal="center"/>
    </xf>
    <xf numFmtId="168" fontId="4" fillId="0" borderId="0" xfId="0" applyNumberFormat="1" applyFont="1" applyFill="1" applyBorder="1" applyAlignment="1">
      <alignment horizontal="center" wrapText="1"/>
    </xf>
    <xf numFmtId="3" fontId="2" fillId="0" borderId="69" xfId="0" applyNumberFormat="1" applyFont="1" applyFill="1" applyBorder="1" applyAlignment="1">
      <alignment horizontal="center"/>
    </xf>
    <xf numFmtId="167" fontId="46" fillId="0" borderId="3" xfId="4" applyNumberFormat="1" applyFont="1" applyFill="1" applyBorder="1"/>
    <xf numFmtId="168" fontId="5" fillId="0" borderId="101" xfId="0" applyNumberFormat="1" applyFont="1" applyFill="1" applyBorder="1"/>
    <xf numFmtId="168" fontId="5" fillId="0" borderId="131" xfId="0" applyNumberFormat="1" applyFont="1" applyFill="1" applyBorder="1" applyAlignment="1"/>
    <xf numFmtId="168" fontId="5" fillId="0" borderId="131" xfId="0" applyNumberFormat="1" applyFont="1" applyFill="1" applyBorder="1" applyAlignment="1">
      <alignment horizontal="left"/>
    </xf>
    <xf numFmtId="168" fontId="5" fillId="0" borderId="206" xfId="0" applyNumberFormat="1" applyFont="1" applyFill="1" applyBorder="1" applyAlignment="1">
      <alignment horizontal="left"/>
    </xf>
    <xf numFmtId="168" fontId="6" fillId="0" borderId="68" xfId="0" applyNumberFormat="1" applyFont="1" applyFill="1" applyBorder="1" applyAlignment="1">
      <alignment horizontal="centerContinuous"/>
    </xf>
    <xf numFmtId="168" fontId="6" fillId="0" borderId="128" xfId="0" applyNumberFormat="1" applyFont="1" applyFill="1" applyBorder="1" applyAlignment="1">
      <alignment horizontal="centerContinuous"/>
    </xf>
    <xf numFmtId="168" fontId="6" fillId="0" borderId="88" xfId="0" applyNumberFormat="1" applyFont="1" applyFill="1" applyBorder="1" applyAlignment="1">
      <alignment horizontal="centerContinuous"/>
    </xf>
    <xf numFmtId="168" fontId="5" fillId="0" borderId="134" xfId="0" applyNumberFormat="1" applyFont="1" applyFill="1" applyBorder="1" applyAlignment="1"/>
    <xf numFmtId="168" fontId="5" fillId="0" borderId="134" xfId="0" applyNumberFormat="1" applyFont="1" applyFill="1" applyBorder="1" applyAlignment="1">
      <alignment horizontal="left"/>
    </xf>
    <xf numFmtId="168" fontId="5" fillId="0" borderId="207" xfId="0" applyNumberFormat="1" applyFont="1" applyFill="1" applyBorder="1" applyAlignment="1">
      <alignment horizontal="left"/>
    </xf>
    <xf numFmtId="49" fontId="0" fillId="0" borderId="0" xfId="0" applyNumberFormat="1" applyFill="1" applyBorder="1" applyAlignment="1"/>
    <xf numFmtId="49" fontId="0" fillId="0" borderId="0" xfId="0" applyNumberFormat="1" applyFill="1" applyBorder="1" applyAlignment="1">
      <alignment horizontal="left"/>
    </xf>
    <xf numFmtId="168" fontId="14" fillId="0" borderId="51" xfId="0" applyNumberFormat="1" applyFont="1" applyFill="1" applyBorder="1"/>
    <xf numFmtId="168" fontId="6" fillId="0" borderId="210" xfId="0" applyNumberFormat="1" applyFont="1" applyFill="1" applyBorder="1"/>
    <xf numFmtId="168" fontId="6" fillId="0" borderId="80" xfId="0" applyNumberFormat="1" applyFont="1" applyFill="1" applyBorder="1"/>
    <xf numFmtId="168" fontId="5" fillId="0" borderId="207" xfId="0" applyNumberFormat="1" applyFont="1" applyFill="1" applyBorder="1"/>
    <xf numFmtId="168" fontId="5" fillId="0" borderId="40" xfId="0" applyNumberFormat="1" applyFont="1" applyFill="1" applyBorder="1" applyAlignment="1">
      <alignment horizontal="center"/>
    </xf>
    <xf numFmtId="168" fontId="6" fillId="0" borderId="5" xfId="0" applyNumberFormat="1" applyFont="1" applyFill="1" applyBorder="1" applyAlignment="1">
      <alignment horizontal="center"/>
    </xf>
    <xf numFmtId="3" fontId="25" fillId="0" borderId="3" xfId="0" applyNumberFormat="1" applyFont="1" applyFill="1" applyBorder="1"/>
    <xf numFmtId="3" fontId="25" fillId="0" borderId="4" xfId="0" applyNumberFormat="1" applyFont="1" applyFill="1" applyBorder="1"/>
    <xf numFmtId="3" fontId="4" fillId="0" borderId="4" xfId="0" applyNumberFormat="1" applyFont="1" applyFill="1" applyBorder="1"/>
    <xf numFmtId="0" fontId="6" fillId="0" borderId="26" xfId="0" quotePrefix="1" applyNumberFormat="1" applyFont="1" applyFill="1" applyBorder="1" applyAlignment="1">
      <alignment horizontal="center"/>
    </xf>
    <xf numFmtId="3" fontId="5" fillId="0" borderId="28" xfId="0" applyNumberFormat="1" applyFont="1" applyFill="1" applyBorder="1"/>
    <xf numFmtId="3" fontId="25" fillId="0" borderId="28" xfId="0" applyNumberFormat="1" applyFont="1" applyFill="1" applyBorder="1"/>
    <xf numFmtId="0" fontId="17" fillId="0" borderId="68" xfId="0" applyFont="1" applyFill="1" applyBorder="1" applyAlignment="1">
      <alignment vertical="center"/>
    </xf>
    <xf numFmtId="0" fontId="17" fillId="0" borderId="128" xfId="0" applyFont="1" applyFill="1" applyBorder="1" applyAlignment="1">
      <alignment vertical="center"/>
    </xf>
    <xf numFmtId="0" fontId="28" fillId="0" borderId="0" xfId="0" applyFont="1" applyAlignment="1">
      <alignment horizontal="right" vertical="center" wrapText="1"/>
    </xf>
    <xf numFmtId="0" fontId="27" fillId="0" borderId="0" xfId="0" applyFont="1" applyAlignment="1">
      <alignment horizontal="right" vertical="center" wrapText="1"/>
    </xf>
    <xf numFmtId="10" fontId="27" fillId="0" borderId="0" xfId="0" applyNumberFormat="1" applyFont="1" applyAlignment="1">
      <alignment horizontal="right" vertical="center" wrapText="1"/>
    </xf>
    <xf numFmtId="167" fontId="5" fillId="0" borderId="0" xfId="4" applyNumberFormat="1" applyFont="1"/>
    <xf numFmtId="38" fontId="6" fillId="0" borderId="13" xfId="0" applyNumberFormat="1" applyFont="1" applyFill="1" applyBorder="1" applyAlignment="1">
      <alignment horizontal="center"/>
    </xf>
    <xf numFmtId="0" fontId="3" fillId="0" borderId="16" xfId="0" applyFont="1" applyFill="1" applyBorder="1" applyAlignment="1" applyProtection="1">
      <alignment horizontal="center"/>
      <protection locked="0"/>
    </xf>
    <xf numFmtId="38" fontId="5" fillId="0" borderId="12" xfId="1" applyNumberFormat="1" applyFont="1" applyFill="1" applyBorder="1"/>
    <xf numFmtId="0" fontId="6" fillId="0" borderId="7" xfId="0" applyFont="1" applyFill="1" applyBorder="1" applyAlignment="1">
      <alignment horizontal="center"/>
    </xf>
    <xf numFmtId="38" fontId="4" fillId="0" borderId="7" xfId="1" applyNumberFormat="1" applyFont="1" applyFill="1" applyBorder="1"/>
    <xf numFmtId="0" fontId="7" fillId="0" borderId="7" xfId="0" applyFont="1" applyFill="1" applyBorder="1" applyAlignment="1" applyProtection="1">
      <protection locked="0"/>
    </xf>
    <xf numFmtId="38" fontId="6" fillId="0" borderId="70" xfId="1" applyNumberFormat="1" applyFont="1" applyFill="1" applyBorder="1"/>
    <xf numFmtId="168" fontId="6" fillId="0" borderId="85" xfId="0" applyNumberFormat="1" applyFont="1" applyFill="1" applyBorder="1" applyAlignment="1">
      <alignment horizontal="center" wrapText="1"/>
    </xf>
    <xf numFmtId="168" fontId="6" fillId="0" borderId="49" xfId="0" applyNumberFormat="1" applyFont="1" applyFill="1" applyBorder="1" applyAlignment="1">
      <alignment horizontal="center" wrapText="1"/>
    </xf>
    <xf numFmtId="168" fontId="4" fillId="0" borderId="49" xfId="0" applyNumberFormat="1" applyFont="1" applyFill="1" applyBorder="1" applyAlignment="1">
      <alignment horizontal="center" wrapText="1"/>
    </xf>
    <xf numFmtId="168" fontId="6" fillId="0" borderId="209" xfId="0" applyNumberFormat="1" applyFont="1" applyFill="1" applyBorder="1" applyAlignment="1">
      <alignment horizontal="centerContinuous"/>
    </xf>
    <xf numFmtId="0" fontId="28" fillId="0" borderId="0" xfId="0" applyFont="1" applyFill="1" applyAlignment="1">
      <alignment horizontal="justify" vertical="center"/>
    </xf>
    <xf numFmtId="0" fontId="17" fillId="0" borderId="88" xfId="0" applyFont="1" applyFill="1" applyBorder="1" applyAlignment="1">
      <alignment vertical="center"/>
    </xf>
    <xf numFmtId="38" fontId="5" fillId="0" borderId="211" xfId="1" applyNumberFormat="1" applyFont="1" applyFill="1" applyBorder="1"/>
    <xf numFmtId="0" fontId="7" fillId="0" borderId="68" xfId="0" applyFont="1" applyFill="1" applyBorder="1" applyAlignment="1">
      <alignment vertical="center"/>
    </xf>
    <xf numFmtId="0" fontId="7" fillId="0" borderId="88" xfId="0" applyFont="1" applyFill="1" applyBorder="1" applyAlignment="1">
      <alignment vertical="center"/>
    </xf>
    <xf numFmtId="0" fontId="6" fillId="0" borderId="76" xfId="0" applyFont="1" applyFill="1" applyBorder="1" applyAlignment="1">
      <alignment horizontal="center"/>
    </xf>
    <xf numFmtId="1" fontId="6" fillId="0" borderId="179" xfId="0" applyNumberFormat="1" applyFont="1" applyFill="1" applyBorder="1" applyAlignment="1">
      <alignment horizontal="center"/>
    </xf>
    <xf numFmtId="168" fontId="7" fillId="0" borderId="149" xfId="0" applyNumberFormat="1" applyFont="1" applyFill="1" applyBorder="1" applyAlignment="1">
      <alignment horizontal="left"/>
    </xf>
    <xf numFmtId="168" fontId="2" fillId="0" borderId="38" xfId="0" applyNumberFormat="1" applyFont="1" applyFill="1" applyBorder="1" applyAlignment="1">
      <alignment horizontal="center"/>
    </xf>
    <xf numFmtId="168" fontId="6" fillId="0" borderId="14" xfId="0" applyNumberFormat="1" applyFont="1" applyFill="1" applyBorder="1" applyAlignment="1">
      <alignment horizontal="center"/>
    </xf>
    <xf numFmtId="168" fontId="2" fillId="0" borderId="14" xfId="0" applyNumberFormat="1" applyFont="1" applyFill="1" applyBorder="1" applyAlignment="1">
      <alignment horizontal="center"/>
    </xf>
    <xf numFmtId="168" fontId="6" fillId="0" borderId="0" xfId="0" applyNumberFormat="1" applyFont="1" applyFill="1" applyBorder="1" applyAlignment="1">
      <alignment horizontal="center"/>
    </xf>
    <xf numFmtId="168" fontId="2" fillId="0" borderId="0" xfId="0" applyNumberFormat="1" applyFont="1" applyFill="1" applyAlignment="1">
      <alignment horizontal="center"/>
    </xf>
    <xf numFmtId="0" fontId="6" fillId="0" borderId="14" xfId="0" applyFont="1" applyFill="1" applyBorder="1" applyAlignment="1">
      <alignment horizontal="center"/>
    </xf>
    <xf numFmtId="0" fontId="6" fillId="0" borderId="84" xfId="0" applyFont="1" applyFill="1" applyBorder="1" applyAlignment="1">
      <alignment horizontal="center"/>
    </xf>
    <xf numFmtId="168" fontId="2" fillId="0" borderId="6" xfId="0" applyNumberFormat="1" applyFont="1" applyFill="1" applyBorder="1" applyAlignment="1">
      <alignment horizontal="center"/>
    </xf>
    <xf numFmtId="0" fontId="2" fillId="0" borderId="0" xfId="0" applyFont="1" applyFill="1" applyBorder="1" applyAlignment="1">
      <alignment horizontal="center"/>
    </xf>
    <xf numFmtId="0" fontId="27" fillId="0" borderId="130" xfId="0" applyFont="1" applyFill="1" applyBorder="1" applyAlignment="1">
      <alignment horizontal="center" wrapText="1"/>
    </xf>
    <xf numFmtId="0" fontId="27" fillId="0" borderId="79" xfId="0" applyFont="1" applyFill="1" applyBorder="1" applyAlignment="1">
      <alignment horizontal="center" wrapText="1"/>
    </xf>
    <xf numFmtId="0" fontId="2" fillId="0" borderId="87" xfId="0" quotePrefix="1" applyFont="1" applyFill="1" applyBorder="1" applyAlignment="1">
      <alignment horizontal="centerContinuous"/>
    </xf>
    <xf numFmtId="0" fontId="5" fillId="0" borderId="6" xfId="0" applyFont="1" applyFill="1" applyBorder="1" applyAlignment="1">
      <alignment horizontal="centerContinuous"/>
    </xf>
    <xf numFmtId="0" fontId="0" fillId="0" borderId="34" xfId="0" applyFill="1" applyBorder="1"/>
    <xf numFmtId="0" fontId="0" fillId="0" borderId="7" xfId="0" applyFill="1" applyBorder="1" applyAlignment="1">
      <alignment horizontal="center"/>
    </xf>
    <xf numFmtId="0" fontId="0" fillId="0" borderId="16" xfId="0" applyFill="1" applyBorder="1" applyAlignment="1">
      <alignment horizontal="center"/>
    </xf>
    <xf numFmtId="0" fontId="0" fillId="0" borderId="15" xfId="0" applyFill="1" applyBorder="1" applyAlignment="1">
      <alignment horizontal="center"/>
    </xf>
    <xf numFmtId="10" fontId="0" fillId="0" borderId="0" xfId="0" applyNumberFormat="1" applyFill="1" applyBorder="1"/>
    <xf numFmtId="10" fontId="0" fillId="0" borderId="7" xfId="4" applyNumberFormat="1" applyFont="1" applyFill="1" applyBorder="1" applyAlignment="1">
      <alignment horizontal="right"/>
    </xf>
    <xf numFmtId="10" fontId="0" fillId="0" borderId="15" xfId="0" applyNumberFormat="1" applyFill="1" applyBorder="1" applyAlignment="1">
      <alignment horizontal="right"/>
    </xf>
    <xf numFmtId="10" fontId="0" fillId="0" borderId="0" xfId="0" applyNumberFormat="1" applyFill="1"/>
    <xf numFmtId="10" fontId="4" fillId="0" borderId="0" xfId="0" applyNumberFormat="1" applyFont="1" applyFill="1"/>
    <xf numFmtId="0" fontId="0" fillId="0" borderId="7" xfId="0" applyFill="1" applyBorder="1" applyAlignment="1">
      <alignment horizontal="right"/>
    </xf>
    <xf numFmtId="168" fontId="0" fillId="0" borderId="3" xfId="1" applyNumberFormat="1" applyFont="1" applyFill="1" applyBorder="1" applyAlignment="1">
      <alignment horizontal="right"/>
    </xf>
    <xf numFmtId="166" fontId="0" fillId="0" borderId="0" xfId="0" applyNumberFormat="1" applyFill="1"/>
    <xf numFmtId="10" fontId="0" fillId="0" borderId="0" xfId="4" applyNumberFormat="1" applyFont="1" applyFill="1"/>
    <xf numFmtId="168" fontId="0" fillId="0" borderId="15" xfId="1" applyNumberFormat="1" applyFont="1" applyFill="1" applyBorder="1" applyAlignment="1">
      <alignment horizontal="right"/>
    </xf>
    <xf numFmtId="167" fontId="4" fillId="0" borderId="15" xfId="4" applyNumberFormat="1" applyFont="1" applyFill="1" applyBorder="1" applyAlignment="1">
      <alignment horizontal="right"/>
    </xf>
    <xf numFmtId="167" fontId="0" fillId="0" borderId="3" xfId="4" applyNumberFormat="1" applyFont="1" applyFill="1" applyBorder="1" applyAlignment="1">
      <alignment horizontal="right"/>
    </xf>
    <xf numFmtId="168" fontId="0" fillId="0" borderId="7" xfId="0" applyNumberFormat="1" applyFill="1" applyBorder="1" applyAlignment="1">
      <alignment horizontal="right"/>
    </xf>
    <xf numFmtId="168" fontId="2" fillId="0" borderId="3" xfId="1" applyNumberFormat="1" applyFont="1" applyFill="1" applyBorder="1" applyAlignment="1">
      <alignment horizontal="right"/>
    </xf>
    <xf numFmtId="168" fontId="2" fillId="0" borderId="15" xfId="0" applyNumberFormat="1" applyFont="1" applyFill="1" applyBorder="1" applyAlignment="1">
      <alignment horizontal="right"/>
    </xf>
    <xf numFmtId="166" fontId="4" fillId="0" borderId="15" xfId="0" applyNumberFormat="1" applyFont="1" applyFill="1" applyBorder="1" applyAlignment="1">
      <alignment horizontal="right"/>
    </xf>
    <xf numFmtId="0" fontId="4" fillId="0" borderId="7" xfId="0" applyFont="1" applyFill="1" applyBorder="1" applyAlignment="1">
      <alignment horizontal="right"/>
    </xf>
    <xf numFmtId="166" fontId="0" fillId="0" borderId="7" xfId="1" applyNumberFormat="1" applyFont="1" applyFill="1" applyBorder="1" applyAlignment="1">
      <alignment horizontal="right"/>
    </xf>
    <xf numFmtId="166" fontId="4" fillId="0" borderId="4" xfId="1" applyNumberFormat="1" applyFont="1" applyFill="1" applyBorder="1" applyAlignment="1">
      <alignment horizontal="right"/>
    </xf>
    <xf numFmtId="0" fontId="0" fillId="0" borderId="49" xfId="0" applyFill="1" applyBorder="1" applyAlignment="1">
      <alignment horizontal="right"/>
    </xf>
    <xf numFmtId="166" fontId="0" fillId="0" borderId="4" xfId="1" applyNumberFormat="1" applyFont="1" applyFill="1" applyBorder="1" applyAlignment="1">
      <alignment horizontal="right"/>
    </xf>
    <xf numFmtId="166" fontId="0" fillId="0" borderId="15" xfId="1" applyNumberFormat="1" applyFont="1" applyFill="1" applyBorder="1" applyAlignment="1">
      <alignment horizontal="right"/>
    </xf>
    <xf numFmtId="0" fontId="4" fillId="0" borderId="49" xfId="0" applyFont="1" applyFill="1" applyBorder="1" applyAlignment="1">
      <alignment horizontal="right"/>
    </xf>
    <xf numFmtId="10" fontId="0" fillId="0" borderId="49" xfId="4" applyNumberFormat="1" applyFont="1" applyFill="1" applyBorder="1" applyAlignment="1">
      <alignment horizontal="right"/>
    </xf>
    <xf numFmtId="166" fontId="0" fillId="0" borderId="49" xfId="1" applyNumberFormat="1" applyFont="1" applyFill="1" applyBorder="1" applyAlignment="1">
      <alignment horizontal="right"/>
    </xf>
    <xf numFmtId="9" fontId="0" fillId="0" borderId="7" xfId="4" applyFont="1" applyFill="1" applyBorder="1" applyAlignment="1">
      <alignment horizontal="right"/>
    </xf>
    <xf numFmtId="1" fontId="0" fillId="0" borderId="7" xfId="0" applyNumberFormat="1" applyFill="1" applyBorder="1" applyAlignment="1">
      <alignment horizontal="right"/>
    </xf>
    <xf numFmtId="0" fontId="0" fillId="0" borderId="97" xfId="0" applyFill="1" applyBorder="1"/>
    <xf numFmtId="0" fontId="0" fillId="0" borderId="5" xfId="0" applyFill="1" applyBorder="1"/>
    <xf numFmtId="10" fontId="0" fillId="0" borderId="133" xfId="0" applyNumberFormat="1" applyFill="1" applyBorder="1"/>
    <xf numFmtId="0" fontId="0" fillId="0" borderId="38" xfId="0" applyFill="1" applyBorder="1"/>
    <xf numFmtId="0" fontId="0" fillId="0" borderId="36" xfId="0" applyFill="1" applyBorder="1"/>
    <xf numFmtId="0" fontId="0" fillId="0" borderId="39" xfId="0" applyFill="1" applyBorder="1"/>
    <xf numFmtId="10" fontId="6" fillId="0" borderId="34" xfId="0" applyNumberFormat="1" applyFont="1" applyFill="1" applyBorder="1"/>
    <xf numFmtId="0" fontId="0" fillId="0" borderId="4" xfId="0" applyFill="1" applyBorder="1"/>
    <xf numFmtId="0" fontId="0" fillId="0" borderId="16" xfId="0" applyFill="1" applyBorder="1"/>
    <xf numFmtId="0" fontId="0" fillId="0" borderId="0" xfId="0" applyFill="1" applyBorder="1" applyAlignment="1">
      <alignment horizontal="center"/>
    </xf>
    <xf numFmtId="0" fontId="0" fillId="0" borderId="133" xfId="0" applyFill="1" applyBorder="1"/>
    <xf numFmtId="166" fontId="0" fillId="0" borderId="4" xfId="1" applyNumberFormat="1" applyFont="1" applyFill="1" applyBorder="1"/>
    <xf numFmtId="166" fontId="4" fillId="0" borderId="4" xfId="1" applyNumberFormat="1" applyFont="1" applyFill="1" applyBorder="1"/>
    <xf numFmtId="0" fontId="0" fillId="0" borderId="19" xfId="0" applyFill="1" applyBorder="1"/>
    <xf numFmtId="168" fontId="2" fillId="0" borderId="133" xfId="0" applyNumberFormat="1" applyFont="1" applyFill="1" applyBorder="1" applyAlignment="1">
      <alignment horizontal="left"/>
    </xf>
    <xf numFmtId="0" fontId="0" fillId="0" borderId="133" xfId="0" applyFill="1" applyBorder="1" applyAlignment="1">
      <alignment horizontal="center"/>
    </xf>
    <xf numFmtId="0" fontId="0" fillId="0" borderId="38" xfId="0" applyFill="1" applyBorder="1" applyAlignment="1">
      <alignment horizontal="center"/>
    </xf>
    <xf numFmtId="3" fontId="0" fillId="0" borderId="39" xfId="0" applyNumberFormat="1" applyFill="1" applyBorder="1"/>
    <xf numFmtId="0" fontId="6" fillId="0" borderId="87" xfId="0" quotePrefix="1" applyNumberFormat="1" applyFont="1" applyFill="1" applyBorder="1" applyAlignment="1">
      <alignment horizontal="center"/>
    </xf>
    <xf numFmtId="0" fontId="0" fillId="0" borderId="34" xfId="0" applyFill="1" applyBorder="1" applyAlignment="1">
      <alignment horizontal="center"/>
    </xf>
    <xf numFmtId="0" fontId="2" fillId="0" borderId="34" xfId="0" applyFont="1" applyFill="1" applyBorder="1" applyAlignment="1">
      <alignment horizontal="center"/>
    </xf>
    <xf numFmtId="0" fontId="5" fillId="0" borderId="28" xfId="0" applyFont="1" applyFill="1" applyBorder="1"/>
    <xf numFmtId="0" fontId="2" fillId="0" borderId="28" xfId="0" applyFont="1" applyFill="1" applyBorder="1"/>
    <xf numFmtId="0" fontId="4" fillId="0" borderId="34" xfId="0" applyFont="1" applyFill="1" applyBorder="1" applyAlignment="1">
      <alignment horizontal="center"/>
    </xf>
    <xf numFmtId="3" fontId="4" fillId="0" borderId="16" xfId="0" applyNumberFormat="1" applyFont="1" applyFill="1" applyBorder="1"/>
    <xf numFmtId="0" fontId="2" fillId="0" borderId="0" xfId="0" applyFont="1" applyFill="1" applyBorder="1" applyAlignment="1">
      <alignment horizontal="left"/>
    </xf>
    <xf numFmtId="3" fontId="2" fillId="0" borderId="194" xfId="0" applyNumberFormat="1" applyFont="1" applyFill="1" applyBorder="1" applyAlignment="1">
      <alignment horizontal="center"/>
    </xf>
    <xf numFmtId="3" fontId="2" fillId="0" borderId="16" xfId="0" applyNumberFormat="1" applyFont="1" applyFill="1" applyBorder="1"/>
    <xf numFmtId="0" fontId="2" fillId="0" borderId="0" xfId="0" quotePrefix="1" applyFont="1" applyFill="1" applyBorder="1" applyAlignment="1">
      <alignment horizontal="left"/>
    </xf>
    <xf numFmtId="168" fontId="2" fillId="0" borderId="148" xfId="0" applyNumberFormat="1" applyFont="1" applyFill="1" applyBorder="1"/>
    <xf numFmtId="0" fontId="4" fillId="0" borderId="0" xfId="0" quotePrefix="1" applyFont="1" applyFill="1" applyBorder="1" applyAlignment="1">
      <alignment horizontal="left"/>
    </xf>
    <xf numFmtId="0" fontId="0" fillId="0" borderId="0" xfId="0" quotePrefix="1" applyFill="1" applyBorder="1" applyAlignment="1">
      <alignment horizontal="left"/>
    </xf>
    <xf numFmtId="0" fontId="2" fillId="0" borderId="4" xfId="0" applyFont="1" applyFill="1" applyBorder="1" applyAlignment="1">
      <alignment horizontal="left"/>
    </xf>
    <xf numFmtId="168" fontId="2" fillId="0" borderId="60" xfId="0" applyNumberFormat="1" applyFont="1" applyFill="1" applyBorder="1"/>
    <xf numFmtId="0" fontId="0" fillId="0" borderId="97" xfId="0" applyFill="1" applyBorder="1" applyAlignment="1">
      <alignment horizontal="center"/>
    </xf>
    <xf numFmtId="0" fontId="0" fillId="0" borderId="5" xfId="0" applyFill="1" applyBorder="1" applyAlignment="1">
      <alignment horizontal="center"/>
    </xf>
    <xf numFmtId="3" fontId="0" fillId="0" borderId="20" xfId="0" applyNumberFormat="1" applyFill="1" applyBorder="1"/>
    <xf numFmtId="3" fontId="2" fillId="0" borderId="0" xfId="0" applyNumberFormat="1" applyFont="1" applyFill="1"/>
    <xf numFmtId="168" fontId="19" fillId="0" borderId="0" xfId="0" applyNumberFormat="1" applyFont="1" applyFill="1"/>
    <xf numFmtId="168" fontId="2" fillId="0" borderId="37" xfId="0" applyNumberFormat="1" applyFont="1" applyFill="1" applyBorder="1" applyAlignment="1">
      <alignment horizontal="left" vertical="top"/>
    </xf>
    <xf numFmtId="168" fontId="4" fillId="0" borderId="27" xfId="0" quotePrefix="1" applyNumberFormat="1" applyFont="1" applyFill="1" applyBorder="1" applyAlignment="1">
      <alignment horizontal="center" wrapText="1"/>
    </xf>
    <xf numFmtId="168" fontId="6" fillId="0" borderId="22" xfId="0" applyNumberFormat="1" applyFont="1" applyFill="1" applyBorder="1" applyAlignment="1">
      <alignment horizontal="left" vertical="top"/>
    </xf>
    <xf numFmtId="168" fontId="2" fillId="0" borderId="33" xfId="0" quotePrefix="1" applyNumberFormat="1" applyFont="1" applyFill="1" applyBorder="1" applyAlignment="1">
      <alignment horizontal="center"/>
    </xf>
    <xf numFmtId="168" fontId="2" fillId="0" borderId="48" xfId="0" quotePrefix="1" applyNumberFormat="1" applyFont="1" applyFill="1" applyBorder="1" applyAlignment="1">
      <alignment horizontal="center"/>
    </xf>
    <xf numFmtId="168" fontId="4" fillId="0" borderId="4" xfId="0" quotePrefix="1" applyNumberFormat="1" applyFont="1" applyFill="1" applyBorder="1" applyAlignment="1">
      <alignment horizontal="center" wrapText="1"/>
    </xf>
    <xf numFmtId="168" fontId="6" fillId="0" borderId="0" xfId="0" applyNumberFormat="1" applyFont="1" applyFill="1" applyBorder="1" applyAlignment="1">
      <alignment horizontal="left" vertical="top"/>
    </xf>
    <xf numFmtId="168" fontId="2" fillId="0" borderId="3" xfId="0" quotePrefix="1" applyNumberFormat="1" applyFont="1" applyFill="1" applyBorder="1" applyAlignment="1">
      <alignment horizontal="center"/>
    </xf>
    <xf numFmtId="168" fontId="6" fillId="0" borderId="4" xfId="0" quotePrefix="1" applyNumberFormat="1" applyFont="1" applyFill="1" applyBorder="1" applyAlignment="1">
      <alignment horizontal="center" wrapText="1"/>
    </xf>
    <xf numFmtId="168" fontId="2" fillId="0" borderId="4" xfId="0" quotePrefix="1" applyNumberFormat="1" applyFont="1" applyFill="1" applyBorder="1" applyAlignment="1">
      <alignment horizontal="center"/>
    </xf>
    <xf numFmtId="168" fontId="2" fillId="0" borderId="0" xfId="0" quotePrefix="1" applyNumberFormat="1" applyFont="1" applyFill="1" applyBorder="1" applyAlignment="1">
      <alignment horizontal="center"/>
    </xf>
    <xf numFmtId="168" fontId="2" fillId="0" borderId="16" xfId="0" quotePrefix="1" applyNumberFormat="1" applyFont="1" applyFill="1" applyBorder="1" applyAlignment="1">
      <alignment horizontal="center"/>
    </xf>
    <xf numFmtId="168" fontId="2" fillId="0" borderId="0" xfId="0" applyNumberFormat="1" applyFont="1" applyFill="1" applyBorder="1" applyAlignment="1">
      <alignment horizontal="left" vertical="top"/>
    </xf>
    <xf numFmtId="168" fontId="2" fillId="0" borderId="152" xfId="0" applyNumberFormat="1" applyFont="1" applyFill="1" applyBorder="1"/>
    <xf numFmtId="168" fontId="4" fillId="0" borderId="94" xfId="0" applyNumberFormat="1" applyFont="1" applyFill="1" applyBorder="1" applyAlignment="1">
      <alignment horizontal="center"/>
    </xf>
    <xf numFmtId="0" fontId="2" fillId="0" borderId="124" xfId="0" applyFont="1" applyFill="1" applyBorder="1"/>
    <xf numFmtId="168" fontId="2" fillId="0" borderId="34" xfId="0" applyNumberFormat="1" applyFont="1" applyFill="1" applyBorder="1"/>
    <xf numFmtId="0" fontId="27" fillId="0" borderId="15" xfId="0" applyFont="1" applyFill="1" applyBorder="1" applyAlignment="1">
      <alignment vertical="top" wrapText="1"/>
    </xf>
    <xf numFmtId="168" fontId="4" fillId="0" borderId="11" xfId="0" applyNumberFormat="1" applyFont="1" applyFill="1" applyBorder="1" applyAlignment="1">
      <alignment horizontal="left"/>
    </xf>
    <xf numFmtId="170" fontId="4" fillId="0" borderId="0" xfId="0" applyNumberFormat="1" applyFont="1" applyFill="1"/>
    <xf numFmtId="170" fontId="2" fillId="0" borderId="64" xfId="0" applyNumberFormat="1" applyFont="1" applyFill="1" applyBorder="1"/>
    <xf numFmtId="170" fontId="2" fillId="0" borderId="175" xfId="0" applyNumberFormat="1" applyFont="1" applyFill="1" applyBorder="1"/>
    <xf numFmtId="168" fontId="2" fillId="0" borderId="175" xfId="0" quotePrefix="1" applyNumberFormat="1" applyFont="1" applyFill="1" applyBorder="1" applyAlignment="1">
      <alignment horizontal="center"/>
    </xf>
    <xf numFmtId="168" fontId="6" fillId="0" borderId="67" xfId="0" quotePrefix="1" applyNumberFormat="1" applyFont="1" applyFill="1" applyBorder="1" applyAlignment="1">
      <alignment horizontal="center"/>
    </xf>
    <xf numFmtId="170" fontId="2" fillId="0" borderId="7" xfId="0" applyNumberFormat="1" applyFont="1" applyFill="1" applyBorder="1"/>
    <xf numFmtId="170" fontId="2" fillId="0" borderId="80" xfId="0" applyNumberFormat="1" applyFont="1" applyFill="1" applyBorder="1"/>
    <xf numFmtId="168" fontId="6" fillId="0" borderId="80" xfId="0" quotePrefix="1" applyNumberFormat="1" applyFont="1" applyFill="1" applyBorder="1" applyAlignment="1">
      <alignment horizontal="center"/>
    </xf>
    <xf numFmtId="170" fontId="4" fillId="0" borderId="7" xfId="0" applyNumberFormat="1" applyFont="1" applyFill="1" applyBorder="1"/>
    <xf numFmtId="170" fontId="4" fillId="0" borderId="80" xfId="0" quotePrefix="1" applyNumberFormat="1" applyFont="1" applyFill="1" applyBorder="1" applyAlignment="1">
      <alignment horizontal="center"/>
    </xf>
    <xf numFmtId="0" fontId="47" fillId="0" borderId="0" xfId="0" applyFont="1" applyFill="1" applyAlignment="1">
      <alignment vertical="center"/>
    </xf>
    <xf numFmtId="168" fontId="4" fillId="0" borderId="80" xfId="0" applyNumberFormat="1" applyFont="1" applyFill="1" applyBorder="1"/>
    <xf numFmtId="170" fontId="4" fillId="0" borderId="80" xfId="0" applyNumberFormat="1" applyFont="1" applyFill="1" applyBorder="1"/>
    <xf numFmtId="170" fontId="2" fillId="0" borderId="188" xfId="0" applyNumberFormat="1" applyFont="1" applyFill="1" applyBorder="1"/>
    <xf numFmtId="170" fontId="2" fillId="0" borderId="191" xfId="0" applyNumberFormat="1" applyFont="1" applyFill="1" applyBorder="1"/>
    <xf numFmtId="168" fontId="2" fillId="0" borderId="191" xfId="0" applyNumberFormat="1" applyFont="1" applyFill="1" applyBorder="1"/>
    <xf numFmtId="170" fontId="2" fillId="0" borderId="0" xfId="0" applyNumberFormat="1" applyFont="1" applyFill="1"/>
    <xf numFmtId="168" fontId="2" fillId="0" borderId="80" xfId="0" applyNumberFormat="1" applyFont="1" applyFill="1" applyBorder="1"/>
    <xf numFmtId="170" fontId="4" fillId="0" borderId="9" xfId="0" applyNumberFormat="1" applyFont="1" applyFill="1" applyBorder="1"/>
    <xf numFmtId="170" fontId="4" fillId="0" borderId="79" xfId="0" applyNumberFormat="1" applyFont="1" applyFill="1" applyBorder="1"/>
    <xf numFmtId="168" fontId="4" fillId="0" borderId="79" xfId="0" applyNumberFormat="1" applyFont="1" applyFill="1" applyBorder="1"/>
    <xf numFmtId="0" fontId="2" fillId="0" borderId="0" xfId="0" applyFont="1" applyFill="1" applyAlignment="1">
      <alignment horizontal="center"/>
    </xf>
    <xf numFmtId="0" fontId="2" fillId="0" borderId="129" xfId="0" applyFont="1" applyFill="1" applyBorder="1" applyAlignment="1">
      <alignment horizontal="center"/>
    </xf>
    <xf numFmtId="1" fontId="0" fillId="0" borderId="0" xfId="1" applyNumberFormat="1" applyFont="1" applyFill="1"/>
    <xf numFmtId="166" fontId="6" fillId="0" borderId="0" xfId="0" applyNumberFormat="1" applyFont="1" applyFill="1"/>
    <xf numFmtId="166" fontId="6" fillId="0" borderId="0" xfId="1" applyNumberFormat="1" applyFont="1" applyFill="1"/>
    <xf numFmtId="0" fontId="0" fillId="0" borderId="129" xfId="0" applyFill="1" applyBorder="1" applyAlignment="1">
      <alignment horizontal="center"/>
    </xf>
    <xf numFmtId="168" fontId="0" fillId="0" borderId="123" xfId="0" applyNumberFormat="1" applyFill="1" applyBorder="1"/>
    <xf numFmtId="168" fontId="0" fillId="0" borderId="1" xfId="0" applyNumberFormat="1" applyFill="1" applyBorder="1"/>
    <xf numFmtId="168" fontId="0" fillId="0" borderId="1" xfId="0" applyNumberFormat="1" applyFill="1" applyBorder="1" applyAlignment="1">
      <alignment horizontal="right"/>
    </xf>
    <xf numFmtId="168" fontId="0" fillId="0" borderId="44" xfId="0" applyNumberFormat="1" applyFill="1" applyBorder="1" applyAlignment="1">
      <alignment horizontal="right"/>
    </xf>
    <xf numFmtId="168" fontId="0" fillId="0" borderId="0" xfId="0" applyNumberFormat="1" applyFill="1" applyBorder="1" applyAlignment="1">
      <alignment horizontal="center"/>
    </xf>
    <xf numFmtId="168" fontId="0" fillId="0" borderId="8" xfId="0" applyNumberFormat="1" applyFill="1" applyBorder="1" applyAlignment="1">
      <alignment horizontal="right"/>
    </xf>
    <xf numFmtId="168" fontId="0" fillId="0" borderId="72" xfId="0" applyNumberFormat="1" applyFill="1" applyBorder="1"/>
    <xf numFmtId="168" fontId="2" fillId="0" borderId="69" xfId="0" applyNumberFormat="1" applyFont="1" applyFill="1" applyBorder="1"/>
    <xf numFmtId="168" fontId="2" fillId="0" borderId="70" xfId="0" applyNumberFormat="1" applyFont="1" applyFill="1" applyBorder="1" applyAlignment="1">
      <alignment horizontal="center"/>
    </xf>
    <xf numFmtId="168" fontId="2" fillId="0" borderId="69" xfId="0" applyNumberFormat="1" applyFont="1" applyFill="1" applyBorder="1" applyAlignment="1">
      <alignment horizontal="center"/>
    </xf>
    <xf numFmtId="168" fontId="2" fillId="0" borderId="69" xfId="0" quotePrefix="1" applyNumberFormat="1" applyFont="1" applyFill="1" applyBorder="1" applyAlignment="1">
      <alignment horizontal="center"/>
    </xf>
    <xf numFmtId="168" fontId="2" fillId="0" borderId="75" xfId="0" applyNumberFormat="1" applyFont="1" applyFill="1" applyBorder="1" applyAlignment="1">
      <alignment horizontal="center"/>
    </xf>
    <xf numFmtId="168" fontId="2" fillId="0" borderId="75" xfId="0" applyNumberFormat="1" applyFont="1" applyFill="1" applyBorder="1" applyAlignment="1"/>
    <xf numFmtId="168" fontId="2" fillId="0" borderId="83" xfId="0" applyNumberFormat="1" applyFont="1" applyFill="1" applyBorder="1" applyAlignment="1"/>
    <xf numFmtId="168" fontId="0" fillId="0" borderId="3" xfId="0" applyNumberFormat="1" applyFill="1" applyBorder="1" applyAlignment="1">
      <alignment horizontal="center"/>
    </xf>
    <xf numFmtId="9" fontId="0" fillId="0" borderId="0" xfId="4" applyFont="1" applyFill="1" applyBorder="1" applyAlignment="1">
      <alignment horizontal="center"/>
    </xf>
    <xf numFmtId="168" fontId="0" fillId="0" borderId="8" xfId="0" applyNumberFormat="1" applyFill="1" applyBorder="1" applyAlignment="1">
      <alignment horizontal="center"/>
    </xf>
    <xf numFmtId="168" fontId="2" fillId="0" borderId="7" xfId="0" applyNumberFormat="1" applyFont="1" applyFill="1" applyBorder="1"/>
    <xf numFmtId="167" fontId="2" fillId="0" borderId="3" xfId="4" applyNumberFormat="1" applyFont="1" applyFill="1" applyBorder="1" applyAlignment="1">
      <alignment horizontal="center"/>
    </xf>
    <xf numFmtId="168" fontId="2" fillId="0" borderId="9" xfId="0" applyNumberFormat="1" applyFont="1" applyFill="1" applyBorder="1"/>
    <xf numFmtId="168" fontId="2" fillId="0" borderId="10" xfId="0" applyNumberFormat="1" applyFont="1" applyFill="1" applyBorder="1" applyAlignment="1">
      <alignment horizontal="center"/>
    </xf>
    <xf numFmtId="168" fontId="2" fillId="0" borderId="123" xfId="0" applyNumberFormat="1" applyFont="1" applyFill="1" applyBorder="1" applyAlignment="1">
      <alignment horizontal="center"/>
    </xf>
    <xf numFmtId="168" fontId="4" fillId="0" borderId="1" xfId="0" applyNumberFormat="1" applyFont="1" applyFill="1" applyBorder="1" applyAlignment="1">
      <alignment horizontal="center"/>
    </xf>
    <xf numFmtId="168" fontId="2" fillId="0" borderId="44" xfId="0" applyNumberFormat="1" applyFont="1" applyFill="1" applyBorder="1" applyAlignment="1">
      <alignment horizontal="center"/>
    </xf>
    <xf numFmtId="168" fontId="2" fillId="0" borderId="0" xfId="0" quotePrefix="1" applyNumberFormat="1" applyFont="1" applyFill="1" applyAlignment="1">
      <alignment horizontal="center"/>
    </xf>
    <xf numFmtId="169" fontId="4" fillId="0" borderId="0" xfId="0" applyNumberFormat="1" applyFont="1" applyFill="1" applyBorder="1" applyAlignment="1">
      <alignment horizontal="center"/>
    </xf>
    <xf numFmtId="169" fontId="4" fillId="0" borderId="0" xfId="0" applyNumberFormat="1" applyFont="1" applyFill="1" applyBorder="1" applyAlignment="1">
      <alignment horizontal="left"/>
    </xf>
    <xf numFmtId="9" fontId="4" fillId="0" borderId="0" xfId="4" applyFont="1" applyFill="1" applyBorder="1" applyAlignment="1"/>
    <xf numFmtId="169" fontId="2" fillId="0" borderId="0" xfId="0" applyNumberFormat="1" applyFont="1" applyFill="1" applyBorder="1" applyAlignment="1">
      <alignment horizontal="center"/>
    </xf>
    <xf numFmtId="168" fontId="2" fillId="0" borderId="0" xfId="0" quotePrefix="1" applyNumberFormat="1" applyFont="1" applyFill="1" applyBorder="1"/>
    <xf numFmtId="9" fontId="4" fillId="0" borderId="0" xfId="4" applyFont="1" applyFill="1" applyAlignment="1">
      <alignment horizontal="center"/>
    </xf>
    <xf numFmtId="168" fontId="2" fillId="0" borderId="9" xfId="0" applyNumberFormat="1" applyFont="1" applyFill="1" applyBorder="1" applyAlignment="1">
      <alignment horizontal="center"/>
    </xf>
    <xf numFmtId="0" fontId="2" fillId="0" borderId="177" xfId="0" applyFont="1" applyFill="1" applyBorder="1" applyAlignment="1"/>
    <xf numFmtId="0" fontId="2" fillId="0" borderId="24" xfId="0" applyFont="1" applyFill="1" applyBorder="1" applyAlignment="1"/>
    <xf numFmtId="0" fontId="0" fillId="0" borderId="176" xfId="0" applyFill="1" applyBorder="1"/>
    <xf numFmtId="0" fontId="2" fillId="0" borderId="33" xfId="0" applyFont="1" applyFill="1" applyBorder="1"/>
    <xf numFmtId="0" fontId="2" fillId="0" borderId="22" xfId="0" applyFont="1" applyFill="1" applyBorder="1" applyAlignment="1">
      <alignment horizontal="center"/>
    </xf>
    <xf numFmtId="0" fontId="2" fillId="0" borderId="82" xfId="0" applyFont="1" applyFill="1" applyBorder="1" applyAlignment="1">
      <alignment horizontal="center"/>
    </xf>
    <xf numFmtId="0" fontId="0" fillId="0" borderId="7" xfId="0" applyFill="1" applyBorder="1"/>
    <xf numFmtId="1" fontId="0" fillId="0" borderId="0" xfId="0" applyNumberFormat="1" applyFill="1" applyBorder="1"/>
    <xf numFmtId="169" fontId="0" fillId="0" borderId="3" xfId="0" applyNumberFormat="1" applyFill="1" applyBorder="1" applyAlignment="1">
      <alignment horizontal="center"/>
    </xf>
    <xf numFmtId="169" fontId="0" fillId="0" borderId="0" xfId="0" applyNumberFormat="1" applyFill="1" applyBorder="1" applyAlignment="1">
      <alignment horizontal="center"/>
    </xf>
    <xf numFmtId="168" fontId="0" fillId="0" borderId="8" xfId="0" applyNumberFormat="1" applyFill="1" applyBorder="1"/>
    <xf numFmtId="1" fontId="2" fillId="0" borderId="14" xfId="0" applyNumberFormat="1" applyFont="1" applyFill="1" applyBorder="1"/>
    <xf numFmtId="168" fontId="2" fillId="0" borderId="85" xfId="0" applyNumberFormat="1" applyFont="1" applyFill="1" applyBorder="1"/>
    <xf numFmtId="168" fontId="2" fillId="0" borderId="61" xfId="0" applyNumberFormat="1" applyFont="1" applyFill="1" applyBorder="1"/>
    <xf numFmtId="169" fontId="2" fillId="0" borderId="61" xfId="0" applyNumberFormat="1" applyFont="1" applyFill="1" applyBorder="1" applyAlignment="1">
      <alignment horizontal="center"/>
    </xf>
    <xf numFmtId="168" fontId="2" fillId="0" borderId="84" xfId="0" applyNumberFormat="1" applyFont="1" applyFill="1" applyBorder="1"/>
    <xf numFmtId="1" fontId="2" fillId="0" borderId="0" xfId="0" applyNumberFormat="1" applyFont="1" applyFill="1" applyBorder="1"/>
    <xf numFmtId="168" fontId="2" fillId="0" borderId="49" xfId="0" applyNumberFormat="1" applyFont="1" applyFill="1" applyBorder="1"/>
    <xf numFmtId="0" fontId="2" fillId="0" borderId="3" xfId="0" applyFont="1" applyFill="1" applyBorder="1" applyAlignment="1">
      <alignment horizontal="center"/>
    </xf>
    <xf numFmtId="0" fontId="2" fillId="0" borderId="8" xfId="0" applyFont="1" applyFill="1" applyBorder="1"/>
    <xf numFmtId="0" fontId="4" fillId="0" borderId="8" xfId="0" applyFont="1" applyFill="1" applyBorder="1"/>
    <xf numFmtId="0" fontId="0" fillId="0" borderId="9" xfId="0" applyFill="1" applyBorder="1"/>
    <xf numFmtId="1" fontId="0" fillId="0" borderId="6" xfId="0" applyNumberFormat="1" applyFill="1" applyBorder="1"/>
    <xf numFmtId="0" fontId="0" fillId="0" borderId="122" xfId="0" applyFill="1" applyBorder="1"/>
    <xf numFmtId="0" fontId="0" fillId="0" borderId="18" xfId="0" applyFill="1" applyBorder="1"/>
    <xf numFmtId="0" fontId="0" fillId="0" borderId="18" xfId="0" applyFill="1" applyBorder="1" applyAlignment="1">
      <alignment horizontal="center"/>
    </xf>
    <xf numFmtId="0" fontId="0" fillId="0" borderId="10" xfId="0" applyFill="1" applyBorder="1"/>
    <xf numFmtId="0" fontId="0" fillId="0" borderId="123" xfId="0" applyFill="1" applyBorder="1"/>
    <xf numFmtId="0" fontId="2" fillId="0" borderId="175" xfId="0" applyFont="1" applyFill="1" applyBorder="1"/>
    <xf numFmtId="168" fontId="2" fillId="0" borderId="82" xfId="0" applyNumberFormat="1" applyFont="1" applyFill="1" applyBorder="1" applyAlignment="1">
      <alignment horizontal="center"/>
    </xf>
    <xf numFmtId="1" fontId="0" fillId="0" borderId="80" xfId="0" applyNumberFormat="1" applyFill="1" applyBorder="1"/>
    <xf numFmtId="168" fontId="0" fillId="0" borderId="42" xfId="0" applyNumberFormat="1" applyFill="1" applyBorder="1"/>
    <xf numFmtId="1" fontId="0" fillId="0" borderId="79" xfId="0" applyNumberFormat="1" applyFill="1" applyBorder="1"/>
    <xf numFmtId="168" fontId="0" fillId="0" borderId="9" xfId="0" applyNumberFormat="1" applyFill="1" applyBorder="1"/>
    <xf numFmtId="168" fontId="0" fillId="0" borderId="18" xfId="0" applyNumberFormat="1" applyFill="1" applyBorder="1"/>
    <xf numFmtId="168" fontId="0" fillId="0" borderId="82" xfId="0" applyNumberFormat="1" applyFill="1" applyBorder="1"/>
    <xf numFmtId="9" fontId="0" fillId="0" borderId="42" xfId="4" applyFont="1" applyFill="1" applyBorder="1" applyAlignment="1">
      <alignment horizontal="center"/>
    </xf>
    <xf numFmtId="1" fontId="2" fillId="0" borderId="175" xfId="0" applyNumberFormat="1" applyFont="1" applyFill="1" applyBorder="1"/>
    <xf numFmtId="168" fontId="2" fillId="0" borderId="64" xfId="0" applyNumberFormat="1" applyFont="1" applyFill="1" applyBorder="1"/>
    <xf numFmtId="9" fontId="2" fillId="0" borderId="76" xfId="4" applyFont="1" applyFill="1" applyBorder="1" applyAlignment="1">
      <alignment horizontal="center"/>
    </xf>
    <xf numFmtId="1" fontId="2" fillId="0" borderId="80" xfId="0" applyNumberFormat="1" applyFont="1" applyFill="1" applyBorder="1"/>
    <xf numFmtId="1" fontId="4" fillId="0" borderId="80" xfId="0" applyNumberFormat="1" applyFont="1" applyFill="1" applyBorder="1"/>
    <xf numFmtId="0" fontId="2" fillId="0" borderId="42" xfId="0" applyFont="1" applyFill="1" applyBorder="1"/>
    <xf numFmtId="0" fontId="0" fillId="0" borderId="80" xfId="0" applyFill="1" applyBorder="1"/>
    <xf numFmtId="0" fontId="0" fillId="0" borderId="79" xfId="0" applyFill="1" applyBorder="1"/>
    <xf numFmtId="0" fontId="0" fillId="0" borderId="82" xfId="0" applyFill="1" applyBorder="1"/>
    <xf numFmtId="1" fontId="2" fillId="0" borderId="70" xfId="0" applyNumberFormat="1" applyFont="1" applyFill="1" applyBorder="1"/>
    <xf numFmtId="0" fontId="2" fillId="0" borderId="69" xfId="0" quotePrefix="1" applyFont="1" applyFill="1" applyBorder="1" applyAlignment="1">
      <alignment horizontal="center"/>
    </xf>
    <xf numFmtId="1" fontId="0" fillId="0" borderId="7" xfId="0" applyNumberFormat="1" applyFill="1" applyBorder="1"/>
    <xf numFmtId="3" fontId="2" fillId="0" borderId="0" xfId="0" applyNumberFormat="1" applyFont="1" applyFill="1" applyBorder="1"/>
    <xf numFmtId="1" fontId="2" fillId="0" borderId="7" xfId="0" applyNumberFormat="1" applyFont="1" applyFill="1" applyBorder="1"/>
    <xf numFmtId="1" fontId="0" fillId="0" borderId="9" xfId="0" applyNumberFormat="1" applyFill="1" applyBorder="1"/>
    <xf numFmtId="0" fontId="0" fillId="0" borderId="117" xfId="0" applyFill="1" applyBorder="1"/>
    <xf numFmtId="0" fontId="2" fillId="0" borderId="165" xfId="0" applyFont="1" applyFill="1" applyBorder="1"/>
    <xf numFmtId="0" fontId="6" fillId="0" borderId="153" xfId="0" applyFont="1" applyFill="1" applyBorder="1"/>
    <xf numFmtId="0" fontId="6" fillId="0" borderId="138" xfId="0" applyFont="1" applyFill="1" applyBorder="1" applyAlignment="1">
      <alignment horizontal="center"/>
    </xf>
    <xf numFmtId="0" fontId="6" fillId="0" borderId="129" xfId="0" applyFont="1" applyFill="1" applyBorder="1" applyAlignment="1">
      <alignment horizontal="center"/>
    </xf>
    <xf numFmtId="0" fontId="6" fillId="0" borderId="49" xfId="0" applyFont="1" applyFill="1" applyBorder="1"/>
    <xf numFmtId="38" fontId="4" fillId="0" borderId="15" xfId="0" applyNumberFormat="1" applyFont="1" applyFill="1" applyBorder="1"/>
    <xf numFmtId="38" fontId="4" fillId="0" borderId="90" xfId="0" applyNumberFormat="1" applyFont="1" applyFill="1" applyBorder="1"/>
    <xf numFmtId="38" fontId="4" fillId="0" borderId="8" xfId="0" applyNumberFormat="1" applyFont="1" applyFill="1" applyBorder="1"/>
    <xf numFmtId="38" fontId="4" fillId="0" borderId="94" xfId="0" applyNumberFormat="1" applyFont="1" applyFill="1" applyBorder="1"/>
    <xf numFmtId="166" fontId="6" fillId="0" borderId="49" xfId="0" applyNumberFormat="1" applyFont="1" applyFill="1" applyBorder="1"/>
    <xf numFmtId="166" fontId="0" fillId="0" borderId="49" xfId="1" applyNumberFormat="1" applyFont="1" applyFill="1" applyBorder="1"/>
    <xf numFmtId="0" fontId="6" fillId="0" borderId="86" xfId="0" applyFont="1" applyFill="1" applyBorder="1"/>
    <xf numFmtId="0" fontId="2" fillId="0" borderId="49" xfId="0" applyFont="1" applyFill="1" applyBorder="1"/>
    <xf numFmtId="38" fontId="4" fillId="0" borderId="49" xfId="0" applyNumberFormat="1" applyFont="1" applyFill="1" applyBorder="1"/>
    <xf numFmtId="38" fontId="6" fillId="0" borderId="50" xfId="0" applyNumberFormat="1" applyFont="1" applyFill="1" applyBorder="1"/>
    <xf numFmtId="38" fontId="6" fillId="0" borderId="1" xfId="0" applyNumberFormat="1" applyFont="1" applyFill="1" applyBorder="1"/>
    <xf numFmtId="38" fontId="6" fillId="0" borderId="37" xfId="0" applyNumberFormat="1" applyFont="1" applyFill="1" applyBorder="1"/>
    <xf numFmtId="38" fontId="6" fillId="0" borderId="44" xfId="0" applyNumberFormat="1" applyFont="1" applyFill="1" applyBorder="1"/>
    <xf numFmtId="38" fontId="6" fillId="0" borderId="30" xfId="0" applyNumberFormat="1" applyFont="1" applyFill="1" applyBorder="1"/>
    <xf numFmtId="0" fontId="12" fillId="0" borderId="34" xfId="0" applyFont="1" applyFill="1" applyBorder="1"/>
    <xf numFmtId="0" fontId="12" fillId="0" borderId="49" xfId="0" applyFont="1" applyFill="1" applyBorder="1"/>
    <xf numFmtId="0" fontId="6" fillId="0" borderId="154" xfId="0" applyFont="1" applyFill="1" applyBorder="1"/>
    <xf numFmtId="0" fontId="4" fillId="0" borderId="53" xfId="0" applyFont="1" applyFill="1" applyBorder="1"/>
    <xf numFmtId="38" fontId="4" fillId="0" borderId="5" xfId="0" applyNumberFormat="1" applyFont="1" applyFill="1" applyBorder="1"/>
    <xf numFmtId="38" fontId="4" fillId="0" borderId="21" xfId="0" applyNumberFormat="1" applyFont="1" applyFill="1" applyBorder="1"/>
    <xf numFmtId="38" fontId="4" fillId="0" borderId="77" xfId="0" applyNumberFormat="1" applyFont="1" applyFill="1" applyBorder="1"/>
    <xf numFmtId="38" fontId="4" fillId="0" borderId="43" xfId="0" applyNumberFormat="1" applyFont="1" applyFill="1" applyBorder="1"/>
    <xf numFmtId="38" fontId="4" fillId="0" borderId="20" xfId="0" applyNumberFormat="1" applyFont="1" applyFill="1" applyBorder="1"/>
    <xf numFmtId="0" fontId="0" fillId="0" borderId="44" xfId="0" applyFill="1" applyBorder="1"/>
    <xf numFmtId="38" fontId="0" fillId="0" borderId="9" xfId="0" applyNumberFormat="1" applyFill="1" applyBorder="1"/>
    <xf numFmtId="0" fontId="0" fillId="0" borderId="8" xfId="0" applyFill="1" applyBorder="1"/>
    <xf numFmtId="0" fontId="27" fillId="0" borderId="130" xfId="0" applyFont="1" applyFill="1" applyBorder="1" applyAlignment="1">
      <alignment vertical="top" wrapText="1"/>
    </xf>
    <xf numFmtId="0" fontId="28" fillId="0" borderId="80" xfId="0" applyFont="1" applyFill="1" applyBorder="1" applyAlignment="1">
      <alignment vertical="top" wrapText="1"/>
    </xf>
    <xf numFmtId="168" fontId="0" fillId="0" borderId="8" xfId="1" applyNumberFormat="1" applyFont="1" applyFill="1" applyBorder="1"/>
    <xf numFmtId="168" fontId="0" fillId="0" borderId="7" xfId="1" applyNumberFormat="1" applyFont="1" applyFill="1" applyBorder="1"/>
    <xf numFmtId="0" fontId="27" fillId="0" borderId="80" xfId="0" applyFont="1" applyFill="1" applyBorder="1" applyAlignment="1">
      <alignment vertical="top" wrapText="1"/>
    </xf>
    <xf numFmtId="168" fontId="2" fillId="0" borderId="8" xfId="1" applyNumberFormat="1" applyFont="1" applyFill="1" applyBorder="1"/>
    <xf numFmtId="168" fontId="2" fillId="0" borderId="7" xfId="1" applyNumberFormat="1" applyFont="1" applyFill="1" applyBorder="1"/>
    <xf numFmtId="0" fontId="27" fillId="0" borderId="79" xfId="0" applyFont="1" applyFill="1" applyBorder="1" applyAlignment="1">
      <alignment vertical="top" wrapText="1"/>
    </xf>
    <xf numFmtId="168" fontId="2" fillId="0" borderId="10" xfId="0" applyNumberFormat="1" applyFont="1" applyFill="1" applyBorder="1"/>
    <xf numFmtId="168" fontId="2" fillId="0" borderId="6" xfId="1" applyNumberFormat="1" applyFont="1" applyFill="1" applyBorder="1"/>
    <xf numFmtId="168" fontId="2" fillId="0" borderId="10" xfId="1" applyNumberFormat="1" applyFont="1" applyFill="1" applyBorder="1"/>
    <xf numFmtId="168" fontId="2" fillId="0" borderId="9" xfId="1" applyNumberFormat="1" applyFont="1" applyFill="1" applyBorder="1"/>
    <xf numFmtId="0" fontId="2" fillId="0" borderId="10" xfId="0" applyFont="1" applyFill="1" applyBorder="1"/>
    <xf numFmtId="0" fontId="27" fillId="0" borderId="8" xfId="0" applyFont="1" applyFill="1" applyBorder="1" applyAlignment="1">
      <alignment horizontal="center" vertical="top" wrapText="1"/>
    </xf>
    <xf numFmtId="0" fontId="27" fillId="0" borderId="80" xfId="0" applyFont="1" applyFill="1" applyBorder="1" applyAlignment="1">
      <alignment horizontal="center" vertical="top" wrapText="1"/>
    </xf>
    <xf numFmtId="0" fontId="29" fillId="0" borderId="80" xfId="0" applyFont="1" applyFill="1" applyBorder="1" applyAlignment="1">
      <alignment wrapText="1"/>
    </xf>
    <xf numFmtId="177" fontId="28" fillId="0" borderId="80" xfId="0" applyNumberFormat="1" applyFont="1" applyFill="1" applyBorder="1" applyAlignment="1">
      <alignment horizontal="right" vertical="top" wrapText="1"/>
    </xf>
    <xf numFmtId="0" fontId="28" fillId="0" borderId="80" xfId="0" applyFont="1" applyFill="1" applyBorder="1" applyAlignment="1">
      <alignment wrapText="1"/>
    </xf>
    <xf numFmtId="168" fontId="28" fillId="0" borderId="80" xfId="0" applyNumberFormat="1" applyFont="1" applyFill="1" applyBorder="1" applyAlignment="1">
      <alignment horizontal="right" wrapText="1"/>
    </xf>
    <xf numFmtId="168" fontId="4" fillId="0" borderId="0" xfId="1" applyNumberFormat="1" applyFont="1" applyFill="1" applyBorder="1"/>
    <xf numFmtId="0" fontId="27" fillId="0" borderId="80" xfId="0" applyFont="1" applyFill="1" applyBorder="1" applyAlignment="1">
      <alignment wrapText="1"/>
    </xf>
    <xf numFmtId="168" fontId="27" fillId="0" borderId="80" xfId="0" applyNumberFormat="1" applyFont="1" applyFill="1" applyBorder="1" applyAlignment="1">
      <alignment horizontal="right" wrapText="1"/>
    </xf>
    <xf numFmtId="168" fontId="28" fillId="0" borderId="80" xfId="0" applyNumberFormat="1" applyFont="1" applyFill="1" applyBorder="1" applyAlignment="1">
      <alignment wrapText="1"/>
    </xf>
    <xf numFmtId="168" fontId="27" fillId="0" borderId="80" xfId="0" applyNumberFormat="1" applyFont="1" applyFill="1" applyBorder="1" applyAlignment="1">
      <alignment wrapText="1"/>
    </xf>
    <xf numFmtId="0" fontId="28" fillId="0" borderId="79" xfId="0" applyFont="1" applyFill="1" applyBorder="1" applyAlignment="1">
      <alignment wrapText="1"/>
    </xf>
    <xf numFmtId="168" fontId="27" fillId="0" borderId="10" xfId="0" applyNumberFormat="1" applyFont="1" applyFill="1" applyBorder="1" applyAlignment="1">
      <alignment horizontal="right" vertical="top" wrapText="1"/>
    </xf>
    <xf numFmtId="168" fontId="27" fillId="0" borderId="79" xfId="0" applyNumberFormat="1" applyFont="1" applyFill="1" applyBorder="1" applyAlignment="1">
      <alignment horizontal="right" vertical="top" wrapText="1"/>
    </xf>
    <xf numFmtId="0" fontId="2" fillId="0" borderId="175" xfId="0" applyFont="1" applyFill="1" applyBorder="1" applyAlignment="1">
      <alignment horizontal="center"/>
    </xf>
    <xf numFmtId="168" fontId="2" fillId="0" borderId="175" xfId="1" applyNumberFormat="1" applyFont="1" applyFill="1" applyBorder="1" applyAlignment="1">
      <alignment horizontal="center"/>
    </xf>
    <xf numFmtId="168" fontId="2" fillId="0" borderId="84" xfId="1" applyNumberFormat="1" applyFont="1" applyFill="1" applyBorder="1" applyAlignment="1">
      <alignment horizontal="center"/>
    </xf>
    <xf numFmtId="0" fontId="2" fillId="0" borderId="80" xfId="0" applyFont="1" applyFill="1" applyBorder="1" applyAlignment="1">
      <alignment horizontal="center"/>
    </xf>
    <xf numFmtId="168" fontId="2" fillId="0" borderId="80" xfId="1" applyNumberFormat="1" applyFont="1" applyFill="1" applyBorder="1" applyAlignment="1">
      <alignment horizontal="center"/>
    </xf>
    <xf numFmtId="168" fontId="2" fillId="0" borderId="8" xfId="1" applyNumberFormat="1" applyFont="1" applyFill="1" applyBorder="1" applyAlignment="1">
      <alignment horizontal="center"/>
    </xf>
    <xf numFmtId="0" fontId="27" fillId="0" borderId="7" xfId="0" applyFont="1" applyFill="1" applyBorder="1" applyAlignment="1">
      <alignment vertical="top" wrapText="1"/>
    </xf>
    <xf numFmtId="0" fontId="28" fillId="0" borderId="7" xfId="0" applyFont="1" applyFill="1" applyBorder="1" applyAlignment="1">
      <alignment vertical="top" wrapText="1"/>
    </xf>
    <xf numFmtId="168" fontId="28" fillId="0" borderId="80" xfId="0" applyNumberFormat="1" applyFont="1" applyFill="1" applyBorder="1" applyAlignment="1">
      <alignment horizontal="right" vertical="top" wrapText="1"/>
    </xf>
    <xf numFmtId="168" fontId="27" fillId="0" borderId="80" xfId="0" applyNumberFormat="1" applyFont="1" applyFill="1" applyBorder="1" applyAlignment="1">
      <alignment horizontal="right" vertical="top" wrapText="1"/>
    </xf>
    <xf numFmtId="168" fontId="27" fillId="0" borderId="8" xfId="0" applyNumberFormat="1" applyFont="1" applyFill="1" applyBorder="1" applyAlignment="1">
      <alignment horizontal="right" vertical="top" wrapText="1"/>
    </xf>
    <xf numFmtId="168" fontId="40" fillId="0" borderId="80" xfId="0" applyNumberFormat="1" applyFont="1" applyFill="1" applyBorder="1" applyAlignment="1">
      <alignment horizontal="right" vertical="top" wrapText="1"/>
    </xf>
    <xf numFmtId="168" fontId="40" fillId="0" borderId="8" xfId="0" applyNumberFormat="1" applyFont="1" applyFill="1" applyBorder="1" applyAlignment="1">
      <alignment horizontal="right" vertical="top" wrapText="1"/>
    </xf>
    <xf numFmtId="168" fontId="41" fillId="0" borderId="80" xfId="0" applyNumberFormat="1" applyFont="1" applyFill="1" applyBorder="1" applyAlignment="1">
      <alignment horizontal="right" vertical="top" wrapText="1"/>
    </xf>
    <xf numFmtId="168" fontId="41" fillId="0" borderId="8" xfId="0" applyNumberFormat="1" applyFont="1" applyFill="1" applyBorder="1" applyAlignment="1">
      <alignment horizontal="right" vertical="top" wrapText="1"/>
    </xf>
    <xf numFmtId="168" fontId="28" fillId="0" borderId="8" xfId="0" applyNumberFormat="1" applyFont="1" applyFill="1" applyBorder="1" applyAlignment="1">
      <alignment horizontal="right" vertical="top" wrapText="1"/>
    </xf>
    <xf numFmtId="0" fontId="28" fillId="0" borderId="7" xfId="0" applyFont="1" applyFill="1" applyBorder="1" applyAlignment="1">
      <alignment horizontal="justify" vertical="top" wrapText="1"/>
    </xf>
    <xf numFmtId="0" fontId="42" fillId="0" borderId="7" xfId="0" applyFont="1" applyFill="1" applyBorder="1" applyAlignment="1">
      <alignment vertical="top" wrapText="1"/>
    </xf>
    <xf numFmtId="0" fontId="27" fillId="0" borderId="9" xfId="0" applyFont="1" applyFill="1" applyBorder="1" applyAlignment="1">
      <alignment vertical="top" wrapText="1"/>
    </xf>
    <xf numFmtId="0" fontId="27" fillId="0" borderId="79" xfId="0" applyFont="1" applyFill="1" applyBorder="1" applyAlignment="1">
      <alignment horizontal="right" vertical="top" wrapText="1"/>
    </xf>
    <xf numFmtId="0" fontId="6" fillId="0" borderId="116" xfId="0" applyFont="1" applyFill="1" applyBorder="1"/>
    <xf numFmtId="3" fontId="6" fillId="0" borderId="69" xfId="0" applyNumberFormat="1" applyFont="1" applyFill="1" applyBorder="1" applyAlignment="1">
      <alignment horizontal="center"/>
    </xf>
    <xf numFmtId="3" fontId="6" fillId="0" borderId="74" xfId="0" applyNumberFormat="1" applyFont="1" applyFill="1" applyBorder="1" applyAlignment="1">
      <alignment horizontal="center"/>
    </xf>
    <xf numFmtId="0" fontId="0" fillId="0" borderId="15" xfId="0" applyFill="1" applyBorder="1"/>
    <xf numFmtId="0" fontId="4" fillId="0" borderId="15" xfId="0" applyFont="1" applyFill="1" applyBorder="1"/>
    <xf numFmtId="3" fontId="4" fillId="0" borderId="0" xfId="0" applyNumberFormat="1" applyFont="1" applyFill="1" applyBorder="1"/>
    <xf numFmtId="1" fontId="0" fillId="0" borderId="15" xfId="0" applyNumberFormat="1" applyFill="1" applyBorder="1"/>
    <xf numFmtId="38" fontId="5" fillId="0" borderId="3" xfId="0" applyNumberFormat="1" applyFont="1" applyFill="1" applyBorder="1"/>
    <xf numFmtId="1" fontId="4" fillId="0" borderId="15" xfId="0" applyNumberFormat="1" applyFont="1" applyFill="1" applyBorder="1"/>
    <xf numFmtId="167" fontId="6" fillId="0" borderId="4" xfId="0" applyNumberFormat="1" applyFont="1" applyFill="1" applyBorder="1"/>
    <xf numFmtId="0" fontId="0" fillId="0" borderId="114" xfId="0" applyFill="1" applyBorder="1"/>
    <xf numFmtId="0" fontId="27" fillId="0" borderId="50" xfId="0" applyFont="1" applyFill="1" applyBorder="1" applyAlignment="1">
      <alignment vertical="center" wrapText="1"/>
    </xf>
    <xf numFmtId="0" fontId="27" fillId="0" borderId="29" xfId="0" applyFont="1" applyFill="1" applyBorder="1" applyAlignment="1">
      <alignment horizontal="center" vertical="center" wrapText="1"/>
    </xf>
    <xf numFmtId="0" fontId="27" fillId="0" borderId="51" xfId="0" applyFont="1" applyFill="1" applyBorder="1" applyAlignment="1">
      <alignment horizontal="center" vertical="center" wrapText="1"/>
    </xf>
    <xf numFmtId="0" fontId="29" fillId="0" borderId="49" xfId="0" applyFont="1" applyFill="1" applyBorder="1" applyAlignment="1">
      <alignment vertical="center" wrapText="1"/>
    </xf>
    <xf numFmtId="0" fontId="29" fillId="0" borderId="3" xfId="0" applyFont="1" applyFill="1" applyBorder="1" applyAlignment="1">
      <alignment horizontal="right" vertical="center" wrapText="1"/>
    </xf>
    <xf numFmtId="0" fontId="29" fillId="0" borderId="42" xfId="0" applyFont="1" applyFill="1" applyBorder="1" applyAlignment="1">
      <alignment horizontal="right" vertical="center" wrapText="1"/>
    </xf>
    <xf numFmtId="0" fontId="28" fillId="0" borderId="49" xfId="0" applyFont="1" applyFill="1" applyBorder="1" applyAlignment="1">
      <alignment vertical="center" wrapText="1"/>
    </xf>
    <xf numFmtId="0" fontId="27" fillId="0" borderId="49" xfId="0" applyFont="1" applyFill="1" applyBorder="1" applyAlignment="1">
      <alignment vertical="center" wrapText="1"/>
    </xf>
    <xf numFmtId="0" fontId="27" fillId="0" borderId="122" xfId="0" applyFont="1" applyFill="1" applyBorder="1" applyAlignment="1">
      <alignment vertical="center" wrapText="1"/>
    </xf>
    <xf numFmtId="0" fontId="27" fillId="0" borderId="0" xfId="0" applyFont="1" applyFill="1" applyBorder="1" applyAlignment="1">
      <alignment vertical="center" wrapText="1"/>
    </xf>
    <xf numFmtId="0" fontId="6" fillId="0" borderId="190" xfId="0" applyFont="1" applyFill="1" applyBorder="1" applyAlignment="1">
      <alignment horizontal="center"/>
    </xf>
    <xf numFmtId="0" fontId="2" fillId="0" borderId="190" xfId="0" applyFont="1" applyFill="1" applyBorder="1" applyAlignment="1">
      <alignment horizontal="center"/>
    </xf>
    <xf numFmtId="0" fontId="2" fillId="0" borderId="15" xfId="0" applyFont="1" applyFill="1" applyBorder="1"/>
    <xf numFmtId="0" fontId="4" fillId="0" borderId="15" xfId="0" applyFont="1" applyFill="1" applyBorder="1" applyProtection="1">
      <protection locked="0"/>
    </xf>
    <xf numFmtId="38" fontId="0" fillId="0" borderId="0" xfId="0" applyNumberFormat="1" applyFill="1"/>
    <xf numFmtId="0" fontId="6" fillId="0" borderId="4" xfId="0" applyFont="1" applyFill="1" applyBorder="1" applyAlignment="1">
      <alignment horizontal="right"/>
    </xf>
    <xf numFmtId="3" fontId="4" fillId="0" borderId="0" xfId="0" applyNumberFormat="1" applyFont="1" applyFill="1"/>
    <xf numFmtId="0" fontId="2" fillId="0" borderId="173" xfId="0" applyFont="1" applyFill="1" applyBorder="1"/>
    <xf numFmtId="168" fontId="6" fillId="0" borderId="57" xfId="0" applyNumberFormat="1" applyFont="1" applyFill="1" applyBorder="1"/>
    <xf numFmtId="0" fontId="6" fillId="0" borderId="0" xfId="0" applyFont="1" applyFill="1" applyAlignment="1">
      <alignment horizontal="center"/>
    </xf>
    <xf numFmtId="0" fontId="2" fillId="0" borderId="0" xfId="0" quotePrefix="1" applyFont="1" applyFill="1"/>
    <xf numFmtId="0" fontId="6" fillId="0" borderId="124" xfId="0" applyFont="1" applyFill="1" applyBorder="1"/>
    <xf numFmtId="0" fontId="36" fillId="0" borderId="0" xfId="0" applyFont="1" applyFill="1"/>
    <xf numFmtId="0" fontId="2" fillId="0" borderId="0" xfId="0" quotePrefix="1" applyFont="1" applyFill="1" applyAlignment="1">
      <alignment horizontal="center"/>
    </xf>
    <xf numFmtId="0" fontId="6" fillId="0" borderId="55" xfId="0" applyFont="1" applyFill="1" applyBorder="1"/>
    <xf numFmtId="168" fontId="6" fillId="0" borderId="55" xfId="0" applyNumberFormat="1" applyFont="1" applyFill="1" applyBorder="1"/>
    <xf numFmtId="16" fontId="2" fillId="0" borderId="0" xfId="0" quotePrefix="1" applyNumberFormat="1" applyFont="1" applyFill="1" applyAlignment="1">
      <alignment horizontal="center"/>
    </xf>
    <xf numFmtId="168" fontId="0" fillId="0" borderId="0" xfId="1" applyNumberFormat="1" applyFont="1" applyFill="1"/>
    <xf numFmtId="167" fontId="0" fillId="0" borderId="0" xfId="4" applyNumberFormat="1" applyFont="1" applyFill="1"/>
    <xf numFmtId="0" fontId="6" fillId="0" borderId="26" xfId="0" applyNumberFormat="1" applyFont="1" applyFill="1" applyBorder="1" applyAlignment="1">
      <alignment horizontal="center"/>
    </xf>
    <xf numFmtId="0" fontId="6" fillId="0" borderId="17" xfId="0" quotePrefix="1" applyNumberFormat="1" applyFont="1" applyFill="1" applyBorder="1" applyAlignment="1">
      <alignment horizontal="center"/>
    </xf>
    <xf numFmtId="0" fontId="27" fillId="0" borderId="0" xfId="0" applyFont="1" applyFill="1"/>
    <xf numFmtId="0" fontId="27" fillId="0" borderId="0" xfId="0" applyFont="1" applyFill="1" applyAlignment="1">
      <alignment horizontal="center"/>
    </xf>
    <xf numFmtId="3" fontId="5" fillId="0" borderId="0" xfId="0" applyNumberFormat="1" applyFont="1" applyFill="1"/>
    <xf numFmtId="167" fontId="5" fillId="0" borderId="0" xfId="0" applyNumberFormat="1" applyFont="1" applyFill="1"/>
    <xf numFmtId="173" fontId="5" fillId="0" borderId="0" xfId="0" applyNumberFormat="1" applyFont="1" applyFill="1" applyAlignment="1">
      <alignment horizontal="center"/>
    </xf>
    <xf numFmtId="173" fontId="2" fillId="0" borderId="0" xfId="0" applyNumberFormat="1" applyFont="1" applyFill="1" applyAlignment="1">
      <alignment horizontal="center"/>
    </xf>
    <xf numFmtId="167" fontId="2" fillId="0" borderId="0" xfId="4" applyNumberFormat="1" applyFont="1" applyFill="1" applyAlignment="1">
      <alignment horizontal="center"/>
    </xf>
    <xf numFmtId="10" fontId="2" fillId="0" borderId="0" xfId="4" applyNumberFormat="1" applyFont="1" applyFill="1" applyAlignment="1">
      <alignment horizontal="center"/>
    </xf>
    <xf numFmtId="9" fontId="2" fillId="0" borderId="0" xfId="4" applyFont="1" applyFill="1" applyAlignment="1">
      <alignment horizontal="center"/>
    </xf>
    <xf numFmtId="0" fontId="4" fillId="0" borderId="0" xfId="0" applyFont="1" applyFill="1" applyBorder="1" applyAlignment="1">
      <alignment horizontal="left"/>
    </xf>
    <xf numFmtId="3" fontId="4" fillId="0" borderId="0" xfId="0" applyNumberFormat="1" applyFont="1" applyFill="1" applyBorder="1" applyAlignment="1">
      <alignment horizontal="left"/>
    </xf>
    <xf numFmtId="0" fontId="2" fillId="0" borderId="94" xfId="0" applyFont="1" applyFill="1" applyBorder="1" applyAlignment="1">
      <alignment horizontal="center"/>
    </xf>
    <xf numFmtId="0" fontId="2" fillId="0" borderId="0" xfId="0" applyFont="1" applyFill="1" applyAlignment="1">
      <alignment horizontal="right"/>
    </xf>
    <xf numFmtId="0" fontId="2" fillId="0" borderId="0" xfId="0" applyFont="1" applyFill="1" applyAlignment="1">
      <alignment horizontal="left"/>
    </xf>
    <xf numFmtId="0" fontId="2" fillId="0" borderId="117" xfId="0" applyFont="1" applyFill="1" applyBorder="1" applyAlignment="1">
      <alignment horizontal="center"/>
    </xf>
    <xf numFmtId="14" fontId="4" fillId="0" borderId="3" xfId="0" applyNumberFormat="1" applyFont="1" applyFill="1" applyBorder="1" applyAlignment="1">
      <alignment horizontal="left"/>
    </xf>
    <xf numFmtId="0" fontId="4" fillId="0" borderId="15" xfId="0" applyFont="1" applyFill="1" applyBorder="1" applyAlignment="1">
      <alignment horizontal="left"/>
    </xf>
    <xf numFmtId="0" fontId="2" fillId="0" borderId="3" xfId="0" applyFont="1" applyFill="1" applyBorder="1" applyAlignment="1">
      <alignment horizontal="left"/>
    </xf>
    <xf numFmtId="14" fontId="2" fillId="0" borderId="3" xfId="0" applyNumberFormat="1" applyFont="1" applyFill="1" applyBorder="1" applyAlignment="1">
      <alignment horizontal="left"/>
    </xf>
    <xf numFmtId="3" fontId="4" fillId="0" borderId="0" xfId="0" applyNumberFormat="1" applyFont="1" applyFill="1" applyAlignment="1">
      <alignment horizontal="right"/>
    </xf>
    <xf numFmtId="168" fontId="2" fillId="0" borderId="187" xfId="0" applyNumberFormat="1" applyFont="1" applyFill="1" applyBorder="1" applyAlignment="1">
      <alignment horizontal="right"/>
    </xf>
    <xf numFmtId="168" fontId="2" fillId="0" borderId="164" xfId="0" applyNumberFormat="1" applyFont="1" applyFill="1" applyBorder="1" applyAlignment="1">
      <alignment horizontal="right"/>
    </xf>
    <xf numFmtId="168" fontId="2" fillId="0" borderId="66" xfId="0" applyNumberFormat="1" applyFont="1" applyFill="1" applyBorder="1" applyAlignment="1">
      <alignment horizontal="right"/>
    </xf>
    <xf numFmtId="168" fontId="2" fillId="0" borderId="59" xfId="0" applyNumberFormat="1" applyFont="1" applyFill="1" applyBorder="1" applyAlignment="1">
      <alignment horizontal="right"/>
    </xf>
    <xf numFmtId="3" fontId="2" fillId="0" borderId="0" xfId="0" applyNumberFormat="1" applyFont="1" applyFill="1" applyAlignment="1">
      <alignment horizontal="left"/>
    </xf>
    <xf numFmtId="168" fontId="2" fillId="0" borderId="46" xfId="0" applyNumberFormat="1" applyFont="1" applyFill="1" applyBorder="1" applyAlignment="1">
      <alignment horizontal="right"/>
    </xf>
    <xf numFmtId="168" fontId="2" fillId="0" borderId="27" xfId="0" applyNumberFormat="1" applyFont="1" applyFill="1" applyBorder="1" applyAlignment="1">
      <alignment horizontal="right"/>
    </xf>
    <xf numFmtId="0" fontId="2" fillId="0" borderId="133" xfId="0" applyFont="1" applyFill="1" applyBorder="1" applyAlignment="1">
      <alignment horizontal="center"/>
    </xf>
    <xf numFmtId="0" fontId="2" fillId="0" borderId="133" xfId="0" applyFont="1" applyFill="1" applyBorder="1" applyAlignment="1">
      <alignment horizontal="left"/>
    </xf>
    <xf numFmtId="14" fontId="4" fillId="0" borderId="0" xfId="0" applyNumberFormat="1" applyFont="1" applyFill="1" applyAlignment="1">
      <alignment horizontal="left"/>
    </xf>
    <xf numFmtId="0" fontId="13" fillId="0" borderId="0" xfId="0" applyFont="1" applyFill="1" applyAlignment="1">
      <alignment horizontal="left"/>
    </xf>
    <xf numFmtId="14" fontId="6" fillId="0" borderId="0" xfId="0" applyNumberFormat="1" applyFont="1" applyFill="1" applyAlignment="1">
      <alignment horizontal="left"/>
    </xf>
    <xf numFmtId="3" fontId="6" fillId="0" borderId="66" xfId="0" applyNumberFormat="1" applyFont="1" applyFill="1" applyBorder="1" applyAlignment="1">
      <alignment horizontal="right"/>
    </xf>
    <xf numFmtId="0" fontId="6" fillId="0" borderId="34" xfId="0" applyFont="1" applyFill="1" applyBorder="1" applyAlignment="1">
      <alignment horizontal="center"/>
    </xf>
    <xf numFmtId="168" fontId="2" fillId="0" borderId="22" xfId="0" quotePrefix="1" applyNumberFormat="1" applyFont="1" applyFill="1" applyBorder="1" applyAlignment="1">
      <alignment horizontal="center"/>
    </xf>
    <xf numFmtId="168" fontId="4" fillId="0" borderId="129" xfId="0" applyNumberFormat="1" applyFont="1" applyFill="1" applyBorder="1"/>
    <xf numFmtId="0" fontId="2" fillId="0" borderId="18" xfId="0" quotePrefix="1" applyNumberFormat="1" applyFont="1" applyFill="1" applyBorder="1" applyAlignment="1">
      <alignment horizontal="center"/>
    </xf>
    <xf numFmtId="0" fontId="6" fillId="0" borderId="29" xfId="0" quotePrefix="1" applyNumberFormat="1" applyFont="1" applyFill="1" applyBorder="1" applyAlignment="1">
      <alignment horizontal="center"/>
    </xf>
    <xf numFmtId="168" fontId="6" fillId="0" borderId="35" xfId="0" quotePrefix="1" applyNumberFormat="1" applyFont="1" applyFill="1" applyBorder="1" applyAlignment="1">
      <alignment horizontal="center"/>
    </xf>
    <xf numFmtId="0" fontId="6" fillId="0" borderId="3" xfId="0" quotePrefix="1" applyNumberFormat="1" applyFont="1" applyFill="1" applyBorder="1" applyAlignment="1">
      <alignment horizontal="center"/>
    </xf>
    <xf numFmtId="0" fontId="16" fillId="0" borderId="0" xfId="0" applyFont="1" applyFill="1" applyAlignment="1">
      <alignment horizontal="left"/>
    </xf>
    <xf numFmtId="0" fontId="6" fillId="0" borderId="0" xfId="0" applyFont="1" applyFill="1" applyBorder="1" applyAlignment="1">
      <alignment horizontal="left"/>
    </xf>
    <xf numFmtId="3" fontId="0" fillId="0" borderId="0" xfId="0" applyNumberFormat="1" applyFill="1" applyAlignment="1">
      <alignment horizontal="left"/>
    </xf>
    <xf numFmtId="0" fontId="2" fillId="0" borderId="22" xfId="0" quotePrefix="1" applyNumberFormat="1" applyFont="1" applyFill="1" applyBorder="1" applyAlignment="1">
      <alignment horizontal="center"/>
    </xf>
    <xf numFmtId="0" fontId="6" fillId="0" borderId="15" xfId="0" quotePrefix="1" applyNumberFormat="1" applyFont="1" applyFill="1" applyBorder="1" applyAlignment="1">
      <alignment horizontal="center"/>
    </xf>
    <xf numFmtId="49" fontId="2" fillId="0" borderId="29" xfId="0" applyNumberFormat="1" applyFont="1" applyFill="1" applyBorder="1" applyAlignment="1">
      <alignment horizontal="center"/>
    </xf>
    <xf numFmtId="168" fontId="6" fillId="0" borderId="16" xfId="0" quotePrefix="1" applyNumberFormat="1" applyFont="1" applyFill="1" applyBorder="1" applyAlignment="1">
      <alignment horizontal="right"/>
    </xf>
    <xf numFmtId="168" fontId="4" fillId="0" borderId="16" xfId="0" quotePrefix="1" applyNumberFormat="1" applyFont="1" applyFill="1" applyBorder="1" applyAlignment="1">
      <alignment horizontal="center"/>
    </xf>
    <xf numFmtId="168" fontId="2" fillId="0" borderId="17" xfId="0" quotePrefix="1" applyNumberFormat="1" applyFont="1" applyFill="1" applyBorder="1" applyAlignment="1">
      <alignment horizontal="center" wrapText="1"/>
    </xf>
    <xf numFmtId="0" fontId="6" fillId="0" borderId="30" xfId="0" applyNumberFormat="1" applyFont="1" applyFill="1" applyBorder="1" applyAlignment="1">
      <alignment horizontal="center"/>
    </xf>
    <xf numFmtId="0" fontId="25" fillId="0" borderId="4" xfId="0" applyFont="1" applyFill="1" applyBorder="1"/>
    <xf numFmtId="168" fontId="6" fillId="0" borderId="17" xfId="0" quotePrefix="1" applyNumberFormat="1" applyFont="1" applyFill="1" applyBorder="1" applyAlignment="1">
      <alignment horizontal="center" wrapText="1"/>
    </xf>
    <xf numFmtId="168" fontId="6" fillId="0" borderId="34" xfId="0" quotePrefix="1" applyNumberFormat="1" applyFont="1" applyFill="1" applyBorder="1" applyAlignment="1">
      <alignment horizontal="center"/>
    </xf>
    <xf numFmtId="168" fontId="5" fillId="0" borderId="28" xfId="0" quotePrefix="1" applyNumberFormat="1" applyFont="1" applyFill="1" applyBorder="1" applyAlignment="1">
      <alignment horizontal="right"/>
    </xf>
    <xf numFmtId="168" fontId="5" fillId="0" borderId="3" xfId="0" quotePrefix="1" applyNumberFormat="1" applyFont="1" applyFill="1" applyBorder="1" applyAlignment="1">
      <alignment horizontal="right"/>
    </xf>
    <xf numFmtId="171" fontId="5" fillId="0" borderId="3" xfId="0" applyNumberFormat="1" applyFont="1" applyFill="1" applyBorder="1"/>
    <xf numFmtId="0" fontId="25" fillId="0" borderId="3" xfId="0" applyFont="1" applyFill="1" applyBorder="1" applyAlignment="1">
      <alignment horizontal="center"/>
    </xf>
    <xf numFmtId="168" fontId="2" fillId="0" borderId="52" xfId="0" quotePrefix="1" applyNumberFormat="1" applyFont="1" applyFill="1" applyBorder="1" applyAlignment="1">
      <alignment horizontal="center"/>
    </xf>
    <xf numFmtId="0" fontId="2" fillId="0" borderId="17" xfId="0" quotePrefix="1" applyNumberFormat="1" applyFont="1" applyFill="1" applyBorder="1" applyAlignment="1">
      <alignment horizontal="center"/>
    </xf>
    <xf numFmtId="168" fontId="4" fillId="0" borderId="6" xfId="0" applyNumberFormat="1" applyFont="1" applyFill="1" applyBorder="1"/>
    <xf numFmtId="168" fontId="2" fillId="0" borderId="2" xfId="0" quotePrefix="1" applyNumberFormat="1" applyFont="1" applyFill="1" applyBorder="1" applyAlignment="1">
      <alignment horizontal="center" wrapText="1"/>
    </xf>
    <xf numFmtId="168" fontId="6" fillId="0" borderId="30" xfId="0" quotePrefix="1" applyNumberFormat="1" applyFont="1" applyFill="1" applyBorder="1" applyAlignment="1">
      <alignment horizontal="center"/>
    </xf>
    <xf numFmtId="175" fontId="6" fillId="0" borderId="17" xfId="0" quotePrefix="1" applyNumberFormat="1" applyFont="1" applyFill="1" applyBorder="1" applyAlignment="1">
      <alignment horizontal="center"/>
    </xf>
    <xf numFmtId="0" fontId="6" fillId="0" borderId="6" xfId="0" quotePrefix="1" applyNumberFormat="1" applyFont="1" applyFill="1" applyBorder="1" applyAlignment="1">
      <alignment horizontal="center"/>
    </xf>
    <xf numFmtId="168" fontId="6" fillId="0" borderId="33" xfId="0" quotePrefix="1" applyNumberFormat="1" applyFont="1" applyFill="1" applyBorder="1" applyAlignment="1">
      <alignment horizontal="center"/>
    </xf>
    <xf numFmtId="168" fontId="27" fillId="0" borderId="26" xfId="0" quotePrefix="1" applyNumberFormat="1" applyFont="1" applyFill="1" applyBorder="1" applyAlignment="1">
      <alignment horizontal="center"/>
    </xf>
    <xf numFmtId="168" fontId="27" fillId="0" borderId="18" xfId="0" quotePrefix="1" applyNumberFormat="1" applyFont="1" applyFill="1" applyBorder="1" applyAlignment="1">
      <alignment horizontal="center"/>
    </xf>
    <xf numFmtId="0" fontId="25" fillId="0" borderId="4" xfId="0" applyNumberFormat="1" applyFont="1" applyFill="1" applyBorder="1" applyAlignment="1">
      <alignment horizontal="center"/>
    </xf>
    <xf numFmtId="175" fontId="25" fillId="0" borderId="4" xfId="0" applyNumberFormat="1" applyFont="1" applyFill="1" applyBorder="1" applyAlignment="1">
      <alignment horizontal="center"/>
    </xf>
    <xf numFmtId="0" fontId="6" fillId="0" borderId="22" xfId="0" quotePrefix="1" applyNumberFormat="1" applyFont="1" applyFill="1" applyBorder="1" applyAlignment="1">
      <alignment horizontal="center"/>
    </xf>
    <xf numFmtId="168" fontId="2" fillId="0" borderId="69" xfId="0" quotePrefix="1" applyNumberFormat="1" applyFont="1" applyFill="1" applyBorder="1" applyAlignment="1">
      <alignment horizontal="center" wrapText="1"/>
    </xf>
    <xf numFmtId="168" fontId="2" fillId="0" borderId="75" xfId="0" quotePrefix="1" applyNumberFormat="1" applyFont="1" applyFill="1" applyBorder="1" applyAlignment="1">
      <alignment horizontal="center"/>
    </xf>
    <xf numFmtId="168" fontId="2" fillId="0" borderId="74" xfId="0" quotePrefix="1" applyNumberFormat="1" applyFont="1" applyFill="1" applyBorder="1" applyAlignment="1">
      <alignment horizontal="center"/>
    </xf>
    <xf numFmtId="168" fontId="2" fillId="0" borderId="148" xfId="0" quotePrefix="1" applyNumberFormat="1" applyFont="1" applyFill="1" applyBorder="1" applyAlignment="1">
      <alignment horizontal="center"/>
    </xf>
    <xf numFmtId="0" fontId="6" fillId="0" borderId="37" xfId="0" quotePrefix="1" applyNumberFormat="1" applyFont="1" applyFill="1" applyBorder="1" applyAlignment="1">
      <alignment horizontal="center"/>
    </xf>
    <xf numFmtId="0" fontId="6" fillId="0" borderId="30" xfId="0" quotePrefix="1" applyNumberFormat="1" applyFont="1" applyFill="1" applyBorder="1" applyAlignment="1">
      <alignment horizontal="center"/>
    </xf>
    <xf numFmtId="168" fontId="6" fillId="0" borderId="0" xfId="0" quotePrefix="1" applyNumberFormat="1" applyFont="1" applyFill="1" applyBorder="1" applyAlignment="1">
      <alignment horizontal="center"/>
    </xf>
    <xf numFmtId="0" fontId="2" fillId="0" borderId="6" xfId="0" quotePrefix="1" applyNumberFormat="1" applyFont="1" applyFill="1" applyBorder="1" applyAlignment="1">
      <alignment horizontal="center"/>
    </xf>
    <xf numFmtId="0" fontId="6" fillId="0" borderId="23" xfId="0" quotePrefix="1" applyNumberFormat="1" applyFont="1" applyFill="1" applyBorder="1" applyAlignment="1">
      <alignment horizontal="center"/>
    </xf>
    <xf numFmtId="0" fontId="6" fillId="0" borderId="28" xfId="0" quotePrefix="1" applyNumberFormat="1" applyFont="1" applyFill="1" applyBorder="1" applyAlignment="1">
      <alignment horizontal="center"/>
    </xf>
    <xf numFmtId="0" fontId="2" fillId="0" borderId="137" xfId="0" applyFont="1" applyFill="1" applyBorder="1"/>
    <xf numFmtId="3" fontId="6" fillId="0" borderId="61" xfId="0" applyNumberFormat="1" applyFont="1" applyFill="1" applyBorder="1" applyAlignment="1">
      <alignment horizontal="center"/>
    </xf>
    <xf numFmtId="3" fontId="6" fillId="0" borderId="3" xfId="0" applyNumberFormat="1" applyFont="1" applyFill="1" applyBorder="1" applyAlignment="1">
      <alignment horizontal="center"/>
    </xf>
    <xf numFmtId="0" fontId="0" fillId="0" borderId="28" xfId="0" applyFill="1" applyBorder="1"/>
    <xf numFmtId="168" fontId="6" fillId="0" borderId="2" xfId="0" applyNumberFormat="1" applyFont="1" applyFill="1" applyBorder="1"/>
    <xf numFmtId="3" fontId="0" fillId="0" borderId="19" xfId="0" applyNumberFormat="1" applyFill="1" applyBorder="1"/>
    <xf numFmtId="0" fontId="0" fillId="0" borderId="32" xfId="0" applyFill="1" applyBorder="1"/>
    <xf numFmtId="0" fontId="33" fillId="0" borderId="0" xfId="0" applyFont="1" applyFill="1"/>
    <xf numFmtId="10" fontId="4" fillId="0" borderId="4" xfId="4" applyNumberFormat="1" applyFont="1" applyFill="1" applyBorder="1"/>
    <xf numFmtId="9" fontId="4" fillId="0" borderId="4" xfId="0" applyNumberFormat="1" applyFont="1" applyFill="1" applyBorder="1"/>
    <xf numFmtId="167" fontId="4" fillId="0" borderId="4" xfId="0" applyNumberFormat="1" applyFont="1" applyFill="1" applyBorder="1"/>
    <xf numFmtId="167" fontId="4" fillId="0" borderId="3" xfId="0" applyNumberFormat="1" applyFont="1" applyFill="1" applyBorder="1" applyAlignment="1">
      <alignment horizontal="center"/>
    </xf>
    <xf numFmtId="173" fontId="4" fillId="0" borderId="3" xfId="0" applyNumberFormat="1" applyFont="1" applyFill="1" applyBorder="1" applyAlignment="1">
      <alignment horizontal="center"/>
    </xf>
    <xf numFmtId="174" fontId="4" fillId="0" borderId="4" xfId="0" applyNumberFormat="1" applyFont="1" applyFill="1" applyBorder="1"/>
    <xf numFmtId="2" fontId="6" fillId="0" borderId="4" xfId="0" applyNumberFormat="1" applyFont="1" applyFill="1" applyBorder="1"/>
    <xf numFmtId="180" fontId="6" fillId="0" borderId="4" xfId="0" applyNumberFormat="1" applyFont="1" applyFill="1" applyBorder="1"/>
    <xf numFmtId="3" fontId="0" fillId="0" borderId="90" xfId="0" applyNumberFormat="1" applyFill="1" applyBorder="1"/>
    <xf numFmtId="10" fontId="6" fillId="0" borderId="4" xfId="4" applyNumberFormat="1" applyFont="1" applyFill="1" applyBorder="1"/>
    <xf numFmtId="168" fontId="0" fillId="0" borderId="90" xfId="0" applyNumberFormat="1" applyFill="1" applyBorder="1"/>
    <xf numFmtId="10" fontId="6" fillId="0" borderId="4" xfId="0" applyNumberFormat="1" applyFont="1" applyFill="1" applyBorder="1"/>
    <xf numFmtId="0" fontId="10" fillId="0" borderId="0" xfId="0" applyFont="1" applyFill="1"/>
    <xf numFmtId="0" fontId="35" fillId="0" borderId="0" xfId="0" applyFont="1" applyFill="1"/>
    <xf numFmtId="3" fontId="6" fillId="0" borderId="74" xfId="0" applyNumberFormat="1" applyFont="1" applyFill="1" applyBorder="1"/>
    <xf numFmtId="170" fontId="4" fillId="0" borderId="3" xfId="0" applyNumberFormat="1" applyFont="1" applyFill="1" applyBorder="1"/>
    <xf numFmtId="3" fontId="0" fillId="0" borderId="36" xfId="0" applyNumberFormat="1" applyFill="1" applyBorder="1"/>
    <xf numFmtId="0" fontId="28" fillId="0" borderId="34" xfId="0" applyFont="1" applyFill="1" applyBorder="1" applyAlignment="1">
      <alignment horizontal="justify" vertical="center"/>
    </xf>
    <xf numFmtId="180" fontId="28" fillId="0" borderId="4" xfId="0" applyNumberFormat="1" applyFont="1" applyFill="1" applyBorder="1" applyAlignment="1">
      <alignment horizontal="right" vertical="center"/>
    </xf>
    <xf numFmtId="10" fontId="28" fillId="0" borderId="4" xfId="0" applyNumberFormat="1" applyFont="1" applyFill="1" applyBorder="1" applyAlignment="1">
      <alignment horizontal="right" vertical="center"/>
    </xf>
    <xf numFmtId="2" fontId="28" fillId="0" borderId="4" xfId="0" applyNumberFormat="1" applyFont="1" applyFill="1" applyBorder="1" applyAlignment="1">
      <alignment horizontal="right" vertical="center"/>
    </xf>
    <xf numFmtId="0" fontId="27" fillId="0" borderId="34" xfId="0" applyFont="1" applyFill="1" applyBorder="1" applyAlignment="1">
      <alignment horizontal="justify" vertical="center"/>
    </xf>
    <xf numFmtId="168" fontId="0" fillId="0" borderId="11" xfId="0" applyNumberFormat="1" applyFill="1" applyBorder="1"/>
    <xf numFmtId="168" fontId="0" fillId="0" borderId="36" xfId="0" applyNumberFormat="1" applyFill="1" applyBorder="1"/>
    <xf numFmtId="0" fontId="27" fillId="0" borderId="113" xfId="0" applyFont="1" applyFill="1" applyBorder="1" applyAlignment="1">
      <alignment horizontal="justify" vertical="center"/>
    </xf>
    <xf numFmtId="3" fontId="2" fillId="0" borderId="69" xfId="0" applyNumberFormat="1" applyFont="1" applyFill="1" applyBorder="1"/>
    <xf numFmtId="9" fontId="46" fillId="0" borderId="3" xfId="4" applyNumberFormat="1" applyFont="1" applyFill="1" applyBorder="1"/>
    <xf numFmtId="3" fontId="2" fillId="0" borderId="3" xfId="0" applyNumberFormat="1" applyFont="1" applyFill="1" applyBorder="1"/>
    <xf numFmtId="10" fontId="45" fillId="0" borderId="4" xfId="4" applyNumberFormat="1" applyFont="1" applyFill="1" applyBorder="1"/>
    <xf numFmtId="9" fontId="45" fillId="0" borderId="4" xfId="4" applyNumberFormat="1" applyFont="1" applyFill="1" applyBorder="1"/>
    <xf numFmtId="9" fontId="45" fillId="0" borderId="4" xfId="0" applyNumberFormat="1" applyFont="1" applyFill="1" applyBorder="1"/>
    <xf numFmtId="167" fontId="45" fillId="0" borderId="4" xfId="4" applyNumberFormat="1" applyFont="1" applyFill="1" applyBorder="1"/>
    <xf numFmtId="0" fontId="27" fillId="0" borderId="3" xfId="0" applyFont="1" applyFill="1" applyBorder="1" applyAlignment="1">
      <alignment vertical="top" wrapText="1"/>
    </xf>
    <xf numFmtId="0" fontId="28" fillId="0" borderId="3" xfId="0" applyFont="1" applyFill="1" applyBorder="1" applyAlignment="1">
      <alignment vertical="top" wrapText="1"/>
    </xf>
    <xf numFmtId="168" fontId="2" fillId="0" borderId="23" xfId="0" applyNumberFormat="1" applyFont="1" applyFill="1" applyBorder="1" applyProtection="1">
      <protection locked="0"/>
    </xf>
    <xf numFmtId="168" fontId="2" fillId="0" borderId="29" xfId="0" applyNumberFormat="1" applyFont="1" applyFill="1" applyBorder="1" applyProtection="1">
      <protection locked="0"/>
    </xf>
    <xf numFmtId="168" fontId="2" fillId="0" borderId="29" xfId="0" applyNumberFormat="1" applyFont="1" applyFill="1" applyBorder="1" applyAlignment="1" applyProtection="1">
      <alignment horizontal="center"/>
      <protection locked="0"/>
    </xf>
    <xf numFmtId="168" fontId="4" fillId="0" borderId="63" xfId="0" applyNumberFormat="1" applyFont="1" applyFill="1" applyBorder="1"/>
    <xf numFmtId="168" fontId="4" fillId="0" borderId="38" xfId="0" applyNumberFormat="1" applyFont="1" applyFill="1" applyBorder="1"/>
    <xf numFmtId="168" fontId="4" fillId="0" borderId="32" xfId="0" applyNumberFormat="1" applyFont="1" applyFill="1" applyBorder="1"/>
    <xf numFmtId="168" fontId="2" fillId="0" borderId="29" xfId="0" applyNumberFormat="1" applyFont="1" applyFill="1" applyBorder="1" applyAlignment="1" applyProtection="1">
      <alignment horizontal="right"/>
      <protection locked="0"/>
    </xf>
    <xf numFmtId="0" fontId="40" fillId="0" borderId="0" xfId="0" applyFont="1" applyFill="1" applyAlignment="1">
      <alignment horizontal="justify" vertical="center"/>
    </xf>
    <xf numFmtId="10" fontId="28" fillId="0" borderId="0" xfId="0" applyNumberFormat="1" applyFont="1" applyFill="1" applyAlignment="1">
      <alignment horizontal="justify" vertical="center"/>
    </xf>
    <xf numFmtId="9" fontId="46" fillId="0" borderId="4" xfId="0" applyNumberFormat="1" applyFont="1" applyFill="1" applyBorder="1"/>
    <xf numFmtId="0" fontId="6" fillId="0" borderId="122" xfId="0" applyFont="1" applyFill="1" applyBorder="1" applyAlignment="1">
      <alignment horizontal="centerContinuous"/>
    </xf>
    <xf numFmtId="0" fontId="6" fillId="0" borderId="18" xfId="0" applyFont="1" applyFill="1" applyBorder="1" applyAlignment="1">
      <alignment horizontal="center"/>
    </xf>
    <xf numFmtId="0" fontId="6" fillId="0" borderId="14" xfId="0" applyFont="1" applyFill="1" applyBorder="1" applyAlignment="1">
      <alignment horizontal="center"/>
    </xf>
    <xf numFmtId="0" fontId="6" fillId="0" borderId="84" xfId="0" applyFont="1" applyFill="1" applyBorder="1" applyAlignment="1">
      <alignment horizontal="center"/>
    </xf>
    <xf numFmtId="0" fontId="0" fillId="0" borderId="1" xfId="0" applyBorder="1"/>
    <xf numFmtId="0" fontId="0" fillId="0" borderId="0" xfId="0" applyBorder="1"/>
    <xf numFmtId="0" fontId="0" fillId="0" borderId="6" xfId="0" applyBorder="1"/>
    <xf numFmtId="0" fontId="27" fillId="0" borderId="0" xfId="0" applyFont="1" applyFill="1" applyBorder="1" applyAlignment="1">
      <alignment vertical="top" wrapText="1"/>
    </xf>
    <xf numFmtId="0" fontId="2" fillId="0" borderId="0" xfId="0" applyFont="1" applyBorder="1"/>
    <xf numFmtId="168" fontId="2" fillId="0" borderId="6" xfId="0" quotePrefix="1" applyNumberFormat="1" applyFont="1" applyFill="1" applyBorder="1" applyAlignment="1">
      <alignment horizontal="center" wrapText="1"/>
    </xf>
    <xf numFmtId="168" fontId="0" fillId="0" borderId="6" xfId="0" applyNumberFormat="1" applyFill="1" applyBorder="1"/>
    <xf numFmtId="168" fontId="0" fillId="0" borderId="10" xfId="0" applyNumberFormat="1" applyFill="1" applyBorder="1"/>
    <xf numFmtId="168" fontId="5" fillId="0" borderId="1" xfId="0" applyNumberFormat="1" applyFont="1" applyFill="1" applyBorder="1" applyAlignment="1">
      <alignment horizontal="center"/>
    </xf>
    <xf numFmtId="168" fontId="5" fillId="0" borderId="6" xfId="0" applyNumberFormat="1" applyFont="1" applyFill="1" applyBorder="1" applyAlignment="1">
      <alignment horizontal="center"/>
    </xf>
    <xf numFmtId="168" fontId="2" fillId="0" borderId="141" xfId="0" applyNumberFormat="1" applyFont="1" applyFill="1" applyBorder="1" applyAlignment="1">
      <alignment horizontal="center"/>
    </xf>
    <xf numFmtId="168" fontId="2" fillId="0" borderId="2" xfId="0" applyNumberFormat="1" applyFont="1" applyFill="1" applyBorder="1" applyAlignment="1">
      <alignment horizontal="center"/>
    </xf>
    <xf numFmtId="168" fontId="0" fillId="0" borderId="3" xfId="1" applyNumberFormat="1" applyFont="1" applyFill="1" applyBorder="1"/>
    <xf numFmtId="168" fontId="2" fillId="0" borderId="3" xfId="1" applyNumberFormat="1" applyFont="1" applyFill="1" applyBorder="1"/>
    <xf numFmtId="0" fontId="27" fillId="0" borderId="29" xfId="0" applyFont="1" applyFill="1" applyBorder="1" applyAlignment="1">
      <alignment vertical="top" wrapText="1"/>
    </xf>
    <xf numFmtId="0" fontId="27" fillId="0" borderId="18" xfId="0" applyFont="1" applyFill="1" applyBorder="1" applyAlignment="1">
      <alignment vertical="top" wrapText="1"/>
    </xf>
    <xf numFmtId="168" fontId="6" fillId="0" borderId="6" xfId="0" applyNumberFormat="1" applyFont="1" applyFill="1" applyBorder="1"/>
    <xf numFmtId="0" fontId="2" fillId="0" borderId="6" xfId="0" applyFont="1" applyBorder="1"/>
    <xf numFmtId="168" fontId="0" fillId="11" borderId="0" xfId="0" applyNumberFormat="1" applyFill="1" applyAlignment="1">
      <alignment horizontal="center"/>
    </xf>
    <xf numFmtId="168" fontId="6" fillId="11" borderId="3" xfId="0" quotePrefix="1" applyNumberFormat="1" applyFont="1" applyFill="1" applyBorder="1" applyAlignment="1">
      <alignment horizontal="center"/>
    </xf>
    <xf numFmtId="168" fontId="5" fillId="11" borderId="3" xfId="0" applyNumberFormat="1" applyFont="1" applyFill="1" applyBorder="1"/>
    <xf numFmtId="168" fontId="6" fillId="11" borderId="29" xfId="0" applyNumberFormat="1" applyFont="1" applyFill="1" applyBorder="1"/>
    <xf numFmtId="168" fontId="5" fillId="11" borderId="11" xfId="0" applyNumberFormat="1" applyFont="1" applyFill="1" applyBorder="1"/>
    <xf numFmtId="168" fontId="5" fillId="11" borderId="0" xfId="0" applyNumberFormat="1" applyFont="1" applyFill="1" applyBorder="1"/>
    <xf numFmtId="168" fontId="4" fillId="11" borderId="3" xfId="0" applyNumberFormat="1" applyFont="1" applyFill="1" applyBorder="1"/>
    <xf numFmtId="168" fontId="2" fillId="11" borderId="18" xfId="0" quotePrefix="1" applyNumberFormat="1" applyFont="1" applyFill="1" applyBorder="1" applyAlignment="1">
      <alignment horizontal="center"/>
    </xf>
    <xf numFmtId="168" fontId="2" fillId="11" borderId="3" xfId="0" applyNumberFormat="1" applyFont="1" applyFill="1" applyBorder="1"/>
    <xf numFmtId="168" fontId="5" fillId="11" borderId="4" xfId="0" applyNumberFormat="1" applyFont="1" applyFill="1" applyBorder="1"/>
    <xf numFmtId="168" fontId="5" fillId="11" borderId="0" xfId="0" applyNumberFormat="1" applyFont="1" applyFill="1"/>
    <xf numFmtId="168" fontId="6" fillId="11" borderId="4" xfId="0" applyNumberFormat="1" applyFont="1" applyFill="1" applyBorder="1"/>
    <xf numFmtId="168" fontId="0" fillId="0" borderId="0" xfId="0" applyNumberFormat="1" applyFill="1" applyAlignment="1">
      <alignment horizontal="center"/>
    </xf>
    <xf numFmtId="168" fontId="2" fillId="0" borderId="36" xfId="0" applyNumberFormat="1" applyFont="1" applyFill="1" applyBorder="1" applyAlignment="1">
      <alignment horizontal="center"/>
    </xf>
    <xf numFmtId="167" fontId="2" fillId="0" borderId="19" xfId="4" applyNumberFormat="1" applyFont="1" applyFill="1" applyBorder="1" applyAlignment="1">
      <alignment horizontal="center"/>
    </xf>
    <xf numFmtId="0" fontId="0" fillId="11" borderId="0" xfId="0" applyFill="1"/>
    <xf numFmtId="168" fontId="2" fillId="11" borderId="2" xfId="0" quotePrefix="1" applyNumberFormat="1" applyFont="1" applyFill="1" applyBorder="1" applyAlignment="1">
      <alignment horizontal="center"/>
    </xf>
    <xf numFmtId="168" fontId="5" fillId="11" borderId="19" xfId="0" applyNumberFormat="1" applyFont="1" applyFill="1" applyBorder="1"/>
    <xf numFmtId="168" fontId="2" fillId="0" borderId="68" xfId="0" applyNumberFormat="1" applyFont="1" applyBorder="1" applyAlignment="1">
      <alignment horizontal="center"/>
    </xf>
    <xf numFmtId="168" fontId="2" fillId="11" borderId="56" xfId="0" applyNumberFormat="1" applyFont="1" applyFill="1" applyBorder="1"/>
    <xf numFmtId="0" fontId="6" fillId="11" borderId="61" xfId="0" quotePrefix="1" applyFont="1" applyFill="1" applyBorder="1" applyAlignment="1">
      <alignment horizontal="center"/>
    </xf>
    <xf numFmtId="168" fontId="4" fillId="11" borderId="3" xfId="1" applyNumberFormat="1" applyFont="1" applyFill="1" applyBorder="1"/>
    <xf numFmtId="38" fontId="6" fillId="11" borderId="69" xfId="1" applyNumberFormat="1" applyFont="1" applyFill="1" applyBorder="1"/>
    <xf numFmtId="38" fontId="5" fillId="11" borderId="0" xfId="0" applyNumberFormat="1" applyFont="1" applyFill="1"/>
    <xf numFmtId="168" fontId="6" fillId="11" borderId="0" xfId="0" applyNumberFormat="1" applyFont="1" applyFill="1" applyAlignment="1">
      <alignment horizontal="center"/>
    </xf>
    <xf numFmtId="0" fontId="5" fillId="11" borderId="0" xfId="0" applyFont="1" applyFill="1"/>
    <xf numFmtId="38" fontId="2" fillId="11" borderId="0" xfId="0" applyNumberFormat="1" applyFont="1" applyFill="1"/>
    <xf numFmtId="168" fontId="5" fillId="11" borderId="117" xfId="0" applyNumberFormat="1" applyFont="1" applyFill="1" applyBorder="1"/>
    <xf numFmtId="168" fontId="4" fillId="11" borderId="4" xfId="1" applyNumberFormat="1" applyFont="1" applyFill="1" applyBorder="1"/>
    <xf numFmtId="168" fontId="5" fillId="11" borderId="3" xfId="1" applyNumberFormat="1" applyFont="1" applyFill="1" applyBorder="1"/>
    <xf numFmtId="38" fontId="5" fillId="11" borderId="11" xfId="0" applyNumberFormat="1" applyFont="1" applyFill="1" applyBorder="1"/>
    <xf numFmtId="38" fontId="6" fillId="11" borderId="0" xfId="0" applyNumberFormat="1" applyFont="1" applyFill="1"/>
    <xf numFmtId="166" fontId="5" fillId="11" borderId="0" xfId="1" applyNumberFormat="1" applyFont="1" applyFill="1"/>
    <xf numFmtId="167" fontId="5" fillId="11" borderId="0" xfId="4" applyNumberFormat="1" applyFont="1" applyFill="1"/>
    <xf numFmtId="178" fontId="5" fillId="11" borderId="0" xfId="0" applyNumberFormat="1" applyFont="1" applyFill="1"/>
    <xf numFmtId="168" fontId="6" fillId="11" borderId="17" xfId="0" quotePrefix="1" applyNumberFormat="1" applyFont="1" applyFill="1" applyBorder="1" applyAlignment="1">
      <alignment horizontal="center"/>
    </xf>
    <xf numFmtId="168" fontId="6" fillId="11" borderId="30" xfId="0" applyNumberFormat="1" applyFont="1" applyFill="1" applyBorder="1"/>
    <xf numFmtId="168" fontId="6" fillId="11" borderId="90" xfId="0" applyNumberFormat="1" applyFont="1" applyFill="1" applyBorder="1"/>
    <xf numFmtId="168" fontId="5" fillId="11" borderId="17" xfId="0" applyNumberFormat="1" applyFont="1" applyFill="1" applyBorder="1"/>
    <xf numFmtId="168" fontId="5" fillId="11" borderId="36" xfId="0" applyNumberFormat="1" applyFont="1" applyFill="1" applyBorder="1"/>
    <xf numFmtId="168" fontId="5" fillId="11" borderId="115" xfId="0" applyNumberFormat="1" applyFont="1" applyFill="1" applyBorder="1"/>
    <xf numFmtId="0" fontId="49" fillId="0" borderId="212" xfId="0" applyFont="1" applyFill="1" applyBorder="1" applyAlignment="1">
      <alignment horizontal="center"/>
    </xf>
    <xf numFmtId="0" fontId="0" fillId="0" borderId="213" xfId="0" applyFill="1" applyBorder="1" applyAlignment="1"/>
    <xf numFmtId="0" fontId="0" fillId="0" borderId="214" xfId="0" applyFill="1" applyBorder="1" applyAlignment="1"/>
    <xf numFmtId="164" fontId="6" fillId="0" borderId="4" xfId="1" applyFont="1" applyFill="1" applyBorder="1" applyAlignment="1">
      <alignment horizontal="center"/>
    </xf>
    <xf numFmtId="1" fontId="2" fillId="0" borderId="19" xfId="0" applyNumberFormat="1" applyFont="1" applyFill="1" applyBorder="1"/>
    <xf numFmtId="0" fontId="4" fillId="0" borderId="213" xfId="0" applyFont="1" applyFill="1" applyBorder="1" applyAlignment="1"/>
    <xf numFmtId="164" fontId="0" fillId="0" borderId="213" xfId="1" applyFont="1" applyFill="1" applyBorder="1" applyAlignment="1"/>
    <xf numFmtId="164" fontId="49" fillId="0" borderId="212" xfId="1" applyFont="1" applyFill="1" applyBorder="1" applyAlignment="1">
      <alignment horizontal="center"/>
    </xf>
    <xf numFmtId="164" fontId="0" fillId="0" borderId="0" xfId="1" applyFont="1"/>
    <xf numFmtId="168" fontId="4" fillId="12" borderId="4" xfId="0" applyNumberFormat="1" applyFont="1" applyFill="1" applyBorder="1"/>
    <xf numFmtId="164" fontId="5" fillId="0" borderId="0" xfId="1" applyFont="1" applyFill="1" applyBorder="1" applyAlignment="1">
      <alignment horizontal="center"/>
    </xf>
    <xf numFmtId="168" fontId="4" fillId="0" borderId="0" xfId="0" applyNumberFormat="1" applyFont="1" applyAlignment="1">
      <alignment horizontal="left"/>
    </xf>
    <xf numFmtId="8" fontId="4" fillId="0" borderId="0" xfId="0" applyNumberFormat="1" applyFont="1" applyFill="1" applyAlignment="1">
      <alignment horizontal="center"/>
    </xf>
    <xf numFmtId="168" fontId="2" fillId="0" borderId="19" xfId="0" applyNumberFormat="1" applyFont="1" applyFill="1" applyBorder="1"/>
    <xf numFmtId="168" fontId="2" fillId="0" borderId="5" xfId="0" applyNumberFormat="1" applyFont="1" applyFill="1" applyBorder="1"/>
    <xf numFmtId="168" fontId="2" fillId="0" borderId="3" xfId="0" quotePrefix="1" applyNumberFormat="1" applyFont="1" applyFill="1" applyBorder="1" applyAlignment="1">
      <alignment horizontal="center" wrapText="1"/>
    </xf>
    <xf numFmtId="166" fontId="4" fillId="0" borderId="4" xfId="1" applyNumberFormat="1" applyFont="1" applyFill="1" applyBorder="1" applyAlignment="1"/>
    <xf numFmtId="168" fontId="4" fillId="0" borderId="40" xfId="0" applyNumberFormat="1" applyFont="1" applyFill="1" applyBorder="1" applyAlignment="1">
      <alignment horizontal="center"/>
    </xf>
    <xf numFmtId="15" fontId="4" fillId="0" borderId="34" xfId="0" applyNumberFormat="1" applyFont="1" applyFill="1" applyBorder="1" applyAlignment="1">
      <alignment horizontal="left"/>
    </xf>
    <xf numFmtId="166" fontId="4" fillId="0" borderId="3" xfId="1" applyNumberFormat="1" applyFont="1" applyFill="1" applyBorder="1"/>
    <xf numFmtId="168" fontId="4" fillId="12" borderId="0" xfId="0" applyNumberFormat="1" applyFont="1" applyFill="1" applyBorder="1" applyAlignment="1"/>
    <xf numFmtId="168" fontId="4" fillId="12" borderId="0" xfId="0" applyNumberFormat="1" applyFont="1" applyFill="1" applyBorder="1" applyAlignment="1">
      <alignment horizontal="left"/>
    </xf>
    <xf numFmtId="168" fontId="4" fillId="0" borderId="0" xfId="0" applyNumberFormat="1" applyFont="1" applyFill="1"/>
    <xf numFmtId="168" fontId="4" fillId="0" borderId="0" xfId="0" applyNumberFormat="1" applyFont="1" applyAlignment="1">
      <alignment horizontal="left"/>
    </xf>
    <xf numFmtId="168" fontId="4" fillId="0" borderId="0" xfId="0" applyNumberFormat="1" applyFont="1" applyAlignment="1">
      <alignment horizontal="left"/>
    </xf>
    <xf numFmtId="168" fontId="4" fillId="0" borderId="0" xfId="0" applyNumberFormat="1" applyFont="1" applyAlignment="1">
      <alignment horizontal="left"/>
    </xf>
    <xf numFmtId="168" fontId="0" fillId="0" borderId="0" xfId="0" applyNumberFormat="1" applyAlignment="1">
      <alignment horizontal="left"/>
    </xf>
    <xf numFmtId="1" fontId="6" fillId="0" borderId="29" xfId="0" applyNumberFormat="1" applyFont="1" applyFill="1" applyBorder="1" applyAlignment="1">
      <alignment horizontal="center"/>
    </xf>
    <xf numFmtId="168" fontId="6" fillId="0" borderId="84" xfId="0" applyNumberFormat="1" applyFont="1" applyFill="1" applyBorder="1" applyAlignment="1">
      <alignment horizontal="center"/>
    </xf>
    <xf numFmtId="168" fontId="6" fillId="0" borderId="209" xfId="0" applyNumberFormat="1" applyFont="1" applyFill="1" applyBorder="1" applyAlignment="1">
      <alignment horizontal="center"/>
    </xf>
    <xf numFmtId="168" fontId="6" fillId="0" borderId="0" xfId="0" applyNumberFormat="1" applyFont="1" applyFill="1" applyBorder="1" applyAlignment="1">
      <alignment horizontal="center"/>
    </xf>
    <xf numFmtId="168" fontId="2" fillId="0" borderId="0" xfId="0" applyNumberFormat="1" applyFont="1" applyFill="1" applyAlignment="1">
      <alignment horizontal="center"/>
    </xf>
    <xf numFmtId="168" fontId="2" fillId="0" borderId="6" xfId="0" applyNumberFormat="1" applyFont="1" applyFill="1" applyBorder="1" applyAlignment="1">
      <alignment horizontal="center"/>
    </xf>
    <xf numFmtId="168" fontId="2" fillId="0" borderId="0" xfId="0" applyNumberFormat="1" applyFont="1" applyFill="1" applyBorder="1" applyAlignment="1">
      <alignment horizontal="center"/>
    </xf>
    <xf numFmtId="168" fontId="6" fillId="0" borderId="19" xfId="0" applyNumberFormat="1" applyFont="1" applyFill="1" applyBorder="1" applyAlignment="1">
      <alignment horizontal="left"/>
    </xf>
    <xf numFmtId="0" fontId="0" fillId="0" borderId="123" xfId="0" applyFill="1" applyBorder="1" applyAlignment="1">
      <alignment horizontal="center"/>
    </xf>
    <xf numFmtId="10" fontId="4" fillId="0" borderId="8" xfId="0" applyNumberFormat="1" applyFont="1" applyFill="1" applyBorder="1" applyAlignment="1">
      <alignment horizontal="right"/>
    </xf>
    <xf numFmtId="0" fontId="0" fillId="0" borderId="9" xfId="0" applyFill="1" applyBorder="1" applyAlignment="1">
      <alignment horizontal="right"/>
    </xf>
    <xf numFmtId="0" fontId="0" fillId="0" borderId="29" xfId="0" applyFill="1" applyBorder="1" applyAlignment="1">
      <alignment horizontal="center"/>
    </xf>
    <xf numFmtId="166" fontId="0" fillId="0" borderId="3" xfId="1" applyNumberFormat="1" applyFont="1" applyFill="1" applyBorder="1"/>
    <xf numFmtId="0" fontId="0" fillId="0" borderId="18" xfId="0" applyFill="1" applyBorder="1" applyAlignment="1">
      <alignment horizontal="right"/>
    </xf>
    <xf numFmtId="164" fontId="0" fillId="0" borderId="18" xfId="0" applyNumberFormat="1" applyFill="1" applyBorder="1" applyAlignment="1">
      <alignment horizontal="right"/>
    </xf>
    <xf numFmtId="1" fontId="6" fillId="0" borderId="15" xfId="0" applyNumberFormat="1" applyFont="1" applyFill="1" applyBorder="1" applyAlignment="1">
      <alignment horizontal="center"/>
    </xf>
    <xf numFmtId="1" fontId="6" fillId="0" borderId="0" xfId="0" applyNumberFormat="1" applyFont="1" applyFill="1" applyBorder="1" applyAlignment="1">
      <alignment horizontal="center"/>
    </xf>
    <xf numFmtId="168" fontId="6" fillId="0" borderId="94" xfId="0" quotePrefix="1" applyNumberFormat="1" applyFont="1" applyFill="1" applyBorder="1" applyAlignment="1">
      <alignment horizontal="center"/>
    </xf>
    <xf numFmtId="175" fontId="6" fillId="0" borderId="3" xfId="0" quotePrefix="1" applyNumberFormat="1" applyFont="1" applyFill="1" applyBorder="1" applyAlignment="1">
      <alignment horizontal="center"/>
    </xf>
    <xf numFmtId="175" fontId="5" fillId="0" borderId="29" xfId="0" applyNumberFormat="1" applyFont="1" applyFill="1" applyBorder="1" applyAlignment="1">
      <alignment horizontal="center"/>
    </xf>
    <xf numFmtId="168" fontId="4" fillId="0" borderId="10" xfId="0" applyNumberFormat="1" applyFont="1" applyFill="1" applyBorder="1"/>
    <xf numFmtId="168" fontId="2" fillId="0" borderId="45" xfId="0" applyNumberFormat="1" applyFont="1" applyFill="1" applyBorder="1" applyAlignment="1">
      <alignment horizontal="center"/>
    </xf>
    <xf numFmtId="0" fontId="2" fillId="0" borderId="15" xfId="0" applyNumberFormat="1" applyFont="1" applyFill="1" applyBorder="1" applyAlignment="1">
      <alignment horizontal="center"/>
    </xf>
    <xf numFmtId="0" fontId="4" fillId="0" borderId="123" xfId="0" applyFont="1" applyFill="1" applyBorder="1" applyAlignment="1"/>
    <xf numFmtId="0" fontId="4" fillId="0" borderId="1" xfId="0" applyFont="1" applyFill="1" applyBorder="1" applyAlignment="1"/>
    <xf numFmtId="3" fontId="0" fillId="0" borderId="8" xfId="0" applyNumberFormat="1" applyFill="1" applyBorder="1"/>
    <xf numFmtId="168" fontId="4" fillId="0" borderId="8" xfId="0" applyNumberFormat="1" applyFont="1" applyFill="1" applyBorder="1" applyAlignment="1">
      <alignment horizontal="right"/>
    </xf>
    <xf numFmtId="0" fontId="4" fillId="0" borderId="9" xfId="0" applyFont="1" applyFill="1" applyBorder="1" applyAlignment="1">
      <alignment horizontal="left"/>
    </xf>
    <xf numFmtId="168" fontId="4" fillId="0" borderId="29" xfId="0" applyNumberFormat="1" applyFont="1" applyFill="1" applyBorder="1"/>
    <xf numFmtId="168" fontId="6" fillId="0" borderId="87" xfId="0" applyNumberFormat="1" applyFont="1" applyFill="1" applyBorder="1" applyAlignment="1">
      <alignment horizontal="center"/>
    </xf>
    <xf numFmtId="168" fontId="6" fillId="0" borderId="82" xfId="0" applyNumberFormat="1" applyFont="1" applyFill="1" applyBorder="1" applyAlignment="1">
      <alignment horizontal="center"/>
    </xf>
    <xf numFmtId="168" fontId="6" fillId="0" borderId="45" xfId="0" applyNumberFormat="1" applyFont="1" applyFill="1" applyBorder="1" applyAlignment="1">
      <alignment horizontal="center"/>
    </xf>
    <xf numFmtId="168" fontId="6" fillId="0" borderId="87" xfId="0" applyNumberFormat="1" applyFont="1" applyFill="1" applyBorder="1" applyAlignment="1">
      <alignment horizontal="left"/>
    </xf>
    <xf numFmtId="168" fontId="4" fillId="0" borderId="7" xfId="0" applyNumberFormat="1" applyFont="1" applyFill="1" applyBorder="1" applyAlignment="1">
      <alignment horizontal="center"/>
    </xf>
    <xf numFmtId="0" fontId="6" fillId="0" borderId="131" xfId="0" applyFont="1" applyFill="1" applyBorder="1" applyAlignment="1">
      <alignment horizontal="center"/>
    </xf>
    <xf numFmtId="168" fontId="4" fillId="0" borderId="9" xfId="0" applyNumberFormat="1" applyFont="1" applyFill="1" applyBorder="1"/>
    <xf numFmtId="168" fontId="4" fillId="0" borderId="82" xfId="0" applyNumberFormat="1" applyFont="1" applyFill="1" applyBorder="1" applyAlignment="1">
      <alignment horizontal="center"/>
    </xf>
    <xf numFmtId="168" fontId="6" fillId="0" borderId="22" xfId="0" applyNumberFormat="1" applyFont="1" applyFill="1" applyBorder="1" applyAlignment="1">
      <alignment horizontal="center"/>
    </xf>
    <xf numFmtId="49" fontId="19" fillId="0" borderId="68" xfId="0" applyNumberFormat="1" applyFont="1" applyFill="1" applyBorder="1" applyAlignment="1"/>
    <xf numFmtId="49" fontId="19" fillId="0" borderId="88" xfId="0" applyNumberFormat="1" applyFont="1" applyFill="1" applyBorder="1" applyAlignment="1"/>
    <xf numFmtId="168" fontId="6" fillId="0" borderId="0" xfId="0" applyNumberFormat="1" applyFont="1" applyFill="1" applyBorder="1" applyAlignment="1">
      <alignment horizontal="center"/>
    </xf>
    <xf numFmtId="168" fontId="2" fillId="0" borderId="17" xfId="0" quotePrefix="1" applyNumberFormat="1" applyFont="1" applyFill="1" applyBorder="1" applyAlignment="1">
      <alignment horizontal="center"/>
    </xf>
    <xf numFmtId="49" fontId="19" fillId="0" borderId="159" xfId="0" applyNumberFormat="1" applyFont="1" applyFill="1" applyBorder="1" applyAlignment="1">
      <alignment horizontal="center"/>
    </xf>
    <xf numFmtId="49" fontId="19" fillId="0" borderId="68" xfId="0" applyNumberFormat="1" applyFont="1" applyFill="1" applyBorder="1" applyAlignment="1">
      <alignment horizontal="center"/>
    </xf>
    <xf numFmtId="168" fontId="2" fillId="0" borderId="0" xfId="0" applyNumberFormat="1" applyFont="1" applyFill="1" applyAlignment="1">
      <alignment horizontal="center"/>
    </xf>
    <xf numFmtId="0" fontId="6" fillId="0" borderId="14" xfId="0" applyFont="1" applyFill="1" applyBorder="1" applyAlignment="1">
      <alignment horizontal="center" vertical="center"/>
    </xf>
    <xf numFmtId="0" fontId="6" fillId="0" borderId="84" xfId="0" applyFont="1" applyFill="1" applyBorder="1" applyAlignment="1">
      <alignment horizontal="center" vertical="center"/>
    </xf>
    <xf numFmtId="0" fontId="2" fillId="0" borderId="14" xfId="0" applyFont="1" applyFill="1" applyBorder="1" applyAlignment="1">
      <alignment horizontal="center" vertical="center"/>
    </xf>
    <xf numFmtId="0" fontId="6" fillId="0" borderId="62" xfId="0" applyFont="1" applyFill="1" applyBorder="1" applyAlignment="1">
      <alignment horizontal="center" vertical="center"/>
    </xf>
    <xf numFmtId="0" fontId="6" fillId="0" borderId="64" xfId="0" applyFont="1" applyFill="1" applyBorder="1" applyAlignment="1">
      <alignment horizontal="center" vertical="center"/>
    </xf>
    <xf numFmtId="49" fontId="19" fillId="0" borderId="88" xfId="0" applyNumberFormat="1" applyFont="1" applyFill="1" applyBorder="1" applyAlignment="1">
      <alignment horizontal="center"/>
    </xf>
    <xf numFmtId="0" fontId="3" fillId="0" borderId="34" xfId="0"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6" fillId="0" borderId="0" xfId="0" applyFont="1" applyFill="1" applyAlignment="1">
      <alignment horizontal="center"/>
    </xf>
    <xf numFmtId="0" fontId="2" fillId="0" borderId="0" xfId="0" applyFont="1" applyFill="1" applyBorder="1" applyAlignment="1">
      <alignment horizontal="center"/>
    </xf>
    <xf numFmtId="0" fontId="2" fillId="0" borderId="1" xfId="0" applyFont="1" applyFill="1" applyBorder="1" applyAlignment="1">
      <alignment horizontal="center"/>
    </xf>
    <xf numFmtId="168" fontId="2" fillId="0" borderId="17" xfId="0" quotePrefix="1" applyNumberFormat="1" applyFont="1" applyFill="1" applyBorder="1" applyAlignment="1">
      <alignment horizontal="center"/>
    </xf>
    <xf numFmtId="0" fontId="2" fillId="0" borderId="116" xfId="0" applyFont="1" applyFill="1" applyBorder="1" applyAlignment="1">
      <alignment horizontal="center"/>
    </xf>
    <xf numFmtId="0" fontId="2" fillId="0" borderId="74" xfId="0" applyFont="1" applyFill="1" applyBorder="1" applyAlignment="1">
      <alignment horizontal="center"/>
    </xf>
    <xf numFmtId="0" fontId="2" fillId="0" borderId="0" xfId="0" applyFont="1" applyFill="1" applyBorder="1" applyAlignment="1">
      <alignment horizontal="center"/>
    </xf>
    <xf numFmtId="0" fontId="2" fillId="0" borderId="7" xfId="0" applyFont="1" applyFill="1" applyBorder="1" applyAlignment="1">
      <alignment horizontal="center"/>
    </xf>
    <xf numFmtId="0" fontId="2" fillId="0" borderId="64" xfId="0" applyFont="1" applyFill="1" applyBorder="1" applyAlignment="1">
      <alignment vertical="center"/>
    </xf>
    <xf numFmtId="0" fontId="2" fillId="0" borderId="14" xfId="0" applyFont="1" applyFill="1" applyBorder="1" applyAlignment="1">
      <alignment vertical="center"/>
    </xf>
    <xf numFmtId="168" fontId="2" fillId="0" borderId="68" xfId="0" applyNumberFormat="1" applyFont="1" applyBorder="1" applyAlignment="1">
      <alignment horizontal="center"/>
    </xf>
    <xf numFmtId="168" fontId="2" fillId="0" borderId="24" xfId="0" applyNumberFormat="1" applyFont="1" applyFill="1" applyBorder="1" applyAlignment="1">
      <alignment horizontal="center"/>
    </xf>
    <xf numFmtId="168" fontId="2" fillId="0" borderId="25" xfId="0" applyNumberFormat="1" applyFont="1" applyFill="1" applyBorder="1" applyAlignment="1">
      <alignment horizontal="center"/>
    </xf>
    <xf numFmtId="168" fontId="2" fillId="0" borderId="177" xfId="0" applyNumberFormat="1" applyFont="1" applyFill="1" applyBorder="1" applyAlignment="1">
      <alignment horizontal="center"/>
    </xf>
    <xf numFmtId="168" fontId="6" fillId="0" borderId="62" xfId="0" quotePrefix="1" applyNumberFormat="1" applyFont="1" applyFill="1" applyBorder="1" applyAlignment="1">
      <alignment horizontal="center"/>
    </xf>
    <xf numFmtId="168" fontId="6" fillId="0" borderId="84" xfId="0" quotePrefix="1" applyNumberFormat="1" applyFont="1" applyFill="1" applyBorder="1" applyAlignment="1">
      <alignment horizontal="center"/>
    </xf>
    <xf numFmtId="168" fontId="2" fillId="0" borderId="0" xfId="0" applyNumberFormat="1" applyFont="1" applyFill="1" applyAlignment="1">
      <alignment horizontal="center"/>
    </xf>
    <xf numFmtId="0" fontId="6" fillId="0" borderId="0" xfId="0" applyFont="1" applyFill="1" applyAlignment="1">
      <alignment horizontal="center"/>
    </xf>
    <xf numFmtId="168" fontId="2" fillId="0" borderId="7" xfId="0" applyNumberFormat="1" applyFont="1" applyFill="1" applyBorder="1" applyAlignment="1">
      <alignment horizontal="center"/>
    </xf>
    <xf numFmtId="168" fontId="2" fillId="0" borderId="0" xfId="0" applyNumberFormat="1" applyFont="1" applyFill="1" applyBorder="1" applyAlignment="1">
      <alignment horizontal="center"/>
    </xf>
    <xf numFmtId="168" fontId="2" fillId="0" borderId="8" xfId="0" applyNumberFormat="1" applyFont="1" applyFill="1" applyBorder="1" applyAlignment="1">
      <alignment horizontal="center"/>
    </xf>
    <xf numFmtId="0" fontId="4" fillId="0" borderId="1" xfId="0" applyFont="1" applyFill="1" applyBorder="1" applyAlignment="1">
      <alignment horizontal="right"/>
    </xf>
    <xf numFmtId="0" fontId="4" fillId="0" borderId="44" xfId="0" applyFont="1" applyFill="1" applyBorder="1" applyAlignment="1">
      <alignment horizontal="left"/>
    </xf>
    <xf numFmtId="0" fontId="4" fillId="0" borderId="8" xfId="0" applyFont="1" applyFill="1" applyBorder="1" applyAlignment="1">
      <alignment horizontal="left"/>
    </xf>
    <xf numFmtId="0" fontId="2" fillId="0" borderId="215" xfId="0" applyFont="1" applyFill="1" applyBorder="1" applyAlignment="1">
      <alignment horizontal="center"/>
    </xf>
    <xf numFmtId="0" fontId="2" fillId="0" borderId="157" xfId="0" applyFont="1" applyFill="1" applyBorder="1" applyAlignment="1">
      <alignment horizontal="left"/>
    </xf>
    <xf numFmtId="0" fontId="2" fillId="0" borderId="216" xfId="0" applyFont="1" applyFill="1" applyBorder="1" applyAlignment="1">
      <alignment horizontal="left"/>
    </xf>
    <xf numFmtId="0" fontId="2" fillId="0" borderId="83" xfId="0" applyFont="1" applyFill="1" applyBorder="1" applyAlignment="1">
      <alignment horizontal="center"/>
    </xf>
    <xf numFmtId="0" fontId="4" fillId="0" borderId="7" xfId="0" applyFont="1" applyFill="1" applyBorder="1" applyAlignment="1">
      <alignment horizontal="left"/>
    </xf>
    <xf numFmtId="0" fontId="2" fillId="0" borderId="7" xfId="0" applyFont="1" applyFill="1" applyBorder="1" applyAlignment="1">
      <alignment horizontal="left"/>
    </xf>
    <xf numFmtId="168" fontId="4" fillId="0" borderId="8" xfId="0" applyNumberFormat="1" applyFont="1" applyFill="1" applyBorder="1" applyAlignment="1">
      <alignment horizontal="left"/>
    </xf>
    <xf numFmtId="168" fontId="4" fillId="0" borderId="8" xfId="1" applyNumberFormat="1" applyFont="1" applyFill="1" applyBorder="1" applyAlignment="1"/>
    <xf numFmtId="168" fontId="4" fillId="0" borderId="8" xfId="0" applyNumberFormat="1" applyFont="1" applyFill="1" applyBorder="1" applyAlignment="1"/>
    <xf numFmtId="168" fontId="2" fillId="0" borderId="195" xfId="0" applyNumberFormat="1" applyFont="1" applyFill="1" applyBorder="1" applyAlignment="1">
      <alignment horizontal="right"/>
    </xf>
    <xf numFmtId="168" fontId="2" fillId="0" borderId="141" xfId="0" applyNumberFormat="1" applyFont="1" applyFill="1" applyBorder="1" applyAlignment="1">
      <alignment horizontal="right"/>
    </xf>
    <xf numFmtId="0" fontId="4" fillId="0" borderId="18" xfId="0" applyFont="1" applyFill="1" applyBorder="1" applyAlignment="1">
      <alignment horizontal="left"/>
    </xf>
    <xf numFmtId="168" fontId="4" fillId="0" borderId="22" xfId="0" applyNumberFormat="1" applyFont="1" applyFill="1" applyBorder="1" applyAlignment="1">
      <alignment horizontal="left"/>
    </xf>
    <xf numFmtId="168" fontId="4" fillId="0" borderId="17" xfId="0" applyNumberFormat="1" applyFont="1" applyFill="1" applyBorder="1" applyAlignment="1">
      <alignment horizontal="left"/>
    </xf>
    <xf numFmtId="168" fontId="4" fillId="0" borderId="6" xfId="0" applyNumberFormat="1" applyFont="1" applyFill="1" applyBorder="1" applyAlignment="1">
      <alignment horizontal="left"/>
    </xf>
    <xf numFmtId="168" fontId="4" fillId="0" borderId="10" xfId="0" applyNumberFormat="1" applyFont="1" applyFill="1" applyBorder="1" applyAlignment="1">
      <alignment horizontal="left"/>
    </xf>
    <xf numFmtId="168" fontId="2" fillId="0" borderId="82" xfId="0" quotePrefix="1" applyNumberFormat="1" applyFont="1" applyFill="1" applyBorder="1" applyAlignment="1">
      <alignment horizontal="center"/>
    </xf>
    <xf numFmtId="0" fontId="6" fillId="0" borderId="115" xfId="0" applyFont="1" applyFill="1" applyBorder="1" applyAlignment="1">
      <alignment horizontal="center"/>
    </xf>
    <xf numFmtId="0" fontId="6" fillId="0" borderId="117" xfId="0" applyFont="1" applyFill="1" applyBorder="1" applyAlignment="1">
      <alignment horizontal="center"/>
    </xf>
    <xf numFmtId="0" fontId="2" fillId="0" borderId="155" xfId="0" applyFont="1" applyFill="1" applyBorder="1" applyAlignment="1">
      <alignment horizontal="center"/>
    </xf>
    <xf numFmtId="0" fontId="6" fillId="0" borderId="215" xfId="0" applyFont="1" applyFill="1" applyBorder="1" applyAlignment="1">
      <alignment horizontal="center"/>
    </xf>
    <xf numFmtId="0" fontId="6" fillId="0" borderId="217" xfId="0" applyFont="1" applyFill="1" applyBorder="1" applyAlignment="1">
      <alignment horizontal="center"/>
    </xf>
    <xf numFmtId="0" fontId="6" fillId="0" borderId="114" xfId="0" applyFont="1" applyFill="1" applyBorder="1" applyAlignment="1">
      <alignment horizontal="center"/>
    </xf>
    <xf numFmtId="168" fontId="2" fillId="0" borderId="14" xfId="0" applyNumberFormat="1" applyFont="1" applyFill="1" applyBorder="1" applyAlignment="1"/>
    <xf numFmtId="168" fontId="2" fillId="0" borderId="61" xfId="0" quotePrefix="1" applyNumberFormat="1" applyFont="1" applyFill="1" applyBorder="1" applyAlignment="1">
      <alignment horizontal="center"/>
    </xf>
    <xf numFmtId="168" fontId="2" fillId="0" borderId="0" xfId="0" applyNumberFormat="1" applyFont="1" applyFill="1" applyAlignment="1">
      <alignment horizontal="center"/>
    </xf>
    <xf numFmtId="168" fontId="2" fillId="0" borderId="0" xfId="0" applyNumberFormat="1" applyFont="1" applyFill="1" applyBorder="1" applyAlignment="1">
      <alignment horizontal="center"/>
    </xf>
    <xf numFmtId="168" fontId="11" fillId="0" borderId="0" xfId="0" applyNumberFormat="1" applyFont="1" applyFill="1" applyBorder="1" applyAlignment="1">
      <alignment horizontal="center"/>
    </xf>
    <xf numFmtId="168" fontId="2" fillId="0" borderId="6" xfId="0" quotePrefix="1" applyNumberFormat="1" applyFont="1" applyFill="1" applyBorder="1" applyAlignment="1">
      <alignment horizontal="center"/>
    </xf>
    <xf numFmtId="168" fontId="2" fillId="0" borderId="17" xfId="0" quotePrefix="1" applyNumberFormat="1" applyFont="1" applyFill="1" applyBorder="1" applyAlignment="1">
      <alignment horizontal="center"/>
    </xf>
    <xf numFmtId="168" fontId="6" fillId="0" borderId="34" xfId="0" applyNumberFormat="1" applyFont="1" applyFill="1" applyBorder="1" applyAlignment="1">
      <alignment horizontal="center"/>
    </xf>
    <xf numFmtId="168" fontId="6" fillId="0" borderId="0" xfId="0" applyNumberFormat="1" applyFont="1" applyFill="1" applyBorder="1" applyAlignment="1">
      <alignment horizontal="center"/>
    </xf>
    <xf numFmtId="0" fontId="2" fillId="0" borderId="0" xfId="0" applyFont="1" applyFill="1" applyBorder="1" applyAlignment="1">
      <alignment horizontal="center"/>
    </xf>
    <xf numFmtId="168" fontId="2" fillId="0" borderId="7" xfId="0" applyNumberFormat="1" applyFont="1" applyFill="1" applyBorder="1" applyAlignment="1">
      <alignment horizontal="center"/>
    </xf>
    <xf numFmtId="168" fontId="6" fillId="0" borderId="31" xfId="0" applyNumberFormat="1" applyFont="1" applyFill="1" applyBorder="1"/>
    <xf numFmtId="168" fontId="6" fillId="0" borderId="194" xfId="0" applyNumberFormat="1" applyFont="1" applyFill="1" applyBorder="1"/>
    <xf numFmtId="168" fontId="5" fillId="0" borderId="220" xfId="0" applyNumberFormat="1" applyFont="1" applyFill="1" applyBorder="1"/>
    <xf numFmtId="168" fontId="5" fillId="0" borderId="81" xfId="0" applyNumberFormat="1" applyFont="1" applyFill="1" applyBorder="1"/>
    <xf numFmtId="168" fontId="4" fillId="0" borderId="13" xfId="0" applyNumberFormat="1" applyFont="1" applyFill="1" applyBorder="1"/>
    <xf numFmtId="168" fontId="2" fillId="0" borderId="31" xfId="0" applyNumberFormat="1" applyFont="1" applyFill="1" applyBorder="1"/>
    <xf numFmtId="168" fontId="2" fillId="0" borderId="13" xfId="0" applyNumberFormat="1" applyFont="1" applyFill="1" applyBorder="1"/>
    <xf numFmtId="168" fontId="2" fillId="0" borderId="194" xfId="0" applyNumberFormat="1" applyFont="1" applyFill="1" applyBorder="1"/>
    <xf numFmtId="168" fontId="4" fillId="0" borderId="220" xfId="0" applyNumberFormat="1" applyFont="1" applyFill="1" applyBorder="1"/>
    <xf numFmtId="168" fontId="4" fillId="0" borderId="81" xfId="0" applyNumberFormat="1" applyFont="1" applyFill="1" applyBorder="1"/>
    <xf numFmtId="168" fontId="4" fillId="0" borderId="13" xfId="0" applyNumberFormat="1" applyFont="1" applyFill="1" applyBorder="1" applyAlignment="1"/>
    <xf numFmtId="1" fontId="6" fillId="0" borderId="36" xfId="0" applyNumberFormat="1" applyFont="1" applyFill="1" applyBorder="1" applyAlignment="1">
      <alignment horizontal="center"/>
    </xf>
    <xf numFmtId="168" fontId="3" fillId="0" borderId="12" xfId="0" applyNumberFormat="1" applyFont="1" applyFill="1" applyBorder="1" applyAlignment="1">
      <alignment horizontal="center"/>
    </xf>
    <xf numFmtId="168" fontId="0" fillId="0" borderId="0" xfId="0" applyNumberFormat="1" applyBorder="1" applyAlignment="1">
      <alignment horizontal="left"/>
    </xf>
    <xf numFmtId="168" fontId="6" fillId="0" borderId="13" xfId="0" quotePrefix="1" applyNumberFormat="1" applyFont="1" applyFill="1" applyBorder="1" applyAlignment="1">
      <alignment horizontal="center"/>
    </xf>
    <xf numFmtId="168" fontId="4" fillId="0" borderId="0" xfId="12" applyNumberFormat="1" applyBorder="1" applyAlignment="1">
      <alignment horizontal="left"/>
    </xf>
    <xf numFmtId="168" fontId="6" fillId="0" borderId="221" xfId="0" applyNumberFormat="1" applyFont="1" applyFill="1" applyBorder="1"/>
    <xf numFmtId="168" fontId="5" fillId="0" borderId="13" xfId="0" applyNumberFormat="1" applyFont="1" applyFill="1" applyBorder="1" applyAlignment="1"/>
    <xf numFmtId="0" fontId="6" fillId="0" borderId="220" xfId="0" applyFont="1" applyFill="1" applyBorder="1" applyAlignment="1">
      <alignment horizontal="center"/>
    </xf>
    <xf numFmtId="0" fontId="0" fillId="0" borderId="35" xfId="0" applyFill="1" applyBorder="1" applyAlignment="1">
      <alignment horizontal="center"/>
    </xf>
    <xf numFmtId="10" fontId="0" fillId="0" borderId="16" xfId="0" applyNumberFormat="1" applyFill="1" applyBorder="1" applyAlignment="1">
      <alignment horizontal="right"/>
    </xf>
    <xf numFmtId="10" fontId="4" fillId="0" borderId="16" xfId="0" applyNumberFormat="1" applyFont="1" applyFill="1" applyBorder="1" applyAlignment="1">
      <alignment horizontal="right"/>
    </xf>
    <xf numFmtId="168" fontId="0" fillId="0" borderId="16" xfId="1" applyNumberFormat="1" applyFont="1" applyFill="1" applyBorder="1" applyAlignment="1">
      <alignment horizontal="right"/>
    </xf>
    <xf numFmtId="167" fontId="0" fillId="0" borderId="16" xfId="4" applyNumberFormat="1" applyFont="1" applyFill="1" applyBorder="1" applyAlignment="1">
      <alignment horizontal="right"/>
    </xf>
    <xf numFmtId="168" fontId="2" fillId="0" borderId="16" xfId="1" applyNumberFormat="1" applyFont="1" applyFill="1" applyBorder="1" applyAlignment="1">
      <alignment horizontal="right"/>
    </xf>
    <xf numFmtId="166" fontId="0" fillId="0" borderId="16" xfId="1" applyNumberFormat="1" applyFont="1" applyFill="1" applyBorder="1" applyAlignment="1">
      <alignment horizontal="right"/>
    </xf>
    <xf numFmtId="168" fontId="4" fillId="0" borderId="16" xfId="1" applyNumberFormat="1" applyFont="1" applyFill="1" applyBorder="1" applyAlignment="1">
      <alignment horizontal="right"/>
    </xf>
    <xf numFmtId="164" fontId="0" fillId="0" borderId="16" xfId="1" applyFont="1" applyFill="1" applyBorder="1" applyAlignment="1">
      <alignment horizontal="right"/>
    </xf>
    <xf numFmtId="9" fontId="0" fillId="0" borderId="16" xfId="4" applyFont="1" applyFill="1" applyBorder="1" applyAlignment="1">
      <alignment horizontal="right"/>
    </xf>
    <xf numFmtId="0" fontId="0" fillId="0" borderId="45" xfId="0" applyFill="1" applyBorder="1" applyAlignment="1">
      <alignment horizontal="right"/>
    </xf>
    <xf numFmtId="1" fontId="6" fillId="0" borderId="40" xfId="0" applyNumberFormat="1" applyFont="1" applyFill="1" applyBorder="1" applyAlignment="1">
      <alignment horizontal="center"/>
    </xf>
    <xf numFmtId="168" fontId="7" fillId="0" borderId="198" xfId="0" applyNumberFormat="1" applyFont="1" applyFill="1" applyBorder="1" applyAlignment="1">
      <alignment horizontal="left"/>
    </xf>
    <xf numFmtId="175" fontId="6" fillId="0" borderId="3" xfId="0" applyNumberFormat="1" applyFont="1" applyFill="1" applyBorder="1"/>
    <xf numFmtId="175" fontId="5" fillId="0" borderId="40" xfId="0" applyNumberFormat="1" applyFont="1" applyFill="1" applyBorder="1" applyAlignment="1">
      <alignment horizontal="center"/>
    </xf>
    <xf numFmtId="168" fontId="6" fillId="0" borderId="95" xfId="0" quotePrefix="1" applyNumberFormat="1" applyFont="1" applyFill="1" applyBorder="1" applyAlignment="1">
      <alignment horizontal="center"/>
    </xf>
    <xf numFmtId="0" fontId="6" fillId="0" borderId="36" xfId="0" applyNumberFormat="1" applyFont="1" applyFill="1" applyBorder="1" applyAlignment="1">
      <alignment horizontal="center"/>
    </xf>
    <xf numFmtId="168" fontId="27" fillId="0" borderId="13" xfId="0" applyNumberFormat="1" applyFont="1" applyFill="1" applyBorder="1"/>
    <xf numFmtId="168" fontId="2" fillId="0" borderId="79" xfId="0" applyNumberFormat="1" applyFont="1" applyFill="1" applyBorder="1" applyAlignment="1">
      <alignment horizontal="center"/>
    </xf>
    <xf numFmtId="168" fontId="4" fillId="0" borderId="0" xfId="0" applyNumberFormat="1" applyFont="1" applyBorder="1" applyAlignment="1">
      <alignment horizontal="left"/>
    </xf>
    <xf numFmtId="168" fontId="5" fillId="0" borderId="32" xfId="0" applyNumberFormat="1" applyFont="1" applyFill="1" applyBorder="1" applyAlignment="1"/>
    <xf numFmtId="168" fontId="5" fillId="0" borderId="21" xfId="0" applyNumberFormat="1" applyFont="1" applyFill="1" applyBorder="1" applyAlignment="1">
      <alignment horizontal="center"/>
    </xf>
    <xf numFmtId="0" fontId="4" fillId="0" borderId="133" xfId="0" applyFont="1" applyFill="1" applyBorder="1" applyAlignment="1"/>
    <xf numFmtId="0" fontId="4" fillId="0" borderId="38" xfId="0" applyFont="1" applyFill="1" applyBorder="1" applyAlignment="1"/>
    <xf numFmtId="0" fontId="4" fillId="0" borderId="39" xfId="0" applyFont="1" applyFill="1" applyBorder="1" applyAlignment="1"/>
    <xf numFmtId="0" fontId="16" fillId="0" borderId="47" xfId="0" applyFont="1" applyFill="1" applyBorder="1" applyAlignment="1">
      <alignment horizontal="left"/>
    </xf>
    <xf numFmtId="0" fontId="6" fillId="0" borderId="135" xfId="0" applyFont="1" applyFill="1" applyBorder="1" applyAlignment="1">
      <alignment horizontal="left"/>
    </xf>
    <xf numFmtId="3" fontId="16" fillId="0" borderId="148" xfId="0" applyNumberFormat="1" applyFont="1" applyFill="1" applyBorder="1" applyAlignment="1">
      <alignment horizontal="right"/>
    </xf>
    <xf numFmtId="0" fontId="4" fillId="0" borderId="28" xfId="0" applyFont="1" applyFill="1" applyBorder="1" applyAlignment="1">
      <alignment horizontal="left"/>
    </xf>
    <xf numFmtId="0" fontId="6" fillId="0" borderId="28" xfId="0" applyFont="1" applyFill="1" applyBorder="1" applyAlignment="1">
      <alignment horizontal="left"/>
    </xf>
    <xf numFmtId="168" fontId="0" fillId="0" borderId="16" xfId="0" applyNumberFormat="1" applyFill="1" applyBorder="1" applyAlignment="1">
      <alignment horizontal="left"/>
    </xf>
    <xf numFmtId="168" fontId="0" fillId="0" borderId="16" xfId="0" applyNumberFormat="1" applyFill="1" applyBorder="1" applyAlignment="1"/>
    <xf numFmtId="168" fontId="0" fillId="0" borderId="13" xfId="0" applyNumberFormat="1" applyFill="1" applyBorder="1" applyAlignment="1"/>
    <xf numFmtId="168" fontId="0" fillId="0" borderId="155" xfId="0" applyNumberFormat="1" applyFill="1" applyBorder="1" applyAlignment="1">
      <alignment horizontal="left"/>
    </xf>
    <xf numFmtId="168" fontId="0" fillId="0" borderId="222" xfId="0" applyNumberFormat="1" applyFill="1" applyBorder="1" applyAlignment="1">
      <alignment horizontal="right"/>
    </xf>
    <xf numFmtId="0" fontId="25" fillId="0" borderId="28" xfId="0" applyFont="1" applyFill="1" applyBorder="1"/>
    <xf numFmtId="168" fontId="0" fillId="0" borderId="155" xfId="0" applyNumberFormat="1" applyFill="1" applyBorder="1" applyAlignment="1">
      <alignment horizontal="right"/>
    </xf>
    <xf numFmtId="3" fontId="6" fillId="0" borderId="16" xfId="0" applyNumberFormat="1" applyFont="1" applyFill="1" applyBorder="1"/>
    <xf numFmtId="168" fontId="6" fillId="0" borderId="60" xfId="0" applyNumberFormat="1" applyFont="1" applyFill="1" applyBorder="1" applyAlignment="1">
      <alignment horizontal="right"/>
    </xf>
    <xf numFmtId="0" fontId="4" fillId="0" borderId="28" xfId="0" applyFont="1" applyFill="1" applyBorder="1" applyAlignment="1">
      <alignment horizontal="center"/>
    </xf>
    <xf numFmtId="168" fontId="6" fillId="0" borderId="48" xfId="0" applyNumberFormat="1" applyFont="1" applyFill="1" applyBorder="1" applyAlignment="1"/>
    <xf numFmtId="0" fontId="0" fillId="0" borderId="11" xfId="0" applyFill="1" applyBorder="1" applyAlignment="1">
      <alignment horizontal="center"/>
    </xf>
    <xf numFmtId="0" fontId="0" fillId="0" borderId="5" xfId="0" applyFill="1" applyBorder="1" applyAlignment="1">
      <alignment horizontal="left"/>
    </xf>
    <xf numFmtId="3" fontId="0" fillId="0" borderId="5" xfId="0" applyNumberFormat="1" applyFill="1" applyBorder="1" applyAlignment="1">
      <alignment horizontal="right"/>
    </xf>
    <xf numFmtId="0" fontId="0" fillId="0" borderId="19" xfId="0" applyFill="1" applyBorder="1" applyAlignment="1">
      <alignment horizontal="left"/>
    </xf>
    <xf numFmtId="3" fontId="0" fillId="0" borderId="55" xfId="0" applyNumberFormat="1" applyFill="1" applyBorder="1" applyAlignment="1">
      <alignment horizontal="right"/>
    </xf>
    <xf numFmtId="3" fontId="0" fillId="0" borderId="20" xfId="0" applyNumberFormat="1" applyFill="1" applyBorder="1" applyAlignment="1">
      <alignment horizontal="right"/>
    </xf>
    <xf numFmtId="168" fontId="6" fillId="0" borderId="40" xfId="0" quotePrefix="1" applyNumberFormat="1" applyFont="1" applyFill="1" applyBorder="1" applyAlignment="1">
      <alignment horizontal="center"/>
    </xf>
    <xf numFmtId="0" fontId="4" fillId="0" borderId="11" xfId="0" applyNumberFormat="1" applyFont="1" applyFill="1" applyBorder="1" applyAlignment="1">
      <alignment horizontal="center"/>
    </xf>
    <xf numFmtId="168" fontId="6" fillId="0" borderId="194" xfId="0" applyNumberFormat="1" applyFont="1" applyFill="1" applyBorder="1" applyAlignment="1"/>
    <xf numFmtId="168" fontId="6" fillId="0" borderId="31" xfId="0" applyNumberFormat="1" applyFont="1" applyFill="1" applyBorder="1" applyAlignment="1"/>
    <xf numFmtId="168" fontId="6" fillId="0" borderId="222" xfId="0" applyNumberFormat="1" applyFont="1" applyFill="1" applyBorder="1"/>
    <xf numFmtId="168" fontId="5" fillId="0" borderId="222" xfId="0" applyNumberFormat="1" applyFont="1" applyFill="1" applyBorder="1"/>
    <xf numFmtId="168" fontId="28" fillId="0" borderId="13" xfId="0" applyNumberFormat="1" applyFont="1" applyFill="1" applyBorder="1"/>
    <xf numFmtId="168" fontId="27" fillId="0" borderId="31" xfId="0" applyNumberFormat="1" applyFont="1" applyFill="1" applyBorder="1"/>
    <xf numFmtId="168" fontId="27" fillId="0" borderId="13" xfId="0" applyNumberFormat="1" applyFont="1" applyFill="1" applyBorder="1" applyAlignment="1"/>
    <xf numFmtId="0" fontId="27" fillId="0" borderId="18" xfId="0" quotePrefix="1" applyNumberFormat="1" applyFont="1" applyFill="1" applyBorder="1" applyAlignment="1">
      <alignment horizontal="center"/>
    </xf>
    <xf numFmtId="168" fontId="28" fillId="0" borderId="18" xfId="0" applyNumberFormat="1" applyFont="1" applyFill="1" applyBorder="1"/>
    <xf numFmtId="168" fontId="27" fillId="0" borderId="2" xfId="0" quotePrefix="1" applyNumberFormat="1" applyFont="1" applyFill="1" applyBorder="1" applyAlignment="1">
      <alignment horizontal="center" wrapText="1"/>
    </xf>
    <xf numFmtId="168" fontId="27" fillId="0" borderId="224" xfId="0" quotePrefix="1" applyNumberFormat="1" applyFont="1" applyFill="1" applyBorder="1" applyAlignment="1">
      <alignment horizontal="center"/>
    </xf>
    <xf numFmtId="0" fontId="5" fillId="0" borderId="3" xfId="0" applyNumberFormat="1" applyFont="1" applyFill="1" applyBorder="1" applyAlignment="1"/>
    <xf numFmtId="168" fontId="27" fillId="0" borderId="11" xfId="0" applyNumberFormat="1" applyFont="1" applyFill="1" applyBorder="1" applyAlignment="1">
      <alignment horizontal="left"/>
    </xf>
    <xf numFmtId="0" fontId="4" fillId="0" borderId="29" xfId="0" applyFont="1" applyFill="1" applyBorder="1"/>
    <xf numFmtId="0" fontId="5" fillId="0" borderId="29" xfId="0" applyFont="1" applyFill="1" applyBorder="1"/>
    <xf numFmtId="0" fontId="5" fillId="0" borderId="29" xfId="0" applyNumberFormat="1" applyFont="1" applyFill="1" applyBorder="1" applyAlignment="1">
      <alignment horizontal="center"/>
    </xf>
    <xf numFmtId="168" fontId="0" fillId="0" borderId="3" xfId="0" applyNumberFormat="1" applyBorder="1" applyAlignment="1">
      <alignment horizontal="left"/>
    </xf>
    <xf numFmtId="168" fontId="4" fillId="0" borderId="3" xfId="0" applyNumberFormat="1" applyFont="1" applyBorder="1" applyAlignment="1">
      <alignment horizontal="left"/>
    </xf>
    <xf numFmtId="0" fontId="25" fillId="0" borderId="3" xfId="0" applyFont="1" applyFill="1" applyBorder="1"/>
    <xf numFmtId="0" fontId="2" fillId="0" borderId="3" xfId="0" applyNumberFormat="1" applyFont="1" applyFill="1" applyBorder="1" applyAlignment="1">
      <alignment horizontal="left"/>
    </xf>
    <xf numFmtId="175" fontId="6" fillId="0" borderId="94" xfId="0" applyNumberFormat="1" applyFont="1" applyFill="1" applyBorder="1" applyAlignment="1">
      <alignment horizontal="center"/>
    </xf>
    <xf numFmtId="168" fontId="2" fillId="0" borderId="29" xfId="0" quotePrefix="1" applyNumberFormat="1" applyFont="1" applyFill="1" applyBorder="1" applyAlignment="1">
      <alignment horizontal="left"/>
    </xf>
    <xf numFmtId="168" fontId="2" fillId="0" borderId="29" xfId="0" applyNumberFormat="1" applyFont="1" applyFill="1" applyBorder="1" applyAlignment="1">
      <alignment horizontal="left"/>
    </xf>
    <xf numFmtId="168" fontId="2" fillId="0" borderId="29" xfId="0" applyNumberFormat="1" applyFont="1" applyFill="1" applyBorder="1" applyAlignment="1" applyProtection="1">
      <alignment horizontal="left"/>
      <protection locked="0"/>
    </xf>
    <xf numFmtId="168" fontId="6" fillId="0" borderId="29" xfId="0" applyNumberFormat="1" applyFont="1" applyFill="1" applyBorder="1" applyAlignment="1">
      <alignment horizontal="left" vertical="top"/>
    </xf>
    <xf numFmtId="168" fontId="6" fillId="0" borderId="18" xfId="0" applyNumberFormat="1" applyFont="1" applyFill="1" applyBorder="1" applyAlignment="1">
      <alignment horizontal="left" vertical="top"/>
    </xf>
    <xf numFmtId="168" fontId="6" fillId="0" borderId="29" xfId="0" applyNumberFormat="1" applyFont="1" applyFill="1" applyBorder="1" applyAlignment="1" applyProtection="1">
      <alignment horizontal="left"/>
      <protection locked="0"/>
    </xf>
    <xf numFmtId="168" fontId="4" fillId="0" borderId="40" xfId="0" applyNumberFormat="1" applyFont="1" applyFill="1" applyBorder="1" applyAlignment="1">
      <alignment horizontal="left"/>
    </xf>
    <xf numFmtId="168" fontId="2" fillId="0" borderId="3" xfId="0" quotePrefix="1" applyNumberFormat="1" applyFont="1" applyFill="1" applyBorder="1" applyAlignment="1">
      <alignment horizontal="left"/>
    </xf>
    <xf numFmtId="168" fontId="0" fillId="0" borderId="39" xfId="0" applyNumberFormat="1" applyFill="1" applyBorder="1"/>
    <xf numFmtId="3" fontId="2" fillId="0" borderId="71" xfId="0" applyNumberFormat="1" applyFont="1" applyFill="1" applyBorder="1" applyAlignment="1">
      <alignment horizontal="center"/>
    </xf>
    <xf numFmtId="167" fontId="45" fillId="0" borderId="13" xfId="4" applyNumberFormat="1" applyFont="1" applyFill="1" applyBorder="1"/>
    <xf numFmtId="10" fontId="45" fillId="0" borderId="16" xfId="4" applyNumberFormat="1" applyFont="1" applyFill="1" applyBorder="1"/>
    <xf numFmtId="9" fontId="45" fillId="0" borderId="16" xfId="4" applyNumberFormat="1" applyFont="1" applyFill="1" applyBorder="1"/>
    <xf numFmtId="167" fontId="45" fillId="0" borderId="16" xfId="4" applyNumberFormat="1" applyFont="1" applyFill="1" applyBorder="1"/>
    <xf numFmtId="3" fontId="2" fillId="0" borderId="62" xfId="0" applyNumberFormat="1" applyFont="1" applyFill="1" applyBorder="1" applyAlignment="1">
      <alignment horizontal="center"/>
    </xf>
    <xf numFmtId="180" fontId="28" fillId="0" borderId="16" xfId="0" applyNumberFormat="1" applyFont="1" applyFill="1" applyBorder="1" applyAlignment="1">
      <alignment horizontal="right" vertical="center"/>
    </xf>
    <xf numFmtId="10" fontId="28" fillId="0" borderId="16" xfId="0" applyNumberFormat="1" applyFont="1" applyFill="1" applyBorder="1" applyAlignment="1">
      <alignment horizontal="right" vertical="center"/>
    </xf>
    <xf numFmtId="2" fontId="28" fillId="0" borderId="16" xfId="0" applyNumberFormat="1" applyFont="1" applyFill="1" applyBorder="1" applyAlignment="1">
      <alignment horizontal="right" vertical="center"/>
    </xf>
    <xf numFmtId="3" fontId="0" fillId="0" borderId="16" xfId="0" applyNumberFormat="1" applyFill="1" applyBorder="1" applyAlignment="1">
      <alignment horizontal="right"/>
    </xf>
    <xf numFmtId="0" fontId="28" fillId="0" borderId="97" xfId="0" applyFont="1" applyFill="1" applyBorder="1" applyAlignment="1">
      <alignment horizontal="justify" vertical="center"/>
    </xf>
    <xf numFmtId="168" fontId="0" fillId="0" borderId="19" xfId="0" applyNumberFormat="1" applyFill="1" applyBorder="1"/>
    <xf numFmtId="168" fontId="0" fillId="0" borderId="20" xfId="0" applyNumberFormat="1" applyFill="1" applyBorder="1"/>
    <xf numFmtId="168" fontId="2" fillId="0" borderId="20" xfId="0" applyNumberFormat="1" applyFont="1" applyFill="1" applyBorder="1" applyAlignment="1">
      <alignment horizontal="right"/>
    </xf>
    <xf numFmtId="10" fontId="4" fillId="0" borderId="16" xfId="4" applyNumberFormat="1" applyFont="1" applyFill="1" applyBorder="1" applyAlignment="1">
      <alignment horizontal="right"/>
    </xf>
    <xf numFmtId="168" fontId="4" fillId="0" borderId="13" xfId="0" applyNumberFormat="1" applyFont="1" applyFill="1" applyBorder="1" applyAlignment="1">
      <alignment horizontal="right"/>
    </xf>
    <xf numFmtId="167" fontId="4" fillId="0" borderId="16" xfId="4" applyNumberFormat="1" applyFont="1" applyFill="1" applyBorder="1" applyAlignment="1">
      <alignment horizontal="right"/>
    </xf>
    <xf numFmtId="167" fontId="2" fillId="0" borderId="16" xfId="4" applyNumberFormat="1" applyFont="1" applyFill="1" applyBorder="1" applyAlignment="1">
      <alignment horizontal="right"/>
    </xf>
    <xf numFmtId="3" fontId="4" fillId="0" borderId="95" xfId="0" applyNumberFormat="1" applyFont="1" applyFill="1" applyBorder="1" applyAlignment="1">
      <alignment horizontal="right"/>
    </xf>
    <xf numFmtId="10" fontId="6" fillId="0" borderId="16" xfId="0" applyNumberFormat="1" applyFont="1" applyFill="1" applyBorder="1" applyAlignment="1">
      <alignment horizontal="center"/>
    </xf>
    <xf numFmtId="173" fontId="6" fillId="0" borderId="16" xfId="0" applyNumberFormat="1" applyFont="1" applyFill="1" applyBorder="1" applyAlignment="1">
      <alignment horizontal="right"/>
    </xf>
    <xf numFmtId="9" fontId="2" fillId="0" borderId="16" xfId="4" applyFont="1" applyFill="1" applyBorder="1"/>
    <xf numFmtId="178" fontId="0" fillId="0" borderId="16" xfId="0" applyNumberFormat="1" applyFill="1" applyBorder="1"/>
    <xf numFmtId="10" fontId="2" fillId="0" borderId="16" xfId="4" applyNumberFormat="1" applyFont="1" applyFill="1" applyBorder="1"/>
    <xf numFmtId="0" fontId="0" fillId="0" borderId="20" xfId="0" applyFill="1" applyBorder="1"/>
    <xf numFmtId="173" fontId="6" fillId="0" borderId="62" xfId="0" applyNumberFormat="1" applyFont="1" applyFill="1" applyBorder="1" applyAlignment="1">
      <alignment horizontal="center"/>
    </xf>
    <xf numFmtId="3" fontId="4" fillId="0" borderId="16" xfId="0" applyNumberFormat="1" applyFont="1" applyFill="1" applyBorder="1" applyAlignment="1">
      <alignment horizontal="right"/>
    </xf>
    <xf numFmtId="2" fontId="6" fillId="0" borderId="16" xfId="0" applyNumberFormat="1" applyFont="1" applyFill="1" applyBorder="1" applyAlignment="1">
      <alignment horizontal="right"/>
    </xf>
    <xf numFmtId="10" fontId="6" fillId="0" borderId="16" xfId="0" applyNumberFormat="1" applyFont="1" applyFill="1" applyBorder="1" applyAlignment="1">
      <alignment horizontal="right"/>
    </xf>
    <xf numFmtId="164" fontId="6" fillId="0" borderId="16" xfId="1" applyNumberFormat="1" applyFont="1" applyFill="1" applyBorder="1" applyAlignment="1">
      <alignment horizontal="right"/>
    </xf>
    <xf numFmtId="168" fontId="6" fillId="0" borderId="148" xfId="0" applyNumberFormat="1" applyFont="1" applyFill="1" applyBorder="1" applyAlignment="1">
      <alignment horizontal="right"/>
    </xf>
    <xf numFmtId="170" fontId="6" fillId="0" borderId="16" xfId="0" applyNumberFormat="1" applyFont="1" applyFill="1" applyBorder="1" applyAlignment="1">
      <alignment horizontal="right"/>
    </xf>
    <xf numFmtId="3" fontId="6" fillId="0" borderId="148" xfId="0" applyNumberFormat="1" applyFont="1" applyFill="1" applyBorder="1"/>
    <xf numFmtId="2" fontId="6" fillId="0" borderId="20" xfId="0" applyNumberFormat="1" applyFont="1" applyFill="1" applyBorder="1" applyAlignment="1">
      <alignment horizontal="right"/>
    </xf>
    <xf numFmtId="3" fontId="4" fillId="0" borderId="16" xfId="0" applyNumberFormat="1" applyFont="1" applyFill="1" applyBorder="1" applyAlignment="1">
      <alignment horizontal="center"/>
    </xf>
    <xf numFmtId="3" fontId="6" fillId="0" borderId="148" xfId="0" applyNumberFormat="1" applyFont="1" applyFill="1" applyBorder="1" applyAlignment="1">
      <alignment horizontal="right"/>
    </xf>
    <xf numFmtId="168" fontId="0" fillId="0" borderId="155" xfId="0" applyNumberFormat="1" applyFill="1" applyBorder="1"/>
    <xf numFmtId="167" fontId="6" fillId="0" borderId="16" xfId="0" applyNumberFormat="1" applyFont="1" applyFill="1" applyBorder="1" applyAlignment="1">
      <alignment horizontal="right"/>
    </xf>
    <xf numFmtId="0" fontId="7" fillId="0" borderId="97" xfId="0" applyFont="1" applyFill="1" applyBorder="1" applyAlignment="1">
      <alignment horizontal="left"/>
    </xf>
    <xf numFmtId="168" fontId="6" fillId="0" borderId="19" xfId="0" applyNumberFormat="1" applyFont="1" applyFill="1" applyBorder="1" applyAlignment="1">
      <alignment horizontal="right"/>
    </xf>
    <xf numFmtId="168" fontId="6" fillId="0" borderId="20" xfId="0" applyNumberFormat="1" applyFont="1" applyFill="1" applyBorder="1" applyAlignment="1">
      <alignment horizontal="right"/>
    </xf>
    <xf numFmtId="3" fontId="2" fillId="0" borderId="84" xfId="0" applyNumberFormat="1" applyFont="1" applyFill="1" applyBorder="1" applyAlignment="1">
      <alignment horizontal="center"/>
    </xf>
    <xf numFmtId="3" fontId="33" fillId="0" borderId="8" xfId="0" applyNumberFormat="1" applyFont="1" applyFill="1" applyBorder="1" applyAlignment="1">
      <alignment horizontal="right"/>
    </xf>
    <xf numFmtId="0" fontId="6" fillId="0" borderId="7" xfId="0" applyFont="1" applyFill="1" applyBorder="1" applyAlignment="1">
      <alignment horizontal="left"/>
    </xf>
    <xf numFmtId="3" fontId="6" fillId="0" borderId="83" xfId="0" applyNumberFormat="1" applyFont="1" applyFill="1" applyBorder="1" applyAlignment="1">
      <alignment horizontal="right"/>
    </xf>
    <xf numFmtId="0" fontId="33" fillId="0" borderId="7" xfId="0" applyFont="1" applyFill="1" applyBorder="1"/>
    <xf numFmtId="0" fontId="34" fillId="0" borderId="7" xfId="3" applyFont="1" applyFill="1" applyBorder="1" applyAlignment="1" applyProtection="1"/>
    <xf numFmtId="0" fontId="33" fillId="0" borderId="8" xfId="0" applyFont="1" applyFill="1" applyBorder="1" applyAlignment="1">
      <alignment horizontal="right"/>
    </xf>
    <xf numFmtId="2" fontId="6" fillId="0" borderId="8" xfId="0" applyNumberFormat="1" applyFont="1" applyFill="1" applyBorder="1" applyAlignment="1">
      <alignment horizontal="right"/>
    </xf>
    <xf numFmtId="173" fontId="6" fillId="0" borderId="8" xfId="0" applyNumberFormat="1" applyFont="1" applyFill="1" applyBorder="1" applyAlignment="1">
      <alignment horizontal="right"/>
    </xf>
    <xf numFmtId="0" fontId="7" fillId="0" borderId="157" xfId="0" applyFont="1" applyFill="1" applyBorder="1"/>
    <xf numFmtId="3" fontId="4" fillId="0" borderId="125" xfId="0" applyNumberFormat="1" applyFont="1" applyFill="1" applyBorder="1" applyAlignment="1">
      <alignment horizontal="right"/>
    </xf>
    <xf numFmtId="0" fontId="6" fillId="0" borderId="7" xfId="0" applyFont="1" applyFill="1" applyBorder="1"/>
    <xf numFmtId="3" fontId="10" fillId="0" borderId="83" xfId="0" applyNumberFormat="1" applyFont="1" applyFill="1" applyBorder="1" applyAlignment="1">
      <alignment horizontal="right"/>
    </xf>
    <xf numFmtId="0" fontId="35" fillId="0" borderId="8" xfId="0" applyFont="1" applyFill="1" applyBorder="1" applyAlignment="1">
      <alignment horizontal="right"/>
    </xf>
    <xf numFmtId="168" fontId="33" fillId="0" borderId="8" xfId="0" applyNumberFormat="1" applyFont="1" applyFill="1" applyBorder="1" applyAlignment="1">
      <alignment horizontal="right"/>
    </xf>
    <xf numFmtId="0" fontId="4" fillId="0" borderId="9" xfId="0" applyFont="1" applyFill="1" applyBorder="1"/>
    <xf numFmtId="168" fontId="4" fillId="0" borderId="18" xfId="0" applyNumberFormat="1" applyFont="1" applyFill="1" applyBorder="1" applyAlignment="1">
      <alignment horizontal="right"/>
    </xf>
    <xf numFmtId="168" fontId="4" fillId="0" borderId="17" xfId="0" applyNumberFormat="1" applyFont="1" applyFill="1" applyBorder="1" applyAlignment="1">
      <alignment horizontal="right"/>
    </xf>
    <xf numFmtId="168" fontId="4" fillId="0" borderId="10" xfId="0" applyNumberFormat="1" applyFont="1" applyFill="1" applyBorder="1" applyAlignment="1">
      <alignment horizontal="right"/>
    </xf>
    <xf numFmtId="0" fontId="2" fillId="0" borderId="64" xfId="0" applyFont="1" applyFill="1" applyBorder="1" applyAlignment="1">
      <alignment horizontal="left"/>
    </xf>
    <xf numFmtId="173" fontId="6" fillId="0" borderId="84" xfId="0" applyNumberFormat="1" applyFont="1" applyFill="1" applyBorder="1" applyAlignment="1">
      <alignment horizontal="center"/>
    </xf>
    <xf numFmtId="0" fontId="7" fillId="0" borderId="7" xfId="0" applyFont="1" applyFill="1" applyBorder="1"/>
    <xf numFmtId="3" fontId="4" fillId="0" borderId="8" xfId="0" applyNumberFormat="1" applyFont="1" applyFill="1" applyBorder="1" applyAlignment="1">
      <alignment horizontal="right"/>
    </xf>
    <xf numFmtId="0" fontId="7" fillId="0" borderId="7" xfId="0" applyFont="1" applyFill="1" applyBorder="1" applyAlignment="1">
      <alignment horizontal="left"/>
    </xf>
    <xf numFmtId="168" fontId="6" fillId="0" borderId="83" xfId="0" applyNumberFormat="1" applyFont="1" applyFill="1" applyBorder="1" applyAlignment="1">
      <alignment horizontal="right"/>
    </xf>
    <xf numFmtId="167" fontId="6" fillId="0" borderId="8" xfId="0" applyNumberFormat="1" applyFont="1" applyFill="1" applyBorder="1"/>
    <xf numFmtId="10" fontId="6" fillId="0" borderId="8" xfId="0" applyNumberFormat="1" applyFont="1" applyFill="1" applyBorder="1"/>
    <xf numFmtId="0" fontId="6" fillId="0" borderId="64" xfId="0" applyFont="1" applyFill="1" applyBorder="1"/>
    <xf numFmtId="0" fontId="15" fillId="0" borderId="7" xfId="0" applyFont="1" applyFill="1" applyBorder="1"/>
    <xf numFmtId="168" fontId="6" fillId="0" borderId="83" xfId="0" applyNumberFormat="1" applyFont="1" applyFill="1" applyBorder="1"/>
    <xf numFmtId="2" fontId="6" fillId="0" borderId="8" xfId="0" applyNumberFormat="1" applyFont="1" applyFill="1" applyBorder="1"/>
    <xf numFmtId="168" fontId="6" fillId="0" borderId="73" xfId="0" applyNumberFormat="1" applyFont="1" applyFill="1" applyBorder="1"/>
    <xf numFmtId="180" fontId="6" fillId="0" borderId="8" xfId="0" applyNumberFormat="1" applyFont="1" applyFill="1" applyBorder="1"/>
    <xf numFmtId="0" fontId="6" fillId="0" borderId="157" xfId="0" applyFont="1" applyFill="1" applyBorder="1"/>
    <xf numFmtId="3" fontId="0" fillId="0" borderId="125" xfId="0" applyNumberFormat="1" applyFill="1" applyBorder="1"/>
    <xf numFmtId="10" fontId="6" fillId="0" borderId="8" xfId="4" applyNumberFormat="1" applyFont="1" applyFill="1" applyBorder="1"/>
    <xf numFmtId="168" fontId="0" fillId="0" borderId="125" xfId="0" applyNumberFormat="1" applyFill="1" applyBorder="1"/>
    <xf numFmtId="173" fontId="6" fillId="0" borderId="84" xfId="0" applyNumberFormat="1" applyFont="1" applyFill="1" applyBorder="1" applyAlignment="1">
      <alignment horizontal="right"/>
    </xf>
    <xf numFmtId="167" fontId="4" fillId="0" borderId="8" xfId="4" applyNumberFormat="1" applyFont="1" applyFill="1" applyBorder="1" applyAlignment="1">
      <alignment horizontal="right"/>
    </xf>
    <xf numFmtId="167" fontId="4" fillId="0" borderId="8" xfId="0" applyNumberFormat="1" applyFont="1" applyFill="1" applyBorder="1" applyAlignment="1">
      <alignment horizontal="right"/>
    </xf>
    <xf numFmtId="2" fontId="4" fillId="0" borderId="8" xfId="0" applyNumberFormat="1" applyFont="1" applyFill="1" applyBorder="1" applyAlignment="1">
      <alignment horizontal="right"/>
    </xf>
    <xf numFmtId="170" fontId="4" fillId="0" borderId="8" xfId="1" applyNumberFormat="1" applyFont="1" applyFill="1" applyBorder="1" applyAlignment="1">
      <alignment horizontal="right"/>
    </xf>
    <xf numFmtId="170" fontId="6" fillId="0" borderId="8" xfId="1" applyNumberFormat="1" applyFont="1" applyFill="1" applyBorder="1" applyAlignment="1">
      <alignment horizontal="right"/>
    </xf>
    <xf numFmtId="9" fontId="4" fillId="0" borderId="8" xfId="0" applyNumberFormat="1" applyFont="1" applyFill="1" applyBorder="1"/>
    <xf numFmtId="0" fontId="15" fillId="0" borderId="157" xfId="0" applyFont="1" applyFill="1" applyBorder="1"/>
    <xf numFmtId="3" fontId="33" fillId="0" borderId="125" xfId="0" applyNumberFormat="1" applyFont="1" applyFill="1" applyBorder="1" applyAlignment="1">
      <alignment horizontal="right"/>
    </xf>
    <xf numFmtId="173" fontId="4" fillId="0" borderId="8" xfId="0" applyNumberFormat="1" applyFont="1" applyFill="1" applyBorder="1" applyAlignment="1">
      <alignment horizontal="right"/>
    </xf>
    <xf numFmtId="0" fontId="4" fillId="0" borderId="8" xfId="0" applyFont="1" applyFill="1" applyBorder="1" applyAlignment="1">
      <alignment horizontal="right"/>
    </xf>
    <xf numFmtId="10" fontId="6" fillId="0" borderId="8" xfId="0" applyNumberFormat="1" applyFont="1" applyFill="1" applyBorder="1" applyAlignment="1">
      <alignment horizontal="center"/>
    </xf>
    <xf numFmtId="10" fontId="4" fillId="0" borderId="8" xfId="4" applyNumberFormat="1" applyFont="1" applyFill="1" applyBorder="1"/>
    <xf numFmtId="10" fontId="4" fillId="0" borderId="8" xfId="4" applyNumberFormat="1" applyFont="1" applyFill="1" applyBorder="1" applyAlignment="1">
      <alignment horizontal="right"/>
    </xf>
    <xf numFmtId="10" fontId="4" fillId="0" borderId="8" xfId="4" applyNumberFormat="1" applyFont="1" applyFill="1" applyBorder="1" applyAlignment="1">
      <alignment horizontal="center"/>
    </xf>
    <xf numFmtId="167" fontId="4" fillId="0" borderId="8" xfId="0" applyNumberFormat="1" applyFont="1" applyFill="1" applyBorder="1"/>
    <xf numFmtId="9" fontId="4" fillId="0" borderId="8" xfId="4" applyFont="1" applyFill="1" applyBorder="1" applyAlignment="1">
      <alignment horizontal="right"/>
    </xf>
    <xf numFmtId="174" fontId="4" fillId="0" borderId="8" xfId="0" applyNumberFormat="1" applyFont="1" applyFill="1" applyBorder="1"/>
    <xf numFmtId="10" fontId="6" fillId="0" borderId="8" xfId="0" applyNumberFormat="1" applyFont="1" applyFill="1" applyBorder="1" applyAlignment="1">
      <alignment horizontal="right"/>
    </xf>
    <xf numFmtId="3" fontId="6" fillId="0" borderId="62" xfId="0" applyNumberFormat="1" applyFont="1" applyFill="1" applyBorder="1" applyAlignment="1">
      <alignment horizontal="center"/>
    </xf>
    <xf numFmtId="3" fontId="6" fillId="0" borderId="16" xfId="0" applyNumberFormat="1" applyFont="1" applyFill="1" applyBorder="1" applyAlignment="1">
      <alignment horizontal="center"/>
    </xf>
    <xf numFmtId="168" fontId="6" fillId="0" borderId="48" xfId="0" applyNumberFormat="1" applyFont="1" applyFill="1" applyBorder="1"/>
    <xf numFmtId="168" fontId="0" fillId="0" borderId="13" xfId="0" applyNumberFormat="1" applyFill="1" applyBorder="1"/>
    <xf numFmtId="168" fontId="6" fillId="0" borderId="148" xfId="0" applyNumberFormat="1" applyFont="1" applyFill="1" applyBorder="1"/>
    <xf numFmtId="0" fontId="2" fillId="0" borderId="32" xfId="0" applyFont="1" applyFill="1" applyBorder="1"/>
    <xf numFmtId="168" fontId="2" fillId="0" borderId="140" xfId="0" applyNumberFormat="1" applyFont="1" applyFill="1" applyBorder="1"/>
    <xf numFmtId="168" fontId="2" fillId="0" borderId="179" xfId="0" applyNumberFormat="1" applyFont="1" applyFill="1" applyBorder="1"/>
    <xf numFmtId="168" fontId="2" fillId="0" borderId="184" xfId="0" applyNumberFormat="1" applyFont="1" applyFill="1" applyBorder="1"/>
    <xf numFmtId="168" fontId="6" fillId="0" borderId="0" xfId="0" applyNumberFormat="1" applyFont="1" applyFill="1" applyBorder="1" applyAlignment="1">
      <alignment horizontal="center"/>
    </xf>
    <xf numFmtId="49" fontId="19" fillId="0" borderId="68" xfId="0" applyNumberFormat="1" applyFont="1" applyFill="1" applyBorder="1" applyAlignment="1">
      <alignment horizontal="center"/>
    </xf>
    <xf numFmtId="0" fontId="6" fillId="0" borderId="14" xfId="0" applyFont="1" applyFill="1" applyBorder="1" applyAlignment="1">
      <alignment horizontal="center" vertical="center"/>
    </xf>
    <xf numFmtId="168" fontId="2" fillId="0" borderId="0" xfId="0" applyNumberFormat="1" applyFont="1" applyFill="1" applyBorder="1" applyAlignment="1">
      <alignment horizontal="center"/>
    </xf>
    <xf numFmtId="168" fontId="28" fillId="0" borderId="4" xfId="0" applyNumberFormat="1" applyFont="1" applyFill="1" applyBorder="1"/>
    <xf numFmtId="168" fontId="27" fillId="0" borderId="30" xfId="0" applyNumberFormat="1" applyFont="1" applyFill="1" applyBorder="1"/>
    <xf numFmtId="168" fontId="28" fillId="0" borderId="19" xfId="0" applyNumberFormat="1" applyFont="1" applyFill="1" applyBorder="1"/>
    <xf numFmtId="0" fontId="27" fillId="0" borderId="0" xfId="0" applyFont="1" applyFill="1" applyAlignment="1">
      <alignment horizontal="justify" vertical="center"/>
    </xf>
    <xf numFmtId="168" fontId="4" fillId="11" borderId="100" xfId="0" applyNumberFormat="1" applyFont="1" applyFill="1" applyBorder="1"/>
    <xf numFmtId="0" fontId="4" fillId="11" borderId="0" xfId="0" applyFont="1" applyFill="1" applyBorder="1"/>
    <xf numFmtId="167" fontId="46" fillId="0" borderId="13" xfId="4" applyNumberFormat="1" applyFont="1" applyFill="1" applyBorder="1"/>
    <xf numFmtId="9" fontId="46" fillId="0" borderId="4" xfId="4" applyNumberFormat="1" applyFont="1" applyFill="1" applyBorder="1"/>
    <xf numFmtId="9" fontId="46" fillId="0" borderId="16" xfId="4" applyNumberFormat="1" applyFont="1" applyFill="1" applyBorder="1"/>
    <xf numFmtId="167" fontId="46" fillId="0" borderId="4" xfId="4" applyNumberFormat="1" applyFont="1" applyFill="1" applyBorder="1"/>
    <xf numFmtId="168" fontId="2" fillId="0" borderId="159" xfId="0" applyNumberFormat="1" applyFont="1" applyBorder="1" applyAlignment="1">
      <alignment horizontal="center"/>
    </xf>
    <xf numFmtId="168" fontId="2" fillId="0" borderId="68" xfId="0" applyNumberFormat="1" applyFont="1" applyBorder="1" applyAlignment="1">
      <alignment horizontal="center"/>
    </xf>
    <xf numFmtId="168" fontId="2" fillId="0" borderId="162" xfId="0" applyNumberFormat="1" applyFont="1" applyBorder="1" applyAlignment="1">
      <alignment horizontal="center"/>
    </xf>
    <xf numFmtId="168" fontId="2" fillId="0" borderId="86" xfId="0" applyNumberFormat="1" applyFont="1" applyFill="1" applyBorder="1" applyAlignment="1">
      <alignment horizontal="center"/>
    </xf>
    <xf numFmtId="168" fontId="2" fillId="0" borderId="1" xfId="0" applyNumberFormat="1" applyFont="1" applyFill="1" applyBorder="1" applyAlignment="1">
      <alignment horizontal="center"/>
    </xf>
    <xf numFmtId="168" fontId="2" fillId="0" borderId="30" xfId="0" applyNumberFormat="1" applyFont="1" applyFill="1" applyBorder="1" applyAlignment="1">
      <alignment horizontal="center"/>
    </xf>
    <xf numFmtId="168" fontId="19" fillId="0" borderId="34" xfId="0" applyNumberFormat="1" applyFont="1" applyFill="1" applyBorder="1" applyAlignment="1">
      <alignment horizontal="center" vertical="center"/>
    </xf>
    <xf numFmtId="168" fontId="19" fillId="0" borderId="0" xfId="0" applyNumberFormat="1" applyFont="1" applyFill="1" applyBorder="1" applyAlignment="1">
      <alignment horizontal="center" vertical="center"/>
    </xf>
    <xf numFmtId="168" fontId="2" fillId="0" borderId="14" xfId="0" applyNumberFormat="1" applyFont="1" applyFill="1" applyBorder="1" applyAlignment="1">
      <alignment horizontal="center"/>
    </xf>
    <xf numFmtId="168" fontId="2" fillId="0" borderId="84" xfId="0" applyNumberFormat="1" applyFont="1" applyFill="1" applyBorder="1" applyAlignment="1">
      <alignment horizontal="center"/>
    </xf>
    <xf numFmtId="0" fontId="11" fillId="0" borderId="159" xfId="0" applyFont="1" applyFill="1" applyBorder="1" applyAlignment="1">
      <alignment horizontal="center"/>
    </xf>
    <xf numFmtId="0" fontId="11" fillId="0" borderId="68" xfId="0" applyFont="1" applyFill="1" applyBorder="1" applyAlignment="1">
      <alignment horizontal="center"/>
    </xf>
    <xf numFmtId="0" fontId="11" fillId="0" borderId="88" xfId="0" applyFont="1" applyFill="1" applyBorder="1" applyAlignment="1">
      <alignment horizontal="center"/>
    </xf>
    <xf numFmtId="168" fontId="11" fillId="0" borderId="159" xfId="0" applyNumberFormat="1" applyFont="1" applyFill="1" applyBorder="1" applyAlignment="1">
      <alignment horizontal="center"/>
    </xf>
    <xf numFmtId="168" fontId="11" fillId="0" borderId="68" xfId="0" applyNumberFormat="1" applyFont="1" applyFill="1" applyBorder="1" applyAlignment="1">
      <alignment horizontal="center"/>
    </xf>
    <xf numFmtId="168" fontId="11" fillId="0" borderId="88" xfId="0" applyNumberFormat="1" applyFont="1" applyFill="1" applyBorder="1" applyAlignment="1">
      <alignment horizontal="center"/>
    </xf>
    <xf numFmtId="168" fontId="2" fillId="0" borderId="96" xfId="0" applyNumberFormat="1" applyFont="1" applyFill="1" applyBorder="1" applyAlignment="1">
      <alignment horizontal="center"/>
    </xf>
    <xf numFmtId="168" fontId="2" fillId="0" borderId="24" xfId="0" applyNumberFormat="1" applyFont="1" applyFill="1" applyBorder="1" applyAlignment="1">
      <alignment horizontal="center"/>
    </xf>
    <xf numFmtId="168" fontId="2" fillId="0" borderId="65" xfId="0" applyNumberFormat="1" applyFont="1" applyFill="1" applyBorder="1" applyAlignment="1">
      <alignment horizontal="center"/>
    </xf>
    <xf numFmtId="168" fontId="6" fillId="0" borderId="189" xfId="0" applyNumberFormat="1" applyFont="1" applyFill="1" applyBorder="1" applyAlignment="1">
      <alignment horizontal="center"/>
    </xf>
    <xf numFmtId="168" fontId="6" fillId="0" borderId="24" xfId="0" applyNumberFormat="1" applyFont="1" applyFill="1" applyBorder="1" applyAlignment="1">
      <alignment horizontal="center"/>
    </xf>
    <xf numFmtId="168" fontId="6" fillId="0" borderId="89" xfId="0" applyNumberFormat="1" applyFont="1" applyFill="1" applyBorder="1" applyAlignment="1">
      <alignment horizontal="center"/>
    </xf>
    <xf numFmtId="0" fontId="11" fillId="0" borderId="64" xfId="0" applyFont="1" applyFill="1" applyBorder="1" applyAlignment="1">
      <alignment horizontal="center"/>
    </xf>
    <xf numFmtId="0" fontId="11" fillId="0" borderId="14" xfId="0" applyFont="1" applyFill="1" applyBorder="1" applyAlignment="1">
      <alignment horizontal="center"/>
    </xf>
    <xf numFmtId="0" fontId="11" fillId="0" borderId="84" xfId="0" applyFont="1" applyFill="1" applyBorder="1" applyAlignment="1">
      <alignment horizontal="center"/>
    </xf>
    <xf numFmtId="0" fontId="11" fillId="0" borderId="87" xfId="0" applyFont="1" applyFill="1" applyBorder="1" applyAlignment="1">
      <alignment horizontal="center"/>
    </xf>
    <xf numFmtId="0" fontId="11" fillId="0" borderId="6" xfId="0" applyFont="1" applyFill="1" applyBorder="1" applyAlignment="1">
      <alignment horizontal="center"/>
    </xf>
    <xf numFmtId="0" fontId="11" fillId="0" borderId="45" xfId="0" applyFont="1" applyFill="1" applyBorder="1" applyAlignment="1">
      <alignment horizontal="center"/>
    </xf>
    <xf numFmtId="0" fontId="19" fillId="0" borderId="159" xfId="0" applyNumberFormat="1" applyFont="1" applyFill="1" applyBorder="1" applyAlignment="1">
      <alignment horizontal="center" vertical="center"/>
    </xf>
    <xf numFmtId="0" fontId="19" fillId="0" borderId="68" xfId="0" applyNumberFormat="1" applyFont="1" applyFill="1" applyBorder="1" applyAlignment="1">
      <alignment horizontal="center" vertical="center"/>
    </xf>
    <xf numFmtId="0" fontId="19" fillId="0" borderId="88" xfId="0" applyNumberFormat="1" applyFont="1" applyFill="1" applyBorder="1" applyAlignment="1">
      <alignment horizontal="center" vertical="center"/>
    </xf>
    <xf numFmtId="168" fontId="2" fillId="0" borderId="189" xfId="0" applyNumberFormat="1" applyFont="1" applyFill="1" applyBorder="1" applyAlignment="1">
      <alignment horizontal="center"/>
    </xf>
    <xf numFmtId="168" fontId="2" fillId="0" borderId="89" xfId="0" applyNumberFormat="1" applyFont="1" applyFill="1" applyBorder="1" applyAlignment="1">
      <alignment horizontal="center"/>
    </xf>
    <xf numFmtId="168" fontId="2" fillId="0" borderId="192" xfId="0" applyNumberFormat="1" applyFont="1" applyFill="1" applyBorder="1" applyAlignment="1">
      <alignment horizontal="center"/>
    </xf>
    <xf numFmtId="168" fontId="2" fillId="0" borderId="166" xfId="0" applyNumberFormat="1" applyFont="1" applyFill="1" applyBorder="1" applyAlignment="1">
      <alignment horizontal="center"/>
    </xf>
    <xf numFmtId="168" fontId="2" fillId="0" borderId="167" xfId="0" applyNumberFormat="1" applyFont="1" applyFill="1" applyBorder="1" applyAlignment="1">
      <alignment horizontal="center"/>
    </xf>
    <xf numFmtId="168" fontId="2" fillId="0" borderId="165" xfId="0" applyNumberFormat="1" applyFont="1" applyFill="1" applyBorder="1" applyAlignment="1">
      <alignment horizontal="center"/>
    </xf>
    <xf numFmtId="168" fontId="2" fillId="0" borderId="190" xfId="0" applyNumberFormat="1" applyFont="1" applyFill="1" applyBorder="1" applyAlignment="1">
      <alignment horizontal="center"/>
    </xf>
    <xf numFmtId="168" fontId="2" fillId="0" borderId="189" xfId="0" quotePrefix="1" applyNumberFormat="1" applyFont="1" applyFill="1" applyBorder="1" applyAlignment="1">
      <alignment horizontal="center"/>
    </xf>
    <xf numFmtId="168" fontId="2" fillId="0" borderId="24" xfId="0" quotePrefix="1" applyNumberFormat="1" applyFont="1" applyFill="1" applyBorder="1" applyAlignment="1">
      <alignment horizontal="center"/>
    </xf>
    <xf numFmtId="168" fontId="2" fillId="0" borderId="89" xfId="0" quotePrefix="1" applyNumberFormat="1" applyFont="1" applyFill="1" applyBorder="1" applyAlignment="1">
      <alignment horizontal="center"/>
    </xf>
    <xf numFmtId="1" fontId="19" fillId="0" borderId="159" xfId="0" applyNumberFormat="1" applyFont="1" applyFill="1" applyBorder="1" applyAlignment="1">
      <alignment horizontal="center" vertical="center"/>
    </xf>
    <xf numFmtId="1" fontId="19" fillId="0" borderId="68" xfId="0" applyNumberFormat="1" applyFont="1" applyFill="1" applyBorder="1" applyAlignment="1">
      <alignment horizontal="center" vertical="center"/>
    </xf>
    <xf numFmtId="1" fontId="19" fillId="0" borderId="88" xfId="0" applyNumberFormat="1" applyFont="1" applyFill="1" applyBorder="1" applyAlignment="1">
      <alignment horizontal="center" vertical="center"/>
    </xf>
    <xf numFmtId="168" fontId="2" fillId="0" borderId="139" xfId="0" quotePrefix="1" applyNumberFormat="1" applyFont="1" applyFill="1" applyBorder="1" applyAlignment="1">
      <alignment horizontal="center"/>
    </xf>
    <xf numFmtId="168" fontId="2" fillId="0" borderId="14" xfId="0" quotePrefix="1" applyNumberFormat="1" applyFont="1" applyFill="1" applyBorder="1" applyAlignment="1">
      <alignment horizontal="center"/>
    </xf>
    <xf numFmtId="168" fontId="2" fillId="0" borderId="84" xfId="0" quotePrefix="1" applyNumberFormat="1" applyFont="1" applyFill="1" applyBorder="1" applyAlignment="1">
      <alignment horizontal="center"/>
    </xf>
    <xf numFmtId="168" fontId="2" fillId="0" borderId="62" xfId="0" applyNumberFormat="1" applyFont="1" applyFill="1" applyBorder="1" applyAlignment="1">
      <alignment horizontal="center"/>
    </xf>
    <xf numFmtId="168" fontId="2" fillId="0" borderId="38" xfId="0" applyNumberFormat="1" applyFont="1" applyFill="1" applyBorder="1" applyAlignment="1">
      <alignment horizontal="center"/>
    </xf>
    <xf numFmtId="168" fontId="2" fillId="0" borderId="39" xfId="0" applyNumberFormat="1" applyFont="1" applyFill="1" applyBorder="1" applyAlignment="1">
      <alignment horizontal="center"/>
    </xf>
    <xf numFmtId="168" fontId="2" fillId="0" borderId="165" xfId="0" quotePrefix="1" applyNumberFormat="1" applyFont="1" applyFill="1" applyBorder="1" applyAlignment="1">
      <alignment horizontal="center"/>
    </xf>
    <xf numFmtId="168" fontId="2" fillId="0" borderId="166" xfId="0" quotePrefix="1" applyNumberFormat="1" applyFont="1" applyFill="1" applyBorder="1" applyAlignment="1">
      <alignment horizontal="center"/>
    </xf>
    <xf numFmtId="168" fontId="2" fillId="0" borderId="190" xfId="0" quotePrefix="1" applyNumberFormat="1" applyFont="1" applyFill="1" applyBorder="1" applyAlignment="1">
      <alignment horizontal="center"/>
    </xf>
    <xf numFmtId="168" fontId="2" fillId="0" borderId="68" xfId="0" applyNumberFormat="1" applyFont="1" applyFill="1" applyBorder="1" applyAlignment="1">
      <alignment horizontal="center"/>
    </xf>
    <xf numFmtId="168" fontId="2" fillId="0" borderId="88" xfId="0" applyNumberFormat="1" applyFont="1" applyFill="1" applyBorder="1" applyAlignment="1">
      <alignment horizontal="center"/>
    </xf>
    <xf numFmtId="168" fontId="2" fillId="0" borderId="160" xfId="0" applyNumberFormat="1" applyFont="1" applyFill="1" applyBorder="1" applyAlignment="1">
      <alignment horizontal="center"/>
    </xf>
    <xf numFmtId="168" fontId="2" fillId="0" borderId="223" xfId="0" applyNumberFormat="1" applyFont="1" applyFill="1" applyBorder="1" applyAlignment="1">
      <alignment horizontal="center"/>
    </xf>
    <xf numFmtId="168" fontId="2" fillId="0" borderId="114" xfId="0" applyNumberFormat="1" applyFont="1" applyFill="1" applyBorder="1" applyAlignment="1">
      <alignment horizontal="center"/>
    </xf>
    <xf numFmtId="168" fontId="2" fillId="0" borderId="129" xfId="0" applyNumberFormat="1" applyFont="1" applyFill="1" applyBorder="1" applyAlignment="1">
      <alignment horizontal="center"/>
    </xf>
    <xf numFmtId="168" fontId="2" fillId="0" borderId="155" xfId="0" applyNumberFormat="1" applyFont="1" applyFill="1" applyBorder="1" applyAlignment="1">
      <alignment horizontal="center"/>
    </xf>
    <xf numFmtId="168" fontId="2" fillId="0" borderId="153" xfId="0" quotePrefix="1" applyNumberFormat="1" applyFont="1" applyFill="1" applyBorder="1" applyAlignment="1">
      <alignment horizontal="center"/>
    </xf>
    <xf numFmtId="168" fontId="2" fillId="0" borderId="129" xfId="0" quotePrefix="1" applyNumberFormat="1" applyFont="1" applyFill="1" applyBorder="1" applyAlignment="1">
      <alignment horizontal="center"/>
    </xf>
    <xf numFmtId="168" fontId="2" fillId="0" borderId="115" xfId="0" quotePrefix="1" applyNumberFormat="1" applyFont="1" applyFill="1" applyBorder="1" applyAlignment="1">
      <alignment horizontal="center"/>
    </xf>
    <xf numFmtId="168" fontId="19" fillId="0" borderId="159" xfId="0" applyNumberFormat="1" applyFont="1" applyFill="1" applyBorder="1" applyAlignment="1">
      <alignment horizontal="center"/>
    </xf>
    <xf numFmtId="168" fontId="19" fillId="0" borderId="68" xfId="0" applyNumberFormat="1" applyFont="1" applyFill="1" applyBorder="1" applyAlignment="1">
      <alignment horizontal="center"/>
    </xf>
    <xf numFmtId="168" fontId="19" fillId="0" borderId="88" xfId="0" applyNumberFormat="1" applyFont="1" applyFill="1" applyBorder="1" applyAlignment="1">
      <alignment horizontal="center"/>
    </xf>
    <xf numFmtId="168" fontId="19" fillId="0" borderId="64" xfId="0" applyNumberFormat="1" applyFont="1" applyFill="1" applyBorder="1" applyAlignment="1">
      <alignment horizontal="center"/>
    </xf>
    <xf numFmtId="168" fontId="19" fillId="0" borderId="14" xfId="0" applyNumberFormat="1" applyFont="1" applyFill="1" applyBorder="1" applyAlignment="1">
      <alignment horizontal="center"/>
    </xf>
    <xf numFmtId="168" fontId="19" fillId="0" borderId="84" xfId="0" applyNumberFormat="1" applyFont="1" applyFill="1" applyBorder="1" applyAlignment="1">
      <alignment horizontal="center"/>
    </xf>
    <xf numFmtId="168" fontId="2" fillId="0" borderId="177" xfId="0" applyNumberFormat="1" applyFont="1" applyFill="1" applyBorder="1" applyAlignment="1">
      <alignment horizontal="center"/>
    </xf>
    <xf numFmtId="168" fontId="2" fillId="0" borderId="25" xfId="0" applyNumberFormat="1" applyFont="1" applyFill="1" applyBorder="1" applyAlignment="1">
      <alignment horizontal="center"/>
    </xf>
    <xf numFmtId="168" fontId="2" fillId="0" borderId="153" xfId="0" applyNumberFormat="1" applyFont="1" applyFill="1" applyBorder="1" applyAlignment="1">
      <alignment horizontal="center"/>
    </xf>
    <xf numFmtId="168" fontId="2" fillId="0" borderId="215" xfId="0" applyNumberFormat="1" applyFont="1" applyFill="1" applyBorder="1" applyAlignment="1">
      <alignment horizontal="center"/>
    </xf>
    <xf numFmtId="168" fontId="19" fillId="0" borderId="168" xfId="0" applyNumberFormat="1" applyFont="1" applyFill="1" applyBorder="1" applyAlignment="1">
      <alignment horizontal="center"/>
    </xf>
    <xf numFmtId="168" fontId="19" fillId="0" borderId="158" xfId="0" applyNumberFormat="1" applyFont="1" applyFill="1" applyBorder="1" applyAlignment="1">
      <alignment horizontal="center"/>
    </xf>
    <xf numFmtId="168" fontId="19" fillId="0" borderId="169" xfId="0" applyNumberFormat="1" applyFont="1" applyFill="1" applyBorder="1" applyAlignment="1">
      <alignment horizontal="center"/>
    </xf>
    <xf numFmtId="168" fontId="6" fillId="0" borderId="209" xfId="0" applyNumberFormat="1" applyFont="1" applyFill="1" applyBorder="1" applyAlignment="1">
      <alignment horizontal="center"/>
    </xf>
    <xf numFmtId="168" fontId="6" fillId="0" borderId="68" xfId="0" applyNumberFormat="1" applyFont="1" applyFill="1" applyBorder="1" applyAlignment="1">
      <alignment horizontal="center"/>
    </xf>
    <xf numFmtId="168" fontId="2" fillId="0" borderId="64" xfId="0" applyNumberFormat="1" applyFont="1" applyFill="1" applyBorder="1" applyAlignment="1">
      <alignment horizontal="center"/>
    </xf>
    <xf numFmtId="168" fontId="2" fillId="0" borderId="87" xfId="0" quotePrefix="1" applyNumberFormat="1" applyFont="1" applyFill="1" applyBorder="1" applyAlignment="1">
      <alignment horizontal="center"/>
    </xf>
    <xf numFmtId="168" fontId="2" fillId="0" borderId="6" xfId="0" quotePrefix="1" applyNumberFormat="1" applyFont="1" applyFill="1" applyBorder="1" applyAlignment="1">
      <alignment horizontal="center"/>
    </xf>
    <xf numFmtId="168" fontId="2" fillId="0" borderId="17" xfId="0" quotePrefix="1" applyNumberFormat="1" applyFont="1" applyFill="1" applyBorder="1" applyAlignment="1">
      <alignment horizontal="center"/>
    </xf>
    <xf numFmtId="168" fontId="2" fillId="0" borderId="22" xfId="0" applyNumberFormat="1" applyFont="1" applyFill="1" applyBorder="1" applyAlignment="1">
      <alignment horizontal="center"/>
    </xf>
    <xf numFmtId="168" fontId="2" fillId="0" borderId="17" xfId="0" applyNumberFormat="1" applyFont="1" applyFill="1" applyBorder="1" applyAlignment="1">
      <alignment horizontal="center"/>
    </xf>
    <xf numFmtId="168" fontId="2" fillId="0" borderId="6" xfId="0" applyNumberFormat="1" applyFont="1" applyFill="1" applyBorder="1" applyAlignment="1">
      <alignment horizontal="center"/>
    </xf>
    <xf numFmtId="168" fontId="2" fillId="0" borderId="45" xfId="0" applyNumberFormat="1" applyFont="1" applyFill="1" applyBorder="1" applyAlignment="1">
      <alignment horizontal="center"/>
    </xf>
    <xf numFmtId="168" fontId="6" fillId="0" borderId="14" xfId="0" quotePrefix="1" applyNumberFormat="1" applyFont="1" applyFill="1" applyBorder="1" applyAlignment="1">
      <alignment horizontal="center"/>
    </xf>
    <xf numFmtId="168" fontId="6" fillId="0" borderId="62" xfId="0" quotePrefix="1" applyNumberFormat="1" applyFont="1" applyFill="1" applyBorder="1" applyAlignment="1">
      <alignment horizontal="center"/>
    </xf>
    <xf numFmtId="168" fontId="6" fillId="0" borderId="64" xfId="0" quotePrefix="1" applyNumberFormat="1" applyFont="1" applyFill="1" applyBorder="1" applyAlignment="1">
      <alignment horizontal="center"/>
    </xf>
    <xf numFmtId="168" fontId="6" fillId="0" borderId="84" xfId="0" quotePrefix="1" applyNumberFormat="1" applyFont="1" applyFill="1" applyBorder="1" applyAlignment="1">
      <alignment horizontal="center"/>
    </xf>
    <xf numFmtId="168" fontId="6" fillId="0" borderId="64" xfId="0" applyNumberFormat="1" applyFont="1" applyFill="1" applyBorder="1" applyAlignment="1">
      <alignment horizontal="center"/>
    </xf>
    <xf numFmtId="168" fontId="6" fillId="0" borderId="14" xfId="0" applyNumberFormat="1" applyFont="1" applyFill="1" applyBorder="1" applyAlignment="1">
      <alignment horizontal="center"/>
    </xf>
    <xf numFmtId="168" fontId="6" fillId="0" borderId="84" xfId="0" applyNumberFormat="1" applyFont="1" applyFill="1" applyBorder="1" applyAlignment="1">
      <alignment horizontal="center"/>
    </xf>
    <xf numFmtId="168" fontId="19" fillId="0" borderId="159" xfId="0" applyNumberFormat="1" applyFont="1" applyFill="1" applyBorder="1" applyAlignment="1">
      <alignment horizontal="center" vertical="center"/>
    </xf>
    <xf numFmtId="168" fontId="19" fillId="0" borderId="68" xfId="0" applyNumberFormat="1" applyFont="1" applyFill="1" applyBorder="1" applyAlignment="1">
      <alignment horizontal="center" vertical="center"/>
    </xf>
    <xf numFmtId="168" fontId="19" fillId="0" borderId="88" xfId="0" applyNumberFormat="1" applyFont="1" applyFill="1" applyBorder="1" applyAlignment="1">
      <alignment horizontal="center" vertical="center"/>
    </xf>
    <xf numFmtId="168" fontId="6" fillId="0" borderId="34"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16" xfId="0" applyNumberFormat="1" applyFont="1" applyFill="1" applyBorder="1" applyAlignment="1">
      <alignment horizontal="center"/>
    </xf>
    <xf numFmtId="0" fontId="16" fillId="0" borderId="116" xfId="0" applyFont="1" applyFill="1" applyBorder="1" applyAlignment="1">
      <alignment horizontal="center"/>
    </xf>
    <xf numFmtId="0" fontId="16" fillId="0" borderId="74" xfId="0" applyFont="1" applyFill="1" applyBorder="1" applyAlignment="1">
      <alignment horizontal="center"/>
    </xf>
    <xf numFmtId="168" fontId="6" fillId="0" borderId="218" xfId="0" applyNumberFormat="1" applyFont="1" applyFill="1" applyBorder="1" applyAlignment="1">
      <alignment horizontal="center" vertical="center"/>
    </xf>
    <xf numFmtId="168" fontId="6" fillId="0" borderId="55" xfId="0" applyNumberFormat="1" applyFont="1" applyFill="1" applyBorder="1" applyAlignment="1">
      <alignment horizontal="center" vertical="center"/>
    </xf>
    <xf numFmtId="168" fontId="6" fillId="0" borderId="219" xfId="0" applyNumberFormat="1" applyFont="1" applyFill="1" applyBorder="1" applyAlignment="1">
      <alignment horizontal="center" vertical="center"/>
    </xf>
    <xf numFmtId="168" fontId="6" fillId="0" borderId="64" xfId="0" applyNumberFormat="1" applyFont="1" applyFill="1" applyBorder="1" applyAlignment="1">
      <alignment horizontal="center" vertical="center"/>
    </xf>
    <xf numFmtId="168" fontId="6" fillId="0" borderId="14" xfId="0" applyNumberFormat="1" applyFont="1" applyFill="1" applyBorder="1" applyAlignment="1">
      <alignment horizontal="center" vertical="center"/>
    </xf>
    <xf numFmtId="168" fontId="6" fillId="0" borderId="84" xfId="0" applyNumberFormat="1" applyFont="1" applyFill="1" applyBorder="1" applyAlignment="1">
      <alignment horizontal="center" vertical="center"/>
    </xf>
    <xf numFmtId="168" fontId="2" fillId="0" borderId="64" xfId="0" applyNumberFormat="1" applyFont="1" applyFill="1" applyBorder="1" applyAlignment="1">
      <alignment horizontal="center" vertical="center"/>
    </xf>
    <xf numFmtId="168" fontId="2" fillId="0" borderId="14" xfId="0" applyNumberFormat="1" applyFont="1" applyFill="1" applyBorder="1" applyAlignment="1">
      <alignment horizontal="center" vertical="center"/>
    </xf>
    <xf numFmtId="168" fontId="2" fillId="0" borderId="84" xfId="0" applyNumberFormat="1" applyFont="1" applyFill="1" applyBorder="1" applyAlignment="1">
      <alignment horizontal="center" vertical="center"/>
    </xf>
    <xf numFmtId="0" fontId="16" fillId="0" borderId="148" xfId="0" applyFont="1" applyFill="1" applyBorder="1" applyAlignment="1">
      <alignment horizontal="center"/>
    </xf>
    <xf numFmtId="0" fontId="11" fillId="0" borderId="153" xfId="0" applyFont="1" applyFill="1" applyBorder="1" applyAlignment="1">
      <alignment horizontal="center"/>
    </xf>
    <xf numFmtId="0" fontId="11" fillId="0" borderId="129" xfId="0" applyFont="1" applyFill="1" applyBorder="1" applyAlignment="1">
      <alignment horizontal="center"/>
    </xf>
    <xf numFmtId="0" fontId="11" fillId="0" borderId="155" xfId="0" applyFont="1" applyFill="1" applyBorder="1" applyAlignment="1">
      <alignment horizontal="center"/>
    </xf>
    <xf numFmtId="168" fontId="2" fillId="0" borderId="114" xfId="0" quotePrefix="1" applyNumberFormat="1" applyFont="1" applyFill="1" applyBorder="1" applyAlignment="1">
      <alignment horizontal="center"/>
    </xf>
    <xf numFmtId="168" fontId="19" fillId="0" borderId="64" xfId="0" applyNumberFormat="1" applyFont="1" applyFill="1" applyBorder="1" applyAlignment="1">
      <alignment horizontal="center" vertical="center"/>
    </xf>
    <xf numFmtId="168" fontId="19" fillId="0" borderId="14" xfId="0" applyNumberFormat="1" applyFont="1" applyFill="1" applyBorder="1" applyAlignment="1">
      <alignment horizontal="center" vertical="center"/>
    </xf>
    <xf numFmtId="168" fontId="19" fillId="0" borderId="84" xfId="0" applyNumberFormat="1" applyFont="1" applyFill="1" applyBorder="1" applyAlignment="1">
      <alignment horizontal="center" vertical="center"/>
    </xf>
    <xf numFmtId="168" fontId="2" fillId="0" borderId="115" xfId="0" applyNumberFormat="1" applyFont="1" applyFill="1" applyBorder="1" applyAlignment="1">
      <alignment horizontal="center"/>
    </xf>
    <xf numFmtId="168" fontId="2" fillId="0" borderId="96" xfId="0" quotePrefix="1" applyNumberFormat="1" applyFont="1" applyFill="1" applyBorder="1" applyAlignment="1">
      <alignment horizontal="center"/>
    </xf>
    <xf numFmtId="0" fontId="2" fillId="0" borderId="64" xfId="0" applyFont="1" applyFill="1" applyBorder="1" applyAlignment="1">
      <alignment horizontal="center"/>
    </xf>
    <xf numFmtId="0" fontId="2" fillId="0" borderId="14" xfId="0" applyFont="1" applyFill="1" applyBorder="1" applyAlignment="1">
      <alignment horizontal="center"/>
    </xf>
    <xf numFmtId="0" fontId="2" fillId="0" borderId="84" xfId="0" applyFont="1" applyFill="1" applyBorder="1" applyAlignment="1">
      <alignment horizontal="center"/>
    </xf>
    <xf numFmtId="49" fontId="19" fillId="0" borderId="159" xfId="0" applyNumberFormat="1" applyFont="1" applyFill="1" applyBorder="1" applyAlignment="1">
      <alignment horizontal="center"/>
    </xf>
    <xf numFmtId="49" fontId="19" fillId="0" borderId="68" xfId="0" applyNumberFormat="1" applyFont="1" applyFill="1" applyBorder="1" applyAlignment="1">
      <alignment horizontal="center"/>
    </xf>
    <xf numFmtId="168" fontId="2" fillId="0" borderId="0" xfId="0" applyNumberFormat="1" applyFont="1" applyFill="1" applyAlignment="1">
      <alignment horizontal="center"/>
    </xf>
    <xf numFmtId="0" fontId="2" fillId="0" borderId="64"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84" xfId="0" applyFont="1" applyFill="1" applyBorder="1" applyAlignment="1">
      <alignment horizontal="center" vertical="center"/>
    </xf>
    <xf numFmtId="0" fontId="2" fillId="0" borderId="14" xfId="0" applyFont="1" applyFill="1" applyBorder="1" applyAlignment="1">
      <alignment horizontal="center" vertical="center"/>
    </xf>
    <xf numFmtId="0" fontId="6" fillId="0" borderId="62" xfId="0" applyFont="1" applyFill="1" applyBorder="1" applyAlignment="1">
      <alignment horizontal="center" vertical="center"/>
    </xf>
    <xf numFmtId="168" fontId="19" fillId="0" borderId="1" xfId="0" applyNumberFormat="1" applyFont="1" applyFill="1" applyBorder="1" applyAlignment="1">
      <alignment horizontal="center" vertical="center"/>
    </xf>
    <xf numFmtId="168" fontId="19" fillId="0" borderId="44" xfId="0" applyNumberFormat="1" applyFont="1" applyFill="1" applyBorder="1" applyAlignment="1">
      <alignment horizontal="center" vertical="center"/>
    </xf>
    <xf numFmtId="168" fontId="2" fillId="0" borderId="116" xfId="0" applyNumberFormat="1" applyFont="1" applyFill="1" applyBorder="1" applyAlignment="1">
      <alignment horizontal="center"/>
    </xf>
    <xf numFmtId="168" fontId="2" fillId="0" borderId="75" xfId="0" applyNumberFormat="1" applyFont="1" applyFill="1" applyBorder="1" applyAlignment="1">
      <alignment horizontal="center"/>
    </xf>
    <xf numFmtId="168" fontId="2" fillId="0" borderId="74" xfId="0" applyNumberFormat="1" applyFont="1" applyFill="1" applyBorder="1" applyAlignment="1">
      <alignment horizontal="center"/>
    </xf>
    <xf numFmtId="0" fontId="2" fillId="0" borderId="84" xfId="0" applyFont="1" applyFill="1" applyBorder="1" applyAlignment="1">
      <alignment horizontal="center" vertical="center"/>
    </xf>
    <xf numFmtId="0" fontId="6" fillId="0" borderId="64" xfId="0" applyFont="1" applyFill="1" applyBorder="1" applyAlignment="1">
      <alignment horizontal="center" vertical="center"/>
    </xf>
    <xf numFmtId="49" fontId="19" fillId="0" borderId="88" xfId="0" applyNumberFormat="1" applyFont="1" applyFill="1" applyBorder="1" applyAlignment="1">
      <alignment horizontal="center"/>
    </xf>
    <xf numFmtId="168" fontId="6" fillId="0" borderId="6" xfId="0" applyNumberFormat="1" applyFont="1" applyFill="1" applyBorder="1" applyAlignment="1">
      <alignment horizontal="center"/>
    </xf>
    <xf numFmtId="0" fontId="6" fillId="0" borderId="0" xfId="0" applyFont="1" applyFill="1" applyAlignment="1">
      <alignment horizontal="center"/>
    </xf>
    <xf numFmtId="168" fontId="6" fillId="0" borderId="133" xfId="0" applyNumberFormat="1" applyFont="1" applyFill="1" applyBorder="1" applyAlignment="1">
      <alignment horizontal="center" vertical="center"/>
    </xf>
    <xf numFmtId="168" fontId="6" fillId="0" borderId="38" xfId="0" applyNumberFormat="1" applyFont="1" applyFill="1" applyBorder="1" applyAlignment="1">
      <alignment horizontal="center" vertical="center"/>
    </xf>
    <xf numFmtId="168" fontId="6" fillId="0" borderId="39" xfId="0" applyNumberFormat="1" applyFont="1" applyFill="1" applyBorder="1" applyAlignment="1">
      <alignment horizontal="center" vertical="center"/>
    </xf>
    <xf numFmtId="0" fontId="2" fillId="0" borderId="7" xfId="0" applyFont="1" applyFill="1" applyBorder="1" applyAlignment="1">
      <alignment horizontal="center"/>
    </xf>
    <xf numFmtId="0" fontId="2" fillId="0" borderId="0" xfId="0" applyFont="1" applyFill="1" applyBorder="1" applyAlignment="1">
      <alignment horizontal="center"/>
    </xf>
    <xf numFmtId="0" fontId="2" fillId="0" borderId="8" xfId="0" applyFont="1" applyFill="1" applyBorder="1" applyAlignment="1">
      <alignment horizontal="center"/>
    </xf>
    <xf numFmtId="0" fontId="2" fillId="0" borderId="116" xfId="0" applyFont="1" applyFill="1" applyBorder="1" applyAlignment="1">
      <alignment horizontal="center"/>
    </xf>
    <xf numFmtId="0" fontId="2" fillId="0" borderId="74" xfId="0" applyFont="1" applyFill="1" applyBorder="1" applyAlignment="1">
      <alignment horizontal="center"/>
    </xf>
    <xf numFmtId="0" fontId="2" fillId="0" borderId="83" xfId="0" applyFont="1" applyFill="1" applyBorder="1" applyAlignment="1">
      <alignment horizontal="center"/>
    </xf>
    <xf numFmtId="0" fontId="2" fillId="0" borderId="153" xfId="0" applyNumberFormat="1" applyFont="1" applyFill="1" applyBorder="1" applyAlignment="1">
      <alignment horizontal="center"/>
    </xf>
    <xf numFmtId="0" fontId="2" fillId="0" borderId="129" xfId="0" applyNumberFormat="1" applyFont="1" applyFill="1" applyBorder="1" applyAlignment="1">
      <alignment horizontal="center"/>
    </xf>
    <xf numFmtId="0" fontId="2" fillId="0" borderId="115" xfId="0" applyNumberFormat="1" applyFont="1" applyFill="1" applyBorder="1" applyAlignment="1">
      <alignment horizontal="center"/>
    </xf>
    <xf numFmtId="168" fontId="2" fillId="0" borderId="112" xfId="0" applyNumberFormat="1" applyFont="1" applyFill="1" applyBorder="1" applyAlignment="1">
      <alignment horizontal="center"/>
    </xf>
    <xf numFmtId="0" fontId="6" fillId="0" borderId="34" xfId="0" applyFont="1" applyFill="1" applyBorder="1" applyAlignment="1">
      <alignment horizontal="center"/>
    </xf>
    <xf numFmtId="0" fontId="6" fillId="0" borderId="0" xfId="0" applyFont="1" applyFill="1" applyBorder="1" applyAlignment="1">
      <alignment horizontal="center"/>
    </xf>
    <xf numFmtId="0" fontId="2" fillId="0" borderId="34" xfId="0" applyFont="1" applyFill="1" applyBorder="1" applyAlignment="1">
      <alignment horizontal="center"/>
    </xf>
    <xf numFmtId="0" fontId="27" fillId="0" borderId="130" xfId="0" applyFont="1" applyFill="1" applyBorder="1" applyAlignment="1">
      <alignment wrapText="1"/>
    </xf>
    <xf numFmtId="0" fontId="27" fillId="0" borderId="79" xfId="0" applyFont="1" applyFill="1" applyBorder="1" applyAlignment="1">
      <alignment wrapText="1"/>
    </xf>
    <xf numFmtId="0" fontId="27" fillId="0" borderId="130" xfId="0" applyFont="1" applyFill="1" applyBorder="1" applyAlignment="1">
      <alignment horizontal="center" wrapText="1"/>
    </xf>
    <xf numFmtId="0" fontId="27" fillId="0" borderId="79" xfId="0" applyFont="1" applyFill="1" applyBorder="1" applyAlignment="1">
      <alignment horizontal="center" wrapText="1"/>
    </xf>
    <xf numFmtId="38" fontId="2" fillId="0" borderId="7" xfId="0" applyNumberFormat="1" applyFont="1" applyFill="1" applyBorder="1" applyAlignment="1">
      <alignment horizontal="center"/>
    </xf>
    <xf numFmtId="38" fontId="2" fillId="0" borderId="0" xfId="0" applyNumberFormat="1" applyFont="1" applyFill="1" applyBorder="1" applyAlignment="1">
      <alignment horizontal="center"/>
    </xf>
    <xf numFmtId="38" fontId="2" fillId="0" borderId="8" xfId="0" applyNumberFormat="1" applyFont="1" applyFill="1" applyBorder="1" applyAlignment="1">
      <alignment horizontal="center"/>
    </xf>
    <xf numFmtId="0" fontId="2" fillId="0" borderId="177" xfId="0" applyFont="1" applyFill="1" applyBorder="1" applyAlignment="1">
      <alignment horizontal="center"/>
    </xf>
    <xf numFmtId="0" fontId="2" fillId="0" borderId="24" xfId="0" applyFont="1" applyFill="1" applyBorder="1" applyAlignment="1">
      <alignment horizontal="center"/>
    </xf>
    <xf numFmtId="0" fontId="2" fillId="0" borderId="25" xfId="0" applyFont="1" applyFill="1" applyBorder="1" applyAlignment="1">
      <alignment horizontal="center"/>
    </xf>
    <xf numFmtId="168" fontId="2" fillId="0" borderId="7" xfId="0" applyNumberFormat="1" applyFont="1" applyFill="1" applyBorder="1" applyAlignment="1">
      <alignment horizontal="center"/>
    </xf>
    <xf numFmtId="168" fontId="2" fillId="0" borderId="0" xfId="0" applyNumberFormat="1" applyFont="1" applyFill="1" applyBorder="1" applyAlignment="1">
      <alignment horizontal="center"/>
    </xf>
    <xf numFmtId="168" fontId="2" fillId="0" borderId="8" xfId="0" applyNumberFormat="1" applyFont="1" applyFill="1" applyBorder="1" applyAlignment="1">
      <alignment horizontal="center"/>
    </xf>
    <xf numFmtId="1" fontId="2" fillId="0" borderId="0" xfId="0" applyNumberFormat="1" applyFont="1" applyFill="1" applyAlignment="1">
      <alignment horizontal="center"/>
    </xf>
    <xf numFmtId="168" fontId="11" fillId="0" borderId="133" xfId="0" applyNumberFormat="1" applyFont="1" applyFill="1" applyBorder="1" applyAlignment="1">
      <alignment horizontal="center"/>
    </xf>
    <xf numFmtId="168" fontId="11" fillId="0" borderId="38" xfId="0" applyNumberFormat="1" applyFont="1" applyFill="1" applyBorder="1" applyAlignment="1">
      <alignment horizontal="center"/>
    </xf>
    <xf numFmtId="168" fontId="11" fillId="0" borderId="39" xfId="0" applyNumberFormat="1" applyFont="1" applyFill="1" applyBorder="1" applyAlignment="1">
      <alignment horizontal="center"/>
    </xf>
    <xf numFmtId="0" fontId="2" fillId="0" borderId="16" xfId="0" applyFont="1" applyFill="1" applyBorder="1" applyAlignment="1">
      <alignment horizontal="center"/>
    </xf>
    <xf numFmtId="0" fontId="2" fillId="0" borderId="89" xfId="0" applyFont="1" applyFill="1" applyBorder="1" applyAlignment="1">
      <alignment horizontal="center"/>
    </xf>
    <xf numFmtId="0" fontId="2" fillId="0" borderId="96" xfId="0" applyFont="1" applyFill="1" applyBorder="1" applyAlignment="1">
      <alignment horizontal="center"/>
    </xf>
  </cellXfs>
  <cellStyles count="14">
    <cellStyle name="Comma" xfId="1" builtinId="3"/>
    <cellStyle name="Comma 2" xfId="7"/>
    <cellStyle name="Comma 2 2" xfId="13"/>
    <cellStyle name="Comma 3" xfId="11"/>
    <cellStyle name="Comma 4" xfId="9"/>
    <cellStyle name="Currency" xfId="2" builtinId="4"/>
    <cellStyle name="Hyperlink" xfId="3" builtinId="8"/>
    <cellStyle name="Normal" xfId="0" builtinId="0"/>
    <cellStyle name="Normal 2" xfId="5"/>
    <cellStyle name="Normal 2 2" xfId="12"/>
    <cellStyle name="Normal 3" xfId="8"/>
    <cellStyle name="Normal 3 2" xfId="10"/>
    <cellStyle name="Percent" xfId="4" builtinId="5"/>
    <cellStyle name="Percent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35329408"/>
        <c:axId val="235330944"/>
      </c:barChart>
      <c:catAx>
        <c:axId val="235329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330944"/>
        <c:crosses val="autoZero"/>
        <c:auto val="0"/>
        <c:lblAlgn val="ctr"/>
        <c:lblOffset val="100"/>
        <c:tickLblSkip val="1"/>
        <c:tickMarkSkip val="1"/>
        <c:noMultiLvlLbl val="0"/>
      </c:catAx>
      <c:valAx>
        <c:axId val="2353309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32940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575680"/>
        <c:axId val="251581568"/>
      </c:barChart>
      <c:catAx>
        <c:axId val="251575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581568"/>
        <c:crosses val="autoZero"/>
        <c:auto val="0"/>
        <c:lblAlgn val="ctr"/>
        <c:lblOffset val="100"/>
        <c:tickLblSkip val="1"/>
        <c:tickMarkSkip val="1"/>
        <c:noMultiLvlLbl val="0"/>
      </c:catAx>
      <c:valAx>
        <c:axId val="251581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5756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180032"/>
        <c:axId val="427181568"/>
      </c:barChart>
      <c:catAx>
        <c:axId val="427180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181568"/>
        <c:crosses val="autoZero"/>
        <c:auto val="0"/>
        <c:lblAlgn val="ctr"/>
        <c:lblOffset val="100"/>
        <c:tickLblSkip val="1"/>
        <c:tickMarkSkip val="1"/>
        <c:noMultiLvlLbl val="0"/>
      </c:catAx>
      <c:valAx>
        <c:axId val="427181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1800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215488"/>
        <c:axId val="427217280"/>
      </c:barChart>
      <c:catAx>
        <c:axId val="4272154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217280"/>
        <c:crosses val="autoZero"/>
        <c:auto val="0"/>
        <c:lblAlgn val="ctr"/>
        <c:lblOffset val="100"/>
        <c:tickLblSkip val="1"/>
        <c:tickMarkSkip val="1"/>
        <c:noMultiLvlLbl val="0"/>
      </c:catAx>
      <c:valAx>
        <c:axId val="4272172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21548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302912"/>
        <c:axId val="427304448"/>
      </c:barChart>
      <c:catAx>
        <c:axId val="427302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304448"/>
        <c:crosses val="autoZero"/>
        <c:auto val="0"/>
        <c:lblAlgn val="ctr"/>
        <c:lblOffset val="100"/>
        <c:tickLblSkip val="1"/>
        <c:tickMarkSkip val="1"/>
        <c:noMultiLvlLbl val="0"/>
      </c:catAx>
      <c:valAx>
        <c:axId val="4273044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3029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356544"/>
        <c:axId val="427358080"/>
      </c:barChart>
      <c:catAx>
        <c:axId val="4273565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358080"/>
        <c:crosses val="autoZero"/>
        <c:auto val="0"/>
        <c:lblAlgn val="ctr"/>
        <c:lblOffset val="100"/>
        <c:tickLblSkip val="1"/>
        <c:tickMarkSkip val="1"/>
        <c:noMultiLvlLbl val="0"/>
      </c:catAx>
      <c:valAx>
        <c:axId val="4273580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35654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378560"/>
        <c:axId val="427380096"/>
      </c:barChart>
      <c:catAx>
        <c:axId val="4273785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380096"/>
        <c:crossesAt val="0"/>
        <c:auto val="0"/>
        <c:lblAlgn val="ctr"/>
        <c:lblOffset val="100"/>
        <c:tickLblSkip val="1"/>
        <c:tickMarkSkip val="1"/>
        <c:noMultiLvlLbl val="0"/>
      </c:catAx>
      <c:valAx>
        <c:axId val="42738009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37856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443712"/>
        <c:axId val="427445248"/>
      </c:barChart>
      <c:catAx>
        <c:axId val="4274437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445248"/>
        <c:crosses val="autoZero"/>
        <c:auto val="0"/>
        <c:lblAlgn val="ctr"/>
        <c:lblOffset val="100"/>
        <c:tickLblSkip val="1"/>
        <c:tickMarkSkip val="1"/>
        <c:noMultiLvlLbl val="0"/>
      </c:catAx>
      <c:valAx>
        <c:axId val="4274452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44371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469824"/>
        <c:axId val="427475712"/>
      </c:barChart>
      <c:catAx>
        <c:axId val="4274698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475712"/>
        <c:crosses val="autoZero"/>
        <c:auto val="0"/>
        <c:lblAlgn val="ctr"/>
        <c:lblOffset val="100"/>
        <c:tickLblSkip val="1"/>
        <c:tickMarkSkip val="1"/>
        <c:noMultiLvlLbl val="0"/>
      </c:catAx>
      <c:valAx>
        <c:axId val="4274757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4698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336480128"/>
        <c:axId val="336481664"/>
      </c:barChart>
      <c:catAx>
        <c:axId val="3364801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481664"/>
        <c:crosses val="autoZero"/>
        <c:auto val="0"/>
        <c:lblAlgn val="ctr"/>
        <c:lblOffset val="100"/>
        <c:tickLblSkip val="1"/>
        <c:tickMarkSkip val="1"/>
        <c:noMultiLvlLbl val="0"/>
      </c:catAx>
      <c:valAx>
        <c:axId val="336481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48012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336493568"/>
        <c:axId val="336515840"/>
      </c:barChart>
      <c:catAx>
        <c:axId val="3364935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515840"/>
        <c:crosses val="autoZero"/>
        <c:auto val="0"/>
        <c:lblAlgn val="ctr"/>
        <c:lblOffset val="100"/>
        <c:tickLblSkip val="1"/>
        <c:tickMarkSkip val="1"/>
        <c:noMultiLvlLbl val="0"/>
      </c:catAx>
      <c:valAx>
        <c:axId val="336515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4935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336559488"/>
        <c:axId val="336573568"/>
      </c:barChart>
      <c:catAx>
        <c:axId val="3365594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573568"/>
        <c:crosses val="autoZero"/>
        <c:auto val="0"/>
        <c:lblAlgn val="ctr"/>
        <c:lblOffset val="100"/>
        <c:tickLblSkip val="1"/>
        <c:tickMarkSkip val="1"/>
        <c:noMultiLvlLbl val="0"/>
      </c:catAx>
      <c:valAx>
        <c:axId val="336573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55948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640064"/>
        <c:axId val="251650048"/>
      </c:barChart>
      <c:catAx>
        <c:axId val="2516400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650048"/>
        <c:crosses val="autoZero"/>
        <c:auto val="0"/>
        <c:lblAlgn val="ctr"/>
        <c:lblOffset val="100"/>
        <c:tickLblSkip val="1"/>
        <c:tickMarkSkip val="1"/>
        <c:noMultiLvlLbl val="0"/>
      </c:catAx>
      <c:valAx>
        <c:axId val="2516500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64006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336585856"/>
        <c:axId val="336587392"/>
      </c:barChart>
      <c:catAx>
        <c:axId val="3365858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587392"/>
        <c:crossesAt val="0"/>
        <c:auto val="0"/>
        <c:lblAlgn val="ctr"/>
        <c:lblOffset val="100"/>
        <c:tickLblSkip val="1"/>
        <c:tickMarkSkip val="1"/>
        <c:noMultiLvlLbl val="0"/>
      </c:catAx>
      <c:valAx>
        <c:axId val="33658739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5858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799296"/>
        <c:axId val="427800832"/>
      </c:barChart>
      <c:catAx>
        <c:axId val="4277992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800832"/>
        <c:crosses val="autoZero"/>
        <c:auto val="0"/>
        <c:lblAlgn val="ctr"/>
        <c:lblOffset val="100"/>
        <c:tickLblSkip val="1"/>
        <c:tickMarkSkip val="1"/>
        <c:noMultiLvlLbl val="0"/>
      </c:catAx>
      <c:valAx>
        <c:axId val="4278008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79929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895040"/>
        <c:axId val="427896832"/>
      </c:barChart>
      <c:catAx>
        <c:axId val="4278950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896832"/>
        <c:crosses val="autoZero"/>
        <c:auto val="0"/>
        <c:lblAlgn val="ctr"/>
        <c:lblOffset val="100"/>
        <c:tickLblSkip val="1"/>
        <c:tickMarkSkip val="1"/>
        <c:noMultiLvlLbl val="0"/>
      </c:catAx>
      <c:valAx>
        <c:axId val="4278968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89504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926656"/>
        <c:axId val="427928192"/>
      </c:barChart>
      <c:catAx>
        <c:axId val="4279266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928192"/>
        <c:crosses val="autoZero"/>
        <c:auto val="0"/>
        <c:lblAlgn val="ctr"/>
        <c:lblOffset val="100"/>
        <c:tickLblSkip val="1"/>
        <c:tickMarkSkip val="1"/>
        <c:noMultiLvlLbl val="0"/>
      </c:catAx>
      <c:valAx>
        <c:axId val="427928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92665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829504"/>
        <c:axId val="427831296"/>
      </c:barChart>
      <c:catAx>
        <c:axId val="4278295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831296"/>
        <c:crosses val="autoZero"/>
        <c:auto val="0"/>
        <c:lblAlgn val="ctr"/>
        <c:lblOffset val="100"/>
        <c:tickLblSkip val="1"/>
        <c:tickMarkSkip val="1"/>
        <c:noMultiLvlLbl val="0"/>
      </c:catAx>
      <c:valAx>
        <c:axId val="4278312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8295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879040"/>
        <c:axId val="50143616"/>
      </c:barChart>
      <c:catAx>
        <c:axId val="4278790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143616"/>
        <c:crosses val="autoZero"/>
        <c:auto val="0"/>
        <c:lblAlgn val="ctr"/>
        <c:lblOffset val="100"/>
        <c:tickLblSkip val="1"/>
        <c:tickMarkSkip val="1"/>
        <c:noMultiLvlLbl val="0"/>
      </c:catAx>
      <c:valAx>
        <c:axId val="501436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8790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5807872"/>
        <c:axId val="255809408"/>
      </c:barChart>
      <c:catAx>
        <c:axId val="2558078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5809408"/>
        <c:crossesAt val="0"/>
        <c:auto val="0"/>
        <c:lblAlgn val="ctr"/>
        <c:lblOffset val="100"/>
        <c:tickLblSkip val="1"/>
        <c:tickMarkSkip val="1"/>
        <c:noMultiLvlLbl val="0"/>
      </c:catAx>
      <c:valAx>
        <c:axId val="25580940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58078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179456"/>
        <c:axId val="428180992"/>
      </c:barChart>
      <c:catAx>
        <c:axId val="4281794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180992"/>
        <c:crosses val="autoZero"/>
        <c:auto val="0"/>
        <c:lblAlgn val="ctr"/>
        <c:lblOffset val="100"/>
        <c:tickLblSkip val="1"/>
        <c:tickMarkSkip val="1"/>
        <c:noMultiLvlLbl val="0"/>
      </c:catAx>
      <c:valAx>
        <c:axId val="4281809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17945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205568"/>
        <c:axId val="428207104"/>
      </c:barChart>
      <c:catAx>
        <c:axId val="4282055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207104"/>
        <c:crosses val="autoZero"/>
        <c:auto val="0"/>
        <c:lblAlgn val="ctr"/>
        <c:lblOffset val="100"/>
        <c:tickLblSkip val="1"/>
        <c:tickMarkSkip val="1"/>
        <c:noMultiLvlLbl val="0"/>
      </c:catAx>
      <c:valAx>
        <c:axId val="4282071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2055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237184"/>
        <c:axId val="428238720"/>
      </c:barChart>
      <c:catAx>
        <c:axId val="4282371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238720"/>
        <c:crosses val="autoZero"/>
        <c:auto val="0"/>
        <c:lblAlgn val="ctr"/>
        <c:lblOffset val="100"/>
        <c:tickLblSkip val="1"/>
        <c:tickMarkSkip val="1"/>
        <c:noMultiLvlLbl val="0"/>
      </c:catAx>
      <c:valAx>
        <c:axId val="4282387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23718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657600"/>
        <c:axId val="251278464"/>
      </c:barChart>
      <c:catAx>
        <c:axId val="2516576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278464"/>
        <c:crosses val="autoZero"/>
        <c:auto val="0"/>
        <c:lblAlgn val="ctr"/>
        <c:lblOffset val="100"/>
        <c:tickLblSkip val="1"/>
        <c:tickMarkSkip val="1"/>
        <c:noMultiLvlLbl val="0"/>
      </c:catAx>
      <c:valAx>
        <c:axId val="251278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6576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262912"/>
        <c:axId val="428264448"/>
      </c:barChart>
      <c:catAx>
        <c:axId val="428262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264448"/>
        <c:crosses val="autoZero"/>
        <c:auto val="0"/>
        <c:lblAlgn val="ctr"/>
        <c:lblOffset val="100"/>
        <c:tickLblSkip val="1"/>
        <c:tickMarkSkip val="1"/>
        <c:noMultiLvlLbl val="0"/>
      </c:catAx>
      <c:valAx>
        <c:axId val="4282644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2629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394368"/>
        <c:axId val="428395904"/>
      </c:barChart>
      <c:catAx>
        <c:axId val="4283943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395904"/>
        <c:crosses val="autoZero"/>
        <c:auto val="0"/>
        <c:lblAlgn val="ctr"/>
        <c:lblOffset val="100"/>
        <c:tickLblSkip val="1"/>
        <c:tickMarkSkip val="1"/>
        <c:noMultiLvlLbl val="0"/>
      </c:catAx>
      <c:valAx>
        <c:axId val="4283959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39436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416384"/>
        <c:axId val="428434560"/>
      </c:barChart>
      <c:catAx>
        <c:axId val="428416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434560"/>
        <c:crossesAt val="0"/>
        <c:auto val="0"/>
        <c:lblAlgn val="ctr"/>
        <c:lblOffset val="100"/>
        <c:tickLblSkip val="1"/>
        <c:tickMarkSkip val="1"/>
        <c:noMultiLvlLbl val="0"/>
      </c:catAx>
      <c:valAx>
        <c:axId val="42843456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4163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461056"/>
        <c:axId val="428466944"/>
      </c:barChart>
      <c:catAx>
        <c:axId val="4284610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466944"/>
        <c:crosses val="autoZero"/>
        <c:auto val="0"/>
        <c:lblAlgn val="ctr"/>
        <c:lblOffset val="100"/>
        <c:tickLblSkip val="1"/>
        <c:tickMarkSkip val="1"/>
        <c:noMultiLvlLbl val="0"/>
      </c:catAx>
      <c:valAx>
        <c:axId val="4284669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46105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499712"/>
        <c:axId val="428501248"/>
      </c:barChart>
      <c:catAx>
        <c:axId val="4284997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501248"/>
        <c:crosses val="autoZero"/>
        <c:auto val="0"/>
        <c:lblAlgn val="ctr"/>
        <c:lblOffset val="100"/>
        <c:tickLblSkip val="1"/>
        <c:tickMarkSkip val="1"/>
        <c:noMultiLvlLbl val="0"/>
      </c:catAx>
      <c:valAx>
        <c:axId val="4285012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4997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531072"/>
        <c:axId val="428536960"/>
      </c:barChart>
      <c:catAx>
        <c:axId val="4285310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536960"/>
        <c:crosses val="autoZero"/>
        <c:auto val="0"/>
        <c:lblAlgn val="ctr"/>
        <c:lblOffset val="100"/>
        <c:tickLblSkip val="1"/>
        <c:tickMarkSkip val="1"/>
        <c:noMultiLvlLbl val="0"/>
      </c:catAx>
      <c:valAx>
        <c:axId val="4285369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53107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712704"/>
        <c:axId val="428714240"/>
      </c:barChart>
      <c:catAx>
        <c:axId val="4287127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714240"/>
        <c:crosses val="autoZero"/>
        <c:auto val="0"/>
        <c:lblAlgn val="ctr"/>
        <c:lblOffset val="100"/>
        <c:tickLblSkip val="1"/>
        <c:tickMarkSkip val="1"/>
        <c:noMultiLvlLbl val="0"/>
      </c:catAx>
      <c:valAx>
        <c:axId val="4287142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7127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754432"/>
        <c:axId val="428755968"/>
      </c:barChart>
      <c:catAx>
        <c:axId val="428754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755968"/>
        <c:crosses val="autoZero"/>
        <c:auto val="0"/>
        <c:lblAlgn val="ctr"/>
        <c:lblOffset val="100"/>
        <c:tickLblSkip val="1"/>
        <c:tickMarkSkip val="1"/>
        <c:noMultiLvlLbl val="0"/>
      </c:catAx>
      <c:valAx>
        <c:axId val="4287559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7544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768256"/>
        <c:axId val="428774144"/>
      </c:barChart>
      <c:catAx>
        <c:axId val="428768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774144"/>
        <c:crossesAt val="0"/>
        <c:auto val="0"/>
        <c:lblAlgn val="ctr"/>
        <c:lblOffset val="100"/>
        <c:tickLblSkip val="1"/>
        <c:tickMarkSkip val="1"/>
        <c:noMultiLvlLbl val="0"/>
      </c:catAx>
      <c:valAx>
        <c:axId val="42877414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7682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8817024"/>
        <c:axId val="428827008"/>
      </c:barChart>
      <c:catAx>
        <c:axId val="428817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827008"/>
        <c:crosses val="autoZero"/>
        <c:auto val="0"/>
        <c:lblAlgn val="ctr"/>
        <c:lblOffset val="100"/>
        <c:tickLblSkip val="1"/>
        <c:tickMarkSkip val="1"/>
        <c:noMultiLvlLbl val="0"/>
      </c:catAx>
      <c:valAx>
        <c:axId val="428827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881702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318272"/>
        <c:axId val="251319808"/>
      </c:barChart>
      <c:catAx>
        <c:axId val="2513182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319808"/>
        <c:crosses val="autoZero"/>
        <c:auto val="0"/>
        <c:lblAlgn val="ctr"/>
        <c:lblOffset val="100"/>
        <c:tickLblSkip val="1"/>
        <c:tickMarkSkip val="1"/>
        <c:noMultiLvlLbl val="0"/>
      </c:catAx>
      <c:valAx>
        <c:axId val="2513198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31827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622784"/>
        <c:axId val="427624320"/>
      </c:barChart>
      <c:catAx>
        <c:axId val="4276227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624320"/>
        <c:crosses val="autoZero"/>
        <c:auto val="0"/>
        <c:lblAlgn val="ctr"/>
        <c:lblOffset val="100"/>
        <c:tickLblSkip val="1"/>
        <c:tickMarkSkip val="1"/>
        <c:noMultiLvlLbl val="0"/>
      </c:catAx>
      <c:valAx>
        <c:axId val="4276243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6227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654144"/>
        <c:axId val="427655936"/>
      </c:barChart>
      <c:catAx>
        <c:axId val="4276541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655936"/>
        <c:crosses val="autoZero"/>
        <c:auto val="0"/>
        <c:lblAlgn val="ctr"/>
        <c:lblOffset val="100"/>
        <c:tickLblSkip val="1"/>
        <c:tickMarkSkip val="1"/>
        <c:noMultiLvlLbl val="0"/>
      </c:catAx>
      <c:valAx>
        <c:axId val="427655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65414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688320"/>
        <c:axId val="427689856"/>
      </c:barChart>
      <c:catAx>
        <c:axId val="4276883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689856"/>
        <c:crosses val="autoZero"/>
        <c:auto val="0"/>
        <c:lblAlgn val="ctr"/>
        <c:lblOffset val="100"/>
        <c:tickLblSkip val="1"/>
        <c:tickMarkSkip val="1"/>
        <c:noMultiLvlLbl val="0"/>
      </c:catAx>
      <c:valAx>
        <c:axId val="4276898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6883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332096"/>
        <c:axId val="251333632"/>
      </c:barChart>
      <c:catAx>
        <c:axId val="2513320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333632"/>
        <c:crossesAt val="0"/>
        <c:auto val="0"/>
        <c:lblAlgn val="ctr"/>
        <c:lblOffset val="100"/>
        <c:tickLblSkip val="1"/>
        <c:tickMarkSkip val="1"/>
        <c:noMultiLvlLbl val="0"/>
      </c:catAx>
      <c:valAx>
        <c:axId val="25133363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3320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397248"/>
        <c:axId val="251398784"/>
      </c:barChart>
      <c:catAx>
        <c:axId val="2513972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398784"/>
        <c:crosses val="autoZero"/>
        <c:auto val="0"/>
        <c:lblAlgn val="ctr"/>
        <c:lblOffset val="100"/>
        <c:tickLblSkip val="1"/>
        <c:tickMarkSkip val="1"/>
        <c:noMultiLvlLbl val="0"/>
      </c:catAx>
      <c:valAx>
        <c:axId val="2513987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39724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435648"/>
        <c:axId val="251437440"/>
      </c:barChart>
      <c:catAx>
        <c:axId val="2514356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437440"/>
        <c:crosses val="autoZero"/>
        <c:auto val="0"/>
        <c:lblAlgn val="ctr"/>
        <c:lblOffset val="100"/>
        <c:tickLblSkip val="1"/>
        <c:tickMarkSkip val="1"/>
        <c:noMultiLvlLbl val="0"/>
      </c:catAx>
      <c:valAx>
        <c:axId val="2514374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4356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729408"/>
        <c:axId val="251730944"/>
      </c:barChart>
      <c:catAx>
        <c:axId val="251729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730944"/>
        <c:crosses val="autoZero"/>
        <c:auto val="0"/>
        <c:lblAlgn val="ctr"/>
        <c:lblOffset val="100"/>
        <c:tickLblSkip val="1"/>
        <c:tickMarkSkip val="1"/>
        <c:noMultiLvlLbl val="0"/>
      </c:catAx>
      <c:valAx>
        <c:axId val="2517309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72940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763328"/>
        <c:axId val="251765120"/>
      </c:barChart>
      <c:catAx>
        <c:axId val="2517633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765120"/>
        <c:crosses val="autoZero"/>
        <c:auto val="0"/>
        <c:lblAlgn val="ctr"/>
        <c:lblOffset val="100"/>
        <c:tickLblSkip val="1"/>
        <c:tickMarkSkip val="1"/>
        <c:noMultiLvlLbl val="0"/>
      </c:catAx>
      <c:valAx>
        <c:axId val="2517651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7633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288000"/>
        <c:axId val="252293888"/>
      </c:barChart>
      <c:catAx>
        <c:axId val="2522880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293888"/>
        <c:crosses val="autoZero"/>
        <c:auto val="0"/>
        <c:lblAlgn val="ctr"/>
        <c:lblOffset val="100"/>
        <c:tickLblSkip val="1"/>
        <c:tickMarkSkip val="1"/>
        <c:noMultiLvlLbl val="0"/>
      </c:catAx>
      <c:valAx>
        <c:axId val="252293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28800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35154816"/>
        <c:axId val="235164800"/>
      </c:barChart>
      <c:catAx>
        <c:axId val="23515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164800"/>
        <c:crossesAt val="0"/>
        <c:auto val="0"/>
        <c:lblAlgn val="ctr"/>
        <c:lblOffset val="100"/>
        <c:tickLblSkip val="1"/>
        <c:tickMarkSkip val="1"/>
        <c:noMultiLvlLbl val="0"/>
      </c:catAx>
      <c:valAx>
        <c:axId val="23516480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15481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310272"/>
        <c:axId val="252311808"/>
      </c:barChart>
      <c:catAx>
        <c:axId val="2523102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311808"/>
        <c:crossesAt val="0"/>
        <c:auto val="0"/>
        <c:lblAlgn val="ctr"/>
        <c:lblOffset val="100"/>
        <c:tickLblSkip val="1"/>
        <c:tickMarkSkip val="1"/>
        <c:noMultiLvlLbl val="0"/>
      </c:catAx>
      <c:valAx>
        <c:axId val="25231180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3102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354944"/>
        <c:axId val="252356480"/>
      </c:barChart>
      <c:catAx>
        <c:axId val="2523549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356480"/>
        <c:crosses val="autoZero"/>
        <c:auto val="0"/>
        <c:lblAlgn val="ctr"/>
        <c:lblOffset val="100"/>
        <c:tickLblSkip val="1"/>
        <c:tickMarkSkip val="1"/>
        <c:noMultiLvlLbl val="0"/>
      </c:catAx>
      <c:valAx>
        <c:axId val="2523564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35494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1864960"/>
        <c:axId val="251866496"/>
      </c:barChart>
      <c:catAx>
        <c:axId val="2518649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866496"/>
        <c:crosses val="autoZero"/>
        <c:auto val="0"/>
        <c:lblAlgn val="ctr"/>
        <c:lblOffset val="100"/>
        <c:tickLblSkip val="1"/>
        <c:tickMarkSkip val="1"/>
        <c:noMultiLvlLbl val="0"/>
      </c:catAx>
      <c:valAx>
        <c:axId val="251866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86496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1912960"/>
        <c:axId val="251914496"/>
      </c:barChart>
      <c:catAx>
        <c:axId val="2519129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914496"/>
        <c:crosses val="autoZero"/>
        <c:auto val="0"/>
        <c:lblAlgn val="ctr"/>
        <c:lblOffset val="100"/>
        <c:tickLblSkip val="1"/>
        <c:tickMarkSkip val="1"/>
        <c:noMultiLvlLbl val="0"/>
      </c:catAx>
      <c:valAx>
        <c:axId val="251914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91296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1942784"/>
        <c:axId val="251944320"/>
      </c:barChart>
      <c:catAx>
        <c:axId val="2519427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944320"/>
        <c:crosses val="autoZero"/>
        <c:auto val="0"/>
        <c:lblAlgn val="ctr"/>
        <c:lblOffset val="100"/>
        <c:tickLblSkip val="1"/>
        <c:tickMarkSkip val="1"/>
        <c:noMultiLvlLbl val="0"/>
      </c:catAx>
      <c:valAx>
        <c:axId val="2519443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9427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1980032"/>
        <c:axId val="251994112"/>
      </c:barChart>
      <c:catAx>
        <c:axId val="251980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994112"/>
        <c:crosses val="autoZero"/>
        <c:auto val="0"/>
        <c:lblAlgn val="ctr"/>
        <c:lblOffset val="100"/>
        <c:tickLblSkip val="1"/>
        <c:tickMarkSkip val="1"/>
        <c:noMultiLvlLbl val="0"/>
      </c:catAx>
      <c:valAx>
        <c:axId val="2519941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9800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026880"/>
        <c:axId val="252028416"/>
      </c:barChart>
      <c:catAx>
        <c:axId val="2520268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028416"/>
        <c:crossesAt val="0"/>
        <c:auto val="0"/>
        <c:lblAlgn val="ctr"/>
        <c:lblOffset val="100"/>
        <c:tickLblSkip val="1"/>
        <c:tickMarkSkip val="1"/>
        <c:noMultiLvlLbl val="0"/>
      </c:catAx>
      <c:valAx>
        <c:axId val="25202841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0268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726656"/>
        <c:axId val="252740736"/>
      </c:barChart>
      <c:catAx>
        <c:axId val="2527266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740736"/>
        <c:crosses val="autoZero"/>
        <c:auto val="0"/>
        <c:lblAlgn val="ctr"/>
        <c:lblOffset val="100"/>
        <c:tickLblSkip val="1"/>
        <c:tickMarkSkip val="1"/>
        <c:noMultiLvlLbl val="0"/>
      </c:catAx>
      <c:valAx>
        <c:axId val="2527407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72665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757120"/>
        <c:axId val="252758656"/>
      </c:barChart>
      <c:catAx>
        <c:axId val="2527571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758656"/>
        <c:crosses val="autoZero"/>
        <c:auto val="0"/>
        <c:lblAlgn val="ctr"/>
        <c:lblOffset val="100"/>
        <c:tickLblSkip val="1"/>
        <c:tickMarkSkip val="1"/>
        <c:noMultiLvlLbl val="0"/>
      </c:catAx>
      <c:valAx>
        <c:axId val="2527586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757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522496"/>
        <c:axId val="252524032"/>
      </c:barChart>
      <c:catAx>
        <c:axId val="2525224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524032"/>
        <c:crosses val="autoZero"/>
        <c:auto val="0"/>
        <c:lblAlgn val="ctr"/>
        <c:lblOffset val="100"/>
        <c:tickLblSkip val="1"/>
        <c:tickMarkSkip val="1"/>
        <c:noMultiLvlLbl val="0"/>
      </c:catAx>
      <c:valAx>
        <c:axId val="252524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52249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35207680"/>
        <c:axId val="235741952"/>
      </c:barChart>
      <c:catAx>
        <c:axId val="235207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741952"/>
        <c:crosses val="autoZero"/>
        <c:auto val="0"/>
        <c:lblAlgn val="ctr"/>
        <c:lblOffset val="100"/>
        <c:tickLblSkip val="1"/>
        <c:tickMarkSkip val="1"/>
        <c:noMultiLvlLbl val="0"/>
      </c:catAx>
      <c:valAx>
        <c:axId val="2357419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20768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564608"/>
        <c:axId val="252566144"/>
      </c:barChart>
      <c:catAx>
        <c:axId val="252564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566144"/>
        <c:crosses val="autoZero"/>
        <c:auto val="0"/>
        <c:lblAlgn val="ctr"/>
        <c:lblOffset val="100"/>
        <c:tickLblSkip val="1"/>
        <c:tickMarkSkip val="1"/>
        <c:noMultiLvlLbl val="0"/>
      </c:catAx>
      <c:valAx>
        <c:axId val="2525661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5646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683776"/>
        <c:axId val="252685312"/>
      </c:barChart>
      <c:catAx>
        <c:axId val="2526837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685312"/>
        <c:crosses val="autoZero"/>
        <c:auto val="0"/>
        <c:lblAlgn val="ctr"/>
        <c:lblOffset val="100"/>
        <c:tickLblSkip val="1"/>
        <c:tickMarkSkip val="1"/>
        <c:noMultiLvlLbl val="0"/>
      </c:catAx>
      <c:valAx>
        <c:axId val="2526853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68377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701696"/>
        <c:axId val="253035264"/>
      </c:barChart>
      <c:catAx>
        <c:axId val="2527016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035264"/>
        <c:crossesAt val="0"/>
        <c:auto val="0"/>
        <c:lblAlgn val="ctr"/>
        <c:lblOffset val="100"/>
        <c:tickLblSkip val="1"/>
        <c:tickMarkSkip val="1"/>
        <c:noMultiLvlLbl val="0"/>
      </c:catAx>
      <c:valAx>
        <c:axId val="25303526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7016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082240"/>
        <c:axId val="253104512"/>
      </c:barChart>
      <c:catAx>
        <c:axId val="2530822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104512"/>
        <c:crosses val="autoZero"/>
        <c:auto val="0"/>
        <c:lblAlgn val="ctr"/>
        <c:lblOffset val="100"/>
        <c:tickLblSkip val="1"/>
        <c:tickMarkSkip val="1"/>
        <c:noMultiLvlLbl val="0"/>
      </c:catAx>
      <c:valAx>
        <c:axId val="2531045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0822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120896"/>
        <c:axId val="253122432"/>
      </c:barChart>
      <c:catAx>
        <c:axId val="2531208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122432"/>
        <c:crosses val="autoZero"/>
        <c:auto val="0"/>
        <c:lblAlgn val="ctr"/>
        <c:lblOffset val="100"/>
        <c:tickLblSkip val="1"/>
        <c:tickMarkSkip val="1"/>
        <c:noMultiLvlLbl val="0"/>
      </c:catAx>
      <c:valAx>
        <c:axId val="2531224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1208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156352"/>
        <c:axId val="253166336"/>
      </c:barChart>
      <c:catAx>
        <c:axId val="2531563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166336"/>
        <c:crosses val="autoZero"/>
        <c:auto val="0"/>
        <c:lblAlgn val="ctr"/>
        <c:lblOffset val="100"/>
        <c:tickLblSkip val="1"/>
        <c:tickMarkSkip val="1"/>
        <c:noMultiLvlLbl val="0"/>
      </c:catAx>
      <c:valAx>
        <c:axId val="2531663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15635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186432"/>
        <c:axId val="253187968"/>
      </c:barChart>
      <c:catAx>
        <c:axId val="253186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187968"/>
        <c:crosses val="autoZero"/>
        <c:auto val="0"/>
        <c:lblAlgn val="ctr"/>
        <c:lblOffset val="100"/>
        <c:tickLblSkip val="1"/>
        <c:tickMarkSkip val="1"/>
        <c:noMultiLvlLbl val="0"/>
      </c:catAx>
      <c:valAx>
        <c:axId val="2531879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1864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572224"/>
        <c:axId val="253573760"/>
      </c:barChart>
      <c:catAx>
        <c:axId val="2535722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573760"/>
        <c:crosses val="autoZero"/>
        <c:auto val="0"/>
        <c:lblAlgn val="ctr"/>
        <c:lblOffset val="100"/>
        <c:tickLblSkip val="1"/>
        <c:tickMarkSkip val="1"/>
        <c:noMultiLvlLbl val="0"/>
      </c:catAx>
      <c:valAx>
        <c:axId val="2535737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57222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590144"/>
        <c:axId val="253608320"/>
      </c:barChart>
      <c:catAx>
        <c:axId val="2535901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608320"/>
        <c:crossesAt val="0"/>
        <c:auto val="0"/>
        <c:lblAlgn val="ctr"/>
        <c:lblOffset val="100"/>
        <c:tickLblSkip val="1"/>
        <c:tickMarkSkip val="1"/>
        <c:noMultiLvlLbl val="0"/>
      </c:catAx>
      <c:valAx>
        <c:axId val="25360832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5901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638912"/>
        <c:axId val="253652992"/>
      </c:barChart>
      <c:catAx>
        <c:axId val="253638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652992"/>
        <c:crosses val="autoZero"/>
        <c:auto val="0"/>
        <c:lblAlgn val="ctr"/>
        <c:lblOffset val="100"/>
        <c:tickLblSkip val="1"/>
        <c:tickMarkSkip val="1"/>
        <c:noMultiLvlLbl val="0"/>
      </c:catAx>
      <c:valAx>
        <c:axId val="2536529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63891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35774720"/>
        <c:axId val="235776256"/>
      </c:barChart>
      <c:catAx>
        <c:axId val="2357747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776256"/>
        <c:crosses val="autoZero"/>
        <c:auto val="0"/>
        <c:lblAlgn val="ctr"/>
        <c:lblOffset val="100"/>
        <c:tickLblSkip val="1"/>
        <c:tickMarkSkip val="1"/>
        <c:noMultiLvlLbl val="0"/>
      </c:catAx>
      <c:valAx>
        <c:axId val="2357762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7747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681664"/>
        <c:axId val="253683200"/>
      </c:barChart>
      <c:catAx>
        <c:axId val="2536816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683200"/>
        <c:crosses val="autoZero"/>
        <c:auto val="0"/>
        <c:lblAlgn val="ctr"/>
        <c:lblOffset val="100"/>
        <c:tickLblSkip val="1"/>
        <c:tickMarkSkip val="1"/>
        <c:noMultiLvlLbl val="0"/>
      </c:catAx>
      <c:valAx>
        <c:axId val="2536832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6816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865152"/>
        <c:axId val="252871040"/>
      </c:barChart>
      <c:catAx>
        <c:axId val="2528651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871040"/>
        <c:crosses val="autoZero"/>
        <c:auto val="0"/>
        <c:lblAlgn val="ctr"/>
        <c:lblOffset val="100"/>
        <c:tickLblSkip val="1"/>
        <c:tickMarkSkip val="1"/>
        <c:noMultiLvlLbl val="0"/>
      </c:catAx>
      <c:valAx>
        <c:axId val="2528710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86515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903424"/>
        <c:axId val="252904960"/>
      </c:barChart>
      <c:catAx>
        <c:axId val="2529034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904960"/>
        <c:crosses val="autoZero"/>
        <c:auto val="0"/>
        <c:lblAlgn val="ctr"/>
        <c:lblOffset val="100"/>
        <c:tickLblSkip val="1"/>
        <c:tickMarkSkip val="1"/>
        <c:noMultiLvlLbl val="0"/>
      </c:catAx>
      <c:valAx>
        <c:axId val="2529049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9034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948864"/>
        <c:axId val="252950400"/>
      </c:barChart>
      <c:catAx>
        <c:axId val="2529488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950400"/>
        <c:crosses val="autoZero"/>
        <c:auto val="0"/>
        <c:lblAlgn val="ctr"/>
        <c:lblOffset val="100"/>
        <c:tickLblSkip val="1"/>
        <c:tickMarkSkip val="1"/>
        <c:noMultiLvlLbl val="0"/>
      </c:catAx>
      <c:valAx>
        <c:axId val="2529504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94886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2979072"/>
        <c:axId val="252980608"/>
      </c:barChart>
      <c:catAx>
        <c:axId val="2529790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980608"/>
        <c:crossesAt val="0"/>
        <c:auto val="0"/>
        <c:lblAlgn val="ctr"/>
        <c:lblOffset val="100"/>
        <c:tickLblSkip val="1"/>
        <c:tickMarkSkip val="1"/>
        <c:noMultiLvlLbl val="0"/>
      </c:catAx>
      <c:valAx>
        <c:axId val="25298060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9790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027840"/>
        <c:axId val="253029376"/>
      </c:barChart>
      <c:catAx>
        <c:axId val="2530278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029376"/>
        <c:crosses val="autoZero"/>
        <c:auto val="0"/>
        <c:lblAlgn val="ctr"/>
        <c:lblOffset val="100"/>
        <c:tickLblSkip val="1"/>
        <c:tickMarkSkip val="1"/>
        <c:noMultiLvlLbl val="0"/>
      </c:catAx>
      <c:valAx>
        <c:axId val="2530293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0278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701120"/>
        <c:axId val="253719296"/>
      </c:barChart>
      <c:catAx>
        <c:axId val="2537011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719296"/>
        <c:crosses val="autoZero"/>
        <c:auto val="0"/>
        <c:lblAlgn val="ctr"/>
        <c:lblOffset val="100"/>
        <c:tickLblSkip val="1"/>
        <c:tickMarkSkip val="1"/>
        <c:noMultiLvlLbl val="0"/>
      </c:catAx>
      <c:valAx>
        <c:axId val="2537192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701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736448"/>
        <c:axId val="253737984"/>
      </c:barChart>
      <c:catAx>
        <c:axId val="2537364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737984"/>
        <c:crosses val="autoZero"/>
        <c:auto val="0"/>
        <c:lblAlgn val="ctr"/>
        <c:lblOffset val="100"/>
        <c:tickLblSkip val="1"/>
        <c:tickMarkSkip val="1"/>
        <c:noMultiLvlLbl val="0"/>
      </c:catAx>
      <c:valAx>
        <c:axId val="2537379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73644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774464"/>
        <c:axId val="253780352"/>
      </c:barChart>
      <c:catAx>
        <c:axId val="2537744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780352"/>
        <c:crosses val="autoZero"/>
        <c:auto val="0"/>
        <c:lblAlgn val="ctr"/>
        <c:lblOffset val="100"/>
        <c:tickLblSkip val="1"/>
        <c:tickMarkSkip val="1"/>
        <c:noMultiLvlLbl val="0"/>
      </c:catAx>
      <c:valAx>
        <c:axId val="2537803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7744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901824"/>
        <c:axId val="253907712"/>
      </c:barChart>
      <c:catAx>
        <c:axId val="2539018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907712"/>
        <c:crosses val="autoZero"/>
        <c:auto val="0"/>
        <c:lblAlgn val="ctr"/>
        <c:lblOffset val="100"/>
        <c:tickLblSkip val="1"/>
        <c:tickMarkSkip val="1"/>
        <c:noMultiLvlLbl val="0"/>
      </c:catAx>
      <c:valAx>
        <c:axId val="2539077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90182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221120"/>
        <c:axId val="251222656"/>
      </c:barChart>
      <c:catAx>
        <c:axId val="2512211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222656"/>
        <c:crosses val="autoZero"/>
        <c:auto val="0"/>
        <c:lblAlgn val="ctr"/>
        <c:lblOffset val="100"/>
        <c:tickLblSkip val="1"/>
        <c:tickMarkSkip val="1"/>
        <c:noMultiLvlLbl val="0"/>
      </c:catAx>
      <c:valAx>
        <c:axId val="2512226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22112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3932288"/>
        <c:axId val="253933824"/>
      </c:barChart>
      <c:catAx>
        <c:axId val="2539322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933824"/>
        <c:crossesAt val="0"/>
        <c:auto val="0"/>
        <c:lblAlgn val="ctr"/>
        <c:lblOffset val="100"/>
        <c:tickLblSkip val="1"/>
        <c:tickMarkSkip val="1"/>
        <c:noMultiLvlLbl val="0"/>
      </c:catAx>
      <c:valAx>
        <c:axId val="25393382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39322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374272"/>
        <c:axId val="254375808"/>
      </c:barChart>
      <c:catAx>
        <c:axId val="2543742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375808"/>
        <c:crosses val="autoZero"/>
        <c:auto val="0"/>
        <c:lblAlgn val="ctr"/>
        <c:lblOffset val="100"/>
        <c:tickLblSkip val="1"/>
        <c:tickMarkSkip val="1"/>
        <c:noMultiLvlLbl val="0"/>
      </c:catAx>
      <c:valAx>
        <c:axId val="2543758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37427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396288"/>
        <c:axId val="254397824"/>
      </c:barChart>
      <c:catAx>
        <c:axId val="2543962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397824"/>
        <c:crosses val="autoZero"/>
        <c:auto val="0"/>
        <c:lblAlgn val="ctr"/>
        <c:lblOffset val="100"/>
        <c:tickLblSkip val="1"/>
        <c:tickMarkSkip val="1"/>
        <c:noMultiLvlLbl val="0"/>
      </c:catAx>
      <c:valAx>
        <c:axId val="2543978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3962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444288"/>
        <c:axId val="254445824"/>
      </c:barChart>
      <c:catAx>
        <c:axId val="2544442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445824"/>
        <c:crosses val="autoZero"/>
        <c:auto val="0"/>
        <c:lblAlgn val="ctr"/>
        <c:lblOffset val="100"/>
        <c:tickLblSkip val="1"/>
        <c:tickMarkSkip val="1"/>
        <c:noMultiLvlLbl val="0"/>
      </c:catAx>
      <c:valAx>
        <c:axId val="2544458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44428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474112"/>
        <c:axId val="254475648"/>
      </c:barChart>
      <c:catAx>
        <c:axId val="2544741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475648"/>
        <c:crosses val="autoZero"/>
        <c:auto val="0"/>
        <c:lblAlgn val="ctr"/>
        <c:lblOffset val="100"/>
        <c:tickLblSkip val="1"/>
        <c:tickMarkSkip val="1"/>
        <c:noMultiLvlLbl val="0"/>
      </c:catAx>
      <c:valAx>
        <c:axId val="2544756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4741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523648"/>
        <c:axId val="254529536"/>
      </c:barChart>
      <c:catAx>
        <c:axId val="2545236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529536"/>
        <c:crosses val="autoZero"/>
        <c:auto val="0"/>
        <c:lblAlgn val="ctr"/>
        <c:lblOffset val="100"/>
        <c:tickLblSkip val="1"/>
        <c:tickMarkSkip val="1"/>
        <c:noMultiLvlLbl val="0"/>
      </c:catAx>
      <c:valAx>
        <c:axId val="2545295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52364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103552"/>
        <c:axId val="254105088"/>
      </c:barChart>
      <c:catAx>
        <c:axId val="2541035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105088"/>
        <c:crossesAt val="0"/>
        <c:auto val="0"/>
        <c:lblAlgn val="ctr"/>
        <c:lblOffset val="100"/>
        <c:tickLblSkip val="1"/>
        <c:tickMarkSkip val="1"/>
        <c:noMultiLvlLbl val="0"/>
      </c:catAx>
      <c:valAx>
        <c:axId val="25410508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1035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143872"/>
        <c:axId val="254149760"/>
      </c:barChart>
      <c:catAx>
        <c:axId val="2541438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149760"/>
        <c:crosses val="autoZero"/>
        <c:auto val="0"/>
        <c:lblAlgn val="ctr"/>
        <c:lblOffset val="100"/>
        <c:tickLblSkip val="1"/>
        <c:tickMarkSkip val="1"/>
        <c:noMultiLvlLbl val="0"/>
      </c:catAx>
      <c:valAx>
        <c:axId val="2541497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14387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178432"/>
        <c:axId val="254179968"/>
      </c:barChart>
      <c:catAx>
        <c:axId val="254178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179968"/>
        <c:crosses val="autoZero"/>
        <c:auto val="0"/>
        <c:lblAlgn val="ctr"/>
        <c:lblOffset val="100"/>
        <c:tickLblSkip val="1"/>
        <c:tickMarkSkip val="1"/>
        <c:noMultiLvlLbl val="0"/>
      </c:catAx>
      <c:valAx>
        <c:axId val="2541799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1784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214144"/>
        <c:axId val="254215680"/>
      </c:barChart>
      <c:catAx>
        <c:axId val="2542141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215680"/>
        <c:crosses val="autoZero"/>
        <c:auto val="0"/>
        <c:lblAlgn val="ctr"/>
        <c:lblOffset val="100"/>
        <c:tickLblSkip val="1"/>
        <c:tickMarkSkip val="1"/>
        <c:noMultiLvlLbl val="0"/>
      </c:catAx>
      <c:valAx>
        <c:axId val="2542156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21414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230464"/>
        <c:axId val="251236352"/>
      </c:barChart>
      <c:catAx>
        <c:axId val="2512304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236352"/>
        <c:crosses val="autoZero"/>
        <c:auto val="0"/>
        <c:lblAlgn val="ctr"/>
        <c:lblOffset val="100"/>
        <c:tickLblSkip val="1"/>
        <c:tickMarkSkip val="1"/>
        <c:noMultiLvlLbl val="0"/>
      </c:catAx>
      <c:valAx>
        <c:axId val="2512363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2304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paperSize="9" orientation="landscape" horizontalDpi="-4"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254252160"/>
        <c:axId val="254253696"/>
      </c:barChart>
      <c:catAx>
        <c:axId val="254252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253696"/>
        <c:crosses val="autoZero"/>
        <c:auto val="0"/>
        <c:lblAlgn val="ctr"/>
        <c:lblOffset val="100"/>
        <c:tickLblSkip val="1"/>
        <c:tickMarkSkip val="1"/>
        <c:noMultiLvlLbl val="0"/>
      </c:catAx>
      <c:valAx>
        <c:axId val="2542536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425216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0780032"/>
        <c:axId val="260781568"/>
      </c:lineChart>
      <c:catAx>
        <c:axId val="260780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0781568"/>
        <c:crosses val="autoZero"/>
        <c:auto val="0"/>
        <c:lblAlgn val="ctr"/>
        <c:lblOffset val="100"/>
        <c:tickLblSkip val="1"/>
        <c:tickMarkSkip val="1"/>
        <c:noMultiLvlLbl val="0"/>
      </c:catAx>
      <c:valAx>
        <c:axId val="260781568"/>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0780032"/>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0806528"/>
        <c:axId val="260808064"/>
      </c:lineChart>
      <c:catAx>
        <c:axId val="2608065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0808064"/>
        <c:crosses val="autoZero"/>
        <c:auto val="0"/>
        <c:lblAlgn val="ctr"/>
        <c:lblOffset val="100"/>
        <c:tickLblSkip val="1"/>
        <c:tickMarkSkip val="1"/>
        <c:noMultiLvlLbl val="0"/>
      </c:catAx>
      <c:valAx>
        <c:axId val="26080806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0806528"/>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34688512"/>
        <c:axId val="234690048"/>
      </c:lineChart>
      <c:catAx>
        <c:axId val="2346885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690048"/>
        <c:crosses val="autoZero"/>
        <c:auto val="0"/>
        <c:lblAlgn val="ctr"/>
        <c:lblOffset val="100"/>
        <c:tickLblSkip val="1"/>
        <c:tickMarkSkip val="1"/>
        <c:noMultiLvlLbl val="0"/>
      </c:catAx>
      <c:valAx>
        <c:axId val="234690048"/>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34688512"/>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34719104"/>
        <c:axId val="234720640"/>
      </c:lineChart>
      <c:catAx>
        <c:axId val="23471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720640"/>
        <c:crosses val="autoZero"/>
        <c:auto val="0"/>
        <c:lblAlgn val="ctr"/>
        <c:lblOffset val="100"/>
        <c:tickLblSkip val="1"/>
        <c:tickMarkSkip val="1"/>
        <c:noMultiLvlLbl val="0"/>
      </c:catAx>
      <c:valAx>
        <c:axId val="234720640"/>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34719104"/>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1107712"/>
        <c:axId val="261109248"/>
      </c:lineChart>
      <c:catAx>
        <c:axId val="2611077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1109248"/>
        <c:crosses val="autoZero"/>
        <c:auto val="0"/>
        <c:lblAlgn val="ctr"/>
        <c:lblOffset val="100"/>
        <c:tickLblSkip val="1"/>
        <c:tickMarkSkip val="1"/>
        <c:noMultiLvlLbl val="0"/>
      </c:catAx>
      <c:valAx>
        <c:axId val="261109248"/>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1107712"/>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1146496"/>
        <c:axId val="261148032"/>
      </c:lineChart>
      <c:catAx>
        <c:axId val="2611464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1148032"/>
        <c:crosses val="autoZero"/>
        <c:auto val="0"/>
        <c:lblAlgn val="ctr"/>
        <c:lblOffset val="100"/>
        <c:tickLblSkip val="1"/>
        <c:tickMarkSkip val="1"/>
        <c:noMultiLvlLbl val="0"/>
      </c:catAx>
      <c:valAx>
        <c:axId val="261148032"/>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1146496"/>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0911104"/>
        <c:axId val="260912640"/>
      </c:lineChart>
      <c:catAx>
        <c:axId val="260911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0912640"/>
        <c:crosses val="autoZero"/>
        <c:auto val="0"/>
        <c:lblAlgn val="ctr"/>
        <c:lblOffset val="100"/>
        <c:tickLblSkip val="1"/>
        <c:tickMarkSkip val="1"/>
        <c:noMultiLvlLbl val="0"/>
      </c:catAx>
      <c:valAx>
        <c:axId val="260912640"/>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0911104"/>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0949888"/>
        <c:axId val="260951424"/>
      </c:lineChart>
      <c:catAx>
        <c:axId val="2609498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0951424"/>
        <c:crosses val="autoZero"/>
        <c:auto val="0"/>
        <c:lblAlgn val="ctr"/>
        <c:lblOffset val="100"/>
        <c:tickLblSkip val="1"/>
        <c:tickMarkSkip val="1"/>
        <c:noMultiLvlLbl val="0"/>
      </c:catAx>
      <c:valAx>
        <c:axId val="26095142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0949888"/>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1173248"/>
        <c:axId val="261174784"/>
      </c:lineChart>
      <c:catAx>
        <c:axId val="2611732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1174784"/>
        <c:crosses val="autoZero"/>
        <c:auto val="0"/>
        <c:lblAlgn val="ctr"/>
        <c:lblOffset val="100"/>
        <c:tickLblSkip val="1"/>
        <c:tickMarkSkip val="1"/>
        <c:noMultiLvlLbl val="0"/>
      </c:catAx>
      <c:valAx>
        <c:axId val="26117478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1173248"/>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153024"/>
        <c:axId val="251154816"/>
      </c:barChart>
      <c:catAx>
        <c:axId val="251153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154816"/>
        <c:crosses val="autoZero"/>
        <c:auto val="0"/>
        <c:lblAlgn val="ctr"/>
        <c:lblOffset val="100"/>
        <c:tickLblSkip val="1"/>
        <c:tickMarkSkip val="1"/>
        <c:noMultiLvlLbl val="0"/>
      </c:catAx>
      <c:valAx>
        <c:axId val="2511548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15302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0687744"/>
        <c:axId val="260689280"/>
      </c:lineChart>
      <c:catAx>
        <c:axId val="2606877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0689280"/>
        <c:crosses val="autoZero"/>
        <c:auto val="0"/>
        <c:lblAlgn val="ctr"/>
        <c:lblOffset val="100"/>
        <c:tickLblSkip val="1"/>
        <c:tickMarkSkip val="1"/>
        <c:noMultiLvlLbl val="0"/>
      </c:catAx>
      <c:valAx>
        <c:axId val="260689280"/>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0687744"/>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1210112"/>
        <c:axId val="261211648"/>
      </c:lineChart>
      <c:catAx>
        <c:axId val="2612101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1211648"/>
        <c:crosses val="autoZero"/>
        <c:auto val="0"/>
        <c:lblAlgn val="ctr"/>
        <c:lblOffset val="100"/>
        <c:tickLblSkip val="1"/>
        <c:tickMarkSkip val="1"/>
        <c:noMultiLvlLbl val="0"/>
      </c:catAx>
      <c:valAx>
        <c:axId val="261211648"/>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1210112"/>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0716416"/>
        <c:axId val="260717952"/>
      </c:lineChart>
      <c:catAx>
        <c:axId val="2607164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0717952"/>
        <c:crosses val="autoZero"/>
        <c:auto val="0"/>
        <c:lblAlgn val="ctr"/>
        <c:lblOffset val="100"/>
        <c:tickLblSkip val="1"/>
        <c:tickMarkSkip val="1"/>
        <c:noMultiLvlLbl val="0"/>
      </c:catAx>
      <c:valAx>
        <c:axId val="260717952"/>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260716416"/>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AU"/>
              <a:t>Operating Result Before Capital Grants and Contributions ($'000)</a:t>
            </a:r>
          </a:p>
        </c:rich>
      </c:tx>
      <c:layout>
        <c:manualLayout>
          <c:xMode val="edge"/>
          <c:yMode val="edge"/>
          <c:x val="0.23180591169559303"/>
          <c:y val="4.2338709677419352E-2"/>
        </c:manualLayout>
      </c:layout>
      <c:overlay val="0"/>
      <c:spPr>
        <a:noFill/>
        <a:ln w="25400">
          <a:noFill/>
        </a:ln>
      </c:spPr>
    </c:title>
    <c:autoTitleDeleted val="0"/>
    <c:plotArea>
      <c:layout/>
      <c:barChart>
        <c:barDir val="col"/>
        <c:grouping val="clustered"/>
        <c:varyColors val="0"/>
        <c:ser>
          <c:idx val="0"/>
          <c:order val="0"/>
          <c:tx>
            <c:strRef>
              <c:f>Summaries!#REF!</c:f>
              <c:strCache>
                <c:ptCount val="1"/>
                <c:pt idx="0">
                  <c:v>#REF!</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er>
        <c:ser>
          <c:idx val="1"/>
          <c:order val="1"/>
          <c:tx>
            <c:strRef>
              <c:f>Summaries!#REF!</c:f>
              <c:strCache>
                <c:ptCount val="1"/>
                <c:pt idx="0">
                  <c:v>#REF!</c:v>
                </c:pt>
              </c:strCache>
            </c:strRef>
          </c:tx>
          <c:spPr>
            <a:solidFill>
              <a:srgbClr val="993366"/>
            </a:solidFill>
            <a:ln w="12700">
              <a:solidFill>
                <a:srgbClr val="000000"/>
              </a:solidFill>
              <a:prstDash val="solid"/>
            </a:ln>
          </c:spPr>
          <c:invertIfNegative val="0"/>
          <c:cat>
            <c:numRef>
              <c:f>Summaries!#REF!</c:f>
              <c:numCache>
                <c:formatCode>General</c:formatCode>
                <c:ptCount val="1"/>
                <c:pt idx="0">
                  <c:v>1</c:v>
                </c:pt>
              </c:numCache>
            </c:numRef>
          </c:cat>
          <c:val>
            <c:numRef>
              <c:f>Summaries!#REF!</c:f>
              <c:numCache>
                <c:formatCode>General</c:formatCode>
                <c:ptCount val="1"/>
                <c:pt idx="0">
                  <c:v>1</c:v>
                </c:pt>
              </c:numCache>
            </c:numRef>
          </c:val>
        </c:ser>
        <c:ser>
          <c:idx val="2"/>
          <c:order val="2"/>
          <c:tx>
            <c:strRef>
              <c:f>Summaries!#REF!</c:f>
              <c:strCache>
                <c:ptCount val="1"/>
                <c:pt idx="0">
                  <c:v>#REF!</c:v>
                </c:pt>
              </c:strCache>
            </c:strRef>
          </c:tx>
          <c:spPr>
            <a:solidFill>
              <a:srgbClr val="FFFFCC"/>
            </a:solidFill>
            <a:ln w="12700">
              <a:solidFill>
                <a:srgbClr val="000000"/>
              </a:solidFill>
              <a:prstDash val="solid"/>
            </a:ln>
          </c:spPr>
          <c:invertIfNegative val="0"/>
          <c:cat>
            <c:numRef>
              <c:f>Summaries!#REF!</c:f>
              <c:numCache>
                <c:formatCode>General</c:formatCode>
                <c:ptCount val="1"/>
                <c:pt idx="0">
                  <c:v>1</c:v>
                </c:pt>
              </c:numCache>
            </c:numRef>
          </c:cat>
          <c:val>
            <c:numRef>
              <c:f>Summaries!#REF!</c:f>
              <c:numCache>
                <c:formatCode>General</c:formatCode>
                <c:ptCount val="1"/>
                <c:pt idx="0">
                  <c:v>1</c:v>
                </c:pt>
              </c:numCache>
            </c:numRef>
          </c:val>
        </c:ser>
        <c:dLbls>
          <c:showLegendKey val="0"/>
          <c:showVal val="0"/>
          <c:showCatName val="0"/>
          <c:showSerName val="0"/>
          <c:showPercent val="0"/>
          <c:showBubbleSize val="0"/>
        </c:dLbls>
        <c:gapWidth val="150"/>
        <c:axId val="266126080"/>
        <c:axId val="266127616"/>
      </c:barChart>
      <c:catAx>
        <c:axId val="266126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66127616"/>
        <c:crosses val="autoZero"/>
        <c:auto val="1"/>
        <c:lblAlgn val="ctr"/>
        <c:lblOffset val="100"/>
        <c:tickLblSkip val="1"/>
        <c:tickMarkSkip val="1"/>
        <c:noMultiLvlLbl val="0"/>
      </c:catAx>
      <c:valAx>
        <c:axId val="26612761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6612608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AU"/>
              <a:t>Water and Sewer Operating Result Before Capital Grants and Contributions ($'000)</a:t>
            </a:r>
          </a:p>
        </c:rich>
      </c:tx>
      <c:layout>
        <c:manualLayout>
          <c:xMode val="edge"/>
          <c:yMode val="edge"/>
          <c:x val="0.19031607196512876"/>
          <c:y val="3.4816247582208242E-2"/>
        </c:manualLayout>
      </c:layout>
      <c:overlay val="0"/>
      <c:spPr>
        <a:noFill/>
        <a:ln w="25400">
          <a:noFill/>
        </a:ln>
      </c:spPr>
    </c:title>
    <c:autoTitleDeleted val="0"/>
    <c:plotArea>
      <c:layout/>
      <c:lineChart>
        <c:grouping val="standard"/>
        <c:varyColors val="0"/>
        <c:ser>
          <c:idx val="1"/>
          <c:order val="0"/>
          <c:tx>
            <c:strRef>
              <c:f>Summaries!#REF!</c:f>
              <c:strCache>
                <c:ptCount val="1"/>
                <c:pt idx="0">
                  <c:v>#REF!</c:v>
                </c:pt>
              </c:strCache>
            </c:strRef>
          </c:tx>
          <c:spPr>
            <a:ln w="25400">
              <a:solidFill>
                <a:srgbClr val="000000"/>
              </a:solidFill>
              <a:prstDash val="lgDashDot"/>
            </a:ln>
          </c:spPr>
          <c:marker>
            <c:symbol val="square"/>
            <c:size val="7"/>
            <c:spPr>
              <a:solidFill>
                <a:srgbClr val="FF00FF"/>
              </a:solidFill>
              <a:ln>
                <a:solidFill>
                  <a:srgbClr val="FF00FF"/>
                </a:solidFill>
                <a:prstDash val="solid"/>
              </a:ln>
            </c:spPr>
          </c:marker>
          <c:trendline>
            <c:spPr>
              <a:ln w="25400">
                <a:solidFill>
                  <a:srgbClr val="000000"/>
                </a:solidFill>
                <a:prstDash val="lgDash"/>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mooth val="0"/>
        </c:ser>
        <c:ser>
          <c:idx val="2"/>
          <c:order val="1"/>
          <c:tx>
            <c:strRef>
              <c:f>Summaries!#REF!</c:f>
              <c:strCache>
                <c:ptCount val="1"/>
                <c:pt idx="0">
                  <c:v>#REF!</c:v>
                </c:pt>
              </c:strCache>
            </c:strRef>
          </c:tx>
          <c:spPr>
            <a:ln w="25400">
              <a:solidFill>
                <a:srgbClr val="339966"/>
              </a:solidFill>
              <a:prstDash val="sysDash"/>
            </a:ln>
          </c:spPr>
          <c:marker>
            <c:symbol val="triangle"/>
            <c:size val="7"/>
            <c:spPr>
              <a:solidFill>
                <a:srgbClr val="FFFF00"/>
              </a:solidFill>
              <a:ln>
                <a:solidFill>
                  <a:srgbClr val="FFFF00"/>
                </a:solidFill>
                <a:prstDash val="solid"/>
              </a:ln>
            </c:spPr>
          </c:marker>
          <c:trendline>
            <c:spPr>
              <a:ln w="25400">
                <a:solidFill>
                  <a:srgbClr val="000000"/>
                </a:solidFill>
                <a:prstDash val="solid"/>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mooth val="0"/>
        </c:ser>
        <c:dLbls>
          <c:showLegendKey val="0"/>
          <c:showVal val="0"/>
          <c:showCatName val="0"/>
          <c:showSerName val="0"/>
          <c:showPercent val="0"/>
          <c:showBubbleSize val="0"/>
        </c:dLbls>
        <c:marker val="1"/>
        <c:smooth val="0"/>
        <c:axId val="260387584"/>
        <c:axId val="260389120"/>
      </c:lineChart>
      <c:catAx>
        <c:axId val="26038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60389120"/>
        <c:crosses val="autoZero"/>
        <c:auto val="1"/>
        <c:lblAlgn val="ctr"/>
        <c:lblOffset val="100"/>
        <c:tickLblSkip val="1"/>
        <c:tickMarkSkip val="1"/>
        <c:noMultiLvlLbl val="0"/>
      </c:catAx>
      <c:valAx>
        <c:axId val="26038912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6038758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Oper &amp; Maint Compare AMP to LTFP</a:t>
            </a:r>
          </a:p>
        </c:rich>
      </c:tx>
      <c:overlay val="0"/>
    </c:title>
    <c:autoTitleDeleted val="0"/>
    <c:plotArea>
      <c:layout/>
      <c:lineChart>
        <c:grouping val="standard"/>
        <c:varyColors val="0"/>
        <c:ser>
          <c:idx val="0"/>
          <c:order val="0"/>
          <c:tx>
            <c:strRef>
              <c:f>'LTFP to AMPs'!$C$13</c:f>
              <c:strCache>
                <c:ptCount val="1"/>
                <c:pt idx="0">
                  <c:v>AMP - Roads Operations &amp; Maintenance</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AMPs'!$D$13:$O$13</c:f>
              <c:numCache>
                <c:formatCode>_(* #,##0_);_(* \(#,##0\);_(* "-"??_);_(@_)</c:formatCode>
                <c:ptCount val="12"/>
                <c:pt idx="0">
                  <c:v>4895.4767688249995</c:v>
                </c:pt>
                <c:pt idx="1">
                  <c:v>5435.7792666765263</c:v>
                </c:pt>
                <c:pt idx="2">
                  <c:v>5747.866974848891</c:v>
                </c:pt>
                <c:pt idx="3">
                  <c:v>5720.8623009349149</c:v>
                </c:pt>
                <c:pt idx="4">
                  <c:v>5968.6425116126302</c:v>
                </c:pt>
                <c:pt idx="5">
                  <c:v>6156.415988187523</c:v>
                </c:pt>
                <c:pt idx="6">
                  <c:v>6335.9744736320727</c:v>
                </c:pt>
                <c:pt idx="7">
                  <c:v>6523.9591277868021</c:v>
                </c:pt>
                <c:pt idx="8">
                  <c:v>6714.432956685102</c:v>
                </c:pt>
                <c:pt idx="9">
                  <c:v>6912.3032729208062</c:v>
                </c:pt>
                <c:pt idx="10">
                  <c:v>7113.7667172661904</c:v>
                </c:pt>
                <c:pt idx="11">
                  <c:v>0</c:v>
                </c:pt>
              </c:numCache>
            </c:numRef>
          </c:val>
          <c:smooth val="0"/>
        </c:ser>
        <c:ser>
          <c:idx val="19"/>
          <c:order val="1"/>
          <c:tx>
            <c:strRef>
              <c:f>'LTFP to AMPs'!$C$36</c:f>
              <c:strCache>
                <c:ptCount val="1"/>
                <c:pt idx="0">
                  <c:v>LTFP - Roads Operations &amp; Maintenance</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AMPs'!$D$36:$O$36</c:f>
              <c:numCache>
                <c:formatCode>_(* #,##0_);_(* \(#,##0\);_(* "-"??_);_(@_)</c:formatCode>
                <c:ptCount val="12"/>
                <c:pt idx="0">
                  <c:v>5625</c:v>
                </c:pt>
                <c:pt idx="1">
                  <c:v>5087</c:v>
                </c:pt>
                <c:pt idx="2">
                  <c:v>5172</c:v>
                </c:pt>
                <c:pt idx="3">
                  <c:v>5484</c:v>
                </c:pt>
                <c:pt idx="4">
                  <c:v>5439</c:v>
                </c:pt>
                <c:pt idx="5">
                  <c:v>5182</c:v>
                </c:pt>
                <c:pt idx="6">
                  <c:v>5342</c:v>
                </c:pt>
                <c:pt idx="7">
                  <c:v>5577</c:v>
                </c:pt>
                <c:pt idx="8">
                  <c:v>5619</c:v>
                </c:pt>
                <c:pt idx="9">
                  <c:v>5864</c:v>
                </c:pt>
                <c:pt idx="10">
                  <c:v>5909</c:v>
                </c:pt>
                <c:pt idx="11">
                  <c:v>6163</c:v>
                </c:pt>
              </c:numCache>
            </c:numRef>
          </c:val>
          <c:smooth val="0"/>
        </c:ser>
        <c:dLbls>
          <c:showLegendKey val="0"/>
          <c:showVal val="0"/>
          <c:showCatName val="0"/>
          <c:showSerName val="0"/>
          <c:showPercent val="0"/>
          <c:showBubbleSize val="0"/>
        </c:dLbls>
        <c:marker val="1"/>
        <c:smooth val="0"/>
        <c:axId val="266227072"/>
        <c:axId val="261313664"/>
      </c:lineChart>
      <c:catAx>
        <c:axId val="26622707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61313664"/>
        <c:crosses val="autoZero"/>
        <c:auto val="1"/>
        <c:lblAlgn val="ctr"/>
        <c:lblOffset val="100"/>
        <c:noMultiLvlLbl val="0"/>
      </c:catAx>
      <c:valAx>
        <c:axId val="26131366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6622707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Renewals Compare AMP to LTFP</a:t>
            </a:r>
          </a:p>
        </c:rich>
      </c:tx>
      <c:overlay val="0"/>
    </c:title>
    <c:autoTitleDeleted val="0"/>
    <c:plotArea>
      <c:layout/>
      <c:lineChart>
        <c:grouping val="standard"/>
        <c:varyColors val="0"/>
        <c:ser>
          <c:idx val="1"/>
          <c:order val="0"/>
          <c:tx>
            <c:strRef>
              <c:f>'LTFP to AMPs'!$C$24</c:f>
              <c:strCache>
                <c:ptCount val="1"/>
                <c:pt idx="0">
                  <c:v>AMP - Roads Renewals</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AMPs'!$D$24:$O$24</c:f>
              <c:numCache>
                <c:formatCode>_(* #,##0_);_(* \(#,##0\);_(* "-"??_);_(@_)</c:formatCode>
                <c:ptCount val="12"/>
                <c:pt idx="0">
                  <c:v>5269.0027997839998</c:v>
                </c:pt>
                <c:pt idx="1">
                  <c:v>6823.8585255104772</c:v>
                </c:pt>
                <c:pt idx="2">
                  <c:v>2184.6971702223332</c:v>
                </c:pt>
                <c:pt idx="3">
                  <c:v>3900.5876347582393</c:v>
                </c:pt>
                <c:pt idx="4">
                  <c:v>3433.8601196503041</c:v>
                </c:pt>
                <c:pt idx="5">
                  <c:v>2348.1622564137301</c:v>
                </c:pt>
                <c:pt idx="6">
                  <c:v>5100.8745411507034</c:v>
                </c:pt>
                <c:pt idx="7">
                  <c:v>5656.6375790666025</c:v>
                </c:pt>
                <c:pt idx="8">
                  <c:v>3478.3987386510248</c:v>
                </c:pt>
                <c:pt idx="9">
                  <c:v>4755.4949043564011</c:v>
                </c:pt>
                <c:pt idx="10">
                  <c:v>3016.09180081766</c:v>
                </c:pt>
                <c:pt idx="11">
                  <c:v>0</c:v>
                </c:pt>
              </c:numCache>
            </c:numRef>
          </c:val>
          <c:smooth val="0"/>
        </c:ser>
        <c:ser>
          <c:idx val="2"/>
          <c:order val="1"/>
          <c:tx>
            <c:strRef>
              <c:f>'LTFP to AMPs'!$C$45</c:f>
              <c:strCache>
                <c:ptCount val="1"/>
                <c:pt idx="0">
                  <c:v>LTFP - Roads Renewals</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AMPs'!$D$45:$O$45</c:f>
              <c:numCache>
                <c:formatCode>_(* #,##0_);_(* \(#,##0\);_(* "-"??_);_(@_)</c:formatCode>
                <c:ptCount val="12"/>
                <c:pt idx="0">
                  <c:v>6064</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61326720"/>
        <c:axId val="261328256"/>
      </c:lineChart>
      <c:catAx>
        <c:axId val="26132672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61328256"/>
        <c:crosses val="autoZero"/>
        <c:auto val="1"/>
        <c:lblAlgn val="ctr"/>
        <c:lblOffset val="100"/>
        <c:noMultiLvlLbl val="0"/>
      </c:catAx>
      <c:valAx>
        <c:axId val="261328256"/>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61326720"/>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Totals Compare AMP to LTFP</a:t>
            </a:r>
          </a:p>
        </c:rich>
      </c:tx>
      <c:overlay val="0"/>
    </c:title>
    <c:autoTitleDeleted val="0"/>
    <c:plotArea>
      <c:layout/>
      <c:lineChart>
        <c:grouping val="standard"/>
        <c:varyColors val="0"/>
        <c:ser>
          <c:idx val="0"/>
          <c:order val="0"/>
          <c:tx>
            <c:strRef>
              <c:f>'LTFP to AMPs'!$C$25</c:f>
              <c:strCache>
                <c:ptCount val="1"/>
                <c:pt idx="0">
                  <c:v>AMP - Totals</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AMPs'!$D$25:$O$25</c:f>
              <c:numCache>
                <c:formatCode>_(* #,##0_);_(* \(#,##0\);_(* "-"??_);_(@_)</c:formatCode>
                <c:ptCount val="12"/>
                <c:pt idx="0">
                  <c:v>10164.479568609</c:v>
                </c:pt>
                <c:pt idx="1">
                  <c:v>12259.637792187004</c:v>
                </c:pt>
                <c:pt idx="2">
                  <c:v>7932.5641450712246</c:v>
                </c:pt>
                <c:pt idx="3">
                  <c:v>9621.4499356931537</c:v>
                </c:pt>
                <c:pt idx="4">
                  <c:v>9402.5026312629343</c:v>
                </c:pt>
                <c:pt idx="5">
                  <c:v>8504.5782446012527</c:v>
                </c:pt>
                <c:pt idx="6">
                  <c:v>11436.849014782776</c:v>
                </c:pt>
                <c:pt idx="7">
                  <c:v>12180.596706853405</c:v>
                </c:pt>
                <c:pt idx="8">
                  <c:v>10192.831695336126</c:v>
                </c:pt>
                <c:pt idx="9">
                  <c:v>11667.798177277207</c:v>
                </c:pt>
                <c:pt idx="10">
                  <c:v>10129.858518083851</c:v>
                </c:pt>
                <c:pt idx="11">
                  <c:v>0</c:v>
                </c:pt>
              </c:numCache>
            </c:numRef>
          </c:val>
          <c:smooth val="0"/>
        </c:ser>
        <c:ser>
          <c:idx val="1"/>
          <c:order val="1"/>
          <c:tx>
            <c:strRef>
              <c:f>'LTFP to AMPs'!$C$46</c:f>
              <c:strCache>
                <c:ptCount val="1"/>
                <c:pt idx="0">
                  <c:v>LTFP - Totals</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AMPs'!$D$46:$O$46</c:f>
              <c:numCache>
                <c:formatCode>_(* #,##0_);_(* \(#,##0\);_(* "-"??_);_(@_)</c:formatCode>
                <c:ptCount val="12"/>
                <c:pt idx="0">
                  <c:v>11689</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66703232"/>
        <c:axId val="266704768"/>
      </c:lineChart>
      <c:catAx>
        <c:axId val="26670323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66704768"/>
        <c:crosses val="autoZero"/>
        <c:auto val="1"/>
        <c:lblAlgn val="ctr"/>
        <c:lblOffset val="100"/>
        <c:noMultiLvlLbl val="0"/>
      </c:catAx>
      <c:valAx>
        <c:axId val="26670476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6670323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Cumulative Difference - LTFP to AMP</a:t>
            </a:r>
          </a:p>
        </c:rich>
      </c:tx>
      <c:overlay val="0"/>
    </c:title>
    <c:autoTitleDeleted val="0"/>
    <c:plotArea>
      <c:layout/>
      <c:barChart>
        <c:barDir val="col"/>
        <c:grouping val="clustered"/>
        <c:varyColors val="0"/>
        <c:ser>
          <c:idx val="0"/>
          <c:order val="0"/>
          <c:tx>
            <c:strRef>
              <c:f>'LTFP to AMPs'!$C$48</c:f>
              <c:strCache>
                <c:ptCount val="1"/>
                <c:pt idx="0">
                  <c:v>Cumulative Difference - LTFP to AMP</c:v>
                </c:pt>
              </c:strCache>
            </c:strRef>
          </c:tx>
          <c:invertIfNegative val="0"/>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AMPs'!$D$48:$O$48</c:f>
              <c:numCache>
                <c:formatCode>_(* #,##0_);_(* \(#,##0\);_(* "-"??_);_(@_)</c:formatCode>
                <c:ptCount val="12"/>
                <c:pt idx="0">
                  <c:v>1524.5204313909999</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266020736"/>
        <c:axId val="266022272"/>
      </c:barChart>
      <c:catAx>
        <c:axId val="2660207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66022272"/>
        <c:crosses val="autoZero"/>
        <c:auto val="1"/>
        <c:lblAlgn val="ctr"/>
        <c:lblOffset val="100"/>
        <c:noMultiLvlLbl val="0"/>
      </c:catAx>
      <c:valAx>
        <c:axId val="266022272"/>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66020736"/>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Oper &amp; Maint Compare AMP to LTFP</a:t>
            </a:r>
          </a:p>
        </c:rich>
      </c:tx>
      <c:overlay val="0"/>
    </c:title>
    <c:autoTitleDeleted val="0"/>
    <c:plotArea>
      <c:layout/>
      <c:lineChart>
        <c:grouping val="standard"/>
        <c:varyColors val="0"/>
        <c:ser>
          <c:idx val="1"/>
          <c:order val="0"/>
          <c:tx>
            <c:strRef>
              <c:f>'LTFP to AMPs'!$C$153</c:f>
              <c:strCache>
                <c:ptCount val="1"/>
                <c:pt idx="0">
                  <c:v>AMP - Stormwater Operations &amp; Maintenance</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AMPs'!$D$153:$O$153</c:f>
              <c:numCache>
                <c:formatCode>_(* #,##0_);_(* \(#,##0\);_(* "-"??_);_(@_)</c:formatCode>
                <c:ptCount val="12"/>
                <c:pt idx="0">
                  <c:v>333.54</c:v>
                </c:pt>
                <c:pt idx="1">
                  <c:v>342.29160000000002</c:v>
                </c:pt>
                <c:pt idx="2">
                  <c:v>350.19863999999995</c:v>
                </c:pt>
                <c:pt idx="3">
                  <c:v>358.28504495999999</c:v>
                </c:pt>
                <c:pt idx="4">
                  <c:v>366.55482666239999</c:v>
                </c:pt>
                <c:pt idx="5">
                  <c:v>376.138248034176</c:v>
                </c:pt>
                <c:pt idx="6">
                  <c:v>384.80969866250877</c:v>
                </c:pt>
                <c:pt idx="7">
                  <c:v>394.8492113977635</c:v>
                </c:pt>
                <c:pt idx="8">
                  <c:v>403.9412881943411</c:v>
                </c:pt>
                <c:pt idx="9">
                  <c:v>414.45810279821745</c:v>
                </c:pt>
                <c:pt idx="10">
                  <c:v>423.99063916257637</c:v>
                </c:pt>
                <c:pt idx="11">
                  <c:v>0</c:v>
                </c:pt>
              </c:numCache>
            </c:numRef>
          </c:val>
          <c:smooth val="0"/>
        </c:ser>
        <c:ser>
          <c:idx val="0"/>
          <c:order val="1"/>
          <c:tx>
            <c:strRef>
              <c:f>'LTFP to AMPs'!$C$165</c:f>
              <c:strCache>
                <c:ptCount val="1"/>
                <c:pt idx="0">
                  <c:v>LTFP - Stormwater Operations &amp; Maintenance</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AMPs'!$D$165:$O$165</c:f>
              <c:numCache>
                <c:formatCode>General</c:formatCode>
                <c:ptCount val="12"/>
                <c:pt idx="0">
                  <c:v>343</c:v>
                </c:pt>
                <c:pt idx="1">
                  <c:v>247</c:v>
                </c:pt>
                <c:pt idx="2">
                  <c:v>289</c:v>
                </c:pt>
                <c:pt idx="3">
                  <c:v>273</c:v>
                </c:pt>
                <c:pt idx="4">
                  <c:v>217</c:v>
                </c:pt>
                <c:pt idx="5">
                  <c:v>249</c:v>
                </c:pt>
                <c:pt idx="6">
                  <c:v>255</c:v>
                </c:pt>
                <c:pt idx="7">
                  <c:v>262</c:v>
                </c:pt>
                <c:pt idx="8">
                  <c:v>269</c:v>
                </c:pt>
                <c:pt idx="9">
                  <c:v>276</c:v>
                </c:pt>
                <c:pt idx="10">
                  <c:v>282</c:v>
                </c:pt>
                <c:pt idx="11">
                  <c:v>290</c:v>
                </c:pt>
              </c:numCache>
            </c:numRef>
          </c:val>
          <c:smooth val="0"/>
        </c:ser>
        <c:dLbls>
          <c:showLegendKey val="0"/>
          <c:showVal val="0"/>
          <c:showCatName val="0"/>
          <c:showSerName val="0"/>
          <c:showPercent val="0"/>
          <c:showBubbleSize val="0"/>
        </c:dLbls>
        <c:marker val="1"/>
        <c:smooth val="0"/>
        <c:axId val="268243328"/>
        <c:axId val="268244864"/>
      </c:lineChart>
      <c:catAx>
        <c:axId val="26824332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68244864"/>
        <c:crosses val="autoZero"/>
        <c:auto val="1"/>
        <c:lblAlgn val="ctr"/>
        <c:lblOffset val="100"/>
        <c:noMultiLvlLbl val="0"/>
      </c:catAx>
      <c:valAx>
        <c:axId val="26824486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68243328"/>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183488"/>
        <c:axId val="251185024"/>
      </c:barChart>
      <c:catAx>
        <c:axId val="2511834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185024"/>
        <c:crossesAt val="0"/>
        <c:auto val="0"/>
        <c:lblAlgn val="ctr"/>
        <c:lblOffset val="100"/>
        <c:tickLblSkip val="1"/>
        <c:tickMarkSkip val="1"/>
        <c:noMultiLvlLbl val="0"/>
      </c:catAx>
      <c:valAx>
        <c:axId val="25118502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1834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Renewals Compare AMP to LTFP</a:t>
            </a:r>
          </a:p>
        </c:rich>
      </c:tx>
      <c:overlay val="0"/>
    </c:title>
    <c:autoTitleDeleted val="0"/>
    <c:plotArea>
      <c:layout/>
      <c:lineChart>
        <c:grouping val="standard"/>
        <c:varyColors val="0"/>
        <c:ser>
          <c:idx val="0"/>
          <c:order val="0"/>
          <c:tx>
            <c:strRef>
              <c:f>'LTFP to AMPs'!$C$156</c:f>
              <c:strCache>
                <c:ptCount val="1"/>
                <c:pt idx="0">
                  <c:v>AMP - Stormwater Renewals</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AMPs'!$D$156:$O$156</c:f>
              <c:numCache>
                <c:formatCode>_(* #,##0_);_(* \(#,##0\);_(* "-"??_);_(@_)</c:formatCode>
                <c:ptCount val="12"/>
                <c:pt idx="0">
                  <c:v>510</c:v>
                </c:pt>
                <c:pt idx="1">
                  <c:v>364.14</c:v>
                </c:pt>
                <c:pt idx="2">
                  <c:v>318.36239999999998</c:v>
                </c:pt>
                <c:pt idx="3">
                  <c:v>324.729648</c:v>
                </c:pt>
                <c:pt idx="4">
                  <c:v>331.22424096000003</c:v>
                </c:pt>
                <c:pt idx="5">
                  <c:v>337.84872577920004</c:v>
                </c:pt>
                <c:pt idx="6">
                  <c:v>344.60570029478396</c:v>
                </c:pt>
                <c:pt idx="7">
                  <c:v>351.49781430067964</c:v>
                </c:pt>
                <c:pt idx="8">
                  <c:v>358.52777058669324</c:v>
                </c:pt>
                <c:pt idx="9">
                  <c:v>365.69832599842715</c:v>
                </c:pt>
                <c:pt idx="10">
                  <c:v>373.01229251839561</c:v>
                </c:pt>
              </c:numCache>
            </c:numRef>
          </c:val>
          <c:smooth val="0"/>
        </c:ser>
        <c:ser>
          <c:idx val="3"/>
          <c:order val="1"/>
          <c:tx>
            <c:strRef>
              <c:f>'LTFP to AMPs'!$C$168</c:f>
              <c:strCache>
                <c:ptCount val="1"/>
                <c:pt idx="0">
                  <c:v>LTFP - Stormwater Renewals</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AMPs'!$D$168:$O$168</c:f>
              <c:numCache>
                <c:formatCode>General</c:formatCode>
                <c:ptCount val="12"/>
                <c:pt idx="0">
                  <c:v>162</c:v>
                </c:pt>
                <c:pt idx="1">
                  <c:v>0</c:v>
                </c:pt>
                <c:pt idx="2">
                  <c:v>0</c:v>
                </c:pt>
                <c:pt idx="3">
                  <c:v>303</c:v>
                </c:pt>
                <c:pt idx="4">
                  <c:v>255</c:v>
                </c:pt>
                <c:pt idx="5">
                  <c:v>354</c:v>
                </c:pt>
                <c:pt idx="6">
                  <c:v>474</c:v>
                </c:pt>
                <c:pt idx="7">
                  <c:v>493</c:v>
                </c:pt>
                <c:pt idx="8">
                  <c:v>506</c:v>
                </c:pt>
                <c:pt idx="9">
                  <c:v>519</c:v>
                </c:pt>
                <c:pt idx="10">
                  <c:v>532</c:v>
                </c:pt>
                <c:pt idx="11">
                  <c:v>546</c:v>
                </c:pt>
              </c:numCache>
            </c:numRef>
          </c:val>
          <c:smooth val="0"/>
        </c:ser>
        <c:dLbls>
          <c:showLegendKey val="0"/>
          <c:showVal val="0"/>
          <c:showCatName val="0"/>
          <c:showSerName val="0"/>
          <c:showPercent val="0"/>
          <c:showBubbleSize val="0"/>
        </c:dLbls>
        <c:marker val="1"/>
        <c:smooth val="0"/>
        <c:axId val="268266112"/>
        <c:axId val="268272000"/>
      </c:lineChart>
      <c:catAx>
        <c:axId val="26826611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68272000"/>
        <c:crosses val="autoZero"/>
        <c:auto val="1"/>
        <c:lblAlgn val="ctr"/>
        <c:lblOffset val="100"/>
        <c:noMultiLvlLbl val="0"/>
      </c:catAx>
      <c:valAx>
        <c:axId val="26827200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6826611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Totals Compare AMP to LTFP</a:t>
            </a:r>
          </a:p>
        </c:rich>
      </c:tx>
      <c:overlay val="0"/>
    </c:title>
    <c:autoTitleDeleted val="0"/>
    <c:plotArea>
      <c:layout/>
      <c:lineChart>
        <c:grouping val="standard"/>
        <c:varyColors val="0"/>
        <c:ser>
          <c:idx val="2"/>
          <c:order val="0"/>
          <c:tx>
            <c:strRef>
              <c:f>'LTFP to AMPs'!$C$157</c:f>
              <c:strCache>
                <c:ptCount val="1"/>
                <c:pt idx="0">
                  <c:v>AMP Totals</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AMPs'!$D$157:$O$157</c:f>
              <c:numCache>
                <c:formatCode>_(* #,##0_);_(* \(#,##0\);_(* "-"??_);_(@_)</c:formatCode>
                <c:ptCount val="12"/>
                <c:pt idx="0">
                  <c:v>843.54</c:v>
                </c:pt>
                <c:pt idx="1">
                  <c:v>706.4316</c:v>
                </c:pt>
                <c:pt idx="2">
                  <c:v>668.56103999999993</c:v>
                </c:pt>
                <c:pt idx="3">
                  <c:v>683.01469296000005</c:v>
                </c:pt>
                <c:pt idx="4">
                  <c:v>697.77906762240002</c:v>
                </c:pt>
                <c:pt idx="5">
                  <c:v>713.98697381337604</c:v>
                </c:pt>
                <c:pt idx="6">
                  <c:v>729.41539895729272</c:v>
                </c:pt>
                <c:pt idx="7">
                  <c:v>746.34702569844308</c:v>
                </c:pt>
                <c:pt idx="8">
                  <c:v>762.46905878103439</c:v>
                </c:pt>
                <c:pt idx="9">
                  <c:v>780.1564287966446</c:v>
                </c:pt>
                <c:pt idx="10">
                  <c:v>797.00293168097198</c:v>
                </c:pt>
                <c:pt idx="11">
                  <c:v>0</c:v>
                </c:pt>
              </c:numCache>
            </c:numRef>
          </c:val>
          <c:smooth val="0"/>
        </c:ser>
        <c:ser>
          <c:idx val="3"/>
          <c:order val="1"/>
          <c:tx>
            <c:strRef>
              <c:f>'LTFP to AMPs'!$C$169</c:f>
              <c:strCache>
                <c:ptCount val="1"/>
                <c:pt idx="0">
                  <c:v>LTFP Totals</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AMPs'!$D$169:$O$169</c:f>
              <c:numCache>
                <c:formatCode>General</c:formatCode>
                <c:ptCount val="12"/>
                <c:pt idx="0">
                  <c:v>505</c:v>
                </c:pt>
                <c:pt idx="1">
                  <c:v>0</c:v>
                </c:pt>
                <c:pt idx="2">
                  <c:v>0</c:v>
                </c:pt>
                <c:pt idx="3">
                  <c:v>576</c:v>
                </c:pt>
                <c:pt idx="4">
                  <c:v>472</c:v>
                </c:pt>
                <c:pt idx="5">
                  <c:v>603</c:v>
                </c:pt>
                <c:pt idx="6">
                  <c:v>729</c:v>
                </c:pt>
                <c:pt idx="7">
                  <c:v>755</c:v>
                </c:pt>
                <c:pt idx="8">
                  <c:v>775</c:v>
                </c:pt>
                <c:pt idx="9">
                  <c:v>795</c:v>
                </c:pt>
                <c:pt idx="10">
                  <c:v>814</c:v>
                </c:pt>
                <c:pt idx="11">
                  <c:v>836</c:v>
                </c:pt>
              </c:numCache>
            </c:numRef>
          </c:val>
          <c:smooth val="0"/>
        </c:ser>
        <c:dLbls>
          <c:showLegendKey val="0"/>
          <c:showVal val="0"/>
          <c:showCatName val="0"/>
          <c:showSerName val="0"/>
          <c:showPercent val="0"/>
          <c:showBubbleSize val="0"/>
        </c:dLbls>
        <c:marker val="1"/>
        <c:smooth val="0"/>
        <c:axId val="268305536"/>
        <c:axId val="268307072"/>
      </c:lineChart>
      <c:catAx>
        <c:axId val="26830553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68307072"/>
        <c:crosses val="autoZero"/>
        <c:auto val="1"/>
        <c:lblAlgn val="ctr"/>
        <c:lblOffset val="100"/>
        <c:noMultiLvlLbl val="0"/>
      </c:catAx>
      <c:valAx>
        <c:axId val="268307072"/>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6830553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Cumulative Difference - LTFP to AMP</a:t>
            </a:r>
          </a:p>
        </c:rich>
      </c:tx>
      <c:overlay val="0"/>
    </c:title>
    <c:autoTitleDeleted val="0"/>
    <c:plotArea>
      <c:layout/>
      <c:barChart>
        <c:barDir val="col"/>
        <c:grouping val="clustered"/>
        <c:varyColors val="0"/>
        <c:ser>
          <c:idx val="1"/>
          <c:order val="0"/>
          <c:tx>
            <c:strRef>
              <c:f>'LTFP to AMPs'!$C$171</c:f>
              <c:strCache>
                <c:ptCount val="1"/>
                <c:pt idx="0">
                  <c:v>Cumulative Difference - LTFP to AMP</c:v>
                </c:pt>
              </c:strCache>
            </c:strRef>
          </c:tx>
          <c:invertIfNegative val="0"/>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AMPs'!$D$171:$O$171</c:f>
              <c:numCache>
                <c:formatCode>_(* #,##0_);_(* \(#,##0\);_(* "-"??_);_(@_)</c:formatCode>
                <c:ptCount val="12"/>
                <c:pt idx="0">
                  <c:v>-338.53999999999996</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268343936"/>
        <c:axId val="268349824"/>
      </c:barChart>
      <c:catAx>
        <c:axId val="2683439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68349824"/>
        <c:crosses val="autoZero"/>
        <c:auto val="1"/>
        <c:lblAlgn val="ctr"/>
        <c:lblOffset val="100"/>
        <c:noMultiLvlLbl val="0"/>
      </c:catAx>
      <c:valAx>
        <c:axId val="268349824"/>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68343936"/>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Oper &amp; Maint Compare AMP to LTFP</a:t>
            </a:r>
          </a:p>
        </c:rich>
      </c:tx>
      <c:overlay val="0"/>
    </c:title>
    <c:autoTitleDeleted val="0"/>
    <c:plotArea>
      <c:layout/>
      <c:lineChart>
        <c:grouping val="standard"/>
        <c:varyColors val="0"/>
        <c:ser>
          <c:idx val="2"/>
          <c:order val="0"/>
          <c:tx>
            <c:strRef>
              <c:f>'LTFP to AMPs'!$C$275</c:f>
              <c:strCache>
                <c:ptCount val="1"/>
                <c:pt idx="0">
                  <c:v>AMP - Water Operations &amp; Maintenance</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AMPs'!$D$275:$O$275</c:f>
              <c:numCache>
                <c:formatCode>_(* #,##0_);_(* \(#,##0\);_(* "-"??_);_(@_)</c:formatCode>
                <c:ptCount val="12"/>
                <c:pt idx="0">
                  <c:v>6692.22</c:v>
                </c:pt>
                <c:pt idx="1">
                  <c:v>6826.0643999999993</c:v>
                </c:pt>
                <c:pt idx="2">
                  <c:v>6962.5856880000001</c:v>
                </c:pt>
                <c:pt idx="3">
                  <c:v>7101.8374017600008</c:v>
                </c:pt>
                <c:pt idx="4">
                  <c:v>7243.8741497952005</c:v>
                </c:pt>
                <c:pt idx="5">
                  <c:v>7388.7516327911044</c:v>
                </c:pt>
                <c:pt idx="6">
                  <c:v>7536.5266654469242</c:v>
                </c:pt>
                <c:pt idx="7">
                  <c:v>7687.257198755864</c:v>
                </c:pt>
                <c:pt idx="8">
                  <c:v>7841.0023427309825</c:v>
                </c:pt>
                <c:pt idx="9">
                  <c:v>7997.8223895856008</c:v>
                </c:pt>
                <c:pt idx="10">
                  <c:v>8157.7788373773119</c:v>
                </c:pt>
                <c:pt idx="11">
                  <c:v>0</c:v>
                </c:pt>
              </c:numCache>
            </c:numRef>
          </c:val>
          <c:smooth val="0"/>
        </c:ser>
        <c:ser>
          <c:idx val="3"/>
          <c:order val="1"/>
          <c:tx>
            <c:strRef>
              <c:f>'LTFP to AMPs'!$C$295</c:f>
              <c:strCache>
                <c:ptCount val="1"/>
                <c:pt idx="0">
                  <c:v>LTFP - Water Operations &amp; Maintenance</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AMPs'!$D$295:$O$295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68366976"/>
        <c:axId val="268368512"/>
      </c:lineChart>
      <c:catAx>
        <c:axId val="26836697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68368512"/>
        <c:crosses val="autoZero"/>
        <c:auto val="1"/>
        <c:lblAlgn val="ctr"/>
        <c:lblOffset val="100"/>
        <c:noMultiLvlLbl val="0"/>
      </c:catAx>
      <c:valAx>
        <c:axId val="268368512"/>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6836697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Renewals Compare AMP to LTFP</a:t>
            </a:r>
          </a:p>
        </c:rich>
      </c:tx>
      <c:overlay val="0"/>
    </c:title>
    <c:autoTitleDeleted val="0"/>
    <c:plotArea>
      <c:layout/>
      <c:lineChart>
        <c:grouping val="standard"/>
        <c:varyColors val="0"/>
        <c:ser>
          <c:idx val="1"/>
          <c:order val="0"/>
          <c:tx>
            <c:strRef>
              <c:f>'LTFP to AMPs'!$C$284</c:f>
              <c:strCache>
                <c:ptCount val="1"/>
                <c:pt idx="0">
                  <c:v>AMP - Water Renewals</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AMPs'!$D$284:$O$284</c:f>
              <c:numCache>
                <c:formatCode>_(* #,##0_);_(* \(#,##0\);_(* "-"??_);_(@_)</c:formatCode>
                <c:ptCount val="12"/>
                <c:pt idx="0">
                  <c:v>1537.2565199999999</c:v>
                </c:pt>
                <c:pt idx="1">
                  <c:v>2031.4942402304002</c:v>
                </c:pt>
                <c:pt idx="2">
                  <c:v>832.21537453374822</c:v>
                </c:pt>
                <c:pt idx="3">
                  <c:v>2429.8804448264373</c:v>
                </c:pt>
                <c:pt idx="4">
                  <c:v>707.41975800281614</c:v>
                </c:pt>
                <c:pt idx="5">
                  <c:v>5693.7705034774563</c:v>
                </c:pt>
                <c:pt idx="6">
                  <c:v>705.28877286118836</c:v>
                </c:pt>
                <c:pt idx="7">
                  <c:v>2018.8143942079</c:v>
                </c:pt>
                <c:pt idx="8">
                  <c:v>663.13404694432825</c:v>
                </c:pt>
                <c:pt idx="9">
                  <c:v>670.40148829518284</c:v>
                </c:pt>
                <c:pt idx="10">
                  <c:v>238.7278672117732</c:v>
                </c:pt>
                <c:pt idx="11">
                  <c:v>0</c:v>
                </c:pt>
              </c:numCache>
            </c:numRef>
          </c:val>
          <c:smooth val="0"/>
        </c:ser>
        <c:ser>
          <c:idx val="2"/>
          <c:order val="1"/>
          <c:tx>
            <c:strRef>
              <c:f>'LTFP to AMPs'!$C$304</c:f>
              <c:strCache>
                <c:ptCount val="1"/>
                <c:pt idx="0">
                  <c:v>LTFP - Water Renewals</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AMPs'!$D$304:$O$304</c:f>
              <c:numCache>
                <c:formatCode>_(* #,##0_);_(* \(#,##0\);_(* "-"??_);_(@_)</c:formatCode>
                <c:ptCount val="12"/>
                <c:pt idx="0">
                  <c:v>145</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35965568"/>
        <c:axId val="335979648"/>
      </c:lineChart>
      <c:catAx>
        <c:axId val="33596556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335979648"/>
        <c:crosses val="autoZero"/>
        <c:auto val="1"/>
        <c:lblAlgn val="ctr"/>
        <c:lblOffset val="100"/>
        <c:noMultiLvlLbl val="0"/>
      </c:catAx>
      <c:valAx>
        <c:axId val="33597964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335965568"/>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Totals Compare AMP to LTFP</a:t>
            </a:r>
          </a:p>
        </c:rich>
      </c:tx>
      <c:overlay val="0"/>
    </c:title>
    <c:autoTitleDeleted val="0"/>
    <c:plotArea>
      <c:layout/>
      <c:lineChart>
        <c:grouping val="standard"/>
        <c:varyColors val="0"/>
        <c:ser>
          <c:idx val="0"/>
          <c:order val="0"/>
          <c:tx>
            <c:strRef>
              <c:f>'LTFP to AMPs'!$C$285</c:f>
              <c:strCache>
                <c:ptCount val="1"/>
                <c:pt idx="0">
                  <c:v>AMP - Water Total</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AMPs'!$D$285:$O$285</c:f>
              <c:numCache>
                <c:formatCode>_(* #,##0_);_(* \(#,##0\);_(* "-"??_);_(@_)</c:formatCode>
                <c:ptCount val="12"/>
                <c:pt idx="0">
                  <c:v>8229.4765200000002</c:v>
                </c:pt>
                <c:pt idx="1">
                  <c:v>8857.5586402303998</c:v>
                </c:pt>
                <c:pt idx="2">
                  <c:v>7794.8010625337483</c:v>
                </c:pt>
                <c:pt idx="3">
                  <c:v>9531.7178465864381</c:v>
                </c:pt>
                <c:pt idx="4">
                  <c:v>7951.2939077980163</c:v>
                </c:pt>
                <c:pt idx="5">
                  <c:v>13082.522136268561</c:v>
                </c:pt>
                <c:pt idx="6">
                  <c:v>8241.8154383081128</c:v>
                </c:pt>
                <c:pt idx="7">
                  <c:v>9706.0715929637645</c:v>
                </c:pt>
                <c:pt idx="8">
                  <c:v>8504.1363896753101</c:v>
                </c:pt>
                <c:pt idx="9">
                  <c:v>8668.2238778807841</c:v>
                </c:pt>
                <c:pt idx="10">
                  <c:v>8396.5067045890846</c:v>
                </c:pt>
                <c:pt idx="11">
                  <c:v>0</c:v>
                </c:pt>
              </c:numCache>
            </c:numRef>
          </c:val>
          <c:smooth val="0"/>
        </c:ser>
        <c:ser>
          <c:idx val="1"/>
          <c:order val="1"/>
          <c:tx>
            <c:strRef>
              <c:f>'LTFP to AMPs'!$C$305</c:f>
              <c:strCache>
                <c:ptCount val="1"/>
                <c:pt idx="0">
                  <c:v>LTFP - Water Total</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AMPs'!$D$305:$O$305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36021376"/>
        <c:axId val="336022912"/>
      </c:lineChart>
      <c:catAx>
        <c:axId val="33602137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336022912"/>
        <c:crosses val="autoZero"/>
        <c:auto val="1"/>
        <c:lblAlgn val="ctr"/>
        <c:lblOffset val="100"/>
        <c:noMultiLvlLbl val="0"/>
      </c:catAx>
      <c:valAx>
        <c:axId val="336022912"/>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33602137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Cumulative Difference - LTFP to AMP</a:t>
            </a:r>
          </a:p>
        </c:rich>
      </c:tx>
      <c:overlay val="0"/>
    </c:title>
    <c:autoTitleDeleted val="0"/>
    <c:plotArea>
      <c:layout/>
      <c:barChart>
        <c:barDir val="col"/>
        <c:grouping val="clustered"/>
        <c:varyColors val="0"/>
        <c:ser>
          <c:idx val="0"/>
          <c:order val="0"/>
          <c:tx>
            <c:strRef>
              <c:f>'LTFP to AMPs'!$C$307</c:f>
              <c:strCache>
                <c:ptCount val="1"/>
                <c:pt idx="0">
                  <c:v>Cumulative Difference - LTFP to AMP</c:v>
                </c:pt>
              </c:strCache>
            </c:strRef>
          </c:tx>
          <c:invertIfNegative val="0"/>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AMPs'!$D$307:$O$307</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336035200"/>
        <c:axId val="336057472"/>
      </c:barChart>
      <c:catAx>
        <c:axId val="33603520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336057472"/>
        <c:crosses val="autoZero"/>
        <c:auto val="1"/>
        <c:lblAlgn val="ctr"/>
        <c:lblOffset val="100"/>
        <c:noMultiLvlLbl val="0"/>
      </c:catAx>
      <c:valAx>
        <c:axId val="336057472"/>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6035200"/>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Wastwater</a:t>
            </a:r>
            <a:r>
              <a:rPr lang="en-AU" sz="1200" baseline="0">
                <a:latin typeface="Arial" pitchFamily="34" charset="0"/>
                <a:cs typeface="Arial" pitchFamily="34" charset="0"/>
              </a:rPr>
              <a:t> </a:t>
            </a:r>
            <a:r>
              <a:rPr lang="en-AU" sz="1200">
                <a:latin typeface="Arial" pitchFamily="34" charset="0"/>
                <a:cs typeface="Arial" pitchFamily="34" charset="0"/>
              </a:rPr>
              <a:t>Operations and Maintenance - </a:t>
            </a:r>
          </a:p>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Comparison of AMP to LTFP</a:t>
            </a:r>
          </a:p>
        </c:rich>
      </c:tx>
      <c:overlay val="0"/>
    </c:title>
    <c:autoTitleDeleted val="0"/>
    <c:plotArea>
      <c:layout/>
      <c:lineChart>
        <c:grouping val="standard"/>
        <c:varyColors val="0"/>
        <c:ser>
          <c:idx val="0"/>
          <c:order val="0"/>
          <c:tx>
            <c:strRef>
              <c:f>'LTFP to AMPs'!$C$409</c:f>
              <c:strCache>
                <c:ptCount val="1"/>
                <c:pt idx="0">
                  <c:v>AMP - Sewer Operations &amp; Maintenance</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AMPs'!$D$409:$O$409</c:f>
              <c:numCache>
                <c:formatCode>_(* #,##0_);_(* \(#,##0\);_(* "-"??_);_(@_)</c:formatCode>
                <c:ptCount val="12"/>
                <c:pt idx="0">
                  <c:v>4739.9400000000005</c:v>
                </c:pt>
                <c:pt idx="1">
                  <c:v>4834.7388000000001</c:v>
                </c:pt>
                <c:pt idx="2">
                  <c:v>4931.4335759999994</c:v>
                </c:pt>
                <c:pt idx="3">
                  <c:v>5030.0622475199998</c:v>
                </c:pt>
                <c:pt idx="4">
                  <c:v>5130.6634924704003</c:v>
                </c:pt>
                <c:pt idx="5">
                  <c:v>5233.2767623198088</c:v>
                </c:pt>
                <c:pt idx="6">
                  <c:v>5337.9422975662028</c:v>
                </c:pt>
                <c:pt idx="7">
                  <c:v>5445.8728028985297</c:v>
                </c:pt>
                <c:pt idx="8">
                  <c:v>5554.7902589565001</c:v>
                </c:pt>
                <c:pt idx="9">
                  <c:v>5665.8860641356314</c:v>
                </c:pt>
                <c:pt idx="10">
                  <c:v>5779.2037854183427</c:v>
                </c:pt>
                <c:pt idx="11">
                  <c:v>0</c:v>
                </c:pt>
              </c:numCache>
            </c:numRef>
          </c:val>
          <c:smooth val="0"/>
        </c:ser>
        <c:ser>
          <c:idx val="1"/>
          <c:order val="1"/>
          <c:tx>
            <c:strRef>
              <c:f>'LTFP to AMPs'!$C$424</c:f>
              <c:strCache>
                <c:ptCount val="1"/>
                <c:pt idx="0">
                  <c:v>LTFP - Sewer Operations &amp; Maintenance</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AMPs'!$D$424:$O$424</c:f>
              <c:numCache>
                <c:formatCode>_(* #,##0_);_(* \(#,##0\);_(* "-"??_);_(@_)</c:formatCode>
                <c:ptCount val="12"/>
                <c:pt idx="0">
                  <c:v>3967</c:v>
                </c:pt>
                <c:pt idx="1">
                  <c:v>4370</c:v>
                </c:pt>
                <c:pt idx="2">
                  <c:v>4616</c:v>
                </c:pt>
                <c:pt idx="3">
                  <c:v>3884</c:v>
                </c:pt>
                <c:pt idx="4">
                  <c:v>0</c:v>
                </c:pt>
                <c:pt idx="5">
                  <c:v>3777</c:v>
                </c:pt>
                <c:pt idx="6">
                  <c:v>3866</c:v>
                </c:pt>
                <c:pt idx="7">
                  <c:v>3963</c:v>
                </c:pt>
                <c:pt idx="8">
                  <c:v>4063</c:v>
                </c:pt>
                <c:pt idx="9">
                  <c:v>4165</c:v>
                </c:pt>
                <c:pt idx="10">
                  <c:v>4271</c:v>
                </c:pt>
                <c:pt idx="11">
                  <c:v>4379</c:v>
                </c:pt>
              </c:numCache>
            </c:numRef>
          </c:val>
          <c:smooth val="0"/>
        </c:ser>
        <c:dLbls>
          <c:showLegendKey val="0"/>
          <c:showVal val="0"/>
          <c:showCatName val="0"/>
          <c:showSerName val="0"/>
          <c:showPercent val="0"/>
          <c:showBubbleSize val="0"/>
        </c:dLbls>
        <c:marker val="1"/>
        <c:smooth val="0"/>
        <c:axId val="336209792"/>
        <c:axId val="336211328"/>
      </c:lineChart>
      <c:catAx>
        <c:axId val="336209792"/>
        <c:scaling>
          <c:orientation val="minMax"/>
        </c:scaling>
        <c:delete val="0"/>
        <c:axPos val="b"/>
        <c:numFmt formatCode="General" sourceLinked="1"/>
        <c:majorTickMark val="none"/>
        <c:minorTickMark val="none"/>
        <c:tickLblPos val="nextTo"/>
        <c:txPr>
          <a:bodyPr rot="5400000" vert="horz"/>
          <a:lstStyle/>
          <a:p>
            <a:pPr>
              <a:defRPr sz="800" b="0" i="0" u="none" strike="noStrike" baseline="0">
                <a:solidFill>
                  <a:srgbClr val="000000"/>
                </a:solidFill>
                <a:latin typeface="Arial" pitchFamily="34" charset="0"/>
                <a:ea typeface="Calibri"/>
                <a:cs typeface="Arial" pitchFamily="34" charset="0"/>
              </a:defRPr>
            </a:pPr>
            <a:endParaRPr lang="en-US"/>
          </a:p>
        </c:txPr>
        <c:crossAx val="336211328"/>
        <c:crosses val="autoZero"/>
        <c:auto val="1"/>
        <c:lblAlgn val="ctr"/>
        <c:lblOffset val="100"/>
        <c:noMultiLvlLbl val="0"/>
      </c:catAx>
      <c:valAx>
        <c:axId val="33621132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33620979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Wastewater Renewals - </a:t>
            </a:r>
          </a:p>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Comparison AMP to LTFP</a:t>
            </a:r>
          </a:p>
        </c:rich>
      </c:tx>
      <c:overlay val="0"/>
    </c:title>
    <c:autoTitleDeleted val="0"/>
    <c:plotArea>
      <c:layout/>
      <c:lineChart>
        <c:grouping val="standard"/>
        <c:varyColors val="0"/>
        <c:ser>
          <c:idx val="0"/>
          <c:order val="0"/>
          <c:tx>
            <c:strRef>
              <c:f>'LTFP to AMPs'!$C$416</c:f>
              <c:strCache>
                <c:ptCount val="1"/>
                <c:pt idx="0">
                  <c:v>AMP - Sewer Renewals</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AMPs'!$D$416:$O$416</c:f>
              <c:numCache>
                <c:formatCode>_(* #,##0_);_(* \(#,##0\);_(* "-"??_);_(@_)</c:formatCode>
                <c:ptCount val="12"/>
                <c:pt idx="0">
                  <c:v>7889.8389376615878</c:v>
                </c:pt>
                <c:pt idx="1">
                  <c:v>6513.9724900055326</c:v>
                </c:pt>
                <c:pt idx="2">
                  <c:v>3259.5141398019468</c:v>
                </c:pt>
                <c:pt idx="3">
                  <c:v>2616.996761963931</c:v>
                </c:pt>
                <c:pt idx="4">
                  <c:v>2553.7647402909956</c:v>
                </c:pt>
                <c:pt idx="5">
                  <c:v>1330.3211319238271</c:v>
                </c:pt>
                <c:pt idx="6">
                  <c:v>793.68108272000745</c:v>
                </c:pt>
                <c:pt idx="7">
                  <c:v>790.96987187462457</c:v>
                </c:pt>
                <c:pt idx="8">
                  <c:v>3509.1172272772351</c:v>
                </c:pt>
                <c:pt idx="9">
                  <c:v>577</c:v>
                </c:pt>
                <c:pt idx="10">
                  <c:v>955.25016861865925</c:v>
                </c:pt>
                <c:pt idx="11">
                  <c:v>0</c:v>
                </c:pt>
              </c:numCache>
            </c:numRef>
          </c:val>
          <c:smooth val="0"/>
        </c:ser>
        <c:ser>
          <c:idx val="3"/>
          <c:order val="1"/>
          <c:tx>
            <c:strRef>
              <c:f>'LTFP to AMPs'!$C$430</c:f>
              <c:strCache>
                <c:ptCount val="1"/>
                <c:pt idx="0">
                  <c:v>LTFP - Sewer Renewals</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AMPs'!$D$430:$O$430</c:f>
              <c:numCache>
                <c:formatCode>_(* #,##0_);_(* \(#,##0\);_(* "-"??_);_(@_)</c:formatCode>
                <c:ptCount val="12"/>
                <c:pt idx="0">
                  <c:v>9233</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36249600"/>
        <c:axId val="336251136"/>
      </c:lineChart>
      <c:catAx>
        <c:axId val="33624960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336251136"/>
        <c:crosses val="autoZero"/>
        <c:auto val="1"/>
        <c:lblAlgn val="ctr"/>
        <c:lblOffset val="100"/>
        <c:noMultiLvlLbl val="0"/>
      </c:catAx>
      <c:valAx>
        <c:axId val="336251136"/>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336249600"/>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Sewer Totals Compare AMP to LTFP</a:t>
            </a:r>
          </a:p>
        </c:rich>
      </c:tx>
      <c:overlay val="0"/>
    </c:title>
    <c:autoTitleDeleted val="0"/>
    <c:plotArea>
      <c:layout/>
      <c:lineChart>
        <c:grouping val="standard"/>
        <c:varyColors val="0"/>
        <c:ser>
          <c:idx val="2"/>
          <c:order val="0"/>
          <c:tx>
            <c:strRef>
              <c:f>'LTFP to AMPs'!$C$417</c:f>
              <c:strCache>
                <c:ptCount val="1"/>
                <c:pt idx="0">
                  <c:v>AMP - Sewer Total</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AMPs'!$D$417:$O$417</c:f>
              <c:numCache>
                <c:formatCode>_(* #,##0_);_(* \(#,##0\);_(* "-"??_);_(@_)</c:formatCode>
                <c:ptCount val="12"/>
                <c:pt idx="0">
                  <c:v>12629.778937661587</c:v>
                </c:pt>
                <c:pt idx="1">
                  <c:v>11348.711290005533</c:v>
                </c:pt>
                <c:pt idx="2">
                  <c:v>8190.9477158019463</c:v>
                </c:pt>
                <c:pt idx="3">
                  <c:v>7647.0590094839308</c:v>
                </c:pt>
                <c:pt idx="4">
                  <c:v>7684.4282327613964</c:v>
                </c:pt>
                <c:pt idx="5">
                  <c:v>6563.5978942436359</c:v>
                </c:pt>
                <c:pt idx="6">
                  <c:v>6131.6233802862098</c:v>
                </c:pt>
                <c:pt idx="7">
                  <c:v>6236.8426747731546</c:v>
                </c:pt>
                <c:pt idx="8">
                  <c:v>9063.9074862337347</c:v>
                </c:pt>
                <c:pt idx="9">
                  <c:v>6242.8860641356314</c:v>
                </c:pt>
                <c:pt idx="10">
                  <c:v>6734.4539540370024</c:v>
                </c:pt>
                <c:pt idx="11">
                  <c:v>0</c:v>
                </c:pt>
              </c:numCache>
            </c:numRef>
          </c:val>
          <c:smooth val="0"/>
        </c:ser>
        <c:ser>
          <c:idx val="3"/>
          <c:order val="1"/>
          <c:tx>
            <c:strRef>
              <c:f>'LTFP to AMPs'!$C$431</c:f>
              <c:strCache>
                <c:ptCount val="1"/>
                <c:pt idx="0">
                  <c:v>LTFP - Sewer Total</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AMPs'!$D$431:$O$431</c:f>
              <c:numCache>
                <c:formatCode>_(* #,##0_);_(* \(#,##0\);_(* "-"??_);_(@_)</c:formatCode>
                <c:ptCount val="12"/>
                <c:pt idx="0">
                  <c:v>13200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36141312"/>
        <c:axId val="336167680"/>
      </c:lineChart>
      <c:catAx>
        <c:axId val="33614131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336167680"/>
        <c:crosses val="autoZero"/>
        <c:auto val="1"/>
        <c:lblAlgn val="ctr"/>
        <c:lblOffset val="100"/>
        <c:noMultiLvlLbl val="0"/>
      </c:catAx>
      <c:valAx>
        <c:axId val="33616768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33614131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51545472"/>
        <c:axId val="251547008"/>
      </c:barChart>
      <c:catAx>
        <c:axId val="2515454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547008"/>
        <c:crosses val="autoZero"/>
        <c:auto val="0"/>
        <c:lblAlgn val="ctr"/>
        <c:lblOffset val="100"/>
        <c:tickLblSkip val="1"/>
        <c:tickMarkSkip val="1"/>
        <c:noMultiLvlLbl val="0"/>
      </c:catAx>
      <c:valAx>
        <c:axId val="251547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54547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Sewer Cumulative Difference - LTFP to AMP</a:t>
            </a:r>
          </a:p>
        </c:rich>
      </c:tx>
      <c:overlay val="0"/>
    </c:title>
    <c:autoTitleDeleted val="0"/>
    <c:plotArea>
      <c:layout/>
      <c:barChart>
        <c:barDir val="col"/>
        <c:grouping val="clustered"/>
        <c:varyColors val="0"/>
        <c:ser>
          <c:idx val="1"/>
          <c:order val="0"/>
          <c:tx>
            <c:strRef>
              <c:f>'LTFP to AMPs'!$C$433</c:f>
              <c:strCache>
                <c:ptCount val="1"/>
                <c:pt idx="0">
                  <c:v>Cumulative Difference - LTFP to AMP</c:v>
                </c:pt>
              </c:strCache>
            </c:strRef>
          </c:tx>
          <c:invertIfNegative val="0"/>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AMPs'!$D$433:$O$433</c:f>
              <c:numCache>
                <c:formatCode>_(* #,##0_);_(* \(#,##0\);_(* "-"??_);_(@_)</c:formatCode>
                <c:ptCount val="12"/>
                <c:pt idx="0">
                  <c:v>570.22106233841259</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336192256"/>
        <c:axId val="336193792"/>
      </c:barChart>
      <c:catAx>
        <c:axId val="3361922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336193792"/>
        <c:crosses val="autoZero"/>
        <c:auto val="1"/>
        <c:lblAlgn val="ctr"/>
        <c:lblOffset val="100"/>
        <c:noMultiLvlLbl val="0"/>
      </c:catAx>
      <c:valAx>
        <c:axId val="336193792"/>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6192256"/>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67990912"/>
        <c:axId val="267992448"/>
      </c:barChart>
      <c:catAx>
        <c:axId val="267990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7992448"/>
        <c:crosses val="autoZero"/>
        <c:auto val="0"/>
        <c:lblAlgn val="ctr"/>
        <c:lblOffset val="100"/>
        <c:tickLblSkip val="1"/>
        <c:tickMarkSkip val="1"/>
        <c:noMultiLvlLbl val="0"/>
      </c:catAx>
      <c:valAx>
        <c:axId val="2679924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799091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268008832"/>
        <c:axId val="268035200"/>
      </c:barChart>
      <c:catAx>
        <c:axId val="2680088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8035200"/>
        <c:crossesAt val="0"/>
        <c:auto val="0"/>
        <c:lblAlgn val="ctr"/>
        <c:lblOffset val="100"/>
        <c:tickLblSkip val="1"/>
        <c:tickMarkSkip val="1"/>
        <c:noMultiLvlLbl val="0"/>
      </c:catAx>
      <c:valAx>
        <c:axId val="26803520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80088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336325632"/>
        <c:axId val="336593664"/>
      </c:barChart>
      <c:catAx>
        <c:axId val="3363256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593664"/>
        <c:crosses val="autoZero"/>
        <c:auto val="0"/>
        <c:lblAlgn val="ctr"/>
        <c:lblOffset val="100"/>
        <c:tickLblSkip val="1"/>
        <c:tickMarkSkip val="1"/>
        <c:noMultiLvlLbl val="0"/>
      </c:catAx>
      <c:valAx>
        <c:axId val="336593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3256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336626432"/>
        <c:axId val="336627968"/>
      </c:barChart>
      <c:catAx>
        <c:axId val="336626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627968"/>
        <c:crosses val="autoZero"/>
        <c:auto val="0"/>
        <c:lblAlgn val="ctr"/>
        <c:lblOffset val="100"/>
        <c:tickLblSkip val="1"/>
        <c:tickMarkSkip val="1"/>
        <c:noMultiLvlLbl val="0"/>
      </c:catAx>
      <c:valAx>
        <c:axId val="3366279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6264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336653696"/>
        <c:axId val="336675968"/>
      </c:barChart>
      <c:catAx>
        <c:axId val="3366536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675968"/>
        <c:crosses val="autoZero"/>
        <c:auto val="0"/>
        <c:lblAlgn val="ctr"/>
        <c:lblOffset val="100"/>
        <c:tickLblSkip val="1"/>
        <c:tickMarkSkip val="1"/>
        <c:noMultiLvlLbl val="0"/>
      </c:catAx>
      <c:valAx>
        <c:axId val="3366759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65369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336687872"/>
        <c:axId val="336689408"/>
      </c:barChart>
      <c:catAx>
        <c:axId val="3366878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689408"/>
        <c:crosses val="autoZero"/>
        <c:auto val="0"/>
        <c:lblAlgn val="ctr"/>
        <c:lblOffset val="100"/>
        <c:tickLblSkip val="1"/>
        <c:tickMarkSkip val="1"/>
        <c:noMultiLvlLbl val="0"/>
      </c:catAx>
      <c:valAx>
        <c:axId val="3366894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6878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132032"/>
        <c:axId val="427133568"/>
      </c:barChart>
      <c:catAx>
        <c:axId val="427132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133568"/>
        <c:crosses val="autoZero"/>
        <c:auto val="0"/>
        <c:lblAlgn val="ctr"/>
        <c:lblOffset val="100"/>
        <c:tickLblSkip val="1"/>
        <c:tickMarkSkip val="1"/>
        <c:noMultiLvlLbl val="0"/>
      </c:catAx>
      <c:valAx>
        <c:axId val="427133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1320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27145856"/>
        <c:axId val="336789888"/>
      </c:barChart>
      <c:catAx>
        <c:axId val="4271458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789888"/>
        <c:crossesAt val="0"/>
        <c:auto val="0"/>
        <c:lblAlgn val="ctr"/>
        <c:lblOffset val="100"/>
        <c:tickLblSkip val="1"/>
        <c:tickMarkSkip val="1"/>
        <c:noMultiLvlLbl val="0"/>
      </c:catAx>
      <c:valAx>
        <c:axId val="33678988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71458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336832768"/>
        <c:axId val="336834560"/>
      </c:barChart>
      <c:catAx>
        <c:axId val="3368327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834560"/>
        <c:crosses val="autoZero"/>
        <c:auto val="0"/>
        <c:lblAlgn val="ctr"/>
        <c:lblOffset val="100"/>
        <c:tickLblSkip val="1"/>
        <c:tickMarkSkip val="1"/>
        <c:noMultiLvlLbl val="0"/>
      </c:catAx>
      <c:valAx>
        <c:axId val="336834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683276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82.xml"/><Relationship Id="rId13" Type="http://schemas.openxmlformats.org/officeDocument/2006/relationships/chart" Target="../charts/chart87.xml"/><Relationship Id="rId3" Type="http://schemas.openxmlformats.org/officeDocument/2006/relationships/chart" Target="../charts/chart77.xml"/><Relationship Id="rId7" Type="http://schemas.openxmlformats.org/officeDocument/2006/relationships/chart" Target="../charts/chart81.xml"/><Relationship Id="rId12" Type="http://schemas.openxmlformats.org/officeDocument/2006/relationships/chart" Target="../charts/chart86.xml"/><Relationship Id="rId2" Type="http://schemas.openxmlformats.org/officeDocument/2006/relationships/chart" Target="../charts/chart76.xml"/><Relationship Id="rId16" Type="http://schemas.openxmlformats.org/officeDocument/2006/relationships/chart" Target="../charts/chart90.xml"/><Relationship Id="rId1" Type="http://schemas.openxmlformats.org/officeDocument/2006/relationships/chart" Target="../charts/chart75.xml"/><Relationship Id="rId6" Type="http://schemas.openxmlformats.org/officeDocument/2006/relationships/chart" Target="../charts/chart80.xml"/><Relationship Id="rId11" Type="http://schemas.openxmlformats.org/officeDocument/2006/relationships/chart" Target="../charts/chart85.xml"/><Relationship Id="rId5" Type="http://schemas.openxmlformats.org/officeDocument/2006/relationships/chart" Target="../charts/chart79.xml"/><Relationship Id="rId15" Type="http://schemas.openxmlformats.org/officeDocument/2006/relationships/chart" Target="../charts/chart89.xml"/><Relationship Id="rId10" Type="http://schemas.openxmlformats.org/officeDocument/2006/relationships/chart" Target="../charts/chart84.xml"/><Relationship Id="rId4" Type="http://schemas.openxmlformats.org/officeDocument/2006/relationships/chart" Target="../charts/chart78.xml"/><Relationship Id="rId9" Type="http://schemas.openxmlformats.org/officeDocument/2006/relationships/chart" Target="../charts/chart83.xml"/><Relationship Id="rId14" Type="http://schemas.openxmlformats.org/officeDocument/2006/relationships/chart" Target="../charts/chart8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18" Type="http://schemas.openxmlformats.org/officeDocument/2006/relationships/chart" Target="../charts/chart108.xml"/><Relationship Id="rId26" Type="http://schemas.openxmlformats.org/officeDocument/2006/relationships/chart" Target="../charts/chart116.xml"/><Relationship Id="rId39" Type="http://schemas.openxmlformats.org/officeDocument/2006/relationships/chart" Target="../charts/chart129.xml"/><Relationship Id="rId3" Type="http://schemas.openxmlformats.org/officeDocument/2006/relationships/chart" Target="../charts/chart93.xml"/><Relationship Id="rId21" Type="http://schemas.openxmlformats.org/officeDocument/2006/relationships/chart" Target="../charts/chart111.xml"/><Relationship Id="rId34" Type="http://schemas.openxmlformats.org/officeDocument/2006/relationships/chart" Target="../charts/chart124.xml"/><Relationship Id="rId42" Type="http://schemas.openxmlformats.org/officeDocument/2006/relationships/chart" Target="../charts/chart132.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5" Type="http://schemas.openxmlformats.org/officeDocument/2006/relationships/chart" Target="../charts/chart115.xml"/><Relationship Id="rId33" Type="http://schemas.openxmlformats.org/officeDocument/2006/relationships/chart" Target="../charts/chart123.xml"/><Relationship Id="rId38" Type="http://schemas.openxmlformats.org/officeDocument/2006/relationships/chart" Target="../charts/chart128.xml"/><Relationship Id="rId2" Type="http://schemas.openxmlformats.org/officeDocument/2006/relationships/chart" Target="../charts/chart92.xml"/><Relationship Id="rId16" Type="http://schemas.openxmlformats.org/officeDocument/2006/relationships/chart" Target="../charts/chart106.xml"/><Relationship Id="rId20" Type="http://schemas.openxmlformats.org/officeDocument/2006/relationships/chart" Target="../charts/chart110.xml"/><Relationship Id="rId29" Type="http://schemas.openxmlformats.org/officeDocument/2006/relationships/chart" Target="../charts/chart119.xml"/><Relationship Id="rId41" Type="http://schemas.openxmlformats.org/officeDocument/2006/relationships/chart" Target="../charts/chart131.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24" Type="http://schemas.openxmlformats.org/officeDocument/2006/relationships/chart" Target="../charts/chart114.xml"/><Relationship Id="rId32" Type="http://schemas.openxmlformats.org/officeDocument/2006/relationships/chart" Target="../charts/chart122.xml"/><Relationship Id="rId37" Type="http://schemas.openxmlformats.org/officeDocument/2006/relationships/chart" Target="../charts/chart127.xml"/><Relationship Id="rId40" Type="http://schemas.openxmlformats.org/officeDocument/2006/relationships/chart" Target="../charts/chart130.xml"/><Relationship Id="rId5" Type="http://schemas.openxmlformats.org/officeDocument/2006/relationships/chart" Target="../charts/chart95.xml"/><Relationship Id="rId15" Type="http://schemas.openxmlformats.org/officeDocument/2006/relationships/chart" Target="../charts/chart105.xml"/><Relationship Id="rId23" Type="http://schemas.openxmlformats.org/officeDocument/2006/relationships/chart" Target="../charts/chart113.xml"/><Relationship Id="rId28" Type="http://schemas.openxmlformats.org/officeDocument/2006/relationships/chart" Target="../charts/chart118.xml"/><Relationship Id="rId36" Type="http://schemas.openxmlformats.org/officeDocument/2006/relationships/chart" Target="../charts/chart126.xml"/><Relationship Id="rId10" Type="http://schemas.openxmlformats.org/officeDocument/2006/relationships/chart" Target="../charts/chart100.xml"/><Relationship Id="rId19" Type="http://schemas.openxmlformats.org/officeDocument/2006/relationships/chart" Target="../charts/chart109.xml"/><Relationship Id="rId31" Type="http://schemas.openxmlformats.org/officeDocument/2006/relationships/chart" Target="../charts/chart121.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 Id="rId22" Type="http://schemas.openxmlformats.org/officeDocument/2006/relationships/chart" Target="../charts/chart112.xml"/><Relationship Id="rId27" Type="http://schemas.openxmlformats.org/officeDocument/2006/relationships/chart" Target="../charts/chart117.xml"/><Relationship Id="rId30" Type="http://schemas.openxmlformats.org/officeDocument/2006/relationships/chart" Target="../charts/chart120.xml"/><Relationship Id="rId35" Type="http://schemas.openxmlformats.org/officeDocument/2006/relationships/chart" Target="../charts/chart125.xml"/></Relationships>
</file>

<file path=xl/drawings/drawing1.xml><?xml version="1.0" encoding="utf-8"?>
<xdr:wsDr xmlns:xdr="http://schemas.openxmlformats.org/drawingml/2006/spreadsheetDrawing" xmlns:a="http://schemas.openxmlformats.org/drawingml/2006/main">
  <xdr:twoCellAnchor>
    <xdr:from>
      <xdr:col>0</xdr:col>
      <xdr:colOff>0</xdr:colOff>
      <xdr:row>220</xdr:row>
      <xdr:rowOff>0</xdr:rowOff>
    </xdr:from>
    <xdr:to>
      <xdr:col>5</xdr:col>
      <xdr:colOff>0</xdr:colOff>
      <xdr:row>220</xdr:row>
      <xdr:rowOff>0</xdr:rowOff>
    </xdr:to>
    <xdr:graphicFrame macro="">
      <xdr:nvGraphicFramePr>
        <xdr:cNvPr id="615884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5"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6"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7"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8"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9"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60"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2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2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28"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29"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1"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3"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4"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6"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7"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8"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9"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0"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1"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2"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3"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4"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5"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6"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7"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8"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9"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0"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1"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2"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8"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9"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6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61"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485775</xdr:colOff>
      <xdr:row>35</xdr:row>
      <xdr:rowOff>0</xdr:rowOff>
    </xdr:from>
    <xdr:to>
      <xdr:col>15</xdr:col>
      <xdr:colOff>485775</xdr:colOff>
      <xdr:row>35</xdr:row>
      <xdr:rowOff>0</xdr:rowOff>
    </xdr:to>
    <xdr:graphicFrame macro="">
      <xdr:nvGraphicFramePr>
        <xdr:cNvPr id="443048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485775</xdr:colOff>
      <xdr:row>35</xdr:row>
      <xdr:rowOff>0</xdr:rowOff>
    </xdr:from>
    <xdr:to>
      <xdr:col>15</xdr:col>
      <xdr:colOff>485775</xdr:colOff>
      <xdr:row>35</xdr:row>
      <xdr:rowOff>0</xdr:rowOff>
    </xdr:to>
    <xdr:graphicFrame macro="">
      <xdr:nvGraphicFramePr>
        <xdr:cNvPr id="443048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485775</xdr:colOff>
      <xdr:row>35</xdr:row>
      <xdr:rowOff>0</xdr:rowOff>
    </xdr:from>
    <xdr:to>
      <xdr:col>16</xdr:col>
      <xdr:colOff>485775</xdr:colOff>
      <xdr:row>35</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485775</xdr:colOff>
      <xdr:row>35</xdr:row>
      <xdr:rowOff>0</xdr:rowOff>
    </xdr:from>
    <xdr:to>
      <xdr:col>16</xdr:col>
      <xdr:colOff>485775</xdr:colOff>
      <xdr:row>35</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485775</xdr:colOff>
      <xdr:row>35</xdr:row>
      <xdr:rowOff>0</xdr:rowOff>
    </xdr:from>
    <xdr:to>
      <xdr:col>18</xdr:col>
      <xdr:colOff>485775</xdr:colOff>
      <xdr:row>35</xdr:row>
      <xdr:rowOff>0</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485775</xdr:colOff>
      <xdr:row>35</xdr:row>
      <xdr:rowOff>0</xdr:rowOff>
    </xdr:from>
    <xdr:to>
      <xdr:col>18</xdr:col>
      <xdr:colOff>485775</xdr:colOff>
      <xdr:row>35</xdr:row>
      <xdr:rowOff>0</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485775</xdr:colOff>
      <xdr:row>35</xdr:row>
      <xdr:rowOff>0</xdr:rowOff>
    </xdr:from>
    <xdr:to>
      <xdr:col>18</xdr:col>
      <xdr:colOff>485775</xdr:colOff>
      <xdr:row>35</xdr:row>
      <xdr:rowOff>0</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485775</xdr:colOff>
      <xdr:row>35</xdr:row>
      <xdr:rowOff>0</xdr:rowOff>
    </xdr:from>
    <xdr:to>
      <xdr:col>18</xdr:col>
      <xdr:colOff>485775</xdr:colOff>
      <xdr:row>35</xdr:row>
      <xdr:rowOff>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447675</xdr:colOff>
      <xdr:row>63</xdr:row>
      <xdr:rowOff>0</xdr:rowOff>
    </xdr:from>
    <xdr:to>
      <xdr:col>53</xdr:col>
      <xdr:colOff>685800</xdr:colOff>
      <xdr:row>63</xdr:row>
      <xdr:rowOff>0</xdr:rowOff>
    </xdr:to>
    <xdr:graphicFrame macro="">
      <xdr:nvGraphicFramePr>
        <xdr:cNvPr id="609742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428625</xdr:colOff>
      <xdr:row>63</xdr:row>
      <xdr:rowOff>0</xdr:rowOff>
    </xdr:from>
    <xdr:to>
      <xdr:col>53</xdr:col>
      <xdr:colOff>695325</xdr:colOff>
      <xdr:row>63</xdr:row>
      <xdr:rowOff>0</xdr:rowOff>
    </xdr:to>
    <xdr:graphicFrame macro="">
      <xdr:nvGraphicFramePr>
        <xdr:cNvPr id="6097420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xdr:colOff>
      <xdr:row>49</xdr:row>
      <xdr:rowOff>57150</xdr:rowOff>
    </xdr:from>
    <xdr:to>
      <xdr:col>14</xdr:col>
      <xdr:colOff>561975</xdr:colOff>
      <xdr:row>71</xdr:row>
      <xdr:rowOff>28575</xdr:rowOff>
    </xdr:to>
    <xdr:graphicFrame macro="">
      <xdr:nvGraphicFramePr>
        <xdr:cNvPr id="625364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142875</xdr:colOff>
      <xdr:row>74</xdr:row>
      <xdr:rowOff>66675</xdr:rowOff>
    </xdr:from>
    <xdr:to>
      <xdr:col>14</xdr:col>
      <xdr:colOff>561975</xdr:colOff>
      <xdr:row>96</xdr:row>
      <xdr:rowOff>38100</xdr:rowOff>
    </xdr:to>
    <xdr:graphicFrame macro="">
      <xdr:nvGraphicFramePr>
        <xdr:cNvPr id="625364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142875</xdr:colOff>
      <xdr:row>99</xdr:row>
      <xdr:rowOff>66675</xdr:rowOff>
    </xdr:from>
    <xdr:to>
      <xdr:col>14</xdr:col>
      <xdr:colOff>561975</xdr:colOff>
      <xdr:row>121</xdr:row>
      <xdr:rowOff>38100</xdr:rowOff>
    </xdr:to>
    <xdr:graphicFrame macro="">
      <xdr:nvGraphicFramePr>
        <xdr:cNvPr id="625364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161925</xdr:colOff>
      <xdr:row>122</xdr:row>
      <xdr:rowOff>47625</xdr:rowOff>
    </xdr:from>
    <xdr:to>
      <xdr:col>14</xdr:col>
      <xdr:colOff>552450</xdr:colOff>
      <xdr:row>142</xdr:row>
      <xdr:rowOff>152400</xdr:rowOff>
    </xdr:to>
    <xdr:graphicFrame macro="">
      <xdr:nvGraphicFramePr>
        <xdr:cNvPr id="625364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104775</xdr:colOff>
      <xdr:row>172</xdr:row>
      <xdr:rowOff>57150</xdr:rowOff>
    </xdr:from>
    <xdr:to>
      <xdr:col>14</xdr:col>
      <xdr:colOff>561975</xdr:colOff>
      <xdr:row>194</xdr:row>
      <xdr:rowOff>28575</xdr:rowOff>
    </xdr:to>
    <xdr:graphicFrame macro="">
      <xdr:nvGraphicFramePr>
        <xdr:cNvPr id="625364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142875</xdr:colOff>
      <xdr:row>196</xdr:row>
      <xdr:rowOff>66675</xdr:rowOff>
    </xdr:from>
    <xdr:to>
      <xdr:col>14</xdr:col>
      <xdr:colOff>561975</xdr:colOff>
      <xdr:row>218</xdr:row>
      <xdr:rowOff>38100</xdr:rowOff>
    </xdr:to>
    <xdr:graphicFrame macro="">
      <xdr:nvGraphicFramePr>
        <xdr:cNvPr id="625364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142875</xdr:colOff>
      <xdr:row>220</xdr:row>
      <xdr:rowOff>66675</xdr:rowOff>
    </xdr:from>
    <xdr:to>
      <xdr:col>14</xdr:col>
      <xdr:colOff>561975</xdr:colOff>
      <xdr:row>242</xdr:row>
      <xdr:rowOff>38100</xdr:rowOff>
    </xdr:to>
    <xdr:graphicFrame macro="">
      <xdr:nvGraphicFramePr>
        <xdr:cNvPr id="625364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161925</xdr:colOff>
      <xdr:row>243</xdr:row>
      <xdr:rowOff>47625</xdr:rowOff>
    </xdr:from>
    <xdr:to>
      <xdr:col>14</xdr:col>
      <xdr:colOff>552450</xdr:colOff>
      <xdr:row>263</xdr:row>
      <xdr:rowOff>152400</xdr:rowOff>
    </xdr:to>
    <xdr:graphicFrame macro="">
      <xdr:nvGraphicFramePr>
        <xdr:cNvPr id="625364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104775</xdr:colOff>
      <xdr:row>308</xdr:row>
      <xdr:rowOff>57150</xdr:rowOff>
    </xdr:from>
    <xdr:to>
      <xdr:col>14</xdr:col>
      <xdr:colOff>561975</xdr:colOff>
      <xdr:row>330</xdr:row>
      <xdr:rowOff>28575</xdr:rowOff>
    </xdr:to>
    <xdr:graphicFrame macro="">
      <xdr:nvGraphicFramePr>
        <xdr:cNvPr id="6253642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142875</xdr:colOff>
      <xdr:row>332</xdr:row>
      <xdr:rowOff>66675</xdr:rowOff>
    </xdr:from>
    <xdr:to>
      <xdr:col>14</xdr:col>
      <xdr:colOff>561975</xdr:colOff>
      <xdr:row>354</xdr:row>
      <xdr:rowOff>38100</xdr:rowOff>
    </xdr:to>
    <xdr:graphicFrame macro="">
      <xdr:nvGraphicFramePr>
        <xdr:cNvPr id="625364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142875</xdr:colOff>
      <xdr:row>356</xdr:row>
      <xdr:rowOff>66675</xdr:rowOff>
    </xdr:from>
    <xdr:to>
      <xdr:col>14</xdr:col>
      <xdr:colOff>561975</xdr:colOff>
      <xdr:row>378</xdr:row>
      <xdr:rowOff>38100</xdr:rowOff>
    </xdr:to>
    <xdr:graphicFrame macro="">
      <xdr:nvGraphicFramePr>
        <xdr:cNvPr id="625364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161925</xdr:colOff>
      <xdr:row>379</xdr:row>
      <xdr:rowOff>47625</xdr:rowOff>
    </xdr:from>
    <xdr:to>
      <xdr:col>14</xdr:col>
      <xdr:colOff>552450</xdr:colOff>
      <xdr:row>399</xdr:row>
      <xdr:rowOff>152400</xdr:rowOff>
    </xdr:to>
    <xdr:graphicFrame macro="">
      <xdr:nvGraphicFramePr>
        <xdr:cNvPr id="625364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104775</xdr:colOff>
      <xdr:row>434</xdr:row>
      <xdr:rowOff>57150</xdr:rowOff>
    </xdr:from>
    <xdr:to>
      <xdr:col>14</xdr:col>
      <xdr:colOff>561975</xdr:colOff>
      <xdr:row>456</xdr:row>
      <xdr:rowOff>28575</xdr:rowOff>
    </xdr:to>
    <xdr:graphicFrame macro="">
      <xdr:nvGraphicFramePr>
        <xdr:cNvPr id="6253642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142875</xdr:colOff>
      <xdr:row>458</xdr:row>
      <xdr:rowOff>66675</xdr:rowOff>
    </xdr:from>
    <xdr:to>
      <xdr:col>14</xdr:col>
      <xdr:colOff>561975</xdr:colOff>
      <xdr:row>480</xdr:row>
      <xdr:rowOff>38100</xdr:rowOff>
    </xdr:to>
    <xdr:graphicFrame macro="">
      <xdr:nvGraphicFramePr>
        <xdr:cNvPr id="6253643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142875</xdr:colOff>
      <xdr:row>482</xdr:row>
      <xdr:rowOff>66675</xdr:rowOff>
    </xdr:from>
    <xdr:to>
      <xdr:col>14</xdr:col>
      <xdr:colOff>561975</xdr:colOff>
      <xdr:row>504</xdr:row>
      <xdr:rowOff>38100</xdr:rowOff>
    </xdr:to>
    <xdr:graphicFrame macro="">
      <xdr:nvGraphicFramePr>
        <xdr:cNvPr id="6253643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161925</xdr:colOff>
      <xdr:row>505</xdr:row>
      <xdr:rowOff>47625</xdr:rowOff>
    </xdr:from>
    <xdr:to>
      <xdr:col>14</xdr:col>
      <xdr:colOff>552450</xdr:colOff>
      <xdr:row>525</xdr:row>
      <xdr:rowOff>152400</xdr:rowOff>
    </xdr:to>
    <xdr:graphicFrame macro="">
      <xdr:nvGraphicFramePr>
        <xdr:cNvPr id="62536432"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207</xdr:row>
      <xdr:rowOff>0</xdr:rowOff>
    </xdr:from>
    <xdr:to>
      <xdr:col>6</xdr:col>
      <xdr:colOff>733425</xdr:colOff>
      <xdr:row>207</xdr:row>
      <xdr:rowOff>0</xdr:rowOff>
    </xdr:to>
    <xdr:graphicFrame macro="">
      <xdr:nvGraphicFramePr>
        <xdr:cNvPr id="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0</xdr:rowOff>
    </xdr:from>
    <xdr:to>
      <xdr:col>6</xdr:col>
      <xdr:colOff>733425</xdr:colOff>
      <xdr:row>207</xdr:row>
      <xdr:rowOff>0</xdr:rowOff>
    </xdr:to>
    <xdr:graphicFrame macro="">
      <xdr:nvGraphicFramePr>
        <xdr:cNvPr id="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207</xdr:row>
      <xdr:rowOff>0</xdr:rowOff>
    </xdr:from>
    <xdr:to>
      <xdr:col>6</xdr:col>
      <xdr:colOff>714375</xdr:colOff>
      <xdr:row>207</xdr:row>
      <xdr:rowOff>0</xdr:rowOff>
    </xdr:to>
    <xdr:graphicFrame macro="">
      <xdr:nvGraphicFramePr>
        <xdr:cNvPr id="1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207</xdr:row>
      <xdr:rowOff>0</xdr:rowOff>
    </xdr:from>
    <xdr:to>
      <xdr:col>6</xdr:col>
      <xdr:colOff>723900</xdr:colOff>
      <xdr:row>207</xdr:row>
      <xdr:rowOff>0</xdr:rowOff>
    </xdr:to>
    <xdr:graphicFrame macro="">
      <xdr:nvGraphicFramePr>
        <xdr:cNvPr id="1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207</xdr:row>
      <xdr:rowOff>0</xdr:rowOff>
    </xdr:from>
    <xdr:to>
      <xdr:col>6</xdr:col>
      <xdr:colOff>714375</xdr:colOff>
      <xdr:row>207</xdr:row>
      <xdr:rowOff>0</xdr:rowOff>
    </xdr:to>
    <xdr:graphicFrame macro="">
      <xdr:nvGraphicFramePr>
        <xdr:cNvPr id="1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207</xdr:row>
      <xdr:rowOff>0</xdr:rowOff>
    </xdr:from>
    <xdr:to>
      <xdr:col>6</xdr:col>
      <xdr:colOff>771525</xdr:colOff>
      <xdr:row>207</xdr:row>
      <xdr:rowOff>0</xdr:rowOff>
    </xdr:to>
    <xdr:graphicFrame macro="">
      <xdr:nvGraphicFramePr>
        <xdr:cNvPr id="1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2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2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28"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29"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31"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3"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4"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3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6"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37"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8"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9"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0"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41"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2"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43"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44"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45"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6"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47"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8"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49"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0"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1"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2"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5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5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8"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59"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6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61"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WRKS\TEMP\1494642\Cap%20&amp;%20Res%20DataEntry09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hickey\AppData\Local\Hewlett-Packard\HP%20TRIM\TEMP\HPTRIM.1436\16%2098278%20%202016%2017%20-%20Long%20Term%20Financial%20Plan%20(LTFP)%20-%20(Budget)%20-%20(Excel)-%20Second%20version%20after%20~%20plus%20actual%20results%20for%202015%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lizabetht\AppData\Local\Hewlett-Packard\HP%20TRIM\TEMP\HPTRIM.13212\17%2099904%20%202017%2018%20-%20Long%20Term%20Financial%20Plan%20(LTFP)%20-%20(Budget%20-%20Excel%20Version)%20-%20For%202018%2019%20SRV%20Applic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zabetht\AppData\Local\Hewlett-Packard\HP%20TRIM\TEMP\HPTRIM.8752\17%2077383%20(Revision%20133)%20%202017%2018%20-%20Long%20Term%20Financial%20Plan%20(LTFP)%20-%20(Budget%20-%20Excel%20version)%20-%20After%20September%2017%20exhibi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serves"/>
      <sheetName val="Sec 94Inc-Res"/>
      <sheetName val="Capital Grants &amp; Exp"/>
      <sheetName val="Loans"/>
    </sheetNames>
    <sheetDataSet>
      <sheetData sheetId="0" refreshError="1"/>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ssumptions"/>
      <sheetName val="LTFP"/>
      <sheetName val="BS&amp;Ratios"/>
      <sheetName val="SP"/>
      <sheetName val="DEH"/>
      <sheetName val="CIV"/>
      <sheetName val="GM"/>
      <sheetName val="W&amp;W"/>
      <sheetName val="Cash-Gen"/>
      <sheetName val="Chart1"/>
      <sheetName val="Cap-Gen"/>
      <sheetName val="Cap Inc"/>
      <sheetName val="Res-Gen"/>
      <sheetName val="Res-Bal"/>
      <sheetName val="Res Jnls 1617 Budget"/>
      <sheetName val="Debt-Gen"/>
      <sheetName val="Sec 94"/>
      <sheetName val="Chart"/>
      <sheetName val="Cap-Water"/>
      <sheetName val="Cap-WW"/>
      <sheetName val="Cash-W"/>
      <sheetName val="Cash-WW"/>
      <sheetName val="Debt-Water"/>
      <sheetName val="Debt-WW"/>
      <sheetName val="Salaries"/>
      <sheetName val="NEWLOG"/>
      <sheetName val="Recs"/>
      <sheetName val="Summaries"/>
      <sheetName val="Overheads"/>
      <sheetName val="Res Jnls 1516 Budget"/>
      <sheetName val="LTFP to AMPs"/>
      <sheetName val="Sec 94 Roads"/>
      <sheetName val="Internal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refreshError="1"/>
      <sheetData sheetId="19"/>
      <sheetData sheetId="20">
        <row r="136">
          <cell r="F136">
            <v>8112100</v>
          </cell>
          <cell r="G136">
            <v>4320400</v>
          </cell>
          <cell r="W136">
            <v>0</v>
          </cell>
          <cell r="X136">
            <v>0</v>
          </cell>
          <cell r="Y136">
            <v>0</v>
          </cell>
        </row>
        <row r="147">
          <cell r="G147">
            <v>0</v>
          </cell>
        </row>
      </sheetData>
      <sheetData sheetId="21"/>
      <sheetData sheetId="22">
        <row r="18">
          <cell r="A18">
            <v>1351900</v>
          </cell>
        </row>
      </sheetData>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ssumptions"/>
      <sheetName val="LTFP"/>
      <sheetName val="BS&amp;Ratios"/>
      <sheetName val="SP"/>
      <sheetName val="DEH"/>
      <sheetName val="CIV"/>
      <sheetName val="GM"/>
      <sheetName val="W&amp;W"/>
      <sheetName val="Cash-Gen"/>
      <sheetName val="Cap-Gen"/>
      <sheetName val="Cap Inc"/>
      <sheetName val="Res-Gen"/>
      <sheetName val="Res-Bal"/>
      <sheetName val="Debt-Gen"/>
      <sheetName val="Sec 94"/>
      <sheetName val="Cap-WW"/>
      <sheetName val="Cash-W"/>
      <sheetName val="Cap-Water"/>
      <sheetName val="Cash-WW"/>
      <sheetName val="Res Jnls 1718 Budget"/>
      <sheetName val="Res Jnls 1617 Budget"/>
      <sheetName val="Debt-Water"/>
      <sheetName val="Debt-WW"/>
      <sheetName val="Salaries"/>
      <sheetName val="NEWLOG"/>
      <sheetName val="Recs"/>
      <sheetName val="Summaries"/>
      <sheetName val="Overheads"/>
      <sheetName val="LTFP to AMPs"/>
      <sheetName val="Sec 94 Roads"/>
      <sheetName val="Internals"/>
      <sheetName val="DWM"/>
      <sheetName val="SRV"/>
    </sheetNames>
    <sheetDataSet>
      <sheetData sheetId="0" refreshError="1"/>
      <sheetData sheetId="1"/>
      <sheetData sheetId="2" refreshError="1"/>
      <sheetData sheetId="3" refreshError="1"/>
      <sheetData sheetId="4">
        <row r="3">
          <cell r="T3" t="str">
            <v>2027/28</v>
          </cell>
        </row>
      </sheetData>
      <sheetData sheetId="5" refreshError="1"/>
      <sheetData sheetId="6"/>
      <sheetData sheetId="7"/>
      <sheetData sheetId="8" refreshError="1"/>
      <sheetData sheetId="9" refreshError="1"/>
      <sheetData sheetId="10"/>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Cash-Gen"/>
      <sheetName val="Assumptions"/>
      <sheetName val="LTFP"/>
      <sheetName val="BS&amp;Ratios"/>
      <sheetName val="SP"/>
      <sheetName val="DEH"/>
      <sheetName val="CIV"/>
      <sheetName val="GM"/>
      <sheetName val="W&amp;W"/>
      <sheetName val="Cap-Gen"/>
      <sheetName val="Cap Inc"/>
      <sheetName val="Sec 94"/>
      <sheetName val="Res-Bal"/>
      <sheetName val="Res-Gen"/>
      <sheetName val="Debt-Gen"/>
      <sheetName val="Cash-W"/>
      <sheetName val="Cap-Water"/>
      <sheetName val="Cash-WW"/>
      <sheetName val="Cap-WW"/>
      <sheetName val="Res Jnls 1718 Budget"/>
      <sheetName val="Res Jnls 1617 Budget"/>
      <sheetName val="Debt-Water"/>
      <sheetName val="Debt-WW"/>
      <sheetName val="Salaries"/>
      <sheetName val="NEWLOG"/>
      <sheetName val="Recs"/>
      <sheetName val="Summaries"/>
      <sheetName val="Overheads"/>
      <sheetName val="LTFP to AMPs"/>
      <sheetName val="Sec 94 Roads"/>
      <sheetName val="Internals"/>
      <sheetName val="DWM"/>
      <sheetName val="SRV"/>
      <sheetName val="GL D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D1109"/>
  <sheetViews>
    <sheetView tabSelected="1" workbookViewId="0">
      <pane ySplit="2" topLeftCell="A264" activePane="bottomLeft" state="frozen"/>
      <selection activeCell="E788" sqref="E788"/>
      <selection pane="bottomLeft" activeCell="J273" sqref="J273"/>
    </sheetView>
  </sheetViews>
  <sheetFormatPr defaultColWidth="9.140625" defaultRowHeight="12.75" outlineLevelCol="1" x14ac:dyDescent="0.2"/>
  <cols>
    <col min="1" max="1" width="11.42578125" style="20" customWidth="1" outlineLevel="1"/>
    <col min="2" max="2" width="12.28515625" style="710" bestFit="1" customWidth="1" outlineLevel="1"/>
    <col min="3" max="3" width="11.28515625" style="711" customWidth="1" outlineLevel="1"/>
    <col min="4" max="4" width="12.28515625" style="710" bestFit="1" customWidth="1" outlineLevel="1"/>
    <col min="5" max="5" width="20" style="20" customWidth="1"/>
    <col min="6" max="6" width="15.5703125" style="20" customWidth="1"/>
    <col min="7" max="7" width="11.28515625" style="2163" customWidth="1"/>
    <col min="8" max="8" width="12.42578125" style="710" customWidth="1"/>
    <col min="9" max="9" width="12.7109375" style="710" customWidth="1"/>
    <col min="10" max="12" width="13.42578125" style="710" customWidth="1"/>
    <col min="13" max="17" width="11.28515625" style="710" customWidth="1"/>
    <col min="18" max="19" width="11.28515625" style="20" customWidth="1"/>
    <col min="20" max="16384" width="9.140625" style="20"/>
  </cols>
  <sheetData>
    <row r="1" spans="1:19" s="12" customFormat="1" ht="14.25" thickTop="1" thickBot="1" x14ac:dyDescent="0.25">
      <c r="A1" s="2560" t="s">
        <v>1824</v>
      </c>
      <c r="B1" s="2561"/>
      <c r="C1" s="2562"/>
      <c r="D1" s="2181"/>
      <c r="E1" s="1408" t="s">
        <v>4478</v>
      </c>
      <c r="F1" s="1209"/>
      <c r="G1" s="2294"/>
      <c r="H1" s="2294"/>
      <c r="I1" s="2294"/>
      <c r="J1" s="2294"/>
      <c r="K1" s="2294"/>
      <c r="L1" s="2294"/>
      <c r="M1" s="2294"/>
      <c r="N1" s="2294"/>
      <c r="O1" s="2294"/>
      <c r="P1" s="2294"/>
    </row>
    <row r="2" spans="1:19" s="5" customFormat="1" ht="13.5" thickBot="1" x14ac:dyDescent="0.25">
      <c r="A2" s="1210" t="str">
        <f>SP!B3</f>
        <v>2013/14</v>
      </c>
      <c r="B2" s="159" t="str">
        <f>SP!C3</f>
        <v>2014/15</v>
      </c>
      <c r="C2" s="224" t="str">
        <f>SP!D3</f>
        <v>2015/16</v>
      </c>
      <c r="D2" s="224" t="str">
        <f>SP!E3</f>
        <v>2016/17</v>
      </c>
      <c r="E2" s="8"/>
      <c r="F2" s="8"/>
      <c r="G2" s="224" t="str">
        <f>SP!H3</f>
        <v>2017/18</v>
      </c>
      <c r="H2" s="224" t="str">
        <f>SP!J3</f>
        <v>2018/19</v>
      </c>
      <c r="I2" s="224" t="str">
        <f>SP!K3</f>
        <v>2019/20</v>
      </c>
      <c r="J2" s="224" t="str">
        <f>SP!L3</f>
        <v>2020/21</v>
      </c>
      <c r="K2" s="224" t="str">
        <f>SP!M3</f>
        <v>2021/22</v>
      </c>
      <c r="L2" s="224" t="str">
        <f>SP!N3</f>
        <v>2022/23</v>
      </c>
      <c r="M2" s="224" t="str">
        <f>SP!O3</f>
        <v>2023/24</v>
      </c>
      <c r="N2" s="224" t="str">
        <f>SP!P3</f>
        <v>2024/25</v>
      </c>
      <c r="O2" s="224" t="str">
        <f>SP!Q3</f>
        <v>2025/26</v>
      </c>
      <c r="P2" s="224" t="str">
        <f>SP!R3</f>
        <v>2026/27</v>
      </c>
      <c r="Q2" s="1211" t="str">
        <f>SP!S3</f>
        <v>2027/28</v>
      </c>
    </row>
    <row r="3" spans="1:19" s="5" customFormat="1" x14ac:dyDescent="0.2">
      <c r="A3" s="1212"/>
      <c r="B3" s="2"/>
      <c r="C3" s="2"/>
      <c r="D3" s="176"/>
      <c r="E3" s="15"/>
      <c r="F3" s="3"/>
      <c r="G3" s="176"/>
      <c r="H3" s="2"/>
      <c r="I3" s="2"/>
      <c r="J3" s="2"/>
      <c r="K3" s="2"/>
      <c r="L3" s="2"/>
      <c r="M3" s="2"/>
      <c r="N3" s="2"/>
      <c r="O3" s="2"/>
      <c r="P3" s="2"/>
      <c r="Q3" s="1213"/>
    </row>
    <row r="4" spans="1:19" x14ac:dyDescent="0.2">
      <c r="A4" s="1214"/>
      <c r="B4" s="709"/>
      <c r="C4" s="709"/>
      <c r="D4" s="709"/>
      <c r="E4" s="18" t="s">
        <v>1744</v>
      </c>
      <c r="F4" s="161"/>
      <c r="G4" s="709"/>
      <c r="H4" s="708"/>
      <c r="I4" s="708"/>
      <c r="J4" s="708"/>
      <c r="K4" s="708"/>
      <c r="L4" s="708"/>
      <c r="M4" s="709"/>
      <c r="N4" s="709"/>
      <c r="O4" s="709"/>
      <c r="P4" s="709"/>
      <c r="Q4" s="1215"/>
    </row>
    <row r="5" spans="1:19" x14ac:dyDescent="0.2">
      <c r="A5" s="1216">
        <f>-ROUND(GM!B1153,-2)</f>
        <v>1384100</v>
      </c>
      <c r="B5" s="646">
        <f>-GM!C1153</f>
        <v>879400</v>
      </c>
      <c r="C5" s="646">
        <f>-GM!D1153</f>
        <v>942200</v>
      </c>
      <c r="D5" s="646">
        <f>-GM!E1153</f>
        <v>334500</v>
      </c>
      <c r="E5" s="31" t="s">
        <v>467</v>
      </c>
      <c r="F5" s="161"/>
      <c r="G5" s="646">
        <f>-GM!H1153</f>
        <v>1110200</v>
      </c>
      <c r="H5" s="646">
        <f>-GM!J1153</f>
        <v>1147000</v>
      </c>
      <c r="I5" s="646">
        <f>-GM!K1153</f>
        <v>1181400</v>
      </c>
      <c r="J5" s="646">
        <f>-GM!L1153</f>
        <v>1205100</v>
      </c>
      <c r="K5" s="646">
        <f>-GM!M1153</f>
        <v>1229400</v>
      </c>
      <c r="L5" s="646">
        <f>-GM!N1153</f>
        <v>1254100</v>
      </c>
      <c r="M5" s="646">
        <f>-GM!O1153</f>
        <v>1279300</v>
      </c>
      <c r="N5" s="646">
        <f>-GM!P1153</f>
        <v>1305000</v>
      </c>
      <c r="O5" s="646">
        <f>-GM!Q1153</f>
        <v>1331300</v>
      </c>
      <c r="P5" s="646">
        <f>-GM!R1153</f>
        <v>1358000</v>
      </c>
      <c r="Q5" s="648">
        <f>-GM!S1153</f>
        <v>1385200</v>
      </c>
    </row>
    <row r="6" spans="1:19" x14ac:dyDescent="0.2">
      <c r="A6" s="1216">
        <f>ROUND(DEH!B486,-2)</f>
        <v>9800</v>
      </c>
      <c r="B6" s="646">
        <f>DEH!C486</f>
        <v>4400</v>
      </c>
      <c r="C6" s="646">
        <f>DEH!D486</f>
        <v>4500</v>
      </c>
      <c r="D6" s="646">
        <f>DEH!E486</f>
        <v>5300</v>
      </c>
      <c r="E6" s="31" t="s">
        <v>3589</v>
      </c>
      <c r="F6" s="161"/>
      <c r="G6" s="646">
        <f>DEH!H486</f>
        <v>4500</v>
      </c>
      <c r="H6" s="647">
        <f>DEH!J486</f>
        <v>5500</v>
      </c>
      <c r="I6" s="647">
        <f>DEH!K486</f>
        <v>5700</v>
      </c>
      <c r="J6" s="647">
        <f>DEH!L486</f>
        <v>5900</v>
      </c>
      <c r="K6" s="647">
        <f>DEH!M486</f>
        <v>6100</v>
      </c>
      <c r="L6" s="647">
        <f>DEH!N486</f>
        <v>6300</v>
      </c>
      <c r="M6" s="646">
        <f>DEH!O486</f>
        <v>6500</v>
      </c>
      <c r="N6" s="646">
        <f>DEH!P486</f>
        <v>6700</v>
      </c>
      <c r="O6" s="646">
        <f>DEH!Q486</f>
        <v>6900</v>
      </c>
      <c r="P6" s="646">
        <f>DEH!R486</f>
        <v>7100</v>
      </c>
      <c r="Q6" s="648">
        <f>DEH!S486</f>
        <v>7300</v>
      </c>
    </row>
    <row r="7" spans="1:19" x14ac:dyDescent="0.2">
      <c r="A7" s="1216">
        <f>ROUND(CIV!B2090,-2)</f>
        <v>13367400</v>
      </c>
      <c r="B7" s="646">
        <f>CIV!C2090</f>
        <v>12100500</v>
      </c>
      <c r="C7" s="646">
        <f>CIV!D2090</f>
        <v>12031000</v>
      </c>
      <c r="D7" s="646">
        <f>CIV!E2090</f>
        <v>9486100</v>
      </c>
      <c r="E7" s="31" t="s">
        <v>299</v>
      </c>
      <c r="F7" s="161"/>
      <c r="G7" s="646">
        <f>CIV!H2090</f>
        <v>11003200</v>
      </c>
      <c r="H7" s="647">
        <f>CIV!J2090</f>
        <v>11224400</v>
      </c>
      <c r="I7" s="647">
        <f>CIV!K2090</f>
        <v>11449700</v>
      </c>
      <c r="J7" s="647">
        <f>CIV!L2090</f>
        <v>11679500</v>
      </c>
      <c r="K7" s="647">
        <f>CIV!M2090</f>
        <v>11913900</v>
      </c>
      <c r="L7" s="647">
        <f>CIV!N2090</f>
        <v>12153100</v>
      </c>
      <c r="M7" s="646">
        <f>CIV!O2090</f>
        <v>12397000</v>
      </c>
      <c r="N7" s="646">
        <f>CIV!P2090</f>
        <v>12645800</v>
      </c>
      <c r="O7" s="646">
        <f>CIV!Q2090</f>
        <v>12899600</v>
      </c>
      <c r="P7" s="646">
        <f>CIV!R2090</f>
        <v>13158400</v>
      </c>
      <c r="Q7" s="648">
        <f>CIV!S2090</f>
        <v>13422300</v>
      </c>
    </row>
    <row r="8" spans="1:19" x14ac:dyDescent="0.2">
      <c r="A8" s="1216">
        <f>ROUND(SP!B871,-2)</f>
        <v>1104400</v>
      </c>
      <c r="B8" s="646">
        <f>SP!C871</f>
        <v>1160000</v>
      </c>
      <c r="C8" s="646">
        <f>SP!D871</f>
        <v>1189100</v>
      </c>
      <c r="D8" s="646">
        <f>SP!E871</f>
        <v>1179800</v>
      </c>
      <c r="E8" s="31" t="s">
        <v>3590</v>
      </c>
      <c r="F8" s="161"/>
      <c r="G8" s="646">
        <f>SP!H871</f>
        <v>1266000</v>
      </c>
      <c r="H8" s="647">
        <f>SP!J871</f>
        <v>1377900</v>
      </c>
      <c r="I8" s="647">
        <f>SP!K871</f>
        <v>1485600</v>
      </c>
      <c r="J8" s="647">
        <f>SP!L871</f>
        <v>1515700</v>
      </c>
      <c r="K8" s="647">
        <f>SP!M871</f>
        <v>1546400</v>
      </c>
      <c r="L8" s="647">
        <f>SP!N871</f>
        <v>1577700</v>
      </c>
      <c r="M8" s="646">
        <f>SP!O871</f>
        <v>1609500</v>
      </c>
      <c r="N8" s="646">
        <f>SP!P871</f>
        <v>1642100</v>
      </c>
      <c r="O8" s="646">
        <f>SP!Q871</f>
        <v>1675300</v>
      </c>
      <c r="P8" s="646">
        <f>SP!R871</f>
        <v>1709200</v>
      </c>
      <c r="Q8" s="648">
        <f>SP!S871</f>
        <v>1743600</v>
      </c>
    </row>
    <row r="9" spans="1:19" s="11" customFormat="1" x14ac:dyDescent="0.2">
      <c r="A9" s="198">
        <f>ROUND(-'Cash-Gen'!A64,-2)</f>
        <v>-15865700</v>
      </c>
      <c r="B9" s="732">
        <f>-'Cash-Gen'!B64</f>
        <v>-14144300</v>
      </c>
      <c r="C9" s="732">
        <f>-'Cash-Gen'!C64</f>
        <v>-14166800</v>
      </c>
      <c r="D9" s="732">
        <f>-'Cash-Gen'!D64</f>
        <v>-11005700</v>
      </c>
      <c r="E9" s="92" t="s">
        <v>687</v>
      </c>
      <c r="F9" s="107"/>
      <c r="G9" s="732">
        <f>-'Cash-Gen'!F64</f>
        <v>-13383900</v>
      </c>
      <c r="H9" s="733">
        <f>-'Cash-Gen'!G64</f>
        <v>-13754800</v>
      </c>
      <c r="I9" s="733">
        <f>-'Cash-Gen'!H64</f>
        <v>-14122400</v>
      </c>
      <c r="J9" s="733">
        <f>-'Cash-Gen'!I64</f>
        <v>-14406200</v>
      </c>
      <c r="K9" s="733">
        <f>-'Cash-Gen'!J64</f>
        <v>-14695800</v>
      </c>
      <c r="L9" s="733">
        <f>-'Cash-Gen'!K64</f>
        <v>-14991200</v>
      </c>
      <c r="M9" s="732">
        <f>-'Cash-Gen'!L64</f>
        <v>-15292300</v>
      </c>
      <c r="N9" s="732">
        <f>-'Cash-Gen'!M64</f>
        <v>-15599600</v>
      </c>
      <c r="O9" s="732">
        <f>-'Cash-Gen'!N64</f>
        <v>-15913100</v>
      </c>
      <c r="P9" s="732">
        <f>-'Cash-Gen'!O64</f>
        <v>-16232700</v>
      </c>
      <c r="Q9" s="734">
        <f>-'Cash-Gen'!P64</f>
        <v>-16558400</v>
      </c>
      <c r="S9" s="20"/>
    </row>
    <row r="10" spans="1:19" s="11" customFormat="1" x14ac:dyDescent="0.2">
      <c r="A10" s="1217">
        <f>ROUND(SUM(A5:A9),-3)</f>
        <v>0</v>
      </c>
      <c r="B10" s="735">
        <f>SUM(B5:B9)</f>
        <v>0</v>
      </c>
      <c r="C10" s="735">
        <f>ROUND(SUM(C5:C9),-3)</f>
        <v>0</v>
      </c>
      <c r="D10" s="735">
        <f>ROUND(SUM(D5:D9),-3)</f>
        <v>0</v>
      </c>
      <c r="E10" s="92" t="s">
        <v>1169</v>
      </c>
      <c r="F10" s="107"/>
      <c r="G10" s="735">
        <f>ROUND(SUM(G5:G9),-3)</f>
        <v>0</v>
      </c>
      <c r="H10" s="736">
        <f>ROUND(SUM(H5:H9),-3)</f>
        <v>0</v>
      </c>
      <c r="I10" s="736">
        <f>ROUND(SUM(I5:I9),-3)</f>
        <v>0</v>
      </c>
      <c r="J10" s="736">
        <f>ROUND(SUM(J5:J9),-2)</f>
        <v>0</v>
      </c>
      <c r="K10" s="736">
        <f t="shared" ref="K10:P10" si="0">ROUND(SUM(K5:K9),-3)</f>
        <v>0</v>
      </c>
      <c r="L10" s="736">
        <f t="shared" si="0"/>
        <v>0</v>
      </c>
      <c r="M10" s="735">
        <f t="shared" si="0"/>
        <v>0</v>
      </c>
      <c r="N10" s="735">
        <f t="shared" si="0"/>
        <v>0</v>
      </c>
      <c r="O10" s="735">
        <f t="shared" si="0"/>
        <v>0</v>
      </c>
      <c r="P10" s="735">
        <f t="shared" si="0"/>
        <v>0</v>
      </c>
      <c r="Q10" s="1218">
        <f t="shared" ref="Q10" si="1">ROUND(SUM(Q5:Q9),-3)</f>
        <v>0</v>
      </c>
      <c r="S10" s="20"/>
    </row>
    <row r="11" spans="1:19" x14ac:dyDescent="0.2">
      <c r="A11" s="1216"/>
      <c r="B11" s="646"/>
      <c r="C11" s="646"/>
      <c r="D11" s="646"/>
      <c r="E11" s="31"/>
      <c r="F11" s="161"/>
      <c r="G11" s="646"/>
      <c r="H11" s="647"/>
      <c r="I11" s="647"/>
      <c r="J11" s="647"/>
      <c r="K11" s="647"/>
      <c r="L11" s="647"/>
      <c r="M11" s="646"/>
      <c r="N11" s="646"/>
      <c r="O11" s="646"/>
      <c r="P11" s="646"/>
      <c r="Q11" s="648"/>
    </row>
    <row r="12" spans="1:19" x14ac:dyDescent="0.2">
      <c r="A12" s="1214"/>
      <c r="B12" s="737"/>
      <c r="C12" s="737"/>
      <c r="D12" s="737"/>
      <c r="E12" s="33" t="s">
        <v>2211</v>
      </c>
      <c r="F12" s="160"/>
      <c r="G12" s="737"/>
      <c r="H12" s="738"/>
      <c r="I12" s="738"/>
      <c r="J12" s="738"/>
      <c r="K12" s="738"/>
      <c r="L12" s="738"/>
      <c r="M12" s="737"/>
      <c r="N12" s="737"/>
      <c r="O12" s="737"/>
      <c r="P12" s="737"/>
      <c r="Q12" s="1219"/>
    </row>
    <row r="13" spans="1:19" x14ac:dyDescent="0.2">
      <c r="A13" s="1216">
        <f>GM!B37</f>
        <v>17634700</v>
      </c>
      <c r="B13" s="646">
        <f>GM!C37</f>
        <v>23178800</v>
      </c>
      <c r="C13" s="646">
        <f>GM!D37</f>
        <v>22896200</v>
      </c>
      <c r="D13" s="646">
        <f>GM!E37</f>
        <v>29250100</v>
      </c>
      <c r="E13" s="31" t="str">
        <f>E5</f>
        <v>General Manager's Group</v>
      </c>
      <c r="F13" s="161"/>
      <c r="G13" s="646">
        <f>GM!H37</f>
        <v>25625800</v>
      </c>
      <c r="H13" s="647">
        <f>GM!J37</f>
        <v>26741700</v>
      </c>
      <c r="I13" s="647">
        <f>GM!K37</f>
        <v>27510100</v>
      </c>
      <c r="J13" s="647">
        <f>GM!L37</f>
        <v>27996700</v>
      </c>
      <c r="K13" s="647">
        <f>GM!M37</f>
        <v>29092800</v>
      </c>
      <c r="L13" s="647">
        <f>GM!N37</f>
        <v>29969700</v>
      </c>
      <c r="M13" s="646">
        <f>GM!O37</f>
        <v>30806300</v>
      </c>
      <c r="N13" s="646">
        <f>GM!P37</f>
        <v>31339400</v>
      </c>
      <c r="O13" s="646">
        <f>GM!Q37</f>
        <v>32494000</v>
      </c>
      <c r="P13" s="646">
        <f>GM!R37</f>
        <v>33393600</v>
      </c>
      <c r="Q13" s="648">
        <f>GM!S37</f>
        <v>34298600</v>
      </c>
    </row>
    <row r="14" spans="1:19" x14ac:dyDescent="0.2">
      <c r="A14" s="1216">
        <f>DEH!B30</f>
        <v>-1955100</v>
      </c>
      <c r="B14" s="646">
        <f>DEH!C30</f>
        <v>-1453500</v>
      </c>
      <c r="C14" s="646">
        <f>DEH!D30</f>
        <v>-1352900</v>
      </c>
      <c r="D14" s="646">
        <f>DEH!E30</f>
        <v>-1950400</v>
      </c>
      <c r="E14" s="31" t="str">
        <f>E6</f>
        <v>Development &amp; Envi Health Group</v>
      </c>
      <c r="F14" s="161"/>
      <c r="G14" s="646">
        <f>DEH!H30</f>
        <v>-2368100</v>
      </c>
      <c r="H14" s="647">
        <f>DEH!J30</f>
        <v>-2094100</v>
      </c>
      <c r="I14" s="647">
        <f>DEH!K30</f>
        <v>-2137600</v>
      </c>
      <c r="J14" s="647">
        <f>DEH!L30</f>
        <v>-2181700</v>
      </c>
      <c r="K14" s="647">
        <f>DEH!M30</f>
        <v>-2227300</v>
      </c>
      <c r="L14" s="647">
        <f>DEH!N30</f>
        <v>-2273800</v>
      </c>
      <c r="M14" s="646">
        <f>DEH!O30</f>
        <v>-2321600</v>
      </c>
      <c r="N14" s="646">
        <f>DEH!P30</f>
        <v>-2370300</v>
      </c>
      <c r="O14" s="646">
        <f>DEH!Q30</f>
        <v>-2419900</v>
      </c>
      <c r="P14" s="646">
        <f>DEH!R30</f>
        <v>-2470600</v>
      </c>
      <c r="Q14" s="648">
        <f>DEH!S30</f>
        <v>-2522200</v>
      </c>
    </row>
    <row r="15" spans="1:19" x14ac:dyDescent="0.2">
      <c r="A15" s="1216">
        <f>CIV!B51</f>
        <v>-21560900</v>
      </c>
      <c r="B15" s="646">
        <f>CIV!C51</f>
        <v>-22271200</v>
      </c>
      <c r="C15" s="646">
        <f>CIV!D51</f>
        <v>-20356000</v>
      </c>
      <c r="D15" s="646">
        <f>CIV!E51</f>
        <v>-21024800</v>
      </c>
      <c r="E15" s="31" t="str">
        <f>E7</f>
        <v>Civil Services</v>
      </c>
      <c r="F15" s="161"/>
      <c r="G15" s="646">
        <f>CIV!H51</f>
        <v>-20466500</v>
      </c>
      <c r="H15" s="647">
        <f>CIV!J51</f>
        <v>-20226800</v>
      </c>
      <c r="I15" s="647">
        <f>CIV!K51</f>
        <v>-20817000</v>
      </c>
      <c r="J15" s="647">
        <f>CIV!L51</f>
        <v>-20971700</v>
      </c>
      <c r="K15" s="647">
        <f>CIV!M51</f>
        <v>-21896300</v>
      </c>
      <c r="L15" s="647">
        <f>CIV!N51</f>
        <v>-22236400</v>
      </c>
      <c r="M15" s="646">
        <f>CIV!O51</f>
        <v>-22794700</v>
      </c>
      <c r="N15" s="646">
        <f>CIV!P51</f>
        <v>-23367900</v>
      </c>
      <c r="O15" s="646">
        <f>CIV!Q51</f>
        <v>-23757700</v>
      </c>
      <c r="P15" s="646">
        <f>CIV!R51</f>
        <v>-24184400</v>
      </c>
      <c r="Q15" s="648">
        <f>CIV!S51</f>
        <v>-24710800</v>
      </c>
    </row>
    <row r="16" spans="1:19" x14ac:dyDescent="0.2">
      <c r="A16" s="1216">
        <f>SP!B33</f>
        <v>-4667300</v>
      </c>
      <c r="B16" s="646">
        <f>SP!C33</f>
        <v>-4592000</v>
      </c>
      <c r="C16" s="646">
        <f>SP!D33</f>
        <v>-4797400</v>
      </c>
      <c r="D16" s="646">
        <f>SP!E33</f>
        <v>-5031900</v>
      </c>
      <c r="E16" s="31" t="str">
        <f>E8</f>
        <v>Strategic &amp; Comm Facs Group</v>
      </c>
      <c r="F16" s="161"/>
      <c r="G16" s="646">
        <f>SP!H33</f>
        <v>-5926800</v>
      </c>
      <c r="H16" s="647">
        <f>SP!J33</f>
        <v>-5913700</v>
      </c>
      <c r="I16" s="647">
        <f>SP!K33</f>
        <v>-6057200</v>
      </c>
      <c r="J16" s="647">
        <f>SP!L33</f>
        <v>-6412100</v>
      </c>
      <c r="K16" s="647">
        <f>SP!M33</f>
        <v>-6541100</v>
      </c>
      <c r="L16" s="647">
        <f>SP!N33</f>
        <v>-6646800</v>
      </c>
      <c r="M16" s="646">
        <f>SP!O33</f>
        <v>-6688200</v>
      </c>
      <c r="N16" s="646">
        <f>SP!P33</f>
        <v>-6692900</v>
      </c>
      <c r="O16" s="646">
        <f>SP!Q33</f>
        <v>-6693300</v>
      </c>
      <c r="P16" s="646">
        <f>SP!R33</f>
        <v>-6690400</v>
      </c>
      <c r="Q16" s="648">
        <f>SP!S33</f>
        <v>-6684400</v>
      </c>
    </row>
    <row r="17" spans="1:19" s="11" customFormat="1" x14ac:dyDescent="0.2">
      <c r="A17" s="198">
        <f>-'Cash-Gen'!A52</f>
        <v>10548600</v>
      </c>
      <c r="B17" s="732">
        <f>-'Cash-Gen'!B52</f>
        <v>5137900</v>
      </c>
      <c r="C17" s="732">
        <f>-'Cash-Gen'!C52</f>
        <v>3610100</v>
      </c>
      <c r="D17" s="732">
        <f>-'Cash-Gen'!D52</f>
        <v>-1243000</v>
      </c>
      <c r="E17" s="92" t="s">
        <v>687</v>
      </c>
      <c r="F17" s="107"/>
      <c r="G17" s="732">
        <f>-'Cash-Gen'!F52</f>
        <v>3135600</v>
      </c>
      <c r="H17" s="733">
        <f>-'Cash-Gen'!G52</f>
        <v>1492900</v>
      </c>
      <c r="I17" s="733">
        <f>-'Cash-Gen'!H52</f>
        <v>1501700</v>
      </c>
      <c r="J17" s="733">
        <f>-'Cash-Gen'!I52</f>
        <v>1568800</v>
      </c>
      <c r="K17" s="733">
        <f>-'Cash-Gen'!J52</f>
        <v>1571900</v>
      </c>
      <c r="L17" s="733">
        <f>-'Cash-Gen'!K52</f>
        <v>1187300</v>
      </c>
      <c r="M17" s="732">
        <f>-'Cash-Gen'!L52</f>
        <v>998200</v>
      </c>
      <c r="N17" s="732">
        <f>-'Cash-Gen'!M52</f>
        <v>1091700</v>
      </c>
      <c r="O17" s="732">
        <f>-'Cash-Gen'!N52</f>
        <v>376900</v>
      </c>
      <c r="P17" s="732">
        <f>-'Cash-Gen'!O52</f>
        <v>-48200</v>
      </c>
      <c r="Q17" s="734">
        <f>-'Cash-Gen'!P52</f>
        <v>-381200</v>
      </c>
      <c r="S17" s="20"/>
    </row>
    <row r="18" spans="1:19" s="11" customFormat="1" x14ac:dyDescent="0.2">
      <c r="A18" s="1217">
        <f>ROUND(SUM(A13:A17),-3)</f>
        <v>0</v>
      </c>
      <c r="B18" s="735">
        <f>SUM(B13:B17)</f>
        <v>0</v>
      </c>
      <c r="C18" s="735">
        <f>SUM(C13:C17)</f>
        <v>0</v>
      </c>
      <c r="D18" s="735">
        <f>SUM(D13:D17)</f>
        <v>0</v>
      </c>
      <c r="E18" s="92" t="s">
        <v>1169</v>
      </c>
      <c r="F18" s="107"/>
      <c r="G18" s="735">
        <f t="shared" ref="G18:M18" si="2">SUM(G13:G17)</f>
        <v>0</v>
      </c>
      <c r="H18" s="736">
        <f t="shared" si="2"/>
        <v>0</v>
      </c>
      <c r="I18" s="736">
        <f t="shared" si="2"/>
        <v>0</v>
      </c>
      <c r="J18" s="736">
        <f t="shared" si="2"/>
        <v>0</v>
      </c>
      <c r="K18" s="736">
        <f t="shared" si="2"/>
        <v>0</v>
      </c>
      <c r="L18" s="736">
        <f t="shared" si="2"/>
        <v>0</v>
      </c>
      <c r="M18" s="735">
        <f t="shared" si="2"/>
        <v>0</v>
      </c>
      <c r="N18" s="735">
        <f t="shared" ref="N18:O18" si="3">SUM(N13:N17)</f>
        <v>0</v>
      </c>
      <c r="O18" s="735">
        <f t="shared" si="3"/>
        <v>0</v>
      </c>
      <c r="P18" s="735">
        <f t="shared" ref="P18:Q18" si="4">SUM(P13:P17)</f>
        <v>0</v>
      </c>
      <c r="Q18" s="1218">
        <f t="shared" si="4"/>
        <v>0</v>
      </c>
      <c r="S18" s="20"/>
    </row>
    <row r="19" spans="1:19" x14ac:dyDescent="0.2">
      <c r="A19" s="1216"/>
      <c r="B19" s="646"/>
      <c r="C19" s="646"/>
      <c r="D19" s="646"/>
      <c r="E19" s="31"/>
      <c r="F19" s="161"/>
      <c r="G19" s="646"/>
      <c r="H19" s="647"/>
      <c r="I19" s="647"/>
      <c r="J19" s="647"/>
      <c r="K19" s="647"/>
      <c r="L19" s="647"/>
      <c r="M19" s="646"/>
      <c r="N19" s="646"/>
      <c r="O19" s="646"/>
      <c r="P19" s="646"/>
      <c r="Q19" s="648"/>
    </row>
    <row r="20" spans="1:19" x14ac:dyDescent="0.2">
      <c r="A20" s="1216"/>
      <c r="B20" s="646"/>
      <c r="C20" s="646"/>
      <c r="D20" s="646"/>
      <c r="E20" s="417" t="s">
        <v>633</v>
      </c>
      <c r="F20" s="161"/>
      <c r="G20" s="646"/>
      <c r="H20" s="647"/>
      <c r="I20" s="647"/>
      <c r="J20" s="647"/>
      <c r="K20" s="647"/>
      <c r="L20" s="647"/>
      <c r="M20" s="646"/>
      <c r="N20" s="646"/>
      <c r="O20" s="646"/>
      <c r="P20" s="646"/>
      <c r="Q20" s="648"/>
    </row>
    <row r="21" spans="1:19" x14ac:dyDescent="0.2">
      <c r="A21" s="1214">
        <f>GM!B48</f>
        <v>838700</v>
      </c>
      <c r="B21" s="737">
        <f>GM!C48</f>
        <v>845500</v>
      </c>
      <c r="C21" s="737">
        <f>GM!D48</f>
        <v>970600</v>
      </c>
      <c r="D21" s="737">
        <f>GM!E48</f>
        <v>1073300</v>
      </c>
      <c r="E21" s="10" t="str">
        <f>E5</f>
        <v>General Manager's Group</v>
      </c>
      <c r="F21" s="160"/>
      <c r="G21" s="646">
        <f>GM!H48</f>
        <v>1176800</v>
      </c>
      <c r="H21" s="738">
        <f>GM!J48</f>
        <v>1301600</v>
      </c>
      <c r="I21" s="738">
        <f>GM!K48</f>
        <v>1369900</v>
      </c>
      <c r="J21" s="738">
        <f>GM!L48</f>
        <v>1443000</v>
      </c>
      <c r="K21" s="738">
        <f>GM!M48</f>
        <v>1452600</v>
      </c>
      <c r="L21" s="738">
        <f>GM!N48</f>
        <v>1052700</v>
      </c>
      <c r="M21" s="737">
        <f>GM!O48</f>
        <v>406400</v>
      </c>
      <c r="N21" s="737">
        <f>GM!P48</f>
        <v>208100</v>
      </c>
      <c r="O21" s="737">
        <f>GM!Q48</f>
        <v>217100</v>
      </c>
      <c r="P21" s="737">
        <f>GM!R48</f>
        <v>167000</v>
      </c>
      <c r="Q21" s="1219">
        <f>GM!S48</f>
        <v>176000</v>
      </c>
    </row>
    <row r="22" spans="1:19" x14ac:dyDescent="0.2">
      <c r="A22" s="1214">
        <f>DEH!B520</f>
        <v>6100</v>
      </c>
      <c r="B22" s="737">
        <f>DEH!C520</f>
        <v>6500</v>
      </c>
      <c r="C22" s="737">
        <f>DEH!D520</f>
        <v>6900</v>
      </c>
      <c r="D22" s="737">
        <f>DEH!E520</f>
        <v>7300</v>
      </c>
      <c r="E22" s="10" t="str">
        <f>E6</f>
        <v>Development &amp; Envi Health Group</v>
      </c>
      <c r="F22" s="160"/>
      <c r="G22" s="646">
        <f>DEH!H520</f>
        <v>7800</v>
      </c>
      <c r="H22" s="738">
        <f>DEH!J520</f>
        <v>8300</v>
      </c>
      <c r="I22" s="738">
        <f>DEH!K520</f>
        <v>7300</v>
      </c>
      <c r="J22" s="738">
        <f>DEH!L520</f>
        <v>0</v>
      </c>
      <c r="K22" s="738">
        <f>DEH!M520</f>
        <v>0</v>
      </c>
      <c r="L22" s="738">
        <f>DEH!N520</f>
        <v>0</v>
      </c>
      <c r="M22" s="737">
        <f>DEH!O520</f>
        <v>0</v>
      </c>
      <c r="N22" s="737">
        <f>DEH!P520</f>
        <v>0</v>
      </c>
      <c r="O22" s="737">
        <f>DEH!Q520</f>
        <v>0</v>
      </c>
      <c r="P22" s="737">
        <f>DEH!R520</f>
        <v>0</v>
      </c>
      <c r="Q22" s="1219">
        <f>DEH!S520</f>
        <v>0</v>
      </c>
    </row>
    <row r="23" spans="1:19" x14ac:dyDescent="0.2">
      <c r="A23" s="1214">
        <f>CIV!B61</f>
        <v>2347100</v>
      </c>
      <c r="B23" s="737">
        <f>CIV!C61</f>
        <v>2526100</v>
      </c>
      <c r="C23" s="737">
        <f>CIV!D61</f>
        <v>2792900</v>
      </c>
      <c r="D23" s="737">
        <f>CIV!E61</f>
        <v>2595700</v>
      </c>
      <c r="E23" s="10" t="str">
        <f>E7</f>
        <v>Civil Services</v>
      </c>
      <c r="F23" s="160"/>
      <c r="G23" s="646">
        <f>CIV!H61</f>
        <v>1741200</v>
      </c>
      <c r="H23" s="738">
        <f>CIV!J61</f>
        <v>1529200</v>
      </c>
      <c r="I23" s="738">
        <f>CIV!K61</f>
        <v>1521100</v>
      </c>
      <c r="J23" s="738">
        <f>CIV!L61</f>
        <v>1171500</v>
      </c>
      <c r="K23" s="738">
        <f>CIV!M61</f>
        <v>1646500</v>
      </c>
      <c r="L23" s="738">
        <f>CIV!N61</f>
        <v>1572900</v>
      </c>
      <c r="M23" s="737">
        <f>CIV!O61</f>
        <v>1490800</v>
      </c>
      <c r="N23" s="737">
        <f>CIV!P61</f>
        <v>1401900</v>
      </c>
      <c r="O23" s="737">
        <f>CIV!Q61</f>
        <v>750000</v>
      </c>
      <c r="P23" s="737">
        <f>CIV!R61</f>
        <v>781000</v>
      </c>
      <c r="Q23" s="1219">
        <f>CIV!S61</f>
        <v>812000</v>
      </c>
    </row>
    <row r="24" spans="1:19" x14ac:dyDescent="0.2">
      <c r="A24" s="1214">
        <f>SP!B40</f>
        <v>24300</v>
      </c>
      <c r="B24" s="737">
        <f>SP!C40</f>
        <v>17300</v>
      </c>
      <c r="C24" s="737">
        <f>SP!D40</f>
        <v>18500</v>
      </c>
      <c r="D24" s="737">
        <f>SP!E40</f>
        <v>19900</v>
      </c>
      <c r="E24" s="10" t="str">
        <f>E8</f>
        <v>Strategic &amp; Comm Facs Group</v>
      </c>
      <c r="F24" s="160"/>
      <c r="G24" s="646">
        <f>SP!H40</f>
        <v>359900</v>
      </c>
      <c r="H24" s="738">
        <f>SP!J40</f>
        <v>485700</v>
      </c>
      <c r="I24" s="738">
        <f>SP!K40</f>
        <v>503800</v>
      </c>
      <c r="J24" s="738">
        <f>SP!L40</f>
        <v>516500</v>
      </c>
      <c r="K24" s="738">
        <f>SP!M40</f>
        <v>537000</v>
      </c>
      <c r="L24" s="738">
        <f>SP!N40</f>
        <v>557400</v>
      </c>
      <c r="M24" s="737">
        <f>SP!O40</f>
        <v>559600</v>
      </c>
      <c r="N24" s="737">
        <f>SP!P40</f>
        <v>580000</v>
      </c>
      <c r="O24" s="737">
        <f>SP!Q40</f>
        <v>602300</v>
      </c>
      <c r="P24" s="737">
        <f>SP!R40</f>
        <v>625400</v>
      </c>
      <c r="Q24" s="1219">
        <f>SP!S40</f>
        <v>649300</v>
      </c>
    </row>
    <row r="25" spans="1:19" x14ac:dyDescent="0.2">
      <c r="A25" s="1214">
        <f>'Cash-Gen'!A81</f>
        <v>-3216200</v>
      </c>
      <c r="B25" s="737">
        <f>'Cash-Gen'!B81</f>
        <v>-3395400</v>
      </c>
      <c r="C25" s="737">
        <f>'Cash-Gen'!C81</f>
        <v>-3788900</v>
      </c>
      <c r="D25" s="737">
        <f>'Cash-Gen'!D81</f>
        <v>-3696200</v>
      </c>
      <c r="E25" s="10" t="s">
        <v>1730</v>
      </c>
      <c r="F25" s="160"/>
      <c r="G25" s="737">
        <f>'Cash-Gen'!F81</f>
        <v>-3285700</v>
      </c>
      <c r="H25" s="738">
        <f>'Cash-Gen'!G81</f>
        <v>-3324800</v>
      </c>
      <c r="I25" s="738">
        <f>'Cash-Gen'!H81</f>
        <v>-3402100</v>
      </c>
      <c r="J25" s="738">
        <f>'Cash-Gen'!I81</f>
        <v>-3131000</v>
      </c>
      <c r="K25" s="738">
        <f>'Cash-Gen'!J81</f>
        <v>-3636100</v>
      </c>
      <c r="L25" s="738">
        <f>'Cash-Gen'!K81</f>
        <v>-3183000</v>
      </c>
      <c r="M25" s="737">
        <f>'Cash-Gen'!L81</f>
        <v>-2456800</v>
      </c>
      <c r="N25" s="737">
        <f>'Cash-Gen'!M81</f>
        <v>-2190000</v>
      </c>
      <c r="O25" s="737">
        <f>'Cash-Gen'!N81</f>
        <v>-1569400</v>
      </c>
      <c r="P25" s="737">
        <f>'Cash-Gen'!O81</f>
        <v>-1573400</v>
      </c>
      <c r="Q25" s="1219">
        <f>'Cash-Gen'!P81</f>
        <v>-1637300</v>
      </c>
    </row>
    <row r="26" spans="1:19" s="11" customFormat="1" x14ac:dyDescent="0.2">
      <c r="A26" s="1217">
        <f>ROUND(SUM(A21:A25),-3)</f>
        <v>0</v>
      </c>
      <c r="B26" s="735">
        <f>SUM(B21:B25)</f>
        <v>0</v>
      </c>
      <c r="C26" s="735">
        <f>SUM(C21:C25)</f>
        <v>0</v>
      </c>
      <c r="D26" s="735">
        <f>SUM(D21:D25)</f>
        <v>0</v>
      </c>
      <c r="E26" s="18" t="s">
        <v>1731</v>
      </c>
      <c r="F26" s="33"/>
      <c r="G26" s="735">
        <f t="shared" ref="G26:M26" si="5">SUM(G21:G25)</f>
        <v>0</v>
      </c>
      <c r="H26" s="736">
        <f t="shared" si="5"/>
        <v>0</v>
      </c>
      <c r="I26" s="736">
        <f t="shared" si="5"/>
        <v>0</v>
      </c>
      <c r="J26" s="736">
        <f t="shared" si="5"/>
        <v>0</v>
      </c>
      <c r="K26" s="736">
        <f t="shared" si="5"/>
        <v>0</v>
      </c>
      <c r="L26" s="736">
        <f t="shared" si="5"/>
        <v>0</v>
      </c>
      <c r="M26" s="735">
        <f t="shared" si="5"/>
        <v>0</v>
      </c>
      <c r="N26" s="735">
        <f t="shared" ref="N26:O26" si="6">SUM(N21:N25)</f>
        <v>0</v>
      </c>
      <c r="O26" s="735">
        <f t="shared" si="6"/>
        <v>0</v>
      </c>
      <c r="P26" s="735">
        <f t="shared" ref="P26:Q26" si="7">SUM(P21:P25)</f>
        <v>0</v>
      </c>
      <c r="Q26" s="1218">
        <f t="shared" si="7"/>
        <v>0</v>
      </c>
      <c r="S26" s="20"/>
    </row>
    <row r="27" spans="1:19" x14ac:dyDescent="0.2">
      <c r="A27" s="1214"/>
      <c r="B27" s="737"/>
      <c r="C27" s="737"/>
      <c r="D27" s="737"/>
      <c r="E27" s="10"/>
      <c r="F27" s="160"/>
      <c r="G27" s="737"/>
      <c r="H27" s="738"/>
      <c r="I27" s="738"/>
      <c r="J27" s="738"/>
      <c r="K27" s="738"/>
      <c r="L27" s="738"/>
      <c r="M27" s="737"/>
      <c r="N27" s="737"/>
      <c r="O27" s="737"/>
      <c r="P27" s="737"/>
      <c r="Q27" s="1219"/>
    </row>
    <row r="28" spans="1:19" x14ac:dyDescent="0.2">
      <c r="A28" s="1214">
        <f>ROUND('W&amp;W'!B91,-2)</f>
        <v>0</v>
      </c>
      <c r="B28" s="737">
        <f>'W&amp;W'!C91</f>
        <v>0</v>
      </c>
      <c r="C28" s="737">
        <f>'W&amp;W'!D91</f>
        <v>0</v>
      </c>
      <c r="D28" s="737">
        <f>'W&amp;W'!E91</f>
        <v>0</v>
      </c>
      <c r="E28" s="10" t="s">
        <v>1732</v>
      </c>
      <c r="F28" s="160"/>
      <c r="G28" s="737">
        <f>'W&amp;W'!H91</f>
        <v>0</v>
      </c>
      <c r="H28" s="738">
        <f>'W&amp;W'!J91</f>
        <v>0</v>
      </c>
      <c r="I28" s="738">
        <f>'W&amp;W'!K91</f>
        <v>0</v>
      </c>
      <c r="J28" s="738">
        <f>'W&amp;W'!L91</f>
        <v>0</v>
      </c>
      <c r="K28" s="738">
        <f>'W&amp;W'!M91</f>
        <v>0</v>
      </c>
      <c r="L28" s="738">
        <f>'W&amp;W'!N91</f>
        <v>0</v>
      </c>
      <c r="M28" s="737">
        <f>'W&amp;W'!O91</f>
        <v>0</v>
      </c>
      <c r="N28" s="737">
        <f>'W&amp;W'!P91</f>
        <v>0</v>
      </c>
      <c r="O28" s="737">
        <f>'W&amp;W'!Q91</f>
        <v>0</v>
      </c>
      <c r="P28" s="737">
        <f>'W&amp;W'!R91</f>
        <v>0</v>
      </c>
      <c r="Q28" s="1219">
        <f>'W&amp;W'!S91</f>
        <v>0</v>
      </c>
    </row>
    <row r="29" spans="1:19" x14ac:dyDescent="0.2">
      <c r="A29" s="1214">
        <f>'Cash-W'!A41</f>
        <v>0</v>
      </c>
      <c r="B29" s="737">
        <f>'Cash-W'!B41</f>
        <v>0</v>
      </c>
      <c r="C29" s="737">
        <f>'Cash-W'!C41</f>
        <v>0</v>
      </c>
      <c r="D29" s="737">
        <f>'Cash-W'!D41</f>
        <v>0</v>
      </c>
      <c r="E29" s="10" t="s">
        <v>1730</v>
      </c>
      <c r="F29" s="160"/>
      <c r="G29" s="737">
        <f>'Cash-W'!G41</f>
        <v>0</v>
      </c>
      <c r="H29" s="738">
        <f>'Cash-W'!H41</f>
        <v>0</v>
      </c>
      <c r="I29" s="738">
        <f>'Cash-W'!I41</f>
        <v>0</v>
      </c>
      <c r="J29" s="738">
        <f>'Cash-W'!J41</f>
        <v>0</v>
      </c>
      <c r="K29" s="738">
        <f>'Cash-W'!K41</f>
        <v>0</v>
      </c>
      <c r="L29" s="738">
        <f>'Cash-W'!L41</f>
        <v>0</v>
      </c>
      <c r="M29" s="737">
        <f>'Cash-W'!M41</f>
        <v>0</v>
      </c>
      <c r="N29" s="737">
        <f>'Cash-W'!N41</f>
        <v>0</v>
      </c>
      <c r="O29" s="737">
        <f>'Cash-W'!P41</f>
        <v>0</v>
      </c>
      <c r="P29" s="737">
        <f>'Cash-W'!Q41</f>
        <v>0</v>
      </c>
      <c r="Q29" s="1219">
        <f>'Cash-W'!R41</f>
        <v>0</v>
      </c>
    </row>
    <row r="30" spans="1:19" s="11" customFormat="1" x14ac:dyDescent="0.2">
      <c r="A30" s="1217">
        <f>SUM(A28:A29)</f>
        <v>0</v>
      </c>
      <c r="B30" s="735">
        <f>SUM(B28:B29)</f>
        <v>0</v>
      </c>
      <c r="C30" s="735">
        <f>SUM(C28:C29)</f>
        <v>0</v>
      </c>
      <c r="D30" s="735">
        <f>SUM(D28:D29)</f>
        <v>0</v>
      </c>
      <c r="E30" s="18" t="s">
        <v>1731</v>
      </c>
      <c r="F30" s="33"/>
      <c r="G30" s="735">
        <f t="shared" ref="G30:M30" si="8">SUM(G28:G29)</f>
        <v>0</v>
      </c>
      <c r="H30" s="736">
        <f t="shared" si="8"/>
        <v>0</v>
      </c>
      <c r="I30" s="736">
        <f t="shared" si="8"/>
        <v>0</v>
      </c>
      <c r="J30" s="736">
        <f t="shared" si="8"/>
        <v>0</v>
      </c>
      <c r="K30" s="736">
        <f t="shared" si="8"/>
        <v>0</v>
      </c>
      <c r="L30" s="736">
        <f t="shared" si="8"/>
        <v>0</v>
      </c>
      <c r="M30" s="735">
        <f t="shared" si="8"/>
        <v>0</v>
      </c>
      <c r="N30" s="735">
        <f t="shared" ref="N30:O30" si="9">SUM(N28:N29)</f>
        <v>0</v>
      </c>
      <c r="O30" s="735">
        <f t="shared" si="9"/>
        <v>0</v>
      </c>
      <c r="P30" s="735">
        <f t="shared" ref="P30:Q30" si="10">SUM(P28:P29)</f>
        <v>0</v>
      </c>
      <c r="Q30" s="1218">
        <f t="shared" si="10"/>
        <v>0</v>
      </c>
      <c r="S30" s="20"/>
    </row>
    <row r="31" spans="1:19" x14ac:dyDescent="0.2">
      <c r="A31" s="1214"/>
      <c r="B31" s="737"/>
      <c r="C31" s="737"/>
      <c r="D31" s="737"/>
      <c r="E31" s="10"/>
      <c r="F31" s="160"/>
      <c r="G31" s="737"/>
      <c r="H31" s="738"/>
      <c r="I31" s="738"/>
      <c r="J31" s="738"/>
      <c r="K31" s="738"/>
      <c r="L31" s="738"/>
      <c r="M31" s="737"/>
      <c r="N31" s="737"/>
      <c r="O31" s="737"/>
      <c r="P31" s="737"/>
      <c r="Q31" s="1219"/>
    </row>
    <row r="32" spans="1:19" x14ac:dyDescent="0.2">
      <c r="A32" s="1214">
        <f>'W&amp;W'!B155</f>
        <v>2384800</v>
      </c>
      <c r="B32" s="737">
        <f>'W&amp;W'!C155</f>
        <v>2187900</v>
      </c>
      <c r="C32" s="737">
        <f>'W&amp;W'!D155</f>
        <v>2793300</v>
      </c>
      <c r="D32" s="737">
        <f>'W&amp;W'!E155</f>
        <v>2957900</v>
      </c>
      <c r="E32" s="10" t="s">
        <v>3289</v>
      </c>
      <c r="F32" s="160"/>
      <c r="G32" s="737">
        <f>'W&amp;W'!H155</f>
        <v>3095600</v>
      </c>
      <c r="H32" s="738">
        <f>'W&amp;W'!J155</f>
        <v>3134000</v>
      </c>
      <c r="I32" s="738">
        <f>'W&amp;W'!K155</f>
        <v>3280300</v>
      </c>
      <c r="J32" s="738">
        <f>'W&amp;W'!L155</f>
        <v>2453500</v>
      </c>
      <c r="K32" s="738">
        <f>'W&amp;W'!M155</f>
        <v>2654100</v>
      </c>
      <c r="L32" s="738">
        <f>'W&amp;W'!N155</f>
        <v>2844100</v>
      </c>
      <c r="M32" s="737">
        <f>'W&amp;W'!O155</f>
        <v>3037000</v>
      </c>
      <c r="N32" s="737">
        <f>'W&amp;W'!P155</f>
        <v>3235000</v>
      </c>
      <c r="O32" s="737">
        <f>'W&amp;W'!Q155</f>
        <v>3430000</v>
      </c>
      <c r="P32" s="737">
        <f>'W&amp;W'!R155</f>
        <v>3627000</v>
      </c>
      <c r="Q32" s="1219">
        <f>'W&amp;W'!S155</f>
        <v>3825000</v>
      </c>
    </row>
    <row r="33" spans="1:19" x14ac:dyDescent="0.2">
      <c r="A33" s="1214">
        <f>'Cash-WW'!A40</f>
        <v>-2384800</v>
      </c>
      <c r="B33" s="737">
        <f>'Cash-WW'!B40</f>
        <v>-2187900</v>
      </c>
      <c r="C33" s="737">
        <f>'Cash-WW'!C40</f>
        <v>-2793300</v>
      </c>
      <c r="D33" s="737">
        <f>'Cash-WW'!D40</f>
        <v>-2957900</v>
      </c>
      <c r="E33" s="10" t="s">
        <v>1730</v>
      </c>
      <c r="F33" s="160"/>
      <c r="G33" s="737">
        <f>'Cash-WW'!G40</f>
        <v>-3095600</v>
      </c>
      <c r="H33" s="738">
        <f>'Cash-WW'!H40</f>
        <v>-3134000</v>
      </c>
      <c r="I33" s="738">
        <f>'Cash-WW'!I40</f>
        <v>-3280300</v>
      </c>
      <c r="J33" s="738">
        <f>'Cash-WW'!J40</f>
        <v>-2453500</v>
      </c>
      <c r="K33" s="738">
        <f>'Cash-WW'!K40</f>
        <v>-2654100</v>
      </c>
      <c r="L33" s="738">
        <f>'Cash-WW'!L40</f>
        <v>-2844100</v>
      </c>
      <c r="M33" s="737">
        <f>'Cash-WW'!M40</f>
        <v>-3037000</v>
      </c>
      <c r="N33" s="737">
        <f>'Cash-WW'!N40</f>
        <v>-3235000</v>
      </c>
      <c r="O33" s="737">
        <f>'Cash-WW'!O40</f>
        <v>-3430000</v>
      </c>
      <c r="P33" s="737">
        <f>'Cash-WW'!P40</f>
        <v>-3627000</v>
      </c>
      <c r="Q33" s="1219">
        <f>'Cash-WW'!Q40</f>
        <v>-3825000</v>
      </c>
    </row>
    <row r="34" spans="1:19" s="11" customFormat="1" x14ac:dyDescent="0.2">
      <c r="A34" s="1217">
        <f>SUM(A32:A33)</f>
        <v>0</v>
      </c>
      <c r="B34" s="735">
        <f>SUM(B32:B33)</f>
        <v>0</v>
      </c>
      <c r="C34" s="735">
        <f>SUM(C32:C33)</f>
        <v>0</v>
      </c>
      <c r="D34" s="735">
        <f>SUM(D32:D33)</f>
        <v>0</v>
      </c>
      <c r="E34" s="18" t="s">
        <v>1731</v>
      </c>
      <c r="F34" s="33"/>
      <c r="G34" s="735">
        <f t="shared" ref="G34:M34" si="11">SUM(G32:G33)</f>
        <v>0</v>
      </c>
      <c r="H34" s="736">
        <f t="shared" si="11"/>
        <v>0</v>
      </c>
      <c r="I34" s="736">
        <f t="shared" si="11"/>
        <v>0</v>
      </c>
      <c r="J34" s="736">
        <f t="shared" si="11"/>
        <v>0</v>
      </c>
      <c r="K34" s="736">
        <f t="shared" si="11"/>
        <v>0</v>
      </c>
      <c r="L34" s="736">
        <f t="shared" si="11"/>
        <v>0</v>
      </c>
      <c r="M34" s="735">
        <f t="shared" si="11"/>
        <v>0</v>
      </c>
      <c r="N34" s="735">
        <f t="shared" ref="N34:O34" si="12">SUM(N32:N33)</f>
        <v>0</v>
      </c>
      <c r="O34" s="735">
        <f t="shared" si="12"/>
        <v>0</v>
      </c>
      <c r="P34" s="735">
        <f t="shared" ref="P34:Q34" si="13">SUM(P32:P33)</f>
        <v>0</v>
      </c>
      <c r="Q34" s="1218">
        <f t="shared" si="13"/>
        <v>0</v>
      </c>
      <c r="S34" s="20"/>
    </row>
    <row r="35" spans="1:19" x14ac:dyDescent="0.2">
      <c r="A35" s="1214"/>
      <c r="B35" s="737"/>
      <c r="C35" s="737"/>
      <c r="D35" s="737"/>
      <c r="E35" s="10"/>
      <c r="F35" s="160"/>
      <c r="G35" s="737"/>
      <c r="H35" s="738"/>
      <c r="I35" s="738"/>
      <c r="J35" s="738"/>
      <c r="K35" s="738"/>
      <c r="L35" s="738"/>
      <c r="M35" s="737"/>
      <c r="N35" s="737"/>
      <c r="O35" s="737"/>
      <c r="P35" s="737"/>
      <c r="Q35" s="1219"/>
    </row>
    <row r="36" spans="1:19" s="11" customFormat="1" x14ac:dyDescent="0.2">
      <c r="A36" s="155"/>
      <c r="B36" s="739"/>
      <c r="C36" s="739"/>
      <c r="D36" s="739"/>
      <c r="E36" s="18" t="s">
        <v>1498</v>
      </c>
      <c r="F36" s="33"/>
      <c r="G36" s="739"/>
      <c r="H36" s="740"/>
      <c r="I36" s="740"/>
      <c r="J36" s="740"/>
      <c r="K36" s="740"/>
      <c r="L36" s="740"/>
      <c r="M36" s="739"/>
      <c r="N36" s="739"/>
      <c r="O36" s="739"/>
      <c r="P36" s="739"/>
      <c r="Q36" s="1220"/>
      <c r="S36" s="20"/>
    </row>
    <row r="37" spans="1:19" x14ac:dyDescent="0.2">
      <c r="A37" s="1214">
        <f>GM!B49</f>
        <v>5690100</v>
      </c>
      <c r="B37" s="737">
        <f>GM!C49</f>
        <v>7765000</v>
      </c>
      <c r="C37" s="737">
        <f>GM!D49</f>
        <v>5562000</v>
      </c>
      <c r="D37" s="646">
        <f>GM!E49</f>
        <v>7061300</v>
      </c>
      <c r="E37" s="10" t="str">
        <f>E5</f>
        <v>General Manager's Group</v>
      </c>
      <c r="F37" s="160"/>
      <c r="G37" s="737">
        <f>GM!H49</f>
        <v>14184500</v>
      </c>
      <c r="H37" s="738">
        <f>GM!J49</f>
        <v>10043500</v>
      </c>
      <c r="I37" s="738">
        <f>GM!K49</f>
        <v>7089800</v>
      </c>
      <c r="J37" s="738">
        <f>GM!L49</f>
        <v>6390100</v>
      </c>
      <c r="K37" s="738">
        <f>GM!M49</f>
        <v>5064800</v>
      </c>
      <c r="L37" s="738">
        <f>GM!N49</f>
        <v>4521800</v>
      </c>
      <c r="M37" s="737">
        <f>GM!O49</f>
        <v>4758000</v>
      </c>
      <c r="N37" s="737">
        <f>GM!P49</f>
        <v>5725000</v>
      </c>
      <c r="O37" s="737">
        <f>GM!Q49</f>
        <v>5785000</v>
      </c>
      <c r="P37" s="737">
        <f>GM!R49</f>
        <v>5908500</v>
      </c>
      <c r="Q37" s="648">
        <f>GM!S49</f>
        <v>5957600</v>
      </c>
    </row>
    <row r="38" spans="1:19" x14ac:dyDescent="0.2">
      <c r="A38" s="1214">
        <f>DEH!B38</f>
        <v>412300</v>
      </c>
      <c r="B38" s="737">
        <f>DEH!C38</f>
        <v>44000</v>
      </c>
      <c r="C38" s="737">
        <f>DEH!D38</f>
        <v>78000</v>
      </c>
      <c r="D38" s="646">
        <f>DEH!E38</f>
        <v>542500</v>
      </c>
      <c r="E38" s="10" t="str">
        <f>E6</f>
        <v>Development &amp; Envi Health Group</v>
      </c>
      <c r="F38" s="160"/>
      <c r="G38" s="737">
        <f>DEH!H38</f>
        <v>500</v>
      </c>
      <c r="H38" s="738">
        <f>DEH!J38</f>
        <v>0</v>
      </c>
      <c r="I38" s="738">
        <f>DEH!K38</f>
        <v>0</v>
      </c>
      <c r="J38" s="738">
        <f>DEH!L38</f>
        <v>0</v>
      </c>
      <c r="K38" s="738">
        <f>DEH!M38</f>
        <v>0</v>
      </c>
      <c r="L38" s="738">
        <f>DEH!N38</f>
        <v>0</v>
      </c>
      <c r="M38" s="737">
        <f>DEH!O38</f>
        <v>0</v>
      </c>
      <c r="N38" s="737">
        <f>DEH!P38</f>
        <v>0</v>
      </c>
      <c r="O38" s="737">
        <f>DEH!Q38</f>
        <v>0</v>
      </c>
      <c r="P38" s="737">
        <f>DEH!R38</f>
        <v>0</v>
      </c>
      <c r="Q38" s="648">
        <f>DEH!S38</f>
        <v>0</v>
      </c>
    </row>
    <row r="39" spans="1:19" x14ac:dyDescent="0.2">
      <c r="A39" s="1214">
        <f>CIV!B62</f>
        <v>10223300</v>
      </c>
      <c r="B39" s="737">
        <f>CIV!C62</f>
        <v>15060600</v>
      </c>
      <c r="C39" s="737">
        <f>CIV!D62</f>
        <v>12835300</v>
      </c>
      <c r="D39" s="646">
        <f>CIV!E62</f>
        <v>9955400</v>
      </c>
      <c r="E39" s="10" t="str">
        <f>E7</f>
        <v>Civil Services</v>
      </c>
      <c r="F39" s="160"/>
      <c r="G39" s="737">
        <f>CIV!H62</f>
        <v>9885100</v>
      </c>
      <c r="H39" s="738">
        <f>CIV!J62</f>
        <v>3238800</v>
      </c>
      <c r="I39" s="738">
        <f>CIV!K62</f>
        <v>3333400</v>
      </c>
      <c r="J39" s="738">
        <f>CIV!L62</f>
        <v>3375800</v>
      </c>
      <c r="K39" s="738">
        <f>CIV!M62</f>
        <v>3400700</v>
      </c>
      <c r="L39" s="738">
        <f>CIV!N62</f>
        <v>3467100</v>
      </c>
      <c r="M39" s="737">
        <f>CIV!O62</f>
        <v>3544400</v>
      </c>
      <c r="N39" s="737">
        <f>CIV!P62</f>
        <v>3582700</v>
      </c>
      <c r="O39" s="737">
        <f>CIV!Q62</f>
        <v>3661800</v>
      </c>
      <c r="P39" s="737">
        <f>CIV!R62</f>
        <v>3698800</v>
      </c>
      <c r="Q39" s="648">
        <f>CIV!S62</f>
        <v>3753300</v>
      </c>
    </row>
    <row r="40" spans="1:19" x14ac:dyDescent="0.2">
      <c r="A40" s="1214">
        <f>SP!B41</f>
        <v>3194600</v>
      </c>
      <c r="B40" s="737">
        <f>SP!C41</f>
        <v>4109500</v>
      </c>
      <c r="C40" s="737">
        <f>SP!D41</f>
        <v>3327000</v>
      </c>
      <c r="D40" s="646">
        <f>SP!E41</f>
        <v>9902600</v>
      </c>
      <c r="E40" s="10" t="str">
        <f>E8</f>
        <v>Strategic &amp; Comm Facs Group</v>
      </c>
      <c r="F40" s="160"/>
      <c r="G40" s="737">
        <f>SP!H41</f>
        <v>6246000</v>
      </c>
      <c r="H40" s="738">
        <f>SP!J41</f>
        <v>12404500</v>
      </c>
      <c r="I40" s="738">
        <f>SP!K41</f>
        <v>7731700</v>
      </c>
      <c r="J40" s="738">
        <f>SP!L41</f>
        <v>13682900</v>
      </c>
      <c r="K40" s="738">
        <f>SP!M41</f>
        <v>14018100</v>
      </c>
      <c r="L40" s="738">
        <f>SP!N41</f>
        <v>6388300</v>
      </c>
      <c r="M40" s="737">
        <f>SP!O41</f>
        <v>6634000</v>
      </c>
      <c r="N40" s="737">
        <f>SP!P41</f>
        <v>6923700</v>
      </c>
      <c r="O40" s="737">
        <f>SP!Q41</f>
        <v>7224500</v>
      </c>
      <c r="P40" s="737">
        <f>SP!R41</f>
        <v>7535800</v>
      </c>
      <c r="Q40" s="648">
        <f>SP!S41</f>
        <v>7858600</v>
      </c>
    </row>
    <row r="41" spans="1:19" x14ac:dyDescent="0.2">
      <c r="A41" s="1214">
        <f>-SUM(A37:A40)</f>
        <v>-19520300</v>
      </c>
      <c r="B41" s="737">
        <f>-SUM(B37:B40)</f>
        <v>-26979100</v>
      </c>
      <c r="C41" s="737">
        <f>-'Res-Gen'!B261-1005800</f>
        <v>-21802300</v>
      </c>
      <c r="D41" s="646">
        <f>-SUM(D37:D40)</f>
        <v>-27461800</v>
      </c>
      <c r="E41" s="10" t="s">
        <v>1730</v>
      </c>
      <c r="F41" s="160"/>
      <c r="G41" s="737">
        <f>-'Res-Gen'!H261</f>
        <v>-30316200</v>
      </c>
      <c r="H41" s="738">
        <f>-'Res-Gen'!K261</f>
        <v>-25686800</v>
      </c>
      <c r="I41" s="738">
        <f>-'Res-Gen'!N261</f>
        <v>-18154900</v>
      </c>
      <c r="J41" s="738">
        <f>-'Res-Gen'!Q261</f>
        <v>-23448800</v>
      </c>
      <c r="K41" s="738">
        <f>-'Res-Gen'!T261</f>
        <v>-22483600</v>
      </c>
      <c r="L41" s="738">
        <f>-'Res-Gen'!W261</f>
        <v>-14377200</v>
      </c>
      <c r="M41" s="737">
        <f>-'Res-Gen'!Z261</f>
        <v>-14936400</v>
      </c>
      <c r="N41" s="737">
        <f>-'Res-Gen'!AC261</f>
        <v>-16231400</v>
      </c>
      <c r="O41" s="737">
        <f>-'Res-Gen'!AF261</f>
        <v>-16671300</v>
      </c>
      <c r="P41" s="737">
        <f>-'Res-Gen'!AI261</f>
        <v>-17143100</v>
      </c>
      <c r="Q41" s="1219">
        <f>-'Res-Gen'!AL261</f>
        <v>-17569500</v>
      </c>
    </row>
    <row r="42" spans="1:19" s="11" customFormat="1" x14ac:dyDescent="0.2">
      <c r="A42" s="1217">
        <f>(SUM(A37:A41))</f>
        <v>0</v>
      </c>
      <c r="B42" s="735">
        <f>SUM(B37:B41)</f>
        <v>0</v>
      </c>
      <c r="C42" s="735">
        <f>SUM(C37:C41)</f>
        <v>0</v>
      </c>
      <c r="D42" s="735">
        <f>SUM(D37:D41)</f>
        <v>0</v>
      </c>
      <c r="E42" s="18" t="s">
        <v>1731</v>
      </c>
      <c r="F42" s="33"/>
      <c r="G42" s="735">
        <f t="shared" ref="G42:M42" si="14">SUM(G37:G41)</f>
        <v>-100</v>
      </c>
      <c r="H42" s="736">
        <f t="shared" si="14"/>
        <v>0</v>
      </c>
      <c r="I42" s="736">
        <f t="shared" si="14"/>
        <v>0</v>
      </c>
      <c r="J42" s="736">
        <f t="shared" si="14"/>
        <v>0</v>
      </c>
      <c r="K42" s="736">
        <f t="shared" si="14"/>
        <v>0</v>
      </c>
      <c r="L42" s="736">
        <f t="shared" si="14"/>
        <v>0</v>
      </c>
      <c r="M42" s="735">
        <f t="shared" si="14"/>
        <v>0</v>
      </c>
      <c r="N42" s="735">
        <f t="shared" ref="N42:O42" si="15">SUM(N37:N41)</f>
        <v>0</v>
      </c>
      <c r="O42" s="735">
        <f t="shared" si="15"/>
        <v>0</v>
      </c>
      <c r="P42" s="735">
        <f t="shared" ref="P42:Q42" si="16">SUM(P37:P41)</f>
        <v>0</v>
      </c>
      <c r="Q42" s="1218">
        <f t="shared" si="16"/>
        <v>0</v>
      </c>
      <c r="S42" s="20"/>
    </row>
    <row r="43" spans="1:19" x14ac:dyDescent="0.2">
      <c r="A43" s="1214"/>
      <c r="B43" s="737"/>
      <c r="C43" s="737"/>
      <c r="D43" s="737"/>
      <c r="E43" s="10"/>
      <c r="F43" s="33"/>
      <c r="G43" s="737"/>
      <c r="H43" s="738"/>
      <c r="I43" s="738"/>
      <c r="J43" s="738"/>
      <c r="K43" s="738"/>
      <c r="L43" s="738"/>
      <c r="M43" s="737"/>
      <c r="N43" s="737"/>
      <c r="O43" s="737"/>
      <c r="P43" s="737"/>
      <c r="Q43" s="1219"/>
    </row>
    <row r="44" spans="1:19" x14ac:dyDescent="0.2">
      <c r="A44" s="1214"/>
      <c r="B44" s="737"/>
      <c r="C44" s="737"/>
      <c r="D44" s="737"/>
      <c r="E44" s="418" t="s">
        <v>754</v>
      </c>
      <c r="F44" s="33"/>
      <c r="G44" s="737"/>
      <c r="H44" s="738"/>
      <c r="I44" s="738"/>
      <c r="J44" s="738"/>
      <c r="K44" s="738"/>
      <c r="L44" s="738"/>
      <c r="M44" s="737"/>
      <c r="N44" s="737"/>
      <c r="O44" s="737"/>
      <c r="P44" s="737"/>
      <c r="Q44" s="1219"/>
    </row>
    <row r="45" spans="1:19" x14ac:dyDescent="0.2">
      <c r="A45" s="1214">
        <f>GM!B50</f>
        <v>11563800</v>
      </c>
      <c r="B45" s="737">
        <f>GM!C50</f>
        <v>7330100</v>
      </c>
      <c r="C45" s="737">
        <f>GM!D50</f>
        <v>3383700</v>
      </c>
      <c r="D45" s="646">
        <f>GM!E50</f>
        <v>4300500</v>
      </c>
      <c r="E45" s="10" t="str">
        <f>E37</f>
        <v>General Manager's Group</v>
      </c>
      <c r="F45" s="33"/>
      <c r="G45" s="737">
        <f>GM!H50</f>
        <v>6874800</v>
      </c>
      <c r="H45" s="738">
        <f>GM!J50</f>
        <v>8807000</v>
      </c>
      <c r="I45" s="738">
        <f>GM!K50</f>
        <v>7984800</v>
      </c>
      <c r="J45" s="738">
        <f>GM!L50</f>
        <v>3833500</v>
      </c>
      <c r="K45" s="738">
        <f>GM!M50</f>
        <v>2642700</v>
      </c>
      <c r="L45" s="738">
        <f>GM!N50</f>
        <v>2365200</v>
      </c>
      <c r="M45" s="737">
        <f>GM!O50</f>
        <v>4985500</v>
      </c>
      <c r="N45" s="737">
        <f>GM!P50</f>
        <v>4495700</v>
      </c>
      <c r="O45" s="737">
        <f>GM!Q50</f>
        <v>3726200</v>
      </c>
      <c r="P45" s="737">
        <f>GM!R50</f>
        <v>3747200</v>
      </c>
      <c r="Q45" s="1219">
        <f>GM!S50</f>
        <v>4068900</v>
      </c>
    </row>
    <row r="46" spans="1:19" x14ac:dyDescent="0.2">
      <c r="A46" s="1214">
        <f>DEH!B39</f>
        <v>885700</v>
      </c>
      <c r="B46" s="737">
        <f>DEH!C39</f>
        <v>39300</v>
      </c>
      <c r="C46" s="737">
        <f>DEH!D39</f>
        <v>54000</v>
      </c>
      <c r="D46" s="646">
        <f>DEH!E39</f>
        <v>184700</v>
      </c>
      <c r="E46" s="10" t="str">
        <f>E38</f>
        <v>Development &amp; Envi Health Group</v>
      </c>
      <c r="F46" s="160"/>
      <c r="G46" s="737">
        <f>DEH!H39</f>
        <v>754200</v>
      </c>
      <c r="H46" s="738">
        <f>DEH!J39</f>
        <v>0</v>
      </c>
      <c r="I46" s="738">
        <f>DEH!K39</f>
        <v>0</v>
      </c>
      <c r="J46" s="738">
        <f>DEH!L39</f>
        <v>0</v>
      </c>
      <c r="K46" s="738">
        <f>DEH!M39</f>
        <v>0</v>
      </c>
      <c r="L46" s="738">
        <f>DEH!N39</f>
        <v>0</v>
      </c>
      <c r="M46" s="737">
        <f>DEH!O39</f>
        <v>0</v>
      </c>
      <c r="N46" s="737">
        <f>DEH!P39</f>
        <v>0</v>
      </c>
      <c r="O46" s="737">
        <f>DEH!Q39</f>
        <v>0</v>
      </c>
      <c r="P46" s="737">
        <f>DEH!R39</f>
        <v>0</v>
      </c>
      <c r="Q46" s="1219">
        <f>DEH!S39</f>
        <v>0</v>
      </c>
    </row>
    <row r="47" spans="1:19" x14ac:dyDescent="0.2">
      <c r="A47" s="1214">
        <f>CIV!B63</f>
        <v>17009200</v>
      </c>
      <c r="B47" s="737">
        <f>CIV!C63</f>
        <v>16815200</v>
      </c>
      <c r="C47" s="737">
        <f>CIV!D63</f>
        <v>18672700</v>
      </c>
      <c r="D47" s="646">
        <f>CIV!E63</f>
        <v>12386700</v>
      </c>
      <c r="E47" s="10" t="str">
        <f>E39</f>
        <v>Civil Services</v>
      </c>
      <c r="F47" s="160"/>
      <c r="G47" s="737">
        <f>CIV!H63</f>
        <v>17223200</v>
      </c>
      <c r="H47" s="738">
        <f>CIV!J63</f>
        <v>10199500</v>
      </c>
      <c r="I47" s="738">
        <f>CIV!K63</f>
        <v>19907200</v>
      </c>
      <c r="J47" s="738">
        <f>CIV!L63</f>
        <v>21072500</v>
      </c>
      <c r="K47" s="738">
        <f>CIV!M63</f>
        <v>18919900</v>
      </c>
      <c r="L47" s="738">
        <f>CIV!N63</f>
        <v>5143200</v>
      </c>
      <c r="M47" s="737">
        <f>CIV!O63</f>
        <v>6407500</v>
      </c>
      <c r="N47" s="737">
        <f>CIV!P63</f>
        <v>7870600</v>
      </c>
      <c r="O47" s="737">
        <f>CIV!Q63</f>
        <v>4912400</v>
      </c>
      <c r="P47" s="737">
        <f>CIV!R63</f>
        <v>8025100</v>
      </c>
      <c r="Q47" s="1219">
        <f>CIV!S63</f>
        <v>5944100</v>
      </c>
    </row>
    <row r="48" spans="1:19" x14ac:dyDescent="0.2">
      <c r="A48" s="1214">
        <f>SP!B42</f>
        <v>901600</v>
      </c>
      <c r="B48" s="737">
        <f>SP!C42</f>
        <v>888600</v>
      </c>
      <c r="C48" s="737">
        <f>SP!D42</f>
        <v>848000</v>
      </c>
      <c r="D48" s="646">
        <f>SP!E42</f>
        <v>2764000</v>
      </c>
      <c r="E48" s="10" t="str">
        <f>E40</f>
        <v>Strategic &amp; Comm Facs Group</v>
      </c>
      <c r="F48" s="160"/>
      <c r="G48" s="737">
        <f>SP!H42</f>
        <v>8317300</v>
      </c>
      <c r="H48" s="738">
        <f>SP!J42</f>
        <v>12342000</v>
      </c>
      <c r="I48" s="738">
        <f>SP!K42</f>
        <v>10000</v>
      </c>
      <c r="J48" s="738">
        <f>SP!L42</f>
        <v>10000</v>
      </c>
      <c r="K48" s="738">
        <f>SP!M42</f>
        <v>10000</v>
      </c>
      <c r="L48" s="738">
        <f>SP!N42</f>
        <v>10000</v>
      </c>
      <c r="M48" s="737">
        <f>SP!O42</f>
        <v>10000</v>
      </c>
      <c r="N48" s="737">
        <f>SP!P42</f>
        <v>10000</v>
      </c>
      <c r="O48" s="737">
        <f>SP!Q42</f>
        <v>10000</v>
      </c>
      <c r="P48" s="737">
        <f>SP!R42</f>
        <v>10300</v>
      </c>
      <c r="Q48" s="648">
        <f>SP!S42</f>
        <v>10600</v>
      </c>
    </row>
    <row r="49" spans="1:19" x14ac:dyDescent="0.2">
      <c r="A49" s="1214">
        <f>-SUM(A45:A48)</f>
        <v>-30360300</v>
      </c>
      <c r="B49" s="737">
        <f>-SUM(B45:B48)</f>
        <v>-25073200</v>
      </c>
      <c r="C49" s="737">
        <f>-'Res-Gen'!C261-1005800-47000+200</f>
        <v>-22958400</v>
      </c>
      <c r="D49" s="646">
        <f>-SUM(D45:D48)</f>
        <v>-19635900</v>
      </c>
      <c r="E49" s="10" t="s">
        <v>1730</v>
      </c>
      <c r="F49" s="160"/>
      <c r="G49" s="737">
        <f>-'Res-Gen'!I261</f>
        <v>-33169500</v>
      </c>
      <c r="H49" s="738">
        <f>-'Res-Gen'!L261</f>
        <v>-31348500</v>
      </c>
      <c r="I49" s="738">
        <f>-'Res-Gen'!O261</f>
        <v>-27902000</v>
      </c>
      <c r="J49" s="738">
        <f>-'Res-Gen'!R261</f>
        <v>-24916000</v>
      </c>
      <c r="K49" s="738">
        <f>-'Res-Gen'!U261</f>
        <v>-21572600</v>
      </c>
      <c r="L49" s="738">
        <f>-'Res-Gen'!X261</f>
        <v>-7518400</v>
      </c>
      <c r="M49" s="737">
        <f>-'Res-Gen'!AA261</f>
        <v>-11403000</v>
      </c>
      <c r="N49" s="737">
        <f>-'Res-Gen'!AD261</f>
        <v>-12376300</v>
      </c>
      <c r="O49" s="737">
        <f>-'Res-Gen'!AG261</f>
        <v>-8648600</v>
      </c>
      <c r="P49" s="737">
        <f>-'Res-Gen'!AJ261</f>
        <v>-11782600</v>
      </c>
      <c r="Q49" s="1219">
        <f>-'Res-Gen'!AM261</f>
        <v>-10023600</v>
      </c>
    </row>
    <row r="50" spans="1:19" s="11" customFormat="1" x14ac:dyDescent="0.2">
      <c r="A50" s="1217">
        <f>SUM(A45:A49)</f>
        <v>0</v>
      </c>
      <c r="B50" s="735">
        <f>(SUM(B45:B49))</f>
        <v>0</v>
      </c>
      <c r="C50" s="735">
        <f>SUM(C45:C49)</f>
        <v>0</v>
      </c>
      <c r="D50" s="735">
        <f>SUM(D45:D49)</f>
        <v>0</v>
      </c>
      <c r="E50" s="18" t="s">
        <v>1731</v>
      </c>
      <c r="F50" s="33"/>
      <c r="G50" s="735">
        <f t="shared" ref="G50:M50" si="17">SUM(G45:G49)</f>
        <v>0</v>
      </c>
      <c r="H50" s="736">
        <f t="shared" si="17"/>
        <v>0</v>
      </c>
      <c r="I50" s="736">
        <f t="shared" si="17"/>
        <v>0</v>
      </c>
      <c r="J50" s="736">
        <f t="shared" si="17"/>
        <v>0</v>
      </c>
      <c r="K50" s="736">
        <f t="shared" si="17"/>
        <v>0</v>
      </c>
      <c r="L50" s="736">
        <f t="shared" si="17"/>
        <v>0</v>
      </c>
      <c r="M50" s="735">
        <f t="shared" si="17"/>
        <v>0</v>
      </c>
      <c r="N50" s="735">
        <f t="shared" ref="N50:O50" si="18">SUM(N45:N49)</f>
        <v>0</v>
      </c>
      <c r="O50" s="735">
        <f t="shared" si="18"/>
        <v>0</v>
      </c>
      <c r="P50" s="735">
        <f t="shared" ref="P50:Q50" si="19">SUM(P45:P49)</f>
        <v>0</v>
      </c>
      <c r="Q50" s="1218">
        <f t="shared" si="19"/>
        <v>0</v>
      </c>
      <c r="S50" s="20"/>
    </row>
    <row r="51" spans="1:19" x14ac:dyDescent="0.2">
      <c r="A51" s="1214"/>
      <c r="B51" s="737"/>
      <c r="C51" s="737"/>
      <c r="D51" s="737"/>
      <c r="E51" s="10"/>
      <c r="F51" s="161"/>
      <c r="G51" s="737"/>
      <c r="H51" s="738"/>
      <c r="I51" s="738"/>
      <c r="J51" s="738"/>
      <c r="K51" s="738"/>
      <c r="L51" s="738"/>
      <c r="M51" s="737"/>
      <c r="N51" s="737"/>
      <c r="O51" s="737"/>
      <c r="P51" s="737"/>
      <c r="Q51" s="1219"/>
    </row>
    <row r="52" spans="1:19" x14ac:dyDescent="0.2">
      <c r="A52" s="1214"/>
      <c r="B52" s="737"/>
      <c r="C52" s="737"/>
      <c r="D52" s="737"/>
      <c r="E52" s="418" t="s">
        <v>1850</v>
      </c>
      <c r="F52" s="161"/>
      <c r="G52" s="737"/>
      <c r="H52" s="738"/>
      <c r="I52" s="738"/>
      <c r="J52" s="738"/>
      <c r="K52" s="738"/>
      <c r="L52" s="738"/>
      <c r="M52" s="737"/>
      <c r="N52" s="737"/>
      <c r="O52" s="737"/>
      <c r="P52" s="737"/>
      <c r="Q52" s="1219"/>
    </row>
    <row r="53" spans="1:19" x14ac:dyDescent="0.2">
      <c r="A53" s="1214">
        <f>-SUM(A37:A40)</f>
        <v>-19520300</v>
      </c>
      <c r="B53" s="738">
        <f>-SUM(B37:B40)</f>
        <v>-26979100</v>
      </c>
      <c r="C53" s="738">
        <f>-SUM(C37:C40)</f>
        <v>-21802300</v>
      </c>
      <c r="D53" s="738">
        <f>-SUM(D37:D40)</f>
        <v>-27461800</v>
      </c>
      <c r="E53" s="10" t="s">
        <v>1507</v>
      </c>
      <c r="F53" s="161"/>
      <c r="G53" s="737">
        <f>-SUM(G37:G40)</f>
        <v>-30316100</v>
      </c>
      <c r="H53" s="738">
        <f t="shared" ref="H53:M53" si="20">-SUM(H37:H40)</f>
        <v>-25686800</v>
      </c>
      <c r="I53" s="738">
        <f t="shared" si="20"/>
        <v>-18154900</v>
      </c>
      <c r="J53" s="738">
        <f t="shared" si="20"/>
        <v>-23448800</v>
      </c>
      <c r="K53" s="738">
        <f t="shared" si="20"/>
        <v>-22483600</v>
      </c>
      <c r="L53" s="738">
        <f t="shared" si="20"/>
        <v>-14377200</v>
      </c>
      <c r="M53" s="737">
        <f t="shared" si="20"/>
        <v>-14936400</v>
      </c>
      <c r="N53" s="737">
        <f t="shared" ref="N53:O53" si="21">-SUM(N37:N40)</f>
        <v>-16231400</v>
      </c>
      <c r="O53" s="737">
        <f t="shared" si="21"/>
        <v>-16671300</v>
      </c>
      <c r="P53" s="737">
        <f t="shared" ref="P53:Q53" si="22">-SUM(P37:P40)</f>
        <v>-17143100</v>
      </c>
      <c r="Q53" s="1219">
        <f t="shared" si="22"/>
        <v>-17569500</v>
      </c>
    </row>
    <row r="54" spans="1:19" x14ac:dyDescent="0.2">
      <c r="A54" s="1214">
        <f>SUM(A45:A48)</f>
        <v>30360300</v>
      </c>
      <c r="B54" s="738">
        <f>SUM(B45:B48)</f>
        <v>25073200</v>
      </c>
      <c r="C54" s="738">
        <f>SUM(C45:C48)</f>
        <v>22958400</v>
      </c>
      <c r="D54" s="738">
        <f>SUM(D45:D48)</f>
        <v>19635900</v>
      </c>
      <c r="E54" s="10" t="s">
        <v>1508</v>
      </c>
      <c r="F54" s="161"/>
      <c r="G54" s="737">
        <f>SUM(G45:G48)</f>
        <v>33169500</v>
      </c>
      <c r="H54" s="738">
        <f t="shared" ref="H54:M54" si="23">SUM(H45:H48)</f>
        <v>31348500</v>
      </c>
      <c r="I54" s="738">
        <f t="shared" si="23"/>
        <v>27902000</v>
      </c>
      <c r="J54" s="738">
        <f t="shared" si="23"/>
        <v>24916000</v>
      </c>
      <c r="K54" s="738">
        <f t="shared" si="23"/>
        <v>21572600</v>
      </c>
      <c r="L54" s="738">
        <f t="shared" si="23"/>
        <v>7518400</v>
      </c>
      <c r="M54" s="737">
        <f t="shared" si="23"/>
        <v>11403000</v>
      </c>
      <c r="N54" s="737">
        <f t="shared" ref="N54:O54" si="24">SUM(N45:N48)</f>
        <v>12376300</v>
      </c>
      <c r="O54" s="737">
        <f t="shared" si="24"/>
        <v>8648600</v>
      </c>
      <c r="P54" s="737">
        <f t="shared" ref="P54:Q54" si="25">SUM(P45:P48)</f>
        <v>11782600</v>
      </c>
      <c r="Q54" s="1219">
        <f t="shared" si="25"/>
        <v>10023600</v>
      </c>
    </row>
    <row r="55" spans="1:19" x14ac:dyDescent="0.2">
      <c r="A55" s="1214">
        <f>'Cash-Gen'!A86+'Cash-Gen'!A87</f>
        <v>-10840000</v>
      </c>
      <c r="B55" s="738">
        <f>'Cash-Gen'!B86+'Cash-Gen'!B87+900</f>
        <v>1905900</v>
      </c>
      <c r="C55" s="738">
        <f>'Cash-Gen'!C86+'Cash-Gen'!C87-47000+200</f>
        <v>-1156100</v>
      </c>
      <c r="D55" s="738">
        <f>'Cash-Gen'!D86+'Cash-Gen'!D87-93700</f>
        <v>7825900</v>
      </c>
      <c r="E55" s="10" t="s">
        <v>193</v>
      </c>
      <c r="F55" s="161"/>
      <c r="G55" s="737">
        <f>'Cash-Gen'!F86+'Cash-Gen'!F87</f>
        <v>-2853300</v>
      </c>
      <c r="H55" s="738">
        <f>'Cash-Gen'!G86+'Cash-Gen'!G87</f>
        <v>-5661700</v>
      </c>
      <c r="I55" s="738">
        <f>'Cash-Gen'!H86+'Cash-Gen'!H87</f>
        <v>-9747100</v>
      </c>
      <c r="J55" s="738">
        <f>'Cash-Gen'!I86+'Cash-Gen'!I87</f>
        <v>-1467200</v>
      </c>
      <c r="K55" s="738">
        <f>'Cash-Gen'!J86+'Cash-Gen'!J87</f>
        <v>911000</v>
      </c>
      <c r="L55" s="738">
        <f>'Cash-Gen'!K86+'Cash-Gen'!K87</f>
        <v>6858800</v>
      </c>
      <c r="M55" s="737">
        <f>'Cash-Gen'!L86+'Cash-Gen'!L87</f>
        <v>3533400</v>
      </c>
      <c r="N55" s="737">
        <f>'Cash-Gen'!M86+'Cash-Gen'!M87</f>
        <v>3855100</v>
      </c>
      <c r="O55" s="737">
        <f>'Cash-Gen'!N86+'Cash-Gen'!N87</f>
        <v>8022700</v>
      </c>
      <c r="P55" s="737">
        <f>'Cash-Gen'!O86+'Cash-Gen'!O87</f>
        <v>5360500</v>
      </c>
      <c r="Q55" s="1219">
        <f>'Cash-Gen'!P86+'Cash-Gen'!P87</f>
        <v>7545900</v>
      </c>
    </row>
    <row r="56" spans="1:19" x14ac:dyDescent="0.2">
      <c r="A56" s="1217">
        <f>SUM(A53:A55)</f>
        <v>0</v>
      </c>
      <c r="B56" s="735">
        <f>SUM(B53:B55)</f>
        <v>0</v>
      </c>
      <c r="C56" s="735">
        <f>SUM(C53:C55)</f>
        <v>0</v>
      </c>
      <c r="D56" s="735">
        <f>SUM(D53:D55)</f>
        <v>0</v>
      </c>
      <c r="E56" s="10"/>
      <c r="F56" s="160"/>
      <c r="G56" s="735">
        <f t="shared" ref="G56:M56" si="26">SUM(G53:G55)</f>
        <v>100</v>
      </c>
      <c r="H56" s="736">
        <f t="shared" si="26"/>
        <v>0</v>
      </c>
      <c r="I56" s="736">
        <f t="shared" si="26"/>
        <v>0</v>
      </c>
      <c r="J56" s="736">
        <f t="shared" si="26"/>
        <v>0</v>
      </c>
      <c r="K56" s="736">
        <f t="shared" si="26"/>
        <v>0</v>
      </c>
      <c r="L56" s="736">
        <f t="shared" si="26"/>
        <v>0</v>
      </c>
      <c r="M56" s="735">
        <f t="shared" si="26"/>
        <v>0</v>
      </c>
      <c r="N56" s="735">
        <f t="shared" ref="N56:O56" si="27">SUM(N53:N55)</f>
        <v>0</v>
      </c>
      <c r="O56" s="735">
        <f t="shared" si="27"/>
        <v>0</v>
      </c>
      <c r="P56" s="735">
        <f t="shared" ref="P56:Q56" si="28">SUM(P53:P55)</f>
        <v>0</v>
      </c>
      <c r="Q56" s="1218">
        <f t="shared" si="28"/>
        <v>0</v>
      </c>
    </row>
    <row r="57" spans="1:19" x14ac:dyDescent="0.2">
      <c r="A57" s="1214"/>
      <c r="B57" s="737"/>
      <c r="C57" s="737"/>
      <c r="D57" s="737"/>
      <c r="E57" s="18"/>
      <c r="F57" s="160"/>
      <c r="G57" s="737"/>
      <c r="H57" s="738"/>
      <c r="I57" s="738"/>
      <c r="J57" s="738"/>
      <c r="K57" s="738"/>
      <c r="L57" s="738"/>
      <c r="M57" s="737"/>
      <c r="N57" s="737"/>
      <c r="O57" s="737"/>
      <c r="P57" s="737"/>
      <c r="Q57" s="1219"/>
    </row>
    <row r="58" spans="1:19" x14ac:dyDescent="0.2">
      <c r="A58" s="1214"/>
      <c r="B58" s="737"/>
      <c r="C58" s="737"/>
      <c r="D58" s="737"/>
      <c r="E58" s="18" t="s">
        <v>968</v>
      </c>
      <c r="F58" s="160"/>
      <c r="G58" s="737"/>
      <c r="H58" s="738"/>
      <c r="I58" s="738"/>
      <c r="J58" s="738"/>
      <c r="K58" s="738"/>
      <c r="L58" s="738"/>
      <c r="M58" s="737"/>
      <c r="N58" s="737"/>
      <c r="O58" s="737"/>
      <c r="P58" s="737"/>
      <c r="Q58" s="1219"/>
    </row>
    <row r="59" spans="1:19" x14ac:dyDescent="0.2">
      <c r="A59" s="1214">
        <f>GM!B51</f>
        <v>-342600</v>
      </c>
      <c r="B59" s="737">
        <f>GM!C51</f>
        <v>3566900</v>
      </c>
      <c r="C59" s="737">
        <f>GM!D51</f>
        <v>7113800</v>
      </c>
      <c r="D59" s="737">
        <f>GM!E51</f>
        <v>1310700</v>
      </c>
      <c r="E59" s="10" t="str">
        <f>E45</f>
        <v>General Manager's Group</v>
      </c>
      <c r="F59" s="160"/>
      <c r="G59" s="737">
        <f>GM!H51</f>
        <v>15205000</v>
      </c>
      <c r="H59" s="738">
        <f>GM!J51</f>
        <v>7855000</v>
      </c>
      <c r="I59" s="738">
        <f>GM!K51</f>
        <v>4855000</v>
      </c>
      <c r="J59" s="738">
        <f>GM!L51</f>
        <v>3140000</v>
      </c>
      <c r="K59" s="738">
        <f>GM!M51</f>
        <v>1600000</v>
      </c>
      <c r="L59" s="738">
        <f>GM!N51</f>
        <v>1160000</v>
      </c>
      <c r="M59" s="737">
        <f>GM!O51</f>
        <v>1160000</v>
      </c>
      <c r="N59" s="737">
        <f>GM!P51</f>
        <v>1160000</v>
      </c>
      <c r="O59" s="737">
        <f>GM!Q51</f>
        <v>1160000</v>
      </c>
      <c r="P59" s="737">
        <f>GM!R51</f>
        <v>1160000</v>
      </c>
      <c r="Q59" s="1219">
        <f>GM!S51</f>
        <v>1160000</v>
      </c>
    </row>
    <row r="60" spans="1:19" x14ac:dyDescent="0.2">
      <c r="A60" s="1214">
        <f>DEH!B40</f>
        <v>340000</v>
      </c>
      <c r="B60" s="737">
        <f>DEH!C40</f>
        <v>0</v>
      </c>
      <c r="C60" s="737">
        <f>DEH!D40</f>
        <v>0</v>
      </c>
      <c r="D60" s="737">
        <f>DEH!E40</f>
        <v>95000</v>
      </c>
      <c r="E60" s="10" t="str">
        <f>E46</f>
        <v>Development &amp; Envi Health Group</v>
      </c>
      <c r="F60" s="160"/>
      <c r="G60" s="737">
        <f>DEH!H40</f>
        <v>181900</v>
      </c>
      <c r="H60" s="738">
        <f>DEH!J40</f>
        <v>0</v>
      </c>
      <c r="I60" s="738">
        <f>DEH!K40</f>
        <v>0</v>
      </c>
      <c r="J60" s="738">
        <f>DEH!L40</f>
        <v>0</v>
      </c>
      <c r="K60" s="738">
        <f>DEH!M40</f>
        <v>0</v>
      </c>
      <c r="L60" s="738">
        <f>DEH!N40</f>
        <v>0</v>
      </c>
      <c r="M60" s="737">
        <f>DEH!O40</f>
        <v>0</v>
      </c>
      <c r="N60" s="737">
        <f>DEH!P40</f>
        <v>0</v>
      </c>
      <c r="O60" s="737">
        <f>DEH!Q40</f>
        <v>0</v>
      </c>
      <c r="P60" s="737">
        <f>DEH!R40</f>
        <v>0</v>
      </c>
      <c r="Q60" s="1219">
        <f>DEH!S40</f>
        <v>0</v>
      </c>
    </row>
    <row r="61" spans="1:19" x14ac:dyDescent="0.2">
      <c r="A61" s="1214">
        <f>CIV!B64</f>
        <v>7871000</v>
      </c>
      <c r="B61" s="737">
        <f>CIV!C64</f>
        <v>4041900</v>
      </c>
      <c r="C61" s="737">
        <f>CIV!D64</f>
        <v>5946600</v>
      </c>
      <c r="D61" s="737">
        <f>CIV!E64</f>
        <v>7180400</v>
      </c>
      <c r="E61" s="10" t="str">
        <f>E47</f>
        <v>Civil Services</v>
      </c>
      <c r="F61" s="160"/>
      <c r="G61" s="737">
        <f>CIV!H64</f>
        <v>6243600</v>
      </c>
      <c r="H61" s="738">
        <f>CIV!J64</f>
        <v>6216900</v>
      </c>
      <c r="I61" s="738">
        <f>CIV!K64</f>
        <v>297100</v>
      </c>
      <c r="J61" s="738">
        <f>CIV!L64</f>
        <v>8643100</v>
      </c>
      <c r="K61" s="738">
        <f>CIV!M64</f>
        <v>309300</v>
      </c>
      <c r="L61" s="738">
        <f>CIV!N64</f>
        <v>315600</v>
      </c>
      <c r="M61" s="737">
        <f>CIV!O64</f>
        <v>322000</v>
      </c>
      <c r="N61" s="737">
        <f>CIV!P64</f>
        <v>328700</v>
      </c>
      <c r="O61" s="737">
        <f>CIV!Q64</f>
        <v>335400</v>
      </c>
      <c r="P61" s="737">
        <f>CIV!R64</f>
        <v>342200</v>
      </c>
      <c r="Q61" s="1219">
        <f>CIV!S64</f>
        <v>349300</v>
      </c>
    </row>
    <row r="62" spans="1:19" x14ac:dyDescent="0.2">
      <c r="A62" s="1214">
        <f>SP!B43</f>
        <v>2309000</v>
      </c>
      <c r="B62" s="737">
        <f>SP!C43</f>
        <v>3104000</v>
      </c>
      <c r="C62" s="737">
        <f>SP!D43</f>
        <v>2246100</v>
      </c>
      <c r="D62" s="737">
        <f>SP!E43</f>
        <v>5465200</v>
      </c>
      <c r="E62" s="10" t="str">
        <f>E48</f>
        <v>Strategic &amp; Comm Facs Group</v>
      </c>
      <c r="F62" s="160"/>
      <c r="G62" s="737">
        <f>SP!H43</f>
        <v>10496800</v>
      </c>
      <c r="H62" s="738">
        <f>SP!J43</f>
        <v>7192000</v>
      </c>
      <c r="I62" s="738">
        <f>SP!K43</f>
        <v>7372000</v>
      </c>
      <c r="J62" s="738">
        <f>SP!L43</f>
        <v>13556000</v>
      </c>
      <c r="K62" s="738">
        <f>SP!M43</f>
        <v>13894000</v>
      </c>
      <c r="L62" s="738">
        <f>SP!N43</f>
        <v>6241000</v>
      </c>
      <c r="M62" s="737">
        <f>SP!O43</f>
        <v>6397000</v>
      </c>
      <c r="N62" s="737">
        <f>SP!P43</f>
        <v>6556000</v>
      </c>
      <c r="O62" s="737">
        <f>SP!Q43</f>
        <v>6719000</v>
      </c>
      <c r="P62" s="737">
        <f>SP!R43</f>
        <v>6887000</v>
      </c>
      <c r="Q62" s="1219">
        <f>SP!S43</f>
        <v>7059000</v>
      </c>
    </row>
    <row r="63" spans="1:19" x14ac:dyDescent="0.2">
      <c r="A63" s="1214">
        <f>-('Cash-Gen'!A56+'Cash-Gen'!A57+'Cash-Gen'!A75)-'Cash-Gen'!A77-'Cash-Gen'!A76</f>
        <v>-10177400</v>
      </c>
      <c r="B63" s="737">
        <f>-('Cash-Gen'!B56+'Cash-Gen'!B57+'Cash-Gen'!B75)-'Cash-Gen'!B77-'Cash-Gen'!B76</f>
        <v>-10712800</v>
      </c>
      <c r="C63" s="737">
        <f>-('Cash-Gen'!C56+'Cash-Gen'!C57+'Cash-Gen'!C75)-'Cash-Gen'!C77-'Cash-Gen'!C76</f>
        <v>-15306500</v>
      </c>
      <c r="D63" s="737">
        <f>-('Cash-Gen'!D56+'Cash-Gen'!D57+'Cash-Gen'!D75)-'Cash-Gen'!D77-100</f>
        <v>-14051300</v>
      </c>
      <c r="E63" s="10" t="s">
        <v>1730</v>
      </c>
      <c r="F63" s="160"/>
      <c r="G63" s="737">
        <f>-('Cash-Gen'!F56+'Cash-Gen'!F57+'Cash-Gen'!F75)-'Cash-Gen'!F77-'Cash-Gen'!F76</f>
        <v>-32127300</v>
      </c>
      <c r="H63" s="738">
        <f>-('Cash-Gen'!G56+'Cash-Gen'!G57+'Cash-Gen'!G75)-'Cash-Gen'!G77-'Cash-Gen'!G76</f>
        <v>-21263900</v>
      </c>
      <c r="I63" s="738">
        <f>-('Cash-Gen'!H56+'Cash-Gen'!H57+'Cash-Gen'!H75)-'Cash-Gen'!H77-'Cash-Gen'!H76</f>
        <v>-12524100</v>
      </c>
      <c r="J63" s="738">
        <f>-('Cash-Gen'!I56+'Cash-Gen'!I57+'Cash-Gen'!I75)-'Cash-Gen'!I77-'Cash-Gen'!I76</f>
        <v>-25339100</v>
      </c>
      <c r="K63" s="738">
        <f>-('Cash-Gen'!J56+'Cash-Gen'!J57+'Cash-Gen'!J75)-'Cash-Gen'!J77-'Cash-Gen'!J76</f>
        <v>-15803300</v>
      </c>
      <c r="L63" s="738">
        <f>-('Cash-Gen'!K56+'Cash-Gen'!K57+'Cash-Gen'!K75)-'Cash-Gen'!K77-'Cash-Gen'!K76</f>
        <v>-7716600</v>
      </c>
      <c r="M63" s="737">
        <f>-('Cash-Gen'!L56+'Cash-Gen'!L57+'Cash-Gen'!L75)-'Cash-Gen'!L77-'Cash-Gen'!L76</f>
        <v>-7879000</v>
      </c>
      <c r="N63" s="737">
        <f>-('Cash-Gen'!M56+'Cash-Gen'!M57+'Cash-Gen'!M75)-'Cash-Gen'!M77-'Cash-Gen'!M76</f>
        <v>-8044700</v>
      </c>
      <c r="O63" s="737">
        <f>-('Cash-Gen'!N56+'Cash-Gen'!N57+'Cash-Gen'!N75)-'Cash-Gen'!N77-'Cash-Gen'!N76</f>
        <v>-8214400</v>
      </c>
      <c r="P63" s="737">
        <f>-('Cash-Gen'!O56+'Cash-Gen'!O57+'Cash-Gen'!O75)-'Cash-Gen'!O77-'Cash-Gen'!O76</f>
        <v>-8389200</v>
      </c>
      <c r="Q63" s="1219">
        <f>-('Cash-Gen'!P56+'Cash-Gen'!P57+'Cash-Gen'!P75)-'Cash-Gen'!P77-'Cash-Gen'!P76</f>
        <v>-8568300</v>
      </c>
    </row>
    <row r="64" spans="1:19" s="11" customFormat="1" x14ac:dyDescent="0.2">
      <c r="A64" s="1217">
        <f>ROUND(SUM(A59:A63),-3)</f>
        <v>0</v>
      </c>
      <c r="B64" s="735">
        <f>SUM(B59:B63)</f>
        <v>0</v>
      </c>
      <c r="C64" s="735">
        <f>SUM(C59:C63)</f>
        <v>0</v>
      </c>
      <c r="D64" s="735">
        <f>SUM(D59:D63)</f>
        <v>0</v>
      </c>
      <c r="E64" s="18" t="s">
        <v>1731</v>
      </c>
      <c r="F64" s="33"/>
      <c r="G64" s="735">
        <f t="shared" ref="G64:M64" si="29">SUM(G59:G63)</f>
        <v>0</v>
      </c>
      <c r="H64" s="736">
        <f t="shared" si="29"/>
        <v>0</v>
      </c>
      <c r="I64" s="736">
        <f t="shared" si="29"/>
        <v>0</v>
      </c>
      <c r="J64" s="736">
        <f t="shared" si="29"/>
        <v>0</v>
      </c>
      <c r="K64" s="736">
        <f t="shared" si="29"/>
        <v>0</v>
      </c>
      <c r="L64" s="736">
        <f t="shared" si="29"/>
        <v>0</v>
      </c>
      <c r="M64" s="735">
        <f t="shared" si="29"/>
        <v>0</v>
      </c>
      <c r="N64" s="735">
        <f t="shared" ref="N64:O64" si="30">SUM(N59:N63)</f>
        <v>0</v>
      </c>
      <c r="O64" s="735">
        <f t="shared" si="30"/>
        <v>0</v>
      </c>
      <c r="P64" s="735">
        <f t="shared" ref="P64" si="31">SUM(P59:P63)</f>
        <v>0</v>
      </c>
      <c r="Q64" s="1218">
        <f>SUM(Q59:Q63)</f>
        <v>0</v>
      </c>
      <c r="S64" s="20"/>
    </row>
    <row r="65" spans="1:19" x14ac:dyDescent="0.2">
      <c r="A65" s="1214"/>
      <c r="B65" s="737"/>
      <c r="C65" s="737"/>
      <c r="D65" s="737"/>
      <c r="E65" s="10"/>
      <c r="F65" s="160"/>
      <c r="G65" s="737"/>
      <c r="H65" s="738"/>
      <c r="I65" s="738"/>
      <c r="J65" s="738"/>
      <c r="K65" s="738"/>
      <c r="L65" s="738"/>
      <c r="M65" s="737"/>
      <c r="N65" s="737"/>
      <c r="O65" s="737"/>
      <c r="P65" s="737"/>
      <c r="Q65" s="1219"/>
    </row>
    <row r="66" spans="1:19" s="11" customFormat="1" x14ac:dyDescent="0.2">
      <c r="A66" s="155"/>
      <c r="B66" s="739"/>
      <c r="C66" s="739"/>
      <c r="D66" s="739"/>
      <c r="E66" s="18" t="s">
        <v>2138</v>
      </c>
      <c r="F66" s="33"/>
      <c r="G66" s="739"/>
      <c r="H66" s="740"/>
      <c r="I66" s="740"/>
      <c r="J66" s="740"/>
      <c r="K66" s="740"/>
      <c r="L66" s="740"/>
      <c r="M66" s="739"/>
      <c r="N66" s="739"/>
      <c r="O66" s="739"/>
      <c r="P66" s="739"/>
      <c r="Q66" s="1220"/>
      <c r="S66" s="20"/>
    </row>
    <row r="67" spans="1:19" x14ac:dyDescent="0.2">
      <c r="A67" s="1214">
        <f>GM!B52</f>
        <v>6222600</v>
      </c>
      <c r="B67" s="737">
        <f>GM!C52</f>
        <v>5331900</v>
      </c>
      <c r="C67" s="737">
        <f>GM!D52</f>
        <v>3750700</v>
      </c>
      <c r="D67" s="737">
        <f>GM!E52</f>
        <v>2171600</v>
      </c>
      <c r="E67" s="10" t="str">
        <f>E5</f>
        <v>General Manager's Group</v>
      </c>
      <c r="F67" s="160"/>
      <c r="G67" s="737">
        <f>GM!H52</f>
        <v>7672800</v>
      </c>
      <c r="H67" s="738">
        <f>GM!J52</f>
        <v>7463000</v>
      </c>
      <c r="I67" s="738">
        <f>GM!K52</f>
        <v>6624000</v>
      </c>
      <c r="J67" s="738">
        <f>GM!L52</f>
        <v>1195000</v>
      </c>
      <c r="K67" s="738">
        <f>GM!M52</f>
        <v>147000</v>
      </c>
      <c r="L67" s="738">
        <f>GM!N52</f>
        <v>552000</v>
      </c>
      <c r="M67" s="737">
        <f>GM!O52</f>
        <v>3657000</v>
      </c>
      <c r="N67" s="737">
        <f>GM!P52</f>
        <v>2162000</v>
      </c>
      <c r="O67" s="737">
        <f>GM!Q52</f>
        <v>1667000</v>
      </c>
      <c r="P67" s="737">
        <f>GM!R52</f>
        <v>1672000</v>
      </c>
      <c r="Q67" s="1219">
        <f>GM!S52</f>
        <v>1977000</v>
      </c>
    </row>
    <row r="68" spans="1:19" x14ac:dyDescent="0.2">
      <c r="A68" s="1214">
        <f>DEH!B41</f>
        <v>796900</v>
      </c>
      <c r="B68" s="737">
        <f>DEH!C41</f>
        <v>22400</v>
      </c>
      <c r="C68" s="737">
        <f>DEH!D41</f>
        <v>5100</v>
      </c>
      <c r="D68" s="737">
        <f>DEH!E41</f>
        <v>0</v>
      </c>
      <c r="E68" s="10" t="str">
        <f>E6</f>
        <v>Development &amp; Envi Health Group</v>
      </c>
      <c r="F68" s="160"/>
      <c r="G68" s="737">
        <f>DEH!H41</f>
        <v>816000</v>
      </c>
      <c r="H68" s="738">
        <f>DEH!J41</f>
        <v>0</v>
      </c>
      <c r="I68" s="738">
        <f>DEH!K41</f>
        <v>0</v>
      </c>
      <c r="J68" s="738">
        <f>DEH!L41</f>
        <v>0</v>
      </c>
      <c r="K68" s="738">
        <f>DEH!M41</f>
        <v>0</v>
      </c>
      <c r="L68" s="738">
        <f>DEH!N41</f>
        <v>0</v>
      </c>
      <c r="M68" s="737">
        <f>DEH!O41</f>
        <v>0</v>
      </c>
      <c r="N68" s="737">
        <f>DEH!P41</f>
        <v>0</v>
      </c>
      <c r="O68" s="737">
        <f>DEH!Q41</f>
        <v>0</v>
      </c>
      <c r="P68" s="737">
        <f>DEH!R41</f>
        <v>0</v>
      </c>
      <c r="Q68" s="1219">
        <f>DEH!S41</f>
        <v>0</v>
      </c>
    </row>
    <row r="69" spans="1:19" x14ac:dyDescent="0.2">
      <c r="A69" s="1214">
        <f>CIV!B65</f>
        <v>20544100</v>
      </c>
      <c r="B69" s="737">
        <f>CIV!C65</f>
        <v>12522400</v>
      </c>
      <c r="C69" s="737">
        <f>CIV!D65</f>
        <v>18610900</v>
      </c>
      <c r="D69" s="737">
        <f>CIV!E65</f>
        <v>18412000</v>
      </c>
      <c r="E69" s="10" t="str">
        <f>E7</f>
        <v>Civil Services</v>
      </c>
      <c r="F69" s="160"/>
      <c r="G69" s="737">
        <f>CIV!H65</f>
        <v>20930800</v>
      </c>
      <c r="H69" s="738">
        <f>CIV!J65</f>
        <v>21486200</v>
      </c>
      <c r="I69" s="738">
        <f>CIV!K65</f>
        <v>25389200</v>
      </c>
      <c r="J69" s="738">
        <f>CIV!L65</f>
        <v>35864900</v>
      </c>
      <c r="K69" s="738">
        <f>CIV!M65</f>
        <v>24660300</v>
      </c>
      <c r="L69" s="738">
        <f>CIV!N65</f>
        <v>11310500</v>
      </c>
      <c r="M69" s="737">
        <f>CIV!O65</f>
        <v>12751400</v>
      </c>
      <c r="N69" s="737">
        <f>CIV!P65</f>
        <v>14552800</v>
      </c>
      <c r="O69" s="737">
        <f>CIV!Q65</f>
        <v>12766500</v>
      </c>
      <c r="P69" s="737">
        <f>CIV!R65</f>
        <v>16214100</v>
      </c>
      <c r="Q69" s="1219">
        <f>CIV!S65</f>
        <v>14152000</v>
      </c>
    </row>
    <row r="70" spans="1:19" x14ac:dyDescent="0.2">
      <c r="A70" s="1214">
        <f>SP!B44</f>
        <v>314000</v>
      </c>
      <c r="B70" s="737">
        <f>SP!C44</f>
        <v>332400</v>
      </c>
      <c r="C70" s="737">
        <f>SP!D44</f>
        <v>521100</v>
      </c>
      <c r="D70" s="737">
        <f>SP!E44</f>
        <v>3100800</v>
      </c>
      <c r="E70" s="10" t="str">
        <f>E8</f>
        <v>Strategic &amp; Comm Facs Group</v>
      </c>
      <c r="F70" s="160"/>
      <c r="G70" s="737">
        <f>SP!H44</f>
        <v>12582700</v>
      </c>
      <c r="H70" s="738">
        <f>SP!J44</f>
        <v>7356000</v>
      </c>
      <c r="I70" s="738">
        <f>SP!K44</f>
        <v>25000</v>
      </c>
      <c r="J70" s="738">
        <f>SP!L44</f>
        <v>26000</v>
      </c>
      <c r="K70" s="738">
        <f>SP!M44</f>
        <v>27000</v>
      </c>
      <c r="L70" s="738">
        <f>SP!N44</f>
        <v>28000</v>
      </c>
      <c r="M70" s="737">
        <f>SP!O44</f>
        <v>29000</v>
      </c>
      <c r="N70" s="737">
        <f>SP!P44</f>
        <v>30000</v>
      </c>
      <c r="O70" s="737">
        <f>SP!Q44</f>
        <v>31000</v>
      </c>
      <c r="P70" s="737">
        <f>SP!R44</f>
        <v>32000</v>
      </c>
      <c r="Q70" s="1219">
        <f>SP!S44</f>
        <v>33000</v>
      </c>
    </row>
    <row r="71" spans="1:19" x14ac:dyDescent="0.2">
      <c r="A71" s="1214">
        <f>'Cash-Gen'!A80</f>
        <v>-27877900</v>
      </c>
      <c r="B71" s="737">
        <f>'Cash-Gen'!B80+24300</f>
        <v>-18209100</v>
      </c>
      <c r="C71" s="737">
        <f>'Cash-Gen'!C80+9000</f>
        <v>-22887800</v>
      </c>
      <c r="D71" s="737">
        <f>'Cash-Gen'!D80-100</f>
        <v>-23684400</v>
      </c>
      <c r="E71" s="10" t="s">
        <v>116</v>
      </c>
      <c r="F71" s="160"/>
      <c r="G71" s="737">
        <f>'Cash-Gen'!F80</f>
        <v>-42002300</v>
      </c>
      <c r="H71" s="738">
        <f>'Cash-Gen'!G80</f>
        <v>-36305200</v>
      </c>
      <c r="I71" s="738">
        <f>'Cash-Gen'!H80</f>
        <v>-32038200</v>
      </c>
      <c r="J71" s="738">
        <f>'Cash-Gen'!I80</f>
        <v>-37085900</v>
      </c>
      <c r="K71" s="738">
        <f>'Cash-Gen'!J80</f>
        <v>-24834300</v>
      </c>
      <c r="L71" s="738">
        <f>'Cash-Gen'!K80</f>
        <v>-11890500</v>
      </c>
      <c r="M71" s="737">
        <f>'Cash-Gen'!L80</f>
        <v>-16437400</v>
      </c>
      <c r="N71" s="737">
        <f>'Cash-Gen'!M80</f>
        <v>-16744800</v>
      </c>
      <c r="O71" s="737">
        <f>'Cash-Gen'!N80</f>
        <v>-14464500</v>
      </c>
      <c r="P71" s="737">
        <f>'Cash-Gen'!O80</f>
        <v>-17918100</v>
      </c>
      <c r="Q71" s="1219">
        <f>'Cash-Gen'!P80</f>
        <v>-16162000</v>
      </c>
    </row>
    <row r="72" spans="1:19" s="11" customFormat="1" x14ac:dyDescent="0.2">
      <c r="A72" s="1217">
        <f>ROUND(SUM(A67:A71),-3)</f>
        <v>0</v>
      </c>
      <c r="B72" s="735">
        <f>SUM(B67:B71)</f>
        <v>0</v>
      </c>
      <c r="C72" s="735">
        <f>SUM(C67:C71)</f>
        <v>0</v>
      </c>
      <c r="D72" s="735">
        <f>SUM(D67:D71)</f>
        <v>0</v>
      </c>
      <c r="E72" s="18" t="s">
        <v>1731</v>
      </c>
      <c r="F72" s="33"/>
      <c r="G72" s="735">
        <f t="shared" ref="G72:M72" si="32">SUM(G67:G71)</f>
        <v>0</v>
      </c>
      <c r="H72" s="736">
        <f t="shared" si="32"/>
        <v>0</v>
      </c>
      <c r="I72" s="736">
        <f t="shared" si="32"/>
        <v>0</v>
      </c>
      <c r="J72" s="736">
        <f t="shared" si="32"/>
        <v>0</v>
      </c>
      <c r="K72" s="736">
        <f t="shared" si="32"/>
        <v>0</v>
      </c>
      <c r="L72" s="736">
        <f t="shared" si="32"/>
        <v>0</v>
      </c>
      <c r="M72" s="735">
        <f t="shared" si="32"/>
        <v>0</v>
      </c>
      <c r="N72" s="735">
        <f t="shared" ref="N72:O72" si="33">SUM(N67:N71)</f>
        <v>0</v>
      </c>
      <c r="O72" s="735">
        <f t="shared" si="33"/>
        <v>0</v>
      </c>
      <c r="P72" s="735">
        <f t="shared" ref="P72:Q72" si="34">SUM(P67:P71)</f>
        <v>0</v>
      </c>
      <c r="Q72" s="1218">
        <f t="shared" si="34"/>
        <v>0</v>
      </c>
      <c r="S72" s="20"/>
    </row>
    <row r="73" spans="1:19" x14ac:dyDescent="0.2">
      <c r="A73" s="1214"/>
      <c r="B73" s="737"/>
      <c r="C73" s="737"/>
      <c r="D73" s="737"/>
      <c r="E73" s="10"/>
      <c r="F73" s="160"/>
      <c r="G73" s="737"/>
      <c r="H73" s="738"/>
      <c r="I73" s="738"/>
      <c r="J73" s="738"/>
      <c r="K73" s="738"/>
      <c r="L73" s="738"/>
      <c r="M73" s="737"/>
      <c r="N73" s="737"/>
      <c r="O73" s="737"/>
      <c r="P73" s="737"/>
      <c r="Q73" s="1219"/>
    </row>
    <row r="74" spans="1:19" s="11" customFormat="1" x14ac:dyDescent="0.2">
      <c r="A74" s="155"/>
      <c r="B74" s="739"/>
      <c r="C74" s="739"/>
      <c r="D74" s="739"/>
      <c r="E74" s="18" t="s">
        <v>2242</v>
      </c>
      <c r="F74" s="33"/>
      <c r="G74" s="739"/>
      <c r="H74" s="740"/>
      <c r="I74" s="740"/>
      <c r="J74" s="740"/>
      <c r="K74" s="740"/>
      <c r="L74" s="740"/>
      <c r="M74" s="739"/>
      <c r="N74" s="739"/>
      <c r="O74" s="739"/>
      <c r="P74" s="739"/>
      <c r="Q74" s="1220"/>
      <c r="S74" s="20"/>
    </row>
    <row r="75" spans="1:19" s="11" customFormat="1" x14ac:dyDescent="0.2">
      <c r="A75" s="155"/>
      <c r="B75" s="739"/>
      <c r="C75" s="739"/>
      <c r="D75" s="739"/>
      <c r="E75" s="19"/>
      <c r="F75" s="33"/>
      <c r="G75" s="739"/>
      <c r="H75" s="740"/>
      <c r="I75" s="740"/>
      <c r="J75" s="740"/>
      <c r="K75" s="740"/>
      <c r="L75" s="740"/>
      <c r="M75" s="739"/>
      <c r="N75" s="739"/>
      <c r="O75" s="739"/>
      <c r="P75" s="739"/>
      <c r="Q75" s="1220"/>
      <c r="S75" s="20"/>
    </row>
    <row r="76" spans="1:19" x14ac:dyDescent="0.2">
      <c r="A76" s="1216">
        <f>ROUND('Cash-W'!A72,-2)</f>
        <v>1038300</v>
      </c>
      <c r="B76" s="737">
        <f>'Cash-W'!B72</f>
        <v>1727000</v>
      </c>
      <c r="C76" s="737">
        <f>'Cash-W'!C72</f>
        <v>186400</v>
      </c>
      <c r="D76" s="737">
        <f>'Cash-W'!D72</f>
        <v>409300</v>
      </c>
      <c r="E76" s="10" t="s">
        <v>1732</v>
      </c>
      <c r="F76" s="160"/>
      <c r="G76" s="737">
        <f>'Cash-W'!G72</f>
        <v>681000</v>
      </c>
      <c r="H76" s="738">
        <f>'Cash-W'!H72</f>
        <v>3169000</v>
      </c>
      <c r="I76" s="738">
        <f>'Cash-W'!I72</f>
        <v>1119000</v>
      </c>
      <c r="J76" s="738">
        <f>'Cash-W'!J72</f>
        <v>238000</v>
      </c>
      <c r="K76" s="738">
        <f>'Cash-W'!K72</f>
        <v>1663000</v>
      </c>
      <c r="L76" s="738">
        <f>'Cash-W'!L72</f>
        <v>3211000</v>
      </c>
      <c r="M76" s="737">
        <f>'Cash-W'!M72</f>
        <v>1033500</v>
      </c>
      <c r="N76" s="737">
        <f>'Cash-W'!N72</f>
        <v>1109300</v>
      </c>
      <c r="O76" s="737">
        <f>'Cash-W'!P72</f>
        <v>0</v>
      </c>
      <c r="P76" s="737">
        <f>'Cash-W'!Q72</f>
        <v>0</v>
      </c>
      <c r="Q76" s="1219">
        <f>'Cash-W'!R72</f>
        <v>0</v>
      </c>
    </row>
    <row r="77" spans="1:19" x14ac:dyDescent="0.2">
      <c r="A77" s="1214">
        <f>-(('Cash-W'!A18+'Cash-W'!A44))</f>
        <v>-1038300</v>
      </c>
      <c r="B77" s="737">
        <f>-(('Cash-W'!B18+'Cash-W'!B44))</f>
        <v>-1727000</v>
      </c>
      <c r="C77" s="737">
        <f>-(('Cash-W'!C18+'Cash-W'!C44))</f>
        <v>-186400</v>
      </c>
      <c r="D77" s="737">
        <f>-(('Cash-W'!D18+'Cash-W'!D44))</f>
        <v>-409300</v>
      </c>
      <c r="E77" s="10" t="s">
        <v>1730</v>
      </c>
      <c r="F77" s="160"/>
      <c r="G77" s="737">
        <f>-(('Cash-W'!G18+'Cash-W'!G44))</f>
        <v>-681000</v>
      </c>
      <c r="H77" s="738">
        <f>-(('Cash-W'!H18+'Cash-W'!H44))</f>
        <v>-3169000</v>
      </c>
      <c r="I77" s="738">
        <f>-(('Cash-W'!I18+'Cash-W'!I44))</f>
        <v>-1119000</v>
      </c>
      <c r="J77" s="738">
        <f>-(('Cash-W'!J18+'Cash-W'!J44))</f>
        <v>-238000</v>
      </c>
      <c r="K77" s="738">
        <f>-(('Cash-W'!K18+'Cash-W'!K44))</f>
        <v>-1663000</v>
      </c>
      <c r="L77" s="738">
        <f>-(('Cash-W'!L18+'Cash-W'!L44))</f>
        <v>-3211000</v>
      </c>
      <c r="M77" s="737">
        <f>-(('Cash-W'!M18+'Cash-W'!M44))</f>
        <v>-1033500</v>
      </c>
      <c r="N77" s="737">
        <f>-(('Cash-W'!N18+'Cash-W'!N44))</f>
        <v>-1109300</v>
      </c>
      <c r="O77" s="737">
        <f>-(('Cash-W'!P18+'Cash-W'!P44))</f>
        <v>0</v>
      </c>
      <c r="P77" s="737">
        <f>-(('Cash-W'!Q18+'Cash-W'!Q44))</f>
        <v>0</v>
      </c>
      <c r="Q77" s="1219">
        <f>-(('Cash-W'!R18+'Cash-W'!R44))</f>
        <v>0</v>
      </c>
    </row>
    <row r="78" spans="1:19" s="11" customFormat="1" x14ac:dyDescent="0.2">
      <c r="A78" s="1217">
        <f>ROUND(SUM(A76:A77),-2)</f>
        <v>0</v>
      </c>
      <c r="B78" s="735">
        <f>SUM(B76:B77)</f>
        <v>0</v>
      </c>
      <c r="C78" s="735">
        <f>SUM(C76:C77)</f>
        <v>0</v>
      </c>
      <c r="D78" s="735">
        <f>SUM(D76:D77)</f>
        <v>0</v>
      </c>
      <c r="E78" s="18" t="s">
        <v>1731</v>
      </c>
      <c r="F78" s="33"/>
      <c r="G78" s="735">
        <f t="shared" ref="G78:M78" si="35">SUM(G76:G77)</f>
        <v>0</v>
      </c>
      <c r="H78" s="736">
        <f t="shared" si="35"/>
        <v>0</v>
      </c>
      <c r="I78" s="736">
        <f t="shared" si="35"/>
        <v>0</v>
      </c>
      <c r="J78" s="736">
        <f t="shared" si="35"/>
        <v>0</v>
      </c>
      <c r="K78" s="736">
        <f t="shared" si="35"/>
        <v>0</v>
      </c>
      <c r="L78" s="736">
        <f t="shared" si="35"/>
        <v>0</v>
      </c>
      <c r="M78" s="735">
        <f t="shared" si="35"/>
        <v>0</v>
      </c>
      <c r="N78" s="735">
        <f t="shared" ref="N78:O78" si="36">SUM(N76:N77)</f>
        <v>0</v>
      </c>
      <c r="O78" s="735">
        <f t="shared" si="36"/>
        <v>0</v>
      </c>
      <c r="P78" s="735">
        <f t="shared" ref="P78:Q78" si="37">SUM(P76:P77)</f>
        <v>0</v>
      </c>
      <c r="Q78" s="1218">
        <f t="shared" si="37"/>
        <v>0</v>
      </c>
      <c r="S78" s="20"/>
    </row>
    <row r="79" spans="1:19" x14ac:dyDescent="0.2">
      <c r="A79" s="1214"/>
      <c r="B79" s="737"/>
      <c r="C79" s="737"/>
      <c r="D79" s="737"/>
      <c r="E79" s="10"/>
      <c r="F79" s="160"/>
      <c r="G79" s="737"/>
      <c r="H79" s="738"/>
      <c r="I79" s="738"/>
      <c r="J79" s="738"/>
      <c r="K79" s="738"/>
      <c r="L79" s="738"/>
      <c r="M79" s="737"/>
      <c r="N79" s="737"/>
      <c r="O79" s="737"/>
      <c r="P79" s="737"/>
      <c r="Q79" s="1219"/>
    </row>
    <row r="80" spans="1:19" x14ac:dyDescent="0.2">
      <c r="A80" s="1214">
        <f>ROUND('Cash-WW'!A67,-2)</f>
        <v>213700</v>
      </c>
      <c r="B80" s="737">
        <f>'Cash-WW'!B67</f>
        <v>0</v>
      </c>
      <c r="C80" s="737">
        <f>'Cash-WW'!C70</f>
        <v>174600</v>
      </c>
      <c r="D80" s="737">
        <f>'Cash-WW'!D70</f>
        <v>366500</v>
      </c>
      <c r="E80" s="10" t="s">
        <v>3289</v>
      </c>
      <c r="F80" s="160"/>
      <c r="G80" s="737">
        <f>'Cash-WW'!G70</f>
        <v>2695000</v>
      </c>
      <c r="H80" s="738">
        <f>'Cash-WW'!H70</f>
        <v>4134000</v>
      </c>
      <c r="I80" s="738">
        <f>'Cash-WW'!I70</f>
        <v>3548000</v>
      </c>
      <c r="J80" s="738">
        <f>'Cash-WW'!J70</f>
        <v>1227000</v>
      </c>
      <c r="K80" s="738">
        <f>'Cash-WW'!K70</f>
        <v>1327000</v>
      </c>
      <c r="L80" s="738">
        <f>'Cash-WW'!L70</f>
        <v>1857000</v>
      </c>
      <c r="M80" s="737">
        <f>'Cash-WW'!M70</f>
        <v>1519000</v>
      </c>
      <c r="N80" s="737">
        <f>'Cash-WW'!N70</f>
        <v>1618000</v>
      </c>
      <c r="O80" s="737">
        <f>'Cash-WW'!P70</f>
        <v>1814000</v>
      </c>
      <c r="P80" s="737">
        <f>'Cash-WW'!Q70</f>
        <v>1913000</v>
      </c>
      <c r="Q80" s="1219">
        <f>'Cash-WW'!R70</f>
        <v>0</v>
      </c>
    </row>
    <row r="81" spans="1:19" x14ac:dyDescent="0.2">
      <c r="A81" s="1214">
        <f>-(('Cash-WW'!A18+'Cash-WW'!A44))</f>
        <v>-213700</v>
      </c>
      <c r="B81" s="737">
        <f>-(('Cash-WW'!B18+'Cash-WW'!B44))</f>
        <v>0</v>
      </c>
      <c r="C81" s="737">
        <f>-(('Cash-WW'!C18+'Cash-WW'!C44))</f>
        <v>-174600</v>
      </c>
      <c r="D81" s="737">
        <f>-(('Cash-WW'!D18+'Cash-WW'!D44))</f>
        <v>-366500</v>
      </c>
      <c r="E81" s="10" t="s">
        <v>1730</v>
      </c>
      <c r="F81" s="160"/>
      <c r="G81" s="737">
        <f>-(('Cash-WW'!G18+'Cash-WW'!G44))</f>
        <v>-2695000</v>
      </c>
      <c r="H81" s="738">
        <f>-(('Cash-WW'!H18+'Cash-WW'!H44))</f>
        <v>-4134000</v>
      </c>
      <c r="I81" s="738">
        <f>-(('Cash-WW'!I18+'Cash-WW'!I44))</f>
        <v>-3548000</v>
      </c>
      <c r="J81" s="738">
        <f>-(('Cash-WW'!J18+'Cash-WW'!J44))</f>
        <v>-1227000</v>
      </c>
      <c r="K81" s="738">
        <f>-(('Cash-WW'!K18+'Cash-WW'!K44))</f>
        <v>-1327000</v>
      </c>
      <c r="L81" s="738">
        <f>-(('Cash-WW'!L18+'Cash-WW'!L44))</f>
        <v>-1857000</v>
      </c>
      <c r="M81" s="737">
        <f>-(('Cash-WW'!M18+'Cash-WW'!M44))</f>
        <v>-1519000</v>
      </c>
      <c r="N81" s="737">
        <f>-(('Cash-WW'!N18+'Cash-WW'!N44))</f>
        <v>-1618000</v>
      </c>
      <c r="O81" s="737">
        <f>-(('Cash-WW'!P18+'Cash-WW'!P44))</f>
        <v>-1814000</v>
      </c>
      <c r="P81" s="737">
        <f>-(('Cash-WW'!Q18+'Cash-WW'!Q44))</f>
        <v>-1913000</v>
      </c>
      <c r="Q81" s="1219">
        <f>-(('Cash-WW'!R18+'Cash-WW'!R44))</f>
        <v>0</v>
      </c>
    </row>
    <row r="82" spans="1:19" s="11" customFormat="1" x14ac:dyDescent="0.2">
      <c r="A82" s="1217">
        <f>SUM(A80:A81)</f>
        <v>0</v>
      </c>
      <c r="B82" s="735">
        <f>SUM(B80:B81)</f>
        <v>0</v>
      </c>
      <c r="C82" s="735">
        <f>SUM(C80:C81)</f>
        <v>0</v>
      </c>
      <c r="D82" s="735">
        <f>SUM(D80:D81)</f>
        <v>0</v>
      </c>
      <c r="E82" s="18" t="s">
        <v>1731</v>
      </c>
      <c r="F82" s="33"/>
      <c r="G82" s="735">
        <f t="shared" ref="G82:M82" si="38">SUM(G80:G81)</f>
        <v>0</v>
      </c>
      <c r="H82" s="736">
        <f t="shared" si="38"/>
        <v>0</v>
      </c>
      <c r="I82" s="736">
        <f t="shared" si="38"/>
        <v>0</v>
      </c>
      <c r="J82" s="736">
        <f t="shared" si="38"/>
        <v>0</v>
      </c>
      <c r="K82" s="736">
        <f t="shared" si="38"/>
        <v>0</v>
      </c>
      <c r="L82" s="736">
        <f t="shared" si="38"/>
        <v>0</v>
      </c>
      <c r="M82" s="735">
        <f t="shared" si="38"/>
        <v>0</v>
      </c>
      <c r="N82" s="735">
        <f t="shared" ref="N82:O82" si="39">SUM(N80:N81)</f>
        <v>0</v>
      </c>
      <c r="O82" s="735">
        <f t="shared" si="39"/>
        <v>0</v>
      </c>
      <c r="P82" s="735">
        <f t="shared" ref="P82:Q82" si="40">SUM(P80:P81)</f>
        <v>0</v>
      </c>
      <c r="Q82" s="1218">
        <f t="shared" si="40"/>
        <v>0</v>
      </c>
      <c r="S82" s="20"/>
    </row>
    <row r="83" spans="1:19" s="65" customFormat="1" x14ac:dyDescent="0.2">
      <c r="A83" s="198"/>
      <c r="B83" s="732"/>
      <c r="C83" s="732"/>
      <c r="D83" s="732"/>
      <c r="E83" s="92"/>
      <c r="F83" s="107"/>
      <c r="G83" s="732"/>
      <c r="H83" s="733"/>
      <c r="I83" s="733"/>
      <c r="J83" s="733"/>
      <c r="K83" s="733"/>
      <c r="L83" s="733"/>
      <c r="M83" s="732"/>
      <c r="N83" s="732"/>
      <c r="O83" s="732"/>
      <c r="P83" s="732"/>
      <c r="Q83" s="734"/>
      <c r="S83" s="20"/>
    </row>
    <row r="84" spans="1:19" s="65" customFormat="1" x14ac:dyDescent="0.2">
      <c r="A84" s="198"/>
      <c r="B84" s="732">
        <f>'Sec 94'!A11+'Cash-Gen'!B57+SP!C59-'Sec 94'!C97-'Sec 94'!C11</f>
        <v>0</v>
      </c>
      <c r="C84" s="732">
        <f>'Sec 94'!C11+'Cash-Gen'!C57+SP!D59-'Sec 94'!E97-'Sec 94'!E11+SUM(GM!D837:D838)-'Sec 94'!E26</f>
        <v>0</v>
      </c>
      <c r="D84" s="732">
        <f>'Sec 94'!E11+'Cash-Gen'!D57+SP!E59-'Sec 94'!F97-'Sec 94'!F11</f>
        <v>0</v>
      </c>
      <c r="E84" s="92" t="s">
        <v>651</v>
      </c>
      <c r="F84" s="107"/>
      <c r="G84" s="732">
        <f>'Sec 94'!F11+'Cash-Gen'!F57+SP!H59-'Sec 94'!G97-'Sec 94'!G11+SUM(GM!H837:H838)</f>
        <v>0</v>
      </c>
      <c r="H84" s="733">
        <f>'Sec 94'!G11+'Cash-Gen'!G57+SP!J59-'Sec 94'!H97-'Sec 94'!H11+SUM(GM!J837:J838)</f>
        <v>0</v>
      </c>
      <c r="I84" s="733">
        <f>'Sec 94'!H11+'Cash-Gen'!H57+SP!K59-'Sec 94'!I97-'Sec 94'!I11+SUM(GM!K837:K838)</f>
        <v>0</v>
      </c>
      <c r="J84" s="733">
        <f>'Sec 94'!I11+'Cash-Gen'!I57+SP!L59-'Sec 94'!J97-'Sec 94'!J11+SUM(GM!L837:L838)</f>
        <v>0</v>
      </c>
      <c r="K84" s="733">
        <f>'Sec 94'!J11+'Cash-Gen'!J57+SP!M59-'Sec 94'!K97-'Sec 94'!K11+SUM(GM!M837:M838)</f>
        <v>0</v>
      </c>
      <c r="L84" s="733">
        <f>'Sec 94'!K11+'Cash-Gen'!K57+SP!N59-'Sec 94'!L97-'Sec 94'!L11+SUM(GM!N837:N838)</f>
        <v>0</v>
      </c>
      <c r="M84" s="732">
        <f>'Sec 94'!L11+'Cash-Gen'!L57+SP!O59-'Sec 94'!M97-'Sec 94'!M11+SUM(GM!O837:O838)</f>
        <v>0</v>
      </c>
      <c r="N84" s="732">
        <f>'Sec 94'!M11+'Cash-Gen'!M57+SP!P59-'Sec 94'!N97-'Sec 94'!N11+SUM(GM!P837:P838)</f>
        <v>0</v>
      </c>
      <c r="O84" s="732">
        <f>'Sec 94'!N11+'Cash-Gen'!N57+SP!Q59-'Sec 94'!O97-'Sec 94'!O11+SUM(GM!Q837:Q838)</f>
        <v>0</v>
      </c>
      <c r="P84" s="732">
        <f>'Sec 94'!O11+'Cash-Gen'!O57+SP!R59-'Sec 94'!P97-'Sec 94'!P11+SUM(GM!R837:R838)</f>
        <v>0</v>
      </c>
      <c r="Q84" s="734">
        <f>'Sec 94'!P11+'Cash-Gen'!P57+SP!S59-'Sec 94'!Q97-'Sec 94'!Q11+SUM(GM!S837:S838)</f>
        <v>0</v>
      </c>
      <c r="S84" s="20"/>
    </row>
    <row r="85" spans="1:19" s="65" customFormat="1" x14ac:dyDescent="0.2">
      <c r="A85" s="198">
        <f>ROUND(+'Sec 94'!A29+SP!B12,-2)</f>
        <v>0</v>
      </c>
      <c r="B85" s="732">
        <f>ROUND(+'Sec 94'!B29+SP!C12,-2)</f>
        <v>0</v>
      </c>
      <c r="C85" s="732">
        <f>ROUND('Res-Bal'!D6-'Sec 94'!E11,-3)</f>
        <v>0</v>
      </c>
      <c r="D85" s="732">
        <f>ROUND('Res-Bal'!G6-'Sec 94'!F11,-3)</f>
        <v>0</v>
      </c>
      <c r="E85" s="92" t="s">
        <v>746</v>
      </c>
      <c r="F85" s="107"/>
      <c r="G85" s="732">
        <f>ROUND('Res-Bal'!J6-'Sec 94'!G11,-3)</f>
        <v>0</v>
      </c>
      <c r="H85" s="733">
        <f>ROUND('Res-Bal'!M6-'Sec 94'!H11,-3)</f>
        <v>0</v>
      </c>
      <c r="I85" s="733">
        <f>ROUND('Res-Bal'!P6-'Sec 94'!I11,-3)</f>
        <v>0</v>
      </c>
      <c r="J85" s="733">
        <f>ROUND('Res-Bal'!S6-'Sec 94'!J11,-3)</f>
        <v>0</v>
      </c>
      <c r="K85" s="733">
        <f>ROUND('Res-Bal'!V6-'Sec 94'!K11,-3)</f>
        <v>0</v>
      </c>
      <c r="L85" s="733">
        <f>ROUND('Res-Bal'!Y6-'Sec 94'!L11,-3)</f>
        <v>0</v>
      </c>
      <c r="M85" s="732">
        <f>ROUND('Res-Bal'!AB6-'Sec 94'!M11,-3)</f>
        <v>0</v>
      </c>
      <c r="N85" s="732">
        <f>ROUND('Res-Bal'!AE6-'Sec 94'!N11,-3)</f>
        <v>0</v>
      </c>
      <c r="O85" s="732">
        <f>ROUND('Res-Bal'!AH6-'Sec 94'!O11,-3)</f>
        <v>0</v>
      </c>
      <c r="P85" s="732">
        <f>ROUND('Res-Bal'!AK6-'Sec 94'!P11,-3)</f>
        <v>0</v>
      </c>
      <c r="Q85" s="734">
        <f>ROUND('Res-Bal'!AN6-'Sec 94'!Q11,-3)</f>
        <v>0</v>
      </c>
      <c r="S85" s="20"/>
    </row>
    <row r="86" spans="1:19" s="65" customFormat="1" x14ac:dyDescent="0.2">
      <c r="A86" s="198"/>
      <c r="B86" s="732"/>
      <c r="C86" s="732"/>
      <c r="D86" s="732"/>
      <c r="E86" s="92"/>
      <c r="F86" s="107"/>
      <c r="G86" s="732"/>
      <c r="H86" s="733"/>
      <c r="I86" s="733"/>
      <c r="J86" s="733"/>
      <c r="K86" s="733"/>
      <c r="L86" s="733"/>
      <c r="M86" s="732"/>
      <c r="N86" s="732"/>
      <c r="O86" s="732"/>
      <c r="P86" s="732"/>
      <c r="Q86" s="734"/>
      <c r="S86" s="20"/>
    </row>
    <row r="87" spans="1:19" s="65" customFormat="1" x14ac:dyDescent="0.2">
      <c r="A87" s="198"/>
      <c r="B87" s="732"/>
      <c r="C87" s="732"/>
      <c r="D87" s="732"/>
      <c r="E87" s="92" t="s">
        <v>3331</v>
      </c>
      <c r="F87" s="107"/>
      <c r="G87" s="732"/>
      <c r="H87" s="733"/>
      <c r="I87" s="733"/>
      <c r="J87" s="733"/>
      <c r="K87" s="733"/>
      <c r="L87" s="733"/>
      <c r="M87" s="732"/>
      <c r="N87" s="732"/>
      <c r="O87" s="732"/>
      <c r="P87" s="732"/>
      <c r="Q87" s="734"/>
      <c r="S87" s="20"/>
    </row>
    <row r="88" spans="1:19" s="34" customFormat="1" x14ac:dyDescent="0.2">
      <c r="A88" s="54"/>
      <c r="B88" s="97"/>
      <c r="C88" s="97"/>
      <c r="D88" s="97"/>
      <c r="E88" s="46" t="s">
        <v>161</v>
      </c>
      <c r="F88" s="89"/>
      <c r="G88" s="97">
        <f>'Cap-Water'!G90</f>
        <v>0</v>
      </c>
      <c r="H88" s="99">
        <f>'Cap-Water'!H90</f>
        <v>0</v>
      </c>
      <c r="I88" s="99">
        <f>'Cap-Water'!I90</f>
        <v>0</v>
      </c>
      <c r="J88" s="99">
        <f>'Cap-Water'!J90</f>
        <v>0</v>
      </c>
      <c r="K88" s="99">
        <f>'Cap-Water'!K90</f>
        <v>0</v>
      </c>
      <c r="L88" s="99">
        <f>'Cap-Water'!L90</f>
        <v>0</v>
      </c>
      <c r="M88" s="97">
        <f>'Cap-Water'!M90</f>
        <v>0</v>
      </c>
      <c r="N88" s="97">
        <f>'Cap-Water'!N90</f>
        <v>0</v>
      </c>
      <c r="O88" s="97">
        <f>'Cap-Water'!O90</f>
        <v>0</v>
      </c>
      <c r="P88" s="97">
        <f>'Cap-Water'!P90</f>
        <v>0</v>
      </c>
      <c r="Q88" s="741">
        <f>'Cap-Water'!Q90</f>
        <v>0</v>
      </c>
      <c r="S88" s="20"/>
    </row>
    <row r="89" spans="1:19" s="34" customFormat="1" x14ac:dyDescent="0.2">
      <c r="A89" s="54"/>
      <c r="B89" s="97"/>
      <c r="C89" s="97"/>
      <c r="D89" s="97"/>
      <c r="E89" s="46" t="s">
        <v>3289</v>
      </c>
      <c r="F89" s="89"/>
      <c r="G89" s="97">
        <f>'Cap-WW'!H158</f>
        <v>0</v>
      </c>
      <c r="H89" s="99">
        <f>'Cap-WW'!I158</f>
        <v>0</v>
      </c>
      <c r="I89" s="99">
        <f>'Cap-WW'!J158</f>
        <v>0</v>
      </c>
      <c r="J89" s="99">
        <f>'Cap-WW'!K158</f>
        <v>0</v>
      </c>
      <c r="K89" s="99">
        <f>'Cap-WW'!L158</f>
        <v>0</v>
      </c>
      <c r="L89" s="99">
        <f>'Cap-WW'!M158</f>
        <v>0</v>
      </c>
      <c r="M89" s="97">
        <f>'Cap-WW'!N158</f>
        <v>0</v>
      </c>
      <c r="N89" s="97">
        <f>'Cap-WW'!O158</f>
        <v>0</v>
      </c>
      <c r="O89" s="97">
        <f>'Cap-WW'!P158</f>
        <v>0</v>
      </c>
      <c r="P89" s="97">
        <f>'Cap-WW'!Q158</f>
        <v>0</v>
      </c>
      <c r="Q89" s="741">
        <f>'Cap-WW'!R158</f>
        <v>0</v>
      </c>
      <c r="S89" s="20"/>
    </row>
    <row r="90" spans="1:19" s="65" customFormat="1" x14ac:dyDescent="0.2">
      <c r="A90" s="198"/>
      <c r="B90" s="732"/>
      <c r="C90" s="732"/>
      <c r="D90" s="732"/>
      <c r="E90" s="92"/>
      <c r="F90" s="107"/>
      <c r="G90" s="732"/>
      <c r="H90" s="733"/>
      <c r="I90" s="733"/>
      <c r="J90" s="733"/>
      <c r="K90" s="733"/>
      <c r="L90" s="733"/>
      <c r="M90" s="732"/>
      <c r="N90" s="732"/>
      <c r="O90" s="732"/>
      <c r="P90" s="732"/>
      <c r="Q90" s="734"/>
      <c r="S90" s="20"/>
    </row>
    <row r="91" spans="1:19" s="65" customFormat="1" x14ac:dyDescent="0.2">
      <c r="A91" s="198"/>
      <c r="B91" s="732"/>
      <c r="C91" s="732"/>
      <c r="D91" s="732"/>
      <c r="E91" s="92" t="s">
        <v>652</v>
      </c>
      <c r="F91" s="107"/>
      <c r="G91" s="732"/>
      <c r="H91" s="733"/>
      <c r="I91" s="733"/>
      <c r="J91" s="733"/>
      <c r="K91" s="733"/>
      <c r="L91" s="733"/>
      <c r="M91" s="732"/>
      <c r="N91" s="732"/>
      <c r="O91" s="732"/>
      <c r="P91" s="732"/>
      <c r="Q91" s="734"/>
      <c r="S91" s="20"/>
    </row>
    <row r="92" spans="1:19" s="80" customFormat="1" x14ac:dyDescent="0.2">
      <c r="A92" s="25">
        <f>'Cash-Gen'!A146</f>
        <v>0</v>
      </c>
      <c r="B92" s="659">
        <f>'Cash-Gen'!B146</f>
        <v>0</v>
      </c>
      <c r="C92" s="659">
        <f>'Cash-Gen'!C146</f>
        <v>0</v>
      </c>
      <c r="D92" s="659">
        <f>'Cash-Gen'!D146</f>
        <v>0</v>
      </c>
      <c r="E92" s="31" t="s">
        <v>2203</v>
      </c>
      <c r="F92" s="77"/>
      <c r="G92" s="659">
        <f>'Cash-Gen'!F146</f>
        <v>0</v>
      </c>
      <c r="H92" s="679">
        <f>'Cash-Gen'!G146</f>
        <v>0</v>
      </c>
      <c r="I92" s="679">
        <f>'Cash-Gen'!H146</f>
        <v>0</v>
      </c>
      <c r="J92" s="679">
        <f>'Cash-Gen'!I146</f>
        <v>0</v>
      </c>
      <c r="K92" s="679">
        <f>'Cash-Gen'!J146</f>
        <v>0</v>
      </c>
      <c r="L92" s="679">
        <f>'Cash-Gen'!K146</f>
        <v>0</v>
      </c>
      <c r="M92" s="659">
        <f>'Cash-Gen'!L146</f>
        <v>0</v>
      </c>
      <c r="N92" s="659">
        <f>'Cash-Gen'!M146</f>
        <v>0</v>
      </c>
      <c r="O92" s="659">
        <f>'Cash-Gen'!N146</f>
        <v>0</v>
      </c>
      <c r="P92" s="659">
        <f>'Cash-Gen'!O146</f>
        <v>0</v>
      </c>
      <c r="Q92" s="660">
        <f>'Cash-Gen'!P146</f>
        <v>0</v>
      </c>
      <c r="S92" s="20"/>
    </row>
    <row r="93" spans="1:19" s="80" customFormat="1" x14ac:dyDescent="0.2">
      <c r="A93" s="25">
        <f>'Cash-W'!A125</f>
        <v>0</v>
      </c>
      <c r="B93" s="659">
        <f>'Cash-W'!B125</f>
        <v>0</v>
      </c>
      <c r="C93" s="659">
        <f>'Cash-W'!C125</f>
        <v>0</v>
      </c>
      <c r="D93" s="659">
        <f>'Cash-W'!D125</f>
        <v>0</v>
      </c>
      <c r="E93" s="31" t="s">
        <v>1732</v>
      </c>
      <c r="F93" s="77"/>
      <c r="G93" s="659">
        <f>'Cash-W'!G125</f>
        <v>0</v>
      </c>
      <c r="H93" s="679">
        <f>'Cash-W'!H125</f>
        <v>0</v>
      </c>
      <c r="I93" s="679">
        <f>'Cash-W'!I125</f>
        <v>0</v>
      </c>
      <c r="J93" s="679">
        <f>'Cash-W'!J125</f>
        <v>0</v>
      </c>
      <c r="K93" s="679">
        <f>'Cash-W'!K125</f>
        <v>0</v>
      </c>
      <c r="L93" s="679">
        <f>'Cash-W'!L125</f>
        <v>0</v>
      </c>
      <c r="M93" s="659">
        <f>'Cash-W'!M125</f>
        <v>0</v>
      </c>
      <c r="N93" s="659">
        <f>'Cash-W'!N125</f>
        <v>0</v>
      </c>
      <c r="O93" s="659">
        <f>'Cash-W'!P125</f>
        <v>0</v>
      </c>
      <c r="P93" s="659">
        <f>'Cash-W'!Q125</f>
        <v>0</v>
      </c>
      <c r="Q93" s="660">
        <f>'Cash-W'!R125</f>
        <v>0</v>
      </c>
      <c r="S93" s="20"/>
    </row>
    <row r="94" spans="1:19" s="6" customFormat="1" x14ac:dyDescent="0.2">
      <c r="A94" s="154">
        <f>'Cash-WW'!A123</f>
        <v>0</v>
      </c>
      <c r="B94" s="742">
        <f>'Cash-WW'!B123</f>
        <v>0</v>
      </c>
      <c r="C94" s="742">
        <f>'Cash-WW'!C123</f>
        <v>0</v>
      </c>
      <c r="D94" s="742">
        <f>'Cash-WW'!D123</f>
        <v>0</v>
      </c>
      <c r="E94" s="10" t="s">
        <v>3289</v>
      </c>
      <c r="F94" s="7"/>
      <c r="G94" s="742">
        <f>'Cash-WW'!G123</f>
        <v>0</v>
      </c>
      <c r="H94" s="743">
        <f>'Cash-WW'!H123</f>
        <v>0</v>
      </c>
      <c r="I94" s="743">
        <f>'Cash-WW'!I123</f>
        <v>0</v>
      </c>
      <c r="J94" s="743">
        <f>'Cash-WW'!J123</f>
        <v>0</v>
      </c>
      <c r="K94" s="743">
        <f>'Cash-WW'!K123</f>
        <v>0</v>
      </c>
      <c r="L94" s="743">
        <f>'Cash-WW'!L123</f>
        <v>0</v>
      </c>
      <c r="M94" s="742">
        <f>'Cash-WW'!M123</f>
        <v>0</v>
      </c>
      <c r="N94" s="742">
        <f>'Cash-WW'!N123</f>
        <v>0</v>
      </c>
      <c r="O94" s="742">
        <f>'Cash-WW'!O123</f>
        <v>0</v>
      </c>
      <c r="P94" s="742">
        <f>'Cash-WW'!P123</f>
        <v>0</v>
      </c>
      <c r="Q94" s="1221">
        <f>'Cash-WW'!Q123</f>
        <v>0</v>
      </c>
      <c r="S94" s="20"/>
    </row>
    <row r="95" spans="1:19" s="6" customFormat="1" x14ac:dyDescent="0.2">
      <c r="A95" s="154"/>
      <c r="B95" s="742"/>
      <c r="C95" s="742"/>
      <c r="D95" s="742"/>
      <c r="E95" s="10"/>
      <c r="F95" s="7"/>
      <c r="G95" s="742"/>
      <c r="H95" s="743"/>
      <c r="I95" s="743"/>
      <c r="J95" s="743"/>
      <c r="K95" s="743"/>
      <c r="L95" s="743"/>
      <c r="M95" s="742"/>
      <c r="N95" s="742"/>
      <c r="O95" s="742"/>
      <c r="P95" s="742"/>
      <c r="Q95" s="1221"/>
      <c r="S95" s="20"/>
    </row>
    <row r="96" spans="1:19" s="12" customFormat="1" x14ac:dyDescent="0.2">
      <c r="A96" s="554"/>
      <c r="B96" s="745"/>
      <c r="C96" s="745"/>
      <c r="D96" s="745"/>
      <c r="E96" s="18" t="s">
        <v>3330</v>
      </c>
      <c r="F96" s="22"/>
      <c r="G96" s="745"/>
      <c r="H96" s="744"/>
      <c r="I96" s="744"/>
      <c r="J96" s="744"/>
      <c r="K96" s="744"/>
      <c r="L96" s="744"/>
      <c r="M96" s="745"/>
      <c r="N96" s="745"/>
      <c r="O96" s="745"/>
      <c r="P96" s="745"/>
      <c r="Q96" s="1222"/>
      <c r="S96" s="20"/>
    </row>
    <row r="97" spans="1:19" s="6" customFormat="1" x14ac:dyDescent="0.2">
      <c r="A97" s="154"/>
      <c r="B97" s="742"/>
      <c r="C97" s="743"/>
      <c r="D97" s="742"/>
      <c r="E97" s="10" t="s">
        <v>1732</v>
      </c>
      <c r="F97" s="7"/>
      <c r="G97" s="742">
        <f>'Cap-Water'!F83</f>
        <v>0</v>
      </c>
      <c r="H97" s="743">
        <f>'Cap-Water'!G83</f>
        <v>0</v>
      </c>
      <c r="I97" s="743">
        <f>'Cap-Water'!H83</f>
        <v>0</v>
      </c>
      <c r="J97" s="743">
        <f>'Cap-Water'!I83</f>
        <v>0</v>
      </c>
      <c r="K97" s="743">
        <f>'Cap-Water'!J83</f>
        <v>0</v>
      </c>
      <c r="L97" s="743">
        <f>'Cap-Water'!K83</f>
        <v>0</v>
      </c>
      <c r="M97" s="742">
        <f>'Cap-Water'!L83</f>
        <v>0</v>
      </c>
      <c r="N97" s="742">
        <f>'Cap-Water'!M83</f>
        <v>0</v>
      </c>
      <c r="O97" s="742">
        <f>'Cap-Water'!N83</f>
        <v>0</v>
      </c>
      <c r="P97" s="742">
        <f>'Cap-Water'!O83</f>
        <v>0</v>
      </c>
      <c r="Q97" s="1221">
        <f>'Cap-Water'!P83</f>
        <v>0</v>
      </c>
      <c r="S97" s="20"/>
    </row>
    <row r="98" spans="1:19" s="6" customFormat="1" x14ac:dyDescent="0.2">
      <c r="A98" s="154"/>
      <c r="B98" s="742"/>
      <c r="C98" s="742"/>
      <c r="D98" s="742"/>
      <c r="E98" s="10" t="s">
        <v>3289</v>
      </c>
      <c r="F98" s="7"/>
      <c r="G98" s="742">
        <f>'Cap-WW'!G150</f>
        <v>0</v>
      </c>
      <c r="H98" s="743">
        <f>'Cap-WW'!H150</f>
        <v>0</v>
      </c>
      <c r="I98" s="743">
        <f>'Cap-WW'!I150</f>
        <v>0</v>
      </c>
      <c r="J98" s="743">
        <f>'Cap-WW'!J150</f>
        <v>0</v>
      </c>
      <c r="K98" s="743">
        <f>'Cap-WW'!K150</f>
        <v>0</v>
      </c>
      <c r="L98" s="743">
        <f>'Cap-WW'!L150</f>
        <v>0</v>
      </c>
      <c r="M98" s="742">
        <f>'Cap-WW'!M150</f>
        <v>0</v>
      </c>
      <c r="N98" s="742">
        <f>'Cap-WW'!N150</f>
        <v>0</v>
      </c>
      <c r="O98" s="742">
        <f>'Cap-WW'!O150</f>
        <v>0</v>
      </c>
      <c r="P98" s="742">
        <f>'Cap-WW'!P150</f>
        <v>0</v>
      </c>
      <c r="Q98" s="1221">
        <f>'Cap-WW'!Q150</f>
        <v>0</v>
      </c>
      <c r="S98" s="20"/>
    </row>
    <row r="99" spans="1:19" s="6" customFormat="1" x14ac:dyDescent="0.2">
      <c r="A99" s="154"/>
      <c r="B99" s="742"/>
      <c r="C99" s="742"/>
      <c r="D99" s="742"/>
      <c r="E99" s="10"/>
      <c r="F99" s="7"/>
      <c r="G99" s="742"/>
      <c r="H99" s="743"/>
      <c r="I99" s="743"/>
      <c r="J99" s="743"/>
      <c r="K99" s="743"/>
      <c r="L99" s="743"/>
      <c r="M99" s="742"/>
      <c r="N99" s="742"/>
      <c r="O99" s="742"/>
      <c r="P99" s="742"/>
      <c r="Q99" s="1221"/>
      <c r="S99" s="20"/>
    </row>
    <row r="100" spans="1:19" s="6" customFormat="1" x14ac:dyDescent="0.2">
      <c r="A100" s="154"/>
      <c r="B100" s="742"/>
      <c r="C100" s="742"/>
      <c r="D100" s="742"/>
      <c r="E100" s="157" t="s">
        <v>34</v>
      </c>
      <c r="F100" s="7"/>
      <c r="G100" s="742"/>
      <c r="H100" s="743"/>
      <c r="I100" s="743"/>
      <c r="J100" s="743"/>
      <c r="K100" s="743"/>
      <c r="L100" s="743"/>
      <c r="M100" s="742"/>
      <c r="N100" s="742"/>
      <c r="O100" s="742"/>
      <c r="P100" s="742"/>
      <c r="Q100" s="1221"/>
      <c r="S100" s="20"/>
    </row>
    <row r="101" spans="1:19" s="6" customFormat="1" x14ac:dyDescent="0.2">
      <c r="A101" s="25"/>
      <c r="B101" s="659"/>
      <c r="C101" s="742">
        <f>CIV!D741-CIV!D742</f>
        <v>-202000</v>
      </c>
      <c r="D101" s="742">
        <f>CIV!E741-CIV!E742</f>
        <v>478500</v>
      </c>
      <c r="E101" s="4" t="s">
        <v>1113</v>
      </c>
      <c r="F101" s="7"/>
      <c r="G101" s="742">
        <f>CIV!H741-CIV!H742</f>
        <v>593200</v>
      </c>
      <c r="H101" s="742">
        <f>CIV!J741-CIV!J742</f>
        <v>-935000</v>
      </c>
      <c r="I101" s="742">
        <f>CIV!K741-CIV!K742</f>
        <v>584500</v>
      </c>
      <c r="J101" s="742">
        <f>CIV!L741-CIV!L742</f>
        <v>-1189500</v>
      </c>
      <c r="K101" s="742">
        <f>CIV!M741-CIV!M742</f>
        <v>589100</v>
      </c>
      <c r="L101" s="742">
        <f>CIV!N741-CIV!N742</f>
        <v>613400</v>
      </c>
      <c r="M101" s="742">
        <f>CIV!O741-CIV!O742</f>
        <v>-1360500</v>
      </c>
      <c r="N101" s="742">
        <f>CIV!P741-CIV!P742</f>
        <v>616600</v>
      </c>
      <c r="O101" s="742">
        <f>CIV!Q741-CIV!Q742</f>
        <v>642700</v>
      </c>
      <c r="P101" s="742">
        <f>CIV!R741-CIV!R742</f>
        <v>-1547200</v>
      </c>
      <c r="Q101" s="1221">
        <f>CIV!S741-CIV!S742</f>
        <v>646100</v>
      </c>
      <c r="S101" s="20"/>
    </row>
    <row r="102" spans="1:19" s="6" customFormat="1" x14ac:dyDescent="0.2">
      <c r="A102" s="25"/>
      <c r="B102" s="659"/>
      <c r="C102" s="742">
        <f>'Res-Gen'!D7</f>
        <v>531500</v>
      </c>
      <c r="D102" s="742">
        <f>'Res-Gen'!G7</f>
        <v>1192800</v>
      </c>
      <c r="E102" s="4" t="s">
        <v>2148</v>
      </c>
      <c r="F102" s="7"/>
      <c r="G102" s="742">
        <f>'Res-Gen'!J7</f>
        <v>2317800</v>
      </c>
      <c r="H102" s="743">
        <f>'Res-Gen'!M7</f>
        <v>6506500</v>
      </c>
      <c r="I102" s="743">
        <f>'Res-Gen'!P7</f>
        <v>-10343500</v>
      </c>
      <c r="J102" s="743">
        <f>'Res-Gen'!S7</f>
        <v>-745500</v>
      </c>
      <c r="K102" s="743">
        <f>'Res-Gen'!V7</f>
        <v>53500</v>
      </c>
      <c r="L102" s="743">
        <f>'Res-Gen'!Y7</f>
        <v>5566500</v>
      </c>
      <c r="M102" s="742">
        <f>'Res-Gen'!AB7</f>
        <v>5803000</v>
      </c>
      <c r="N102" s="742">
        <f>'Res-Gen'!AE7</f>
        <v>6083500</v>
      </c>
      <c r="O102" s="742">
        <f>'Res-Gen'!AH7</f>
        <v>6375000</v>
      </c>
      <c r="P102" s="742">
        <f>'Res-Gen'!AK7</f>
        <v>6676000</v>
      </c>
      <c r="Q102" s="1221">
        <f>'Res-Gen'!AN7</f>
        <v>6988500</v>
      </c>
      <c r="S102" s="20"/>
    </row>
    <row r="103" spans="1:19" s="6" customFormat="1" x14ac:dyDescent="0.2">
      <c r="A103" s="25"/>
      <c r="B103" s="659"/>
      <c r="C103" s="742">
        <f>'Res-Gen'!D127</f>
        <v>12700</v>
      </c>
      <c r="D103" s="742">
        <f>'Res-Gen'!G127</f>
        <v>18100</v>
      </c>
      <c r="E103" s="10" t="s">
        <v>1044</v>
      </c>
      <c r="F103" s="7"/>
      <c r="G103" s="742">
        <f>'Res-Gen'!J127</f>
        <v>-17600</v>
      </c>
      <c r="H103" s="743">
        <f>'Res-Gen'!M127</f>
        <v>-2400</v>
      </c>
      <c r="I103" s="743">
        <f>'Res-Gen'!P127</f>
        <v>-3200</v>
      </c>
      <c r="J103" s="743">
        <f>'Res-Gen'!S127</f>
        <v>-3900</v>
      </c>
      <c r="K103" s="743">
        <f>'Res-Gen'!V127</f>
        <v>-4600</v>
      </c>
      <c r="L103" s="743">
        <f>'Res-Gen'!Y127</f>
        <v>-5300</v>
      </c>
      <c r="M103" s="742">
        <f>'Res-Gen'!AB127</f>
        <v>-6100</v>
      </c>
      <c r="N103" s="742">
        <f>'Res-Gen'!AE127</f>
        <v>-6900</v>
      </c>
      <c r="O103" s="742">
        <f>'Res-Gen'!AH127</f>
        <v>-7700</v>
      </c>
      <c r="P103" s="742">
        <f>'Res-Gen'!AK127</f>
        <v>-8500</v>
      </c>
      <c r="Q103" s="1221">
        <f>'Res-Gen'!AN127</f>
        <v>-9400</v>
      </c>
      <c r="S103" s="20"/>
    </row>
    <row r="104" spans="1:19" s="6" customFormat="1" x14ac:dyDescent="0.2">
      <c r="A104" s="1223"/>
      <c r="B104" s="659"/>
      <c r="C104" s="742">
        <f>'Res-Gen'!D233</f>
        <v>-1347000</v>
      </c>
      <c r="D104" s="742">
        <f>'Res-Gen'!G233</f>
        <v>-1309100</v>
      </c>
      <c r="E104" s="46" t="s">
        <v>103</v>
      </c>
      <c r="F104" s="77"/>
      <c r="G104" s="742">
        <v>0</v>
      </c>
      <c r="H104" s="743">
        <v>0</v>
      </c>
      <c r="I104" s="743">
        <v>0</v>
      </c>
      <c r="J104" s="743">
        <v>0</v>
      </c>
      <c r="K104" s="743">
        <v>0</v>
      </c>
      <c r="L104" s="743">
        <v>0</v>
      </c>
      <c r="M104" s="742">
        <v>0</v>
      </c>
      <c r="N104" s="742">
        <v>0</v>
      </c>
      <c r="O104" s="742">
        <v>0</v>
      </c>
      <c r="P104" s="742">
        <v>0</v>
      </c>
      <c r="Q104" s="1221">
        <v>0</v>
      </c>
      <c r="S104" s="20"/>
    </row>
    <row r="105" spans="1:19" s="6" customFormat="1" x14ac:dyDescent="0.2">
      <c r="A105" s="1223"/>
      <c r="B105" s="659"/>
      <c r="C105" s="742">
        <f>'Res-Gen'!D125+'Res-Gen'!D126</f>
        <v>-625700</v>
      </c>
      <c r="D105" s="742">
        <f>'Res-Gen'!G125+'Res-Gen'!G126</f>
        <v>-225000</v>
      </c>
      <c r="E105" s="31" t="s">
        <v>4464</v>
      </c>
      <c r="F105" s="77"/>
      <c r="G105" s="742">
        <f>+'Res-Gen'!J125</f>
        <v>-725000</v>
      </c>
      <c r="H105" s="743"/>
      <c r="I105" s="743"/>
      <c r="J105" s="743"/>
      <c r="K105" s="743"/>
      <c r="L105" s="743"/>
      <c r="M105" s="742"/>
      <c r="N105" s="742"/>
      <c r="O105" s="742"/>
      <c r="P105" s="742"/>
      <c r="Q105" s="1221"/>
      <c r="S105" s="20"/>
    </row>
    <row r="106" spans="1:19" s="6" customFormat="1" x14ac:dyDescent="0.2">
      <c r="A106" s="154"/>
      <c r="B106" s="742"/>
      <c r="C106" s="742">
        <f>-'Cash-Gen'!C87</f>
        <v>1630500</v>
      </c>
      <c r="D106" s="742">
        <f>-'Cash-Gen'!D87</f>
        <v>-155300</v>
      </c>
      <c r="E106" s="10" t="s">
        <v>1730</v>
      </c>
      <c r="F106" s="7"/>
      <c r="G106" s="742">
        <f>-'Cash-Gen'!F87</f>
        <v>-2168400</v>
      </c>
      <c r="H106" s="743">
        <f>-'Cash-Gen'!G87</f>
        <v>-5569100</v>
      </c>
      <c r="I106" s="743">
        <f>-'Cash-Gen'!H87</f>
        <v>9762200</v>
      </c>
      <c r="J106" s="743">
        <f>-'Cash-Gen'!I87</f>
        <v>1938900</v>
      </c>
      <c r="K106" s="743">
        <f>-'Cash-Gen'!J87</f>
        <v>-638000</v>
      </c>
      <c r="L106" s="743">
        <f>-'Cash-Gen'!K87</f>
        <v>-6174600</v>
      </c>
      <c r="M106" s="742">
        <f>-'Cash-Gen'!L87</f>
        <v>-4436400</v>
      </c>
      <c r="N106" s="742">
        <f>-'Cash-Gen'!M87</f>
        <v>-6693200</v>
      </c>
      <c r="O106" s="742">
        <f>-'Cash-Gen'!N87</f>
        <v>-7010000</v>
      </c>
      <c r="P106" s="742">
        <f>-'Cash-Gen'!O87</f>
        <v>-5120300</v>
      </c>
      <c r="Q106" s="1221">
        <f>-'Cash-Gen'!P87</f>
        <v>-7625200</v>
      </c>
      <c r="S106" s="20"/>
    </row>
    <row r="107" spans="1:19" s="11" customFormat="1" x14ac:dyDescent="0.2">
      <c r="A107" s="1217">
        <f>SUM(A101:A106)</f>
        <v>0</v>
      </c>
      <c r="B107" s="735">
        <f>SUM(B101:B106)</f>
        <v>0</v>
      </c>
      <c r="C107" s="735">
        <f>SUM(C101:C106)</f>
        <v>0</v>
      </c>
      <c r="D107" s="735">
        <f>SUM(D101:D106)</f>
        <v>0</v>
      </c>
      <c r="E107" s="18" t="s">
        <v>1731</v>
      </c>
      <c r="F107" s="33"/>
      <c r="G107" s="735">
        <f t="shared" ref="G107:M107" si="41">SUM(G101:G106)</f>
        <v>0</v>
      </c>
      <c r="H107" s="736">
        <f t="shared" si="41"/>
        <v>0</v>
      </c>
      <c r="I107" s="736">
        <f t="shared" si="41"/>
        <v>0</v>
      </c>
      <c r="J107" s="736">
        <f t="shared" si="41"/>
        <v>0</v>
      </c>
      <c r="K107" s="736">
        <f t="shared" si="41"/>
        <v>0</v>
      </c>
      <c r="L107" s="736">
        <f t="shared" si="41"/>
        <v>0</v>
      </c>
      <c r="M107" s="735">
        <f t="shared" si="41"/>
        <v>0</v>
      </c>
      <c r="N107" s="735">
        <f t="shared" ref="N107:O107" si="42">SUM(N101:N106)</f>
        <v>0</v>
      </c>
      <c r="O107" s="735">
        <f t="shared" si="42"/>
        <v>0</v>
      </c>
      <c r="P107" s="735">
        <f t="shared" ref="P107:Q107" si="43">SUM(P101:P106)</f>
        <v>0</v>
      </c>
      <c r="Q107" s="1218">
        <f t="shared" si="43"/>
        <v>0</v>
      </c>
      <c r="S107" s="20"/>
    </row>
    <row r="108" spans="1:19" s="6" customFormat="1" x14ac:dyDescent="0.2">
      <c r="A108" s="154"/>
      <c r="B108" s="742"/>
      <c r="C108" s="746"/>
      <c r="D108" s="746"/>
      <c r="E108" s="10"/>
      <c r="F108" s="7"/>
      <c r="G108" s="746"/>
      <c r="H108" s="743"/>
      <c r="I108" s="743"/>
      <c r="J108" s="743"/>
      <c r="K108" s="743"/>
      <c r="L108" s="743"/>
      <c r="M108" s="742"/>
      <c r="N108" s="742"/>
      <c r="O108" s="742"/>
      <c r="P108" s="742"/>
      <c r="Q108" s="1221"/>
      <c r="S108" s="20"/>
    </row>
    <row r="109" spans="1:19" s="6" customFormat="1" x14ac:dyDescent="0.2">
      <c r="A109" s="154"/>
      <c r="B109" s="742"/>
      <c r="C109" s="746"/>
      <c r="D109" s="746"/>
      <c r="E109" s="18" t="s">
        <v>2142</v>
      </c>
      <c r="F109" s="7"/>
      <c r="G109" s="746"/>
      <c r="H109" s="743"/>
      <c r="I109" s="743"/>
      <c r="J109" s="743"/>
      <c r="K109" s="743"/>
      <c r="L109" s="743"/>
      <c r="M109" s="742"/>
      <c r="N109" s="742"/>
      <c r="O109" s="742"/>
      <c r="P109" s="742"/>
      <c r="Q109" s="1221"/>
      <c r="S109" s="20"/>
    </row>
    <row r="110" spans="1:19" s="6" customFormat="1" x14ac:dyDescent="0.2">
      <c r="A110" s="154"/>
      <c r="B110" s="742"/>
      <c r="C110" s="746"/>
      <c r="D110" s="746"/>
      <c r="E110" s="18" t="s">
        <v>598</v>
      </c>
      <c r="F110" s="7"/>
      <c r="G110" s="746"/>
      <c r="H110" s="743"/>
      <c r="I110" s="743"/>
      <c r="J110" s="743"/>
      <c r="K110" s="743"/>
      <c r="L110" s="743"/>
      <c r="M110" s="742"/>
      <c r="N110" s="742"/>
      <c r="O110" s="742"/>
      <c r="P110" s="742"/>
      <c r="Q110" s="1221"/>
      <c r="S110" s="20"/>
    </row>
    <row r="111" spans="1:19" s="6" customFormat="1" x14ac:dyDescent="0.2">
      <c r="A111" s="154">
        <f>GM!B477+GM!B462+GM!B623+GM!B684+GM!B745+GM!B869+GM!B1051</f>
        <v>81600</v>
      </c>
      <c r="B111" s="742">
        <f>GM!C477+GM!C462+GM!C623+GM!C684+GM!C745+GM!C869+GM!C1051</f>
        <v>84300</v>
      </c>
      <c r="C111" s="742">
        <f>GM!D477+GM!D462+GM!D623+GM!D684+GM!D745+GM!D869+GM!D1051</f>
        <v>84700</v>
      </c>
      <c r="D111" s="742">
        <f>GM!E477+GM!E462+GM!E623+GM!E684+GM!E745+GM!E869+GM!E1051</f>
        <v>56700</v>
      </c>
      <c r="E111" s="4" t="s">
        <v>513</v>
      </c>
      <c r="F111" s="7"/>
      <c r="G111" s="742">
        <f>GM!H477+GM!H462+GM!H623+GM!H684+GM!H745+GM!H869+GM!H1051</f>
        <v>49000</v>
      </c>
      <c r="H111" s="743">
        <f>GM!J477+GM!J462+GM!J623+GM!J684+GM!J745+GM!J869+GM!J1051</f>
        <v>50200</v>
      </c>
      <c r="I111" s="743">
        <f>GM!K477+GM!K462+GM!K623+GM!K684+GM!K745+GM!K869+GM!K1051</f>
        <v>51600</v>
      </c>
      <c r="J111" s="743">
        <f>GM!L477+GM!L462+GM!L623+GM!L684+GM!L745+GM!L869+GM!L1051</f>
        <v>53000</v>
      </c>
      <c r="K111" s="743">
        <f>GM!M477+GM!M462+GM!M623+GM!M684+GM!M745+GM!M869+GM!M1051</f>
        <v>54500</v>
      </c>
      <c r="L111" s="743">
        <f>GM!N477+GM!N462+GM!N623+GM!N684+GM!N745+GM!N869+GM!N1051</f>
        <v>56000</v>
      </c>
      <c r="M111" s="742">
        <f>GM!O477+GM!O462+GM!O623+GM!O684+GM!O745+GM!O869+GM!O1051</f>
        <v>57500</v>
      </c>
      <c r="N111" s="742">
        <f>GM!P477+GM!P462+GM!P623+GM!P684+GM!P745+GM!P869+GM!P1051</f>
        <v>59000</v>
      </c>
      <c r="O111" s="742">
        <f>GM!Q477+GM!Q462+GM!Q623+GM!Q684+GM!Q745+GM!Q869+GM!Q1051</f>
        <v>60500</v>
      </c>
      <c r="P111" s="742">
        <f>GM!R477+GM!R462+GM!R623+GM!R684+GM!R745+GM!R869+GM!R1051</f>
        <v>62000</v>
      </c>
      <c r="Q111" s="1221">
        <f>GM!S477+GM!S462+GM!S623+GM!S684+GM!S745+GM!S869+GM!S1051</f>
        <v>63500</v>
      </c>
      <c r="S111" s="20"/>
    </row>
    <row r="112" spans="1:19" s="6" customFormat="1" x14ac:dyDescent="0.2">
      <c r="A112" s="154">
        <f>DEH!B247+DEH!B313+DEH!B366+8000</f>
        <v>139000</v>
      </c>
      <c r="B112" s="742">
        <f>DEH!C247+DEH!C313+DEH!C366+8300</f>
        <v>143500</v>
      </c>
      <c r="C112" s="742">
        <f>DEH!D247+DEH!D313+DEH!D366</f>
        <v>135200</v>
      </c>
      <c r="D112" s="742">
        <f>DEH!E247+DEH!E313+DEH!E366+8800</f>
        <v>132800</v>
      </c>
      <c r="E112" s="10" t="s">
        <v>4133</v>
      </c>
      <c r="F112" s="7"/>
      <c r="G112" s="742">
        <f>DEH!H247+DEH!H313+DEH!H366</f>
        <v>108000</v>
      </c>
      <c r="H112" s="743">
        <f>DEH!J247+DEH!J313+DEH!J366</f>
        <v>110600</v>
      </c>
      <c r="I112" s="743">
        <f>DEH!K247+DEH!K313+DEH!K366</f>
        <v>113600</v>
      </c>
      <c r="J112" s="743">
        <f>DEH!L247+DEH!L313+DEH!L366</f>
        <v>116600</v>
      </c>
      <c r="K112" s="743">
        <f>DEH!M247+DEH!M313+DEH!M366</f>
        <v>119600</v>
      </c>
      <c r="L112" s="743">
        <f>DEH!N247+DEH!N313+DEH!N366</f>
        <v>122700</v>
      </c>
      <c r="M112" s="742">
        <f>DEH!O247+DEH!O313+DEH!O366</f>
        <v>126000</v>
      </c>
      <c r="N112" s="742">
        <f>DEH!P247+DEH!P313+DEH!P366</f>
        <v>129300</v>
      </c>
      <c r="O112" s="742">
        <f>DEH!Q247+DEH!Q313+DEH!Q366</f>
        <v>132700</v>
      </c>
      <c r="P112" s="742">
        <f>DEH!R247+DEH!R313+DEH!R366</f>
        <v>136100</v>
      </c>
      <c r="Q112" s="1221">
        <f>DEH!S247+DEH!S313+DEH!S366</f>
        <v>139700</v>
      </c>
      <c r="S112" s="20"/>
    </row>
    <row r="113" spans="1:19" s="6" customFormat="1" x14ac:dyDescent="0.2">
      <c r="A113" s="154">
        <f>CIV!B775+CIV!B1306</f>
        <v>111500</v>
      </c>
      <c r="B113" s="742">
        <f>CIV!C775+CIV!C1306</f>
        <v>115000</v>
      </c>
      <c r="C113" s="742">
        <f>CIV!D775+CIV!D1306</f>
        <v>115000</v>
      </c>
      <c r="D113" s="742">
        <f>CIV!E775+CIV!E1306</f>
        <v>114900</v>
      </c>
      <c r="E113" s="4" t="s">
        <v>850</v>
      </c>
      <c r="F113" s="7"/>
      <c r="G113" s="742">
        <f>CIV!H775+CIV!H1306</f>
        <v>85000</v>
      </c>
      <c r="H113" s="743">
        <f>CIV!J775+CIV!J1306</f>
        <v>87100</v>
      </c>
      <c r="I113" s="743">
        <f>CIV!K775+CIV!K1306</f>
        <v>89400</v>
      </c>
      <c r="J113" s="743">
        <f>CIV!L775+CIV!L1306</f>
        <v>91700</v>
      </c>
      <c r="K113" s="743">
        <f>CIV!M775+CIV!M1306</f>
        <v>94100</v>
      </c>
      <c r="L113" s="743">
        <f>CIV!N775+CIV!N1306</f>
        <v>96600</v>
      </c>
      <c r="M113" s="742">
        <f>CIV!O775+CIV!O1306</f>
        <v>99100</v>
      </c>
      <c r="N113" s="742">
        <f>CIV!P775+CIV!P1306</f>
        <v>101700</v>
      </c>
      <c r="O113" s="742">
        <f>CIV!Q775+CIV!Q1306</f>
        <v>104300</v>
      </c>
      <c r="P113" s="742">
        <f>CIV!R775+CIV!R1306</f>
        <v>107000</v>
      </c>
      <c r="Q113" s="1221">
        <f>CIV!S775+CIV!S1306</f>
        <v>109800</v>
      </c>
      <c r="S113" s="20"/>
    </row>
    <row r="114" spans="1:19" s="6" customFormat="1" x14ac:dyDescent="0.2">
      <c r="A114" s="154">
        <f>'W&amp;W'!B213+'W&amp;W'!B399</f>
        <v>53000</v>
      </c>
      <c r="B114" s="742">
        <f>'W&amp;W'!C213+'W&amp;W'!C399</f>
        <v>55300</v>
      </c>
      <c r="C114" s="742">
        <f>'W&amp;W'!D213+'W&amp;W'!D399</f>
        <v>55300</v>
      </c>
      <c r="D114" s="742">
        <f>'W&amp;W'!E213+'W&amp;W'!E399</f>
        <v>55500</v>
      </c>
      <c r="E114" s="4" t="s">
        <v>3332</v>
      </c>
      <c r="F114" s="7"/>
      <c r="G114" s="742">
        <f>'W&amp;W'!H213+'W&amp;W'!H399</f>
        <v>42000</v>
      </c>
      <c r="H114" s="743">
        <f>'W&amp;W'!J213+'W&amp;W'!J399</f>
        <v>43100</v>
      </c>
      <c r="I114" s="743">
        <f>'W&amp;W'!K213+'W&amp;W'!K399</f>
        <v>44200</v>
      </c>
      <c r="J114" s="743">
        <f>'W&amp;W'!L213+'W&amp;W'!L399</f>
        <v>45400</v>
      </c>
      <c r="K114" s="743">
        <f>'W&amp;W'!M213+'W&amp;W'!M399</f>
        <v>46700</v>
      </c>
      <c r="L114" s="743">
        <f>'W&amp;W'!N213+'W&amp;W'!N399</f>
        <v>48000</v>
      </c>
      <c r="M114" s="742">
        <f>'W&amp;W'!O213+'W&amp;W'!O399</f>
        <v>49300</v>
      </c>
      <c r="N114" s="742">
        <f>'W&amp;W'!P213+'W&amp;W'!P399</f>
        <v>50600</v>
      </c>
      <c r="O114" s="742">
        <f>'W&amp;W'!Q213+'W&amp;W'!Q399</f>
        <v>52000</v>
      </c>
      <c r="P114" s="742">
        <f>'W&amp;W'!R213+'W&amp;W'!R399</f>
        <v>53400</v>
      </c>
      <c r="Q114" s="1221">
        <f>'W&amp;W'!S213+'W&amp;W'!S399</f>
        <v>54800</v>
      </c>
      <c r="S114" s="20"/>
    </row>
    <row r="115" spans="1:19" s="6" customFormat="1" x14ac:dyDescent="0.2">
      <c r="A115" s="154">
        <f>SP!B352+SP!B507++SP!B465</f>
        <v>26400</v>
      </c>
      <c r="B115" s="742">
        <f>SP!C352+SP!C507++SP!C465</f>
        <v>34600</v>
      </c>
      <c r="C115" s="742">
        <f>SP!D352+SP!D507++SP!D465</f>
        <v>34600</v>
      </c>
      <c r="D115" s="742">
        <f>SP!E352+SP!E507++SP!E465</f>
        <v>31000</v>
      </c>
      <c r="E115" s="4" t="s">
        <v>3590</v>
      </c>
      <c r="F115" s="7"/>
      <c r="G115" s="742">
        <f>SP!H352+SP!H507++SP!H465</f>
        <v>27000</v>
      </c>
      <c r="H115" s="743">
        <f>SP!J352+SP!J507++SP!J465</f>
        <v>27800</v>
      </c>
      <c r="I115" s="743">
        <f>SP!K352+SP!K507++SP!K465</f>
        <v>28700</v>
      </c>
      <c r="J115" s="743">
        <f>SP!L352+SP!L507++SP!L465</f>
        <v>29600</v>
      </c>
      <c r="K115" s="743">
        <f>SP!M352+SP!M507++SP!M465</f>
        <v>30500</v>
      </c>
      <c r="L115" s="743">
        <f>SP!N352+SP!N507++SP!N465</f>
        <v>31400</v>
      </c>
      <c r="M115" s="742">
        <f>SP!O352+SP!O507++SP!O465</f>
        <v>32300</v>
      </c>
      <c r="N115" s="742">
        <f>SP!P352+SP!P507++SP!P465</f>
        <v>33200</v>
      </c>
      <c r="O115" s="742">
        <f>SP!Q352+SP!Q507++SP!Q465</f>
        <v>34200</v>
      </c>
      <c r="P115" s="742">
        <f>SP!R352+SP!R507++SP!R465</f>
        <v>35200</v>
      </c>
      <c r="Q115" s="1221">
        <f>SP!S352+SP!S507++SP!S465</f>
        <v>36200</v>
      </c>
      <c r="S115" s="20"/>
    </row>
    <row r="116" spans="1:19" s="6" customFormat="1" x14ac:dyDescent="0.2">
      <c r="A116" s="25">
        <f>CIV!B1621</f>
        <v>-411500</v>
      </c>
      <c r="B116" s="742">
        <f>CIV!C1621</f>
        <v>-432700</v>
      </c>
      <c r="C116" s="742">
        <f>CIV!D1621</f>
        <v>-424800</v>
      </c>
      <c r="D116" s="742">
        <f>CIV!E1621</f>
        <v>-390900</v>
      </c>
      <c r="E116" s="4" t="s">
        <v>2502</v>
      </c>
      <c r="F116" s="7"/>
      <c r="G116" s="742">
        <f>CIV!H1621</f>
        <v>-311000</v>
      </c>
      <c r="H116" s="743">
        <f>CIV!J1621</f>
        <v>-318800</v>
      </c>
      <c r="I116" s="743">
        <f>CIV!K1621</f>
        <v>-327500</v>
      </c>
      <c r="J116" s="743">
        <f>CIV!L1621</f>
        <v>-336300</v>
      </c>
      <c r="K116" s="743">
        <f>CIV!M1621</f>
        <v>-345400</v>
      </c>
      <c r="L116" s="743">
        <f>CIV!N1621</f>
        <v>-354700</v>
      </c>
      <c r="M116" s="742">
        <f>CIV!O1621</f>
        <v>-364200</v>
      </c>
      <c r="N116" s="742">
        <f>CIV!P1621</f>
        <v>-373800</v>
      </c>
      <c r="O116" s="742">
        <f>CIV!Q1621</f>
        <v>-383700</v>
      </c>
      <c r="P116" s="742">
        <f>CIV!R1621</f>
        <v>-393700</v>
      </c>
      <c r="Q116" s="1221">
        <f>CIV!S1621</f>
        <v>-404000</v>
      </c>
      <c r="S116" s="20"/>
    </row>
    <row r="117" spans="1:19" s="11" customFormat="1" x14ac:dyDescent="0.2">
      <c r="A117" s="1217">
        <f>SUM(A111:A116)</f>
        <v>0</v>
      </c>
      <c r="B117" s="735">
        <f>SUM(B111:B116)</f>
        <v>0</v>
      </c>
      <c r="C117" s="735">
        <f>SUM(C111:C116)</f>
        <v>0</v>
      </c>
      <c r="D117" s="735">
        <f t="shared" ref="D117" si="44">SUM(D111:D116)</f>
        <v>0</v>
      </c>
      <c r="E117" s="18"/>
      <c r="F117" s="33"/>
      <c r="G117" s="735">
        <f t="shared" ref="G117:M117" si="45">SUM(G111:G116)</f>
        <v>0</v>
      </c>
      <c r="H117" s="736">
        <f t="shared" si="45"/>
        <v>0</v>
      </c>
      <c r="I117" s="736">
        <f t="shared" si="45"/>
        <v>0</v>
      </c>
      <c r="J117" s="736">
        <f t="shared" si="45"/>
        <v>0</v>
      </c>
      <c r="K117" s="736">
        <f t="shared" si="45"/>
        <v>0</v>
      </c>
      <c r="L117" s="736">
        <f t="shared" si="45"/>
        <v>0</v>
      </c>
      <c r="M117" s="735">
        <f t="shared" si="45"/>
        <v>0</v>
      </c>
      <c r="N117" s="735">
        <f t="shared" ref="N117:O117" si="46">SUM(N111:N116)</f>
        <v>0</v>
      </c>
      <c r="O117" s="735">
        <f t="shared" si="46"/>
        <v>0</v>
      </c>
      <c r="P117" s="735">
        <f t="shared" ref="P117:Q117" si="47">SUM(P111:P116)</f>
        <v>0</v>
      </c>
      <c r="Q117" s="1218">
        <f t="shared" si="47"/>
        <v>0</v>
      </c>
      <c r="S117" s="20"/>
    </row>
    <row r="118" spans="1:19" s="6" customFormat="1" x14ac:dyDescent="0.2">
      <c r="A118" s="154"/>
      <c r="B118" s="742"/>
      <c r="C118" s="742"/>
      <c r="D118" s="742"/>
      <c r="E118" s="10"/>
      <c r="F118" s="7"/>
      <c r="G118" s="742"/>
      <c r="H118" s="743"/>
      <c r="I118" s="743"/>
      <c r="J118" s="743"/>
      <c r="K118" s="743"/>
      <c r="L118" s="743"/>
      <c r="M118" s="742"/>
      <c r="N118" s="742"/>
      <c r="O118" s="742"/>
      <c r="P118" s="742"/>
      <c r="Q118" s="1221"/>
      <c r="S118" s="20"/>
    </row>
    <row r="119" spans="1:19" s="6" customFormat="1" x14ac:dyDescent="0.2">
      <c r="A119" s="154"/>
      <c r="B119" s="742"/>
      <c r="C119" s="742"/>
      <c r="D119" s="742"/>
      <c r="E119" s="22" t="s">
        <v>2522</v>
      </c>
      <c r="F119" s="7"/>
      <c r="G119" s="742"/>
      <c r="H119" s="743"/>
      <c r="I119" s="743"/>
      <c r="J119" s="743"/>
      <c r="K119" s="743"/>
      <c r="L119" s="743"/>
      <c r="M119" s="742"/>
      <c r="N119" s="742"/>
      <c r="O119" s="742"/>
      <c r="P119" s="742"/>
      <c r="Q119" s="1221"/>
      <c r="S119" s="20"/>
    </row>
    <row r="120" spans="1:19" s="6" customFormat="1" x14ac:dyDescent="0.2">
      <c r="A120" s="154">
        <f>GM!B1011++GM!B953+GM!B661-GM!B373-GM!B212++GM!B542+GM!B596+GM!B718+GM!B820-GM!B120-GM!B165-GM!B251-GM!B307++GM!B436-GM!B1120</f>
        <v>0</v>
      </c>
      <c r="B120" s="742">
        <f>GM!C1011++GM!C953+GM!C661-GM!C373-GM!C212++GM!C542+GM!C596+GM!C718+GM!C820-GM!C120-GM!C165-GM!C251-GM!C307++GM!C436-GM!C1120</f>
        <v>0</v>
      </c>
      <c r="C120" s="742">
        <f>GM!D1011++GM!D953+GM!D661-GM!D373-GM!D212++GM!D542+GM!D596+GM!D718+GM!D820-GM!D120-GM!D165-GM!D251-GM!D307++GM!D436-GM!D1120</f>
        <v>0</v>
      </c>
      <c r="D120" s="742">
        <f>GM!E1011++GM!E953+GM!E661-GM!E373-GM!E212++GM!E542+GM!E596+GM!E718+GM!E820-GM!E120-GM!E165-GM!E251-GM!E307++GM!E436-GM!E1120</f>
        <v>0</v>
      </c>
      <c r="E120" s="4" t="str">
        <f>E59</f>
        <v>General Manager's Group</v>
      </c>
      <c r="F120" s="7"/>
      <c r="G120" s="742">
        <f>GM!H1011++GM!H953+GM!H661-GM!H373-GM!H212+GM!H542+GM!H596+GM!H718+GM!H820-GM!H120-GM!H165-GM!H251-GM!H307++GM!H436-GM!H1120</f>
        <v>0</v>
      </c>
      <c r="H120" s="743">
        <f>GM!J1011++GM!J953+GM!J661-GM!J373-GM!J212+GM!J542+GM!J596+GM!J718+GM!J820-GM!J120-GM!J165-GM!J251-GM!J307++GM!J436-GM!J1120</f>
        <v>0</v>
      </c>
      <c r="I120" s="743">
        <f>GM!K1011++GM!K953+GM!K661-GM!K373-GM!K212+GM!K542+GM!K596+GM!K718+GM!K820-GM!K120-GM!K165-GM!K251-GM!K307++GM!K436-GM!K1120</f>
        <v>0</v>
      </c>
      <c r="J120" s="743">
        <f>GM!L1011++GM!L953+GM!L661-GM!L373-GM!L212+GM!L542+GM!L596+GM!L718+GM!L820-GM!L120-GM!L165-GM!L251-GM!L307++GM!L436-GM!L1120</f>
        <v>0</v>
      </c>
      <c r="K120" s="743">
        <f>GM!M1011++GM!M953+GM!M661-GM!M373-GM!M212+GM!M542+GM!M596+GM!M718+GM!M820-GM!M120-GM!M165-GM!M251-GM!M307++GM!M436-GM!M1120</f>
        <v>0</v>
      </c>
      <c r="L120" s="743">
        <f>GM!N1011++GM!N953+GM!N661-GM!N373-GM!N212+GM!N542+GM!N596+GM!N718+GM!N820-GM!N120-GM!N165-GM!N251-GM!N307++GM!N436-GM!N1120</f>
        <v>0</v>
      </c>
      <c r="M120" s="742">
        <f>GM!O1011++GM!O953+GM!O661-GM!O373-GM!O212+GM!O542+GM!O596+GM!O718+GM!O820-GM!O120-GM!O165-GM!O251-GM!O307++GM!O436-GM!O1120</f>
        <v>0</v>
      </c>
      <c r="N120" s="742">
        <f>GM!P1011++GM!P953+GM!P661-GM!P373-GM!P212+GM!P542+GM!P596+GM!P718+GM!P820-GM!P120-GM!P165-GM!P251-GM!P307++GM!P436-GM!P1120</f>
        <v>0</v>
      </c>
      <c r="O120" s="742">
        <f>GM!Q1011++GM!Q953+GM!Q661-GM!Q373-GM!Q212+GM!Q542+GM!Q596+GM!Q718+GM!Q820-GM!Q120-GM!Q165-GM!Q251-GM!Q307++GM!Q436-GM!Q1120</f>
        <v>0</v>
      </c>
      <c r="P120" s="742">
        <f>GM!R1011++GM!R953+GM!R661-GM!R373-GM!R212+GM!R542+GM!R596+GM!R718+GM!R820-GM!R120-GM!R165-GM!R251-GM!R307++GM!R436-GM!R1120</f>
        <v>0</v>
      </c>
      <c r="Q120" s="1221">
        <f>GM!S1011++GM!S953+GM!S661-GM!S373-GM!S212+GM!S542+GM!S596+GM!S718+GM!S820-GM!S120-GM!S165-GM!S251-GM!S307++GM!S436-GM!S1120</f>
        <v>0</v>
      </c>
      <c r="S120" s="20"/>
    </row>
    <row r="121" spans="1:19" s="6" customFormat="1" x14ac:dyDescent="0.2">
      <c r="A121" s="154">
        <f>DEH!B79+DEH!B114+DEH!B165++DEH!B209-DEH!B274-DEH!B333-DEH!B399-DEH!B460</f>
        <v>0</v>
      </c>
      <c r="B121" s="742">
        <f>DEH!C79+DEH!C114+DEH!C165++DEH!C209-DEH!C274-DEH!C333-DEH!C399-DEH!C460</f>
        <v>0</v>
      </c>
      <c r="C121" s="742">
        <f>DEH!D79+DEH!D114+DEH!D165++DEH!D209-DEH!D274-DEH!D333-DEH!D399-DEH!D460</f>
        <v>0</v>
      </c>
      <c r="D121" s="742">
        <f>DEH!E79+DEH!E114+DEH!E165++DEH!E209-DEH!E274-DEH!E333-DEH!E399-DEH!E460</f>
        <v>0</v>
      </c>
      <c r="E121" s="4" t="str">
        <f>E60</f>
        <v>Development &amp; Envi Health Group</v>
      </c>
      <c r="F121" s="7"/>
      <c r="G121" s="742">
        <f>DEH!H79+DEH!H114+DEH!H165++DEH!H209-DEH!H274-DEH!H333-DEH!H399-DEH!H460</f>
        <v>0</v>
      </c>
      <c r="H121" s="743">
        <f>DEH!J79+DEH!J114+DEH!J165++DEH!J209-DEH!J274-DEH!J333-DEH!J399-DEH!J460</f>
        <v>0</v>
      </c>
      <c r="I121" s="743">
        <f>DEH!K79+DEH!K114+DEH!K165++DEH!K209-DEH!K274-DEH!K333-DEH!K399-DEH!K460</f>
        <v>0</v>
      </c>
      <c r="J121" s="743">
        <f>DEH!L79+DEH!L114+DEH!L165++DEH!L209-DEH!L274-DEH!L333-DEH!L399-DEH!L460</f>
        <v>0</v>
      </c>
      <c r="K121" s="743">
        <f>DEH!M79+DEH!M114+DEH!M165++DEH!M209-DEH!M274-DEH!M333-DEH!M399-DEH!M460</f>
        <v>0</v>
      </c>
      <c r="L121" s="743">
        <f>DEH!N79+DEH!N114+DEH!N165++DEH!N209-DEH!N274-DEH!N333-DEH!N399-DEH!N460</f>
        <v>0</v>
      </c>
      <c r="M121" s="742">
        <f>DEH!O79+DEH!O114+DEH!O165++DEH!O209-DEH!O274-DEH!O333-DEH!O399-DEH!O460</f>
        <v>0</v>
      </c>
      <c r="N121" s="742">
        <f>DEH!Q79+DEH!Q114+DEH!Q165++DEH!Q209-DEH!Q274-DEH!Q333-DEH!Q399-DEH!Q460</f>
        <v>0</v>
      </c>
      <c r="O121" s="742">
        <f>DEH!R79+DEH!R114+DEH!R165++DEH!R209-DEH!R274-DEH!R333-DEH!R399-DEH!R460</f>
        <v>0</v>
      </c>
      <c r="P121" s="742">
        <f>DEH!S79+DEH!S114+DEH!S165++DEH!S209-DEH!S274-DEH!S333-DEH!S399-DEH!S460</f>
        <v>0</v>
      </c>
      <c r="Q121" s="1221">
        <f>DEH!T79+DEH!T114+DEH!T165++DEH!T209-DEH!T274-DEH!T333-DEH!T399-DEH!T460</f>
        <v>0</v>
      </c>
      <c r="S121" s="20"/>
    </row>
    <row r="122" spans="1:19" s="6" customFormat="1" x14ac:dyDescent="0.2">
      <c r="A122" s="154">
        <f>CIV!B879+CIV!B120+CIV!B234+CIV!B291+CIV!B355+CIV!B394+CIV!B465+CIV!B523+CIV!B617++CIV!B689+CIV!B746-CIV!B813-CIV!B1018-CIV!B1083-CIV!B1154-CIV!B1272-CIV!B1383-CIV!B1655-CIV!B1781-CIV!B1976-CIV!B2047-CIV!B1585-CIV!B1521-CIV!B1474-CIV!B1217-CIV!B879+CIV!B562-CIV!B1713</f>
        <v>0</v>
      </c>
      <c r="B122" s="742">
        <f>CIV!C879+CIV!C120+CIV!C234+CIV!C291+CIV!C355+CIV!C394+CIV!C465+CIV!C523+CIV!C617++CIV!C689+CIV!C746-CIV!C813-CIV!C1018-CIV!C1083-CIV!C1154-CIV!C1272-CIV!C1383-CIV!C1655-CIV!C1781-CIV!C1976-CIV!C2047-CIV!C1585-CIV!C1521-CIV!C1474-CIV!C1217-CIV!C879+CIV!C562-CIV!C1713</f>
        <v>0</v>
      </c>
      <c r="C122" s="742">
        <f>CIV!D879+CIV!D120+CIV!D234+CIV!D291+CIV!D355+CIV!D394+CIV!D465+CIV!D523+CIV!D617++CIV!D689+CIV!D746-CIV!D813-CIV!D1018-CIV!D1083-CIV!D1154-CIV!D1272-CIV!D1383-CIV!D1655-CIV!D1781-CIV!D1976-CIV!D2047-CIV!D1585-CIV!D1521-CIV!D1474-CIV!D1217-CIV!D879+CIV!D562-CIV!D1713</f>
        <v>0</v>
      </c>
      <c r="D122" s="742">
        <f>CIV!E879+CIV!E120+CIV!E234+CIV!E291+CIV!E355+CIV!E394+CIV!E465+CIV!E523+CIV!E617++CIV!E689+CIV!E746-CIV!E813-CIV!E1018-CIV!E1083-CIV!E1154-CIV!E1272-CIV!E1383-CIV!E1655-CIV!E1781-CIV!E1976-CIV!E2047-CIV!E1585-CIV!E1521-CIV!E1474-CIV!E1217-CIV!E879+CIV!E562-CIV!E1713</f>
        <v>0</v>
      </c>
      <c r="E122" s="4" t="str">
        <f>E61</f>
        <v>Civil Services</v>
      </c>
      <c r="F122" s="7"/>
      <c r="G122" s="742">
        <f>CIV!H879+CIV!H120+CIV!H234+CIV!H291+CIV!H355+CIV!H394+CIV!H465+CIV!H523+CIV!H617++CIV!H689+CIV!H746-CIV!H813-CIV!H1018-CIV!H1083-CIV!H1154-CIV!H1272-CIV!H1383-CIV!H1655-CIV!H1781-CIV!H1976-CIV!H2047-CIV!H1585-CIV!H1521-CIV!H1474-CIV!H1217-CIV!H879+CIV!H562-CIV!H1713</f>
        <v>0</v>
      </c>
      <c r="H122" s="742">
        <f>CIV!J879+CIV!J120+CIV!J234+CIV!J291+CIV!J355+CIV!J394+CIV!J465+CIV!J523+CIV!J617++CIV!J689+CIV!J746-CIV!J813-CIV!J1018-CIV!J1083-CIV!J1154-CIV!J1272-CIV!J1383-CIV!J1655-CIV!J1781-CIV!J1976-CIV!J2047-CIV!J1585-CIV!J1521-CIV!J1474-CIV!J1217-CIV!J879+CIV!J562-CIV!J1713</f>
        <v>0</v>
      </c>
      <c r="I122" s="742">
        <f>CIV!K879+CIV!K120+CIV!K234+CIV!K291+CIV!K355+CIV!K394+CIV!K465+CIV!K523+CIV!K617++CIV!K689+CIV!K746-CIV!K813-CIV!K1018-CIV!K1083-CIV!K1154-CIV!K1272-CIV!K1383-CIV!K1655-CIV!K1781-CIV!K1976-CIV!K2047-CIV!K1585-CIV!K1521-CIV!K1474-CIV!K1217-CIV!K879+CIV!K562-CIV!K1713</f>
        <v>0</v>
      </c>
      <c r="J122" s="742">
        <f>CIV!L879+CIV!L120+CIV!L234+CIV!L291+CIV!L355+CIV!L394+CIV!L465+CIV!L523+CIV!L617++CIV!L689+CIV!L746-CIV!L813-CIV!L1018-CIV!L1083-CIV!L1154-CIV!L1272-CIV!L1383-CIV!L1655-CIV!L1781-CIV!L1976-CIV!L2047-CIV!L1585-CIV!L1521-CIV!L1474-CIV!L1217-CIV!L879+CIV!L562-CIV!L1713</f>
        <v>0</v>
      </c>
      <c r="K122" s="742">
        <f>CIV!M879+CIV!M120+CIV!M234+CIV!M291+CIV!M355+CIV!M394+CIV!M465+CIV!M523+CIV!M617++CIV!M689+CIV!M746-CIV!M813-CIV!M1018-CIV!M1083-CIV!M1154-CIV!M1272-CIV!M1383-CIV!M1655-CIV!M1781-CIV!M1976-CIV!M2047-CIV!M1585-CIV!M1521-CIV!M1474-CIV!M1217-CIV!M879+CIV!M562-CIV!M1713</f>
        <v>0</v>
      </c>
      <c r="L122" s="742">
        <f>CIV!N879+CIV!N120+CIV!N234+CIV!N291+CIV!N355+CIV!N394+CIV!N465+CIV!N523+CIV!N617++CIV!N689+CIV!N746-CIV!N813-CIV!N1018-CIV!N1083-CIV!N1154-CIV!N1272-CIV!N1383-CIV!N1655-CIV!N1781-CIV!N1976-CIV!N2047-CIV!N1585-CIV!N1521-CIV!N1474-CIV!N1217-CIV!N879+CIV!N562-CIV!N1713</f>
        <v>0</v>
      </c>
      <c r="M122" s="742">
        <f>CIV!O879+CIV!O120+CIV!O234+CIV!O291+CIV!O355+CIV!O394+CIV!O465+CIV!O523+CIV!O617++CIV!O689+CIV!O746-CIV!O813-CIV!O1018-CIV!O1083-CIV!O1154-CIV!O1272-CIV!O1383-CIV!O1655-CIV!O1781-CIV!O1976-CIV!O2047-CIV!O1585-CIV!O1521-CIV!O1474-CIV!O1217-CIV!O879+CIV!O562-CIV!O1713</f>
        <v>0</v>
      </c>
      <c r="N122" s="742">
        <f>CIV!P879+CIV!P120+CIV!P234+CIV!P291+CIV!P355+CIV!P394+CIV!P465+CIV!P523+CIV!P617++CIV!P689+CIV!P746-CIV!P813-CIV!P1018-CIV!P1083-CIV!P1154-CIV!P1272-CIV!P1383-CIV!P1655-CIV!P1781-CIV!P1976-CIV!P2047-CIV!P1585-CIV!P1521-CIV!P1474-CIV!P1217-CIV!P879+CIV!P562-CIV!P1713</f>
        <v>0</v>
      </c>
      <c r="O122" s="742">
        <f>CIV!Q879+CIV!Q120+CIV!Q234+CIV!Q291+CIV!Q355+CIV!Q394+CIV!Q465+CIV!Q523+CIV!Q617++CIV!Q689+CIV!Q746-CIV!Q813-CIV!Q1018-CIV!Q1083-CIV!Q1154-CIV!Q1272-CIV!Q1383-CIV!Q1655-CIV!Q1781-CIV!Q1976-CIV!Q2047-CIV!Q1585-CIV!Q1521-CIV!Q1474-CIV!Q1217-CIV!Q879+CIV!Q562-CIV!Q1713</f>
        <v>0</v>
      </c>
      <c r="P122" s="742">
        <f>CIV!R879+CIV!R120+CIV!R234+CIV!R291+CIV!R355+CIV!R394+CIV!R465+CIV!R523+CIV!R617++CIV!R689+CIV!R746-CIV!R813-CIV!R1018-CIV!R1083-CIV!R1154-CIV!R1272-CIV!R1383-CIV!R1655-CIV!R1781-CIV!R1976-CIV!R2047-CIV!R1585-CIV!R1521-CIV!R1474-CIV!R1217-CIV!R879+CIV!R562-CIV!R1713</f>
        <v>0</v>
      </c>
      <c r="Q122" s="1221">
        <f>CIV!S879+CIV!S120+CIV!S234+CIV!S291+CIV!S355+CIV!S394+CIV!S465+CIV!S523+CIV!S617++CIV!S689+CIV!S746-CIV!S813-CIV!S1018-CIV!S1083-CIV!S1154-CIV!S1272-CIV!S1383-CIV!S1655-CIV!S1781-CIV!S1976-CIV!S2047-CIV!S1585-CIV!S1521-CIV!S1474-CIV!S1217-CIV!S879+CIV!S562-CIV!S1713</f>
        <v>0</v>
      </c>
      <c r="S122" s="20"/>
    </row>
    <row r="123" spans="1:19" s="6" customFormat="1" x14ac:dyDescent="0.2">
      <c r="A123" s="154">
        <f>SP!B422+SP!B593+SP!B659+SP!B843-SP!B46++SP!B714+SP!B776</f>
        <v>0</v>
      </c>
      <c r="B123" s="742">
        <f>SP!C422+SP!C593+SP!C659+SP!C843-SP!C46++SP!C714+SP!C776</f>
        <v>0</v>
      </c>
      <c r="C123" s="742">
        <f>SP!D422+SP!D593+SP!D659+SP!D843-SP!D46++SP!D714+SP!D776</f>
        <v>0</v>
      </c>
      <c r="D123" s="742">
        <f>SP!E422+SP!E593+SP!E659+SP!E843-SP!E46++SP!E714+SP!E776</f>
        <v>0</v>
      </c>
      <c r="E123" s="4" t="str">
        <f>E62</f>
        <v>Strategic &amp; Comm Facs Group</v>
      </c>
      <c r="F123" s="7"/>
      <c r="G123" s="742">
        <f>ROUND(SP!H422+SP!H593+SP!H659+SP!H843-SP!H46++SP!H714+SP!H776,-3)</f>
        <v>0</v>
      </c>
      <c r="H123" s="743">
        <f>ROUND(SP!J422+SP!J593+SP!J659+SP!J843-SP!J46++SP!J714+SP!J776,-3)</f>
        <v>0</v>
      </c>
      <c r="I123" s="743">
        <f>ROUND(SP!K422+SP!K593+SP!K659+SP!K843-SP!K46++SP!K714+SP!K776,-3)</f>
        <v>0</v>
      </c>
      <c r="J123" s="743">
        <f>ROUND(SP!L422+SP!L593+SP!L659+SP!L843-SP!L46++SP!L714+SP!L776,-3)</f>
        <v>0</v>
      </c>
      <c r="K123" s="743">
        <f>ROUND(SP!M422+SP!M593+SP!M659+SP!M843-SP!M46++SP!M714+SP!M776,-3)</f>
        <v>0</v>
      </c>
      <c r="L123" s="743">
        <f>ROUND(SP!N422+SP!N593+SP!N659+SP!N843-SP!N46++SP!N714+SP!N776,-3)</f>
        <v>0</v>
      </c>
      <c r="M123" s="742">
        <f>ROUND(SP!O422+SP!O593+SP!O659+SP!O843-SP!O46++SP!O714+SP!O776,-3)</f>
        <v>0</v>
      </c>
      <c r="N123" s="742">
        <f>ROUND(SP!P422+SP!P593+SP!P659+SP!P843-SP!P46++SP!P714+SP!P776,-3)</f>
        <v>0</v>
      </c>
      <c r="O123" s="742">
        <f>ROUND(SP!Q422+SP!Q593+SP!Q659+SP!Q843-SP!Q46++SP!Q714+SP!Q776,-3)</f>
        <v>0</v>
      </c>
      <c r="P123" s="742">
        <f>ROUND(SP!R422+SP!R593+SP!R659+SP!R843-SP!R46++SP!R714+SP!R776,-3)</f>
        <v>0</v>
      </c>
      <c r="Q123" s="1221">
        <f>ROUND(SP!S422+SP!S593+SP!S659+SP!S843-SP!S46++SP!S714+SP!S776,-3)</f>
        <v>0</v>
      </c>
      <c r="S123" s="20"/>
    </row>
    <row r="124" spans="1:19" s="11" customFormat="1" x14ac:dyDescent="0.2">
      <c r="A124" s="1217">
        <f>SUM(A120:A123)</f>
        <v>0</v>
      </c>
      <c r="B124" s="735">
        <f>SUM(B120:B123)</f>
        <v>0</v>
      </c>
      <c r="C124" s="735">
        <f>SUM(C120:C123)</f>
        <v>0</v>
      </c>
      <c r="D124" s="735">
        <f>SUM(D120:D123)</f>
        <v>0</v>
      </c>
      <c r="E124" s="18"/>
      <c r="F124" s="33"/>
      <c r="G124" s="735">
        <f t="shared" ref="G124:M124" si="48">SUM(G120:G123)</f>
        <v>0</v>
      </c>
      <c r="H124" s="736">
        <f t="shared" si="48"/>
        <v>0</v>
      </c>
      <c r="I124" s="736">
        <f t="shared" si="48"/>
        <v>0</v>
      </c>
      <c r="J124" s="736">
        <f t="shared" si="48"/>
        <v>0</v>
      </c>
      <c r="K124" s="736">
        <f t="shared" si="48"/>
        <v>0</v>
      </c>
      <c r="L124" s="736">
        <f t="shared" si="48"/>
        <v>0</v>
      </c>
      <c r="M124" s="735">
        <f t="shared" si="48"/>
        <v>0</v>
      </c>
      <c r="N124" s="735">
        <f t="shared" ref="N124:O124" si="49">SUM(N120:N123)</f>
        <v>0</v>
      </c>
      <c r="O124" s="735">
        <f t="shared" si="49"/>
        <v>0</v>
      </c>
      <c r="P124" s="735">
        <f t="shared" ref="P124:Q124" si="50">SUM(P120:P123)</f>
        <v>0</v>
      </c>
      <c r="Q124" s="1218">
        <f t="shared" si="50"/>
        <v>0</v>
      </c>
      <c r="S124" s="20"/>
    </row>
    <row r="125" spans="1:19" s="6" customFormat="1" x14ac:dyDescent="0.2">
      <c r="A125" s="154"/>
      <c r="B125" s="742"/>
      <c r="C125" s="742"/>
      <c r="D125" s="742"/>
      <c r="E125" s="17"/>
      <c r="F125" s="7"/>
      <c r="G125" s="742"/>
      <c r="H125" s="743"/>
      <c r="I125" s="743"/>
      <c r="J125" s="743"/>
      <c r="K125" s="743"/>
      <c r="L125" s="743"/>
      <c r="M125" s="742"/>
      <c r="N125" s="742"/>
      <c r="O125" s="742"/>
      <c r="P125" s="742"/>
      <c r="Q125" s="1221"/>
      <c r="S125" s="20"/>
    </row>
    <row r="126" spans="1:19" s="6" customFormat="1" x14ac:dyDescent="0.2">
      <c r="A126" s="154"/>
      <c r="B126" s="742"/>
      <c r="C126" s="742"/>
      <c r="D126" s="742"/>
      <c r="E126" s="22" t="s">
        <v>3333</v>
      </c>
      <c r="F126" s="7"/>
      <c r="G126" s="742"/>
      <c r="H126" s="743"/>
      <c r="I126" s="743"/>
      <c r="J126" s="743"/>
      <c r="K126" s="743"/>
      <c r="L126" s="743"/>
      <c r="M126" s="742"/>
      <c r="N126" s="742"/>
      <c r="O126" s="742"/>
      <c r="P126" s="742"/>
      <c r="Q126" s="1221"/>
      <c r="S126" s="20"/>
    </row>
    <row r="127" spans="1:19" s="6" customFormat="1" x14ac:dyDescent="0.2">
      <c r="A127" s="154">
        <f>ROUND('W&amp;W'!B97-'W&amp;W'!B347,-3)</f>
        <v>0</v>
      </c>
      <c r="B127" s="742">
        <f>'W&amp;W'!C97-'W&amp;W'!C347</f>
        <v>0</v>
      </c>
      <c r="C127" s="742">
        <f>'W&amp;W'!D97-'W&amp;W'!D347</f>
        <v>0</v>
      </c>
      <c r="D127" s="742">
        <f>'W&amp;W'!E97-'W&amp;W'!E347</f>
        <v>0</v>
      </c>
      <c r="E127" s="4" t="s">
        <v>1732</v>
      </c>
      <c r="F127" s="7"/>
      <c r="G127" s="742">
        <f>'W&amp;W'!H97-'W&amp;W'!H347</f>
        <v>0</v>
      </c>
      <c r="H127" s="743">
        <f>'W&amp;W'!J97-'W&amp;W'!J347</f>
        <v>0</v>
      </c>
      <c r="I127" s="743">
        <f>'W&amp;W'!K97-'W&amp;W'!K347</f>
        <v>0</v>
      </c>
      <c r="J127" s="743">
        <f>'W&amp;W'!L97-'W&amp;W'!L347</f>
        <v>0</v>
      </c>
      <c r="K127" s="743">
        <f>'W&amp;W'!M97-'W&amp;W'!M347</f>
        <v>0</v>
      </c>
      <c r="L127" s="743">
        <f>'W&amp;W'!N97-'W&amp;W'!N347</f>
        <v>0</v>
      </c>
      <c r="M127" s="742">
        <f>'W&amp;W'!O97-'W&amp;W'!O347</f>
        <v>0</v>
      </c>
      <c r="N127" s="742">
        <f>'W&amp;W'!P97-'W&amp;W'!P347</f>
        <v>0</v>
      </c>
      <c r="O127" s="742">
        <f>'W&amp;W'!Q97-'W&amp;W'!Q347</f>
        <v>0</v>
      </c>
      <c r="P127" s="742">
        <f>'W&amp;W'!R97-'W&amp;W'!R347</f>
        <v>0</v>
      </c>
      <c r="Q127" s="1221">
        <f>'W&amp;W'!S97-'W&amp;W'!S347</f>
        <v>0</v>
      </c>
      <c r="S127" s="20"/>
    </row>
    <row r="128" spans="1:19" s="6" customFormat="1" x14ac:dyDescent="0.2">
      <c r="A128" s="154">
        <f>ROUND(-'W&amp;W'!B161+'W&amp;W'!B541,-3)</f>
        <v>0</v>
      </c>
      <c r="B128" s="742">
        <f>-'W&amp;W'!C161+'W&amp;W'!C541</f>
        <v>0</v>
      </c>
      <c r="C128" s="742">
        <f>-'W&amp;W'!D161+'W&amp;W'!D541</f>
        <v>0</v>
      </c>
      <c r="D128" s="742">
        <f>-'W&amp;W'!E161+'W&amp;W'!E541</f>
        <v>0</v>
      </c>
      <c r="E128" s="4" t="s">
        <v>3289</v>
      </c>
      <c r="F128" s="7"/>
      <c r="G128" s="742">
        <f>-'W&amp;W'!H161+'W&amp;W'!H541</f>
        <v>0</v>
      </c>
      <c r="H128" s="742">
        <f>-'W&amp;W'!J161+'W&amp;W'!J541</f>
        <v>0</v>
      </c>
      <c r="I128" s="742">
        <f>-'W&amp;W'!K161+'W&amp;W'!K541</f>
        <v>0</v>
      </c>
      <c r="J128" s="742">
        <f>-'W&amp;W'!L161+'W&amp;W'!L541</f>
        <v>0</v>
      </c>
      <c r="K128" s="742">
        <f>-'W&amp;W'!M161+'W&amp;W'!M541</f>
        <v>0</v>
      </c>
      <c r="L128" s="742">
        <f>-'W&amp;W'!N161+'W&amp;W'!N541</f>
        <v>0</v>
      </c>
      <c r="M128" s="742">
        <f>-'W&amp;W'!O161+'W&amp;W'!O541</f>
        <v>0</v>
      </c>
      <c r="N128" s="742">
        <f>-'W&amp;W'!P161+'W&amp;W'!P541</f>
        <v>0</v>
      </c>
      <c r="O128" s="742">
        <f>-'W&amp;W'!Q161+'W&amp;W'!Q541</f>
        <v>0</v>
      </c>
      <c r="P128" s="742">
        <f>-'W&amp;W'!R161+'W&amp;W'!R541</f>
        <v>0</v>
      </c>
      <c r="Q128" s="1221">
        <f>-'W&amp;W'!S161+'W&amp;W'!S541</f>
        <v>0</v>
      </c>
      <c r="S128" s="20"/>
    </row>
    <row r="129" spans="1:19" s="11" customFormat="1" x14ac:dyDescent="0.2">
      <c r="A129" s="1217">
        <f>SUM(A127:A128)</f>
        <v>0</v>
      </c>
      <c r="B129" s="735">
        <f>SUM(B127:B128)</f>
        <v>0</v>
      </c>
      <c r="C129" s="735">
        <f>SUM(C127:C128)</f>
        <v>0</v>
      </c>
      <c r="D129" s="735">
        <f>SUM(D127:D128)</f>
        <v>0</v>
      </c>
      <c r="E129" s="18"/>
      <c r="F129" s="33"/>
      <c r="G129" s="735">
        <f t="shared" ref="G129:M129" si="51">SUM(G127:G128)</f>
        <v>0</v>
      </c>
      <c r="H129" s="736">
        <f t="shared" si="51"/>
        <v>0</v>
      </c>
      <c r="I129" s="736">
        <f t="shared" si="51"/>
        <v>0</v>
      </c>
      <c r="J129" s="736">
        <f t="shared" si="51"/>
        <v>0</v>
      </c>
      <c r="K129" s="736">
        <f t="shared" si="51"/>
        <v>0</v>
      </c>
      <c r="L129" s="736">
        <f t="shared" si="51"/>
        <v>0</v>
      </c>
      <c r="M129" s="735">
        <f t="shared" si="51"/>
        <v>0</v>
      </c>
      <c r="N129" s="735">
        <f t="shared" ref="N129:O129" si="52">SUM(N127:N128)</f>
        <v>0</v>
      </c>
      <c r="O129" s="735">
        <f t="shared" si="52"/>
        <v>0</v>
      </c>
      <c r="P129" s="735">
        <f t="shared" ref="P129:Q129" si="53">SUM(P127:P128)</f>
        <v>0</v>
      </c>
      <c r="Q129" s="1218">
        <f t="shared" si="53"/>
        <v>0</v>
      </c>
      <c r="S129" s="20"/>
    </row>
    <row r="130" spans="1:19" s="6" customFormat="1" x14ac:dyDescent="0.2">
      <c r="A130" s="154"/>
      <c r="B130" s="742"/>
      <c r="C130" s="742"/>
      <c r="D130" s="742"/>
      <c r="E130" s="17"/>
      <c r="F130" s="7"/>
      <c r="G130" s="742"/>
      <c r="H130" s="743"/>
      <c r="I130" s="743"/>
      <c r="J130" s="743"/>
      <c r="K130" s="743"/>
      <c r="L130" s="743"/>
      <c r="M130" s="742"/>
      <c r="N130" s="742"/>
      <c r="O130" s="742"/>
      <c r="P130" s="742"/>
      <c r="Q130" s="1221"/>
      <c r="S130" s="20"/>
    </row>
    <row r="131" spans="1:19" s="6" customFormat="1" x14ac:dyDescent="0.2">
      <c r="A131" s="154"/>
      <c r="B131" s="742"/>
      <c r="C131" s="742"/>
      <c r="D131" s="742"/>
      <c r="E131" s="22" t="s">
        <v>2374</v>
      </c>
      <c r="F131" s="7"/>
      <c r="G131" s="742"/>
      <c r="H131" s="743"/>
      <c r="I131" s="743"/>
      <c r="J131" s="743"/>
      <c r="K131" s="743"/>
      <c r="L131" s="743"/>
      <c r="M131" s="742"/>
      <c r="N131" s="742"/>
      <c r="O131" s="742"/>
      <c r="P131" s="742"/>
      <c r="Q131" s="1221"/>
      <c r="S131" s="20"/>
    </row>
    <row r="132" spans="1:19" s="5" customFormat="1" x14ac:dyDescent="0.2">
      <c r="A132" s="54">
        <f>+SUM(GM!B988:B989)+SUM(GM!B932:B936)+GM!B1102</f>
        <v>730000</v>
      </c>
      <c r="B132" s="97">
        <f>+SUM(GM!C988:C989)+SUM(GM!C932:C936)+GM!C1102</f>
        <v>497000</v>
      </c>
      <c r="C132" s="747">
        <f>+SUM(GM!D988:D989)+SUM(GM!D932:D936)+GM!D1102</f>
        <v>574000</v>
      </c>
      <c r="D132" s="747">
        <f>+SUM(GM!E988:E989)+SUM(GM!E932:E936)+GM!E1102</f>
        <v>587000</v>
      </c>
      <c r="E132" s="4" t="str">
        <f>E111</f>
        <v>GM Group</v>
      </c>
      <c r="F132" s="3"/>
      <c r="G132" s="747">
        <f>+SUM(GM!H988:H989)+SUM(GM!H932:H936)+GM!H1102</f>
        <v>645000</v>
      </c>
      <c r="H132" s="748">
        <f>+SUM(GM!J988:J989)+SUM(GM!J932:J936)+GM!J1102</f>
        <v>659800</v>
      </c>
      <c r="I132" s="748">
        <f>+SUM(GM!K988:K989)+SUM(GM!K932:K936)+GM!K1102</f>
        <v>676200</v>
      </c>
      <c r="J132" s="748">
        <f>+SUM(GM!L988:L989)+SUM(GM!L932:L936)+GM!L1102</f>
        <v>693200</v>
      </c>
      <c r="K132" s="748">
        <f>+SUM(GM!M988:M989)+SUM(GM!M932:M936)+GM!M1102</f>
        <v>710500</v>
      </c>
      <c r="L132" s="748">
        <f>+SUM(GM!N988:N989)+SUM(GM!N932:N936)+GM!N1102</f>
        <v>678200</v>
      </c>
      <c r="M132" s="747">
        <f>+SUM(GM!O988:O989)+SUM(GM!O932:O936)+GM!O1102</f>
        <v>695300</v>
      </c>
      <c r="N132" s="747">
        <f>+SUM(GM!P988:P989)+SUM(GM!P932:P936)+GM!P1102</f>
        <v>712700</v>
      </c>
      <c r="O132" s="747">
        <f>+SUM(GM!Q988:Q989)+SUM(GM!Q932:Q936)+GM!Q1102</f>
        <v>730500</v>
      </c>
      <c r="P132" s="747">
        <f>+SUM(GM!R988:R989)+SUM(GM!R932:R936)+GM!R1102</f>
        <v>748800</v>
      </c>
      <c r="Q132" s="1224">
        <f>+SUM(GM!S988:S989)+SUM(GM!S932:S936)+GM!S1102</f>
        <v>767600</v>
      </c>
      <c r="S132" s="20"/>
    </row>
    <row r="133" spans="1:19" s="5" customFormat="1" x14ac:dyDescent="0.2">
      <c r="A133" s="14"/>
      <c r="B133" s="747"/>
      <c r="C133" s="747"/>
      <c r="D133" s="747"/>
      <c r="E133" s="4" t="str">
        <f>E112</f>
        <v>Development &amp; Env Health Group</v>
      </c>
      <c r="F133" s="3"/>
      <c r="G133" s="747"/>
      <c r="H133" s="748"/>
      <c r="I133" s="748"/>
      <c r="J133" s="748"/>
      <c r="K133" s="748"/>
      <c r="L133" s="748"/>
      <c r="M133" s="747"/>
      <c r="N133" s="747"/>
      <c r="O133" s="747"/>
      <c r="P133" s="747"/>
      <c r="Q133" s="1224"/>
      <c r="S133" s="20"/>
    </row>
    <row r="134" spans="1:19" s="5" customFormat="1" x14ac:dyDescent="0.2">
      <c r="A134" s="14">
        <f>CIV!B1632+++CIV!B1842+CIV!B1749+CIV!B2008</f>
        <v>1175000</v>
      </c>
      <c r="B134" s="747">
        <f>CIV!C1632+++CIV!C1842+CIV!C1749+CIV!C2008</f>
        <v>1554000</v>
      </c>
      <c r="C134" s="747">
        <f>CIV!D1632+++CIV!D1842+CIV!D1749+CIV!D2008</f>
        <v>1578000</v>
      </c>
      <c r="D134" s="747">
        <f>CIV!E1632+++CIV!E1842+CIV!E1749+CIV!E2008</f>
        <v>1659400</v>
      </c>
      <c r="E134" s="4" t="str">
        <f>E113</f>
        <v>Civil Services - General</v>
      </c>
      <c r="F134" s="3"/>
      <c r="G134" s="747">
        <f>CIV!H1632+++CIV!H1842+CIV!H1749+CIV!H2008</f>
        <v>1575000</v>
      </c>
      <c r="H134" s="748">
        <f>CIV!J1632+++CIV!J1842+CIV!J1749+CIV!J2008</f>
        <v>1611200</v>
      </c>
      <c r="I134" s="748">
        <f>CIV!K1632+++CIV!K1842+CIV!K1749+CIV!K2008</f>
        <v>1652400</v>
      </c>
      <c r="J134" s="748">
        <f>CIV!L1632+++CIV!L1842+CIV!L1749+CIV!L2008</f>
        <v>1693800</v>
      </c>
      <c r="K134" s="748">
        <f>CIV!M1632+++CIV!M1842+CIV!M1749+CIV!M2008</f>
        <v>1736400</v>
      </c>
      <c r="L134" s="748">
        <f>CIV!N1632+++CIV!N1842+CIV!N1749+CIV!N2008</f>
        <v>1780300</v>
      </c>
      <c r="M134" s="747">
        <f>CIV!O1632+++CIV!O1842+CIV!O1749+CIV!O2008</f>
        <v>1824400</v>
      </c>
      <c r="N134" s="747">
        <f>CIV!P1632+++CIV!P1842+CIV!P1749+CIV!P2008</f>
        <v>1869800</v>
      </c>
      <c r="O134" s="747">
        <f>CIV!Q1632+++CIV!Q1842+CIV!Q1749+CIV!Q2008</f>
        <v>1916400</v>
      </c>
      <c r="P134" s="747">
        <f>CIV!R1632+++CIV!R1842+CIV!R1749+CIV!R2008</f>
        <v>1964300</v>
      </c>
      <c r="Q134" s="1224">
        <f>CIV!S1632+++CIV!S1842+CIV!S1749+CIV!S2008</f>
        <v>2013500</v>
      </c>
      <c r="S134" s="20"/>
    </row>
    <row r="135" spans="1:19" s="5" customFormat="1" x14ac:dyDescent="0.2">
      <c r="A135" s="14">
        <f>'W&amp;W'!B72+'W&amp;W'!B135-300</f>
        <v>2926000</v>
      </c>
      <c r="B135" s="747">
        <f>'W&amp;W'!C72+'W&amp;W'!C135</f>
        <v>2937000</v>
      </c>
      <c r="C135" s="747">
        <f>'W&amp;W'!D72+'W&amp;W'!D135</f>
        <v>3189000</v>
      </c>
      <c r="D135" s="747">
        <f>'W&amp;W'!E72+'W&amp;W'!E135</f>
        <v>3269000</v>
      </c>
      <c r="E135" s="4" t="str">
        <f>E114</f>
        <v>Civil Services - Water, Wastewater</v>
      </c>
      <c r="F135" s="3"/>
      <c r="G135" s="747">
        <f>'W&amp;W'!H72+'W&amp;W'!H135</f>
        <v>3476000</v>
      </c>
      <c r="H135" s="748">
        <f>'W&amp;W'!J72+'W&amp;W'!J135</f>
        <v>3556000</v>
      </c>
      <c r="I135" s="748">
        <f>'W&amp;W'!K72+'W&amp;W'!K135</f>
        <v>3644900</v>
      </c>
      <c r="J135" s="748">
        <f>'W&amp;W'!L72+'W&amp;W'!L135</f>
        <v>3736000</v>
      </c>
      <c r="K135" s="748">
        <f>'W&amp;W'!M72+'W&amp;W'!M135</f>
        <v>3829400</v>
      </c>
      <c r="L135" s="748">
        <f>'W&amp;W'!N72+'W&amp;W'!N135</f>
        <v>3925200</v>
      </c>
      <c r="M135" s="747">
        <f>'W&amp;W'!O72+'W&amp;W'!O135</f>
        <v>4023300</v>
      </c>
      <c r="N135" s="747">
        <f>'W&amp;W'!P72+'W&amp;W'!P135</f>
        <v>4123900</v>
      </c>
      <c r="O135" s="747">
        <f>'W&amp;W'!Q72+'W&amp;W'!Q135</f>
        <v>4227000</v>
      </c>
      <c r="P135" s="747">
        <f>'W&amp;W'!R72+'W&amp;W'!R135</f>
        <v>4332700</v>
      </c>
      <c r="Q135" s="1224">
        <f>'W&amp;W'!S72+'W&amp;W'!S135</f>
        <v>4441100</v>
      </c>
      <c r="S135" s="20"/>
    </row>
    <row r="136" spans="1:19" s="5" customFormat="1" x14ac:dyDescent="0.2">
      <c r="A136" s="14"/>
      <c r="B136" s="747">
        <f>SP!C545</f>
        <v>0</v>
      </c>
      <c r="C136" s="747">
        <f>SP!D545</f>
        <v>0</v>
      </c>
      <c r="D136" s="747">
        <f>SP!E545</f>
        <v>0</v>
      </c>
      <c r="E136" s="4" t="str">
        <f>E115</f>
        <v>Strategic &amp; Comm Facs Group</v>
      </c>
      <c r="F136" s="3"/>
      <c r="G136" s="747">
        <f>SP!H545</f>
        <v>0</v>
      </c>
      <c r="H136" s="748">
        <f>SP!J545</f>
        <v>0</v>
      </c>
      <c r="I136" s="748">
        <f>SP!K545</f>
        <v>0</v>
      </c>
      <c r="J136" s="748">
        <f>SP!L545</f>
        <v>0</v>
      </c>
      <c r="K136" s="748">
        <f>SP!M545</f>
        <v>0</v>
      </c>
      <c r="L136" s="748">
        <f>SP!N545</f>
        <v>0</v>
      </c>
      <c r="M136" s="747">
        <f>SP!O545</f>
        <v>0</v>
      </c>
      <c r="N136" s="747">
        <f>SP!Q545</f>
        <v>0</v>
      </c>
      <c r="O136" s="747">
        <f>SP!R545</f>
        <v>0</v>
      </c>
      <c r="P136" s="747">
        <f>SP!S545</f>
        <v>0</v>
      </c>
      <c r="Q136" s="1224">
        <f>SP!T535</f>
        <v>0</v>
      </c>
      <c r="S136" s="20"/>
    </row>
    <row r="137" spans="1:19" s="5" customFormat="1" x14ac:dyDescent="0.2">
      <c r="A137" s="14">
        <f>NEWLOG!B35</f>
        <v>89000</v>
      </c>
      <c r="B137" s="747">
        <f>NEWLOG!C35</f>
        <v>69000</v>
      </c>
      <c r="C137" s="747">
        <f>NEWLOG!D35</f>
        <v>61000</v>
      </c>
      <c r="D137" s="747">
        <f>NEWLOG!E35</f>
        <v>69000</v>
      </c>
      <c r="E137" s="4" t="s">
        <v>1072</v>
      </c>
      <c r="F137" s="3"/>
      <c r="G137" s="747">
        <f>NEWLOG!H35</f>
        <v>73000</v>
      </c>
      <c r="H137" s="748">
        <f>NEWLOG!J35</f>
        <v>74700</v>
      </c>
      <c r="I137" s="748">
        <f>NEWLOG!K35</f>
        <v>76600</v>
      </c>
      <c r="J137" s="748">
        <f>NEWLOG!L35</f>
        <v>78500</v>
      </c>
      <c r="K137" s="748">
        <f>NEWLOG!M35</f>
        <v>80500</v>
      </c>
      <c r="L137" s="748">
        <f>NEWLOG!N35</f>
        <v>82500</v>
      </c>
      <c r="M137" s="747">
        <f>NEWLOG!O35</f>
        <v>84600</v>
      </c>
      <c r="N137" s="747">
        <f>NEWLOG!P35</f>
        <v>86700</v>
      </c>
      <c r="O137" s="747">
        <f>NEWLOG!Q35</f>
        <v>88900</v>
      </c>
      <c r="P137" s="747">
        <f>NEWLOG!R35</f>
        <v>91100</v>
      </c>
      <c r="Q137" s="1224">
        <f>NEWLOG!S35</f>
        <v>93400</v>
      </c>
      <c r="S137" s="20"/>
    </row>
    <row r="138" spans="1:19" s="5" customFormat="1" x14ac:dyDescent="0.2">
      <c r="A138" s="14">
        <f>GM!B195</f>
        <v>-4920000</v>
      </c>
      <c r="B138" s="747">
        <f>GM!C195</f>
        <v>-5057000</v>
      </c>
      <c r="C138" s="747">
        <f>GM!D195</f>
        <v>-5402000</v>
      </c>
      <c r="D138" s="747">
        <f>GM!E195-400</f>
        <v>-5584400</v>
      </c>
      <c r="E138" s="4" t="s">
        <v>2349</v>
      </c>
      <c r="F138" s="3"/>
      <c r="G138" s="747">
        <f>GM!H195</f>
        <v>-5769000</v>
      </c>
      <c r="H138" s="748">
        <f>GM!J195</f>
        <v>-5901700</v>
      </c>
      <c r="I138" s="748">
        <f>GM!K195</f>
        <v>-6050100</v>
      </c>
      <c r="J138" s="748">
        <f>GM!L195</f>
        <v>-6201500</v>
      </c>
      <c r="K138" s="748">
        <f>GM!M195</f>
        <v>-6356800</v>
      </c>
      <c r="L138" s="748">
        <f>GM!N195</f>
        <v>-6466200</v>
      </c>
      <c r="M138" s="747">
        <f>GM!O195</f>
        <v>-6627600</v>
      </c>
      <c r="N138" s="747">
        <f>GM!P195</f>
        <v>-6793100</v>
      </c>
      <c r="O138" s="747">
        <f>GM!Q195</f>
        <v>-6962800</v>
      </c>
      <c r="P138" s="747">
        <f>GM!R195</f>
        <v>-7136900</v>
      </c>
      <c r="Q138" s="1224">
        <f>GM!S195</f>
        <v>-7315600</v>
      </c>
      <c r="S138" s="20"/>
    </row>
    <row r="139" spans="1:19" s="12" customFormat="1" x14ac:dyDescent="0.2">
      <c r="A139" s="1225">
        <f>ROUND(SUM(A132:A138),-3)</f>
        <v>0</v>
      </c>
      <c r="B139" s="750">
        <f>SUM(B132:B138)</f>
        <v>0</v>
      </c>
      <c r="C139" s="750">
        <f>SUM(C132:C138)</f>
        <v>0</v>
      </c>
      <c r="D139" s="750">
        <f>SUM(D132:D138)</f>
        <v>0</v>
      </c>
      <c r="E139" s="17"/>
      <c r="F139" s="22"/>
      <c r="G139" s="750">
        <f t="shared" ref="G139:M139" si="54">SUM(G132:G138)</f>
        <v>0</v>
      </c>
      <c r="H139" s="750">
        <f t="shared" si="54"/>
        <v>0</v>
      </c>
      <c r="I139" s="750">
        <f t="shared" si="54"/>
        <v>0</v>
      </c>
      <c r="J139" s="750">
        <f t="shared" si="54"/>
        <v>0</v>
      </c>
      <c r="K139" s="750">
        <f t="shared" si="54"/>
        <v>0</v>
      </c>
      <c r="L139" s="750">
        <f t="shared" si="54"/>
        <v>0</v>
      </c>
      <c r="M139" s="750">
        <f t="shared" si="54"/>
        <v>0</v>
      </c>
      <c r="N139" s="750">
        <f t="shared" ref="N139:O139" si="55">SUM(N132:N138)</f>
        <v>0</v>
      </c>
      <c r="O139" s="750">
        <f t="shared" si="55"/>
        <v>0</v>
      </c>
      <c r="P139" s="750">
        <f t="shared" ref="P139:Q139" si="56">SUM(P132:P138)</f>
        <v>0</v>
      </c>
      <c r="Q139" s="1226">
        <f t="shared" si="56"/>
        <v>0</v>
      </c>
      <c r="S139" s="20"/>
    </row>
    <row r="140" spans="1:19" s="5" customFormat="1" x14ac:dyDescent="0.2">
      <c r="A140" s="14"/>
      <c r="B140" s="747"/>
      <c r="C140" s="747"/>
      <c r="D140" s="747"/>
      <c r="E140" s="17" t="s">
        <v>2745</v>
      </c>
      <c r="F140" s="3"/>
      <c r="G140" s="747"/>
      <c r="H140" s="748"/>
      <c r="I140" s="748"/>
      <c r="J140" s="748"/>
      <c r="K140" s="748"/>
      <c r="L140" s="748"/>
      <c r="M140" s="747"/>
      <c r="N140" s="747"/>
      <c r="O140" s="747"/>
      <c r="P140" s="747"/>
      <c r="Q140" s="1224"/>
      <c r="S140" s="20"/>
    </row>
    <row r="141" spans="1:19" s="5" customFormat="1" x14ac:dyDescent="0.2">
      <c r="A141" s="14">
        <f>CIV!B1848+CIV!B1849+CIV!B2027+CIV!B2023</f>
        <v>0</v>
      </c>
      <c r="B141" s="747">
        <f>CIV!C1848+CIV!C1849+CIV!C2027+CIV!C2023</f>
        <v>0</v>
      </c>
      <c r="C141" s="747">
        <f>CIV!D1848+CIV!D1849+CIV!D2027+CIV!D2023-3800</f>
        <v>0</v>
      </c>
      <c r="D141" s="747">
        <f>CIV!E1848+CIV!E1849+CIV!E2027+CIV!E2023-2500</f>
        <v>0</v>
      </c>
      <c r="E141" s="4" t="s">
        <v>769</v>
      </c>
      <c r="F141" s="3"/>
      <c r="G141" s="747">
        <f>CIV!H1848+CIV!H1849+CIV!H2027+CIV!H2023</f>
        <v>0</v>
      </c>
      <c r="H141" s="748">
        <f>CIV!J1848+CIV!J1849+CIV!J2027+CIV!J2023</f>
        <v>0</v>
      </c>
      <c r="I141" s="748">
        <f>CIV!K1848+CIV!K1849+CIV!K2027+CIV!K2023</f>
        <v>0</v>
      </c>
      <c r="J141" s="748">
        <f>CIV!L1848+CIV!L1849+CIV!L2027+CIV!L2023</f>
        <v>0</v>
      </c>
      <c r="K141" s="748">
        <f>CIV!M1848+CIV!M1849+CIV!M2027+CIV!M2023</f>
        <v>0</v>
      </c>
      <c r="L141" s="748">
        <f>CIV!N1848+CIV!N1849+CIV!N2027+CIV!N2023</f>
        <v>0</v>
      </c>
      <c r="M141" s="747">
        <f>CIV!O1848+CIV!O1849+CIV!O2027+CIV!O2023</f>
        <v>0</v>
      </c>
      <c r="N141" s="747">
        <f>CIV!P1848+CIV!P1849+CIV!P2027+CIV!P2023</f>
        <v>0</v>
      </c>
      <c r="O141" s="747">
        <f>CIV!Q1848+CIV!Q1849+CIV!Q2027+CIV!Q2023</f>
        <v>0</v>
      </c>
      <c r="P141" s="747">
        <f>CIV!R1848+CIV!R1849+CIV!R2027+CIV!R2023</f>
        <v>0</v>
      </c>
      <c r="Q141" s="1224">
        <f>CIV!S1848+CIV!S1849+CIV!S2027+CIV!S2023</f>
        <v>0</v>
      </c>
      <c r="S141" s="20"/>
    </row>
    <row r="142" spans="1:19" s="11" customFormat="1" x14ac:dyDescent="0.2">
      <c r="A142" s="1217">
        <f>ROUND(SUM(A131:A141),-3)</f>
        <v>0</v>
      </c>
      <c r="B142" s="735">
        <f>SUM(B141:B141)</f>
        <v>0</v>
      </c>
      <c r="C142" s="735">
        <f>SUM(C141:C141)</f>
        <v>0</v>
      </c>
      <c r="D142" s="735">
        <f>SUM(D141:D141)</f>
        <v>0</v>
      </c>
      <c r="E142" s="18" t="s">
        <v>2744</v>
      </c>
      <c r="F142" s="33"/>
      <c r="G142" s="735">
        <f t="shared" ref="G142:O142" si="57">SUM(G141:G141)</f>
        <v>0</v>
      </c>
      <c r="H142" s="736">
        <f t="shared" si="57"/>
        <v>0</v>
      </c>
      <c r="I142" s="736">
        <f t="shared" si="57"/>
        <v>0</v>
      </c>
      <c r="J142" s="736">
        <f t="shared" si="57"/>
        <v>0</v>
      </c>
      <c r="K142" s="736">
        <f t="shared" si="57"/>
        <v>0</v>
      </c>
      <c r="L142" s="736">
        <f t="shared" si="57"/>
        <v>0</v>
      </c>
      <c r="M142" s="735">
        <f t="shared" si="57"/>
        <v>0</v>
      </c>
      <c r="N142" s="735">
        <f t="shared" si="57"/>
        <v>0</v>
      </c>
      <c r="O142" s="735">
        <f t="shared" si="57"/>
        <v>0</v>
      </c>
      <c r="P142" s="735">
        <f t="shared" ref="P142:Q142" si="58">SUM(P141:P141)</f>
        <v>0</v>
      </c>
      <c r="Q142" s="1218">
        <f t="shared" si="58"/>
        <v>0</v>
      </c>
      <c r="S142" s="20"/>
    </row>
    <row r="143" spans="1:19" s="6" customFormat="1" x14ac:dyDescent="0.2">
      <c r="A143" s="154"/>
      <c r="B143" s="742"/>
      <c r="C143" s="742"/>
      <c r="D143" s="742"/>
      <c r="E143" s="17"/>
      <c r="F143" s="7"/>
      <c r="G143" s="742"/>
      <c r="H143" s="743"/>
      <c r="I143" s="743"/>
      <c r="J143" s="743"/>
      <c r="K143" s="743"/>
      <c r="L143" s="743"/>
      <c r="M143" s="742"/>
      <c r="N143" s="742"/>
      <c r="O143" s="742"/>
      <c r="P143" s="742"/>
      <c r="Q143" s="1221"/>
      <c r="S143" s="20"/>
    </row>
    <row r="144" spans="1:19" s="6" customFormat="1" x14ac:dyDescent="0.2">
      <c r="A144" s="154"/>
      <c r="B144" s="742"/>
      <c r="C144" s="742">
        <f>'Cap Inc'!B116-'Cash-Gen'!C56</f>
        <v>0</v>
      </c>
      <c r="D144" s="742">
        <f>'Cap Inc'!C116-'Cash-Gen'!D56</f>
        <v>0</v>
      </c>
      <c r="E144" s="10" t="s">
        <v>2668</v>
      </c>
      <c r="F144" s="7"/>
      <c r="G144" s="742">
        <f>'Cap Inc'!F116-'Cash-Gen'!F56</f>
        <v>0</v>
      </c>
      <c r="H144" s="743">
        <f>'Cap Inc'!G116-'Cash-Gen'!G56</f>
        <v>0</v>
      </c>
      <c r="I144" s="743">
        <f>'Cap Inc'!H116-'Cash-Gen'!H56</f>
        <v>0</v>
      </c>
      <c r="J144" s="743">
        <f>'Cap Inc'!I116-'Cash-Gen'!I56</f>
        <v>0</v>
      </c>
      <c r="K144" s="743">
        <f>'Cap Inc'!J116-'Cash-Gen'!J56</f>
        <v>0</v>
      </c>
      <c r="L144" s="743">
        <f>'Cap Inc'!K116-'Cash-Gen'!K56</f>
        <v>0</v>
      </c>
      <c r="M144" s="742">
        <f>'Cap Inc'!L116-'Cash-Gen'!L56</f>
        <v>0</v>
      </c>
      <c r="N144" s="742">
        <f>'Cap Inc'!M116-'Cash-Gen'!M56</f>
        <v>0</v>
      </c>
      <c r="O144" s="742">
        <f>'Cap Inc'!N116-'Cash-Gen'!N56</f>
        <v>0</v>
      </c>
      <c r="P144" s="742">
        <f>'Cap Inc'!O116-'Cash-Gen'!O56</f>
        <v>0</v>
      </c>
      <c r="Q144" s="1221">
        <f>'Cap Inc'!P116-'Cash-Gen'!P56</f>
        <v>0</v>
      </c>
      <c r="S144" s="20"/>
    </row>
    <row r="145" spans="1:19" s="6" customFormat="1" x14ac:dyDescent="0.2">
      <c r="A145" s="154"/>
      <c r="B145" s="742"/>
      <c r="C145" s="742"/>
      <c r="D145" s="742"/>
      <c r="E145" s="10" t="s">
        <v>5979</v>
      </c>
      <c r="F145" s="7"/>
      <c r="G145" s="742">
        <f>-CIV!H1030</f>
        <v>-900000</v>
      </c>
      <c r="H145" s="742">
        <f>-CIV!J1030</f>
        <v>-492000</v>
      </c>
      <c r="I145" s="743">
        <f>-CIV!K1030</f>
        <v>-634000</v>
      </c>
      <c r="J145" s="743">
        <f>-CIV!L1030</f>
        <v>-646700</v>
      </c>
      <c r="K145" s="743">
        <f>-CIV!M1030</f>
        <v>-659700</v>
      </c>
      <c r="L145" s="743">
        <f>-CIV!N1030</f>
        <v>-672900</v>
      </c>
      <c r="M145" s="742">
        <f>-CIV!O1030</f>
        <v>-686400</v>
      </c>
      <c r="N145" s="742">
        <f>-CIV!P1030</f>
        <v>-700200</v>
      </c>
      <c r="O145" s="742">
        <f>-CIV!Q1030</f>
        <v>-714300</v>
      </c>
      <c r="P145" s="742">
        <f>-CIV!R1030</f>
        <v>-728600</v>
      </c>
      <c r="Q145" s="1221">
        <f>-CIV!S1030</f>
        <v>-743200</v>
      </c>
      <c r="S145" s="20"/>
    </row>
    <row r="146" spans="1:19" s="6" customFormat="1" x14ac:dyDescent="0.2">
      <c r="A146" s="154"/>
      <c r="B146" s="742"/>
      <c r="C146" s="742">
        <f>'Cap-Gen'!R221-'Cash-Gen'!C56+'Cap Inc'!B14+'Cap Inc'!B19</f>
        <v>0</v>
      </c>
      <c r="D146" s="742"/>
      <c r="E146" s="10" t="s">
        <v>2668</v>
      </c>
      <c r="F146" s="7"/>
      <c r="G146" s="742">
        <f>'Cap-Gen'!AB221-'Cash-Gen'!F56+'Cap Inc'!F25+'Cap Inc'!F104+'Cap Inc'!F17+'Cap Inc'!F107</f>
        <v>900000</v>
      </c>
      <c r="H146" s="743">
        <f>'Cap-Gen'!AG221-'Cash-Gen'!G56</f>
        <v>492000</v>
      </c>
      <c r="I146" s="743">
        <f>'Cap-Gen'!AL221-'Cash-Gen'!H56</f>
        <v>634000</v>
      </c>
      <c r="J146" s="743">
        <f>'Cap-Gen'!AQ221-'Cash-Gen'!I56</f>
        <v>646700</v>
      </c>
      <c r="K146" s="743">
        <f>'Cap-Gen'!AV221-'Cash-Gen'!J56</f>
        <v>659700</v>
      </c>
      <c r="L146" s="743">
        <f>'Cap-Gen'!BA221-'Cash-Gen'!K56</f>
        <v>672900</v>
      </c>
      <c r="M146" s="742">
        <f>'Cap-Gen'!BF221-'Cash-Gen'!L56</f>
        <v>686400</v>
      </c>
      <c r="N146" s="742">
        <f>'Cap-Gen'!BK221-'Cash-Gen'!M56</f>
        <v>700200</v>
      </c>
      <c r="O146" s="742">
        <f>'Cap-Gen'!BP221-'Cash-Gen'!N56</f>
        <v>714300</v>
      </c>
      <c r="P146" s="742">
        <f>'Cap-Gen'!BU221-'Cash-Gen'!O56</f>
        <v>728600</v>
      </c>
      <c r="Q146" s="1221">
        <f>'Cap-Gen'!BZ221-'Cash-Gen'!P56</f>
        <v>743200</v>
      </c>
      <c r="S146" s="20"/>
    </row>
    <row r="147" spans="1:19" s="6" customFormat="1" x14ac:dyDescent="0.2">
      <c r="A147" s="1217">
        <f>A146+A144</f>
        <v>0</v>
      </c>
      <c r="B147" s="750">
        <f>SUM(B144:B146)</f>
        <v>0</v>
      </c>
      <c r="C147" s="750">
        <f>C146+C144</f>
        <v>0</v>
      </c>
      <c r="D147" s="750">
        <f>D146+D144</f>
        <v>0</v>
      </c>
      <c r="E147" s="18" t="s">
        <v>1731</v>
      </c>
      <c r="F147" s="7"/>
      <c r="G147" s="750">
        <f t="shared" ref="G147:M147" si="59">SUM(G144:G146)</f>
        <v>0</v>
      </c>
      <c r="H147" s="749">
        <f t="shared" si="59"/>
        <v>0</v>
      </c>
      <c r="I147" s="749">
        <f t="shared" si="59"/>
        <v>0</v>
      </c>
      <c r="J147" s="749">
        <f t="shared" si="59"/>
        <v>0</v>
      </c>
      <c r="K147" s="749">
        <f t="shared" si="59"/>
        <v>0</v>
      </c>
      <c r="L147" s="749">
        <f t="shared" si="59"/>
        <v>0</v>
      </c>
      <c r="M147" s="750">
        <f t="shared" si="59"/>
        <v>0</v>
      </c>
      <c r="N147" s="750">
        <f t="shared" ref="N147:O147" si="60">SUM(N144:N146)</f>
        <v>0</v>
      </c>
      <c r="O147" s="750">
        <f t="shared" si="60"/>
        <v>0</v>
      </c>
      <c r="P147" s="750">
        <f t="shared" ref="P147:Q147" si="61">SUM(P144:P146)</f>
        <v>0</v>
      </c>
      <c r="Q147" s="1226">
        <f t="shared" si="61"/>
        <v>0</v>
      </c>
      <c r="S147" s="20"/>
    </row>
    <row r="148" spans="1:19" s="6" customFormat="1" x14ac:dyDescent="0.2">
      <c r="A148" s="154">
        <f>SUM('Cap-Gen'!E239:BJ239)</f>
        <v>0</v>
      </c>
      <c r="B148" s="742">
        <f>SUM('Cap-Gen'!F239:CE239)</f>
        <v>0</v>
      </c>
      <c r="C148" s="742"/>
      <c r="D148" s="742"/>
      <c r="E148" s="10" t="s">
        <v>273</v>
      </c>
      <c r="F148" s="7"/>
      <c r="G148" s="742"/>
      <c r="H148" s="743"/>
      <c r="I148" s="743"/>
      <c r="J148" s="743"/>
      <c r="K148" s="743"/>
      <c r="L148" s="743"/>
      <c r="M148" s="742"/>
      <c r="N148" s="742"/>
      <c r="O148" s="742"/>
      <c r="P148" s="742"/>
      <c r="Q148" s="1221"/>
      <c r="S148" s="20"/>
    </row>
    <row r="149" spans="1:19" s="6" customFormat="1" x14ac:dyDescent="0.2">
      <c r="A149" s="154"/>
      <c r="B149" s="742"/>
      <c r="C149" s="742"/>
      <c r="D149" s="742"/>
      <c r="E149" s="10"/>
      <c r="F149" s="7"/>
      <c r="G149" s="742"/>
      <c r="H149" s="743"/>
      <c r="I149" s="743"/>
      <c r="J149" s="743"/>
      <c r="K149" s="743"/>
      <c r="L149" s="743"/>
      <c r="M149" s="742"/>
      <c r="N149" s="742"/>
      <c r="O149" s="742"/>
      <c r="P149" s="742"/>
      <c r="Q149" s="1221"/>
      <c r="S149" s="20"/>
    </row>
    <row r="150" spans="1:19" s="12" customFormat="1" x14ac:dyDescent="0.2">
      <c r="A150" s="554"/>
      <c r="B150" s="745"/>
      <c r="C150" s="745"/>
      <c r="D150" s="745"/>
      <c r="E150" s="17" t="s">
        <v>1734</v>
      </c>
      <c r="F150" s="22"/>
      <c r="G150" s="745"/>
      <c r="H150" s="744"/>
      <c r="I150" s="744"/>
      <c r="J150" s="744"/>
      <c r="K150" s="744"/>
      <c r="L150" s="744"/>
      <c r="M150" s="745"/>
      <c r="N150" s="745"/>
      <c r="O150" s="745"/>
      <c r="P150" s="745"/>
      <c r="Q150" s="1222"/>
      <c r="S150" s="20"/>
    </row>
    <row r="151" spans="1:19" s="6" customFormat="1" x14ac:dyDescent="0.2">
      <c r="A151" s="154"/>
      <c r="B151" s="742">
        <f>ROUND(Summaries!D142-LTFP!B140/1000,-3)</f>
        <v>0</v>
      </c>
      <c r="C151" s="742"/>
      <c r="D151" s="742"/>
      <c r="E151" s="10" t="s">
        <v>3654</v>
      </c>
      <c r="F151" s="7"/>
      <c r="G151" s="742"/>
      <c r="H151" s="743"/>
      <c r="I151" s="743"/>
      <c r="J151" s="743"/>
      <c r="K151" s="743"/>
      <c r="L151" s="743"/>
      <c r="M151" s="742"/>
      <c r="N151" s="742"/>
      <c r="O151" s="742"/>
      <c r="P151" s="742"/>
      <c r="Q151" s="1221"/>
      <c r="S151" s="20"/>
    </row>
    <row r="152" spans="1:19" s="12" customFormat="1" x14ac:dyDescent="0.2">
      <c r="A152" s="554"/>
      <c r="B152" s="745"/>
      <c r="C152" s="745"/>
      <c r="D152" s="745"/>
      <c r="E152" s="17"/>
      <c r="F152" s="22"/>
      <c r="G152" s="745"/>
      <c r="H152" s="744"/>
      <c r="I152" s="744"/>
      <c r="J152" s="744"/>
      <c r="K152" s="744"/>
      <c r="L152" s="744"/>
      <c r="M152" s="745"/>
      <c r="N152" s="745"/>
      <c r="O152" s="745"/>
      <c r="P152" s="745"/>
      <c r="Q152" s="1222"/>
      <c r="S152" s="20"/>
    </row>
    <row r="153" spans="1:19" s="12" customFormat="1" x14ac:dyDescent="0.2">
      <c r="A153" s="554"/>
      <c r="B153" s="745"/>
      <c r="C153" s="745"/>
      <c r="D153" s="745"/>
      <c r="E153" s="17" t="s">
        <v>887</v>
      </c>
      <c r="F153" s="22"/>
      <c r="G153" s="745"/>
      <c r="H153" s="744"/>
      <c r="I153" s="744"/>
      <c r="J153" s="744"/>
      <c r="K153" s="744"/>
      <c r="L153" s="744"/>
      <c r="M153" s="745"/>
      <c r="N153" s="745"/>
      <c r="O153" s="745"/>
      <c r="P153" s="745"/>
      <c r="Q153" s="1222"/>
      <c r="S153" s="20"/>
    </row>
    <row r="154" spans="1:19" s="12" customFormat="1" x14ac:dyDescent="0.2">
      <c r="A154" s="554"/>
      <c r="B154" s="745"/>
      <c r="C154" s="745"/>
      <c r="D154" s="745"/>
      <c r="E154" s="17" t="s">
        <v>1649</v>
      </c>
      <c r="F154" s="22"/>
      <c r="G154" s="745"/>
      <c r="H154" s="744"/>
      <c r="I154" s="744"/>
      <c r="J154" s="744"/>
      <c r="K154" s="744"/>
      <c r="L154" s="744"/>
      <c r="M154" s="745"/>
      <c r="N154" s="745"/>
      <c r="O154" s="745"/>
      <c r="P154" s="745"/>
      <c r="Q154" s="1222"/>
      <c r="S154" s="20"/>
    </row>
    <row r="155" spans="1:19" s="5" customFormat="1" x14ac:dyDescent="0.2">
      <c r="A155" s="14">
        <f>ROUND('Debt-Gen'!E66,-3)</f>
        <v>3216000</v>
      </c>
      <c r="B155" s="747">
        <f>ROUND('Debt-Gen'!G66,-2)</f>
        <v>3395400</v>
      </c>
      <c r="C155" s="747">
        <f>ROUND('Debt-Gen'!I66,-2)</f>
        <v>3788900</v>
      </c>
      <c r="D155" s="747">
        <f>ROUND('Debt-Gen'!K66,-2)</f>
        <v>3696200</v>
      </c>
      <c r="E155" s="4" t="s">
        <v>888</v>
      </c>
      <c r="F155" s="3"/>
      <c r="G155" s="747">
        <f>ROUND('Debt-Gen'!M66,-2)</f>
        <v>3285700</v>
      </c>
      <c r="H155" s="748">
        <f>ROUND('Debt-Gen'!O66,-2)</f>
        <v>3324800</v>
      </c>
      <c r="I155" s="748">
        <f>ROUND('Debt-Gen'!Q66,-2)-100</f>
        <v>3402000</v>
      </c>
      <c r="J155" s="748">
        <f>ROUND('Debt-Gen'!S66,-2)+100</f>
        <v>3131000</v>
      </c>
      <c r="K155" s="748">
        <f>ROUND('Debt-Gen'!U66,-2)</f>
        <v>3636100</v>
      </c>
      <c r="L155" s="748">
        <f>ROUND('Debt-Gen'!W66,-2)</f>
        <v>3183000</v>
      </c>
      <c r="M155" s="747">
        <f>ROUND('Debt-Gen'!Y66,-2)-100</f>
        <v>2456700</v>
      </c>
      <c r="N155" s="747">
        <f>ROUND('Debt-Gen'!AA66,-2)</f>
        <v>2190000</v>
      </c>
      <c r="O155" s="747">
        <f>ROUND('Debt-Gen'!AC66,-2)</f>
        <v>1569400</v>
      </c>
      <c r="P155" s="747">
        <f>ROUND('Debt-Gen'!AE66,-2)</f>
        <v>1573400</v>
      </c>
      <c r="Q155" s="1224">
        <f>ROUND('Debt-Gen'!AG66,-2)</f>
        <v>1637300</v>
      </c>
      <c r="S155" s="20"/>
    </row>
    <row r="156" spans="1:19" s="5" customFormat="1" x14ac:dyDescent="0.2">
      <c r="A156" s="14">
        <f>ROUND('Cash-Gen'!A81,-3)</f>
        <v>-3216000</v>
      </c>
      <c r="B156" s="747">
        <f>ROUND('Cash-Gen'!B81,-2)</f>
        <v>-3395400</v>
      </c>
      <c r="C156" s="747">
        <f>ROUND('Cash-Gen'!C81,-2)</f>
        <v>-3788900</v>
      </c>
      <c r="D156" s="747">
        <f>ROUND('Cash-Gen'!D81,-2)</f>
        <v>-3696200</v>
      </c>
      <c r="E156" s="4" t="s">
        <v>889</v>
      </c>
      <c r="F156" s="3"/>
      <c r="G156" s="747">
        <f>ROUND('Cash-Gen'!F81,-2)</f>
        <v>-3285700</v>
      </c>
      <c r="H156" s="748">
        <f>ROUND('Cash-Gen'!G81,-2)</f>
        <v>-3324800</v>
      </c>
      <c r="I156" s="748">
        <f>ROUND('Cash-Gen'!H81,-2)</f>
        <v>-3402100</v>
      </c>
      <c r="J156" s="748">
        <f>ROUND('Cash-Gen'!I81,-2)</f>
        <v>-3131000</v>
      </c>
      <c r="K156" s="748">
        <f>ROUND('Cash-Gen'!J81,-2)</f>
        <v>-3636100</v>
      </c>
      <c r="L156" s="748">
        <f>ROUND('Cash-Gen'!K81,-2)</f>
        <v>-3183000</v>
      </c>
      <c r="M156" s="747">
        <f>ROUND('Cash-Gen'!L81,-2)</f>
        <v>-2456800</v>
      </c>
      <c r="N156" s="747">
        <f>ROUND('Cash-Gen'!M81,-2)</f>
        <v>-2190000</v>
      </c>
      <c r="O156" s="747">
        <f>ROUND('Cash-Gen'!N81,-2)</f>
        <v>-1569400</v>
      </c>
      <c r="P156" s="747">
        <f>ROUND('Cash-Gen'!O81,-2)</f>
        <v>-1573400</v>
      </c>
      <c r="Q156" s="1224">
        <f>ROUND('Cash-Gen'!P81,-2)</f>
        <v>-1637300</v>
      </c>
      <c r="S156" s="20"/>
    </row>
    <row r="157" spans="1:19" s="12" customFormat="1" x14ac:dyDescent="0.2">
      <c r="A157" s="1225">
        <f>SUM(A155:A156)</f>
        <v>0</v>
      </c>
      <c r="B157" s="750">
        <f>SUM(B155:B156)</f>
        <v>0</v>
      </c>
      <c r="C157" s="750">
        <f>SUM(C155:C156)</f>
        <v>0</v>
      </c>
      <c r="D157" s="750">
        <f>SUM(D155:D156)</f>
        <v>0</v>
      </c>
      <c r="E157" s="17"/>
      <c r="F157" s="22"/>
      <c r="G157" s="750">
        <f t="shared" ref="G157:M157" si="62">SUM(G155:G156)</f>
        <v>0</v>
      </c>
      <c r="H157" s="749">
        <f t="shared" si="62"/>
        <v>0</v>
      </c>
      <c r="I157" s="749">
        <f t="shared" si="62"/>
        <v>-100</v>
      </c>
      <c r="J157" s="749">
        <f t="shared" si="62"/>
        <v>0</v>
      </c>
      <c r="K157" s="749">
        <f t="shared" si="62"/>
        <v>0</v>
      </c>
      <c r="L157" s="749">
        <f t="shared" si="62"/>
        <v>0</v>
      </c>
      <c r="M157" s="750">
        <f t="shared" si="62"/>
        <v>-100</v>
      </c>
      <c r="N157" s="750">
        <f t="shared" ref="N157:O157" si="63">SUM(N155:N156)</f>
        <v>0</v>
      </c>
      <c r="O157" s="750">
        <f t="shared" si="63"/>
        <v>0</v>
      </c>
      <c r="P157" s="750">
        <f t="shared" ref="P157:Q157" si="64">SUM(P155:P156)</f>
        <v>0</v>
      </c>
      <c r="Q157" s="1226">
        <f t="shared" si="64"/>
        <v>0</v>
      </c>
      <c r="S157" s="20"/>
    </row>
    <row r="158" spans="1:19" s="12" customFormat="1" x14ac:dyDescent="0.2">
      <c r="A158" s="554"/>
      <c r="B158" s="745"/>
      <c r="C158" s="745"/>
      <c r="D158" s="745"/>
      <c r="E158" s="17"/>
      <c r="F158" s="22"/>
      <c r="G158" s="745"/>
      <c r="H158" s="744"/>
      <c r="I158" s="744"/>
      <c r="J158" s="744"/>
      <c r="K158" s="744"/>
      <c r="L158" s="744"/>
      <c r="M158" s="745"/>
      <c r="N158" s="745"/>
      <c r="O158" s="745"/>
      <c r="P158" s="745"/>
      <c r="Q158" s="1222"/>
      <c r="S158" s="20"/>
    </row>
    <row r="159" spans="1:19" s="12" customFormat="1" x14ac:dyDescent="0.2">
      <c r="A159" s="14">
        <f>ROUND(-'Debt-Gen'!F66,-3)</f>
        <v>-1510000</v>
      </c>
      <c r="B159" s="747">
        <f>-ROUND('Debt-Gen'!H66,-3)</f>
        <v>-1333000</v>
      </c>
      <c r="C159" s="747">
        <f>-ROUND('Debt-Gen'!J66,-2)-400</f>
        <v>-1144000</v>
      </c>
      <c r="D159" s="747">
        <f>-ROUND('Debt-Gen'!L66,-2)</f>
        <v>-953400</v>
      </c>
      <c r="E159" s="4" t="s">
        <v>508</v>
      </c>
      <c r="F159" s="22"/>
      <c r="G159" s="747">
        <f>-ROUND('Debt-Gen'!N66,-3)</f>
        <v>-1251000</v>
      </c>
      <c r="H159" s="748">
        <f>-ROUND('Debt-Gen'!P66,-3)</f>
        <v>-1225000</v>
      </c>
      <c r="I159" s="748">
        <f>-ROUND('Debt-Gen'!R66,-2)-100</f>
        <v>-1177800</v>
      </c>
      <c r="J159" s="748">
        <f>-ROUND('Debt-Gen'!T66,-2)</f>
        <v>-1030200</v>
      </c>
      <c r="K159" s="748">
        <f>-ROUND('Debt-Gen'!V66,-2)-100</f>
        <v>-1209900</v>
      </c>
      <c r="L159" s="748">
        <f>-ROUND('Debt-Gen'!X66,-2)-400</f>
        <v>-1038900</v>
      </c>
      <c r="M159" s="747">
        <f>-ROUND('Debt-Gen'!Z66,-3)</f>
        <v>-911000</v>
      </c>
      <c r="N159" s="747">
        <f>-ROUND('Debt-Gen'!AB66,-3)</f>
        <v>-809000</v>
      </c>
      <c r="O159" s="747">
        <f>-ROUND('Debt-Gen'!AD66,-2)</f>
        <v>-724000</v>
      </c>
      <c r="P159" s="747">
        <f>-ROUND('Debt-Gen'!AF66,-2)</f>
        <v>-660400</v>
      </c>
      <c r="Q159" s="1224">
        <f>-ROUND('Debt-Gen'!AH66,-2)</f>
        <v>-596500</v>
      </c>
      <c r="S159" s="20"/>
    </row>
    <row r="160" spans="1:19" s="12" customFormat="1" x14ac:dyDescent="0.2">
      <c r="A160" s="1227">
        <f>ROUND(SP!B132+SP!B574+DEH!B189++CIV!B267+CIV!B333+CIV!B500+GM!B414+CIV!B640++CIV!B716+GM!B350+SP!B231,-3)</f>
        <v>1510000</v>
      </c>
      <c r="B160" s="747">
        <f>ROUND(SP!C132+SP!C574+DEH!C189++CIV!C267+CIV!C333+CIV!C500+GM!C414+++SP!C231+++CIV!C640++CIV!C716++GM!C350,-3)</f>
        <v>1333000</v>
      </c>
      <c r="C160" s="747">
        <f>ROUND(SP!D132+SP!D574+DEH!D189++CIV!D267+CIV!D333+CIV!D500+GM!D414+++SP!D231+++CIV!D640++CIV!D716++GM!D350+SP!D759,-3)</f>
        <v>1144000</v>
      </c>
      <c r="D160" s="747">
        <f>ROUND(SP!E132+SP!E574+DEH!E189++CIV!E267+CIV!E333+CIV!E500+GM!E414+++SP!E231+++CIV!E640++CIV!E716++GM!E350+SP!E759,-3)+31400</f>
        <v>953400</v>
      </c>
      <c r="E160" s="10" t="s">
        <v>4140</v>
      </c>
      <c r="F160" s="22"/>
      <c r="G160" s="747">
        <f>ROUND(SP!H132+SP!H574+DEH!H189++CIV!H267+CIV!H333+CIV!H500+GM!H414+++SP!H231+++CIV!H640++CIV!H716++GM!H350+SP!H759,-3)</f>
        <v>1251000</v>
      </c>
      <c r="H160" s="748">
        <f>ROUND(SP!J132+SP!J574+DEH!J189++CIV!J267+CIV!J333+CIV!J500+GM!J414+++SP!J231+++CIV!J640++CIV!J716++GM!J350+SP!J759,-3)</f>
        <v>1225000</v>
      </c>
      <c r="I160" s="748">
        <f>ROUND(SP!K132+SP!K574+DEH!K189++CIV!K267+CIV!K333+CIV!K500+GM!K414+++SP!K231+++CIV!K640++CIV!K716++GM!K350+SP!K759,-3)</f>
        <v>1178000</v>
      </c>
      <c r="J160" s="748">
        <f>ROUND(SP!L132+SP!L574+DEH!L189++CIV!L267+CIV!L333+CIV!L500+GM!L414+++SP!L231+++CIV!L640++CIV!L716++GM!L350+SP!L759,-3)</f>
        <v>1030000</v>
      </c>
      <c r="K160" s="748">
        <f>ROUND(SP!M132+SP!M574+DEH!M189++CIV!M267+CIV!M333+CIV!M500+GM!M414+++SP!M231+++CIV!M640++CIV!M716++GM!M350+SP!M759,-3)</f>
        <v>1210000</v>
      </c>
      <c r="L160" s="748">
        <f>ROUND(SP!N132+SP!N574+DEH!N189++CIV!N267+CIV!N333+CIV!N500+GM!N414+++SP!N231+++CIV!N640++CIV!N716++GM!N350+SP!N759,-3)</f>
        <v>1039000</v>
      </c>
      <c r="M160" s="747">
        <f>ROUND(SP!O132+SP!O574+DEH!O189++CIV!O267+CIV!O333+CIV!O500+GM!O414+++SP!O231+++CIV!O640++CIV!O716++GM!O350+SP!O759,-3)</f>
        <v>911000</v>
      </c>
      <c r="N160" s="747">
        <f>ROUND(SP!P132+SP!P574+DEH!P189++CIV!P267+CIV!P333+CIV!P500+GM!P414+++SP!P231+++CIV!P640++CIV!P716++GM!P350+SP!P759,-3)</f>
        <v>809000</v>
      </c>
      <c r="O160" s="747">
        <f>ROUND(SP!Q132+SP!Q574+DEH!Q189++CIV!Q267+CIV!Q333+CIV!Q500+GM!Q414+++SP!Q231+++CIV!Q640++CIV!Q716++GM!Q350+SP!Q759,-1)</f>
        <v>724000</v>
      </c>
      <c r="P160" s="747">
        <f>ROUND(SP!R132+SP!R574+DEH!R189++CIV!R267+CIV!R333+CIV!R500+GM!R414+++SP!R231+++CIV!R640++CIV!R716++GM!R350+SP!R759,-1)</f>
        <v>660300</v>
      </c>
      <c r="Q160" s="1224">
        <f>ROUND(SP!S132+SP!S574+DEH!S189++CIV!S267+CIV!S333+CIV!S500+GM!S414+++SP!S231+++CIV!S640++CIV!S716++GM!S350+SP!S759,-1)</f>
        <v>596400</v>
      </c>
      <c r="S160" s="20"/>
    </row>
    <row r="161" spans="1:19" s="12" customFormat="1" x14ac:dyDescent="0.2">
      <c r="A161" s="1225">
        <f>SUM(A159:A160)</f>
        <v>0</v>
      </c>
      <c r="B161" s="750">
        <f>SUM(B159:B160)</f>
        <v>0</v>
      </c>
      <c r="C161" s="750">
        <f>SUM(C159:C160)</f>
        <v>0</v>
      </c>
      <c r="D161" s="750">
        <f>SUM(D159:D160)</f>
        <v>0</v>
      </c>
      <c r="E161" s="17"/>
      <c r="F161" s="22"/>
      <c r="G161" s="750">
        <f t="shared" ref="G161:M161" si="65">SUM(G159:G160)</f>
        <v>0</v>
      </c>
      <c r="H161" s="749">
        <f t="shared" si="65"/>
        <v>0</v>
      </c>
      <c r="I161" s="749">
        <f t="shared" si="65"/>
        <v>200</v>
      </c>
      <c r="J161" s="749">
        <f t="shared" si="65"/>
        <v>-200</v>
      </c>
      <c r="K161" s="749">
        <f t="shared" si="65"/>
        <v>100</v>
      </c>
      <c r="L161" s="749">
        <f t="shared" si="65"/>
        <v>100</v>
      </c>
      <c r="M161" s="750">
        <f t="shared" si="65"/>
        <v>0</v>
      </c>
      <c r="N161" s="750">
        <f t="shared" ref="N161:O161" si="66">SUM(N159:N160)</f>
        <v>0</v>
      </c>
      <c r="O161" s="750">
        <f t="shared" si="66"/>
        <v>0</v>
      </c>
      <c r="P161" s="750">
        <f t="shared" ref="P161:Q161" si="67">SUM(P159:P160)</f>
        <v>-100</v>
      </c>
      <c r="Q161" s="1226">
        <f t="shared" si="67"/>
        <v>-100</v>
      </c>
      <c r="S161" s="20"/>
    </row>
    <row r="162" spans="1:19" s="12" customFormat="1" x14ac:dyDescent="0.2">
      <c r="A162" s="554"/>
      <c r="B162" s="745"/>
      <c r="C162" s="745"/>
      <c r="D162" s="745"/>
      <c r="E162" s="17"/>
      <c r="F162" s="22"/>
      <c r="G162" s="745"/>
      <c r="H162" s="744"/>
      <c r="I162" s="744"/>
      <c r="J162" s="744"/>
      <c r="K162" s="744"/>
      <c r="L162" s="744"/>
      <c r="M162" s="745"/>
      <c r="N162" s="745"/>
      <c r="O162" s="745"/>
      <c r="P162" s="745"/>
      <c r="Q162" s="1222"/>
      <c r="S162" s="20"/>
    </row>
    <row r="163" spans="1:19" s="12" customFormat="1" x14ac:dyDescent="0.2">
      <c r="A163" s="554"/>
      <c r="B163" s="745"/>
      <c r="C163" s="745"/>
      <c r="D163" s="745"/>
      <c r="E163" s="17" t="s">
        <v>590</v>
      </c>
      <c r="F163" s="22"/>
      <c r="G163" s="745"/>
      <c r="H163" s="744"/>
      <c r="I163" s="744"/>
      <c r="J163" s="744"/>
      <c r="K163" s="744"/>
      <c r="L163" s="744"/>
      <c r="M163" s="745"/>
      <c r="N163" s="745"/>
      <c r="O163" s="745"/>
      <c r="P163" s="745"/>
      <c r="Q163" s="1222"/>
      <c r="S163" s="20"/>
    </row>
    <row r="164" spans="1:19" s="5" customFormat="1" x14ac:dyDescent="0.2">
      <c r="A164" s="14">
        <f>'Debt-Water'!H9</f>
        <v>0</v>
      </c>
      <c r="B164" s="747">
        <f>ROUND('Debt-Water'!J9,-2)</f>
        <v>0</v>
      </c>
      <c r="C164" s="747">
        <v>0</v>
      </c>
      <c r="D164" s="747">
        <v>0</v>
      </c>
      <c r="E164" s="4" t="str">
        <f>E155</f>
        <v>Principal as per Debt Sheet</v>
      </c>
      <c r="F164" s="3"/>
      <c r="G164" s="747">
        <v>0</v>
      </c>
      <c r="H164" s="748">
        <v>0</v>
      </c>
      <c r="I164" s="748">
        <v>0</v>
      </c>
      <c r="J164" s="748">
        <v>0</v>
      </c>
      <c r="K164" s="748">
        <v>0</v>
      </c>
      <c r="L164" s="748">
        <v>0</v>
      </c>
      <c r="M164" s="747">
        <v>0</v>
      </c>
      <c r="N164" s="747">
        <v>0</v>
      </c>
      <c r="O164" s="747">
        <v>0</v>
      </c>
      <c r="P164" s="747">
        <v>0</v>
      </c>
      <c r="Q164" s="1224">
        <v>0</v>
      </c>
      <c r="S164" s="20"/>
    </row>
    <row r="165" spans="1:19" s="5" customFormat="1" x14ac:dyDescent="0.2">
      <c r="A165" s="14">
        <f>'Cash-W'!A41</f>
        <v>0</v>
      </c>
      <c r="B165" s="747">
        <f>'Cash-W'!B41</f>
        <v>0</v>
      </c>
      <c r="C165" s="747">
        <f>'Cash-W'!C41</f>
        <v>0</v>
      </c>
      <c r="D165" s="747">
        <f>'Cash-W'!D41</f>
        <v>0</v>
      </c>
      <c r="E165" s="4" t="s">
        <v>591</v>
      </c>
      <c r="F165" s="3"/>
      <c r="G165" s="747">
        <f>'Cash-W'!G41</f>
        <v>0</v>
      </c>
      <c r="H165" s="748">
        <f>'Cash-W'!H41</f>
        <v>0</v>
      </c>
      <c r="I165" s="748">
        <f>'Cash-W'!I41</f>
        <v>0</v>
      </c>
      <c r="J165" s="748">
        <f>'Cash-W'!J41</f>
        <v>0</v>
      </c>
      <c r="K165" s="748">
        <f>'Cash-W'!K41</f>
        <v>0</v>
      </c>
      <c r="L165" s="748">
        <f>'Cash-W'!L41</f>
        <v>0</v>
      </c>
      <c r="M165" s="747">
        <f>'Cash-W'!M41</f>
        <v>0</v>
      </c>
      <c r="N165" s="747">
        <f>'Cash-W'!N41</f>
        <v>0</v>
      </c>
      <c r="O165" s="747">
        <f>'Cash-W'!P41</f>
        <v>0</v>
      </c>
      <c r="P165" s="747">
        <f>'Cash-W'!Q41</f>
        <v>0</v>
      </c>
      <c r="Q165" s="1224">
        <f>'Cash-W'!R41</f>
        <v>0</v>
      </c>
      <c r="S165" s="20"/>
    </row>
    <row r="166" spans="1:19" s="12" customFormat="1" x14ac:dyDescent="0.2">
      <c r="A166" s="1225">
        <f>ROUND(SUM(A164:A165),-2)</f>
        <v>0</v>
      </c>
      <c r="B166" s="750">
        <f>SUM(B164:B165)</f>
        <v>0</v>
      </c>
      <c r="C166" s="750">
        <f>SUM(C164:C165)</f>
        <v>0</v>
      </c>
      <c r="D166" s="750">
        <f>SUM(D164:D165)</f>
        <v>0</v>
      </c>
      <c r="E166" s="17"/>
      <c r="F166" s="22"/>
      <c r="G166" s="750">
        <f t="shared" ref="G166:M166" si="68">SUM(G164:G165)</f>
        <v>0</v>
      </c>
      <c r="H166" s="749">
        <f t="shared" si="68"/>
        <v>0</v>
      </c>
      <c r="I166" s="749">
        <f t="shared" si="68"/>
        <v>0</v>
      </c>
      <c r="J166" s="749">
        <f t="shared" si="68"/>
        <v>0</v>
      </c>
      <c r="K166" s="749">
        <f t="shared" si="68"/>
        <v>0</v>
      </c>
      <c r="L166" s="749">
        <f t="shared" si="68"/>
        <v>0</v>
      </c>
      <c r="M166" s="750">
        <f t="shared" si="68"/>
        <v>0</v>
      </c>
      <c r="N166" s="750">
        <f t="shared" ref="N166:O166" si="69">SUM(N164:N165)</f>
        <v>0</v>
      </c>
      <c r="O166" s="750">
        <f t="shared" si="69"/>
        <v>0</v>
      </c>
      <c r="P166" s="750">
        <f t="shared" ref="P166:Q166" si="70">SUM(P164:P165)</f>
        <v>0</v>
      </c>
      <c r="Q166" s="1226">
        <f t="shared" si="70"/>
        <v>0</v>
      </c>
      <c r="S166" s="20"/>
    </row>
    <row r="167" spans="1:19" s="12" customFormat="1" x14ac:dyDescent="0.2">
      <c r="A167" s="554"/>
      <c r="B167" s="745"/>
      <c r="C167" s="745"/>
      <c r="D167" s="745"/>
      <c r="E167" s="17"/>
      <c r="F167" s="22"/>
      <c r="G167" s="745"/>
      <c r="H167" s="744"/>
      <c r="I167" s="744"/>
      <c r="J167" s="744"/>
      <c r="K167" s="744"/>
      <c r="L167" s="744"/>
      <c r="M167" s="745"/>
      <c r="N167" s="745"/>
      <c r="O167" s="745"/>
      <c r="P167" s="745"/>
      <c r="Q167" s="1222"/>
      <c r="S167" s="20"/>
    </row>
    <row r="168" spans="1:19" s="5" customFormat="1" x14ac:dyDescent="0.2">
      <c r="A168" s="14">
        <f>'Debt-Water'!I9</f>
        <v>0</v>
      </c>
      <c r="B168" s="747">
        <f>ROUND('Debt-Water'!K9,-2)</f>
        <v>0</v>
      </c>
      <c r="C168" s="747">
        <v>0</v>
      </c>
      <c r="D168" s="747">
        <v>0</v>
      </c>
      <c r="E168" s="4" t="str">
        <f>E159</f>
        <v>Interest as per Debt Sheet</v>
      </c>
      <c r="F168" s="3"/>
      <c r="G168" s="747">
        <v>0</v>
      </c>
      <c r="H168" s="748">
        <v>0</v>
      </c>
      <c r="I168" s="748">
        <v>0</v>
      </c>
      <c r="J168" s="748">
        <v>0</v>
      </c>
      <c r="K168" s="748">
        <v>0</v>
      </c>
      <c r="L168" s="748">
        <v>0</v>
      </c>
      <c r="M168" s="747">
        <v>0</v>
      </c>
      <c r="N168" s="747">
        <v>0</v>
      </c>
      <c r="O168" s="747">
        <v>0</v>
      </c>
      <c r="P168" s="747">
        <v>0</v>
      </c>
      <c r="Q168" s="1224">
        <v>0</v>
      </c>
      <c r="S168" s="20"/>
    </row>
    <row r="169" spans="1:19" s="5" customFormat="1" x14ac:dyDescent="0.2">
      <c r="A169" s="14">
        <f>-'W&amp;W'!B75</f>
        <v>0</v>
      </c>
      <c r="B169" s="747">
        <f>-'W&amp;W'!C75</f>
        <v>0</v>
      </c>
      <c r="C169" s="747">
        <f>-'W&amp;W'!D75</f>
        <v>0</v>
      </c>
      <c r="D169" s="747">
        <f>-'W&amp;W'!E75</f>
        <v>0</v>
      </c>
      <c r="E169" s="4" t="str">
        <f>E160</f>
        <v>Interest as per Spreadsheets</v>
      </c>
      <c r="F169" s="3"/>
      <c r="G169" s="747">
        <f>-'W&amp;W'!H75</f>
        <v>0</v>
      </c>
      <c r="H169" s="748">
        <f>-'W&amp;W'!J75</f>
        <v>0</v>
      </c>
      <c r="I169" s="748">
        <f>-'W&amp;W'!K75</f>
        <v>0</v>
      </c>
      <c r="J169" s="748">
        <f>-'W&amp;W'!L75</f>
        <v>0</v>
      </c>
      <c r="K169" s="748">
        <f>-'W&amp;W'!M75</f>
        <v>0</v>
      </c>
      <c r="L169" s="748">
        <f>-'W&amp;W'!N75</f>
        <v>0</v>
      </c>
      <c r="M169" s="747">
        <f>-'W&amp;W'!O75</f>
        <v>0</v>
      </c>
      <c r="N169" s="747">
        <f>-'W&amp;W'!P75</f>
        <v>0</v>
      </c>
      <c r="O169" s="747">
        <f>-'W&amp;W'!Q75</f>
        <v>0</v>
      </c>
      <c r="P169" s="747">
        <f>-'W&amp;W'!R75</f>
        <v>0</v>
      </c>
      <c r="Q169" s="1224">
        <f>-'W&amp;W'!S75</f>
        <v>0</v>
      </c>
      <c r="S169" s="20"/>
    </row>
    <row r="170" spans="1:19" s="12" customFormat="1" x14ac:dyDescent="0.2">
      <c r="A170" s="1225">
        <f>SUM(A168:A169)</f>
        <v>0</v>
      </c>
      <c r="B170" s="750">
        <f>SUM(B168:B169)</f>
        <v>0</v>
      </c>
      <c r="C170" s="750">
        <f>SUM(C168:C169)</f>
        <v>0</v>
      </c>
      <c r="D170" s="750">
        <f>SUM(D168:D169)</f>
        <v>0</v>
      </c>
      <c r="E170" s="17"/>
      <c r="F170" s="22"/>
      <c r="G170" s="750">
        <f t="shared" ref="G170:M170" si="71">SUM(G168:G169)</f>
        <v>0</v>
      </c>
      <c r="H170" s="749">
        <f t="shared" si="71"/>
        <v>0</v>
      </c>
      <c r="I170" s="749">
        <f t="shared" si="71"/>
        <v>0</v>
      </c>
      <c r="J170" s="749">
        <f t="shared" si="71"/>
        <v>0</v>
      </c>
      <c r="K170" s="749">
        <f t="shared" si="71"/>
        <v>0</v>
      </c>
      <c r="L170" s="749">
        <f t="shared" si="71"/>
        <v>0</v>
      </c>
      <c r="M170" s="750">
        <f t="shared" si="71"/>
        <v>0</v>
      </c>
      <c r="N170" s="750">
        <f t="shared" ref="N170:O170" si="72">SUM(N168:N169)</f>
        <v>0</v>
      </c>
      <c r="O170" s="750">
        <f t="shared" si="72"/>
        <v>0</v>
      </c>
      <c r="P170" s="750">
        <f t="shared" ref="P170:Q170" si="73">SUM(P168:P169)</f>
        <v>0</v>
      </c>
      <c r="Q170" s="1226">
        <f t="shared" si="73"/>
        <v>0</v>
      </c>
      <c r="S170" s="20"/>
    </row>
    <row r="171" spans="1:19" s="12" customFormat="1" x14ac:dyDescent="0.2">
      <c r="A171" s="554"/>
      <c r="B171" s="745"/>
      <c r="C171" s="745"/>
      <c r="D171" s="745"/>
      <c r="E171" s="17"/>
      <c r="F171" s="22"/>
      <c r="G171" s="745"/>
      <c r="H171" s="744"/>
      <c r="I171" s="744"/>
      <c r="J171" s="744"/>
      <c r="K171" s="744"/>
      <c r="L171" s="744"/>
      <c r="M171" s="745"/>
      <c r="N171" s="745"/>
      <c r="O171" s="745"/>
      <c r="P171" s="745"/>
      <c r="Q171" s="1222"/>
      <c r="S171" s="20"/>
    </row>
    <row r="172" spans="1:19" s="12" customFormat="1" x14ac:dyDescent="0.2">
      <c r="A172" s="554"/>
      <c r="B172" s="745"/>
      <c r="C172" s="745"/>
      <c r="D172" s="745"/>
      <c r="E172" s="17" t="s">
        <v>3289</v>
      </c>
      <c r="F172" s="22"/>
      <c r="G172" s="745"/>
      <c r="H172" s="744"/>
      <c r="I172" s="744"/>
      <c r="J172" s="744"/>
      <c r="K172" s="744"/>
      <c r="L172" s="744"/>
      <c r="M172" s="745"/>
      <c r="N172" s="745"/>
      <c r="O172" s="745"/>
      <c r="P172" s="745"/>
      <c r="Q172" s="1222"/>
      <c r="S172" s="20"/>
    </row>
    <row r="173" spans="1:19" s="5" customFormat="1" x14ac:dyDescent="0.2">
      <c r="A173" s="14">
        <f>ROUND('Debt-WW'!F16,-2)</f>
        <v>2384800</v>
      </c>
      <c r="B173" s="747">
        <f>ROUND('Debt-WW'!H16,-2)</f>
        <v>2187900</v>
      </c>
      <c r="C173" s="748">
        <f>'Debt-WW'!G98</f>
        <v>2793300</v>
      </c>
      <c r="D173" s="748">
        <f>'Debt-WW'!H98</f>
        <v>2958000</v>
      </c>
      <c r="E173" s="4" t="str">
        <f>E164</f>
        <v>Principal as per Debt Sheet</v>
      </c>
      <c r="F173" s="3"/>
      <c r="G173" s="747">
        <f>'Debt-WW'!I98</f>
        <v>3095600</v>
      </c>
      <c r="H173" s="748">
        <f>'Debt-WW'!J98</f>
        <v>3134000</v>
      </c>
      <c r="I173" s="748">
        <f>'Debt-WW'!K98</f>
        <v>3280300</v>
      </c>
      <c r="J173" s="748">
        <f>'Debt-WW'!L98</f>
        <v>2453500</v>
      </c>
      <c r="K173" s="748">
        <f>'Debt-WW'!M98+100</f>
        <v>2654200</v>
      </c>
      <c r="L173" s="748">
        <f>'Debt-WW'!N98</f>
        <v>2844100</v>
      </c>
      <c r="M173" s="747">
        <f>'Debt-WW'!O98</f>
        <v>3037000</v>
      </c>
      <c r="N173" s="747">
        <f>'Debt-WW'!P98</f>
        <v>3235000</v>
      </c>
      <c r="O173" s="747">
        <f>'Debt-WW'!Q98</f>
        <v>3430000</v>
      </c>
      <c r="P173" s="747">
        <f>'Debt-WW'!R98</f>
        <v>3627000</v>
      </c>
      <c r="Q173" s="1224">
        <f>'Debt-WW'!S98</f>
        <v>3825000</v>
      </c>
      <c r="S173" s="20"/>
    </row>
    <row r="174" spans="1:19" s="5" customFormat="1" x14ac:dyDescent="0.2">
      <c r="A174" s="14">
        <f>'Cash-WW'!A40</f>
        <v>-2384800</v>
      </c>
      <c r="B174" s="747">
        <f>'Cash-WW'!B40</f>
        <v>-2187900</v>
      </c>
      <c r="C174" s="747">
        <f>'Cash-WW'!C40</f>
        <v>-2793300</v>
      </c>
      <c r="D174" s="747">
        <f>'Cash-WW'!D40-100</f>
        <v>-2958000</v>
      </c>
      <c r="E174" s="4" t="s">
        <v>3334</v>
      </c>
      <c r="F174" s="3"/>
      <c r="G174" s="747">
        <f>'Cash-WW'!G40</f>
        <v>-3095600</v>
      </c>
      <c r="H174" s="748">
        <f>'Cash-WW'!H40</f>
        <v>-3134000</v>
      </c>
      <c r="I174" s="748">
        <f>'Cash-WW'!I40</f>
        <v>-3280300</v>
      </c>
      <c r="J174" s="748">
        <f>'Cash-WW'!J40</f>
        <v>-2453500</v>
      </c>
      <c r="K174" s="748">
        <f>'Cash-WW'!K40-100</f>
        <v>-2654200</v>
      </c>
      <c r="L174" s="748">
        <f>'Cash-WW'!L40</f>
        <v>-2844100</v>
      </c>
      <c r="M174" s="747">
        <f>'Cash-WW'!M40</f>
        <v>-3037000</v>
      </c>
      <c r="N174" s="747">
        <f>'Cash-WW'!N40</f>
        <v>-3235000</v>
      </c>
      <c r="O174" s="747">
        <f>'Cash-WW'!O40</f>
        <v>-3430000</v>
      </c>
      <c r="P174" s="747">
        <f>'Cash-WW'!P40</f>
        <v>-3627000</v>
      </c>
      <c r="Q174" s="1224">
        <f>'Cash-WW'!Q40</f>
        <v>-3825000</v>
      </c>
      <c r="S174" s="20"/>
    </row>
    <row r="175" spans="1:19" s="12" customFormat="1" x14ac:dyDescent="0.2">
      <c r="A175" s="1225">
        <f>SUM(A173:A174)</f>
        <v>0</v>
      </c>
      <c r="B175" s="750">
        <f>SUM(B173:B174)</f>
        <v>0</v>
      </c>
      <c r="C175" s="750">
        <f>SUM(C173:C174)</f>
        <v>0</v>
      </c>
      <c r="D175" s="750">
        <f>SUM(D173:D174)</f>
        <v>0</v>
      </c>
      <c r="E175" s="17"/>
      <c r="F175" s="22"/>
      <c r="G175" s="750">
        <f t="shared" ref="G175:M175" si="74">SUM(G173:G174)</f>
        <v>0</v>
      </c>
      <c r="H175" s="749">
        <f t="shared" si="74"/>
        <v>0</v>
      </c>
      <c r="I175" s="749">
        <f t="shared" si="74"/>
        <v>0</v>
      </c>
      <c r="J175" s="749">
        <f t="shared" si="74"/>
        <v>0</v>
      </c>
      <c r="K175" s="749">
        <f t="shared" si="74"/>
        <v>0</v>
      </c>
      <c r="L175" s="749">
        <f t="shared" si="74"/>
        <v>0</v>
      </c>
      <c r="M175" s="750">
        <f t="shared" si="74"/>
        <v>0</v>
      </c>
      <c r="N175" s="750">
        <f t="shared" ref="N175:O175" si="75">SUM(N173:N174)</f>
        <v>0</v>
      </c>
      <c r="O175" s="750">
        <f t="shared" si="75"/>
        <v>0</v>
      </c>
      <c r="P175" s="750">
        <f t="shared" ref="P175:Q175" si="76">SUM(P173:P174)</f>
        <v>0</v>
      </c>
      <c r="Q175" s="1226">
        <f t="shared" si="76"/>
        <v>0</v>
      </c>
      <c r="S175" s="20"/>
    </row>
    <row r="176" spans="1:19" s="12" customFormat="1" x14ac:dyDescent="0.2">
      <c r="A176" s="554"/>
      <c r="B176" s="745"/>
      <c r="C176" s="745"/>
      <c r="D176" s="745"/>
      <c r="E176" s="17"/>
      <c r="F176" s="22"/>
      <c r="G176" s="745"/>
      <c r="H176" s="744"/>
      <c r="I176" s="744"/>
      <c r="J176" s="744"/>
      <c r="K176" s="744"/>
      <c r="L176" s="744"/>
      <c r="M176" s="745"/>
      <c r="N176" s="745"/>
      <c r="O176" s="745"/>
      <c r="P176" s="745"/>
      <c r="Q176" s="1222"/>
      <c r="S176" s="20"/>
    </row>
    <row r="177" spans="1:19" s="5" customFormat="1" x14ac:dyDescent="0.2">
      <c r="A177" s="14">
        <f>'Debt-WW'!G16</f>
        <v>4766700</v>
      </c>
      <c r="B177" s="747">
        <f>'Debt-WW'!I16</f>
        <v>4647600</v>
      </c>
      <c r="C177" s="748">
        <f>'Debt-WW'!K16</f>
        <v>4358200</v>
      </c>
      <c r="D177" s="748">
        <f>'Debt-WW'!M16</f>
        <v>4193600</v>
      </c>
      <c r="E177" s="4" t="str">
        <f>E168</f>
        <v>Interest as per Debt Sheet</v>
      </c>
      <c r="F177" s="3"/>
      <c r="G177" s="747">
        <f>'Debt-WW'!O16</f>
        <v>4055900</v>
      </c>
      <c r="H177" s="748">
        <f>'Debt-WW'!Q16</f>
        <v>3744300</v>
      </c>
      <c r="I177" s="748">
        <f>'Debt-WW'!S16</f>
        <v>3598000</v>
      </c>
      <c r="J177" s="748">
        <f>'Debt-WW'!U16</f>
        <v>3439800</v>
      </c>
      <c r="K177" s="748">
        <f>'Debt-WW'!W16</f>
        <v>3239200</v>
      </c>
      <c r="L177" s="748">
        <f>'Debt-WW'!Y16</f>
        <v>3049200</v>
      </c>
      <c r="M177" s="747">
        <f>'Debt-WW'!AA16</f>
        <v>2856300</v>
      </c>
      <c r="N177" s="747">
        <f>'Debt-WW'!AC16</f>
        <v>2658300</v>
      </c>
      <c r="O177" s="747">
        <f>'Debt-WW'!AE16</f>
        <v>2463300</v>
      </c>
      <c r="P177" s="747">
        <f>'Debt-WW'!AG16</f>
        <v>2266300</v>
      </c>
      <c r="Q177" s="1224">
        <f>'Debt-WW'!AI16</f>
        <v>2068300</v>
      </c>
      <c r="S177" s="20"/>
    </row>
    <row r="178" spans="1:19" s="5" customFormat="1" x14ac:dyDescent="0.2">
      <c r="A178" s="14">
        <f>-'W&amp;W'!B138</f>
        <v>-4766800</v>
      </c>
      <c r="B178" s="747">
        <f>-'W&amp;W'!C138</f>
        <v>-4647600</v>
      </c>
      <c r="C178" s="747">
        <f>-'W&amp;W'!D138</f>
        <v>-4358200</v>
      </c>
      <c r="D178" s="747">
        <f>-'W&amp;W'!E138+6000</f>
        <v>-4193300</v>
      </c>
      <c r="E178" s="4" t="str">
        <f>E169</f>
        <v>Interest as per Spreadsheets</v>
      </c>
      <c r="F178" s="3"/>
      <c r="G178" s="747">
        <f>-'W&amp;W'!H138</f>
        <v>-4055900</v>
      </c>
      <c r="H178" s="748">
        <f>-'W&amp;W'!J138</f>
        <v>-3744300</v>
      </c>
      <c r="I178" s="748">
        <f>-'W&amp;W'!K138-100</f>
        <v>-3598100</v>
      </c>
      <c r="J178" s="748">
        <f>-'W&amp;W'!L138</f>
        <v>-3439800</v>
      </c>
      <c r="K178" s="748">
        <f>-'W&amp;W'!M138</f>
        <v>-3239200</v>
      </c>
      <c r="L178" s="748">
        <f>-'W&amp;W'!N138</f>
        <v>-3049200</v>
      </c>
      <c r="M178" s="747">
        <f>-'W&amp;W'!O138</f>
        <v>-2856300</v>
      </c>
      <c r="N178" s="747">
        <f>-'W&amp;W'!P138</f>
        <v>-2658300</v>
      </c>
      <c r="O178" s="747">
        <f>-'W&amp;W'!Q138</f>
        <v>-2463300</v>
      </c>
      <c r="P178" s="747">
        <f>-'W&amp;W'!R138</f>
        <v>-2266300</v>
      </c>
      <c r="Q178" s="1224">
        <f>-'W&amp;W'!S138</f>
        <v>-2068300</v>
      </c>
      <c r="S178" s="20"/>
    </row>
    <row r="179" spans="1:19" s="12" customFormat="1" x14ac:dyDescent="0.2">
      <c r="A179" s="1225">
        <f>ROUND(SUM(A177:A178),-3)</f>
        <v>0</v>
      </c>
      <c r="B179" s="750">
        <f>ROUND(SUM(B177:B178),-3)</f>
        <v>0</v>
      </c>
      <c r="C179" s="750">
        <f>ROUND(SUM(C177:C178),-3)</f>
        <v>0</v>
      </c>
      <c r="D179" s="750">
        <f>ROUND(SUM(D177:D178),-3)</f>
        <v>0</v>
      </c>
      <c r="E179" s="17"/>
      <c r="F179" s="22"/>
      <c r="G179" s="750">
        <f t="shared" ref="G179:N179" si="77">ROUND(SUM(G177:G178),-3)</f>
        <v>0</v>
      </c>
      <c r="H179" s="749">
        <f t="shared" si="77"/>
        <v>0</v>
      </c>
      <c r="I179" s="749">
        <f t="shared" si="77"/>
        <v>0</v>
      </c>
      <c r="J179" s="749">
        <f t="shared" si="77"/>
        <v>0</v>
      </c>
      <c r="K179" s="749">
        <f t="shared" si="77"/>
        <v>0</v>
      </c>
      <c r="L179" s="749">
        <f t="shared" si="77"/>
        <v>0</v>
      </c>
      <c r="M179" s="750">
        <f t="shared" si="77"/>
        <v>0</v>
      </c>
      <c r="N179" s="750">
        <f t="shared" si="77"/>
        <v>0</v>
      </c>
      <c r="O179" s="750">
        <f t="shared" ref="O179" si="78">ROUND(SUM(O177:O178),-3)</f>
        <v>0</v>
      </c>
      <c r="P179" s="750">
        <f t="shared" ref="P179:Q179" si="79">ROUND(SUM(P177:P178),-3)</f>
        <v>0</v>
      </c>
      <c r="Q179" s="1226">
        <f t="shared" si="79"/>
        <v>0</v>
      </c>
      <c r="S179" s="20"/>
    </row>
    <row r="180" spans="1:19" s="12" customFormat="1" x14ac:dyDescent="0.2">
      <c r="A180" s="554"/>
      <c r="B180" s="745"/>
      <c r="C180" s="745"/>
      <c r="D180" s="745"/>
      <c r="E180" s="17"/>
      <c r="F180" s="22"/>
      <c r="G180" s="745"/>
      <c r="H180" s="744"/>
      <c r="I180" s="744"/>
      <c r="J180" s="744"/>
      <c r="K180" s="744"/>
      <c r="L180" s="744"/>
      <c r="M180" s="745"/>
      <c r="N180" s="745"/>
      <c r="O180" s="745"/>
      <c r="P180" s="745"/>
      <c r="Q180" s="1222"/>
      <c r="S180" s="20"/>
    </row>
    <row r="181" spans="1:19" s="6" customFormat="1" x14ac:dyDescent="0.2">
      <c r="A181" s="154">
        <f>Recs!J100</f>
        <v>0</v>
      </c>
      <c r="B181" s="742">
        <f>Recs!K100</f>
        <v>0</v>
      </c>
      <c r="C181" s="743">
        <f>Recs!L100</f>
        <v>0</v>
      </c>
      <c r="D181" s="743">
        <f>Recs!M100</f>
        <v>0</v>
      </c>
      <c r="E181" s="10" t="s">
        <v>2294</v>
      </c>
      <c r="F181" s="7"/>
      <c r="G181" s="742">
        <f>Recs!N100</f>
        <v>-300</v>
      </c>
      <c r="H181" s="743">
        <f>Recs!O100</f>
        <v>0</v>
      </c>
      <c r="I181" s="743">
        <f>Recs!P100</f>
        <v>0</v>
      </c>
      <c r="J181" s="743">
        <f>Recs!Q100</f>
        <v>0</v>
      </c>
      <c r="K181" s="743">
        <f>Recs!R100</f>
        <v>0</v>
      </c>
      <c r="L181" s="743">
        <f>Recs!S100</f>
        <v>0</v>
      </c>
      <c r="M181" s="742">
        <f>Recs!T100</f>
        <v>0</v>
      </c>
      <c r="N181" s="742">
        <f>Recs!U100</f>
        <v>0</v>
      </c>
      <c r="O181" s="742">
        <f>Recs!V100</f>
        <v>0</v>
      </c>
      <c r="P181" s="742">
        <f>Recs!W100</f>
        <v>0</v>
      </c>
      <c r="Q181" s="660">
        <f>Recs!X100</f>
        <v>0</v>
      </c>
      <c r="S181" s="20"/>
    </row>
    <row r="182" spans="1:19" s="6" customFormat="1" x14ac:dyDescent="0.2">
      <c r="A182" s="154"/>
      <c r="B182" s="742"/>
      <c r="C182" s="743"/>
      <c r="D182" s="743"/>
      <c r="E182" s="10"/>
      <c r="F182" s="7"/>
      <c r="G182" s="742"/>
      <c r="H182" s="743"/>
      <c r="I182" s="743"/>
      <c r="J182" s="743"/>
      <c r="K182" s="743"/>
      <c r="L182" s="743"/>
      <c r="M182" s="742"/>
      <c r="N182" s="742"/>
      <c r="O182" s="742"/>
      <c r="P182" s="742"/>
      <c r="Q182" s="1221"/>
      <c r="S182" s="20"/>
    </row>
    <row r="183" spans="1:19" s="6" customFormat="1" x14ac:dyDescent="0.2">
      <c r="A183" s="154"/>
      <c r="B183" s="742"/>
      <c r="C183" s="743"/>
      <c r="D183" s="743"/>
      <c r="E183" s="18" t="s">
        <v>3599</v>
      </c>
      <c r="F183" s="7"/>
      <c r="G183" s="742"/>
      <c r="H183" s="743"/>
      <c r="I183" s="743"/>
      <c r="J183" s="743"/>
      <c r="K183" s="743"/>
      <c r="L183" s="743"/>
      <c r="M183" s="742"/>
      <c r="N183" s="742"/>
      <c r="O183" s="742"/>
      <c r="P183" s="742"/>
      <c r="Q183" s="1221"/>
      <c r="S183" s="20"/>
    </row>
    <row r="184" spans="1:19" s="6" customFormat="1" x14ac:dyDescent="0.2">
      <c r="A184" s="154"/>
      <c r="B184" s="742"/>
      <c r="C184" s="743"/>
      <c r="D184" s="743"/>
      <c r="E184" s="10" t="s">
        <v>402</v>
      </c>
      <c r="F184" s="7"/>
      <c r="G184" s="743"/>
      <c r="H184" s="743"/>
      <c r="I184" s="743"/>
      <c r="J184" s="743"/>
      <c r="K184" s="743"/>
      <c r="L184" s="743"/>
      <c r="M184" s="742"/>
      <c r="N184" s="742"/>
      <c r="O184" s="742"/>
      <c r="P184" s="742"/>
      <c r="Q184" s="1221"/>
      <c r="S184" s="20"/>
    </row>
    <row r="185" spans="1:19" s="6" customFormat="1" x14ac:dyDescent="0.2">
      <c r="A185" s="154"/>
      <c r="B185" s="742"/>
      <c r="C185" s="743"/>
      <c r="D185" s="743"/>
      <c r="E185" s="10" t="s">
        <v>717</v>
      </c>
      <c r="F185" s="7"/>
      <c r="G185" s="743"/>
      <c r="H185" s="743"/>
      <c r="I185" s="743"/>
      <c r="J185" s="743"/>
      <c r="K185" s="743"/>
      <c r="L185" s="743"/>
      <c r="M185" s="742"/>
      <c r="N185" s="742"/>
      <c r="O185" s="742"/>
      <c r="P185" s="742"/>
      <c r="Q185" s="1221"/>
      <c r="S185" s="20"/>
    </row>
    <row r="186" spans="1:19" s="6" customFormat="1" x14ac:dyDescent="0.2">
      <c r="A186" s="154"/>
      <c r="B186" s="742"/>
      <c r="C186" s="743"/>
      <c r="D186" s="743"/>
      <c r="E186" s="10" t="s">
        <v>3606</v>
      </c>
      <c r="F186" s="7"/>
      <c r="G186" s="743"/>
      <c r="H186" s="743"/>
      <c r="I186" s="743"/>
      <c r="J186" s="743"/>
      <c r="K186" s="743"/>
      <c r="L186" s="743"/>
      <c r="M186" s="742"/>
      <c r="N186" s="742"/>
      <c r="O186" s="742"/>
      <c r="P186" s="742"/>
      <c r="Q186" s="1221"/>
      <c r="S186" s="20"/>
    </row>
    <row r="187" spans="1:19" s="6" customFormat="1" x14ac:dyDescent="0.2">
      <c r="A187" s="154"/>
      <c r="B187" s="742"/>
      <c r="C187" s="743"/>
      <c r="D187" s="743"/>
      <c r="E187" s="10" t="s">
        <v>3610</v>
      </c>
      <c r="F187" s="7"/>
      <c r="G187" s="743"/>
      <c r="H187" s="743"/>
      <c r="I187" s="743"/>
      <c r="J187" s="743"/>
      <c r="K187" s="743"/>
      <c r="L187" s="743"/>
      <c r="M187" s="742"/>
      <c r="N187" s="742"/>
      <c r="O187" s="742"/>
      <c r="P187" s="742"/>
      <c r="Q187" s="1221"/>
      <c r="S187" s="20"/>
    </row>
    <row r="188" spans="1:19" s="6" customFormat="1" x14ac:dyDescent="0.2">
      <c r="A188" s="154"/>
      <c r="B188" s="742"/>
      <c r="C188" s="743"/>
      <c r="D188" s="743"/>
      <c r="E188" s="10" t="s">
        <v>3609</v>
      </c>
      <c r="F188" s="7"/>
      <c r="G188" s="743"/>
      <c r="H188" s="743"/>
      <c r="I188" s="743"/>
      <c r="J188" s="743"/>
      <c r="K188" s="743"/>
      <c r="L188" s="743"/>
      <c r="M188" s="742"/>
      <c r="N188" s="742"/>
      <c r="O188" s="742"/>
      <c r="P188" s="742"/>
      <c r="Q188" s="1221"/>
      <c r="S188" s="20"/>
    </row>
    <row r="189" spans="1:19" s="6" customFormat="1" x14ac:dyDescent="0.2">
      <c r="A189" s="154"/>
      <c r="B189" s="742"/>
      <c r="C189" s="743"/>
      <c r="D189" s="743"/>
      <c r="E189" s="10" t="s">
        <v>3080</v>
      </c>
      <c r="F189" s="7"/>
      <c r="G189" s="743"/>
      <c r="H189" s="743"/>
      <c r="I189" s="743"/>
      <c r="J189" s="743"/>
      <c r="K189" s="743"/>
      <c r="L189" s="743"/>
      <c r="M189" s="742"/>
      <c r="N189" s="742"/>
      <c r="O189" s="742"/>
      <c r="P189" s="742"/>
      <c r="Q189" s="1221"/>
      <c r="S189" s="20"/>
    </row>
    <row r="190" spans="1:19" s="12" customFormat="1" x14ac:dyDescent="0.2">
      <c r="A190" s="154"/>
      <c r="B190" s="103"/>
      <c r="C190" s="103"/>
      <c r="D190" s="103"/>
      <c r="E190" s="27"/>
      <c r="F190" s="75"/>
      <c r="G190" s="103"/>
      <c r="H190" s="269"/>
      <c r="I190" s="269"/>
      <c r="J190" s="269"/>
      <c r="K190" s="269"/>
      <c r="L190" s="269"/>
      <c r="M190" s="103"/>
      <c r="N190" s="103"/>
      <c r="O190" s="103"/>
      <c r="P190" s="103"/>
      <c r="Q190" s="715"/>
      <c r="S190" s="20"/>
    </row>
    <row r="191" spans="1:19" s="6" customFormat="1" x14ac:dyDescent="0.2">
      <c r="A191" s="154"/>
      <c r="B191" s="742"/>
      <c r="C191" s="742"/>
      <c r="D191" s="742"/>
      <c r="E191" s="10" t="s">
        <v>2789</v>
      </c>
      <c r="F191" s="7"/>
      <c r="G191" s="742"/>
      <c r="H191" s="743"/>
      <c r="I191" s="743"/>
      <c r="J191" s="743"/>
      <c r="K191" s="743"/>
      <c r="L191" s="743"/>
      <c r="M191" s="742"/>
      <c r="N191" s="742"/>
      <c r="O191" s="742"/>
      <c r="P191" s="742"/>
      <c r="Q191" s="1221"/>
      <c r="S191" s="20"/>
    </row>
    <row r="192" spans="1:19" s="6" customFormat="1" x14ac:dyDescent="0.2">
      <c r="A192" s="154"/>
      <c r="B192" s="742"/>
      <c r="C192" s="742"/>
      <c r="D192" s="742"/>
      <c r="E192" s="10"/>
      <c r="F192" s="7"/>
      <c r="G192" s="742"/>
      <c r="H192" s="743"/>
      <c r="I192" s="743"/>
      <c r="J192" s="743"/>
      <c r="K192" s="743"/>
      <c r="L192" s="743"/>
      <c r="M192" s="742"/>
      <c r="N192" s="742"/>
      <c r="O192" s="742"/>
      <c r="P192" s="742"/>
      <c r="Q192" s="1221"/>
      <c r="S192" s="20"/>
    </row>
    <row r="193" spans="1:19" s="6" customFormat="1" x14ac:dyDescent="0.2">
      <c r="A193" s="154"/>
      <c r="B193" s="742">
        <f>'Cap Inc'!A165-'Debt-Gen'!E181</f>
        <v>0</v>
      </c>
      <c r="C193" s="742">
        <f>'Cap Inc'!B165-'Debt-Gen'!F181</f>
        <v>0</v>
      </c>
      <c r="D193" s="742">
        <f>'Cap Inc'!C165-'Debt-Gen'!G181</f>
        <v>0</v>
      </c>
      <c r="E193" s="10" t="s">
        <v>1213</v>
      </c>
      <c r="F193" s="7"/>
      <c r="G193" s="742">
        <f>'Cap Inc'!F165-'Debt-Gen'!H181</f>
        <v>0</v>
      </c>
      <c r="H193" s="743">
        <f>'Cap Inc'!G165-'Debt-Gen'!I181</f>
        <v>0</v>
      </c>
      <c r="I193" s="743">
        <f>'Cap Inc'!H165-'Debt-Gen'!J181</f>
        <v>0</v>
      </c>
      <c r="J193" s="743">
        <f>'Cap Inc'!I165-'Debt-Gen'!K181</f>
        <v>0</v>
      </c>
      <c r="K193" s="743">
        <f>'Cap Inc'!J165-'Debt-Gen'!L181</f>
        <v>0</v>
      </c>
      <c r="L193" s="743">
        <f>'Cap Inc'!K165-'Debt-Gen'!M181</f>
        <v>0</v>
      </c>
      <c r="M193" s="742">
        <f>'Cap Inc'!L165-'Debt-Gen'!N181</f>
        <v>0</v>
      </c>
      <c r="N193" s="742">
        <f>'Cap Inc'!M165-'Debt-Gen'!O181</f>
        <v>0</v>
      </c>
      <c r="O193" s="742">
        <f>'Cap Inc'!N165-'Debt-Gen'!P181</f>
        <v>0</v>
      </c>
      <c r="P193" s="742">
        <f>'Cap Inc'!O165-'Debt-Gen'!S181</f>
        <v>0</v>
      </c>
      <c r="Q193" s="1221">
        <f>'Cap Inc'!P165-'Debt-Gen'!T181</f>
        <v>0</v>
      </c>
      <c r="S193" s="20"/>
    </row>
    <row r="194" spans="1:19" s="6" customFormat="1" x14ac:dyDescent="0.2">
      <c r="A194" s="154"/>
      <c r="B194" s="742"/>
      <c r="C194" s="659"/>
      <c r="D194" s="659"/>
      <c r="E194" s="10"/>
      <c r="F194" s="7"/>
      <c r="G194" s="659"/>
      <c r="H194" s="743"/>
      <c r="I194" s="743"/>
      <c r="J194" s="743"/>
      <c r="K194" s="743"/>
      <c r="L194" s="743"/>
      <c r="M194" s="742"/>
      <c r="N194" s="742"/>
      <c r="O194" s="742"/>
      <c r="P194" s="742"/>
      <c r="Q194" s="1221"/>
      <c r="S194" s="20"/>
    </row>
    <row r="195" spans="1:19" s="6" customFormat="1" x14ac:dyDescent="0.2">
      <c r="A195" s="25">
        <f>GM!B953</f>
        <v>52300</v>
      </c>
      <c r="B195" s="659">
        <f>GM!C953</f>
        <v>-454900</v>
      </c>
      <c r="C195" s="659">
        <f>GM!D953</f>
        <v>184000</v>
      </c>
      <c r="D195" s="659">
        <f>GM!E953</f>
        <v>324300</v>
      </c>
      <c r="E195" s="31" t="s">
        <v>2372</v>
      </c>
      <c r="F195" s="932"/>
      <c r="G195" s="659">
        <f>GM!H953</f>
        <v>400000</v>
      </c>
      <c r="H195" s="679">
        <f>GM!J953</f>
        <v>400000</v>
      </c>
      <c r="I195" s="679">
        <f>GM!K953</f>
        <v>400000</v>
      </c>
      <c r="J195" s="679">
        <f>GM!L953</f>
        <v>400000</v>
      </c>
      <c r="K195" s="679">
        <f>GM!M953</f>
        <v>400000</v>
      </c>
      <c r="L195" s="679">
        <f>GM!N953</f>
        <v>400000</v>
      </c>
      <c r="M195" s="659">
        <f>GM!O953</f>
        <v>400000</v>
      </c>
      <c r="N195" s="659">
        <f>GM!P953</f>
        <v>400000</v>
      </c>
      <c r="O195" s="659">
        <f>GM!Q953</f>
        <v>400000</v>
      </c>
      <c r="P195" s="659">
        <f>GM!R953</f>
        <v>400000</v>
      </c>
      <c r="Q195" s="660">
        <f>GM!S953</f>
        <v>400000</v>
      </c>
      <c r="S195" s="20"/>
    </row>
    <row r="196" spans="1:19" s="6" customFormat="1" x14ac:dyDescent="0.2">
      <c r="A196" s="25">
        <f>-A195</f>
        <v>-52300</v>
      </c>
      <c r="B196" s="659">
        <f>-B195</f>
        <v>454900</v>
      </c>
      <c r="C196" s="659">
        <f>-C195</f>
        <v>-184000</v>
      </c>
      <c r="D196" s="659">
        <f>-D195</f>
        <v>-324300</v>
      </c>
      <c r="E196" s="31" t="s">
        <v>3019</v>
      </c>
      <c r="F196" s="932"/>
      <c r="G196" s="659">
        <v>-400000</v>
      </c>
      <c r="H196" s="679">
        <f>G196</f>
        <v>-400000</v>
      </c>
      <c r="I196" s="679">
        <f t="shared" ref="I196:Q196" si="80">H196</f>
        <v>-400000</v>
      </c>
      <c r="J196" s="679">
        <f t="shared" si="80"/>
        <v>-400000</v>
      </c>
      <c r="K196" s="679">
        <f t="shared" si="80"/>
        <v>-400000</v>
      </c>
      <c r="L196" s="679">
        <f t="shared" si="80"/>
        <v>-400000</v>
      </c>
      <c r="M196" s="659">
        <f t="shared" si="80"/>
        <v>-400000</v>
      </c>
      <c r="N196" s="659">
        <f t="shared" si="80"/>
        <v>-400000</v>
      </c>
      <c r="O196" s="659">
        <f t="shared" si="80"/>
        <v>-400000</v>
      </c>
      <c r="P196" s="659">
        <f t="shared" si="80"/>
        <v>-400000</v>
      </c>
      <c r="Q196" s="660">
        <f t="shared" si="80"/>
        <v>-400000</v>
      </c>
      <c r="S196" s="20"/>
    </row>
    <row r="197" spans="1:19" s="6" customFormat="1" x14ac:dyDescent="0.2">
      <c r="A197" s="25"/>
      <c r="B197" s="659"/>
      <c r="C197" s="659"/>
      <c r="D197" s="659"/>
      <c r="E197" s="31" t="s">
        <v>6958</v>
      </c>
      <c r="F197" s="932"/>
      <c r="G197" s="659">
        <f>GM!H1120</f>
        <v>0</v>
      </c>
      <c r="H197" s="659">
        <f>GM!J1120</f>
        <v>100000</v>
      </c>
      <c r="I197" s="679">
        <f>GM!K1120</f>
        <v>100000</v>
      </c>
      <c r="J197" s="679">
        <f>GM!L1120</f>
        <v>100000</v>
      </c>
      <c r="K197" s="679">
        <f>GM!M1120</f>
        <v>100000</v>
      </c>
      <c r="L197" s="679">
        <f>GM!N1120</f>
        <v>100000</v>
      </c>
      <c r="M197" s="659">
        <f>GM!O1120</f>
        <v>100000</v>
      </c>
      <c r="N197" s="659">
        <f>GM!P1120</f>
        <v>100000</v>
      </c>
      <c r="O197" s="659">
        <f>GM!Q1120</f>
        <v>100000</v>
      </c>
      <c r="P197" s="659">
        <f>GM!R1120</f>
        <v>100000</v>
      </c>
      <c r="Q197" s="660">
        <f>GM!S1120</f>
        <v>100000</v>
      </c>
      <c r="S197" s="20"/>
    </row>
    <row r="198" spans="1:19" s="6" customFormat="1" x14ac:dyDescent="0.2">
      <c r="A198" s="25"/>
      <c r="B198" s="659"/>
      <c r="C198" s="659"/>
      <c r="D198" s="659"/>
      <c r="E198" s="31" t="s">
        <v>3019</v>
      </c>
      <c r="F198" s="932"/>
      <c r="G198" s="659">
        <v>0</v>
      </c>
      <c r="H198" s="679">
        <v>-100000</v>
      </c>
      <c r="I198" s="679">
        <f t="shared" ref="I198:Q198" si="81">H198</f>
        <v>-100000</v>
      </c>
      <c r="J198" s="679">
        <f t="shared" si="81"/>
        <v>-100000</v>
      </c>
      <c r="K198" s="679">
        <f t="shared" si="81"/>
        <v>-100000</v>
      </c>
      <c r="L198" s="679">
        <f t="shared" si="81"/>
        <v>-100000</v>
      </c>
      <c r="M198" s="659">
        <f t="shared" si="81"/>
        <v>-100000</v>
      </c>
      <c r="N198" s="659">
        <f t="shared" si="81"/>
        <v>-100000</v>
      </c>
      <c r="O198" s="659">
        <f t="shared" si="81"/>
        <v>-100000</v>
      </c>
      <c r="P198" s="659">
        <f t="shared" si="81"/>
        <v>-100000</v>
      </c>
      <c r="Q198" s="660">
        <f t="shared" si="81"/>
        <v>-100000</v>
      </c>
      <c r="S198" s="20"/>
    </row>
    <row r="199" spans="1:19" s="6" customFormat="1" x14ac:dyDescent="0.2">
      <c r="A199" s="25"/>
      <c r="B199" s="659"/>
      <c r="C199" s="659"/>
      <c r="D199" s="659"/>
      <c r="E199" s="31"/>
      <c r="F199" s="932"/>
      <c r="G199" s="659"/>
      <c r="H199" s="679"/>
      <c r="I199" s="679"/>
      <c r="J199" s="679"/>
      <c r="K199" s="679"/>
      <c r="L199" s="679"/>
      <c r="M199" s="659"/>
      <c r="N199" s="659"/>
      <c r="O199" s="659"/>
      <c r="P199" s="659"/>
      <c r="Q199" s="660"/>
      <c r="S199" s="20"/>
    </row>
    <row r="200" spans="1:19" s="6" customFormat="1" x14ac:dyDescent="0.2">
      <c r="A200" s="25"/>
      <c r="B200" s="659"/>
      <c r="C200" s="659"/>
      <c r="D200" s="659"/>
      <c r="E200" s="31" t="s">
        <v>6595</v>
      </c>
      <c r="F200" s="932"/>
      <c r="G200" s="659">
        <f>0-CIV!H1781</f>
        <v>0</v>
      </c>
      <c r="H200" s="679">
        <f>0-CIV!J1781</f>
        <v>0</v>
      </c>
      <c r="I200" s="679">
        <f>0-CIV!K1781</f>
        <v>0</v>
      </c>
      <c r="J200" s="679">
        <f>0-CIV!L1781</f>
        <v>0</v>
      </c>
      <c r="K200" s="679">
        <f>0-CIV!M1781</f>
        <v>0</v>
      </c>
      <c r="L200" s="679">
        <f>0-CIV!N1781</f>
        <v>0</v>
      </c>
      <c r="M200" s="679">
        <f>0-CIV!O1781</f>
        <v>0</v>
      </c>
      <c r="N200" s="679">
        <f>0-CIV!P1781</f>
        <v>0</v>
      </c>
      <c r="O200" s="659">
        <f>0-CIV!Q1781</f>
        <v>0</v>
      </c>
      <c r="P200" s="659">
        <f>0-CIV!R1781</f>
        <v>0</v>
      </c>
      <c r="Q200" s="660">
        <f>0-CIV!S1781</f>
        <v>0</v>
      </c>
      <c r="S200" s="20"/>
    </row>
    <row r="201" spans="1:19" s="6" customFormat="1" x14ac:dyDescent="0.2">
      <c r="A201" s="154"/>
      <c r="B201" s="659"/>
      <c r="C201" s="659"/>
      <c r="D201" s="659"/>
      <c r="E201" s="31"/>
      <c r="F201" s="77"/>
      <c r="G201" s="659"/>
      <c r="H201" s="743"/>
      <c r="I201" s="743"/>
      <c r="J201" s="743"/>
      <c r="K201" s="743"/>
      <c r="L201" s="743"/>
      <c r="M201" s="742"/>
      <c r="N201" s="742"/>
      <c r="O201" s="659"/>
      <c r="P201" s="659"/>
      <c r="Q201" s="660"/>
      <c r="S201" s="20"/>
    </row>
    <row r="202" spans="1:19" s="6" customFormat="1" x14ac:dyDescent="0.2">
      <c r="A202" s="154">
        <f>ROUND('Debt-WW'!E98+'Debt-WW'!E99-'Debt-WW'!E41,-2)</f>
        <v>0</v>
      </c>
      <c r="B202" s="742">
        <f>'Debt-WW'!F98+'Debt-WW'!F99-'Debt-WW'!F41</f>
        <v>0</v>
      </c>
      <c r="C202" s="742">
        <f>'Debt-WW'!G98+'Debt-WW'!G99-'Debt-WW'!G41</f>
        <v>0</v>
      </c>
      <c r="D202" s="742">
        <f>'Debt-WW'!H98+'Debt-WW'!H99-'Debt-WW'!H41</f>
        <v>0</v>
      </c>
      <c r="E202" s="10" t="s">
        <v>3286</v>
      </c>
      <c r="F202" s="7"/>
      <c r="G202" s="742">
        <f>'Debt-WW'!I98+'Debt-WW'!I99-'Debt-WW'!I41</f>
        <v>0</v>
      </c>
      <c r="H202" s="743">
        <f>'Debt-WW'!J98+'Debt-WW'!J99-'Debt-WW'!J41</f>
        <v>0</v>
      </c>
      <c r="I202" s="743">
        <f>'Debt-WW'!K98+'Debt-WW'!K99-'Debt-WW'!K41</f>
        <v>0</v>
      </c>
      <c r="J202" s="743">
        <f>'Debt-WW'!L98+'Debt-WW'!L99-'Debt-WW'!L41</f>
        <v>0</v>
      </c>
      <c r="K202" s="743">
        <f>'Debt-WW'!M98+'Debt-WW'!M99-'Debt-WW'!M41</f>
        <v>0</v>
      </c>
      <c r="L202" s="743">
        <f>'Debt-WW'!N98+'Debt-WW'!N99-'Debt-WW'!N41</f>
        <v>0</v>
      </c>
      <c r="M202" s="742">
        <f>'Debt-WW'!O98+'Debt-WW'!O99-'Debt-WW'!O41</f>
        <v>0</v>
      </c>
      <c r="N202" s="742">
        <f>'Debt-WW'!P98+'Debt-WW'!P99-'Debt-WW'!P41</f>
        <v>0</v>
      </c>
      <c r="O202" s="659">
        <f>'Debt-WW'!Q98+'Debt-WW'!Q99-'Debt-WW'!Q41</f>
        <v>0</v>
      </c>
      <c r="P202" s="659">
        <f>'Debt-WW'!R98+'Debt-WW'!R99-'Debt-WW'!R41</f>
        <v>0</v>
      </c>
      <c r="Q202" s="660">
        <f>'Debt-WW'!S98+'Debt-WW'!S99-'Debt-WW'!S41</f>
        <v>0</v>
      </c>
      <c r="S202" s="20"/>
    </row>
    <row r="203" spans="1:19" s="6" customFormat="1" x14ac:dyDescent="0.2">
      <c r="A203" s="154">
        <f>ROUND('Debt-WW'!E102-'Debt-WW'!F23,-3)</f>
        <v>0</v>
      </c>
      <c r="B203" s="742">
        <f>ROUND('Debt-WW'!F102-'Debt-WW'!H23,-3)</f>
        <v>0</v>
      </c>
      <c r="C203" s="742">
        <f>ROUND('Debt-WW'!G102-'Debt-WW'!J23,-3)</f>
        <v>0</v>
      </c>
      <c r="D203" s="742">
        <f>ROUND('Debt-WW'!H102-'Debt-WW'!L23,-3)</f>
        <v>0</v>
      </c>
      <c r="E203" s="10" t="s">
        <v>5411</v>
      </c>
      <c r="F203" s="7"/>
      <c r="G203" s="742">
        <f>ROUND('Debt-WW'!I102-'Debt-WW'!N23,-3)</f>
        <v>0</v>
      </c>
      <c r="H203" s="742">
        <f>ROUND('Debt-WW'!J102-'Debt-WW'!P23,-3)</f>
        <v>0</v>
      </c>
      <c r="I203" s="742">
        <f>ROUND('Debt-WW'!K102-'Debt-WW'!R23,-3)</f>
        <v>0</v>
      </c>
      <c r="J203" s="742">
        <f>ROUND('Debt-WW'!L102-'Debt-WW'!T23,-3)</f>
        <v>0</v>
      </c>
      <c r="K203" s="742">
        <f>ROUND('Debt-WW'!M102-'Debt-WW'!V23,-3)</f>
        <v>0</v>
      </c>
      <c r="L203" s="742">
        <f>ROUND('Debt-WW'!N102-'Debt-WW'!X23,-3)</f>
        <v>0</v>
      </c>
      <c r="M203" s="742">
        <f>ROUND('Debt-WW'!O102-'Debt-WW'!Z23,-3)</f>
        <v>0</v>
      </c>
      <c r="N203" s="742">
        <f>ROUND('Debt-WW'!P102-'Debt-WW'!AB23,-3)</f>
        <v>0</v>
      </c>
      <c r="O203" s="742">
        <f>ROUND('Debt-WW'!Q102-'Debt-WW'!AD23,-3)</f>
        <v>0</v>
      </c>
      <c r="P203" s="742">
        <f>ROUND('Debt-WW'!R102-'Debt-WW'!AF23,-3)</f>
        <v>0</v>
      </c>
      <c r="Q203" s="1221">
        <f>ROUND('Debt-WW'!S102-'Debt-WW'!AH23,-3)</f>
        <v>0</v>
      </c>
      <c r="S203" s="20"/>
    </row>
    <row r="204" spans="1:19" s="12" customFormat="1" x14ac:dyDescent="0.2">
      <c r="A204" s="554"/>
      <c r="B204" s="745"/>
      <c r="C204" s="745"/>
      <c r="D204" s="745"/>
      <c r="E204" s="17"/>
      <c r="F204" s="22"/>
      <c r="G204" s="745"/>
      <c r="H204" s="744"/>
      <c r="I204" s="744"/>
      <c r="J204" s="744"/>
      <c r="K204" s="744"/>
      <c r="L204" s="744"/>
      <c r="M204" s="745"/>
      <c r="N204" s="745"/>
      <c r="O204" s="745"/>
      <c r="P204" s="745"/>
      <c r="Q204" s="1222"/>
      <c r="S204" s="20"/>
    </row>
    <row r="205" spans="1:19" s="6" customFormat="1" x14ac:dyDescent="0.2">
      <c r="A205" s="554"/>
      <c r="B205" s="742"/>
      <c r="C205" s="742">
        <f>-'Cap Inc'!B165</f>
        <v>-500000</v>
      </c>
      <c r="D205" s="742">
        <f>-'Cap Inc'!C165</f>
        <v>-6711700</v>
      </c>
      <c r="E205" s="10" t="s">
        <v>378</v>
      </c>
      <c r="F205" s="7"/>
      <c r="G205" s="742">
        <f>-'Cap Inc'!F165</f>
        <v>-8847800</v>
      </c>
      <c r="H205" s="743">
        <f>-'Cap Inc'!G165</f>
        <v>-2500000</v>
      </c>
      <c r="I205" s="743">
        <f>-'Cap Inc'!H165</f>
        <v>0</v>
      </c>
      <c r="J205" s="743">
        <f>-'Cap Inc'!I165</f>
        <v>-8340000</v>
      </c>
      <c r="K205" s="743">
        <f>-'Cap Inc'!J165</f>
        <v>0</v>
      </c>
      <c r="L205" s="743">
        <f>-'Cap Inc'!K165</f>
        <v>0</v>
      </c>
      <c r="M205" s="742">
        <f>-'Cap Inc'!L165</f>
        <v>0</v>
      </c>
      <c r="N205" s="742">
        <f>-'Cap Inc'!M165</f>
        <v>0</v>
      </c>
      <c r="O205" s="742">
        <f>-'Cap Inc'!N165</f>
        <v>0</v>
      </c>
      <c r="P205" s="742">
        <f>-'Cap Inc'!O165</f>
        <v>0</v>
      </c>
      <c r="Q205" s="1221">
        <f>-'Cap Inc'!P165</f>
        <v>0</v>
      </c>
      <c r="S205" s="20"/>
    </row>
    <row r="206" spans="1:19" s="6" customFormat="1" x14ac:dyDescent="0.2">
      <c r="A206" s="154"/>
      <c r="B206" s="742"/>
      <c r="C206" s="742">
        <f>'Cap-Gen'!T221</f>
        <v>500000</v>
      </c>
      <c r="D206" s="742">
        <f>+'Cap Inc'!C165</f>
        <v>6711700</v>
      </c>
      <c r="E206" s="10" t="s">
        <v>1586</v>
      </c>
      <c r="F206" s="7"/>
      <c r="G206" s="742">
        <f>'Cap-Gen'!AD221</f>
        <v>8847800</v>
      </c>
      <c r="H206" s="743">
        <f>'Cap-Gen'!AI221</f>
        <v>2500000</v>
      </c>
      <c r="I206" s="743">
        <f>'Cap-Gen'!AN221</f>
        <v>0</v>
      </c>
      <c r="J206" s="743">
        <f>'Cap-Gen'!AS221</f>
        <v>8340000</v>
      </c>
      <c r="K206" s="743">
        <f>'Cap-Gen'!AX221</f>
        <v>0</v>
      </c>
      <c r="L206" s="743">
        <f>'Cap-Gen'!BC221</f>
        <v>0</v>
      </c>
      <c r="M206" s="742">
        <f>'Cap-Gen'!BH221</f>
        <v>0</v>
      </c>
      <c r="N206" s="742">
        <f>'Cap-Gen'!BM221</f>
        <v>0</v>
      </c>
      <c r="O206" s="742">
        <f>'Cap-Gen'!BR221</f>
        <v>0</v>
      </c>
      <c r="P206" s="742">
        <f>'Cap-Gen'!BW221</f>
        <v>0</v>
      </c>
      <c r="Q206" s="1221">
        <f>'Cap-Gen'!CB221</f>
        <v>0</v>
      </c>
      <c r="S206" s="20"/>
    </row>
    <row r="207" spans="1:19" s="6" customFormat="1" x14ac:dyDescent="0.2">
      <c r="A207" s="154"/>
      <c r="B207" s="742"/>
      <c r="C207" s="742"/>
      <c r="D207" s="742"/>
      <c r="E207" s="10"/>
      <c r="F207" s="7"/>
      <c r="G207" s="742"/>
      <c r="H207" s="743"/>
      <c r="I207" s="743"/>
      <c r="J207" s="743"/>
      <c r="K207" s="743"/>
      <c r="L207" s="743"/>
      <c r="M207" s="742"/>
      <c r="N207" s="742"/>
      <c r="O207" s="742"/>
      <c r="P207" s="742"/>
      <c r="Q207" s="1221"/>
      <c r="S207" s="20"/>
    </row>
    <row r="208" spans="1:19" s="6" customFormat="1" x14ac:dyDescent="0.2">
      <c r="A208" s="154"/>
      <c r="B208" s="742"/>
      <c r="C208" s="742">
        <f>'Cap Inc'!B116-'Cap-Gen'!R221-'Cap Inc'!B19</f>
        <v>0</v>
      </c>
      <c r="D208" s="742">
        <f>'Cap Inc'!C116-'Cap-Gen'!W221-'Cap Inc'!C19-'Cap Inc'!C69-323500</f>
        <v>0</v>
      </c>
      <c r="E208" s="10" t="s">
        <v>3335</v>
      </c>
      <c r="F208" s="7"/>
      <c r="G208" s="742">
        <f>'Cap Inc'!F116-'Cap-Gen'!AB221-'Cap Inc'!F104-'Cap Inc'!F25-'Cap Inc'!F17-'Cap Inc'!F107</f>
        <v>-900000</v>
      </c>
      <c r="H208" s="743">
        <f>'Cap Inc'!G116-'Cap-Gen'!AG221</f>
        <v>-492000</v>
      </c>
      <c r="I208" s="743">
        <f>'Cap Inc'!H116-'Cap-Gen'!AL221</f>
        <v>-634000</v>
      </c>
      <c r="J208" s="743">
        <f>'Cap Inc'!I116-'Cap-Gen'!AQ221</f>
        <v>-646700</v>
      </c>
      <c r="K208" s="743">
        <f>'Cap Inc'!J116-'Cap-Gen'!AV221</f>
        <v>-659700</v>
      </c>
      <c r="L208" s="743">
        <f>'Cap Inc'!K116-'Cap-Gen'!BA221</f>
        <v>-672900</v>
      </c>
      <c r="M208" s="742">
        <f>'Cap Inc'!L116-'Cap-Gen'!BF221</f>
        <v>-686400</v>
      </c>
      <c r="N208" s="742">
        <f>'Cap Inc'!M116-'Cap-Gen'!BK221</f>
        <v>-700200</v>
      </c>
      <c r="O208" s="742">
        <f>'Cap Inc'!N116-'Cap-Gen'!BP221</f>
        <v>-714300</v>
      </c>
      <c r="P208" s="742">
        <f>'Cap Inc'!O116-'Cap-Gen'!BU221</f>
        <v>-728600</v>
      </c>
      <c r="Q208" s="1221">
        <f>'Cap Inc'!P116-'Cap-Gen'!BZ221</f>
        <v>-743200</v>
      </c>
      <c r="S208" s="20"/>
    </row>
    <row r="209" spans="1:19" s="6" customFormat="1" x14ac:dyDescent="0.2">
      <c r="A209" s="154"/>
      <c r="B209" s="742"/>
      <c r="C209" s="742"/>
      <c r="D209" s="742"/>
      <c r="E209" s="10" t="s">
        <v>5978</v>
      </c>
      <c r="F209" s="7"/>
      <c r="G209" s="742">
        <f>CIV!H1030</f>
        <v>900000</v>
      </c>
      <c r="H209" s="743">
        <f>CIV!J1030</f>
        <v>492000</v>
      </c>
      <c r="I209" s="743">
        <f>CIV!K1030</f>
        <v>634000</v>
      </c>
      <c r="J209" s="743">
        <f>CIV!L1030</f>
        <v>646700</v>
      </c>
      <c r="K209" s="743">
        <f>CIV!M1030</f>
        <v>659700</v>
      </c>
      <c r="L209" s="743">
        <f>CIV!N1030</f>
        <v>672900</v>
      </c>
      <c r="M209" s="742">
        <f>CIV!O1030</f>
        <v>686400</v>
      </c>
      <c r="N209" s="742">
        <f>CIV!P1030</f>
        <v>700200</v>
      </c>
      <c r="O209" s="742">
        <f>CIV!Q1030</f>
        <v>714300</v>
      </c>
      <c r="P209" s="742">
        <f>CIV!R1030</f>
        <v>728600</v>
      </c>
      <c r="Q209" s="1221">
        <f>CIV!S1030</f>
        <v>743200</v>
      </c>
      <c r="S209" s="20"/>
    </row>
    <row r="210" spans="1:19" s="12" customFormat="1" x14ac:dyDescent="0.2">
      <c r="A210" s="1225"/>
      <c r="B210" s="750"/>
      <c r="C210" s="750">
        <f>SUM(C208:C209)</f>
        <v>0</v>
      </c>
      <c r="D210" s="750">
        <f>SUM(D208:D209)</f>
        <v>0</v>
      </c>
      <c r="E210" s="18" t="s">
        <v>752</v>
      </c>
      <c r="F210" s="22"/>
      <c r="G210" s="750">
        <f t="shared" ref="G210:O210" si="82">SUM(G208:G209)</f>
        <v>0</v>
      </c>
      <c r="H210" s="749">
        <f t="shared" si="82"/>
        <v>0</v>
      </c>
      <c r="I210" s="749">
        <f t="shared" si="82"/>
        <v>0</v>
      </c>
      <c r="J210" s="749">
        <f t="shared" si="82"/>
        <v>0</v>
      </c>
      <c r="K210" s="749">
        <f t="shared" si="82"/>
        <v>0</v>
      </c>
      <c r="L210" s="749">
        <f t="shared" si="82"/>
        <v>0</v>
      </c>
      <c r="M210" s="750">
        <f t="shared" si="82"/>
        <v>0</v>
      </c>
      <c r="N210" s="750">
        <f t="shared" si="82"/>
        <v>0</v>
      </c>
      <c r="O210" s="750">
        <f t="shared" si="82"/>
        <v>0</v>
      </c>
      <c r="P210" s="750">
        <f t="shared" ref="P210:Q210" si="83">SUM(P208:P209)</f>
        <v>0</v>
      </c>
      <c r="Q210" s="1226">
        <f t="shared" si="83"/>
        <v>0</v>
      </c>
      <c r="S210" s="20"/>
    </row>
    <row r="211" spans="1:19" s="6" customFormat="1" x14ac:dyDescent="0.2">
      <c r="A211" s="154"/>
      <c r="B211" s="742"/>
      <c r="C211" s="742"/>
      <c r="D211" s="742"/>
      <c r="E211" s="10"/>
      <c r="F211" s="7"/>
      <c r="G211" s="742"/>
      <c r="H211" s="743"/>
      <c r="I211" s="743"/>
      <c r="J211" s="743"/>
      <c r="K211" s="743"/>
      <c r="L211" s="743"/>
      <c r="M211" s="742"/>
      <c r="N211" s="742"/>
      <c r="O211" s="742"/>
      <c r="P211" s="742"/>
      <c r="Q211" s="1221"/>
      <c r="S211" s="20"/>
    </row>
    <row r="212" spans="1:19" s="6" customFormat="1" x14ac:dyDescent="0.2">
      <c r="A212" s="154">
        <f>ROUND(Summaries!B62,-3)</f>
        <v>0</v>
      </c>
      <c r="B212" s="742">
        <f>Summaries!C62</f>
        <v>0</v>
      </c>
      <c r="C212" s="742">
        <f>Summaries!D62</f>
        <v>0</v>
      </c>
      <c r="D212" s="742">
        <f>Summaries!E62</f>
        <v>0</v>
      </c>
      <c r="E212" s="10" t="s">
        <v>3336</v>
      </c>
      <c r="F212" s="7"/>
      <c r="G212" s="742">
        <f>Summaries!F62</f>
        <v>0</v>
      </c>
      <c r="H212" s="743">
        <f>Summaries!G62</f>
        <v>0</v>
      </c>
      <c r="I212" s="743">
        <f>Summaries!H62</f>
        <v>0</v>
      </c>
      <c r="J212" s="743">
        <f>Summaries!I62</f>
        <v>0</v>
      </c>
      <c r="K212" s="743">
        <f>Summaries!J62</f>
        <v>0</v>
      </c>
      <c r="L212" s="743">
        <f>Summaries!K62</f>
        <v>0</v>
      </c>
      <c r="M212" s="742">
        <f>Summaries!L62</f>
        <v>0</v>
      </c>
      <c r="N212" s="742">
        <f>Summaries!Q62</f>
        <v>0</v>
      </c>
      <c r="O212" s="742">
        <f>Summaries!R62</f>
        <v>0</v>
      </c>
      <c r="P212" s="742">
        <f>Summaries!S62</f>
        <v>0</v>
      </c>
      <c r="Q212" s="1221">
        <f>Summaries!T62</f>
        <v>0</v>
      </c>
      <c r="S212" s="20"/>
    </row>
    <row r="213" spans="1:19" s="6" customFormat="1" x14ac:dyDescent="0.2">
      <c r="A213" s="154"/>
      <c r="B213" s="742">
        <f>ROUND(Summaries!Q11/1000-'BS&amp;Ratios'!C779,-3)</f>
        <v>0</v>
      </c>
      <c r="C213" s="743">
        <f>ROUND(Summaries!S11/1000-'BS&amp;Ratios'!E779,-3)</f>
        <v>0</v>
      </c>
      <c r="D213" s="743">
        <f>ROUND(Summaries!T11/1000-'BS&amp;Ratios'!F779,-3)</f>
        <v>0</v>
      </c>
      <c r="E213" s="10" t="s">
        <v>4614</v>
      </c>
      <c r="F213" s="7"/>
      <c r="G213" s="743">
        <f>ROUND(Summaries!U11/1000-'BS&amp;Ratios'!G779,-3)</f>
        <v>0</v>
      </c>
      <c r="H213" s="743">
        <f>ROUND(Summaries!V11/1000-'BS&amp;Ratios'!H779,-3)</f>
        <v>0</v>
      </c>
      <c r="I213" s="743">
        <f>ROUND(Summaries!W11/1000-'BS&amp;Ratios'!I779,-3)</f>
        <v>0</v>
      </c>
      <c r="J213" s="743">
        <f>ROUND(Summaries!X11/1000-'BS&amp;Ratios'!J779,-3)</f>
        <v>0</v>
      </c>
      <c r="K213" s="743">
        <f>ROUND(Summaries!Y11/1000-'BS&amp;Ratios'!K779,-3)</f>
        <v>0</v>
      </c>
      <c r="L213" s="743">
        <f>ROUND(Summaries!Z11/1000-'BS&amp;Ratios'!L779,-3)</f>
        <v>0</v>
      </c>
      <c r="M213" s="743">
        <f>ROUND(Summaries!AA11/1000-'BS&amp;Ratios'!M779,-3)</f>
        <v>0</v>
      </c>
      <c r="N213" s="743">
        <f>ROUND(Summaries!AB11/1000-'BS&amp;Ratios'!N779,-3)</f>
        <v>0</v>
      </c>
      <c r="O213" s="742">
        <f>ROUND(Summaries!AC11/1000-'BS&amp;Ratios'!O779,-3)</f>
        <v>0</v>
      </c>
      <c r="P213" s="742">
        <f>ROUND(Summaries!AD11/1000-'BS&amp;Ratios'!P779,-3)</f>
        <v>0</v>
      </c>
      <c r="Q213" s="1221">
        <f>ROUND(Summaries!AE11/1000-'BS&amp;Ratios'!Q779,-3)</f>
        <v>0</v>
      </c>
      <c r="S213" s="20"/>
    </row>
    <row r="214" spans="1:19" s="6" customFormat="1" x14ac:dyDescent="0.2">
      <c r="A214" s="154"/>
      <c r="B214" s="742"/>
      <c r="C214" s="743"/>
      <c r="D214" s="743"/>
      <c r="E214" s="10"/>
      <c r="F214" s="7"/>
      <c r="G214" s="743"/>
      <c r="H214" s="743"/>
      <c r="I214" s="743"/>
      <c r="J214" s="743"/>
      <c r="K214" s="743"/>
      <c r="L214" s="743"/>
      <c r="M214" s="742"/>
      <c r="N214" s="742"/>
      <c r="O214" s="742"/>
      <c r="P214" s="742"/>
      <c r="Q214" s="1221"/>
      <c r="S214" s="20"/>
    </row>
    <row r="215" spans="1:19" s="6" customFormat="1" x14ac:dyDescent="0.2">
      <c r="A215" s="154"/>
      <c r="B215" s="742"/>
      <c r="C215" s="743"/>
      <c r="D215" s="743"/>
      <c r="E215" s="10" t="s">
        <v>6686</v>
      </c>
      <c r="F215" s="7"/>
      <c r="G215" s="743">
        <f>GM!H646-Overheads!I273</f>
        <v>0</v>
      </c>
      <c r="H215" s="743"/>
      <c r="I215" s="743"/>
      <c r="J215" s="743"/>
      <c r="K215" s="743"/>
      <c r="L215" s="743"/>
      <c r="M215" s="742"/>
      <c r="N215" s="742"/>
      <c r="O215" s="742"/>
      <c r="P215" s="742"/>
      <c r="Q215" s="1221"/>
      <c r="S215" s="20"/>
    </row>
    <row r="216" spans="1:19" s="6" customFormat="1" x14ac:dyDescent="0.2">
      <c r="A216" s="154"/>
      <c r="B216" s="742"/>
      <c r="C216" s="743"/>
      <c r="D216" s="743"/>
      <c r="E216" s="1392" t="s">
        <v>3890</v>
      </c>
      <c r="F216" s="1393"/>
      <c r="G216" s="743"/>
      <c r="H216" s="743"/>
      <c r="I216" s="743"/>
      <c r="J216" s="743"/>
      <c r="K216" s="743"/>
      <c r="L216" s="743"/>
      <c r="M216" s="742"/>
      <c r="N216" s="742"/>
      <c r="O216" s="742"/>
      <c r="P216" s="742"/>
      <c r="Q216" s="1221"/>
      <c r="S216" s="20"/>
    </row>
    <row r="217" spans="1:19" s="6" customFormat="1" x14ac:dyDescent="0.2">
      <c r="A217" s="154"/>
      <c r="B217" s="742"/>
      <c r="C217" s="743"/>
      <c r="D217" s="743"/>
      <c r="E217" s="1402" t="s">
        <v>6688</v>
      </c>
      <c r="F217" s="1393"/>
      <c r="G217" s="743"/>
      <c r="H217" s="743"/>
      <c r="I217" s="743"/>
      <c r="J217" s="743"/>
      <c r="K217" s="743"/>
      <c r="L217" s="743"/>
      <c r="M217" s="742"/>
      <c r="N217" s="742"/>
      <c r="O217" s="742"/>
      <c r="P217" s="742"/>
      <c r="Q217" s="1221"/>
      <c r="S217" s="20"/>
    </row>
    <row r="218" spans="1:19" s="12" customFormat="1" ht="15" customHeight="1" x14ac:dyDescent="0.2">
      <c r="A218" s="154"/>
      <c r="B218" s="745"/>
      <c r="C218" s="743"/>
      <c r="D218" s="743"/>
      <c r="E218" s="17"/>
      <c r="F218" s="22"/>
      <c r="G218" s="743"/>
      <c r="H218" s="744"/>
      <c r="I218" s="744"/>
      <c r="J218" s="744"/>
      <c r="K218" s="744"/>
      <c r="L218" s="744"/>
      <c r="M218" s="742"/>
      <c r="N218" s="742"/>
      <c r="O218" s="742"/>
      <c r="P218" s="742"/>
      <c r="Q218" s="1221"/>
      <c r="S218" s="20"/>
    </row>
    <row r="219" spans="1:19" s="12" customFormat="1" x14ac:dyDescent="0.2">
      <c r="A219" s="154"/>
      <c r="B219" s="745"/>
      <c r="C219" s="745"/>
      <c r="D219" s="745"/>
      <c r="E219" s="17" t="s">
        <v>240</v>
      </c>
      <c r="F219" s="22"/>
      <c r="G219" s="743"/>
      <c r="H219" s="744"/>
      <c r="I219" s="744"/>
      <c r="J219" s="744"/>
      <c r="K219" s="744"/>
      <c r="L219" s="744"/>
      <c r="M219" s="742"/>
      <c r="N219" s="742"/>
      <c r="O219" s="742"/>
      <c r="P219" s="742"/>
      <c r="Q219" s="1221"/>
      <c r="S219" s="20"/>
    </row>
    <row r="220" spans="1:19" s="5" customFormat="1" x14ac:dyDescent="0.2">
      <c r="A220" s="154"/>
      <c r="B220" s="747"/>
      <c r="C220" s="747">
        <f>'Res-Gen'!D261-'Res-Bal'!C163</f>
        <v>0</v>
      </c>
      <c r="D220" s="747">
        <f>'Res-Gen'!G261-'Res-Bal'!F163</f>
        <v>0</v>
      </c>
      <c r="E220" s="4" t="s">
        <v>966</v>
      </c>
      <c r="F220" s="3"/>
      <c r="G220" s="743">
        <f>'Res-Gen'!J261-'Res-Bal'!I163</f>
        <v>0</v>
      </c>
      <c r="H220" s="748">
        <f>'Res-Gen'!M261-'Res-Bal'!L163</f>
        <v>0</v>
      </c>
      <c r="I220" s="748">
        <f>'Res-Gen'!P261-'Res-Bal'!O163</f>
        <v>0</v>
      </c>
      <c r="J220" s="748">
        <f>'Res-Gen'!S261-'Res-Bal'!R163</f>
        <v>0</v>
      </c>
      <c r="K220" s="748">
        <f>'Res-Gen'!V261-'Res-Bal'!U163</f>
        <v>0</v>
      </c>
      <c r="L220" s="748">
        <f>'Res-Gen'!Y261-'Res-Bal'!X163</f>
        <v>0</v>
      </c>
      <c r="M220" s="747">
        <f>'Res-Gen'!AB261-'Res-Bal'!AA163</f>
        <v>0</v>
      </c>
      <c r="N220" s="747">
        <f>'Res-Gen'!AE261-'Res-Bal'!AD163</f>
        <v>0</v>
      </c>
      <c r="O220" s="747">
        <f>'Res-Gen'!AH261-'Res-Bal'!AG163</f>
        <v>0</v>
      </c>
      <c r="P220" s="747">
        <f>'Res-Gen'!AK261-'Res-Bal'!AJ163</f>
        <v>0</v>
      </c>
      <c r="Q220" s="1224">
        <f>'Res-Gen'!AN261-'Res-Bal'!AM163</f>
        <v>0</v>
      </c>
      <c r="S220" s="20"/>
    </row>
    <row r="221" spans="1:19" s="5" customFormat="1" x14ac:dyDescent="0.2">
      <c r="A221" s="154"/>
      <c r="B221" s="747"/>
      <c r="C221" s="747">
        <f>'Res-Bal'!D163-LTFP!C229-LTFP!C230</f>
        <v>0</v>
      </c>
      <c r="D221" s="747">
        <f>'Res-Bal'!G163-LTFP!D229-LTFP!D230</f>
        <v>0</v>
      </c>
      <c r="E221" s="4" t="s">
        <v>504</v>
      </c>
      <c r="F221" s="3"/>
      <c r="G221" s="747">
        <f>'Res-Bal'!J163-LTFP!F229-LTFP!F230</f>
        <v>0</v>
      </c>
      <c r="H221" s="748">
        <f>'Res-Bal'!M163-LTFP!H229-LTFP!H230</f>
        <v>0</v>
      </c>
      <c r="I221" s="748">
        <f>'Res-Bal'!P163-LTFP!I229-LTFP!I230</f>
        <v>0</v>
      </c>
      <c r="J221" s="748">
        <f>'Res-Bal'!S163-LTFP!J229-LTFP!J230</f>
        <v>0</v>
      </c>
      <c r="K221" s="748">
        <f>'Res-Bal'!V163-LTFP!K229-LTFP!K230</f>
        <v>0</v>
      </c>
      <c r="L221" s="748">
        <f>'Res-Bal'!Y163-LTFP!L229-LTFP!L230</f>
        <v>0</v>
      </c>
      <c r="M221" s="747">
        <f>'Res-Bal'!AB163-LTFP!M229-LTFP!M230</f>
        <v>0</v>
      </c>
      <c r="N221" s="747">
        <f>'Res-Bal'!AE163-LTFP!N229-LTFP!N230</f>
        <v>0</v>
      </c>
      <c r="O221" s="747">
        <f>'Res-Bal'!AH163-LTFP!O229-LTFP!O230</f>
        <v>0</v>
      </c>
      <c r="P221" s="747">
        <f>'Res-Bal'!AK163-LTFP!P229-LTFP!P230</f>
        <v>0</v>
      </c>
      <c r="Q221" s="1224">
        <f>'Res-Bal'!AN163-LTFP!Q229-LTFP!Q230</f>
        <v>0</v>
      </c>
      <c r="S221" s="20"/>
    </row>
    <row r="222" spans="1:19" s="5" customFormat="1" x14ac:dyDescent="0.2">
      <c r="A222" s="154"/>
      <c r="B222" s="747"/>
      <c r="C222" s="747">
        <f>36775100+518000-'Res-Bal'!D163+200</f>
        <v>0</v>
      </c>
      <c r="D222" s="747">
        <f>36775100+518000-'Res-Bal'!E163+200</f>
        <v>0</v>
      </c>
      <c r="E222" s="10" t="s">
        <v>3576</v>
      </c>
      <c r="F222" s="3"/>
      <c r="G222" s="747"/>
      <c r="H222" s="748"/>
      <c r="I222" s="748"/>
      <c r="J222" s="748"/>
      <c r="K222" s="748"/>
      <c r="L222" s="748"/>
      <c r="M222" s="747"/>
      <c r="N222" s="747"/>
      <c r="O222" s="747"/>
      <c r="P222" s="747"/>
      <c r="Q222" s="1224"/>
      <c r="S222" s="20"/>
    </row>
    <row r="223" spans="1:19" s="5" customFormat="1" x14ac:dyDescent="0.2">
      <c r="A223" s="154"/>
      <c r="B223" s="747"/>
      <c r="C223" s="747"/>
      <c r="D223" s="747"/>
      <c r="E223" s="10"/>
      <c r="F223" s="3"/>
      <c r="G223" s="747"/>
      <c r="H223" s="748"/>
      <c r="I223" s="748"/>
      <c r="J223" s="748"/>
      <c r="K223" s="748"/>
      <c r="L223" s="748"/>
      <c r="M223" s="747"/>
      <c r="N223" s="747"/>
      <c r="O223" s="747"/>
      <c r="P223" s="747"/>
      <c r="Q223" s="1224"/>
      <c r="S223" s="20"/>
    </row>
    <row r="224" spans="1:19" s="5" customFormat="1" x14ac:dyDescent="0.2">
      <c r="A224" s="154"/>
      <c r="B224" s="747"/>
      <c r="C224" s="747"/>
      <c r="D224" s="747"/>
      <c r="E224" s="10" t="s">
        <v>5971</v>
      </c>
      <c r="F224" s="3"/>
      <c r="G224" s="747">
        <v>60000</v>
      </c>
      <c r="H224" s="748">
        <v>61600</v>
      </c>
      <c r="I224" s="748">
        <v>63200</v>
      </c>
      <c r="J224" s="748">
        <v>64800</v>
      </c>
      <c r="K224" s="748">
        <v>66600</v>
      </c>
      <c r="L224" s="748">
        <v>68400</v>
      </c>
      <c r="M224" s="747">
        <v>70200</v>
      </c>
      <c r="N224" s="747">
        <v>72000</v>
      </c>
      <c r="O224" s="747">
        <v>73800</v>
      </c>
      <c r="P224" s="747">
        <v>75800</v>
      </c>
      <c r="Q224" s="1224">
        <v>77800</v>
      </c>
      <c r="S224" s="20"/>
    </row>
    <row r="225" spans="1:19" s="5" customFormat="1" x14ac:dyDescent="0.2">
      <c r="A225" s="154"/>
      <c r="B225" s="747"/>
      <c r="C225" s="748"/>
      <c r="D225" s="748"/>
      <c r="E225" s="10" t="s">
        <v>4307</v>
      </c>
      <c r="F225" s="3"/>
      <c r="G225" s="748">
        <f>-(DEH!H381+DEH!H382+'Cap-Gen'!G70-DEH!H396-DEH!H397-DEH!H356)</f>
        <v>-60000</v>
      </c>
      <c r="H225" s="748">
        <f>-(DEH!J381+DEH!J382+'Cap-Gen'!H70-DEH!J396-DEH!J397-DEH!J356)</f>
        <v>-61600</v>
      </c>
      <c r="I225" s="748">
        <f>-(DEH!K381+DEH!K382+'Cap-Gen'!I70-DEH!K396-DEH!K397-DEH!K356)</f>
        <v>-63200</v>
      </c>
      <c r="J225" s="748">
        <f>-(DEH!L381+DEH!L382+'Cap-Gen'!J70-DEH!L396-DEH!L397-DEH!L356)</f>
        <v>-64800</v>
      </c>
      <c r="K225" s="748">
        <f>-(DEH!M381+DEH!M382+'Cap-Gen'!K70-DEH!M396-DEH!M397-DEH!M356)</f>
        <v>-66600</v>
      </c>
      <c r="L225" s="748">
        <f>-(DEH!N381+DEH!N382+'Cap-Gen'!L70-DEH!N396-DEH!N397-DEH!N356)</f>
        <v>-68400</v>
      </c>
      <c r="M225" s="747">
        <f>-(DEH!O381+DEH!O382+'Cap-Gen'!M70-DEH!O396-DEH!O397-DEH!O356)</f>
        <v>-70200</v>
      </c>
      <c r="N225" s="747">
        <f>-(DEH!P381+DEH!P382+'Cap-Gen'!N70-DEH!P396-DEH!P397-DEH!P356)</f>
        <v>-72000</v>
      </c>
      <c r="O225" s="747">
        <f>-(DEH!Q381+DEH!Q382+'Cap-Gen'!O70-DEH!Q396-DEH!Q397-DEH!Q356)</f>
        <v>-73800</v>
      </c>
      <c r="P225" s="747">
        <f>-(DEH!R381+DEH!R382+'Cap-Gen'!R70-DEH!R396-DEH!R397-DEH!R356)</f>
        <v>-75800</v>
      </c>
      <c r="Q225" s="1224">
        <f>-(DEH!S381+DEH!S382+'Cap-Gen'!U70-DEH!S396-DEH!S397-DEH!S356)</f>
        <v>-77800</v>
      </c>
      <c r="S225" s="20"/>
    </row>
    <row r="226" spans="1:19" s="11" customFormat="1" x14ac:dyDescent="0.2">
      <c r="A226" s="155"/>
      <c r="B226" s="739">
        <f>SUM(B224:B225)</f>
        <v>0</v>
      </c>
      <c r="C226" s="740">
        <f>SUM(C224:C225)</f>
        <v>0</v>
      </c>
      <c r="D226" s="740">
        <f>SUM(D224:D225)</f>
        <v>0</v>
      </c>
      <c r="E226" s="18" t="s">
        <v>1169</v>
      </c>
      <c r="F226" s="33"/>
      <c r="G226" s="740">
        <f t="shared" ref="G226:M226" si="84">SUM(G224:G225)</f>
        <v>0</v>
      </c>
      <c r="H226" s="740">
        <f t="shared" si="84"/>
        <v>0</v>
      </c>
      <c r="I226" s="740">
        <f t="shared" si="84"/>
        <v>0</v>
      </c>
      <c r="J226" s="740">
        <f t="shared" si="84"/>
        <v>0</v>
      </c>
      <c r="K226" s="740">
        <f t="shared" si="84"/>
        <v>0</v>
      </c>
      <c r="L226" s="740">
        <f t="shared" si="84"/>
        <v>0</v>
      </c>
      <c r="M226" s="739">
        <f t="shared" si="84"/>
        <v>0</v>
      </c>
      <c r="N226" s="739">
        <f t="shared" ref="N226:O226" si="85">SUM(N224:N225)</f>
        <v>0</v>
      </c>
      <c r="O226" s="739">
        <f t="shared" si="85"/>
        <v>0</v>
      </c>
      <c r="P226" s="739">
        <f t="shared" ref="P226:Q226" si="86">SUM(P224:P225)</f>
        <v>0</v>
      </c>
      <c r="Q226" s="1220">
        <f t="shared" si="86"/>
        <v>0</v>
      </c>
      <c r="S226" s="20"/>
    </row>
    <row r="227" spans="1:19" s="5" customFormat="1" x14ac:dyDescent="0.2">
      <c r="A227" s="154"/>
      <c r="B227" s="747"/>
      <c r="C227" s="747"/>
      <c r="D227" s="747"/>
      <c r="E227" s="10"/>
      <c r="F227" s="3"/>
      <c r="G227" s="747"/>
      <c r="H227" s="748"/>
      <c r="I227" s="748"/>
      <c r="J227" s="748"/>
      <c r="K227" s="748"/>
      <c r="L227" s="748"/>
      <c r="M227" s="747"/>
      <c r="N227" s="747"/>
      <c r="O227" s="747"/>
      <c r="P227" s="747"/>
      <c r="Q227" s="1224"/>
      <c r="S227" s="20"/>
    </row>
    <row r="228" spans="1:19" s="5" customFormat="1" x14ac:dyDescent="0.2">
      <c r="A228" s="154"/>
      <c r="B228" s="747"/>
      <c r="C228" s="747"/>
      <c r="D228" s="747"/>
      <c r="E228" s="18" t="s">
        <v>4149</v>
      </c>
      <c r="F228" s="3"/>
      <c r="G228" s="747"/>
      <c r="H228" s="748"/>
      <c r="I228" s="748"/>
      <c r="J228" s="748"/>
      <c r="K228" s="748"/>
      <c r="L228" s="748"/>
      <c r="M228" s="747"/>
      <c r="N228" s="747"/>
      <c r="O228" s="747"/>
      <c r="P228" s="747"/>
      <c r="Q228" s="1224"/>
      <c r="S228" s="20"/>
    </row>
    <row r="229" spans="1:19" s="5" customFormat="1" x14ac:dyDescent="0.2">
      <c r="A229" s="154"/>
      <c r="B229" s="747">
        <f>15054800-LTFP!B330</f>
        <v>0</v>
      </c>
      <c r="C229" s="747"/>
      <c r="D229" s="747"/>
      <c r="E229" s="10" t="s">
        <v>3289</v>
      </c>
      <c r="F229" s="3"/>
      <c r="G229" s="747"/>
      <c r="H229" s="748"/>
      <c r="I229" s="748"/>
      <c r="J229" s="748"/>
      <c r="K229" s="748"/>
      <c r="L229" s="748"/>
      <c r="M229" s="747"/>
      <c r="N229" s="747"/>
      <c r="O229" s="747"/>
      <c r="P229" s="747"/>
      <c r="Q229" s="1224"/>
      <c r="S229" s="20"/>
    </row>
    <row r="230" spans="1:19" s="6" customFormat="1" x14ac:dyDescent="0.2">
      <c r="A230" s="154"/>
      <c r="B230" s="742">
        <f>10471900-LTFP!B281</f>
        <v>0</v>
      </c>
      <c r="C230" s="742"/>
      <c r="D230" s="742"/>
      <c r="E230" s="10" t="s">
        <v>1732</v>
      </c>
      <c r="F230" s="7"/>
      <c r="G230" s="742"/>
      <c r="H230" s="743"/>
      <c r="I230" s="743"/>
      <c r="J230" s="743"/>
      <c r="K230" s="743"/>
      <c r="L230" s="743"/>
      <c r="M230" s="742"/>
      <c r="N230" s="742"/>
      <c r="O230" s="742"/>
      <c r="P230" s="742"/>
      <c r="Q230" s="1221"/>
      <c r="S230" s="20"/>
    </row>
    <row r="231" spans="1:19" s="6" customFormat="1" x14ac:dyDescent="0.2">
      <c r="A231" s="154"/>
      <c r="B231" s="742"/>
      <c r="C231" s="742"/>
      <c r="D231" s="742"/>
      <c r="E231" s="10"/>
      <c r="F231" s="7"/>
      <c r="G231" s="742"/>
      <c r="H231" s="743"/>
      <c r="I231" s="743"/>
      <c r="J231" s="743"/>
      <c r="K231" s="743"/>
      <c r="L231" s="743"/>
      <c r="M231" s="742"/>
      <c r="N231" s="742"/>
      <c r="O231" s="742"/>
      <c r="P231" s="742"/>
      <c r="Q231" s="1221"/>
      <c r="S231" s="20"/>
    </row>
    <row r="232" spans="1:19" s="6" customFormat="1" x14ac:dyDescent="0.2">
      <c r="A232" s="154"/>
      <c r="B232" s="742"/>
      <c r="C232" s="742">
        <f>'Cap-Gen'!E221-SUM('Cap-Gen'!R221:V221)</f>
        <v>0</v>
      </c>
      <c r="D232" s="742">
        <f>'Cap-Gen'!F221-SUM('Cap-Gen'!W221:AA221)</f>
        <v>0</v>
      </c>
      <c r="E232" s="10" t="s">
        <v>4206</v>
      </c>
      <c r="F232" s="7"/>
      <c r="G232" s="742">
        <f>'Cap-Gen'!G221-SUM('Cap-Gen'!AB221:AF221)</f>
        <v>0</v>
      </c>
      <c r="H232" s="743">
        <f>'Cap-Gen'!H221-SUM('Cap-Gen'!AG221:AK221)</f>
        <v>0</v>
      </c>
      <c r="I232" s="743">
        <f>'Cap-Gen'!I221-SUM('Cap-Gen'!AL221:AP221)</f>
        <v>0</v>
      </c>
      <c r="J232" s="743">
        <f>'Cap-Gen'!J221-SUM('Cap-Gen'!AQ221:AU221)</f>
        <v>0</v>
      </c>
      <c r="K232" s="743">
        <f>'Cap-Gen'!K221-SUM('Cap-Gen'!AV221:AZ221)</f>
        <v>0</v>
      </c>
      <c r="L232" s="743">
        <f>'Cap-Gen'!L221-SUM('Cap-Gen'!BA221:BE221)</f>
        <v>0</v>
      </c>
      <c r="M232" s="742">
        <f>'Cap-Gen'!M221-SUM('Cap-Gen'!BF221:BJ221)</f>
        <v>0</v>
      </c>
      <c r="N232" s="742">
        <f>'Cap-Gen'!N221-SUM('Cap-Gen'!BK221:BO221)</f>
        <v>0</v>
      </c>
      <c r="O232" s="742">
        <f>'Cap-Gen'!O221-SUM('Cap-Gen'!BP221:BT221)</f>
        <v>0</v>
      </c>
      <c r="P232" s="742">
        <f>'Cap-Gen'!P221-SUM('Cap-Gen'!BU221:BY221)</f>
        <v>0</v>
      </c>
      <c r="Q232" s="1221">
        <f>'Cap-Gen'!Q221-SUM('Cap-Gen'!BZ221:CD221)</f>
        <v>0</v>
      </c>
      <c r="S232" s="20"/>
    </row>
    <row r="233" spans="1:19" s="6" customFormat="1" x14ac:dyDescent="0.2">
      <c r="A233" s="154"/>
      <c r="B233" s="742"/>
      <c r="C233" s="743">
        <f>'Cap-Gen'!R83-CIV!D1827-'W&amp;W'!D216-'W&amp;W'!D404-CIV!D2005</f>
        <v>0</v>
      </c>
      <c r="D233" s="743">
        <f>'Cap-Gen'!W82-CIV!E1827-'W&amp;W'!E216-'W&amp;W'!E404-CIV!E2005+68600</f>
        <v>0</v>
      </c>
      <c r="E233" s="10" t="s">
        <v>4756</v>
      </c>
      <c r="F233" s="7"/>
      <c r="G233" s="743">
        <f>'Cap-Gen'!AB82-CIV!H1827-'W&amp;W'!H216-'W&amp;W'!H404-CIV!H2005+'Cap Inc'!F25</f>
        <v>0</v>
      </c>
      <c r="H233" s="743">
        <f>'Cap-Gen'!AG82-CIV!J1827-'W&amp;W'!J216-'W&amp;W'!J404-CIV!J2005</f>
        <v>0</v>
      </c>
      <c r="I233" s="743">
        <f>'Cap-Gen'!AL82-CIV!K1827-'W&amp;W'!K216-'W&amp;W'!K404-CIV!K2005</f>
        <v>0</v>
      </c>
      <c r="J233" s="743">
        <f>'Cap-Gen'!AQ82-CIV!L1827-'W&amp;W'!L216-'W&amp;W'!L404-CIV!L2005</f>
        <v>0</v>
      </c>
      <c r="K233" s="743">
        <f>'Cap-Gen'!AV82-CIV!M1827-'W&amp;W'!M216-'W&amp;W'!M404-CIV!M2005</f>
        <v>0</v>
      </c>
      <c r="L233" s="743">
        <f>'Cap-Gen'!BA82-CIV!N1827-'W&amp;W'!N216-'W&amp;W'!N404-CIV!N2005</f>
        <v>0</v>
      </c>
      <c r="M233" s="743">
        <f>'Cap-Gen'!BF82-CIV!O1827-'W&amp;W'!O216-'W&amp;W'!O404-CIV!O2005</f>
        <v>0</v>
      </c>
      <c r="N233" s="742">
        <f>'Cap-Gen'!BK82-CIV!P1827-'W&amp;W'!P216-'W&amp;W'!P404-CIV!P2005</f>
        <v>0</v>
      </c>
      <c r="O233" s="742">
        <f>'Cap-Gen'!BP82-CIV!Q1827-'W&amp;W'!Q216-'W&amp;W'!Q404-CIV!Q2005</f>
        <v>0</v>
      </c>
      <c r="P233" s="742">
        <f>'Cap-Gen'!BU82-CIV!R1827-'W&amp;W'!R216-'W&amp;W'!R404-CIV!R2005</f>
        <v>0</v>
      </c>
      <c r="Q233" s="1221">
        <f>'Cap-Gen'!BZ82-CIV!S1827-'W&amp;W'!S216-'W&amp;W'!S404-CIV!S2005</f>
        <v>0</v>
      </c>
      <c r="S233" s="20"/>
    </row>
    <row r="234" spans="1:19" s="6" customFormat="1" x14ac:dyDescent="0.2">
      <c r="A234" s="154"/>
      <c r="B234" s="742"/>
      <c r="C234" s="743"/>
      <c r="D234" s="743"/>
      <c r="E234" s="10"/>
      <c r="F234" s="7"/>
      <c r="G234" s="743"/>
      <c r="H234" s="743"/>
      <c r="I234" s="743"/>
      <c r="J234" s="743"/>
      <c r="K234" s="743"/>
      <c r="L234" s="743"/>
      <c r="M234" s="743"/>
      <c r="N234" s="742"/>
      <c r="O234" s="742"/>
      <c r="P234" s="742"/>
      <c r="Q234" s="1221"/>
      <c r="S234" s="20"/>
    </row>
    <row r="235" spans="1:19" s="6" customFormat="1" x14ac:dyDescent="0.2">
      <c r="A235" s="154"/>
      <c r="B235" s="742"/>
      <c r="C235" s="743"/>
      <c r="D235" s="743"/>
      <c r="E235" s="10" t="s">
        <v>5975</v>
      </c>
      <c r="F235" s="7"/>
      <c r="G235" s="743">
        <f>CIV!H1030-'Cap-Gen'!AB120</f>
        <v>0</v>
      </c>
      <c r="H235" s="743">
        <f>CIV!J1030-'Cap-Gen'!AG120</f>
        <v>0</v>
      </c>
      <c r="I235" s="743">
        <f>CIV!K1030-'Cap-Gen'!AL120</f>
        <v>0</v>
      </c>
      <c r="J235" s="743">
        <f>CIV!L1030-'Cap-Gen'!AQ120</f>
        <v>0</v>
      </c>
      <c r="K235" s="743">
        <f>CIV!M1030-'Cap-Gen'!AV120</f>
        <v>0</v>
      </c>
      <c r="L235" s="743">
        <f>CIV!N1030-'Cap-Gen'!BA120</f>
        <v>0</v>
      </c>
      <c r="M235" s="743">
        <f>CIV!O1030-'Cap-Gen'!BF120</f>
        <v>0</v>
      </c>
      <c r="N235" s="742">
        <f>CIV!P1030-'Cap-Gen'!BK120</f>
        <v>0</v>
      </c>
      <c r="O235" s="742">
        <f>CIV!Q1030-'Cap-Gen'!BP120</f>
        <v>0</v>
      </c>
      <c r="P235" s="742">
        <f>CIV!R1030-'Cap-Gen'!BU120</f>
        <v>0</v>
      </c>
      <c r="Q235" s="1221">
        <f>CIV!S1030-'Cap-Gen'!BZ120</f>
        <v>0</v>
      </c>
      <c r="S235" s="20"/>
    </row>
    <row r="236" spans="1:19" s="6" customFormat="1" x14ac:dyDescent="0.2">
      <c r="A236" s="154"/>
      <c r="B236" s="742"/>
      <c r="C236" s="742"/>
      <c r="D236" s="742"/>
      <c r="E236" s="10"/>
      <c r="F236" s="7"/>
      <c r="G236" s="742"/>
      <c r="H236" s="743"/>
      <c r="I236" s="743"/>
      <c r="J236" s="743"/>
      <c r="K236" s="743"/>
      <c r="L236" s="743"/>
      <c r="M236" s="742"/>
      <c r="N236" s="742"/>
      <c r="O236" s="742"/>
      <c r="P236" s="742"/>
      <c r="Q236" s="1221"/>
      <c r="S236" s="20"/>
    </row>
    <row r="237" spans="1:19" s="6" customFormat="1" x14ac:dyDescent="0.2">
      <c r="A237" s="154"/>
      <c r="B237" s="742"/>
      <c r="C237" s="743"/>
      <c r="D237" s="743"/>
      <c r="E237" s="18" t="s">
        <v>4163</v>
      </c>
      <c r="F237" s="7"/>
      <c r="G237" s="743"/>
      <c r="H237" s="743"/>
      <c r="I237" s="743"/>
      <c r="J237" s="743"/>
      <c r="K237" s="743"/>
      <c r="L237" s="743"/>
      <c r="M237" s="743"/>
      <c r="N237" s="742"/>
      <c r="O237" s="742"/>
      <c r="P237" s="742"/>
      <c r="Q237" s="1221"/>
      <c r="S237" s="20"/>
    </row>
    <row r="238" spans="1:19" s="6" customFormat="1" x14ac:dyDescent="0.2">
      <c r="A238" s="154">
        <f>ROUND(LTFP!A140-LTFP!A29,-1)-700</f>
        <v>0</v>
      </c>
      <c r="B238" s="742">
        <f>ROUND(LTFP!B140-LTFP!B29,-2)-Internals!U11+Internals!U10+Internals!U20</f>
        <v>0</v>
      </c>
      <c r="C238" s="743">
        <f>LTFP!C140-LTFP!C29</f>
        <v>0</v>
      </c>
      <c r="D238" s="743">
        <f>LTFP!D140-LTFP!D29</f>
        <v>0</v>
      </c>
      <c r="E238" s="10" t="s">
        <v>4692</v>
      </c>
      <c r="F238" s="7"/>
      <c r="G238" s="743">
        <f>LTFP!F140-LTFP!F29</f>
        <v>0</v>
      </c>
      <c r="H238" s="743">
        <f>LTFP!H140-LTFP!H29</f>
        <v>0</v>
      </c>
      <c r="I238" s="743">
        <f>LTFP!I140-LTFP!I29</f>
        <v>0</v>
      </c>
      <c r="J238" s="743">
        <f>LTFP!J140-LTFP!J29</f>
        <v>0</v>
      </c>
      <c r="K238" s="743">
        <f>LTFP!K140-LTFP!K29</f>
        <v>0</v>
      </c>
      <c r="L238" s="743">
        <f>LTFP!L140-LTFP!L29</f>
        <v>0</v>
      </c>
      <c r="M238" s="743">
        <f>LTFP!M140-LTFP!M29</f>
        <v>0</v>
      </c>
      <c r="N238" s="742">
        <f>LTFP!N140-LTFP!N29</f>
        <v>0</v>
      </c>
      <c r="O238" s="742">
        <f>LTFP!O140-LTFP!O29</f>
        <v>0</v>
      </c>
      <c r="P238" s="742">
        <f>LTFP!P140-LTFP!P29</f>
        <v>0</v>
      </c>
      <c r="Q238" s="1221">
        <f>LTFP!Q140-LTFP!Q29</f>
        <v>0</v>
      </c>
      <c r="S238" s="20"/>
    </row>
    <row r="239" spans="1:19" s="6" customFormat="1" x14ac:dyDescent="0.2">
      <c r="A239" s="154">
        <f>ROUND(LTFP!A195-LTFP!A60,-1)-700</f>
        <v>0</v>
      </c>
      <c r="B239" s="742">
        <f>ROUND(LTFP!B195-LTFP!B60,-2)-Internals!U11+Internals!U10+Internals!U20</f>
        <v>0</v>
      </c>
      <c r="C239" s="743">
        <f>LTFP!C195-LTFP!C60</f>
        <v>0</v>
      </c>
      <c r="D239" s="743">
        <f>LTFP!D195-LTFP!D60</f>
        <v>0</v>
      </c>
      <c r="E239" s="10" t="s">
        <v>5775</v>
      </c>
      <c r="F239" s="7"/>
      <c r="G239" s="743">
        <f>LTFP!F195-LTFP!F60</f>
        <v>0</v>
      </c>
      <c r="H239" s="743">
        <f>LTFP!H195-LTFP!H60</f>
        <v>0</v>
      </c>
      <c r="I239" s="743">
        <f>LTFP!I195-LTFP!I60</f>
        <v>0</v>
      </c>
      <c r="J239" s="743">
        <f>LTFP!J195-LTFP!J60</f>
        <v>0</v>
      </c>
      <c r="K239" s="743">
        <f>LTFP!K195-LTFP!K60</f>
        <v>0</v>
      </c>
      <c r="L239" s="743">
        <f>LTFP!L195-LTFP!L60</f>
        <v>0</v>
      </c>
      <c r="M239" s="743">
        <f>LTFP!M195-LTFP!M60</f>
        <v>0</v>
      </c>
      <c r="N239" s="742">
        <f>LTFP!N195-LTFP!N60</f>
        <v>0</v>
      </c>
      <c r="O239" s="742">
        <f>LTFP!O195-LTFP!O60</f>
        <v>0</v>
      </c>
      <c r="P239" s="742">
        <f>LTFP!P195-LTFP!P60</f>
        <v>0</v>
      </c>
      <c r="Q239" s="1221">
        <f>LTFP!Q195-LTFP!Q60</f>
        <v>0</v>
      </c>
      <c r="S239" s="20"/>
    </row>
    <row r="240" spans="1:19" s="6" customFormat="1" x14ac:dyDescent="0.2">
      <c r="A240" s="154">
        <f>LTFP!A248-LTFP!A91</f>
        <v>0</v>
      </c>
      <c r="B240" s="742">
        <f>LTFP!B248-LTFP!B91</f>
        <v>0</v>
      </c>
      <c r="C240" s="743">
        <f>LTFP!C248-LTFP!C91</f>
        <v>0</v>
      </c>
      <c r="D240" s="743">
        <f>LTFP!D248-LTFP!D91</f>
        <v>0</v>
      </c>
      <c r="E240" s="10" t="s">
        <v>4690</v>
      </c>
      <c r="F240" s="7"/>
      <c r="G240" s="743">
        <f>LTFP!F248-LTFP!F91</f>
        <v>0</v>
      </c>
      <c r="H240" s="743">
        <f>LTFP!H248-LTFP!H91</f>
        <v>0</v>
      </c>
      <c r="I240" s="743">
        <f>LTFP!I248-LTFP!I91</f>
        <v>0</v>
      </c>
      <c r="J240" s="743">
        <f>LTFP!J248-LTFP!J91</f>
        <v>0</v>
      </c>
      <c r="K240" s="743">
        <f>LTFP!K248-LTFP!K91</f>
        <v>0</v>
      </c>
      <c r="L240" s="743">
        <f>LTFP!L248-LTFP!L91</f>
        <v>0</v>
      </c>
      <c r="M240" s="743">
        <f>LTFP!M248-LTFP!M91</f>
        <v>0</v>
      </c>
      <c r="N240" s="742">
        <f>LTFP!N248-LTFP!N91</f>
        <v>0</v>
      </c>
      <c r="O240" s="742">
        <f>LTFP!O248-LTFP!O91</f>
        <v>0</v>
      </c>
      <c r="P240" s="742">
        <f>LTFP!P248-LTFP!P91</f>
        <v>0</v>
      </c>
      <c r="Q240" s="1221">
        <f>LTFP!Q248-LTFP!Q91</f>
        <v>0</v>
      </c>
      <c r="S240" s="20"/>
    </row>
    <row r="241" spans="1:19" s="6" customFormat="1" x14ac:dyDescent="0.2">
      <c r="A241" s="154">
        <f>LTFP!A297-LTFP!A122</f>
        <v>0</v>
      </c>
      <c r="B241" s="742">
        <f>LTFP!B297-LTFP!B122</f>
        <v>0</v>
      </c>
      <c r="C241" s="743">
        <f>LTFP!C297-LTFP!C122</f>
        <v>0</v>
      </c>
      <c r="D241" s="743">
        <f>LTFP!D297-LTFP!D122</f>
        <v>0</v>
      </c>
      <c r="E241" s="10" t="s">
        <v>4691</v>
      </c>
      <c r="F241" s="7"/>
      <c r="G241" s="743">
        <f>LTFP!F297-LTFP!F122</f>
        <v>0</v>
      </c>
      <c r="H241" s="743">
        <f>LTFP!H297-LTFP!H122</f>
        <v>0</v>
      </c>
      <c r="I241" s="743">
        <f>LTFP!I297-LTFP!I122</f>
        <v>0</v>
      </c>
      <c r="J241" s="743">
        <f>LTFP!J297-LTFP!J122</f>
        <v>0</v>
      </c>
      <c r="K241" s="743">
        <f>LTFP!K297-LTFP!K122</f>
        <v>0</v>
      </c>
      <c r="L241" s="743">
        <f>LTFP!L297-LTFP!L122</f>
        <v>0</v>
      </c>
      <c r="M241" s="743">
        <f>LTFP!M297-LTFP!M122</f>
        <v>0</v>
      </c>
      <c r="N241" s="742">
        <f>LTFP!N297-LTFP!N122</f>
        <v>0</v>
      </c>
      <c r="O241" s="742">
        <f>LTFP!O297-LTFP!O122</f>
        <v>0</v>
      </c>
      <c r="P241" s="742">
        <f>LTFP!P297-LTFP!P122</f>
        <v>0</v>
      </c>
      <c r="Q241" s="1221">
        <f>LTFP!Q297-LTFP!Q122</f>
        <v>0</v>
      </c>
      <c r="S241" s="20"/>
    </row>
    <row r="242" spans="1:19" s="6" customFormat="1" x14ac:dyDescent="0.2">
      <c r="A242" s="154"/>
      <c r="B242" s="742"/>
      <c r="C242" s="742"/>
      <c r="D242" s="742"/>
      <c r="E242" s="10"/>
      <c r="F242" s="7"/>
      <c r="G242" s="742"/>
      <c r="H242" s="743"/>
      <c r="I242" s="743"/>
      <c r="J242" s="743"/>
      <c r="K242" s="743"/>
      <c r="L242" s="743"/>
      <c r="M242" s="742"/>
      <c r="N242" s="742"/>
      <c r="O242" s="742"/>
      <c r="P242" s="742"/>
      <c r="Q242" s="1221"/>
      <c r="S242" s="20"/>
    </row>
    <row r="243" spans="1:19" s="6" customFormat="1" x14ac:dyDescent="0.2">
      <c r="A243" s="154">
        <f>LTFP!A165+LTFP!A177-LTFP!A220-LTFP!A232-LTFP!A271-LTFP!A281-LTFP!A320-LTFP!A330</f>
        <v>0</v>
      </c>
      <c r="B243" s="742">
        <f>LTFP!B165+LTFP!B177-LTFP!B220-LTFP!B232-LTFP!B271-LTFP!B281-LTFP!B320-LTFP!B330</f>
        <v>0</v>
      </c>
      <c r="C243" s="742">
        <f>LTFP!C165+LTFP!C177-LTFP!C220-LTFP!C232-LTFP!C271-LTFP!C281-LTFP!C320-LTFP!C330</f>
        <v>0</v>
      </c>
      <c r="D243" s="742">
        <f>LTFP!D165+LTFP!D177-LTFP!D220-LTFP!D232-LTFP!D271-LTFP!D281-LTFP!D320-LTFP!D330</f>
        <v>0</v>
      </c>
      <c r="E243" s="18" t="s">
        <v>4459</v>
      </c>
      <c r="F243" s="7"/>
      <c r="G243" s="742">
        <f>LTFP!F165+LTFP!F177-LTFP!F220-LTFP!F232-LTFP!F271-LTFP!F281-LTFP!F320-LTFP!F330</f>
        <v>0</v>
      </c>
      <c r="H243" s="742">
        <f>LTFP!H165+LTFP!H177-LTFP!H220-LTFP!H232-LTFP!H271-LTFP!H281-LTFP!H320-LTFP!H330</f>
        <v>0</v>
      </c>
      <c r="I243" s="742">
        <f>LTFP!I165+LTFP!I177-LTFP!I220-LTFP!I232-LTFP!I271-LTFP!I281-LTFP!I320-LTFP!I330</f>
        <v>0</v>
      </c>
      <c r="J243" s="742">
        <f>LTFP!J165+LTFP!J177-LTFP!J220-LTFP!J232-LTFP!J271-LTFP!J281-LTFP!J320-LTFP!J330</f>
        <v>0</v>
      </c>
      <c r="K243" s="742">
        <f>LTFP!K165+LTFP!K177-LTFP!K220-LTFP!K232-LTFP!K271-LTFP!K281-LTFP!K320-LTFP!K330</f>
        <v>0</v>
      </c>
      <c r="L243" s="742">
        <f>LTFP!L165+LTFP!L177-LTFP!L220-LTFP!L232-LTFP!L271-LTFP!L281-LTFP!L320-LTFP!L330</f>
        <v>0</v>
      </c>
      <c r="M243" s="742">
        <f>LTFP!M165+LTFP!M177-LTFP!M220-LTFP!M232-LTFP!M271-LTFP!M281-LTFP!M320-LTFP!M330</f>
        <v>0</v>
      </c>
      <c r="N243" s="742">
        <f>LTFP!N165+LTFP!N177-LTFP!N220-LTFP!N232-LTFP!N271-LTFP!N281-LTFP!N320-LTFP!N330</f>
        <v>0</v>
      </c>
      <c r="O243" s="742">
        <f>LTFP!O165+LTFP!O177-LTFP!O220-LTFP!O232-LTFP!O271-LTFP!O281-LTFP!O320-LTFP!O330</f>
        <v>0</v>
      </c>
      <c r="P243" s="742">
        <f>LTFP!P165+LTFP!P177-LTFP!P220-LTFP!P232-LTFP!P271-LTFP!P281-LTFP!P320-LTFP!P330</f>
        <v>0</v>
      </c>
      <c r="Q243" s="1221">
        <f>LTFP!Q165+LTFP!Q177-LTFP!Q220-LTFP!Q232-LTFP!Q271-LTFP!Q281-LTFP!Q320-LTFP!Q330</f>
        <v>0</v>
      </c>
      <c r="S243" s="20"/>
    </row>
    <row r="244" spans="1:19" s="6" customFormat="1" x14ac:dyDescent="0.2">
      <c r="A244" s="154"/>
      <c r="B244" s="742"/>
      <c r="C244" s="742"/>
      <c r="D244" s="742"/>
      <c r="E244" s="10"/>
      <c r="F244" s="7"/>
      <c r="G244" s="742"/>
      <c r="H244" s="743"/>
      <c r="I244" s="743"/>
      <c r="J244" s="743"/>
      <c r="K244" s="743"/>
      <c r="L244" s="743"/>
      <c r="M244" s="742"/>
      <c r="N244" s="742"/>
      <c r="O244" s="742"/>
      <c r="P244" s="742"/>
      <c r="Q244" s="1221"/>
      <c r="S244" s="20"/>
    </row>
    <row r="245" spans="1:19" s="6" customFormat="1" x14ac:dyDescent="0.2">
      <c r="A245" s="154"/>
      <c r="B245" s="742"/>
      <c r="C245" s="742"/>
      <c r="D245" s="742"/>
      <c r="E245" s="18" t="s">
        <v>4308</v>
      </c>
      <c r="F245" s="7"/>
      <c r="G245" s="742"/>
      <c r="H245" s="743"/>
      <c r="I245" s="743"/>
      <c r="J245" s="743"/>
      <c r="K245" s="743"/>
      <c r="L245" s="743"/>
      <c r="M245" s="742"/>
      <c r="N245" s="742"/>
      <c r="O245" s="742"/>
      <c r="P245" s="742"/>
      <c r="Q245" s="1221"/>
      <c r="S245" s="20"/>
    </row>
    <row r="246" spans="1:19" s="6" customFormat="1" x14ac:dyDescent="0.2">
      <c r="A246" s="154">
        <f>'BS&amp;Ratios'!C81+'BS&amp;Ratios'!C122+'BS&amp;Ratios'!C163-'BS&amp;Ratios'!C39</f>
        <v>0</v>
      </c>
      <c r="B246" s="742">
        <f>'BS&amp;Ratios'!D81+'BS&amp;Ratios'!D122+'BS&amp;Ratios'!D163-'BS&amp;Ratios'!D39</f>
        <v>0</v>
      </c>
      <c r="C246" s="743">
        <f>'BS&amp;Ratios'!E81+'BS&amp;Ratios'!E122+'BS&amp;Ratios'!E163-'BS&amp;Ratios'!E39</f>
        <v>0</v>
      </c>
      <c r="D246" s="743">
        <f>'BS&amp;Ratios'!F81+'BS&amp;Ratios'!F122+'BS&amp;Ratios'!F163-'BS&amp;Ratios'!F39</f>
        <v>0</v>
      </c>
      <c r="E246" s="10" t="s">
        <v>4309</v>
      </c>
      <c r="F246" s="7"/>
      <c r="G246" s="743">
        <f>'BS&amp;Ratios'!G81+'BS&amp;Ratios'!G122+'BS&amp;Ratios'!G163-'BS&amp;Ratios'!G39</f>
        <v>0</v>
      </c>
      <c r="H246" s="743">
        <f>'BS&amp;Ratios'!H81+'BS&amp;Ratios'!H122+'BS&amp;Ratios'!H163-'BS&amp;Ratios'!H39</f>
        <v>0</v>
      </c>
      <c r="I246" s="743">
        <f>'BS&amp;Ratios'!I81+'BS&amp;Ratios'!I122+'BS&amp;Ratios'!I163-'BS&amp;Ratios'!I39</f>
        <v>0</v>
      </c>
      <c r="J246" s="743">
        <f>'BS&amp;Ratios'!J81+'BS&amp;Ratios'!J122+'BS&amp;Ratios'!J163-'BS&amp;Ratios'!J39</f>
        <v>0</v>
      </c>
      <c r="K246" s="743">
        <f>'BS&amp;Ratios'!K81+'BS&amp;Ratios'!K122+'BS&amp;Ratios'!K163-'BS&amp;Ratios'!K39</f>
        <v>0</v>
      </c>
      <c r="L246" s="743">
        <f>'BS&amp;Ratios'!L81+'BS&amp;Ratios'!L122+'BS&amp;Ratios'!L163-'BS&amp;Ratios'!L39</f>
        <v>0</v>
      </c>
      <c r="M246" s="743">
        <f>'BS&amp;Ratios'!M81+'BS&amp;Ratios'!M122+'BS&amp;Ratios'!M163-'BS&amp;Ratios'!M39</f>
        <v>0</v>
      </c>
      <c r="N246" s="742">
        <f>'BS&amp;Ratios'!N81+'BS&amp;Ratios'!N122+'BS&amp;Ratios'!N163-'BS&amp;Ratios'!N39</f>
        <v>0</v>
      </c>
      <c r="O246" s="742">
        <f>'BS&amp;Ratios'!O81+'BS&amp;Ratios'!O122+'BS&amp;Ratios'!O163-'BS&amp;Ratios'!O39</f>
        <v>0</v>
      </c>
      <c r="P246" s="742">
        <f>'BS&amp;Ratios'!P81+'BS&amp;Ratios'!P122+'BS&amp;Ratios'!P163-'BS&amp;Ratios'!P39</f>
        <v>0</v>
      </c>
      <c r="Q246" s="1221">
        <f>'BS&amp;Ratios'!Q81+'BS&amp;Ratios'!Q122+'BS&amp;Ratios'!Q163-'BS&amp;Ratios'!Q39</f>
        <v>0</v>
      </c>
      <c r="S246" s="20"/>
    </row>
    <row r="247" spans="1:19" s="6" customFormat="1" x14ac:dyDescent="0.2">
      <c r="A247" s="154">
        <f>'BS&amp;Ratios'!C292+'BS&amp;Ratios'!C296-'BS&amp;Ratios'!C309-'BS&amp;Ratios'!C314-'BS&amp;Ratios'!C324-'BS&amp;Ratios'!C328-'BS&amp;Ratios'!C338-'BS&amp;Ratios'!C342</f>
        <v>0</v>
      </c>
      <c r="B247" s="742">
        <f>'BS&amp;Ratios'!D292+'BS&amp;Ratios'!D296-'BS&amp;Ratios'!D309-'BS&amp;Ratios'!D314-'BS&amp;Ratios'!D324-'BS&amp;Ratios'!D328-'BS&amp;Ratios'!D338-'BS&amp;Ratios'!D342+27</f>
        <v>67.19999999999709</v>
      </c>
      <c r="C247" s="743">
        <f>'BS&amp;Ratios'!E292+'BS&amp;Ratios'!E296-'BS&amp;Ratios'!E309-'BS&amp;Ratios'!E314-'BS&amp;Ratios'!E324-'BS&amp;Ratios'!E328-'BS&amp;Ratios'!E338-'BS&amp;Ratios'!E342</f>
        <v>23.999999999989086</v>
      </c>
      <c r="D247" s="743">
        <f>'BS&amp;Ratios'!F292+'BS&amp;Ratios'!F296-'BS&amp;Ratios'!F309-'BS&amp;Ratios'!F314-'BS&amp;Ratios'!F324-'BS&amp;Ratios'!F328-'BS&amp;Ratios'!F338-'BS&amp;Ratios'!F342</f>
        <v>99.999999999985448</v>
      </c>
      <c r="E247" s="10" t="s">
        <v>4310</v>
      </c>
      <c r="F247" s="7"/>
      <c r="G247" s="743">
        <f>'BS&amp;Ratios'!G292+'BS&amp;Ratios'!G296-'BS&amp;Ratios'!G309-'BS&amp;Ratios'!G314-'BS&amp;Ratios'!G324-'BS&amp;Ratios'!G328-'BS&amp;Ratios'!G338-'BS&amp;Ratios'!G342</f>
        <v>99.999999999996362</v>
      </c>
      <c r="H247" s="743">
        <f>'BS&amp;Ratios'!H292+'BS&amp;Ratios'!H296-'BS&amp;Ratios'!H309-'BS&amp;Ratios'!H314-'BS&amp;Ratios'!H324-'BS&amp;Ratios'!H328-'BS&amp;Ratios'!H338-'BS&amp;Ratios'!H342</f>
        <v>100.00000000000364</v>
      </c>
      <c r="I247" s="743">
        <f>'BS&amp;Ratios'!I292+'BS&amp;Ratios'!I296-'BS&amp;Ratios'!I309-'BS&amp;Ratios'!I314-'BS&amp;Ratios'!I324-'BS&amp;Ratios'!I328-'BS&amp;Ratios'!I338-'BS&amp;Ratios'!I342</f>
        <v>100.00000000000364</v>
      </c>
      <c r="J247" s="743">
        <f>'BS&amp;Ratios'!J292+'BS&amp;Ratios'!J296-'BS&amp;Ratios'!J309-'BS&amp;Ratios'!J314-'BS&amp;Ratios'!J324-'BS&amp;Ratios'!J328-'BS&amp;Ratios'!J338-'BS&amp;Ratios'!J342</f>
        <v>99.999999999996362</v>
      </c>
      <c r="K247" s="743">
        <f>'BS&amp;Ratios'!K292+'BS&amp;Ratios'!K296-'BS&amp;Ratios'!K309-'BS&amp;Ratios'!K314-'BS&amp;Ratios'!K324-'BS&amp;Ratios'!K328-'BS&amp;Ratios'!K338-'BS&amp;Ratios'!K342</f>
        <v>99.999999999985448</v>
      </c>
      <c r="L247" s="743">
        <f>'BS&amp;Ratios'!L292+'BS&amp;Ratios'!L296-'BS&amp;Ratios'!L309-'BS&amp;Ratios'!L314-'BS&amp;Ratios'!L324-'BS&amp;Ratios'!L328-'BS&amp;Ratios'!L338-'BS&amp;Ratios'!L342</f>
        <v>99.99999999998181</v>
      </c>
      <c r="M247" s="743">
        <f>'BS&amp;Ratios'!M292+'BS&amp;Ratios'!M296-'BS&amp;Ratios'!M309-'BS&amp;Ratios'!M314-'BS&amp;Ratios'!M324-'BS&amp;Ratios'!M328-'BS&amp;Ratios'!M338-'BS&amp;Ratios'!M342</f>
        <v>100.00000000001455</v>
      </c>
      <c r="N247" s="742">
        <f>'BS&amp;Ratios'!N292+'BS&amp;Ratios'!N296-'BS&amp;Ratios'!N309-'BS&amp;Ratios'!N314-'BS&amp;Ratios'!N324-'BS&amp;Ratios'!N328-'BS&amp;Ratios'!N338-'BS&amp;Ratios'!N342</f>
        <v>100.00000000002183</v>
      </c>
      <c r="O247" s="742">
        <f>'BS&amp;Ratios'!O292+'BS&amp;Ratios'!O296-'BS&amp;Ratios'!O309-'BS&amp;Ratios'!O314-'BS&amp;Ratios'!O324-'BS&amp;Ratios'!O328-'BS&amp;Ratios'!O338-'BS&amp;Ratios'!O342</f>
        <v>100.00000000002183</v>
      </c>
      <c r="P247" s="742">
        <f>'BS&amp;Ratios'!P292+'BS&amp;Ratios'!P296-'BS&amp;Ratios'!P309-'BS&amp;Ratios'!P314-'BS&amp;Ratios'!P324-'BS&amp;Ratios'!P328-'BS&amp;Ratios'!P338-'BS&amp;Ratios'!P342</f>
        <v>99.99999999998181</v>
      </c>
      <c r="Q247" s="1221">
        <f>'BS&amp;Ratios'!Q292+'BS&amp;Ratios'!Q296-'BS&amp;Ratios'!Q309-'BS&amp;Ratios'!Q314-'BS&amp;Ratios'!Q324-'BS&amp;Ratios'!Q328-'BS&amp;Ratios'!Q338-'BS&amp;Ratios'!Q342</f>
        <v>100</v>
      </c>
      <c r="S247" s="20"/>
    </row>
    <row r="248" spans="1:19" s="6" customFormat="1" x14ac:dyDescent="0.2">
      <c r="A248" s="154">
        <f>'BS&amp;Ratios'!C356-'BS&amp;Ratios'!C369-'BS&amp;Ratios'!C382-'BS&amp;Ratios'!C395+'BS&amp;Ratios'!C357+'BS&amp;Ratios'!C358+'BS&amp;Ratios'!C359-'BS&amp;Ratios'!C370-'BS&amp;Ratios'!C371-'BS&amp;Ratios'!C372-'BS&amp;Ratios'!C383-'BS&amp;Ratios'!C384-'BS&amp;Ratios'!C385-'BS&amp;Ratios'!C396-'BS&amp;Ratios'!C397-'BS&amp;Ratios'!C398</f>
        <v>0</v>
      </c>
      <c r="B248" s="742">
        <f>'BS&amp;Ratios'!D356-'BS&amp;Ratios'!D369-'BS&amp;Ratios'!D382-'BS&amp;Ratios'!D395+'BS&amp;Ratios'!D357+'BS&amp;Ratios'!D358+'BS&amp;Ratios'!D359-'BS&amp;Ratios'!D370-'BS&amp;Ratios'!D371-'BS&amp;Ratios'!D372-'BS&amp;Ratios'!D383-'BS&amp;Ratios'!D384-'BS&amp;Ratios'!D385-'BS&amp;Ratios'!D396-'BS&amp;Ratios'!D397-'BS&amp;Ratios'!D398</f>
        <v>-1</v>
      </c>
      <c r="C248" s="743">
        <f>'BS&amp;Ratios'!E356-'BS&amp;Ratios'!E369-'BS&amp;Ratios'!E382-'BS&amp;Ratios'!E395+'BS&amp;Ratios'!E357+'BS&amp;Ratios'!E358+'BS&amp;Ratios'!E359-'BS&amp;Ratios'!E370-'BS&amp;Ratios'!E371-'BS&amp;Ratios'!E372-'BS&amp;Ratios'!E383-'BS&amp;Ratios'!E384-'BS&amp;Ratios'!E385-'BS&amp;Ratios'!E396-'BS&amp;Ratios'!E397-'BS&amp;Ratios'!E398</f>
        <v>0</v>
      </c>
      <c r="D248" s="743">
        <f>'BS&amp;Ratios'!F356-'BS&amp;Ratios'!F369-'BS&amp;Ratios'!F382-'BS&amp;Ratios'!F395+'BS&amp;Ratios'!F357+'BS&amp;Ratios'!F358+'BS&amp;Ratios'!F359-'BS&amp;Ratios'!F370-'BS&amp;Ratios'!F371-'BS&amp;Ratios'!F372-'BS&amp;Ratios'!F383-'BS&amp;Ratios'!F384-'BS&amp;Ratios'!F385-'BS&amp;Ratios'!F396-'BS&amp;Ratios'!F397-'BS&amp;Ratios'!F398</f>
        <v>0</v>
      </c>
      <c r="E248" s="10" t="s">
        <v>4311</v>
      </c>
      <c r="F248" s="7"/>
      <c r="G248" s="743">
        <f>'BS&amp;Ratios'!G356-'BS&amp;Ratios'!G369-'BS&amp;Ratios'!G382-'BS&amp;Ratios'!G395+'BS&amp;Ratios'!G357+'BS&amp;Ratios'!G358+'BS&amp;Ratios'!G359-'BS&amp;Ratios'!G370-'BS&amp;Ratios'!G371-'BS&amp;Ratios'!G372-'BS&amp;Ratios'!G383-'BS&amp;Ratios'!G384-'BS&amp;Ratios'!G385-'BS&amp;Ratios'!G396-'BS&amp;Ratios'!G397-'BS&amp;Ratios'!G398</f>
        <v>0</v>
      </c>
      <c r="H248" s="743">
        <f>'BS&amp;Ratios'!H356-'BS&amp;Ratios'!H369-'BS&amp;Ratios'!H382-'BS&amp;Ratios'!H395+'BS&amp;Ratios'!H357+'BS&amp;Ratios'!H358+'BS&amp;Ratios'!H359-'BS&amp;Ratios'!H370-'BS&amp;Ratios'!H371-'BS&amp;Ratios'!H372-'BS&amp;Ratios'!H383-'BS&amp;Ratios'!H384-'BS&amp;Ratios'!H385-'BS&amp;Ratios'!H396-'BS&amp;Ratios'!H397-'BS&amp;Ratios'!H398</f>
        <v>0</v>
      </c>
      <c r="I248" s="743">
        <f>'BS&amp;Ratios'!I356-'BS&amp;Ratios'!I369-'BS&amp;Ratios'!I382-'BS&amp;Ratios'!I395+'BS&amp;Ratios'!I357+'BS&amp;Ratios'!I358+'BS&amp;Ratios'!I359-'BS&amp;Ratios'!I370-'BS&amp;Ratios'!I371-'BS&amp;Ratios'!I372-'BS&amp;Ratios'!I383-'BS&amp;Ratios'!I384-'BS&amp;Ratios'!I385-'BS&amp;Ratios'!I396-'BS&amp;Ratios'!I397-'BS&amp;Ratios'!I398</f>
        <v>0</v>
      </c>
      <c r="J248" s="743">
        <f>'BS&amp;Ratios'!J356-'BS&amp;Ratios'!J369-'BS&amp;Ratios'!J382-'BS&amp;Ratios'!J395+'BS&amp;Ratios'!J357+'BS&amp;Ratios'!J358+'BS&amp;Ratios'!J359-'BS&amp;Ratios'!J370-'BS&amp;Ratios'!J371-'BS&amp;Ratios'!J372-'BS&amp;Ratios'!J383-'BS&amp;Ratios'!J384-'BS&amp;Ratios'!J385-'BS&amp;Ratios'!J396-'BS&amp;Ratios'!J397-'BS&amp;Ratios'!J398</f>
        <v>0</v>
      </c>
      <c r="K248" s="743">
        <f>'BS&amp;Ratios'!K356-'BS&amp;Ratios'!K369-'BS&amp;Ratios'!K382-'BS&amp;Ratios'!K395+'BS&amp;Ratios'!K357+'BS&amp;Ratios'!K358+'BS&amp;Ratios'!K359-'BS&amp;Ratios'!K370-'BS&amp;Ratios'!K371-'BS&amp;Ratios'!K372-'BS&amp;Ratios'!K383-'BS&amp;Ratios'!K384-'BS&amp;Ratios'!K385-'BS&amp;Ratios'!K396-'BS&amp;Ratios'!K397-'BS&amp;Ratios'!K398</f>
        <v>0</v>
      </c>
      <c r="L248" s="743">
        <f>'BS&amp;Ratios'!L356-'BS&amp;Ratios'!L369-'BS&amp;Ratios'!L382-'BS&amp;Ratios'!L395+'BS&amp;Ratios'!L357+'BS&amp;Ratios'!L358+'BS&amp;Ratios'!L359-'BS&amp;Ratios'!L370-'BS&amp;Ratios'!L371-'BS&amp;Ratios'!L372-'BS&amp;Ratios'!L383-'BS&amp;Ratios'!L384-'BS&amp;Ratios'!L385-'BS&amp;Ratios'!L396-'BS&amp;Ratios'!L397-'BS&amp;Ratios'!L398</f>
        <v>0</v>
      </c>
      <c r="M248" s="743">
        <f>'BS&amp;Ratios'!M356-'BS&amp;Ratios'!M369-'BS&amp;Ratios'!M382-'BS&amp;Ratios'!M395+'BS&amp;Ratios'!M357+'BS&amp;Ratios'!M358+'BS&amp;Ratios'!M359-'BS&amp;Ratios'!M370-'BS&amp;Ratios'!M371-'BS&amp;Ratios'!M372-'BS&amp;Ratios'!M383-'BS&amp;Ratios'!M384-'BS&amp;Ratios'!M385-'BS&amp;Ratios'!M396-'BS&amp;Ratios'!M397-'BS&amp;Ratios'!M398</f>
        <v>0</v>
      </c>
      <c r="N248" s="742">
        <f>'BS&amp;Ratios'!N356-'BS&amp;Ratios'!N369-'BS&amp;Ratios'!N382-'BS&amp;Ratios'!N395+'BS&amp;Ratios'!N357+'BS&amp;Ratios'!N358+'BS&amp;Ratios'!N359-'BS&amp;Ratios'!N370-'BS&amp;Ratios'!N371-'BS&amp;Ratios'!N372-'BS&amp;Ratios'!N383-'BS&amp;Ratios'!N384-'BS&amp;Ratios'!N385-'BS&amp;Ratios'!N396-'BS&amp;Ratios'!N397-'BS&amp;Ratios'!N398</f>
        <v>0</v>
      </c>
      <c r="O248" s="742">
        <f>'BS&amp;Ratios'!O356-'BS&amp;Ratios'!O369-'BS&amp;Ratios'!O382-'BS&amp;Ratios'!O395+'BS&amp;Ratios'!O357+'BS&amp;Ratios'!O358+'BS&amp;Ratios'!O359-'BS&amp;Ratios'!O370-'BS&amp;Ratios'!O371-'BS&amp;Ratios'!O372-'BS&amp;Ratios'!O383-'BS&amp;Ratios'!O384-'BS&amp;Ratios'!O385-'BS&amp;Ratios'!O396-'BS&amp;Ratios'!O397-'BS&amp;Ratios'!O398</f>
        <v>0</v>
      </c>
      <c r="P248" s="742">
        <f>'BS&amp;Ratios'!P356-'BS&amp;Ratios'!P369-'BS&amp;Ratios'!P382-'BS&amp;Ratios'!P395+'BS&amp;Ratios'!P357+'BS&amp;Ratios'!P358+'BS&amp;Ratios'!P359-'BS&amp;Ratios'!P370-'BS&amp;Ratios'!P371-'BS&amp;Ratios'!P372-'BS&amp;Ratios'!P383-'BS&amp;Ratios'!P384-'BS&amp;Ratios'!P385-'BS&amp;Ratios'!P396-'BS&amp;Ratios'!P397-'BS&amp;Ratios'!P398</f>
        <v>2.9103830456733704E-11</v>
      </c>
      <c r="Q248" s="1221">
        <f>'BS&amp;Ratios'!Q356-'BS&amp;Ratios'!Q369-'BS&amp;Ratios'!Q382-'BS&amp;Ratios'!Q395+'BS&amp;Ratios'!Q357+'BS&amp;Ratios'!Q358+'BS&amp;Ratios'!Q359-'BS&amp;Ratios'!Q370-'BS&amp;Ratios'!Q371-'BS&amp;Ratios'!Q372-'BS&amp;Ratios'!Q383-'BS&amp;Ratios'!Q384-'BS&amp;Ratios'!Q385-'BS&amp;Ratios'!Q396-'BS&amp;Ratios'!Q397-'BS&amp;Ratios'!Q398</f>
        <v>0</v>
      </c>
      <c r="S248" s="20"/>
    </row>
    <row r="249" spans="1:19" s="6" customFormat="1" x14ac:dyDescent="0.2">
      <c r="A249" s="154"/>
      <c r="B249" s="742"/>
      <c r="C249" s="743"/>
      <c r="D249" s="743"/>
      <c r="E249" s="10" t="s">
        <v>4312</v>
      </c>
      <c r="F249" s="7"/>
      <c r="G249" s="742"/>
      <c r="H249" s="743"/>
      <c r="I249" s="743"/>
      <c r="J249" s="743"/>
      <c r="K249" s="743"/>
      <c r="L249" s="743"/>
      <c r="M249" s="742"/>
      <c r="N249" s="742"/>
      <c r="O249" s="742"/>
      <c r="P249" s="742"/>
      <c r="Q249" s="1221"/>
      <c r="S249" s="20"/>
    </row>
    <row r="250" spans="1:19" s="6" customFormat="1" x14ac:dyDescent="0.2">
      <c r="A250" s="154">
        <f>'BS&amp;Ratios'!C470+'BS&amp;Ratios'!C475-'BS&amp;Ratios'!C482-'BS&amp;Ratios'!C487-'BS&amp;Ratios'!C494-'BS&amp;Ratios'!C499-'BS&amp;Ratios'!C506-'BS&amp;Ratios'!C511+6</f>
        <v>-0.20000000000436557</v>
      </c>
      <c r="B250" s="742">
        <f>'BS&amp;Ratios'!D470+'BS&amp;Ratios'!D475-'BS&amp;Ratios'!D482-'BS&amp;Ratios'!D487-'BS&amp;Ratios'!D494-'BS&amp;Ratios'!D499-'BS&amp;Ratios'!D506-'BS&amp;Ratios'!D511</f>
        <v>-1.000000000005457</v>
      </c>
      <c r="C250" s="743">
        <f>'BS&amp;Ratios'!E470+'BS&amp;Ratios'!E475-'BS&amp;Ratios'!E482-'BS&amp;Ratios'!E487-'BS&amp;Ratios'!E494-'BS&amp;Ratios'!E499-'BS&amp;Ratios'!E506-'BS&amp;Ratios'!E511</f>
        <v>0</v>
      </c>
      <c r="D250" s="743">
        <f>'BS&amp;Ratios'!F470+'BS&amp;Ratios'!F475-'BS&amp;Ratios'!F482-'BS&amp;Ratios'!F487-'BS&amp;Ratios'!F494-'BS&amp;Ratios'!F499-'BS&amp;Ratios'!F506-'BS&amp;Ratios'!F511</f>
        <v>0</v>
      </c>
      <c r="E250" s="10" t="s">
        <v>4313</v>
      </c>
      <c r="F250" s="7"/>
      <c r="G250" s="742">
        <f>'BS&amp;Ratios'!G470+'BS&amp;Ratios'!G475-'BS&amp;Ratios'!G482-'BS&amp;Ratios'!G487-'BS&amp;Ratios'!G494-'BS&amp;Ratios'!G499-'BS&amp;Ratios'!G506-'BS&amp;Ratios'!G511</f>
        <v>0</v>
      </c>
      <c r="H250" s="743">
        <f>'BS&amp;Ratios'!H470+'BS&amp;Ratios'!H475-'BS&amp;Ratios'!H482-'BS&amp;Ratios'!H487-'BS&amp;Ratios'!H494-'BS&amp;Ratios'!H499-'BS&amp;Ratios'!H506-'BS&amp;Ratios'!H511</f>
        <v>0</v>
      </c>
      <c r="I250" s="743">
        <f>'BS&amp;Ratios'!I470+'BS&amp;Ratios'!I475-'BS&amp;Ratios'!I482-'BS&amp;Ratios'!I487-'BS&amp;Ratios'!I494-'BS&amp;Ratios'!I499-'BS&amp;Ratios'!I506-'BS&amp;Ratios'!I511</f>
        <v>0</v>
      </c>
      <c r="J250" s="743">
        <f>'BS&amp;Ratios'!J470+'BS&amp;Ratios'!J475-'BS&amp;Ratios'!J482-'BS&amp;Ratios'!J487-'BS&amp;Ratios'!J494-'BS&amp;Ratios'!J499-'BS&amp;Ratios'!J506-'BS&amp;Ratios'!J511</f>
        <v>9.9999999991268851E-2</v>
      </c>
      <c r="K250" s="743">
        <f>'BS&amp;Ratios'!K470+'BS&amp;Ratios'!K475-'BS&amp;Ratios'!K482-'BS&amp;Ratios'!K487-'BS&amp;Ratios'!K494-'BS&amp;Ratios'!K499-'BS&amp;Ratios'!K506-'BS&amp;Ratios'!K511</f>
        <v>0</v>
      </c>
      <c r="L250" s="743">
        <f>'BS&amp;Ratios'!L470+'BS&amp;Ratios'!L475-'BS&amp;Ratios'!L482-'BS&amp;Ratios'!L487-'BS&amp;Ratios'!L494-'BS&amp;Ratios'!L499-'BS&amp;Ratios'!L506-'BS&amp;Ratios'!L511</f>
        <v>0</v>
      </c>
      <c r="M250" s="742">
        <f>'BS&amp;Ratios'!M470+'BS&amp;Ratios'!M475-'BS&amp;Ratios'!M482-'BS&amp;Ratios'!M487-'BS&amp;Ratios'!M494-'BS&amp;Ratios'!M499-'BS&amp;Ratios'!M506-'BS&amp;Ratios'!M511</f>
        <v>0</v>
      </c>
      <c r="N250" s="742">
        <f>'BS&amp;Ratios'!N470+'BS&amp;Ratios'!N475-'BS&amp;Ratios'!N482-'BS&amp;Ratios'!N487-'BS&amp;Ratios'!N494-'BS&amp;Ratios'!N499-'BS&amp;Ratios'!N506-'BS&amp;Ratios'!N511</f>
        <v>0</v>
      </c>
      <c r="O250" s="742">
        <f>'BS&amp;Ratios'!O470+'BS&amp;Ratios'!O475-'BS&amp;Ratios'!O482-'BS&amp;Ratios'!O487-'BS&amp;Ratios'!O494-'BS&amp;Ratios'!O499-'BS&amp;Ratios'!O506-'BS&amp;Ratios'!O511</f>
        <v>0</v>
      </c>
      <c r="P250" s="742">
        <f>'BS&amp;Ratios'!P470+'BS&amp;Ratios'!P475-'BS&amp;Ratios'!P482-'BS&amp;Ratios'!P487-'BS&amp;Ratios'!P494-'BS&amp;Ratios'!P499-'BS&amp;Ratios'!P506-'BS&amp;Ratios'!P511</f>
        <v>0</v>
      </c>
      <c r="Q250" s="1221">
        <f>'BS&amp;Ratios'!Q470+'BS&amp;Ratios'!Q475-'BS&amp;Ratios'!Q482-'BS&amp;Ratios'!Q487-'BS&amp;Ratios'!Q494-'BS&amp;Ratios'!Q499-'BS&amp;Ratios'!Q506-'BS&amp;Ratios'!Q511</f>
        <v>0</v>
      </c>
      <c r="S250" s="20"/>
    </row>
    <row r="251" spans="1:19" s="6" customFormat="1" x14ac:dyDescent="0.2">
      <c r="A251" s="154">
        <f>'BS&amp;Ratios'!C520+'BS&amp;Ratios'!C530-'BS&amp;Ratios'!C536-'BS&amp;Ratios'!C546-'BS&amp;Ratios'!C552-'BS&amp;Ratios'!C560-'BS&amp;Ratios'!C566-'BS&amp;Ratios'!C575+171</f>
        <v>7.2759576141834259E-12</v>
      </c>
      <c r="B251" s="742">
        <f>'BS&amp;Ratios'!D520+'BS&amp;Ratios'!D530-'BS&amp;Ratios'!D536-'BS&amp;Ratios'!D546-'BS&amp;Ratios'!D552-'BS&amp;Ratios'!D560-'BS&amp;Ratios'!D566-'BS&amp;Ratios'!D575</f>
        <v>-0.99999999999636202</v>
      </c>
      <c r="C251" s="743">
        <f>'BS&amp;Ratios'!E520+'BS&amp;Ratios'!E530-'BS&amp;Ratios'!E536-'BS&amp;Ratios'!E546-'BS&amp;Ratios'!E552-'BS&amp;Ratios'!E560-'BS&amp;Ratios'!E566-'BS&amp;Ratios'!E575</f>
        <v>9.0949470177292824E-12</v>
      </c>
      <c r="D251" s="743">
        <f>'BS&amp;Ratios'!F520+'BS&amp;Ratios'!F530-'BS&amp;Ratios'!F536-'BS&amp;Ratios'!F546-'BS&amp;Ratios'!F552-'BS&amp;Ratios'!F560-'BS&amp;Ratios'!F566-'BS&amp;Ratios'!F575</f>
        <v>-9.0949470177292824E-12</v>
      </c>
      <c r="E251" s="10" t="s">
        <v>4314</v>
      </c>
      <c r="F251" s="7"/>
      <c r="G251" s="742">
        <f>'BS&amp;Ratios'!G520+'BS&amp;Ratios'!G530-'BS&amp;Ratios'!G536-'BS&amp;Ratios'!G546-'BS&amp;Ratios'!G552-'BS&amp;Ratios'!G560-'BS&amp;Ratios'!G566-'BS&amp;Ratios'!G575</f>
        <v>0</v>
      </c>
      <c r="H251" s="743">
        <f>'BS&amp;Ratios'!H520+'BS&amp;Ratios'!H530-'BS&amp;Ratios'!H536-'BS&amp;Ratios'!H546-'BS&amp;Ratios'!H552-'BS&amp;Ratios'!H560-'BS&amp;Ratios'!H566-'BS&amp;Ratios'!H575</f>
        <v>0</v>
      </c>
      <c r="I251" s="743">
        <f>'BS&amp;Ratios'!I520+'BS&amp;Ratios'!I530-'BS&amp;Ratios'!I536-'BS&amp;Ratios'!I546-'BS&amp;Ratios'!I552-'BS&amp;Ratios'!I560-'BS&amp;Ratios'!I566-'BS&amp;Ratios'!I575</f>
        <v>0</v>
      </c>
      <c r="J251" s="743">
        <f>'BS&amp;Ratios'!J520+'BS&amp;Ratios'!J530-'BS&amp;Ratios'!J536-'BS&amp;Ratios'!J546-'BS&amp;Ratios'!J552-'BS&amp;Ratios'!J560-'BS&amp;Ratios'!J566-'BS&amp;Ratios'!J575</f>
        <v>1.4551915228366852E-11</v>
      </c>
      <c r="K251" s="743">
        <f>'BS&amp;Ratios'!K520+'BS&amp;Ratios'!K530-'BS&amp;Ratios'!K536-'BS&amp;Ratios'!K546-'BS&amp;Ratios'!K552-'BS&amp;Ratios'!K560-'BS&amp;Ratios'!K566-'BS&amp;Ratios'!K575</f>
        <v>0</v>
      </c>
      <c r="L251" s="743">
        <f>'BS&amp;Ratios'!L520+'BS&amp;Ratios'!L530-'BS&amp;Ratios'!L536-'BS&amp;Ratios'!L546-'BS&amp;Ratios'!L552-'BS&amp;Ratios'!L560-'BS&amp;Ratios'!L566-'BS&amp;Ratios'!L575</f>
        <v>0</v>
      </c>
      <c r="M251" s="742">
        <f>'BS&amp;Ratios'!M520+'BS&amp;Ratios'!M530-'BS&amp;Ratios'!M536-'BS&amp;Ratios'!M546-'BS&amp;Ratios'!M552-'BS&amp;Ratios'!M560-'BS&amp;Ratios'!M566-'BS&amp;Ratios'!M575</f>
        <v>0</v>
      </c>
      <c r="N251" s="742">
        <f>'BS&amp;Ratios'!N520+'BS&amp;Ratios'!N530-'BS&amp;Ratios'!N536-'BS&amp;Ratios'!N546-'BS&amp;Ratios'!N552-'BS&amp;Ratios'!N560-'BS&amp;Ratios'!N566-'BS&amp;Ratios'!N575</f>
        <v>0</v>
      </c>
      <c r="O251" s="742">
        <f>'BS&amp;Ratios'!O520+'BS&amp;Ratios'!O530-'BS&amp;Ratios'!O536-'BS&amp;Ratios'!O546-'BS&amp;Ratios'!O552-'BS&amp;Ratios'!O560-'BS&amp;Ratios'!O566-'BS&amp;Ratios'!O575</f>
        <v>2.9103830456733704E-11</v>
      </c>
      <c r="P251" s="742">
        <f>'BS&amp;Ratios'!P520+'BS&amp;Ratios'!P530-'BS&amp;Ratios'!P536-'BS&amp;Ratios'!P546-'BS&amp;Ratios'!P552-'BS&amp;Ratios'!P560-'BS&amp;Ratios'!P566-'BS&amp;Ratios'!P575</f>
        <v>0</v>
      </c>
      <c r="Q251" s="1221">
        <f>'BS&amp;Ratios'!Q520+'BS&amp;Ratios'!Q530-'BS&amp;Ratios'!Q536-'BS&amp;Ratios'!Q546-'BS&amp;Ratios'!Q552-'BS&amp;Ratios'!Q560-'BS&amp;Ratios'!Q566-'BS&amp;Ratios'!Q575</f>
        <v>-1.4551915228366852E-11</v>
      </c>
      <c r="S251" s="20"/>
    </row>
    <row r="252" spans="1:19" s="6" customFormat="1" x14ac:dyDescent="0.2">
      <c r="A252" s="154">
        <f>'BS&amp;Ratios'!C584+'BS&amp;Ratios'!C587-'BS&amp;Ratios'!C596-'BS&amp;Ratios'!C599-'BS&amp;Ratios'!C608-'BS&amp;Ratios'!C611-'BS&amp;Ratios'!C620-'BS&amp;Ratios'!C623</f>
        <v>0</v>
      </c>
      <c r="B252" s="742">
        <f>'BS&amp;Ratios'!D584+'BS&amp;Ratios'!D587-'BS&amp;Ratios'!D596-'BS&amp;Ratios'!D599-'BS&amp;Ratios'!D608-'BS&amp;Ratios'!D611-'BS&amp;Ratios'!D620-'BS&amp;Ratios'!D623</f>
        <v>0</v>
      </c>
      <c r="C252" s="743">
        <f>'BS&amp;Ratios'!E584+'BS&amp;Ratios'!E587-'BS&amp;Ratios'!E596-'BS&amp;Ratios'!E599-'BS&amp;Ratios'!E608-'BS&amp;Ratios'!E611-'BS&amp;Ratios'!E620-'BS&amp;Ratios'!E623</f>
        <v>0</v>
      </c>
      <c r="D252" s="743">
        <f>'BS&amp;Ratios'!F584+'BS&amp;Ratios'!F587-'BS&amp;Ratios'!F596-'BS&amp;Ratios'!F599-'BS&amp;Ratios'!F608-'BS&amp;Ratios'!F611-'BS&amp;Ratios'!F620-'BS&amp;Ratios'!F623</f>
        <v>0</v>
      </c>
      <c r="E252" s="10" t="s">
        <v>4315</v>
      </c>
      <c r="F252" s="7"/>
      <c r="G252" s="742">
        <f>'BS&amp;Ratios'!G584+'BS&amp;Ratios'!G587-'BS&amp;Ratios'!G596-'BS&amp;Ratios'!G599-'BS&amp;Ratios'!G608-'BS&amp;Ratios'!G611-'BS&amp;Ratios'!G620-'BS&amp;Ratios'!G623</f>
        <v>0</v>
      </c>
      <c r="H252" s="743">
        <f>'BS&amp;Ratios'!H584+'BS&amp;Ratios'!H587-'BS&amp;Ratios'!H596-'BS&amp;Ratios'!H599-'BS&amp;Ratios'!H608-'BS&amp;Ratios'!H611-'BS&amp;Ratios'!H620-'BS&amp;Ratios'!H623</f>
        <v>0</v>
      </c>
      <c r="I252" s="743">
        <f>'BS&amp;Ratios'!I584+'BS&amp;Ratios'!I587-'BS&amp;Ratios'!I596-'BS&amp;Ratios'!I599-'BS&amp;Ratios'!I608-'BS&amp;Ratios'!I611-'BS&amp;Ratios'!I620-'BS&amp;Ratios'!I623</f>
        <v>0</v>
      </c>
      <c r="J252" s="743">
        <f>'BS&amp;Ratios'!J584+'BS&amp;Ratios'!J587-'BS&amp;Ratios'!J596-'BS&amp;Ratios'!J599-'BS&amp;Ratios'!J608-'BS&amp;Ratios'!J611-'BS&amp;Ratios'!J620-'BS&amp;Ratios'!J623</f>
        <v>0</v>
      </c>
      <c r="K252" s="743">
        <f>'BS&amp;Ratios'!K584+'BS&amp;Ratios'!K587-'BS&amp;Ratios'!K596-'BS&amp;Ratios'!K599-'BS&amp;Ratios'!K608-'BS&amp;Ratios'!K611-'BS&amp;Ratios'!K620-'BS&amp;Ratios'!K623</f>
        <v>0</v>
      </c>
      <c r="L252" s="743">
        <f>'BS&amp;Ratios'!L584+'BS&amp;Ratios'!L587-'BS&amp;Ratios'!L596-'BS&amp;Ratios'!L599-'BS&amp;Ratios'!L608-'BS&amp;Ratios'!L611-'BS&amp;Ratios'!L620-'BS&amp;Ratios'!L623</f>
        <v>0</v>
      </c>
      <c r="M252" s="742">
        <f>'BS&amp;Ratios'!M584+'BS&amp;Ratios'!M587-'BS&amp;Ratios'!M596-'BS&amp;Ratios'!M599-'BS&amp;Ratios'!M608-'BS&amp;Ratios'!M611-'BS&amp;Ratios'!M620-'BS&amp;Ratios'!M623</f>
        <v>0</v>
      </c>
      <c r="N252" s="742">
        <f>'BS&amp;Ratios'!N584+'BS&amp;Ratios'!N587-'BS&amp;Ratios'!N596-'BS&amp;Ratios'!N599-'BS&amp;Ratios'!N608-'BS&amp;Ratios'!N611-'BS&amp;Ratios'!N620-'BS&amp;Ratios'!N623</f>
        <v>0</v>
      </c>
      <c r="O252" s="742">
        <f>'BS&amp;Ratios'!O584+'BS&amp;Ratios'!O587-'BS&amp;Ratios'!O596-'BS&amp;Ratios'!O599-'BS&amp;Ratios'!O608-'BS&amp;Ratios'!O611-'BS&amp;Ratios'!O620-'BS&amp;Ratios'!O623</f>
        <v>0</v>
      </c>
      <c r="P252" s="742">
        <f>'BS&amp;Ratios'!P584+'BS&amp;Ratios'!P587-'BS&amp;Ratios'!P596-'BS&amp;Ratios'!P599-'BS&amp;Ratios'!P608-'BS&amp;Ratios'!P611-'BS&amp;Ratios'!P620-'BS&amp;Ratios'!P623</f>
        <v>0</v>
      </c>
      <c r="Q252" s="1221">
        <f>'BS&amp;Ratios'!Q584+'BS&amp;Ratios'!Q587-'BS&amp;Ratios'!Q596-'BS&amp;Ratios'!Q599-'BS&amp;Ratios'!Q608-'BS&amp;Ratios'!Q611-'BS&amp;Ratios'!Q620-'BS&amp;Ratios'!Q623</f>
        <v>0</v>
      </c>
      <c r="S252" s="20"/>
    </row>
    <row r="253" spans="1:19" s="6" customFormat="1" x14ac:dyDescent="0.2">
      <c r="A253" s="154">
        <f>ROUND('BS&amp;Ratios'!C631+'BS&amp;Ratios'!C632-'BS&amp;Ratios'!C637-'BS&amp;Ratios'!C638-'BS&amp;Ratios'!C643-'BS&amp;Ratios'!C644-'BS&amp;Ratios'!C649-'BS&amp;Ratios'!C650,-2)</f>
        <v>0</v>
      </c>
      <c r="B253" s="742">
        <f>ROUND('BS&amp;Ratios'!D631+'BS&amp;Ratios'!D632-'BS&amp;Ratios'!D637-'BS&amp;Ratios'!D638-'BS&amp;Ratios'!D643-'BS&amp;Ratios'!D644-'BS&amp;Ratios'!D649-'BS&amp;Ratios'!D650,-2)</f>
        <v>0</v>
      </c>
      <c r="C253" s="743">
        <f>ROUND('BS&amp;Ratios'!E631+'BS&amp;Ratios'!E632-'BS&amp;Ratios'!E637-'BS&amp;Ratios'!E638-'BS&amp;Ratios'!E643-'BS&amp;Ratios'!E644-'BS&amp;Ratios'!E649-'BS&amp;Ratios'!E650,-2)</f>
        <v>0</v>
      </c>
      <c r="D253" s="743">
        <f>ROUND('BS&amp;Ratios'!F631+'BS&amp;Ratios'!F632-'BS&amp;Ratios'!F637-'BS&amp;Ratios'!F638-'BS&amp;Ratios'!F643-'BS&amp;Ratios'!F644-'BS&amp;Ratios'!F649-'BS&amp;Ratios'!F650,-2)</f>
        <v>0</v>
      </c>
      <c r="E253" s="10" t="s">
        <v>4247</v>
      </c>
      <c r="F253" s="7"/>
      <c r="G253" s="742">
        <f>ROUND('BS&amp;Ratios'!G631+'BS&amp;Ratios'!G632-'BS&amp;Ratios'!G637-'BS&amp;Ratios'!G638-'BS&amp;Ratios'!G643-'BS&amp;Ratios'!G644-'BS&amp;Ratios'!G649-'BS&amp;Ratios'!G650,-2)</f>
        <v>0</v>
      </c>
      <c r="H253" s="743">
        <f>ROUND('BS&amp;Ratios'!H631+'BS&amp;Ratios'!H632-'BS&amp;Ratios'!H637-'BS&amp;Ratios'!H638-'BS&amp;Ratios'!H643-'BS&amp;Ratios'!H644-'BS&amp;Ratios'!H649-'BS&amp;Ratios'!H650,-2)</f>
        <v>-100</v>
      </c>
      <c r="I253" s="743">
        <f>ROUND('BS&amp;Ratios'!I631+'BS&amp;Ratios'!I632-'BS&amp;Ratios'!I637-'BS&amp;Ratios'!I638-'BS&amp;Ratios'!I643-'BS&amp;Ratios'!I644-'BS&amp;Ratios'!I649-'BS&amp;Ratios'!I650,-2)</f>
        <v>-100</v>
      </c>
      <c r="J253" s="743">
        <f>ROUND('BS&amp;Ratios'!J631+'BS&amp;Ratios'!J632-'BS&amp;Ratios'!J637-'BS&amp;Ratios'!J638-'BS&amp;Ratios'!J643-'BS&amp;Ratios'!J644-'BS&amp;Ratios'!J649-'BS&amp;Ratios'!J650,-2)</f>
        <v>-100</v>
      </c>
      <c r="K253" s="743">
        <f>ROUND('BS&amp;Ratios'!K631+'BS&amp;Ratios'!K632-'BS&amp;Ratios'!K637-'BS&amp;Ratios'!K638-'BS&amp;Ratios'!K643-'BS&amp;Ratios'!K644-'BS&amp;Ratios'!K649-'BS&amp;Ratios'!K650,-2)</f>
        <v>-100</v>
      </c>
      <c r="L253" s="743">
        <f>ROUND('BS&amp;Ratios'!L631+'BS&amp;Ratios'!L632-'BS&amp;Ratios'!L637-'BS&amp;Ratios'!L638-'BS&amp;Ratios'!L643-'BS&amp;Ratios'!L644-'BS&amp;Ratios'!L649-'BS&amp;Ratios'!L650,-2)</f>
        <v>-100</v>
      </c>
      <c r="M253" s="742">
        <f>ROUND('BS&amp;Ratios'!M631+'BS&amp;Ratios'!M632-'BS&amp;Ratios'!M637-'BS&amp;Ratios'!M638-'BS&amp;Ratios'!M643-'BS&amp;Ratios'!M644-'BS&amp;Ratios'!M649-'BS&amp;Ratios'!M650,-2)</f>
        <v>-100</v>
      </c>
      <c r="N253" s="742">
        <f>ROUND('BS&amp;Ratios'!N631+'BS&amp;Ratios'!N632-'BS&amp;Ratios'!N637-'BS&amp;Ratios'!N638-'BS&amp;Ratios'!N643-'BS&amp;Ratios'!N644-'BS&amp;Ratios'!N649-'BS&amp;Ratios'!N650,-2)</f>
        <v>-100</v>
      </c>
      <c r="O253" s="742">
        <f>ROUND('BS&amp;Ratios'!O631+'BS&amp;Ratios'!O632-'BS&amp;Ratios'!O637-'BS&amp;Ratios'!O638-'BS&amp;Ratios'!O643-'BS&amp;Ratios'!O644-'BS&amp;Ratios'!O649-'BS&amp;Ratios'!O650,-2)</f>
        <v>-100</v>
      </c>
      <c r="P253" s="742">
        <f>ROUND('BS&amp;Ratios'!P631+'BS&amp;Ratios'!P632-'BS&amp;Ratios'!P637-'BS&amp;Ratios'!P638-'BS&amp;Ratios'!P643-'BS&amp;Ratios'!P644-'BS&amp;Ratios'!P649-'BS&amp;Ratios'!P650,-2)</f>
        <v>-100</v>
      </c>
      <c r="Q253" s="1221">
        <f>ROUND('BS&amp;Ratios'!Q631+'BS&amp;Ratios'!Q632-'BS&amp;Ratios'!Q637-'BS&amp;Ratios'!Q638-'BS&amp;Ratios'!Q643-'BS&amp;Ratios'!Q644-'BS&amp;Ratios'!Q649-'BS&amp;Ratios'!Q650,-2)</f>
        <v>-200</v>
      </c>
      <c r="S253" s="20"/>
    </row>
    <row r="254" spans="1:19" s="6" customFormat="1" x14ac:dyDescent="0.2">
      <c r="A254" s="154">
        <f>'BS&amp;Ratios'!C681+'BS&amp;Ratios'!C682-'BS&amp;Ratios'!C687-'BS&amp;Ratios'!C688-'BS&amp;Ratios'!C693-'BS&amp;Ratios'!C694-'BS&amp;Ratios'!C699-'BS&amp;Ratios'!C700</f>
        <v>0.59999999999854481</v>
      </c>
      <c r="B254" s="742">
        <f>'BS&amp;Ratios'!D681+'BS&amp;Ratios'!D682-'BS&amp;Ratios'!D687-'BS&amp;Ratios'!D688-'BS&amp;Ratios'!D693-'BS&amp;Ratios'!D694-'BS&amp;Ratios'!D699-'BS&amp;Ratios'!D700</f>
        <v>319.00000000000182</v>
      </c>
      <c r="C254" s="743">
        <f>'BS&amp;Ratios'!E681+'BS&amp;Ratios'!E682-'BS&amp;Ratios'!E687-'BS&amp;Ratios'!E688-'BS&amp;Ratios'!E693-'BS&amp;Ratios'!E694-'BS&amp;Ratios'!E699-'BS&amp;Ratios'!E700</f>
        <v>96.999999999997726</v>
      </c>
      <c r="D254" s="743">
        <f>'BS&amp;Ratios'!F681+'BS&amp;Ratios'!F682-'BS&amp;Ratios'!F687-'BS&amp;Ratios'!F688-'BS&amp;Ratios'!F693-'BS&amp;Ratios'!F694-'BS&amp;Ratios'!F699-'BS&amp;Ratios'!F700</f>
        <v>97.000000000002728</v>
      </c>
      <c r="E254" s="10" t="s">
        <v>4316</v>
      </c>
      <c r="F254" s="7"/>
      <c r="G254" s="742">
        <f>'BS&amp;Ratios'!G681+'BS&amp;Ratios'!G682-'BS&amp;Ratios'!G687-'BS&amp;Ratios'!G688-'BS&amp;Ratios'!G693-'BS&amp;Ratios'!G694-'BS&amp;Ratios'!G699-'BS&amp;Ratios'!G700</f>
        <v>94</v>
      </c>
      <c r="H254" s="743">
        <f>'BS&amp;Ratios'!H681+'BS&amp;Ratios'!H682-'BS&amp;Ratios'!H687-'BS&amp;Ratios'!H688-'BS&amp;Ratios'!H693-'BS&amp;Ratios'!H694-'BS&amp;Ratios'!H699-'BS&amp;Ratios'!H700</f>
        <v>94.000000000001819</v>
      </c>
      <c r="I254" s="743">
        <f>'BS&amp;Ratios'!I681+'BS&amp;Ratios'!I682-'BS&amp;Ratios'!I687-'BS&amp;Ratios'!I688-'BS&amp;Ratios'!I693-'BS&amp;Ratios'!I694-'BS&amp;Ratios'!I699-'BS&amp;Ratios'!I700</f>
        <v>94</v>
      </c>
      <c r="J254" s="743">
        <f>'BS&amp;Ratios'!J681+'BS&amp;Ratios'!J682-'BS&amp;Ratios'!J687-'BS&amp;Ratios'!J688-'BS&amp;Ratios'!J693-'BS&amp;Ratios'!J694-'BS&amp;Ratios'!J699-'BS&amp;Ratios'!J700</f>
        <v>93.999999999998181</v>
      </c>
      <c r="K254" s="743">
        <f>'BS&amp;Ratios'!K681+'BS&amp;Ratios'!K682-'BS&amp;Ratios'!K687-'BS&amp;Ratios'!K688-'BS&amp;Ratios'!K693-'BS&amp;Ratios'!K694-'BS&amp;Ratios'!K699-'BS&amp;Ratios'!K700</f>
        <v>94.000000000003638</v>
      </c>
      <c r="L254" s="743">
        <f>'BS&amp;Ratios'!L681+'BS&amp;Ratios'!L682-'BS&amp;Ratios'!L687-'BS&amp;Ratios'!L688-'BS&amp;Ratios'!L693-'BS&amp;Ratios'!L694-'BS&amp;Ratios'!L699-'BS&amp;Ratios'!L700</f>
        <v>94.000000000001819</v>
      </c>
      <c r="M254" s="742">
        <f>'BS&amp;Ratios'!M681+'BS&amp;Ratios'!M682-'BS&amp;Ratios'!M687-'BS&amp;Ratios'!M688-'BS&amp;Ratios'!M693-'BS&amp;Ratios'!M694-'BS&amp;Ratios'!M699-'BS&amp;Ratios'!M700</f>
        <v>93.999999999997272</v>
      </c>
      <c r="N254" s="742">
        <f>'BS&amp;Ratios'!N681+'BS&amp;Ratios'!N682-'BS&amp;Ratios'!N687-'BS&amp;Ratios'!N688-'BS&amp;Ratios'!N693-'BS&amp;Ratios'!N694-'BS&amp;Ratios'!N699-'BS&amp;Ratios'!N700</f>
        <v>93.999999999998181</v>
      </c>
      <c r="O254" s="742">
        <f>'BS&amp;Ratios'!O681+'BS&amp;Ratios'!O682-'BS&amp;Ratios'!O687-'BS&amp;Ratios'!O688-'BS&amp;Ratios'!O693-'BS&amp;Ratios'!O694-'BS&amp;Ratios'!O699-'BS&amp;Ratios'!O700</f>
        <v>93.999999999999091</v>
      </c>
      <c r="P254" s="742">
        <f>'BS&amp;Ratios'!P681+'BS&amp;Ratios'!P682-'BS&amp;Ratios'!P687-'BS&amp;Ratios'!P688-'BS&amp;Ratios'!P693-'BS&amp;Ratios'!P694-'BS&amp;Ratios'!P699-'BS&amp;Ratios'!P700</f>
        <v>93.999999999998181</v>
      </c>
      <c r="Q254" s="1221">
        <f>'BS&amp;Ratios'!Q681+'BS&amp;Ratios'!Q682-'BS&amp;Ratios'!Q687-'BS&amp;Ratios'!Q688-'BS&amp;Ratios'!Q693-'BS&amp;Ratios'!Q694-'BS&amp;Ratios'!Q699-'BS&amp;Ratios'!Q700</f>
        <v>93.999999999998181</v>
      </c>
      <c r="S254" s="20"/>
    </row>
    <row r="255" spans="1:19" s="6" customFormat="1" x14ac:dyDescent="0.2">
      <c r="A255" s="154">
        <f>-SUM(A246:A254)</f>
        <v>-0.40000000000145519</v>
      </c>
      <c r="B255" s="742"/>
      <c r="C255" s="743"/>
      <c r="D255" s="743"/>
      <c r="E255" s="18" t="s">
        <v>4687</v>
      </c>
      <c r="F255" s="7"/>
      <c r="G255" s="742"/>
      <c r="H255" s="743"/>
      <c r="I255" s="743"/>
      <c r="J255" s="743"/>
      <c r="K255" s="743"/>
      <c r="L255" s="743"/>
      <c r="M255" s="742"/>
      <c r="N255" s="742"/>
      <c r="O255" s="742"/>
      <c r="P255" s="742"/>
      <c r="Q255" s="1221"/>
      <c r="S255" s="20"/>
    </row>
    <row r="256" spans="1:19" s="6" customFormat="1" x14ac:dyDescent="0.2">
      <c r="A256" s="154"/>
      <c r="B256" s="742"/>
      <c r="C256" s="743"/>
      <c r="D256" s="743"/>
      <c r="E256" s="18"/>
      <c r="F256" s="7"/>
      <c r="G256" s="743"/>
      <c r="H256" s="743"/>
      <c r="I256" s="743"/>
      <c r="J256" s="743"/>
      <c r="K256" s="743"/>
      <c r="L256" s="743"/>
      <c r="M256" s="743"/>
      <c r="N256" s="903"/>
      <c r="O256" s="903"/>
      <c r="P256" s="903"/>
      <c r="Q256" s="1228"/>
      <c r="S256" s="20"/>
    </row>
    <row r="257" spans="1:27" s="6" customFormat="1" x14ac:dyDescent="0.2">
      <c r="A257" s="154"/>
      <c r="B257" s="742"/>
      <c r="C257" s="743"/>
      <c r="D257" s="743"/>
      <c r="E257" s="18" t="s">
        <v>5216</v>
      </c>
      <c r="F257" s="7"/>
      <c r="G257" s="743"/>
      <c r="H257" s="743"/>
      <c r="I257" s="743"/>
      <c r="J257" s="743"/>
      <c r="K257" s="743"/>
      <c r="L257" s="743"/>
      <c r="M257" s="743"/>
      <c r="N257" s="903"/>
      <c r="O257" s="903"/>
      <c r="P257" s="903"/>
      <c r="Q257" s="1228"/>
      <c r="S257" s="20"/>
    </row>
    <row r="258" spans="1:27" s="6" customFormat="1" x14ac:dyDescent="0.2">
      <c r="A258" s="154"/>
      <c r="B258" s="903" t="str">
        <f>IF('BS&amp;Ratios'!D814&lt;2%,"Pass","Fail")</f>
        <v>Pass</v>
      </c>
      <c r="C258" s="1149" t="str">
        <f>IF('BS&amp;Ratios'!E814&lt;2%,"Pass","Fail")</f>
        <v>Pass</v>
      </c>
      <c r="D258" s="1149" t="str">
        <f>IF('BS&amp;Ratios'!F814&lt;2%,"Pass","Fail")</f>
        <v>Pass</v>
      </c>
      <c r="E258" s="10" t="s">
        <v>5213</v>
      </c>
      <c r="F258" s="7"/>
      <c r="G258" s="1149" t="str">
        <f>IF('BS&amp;Ratios'!G814&lt;2%,"Pass","Fail")</f>
        <v>Pass</v>
      </c>
      <c r="H258" s="1149" t="str">
        <f>IF('BS&amp;Ratios'!H814&lt;2%,"Pass","Fail")</f>
        <v>Pass</v>
      </c>
      <c r="I258" s="1149" t="str">
        <f>IF('BS&amp;Ratios'!I814&lt;2%,"Pass","Fail")</f>
        <v>Pass</v>
      </c>
      <c r="J258" s="1149" t="str">
        <f>IF('BS&amp;Ratios'!J814&lt;2%,"Pass","Fail")</f>
        <v>Pass</v>
      </c>
      <c r="K258" s="1149" t="str">
        <f>IF('BS&amp;Ratios'!K814&lt;2%,"Pass","Fail")</f>
        <v>Pass</v>
      </c>
      <c r="L258" s="1149" t="str">
        <f>IF('BS&amp;Ratios'!L814&lt;2%,"Pass","Fail")</f>
        <v>Pass</v>
      </c>
      <c r="M258" s="1149" t="str">
        <f>IF('BS&amp;Ratios'!M814&lt;2%,"Pass","Fail")</f>
        <v>Pass</v>
      </c>
      <c r="N258" s="903" t="str">
        <f>IF('BS&amp;Ratios'!N814&lt;2%,"Pass","Fail")</f>
        <v>Pass</v>
      </c>
      <c r="O258" s="903" t="str">
        <f>IF('BS&amp;Ratios'!O814&lt;2%,"Pass","Fail")</f>
        <v>Pass</v>
      </c>
      <c r="P258" s="903" t="str">
        <f>IF('BS&amp;Ratios'!P814&lt;2%,"Pass","Fail")</f>
        <v>Pass</v>
      </c>
      <c r="Q258" s="1228" t="str">
        <f>IF('BS&amp;Ratios'!Q814&lt;2%,"Pass","Fail")</f>
        <v>Pass</v>
      </c>
      <c r="S258" s="20"/>
    </row>
    <row r="259" spans="1:27" s="6" customFormat="1" x14ac:dyDescent="0.2">
      <c r="A259" s="154"/>
      <c r="B259" s="903" t="str">
        <f>IF('BS&amp;Ratios'!D815&lt;100%,"Fail","Pass")</f>
        <v>Fail</v>
      </c>
      <c r="C259" s="1149" t="str">
        <f>IF('BS&amp;Ratios'!E815&lt;100%,"Fail","Pass")</f>
        <v>Fail</v>
      </c>
      <c r="D259" s="1149" t="str">
        <f>IF('BS&amp;Ratios'!F815&lt;100%,"Fail","Pass")</f>
        <v>Pass</v>
      </c>
      <c r="E259" s="10" t="s">
        <v>5217</v>
      </c>
      <c r="F259" s="7"/>
      <c r="G259" s="1149" t="str">
        <f>IF('BS&amp;Ratios'!G815&lt;100%,"Fail","Pass")</f>
        <v>Pass</v>
      </c>
      <c r="H259" s="1149" t="str">
        <f>IF('BS&amp;Ratios'!H815&lt;100%,"Fail","Pass")</f>
        <v>Pass</v>
      </c>
      <c r="I259" s="1149" t="str">
        <f>IF('BS&amp;Ratios'!I815&lt;100%,"Fail","Pass")</f>
        <v>Pass</v>
      </c>
      <c r="J259" s="1149" t="str">
        <f>IF('BS&amp;Ratios'!J815&lt;100%,"Fail","Pass")</f>
        <v>Pass</v>
      </c>
      <c r="K259" s="1149" t="str">
        <f>IF('BS&amp;Ratios'!K815&lt;100%,"Fail","Pass")</f>
        <v>Pass</v>
      </c>
      <c r="L259" s="1149" t="str">
        <f>IF('BS&amp;Ratios'!L815&lt;100%,"Fail","Pass")</f>
        <v>Pass</v>
      </c>
      <c r="M259" s="1149" t="str">
        <f>IF('BS&amp;Ratios'!M815&lt;100%,"Fail","Pass")</f>
        <v>Pass</v>
      </c>
      <c r="N259" s="903" t="str">
        <f>IF('BS&amp;Ratios'!N815&lt;100%,"Fail","Pass")</f>
        <v>Pass</v>
      </c>
      <c r="O259" s="903" t="str">
        <f>IF('BS&amp;Ratios'!O815&lt;100%,"Fail","Pass")</f>
        <v>Pass</v>
      </c>
      <c r="P259" s="903" t="str">
        <f>IF('BS&amp;Ratios'!P815&lt;100%,"Fail","Pass")</f>
        <v>Pass</v>
      </c>
      <c r="Q259" s="1228" t="str">
        <f>IF('BS&amp;Ratios'!Q815&lt;100%,"Fail","Pass")</f>
        <v>Pass</v>
      </c>
      <c r="S259" s="20"/>
    </row>
    <row r="260" spans="1:27" s="6" customFormat="1" x14ac:dyDescent="0.2">
      <c r="A260" s="154"/>
      <c r="B260" s="903" t="str">
        <f>IF('BS&amp;Ratios'!D816&gt;20%,"Fail","Pass")</f>
        <v>Pass</v>
      </c>
      <c r="C260" s="1149" t="str">
        <f>IF('BS&amp;Ratios'!E816&gt;20%,"Fail","Pass")</f>
        <v>Pass</v>
      </c>
      <c r="D260" s="1149" t="str">
        <f>IF('BS&amp;Ratios'!F816&gt;20%,"Fail","Pass")</f>
        <v>Pass</v>
      </c>
      <c r="E260" s="10" t="s">
        <v>5218</v>
      </c>
      <c r="F260" s="7"/>
      <c r="G260" s="1149" t="str">
        <f>IF('BS&amp;Ratios'!G816&gt;20%,"Fail","Pass")</f>
        <v>Pass</v>
      </c>
      <c r="H260" s="1149" t="str">
        <f>IF('BS&amp;Ratios'!H816&gt;20%,"Fail","Pass")</f>
        <v>Pass</v>
      </c>
      <c r="I260" s="1149" t="str">
        <f>IF('BS&amp;Ratios'!I816&gt;20%,"Fail","Pass")</f>
        <v>Pass</v>
      </c>
      <c r="J260" s="1149" t="str">
        <f>IF('BS&amp;Ratios'!J816&gt;20%,"Fail","Pass")</f>
        <v>Pass</v>
      </c>
      <c r="K260" s="1149" t="str">
        <f>IF('BS&amp;Ratios'!K816&gt;20%,"Fail","Pass")</f>
        <v>Pass</v>
      </c>
      <c r="L260" s="1149" t="str">
        <f>IF('BS&amp;Ratios'!L816&gt;20%,"Fail","Pass")</f>
        <v>Pass</v>
      </c>
      <c r="M260" s="1149" t="str">
        <f>IF('BS&amp;Ratios'!M816&gt;20%,"Fail","Pass")</f>
        <v>Pass</v>
      </c>
      <c r="N260" s="903" t="str">
        <f>IF('BS&amp;Ratios'!N816&gt;20%,"Fail","Pass")</f>
        <v>Pass</v>
      </c>
      <c r="O260" s="903" t="str">
        <f>IF('BS&amp;Ratios'!O816&gt;20%,"Fail","Pass")</f>
        <v>Pass</v>
      </c>
      <c r="P260" s="903" t="str">
        <f>IF('BS&amp;Ratios'!P816&gt;20%,"Fail","Pass")</f>
        <v>Pass</v>
      </c>
      <c r="Q260" s="1228" t="str">
        <f>IF('BS&amp;Ratios'!Q816&gt;20%,"Fail","Pass")</f>
        <v>Pass</v>
      </c>
      <c r="S260" s="20"/>
    </row>
    <row r="261" spans="1:27" s="6" customFormat="1" x14ac:dyDescent="0.2">
      <c r="A261" s="154"/>
      <c r="B261" s="903" t="str">
        <f>IF('BS&amp;Ratios'!D817&lt;70%,"Fail","Pass")</f>
        <v>Fail</v>
      </c>
      <c r="C261" s="1149" t="str">
        <f>IF('BS&amp;Ratios'!E817&lt;70%,"Fail","Pass")</f>
        <v>Fail</v>
      </c>
      <c r="D261" s="1149" t="str">
        <f>IF('BS&amp;Ratios'!F817&lt;70%,"Fail","Pass")</f>
        <v>Fail</v>
      </c>
      <c r="E261" s="10" t="s">
        <v>5219</v>
      </c>
      <c r="F261" s="7"/>
      <c r="G261" s="1149" t="str">
        <f>IF('BS&amp;Ratios'!G817&lt;70%,"Fail","Pass")</f>
        <v>Fail</v>
      </c>
      <c r="H261" s="1149" t="str">
        <f>IF('BS&amp;Ratios'!H817&lt;70%,"Fail","Pass")</f>
        <v>Fail</v>
      </c>
      <c r="I261" s="1149" t="str">
        <f>IF('BS&amp;Ratios'!I817&lt;70%,"Fail","Pass")</f>
        <v>Fail</v>
      </c>
      <c r="J261" s="1149" t="str">
        <f>IF('BS&amp;Ratios'!J817&lt;70%,"Fail","Pass")</f>
        <v>Pass</v>
      </c>
      <c r="K261" s="1149" t="str">
        <f>IF('BS&amp;Ratios'!K817&lt;70%,"Fail","Pass")</f>
        <v>Fail</v>
      </c>
      <c r="L261" s="1149" t="str">
        <f>IF('BS&amp;Ratios'!L817&lt;70%,"Fail","Pass")</f>
        <v>Pass</v>
      </c>
      <c r="M261" s="1149" t="str">
        <f>IF('BS&amp;Ratios'!M817&lt;70%,"Fail","Pass")</f>
        <v>Pass</v>
      </c>
      <c r="N261" s="903" t="str">
        <f>IF('BS&amp;Ratios'!N817&lt;70%,"Fail","Pass")</f>
        <v>Pass</v>
      </c>
      <c r="O261" s="903" t="str">
        <f>IF('BS&amp;Ratios'!O817&lt;70%,"Fail","Pass")</f>
        <v>Pass</v>
      </c>
      <c r="P261" s="903" t="str">
        <f>IF('BS&amp;Ratios'!P817&lt;70%,"Fail","Pass")</f>
        <v>Pass</v>
      </c>
      <c r="Q261" s="1228" t="str">
        <f>IF('BS&amp;Ratios'!Q817&lt;70%,"Fail","Pass")</f>
        <v>Pass</v>
      </c>
      <c r="S261" s="20"/>
    </row>
    <row r="262" spans="1:27" s="6" customFormat="1" x14ac:dyDescent="0.2">
      <c r="A262" s="154"/>
      <c r="B262" s="903" t="s">
        <v>847</v>
      </c>
      <c r="C262" s="1149" t="str">
        <f>IF('BS&amp;Ratios'!E818&lt;'BS&amp;Ratios'!D818,"Pass","Fail")</f>
        <v>Pass</v>
      </c>
      <c r="D262" s="1149" t="str">
        <f>IF('BS&amp;Ratios'!F818&lt;'BS&amp;Ratios'!E818,"Pass","Fail")</f>
        <v>Fail</v>
      </c>
      <c r="E262" s="10" t="s">
        <v>4702</v>
      </c>
      <c r="F262" s="7"/>
      <c r="G262" s="1149" t="str">
        <f>IF('BS&amp;Ratios'!G818&lt;'BS&amp;Ratios'!F818,"Pass","Fail")</f>
        <v>Pass</v>
      </c>
      <c r="H262" s="1149" t="str">
        <f>IF('BS&amp;Ratios'!H818&lt;'BS&amp;Ratios'!G818,"Pass","Fail")</f>
        <v>Pass</v>
      </c>
      <c r="I262" s="1149" t="str">
        <f>IF('BS&amp;Ratios'!I818&lt;'BS&amp;Ratios'!H818,"Pass","Fail")</f>
        <v>Fail</v>
      </c>
      <c r="J262" s="1149" t="str">
        <f>IF('BS&amp;Ratios'!J818&lt;'BS&amp;Ratios'!I818,"Pass","Fail")</f>
        <v>Pass</v>
      </c>
      <c r="K262" s="1149" t="str">
        <f>IF('BS&amp;Ratios'!K818&lt;'BS&amp;Ratios'!J818,"Pass","Fail")</f>
        <v>Fail</v>
      </c>
      <c r="L262" s="1149" t="str">
        <f>IF('BS&amp;Ratios'!L818&lt;'BS&amp;Ratios'!K818,"Pass","Fail")</f>
        <v>Pass</v>
      </c>
      <c r="M262" s="1149" t="str">
        <f>IF('BS&amp;Ratios'!M818&lt;'BS&amp;Ratios'!L818,"Pass","Fail")</f>
        <v>Fail</v>
      </c>
      <c r="N262" s="903" t="str">
        <f>IF('BS&amp;Ratios'!N818&lt;'BS&amp;Ratios'!M818,"Pass","Fail")</f>
        <v>Pass</v>
      </c>
      <c r="O262" s="903" t="str">
        <f>IF('BS&amp;Ratios'!O818&lt;'BS&amp;Ratios'!N818,"Pass","Fail")</f>
        <v>Pass</v>
      </c>
      <c r="P262" s="903" t="str">
        <f>IF('BS&amp;Ratios'!P818&lt;'BS&amp;Ratios'!O818,"Pass","Fail")</f>
        <v>Pass</v>
      </c>
      <c r="Q262" s="1228" t="str">
        <f>IF('BS&amp;Ratios'!Q818&lt;'BS&amp;Ratios'!P818,"Pass","Fail")</f>
        <v>Pass</v>
      </c>
      <c r="S262" s="20"/>
    </row>
    <row r="263" spans="1:27" s="6" customFormat="1" x14ac:dyDescent="0.2">
      <c r="A263" s="154"/>
      <c r="B263" s="903" t="str">
        <f>IF('BS&amp;Ratios'!D819&lt;100%,"Fail","Pass")</f>
        <v>Fail</v>
      </c>
      <c r="C263" s="1149" t="str">
        <f>IF('BS&amp;Ratios'!E819&lt;100%,"Fail","Pass")</f>
        <v>Fail</v>
      </c>
      <c r="D263" s="1149" t="str">
        <f>IF('BS&amp;Ratios'!F819&lt;100%,"Fail","Pass")</f>
        <v>Pass</v>
      </c>
      <c r="E263" s="10" t="s">
        <v>5220</v>
      </c>
      <c r="F263" s="7"/>
      <c r="G263" s="1149" t="str">
        <f>IF('BS&amp;Ratios'!G819&lt;100%,"Fail","Pass")</f>
        <v>Pass</v>
      </c>
      <c r="H263" s="1149" t="str">
        <f>IF('BS&amp;Ratios'!H819&lt;100%,"Fail","Pass")</f>
        <v>Pass</v>
      </c>
      <c r="I263" s="1149" t="str">
        <f>IF('BS&amp;Ratios'!I819&lt;100%,"Fail","Pass")</f>
        <v>Pass</v>
      </c>
      <c r="J263" s="1149" t="str">
        <f>IF('BS&amp;Ratios'!J819&lt;100%,"Fail","Pass")</f>
        <v>Pass</v>
      </c>
      <c r="K263" s="1149" t="str">
        <f>IF('BS&amp;Ratios'!K819&lt;100%,"Fail","Pass")</f>
        <v>Pass</v>
      </c>
      <c r="L263" s="1149" t="str">
        <f>IF('BS&amp;Ratios'!L819&lt;100%,"Fail","Pass")</f>
        <v>Pass</v>
      </c>
      <c r="M263" s="1149" t="str">
        <f>IF('BS&amp;Ratios'!M819&lt;100%,"Fail","Pass")</f>
        <v>Fail</v>
      </c>
      <c r="N263" s="903" t="str">
        <f>IF('BS&amp;Ratios'!N819&lt;100%,"Fail","Pass")</f>
        <v>Fail</v>
      </c>
      <c r="O263" s="903" t="str">
        <f>IF('BS&amp;Ratios'!O819&lt;100%,"Fail","Pass")</f>
        <v>Fail</v>
      </c>
      <c r="P263" s="903" t="str">
        <f>IF('BS&amp;Ratios'!P819&lt;100%,"Fail","Pass")</f>
        <v>Fail</v>
      </c>
      <c r="Q263" s="1228" t="str">
        <f>IF('BS&amp;Ratios'!Q819&lt;100%,"Fail","Pass")</f>
        <v>Fail</v>
      </c>
      <c r="S263" s="20"/>
    </row>
    <row r="264" spans="1:27" s="6" customFormat="1" x14ac:dyDescent="0.2">
      <c r="A264" s="154"/>
      <c r="B264" s="903" t="str">
        <f>IF('BS&amp;Ratios'!D820&lt;0%,"Fail","Pass")</f>
        <v>Fail</v>
      </c>
      <c r="C264" s="1149" t="str">
        <f>IF('BS&amp;Ratios'!E820&lt;0%,"Fail","Pass")</f>
        <v>Fail</v>
      </c>
      <c r="D264" s="1149" t="str">
        <f>IF('BS&amp;Ratios'!F820&lt;0%,"Fail","Pass")</f>
        <v>Fail</v>
      </c>
      <c r="E264" s="10" t="s">
        <v>5221</v>
      </c>
      <c r="F264" s="7"/>
      <c r="G264" s="1149" t="str">
        <f>IF('BS&amp;Ratios'!G820&lt;0%,"Fail","Pass")</f>
        <v>Fail</v>
      </c>
      <c r="H264" s="1149" t="str">
        <f>IF('BS&amp;Ratios'!H820&lt;0%,"Fail","Pass")</f>
        <v>Fail</v>
      </c>
      <c r="I264" s="1149" t="str">
        <f>IF('BS&amp;Ratios'!I820&lt;0%,"Fail","Pass")</f>
        <v>Fail</v>
      </c>
      <c r="J264" s="1149" t="str">
        <f>IF('BS&amp;Ratios'!J820&lt;0%,"Fail","Pass")</f>
        <v>Fail</v>
      </c>
      <c r="K264" s="1149" t="str">
        <f>IF('BS&amp;Ratios'!K820&lt;0%,"Fail","Pass")</f>
        <v>Fail</v>
      </c>
      <c r="L264" s="1149" t="str">
        <f>IF('BS&amp;Ratios'!L820&lt;0%,"Fail","Pass")</f>
        <v>Fail</v>
      </c>
      <c r="M264" s="1149" t="str">
        <f>IF('BS&amp;Ratios'!M820&lt;0%,"Fail","Pass")</f>
        <v>Fail</v>
      </c>
      <c r="N264" s="903" t="str">
        <f>IF('BS&amp;Ratios'!N820&lt;0%,"Fail","Pass")</f>
        <v>Fail</v>
      </c>
      <c r="O264" s="903" t="str">
        <f>IF('BS&amp;Ratios'!O820&lt;0%,"Fail","Pass")</f>
        <v>Fail</v>
      </c>
      <c r="P264" s="903" t="str">
        <f>IF('BS&amp;Ratios'!P820&lt;0%,"Fail","Pass")</f>
        <v>Fail</v>
      </c>
      <c r="Q264" s="1228" t="str">
        <f>IF('BS&amp;Ratios'!Q820&lt;0%,"Fail","Pass")</f>
        <v>Pass</v>
      </c>
      <c r="S264" s="20"/>
      <c r="Y264" s="1652"/>
      <c r="Z264" s="1652"/>
      <c r="AA264" s="1652"/>
    </row>
    <row r="265" spans="1:27" s="6" customFormat="1" x14ac:dyDescent="0.2">
      <c r="A265" s="154"/>
      <c r="B265" s="903"/>
      <c r="C265" s="1149"/>
      <c r="D265" s="1149"/>
      <c r="E265" s="10"/>
      <c r="F265" s="7"/>
      <c r="G265" s="1149"/>
      <c r="H265" s="1149"/>
      <c r="I265" s="1149"/>
      <c r="J265" s="1149"/>
      <c r="K265" s="1149"/>
      <c r="L265" s="1149"/>
      <c r="M265" s="1149"/>
      <c r="N265" s="903"/>
      <c r="O265" s="903"/>
      <c r="P265" s="903"/>
      <c r="Q265" s="1228"/>
      <c r="S265" s="20"/>
      <c r="Y265" s="1652"/>
      <c r="Z265" s="1652"/>
      <c r="AA265" s="1652"/>
    </row>
    <row r="266" spans="1:27" s="12" customFormat="1" x14ac:dyDescent="0.2">
      <c r="A266" s="154"/>
      <c r="B266" s="745"/>
      <c r="C266" s="745"/>
      <c r="D266" s="745"/>
      <c r="E266" s="18" t="s">
        <v>2083</v>
      </c>
      <c r="F266" s="22"/>
      <c r="G266" s="745"/>
      <c r="H266" s="744"/>
      <c r="I266" s="744"/>
      <c r="J266" s="744"/>
      <c r="K266" s="744"/>
      <c r="L266" s="744"/>
      <c r="M266" s="745"/>
      <c r="N266" s="745"/>
      <c r="O266" s="745"/>
      <c r="P266" s="745"/>
      <c r="Q266" s="1222"/>
      <c r="S266" s="20"/>
      <c r="Y266" s="1652"/>
      <c r="Z266" s="1652"/>
      <c r="AA266" s="1652"/>
    </row>
    <row r="267" spans="1:27" s="5" customFormat="1" x14ac:dyDescent="0.2">
      <c r="A267" s="154">
        <f>'Cash-Gen'!A91</f>
        <v>0</v>
      </c>
      <c r="B267" s="747">
        <f>'Cash-Gen'!B91</f>
        <v>0</v>
      </c>
      <c r="C267" s="747">
        <f>'Cash-Gen'!C91</f>
        <v>0</v>
      </c>
      <c r="D267" s="747">
        <f>'Cash-Gen'!D91</f>
        <v>0</v>
      </c>
      <c r="E267" s="10" t="s">
        <v>5222</v>
      </c>
      <c r="F267" s="3"/>
      <c r="G267" s="747">
        <f>'Cash-Gen'!F91</f>
        <v>100</v>
      </c>
      <c r="H267" s="748">
        <f>'Cash-Gen'!G91</f>
        <v>0</v>
      </c>
      <c r="I267" s="748">
        <f>'Cash-Gen'!H91</f>
        <v>0</v>
      </c>
      <c r="J267" s="748">
        <f>'Cash-Gen'!I91</f>
        <v>0</v>
      </c>
      <c r="K267" s="748">
        <f>'Cash-Gen'!J91</f>
        <v>0</v>
      </c>
      <c r="L267" s="748">
        <f>'Cash-Gen'!K91</f>
        <v>0</v>
      </c>
      <c r="M267" s="747">
        <f>'Cash-Gen'!L91</f>
        <v>0</v>
      </c>
      <c r="N267" s="747">
        <f>'Cash-Gen'!M91</f>
        <v>0</v>
      </c>
      <c r="O267" s="747">
        <f>'Cash-Gen'!N91</f>
        <v>0</v>
      </c>
      <c r="P267" s="747">
        <f>'Cash-Gen'!O91</f>
        <v>0</v>
      </c>
      <c r="Q267" s="1224">
        <f>'Cash-Gen'!P91</f>
        <v>0</v>
      </c>
      <c r="S267" s="20"/>
      <c r="Y267" s="1652"/>
      <c r="Z267" s="1652"/>
      <c r="AA267" s="1652"/>
    </row>
    <row r="268" spans="1:27" s="5" customFormat="1" x14ac:dyDescent="0.2">
      <c r="A268" s="154"/>
      <c r="B268" s="747"/>
      <c r="C268" s="747"/>
      <c r="D268" s="747"/>
      <c r="E268" s="10" t="s">
        <v>1850</v>
      </c>
      <c r="F268" s="3"/>
      <c r="G268" s="747"/>
      <c r="H268" s="748"/>
      <c r="I268" s="748"/>
      <c r="J268" s="748"/>
      <c r="K268" s="748"/>
      <c r="L268" s="748"/>
      <c r="M268" s="747"/>
      <c r="N268" s="747"/>
      <c r="O268" s="747"/>
      <c r="P268" s="747"/>
      <c r="Q268" s="1224"/>
      <c r="S268" s="20"/>
      <c r="Y268" s="1652"/>
      <c r="Z268" s="1652"/>
      <c r="AA268" s="1652"/>
    </row>
    <row r="269" spans="1:27" s="5" customFormat="1" x14ac:dyDescent="0.2">
      <c r="A269" s="154"/>
      <c r="B269" s="747"/>
      <c r="C269" s="747"/>
      <c r="D269" s="747"/>
      <c r="E269" s="10" t="s">
        <v>3336</v>
      </c>
      <c r="F269" s="3"/>
      <c r="G269" s="97"/>
      <c r="H269" s="748"/>
      <c r="I269" s="748"/>
      <c r="J269" s="748"/>
      <c r="K269" s="748"/>
      <c r="L269" s="748"/>
      <c r="M269" s="747"/>
      <c r="N269" s="747"/>
      <c r="O269" s="747"/>
      <c r="P269" s="747"/>
      <c r="Q269" s="1224"/>
      <c r="S269" s="20"/>
      <c r="Y269" s="1652"/>
      <c r="Z269" s="1652"/>
      <c r="AA269" s="1652"/>
    </row>
    <row r="270" spans="1:27" s="5" customFormat="1" x14ac:dyDescent="0.2">
      <c r="A270" s="154"/>
      <c r="B270" s="747"/>
      <c r="C270" s="747"/>
      <c r="D270" s="747"/>
      <c r="E270" s="10"/>
      <c r="F270" s="3"/>
      <c r="G270" s="97"/>
      <c r="H270" s="748"/>
      <c r="I270" s="748"/>
      <c r="J270" s="748"/>
      <c r="K270" s="748"/>
      <c r="L270" s="748"/>
      <c r="M270" s="747"/>
      <c r="N270" s="747"/>
      <c r="O270" s="747"/>
      <c r="P270" s="747"/>
      <c r="Q270" s="1224"/>
      <c r="S270" s="20"/>
      <c r="Y270" s="1653"/>
      <c r="Z270" s="1653"/>
      <c r="AA270" s="1653"/>
    </row>
    <row r="271" spans="1:27" s="5" customFormat="1" x14ac:dyDescent="0.2">
      <c r="A271" s="154"/>
      <c r="B271" s="747"/>
      <c r="C271" s="747"/>
      <c r="D271" s="747"/>
      <c r="E271" s="18" t="s">
        <v>6901</v>
      </c>
      <c r="F271" s="3"/>
      <c r="G271" s="97"/>
      <c r="H271" s="748"/>
      <c r="I271" s="748"/>
      <c r="J271" s="748"/>
      <c r="K271" s="748"/>
      <c r="L271" s="748"/>
      <c r="M271" s="747"/>
      <c r="N271" s="747"/>
      <c r="O271" s="747"/>
      <c r="P271" s="747"/>
      <c r="Q271" s="1224"/>
      <c r="S271" s="20"/>
      <c r="Y271" s="1652"/>
      <c r="Z271" s="1652"/>
      <c r="AA271" s="1652"/>
    </row>
    <row r="272" spans="1:27" s="5" customFormat="1" x14ac:dyDescent="0.2">
      <c r="A272" s="154"/>
      <c r="B272" s="747"/>
      <c r="C272" s="747"/>
      <c r="D272" s="747"/>
      <c r="E272" s="10" t="s">
        <v>7257</v>
      </c>
      <c r="F272" s="3"/>
      <c r="G272" s="97">
        <f>ROUND(697160,-2)</f>
        <v>697200</v>
      </c>
      <c r="H272" s="748">
        <v>0</v>
      </c>
      <c r="I272" s="748">
        <v>0</v>
      </c>
      <c r="J272" s="748"/>
      <c r="K272" s="748"/>
      <c r="L272" s="748"/>
      <c r="M272" s="747"/>
      <c r="N272" s="747"/>
      <c r="O272" s="747"/>
      <c r="P272" s="747"/>
      <c r="Q272" s="1224"/>
      <c r="S272" s="20"/>
      <c r="Y272" s="1652"/>
      <c r="Z272" s="1652"/>
      <c r="AA272" s="1652"/>
    </row>
    <row r="273" spans="1:27" s="5" customFormat="1" x14ac:dyDescent="0.2">
      <c r="A273" s="154"/>
      <c r="B273" s="747"/>
      <c r="C273" s="747"/>
      <c r="D273" s="747"/>
      <c r="E273" s="10" t="s">
        <v>6902</v>
      </c>
      <c r="F273" s="3"/>
      <c r="G273" s="97">
        <f>-Assumptions!H42</f>
        <v>-697200</v>
      </c>
      <c r="H273" s="743">
        <f>-Assumptions!I42</f>
        <v>0</v>
      </c>
      <c r="I273" s="743">
        <f>-Assumptions!J42</f>
        <v>0</v>
      </c>
      <c r="J273" s="748"/>
      <c r="K273" s="748"/>
      <c r="L273" s="748"/>
      <c r="M273" s="747"/>
      <c r="N273" s="747"/>
      <c r="O273" s="747"/>
      <c r="P273" s="747"/>
      <c r="Q273" s="1224"/>
      <c r="S273" s="20"/>
      <c r="Y273" s="1652"/>
      <c r="Z273" s="1652"/>
      <c r="AA273" s="1652"/>
    </row>
    <row r="274" spans="1:27" ht="13.5" thickBot="1" x14ac:dyDescent="0.25">
      <c r="A274" s="1214"/>
      <c r="B274" s="737"/>
      <c r="C274" s="737"/>
      <c r="D274" s="737"/>
      <c r="E274" s="10"/>
      <c r="F274" s="160"/>
      <c r="G274" s="737"/>
      <c r="H274" s="738"/>
      <c r="I274" s="738"/>
      <c r="J274" s="738"/>
      <c r="K274" s="738"/>
      <c r="L274" s="738"/>
      <c r="M274" s="737"/>
      <c r="N274" s="737"/>
      <c r="O274" s="737"/>
      <c r="P274" s="737"/>
      <c r="Q274" s="1219"/>
      <c r="Y274" s="1652"/>
      <c r="Z274" s="1652"/>
      <c r="AA274" s="1652"/>
    </row>
    <row r="275" spans="1:27" s="11" customFormat="1" ht="13.5" thickBot="1" x14ac:dyDescent="0.25">
      <c r="A275" s="1229">
        <f>ROUND(SUM(A4:A274),-3)</f>
        <v>0</v>
      </c>
      <c r="B275" s="1230">
        <f>ROUND(SUM(B4:B274),-3)</f>
        <v>0</v>
      </c>
      <c r="C275" s="1230">
        <f>ROUND(SUM(C4:C274),-3)</f>
        <v>0</v>
      </c>
      <c r="D275" s="1230">
        <f>ROUND(SUM(D4:D274),-3)</f>
        <v>0</v>
      </c>
      <c r="E275" s="1231" t="s">
        <v>2615</v>
      </c>
      <c r="F275" s="1232"/>
      <c r="G275" s="1230">
        <f>ROUND(SUM(G4:G274),-3)</f>
        <v>0</v>
      </c>
      <c r="H275" s="1233">
        <f t="shared" ref="H275:P275" si="87">ROUND(SUM(H4:H274),-3)</f>
        <v>0</v>
      </c>
      <c r="I275" s="1233">
        <f t="shared" si="87"/>
        <v>0</v>
      </c>
      <c r="J275" s="1233">
        <f t="shared" si="87"/>
        <v>0</v>
      </c>
      <c r="K275" s="1233">
        <f t="shared" si="87"/>
        <v>0</v>
      </c>
      <c r="L275" s="1233">
        <f t="shared" si="87"/>
        <v>0</v>
      </c>
      <c r="M275" s="1230">
        <f t="shared" si="87"/>
        <v>0</v>
      </c>
      <c r="N275" s="1230">
        <f t="shared" si="87"/>
        <v>0</v>
      </c>
      <c r="O275" s="1230">
        <f t="shared" si="87"/>
        <v>0</v>
      </c>
      <c r="P275" s="1230">
        <f t="shared" si="87"/>
        <v>0</v>
      </c>
      <c r="Q275" s="1234">
        <f t="shared" ref="Q275" si="88">ROUND(SUM(Q4:Q274),-3)</f>
        <v>0</v>
      </c>
      <c r="S275" s="20"/>
      <c r="Y275" s="1652"/>
      <c r="Z275" s="1652"/>
      <c r="AA275" s="1652"/>
    </row>
    <row r="276" spans="1:27" ht="14.25" thickTop="1" thickBot="1" x14ac:dyDescent="0.25">
      <c r="G276" s="710"/>
      <c r="Y276" s="1652"/>
      <c r="Z276" s="1652"/>
      <c r="AA276" s="1652"/>
    </row>
    <row r="277" spans="1:27" ht="13.5" thickTop="1" x14ac:dyDescent="0.2">
      <c r="A277" s="1235" t="str">
        <f>Checks!A2</f>
        <v>2013/14</v>
      </c>
      <c r="B277" s="1236" t="str">
        <f>Checks!B2</f>
        <v>2014/15</v>
      </c>
      <c r="C277" s="1236" t="str">
        <f>Checks!C2</f>
        <v>2015/16</v>
      </c>
      <c r="D277" s="1236" t="str">
        <f>Checks!D2</f>
        <v>2016/17</v>
      </c>
      <c r="E277" s="1237" t="s">
        <v>228</v>
      </c>
      <c r="F277" s="1238"/>
      <c r="G277" s="1236" t="str">
        <f>Checks!G2</f>
        <v>2017/18</v>
      </c>
      <c r="H277" s="1236" t="str">
        <f>Checks!H2</f>
        <v>2018/19</v>
      </c>
      <c r="I277" s="1236" t="str">
        <f>Checks!I2</f>
        <v>2019/20</v>
      </c>
      <c r="J277" s="1236" t="str">
        <f>Checks!J2</f>
        <v>2020/21</v>
      </c>
      <c r="K277" s="1236" t="str">
        <f>Checks!K2</f>
        <v>2021/22</v>
      </c>
      <c r="L277" s="1236" t="str">
        <f>Checks!L2</f>
        <v>2022/23</v>
      </c>
      <c r="M277" s="1236" t="str">
        <f>Checks!M2</f>
        <v>2023/24</v>
      </c>
      <c r="N277" s="1236" t="str">
        <f>Checks!N2</f>
        <v>2024/25</v>
      </c>
      <c r="O277" s="1236" t="str">
        <f>Checks!O2</f>
        <v>2025/26</v>
      </c>
      <c r="P277" s="1236" t="str">
        <f>Checks!P2</f>
        <v>2026/27</v>
      </c>
      <c r="Q277" s="1547" t="str">
        <f>Checks!Q2</f>
        <v>2027/28</v>
      </c>
      <c r="Y277" s="1652"/>
      <c r="Z277" s="1652"/>
      <c r="AA277" s="1652"/>
    </row>
    <row r="278" spans="1:27" x14ac:dyDescent="0.2">
      <c r="A278" s="1239"/>
      <c r="B278" s="709"/>
      <c r="C278" s="709"/>
      <c r="D278" s="709"/>
      <c r="E278" s="854"/>
      <c r="F278" s="153"/>
      <c r="G278" s="709"/>
      <c r="H278" s="709"/>
      <c r="I278" s="709"/>
      <c r="J278" s="709"/>
      <c r="K278" s="709"/>
      <c r="L278" s="709"/>
      <c r="M278" s="709"/>
      <c r="N278" s="709"/>
      <c r="O278" s="709"/>
      <c r="P278" s="709"/>
      <c r="Q278" s="1215"/>
      <c r="Y278" s="1652"/>
      <c r="Z278" s="1652"/>
      <c r="AA278" s="1652"/>
    </row>
    <row r="279" spans="1:27" s="11" customFormat="1" x14ac:dyDescent="0.2">
      <c r="A279" s="931">
        <f>'Cash-Gen'!A88</f>
        <v>0</v>
      </c>
      <c r="B279" s="739">
        <f>'Cash-Gen'!B88</f>
        <v>0</v>
      </c>
      <c r="C279" s="739">
        <f>'Cash-Gen'!C88</f>
        <v>-5200</v>
      </c>
      <c r="D279" s="739">
        <f>'Cash-Gen'!D88</f>
        <v>2110300</v>
      </c>
      <c r="E279" s="755" t="s">
        <v>11901</v>
      </c>
      <c r="F279" s="18"/>
      <c r="G279" s="739">
        <f>'Cash-Gen'!F88</f>
        <v>60000</v>
      </c>
      <c r="H279" s="739">
        <f>'Cash-Gen'!G88</f>
        <v>-372300</v>
      </c>
      <c r="I279" s="739">
        <f>'Cash-Gen'!H88</f>
        <v>-500400</v>
      </c>
      <c r="J279" s="739">
        <f>'Cash-Gen'!I88</f>
        <v>-552600</v>
      </c>
      <c r="K279" s="739">
        <f>'Cash-Gen'!J88</f>
        <v>-432800</v>
      </c>
      <c r="L279" s="739">
        <f>'Cash-Gen'!K88</f>
        <v>-389700</v>
      </c>
      <c r="M279" s="739">
        <f>'Cash-Gen'!L88</f>
        <v>-231600</v>
      </c>
      <c r="N279" s="739">
        <f>'Cash-Gen'!M88</f>
        <v>-213500</v>
      </c>
      <c r="O279" s="739">
        <f>'Cash-Gen'!N88</f>
        <v>-281300</v>
      </c>
      <c r="P279" s="739">
        <f>'Cash-Gen'!O88</f>
        <v>-156300</v>
      </c>
      <c r="Q279" s="1220">
        <f>'Cash-Gen'!P88</f>
        <v>188300</v>
      </c>
      <c r="S279" s="20"/>
      <c r="Y279" s="1653"/>
      <c r="Z279" s="1653"/>
      <c r="AA279" s="1653"/>
    </row>
    <row r="280" spans="1:27" s="11" customFormat="1" ht="13.5" thickBot="1" x14ac:dyDescent="0.25">
      <c r="A280" s="1240"/>
      <c r="B280" s="1241"/>
      <c r="C280" s="1241"/>
      <c r="D280" s="1241"/>
      <c r="E280" s="1242"/>
      <c r="F280" s="1243"/>
      <c r="G280" s="1241"/>
      <c r="H280" s="1241"/>
      <c r="I280" s="1241"/>
      <c r="J280" s="1241"/>
      <c r="K280" s="1241"/>
      <c r="L280" s="1241"/>
      <c r="M280" s="1241"/>
      <c r="N280" s="1241"/>
      <c r="O280" s="1241"/>
      <c r="P280" s="1241"/>
      <c r="Q280" s="1244"/>
      <c r="S280" s="20"/>
      <c r="Y280" s="1652"/>
      <c r="Z280" s="1652"/>
      <c r="AA280" s="1652"/>
    </row>
    <row r="281" spans="1:27" s="11" customFormat="1" ht="13.5" thickTop="1" x14ac:dyDescent="0.2">
      <c r="A281" s="18"/>
      <c r="B281" s="852"/>
      <c r="C281" s="852"/>
      <c r="D281" s="852"/>
      <c r="E281" s="18"/>
      <c r="F281" s="18"/>
      <c r="G281" s="502"/>
      <c r="H281" s="852"/>
      <c r="I281" s="852"/>
      <c r="J281" s="852"/>
      <c r="K281" s="852"/>
      <c r="L281" s="852"/>
      <c r="M281" s="852"/>
      <c r="N281" s="852"/>
      <c r="O281" s="852"/>
      <c r="P281" s="852"/>
      <c r="Q281" s="852"/>
      <c r="S281" s="20"/>
      <c r="Y281" s="1652"/>
      <c r="Z281" s="1652"/>
      <c r="AA281" s="1652"/>
    </row>
    <row r="282" spans="1:27" ht="13.5" thickBot="1" x14ac:dyDescent="0.25">
      <c r="G282" s="2175"/>
      <c r="Y282" s="1652"/>
      <c r="Z282" s="1652"/>
      <c r="AA282" s="1652"/>
    </row>
    <row r="283" spans="1:27" s="5" customFormat="1" ht="13.5" thickTop="1" x14ac:dyDescent="0.2">
      <c r="A283" s="1417" t="str">
        <f>A2</f>
        <v>2013/14</v>
      </c>
      <c r="B283" s="1416" t="str">
        <f>B2</f>
        <v>2014/15</v>
      </c>
      <c r="C283" s="1416" t="str">
        <f>C2</f>
        <v>2015/16</v>
      </c>
      <c r="D283" s="1416" t="str">
        <f t="shared" ref="D283" si="89">D2</f>
        <v>2016/17</v>
      </c>
      <c r="E283" s="1413" t="s">
        <v>6746</v>
      </c>
      <c r="F283" s="1414"/>
      <c r="G283" s="2176" t="str">
        <f t="shared" ref="G283:P283" si="90">G2</f>
        <v>2017/18</v>
      </c>
      <c r="H283" s="1418" t="str">
        <f t="shared" si="90"/>
        <v>2018/19</v>
      </c>
      <c r="I283" s="1418" t="str">
        <f t="shared" si="90"/>
        <v>2019/20</v>
      </c>
      <c r="J283" s="1418" t="str">
        <f t="shared" si="90"/>
        <v>2020/21</v>
      </c>
      <c r="K283" s="1418" t="str">
        <f t="shared" si="90"/>
        <v>2021/22</v>
      </c>
      <c r="L283" s="1418" t="str">
        <f t="shared" si="90"/>
        <v>2022/23</v>
      </c>
      <c r="M283" s="1416" t="str">
        <f t="shared" si="90"/>
        <v>2023/24</v>
      </c>
      <c r="N283" s="1416" t="str">
        <f t="shared" si="90"/>
        <v>2024/25</v>
      </c>
      <c r="O283" s="1416" t="str">
        <f t="shared" si="90"/>
        <v>2025/26</v>
      </c>
      <c r="P283" s="1416" t="str">
        <f t="shared" si="90"/>
        <v>2026/27</v>
      </c>
      <c r="Q283" s="1419" t="str">
        <f t="shared" ref="Q283" si="91">Q2</f>
        <v>2027/28</v>
      </c>
      <c r="S283" s="20"/>
      <c r="Y283" s="1652"/>
      <c r="Z283" s="1652"/>
      <c r="AA283" s="1652"/>
    </row>
    <row r="284" spans="1:27" s="5" customFormat="1" x14ac:dyDescent="0.2">
      <c r="A284" s="1457">
        <v>841</v>
      </c>
      <c r="B284" s="2">
        <v>859</v>
      </c>
      <c r="C284" s="2">
        <v>905</v>
      </c>
      <c r="D284" s="2">
        <v>943</v>
      </c>
      <c r="E284" s="10" t="s">
        <v>6747</v>
      </c>
      <c r="F284" s="3"/>
      <c r="G284" s="2">
        <v>943</v>
      </c>
      <c r="H284" s="462">
        <f>G284*(Assumptions!I5+Assumptions!I9)+G284</f>
        <v>932.62699999999995</v>
      </c>
      <c r="I284" s="462">
        <f>H284*(Assumptions!J5+Assumptions!J9)+H284</f>
        <v>955.94267500000001</v>
      </c>
      <c r="J284" s="462">
        <f>I284*(Assumptions!K5+Assumptions!K9)+I284</f>
        <v>979.84124187500004</v>
      </c>
      <c r="K284" s="462">
        <f>J284*(Assumptions!L5+Assumptions!L9)+J284</f>
        <v>1004.3372729218751</v>
      </c>
      <c r="L284" s="462">
        <f>K284*(Assumptions!M5+Assumptions!M9)+K284</f>
        <v>1029.4457047449218</v>
      </c>
      <c r="M284" s="2">
        <f>L284*(Assumptions!N5+Assumptions!N9)+L284</f>
        <v>1055.1818473635449</v>
      </c>
      <c r="N284" s="2">
        <f>M284*(Assumptions!O5+Assumptions!O9)+M284</f>
        <v>1081.5613935476335</v>
      </c>
      <c r="O284" s="2">
        <f>N284*(Assumptions!P5+Assumptions!P9)+N284</f>
        <v>1108.6004283863244</v>
      </c>
      <c r="P284" s="2">
        <f>O284*(Assumptions!Q5+Assumptions!Q9)+O284</f>
        <v>1136.3154390959826</v>
      </c>
      <c r="Q284" s="1213">
        <f>P284*(Assumptions!R5+Assumptions!R9)+P284</f>
        <v>1164.7233250733821</v>
      </c>
      <c r="S284" s="20"/>
      <c r="Y284" s="1652"/>
      <c r="Z284" s="1652"/>
      <c r="AA284" s="1652"/>
    </row>
    <row r="285" spans="1:27" s="5" customFormat="1" x14ac:dyDescent="0.2">
      <c r="A285" s="1457">
        <v>25</v>
      </c>
      <c r="B285" s="2">
        <v>25</v>
      </c>
      <c r="C285" s="2">
        <v>25</v>
      </c>
      <c r="D285" s="2">
        <v>25</v>
      </c>
      <c r="E285" s="10" t="s">
        <v>402</v>
      </c>
      <c r="F285" s="3"/>
      <c r="G285" s="2">
        <v>25</v>
      </c>
      <c r="H285" s="462">
        <v>25</v>
      </c>
      <c r="I285" s="462">
        <v>25</v>
      </c>
      <c r="J285" s="462">
        <v>25</v>
      </c>
      <c r="K285" s="462">
        <v>25</v>
      </c>
      <c r="L285" s="462">
        <v>25</v>
      </c>
      <c r="M285" s="2">
        <v>25</v>
      </c>
      <c r="N285" s="2">
        <v>25</v>
      </c>
      <c r="O285" s="2">
        <v>25</v>
      </c>
      <c r="P285" s="2">
        <v>25</v>
      </c>
      <c r="Q285" s="1213">
        <v>25</v>
      </c>
      <c r="S285" s="20"/>
      <c r="Y285" s="1652"/>
      <c r="Z285" s="1652"/>
      <c r="AA285" s="1652"/>
    </row>
    <row r="286" spans="1:27" s="5" customFormat="1" x14ac:dyDescent="0.2">
      <c r="A286" s="1457">
        <f>Assumptions!D58</f>
        <v>734</v>
      </c>
      <c r="B286" s="2">
        <f>Assumptions!E58</f>
        <v>807</v>
      </c>
      <c r="C286" s="2">
        <f>Assumptions!F58</f>
        <v>863</v>
      </c>
      <c r="D286" s="2">
        <f>Assumptions!D58</f>
        <v>734</v>
      </c>
      <c r="E286" s="10" t="s">
        <v>3289</v>
      </c>
      <c r="F286" s="3"/>
      <c r="G286" s="2">
        <f>Assumptions!H58</f>
        <v>953</v>
      </c>
      <c r="H286" s="462">
        <f>Assumptions!I58</f>
        <v>977</v>
      </c>
      <c r="I286" s="462">
        <f>Assumptions!J58</f>
        <v>1001</v>
      </c>
      <c r="J286" s="462">
        <f>Assumptions!K58</f>
        <v>1026</v>
      </c>
      <c r="K286" s="462">
        <f>Assumptions!L58</f>
        <v>1052</v>
      </c>
      <c r="L286" s="462">
        <f>Assumptions!M58</f>
        <v>1078</v>
      </c>
      <c r="M286" s="2">
        <f>Assumptions!N58</f>
        <v>1105</v>
      </c>
      <c r="N286" s="2">
        <f>Assumptions!O58</f>
        <v>1133</v>
      </c>
      <c r="O286" s="2">
        <f>Assumptions!P58</f>
        <v>1161</v>
      </c>
      <c r="P286" s="2">
        <f>Assumptions!Q58</f>
        <v>1190</v>
      </c>
      <c r="Q286" s="1213">
        <f>Assumptions!R58</f>
        <v>1220</v>
      </c>
      <c r="S286" s="20"/>
      <c r="Y286" s="1653"/>
      <c r="Z286" s="1653"/>
      <c r="AA286" s="1653"/>
    </row>
    <row r="287" spans="1:27" s="5" customFormat="1" x14ac:dyDescent="0.2">
      <c r="A287" s="1457">
        <f>Assumptions!D69</f>
        <v>178</v>
      </c>
      <c r="B287" s="2">
        <f>Assumptions!E69</f>
        <v>188.68</v>
      </c>
      <c r="C287" s="2">
        <f>Assumptions!F69</f>
        <v>195</v>
      </c>
      <c r="D287" s="2">
        <f>Assumptions!D69</f>
        <v>178</v>
      </c>
      <c r="E287" s="10" t="s">
        <v>6748</v>
      </c>
      <c r="F287" s="3"/>
      <c r="G287" s="2">
        <f>Assumptions!H69</f>
        <v>204.4692</v>
      </c>
      <c r="H287" s="462">
        <f>Assumptions!I69</f>
        <v>209.17199160000001</v>
      </c>
      <c r="I287" s="462">
        <f>Assumptions!J69</f>
        <v>213.98294740680001</v>
      </c>
      <c r="J287" s="462">
        <f>Assumptions!K69</f>
        <v>219.33252109197002</v>
      </c>
      <c r="K287" s="462">
        <f>Assumptions!L69</f>
        <v>225.91249672472912</v>
      </c>
      <c r="L287" s="462">
        <f>Assumptions!M69</f>
        <v>232.68987162647099</v>
      </c>
      <c r="M287" s="2">
        <f>Assumptions!N69</f>
        <v>239.67056777526511</v>
      </c>
      <c r="N287" s="2">
        <f>Assumptions!O69</f>
        <v>246.86068480852308</v>
      </c>
      <c r="O287" s="2">
        <f>Assumptions!P69</f>
        <v>254.26650535277878</v>
      </c>
      <c r="P287" s="2">
        <f>Assumptions!Q69</f>
        <v>261.89450051336212</v>
      </c>
      <c r="Q287" s="1213">
        <f>Assumptions!R69</f>
        <v>269.75133552876298</v>
      </c>
      <c r="S287" s="20"/>
      <c r="Y287" s="1653"/>
      <c r="Z287" s="1653"/>
      <c r="AA287" s="1653"/>
    </row>
    <row r="288" spans="1:27" s="5" customFormat="1" x14ac:dyDescent="0.2">
      <c r="A288" s="1457">
        <f>150*Assumptions!D70</f>
        <v>286.5</v>
      </c>
      <c r="B288" s="2">
        <f>150*Assumptions!E70</f>
        <v>303.69</v>
      </c>
      <c r="C288" s="2">
        <f>150*Assumptions!F70</f>
        <v>312</v>
      </c>
      <c r="D288" s="2">
        <f>172*Assumptions!D70</f>
        <v>328.52</v>
      </c>
      <c r="E288" s="10" t="s">
        <v>6811</v>
      </c>
      <c r="F288" s="3"/>
      <c r="G288" s="2">
        <f>172*Assumptions!H70</f>
        <v>375.13282560000005</v>
      </c>
      <c r="H288" s="462">
        <f>172*Assumptions!I70</f>
        <v>383.76088058880009</v>
      </c>
      <c r="I288" s="462">
        <f>172*Assumptions!J70</f>
        <v>392.58738084234244</v>
      </c>
      <c r="J288" s="462">
        <f>172*Assumptions!K70</f>
        <v>402.40206536340105</v>
      </c>
      <c r="K288" s="462">
        <f>172*Assumptions!L70</f>
        <v>414.47412732430303</v>
      </c>
      <c r="L288" s="462">
        <f>172*Assumptions!M70</f>
        <v>426.90835114403217</v>
      </c>
      <c r="M288" s="2">
        <f>172*Assumptions!N70</f>
        <v>439.7156016783531</v>
      </c>
      <c r="N288" s="2">
        <f>172*Assumptions!O70</f>
        <v>452.90706972870368</v>
      </c>
      <c r="O288" s="2">
        <f>172*Assumptions!P70</f>
        <v>466.49428182056477</v>
      </c>
      <c r="P288" s="2">
        <f>172*Assumptions!Q70</f>
        <v>480.4891102751817</v>
      </c>
      <c r="Q288" s="1213">
        <f>172*Assumptions!R70</f>
        <v>494.90378358343719</v>
      </c>
      <c r="S288" s="20"/>
      <c r="Z288" s="1654"/>
      <c r="AA288" s="1654"/>
    </row>
    <row r="289" spans="1:30" s="5" customFormat="1" x14ac:dyDescent="0.2">
      <c r="A289" s="1457">
        <f>Assumptions!D27+Assumptions!D26</f>
        <v>408</v>
      </c>
      <c r="B289" s="2">
        <f>Assumptions!E27+Assumptions!E26</f>
        <v>422</v>
      </c>
      <c r="C289" s="2">
        <f>Assumptions!F27+Assumptions!F26</f>
        <v>431.68</v>
      </c>
      <c r="D289" s="2">
        <f>Assumptions!D27+Assumptions!D26</f>
        <v>408</v>
      </c>
      <c r="E289" s="10" t="s">
        <v>3526</v>
      </c>
      <c r="F289" s="3"/>
      <c r="G289" s="2">
        <f>Assumptions!H27+Assumptions!H26</f>
        <v>374</v>
      </c>
      <c r="H289" s="462">
        <f>Assumptions!I27+Assumptions!I26</f>
        <v>383</v>
      </c>
      <c r="I289" s="462">
        <f>Assumptions!J27+Assumptions!J26</f>
        <v>392</v>
      </c>
      <c r="J289" s="462">
        <f>Assumptions!K27+Assumptions!K26</f>
        <v>401</v>
      </c>
      <c r="K289" s="462">
        <f>Assumptions!L27+Assumptions!L26</f>
        <v>410</v>
      </c>
      <c r="L289" s="462">
        <f>Assumptions!M27+Assumptions!M26</f>
        <v>419</v>
      </c>
      <c r="M289" s="2">
        <f>Assumptions!N27+Assumptions!N26</f>
        <v>429</v>
      </c>
      <c r="N289" s="2">
        <f>Assumptions!O27+Assumptions!O26</f>
        <v>439</v>
      </c>
      <c r="O289" s="2">
        <f>Assumptions!P27+Assumptions!P26</f>
        <v>449</v>
      </c>
      <c r="P289" s="2">
        <f>Assumptions!Q27+Assumptions!Q26</f>
        <v>459</v>
      </c>
      <c r="Q289" s="1213">
        <f>Assumptions!R27+Assumptions!R26</f>
        <v>470</v>
      </c>
      <c r="S289" s="20"/>
      <c r="AC289" s="1655"/>
      <c r="AD289" s="1655"/>
    </row>
    <row r="290" spans="1:30" s="11" customFormat="1" x14ac:dyDescent="0.2">
      <c r="A290" s="1458">
        <f t="shared" ref="A290:C290" si="92">SUM(A284:A289)</f>
        <v>2472.5</v>
      </c>
      <c r="B290" s="855">
        <f t="shared" si="92"/>
        <v>2605.37</v>
      </c>
      <c r="C290" s="855">
        <f t="shared" si="92"/>
        <v>2731.68</v>
      </c>
      <c r="D290" s="855">
        <f>SUM(D284:D289)</f>
        <v>2616.52</v>
      </c>
      <c r="E290" s="18" t="s">
        <v>1504</v>
      </c>
      <c r="F290" s="33"/>
      <c r="G290" s="855">
        <f>SUM(G284:G289)</f>
        <v>2874.6020256000002</v>
      </c>
      <c r="H290" s="1455">
        <f t="shared" ref="H290:O290" si="93">SUM(H284:H289)</f>
        <v>2910.5598721888</v>
      </c>
      <c r="I290" s="1455">
        <f t="shared" si="93"/>
        <v>2980.5130032491425</v>
      </c>
      <c r="J290" s="1455">
        <f t="shared" si="93"/>
        <v>3053.5758283303712</v>
      </c>
      <c r="K290" s="1455">
        <f t="shared" si="93"/>
        <v>3131.7238969709069</v>
      </c>
      <c r="L290" s="1455">
        <f t="shared" si="93"/>
        <v>3211.0439275154249</v>
      </c>
      <c r="M290" s="855">
        <f t="shared" si="93"/>
        <v>3293.568016817163</v>
      </c>
      <c r="N290" s="855">
        <f t="shared" si="93"/>
        <v>3378.3291480848607</v>
      </c>
      <c r="O290" s="855">
        <f t="shared" si="93"/>
        <v>3464.3612155596684</v>
      </c>
      <c r="P290" s="855">
        <f t="shared" ref="P290:Q290" si="94">SUM(P284:P289)</f>
        <v>3552.6990498845262</v>
      </c>
      <c r="Q290" s="1456">
        <f t="shared" si="94"/>
        <v>3644.3784441855823</v>
      </c>
      <c r="S290" s="20"/>
    </row>
    <row r="291" spans="1:30" s="11" customFormat="1" ht="13.5" thickBot="1" x14ac:dyDescent="0.25">
      <c r="A291" s="1420"/>
      <c r="B291" s="1421">
        <f t="shared" ref="B291" si="95">(B290-A290)/A290</f>
        <v>5.3739130434782567E-2</v>
      </c>
      <c r="C291" s="1421">
        <f t="shared" ref="C291:D291" si="96">(C290-B290)/B290</f>
        <v>4.8480638066762088E-2</v>
      </c>
      <c r="D291" s="1421">
        <f t="shared" si="96"/>
        <v>-4.2157207286358529E-2</v>
      </c>
      <c r="E291" s="1243" t="s">
        <v>6749</v>
      </c>
      <c r="F291" s="1415"/>
      <c r="G291" s="1552">
        <f>(G290-D290)/D290</f>
        <v>9.8635602097442474E-2</v>
      </c>
      <c r="H291" s="1553">
        <f>(H290-G290)/G290</f>
        <v>1.2508808617183991E-2</v>
      </c>
      <c r="I291" s="1553">
        <f t="shared" ref="I291:Q291" si="97">(I290-H290)/H290</f>
        <v>2.4034252560397009E-2</v>
      </c>
      <c r="J291" s="1553">
        <f t="shared" si="97"/>
        <v>2.451350656802399E-2</v>
      </c>
      <c r="K291" s="1553">
        <f t="shared" si="97"/>
        <v>2.55923130892955E-2</v>
      </c>
      <c r="L291" s="1553">
        <f t="shared" si="97"/>
        <v>2.5327913045348149E-2</v>
      </c>
      <c r="M291" s="1552">
        <f t="shared" si="97"/>
        <v>2.5700081084095241E-2</v>
      </c>
      <c r="N291" s="1552">
        <f t="shared" si="97"/>
        <v>2.5735351702136432E-2</v>
      </c>
      <c r="O291" s="1552">
        <f t="shared" si="97"/>
        <v>2.5465863065349446E-2</v>
      </c>
      <c r="P291" s="1552">
        <f t="shared" si="97"/>
        <v>2.5499025311824131E-2</v>
      </c>
      <c r="Q291" s="1554">
        <f t="shared" si="97"/>
        <v>2.5805561634621436E-2</v>
      </c>
      <c r="S291" s="20"/>
    </row>
    <row r="292" spans="1:30" ht="14.25" thickTop="1" thickBot="1" x14ac:dyDescent="0.25">
      <c r="G292" s="2175"/>
    </row>
    <row r="293" spans="1:30" ht="13.5" thickTop="1" x14ac:dyDescent="0.2">
      <c r="A293" s="1417" t="s">
        <v>929</v>
      </c>
      <c r="B293" s="1416" t="s">
        <v>883</v>
      </c>
      <c r="C293" s="1416" t="s">
        <v>2037</v>
      </c>
      <c r="D293" s="1416" t="s">
        <v>1587</v>
      </c>
      <c r="E293" s="1413" t="s">
        <v>6749</v>
      </c>
      <c r="F293" s="1414"/>
      <c r="G293" s="2176" t="str">
        <f t="shared" ref="G293:O293" si="98">G283</f>
        <v>2017/18</v>
      </c>
      <c r="H293" s="1418" t="str">
        <f t="shared" si="98"/>
        <v>2018/19</v>
      </c>
      <c r="I293" s="1418" t="str">
        <f t="shared" si="98"/>
        <v>2019/20</v>
      </c>
      <c r="J293" s="1418" t="str">
        <f t="shared" si="98"/>
        <v>2020/21</v>
      </c>
      <c r="K293" s="1418" t="str">
        <f t="shared" si="98"/>
        <v>2021/22</v>
      </c>
      <c r="L293" s="1418" t="str">
        <f t="shared" si="98"/>
        <v>2022/23</v>
      </c>
      <c r="M293" s="1416" t="str">
        <f t="shared" si="98"/>
        <v>2023/24</v>
      </c>
      <c r="N293" s="1416" t="str">
        <f t="shared" si="98"/>
        <v>2024/25</v>
      </c>
      <c r="O293" s="1416" t="str">
        <f t="shared" si="98"/>
        <v>2025/26</v>
      </c>
      <c r="P293" s="1416" t="str">
        <f t="shared" ref="P293:Q293" si="99">P283</f>
        <v>2026/27</v>
      </c>
      <c r="Q293" s="1419" t="str">
        <f t="shared" si="99"/>
        <v>2027/28</v>
      </c>
    </row>
    <row r="294" spans="1:30" x14ac:dyDescent="0.2">
      <c r="A294" s="1457"/>
      <c r="B294" s="1468">
        <f>(B284-A284)/A284</f>
        <v>2.1403091557669441E-2</v>
      </c>
      <c r="C294" s="1468">
        <f>(C284-B284)/B284</f>
        <v>5.3550640279394643E-2</v>
      </c>
      <c r="D294" s="1468">
        <f>(D284-C284)/C284</f>
        <v>4.1988950276243095E-2</v>
      </c>
      <c r="E294" s="10" t="s">
        <v>6747</v>
      </c>
      <c r="F294" s="3"/>
      <c r="G294" s="1469">
        <f t="shared" ref="G294:G300" si="100">(G284-D284)/D284</f>
        <v>0</v>
      </c>
      <c r="H294" s="1469">
        <f t="shared" ref="H294:H300" si="101">(H284-G284)/G284</f>
        <v>-1.100000000000005E-2</v>
      </c>
      <c r="I294" s="1469">
        <f t="shared" ref="I294:Q294" si="102">(I284-H284)/H284</f>
        <v>2.500000000000006E-2</v>
      </c>
      <c r="J294" s="1469">
        <f t="shared" si="102"/>
        <v>2.5000000000000029E-2</v>
      </c>
      <c r="K294" s="1469">
        <f t="shared" si="102"/>
        <v>2.5000000000000033E-2</v>
      </c>
      <c r="L294" s="1469">
        <f t="shared" si="102"/>
        <v>2.4999999999999894E-2</v>
      </c>
      <c r="M294" s="1468">
        <f t="shared" si="102"/>
        <v>2.4999999999999988E-2</v>
      </c>
      <c r="N294" s="1468">
        <f t="shared" si="102"/>
        <v>2.5000000000000043E-2</v>
      </c>
      <c r="O294" s="1468">
        <f t="shared" si="102"/>
        <v>2.5000000000000053E-2</v>
      </c>
      <c r="P294" s="1468">
        <f t="shared" si="102"/>
        <v>2.5000000000000029E-2</v>
      </c>
      <c r="Q294" s="1470">
        <f t="shared" si="102"/>
        <v>2.4999999999999922E-2</v>
      </c>
    </row>
    <row r="295" spans="1:30" x14ac:dyDescent="0.2">
      <c r="A295" s="1457"/>
      <c r="B295" s="1468">
        <f t="shared" ref="B295" si="103">(B285-A285)/A285</f>
        <v>0</v>
      </c>
      <c r="C295" s="1468">
        <f t="shared" ref="C295:D299" si="104">(C285-B285)/B285</f>
        <v>0</v>
      </c>
      <c r="D295" s="1468">
        <f t="shared" si="104"/>
        <v>0</v>
      </c>
      <c r="E295" s="10" t="s">
        <v>402</v>
      </c>
      <c r="F295" s="3"/>
      <c r="G295" s="1469">
        <f t="shared" si="100"/>
        <v>0</v>
      </c>
      <c r="H295" s="1469">
        <f t="shared" si="101"/>
        <v>0</v>
      </c>
      <c r="I295" s="1469">
        <f t="shared" ref="I295:Q295" si="105">(I285-H285)/H285</f>
        <v>0</v>
      </c>
      <c r="J295" s="1469">
        <f t="shared" si="105"/>
        <v>0</v>
      </c>
      <c r="K295" s="1469">
        <f t="shared" si="105"/>
        <v>0</v>
      </c>
      <c r="L295" s="1469">
        <f t="shared" si="105"/>
        <v>0</v>
      </c>
      <c r="M295" s="1468">
        <f t="shared" si="105"/>
        <v>0</v>
      </c>
      <c r="N295" s="1468">
        <f t="shared" si="105"/>
        <v>0</v>
      </c>
      <c r="O295" s="1468">
        <f t="shared" si="105"/>
        <v>0</v>
      </c>
      <c r="P295" s="1468">
        <f t="shared" si="105"/>
        <v>0</v>
      </c>
      <c r="Q295" s="1470">
        <f t="shared" si="105"/>
        <v>0</v>
      </c>
    </row>
    <row r="296" spans="1:30" x14ac:dyDescent="0.2">
      <c r="A296" s="1457"/>
      <c r="B296" s="1468">
        <f t="shared" ref="B296" si="106">(B286-A286)/A286</f>
        <v>9.9455040871934602E-2</v>
      </c>
      <c r="C296" s="1468">
        <f t="shared" si="104"/>
        <v>6.9392812887236685E-2</v>
      </c>
      <c r="D296" s="1468">
        <f t="shared" si="104"/>
        <v>-0.14947856315179606</v>
      </c>
      <c r="E296" s="10" t="s">
        <v>3289</v>
      </c>
      <c r="F296" s="3"/>
      <c r="G296" s="1469">
        <f t="shared" si="100"/>
        <v>0.29836512261580383</v>
      </c>
      <c r="H296" s="1469">
        <f t="shared" si="101"/>
        <v>2.5183630640083946E-2</v>
      </c>
      <c r="I296" s="1469">
        <f t="shared" ref="I296:Q296" si="107">(I286-H286)/H286</f>
        <v>2.4564994882292732E-2</v>
      </c>
      <c r="J296" s="1469">
        <f t="shared" si="107"/>
        <v>2.4975024975024976E-2</v>
      </c>
      <c r="K296" s="1469">
        <f t="shared" si="107"/>
        <v>2.5341130604288498E-2</v>
      </c>
      <c r="L296" s="1469">
        <f t="shared" si="107"/>
        <v>2.4714828897338403E-2</v>
      </c>
      <c r="M296" s="1468">
        <f t="shared" si="107"/>
        <v>2.5046382189239332E-2</v>
      </c>
      <c r="N296" s="1468">
        <f t="shared" si="107"/>
        <v>2.5339366515837104E-2</v>
      </c>
      <c r="O296" s="1468">
        <f t="shared" si="107"/>
        <v>2.4713150926743161E-2</v>
      </c>
      <c r="P296" s="1468">
        <f t="shared" si="107"/>
        <v>2.4978466838931956E-2</v>
      </c>
      <c r="Q296" s="1470">
        <f t="shared" si="107"/>
        <v>2.5210084033613446E-2</v>
      </c>
    </row>
    <row r="297" spans="1:30" x14ac:dyDescent="0.2">
      <c r="A297" s="1457"/>
      <c r="B297" s="1468">
        <f t="shared" ref="B297" si="108">(B287-A287)/A287</f>
        <v>6.0000000000000039E-2</v>
      </c>
      <c r="C297" s="1468">
        <f t="shared" si="104"/>
        <v>3.3495866016535897E-2</v>
      </c>
      <c r="D297" s="1468">
        <f t="shared" si="104"/>
        <v>-8.7179487179487175E-2</v>
      </c>
      <c r="E297" s="10" t="s">
        <v>6748</v>
      </c>
      <c r="F297" s="3"/>
      <c r="G297" s="1469">
        <f t="shared" si="100"/>
        <v>0.14870337078651685</v>
      </c>
      <c r="H297" s="1469">
        <f t="shared" si="101"/>
        <v>2.3000000000000059E-2</v>
      </c>
      <c r="I297" s="1469">
        <f t="shared" ref="I297:Q297" si="109">(I287-H287)/H287</f>
        <v>2.2999999999999979E-2</v>
      </c>
      <c r="J297" s="1469">
        <f t="shared" si="109"/>
        <v>2.5000000000000067E-2</v>
      </c>
      <c r="K297" s="1469">
        <f t="shared" si="109"/>
        <v>3.0000000000000002E-2</v>
      </c>
      <c r="L297" s="1469">
        <f t="shared" si="109"/>
        <v>2.9999999999999961E-2</v>
      </c>
      <c r="M297" s="1468">
        <f t="shared" si="109"/>
        <v>2.9999999999999975E-2</v>
      </c>
      <c r="N297" s="1468">
        <f t="shared" si="109"/>
        <v>3.0000000000000037E-2</v>
      </c>
      <c r="O297" s="1468">
        <f t="shared" si="109"/>
        <v>3.0000000000000047E-2</v>
      </c>
      <c r="P297" s="1468">
        <f t="shared" si="109"/>
        <v>2.9999999999999905E-2</v>
      </c>
      <c r="Q297" s="1470">
        <f t="shared" si="109"/>
        <v>2.9999999999999992E-2</v>
      </c>
    </row>
    <row r="298" spans="1:30" x14ac:dyDescent="0.2">
      <c r="A298" s="1457"/>
      <c r="B298" s="1468">
        <f>(B288-A288)/A288</f>
        <v>5.9999999999999991E-2</v>
      </c>
      <c r="C298" s="1468">
        <f t="shared" si="104"/>
        <v>2.7363429813296463E-2</v>
      </c>
      <c r="D298" s="1468">
        <f t="shared" si="104"/>
        <v>5.2948717948717888E-2</v>
      </c>
      <c r="E298" s="10" t="s">
        <v>6811</v>
      </c>
      <c r="F298" s="3"/>
      <c r="G298" s="1469">
        <f t="shared" si="100"/>
        <v>0.14188732984293215</v>
      </c>
      <c r="H298" s="1469">
        <f t="shared" si="101"/>
        <v>2.3000000000000118E-2</v>
      </c>
      <c r="I298" s="1469">
        <f t="shared" ref="I298:Q298" si="110">(I288-H288)/H288</f>
        <v>2.2999999999999861E-2</v>
      </c>
      <c r="J298" s="1469">
        <f t="shared" si="110"/>
        <v>2.5000000000000123E-2</v>
      </c>
      <c r="K298" s="1469">
        <f t="shared" si="110"/>
        <v>2.9999999999999864E-2</v>
      </c>
      <c r="L298" s="1469">
        <f t="shared" si="110"/>
        <v>3.000000000000012E-2</v>
      </c>
      <c r="M298" s="1468">
        <f t="shared" si="110"/>
        <v>2.9999999999999916E-2</v>
      </c>
      <c r="N298" s="1468">
        <f t="shared" si="110"/>
        <v>2.9999999999999968E-2</v>
      </c>
      <c r="O298" s="1468">
        <f t="shared" si="110"/>
        <v>2.9999999999999957E-2</v>
      </c>
      <c r="P298" s="1468">
        <f t="shared" si="110"/>
        <v>2.9999999999999985E-2</v>
      </c>
      <c r="Q298" s="1470">
        <f t="shared" si="110"/>
        <v>3.0000000000000075E-2</v>
      </c>
    </row>
    <row r="299" spans="1:30" x14ac:dyDescent="0.2">
      <c r="A299" s="1457"/>
      <c r="B299" s="1468">
        <f>(B289-A289)/A289</f>
        <v>3.4313725490196081E-2</v>
      </c>
      <c r="C299" s="1468">
        <f t="shared" si="104"/>
        <v>2.2938388625592433E-2</v>
      </c>
      <c r="D299" s="1468">
        <f t="shared" si="104"/>
        <v>-5.4855448480355833E-2</v>
      </c>
      <c r="E299" s="10" t="s">
        <v>3526</v>
      </c>
      <c r="F299" s="3"/>
      <c r="G299" s="1469">
        <f t="shared" si="100"/>
        <v>-8.3333333333333329E-2</v>
      </c>
      <c r="H299" s="1469">
        <f t="shared" si="101"/>
        <v>2.4064171122994651E-2</v>
      </c>
      <c r="I299" s="1469">
        <f t="shared" ref="I299:Q299" si="111">(I289-H289)/H289</f>
        <v>2.3498694516971279E-2</v>
      </c>
      <c r="J299" s="1469">
        <f t="shared" si="111"/>
        <v>2.2959183673469389E-2</v>
      </c>
      <c r="K299" s="1469">
        <f t="shared" si="111"/>
        <v>2.2443890274314215E-2</v>
      </c>
      <c r="L299" s="1469">
        <f t="shared" si="111"/>
        <v>2.1951219512195121E-2</v>
      </c>
      <c r="M299" s="1468">
        <f t="shared" si="111"/>
        <v>2.386634844868735E-2</v>
      </c>
      <c r="N299" s="1468">
        <f t="shared" si="111"/>
        <v>2.3310023310023312E-2</v>
      </c>
      <c r="O299" s="1468">
        <f t="shared" si="111"/>
        <v>2.2779043280182234E-2</v>
      </c>
      <c r="P299" s="1468">
        <f t="shared" si="111"/>
        <v>2.2271714922048998E-2</v>
      </c>
      <c r="Q299" s="1470">
        <f t="shared" si="111"/>
        <v>2.3965141612200435E-2</v>
      </c>
    </row>
    <row r="300" spans="1:30" x14ac:dyDescent="0.2">
      <c r="A300" s="1458">
        <f>SUM(A294:A298)</f>
        <v>0</v>
      </c>
      <c r="B300" s="1085">
        <f t="shared" ref="B300" si="112">(B290-A290)/A290</f>
        <v>5.3739130434782567E-2</v>
      </c>
      <c r="C300" s="1085">
        <f t="shared" ref="C300:D300" si="113">(C290-B290)/B290</f>
        <v>4.8480638066762088E-2</v>
      </c>
      <c r="D300" s="1085">
        <f t="shared" si="113"/>
        <v>-4.2157207286358529E-2</v>
      </c>
      <c r="E300" s="18" t="s">
        <v>1504</v>
      </c>
      <c r="F300" s="33"/>
      <c r="G300" s="1549">
        <f t="shared" si="100"/>
        <v>9.8635602097442474E-2</v>
      </c>
      <c r="H300" s="1549">
        <f t="shared" si="101"/>
        <v>1.2508808617183991E-2</v>
      </c>
      <c r="I300" s="1549">
        <f t="shared" ref="I300:Q300" si="114">(I290-H290)/H290</f>
        <v>2.4034252560397009E-2</v>
      </c>
      <c r="J300" s="1549">
        <f t="shared" si="114"/>
        <v>2.451350656802399E-2</v>
      </c>
      <c r="K300" s="1549">
        <f t="shared" si="114"/>
        <v>2.55923130892955E-2</v>
      </c>
      <c r="L300" s="1549">
        <f t="shared" si="114"/>
        <v>2.5327913045348149E-2</v>
      </c>
      <c r="M300" s="1550">
        <f t="shared" si="114"/>
        <v>2.5700081084095241E-2</v>
      </c>
      <c r="N300" s="1550">
        <f t="shared" si="114"/>
        <v>2.5735351702136432E-2</v>
      </c>
      <c r="O300" s="1550">
        <f t="shared" si="114"/>
        <v>2.5465863065349446E-2</v>
      </c>
      <c r="P300" s="1550">
        <f t="shared" si="114"/>
        <v>2.5499025311824131E-2</v>
      </c>
      <c r="Q300" s="1551">
        <f t="shared" si="114"/>
        <v>2.5805561634621436E-2</v>
      </c>
    </row>
    <row r="301" spans="1:30" ht="13.5" thickBot="1" x14ac:dyDescent="0.25">
      <c r="A301" s="1420"/>
      <c r="B301" s="1421"/>
      <c r="C301" s="1421"/>
      <c r="D301" s="1421"/>
      <c r="E301" s="1243"/>
      <c r="F301" s="1415"/>
      <c r="G301" s="2177"/>
      <c r="H301" s="1422"/>
      <c r="I301" s="1422"/>
      <c r="J301" s="1422"/>
      <c r="K301" s="1422"/>
      <c r="L301" s="1422"/>
      <c r="M301" s="1421"/>
      <c r="N301" s="1421"/>
      <c r="O301" s="1421"/>
      <c r="P301" s="1421"/>
      <c r="Q301" s="1423"/>
    </row>
    <row r="302" spans="1:30" ht="13.5" thickTop="1" x14ac:dyDescent="0.2">
      <c r="G302" s="2175"/>
    </row>
    <row r="303" spans="1:30" x14ac:dyDescent="0.2">
      <c r="G303" s="2175"/>
    </row>
    <row r="304" spans="1:30" x14ac:dyDescent="0.2">
      <c r="G304" s="710"/>
    </row>
    <row r="305" spans="1:7" x14ac:dyDescent="0.2">
      <c r="G305" s="2175"/>
    </row>
    <row r="306" spans="1:7" x14ac:dyDescent="0.2">
      <c r="A306" s="2215"/>
      <c r="G306" s="2175"/>
    </row>
    <row r="307" spans="1:7" x14ac:dyDescent="0.2">
      <c r="A307" s="6"/>
      <c r="G307" s="710"/>
    </row>
    <row r="308" spans="1:7" x14ac:dyDescent="0.2">
      <c r="A308" s="6"/>
      <c r="G308" s="710"/>
    </row>
    <row r="309" spans="1:7" x14ac:dyDescent="0.2">
      <c r="A309" s="6"/>
      <c r="G309" s="710"/>
    </row>
    <row r="310" spans="1:7" x14ac:dyDescent="0.2">
      <c r="A310" s="6"/>
      <c r="G310" s="710"/>
    </row>
    <row r="311" spans="1:7" x14ac:dyDescent="0.2">
      <c r="G311" s="2175"/>
    </row>
    <row r="312" spans="1:7" x14ac:dyDescent="0.2">
      <c r="A312" s="6"/>
      <c r="G312" s="2175"/>
    </row>
    <row r="313" spans="1:7" x14ac:dyDescent="0.2">
      <c r="G313" s="2175"/>
    </row>
    <row r="314" spans="1:7" x14ac:dyDescent="0.2">
      <c r="G314" s="2175"/>
    </row>
    <row r="315" spans="1:7" x14ac:dyDescent="0.2">
      <c r="G315" s="2175"/>
    </row>
    <row r="316" spans="1:7" x14ac:dyDescent="0.2">
      <c r="G316" s="2175"/>
    </row>
    <row r="317" spans="1:7" x14ac:dyDescent="0.2">
      <c r="G317" s="2175"/>
    </row>
    <row r="318" spans="1:7" x14ac:dyDescent="0.2">
      <c r="G318" s="2175"/>
    </row>
    <row r="319" spans="1:7" x14ac:dyDescent="0.2">
      <c r="G319" s="2175"/>
    </row>
    <row r="320" spans="1:7" x14ac:dyDescent="0.2">
      <c r="G320" s="2175"/>
    </row>
    <row r="321" spans="7:7" x14ac:dyDescent="0.2">
      <c r="G321" s="2175"/>
    </row>
    <row r="322" spans="7:7" x14ac:dyDescent="0.2">
      <c r="G322" s="2175"/>
    </row>
    <row r="323" spans="7:7" x14ac:dyDescent="0.2">
      <c r="G323" s="2175"/>
    </row>
    <row r="324" spans="7:7" x14ac:dyDescent="0.2">
      <c r="G324" s="2175"/>
    </row>
    <row r="325" spans="7:7" x14ac:dyDescent="0.2">
      <c r="G325" s="2175"/>
    </row>
    <row r="326" spans="7:7" x14ac:dyDescent="0.2">
      <c r="G326" s="2175"/>
    </row>
    <row r="327" spans="7:7" x14ac:dyDescent="0.2">
      <c r="G327" s="2175"/>
    </row>
    <row r="328" spans="7:7" x14ac:dyDescent="0.2">
      <c r="G328" s="2175"/>
    </row>
    <row r="329" spans="7:7" x14ac:dyDescent="0.2">
      <c r="G329" s="2175"/>
    </row>
    <row r="330" spans="7:7" x14ac:dyDescent="0.2">
      <c r="G330" s="2175"/>
    </row>
    <row r="331" spans="7:7" x14ac:dyDescent="0.2">
      <c r="G331" s="2175"/>
    </row>
    <row r="332" spans="7:7" x14ac:dyDescent="0.2">
      <c r="G332" s="2175"/>
    </row>
    <row r="333" spans="7:7" x14ac:dyDescent="0.2">
      <c r="G333" s="2175"/>
    </row>
    <row r="334" spans="7:7" x14ac:dyDescent="0.2">
      <c r="G334" s="2175"/>
    </row>
    <row r="335" spans="7:7" x14ac:dyDescent="0.2">
      <c r="G335" s="2175"/>
    </row>
    <row r="336" spans="7:7" x14ac:dyDescent="0.2">
      <c r="G336" s="2175"/>
    </row>
    <row r="337" spans="7:7" x14ac:dyDescent="0.2">
      <c r="G337" s="2175"/>
    </row>
    <row r="338" spans="7:7" x14ac:dyDescent="0.2">
      <c r="G338" s="2175"/>
    </row>
    <row r="339" spans="7:7" x14ac:dyDescent="0.2">
      <c r="G339" s="2175"/>
    </row>
    <row r="340" spans="7:7" x14ac:dyDescent="0.2">
      <c r="G340" s="2175"/>
    </row>
    <row r="341" spans="7:7" x14ac:dyDescent="0.2">
      <c r="G341" s="2175"/>
    </row>
    <row r="342" spans="7:7" x14ac:dyDescent="0.2">
      <c r="G342" s="2175"/>
    </row>
    <row r="343" spans="7:7" x14ac:dyDescent="0.2">
      <c r="G343" s="2175"/>
    </row>
    <row r="344" spans="7:7" x14ac:dyDescent="0.2">
      <c r="G344" s="2175"/>
    </row>
    <row r="345" spans="7:7" x14ac:dyDescent="0.2">
      <c r="G345" s="2175"/>
    </row>
    <row r="346" spans="7:7" x14ac:dyDescent="0.2">
      <c r="G346" s="2175"/>
    </row>
    <row r="347" spans="7:7" x14ac:dyDescent="0.2">
      <c r="G347" s="2175"/>
    </row>
    <row r="348" spans="7:7" x14ac:dyDescent="0.2">
      <c r="G348" s="2175"/>
    </row>
    <row r="349" spans="7:7" x14ac:dyDescent="0.2">
      <c r="G349" s="2175"/>
    </row>
    <row r="350" spans="7:7" x14ac:dyDescent="0.2">
      <c r="G350" s="2175"/>
    </row>
    <row r="351" spans="7:7" x14ac:dyDescent="0.2">
      <c r="G351" s="2175"/>
    </row>
    <row r="352" spans="7:7" x14ac:dyDescent="0.2">
      <c r="G352" s="2175"/>
    </row>
    <row r="353" spans="7:7" x14ac:dyDescent="0.2">
      <c r="G353" s="2175"/>
    </row>
    <row r="354" spans="7:7" x14ac:dyDescent="0.2">
      <c r="G354" s="2175"/>
    </row>
    <row r="355" spans="7:7" x14ac:dyDescent="0.2">
      <c r="G355" s="2175"/>
    </row>
    <row r="356" spans="7:7" x14ac:dyDescent="0.2">
      <c r="G356" s="2175"/>
    </row>
    <row r="357" spans="7:7" x14ac:dyDescent="0.2">
      <c r="G357" s="2175"/>
    </row>
    <row r="358" spans="7:7" x14ac:dyDescent="0.2">
      <c r="G358" s="2175"/>
    </row>
    <row r="359" spans="7:7" x14ac:dyDescent="0.2">
      <c r="G359" s="2175"/>
    </row>
    <row r="360" spans="7:7" x14ac:dyDescent="0.2">
      <c r="G360" s="2175"/>
    </row>
    <row r="361" spans="7:7" x14ac:dyDescent="0.2">
      <c r="G361" s="2175"/>
    </row>
    <row r="362" spans="7:7" x14ac:dyDescent="0.2">
      <c r="G362" s="2175"/>
    </row>
    <row r="363" spans="7:7" x14ac:dyDescent="0.2">
      <c r="G363" s="2175"/>
    </row>
    <row r="364" spans="7:7" x14ac:dyDescent="0.2">
      <c r="G364" s="2175"/>
    </row>
    <row r="365" spans="7:7" x14ac:dyDescent="0.2">
      <c r="G365" s="2175"/>
    </row>
    <row r="366" spans="7:7" x14ac:dyDescent="0.2">
      <c r="G366" s="2175"/>
    </row>
    <row r="367" spans="7:7" x14ac:dyDescent="0.2">
      <c r="G367" s="2175"/>
    </row>
    <row r="368" spans="7:7" x14ac:dyDescent="0.2">
      <c r="G368" s="2175"/>
    </row>
    <row r="369" spans="7:7" x14ac:dyDescent="0.2">
      <c r="G369" s="2175"/>
    </row>
    <row r="370" spans="7:7" x14ac:dyDescent="0.2">
      <c r="G370" s="2175"/>
    </row>
    <row r="371" spans="7:7" x14ac:dyDescent="0.2">
      <c r="G371" s="2175"/>
    </row>
    <row r="372" spans="7:7" x14ac:dyDescent="0.2">
      <c r="G372" s="2175"/>
    </row>
    <row r="373" spans="7:7" x14ac:dyDescent="0.2">
      <c r="G373" s="2175"/>
    </row>
    <row r="374" spans="7:7" x14ac:dyDescent="0.2">
      <c r="G374" s="2175"/>
    </row>
    <row r="375" spans="7:7" x14ac:dyDescent="0.2">
      <c r="G375" s="2175"/>
    </row>
    <row r="376" spans="7:7" x14ac:dyDescent="0.2">
      <c r="G376" s="2175"/>
    </row>
    <row r="377" spans="7:7" x14ac:dyDescent="0.2">
      <c r="G377" s="2175"/>
    </row>
    <row r="378" spans="7:7" x14ac:dyDescent="0.2">
      <c r="G378" s="2175"/>
    </row>
    <row r="379" spans="7:7" x14ac:dyDescent="0.2">
      <c r="G379" s="2175"/>
    </row>
    <row r="380" spans="7:7" x14ac:dyDescent="0.2">
      <c r="G380" s="2175"/>
    </row>
    <row r="381" spans="7:7" x14ac:dyDescent="0.2">
      <c r="G381" s="2175"/>
    </row>
    <row r="382" spans="7:7" x14ac:dyDescent="0.2">
      <c r="G382" s="2175"/>
    </row>
    <row r="383" spans="7:7" x14ac:dyDescent="0.2">
      <c r="G383" s="2175"/>
    </row>
    <row r="384" spans="7:7" x14ac:dyDescent="0.2">
      <c r="G384" s="2175"/>
    </row>
    <row r="385" spans="7:7" x14ac:dyDescent="0.2">
      <c r="G385" s="2175"/>
    </row>
    <row r="386" spans="7:7" x14ac:dyDescent="0.2">
      <c r="G386" s="2175"/>
    </row>
    <row r="387" spans="7:7" x14ac:dyDescent="0.2">
      <c r="G387" s="2175"/>
    </row>
    <row r="388" spans="7:7" x14ac:dyDescent="0.2">
      <c r="G388" s="2175"/>
    </row>
    <row r="389" spans="7:7" x14ac:dyDescent="0.2">
      <c r="G389" s="2175"/>
    </row>
    <row r="390" spans="7:7" x14ac:dyDescent="0.2">
      <c r="G390" s="2175"/>
    </row>
    <row r="391" spans="7:7" x14ac:dyDescent="0.2">
      <c r="G391" s="2175"/>
    </row>
    <row r="392" spans="7:7" x14ac:dyDescent="0.2">
      <c r="G392" s="2175"/>
    </row>
    <row r="393" spans="7:7" x14ac:dyDescent="0.2">
      <c r="G393" s="2175"/>
    </row>
    <row r="394" spans="7:7" x14ac:dyDescent="0.2">
      <c r="G394" s="2175"/>
    </row>
    <row r="395" spans="7:7" x14ac:dyDescent="0.2">
      <c r="G395" s="2175"/>
    </row>
    <row r="396" spans="7:7" x14ac:dyDescent="0.2">
      <c r="G396" s="2175"/>
    </row>
    <row r="397" spans="7:7" x14ac:dyDescent="0.2">
      <c r="G397" s="2175"/>
    </row>
    <row r="398" spans="7:7" x14ac:dyDescent="0.2">
      <c r="G398" s="2175"/>
    </row>
    <row r="399" spans="7:7" x14ac:dyDescent="0.2">
      <c r="G399" s="2175"/>
    </row>
    <row r="400" spans="7:7" x14ac:dyDescent="0.2">
      <c r="G400" s="2175"/>
    </row>
    <row r="401" spans="7:7" x14ac:dyDescent="0.2">
      <c r="G401" s="2175"/>
    </row>
    <row r="402" spans="7:7" x14ac:dyDescent="0.2">
      <c r="G402" s="2175"/>
    </row>
    <row r="403" spans="7:7" x14ac:dyDescent="0.2">
      <c r="G403" s="2175"/>
    </row>
    <row r="404" spans="7:7" x14ac:dyDescent="0.2">
      <c r="G404" s="2175"/>
    </row>
    <row r="405" spans="7:7" x14ac:dyDescent="0.2">
      <c r="G405" s="2175"/>
    </row>
    <row r="406" spans="7:7" x14ac:dyDescent="0.2">
      <c r="G406" s="2175"/>
    </row>
    <row r="407" spans="7:7" x14ac:dyDescent="0.2">
      <c r="G407" s="2175"/>
    </row>
    <row r="408" spans="7:7" x14ac:dyDescent="0.2">
      <c r="G408" s="2175"/>
    </row>
    <row r="409" spans="7:7" x14ac:dyDescent="0.2">
      <c r="G409" s="2175"/>
    </row>
    <row r="410" spans="7:7" x14ac:dyDescent="0.2">
      <c r="G410" s="2175"/>
    </row>
    <row r="411" spans="7:7" x14ac:dyDescent="0.2">
      <c r="G411" s="2175"/>
    </row>
    <row r="412" spans="7:7" x14ac:dyDescent="0.2">
      <c r="G412" s="2175"/>
    </row>
    <row r="413" spans="7:7" x14ac:dyDescent="0.2">
      <c r="G413" s="2175"/>
    </row>
    <row r="414" spans="7:7" x14ac:dyDescent="0.2">
      <c r="G414" s="2175"/>
    </row>
    <row r="415" spans="7:7" x14ac:dyDescent="0.2">
      <c r="G415" s="2175"/>
    </row>
    <row r="416" spans="7:7" x14ac:dyDescent="0.2">
      <c r="G416" s="2175"/>
    </row>
    <row r="417" spans="7:7" x14ac:dyDescent="0.2">
      <c r="G417" s="2175"/>
    </row>
    <row r="418" spans="7:7" x14ac:dyDescent="0.2">
      <c r="G418" s="2175"/>
    </row>
    <row r="419" spans="7:7" x14ac:dyDescent="0.2">
      <c r="G419" s="2175"/>
    </row>
    <row r="420" spans="7:7" x14ac:dyDescent="0.2">
      <c r="G420" s="2175"/>
    </row>
    <row r="421" spans="7:7" x14ac:dyDescent="0.2">
      <c r="G421" s="2175"/>
    </row>
    <row r="422" spans="7:7" x14ac:dyDescent="0.2">
      <c r="G422" s="2175"/>
    </row>
    <row r="423" spans="7:7" x14ac:dyDescent="0.2">
      <c r="G423" s="2175"/>
    </row>
    <row r="424" spans="7:7" x14ac:dyDescent="0.2">
      <c r="G424" s="2175"/>
    </row>
    <row r="425" spans="7:7" x14ac:dyDescent="0.2">
      <c r="G425" s="2175"/>
    </row>
    <row r="426" spans="7:7" x14ac:dyDescent="0.2">
      <c r="G426" s="2175"/>
    </row>
    <row r="427" spans="7:7" x14ac:dyDescent="0.2">
      <c r="G427" s="2175"/>
    </row>
    <row r="428" spans="7:7" x14ac:dyDescent="0.2">
      <c r="G428" s="2175"/>
    </row>
    <row r="429" spans="7:7" x14ac:dyDescent="0.2">
      <c r="G429" s="2175"/>
    </row>
    <row r="430" spans="7:7" x14ac:dyDescent="0.2">
      <c r="G430" s="2175"/>
    </row>
    <row r="431" spans="7:7" x14ac:dyDescent="0.2">
      <c r="G431" s="2175"/>
    </row>
    <row r="432" spans="7:7" x14ac:dyDescent="0.2">
      <c r="G432" s="2175"/>
    </row>
    <row r="433" spans="7:7" x14ac:dyDescent="0.2">
      <c r="G433" s="2175"/>
    </row>
    <row r="434" spans="7:7" x14ac:dyDescent="0.2">
      <c r="G434" s="2175"/>
    </row>
    <row r="435" spans="7:7" x14ac:dyDescent="0.2">
      <c r="G435" s="2175"/>
    </row>
    <row r="436" spans="7:7" x14ac:dyDescent="0.2">
      <c r="G436" s="2175"/>
    </row>
    <row r="437" spans="7:7" x14ac:dyDescent="0.2">
      <c r="G437" s="2175"/>
    </row>
    <row r="438" spans="7:7" x14ac:dyDescent="0.2">
      <c r="G438" s="2175"/>
    </row>
    <row r="439" spans="7:7" x14ac:dyDescent="0.2">
      <c r="G439" s="2175"/>
    </row>
    <row r="440" spans="7:7" x14ac:dyDescent="0.2">
      <c r="G440" s="2175"/>
    </row>
    <row r="441" spans="7:7" x14ac:dyDescent="0.2">
      <c r="G441" s="2175"/>
    </row>
    <row r="442" spans="7:7" x14ac:dyDescent="0.2">
      <c r="G442" s="2175"/>
    </row>
    <row r="443" spans="7:7" x14ac:dyDescent="0.2">
      <c r="G443" s="2175"/>
    </row>
    <row r="444" spans="7:7" x14ac:dyDescent="0.2">
      <c r="G444" s="2175"/>
    </row>
    <row r="445" spans="7:7" x14ac:dyDescent="0.2">
      <c r="G445" s="2175"/>
    </row>
    <row r="446" spans="7:7" x14ac:dyDescent="0.2">
      <c r="G446" s="2175"/>
    </row>
    <row r="447" spans="7:7" x14ac:dyDescent="0.2">
      <c r="G447" s="2175"/>
    </row>
    <row r="448" spans="7:7" x14ac:dyDescent="0.2">
      <c r="G448" s="2175"/>
    </row>
    <row r="449" spans="7:7" x14ac:dyDescent="0.2">
      <c r="G449" s="2175"/>
    </row>
    <row r="450" spans="7:7" x14ac:dyDescent="0.2">
      <c r="G450" s="2175"/>
    </row>
    <row r="451" spans="7:7" x14ac:dyDescent="0.2">
      <c r="G451" s="2175"/>
    </row>
    <row r="452" spans="7:7" x14ac:dyDescent="0.2">
      <c r="G452" s="2175"/>
    </row>
    <row r="453" spans="7:7" x14ac:dyDescent="0.2">
      <c r="G453" s="2175"/>
    </row>
    <row r="454" spans="7:7" x14ac:dyDescent="0.2">
      <c r="G454" s="2175"/>
    </row>
    <row r="455" spans="7:7" x14ac:dyDescent="0.2">
      <c r="G455" s="2175"/>
    </row>
    <row r="456" spans="7:7" x14ac:dyDescent="0.2">
      <c r="G456" s="2175"/>
    </row>
    <row r="457" spans="7:7" x14ac:dyDescent="0.2">
      <c r="G457" s="2175"/>
    </row>
    <row r="458" spans="7:7" x14ac:dyDescent="0.2">
      <c r="G458" s="2175"/>
    </row>
    <row r="459" spans="7:7" x14ac:dyDescent="0.2">
      <c r="G459" s="2175"/>
    </row>
    <row r="460" spans="7:7" x14ac:dyDescent="0.2">
      <c r="G460" s="2175"/>
    </row>
    <row r="461" spans="7:7" x14ac:dyDescent="0.2">
      <c r="G461" s="2175"/>
    </row>
    <row r="462" spans="7:7" x14ac:dyDescent="0.2">
      <c r="G462" s="2175"/>
    </row>
    <row r="463" spans="7:7" x14ac:dyDescent="0.2">
      <c r="G463" s="2175"/>
    </row>
    <row r="464" spans="7:7" x14ac:dyDescent="0.2">
      <c r="G464" s="2175"/>
    </row>
    <row r="465" spans="7:7" x14ac:dyDescent="0.2">
      <c r="G465" s="2175"/>
    </row>
    <row r="466" spans="7:7" x14ac:dyDescent="0.2">
      <c r="G466" s="2175"/>
    </row>
    <row r="467" spans="7:7" x14ac:dyDescent="0.2">
      <c r="G467" s="2175"/>
    </row>
    <row r="468" spans="7:7" x14ac:dyDescent="0.2">
      <c r="G468" s="2175"/>
    </row>
    <row r="469" spans="7:7" x14ac:dyDescent="0.2">
      <c r="G469" s="2175"/>
    </row>
    <row r="470" spans="7:7" x14ac:dyDescent="0.2">
      <c r="G470" s="2175"/>
    </row>
    <row r="471" spans="7:7" x14ac:dyDescent="0.2">
      <c r="G471" s="2175"/>
    </row>
    <row r="472" spans="7:7" x14ac:dyDescent="0.2">
      <c r="G472" s="2175"/>
    </row>
    <row r="473" spans="7:7" x14ac:dyDescent="0.2">
      <c r="G473" s="2175"/>
    </row>
    <row r="474" spans="7:7" x14ac:dyDescent="0.2">
      <c r="G474" s="2175"/>
    </row>
    <row r="475" spans="7:7" x14ac:dyDescent="0.2">
      <c r="G475" s="2175"/>
    </row>
    <row r="476" spans="7:7" x14ac:dyDescent="0.2">
      <c r="G476" s="2175"/>
    </row>
    <row r="477" spans="7:7" x14ac:dyDescent="0.2">
      <c r="G477" s="2175"/>
    </row>
    <row r="478" spans="7:7" x14ac:dyDescent="0.2">
      <c r="G478" s="2175"/>
    </row>
    <row r="479" spans="7:7" x14ac:dyDescent="0.2">
      <c r="G479" s="2175"/>
    </row>
    <row r="480" spans="7:7" x14ac:dyDescent="0.2">
      <c r="G480" s="2175"/>
    </row>
    <row r="481" spans="7:7" x14ac:dyDescent="0.2">
      <c r="G481" s="2175"/>
    </row>
    <row r="482" spans="7:7" x14ac:dyDescent="0.2">
      <c r="G482" s="2175"/>
    </row>
    <row r="483" spans="7:7" x14ac:dyDescent="0.2">
      <c r="G483" s="2175"/>
    </row>
    <row r="484" spans="7:7" x14ac:dyDescent="0.2">
      <c r="G484" s="2175"/>
    </row>
    <row r="485" spans="7:7" x14ac:dyDescent="0.2">
      <c r="G485" s="2175"/>
    </row>
    <row r="486" spans="7:7" x14ac:dyDescent="0.2">
      <c r="G486" s="2175"/>
    </row>
    <row r="487" spans="7:7" x14ac:dyDescent="0.2">
      <c r="G487" s="2175"/>
    </row>
    <row r="488" spans="7:7" x14ac:dyDescent="0.2">
      <c r="G488" s="2175"/>
    </row>
    <row r="489" spans="7:7" x14ac:dyDescent="0.2">
      <c r="G489" s="2175"/>
    </row>
    <row r="490" spans="7:7" x14ac:dyDescent="0.2">
      <c r="G490" s="2175"/>
    </row>
    <row r="491" spans="7:7" x14ac:dyDescent="0.2">
      <c r="G491" s="2175"/>
    </row>
    <row r="492" spans="7:7" x14ac:dyDescent="0.2">
      <c r="G492" s="2175"/>
    </row>
    <row r="493" spans="7:7" x14ac:dyDescent="0.2">
      <c r="G493" s="2175"/>
    </row>
    <row r="494" spans="7:7" x14ac:dyDescent="0.2">
      <c r="G494" s="2175"/>
    </row>
    <row r="495" spans="7:7" x14ac:dyDescent="0.2">
      <c r="G495" s="2175"/>
    </row>
    <row r="496" spans="7:7" x14ac:dyDescent="0.2">
      <c r="G496" s="2175"/>
    </row>
    <row r="497" spans="7:7" x14ac:dyDescent="0.2">
      <c r="G497" s="2175"/>
    </row>
    <row r="498" spans="7:7" x14ac:dyDescent="0.2">
      <c r="G498" s="2175"/>
    </row>
    <row r="499" spans="7:7" x14ac:dyDescent="0.2">
      <c r="G499" s="2175"/>
    </row>
    <row r="500" spans="7:7" x14ac:dyDescent="0.2">
      <c r="G500" s="2175"/>
    </row>
    <row r="501" spans="7:7" x14ac:dyDescent="0.2">
      <c r="G501" s="2175"/>
    </row>
    <row r="502" spans="7:7" x14ac:dyDescent="0.2">
      <c r="G502" s="2175"/>
    </row>
    <row r="503" spans="7:7" x14ac:dyDescent="0.2">
      <c r="G503" s="2175"/>
    </row>
    <row r="504" spans="7:7" x14ac:dyDescent="0.2">
      <c r="G504" s="2175"/>
    </row>
    <row r="505" spans="7:7" x14ac:dyDescent="0.2">
      <c r="G505" s="2175"/>
    </row>
    <row r="506" spans="7:7" x14ac:dyDescent="0.2">
      <c r="G506" s="2175"/>
    </row>
    <row r="507" spans="7:7" x14ac:dyDescent="0.2">
      <c r="G507" s="2175"/>
    </row>
    <row r="508" spans="7:7" x14ac:dyDescent="0.2">
      <c r="G508" s="2175"/>
    </row>
    <row r="509" spans="7:7" x14ac:dyDescent="0.2">
      <c r="G509" s="2175"/>
    </row>
    <row r="510" spans="7:7" x14ac:dyDescent="0.2">
      <c r="G510" s="2175"/>
    </row>
    <row r="511" spans="7:7" x14ac:dyDescent="0.2">
      <c r="G511" s="2175"/>
    </row>
    <row r="512" spans="7:7" x14ac:dyDescent="0.2">
      <c r="G512" s="2175"/>
    </row>
    <row r="513" spans="7:7" x14ac:dyDescent="0.2">
      <c r="G513" s="2175"/>
    </row>
    <row r="514" spans="7:7" x14ac:dyDescent="0.2">
      <c r="G514" s="2175"/>
    </row>
    <row r="515" spans="7:7" x14ac:dyDescent="0.2">
      <c r="G515" s="2175"/>
    </row>
    <row r="516" spans="7:7" x14ac:dyDescent="0.2">
      <c r="G516" s="2175"/>
    </row>
    <row r="517" spans="7:7" x14ac:dyDescent="0.2">
      <c r="G517" s="2175"/>
    </row>
    <row r="518" spans="7:7" x14ac:dyDescent="0.2">
      <c r="G518" s="2175"/>
    </row>
    <row r="519" spans="7:7" x14ac:dyDescent="0.2">
      <c r="G519" s="2175"/>
    </row>
    <row r="520" spans="7:7" x14ac:dyDescent="0.2">
      <c r="G520" s="2175"/>
    </row>
    <row r="521" spans="7:7" x14ac:dyDescent="0.2">
      <c r="G521" s="2175"/>
    </row>
    <row r="522" spans="7:7" x14ac:dyDescent="0.2">
      <c r="G522" s="2175"/>
    </row>
    <row r="523" spans="7:7" x14ac:dyDescent="0.2">
      <c r="G523" s="2175"/>
    </row>
    <row r="524" spans="7:7" x14ac:dyDescent="0.2">
      <c r="G524" s="2175"/>
    </row>
    <row r="525" spans="7:7" x14ac:dyDescent="0.2">
      <c r="G525" s="2175"/>
    </row>
    <row r="526" spans="7:7" x14ac:dyDescent="0.2">
      <c r="G526" s="2175"/>
    </row>
    <row r="527" spans="7:7" x14ac:dyDescent="0.2">
      <c r="G527" s="2175"/>
    </row>
    <row r="528" spans="7:7" x14ac:dyDescent="0.2">
      <c r="G528" s="2175"/>
    </row>
    <row r="529" spans="7:7" x14ac:dyDescent="0.2">
      <c r="G529" s="2175"/>
    </row>
    <row r="530" spans="7:7" x14ac:dyDescent="0.2">
      <c r="G530" s="2175"/>
    </row>
    <row r="531" spans="7:7" x14ac:dyDescent="0.2">
      <c r="G531" s="2175"/>
    </row>
    <row r="532" spans="7:7" x14ac:dyDescent="0.2">
      <c r="G532" s="2175"/>
    </row>
    <row r="533" spans="7:7" x14ac:dyDescent="0.2">
      <c r="G533" s="2175"/>
    </row>
    <row r="534" spans="7:7" x14ac:dyDescent="0.2">
      <c r="G534" s="2175"/>
    </row>
    <row r="535" spans="7:7" x14ac:dyDescent="0.2">
      <c r="G535" s="2175"/>
    </row>
    <row r="536" spans="7:7" x14ac:dyDescent="0.2">
      <c r="G536" s="2175"/>
    </row>
    <row r="537" spans="7:7" x14ac:dyDescent="0.2">
      <c r="G537" s="2175"/>
    </row>
    <row r="538" spans="7:7" x14ac:dyDescent="0.2">
      <c r="G538" s="2175"/>
    </row>
    <row r="539" spans="7:7" x14ac:dyDescent="0.2">
      <c r="G539" s="2175"/>
    </row>
    <row r="540" spans="7:7" x14ac:dyDescent="0.2">
      <c r="G540" s="2175"/>
    </row>
    <row r="541" spans="7:7" x14ac:dyDescent="0.2">
      <c r="G541" s="2175"/>
    </row>
    <row r="542" spans="7:7" x14ac:dyDescent="0.2">
      <c r="G542" s="2175"/>
    </row>
    <row r="543" spans="7:7" x14ac:dyDescent="0.2">
      <c r="G543" s="2175"/>
    </row>
    <row r="544" spans="7:7" x14ac:dyDescent="0.2">
      <c r="G544" s="2175"/>
    </row>
    <row r="545" spans="7:7" x14ac:dyDescent="0.2">
      <c r="G545" s="2175"/>
    </row>
    <row r="546" spans="7:7" x14ac:dyDescent="0.2">
      <c r="G546" s="2175"/>
    </row>
    <row r="547" spans="7:7" x14ac:dyDescent="0.2">
      <c r="G547" s="2175"/>
    </row>
    <row r="548" spans="7:7" x14ac:dyDescent="0.2">
      <c r="G548" s="2175"/>
    </row>
    <row r="549" spans="7:7" x14ac:dyDescent="0.2">
      <c r="G549" s="2175"/>
    </row>
    <row r="550" spans="7:7" x14ac:dyDescent="0.2">
      <c r="G550" s="2175"/>
    </row>
    <row r="551" spans="7:7" x14ac:dyDescent="0.2">
      <c r="G551" s="2175"/>
    </row>
    <row r="552" spans="7:7" x14ac:dyDescent="0.2">
      <c r="G552" s="2175"/>
    </row>
    <row r="553" spans="7:7" x14ac:dyDescent="0.2">
      <c r="G553" s="2175"/>
    </row>
    <row r="554" spans="7:7" x14ac:dyDescent="0.2">
      <c r="G554" s="2175"/>
    </row>
    <row r="555" spans="7:7" x14ac:dyDescent="0.2">
      <c r="G555" s="2175"/>
    </row>
    <row r="556" spans="7:7" x14ac:dyDescent="0.2">
      <c r="G556" s="2175"/>
    </row>
    <row r="557" spans="7:7" x14ac:dyDescent="0.2">
      <c r="G557" s="2175"/>
    </row>
    <row r="558" spans="7:7" x14ac:dyDescent="0.2">
      <c r="G558" s="2175"/>
    </row>
    <row r="1109" spans="6:6" x14ac:dyDescent="0.2">
      <c r="F1109" s="20" t="s">
        <v>7245</v>
      </c>
    </row>
  </sheetData>
  <mergeCells count="1">
    <mergeCell ref="A1:C1"/>
  </mergeCells>
  <phoneticPr fontId="9" type="noConversion"/>
  <pageMargins left="0" right="0" top="0.39370078740157483" bottom="0.39370078740157483" header="0" footer="0"/>
  <pageSetup paperSize="8" scale="20" orientation="landscape" r:id="rId1"/>
  <headerFooter alignWithMargins="0">
    <oddFooter>Page &amp;P</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sheetPr>
  <dimension ref="A1:U1048561"/>
  <sheetViews>
    <sheetView showGridLines="0" topLeftCell="A525" workbookViewId="0">
      <selection activeCell="G547" sqref="G547"/>
    </sheetView>
  </sheetViews>
  <sheetFormatPr defaultColWidth="9.140625" defaultRowHeight="12.75" x14ac:dyDescent="0.2"/>
  <cols>
    <col min="1" max="2" width="10.28515625" style="46" customWidth="1"/>
    <col min="3" max="3" width="11.28515625" style="144" customWidth="1"/>
    <col min="4" max="5" width="10.140625" style="144" bestFit="1" customWidth="1"/>
    <col min="6" max="6" width="15.28515625" style="46" customWidth="1"/>
    <col min="7" max="7" width="39.5703125" style="46" customWidth="1"/>
    <col min="8" max="8" width="10.140625" style="46" bestFit="1" customWidth="1"/>
    <col min="9" max="9" width="5.5703125" style="31" bestFit="1" customWidth="1"/>
    <col min="10" max="10" width="11.28515625" style="46" bestFit="1" customWidth="1"/>
    <col min="11" max="19" width="10.140625" style="46" bestFit="1" customWidth="1"/>
    <col min="20" max="20" width="10.85546875" style="46" customWidth="1"/>
    <col min="21" max="16384" width="9.140625" style="46"/>
  </cols>
  <sheetData>
    <row r="1" spans="1:21" s="34" customFormat="1" ht="19.5" thickTop="1" thickBot="1" x14ac:dyDescent="0.3">
      <c r="A1" s="2623" t="s">
        <v>3067</v>
      </c>
      <c r="B1" s="2624"/>
      <c r="C1" s="2624"/>
      <c r="D1" s="2624"/>
      <c r="E1" s="2624"/>
      <c r="F1" s="2624"/>
      <c r="G1" s="2624"/>
      <c r="H1" s="2624"/>
      <c r="I1" s="2624"/>
      <c r="J1" s="2624"/>
      <c r="K1" s="2624"/>
      <c r="L1" s="2624"/>
      <c r="M1" s="2624"/>
      <c r="N1" s="2624"/>
      <c r="O1" s="2624"/>
      <c r="P1" s="2624"/>
      <c r="Q1" s="2624"/>
      <c r="R1" s="2624"/>
      <c r="S1" s="2625"/>
    </row>
    <row r="2" spans="1:21" s="39" customFormat="1" x14ac:dyDescent="0.2">
      <c r="A2" s="2598" t="s">
        <v>1824</v>
      </c>
      <c r="B2" s="2599"/>
      <c r="C2" s="2599"/>
      <c r="D2" s="2599"/>
      <c r="E2" s="2600"/>
      <c r="F2" s="2246" t="s">
        <v>2213</v>
      </c>
      <c r="G2" s="188"/>
      <c r="H2" s="2577" t="s">
        <v>2215</v>
      </c>
      <c r="I2" s="2577"/>
      <c r="J2" s="2577"/>
      <c r="K2" s="2577"/>
      <c r="L2" s="2577"/>
      <c r="M2" s="2577"/>
      <c r="N2" s="2577"/>
      <c r="O2" s="2577"/>
      <c r="P2" s="2577"/>
      <c r="Q2" s="2577"/>
      <c r="R2" s="2577"/>
      <c r="S2" s="2578"/>
      <c r="U2" s="34"/>
    </row>
    <row r="3" spans="1:21" s="34" customFormat="1" ht="13.5" thickBot="1" x14ac:dyDescent="0.25">
      <c r="A3" s="431" t="str">
        <f>SP!A3</f>
        <v>2012/13</v>
      </c>
      <c r="B3" s="40" t="str">
        <f>DEH!B3</f>
        <v>2013/14</v>
      </c>
      <c r="C3" s="40" t="str">
        <f>DEH!C3</f>
        <v>2014/15</v>
      </c>
      <c r="D3" s="40" t="str">
        <f>DEH!D3</f>
        <v>2015/16</v>
      </c>
      <c r="E3" s="40" t="str">
        <f>DEH!E3</f>
        <v>2016/17</v>
      </c>
      <c r="F3" s="178"/>
      <c r="G3" s="41"/>
      <c r="H3" s="40" t="str">
        <f>DEH!H3</f>
        <v>2017/18</v>
      </c>
      <c r="I3" s="2057" t="s">
        <v>492</v>
      </c>
      <c r="J3" s="40" t="str">
        <f>DEH!J3</f>
        <v>2018/19</v>
      </c>
      <c r="K3" s="40" t="str">
        <f>DEH!K3</f>
        <v>2019/20</v>
      </c>
      <c r="L3" s="40" t="str">
        <f>DEH!L3</f>
        <v>2020/21</v>
      </c>
      <c r="M3" s="40" t="str">
        <f>DEH!M3</f>
        <v>2021/22</v>
      </c>
      <c r="N3" s="40" t="str">
        <f>DEH!N3</f>
        <v>2022/23</v>
      </c>
      <c r="O3" s="40" t="str">
        <f>DEH!O3</f>
        <v>2023/24</v>
      </c>
      <c r="P3" s="40" t="str">
        <f>DEH!P3</f>
        <v>2024/25</v>
      </c>
      <c r="Q3" s="40" t="str">
        <f>DEH!Q3</f>
        <v>2025/26</v>
      </c>
      <c r="R3" s="40" t="str">
        <f>DEH!R3</f>
        <v>2026/27</v>
      </c>
      <c r="S3" s="1620" t="str">
        <f>DEH!S3</f>
        <v>2027/28</v>
      </c>
    </row>
    <row r="4" spans="1:21" s="34" customFormat="1" x14ac:dyDescent="0.2">
      <c r="A4" s="1432"/>
      <c r="B4" s="9"/>
      <c r="C4" s="134"/>
      <c r="D4" s="134"/>
      <c r="E4" s="134"/>
      <c r="F4" s="27"/>
      <c r="G4" s="27"/>
      <c r="H4" s="9"/>
      <c r="I4" s="79"/>
      <c r="J4" s="9"/>
      <c r="K4" s="9"/>
      <c r="L4" s="9"/>
      <c r="M4" s="9"/>
      <c r="N4" s="9"/>
      <c r="O4" s="9"/>
      <c r="P4" s="9"/>
      <c r="Q4" s="9"/>
      <c r="R4" s="9"/>
      <c r="S4" s="61"/>
    </row>
    <row r="5" spans="1:21" s="34" customFormat="1" x14ac:dyDescent="0.2">
      <c r="A5" s="54"/>
      <c r="B5" s="9"/>
      <c r="C5" s="134"/>
      <c r="D5" s="134"/>
      <c r="E5" s="134"/>
      <c r="F5" s="91" t="s">
        <v>1056</v>
      </c>
      <c r="G5" s="27"/>
      <c r="H5" s="9"/>
      <c r="I5" s="584"/>
      <c r="J5" s="9"/>
      <c r="K5" s="9"/>
      <c r="L5" s="9"/>
      <c r="M5" s="9"/>
      <c r="N5" s="9"/>
      <c r="O5" s="9"/>
      <c r="P5" s="9"/>
      <c r="Q5" s="9"/>
      <c r="R5" s="9"/>
      <c r="S5" s="61"/>
    </row>
    <row r="6" spans="1:21" s="34" customFormat="1" x14ac:dyDescent="0.2">
      <c r="A6" s="54"/>
      <c r="B6" s="9"/>
      <c r="C6" s="134"/>
      <c r="D6" s="134"/>
      <c r="E6" s="134"/>
      <c r="F6" s="27"/>
      <c r="G6" s="27"/>
      <c r="H6" s="9"/>
      <c r="I6" s="584"/>
      <c r="J6" s="9"/>
      <c r="K6" s="9"/>
      <c r="L6" s="9"/>
      <c r="M6" s="9"/>
      <c r="N6" s="9"/>
      <c r="O6" s="9"/>
      <c r="P6" s="9"/>
      <c r="Q6" s="9"/>
      <c r="R6" s="9"/>
      <c r="S6" s="61"/>
    </row>
    <row r="7" spans="1:21" s="34" customFormat="1" x14ac:dyDescent="0.2">
      <c r="A7" s="54">
        <f t="shared" ref="A7:E8" si="0">A576</f>
        <v>9633500</v>
      </c>
      <c r="B7" s="9">
        <f t="shared" si="0"/>
        <v>10689100</v>
      </c>
      <c r="C7" s="134">
        <f t="shared" si="0"/>
        <v>10892500</v>
      </c>
      <c r="D7" s="134">
        <f t="shared" si="0"/>
        <v>11199100</v>
      </c>
      <c r="E7" s="134">
        <f t="shared" si="0"/>
        <v>12409800</v>
      </c>
      <c r="F7" s="31" t="s">
        <v>2473</v>
      </c>
      <c r="G7" s="46"/>
      <c r="H7" s="9">
        <f t="shared" ref="H7:M7" si="1">H576</f>
        <v>11778400</v>
      </c>
      <c r="I7" s="584">
        <f>IF(E7=H7,0,IF(E7=0,100,(H7-E7)/E7*100))</f>
        <v>-5.0879143902399715</v>
      </c>
      <c r="J7" s="9">
        <f t="shared" si="1"/>
        <v>12143700</v>
      </c>
      <c r="K7" s="9">
        <f t="shared" si="1"/>
        <v>12332100</v>
      </c>
      <c r="L7" s="9">
        <f t="shared" si="1"/>
        <v>12608400</v>
      </c>
      <c r="M7" s="9">
        <f t="shared" si="1"/>
        <v>12999400</v>
      </c>
      <c r="N7" s="9">
        <f t="shared" ref="N7:P8" si="2">N576</f>
        <v>13275300</v>
      </c>
      <c r="O7" s="9">
        <f t="shared" si="2"/>
        <v>13601000</v>
      </c>
      <c r="P7" s="9">
        <f t="shared" si="2"/>
        <v>13940900</v>
      </c>
      <c r="Q7" s="9">
        <f t="shared" ref="Q7" si="3">Q576</f>
        <v>14301200</v>
      </c>
      <c r="R7" s="9">
        <f t="shared" ref="R7" si="4">R576</f>
        <v>14763100</v>
      </c>
      <c r="S7" s="47">
        <f t="shared" ref="S7" si="5">S576</f>
        <v>15245100</v>
      </c>
    </row>
    <row r="8" spans="1:21" s="34" customFormat="1" x14ac:dyDescent="0.2">
      <c r="A8" s="54">
        <f t="shared" si="0"/>
        <v>13786600</v>
      </c>
      <c r="B8" s="9">
        <f t="shared" si="0"/>
        <v>14462800</v>
      </c>
      <c r="C8" s="134">
        <f t="shared" si="0"/>
        <v>15355900</v>
      </c>
      <c r="D8" s="134">
        <f t="shared" si="0"/>
        <v>16349100</v>
      </c>
      <c r="E8" s="134">
        <f t="shared" si="0"/>
        <v>17887500</v>
      </c>
      <c r="F8" s="31" t="s">
        <v>3038</v>
      </c>
      <c r="G8" s="46"/>
      <c r="H8" s="9">
        <f t="shared" ref="H8:M8" si="6">H577</f>
        <v>18218400</v>
      </c>
      <c r="I8" s="584">
        <f>IF(E8=H8,0,IF(E8=0,100,(H8-E8)/E8*100))</f>
        <v>1.8498951781970652</v>
      </c>
      <c r="J8" s="9">
        <f>J577</f>
        <v>18670200</v>
      </c>
      <c r="K8" s="9">
        <f t="shared" si="6"/>
        <v>19117700</v>
      </c>
      <c r="L8" s="9">
        <f t="shared" si="6"/>
        <v>19601300</v>
      </c>
      <c r="M8" s="9">
        <f t="shared" si="6"/>
        <v>20141000</v>
      </c>
      <c r="N8" s="9">
        <f t="shared" si="2"/>
        <v>20644300</v>
      </c>
      <c r="O8" s="9">
        <f t="shared" si="2"/>
        <v>21144000</v>
      </c>
      <c r="P8" s="9">
        <f t="shared" si="2"/>
        <v>21719800</v>
      </c>
      <c r="Q8" s="9">
        <f t="shared" ref="Q8" si="7">Q577</f>
        <v>22283100</v>
      </c>
      <c r="R8" s="9">
        <f t="shared" ref="R8" si="8">R577</f>
        <v>22955100</v>
      </c>
      <c r="S8" s="47">
        <f t="shared" ref="S8" si="9">S577</f>
        <v>23651300</v>
      </c>
    </row>
    <row r="9" spans="1:21" s="34" customFormat="1" ht="13.5" thickBot="1" x14ac:dyDescent="0.25">
      <c r="A9" s="54"/>
      <c r="B9" s="9"/>
      <c r="C9" s="136"/>
      <c r="D9" s="136"/>
      <c r="E9" s="134"/>
      <c r="F9" s="46"/>
      <c r="G9" s="46"/>
      <c r="H9" s="9"/>
      <c r="I9" s="584"/>
      <c r="J9" s="9"/>
      <c r="K9" s="9"/>
      <c r="L9" s="9"/>
      <c r="M9" s="9"/>
      <c r="N9" s="9"/>
      <c r="O9" s="9"/>
      <c r="P9" s="9"/>
      <c r="Q9" s="9"/>
      <c r="R9" s="9"/>
      <c r="S9" s="47"/>
    </row>
    <row r="10" spans="1:21" s="39" customFormat="1" x14ac:dyDescent="0.2">
      <c r="A10" s="52">
        <f>SUM(A7:A9)</f>
        <v>23420100</v>
      </c>
      <c r="B10" s="16">
        <f>SUM(B7:B9)</f>
        <v>25151900</v>
      </c>
      <c r="C10" s="137">
        <f>SUM(C7:C9)</f>
        <v>26248400</v>
      </c>
      <c r="D10" s="137">
        <f>SUM(D7:D9)</f>
        <v>27548200</v>
      </c>
      <c r="E10" s="145">
        <f t="shared" ref="E10" si="10">SUM(E7:E9)</f>
        <v>30297300</v>
      </c>
      <c r="F10" s="59" t="s">
        <v>2561</v>
      </c>
      <c r="G10" s="27"/>
      <c r="H10" s="16">
        <f t="shared" ref="H10:M10" si="11">SUM(H7:H9)</f>
        <v>29996800</v>
      </c>
      <c r="I10" s="391">
        <f>IF(E10=H10,0,IF(E10=0,100,(H10-E10)/E10*100))</f>
        <v>-0.99183755648193073</v>
      </c>
      <c r="J10" s="16">
        <f t="shared" si="11"/>
        <v>30813900</v>
      </c>
      <c r="K10" s="16">
        <f t="shared" si="11"/>
        <v>31449800</v>
      </c>
      <c r="L10" s="16">
        <f t="shared" si="11"/>
        <v>32209700</v>
      </c>
      <c r="M10" s="16">
        <f t="shared" si="11"/>
        <v>33140400</v>
      </c>
      <c r="N10" s="16">
        <f t="shared" ref="N10:R10" si="12">SUM(N7:N9)</f>
        <v>33919600</v>
      </c>
      <c r="O10" s="16">
        <f t="shared" si="12"/>
        <v>34745000</v>
      </c>
      <c r="P10" s="16">
        <f t="shared" si="12"/>
        <v>35660700</v>
      </c>
      <c r="Q10" s="16">
        <f t="shared" si="12"/>
        <v>36584300</v>
      </c>
      <c r="R10" s="16">
        <f t="shared" si="12"/>
        <v>37718200</v>
      </c>
      <c r="S10" s="2342">
        <f t="shared" ref="S10" si="13">SUM(S7:S9)</f>
        <v>38896400</v>
      </c>
      <c r="U10" s="34"/>
    </row>
    <row r="11" spans="1:21" s="34" customFormat="1" x14ac:dyDescent="0.2">
      <c r="A11" s="54"/>
      <c r="B11" s="9"/>
      <c r="C11" s="136"/>
      <c r="D11" s="136"/>
      <c r="E11" s="134"/>
      <c r="F11" s="46"/>
      <c r="G11" s="46"/>
      <c r="H11" s="9"/>
      <c r="I11" s="584"/>
      <c r="J11" s="9"/>
      <c r="K11" s="9"/>
      <c r="L11" s="9"/>
      <c r="M11" s="9"/>
      <c r="N11" s="9"/>
      <c r="O11" s="9"/>
      <c r="P11" s="9"/>
      <c r="Q11" s="9"/>
      <c r="R11" s="9"/>
      <c r="S11" s="47"/>
    </row>
    <row r="12" spans="1:21" s="34" customFormat="1" x14ac:dyDescent="0.2">
      <c r="A12" s="54"/>
      <c r="B12" s="9"/>
      <c r="C12" s="136"/>
      <c r="D12" s="136"/>
      <c r="E12" s="134"/>
      <c r="F12" s="91" t="s">
        <v>2169</v>
      </c>
      <c r="G12" s="46"/>
      <c r="H12" s="9"/>
      <c r="I12" s="584"/>
      <c r="J12" s="9"/>
      <c r="K12" s="9"/>
      <c r="L12" s="9"/>
      <c r="M12" s="9"/>
      <c r="N12" s="9"/>
      <c r="O12" s="9"/>
      <c r="P12" s="9"/>
      <c r="Q12" s="9"/>
      <c r="R12" s="9"/>
      <c r="S12" s="47"/>
    </row>
    <row r="13" spans="1:21" s="34" customFormat="1" x14ac:dyDescent="0.2">
      <c r="A13" s="54"/>
      <c r="B13" s="9"/>
      <c r="C13" s="134"/>
      <c r="D13" s="134"/>
      <c r="E13" s="134"/>
      <c r="F13" s="27"/>
      <c r="G13" s="27"/>
      <c r="H13" s="9"/>
      <c r="I13" s="584"/>
      <c r="J13" s="9"/>
      <c r="K13" s="9"/>
      <c r="L13" s="9"/>
      <c r="M13" s="9"/>
      <c r="N13" s="9"/>
      <c r="O13" s="9"/>
      <c r="P13" s="9"/>
      <c r="Q13" s="9"/>
      <c r="R13" s="9"/>
      <c r="S13" s="47"/>
    </row>
    <row r="14" spans="1:21" s="34" customFormat="1" x14ac:dyDescent="0.2">
      <c r="A14" s="54">
        <f>A81</f>
        <v>10923600</v>
      </c>
      <c r="B14" s="9">
        <f>B81</f>
        <v>11111600</v>
      </c>
      <c r="C14" s="134">
        <f>C81</f>
        <v>10817000</v>
      </c>
      <c r="D14" s="134">
        <f>D81</f>
        <v>10849900</v>
      </c>
      <c r="E14" s="134">
        <f t="shared" ref="E14" si="14">E81</f>
        <v>11120300</v>
      </c>
      <c r="F14" s="31" t="s">
        <v>2473</v>
      </c>
      <c r="G14" s="46"/>
      <c r="H14" s="9">
        <f t="shared" ref="H14:M14" si="15">H81</f>
        <v>11225400</v>
      </c>
      <c r="I14" s="584">
        <f>IF(E14=H14,0,IF(E14=0,100,(H14-E14)/E14*100))</f>
        <v>0.94511838709387341</v>
      </c>
      <c r="J14" s="9">
        <f t="shared" si="15"/>
        <v>11512000</v>
      </c>
      <c r="K14" s="9">
        <f t="shared" si="15"/>
        <v>11743300</v>
      </c>
      <c r="L14" s="9">
        <f t="shared" si="15"/>
        <v>12020800</v>
      </c>
      <c r="M14" s="9">
        <f t="shared" si="15"/>
        <v>12364600</v>
      </c>
      <c r="N14" s="9">
        <f t="shared" ref="N14:R14" si="16">N81</f>
        <v>12737500</v>
      </c>
      <c r="O14" s="9">
        <f t="shared" si="16"/>
        <v>13034500</v>
      </c>
      <c r="P14" s="9">
        <f t="shared" si="16"/>
        <v>13390800</v>
      </c>
      <c r="Q14" s="9">
        <f t="shared" si="16"/>
        <v>13756900</v>
      </c>
      <c r="R14" s="9">
        <f t="shared" si="16"/>
        <v>14116100</v>
      </c>
      <c r="S14" s="47">
        <f t="shared" ref="S14" si="17">S81</f>
        <v>14443700</v>
      </c>
    </row>
    <row r="15" spans="1:21" s="34" customFormat="1" x14ac:dyDescent="0.2">
      <c r="A15" s="54">
        <f>A145</f>
        <v>17499800</v>
      </c>
      <c r="B15" s="9">
        <f>B145</f>
        <v>17044400</v>
      </c>
      <c r="C15" s="134">
        <f>C145</f>
        <v>28747200</v>
      </c>
      <c r="D15" s="134">
        <f>D145</f>
        <v>17312700</v>
      </c>
      <c r="E15" s="134">
        <f t="shared" ref="E15" si="18">E145</f>
        <v>18133500</v>
      </c>
      <c r="F15" s="31" t="s">
        <v>3038</v>
      </c>
      <c r="G15" s="46"/>
      <c r="H15" s="9">
        <f t="shared" ref="H15:M15" si="19">H145</f>
        <v>17797300</v>
      </c>
      <c r="I15" s="584">
        <f>IF(E15=H15,0,IF(E15=0,100,(H15-E15)/E15*100))</f>
        <v>-1.8540270769570131</v>
      </c>
      <c r="J15" s="9">
        <f t="shared" si="19"/>
        <v>17653400</v>
      </c>
      <c r="K15" s="9">
        <f t="shared" si="19"/>
        <v>17769900</v>
      </c>
      <c r="L15" s="9">
        <f t="shared" si="19"/>
        <v>17878100</v>
      </c>
      <c r="M15" s="9">
        <f t="shared" si="19"/>
        <v>18035400</v>
      </c>
      <c r="N15" s="9">
        <f t="shared" ref="N15:R15" si="20">N145</f>
        <v>18232100</v>
      </c>
      <c r="O15" s="9">
        <f t="shared" si="20"/>
        <v>18348000</v>
      </c>
      <c r="P15" s="9">
        <f t="shared" si="20"/>
        <v>18517300</v>
      </c>
      <c r="Q15" s="9">
        <f t="shared" si="20"/>
        <v>18631100</v>
      </c>
      <c r="R15" s="9">
        <f t="shared" si="20"/>
        <v>18832800</v>
      </c>
      <c r="S15" s="47">
        <f t="shared" ref="S15" si="21">S145</f>
        <v>19052200</v>
      </c>
    </row>
    <row r="16" spans="1:21" s="34" customFormat="1" ht="13.5" thickBot="1" x14ac:dyDescent="0.25">
      <c r="A16" s="54"/>
      <c r="B16" s="9"/>
      <c r="C16" s="136"/>
      <c r="D16" s="136"/>
      <c r="E16" s="134"/>
      <c r="F16" s="55"/>
      <c r="G16" s="46"/>
      <c r="H16" s="9"/>
      <c r="I16" s="584"/>
      <c r="J16" s="9"/>
      <c r="K16" s="9"/>
      <c r="L16" s="9"/>
      <c r="M16" s="9"/>
      <c r="N16" s="9"/>
      <c r="O16" s="9"/>
      <c r="P16" s="9"/>
      <c r="Q16" s="9"/>
      <c r="R16" s="9"/>
      <c r="S16" s="47"/>
    </row>
    <row r="17" spans="1:21" s="39" customFormat="1" x14ac:dyDescent="0.2">
      <c r="A17" s="52">
        <f>SUM(A13:A16)</f>
        <v>28423400</v>
      </c>
      <c r="B17" s="16">
        <f>SUM(B13:B16)</f>
        <v>28156000</v>
      </c>
      <c r="C17" s="137">
        <f>SUM(C13:C16)</f>
        <v>39564200</v>
      </c>
      <c r="D17" s="137">
        <f>SUM(D13:D16)</f>
        <v>28162600</v>
      </c>
      <c r="E17" s="145">
        <f t="shared" ref="E17" si="22">SUM(E13:E16)</f>
        <v>29253800</v>
      </c>
      <c r="F17" s="59" t="s">
        <v>556</v>
      </c>
      <c r="G17" s="27"/>
      <c r="H17" s="16">
        <f t="shared" ref="H17:O17" si="23">SUM(H13:H16)</f>
        <v>29022700</v>
      </c>
      <c r="I17" s="391">
        <f>IF(E17=H17,0,IF(E17=0,100,(H17-E17)/E17*100))</f>
        <v>-0.78998283983619222</v>
      </c>
      <c r="J17" s="16">
        <f t="shared" si="23"/>
        <v>29165400</v>
      </c>
      <c r="K17" s="16">
        <f t="shared" si="23"/>
        <v>29513200</v>
      </c>
      <c r="L17" s="16">
        <f t="shared" si="23"/>
        <v>29898900</v>
      </c>
      <c r="M17" s="16">
        <f t="shared" si="23"/>
        <v>30400000</v>
      </c>
      <c r="N17" s="16">
        <f t="shared" si="23"/>
        <v>30969600</v>
      </c>
      <c r="O17" s="16">
        <f t="shared" si="23"/>
        <v>31382500</v>
      </c>
      <c r="P17" s="16">
        <f t="shared" ref="P17:Q17" si="24">SUM(P13:P16)</f>
        <v>31908100</v>
      </c>
      <c r="Q17" s="16">
        <f t="shared" si="24"/>
        <v>32388000</v>
      </c>
      <c r="R17" s="16">
        <f t="shared" ref="R17" si="25">SUM(R13:R16)</f>
        <v>32948900</v>
      </c>
      <c r="S17" s="2342">
        <f t="shared" ref="S17" si="26">SUM(S13:S16)</f>
        <v>33495900</v>
      </c>
      <c r="U17" s="34"/>
    </row>
    <row r="18" spans="1:21" s="34" customFormat="1" ht="13.5" thickBot="1" x14ac:dyDescent="0.25">
      <c r="A18" s="24"/>
      <c r="B18" s="21"/>
      <c r="C18" s="139"/>
      <c r="D18" s="138"/>
      <c r="E18" s="138"/>
      <c r="F18" s="46"/>
      <c r="G18" s="27"/>
      <c r="H18" s="9"/>
      <c r="I18" s="220"/>
      <c r="J18" s="9"/>
      <c r="K18" s="9"/>
      <c r="L18" s="9"/>
      <c r="M18" s="9"/>
      <c r="N18" s="9"/>
      <c r="O18" s="9"/>
      <c r="P18" s="9"/>
      <c r="Q18" s="9"/>
      <c r="R18" s="9"/>
      <c r="S18" s="47"/>
    </row>
    <row r="19" spans="1:21" s="34" customFormat="1" x14ac:dyDescent="0.2">
      <c r="A19" s="52">
        <f>A10-A17</f>
        <v>-5003300</v>
      </c>
      <c r="B19" s="16">
        <f>B10-B17</f>
        <v>-3004100</v>
      </c>
      <c r="C19" s="137">
        <f>C10-C17</f>
        <v>-13315800</v>
      </c>
      <c r="D19" s="137">
        <f>D10-D17</f>
        <v>-614400</v>
      </c>
      <c r="E19" s="145">
        <f t="shared" ref="E19" si="27">E10-E17</f>
        <v>1043500</v>
      </c>
      <c r="F19" s="1161" t="s">
        <v>1002</v>
      </c>
      <c r="G19" s="46"/>
      <c r="H19" s="16">
        <f t="shared" ref="H19:O19" si="28">H10-H17</f>
        <v>974100</v>
      </c>
      <c r="I19" s="391">
        <f>IF(E19=H19,0,IF(E19=0,100,(H19-E19)/E19*100))</f>
        <v>-6.6506947771921414</v>
      </c>
      <c r="J19" s="16">
        <f t="shared" si="28"/>
        <v>1648500</v>
      </c>
      <c r="K19" s="16">
        <f t="shared" si="28"/>
        <v>1936600</v>
      </c>
      <c r="L19" s="16">
        <f t="shared" si="28"/>
        <v>2310800</v>
      </c>
      <c r="M19" s="16">
        <f t="shared" si="28"/>
        <v>2740400</v>
      </c>
      <c r="N19" s="16">
        <f t="shared" si="28"/>
        <v>2950000</v>
      </c>
      <c r="O19" s="16">
        <f t="shared" si="28"/>
        <v>3362500</v>
      </c>
      <c r="P19" s="16">
        <f t="shared" ref="P19:Q19" si="29">P10-P17</f>
        <v>3752600</v>
      </c>
      <c r="Q19" s="16">
        <f t="shared" si="29"/>
        <v>4196300</v>
      </c>
      <c r="R19" s="16">
        <f t="shared" ref="R19" si="30">R10-R17</f>
        <v>4769300</v>
      </c>
      <c r="S19" s="2342">
        <f t="shared" ref="S19" si="31">S10-S17</f>
        <v>5400500</v>
      </c>
    </row>
    <row r="20" spans="1:21" s="34" customFormat="1" x14ac:dyDescent="0.2">
      <c r="A20" s="54">
        <f t="shared" ref="A20:D21" si="32">A78+A141</f>
        <v>4723900</v>
      </c>
      <c r="B20" s="9">
        <f t="shared" si="32"/>
        <v>4502600</v>
      </c>
      <c r="C20" s="136">
        <f t="shared" si="32"/>
        <v>3793000</v>
      </c>
      <c r="D20" s="136">
        <f t="shared" si="32"/>
        <v>5030800</v>
      </c>
      <c r="E20" s="134">
        <f>E78+E141</f>
        <v>4972900</v>
      </c>
      <c r="F20" s="217" t="s">
        <v>1943</v>
      </c>
      <c r="G20" s="46"/>
      <c r="H20" s="9">
        <f t="shared" ref="H20:Q20" si="33">H78+H141</f>
        <v>5155000</v>
      </c>
      <c r="I20" s="584">
        <f>IF(E20=H20,0,IF(E20=0,100,(H20-E20)/E20*100))</f>
        <v>3.6618472118884351</v>
      </c>
      <c r="J20" s="9">
        <f t="shared" si="33"/>
        <v>5258600</v>
      </c>
      <c r="K20" s="9">
        <f t="shared" si="33"/>
        <v>5363800</v>
      </c>
      <c r="L20" s="9">
        <f t="shared" si="33"/>
        <v>5471600</v>
      </c>
      <c r="M20" s="9">
        <f t="shared" si="33"/>
        <v>5580900</v>
      </c>
      <c r="N20" s="9">
        <f t="shared" si="33"/>
        <v>5692800</v>
      </c>
      <c r="O20" s="9">
        <f t="shared" si="33"/>
        <v>5806300</v>
      </c>
      <c r="P20" s="9">
        <f t="shared" si="33"/>
        <v>5922400</v>
      </c>
      <c r="Q20" s="9">
        <f t="shared" si="33"/>
        <v>6041200</v>
      </c>
      <c r="R20" s="9">
        <f t="shared" ref="R20" si="34">R78+R141</f>
        <v>6161600</v>
      </c>
      <c r="S20" s="47">
        <f t="shared" ref="S20" si="35">S78+S141</f>
        <v>6284600</v>
      </c>
    </row>
    <row r="21" spans="1:21" s="34" customFormat="1" x14ac:dyDescent="0.2">
      <c r="A21" s="54">
        <f t="shared" si="32"/>
        <v>1757800</v>
      </c>
      <c r="B21" s="9">
        <f t="shared" si="32"/>
        <v>131300</v>
      </c>
      <c r="C21" s="136">
        <f t="shared" si="32"/>
        <v>12237400</v>
      </c>
      <c r="D21" s="136">
        <f t="shared" si="32"/>
        <v>74800</v>
      </c>
      <c r="E21" s="134">
        <f>E79+E142</f>
        <v>416400</v>
      </c>
      <c r="F21" s="217" t="s">
        <v>4428</v>
      </c>
      <c r="G21" s="46"/>
      <c r="H21" s="9">
        <f t="shared" ref="H21:Q21" si="36">H79+H142</f>
        <v>0</v>
      </c>
      <c r="I21" s="584">
        <f>IF(E21=H21,0,IF(E21=0,100,(H21-E21)/E21*100))</f>
        <v>-100</v>
      </c>
      <c r="J21" s="9">
        <f t="shared" si="36"/>
        <v>0</v>
      </c>
      <c r="K21" s="9">
        <f t="shared" si="36"/>
        <v>0</v>
      </c>
      <c r="L21" s="9">
        <f t="shared" si="36"/>
        <v>0</v>
      </c>
      <c r="M21" s="9">
        <f t="shared" si="36"/>
        <v>0</v>
      </c>
      <c r="N21" s="9">
        <f t="shared" si="36"/>
        <v>0</v>
      </c>
      <c r="O21" s="9">
        <f t="shared" si="36"/>
        <v>0</v>
      </c>
      <c r="P21" s="9">
        <f t="shared" si="36"/>
        <v>0</v>
      </c>
      <c r="Q21" s="9">
        <f t="shared" si="36"/>
        <v>0</v>
      </c>
      <c r="R21" s="9">
        <f t="shared" ref="R21" si="37">R79+R142</f>
        <v>0</v>
      </c>
      <c r="S21" s="47">
        <f t="shared" ref="S21" si="38">S79+S142</f>
        <v>0</v>
      </c>
    </row>
    <row r="22" spans="1:21" s="34" customFormat="1" x14ac:dyDescent="0.2">
      <c r="A22" s="427">
        <f t="shared" ref="A22:B22" si="39">A143</f>
        <v>435600</v>
      </c>
      <c r="B22" s="97">
        <f t="shared" si="39"/>
        <v>394000</v>
      </c>
      <c r="C22" s="99">
        <f>C143</f>
        <v>349200</v>
      </c>
      <c r="D22" s="99">
        <f>D143</f>
        <v>301100</v>
      </c>
      <c r="E22" s="29">
        <f t="shared" ref="E22" si="40">E143</f>
        <v>249300</v>
      </c>
      <c r="F22" s="217" t="s">
        <v>4153</v>
      </c>
      <c r="G22" s="46"/>
      <c r="H22" s="9">
        <f t="shared" ref="H22:O22" si="41">H143</f>
        <v>194000</v>
      </c>
      <c r="I22" s="584">
        <f>IF(E22=H22,0,IF(E22=0,100,(H22-E22)/E22*100))</f>
        <v>-22.182109907741676</v>
      </c>
      <c r="J22" s="9">
        <f t="shared" si="41"/>
        <v>134000</v>
      </c>
      <c r="K22" s="9">
        <f t="shared" si="41"/>
        <v>69000</v>
      </c>
      <c r="L22" s="9">
        <f t="shared" si="41"/>
        <v>0</v>
      </c>
      <c r="M22" s="9">
        <f t="shared" si="41"/>
        <v>0</v>
      </c>
      <c r="N22" s="9">
        <f t="shared" si="41"/>
        <v>0</v>
      </c>
      <c r="O22" s="9">
        <f t="shared" si="41"/>
        <v>0</v>
      </c>
      <c r="P22" s="9">
        <f t="shared" ref="P22:Q22" si="42">P143</f>
        <v>0</v>
      </c>
      <c r="Q22" s="9">
        <f t="shared" si="42"/>
        <v>0</v>
      </c>
      <c r="R22" s="9">
        <f t="shared" ref="R22" si="43">R143</f>
        <v>0</v>
      </c>
      <c r="S22" s="47">
        <f t="shared" ref="S22" si="44">S143</f>
        <v>0</v>
      </c>
    </row>
    <row r="23" spans="1:21" s="39" customFormat="1" x14ac:dyDescent="0.2">
      <c r="A23" s="128">
        <f t="shared" ref="A23:B23" si="45">SUM(A19:A22)</f>
        <v>1914000</v>
      </c>
      <c r="B23" s="280">
        <f t="shared" si="45"/>
        <v>2023800</v>
      </c>
      <c r="C23" s="281">
        <f>SUM(C19:C22)</f>
        <v>3063800</v>
      </c>
      <c r="D23" s="281">
        <f>SUM(D19:D22)</f>
        <v>4792300</v>
      </c>
      <c r="E23" s="529">
        <f t="shared" ref="E23" si="46">SUM(E19:E22)</f>
        <v>6682100</v>
      </c>
      <c r="F23" s="360" t="s">
        <v>1659</v>
      </c>
      <c r="G23" s="511"/>
      <c r="H23" s="280">
        <f t="shared" ref="H23:O23" si="47">SUM(H19:H22)</f>
        <v>6323100</v>
      </c>
      <c r="I23" s="864">
        <f>IF(E23=H23,0,IF(E23=0,100,(H23-E23)/E23*100))</f>
        <v>-5.3725625177713594</v>
      </c>
      <c r="J23" s="280">
        <f t="shared" si="47"/>
        <v>7041100</v>
      </c>
      <c r="K23" s="280">
        <f t="shared" si="47"/>
        <v>7369400</v>
      </c>
      <c r="L23" s="280">
        <f t="shared" si="47"/>
        <v>7782400</v>
      </c>
      <c r="M23" s="280">
        <f t="shared" si="47"/>
        <v>8321300</v>
      </c>
      <c r="N23" s="280">
        <f t="shared" si="47"/>
        <v>8642800</v>
      </c>
      <c r="O23" s="280">
        <f t="shared" si="47"/>
        <v>9168800</v>
      </c>
      <c r="P23" s="280">
        <f t="shared" ref="P23:Q23" si="48">SUM(P19:P22)</f>
        <v>9675000</v>
      </c>
      <c r="Q23" s="280">
        <f t="shared" si="48"/>
        <v>10237500</v>
      </c>
      <c r="R23" s="280">
        <f t="shared" ref="R23" si="49">SUM(R19:R22)</f>
        <v>10930900</v>
      </c>
      <c r="S23" s="2343">
        <f t="shared" ref="S23" si="50">SUM(S19:S22)</f>
        <v>11685100</v>
      </c>
      <c r="U23" s="34"/>
    </row>
    <row r="24" spans="1:21" s="34" customFormat="1" ht="13.5" thickBot="1" x14ac:dyDescent="0.25">
      <c r="A24" s="26"/>
      <c r="B24" s="37"/>
      <c r="C24" s="146"/>
      <c r="D24" s="146"/>
      <c r="E24" s="146"/>
      <c r="F24" s="88"/>
      <c r="G24" s="67"/>
      <c r="H24" s="68"/>
      <c r="I24" s="851"/>
      <c r="J24" s="68"/>
      <c r="K24" s="68"/>
      <c r="L24" s="68"/>
      <c r="M24" s="68"/>
      <c r="N24" s="68"/>
      <c r="O24" s="68"/>
      <c r="P24" s="68"/>
      <c r="Q24" s="68"/>
      <c r="R24" s="68"/>
      <c r="S24" s="2344"/>
    </row>
    <row r="25" spans="1:21" s="34" customFormat="1" ht="13.5" thickTop="1" x14ac:dyDescent="0.2">
      <c r="A25" s="270"/>
      <c r="B25" s="109"/>
      <c r="C25" s="140"/>
      <c r="D25" s="140"/>
      <c r="E25" s="531"/>
      <c r="F25" s="72"/>
      <c r="G25" s="72"/>
      <c r="H25" s="74"/>
      <c r="I25" s="894"/>
      <c r="J25" s="74"/>
      <c r="K25" s="74"/>
      <c r="L25" s="74"/>
      <c r="M25" s="74"/>
      <c r="N25" s="74"/>
      <c r="O25" s="74"/>
      <c r="P25" s="74"/>
      <c r="Q25" s="74"/>
      <c r="R25" s="74"/>
      <c r="S25" s="2345"/>
    </row>
    <row r="26" spans="1:21" s="34" customFormat="1" x14ac:dyDescent="0.2">
      <c r="A26" s="45"/>
      <c r="B26" s="21"/>
      <c r="C26" s="139"/>
      <c r="D26" s="139"/>
      <c r="E26" s="138"/>
      <c r="F26" s="1160" t="s">
        <v>192</v>
      </c>
      <c r="G26" s="27"/>
      <c r="H26" s="9"/>
      <c r="I26" s="107"/>
      <c r="J26" s="9"/>
      <c r="K26" s="9"/>
      <c r="L26" s="9"/>
      <c r="M26" s="9"/>
      <c r="N26" s="9"/>
      <c r="O26" s="9"/>
      <c r="P26" s="9"/>
      <c r="Q26" s="9"/>
      <c r="R26" s="9"/>
      <c r="S26" s="47"/>
    </row>
    <row r="27" spans="1:21" s="34" customFormat="1" x14ac:dyDescent="0.2">
      <c r="A27" s="45"/>
      <c r="B27" s="21"/>
      <c r="C27" s="139"/>
      <c r="D27" s="139"/>
      <c r="E27" s="138"/>
      <c r="F27" s="122"/>
      <c r="G27" s="27"/>
      <c r="H27" s="9"/>
      <c r="I27" s="107"/>
      <c r="J27" s="9"/>
      <c r="K27" s="9"/>
      <c r="L27" s="9"/>
      <c r="M27" s="9"/>
      <c r="N27" s="9"/>
      <c r="O27" s="9"/>
      <c r="P27" s="9"/>
      <c r="Q27" s="9"/>
      <c r="R27" s="9"/>
      <c r="S27" s="47"/>
    </row>
    <row r="28" spans="1:21" s="34" customFormat="1" x14ac:dyDescent="0.2">
      <c r="A28" s="54">
        <f t="shared" ref="A28:D32" si="51">A91+A155</f>
        <v>988800</v>
      </c>
      <c r="B28" s="9">
        <f t="shared" si="51"/>
        <v>2384800</v>
      </c>
      <c r="C28" s="136">
        <f t="shared" si="51"/>
        <v>2187900</v>
      </c>
      <c r="D28" s="136">
        <f t="shared" si="51"/>
        <v>2793300</v>
      </c>
      <c r="E28" s="134">
        <f>E91+E155</f>
        <v>2957900</v>
      </c>
      <c r="F28" s="144" t="s">
        <v>2848</v>
      </c>
      <c r="G28" s="1173"/>
      <c r="H28" s="9">
        <f t="shared" ref="H28:Q28" si="52">H91+H155</f>
        <v>3095600</v>
      </c>
      <c r="I28" s="77"/>
      <c r="J28" s="9">
        <f t="shared" si="52"/>
        <v>3134000</v>
      </c>
      <c r="K28" s="9">
        <f t="shared" si="52"/>
        <v>3280300</v>
      </c>
      <c r="L28" s="9">
        <f t="shared" si="52"/>
        <v>2453500</v>
      </c>
      <c r="M28" s="9">
        <f t="shared" si="52"/>
        <v>2654100</v>
      </c>
      <c r="N28" s="9">
        <f t="shared" si="52"/>
        <v>2844100</v>
      </c>
      <c r="O28" s="9">
        <f t="shared" si="52"/>
        <v>3037000</v>
      </c>
      <c r="P28" s="9">
        <f t="shared" si="52"/>
        <v>3235000</v>
      </c>
      <c r="Q28" s="9">
        <f t="shared" si="52"/>
        <v>3430000</v>
      </c>
      <c r="R28" s="9">
        <f t="shared" ref="R28" si="53">R91+R155</f>
        <v>3627000</v>
      </c>
      <c r="S28" s="47">
        <f t="shared" ref="S28" si="54">S91+S155</f>
        <v>3825000</v>
      </c>
    </row>
    <row r="29" spans="1:21" s="34" customFormat="1" x14ac:dyDescent="0.2">
      <c r="A29" s="54">
        <f t="shared" si="51"/>
        <v>603300</v>
      </c>
      <c r="B29" s="9">
        <f t="shared" si="51"/>
        <v>485900</v>
      </c>
      <c r="C29" s="136">
        <f t="shared" si="51"/>
        <v>782500</v>
      </c>
      <c r="D29" s="136">
        <f t="shared" si="51"/>
        <v>637500</v>
      </c>
      <c r="E29" s="134">
        <f>E92+E156</f>
        <v>0</v>
      </c>
      <c r="F29" s="144" t="s">
        <v>1909</v>
      </c>
      <c r="G29" s="1173"/>
      <c r="H29" s="9">
        <f t="shared" ref="H29:Q29" si="55">H92+H156</f>
        <v>0</v>
      </c>
      <c r="I29" s="77"/>
      <c r="J29" s="9">
        <f t="shared" si="55"/>
        <v>156300</v>
      </c>
      <c r="K29" s="9">
        <f t="shared" si="55"/>
        <v>0</v>
      </c>
      <c r="L29" s="9">
        <f t="shared" si="55"/>
        <v>827400</v>
      </c>
      <c r="M29" s="9">
        <f t="shared" si="55"/>
        <v>0</v>
      </c>
      <c r="N29" s="9">
        <f t="shared" si="55"/>
        <v>576600</v>
      </c>
      <c r="O29" s="9">
        <f t="shared" si="55"/>
        <v>2976500</v>
      </c>
      <c r="P29" s="9">
        <f t="shared" si="55"/>
        <v>0</v>
      </c>
      <c r="Q29" s="9">
        <f t="shared" si="55"/>
        <v>3775900</v>
      </c>
      <c r="R29" s="9">
        <f t="shared" ref="R29" si="56">R92+R156</f>
        <v>4368200</v>
      </c>
      <c r="S29" s="47">
        <f t="shared" ref="S29" si="57">S92+S156</f>
        <v>4881400</v>
      </c>
    </row>
    <row r="30" spans="1:21" s="34" customFormat="1" x14ac:dyDescent="0.2">
      <c r="A30" s="54">
        <f t="shared" si="51"/>
        <v>7175500</v>
      </c>
      <c r="B30" s="9">
        <f t="shared" si="51"/>
        <v>8689200</v>
      </c>
      <c r="C30" s="136">
        <f t="shared" si="51"/>
        <v>5039300</v>
      </c>
      <c r="D30" s="136">
        <f t="shared" si="51"/>
        <v>2025800</v>
      </c>
      <c r="E30" s="134">
        <f>E93+E157</f>
        <v>1745200</v>
      </c>
      <c r="F30" s="144" t="s">
        <v>2309</v>
      </c>
      <c r="G30" s="1173"/>
      <c r="H30" s="9">
        <f t="shared" ref="H30:Q30" si="58">H93+H157</f>
        <v>7744300</v>
      </c>
      <c r="I30" s="77"/>
      <c r="J30" s="9">
        <f t="shared" si="58"/>
        <v>4887100</v>
      </c>
      <c r="K30" s="9">
        <f t="shared" si="58"/>
        <v>3054600</v>
      </c>
      <c r="L30" s="9">
        <f t="shared" si="58"/>
        <v>0</v>
      </c>
      <c r="M30" s="9">
        <f t="shared" si="58"/>
        <v>3664900</v>
      </c>
      <c r="N30" s="9">
        <f t="shared" si="58"/>
        <v>303000</v>
      </c>
      <c r="O30" s="9">
        <f t="shared" si="58"/>
        <v>1510500</v>
      </c>
      <c r="P30" s="9">
        <f t="shared" si="58"/>
        <v>2198100</v>
      </c>
      <c r="Q30" s="9">
        <f t="shared" si="58"/>
        <v>0</v>
      </c>
      <c r="R30" s="9">
        <f t="shared" ref="R30" si="59">R93+R157</f>
        <v>0</v>
      </c>
      <c r="S30" s="47">
        <f t="shared" ref="S30" si="60">S93+S157</f>
        <v>0</v>
      </c>
    </row>
    <row r="31" spans="1:21" s="34" customFormat="1" x14ac:dyDescent="0.2">
      <c r="A31" s="54">
        <f t="shared" si="51"/>
        <v>18847800</v>
      </c>
      <c r="B31" s="9">
        <f t="shared" si="51"/>
        <v>2150900</v>
      </c>
      <c r="C31" s="136">
        <f t="shared" si="51"/>
        <v>2063400</v>
      </c>
      <c r="D31" s="136">
        <f t="shared" si="51"/>
        <v>361000</v>
      </c>
      <c r="E31" s="134">
        <f>E94+E158</f>
        <v>1145800</v>
      </c>
      <c r="F31" s="144" t="s">
        <v>5847</v>
      </c>
      <c r="G31" s="1173"/>
      <c r="H31" s="9">
        <f t="shared" ref="H31:Q31" si="61">H94+H158</f>
        <v>1828000</v>
      </c>
      <c r="I31" s="77"/>
      <c r="J31" s="9">
        <f t="shared" si="61"/>
        <v>4169000</v>
      </c>
      <c r="K31" s="9">
        <f t="shared" si="61"/>
        <v>1387000</v>
      </c>
      <c r="L31" s="9">
        <f t="shared" si="61"/>
        <v>238000</v>
      </c>
      <c r="M31" s="9">
        <f t="shared" si="61"/>
        <v>1663000</v>
      </c>
      <c r="N31" s="9">
        <f t="shared" si="61"/>
        <v>3646000</v>
      </c>
      <c r="O31" s="9">
        <f t="shared" si="61"/>
        <v>1033500</v>
      </c>
      <c r="P31" s="9">
        <f t="shared" si="61"/>
        <v>1109300</v>
      </c>
      <c r="Q31" s="9">
        <f t="shared" si="61"/>
        <v>0</v>
      </c>
      <c r="R31" s="9">
        <f t="shared" ref="R31" si="62">R94+R158</f>
        <v>0</v>
      </c>
      <c r="S31" s="47">
        <f t="shared" ref="S31" si="63">S94+S158</f>
        <v>0</v>
      </c>
    </row>
    <row r="32" spans="1:21" s="34" customFormat="1" x14ac:dyDescent="0.2">
      <c r="A32" s="54">
        <f t="shared" si="51"/>
        <v>26291200</v>
      </c>
      <c r="B32" s="9">
        <f t="shared" si="51"/>
        <v>9939200</v>
      </c>
      <c r="C32" s="136">
        <f t="shared" si="51"/>
        <v>7142100</v>
      </c>
      <c r="D32" s="136">
        <f t="shared" si="51"/>
        <v>3694300</v>
      </c>
      <c r="E32" s="134">
        <f>E95+E159</f>
        <v>6561200</v>
      </c>
      <c r="F32" s="144" t="s">
        <v>958</v>
      </c>
      <c r="G32" s="1173"/>
      <c r="H32" s="9">
        <f t="shared" ref="H32:Q32" si="64">H95+H159</f>
        <v>12745800</v>
      </c>
      <c r="I32" s="77"/>
      <c r="J32" s="9">
        <f t="shared" si="64"/>
        <v>12752900</v>
      </c>
      <c r="K32" s="9">
        <f t="shared" si="64"/>
        <v>8476700</v>
      </c>
      <c r="L32" s="9">
        <f t="shared" si="64"/>
        <v>4685500</v>
      </c>
      <c r="M32" s="9">
        <f t="shared" si="64"/>
        <v>10941100</v>
      </c>
      <c r="N32" s="9">
        <f t="shared" si="64"/>
        <v>9117100</v>
      </c>
      <c r="O32" s="9">
        <f t="shared" si="64"/>
        <v>5645300</v>
      </c>
      <c r="P32" s="9">
        <f t="shared" si="64"/>
        <v>9693400</v>
      </c>
      <c r="Q32" s="9">
        <f t="shared" si="64"/>
        <v>2977600</v>
      </c>
      <c r="R32" s="9">
        <f t="shared" ref="R32" si="65">R95+R159</f>
        <v>2881700</v>
      </c>
      <c r="S32" s="47">
        <f t="shared" ref="S32" si="66">S95+S159</f>
        <v>2924700</v>
      </c>
    </row>
    <row r="33" spans="1:21" s="34" customFormat="1" x14ac:dyDescent="0.2">
      <c r="A33" s="45"/>
      <c r="B33" s="9"/>
      <c r="C33" s="136"/>
      <c r="D33" s="136"/>
      <c r="E33" s="134"/>
      <c r="F33" s="1160"/>
      <c r="G33" s="46"/>
      <c r="H33" s="9"/>
      <c r="I33" s="77"/>
      <c r="J33" s="9"/>
      <c r="K33" s="9"/>
      <c r="L33" s="9"/>
      <c r="M33" s="9"/>
      <c r="N33" s="9"/>
      <c r="O33" s="9"/>
      <c r="P33" s="9"/>
      <c r="Q33" s="9"/>
      <c r="R33" s="9"/>
      <c r="S33" s="47"/>
    </row>
    <row r="34" spans="1:21" s="39" customFormat="1" x14ac:dyDescent="0.2">
      <c r="A34" s="128">
        <f>A23-A28-A29+A30++A31-A32</f>
        <v>54000</v>
      </c>
      <c r="B34" s="280">
        <f>B23-B28-B29+B30++B31-B32</f>
        <v>54000</v>
      </c>
      <c r="C34" s="281">
        <f>C23-C28-C29+C30++C31-C32</f>
        <v>54000</v>
      </c>
      <c r="D34" s="281">
        <f>D23-D28-D29+D30++D31-D32</f>
        <v>54000</v>
      </c>
      <c r="E34" s="529">
        <f t="shared" ref="E34" si="67">E23-E28-E29+E30++E31-E32</f>
        <v>54000</v>
      </c>
      <c r="F34" s="1166" t="s">
        <v>2447</v>
      </c>
      <c r="G34" s="511"/>
      <c r="H34" s="280">
        <f t="shared" ref="H34:M34" si="68">H23-H28-H29+H30++H31-H32</f>
        <v>54000</v>
      </c>
      <c r="I34" s="864">
        <f>IF(E34=H34,0,IF(E34=0,100,(H34-E34)/E34*100))</f>
        <v>0</v>
      </c>
      <c r="J34" s="280">
        <f t="shared" si="68"/>
        <v>54000</v>
      </c>
      <c r="K34" s="280">
        <f t="shared" si="68"/>
        <v>54000</v>
      </c>
      <c r="L34" s="280">
        <f>L23-L28-L29+L30+L31-L32</f>
        <v>54000</v>
      </c>
      <c r="M34" s="280">
        <f t="shared" si="68"/>
        <v>54000</v>
      </c>
      <c r="N34" s="280">
        <f t="shared" ref="N34:R34" si="69">N23-N28-N29+N30++N31-N32</f>
        <v>54000</v>
      </c>
      <c r="O34" s="280">
        <f t="shared" si="69"/>
        <v>54000</v>
      </c>
      <c r="P34" s="280">
        <f t="shared" si="69"/>
        <v>54000</v>
      </c>
      <c r="Q34" s="280">
        <f t="shared" si="69"/>
        <v>54000</v>
      </c>
      <c r="R34" s="280">
        <f t="shared" si="69"/>
        <v>54000</v>
      </c>
      <c r="S34" s="2343">
        <f t="shared" ref="S34" si="70">S23-S28-S29+S30++S31-S32</f>
        <v>54000</v>
      </c>
      <c r="U34" s="34"/>
    </row>
    <row r="35" spans="1:21" s="34" customFormat="1" ht="13.5" thickBot="1" x14ac:dyDescent="0.25">
      <c r="A35" s="432"/>
      <c r="B35" s="37"/>
      <c r="C35" s="146"/>
      <c r="D35" s="146"/>
      <c r="E35" s="146"/>
      <c r="F35" s="66"/>
      <c r="G35" s="67"/>
      <c r="H35" s="23"/>
      <c r="I35" s="2217"/>
      <c r="J35" s="23"/>
      <c r="K35" s="23"/>
      <c r="L35" s="23"/>
      <c r="M35" s="23"/>
      <c r="N35" s="23"/>
      <c r="O35" s="23"/>
      <c r="P35" s="23"/>
      <c r="Q35" s="23"/>
      <c r="R35" s="23"/>
      <c r="S35" s="112"/>
    </row>
    <row r="36" spans="1:21" ht="14.25" thickTop="1" thickBot="1" x14ac:dyDescent="0.25">
      <c r="F36" s="70"/>
      <c r="U36" s="34"/>
    </row>
    <row r="37" spans="1:21" s="38" customFormat="1" ht="18.75" customHeight="1" thickTop="1" thickBot="1" x14ac:dyDescent="0.3">
      <c r="A37" s="2601" t="s">
        <v>38</v>
      </c>
      <c r="B37" s="2602"/>
      <c r="C37" s="2602"/>
      <c r="D37" s="2602"/>
      <c r="E37" s="2602"/>
      <c r="F37" s="2602"/>
      <c r="G37" s="2602"/>
      <c r="H37" s="2602"/>
      <c r="I37" s="2602"/>
      <c r="J37" s="2602"/>
      <c r="K37" s="2602"/>
      <c r="L37" s="2602"/>
      <c r="M37" s="2602"/>
      <c r="N37" s="2602"/>
      <c r="O37" s="2602"/>
      <c r="P37" s="2602"/>
      <c r="Q37" s="2602"/>
      <c r="R37" s="2602"/>
      <c r="S37" s="2603"/>
      <c r="U37" s="34"/>
    </row>
    <row r="38" spans="1:21" s="39" customFormat="1" x14ac:dyDescent="0.2">
      <c r="A38" s="2598" t="s">
        <v>1824</v>
      </c>
      <c r="B38" s="2599"/>
      <c r="C38" s="2599"/>
      <c r="D38" s="2599"/>
      <c r="E38" s="2600"/>
      <c r="F38" s="2058" t="s">
        <v>2616</v>
      </c>
      <c r="G38" s="2231" t="s">
        <v>2213</v>
      </c>
      <c r="H38" s="2577" t="s">
        <v>2215</v>
      </c>
      <c r="I38" s="2577"/>
      <c r="J38" s="2577"/>
      <c r="K38" s="2577"/>
      <c r="L38" s="2577"/>
      <c r="M38" s="2577"/>
      <c r="N38" s="2577"/>
      <c r="O38" s="2577"/>
      <c r="P38" s="2577"/>
      <c r="Q38" s="2577"/>
      <c r="R38" s="2577"/>
      <c r="S38" s="2578"/>
      <c r="U38" s="34"/>
    </row>
    <row r="39" spans="1:21" s="34" customFormat="1" ht="13.5" thickBot="1" x14ac:dyDescent="0.25">
      <c r="A39" s="431" t="str">
        <f>A3</f>
        <v>2012/13</v>
      </c>
      <c r="B39" s="40" t="str">
        <f>B3</f>
        <v>2013/14</v>
      </c>
      <c r="C39" s="40" t="str">
        <f>C3</f>
        <v>2014/15</v>
      </c>
      <c r="D39" s="40" t="str">
        <f>D3</f>
        <v>2015/16</v>
      </c>
      <c r="E39" s="40" t="str">
        <f>E3</f>
        <v>2016/17</v>
      </c>
      <c r="F39" s="2008" t="s">
        <v>2617</v>
      </c>
      <c r="G39" s="41"/>
      <c r="H39" s="40" t="str">
        <f t="shared" ref="H39:Q39" si="71">H3</f>
        <v>2017/18</v>
      </c>
      <c r="I39" s="2057" t="s">
        <v>492</v>
      </c>
      <c r="J39" s="1257" t="str">
        <f t="shared" si="71"/>
        <v>2018/19</v>
      </c>
      <c r="K39" s="205" t="str">
        <f t="shared" si="71"/>
        <v>2019/20</v>
      </c>
      <c r="L39" s="40" t="str">
        <f t="shared" si="71"/>
        <v>2020/21</v>
      </c>
      <c r="M39" s="205" t="str">
        <f t="shared" si="71"/>
        <v>2021/22</v>
      </c>
      <c r="N39" s="40" t="str">
        <f t="shared" si="71"/>
        <v>2022/23</v>
      </c>
      <c r="O39" s="1257" t="str">
        <f t="shared" si="71"/>
        <v>2023/24</v>
      </c>
      <c r="P39" s="40" t="str">
        <f t="shared" si="71"/>
        <v>2024/25</v>
      </c>
      <c r="Q39" s="28" t="str">
        <f t="shared" si="71"/>
        <v>2025/26</v>
      </c>
      <c r="R39" s="28" t="str">
        <f t="shared" ref="R39:S39" si="72">R3</f>
        <v>2026/27</v>
      </c>
      <c r="S39" s="1620" t="str">
        <f t="shared" si="72"/>
        <v>2027/28</v>
      </c>
    </row>
    <row r="40" spans="1:21" s="34" customFormat="1" x14ac:dyDescent="0.2">
      <c r="A40" s="54"/>
      <c r="B40" s="9"/>
      <c r="C40" s="134"/>
      <c r="D40" s="134"/>
      <c r="E40" s="134"/>
      <c r="F40" s="85"/>
      <c r="G40" s="27"/>
      <c r="H40" s="9"/>
      <c r="I40" s="79"/>
      <c r="J40" s="89"/>
      <c r="K40" s="9"/>
      <c r="L40" s="9"/>
      <c r="M40" s="9"/>
      <c r="N40" s="9"/>
      <c r="O40" s="89"/>
      <c r="P40" s="9"/>
      <c r="Q40" s="9"/>
      <c r="R40" s="9"/>
      <c r="S40" s="61"/>
    </row>
    <row r="41" spans="1:21" s="34" customFormat="1" x14ac:dyDescent="0.2">
      <c r="A41" s="54"/>
      <c r="B41" s="9"/>
      <c r="C41" s="134"/>
      <c r="D41" s="134"/>
      <c r="E41" s="134"/>
      <c r="F41" s="85"/>
      <c r="G41" s="91" t="s">
        <v>1056</v>
      </c>
      <c r="H41" s="9"/>
      <c r="I41" s="79"/>
      <c r="J41" s="89"/>
      <c r="K41" s="9"/>
      <c r="L41" s="9"/>
      <c r="M41" s="9"/>
      <c r="N41" s="9"/>
      <c r="O41" s="89"/>
      <c r="P41" s="9"/>
      <c r="Q41" s="9"/>
      <c r="R41" s="9"/>
      <c r="S41" s="61"/>
    </row>
    <row r="42" spans="1:21" s="34" customFormat="1" x14ac:dyDescent="0.2">
      <c r="A42" s="54"/>
      <c r="B42" s="9"/>
      <c r="C42" s="134"/>
      <c r="D42" s="134"/>
      <c r="E42" s="134"/>
      <c r="F42" s="85"/>
      <c r="G42" s="91"/>
      <c r="H42" s="9"/>
      <c r="I42" s="79"/>
      <c r="J42" s="89"/>
      <c r="K42" s="9"/>
      <c r="L42" s="9"/>
      <c r="M42" s="9"/>
      <c r="N42" s="9"/>
      <c r="O42" s="89"/>
      <c r="P42" s="9"/>
      <c r="Q42" s="9"/>
      <c r="R42" s="9"/>
      <c r="S42" s="61"/>
    </row>
    <row r="43" spans="1:21" s="34" customFormat="1" x14ac:dyDescent="0.2">
      <c r="A43" s="54">
        <f t="shared" ref="A43:B43" si="73">SUM(A171:A175)</f>
        <v>2603000</v>
      </c>
      <c r="B43" s="9">
        <f t="shared" si="73"/>
        <v>2860500</v>
      </c>
      <c r="C43" s="136">
        <f>SUM(C171:C175)</f>
        <v>3092600</v>
      </c>
      <c r="D43" s="136">
        <f>SUM(D171:D175)</f>
        <v>3226000</v>
      </c>
      <c r="E43" s="134">
        <f t="shared" ref="E43" si="74">SUM(E171:E175)</f>
        <v>3371900</v>
      </c>
      <c r="F43" s="578" t="s">
        <v>1974</v>
      </c>
      <c r="G43" s="9" t="s">
        <v>60</v>
      </c>
      <c r="H43" s="9">
        <f t="shared" ref="H43:P43" si="75">SUM(H171:H175)</f>
        <v>3439500</v>
      </c>
      <c r="I43" s="584">
        <f t="shared" ref="I43:I48" si="76">IF(E43=H43,0,IF(E43=0,100,(H43-E43)/E43*100))</f>
        <v>2.0048044129422582</v>
      </c>
      <c r="J43" s="89">
        <f t="shared" si="75"/>
        <v>3524000</v>
      </c>
      <c r="K43" s="9">
        <f t="shared" si="75"/>
        <v>3610500</v>
      </c>
      <c r="L43" s="9">
        <f t="shared" si="75"/>
        <v>3707000</v>
      </c>
      <c r="M43" s="9">
        <f t="shared" si="75"/>
        <v>3825400</v>
      </c>
      <c r="N43" s="9">
        <f t="shared" si="75"/>
        <v>3947800</v>
      </c>
      <c r="O43" s="89">
        <f t="shared" si="75"/>
        <v>4074200</v>
      </c>
      <c r="P43" s="9">
        <f t="shared" si="75"/>
        <v>4203600</v>
      </c>
      <c r="Q43" s="9">
        <f t="shared" ref="Q43" si="77">SUM(Q171:Q175)</f>
        <v>4337000</v>
      </c>
      <c r="R43" s="9">
        <f t="shared" ref="R43" si="78">SUM(R171:R175)</f>
        <v>4474400</v>
      </c>
      <c r="S43" s="47">
        <f t="shared" ref="S43" si="79">SUM(S171:S175)</f>
        <v>4616800</v>
      </c>
    </row>
    <row r="44" spans="1:21" s="34" customFormat="1" x14ac:dyDescent="0.2">
      <c r="A44" s="54">
        <f>SUM(A176:A180)</f>
        <v>5582400</v>
      </c>
      <c r="B44" s="9">
        <f>SUM(B176:B180)</f>
        <v>6590600</v>
      </c>
      <c r="C44" s="136">
        <f>SUM(C176:C180)</f>
        <v>6432000</v>
      </c>
      <c r="D44" s="136">
        <f>SUM(D176:D180)</f>
        <v>6654300</v>
      </c>
      <c r="E44" s="134">
        <f t="shared" ref="E44" si="80">SUM(E176:E180)</f>
        <v>7771200</v>
      </c>
      <c r="F44" s="578" t="s">
        <v>1973</v>
      </c>
      <c r="G44" s="9" t="s">
        <v>823</v>
      </c>
      <c r="H44" s="134">
        <f t="shared" ref="H44:P44" si="81">SUM(H176:H180)</f>
        <v>7000200</v>
      </c>
      <c r="I44" s="584">
        <f t="shared" si="76"/>
        <v>-9.9212476837554053</v>
      </c>
      <c r="J44" s="134">
        <f t="shared" si="81"/>
        <v>7161500</v>
      </c>
      <c r="K44" s="134">
        <f t="shared" si="81"/>
        <v>7327100</v>
      </c>
      <c r="L44" s="134">
        <f t="shared" si="81"/>
        <v>7509700</v>
      </c>
      <c r="M44" s="134">
        <f t="shared" si="81"/>
        <v>7735300</v>
      </c>
      <c r="N44" s="134">
        <f t="shared" si="81"/>
        <v>7967900</v>
      </c>
      <c r="O44" s="134">
        <f t="shared" si="81"/>
        <v>8207500</v>
      </c>
      <c r="P44" s="9">
        <f t="shared" si="81"/>
        <v>8454100</v>
      </c>
      <c r="Q44" s="9">
        <f t="shared" ref="Q44" si="82">SUM(Q176:Q180)</f>
        <v>8706800</v>
      </c>
      <c r="R44" s="9">
        <f t="shared" ref="R44" si="83">SUM(R176:R180)</f>
        <v>8967500</v>
      </c>
      <c r="S44" s="47">
        <f t="shared" ref="S44" si="84">SUM(S176:S180)</f>
        <v>9236200</v>
      </c>
    </row>
    <row r="45" spans="1:21" s="34" customFormat="1" x14ac:dyDescent="0.2">
      <c r="A45" s="54">
        <f>SUM(A184:A192)</f>
        <v>669200</v>
      </c>
      <c r="B45" s="9">
        <f>SUM(B184:B192)</f>
        <v>672700</v>
      </c>
      <c r="C45" s="136">
        <f>SUM(C184:C192)</f>
        <v>797900</v>
      </c>
      <c r="D45" s="136">
        <f>SUM(D184:D192)</f>
        <v>796400</v>
      </c>
      <c r="E45" s="134">
        <f t="shared" ref="E45" si="85">SUM(E184:E192)</f>
        <v>762900</v>
      </c>
      <c r="F45" s="578" t="s">
        <v>1977</v>
      </c>
      <c r="G45" s="79" t="s">
        <v>5232</v>
      </c>
      <c r="H45" s="134">
        <f t="shared" ref="H45:P45" si="86">SUM(H184:H192)</f>
        <v>825900</v>
      </c>
      <c r="I45" s="584">
        <f t="shared" si="76"/>
        <v>8.2579630357845062</v>
      </c>
      <c r="J45" s="134">
        <f t="shared" si="86"/>
        <v>845200</v>
      </c>
      <c r="K45" s="134">
        <f t="shared" si="86"/>
        <v>866600</v>
      </c>
      <c r="L45" s="134">
        <f t="shared" si="86"/>
        <v>888600</v>
      </c>
      <c r="M45" s="134">
        <f t="shared" si="86"/>
        <v>911100</v>
      </c>
      <c r="N45" s="134">
        <f t="shared" si="86"/>
        <v>934100</v>
      </c>
      <c r="O45" s="134">
        <f t="shared" si="86"/>
        <v>957800</v>
      </c>
      <c r="P45" s="9">
        <f t="shared" si="86"/>
        <v>981900</v>
      </c>
      <c r="Q45" s="9">
        <f t="shared" ref="Q45" si="87">SUM(Q184:Q192)</f>
        <v>1006700</v>
      </c>
      <c r="R45" s="9">
        <f t="shared" ref="R45" si="88">SUM(R184:R192)</f>
        <v>1032100</v>
      </c>
      <c r="S45" s="47">
        <f t="shared" ref="S45" si="89">SUM(S184:S192)</f>
        <v>1058200</v>
      </c>
    </row>
    <row r="46" spans="1:21" s="34" customFormat="1" x14ac:dyDescent="0.2">
      <c r="A46" s="54">
        <f t="shared" ref="A46:B46" si="90">SUM(A181:A183)</f>
        <v>155000</v>
      </c>
      <c r="B46" s="9">
        <f t="shared" si="90"/>
        <v>151800</v>
      </c>
      <c r="C46" s="136">
        <f>SUM(C181:C183)</f>
        <v>152600</v>
      </c>
      <c r="D46" s="136">
        <f>SUM(D181:D183)</f>
        <v>157400</v>
      </c>
      <c r="E46" s="134">
        <f t="shared" ref="E46" si="91">SUM(E181:E183)</f>
        <v>159900</v>
      </c>
      <c r="F46" s="578" t="s">
        <v>1976</v>
      </c>
      <c r="G46" s="9" t="s">
        <v>2828</v>
      </c>
      <c r="H46" s="9">
        <f t="shared" ref="H46:P46" si="92">SUM(H181:H183)</f>
        <v>144000</v>
      </c>
      <c r="I46" s="584">
        <f t="shared" si="76"/>
        <v>-9.9437148217636029</v>
      </c>
      <c r="J46" s="89">
        <f t="shared" si="92"/>
        <v>144700</v>
      </c>
      <c r="K46" s="9">
        <f t="shared" si="92"/>
        <v>145500</v>
      </c>
      <c r="L46" s="9">
        <f t="shared" si="92"/>
        <v>146200</v>
      </c>
      <c r="M46" s="9">
        <f t="shared" si="92"/>
        <v>147000</v>
      </c>
      <c r="N46" s="9">
        <f t="shared" si="92"/>
        <v>147800</v>
      </c>
      <c r="O46" s="89">
        <f t="shared" si="92"/>
        <v>148600</v>
      </c>
      <c r="P46" s="9">
        <f t="shared" si="92"/>
        <v>149500</v>
      </c>
      <c r="Q46" s="9">
        <f t="shared" ref="Q46" si="93">SUM(Q181:Q183)</f>
        <v>150300</v>
      </c>
      <c r="R46" s="9">
        <f t="shared" ref="R46" si="94">SUM(R181:R183)</f>
        <v>151100</v>
      </c>
      <c r="S46" s="47">
        <f t="shared" ref="S46" si="95">SUM(S181:S183)</f>
        <v>151900</v>
      </c>
    </row>
    <row r="47" spans="1:21" s="34" customFormat="1" x14ac:dyDescent="0.2">
      <c r="A47" s="54">
        <f t="shared" ref="A47:B47" si="96">SUM(A194:A196)</f>
        <v>623900</v>
      </c>
      <c r="B47" s="9">
        <f t="shared" si="96"/>
        <v>413500</v>
      </c>
      <c r="C47" s="136">
        <f>SUM(C194:C196)</f>
        <v>417400</v>
      </c>
      <c r="D47" s="136">
        <f>SUM(D194:D196)</f>
        <v>339000</v>
      </c>
      <c r="E47" s="134">
        <f t="shared" ref="E47" si="97">SUM(E194:E196)</f>
        <v>343900</v>
      </c>
      <c r="F47" s="578" t="s">
        <v>1975</v>
      </c>
      <c r="G47" s="9" t="s">
        <v>2624</v>
      </c>
      <c r="H47" s="9">
        <f t="shared" ref="H47:P47" si="98">SUM(H194:H196)</f>
        <v>368800</v>
      </c>
      <c r="I47" s="584">
        <f t="shared" si="76"/>
        <v>7.2404768828147708</v>
      </c>
      <c r="J47" s="89">
        <f t="shared" si="98"/>
        <v>468300</v>
      </c>
      <c r="K47" s="9">
        <f t="shared" si="98"/>
        <v>382400</v>
      </c>
      <c r="L47" s="9">
        <f t="shared" si="98"/>
        <v>356900</v>
      </c>
      <c r="M47" s="9">
        <f t="shared" si="98"/>
        <v>380600</v>
      </c>
      <c r="N47" s="9">
        <f t="shared" si="98"/>
        <v>277700</v>
      </c>
      <c r="O47" s="89">
        <f t="shared" si="98"/>
        <v>212900</v>
      </c>
      <c r="P47" s="9">
        <f t="shared" si="98"/>
        <v>151800</v>
      </c>
      <c r="Q47" s="9">
        <f t="shared" ref="Q47" si="99">SUM(Q194:Q196)</f>
        <v>100400</v>
      </c>
      <c r="R47" s="9">
        <f t="shared" ref="R47" si="100">SUM(R194:R196)</f>
        <v>138000</v>
      </c>
      <c r="S47" s="47">
        <f t="shared" ref="S47" si="101">SUM(S194:S196)</f>
        <v>182000</v>
      </c>
    </row>
    <row r="48" spans="1:21" s="34" customFormat="1" x14ac:dyDescent="0.2">
      <c r="A48" s="54">
        <f>SUM(A197:A199)</f>
        <v>0</v>
      </c>
      <c r="B48" s="9">
        <f>SUM(B197:B199)</f>
        <v>0</v>
      </c>
      <c r="C48" s="136">
        <f>SUM(C197:C199)</f>
        <v>0</v>
      </c>
      <c r="D48" s="136">
        <f>SUM(D197:D199)</f>
        <v>26000</v>
      </c>
      <c r="E48" s="144">
        <f t="shared" ref="E48" si="102">SUM(E197:E199)</f>
        <v>0</v>
      </c>
      <c r="F48" s="1152">
        <v>10012</v>
      </c>
      <c r="G48" s="79" t="s">
        <v>5270</v>
      </c>
      <c r="H48" s="9">
        <f t="shared" ref="H48:P48" si="103">SUM(H197:H199)</f>
        <v>0</v>
      </c>
      <c r="I48" s="584">
        <f t="shared" si="76"/>
        <v>0</v>
      </c>
      <c r="J48" s="9">
        <f t="shared" si="103"/>
        <v>0</v>
      </c>
      <c r="K48" s="9">
        <f t="shared" si="103"/>
        <v>0</v>
      </c>
      <c r="L48" s="9">
        <f t="shared" si="103"/>
        <v>0</v>
      </c>
      <c r="M48" s="9">
        <f t="shared" si="103"/>
        <v>0</v>
      </c>
      <c r="N48" s="9">
        <f t="shared" si="103"/>
        <v>0</v>
      </c>
      <c r="O48" s="9">
        <f t="shared" si="103"/>
        <v>0</v>
      </c>
      <c r="P48" s="9">
        <f t="shared" si="103"/>
        <v>0</v>
      </c>
      <c r="Q48" s="9">
        <f t="shared" ref="Q48" si="104">SUM(Q197:Q199)</f>
        <v>0</v>
      </c>
      <c r="R48" s="9">
        <f t="shared" ref="R48" si="105">SUM(R197:R199)</f>
        <v>0</v>
      </c>
      <c r="S48" s="47">
        <f t="shared" ref="S48" si="106">SUM(S197:S199)</f>
        <v>0</v>
      </c>
    </row>
    <row r="49" spans="1:19" s="34" customFormat="1" ht="13.5" thickBot="1" x14ac:dyDescent="0.25">
      <c r="A49" s="54"/>
      <c r="B49" s="9"/>
      <c r="C49" s="136"/>
      <c r="D49" s="136"/>
      <c r="E49" s="134"/>
      <c r="F49" s="239"/>
      <c r="G49" s="9"/>
      <c r="H49" s="9"/>
      <c r="I49" s="798"/>
      <c r="J49" s="89"/>
      <c r="K49" s="9"/>
      <c r="L49" s="9"/>
      <c r="M49" s="9"/>
      <c r="N49" s="9"/>
      <c r="O49" s="89"/>
      <c r="P49" s="9"/>
      <c r="Q49" s="9"/>
      <c r="R49" s="9"/>
      <c r="S49" s="47"/>
    </row>
    <row r="50" spans="1:19" s="34" customFormat="1" x14ac:dyDescent="0.2">
      <c r="A50" s="52">
        <f>SUM(A43:A49)</f>
        <v>9633500</v>
      </c>
      <c r="B50" s="16">
        <f>SUM(B43:B49)</f>
        <v>10689100</v>
      </c>
      <c r="C50" s="137">
        <f>SUM(C43:C49)</f>
        <v>10892500</v>
      </c>
      <c r="D50" s="137">
        <f>SUM(D43:D49)</f>
        <v>11199100</v>
      </c>
      <c r="E50" s="145">
        <f t="shared" ref="E50" si="107">SUM(E43:E49)</f>
        <v>12409800</v>
      </c>
      <c r="F50" s="239"/>
      <c r="G50" s="267" t="s">
        <v>2561</v>
      </c>
      <c r="H50" s="16">
        <f t="shared" ref="H50:P50" si="108">SUM(H43:H49)</f>
        <v>11778400</v>
      </c>
      <c r="I50" s="391">
        <f>IF(E50=H50,0,IF(E50=0,100,(H50-E50)/E50*100))</f>
        <v>-5.0879143902399715</v>
      </c>
      <c r="J50" s="102">
        <f t="shared" si="108"/>
        <v>12143700</v>
      </c>
      <c r="K50" s="16">
        <f t="shared" si="108"/>
        <v>12332100</v>
      </c>
      <c r="L50" s="16">
        <f t="shared" si="108"/>
        <v>12608400</v>
      </c>
      <c r="M50" s="16">
        <f t="shared" si="108"/>
        <v>12999400</v>
      </c>
      <c r="N50" s="16">
        <f t="shared" si="108"/>
        <v>13275300</v>
      </c>
      <c r="O50" s="102">
        <f t="shared" si="108"/>
        <v>13601000</v>
      </c>
      <c r="P50" s="16">
        <f t="shared" si="108"/>
        <v>13940900</v>
      </c>
      <c r="Q50" s="16">
        <f t="shared" ref="Q50" si="109">SUM(Q43:Q49)</f>
        <v>14301200</v>
      </c>
      <c r="R50" s="16">
        <f t="shared" ref="R50" si="110">SUM(R43:R49)</f>
        <v>14763100</v>
      </c>
      <c r="S50" s="2342">
        <f t="shared" ref="S50" si="111">SUM(S43:S49)</f>
        <v>15245100</v>
      </c>
    </row>
    <row r="51" spans="1:19" s="34" customFormat="1" x14ac:dyDescent="0.2">
      <c r="A51" s="54"/>
      <c r="B51" s="9"/>
      <c r="C51" s="134"/>
      <c r="D51" s="134"/>
      <c r="E51" s="134"/>
      <c r="F51" s="730"/>
      <c r="G51" s="59"/>
      <c r="H51" s="9"/>
      <c r="I51" s="584"/>
      <c r="J51" s="89"/>
      <c r="K51" s="9"/>
      <c r="L51" s="9"/>
      <c r="M51" s="9"/>
      <c r="N51" s="9"/>
      <c r="O51" s="89"/>
      <c r="P51" s="9"/>
      <c r="Q51" s="9"/>
      <c r="R51" s="9"/>
      <c r="S51" s="47"/>
    </row>
    <row r="52" spans="1:19" s="34" customFormat="1" x14ac:dyDescent="0.2">
      <c r="A52" s="54"/>
      <c r="B52" s="9"/>
      <c r="C52" s="134"/>
      <c r="D52" s="134"/>
      <c r="E52" s="134"/>
      <c r="F52" s="1378"/>
      <c r="G52" s="91" t="s">
        <v>2169</v>
      </c>
      <c r="H52" s="134"/>
      <c r="I52" s="706"/>
      <c r="J52" s="89"/>
      <c r="K52" s="9"/>
      <c r="L52" s="9"/>
      <c r="M52" s="9"/>
      <c r="N52" s="9"/>
      <c r="O52" s="89"/>
      <c r="P52" s="9"/>
      <c r="Q52" s="9"/>
      <c r="R52" s="9"/>
      <c r="S52" s="47"/>
    </row>
    <row r="53" spans="1:19" s="34" customFormat="1" x14ac:dyDescent="0.2">
      <c r="A53" s="54"/>
      <c r="B53" s="9"/>
      <c r="C53" s="136"/>
      <c r="D53" s="136"/>
      <c r="E53" s="134"/>
      <c r="F53" s="578"/>
      <c r="G53" s="256"/>
      <c r="H53" s="134"/>
      <c r="I53" s="584"/>
      <c r="J53" s="136"/>
      <c r="K53" s="136"/>
      <c r="L53" s="136"/>
      <c r="M53" s="136"/>
      <c r="N53" s="136"/>
      <c r="O53" s="136"/>
      <c r="P53" s="134"/>
      <c r="Q53" s="134"/>
      <c r="R53" s="134"/>
      <c r="S53" s="2359"/>
    </row>
    <row r="54" spans="1:19" s="34" customFormat="1" x14ac:dyDescent="0.2">
      <c r="A54" s="54"/>
      <c r="B54" s="9"/>
      <c r="C54" s="136"/>
      <c r="D54" s="136"/>
      <c r="E54" s="134"/>
      <c r="F54" s="578"/>
      <c r="G54" s="21" t="s">
        <v>1404</v>
      </c>
      <c r="H54" s="9"/>
      <c r="I54" s="584"/>
      <c r="J54" s="89"/>
      <c r="K54" s="9"/>
      <c r="L54" s="9"/>
      <c r="M54" s="9"/>
      <c r="N54" s="9"/>
      <c r="O54" s="89"/>
      <c r="P54" s="9"/>
      <c r="Q54" s="9"/>
      <c r="R54" s="9"/>
      <c r="S54" s="47"/>
    </row>
    <row r="55" spans="1:19" s="34" customFormat="1" x14ac:dyDescent="0.2">
      <c r="A55" s="54">
        <f>SUM(A205:A213)</f>
        <v>286800</v>
      </c>
      <c r="B55" s="9">
        <f>SUM(B205:B213)</f>
        <v>263700</v>
      </c>
      <c r="C55" s="136">
        <f>SUM(C205:C213)</f>
        <v>337700</v>
      </c>
      <c r="D55" s="136">
        <f>SUM(D205:D213)</f>
        <v>355600</v>
      </c>
      <c r="E55" s="134">
        <f t="shared" ref="E55" si="112">SUM(E205:E213)</f>
        <v>360000</v>
      </c>
      <c r="F55" s="578" t="s">
        <v>1603</v>
      </c>
      <c r="G55" s="9" t="s">
        <v>563</v>
      </c>
      <c r="H55" s="9">
        <f t="shared" ref="H55:P55" si="113">SUM(H205:H213)</f>
        <v>442400</v>
      </c>
      <c r="I55" s="584">
        <f t="shared" ref="I55:I69" si="114">IF(E55=H55,0,IF(E55=0,100,(H55-E55)/E55*100))</f>
        <v>22.888888888888889</v>
      </c>
      <c r="J55" s="89">
        <f t="shared" si="113"/>
        <v>492800</v>
      </c>
      <c r="K55" s="9">
        <f t="shared" si="113"/>
        <v>464200</v>
      </c>
      <c r="L55" s="9">
        <f t="shared" si="113"/>
        <v>475900</v>
      </c>
      <c r="M55" s="9">
        <f t="shared" si="113"/>
        <v>488000</v>
      </c>
      <c r="N55" s="9">
        <f t="shared" si="113"/>
        <v>550400</v>
      </c>
      <c r="O55" s="89">
        <f t="shared" si="113"/>
        <v>513100</v>
      </c>
      <c r="P55" s="9">
        <f t="shared" si="113"/>
        <v>526200</v>
      </c>
      <c r="Q55" s="9">
        <f t="shared" ref="Q55" si="115">SUM(Q205:Q213)</f>
        <v>539600</v>
      </c>
      <c r="R55" s="9">
        <f t="shared" ref="R55" si="116">SUM(R205:R213)</f>
        <v>553300</v>
      </c>
      <c r="S55" s="47">
        <f t="shared" ref="S55" si="117">SUM(S205:S213)</f>
        <v>567400</v>
      </c>
    </row>
    <row r="56" spans="1:19" s="34" customFormat="1" x14ac:dyDescent="0.2">
      <c r="A56" s="54">
        <f>SUM(A232:A254)</f>
        <v>246500</v>
      </c>
      <c r="B56" s="9">
        <f>SUM(B232:B254)</f>
        <v>310700</v>
      </c>
      <c r="C56" s="136">
        <f>SUM(C232:C254)</f>
        <v>350100</v>
      </c>
      <c r="D56" s="136">
        <f>SUM(D232:D254)</f>
        <v>415700</v>
      </c>
      <c r="E56" s="134">
        <f>SUM(E232:E254)</f>
        <v>446700</v>
      </c>
      <c r="F56" s="578">
        <v>50005</v>
      </c>
      <c r="G56" s="9" t="s">
        <v>2300</v>
      </c>
      <c r="H56" s="9">
        <f t="shared" ref="H56:Q56" si="118">SUM(H232:H254)</f>
        <v>402600</v>
      </c>
      <c r="I56" s="584">
        <f t="shared" si="114"/>
        <v>-9.872397582269981</v>
      </c>
      <c r="J56" s="89">
        <f t="shared" si="118"/>
        <v>401600</v>
      </c>
      <c r="K56" s="9">
        <f t="shared" si="118"/>
        <v>412600</v>
      </c>
      <c r="L56" s="9">
        <f t="shared" si="118"/>
        <v>423700</v>
      </c>
      <c r="M56" s="9">
        <f t="shared" si="118"/>
        <v>450200</v>
      </c>
      <c r="N56" s="9">
        <f t="shared" si="118"/>
        <v>446900</v>
      </c>
      <c r="O56" s="89">
        <f t="shared" si="118"/>
        <v>459000</v>
      </c>
      <c r="P56" s="9">
        <f t="shared" si="118"/>
        <v>471200</v>
      </c>
      <c r="Q56" s="9">
        <f t="shared" si="118"/>
        <v>483600</v>
      </c>
      <c r="R56" s="9">
        <f t="shared" ref="R56" si="119">SUM(R232:R254)</f>
        <v>516400</v>
      </c>
      <c r="S56" s="47">
        <f t="shared" ref="S56" si="120">SUM(S232:S254)</f>
        <v>509700</v>
      </c>
    </row>
    <row r="57" spans="1:19" s="34" customFormat="1" x14ac:dyDescent="0.2">
      <c r="A57" s="54">
        <f>SUM(A216:A220)</f>
        <v>438900</v>
      </c>
      <c r="B57" s="9">
        <f>SUM(B216:B220)</f>
        <v>222200</v>
      </c>
      <c r="C57" s="136">
        <f>SUM(C216:C220)</f>
        <v>176900</v>
      </c>
      <c r="D57" s="136">
        <f>SUM(D216:D220)</f>
        <v>150000</v>
      </c>
      <c r="E57" s="134">
        <f t="shared" ref="E57" si="121">SUM(E216:E220)</f>
        <v>294800</v>
      </c>
      <c r="F57" s="578">
        <v>50005</v>
      </c>
      <c r="G57" s="79" t="s">
        <v>4580</v>
      </c>
      <c r="H57" s="9">
        <f t="shared" ref="H57:P57" si="122">SUM(H216:H220)</f>
        <v>41900</v>
      </c>
      <c r="I57" s="584">
        <f t="shared" si="114"/>
        <v>-85.786974219810048</v>
      </c>
      <c r="J57" s="89">
        <f t="shared" si="122"/>
        <v>42900</v>
      </c>
      <c r="K57" s="9">
        <f t="shared" si="122"/>
        <v>44000</v>
      </c>
      <c r="L57" s="9">
        <f t="shared" si="122"/>
        <v>45100</v>
      </c>
      <c r="M57" s="9">
        <f t="shared" si="122"/>
        <v>46300</v>
      </c>
      <c r="N57" s="9">
        <f t="shared" si="122"/>
        <v>47500</v>
      </c>
      <c r="O57" s="89">
        <f t="shared" si="122"/>
        <v>48700</v>
      </c>
      <c r="P57" s="9">
        <f t="shared" si="122"/>
        <v>50000</v>
      </c>
      <c r="Q57" s="9">
        <f t="shared" ref="Q57" si="123">SUM(Q216:Q220)</f>
        <v>51300</v>
      </c>
      <c r="R57" s="9">
        <f t="shared" ref="R57" si="124">SUM(R216:R220)</f>
        <v>52600</v>
      </c>
      <c r="S57" s="47">
        <f t="shared" ref="S57" si="125">SUM(S216:S220)</f>
        <v>54000</v>
      </c>
    </row>
    <row r="58" spans="1:19" s="34" customFormat="1" x14ac:dyDescent="0.2">
      <c r="A58" s="54">
        <f>(SUM(A256:A258))</f>
        <v>8000</v>
      </c>
      <c r="B58" s="9">
        <f>(SUM(B256:B258))</f>
        <v>11000</v>
      </c>
      <c r="C58" s="136">
        <f>(SUM(C256:C258))</f>
        <v>17700</v>
      </c>
      <c r="D58" s="136">
        <f>(SUM(D256:D258))</f>
        <v>10700</v>
      </c>
      <c r="E58" s="134">
        <f>(SUM(E256:E258))</f>
        <v>11300</v>
      </c>
      <c r="F58" s="578" t="s">
        <v>1437</v>
      </c>
      <c r="G58" s="9" t="s">
        <v>675</v>
      </c>
      <c r="H58" s="9">
        <f t="shared" ref="H58:Q58" si="126">(SUM(H256:H258))</f>
        <v>12000</v>
      </c>
      <c r="I58" s="584">
        <f t="shared" si="114"/>
        <v>6.1946902654867255</v>
      </c>
      <c r="J58" s="89">
        <f t="shared" si="126"/>
        <v>12300</v>
      </c>
      <c r="K58" s="9">
        <f t="shared" si="126"/>
        <v>12700</v>
      </c>
      <c r="L58" s="9">
        <f t="shared" si="126"/>
        <v>13100</v>
      </c>
      <c r="M58" s="9">
        <f t="shared" si="126"/>
        <v>13500</v>
      </c>
      <c r="N58" s="9">
        <f t="shared" si="126"/>
        <v>13900</v>
      </c>
      <c r="O58" s="89">
        <f t="shared" si="126"/>
        <v>14300</v>
      </c>
      <c r="P58" s="9">
        <f t="shared" si="126"/>
        <v>14700</v>
      </c>
      <c r="Q58" s="9">
        <f t="shared" si="126"/>
        <v>15100</v>
      </c>
      <c r="R58" s="9">
        <f t="shared" ref="R58" si="127">(SUM(R256:R258))</f>
        <v>15500</v>
      </c>
      <c r="S58" s="47">
        <f t="shared" ref="S58" si="128">(SUM(S256:S258))</f>
        <v>15900</v>
      </c>
    </row>
    <row r="59" spans="1:19" s="34" customFormat="1" x14ac:dyDescent="0.2">
      <c r="A59" s="54">
        <f>SUM(A262:A265)</f>
        <v>5143400</v>
      </c>
      <c r="B59" s="9">
        <f>SUM(B262:B265)</f>
        <v>5419200</v>
      </c>
      <c r="C59" s="136">
        <f>SUM(C262:C265)</f>
        <v>5720300</v>
      </c>
      <c r="D59" s="136">
        <f>SUM(D262:D265)</f>
        <v>5703100</v>
      </c>
      <c r="E59" s="134">
        <f t="shared" ref="E59" si="129">SUM(E262:E265)</f>
        <v>5886500</v>
      </c>
      <c r="F59" s="578" t="s">
        <v>1439</v>
      </c>
      <c r="G59" s="9" t="s">
        <v>1016</v>
      </c>
      <c r="H59" s="9">
        <f t="shared" ref="H59:P59" si="130">SUM(H262:H265)</f>
        <v>5977700</v>
      </c>
      <c r="I59" s="584">
        <f t="shared" si="114"/>
        <v>1.5493077380446785</v>
      </c>
      <c r="J59" s="89">
        <f t="shared" si="130"/>
        <v>6115200</v>
      </c>
      <c r="K59" s="9">
        <f t="shared" si="130"/>
        <v>6255900</v>
      </c>
      <c r="L59" s="9">
        <f t="shared" si="130"/>
        <v>6399900</v>
      </c>
      <c r="M59" s="9">
        <f t="shared" si="130"/>
        <v>6591900</v>
      </c>
      <c r="N59" s="9">
        <f t="shared" si="130"/>
        <v>6789800</v>
      </c>
      <c r="O59" s="89">
        <f t="shared" si="130"/>
        <v>6993600</v>
      </c>
      <c r="P59" s="9">
        <f t="shared" si="130"/>
        <v>7203500</v>
      </c>
      <c r="Q59" s="9">
        <f t="shared" ref="Q59" si="131">SUM(Q262:Q265)</f>
        <v>7419700</v>
      </c>
      <c r="R59" s="9">
        <f t="shared" ref="R59" si="132">SUM(R262:R265)</f>
        <v>7605300</v>
      </c>
      <c r="S59" s="47">
        <f t="shared" ref="S59" si="133">SUM(S262:S265)</f>
        <v>7795500</v>
      </c>
    </row>
    <row r="60" spans="1:19" s="34" customFormat="1" x14ac:dyDescent="0.2">
      <c r="A60" s="54">
        <f>SUM(A266:A270)</f>
        <v>800</v>
      </c>
      <c r="B60" s="9">
        <f>SUM(B266:B270)</f>
        <v>12700</v>
      </c>
      <c r="C60" s="136">
        <f>SUM(C266:C270)</f>
        <v>10600</v>
      </c>
      <c r="D60" s="136">
        <f>SUM(D266:D270)</f>
        <v>10700</v>
      </c>
      <c r="E60" s="134">
        <f>SUM(E266:E274)</f>
        <v>11600</v>
      </c>
      <c r="F60" s="578" t="s">
        <v>1592</v>
      </c>
      <c r="G60" s="79" t="s">
        <v>4896</v>
      </c>
      <c r="H60" s="9">
        <f>SUM(H266:H274)</f>
        <v>15000</v>
      </c>
      <c r="I60" s="584">
        <f t="shared" si="114"/>
        <v>29.310344827586203</v>
      </c>
      <c r="J60" s="9">
        <f t="shared" ref="J60:R60" si="134">SUM(J266:J274)</f>
        <v>16000</v>
      </c>
      <c r="K60" s="9">
        <f t="shared" si="134"/>
        <v>17000</v>
      </c>
      <c r="L60" s="9">
        <f t="shared" si="134"/>
        <v>18100</v>
      </c>
      <c r="M60" s="9">
        <f t="shared" si="134"/>
        <v>19200</v>
      </c>
      <c r="N60" s="9">
        <f t="shared" si="134"/>
        <v>20300</v>
      </c>
      <c r="O60" s="9">
        <f t="shared" si="134"/>
        <v>21400</v>
      </c>
      <c r="P60" s="9">
        <f t="shared" si="134"/>
        <v>22500</v>
      </c>
      <c r="Q60" s="9">
        <f t="shared" si="134"/>
        <v>23600</v>
      </c>
      <c r="R60" s="9">
        <f t="shared" si="134"/>
        <v>24700</v>
      </c>
      <c r="S60" s="47">
        <f t="shared" ref="S60" si="135">SUM(S266:S274)</f>
        <v>25800</v>
      </c>
    </row>
    <row r="61" spans="1:19" s="34" customFormat="1" x14ac:dyDescent="0.2">
      <c r="A61" s="54">
        <f>SUM(A276:A285)</f>
        <v>50100</v>
      </c>
      <c r="B61" s="9">
        <f>SUM(B276:B285)</f>
        <v>54500</v>
      </c>
      <c r="C61" s="136">
        <f>SUM(C276:C285)</f>
        <v>47500</v>
      </c>
      <c r="D61" s="136">
        <f>SUM(D276:D285)</f>
        <v>34400</v>
      </c>
      <c r="E61" s="134">
        <f t="shared" ref="E61" si="136">SUM(E276:E285)</f>
        <v>37600</v>
      </c>
      <c r="F61" s="578" t="s">
        <v>1591</v>
      </c>
      <c r="G61" s="79" t="s">
        <v>6517</v>
      </c>
      <c r="H61" s="9">
        <f t="shared" ref="H61:P61" si="137">SUM(H276:H285)</f>
        <v>45500</v>
      </c>
      <c r="I61" s="584">
        <f t="shared" si="114"/>
        <v>21.01063829787234</v>
      </c>
      <c r="J61" s="89">
        <f t="shared" si="137"/>
        <v>47100</v>
      </c>
      <c r="K61" s="9">
        <f t="shared" si="137"/>
        <v>48800</v>
      </c>
      <c r="L61" s="9">
        <f t="shared" si="137"/>
        <v>50500</v>
      </c>
      <c r="M61" s="9">
        <f t="shared" si="137"/>
        <v>52200</v>
      </c>
      <c r="N61" s="9">
        <f t="shared" si="137"/>
        <v>53900</v>
      </c>
      <c r="O61" s="89">
        <f t="shared" si="137"/>
        <v>55600</v>
      </c>
      <c r="P61" s="9">
        <f t="shared" si="137"/>
        <v>57500</v>
      </c>
      <c r="Q61" s="9">
        <f t="shared" ref="Q61" si="138">SUM(Q276:Q285)</f>
        <v>59500</v>
      </c>
      <c r="R61" s="9">
        <f t="shared" ref="R61" si="139">SUM(R276:R285)</f>
        <v>61500</v>
      </c>
      <c r="S61" s="47">
        <f t="shared" ref="S61" si="140">SUM(S276:S285)</f>
        <v>63500</v>
      </c>
    </row>
    <row r="62" spans="1:19" s="34" customFormat="1" x14ac:dyDescent="0.2">
      <c r="A62" s="54">
        <f>SUM(A293:A294)</f>
        <v>68500</v>
      </c>
      <c r="B62" s="9">
        <f>SUM(B293:B294)</f>
        <v>62800</v>
      </c>
      <c r="C62" s="136">
        <f>SUM(C293:C294)</f>
        <v>77800</v>
      </c>
      <c r="D62" s="136">
        <f>SUM(D293:D295)</f>
        <v>55700</v>
      </c>
      <c r="E62" s="134">
        <f>SUM(E293:E295)</f>
        <v>66800</v>
      </c>
      <c r="F62" s="578" t="s">
        <v>5405</v>
      </c>
      <c r="G62" s="79" t="s">
        <v>6753</v>
      </c>
      <c r="H62" s="9">
        <f>SUM(H293:H295)</f>
        <v>60000</v>
      </c>
      <c r="I62" s="584">
        <f t="shared" si="114"/>
        <v>-10.179640718562874</v>
      </c>
      <c r="J62" s="89">
        <f t="shared" ref="J62:R62" si="141">SUM(J293:J295)</f>
        <v>61400</v>
      </c>
      <c r="K62" s="9">
        <f t="shared" si="141"/>
        <v>63000</v>
      </c>
      <c r="L62" s="9">
        <f t="shared" si="141"/>
        <v>64600</v>
      </c>
      <c r="M62" s="9">
        <f t="shared" si="141"/>
        <v>66400</v>
      </c>
      <c r="N62" s="9">
        <f t="shared" si="141"/>
        <v>68200</v>
      </c>
      <c r="O62" s="89">
        <f t="shared" si="141"/>
        <v>70000</v>
      </c>
      <c r="P62" s="9">
        <f t="shared" si="141"/>
        <v>71800</v>
      </c>
      <c r="Q62" s="9">
        <f t="shared" si="141"/>
        <v>73600</v>
      </c>
      <c r="R62" s="9">
        <f t="shared" si="141"/>
        <v>75600</v>
      </c>
      <c r="S62" s="47">
        <f t="shared" ref="S62" si="142">SUM(S293:S295)</f>
        <v>77600</v>
      </c>
    </row>
    <row r="63" spans="1:19" s="34" customFormat="1" x14ac:dyDescent="0.2">
      <c r="A63" s="54">
        <f>SUM(A296:A301)</f>
        <v>80100</v>
      </c>
      <c r="B63" s="9">
        <f>SUM(B296:B301)</f>
        <v>153100</v>
      </c>
      <c r="C63" s="136">
        <f>SUM(C296:C301)</f>
        <v>129500</v>
      </c>
      <c r="D63" s="136">
        <f>SUM(D296:D301)</f>
        <v>111800</v>
      </c>
      <c r="E63" s="134">
        <f t="shared" ref="E63" si="143">SUM(E296:E301)</f>
        <v>134900</v>
      </c>
      <c r="F63" s="578" t="s">
        <v>1593</v>
      </c>
      <c r="G63" s="79" t="s">
        <v>4910</v>
      </c>
      <c r="H63" s="9">
        <f t="shared" ref="H63:P63" si="144">SUM(H296:H301)</f>
        <v>134000</v>
      </c>
      <c r="I63" s="584">
        <f t="shared" si="114"/>
        <v>-0.66716085989621943</v>
      </c>
      <c r="J63" s="89">
        <f t="shared" si="144"/>
        <v>137400</v>
      </c>
      <c r="K63" s="9">
        <f t="shared" si="144"/>
        <v>141200</v>
      </c>
      <c r="L63" s="9">
        <f t="shared" si="144"/>
        <v>145000</v>
      </c>
      <c r="M63" s="9">
        <f t="shared" si="144"/>
        <v>148900</v>
      </c>
      <c r="N63" s="9">
        <f t="shared" si="144"/>
        <v>152800</v>
      </c>
      <c r="O63" s="89">
        <f t="shared" si="144"/>
        <v>157000</v>
      </c>
      <c r="P63" s="9">
        <f t="shared" si="144"/>
        <v>161200</v>
      </c>
      <c r="Q63" s="9">
        <f t="shared" ref="Q63" si="145">SUM(Q296:Q301)</f>
        <v>165500</v>
      </c>
      <c r="R63" s="9">
        <f t="shared" ref="R63" si="146">SUM(R296:R301)</f>
        <v>169800</v>
      </c>
      <c r="S63" s="47">
        <f t="shared" ref="S63" si="147">SUM(S296:S301)</f>
        <v>174300</v>
      </c>
    </row>
    <row r="64" spans="1:19" s="34" customFormat="1" x14ac:dyDescent="0.2">
      <c r="A64" s="54">
        <f>SUM(A302:A305)</f>
        <v>47900</v>
      </c>
      <c r="B64" s="9">
        <f>SUM(B302:B305)</f>
        <v>46300</v>
      </c>
      <c r="C64" s="136">
        <f>SUM(C302:C305)</f>
        <v>38700</v>
      </c>
      <c r="D64" s="136">
        <f>SUM(D302:D305)</f>
        <v>30600</v>
      </c>
      <c r="E64" s="134">
        <f>SUM(E302:E305)</f>
        <v>42000</v>
      </c>
      <c r="F64" s="578" t="s">
        <v>1593</v>
      </c>
      <c r="G64" s="79" t="s">
        <v>4909</v>
      </c>
      <c r="H64" s="9">
        <f t="shared" ref="H64:Q64" si="148">SUM(H302:H305)</f>
        <v>37500</v>
      </c>
      <c r="I64" s="584">
        <f t="shared" si="114"/>
        <v>-10.714285714285714</v>
      </c>
      <c r="J64" s="89">
        <f t="shared" si="148"/>
        <v>38500</v>
      </c>
      <c r="K64" s="9">
        <f t="shared" si="148"/>
        <v>39600</v>
      </c>
      <c r="L64" s="9">
        <f t="shared" si="148"/>
        <v>40700</v>
      </c>
      <c r="M64" s="9">
        <f t="shared" si="148"/>
        <v>41900</v>
      </c>
      <c r="N64" s="9">
        <f t="shared" si="148"/>
        <v>43100</v>
      </c>
      <c r="O64" s="89">
        <f t="shared" si="148"/>
        <v>44300</v>
      </c>
      <c r="P64" s="9">
        <f t="shared" si="148"/>
        <v>45500</v>
      </c>
      <c r="Q64" s="9">
        <f t="shared" si="148"/>
        <v>46800</v>
      </c>
      <c r="R64" s="9">
        <f t="shared" ref="R64" si="149">SUM(R302:R305)</f>
        <v>48100</v>
      </c>
      <c r="S64" s="47">
        <f t="shared" ref="S64" si="150">SUM(S302:S305)</f>
        <v>49400</v>
      </c>
    </row>
    <row r="65" spans="1:21" s="34" customFormat="1" x14ac:dyDescent="0.2">
      <c r="A65" s="54">
        <f>SUM(A306:A309)</f>
        <v>218900</v>
      </c>
      <c r="B65" s="9">
        <f>SUM(B306:B309)</f>
        <v>192500</v>
      </c>
      <c r="C65" s="136">
        <f>SUM(C306:C309)</f>
        <v>172900</v>
      </c>
      <c r="D65" s="136">
        <f>SUM(D306:D309)</f>
        <v>83200</v>
      </c>
      <c r="E65" s="134">
        <f>SUM(E306:E309)</f>
        <v>49300</v>
      </c>
      <c r="F65" s="578" t="s">
        <v>1595</v>
      </c>
      <c r="G65" s="79" t="s">
        <v>4906</v>
      </c>
      <c r="H65" s="9">
        <f>SUM(H306:H309)</f>
        <v>70000</v>
      </c>
      <c r="I65" s="584">
        <f t="shared" si="114"/>
        <v>41.987829614604458</v>
      </c>
      <c r="J65" s="89">
        <f t="shared" ref="J65:S65" si="151">SUM(J306:J309)</f>
        <v>71800</v>
      </c>
      <c r="K65" s="9">
        <f t="shared" si="151"/>
        <v>73800</v>
      </c>
      <c r="L65" s="9">
        <f t="shared" si="151"/>
        <v>75800</v>
      </c>
      <c r="M65" s="9">
        <f t="shared" si="151"/>
        <v>77800</v>
      </c>
      <c r="N65" s="9">
        <f t="shared" si="151"/>
        <v>79900</v>
      </c>
      <c r="O65" s="89">
        <f t="shared" si="151"/>
        <v>82000</v>
      </c>
      <c r="P65" s="9">
        <f t="shared" si="151"/>
        <v>84100</v>
      </c>
      <c r="Q65" s="9">
        <f t="shared" si="151"/>
        <v>86400</v>
      </c>
      <c r="R65" s="9">
        <f t="shared" si="151"/>
        <v>88800</v>
      </c>
      <c r="S65" s="47">
        <f t="shared" si="151"/>
        <v>91200</v>
      </c>
    </row>
    <row r="66" spans="1:21" s="34" customFormat="1" x14ac:dyDescent="0.2">
      <c r="A66" s="54">
        <f>SUM(A310:A312)</f>
        <v>415300</v>
      </c>
      <c r="B66" s="9">
        <f>SUM(B310:B312)</f>
        <v>348700</v>
      </c>
      <c r="C66" s="136">
        <f>SUM(C310:C312)</f>
        <v>446600</v>
      </c>
      <c r="D66" s="136">
        <f>SUM(D310:D312)</f>
        <v>364500</v>
      </c>
      <c r="E66" s="134">
        <f>SUM(E310:E312)</f>
        <v>397400</v>
      </c>
      <c r="F66" s="578" t="s">
        <v>1594</v>
      </c>
      <c r="G66" s="79" t="s">
        <v>4903</v>
      </c>
      <c r="H66" s="9">
        <f>SUM(H310:H312)</f>
        <v>500000</v>
      </c>
      <c r="I66" s="584">
        <f t="shared" si="114"/>
        <v>25.817815802717664</v>
      </c>
      <c r="J66" s="89">
        <f t="shared" ref="J66:S66" si="152">SUM(J310:J312)</f>
        <v>511500</v>
      </c>
      <c r="K66" s="9">
        <f t="shared" si="152"/>
        <v>524400</v>
      </c>
      <c r="L66" s="9">
        <f t="shared" si="152"/>
        <v>537600</v>
      </c>
      <c r="M66" s="9">
        <f t="shared" si="152"/>
        <v>551100</v>
      </c>
      <c r="N66" s="9">
        <f t="shared" si="152"/>
        <v>565000</v>
      </c>
      <c r="O66" s="89">
        <f t="shared" si="152"/>
        <v>579200</v>
      </c>
      <c r="P66" s="9">
        <f t="shared" si="152"/>
        <v>593700</v>
      </c>
      <c r="Q66" s="9">
        <f t="shared" si="152"/>
        <v>608600</v>
      </c>
      <c r="R66" s="9">
        <f t="shared" si="152"/>
        <v>623900</v>
      </c>
      <c r="S66" s="47">
        <f t="shared" si="152"/>
        <v>639600</v>
      </c>
    </row>
    <row r="67" spans="1:21" s="34" customFormat="1" x14ac:dyDescent="0.2">
      <c r="A67" s="54">
        <f>SUM(A313:A314)</f>
        <v>293400</v>
      </c>
      <c r="B67" s="9">
        <f>SUM(B313:B314)</f>
        <v>401000</v>
      </c>
      <c r="C67" s="136">
        <f>SUM(C313:C314)</f>
        <v>343800</v>
      </c>
      <c r="D67" s="136">
        <f>SUM(D313:D314)</f>
        <v>345100</v>
      </c>
      <c r="E67" s="136">
        <f>SUM(E313:E314)</f>
        <v>376400</v>
      </c>
      <c r="F67" s="578" t="s">
        <v>4583</v>
      </c>
      <c r="G67" s="662" t="s">
        <v>4890</v>
      </c>
      <c r="H67" s="9">
        <f>SUM(H313:H314)</f>
        <v>350000</v>
      </c>
      <c r="I67" s="584">
        <f t="shared" si="114"/>
        <v>-7.0138150903294365</v>
      </c>
      <c r="J67" s="9">
        <f t="shared" ref="J67:S67" si="153">SUM(J313:J314)</f>
        <v>358100</v>
      </c>
      <c r="K67" s="9">
        <f t="shared" si="153"/>
        <v>367100</v>
      </c>
      <c r="L67" s="9">
        <f t="shared" si="153"/>
        <v>376300</v>
      </c>
      <c r="M67" s="9">
        <f t="shared" si="153"/>
        <v>385800</v>
      </c>
      <c r="N67" s="9">
        <f t="shared" si="153"/>
        <v>395500</v>
      </c>
      <c r="O67" s="134">
        <f t="shared" si="153"/>
        <v>405400</v>
      </c>
      <c r="P67" s="134">
        <f t="shared" si="153"/>
        <v>415600</v>
      </c>
      <c r="Q67" s="134">
        <f t="shared" si="153"/>
        <v>426000</v>
      </c>
      <c r="R67" s="134">
        <f t="shared" si="153"/>
        <v>436700</v>
      </c>
      <c r="S67" s="2359">
        <f t="shared" si="153"/>
        <v>447700</v>
      </c>
    </row>
    <row r="68" spans="1:21" s="34" customFormat="1" x14ac:dyDescent="0.2">
      <c r="A68" s="54">
        <f>SUM(A315:A325)</f>
        <v>333400</v>
      </c>
      <c r="B68" s="9">
        <f>SUM(B315:B325)</f>
        <v>376300</v>
      </c>
      <c r="C68" s="136">
        <f>SUM(C315:C325)</f>
        <v>232600</v>
      </c>
      <c r="D68" s="136">
        <f>SUM(D315:D325)</f>
        <v>247000</v>
      </c>
      <c r="E68" s="134">
        <f>SUM(E315:E325)</f>
        <v>223900</v>
      </c>
      <c r="F68" s="578" t="s">
        <v>1596</v>
      </c>
      <c r="G68" s="79" t="s">
        <v>6518</v>
      </c>
      <c r="H68" s="9">
        <f>SUM(H315:H325)</f>
        <v>259800</v>
      </c>
      <c r="I68" s="584">
        <f t="shared" si="114"/>
        <v>16.033943724877179</v>
      </c>
      <c r="J68" s="89">
        <f t="shared" ref="J68:S68" si="154">SUM(J315:J325)</f>
        <v>266300</v>
      </c>
      <c r="K68" s="9">
        <f t="shared" si="154"/>
        <v>273300</v>
      </c>
      <c r="L68" s="9">
        <f t="shared" si="154"/>
        <v>280600</v>
      </c>
      <c r="M68" s="9">
        <f t="shared" si="154"/>
        <v>287900</v>
      </c>
      <c r="N68" s="9">
        <f t="shared" si="154"/>
        <v>295500</v>
      </c>
      <c r="O68" s="89">
        <f t="shared" si="154"/>
        <v>303200</v>
      </c>
      <c r="P68" s="9">
        <f t="shared" si="154"/>
        <v>311100</v>
      </c>
      <c r="Q68" s="9">
        <f t="shared" si="154"/>
        <v>319100</v>
      </c>
      <c r="R68" s="9">
        <f t="shared" si="154"/>
        <v>327400</v>
      </c>
      <c r="S68" s="47">
        <f t="shared" si="154"/>
        <v>335800</v>
      </c>
    </row>
    <row r="69" spans="1:21" s="34" customFormat="1" x14ac:dyDescent="0.2">
      <c r="A69" s="54">
        <f>SUM(A326:A328)</f>
        <v>101800</v>
      </c>
      <c r="B69" s="9">
        <f>SUM(B326:B328)</f>
        <v>69100</v>
      </c>
      <c r="C69" s="136">
        <f>SUM(C326:C328)</f>
        <v>55000</v>
      </c>
      <c r="D69" s="136">
        <f>SUM(D326:D328)</f>
        <v>67900</v>
      </c>
      <c r="E69" s="134">
        <f t="shared" ref="E69" si="155">SUM(E326:E328)</f>
        <v>62500</v>
      </c>
      <c r="F69" s="578" t="s">
        <v>4583</v>
      </c>
      <c r="G69" s="79" t="s">
        <v>6519</v>
      </c>
      <c r="H69" s="9">
        <f t="shared" ref="H69:P69" si="156">SUM(H326:H328)</f>
        <v>115000</v>
      </c>
      <c r="I69" s="584">
        <f t="shared" si="114"/>
        <v>84</v>
      </c>
      <c r="J69" s="89">
        <f t="shared" si="156"/>
        <v>117700</v>
      </c>
      <c r="K69" s="9">
        <f t="shared" si="156"/>
        <v>120800</v>
      </c>
      <c r="L69" s="9">
        <f t="shared" si="156"/>
        <v>124000</v>
      </c>
      <c r="M69" s="9">
        <f t="shared" si="156"/>
        <v>127200</v>
      </c>
      <c r="N69" s="9">
        <f t="shared" si="156"/>
        <v>130500</v>
      </c>
      <c r="O69" s="89">
        <f t="shared" si="156"/>
        <v>133900</v>
      </c>
      <c r="P69" s="9">
        <f t="shared" si="156"/>
        <v>137300</v>
      </c>
      <c r="Q69" s="9">
        <f t="shared" ref="Q69" si="157">SUM(Q326:Q328)</f>
        <v>140800</v>
      </c>
      <c r="R69" s="9">
        <f t="shared" ref="R69" si="158">SUM(R326:R328)</f>
        <v>144400</v>
      </c>
      <c r="S69" s="47">
        <f t="shared" ref="S69" si="159">SUM(S326:S328)</f>
        <v>148100</v>
      </c>
    </row>
    <row r="70" spans="1:21" s="34" customFormat="1" x14ac:dyDescent="0.2">
      <c r="A70" s="54"/>
      <c r="B70" s="9"/>
      <c r="C70" s="136"/>
      <c r="D70" s="136"/>
      <c r="E70" s="134"/>
      <c r="F70" s="578"/>
      <c r="G70" s="9"/>
      <c r="H70" s="9"/>
      <c r="I70" s="584"/>
      <c r="J70" s="89"/>
      <c r="K70" s="9"/>
      <c r="L70" s="9"/>
      <c r="M70" s="9"/>
      <c r="N70" s="9"/>
      <c r="O70" s="89"/>
      <c r="P70" s="9"/>
      <c r="Q70" s="9"/>
      <c r="R70" s="9"/>
      <c r="S70" s="47"/>
    </row>
    <row r="71" spans="1:21" s="34" customFormat="1" x14ac:dyDescent="0.2">
      <c r="A71" s="54"/>
      <c r="B71" s="9"/>
      <c r="C71" s="136"/>
      <c r="D71" s="136"/>
      <c r="E71" s="134"/>
      <c r="F71" s="578"/>
      <c r="G71" s="21" t="s">
        <v>1636</v>
      </c>
      <c r="H71" s="9"/>
      <c r="I71" s="584"/>
      <c r="J71" s="89"/>
      <c r="K71" s="9"/>
      <c r="L71" s="9"/>
      <c r="M71" s="9"/>
      <c r="N71" s="9"/>
      <c r="O71" s="89"/>
      <c r="P71" s="9"/>
      <c r="Q71" s="9"/>
      <c r="R71" s="9"/>
      <c r="S71" s="47"/>
    </row>
    <row r="72" spans="1:21" s="34" customFormat="1" x14ac:dyDescent="0.2">
      <c r="A72" s="1440">
        <f>SUM(A222:A222)</f>
        <v>1145000</v>
      </c>
      <c r="B72" s="134">
        <f>SUM(B222:B222)</f>
        <v>1197300</v>
      </c>
      <c r="C72" s="136">
        <f>SUM(C222:C222)</f>
        <v>1160000</v>
      </c>
      <c r="D72" s="136">
        <f>SUM(D222:D222)</f>
        <v>1301000</v>
      </c>
      <c r="E72" s="134">
        <f t="shared" ref="E72" si="160">SUM(E222:E222)</f>
        <v>1319000</v>
      </c>
      <c r="F72" s="578" t="s">
        <v>1436</v>
      </c>
      <c r="G72" s="9" t="s">
        <v>399</v>
      </c>
      <c r="H72" s="9">
        <f>SUM(H222:H222)</f>
        <v>1382000</v>
      </c>
      <c r="I72" s="584">
        <f>IF(E72=H72,0,IF(E72=0,100,(H72-E72)/E72*100))</f>
        <v>4.776345716451857</v>
      </c>
      <c r="J72" s="89">
        <f t="shared" ref="J72:P72" si="161">SUM(J222:J222)</f>
        <v>1413800</v>
      </c>
      <c r="K72" s="9">
        <f t="shared" si="161"/>
        <v>1449100</v>
      </c>
      <c r="L72" s="9">
        <f t="shared" si="161"/>
        <v>1485300</v>
      </c>
      <c r="M72" s="9">
        <f t="shared" si="161"/>
        <v>1522400</v>
      </c>
      <c r="N72" s="9">
        <f t="shared" si="161"/>
        <v>1560500</v>
      </c>
      <c r="O72" s="89">
        <f t="shared" si="161"/>
        <v>1599500</v>
      </c>
      <c r="P72" s="9">
        <f t="shared" si="161"/>
        <v>1639500</v>
      </c>
      <c r="Q72" s="9">
        <f t="shared" ref="Q72" si="162">SUM(Q222:Q222)</f>
        <v>1680500</v>
      </c>
      <c r="R72" s="9">
        <f t="shared" ref="R72" si="163">SUM(R222:R222)</f>
        <v>1722500</v>
      </c>
      <c r="S72" s="47">
        <f t="shared" ref="S72" si="164">SUM(S222:S222)</f>
        <v>1765600</v>
      </c>
    </row>
    <row r="73" spans="1:21" s="34" customFormat="1" x14ac:dyDescent="0.2">
      <c r="A73" s="54"/>
      <c r="B73" s="9"/>
      <c r="C73" s="9"/>
      <c r="D73" s="9"/>
      <c r="E73" s="134"/>
      <c r="F73" s="578"/>
      <c r="G73" s="9"/>
      <c r="H73" s="9"/>
      <c r="I73" s="79"/>
      <c r="J73" s="89"/>
      <c r="K73" s="9"/>
      <c r="L73" s="9"/>
      <c r="M73" s="9"/>
      <c r="N73" s="9"/>
      <c r="O73" s="89"/>
      <c r="P73" s="9"/>
      <c r="Q73" s="9"/>
      <c r="R73" s="9"/>
      <c r="S73" s="47"/>
    </row>
    <row r="74" spans="1:21" s="39" customFormat="1" x14ac:dyDescent="0.2">
      <c r="A74" s="24"/>
      <c r="B74" s="21"/>
      <c r="C74" s="139"/>
      <c r="D74" s="139"/>
      <c r="E74" s="138"/>
      <c r="F74" s="578"/>
      <c r="G74" s="21" t="s">
        <v>1112</v>
      </c>
      <c r="H74" s="21"/>
      <c r="I74" s="584"/>
      <c r="J74" s="75"/>
      <c r="K74" s="21"/>
      <c r="L74" s="21"/>
      <c r="M74" s="21"/>
      <c r="N74" s="21"/>
      <c r="O74" s="75"/>
      <c r="P74" s="21"/>
      <c r="Q74" s="21"/>
      <c r="R74" s="21"/>
      <c r="S74" s="86"/>
      <c r="U74" s="34"/>
    </row>
    <row r="75" spans="1:21" s="34" customFormat="1" x14ac:dyDescent="0.2">
      <c r="A75" s="54">
        <f>A260</f>
        <v>100</v>
      </c>
      <c r="B75" s="9">
        <f>B260</f>
        <v>0</v>
      </c>
      <c r="C75" s="136">
        <f>C260</f>
        <v>0</v>
      </c>
      <c r="D75" s="136">
        <f>D260</f>
        <v>0</v>
      </c>
      <c r="E75" s="134">
        <f t="shared" ref="E75" si="165">E260</f>
        <v>0</v>
      </c>
      <c r="F75" s="578" t="s">
        <v>1438</v>
      </c>
      <c r="G75" s="9" t="s">
        <v>2412</v>
      </c>
      <c r="H75" s="9">
        <f t="shared" ref="H75:M75" si="166">H260</f>
        <v>0</v>
      </c>
      <c r="I75" s="584">
        <f>IF(E75=H75,0,IF(E75=0,100,(H75-E75)/E75*100))</f>
        <v>0</v>
      </c>
      <c r="J75" s="89">
        <f t="shared" si="166"/>
        <v>0</v>
      </c>
      <c r="K75" s="9">
        <f t="shared" si="166"/>
        <v>0</v>
      </c>
      <c r="L75" s="9">
        <f t="shared" si="166"/>
        <v>0</v>
      </c>
      <c r="M75" s="9">
        <f t="shared" si="166"/>
        <v>0</v>
      </c>
      <c r="N75" s="9">
        <f t="shared" ref="N75:R75" si="167">N260</f>
        <v>0</v>
      </c>
      <c r="O75" s="89">
        <f t="shared" si="167"/>
        <v>0</v>
      </c>
      <c r="P75" s="9">
        <f t="shared" si="167"/>
        <v>0</v>
      </c>
      <c r="Q75" s="9">
        <f t="shared" si="167"/>
        <v>0</v>
      </c>
      <c r="R75" s="9">
        <f t="shared" si="167"/>
        <v>0</v>
      </c>
      <c r="S75" s="47">
        <f t="shared" ref="S75" si="168">S260</f>
        <v>0</v>
      </c>
    </row>
    <row r="76" spans="1:21" s="34" customFormat="1" x14ac:dyDescent="0.2">
      <c r="A76" s="54"/>
      <c r="B76" s="9"/>
      <c r="C76" s="136"/>
      <c r="D76" s="136"/>
      <c r="E76" s="134"/>
      <c r="F76" s="578"/>
      <c r="G76" s="9"/>
      <c r="H76" s="9"/>
      <c r="I76" s="584"/>
      <c r="J76" s="89"/>
      <c r="K76" s="9"/>
      <c r="L76" s="9"/>
      <c r="M76" s="9"/>
      <c r="N76" s="9"/>
      <c r="O76" s="89"/>
      <c r="P76" s="9"/>
      <c r="Q76" s="9"/>
      <c r="R76" s="9"/>
      <c r="S76" s="47"/>
    </row>
    <row r="77" spans="1:21" s="34" customFormat="1" x14ac:dyDescent="0.2">
      <c r="A77" s="54"/>
      <c r="B77" s="9"/>
      <c r="C77" s="136"/>
      <c r="D77" s="136"/>
      <c r="E77" s="134"/>
      <c r="F77" s="578"/>
      <c r="G77" s="21" t="s">
        <v>261</v>
      </c>
      <c r="H77" s="9"/>
      <c r="I77" s="584"/>
      <c r="J77" s="89"/>
      <c r="K77" s="9"/>
      <c r="L77" s="9"/>
      <c r="M77" s="9"/>
      <c r="N77" s="9"/>
      <c r="O77" s="89"/>
      <c r="P77" s="9"/>
      <c r="Q77" s="9"/>
      <c r="R77" s="9"/>
      <c r="S77" s="47"/>
    </row>
    <row r="78" spans="1:21" s="34" customFormat="1" x14ac:dyDescent="0.2">
      <c r="A78" s="54">
        <f t="shared" ref="A78:E79" si="169">A330</f>
        <v>1882900</v>
      </c>
      <c r="B78" s="9">
        <f t="shared" si="169"/>
        <v>1859500</v>
      </c>
      <c r="C78" s="136">
        <f t="shared" si="169"/>
        <v>1478700</v>
      </c>
      <c r="D78" s="136">
        <f t="shared" si="169"/>
        <v>1498900</v>
      </c>
      <c r="E78" s="134">
        <f t="shared" si="169"/>
        <v>1399600</v>
      </c>
      <c r="F78" s="578" t="s">
        <v>1596</v>
      </c>
      <c r="G78" s="9" t="s">
        <v>2035</v>
      </c>
      <c r="H78" s="9">
        <f t="shared" ref="H78:P78" si="170">H330</f>
        <v>1380000</v>
      </c>
      <c r="I78" s="584">
        <f>IF(E78=H78,0,IF(E78=0,100,(H78-E78)/E78*100))</f>
        <v>-1.4004001143183766</v>
      </c>
      <c r="J78" s="89">
        <f t="shared" si="170"/>
        <v>1407600</v>
      </c>
      <c r="K78" s="9">
        <f t="shared" si="170"/>
        <v>1435800</v>
      </c>
      <c r="L78" s="9">
        <f t="shared" si="170"/>
        <v>1464600</v>
      </c>
      <c r="M78" s="9">
        <f t="shared" si="170"/>
        <v>1493900</v>
      </c>
      <c r="N78" s="9">
        <f t="shared" si="170"/>
        <v>1523800</v>
      </c>
      <c r="O78" s="89">
        <f t="shared" si="170"/>
        <v>1554300</v>
      </c>
      <c r="P78" s="9">
        <f t="shared" si="170"/>
        <v>1585400</v>
      </c>
      <c r="Q78" s="9">
        <f t="shared" ref="Q78" si="171">Q330</f>
        <v>1617200</v>
      </c>
      <c r="R78" s="9">
        <f t="shared" ref="R78" si="172">R330</f>
        <v>1649600</v>
      </c>
      <c r="S78" s="47">
        <f t="shared" ref="S78" si="173">S330</f>
        <v>1682600</v>
      </c>
    </row>
    <row r="79" spans="1:21" s="34" customFormat="1" x14ac:dyDescent="0.2">
      <c r="A79" s="54">
        <f t="shared" si="169"/>
        <v>161800</v>
      </c>
      <c r="B79" s="9">
        <f t="shared" si="169"/>
        <v>111000</v>
      </c>
      <c r="C79" s="136">
        <f t="shared" si="169"/>
        <v>20600</v>
      </c>
      <c r="D79" s="136">
        <f t="shared" si="169"/>
        <v>64000</v>
      </c>
      <c r="E79" s="134">
        <f t="shared" si="169"/>
        <v>0</v>
      </c>
      <c r="F79" s="578" t="s">
        <v>1596</v>
      </c>
      <c r="G79" s="79" t="s">
        <v>4427</v>
      </c>
      <c r="H79" s="9">
        <f t="shared" ref="H79:P79" si="174">H331</f>
        <v>0</v>
      </c>
      <c r="I79" s="584">
        <f>IF(E79=H79,0,IF(E79=0,100,(H79-E79)/E79*100))</f>
        <v>0</v>
      </c>
      <c r="J79" s="89">
        <f t="shared" si="174"/>
        <v>0</v>
      </c>
      <c r="K79" s="9">
        <f t="shared" si="174"/>
        <v>0</v>
      </c>
      <c r="L79" s="9">
        <f t="shared" si="174"/>
        <v>0</v>
      </c>
      <c r="M79" s="9">
        <f t="shared" si="174"/>
        <v>0</v>
      </c>
      <c r="N79" s="9">
        <f t="shared" si="174"/>
        <v>0</v>
      </c>
      <c r="O79" s="89">
        <f t="shared" si="174"/>
        <v>0</v>
      </c>
      <c r="P79" s="9">
        <f t="shared" si="174"/>
        <v>0</v>
      </c>
      <c r="Q79" s="9">
        <f t="shared" ref="Q79" si="175">Q331</f>
        <v>0</v>
      </c>
      <c r="R79" s="9">
        <f t="shared" ref="R79" si="176">R331</f>
        <v>0</v>
      </c>
      <c r="S79" s="47">
        <f t="shared" ref="S79" si="177">S331</f>
        <v>0</v>
      </c>
    </row>
    <row r="80" spans="1:21" s="34" customFormat="1" ht="13.5" thickBot="1" x14ac:dyDescent="0.25">
      <c r="A80" s="54"/>
      <c r="B80" s="9"/>
      <c r="C80" s="136"/>
      <c r="D80" s="136"/>
      <c r="E80" s="134"/>
      <c r="F80" s="1157"/>
      <c r="G80" s="257"/>
      <c r="H80" s="9"/>
      <c r="I80" s="584"/>
      <c r="J80" s="89"/>
      <c r="K80" s="9"/>
      <c r="L80" s="9"/>
      <c r="M80" s="9"/>
      <c r="N80" s="9"/>
      <c r="O80" s="89"/>
      <c r="P80" s="9"/>
      <c r="Q80" s="9"/>
      <c r="R80" s="9"/>
      <c r="S80" s="47"/>
    </row>
    <row r="81" spans="1:21" s="39" customFormat="1" x14ac:dyDescent="0.2">
      <c r="A81" s="52">
        <f>SUM(A52:A80)</f>
        <v>10923600</v>
      </c>
      <c r="B81" s="16">
        <f>SUM(B52:B80)</f>
        <v>11111600</v>
      </c>
      <c r="C81" s="137">
        <f>SUM(C52:C80)</f>
        <v>10817000</v>
      </c>
      <c r="D81" s="137">
        <f>SUM(D52:D80)</f>
        <v>10849900</v>
      </c>
      <c r="E81" s="145">
        <f t="shared" ref="E81" si="178">SUM(E52:E80)</f>
        <v>11120300</v>
      </c>
      <c r="F81" s="1182"/>
      <c r="G81" s="267" t="s">
        <v>556</v>
      </c>
      <c r="H81" s="16">
        <f t="shared" ref="H81:P81" si="179">SUM(H52:H80)</f>
        <v>11225400</v>
      </c>
      <c r="I81" s="391">
        <f>IF(E81=H81,0,IF(E81=0,100,(H81-E81)/E81*100))</f>
        <v>0.94511838709387341</v>
      </c>
      <c r="J81" s="102">
        <f t="shared" si="179"/>
        <v>11512000</v>
      </c>
      <c r="K81" s="16">
        <f t="shared" si="179"/>
        <v>11743300</v>
      </c>
      <c r="L81" s="16">
        <f t="shared" si="179"/>
        <v>12020800</v>
      </c>
      <c r="M81" s="16">
        <f t="shared" si="179"/>
        <v>12364600</v>
      </c>
      <c r="N81" s="16">
        <f t="shared" si="179"/>
        <v>12737500</v>
      </c>
      <c r="O81" s="102">
        <f t="shared" si="179"/>
        <v>13034500</v>
      </c>
      <c r="P81" s="16">
        <f t="shared" si="179"/>
        <v>13390800</v>
      </c>
      <c r="Q81" s="16">
        <f t="shared" ref="Q81" si="180">SUM(Q52:Q80)</f>
        <v>13756900</v>
      </c>
      <c r="R81" s="16">
        <f t="shared" ref="R81" si="181">SUM(R52:R80)</f>
        <v>14116100</v>
      </c>
      <c r="S81" s="2342">
        <f t="shared" ref="S81" si="182">SUM(S52:S80)</f>
        <v>14443700</v>
      </c>
      <c r="U81" s="34"/>
    </row>
    <row r="82" spans="1:21" s="34" customFormat="1" x14ac:dyDescent="0.2">
      <c r="A82" s="54"/>
      <c r="B82" s="9"/>
      <c r="C82" s="136"/>
      <c r="D82" s="136"/>
      <c r="E82" s="134"/>
      <c r="F82" s="1157"/>
      <c r="G82" s="257"/>
      <c r="H82" s="9"/>
      <c r="I82" s="584"/>
      <c r="J82" s="89"/>
      <c r="K82" s="9"/>
      <c r="L82" s="9"/>
      <c r="M82" s="9"/>
      <c r="N82" s="9"/>
      <c r="O82" s="89"/>
      <c r="P82" s="9"/>
      <c r="Q82" s="9"/>
      <c r="R82" s="9"/>
      <c r="S82" s="47"/>
    </row>
    <row r="83" spans="1:21" s="39" customFormat="1" x14ac:dyDescent="0.2">
      <c r="A83" s="24">
        <f>A50-A81</f>
        <v>-1290100</v>
      </c>
      <c r="B83" s="21">
        <f>B50-B81</f>
        <v>-422500</v>
      </c>
      <c r="C83" s="139">
        <f>C50-C81</f>
        <v>75500</v>
      </c>
      <c r="D83" s="139">
        <f>D50-D81</f>
        <v>349200</v>
      </c>
      <c r="E83" s="138">
        <f t="shared" ref="E83" si="183">E50-E81</f>
        <v>1289500</v>
      </c>
      <c r="F83" s="1182"/>
      <c r="G83" s="361" t="s">
        <v>1002</v>
      </c>
      <c r="H83" s="21">
        <f t="shared" ref="H83:P83" si="184">H50-H81</f>
        <v>553000</v>
      </c>
      <c r="I83" s="220">
        <f>IF(E83=H83,0,IF(E83=0,100,(H83-E83)/E83*100))</f>
        <v>-57.115160915083365</v>
      </c>
      <c r="J83" s="75">
        <f t="shared" si="184"/>
        <v>631700</v>
      </c>
      <c r="K83" s="21">
        <f t="shared" si="184"/>
        <v>588800</v>
      </c>
      <c r="L83" s="21">
        <f t="shared" si="184"/>
        <v>587600</v>
      </c>
      <c r="M83" s="21">
        <f t="shared" si="184"/>
        <v>634800</v>
      </c>
      <c r="N83" s="21">
        <f t="shared" si="184"/>
        <v>537800</v>
      </c>
      <c r="O83" s="75">
        <f t="shared" si="184"/>
        <v>566500</v>
      </c>
      <c r="P83" s="21">
        <f t="shared" si="184"/>
        <v>550100</v>
      </c>
      <c r="Q83" s="21">
        <f t="shared" ref="Q83" si="185">Q50-Q81</f>
        <v>544300</v>
      </c>
      <c r="R83" s="21">
        <f t="shared" ref="R83" si="186">R50-R81</f>
        <v>647000</v>
      </c>
      <c r="S83" s="86">
        <f t="shared" ref="S83" si="187">S50-S81</f>
        <v>801400</v>
      </c>
      <c r="U83" s="34"/>
    </row>
    <row r="84" spans="1:21" s="34" customFormat="1" x14ac:dyDescent="0.2">
      <c r="A84" s="54">
        <f t="shared" ref="A84:B84" si="188">A78</f>
        <v>1882900</v>
      </c>
      <c r="B84" s="9">
        <f t="shared" si="188"/>
        <v>1859500</v>
      </c>
      <c r="C84" s="136">
        <f>C78</f>
        <v>1478700</v>
      </c>
      <c r="D84" s="136">
        <f>D78</f>
        <v>1498900</v>
      </c>
      <c r="E84" s="134">
        <f t="shared" ref="E84" si="189">E78</f>
        <v>1399600</v>
      </c>
      <c r="F84" s="1157"/>
      <c r="G84" s="261" t="str">
        <f>G148</f>
        <v>Add Back Depreciation</v>
      </c>
      <c r="H84" s="9">
        <f t="shared" ref="H84:O85" si="190">H78</f>
        <v>1380000</v>
      </c>
      <c r="I84" s="584">
        <f>IF(E84=H84,0,IF(E84=0,100,(H84-E84)/E84*100))</f>
        <v>-1.4004001143183766</v>
      </c>
      <c r="J84" s="89">
        <f t="shared" si="190"/>
        <v>1407600</v>
      </c>
      <c r="K84" s="9">
        <f t="shared" si="190"/>
        <v>1435800</v>
      </c>
      <c r="L84" s="9">
        <f t="shared" si="190"/>
        <v>1464600</v>
      </c>
      <c r="M84" s="9">
        <f t="shared" si="190"/>
        <v>1493900</v>
      </c>
      <c r="N84" s="9">
        <f t="shared" si="190"/>
        <v>1523800</v>
      </c>
      <c r="O84" s="89">
        <f t="shared" si="190"/>
        <v>1554300</v>
      </c>
      <c r="P84" s="9">
        <f t="shared" ref="P84:Q84" si="191">P78</f>
        <v>1585400</v>
      </c>
      <c r="Q84" s="9">
        <f t="shared" si="191"/>
        <v>1617200</v>
      </c>
      <c r="R84" s="9">
        <f t="shared" ref="R84" si="192">R78</f>
        <v>1649600</v>
      </c>
      <c r="S84" s="47">
        <f t="shared" ref="S84" si="193">S78</f>
        <v>1682600</v>
      </c>
    </row>
    <row r="85" spans="1:21" s="34" customFormat="1" x14ac:dyDescent="0.2">
      <c r="A85" s="54">
        <f t="shared" ref="A85:B85" si="194">A79</f>
        <v>161800</v>
      </c>
      <c r="B85" s="9">
        <f t="shared" si="194"/>
        <v>111000</v>
      </c>
      <c r="C85" s="136">
        <f>C79</f>
        <v>20600</v>
      </c>
      <c r="D85" s="136">
        <f>D79</f>
        <v>64000</v>
      </c>
      <c r="E85" s="134">
        <f t="shared" ref="E85" si="195">E79</f>
        <v>0</v>
      </c>
      <c r="F85" s="1157"/>
      <c r="G85" s="261" t="str">
        <f>G149</f>
        <v>Add Back Loss on Infrastructure Disposal</v>
      </c>
      <c r="H85" s="9">
        <f t="shared" si="190"/>
        <v>0</v>
      </c>
      <c r="I85" s="584">
        <f>IF(E85=H85,0,IF(E85=0,100,(H85-E85)/E85*100))</f>
        <v>0</v>
      </c>
      <c r="J85" s="89">
        <f t="shared" si="190"/>
        <v>0</v>
      </c>
      <c r="K85" s="9">
        <f t="shared" si="190"/>
        <v>0</v>
      </c>
      <c r="L85" s="9">
        <f t="shared" si="190"/>
        <v>0</v>
      </c>
      <c r="M85" s="9">
        <f t="shared" si="190"/>
        <v>0</v>
      </c>
      <c r="N85" s="9">
        <f t="shared" si="190"/>
        <v>0</v>
      </c>
      <c r="O85" s="89">
        <f t="shared" si="190"/>
        <v>0</v>
      </c>
      <c r="P85" s="9">
        <f t="shared" ref="P85:Q85" si="196">P79</f>
        <v>0</v>
      </c>
      <c r="Q85" s="9">
        <f t="shared" si="196"/>
        <v>0</v>
      </c>
      <c r="R85" s="9">
        <f t="shared" ref="R85" si="197">R79</f>
        <v>0</v>
      </c>
      <c r="S85" s="47">
        <f t="shared" ref="S85" si="198">S79</f>
        <v>0</v>
      </c>
    </row>
    <row r="86" spans="1:21" s="39" customFormat="1" x14ac:dyDescent="0.2">
      <c r="A86" s="128">
        <f t="shared" ref="A86" si="199">SUM(A83:A85)</f>
        <v>754600</v>
      </c>
      <c r="B86" s="280">
        <f>SUM(B83:B85)</f>
        <v>1548000</v>
      </c>
      <c r="C86" s="281">
        <f>SUM(C83:C85)</f>
        <v>1574800</v>
      </c>
      <c r="D86" s="281">
        <f>SUM(D83:D85)</f>
        <v>1912100</v>
      </c>
      <c r="E86" s="529">
        <f t="shared" ref="E86" si="200">SUM(E83:E85)</f>
        <v>2689100</v>
      </c>
      <c r="F86" s="365"/>
      <c r="G86" s="363" t="s">
        <v>1659</v>
      </c>
      <c r="H86" s="280">
        <f t="shared" ref="H86:O86" si="201">SUM(H83:H85)</f>
        <v>1933000</v>
      </c>
      <c r="I86" s="864">
        <f>IF(E86=H86,0,IF(E86=0,100,(H86-E86)/E86*100))</f>
        <v>-28.117213937748691</v>
      </c>
      <c r="J86" s="266">
        <f t="shared" si="201"/>
        <v>2039300</v>
      </c>
      <c r="K86" s="280">
        <f t="shared" si="201"/>
        <v>2024600</v>
      </c>
      <c r="L86" s="280">
        <f t="shared" si="201"/>
        <v>2052200</v>
      </c>
      <c r="M86" s="280">
        <f t="shared" si="201"/>
        <v>2128700</v>
      </c>
      <c r="N86" s="280">
        <f t="shared" si="201"/>
        <v>2061600</v>
      </c>
      <c r="O86" s="266">
        <f t="shared" si="201"/>
        <v>2120800</v>
      </c>
      <c r="P86" s="280">
        <f t="shared" ref="P86:Q86" si="202">SUM(P83:P85)</f>
        <v>2135500</v>
      </c>
      <c r="Q86" s="280">
        <f t="shared" si="202"/>
        <v>2161500</v>
      </c>
      <c r="R86" s="280">
        <f t="shared" ref="R86" si="203">SUM(R83:R85)</f>
        <v>2296600</v>
      </c>
      <c r="S86" s="2343">
        <f t="shared" ref="S86" si="204">SUM(S83:S85)</f>
        <v>2484000</v>
      </c>
      <c r="U86" s="34"/>
    </row>
    <row r="87" spans="1:21" s="34" customFormat="1" ht="13.5" thickBot="1" x14ac:dyDescent="0.25">
      <c r="A87" s="118"/>
      <c r="B87" s="113"/>
      <c r="C87" s="113"/>
      <c r="D87" s="148"/>
      <c r="E87" s="530"/>
      <c r="F87" s="113"/>
      <c r="G87" s="113"/>
      <c r="H87" s="530"/>
      <c r="I87" s="751"/>
      <c r="J87" s="148"/>
      <c r="K87" s="68"/>
      <c r="L87" s="68"/>
      <c r="M87" s="68"/>
      <c r="N87" s="68"/>
      <c r="O87" s="42"/>
      <c r="P87" s="68"/>
      <c r="Q87" s="68"/>
      <c r="R87" s="68"/>
      <c r="S87" s="108"/>
    </row>
    <row r="88" spans="1:21" s="34" customFormat="1" ht="13.5" thickTop="1" x14ac:dyDescent="0.2">
      <c r="A88" s="270"/>
      <c r="B88" s="109"/>
      <c r="C88" s="140"/>
      <c r="D88" s="140"/>
      <c r="E88" s="531"/>
      <c r="F88" s="279"/>
      <c r="G88" s="258"/>
      <c r="H88" s="74"/>
      <c r="I88" s="1057"/>
      <c r="J88" s="111"/>
      <c r="K88" s="74"/>
      <c r="L88" s="74"/>
      <c r="M88" s="74"/>
      <c r="N88" s="74"/>
      <c r="O88" s="111"/>
      <c r="P88" s="74"/>
      <c r="Q88" s="74"/>
      <c r="R88" s="74"/>
      <c r="S88" s="110"/>
    </row>
    <row r="89" spans="1:21" s="34" customFormat="1" x14ac:dyDescent="0.2">
      <c r="A89" s="24"/>
      <c r="B89" s="21"/>
      <c r="C89" s="139"/>
      <c r="D89" s="139"/>
      <c r="E89" s="138"/>
      <c r="F89" s="70"/>
      <c r="G89" s="361" t="s">
        <v>192</v>
      </c>
      <c r="H89" s="9"/>
      <c r="I89" s="63"/>
      <c r="J89" s="89"/>
      <c r="K89" s="9"/>
      <c r="L89" s="9"/>
      <c r="M89" s="9"/>
      <c r="N89" s="9"/>
      <c r="O89" s="89"/>
      <c r="P89" s="9"/>
      <c r="Q89" s="9"/>
      <c r="R89" s="9"/>
      <c r="S89" s="61"/>
    </row>
    <row r="90" spans="1:21" s="34" customFormat="1" x14ac:dyDescent="0.2">
      <c r="A90" s="24"/>
      <c r="B90" s="21"/>
      <c r="C90" s="139"/>
      <c r="D90" s="139"/>
      <c r="E90" s="138"/>
      <c r="F90" s="70"/>
      <c r="G90" s="260"/>
      <c r="H90" s="9"/>
      <c r="I90" s="63"/>
      <c r="J90" s="89"/>
      <c r="K90" s="9"/>
      <c r="L90" s="9"/>
      <c r="M90" s="9"/>
      <c r="N90" s="9"/>
      <c r="O90" s="89"/>
      <c r="P90" s="9"/>
      <c r="Q90" s="9"/>
      <c r="R90" s="9"/>
      <c r="S90" s="61"/>
    </row>
    <row r="91" spans="1:21" s="34" customFormat="1" x14ac:dyDescent="0.2">
      <c r="A91" s="54">
        <f t="shared" ref="A91:B91" si="205">A342</f>
        <v>3800</v>
      </c>
      <c r="B91" s="9">
        <f t="shared" si="205"/>
        <v>0</v>
      </c>
      <c r="C91" s="136">
        <f t="shared" ref="C91:E95" si="206">C342</f>
        <v>0</v>
      </c>
      <c r="D91" s="136">
        <f t="shared" si="206"/>
        <v>0</v>
      </c>
      <c r="E91" s="134">
        <f t="shared" si="206"/>
        <v>0</v>
      </c>
      <c r="F91" s="1157"/>
      <c r="G91" s="257" t="s">
        <v>2848</v>
      </c>
      <c r="H91" s="9">
        <f t="shared" ref="H91:P91" si="207">H342</f>
        <v>0</v>
      </c>
      <c r="I91" s="79"/>
      <c r="J91" s="89">
        <f t="shared" si="207"/>
        <v>0</v>
      </c>
      <c r="K91" s="9">
        <f t="shared" si="207"/>
        <v>0</v>
      </c>
      <c r="L91" s="9">
        <f t="shared" si="207"/>
        <v>0</v>
      </c>
      <c r="M91" s="9">
        <f t="shared" si="207"/>
        <v>0</v>
      </c>
      <c r="N91" s="9">
        <f t="shared" si="207"/>
        <v>0</v>
      </c>
      <c r="O91" s="89">
        <f t="shared" si="207"/>
        <v>0</v>
      </c>
      <c r="P91" s="9">
        <f t="shared" si="207"/>
        <v>0</v>
      </c>
      <c r="Q91" s="9">
        <f t="shared" ref="Q91" si="208">Q342</f>
        <v>0</v>
      </c>
      <c r="R91" s="9">
        <f t="shared" ref="R91" si="209">R342</f>
        <v>0</v>
      </c>
      <c r="S91" s="47">
        <f t="shared" ref="S91" si="210">S342</f>
        <v>0</v>
      </c>
    </row>
    <row r="92" spans="1:21" s="34" customFormat="1" x14ac:dyDescent="0.2">
      <c r="A92" s="54">
        <f t="shared" ref="A92:B95" si="211">A343</f>
        <v>364000</v>
      </c>
      <c r="B92" s="9">
        <f t="shared" si="211"/>
        <v>485900</v>
      </c>
      <c r="C92" s="136">
        <f t="shared" si="206"/>
        <v>782500</v>
      </c>
      <c r="D92" s="136">
        <f t="shared" si="206"/>
        <v>637500</v>
      </c>
      <c r="E92" s="134">
        <f t="shared" si="206"/>
        <v>0</v>
      </c>
      <c r="F92" s="70"/>
      <c r="G92" s="257" t="s">
        <v>1909</v>
      </c>
      <c r="H92" s="9">
        <f t="shared" ref="H92:P92" si="212">H343</f>
        <v>0</v>
      </c>
      <c r="I92" s="79"/>
      <c r="J92" s="89">
        <f t="shared" si="212"/>
        <v>156300</v>
      </c>
      <c r="K92" s="9">
        <f t="shared" si="212"/>
        <v>0</v>
      </c>
      <c r="L92" s="9">
        <f t="shared" si="212"/>
        <v>266100</v>
      </c>
      <c r="M92" s="9">
        <f t="shared" si="212"/>
        <v>0</v>
      </c>
      <c r="N92" s="9">
        <f t="shared" si="212"/>
        <v>576600</v>
      </c>
      <c r="O92" s="89">
        <f t="shared" si="212"/>
        <v>0</v>
      </c>
      <c r="P92" s="9">
        <f t="shared" si="212"/>
        <v>0</v>
      </c>
      <c r="Q92" s="9">
        <f t="shared" ref="Q92" si="213">Q343</f>
        <v>335900</v>
      </c>
      <c r="R92" s="9">
        <f t="shared" ref="R92" si="214">R343</f>
        <v>511600</v>
      </c>
      <c r="S92" s="47">
        <f t="shared" ref="S92" si="215">S343</f>
        <v>656000</v>
      </c>
    </row>
    <row r="93" spans="1:21" s="34" customFormat="1" x14ac:dyDescent="0.2">
      <c r="A93" s="54">
        <f t="shared" si="211"/>
        <v>536600</v>
      </c>
      <c r="B93" s="9">
        <f t="shared" si="211"/>
        <v>0</v>
      </c>
      <c r="C93" s="136">
        <f t="shared" si="206"/>
        <v>0</v>
      </c>
      <c r="D93" s="136">
        <f t="shared" si="206"/>
        <v>0</v>
      </c>
      <c r="E93" s="134">
        <f t="shared" si="206"/>
        <v>936300</v>
      </c>
      <c r="F93" s="70"/>
      <c r="G93" s="257" t="s">
        <v>2309</v>
      </c>
      <c r="H93" s="9">
        <f t="shared" ref="H93:P93" si="216">H344</f>
        <v>1420700</v>
      </c>
      <c r="I93" s="79"/>
      <c r="J93" s="89">
        <f t="shared" si="216"/>
        <v>0</v>
      </c>
      <c r="K93" s="9">
        <f t="shared" si="216"/>
        <v>290400</v>
      </c>
      <c r="L93" s="9">
        <f t="shared" si="216"/>
        <v>0</v>
      </c>
      <c r="M93" s="9">
        <f t="shared" si="216"/>
        <v>2078300</v>
      </c>
      <c r="N93" s="9">
        <f t="shared" si="216"/>
        <v>0</v>
      </c>
      <c r="O93" s="89">
        <f t="shared" si="216"/>
        <v>1510500</v>
      </c>
      <c r="P93" s="9">
        <f t="shared" si="216"/>
        <v>1166200</v>
      </c>
      <c r="Q93" s="9">
        <f t="shared" ref="Q93" si="217">Q344</f>
        <v>0</v>
      </c>
      <c r="R93" s="9">
        <f t="shared" ref="R93" si="218">R344</f>
        <v>0</v>
      </c>
      <c r="S93" s="47">
        <f t="shared" ref="S93" si="219">S344</f>
        <v>0</v>
      </c>
    </row>
    <row r="94" spans="1:21" s="34" customFormat="1" x14ac:dyDescent="0.2">
      <c r="A94" s="54">
        <f t="shared" si="211"/>
        <v>47800</v>
      </c>
      <c r="B94" s="9">
        <f t="shared" si="211"/>
        <v>799000</v>
      </c>
      <c r="C94" s="136">
        <f t="shared" si="206"/>
        <v>2063400</v>
      </c>
      <c r="D94" s="136">
        <f t="shared" si="206"/>
        <v>186400</v>
      </c>
      <c r="E94" s="134">
        <f t="shared" si="206"/>
        <v>409300</v>
      </c>
      <c r="F94" s="70"/>
      <c r="G94" s="257" t="s">
        <v>5847</v>
      </c>
      <c r="H94" s="9">
        <f t="shared" ref="H94:P94" si="220">H345</f>
        <v>681000</v>
      </c>
      <c r="I94" s="79"/>
      <c r="J94" s="89">
        <f t="shared" si="220"/>
        <v>3169000</v>
      </c>
      <c r="K94" s="9">
        <f t="shared" si="220"/>
        <v>1119000</v>
      </c>
      <c r="L94" s="9">
        <f t="shared" si="220"/>
        <v>238000</v>
      </c>
      <c r="M94" s="9">
        <f t="shared" si="220"/>
        <v>1663000</v>
      </c>
      <c r="N94" s="9">
        <f t="shared" si="220"/>
        <v>3211000</v>
      </c>
      <c r="O94" s="89">
        <f t="shared" si="220"/>
        <v>1033500</v>
      </c>
      <c r="P94" s="9">
        <f t="shared" si="220"/>
        <v>1109300</v>
      </c>
      <c r="Q94" s="9">
        <f t="shared" ref="Q94" si="221">Q345</f>
        <v>0</v>
      </c>
      <c r="R94" s="9">
        <f t="shared" ref="R94" si="222">R345</f>
        <v>0</v>
      </c>
      <c r="S94" s="47">
        <f t="shared" ref="S94" si="223">S345</f>
        <v>0</v>
      </c>
    </row>
    <row r="95" spans="1:21" s="34" customFormat="1" x14ac:dyDescent="0.2">
      <c r="A95" s="54">
        <f t="shared" si="211"/>
        <v>937200</v>
      </c>
      <c r="B95" s="9">
        <f t="shared" si="211"/>
        <v>1827100</v>
      </c>
      <c r="C95" s="136">
        <f t="shared" si="206"/>
        <v>2821700</v>
      </c>
      <c r="D95" s="136">
        <f t="shared" si="206"/>
        <v>1427000</v>
      </c>
      <c r="E95" s="134">
        <f t="shared" si="206"/>
        <v>4000700</v>
      </c>
      <c r="F95" s="70"/>
      <c r="G95" s="257" t="s">
        <v>959</v>
      </c>
      <c r="H95" s="9">
        <f t="shared" ref="H95:P95" si="224">H346</f>
        <v>4000700</v>
      </c>
      <c r="I95" s="79"/>
      <c r="J95" s="89">
        <f t="shared" si="224"/>
        <v>5018000</v>
      </c>
      <c r="K95" s="9">
        <f t="shared" si="224"/>
        <v>3400000</v>
      </c>
      <c r="L95" s="9">
        <f t="shared" si="224"/>
        <v>1990100</v>
      </c>
      <c r="M95" s="9">
        <f t="shared" si="224"/>
        <v>5836000</v>
      </c>
      <c r="N95" s="9">
        <f t="shared" si="224"/>
        <v>4662000</v>
      </c>
      <c r="O95" s="89">
        <f t="shared" si="224"/>
        <v>4630800</v>
      </c>
      <c r="P95" s="9">
        <f t="shared" si="224"/>
        <v>4377000</v>
      </c>
      <c r="Q95" s="9">
        <f t="shared" ref="Q95" si="225">Q346</f>
        <v>1791600</v>
      </c>
      <c r="R95" s="9">
        <f t="shared" ref="R95" si="226">R346</f>
        <v>1751000</v>
      </c>
      <c r="S95" s="47">
        <f t="shared" ref="S95" si="227">S346</f>
        <v>1794000</v>
      </c>
    </row>
    <row r="96" spans="1:21" s="34" customFormat="1" x14ac:dyDescent="0.2">
      <c r="A96" s="54"/>
      <c r="B96" s="9"/>
      <c r="C96" s="136"/>
      <c r="D96" s="136"/>
      <c r="E96" s="134"/>
      <c r="F96" s="70"/>
      <c r="G96" s="361"/>
      <c r="H96" s="9"/>
      <c r="I96" s="79"/>
      <c r="J96" s="89"/>
      <c r="K96" s="9"/>
      <c r="L96" s="9"/>
      <c r="M96" s="9"/>
      <c r="N96" s="9"/>
      <c r="O96" s="89"/>
      <c r="P96" s="9"/>
      <c r="Q96" s="9"/>
      <c r="R96" s="9"/>
      <c r="S96" s="47"/>
    </row>
    <row r="97" spans="1:21" s="39" customFormat="1" x14ac:dyDescent="0.2">
      <c r="A97" s="128">
        <f>A86-A91-A92+A93++A94-A95</f>
        <v>34000</v>
      </c>
      <c r="B97" s="280">
        <f>B86-B91-B92+B93++B94-B95</f>
        <v>34000</v>
      </c>
      <c r="C97" s="281">
        <f>C86-C91-C92+C93++C94-C95</f>
        <v>34000</v>
      </c>
      <c r="D97" s="281">
        <f>D86-D91-D92+D93++D94-D95</f>
        <v>34000</v>
      </c>
      <c r="E97" s="529">
        <f t="shared" ref="E97" si="228">E86-E91-E92+E93++E94-E95</f>
        <v>34000</v>
      </c>
      <c r="F97" s="380"/>
      <c r="G97" s="363" t="s">
        <v>2447</v>
      </c>
      <c r="H97" s="280">
        <f t="shared" ref="H97:M97" si="229">H86-H91-H92+H93++H94-H95</f>
        <v>34000</v>
      </c>
      <c r="I97" s="864">
        <f>IF(E97=H97,0,IF(E97=0,100,(H97-E97)/E97*100))</f>
        <v>0</v>
      </c>
      <c r="J97" s="266">
        <f t="shared" si="229"/>
        <v>34000</v>
      </c>
      <c r="K97" s="280">
        <f t="shared" si="229"/>
        <v>34000</v>
      </c>
      <c r="L97" s="280">
        <f t="shared" si="229"/>
        <v>34000</v>
      </c>
      <c r="M97" s="280">
        <f t="shared" si="229"/>
        <v>34000</v>
      </c>
      <c r="N97" s="280">
        <f t="shared" ref="N97:R97" si="230">N86-N91-N92+N93++N94-N95</f>
        <v>34000</v>
      </c>
      <c r="O97" s="280">
        <f t="shared" si="230"/>
        <v>34000</v>
      </c>
      <c r="P97" s="280">
        <f t="shared" si="230"/>
        <v>34000</v>
      </c>
      <c r="Q97" s="280">
        <f t="shared" si="230"/>
        <v>34000</v>
      </c>
      <c r="R97" s="280">
        <f t="shared" si="230"/>
        <v>34000</v>
      </c>
      <c r="S97" s="2343">
        <f t="shared" ref="S97" si="231">S86-S91-S92+S93++S94-S95</f>
        <v>34000</v>
      </c>
      <c r="U97" s="34"/>
    </row>
    <row r="98" spans="1:21" s="34" customFormat="1" ht="13.5" thickBot="1" x14ac:dyDescent="0.25">
      <c r="A98" s="26"/>
      <c r="B98" s="37"/>
      <c r="C98" s="141"/>
      <c r="D98" s="141"/>
      <c r="E98" s="146"/>
      <c r="F98" s="37"/>
      <c r="G98" s="259"/>
      <c r="H98" s="23"/>
      <c r="I98" s="851"/>
      <c r="J98" s="113"/>
      <c r="K98" s="23"/>
      <c r="L98" s="23"/>
      <c r="M98" s="23"/>
      <c r="N98" s="23"/>
      <c r="O98" s="113"/>
      <c r="P98" s="23"/>
      <c r="Q98" s="23"/>
      <c r="R98" s="23"/>
      <c r="S98" s="112"/>
    </row>
    <row r="99" spans="1:21" ht="14.25" thickTop="1" thickBot="1" x14ac:dyDescent="0.25">
      <c r="A99" s="27"/>
      <c r="B99" s="27"/>
      <c r="C99" s="143"/>
      <c r="D99" s="143"/>
      <c r="E99" s="143"/>
      <c r="F99" s="27"/>
      <c r="G99" s="84"/>
      <c r="I99" s="92"/>
      <c r="U99" s="34"/>
    </row>
    <row r="100" spans="1:21" s="38" customFormat="1" ht="18.75" customHeight="1" thickTop="1" thickBot="1" x14ac:dyDescent="0.3">
      <c r="A100" s="2601" t="s">
        <v>3037</v>
      </c>
      <c r="B100" s="2602"/>
      <c r="C100" s="2602"/>
      <c r="D100" s="2602"/>
      <c r="E100" s="2602"/>
      <c r="F100" s="2602"/>
      <c r="G100" s="2602"/>
      <c r="H100" s="2602"/>
      <c r="I100" s="2602"/>
      <c r="J100" s="2602"/>
      <c r="K100" s="2602"/>
      <c r="L100" s="2602"/>
      <c r="M100" s="2602"/>
      <c r="N100" s="2602"/>
      <c r="O100" s="2602"/>
      <c r="P100" s="2602"/>
      <c r="Q100" s="2602"/>
      <c r="R100" s="2602"/>
      <c r="S100" s="2603"/>
      <c r="U100" s="34"/>
    </row>
    <row r="101" spans="1:21" s="39" customFormat="1" x14ac:dyDescent="0.2">
      <c r="A101" s="2598" t="s">
        <v>1824</v>
      </c>
      <c r="B101" s="2599"/>
      <c r="C101" s="2599"/>
      <c r="D101" s="2599"/>
      <c r="E101" s="2600"/>
      <c r="F101" s="2058" t="s">
        <v>2616</v>
      </c>
      <c r="G101" s="2231" t="s">
        <v>2213</v>
      </c>
      <c r="H101" s="2577" t="s">
        <v>2215</v>
      </c>
      <c r="I101" s="2577"/>
      <c r="J101" s="2577"/>
      <c r="K101" s="2577"/>
      <c r="L101" s="2577"/>
      <c r="M101" s="2577"/>
      <c r="N101" s="2577"/>
      <c r="O101" s="2577"/>
      <c r="P101" s="2577"/>
      <c r="Q101" s="2577"/>
      <c r="R101" s="2577"/>
      <c r="S101" s="2578"/>
      <c r="U101" s="34"/>
    </row>
    <row r="102" spans="1:21" s="34" customFormat="1" ht="13.5" thickBot="1" x14ac:dyDescent="0.25">
      <c r="A102" s="1031" t="str">
        <f>A3</f>
        <v>2012/13</v>
      </c>
      <c r="B102" s="28" t="str">
        <f>B3</f>
        <v>2013/14</v>
      </c>
      <c r="C102" s="40" t="str">
        <f>C3</f>
        <v>2014/15</v>
      </c>
      <c r="D102" s="40" t="str">
        <f>D3</f>
        <v>2015/16</v>
      </c>
      <c r="E102" s="40" t="str">
        <f>E3</f>
        <v>2016/17</v>
      </c>
      <c r="F102" s="2008" t="s">
        <v>2617</v>
      </c>
      <c r="G102" s="41"/>
      <c r="H102" s="40" t="str">
        <f t="shared" ref="H102:Q102" si="232">H3</f>
        <v>2017/18</v>
      </c>
      <c r="I102" s="2057" t="s">
        <v>492</v>
      </c>
      <c r="J102" s="40" t="str">
        <f t="shared" si="232"/>
        <v>2018/19</v>
      </c>
      <c r="K102" s="40" t="str">
        <f t="shared" si="232"/>
        <v>2019/20</v>
      </c>
      <c r="L102" s="40" t="str">
        <f t="shared" si="232"/>
        <v>2020/21</v>
      </c>
      <c r="M102" s="40" t="str">
        <f t="shared" si="232"/>
        <v>2021/22</v>
      </c>
      <c r="N102" s="40" t="str">
        <f t="shared" si="232"/>
        <v>2022/23</v>
      </c>
      <c r="O102" s="40" t="str">
        <f t="shared" si="232"/>
        <v>2023/24</v>
      </c>
      <c r="P102" s="1257" t="str">
        <f t="shared" si="232"/>
        <v>2024/25</v>
      </c>
      <c r="Q102" s="28" t="str">
        <f t="shared" si="232"/>
        <v>2025/26</v>
      </c>
      <c r="R102" s="28" t="str">
        <f t="shared" ref="R102:S102" si="233">R3</f>
        <v>2026/27</v>
      </c>
      <c r="S102" s="1620" t="str">
        <f t="shared" si="233"/>
        <v>2027/28</v>
      </c>
    </row>
    <row r="103" spans="1:21" s="34" customFormat="1" x14ac:dyDescent="0.2">
      <c r="A103" s="528"/>
      <c r="B103" s="151"/>
      <c r="C103" s="150"/>
      <c r="D103" s="150"/>
      <c r="E103" s="150"/>
      <c r="F103" s="150"/>
      <c r="G103" s="46"/>
      <c r="H103" s="151"/>
      <c r="I103" s="1767"/>
      <c r="J103" s="150"/>
      <c r="K103" s="150"/>
      <c r="L103" s="150"/>
      <c r="M103" s="150"/>
      <c r="N103" s="150"/>
      <c r="O103" s="9"/>
      <c r="P103" s="89"/>
      <c r="Q103" s="9"/>
      <c r="R103" s="9"/>
      <c r="S103" s="61"/>
    </row>
    <row r="104" spans="1:21" s="34" customFormat="1" x14ac:dyDescent="0.2">
      <c r="A104" s="54"/>
      <c r="B104" s="9"/>
      <c r="C104" s="134"/>
      <c r="D104" s="134"/>
      <c r="E104" s="134"/>
      <c r="F104" s="85"/>
      <c r="G104" s="91" t="s">
        <v>1056</v>
      </c>
      <c r="H104" s="9"/>
      <c r="I104" s="584"/>
      <c r="J104" s="9"/>
      <c r="K104" s="9"/>
      <c r="L104" s="9"/>
      <c r="M104" s="9"/>
      <c r="N104" s="9"/>
      <c r="O104" s="9"/>
      <c r="P104" s="89"/>
      <c r="Q104" s="9"/>
      <c r="R104" s="9"/>
      <c r="S104" s="61"/>
    </row>
    <row r="105" spans="1:21" s="34" customFormat="1" x14ac:dyDescent="0.2">
      <c r="A105" s="54"/>
      <c r="B105" s="9"/>
      <c r="C105" s="134"/>
      <c r="D105" s="134"/>
      <c r="E105" s="134"/>
      <c r="F105" s="85"/>
      <c r="G105" s="27"/>
      <c r="H105" s="9"/>
      <c r="I105" s="584"/>
      <c r="J105" s="9"/>
      <c r="K105" s="9"/>
      <c r="L105" s="9"/>
      <c r="M105" s="9"/>
      <c r="N105" s="9"/>
      <c r="O105" s="9"/>
      <c r="P105" s="89"/>
      <c r="Q105" s="9"/>
      <c r="R105" s="9"/>
      <c r="S105" s="61"/>
    </row>
    <row r="106" spans="1:21" s="34" customFormat="1" x14ac:dyDescent="0.2">
      <c r="A106" s="54">
        <f>(SUM(A355:A360))</f>
        <v>10570400</v>
      </c>
      <c r="B106" s="9">
        <f>(SUM(B355:B360))</f>
        <v>11668700</v>
      </c>
      <c r="C106" s="136">
        <f>(SUM(C355:C360))</f>
        <v>13005500</v>
      </c>
      <c r="D106" s="134">
        <f>(SUM(D355:D360))</f>
        <v>14087200</v>
      </c>
      <c r="E106" s="134">
        <f>(SUM(E355:E360))</f>
        <v>15398000</v>
      </c>
      <c r="F106" s="578" t="s">
        <v>1597</v>
      </c>
      <c r="G106" s="9" t="s">
        <v>60</v>
      </c>
      <c r="H106" s="9">
        <f t="shared" ref="H106:Q106" si="234">(SUM(H355:H360))</f>
        <v>15937000</v>
      </c>
      <c r="I106" s="584">
        <f t="shared" ref="I106:I111" si="235">IF(E106=H106,0,IF(E106=0,100,(H106-E106)/E106*100))</f>
        <v>3.5004546044940903</v>
      </c>
      <c r="J106" s="9">
        <f t="shared" si="234"/>
        <v>16341000</v>
      </c>
      <c r="K106" s="9">
        <f t="shared" si="234"/>
        <v>16755000</v>
      </c>
      <c r="L106" s="9">
        <f t="shared" si="234"/>
        <v>17179000</v>
      </c>
      <c r="M106" s="9">
        <f t="shared" si="234"/>
        <v>17614000</v>
      </c>
      <c r="N106" s="9">
        <f t="shared" si="234"/>
        <v>18059000</v>
      </c>
      <c r="O106" s="9">
        <f t="shared" si="234"/>
        <v>18516000</v>
      </c>
      <c r="P106" s="89">
        <f t="shared" si="234"/>
        <v>18984000</v>
      </c>
      <c r="Q106" s="9">
        <f t="shared" si="234"/>
        <v>19464000</v>
      </c>
      <c r="R106" s="9">
        <f t="shared" ref="R106" si="236">(SUM(R355:R360))</f>
        <v>19956000</v>
      </c>
      <c r="S106" s="47">
        <f t="shared" ref="S106" si="237">(SUM(S355:S360))</f>
        <v>20460000</v>
      </c>
    </row>
    <row r="107" spans="1:21" s="34" customFormat="1" x14ac:dyDescent="0.2">
      <c r="A107" s="54">
        <f>ROUND(SUM(A361:A368),-2)</f>
        <v>941900</v>
      </c>
      <c r="B107" s="9">
        <f>ROUND(SUM(B361:B368),-2)</f>
        <v>1098100</v>
      </c>
      <c r="C107" s="136">
        <f>ROUND(SUM(C361:C368),-2)</f>
        <v>1038400</v>
      </c>
      <c r="D107" s="134">
        <f>ROUND(SUM(D361:D368),-2)</f>
        <v>1141900</v>
      </c>
      <c r="E107" s="134">
        <f t="shared" ref="E107" si="238">ROUND(SUM(E361:E368),-2)</f>
        <v>1368500</v>
      </c>
      <c r="F107" s="578" t="s">
        <v>1601</v>
      </c>
      <c r="G107" s="9" t="s">
        <v>823</v>
      </c>
      <c r="H107" s="9">
        <f t="shared" ref="H107:P107" si="239">ROUND(SUM(H361:H368),-2)</f>
        <v>1351000</v>
      </c>
      <c r="I107" s="584">
        <f t="shared" si="235"/>
        <v>-1.2787723785166241</v>
      </c>
      <c r="J107" s="9">
        <f t="shared" si="239"/>
        <v>1423200</v>
      </c>
      <c r="K107" s="9">
        <f t="shared" si="239"/>
        <v>1496800</v>
      </c>
      <c r="L107" s="9">
        <f t="shared" si="239"/>
        <v>1571500</v>
      </c>
      <c r="M107" s="9">
        <f t="shared" si="239"/>
        <v>1611300</v>
      </c>
      <c r="N107" s="9">
        <f t="shared" si="239"/>
        <v>1651500</v>
      </c>
      <c r="O107" s="9">
        <f t="shared" si="239"/>
        <v>1692900</v>
      </c>
      <c r="P107" s="89">
        <f t="shared" si="239"/>
        <v>1735500</v>
      </c>
      <c r="Q107" s="9">
        <f t="shared" ref="Q107" si="240">ROUND(SUM(Q361:Q368),-2)</f>
        <v>1779400</v>
      </c>
      <c r="R107" s="9">
        <f t="shared" ref="R107" si="241">ROUND(SUM(R361:R368),-2)</f>
        <v>1824400</v>
      </c>
      <c r="S107" s="47">
        <f t="shared" ref="S107" si="242">ROUND(SUM(S361:S368),-2)</f>
        <v>1870700</v>
      </c>
    </row>
    <row r="108" spans="1:21" s="34" customFormat="1" x14ac:dyDescent="0.2">
      <c r="A108" s="54">
        <f t="shared" ref="A108:B108" si="243">SUM(A369:A371)</f>
        <v>149600</v>
      </c>
      <c r="B108" s="9">
        <f t="shared" si="243"/>
        <v>150800</v>
      </c>
      <c r="C108" s="136">
        <f>SUM(C369:C371)</f>
        <v>151700</v>
      </c>
      <c r="D108" s="134">
        <f>SUM(D369:D371)</f>
        <v>156600</v>
      </c>
      <c r="E108" s="134">
        <f t="shared" ref="E108" si="244">SUM(E369:E371)</f>
        <v>159100</v>
      </c>
      <c r="F108" s="578" t="s">
        <v>1600</v>
      </c>
      <c r="G108" s="9" t="s">
        <v>2828</v>
      </c>
      <c r="H108" s="9">
        <f t="shared" ref="H108:P108" si="245">SUM(H369:H371)</f>
        <v>143600</v>
      </c>
      <c r="I108" s="584">
        <f t="shared" si="235"/>
        <v>-9.7423004399748585</v>
      </c>
      <c r="J108" s="9">
        <f t="shared" si="245"/>
        <v>144500</v>
      </c>
      <c r="K108" s="9">
        <f t="shared" si="245"/>
        <v>145500</v>
      </c>
      <c r="L108" s="9">
        <f t="shared" si="245"/>
        <v>146400</v>
      </c>
      <c r="M108" s="9">
        <f t="shared" si="245"/>
        <v>147300</v>
      </c>
      <c r="N108" s="9">
        <f t="shared" si="245"/>
        <v>148200</v>
      </c>
      <c r="O108" s="9">
        <f t="shared" si="245"/>
        <v>149100</v>
      </c>
      <c r="P108" s="89">
        <f t="shared" si="245"/>
        <v>150000</v>
      </c>
      <c r="Q108" s="9">
        <f t="shared" ref="Q108" si="246">SUM(Q369:Q371)</f>
        <v>150900</v>
      </c>
      <c r="R108" s="9">
        <f t="shared" ref="R108" si="247">SUM(R369:R371)</f>
        <v>151800</v>
      </c>
      <c r="S108" s="47">
        <f t="shared" ref="S108" si="248">SUM(S369:S371)</f>
        <v>152700</v>
      </c>
    </row>
    <row r="109" spans="1:21" s="34" customFormat="1" x14ac:dyDescent="0.2">
      <c r="A109" s="54">
        <f>SUM(A372:A377)</f>
        <v>310100</v>
      </c>
      <c r="B109" s="9">
        <f>SUM(B372:B377)</f>
        <v>475800</v>
      </c>
      <c r="C109" s="136">
        <f>SUM(C372:C377)</f>
        <v>391000</v>
      </c>
      <c r="D109" s="134">
        <f>SUM(D372:D377)</f>
        <v>385300</v>
      </c>
      <c r="E109" s="134">
        <f>SUM(E372:E377)</f>
        <v>385400</v>
      </c>
      <c r="F109" s="578" t="s">
        <v>1599</v>
      </c>
      <c r="G109" s="79" t="s">
        <v>5232</v>
      </c>
      <c r="H109" s="9">
        <f t="shared" ref="H109:Q109" si="249">SUM(H372:H377)</f>
        <v>406600</v>
      </c>
      <c r="I109" s="584">
        <f t="shared" si="235"/>
        <v>5.5007784120394394</v>
      </c>
      <c r="J109" s="9">
        <f t="shared" si="249"/>
        <v>416200</v>
      </c>
      <c r="K109" s="9">
        <f t="shared" si="249"/>
        <v>426800</v>
      </c>
      <c r="L109" s="9">
        <f t="shared" si="249"/>
        <v>437700</v>
      </c>
      <c r="M109" s="9">
        <f t="shared" si="249"/>
        <v>448800</v>
      </c>
      <c r="N109" s="9">
        <f t="shared" si="249"/>
        <v>460200</v>
      </c>
      <c r="O109" s="9">
        <f t="shared" si="249"/>
        <v>471800</v>
      </c>
      <c r="P109" s="89">
        <f t="shared" si="249"/>
        <v>483800</v>
      </c>
      <c r="Q109" s="9">
        <f t="shared" si="249"/>
        <v>496100</v>
      </c>
      <c r="R109" s="9">
        <f t="shared" ref="R109" si="250">SUM(R372:R377)</f>
        <v>508700</v>
      </c>
      <c r="S109" s="47">
        <f t="shared" ref="S109" si="251">SUM(S372:S377)</f>
        <v>521600</v>
      </c>
    </row>
    <row r="110" spans="1:21" s="34" customFormat="1" x14ac:dyDescent="0.2">
      <c r="A110" s="54">
        <f t="shared" ref="A110:B110" si="252">SUM(A379:A383)</f>
        <v>1703200</v>
      </c>
      <c r="B110" s="9">
        <f t="shared" si="252"/>
        <v>968800</v>
      </c>
      <c r="C110" s="136">
        <f>SUM(C379:C383)</f>
        <v>672700</v>
      </c>
      <c r="D110" s="134">
        <f>SUM(D379:D383)</f>
        <v>496500</v>
      </c>
      <c r="E110" s="134">
        <f t="shared" ref="E110" si="253">SUM(E379:E383)</f>
        <v>492500</v>
      </c>
      <c r="F110" s="578" t="s">
        <v>1598</v>
      </c>
      <c r="G110" s="9" t="s">
        <v>2624</v>
      </c>
      <c r="H110" s="9">
        <f t="shared" ref="H110:P110" si="254">SUM(H379:H383)</f>
        <v>308200</v>
      </c>
      <c r="I110" s="584">
        <f t="shared" si="235"/>
        <v>-37.421319796954315</v>
      </c>
      <c r="J110" s="9">
        <f t="shared" si="254"/>
        <v>271500</v>
      </c>
      <c r="K110" s="9">
        <f t="shared" si="254"/>
        <v>217900</v>
      </c>
      <c r="L110" s="9">
        <f t="shared" si="254"/>
        <v>189000</v>
      </c>
      <c r="M110" s="9">
        <f t="shared" si="254"/>
        <v>239800</v>
      </c>
      <c r="N110" s="9">
        <f t="shared" si="254"/>
        <v>243500</v>
      </c>
      <c r="O110" s="9">
        <f t="shared" si="254"/>
        <v>230200</v>
      </c>
      <c r="P110" s="89">
        <f t="shared" si="254"/>
        <v>280200</v>
      </c>
      <c r="Q110" s="9">
        <f t="shared" ref="Q110" si="255">SUM(Q379:Q383)</f>
        <v>304100</v>
      </c>
      <c r="R110" s="9">
        <f t="shared" ref="R110" si="256">SUM(R379:R383)</f>
        <v>423200</v>
      </c>
      <c r="S110" s="47">
        <f t="shared" ref="S110" si="257">SUM(S379:S383)</f>
        <v>552800</v>
      </c>
    </row>
    <row r="111" spans="1:21" s="34" customFormat="1" x14ac:dyDescent="0.2">
      <c r="A111" s="54">
        <f t="shared" ref="A111:B111" si="258">SUM(A385:A391)</f>
        <v>111400</v>
      </c>
      <c r="B111" s="9">
        <f t="shared" si="258"/>
        <v>100600</v>
      </c>
      <c r="C111" s="136">
        <f>SUM(C385:C391)</f>
        <v>96600</v>
      </c>
      <c r="D111" s="134">
        <f>SUM(D385:D391)</f>
        <v>81600</v>
      </c>
      <c r="E111" s="134">
        <f t="shared" ref="E111" si="259">SUM(E385:E391)</f>
        <v>84000</v>
      </c>
      <c r="F111" s="578" t="s">
        <v>1602</v>
      </c>
      <c r="G111" s="9" t="s">
        <v>420</v>
      </c>
      <c r="H111" s="9">
        <f t="shared" ref="H111:P111" si="260">SUM(H385:H391)</f>
        <v>72000</v>
      </c>
      <c r="I111" s="584">
        <f t="shared" si="235"/>
        <v>-14.285714285714285</v>
      </c>
      <c r="J111" s="9">
        <f t="shared" si="260"/>
        <v>73800</v>
      </c>
      <c r="K111" s="9">
        <f t="shared" si="260"/>
        <v>75700</v>
      </c>
      <c r="L111" s="9">
        <f t="shared" si="260"/>
        <v>77700</v>
      </c>
      <c r="M111" s="9">
        <f t="shared" si="260"/>
        <v>79800</v>
      </c>
      <c r="N111" s="9">
        <f t="shared" si="260"/>
        <v>81900</v>
      </c>
      <c r="O111" s="9">
        <f t="shared" si="260"/>
        <v>84000</v>
      </c>
      <c r="P111" s="89">
        <f t="shared" si="260"/>
        <v>86300</v>
      </c>
      <c r="Q111" s="9">
        <f t="shared" ref="Q111" si="261">SUM(Q385:Q391)</f>
        <v>88600</v>
      </c>
      <c r="R111" s="9">
        <f t="shared" ref="R111" si="262">SUM(R385:R391)</f>
        <v>91000</v>
      </c>
      <c r="S111" s="47">
        <f t="shared" ref="S111" si="263">SUM(S385:S391)</f>
        <v>93500</v>
      </c>
    </row>
    <row r="112" spans="1:21" s="34" customFormat="1" ht="13.5" thickBot="1" x14ac:dyDescent="0.25">
      <c r="A112" s="54"/>
      <c r="B112" s="9"/>
      <c r="C112" s="136"/>
      <c r="D112" s="134"/>
      <c r="E112" s="134"/>
      <c r="F112" s="239"/>
      <c r="G112" s="260"/>
      <c r="H112" s="9"/>
      <c r="I112" s="584"/>
      <c r="J112" s="9"/>
      <c r="K112" s="9"/>
      <c r="L112" s="9"/>
      <c r="M112" s="9"/>
      <c r="N112" s="9"/>
      <c r="O112" s="9"/>
      <c r="P112" s="89"/>
      <c r="Q112" s="9"/>
      <c r="R112" s="9"/>
      <c r="S112" s="47"/>
    </row>
    <row r="113" spans="1:19" s="34" customFormat="1" x14ac:dyDescent="0.2">
      <c r="A113" s="52">
        <f>SUM(A106:A112)</f>
        <v>13786600</v>
      </c>
      <c r="B113" s="16">
        <f>SUM(B106:B112)</f>
        <v>14462800</v>
      </c>
      <c r="C113" s="137">
        <f>SUM(C106:C112)</f>
        <v>15355900</v>
      </c>
      <c r="D113" s="145">
        <f>SUM(D106:D112)</f>
        <v>16349100</v>
      </c>
      <c r="E113" s="145">
        <f t="shared" ref="E113" si="264">SUM(E106:E112)</f>
        <v>17887500</v>
      </c>
      <c r="F113" s="239"/>
      <c r="G113" s="267" t="s">
        <v>2561</v>
      </c>
      <c r="H113" s="16">
        <f t="shared" ref="H113:P113" si="265">SUM(H106:H112)</f>
        <v>18218400</v>
      </c>
      <c r="I113" s="391">
        <f>IF(E113=H113,0,IF(E113=0,100,(H113-E113)/E113*100))</f>
        <v>1.8498951781970652</v>
      </c>
      <c r="J113" s="16">
        <f t="shared" si="265"/>
        <v>18670200</v>
      </c>
      <c r="K113" s="16">
        <f t="shared" si="265"/>
        <v>19117700</v>
      </c>
      <c r="L113" s="16">
        <f t="shared" si="265"/>
        <v>19601300</v>
      </c>
      <c r="M113" s="16">
        <f t="shared" si="265"/>
        <v>20141000</v>
      </c>
      <c r="N113" s="16">
        <f t="shared" si="265"/>
        <v>20644300</v>
      </c>
      <c r="O113" s="16">
        <f t="shared" si="265"/>
        <v>21144000</v>
      </c>
      <c r="P113" s="102">
        <f t="shared" si="265"/>
        <v>21719800</v>
      </c>
      <c r="Q113" s="16">
        <f t="shared" ref="Q113" si="266">SUM(Q106:Q112)</f>
        <v>22283100</v>
      </c>
      <c r="R113" s="16">
        <f t="shared" ref="R113" si="267">SUM(R106:R112)</f>
        <v>22955100</v>
      </c>
      <c r="S113" s="2342">
        <f t="shared" ref="S113" si="268">SUM(S106:S112)</f>
        <v>23651300</v>
      </c>
    </row>
    <row r="114" spans="1:19" s="34" customFormat="1" x14ac:dyDescent="0.2">
      <c r="A114" s="54"/>
      <c r="B114" s="9"/>
      <c r="C114" s="134"/>
      <c r="D114" s="134"/>
      <c r="E114" s="134"/>
      <c r="F114" s="730"/>
      <c r="G114" s="59"/>
      <c r="H114" s="9"/>
      <c r="I114" s="584"/>
      <c r="J114" s="9"/>
      <c r="K114" s="9"/>
      <c r="L114" s="9"/>
      <c r="M114" s="9"/>
      <c r="N114" s="9"/>
      <c r="O114" s="9"/>
      <c r="P114" s="89"/>
      <c r="Q114" s="9"/>
      <c r="R114" s="9"/>
      <c r="S114" s="47"/>
    </row>
    <row r="115" spans="1:19" s="34" customFormat="1" x14ac:dyDescent="0.2">
      <c r="A115" s="54"/>
      <c r="B115" s="9"/>
      <c r="C115" s="134"/>
      <c r="D115" s="134"/>
      <c r="E115" s="134"/>
      <c r="F115" s="1378"/>
      <c r="G115" s="91" t="s">
        <v>2169</v>
      </c>
      <c r="H115" s="9"/>
      <c r="I115" s="584"/>
      <c r="J115" s="9"/>
      <c r="K115" s="9"/>
      <c r="L115" s="9"/>
      <c r="M115" s="9"/>
      <c r="N115" s="9"/>
      <c r="O115" s="9"/>
      <c r="P115" s="89"/>
      <c r="Q115" s="9"/>
      <c r="R115" s="9"/>
      <c r="S115" s="47"/>
    </row>
    <row r="116" spans="1:19" s="34" customFormat="1" x14ac:dyDescent="0.2">
      <c r="A116" s="54"/>
      <c r="B116" s="9"/>
      <c r="C116" s="136"/>
      <c r="D116" s="134"/>
      <c r="E116" s="134"/>
      <c r="F116" s="578"/>
      <c r="G116" s="256"/>
      <c r="H116" s="9"/>
      <c r="I116" s="584"/>
      <c r="J116" s="9"/>
      <c r="K116" s="9"/>
      <c r="L116" s="9"/>
      <c r="M116" s="9"/>
      <c r="N116" s="9"/>
      <c r="O116" s="9"/>
      <c r="P116" s="89"/>
      <c r="Q116" s="9"/>
      <c r="R116" s="9"/>
      <c r="S116" s="47"/>
    </row>
    <row r="117" spans="1:19" s="34" customFormat="1" x14ac:dyDescent="0.2">
      <c r="A117" s="54"/>
      <c r="B117" s="9"/>
      <c r="C117" s="136"/>
      <c r="D117" s="134"/>
      <c r="E117" s="134"/>
      <c r="F117" s="578"/>
      <c r="G117" s="21" t="s">
        <v>1404</v>
      </c>
      <c r="H117" s="9"/>
      <c r="I117" s="584"/>
      <c r="J117" s="9"/>
      <c r="K117" s="9"/>
      <c r="L117" s="9"/>
      <c r="M117" s="9"/>
      <c r="N117" s="9"/>
      <c r="O117" s="9"/>
      <c r="P117" s="89"/>
      <c r="Q117" s="9"/>
      <c r="R117" s="9"/>
      <c r="S117" s="47"/>
    </row>
    <row r="118" spans="1:19" s="34" customFormat="1" x14ac:dyDescent="0.2">
      <c r="A118" s="54">
        <f>SUM(A396:A400)</f>
        <v>378000</v>
      </c>
      <c r="B118" s="9">
        <f>SUM(B396:B400)</f>
        <v>376500</v>
      </c>
      <c r="C118" s="136">
        <f>SUM(C396:C400)</f>
        <v>439900</v>
      </c>
      <c r="D118" s="134">
        <f>SUM(D396:D400)</f>
        <v>383500</v>
      </c>
      <c r="E118" s="134">
        <f>SUM(E396:E400)</f>
        <v>410900</v>
      </c>
      <c r="F118" s="578" t="s">
        <v>1604</v>
      </c>
      <c r="G118" s="9" t="s">
        <v>563</v>
      </c>
      <c r="H118" s="9">
        <f t="shared" ref="H118:Q118" si="269">SUM(H396:H400)</f>
        <v>412400</v>
      </c>
      <c r="I118" s="584">
        <f t="shared" ref="I118:I132" si="270">IF(E118=H118,0,IF(E118=0,100,(H118-E118)/E118*100))</f>
        <v>0.36505232416646383</v>
      </c>
      <c r="J118" s="9">
        <f t="shared" si="269"/>
        <v>422800</v>
      </c>
      <c r="K118" s="9">
        <f t="shared" si="269"/>
        <v>434100</v>
      </c>
      <c r="L118" s="9">
        <f t="shared" si="269"/>
        <v>445400</v>
      </c>
      <c r="M118" s="9">
        <f t="shared" si="269"/>
        <v>456700</v>
      </c>
      <c r="N118" s="9">
        <f t="shared" si="269"/>
        <v>469000</v>
      </c>
      <c r="O118" s="9">
        <f t="shared" si="269"/>
        <v>481200</v>
      </c>
      <c r="P118" s="89">
        <f t="shared" si="269"/>
        <v>493400</v>
      </c>
      <c r="Q118" s="9">
        <f t="shared" si="269"/>
        <v>506700</v>
      </c>
      <c r="R118" s="9">
        <f t="shared" ref="R118" si="271">SUM(R396:R400)</f>
        <v>519900</v>
      </c>
      <c r="S118" s="47">
        <f t="shared" ref="S118" si="272">SUM(S396:S400)</f>
        <v>533100</v>
      </c>
    </row>
    <row r="119" spans="1:19" s="34" customFormat="1" x14ac:dyDescent="0.2">
      <c r="A119" s="54">
        <f>SUM(A416:A437)</f>
        <v>708600</v>
      </c>
      <c r="B119" s="9">
        <f>SUM(B416:B437)</f>
        <v>816900</v>
      </c>
      <c r="C119" s="136">
        <f>SUM(C416:C437)</f>
        <v>754600</v>
      </c>
      <c r="D119" s="134">
        <f>SUM(D416:D437)</f>
        <v>865000</v>
      </c>
      <c r="E119" s="134">
        <f>SUM(E416:E437)</f>
        <v>1188700</v>
      </c>
      <c r="F119" s="578" t="s">
        <v>609</v>
      </c>
      <c r="G119" s="79" t="s">
        <v>3391</v>
      </c>
      <c r="H119" s="9">
        <f>SUM(H416:H437)</f>
        <v>1002500</v>
      </c>
      <c r="I119" s="584">
        <f t="shared" si="270"/>
        <v>-15.664170943047026</v>
      </c>
      <c r="J119" s="9">
        <f t="shared" ref="J119:R119" si="273">SUM(J416:J437)</f>
        <v>984400</v>
      </c>
      <c r="K119" s="9">
        <f t="shared" si="273"/>
        <v>1009900</v>
      </c>
      <c r="L119" s="9">
        <f t="shared" si="273"/>
        <v>1035900</v>
      </c>
      <c r="M119" s="9">
        <f t="shared" si="273"/>
        <v>1077500</v>
      </c>
      <c r="N119" s="9">
        <f t="shared" si="273"/>
        <v>1090100</v>
      </c>
      <c r="O119" s="9">
        <f t="shared" si="273"/>
        <v>1118100</v>
      </c>
      <c r="P119" s="89">
        <f t="shared" si="273"/>
        <v>1146800</v>
      </c>
      <c r="Q119" s="9">
        <f t="shared" si="273"/>
        <v>1176000</v>
      </c>
      <c r="R119" s="9">
        <f t="shared" si="273"/>
        <v>1226100</v>
      </c>
      <c r="S119" s="47">
        <f t="shared" ref="S119" si="274">SUM(S416:S437)</f>
        <v>1236900</v>
      </c>
    </row>
    <row r="120" spans="1:19" s="34" customFormat="1" x14ac:dyDescent="0.2">
      <c r="A120" s="54">
        <f>SUM(A401:A406)</f>
        <v>1571200</v>
      </c>
      <c r="B120" s="9">
        <f>SUM(B401:B406)</f>
        <v>665600</v>
      </c>
      <c r="C120" s="136">
        <f>SUM(C401:C406)</f>
        <v>452000</v>
      </c>
      <c r="D120" s="134">
        <f>SUM(D401:D406)</f>
        <v>196000</v>
      </c>
      <c r="E120" s="134">
        <f>SUM(E401:E406)</f>
        <v>611200</v>
      </c>
      <c r="F120" s="578" t="s">
        <v>609</v>
      </c>
      <c r="G120" s="79" t="s">
        <v>4588</v>
      </c>
      <c r="H120" s="9">
        <f t="shared" ref="H120:P120" si="275">SUM(H401:H406)</f>
        <v>42000</v>
      </c>
      <c r="I120" s="584">
        <f t="shared" si="270"/>
        <v>-93.1282722513089</v>
      </c>
      <c r="J120" s="9">
        <f t="shared" si="275"/>
        <v>43000</v>
      </c>
      <c r="K120" s="9">
        <f t="shared" si="275"/>
        <v>44100</v>
      </c>
      <c r="L120" s="9">
        <f t="shared" si="275"/>
        <v>45300</v>
      </c>
      <c r="M120" s="9">
        <f t="shared" si="275"/>
        <v>46500</v>
      </c>
      <c r="N120" s="9">
        <f t="shared" si="275"/>
        <v>47700</v>
      </c>
      <c r="O120" s="9">
        <f t="shared" si="275"/>
        <v>48900</v>
      </c>
      <c r="P120" s="89">
        <f t="shared" si="275"/>
        <v>50200</v>
      </c>
      <c r="Q120" s="9">
        <f t="shared" ref="Q120" si="276">SUM(Q401:Q406)</f>
        <v>51500</v>
      </c>
      <c r="R120" s="9">
        <f t="shared" ref="R120" si="277">SUM(R401:R406)</f>
        <v>52800</v>
      </c>
      <c r="S120" s="47">
        <f t="shared" ref="S120" si="278">SUM(S401:S406)</f>
        <v>54200</v>
      </c>
    </row>
    <row r="121" spans="1:19" s="34" customFormat="1" x14ac:dyDescent="0.2">
      <c r="A121" s="54">
        <f>SUM(A438:A441)</f>
        <v>93000</v>
      </c>
      <c r="B121" s="9">
        <f>SUM(B438:B441)</f>
        <v>70900</v>
      </c>
      <c r="C121" s="136">
        <f>SUM(C438:C441)</f>
        <v>27100</v>
      </c>
      <c r="D121" s="134">
        <f>SUM(D438:D441)</f>
        <v>23800</v>
      </c>
      <c r="E121" s="134">
        <f>SUM(E438:E441)</f>
        <v>30300</v>
      </c>
      <c r="F121" s="578" t="s">
        <v>610</v>
      </c>
      <c r="G121" s="79" t="s">
        <v>675</v>
      </c>
      <c r="H121" s="9">
        <f t="shared" ref="H121:Q121" si="279">SUM(H438:H441)</f>
        <v>69000</v>
      </c>
      <c r="I121" s="584">
        <f t="shared" si="270"/>
        <v>127.72277227722772</v>
      </c>
      <c r="J121" s="9">
        <f t="shared" si="279"/>
        <v>29800</v>
      </c>
      <c r="K121" s="9">
        <f t="shared" si="279"/>
        <v>30700</v>
      </c>
      <c r="L121" s="9">
        <f t="shared" si="279"/>
        <v>31600</v>
      </c>
      <c r="M121" s="9">
        <f t="shared" si="279"/>
        <v>32500</v>
      </c>
      <c r="N121" s="9">
        <f t="shared" si="279"/>
        <v>83400</v>
      </c>
      <c r="O121" s="9">
        <f t="shared" si="279"/>
        <v>34300</v>
      </c>
      <c r="P121" s="89">
        <f t="shared" si="279"/>
        <v>35300</v>
      </c>
      <c r="Q121" s="9">
        <f t="shared" si="279"/>
        <v>36300</v>
      </c>
      <c r="R121" s="9">
        <f t="shared" ref="R121" si="280">SUM(R438:R441)</f>
        <v>37300</v>
      </c>
      <c r="S121" s="47">
        <f t="shared" ref="S121" si="281">SUM(S438:S441)</f>
        <v>88300</v>
      </c>
    </row>
    <row r="122" spans="1:19" s="34" customFormat="1" x14ac:dyDescent="0.2">
      <c r="A122" s="54">
        <f>SUM(A448:A456)</f>
        <v>1193100</v>
      </c>
      <c r="B122" s="9">
        <f>SUM(B448:B456)</f>
        <v>1276000</v>
      </c>
      <c r="C122" s="136">
        <f>SUM(C448:C456)</f>
        <v>1304800</v>
      </c>
      <c r="D122" s="134">
        <f>SUM(D448:D456)</f>
        <v>1032900</v>
      </c>
      <c r="E122" s="134">
        <f>SUM(E448:E456)</f>
        <v>950800</v>
      </c>
      <c r="F122" s="578" t="s">
        <v>612</v>
      </c>
      <c r="G122" s="9" t="s">
        <v>1717</v>
      </c>
      <c r="H122" s="9">
        <f t="shared" ref="H122:Q122" si="282">SUM(H448:H456)</f>
        <v>1118900</v>
      </c>
      <c r="I122" s="584">
        <f t="shared" si="270"/>
        <v>17.679848548590659</v>
      </c>
      <c r="J122" s="9">
        <f t="shared" si="282"/>
        <v>1145100</v>
      </c>
      <c r="K122" s="9">
        <f t="shared" si="282"/>
        <v>1174100</v>
      </c>
      <c r="L122" s="9">
        <f t="shared" si="282"/>
        <v>1203900</v>
      </c>
      <c r="M122" s="9">
        <f t="shared" si="282"/>
        <v>1234300</v>
      </c>
      <c r="N122" s="9">
        <f t="shared" si="282"/>
        <v>1265500</v>
      </c>
      <c r="O122" s="9">
        <f t="shared" si="282"/>
        <v>1297500</v>
      </c>
      <c r="P122" s="89">
        <f t="shared" si="282"/>
        <v>1330200</v>
      </c>
      <c r="Q122" s="9">
        <f t="shared" si="282"/>
        <v>1363800</v>
      </c>
      <c r="R122" s="9">
        <f t="shared" ref="R122" si="283">SUM(R448:R456)</f>
        <v>1398200</v>
      </c>
      <c r="S122" s="47">
        <f t="shared" ref="S122" si="284">SUM(S448:S456)</f>
        <v>1433500</v>
      </c>
    </row>
    <row r="123" spans="1:19" s="34" customFormat="1" x14ac:dyDescent="0.2">
      <c r="A123" s="54">
        <f>SUM(A443:A444)</f>
        <v>481000</v>
      </c>
      <c r="B123" s="9">
        <f>SUM(B443:B444)</f>
        <v>463900</v>
      </c>
      <c r="C123" s="136">
        <f>SUM(C443:C444)</f>
        <v>541900</v>
      </c>
      <c r="D123" s="134">
        <f>SUM(D443:D444)</f>
        <v>460000</v>
      </c>
      <c r="E123" s="134">
        <f>SUM(E443:E444)</f>
        <v>274800</v>
      </c>
      <c r="F123" s="578" t="s">
        <v>608</v>
      </c>
      <c r="G123" s="79" t="s">
        <v>4903</v>
      </c>
      <c r="H123" s="9">
        <f t="shared" ref="H123:Q123" si="285">SUM(H443:H444)</f>
        <v>280000</v>
      </c>
      <c r="I123" s="584">
        <f t="shared" si="270"/>
        <v>1.8922852983988356</v>
      </c>
      <c r="J123" s="9">
        <f t="shared" si="285"/>
        <v>286500</v>
      </c>
      <c r="K123" s="9">
        <f t="shared" si="285"/>
        <v>293700</v>
      </c>
      <c r="L123" s="9">
        <f t="shared" si="285"/>
        <v>301100</v>
      </c>
      <c r="M123" s="9">
        <f t="shared" si="285"/>
        <v>308700</v>
      </c>
      <c r="N123" s="9">
        <f t="shared" si="285"/>
        <v>316500</v>
      </c>
      <c r="O123" s="9">
        <f t="shared" si="285"/>
        <v>324500</v>
      </c>
      <c r="P123" s="89">
        <f t="shared" si="285"/>
        <v>332700</v>
      </c>
      <c r="Q123" s="9">
        <f t="shared" si="285"/>
        <v>341100</v>
      </c>
      <c r="R123" s="9">
        <f t="shared" ref="R123" si="286">SUM(R443:R444)</f>
        <v>349700</v>
      </c>
      <c r="S123" s="47">
        <f t="shared" ref="S123" si="287">SUM(S443:S444)</f>
        <v>358500</v>
      </c>
    </row>
    <row r="124" spans="1:19" s="34" customFormat="1" x14ac:dyDescent="0.2">
      <c r="A124" s="54">
        <f>SUM(A445:A446)</f>
        <v>170200</v>
      </c>
      <c r="B124" s="9">
        <f>SUM(B445:B446)</f>
        <v>117800</v>
      </c>
      <c r="C124" s="136">
        <f>SUM(C445:C446)</f>
        <v>136900</v>
      </c>
      <c r="D124" s="134">
        <f>SUM(D445:D446)</f>
        <v>258000</v>
      </c>
      <c r="E124" s="134">
        <f t="shared" ref="E124" si="288">SUM(E445:E446)</f>
        <v>264200</v>
      </c>
      <c r="F124" s="578" t="s">
        <v>613</v>
      </c>
      <c r="G124" s="79" t="s">
        <v>4896</v>
      </c>
      <c r="H124" s="9">
        <f t="shared" ref="H124:P124" si="289">SUM(H445:H446)</f>
        <v>270000</v>
      </c>
      <c r="I124" s="584">
        <f t="shared" si="270"/>
        <v>2.195306585919758</v>
      </c>
      <c r="J124" s="9">
        <f t="shared" si="289"/>
        <v>281600</v>
      </c>
      <c r="K124" s="9">
        <f t="shared" si="289"/>
        <v>287300</v>
      </c>
      <c r="L124" s="9">
        <f t="shared" si="289"/>
        <v>293100</v>
      </c>
      <c r="M124" s="9">
        <f t="shared" si="289"/>
        <v>299000</v>
      </c>
      <c r="N124" s="9">
        <f t="shared" si="289"/>
        <v>305000</v>
      </c>
      <c r="O124" s="9">
        <f t="shared" si="289"/>
        <v>311100</v>
      </c>
      <c r="P124" s="89">
        <f t="shared" si="289"/>
        <v>317100</v>
      </c>
      <c r="Q124" s="9">
        <f t="shared" ref="Q124" si="290">SUM(Q445:Q446)</f>
        <v>254700</v>
      </c>
      <c r="R124" s="9">
        <f t="shared" ref="R124" si="291">SUM(R445:R446)</f>
        <v>254700</v>
      </c>
      <c r="S124" s="47">
        <f t="shared" ref="S124" si="292">SUM(S445:S446)</f>
        <v>254700</v>
      </c>
    </row>
    <row r="125" spans="1:19" s="34" customFormat="1" x14ac:dyDescent="0.2">
      <c r="A125" s="54">
        <f>SUM(A458:A459)</f>
        <v>1030600</v>
      </c>
      <c r="B125" s="9">
        <f>SUM(B458:B459)</f>
        <v>1074700</v>
      </c>
      <c r="C125" s="136">
        <f>SUM(C458:C459)</f>
        <v>1077800</v>
      </c>
      <c r="D125" s="134">
        <f>SUM(D458:D459)</f>
        <v>932200</v>
      </c>
      <c r="E125" s="134">
        <f t="shared" ref="E125" si="293">SUM(E458:E459)</f>
        <v>1009800</v>
      </c>
      <c r="F125" s="578" t="s">
        <v>613</v>
      </c>
      <c r="G125" s="79" t="s">
        <v>4899</v>
      </c>
      <c r="H125" s="9">
        <f t="shared" ref="H125:P125" si="294">SUM(H458:H459)</f>
        <v>1020000</v>
      </c>
      <c r="I125" s="584">
        <f t="shared" si="270"/>
        <v>1.0101010101010102</v>
      </c>
      <c r="J125" s="9">
        <f t="shared" si="294"/>
        <v>1043500</v>
      </c>
      <c r="K125" s="9">
        <f t="shared" si="294"/>
        <v>1069600</v>
      </c>
      <c r="L125" s="9">
        <f t="shared" si="294"/>
        <v>1096400</v>
      </c>
      <c r="M125" s="9">
        <f t="shared" si="294"/>
        <v>1123900</v>
      </c>
      <c r="N125" s="9">
        <f t="shared" si="294"/>
        <v>1152000</v>
      </c>
      <c r="O125" s="9">
        <f t="shared" si="294"/>
        <v>1180800</v>
      </c>
      <c r="P125" s="89">
        <f t="shared" si="294"/>
        <v>1210400</v>
      </c>
      <c r="Q125" s="9">
        <f t="shared" ref="Q125" si="295">SUM(Q458:Q459)</f>
        <v>1240700</v>
      </c>
      <c r="R125" s="9">
        <f t="shared" ref="R125" si="296">SUM(R458:R459)</f>
        <v>1271800</v>
      </c>
      <c r="S125" s="47">
        <f t="shared" ref="S125" si="297">SUM(S458:S459)</f>
        <v>1303600</v>
      </c>
    </row>
    <row r="126" spans="1:19" s="34" customFormat="1" x14ac:dyDescent="0.2">
      <c r="A126" s="54">
        <f>SUM(A460:A462)</f>
        <v>0</v>
      </c>
      <c r="B126" s="9">
        <f>SUM(B460:B462)</f>
        <v>0</v>
      </c>
      <c r="C126" s="136">
        <f>SUM(C460:C462)</f>
        <v>0</v>
      </c>
      <c r="D126" s="134">
        <f>SUM(D460:D462)</f>
        <v>137200</v>
      </c>
      <c r="E126" s="134">
        <f>SUM(E460:E462)</f>
        <v>160500</v>
      </c>
      <c r="F126" s="578" t="s">
        <v>6074</v>
      </c>
      <c r="G126" s="79" t="s">
        <v>6554</v>
      </c>
      <c r="H126" s="9">
        <f t="shared" ref="H126:Q126" si="298">SUM(H460:H462)</f>
        <v>202500</v>
      </c>
      <c r="I126" s="584">
        <f t="shared" si="270"/>
        <v>26.168224299065418</v>
      </c>
      <c r="J126" s="9">
        <f t="shared" si="298"/>
        <v>207200</v>
      </c>
      <c r="K126" s="9">
        <f t="shared" si="298"/>
        <v>212400</v>
      </c>
      <c r="L126" s="9">
        <f t="shared" si="298"/>
        <v>217800</v>
      </c>
      <c r="M126" s="9">
        <f t="shared" si="298"/>
        <v>223300</v>
      </c>
      <c r="N126" s="9">
        <f t="shared" si="298"/>
        <v>228900</v>
      </c>
      <c r="O126" s="9">
        <f t="shared" si="298"/>
        <v>234700</v>
      </c>
      <c r="P126" s="89">
        <f t="shared" si="298"/>
        <v>240600</v>
      </c>
      <c r="Q126" s="9">
        <f t="shared" si="298"/>
        <v>246700</v>
      </c>
      <c r="R126" s="9">
        <f t="shared" ref="R126" si="299">SUM(R460:R462)</f>
        <v>252900</v>
      </c>
      <c r="S126" s="47">
        <f t="shared" ref="S126" si="300">SUM(S460:S462)</f>
        <v>259300</v>
      </c>
    </row>
    <row r="127" spans="1:19" s="34" customFormat="1" x14ac:dyDescent="0.2">
      <c r="A127" s="54">
        <f>SUM(A463:A483)</f>
        <v>1190800</v>
      </c>
      <c r="B127" s="9">
        <f>SUM(B463:B483)</f>
        <v>1497900</v>
      </c>
      <c r="C127" s="136">
        <f>SUM(C463:C483)</f>
        <v>1633700</v>
      </c>
      <c r="D127" s="134">
        <f>SUM(D463:D483)</f>
        <v>1364100</v>
      </c>
      <c r="E127" s="134">
        <f>SUM(E463:E483)</f>
        <v>1169100</v>
      </c>
      <c r="F127" s="578" t="s">
        <v>614</v>
      </c>
      <c r="G127" s="79" t="s">
        <v>4900</v>
      </c>
      <c r="H127" s="9">
        <f>SUM(H463:H483)</f>
        <v>1265100</v>
      </c>
      <c r="I127" s="584">
        <f t="shared" si="270"/>
        <v>8.2114447010520912</v>
      </c>
      <c r="J127" s="9">
        <f t="shared" ref="J127:R127" si="301">SUM(J463:J483)</f>
        <v>1294900</v>
      </c>
      <c r="K127" s="9">
        <f t="shared" si="301"/>
        <v>1327800</v>
      </c>
      <c r="L127" s="9">
        <f t="shared" si="301"/>
        <v>1361400</v>
      </c>
      <c r="M127" s="9">
        <f t="shared" si="301"/>
        <v>1396100</v>
      </c>
      <c r="N127" s="9">
        <f t="shared" si="301"/>
        <v>1431500</v>
      </c>
      <c r="O127" s="9">
        <f t="shared" si="301"/>
        <v>1467900</v>
      </c>
      <c r="P127" s="89">
        <f t="shared" si="301"/>
        <v>1505300</v>
      </c>
      <c r="Q127" s="9">
        <f t="shared" si="301"/>
        <v>1543500</v>
      </c>
      <c r="R127" s="9">
        <f t="shared" si="301"/>
        <v>1582700</v>
      </c>
      <c r="S127" s="47">
        <f t="shared" ref="S127" si="302">SUM(S463:S483)</f>
        <v>1622800</v>
      </c>
    </row>
    <row r="128" spans="1:19" s="34" customFormat="1" x14ac:dyDescent="0.2">
      <c r="A128" s="54">
        <f>SUM(A484:A485)</f>
        <v>186600</v>
      </c>
      <c r="B128" s="9">
        <f>SUM(B484:B485)</f>
        <v>198300</v>
      </c>
      <c r="C128" s="136">
        <f>SUM(C484:C485)</f>
        <v>138100</v>
      </c>
      <c r="D128" s="134">
        <f>SUM(D484:D485)</f>
        <v>98500</v>
      </c>
      <c r="E128" s="134">
        <f>SUM(E484:E485)</f>
        <v>66900</v>
      </c>
      <c r="F128" s="578" t="s">
        <v>614</v>
      </c>
      <c r="G128" s="79" t="s">
        <v>4901</v>
      </c>
      <c r="H128" s="9">
        <f>SUM(H484:H485)</f>
        <v>90000</v>
      </c>
      <c r="I128" s="584">
        <f t="shared" si="270"/>
        <v>34.529147982062781</v>
      </c>
      <c r="J128" s="9">
        <f t="shared" ref="J128:S128" si="303">SUM(J484:J485)</f>
        <v>92100</v>
      </c>
      <c r="K128" s="9">
        <f t="shared" si="303"/>
        <v>94500</v>
      </c>
      <c r="L128" s="9">
        <f t="shared" si="303"/>
        <v>96900</v>
      </c>
      <c r="M128" s="9">
        <f t="shared" si="303"/>
        <v>99400</v>
      </c>
      <c r="N128" s="9">
        <f t="shared" si="303"/>
        <v>101900</v>
      </c>
      <c r="O128" s="9">
        <f t="shared" si="303"/>
        <v>104500</v>
      </c>
      <c r="P128" s="89">
        <f t="shared" si="303"/>
        <v>107200</v>
      </c>
      <c r="Q128" s="9">
        <f t="shared" si="303"/>
        <v>109900</v>
      </c>
      <c r="R128" s="9">
        <f t="shared" si="303"/>
        <v>112700</v>
      </c>
      <c r="S128" s="47">
        <f t="shared" si="303"/>
        <v>115600</v>
      </c>
    </row>
    <row r="129" spans="1:19" s="34" customFormat="1" x14ac:dyDescent="0.2">
      <c r="A129" s="54">
        <f>SUM(A486:A490)</f>
        <v>359600</v>
      </c>
      <c r="B129" s="9">
        <f>SUM(B486:B490)</f>
        <v>258900</v>
      </c>
      <c r="C129" s="136">
        <f>SUM(C486:C490)</f>
        <v>424700</v>
      </c>
      <c r="D129" s="134">
        <f>SUM(D486:D491)</f>
        <v>1038300</v>
      </c>
      <c r="E129" s="134">
        <f>SUM(E486:E491)</f>
        <v>1145600</v>
      </c>
      <c r="F129" s="578" t="s">
        <v>614</v>
      </c>
      <c r="G129" s="79" t="s">
        <v>4902</v>
      </c>
      <c r="H129" s="9">
        <f>SUM(H486:H491)</f>
        <v>1195300</v>
      </c>
      <c r="I129" s="584">
        <f t="shared" si="270"/>
        <v>4.3383379888268152</v>
      </c>
      <c r="J129" s="9">
        <f t="shared" ref="J129:Q129" si="304">SUM(J486:J491)</f>
        <v>1223100</v>
      </c>
      <c r="K129" s="9">
        <f t="shared" si="304"/>
        <v>1254000</v>
      </c>
      <c r="L129" s="9">
        <f t="shared" si="304"/>
        <v>1285600</v>
      </c>
      <c r="M129" s="9">
        <f t="shared" si="304"/>
        <v>1318100</v>
      </c>
      <c r="N129" s="9">
        <f t="shared" si="304"/>
        <v>1351300</v>
      </c>
      <c r="O129" s="9">
        <f t="shared" si="304"/>
        <v>1385300</v>
      </c>
      <c r="P129" s="9">
        <f t="shared" si="304"/>
        <v>1420100</v>
      </c>
      <c r="Q129" s="9">
        <f t="shared" si="304"/>
        <v>1456000</v>
      </c>
      <c r="R129" s="9">
        <f t="shared" ref="R129" si="305">SUM(R486:R491)</f>
        <v>1492500</v>
      </c>
      <c r="S129" s="47">
        <f t="shared" ref="S129" si="306">SUM(S486:S491)</f>
        <v>1529900</v>
      </c>
    </row>
    <row r="130" spans="1:19" s="34" customFormat="1" x14ac:dyDescent="0.2">
      <c r="A130" s="54">
        <f>SUM(A492:A494)</f>
        <v>58800</v>
      </c>
      <c r="B130" s="9">
        <f>SUM(B492:B494)</f>
        <v>46700</v>
      </c>
      <c r="C130" s="136">
        <f>SUM(C492:C494)</f>
        <v>9000</v>
      </c>
      <c r="D130" s="134">
        <f>SUM(D492:D494)</f>
        <v>44100</v>
      </c>
      <c r="E130" s="134">
        <f>SUM(E492:E494)</f>
        <v>67300</v>
      </c>
      <c r="F130" s="578" t="s">
        <v>5406</v>
      </c>
      <c r="G130" s="79" t="s">
        <v>6754</v>
      </c>
      <c r="H130" s="134">
        <f t="shared" ref="H130:Q130" si="307">SUM(H492:H494)</f>
        <v>75000</v>
      </c>
      <c r="I130" s="584">
        <f t="shared" si="270"/>
        <v>11.441307578008916</v>
      </c>
      <c r="J130" s="134">
        <f t="shared" si="307"/>
        <v>76800</v>
      </c>
      <c r="K130" s="134">
        <f t="shared" si="307"/>
        <v>78800</v>
      </c>
      <c r="L130" s="134">
        <f t="shared" si="307"/>
        <v>80800</v>
      </c>
      <c r="M130" s="134">
        <f t="shared" si="307"/>
        <v>82900</v>
      </c>
      <c r="N130" s="134">
        <f t="shared" si="307"/>
        <v>85000</v>
      </c>
      <c r="O130" s="134">
        <f t="shared" si="307"/>
        <v>87200</v>
      </c>
      <c r="P130" s="134">
        <f t="shared" si="307"/>
        <v>89400</v>
      </c>
      <c r="Q130" s="9">
        <f t="shared" si="307"/>
        <v>91700</v>
      </c>
      <c r="R130" s="9">
        <f t="shared" ref="R130" si="308">SUM(R492:R494)</f>
        <v>94000</v>
      </c>
      <c r="S130" s="47">
        <f t="shared" ref="S130" si="309">SUM(S492:S494)</f>
        <v>96400</v>
      </c>
    </row>
    <row r="131" spans="1:19" s="34" customFormat="1" x14ac:dyDescent="0.2">
      <c r="A131" s="54">
        <f>SUM(A495:A510)</f>
        <v>436000</v>
      </c>
      <c r="B131" s="9">
        <f>SUM(B495:B510)</f>
        <v>627100</v>
      </c>
      <c r="C131" s="136">
        <f>SUM(C495:C510)</f>
        <v>501800</v>
      </c>
      <c r="D131" s="134">
        <f>SUM(D495:D510)</f>
        <v>294300</v>
      </c>
      <c r="E131" s="134">
        <f>SUM(E495:E510)</f>
        <v>315900</v>
      </c>
      <c r="F131" s="578" t="s">
        <v>615</v>
      </c>
      <c r="G131" s="79" t="s">
        <v>6755</v>
      </c>
      <c r="H131" s="9">
        <f t="shared" ref="H131:Q131" si="310">SUM(H495:H510)</f>
        <v>405200</v>
      </c>
      <c r="I131" s="584">
        <f t="shared" si="270"/>
        <v>28.268439379550493</v>
      </c>
      <c r="J131" s="9">
        <f t="shared" si="310"/>
        <v>415200</v>
      </c>
      <c r="K131" s="9">
        <f t="shared" si="310"/>
        <v>426200</v>
      </c>
      <c r="L131" s="9">
        <f t="shared" si="310"/>
        <v>437300</v>
      </c>
      <c r="M131" s="9">
        <f t="shared" si="310"/>
        <v>448900</v>
      </c>
      <c r="N131" s="9">
        <f t="shared" si="310"/>
        <v>460600</v>
      </c>
      <c r="O131" s="9">
        <f t="shared" si="310"/>
        <v>472500</v>
      </c>
      <c r="P131" s="89">
        <f t="shared" si="310"/>
        <v>484700</v>
      </c>
      <c r="Q131" s="9">
        <f t="shared" si="310"/>
        <v>497500</v>
      </c>
      <c r="R131" s="9">
        <f t="shared" ref="R131" si="311">SUM(R495:R510)</f>
        <v>510700</v>
      </c>
      <c r="S131" s="47">
        <f t="shared" ref="S131" si="312">SUM(S495:S510)</f>
        <v>524000</v>
      </c>
    </row>
    <row r="132" spans="1:19" s="34" customFormat="1" x14ac:dyDescent="0.2">
      <c r="A132" s="54">
        <f>A512+A515+A516</f>
        <v>0</v>
      </c>
      <c r="B132" s="9">
        <f>B512+B515+B516</f>
        <v>0</v>
      </c>
      <c r="C132" s="136">
        <f>C512+C515+C516</f>
        <v>0</v>
      </c>
      <c r="D132" s="134">
        <f>SUM(D512:D516)</f>
        <v>94800</v>
      </c>
      <c r="E132" s="134">
        <f>SUM(E512:E516)</f>
        <v>79200</v>
      </c>
      <c r="F132" s="578" t="s">
        <v>6546</v>
      </c>
      <c r="G132" s="79" t="s">
        <v>6756</v>
      </c>
      <c r="H132" s="9">
        <f t="shared" ref="H132:Q132" si="313">SUM(H512:H516)</f>
        <v>230500</v>
      </c>
      <c r="I132" s="584">
        <f t="shared" si="270"/>
        <v>191.03535353535352</v>
      </c>
      <c r="J132" s="9">
        <f t="shared" si="313"/>
        <v>235900</v>
      </c>
      <c r="K132" s="9">
        <f t="shared" si="313"/>
        <v>241900</v>
      </c>
      <c r="L132" s="9">
        <f t="shared" si="313"/>
        <v>248100</v>
      </c>
      <c r="M132" s="9">
        <f t="shared" si="313"/>
        <v>254400</v>
      </c>
      <c r="N132" s="9">
        <f t="shared" si="313"/>
        <v>260800</v>
      </c>
      <c r="O132" s="9">
        <f t="shared" si="313"/>
        <v>267400</v>
      </c>
      <c r="P132" s="9">
        <f t="shared" si="313"/>
        <v>274200</v>
      </c>
      <c r="Q132" s="9">
        <f t="shared" si="313"/>
        <v>281200</v>
      </c>
      <c r="R132" s="9">
        <f t="shared" ref="R132" si="314">SUM(R512:R516)</f>
        <v>288300</v>
      </c>
      <c r="S132" s="47">
        <f t="shared" ref="S132" si="315">SUM(S512:S516)</f>
        <v>295600</v>
      </c>
    </row>
    <row r="133" spans="1:19" s="34" customFormat="1" x14ac:dyDescent="0.2">
      <c r="A133" s="54"/>
      <c r="B133" s="9"/>
      <c r="C133" s="136"/>
      <c r="D133" s="134"/>
      <c r="E133" s="134"/>
      <c r="F133" s="578"/>
      <c r="G133" s="79"/>
      <c r="H133" s="9"/>
      <c r="I133" s="584"/>
      <c r="J133" s="9"/>
      <c r="K133" s="9"/>
      <c r="L133" s="9"/>
      <c r="M133" s="9"/>
      <c r="N133" s="9"/>
      <c r="O133" s="9"/>
      <c r="P133" s="89"/>
      <c r="Q133" s="9"/>
      <c r="R133" s="9"/>
      <c r="S133" s="47"/>
    </row>
    <row r="134" spans="1:19" s="34" customFormat="1" x14ac:dyDescent="0.2">
      <c r="A134" s="54"/>
      <c r="B134" s="9"/>
      <c r="C134" s="136"/>
      <c r="D134" s="134"/>
      <c r="E134" s="134"/>
      <c r="F134" s="578"/>
      <c r="G134" s="21" t="s">
        <v>1636</v>
      </c>
      <c r="H134" s="9"/>
      <c r="I134" s="584"/>
      <c r="J134" s="9"/>
      <c r="K134" s="9"/>
      <c r="L134" s="9"/>
      <c r="M134" s="9"/>
      <c r="N134" s="9"/>
      <c r="O134" s="9"/>
      <c r="P134" s="89"/>
      <c r="Q134" s="9"/>
      <c r="R134" s="9"/>
      <c r="S134" s="47"/>
    </row>
    <row r="135" spans="1:19" s="34" customFormat="1" x14ac:dyDescent="0.2">
      <c r="A135" s="54">
        <f>ROUND(SUM(A408:A408),-2)</f>
        <v>1503000</v>
      </c>
      <c r="B135" s="9">
        <f>SUM(B408:B408)</f>
        <v>1729000</v>
      </c>
      <c r="C135" s="136">
        <f>SUM(C408:C408)</f>
        <v>1777000</v>
      </c>
      <c r="D135" s="134">
        <f>SUM(D408:D408)</f>
        <v>1888000</v>
      </c>
      <c r="E135" s="134">
        <f t="shared" ref="E135" si="316">SUM(E408:E408)</f>
        <v>1950000</v>
      </c>
      <c r="F135" s="578" t="s">
        <v>609</v>
      </c>
      <c r="G135" s="9" t="s">
        <v>399</v>
      </c>
      <c r="H135" s="9">
        <f t="shared" ref="H135:P135" si="317">SUM(H408:H408)</f>
        <v>2094000</v>
      </c>
      <c r="I135" s="584">
        <f>IF(E135=H135,0,IF(E135=0,100,(H135-E135)/E135*100))</f>
        <v>7.384615384615385</v>
      </c>
      <c r="J135" s="9">
        <f t="shared" si="317"/>
        <v>2142200</v>
      </c>
      <c r="K135" s="9">
        <f t="shared" si="317"/>
        <v>2195800</v>
      </c>
      <c r="L135" s="9">
        <f t="shared" si="317"/>
        <v>2250700</v>
      </c>
      <c r="M135" s="9">
        <f t="shared" si="317"/>
        <v>2307000</v>
      </c>
      <c r="N135" s="9">
        <f t="shared" si="317"/>
        <v>2364700</v>
      </c>
      <c r="O135" s="9">
        <f t="shared" si="317"/>
        <v>2423800</v>
      </c>
      <c r="P135" s="89">
        <f t="shared" si="317"/>
        <v>2484400</v>
      </c>
      <c r="Q135" s="9">
        <f t="shared" ref="Q135" si="318">SUM(Q408:Q408)</f>
        <v>2546500</v>
      </c>
      <c r="R135" s="9">
        <f t="shared" ref="R135" si="319">SUM(R408:R408)</f>
        <v>2610200</v>
      </c>
      <c r="S135" s="47">
        <f t="shared" ref="S135" si="320">SUM(S408:S408)</f>
        <v>2675500</v>
      </c>
    </row>
    <row r="136" spans="1:19" s="34" customFormat="1" x14ac:dyDescent="0.2">
      <c r="A136" s="54"/>
      <c r="B136" s="9"/>
      <c r="C136" s="136"/>
      <c r="D136" s="134"/>
      <c r="E136" s="134"/>
      <c r="F136" s="578"/>
      <c r="G136" s="9"/>
      <c r="H136" s="9"/>
      <c r="I136" s="584"/>
      <c r="J136" s="9"/>
      <c r="K136" s="9"/>
      <c r="L136" s="9"/>
      <c r="M136" s="9"/>
      <c r="N136" s="9"/>
      <c r="O136" s="9"/>
      <c r="P136" s="89"/>
      <c r="Q136" s="9"/>
      <c r="R136" s="9"/>
      <c r="S136" s="47"/>
    </row>
    <row r="137" spans="1:19" s="34" customFormat="1" x14ac:dyDescent="0.2">
      <c r="A137" s="54"/>
      <c r="B137" s="9"/>
      <c r="C137" s="136"/>
      <c r="D137" s="134"/>
      <c r="E137" s="134"/>
      <c r="F137" s="578"/>
      <c r="G137" s="21" t="s">
        <v>1112</v>
      </c>
      <c r="H137" s="9"/>
      <c r="I137" s="584"/>
      <c r="J137" s="9"/>
      <c r="K137" s="9"/>
      <c r="L137" s="9"/>
      <c r="M137" s="9"/>
      <c r="N137" s="9"/>
      <c r="O137" s="9"/>
      <c r="P137" s="89"/>
      <c r="Q137" s="9"/>
      <c r="R137" s="9"/>
      <c r="S137" s="47"/>
    </row>
    <row r="138" spans="1:19" s="34" customFormat="1" x14ac:dyDescent="0.2">
      <c r="A138" s="54">
        <f>ROUND(A519,-2)</f>
        <v>3266700</v>
      </c>
      <c r="B138" s="9">
        <f>B519</f>
        <v>4766800</v>
      </c>
      <c r="C138" s="136">
        <f>C519</f>
        <v>4647600</v>
      </c>
      <c r="D138" s="134">
        <f>D519</f>
        <v>4358200</v>
      </c>
      <c r="E138" s="134">
        <f t="shared" ref="E138" si="321">E519</f>
        <v>4199300</v>
      </c>
      <c r="F138" s="578" t="s">
        <v>611</v>
      </c>
      <c r="G138" s="9" t="s">
        <v>1343</v>
      </c>
      <c r="H138" s="9">
        <f t="shared" ref="H138:M138" si="322">H519</f>
        <v>4055900</v>
      </c>
      <c r="I138" s="584">
        <f>IF(E138=H138,0,IF(E138=0,100,(H138-E138)/E138*100))</f>
        <v>-3.4148548567618411</v>
      </c>
      <c r="J138" s="9">
        <f t="shared" si="322"/>
        <v>3744300</v>
      </c>
      <c r="K138" s="9">
        <f t="shared" si="322"/>
        <v>3598000</v>
      </c>
      <c r="L138" s="9">
        <f t="shared" si="322"/>
        <v>3439800</v>
      </c>
      <c r="M138" s="9">
        <f t="shared" si="322"/>
        <v>3239200</v>
      </c>
      <c r="N138" s="9">
        <f t="shared" ref="N138:R138" si="323">N519</f>
        <v>3049200</v>
      </c>
      <c r="O138" s="9">
        <f t="shared" si="323"/>
        <v>2856300</v>
      </c>
      <c r="P138" s="89">
        <f t="shared" si="323"/>
        <v>2658300</v>
      </c>
      <c r="Q138" s="9">
        <f t="shared" si="323"/>
        <v>2463300</v>
      </c>
      <c r="R138" s="9">
        <f t="shared" si="323"/>
        <v>2266300</v>
      </c>
      <c r="S138" s="47">
        <f t="shared" ref="S138" si="324">S519</f>
        <v>2068300</v>
      </c>
    </row>
    <row r="139" spans="1:19" s="34" customFormat="1" x14ac:dyDescent="0.2">
      <c r="A139" s="54"/>
      <c r="B139" s="9"/>
      <c r="C139" s="136"/>
      <c r="D139" s="134"/>
      <c r="E139" s="134"/>
      <c r="F139" s="578"/>
      <c r="G139" s="9"/>
      <c r="H139" s="9"/>
      <c r="I139" s="584"/>
      <c r="J139" s="9"/>
      <c r="K139" s="9"/>
      <c r="L139" s="9"/>
      <c r="M139" s="9"/>
      <c r="N139" s="9"/>
      <c r="O139" s="9"/>
      <c r="P139" s="89"/>
      <c r="Q139" s="9"/>
      <c r="R139" s="9"/>
      <c r="S139" s="47"/>
    </row>
    <row r="140" spans="1:19" s="34" customFormat="1" x14ac:dyDescent="0.2">
      <c r="A140" s="54"/>
      <c r="B140" s="9"/>
      <c r="C140" s="136"/>
      <c r="D140" s="134"/>
      <c r="E140" s="134"/>
      <c r="F140" s="578"/>
      <c r="G140" s="21" t="s">
        <v>261</v>
      </c>
      <c r="H140" s="9"/>
      <c r="I140" s="584"/>
      <c r="J140" s="9"/>
      <c r="K140" s="9"/>
      <c r="L140" s="9"/>
      <c r="M140" s="9"/>
      <c r="N140" s="9"/>
      <c r="O140" s="9"/>
      <c r="P140" s="89"/>
      <c r="Q140" s="9"/>
      <c r="R140" s="9"/>
      <c r="S140" s="47"/>
    </row>
    <row r="141" spans="1:19" s="34" customFormat="1" x14ac:dyDescent="0.2">
      <c r="A141" s="54">
        <f>A522</f>
        <v>2841000</v>
      </c>
      <c r="B141" s="9">
        <f>B522</f>
        <v>2643100</v>
      </c>
      <c r="C141" s="136">
        <f>C522</f>
        <v>2314300</v>
      </c>
      <c r="D141" s="134">
        <f>D522</f>
        <v>3531900</v>
      </c>
      <c r="E141" s="134">
        <f t="shared" ref="E141" si="325">E522</f>
        <v>3573300</v>
      </c>
      <c r="F141" s="1153">
        <v>55022</v>
      </c>
      <c r="G141" s="9" t="s">
        <v>2035</v>
      </c>
      <c r="H141" s="9">
        <f t="shared" ref="H141:P141" si="326">H522</f>
        <v>3775000</v>
      </c>
      <c r="I141" s="584">
        <f>IF(E141=H141,0,IF(E141=0,100,(H141-E141)/E141*100))</f>
        <v>5.6446422074832787</v>
      </c>
      <c r="J141" s="9">
        <f t="shared" si="326"/>
        <v>3851000</v>
      </c>
      <c r="K141" s="9">
        <f t="shared" si="326"/>
        <v>3928000</v>
      </c>
      <c r="L141" s="9">
        <f t="shared" si="326"/>
        <v>4007000</v>
      </c>
      <c r="M141" s="9">
        <f t="shared" si="326"/>
        <v>4087000</v>
      </c>
      <c r="N141" s="9">
        <f t="shared" si="326"/>
        <v>4169000</v>
      </c>
      <c r="O141" s="9">
        <f t="shared" si="326"/>
        <v>4252000</v>
      </c>
      <c r="P141" s="89">
        <f t="shared" si="326"/>
        <v>4337000</v>
      </c>
      <c r="Q141" s="9">
        <f t="shared" ref="Q141" si="327">Q522</f>
        <v>4424000</v>
      </c>
      <c r="R141" s="9">
        <f t="shared" ref="R141" si="328">R522</f>
        <v>4512000</v>
      </c>
      <c r="S141" s="47">
        <f t="shared" ref="S141" si="329">S522</f>
        <v>4602000</v>
      </c>
    </row>
    <row r="142" spans="1:19" s="34" customFormat="1" x14ac:dyDescent="0.2">
      <c r="A142" s="54">
        <f>ROUND(A523,-3)</f>
        <v>1596000</v>
      </c>
      <c r="B142" s="9">
        <f t="shared" ref="B142:E143" si="330">B523</f>
        <v>20300</v>
      </c>
      <c r="C142" s="136">
        <f t="shared" si="330"/>
        <v>12216800</v>
      </c>
      <c r="D142" s="134">
        <f t="shared" si="330"/>
        <v>10800</v>
      </c>
      <c r="E142" s="134">
        <f t="shared" si="330"/>
        <v>416400</v>
      </c>
      <c r="F142" s="578"/>
      <c r="G142" s="79" t="s">
        <v>4427</v>
      </c>
      <c r="H142" s="9">
        <f t="shared" ref="H142:P142" si="331">H523</f>
        <v>0</v>
      </c>
      <c r="I142" s="584">
        <f>IF(E142=H142,0,IF(E142=0,100,(H142-E142)/E142*100))</f>
        <v>-100</v>
      </c>
      <c r="J142" s="9">
        <f t="shared" si="331"/>
        <v>0</v>
      </c>
      <c r="K142" s="9">
        <f t="shared" si="331"/>
        <v>0</v>
      </c>
      <c r="L142" s="9">
        <f t="shared" si="331"/>
        <v>0</v>
      </c>
      <c r="M142" s="9">
        <f t="shared" si="331"/>
        <v>0</v>
      </c>
      <c r="N142" s="9">
        <f t="shared" si="331"/>
        <v>0</v>
      </c>
      <c r="O142" s="9">
        <f t="shared" si="331"/>
        <v>0</v>
      </c>
      <c r="P142" s="89">
        <f t="shared" si="331"/>
        <v>0</v>
      </c>
      <c r="Q142" s="9">
        <f t="shared" ref="Q142" si="332">Q523</f>
        <v>0</v>
      </c>
      <c r="R142" s="9">
        <f t="shared" ref="R142" si="333">R523</f>
        <v>0</v>
      </c>
      <c r="S142" s="47">
        <f t="shared" ref="S142" si="334">S523</f>
        <v>0</v>
      </c>
    </row>
    <row r="143" spans="1:19" s="34" customFormat="1" x14ac:dyDescent="0.2">
      <c r="A143" s="54">
        <f>ROUND(A524,-2)</f>
        <v>435600</v>
      </c>
      <c r="B143" s="9">
        <f t="shared" si="330"/>
        <v>394000</v>
      </c>
      <c r="C143" s="136">
        <f t="shared" si="330"/>
        <v>349200</v>
      </c>
      <c r="D143" s="134">
        <f t="shared" si="330"/>
        <v>301100</v>
      </c>
      <c r="E143" s="134">
        <f t="shared" si="330"/>
        <v>249300</v>
      </c>
      <c r="F143" s="1153">
        <v>55022</v>
      </c>
      <c r="G143" s="9" t="s">
        <v>2732</v>
      </c>
      <c r="H143" s="9">
        <f t="shared" ref="H143:P143" si="335">H524</f>
        <v>194000</v>
      </c>
      <c r="I143" s="584">
        <f>IF(E143=H143,0,IF(E143=0,100,(H143-E143)/E143*100))</f>
        <v>-22.182109907741676</v>
      </c>
      <c r="J143" s="9">
        <f t="shared" si="335"/>
        <v>134000</v>
      </c>
      <c r="K143" s="9">
        <f t="shared" si="335"/>
        <v>69000</v>
      </c>
      <c r="L143" s="9">
        <f t="shared" si="335"/>
        <v>0</v>
      </c>
      <c r="M143" s="9">
        <f t="shared" si="335"/>
        <v>0</v>
      </c>
      <c r="N143" s="9">
        <f t="shared" si="335"/>
        <v>0</v>
      </c>
      <c r="O143" s="9">
        <f t="shared" si="335"/>
        <v>0</v>
      </c>
      <c r="P143" s="89">
        <f t="shared" si="335"/>
        <v>0</v>
      </c>
      <c r="Q143" s="9">
        <f t="shared" ref="Q143" si="336">Q524</f>
        <v>0</v>
      </c>
      <c r="R143" s="9">
        <f t="shared" ref="R143" si="337">R524</f>
        <v>0</v>
      </c>
      <c r="S143" s="47">
        <f t="shared" ref="S143" si="338">S524</f>
        <v>0</v>
      </c>
    </row>
    <row r="144" spans="1:19" s="34" customFormat="1" ht="13.5" thickBot="1" x14ac:dyDescent="0.25">
      <c r="A144" s="54"/>
      <c r="B144" s="9"/>
      <c r="C144" s="136"/>
      <c r="D144" s="134"/>
      <c r="E144" s="134"/>
      <c r="F144" s="1157"/>
      <c r="G144" s="257"/>
      <c r="H144" s="9"/>
      <c r="I144" s="584"/>
      <c r="J144" s="9"/>
      <c r="K144" s="9"/>
      <c r="L144" s="9"/>
      <c r="M144" s="9"/>
      <c r="N144" s="9"/>
      <c r="O144" s="9"/>
      <c r="P144" s="89"/>
      <c r="Q144" s="9"/>
      <c r="R144" s="9"/>
      <c r="S144" s="47"/>
    </row>
    <row r="145" spans="1:21" s="39" customFormat="1" x14ac:dyDescent="0.2">
      <c r="A145" s="52">
        <f>SUM(A115:A144)</f>
        <v>17499800</v>
      </c>
      <c r="B145" s="16">
        <f>SUM(B115:B144)</f>
        <v>17044400</v>
      </c>
      <c r="C145" s="137">
        <f>SUM(C115:C144)</f>
        <v>28747200</v>
      </c>
      <c r="D145" s="145">
        <f>SUM(D115:D144)</f>
        <v>17312700</v>
      </c>
      <c r="E145" s="145">
        <f>SUM(E115:E144)</f>
        <v>18133500</v>
      </c>
      <c r="F145" s="1182">
        <f>+E145-E141-E142-E143</f>
        <v>13894500</v>
      </c>
      <c r="G145" s="267" t="s">
        <v>556</v>
      </c>
      <c r="H145" s="16">
        <f t="shared" ref="H145:Q145" si="339">SUM(H115:H144)</f>
        <v>17797300</v>
      </c>
      <c r="I145" s="391">
        <f>IF(E145=H145,0,IF(E145=0,100,(H145-E145)/E145*100))</f>
        <v>-1.8540270769570131</v>
      </c>
      <c r="J145" s="16">
        <f t="shared" si="339"/>
        <v>17653400</v>
      </c>
      <c r="K145" s="16">
        <f t="shared" si="339"/>
        <v>17769900</v>
      </c>
      <c r="L145" s="16">
        <f t="shared" si="339"/>
        <v>17878100</v>
      </c>
      <c r="M145" s="16">
        <f t="shared" si="339"/>
        <v>18035400</v>
      </c>
      <c r="N145" s="16">
        <f t="shared" si="339"/>
        <v>18232100</v>
      </c>
      <c r="O145" s="16">
        <f t="shared" si="339"/>
        <v>18348000</v>
      </c>
      <c r="P145" s="102">
        <f t="shared" si="339"/>
        <v>18517300</v>
      </c>
      <c r="Q145" s="16">
        <f t="shared" si="339"/>
        <v>18631100</v>
      </c>
      <c r="R145" s="16">
        <f t="shared" ref="R145" si="340">SUM(R115:R144)</f>
        <v>18832800</v>
      </c>
      <c r="S145" s="2342">
        <f t="shared" ref="S145" si="341">SUM(S115:S144)</f>
        <v>19052200</v>
      </c>
      <c r="U145" s="34"/>
    </row>
    <row r="146" spans="1:21" s="34" customFormat="1" x14ac:dyDescent="0.2">
      <c r="A146" s="54"/>
      <c r="B146" s="9"/>
      <c r="C146" s="136"/>
      <c r="D146" s="134"/>
      <c r="E146" s="134"/>
      <c r="F146" s="1157"/>
      <c r="G146" s="257"/>
      <c r="H146" s="9"/>
      <c r="I146" s="584"/>
      <c r="J146" s="9"/>
      <c r="K146" s="9"/>
      <c r="L146" s="9"/>
      <c r="M146" s="9"/>
      <c r="N146" s="9"/>
      <c r="O146" s="9"/>
      <c r="P146" s="89"/>
      <c r="Q146" s="9"/>
      <c r="R146" s="9"/>
      <c r="S146" s="47"/>
    </row>
    <row r="147" spans="1:21" s="39" customFormat="1" x14ac:dyDescent="0.2">
      <c r="A147" s="24">
        <f>A113-A145</f>
        <v>-3713200</v>
      </c>
      <c r="B147" s="21">
        <f>B113-B145</f>
        <v>-2581600</v>
      </c>
      <c r="C147" s="139">
        <f>C113-C145</f>
        <v>-13391300</v>
      </c>
      <c r="D147" s="138">
        <f>D113-D145</f>
        <v>-963600</v>
      </c>
      <c r="E147" s="138">
        <f>E113-E145</f>
        <v>-246000</v>
      </c>
      <c r="F147" s="1182"/>
      <c r="G147" s="361" t="s">
        <v>1002</v>
      </c>
      <c r="H147" s="21">
        <f t="shared" ref="H147:Q147" si="342">H113-H145</f>
        <v>421100</v>
      </c>
      <c r="I147" s="220">
        <f>IF(E147=H147,0,IF(E147=0,100,(H147-E147)/E147*100))</f>
        <v>-271.17886178861789</v>
      </c>
      <c r="J147" s="21">
        <f t="shared" si="342"/>
        <v>1016800</v>
      </c>
      <c r="K147" s="21">
        <f t="shared" si="342"/>
        <v>1347800</v>
      </c>
      <c r="L147" s="21">
        <f t="shared" si="342"/>
        <v>1723200</v>
      </c>
      <c r="M147" s="21">
        <f t="shared" si="342"/>
        <v>2105600</v>
      </c>
      <c r="N147" s="21">
        <f t="shared" si="342"/>
        <v>2412200</v>
      </c>
      <c r="O147" s="21">
        <f t="shared" si="342"/>
        <v>2796000</v>
      </c>
      <c r="P147" s="75">
        <f t="shared" si="342"/>
        <v>3202500</v>
      </c>
      <c r="Q147" s="21">
        <f t="shared" si="342"/>
        <v>3652000</v>
      </c>
      <c r="R147" s="21">
        <f t="shared" ref="R147" si="343">R113-R145</f>
        <v>4122300</v>
      </c>
      <c r="S147" s="86">
        <f t="shared" ref="S147" si="344">S113-S145</f>
        <v>4599100</v>
      </c>
      <c r="U147" s="34"/>
    </row>
    <row r="148" spans="1:21" s="34" customFormat="1" x14ac:dyDescent="0.2">
      <c r="A148" s="54">
        <f t="shared" ref="A148:B149" si="345">A141</f>
        <v>2841000</v>
      </c>
      <c r="B148" s="9">
        <f t="shared" si="345"/>
        <v>2643100</v>
      </c>
      <c r="C148" s="136">
        <f t="shared" ref="C148:E150" si="346">C141</f>
        <v>2314300</v>
      </c>
      <c r="D148" s="134">
        <f t="shared" si="346"/>
        <v>3531900</v>
      </c>
      <c r="E148" s="134">
        <f t="shared" si="346"/>
        <v>3573300</v>
      </c>
      <c r="F148" s="1157"/>
      <c r="G148" s="261" t="s">
        <v>1943</v>
      </c>
      <c r="H148" s="9">
        <f t="shared" ref="H148:O149" si="347">H141</f>
        <v>3775000</v>
      </c>
      <c r="I148" s="584">
        <f>IF(E148=H148,0,IF(E148=0,100,(H148-E148)/E148*100))</f>
        <v>5.6446422074832787</v>
      </c>
      <c r="J148" s="9">
        <f t="shared" si="347"/>
        <v>3851000</v>
      </c>
      <c r="K148" s="9">
        <f t="shared" si="347"/>
        <v>3928000</v>
      </c>
      <c r="L148" s="9">
        <f t="shared" si="347"/>
        <v>4007000</v>
      </c>
      <c r="M148" s="9">
        <f t="shared" si="347"/>
        <v>4087000</v>
      </c>
      <c r="N148" s="9">
        <f t="shared" si="347"/>
        <v>4169000</v>
      </c>
      <c r="O148" s="9">
        <f t="shared" si="347"/>
        <v>4252000</v>
      </c>
      <c r="P148" s="89">
        <f t="shared" ref="P148:Q148" si="348">P141</f>
        <v>4337000</v>
      </c>
      <c r="Q148" s="9">
        <f t="shared" si="348"/>
        <v>4424000</v>
      </c>
      <c r="R148" s="9">
        <f t="shared" ref="R148" si="349">R141</f>
        <v>4512000</v>
      </c>
      <c r="S148" s="47">
        <f t="shared" ref="S148" si="350">S141</f>
        <v>4602000</v>
      </c>
    </row>
    <row r="149" spans="1:21" s="34" customFormat="1" x14ac:dyDescent="0.2">
      <c r="A149" s="54">
        <f t="shared" si="345"/>
        <v>1596000</v>
      </c>
      <c r="B149" s="9">
        <f t="shared" si="345"/>
        <v>20300</v>
      </c>
      <c r="C149" s="136">
        <f t="shared" si="346"/>
        <v>12216800</v>
      </c>
      <c r="D149" s="134">
        <f t="shared" si="346"/>
        <v>10800</v>
      </c>
      <c r="E149" s="134">
        <f t="shared" si="346"/>
        <v>416400</v>
      </c>
      <c r="F149" s="1157"/>
      <c r="G149" s="261" t="s">
        <v>4590</v>
      </c>
      <c r="H149" s="9">
        <f t="shared" si="347"/>
        <v>0</v>
      </c>
      <c r="I149" s="584">
        <f>IF(E149=H149,0,IF(E149=0,100,(H149-E149)/E149*100))</f>
        <v>-100</v>
      </c>
      <c r="J149" s="9">
        <f t="shared" si="347"/>
        <v>0</v>
      </c>
      <c r="K149" s="9">
        <f t="shared" si="347"/>
        <v>0</v>
      </c>
      <c r="L149" s="9">
        <f t="shared" si="347"/>
        <v>0</v>
      </c>
      <c r="M149" s="9">
        <f t="shared" si="347"/>
        <v>0</v>
      </c>
      <c r="N149" s="9">
        <f t="shared" si="347"/>
        <v>0</v>
      </c>
      <c r="O149" s="9">
        <f t="shared" si="347"/>
        <v>0</v>
      </c>
      <c r="P149" s="89">
        <f t="shared" ref="P149:Q149" si="351">P142</f>
        <v>0</v>
      </c>
      <c r="Q149" s="9">
        <f t="shared" si="351"/>
        <v>0</v>
      </c>
      <c r="R149" s="9">
        <f t="shared" ref="R149" si="352">R142</f>
        <v>0</v>
      </c>
      <c r="S149" s="47">
        <f t="shared" ref="S149" si="353">S142</f>
        <v>0</v>
      </c>
    </row>
    <row r="150" spans="1:21" s="34" customFormat="1" x14ac:dyDescent="0.2">
      <c r="A150" s="54">
        <f t="shared" ref="A150:B150" si="354">A143</f>
        <v>435600</v>
      </c>
      <c r="B150" s="9">
        <f t="shared" si="354"/>
        <v>394000</v>
      </c>
      <c r="C150" s="136">
        <f t="shared" si="346"/>
        <v>349200</v>
      </c>
      <c r="D150" s="134">
        <f t="shared" si="346"/>
        <v>301100</v>
      </c>
      <c r="E150" s="134">
        <f t="shared" si="346"/>
        <v>249300</v>
      </c>
      <c r="F150" s="1153">
        <v>55022</v>
      </c>
      <c r="G150" s="540" t="s">
        <v>4449</v>
      </c>
      <c r="H150" s="9">
        <f t="shared" ref="H150:O150" si="355">H143</f>
        <v>194000</v>
      </c>
      <c r="I150" s="584">
        <f>IF(E150=H150,0,IF(E150=0,100,(H150-E150)/E150*100))</f>
        <v>-22.182109907741676</v>
      </c>
      <c r="J150" s="9">
        <f t="shared" si="355"/>
        <v>134000</v>
      </c>
      <c r="K150" s="9">
        <f t="shared" si="355"/>
        <v>69000</v>
      </c>
      <c r="L150" s="9">
        <f t="shared" si="355"/>
        <v>0</v>
      </c>
      <c r="M150" s="9">
        <f t="shared" si="355"/>
        <v>0</v>
      </c>
      <c r="N150" s="9">
        <f t="shared" si="355"/>
        <v>0</v>
      </c>
      <c r="O150" s="9">
        <f t="shared" si="355"/>
        <v>0</v>
      </c>
      <c r="P150" s="89">
        <f t="shared" ref="P150:Q150" si="356">P143</f>
        <v>0</v>
      </c>
      <c r="Q150" s="9">
        <f t="shared" si="356"/>
        <v>0</v>
      </c>
      <c r="R150" s="9">
        <f t="shared" ref="R150" si="357">R143</f>
        <v>0</v>
      </c>
      <c r="S150" s="47">
        <f t="shared" ref="S150" si="358">S143</f>
        <v>0</v>
      </c>
    </row>
    <row r="151" spans="1:21" s="39" customFormat="1" x14ac:dyDescent="0.2">
      <c r="A151" s="128">
        <f t="shared" ref="A151:B151" si="359">SUM(A147:A150)</f>
        <v>1159400</v>
      </c>
      <c r="B151" s="280">
        <f t="shared" si="359"/>
        <v>475800</v>
      </c>
      <c r="C151" s="281">
        <f>SUM(C147:C150)</f>
        <v>1489000</v>
      </c>
      <c r="D151" s="529">
        <f>SUM(D147:D150)</f>
        <v>2880200</v>
      </c>
      <c r="E151" s="529">
        <f t="shared" ref="E151" si="360">SUM(E147:E150)</f>
        <v>3993000</v>
      </c>
      <c r="F151" s="365"/>
      <c r="G151" s="363" t="s">
        <v>1659</v>
      </c>
      <c r="H151" s="280">
        <f t="shared" ref="H151:O151" si="361">SUM(H147:H150)</f>
        <v>4390100</v>
      </c>
      <c r="I151" s="864">
        <f>IF(E151=H151,0,IF(E151=0,100,(H151-E151)/E151*100))</f>
        <v>9.9449035812672175</v>
      </c>
      <c r="J151" s="280">
        <f t="shared" si="361"/>
        <v>5001800</v>
      </c>
      <c r="K151" s="280">
        <f t="shared" si="361"/>
        <v>5344800</v>
      </c>
      <c r="L151" s="280">
        <f t="shared" si="361"/>
        <v>5730200</v>
      </c>
      <c r="M151" s="280">
        <f t="shared" si="361"/>
        <v>6192600</v>
      </c>
      <c r="N151" s="280">
        <f t="shared" si="361"/>
        <v>6581200</v>
      </c>
      <c r="O151" s="280">
        <f t="shared" si="361"/>
        <v>7048000</v>
      </c>
      <c r="P151" s="266">
        <f t="shared" ref="P151:Q151" si="362">SUM(P147:P150)</f>
        <v>7539500</v>
      </c>
      <c r="Q151" s="280">
        <f t="shared" si="362"/>
        <v>8076000</v>
      </c>
      <c r="R151" s="280">
        <f t="shared" ref="R151" si="363">SUM(R147:R150)</f>
        <v>8634300</v>
      </c>
      <c r="S151" s="2343">
        <f t="shared" ref="S151" si="364">SUM(S147:S150)</f>
        <v>9201100</v>
      </c>
      <c r="U151" s="34"/>
    </row>
    <row r="152" spans="1:21" s="34" customFormat="1" ht="13.5" thickBot="1" x14ac:dyDescent="0.25">
      <c r="A152" s="118"/>
      <c r="B152" s="23"/>
      <c r="C152" s="148"/>
      <c r="D152" s="530"/>
      <c r="E152" s="530"/>
      <c r="F152" s="119"/>
      <c r="G152" s="268"/>
      <c r="H152" s="68"/>
      <c r="I152" s="751"/>
      <c r="J152" s="68"/>
      <c r="K152" s="68"/>
      <c r="L152" s="68"/>
      <c r="M152" s="68"/>
      <c r="N152" s="68"/>
      <c r="O152" s="68"/>
      <c r="P152" s="42"/>
      <c r="Q152" s="68"/>
      <c r="R152" s="68"/>
      <c r="S152" s="2344"/>
    </row>
    <row r="153" spans="1:21" s="34" customFormat="1" ht="13.5" thickTop="1" x14ac:dyDescent="0.2">
      <c r="A153" s="270"/>
      <c r="B153" s="109"/>
      <c r="C153" s="140"/>
      <c r="D153" s="531"/>
      <c r="E153" s="531"/>
      <c r="F153" s="279"/>
      <c r="G153" s="258"/>
      <c r="H153" s="74"/>
      <c r="I153" s="873"/>
      <c r="J153" s="74"/>
      <c r="K153" s="74"/>
      <c r="L153" s="74"/>
      <c r="M153" s="74"/>
      <c r="N153" s="74"/>
      <c r="O153" s="74"/>
      <c r="P153" s="111"/>
      <c r="Q153" s="74"/>
      <c r="R153" s="74"/>
      <c r="S153" s="2345"/>
    </row>
    <row r="154" spans="1:21" s="34" customFormat="1" x14ac:dyDescent="0.2">
      <c r="A154" s="24"/>
      <c r="B154" s="21"/>
      <c r="C154" s="139"/>
      <c r="D154" s="138"/>
      <c r="E154" s="138"/>
      <c r="F154" s="70"/>
      <c r="G154" s="361" t="s">
        <v>192</v>
      </c>
      <c r="H154" s="9"/>
      <c r="I154" s="63"/>
      <c r="J154" s="9"/>
      <c r="K154" s="9"/>
      <c r="L154" s="9"/>
      <c r="M154" s="9"/>
      <c r="N154" s="9"/>
      <c r="O154" s="9"/>
      <c r="P154" s="89"/>
      <c r="Q154" s="9"/>
      <c r="R154" s="9"/>
      <c r="S154" s="47"/>
    </row>
    <row r="155" spans="1:21" s="34" customFormat="1" x14ac:dyDescent="0.2">
      <c r="A155" s="54">
        <f t="shared" ref="A155:B155" si="365">+A536</f>
        <v>985000</v>
      </c>
      <c r="B155" s="9">
        <f t="shared" si="365"/>
        <v>2384800</v>
      </c>
      <c r="C155" s="136">
        <f>+C536</f>
        <v>2187900</v>
      </c>
      <c r="D155" s="134">
        <f>+D536</f>
        <v>2793300</v>
      </c>
      <c r="E155" s="134">
        <f t="shared" ref="E155" si="366">+E536</f>
        <v>2957900</v>
      </c>
      <c r="F155" s="70"/>
      <c r="G155" s="257" t="s">
        <v>2848</v>
      </c>
      <c r="H155" s="9">
        <f t="shared" ref="H155:P155" si="367">+H536</f>
        <v>3095600</v>
      </c>
      <c r="I155" s="79"/>
      <c r="J155" s="9">
        <f t="shared" si="367"/>
        <v>3134000</v>
      </c>
      <c r="K155" s="9">
        <f t="shared" si="367"/>
        <v>3280300</v>
      </c>
      <c r="L155" s="9">
        <f t="shared" si="367"/>
        <v>2453500</v>
      </c>
      <c r="M155" s="9">
        <f t="shared" si="367"/>
        <v>2654100</v>
      </c>
      <c r="N155" s="9">
        <f t="shared" si="367"/>
        <v>2844100</v>
      </c>
      <c r="O155" s="9">
        <f t="shared" si="367"/>
        <v>3037000</v>
      </c>
      <c r="P155" s="89">
        <f t="shared" si="367"/>
        <v>3235000</v>
      </c>
      <c r="Q155" s="9">
        <f t="shared" ref="Q155" si="368">+Q536</f>
        <v>3430000</v>
      </c>
      <c r="R155" s="9">
        <f t="shared" ref="R155" si="369">+R536</f>
        <v>3627000</v>
      </c>
      <c r="S155" s="47">
        <f t="shared" ref="S155" si="370">+S536</f>
        <v>3825000</v>
      </c>
    </row>
    <row r="156" spans="1:21" s="34" customFormat="1" x14ac:dyDescent="0.2">
      <c r="A156" s="54">
        <f t="shared" ref="A156:B159" si="371">+A537</f>
        <v>239300</v>
      </c>
      <c r="B156" s="9">
        <f t="shared" si="371"/>
        <v>0</v>
      </c>
      <c r="C156" s="136">
        <f t="shared" ref="C156:C159" si="372">+C537</f>
        <v>0</v>
      </c>
      <c r="D156" s="134">
        <f t="shared" ref="D156:E159" si="373">+D537</f>
        <v>0</v>
      </c>
      <c r="E156" s="134">
        <f t="shared" si="373"/>
        <v>0</v>
      </c>
      <c r="F156" s="70"/>
      <c r="G156" s="257" t="s">
        <v>1909</v>
      </c>
      <c r="H156" s="9">
        <f t="shared" ref="H156:P156" si="374">+H537</f>
        <v>0</v>
      </c>
      <c r="I156" s="79"/>
      <c r="J156" s="9">
        <f t="shared" si="374"/>
        <v>0</v>
      </c>
      <c r="K156" s="9">
        <f t="shared" si="374"/>
        <v>0</v>
      </c>
      <c r="L156" s="9">
        <f t="shared" si="374"/>
        <v>561300</v>
      </c>
      <c r="M156" s="9">
        <f t="shared" si="374"/>
        <v>0</v>
      </c>
      <c r="N156" s="9">
        <f t="shared" si="374"/>
        <v>0</v>
      </c>
      <c r="O156" s="9">
        <f t="shared" si="374"/>
        <v>2976500</v>
      </c>
      <c r="P156" s="89">
        <f t="shared" si="374"/>
        <v>0</v>
      </c>
      <c r="Q156" s="9">
        <f t="shared" ref="Q156" si="375">+Q537</f>
        <v>3440000</v>
      </c>
      <c r="R156" s="9">
        <f t="shared" ref="R156" si="376">+R537</f>
        <v>3856600</v>
      </c>
      <c r="S156" s="47">
        <f t="shared" ref="S156" si="377">+S537</f>
        <v>4225400</v>
      </c>
    </row>
    <row r="157" spans="1:21" s="34" customFormat="1" x14ac:dyDescent="0.2">
      <c r="A157" s="54">
        <f t="shared" si="371"/>
        <v>6638900</v>
      </c>
      <c r="B157" s="9">
        <f t="shared" si="371"/>
        <v>8689200</v>
      </c>
      <c r="C157" s="136">
        <f t="shared" si="372"/>
        <v>5039300</v>
      </c>
      <c r="D157" s="134">
        <f>+D538</f>
        <v>2025800</v>
      </c>
      <c r="E157" s="134">
        <f t="shared" ref="E157" si="378">+E538</f>
        <v>808900</v>
      </c>
      <c r="F157" s="70"/>
      <c r="G157" s="257" t="s">
        <v>2309</v>
      </c>
      <c r="H157" s="9">
        <f t="shared" ref="H157:P157" si="379">+H538</f>
        <v>6323600</v>
      </c>
      <c r="I157" s="79"/>
      <c r="J157" s="9">
        <f t="shared" si="379"/>
        <v>4887100</v>
      </c>
      <c r="K157" s="9">
        <f t="shared" si="379"/>
        <v>2764200</v>
      </c>
      <c r="L157" s="9">
        <f t="shared" si="379"/>
        <v>0</v>
      </c>
      <c r="M157" s="9">
        <f t="shared" si="379"/>
        <v>1586600</v>
      </c>
      <c r="N157" s="9">
        <f t="shared" si="379"/>
        <v>303000</v>
      </c>
      <c r="O157" s="9">
        <f t="shared" si="379"/>
        <v>0</v>
      </c>
      <c r="P157" s="89">
        <f t="shared" si="379"/>
        <v>1031900</v>
      </c>
      <c r="Q157" s="9">
        <f t="shared" ref="Q157" si="380">+Q538</f>
        <v>0</v>
      </c>
      <c r="R157" s="9">
        <f t="shared" ref="R157" si="381">+R538</f>
        <v>0</v>
      </c>
      <c r="S157" s="47">
        <f t="shared" ref="S157" si="382">+S538</f>
        <v>0</v>
      </c>
    </row>
    <row r="158" spans="1:21" s="34" customFormat="1" x14ac:dyDescent="0.2">
      <c r="A158" s="54">
        <f t="shared" si="371"/>
        <v>18800000</v>
      </c>
      <c r="B158" s="9">
        <f t="shared" si="371"/>
        <v>1351900</v>
      </c>
      <c r="C158" s="136">
        <f t="shared" si="372"/>
        <v>0</v>
      </c>
      <c r="D158" s="134">
        <f t="shared" si="373"/>
        <v>174600</v>
      </c>
      <c r="E158" s="134">
        <f t="shared" si="373"/>
        <v>736500</v>
      </c>
      <c r="F158" s="70"/>
      <c r="G158" s="257" t="s">
        <v>5847</v>
      </c>
      <c r="H158" s="9">
        <f t="shared" ref="H158:P158" si="383">+H539</f>
        <v>1147000</v>
      </c>
      <c r="I158" s="79"/>
      <c r="J158" s="9">
        <f t="shared" si="383"/>
        <v>1000000</v>
      </c>
      <c r="K158" s="9">
        <f t="shared" si="383"/>
        <v>268000</v>
      </c>
      <c r="L158" s="9">
        <f t="shared" si="383"/>
        <v>0</v>
      </c>
      <c r="M158" s="9">
        <f t="shared" si="383"/>
        <v>0</v>
      </c>
      <c r="N158" s="9">
        <f t="shared" si="383"/>
        <v>435000</v>
      </c>
      <c r="O158" s="9">
        <f t="shared" si="383"/>
        <v>0</v>
      </c>
      <c r="P158" s="89">
        <f t="shared" si="383"/>
        <v>0</v>
      </c>
      <c r="Q158" s="9">
        <f t="shared" ref="Q158" si="384">+Q539</f>
        <v>0</v>
      </c>
      <c r="R158" s="9">
        <f t="shared" ref="R158" si="385">+R539</f>
        <v>0</v>
      </c>
      <c r="S158" s="47">
        <f t="shared" ref="S158" si="386">+S539</f>
        <v>0</v>
      </c>
    </row>
    <row r="159" spans="1:21" s="34" customFormat="1" x14ac:dyDescent="0.2">
      <c r="A159" s="54">
        <f t="shared" si="371"/>
        <v>25354000</v>
      </c>
      <c r="B159" s="9">
        <f t="shared" si="371"/>
        <v>8112100</v>
      </c>
      <c r="C159" s="136">
        <f t="shared" si="372"/>
        <v>4320400</v>
      </c>
      <c r="D159" s="134">
        <f t="shared" si="373"/>
        <v>2267300</v>
      </c>
      <c r="E159" s="134">
        <f t="shared" si="373"/>
        <v>2560500</v>
      </c>
      <c r="F159" s="70"/>
      <c r="G159" s="257" t="s">
        <v>959</v>
      </c>
      <c r="H159" s="9">
        <f t="shared" ref="H159:P159" si="387">+H540</f>
        <v>8745100</v>
      </c>
      <c r="I159" s="79"/>
      <c r="J159" s="9">
        <f t="shared" si="387"/>
        <v>7734900</v>
      </c>
      <c r="K159" s="9">
        <f t="shared" si="387"/>
        <v>5076700</v>
      </c>
      <c r="L159" s="9">
        <f t="shared" si="387"/>
        <v>2695400</v>
      </c>
      <c r="M159" s="9">
        <f t="shared" si="387"/>
        <v>5105100</v>
      </c>
      <c r="N159" s="9">
        <f t="shared" si="387"/>
        <v>4455100</v>
      </c>
      <c r="O159" s="9">
        <f t="shared" si="387"/>
        <v>1014500</v>
      </c>
      <c r="P159" s="89">
        <f t="shared" si="387"/>
        <v>5316400</v>
      </c>
      <c r="Q159" s="9">
        <f t="shared" ref="Q159" si="388">+Q540</f>
        <v>1186000</v>
      </c>
      <c r="R159" s="9">
        <f t="shared" ref="R159" si="389">+R540</f>
        <v>1130700</v>
      </c>
      <c r="S159" s="47">
        <f t="shared" ref="S159" si="390">+S540</f>
        <v>1130700</v>
      </c>
    </row>
    <row r="160" spans="1:21" s="34" customFormat="1" x14ac:dyDescent="0.2">
      <c r="A160" s="54"/>
      <c r="B160" s="9"/>
      <c r="C160" s="136"/>
      <c r="D160" s="134"/>
      <c r="E160" s="134"/>
      <c r="F160" s="70"/>
      <c r="G160" s="361"/>
      <c r="H160" s="9"/>
      <c r="I160" s="79"/>
      <c r="J160" s="9"/>
      <c r="K160" s="9"/>
      <c r="L160" s="9"/>
      <c r="M160" s="9"/>
      <c r="N160" s="9"/>
      <c r="O160" s="9"/>
      <c r="P160" s="89"/>
      <c r="Q160" s="9"/>
      <c r="R160" s="9"/>
      <c r="S160" s="47"/>
    </row>
    <row r="161" spans="1:21" s="39" customFormat="1" x14ac:dyDescent="0.2">
      <c r="A161" s="128">
        <f>A151-A155-A156+A157++A158-A159</f>
        <v>20000</v>
      </c>
      <c r="B161" s="280">
        <f>B151-B155-B156+B157++B158-B159</f>
        <v>20000</v>
      </c>
      <c r="C161" s="281">
        <f>C151-C155-C156+C157++C158-C159</f>
        <v>20000</v>
      </c>
      <c r="D161" s="529">
        <f>D151-D155-D156+D157++D158-D159</f>
        <v>20000</v>
      </c>
      <c r="E161" s="529">
        <f t="shared" ref="E161" si="391">E151-E155-E156+E157++E158-E159</f>
        <v>20000</v>
      </c>
      <c r="F161" s="380"/>
      <c r="G161" s="363" t="s">
        <v>2447</v>
      </c>
      <c r="H161" s="280">
        <f t="shared" ref="H161:M161" si="392">H151-H155-H156+H157++H158-H159</f>
        <v>20000</v>
      </c>
      <c r="I161" s="864">
        <f>IF(E161=H161,0,IF(E161=0,100,(H161-E161)/E161*100))</f>
        <v>0</v>
      </c>
      <c r="J161" s="280">
        <f t="shared" si="392"/>
        <v>20000</v>
      </c>
      <c r="K161" s="280">
        <f t="shared" si="392"/>
        <v>20000</v>
      </c>
      <c r="L161" s="280">
        <f t="shared" si="392"/>
        <v>20000</v>
      </c>
      <c r="M161" s="280">
        <f t="shared" si="392"/>
        <v>20000</v>
      </c>
      <c r="N161" s="280">
        <f t="shared" ref="N161:R161" si="393">N151-N155-N156+N157++N158-N159</f>
        <v>20000</v>
      </c>
      <c r="O161" s="280">
        <f t="shared" si="393"/>
        <v>20000</v>
      </c>
      <c r="P161" s="266">
        <f t="shared" si="393"/>
        <v>20000</v>
      </c>
      <c r="Q161" s="280">
        <f t="shared" si="393"/>
        <v>20000</v>
      </c>
      <c r="R161" s="280">
        <f t="shared" si="393"/>
        <v>20000</v>
      </c>
      <c r="S161" s="2343">
        <f t="shared" ref="S161" si="394">S151-S155-S156+S157++S158-S159</f>
        <v>20000</v>
      </c>
      <c r="U161" s="34"/>
    </row>
    <row r="162" spans="1:21" s="34" customFormat="1" ht="13.5" thickBot="1" x14ac:dyDescent="0.25">
      <c r="A162" s="26"/>
      <c r="B162" s="37"/>
      <c r="C162" s="141"/>
      <c r="D162" s="146"/>
      <c r="E162" s="146"/>
      <c r="F162" s="37"/>
      <c r="G162" s="259"/>
      <c r="H162" s="23"/>
      <c r="I162" s="851"/>
      <c r="J162" s="23"/>
      <c r="K162" s="23"/>
      <c r="L162" s="23"/>
      <c r="M162" s="23"/>
      <c r="N162" s="23"/>
      <c r="O162" s="23"/>
      <c r="P162" s="113"/>
      <c r="Q162" s="23"/>
      <c r="R162" s="23"/>
      <c r="S162" s="112"/>
    </row>
    <row r="163" spans="1:21" ht="14.25" thickTop="1" thickBot="1" x14ac:dyDescent="0.25">
      <c r="A163" s="67"/>
      <c r="B163" s="67"/>
      <c r="C163" s="1437"/>
      <c r="D163" s="1437"/>
      <c r="E163" s="1437"/>
      <c r="F163" s="67"/>
      <c r="G163" s="88"/>
      <c r="H163" s="121"/>
      <c r="I163" s="2218"/>
      <c r="J163" s="121"/>
      <c r="K163" s="121"/>
      <c r="L163" s="121"/>
      <c r="M163" s="121"/>
      <c r="N163" s="121"/>
      <c r="O163" s="121"/>
      <c r="P163" s="121"/>
      <c r="Q163" s="121"/>
      <c r="R163" s="121"/>
      <c r="S163" s="121"/>
      <c r="U163" s="34"/>
    </row>
    <row r="164" spans="1:21" s="38" customFormat="1" ht="18.75" customHeight="1" thickTop="1" thickBot="1" x14ac:dyDescent="0.3">
      <c r="A164" s="2601" t="s">
        <v>38</v>
      </c>
      <c r="B164" s="2602"/>
      <c r="C164" s="2602"/>
      <c r="D164" s="2602"/>
      <c r="E164" s="2602"/>
      <c r="F164" s="2602"/>
      <c r="G164" s="2602"/>
      <c r="H164" s="2602"/>
      <c r="I164" s="2602"/>
      <c r="J164" s="2602"/>
      <c r="K164" s="2602"/>
      <c r="L164" s="2602"/>
      <c r="M164" s="2602"/>
      <c r="N164" s="2602"/>
      <c r="O164" s="2602"/>
      <c r="P164" s="2602"/>
      <c r="Q164" s="2602"/>
      <c r="R164" s="2602"/>
      <c r="S164" s="2603"/>
      <c r="U164" s="34"/>
    </row>
    <row r="165" spans="1:21" s="39" customFormat="1" x14ac:dyDescent="0.2">
      <c r="A165" s="2598" t="s">
        <v>1824</v>
      </c>
      <c r="B165" s="2599"/>
      <c r="C165" s="2599"/>
      <c r="D165" s="2599"/>
      <c r="E165" s="2600"/>
      <c r="F165" s="2058" t="s">
        <v>2616</v>
      </c>
      <c r="G165" s="2231" t="s">
        <v>2213</v>
      </c>
      <c r="H165" s="2577" t="s">
        <v>2215</v>
      </c>
      <c r="I165" s="2577"/>
      <c r="J165" s="2577"/>
      <c r="K165" s="2577"/>
      <c r="L165" s="2577"/>
      <c r="M165" s="2577"/>
      <c r="N165" s="2577"/>
      <c r="O165" s="2577"/>
      <c r="P165" s="2577"/>
      <c r="Q165" s="2577"/>
      <c r="R165" s="2577"/>
      <c r="S165" s="2578"/>
      <c r="U165" s="34"/>
    </row>
    <row r="166" spans="1:21" s="34" customFormat="1" ht="13.5" thickBot="1" x14ac:dyDescent="0.25">
      <c r="A166" s="1031" t="str">
        <f>A3</f>
        <v>2012/13</v>
      </c>
      <c r="B166" s="28" t="str">
        <f>B102</f>
        <v>2013/14</v>
      </c>
      <c r="C166" s="40" t="str">
        <f>C3</f>
        <v>2014/15</v>
      </c>
      <c r="D166" s="40" t="str">
        <f>D3</f>
        <v>2015/16</v>
      </c>
      <c r="E166" s="40" t="str">
        <f>E3</f>
        <v>2016/17</v>
      </c>
      <c r="F166" s="2008" t="s">
        <v>2617</v>
      </c>
      <c r="G166" s="41"/>
      <c r="H166" s="40" t="str">
        <f t="shared" ref="H166:Q166" si="395">H3</f>
        <v>2017/18</v>
      </c>
      <c r="I166" s="2057" t="s">
        <v>492</v>
      </c>
      <c r="J166" s="40" t="str">
        <f t="shared" si="395"/>
        <v>2018/19</v>
      </c>
      <c r="K166" s="40" t="str">
        <f t="shared" si="395"/>
        <v>2019/20</v>
      </c>
      <c r="L166" s="40" t="str">
        <f t="shared" si="395"/>
        <v>2020/21</v>
      </c>
      <c r="M166" s="40" t="str">
        <f t="shared" si="395"/>
        <v>2021/22</v>
      </c>
      <c r="N166" s="40" t="str">
        <f t="shared" si="395"/>
        <v>2022/23</v>
      </c>
      <c r="O166" s="40" t="str">
        <f t="shared" si="395"/>
        <v>2023/24</v>
      </c>
      <c r="P166" s="40" t="str">
        <f t="shared" si="395"/>
        <v>2024/25</v>
      </c>
      <c r="Q166" s="28" t="str">
        <f t="shared" si="395"/>
        <v>2025/26</v>
      </c>
      <c r="R166" s="28" t="str">
        <f t="shared" ref="R166:S166" si="396">R3</f>
        <v>2026/27</v>
      </c>
      <c r="S166" s="1620" t="str">
        <f t="shared" si="396"/>
        <v>2027/28</v>
      </c>
    </row>
    <row r="167" spans="1:21" s="34" customFormat="1" x14ac:dyDescent="0.2">
      <c r="A167" s="54"/>
      <c r="B167" s="9"/>
      <c r="C167" s="134"/>
      <c r="D167" s="134"/>
      <c r="E167" s="134"/>
      <c r="F167" s="85"/>
      <c r="G167" s="27"/>
      <c r="H167" s="116"/>
      <c r="I167" s="584"/>
      <c r="J167" s="9"/>
      <c r="K167" s="9"/>
      <c r="L167" s="9"/>
      <c r="M167" s="9"/>
      <c r="N167" s="9"/>
      <c r="O167" s="116"/>
      <c r="P167" s="116"/>
      <c r="Q167" s="116"/>
      <c r="R167" s="116"/>
      <c r="S167" s="1015"/>
    </row>
    <row r="168" spans="1:21" s="34" customFormat="1" x14ac:dyDescent="0.2">
      <c r="A168" s="54"/>
      <c r="B168" s="9"/>
      <c r="C168" s="134"/>
      <c r="D168" s="134"/>
      <c r="E168" s="134"/>
      <c r="F168" s="85"/>
      <c r="G168" s="91" t="s">
        <v>1056</v>
      </c>
      <c r="H168" s="9"/>
      <c r="I168" s="584"/>
      <c r="J168" s="9"/>
      <c r="K168" s="9"/>
      <c r="L168" s="9"/>
      <c r="M168" s="9"/>
      <c r="N168" s="9"/>
      <c r="O168" s="9"/>
      <c r="P168" s="9"/>
      <c r="Q168" s="9"/>
      <c r="R168" s="9"/>
      <c r="S168" s="61"/>
    </row>
    <row r="169" spans="1:21" s="34" customFormat="1" x14ac:dyDescent="0.2">
      <c r="A169" s="54"/>
      <c r="B169" s="9"/>
      <c r="C169" s="136"/>
      <c r="D169" s="537"/>
      <c r="E169" s="136"/>
      <c r="F169" s="167"/>
      <c r="G169" s="9"/>
      <c r="H169" s="1027"/>
      <c r="I169" s="584"/>
      <c r="J169" s="1027"/>
      <c r="K169" s="1027"/>
      <c r="L169" s="1027"/>
      <c r="M169" s="1027"/>
      <c r="N169" s="1027"/>
      <c r="O169" s="1027"/>
      <c r="P169" s="1027"/>
      <c r="Q169" s="1027"/>
      <c r="R169" s="1027"/>
      <c r="S169" s="1026"/>
    </row>
    <row r="170" spans="1:21" s="34" customFormat="1" x14ac:dyDescent="0.2">
      <c r="A170" s="54"/>
      <c r="B170" s="9"/>
      <c r="C170" s="136"/>
      <c r="D170" s="136"/>
      <c r="E170" s="136"/>
      <c r="F170" s="2059"/>
      <c r="G170" s="320" t="s">
        <v>60</v>
      </c>
      <c r="H170" s="134"/>
      <c r="I170" s="584"/>
      <c r="J170" s="134"/>
      <c r="K170" s="134"/>
      <c r="L170" s="134"/>
      <c r="M170" s="134"/>
      <c r="N170" s="134"/>
      <c r="O170" s="134"/>
      <c r="P170" s="134"/>
      <c r="Q170" s="134"/>
      <c r="R170" s="134"/>
      <c r="S170" s="135"/>
    </row>
    <row r="171" spans="1:21" s="34" customFormat="1" x14ac:dyDescent="0.2">
      <c r="A171" s="54">
        <v>2306400</v>
      </c>
      <c r="B171" s="9">
        <v>2512300</v>
      </c>
      <c r="C171" s="136">
        <v>2701700</v>
      </c>
      <c r="D171" s="136">
        <v>2826200</v>
      </c>
      <c r="E171" s="136">
        <v>2952500</v>
      </c>
      <c r="F171" s="239" t="s">
        <v>1089</v>
      </c>
      <c r="G171" s="371" t="s">
        <v>294</v>
      </c>
      <c r="H171" s="134">
        <v>3009000</v>
      </c>
      <c r="I171" s="584">
        <f>IF(E171=H171,0,IF(E171=0,100,(H171-E171)/E171*100))</f>
        <v>1.9136325148179509</v>
      </c>
      <c r="J171" s="1029">
        <f>ROUND(H171*Assumptions!I$64+H171,-3)</f>
        <v>3078000</v>
      </c>
      <c r="K171" s="134">
        <f>ROUND(J171*Assumptions!J$64+J171,-3)</f>
        <v>3149000</v>
      </c>
      <c r="L171" s="134">
        <f>ROUND(K171*Assumptions!K$64+K171,-3)</f>
        <v>3228000</v>
      </c>
      <c r="M171" s="134">
        <f>ROUND(L171*Assumptions!L$64+L171,-3)</f>
        <v>3325000</v>
      </c>
      <c r="N171" s="134">
        <f>ROUND(M171*Assumptions!M$64+M171,-3)</f>
        <v>3425000</v>
      </c>
      <c r="O171" s="134">
        <f>ROUND(N171*Assumptions!N$64+N171,-3)</f>
        <v>3528000</v>
      </c>
      <c r="P171" s="134">
        <f>ROUND(O171*Assumptions!O$64+O171,-3)</f>
        <v>3634000</v>
      </c>
      <c r="Q171" s="134">
        <f>ROUND(P171*Assumptions!P$64+P171,-3)</f>
        <v>3743000</v>
      </c>
      <c r="R171" s="134">
        <f>ROUND(Q171*Assumptions!Q$64+Q171,-3)</f>
        <v>3855000</v>
      </c>
      <c r="S171" s="2359">
        <f>ROUND(R171*Assumptions!R$64+R171,-3)</f>
        <v>3971000</v>
      </c>
    </row>
    <row r="172" spans="1:21" s="34" customFormat="1" x14ac:dyDescent="0.2">
      <c r="A172" s="54">
        <v>567700</v>
      </c>
      <c r="B172" s="9">
        <v>624000</v>
      </c>
      <c r="C172" s="136">
        <v>668300</v>
      </c>
      <c r="D172" s="136">
        <v>685900</v>
      </c>
      <c r="E172" s="136">
        <v>710200</v>
      </c>
      <c r="F172" s="239" t="s">
        <v>1090</v>
      </c>
      <c r="G172" s="662" t="s">
        <v>119</v>
      </c>
      <c r="H172" s="134">
        <v>718000</v>
      </c>
      <c r="I172" s="584">
        <f>IF(E172=H172,0,IF(E172=0,100,(H172-E172)/E172*100))</f>
        <v>1.0982821740354829</v>
      </c>
      <c r="J172" s="9">
        <f>ROUND(H172*Assumptions!I$64+H172,-3)</f>
        <v>735000</v>
      </c>
      <c r="K172" s="134">
        <f>ROUND(J172*Assumptions!J$64+J172,-3)</f>
        <v>752000</v>
      </c>
      <c r="L172" s="134">
        <f>ROUND(K172*Assumptions!K$64+K172,-3)</f>
        <v>771000</v>
      </c>
      <c r="M172" s="134">
        <f>ROUND(L172*Assumptions!L$64+L172,-3)</f>
        <v>794000</v>
      </c>
      <c r="N172" s="134">
        <f>ROUND(M172*Assumptions!M$64+M172,-3)</f>
        <v>818000</v>
      </c>
      <c r="O172" s="134">
        <f>ROUND(N172*Assumptions!N$64+N172,-3)</f>
        <v>843000</v>
      </c>
      <c r="P172" s="134">
        <f>ROUND(O172*Assumptions!O$64+O172,-3)</f>
        <v>868000</v>
      </c>
      <c r="Q172" s="134">
        <f>ROUND(P172*Assumptions!P$64+P172,-3)</f>
        <v>894000</v>
      </c>
      <c r="R172" s="134">
        <f>ROUND(Q172*Assumptions!Q$64+Q172,-3)</f>
        <v>921000</v>
      </c>
      <c r="S172" s="2359">
        <f>ROUND(R172*Assumptions!R$64+R172,-3)</f>
        <v>949000</v>
      </c>
    </row>
    <row r="173" spans="1:21" s="34" customFormat="1" x14ac:dyDescent="0.2">
      <c r="A173" s="54">
        <v>-122000</v>
      </c>
      <c r="B173" s="9">
        <v>-124100</v>
      </c>
      <c r="C173" s="136">
        <v>-124800</v>
      </c>
      <c r="D173" s="136">
        <v>-128700</v>
      </c>
      <c r="E173" s="136">
        <v>-130900</v>
      </c>
      <c r="F173" s="239" t="s">
        <v>1881</v>
      </c>
      <c r="G173" s="662" t="s">
        <v>6514</v>
      </c>
      <c r="H173" s="134">
        <v>-129100</v>
      </c>
      <c r="I173" s="584">
        <f>IF(E173=H173,0,IF(E173=0,100,(H173-E173)/E173*100))</f>
        <v>-1.3750954927425516</v>
      </c>
      <c r="J173" s="9">
        <f>ROUNDUP(H173+(H173*Assumptions!I$8),-2)</f>
        <v>-129800</v>
      </c>
      <c r="K173" s="134">
        <f>ROUNDUP(J173+(J173*Assumptions!J$8),-2)</f>
        <v>-130500</v>
      </c>
      <c r="L173" s="134">
        <f>ROUNDUP(K173+(K173*Assumptions!K$8),-2)</f>
        <v>-131200</v>
      </c>
      <c r="M173" s="134">
        <f>ROUNDUP(L173+(L173*Assumptions!L$8),-2)</f>
        <v>-131900</v>
      </c>
      <c r="N173" s="134">
        <f>ROUNDUP(M173+(M173*Assumptions!M$8),-2)</f>
        <v>-132600</v>
      </c>
      <c r="O173" s="134">
        <f>ROUNDUP(N173+(N173*Assumptions!N$8),-2)</f>
        <v>-133300</v>
      </c>
      <c r="P173" s="134">
        <f>ROUNDUP(O173+(O173*Assumptions!O$8),-2)</f>
        <v>-134000</v>
      </c>
      <c r="Q173" s="134">
        <f>ROUNDUP(P173+(P173*Assumptions!P$8),-2)</f>
        <v>-134700</v>
      </c>
      <c r="R173" s="134">
        <f>ROUNDUP(Q173+(Q173*Assumptions!Q$8),-2)</f>
        <v>-135400</v>
      </c>
      <c r="S173" s="2359">
        <f>ROUNDUP(R173+(R173*Assumptions!R$8),-2)</f>
        <v>-136100</v>
      </c>
    </row>
    <row r="174" spans="1:21" s="34" customFormat="1" x14ac:dyDescent="0.2">
      <c r="A174" s="54">
        <v>-149100</v>
      </c>
      <c r="B174" s="9">
        <v>-151700</v>
      </c>
      <c r="C174" s="136">
        <v>-152600</v>
      </c>
      <c r="D174" s="136">
        <v>-157400</v>
      </c>
      <c r="E174" s="136">
        <v>-159900</v>
      </c>
      <c r="F174" s="239" t="s">
        <v>145</v>
      </c>
      <c r="G174" s="662" t="s">
        <v>4591</v>
      </c>
      <c r="H174" s="134">
        <v>-158400</v>
      </c>
      <c r="I174" s="584">
        <f>IF(E174=H174,0,IF(E174=0,100,(H174-E174)/E174*100))</f>
        <v>-0.93808630393996251</v>
      </c>
      <c r="J174" s="9">
        <f>ROUNDUP(H174+(H174*Assumptions!I$8),-2)</f>
        <v>-159200</v>
      </c>
      <c r="K174" s="134">
        <f>ROUNDUP(J174+(J174*Assumptions!J$8),-2)</f>
        <v>-160000</v>
      </c>
      <c r="L174" s="134">
        <f>ROUNDUP(K174+(K174*Assumptions!K$8),-2)</f>
        <v>-160800</v>
      </c>
      <c r="M174" s="134">
        <f>ROUNDUP(L174+(L174*Assumptions!L$8),-2)</f>
        <v>-161700</v>
      </c>
      <c r="N174" s="134">
        <f>ROUNDUP(M174+(M174*Assumptions!M$8),-2)</f>
        <v>-162600</v>
      </c>
      <c r="O174" s="134">
        <f>ROUNDUP(N174+(N174*Assumptions!N$8),-2)</f>
        <v>-163500</v>
      </c>
      <c r="P174" s="134">
        <f>ROUNDUP(O174+(O174*Assumptions!O$8),-2)</f>
        <v>-164400</v>
      </c>
      <c r="Q174" s="134">
        <f>ROUNDUP(P174+(P174*Assumptions!P$8),-2)</f>
        <v>-165300</v>
      </c>
      <c r="R174" s="134">
        <f>ROUNDUP(Q174+(Q174*Assumptions!Q$8),-2)</f>
        <v>-166200</v>
      </c>
      <c r="S174" s="2359">
        <f>ROUNDUP(R174+(R174*Assumptions!R$8),-2)</f>
        <v>-167100</v>
      </c>
    </row>
    <row r="175" spans="1:21" s="34" customFormat="1" x14ac:dyDescent="0.2">
      <c r="A175" s="54"/>
      <c r="B175" s="9"/>
      <c r="C175" s="136"/>
      <c r="D175" s="537"/>
      <c r="E175" s="136"/>
      <c r="F175" s="239"/>
      <c r="G175" s="371"/>
      <c r="H175" s="134"/>
      <c r="I175" s="584"/>
      <c r="J175" s="9"/>
      <c r="K175" s="9"/>
      <c r="L175" s="9"/>
      <c r="M175" s="9"/>
      <c r="N175" s="9"/>
      <c r="O175" s="9"/>
      <c r="P175" s="9"/>
      <c r="Q175" s="9"/>
      <c r="R175" s="9"/>
      <c r="S175" s="47"/>
    </row>
    <row r="176" spans="1:21" s="34" customFormat="1" x14ac:dyDescent="0.2">
      <c r="A176" s="54"/>
      <c r="B176" s="9"/>
      <c r="C176" s="136"/>
      <c r="D176" s="1438"/>
      <c r="E176" s="136"/>
      <c r="F176" s="239"/>
      <c r="G176" s="320" t="s">
        <v>823</v>
      </c>
      <c r="H176" s="134"/>
      <c r="I176" s="584"/>
      <c r="J176" s="9"/>
      <c r="K176" s="134"/>
      <c r="L176" s="134"/>
      <c r="M176" s="134"/>
      <c r="N176" s="134"/>
      <c r="O176" s="134"/>
      <c r="P176" s="134"/>
      <c r="Q176" s="134"/>
      <c r="R176" s="134"/>
      <c r="S176" s="2359"/>
    </row>
    <row r="177" spans="1:19" s="34" customFormat="1" x14ac:dyDescent="0.2">
      <c r="A177" s="54">
        <v>4105500</v>
      </c>
      <c r="B177" s="9">
        <v>4775600</v>
      </c>
      <c r="C177" s="136">
        <v>4754600</v>
      </c>
      <c r="D177" s="136">
        <v>4809100</v>
      </c>
      <c r="E177" s="136">
        <v>5680000</v>
      </c>
      <c r="F177" s="239" t="s">
        <v>1091</v>
      </c>
      <c r="G177" s="371" t="s">
        <v>495</v>
      </c>
      <c r="H177" s="134">
        <v>5174100</v>
      </c>
      <c r="I177" s="584">
        <f>IF(E177=H177,0,IF(E177=0,100,(H177-E177)/E177*100))</f>
        <v>-8.90669014084507</v>
      </c>
      <c r="J177" s="9">
        <f>ROUND(H177*Assumptions!I$65+H177,-3)</f>
        <v>5293000</v>
      </c>
      <c r="K177" s="134">
        <f>ROUND(J177*Assumptions!J$65+J177,-3)</f>
        <v>5415000</v>
      </c>
      <c r="L177" s="134">
        <f>ROUND(K177*Assumptions!K$65+K177,-3)</f>
        <v>5550000</v>
      </c>
      <c r="M177" s="134">
        <f>ROUND(L177*Assumptions!L$65+L177,-3)</f>
        <v>5717000</v>
      </c>
      <c r="N177" s="134">
        <f>ROUND(M177*Assumptions!M$65+M177,-3)</f>
        <v>5889000</v>
      </c>
      <c r="O177" s="134">
        <f>ROUND(N177*Assumptions!N$65+N177,-3)</f>
        <v>6066000</v>
      </c>
      <c r="P177" s="9">
        <f>ROUND(O177*Assumptions!O$65+O177,-3)</f>
        <v>6248000</v>
      </c>
      <c r="Q177" s="9">
        <f>ROUND(P177*Assumptions!P$65+P177,-3)</f>
        <v>6435000</v>
      </c>
      <c r="R177" s="9">
        <f>ROUND(Q177*Assumptions!Q$65+Q177,-3)</f>
        <v>6628000</v>
      </c>
      <c r="S177" s="47">
        <f>ROUND(R177*Assumptions!R$65+R177,-3)</f>
        <v>6827000</v>
      </c>
    </row>
    <row r="178" spans="1:19" s="34" customFormat="1" x14ac:dyDescent="0.2">
      <c r="A178" s="54">
        <v>1474200</v>
      </c>
      <c r="B178" s="9">
        <f>1773800</f>
        <v>1773800</v>
      </c>
      <c r="C178" s="136">
        <v>1675200</v>
      </c>
      <c r="D178" s="136">
        <v>1736500</v>
      </c>
      <c r="E178" s="136">
        <v>2013500</v>
      </c>
      <c r="F178" s="239" t="s">
        <v>1092</v>
      </c>
      <c r="G178" s="662" t="s">
        <v>949</v>
      </c>
      <c r="H178" s="134">
        <v>1806100</v>
      </c>
      <c r="I178" s="584">
        <f>IF(E178=H178,0,IF(E178=0,100,(H178-E178)/E178*100))</f>
        <v>-10.300471815247082</v>
      </c>
      <c r="J178" s="9">
        <f>ROUND(H178*Assumptions!I$65+H178,-3)</f>
        <v>1848000</v>
      </c>
      <c r="K178" s="134">
        <f>ROUND(J178*Assumptions!J$65+J178,-3)</f>
        <v>1891000</v>
      </c>
      <c r="L178" s="134">
        <f>ROUND(K178*Assumptions!K$65+K178,-3)</f>
        <v>1938000</v>
      </c>
      <c r="M178" s="134">
        <f>ROUND(L178*Assumptions!L$65+L178,-3)</f>
        <v>1996000</v>
      </c>
      <c r="N178" s="134">
        <f>ROUND(M178*Assumptions!M$65+M178,-3)</f>
        <v>2056000</v>
      </c>
      <c r="O178" s="134">
        <f>ROUND(N178*Assumptions!N$65+N178,-3)</f>
        <v>2118000</v>
      </c>
      <c r="P178" s="9">
        <f>ROUND(O178*Assumptions!O$65+O178,-3)</f>
        <v>2182000</v>
      </c>
      <c r="Q178" s="9">
        <f>ROUND(P178*Assumptions!P$65+P178,-3)</f>
        <v>2247000</v>
      </c>
      <c r="R178" s="9">
        <f>ROUND(Q178*Assumptions!Q$65+Q178,-3)</f>
        <v>2314000</v>
      </c>
      <c r="S178" s="47">
        <f>ROUND(R178*Assumptions!R$65+R178,-3)</f>
        <v>2383000</v>
      </c>
    </row>
    <row r="179" spans="1:19" s="34" customFormat="1" x14ac:dyDescent="0.2">
      <c r="A179" s="54">
        <v>2700</v>
      </c>
      <c r="B179" s="9">
        <v>41200</v>
      </c>
      <c r="C179" s="136">
        <v>2200</v>
      </c>
      <c r="D179" s="136">
        <v>108700</v>
      </c>
      <c r="E179" s="136">
        <v>77700</v>
      </c>
      <c r="F179" s="239" t="s">
        <v>1957</v>
      </c>
      <c r="G179" s="662" t="s">
        <v>4592</v>
      </c>
      <c r="H179" s="9">
        <v>20000</v>
      </c>
      <c r="I179" s="584">
        <f>IF(E179=H179,0,IF(E179=0,100,(H179-E179)/E179*100))</f>
        <v>-74.259974259974257</v>
      </c>
      <c r="J179" s="9">
        <f>ROUNDUP(H179+(H179*Assumptions!I$5),-2)</f>
        <v>20500</v>
      </c>
      <c r="K179" s="9">
        <f>ROUNDUP(J179+(J179*Assumptions!J$5),-2)</f>
        <v>21100</v>
      </c>
      <c r="L179" s="9">
        <f>ROUNDUP(K179+(K179*Assumptions!K$5),-2)</f>
        <v>21700</v>
      </c>
      <c r="M179" s="9">
        <f>ROUNDUP(L179+(L179*Assumptions!L$5),-2)</f>
        <v>22300</v>
      </c>
      <c r="N179" s="9">
        <f>ROUNDUP(M179+(M179*Assumptions!M$5),-2)</f>
        <v>22900</v>
      </c>
      <c r="O179" s="9">
        <f>ROUNDUP(N179+(N179*Assumptions!N$5),-2)</f>
        <v>23500</v>
      </c>
      <c r="P179" s="9">
        <f>ROUNDUP(O179+(O179*Assumptions!O$5),-2)</f>
        <v>24100</v>
      </c>
      <c r="Q179" s="9">
        <f>ROUNDUP(P179+(P179*Assumptions!P$5),-2)</f>
        <v>24800</v>
      </c>
      <c r="R179" s="9">
        <f>ROUNDUP(Q179+(Q179*Assumptions!Q$5),-2)</f>
        <v>25500</v>
      </c>
      <c r="S179" s="47">
        <f>ROUNDUP(R179+(R179*Assumptions!R$5),-2)</f>
        <v>26200</v>
      </c>
    </row>
    <row r="180" spans="1:19" s="34" customFormat="1" x14ac:dyDescent="0.2">
      <c r="A180" s="54"/>
      <c r="B180" s="9"/>
      <c r="C180" s="136"/>
      <c r="D180" s="136"/>
      <c r="E180" s="136"/>
      <c r="F180" s="1157"/>
      <c r="G180" s="371"/>
      <c r="H180" s="9"/>
      <c r="I180" s="584"/>
      <c r="J180" s="9"/>
      <c r="K180" s="9"/>
      <c r="L180" s="9"/>
      <c r="M180" s="9"/>
      <c r="N180" s="9"/>
      <c r="O180" s="9"/>
      <c r="P180" s="9"/>
      <c r="Q180" s="9"/>
      <c r="R180" s="9"/>
      <c r="S180" s="47"/>
    </row>
    <row r="181" spans="1:19" s="34" customFormat="1" x14ac:dyDescent="0.2">
      <c r="A181" s="54"/>
      <c r="B181" s="9"/>
      <c r="C181" s="136"/>
      <c r="D181" s="136"/>
      <c r="E181" s="136"/>
      <c r="F181" s="1378"/>
      <c r="G181" s="320" t="s">
        <v>1242</v>
      </c>
      <c r="H181" s="9"/>
      <c r="I181" s="584"/>
      <c r="J181" s="9"/>
      <c r="K181" s="9"/>
      <c r="L181" s="9"/>
      <c r="M181" s="9"/>
      <c r="N181" s="9"/>
      <c r="O181" s="9"/>
      <c r="P181" s="9"/>
      <c r="Q181" s="9"/>
      <c r="R181" s="9"/>
      <c r="S181" s="47"/>
    </row>
    <row r="182" spans="1:19" s="34" customFormat="1" x14ac:dyDescent="0.2">
      <c r="A182" s="54">
        <v>155000</v>
      </c>
      <c r="B182" s="9">
        <v>151800</v>
      </c>
      <c r="C182" s="9">
        <v>152600</v>
      </c>
      <c r="D182" s="136">
        <v>157400</v>
      </c>
      <c r="E182" s="136">
        <v>159900</v>
      </c>
      <c r="F182" s="239" t="s">
        <v>1347</v>
      </c>
      <c r="G182" s="662" t="s">
        <v>3537</v>
      </c>
      <c r="H182" s="134">
        <v>144000</v>
      </c>
      <c r="I182" s="584">
        <f>IF(E182=H182,0,IF(E182=0,100,(H182-E182)/E182*100))</f>
        <v>-9.9437148217636029</v>
      </c>
      <c r="J182" s="9">
        <f t="shared" ref="J182:P182" si="397">ROUND(-J174/11*10,-2)</f>
        <v>144700</v>
      </c>
      <c r="K182" s="9">
        <f t="shared" si="397"/>
        <v>145500</v>
      </c>
      <c r="L182" s="9">
        <f t="shared" si="397"/>
        <v>146200</v>
      </c>
      <c r="M182" s="9">
        <f t="shared" si="397"/>
        <v>147000</v>
      </c>
      <c r="N182" s="9">
        <f t="shared" si="397"/>
        <v>147800</v>
      </c>
      <c r="O182" s="134">
        <f t="shared" si="397"/>
        <v>148600</v>
      </c>
      <c r="P182" s="9">
        <f t="shared" si="397"/>
        <v>149500</v>
      </c>
      <c r="Q182" s="9">
        <f t="shared" ref="Q182" si="398">ROUND(-Q174/11*10,-2)</f>
        <v>150300</v>
      </c>
      <c r="R182" s="9">
        <f t="shared" ref="R182" si="399">ROUND(-R174/11*10,-2)</f>
        <v>151100</v>
      </c>
      <c r="S182" s="47">
        <f t="shared" ref="S182" si="400">ROUND(-S174/11*10,-2)</f>
        <v>151900</v>
      </c>
    </row>
    <row r="183" spans="1:19" s="34" customFormat="1" x14ac:dyDescent="0.2">
      <c r="A183" s="54"/>
      <c r="B183" s="9"/>
      <c r="C183" s="136"/>
      <c r="D183" s="136"/>
      <c r="E183" s="136"/>
      <c r="F183" s="730"/>
      <c r="G183" s="371"/>
      <c r="H183" s="9"/>
      <c r="I183" s="584"/>
      <c r="J183" s="9"/>
      <c r="K183" s="9"/>
      <c r="L183" s="9"/>
      <c r="M183" s="9"/>
      <c r="N183" s="9"/>
      <c r="O183" s="9"/>
      <c r="P183" s="9"/>
      <c r="Q183" s="9"/>
      <c r="R183" s="9"/>
      <c r="S183" s="47"/>
    </row>
    <row r="184" spans="1:19" s="34" customFormat="1" x14ac:dyDescent="0.2">
      <c r="A184" s="54"/>
      <c r="B184" s="9"/>
      <c r="C184" s="136"/>
      <c r="D184" s="136"/>
      <c r="E184" s="136"/>
      <c r="F184" s="1378"/>
      <c r="G184" s="912" t="s">
        <v>5232</v>
      </c>
      <c r="H184" s="9"/>
      <c r="I184" s="584"/>
      <c r="J184" s="9"/>
      <c r="K184" s="9"/>
      <c r="L184" s="9"/>
      <c r="M184" s="9"/>
      <c r="N184" s="9"/>
      <c r="O184" s="9"/>
      <c r="P184" s="9"/>
      <c r="Q184" s="9"/>
      <c r="R184" s="9"/>
      <c r="S184" s="47"/>
    </row>
    <row r="185" spans="1:19" s="34" customFormat="1" x14ac:dyDescent="0.2">
      <c r="A185" s="54">
        <v>300700</v>
      </c>
      <c r="B185" s="9">
        <v>224100</v>
      </c>
      <c r="C185" s="136">
        <v>349800</v>
      </c>
      <c r="D185" s="136">
        <v>351700</v>
      </c>
      <c r="E185" s="134">
        <v>311800</v>
      </c>
      <c r="F185" s="239" t="s">
        <v>819</v>
      </c>
      <c r="G185" s="247" t="s">
        <v>1559</v>
      </c>
      <c r="H185" s="9">
        <v>372000</v>
      </c>
      <c r="I185" s="584">
        <f t="shared" ref="I185:I191" si="401">IF(E185=H185,0,IF(E185=0,100,(H185-E185)/E185*100))</f>
        <v>19.30724823604875</v>
      </c>
      <c r="J185" s="9">
        <f>ROUNDUP(H185+(H185*Assumptions!I$5),-2)</f>
        <v>380600</v>
      </c>
      <c r="K185" s="9">
        <f>ROUNDUP(J185+(J185*Assumptions!J$5),-2)</f>
        <v>390200</v>
      </c>
      <c r="L185" s="9">
        <f>ROUNDUP(K185+(K185*Assumptions!K$5),-2)</f>
        <v>400000</v>
      </c>
      <c r="M185" s="9">
        <f>ROUNDUP(L185+(L185*Assumptions!L$5),-2)</f>
        <v>410000</v>
      </c>
      <c r="N185" s="9">
        <f>ROUNDUP(M185+(M185*Assumptions!M$5),-2)</f>
        <v>420300</v>
      </c>
      <c r="O185" s="9">
        <f>ROUNDUP(N185+(N185*Assumptions!N$5),-2)</f>
        <v>430900</v>
      </c>
      <c r="P185" s="9">
        <f>ROUNDUP(O185+(O185*Assumptions!O$5),-2)</f>
        <v>441700</v>
      </c>
      <c r="Q185" s="9">
        <f>ROUNDUP(P185+(P185*Assumptions!P$5),-2)</f>
        <v>452800</v>
      </c>
      <c r="R185" s="9">
        <f>ROUNDUP(Q185+(Q185*Assumptions!Q$5),-2)</f>
        <v>464200</v>
      </c>
      <c r="S185" s="47">
        <f>ROUNDUP(R185+(R185*Assumptions!R$5),-2)</f>
        <v>475900</v>
      </c>
    </row>
    <row r="186" spans="1:19" s="34" customFormat="1" x14ac:dyDescent="0.2">
      <c r="A186" s="54">
        <v>1700</v>
      </c>
      <c r="B186" s="9">
        <v>2300</v>
      </c>
      <c r="C186" s="136">
        <f>3300</f>
        <v>3300</v>
      </c>
      <c r="D186" s="136">
        <v>2600</v>
      </c>
      <c r="E186" s="134">
        <v>4700</v>
      </c>
      <c r="F186" s="239" t="s">
        <v>2639</v>
      </c>
      <c r="G186" s="247" t="s">
        <v>738</v>
      </c>
      <c r="H186" s="9">
        <v>3000</v>
      </c>
      <c r="I186" s="584">
        <f t="shared" si="401"/>
        <v>-36.170212765957451</v>
      </c>
      <c r="J186" s="9">
        <f>ROUNDUP(H186+(H186*Assumptions!I$5),-2)</f>
        <v>3100</v>
      </c>
      <c r="K186" s="9">
        <f>ROUNDUP(J186+(J186*Assumptions!J$5),-2)</f>
        <v>3200</v>
      </c>
      <c r="L186" s="9">
        <f>ROUNDUP(K186+(K186*Assumptions!K$5),-2)</f>
        <v>3300</v>
      </c>
      <c r="M186" s="9">
        <f>ROUNDUP(L186+(L186*Assumptions!L$5),-2)</f>
        <v>3400</v>
      </c>
      <c r="N186" s="9">
        <f>ROUNDUP(M186+(M186*Assumptions!M$5),-2)</f>
        <v>3500</v>
      </c>
      <c r="O186" s="9">
        <f>ROUNDUP(N186+(N186*Assumptions!N$5),-2)</f>
        <v>3600</v>
      </c>
      <c r="P186" s="9">
        <f>ROUNDUP(O186+(O186*Assumptions!O$5),-2)</f>
        <v>3700</v>
      </c>
      <c r="Q186" s="9">
        <f>ROUNDUP(P186+(P186*Assumptions!P$5),-2)</f>
        <v>3800</v>
      </c>
      <c r="R186" s="9">
        <f>ROUNDUP(Q186+(Q186*Assumptions!Q$5),-2)</f>
        <v>3900</v>
      </c>
      <c r="S186" s="47">
        <f>ROUNDUP(R186+(R186*Assumptions!R$5),-2)</f>
        <v>4000</v>
      </c>
    </row>
    <row r="187" spans="1:19" s="34" customFormat="1" x14ac:dyDescent="0.2">
      <c r="A187" s="54">
        <v>146000</v>
      </c>
      <c r="B187" s="9">
        <v>221100</v>
      </c>
      <c r="C187" s="136">
        <v>184700</v>
      </c>
      <c r="D187" s="136">
        <v>192800</v>
      </c>
      <c r="E187" s="134">
        <v>196100</v>
      </c>
      <c r="F187" s="578" t="s">
        <v>3339</v>
      </c>
      <c r="G187" s="772" t="s">
        <v>3267</v>
      </c>
      <c r="H187" s="9">
        <v>209900</v>
      </c>
      <c r="I187" s="584">
        <f t="shared" si="401"/>
        <v>7.0372259051504331</v>
      </c>
      <c r="J187" s="9">
        <f>ROUNDUP(H187+(H187*Assumptions!I$5),-2)</f>
        <v>214800</v>
      </c>
      <c r="K187" s="9">
        <f>ROUNDUP(J187+(J187*Assumptions!J$5),-2)</f>
        <v>220200</v>
      </c>
      <c r="L187" s="9">
        <f>ROUNDUP(K187+(K187*Assumptions!K$5),-2)</f>
        <v>225800</v>
      </c>
      <c r="M187" s="9">
        <f>ROUNDUP(L187+(L187*Assumptions!L$5),-2)</f>
        <v>231500</v>
      </c>
      <c r="N187" s="9">
        <f>ROUNDUP(M187+(M187*Assumptions!M$5),-2)</f>
        <v>237300</v>
      </c>
      <c r="O187" s="9">
        <f>ROUNDUP(N187+(N187*Assumptions!N$5),-2)</f>
        <v>243300</v>
      </c>
      <c r="P187" s="9">
        <f>ROUNDUP(O187+(O187*Assumptions!O$5),-2)</f>
        <v>249400</v>
      </c>
      <c r="Q187" s="9">
        <f>ROUNDUP(P187+(P187*Assumptions!P$5),-2)</f>
        <v>255700</v>
      </c>
      <c r="R187" s="9">
        <f>ROUNDUP(Q187+(Q187*Assumptions!Q$5),-2)</f>
        <v>262100</v>
      </c>
      <c r="S187" s="47">
        <f>ROUNDUP(R187+(R187*Assumptions!R$5),-2)</f>
        <v>268700</v>
      </c>
    </row>
    <row r="188" spans="1:19" s="34" customFormat="1" x14ac:dyDescent="0.2">
      <c r="A188" s="54">
        <v>188600</v>
      </c>
      <c r="B188" s="9">
        <v>183400</v>
      </c>
      <c r="C188" s="136">
        <v>194100</v>
      </c>
      <c r="D188" s="136">
        <v>213700</v>
      </c>
      <c r="E188" s="134">
        <v>205600</v>
      </c>
      <c r="F188" s="239" t="s">
        <v>661</v>
      </c>
      <c r="G188" s="247" t="s">
        <v>1733</v>
      </c>
      <c r="H188" s="9">
        <v>210000</v>
      </c>
      <c r="I188" s="584">
        <f t="shared" si="401"/>
        <v>2.1400778210116731</v>
      </c>
      <c r="J188" s="9">
        <f>ROUNDUP(H188+(H188*Assumptions!I$5),-2)</f>
        <v>214900</v>
      </c>
      <c r="K188" s="9">
        <f>ROUNDUP(J188+(J188*Assumptions!J$5),-2)</f>
        <v>220300</v>
      </c>
      <c r="L188" s="9">
        <f>ROUNDUP(K188+(K188*Assumptions!K$5),-2)</f>
        <v>225900</v>
      </c>
      <c r="M188" s="9">
        <f>ROUNDUP(L188+(L188*Assumptions!L$5),-2)</f>
        <v>231600</v>
      </c>
      <c r="N188" s="9">
        <f>ROUNDUP(M188+(M188*Assumptions!M$5),-2)</f>
        <v>237400</v>
      </c>
      <c r="O188" s="9">
        <f>ROUNDUP(N188+(N188*Assumptions!N$5),-2)</f>
        <v>243400</v>
      </c>
      <c r="P188" s="9">
        <f>ROUNDUP(O188+(O188*Assumptions!O$5),-2)</f>
        <v>249500</v>
      </c>
      <c r="Q188" s="9">
        <f>ROUNDUP(P188+(P188*Assumptions!P$5),-2)</f>
        <v>255800</v>
      </c>
      <c r="R188" s="9">
        <f>ROUNDUP(Q188+(Q188*Assumptions!Q$5),-2)</f>
        <v>262200</v>
      </c>
      <c r="S188" s="47">
        <f>ROUNDUP(R188+(R188*Assumptions!R$5),-2)</f>
        <v>268800</v>
      </c>
    </row>
    <row r="189" spans="1:19" s="34" customFormat="1" x14ac:dyDescent="0.2">
      <c r="A189" s="54">
        <v>1400</v>
      </c>
      <c r="B189" s="9">
        <v>8900</v>
      </c>
      <c r="C189" s="136">
        <v>0</v>
      </c>
      <c r="D189" s="136">
        <v>0</v>
      </c>
      <c r="E189" s="134">
        <v>7300</v>
      </c>
      <c r="F189" s="239" t="s">
        <v>662</v>
      </c>
      <c r="G189" s="772" t="s">
        <v>3535</v>
      </c>
      <c r="H189" s="9">
        <v>1000</v>
      </c>
      <c r="I189" s="584">
        <f t="shared" si="401"/>
        <v>-86.301369863013704</v>
      </c>
      <c r="J189" s="9">
        <f>ROUNDUP(H189+(H189*Assumptions!I$5),-2)</f>
        <v>1100</v>
      </c>
      <c r="K189" s="9">
        <f>ROUNDUP(J189+(J189*Assumptions!J$5),-2)</f>
        <v>1200</v>
      </c>
      <c r="L189" s="9">
        <f>ROUNDUP(K189+(K189*Assumptions!K$5),-2)</f>
        <v>1300</v>
      </c>
      <c r="M189" s="9">
        <f>ROUNDUP(L189+(L189*Assumptions!L$5),-2)</f>
        <v>1400</v>
      </c>
      <c r="N189" s="9">
        <f>ROUNDUP(M189+(M189*Assumptions!M$5),-2)</f>
        <v>1500</v>
      </c>
      <c r="O189" s="9">
        <f>ROUNDUP(N189+(N189*Assumptions!N$5),-2)</f>
        <v>1600</v>
      </c>
      <c r="P189" s="9">
        <f>ROUNDUP(O189+(O189*Assumptions!O$5),-2)</f>
        <v>1700</v>
      </c>
      <c r="Q189" s="9">
        <f>ROUNDUP(P189+(P189*Assumptions!P$5),-2)</f>
        <v>1800</v>
      </c>
      <c r="R189" s="9">
        <f>ROUNDUP(Q189+(Q189*Assumptions!Q$5),-2)</f>
        <v>1900</v>
      </c>
      <c r="S189" s="47">
        <f>ROUNDUP(R189+(R189*Assumptions!R$5),-2)</f>
        <v>2000</v>
      </c>
    </row>
    <row r="190" spans="1:19" s="34" customFormat="1" x14ac:dyDescent="0.2">
      <c r="A190" s="54">
        <v>30800</v>
      </c>
      <c r="B190" s="9">
        <f>32500+400</f>
        <v>32900</v>
      </c>
      <c r="C190" s="136">
        <f>47100+1800</f>
        <v>48900</v>
      </c>
      <c r="D190" s="136">
        <v>35600</v>
      </c>
      <c r="E190" s="134">
        <v>37400</v>
      </c>
      <c r="F190" s="239" t="s">
        <v>368</v>
      </c>
      <c r="G190" s="772" t="s">
        <v>4406</v>
      </c>
      <c r="H190" s="9">
        <v>30000</v>
      </c>
      <c r="I190" s="584">
        <f t="shared" si="401"/>
        <v>-19.786096256684495</v>
      </c>
      <c r="J190" s="9">
        <f>ROUNDUP(H190+(H190*Assumptions!I$5),-2)</f>
        <v>30700</v>
      </c>
      <c r="K190" s="9">
        <f>ROUNDUP(J190+(J190*Assumptions!J$5),-2)</f>
        <v>31500</v>
      </c>
      <c r="L190" s="9">
        <f>ROUNDUP(K190+(K190*Assumptions!K$5),-2)</f>
        <v>32300</v>
      </c>
      <c r="M190" s="9">
        <f>ROUNDUP(L190+(L190*Assumptions!L$5),-2)</f>
        <v>33200</v>
      </c>
      <c r="N190" s="9">
        <f>ROUNDUP(M190+(M190*Assumptions!M$5),-2)</f>
        <v>34100</v>
      </c>
      <c r="O190" s="9">
        <f>ROUNDUP(N190+(N190*Assumptions!N$5),-2)</f>
        <v>35000</v>
      </c>
      <c r="P190" s="9">
        <f>ROUNDUP(O190+(O190*Assumptions!O$5),-2)</f>
        <v>35900</v>
      </c>
      <c r="Q190" s="9">
        <f>ROUNDUP(P190+(P190*Assumptions!P$5),-2)</f>
        <v>36800</v>
      </c>
      <c r="R190" s="9">
        <f>ROUNDUP(Q190+(Q190*Assumptions!Q$5),-2)</f>
        <v>37800</v>
      </c>
      <c r="S190" s="47">
        <f>ROUNDUP(R190+(R190*Assumptions!R$5),-2)</f>
        <v>38800</v>
      </c>
    </row>
    <row r="191" spans="1:19" s="34" customFormat="1" x14ac:dyDescent="0.2">
      <c r="A191" s="54">
        <v>0</v>
      </c>
      <c r="B191" s="9">
        <v>0</v>
      </c>
      <c r="C191" s="136">
        <f>10000+7100</f>
        <v>17100</v>
      </c>
      <c r="D191" s="136">
        <v>0</v>
      </c>
      <c r="E191" s="134">
        <v>0</v>
      </c>
      <c r="F191" s="578" t="s">
        <v>4738</v>
      </c>
      <c r="G191" s="772" t="s">
        <v>4744</v>
      </c>
      <c r="H191" s="9">
        <v>0</v>
      </c>
      <c r="I191" s="584">
        <f t="shared" si="401"/>
        <v>0</v>
      </c>
      <c r="J191" s="9">
        <f>ROUNDUP(H191+(H191*Assumptions!I$5),-2)</f>
        <v>0</v>
      </c>
      <c r="K191" s="9">
        <f>ROUNDUP(J191+(J191*Assumptions!J$5),-2)</f>
        <v>0</v>
      </c>
      <c r="L191" s="9">
        <f>ROUNDUP(K191+(K191*Assumptions!K$5),-2)</f>
        <v>0</v>
      </c>
      <c r="M191" s="9">
        <f>ROUNDUP(L191+(L191*Assumptions!L$5),-2)</f>
        <v>0</v>
      </c>
      <c r="N191" s="9">
        <f>ROUNDUP(M191+(M191*Assumptions!M$5),-2)</f>
        <v>0</v>
      </c>
      <c r="O191" s="9">
        <f>ROUNDUP(N191+(N191*Assumptions!N$5),-2)</f>
        <v>0</v>
      </c>
      <c r="P191" s="9">
        <f>ROUNDUP(O191+(O191*Assumptions!O$5),-2)</f>
        <v>0</v>
      </c>
      <c r="Q191" s="9">
        <f>ROUNDUP(P191+(P191*Assumptions!P$5),-2)</f>
        <v>0</v>
      </c>
      <c r="R191" s="9">
        <f>ROUNDUP(Q191+(Q191*Assumptions!Q$5),-2)</f>
        <v>0</v>
      </c>
      <c r="S191" s="47">
        <f>ROUNDUP(R191+(R191*Assumptions!R$5),-2)</f>
        <v>0</v>
      </c>
    </row>
    <row r="192" spans="1:19" s="34" customFormat="1" x14ac:dyDescent="0.2">
      <c r="A192" s="54"/>
      <c r="B192" s="9"/>
      <c r="C192" s="136"/>
      <c r="D192" s="136"/>
      <c r="E192" s="134"/>
      <c r="F192" s="730"/>
      <c r="G192" s="538"/>
      <c r="H192" s="9"/>
      <c r="I192" s="584"/>
      <c r="J192" s="134"/>
      <c r="K192" s="9"/>
      <c r="L192" s="9"/>
      <c r="M192" s="9"/>
      <c r="N192" s="9"/>
      <c r="O192" s="9"/>
      <c r="P192" s="9"/>
      <c r="Q192" s="9"/>
      <c r="R192" s="9"/>
      <c r="S192" s="47"/>
    </row>
    <row r="193" spans="1:19" s="34" customFormat="1" x14ac:dyDescent="0.2">
      <c r="A193" s="54"/>
      <c r="B193" s="9"/>
      <c r="C193" s="136"/>
      <c r="D193" s="136"/>
      <c r="E193" s="134"/>
      <c r="F193" s="1378"/>
      <c r="G193" s="319" t="s">
        <v>2624</v>
      </c>
      <c r="H193" s="9"/>
      <c r="I193" s="584"/>
      <c r="J193" s="134"/>
      <c r="K193" s="9"/>
      <c r="L193" s="9"/>
      <c r="M193" s="9"/>
      <c r="N193" s="9"/>
      <c r="O193" s="9"/>
      <c r="P193" s="9"/>
      <c r="Q193" s="9"/>
      <c r="R193" s="9"/>
      <c r="S193" s="47"/>
    </row>
    <row r="194" spans="1:19" s="34" customFormat="1" x14ac:dyDescent="0.2">
      <c r="A194" s="54">
        <v>219900</v>
      </c>
      <c r="B194" s="9">
        <v>98900</v>
      </c>
      <c r="C194" s="136">
        <v>167000</v>
      </c>
      <c r="D194" s="136">
        <v>131500</v>
      </c>
      <c r="E194" s="134">
        <v>106400</v>
      </c>
      <c r="F194" s="239" t="s">
        <v>180</v>
      </c>
      <c r="G194" s="247" t="s">
        <v>1746</v>
      </c>
      <c r="H194" s="9">
        <v>156400</v>
      </c>
      <c r="I194" s="584">
        <f>IF(E194=H194,0,IF(E194=0,100,(H194-E194)/E194*100))</f>
        <v>46.992481203007522</v>
      </c>
      <c r="J194" s="134">
        <v>211900</v>
      </c>
      <c r="K194" s="134">
        <f>IF(LTFP!H279&gt;0,ROUND(LTFP!H279/4*3*Assumptions!J$14,-2),0)</f>
        <v>200300</v>
      </c>
      <c r="L194" s="134">
        <f>IF(LTFP!I279&gt;0,ROUND(LTFP!I279/4*3*Assumptions!K$14,-2),0)</f>
        <v>185500</v>
      </c>
      <c r="M194" s="134">
        <f>IF(LTFP!J279&gt;0,ROUND(LTFP!J279/4*3*Assumptions!L$14,-2),0)</f>
        <v>189900</v>
      </c>
      <c r="N194" s="134">
        <f>IF(LTFP!K279&gt;0,ROUND(LTFP!K279/4*3*Assumptions!M$14,-2),0)</f>
        <v>114400</v>
      </c>
      <c r="O194" s="9">
        <f>IF(LTFP!L279&gt;0,ROUND(LTFP!L279/4*3*Assumptions!N$14,-2),0)</f>
        <v>129500</v>
      </c>
      <c r="P194" s="9">
        <f>IF(LTFP!M279&gt;0,ROUND(LTFP!M279/4*3*Assumptions!O$14,-2),0)</f>
        <v>76900</v>
      </c>
      <c r="Q194" s="9">
        <f>IF(LTFP!N279&gt;0,ROUND(LTFP!N279/4*3*Assumptions!P$14,-2),0)</f>
        <v>36100</v>
      </c>
      <c r="R194" s="9">
        <f>IF(LTFP!O279&gt;0,ROUND(LTFP!O279/4*3*Assumptions!Q$14,-2),0)</f>
        <v>46500</v>
      </c>
      <c r="S194" s="47">
        <f>IF(LTFP!P279&gt;0,ROUND(LTFP!P279/4*3*Assumptions!R$14,-2),0)</f>
        <v>61800</v>
      </c>
    </row>
    <row r="195" spans="1:19" s="34" customFormat="1" x14ac:dyDescent="0.2">
      <c r="A195" s="54">
        <v>364000</v>
      </c>
      <c r="B195" s="9">
        <v>286300</v>
      </c>
      <c r="C195" s="136">
        <v>250400</v>
      </c>
      <c r="D195" s="136">
        <v>207500</v>
      </c>
      <c r="E195" s="134">
        <v>215500</v>
      </c>
      <c r="F195" s="239" t="s">
        <v>1346</v>
      </c>
      <c r="G195" s="247" t="s">
        <v>233</v>
      </c>
      <c r="H195" s="9">
        <v>212400</v>
      </c>
      <c r="I195" s="584">
        <f>IF(E195=H195,0,IF(E195=0,100,(H195-E195)/E195*100))</f>
        <v>-1.4385150812064964</v>
      </c>
      <c r="J195" s="134">
        <v>256400</v>
      </c>
      <c r="K195" s="134">
        <f>IF(LTFP!H280&gt;0,ROUND(LTFP!H280/4*3*Assumptions!J$14,-2),0)</f>
        <v>182100</v>
      </c>
      <c r="L195" s="134">
        <f>IF(LTFP!I280&gt;0,ROUND(LTFP!I280/4*3*Assumptions!K$14,-2),0)</f>
        <v>171400</v>
      </c>
      <c r="M195" s="134">
        <f>IF(LTFP!J280&gt;0,ROUND(LTFP!J280/4*3*Assumptions!L$14,-2),0)</f>
        <v>190700</v>
      </c>
      <c r="N195" s="134">
        <f>IF(LTFP!K280&gt;0,ROUND(LTFP!K280/4*3*Assumptions!M$14,-2),0)</f>
        <v>163300</v>
      </c>
      <c r="O195" s="9">
        <f>IF(LTFP!L280&gt;0,ROUND(LTFP!L280/4*3*Assumptions!N$14,-2),0)</f>
        <v>83400</v>
      </c>
      <c r="P195" s="9">
        <f>IF(LTFP!M280&gt;0,ROUND(LTFP!M280/4*3*Assumptions!O$14,-2),0)</f>
        <v>74900</v>
      </c>
      <c r="Q195" s="9">
        <f>IF(LTFP!N280&gt;0,ROUND(LTFP!N280/4*3*Assumptions!P$14,-2),0)</f>
        <v>64300</v>
      </c>
      <c r="R195" s="9">
        <f>IF(LTFP!O280&gt;0,ROUND(LTFP!O280/4*3*Assumptions!Q$14,-2),0)</f>
        <v>91500</v>
      </c>
      <c r="S195" s="47">
        <f>IF(LTFP!P280&gt;0,ROUND(LTFP!P280/4*3*Assumptions!R$14,-2),0)</f>
        <v>120200</v>
      </c>
    </row>
    <row r="196" spans="1:19" s="34" customFormat="1" x14ac:dyDescent="0.2">
      <c r="A196" s="54">
        <v>40000</v>
      </c>
      <c r="B196" s="9">
        <v>28300</v>
      </c>
      <c r="C196" s="136">
        <f>38000-38000</f>
        <v>0</v>
      </c>
      <c r="D196" s="136">
        <v>0</v>
      </c>
      <c r="E196" s="134">
        <v>22000</v>
      </c>
      <c r="F196" s="578" t="s">
        <v>2981</v>
      </c>
      <c r="G196" s="247" t="s">
        <v>2209</v>
      </c>
      <c r="H196" s="9">
        <v>0</v>
      </c>
      <c r="I196" s="584">
        <f>IF(E196=H196,0,IF(E196=0,100,(H196-E196)/E196*100))</f>
        <v>-100</v>
      </c>
      <c r="J196" s="134">
        <v>0</v>
      </c>
      <c r="K196" s="9">
        <f t="shared" ref="K196:S196" si="402">J196</f>
        <v>0</v>
      </c>
      <c r="L196" s="9">
        <f t="shared" si="402"/>
        <v>0</v>
      </c>
      <c r="M196" s="9">
        <f t="shared" si="402"/>
        <v>0</v>
      </c>
      <c r="N196" s="9">
        <f t="shared" si="402"/>
        <v>0</v>
      </c>
      <c r="O196" s="9">
        <f t="shared" si="402"/>
        <v>0</v>
      </c>
      <c r="P196" s="9">
        <f t="shared" si="402"/>
        <v>0</v>
      </c>
      <c r="Q196" s="9">
        <f t="shared" si="402"/>
        <v>0</v>
      </c>
      <c r="R196" s="9">
        <f t="shared" si="402"/>
        <v>0</v>
      </c>
      <c r="S196" s="47">
        <f t="shared" si="402"/>
        <v>0</v>
      </c>
    </row>
    <row r="197" spans="1:19" s="34" customFormat="1" x14ac:dyDescent="0.2">
      <c r="A197" s="54"/>
      <c r="B197" s="9"/>
      <c r="C197" s="136"/>
      <c r="D197" s="136"/>
      <c r="E197" s="134"/>
      <c r="F197" s="578"/>
      <c r="G197" s="247"/>
      <c r="H197" s="9"/>
      <c r="I197" s="584"/>
      <c r="J197" s="134"/>
      <c r="K197" s="9"/>
      <c r="L197" s="9"/>
      <c r="M197" s="9"/>
      <c r="N197" s="9"/>
      <c r="O197" s="9"/>
      <c r="P197" s="9"/>
      <c r="Q197" s="9"/>
      <c r="R197" s="9"/>
      <c r="S197" s="47"/>
    </row>
    <row r="198" spans="1:19" s="34" customFormat="1" x14ac:dyDescent="0.2">
      <c r="A198" s="54"/>
      <c r="B198" s="9"/>
      <c r="C198" s="136"/>
      <c r="D198" s="136"/>
      <c r="E198" s="134"/>
      <c r="F198" s="469"/>
      <c r="G198" s="1461" t="s">
        <v>5270</v>
      </c>
      <c r="H198" s="9"/>
      <c r="I198" s="584"/>
      <c r="J198" s="9"/>
      <c r="K198" s="9"/>
      <c r="L198" s="9"/>
      <c r="M198" s="9"/>
      <c r="N198" s="9"/>
      <c r="O198" s="9"/>
      <c r="P198" s="9"/>
      <c r="Q198" s="9"/>
      <c r="R198" s="9"/>
      <c r="S198" s="47"/>
    </row>
    <row r="199" spans="1:19" s="34" customFormat="1" x14ac:dyDescent="0.2">
      <c r="A199" s="54">
        <v>0</v>
      </c>
      <c r="B199" s="9">
        <v>0</v>
      </c>
      <c r="C199" s="136">
        <v>0</v>
      </c>
      <c r="D199" s="136">
        <v>26000</v>
      </c>
      <c r="E199" s="134">
        <v>0</v>
      </c>
      <c r="F199" s="578" t="s">
        <v>5269</v>
      </c>
      <c r="G199" s="772" t="s">
        <v>5231</v>
      </c>
      <c r="H199" s="9">
        <v>0</v>
      </c>
      <c r="I199" s="584">
        <f>IF(E199=H199,0,IF(E199=0,100,(H199-E199)/E199*100))</f>
        <v>0</v>
      </c>
      <c r="J199" s="9">
        <f>ROUNDUP(H199+(H199*Assumptions!I$5),-2)</f>
        <v>0</v>
      </c>
      <c r="K199" s="9">
        <f>ROUNDUP(J199+(J199*Assumptions!J$5),-2)</f>
        <v>0</v>
      </c>
      <c r="L199" s="9">
        <f>ROUNDUP(K199+(K199*Assumptions!K$5),-2)</f>
        <v>0</v>
      </c>
      <c r="M199" s="9">
        <f>ROUNDUP(L199+(L199*Assumptions!L$5),-2)</f>
        <v>0</v>
      </c>
      <c r="N199" s="9">
        <f>ROUNDUP(M199+(M199*Assumptions!M$5),-2)</f>
        <v>0</v>
      </c>
      <c r="O199" s="9">
        <f>ROUNDUP(N199+(N199*Assumptions!N$5),-2)</f>
        <v>0</v>
      </c>
      <c r="P199" s="9">
        <f>ROUNDUP(O199+(O199*Assumptions!O$5),-2)</f>
        <v>0</v>
      </c>
      <c r="Q199" s="9">
        <f>ROUNDUP(P199+(P199*Assumptions!P$5),-2)</f>
        <v>0</v>
      </c>
      <c r="R199" s="9">
        <f>ROUNDUP(Q199+(Q199*Assumptions!Q$5),-2)</f>
        <v>0</v>
      </c>
      <c r="S199" s="47">
        <f>ROUNDUP(R199+(R199*Assumptions!R$5),-2)</f>
        <v>0</v>
      </c>
    </row>
    <row r="200" spans="1:19" s="34" customFormat="1" ht="13.5" thickBot="1" x14ac:dyDescent="0.25">
      <c r="A200" s="54"/>
      <c r="B200" s="9"/>
      <c r="C200" s="136"/>
      <c r="D200" s="136"/>
      <c r="E200" s="134"/>
      <c r="F200" s="167"/>
      <c r="G200" s="29"/>
      <c r="H200" s="9"/>
      <c r="I200" s="584"/>
      <c r="J200" s="9"/>
      <c r="K200" s="9"/>
      <c r="L200" s="9"/>
      <c r="M200" s="9"/>
      <c r="N200" s="9"/>
      <c r="O200" s="9"/>
      <c r="P200" s="9"/>
      <c r="Q200" s="9"/>
      <c r="R200" s="9"/>
      <c r="S200" s="47"/>
    </row>
    <row r="201" spans="1:19" s="34" customFormat="1" x14ac:dyDescent="0.2">
      <c r="A201" s="52">
        <f>SUM(A169:A200)</f>
        <v>9633500</v>
      </c>
      <c r="B201" s="16">
        <f>SUM(B169:B200)</f>
        <v>10689100</v>
      </c>
      <c r="C201" s="137">
        <f>SUM(C169:C200)</f>
        <v>10892500</v>
      </c>
      <c r="D201" s="137">
        <f>SUM(D169:D200)</f>
        <v>11199100</v>
      </c>
      <c r="E201" s="145">
        <f t="shared" ref="E201" si="403">SUM(E169:E200)</f>
        <v>12409800</v>
      </c>
      <c r="F201" s="167"/>
      <c r="G201" s="1158" t="s">
        <v>2561</v>
      </c>
      <c r="H201" s="16">
        <f t="shared" ref="H201:P201" si="404">SUM(H169:H200)</f>
        <v>11778400</v>
      </c>
      <c r="I201" s="391">
        <f>IF(E201=H201,0,IF(E201=0,100,(H201-E201)/E201*100))</f>
        <v>-5.0879143902399715</v>
      </c>
      <c r="J201" s="16">
        <f t="shared" si="404"/>
        <v>12143700</v>
      </c>
      <c r="K201" s="16">
        <f t="shared" si="404"/>
        <v>12332100</v>
      </c>
      <c r="L201" s="16">
        <f t="shared" si="404"/>
        <v>12608400</v>
      </c>
      <c r="M201" s="16">
        <f t="shared" si="404"/>
        <v>12999400</v>
      </c>
      <c r="N201" s="16">
        <f t="shared" si="404"/>
        <v>13275300</v>
      </c>
      <c r="O201" s="16">
        <f t="shared" si="404"/>
        <v>13601000</v>
      </c>
      <c r="P201" s="16">
        <f t="shared" si="404"/>
        <v>13940900</v>
      </c>
      <c r="Q201" s="16">
        <f t="shared" ref="Q201" si="405">SUM(Q169:Q200)</f>
        <v>14301200</v>
      </c>
      <c r="R201" s="16">
        <f t="shared" ref="R201" si="406">SUM(R169:R200)</f>
        <v>14763100</v>
      </c>
      <c r="S201" s="2342">
        <f t="shared" ref="S201" si="407">SUM(S169:S200)</f>
        <v>15245100</v>
      </c>
    </row>
    <row r="202" spans="1:19" s="34" customFormat="1" x14ac:dyDescent="0.2">
      <c r="A202" s="54"/>
      <c r="B202" s="9"/>
      <c r="C202" s="134"/>
      <c r="D202" s="134"/>
      <c r="E202" s="134"/>
      <c r="F202" s="167"/>
      <c r="G202" s="59"/>
      <c r="H202" s="9"/>
      <c r="I202" s="584"/>
      <c r="J202" s="9"/>
      <c r="K202" s="9"/>
      <c r="L202" s="9"/>
      <c r="M202" s="9"/>
      <c r="N202" s="9"/>
      <c r="O202" s="9"/>
      <c r="P202" s="9"/>
      <c r="Q202" s="9"/>
      <c r="R202" s="9"/>
      <c r="S202" s="47"/>
    </row>
    <row r="203" spans="1:19" s="34" customFormat="1" x14ac:dyDescent="0.2">
      <c r="A203" s="54"/>
      <c r="B203" s="9"/>
      <c r="C203" s="134"/>
      <c r="D203" s="134"/>
      <c r="E203" s="134"/>
      <c r="F203" s="167"/>
      <c r="G203" s="91" t="s">
        <v>2169</v>
      </c>
      <c r="H203" s="9"/>
      <c r="I203" s="584"/>
      <c r="J203" s="9"/>
      <c r="K203" s="9"/>
      <c r="L203" s="9"/>
      <c r="M203" s="9"/>
      <c r="N203" s="9"/>
      <c r="O203" s="9"/>
      <c r="P203" s="9"/>
      <c r="Q203" s="9"/>
      <c r="R203" s="9"/>
      <c r="S203" s="47"/>
    </row>
    <row r="204" spans="1:19" s="34" customFormat="1" x14ac:dyDescent="0.2">
      <c r="A204" s="54"/>
      <c r="B204" s="9"/>
      <c r="C204" s="134"/>
      <c r="D204" s="134"/>
      <c r="E204" s="134"/>
      <c r="F204" s="1153"/>
      <c r="G204" s="91"/>
      <c r="H204" s="9"/>
      <c r="I204" s="584"/>
      <c r="J204" s="9"/>
      <c r="K204" s="9"/>
      <c r="L204" s="9"/>
      <c r="M204" s="9"/>
      <c r="N204" s="9"/>
      <c r="O204" s="9"/>
      <c r="P204" s="9"/>
      <c r="Q204" s="9"/>
      <c r="R204" s="9"/>
      <c r="S204" s="47"/>
    </row>
    <row r="205" spans="1:19" s="34" customFormat="1" x14ac:dyDescent="0.2">
      <c r="A205" s="54"/>
      <c r="B205" s="9"/>
      <c r="C205" s="136"/>
      <c r="D205" s="134"/>
      <c r="E205" s="134"/>
      <c r="F205" s="730"/>
      <c r="G205" s="319" t="s">
        <v>563</v>
      </c>
      <c r="H205" s="9"/>
      <c r="I205" s="584"/>
      <c r="J205" s="9"/>
      <c r="K205" s="9"/>
      <c r="L205" s="9"/>
      <c r="M205" s="9"/>
      <c r="N205" s="9"/>
      <c r="O205" s="9"/>
      <c r="P205" s="9"/>
      <c r="Q205" s="9"/>
      <c r="R205" s="9"/>
      <c r="S205" s="47"/>
    </row>
    <row r="206" spans="1:19" s="34" customFormat="1" x14ac:dyDescent="0.2">
      <c r="A206" s="54">
        <v>218600</v>
      </c>
      <c r="B206" s="9">
        <v>263400</v>
      </c>
      <c r="C206" s="136">
        <v>289600</v>
      </c>
      <c r="D206" s="134">
        <f>376900</f>
        <v>376900</v>
      </c>
      <c r="E206" s="134">
        <v>380900</v>
      </c>
      <c r="F206" s="239" t="s">
        <v>1348</v>
      </c>
      <c r="G206" s="772" t="s">
        <v>1218</v>
      </c>
      <c r="H206" s="134">
        <f>386000+19000</f>
        <v>405000</v>
      </c>
      <c r="I206" s="584">
        <f t="shared" ref="I206:I213" si="408">IF(E206=H206,0,IF(E206=0,100,(H206-E206)/E206*100))</f>
        <v>6.3271199789971115</v>
      </c>
      <c r="J206" s="9">
        <f>ROUNDUP(H206+(H206*Assumptions!I$5),-2)</f>
        <v>414400</v>
      </c>
      <c r="K206" s="9">
        <f>ROUNDUP(J206+(J206*Assumptions!J$5),-2)</f>
        <v>424800</v>
      </c>
      <c r="L206" s="9">
        <f>ROUNDUP(K206+(K206*Assumptions!K$5),-2)</f>
        <v>435500</v>
      </c>
      <c r="M206" s="9">
        <f>ROUNDUP(L206+(L206*Assumptions!L$5),-2)</f>
        <v>446400</v>
      </c>
      <c r="N206" s="9">
        <f>ROUNDUP(M206+(M206*Assumptions!M$5),-2)</f>
        <v>457600</v>
      </c>
      <c r="O206" s="134">
        <f>ROUNDUP(N206+(N206*Assumptions!N$5),-2)</f>
        <v>469100</v>
      </c>
      <c r="P206" s="134">
        <f>ROUNDUP(O206+(O206*Assumptions!O$5),-2)</f>
        <v>480900</v>
      </c>
      <c r="Q206" s="134">
        <f>ROUNDUP(P206+(P206*Assumptions!P$5),-2)</f>
        <v>493000</v>
      </c>
      <c r="R206" s="134">
        <f>ROUNDUP(Q206+(Q206*Assumptions!Q$5),-2)</f>
        <v>505400</v>
      </c>
      <c r="S206" s="2359">
        <f>ROUNDUP(R206+(R206*Assumptions!R$5),-2)</f>
        <v>518100</v>
      </c>
    </row>
    <row r="207" spans="1:19" s="34" customFormat="1" x14ac:dyDescent="0.2">
      <c r="A207" s="54">
        <v>0</v>
      </c>
      <c r="B207" s="9">
        <v>0</v>
      </c>
      <c r="C207" s="136">
        <v>0</v>
      </c>
      <c r="D207" s="134">
        <v>-5800</v>
      </c>
      <c r="E207" s="134">
        <v>-47100</v>
      </c>
      <c r="F207" s="578" t="s">
        <v>11319</v>
      </c>
      <c r="G207" s="772" t="s">
        <v>6516</v>
      </c>
      <c r="H207" s="134">
        <v>-6000</v>
      </c>
      <c r="I207" s="584">
        <f t="shared" si="408"/>
        <v>-87.261146496815286</v>
      </c>
      <c r="J207" s="9">
        <f>ROUNDUP(H207+(H207*Assumptions!I$5),-2)</f>
        <v>-6200</v>
      </c>
      <c r="K207" s="9">
        <f>ROUNDUP(J207+(J207*Assumptions!J$5),-2)</f>
        <v>-6400</v>
      </c>
      <c r="L207" s="9">
        <f>ROUNDUP(K207+(K207*Assumptions!K$5),-2)</f>
        <v>-6600</v>
      </c>
      <c r="M207" s="9">
        <f>ROUNDUP(L207+(L207*Assumptions!L$5),-2)</f>
        <v>-6800</v>
      </c>
      <c r="N207" s="9">
        <f>ROUNDUP(M207+(M207*Assumptions!M$5),-2)</f>
        <v>-7000</v>
      </c>
      <c r="O207" s="134">
        <f>ROUNDUP(N207+(N207*Assumptions!N$5),-2)</f>
        <v>-7200</v>
      </c>
      <c r="P207" s="134">
        <f>ROUNDUP(O207+(O207*Assumptions!O$5),-2)</f>
        <v>-7400</v>
      </c>
      <c r="Q207" s="134">
        <f>ROUNDUP(P207+(P207*Assumptions!P$5),-2)</f>
        <v>-7600</v>
      </c>
      <c r="R207" s="134">
        <f>ROUNDUP(Q207+(Q207*Assumptions!Q$5),-2)</f>
        <v>-7800</v>
      </c>
      <c r="S207" s="2359">
        <f>ROUNDUP(R207+(R207*Assumptions!R$5),-2)</f>
        <v>-8000</v>
      </c>
    </row>
    <row r="208" spans="1:19" s="34" customFormat="1" x14ac:dyDescent="0.2">
      <c r="A208" s="54">
        <v>14300</v>
      </c>
      <c r="B208" s="9">
        <v>-9400</v>
      </c>
      <c r="C208" s="136">
        <v>9800</v>
      </c>
      <c r="D208" s="134">
        <v>-13400</v>
      </c>
      <c r="E208" s="134">
        <f>14400-E209-E210</f>
        <v>12200</v>
      </c>
      <c r="F208" s="239" t="s">
        <v>1349</v>
      </c>
      <c r="G208" s="1971" t="s">
        <v>3531</v>
      </c>
      <c r="H208" s="134">
        <v>11400</v>
      </c>
      <c r="I208" s="584">
        <f t="shared" si="408"/>
        <v>-6.557377049180328</v>
      </c>
      <c r="J208" s="9">
        <f>ROUNDUP(H208+(H208*Assumptions!I$5),-2)</f>
        <v>11700</v>
      </c>
      <c r="K208" s="9">
        <f>ROUNDUP(J208+(J208*Assumptions!J$5),-2)</f>
        <v>12000</v>
      </c>
      <c r="L208" s="9">
        <f>ROUNDUP(K208+(K208*Assumptions!K$5),-2)</f>
        <v>12300</v>
      </c>
      <c r="M208" s="9">
        <f>ROUNDUP(L208+(L208*Assumptions!L$5),-2)</f>
        <v>12700</v>
      </c>
      <c r="N208" s="9">
        <f>ROUNDUP(M208+(M208*Assumptions!M$5),-2)</f>
        <v>13100</v>
      </c>
      <c r="O208" s="134">
        <f>ROUNDUP(N208+(N208*Assumptions!N$5),-2)</f>
        <v>13500</v>
      </c>
      <c r="P208" s="134">
        <f>ROUNDUP(O208+(O208*Assumptions!O$5),-2)</f>
        <v>13900</v>
      </c>
      <c r="Q208" s="134">
        <f>ROUNDUP(P208+(P208*Assumptions!P$5),-2)</f>
        <v>14300</v>
      </c>
      <c r="R208" s="134">
        <f>ROUNDUP(Q208+(Q208*Assumptions!Q$5),-2)</f>
        <v>14700</v>
      </c>
      <c r="S208" s="2359">
        <f>ROUNDUP(R208+(R208*Assumptions!R$5),-2)</f>
        <v>15100</v>
      </c>
    </row>
    <row r="209" spans="1:19" s="34" customFormat="1" x14ac:dyDescent="0.2">
      <c r="A209" s="54">
        <v>2400</v>
      </c>
      <c r="B209" s="9">
        <v>7400</v>
      </c>
      <c r="C209" s="136">
        <v>7000</v>
      </c>
      <c r="D209" s="707">
        <v>4200</v>
      </c>
      <c r="E209" s="134">
        <v>600</v>
      </c>
      <c r="F209" s="239" t="s">
        <v>857</v>
      </c>
      <c r="G209" s="1971" t="s">
        <v>3532</v>
      </c>
      <c r="H209" s="134">
        <v>7000</v>
      </c>
      <c r="I209" s="584">
        <f t="shared" si="408"/>
        <v>1066.6666666666665</v>
      </c>
      <c r="J209" s="9">
        <f>ROUNDUP(H209+(H209*Assumptions!I$5),-2)</f>
        <v>7200</v>
      </c>
      <c r="K209" s="9">
        <f>ROUNDUP(J209+(J209*Assumptions!J$5),-2)</f>
        <v>7400</v>
      </c>
      <c r="L209" s="9">
        <f>ROUNDUP(K209+(K209*Assumptions!K$5),-2)</f>
        <v>7600</v>
      </c>
      <c r="M209" s="9">
        <f>ROUNDUP(L209+(L209*Assumptions!L$5),-2)</f>
        <v>7800</v>
      </c>
      <c r="N209" s="9">
        <f>ROUNDUP(M209+(M209*Assumptions!M$5),-2)</f>
        <v>8000</v>
      </c>
      <c r="O209" s="134">
        <f>ROUNDUP(N209+(N209*Assumptions!N$5),-2)</f>
        <v>8200</v>
      </c>
      <c r="P209" s="134">
        <f>ROUNDUP(O209+(O209*Assumptions!O$5),-2)</f>
        <v>8500</v>
      </c>
      <c r="Q209" s="134">
        <f>ROUNDUP(P209+(P209*Assumptions!P$5),-2)</f>
        <v>8800</v>
      </c>
      <c r="R209" s="134">
        <f>ROUNDUP(Q209+(Q209*Assumptions!Q$5),-2)</f>
        <v>9100</v>
      </c>
      <c r="S209" s="2359">
        <f>ROUNDUP(R209+(R209*Assumptions!R$5),-2)</f>
        <v>9400</v>
      </c>
    </row>
    <row r="210" spans="1:19" s="34" customFormat="1" x14ac:dyDescent="0.2">
      <c r="A210" s="54">
        <v>30900</v>
      </c>
      <c r="B210" s="9">
        <v>-17800</v>
      </c>
      <c r="C210" s="136">
        <v>16200</v>
      </c>
      <c r="D210" s="136">
        <v>-19800</v>
      </c>
      <c r="E210" s="134">
        <v>1600</v>
      </c>
      <c r="F210" s="239" t="s">
        <v>858</v>
      </c>
      <c r="G210" s="1971" t="s">
        <v>3533</v>
      </c>
      <c r="H210" s="134">
        <v>6400</v>
      </c>
      <c r="I210" s="584">
        <f t="shared" si="408"/>
        <v>300</v>
      </c>
      <c r="J210" s="9">
        <f>ROUNDUP(H210+(H210*Assumptions!I$5),-2)</f>
        <v>6600</v>
      </c>
      <c r="K210" s="9">
        <f>ROUNDUP(J210+(J210*Assumptions!J$5),-2)</f>
        <v>6800</v>
      </c>
      <c r="L210" s="9">
        <f>ROUNDUP(K210+(K210*Assumptions!K$5),-2)</f>
        <v>7000</v>
      </c>
      <c r="M210" s="9">
        <f>ROUNDUP(L210+(L210*Assumptions!L$5),-2)</f>
        <v>7200</v>
      </c>
      <c r="N210" s="9">
        <f>ROUNDUP(M210+(M210*Assumptions!M$5),-2)</f>
        <v>7400</v>
      </c>
      <c r="O210" s="134">
        <f>ROUNDUP(N210+(N210*Assumptions!N$5),-2)</f>
        <v>7600</v>
      </c>
      <c r="P210" s="134">
        <f>ROUNDUP(O210+(O210*Assumptions!O$5),-2)</f>
        <v>7800</v>
      </c>
      <c r="Q210" s="134">
        <f>ROUNDUP(P210+(P210*Assumptions!P$5),-2)</f>
        <v>8000</v>
      </c>
      <c r="R210" s="134">
        <f>ROUNDUP(Q210+(Q210*Assumptions!Q$5),-2)</f>
        <v>8200</v>
      </c>
      <c r="S210" s="2359">
        <f>ROUNDUP(R210+(R210*Assumptions!R$5),-2)</f>
        <v>8500</v>
      </c>
    </row>
    <row r="211" spans="1:19" s="34" customFormat="1" x14ac:dyDescent="0.2">
      <c r="A211" s="54">
        <v>5600</v>
      </c>
      <c r="B211" s="9">
        <v>5700</v>
      </c>
      <c r="C211" s="136">
        <v>5400</v>
      </c>
      <c r="D211" s="136">
        <v>5200</v>
      </c>
      <c r="E211" s="134">
        <v>0</v>
      </c>
      <c r="F211" s="578" t="s">
        <v>2004</v>
      </c>
      <c r="G211" s="1971" t="s">
        <v>3534</v>
      </c>
      <c r="H211" s="134">
        <v>0</v>
      </c>
      <c r="I211" s="584">
        <f t="shared" si="408"/>
        <v>0</v>
      </c>
      <c r="J211" s="9">
        <f>ROUNDUP(H211+(H211*Assumptions!I$5),-2)</f>
        <v>0</v>
      </c>
      <c r="K211" s="9">
        <f>ROUNDUP(J211+(J211*Assumptions!J$5),-2)</f>
        <v>0</v>
      </c>
      <c r="L211" s="9">
        <f>ROUNDUP(K211+(K211*Assumptions!K$5),-2)</f>
        <v>0</v>
      </c>
      <c r="M211" s="9">
        <f>ROUNDUP(L211+(L211*Assumptions!L$5),-2)</f>
        <v>0</v>
      </c>
      <c r="N211" s="9">
        <f>ROUNDUP(M211+(M211*Assumptions!M$5),-2)</f>
        <v>0</v>
      </c>
      <c r="O211" s="134">
        <f>ROUNDUP(N211+(N211*Assumptions!N$5),-2)</f>
        <v>0</v>
      </c>
      <c r="P211" s="134">
        <f>ROUNDUP(O211+(O211*Assumptions!O$5),-2)</f>
        <v>0</v>
      </c>
      <c r="Q211" s="134">
        <f>ROUNDUP(P211+(P211*Assumptions!P$5),-2)</f>
        <v>0</v>
      </c>
      <c r="R211" s="134">
        <f>ROUNDUP(Q211+(Q211*Assumptions!Q$5),-2)</f>
        <v>0</v>
      </c>
      <c r="S211" s="2359">
        <f>ROUNDUP(R211+(R211*Assumptions!R$5),-2)</f>
        <v>0</v>
      </c>
    </row>
    <row r="212" spans="1:19" s="34" customFormat="1" x14ac:dyDescent="0.2">
      <c r="A212" s="54">
        <v>0</v>
      </c>
      <c r="B212" s="9">
        <v>6400</v>
      </c>
      <c r="C212" s="136">
        <v>1400</v>
      </c>
      <c r="D212" s="136">
        <v>0</v>
      </c>
      <c r="E212" s="134">
        <v>3300</v>
      </c>
      <c r="F212" s="239" t="s">
        <v>460</v>
      </c>
      <c r="G212" s="772" t="s">
        <v>3268</v>
      </c>
      <c r="H212" s="9">
        <v>0</v>
      </c>
      <c r="I212" s="584">
        <f t="shared" si="408"/>
        <v>-100</v>
      </c>
      <c r="J212" s="9">
        <v>40000</v>
      </c>
      <c r="K212" s="9">
        <v>0</v>
      </c>
      <c r="L212" s="9">
        <f>ROUNDUP(K212+(K212*Assumptions!K$5),-2)</f>
        <v>0</v>
      </c>
      <c r="M212" s="9">
        <f>ROUNDUP(L212+(L212*Assumptions!L$5),-2)</f>
        <v>0</v>
      </c>
      <c r="N212" s="9">
        <v>50000</v>
      </c>
      <c r="O212" s="9">
        <v>0</v>
      </c>
      <c r="P212" s="9">
        <f>ROUNDUP(O212+(O212*Assumptions!O$5),-2)</f>
        <v>0</v>
      </c>
      <c r="Q212" s="9">
        <f>ROUNDUP(P212+(P212*Assumptions!P$5),-2)</f>
        <v>0</v>
      </c>
      <c r="R212" s="9">
        <f>ROUNDUP(Q212+(Q212*Assumptions!Q$5),-2)</f>
        <v>0</v>
      </c>
      <c r="S212" s="47">
        <f>ROUNDUP(R212+(R212*Assumptions!R$5),-2)</f>
        <v>0</v>
      </c>
    </row>
    <row r="213" spans="1:19" s="34" customFormat="1" x14ac:dyDescent="0.2">
      <c r="A213" s="54">
        <v>15000</v>
      </c>
      <c r="B213" s="9">
        <v>8000</v>
      </c>
      <c r="C213" s="136">
        <v>8300</v>
      </c>
      <c r="D213" s="136">
        <v>8300</v>
      </c>
      <c r="E213" s="134">
        <v>8500</v>
      </c>
      <c r="F213" s="239" t="s">
        <v>935</v>
      </c>
      <c r="G213" s="1173" t="s">
        <v>525</v>
      </c>
      <c r="H213" s="134">
        <v>18600</v>
      </c>
      <c r="I213" s="584">
        <f t="shared" si="408"/>
        <v>118.82352941176471</v>
      </c>
      <c r="J213" s="9">
        <f>ROUNDUP(H213+(H213*Assumptions!I$5),-2)</f>
        <v>19100</v>
      </c>
      <c r="K213" s="9">
        <f>ROUNDUP(J213+(J213*Assumptions!J$5),-2)</f>
        <v>19600</v>
      </c>
      <c r="L213" s="9">
        <f>ROUNDUP(K213+(K213*Assumptions!K$5),-2)</f>
        <v>20100</v>
      </c>
      <c r="M213" s="9">
        <f>ROUNDUP(L213+(L213*Assumptions!L$5),-2)</f>
        <v>20700</v>
      </c>
      <c r="N213" s="9">
        <f>ROUNDUP(M213+(M213*Assumptions!M$5),-2)</f>
        <v>21300</v>
      </c>
      <c r="O213" s="134">
        <f>ROUNDUP(N213+(N213*Assumptions!N$5),-2)</f>
        <v>21900</v>
      </c>
      <c r="P213" s="134">
        <f>ROUNDUP(O213+(O213*Assumptions!O$5),-2)</f>
        <v>22500</v>
      </c>
      <c r="Q213" s="134">
        <f>ROUNDUP(P213+(P213*Assumptions!P$5),-2)</f>
        <v>23100</v>
      </c>
      <c r="R213" s="134">
        <f>ROUNDUP(Q213+(Q213*Assumptions!Q$5),-2)</f>
        <v>23700</v>
      </c>
      <c r="S213" s="2359">
        <f>ROUNDUP(R213+(R213*Assumptions!R$5),-2)</f>
        <v>24300</v>
      </c>
    </row>
    <row r="214" spans="1:19" s="34" customFormat="1" x14ac:dyDescent="0.2">
      <c r="A214" s="54"/>
      <c r="B214" s="9"/>
      <c r="C214" s="136"/>
      <c r="D214" s="136"/>
      <c r="E214" s="134"/>
      <c r="F214" s="240"/>
      <c r="G214" s="247"/>
      <c r="H214" s="9"/>
      <c r="I214" s="584"/>
      <c r="J214" s="9"/>
      <c r="K214" s="9"/>
      <c r="L214" s="9"/>
      <c r="M214" s="9"/>
      <c r="N214" s="9"/>
      <c r="O214" s="9"/>
      <c r="P214" s="9"/>
      <c r="Q214" s="9"/>
      <c r="R214" s="9"/>
      <c r="S214" s="47"/>
    </row>
    <row r="215" spans="1:19" s="34" customFormat="1" x14ac:dyDescent="0.2">
      <c r="A215" s="54"/>
      <c r="B215" s="9"/>
      <c r="C215" s="136"/>
      <c r="D215" s="136"/>
      <c r="E215" s="134"/>
      <c r="F215" s="730"/>
      <c r="G215" s="542" t="s">
        <v>4579</v>
      </c>
      <c r="H215" s="9"/>
      <c r="I215" s="584"/>
      <c r="J215" s="9"/>
      <c r="K215" s="9"/>
      <c r="L215" s="9"/>
      <c r="M215" s="9"/>
      <c r="N215" s="9"/>
      <c r="O215" s="9"/>
      <c r="P215" s="9"/>
      <c r="Q215" s="9"/>
      <c r="R215" s="9"/>
      <c r="S215" s="47"/>
    </row>
    <row r="216" spans="1:19" s="34" customFormat="1" x14ac:dyDescent="0.2">
      <c r="A216" s="54">
        <f>88800+7800</f>
        <v>96600</v>
      </c>
      <c r="B216" s="9">
        <f>60000+24600</f>
        <v>84600</v>
      </c>
      <c r="C216" s="136">
        <f>38000+2700</f>
        <v>40700</v>
      </c>
      <c r="D216" s="136">
        <v>127000</v>
      </c>
      <c r="E216" s="134">
        <f>194800-E217</f>
        <v>41200</v>
      </c>
      <c r="F216" s="239" t="s">
        <v>462</v>
      </c>
      <c r="G216" s="772" t="s">
        <v>4816</v>
      </c>
      <c r="H216" s="9">
        <v>41900</v>
      </c>
      <c r="I216" s="584">
        <f>IF(E216=H216,0,IF(E216=0,100,(H216-E216)/E216*100))</f>
        <v>1.6990291262135921</v>
      </c>
      <c r="J216" s="9">
        <f>ROUNDUP(H216+(H216*Assumptions!I$5),-2)</f>
        <v>42900</v>
      </c>
      <c r="K216" s="9">
        <f>ROUNDUP(J216+(J216*Assumptions!J$5),-2)</f>
        <v>44000</v>
      </c>
      <c r="L216" s="9">
        <f>ROUNDUP(K216+(K216*Assumptions!K$5),-2)</f>
        <v>45100</v>
      </c>
      <c r="M216" s="9">
        <f>ROUNDUP(L216+(L216*Assumptions!L$5),-2)</f>
        <v>46300</v>
      </c>
      <c r="N216" s="9">
        <f>ROUNDUP(M216+(M216*Assumptions!M$5),-2)</f>
        <v>47500</v>
      </c>
      <c r="O216" s="9">
        <f>ROUNDUP(N216+(N216*Assumptions!N$5),-2)</f>
        <v>48700</v>
      </c>
      <c r="P216" s="9">
        <f>ROUNDUP(O216+(O216*Assumptions!O$5),-2)</f>
        <v>50000</v>
      </c>
      <c r="Q216" s="9">
        <f>ROUNDUP(P216+(P216*Assumptions!P$5),-2)</f>
        <v>51300</v>
      </c>
      <c r="R216" s="9">
        <f>ROUNDUP(Q216+(Q216*Assumptions!Q$5),-2)</f>
        <v>52600</v>
      </c>
      <c r="S216" s="47">
        <f>ROUNDUP(R216+(R216*Assumptions!R$5),-2)</f>
        <v>54000</v>
      </c>
    </row>
    <row r="217" spans="1:19" s="34" customFormat="1" x14ac:dyDescent="0.2">
      <c r="A217" s="54">
        <v>0</v>
      </c>
      <c r="B217" s="9">
        <v>0</v>
      </c>
      <c r="C217" s="136">
        <v>0</v>
      </c>
      <c r="D217" s="136">
        <v>0</v>
      </c>
      <c r="E217" s="136">
        <v>153600</v>
      </c>
      <c r="F217" s="239" t="s">
        <v>462</v>
      </c>
      <c r="G217" s="662" t="s">
        <v>5911</v>
      </c>
      <c r="H217" s="9">
        <v>0</v>
      </c>
      <c r="I217" s="584">
        <f>IF(E217=H217,0,IF(E217=0,100,(H217-E217)/E217*100))</f>
        <v>-100</v>
      </c>
      <c r="J217" s="9">
        <v>0</v>
      </c>
      <c r="K217" s="9">
        <f>ROUNDUP(J217+(J217*Assumptions!J$5),-2)</f>
        <v>0</v>
      </c>
      <c r="L217" s="9">
        <f>ROUNDUP(K217+(K217*Assumptions!K$5),-2)</f>
        <v>0</v>
      </c>
      <c r="M217" s="9">
        <f>ROUNDUP(L217+(L217*Assumptions!L$5),-2)</f>
        <v>0</v>
      </c>
      <c r="N217" s="9">
        <f>ROUNDUP(M217+(M217*Assumptions!M$5),-2)</f>
        <v>0</v>
      </c>
      <c r="O217" s="9">
        <f>ROUNDUP(N217+(N217*Assumptions!N$5),-2)</f>
        <v>0</v>
      </c>
      <c r="P217" s="9">
        <f>ROUNDUP(O217+(O217*Assumptions!O$5),-2)</f>
        <v>0</v>
      </c>
      <c r="Q217" s="9">
        <f>ROUNDUP(P217+(P217*Assumptions!P$5),-2)</f>
        <v>0</v>
      </c>
      <c r="R217" s="9">
        <f>ROUNDUP(Q217+(Q217*Assumptions!Q$5),-2)</f>
        <v>0</v>
      </c>
      <c r="S217" s="47">
        <f>ROUNDUP(R217+(R217*Assumptions!R$5),-2)</f>
        <v>0</v>
      </c>
    </row>
    <row r="218" spans="1:19" s="34" customFormat="1" x14ac:dyDescent="0.2">
      <c r="A218" s="54">
        <v>42300</v>
      </c>
      <c r="B218" s="9">
        <v>37600</v>
      </c>
      <c r="C218" s="136">
        <v>36200</v>
      </c>
      <c r="D218" s="136">
        <v>23000</v>
      </c>
      <c r="E218" s="136">
        <v>0</v>
      </c>
      <c r="F218" s="578" t="s">
        <v>3133</v>
      </c>
      <c r="G218" s="662" t="s">
        <v>3135</v>
      </c>
      <c r="H218" s="9">
        <v>0</v>
      </c>
      <c r="I218" s="584">
        <f>IF(E218=H218,0,IF(E218=0,100,(H218-E218)/E218*100))</f>
        <v>0</v>
      </c>
      <c r="J218" s="9">
        <f>ROUNDUP(H218+(H218*Assumptions!I$5),-2)</f>
        <v>0</v>
      </c>
      <c r="K218" s="9">
        <f>ROUNDUP(J218+(J218*Assumptions!J$5),-2)</f>
        <v>0</v>
      </c>
      <c r="L218" s="9">
        <f>ROUNDUP(K218+(K218*Assumptions!K$5),-2)</f>
        <v>0</v>
      </c>
      <c r="M218" s="9">
        <f>ROUNDUP(L218+(L218*Assumptions!L$5),-2)</f>
        <v>0</v>
      </c>
      <c r="N218" s="9">
        <f>ROUNDUP(M218+(M218*Assumptions!M$5),-2)</f>
        <v>0</v>
      </c>
      <c r="O218" s="9">
        <f>ROUNDUP(N218+(N218*Assumptions!N$5),-2)</f>
        <v>0</v>
      </c>
      <c r="P218" s="9">
        <f>ROUNDUP(O218+(O218*Assumptions!O$5),-2)</f>
        <v>0</v>
      </c>
      <c r="Q218" s="9">
        <f>ROUNDUP(P218+(P218*Assumptions!P$5),-2)</f>
        <v>0</v>
      </c>
      <c r="R218" s="9">
        <f>ROUNDUP(Q218+(Q218*Assumptions!Q$5),-2)</f>
        <v>0</v>
      </c>
      <c r="S218" s="47">
        <f>ROUNDUP(R218+(R218*Assumptions!R$5),-2)</f>
        <v>0</v>
      </c>
    </row>
    <row r="219" spans="1:19" s="34" customFormat="1" x14ac:dyDescent="0.2">
      <c r="A219" s="54">
        <v>300000</v>
      </c>
      <c r="B219" s="9">
        <v>100000</v>
      </c>
      <c r="C219" s="136">
        <v>100000</v>
      </c>
      <c r="D219" s="136">
        <f>100000-100000</f>
        <v>0</v>
      </c>
      <c r="E219" s="136">
        <v>100000</v>
      </c>
      <c r="F219" s="578" t="s">
        <v>3134</v>
      </c>
      <c r="G219" s="662" t="s">
        <v>3266</v>
      </c>
      <c r="H219" s="9">
        <v>0</v>
      </c>
      <c r="I219" s="584">
        <f>IF(E219=H219,0,IF(E219=0,100,(H219-E219)/E219*100))</f>
        <v>-100</v>
      </c>
      <c r="J219" s="9">
        <f>ROUNDUP(H219+(H219*Assumptions!I$5),-2)</f>
        <v>0</v>
      </c>
      <c r="K219" s="9">
        <f>ROUNDUP(J219+(J219*Assumptions!J$5),-2)</f>
        <v>0</v>
      </c>
      <c r="L219" s="9">
        <f>ROUNDUP(K219+(K219*Assumptions!K$5),-2)</f>
        <v>0</v>
      </c>
      <c r="M219" s="9">
        <f>ROUNDUP(L219+(L219*Assumptions!L$5),-2)</f>
        <v>0</v>
      </c>
      <c r="N219" s="9">
        <f>ROUNDUP(M219+(M219*Assumptions!M$5),-2)</f>
        <v>0</v>
      </c>
      <c r="O219" s="9">
        <f>ROUNDUP(N219+(N219*Assumptions!N$5),-2)</f>
        <v>0</v>
      </c>
      <c r="P219" s="9">
        <f>ROUNDUP(O219+(O219*Assumptions!O$5),-2)</f>
        <v>0</v>
      </c>
      <c r="Q219" s="9">
        <f>ROUNDUP(P219+(P219*Assumptions!P$5),-2)</f>
        <v>0</v>
      </c>
      <c r="R219" s="9">
        <f>ROUNDUP(Q219+(Q219*Assumptions!Q$5),-2)</f>
        <v>0</v>
      </c>
      <c r="S219" s="47">
        <f>ROUNDUP(R219+(R219*Assumptions!R$5),-2)</f>
        <v>0</v>
      </c>
    </row>
    <row r="220" spans="1:19" s="34" customFormat="1" x14ac:dyDescent="0.2">
      <c r="A220" s="54"/>
      <c r="B220" s="9"/>
      <c r="C220" s="136"/>
      <c r="D220" s="136"/>
      <c r="E220" s="136"/>
      <c r="F220" s="240"/>
      <c r="G220" s="371"/>
      <c r="H220" s="9"/>
      <c r="I220" s="584"/>
      <c r="J220" s="9"/>
      <c r="K220" s="9"/>
      <c r="L220" s="9"/>
      <c r="M220" s="9"/>
      <c r="N220" s="9"/>
      <c r="O220" s="9"/>
      <c r="P220" s="9"/>
      <c r="Q220" s="9"/>
      <c r="R220" s="9"/>
      <c r="S220" s="47"/>
    </row>
    <row r="221" spans="1:19" s="34" customFormat="1" x14ac:dyDescent="0.2">
      <c r="A221" s="54"/>
      <c r="B221" s="9"/>
      <c r="C221" s="136"/>
      <c r="D221" s="136"/>
      <c r="E221" s="136"/>
      <c r="F221" s="730"/>
      <c r="G221" s="320" t="s">
        <v>1636</v>
      </c>
      <c r="H221" s="9"/>
      <c r="I221" s="584"/>
      <c r="J221" s="9"/>
      <c r="K221" s="9"/>
      <c r="L221" s="9"/>
      <c r="M221" s="9"/>
      <c r="N221" s="9"/>
      <c r="O221" s="9"/>
      <c r="P221" s="9"/>
      <c r="Q221" s="9"/>
      <c r="R221" s="9"/>
      <c r="S221" s="47"/>
    </row>
    <row r="222" spans="1:19" s="34" customFormat="1" x14ac:dyDescent="0.2">
      <c r="A222" s="54">
        <v>1145000</v>
      </c>
      <c r="B222" s="9">
        <v>1197300</v>
      </c>
      <c r="C222" s="136">
        <v>1160000</v>
      </c>
      <c r="D222" s="136">
        <v>1301000</v>
      </c>
      <c r="E222" s="136">
        <v>1319000</v>
      </c>
      <c r="F222" s="239" t="s">
        <v>1882</v>
      </c>
      <c r="G222" s="371" t="s">
        <v>399</v>
      </c>
      <c r="H222" s="9">
        <v>1382000</v>
      </c>
      <c r="I222" s="584">
        <f>IF(E222=H222,0,IF(E222=0,100,(H222-E222)/E222*100))</f>
        <v>4.776345716451857</v>
      </c>
      <c r="J222" s="9">
        <f>ROUND(H222*Assumptions!I$5+'W&amp;W'!H222,-2)</f>
        <v>1413800</v>
      </c>
      <c r="K222" s="9">
        <f>ROUND(J222*Assumptions!J$5+'W&amp;W'!J222,-2)</f>
        <v>1449100</v>
      </c>
      <c r="L222" s="9">
        <f>ROUND(K222*Assumptions!K$5+'W&amp;W'!K222,-2)</f>
        <v>1485300</v>
      </c>
      <c r="M222" s="9">
        <f>ROUND(L222*Assumptions!L$5+'W&amp;W'!L222,-2)</f>
        <v>1522400</v>
      </c>
      <c r="N222" s="9">
        <f>ROUND(M222*Assumptions!M$5+'W&amp;W'!M222,-2)</f>
        <v>1560500</v>
      </c>
      <c r="O222" s="9">
        <f>ROUND(N222*Assumptions!N$5+'W&amp;W'!N222,-2)</f>
        <v>1599500</v>
      </c>
      <c r="P222" s="9">
        <f>ROUND(O222*Assumptions!O$5+'W&amp;W'!O222,-2)</f>
        <v>1639500</v>
      </c>
      <c r="Q222" s="9">
        <f>ROUND(P222*Assumptions!P$5+'W&amp;W'!P222,-2)</f>
        <v>1680500</v>
      </c>
      <c r="R222" s="9">
        <f>ROUND(Q222*Assumptions!Q$5+'W&amp;W'!Q222,-2)</f>
        <v>1722500</v>
      </c>
      <c r="S222" s="47">
        <f>ROUND(R222*Assumptions!R$5+'W&amp;W'!R222,-2)</f>
        <v>1765600</v>
      </c>
    </row>
    <row r="223" spans="1:19" s="34" customFormat="1" x14ac:dyDescent="0.2">
      <c r="A223" s="54"/>
      <c r="B223" s="9"/>
      <c r="C223" s="9"/>
      <c r="D223" s="46"/>
      <c r="E223" s="9"/>
      <c r="F223" s="770"/>
      <c r="G223" s="662"/>
      <c r="H223" s="9"/>
      <c r="I223" s="584"/>
      <c r="J223" s="9"/>
      <c r="K223" s="9"/>
      <c r="L223" s="9"/>
      <c r="M223" s="9"/>
      <c r="N223" s="9"/>
      <c r="O223" s="9"/>
      <c r="P223" s="9"/>
      <c r="Q223" s="9"/>
      <c r="R223" s="9"/>
      <c r="S223" s="47"/>
    </row>
    <row r="224" spans="1:19" s="34" customFormat="1" x14ac:dyDescent="0.2">
      <c r="A224" s="54"/>
      <c r="B224" s="9"/>
      <c r="C224" s="9"/>
      <c r="D224" s="46"/>
      <c r="E224" s="9"/>
      <c r="F224" s="1153"/>
      <c r="G224" s="521" t="s">
        <v>1014</v>
      </c>
      <c r="H224" s="9"/>
      <c r="I224" s="584"/>
      <c r="J224" s="9"/>
      <c r="K224" s="9"/>
      <c r="L224" s="9"/>
      <c r="M224" s="9"/>
      <c r="N224" s="9"/>
      <c r="O224" s="9"/>
      <c r="P224" s="9"/>
      <c r="Q224" s="9"/>
      <c r="R224" s="9"/>
      <c r="S224" s="61"/>
    </row>
    <row r="225" spans="1:21" s="34" customFormat="1" ht="13.5" thickBot="1" x14ac:dyDescent="0.25">
      <c r="A225" s="118"/>
      <c r="B225" s="23"/>
      <c r="C225" s="23"/>
      <c r="D225" s="121"/>
      <c r="E225" s="23"/>
      <c r="F225" s="1170"/>
      <c r="G225" s="1619"/>
      <c r="H225" s="23"/>
      <c r="I225" s="751"/>
      <c r="J225" s="23"/>
      <c r="K225" s="23"/>
      <c r="L225" s="23"/>
      <c r="M225" s="23"/>
      <c r="N225" s="23"/>
      <c r="O225" s="23"/>
      <c r="P225" s="23"/>
      <c r="Q225" s="23"/>
      <c r="R225" s="23"/>
      <c r="S225" s="112"/>
    </row>
    <row r="226" spans="1:21" s="38" customFormat="1" ht="18.75" customHeight="1" thickTop="1" thickBot="1" x14ac:dyDescent="0.3">
      <c r="A226" s="2601" t="s">
        <v>4589</v>
      </c>
      <c r="B226" s="2602"/>
      <c r="C226" s="2602"/>
      <c r="D226" s="2602"/>
      <c r="E226" s="2602"/>
      <c r="F226" s="2602"/>
      <c r="G226" s="2602"/>
      <c r="H226" s="2602"/>
      <c r="I226" s="2602"/>
      <c r="J226" s="2602"/>
      <c r="K226" s="2602"/>
      <c r="L226" s="2602"/>
      <c r="M226" s="2602"/>
      <c r="N226" s="2602"/>
      <c r="O226" s="2602"/>
      <c r="P226" s="2602"/>
      <c r="Q226" s="2602"/>
      <c r="R226" s="2602"/>
      <c r="S226" s="2603"/>
      <c r="U226" s="34"/>
    </row>
    <row r="227" spans="1:21" s="39" customFormat="1" x14ac:dyDescent="0.2">
      <c r="A227" s="2598" t="s">
        <v>1824</v>
      </c>
      <c r="B227" s="2599"/>
      <c r="C227" s="2599"/>
      <c r="D227" s="2599"/>
      <c r="E227" s="2600"/>
      <c r="F227" s="2058" t="s">
        <v>2616</v>
      </c>
      <c r="G227" s="2231" t="s">
        <v>2213</v>
      </c>
      <c r="H227" s="2577" t="s">
        <v>2215</v>
      </c>
      <c r="I227" s="2577"/>
      <c r="J227" s="2577"/>
      <c r="K227" s="2577"/>
      <c r="L227" s="2577"/>
      <c r="M227" s="2577"/>
      <c r="N227" s="2577"/>
      <c r="O227" s="2577"/>
      <c r="P227" s="2577"/>
      <c r="Q227" s="2577"/>
      <c r="R227" s="2577"/>
      <c r="S227" s="2578"/>
      <c r="U227" s="34"/>
    </row>
    <row r="228" spans="1:21" s="34" customFormat="1" ht="13.5" customHeight="1" thickBot="1" x14ac:dyDescent="0.25">
      <c r="A228" s="541" t="str">
        <f>A3</f>
        <v>2012/13</v>
      </c>
      <c r="B228" s="28" t="str">
        <f>B3</f>
        <v>2013/14</v>
      </c>
      <c r="C228" s="40" t="str">
        <f>C3</f>
        <v>2014/15</v>
      </c>
      <c r="D228" s="40" t="str">
        <f>D3</f>
        <v>2015/16</v>
      </c>
      <c r="E228" s="40" t="str">
        <f t="shared" ref="E228" si="409">E3</f>
        <v>2016/17</v>
      </c>
      <c r="F228" s="40" t="s">
        <v>2617</v>
      </c>
      <c r="G228" s="41"/>
      <c r="H228" s="40" t="str">
        <f t="shared" ref="H228:Q228" si="410">H3</f>
        <v>2017/18</v>
      </c>
      <c r="I228" s="1459" t="str">
        <f t="shared" si="410"/>
        <v>%</v>
      </c>
      <c r="J228" s="40" t="str">
        <f t="shared" si="410"/>
        <v>2018/19</v>
      </c>
      <c r="K228" s="40" t="str">
        <f t="shared" si="410"/>
        <v>2019/20</v>
      </c>
      <c r="L228" s="40" t="str">
        <f t="shared" si="410"/>
        <v>2020/21</v>
      </c>
      <c r="M228" s="40" t="str">
        <f t="shared" si="410"/>
        <v>2021/22</v>
      </c>
      <c r="N228" s="40" t="str">
        <f t="shared" si="410"/>
        <v>2022/23</v>
      </c>
      <c r="O228" s="40" t="str">
        <f t="shared" si="410"/>
        <v>2023/24</v>
      </c>
      <c r="P228" s="1257" t="str">
        <f t="shared" si="410"/>
        <v>2024/25</v>
      </c>
      <c r="Q228" s="28" t="str">
        <f t="shared" si="410"/>
        <v>2025/26</v>
      </c>
      <c r="R228" s="28" t="str">
        <f t="shared" ref="R228:S228" si="411">R3</f>
        <v>2026/27</v>
      </c>
      <c r="S228" s="1620" t="str">
        <f t="shared" si="411"/>
        <v>2027/28</v>
      </c>
    </row>
    <row r="229" spans="1:21" s="34" customFormat="1" ht="13.5" customHeight="1" x14ac:dyDescent="0.2">
      <c r="A229" s="528"/>
      <c r="B229" s="150"/>
      <c r="C229" s="150"/>
      <c r="D229" s="150"/>
      <c r="E229" s="150"/>
      <c r="F229" s="152"/>
      <c r="G229" s="46"/>
      <c r="H229" s="150"/>
      <c r="I229" s="2219"/>
      <c r="J229" s="150"/>
      <c r="K229" s="150"/>
      <c r="L229" s="150"/>
      <c r="M229" s="150"/>
      <c r="N229" s="150"/>
      <c r="O229" s="150"/>
      <c r="P229" s="152"/>
      <c r="Q229" s="150"/>
      <c r="R229" s="150"/>
      <c r="S229" s="381"/>
    </row>
    <row r="230" spans="1:21" s="34" customFormat="1" x14ac:dyDescent="0.2">
      <c r="A230" s="54"/>
      <c r="B230" s="9"/>
      <c r="C230" s="9"/>
      <c r="D230" s="9"/>
      <c r="E230" s="9"/>
      <c r="F230" s="1153"/>
      <c r="G230" s="256" t="s">
        <v>1800</v>
      </c>
      <c r="H230" s="9"/>
      <c r="I230" s="584"/>
      <c r="J230" s="9"/>
      <c r="K230" s="9"/>
      <c r="L230" s="9"/>
      <c r="M230" s="9"/>
      <c r="N230" s="9"/>
      <c r="O230" s="9"/>
      <c r="P230" s="89"/>
      <c r="Q230" s="9"/>
      <c r="R230" s="9"/>
      <c r="S230" s="61"/>
    </row>
    <row r="231" spans="1:21" s="34" customFormat="1" x14ac:dyDescent="0.2">
      <c r="A231" s="54"/>
      <c r="B231" s="9"/>
      <c r="C231" s="136"/>
      <c r="D231" s="134"/>
      <c r="E231" s="136"/>
      <c r="F231" s="240"/>
      <c r="G231" s="1174"/>
      <c r="H231" s="134"/>
      <c r="I231" s="584"/>
      <c r="J231" s="9"/>
      <c r="K231" s="9"/>
      <c r="L231" s="9"/>
      <c r="M231" s="9"/>
      <c r="N231" s="9"/>
      <c r="O231" s="134"/>
      <c r="P231" s="136"/>
      <c r="Q231" s="134"/>
      <c r="R231" s="134"/>
      <c r="S231" s="135"/>
    </row>
    <row r="232" spans="1:21" s="34" customFormat="1" x14ac:dyDescent="0.2">
      <c r="A232" s="54"/>
      <c r="B232" s="9"/>
      <c r="C232" s="136"/>
      <c r="D232" s="134"/>
      <c r="E232" s="136"/>
      <c r="F232" s="1378"/>
      <c r="G232" s="912" t="s">
        <v>3391</v>
      </c>
      <c r="H232" s="9"/>
      <c r="I232" s="584"/>
      <c r="J232" s="9"/>
      <c r="K232" s="9"/>
      <c r="L232" s="9"/>
      <c r="M232" s="9"/>
      <c r="N232" s="9"/>
      <c r="O232" s="9"/>
      <c r="P232" s="89"/>
      <c r="Q232" s="9"/>
      <c r="R232" s="9"/>
      <c r="S232" s="61"/>
    </row>
    <row r="233" spans="1:21" s="34" customFormat="1" x14ac:dyDescent="0.2">
      <c r="A233" s="54">
        <v>97000</v>
      </c>
      <c r="B233" s="9">
        <v>98100</v>
      </c>
      <c r="C233" s="136">
        <v>104000</v>
      </c>
      <c r="D233" s="134">
        <v>109500</v>
      </c>
      <c r="E233" s="136">
        <v>115100</v>
      </c>
      <c r="F233" s="239" t="s">
        <v>2448</v>
      </c>
      <c r="G233" s="371" t="s">
        <v>1779</v>
      </c>
      <c r="H233" s="9">
        <v>110000</v>
      </c>
      <c r="I233" s="584">
        <f t="shared" ref="I233:I245" si="412">IF(E233=H233,0,IF(E233=0,100,(H233-E233)/E233*100))</f>
        <v>-4.4309296264118156</v>
      </c>
      <c r="J233" s="9">
        <f>ROUNDUP(H233+(H233*Assumptions!I$5),-2)</f>
        <v>112600</v>
      </c>
      <c r="K233" s="9">
        <f>ROUNDUP(J233+(J233*Assumptions!J$5),-2)</f>
        <v>115500</v>
      </c>
      <c r="L233" s="9">
        <f>ROUNDUP(K233+(K233*Assumptions!K$5),-2)</f>
        <v>118400</v>
      </c>
      <c r="M233" s="9">
        <f>ROUNDUP(L233+(L233*Assumptions!L$5),-2)</f>
        <v>121400</v>
      </c>
      <c r="N233" s="9">
        <f>ROUNDUP(M233+(M233*Assumptions!M$5),-2)</f>
        <v>124500</v>
      </c>
      <c r="O233" s="9">
        <f>ROUNDUP(N233+(N233*Assumptions!N$5),-2)</f>
        <v>127700</v>
      </c>
      <c r="P233" s="89">
        <f>ROUNDUP(O233+(O233*Assumptions!O$5),-2)</f>
        <v>130900</v>
      </c>
      <c r="Q233" s="9">
        <f>ROUNDUP(P233+(P233*Assumptions!P$5),-2)</f>
        <v>134200</v>
      </c>
      <c r="R233" s="9">
        <f>ROUNDUP(Q233+(Q233*Assumptions!Q$5),-2)</f>
        <v>137600</v>
      </c>
      <c r="S233" s="47">
        <f>ROUNDUP(R233+(R233*Assumptions!R$5),-2)</f>
        <v>141100</v>
      </c>
    </row>
    <row r="234" spans="1:21" s="34" customFormat="1" x14ac:dyDescent="0.2">
      <c r="A234" s="54">
        <v>2400</v>
      </c>
      <c r="B234" s="9">
        <v>2800</v>
      </c>
      <c r="C234" s="136">
        <v>3600</v>
      </c>
      <c r="D234" s="134">
        <v>800</v>
      </c>
      <c r="E234" s="136">
        <v>3000</v>
      </c>
      <c r="F234" s="239" t="s">
        <v>2449</v>
      </c>
      <c r="G234" s="662" t="s">
        <v>1889</v>
      </c>
      <c r="H234" s="9">
        <v>4000</v>
      </c>
      <c r="I234" s="584">
        <f t="shared" si="412"/>
        <v>33.333333333333329</v>
      </c>
      <c r="J234" s="9">
        <f>ROUNDUP(H234+(H234*Assumptions!I$5),-2)</f>
        <v>4100</v>
      </c>
      <c r="K234" s="9">
        <f>ROUNDUP(J234+(J234*Assumptions!J$5),-2)</f>
        <v>4300</v>
      </c>
      <c r="L234" s="9">
        <f>ROUNDUP(K234+(K234*Assumptions!K$5),-2)</f>
        <v>4500</v>
      </c>
      <c r="M234" s="9">
        <f>ROUNDUP(L234+(L234*Assumptions!L$5),-2)</f>
        <v>4700</v>
      </c>
      <c r="N234" s="9">
        <f>ROUNDUP(M234+(M234*Assumptions!M$5),-2)</f>
        <v>4900</v>
      </c>
      <c r="O234" s="9">
        <f>ROUNDUP(N234+(N234*Assumptions!N$5),-2)</f>
        <v>5100</v>
      </c>
      <c r="P234" s="89">
        <f>ROUNDUP(O234+(O234*Assumptions!O$5),-2)</f>
        <v>5300</v>
      </c>
      <c r="Q234" s="9">
        <f>ROUNDUP(P234+(P234*Assumptions!P$5),-2)</f>
        <v>5500</v>
      </c>
      <c r="R234" s="9">
        <f>ROUNDUP(Q234+(Q234*Assumptions!Q$5),-2)</f>
        <v>5700</v>
      </c>
      <c r="S234" s="47">
        <f>ROUNDUP(R234+(R234*Assumptions!R$5),-2)</f>
        <v>5900</v>
      </c>
    </row>
    <row r="235" spans="1:21" s="34" customFormat="1" x14ac:dyDescent="0.2">
      <c r="A235" s="54">
        <v>3400</v>
      </c>
      <c r="B235" s="9">
        <f>9500+5000</f>
        <v>14500</v>
      </c>
      <c r="C235" s="136">
        <v>12400</v>
      </c>
      <c r="D235" s="134">
        <v>20200</v>
      </c>
      <c r="E235" s="136">
        <v>18400</v>
      </c>
      <c r="F235" s="239" t="s">
        <v>1551</v>
      </c>
      <c r="G235" s="662" t="s">
        <v>1922</v>
      </c>
      <c r="H235" s="9">
        <v>20000</v>
      </c>
      <c r="I235" s="584">
        <f t="shared" si="412"/>
        <v>8.695652173913043</v>
      </c>
      <c r="J235" s="9">
        <f>ROUNDUP(H235+(H235*Assumptions!I$5),-2)</f>
        <v>20500</v>
      </c>
      <c r="K235" s="9">
        <f>ROUNDUP(J235+(J235*Assumptions!J$5),-2)</f>
        <v>21100</v>
      </c>
      <c r="L235" s="9">
        <f>ROUNDUP(K235+(K235*Assumptions!K$5),-2)</f>
        <v>21700</v>
      </c>
      <c r="M235" s="9">
        <f>ROUNDUP(L235+(L235*Assumptions!L$5),-2)</f>
        <v>22300</v>
      </c>
      <c r="N235" s="9">
        <f>ROUNDUP(M235+(M235*Assumptions!M$5),-2)</f>
        <v>22900</v>
      </c>
      <c r="O235" s="9">
        <f>ROUNDUP(N235+(N235*Assumptions!N$5),-2)</f>
        <v>23500</v>
      </c>
      <c r="P235" s="89">
        <f>ROUNDUP(O235+(O235*Assumptions!O$5),-2)</f>
        <v>24100</v>
      </c>
      <c r="Q235" s="9">
        <f>ROUNDUP(P235+(P235*Assumptions!P$5),-2)</f>
        <v>24800</v>
      </c>
      <c r="R235" s="9">
        <f>ROUNDUP(Q235+(Q235*Assumptions!Q$5),-2)</f>
        <v>25500</v>
      </c>
      <c r="S235" s="47">
        <f>ROUNDUP(R235+(R235*Assumptions!R$5),-2)</f>
        <v>26200</v>
      </c>
    </row>
    <row r="236" spans="1:21" s="34" customFormat="1" x14ac:dyDescent="0.2">
      <c r="A236" s="54">
        <v>11800</v>
      </c>
      <c r="B236" s="9">
        <v>11500</v>
      </c>
      <c r="C236" s="136">
        <v>22100</v>
      </c>
      <c r="D236" s="134">
        <v>26700</v>
      </c>
      <c r="E236" s="136">
        <v>26900</v>
      </c>
      <c r="F236" s="578" t="s">
        <v>5472</v>
      </c>
      <c r="G236" s="662" t="s">
        <v>4882</v>
      </c>
      <c r="H236" s="9">
        <v>25000</v>
      </c>
      <c r="I236" s="584">
        <f t="shared" si="412"/>
        <v>-7.0631970260223049</v>
      </c>
      <c r="J236" s="9">
        <f>ROUNDUP(H236+(H236*Assumptions!I$5),-2)</f>
        <v>25600</v>
      </c>
      <c r="K236" s="9">
        <f>ROUNDUP(J236+(J236*Assumptions!J$5),-2)</f>
        <v>26300</v>
      </c>
      <c r="L236" s="9">
        <f>ROUNDUP(K236+(K236*Assumptions!K$5),-2)</f>
        <v>27000</v>
      </c>
      <c r="M236" s="9">
        <f>ROUNDUP(L236+(L236*Assumptions!L$5),-2)</f>
        <v>27700</v>
      </c>
      <c r="N236" s="9">
        <f>ROUNDUP(M236+(M236*Assumptions!M$5),-2)</f>
        <v>28400</v>
      </c>
      <c r="O236" s="9">
        <f>ROUNDUP(N236+(N236*Assumptions!N$5),-2)</f>
        <v>29200</v>
      </c>
      <c r="P236" s="89">
        <f>ROUNDUP(O236+(O236*Assumptions!O$5),-2)</f>
        <v>30000</v>
      </c>
      <c r="Q236" s="9">
        <f>ROUNDUP(P236+(P236*Assumptions!P$5),-2)</f>
        <v>30800</v>
      </c>
      <c r="R236" s="9">
        <f>ROUNDUP(Q236+(Q236*Assumptions!Q$5),-2)</f>
        <v>31600</v>
      </c>
      <c r="S236" s="47">
        <f>ROUNDUP(R236+(R236*Assumptions!R$5),-2)</f>
        <v>32400</v>
      </c>
    </row>
    <row r="237" spans="1:21" s="34" customFormat="1" x14ac:dyDescent="0.2">
      <c r="A237" s="54">
        <v>18400</v>
      </c>
      <c r="B237" s="9">
        <v>19000</v>
      </c>
      <c r="C237" s="136">
        <v>18700</v>
      </c>
      <c r="D237" s="134">
        <v>18600</v>
      </c>
      <c r="E237" s="136">
        <v>24300</v>
      </c>
      <c r="F237" s="239" t="s">
        <v>2863</v>
      </c>
      <c r="G237" s="662" t="s">
        <v>638</v>
      </c>
      <c r="H237" s="9">
        <v>19000</v>
      </c>
      <c r="I237" s="584">
        <f t="shared" si="412"/>
        <v>-21.810699588477366</v>
      </c>
      <c r="J237" s="9">
        <f>ROUNDUP(H237+(H237*Assumptions!I$5),-2)</f>
        <v>19500</v>
      </c>
      <c r="K237" s="9">
        <f>ROUNDUP(J237+(J237*Assumptions!J$5),-2)</f>
        <v>20000</v>
      </c>
      <c r="L237" s="9">
        <f>ROUNDUP(K237+(K237*Assumptions!K$5),-2)</f>
        <v>20500</v>
      </c>
      <c r="M237" s="9">
        <f>ROUNDUP(L237+(L237*Assumptions!L$5),-2)</f>
        <v>21100</v>
      </c>
      <c r="N237" s="9">
        <f>ROUNDUP(M237+(M237*Assumptions!M$5),-2)</f>
        <v>21700</v>
      </c>
      <c r="O237" s="9">
        <f>ROUNDUP(N237+(N237*Assumptions!N$5),-2)</f>
        <v>22300</v>
      </c>
      <c r="P237" s="89">
        <f>ROUNDUP(O237+(O237*Assumptions!O$5),-2)</f>
        <v>22900</v>
      </c>
      <c r="Q237" s="9">
        <f>ROUNDUP(P237+(P237*Assumptions!P$5),-2)</f>
        <v>23500</v>
      </c>
      <c r="R237" s="9">
        <f>ROUNDUP(Q237+(Q237*Assumptions!Q$5),-2)</f>
        <v>24100</v>
      </c>
      <c r="S237" s="47">
        <f>ROUNDUP(R237+(R237*Assumptions!R$5),-2)</f>
        <v>24800</v>
      </c>
    </row>
    <row r="238" spans="1:21" s="34" customFormat="1" x14ac:dyDescent="0.2">
      <c r="A238" s="54">
        <v>3600</v>
      </c>
      <c r="B238" s="9">
        <v>5000</v>
      </c>
      <c r="C238" s="136">
        <v>4800</v>
      </c>
      <c r="D238" s="134">
        <v>3600</v>
      </c>
      <c r="E238" s="136">
        <v>4200</v>
      </c>
      <c r="F238" s="239" t="s">
        <v>2864</v>
      </c>
      <c r="G238" s="371" t="s">
        <v>708</v>
      </c>
      <c r="H238" s="9">
        <v>5000</v>
      </c>
      <c r="I238" s="584">
        <f t="shared" si="412"/>
        <v>19.047619047619047</v>
      </c>
      <c r="J238" s="9">
        <f>ROUNDUP(H238+(H238*Assumptions!I$5),-2)</f>
        <v>5200</v>
      </c>
      <c r="K238" s="9">
        <f>ROUNDUP(J238+(J238*Assumptions!J$5),-2)</f>
        <v>5400</v>
      </c>
      <c r="L238" s="9">
        <f>ROUNDUP(K238+(K238*Assumptions!K$5),-2)</f>
        <v>5600</v>
      </c>
      <c r="M238" s="9">
        <f>ROUNDUP(L238+(L238*Assumptions!L$5),-2)</f>
        <v>5800</v>
      </c>
      <c r="N238" s="9">
        <f>ROUNDUP(M238+(M238*Assumptions!M$5),-2)</f>
        <v>6000</v>
      </c>
      <c r="O238" s="9">
        <f>ROUNDUP(N238+(N238*Assumptions!N$5),-2)</f>
        <v>6200</v>
      </c>
      <c r="P238" s="89">
        <f>ROUNDUP(O238+(O238*Assumptions!O$5),-2)</f>
        <v>6400</v>
      </c>
      <c r="Q238" s="9">
        <f>ROUNDUP(P238+(P238*Assumptions!P$5),-2)</f>
        <v>6600</v>
      </c>
      <c r="R238" s="9">
        <f>ROUNDUP(Q238+(Q238*Assumptions!Q$5),-2)</f>
        <v>6800</v>
      </c>
      <c r="S238" s="47">
        <f>ROUNDUP(R238+(R238*Assumptions!R$5),-2)</f>
        <v>7000</v>
      </c>
    </row>
    <row r="239" spans="1:21" s="34" customFormat="1" x14ac:dyDescent="0.2">
      <c r="A239" s="54">
        <v>-100</v>
      </c>
      <c r="B239" s="9">
        <v>4400</v>
      </c>
      <c r="C239" s="136">
        <v>31100</v>
      </c>
      <c r="D239" s="134">
        <v>29300</v>
      </c>
      <c r="E239" s="136">
        <v>35900</v>
      </c>
      <c r="F239" s="239" t="s">
        <v>2862</v>
      </c>
      <c r="G239" s="371" t="s">
        <v>2724</v>
      </c>
      <c r="H239" s="9">
        <v>31000</v>
      </c>
      <c r="I239" s="584">
        <f t="shared" si="412"/>
        <v>-13.649025069637883</v>
      </c>
      <c r="J239" s="9">
        <f>ROUNDUP(H239+(H239*Assumptions!I$5),-2)</f>
        <v>31800</v>
      </c>
      <c r="K239" s="9">
        <f>ROUNDUP(J239+(J239*Assumptions!J$5),-2)</f>
        <v>32600</v>
      </c>
      <c r="L239" s="9">
        <f>ROUNDUP(K239+(K239*Assumptions!K$5),-2)</f>
        <v>33500</v>
      </c>
      <c r="M239" s="9">
        <f>ROUNDUP(L239+(L239*Assumptions!L$5),-2)</f>
        <v>34400</v>
      </c>
      <c r="N239" s="9">
        <f>ROUNDUP(M239+(M239*Assumptions!M$5),-2)</f>
        <v>35300</v>
      </c>
      <c r="O239" s="9">
        <f>ROUNDUP(N239+(N239*Assumptions!N$5),-2)</f>
        <v>36200</v>
      </c>
      <c r="P239" s="89">
        <f>ROUNDUP(O239+(O239*Assumptions!O$5),-2)</f>
        <v>37200</v>
      </c>
      <c r="Q239" s="9">
        <f>ROUNDUP(P239+(P239*Assumptions!P$5),-2)</f>
        <v>38200</v>
      </c>
      <c r="R239" s="9">
        <f>ROUNDUP(Q239+(Q239*Assumptions!Q$5),-2)</f>
        <v>39200</v>
      </c>
      <c r="S239" s="47">
        <f>ROUNDUP(R239+(R239*Assumptions!R$5),-2)</f>
        <v>40200</v>
      </c>
    </row>
    <row r="240" spans="1:21" s="34" customFormat="1" x14ac:dyDescent="0.2">
      <c r="A240" s="54">
        <v>17800</v>
      </c>
      <c r="B240" s="9">
        <v>20800</v>
      </c>
      <c r="C240" s="136">
        <v>19800</v>
      </c>
      <c r="D240" s="134">
        <v>18400</v>
      </c>
      <c r="E240" s="136">
        <v>18200</v>
      </c>
      <c r="F240" s="239" t="s">
        <v>1778</v>
      </c>
      <c r="G240" s="371" t="s">
        <v>1296</v>
      </c>
      <c r="H240" s="9">
        <v>25000</v>
      </c>
      <c r="I240" s="584">
        <f t="shared" si="412"/>
        <v>37.362637362637365</v>
      </c>
      <c r="J240" s="9">
        <f>ROUNDUP(H240+(H240*Assumptions!I$5),-2)</f>
        <v>25600</v>
      </c>
      <c r="K240" s="9">
        <f>ROUNDUP(J240+(J240*Assumptions!J$5),-2)</f>
        <v>26300</v>
      </c>
      <c r="L240" s="9">
        <f>ROUNDUP(K240+(K240*Assumptions!K$5),-2)</f>
        <v>27000</v>
      </c>
      <c r="M240" s="9">
        <f>ROUNDUP(L240+(L240*Assumptions!L$5),-2)</f>
        <v>27700</v>
      </c>
      <c r="N240" s="9">
        <f>ROUNDUP(M240+(M240*Assumptions!M$5),-2)</f>
        <v>28400</v>
      </c>
      <c r="O240" s="9">
        <f>ROUNDUP(N240+(N240*Assumptions!N$5),-2)</f>
        <v>29200</v>
      </c>
      <c r="P240" s="89">
        <f>ROUNDUP(O240+(O240*Assumptions!O$5),-2)</f>
        <v>30000</v>
      </c>
      <c r="Q240" s="9">
        <f>ROUNDUP(P240+(P240*Assumptions!P$5),-2)</f>
        <v>30800</v>
      </c>
      <c r="R240" s="9">
        <f>ROUNDUP(Q240+(Q240*Assumptions!Q$5),-2)</f>
        <v>31600</v>
      </c>
      <c r="S240" s="47">
        <f>ROUNDUP(R240+(R240*Assumptions!R$5),-2)</f>
        <v>32400</v>
      </c>
    </row>
    <row r="241" spans="1:19" s="34" customFormat="1" x14ac:dyDescent="0.2">
      <c r="A241" s="54">
        <v>34000</v>
      </c>
      <c r="B241" s="9">
        <v>34000</v>
      </c>
      <c r="C241" s="136">
        <v>34000</v>
      </c>
      <c r="D241" s="134">
        <v>39700</v>
      </c>
      <c r="E241" s="136">
        <v>32200</v>
      </c>
      <c r="F241" s="578" t="s">
        <v>7248</v>
      </c>
      <c r="G241" s="662" t="s">
        <v>6515</v>
      </c>
      <c r="H241" s="9">
        <v>40000</v>
      </c>
      <c r="I241" s="584">
        <f t="shared" si="412"/>
        <v>24.22360248447205</v>
      </c>
      <c r="J241" s="9">
        <f>ROUNDUP(H241+(H241*Assumptions!I$5),-2)</f>
        <v>41000</v>
      </c>
      <c r="K241" s="9">
        <f>ROUNDUP(J241+(J241*Assumptions!J$5),-2)</f>
        <v>42100</v>
      </c>
      <c r="L241" s="9">
        <f>ROUNDUP(K241+(K241*Assumptions!K$5),-2)</f>
        <v>43200</v>
      </c>
      <c r="M241" s="9">
        <f>ROUNDUP(L241+(L241*Assumptions!L$5),-2)</f>
        <v>44300</v>
      </c>
      <c r="N241" s="9">
        <f>ROUNDUP(M241+(M241*Assumptions!M$5),-2)</f>
        <v>45500</v>
      </c>
      <c r="O241" s="9">
        <f>ROUNDUP(N241+(N241*Assumptions!N$5),-2)</f>
        <v>46700</v>
      </c>
      <c r="P241" s="89">
        <f>ROUNDUP(O241+(O241*Assumptions!O$5),-2)</f>
        <v>47900</v>
      </c>
      <c r="Q241" s="9">
        <f>ROUNDUP(P241+(P241*Assumptions!P$5),-2)</f>
        <v>49100</v>
      </c>
      <c r="R241" s="9">
        <f>ROUNDUP(Q241+(Q241*Assumptions!Q$5),-2)</f>
        <v>50400</v>
      </c>
      <c r="S241" s="47">
        <f>ROUNDUP(R241+(R241*Assumptions!R$5),-2)</f>
        <v>51700</v>
      </c>
    </row>
    <row r="242" spans="1:19" s="34" customFormat="1" x14ac:dyDescent="0.2">
      <c r="A242" s="54">
        <v>0</v>
      </c>
      <c r="B242" s="9">
        <v>0</v>
      </c>
      <c r="C242" s="136">
        <v>0</v>
      </c>
      <c r="D242" s="134">
        <v>0</v>
      </c>
      <c r="E242" s="707">
        <v>13000</v>
      </c>
      <c r="F242" s="578" t="s">
        <v>6892</v>
      </c>
      <c r="G242" s="662" t="s">
        <v>6429</v>
      </c>
      <c r="H242" s="9">
        <v>0</v>
      </c>
      <c r="I242" s="584">
        <f t="shared" si="412"/>
        <v>-100</v>
      </c>
      <c r="J242" s="9">
        <v>0</v>
      </c>
      <c r="K242" s="9">
        <v>0</v>
      </c>
      <c r="L242" s="9">
        <v>0</v>
      </c>
      <c r="M242" s="9">
        <v>15000</v>
      </c>
      <c r="N242" s="9">
        <v>0</v>
      </c>
      <c r="O242" s="9">
        <v>0</v>
      </c>
      <c r="P242" s="9">
        <v>0</v>
      </c>
      <c r="Q242" s="9">
        <v>0</v>
      </c>
      <c r="R242" s="79">
        <v>20000</v>
      </c>
      <c r="S242" s="47">
        <v>0</v>
      </c>
    </row>
    <row r="243" spans="1:19" s="34" customFormat="1" x14ac:dyDescent="0.2">
      <c r="A243" s="54">
        <v>4200</v>
      </c>
      <c r="B243" s="9">
        <v>3000</v>
      </c>
      <c r="C243" s="136">
        <v>1500</v>
      </c>
      <c r="D243" s="134">
        <v>0</v>
      </c>
      <c r="E243" s="136">
        <v>0</v>
      </c>
      <c r="F243" s="239" t="s">
        <v>881</v>
      </c>
      <c r="G243" s="371" t="s">
        <v>1836</v>
      </c>
      <c r="H243" s="9">
        <v>2000</v>
      </c>
      <c r="I243" s="584">
        <f t="shared" si="412"/>
        <v>100</v>
      </c>
      <c r="J243" s="9">
        <f>ROUNDUP(H243+(H243*Assumptions!I$5),-2)</f>
        <v>2100</v>
      </c>
      <c r="K243" s="9">
        <f>ROUNDUP(J243+(J243*Assumptions!J$5),-2)</f>
        <v>2200</v>
      </c>
      <c r="L243" s="9">
        <f>ROUNDUP(K243+(K243*Assumptions!K$5),-2)</f>
        <v>2300</v>
      </c>
      <c r="M243" s="9">
        <f>ROUNDUP(L243+(L243*Assumptions!L$5),-2)</f>
        <v>2400</v>
      </c>
      <c r="N243" s="9">
        <f>ROUNDUP(M243+(M243*Assumptions!M$5),-2)</f>
        <v>2500</v>
      </c>
      <c r="O243" s="9">
        <f>ROUNDUP(N243+(N243*Assumptions!N$5),-2)</f>
        <v>2600</v>
      </c>
      <c r="P243" s="89">
        <f>ROUNDUP(O243+(O243*Assumptions!O$5),-2)</f>
        <v>2700</v>
      </c>
      <c r="Q243" s="9">
        <f>ROUNDUP(P243+(P243*Assumptions!P$5),-2)</f>
        <v>2800</v>
      </c>
      <c r="R243" s="9">
        <f>ROUNDUP(Q243+(Q243*Assumptions!Q$5),-2)</f>
        <v>2900</v>
      </c>
      <c r="S243" s="47">
        <f>ROUNDUP(R243+(R243*Assumptions!R$5),-2)</f>
        <v>3000</v>
      </c>
    </row>
    <row r="244" spans="1:19" s="34" customFormat="1" x14ac:dyDescent="0.2">
      <c r="A244" s="54">
        <v>10900</v>
      </c>
      <c r="B244" s="9">
        <v>21400</v>
      </c>
      <c r="C244" s="136">
        <v>14400</v>
      </c>
      <c r="D244" s="134">
        <v>15700</v>
      </c>
      <c r="E244" s="136">
        <v>18700</v>
      </c>
      <c r="F244" s="239" t="s">
        <v>2421</v>
      </c>
      <c r="G244" s="371" t="s">
        <v>2620</v>
      </c>
      <c r="H244" s="9">
        <v>16000</v>
      </c>
      <c r="I244" s="584">
        <f t="shared" si="412"/>
        <v>-14.438502673796791</v>
      </c>
      <c r="J244" s="9">
        <f>ROUNDUP(H244+(H244*Assumptions!I$5),-2)</f>
        <v>16400</v>
      </c>
      <c r="K244" s="9">
        <f>ROUNDUP(J244+(J244*Assumptions!J$5),-2)</f>
        <v>16900</v>
      </c>
      <c r="L244" s="9">
        <f>ROUNDUP(K244+(K244*Assumptions!K$5),-2)</f>
        <v>17400</v>
      </c>
      <c r="M244" s="9">
        <f>ROUNDUP(L244+(L244*Assumptions!L$5),-2)</f>
        <v>17900</v>
      </c>
      <c r="N244" s="9">
        <f>ROUNDUP(M244+(M244*Assumptions!M$5),-2)</f>
        <v>18400</v>
      </c>
      <c r="O244" s="9">
        <f>ROUNDUP(N244+(N244*Assumptions!N$5),-2)</f>
        <v>18900</v>
      </c>
      <c r="P244" s="89">
        <f>ROUNDUP(O244+(O244*Assumptions!O$5),-2)</f>
        <v>19400</v>
      </c>
      <c r="Q244" s="9">
        <f>ROUNDUP(P244+(P244*Assumptions!P$5),-2)</f>
        <v>19900</v>
      </c>
      <c r="R244" s="9">
        <f>ROUNDUP(Q244+(Q244*Assumptions!Q$5),-2)</f>
        <v>20400</v>
      </c>
      <c r="S244" s="47">
        <f>ROUNDUP(R244+(R244*Assumptions!R$5),-2)</f>
        <v>21000</v>
      </c>
    </row>
    <row r="245" spans="1:19" s="34" customFormat="1" x14ac:dyDescent="0.2">
      <c r="A245" s="54">
        <v>12500</v>
      </c>
      <c r="B245" s="9">
        <v>14800</v>
      </c>
      <c r="C245" s="136">
        <v>11000</v>
      </c>
      <c r="D245" s="134">
        <f>10000+8000</f>
        <v>18000</v>
      </c>
      <c r="E245" s="136">
        <v>22400</v>
      </c>
      <c r="F245" s="239" t="s">
        <v>1358</v>
      </c>
      <c r="G245" s="662" t="s">
        <v>3026</v>
      </c>
      <c r="H245" s="9">
        <v>16000</v>
      </c>
      <c r="I245" s="584">
        <f t="shared" si="412"/>
        <v>-28.571428571428569</v>
      </c>
      <c r="J245" s="9">
        <f>ROUNDUP(H245+(H245*Assumptions!I$5),-2)</f>
        <v>16400</v>
      </c>
      <c r="K245" s="9">
        <f>ROUNDUP(J245+(J245*Assumptions!J$5),-2)</f>
        <v>16900</v>
      </c>
      <c r="L245" s="9">
        <f>ROUNDUP(K245+(K245*Assumptions!K$5),-2)</f>
        <v>17400</v>
      </c>
      <c r="M245" s="9">
        <f>ROUNDUP(L245+(L245*Assumptions!L$5),-2)</f>
        <v>17900</v>
      </c>
      <c r="N245" s="9">
        <f>ROUNDUP(M245+(M245*Assumptions!M$5),-2)</f>
        <v>18400</v>
      </c>
      <c r="O245" s="9">
        <f>ROUNDUP(N245+(N245*Assumptions!N$5),-2)</f>
        <v>18900</v>
      </c>
      <c r="P245" s="89">
        <f>ROUNDUP(O245+(O245*Assumptions!O$5),-2)</f>
        <v>19400</v>
      </c>
      <c r="Q245" s="9">
        <f>ROUNDUP(P245+(P245*Assumptions!P$5),-2)</f>
        <v>19900</v>
      </c>
      <c r="R245" s="9">
        <f>ROUNDUP(Q245+(Q245*Assumptions!Q$5),-2)</f>
        <v>20400</v>
      </c>
      <c r="S245" s="47">
        <f>ROUNDUP(R245+(R245*Assumptions!R$5),-2)</f>
        <v>21000</v>
      </c>
    </row>
    <row r="246" spans="1:19" s="34" customFormat="1" x14ac:dyDescent="0.2">
      <c r="A246" s="54"/>
      <c r="B246" s="9"/>
      <c r="C246" s="136"/>
      <c r="D246" s="134"/>
      <c r="E246" s="136"/>
      <c r="F246" s="578"/>
      <c r="G246" s="662"/>
      <c r="H246" s="9"/>
      <c r="I246" s="584"/>
      <c r="J246" s="9"/>
      <c r="K246" s="9"/>
      <c r="L246" s="9"/>
      <c r="M246" s="9"/>
      <c r="N246" s="9"/>
      <c r="O246" s="9"/>
      <c r="P246" s="89"/>
      <c r="Q246" s="9"/>
      <c r="R246" s="9"/>
      <c r="S246" s="47"/>
    </row>
    <row r="247" spans="1:19" s="34" customFormat="1" x14ac:dyDescent="0.2">
      <c r="A247" s="54"/>
      <c r="B247" s="9"/>
      <c r="C247" s="136"/>
      <c r="D247" s="134"/>
      <c r="E247" s="136"/>
      <c r="F247" s="578"/>
      <c r="G247" s="912" t="s">
        <v>6543</v>
      </c>
      <c r="H247" s="9"/>
      <c r="I247" s="584"/>
      <c r="J247" s="9"/>
      <c r="K247" s="9"/>
      <c r="L247" s="9"/>
      <c r="M247" s="9"/>
      <c r="N247" s="9"/>
      <c r="O247" s="9"/>
      <c r="P247" s="89"/>
      <c r="Q247" s="9"/>
      <c r="R247" s="9"/>
      <c r="S247" s="47"/>
    </row>
    <row r="248" spans="1:19" s="34" customFormat="1" x14ac:dyDescent="0.2">
      <c r="A248" s="54">
        <v>21200</v>
      </c>
      <c r="B248" s="9">
        <v>24800</v>
      </c>
      <c r="C248" s="136">
        <v>29500</v>
      </c>
      <c r="D248" s="134">
        <v>51000</v>
      </c>
      <c r="E248" s="136">
        <v>43800</v>
      </c>
      <c r="F248" s="578" t="s">
        <v>2742</v>
      </c>
      <c r="G248" s="662" t="s">
        <v>6529</v>
      </c>
      <c r="H248" s="9">
        <v>26300</v>
      </c>
      <c r="I248" s="584">
        <f t="shared" ref="I248:I254" si="413">IF(E248=H248,0,IF(E248=0,100,(H248-E248)/E248*100))</f>
        <v>-39.954337899543383</v>
      </c>
      <c r="J248" s="9">
        <f>ROUNDUP(H248+(H248*Assumptions!I$5),-2)</f>
        <v>27000</v>
      </c>
      <c r="K248" s="9">
        <f>ROUNDUP(J248+(J248*Assumptions!J$5),-2)</f>
        <v>27700</v>
      </c>
      <c r="L248" s="9">
        <f>ROUNDUP(K248+(K248*Assumptions!K$5),-2)</f>
        <v>28400</v>
      </c>
      <c r="M248" s="9">
        <f>ROUNDUP(L248+(L248*Assumptions!L$5),-2)</f>
        <v>29200</v>
      </c>
      <c r="N248" s="9">
        <f>ROUNDUP(M248+(M248*Assumptions!M$5),-2)</f>
        <v>30000</v>
      </c>
      <c r="O248" s="9">
        <f>ROUNDUP(N248+(N248*Assumptions!N$5),-2)</f>
        <v>30800</v>
      </c>
      <c r="P248" s="89">
        <f>ROUNDUP(O248+(O248*Assumptions!O$5),-2)</f>
        <v>31600</v>
      </c>
      <c r="Q248" s="9">
        <f>ROUNDUP(P248+(P248*Assumptions!P$5),-2)</f>
        <v>32400</v>
      </c>
      <c r="R248" s="9">
        <f>ROUNDUP(Q248+(Q248*Assumptions!Q$5),-2)</f>
        <v>33300</v>
      </c>
      <c r="S248" s="47">
        <f>ROUNDUP(R248+(R248*Assumptions!R$5),-2)</f>
        <v>34200</v>
      </c>
    </row>
    <row r="249" spans="1:19" s="34" customFormat="1" x14ac:dyDescent="0.2">
      <c r="A249" s="54">
        <v>7600</v>
      </c>
      <c r="B249" s="9">
        <f>9100+1800-400</f>
        <v>10500</v>
      </c>
      <c r="C249" s="136">
        <f>12900+900-400</f>
        <v>13400</v>
      </c>
      <c r="D249" s="134">
        <f>14900+1000+400</f>
        <v>16300</v>
      </c>
      <c r="E249" s="136">
        <f>92200-E248-E250-E251</f>
        <v>23700</v>
      </c>
      <c r="F249" s="239" t="s">
        <v>1771</v>
      </c>
      <c r="G249" s="662" t="s">
        <v>6528</v>
      </c>
      <c r="H249" s="9">
        <v>9700</v>
      </c>
      <c r="I249" s="584">
        <f t="shared" si="413"/>
        <v>-59.071729957805907</v>
      </c>
      <c r="J249" s="9">
        <f>ROUNDUP(H249+(H249*Assumptions!I$5),-2)</f>
        <v>10000</v>
      </c>
      <c r="K249" s="9">
        <f>ROUNDUP(J249+(J249*Assumptions!J$5),-2)</f>
        <v>10300</v>
      </c>
      <c r="L249" s="9">
        <f>ROUNDUP(K249+(K249*Assumptions!K$5),-2)</f>
        <v>10600</v>
      </c>
      <c r="M249" s="9">
        <f>ROUNDUP(L249+(L249*Assumptions!L$5),-2)</f>
        <v>10900</v>
      </c>
      <c r="N249" s="9">
        <f>ROUNDUP(M249+(M249*Assumptions!M$5),-2)</f>
        <v>11200</v>
      </c>
      <c r="O249" s="9">
        <f>ROUNDUP(N249+(N249*Assumptions!N$5),-2)</f>
        <v>11500</v>
      </c>
      <c r="P249" s="89">
        <f>ROUNDUP(O249+(O249*Assumptions!O$5),-2)</f>
        <v>11800</v>
      </c>
      <c r="Q249" s="9">
        <f>ROUNDUP(P249+(P249*Assumptions!P$5),-2)</f>
        <v>12100</v>
      </c>
      <c r="R249" s="9">
        <f>ROUNDUP(Q249+(Q249*Assumptions!Q$5),-2)</f>
        <v>12500</v>
      </c>
      <c r="S249" s="47">
        <f>ROUNDUP(R249+(R249*Assumptions!R$5),-2)</f>
        <v>12900</v>
      </c>
    </row>
    <row r="250" spans="1:19" s="34" customFormat="1" x14ac:dyDescent="0.2">
      <c r="A250" s="54">
        <v>7100</v>
      </c>
      <c r="B250" s="79">
        <v>8400</v>
      </c>
      <c r="C250" s="136">
        <v>21600</v>
      </c>
      <c r="D250" s="134">
        <v>14500</v>
      </c>
      <c r="E250" s="136">
        <v>20700</v>
      </c>
      <c r="F250" s="239" t="s">
        <v>147</v>
      </c>
      <c r="G250" s="662" t="s">
        <v>6530</v>
      </c>
      <c r="H250" s="9">
        <v>17700</v>
      </c>
      <c r="I250" s="584">
        <f t="shared" si="413"/>
        <v>-14.492753623188406</v>
      </c>
      <c r="J250" s="9">
        <f>ROUNDUP(H250+(H250*Assumptions!I$5),-2)</f>
        <v>18200</v>
      </c>
      <c r="K250" s="9">
        <f>ROUNDUP(J250+(J250*Assumptions!J$5),-2)</f>
        <v>18700</v>
      </c>
      <c r="L250" s="9">
        <f>ROUNDUP(K250+(K250*Assumptions!K$5),-2)</f>
        <v>19200</v>
      </c>
      <c r="M250" s="9">
        <f>ROUNDUP(L250+(L250*Assumptions!L$5),-2)</f>
        <v>19700</v>
      </c>
      <c r="N250" s="9">
        <f>ROUNDUP(M250+(M250*Assumptions!M$5),-2)</f>
        <v>20200</v>
      </c>
      <c r="O250" s="9">
        <f>ROUNDUP(N250+(N250*Assumptions!N$5),-2)</f>
        <v>20800</v>
      </c>
      <c r="P250" s="89">
        <f>ROUNDUP(O250+(O250*Assumptions!O$5),-2)</f>
        <v>21400</v>
      </c>
      <c r="Q250" s="9">
        <f>ROUNDUP(P250+(P250*Assumptions!P$5),-2)</f>
        <v>22000</v>
      </c>
      <c r="R250" s="9">
        <f>ROUNDUP(Q250+(Q250*Assumptions!Q$5),-2)</f>
        <v>22600</v>
      </c>
      <c r="S250" s="47">
        <f>ROUNDUP(R250+(R250*Assumptions!R$5),-2)</f>
        <v>23200</v>
      </c>
    </row>
    <row r="251" spans="1:19" s="34" customFormat="1" x14ac:dyDescent="0.2">
      <c r="A251" s="54">
        <v>-7300</v>
      </c>
      <c r="B251" s="9">
        <v>14400</v>
      </c>
      <c r="C251" s="136">
        <v>7500</v>
      </c>
      <c r="D251" s="134">
        <v>30000</v>
      </c>
      <c r="E251" s="136">
        <v>4000</v>
      </c>
      <c r="F251" s="239" t="s">
        <v>148</v>
      </c>
      <c r="G251" s="662" t="s">
        <v>6531</v>
      </c>
      <c r="H251" s="9">
        <v>22700</v>
      </c>
      <c r="I251" s="584">
        <f t="shared" si="413"/>
        <v>467.5</v>
      </c>
      <c r="J251" s="9">
        <f>ROUNDUP(H251+(H251*Assumptions!I$5),-2)</f>
        <v>23300</v>
      </c>
      <c r="K251" s="9">
        <f>ROUNDUP(J251+(J251*Assumptions!J$5),-2)</f>
        <v>23900</v>
      </c>
      <c r="L251" s="9">
        <f>ROUNDUP(K251+(K251*Assumptions!K$5),-2)</f>
        <v>24500</v>
      </c>
      <c r="M251" s="9">
        <f>ROUNDUP(L251+(L251*Assumptions!L$5),-2)</f>
        <v>25200</v>
      </c>
      <c r="N251" s="9">
        <f>ROUNDUP(M251+(M251*Assumptions!M$5),-2)</f>
        <v>25900</v>
      </c>
      <c r="O251" s="9">
        <f>ROUNDUP(N251+(N251*Assumptions!N$5),-2)</f>
        <v>26600</v>
      </c>
      <c r="P251" s="89">
        <f>ROUNDUP(O251+(O251*Assumptions!O$5),-2)</f>
        <v>27300</v>
      </c>
      <c r="Q251" s="9">
        <f>ROUNDUP(P251+(P251*Assumptions!P$5),-2)</f>
        <v>28000</v>
      </c>
      <c r="R251" s="9">
        <f>ROUNDUP(Q251+(Q251*Assumptions!Q$5),-2)</f>
        <v>28700</v>
      </c>
      <c r="S251" s="47">
        <f>ROUNDUP(R251+(R251*Assumptions!R$5),-2)</f>
        <v>29500</v>
      </c>
    </row>
    <row r="252" spans="1:19" s="34" customFormat="1" x14ac:dyDescent="0.2">
      <c r="A252" s="54">
        <v>0</v>
      </c>
      <c r="B252" s="9">
        <v>0</v>
      </c>
      <c r="C252" s="136">
        <v>0</v>
      </c>
      <c r="D252" s="134">
        <v>1400</v>
      </c>
      <c r="E252" s="136">
        <v>22200</v>
      </c>
      <c r="F252" s="578" t="s">
        <v>6453</v>
      </c>
      <c r="G252" s="662" t="s">
        <v>6544</v>
      </c>
      <c r="H252" s="9">
        <v>10000</v>
      </c>
      <c r="I252" s="584">
        <f t="shared" si="413"/>
        <v>-54.954954954954957</v>
      </c>
      <c r="J252" s="9">
        <v>0</v>
      </c>
      <c r="K252" s="9">
        <v>0</v>
      </c>
      <c r="L252" s="9">
        <v>0</v>
      </c>
      <c r="M252" s="9">
        <v>0</v>
      </c>
      <c r="N252" s="9">
        <v>0</v>
      </c>
      <c r="O252" s="9">
        <v>0</v>
      </c>
      <c r="P252" s="9">
        <v>0</v>
      </c>
      <c r="Q252" s="9">
        <v>0</v>
      </c>
      <c r="R252" s="9">
        <f>ROUNDUP(Q252+(Q252*Assumptions!Q$5),-2)</f>
        <v>0</v>
      </c>
      <c r="S252" s="47">
        <f>ROUNDUP(R252+(R252*Assumptions!R$5),-2)</f>
        <v>0</v>
      </c>
    </row>
    <row r="253" spans="1:19" s="34" customFormat="1" x14ac:dyDescent="0.2">
      <c r="A253" s="54"/>
      <c r="B253" s="9"/>
      <c r="C253" s="136"/>
      <c r="D253" s="134"/>
      <c r="E253" s="136">
        <v>0</v>
      </c>
      <c r="F253" s="578" t="s">
        <v>6891</v>
      </c>
      <c r="G253" s="662" t="s">
        <v>6881</v>
      </c>
      <c r="H253" s="9">
        <v>1000</v>
      </c>
      <c r="I253" s="584">
        <f t="shared" si="413"/>
        <v>100</v>
      </c>
      <c r="J253" s="9">
        <v>0</v>
      </c>
      <c r="K253" s="9">
        <v>0</v>
      </c>
      <c r="L253" s="9">
        <v>0</v>
      </c>
      <c r="M253" s="9">
        <v>0</v>
      </c>
      <c r="N253" s="9">
        <v>0</v>
      </c>
      <c r="O253" s="9">
        <v>0</v>
      </c>
      <c r="P253" s="9">
        <v>0</v>
      </c>
      <c r="Q253" s="9">
        <v>0</v>
      </c>
      <c r="R253" s="9">
        <f>ROUNDUP(Q253+(Q253*Assumptions!Q$5),-2)</f>
        <v>0</v>
      </c>
      <c r="S253" s="47">
        <f>ROUNDUP(R253+(R253*Assumptions!R$5),-2)</f>
        <v>0</v>
      </c>
    </row>
    <row r="254" spans="1:19" s="34" customFormat="1" x14ac:dyDescent="0.2">
      <c r="A254" s="54">
        <v>2000</v>
      </c>
      <c r="B254" s="9">
        <v>3300</v>
      </c>
      <c r="C254" s="136">
        <v>700</v>
      </c>
      <c r="D254" s="134">
        <v>2000</v>
      </c>
      <c r="E254" s="136">
        <v>0</v>
      </c>
      <c r="F254" s="239" t="s">
        <v>128</v>
      </c>
      <c r="G254" s="371" t="s">
        <v>129</v>
      </c>
      <c r="H254" s="9">
        <v>2200</v>
      </c>
      <c r="I254" s="584">
        <f t="shared" si="413"/>
        <v>100</v>
      </c>
      <c r="J254" s="9">
        <f>ROUNDUP(H254+(H254*Assumptions!I$5),-2)</f>
        <v>2300</v>
      </c>
      <c r="K254" s="9">
        <f>ROUNDUP(J254+(J254*Assumptions!J$5),-2)</f>
        <v>2400</v>
      </c>
      <c r="L254" s="9">
        <f>ROUNDUP(K254+(K254*Assumptions!K$5),-2)</f>
        <v>2500</v>
      </c>
      <c r="M254" s="9">
        <f>ROUNDUP(L254+(L254*Assumptions!L$5),-2)</f>
        <v>2600</v>
      </c>
      <c r="N254" s="9">
        <f>ROUNDUP(M254+(M254*Assumptions!M$5),-2)</f>
        <v>2700</v>
      </c>
      <c r="O254" s="9">
        <f>ROUNDUP(N254+(N254*Assumptions!N$5),-2)</f>
        <v>2800</v>
      </c>
      <c r="P254" s="89">
        <f>ROUNDUP(O254+(O254*Assumptions!O$5),-2)</f>
        <v>2900</v>
      </c>
      <c r="Q254" s="9">
        <f>ROUNDUP(P254+(P254*Assumptions!P$5),-2)</f>
        <v>3000</v>
      </c>
      <c r="R254" s="9">
        <f>ROUNDUP(Q254+(Q254*Assumptions!Q$5),-2)</f>
        <v>3100</v>
      </c>
      <c r="S254" s="47">
        <f>ROUNDUP(R254+(R254*Assumptions!R$5),-2)</f>
        <v>3200</v>
      </c>
    </row>
    <row r="255" spans="1:19" s="34" customFormat="1" x14ac:dyDescent="0.2">
      <c r="A255" s="54"/>
      <c r="B255" s="9"/>
      <c r="C255" s="136"/>
      <c r="D255" s="134"/>
      <c r="E255" s="136"/>
      <c r="F255" s="577"/>
      <c r="G255" s="662"/>
      <c r="H255" s="9"/>
      <c r="I255" s="584"/>
      <c r="J255" s="9"/>
      <c r="K255" s="9"/>
      <c r="L255" s="9"/>
      <c r="M255" s="9"/>
      <c r="N255" s="9"/>
      <c r="O255" s="9"/>
      <c r="P255" s="89"/>
      <c r="Q255" s="9"/>
      <c r="R255" s="9"/>
      <c r="S255" s="47"/>
    </row>
    <row r="256" spans="1:19" s="34" customFormat="1" x14ac:dyDescent="0.2">
      <c r="A256" s="54"/>
      <c r="B256" s="9"/>
      <c r="C256" s="136"/>
      <c r="D256" s="134"/>
      <c r="E256" s="136"/>
      <c r="F256" s="1378"/>
      <c r="G256" s="912" t="s">
        <v>4883</v>
      </c>
      <c r="H256" s="9"/>
      <c r="I256" s="584"/>
      <c r="J256" s="9"/>
      <c r="K256" s="9"/>
      <c r="L256" s="9"/>
      <c r="M256" s="9"/>
      <c r="N256" s="9"/>
      <c r="O256" s="9"/>
      <c r="P256" s="89"/>
      <c r="Q256" s="9"/>
      <c r="R256" s="9"/>
      <c r="S256" s="47"/>
    </row>
    <row r="257" spans="1:21" s="34" customFormat="1" x14ac:dyDescent="0.2">
      <c r="A257" s="54">
        <v>8000</v>
      </c>
      <c r="B257" s="9">
        <v>11000</v>
      </c>
      <c r="C257" s="136">
        <f>16200+1500</f>
        <v>17700</v>
      </c>
      <c r="D257" s="134">
        <v>10700</v>
      </c>
      <c r="E257" s="136">
        <v>11300</v>
      </c>
      <c r="F257" s="239" t="s">
        <v>463</v>
      </c>
      <c r="G257" s="371" t="s">
        <v>2475</v>
      </c>
      <c r="H257" s="9">
        <v>12000</v>
      </c>
      <c r="I257" s="584">
        <f>IF(E257=H257,0,IF(E257=0,100,(H257-E257)/E257*100))</f>
        <v>6.1946902654867255</v>
      </c>
      <c r="J257" s="9">
        <f>ROUNDUP(H257+(H257*Assumptions!I$5),-2)</f>
        <v>12300</v>
      </c>
      <c r="K257" s="9">
        <f>ROUNDUP(J257+(J257*Assumptions!J$5),-2)</f>
        <v>12700</v>
      </c>
      <c r="L257" s="9">
        <f>ROUNDUP(K257+(K257*Assumptions!K$5),-2)</f>
        <v>13100</v>
      </c>
      <c r="M257" s="9">
        <f>ROUNDUP(L257+(L257*Assumptions!L$5),-2)</f>
        <v>13500</v>
      </c>
      <c r="N257" s="9">
        <f>ROUNDUP(M257+(M257*Assumptions!M$5),-2)</f>
        <v>13900</v>
      </c>
      <c r="O257" s="9">
        <f>ROUNDUP(N257+(N257*Assumptions!N$5),-2)</f>
        <v>14300</v>
      </c>
      <c r="P257" s="89">
        <f>ROUNDUP(O257+(O257*Assumptions!O$5),-2)</f>
        <v>14700</v>
      </c>
      <c r="Q257" s="9">
        <f>ROUNDUP(P257+(P257*Assumptions!P$5),-2)</f>
        <v>15100</v>
      </c>
      <c r="R257" s="9">
        <f>ROUNDUP(Q257+(Q257*Assumptions!Q$5),-2)</f>
        <v>15500</v>
      </c>
      <c r="S257" s="47">
        <f>ROUNDUP(R257+(R257*Assumptions!R$5),-2)</f>
        <v>15900</v>
      </c>
    </row>
    <row r="258" spans="1:21" s="34" customFormat="1" x14ac:dyDescent="0.2">
      <c r="A258" s="54"/>
      <c r="B258" s="9"/>
      <c r="C258" s="136"/>
      <c r="D258" s="134"/>
      <c r="E258" s="136"/>
      <c r="F258" s="240"/>
      <c r="G258" s="371"/>
      <c r="H258" s="9"/>
      <c r="I258" s="584"/>
      <c r="J258" s="9"/>
      <c r="K258" s="9"/>
      <c r="L258" s="9"/>
      <c r="M258" s="9"/>
      <c r="N258" s="9"/>
      <c r="O258" s="9"/>
      <c r="P258" s="89"/>
      <c r="Q258" s="9"/>
      <c r="R258" s="9"/>
      <c r="S258" s="47"/>
    </row>
    <row r="259" spans="1:21" s="39" customFormat="1" x14ac:dyDescent="0.2">
      <c r="A259" s="24"/>
      <c r="B259" s="21"/>
      <c r="C259" s="139"/>
      <c r="D259" s="134"/>
      <c r="E259" s="139"/>
      <c r="F259" s="164"/>
      <c r="G259" s="21" t="s">
        <v>1112</v>
      </c>
      <c r="H259" s="21"/>
      <c r="I259" s="584"/>
      <c r="J259" s="21"/>
      <c r="K259" s="21"/>
      <c r="L259" s="21"/>
      <c r="M259" s="21"/>
      <c r="N259" s="21"/>
      <c r="O259" s="21"/>
      <c r="P259" s="89"/>
      <c r="Q259" s="9"/>
      <c r="R259" s="9"/>
      <c r="S259" s="47"/>
      <c r="U259" s="34"/>
    </row>
    <row r="260" spans="1:21" s="34" customFormat="1" x14ac:dyDescent="0.2">
      <c r="A260" s="54">
        <v>100</v>
      </c>
      <c r="B260" s="9">
        <v>0</v>
      </c>
      <c r="C260" s="89">
        <v>0</v>
      </c>
      <c r="D260" s="134">
        <v>0</v>
      </c>
      <c r="E260" s="136">
        <v>0</v>
      </c>
      <c r="F260" s="239" t="s">
        <v>748</v>
      </c>
      <c r="G260" s="9" t="s">
        <v>2412</v>
      </c>
      <c r="H260" s="9">
        <v>0</v>
      </c>
      <c r="I260" s="584">
        <f>IF(E260=H260,0,IF(E260=0,100,(H260-E260)/E260*100))</f>
        <v>0</v>
      </c>
      <c r="J260" s="9">
        <v>0</v>
      </c>
      <c r="K260" s="9">
        <v>0</v>
      </c>
      <c r="L260" s="9">
        <v>0</v>
      </c>
      <c r="M260" s="9">
        <v>0</v>
      </c>
      <c r="N260" s="9">
        <v>0</v>
      </c>
      <c r="O260" s="9">
        <v>0</v>
      </c>
      <c r="P260" s="89">
        <v>0</v>
      </c>
      <c r="Q260" s="9">
        <v>0</v>
      </c>
      <c r="R260" s="9">
        <f>ROUNDUP(Q260+(Q260*Assumptions!Q$5),-2)</f>
        <v>0</v>
      </c>
      <c r="S260" s="47">
        <f>ROUNDUP(R260+(R260*Assumptions!R$5),-2)</f>
        <v>0</v>
      </c>
    </row>
    <row r="261" spans="1:21" s="34" customFormat="1" x14ac:dyDescent="0.2">
      <c r="A261" s="54"/>
      <c r="B261" s="9"/>
      <c r="C261" s="89"/>
      <c r="D261" s="134"/>
      <c r="E261" s="136"/>
      <c r="F261" s="240"/>
      <c r="G261" s="89"/>
      <c r="H261" s="9"/>
      <c r="I261" s="584"/>
      <c r="J261" s="9"/>
      <c r="K261" s="9"/>
      <c r="L261" s="9"/>
      <c r="M261" s="9"/>
      <c r="N261" s="9"/>
      <c r="O261" s="9"/>
      <c r="P261" s="89"/>
      <c r="Q261" s="9"/>
      <c r="R261" s="9"/>
      <c r="S261" s="47"/>
    </row>
    <row r="262" spans="1:21" s="34" customFormat="1" x14ac:dyDescent="0.2">
      <c r="A262" s="54"/>
      <c r="B262" s="9"/>
      <c r="C262" s="537"/>
      <c r="D262" s="134"/>
      <c r="E262" s="136"/>
      <c r="F262" s="1378"/>
      <c r="G262" s="320" t="s">
        <v>342</v>
      </c>
      <c r="H262" s="9"/>
      <c r="I262" s="584"/>
      <c r="J262" s="9"/>
      <c r="K262" s="9"/>
      <c r="L262" s="9"/>
      <c r="M262" s="9"/>
      <c r="N262" s="9"/>
      <c r="O262" s="9"/>
      <c r="P262" s="89"/>
      <c r="Q262" s="9"/>
      <c r="R262" s="9"/>
      <c r="S262" s="47"/>
    </row>
    <row r="263" spans="1:21" s="34" customFormat="1" x14ac:dyDescent="0.2">
      <c r="A263" s="54">
        <v>3857600</v>
      </c>
      <c r="B263" s="9">
        <v>4064400</v>
      </c>
      <c r="C263" s="136">
        <v>4290200</v>
      </c>
      <c r="D263" s="134">
        <v>4278800</v>
      </c>
      <c r="E263" s="136">
        <v>5886500</v>
      </c>
      <c r="F263" s="239" t="s">
        <v>663</v>
      </c>
      <c r="G263" s="371" t="s">
        <v>1572</v>
      </c>
      <c r="H263" s="9">
        <v>4483275</v>
      </c>
      <c r="I263" s="584">
        <f>IF(E263=H263,0,IF(E263=0,100,(H263-E263)/E263*100))</f>
        <v>-23.838019196466494</v>
      </c>
      <c r="J263" s="9">
        <f>ROUNDUP(H263+(H263*Assumptions!I$63),-2)</f>
        <v>4586400</v>
      </c>
      <c r="K263" s="9">
        <f>ROUNDUP(J263+(J263*Assumptions!J$63),-2)</f>
        <v>4691900</v>
      </c>
      <c r="L263" s="9">
        <f>ROUNDUP(K263+(K263*Assumptions!K$63),-2)</f>
        <v>4799900</v>
      </c>
      <c r="M263" s="9">
        <f>ROUNDUP(L263+(L263*Assumptions!L$63),-2)</f>
        <v>4943900</v>
      </c>
      <c r="N263" s="9">
        <f>ROUNDUP(M263+(M263*Assumptions!M$63),-2)</f>
        <v>5092300</v>
      </c>
      <c r="O263" s="9">
        <f>ROUNDUP(N263+(N263*Assumptions!N$63),-2)</f>
        <v>5245100</v>
      </c>
      <c r="P263" s="89">
        <f>ROUNDUP(O263+(O263*Assumptions!O$63),-2)</f>
        <v>5402500</v>
      </c>
      <c r="Q263" s="9">
        <f>ROUNDUP(P263+(P263*Assumptions!P$63),-2)</f>
        <v>5564600</v>
      </c>
      <c r="R263" s="9">
        <f>ROUNDUP(Q263+(Q263*Assumptions!Q$5),-2)</f>
        <v>5703800</v>
      </c>
      <c r="S263" s="47">
        <f>ROUNDUP(R263+(R263*Assumptions!R$5),-2)</f>
        <v>5846400</v>
      </c>
    </row>
    <row r="264" spans="1:21" s="34" customFormat="1" x14ac:dyDescent="0.2">
      <c r="A264" s="54">
        <v>1285800</v>
      </c>
      <c r="B264" s="9">
        <v>1354800</v>
      </c>
      <c r="C264" s="136">
        <v>1430100</v>
      </c>
      <c r="D264" s="134">
        <v>1424300</v>
      </c>
      <c r="E264" s="136">
        <v>0</v>
      </c>
      <c r="F264" s="239" t="s">
        <v>2711</v>
      </c>
      <c r="G264" s="371" t="s">
        <v>2656</v>
      </c>
      <c r="H264" s="9">
        <v>1494425</v>
      </c>
      <c r="I264" s="584">
        <f>IF(E264=H264,0,IF(E264=0,100,(H264-E264)/E264*100))</f>
        <v>100</v>
      </c>
      <c r="J264" s="9">
        <f>ROUNDUP(H264+(H264*Assumptions!I$63),-2)</f>
        <v>1528800</v>
      </c>
      <c r="K264" s="9">
        <f>ROUNDUP(J264+(J264*Assumptions!J$63),-2)</f>
        <v>1564000</v>
      </c>
      <c r="L264" s="9">
        <f>ROUNDUP(K264+(K264*Assumptions!K$63),-2)</f>
        <v>1600000</v>
      </c>
      <c r="M264" s="9">
        <f>ROUNDUP(L264+(L264*Assumptions!L$63),-2)</f>
        <v>1648000</v>
      </c>
      <c r="N264" s="9">
        <f>ROUNDUP(M264+(M264*Assumptions!M$63),-2)</f>
        <v>1697500</v>
      </c>
      <c r="O264" s="9">
        <f>ROUNDUP(N264+(N264*Assumptions!N$63),-2)</f>
        <v>1748500</v>
      </c>
      <c r="P264" s="89">
        <f>ROUNDUP(O264+(O264*Assumptions!O$63),-2)</f>
        <v>1801000</v>
      </c>
      <c r="Q264" s="9">
        <f>ROUNDUP(P264+(P264*Assumptions!P$63),-2)</f>
        <v>1855100</v>
      </c>
      <c r="R264" s="9">
        <f>ROUNDUP(Q264+(Q264*Assumptions!Q$5),-2)</f>
        <v>1901500</v>
      </c>
      <c r="S264" s="47">
        <f>ROUNDUP(R264+(R264*Assumptions!R$5),-2)</f>
        <v>1949100</v>
      </c>
    </row>
    <row r="265" spans="1:21" s="34" customFormat="1" x14ac:dyDescent="0.2">
      <c r="A265" s="54"/>
      <c r="B265" s="9"/>
      <c r="C265" s="136"/>
      <c r="D265" s="134"/>
      <c r="E265" s="136"/>
      <c r="F265" s="730"/>
      <c r="G265" s="371"/>
      <c r="H265" s="9"/>
      <c r="I265" s="584"/>
      <c r="J265" s="9"/>
      <c r="K265" s="9"/>
      <c r="L265" s="9"/>
      <c r="M265" s="9"/>
      <c r="N265" s="9"/>
      <c r="O265" s="9"/>
      <c r="P265" s="89"/>
      <c r="Q265" s="9"/>
      <c r="R265" s="9">
        <f>ROUNDUP(Q265+(Q265*Assumptions!Q$5),-2)</f>
        <v>0</v>
      </c>
      <c r="S265" s="47">
        <f>ROUNDUP(R265+(R265*Assumptions!R$5),-2)</f>
        <v>0</v>
      </c>
    </row>
    <row r="266" spans="1:21" s="34" customFormat="1" x14ac:dyDescent="0.2">
      <c r="A266" s="54"/>
      <c r="B266" s="9"/>
      <c r="C266" s="136"/>
      <c r="D266" s="134"/>
      <c r="E266" s="136"/>
      <c r="F266" s="1378"/>
      <c r="G266" s="912" t="s">
        <v>4888</v>
      </c>
      <c r="H266" s="9"/>
      <c r="I266" s="584"/>
      <c r="J266" s="9"/>
      <c r="K266" s="9"/>
      <c r="L266" s="9"/>
      <c r="M266" s="9"/>
      <c r="N266" s="9"/>
      <c r="O266" s="9"/>
      <c r="P266" s="89"/>
      <c r="Q266" s="9"/>
      <c r="R266" s="9">
        <f>ROUNDUP(Q266+(Q266*Assumptions!Q$5),-2)</f>
        <v>0</v>
      </c>
      <c r="S266" s="47">
        <f>ROUNDUP(R266+(R266*Assumptions!R$5),-2)</f>
        <v>0</v>
      </c>
    </row>
    <row r="267" spans="1:21" s="34" customFormat="1" x14ac:dyDescent="0.2">
      <c r="A267" s="54">
        <v>0</v>
      </c>
      <c r="B267" s="9">
        <v>100</v>
      </c>
      <c r="C267" s="136">
        <v>200</v>
      </c>
      <c r="D267" s="134">
        <v>0</v>
      </c>
      <c r="E267" s="136">
        <v>0</v>
      </c>
      <c r="F267" s="239" t="s">
        <v>2077</v>
      </c>
      <c r="G267" s="662" t="s">
        <v>6032</v>
      </c>
      <c r="H267" s="9">
        <v>500</v>
      </c>
      <c r="I267" s="584">
        <f t="shared" ref="I267:I274" si="414">IF(E267=H267,0,IF(E267=0,100,(H267-E267)/E267*100))</f>
        <v>100</v>
      </c>
      <c r="J267" s="9">
        <f>ROUNDUP(H267+(H267*Assumptions!I$5),-2)</f>
        <v>600</v>
      </c>
      <c r="K267" s="9">
        <f>ROUNDUP(J267+(J267*Assumptions!J$5),-2)</f>
        <v>700</v>
      </c>
      <c r="L267" s="9">
        <f>ROUNDUP(K267+(K267*Assumptions!K$5),-2)</f>
        <v>800</v>
      </c>
      <c r="M267" s="9">
        <f>ROUNDUP(L267+(L267*Assumptions!L$5),-2)</f>
        <v>900</v>
      </c>
      <c r="N267" s="9">
        <f>ROUNDUP(M267+(M267*Assumptions!M$5),-2)</f>
        <v>1000</v>
      </c>
      <c r="O267" s="9">
        <f>ROUNDUP(N267+(N267*Assumptions!N$5),-2)</f>
        <v>1100</v>
      </c>
      <c r="P267" s="89">
        <f>ROUNDUP(O267+(O267*Assumptions!O$5),-2)</f>
        <v>1200</v>
      </c>
      <c r="Q267" s="9">
        <f>ROUNDUP(P267+(P267*Assumptions!P$5),-2)</f>
        <v>1300</v>
      </c>
      <c r="R267" s="9">
        <f>ROUNDUP(Q267+(Q267*Assumptions!Q$5),-2)</f>
        <v>1400</v>
      </c>
      <c r="S267" s="47">
        <f>ROUNDUP(R267+(R267*Assumptions!R$5),-2)</f>
        <v>1500</v>
      </c>
    </row>
    <row r="268" spans="1:21" s="34" customFormat="1" x14ac:dyDescent="0.2">
      <c r="A268" s="54">
        <v>200</v>
      </c>
      <c r="B268" s="9">
        <v>500</v>
      </c>
      <c r="C268" s="136">
        <v>300</v>
      </c>
      <c r="D268" s="134">
        <v>200</v>
      </c>
      <c r="E268" s="136">
        <v>0</v>
      </c>
      <c r="F268" s="239" t="s">
        <v>2078</v>
      </c>
      <c r="G268" s="662" t="s">
        <v>4893</v>
      </c>
      <c r="H268" s="9">
        <v>500</v>
      </c>
      <c r="I268" s="584">
        <f t="shared" si="414"/>
        <v>100</v>
      </c>
      <c r="J268" s="9">
        <f>ROUNDUP(H268+(H268*Assumptions!I$5),-2)</f>
        <v>600</v>
      </c>
      <c r="K268" s="9">
        <f>ROUNDUP(J268+(J268*Assumptions!J$5),-2)</f>
        <v>700</v>
      </c>
      <c r="L268" s="9">
        <f>ROUNDUP(K268+(K268*Assumptions!K$5),-2)</f>
        <v>800</v>
      </c>
      <c r="M268" s="9">
        <f>ROUNDUP(L268+(L268*Assumptions!L$5),-2)</f>
        <v>900</v>
      </c>
      <c r="N268" s="9">
        <f>ROUNDUP(M268+(M268*Assumptions!M$5),-2)</f>
        <v>1000</v>
      </c>
      <c r="O268" s="9">
        <f>ROUNDUP(N268+(N268*Assumptions!N$5),-2)</f>
        <v>1100</v>
      </c>
      <c r="P268" s="89">
        <f>ROUNDUP(O268+(O268*Assumptions!O$5),-2)</f>
        <v>1200</v>
      </c>
      <c r="Q268" s="9">
        <f>ROUNDUP(P268+(P268*Assumptions!P$5),-2)</f>
        <v>1300</v>
      </c>
      <c r="R268" s="9">
        <f>ROUNDUP(Q268+(Q268*Assumptions!Q$5),-2)</f>
        <v>1400</v>
      </c>
      <c r="S268" s="47">
        <f>ROUNDUP(R268+(R268*Assumptions!R$5),-2)</f>
        <v>1500</v>
      </c>
    </row>
    <row r="269" spans="1:21" s="34" customFormat="1" x14ac:dyDescent="0.2">
      <c r="A269" s="54">
        <v>600</v>
      </c>
      <c r="B269" s="9">
        <v>700</v>
      </c>
      <c r="C269" s="136">
        <v>800</v>
      </c>
      <c r="D269" s="134">
        <v>700</v>
      </c>
      <c r="E269" s="136">
        <v>500</v>
      </c>
      <c r="F269" s="239" t="s">
        <v>2079</v>
      </c>
      <c r="G269" s="662" t="s">
        <v>4894</v>
      </c>
      <c r="H269" s="9">
        <v>500</v>
      </c>
      <c r="I269" s="584">
        <f t="shared" si="414"/>
        <v>0</v>
      </c>
      <c r="J269" s="9">
        <f>ROUNDUP(H269+(H269*Assumptions!I$5),-2)</f>
        <v>600</v>
      </c>
      <c r="K269" s="9">
        <f>ROUNDUP(J269+(J269*Assumptions!J$5),-2)</f>
        <v>700</v>
      </c>
      <c r="L269" s="9">
        <f>ROUNDUP(K269+(K269*Assumptions!K$5),-2)</f>
        <v>800</v>
      </c>
      <c r="M269" s="9">
        <f>ROUNDUP(L269+(L269*Assumptions!L$5),-2)</f>
        <v>900</v>
      </c>
      <c r="N269" s="9">
        <f>ROUNDUP(M269+(M269*Assumptions!M$5),-2)</f>
        <v>1000</v>
      </c>
      <c r="O269" s="9">
        <f>ROUNDUP(N269+(N269*Assumptions!N$5),-2)</f>
        <v>1100</v>
      </c>
      <c r="P269" s="89">
        <f>ROUNDUP(O269+(O269*Assumptions!O$5),-2)</f>
        <v>1200</v>
      </c>
      <c r="Q269" s="9">
        <f>ROUNDUP(P269+(P269*Assumptions!P$5),-2)</f>
        <v>1300</v>
      </c>
      <c r="R269" s="9">
        <f>ROUNDUP(Q269+(Q269*Assumptions!Q$5),-2)</f>
        <v>1400</v>
      </c>
      <c r="S269" s="47">
        <f>ROUNDUP(R269+(R269*Assumptions!R$5),-2)</f>
        <v>1500</v>
      </c>
    </row>
    <row r="270" spans="1:21" s="34" customFormat="1" x14ac:dyDescent="0.2">
      <c r="A270" s="54">
        <v>0</v>
      </c>
      <c r="B270" s="9">
        <v>11400</v>
      </c>
      <c r="C270" s="136">
        <v>9300</v>
      </c>
      <c r="D270" s="134">
        <v>9800</v>
      </c>
      <c r="E270" s="136">
        <v>11100</v>
      </c>
      <c r="F270" s="577" t="s">
        <v>3282</v>
      </c>
      <c r="G270" s="662" t="s">
        <v>3283</v>
      </c>
      <c r="H270" s="9">
        <v>11500</v>
      </c>
      <c r="I270" s="584">
        <f t="shared" si="414"/>
        <v>3.6036036036036037</v>
      </c>
      <c r="J270" s="9">
        <f>ROUNDUP(H270+(H270*Assumptions!I$5),-2)</f>
        <v>11800</v>
      </c>
      <c r="K270" s="9">
        <f>ROUNDUP(J270+(J270*Assumptions!J$5),-2)</f>
        <v>12100</v>
      </c>
      <c r="L270" s="9">
        <f>ROUNDUP(K270+(K270*Assumptions!K$5),-2)</f>
        <v>12500</v>
      </c>
      <c r="M270" s="9">
        <f>ROUNDUP(L270+(L270*Assumptions!L$5),-2)</f>
        <v>12900</v>
      </c>
      <c r="N270" s="9">
        <f>ROUNDUP(M270+(M270*Assumptions!M$5),-2)</f>
        <v>13300</v>
      </c>
      <c r="O270" s="9">
        <f>ROUNDUP(N270+(N270*Assumptions!N$5),-2)</f>
        <v>13700</v>
      </c>
      <c r="P270" s="89">
        <f>ROUNDUP(O270+(O270*Assumptions!O$5),-2)</f>
        <v>14100</v>
      </c>
      <c r="Q270" s="9">
        <f>ROUNDUP(P270+(P270*Assumptions!P$5),-2)</f>
        <v>14500</v>
      </c>
      <c r="R270" s="9">
        <f>ROUNDUP(Q270+(Q270*Assumptions!Q$5),-2)</f>
        <v>14900</v>
      </c>
      <c r="S270" s="47">
        <f>ROUNDUP(R270+(R270*Assumptions!R$5),-2)</f>
        <v>15300</v>
      </c>
    </row>
    <row r="271" spans="1:21" s="34" customFormat="1" x14ac:dyDescent="0.2">
      <c r="A271" s="54">
        <v>0</v>
      </c>
      <c r="B271" s="9">
        <v>0</v>
      </c>
      <c r="C271" s="136">
        <v>0</v>
      </c>
      <c r="D271" s="134">
        <v>0</v>
      </c>
      <c r="E271" s="136">
        <v>0</v>
      </c>
      <c r="F271" s="577" t="s">
        <v>6268</v>
      </c>
      <c r="G271" s="662" t="s">
        <v>6019</v>
      </c>
      <c r="H271" s="9">
        <v>500</v>
      </c>
      <c r="I271" s="584">
        <f t="shared" si="414"/>
        <v>100</v>
      </c>
      <c r="J271" s="9">
        <f>ROUNDUP(H271+(H271*Assumptions!I$5),-2)</f>
        <v>600</v>
      </c>
      <c r="K271" s="9">
        <f>ROUNDUP(J271+(J271*Assumptions!J$5),-2)</f>
        <v>700</v>
      </c>
      <c r="L271" s="9">
        <f>ROUNDUP(K271+(K271*Assumptions!K$5),-2)</f>
        <v>800</v>
      </c>
      <c r="M271" s="9">
        <f>ROUNDUP(L271+(L271*Assumptions!L$5),-2)</f>
        <v>900</v>
      </c>
      <c r="N271" s="9">
        <f>ROUNDUP(M271+(M271*Assumptions!M$5),-2)</f>
        <v>1000</v>
      </c>
      <c r="O271" s="9">
        <f>ROUNDUP(N271+(N271*Assumptions!N$5),-2)</f>
        <v>1100</v>
      </c>
      <c r="P271" s="89">
        <f>ROUNDUP(O271+(O271*Assumptions!O$5),-2)</f>
        <v>1200</v>
      </c>
      <c r="Q271" s="9">
        <f>ROUNDUP(P271+(P271*Assumptions!P$5),-2)</f>
        <v>1300</v>
      </c>
      <c r="R271" s="9">
        <f>ROUNDUP(Q271+(Q271*Assumptions!Q$5),-2)</f>
        <v>1400</v>
      </c>
      <c r="S271" s="47">
        <f>ROUNDUP(R271+(R271*Assumptions!R$5),-2)</f>
        <v>1500</v>
      </c>
    </row>
    <row r="272" spans="1:21" s="34" customFormat="1" x14ac:dyDescent="0.2">
      <c r="A272" s="54">
        <v>0</v>
      </c>
      <c r="B272" s="9">
        <v>0</v>
      </c>
      <c r="C272" s="136">
        <v>0</v>
      </c>
      <c r="D272" s="134">
        <v>0</v>
      </c>
      <c r="E272" s="136">
        <v>0</v>
      </c>
      <c r="F272" s="577" t="s">
        <v>6269</v>
      </c>
      <c r="G272" s="662" t="s">
        <v>6020</v>
      </c>
      <c r="H272" s="9">
        <v>500</v>
      </c>
      <c r="I272" s="584">
        <f t="shared" si="414"/>
        <v>100</v>
      </c>
      <c r="J272" s="9">
        <f>ROUNDUP(H272+(H272*Assumptions!I$5),-2)</f>
        <v>600</v>
      </c>
      <c r="K272" s="9">
        <f>ROUNDUP(J272+(J272*Assumptions!J$5),-2)</f>
        <v>700</v>
      </c>
      <c r="L272" s="9">
        <f>ROUNDUP(K272+(K272*Assumptions!K$5),-2)</f>
        <v>800</v>
      </c>
      <c r="M272" s="9">
        <f>ROUNDUP(L272+(L272*Assumptions!L$5),-2)</f>
        <v>900</v>
      </c>
      <c r="N272" s="9">
        <f>ROUNDUP(M272+(M272*Assumptions!M$5),-2)</f>
        <v>1000</v>
      </c>
      <c r="O272" s="9">
        <f>ROUNDUP(N272+(N272*Assumptions!N$5),-2)</f>
        <v>1100</v>
      </c>
      <c r="P272" s="89">
        <f>ROUNDUP(O272+(O272*Assumptions!O$5),-2)</f>
        <v>1200</v>
      </c>
      <c r="Q272" s="9">
        <f>ROUNDUP(P272+(P272*Assumptions!P$5),-2)</f>
        <v>1300</v>
      </c>
      <c r="R272" s="9">
        <f>ROUNDUP(Q272+(Q272*Assumptions!Q$5),-2)</f>
        <v>1400</v>
      </c>
      <c r="S272" s="47">
        <f>ROUNDUP(R272+(R272*Assumptions!R$5),-2)</f>
        <v>1500</v>
      </c>
    </row>
    <row r="273" spans="1:21" s="34" customFormat="1" x14ac:dyDescent="0.2">
      <c r="A273" s="54">
        <v>0</v>
      </c>
      <c r="B273" s="9">
        <v>0</v>
      </c>
      <c r="C273" s="136">
        <v>0</v>
      </c>
      <c r="D273" s="134">
        <v>0</v>
      </c>
      <c r="E273" s="136">
        <v>0</v>
      </c>
      <c r="F273" s="577" t="s">
        <v>6270</v>
      </c>
      <c r="G273" s="662" t="s">
        <v>6021</v>
      </c>
      <c r="H273" s="9">
        <v>500</v>
      </c>
      <c r="I273" s="584">
        <f t="shared" si="414"/>
        <v>100</v>
      </c>
      <c r="J273" s="9">
        <f>ROUNDUP(H273+(H273*Assumptions!I$5),-2)</f>
        <v>600</v>
      </c>
      <c r="K273" s="9">
        <f>ROUNDUP(J273+(J273*Assumptions!J$5),-2)</f>
        <v>700</v>
      </c>
      <c r="L273" s="9">
        <f>ROUNDUP(K273+(K273*Assumptions!K$5),-2)</f>
        <v>800</v>
      </c>
      <c r="M273" s="9">
        <f>ROUNDUP(L273+(L273*Assumptions!L$5),-2)</f>
        <v>900</v>
      </c>
      <c r="N273" s="9">
        <f>ROUNDUP(M273+(M273*Assumptions!M$5),-2)</f>
        <v>1000</v>
      </c>
      <c r="O273" s="9">
        <f>ROUNDUP(N273+(N273*Assumptions!N$5),-2)</f>
        <v>1100</v>
      </c>
      <c r="P273" s="89">
        <f>ROUNDUP(O273+(O273*Assumptions!O$5),-2)</f>
        <v>1200</v>
      </c>
      <c r="Q273" s="9">
        <f>ROUNDUP(P273+(P273*Assumptions!P$5),-2)</f>
        <v>1300</v>
      </c>
      <c r="R273" s="9">
        <f>ROUNDUP(Q273+(Q273*Assumptions!Q$5),-2)</f>
        <v>1400</v>
      </c>
      <c r="S273" s="47">
        <f>ROUNDUP(R273+(R273*Assumptions!R$5),-2)</f>
        <v>1500</v>
      </c>
    </row>
    <row r="274" spans="1:21" s="34" customFormat="1" x14ac:dyDescent="0.2">
      <c r="A274" s="54">
        <v>0</v>
      </c>
      <c r="B274" s="9">
        <v>0</v>
      </c>
      <c r="C274" s="136">
        <v>0</v>
      </c>
      <c r="D274" s="134">
        <v>0</v>
      </c>
      <c r="E274" s="136">
        <v>0</v>
      </c>
      <c r="F274" s="577" t="s">
        <v>6271</v>
      </c>
      <c r="G274" s="662" t="s">
        <v>6022</v>
      </c>
      <c r="H274" s="9">
        <v>500</v>
      </c>
      <c r="I274" s="584">
        <f t="shared" si="414"/>
        <v>100</v>
      </c>
      <c r="J274" s="9">
        <f>ROUNDUP(H274+(H274*Assumptions!I$5),-2)</f>
        <v>600</v>
      </c>
      <c r="K274" s="9">
        <f>ROUNDUP(J274+(J274*Assumptions!J$5),-2)</f>
        <v>700</v>
      </c>
      <c r="L274" s="9">
        <f>ROUNDUP(K274+(K274*Assumptions!K$5),-2)</f>
        <v>800</v>
      </c>
      <c r="M274" s="9">
        <f>ROUNDUP(L274+(L274*Assumptions!L$5),-2)</f>
        <v>900</v>
      </c>
      <c r="N274" s="9">
        <f>ROUNDUP(M274+(M274*Assumptions!M$5),-2)</f>
        <v>1000</v>
      </c>
      <c r="O274" s="9">
        <f>ROUNDUP(N274+(N274*Assumptions!N$5),-2)</f>
        <v>1100</v>
      </c>
      <c r="P274" s="89">
        <f>ROUNDUP(O274+(O274*Assumptions!O$5),-2)</f>
        <v>1200</v>
      </c>
      <c r="Q274" s="9">
        <f>ROUNDUP(P274+(P274*Assumptions!P$5),-2)</f>
        <v>1300</v>
      </c>
      <c r="R274" s="9">
        <f>ROUNDUP(Q274+(Q274*Assumptions!Q$5),-2)</f>
        <v>1400</v>
      </c>
      <c r="S274" s="47">
        <f>ROUNDUP(R274+(R274*Assumptions!R$5),-2)</f>
        <v>1500</v>
      </c>
    </row>
    <row r="275" spans="1:21" s="34" customFormat="1" x14ac:dyDescent="0.2">
      <c r="A275" s="54"/>
      <c r="B275" s="9"/>
      <c r="C275" s="461"/>
      <c r="D275" s="134"/>
      <c r="E275" s="136"/>
      <c r="F275" s="730"/>
      <c r="G275" s="371"/>
      <c r="H275" s="9"/>
      <c r="I275" s="2220"/>
      <c r="J275" s="9"/>
      <c r="K275" s="9"/>
      <c r="L275" s="9"/>
      <c r="M275" s="9"/>
      <c r="N275" s="9"/>
      <c r="O275" s="9"/>
      <c r="P275" s="89"/>
      <c r="Q275" s="9"/>
      <c r="R275" s="9"/>
      <c r="S275" s="47"/>
    </row>
    <row r="276" spans="1:21" s="34" customFormat="1" x14ac:dyDescent="0.2">
      <c r="A276" s="518"/>
      <c r="B276" s="433"/>
      <c r="C276" s="136"/>
      <c r="D276" s="134"/>
      <c r="E276" s="136"/>
      <c r="F276" s="1378"/>
      <c r="G276" s="912" t="s">
        <v>4887</v>
      </c>
      <c r="H276" s="9"/>
      <c r="I276" s="584"/>
      <c r="J276" s="9"/>
      <c r="K276" s="9"/>
      <c r="L276" s="9"/>
      <c r="M276" s="9"/>
      <c r="N276" s="9"/>
      <c r="O276" s="9"/>
      <c r="P276" s="89"/>
      <c r="Q276" s="9"/>
      <c r="R276" s="9"/>
      <c r="S276" s="47"/>
    </row>
    <row r="277" spans="1:21" s="34" customFormat="1" x14ac:dyDescent="0.2">
      <c r="A277" s="54">
        <v>2300</v>
      </c>
      <c r="B277" s="9">
        <v>2100</v>
      </c>
      <c r="C277" s="136">
        <v>1700</v>
      </c>
      <c r="D277" s="706">
        <v>1600</v>
      </c>
      <c r="E277" s="136">
        <v>1500</v>
      </c>
      <c r="F277" s="239" t="s">
        <v>2712</v>
      </c>
      <c r="G277" s="371" t="s">
        <v>779</v>
      </c>
      <c r="H277" s="9">
        <v>1500</v>
      </c>
      <c r="I277" s="584">
        <f t="shared" ref="I277:I284" si="415">IF(E277=H277,0,IF(E277=0,100,(H277-E277)/E277*100))</f>
        <v>0</v>
      </c>
      <c r="J277" s="9">
        <f>ROUNDUP(H277+(H277*Assumptions!I$5),-2)</f>
        <v>1600</v>
      </c>
      <c r="K277" s="9">
        <f>ROUNDUP(J277+(J277*Assumptions!J$5),-2)</f>
        <v>1700</v>
      </c>
      <c r="L277" s="9">
        <f>ROUNDUP(K277+(K277*Assumptions!K$5),-2)</f>
        <v>1800</v>
      </c>
      <c r="M277" s="9">
        <f>ROUNDUP(L277+(L277*Assumptions!L$5),-2)</f>
        <v>1900</v>
      </c>
      <c r="N277" s="9">
        <f>ROUNDUP(M277+(M277*Assumptions!M$5),-2)</f>
        <v>2000</v>
      </c>
      <c r="O277" s="9">
        <f>ROUNDUP(N277+(N277*Assumptions!N$5),-2)</f>
        <v>2100</v>
      </c>
      <c r="P277" s="89">
        <f>ROUNDUP(O277+(O277*Assumptions!O$5),-2)</f>
        <v>2200</v>
      </c>
      <c r="Q277" s="9">
        <f>ROUNDUP(P277+(P277*Assumptions!P$5),-2)</f>
        <v>2300</v>
      </c>
      <c r="R277" s="9">
        <f>ROUNDUP(Q277+(Q277*Assumptions!Q$5),-2)</f>
        <v>2400</v>
      </c>
      <c r="S277" s="47">
        <f>ROUNDUP(R277+(R277*Assumptions!R$5),-2)</f>
        <v>2500</v>
      </c>
    </row>
    <row r="278" spans="1:21" s="34" customFormat="1" x14ac:dyDescent="0.2">
      <c r="A278" s="54">
        <v>33600</v>
      </c>
      <c r="B278" s="9">
        <v>32100</v>
      </c>
      <c r="C278" s="136">
        <v>30100</v>
      </c>
      <c r="D278" s="706">
        <v>23200</v>
      </c>
      <c r="E278" s="136">
        <v>23300</v>
      </c>
      <c r="F278" s="239" t="s">
        <v>2713</v>
      </c>
      <c r="G278" s="371" t="s">
        <v>865</v>
      </c>
      <c r="H278" s="9">
        <v>28000</v>
      </c>
      <c r="I278" s="584">
        <f t="shared" si="415"/>
        <v>20.171673819742487</v>
      </c>
      <c r="J278" s="9">
        <f>ROUNDUP(H278+(H278*Assumptions!I$5),-2)</f>
        <v>28700</v>
      </c>
      <c r="K278" s="9">
        <f>ROUNDUP(J278+(J278*Assumptions!J$5),-2)</f>
        <v>29500</v>
      </c>
      <c r="L278" s="9">
        <f>ROUNDUP(K278+(K278*Assumptions!K$5),-2)</f>
        <v>30300</v>
      </c>
      <c r="M278" s="9">
        <f>ROUNDUP(L278+(L278*Assumptions!L$5),-2)</f>
        <v>31100</v>
      </c>
      <c r="N278" s="9">
        <f>ROUNDUP(M278+(M278*Assumptions!M$5),-2)</f>
        <v>31900</v>
      </c>
      <c r="O278" s="9">
        <f>ROUNDUP(N278+(N278*Assumptions!N$5),-2)</f>
        <v>32700</v>
      </c>
      <c r="P278" s="89">
        <f>ROUNDUP(O278+(O278*Assumptions!O$5),-2)</f>
        <v>33600</v>
      </c>
      <c r="Q278" s="9">
        <f>ROUNDUP(P278+(P278*Assumptions!P$5),-2)</f>
        <v>34500</v>
      </c>
      <c r="R278" s="9">
        <f>ROUNDUP(Q278+(Q278*Assumptions!Q$5),-2)</f>
        <v>35400</v>
      </c>
      <c r="S278" s="47">
        <f>ROUNDUP(R278+(R278*Assumptions!R$5),-2)</f>
        <v>36300</v>
      </c>
    </row>
    <row r="279" spans="1:21" s="34" customFormat="1" x14ac:dyDescent="0.2">
      <c r="A279" s="54">
        <v>900</v>
      </c>
      <c r="B279" s="9">
        <v>900</v>
      </c>
      <c r="C279" s="136">
        <v>1000</v>
      </c>
      <c r="D279" s="706">
        <v>1700</v>
      </c>
      <c r="E279" s="136">
        <v>1000</v>
      </c>
      <c r="F279" s="239" t="s">
        <v>2072</v>
      </c>
      <c r="G279" s="371" t="s">
        <v>2670</v>
      </c>
      <c r="H279" s="9">
        <v>1000</v>
      </c>
      <c r="I279" s="584">
        <f t="shared" si="415"/>
        <v>0</v>
      </c>
      <c r="J279" s="9">
        <f>ROUNDUP(H279+(H279*Assumptions!I$5),-2)</f>
        <v>1100</v>
      </c>
      <c r="K279" s="9">
        <f>ROUNDUP(J279+(J279*Assumptions!J$5),-2)</f>
        <v>1200</v>
      </c>
      <c r="L279" s="9">
        <f>ROUNDUP(K279+(K279*Assumptions!K$5),-2)</f>
        <v>1300</v>
      </c>
      <c r="M279" s="9">
        <f>ROUNDUP(L279+(L279*Assumptions!L$5),-2)</f>
        <v>1400</v>
      </c>
      <c r="N279" s="9">
        <f>ROUNDUP(M279+(M279*Assumptions!M$5),-2)</f>
        <v>1500</v>
      </c>
      <c r="O279" s="9">
        <f>ROUNDUP(N279+(N279*Assumptions!N$5),-2)</f>
        <v>1600</v>
      </c>
      <c r="P279" s="89">
        <f>ROUNDUP(O279+(O279*Assumptions!O$5),-2)</f>
        <v>1700</v>
      </c>
      <c r="Q279" s="9">
        <f>ROUNDUP(P279+(P279*Assumptions!P$5),-2)</f>
        <v>1800</v>
      </c>
      <c r="R279" s="9">
        <f>ROUNDUP(Q279+(Q279*Assumptions!Q$5),-2)</f>
        <v>1900</v>
      </c>
      <c r="S279" s="47">
        <f>ROUNDUP(R279+(R279*Assumptions!R$5),-2)</f>
        <v>2000</v>
      </c>
    </row>
    <row r="280" spans="1:21" s="34" customFormat="1" x14ac:dyDescent="0.2">
      <c r="A280" s="54">
        <v>100</v>
      </c>
      <c r="B280" s="9">
        <v>100</v>
      </c>
      <c r="C280" s="136">
        <v>0</v>
      </c>
      <c r="D280" s="706">
        <v>100</v>
      </c>
      <c r="E280" s="136">
        <v>0</v>
      </c>
      <c r="F280" s="239" t="s">
        <v>2073</v>
      </c>
      <c r="G280" s="371" t="s">
        <v>900</v>
      </c>
      <c r="H280" s="9">
        <v>500</v>
      </c>
      <c r="I280" s="584">
        <f t="shared" si="415"/>
        <v>100</v>
      </c>
      <c r="J280" s="9">
        <f>ROUNDUP(H280+(H280*Assumptions!I$5),-2)</f>
        <v>600</v>
      </c>
      <c r="K280" s="9">
        <f>ROUNDUP(J280+(J280*Assumptions!J$5),-2)</f>
        <v>700</v>
      </c>
      <c r="L280" s="9">
        <f>ROUNDUP(K280+(K280*Assumptions!K$5),-2)</f>
        <v>800</v>
      </c>
      <c r="M280" s="9">
        <f>ROUNDUP(L280+(L280*Assumptions!L$5),-2)</f>
        <v>900</v>
      </c>
      <c r="N280" s="9">
        <f>ROUNDUP(M280+(M280*Assumptions!M$5),-2)</f>
        <v>1000</v>
      </c>
      <c r="O280" s="9">
        <f>ROUNDUP(N280+(N280*Assumptions!N$5),-2)</f>
        <v>1100</v>
      </c>
      <c r="P280" s="89">
        <f>ROUNDUP(O280+(O280*Assumptions!O$5),-2)</f>
        <v>1200</v>
      </c>
      <c r="Q280" s="9">
        <f>ROUNDUP(P280+(P280*Assumptions!P$5),-2)</f>
        <v>1300</v>
      </c>
      <c r="R280" s="9">
        <f>ROUNDUP(Q280+(Q280*Assumptions!Q$5),-2)</f>
        <v>1400</v>
      </c>
      <c r="S280" s="47">
        <f>ROUNDUP(R280+(R280*Assumptions!R$5),-2)</f>
        <v>1500</v>
      </c>
    </row>
    <row r="281" spans="1:21" s="34" customFormat="1" x14ac:dyDescent="0.2">
      <c r="A281" s="54">
        <v>100</v>
      </c>
      <c r="B281" s="9">
        <v>100</v>
      </c>
      <c r="C281" s="136">
        <v>0</v>
      </c>
      <c r="D281" s="706">
        <v>100</v>
      </c>
      <c r="E281" s="136">
        <v>100</v>
      </c>
      <c r="F281" s="239" t="s">
        <v>2074</v>
      </c>
      <c r="G281" s="662" t="s">
        <v>4845</v>
      </c>
      <c r="H281" s="9">
        <v>500</v>
      </c>
      <c r="I281" s="584">
        <f t="shared" si="415"/>
        <v>400</v>
      </c>
      <c r="J281" s="9">
        <f>ROUNDUP(H281+(H281*Assumptions!I$5),-2)</f>
        <v>600</v>
      </c>
      <c r="K281" s="9">
        <f>ROUNDUP(J281+(J281*Assumptions!J$5),-2)</f>
        <v>700</v>
      </c>
      <c r="L281" s="9">
        <f>ROUNDUP(K281+(K281*Assumptions!K$5),-2)</f>
        <v>800</v>
      </c>
      <c r="M281" s="9">
        <f>ROUNDUP(L281+(L281*Assumptions!L$5),-2)</f>
        <v>900</v>
      </c>
      <c r="N281" s="9">
        <f>ROUNDUP(M281+(M281*Assumptions!M$5),-2)</f>
        <v>1000</v>
      </c>
      <c r="O281" s="9">
        <f>ROUNDUP(N281+(N281*Assumptions!N$5),-2)</f>
        <v>1100</v>
      </c>
      <c r="P281" s="89">
        <f>ROUNDUP(O281+(O281*Assumptions!O$5),-2)</f>
        <v>1200</v>
      </c>
      <c r="Q281" s="9">
        <f>ROUNDUP(P281+(P281*Assumptions!P$5),-2)</f>
        <v>1300</v>
      </c>
      <c r="R281" s="9">
        <f>ROUNDUP(Q281+(Q281*Assumptions!Q$5),-2)</f>
        <v>1400</v>
      </c>
      <c r="S281" s="47">
        <f>ROUNDUP(R281+(R281*Assumptions!R$5),-2)</f>
        <v>1500</v>
      </c>
    </row>
    <row r="282" spans="1:21" s="34" customFormat="1" x14ac:dyDescent="0.2">
      <c r="A282" s="54">
        <v>10100</v>
      </c>
      <c r="B282" s="9">
        <v>14500</v>
      </c>
      <c r="C282" s="136">
        <v>11900</v>
      </c>
      <c r="D282" s="706">
        <v>7200</v>
      </c>
      <c r="E282" s="136">
        <v>11500</v>
      </c>
      <c r="F282" s="239" t="s">
        <v>2075</v>
      </c>
      <c r="G282" s="662" t="s">
        <v>6927</v>
      </c>
      <c r="H282" s="9">
        <v>10000</v>
      </c>
      <c r="I282" s="584">
        <f t="shared" si="415"/>
        <v>-13.043478260869565</v>
      </c>
      <c r="J282" s="9">
        <f>ROUNDUP(H282+(H282*Assumptions!I$5),-2)</f>
        <v>10300</v>
      </c>
      <c r="K282" s="9">
        <f>ROUNDUP(J282+(J282*Assumptions!J$5),-2)</f>
        <v>10600</v>
      </c>
      <c r="L282" s="9">
        <f>ROUNDUP(K282+(K282*Assumptions!K$5),-2)</f>
        <v>10900</v>
      </c>
      <c r="M282" s="9">
        <f>ROUNDUP(L282+(L282*Assumptions!L$5),-2)</f>
        <v>11200</v>
      </c>
      <c r="N282" s="9">
        <f>ROUNDUP(M282+(M282*Assumptions!M$5),-2)</f>
        <v>11500</v>
      </c>
      <c r="O282" s="9">
        <f>ROUNDUP(N282+(N282*Assumptions!N$5),-2)</f>
        <v>11800</v>
      </c>
      <c r="P282" s="89">
        <f>ROUNDUP(O282+(O282*Assumptions!O$5),-2)</f>
        <v>12100</v>
      </c>
      <c r="Q282" s="9">
        <f>ROUNDUP(P282+(P282*Assumptions!P$5),-2)</f>
        <v>12500</v>
      </c>
      <c r="R282" s="9">
        <f>ROUNDUP(Q282+(Q282*Assumptions!Q$5),-2)</f>
        <v>12900</v>
      </c>
      <c r="S282" s="47">
        <f>ROUNDUP(R282+(R282*Assumptions!R$5),-2)</f>
        <v>13300</v>
      </c>
    </row>
    <row r="283" spans="1:21" s="34" customFormat="1" x14ac:dyDescent="0.2">
      <c r="A283" s="54">
        <v>400</v>
      </c>
      <c r="B283" s="9">
        <v>600</v>
      </c>
      <c r="C283" s="136">
        <v>500</v>
      </c>
      <c r="D283" s="706">
        <v>500</v>
      </c>
      <c r="E283" s="136">
        <v>200</v>
      </c>
      <c r="F283" s="239" t="s">
        <v>2076</v>
      </c>
      <c r="G283" s="371" t="s">
        <v>1868</v>
      </c>
      <c r="H283" s="9">
        <v>500</v>
      </c>
      <c r="I283" s="584">
        <f t="shared" si="415"/>
        <v>150</v>
      </c>
      <c r="J283" s="9">
        <f>ROUNDUP(H283+(H283*Assumptions!I$5),-2)</f>
        <v>600</v>
      </c>
      <c r="K283" s="9">
        <f>ROUNDUP(J283+(J283*Assumptions!J$5),-2)</f>
        <v>700</v>
      </c>
      <c r="L283" s="9">
        <f>ROUNDUP(K283+(K283*Assumptions!K$5),-2)</f>
        <v>800</v>
      </c>
      <c r="M283" s="9">
        <f>ROUNDUP(L283+(L283*Assumptions!L$5),-2)</f>
        <v>900</v>
      </c>
      <c r="N283" s="9">
        <f>ROUNDUP(M283+(M283*Assumptions!M$5),-2)</f>
        <v>1000</v>
      </c>
      <c r="O283" s="9">
        <f>ROUNDUP(N283+(N283*Assumptions!N$5),-2)</f>
        <v>1100</v>
      </c>
      <c r="P283" s="89">
        <f>ROUNDUP(O283+(O283*Assumptions!O$5),-2)</f>
        <v>1200</v>
      </c>
      <c r="Q283" s="9">
        <f>ROUNDUP(P283+(P283*Assumptions!P$5),-2)</f>
        <v>1300</v>
      </c>
      <c r="R283" s="9">
        <f>ROUNDUP(Q283+(Q283*Assumptions!Q$5),-2)</f>
        <v>1400</v>
      </c>
      <c r="S283" s="47">
        <f>ROUNDUP(R283+(R283*Assumptions!R$5),-2)</f>
        <v>1500</v>
      </c>
    </row>
    <row r="284" spans="1:21" s="34" customFormat="1" x14ac:dyDescent="0.2">
      <c r="A284" s="54">
        <v>2600</v>
      </c>
      <c r="B284" s="9">
        <v>4100</v>
      </c>
      <c r="C284" s="136">
        <v>2300</v>
      </c>
      <c r="D284" s="706">
        <v>0</v>
      </c>
      <c r="E284" s="136">
        <v>0</v>
      </c>
      <c r="F284" s="239" t="s">
        <v>564</v>
      </c>
      <c r="G284" s="662" t="s">
        <v>4892</v>
      </c>
      <c r="H284" s="9">
        <v>3500</v>
      </c>
      <c r="I284" s="584">
        <f t="shared" si="415"/>
        <v>100</v>
      </c>
      <c r="J284" s="9">
        <f>ROUNDUP(H284+(H284*Assumptions!I$5),-2)</f>
        <v>3600</v>
      </c>
      <c r="K284" s="9">
        <f>ROUNDUP(J284+(J284*Assumptions!J$5),-2)</f>
        <v>3700</v>
      </c>
      <c r="L284" s="9">
        <f>ROUNDUP(K284+(K284*Assumptions!K$5),-2)</f>
        <v>3800</v>
      </c>
      <c r="M284" s="9">
        <f>ROUNDUP(L284+(L284*Assumptions!L$5),-2)</f>
        <v>3900</v>
      </c>
      <c r="N284" s="9">
        <f>ROUNDUP(M284+(M284*Assumptions!M$5),-2)</f>
        <v>4000</v>
      </c>
      <c r="O284" s="9">
        <f>ROUNDUP(N284+(N284*Assumptions!N$5),-2)</f>
        <v>4100</v>
      </c>
      <c r="P284" s="89">
        <f>ROUNDUP(O284+(O284*Assumptions!O$5),-2)</f>
        <v>4300</v>
      </c>
      <c r="Q284" s="9">
        <f>ROUNDUP(P284+(P284*Assumptions!P$5),-2)</f>
        <v>4500</v>
      </c>
      <c r="R284" s="9">
        <f>ROUNDUP(Q284+(Q284*Assumptions!Q$5),-2)</f>
        <v>4700</v>
      </c>
      <c r="S284" s="47">
        <f>ROUNDUP(R284+(R284*Assumptions!R$5),-2)</f>
        <v>4900</v>
      </c>
    </row>
    <row r="285" spans="1:21" s="34" customFormat="1" x14ac:dyDescent="0.2">
      <c r="A285" s="54"/>
      <c r="B285" s="9"/>
      <c r="C285" s="9"/>
      <c r="D285" s="706"/>
      <c r="E285" s="136"/>
      <c r="F285" s="773"/>
      <c r="G285" s="662"/>
      <c r="H285" s="9"/>
      <c r="I285" s="584"/>
      <c r="J285" s="9"/>
      <c r="K285" s="9"/>
      <c r="L285" s="9"/>
      <c r="M285" s="9"/>
      <c r="N285" s="9"/>
      <c r="O285" s="9"/>
      <c r="P285" s="89"/>
      <c r="Q285" s="9"/>
      <c r="R285" s="9"/>
      <c r="S285" s="61"/>
    </row>
    <row r="286" spans="1:21" s="34" customFormat="1" x14ac:dyDescent="0.2">
      <c r="A286" s="54"/>
      <c r="B286" s="9"/>
      <c r="C286" s="9"/>
      <c r="D286" s="706"/>
      <c r="E286" s="9"/>
      <c r="F286" s="167"/>
      <c r="G286" s="521" t="s">
        <v>1014</v>
      </c>
      <c r="H286" s="9"/>
      <c r="I286" s="584"/>
      <c r="J286" s="9"/>
      <c r="K286" s="9"/>
      <c r="L286" s="9"/>
      <c r="M286" s="9"/>
      <c r="N286" s="9"/>
      <c r="O286" s="9"/>
      <c r="P286" s="89"/>
      <c r="Q286" s="9"/>
      <c r="R286" s="9"/>
      <c r="S286" s="61"/>
    </row>
    <row r="287" spans="1:21" s="34" customFormat="1" ht="13.5" thickBot="1" x14ac:dyDescent="0.25">
      <c r="A287" s="118"/>
      <c r="B287" s="23"/>
      <c r="C287" s="23"/>
      <c r="D287" s="227"/>
      <c r="E287" s="23"/>
      <c r="F287" s="168"/>
      <c r="G287" s="1619"/>
      <c r="H287" s="23"/>
      <c r="I287" s="751"/>
      <c r="J287" s="23"/>
      <c r="K287" s="23"/>
      <c r="L287" s="23"/>
      <c r="M287" s="23"/>
      <c r="N287" s="23"/>
      <c r="O287" s="23"/>
      <c r="P287" s="113"/>
      <c r="Q287" s="23"/>
      <c r="R287" s="23"/>
      <c r="S287" s="112"/>
    </row>
    <row r="288" spans="1:21" s="38" customFormat="1" ht="18.75" customHeight="1" thickTop="1" thickBot="1" x14ac:dyDescent="0.3">
      <c r="A288" s="2601" t="s">
        <v>4589</v>
      </c>
      <c r="B288" s="2602"/>
      <c r="C288" s="2602"/>
      <c r="D288" s="2602"/>
      <c r="E288" s="2602"/>
      <c r="F288" s="2602"/>
      <c r="G288" s="2602"/>
      <c r="H288" s="2602"/>
      <c r="I288" s="2602"/>
      <c r="J288" s="2602"/>
      <c r="K288" s="2602"/>
      <c r="L288" s="2602"/>
      <c r="M288" s="2602"/>
      <c r="N288" s="2602"/>
      <c r="O288" s="2602"/>
      <c r="P288" s="2602"/>
      <c r="Q288" s="2602"/>
      <c r="R288" s="2602"/>
      <c r="S288" s="2603"/>
      <c r="U288" s="34"/>
    </row>
    <row r="289" spans="1:21" s="39" customFormat="1" x14ac:dyDescent="0.2">
      <c r="A289" s="2598" t="s">
        <v>1824</v>
      </c>
      <c r="B289" s="2599"/>
      <c r="C289" s="2599"/>
      <c r="D289" s="2599"/>
      <c r="E289" s="2600"/>
      <c r="F289" s="2058" t="s">
        <v>2616</v>
      </c>
      <c r="G289" s="2231" t="s">
        <v>2213</v>
      </c>
      <c r="H289" s="2577" t="s">
        <v>2215</v>
      </c>
      <c r="I289" s="2577"/>
      <c r="J289" s="2577"/>
      <c r="K289" s="2577"/>
      <c r="L289" s="2577"/>
      <c r="M289" s="2577"/>
      <c r="N289" s="2577"/>
      <c r="O289" s="2577"/>
      <c r="P289" s="2577"/>
      <c r="Q289" s="2577"/>
      <c r="R289" s="2577"/>
      <c r="S289" s="2578"/>
      <c r="U289" s="34"/>
    </row>
    <row r="290" spans="1:21" s="34" customFormat="1" ht="13.5" customHeight="1" thickBot="1" x14ac:dyDescent="0.25">
      <c r="A290" s="541" t="str">
        <f>A3</f>
        <v>2012/13</v>
      </c>
      <c r="B290" s="28" t="str">
        <f>B3</f>
        <v>2013/14</v>
      </c>
      <c r="C290" s="40" t="str">
        <f>C3</f>
        <v>2014/15</v>
      </c>
      <c r="D290" s="40" t="str">
        <f>D3</f>
        <v>2015/16</v>
      </c>
      <c r="E290" s="40" t="str">
        <f t="shared" ref="E290" si="416">E3</f>
        <v>2016/17</v>
      </c>
      <c r="F290" s="40" t="s">
        <v>2617</v>
      </c>
      <c r="G290" s="41"/>
      <c r="H290" s="40" t="str">
        <f t="shared" ref="H290:R290" si="417">H3</f>
        <v>2017/18</v>
      </c>
      <c r="I290" s="1459" t="str">
        <f t="shared" si="417"/>
        <v>%</v>
      </c>
      <c r="J290" s="40" t="str">
        <f t="shared" si="417"/>
        <v>2018/19</v>
      </c>
      <c r="K290" s="40" t="str">
        <f t="shared" si="417"/>
        <v>2019/20</v>
      </c>
      <c r="L290" s="40" t="str">
        <f t="shared" si="417"/>
        <v>2020/21</v>
      </c>
      <c r="M290" s="40" t="str">
        <f t="shared" si="417"/>
        <v>2021/22</v>
      </c>
      <c r="N290" s="40" t="str">
        <f t="shared" si="417"/>
        <v>2022/23</v>
      </c>
      <c r="O290" s="40" t="str">
        <f t="shared" si="417"/>
        <v>2023/24</v>
      </c>
      <c r="P290" s="1257" t="str">
        <f t="shared" si="417"/>
        <v>2024/25</v>
      </c>
      <c r="Q290" s="28" t="str">
        <f t="shared" si="417"/>
        <v>2025/26</v>
      </c>
      <c r="R290" s="28" t="str">
        <f t="shared" si="417"/>
        <v>2026/27</v>
      </c>
      <c r="S290" s="1620" t="str">
        <f t="shared" ref="S290" si="418">S3</f>
        <v>2027/28</v>
      </c>
    </row>
    <row r="291" spans="1:21" s="34" customFormat="1" ht="13.5" customHeight="1" x14ac:dyDescent="0.2">
      <c r="A291" s="528"/>
      <c r="B291" s="150"/>
      <c r="C291" s="150"/>
      <c r="D291" s="150"/>
      <c r="E291" s="150"/>
      <c r="F291" s="152"/>
      <c r="G291" s="46"/>
      <c r="H291" s="150"/>
      <c r="I291" s="2219"/>
      <c r="J291" s="150"/>
      <c r="K291" s="150"/>
      <c r="L291" s="150"/>
      <c r="M291" s="150"/>
      <c r="N291" s="150"/>
      <c r="O291" s="150"/>
      <c r="P291" s="152"/>
      <c r="Q291" s="150"/>
      <c r="R291" s="150"/>
      <c r="S291" s="381"/>
    </row>
    <row r="292" spans="1:21" s="34" customFormat="1" x14ac:dyDescent="0.2">
      <c r="A292" s="54"/>
      <c r="B292" s="9"/>
      <c r="C292" s="9"/>
      <c r="D292" s="9"/>
      <c r="E292" s="9"/>
      <c r="F292" s="1153"/>
      <c r="G292" s="256" t="s">
        <v>1800</v>
      </c>
      <c r="H292" s="9"/>
      <c r="I292" s="584"/>
      <c r="J292" s="9"/>
      <c r="K292" s="9"/>
      <c r="L292" s="9"/>
      <c r="M292" s="9"/>
      <c r="N292" s="9"/>
      <c r="O292" s="9"/>
      <c r="P292" s="89"/>
      <c r="Q292" s="9"/>
      <c r="R292" s="9"/>
      <c r="S292" s="61"/>
    </row>
    <row r="293" spans="1:21" s="34" customFormat="1" x14ac:dyDescent="0.2">
      <c r="A293" s="54"/>
      <c r="B293" s="9"/>
      <c r="C293" s="136"/>
      <c r="D293" s="136"/>
      <c r="E293" s="136"/>
      <c r="F293" s="1378"/>
      <c r="G293" s="912" t="s">
        <v>4886</v>
      </c>
      <c r="H293" s="9"/>
      <c r="I293" s="584"/>
      <c r="J293" s="9"/>
      <c r="K293" s="9"/>
      <c r="L293" s="9"/>
      <c r="M293" s="9"/>
      <c r="N293" s="9"/>
      <c r="O293" s="9"/>
      <c r="P293" s="89"/>
      <c r="Q293" s="9"/>
      <c r="R293" s="9"/>
      <c r="S293" s="61"/>
    </row>
    <row r="294" spans="1:21" s="34" customFormat="1" x14ac:dyDescent="0.2">
      <c r="A294" s="54">
        <v>68500</v>
      </c>
      <c r="B294" s="9">
        <v>62800</v>
      </c>
      <c r="C294" s="136">
        <f>77800</f>
        <v>77800</v>
      </c>
      <c r="D294" s="136">
        <f>33900</f>
        <v>33900</v>
      </c>
      <c r="E294" s="136">
        <f>37500</f>
        <v>37500</v>
      </c>
      <c r="F294" s="578" t="s">
        <v>5402</v>
      </c>
      <c r="G294" s="662" t="s">
        <v>4846</v>
      </c>
      <c r="H294" s="9">
        <v>30000</v>
      </c>
      <c r="I294" s="584">
        <f>IF(E294=H294,0,IF(E294=0,100,(H294-E294)/E294*100))</f>
        <v>-20</v>
      </c>
      <c r="J294" s="9">
        <f>ROUNDUP(H294+(H294*Assumptions!I$5),-2)</f>
        <v>30700</v>
      </c>
      <c r="K294" s="9">
        <f>ROUNDUP(J294+(J294*Assumptions!J$5),-2)</f>
        <v>31500</v>
      </c>
      <c r="L294" s="9">
        <f>ROUNDUP(K294+(K294*Assumptions!K$5),-2)</f>
        <v>32300</v>
      </c>
      <c r="M294" s="9">
        <f>ROUNDUP(L294+(L294*Assumptions!L$5),-2)</f>
        <v>33200</v>
      </c>
      <c r="N294" s="9">
        <f>ROUNDUP(M294+(M294*Assumptions!M$5),-2)</f>
        <v>34100</v>
      </c>
      <c r="O294" s="9">
        <f>ROUNDUP(N294+(N294*Assumptions!N$5),-2)</f>
        <v>35000</v>
      </c>
      <c r="P294" s="89">
        <f>ROUNDUP(O294+(O294*Assumptions!O$5),-2)</f>
        <v>35900</v>
      </c>
      <c r="Q294" s="9">
        <f>ROUNDUP(P294+(P294*Assumptions!P$5),-2)</f>
        <v>36800</v>
      </c>
      <c r="R294" s="9">
        <f>ROUNDUP(Q294+(Q294*Assumptions!Q$5),-2)</f>
        <v>37800</v>
      </c>
      <c r="S294" s="47">
        <f>ROUNDUP(R294+(R294*Assumptions!R$5),-2)</f>
        <v>38800</v>
      </c>
    </row>
    <row r="295" spans="1:21" s="34" customFormat="1" x14ac:dyDescent="0.2">
      <c r="A295" s="54">
        <v>0</v>
      </c>
      <c r="B295" s="9">
        <v>0</v>
      </c>
      <c r="C295" s="136">
        <v>0</v>
      </c>
      <c r="D295" s="136">
        <v>21800</v>
      </c>
      <c r="E295" s="136">
        <v>29300</v>
      </c>
      <c r="F295" s="577" t="s">
        <v>5403</v>
      </c>
      <c r="G295" s="662" t="s">
        <v>5404</v>
      </c>
      <c r="H295" s="9">
        <v>30000</v>
      </c>
      <c r="I295" s="584">
        <f>IF(E295=H295,0,IF(E295=0,100,(H295-E295)/E295*100))</f>
        <v>2.3890784982935154</v>
      </c>
      <c r="J295" s="9">
        <f>ROUNDUP(H295+(H295*Assumptions!I$5),-2)</f>
        <v>30700</v>
      </c>
      <c r="K295" s="9">
        <f>ROUNDUP(J295+(J295*Assumptions!J$5),-2)</f>
        <v>31500</v>
      </c>
      <c r="L295" s="9">
        <f>ROUNDUP(K295+(K295*Assumptions!K$5),-2)</f>
        <v>32300</v>
      </c>
      <c r="M295" s="9">
        <f>ROUNDUP(L295+(L295*Assumptions!L$5),-2)</f>
        <v>33200</v>
      </c>
      <c r="N295" s="9">
        <f>ROUNDUP(M295+(M295*Assumptions!M$5),-2)</f>
        <v>34100</v>
      </c>
      <c r="O295" s="9">
        <f>ROUNDUP(N295+(N295*Assumptions!N$5),-2)</f>
        <v>35000</v>
      </c>
      <c r="P295" s="89">
        <f>ROUNDUP(O295+(O295*Assumptions!O$5),-2)</f>
        <v>35900</v>
      </c>
      <c r="Q295" s="9">
        <f>ROUNDUP(P295+(P295*Assumptions!P$5),-2)</f>
        <v>36800</v>
      </c>
      <c r="R295" s="9">
        <f>ROUNDUP(Q295+(Q295*Assumptions!Q$5),-2)</f>
        <v>37800</v>
      </c>
      <c r="S295" s="47">
        <f>ROUNDUP(R295+(R295*Assumptions!R$5),-2)</f>
        <v>38800</v>
      </c>
    </row>
    <row r="296" spans="1:21" s="34" customFormat="1" x14ac:dyDescent="0.2">
      <c r="A296" s="54"/>
      <c r="B296" s="9"/>
      <c r="C296" s="136"/>
      <c r="D296" s="136"/>
      <c r="E296" s="136"/>
      <c r="F296" s="1378"/>
      <c r="G296" s="912" t="s">
        <v>4908</v>
      </c>
      <c r="H296" s="9"/>
      <c r="I296" s="584"/>
      <c r="J296" s="9"/>
      <c r="K296" s="9"/>
      <c r="L296" s="9"/>
      <c r="M296" s="9"/>
      <c r="N296" s="9"/>
      <c r="O296" s="9"/>
      <c r="P296" s="89"/>
      <c r="Q296" s="9"/>
      <c r="R296" s="9"/>
      <c r="S296" s="47"/>
    </row>
    <row r="297" spans="1:21" s="34" customFormat="1" x14ac:dyDescent="0.2">
      <c r="A297" s="54">
        <v>79100</v>
      </c>
      <c r="B297" s="9">
        <v>153100</v>
      </c>
      <c r="C297" s="136">
        <f>129500-5300</f>
        <v>124200</v>
      </c>
      <c r="D297" s="136">
        <v>109000</v>
      </c>
      <c r="E297" s="136">
        <v>91100</v>
      </c>
      <c r="F297" s="239" t="s">
        <v>2080</v>
      </c>
      <c r="G297" s="662" t="s">
        <v>6023</v>
      </c>
      <c r="H297" s="9">
        <v>75000</v>
      </c>
      <c r="I297" s="584">
        <f>IF(E297=H297,0,IF(E297=0,100,(H297-E297)/E297*100))</f>
        <v>-17.672886937431397</v>
      </c>
      <c r="J297" s="9">
        <f>ROUNDUP(H297+(H297*Assumptions!I$5),-2)</f>
        <v>76800</v>
      </c>
      <c r="K297" s="9">
        <f>ROUNDUP(J297+(J297*Assumptions!J$5),-2)</f>
        <v>78800</v>
      </c>
      <c r="L297" s="9">
        <f>ROUNDUP(K297+(K297*Assumptions!K$5),-2)</f>
        <v>80800</v>
      </c>
      <c r="M297" s="9">
        <f>ROUNDUP(L297+(L297*Assumptions!L$5),-2)</f>
        <v>82900</v>
      </c>
      <c r="N297" s="9">
        <f>ROUNDUP(M297+(M297*Assumptions!M$5),-2)</f>
        <v>85000</v>
      </c>
      <c r="O297" s="9">
        <f>ROUNDUP(N297+(N297*Assumptions!N$5),-2)</f>
        <v>87200</v>
      </c>
      <c r="P297" s="89">
        <f>ROUNDUP(O297+(O297*Assumptions!O$5),-2)</f>
        <v>89400</v>
      </c>
      <c r="Q297" s="9">
        <f>ROUNDUP(P297+(P297*Assumptions!P$5),-2)</f>
        <v>91700</v>
      </c>
      <c r="R297" s="9">
        <f>ROUNDUP(Q297+(Q297*Assumptions!Q$5),-2)</f>
        <v>94000</v>
      </c>
      <c r="S297" s="47">
        <f>ROUNDUP(R297+(R297*Assumptions!R$5),-2)</f>
        <v>96400</v>
      </c>
    </row>
    <row r="298" spans="1:21" s="34" customFormat="1" x14ac:dyDescent="0.2">
      <c r="A298" s="54">
        <v>0</v>
      </c>
      <c r="B298" s="9">
        <v>0</v>
      </c>
      <c r="C298" s="136">
        <v>0</v>
      </c>
      <c r="D298" s="136">
        <v>0</v>
      </c>
      <c r="E298" s="136">
        <v>9500</v>
      </c>
      <c r="F298" s="578" t="s">
        <v>6306</v>
      </c>
      <c r="G298" s="662" t="s">
        <v>6033</v>
      </c>
      <c r="H298" s="9">
        <v>25000</v>
      </c>
      <c r="I298" s="584">
        <f>IF(E298=H298,0,IF(E298=0,100,(H298-E298)/E298*100))</f>
        <v>163.15789473684211</v>
      </c>
      <c r="J298" s="9">
        <f>ROUNDUP(H298+(H298*Assumptions!I$5),-2)</f>
        <v>25600</v>
      </c>
      <c r="K298" s="9">
        <f>ROUNDUP(J298+(J298*Assumptions!J$5),-2)</f>
        <v>26300</v>
      </c>
      <c r="L298" s="9">
        <f>ROUNDUP(K298+(K298*Assumptions!K$5),-2)</f>
        <v>27000</v>
      </c>
      <c r="M298" s="9">
        <f>ROUNDUP(L298+(L298*Assumptions!L$5),-2)</f>
        <v>27700</v>
      </c>
      <c r="N298" s="9">
        <f>ROUNDUP(M298+(M298*Assumptions!M$5),-2)</f>
        <v>28400</v>
      </c>
      <c r="O298" s="9">
        <f>ROUNDUP(N298+(N298*Assumptions!N$5),-2)</f>
        <v>29200</v>
      </c>
      <c r="P298" s="89">
        <f>ROUNDUP(O298+(O298*Assumptions!O$5),-2)</f>
        <v>30000</v>
      </c>
      <c r="Q298" s="9">
        <f>ROUNDUP(P298+(P298*Assumptions!P$5),-2)</f>
        <v>30800</v>
      </c>
      <c r="R298" s="9">
        <f>ROUNDUP(Q298+(Q298*Assumptions!Q$5),-2)</f>
        <v>31600</v>
      </c>
      <c r="S298" s="47">
        <f>ROUNDUP(R298+(R298*Assumptions!R$5),-2)</f>
        <v>32400</v>
      </c>
    </row>
    <row r="299" spans="1:21" s="34" customFormat="1" x14ac:dyDescent="0.2">
      <c r="A299" s="54">
        <v>0</v>
      </c>
      <c r="B299" s="9">
        <v>0</v>
      </c>
      <c r="C299" s="136">
        <v>0</v>
      </c>
      <c r="D299" s="136">
        <v>0</v>
      </c>
      <c r="E299" s="136">
        <v>33400</v>
      </c>
      <c r="F299" s="578" t="s">
        <v>6307</v>
      </c>
      <c r="G299" s="662" t="s">
        <v>6034</v>
      </c>
      <c r="H299" s="9">
        <v>32000</v>
      </c>
      <c r="I299" s="584">
        <f>IF(E299=H299,0,IF(E299=0,100,(H299-E299)/E299*100))</f>
        <v>-4.1916167664670656</v>
      </c>
      <c r="J299" s="9">
        <f>ROUNDUP(H299+(H299*Assumptions!I$5),-2)</f>
        <v>32800</v>
      </c>
      <c r="K299" s="9">
        <f>ROUNDUP(J299+(J299*Assumptions!J$5),-2)</f>
        <v>33700</v>
      </c>
      <c r="L299" s="9">
        <f>ROUNDUP(K299+(K299*Assumptions!K$5),-2)</f>
        <v>34600</v>
      </c>
      <c r="M299" s="9">
        <f>ROUNDUP(L299+(L299*Assumptions!L$5),-2)</f>
        <v>35500</v>
      </c>
      <c r="N299" s="9">
        <f>ROUNDUP(M299+(M299*Assumptions!M$5),-2)</f>
        <v>36400</v>
      </c>
      <c r="O299" s="9">
        <f>ROUNDUP(N299+(N299*Assumptions!N$5),-2)</f>
        <v>37400</v>
      </c>
      <c r="P299" s="89">
        <f>ROUNDUP(O299+(O299*Assumptions!O$5),-2)</f>
        <v>38400</v>
      </c>
      <c r="Q299" s="9">
        <f>ROUNDUP(P299+(P299*Assumptions!P$5),-2)</f>
        <v>39400</v>
      </c>
      <c r="R299" s="9">
        <f>ROUNDUP(Q299+(Q299*Assumptions!Q$5),-2)</f>
        <v>40400</v>
      </c>
      <c r="S299" s="47">
        <f>ROUNDUP(R299+(R299*Assumptions!R$5),-2)</f>
        <v>41500</v>
      </c>
    </row>
    <row r="300" spans="1:21" s="34" customFormat="1" x14ac:dyDescent="0.2">
      <c r="A300" s="54">
        <v>0</v>
      </c>
      <c r="B300" s="9">
        <v>0</v>
      </c>
      <c r="C300" s="136">
        <v>0</v>
      </c>
      <c r="D300" s="136">
        <v>0</v>
      </c>
      <c r="E300" s="136">
        <v>0</v>
      </c>
      <c r="F300" s="578" t="s">
        <v>6308</v>
      </c>
      <c r="G300" s="662" t="s">
        <v>6035</v>
      </c>
      <c r="H300" s="9">
        <v>1000</v>
      </c>
      <c r="I300" s="584">
        <f>IF(E300=H300,0,IF(E300=0,100,(H300-E300)/E300*100))</f>
        <v>100</v>
      </c>
      <c r="J300" s="9">
        <f>ROUNDUP(H300+(H300*Assumptions!I$5),-2)</f>
        <v>1100</v>
      </c>
      <c r="K300" s="9">
        <f>ROUNDUP(J300+(J300*Assumptions!J$5),-2)</f>
        <v>1200</v>
      </c>
      <c r="L300" s="9">
        <f>ROUNDUP(K300+(K300*Assumptions!K$5),-2)</f>
        <v>1300</v>
      </c>
      <c r="M300" s="9">
        <f>ROUNDUP(L300+(L300*Assumptions!L$5),-2)</f>
        <v>1400</v>
      </c>
      <c r="N300" s="9">
        <f>ROUNDUP(M300+(M300*Assumptions!M$5),-2)</f>
        <v>1500</v>
      </c>
      <c r="O300" s="9">
        <f>ROUNDUP(N300+(N300*Assumptions!N$5),-2)</f>
        <v>1600</v>
      </c>
      <c r="P300" s="89">
        <f>ROUNDUP(O300+(O300*Assumptions!O$5),-2)</f>
        <v>1700</v>
      </c>
      <c r="Q300" s="9">
        <f>ROUNDUP(P300+(P300*Assumptions!P$5),-2)</f>
        <v>1800</v>
      </c>
      <c r="R300" s="9">
        <f>ROUNDUP(Q300+(Q300*Assumptions!Q$5),-2)</f>
        <v>1900</v>
      </c>
      <c r="S300" s="47">
        <f>ROUNDUP(R300+(R300*Assumptions!R$5),-2)</f>
        <v>2000</v>
      </c>
    </row>
    <row r="301" spans="1:21" s="34" customFormat="1" x14ac:dyDescent="0.2">
      <c r="A301" s="54">
        <v>1000</v>
      </c>
      <c r="B301" s="9">
        <v>0</v>
      </c>
      <c r="C301" s="136">
        <v>5300</v>
      </c>
      <c r="D301" s="136">
        <v>2800</v>
      </c>
      <c r="E301" s="136">
        <v>900</v>
      </c>
      <c r="F301" s="239" t="s">
        <v>2081</v>
      </c>
      <c r="G301" s="662" t="s">
        <v>4884</v>
      </c>
      <c r="H301" s="9">
        <v>1000</v>
      </c>
      <c r="I301" s="584">
        <f>IF(E301=H301,0,IF(E301=0,100,(H301-E301)/E301*100))</f>
        <v>11.111111111111111</v>
      </c>
      <c r="J301" s="9">
        <f>ROUNDUP(H301+(H301*Assumptions!I$5),-2)</f>
        <v>1100</v>
      </c>
      <c r="K301" s="9">
        <f>ROUNDUP(J301+(J301*Assumptions!J$5),-2)</f>
        <v>1200</v>
      </c>
      <c r="L301" s="9">
        <f>ROUNDUP(K301+(K301*Assumptions!K$5),-2)</f>
        <v>1300</v>
      </c>
      <c r="M301" s="9">
        <f>ROUNDUP(L301+(L301*Assumptions!L$5),-2)</f>
        <v>1400</v>
      </c>
      <c r="N301" s="9">
        <f>ROUNDUP(M301+(M301*Assumptions!M$5),-2)</f>
        <v>1500</v>
      </c>
      <c r="O301" s="9">
        <f>ROUNDUP(N301+(N301*Assumptions!N$5),-2)</f>
        <v>1600</v>
      </c>
      <c r="P301" s="89">
        <f>ROUNDUP(O301+(O301*Assumptions!O$5),-2)</f>
        <v>1700</v>
      </c>
      <c r="Q301" s="9">
        <f>ROUNDUP(P301+(P301*Assumptions!P$5),-2)</f>
        <v>1800</v>
      </c>
      <c r="R301" s="9">
        <f>ROUNDUP(Q301+(Q301*Assumptions!Q$5),-2)</f>
        <v>1900</v>
      </c>
      <c r="S301" s="47">
        <f>ROUNDUP(R301+(R301*Assumptions!R$5),-2)</f>
        <v>2000</v>
      </c>
    </row>
    <row r="302" spans="1:21" s="34" customFormat="1" x14ac:dyDescent="0.2">
      <c r="A302" s="54"/>
      <c r="B302" s="9"/>
      <c r="C302" s="136"/>
      <c r="D302" s="136"/>
      <c r="E302" s="136"/>
      <c r="F302" s="1378"/>
      <c r="G302" s="912" t="s">
        <v>4909</v>
      </c>
      <c r="H302" s="9"/>
      <c r="I302" s="584"/>
      <c r="J302" s="9"/>
      <c r="K302" s="9"/>
      <c r="L302" s="9"/>
      <c r="M302" s="9"/>
      <c r="N302" s="9"/>
      <c r="O302" s="9"/>
      <c r="P302" s="89"/>
      <c r="Q302" s="9"/>
      <c r="R302" s="9"/>
      <c r="S302" s="47"/>
    </row>
    <row r="303" spans="1:21" s="34" customFormat="1" x14ac:dyDescent="0.2">
      <c r="A303" s="54">
        <v>47900</v>
      </c>
      <c r="B303" s="9">
        <v>45400</v>
      </c>
      <c r="C303" s="136">
        <v>35500</v>
      </c>
      <c r="D303" s="136">
        <v>0</v>
      </c>
      <c r="E303" s="136">
        <f>18500+700</f>
        <v>19200</v>
      </c>
      <c r="F303" s="578" t="s">
        <v>4941</v>
      </c>
      <c r="G303" s="662" t="s">
        <v>6524</v>
      </c>
      <c r="H303" s="9">
        <v>20000</v>
      </c>
      <c r="I303" s="584">
        <f>IF(E303=H303,0,IF(E303=0,100,(H303-E303)/E303*100))</f>
        <v>4.1666666666666661</v>
      </c>
      <c r="J303" s="9">
        <f>ROUNDUP(H303+(H303*Assumptions!I$5),-2)</f>
        <v>20500</v>
      </c>
      <c r="K303" s="9">
        <f>ROUNDUP(J303+(J303*Assumptions!J$5),-2)</f>
        <v>21100</v>
      </c>
      <c r="L303" s="9">
        <f>ROUNDUP(K303+(K303*Assumptions!K$5),-2)</f>
        <v>21700</v>
      </c>
      <c r="M303" s="9">
        <f>ROUNDUP(L303+(L303*Assumptions!L$5),-2)</f>
        <v>22300</v>
      </c>
      <c r="N303" s="9">
        <f>ROUNDUP(M303+(M303*Assumptions!M$5),-2)</f>
        <v>22900</v>
      </c>
      <c r="O303" s="9">
        <f>ROUNDUP(N303+(N303*Assumptions!N$5),-2)</f>
        <v>23500</v>
      </c>
      <c r="P303" s="89">
        <f>ROUNDUP(O303+(O303*Assumptions!O$5),-2)</f>
        <v>24100</v>
      </c>
      <c r="Q303" s="9">
        <f>ROUNDUP(P303+(P303*Assumptions!P$5),-2)</f>
        <v>24800</v>
      </c>
      <c r="R303" s="9">
        <f>ROUNDUP(Q303+(Q303*Assumptions!Q$5),-2)</f>
        <v>25500</v>
      </c>
      <c r="S303" s="47">
        <f>ROUNDUP(R303+(R303*Assumptions!R$5),-2)</f>
        <v>26200</v>
      </c>
    </row>
    <row r="304" spans="1:21" s="34" customFormat="1" x14ac:dyDescent="0.2">
      <c r="A304" s="54"/>
      <c r="B304" s="9">
        <v>900</v>
      </c>
      <c r="C304" s="136">
        <v>3200</v>
      </c>
      <c r="D304" s="136">
        <v>30300</v>
      </c>
      <c r="E304" s="136">
        <v>21200</v>
      </c>
      <c r="F304" s="578" t="s">
        <v>6272</v>
      </c>
      <c r="G304" s="662" t="s">
        <v>6525</v>
      </c>
      <c r="H304" s="9">
        <v>15000</v>
      </c>
      <c r="I304" s="584">
        <f>IF(E304=H304,0,IF(E304=0,100,(H304-E304)/E304*100))</f>
        <v>-29.245283018867923</v>
      </c>
      <c r="J304" s="9">
        <f>ROUNDUP(H304+(H304*Assumptions!I$5),-2)</f>
        <v>15400</v>
      </c>
      <c r="K304" s="9">
        <f>ROUNDUP(J304+(J304*Assumptions!J$5),-2)</f>
        <v>15800</v>
      </c>
      <c r="L304" s="9">
        <f>ROUNDUP(K304+(K304*Assumptions!K$5),-2)</f>
        <v>16200</v>
      </c>
      <c r="M304" s="9">
        <f>ROUNDUP(L304+(L304*Assumptions!L$5),-2)</f>
        <v>16700</v>
      </c>
      <c r="N304" s="9">
        <f>ROUNDUP(M304+(M304*Assumptions!M$5),-2)</f>
        <v>17200</v>
      </c>
      <c r="O304" s="9">
        <f>ROUNDUP(N304+(N304*Assumptions!N$5),-2)</f>
        <v>17700</v>
      </c>
      <c r="P304" s="89">
        <f>ROUNDUP(O304+(O304*Assumptions!O$5),-2)</f>
        <v>18200</v>
      </c>
      <c r="Q304" s="9">
        <f>ROUNDUP(P304+(P304*Assumptions!P$5),-2)</f>
        <v>18700</v>
      </c>
      <c r="R304" s="9">
        <f>ROUNDUP(Q304+(Q304*Assumptions!Q$5),-2)</f>
        <v>19200</v>
      </c>
      <c r="S304" s="47">
        <f>ROUNDUP(R304+(R304*Assumptions!R$5),-2)</f>
        <v>19700</v>
      </c>
    </row>
    <row r="305" spans="1:19" s="34" customFormat="1" x14ac:dyDescent="0.2">
      <c r="A305" s="54">
        <v>0</v>
      </c>
      <c r="B305" s="9">
        <v>0</v>
      </c>
      <c r="C305" s="136">
        <v>0</v>
      </c>
      <c r="D305" s="136">
        <v>300</v>
      </c>
      <c r="E305" s="136">
        <v>1600</v>
      </c>
      <c r="F305" s="578" t="s">
        <v>6024</v>
      </c>
      <c r="G305" s="662" t="s">
        <v>6542</v>
      </c>
      <c r="H305" s="9">
        <v>2500</v>
      </c>
      <c r="I305" s="584">
        <f>IF(E305=H305,0,IF(E305=0,100,(H305-E305)/E305*100))</f>
        <v>56.25</v>
      </c>
      <c r="J305" s="9">
        <f>ROUNDUP(H305+(H305*Assumptions!I$5),-2)</f>
        <v>2600</v>
      </c>
      <c r="K305" s="9">
        <f>ROUNDUP(J305+(J305*Assumptions!J$5),-2)</f>
        <v>2700</v>
      </c>
      <c r="L305" s="9">
        <f>ROUNDUP(K305+(K305*Assumptions!K$5),-2)</f>
        <v>2800</v>
      </c>
      <c r="M305" s="9">
        <f>ROUNDUP(L305+(L305*Assumptions!L$5),-2)</f>
        <v>2900</v>
      </c>
      <c r="N305" s="9">
        <f>ROUNDUP(M305+(M305*Assumptions!M$5),-2)</f>
        <v>3000</v>
      </c>
      <c r="O305" s="9">
        <f>ROUNDUP(N305+(N305*Assumptions!N$5),-2)</f>
        <v>3100</v>
      </c>
      <c r="P305" s="89">
        <f>ROUNDUP(O305+(O305*Assumptions!O$5),-2)</f>
        <v>3200</v>
      </c>
      <c r="Q305" s="9">
        <f>ROUNDUP(P305+(P305*Assumptions!P$5),-2)</f>
        <v>3300</v>
      </c>
      <c r="R305" s="9">
        <f>ROUNDUP(Q305+(Q305*Assumptions!Q$5),-2)</f>
        <v>3400</v>
      </c>
      <c r="S305" s="47">
        <f>ROUNDUP(R305+(R305*Assumptions!R$5),-2)</f>
        <v>3500</v>
      </c>
    </row>
    <row r="306" spans="1:19" s="34" customFormat="1" x14ac:dyDescent="0.2">
      <c r="A306" s="54"/>
      <c r="B306" s="9"/>
      <c r="C306" s="136"/>
      <c r="D306" s="136"/>
      <c r="E306" s="136"/>
      <c r="F306" s="1378"/>
      <c r="G306" s="912" t="s">
        <v>3536</v>
      </c>
      <c r="H306" s="9"/>
      <c r="I306" s="584"/>
      <c r="J306" s="9"/>
      <c r="K306" s="9"/>
      <c r="L306" s="9"/>
      <c r="M306" s="9"/>
      <c r="N306" s="9"/>
      <c r="O306" s="9"/>
      <c r="P306" s="89"/>
      <c r="Q306" s="9"/>
      <c r="R306" s="9"/>
      <c r="S306" s="47"/>
    </row>
    <row r="307" spans="1:19" s="34" customFormat="1" x14ac:dyDescent="0.2">
      <c r="A307" s="54">
        <v>200000</v>
      </c>
      <c r="B307" s="9">
        <v>173700</v>
      </c>
      <c r="C307" s="136">
        <v>149100</v>
      </c>
      <c r="D307" s="136">
        <v>42600</v>
      </c>
      <c r="E307" s="136">
        <v>33500</v>
      </c>
      <c r="F307" s="239" t="s">
        <v>386</v>
      </c>
      <c r="G307" s="662" t="s">
        <v>3536</v>
      </c>
      <c r="H307" s="9">
        <v>40000</v>
      </c>
      <c r="I307" s="584">
        <f>IF(E307=H307,0,IF(E307=0,100,(H307-E307)/E307*100))</f>
        <v>19.402985074626866</v>
      </c>
      <c r="J307" s="9">
        <f>ROUNDUP(H307+(H307*Assumptions!I$5),-2)</f>
        <v>41000</v>
      </c>
      <c r="K307" s="9">
        <f>ROUNDUP(J307+(J307*Assumptions!J$5),-2)</f>
        <v>42100</v>
      </c>
      <c r="L307" s="9">
        <f>ROUNDUP(K307+(K307*Assumptions!K$5),-2)</f>
        <v>43200</v>
      </c>
      <c r="M307" s="9">
        <f>ROUNDUP(L307+(L307*Assumptions!L$5),-2)</f>
        <v>44300</v>
      </c>
      <c r="N307" s="9">
        <f>ROUNDUP(M307+(M307*Assumptions!M$5),-2)</f>
        <v>45500</v>
      </c>
      <c r="O307" s="134">
        <f>ROUNDUP(N307+(N307*Assumptions!N$5),-2)</f>
        <v>46700</v>
      </c>
      <c r="P307" s="136">
        <f>ROUNDUP(O307+(O307*Assumptions!O$5),-2)</f>
        <v>47900</v>
      </c>
      <c r="Q307" s="134">
        <f>ROUNDUP(P307+(P307*Assumptions!P$5),-2)</f>
        <v>49100</v>
      </c>
      <c r="R307" s="134">
        <f>ROUNDUP(Q307+(Q307*Assumptions!Q$5),-2)</f>
        <v>50400</v>
      </c>
      <c r="S307" s="2359">
        <f>ROUNDUP(R307+(R307*Assumptions!R$5),-2)</f>
        <v>51700</v>
      </c>
    </row>
    <row r="308" spans="1:19" s="34" customFormat="1" x14ac:dyDescent="0.2">
      <c r="A308" s="54">
        <v>0</v>
      </c>
      <c r="B308" s="9">
        <v>1500</v>
      </c>
      <c r="C308" s="136">
        <v>0</v>
      </c>
      <c r="D308" s="136">
        <v>24500</v>
      </c>
      <c r="E308" s="136">
        <v>6300</v>
      </c>
      <c r="F308" s="239" t="s">
        <v>1145</v>
      </c>
      <c r="G308" s="371" t="s">
        <v>1461</v>
      </c>
      <c r="H308" s="9">
        <v>20000</v>
      </c>
      <c r="I308" s="584">
        <f>IF(E308=H308,0,IF(E308=0,100,(H308-E308)/E308*100))</f>
        <v>217.46031746031744</v>
      </c>
      <c r="J308" s="9">
        <f>ROUNDUP(H308+(H308*Assumptions!I$5),-2)</f>
        <v>20500</v>
      </c>
      <c r="K308" s="9">
        <f>ROUNDUP(J308+(J308*Assumptions!J$5),-2)</f>
        <v>21100</v>
      </c>
      <c r="L308" s="9">
        <f>ROUNDUP(K308+(K308*Assumptions!K$5),-2)</f>
        <v>21700</v>
      </c>
      <c r="M308" s="9">
        <f>ROUNDUP(L308+(L308*Assumptions!L$5),-2)</f>
        <v>22300</v>
      </c>
      <c r="N308" s="9">
        <f>ROUNDUP(M308+(M308*Assumptions!M$5),-2)</f>
        <v>22900</v>
      </c>
      <c r="O308" s="134">
        <f>ROUNDUP(N308+(N308*Assumptions!N$5),-2)</f>
        <v>23500</v>
      </c>
      <c r="P308" s="136">
        <f>ROUNDUP(O308+(O308*Assumptions!O$5),-2)</f>
        <v>24100</v>
      </c>
      <c r="Q308" s="134">
        <f>ROUNDUP(P308+(P308*Assumptions!P$5),-2)</f>
        <v>24800</v>
      </c>
      <c r="R308" s="134">
        <f>ROUNDUP(Q308+(Q308*Assumptions!Q$5),-2)</f>
        <v>25500</v>
      </c>
      <c r="S308" s="2359">
        <f>ROUNDUP(R308+(R308*Assumptions!R$5),-2)</f>
        <v>26200</v>
      </c>
    </row>
    <row r="309" spans="1:19" s="34" customFormat="1" x14ac:dyDescent="0.2">
      <c r="A309" s="54">
        <v>18900</v>
      </c>
      <c r="B309" s="9">
        <v>17300</v>
      </c>
      <c r="C309" s="136">
        <v>23800</v>
      </c>
      <c r="D309" s="136">
        <v>16100</v>
      </c>
      <c r="E309" s="136">
        <v>9500</v>
      </c>
      <c r="F309" s="239" t="s">
        <v>1146</v>
      </c>
      <c r="G309" s="662" t="s">
        <v>6526</v>
      </c>
      <c r="H309" s="9">
        <v>10000</v>
      </c>
      <c r="I309" s="584">
        <f>IF(E309=H309,0,IF(E309=0,100,(H309-E309)/E309*100))</f>
        <v>5.2631578947368416</v>
      </c>
      <c r="J309" s="9">
        <f>ROUNDUP(H309+(H309*Assumptions!I$5),-2)</f>
        <v>10300</v>
      </c>
      <c r="K309" s="9">
        <f>ROUNDUP(J309+(J309*Assumptions!J$5),-2)</f>
        <v>10600</v>
      </c>
      <c r="L309" s="9">
        <f>ROUNDUP(K309+(K309*Assumptions!K$5),-2)</f>
        <v>10900</v>
      </c>
      <c r="M309" s="9">
        <f>ROUNDUP(L309+(L309*Assumptions!L$5),-2)</f>
        <v>11200</v>
      </c>
      <c r="N309" s="9">
        <f>ROUNDUP(M309+(M309*Assumptions!M$5),-2)</f>
        <v>11500</v>
      </c>
      <c r="O309" s="134">
        <f>ROUNDUP(N309+(N309*Assumptions!N$5),-2)</f>
        <v>11800</v>
      </c>
      <c r="P309" s="136">
        <f>ROUNDUP(O309+(O309*Assumptions!O$5),-2)</f>
        <v>12100</v>
      </c>
      <c r="Q309" s="134">
        <f>ROUNDUP(P309+(P309*Assumptions!P$5),-2)</f>
        <v>12500</v>
      </c>
      <c r="R309" s="134">
        <f>ROUNDUP(Q309+(Q309*Assumptions!Q$5),-2)</f>
        <v>12900</v>
      </c>
      <c r="S309" s="2359">
        <f>ROUNDUP(R309+(R309*Assumptions!R$5),-2)</f>
        <v>13300</v>
      </c>
    </row>
    <row r="310" spans="1:19" s="34" customFormat="1" x14ac:dyDescent="0.2">
      <c r="A310" s="54"/>
      <c r="B310" s="9"/>
      <c r="C310" s="136"/>
      <c r="D310" s="136"/>
      <c r="E310" s="136"/>
      <c r="F310" s="730"/>
      <c r="G310" s="1189" t="s">
        <v>4889</v>
      </c>
      <c r="H310" s="9"/>
      <c r="I310" s="584"/>
      <c r="J310" s="9"/>
      <c r="K310" s="9"/>
      <c r="L310" s="9"/>
      <c r="M310" s="9"/>
      <c r="N310" s="9"/>
      <c r="O310" s="9"/>
      <c r="P310" s="89"/>
      <c r="Q310" s="9"/>
      <c r="R310" s="9"/>
      <c r="S310" s="47"/>
    </row>
    <row r="311" spans="1:19" s="34" customFormat="1" x14ac:dyDescent="0.2">
      <c r="A311" s="54">
        <v>333500</v>
      </c>
      <c r="B311" s="9">
        <v>284100</v>
      </c>
      <c r="C311" s="136">
        <v>371600</v>
      </c>
      <c r="D311" s="136">
        <v>316200</v>
      </c>
      <c r="E311" s="136">
        <f>397400-E312</f>
        <v>373800</v>
      </c>
      <c r="F311" s="239" t="s">
        <v>2082</v>
      </c>
      <c r="G311" s="662" t="s">
        <v>4889</v>
      </c>
      <c r="H311" s="9">
        <v>400000</v>
      </c>
      <c r="I311" s="584">
        <f>IF(E311=H311,0,IF(E311=0,100,(H311-E311)/E311*100))</f>
        <v>7.0090957731407162</v>
      </c>
      <c r="J311" s="9">
        <f>ROUNDUP(H311+(H311*Assumptions!I$5),-2)</f>
        <v>409200</v>
      </c>
      <c r="K311" s="9">
        <f>ROUNDUP(J311+(J311*Assumptions!J$5),-2)</f>
        <v>419500</v>
      </c>
      <c r="L311" s="9">
        <f>ROUNDUP(K311+(K311*Assumptions!K$5),-2)</f>
        <v>430000</v>
      </c>
      <c r="M311" s="9">
        <f>ROUNDUP(L311+(L311*Assumptions!L$5),-2)</f>
        <v>440800</v>
      </c>
      <c r="N311" s="9">
        <f>ROUNDUP(M311+(M311*Assumptions!M$5),-2)</f>
        <v>451900</v>
      </c>
      <c r="O311" s="9">
        <f>ROUNDUP(N311+(N311*Assumptions!N$5),-2)</f>
        <v>463200</v>
      </c>
      <c r="P311" s="89">
        <f>ROUNDUP(O311+(O311*Assumptions!O$5),-2)</f>
        <v>474800</v>
      </c>
      <c r="Q311" s="9">
        <f>ROUNDUP(P311+(P311*Assumptions!P$5),-2)</f>
        <v>486700</v>
      </c>
      <c r="R311" s="9">
        <f>ROUNDUP(Q311+(Q311*Assumptions!Q$5),-2)</f>
        <v>498900</v>
      </c>
      <c r="S311" s="47">
        <f>ROUNDUP(R311+(R311*Assumptions!R$5),-2)</f>
        <v>511400</v>
      </c>
    </row>
    <row r="312" spans="1:19" s="34" customFormat="1" x14ac:dyDescent="0.2">
      <c r="A312" s="54">
        <v>81800</v>
      </c>
      <c r="B312" s="9">
        <v>64600</v>
      </c>
      <c r="C312" s="136">
        <v>75000</v>
      </c>
      <c r="D312" s="136">
        <v>48300</v>
      </c>
      <c r="E312" s="136">
        <v>23600</v>
      </c>
      <c r="F312" s="239" t="s">
        <v>385</v>
      </c>
      <c r="G312" s="662" t="s">
        <v>6527</v>
      </c>
      <c r="H312" s="9">
        <v>100000</v>
      </c>
      <c r="I312" s="584">
        <f>IF(E312=H312,0,IF(E312=0,100,(H312-E312)/E312*100))</f>
        <v>323.72881355932202</v>
      </c>
      <c r="J312" s="9">
        <f>ROUNDUP(H312+(H312*Assumptions!I$5),-2)</f>
        <v>102300</v>
      </c>
      <c r="K312" s="9">
        <f>ROUNDUP(J312+(J312*Assumptions!J$5),-2)</f>
        <v>104900</v>
      </c>
      <c r="L312" s="9">
        <f>ROUNDUP(K312+(K312*Assumptions!K$5),-2)</f>
        <v>107600</v>
      </c>
      <c r="M312" s="9">
        <f>ROUNDUP(L312+(L312*Assumptions!L$5),-2)</f>
        <v>110300</v>
      </c>
      <c r="N312" s="9">
        <f>ROUNDUP(M312+(M312*Assumptions!M$5),-2)</f>
        <v>113100</v>
      </c>
      <c r="O312" s="134">
        <f>ROUNDUP(N312+(N312*Assumptions!N$5),-2)</f>
        <v>116000</v>
      </c>
      <c r="P312" s="136">
        <f>ROUNDUP(O312+(O312*Assumptions!O$5),-2)</f>
        <v>118900</v>
      </c>
      <c r="Q312" s="134">
        <f>ROUNDUP(P312+(P312*Assumptions!P$5),-2)</f>
        <v>121900</v>
      </c>
      <c r="R312" s="134">
        <f>ROUNDUP(Q312+(Q312*Assumptions!Q$5),-2)</f>
        <v>125000</v>
      </c>
      <c r="S312" s="2359">
        <f>ROUNDUP(R312+(R312*Assumptions!R$5),-2)</f>
        <v>128200</v>
      </c>
    </row>
    <row r="313" spans="1:19" s="34" customFormat="1" x14ac:dyDescent="0.2">
      <c r="A313" s="54"/>
      <c r="B313" s="9"/>
      <c r="C313" s="136"/>
      <c r="D313" s="136"/>
      <c r="E313" s="136"/>
      <c r="F313" s="730"/>
      <c r="G313" s="1189" t="s">
        <v>4891</v>
      </c>
      <c r="H313" s="9"/>
      <c r="I313" s="584"/>
      <c r="J313" s="9"/>
      <c r="K313" s="9"/>
      <c r="L313" s="9"/>
      <c r="M313" s="9"/>
      <c r="N313" s="9"/>
      <c r="O313" s="9"/>
      <c r="P313" s="89"/>
      <c r="Q313" s="9"/>
      <c r="R313" s="9"/>
      <c r="S313" s="47"/>
    </row>
    <row r="314" spans="1:19" s="34" customFormat="1" x14ac:dyDescent="0.2">
      <c r="A314" s="54">
        <v>293400</v>
      </c>
      <c r="B314" s="9">
        <v>401000</v>
      </c>
      <c r="C314" s="136">
        <v>343800</v>
      </c>
      <c r="D314" s="136">
        <v>345100</v>
      </c>
      <c r="E314" s="136">
        <v>376400</v>
      </c>
      <c r="F314" s="578" t="s">
        <v>6036</v>
      </c>
      <c r="G314" s="662" t="s">
        <v>4890</v>
      </c>
      <c r="H314" s="9">
        <v>350000</v>
      </c>
      <c r="I314" s="584">
        <f>IF(E314=H314,0,IF(E314=0,100,(H314-E314)/E314*100))</f>
        <v>-7.0138150903294365</v>
      </c>
      <c r="J314" s="9">
        <f>ROUNDUP(H314+(H314*Assumptions!I$5),-2)</f>
        <v>358100</v>
      </c>
      <c r="K314" s="9">
        <f>ROUNDUP(J314+(J314*Assumptions!J$5),-2)</f>
        <v>367100</v>
      </c>
      <c r="L314" s="9">
        <f>ROUNDUP(K314+(K314*Assumptions!K$5),-2)</f>
        <v>376300</v>
      </c>
      <c r="M314" s="9">
        <f>ROUNDUP(L314+(L314*Assumptions!L$5),-2)</f>
        <v>385800</v>
      </c>
      <c r="N314" s="9">
        <f>ROUNDUP(M314+(M314*Assumptions!M$5),-2)</f>
        <v>395500</v>
      </c>
      <c r="O314" s="134">
        <f>ROUNDUP(N314+(N314*Assumptions!N$5),-2)</f>
        <v>405400</v>
      </c>
      <c r="P314" s="136">
        <f>ROUNDUP(O314+(O314*Assumptions!O$5),-2)</f>
        <v>415600</v>
      </c>
      <c r="Q314" s="134">
        <f>ROUNDUP(P314+(P314*Assumptions!P$5),-2)</f>
        <v>426000</v>
      </c>
      <c r="R314" s="134">
        <f>ROUNDUP(Q314+(Q314*Assumptions!Q$5),-2)</f>
        <v>436700</v>
      </c>
      <c r="S314" s="2359">
        <f>ROUNDUP(R314+(R314*Assumptions!R$5),-2)</f>
        <v>447700</v>
      </c>
    </row>
    <row r="315" spans="1:19" s="34" customFormat="1" x14ac:dyDescent="0.2">
      <c r="A315" s="54"/>
      <c r="B315" s="9"/>
      <c r="C315" s="136"/>
      <c r="D315" s="136"/>
      <c r="E315" s="136"/>
      <c r="F315" s="239"/>
      <c r="G315" s="912" t="s">
        <v>4905</v>
      </c>
      <c r="H315" s="9"/>
      <c r="I315" s="584"/>
      <c r="J315" s="9"/>
      <c r="K315" s="9"/>
      <c r="L315" s="9"/>
      <c r="M315" s="9"/>
      <c r="N315" s="9"/>
      <c r="O315" s="134"/>
      <c r="P315" s="136"/>
      <c r="Q315" s="134"/>
      <c r="R315" s="134"/>
      <c r="S315" s="2359"/>
    </row>
    <row r="316" spans="1:19" s="34" customFormat="1" x14ac:dyDescent="0.2">
      <c r="A316" s="54">
        <v>2500</v>
      </c>
      <c r="B316" s="9">
        <v>6200</v>
      </c>
      <c r="C316" s="136">
        <f>10600+4400-700+7000+200</f>
        <v>21500</v>
      </c>
      <c r="D316" s="136">
        <v>8600</v>
      </c>
      <c r="E316" s="136">
        <v>9000</v>
      </c>
      <c r="F316" s="239" t="s">
        <v>1624</v>
      </c>
      <c r="G316" s="371" t="s">
        <v>922</v>
      </c>
      <c r="H316" s="9">
        <v>16000</v>
      </c>
      <c r="I316" s="584">
        <f t="shared" ref="I316:I325" si="419">IF(E316=H316,0,IF(E316=0,100,(H316-E316)/E316*100))</f>
        <v>77.777777777777786</v>
      </c>
      <c r="J316" s="9">
        <f>ROUNDUP(H316+(H316*Assumptions!I$5),-2)</f>
        <v>16400</v>
      </c>
      <c r="K316" s="9">
        <f>ROUNDUP(J316+(J316*Assumptions!J$5),-2)</f>
        <v>16900</v>
      </c>
      <c r="L316" s="9">
        <f>ROUNDUP(K316+(K316*Assumptions!K$5),-2)</f>
        <v>17400</v>
      </c>
      <c r="M316" s="9">
        <f>ROUNDUP(L316+(L316*Assumptions!L$5),-2)</f>
        <v>17900</v>
      </c>
      <c r="N316" s="9">
        <f>ROUNDUP(M316+(M316*Assumptions!M$5),-2)</f>
        <v>18400</v>
      </c>
      <c r="O316" s="134">
        <f>ROUNDUP(N316+(N316*Assumptions!N$5),-2)</f>
        <v>18900</v>
      </c>
      <c r="P316" s="136">
        <f>ROUNDUP(O316+(O316*Assumptions!O$5),-2)</f>
        <v>19400</v>
      </c>
      <c r="Q316" s="134">
        <f>ROUNDUP(P316+(P316*Assumptions!P$5),-2)</f>
        <v>19900</v>
      </c>
      <c r="R316" s="134">
        <f>ROUNDUP(Q316+(Q316*Assumptions!Q$5),-2)</f>
        <v>20400</v>
      </c>
      <c r="S316" s="2359">
        <f>ROUNDUP(R316+(R316*Assumptions!R$5),-2)</f>
        <v>21000</v>
      </c>
    </row>
    <row r="317" spans="1:19" s="34" customFormat="1" x14ac:dyDescent="0.2">
      <c r="A317" s="54">
        <v>15300</v>
      </c>
      <c r="B317" s="9">
        <v>5200</v>
      </c>
      <c r="C317" s="136">
        <v>11500</v>
      </c>
      <c r="D317" s="136">
        <v>13300</v>
      </c>
      <c r="E317" s="136">
        <v>300</v>
      </c>
      <c r="F317" s="239" t="s">
        <v>1626</v>
      </c>
      <c r="G317" s="662" t="s">
        <v>2012</v>
      </c>
      <c r="H317" s="9">
        <v>5100</v>
      </c>
      <c r="I317" s="584">
        <f t="shared" si="419"/>
        <v>1600</v>
      </c>
      <c r="J317" s="9">
        <f>ROUNDUP(H317+(H317*Assumptions!I$5),-2)</f>
        <v>5300</v>
      </c>
      <c r="K317" s="9">
        <f>ROUNDUP(J317+(J317*Assumptions!J$5),-2)</f>
        <v>5500</v>
      </c>
      <c r="L317" s="9">
        <f>ROUNDUP(K317+(K317*Assumptions!K$5),-2)</f>
        <v>5700</v>
      </c>
      <c r="M317" s="9">
        <f>ROUNDUP(L317+(L317*Assumptions!L$5),-2)</f>
        <v>5900</v>
      </c>
      <c r="N317" s="9">
        <f>ROUNDUP(M317+(M317*Assumptions!M$5),-2)</f>
        <v>6100</v>
      </c>
      <c r="O317" s="9">
        <f>ROUNDUP(N317+(N317*Assumptions!N$5),-2)</f>
        <v>6300</v>
      </c>
      <c r="P317" s="89">
        <f>ROUNDUP(O317+(O317*Assumptions!O$5),-2)</f>
        <v>6500</v>
      </c>
      <c r="Q317" s="9">
        <f>ROUNDUP(P317+(P317*Assumptions!P$5),-2)</f>
        <v>6700</v>
      </c>
      <c r="R317" s="9">
        <f>ROUNDUP(Q317+(Q317*Assumptions!Q$5),-2)</f>
        <v>6900</v>
      </c>
      <c r="S317" s="47">
        <f>ROUNDUP(R317+(R317*Assumptions!R$5),-2)</f>
        <v>7100</v>
      </c>
    </row>
    <row r="318" spans="1:19" s="34" customFormat="1" x14ac:dyDescent="0.2">
      <c r="A318" s="54">
        <v>0</v>
      </c>
      <c r="B318" s="9">
        <v>0</v>
      </c>
      <c r="C318" s="136">
        <v>0</v>
      </c>
      <c r="D318" s="136">
        <v>600</v>
      </c>
      <c r="E318" s="136">
        <v>1100</v>
      </c>
      <c r="F318" s="578" t="s">
        <v>5473</v>
      </c>
      <c r="G318" s="662" t="s">
        <v>5474</v>
      </c>
      <c r="H318" s="9">
        <v>1100</v>
      </c>
      <c r="I318" s="584">
        <f t="shared" si="419"/>
        <v>0</v>
      </c>
      <c r="J318" s="136">
        <v>1200</v>
      </c>
      <c r="K318" s="136">
        <f>ROUNDUP(H318+(H318*Assumptions!J$5),-2)</f>
        <v>1200</v>
      </c>
      <c r="L318" s="136">
        <f>ROUNDUP(J318+(J318*Assumptions!K$5),-2)</f>
        <v>1300</v>
      </c>
      <c r="M318" s="136">
        <f>ROUNDUP(K318+(K318*Assumptions!L$5),-2)</f>
        <v>1300</v>
      </c>
      <c r="N318" s="136">
        <f>ROUNDUP(L318+(L318*Assumptions!M$5),-2)</f>
        <v>1400</v>
      </c>
      <c r="O318" s="136">
        <f>ROUNDUP(M318+(M318*Assumptions!N$5),-2)</f>
        <v>1400</v>
      </c>
      <c r="P318" s="136">
        <f>ROUNDUP(N318+(N318*Assumptions!O$5),-2)</f>
        <v>1500</v>
      </c>
      <c r="Q318" s="134">
        <f>ROUNDUP(O318+(O318*Assumptions!P$5),-2)</f>
        <v>1500</v>
      </c>
      <c r="R318" s="134">
        <f>ROUNDUP(P318+(P318*Assumptions!Q$5),-2)</f>
        <v>1600</v>
      </c>
      <c r="S318" s="2359">
        <f>ROUNDUP(Q318+(Q318*Assumptions!R$5),-2)</f>
        <v>1600</v>
      </c>
    </row>
    <row r="319" spans="1:19" s="34" customFormat="1" x14ac:dyDescent="0.2">
      <c r="A319" s="54">
        <v>0</v>
      </c>
      <c r="B319" s="9">
        <v>0</v>
      </c>
      <c r="C319" s="136">
        <v>0</v>
      </c>
      <c r="D319" s="136">
        <v>1200</v>
      </c>
      <c r="E319" s="136">
        <v>1000</v>
      </c>
      <c r="F319" s="578" t="s">
        <v>5475</v>
      </c>
      <c r="G319" s="662" t="s">
        <v>5476</v>
      </c>
      <c r="H319" s="9">
        <v>2100</v>
      </c>
      <c r="I319" s="584">
        <f t="shared" si="419"/>
        <v>110.00000000000001</v>
      </c>
      <c r="J319" s="9">
        <f>ROUNDUP(H319+(H319*Assumptions!I$5),-2)</f>
        <v>2200</v>
      </c>
      <c r="K319" s="9">
        <f>ROUNDUP(J319+(J319*Assumptions!J$5),-2)</f>
        <v>2300</v>
      </c>
      <c r="L319" s="9">
        <f>ROUNDUP(K319+(K319*Assumptions!K$5),-2)</f>
        <v>2400</v>
      </c>
      <c r="M319" s="9">
        <f>ROUNDUP(L319+(L319*Assumptions!L$5),-2)</f>
        <v>2500</v>
      </c>
      <c r="N319" s="9">
        <f>ROUNDUP(M319+(M319*Assumptions!M$5),-2)</f>
        <v>2600</v>
      </c>
      <c r="O319" s="9">
        <f>ROUNDUP(N319+(N319*Assumptions!N$5),-2)</f>
        <v>2700</v>
      </c>
      <c r="P319" s="9">
        <f>ROUNDUP(O319+(O319*Assumptions!O$5),-2)</f>
        <v>2800</v>
      </c>
      <c r="Q319" s="9">
        <f>ROUNDUP(P319+(P319*Assumptions!P$5),-2)</f>
        <v>2900</v>
      </c>
      <c r="R319" s="9">
        <f>ROUNDUP(Q319+(Q319*Assumptions!Q$5),-2)</f>
        <v>3000</v>
      </c>
      <c r="S319" s="47">
        <f>ROUNDUP(R319+(R319*Assumptions!R$5),-2)</f>
        <v>3100</v>
      </c>
    </row>
    <row r="320" spans="1:19" s="34" customFormat="1" x14ac:dyDescent="0.2">
      <c r="A320" s="54">
        <v>105600</v>
      </c>
      <c r="B320" s="9">
        <v>107600</v>
      </c>
      <c r="C320" s="136">
        <v>121000</v>
      </c>
      <c r="D320" s="136">
        <v>118000</v>
      </c>
      <c r="E320" s="136">
        <v>83900</v>
      </c>
      <c r="F320" s="578" t="s">
        <v>6016</v>
      </c>
      <c r="G320" s="371" t="s">
        <v>2526</v>
      </c>
      <c r="H320" s="9">
        <v>122400</v>
      </c>
      <c r="I320" s="584">
        <f t="shared" si="419"/>
        <v>45.887961859356373</v>
      </c>
      <c r="J320" s="9">
        <f>ROUNDUP(H320+(H320*Assumptions!I$5),-2)</f>
        <v>125300</v>
      </c>
      <c r="K320" s="9">
        <f>ROUNDUP(J320+(J320*Assumptions!J$5),-2)</f>
        <v>128500</v>
      </c>
      <c r="L320" s="9">
        <f>ROUNDUP(K320+(K320*Assumptions!K$5),-2)</f>
        <v>131800</v>
      </c>
      <c r="M320" s="9">
        <f>ROUNDUP(L320+(L320*Assumptions!L$5),-2)</f>
        <v>135100</v>
      </c>
      <c r="N320" s="9">
        <f>ROUNDUP(M320+(M320*Assumptions!M$5),-2)</f>
        <v>138500</v>
      </c>
      <c r="O320" s="9">
        <f>ROUNDUP(N320+(N320*Assumptions!N$5),-2)</f>
        <v>142000</v>
      </c>
      <c r="P320" s="89">
        <f>ROUNDUP(O320+(O320*Assumptions!O$5),-2)</f>
        <v>145600</v>
      </c>
      <c r="Q320" s="9">
        <f>ROUNDUP(P320+(P320*Assumptions!P$5),-2)</f>
        <v>149300</v>
      </c>
      <c r="R320" s="9">
        <f>ROUNDUP(Q320+(Q320*Assumptions!Q$5),-2)</f>
        <v>153100</v>
      </c>
      <c r="S320" s="47">
        <f>ROUNDUP(R320+(R320*Assumptions!R$5),-2)</f>
        <v>157000</v>
      </c>
    </row>
    <row r="321" spans="1:21" s="34" customFormat="1" x14ac:dyDescent="0.2">
      <c r="A321" s="54">
        <v>57500</v>
      </c>
      <c r="B321" s="9">
        <v>53800</v>
      </c>
      <c r="C321" s="136">
        <f>75100+1300</f>
        <v>76400</v>
      </c>
      <c r="D321" s="136">
        <v>103300</v>
      </c>
      <c r="E321" s="136">
        <v>126500</v>
      </c>
      <c r="F321" s="578" t="s">
        <v>6017</v>
      </c>
      <c r="G321" s="662" t="s">
        <v>4847</v>
      </c>
      <c r="H321" s="9">
        <v>92000</v>
      </c>
      <c r="I321" s="584">
        <f t="shared" si="419"/>
        <v>-27.27272727272727</v>
      </c>
      <c r="J321" s="9">
        <f>ROUNDUP(H321+(H321*Assumptions!I$5),-2)</f>
        <v>94200</v>
      </c>
      <c r="K321" s="9">
        <f>ROUNDUP(J321+(J321*Assumptions!J$5),-2)</f>
        <v>96600</v>
      </c>
      <c r="L321" s="9">
        <f>ROUNDUP(K321+(K321*Assumptions!K$5),-2)</f>
        <v>99100</v>
      </c>
      <c r="M321" s="9">
        <f>ROUNDUP(L321+(L321*Assumptions!L$5),-2)</f>
        <v>101600</v>
      </c>
      <c r="N321" s="9">
        <f>ROUNDUP(M321+(M321*Assumptions!M$5),-2)</f>
        <v>104200</v>
      </c>
      <c r="O321" s="9">
        <f>ROUNDUP(N321+(N321*Assumptions!N$5),-2)</f>
        <v>106900</v>
      </c>
      <c r="P321" s="89">
        <f>ROUNDUP(O321+(O321*Assumptions!O$5),-2)</f>
        <v>109600</v>
      </c>
      <c r="Q321" s="9">
        <f>ROUNDUP(P321+(P321*Assumptions!P$5),-2)</f>
        <v>112400</v>
      </c>
      <c r="R321" s="9">
        <f>ROUNDUP(Q321+(Q321*Assumptions!Q$5),-2)</f>
        <v>115300</v>
      </c>
      <c r="S321" s="47">
        <f>ROUNDUP(R321+(R321*Assumptions!R$5),-2)</f>
        <v>118200</v>
      </c>
    </row>
    <row r="322" spans="1:21" s="34" customFormat="1" x14ac:dyDescent="0.2">
      <c r="A322" s="54">
        <v>0</v>
      </c>
      <c r="B322" s="9">
        <v>0</v>
      </c>
      <c r="C322" s="136">
        <v>0</v>
      </c>
      <c r="D322" s="136">
        <v>0</v>
      </c>
      <c r="E322" s="136">
        <v>0</v>
      </c>
      <c r="F322" s="578" t="s">
        <v>6018</v>
      </c>
      <c r="G322" s="371" t="s">
        <v>646</v>
      </c>
      <c r="H322" s="9">
        <v>15000</v>
      </c>
      <c r="I322" s="584">
        <f t="shared" si="419"/>
        <v>100</v>
      </c>
      <c r="J322" s="9">
        <f>ROUNDUP(H322+(H322*Assumptions!I$5),-2)</f>
        <v>15400</v>
      </c>
      <c r="K322" s="9">
        <f>ROUNDUP(J322+(J322*Assumptions!J$5),-2)</f>
        <v>15800</v>
      </c>
      <c r="L322" s="9">
        <f>ROUNDUP(K322+(K322*Assumptions!K$5),-2)</f>
        <v>16200</v>
      </c>
      <c r="M322" s="9">
        <f>ROUNDUP(L322+(L322*Assumptions!L$5),-2)</f>
        <v>16700</v>
      </c>
      <c r="N322" s="9">
        <f>ROUNDUP(M322+(M322*Assumptions!M$5),-2)</f>
        <v>17200</v>
      </c>
      <c r="O322" s="9">
        <f>ROUNDUP(N322+(N322*Assumptions!N$5),-2)</f>
        <v>17700</v>
      </c>
      <c r="P322" s="89">
        <f>ROUNDUP(O322+(O322*Assumptions!O$5),-2)</f>
        <v>18200</v>
      </c>
      <c r="Q322" s="9">
        <f>ROUNDUP(P322+(P322*Assumptions!P$5),-2)</f>
        <v>18700</v>
      </c>
      <c r="R322" s="9">
        <f>ROUNDUP(Q322+(Q322*Assumptions!Q$5),-2)</f>
        <v>19200</v>
      </c>
      <c r="S322" s="47">
        <f>ROUNDUP(R322+(R322*Assumptions!R$5),-2)</f>
        <v>19700</v>
      </c>
    </row>
    <row r="323" spans="1:21" s="34" customFormat="1" x14ac:dyDescent="0.2">
      <c r="A323" s="25">
        <f>183600-34000+100</f>
        <v>149700</v>
      </c>
      <c r="B323" s="79">
        <f>125400+77200</f>
        <v>202600</v>
      </c>
      <c r="C323" s="136">
        <v>700</v>
      </c>
      <c r="D323" s="136">
        <v>0</v>
      </c>
      <c r="E323" s="136">
        <v>500</v>
      </c>
      <c r="F323" s="239" t="s">
        <v>1625</v>
      </c>
      <c r="G323" s="662" t="s">
        <v>4942</v>
      </c>
      <c r="H323" s="9">
        <v>0</v>
      </c>
      <c r="I323" s="584">
        <f t="shared" si="419"/>
        <v>-100</v>
      </c>
      <c r="J323" s="9">
        <f>ROUNDUP(H323+(H323*Assumptions!I$5),-2)</f>
        <v>0</v>
      </c>
      <c r="K323" s="9">
        <f>ROUNDUP(J323+(J323*Assumptions!J$5),-2)</f>
        <v>0</v>
      </c>
      <c r="L323" s="9">
        <f>ROUNDUP(K323+(K323*Assumptions!K$5),-2)</f>
        <v>0</v>
      </c>
      <c r="M323" s="9">
        <f>ROUNDUP(L323+(L323*Assumptions!L$5),-2)</f>
        <v>0</v>
      </c>
      <c r="N323" s="9">
        <f>ROUNDUP(M323+(M323*Assumptions!M$5),-2)</f>
        <v>0</v>
      </c>
      <c r="O323" s="134">
        <f>ROUNDUP(N323+(N323*Assumptions!N$5),-2)</f>
        <v>0</v>
      </c>
      <c r="P323" s="136">
        <f>ROUNDUP(O323+(O323*Assumptions!O$5),-2)</f>
        <v>0</v>
      </c>
      <c r="Q323" s="134">
        <f>ROUNDUP(P323+(P323*Assumptions!P$5),-2)</f>
        <v>0</v>
      </c>
      <c r="R323" s="134">
        <f>ROUNDUP(Q323+(Q323*Assumptions!Q$5),-2)</f>
        <v>0</v>
      </c>
      <c r="S323" s="2359">
        <f>ROUNDUP(R323+(R323*Assumptions!R$5),-2)</f>
        <v>0</v>
      </c>
    </row>
    <row r="324" spans="1:21" s="34" customFormat="1" x14ac:dyDescent="0.2">
      <c r="A324" s="54">
        <v>2800</v>
      </c>
      <c r="B324" s="9">
        <v>900</v>
      </c>
      <c r="C324" s="136">
        <v>1500</v>
      </c>
      <c r="D324" s="136">
        <v>0</v>
      </c>
      <c r="E324" s="136">
        <v>0</v>
      </c>
      <c r="F324" s="239" t="s">
        <v>647</v>
      </c>
      <c r="G324" s="371" t="s">
        <v>648</v>
      </c>
      <c r="H324" s="9">
        <v>3100</v>
      </c>
      <c r="I324" s="584">
        <f t="shared" si="419"/>
        <v>100</v>
      </c>
      <c r="J324" s="9">
        <f>ROUNDUP(H324+(H324*Assumptions!I$5),-2)</f>
        <v>3200</v>
      </c>
      <c r="K324" s="9">
        <f>ROUNDUP(J324+(J324*Assumptions!J$5),-2)</f>
        <v>3300</v>
      </c>
      <c r="L324" s="9">
        <f>ROUNDUP(K324+(K324*Assumptions!K$5),-2)</f>
        <v>3400</v>
      </c>
      <c r="M324" s="9">
        <f>ROUNDUP(L324+(L324*Assumptions!L$5),-2)</f>
        <v>3500</v>
      </c>
      <c r="N324" s="9">
        <f>ROUNDUP(M324+(M324*Assumptions!M$5),-2)</f>
        <v>3600</v>
      </c>
      <c r="O324" s="134">
        <f>ROUNDUP(N324+(N324*Assumptions!N$5),-2)</f>
        <v>3700</v>
      </c>
      <c r="P324" s="136">
        <f>ROUNDUP(O324+(O324*Assumptions!O$5),-2)</f>
        <v>3800</v>
      </c>
      <c r="Q324" s="134">
        <f>ROUNDUP(P324+(P324*Assumptions!P$5),-2)</f>
        <v>3900</v>
      </c>
      <c r="R324" s="134">
        <f>ROUNDUP(Q324+(Q324*Assumptions!Q$5),-2)</f>
        <v>4000</v>
      </c>
      <c r="S324" s="2359">
        <f>ROUNDUP(R324+(R324*Assumptions!R$5),-2)</f>
        <v>4100</v>
      </c>
    </row>
    <row r="325" spans="1:21" s="34" customFormat="1" x14ac:dyDescent="0.2">
      <c r="A325" s="54">
        <v>0</v>
      </c>
      <c r="B325" s="9">
        <v>0</v>
      </c>
      <c r="C325" s="136">
        <v>0</v>
      </c>
      <c r="D325" s="136">
        <v>2000</v>
      </c>
      <c r="E325" s="136">
        <v>1600</v>
      </c>
      <c r="F325" s="578" t="s">
        <v>5532</v>
      </c>
      <c r="G325" s="662" t="s">
        <v>5533</v>
      </c>
      <c r="H325" s="9">
        <v>3000</v>
      </c>
      <c r="I325" s="584">
        <f t="shared" si="419"/>
        <v>87.5</v>
      </c>
      <c r="J325" s="9">
        <f>ROUNDUP(H325+(H325*Assumptions!I$5),-2)</f>
        <v>3100</v>
      </c>
      <c r="K325" s="9">
        <f>ROUNDUP(J325+(J325*Assumptions!J$5),-2)</f>
        <v>3200</v>
      </c>
      <c r="L325" s="9">
        <f>ROUNDUP(K325+(K325*Assumptions!K$5),-2)</f>
        <v>3300</v>
      </c>
      <c r="M325" s="9">
        <f>ROUNDUP(L325+(L325*Assumptions!L$5),-2)</f>
        <v>3400</v>
      </c>
      <c r="N325" s="9">
        <f>ROUNDUP(M325+(M325*Assumptions!M$5),-2)</f>
        <v>3500</v>
      </c>
      <c r="O325" s="134">
        <f>ROUNDUP(N325+(N325*Assumptions!N$5),-2)</f>
        <v>3600</v>
      </c>
      <c r="P325" s="136">
        <f>ROUNDUP(O325+(O325*Assumptions!O$5),-2)</f>
        <v>3700</v>
      </c>
      <c r="Q325" s="134">
        <f>ROUNDUP(P325+(P325*Assumptions!P$5),-2)</f>
        <v>3800</v>
      </c>
      <c r="R325" s="134">
        <f>ROUNDUP(Q325+(Q325*Assumptions!Q$5),-2)</f>
        <v>3900</v>
      </c>
      <c r="S325" s="2359">
        <f>ROUNDUP(R325+(R325*Assumptions!R$5),-2)</f>
        <v>4000</v>
      </c>
    </row>
    <row r="326" spans="1:21" s="34" customFormat="1" x14ac:dyDescent="0.2">
      <c r="A326" s="54"/>
      <c r="B326" s="9"/>
      <c r="C326" s="136"/>
      <c r="D326" s="136"/>
      <c r="E326" s="136"/>
      <c r="F326" s="239"/>
      <c r="G326" s="912" t="s">
        <v>4764</v>
      </c>
      <c r="H326" s="9"/>
      <c r="I326" s="584"/>
      <c r="J326" s="9"/>
      <c r="K326" s="9"/>
      <c r="L326" s="9"/>
      <c r="M326" s="9"/>
      <c r="N326" s="9"/>
      <c r="O326" s="134"/>
      <c r="P326" s="136"/>
      <c r="Q326" s="134"/>
      <c r="R326" s="134"/>
      <c r="S326" s="2359"/>
    </row>
    <row r="327" spans="1:21" s="34" customFormat="1" x14ac:dyDescent="0.2">
      <c r="A327" s="54">
        <v>0</v>
      </c>
      <c r="B327" s="9">
        <v>0</v>
      </c>
      <c r="C327" s="136">
        <v>0</v>
      </c>
      <c r="D327" s="136">
        <v>1700</v>
      </c>
      <c r="E327" s="136">
        <f>62500-E328</f>
        <v>45400</v>
      </c>
      <c r="F327" s="578" t="s">
        <v>5203</v>
      </c>
      <c r="G327" s="662" t="s">
        <v>4881</v>
      </c>
      <c r="H327" s="9">
        <v>12000</v>
      </c>
      <c r="I327" s="584">
        <f>IF(E327=H327,0,IF(E327=0,100,(H327-E327)/E327*100))</f>
        <v>-73.568281938325995</v>
      </c>
      <c r="J327" s="9">
        <f>ROUNDUP(H327+(H327*Assumptions!I$5),-2)</f>
        <v>12300</v>
      </c>
      <c r="K327" s="9">
        <f>ROUNDUP(J327+(J327*Assumptions!J$5),-2)</f>
        <v>12700</v>
      </c>
      <c r="L327" s="9">
        <f>ROUNDUP(K327+(K327*Assumptions!K$5),-2)</f>
        <v>13100</v>
      </c>
      <c r="M327" s="9">
        <f>ROUNDUP(L327+(L327*Assumptions!L$5),-2)</f>
        <v>13500</v>
      </c>
      <c r="N327" s="9">
        <f>ROUNDUP(M327+(M327*Assumptions!M$5),-2)</f>
        <v>13900</v>
      </c>
      <c r="O327" s="134">
        <f>ROUNDUP(N327+(N327*Assumptions!N$5),-2)</f>
        <v>14300</v>
      </c>
      <c r="P327" s="136">
        <f>ROUNDUP(O327+(O327*Assumptions!O$5),-2)</f>
        <v>14700</v>
      </c>
      <c r="Q327" s="134">
        <f>ROUNDUP(P327+(P327*Assumptions!P$5),-2)</f>
        <v>15100</v>
      </c>
      <c r="R327" s="134">
        <f>ROUNDUP(Q327+(Q327*Assumptions!Q$5),-2)</f>
        <v>15500</v>
      </c>
      <c r="S327" s="2359">
        <f>ROUNDUP(R327+(R327*Assumptions!R$5),-2)</f>
        <v>15900</v>
      </c>
    </row>
    <row r="328" spans="1:21" s="34" customFormat="1" x14ac:dyDescent="0.2">
      <c r="A328" s="54">
        <v>101800</v>
      </c>
      <c r="B328" s="9">
        <v>69100</v>
      </c>
      <c r="C328" s="136">
        <v>55000</v>
      </c>
      <c r="D328" s="136">
        <v>66200</v>
      </c>
      <c r="E328" s="136">
        <v>17100</v>
      </c>
      <c r="F328" s="239" t="s">
        <v>1010</v>
      </c>
      <c r="G328" s="662" t="s">
        <v>5233</v>
      </c>
      <c r="H328" s="9">
        <v>103000</v>
      </c>
      <c r="I328" s="584">
        <f>IF(E328=H328,0,IF(E328=0,100,(H328-E328)/E328*100))</f>
        <v>502.33918128654966</v>
      </c>
      <c r="J328" s="9">
        <f>ROUNDUP(H328+(H328*Assumptions!I$5),-2)</f>
        <v>105400</v>
      </c>
      <c r="K328" s="9">
        <f>ROUNDUP(J328+(J328*Assumptions!J$5),-2)</f>
        <v>108100</v>
      </c>
      <c r="L328" s="9">
        <f>ROUNDUP(K328+(K328*Assumptions!K$5),-2)</f>
        <v>110900</v>
      </c>
      <c r="M328" s="9">
        <f>ROUNDUP(L328+(L328*Assumptions!L$5),-2)</f>
        <v>113700</v>
      </c>
      <c r="N328" s="9">
        <f>ROUNDUP(M328+(M328*Assumptions!M$5),-2)</f>
        <v>116600</v>
      </c>
      <c r="O328" s="134">
        <f>ROUNDUP(N328+(N328*Assumptions!N$5),-2)</f>
        <v>119600</v>
      </c>
      <c r="P328" s="136">
        <f>ROUNDUP(O328+(O328*Assumptions!O$5),-2)</f>
        <v>122600</v>
      </c>
      <c r="Q328" s="134">
        <f>ROUNDUP(P328+(P328*Assumptions!P$5),-2)</f>
        <v>125700</v>
      </c>
      <c r="R328" s="134">
        <f>ROUNDUP(Q328+(Q328*Assumptions!Q$5),-2)</f>
        <v>128900</v>
      </c>
      <c r="S328" s="2359">
        <f>ROUNDUP(R328+(R328*Assumptions!R$5),-2)</f>
        <v>132200</v>
      </c>
    </row>
    <row r="329" spans="1:21" s="34" customFormat="1" x14ac:dyDescent="0.2">
      <c r="A329" s="54"/>
      <c r="B329" s="9"/>
      <c r="C329" s="136"/>
      <c r="D329" s="136"/>
      <c r="E329" s="136"/>
      <c r="F329" s="1153"/>
      <c r="G329" s="21" t="s">
        <v>261</v>
      </c>
      <c r="H329" s="9"/>
      <c r="I329" s="584"/>
      <c r="J329" s="9"/>
      <c r="K329" s="9"/>
      <c r="L329" s="9"/>
      <c r="M329" s="9"/>
      <c r="N329" s="9"/>
      <c r="O329" s="9"/>
      <c r="P329" s="89"/>
      <c r="Q329" s="9"/>
      <c r="R329" s="9"/>
      <c r="S329" s="47"/>
    </row>
    <row r="330" spans="1:21" s="34" customFormat="1" x14ac:dyDescent="0.2">
      <c r="A330" s="54">
        <v>1882900</v>
      </c>
      <c r="B330" s="9">
        <v>1859500</v>
      </c>
      <c r="C330" s="136">
        <v>1478700</v>
      </c>
      <c r="D330" s="136">
        <v>1498900</v>
      </c>
      <c r="E330" s="136">
        <v>1399600</v>
      </c>
      <c r="F330" s="239" t="s">
        <v>392</v>
      </c>
      <c r="G330" s="9" t="s">
        <v>2035</v>
      </c>
      <c r="H330" s="9">
        <v>1380000</v>
      </c>
      <c r="I330" s="584">
        <f>IF(E330=H330,0,IF(E330=0,100,(H330-E330)/E330*100))</f>
        <v>-1.4004001143183766</v>
      </c>
      <c r="J330" s="9">
        <f>ROUNDUP(H330+(H330*Assumptions!I$18),-2)</f>
        <v>1407600</v>
      </c>
      <c r="K330" s="9">
        <f>ROUNDUP(J330+(J330*Assumptions!J$18),-2)</f>
        <v>1435800</v>
      </c>
      <c r="L330" s="9">
        <f>ROUNDUP(K330+(K330*Assumptions!K$18),-2)</f>
        <v>1464600</v>
      </c>
      <c r="M330" s="9">
        <f>ROUNDUP(L330+(L330*Assumptions!L$18),-2)</f>
        <v>1493900</v>
      </c>
      <c r="N330" s="9">
        <f>ROUNDUP(M330+(M330*Assumptions!M$18),-2)</f>
        <v>1523800</v>
      </c>
      <c r="O330" s="9">
        <f>ROUNDUP(N330+(N330*Assumptions!N$18),-2)</f>
        <v>1554300</v>
      </c>
      <c r="P330" s="89">
        <f>ROUNDUP(O330+(O330*Assumptions!O$18),-2)</f>
        <v>1585400</v>
      </c>
      <c r="Q330" s="9">
        <f>ROUNDUP(P330+(P330*Assumptions!P$18),-2)</f>
        <v>1617200</v>
      </c>
      <c r="R330" s="9">
        <f>ROUNDUP(Q330+(Q330*Assumptions!Q$18),-2)</f>
        <v>1649600</v>
      </c>
      <c r="S330" s="47">
        <f>ROUNDUP(R330+(R330*Assumptions!R$18),-2)</f>
        <v>1682600</v>
      </c>
    </row>
    <row r="331" spans="1:21" s="34" customFormat="1" x14ac:dyDescent="0.2">
      <c r="A331" s="54">
        <v>161800</v>
      </c>
      <c r="B331" s="9">
        <v>111000</v>
      </c>
      <c r="C331" s="136">
        <v>20600</v>
      </c>
      <c r="D331" s="136">
        <f>64000</f>
        <v>64000</v>
      </c>
      <c r="E331" s="136">
        <v>0</v>
      </c>
      <c r="F331" s="578" t="s">
        <v>4416</v>
      </c>
      <c r="G331" s="662" t="s">
        <v>4427</v>
      </c>
      <c r="H331" s="9">
        <v>0</v>
      </c>
      <c r="I331" s="584">
        <f>IF(E331=H331,0,IF(E331=0,100,(H331-E331)/E331*100))</f>
        <v>0</v>
      </c>
      <c r="J331" s="9">
        <f>ROUNDUP(H331+(H331*Assumptions!I$5),-2)</f>
        <v>0</v>
      </c>
      <c r="K331" s="9">
        <f>ROUNDUP(J331+(J331*Assumptions!J$5),-2)</f>
        <v>0</v>
      </c>
      <c r="L331" s="9">
        <f>ROUNDUP(K331+(K331*Assumptions!K$5),-2)</f>
        <v>0</v>
      </c>
      <c r="M331" s="9">
        <f>ROUNDUP(L331+(L331*Assumptions!L$5),-2)</f>
        <v>0</v>
      </c>
      <c r="N331" s="9">
        <f>ROUNDUP(M331+(M331*Assumptions!M$5),-2)</f>
        <v>0</v>
      </c>
      <c r="O331" s="9">
        <f>ROUNDUP(N331+(N331*Assumptions!N$5),-2)</f>
        <v>0</v>
      </c>
      <c r="P331" s="89">
        <f>ROUNDUP(O331+(O331*Assumptions!O$5),-2)</f>
        <v>0</v>
      </c>
      <c r="Q331" s="9">
        <f>ROUNDUP(P331+(P331*Assumptions!P$5),-2)</f>
        <v>0</v>
      </c>
      <c r="R331" s="9">
        <f>ROUNDUP(Q331+(Q331*Assumptions!Q$5),-2)</f>
        <v>0</v>
      </c>
      <c r="S331" s="47">
        <f>ROUNDUP(R331+(R331*Assumptions!R$5),-2)</f>
        <v>0</v>
      </c>
    </row>
    <row r="332" spans="1:21" s="34" customFormat="1" ht="13.5" thickBot="1" x14ac:dyDescent="0.25">
      <c r="A332" s="54"/>
      <c r="B332" s="9"/>
      <c r="C332" s="136"/>
      <c r="D332" s="136"/>
      <c r="E332" s="136"/>
      <c r="F332" s="1157"/>
      <c r="G332" s="257"/>
      <c r="H332" s="9"/>
      <c r="I332" s="584"/>
      <c r="J332" s="9"/>
      <c r="K332" s="9"/>
      <c r="L332" s="9"/>
      <c r="M332" s="9"/>
      <c r="N332" s="9"/>
      <c r="O332" s="9"/>
      <c r="P332" s="89"/>
      <c r="Q332" s="9"/>
      <c r="R332" s="9"/>
      <c r="S332" s="47"/>
    </row>
    <row r="333" spans="1:21" s="39" customFormat="1" x14ac:dyDescent="0.2">
      <c r="A333" s="52">
        <f>SUM(A203:A332)</f>
        <v>10923600</v>
      </c>
      <c r="B333" s="16">
        <f>SUM(B203:B332)</f>
        <v>11111600</v>
      </c>
      <c r="C333" s="137">
        <f>SUM(C203:C332)</f>
        <v>10817000</v>
      </c>
      <c r="D333" s="137">
        <f>SUM(D203:D332)</f>
        <v>10849900</v>
      </c>
      <c r="E333" s="137">
        <f>SUM(E203:E332)</f>
        <v>11120300</v>
      </c>
      <c r="F333" s="1182"/>
      <c r="G333" s="267" t="s">
        <v>556</v>
      </c>
      <c r="H333" s="16">
        <f>SUM(H203:H332)</f>
        <v>11225400</v>
      </c>
      <c r="I333" s="391">
        <f>IF(E333=H333,0,IF(E333=0,100,(H333-E333)/E333*100))</f>
        <v>0.94511838709387341</v>
      </c>
      <c r="J333" s="16">
        <f t="shared" ref="J333:S333" si="420">SUM(J203:J332)</f>
        <v>11512000</v>
      </c>
      <c r="K333" s="16">
        <f t="shared" si="420"/>
        <v>11743300</v>
      </c>
      <c r="L333" s="16">
        <f t="shared" si="420"/>
        <v>12020800</v>
      </c>
      <c r="M333" s="16">
        <f t="shared" si="420"/>
        <v>12364600</v>
      </c>
      <c r="N333" s="16">
        <f t="shared" si="420"/>
        <v>12737500</v>
      </c>
      <c r="O333" s="16">
        <f t="shared" si="420"/>
        <v>13034500</v>
      </c>
      <c r="P333" s="102">
        <f t="shared" si="420"/>
        <v>13390800</v>
      </c>
      <c r="Q333" s="16">
        <f t="shared" si="420"/>
        <v>13756900</v>
      </c>
      <c r="R333" s="16">
        <f t="shared" si="420"/>
        <v>14116100</v>
      </c>
      <c r="S333" s="2342">
        <f t="shared" si="420"/>
        <v>14443700</v>
      </c>
      <c r="U333" s="34"/>
    </row>
    <row r="334" spans="1:21" s="34" customFormat="1" x14ac:dyDescent="0.2">
      <c r="A334" s="54"/>
      <c r="B334" s="9"/>
      <c r="C334" s="136"/>
      <c r="D334" s="136"/>
      <c r="E334" s="136"/>
      <c r="F334" s="1157"/>
      <c r="G334" s="257"/>
      <c r="H334" s="9"/>
      <c r="I334" s="584"/>
      <c r="J334" s="9"/>
      <c r="K334" s="9"/>
      <c r="L334" s="9"/>
      <c r="M334" s="9"/>
      <c r="N334" s="9"/>
      <c r="O334" s="9"/>
      <c r="P334" s="89"/>
      <c r="Q334" s="9"/>
      <c r="R334" s="9"/>
      <c r="S334" s="47"/>
    </row>
    <row r="335" spans="1:21" s="39" customFormat="1" x14ac:dyDescent="0.2">
      <c r="A335" s="24">
        <f>A201-A333</f>
        <v>-1290100</v>
      </c>
      <c r="B335" s="21">
        <f>B201-B333</f>
        <v>-422500</v>
      </c>
      <c r="C335" s="139">
        <f>C201-C333</f>
        <v>75500</v>
      </c>
      <c r="D335" s="139">
        <f>D201-D333</f>
        <v>349200</v>
      </c>
      <c r="E335" s="139">
        <f>E201-E333</f>
        <v>1289500</v>
      </c>
      <c r="F335" s="1182"/>
      <c r="G335" s="361" t="s">
        <v>1002</v>
      </c>
      <c r="H335" s="21">
        <f>H201-H333</f>
        <v>553000</v>
      </c>
      <c r="I335" s="220">
        <f>IF(E335=H335,0,IF(E335=0,100,(H335-E335)/E335*100))</f>
        <v>-57.115160915083365</v>
      </c>
      <c r="J335" s="21">
        <f t="shared" ref="J335:S335" si="421">J201-J333</f>
        <v>631700</v>
      </c>
      <c r="K335" s="21">
        <f t="shared" si="421"/>
        <v>588800</v>
      </c>
      <c r="L335" s="21">
        <f t="shared" si="421"/>
        <v>587600</v>
      </c>
      <c r="M335" s="21">
        <f t="shared" si="421"/>
        <v>634800</v>
      </c>
      <c r="N335" s="21">
        <f t="shared" si="421"/>
        <v>537800</v>
      </c>
      <c r="O335" s="21">
        <f t="shared" si="421"/>
        <v>566500</v>
      </c>
      <c r="P335" s="75">
        <f t="shared" si="421"/>
        <v>550100</v>
      </c>
      <c r="Q335" s="21">
        <f t="shared" si="421"/>
        <v>544300</v>
      </c>
      <c r="R335" s="21">
        <f t="shared" si="421"/>
        <v>647000</v>
      </c>
      <c r="S335" s="86">
        <f t="shared" si="421"/>
        <v>801400</v>
      </c>
      <c r="U335" s="34"/>
    </row>
    <row r="336" spans="1:21" s="34" customFormat="1" x14ac:dyDescent="0.2">
      <c r="A336" s="54">
        <f t="shared" ref="A336:B337" si="422">A330</f>
        <v>1882900</v>
      </c>
      <c r="B336" s="9">
        <f t="shared" si="422"/>
        <v>1859500</v>
      </c>
      <c r="C336" s="136">
        <f>C330</f>
        <v>1478700</v>
      </c>
      <c r="D336" s="136">
        <f>D330</f>
        <v>1498900</v>
      </c>
      <c r="E336" s="136">
        <f t="shared" ref="E336" si="423">E330</f>
        <v>1399600</v>
      </c>
      <c r="F336" s="1157"/>
      <c r="G336" s="261" t="s">
        <v>1943</v>
      </c>
      <c r="H336" s="9">
        <f t="shared" ref="H336:P336" si="424">H330</f>
        <v>1380000</v>
      </c>
      <c r="I336" s="584">
        <f>IF(E336=H336,0,IF(E336=0,100,(H336-E336)/E336*100))</f>
        <v>-1.4004001143183766</v>
      </c>
      <c r="J336" s="9">
        <f t="shared" si="424"/>
        <v>1407600</v>
      </c>
      <c r="K336" s="9">
        <f t="shared" si="424"/>
        <v>1435800</v>
      </c>
      <c r="L336" s="9">
        <f t="shared" si="424"/>
        <v>1464600</v>
      </c>
      <c r="M336" s="9">
        <f t="shared" si="424"/>
        <v>1493900</v>
      </c>
      <c r="N336" s="9">
        <f t="shared" si="424"/>
        <v>1523800</v>
      </c>
      <c r="O336" s="9">
        <f t="shared" si="424"/>
        <v>1554300</v>
      </c>
      <c r="P336" s="89">
        <f t="shared" si="424"/>
        <v>1585400</v>
      </c>
      <c r="Q336" s="9">
        <f t="shared" ref="Q336" si="425">Q330</f>
        <v>1617200</v>
      </c>
      <c r="R336" s="9">
        <f t="shared" ref="R336" si="426">R330</f>
        <v>1649600</v>
      </c>
      <c r="S336" s="47">
        <f t="shared" ref="S336" si="427">S330</f>
        <v>1682600</v>
      </c>
    </row>
    <row r="337" spans="1:21" s="34" customFormat="1" x14ac:dyDescent="0.2">
      <c r="A337" s="54">
        <f t="shared" si="422"/>
        <v>161800</v>
      </c>
      <c r="B337" s="9">
        <f t="shared" si="422"/>
        <v>111000</v>
      </c>
      <c r="C337" s="136">
        <f>C331</f>
        <v>20600</v>
      </c>
      <c r="D337" s="136">
        <f>D331</f>
        <v>64000</v>
      </c>
      <c r="E337" s="136">
        <f t="shared" ref="E337" si="428">E331</f>
        <v>0</v>
      </c>
      <c r="F337" s="1157"/>
      <c r="G337" s="261" t="s">
        <v>4590</v>
      </c>
      <c r="H337" s="9">
        <f t="shared" ref="H337:P337" si="429">H331</f>
        <v>0</v>
      </c>
      <c r="I337" s="584">
        <f>IF(E337=H337,0,IF(E337=0,100,(H337-E337)/E337*100))</f>
        <v>0</v>
      </c>
      <c r="J337" s="9">
        <f t="shared" si="429"/>
        <v>0</v>
      </c>
      <c r="K337" s="9">
        <f t="shared" si="429"/>
        <v>0</v>
      </c>
      <c r="L337" s="9">
        <f t="shared" si="429"/>
        <v>0</v>
      </c>
      <c r="M337" s="9">
        <f t="shared" si="429"/>
        <v>0</v>
      </c>
      <c r="N337" s="9">
        <f t="shared" si="429"/>
        <v>0</v>
      </c>
      <c r="O337" s="9">
        <f t="shared" si="429"/>
        <v>0</v>
      </c>
      <c r="P337" s="89">
        <f t="shared" si="429"/>
        <v>0</v>
      </c>
      <c r="Q337" s="9">
        <f t="shared" ref="Q337" si="430">Q331</f>
        <v>0</v>
      </c>
      <c r="R337" s="9">
        <f t="shared" ref="R337" si="431">R331</f>
        <v>0</v>
      </c>
      <c r="S337" s="47">
        <f t="shared" ref="S337" si="432">S331</f>
        <v>0</v>
      </c>
    </row>
    <row r="338" spans="1:21" s="39" customFormat="1" x14ac:dyDescent="0.2">
      <c r="A338" s="128">
        <f t="shared" ref="A338:B338" si="433">SUM(A335:A337)</f>
        <v>754600</v>
      </c>
      <c r="B338" s="280">
        <f t="shared" si="433"/>
        <v>1548000</v>
      </c>
      <c r="C338" s="281">
        <f>SUM(C335:C337)</f>
        <v>1574800</v>
      </c>
      <c r="D338" s="281">
        <f>SUM(D335:D337)</f>
        <v>1912100</v>
      </c>
      <c r="E338" s="281">
        <f t="shared" ref="E338" si="434">SUM(E335:E337)</f>
        <v>2689100</v>
      </c>
      <c r="F338" s="365"/>
      <c r="G338" s="363" t="s">
        <v>1659</v>
      </c>
      <c r="H338" s="280">
        <f t="shared" ref="H338:O338" si="435">SUM(H335:H337)</f>
        <v>1933000</v>
      </c>
      <c r="I338" s="864">
        <f>IF(E338=H338,0,IF(E338=0,100,(H338-E338)/E338*100))</f>
        <v>-28.117213937748691</v>
      </c>
      <c r="J338" s="280">
        <f t="shared" si="435"/>
        <v>2039300</v>
      </c>
      <c r="K338" s="280">
        <f t="shared" si="435"/>
        <v>2024600</v>
      </c>
      <c r="L338" s="280">
        <f t="shared" si="435"/>
        <v>2052200</v>
      </c>
      <c r="M338" s="280">
        <f t="shared" si="435"/>
        <v>2128700</v>
      </c>
      <c r="N338" s="280">
        <f t="shared" si="435"/>
        <v>2061600</v>
      </c>
      <c r="O338" s="280">
        <f t="shared" si="435"/>
        <v>2120800</v>
      </c>
      <c r="P338" s="266">
        <f t="shared" ref="P338:Q338" si="436">SUM(P335:P337)</f>
        <v>2135500</v>
      </c>
      <c r="Q338" s="280">
        <f t="shared" si="436"/>
        <v>2161500</v>
      </c>
      <c r="R338" s="280">
        <f t="shared" ref="R338" si="437">SUM(R335:R337)</f>
        <v>2296600</v>
      </c>
      <c r="S338" s="2343">
        <f t="shared" ref="S338" si="438">SUM(S335:S337)</f>
        <v>2484000</v>
      </c>
      <c r="U338" s="34"/>
    </row>
    <row r="339" spans="1:21" s="34" customFormat="1" ht="13.5" thickBot="1" x14ac:dyDescent="0.25">
      <c r="A339" s="118"/>
      <c r="B339" s="23"/>
      <c r="C339" s="148"/>
      <c r="D339" s="148"/>
      <c r="E339" s="148"/>
      <c r="F339" s="119"/>
      <c r="G339" s="268"/>
      <c r="H339" s="68"/>
      <c r="I339" s="751"/>
      <c r="J339" s="68"/>
      <c r="K339" s="68"/>
      <c r="L339" s="68"/>
      <c r="M339" s="68"/>
      <c r="N339" s="68"/>
      <c r="O339" s="68"/>
      <c r="P339" s="42"/>
      <c r="Q339" s="68"/>
      <c r="R339" s="68"/>
      <c r="S339" s="108"/>
    </row>
    <row r="340" spans="1:21" s="34" customFormat="1" ht="13.5" thickTop="1" x14ac:dyDescent="0.2">
      <c r="A340" s="270"/>
      <c r="B340" s="109"/>
      <c r="C340" s="140"/>
      <c r="D340" s="140"/>
      <c r="E340" s="140"/>
      <c r="F340" s="70"/>
      <c r="G340" s="258"/>
      <c r="H340" s="74"/>
      <c r="I340" s="1057"/>
      <c r="J340" s="74"/>
      <c r="K340" s="74"/>
      <c r="L340" s="74"/>
      <c r="M340" s="74"/>
      <c r="N340" s="74"/>
      <c r="O340" s="74"/>
      <c r="P340" s="111"/>
      <c r="Q340" s="74"/>
      <c r="R340" s="74"/>
      <c r="S340" s="110"/>
    </row>
    <row r="341" spans="1:21" s="34" customFormat="1" x14ac:dyDescent="0.2">
      <c r="A341" s="24"/>
      <c r="B341" s="21"/>
      <c r="C341" s="139"/>
      <c r="D341" s="139"/>
      <c r="E341" s="139"/>
      <c r="F341" s="70"/>
      <c r="G341" s="361" t="s">
        <v>192</v>
      </c>
      <c r="H341" s="9"/>
      <c r="I341" s="220"/>
      <c r="J341" s="9"/>
      <c r="K341" s="9"/>
      <c r="L341" s="9"/>
      <c r="M341" s="9"/>
      <c r="N341" s="9"/>
      <c r="O341" s="9"/>
      <c r="P341" s="89"/>
      <c r="Q341" s="9"/>
      <c r="R341" s="9"/>
      <c r="S341" s="61"/>
    </row>
    <row r="342" spans="1:21" s="34" customFormat="1" x14ac:dyDescent="0.2">
      <c r="A342" s="54">
        <v>3800</v>
      </c>
      <c r="B342" s="9">
        <v>0</v>
      </c>
      <c r="C342" s="136">
        <v>0</v>
      </c>
      <c r="D342" s="136">
        <v>0</v>
      </c>
      <c r="E342" s="136">
        <v>0</v>
      </c>
      <c r="F342" s="1157"/>
      <c r="G342" s="257" t="s">
        <v>2848</v>
      </c>
      <c r="H342" s="9">
        <v>0</v>
      </c>
      <c r="I342" s="584"/>
      <c r="J342" s="9">
        <v>0</v>
      </c>
      <c r="K342" s="9">
        <v>0</v>
      </c>
      <c r="L342" s="9">
        <v>0</v>
      </c>
      <c r="M342" s="9">
        <v>0</v>
      </c>
      <c r="N342" s="9">
        <v>0</v>
      </c>
      <c r="O342" s="9">
        <v>0</v>
      </c>
      <c r="P342" s="89">
        <v>0</v>
      </c>
      <c r="Q342" s="9">
        <v>0</v>
      </c>
      <c r="R342" s="9">
        <v>0</v>
      </c>
      <c r="S342" s="61">
        <v>0</v>
      </c>
    </row>
    <row r="343" spans="1:21" s="34" customFormat="1" x14ac:dyDescent="0.2">
      <c r="A343" s="54">
        <v>364000</v>
      </c>
      <c r="B343" s="9">
        <v>485900</v>
      </c>
      <c r="C343" s="136">
        <v>782500</v>
      </c>
      <c r="D343" s="136">
        <f>IF(D338-D342-D346+D345&gt;0,D338-D342-D346+D345-34000,0)</f>
        <v>637500</v>
      </c>
      <c r="E343" s="136">
        <f>IF(E338-E342-E346+E345&gt;0,E338-E342-E346+E345-34000,0)</f>
        <v>0</v>
      </c>
      <c r="F343" s="70"/>
      <c r="G343" s="257" t="s">
        <v>1909</v>
      </c>
      <c r="H343" s="9">
        <f>IF(H338-H342-H346+H345&gt;0,H338-H342-H346+H345-34000,0)</f>
        <v>0</v>
      </c>
      <c r="I343" s="584"/>
      <c r="J343" s="9">
        <f t="shared" ref="J343:P343" si="439">IF(J338-J342-J346+J345&gt;0,J338-J342-J346+J345-34000,0)</f>
        <v>156300</v>
      </c>
      <c r="K343" s="9">
        <f t="shared" si="439"/>
        <v>0</v>
      </c>
      <c r="L343" s="9">
        <f t="shared" si="439"/>
        <v>266100</v>
      </c>
      <c r="M343" s="9">
        <f t="shared" si="439"/>
        <v>0</v>
      </c>
      <c r="N343" s="9">
        <f t="shared" si="439"/>
        <v>576600</v>
      </c>
      <c r="O343" s="9">
        <f t="shared" si="439"/>
        <v>0</v>
      </c>
      <c r="P343" s="89">
        <f t="shared" si="439"/>
        <v>0</v>
      </c>
      <c r="Q343" s="9">
        <f t="shared" ref="Q343" si="440">IF(Q338-Q342-Q346+Q345&gt;0,Q338-Q342-Q346+Q345-34000,0)</f>
        <v>335900</v>
      </c>
      <c r="R343" s="9">
        <f t="shared" ref="R343:S343" si="441">IF(R338-R342-R346+R345&gt;0,R338-R342-R346+R345-34000,0)</f>
        <v>511600</v>
      </c>
      <c r="S343" s="61">
        <f t="shared" si="441"/>
        <v>656000</v>
      </c>
    </row>
    <row r="344" spans="1:21" s="34" customFormat="1" x14ac:dyDescent="0.2">
      <c r="A344" s="54">
        <v>536600</v>
      </c>
      <c r="B344" s="9">
        <v>0</v>
      </c>
      <c r="C344" s="136">
        <v>0</v>
      </c>
      <c r="D344" s="136">
        <f>IF(D338-D342-D346+D345&gt;0,0,-(D338-D342-D346+D345-34000))</f>
        <v>0</v>
      </c>
      <c r="E344" s="136">
        <f>IF(E338-E342-E346+E345&gt;0,0,-(E338-E342-E346+E345-34000))</f>
        <v>936300</v>
      </c>
      <c r="F344" s="70"/>
      <c r="G344" s="257" t="s">
        <v>2309</v>
      </c>
      <c r="H344" s="9">
        <f>IF(H338-H342-H346+H345&gt;0,0,-(H338-H342-H346+H345-34000))</f>
        <v>1420700</v>
      </c>
      <c r="I344" s="584"/>
      <c r="J344" s="9">
        <f t="shared" ref="J344:P344" si="442">IF(J338-J342-J346+J345&gt;0,0,-(J338-J342-J346+J345-34000))</f>
        <v>0</v>
      </c>
      <c r="K344" s="9">
        <f t="shared" si="442"/>
        <v>290400</v>
      </c>
      <c r="L344" s="9">
        <f t="shared" si="442"/>
        <v>0</v>
      </c>
      <c r="M344" s="9">
        <f t="shared" si="442"/>
        <v>2078300</v>
      </c>
      <c r="N344" s="9">
        <f t="shared" si="442"/>
        <v>0</v>
      </c>
      <c r="O344" s="9">
        <f t="shared" si="442"/>
        <v>1510500</v>
      </c>
      <c r="P344" s="89">
        <f t="shared" si="442"/>
        <v>1166200</v>
      </c>
      <c r="Q344" s="9">
        <f t="shared" ref="Q344" si="443">IF(Q338-Q342-Q346+Q345&gt;0,0,-(Q338-Q342-Q346+Q345-34000))</f>
        <v>0</v>
      </c>
      <c r="R344" s="9">
        <f t="shared" ref="R344:S344" si="444">IF(R338-R342-R346+R345&gt;0,0,-(R338-R342-R346+R345-34000))</f>
        <v>0</v>
      </c>
      <c r="S344" s="61">
        <f t="shared" si="444"/>
        <v>0</v>
      </c>
    </row>
    <row r="345" spans="1:21" s="34" customFormat="1" x14ac:dyDescent="0.2">
      <c r="A345" s="54">
        <v>47800</v>
      </c>
      <c r="B345" s="9">
        <v>799000</v>
      </c>
      <c r="C345" s="136">
        <v>2063400</v>
      </c>
      <c r="D345" s="136">
        <f>SUM('Cap-Water'!R73:T73)</f>
        <v>186400</v>
      </c>
      <c r="E345" s="136">
        <f>SUM('Cap-Water'!V73:X73)</f>
        <v>409300</v>
      </c>
      <c r="F345" s="70"/>
      <c r="G345" s="257" t="s">
        <v>5847</v>
      </c>
      <c r="H345" s="9">
        <f>SUM('Cap-Water'!Z73:AB73)</f>
        <v>681000</v>
      </c>
      <c r="I345" s="584"/>
      <c r="J345" s="9">
        <f>SUM('Cap-Water'!AD73:AF73)</f>
        <v>3169000</v>
      </c>
      <c r="K345" s="9">
        <f>SUM('Cap-Water'!AH73:AJ73)</f>
        <v>1119000</v>
      </c>
      <c r="L345" s="9">
        <f>SUM('Cap-Water'!AL73:AN73)</f>
        <v>238000</v>
      </c>
      <c r="M345" s="9">
        <f>SUM('Cap-Water'!AP73:AR73)</f>
        <v>1663000</v>
      </c>
      <c r="N345" s="9">
        <f>SUM('Cap-Water'!AT73:AV73)</f>
        <v>3211000</v>
      </c>
      <c r="O345" s="9">
        <f>SUM('Cap-Water'!AX73:AZ73)</f>
        <v>1033500</v>
      </c>
      <c r="P345" s="89">
        <f>SUM('Cap-Water'!BB73:BD73)</f>
        <v>1109300</v>
      </c>
      <c r="Q345" s="9">
        <f>SUM('Cap-Water'!BF73:BH73)</f>
        <v>0</v>
      </c>
      <c r="R345" s="9">
        <f>SUM('Cap-Water'!BJ73:BL73)</f>
        <v>0</v>
      </c>
      <c r="S345" s="61">
        <f>SUM('Cap-Water'!BN73:BP73)</f>
        <v>0</v>
      </c>
    </row>
    <row r="346" spans="1:21" s="34" customFormat="1" x14ac:dyDescent="0.2">
      <c r="A346" s="54">
        <v>937200</v>
      </c>
      <c r="B346" s="9">
        <v>1827100</v>
      </c>
      <c r="C346" s="136">
        <v>2821700</v>
      </c>
      <c r="D346" s="136">
        <f>'Cap-Water'!E73</f>
        <v>1427000</v>
      </c>
      <c r="E346" s="136">
        <f>'Cap-Water'!G73</f>
        <v>4000700</v>
      </c>
      <c r="F346" s="70"/>
      <c r="G346" s="426" t="s">
        <v>959</v>
      </c>
      <c r="H346" s="9">
        <f>'Cap-Water'!G73</f>
        <v>4000700</v>
      </c>
      <c r="I346" s="584"/>
      <c r="J346" s="9">
        <f>'Cap-Water'!H73</f>
        <v>5018000</v>
      </c>
      <c r="K346" s="9">
        <f>'Cap-Water'!I73</f>
        <v>3400000</v>
      </c>
      <c r="L346" s="9">
        <f>'Cap-Water'!J73</f>
        <v>1990100</v>
      </c>
      <c r="M346" s="9">
        <f>'Cap-Water'!K73</f>
        <v>5836000</v>
      </c>
      <c r="N346" s="9">
        <f>'Cap-Water'!L73</f>
        <v>4662000</v>
      </c>
      <c r="O346" s="9">
        <f>'Cap-Water'!M73</f>
        <v>4630800</v>
      </c>
      <c r="P346" s="89">
        <f>'Cap-Water'!N73</f>
        <v>4377000</v>
      </c>
      <c r="Q346" s="9">
        <f>'Cap-Water'!O73</f>
        <v>1791600</v>
      </c>
      <c r="R346" s="9">
        <f>'Cap-Water'!P73</f>
        <v>1751000</v>
      </c>
      <c r="S346" s="61">
        <f>'Cap-Water'!Q73</f>
        <v>1794000</v>
      </c>
    </row>
    <row r="347" spans="1:21" s="39" customFormat="1" x14ac:dyDescent="0.2">
      <c r="A347" s="128">
        <f>A338-A342-A343+A344++A345-A346</f>
        <v>34000</v>
      </c>
      <c r="B347" s="280">
        <f>B338-B342-B343+B344++B345-B346</f>
        <v>34000</v>
      </c>
      <c r="C347" s="281">
        <f>C338-C342-C343+C344++C345-C346</f>
        <v>34000</v>
      </c>
      <c r="D347" s="281">
        <f>D338-D342-D343+D344++D345-D346</f>
        <v>34000</v>
      </c>
      <c r="E347" s="281">
        <f>E338-E342-E343+E344++E345-E346</f>
        <v>34000</v>
      </c>
      <c r="F347" s="380"/>
      <c r="G347" s="363" t="s">
        <v>2447</v>
      </c>
      <c r="H347" s="280">
        <f t="shared" ref="H347:M347" si="445">H338-H342-H343+H344++H345-H346</f>
        <v>34000</v>
      </c>
      <c r="I347" s="864">
        <f>IF(E347=H347,0,IF(E347=0,100,(H347-E347)/E347*100))</f>
        <v>0</v>
      </c>
      <c r="J347" s="280">
        <f t="shared" si="445"/>
        <v>34000</v>
      </c>
      <c r="K347" s="280">
        <f t="shared" si="445"/>
        <v>34000</v>
      </c>
      <c r="L347" s="280">
        <f t="shared" si="445"/>
        <v>34000</v>
      </c>
      <c r="M347" s="280">
        <f t="shared" si="445"/>
        <v>34000</v>
      </c>
      <c r="N347" s="280">
        <f t="shared" ref="N347:S347" si="446">N338-N342-N343+N344++N345-N346</f>
        <v>34000</v>
      </c>
      <c r="O347" s="280">
        <f t="shared" si="446"/>
        <v>34000</v>
      </c>
      <c r="P347" s="266">
        <f t="shared" si="446"/>
        <v>34000</v>
      </c>
      <c r="Q347" s="280">
        <f t="shared" si="446"/>
        <v>34000</v>
      </c>
      <c r="R347" s="280">
        <f t="shared" si="446"/>
        <v>34000</v>
      </c>
      <c r="S347" s="282">
        <f t="shared" si="446"/>
        <v>34000</v>
      </c>
      <c r="U347" s="34"/>
    </row>
    <row r="348" spans="1:21" s="34" customFormat="1" ht="14.25" customHeight="1" thickBot="1" x14ac:dyDescent="0.25">
      <c r="A348" s="26"/>
      <c r="B348" s="37"/>
      <c r="C348" s="141"/>
      <c r="D348" s="141"/>
      <c r="E348" s="141"/>
      <c r="F348" s="37"/>
      <c r="G348" s="259"/>
      <c r="H348" s="23"/>
      <c r="I348" s="851"/>
      <c r="J348" s="23"/>
      <c r="K348" s="23"/>
      <c r="L348" s="23"/>
      <c r="M348" s="23"/>
      <c r="N348" s="23"/>
      <c r="O348" s="23"/>
      <c r="P348" s="113"/>
      <c r="Q348" s="23"/>
      <c r="R348" s="23"/>
      <c r="S348" s="112"/>
    </row>
    <row r="349" spans="1:21" s="34" customFormat="1" ht="14.25" thickTop="1" thickBot="1" x14ac:dyDescent="0.25">
      <c r="A349" s="55"/>
      <c r="B349" s="55"/>
      <c r="C349" s="55"/>
      <c r="D349" s="55"/>
      <c r="E349" s="55"/>
      <c r="F349" s="70"/>
      <c r="G349" s="55"/>
      <c r="H349" s="55"/>
      <c r="I349" s="58"/>
      <c r="J349" s="55"/>
      <c r="K349" s="55"/>
      <c r="L349" s="55"/>
      <c r="M349" s="55"/>
      <c r="N349" s="55"/>
      <c r="O349" s="55"/>
      <c r="P349" s="55"/>
      <c r="Q349" s="55"/>
      <c r="R349" s="55"/>
      <c r="S349" s="55"/>
    </row>
    <row r="350" spans="1:21" s="38" customFormat="1" ht="18.75" customHeight="1" thickTop="1" thickBot="1" x14ac:dyDescent="0.3">
      <c r="A350" s="2601" t="s">
        <v>3037</v>
      </c>
      <c r="B350" s="2602"/>
      <c r="C350" s="2602"/>
      <c r="D350" s="2602"/>
      <c r="E350" s="2602"/>
      <c r="F350" s="2602"/>
      <c r="G350" s="2602"/>
      <c r="H350" s="2602"/>
      <c r="I350" s="2602"/>
      <c r="J350" s="2602"/>
      <c r="K350" s="2602"/>
      <c r="L350" s="2602"/>
      <c r="M350" s="2602"/>
      <c r="N350" s="2602"/>
      <c r="O350" s="2602"/>
      <c r="P350" s="2602"/>
      <c r="Q350" s="2602"/>
      <c r="R350" s="2602"/>
      <c r="S350" s="2603"/>
      <c r="U350" s="34"/>
    </row>
    <row r="351" spans="1:21" s="39" customFormat="1" x14ac:dyDescent="0.2">
      <c r="A351" s="2598" t="s">
        <v>1824</v>
      </c>
      <c r="B351" s="2599"/>
      <c r="C351" s="2599"/>
      <c r="D351" s="2599"/>
      <c r="E351" s="2600"/>
      <c r="F351" s="2058" t="s">
        <v>2616</v>
      </c>
      <c r="G351" s="2231" t="s">
        <v>2213</v>
      </c>
      <c r="H351" s="2577" t="s">
        <v>2215</v>
      </c>
      <c r="I351" s="2577"/>
      <c r="J351" s="2577"/>
      <c r="K351" s="2577"/>
      <c r="L351" s="2577"/>
      <c r="M351" s="2577"/>
      <c r="N351" s="2577"/>
      <c r="O351" s="2577"/>
      <c r="P351" s="2577"/>
      <c r="Q351" s="2577"/>
      <c r="R351" s="2577"/>
      <c r="S351" s="2578"/>
      <c r="U351" s="34"/>
    </row>
    <row r="352" spans="1:21" s="34" customFormat="1" ht="13.5" thickBot="1" x14ac:dyDescent="0.25">
      <c r="A352" s="1031" t="str">
        <f>A3</f>
        <v>2012/13</v>
      </c>
      <c r="B352" s="28" t="str">
        <f>B3</f>
        <v>2013/14</v>
      </c>
      <c r="C352" s="40" t="str">
        <f>C3</f>
        <v>2014/15</v>
      </c>
      <c r="D352" s="40" t="str">
        <f>D3</f>
        <v>2015/16</v>
      </c>
      <c r="E352" s="28" t="str">
        <f>E3</f>
        <v>2016/17</v>
      </c>
      <c r="F352" s="2008" t="s">
        <v>2617</v>
      </c>
      <c r="G352" s="41"/>
      <c r="H352" s="28" t="str">
        <f>H3</f>
        <v>2017/18</v>
      </c>
      <c r="I352" s="1436" t="s">
        <v>492</v>
      </c>
      <c r="J352" s="28" t="str">
        <f t="shared" ref="J352:S352" si="447">J3</f>
        <v>2018/19</v>
      </c>
      <c r="K352" s="28" t="str">
        <f t="shared" si="447"/>
        <v>2019/20</v>
      </c>
      <c r="L352" s="28" t="str">
        <f t="shared" si="447"/>
        <v>2020/21</v>
      </c>
      <c r="M352" s="28" t="str">
        <f t="shared" si="447"/>
        <v>2021/22</v>
      </c>
      <c r="N352" s="28" t="str">
        <f t="shared" si="447"/>
        <v>2022/23</v>
      </c>
      <c r="O352" s="28" t="str">
        <f t="shared" si="447"/>
        <v>2023/24</v>
      </c>
      <c r="P352" s="464" t="str">
        <f t="shared" si="447"/>
        <v>2024/25</v>
      </c>
      <c r="Q352" s="28" t="str">
        <f t="shared" si="447"/>
        <v>2025/26</v>
      </c>
      <c r="R352" s="28" t="str">
        <f t="shared" si="447"/>
        <v>2026/27</v>
      </c>
      <c r="S352" s="1262" t="str">
        <f t="shared" si="447"/>
        <v>2027/28</v>
      </c>
    </row>
    <row r="353" spans="1:19" s="34" customFormat="1" x14ac:dyDescent="0.2">
      <c r="A353" s="528"/>
      <c r="B353" s="151"/>
      <c r="C353" s="150"/>
      <c r="D353" s="150"/>
      <c r="E353" s="150"/>
      <c r="F353" s="150"/>
      <c r="G353" s="46"/>
      <c r="H353" s="150"/>
      <c r="I353" s="1767"/>
      <c r="J353" s="150"/>
      <c r="K353" s="150"/>
      <c r="L353" s="151"/>
      <c r="M353" s="150"/>
      <c r="N353" s="151"/>
      <c r="O353" s="150"/>
      <c r="P353" s="152"/>
      <c r="Q353" s="150"/>
      <c r="R353" s="150"/>
      <c r="S353" s="381"/>
    </row>
    <row r="354" spans="1:19" s="34" customFormat="1" x14ac:dyDescent="0.2">
      <c r="A354" s="54"/>
      <c r="B354" s="9"/>
      <c r="C354" s="134"/>
      <c r="D354" s="134"/>
      <c r="E354" s="134"/>
      <c r="F354" s="85"/>
      <c r="G354" s="91" t="s">
        <v>1056</v>
      </c>
      <c r="H354" s="134"/>
      <c r="I354" s="79"/>
      <c r="J354" s="9"/>
      <c r="K354" s="9"/>
      <c r="L354" s="9"/>
      <c r="M354" s="9"/>
      <c r="N354" s="9"/>
      <c r="O354" s="9"/>
      <c r="P354" s="89"/>
      <c r="Q354" s="9"/>
      <c r="R354" s="9"/>
      <c r="S354" s="61"/>
    </row>
    <row r="355" spans="1:19" s="34" customFormat="1" x14ac:dyDescent="0.2">
      <c r="A355" s="54"/>
      <c r="B355" s="9"/>
      <c r="C355" s="134"/>
      <c r="D355" s="1029"/>
      <c r="E355" s="1029"/>
      <c r="F355" s="1378"/>
      <c r="G355" s="319" t="s">
        <v>60</v>
      </c>
      <c r="H355" s="134"/>
      <c r="I355" s="584"/>
      <c r="J355" s="1029"/>
      <c r="K355" s="1029"/>
      <c r="L355" s="1029"/>
      <c r="M355" s="1029"/>
      <c r="N355" s="1029"/>
      <c r="O355" s="1029"/>
      <c r="P355" s="461"/>
      <c r="Q355" s="1029"/>
      <c r="R355" s="1029"/>
      <c r="S355" s="1028"/>
    </row>
    <row r="356" spans="1:19" s="34" customFormat="1" x14ac:dyDescent="0.2">
      <c r="A356" s="54">
        <v>9550000</v>
      </c>
      <c r="B356" s="9">
        <v>10507100</v>
      </c>
      <c r="C356" s="136">
        <v>11693900</v>
      </c>
      <c r="D356" s="134">
        <v>12707200</v>
      </c>
      <c r="E356" s="134">
        <v>13875800</v>
      </c>
      <c r="F356" s="239" t="s">
        <v>765</v>
      </c>
      <c r="G356" s="247" t="s">
        <v>144</v>
      </c>
      <c r="H356" s="134">
        <v>14360000</v>
      </c>
      <c r="I356" s="584">
        <f>IF(E356=H356,0,IF(E356=0,100,(H356-E356)/E356*100))</f>
        <v>3.4895285316882632</v>
      </c>
      <c r="J356" s="1029">
        <f>ROUND(H356*Assumptions!I$51+H356,-3)</f>
        <v>14719000</v>
      </c>
      <c r="K356" s="134">
        <f>ROUND(J356*Assumptions!J$51+J356,-3)</f>
        <v>15087000</v>
      </c>
      <c r="L356" s="134">
        <f>ROUND(K356*Assumptions!K$51+K356,-3)</f>
        <v>15464000</v>
      </c>
      <c r="M356" s="134">
        <f>ROUND(L356*Assumptions!L$51+L356,-3)</f>
        <v>15851000</v>
      </c>
      <c r="N356" s="134">
        <f>ROUND(M356*Assumptions!M$51+M356,-3)</f>
        <v>16247000</v>
      </c>
      <c r="O356" s="134">
        <f>ROUND(N356*Assumptions!N$51+N356,-3)</f>
        <v>16653000</v>
      </c>
      <c r="P356" s="136">
        <f>ROUND(O356*Assumptions!O$51+O356,-3)</f>
        <v>17069000</v>
      </c>
      <c r="Q356" s="134">
        <f>ROUND(P356*Assumptions!P$51+P356,-3)</f>
        <v>17496000</v>
      </c>
      <c r="R356" s="134">
        <f>ROUND(Q356*Assumptions!Q$51+Q356,-3)</f>
        <v>17933000</v>
      </c>
      <c r="S356" s="2359">
        <f>ROUND(R356*Assumptions!R$51+R356,-3)</f>
        <v>18381000</v>
      </c>
    </row>
    <row r="357" spans="1:19" s="34" customFormat="1" x14ac:dyDescent="0.2">
      <c r="A357" s="54">
        <v>1292400</v>
      </c>
      <c r="B357" s="9">
        <v>1435700</v>
      </c>
      <c r="C357" s="136">
        <v>1587400</v>
      </c>
      <c r="D357" s="134">
        <v>1664700</v>
      </c>
      <c r="E357" s="134">
        <v>1811400</v>
      </c>
      <c r="F357" s="239" t="s">
        <v>304</v>
      </c>
      <c r="G357" s="772" t="s">
        <v>816</v>
      </c>
      <c r="H357" s="134">
        <v>1865000</v>
      </c>
      <c r="I357" s="584">
        <f>IF(E357=H357,0,IF(E357=0,100,(H357-E357)/E357*100))</f>
        <v>2.9590372087887822</v>
      </c>
      <c r="J357" s="134">
        <f>ROUND(H357*Assumptions!I$51+H357,-3)</f>
        <v>1912000</v>
      </c>
      <c r="K357" s="134">
        <f>ROUND(J357*Assumptions!J$51+J357,-3)</f>
        <v>1960000</v>
      </c>
      <c r="L357" s="134">
        <f>ROUND(K357*Assumptions!K$51+K357,-3)</f>
        <v>2009000</v>
      </c>
      <c r="M357" s="134">
        <f>ROUND(L357*Assumptions!L$51+L357,-3)</f>
        <v>2059000</v>
      </c>
      <c r="N357" s="134">
        <f>ROUND(M357*Assumptions!M$51+M357,-3)</f>
        <v>2110000</v>
      </c>
      <c r="O357" s="134">
        <f>ROUND(N357*Assumptions!N$51+N357,-3)</f>
        <v>2163000</v>
      </c>
      <c r="P357" s="136">
        <f>ROUND(O357*Assumptions!O$51+O357,-3)</f>
        <v>2217000</v>
      </c>
      <c r="Q357" s="134">
        <f>ROUND(P357*Assumptions!P$51+P357,-3)</f>
        <v>2272000</v>
      </c>
      <c r="R357" s="134">
        <f>ROUND(Q357*Assumptions!Q$51+Q357,-3)</f>
        <v>2329000</v>
      </c>
      <c r="S357" s="2359">
        <f>ROUND(R357*Assumptions!R$51+R357,-3)</f>
        <v>2387000</v>
      </c>
    </row>
    <row r="358" spans="1:19" s="34" customFormat="1" x14ac:dyDescent="0.2">
      <c r="A358" s="54">
        <v>-122400</v>
      </c>
      <c r="B358" s="9">
        <v>-123300</v>
      </c>
      <c r="C358" s="134">
        <v>-124100</v>
      </c>
      <c r="D358" s="134">
        <v>-128100</v>
      </c>
      <c r="E358" s="134">
        <v>-130100</v>
      </c>
      <c r="F358" s="239" t="s">
        <v>305</v>
      </c>
      <c r="G358" s="772" t="s">
        <v>6545</v>
      </c>
      <c r="H358" s="134">
        <v>-130000</v>
      </c>
      <c r="I358" s="584">
        <f>IF(E358=H358,0,IF(E358=0,100,(H358-E358)/E358*100))</f>
        <v>-7.6863950807071479E-2</v>
      </c>
      <c r="J358" s="134">
        <f>ROUNDUP(H358+(H358*Assumptions!I$8),-3)</f>
        <v>-131000</v>
      </c>
      <c r="K358" s="134">
        <f>ROUNDUP(J358+(J358*Assumptions!J$8),-3)</f>
        <v>-132000</v>
      </c>
      <c r="L358" s="134">
        <f>ROUNDUP(K358+(K358*Assumptions!K$8),-3)</f>
        <v>-133000</v>
      </c>
      <c r="M358" s="134">
        <f>ROUNDUP(L358+(L358*Assumptions!L$8),-3)</f>
        <v>-134000</v>
      </c>
      <c r="N358" s="134">
        <f>ROUNDUP(M358+(M358*Assumptions!M$8),-3)</f>
        <v>-135000</v>
      </c>
      <c r="O358" s="134">
        <f>ROUNDUP(N358+(N358*Assumptions!N$8),-3)</f>
        <v>-136000</v>
      </c>
      <c r="P358" s="136">
        <f>ROUNDUP(O358+(O358*Assumptions!O$8),-3)</f>
        <v>-137000</v>
      </c>
      <c r="Q358" s="134">
        <f>ROUNDUP(P358+(P358*Assumptions!P$8),-3)</f>
        <v>-138000</v>
      </c>
      <c r="R358" s="134">
        <f>ROUNDUP(Q358+(Q358*Assumptions!Q$8),-3)</f>
        <v>-139000</v>
      </c>
      <c r="S358" s="2359">
        <f>ROUNDUP(R358+(R358*Assumptions!R$8),-3)</f>
        <v>-140000</v>
      </c>
    </row>
    <row r="359" spans="1:19" s="34" customFormat="1" x14ac:dyDescent="0.2">
      <c r="A359" s="54">
        <v>-149600</v>
      </c>
      <c r="B359" s="9">
        <v>-150800</v>
      </c>
      <c r="C359" s="134">
        <v>-151700</v>
      </c>
      <c r="D359" s="134">
        <v>-156600</v>
      </c>
      <c r="E359" s="134">
        <v>-159100</v>
      </c>
      <c r="F359" s="239" t="s">
        <v>306</v>
      </c>
      <c r="G359" s="772" t="s">
        <v>4593</v>
      </c>
      <c r="H359" s="134">
        <v>-158000</v>
      </c>
      <c r="I359" s="584">
        <f>IF(E359=H359,0,IF(E359=0,100,(H359-E359)/E359*100))</f>
        <v>-0.69138906348208673</v>
      </c>
      <c r="J359" s="134">
        <f>ROUNDUP(H359+(H359*Assumptions!I$8),-3)</f>
        <v>-159000</v>
      </c>
      <c r="K359" s="134">
        <f>ROUNDUP(J359+(J359*Assumptions!J$8),-3)</f>
        <v>-160000</v>
      </c>
      <c r="L359" s="134">
        <f>ROUNDUP(K359+(K359*Assumptions!K$8),-3)</f>
        <v>-161000</v>
      </c>
      <c r="M359" s="134">
        <f>ROUNDUP(L359+(L359*Assumptions!L$8),-3)</f>
        <v>-162000</v>
      </c>
      <c r="N359" s="134">
        <f>ROUNDUP(M359+(M359*Assumptions!M$8),-3)</f>
        <v>-163000</v>
      </c>
      <c r="O359" s="134">
        <f>ROUNDUP(N359+(N359*Assumptions!N$8),-3)</f>
        <v>-164000</v>
      </c>
      <c r="P359" s="136">
        <f>ROUNDUP(O359+(O359*Assumptions!O$8),-3)</f>
        <v>-165000</v>
      </c>
      <c r="Q359" s="134">
        <f>ROUNDUP(P359+(P359*Assumptions!P$8),-3)</f>
        <v>-166000</v>
      </c>
      <c r="R359" s="134">
        <f>ROUNDUP(Q359+(Q359*Assumptions!Q$8),-3)</f>
        <v>-167000</v>
      </c>
      <c r="S359" s="2359">
        <f>ROUNDUP(R359+(R359*Assumptions!R$8),-3)</f>
        <v>-168000</v>
      </c>
    </row>
    <row r="360" spans="1:19" s="34" customFormat="1" x14ac:dyDescent="0.2">
      <c r="A360" s="54"/>
      <c r="B360" s="9"/>
      <c r="C360" s="136"/>
      <c r="D360" s="134"/>
      <c r="E360" s="134"/>
      <c r="F360" s="730"/>
      <c r="G360" s="247"/>
      <c r="H360" s="9"/>
      <c r="I360" s="584"/>
      <c r="J360" s="134"/>
      <c r="K360" s="9"/>
      <c r="L360" s="9"/>
      <c r="M360" s="9"/>
      <c r="N360" s="9"/>
      <c r="O360" s="9"/>
      <c r="P360" s="89"/>
      <c r="Q360" s="9"/>
      <c r="R360" s="9"/>
      <c r="S360" s="47"/>
    </row>
    <row r="361" spans="1:19" s="34" customFormat="1" x14ac:dyDescent="0.2">
      <c r="A361" s="54"/>
      <c r="B361" s="9"/>
      <c r="C361" s="136"/>
      <c r="D361" s="1030"/>
      <c r="E361" s="1030"/>
      <c r="F361" s="1378"/>
      <c r="G361" s="319" t="s">
        <v>823</v>
      </c>
      <c r="H361" s="9"/>
      <c r="I361" s="584"/>
      <c r="J361" s="134"/>
      <c r="K361" s="1030"/>
      <c r="L361" s="1030"/>
      <c r="M361" s="134"/>
      <c r="N361" s="134"/>
      <c r="O361" s="9"/>
      <c r="P361" s="89"/>
      <c r="Q361" s="9"/>
      <c r="R361" s="9"/>
      <c r="S361" s="47"/>
    </row>
    <row r="362" spans="1:19" s="34" customFormat="1" x14ac:dyDescent="0.2">
      <c r="A362" s="54">
        <v>803400</v>
      </c>
      <c r="B362" s="9">
        <v>938000</v>
      </c>
      <c r="C362" s="136">
        <v>891500</v>
      </c>
      <c r="D362" s="134">
        <v>996700</v>
      </c>
      <c r="E362" s="134">
        <f>1175100</f>
        <v>1175100</v>
      </c>
      <c r="F362" s="239" t="s">
        <v>2701</v>
      </c>
      <c r="G362" s="772" t="s">
        <v>817</v>
      </c>
      <c r="H362" s="134">
        <v>1138000</v>
      </c>
      <c r="I362" s="584">
        <f t="shared" ref="I362:I367" si="448">IF(E362=H362,0,IF(E362=0,100,(H362-E362)/E362*100))</f>
        <v>-3.1571781125010636</v>
      </c>
      <c r="J362" s="134">
        <f>ROUND(H362*Assumptions!I$52+H362,-3)</f>
        <v>1166000</v>
      </c>
      <c r="K362" s="134">
        <f>ROUND(J362*Assumptions!J$52+J362,-3)</f>
        <v>1195000</v>
      </c>
      <c r="L362" s="134">
        <f>ROUND(K362*Assumptions!K$52+K362,-3)</f>
        <v>1225000</v>
      </c>
      <c r="M362" s="134">
        <f>ROUND(L362*Assumptions!L$52+L362,-3)</f>
        <v>1256000</v>
      </c>
      <c r="N362" s="134">
        <f>ROUND(M362*Assumptions!M$52+M362,-3)</f>
        <v>1287000</v>
      </c>
      <c r="O362" s="9">
        <f>ROUND(N362*Assumptions!N$52+N362,-3)</f>
        <v>1319000</v>
      </c>
      <c r="P362" s="89">
        <f>ROUND(O362*Assumptions!O$52+O362,-3)</f>
        <v>1352000</v>
      </c>
      <c r="Q362" s="9">
        <f>ROUND(P362*Assumptions!P$52+P362,-3)</f>
        <v>1386000</v>
      </c>
      <c r="R362" s="9">
        <f>ROUND(Q362*Assumptions!Q$52+Q362,-3)</f>
        <v>1421000</v>
      </c>
      <c r="S362" s="47">
        <f>ROUND(R362*Assumptions!R$52+R362,-3)</f>
        <v>1457000</v>
      </c>
    </row>
    <row r="363" spans="1:19" s="34" customFormat="1" x14ac:dyDescent="0.2">
      <c r="A363" s="54">
        <f>85600+32600</f>
        <v>118200</v>
      </c>
      <c r="B363" s="9">
        <f>34200+93500</f>
        <v>127700</v>
      </c>
      <c r="C363" s="136">
        <v>37100</v>
      </c>
      <c r="D363" s="134">
        <v>37800</v>
      </c>
      <c r="E363" s="134">
        <v>42000</v>
      </c>
      <c r="F363" s="239" t="s">
        <v>2702</v>
      </c>
      <c r="G363" s="772" t="s">
        <v>4183</v>
      </c>
      <c r="H363" s="134">
        <v>44000</v>
      </c>
      <c r="I363" s="584">
        <f t="shared" si="448"/>
        <v>4.7619047619047619</v>
      </c>
      <c r="J363" s="9">
        <f>ROUNDUP(H363+(H363*Assumptions!I$5),-2)</f>
        <v>45100</v>
      </c>
      <c r="K363" s="9">
        <f>ROUNDUP(J363+(J363*Assumptions!J$5),-2)</f>
        <v>46300</v>
      </c>
      <c r="L363" s="9">
        <f>ROUNDUP(K363+(K363*Assumptions!K$5),-2)</f>
        <v>47500</v>
      </c>
      <c r="M363" s="9">
        <f>ROUNDUP(L363+(L363*Assumptions!L$5),-2)</f>
        <v>48700</v>
      </c>
      <c r="N363" s="9">
        <f>ROUNDUP(M363+(M363*Assumptions!M$5),-2)</f>
        <v>50000</v>
      </c>
      <c r="O363" s="9">
        <f>ROUNDUP(N363+(N363*Assumptions!N$5),-2)</f>
        <v>51300</v>
      </c>
      <c r="P363" s="89">
        <f>ROUNDUP(O363+(O363*Assumptions!O$5),-2)</f>
        <v>52600</v>
      </c>
      <c r="Q363" s="9">
        <f>ROUNDUP(P363+(P363*Assumptions!P$5),-2)</f>
        <v>54000</v>
      </c>
      <c r="R363" s="9">
        <f>ROUNDUP(Q363+(Q363*Assumptions!Q$5),-2)</f>
        <v>55400</v>
      </c>
      <c r="S363" s="47">
        <f>ROUNDUP(R363+(R363*Assumptions!R$5),-2)</f>
        <v>56800</v>
      </c>
    </row>
    <row r="364" spans="1:19" s="34" customFormat="1" x14ac:dyDescent="0.2">
      <c r="A364" s="54">
        <v>0</v>
      </c>
      <c r="B364" s="9">
        <v>0</v>
      </c>
      <c r="C364" s="136">
        <v>87100</v>
      </c>
      <c r="D364" s="134">
        <v>97200</v>
      </c>
      <c r="E364" s="134">
        <v>121600</v>
      </c>
      <c r="F364" s="578" t="s">
        <v>4182</v>
      </c>
      <c r="G364" s="772" t="s">
        <v>4184</v>
      </c>
      <c r="H364" s="134">
        <v>88000</v>
      </c>
      <c r="I364" s="584">
        <f t="shared" si="448"/>
        <v>-27.631578947368425</v>
      </c>
      <c r="J364" s="9">
        <f>ROUNDUP(H364+(H364*Assumptions!I$5),-2)</f>
        <v>90100</v>
      </c>
      <c r="K364" s="9">
        <f>ROUNDUP(J364+(J364*Assumptions!J$5),-2)</f>
        <v>92400</v>
      </c>
      <c r="L364" s="9">
        <f>ROUNDUP(K364+(K364*Assumptions!K$5),-2)</f>
        <v>94800</v>
      </c>
      <c r="M364" s="9">
        <f>ROUNDUP(L364+(L364*Assumptions!L$5),-2)</f>
        <v>97200</v>
      </c>
      <c r="N364" s="9">
        <f>ROUNDUP(M364+(M364*Assumptions!M$5),-2)</f>
        <v>99700</v>
      </c>
      <c r="O364" s="9">
        <f>ROUNDUP(N364+(N364*Assumptions!N$5),-2)</f>
        <v>102200</v>
      </c>
      <c r="P364" s="89">
        <f>ROUNDUP(O364+(O364*Assumptions!O$5),-2)</f>
        <v>104800</v>
      </c>
      <c r="Q364" s="9">
        <f>ROUNDUP(P364+(P364*Assumptions!P$5),-2)</f>
        <v>107500</v>
      </c>
      <c r="R364" s="9">
        <f>ROUNDUP(Q364+(Q364*Assumptions!Q$5),-2)</f>
        <v>110200</v>
      </c>
      <c r="S364" s="47">
        <f>ROUNDUP(R364+(R364*Assumptions!R$5),-2)</f>
        <v>113000</v>
      </c>
    </row>
    <row r="365" spans="1:19" s="34" customFormat="1" x14ac:dyDescent="0.2">
      <c r="A365" s="54">
        <v>20300</v>
      </c>
      <c r="B365" s="9">
        <v>32400</v>
      </c>
      <c r="C365" s="136">
        <v>22700</v>
      </c>
      <c r="D365" s="134">
        <v>10200</v>
      </c>
      <c r="E365" s="134">
        <v>19600</v>
      </c>
      <c r="F365" s="239" t="s">
        <v>2704</v>
      </c>
      <c r="G365" s="247" t="s">
        <v>2100</v>
      </c>
      <c r="H365" s="9">
        <v>26000</v>
      </c>
      <c r="I365" s="584">
        <f t="shared" si="448"/>
        <v>32.653061224489797</v>
      </c>
      <c r="J365" s="9">
        <f>ROUNDUP(H365+(H365*Assumptions!I$5),-2)</f>
        <v>26600</v>
      </c>
      <c r="K365" s="9">
        <f>ROUNDUP(J365+(J365*Assumptions!J$5),-2)</f>
        <v>27300</v>
      </c>
      <c r="L365" s="9">
        <f>ROUNDUP(K365+(K365*Assumptions!K$5),-2)</f>
        <v>28000</v>
      </c>
      <c r="M365" s="9">
        <f>ROUNDUP(L365+(L365*Assumptions!L$5),-2)</f>
        <v>28700</v>
      </c>
      <c r="N365" s="9">
        <f>ROUNDUP(M365+(M365*Assumptions!M$5),-2)</f>
        <v>29500</v>
      </c>
      <c r="O365" s="9">
        <f>ROUNDUP(N365+(N365*Assumptions!N$5),-2)</f>
        <v>30300</v>
      </c>
      <c r="P365" s="9">
        <f>ROUNDUP(O365+(O365*Assumptions!O$5),-2)</f>
        <v>31100</v>
      </c>
      <c r="Q365" s="9">
        <f>ROUNDUP(P365+(P365*Assumptions!P$5),-2)</f>
        <v>31900</v>
      </c>
      <c r="R365" s="9">
        <f>ROUNDUP(Q365+(Q365*Assumptions!Q$5),-2)</f>
        <v>32700</v>
      </c>
      <c r="S365" s="47">
        <f>ROUNDUP(R365+(R365*Assumptions!R$5),-2)</f>
        <v>33600</v>
      </c>
    </row>
    <row r="366" spans="1:19" s="34" customFormat="1" x14ac:dyDescent="0.2">
      <c r="A366" s="54">
        <v>0</v>
      </c>
      <c r="B366" s="9">
        <v>0</v>
      </c>
      <c r="C366" s="136">
        <v>0</v>
      </c>
      <c r="D366" s="134">
        <v>0</v>
      </c>
      <c r="E366" s="134">
        <v>10200</v>
      </c>
      <c r="F366" s="577" t="s">
        <v>6454</v>
      </c>
      <c r="G366" s="772" t="s">
        <v>6456</v>
      </c>
      <c r="H366" s="9">
        <v>15000</v>
      </c>
      <c r="I366" s="584">
        <f t="shared" si="448"/>
        <v>47.058823529411761</v>
      </c>
      <c r="J366" s="9">
        <f>ROUNDUP(H366+(H366*Assumptions!I$5),-2)</f>
        <v>15400</v>
      </c>
      <c r="K366" s="9">
        <f>ROUNDUP(J366+(J366*Assumptions!J$5),-2)</f>
        <v>15800</v>
      </c>
      <c r="L366" s="9">
        <f>ROUNDUP(K366+(K366*Assumptions!K$5),-2)</f>
        <v>16200</v>
      </c>
      <c r="M366" s="9">
        <f>ROUNDUP(L366+(L366*Assumptions!L$5),-2)</f>
        <v>16700</v>
      </c>
      <c r="N366" s="9">
        <f>ROUNDUP(M366+(M366*Assumptions!M$5),-2)</f>
        <v>17200</v>
      </c>
      <c r="O366" s="9">
        <f>ROUNDUP(N366+(N366*Assumptions!N$5),-2)</f>
        <v>17700</v>
      </c>
      <c r="P366" s="9">
        <f>ROUNDUP(O366+(O366*Assumptions!O$5),-2)</f>
        <v>18200</v>
      </c>
      <c r="Q366" s="9">
        <f>ROUNDUP(P366+(P366*Assumptions!P$5),-2)</f>
        <v>18700</v>
      </c>
      <c r="R366" s="9">
        <f>ROUNDUP(Q366+(Q366*Assumptions!Q$5),-2)</f>
        <v>19200</v>
      </c>
      <c r="S366" s="47">
        <f>ROUNDUP(R366+(R366*Assumptions!R$5),-2)</f>
        <v>19700</v>
      </c>
    </row>
    <row r="367" spans="1:19" s="34" customFormat="1" x14ac:dyDescent="0.2">
      <c r="A367" s="54">
        <v>0</v>
      </c>
      <c r="B367" s="9">
        <v>0</v>
      </c>
      <c r="C367" s="136">
        <v>0</v>
      </c>
      <c r="D367" s="134">
        <v>0</v>
      </c>
      <c r="E367" s="134">
        <v>0</v>
      </c>
      <c r="F367" s="577" t="s">
        <v>6455</v>
      </c>
      <c r="G367" s="772" t="s">
        <v>6457</v>
      </c>
      <c r="H367" s="9">
        <v>40000</v>
      </c>
      <c r="I367" s="584">
        <f t="shared" si="448"/>
        <v>100</v>
      </c>
      <c r="J367" s="9">
        <v>80000</v>
      </c>
      <c r="K367" s="9">
        <v>120000</v>
      </c>
      <c r="L367" s="9">
        <v>160000</v>
      </c>
      <c r="M367" s="9">
        <f>ROUNDUP(L367+(L367*Assumptions!L$5),-2)</f>
        <v>164000</v>
      </c>
      <c r="N367" s="9">
        <f>ROUNDUP(M367+(M367*Assumptions!M$5),-2)</f>
        <v>168100</v>
      </c>
      <c r="O367" s="9">
        <f>ROUNDUP(N367+(N367*Assumptions!N$5),-2)</f>
        <v>172400</v>
      </c>
      <c r="P367" s="9">
        <f>ROUNDUP(O367+(O367*Assumptions!O$5),-2)</f>
        <v>176800</v>
      </c>
      <c r="Q367" s="9">
        <f>ROUNDUP(P367+(P367*Assumptions!P$5),-2)</f>
        <v>181300</v>
      </c>
      <c r="R367" s="9">
        <f>ROUNDUP(Q367+(Q367*Assumptions!Q$5),-2)</f>
        <v>185900</v>
      </c>
      <c r="S367" s="47">
        <f>ROUNDUP(R367+(R367*Assumptions!R$5),-2)</f>
        <v>190600</v>
      </c>
    </row>
    <row r="368" spans="1:19" s="34" customFormat="1" x14ac:dyDescent="0.2">
      <c r="A368" s="54"/>
      <c r="B368" s="9"/>
      <c r="C368" s="134"/>
      <c r="D368" s="134"/>
      <c r="E368" s="134"/>
      <c r="F368" s="730"/>
      <c r="G368" s="247"/>
      <c r="H368" s="9"/>
      <c r="I368" s="584"/>
      <c r="J368" s="9"/>
      <c r="K368" s="9"/>
      <c r="L368" s="9"/>
      <c r="M368" s="9"/>
      <c r="N368" s="9"/>
      <c r="O368" s="9"/>
      <c r="P368" s="89"/>
      <c r="Q368" s="9"/>
      <c r="R368" s="9"/>
      <c r="S368" s="47"/>
    </row>
    <row r="369" spans="1:19" s="34" customFormat="1" x14ac:dyDescent="0.2">
      <c r="A369" s="54"/>
      <c r="B369" s="9"/>
      <c r="C369" s="134"/>
      <c r="D369" s="134"/>
      <c r="E369" s="134"/>
      <c r="F369" s="1378"/>
      <c r="G369" s="542" t="s">
        <v>1242</v>
      </c>
      <c r="H369" s="9"/>
      <c r="I369" s="584"/>
      <c r="J369" s="9"/>
      <c r="K369" s="9"/>
      <c r="L369" s="9"/>
      <c r="M369" s="9"/>
      <c r="N369" s="9"/>
      <c r="O369" s="9"/>
      <c r="P369" s="89"/>
      <c r="Q369" s="9"/>
      <c r="R369" s="9"/>
      <c r="S369" s="47"/>
    </row>
    <row r="370" spans="1:19" s="34" customFormat="1" x14ac:dyDescent="0.2">
      <c r="A370" s="54">
        <v>149600</v>
      </c>
      <c r="B370" s="9">
        <v>150800</v>
      </c>
      <c r="C370" s="9">
        <v>151700</v>
      </c>
      <c r="D370" s="134">
        <v>156600</v>
      </c>
      <c r="E370" s="134">
        <v>159100</v>
      </c>
      <c r="F370" s="239" t="s">
        <v>1222</v>
      </c>
      <c r="G370" s="772" t="s">
        <v>3538</v>
      </c>
      <c r="H370" s="134">
        <v>143600</v>
      </c>
      <c r="I370" s="584">
        <f>IF(E370=H370,0,IF(E370=0,100,(H370-E370)/E370*100))</f>
        <v>-9.7423004399748585</v>
      </c>
      <c r="J370" s="9">
        <f t="shared" ref="J370:P370" si="449">ROUND(-J359/11*10,-2)</f>
        <v>144500</v>
      </c>
      <c r="K370" s="9">
        <f t="shared" si="449"/>
        <v>145500</v>
      </c>
      <c r="L370" s="9">
        <f t="shared" si="449"/>
        <v>146400</v>
      </c>
      <c r="M370" s="9">
        <f t="shared" si="449"/>
        <v>147300</v>
      </c>
      <c r="N370" s="9">
        <f t="shared" si="449"/>
        <v>148200</v>
      </c>
      <c r="O370" s="134">
        <f t="shared" si="449"/>
        <v>149100</v>
      </c>
      <c r="P370" s="136">
        <f t="shared" si="449"/>
        <v>150000</v>
      </c>
      <c r="Q370" s="134">
        <f t="shared" ref="Q370" si="450">ROUND(-Q359/11*10,-2)</f>
        <v>150900</v>
      </c>
      <c r="R370" s="134">
        <f t="shared" ref="R370" si="451">ROUND(-R359/11*10,-2)</f>
        <v>151800</v>
      </c>
      <c r="S370" s="2359">
        <f t="shared" ref="S370" si="452">ROUND(-S359/11*10,-2)</f>
        <v>152700</v>
      </c>
    </row>
    <row r="371" spans="1:19" s="34" customFormat="1" x14ac:dyDescent="0.2">
      <c r="A371" s="54"/>
      <c r="B371" s="9"/>
      <c r="C371" s="136"/>
      <c r="D371" s="134"/>
      <c r="E371" s="134"/>
      <c r="F371" s="730"/>
      <c r="G371" s="371"/>
      <c r="H371" s="9"/>
      <c r="I371" s="584"/>
      <c r="J371" s="9"/>
      <c r="K371" s="9"/>
      <c r="L371" s="9"/>
      <c r="M371" s="9"/>
      <c r="N371" s="9"/>
      <c r="O371" s="9"/>
      <c r="P371" s="89"/>
      <c r="Q371" s="9"/>
      <c r="R371" s="9"/>
      <c r="S371" s="47"/>
    </row>
    <row r="372" spans="1:19" s="34" customFormat="1" x14ac:dyDescent="0.2">
      <c r="A372" s="54"/>
      <c r="B372" s="9"/>
      <c r="C372" s="136"/>
      <c r="D372" s="134"/>
      <c r="E372" s="134"/>
      <c r="F372" s="1378"/>
      <c r="G372" s="912" t="s">
        <v>5234</v>
      </c>
      <c r="H372" s="9"/>
      <c r="I372" s="584"/>
      <c r="J372" s="9"/>
      <c r="K372" s="9"/>
      <c r="L372" s="9"/>
      <c r="M372" s="9"/>
      <c r="N372" s="9"/>
      <c r="O372" s="9"/>
      <c r="P372" s="89"/>
      <c r="Q372" s="9"/>
      <c r="R372" s="9"/>
      <c r="S372" s="47"/>
    </row>
    <row r="373" spans="1:19" s="34" customFormat="1" x14ac:dyDescent="0.2">
      <c r="A373" s="54">
        <v>73700</v>
      </c>
      <c r="B373" s="9">
        <v>92300</v>
      </c>
      <c r="C373" s="136">
        <v>131500</v>
      </c>
      <c r="D373" s="136">
        <v>131500</v>
      </c>
      <c r="E373" s="134">
        <v>160000</v>
      </c>
      <c r="F373" s="239" t="s">
        <v>2705</v>
      </c>
      <c r="G373" s="371" t="s">
        <v>634</v>
      </c>
      <c r="H373" s="9">
        <v>130000</v>
      </c>
      <c r="I373" s="584">
        <f>IF(E373=H373,0,IF(E373=0,100,(H373-E373)/E373*100))</f>
        <v>-18.75</v>
      </c>
      <c r="J373" s="9">
        <f>ROUNDUP(H373+(H373*Assumptions!I$5),-2)</f>
        <v>133000</v>
      </c>
      <c r="K373" s="9">
        <f>ROUNDUP(J373+(J373*Assumptions!J$5),-2)</f>
        <v>136400</v>
      </c>
      <c r="L373" s="9">
        <f>ROUNDUP(K373+(K373*Assumptions!K$5),-2)</f>
        <v>139900</v>
      </c>
      <c r="M373" s="9">
        <f>ROUNDUP(L373+(L373*Assumptions!L$5),-2)</f>
        <v>143400</v>
      </c>
      <c r="N373" s="9">
        <f>ROUNDUP(M373+(M373*Assumptions!M$5),-2)</f>
        <v>147000</v>
      </c>
      <c r="O373" s="9">
        <f>ROUNDUP(N373+(N373*Assumptions!N$5),-2)</f>
        <v>150700</v>
      </c>
      <c r="P373" s="9">
        <f>ROUNDUP(O373+(O373*Assumptions!O$5),-2)</f>
        <v>154500</v>
      </c>
      <c r="Q373" s="9">
        <f>ROUNDUP(P373+(P373*Assumptions!P$5),-2)</f>
        <v>158400</v>
      </c>
      <c r="R373" s="9">
        <f>ROUNDUP(Q373+(Q373*Assumptions!Q$5),-2)</f>
        <v>162400</v>
      </c>
      <c r="S373" s="47">
        <f>ROUNDUP(R373+(R373*Assumptions!R$5),-2)</f>
        <v>166500</v>
      </c>
    </row>
    <row r="374" spans="1:19" s="34" customFormat="1" x14ac:dyDescent="0.2">
      <c r="A374" s="54">
        <v>0</v>
      </c>
      <c r="B374" s="9">
        <v>0</v>
      </c>
      <c r="C374" s="136">
        <v>0</v>
      </c>
      <c r="D374" s="136">
        <v>0</v>
      </c>
      <c r="E374" s="134">
        <v>3400</v>
      </c>
      <c r="F374" s="578" t="s">
        <v>11699</v>
      </c>
      <c r="G374" s="662" t="s">
        <v>11805</v>
      </c>
      <c r="H374" s="9">
        <v>0</v>
      </c>
      <c r="I374" s="584">
        <f>IF(E374=H374,0,IF(E374=0,100,(H374-E374)/E374*100))</f>
        <v>-100</v>
      </c>
      <c r="J374" s="9">
        <f>ROUNDUP(H374+(H374*Assumptions!I$5),-2)</f>
        <v>0</v>
      </c>
      <c r="K374" s="9">
        <f>ROUNDUP(J374+(J374*Assumptions!J$5),-2)</f>
        <v>0</v>
      </c>
      <c r="L374" s="9">
        <f>ROUNDUP(K374+(K374*Assumptions!K$5),-2)</f>
        <v>0</v>
      </c>
      <c r="M374" s="9">
        <f>ROUNDUP(L374+(L374*Assumptions!L$5),-2)</f>
        <v>0</v>
      </c>
      <c r="N374" s="9">
        <f>ROUNDUP(M374+(M374*Assumptions!M$5),-2)</f>
        <v>0</v>
      </c>
      <c r="O374" s="9">
        <f>ROUNDUP(N374+(N374*Assumptions!N$5),-2)</f>
        <v>0</v>
      </c>
      <c r="P374" s="9">
        <f>ROUNDUP(O374+(O374*Assumptions!O$5),-2)</f>
        <v>0</v>
      </c>
      <c r="Q374" s="9">
        <f>ROUNDUP(P374+(P374*Assumptions!P$5),-2)</f>
        <v>0</v>
      </c>
      <c r="R374" s="9">
        <f>ROUNDUP(Q374+(Q374*Assumptions!Q$5),-2)</f>
        <v>0</v>
      </c>
      <c r="S374" s="47">
        <f>ROUNDUP(R374+(R374*Assumptions!R$5),-2)</f>
        <v>0</v>
      </c>
    </row>
    <row r="375" spans="1:19" s="34" customFormat="1" x14ac:dyDescent="0.2">
      <c r="A375" s="54">
        <f>8000+5900-700+5600</f>
        <v>18800</v>
      </c>
      <c r="B375" s="9">
        <f>400+135700</f>
        <v>136100</v>
      </c>
      <c r="C375" s="136">
        <v>5900</v>
      </c>
      <c r="D375" s="134">
        <v>300</v>
      </c>
      <c r="E375" s="134">
        <v>400</v>
      </c>
      <c r="F375" s="239" t="s">
        <v>2703</v>
      </c>
      <c r="G375" s="371" t="s">
        <v>1531</v>
      </c>
      <c r="H375" s="9">
        <v>10500</v>
      </c>
      <c r="I375" s="584">
        <f>IF(E375=H375,0,IF(E375=0,100,(H375-E375)/E375*100))</f>
        <v>2525</v>
      </c>
      <c r="J375" s="9">
        <f>ROUNDUP(H375+(H375*Assumptions!I$5),-2)</f>
        <v>10800</v>
      </c>
      <c r="K375" s="9">
        <f>ROUNDUP(J375+(J375*Assumptions!J$5),-2)</f>
        <v>11100</v>
      </c>
      <c r="L375" s="9">
        <f>ROUNDUP(K375+(K375*Assumptions!K$5),-2)</f>
        <v>11400</v>
      </c>
      <c r="M375" s="9">
        <f>ROUNDUP(L375+(L375*Assumptions!L$5),-2)</f>
        <v>11700</v>
      </c>
      <c r="N375" s="9">
        <f>ROUNDUP(M375+(M375*Assumptions!M$5),-2)</f>
        <v>12000</v>
      </c>
      <c r="O375" s="9">
        <f>ROUNDUP(N375+(N375*Assumptions!N$5),-2)</f>
        <v>12300</v>
      </c>
      <c r="P375" s="9">
        <f>ROUNDUP(O375+(O375*Assumptions!O$5),-2)</f>
        <v>12700</v>
      </c>
      <c r="Q375" s="9">
        <f>ROUNDUP(P375+(P375*Assumptions!P$5),-2)</f>
        <v>13100</v>
      </c>
      <c r="R375" s="9">
        <f>ROUNDUP(Q375+(Q375*Assumptions!Q$5),-2)</f>
        <v>13500</v>
      </c>
      <c r="S375" s="47">
        <f>ROUNDUP(R375+(R375*Assumptions!R$5),-2)</f>
        <v>13900</v>
      </c>
    </row>
    <row r="376" spans="1:19" s="34" customFormat="1" x14ac:dyDescent="0.2">
      <c r="A376" s="54">
        <v>215700</v>
      </c>
      <c r="B376" s="9">
        <v>241300</v>
      </c>
      <c r="C376" s="136">
        <v>247600</v>
      </c>
      <c r="D376" s="134">
        <v>248200</v>
      </c>
      <c r="E376" s="134">
        <v>214600</v>
      </c>
      <c r="F376" s="239" t="s">
        <v>804</v>
      </c>
      <c r="G376" s="371" t="s">
        <v>2159</v>
      </c>
      <c r="H376" s="9">
        <v>261400</v>
      </c>
      <c r="I376" s="584">
        <f>IF(E376=H376,0,IF(E376=0,100,(H376-E376)/E376*100))</f>
        <v>21.808014911463186</v>
      </c>
      <c r="J376" s="9">
        <f>ROUNDUP(H376+(H376*Assumptions!I$5),-2)</f>
        <v>267500</v>
      </c>
      <c r="K376" s="9">
        <f>ROUNDUP(J376+(J376*Assumptions!J$5),-2)</f>
        <v>274200</v>
      </c>
      <c r="L376" s="9">
        <f>ROUNDUP(K376+(K376*Assumptions!K$5),-2)</f>
        <v>281100</v>
      </c>
      <c r="M376" s="9">
        <f>ROUNDUP(L376+(L376*Assumptions!L$5),-2)</f>
        <v>288200</v>
      </c>
      <c r="N376" s="9">
        <f>ROUNDUP(M376+(M376*Assumptions!M$5),-2)</f>
        <v>295500</v>
      </c>
      <c r="O376" s="9">
        <f>ROUNDUP(N376+(N376*Assumptions!N$5),-2)</f>
        <v>302900</v>
      </c>
      <c r="P376" s="9">
        <f>ROUNDUP(O376+(O376*Assumptions!O$5),-2)</f>
        <v>310500</v>
      </c>
      <c r="Q376" s="9">
        <f>ROUNDUP(P376+(P376*Assumptions!P$5),-2)</f>
        <v>318300</v>
      </c>
      <c r="R376" s="9">
        <f>ROUNDUP(Q376+(Q376*Assumptions!Q$5),-2)</f>
        <v>326300</v>
      </c>
      <c r="S376" s="47">
        <f>ROUNDUP(R376+(R376*Assumptions!R$5),-2)</f>
        <v>334500</v>
      </c>
    </row>
    <row r="377" spans="1:19" s="34" customFormat="1" x14ac:dyDescent="0.2">
      <c r="A377" s="54">
        <v>1900</v>
      </c>
      <c r="B377" s="9">
        <v>6100</v>
      </c>
      <c r="C377" s="136">
        <v>6000</v>
      </c>
      <c r="D377" s="134">
        <v>5300</v>
      </c>
      <c r="E377" s="134">
        <v>7000</v>
      </c>
      <c r="F377" s="239" t="s">
        <v>923</v>
      </c>
      <c r="G377" s="371" t="s">
        <v>2880</v>
      </c>
      <c r="H377" s="9">
        <v>4700</v>
      </c>
      <c r="I377" s="584">
        <f>IF(E377=H377,0,IF(E377=0,100,(H377-E377)/E377*100))</f>
        <v>-32.857142857142854</v>
      </c>
      <c r="J377" s="9">
        <f>ROUNDUP(H377+(H377*Assumptions!I$5),-2)</f>
        <v>4900</v>
      </c>
      <c r="K377" s="9">
        <f>ROUNDUP(J377+(J377*Assumptions!J$5),-2)</f>
        <v>5100</v>
      </c>
      <c r="L377" s="9">
        <f>ROUNDUP(K377+(K377*Assumptions!K$5),-2)</f>
        <v>5300</v>
      </c>
      <c r="M377" s="9">
        <f>ROUNDUP(L377+(L377*Assumptions!L$5),-2)</f>
        <v>5500</v>
      </c>
      <c r="N377" s="9">
        <f>ROUNDUP(M377+(M377*Assumptions!M$5),-2)</f>
        <v>5700</v>
      </c>
      <c r="O377" s="9">
        <f>ROUNDUP(N377+(N377*Assumptions!N$5),-2)</f>
        <v>5900</v>
      </c>
      <c r="P377" s="9">
        <f>ROUNDUP(O377+(O377*Assumptions!O$5),-2)</f>
        <v>6100</v>
      </c>
      <c r="Q377" s="9">
        <f>ROUNDUP(P377+(P377*Assumptions!P$5),-2)</f>
        <v>6300</v>
      </c>
      <c r="R377" s="9">
        <f>ROUNDUP(Q377+(Q377*Assumptions!Q$5),-2)</f>
        <v>6500</v>
      </c>
      <c r="S377" s="47">
        <f>ROUNDUP(R377+(R377*Assumptions!R$5),-2)</f>
        <v>6700</v>
      </c>
    </row>
    <row r="378" spans="1:19" s="34" customFormat="1" x14ac:dyDescent="0.2">
      <c r="A378" s="54"/>
      <c r="B378" s="9"/>
      <c r="C378" s="134"/>
      <c r="D378" s="134"/>
      <c r="E378" s="136"/>
      <c r="F378" s="730"/>
      <c r="G378" s="9"/>
      <c r="H378" s="9"/>
      <c r="I378" s="584"/>
      <c r="J378" s="1029"/>
      <c r="K378" s="134"/>
      <c r="L378" s="134"/>
      <c r="M378" s="134"/>
      <c r="N378" s="134"/>
      <c r="O378" s="9"/>
      <c r="P378" s="89"/>
      <c r="Q378" s="9"/>
      <c r="R378" s="9"/>
      <c r="S378" s="47"/>
    </row>
    <row r="379" spans="1:19" s="34" customFormat="1" x14ac:dyDescent="0.2">
      <c r="A379" s="54"/>
      <c r="B379" s="9"/>
      <c r="C379" s="134"/>
      <c r="D379" s="134"/>
      <c r="E379" s="136"/>
      <c r="F379" s="1378"/>
      <c r="G379" s="320" t="s">
        <v>2624</v>
      </c>
      <c r="H379" s="9"/>
      <c r="I379" s="584"/>
      <c r="J379" s="1029"/>
      <c r="K379" s="134"/>
      <c r="L379" s="134"/>
      <c r="M379" s="134"/>
      <c r="N379" s="134"/>
      <c r="O379" s="9"/>
      <c r="P379" s="89"/>
      <c r="Q379" s="9"/>
      <c r="R379" s="9"/>
      <c r="S379" s="47"/>
    </row>
    <row r="380" spans="1:19" s="34" customFormat="1" x14ac:dyDescent="0.2">
      <c r="A380" s="54">
        <v>1382900</v>
      </c>
      <c r="B380" s="9">
        <v>810800</v>
      </c>
      <c r="C380" s="134">
        <v>490400</v>
      </c>
      <c r="D380" s="134">
        <v>299700</v>
      </c>
      <c r="E380" s="136">
        <v>279500</v>
      </c>
      <c r="F380" s="239" t="s">
        <v>766</v>
      </c>
      <c r="G380" s="371" t="s">
        <v>599</v>
      </c>
      <c r="H380" s="9">
        <v>120600</v>
      </c>
      <c r="I380" s="584">
        <f>IF(E380=H380,0,IF(E380=0,100,(H380-E380)/E380*100))</f>
        <v>-56.851520572450809</v>
      </c>
      <c r="J380" s="1029">
        <f>IF(LTFP!F328&gt;0,ROUND(LTFP!F328/2*Assumptions!I$14,-2),0)+33200</f>
        <v>77400</v>
      </c>
      <c r="K380" s="134">
        <f>IF(LTFP!H328&gt;0,ROUND(LTFP!H328/2*Assumptions!J$14,-2),0)+77500</f>
        <v>80000</v>
      </c>
      <c r="L380" s="134">
        <f>IF(LTFP!I328&gt;0,ROUND(LTFP!I328/2*Assumptions!K$14,-2),0)+81200</f>
        <v>94500</v>
      </c>
      <c r="M380" s="134">
        <f>IF(LTFP!J328&gt;0,ROUND(LTFP!J328/2*Assumptions!L$14,-2),0)+83000</f>
        <v>136600</v>
      </c>
      <c r="N380" s="134">
        <f>IF(LTFP!K328&gt;0,ROUND(LTFP!K328/2*Assumptions!M$14,-2),0)+84900</f>
        <v>132700</v>
      </c>
      <c r="O380" s="9">
        <f>IF(LTFP!L328&gt;0,ROUND(LTFP!L328/2*Assumptions!N$14,-2),0)+49800</f>
        <v>122600</v>
      </c>
      <c r="P380" s="89">
        <f>IF(LTFP!M328&gt;0,ROUND(LTFP!M328/2*Assumptions!O$14,-2),0)-6500</f>
        <v>167500</v>
      </c>
      <c r="Q380" s="9">
        <f>IF(LTFP!N328&gt;0,ROUND(LTFP!N328/2*Assumptions!P$14,-2),0)</f>
        <v>187100</v>
      </c>
      <c r="R380" s="9">
        <f>IF(LTFP!O328&gt;0,ROUND(LTFP!O328/2*Assumptions!Q$14,-2),0)</f>
        <v>303000</v>
      </c>
      <c r="S380" s="47">
        <f>IF(LTFP!P328&gt;0,ROUND(LTFP!P328/2*Assumptions!R$14,-2),0)</f>
        <v>430400</v>
      </c>
    </row>
    <row r="381" spans="1:19" s="34" customFormat="1" x14ac:dyDescent="0.2">
      <c r="A381" s="54">
        <v>239300</v>
      </c>
      <c r="B381" s="9">
        <v>104300</v>
      </c>
      <c r="C381" s="134">
        <v>143000</v>
      </c>
      <c r="D381" s="134">
        <v>160400</v>
      </c>
      <c r="E381" s="136">
        <v>183300</v>
      </c>
      <c r="F381" s="239" t="s">
        <v>944</v>
      </c>
      <c r="G381" s="662" t="s">
        <v>4587</v>
      </c>
      <c r="H381" s="9">
        <v>112600</v>
      </c>
      <c r="I381" s="584">
        <f>IF(E381=H381,0,IF(E381=0,100,(H381-E381)/E381*100))</f>
        <v>-38.570649208947081</v>
      </c>
      <c r="J381" s="1029">
        <f>IF(LTFP!F329&gt;0,ROUND(LTFP!F329/2*Assumptions!I$14,-2),0)</f>
        <v>117300</v>
      </c>
      <c r="K381" s="134">
        <f>IF(LTFP!H329&gt;0,ROUND(LTFP!H329/2*Assumptions!J$14,-2),0)</f>
        <v>59100</v>
      </c>
      <c r="L381" s="134">
        <f>IF(LTFP!I329&gt;0,ROUND(LTFP!I329/2*Assumptions!K$14,-2),0)</f>
        <v>13700</v>
      </c>
      <c r="M381" s="134">
        <f>IF(LTFP!J329&gt;0,ROUND(LTFP!J329/2*Assumptions!L$14,-2),0)</f>
        <v>20300</v>
      </c>
      <c r="N381" s="134">
        <f>IF(LTFP!K329&gt;0,ROUND(LTFP!K329/2*Assumptions!M$14,-2),0)</f>
        <v>25800</v>
      </c>
      <c r="O381" s="9">
        <f>IF(LTFP!L329&gt;0,ROUND(LTFP!L329/2*Assumptions!N$14,-2),0)</f>
        <v>20400</v>
      </c>
      <c r="P381" s="89">
        <f>IF(LTFP!M329&gt;0,ROUND(LTFP!M329/2*Assumptions!O$14,-2),0)</f>
        <v>23300</v>
      </c>
      <c r="Q381" s="9">
        <f>IF(LTFP!N329&gt;0,ROUND(LTFP!N329/2*Assumptions!P$14,-2),0)</f>
        <v>25300</v>
      </c>
      <c r="R381" s="9">
        <f>IF(LTFP!O329&gt;0,ROUND(LTFP!O329/2*Assumptions!Q$14,-2),0)</f>
        <v>26200</v>
      </c>
      <c r="S381" s="47">
        <f>IF(LTFP!P329&gt;0,ROUND(LTFP!P329/2*Assumptions!R$14,-2),0)</f>
        <v>26000</v>
      </c>
    </row>
    <row r="382" spans="1:19" s="34" customFormat="1" x14ac:dyDescent="0.2">
      <c r="A382" s="54">
        <v>81000</v>
      </c>
      <c r="B382" s="9">
        <v>53700</v>
      </c>
      <c r="C382" s="134">
        <v>39300</v>
      </c>
      <c r="D382" s="134">
        <v>36400</v>
      </c>
      <c r="E382" s="136">
        <v>29700</v>
      </c>
      <c r="F382" s="239" t="s">
        <v>767</v>
      </c>
      <c r="G382" s="662" t="s">
        <v>5284</v>
      </c>
      <c r="H382" s="9">
        <v>75000</v>
      </c>
      <c r="I382" s="584">
        <f>IF(E382=H382,0,IF(E382=0,100,(H382-E382)/E382*100))</f>
        <v>152.52525252525254</v>
      </c>
      <c r="J382" s="9">
        <f>ROUNDUP(H382+(H382*Assumptions!I$5),-2)</f>
        <v>76800</v>
      </c>
      <c r="K382" s="9">
        <f>ROUNDUP(J382+(J382*Assumptions!J$5),-2)</f>
        <v>78800</v>
      </c>
      <c r="L382" s="9">
        <f>ROUNDUP(K382+(K382*Assumptions!K$5),-2)</f>
        <v>80800</v>
      </c>
      <c r="M382" s="9">
        <f>ROUNDUP(L382+(L382*Assumptions!L$5),-2)</f>
        <v>82900</v>
      </c>
      <c r="N382" s="9">
        <f>ROUNDUP(M382+(M382*Assumptions!M$5),-2)</f>
        <v>85000</v>
      </c>
      <c r="O382" s="9">
        <f>ROUNDUP(N382+(N382*Assumptions!N$5),-2)</f>
        <v>87200</v>
      </c>
      <c r="P382" s="89">
        <f>ROUNDUP(O382+(O382*Assumptions!O$5),-2)</f>
        <v>89400</v>
      </c>
      <c r="Q382" s="9">
        <f>ROUNDUP(P382+(P382*Assumptions!P$5),-2)</f>
        <v>91700</v>
      </c>
      <c r="R382" s="9">
        <f>ROUNDUP(Q382+(Q382*Assumptions!Q$5),-2)</f>
        <v>94000</v>
      </c>
      <c r="S382" s="47">
        <f>ROUNDUP(R382+(R382*Assumptions!R$5),-2)</f>
        <v>96400</v>
      </c>
    </row>
    <row r="383" spans="1:19" s="34" customFormat="1" x14ac:dyDescent="0.2">
      <c r="A383" s="54"/>
      <c r="B383" s="9"/>
      <c r="C383" s="136"/>
      <c r="D383" s="134"/>
      <c r="E383" s="134"/>
      <c r="F383" s="730"/>
      <c r="G383" s="371"/>
      <c r="H383" s="9"/>
      <c r="I383" s="584"/>
      <c r="J383" s="9"/>
      <c r="K383" s="9"/>
      <c r="L383" s="9"/>
      <c r="M383" s="9"/>
      <c r="N383" s="9"/>
      <c r="O383" s="9"/>
      <c r="P383" s="89"/>
      <c r="Q383" s="9"/>
      <c r="R383" s="9"/>
      <c r="S383" s="47"/>
    </row>
    <row r="384" spans="1:19" s="34" customFormat="1" x14ac:dyDescent="0.2">
      <c r="A384" s="54"/>
      <c r="B384" s="9"/>
      <c r="C384" s="136"/>
      <c r="D384" s="134"/>
      <c r="E384" s="134"/>
      <c r="F384" s="1378"/>
      <c r="G384" s="320" t="s">
        <v>420</v>
      </c>
      <c r="H384" s="9"/>
      <c r="I384" s="584"/>
      <c r="J384" s="9"/>
      <c r="K384" s="9"/>
      <c r="L384" s="9"/>
      <c r="M384" s="9"/>
      <c r="N384" s="9"/>
      <c r="O384" s="9"/>
      <c r="P384" s="89"/>
      <c r="Q384" s="9"/>
      <c r="R384" s="9"/>
      <c r="S384" s="47"/>
    </row>
    <row r="385" spans="1:19" s="34" customFormat="1" x14ac:dyDescent="0.2">
      <c r="A385" s="54">
        <v>25100</v>
      </c>
      <c r="B385" s="9">
        <v>6500</v>
      </c>
      <c r="C385" s="136">
        <v>13200</v>
      </c>
      <c r="D385" s="134">
        <v>8200</v>
      </c>
      <c r="E385" s="134">
        <v>3700</v>
      </c>
      <c r="F385" s="239" t="s">
        <v>2597</v>
      </c>
      <c r="G385" s="371" t="s">
        <v>2596</v>
      </c>
      <c r="H385" s="9">
        <v>7000</v>
      </c>
      <c r="I385" s="584">
        <f>IF(E385=H385,0,IF(E385=0,100,(H385-E385)/E385*100))</f>
        <v>89.189189189189193</v>
      </c>
      <c r="J385" s="9">
        <f>ROUNDUP(H385+(H385*Assumptions!I$5),-2)</f>
        <v>7200</v>
      </c>
      <c r="K385" s="9">
        <f>ROUNDUP(J385+(J385*Assumptions!J$5),-2)</f>
        <v>7400</v>
      </c>
      <c r="L385" s="9">
        <f>ROUNDUP(K385+(K385*Assumptions!K$5),-2)</f>
        <v>7600</v>
      </c>
      <c r="M385" s="9">
        <f>ROUNDUP(L385+(L385*Assumptions!L$5),-2)</f>
        <v>7800</v>
      </c>
      <c r="N385" s="9">
        <f>ROUNDUP(M385+(M385*Assumptions!M$5),-2)</f>
        <v>8000</v>
      </c>
      <c r="O385" s="9">
        <f>ROUNDUP(N385+(N385*Assumptions!N$5),-2)</f>
        <v>8200</v>
      </c>
      <c r="P385" s="9">
        <f>ROUNDUP(O385+(O385*Assumptions!O$5),-2)</f>
        <v>8500</v>
      </c>
      <c r="Q385" s="9">
        <f>ROUNDUP(P385+(P385*Assumptions!P$5),-2)</f>
        <v>8800</v>
      </c>
      <c r="R385" s="9">
        <f>ROUNDUP(Q385+(Q385*Assumptions!Q$5),-2)</f>
        <v>9100</v>
      </c>
      <c r="S385" s="47">
        <f>ROUNDUP(R385+(R385*Assumptions!R$5),-2)</f>
        <v>9400</v>
      </c>
    </row>
    <row r="386" spans="1:19" s="34" customFormat="1" x14ac:dyDescent="0.2">
      <c r="A386" s="54">
        <v>44500</v>
      </c>
      <c r="B386" s="9">
        <v>39900</v>
      </c>
      <c r="C386" s="136">
        <v>35300</v>
      </c>
      <c r="D386" s="134">
        <v>35600</v>
      </c>
      <c r="E386" s="134">
        <v>36100</v>
      </c>
      <c r="F386" s="239" t="s">
        <v>924</v>
      </c>
      <c r="G386" s="662" t="s">
        <v>3269</v>
      </c>
      <c r="H386" s="9">
        <v>35000</v>
      </c>
      <c r="I386" s="584">
        <f>IF(E386=H386,0,IF(E386=0,100,(H386-E386)/E386*100))</f>
        <v>-3.0470914127423825</v>
      </c>
      <c r="J386" s="9">
        <f>ROUNDUP(H386+(H386*Assumptions!I$5),-2)</f>
        <v>35900</v>
      </c>
      <c r="K386" s="9">
        <f>ROUNDUP(J386+(J386*Assumptions!J$5),-2)</f>
        <v>36800</v>
      </c>
      <c r="L386" s="9">
        <f>ROUNDUP(K386+(K386*Assumptions!K$5),-2)</f>
        <v>37800</v>
      </c>
      <c r="M386" s="9">
        <f>ROUNDUP(L386+(L386*Assumptions!L$5),-2)</f>
        <v>38800</v>
      </c>
      <c r="N386" s="9">
        <f>ROUNDUP(M386+(M386*Assumptions!M$5),-2)</f>
        <v>39800</v>
      </c>
      <c r="O386" s="9">
        <f>ROUNDUP(N386+(N386*Assumptions!N$5),-2)</f>
        <v>40800</v>
      </c>
      <c r="P386" s="89">
        <f>ROUNDUP(O386+(O386*Assumptions!O$5),-2)</f>
        <v>41900</v>
      </c>
      <c r="Q386" s="9">
        <f>ROUNDUP(P386+(P386*Assumptions!P$5),-2)</f>
        <v>43000</v>
      </c>
      <c r="R386" s="9">
        <f>ROUNDUP(Q386+(Q386*Assumptions!Q$5),-2)</f>
        <v>44100</v>
      </c>
      <c r="S386" s="47">
        <f>ROUNDUP(R386+(R386*Assumptions!R$5),-2)</f>
        <v>45300</v>
      </c>
    </row>
    <row r="387" spans="1:19" s="34" customFormat="1" x14ac:dyDescent="0.2">
      <c r="A387" s="54">
        <v>27100</v>
      </c>
      <c r="B387" s="9">
        <v>28200</v>
      </c>
      <c r="C387" s="136">
        <v>28900</v>
      </c>
      <c r="D387" s="134">
        <v>29500</v>
      </c>
      <c r="E387" s="134">
        <v>29800</v>
      </c>
      <c r="F387" s="239" t="s">
        <v>803</v>
      </c>
      <c r="G387" s="371" t="s">
        <v>2264</v>
      </c>
      <c r="H387" s="9">
        <v>30000</v>
      </c>
      <c r="I387" s="584">
        <f>IF(E387=H387,0,IF(E387=0,100,(H387-E387)/E387*100))</f>
        <v>0.67114093959731547</v>
      </c>
      <c r="J387" s="9">
        <f>ROUNDUP(H387+(H387*Assumptions!I$5),-2)</f>
        <v>30700</v>
      </c>
      <c r="K387" s="9">
        <f>ROUNDUP(J387+(J387*Assumptions!J$5),-2)</f>
        <v>31500</v>
      </c>
      <c r="L387" s="9">
        <f>ROUNDUP(K387+(K387*Assumptions!K$5),-2)</f>
        <v>32300</v>
      </c>
      <c r="M387" s="9">
        <f>ROUNDUP(L387+(L387*Assumptions!L$5),-2)</f>
        <v>33200</v>
      </c>
      <c r="N387" s="9">
        <f>ROUNDUP(M387+(M387*Assumptions!M$5),-2)</f>
        <v>34100</v>
      </c>
      <c r="O387" s="9">
        <f>ROUNDUP(N387+(N387*Assumptions!N$5),-2)</f>
        <v>35000</v>
      </c>
      <c r="P387" s="9">
        <f>ROUNDUP(O387+(O387*Assumptions!O$5),-2)</f>
        <v>35900</v>
      </c>
      <c r="Q387" s="9">
        <f>ROUNDUP(P387+(P387*Assumptions!P$5),-2)</f>
        <v>36800</v>
      </c>
      <c r="R387" s="9">
        <f>ROUNDUP(Q387+(Q387*Assumptions!Q$5),-2)</f>
        <v>37800</v>
      </c>
      <c r="S387" s="47">
        <f>ROUNDUP(R387+(R387*Assumptions!R$5),-2)</f>
        <v>38800</v>
      </c>
    </row>
    <row r="388" spans="1:19" s="34" customFormat="1" x14ac:dyDescent="0.2">
      <c r="A388" s="54"/>
      <c r="B388" s="9"/>
      <c r="C388" s="136"/>
      <c r="D388" s="134"/>
      <c r="E388" s="134"/>
      <c r="F388" s="239"/>
      <c r="G388" s="371"/>
      <c r="H388" s="9"/>
      <c r="I388" s="584"/>
      <c r="J388" s="9"/>
      <c r="K388" s="9"/>
      <c r="L388" s="9"/>
      <c r="M388" s="9"/>
      <c r="N388" s="9"/>
      <c r="O388" s="9"/>
      <c r="P388" s="89"/>
      <c r="Q388" s="9"/>
      <c r="R388" s="9"/>
      <c r="S388" s="47"/>
    </row>
    <row r="389" spans="1:19" s="34" customFormat="1" x14ac:dyDescent="0.2">
      <c r="A389" s="54"/>
      <c r="B389" s="9"/>
      <c r="C389" s="136"/>
      <c r="D389" s="134"/>
      <c r="E389" s="134"/>
      <c r="F389" s="239"/>
      <c r="G389" s="912" t="s">
        <v>4424</v>
      </c>
      <c r="H389" s="9"/>
      <c r="I389" s="584"/>
      <c r="J389" s="9"/>
      <c r="K389" s="9"/>
      <c r="L389" s="9"/>
      <c r="M389" s="9"/>
      <c r="N389" s="9"/>
      <c r="O389" s="9"/>
      <c r="P389" s="89"/>
      <c r="Q389" s="9"/>
      <c r="R389" s="9"/>
      <c r="S389" s="47"/>
    </row>
    <row r="390" spans="1:19" s="34" customFormat="1" x14ac:dyDescent="0.2">
      <c r="A390" s="54">
        <v>14700</v>
      </c>
      <c r="B390" s="9">
        <v>26000</v>
      </c>
      <c r="C390" s="136">
        <v>19200</v>
      </c>
      <c r="D390" s="134">
        <v>8300</v>
      </c>
      <c r="E390" s="134">
        <v>14400</v>
      </c>
      <c r="F390" s="578" t="s">
        <v>4091</v>
      </c>
      <c r="G390" s="772" t="s">
        <v>4424</v>
      </c>
      <c r="H390" s="9">
        <v>0</v>
      </c>
      <c r="I390" s="584">
        <f>IF(E390=H390,0,IF(E390=0,100,(H390-E390)/E390*100))</f>
        <v>-100</v>
      </c>
      <c r="J390" s="9">
        <f>ROUNDUP(H390+(H390*Assumptions!I$5),-2)</f>
        <v>0</v>
      </c>
      <c r="K390" s="9">
        <f>ROUNDUP(J390+(J390*Assumptions!J$5),-2)</f>
        <v>0</v>
      </c>
      <c r="L390" s="9">
        <f>ROUNDUP(K390+(K390*Assumptions!K$5),-2)</f>
        <v>0</v>
      </c>
      <c r="M390" s="9">
        <f>ROUNDUP(L390+(L390*Assumptions!L$5),-2)</f>
        <v>0</v>
      </c>
      <c r="N390" s="9">
        <f>ROUNDUP(M390+(M390*Assumptions!M$5),-2)</f>
        <v>0</v>
      </c>
      <c r="O390" s="9">
        <f>ROUNDUP(N390+(N390*Assumptions!N$5),-2)</f>
        <v>0</v>
      </c>
      <c r="P390" s="9">
        <f>ROUNDUP(O390+(O390*Assumptions!O$5),-2)</f>
        <v>0</v>
      </c>
      <c r="Q390" s="9">
        <f>ROUNDUP(P390+(P390*Assumptions!P$5),-2)</f>
        <v>0</v>
      </c>
      <c r="R390" s="9">
        <f>ROUNDUP(Q390+(Q390*Assumptions!Q$5),-2)</f>
        <v>0</v>
      </c>
      <c r="S390" s="47">
        <f>ROUNDUP(R390+(R390*Assumptions!R$5),-2)</f>
        <v>0</v>
      </c>
    </row>
    <row r="391" spans="1:19" s="34" customFormat="1" ht="13.5" thickBot="1" x14ac:dyDescent="0.25">
      <c r="A391" s="54"/>
      <c r="B391" s="9"/>
      <c r="C391" s="134"/>
      <c r="D391" s="134"/>
      <c r="E391" s="134"/>
      <c r="F391" s="167"/>
      <c r="G391" s="122"/>
      <c r="H391" s="9"/>
      <c r="I391" s="584"/>
      <c r="J391" s="9"/>
      <c r="K391" s="9"/>
      <c r="L391" s="9"/>
      <c r="M391" s="9"/>
      <c r="N391" s="9"/>
      <c r="O391" s="9"/>
      <c r="P391" s="89"/>
      <c r="Q391" s="9"/>
      <c r="R391" s="9"/>
      <c r="S391" s="47"/>
    </row>
    <row r="392" spans="1:19" s="34" customFormat="1" x14ac:dyDescent="0.2">
      <c r="A392" s="52">
        <f>SUM(A355:A391)</f>
        <v>13786600</v>
      </c>
      <c r="B392" s="16">
        <f>SUM(B355:B391)</f>
        <v>14462800</v>
      </c>
      <c r="C392" s="145">
        <f>SUM(C355:C391)</f>
        <v>15355900</v>
      </c>
      <c r="D392" s="145">
        <f>SUM(D355:D391)</f>
        <v>16349100</v>
      </c>
      <c r="E392" s="145">
        <f>SUM(E355:E391)</f>
        <v>17887500</v>
      </c>
      <c r="F392" s="85"/>
      <c r="G392" s="1158" t="s">
        <v>2561</v>
      </c>
      <c r="H392" s="16">
        <f t="shared" ref="H392:Q392" si="453">SUM(H355:H391)</f>
        <v>18218400</v>
      </c>
      <c r="I392" s="391">
        <f>IF(F392=H392,0,IF(F392=0,100,(H392-F392)/F392*100))</f>
        <v>100</v>
      </c>
      <c r="J392" s="16">
        <f t="shared" si="453"/>
        <v>18670200</v>
      </c>
      <c r="K392" s="16">
        <f t="shared" si="453"/>
        <v>19117700</v>
      </c>
      <c r="L392" s="16">
        <f t="shared" si="453"/>
        <v>19601300</v>
      </c>
      <c r="M392" s="16">
        <f t="shared" si="453"/>
        <v>20141000</v>
      </c>
      <c r="N392" s="16">
        <f t="shared" si="453"/>
        <v>20644300</v>
      </c>
      <c r="O392" s="16">
        <f t="shared" si="453"/>
        <v>21144000</v>
      </c>
      <c r="P392" s="102">
        <f t="shared" si="453"/>
        <v>21719800</v>
      </c>
      <c r="Q392" s="16">
        <f t="shared" si="453"/>
        <v>22283100</v>
      </c>
      <c r="R392" s="16">
        <f t="shared" ref="R392" si="454">SUM(R355:R391)</f>
        <v>22955100</v>
      </c>
      <c r="S392" s="2342">
        <f t="shared" ref="S392" si="455">SUM(S355:S391)</f>
        <v>23651300</v>
      </c>
    </row>
    <row r="393" spans="1:19" s="34" customFormat="1" x14ac:dyDescent="0.2">
      <c r="A393" s="54"/>
      <c r="B393" s="9"/>
      <c r="C393" s="134"/>
      <c r="D393" s="134"/>
      <c r="E393" s="134"/>
      <c r="F393" s="167"/>
      <c r="G393" s="59"/>
      <c r="H393" s="9"/>
      <c r="I393" s="584"/>
      <c r="J393" s="9"/>
      <c r="K393" s="9"/>
      <c r="L393" s="9"/>
      <c r="M393" s="9"/>
      <c r="N393" s="9"/>
      <c r="O393" s="9"/>
      <c r="P393" s="89"/>
      <c r="Q393" s="9"/>
      <c r="R393" s="9"/>
      <c r="S393" s="47"/>
    </row>
    <row r="394" spans="1:19" s="34" customFormat="1" x14ac:dyDescent="0.2">
      <c r="A394" s="54"/>
      <c r="B394" s="9"/>
      <c r="C394" s="134"/>
      <c r="D394" s="85"/>
      <c r="E394" s="134"/>
      <c r="F394" s="167"/>
      <c r="G394" s="91" t="s">
        <v>2169</v>
      </c>
      <c r="H394" s="9"/>
      <c r="I394" s="584"/>
      <c r="J394" s="9"/>
      <c r="K394" s="9"/>
      <c r="L394" s="9"/>
      <c r="M394" s="9"/>
      <c r="N394" s="9"/>
      <c r="O394" s="9"/>
      <c r="P394" s="89"/>
      <c r="Q394" s="9"/>
      <c r="R394" s="9"/>
      <c r="S394" s="47"/>
    </row>
    <row r="395" spans="1:19" s="34" customFormat="1" x14ac:dyDescent="0.2">
      <c r="A395" s="54"/>
      <c r="B395" s="9"/>
      <c r="C395" s="134"/>
      <c r="D395" s="85"/>
      <c r="E395" s="134"/>
      <c r="F395" s="1153"/>
      <c r="G395" s="91"/>
      <c r="H395" s="9"/>
      <c r="I395" s="584"/>
      <c r="J395" s="9"/>
      <c r="K395" s="9"/>
      <c r="L395" s="9"/>
      <c r="M395" s="9"/>
      <c r="N395" s="9"/>
      <c r="O395" s="9"/>
      <c r="P395" s="89"/>
      <c r="Q395" s="9"/>
      <c r="R395" s="9"/>
      <c r="S395" s="47"/>
    </row>
    <row r="396" spans="1:19" s="34" customFormat="1" x14ac:dyDescent="0.2">
      <c r="A396" s="54"/>
      <c r="B396" s="9"/>
      <c r="C396" s="134"/>
      <c r="D396" s="85"/>
      <c r="E396" s="134"/>
      <c r="F396" s="730"/>
      <c r="G396" s="542" t="s">
        <v>6521</v>
      </c>
      <c r="H396" s="9"/>
      <c r="I396" s="584"/>
      <c r="J396" s="9"/>
      <c r="K396" s="9"/>
      <c r="L396" s="9"/>
      <c r="M396" s="9"/>
      <c r="N396" s="9"/>
      <c r="O396" s="9"/>
      <c r="P396" s="89"/>
      <c r="Q396" s="9"/>
      <c r="R396" s="9"/>
      <c r="S396" s="47"/>
    </row>
    <row r="397" spans="1:19" s="34" customFormat="1" x14ac:dyDescent="0.2">
      <c r="A397" s="54">
        <v>333500</v>
      </c>
      <c r="B397" s="9">
        <f>300500+31000</f>
        <v>331500</v>
      </c>
      <c r="C397" s="134">
        <v>392900</v>
      </c>
      <c r="D397" s="134">
        <v>399000</v>
      </c>
      <c r="E397" s="134">
        <v>411000</v>
      </c>
      <c r="F397" s="578" t="s">
        <v>1223</v>
      </c>
      <c r="G397" s="772" t="s">
        <v>1320</v>
      </c>
      <c r="H397" s="9">
        <f>419000+20000</f>
        <v>439000</v>
      </c>
      <c r="I397" s="584">
        <f>IF(E397=H397,0,IF(E397=0,100,(H397-E397)/E397*100))</f>
        <v>6.8126520681265204</v>
      </c>
      <c r="J397" s="9">
        <f>ROUNDUP(H397+(H397*Assumptions!I$5),-3)</f>
        <v>450000</v>
      </c>
      <c r="K397" s="9">
        <f>ROUNDUP(J397+(J397*Assumptions!J$5),-3)</f>
        <v>462000</v>
      </c>
      <c r="L397" s="9">
        <f>ROUNDUP(K397+(K397*Assumptions!K$5),-3)</f>
        <v>474000</v>
      </c>
      <c r="M397" s="9">
        <f>ROUNDUP(L397+(L397*Assumptions!L$5),-3)</f>
        <v>486000</v>
      </c>
      <c r="N397" s="9">
        <f>ROUNDUP(M397+(M397*Assumptions!M$5),-3)</f>
        <v>499000</v>
      </c>
      <c r="O397" s="9">
        <f>ROUNDUP(N397+(N397*Assumptions!N$5),-3)</f>
        <v>512000</v>
      </c>
      <c r="P397" s="89">
        <f>ROUNDUP(O397+(O397*Assumptions!O$5),-3)</f>
        <v>525000</v>
      </c>
      <c r="Q397" s="9">
        <f>ROUNDUP(P397+(P397*Assumptions!P$5),-3)</f>
        <v>539000</v>
      </c>
      <c r="R397" s="9">
        <f>ROUNDUP(Q397+(Q397*Assumptions!Q$5),-3)</f>
        <v>553000</v>
      </c>
      <c r="S397" s="47">
        <f>ROUNDUP(R397+(R397*Assumptions!R$5),-3)</f>
        <v>567000</v>
      </c>
    </row>
    <row r="398" spans="1:19" s="34" customFormat="1" x14ac:dyDescent="0.2">
      <c r="A398" s="54">
        <v>0</v>
      </c>
      <c r="B398" s="9">
        <v>0</v>
      </c>
      <c r="C398" s="136">
        <v>0</v>
      </c>
      <c r="D398" s="134">
        <v>-62500</v>
      </c>
      <c r="E398" s="134">
        <v>-47100</v>
      </c>
      <c r="F398" s="578" t="s">
        <v>7247</v>
      </c>
      <c r="G398" s="772" t="s">
        <v>6516</v>
      </c>
      <c r="H398" s="134">
        <v>-50000</v>
      </c>
      <c r="I398" s="584">
        <f>IF(E398=H398,0,IF(E398=0,100,(H398-E398)/E398*100))</f>
        <v>6.1571125265392785</v>
      </c>
      <c r="J398" s="9">
        <f>ROUNDUP(H398+(H398*Assumptions!I$5),-2)</f>
        <v>-51200</v>
      </c>
      <c r="K398" s="9">
        <f>ROUNDUP(J398+(J398*Assumptions!J$5),-2)</f>
        <v>-52500</v>
      </c>
      <c r="L398" s="9">
        <f>ROUNDUP(K398+(K398*Assumptions!K$5),-2)</f>
        <v>-53900</v>
      </c>
      <c r="M398" s="9">
        <f>ROUNDUP(L398+(L398*Assumptions!L$5),-2)</f>
        <v>-55300</v>
      </c>
      <c r="N398" s="9">
        <f>ROUNDUP(M398+(M398*Assumptions!M$5),-2)</f>
        <v>-56700</v>
      </c>
      <c r="O398" s="134">
        <f>ROUNDUP(N398+(N398*Assumptions!N$5),-2)</f>
        <v>-58200</v>
      </c>
      <c r="P398" s="134">
        <f>ROUNDUP(O398+(O398*Assumptions!O$5),-2)</f>
        <v>-59700</v>
      </c>
      <c r="Q398" s="134">
        <f>ROUNDUP(P398+(P398*Assumptions!P$5),-2)</f>
        <v>-61200</v>
      </c>
      <c r="R398" s="134">
        <f>ROUNDUP(Q398+(Q398*Assumptions!Q$5),-2)</f>
        <v>-62800</v>
      </c>
      <c r="S398" s="2359">
        <f>ROUNDUP(R398+(R398*Assumptions!R$5),-2)</f>
        <v>-64400</v>
      </c>
    </row>
    <row r="399" spans="1:19" s="34" customFormat="1" x14ac:dyDescent="0.2">
      <c r="A399" s="54">
        <v>44500</v>
      </c>
      <c r="B399" s="9">
        <v>45000</v>
      </c>
      <c r="C399" s="134">
        <v>47000</v>
      </c>
      <c r="D399" s="134">
        <v>47000</v>
      </c>
      <c r="E399" s="134">
        <v>47000</v>
      </c>
      <c r="F399" s="239" t="s">
        <v>934</v>
      </c>
      <c r="G399" s="1173" t="s">
        <v>525</v>
      </c>
      <c r="H399" s="9">
        <v>23400</v>
      </c>
      <c r="I399" s="584">
        <f>IF(E399=H399,0,IF(E399=0,100,(H399-E399)/E399*100))</f>
        <v>-50.212765957446805</v>
      </c>
      <c r="J399" s="9">
        <f>ROUNDUP(H399+(H399*Assumptions!I$5),-2)</f>
        <v>24000</v>
      </c>
      <c r="K399" s="9">
        <f>ROUNDUP(J399+(J399*Assumptions!J$5),-2)</f>
        <v>24600</v>
      </c>
      <c r="L399" s="9">
        <f>ROUNDUP(K399+(K399*Assumptions!K$5),-2)</f>
        <v>25300</v>
      </c>
      <c r="M399" s="9">
        <f>ROUNDUP(L399+(L399*Assumptions!L$5),-2)</f>
        <v>26000</v>
      </c>
      <c r="N399" s="9">
        <f>ROUNDUP(M399+(M399*Assumptions!M$5),-2)</f>
        <v>26700</v>
      </c>
      <c r="O399" s="9">
        <f>ROUNDUP(N399+(N399*Assumptions!N$5),-2)</f>
        <v>27400</v>
      </c>
      <c r="P399" s="89">
        <f>ROUNDUP(O399+(O399*Assumptions!O$5),-2)</f>
        <v>28100</v>
      </c>
      <c r="Q399" s="9">
        <f>ROUNDUP(P399+(P399*Assumptions!P$5),-2)</f>
        <v>28900</v>
      </c>
      <c r="R399" s="9">
        <f>ROUNDUP(Q399+(Q399*Assumptions!Q$5),-2)</f>
        <v>29700</v>
      </c>
      <c r="S399" s="47">
        <f>ROUNDUP(R399+(R399*Assumptions!R$5),-2)</f>
        <v>30500</v>
      </c>
    </row>
    <row r="400" spans="1:19" s="34" customFormat="1" x14ac:dyDescent="0.2">
      <c r="A400" s="54"/>
      <c r="B400" s="9"/>
      <c r="C400" s="134"/>
      <c r="D400" s="134"/>
      <c r="E400" s="134"/>
      <c r="F400" s="240"/>
      <c r="G400" s="247"/>
      <c r="H400" s="9"/>
      <c r="I400" s="584"/>
      <c r="J400" s="9"/>
      <c r="K400" s="9"/>
      <c r="L400" s="9"/>
      <c r="M400" s="9"/>
      <c r="N400" s="9"/>
      <c r="O400" s="9"/>
      <c r="P400" s="89"/>
      <c r="Q400" s="9"/>
      <c r="R400" s="9"/>
      <c r="S400" s="47"/>
    </row>
    <row r="401" spans="1:21" s="34" customFormat="1" x14ac:dyDescent="0.2">
      <c r="A401" s="54"/>
      <c r="B401" s="9"/>
      <c r="C401" s="134"/>
      <c r="D401" s="134"/>
      <c r="E401" s="134"/>
      <c r="F401" s="1378"/>
      <c r="G401" s="542" t="s">
        <v>4579</v>
      </c>
      <c r="H401" s="9"/>
      <c r="I401" s="584"/>
      <c r="J401" s="9"/>
      <c r="K401" s="9"/>
      <c r="L401" s="9"/>
      <c r="M401" s="9"/>
      <c r="N401" s="9"/>
      <c r="O401" s="9"/>
      <c r="P401" s="89"/>
      <c r="Q401" s="9"/>
      <c r="R401" s="9"/>
      <c r="S401" s="47"/>
    </row>
    <row r="402" spans="1:21" s="34" customFormat="1" x14ac:dyDescent="0.2">
      <c r="A402" s="54">
        <v>453300</v>
      </c>
      <c r="B402" s="9">
        <v>219600</v>
      </c>
      <c r="C402" s="134">
        <v>69000</v>
      </c>
      <c r="D402" s="134">
        <v>69000</v>
      </c>
      <c r="E402" s="134">
        <v>0</v>
      </c>
      <c r="F402" s="578" t="s">
        <v>3136</v>
      </c>
      <c r="G402" s="772" t="s">
        <v>3135</v>
      </c>
      <c r="H402" s="9">
        <v>0</v>
      </c>
      <c r="I402" s="584">
        <f>IF(E402=H402,0,IF(E402=0,100,(H402-E402)/E402*100))</f>
        <v>0</v>
      </c>
      <c r="J402" s="9">
        <f>ROUNDUP(H402+(H402*Assumptions!I$5),-2)</f>
        <v>0</v>
      </c>
      <c r="K402" s="9">
        <f>ROUNDUP(J402+(J402*Assumptions!J$5),-2)</f>
        <v>0</v>
      </c>
      <c r="L402" s="9">
        <f>ROUNDUP(K402+(K402*Assumptions!K$5),-2)</f>
        <v>0</v>
      </c>
      <c r="M402" s="9">
        <f>ROUNDUP(L402+(L402*Assumptions!L$5),-2)</f>
        <v>0</v>
      </c>
      <c r="N402" s="9">
        <f>ROUNDUP(M402+(M402*Assumptions!M$5),-2)</f>
        <v>0</v>
      </c>
      <c r="O402" s="9">
        <f>ROUNDUP(N402+(N402*Assumptions!N$5),-2)</f>
        <v>0</v>
      </c>
      <c r="P402" s="89">
        <f>ROUNDUP(O402+(O402*Assumptions!O$5),-2)</f>
        <v>0</v>
      </c>
      <c r="Q402" s="9">
        <f>ROUNDUP(P402+(P402*Assumptions!P$5),-2)</f>
        <v>0</v>
      </c>
      <c r="R402" s="9">
        <f>ROUNDUP(Q402+(Q402*Assumptions!Q$5),-2)</f>
        <v>0</v>
      </c>
      <c r="S402" s="47">
        <f>ROUNDUP(R402+(R402*Assumptions!R$5),-2)</f>
        <v>0</v>
      </c>
    </row>
    <row r="403" spans="1:21" s="34" customFormat="1" x14ac:dyDescent="0.2">
      <c r="A403" s="54">
        <v>1020000</v>
      </c>
      <c r="B403" s="9">
        <v>340000</v>
      </c>
      <c r="C403" s="134">
        <v>340000</v>
      </c>
      <c r="D403" s="134">
        <f>340000-340000</f>
        <v>0</v>
      </c>
      <c r="E403" s="134">
        <v>340000</v>
      </c>
      <c r="F403" s="578" t="s">
        <v>3137</v>
      </c>
      <c r="G403" s="772" t="s">
        <v>3266</v>
      </c>
      <c r="H403" s="9">
        <v>0</v>
      </c>
      <c r="I403" s="584">
        <f>IF(E403=H403,0,IF(E403=0,100,(H403-E403)/E403*100))</f>
        <v>-100</v>
      </c>
      <c r="J403" s="9">
        <f>ROUNDUP(H403+(H403*Assumptions!I$5),-2)</f>
        <v>0</v>
      </c>
      <c r="K403" s="9">
        <f>ROUNDUP(J403+(J403*Assumptions!J$5),-2)</f>
        <v>0</v>
      </c>
      <c r="L403" s="9">
        <f>ROUNDUP(K403+(K403*Assumptions!K$5),-2)</f>
        <v>0</v>
      </c>
      <c r="M403" s="9">
        <f>ROUNDUP(L403+(L403*Assumptions!L$5),-2)</f>
        <v>0</v>
      </c>
      <c r="N403" s="9">
        <f>ROUNDUP(M403+(M403*Assumptions!M$5),-2)</f>
        <v>0</v>
      </c>
      <c r="O403" s="9">
        <f>ROUNDUP(N403+(N403*Assumptions!N$5),-2)</f>
        <v>0</v>
      </c>
      <c r="P403" s="89">
        <f>ROUNDUP(O403+(O403*Assumptions!O$5),-2)</f>
        <v>0</v>
      </c>
      <c r="Q403" s="9">
        <f>ROUNDUP(P403+(P403*Assumptions!P$5),-2)</f>
        <v>0</v>
      </c>
      <c r="R403" s="9">
        <f>ROUNDUP(Q403+(Q403*Assumptions!Q$5),-2)</f>
        <v>0</v>
      </c>
      <c r="S403" s="47">
        <f>ROUNDUP(R403+(R403*Assumptions!R$5),-2)</f>
        <v>0</v>
      </c>
    </row>
    <row r="404" spans="1:21" s="34" customFormat="1" x14ac:dyDescent="0.2">
      <c r="A404" s="54">
        <v>97900</v>
      </c>
      <c r="B404" s="9">
        <v>106000</v>
      </c>
      <c r="C404" s="134">
        <v>43000</v>
      </c>
      <c r="D404" s="134">
        <v>127000</v>
      </c>
      <c r="E404" s="134">
        <f>271200-E405</f>
        <v>41200</v>
      </c>
      <c r="F404" s="239" t="s">
        <v>262</v>
      </c>
      <c r="G404" s="772" t="s">
        <v>4816</v>
      </c>
      <c r="H404" s="9">
        <v>42000</v>
      </c>
      <c r="I404" s="584">
        <f>IF(E404=H404,0,IF(E404=0,100,(H404-E404)/E404*100))</f>
        <v>1.9417475728155338</v>
      </c>
      <c r="J404" s="9">
        <f>ROUNDUP(H404+(H404*Assumptions!I$5),-2)</f>
        <v>43000</v>
      </c>
      <c r="K404" s="9">
        <f>ROUNDUP(J404+(J404*Assumptions!J$5),-2)</f>
        <v>44100</v>
      </c>
      <c r="L404" s="9">
        <f>ROUNDUP(K404+(K404*Assumptions!K$5),-2)</f>
        <v>45300</v>
      </c>
      <c r="M404" s="9">
        <f>ROUNDUP(L404+(L404*Assumptions!L$5),-2)</f>
        <v>46500</v>
      </c>
      <c r="N404" s="9">
        <f>ROUNDUP(M404+(M404*Assumptions!M$5),-2)</f>
        <v>47700</v>
      </c>
      <c r="O404" s="9">
        <f>ROUNDUP(N404+(N404*Assumptions!N$5),-2)</f>
        <v>48900</v>
      </c>
      <c r="P404" s="89">
        <f>ROUNDUP(O404+(O404*Assumptions!O$5),-2)</f>
        <v>50200</v>
      </c>
      <c r="Q404" s="9">
        <f>ROUNDUP(P404+(P404*Assumptions!P$5),-2)</f>
        <v>51500</v>
      </c>
      <c r="R404" s="9">
        <f>ROUNDUP(Q404+(Q404*Assumptions!Q$5),-2)</f>
        <v>52800</v>
      </c>
      <c r="S404" s="47">
        <f>ROUNDUP(R404+(R404*Assumptions!R$5),-2)</f>
        <v>54200</v>
      </c>
    </row>
    <row r="405" spans="1:21" s="34" customFormat="1" x14ac:dyDescent="0.2">
      <c r="A405" s="54">
        <v>0</v>
      </c>
      <c r="B405" s="9">
        <v>0</v>
      </c>
      <c r="C405" s="134">
        <v>0</v>
      </c>
      <c r="D405" s="134">
        <v>0</v>
      </c>
      <c r="E405" s="136">
        <v>230000</v>
      </c>
      <c r="F405" s="239" t="s">
        <v>262</v>
      </c>
      <c r="G405" s="662" t="s">
        <v>5911</v>
      </c>
      <c r="H405" s="9">
        <v>0</v>
      </c>
      <c r="I405" s="584">
        <f>IF(E405=H405,0,IF(E405=0,100,(H405-E405)/E405*100))</f>
        <v>-100</v>
      </c>
      <c r="J405" s="9">
        <v>0</v>
      </c>
      <c r="K405" s="9">
        <f>ROUNDUP(J405+(J405*Assumptions!J$5),-2)</f>
        <v>0</v>
      </c>
      <c r="L405" s="9">
        <f>ROUNDUP(K405+(K405*Assumptions!K$5),-2)</f>
        <v>0</v>
      </c>
      <c r="M405" s="9">
        <f>ROUNDUP(L405+(L405*Assumptions!L$5),-2)</f>
        <v>0</v>
      </c>
      <c r="N405" s="9">
        <f>ROUNDUP(M405+(M405*Assumptions!M$5),-2)</f>
        <v>0</v>
      </c>
      <c r="O405" s="9">
        <f>ROUNDUP(N405+(N405*Assumptions!N$5),-2)</f>
        <v>0</v>
      </c>
      <c r="P405" s="89">
        <f>ROUNDUP(O405+(O405*Assumptions!O$5),-2)</f>
        <v>0</v>
      </c>
      <c r="Q405" s="9">
        <f>ROUNDUP(P405+(P405*Assumptions!P$5),-2)</f>
        <v>0</v>
      </c>
      <c r="R405" s="9">
        <f>ROUNDUP(Q405+(Q405*Assumptions!Q$5),-2)</f>
        <v>0</v>
      </c>
      <c r="S405" s="47">
        <f>ROUNDUP(R405+(R405*Assumptions!R$5),-2)</f>
        <v>0</v>
      </c>
    </row>
    <row r="406" spans="1:21" s="34" customFormat="1" x14ac:dyDescent="0.2">
      <c r="A406" s="54"/>
      <c r="B406" s="9"/>
      <c r="C406" s="134"/>
      <c r="D406" s="134"/>
      <c r="E406" s="136"/>
      <c r="F406" s="730"/>
      <c r="G406" s="371"/>
      <c r="H406" s="9"/>
      <c r="I406" s="584"/>
      <c r="J406" s="9"/>
      <c r="K406" s="9"/>
      <c r="L406" s="9"/>
      <c r="M406" s="9"/>
      <c r="N406" s="9"/>
      <c r="O406" s="9"/>
      <c r="P406" s="89"/>
      <c r="Q406" s="9"/>
      <c r="R406" s="9"/>
      <c r="S406" s="47"/>
    </row>
    <row r="407" spans="1:21" s="34" customFormat="1" x14ac:dyDescent="0.2">
      <c r="A407" s="54"/>
      <c r="B407" s="9"/>
      <c r="C407" s="134"/>
      <c r="D407" s="134"/>
      <c r="E407" s="136"/>
      <c r="F407" s="730"/>
      <c r="G407" s="320" t="s">
        <v>1636</v>
      </c>
      <c r="H407" s="9"/>
      <c r="I407" s="584"/>
      <c r="J407" s="9"/>
      <c r="K407" s="9"/>
      <c r="L407" s="9"/>
      <c r="M407" s="9"/>
      <c r="N407" s="9"/>
      <c r="O407" s="9"/>
      <c r="P407" s="89"/>
      <c r="Q407" s="9"/>
      <c r="R407" s="9"/>
      <c r="S407" s="47"/>
    </row>
    <row r="408" spans="1:21" s="34" customFormat="1" x14ac:dyDescent="0.2">
      <c r="A408" s="54">
        <v>1503000</v>
      </c>
      <c r="B408" s="9">
        <v>1729000</v>
      </c>
      <c r="C408" s="134">
        <v>1777000</v>
      </c>
      <c r="D408" s="1442">
        <v>1888000</v>
      </c>
      <c r="E408" s="136">
        <v>1950000</v>
      </c>
      <c r="F408" s="239" t="s">
        <v>2699</v>
      </c>
      <c r="G408" s="662" t="s">
        <v>3887</v>
      </c>
      <c r="H408" s="9">
        <v>2094000</v>
      </c>
      <c r="I408" s="584">
        <f>IF(E408=H408,0,IF(E408=0,100,(H408-E408)/E408*100))</f>
        <v>7.384615384615385</v>
      </c>
      <c r="J408" s="9">
        <f>ROUND(H408*Assumptions!I$5+'W&amp;W'!H408,-2)</f>
        <v>2142200</v>
      </c>
      <c r="K408" s="9">
        <f>ROUND(J408*Assumptions!J$5+'W&amp;W'!J408,-2)</f>
        <v>2195800</v>
      </c>
      <c r="L408" s="9">
        <f>ROUND(K408*Assumptions!K$5+'W&amp;W'!K408,-2)</f>
        <v>2250700</v>
      </c>
      <c r="M408" s="9">
        <f>ROUND(L408*Assumptions!L$5+'W&amp;W'!L408,-2)</f>
        <v>2307000</v>
      </c>
      <c r="N408" s="9">
        <f>ROUND(M408*Assumptions!M$5+'W&amp;W'!M408,-2)</f>
        <v>2364700</v>
      </c>
      <c r="O408" s="9">
        <f>ROUND(N408*Assumptions!N$5+'W&amp;W'!N408,-2)</f>
        <v>2423800</v>
      </c>
      <c r="P408" s="89">
        <f>ROUND(O408*Assumptions!O$5+'W&amp;W'!O408,-2)</f>
        <v>2484400</v>
      </c>
      <c r="Q408" s="9">
        <f>ROUND(P408*Assumptions!P$5+'W&amp;W'!P408,-2)</f>
        <v>2546500</v>
      </c>
      <c r="R408" s="9">
        <f>ROUND(Q408*Assumptions!Q$5+'W&amp;W'!Q408,-2)</f>
        <v>2610200</v>
      </c>
      <c r="S408" s="47">
        <f>ROUND(R408*Assumptions!R$5+'W&amp;W'!R408,-2)</f>
        <v>2675500</v>
      </c>
    </row>
    <row r="409" spans="1:21" s="34" customFormat="1" x14ac:dyDescent="0.2">
      <c r="A409" s="54"/>
      <c r="B409" s="9"/>
      <c r="C409" s="9"/>
      <c r="D409" s="29"/>
      <c r="E409" s="9"/>
      <c r="F409" s="773"/>
      <c r="G409" s="662"/>
      <c r="H409" s="9"/>
      <c r="I409" s="584"/>
      <c r="J409" s="9"/>
      <c r="K409" s="9"/>
      <c r="L409" s="9"/>
      <c r="M409" s="9"/>
      <c r="N409" s="9"/>
      <c r="O409" s="9"/>
      <c r="P409" s="89"/>
      <c r="Q409" s="9"/>
      <c r="R409" s="9"/>
      <c r="S409" s="61"/>
    </row>
    <row r="410" spans="1:21" s="34" customFormat="1" x14ac:dyDescent="0.2">
      <c r="A410" s="54"/>
      <c r="B410" s="9"/>
      <c r="C410" s="9"/>
      <c r="D410" s="29"/>
      <c r="E410" s="9"/>
      <c r="F410" s="167"/>
      <c r="G410" s="521" t="s">
        <v>1014</v>
      </c>
      <c r="H410" s="9"/>
      <c r="I410" s="584"/>
      <c r="J410" s="9"/>
      <c r="K410" s="9"/>
      <c r="L410" s="9"/>
      <c r="M410" s="9"/>
      <c r="N410" s="9"/>
      <c r="O410" s="9"/>
      <c r="P410" s="89"/>
      <c r="Q410" s="9"/>
      <c r="R410" s="9"/>
      <c r="S410" s="61"/>
    </row>
    <row r="411" spans="1:21" s="34" customFormat="1" ht="13.5" thickBot="1" x14ac:dyDescent="0.25">
      <c r="A411" s="118"/>
      <c r="B411" s="23"/>
      <c r="C411" s="23"/>
      <c r="D411" s="227"/>
      <c r="E411" s="23"/>
      <c r="F411" s="168"/>
      <c r="G411" s="1619"/>
      <c r="H411" s="23"/>
      <c r="I411" s="751"/>
      <c r="J411" s="23"/>
      <c r="K411" s="23"/>
      <c r="L411" s="23"/>
      <c r="M411" s="23"/>
      <c r="N411" s="23"/>
      <c r="O411" s="23"/>
      <c r="P411" s="113"/>
      <c r="Q411" s="23"/>
      <c r="R411" s="23"/>
      <c r="S411" s="112"/>
    </row>
    <row r="412" spans="1:21" s="38" customFormat="1" ht="18.75" customHeight="1" thickTop="1" thickBot="1" x14ac:dyDescent="0.3">
      <c r="A412" s="2601" t="s">
        <v>4748</v>
      </c>
      <c r="B412" s="2602"/>
      <c r="C412" s="2602"/>
      <c r="D412" s="2602"/>
      <c r="E412" s="2602"/>
      <c r="F412" s="2602"/>
      <c r="G412" s="2602"/>
      <c r="H412" s="2602"/>
      <c r="I412" s="2602"/>
      <c r="J412" s="2602"/>
      <c r="K412" s="2602"/>
      <c r="L412" s="2602"/>
      <c r="M412" s="2602"/>
      <c r="N412" s="2602"/>
      <c r="O412" s="2602"/>
      <c r="P412" s="2602"/>
      <c r="Q412" s="2602"/>
      <c r="R412" s="2602"/>
      <c r="S412" s="2603"/>
      <c r="U412" s="34"/>
    </row>
    <row r="413" spans="1:21" s="39" customFormat="1" x14ac:dyDescent="0.2">
      <c r="A413" s="2598" t="s">
        <v>1824</v>
      </c>
      <c r="B413" s="2599"/>
      <c r="C413" s="2599"/>
      <c r="D413" s="2599"/>
      <c r="E413" s="2600"/>
      <c r="F413" s="2058" t="s">
        <v>2616</v>
      </c>
      <c r="G413" s="2231" t="s">
        <v>2213</v>
      </c>
      <c r="H413" s="2577" t="s">
        <v>2215</v>
      </c>
      <c r="I413" s="2577"/>
      <c r="J413" s="2577"/>
      <c r="K413" s="2577"/>
      <c r="L413" s="2577"/>
      <c r="M413" s="2577"/>
      <c r="N413" s="2577"/>
      <c r="O413" s="2577"/>
      <c r="P413" s="2577"/>
      <c r="Q413" s="2577"/>
      <c r="R413" s="2577"/>
      <c r="S413" s="2578"/>
      <c r="U413" s="34"/>
    </row>
    <row r="414" spans="1:21" s="34" customFormat="1" ht="13.5" customHeight="1" thickBot="1" x14ac:dyDescent="0.25">
      <c r="A414" s="541" t="str">
        <f>A3</f>
        <v>2012/13</v>
      </c>
      <c r="B414" s="28" t="str">
        <f>B3</f>
        <v>2013/14</v>
      </c>
      <c r="C414" s="40" t="str">
        <f>C3</f>
        <v>2014/15</v>
      </c>
      <c r="D414" s="40" t="str">
        <f>D3</f>
        <v>2015/16</v>
      </c>
      <c r="E414" s="40" t="str">
        <f>E3</f>
        <v>2016/17</v>
      </c>
      <c r="F414" s="40" t="s">
        <v>2617</v>
      </c>
      <c r="G414" s="41"/>
      <c r="H414" s="40" t="str">
        <f t="shared" ref="H414:S414" si="456">H3</f>
        <v>2017/18</v>
      </c>
      <c r="I414" s="1459" t="str">
        <f t="shared" si="456"/>
        <v>%</v>
      </c>
      <c r="J414" s="40" t="str">
        <f t="shared" si="456"/>
        <v>2018/19</v>
      </c>
      <c r="K414" s="40" t="str">
        <f t="shared" si="456"/>
        <v>2019/20</v>
      </c>
      <c r="L414" s="40" t="str">
        <f t="shared" si="456"/>
        <v>2020/21</v>
      </c>
      <c r="M414" s="40" t="str">
        <f t="shared" si="456"/>
        <v>2021/22</v>
      </c>
      <c r="N414" s="40" t="str">
        <f t="shared" si="456"/>
        <v>2022/23</v>
      </c>
      <c r="O414" s="40" t="str">
        <f t="shared" si="456"/>
        <v>2023/24</v>
      </c>
      <c r="P414" s="1257" t="str">
        <f t="shared" si="456"/>
        <v>2024/25</v>
      </c>
      <c r="Q414" s="28" t="str">
        <f t="shared" si="456"/>
        <v>2025/26</v>
      </c>
      <c r="R414" s="28" t="str">
        <f t="shared" si="456"/>
        <v>2026/27</v>
      </c>
      <c r="S414" s="1620" t="str">
        <f t="shared" si="456"/>
        <v>2027/28</v>
      </c>
    </row>
    <row r="415" spans="1:21" s="34" customFormat="1" x14ac:dyDescent="0.2">
      <c r="A415" s="54"/>
      <c r="B415" s="9"/>
      <c r="C415" s="9"/>
      <c r="D415" s="9"/>
      <c r="E415" s="9"/>
      <c r="F415" s="1153"/>
      <c r="G415" s="256" t="s">
        <v>1800</v>
      </c>
      <c r="H415" s="9"/>
      <c r="I415" s="584"/>
      <c r="J415" s="9"/>
      <c r="K415" s="9"/>
      <c r="L415" s="9"/>
      <c r="M415" s="9"/>
      <c r="N415" s="9"/>
      <c r="O415" s="9"/>
      <c r="P415" s="89"/>
      <c r="Q415" s="9"/>
      <c r="R415" s="9"/>
      <c r="S415" s="61"/>
    </row>
    <row r="416" spans="1:21" s="34" customFormat="1" x14ac:dyDescent="0.2">
      <c r="A416" s="54"/>
      <c r="B416" s="9"/>
      <c r="C416" s="134"/>
      <c r="D416" s="134"/>
      <c r="E416" s="136"/>
      <c r="F416" s="1378"/>
      <c r="G416" s="912" t="s">
        <v>2300</v>
      </c>
      <c r="H416" s="9"/>
      <c r="I416" s="584"/>
      <c r="J416" s="9"/>
      <c r="K416" s="9"/>
      <c r="L416" s="9"/>
      <c r="M416" s="9"/>
      <c r="N416" s="9"/>
      <c r="O416" s="9"/>
      <c r="P416" s="89"/>
      <c r="Q416" s="9"/>
      <c r="R416" s="9"/>
      <c r="S416" s="61"/>
    </row>
    <row r="417" spans="1:19" s="34" customFormat="1" x14ac:dyDescent="0.2">
      <c r="A417" s="54">
        <v>123300</v>
      </c>
      <c r="B417" s="9">
        <v>123000</v>
      </c>
      <c r="C417" s="134">
        <v>128500</v>
      </c>
      <c r="D417" s="134">
        <v>137200</v>
      </c>
      <c r="E417" s="136">
        <v>144100</v>
      </c>
      <c r="F417" s="239" t="s">
        <v>2450</v>
      </c>
      <c r="G417" s="371" t="s">
        <v>1779</v>
      </c>
      <c r="H417" s="9">
        <v>137000</v>
      </c>
      <c r="I417" s="584">
        <f t="shared" ref="I417:I430" si="457">IF(E417=H417,0,IF(E417=0,100,(H417-E417)/E417*100))</f>
        <v>-4.9271339347675225</v>
      </c>
      <c r="J417" s="9">
        <f>ROUNDUP(H417+(H417*Assumptions!I$5),-2)</f>
        <v>140200</v>
      </c>
      <c r="K417" s="9">
        <f>ROUNDUP(J417+(J417*Assumptions!J$5),-2)</f>
        <v>143800</v>
      </c>
      <c r="L417" s="9">
        <f>ROUNDUP(K417+(K417*Assumptions!K$5),-2)</f>
        <v>147400</v>
      </c>
      <c r="M417" s="9">
        <f>ROUNDUP(L417+(L417*Assumptions!L$5),-2)</f>
        <v>151100</v>
      </c>
      <c r="N417" s="9">
        <f>ROUNDUP(M417+(M417*Assumptions!M$5),-2)</f>
        <v>154900</v>
      </c>
      <c r="O417" s="9">
        <f>ROUNDUP(N417+(N417*Assumptions!N$5),-2)</f>
        <v>158800</v>
      </c>
      <c r="P417" s="89">
        <f>ROUNDUP(O417+(O417*Assumptions!O$5),-2)</f>
        <v>162800</v>
      </c>
      <c r="Q417" s="9">
        <f>ROUNDUP(P417+(P417*Assumptions!P$5),-2)</f>
        <v>166900</v>
      </c>
      <c r="R417" s="9">
        <f>ROUNDUP(Q417+(Q417*Assumptions!Q$5),-2)</f>
        <v>171100</v>
      </c>
      <c r="S417" s="47">
        <f>ROUNDUP(R417+(R417*Assumptions!R$5),-2)</f>
        <v>175400</v>
      </c>
    </row>
    <row r="418" spans="1:19" s="34" customFormat="1" x14ac:dyDescent="0.2">
      <c r="A418" s="54">
        <v>0</v>
      </c>
      <c r="B418" s="9">
        <v>1000</v>
      </c>
      <c r="C418" s="134">
        <v>3100</v>
      </c>
      <c r="D418" s="134">
        <v>10000</v>
      </c>
      <c r="E418" s="136">
        <v>3500</v>
      </c>
      <c r="F418" s="578" t="s">
        <v>6037</v>
      </c>
      <c r="G418" s="662" t="s">
        <v>3203</v>
      </c>
      <c r="H418" s="9">
        <v>3000</v>
      </c>
      <c r="I418" s="584">
        <f t="shared" si="457"/>
        <v>-14.285714285714285</v>
      </c>
      <c r="J418" s="9">
        <f>ROUNDUP(H418+(H418*Assumptions!I$5),-2)</f>
        <v>3100</v>
      </c>
      <c r="K418" s="9">
        <f>ROUNDUP(J418+(J418*Assumptions!J$5),-2)</f>
        <v>3200</v>
      </c>
      <c r="L418" s="9">
        <f>ROUNDUP(K418+(K418*Assumptions!K$5),-2)</f>
        <v>3300</v>
      </c>
      <c r="M418" s="9">
        <f>ROUNDUP(L418+(L418*Assumptions!L$5),-2)</f>
        <v>3400</v>
      </c>
      <c r="N418" s="9">
        <f>ROUNDUP(M418+(M418*Assumptions!M$5),-2)</f>
        <v>3500</v>
      </c>
      <c r="O418" s="9">
        <f>ROUNDUP(N418+(N418*Assumptions!N$5),-2)</f>
        <v>3600</v>
      </c>
      <c r="P418" s="89">
        <f>ROUNDUP(O418+(O418*Assumptions!O$5),-2)</f>
        <v>3700</v>
      </c>
      <c r="Q418" s="9">
        <f>ROUNDUP(P418+(P418*Assumptions!P$5),-2)</f>
        <v>3800</v>
      </c>
      <c r="R418" s="9">
        <f>ROUNDUP(Q418+(Q418*Assumptions!Q$5),-2)</f>
        <v>3900</v>
      </c>
      <c r="S418" s="47">
        <f>ROUNDUP(R418+(R418*Assumptions!R$5),-2)</f>
        <v>4000</v>
      </c>
    </row>
    <row r="419" spans="1:19" s="34" customFormat="1" x14ac:dyDescent="0.2">
      <c r="A419" s="54">
        <f>16600+4000</f>
        <v>20600</v>
      </c>
      <c r="B419" s="9">
        <f>18100+65200+3300</f>
        <v>86600</v>
      </c>
      <c r="C419" s="134">
        <v>20200</v>
      </c>
      <c r="D419" s="134">
        <v>22000</v>
      </c>
      <c r="E419" s="136">
        <v>27000</v>
      </c>
      <c r="F419" s="239" t="s">
        <v>2070</v>
      </c>
      <c r="G419" s="662" t="s">
        <v>1922</v>
      </c>
      <c r="H419" s="9">
        <v>27000</v>
      </c>
      <c r="I419" s="584">
        <f t="shared" si="457"/>
        <v>0</v>
      </c>
      <c r="J419" s="9">
        <f>ROUNDUP(H419+(H419*Assumptions!I$5),-2)</f>
        <v>27700</v>
      </c>
      <c r="K419" s="9">
        <f>ROUNDUP(J419+(J419*Assumptions!J$5),-2)</f>
        <v>28400</v>
      </c>
      <c r="L419" s="9">
        <f>ROUNDUP(K419+(K419*Assumptions!K$5),-2)</f>
        <v>29200</v>
      </c>
      <c r="M419" s="9">
        <f>ROUNDUP(L419+(L419*Assumptions!L$5),-2)</f>
        <v>30000</v>
      </c>
      <c r="N419" s="9">
        <f>ROUNDUP(M419+(M419*Assumptions!M$5),-2)</f>
        <v>30800</v>
      </c>
      <c r="O419" s="9">
        <f>ROUNDUP(N419+(N419*Assumptions!N$5),-2)</f>
        <v>31600</v>
      </c>
      <c r="P419" s="89">
        <f>ROUNDUP(O419+(O419*Assumptions!O$5),-2)</f>
        <v>32400</v>
      </c>
      <c r="Q419" s="9">
        <f>ROUNDUP(P419+(P419*Assumptions!P$5),-2)</f>
        <v>33300</v>
      </c>
      <c r="R419" s="9">
        <f>ROUNDUP(Q419+(Q419*Assumptions!Q$5),-2)</f>
        <v>34200</v>
      </c>
      <c r="S419" s="47">
        <f>ROUNDUP(R419+(R419*Assumptions!R$5),-2)</f>
        <v>35100</v>
      </c>
    </row>
    <row r="420" spans="1:19" s="34" customFormat="1" x14ac:dyDescent="0.2">
      <c r="A420" s="54">
        <v>0</v>
      </c>
      <c r="B420" s="9">
        <v>0</v>
      </c>
      <c r="C420" s="134">
        <v>3000</v>
      </c>
      <c r="D420" s="134">
        <v>8500</v>
      </c>
      <c r="E420" s="136">
        <v>26300</v>
      </c>
      <c r="F420" s="578" t="s">
        <v>5477</v>
      </c>
      <c r="G420" s="662" t="s">
        <v>4882</v>
      </c>
      <c r="H420" s="9">
        <v>70000</v>
      </c>
      <c r="I420" s="584">
        <f t="shared" si="457"/>
        <v>166.1596958174905</v>
      </c>
      <c r="J420" s="9">
        <v>28800</v>
      </c>
      <c r="K420" s="9">
        <f>ROUND(J420+(J420*Assumptions!J$5),-2)+100</f>
        <v>29600</v>
      </c>
      <c r="L420" s="9">
        <f>ROUND(K420+(K420*Assumptions!K$5),-2)+100</f>
        <v>30400</v>
      </c>
      <c r="M420" s="9">
        <f>ROUND(L420+(L420*Assumptions!L$5),-2)</f>
        <v>31200</v>
      </c>
      <c r="N420" s="9">
        <f>ROUND(M420+(M420*Assumptions!M$5),-2)</f>
        <v>32000</v>
      </c>
      <c r="O420" s="9">
        <f>ROUND(N420+(N420*Assumptions!N$5),-2)</f>
        <v>32800</v>
      </c>
      <c r="P420" s="9">
        <f>ROUND(O420+(O420*Assumptions!O$5),-2)</f>
        <v>33600</v>
      </c>
      <c r="Q420" s="9">
        <f>ROUND(P420+(P420*Assumptions!P$5),-2)</f>
        <v>34400</v>
      </c>
      <c r="R420" s="9">
        <f>ROUND(Q420+(Q420*Assumptions!Q$5),-2)</f>
        <v>35300</v>
      </c>
      <c r="S420" s="47">
        <f>ROUND(R420+(R420*Assumptions!R$5),-2)</f>
        <v>36200</v>
      </c>
    </row>
    <row r="421" spans="1:19" s="34" customFormat="1" x14ac:dyDescent="0.2">
      <c r="A421" s="54">
        <v>18900</v>
      </c>
      <c r="B421" s="9">
        <v>20400</v>
      </c>
      <c r="C421" s="134">
        <v>23200</v>
      </c>
      <c r="D421" s="134">
        <v>20000</v>
      </c>
      <c r="E421" s="136">
        <v>25200</v>
      </c>
      <c r="F421" s="239" t="s">
        <v>2867</v>
      </c>
      <c r="G421" s="662" t="s">
        <v>638</v>
      </c>
      <c r="H421" s="9">
        <v>22000</v>
      </c>
      <c r="I421" s="584">
        <f t="shared" si="457"/>
        <v>-12.698412698412698</v>
      </c>
      <c r="J421" s="9">
        <f>ROUNDUP(H421+(H421*Assumptions!I$5),-2)</f>
        <v>22600</v>
      </c>
      <c r="K421" s="9">
        <f>ROUNDUP(J421+(J421*Assumptions!J$5),-2)</f>
        <v>23200</v>
      </c>
      <c r="L421" s="9">
        <f>ROUNDUP(K421+(K421*Assumptions!K$5),-2)</f>
        <v>23800</v>
      </c>
      <c r="M421" s="9">
        <f>ROUNDUP(L421+(L421*Assumptions!L$5),-2)</f>
        <v>24400</v>
      </c>
      <c r="N421" s="9">
        <f>ROUNDUP(M421+(M421*Assumptions!M$5),-2)</f>
        <v>25100</v>
      </c>
      <c r="O421" s="9">
        <f>ROUNDUP(N421+(N421*Assumptions!N$5),-2)</f>
        <v>25800</v>
      </c>
      <c r="P421" s="89">
        <f>ROUNDUP(O421+(O421*Assumptions!O$5),-2)</f>
        <v>26500</v>
      </c>
      <c r="Q421" s="9">
        <f>ROUNDUP(P421+(P421*Assumptions!P$5),-2)</f>
        <v>27200</v>
      </c>
      <c r="R421" s="9">
        <f>ROUNDUP(Q421+(Q421*Assumptions!Q$5),-2)</f>
        <v>27900</v>
      </c>
      <c r="S421" s="47">
        <f>ROUNDUP(R421+(R421*Assumptions!R$5),-2)</f>
        <v>28600</v>
      </c>
    </row>
    <row r="422" spans="1:19" s="34" customFormat="1" x14ac:dyDescent="0.2">
      <c r="A422" s="54">
        <v>15600</v>
      </c>
      <c r="B422" s="9">
        <v>9900</v>
      </c>
      <c r="C422" s="134">
        <v>13400</v>
      </c>
      <c r="D422" s="134">
        <v>12000</v>
      </c>
      <c r="E422" s="136">
        <v>11900</v>
      </c>
      <c r="F422" s="239" t="s">
        <v>2866</v>
      </c>
      <c r="G422" s="662" t="s">
        <v>708</v>
      </c>
      <c r="H422" s="9">
        <v>12000</v>
      </c>
      <c r="I422" s="584">
        <f t="shared" si="457"/>
        <v>0.84033613445378152</v>
      </c>
      <c r="J422" s="9">
        <f>ROUNDUP(H422+(H422*Assumptions!I$5),-2)</f>
        <v>12300</v>
      </c>
      <c r="K422" s="9">
        <f>ROUNDUP(J422+(J422*Assumptions!J$5),-2)</f>
        <v>12700</v>
      </c>
      <c r="L422" s="9">
        <f>ROUNDUP(K422+(K422*Assumptions!K$5),-2)</f>
        <v>13100</v>
      </c>
      <c r="M422" s="9">
        <f>ROUNDUP(L422+(L422*Assumptions!L$5),-2)</f>
        <v>13500</v>
      </c>
      <c r="N422" s="9">
        <f>ROUNDUP(M422+(M422*Assumptions!M$5),-2)</f>
        <v>13900</v>
      </c>
      <c r="O422" s="9">
        <f>ROUNDUP(N422+(N422*Assumptions!N$5),-2)</f>
        <v>14300</v>
      </c>
      <c r="P422" s="89">
        <f>ROUNDUP(O422+(O422*Assumptions!O$5),-2)</f>
        <v>14700</v>
      </c>
      <c r="Q422" s="9">
        <f>ROUNDUP(P422+(P422*Assumptions!P$5),-2)</f>
        <v>15100</v>
      </c>
      <c r="R422" s="9">
        <f>ROUNDUP(Q422+(Q422*Assumptions!Q$5),-2)</f>
        <v>15500</v>
      </c>
      <c r="S422" s="47">
        <f>ROUNDUP(R422+(R422*Assumptions!R$5),-2)</f>
        <v>15900</v>
      </c>
    </row>
    <row r="423" spans="1:19" s="34" customFormat="1" x14ac:dyDescent="0.2">
      <c r="A423" s="54">
        <v>78900</v>
      </c>
      <c r="B423" s="9">
        <v>96900</v>
      </c>
      <c r="C423" s="134">
        <v>96500</v>
      </c>
      <c r="D423" s="134">
        <v>88600</v>
      </c>
      <c r="E423" s="136">
        <v>82400</v>
      </c>
      <c r="F423" s="239" t="s">
        <v>2865</v>
      </c>
      <c r="G423" s="371" t="s">
        <v>2724</v>
      </c>
      <c r="H423" s="9">
        <v>90000</v>
      </c>
      <c r="I423" s="584">
        <f t="shared" si="457"/>
        <v>9.2233009708737868</v>
      </c>
      <c r="J423" s="9">
        <f>ROUNDUP(H423+(H423*Assumptions!I$5),-3)</f>
        <v>93000</v>
      </c>
      <c r="K423" s="9">
        <f>ROUNDUP(J423+(J423*Assumptions!J$5),-2)</f>
        <v>95400</v>
      </c>
      <c r="L423" s="9">
        <f>ROUNDUP(K423+(K423*Assumptions!K$5),-2)</f>
        <v>97800</v>
      </c>
      <c r="M423" s="9">
        <f>ROUNDUP(L423+(L423*Assumptions!L$5),-2)</f>
        <v>100300</v>
      </c>
      <c r="N423" s="9">
        <f>ROUNDUP(M423+(M423*Assumptions!M$5),-2)</f>
        <v>102900</v>
      </c>
      <c r="O423" s="9">
        <f>ROUNDUP(N423+(N423*Assumptions!N$5),-2)</f>
        <v>105500</v>
      </c>
      <c r="P423" s="89">
        <f>ROUNDUP(O423+(O423*Assumptions!O$5),-2)</f>
        <v>108200</v>
      </c>
      <c r="Q423" s="9">
        <f>ROUNDUP(P423+(P423*Assumptions!P$5),-2)</f>
        <v>111000</v>
      </c>
      <c r="R423" s="9">
        <f>ROUNDUP(Q423+(Q423*Assumptions!Q$5),-2)</f>
        <v>113800</v>
      </c>
      <c r="S423" s="47">
        <f>ROUNDUP(R423+(R423*Assumptions!R$5),-2)</f>
        <v>116700</v>
      </c>
    </row>
    <row r="424" spans="1:19" s="34" customFormat="1" x14ac:dyDescent="0.2">
      <c r="A424" s="54">
        <v>113800</v>
      </c>
      <c r="B424" s="9">
        <v>101800</v>
      </c>
      <c r="C424" s="134">
        <v>112900</v>
      </c>
      <c r="D424" s="134">
        <v>149000</v>
      </c>
      <c r="E424" s="136">
        <v>125500</v>
      </c>
      <c r="F424" s="239" t="s">
        <v>437</v>
      </c>
      <c r="G424" s="371" t="s">
        <v>1296</v>
      </c>
      <c r="H424" s="9">
        <v>160000</v>
      </c>
      <c r="I424" s="584">
        <f t="shared" si="457"/>
        <v>27.490039840637447</v>
      </c>
      <c r="J424" s="9">
        <f>ROUNDUP(H424+(H424*Assumptions!I$5),-2)</f>
        <v>163700</v>
      </c>
      <c r="K424" s="9">
        <f>ROUNDUP(J424+(J424*Assumptions!J$5),-2)</f>
        <v>167800</v>
      </c>
      <c r="L424" s="9">
        <f>ROUNDUP(K424+(K424*Assumptions!K$5),-2)</f>
        <v>172000</v>
      </c>
      <c r="M424" s="9">
        <f>ROUNDUP(L424+(L424*Assumptions!L$5),-2)</f>
        <v>176300</v>
      </c>
      <c r="N424" s="9">
        <f>ROUNDUP(M424+(M424*Assumptions!M$5),-2)</f>
        <v>180800</v>
      </c>
      <c r="O424" s="9">
        <f>ROUNDUP(N424+(N424*Assumptions!N$5),-2)</f>
        <v>185400</v>
      </c>
      <c r="P424" s="89">
        <f>ROUNDUP(O424+(O424*Assumptions!O$5),-2)</f>
        <v>190100</v>
      </c>
      <c r="Q424" s="9">
        <f>ROUNDUP(P424+(P424*Assumptions!P$5),-2)</f>
        <v>194900</v>
      </c>
      <c r="R424" s="9">
        <f>ROUNDUP(Q424+(Q424*Assumptions!Q$5),-2)</f>
        <v>199800</v>
      </c>
      <c r="S424" s="47">
        <f>ROUNDUP(R424+(R424*Assumptions!R$5),-2)</f>
        <v>204800</v>
      </c>
    </row>
    <row r="425" spans="1:19" s="34" customFormat="1" x14ac:dyDescent="0.2">
      <c r="A425" s="54">
        <v>20000</v>
      </c>
      <c r="B425" s="9">
        <v>20000</v>
      </c>
      <c r="C425" s="136">
        <v>20000</v>
      </c>
      <c r="D425" s="134">
        <v>37400</v>
      </c>
      <c r="E425" s="136">
        <v>39700</v>
      </c>
      <c r="F425" s="578" t="s">
        <v>7249</v>
      </c>
      <c r="G425" s="662" t="s">
        <v>6515</v>
      </c>
      <c r="H425" s="9">
        <v>40000</v>
      </c>
      <c r="I425" s="584">
        <f t="shared" si="457"/>
        <v>0.75566750629722923</v>
      </c>
      <c r="J425" s="9">
        <f>ROUNDUP(H425+(H425*Assumptions!I$5),-2)</f>
        <v>41000</v>
      </c>
      <c r="K425" s="9">
        <f>ROUNDUP(J425+(J425*Assumptions!J$5),-2)</f>
        <v>42100</v>
      </c>
      <c r="L425" s="9">
        <f>ROUNDUP(K425+(K425*Assumptions!K$5),-2)</f>
        <v>43200</v>
      </c>
      <c r="M425" s="9">
        <f>ROUNDUP(L425+(L425*Assumptions!L$5),-2)</f>
        <v>44300</v>
      </c>
      <c r="N425" s="9">
        <f>ROUNDUP(M425+(M425*Assumptions!M$5),-2)</f>
        <v>45500</v>
      </c>
      <c r="O425" s="9">
        <f>ROUNDUP(N425+(N425*Assumptions!N$5),-2)</f>
        <v>46700</v>
      </c>
      <c r="P425" s="89">
        <f>ROUNDUP(O425+(O425*Assumptions!O$5),-2)</f>
        <v>47900</v>
      </c>
      <c r="Q425" s="9">
        <f>ROUNDUP(P425+(P425*Assumptions!P$5),-2)</f>
        <v>49100</v>
      </c>
      <c r="R425" s="9">
        <f>ROUNDUP(Q425+(Q425*Assumptions!Q$5),-2)</f>
        <v>50400</v>
      </c>
      <c r="S425" s="47">
        <f>ROUNDUP(R425+(R425*Assumptions!R$5),-2)</f>
        <v>51700</v>
      </c>
    </row>
    <row r="426" spans="1:19" s="34" customFormat="1" x14ac:dyDescent="0.2">
      <c r="A426" s="54">
        <v>0</v>
      </c>
      <c r="B426" s="9">
        <v>0</v>
      </c>
      <c r="C426" s="136">
        <v>0</v>
      </c>
      <c r="D426" s="134">
        <v>0</v>
      </c>
      <c r="E426" s="136">
        <v>0</v>
      </c>
      <c r="F426" s="578" t="s">
        <v>6928</v>
      </c>
      <c r="G426" s="662" t="s">
        <v>6929</v>
      </c>
      <c r="H426" s="9">
        <v>6500</v>
      </c>
      <c r="I426" s="584">
        <f t="shared" si="457"/>
        <v>100</v>
      </c>
      <c r="J426" s="9">
        <f>ROUNDUP(H426+(H426*Assumptions!I$5),-2)</f>
        <v>6700</v>
      </c>
      <c r="K426" s="9">
        <f>ROUNDUP(J426+(J426*Assumptions!J$5),-2)</f>
        <v>6900</v>
      </c>
      <c r="L426" s="9">
        <f>ROUNDUP(K426+(K426*Assumptions!K$5),-2)</f>
        <v>7100</v>
      </c>
      <c r="M426" s="9">
        <f>ROUNDUP(L426+(L426*Assumptions!L$5),-2)</f>
        <v>7300</v>
      </c>
      <c r="N426" s="9">
        <f>ROUNDUP(M426+(M426*Assumptions!M$5),-2)</f>
        <v>7500</v>
      </c>
      <c r="O426" s="9">
        <f>ROUNDUP(N426+(N426*Assumptions!N$5),-2)</f>
        <v>7700</v>
      </c>
      <c r="P426" s="89">
        <f>ROUNDUP(O426+(O426*Assumptions!O$5),-2)</f>
        <v>7900</v>
      </c>
      <c r="Q426" s="9">
        <f>ROUNDUP(P426+(P426*Assumptions!P$5),-2)</f>
        <v>8100</v>
      </c>
      <c r="R426" s="9">
        <f>ROUNDUP(Q426+(Q426*Assumptions!Q$5),-2)</f>
        <v>8400</v>
      </c>
      <c r="S426" s="47">
        <f>ROUNDUP(R426+(R426*Assumptions!R$5),-2)</f>
        <v>8700</v>
      </c>
    </row>
    <row r="427" spans="1:19" s="34" customFormat="1" x14ac:dyDescent="0.2">
      <c r="A427" s="54">
        <v>0</v>
      </c>
      <c r="B427" s="9">
        <v>5000</v>
      </c>
      <c r="C427" s="134">
        <v>0</v>
      </c>
      <c r="D427" s="134">
        <v>0</v>
      </c>
      <c r="E427" s="136">
        <v>7000</v>
      </c>
      <c r="F427" s="578" t="s">
        <v>6428</v>
      </c>
      <c r="G427" s="662" t="s">
        <v>6429</v>
      </c>
      <c r="H427" s="9">
        <v>0</v>
      </c>
      <c r="I427" s="584">
        <f t="shared" si="457"/>
        <v>-100</v>
      </c>
      <c r="J427" s="9">
        <v>0</v>
      </c>
      <c r="K427" s="9">
        <v>0</v>
      </c>
      <c r="L427" s="9">
        <v>0</v>
      </c>
      <c r="M427" s="9">
        <v>15000</v>
      </c>
      <c r="N427" s="9">
        <v>0</v>
      </c>
      <c r="O427" s="9">
        <v>0</v>
      </c>
      <c r="P427" s="9">
        <v>0</v>
      </c>
      <c r="Q427" s="9">
        <v>0</v>
      </c>
      <c r="R427" s="79">
        <v>20000</v>
      </c>
      <c r="S427" s="47">
        <v>0</v>
      </c>
    </row>
    <row r="428" spans="1:19" s="34" customFormat="1" x14ac:dyDescent="0.2">
      <c r="A428" s="54">
        <v>0</v>
      </c>
      <c r="B428" s="9">
        <v>1800</v>
      </c>
      <c r="C428" s="134">
        <v>5200</v>
      </c>
      <c r="D428" s="134">
        <v>3000</v>
      </c>
      <c r="E428" s="136">
        <v>313100</v>
      </c>
      <c r="F428" s="239" t="s">
        <v>2285</v>
      </c>
      <c r="G428" s="371" t="s">
        <v>1836</v>
      </c>
      <c r="H428" s="9">
        <v>4000</v>
      </c>
      <c r="I428" s="584">
        <f t="shared" si="457"/>
        <v>-98.722452890450342</v>
      </c>
      <c r="J428" s="9">
        <f>ROUNDUP(H428+(H428*Assumptions!I$5),-2)</f>
        <v>4100</v>
      </c>
      <c r="K428" s="9">
        <f>ROUNDUP(J428+(J428*Assumptions!J$5),-2)</f>
        <v>4300</v>
      </c>
      <c r="L428" s="9">
        <f>ROUNDUP(K428+(K428*Assumptions!K$5),-2)</f>
        <v>4500</v>
      </c>
      <c r="M428" s="9">
        <f>ROUNDUP(L428+(L428*Assumptions!L$5),-2)</f>
        <v>4700</v>
      </c>
      <c r="N428" s="9">
        <f>ROUNDUP(M428+(M428*Assumptions!M$5),-2)</f>
        <v>4900</v>
      </c>
      <c r="O428" s="9">
        <f>ROUNDUP(N428+(N428*Assumptions!N$5),-2)</f>
        <v>5100</v>
      </c>
      <c r="P428" s="89">
        <f>ROUNDUP(O428+(O428*Assumptions!O$5),-2)</f>
        <v>5300</v>
      </c>
      <c r="Q428" s="9">
        <f>ROUNDUP(P428+(P428*Assumptions!P$5),-2)</f>
        <v>5500</v>
      </c>
      <c r="R428" s="9">
        <f>ROUNDUP(Q428+(Q428*Assumptions!Q$5),-2)</f>
        <v>5700</v>
      </c>
      <c r="S428" s="47">
        <f>ROUNDUP(R428+(R428*Assumptions!R$5),-2)</f>
        <v>5900</v>
      </c>
    </row>
    <row r="429" spans="1:19" s="34" customFormat="1" x14ac:dyDescent="0.2">
      <c r="A429" s="54">
        <v>18500</v>
      </c>
      <c r="B429" s="9">
        <v>12600</v>
      </c>
      <c r="C429" s="136">
        <v>15000</v>
      </c>
      <c r="D429" s="134">
        <v>16000</v>
      </c>
      <c r="E429" s="136">
        <v>20800</v>
      </c>
      <c r="F429" s="239" t="s">
        <v>2422</v>
      </c>
      <c r="G429" s="371" t="s">
        <v>2620</v>
      </c>
      <c r="H429" s="9">
        <v>16000</v>
      </c>
      <c r="I429" s="584">
        <f t="shared" si="457"/>
        <v>-23.076923076923077</v>
      </c>
      <c r="J429" s="9">
        <f>ROUNDUP(H429+(H429*Assumptions!I$5),-2)</f>
        <v>16400</v>
      </c>
      <c r="K429" s="9">
        <f>ROUNDUP(J429+(J429*Assumptions!J$5),-2)</f>
        <v>16900</v>
      </c>
      <c r="L429" s="9">
        <f>ROUNDUP(K429+(K429*Assumptions!K$5),-2)</f>
        <v>17400</v>
      </c>
      <c r="M429" s="9">
        <f>ROUNDUP(L429+(L429*Assumptions!L$5),-2)</f>
        <v>17900</v>
      </c>
      <c r="N429" s="9">
        <f>ROUNDUP(M429+(M429*Assumptions!M$5),-2)</f>
        <v>18400</v>
      </c>
      <c r="O429" s="9">
        <f>ROUNDUP(N429+(N429*Assumptions!N$5),-2)</f>
        <v>18900</v>
      </c>
      <c r="P429" s="89">
        <f>ROUNDUP(O429+(O429*Assumptions!O$5),-2)</f>
        <v>19400</v>
      </c>
      <c r="Q429" s="9">
        <f>ROUNDUP(P429+(P429*Assumptions!P$5),-2)</f>
        <v>19900</v>
      </c>
      <c r="R429" s="9">
        <f>ROUNDUP(Q429+(Q429*Assumptions!Q$5),-2)</f>
        <v>20400</v>
      </c>
      <c r="S429" s="47">
        <f>ROUNDUP(R429+(R429*Assumptions!R$5),-2)</f>
        <v>21000</v>
      </c>
    </row>
    <row r="430" spans="1:19" s="34" customFormat="1" x14ac:dyDescent="0.2">
      <c r="A430" s="54">
        <v>12300</v>
      </c>
      <c r="B430" s="9">
        <v>19700</v>
      </c>
      <c r="C430" s="134">
        <v>11800</v>
      </c>
      <c r="D430" s="134">
        <v>21000</v>
      </c>
      <c r="E430" s="136">
        <v>13200</v>
      </c>
      <c r="F430" s="239" t="s">
        <v>1552</v>
      </c>
      <c r="G430" s="662" t="s">
        <v>7196</v>
      </c>
      <c r="H430" s="9">
        <v>26000</v>
      </c>
      <c r="I430" s="584">
        <f t="shared" si="457"/>
        <v>96.969696969696969</v>
      </c>
      <c r="J430" s="9">
        <f>ROUNDUP(H430+(H430*Assumptions!I$5),-2)</f>
        <v>26600</v>
      </c>
      <c r="K430" s="9">
        <f>ROUNDUP(J430+(J430*Assumptions!J$5),-2)</f>
        <v>27300</v>
      </c>
      <c r="L430" s="9">
        <f>ROUNDUP(K430+(K430*Assumptions!K$5),-2)</f>
        <v>28000</v>
      </c>
      <c r="M430" s="9">
        <f>ROUNDUP(L430+(L430*Assumptions!L$5),-2)</f>
        <v>28700</v>
      </c>
      <c r="N430" s="9">
        <f>ROUNDUP(M430+(M430*Assumptions!M$5),-2)</f>
        <v>29500</v>
      </c>
      <c r="O430" s="9">
        <f>ROUNDUP(N430+(N430*Assumptions!N$5),-2)</f>
        <v>30300</v>
      </c>
      <c r="P430" s="89">
        <f>ROUNDUP(O430+(O430*Assumptions!O$5),-2)</f>
        <v>31100</v>
      </c>
      <c r="Q430" s="9">
        <f>ROUNDUP(P430+(P430*Assumptions!P$5),-2)</f>
        <v>31900</v>
      </c>
      <c r="R430" s="9">
        <f>ROUNDUP(Q430+(Q430*Assumptions!Q$5),-2)</f>
        <v>32700</v>
      </c>
      <c r="S430" s="47">
        <f>ROUNDUP(R430+(R430*Assumptions!R$5),-2)</f>
        <v>33600</v>
      </c>
    </row>
    <row r="431" spans="1:19" s="34" customFormat="1" x14ac:dyDescent="0.2">
      <c r="A431" s="54"/>
      <c r="B431" s="9"/>
      <c r="C431" s="136"/>
      <c r="D431" s="134"/>
      <c r="E431" s="136"/>
      <c r="F431" s="578"/>
      <c r="G431" s="662"/>
      <c r="H431" s="9"/>
      <c r="I431" s="584"/>
      <c r="J431" s="9"/>
      <c r="K431" s="9"/>
      <c r="L431" s="9"/>
      <c r="M431" s="9"/>
      <c r="N431" s="9"/>
      <c r="O431" s="9"/>
      <c r="P431" s="89"/>
      <c r="Q431" s="9"/>
      <c r="R431" s="9"/>
      <c r="S431" s="47"/>
    </row>
    <row r="432" spans="1:19" s="34" customFormat="1" x14ac:dyDescent="0.2">
      <c r="A432" s="54"/>
      <c r="B432" s="9"/>
      <c r="C432" s="136"/>
      <c r="D432" s="134"/>
      <c r="E432" s="136"/>
      <c r="F432" s="578"/>
      <c r="G432" s="912" t="s">
        <v>6543</v>
      </c>
      <c r="H432" s="9"/>
      <c r="I432" s="584"/>
      <c r="J432" s="9"/>
      <c r="K432" s="9"/>
      <c r="L432" s="9"/>
      <c r="M432" s="9"/>
      <c r="N432" s="9"/>
      <c r="O432" s="9"/>
      <c r="P432" s="89"/>
      <c r="Q432" s="9"/>
      <c r="R432" s="9"/>
      <c r="S432" s="47"/>
    </row>
    <row r="433" spans="1:19" s="34" customFormat="1" x14ac:dyDescent="0.2">
      <c r="A433" s="54">
        <v>127600</v>
      </c>
      <c r="B433" s="9">
        <v>131000</v>
      </c>
      <c r="C433" s="134">
        <v>131200</v>
      </c>
      <c r="D433" s="134">
        <v>144000</v>
      </c>
      <c r="E433" s="136">
        <v>150700</v>
      </c>
      <c r="F433" s="239" t="s">
        <v>1684</v>
      </c>
      <c r="G433" s="371" t="s">
        <v>1440</v>
      </c>
      <c r="H433" s="9">
        <v>160000</v>
      </c>
      <c r="I433" s="584">
        <f>IF(E433=H433,0,IF(E433=0,100,(H433-E433)/E433*100))</f>
        <v>6.1712010617120105</v>
      </c>
      <c r="J433" s="9">
        <f>ROUNDUP(H433+(H433*Assumptions!I$5),-2)</f>
        <v>163700</v>
      </c>
      <c r="K433" s="9">
        <f>ROUNDUP(J433+(J433*Assumptions!J$5),-2)</f>
        <v>167800</v>
      </c>
      <c r="L433" s="9">
        <f>ROUNDUP(K433+(K433*Assumptions!K$5),-2)</f>
        <v>172000</v>
      </c>
      <c r="M433" s="9">
        <f>ROUNDUP(L433+(L433*Assumptions!L$5),-2)</f>
        <v>176300</v>
      </c>
      <c r="N433" s="9">
        <f>ROUNDUP(M433+(M433*Assumptions!M$5),-2)</f>
        <v>180800</v>
      </c>
      <c r="O433" s="9">
        <f>ROUNDUP(N433+(N433*Assumptions!N$5),-2)</f>
        <v>185400</v>
      </c>
      <c r="P433" s="89">
        <f>ROUNDUP(O433+(O433*Assumptions!O$5),-2)</f>
        <v>190100</v>
      </c>
      <c r="Q433" s="9">
        <f>ROUNDUP(P433+(P433*Assumptions!P$5),-2)</f>
        <v>194900</v>
      </c>
      <c r="R433" s="9">
        <f>ROUNDUP(Q433+(Q433*Assumptions!Q$5),-2)</f>
        <v>199800</v>
      </c>
      <c r="S433" s="47">
        <f>ROUNDUP(R433+(R433*Assumptions!R$5),-2)</f>
        <v>204800</v>
      </c>
    </row>
    <row r="434" spans="1:19" s="34" customFormat="1" x14ac:dyDescent="0.2">
      <c r="A434" s="54">
        <v>54300</v>
      </c>
      <c r="B434" s="9">
        <v>58800</v>
      </c>
      <c r="C434" s="134">
        <v>49500</v>
      </c>
      <c r="D434" s="134">
        <v>63000</v>
      </c>
      <c r="E434" s="136">
        <f>349000-E433-E435-E436</f>
        <v>61000</v>
      </c>
      <c r="F434" s="239" t="s">
        <v>1685</v>
      </c>
      <c r="G434" s="371" t="s">
        <v>2302</v>
      </c>
      <c r="H434" s="9">
        <v>60000</v>
      </c>
      <c r="I434" s="584">
        <f>IF(E434=H434,0,IF(E434=0,100,(H434-E434)/E434*100))</f>
        <v>-1.639344262295082</v>
      </c>
      <c r="J434" s="9">
        <f>ROUNDUP(H434+(H434*Assumptions!I$5),-2)</f>
        <v>61400</v>
      </c>
      <c r="K434" s="9">
        <f>ROUNDUP(J434+(J434*Assumptions!J$5),-2)</f>
        <v>63000</v>
      </c>
      <c r="L434" s="9">
        <f>ROUNDUP(K434+(K434*Assumptions!K$5),-2)</f>
        <v>64600</v>
      </c>
      <c r="M434" s="9">
        <f>ROUNDUP(L434+(L434*Assumptions!L$5),-2)</f>
        <v>66300</v>
      </c>
      <c r="N434" s="9">
        <f>ROUNDUP(M434+(M434*Assumptions!M$5),-2)</f>
        <v>68000</v>
      </c>
      <c r="O434" s="9">
        <f>ROUNDUP(N434+(N434*Assumptions!N$5),-2)</f>
        <v>69700</v>
      </c>
      <c r="P434" s="89">
        <f>ROUNDUP(O434+(O434*Assumptions!O$5),-2)</f>
        <v>71500</v>
      </c>
      <c r="Q434" s="9">
        <f>ROUNDUP(P434+(P434*Assumptions!P$5),-2)</f>
        <v>73300</v>
      </c>
      <c r="R434" s="9">
        <f>ROUNDUP(Q434+(Q434*Assumptions!Q$5),-2)</f>
        <v>75200</v>
      </c>
      <c r="S434" s="47">
        <f>ROUNDUP(R434+(R434*Assumptions!R$5),-2)</f>
        <v>77100</v>
      </c>
    </row>
    <row r="435" spans="1:19" s="34" customFormat="1" x14ac:dyDescent="0.2">
      <c r="A435" s="54">
        <v>52200</v>
      </c>
      <c r="B435" s="9">
        <v>57200</v>
      </c>
      <c r="C435" s="134">
        <v>73300</v>
      </c>
      <c r="D435" s="134">
        <v>61000</v>
      </c>
      <c r="E435" s="136">
        <v>74900</v>
      </c>
      <c r="F435" s="239" t="s">
        <v>1686</v>
      </c>
      <c r="G435" s="371" t="s">
        <v>745</v>
      </c>
      <c r="H435" s="9">
        <v>70000</v>
      </c>
      <c r="I435" s="584">
        <f>IF(E435=H435,0,IF(E435=0,100,(H435-E435)/E435*100))</f>
        <v>-6.5420560747663545</v>
      </c>
      <c r="J435" s="9">
        <f>ROUNDUP(H435+(H435*Assumptions!I$5),-2)</f>
        <v>71700</v>
      </c>
      <c r="K435" s="9">
        <f>ROUNDUP(J435+(J435*Assumptions!J$5),-2)</f>
        <v>73500</v>
      </c>
      <c r="L435" s="9">
        <f>ROUNDUP(K435+(K435*Assumptions!K$5),-2)</f>
        <v>75400</v>
      </c>
      <c r="M435" s="9">
        <f>ROUNDUP(L435+(L435*Assumptions!L$5),-2)</f>
        <v>77300</v>
      </c>
      <c r="N435" s="9">
        <f>ROUNDUP(M435+(M435*Assumptions!M$5),-2)</f>
        <v>79300</v>
      </c>
      <c r="O435" s="9">
        <f>ROUNDUP(N435+(N435*Assumptions!N$5),-2)</f>
        <v>81300</v>
      </c>
      <c r="P435" s="89">
        <f>ROUNDUP(O435+(O435*Assumptions!O$5),-2)</f>
        <v>83400</v>
      </c>
      <c r="Q435" s="9">
        <f>ROUNDUP(P435+(P435*Assumptions!P$5),-2)</f>
        <v>85500</v>
      </c>
      <c r="R435" s="9">
        <f>ROUNDUP(Q435+(Q435*Assumptions!Q$5),-2)</f>
        <v>87700</v>
      </c>
      <c r="S435" s="47">
        <f>ROUNDUP(R435+(R435*Assumptions!R$5),-2)</f>
        <v>89900</v>
      </c>
    </row>
    <row r="436" spans="1:19" s="34" customFormat="1" x14ac:dyDescent="0.2">
      <c r="A436" s="54">
        <v>51500</v>
      </c>
      <c r="B436" s="9">
        <v>70200</v>
      </c>
      <c r="C436" s="134">
        <v>47800</v>
      </c>
      <c r="D436" s="134">
        <v>72000</v>
      </c>
      <c r="E436" s="136">
        <v>62400</v>
      </c>
      <c r="F436" s="239" t="s">
        <v>1687</v>
      </c>
      <c r="G436" s="371" t="s">
        <v>744</v>
      </c>
      <c r="H436" s="9">
        <v>97000</v>
      </c>
      <c r="I436" s="584">
        <f>IF(E436=H436,0,IF(E436=0,100,(H436-E436)/E436*100))</f>
        <v>55.448717948717949</v>
      </c>
      <c r="J436" s="9">
        <f>ROUNDUP(H436+(H436*Assumptions!I$5),-2)</f>
        <v>99300</v>
      </c>
      <c r="K436" s="9">
        <f>ROUNDUP(J436+(J436*Assumptions!J$5),-2)</f>
        <v>101800</v>
      </c>
      <c r="L436" s="9">
        <f>ROUNDUP(K436+(K436*Assumptions!K$5),-2)</f>
        <v>104400</v>
      </c>
      <c r="M436" s="9">
        <f>ROUNDUP(L436+(L436*Assumptions!L$5),-2)</f>
        <v>107100</v>
      </c>
      <c r="N436" s="9">
        <f>ROUNDUP(M436+(M436*Assumptions!M$5),-2)</f>
        <v>109800</v>
      </c>
      <c r="O436" s="9">
        <f>ROUNDUP(N436+(N436*Assumptions!N$5),-2)</f>
        <v>112600</v>
      </c>
      <c r="P436" s="89">
        <f>ROUNDUP(O436+(O436*Assumptions!O$5),-2)</f>
        <v>115500</v>
      </c>
      <c r="Q436" s="9">
        <f>ROUNDUP(P436+(P436*Assumptions!P$5),-2)</f>
        <v>118400</v>
      </c>
      <c r="R436" s="9">
        <f>ROUNDUP(Q436+(Q436*Assumptions!Q$5),-2)</f>
        <v>121400</v>
      </c>
      <c r="S436" s="47">
        <f>ROUNDUP(R436+(R436*Assumptions!R$5),-2)</f>
        <v>124500</v>
      </c>
    </row>
    <row r="437" spans="1:19" s="34" customFormat="1" x14ac:dyDescent="0.2">
      <c r="A437" s="54">
        <v>1100</v>
      </c>
      <c r="B437" s="9">
        <v>1000</v>
      </c>
      <c r="C437" s="134">
        <v>0</v>
      </c>
      <c r="D437" s="134">
        <v>300</v>
      </c>
      <c r="E437" s="136">
        <v>0</v>
      </c>
      <c r="F437" s="578" t="s">
        <v>2978</v>
      </c>
      <c r="G437" s="662" t="s">
        <v>129</v>
      </c>
      <c r="H437" s="9">
        <v>2000</v>
      </c>
      <c r="I437" s="584">
        <f>IF(E437=H437,0,IF(E437=0,100,(H437-E437)/E437*100))</f>
        <v>100</v>
      </c>
      <c r="J437" s="9">
        <f>ROUNDUP(H437+(H437*Assumptions!I$5),-2)</f>
        <v>2100</v>
      </c>
      <c r="K437" s="9">
        <f>ROUNDUP(J437+(J437*Assumptions!J$5),-2)</f>
        <v>2200</v>
      </c>
      <c r="L437" s="9">
        <f>ROUNDUP(K437+(K437*Assumptions!K$5),-2)</f>
        <v>2300</v>
      </c>
      <c r="M437" s="9">
        <f>ROUNDUP(L437+(L437*Assumptions!L$5),-2)</f>
        <v>2400</v>
      </c>
      <c r="N437" s="9">
        <f>ROUNDUP(M437+(M437*Assumptions!M$5),-2)</f>
        <v>2500</v>
      </c>
      <c r="O437" s="9">
        <f>ROUNDUP(N437+(N437*Assumptions!N$5),-2)</f>
        <v>2600</v>
      </c>
      <c r="P437" s="89">
        <f>ROUNDUP(O437+(O437*Assumptions!O$5),-2)</f>
        <v>2700</v>
      </c>
      <c r="Q437" s="9">
        <f>ROUNDUP(P437+(P437*Assumptions!P$5),-2)</f>
        <v>2800</v>
      </c>
      <c r="R437" s="9">
        <f>ROUNDUP(Q437+(Q437*Assumptions!Q$5),-2)</f>
        <v>2900</v>
      </c>
      <c r="S437" s="47">
        <f>ROUNDUP(R437+(R437*Assumptions!R$5),-2)</f>
        <v>3000</v>
      </c>
    </row>
    <row r="438" spans="1:19" s="34" customFormat="1" x14ac:dyDescent="0.2">
      <c r="A438" s="54"/>
      <c r="B438" s="9"/>
      <c r="C438" s="134"/>
      <c r="D438" s="134"/>
      <c r="E438" s="136"/>
      <c r="F438" s="1378"/>
      <c r="G438" s="912" t="s">
        <v>1074</v>
      </c>
      <c r="H438" s="9"/>
      <c r="I438" s="584"/>
      <c r="J438" s="9"/>
      <c r="K438" s="9"/>
      <c r="L438" s="9"/>
      <c r="M438" s="9"/>
      <c r="N438" s="9"/>
      <c r="O438" s="9"/>
      <c r="P438" s="89"/>
      <c r="Q438" s="9"/>
      <c r="R438" s="9"/>
      <c r="S438" s="47"/>
    </row>
    <row r="439" spans="1:19" s="34" customFormat="1" x14ac:dyDescent="0.2">
      <c r="A439" s="54">
        <v>21100</v>
      </c>
      <c r="B439" s="9">
        <v>19200</v>
      </c>
      <c r="C439" s="134">
        <v>23600</v>
      </c>
      <c r="D439" s="134">
        <v>21500</v>
      </c>
      <c r="E439" s="136">
        <v>23700</v>
      </c>
      <c r="F439" s="239" t="s">
        <v>263</v>
      </c>
      <c r="G439" s="662" t="s">
        <v>6052</v>
      </c>
      <c r="H439" s="9">
        <v>24000</v>
      </c>
      <c r="I439" s="584">
        <f>IF(E439=H439,0,IF(E439=0,100,(H439-E439)/E439*100))</f>
        <v>1.2658227848101267</v>
      </c>
      <c r="J439" s="9">
        <f>ROUNDUP(H439+(H439*Assumptions!I$5),-2)</f>
        <v>24600</v>
      </c>
      <c r="K439" s="9">
        <f>ROUNDUP(J439+(J439*Assumptions!J$5),-2)</f>
        <v>25300</v>
      </c>
      <c r="L439" s="9">
        <f>ROUNDUP(K439+(K439*Assumptions!K$5),-2)</f>
        <v>26000</v>
      </c>
      <c r="M439" s="9">
        <f>ROUNDUP(L439+(L439*Assumptions!L$5),-2)</f>
        <v>26700</v>
      </c>
      <c r="N439" s="9">
        <f>ROUNDUP(M439+(M439*Assumptions!M$5),-2)</f>
        <v>27400</v>
      </c>
      <c r="O439" s="9">
        <f>ROUNDUP(N439+(N439*Assumptions!N$5),-2)</f>
        <v>28100</v>
      </c>
      <c r="P439" s="89">
        <f>ROUNDUP(O439+(O439*Assumptions!O$5),-2)</f>
        <v>28900</v>
      </c>
      <c r="Q439" s="9">
        <f>ROUNDUP(P439+(P439*Assumptions!P$5),-2)</f>
        <v>29700</v>
      </c>
      <c r="R439" s="9">
        <f>ROUNDUP(Q439+(Q439*Assumptions!Q$5),-2)</f>
        <v>30500</v>
      </c>
      <c r="S439" s="47">
        <f>ROUNDUP(R439+(R439*Assumptions!R$5),-2)</f>
        <v>31300</v>
      </c>
    </row>
    <row r="440" spans="1:19" s="34" customFormat="1" x14ac:dyDescent="0.2">
      <c r="A440" s="54">
        <v>71900</v>
      </c>
      <c r="B440" s="9">
        <v>51700</v>
      </c>
      <c r="C440" s="134">
        <v>3500</v>
      </c>
      <c r="D440" s="134">
        <v>2300</v>
      </c>
      <c r="E440" s="136">
        <v>6600</v>
      </c>
      <c r="F440" s="239" t="s">
        <v>2698</v>
      </c>
      <c r="G440" s="662" t="s">
        <v>6053</v>
      </c>
      <c r="H440" s="9">
        <v>5000</v>
      </c>
      <c r="I440" s="584">
        <f>IF(E440=H440,0,IF(E440=0,100,(H440-E440)/E440*100))</f>
        <v>-24.242424242424242</v>
      </c>
      <c r="J440" s="9">
        <f>ROUNDUP(H440+(H440*Assumptions!I$5),-2)</f>
        <v>5200</v>
      </c>
      <c r="K440" s="9">
        <f>ROUNDUP(J440+(J440*Assumptions!J$5),-2)</f>
        <v>5400</v>
      </c>
      <c r="L440" s="9">
        <f>ROUNDUP(K440+(K440*Assumptions!K$5),-2)</f>
        <v>5600</v>
      </c>
      <c r="M440" s="9">
        <f>ROUNDUP(L440+(L440*Assumptions!L$5),-2)</f>
        <v>5800</v>
      </c>
      <c r="N440" s="9">
        <f>ROUNDUP(M440+(M440*Assumptions!M$5),-2)</f>
        <v>6000</v>
      </c>
      <c r="O440" s="9">
        <f>ROUNDUP(N440+(N440*Assumptions!N$5),-2)</f>
        <v>6200</v>
      </c>
      <c r="P440" s="89">
        <f>ROUNDUP(O440+(O440*Assumptions!O$5),-2)</f>
        <v>6400</v>
      </c>
      <c r="Q440" s="9">
        <f>ROUNDUP(P440+(P440*Assumptions!P$5),-2)</f>
        <v>6600</v>
      </c>
      <c r="R440" s="9">
        <f>ROUNDUP(Q440+(Q440*Assumptions!Q$5),-2)</f>
        <v>6800</v>
      </c>
      <c r="S440" s="47">
        <f>ROUNDUP(R440+(R440*Assumptions!R$5),-2)</f>
        <v>7000</v>
      </c>
    </row>
    <row r="441" spans="1:19" s="34" customFormat="1" x14ac:dyDescent="0.2">
      <c r="A441" s="54">
        <v>0</v>
      </c>
      <c r="B441" s="9">
        <v>0</v>
      </c>
      <c r="C441" s="134">
        <v>0</v>
      </c>
      <c r="D441" s="134">
        <v>0</v>
      </c>
      <c r="E441" s="136"/>
      <c r="F441" s="239" t="s">
        <v>2286</v>
      </c>
      <c r="G441" s="662" t="s">
        <v>3268</v>
      </c>
      <c r="H441" s="9">
        <v>40000</v>
      </c>
      <c r="I441" s="584">
        <f>IF(E441=H441,0,IF(E441=0,100,(H441-E441)/E441*100))</f>
        <v>100</v>
      </c>
      <c r="J441" s="9">
        <v>0</v>
      </c>
      <c r="K441" s="9">
        <v>0</v>
      </c>
      <c r="L441" s="9">
        <f>ROUNDUP(K441+(K441*Assumptions!K$5),-2)</f>
        <v>0</v>
      </c>
      <c r="M441" s="9">
        <f>ROUNDUP(L441+(L441*Assumptions!L$5),-2)</f>
        <v>0</v>
      </c>
      <c r="N441" s="9">
        <v>50000</v>
      </c>
      <c r="O441" s="9">
        <v>0</v>
      </c>
      <c r="P441" s="89">
        <f>ROUNDUP(O441+(O441*Assumptions!O$5),-2)</f>
        <v>0</v>
      </c>
      <c r="Q441" s="9">
        <f>ROUNDUP(P441+(P441*Assumptions!P$5),-2)</f>
        <v>0</v>
      </c>
      <c r="R441" s="9">
        <f>ROUNDUP(Q441+(Q441*Assumptions!Q$5),-2)</f>
        <v>0</v>
      </c>
      <c r="S441" s="47">
        <v>50000</v>
      </c>
    </row>
    <row r="442" spans="1:19" s="34" customFormat="1" x14ac:dyDescent="0.2">
      <c r="A442" s="54"/>
      <c r="B442" s="9"/>
      <c r="C442" s="136"/>
      <c r="D442" s="134"/>
      <c r="E442" s="136"/>
      <c r="F442" s="240"/>
      <c r="G442" s="662"/>
      <c r="H442" s="9"/>
      <c r="I442" s="584"/>
      <c r="J442" s="9"/>
      <c r="K442" s="9"/>
      <c r="L442" s="9"/>
      <c r="M442" s="9"/>
      <c r="N442" s="9"/>
      <c r="O442" s="9"/>
      <c r="P442" s="89"/>
      <c r="Q442" s="9"/>
      <c r="R442" s="9"/>
      <c r="S442" s="47"/>
    </row>
    <row r="443" spans="1:19" s="34" customFormat="1" x14ac:dyDescent="0.2">
      <c r="A443" s="54"/>
      <c r="B443" s="9"/>
      <c r="C443" s="136"/>
      <c r="D443" s="134"/>
      <c r="E443" s="134"/>
      <c r="F443" s="1378"/>
      <c r="G443" s="912" t="s">
        <v>4885</v>
      </c>
      <c r="H443" s="134"/>
      <c r="I443" s="584"/>
      <c r="J443" s="9"/>
      <c r="K443" s="9"/>
      <c r="L443" s="9"/>
      <c r="M443" s="9"/>
      <c r="N443" s="9"/>
      <c r="O443" s="9"/>
      <c r="P443" s="89"/>
      <c r="Q443" s="9"/>
      <c r="R443" s="9"/>
      <c r="S443" s="47"/>
    </row>
    <row r="444" spans="1:19" s="34" customFormat="1" x14ac:dyDescent="0.2">
      <c r="A444" s="25">
        <f>501000-20000</f>
        <v>481000</v>
      </c>
      <c r="B444" s="9">
        <v>463900</v>
      </c>
      <c r="C444" s="136">
        <v>541900</v>
      </c>
      <c r="D444" s="134">
        <v>460000</v>
      </c>
      <c r="E444" s="134">
        <v>274800</v>
      </c>
      <c r="F444" s="578" t="s">
        <v>6041</v>
      </c>
      <c r="G444" s="662" t="s">
        <v>4878</v>
      </c>
      <c r="H444" s="9">
        <v>280000</v>
      </c>
      <c r="I444" s="584">
        <f>IF(E444=H444,0,IF(E444=0,100,(H444-E444)/E444*100))</f>
        <v>1.8922852983988356</v>
      </c>
      <c r="J444" s="9">
        <f>ROUNDUP(H444+(H444*Assumptions!I$5),-2)</f>
        <v>286500</v>
      </c>
      <c r="K444" s="9">
        <f>ROUNDUP(J444+(J444*Assumptions!J$5),-2)</f>
        <v>293700</v>
      </c>
      <c r="L444" s="9">
        <f>ROUNDUP(K444+(K444*Assumptions!K$5),-2)</f>
        <v>301100</v>
      </c>
      <c r="M444" s="9">
        <f>ROUNDUP(L444+(L444*Assumptions!L$5),-2)</f>
        <v>308700</v>
      </c>
      <c r="N444" s="9">
        <f>ROUNDUP(M444+(M444*Assumptions!M$5),-2)</f>
        <v>316500</v>
      </c>
      <c r="O444" s="9">
        <f>ROUNDUP(N444+(N444*Assumptions!N$5),-2)</f>
        <v>324500</v>
      </c>
      <c r="P444" s="9">
        <f>ROUNDUP(O444+(O444*Assumptions!O$5),-2)</f>
        <v>332700</v>
      </c>
      <c r="Q444" s="9">
        <f>ROUNDUP(P444+(P444*Assumptions!P$5),-2)</f>
        <v>341100</v>
      </c>
      <c r="R444" s="9">
        <f>ROUNDUP(Q444+(Q444*Assumptions!Q$5),-2)</f>
        <v>349700</v>
      </c>
      <c r="S444" s="47">
        <f>ROUNDUP(R444+(R444*Assumptions!R$5),-2)</f>
        <v>358500</v>
      </c>
    </row>
    <row r="445" spans="1:19" s="34" customFormat="1" x14ac:dyDescent="0.2">
      <c r="A445" s="54"/>
      <c r="B445" s="9"/>
      <c r="C445" s="136"/>
      <c r="D445" s="134"/>
      <c r="E445" s="134"/>
      <c r="F445" s="1378"/>
      <c r="G445" s="912" t="s">
        <v>4895</v>
      </c>
      <c r="H445" s="134"/>
      <c r="I445" s="584"/>
      <c r="J445" s="9"/>
      <c r="K445" s="9"/>
      <c r="L445" s="9"/>
      <c r="M445" s="9"/>
      <c r="N445" s="9"/>
      <c r="O445" s="9"/>
      <c r="P445" s="89"/>
      <c r="Q445" s="9"/>
      <c r="R445" s="9"/>
      <c r="S445" s="47"/>
    </row>
    <row r="446" spans="1:19" s="34" customFormat="1" x14ac:dyDescent="0.2">
      <c r="A446" s="54">
        <v>170200</v>
      </c>
      <c r="B446" s="9">
        <v>117800</v>
      </c>
      <c r="C446" s="136">
        <f>114400+22500</f>
        <v>136900</v>
      </c>
      <c r="D446" s="134">
        <v>258000</v>
      </c>
      <c r="E446" s="134">
        <v>264200</v>
      </c>
      <c r="F446" s="578" t="s">
        <v>613</v>
      </c>
      <c r="G446" s="662" t="s">
        <v>4896</v>
      </c>
      <c r="H446" s="9">
        <v>270000</v>
      </c>
      <c r="I446" s="584">
        <f>IF(E446=H446,0,IF(E446=0,100,(H446-E446)/E446*100))</f>
        <v>2.195306585919758</v>
      </c>
      <c r="J446" s="9">
        <v>281600</v>
      </c>
      <c r="K446" s="9">
        <v>287300</v>
      </c>
      <c r="L446" s="9">
        <v>293100</v>
      </c>
      <c r="M446" s="9">
        <v>299000</v>
      </c>
      <c r="N446" s="9">
        <v>305000</v>
      </c>
      <c r="O446" s="9">
        <v>311100</v>
      </c>
      <c r="P446" s="89">
        <v>317100</v>
      </c>
      <c r="Q446" s="9">
        <v>254700</v>
      </c>
      <c r="R446" s="9">
        <v>254700</v>
      </c>
      <c r="S446" s="47">
        <v>254700</v>
      </c>
    </row>
    <row r="447" spans="1:19" s="34" customFormat="1" x14ac:dyDescent="0.2">
      <c r="A447" s="54"/>
      <c r="B447" s="9"/>
      <c r="C447" s="136"/>
      <c r="D447" s="134"/>
      <c r="E447" s="134"/>
      <c r="F447" s="577"/>
      <c r="G447" s="662"/>
      <c r="H447" s="9"/>
      <c r="I447" s="584"/>
      <c r="J447" s="9"/>
      <c r="K447" s="9"/>
      <c r="L447" s="9"/>
      <c r="M447" s="9"/>
      <c r="N447" s="9"/>
      <c r="O447" s="9"/>
      <c r="P447" s="89"/>
      <c r="Q447" s="9"/>
      <c r="R447" s="9"/>
      <c r="S447" s="47"/>
    </row>
    <row r="448" spans="1:19" s="34" customFormat="1" x14ac:dyDescent="0.2">
      <c r="A448" s="54"/>
      <c r="B448" s="9"/>
      <c r="C448" s="136"/>
      <c r="D448" s="134"/>
      <c r="E448" s="134"/>
      <c r="F448" s="1378"/>
      <c r="G448" s="912" t="s">
        <v>4897</v>
      </c>
      <c r="H448" s="9"/>
      <c r="I448" s="584"/>
      <c r="J448" s="9"/>
      <c r="K448" s="9"/>
      <c r="L448" s="9"/>
      <c r="M448" s="9"/>
      <c r="N448" s="9"/>
      <c r="O448" s="9"/>
      <c r="P448" s="89"/>
      <c r="Q448" s="9"/>
      <c r="R448" s="9"/>
      <c r="S448" s="47"/>
    </row>
    <row r="449" spans="1:19" s="34" customFormat="1" x14ac:dyDescent="0.2">
      <c r="A449" s="54">
        <v>309200</v>
      </c>
      <c r="B449" s="9">
        <v>476800</v>
      </c>
      <c r="C449" s="136">
        <v>488500</v>
      </c>
      <c r="D449" s="706">
        <v>310300</v>
      </c>
      <c r="E449" s="134">
        <v>261600</v>
      </c>
      <c r="F449" s="239" t="s">
        <v>805</v>
      </c>
      <c r="G449" s="662" t="s">
        <v>6042</v>
      </c>
      <c r="H449" s="9">
        <f>250000-5000</f>
        <v>245000</v>
      </c>
      <c r="I449" s="584">
        <f t="shared" ref="I449:I456" si="458">IF(E449=H449,0,IF(E449=0,100,(H449-E449)/E449*100))</f>
        <v>-6.3455657492354742</v>
      </c>
      <c r="J449" s="9">
        <f>ROUNDUP(H449+(H449*Assumptions!I$5),-2)</f>
        <v>250700</v>
      </c>
      <c r="K449" s="9">
        <f>ROUNDUP(J449+(J449*Assumptions!J$5),-2)</f>
        <v>257000</v>
      </c>
      <c r="L449" s="9">
        <f>ROUNDUP(K449+(K449*Assumptions!K$5),-2)</f>
        <v>263500</v>
      </c>
      <c r="M449" s="9">
        <f>ROUNDUP(L449+(L449*Assumptions!L$5),-2)</f>
        <v>270100</v>
      </c>
      <c r="N449" s="9">
        <f>ROUNDUP(M449+(M449*Assumptions!M$5),-2)</f>
        <v>276900</v>
      </c>
      <c r="O449" s="9">
        <f>ROUNDUP(N449+(N449*Assumptions!N$5),-2)</f>
        <v>283900</v>
      </c>
      <c r="P449" s="9">
        <f>ROUNDUP(O449+(O449*Assumptions!O$5),-2)</f>
        <v>291000</v>
      </c>
      <c r="Q449" s="9">
        <f>ROUNDUP(P449+(P449*Assumptions!P$5),-2)</f>
        <v>298300</v>
      </c>
      <c r="R449" s="9">
        <f>ROUNDUP(Q449+(Q449*Assumptions!Q$5),-2)</f>
        <v>305800</v>
      </c>
      <c r="S449" s="47">
        <f>ROUNDUP(R449+(R449*Assumptions!R$5),-2)</f>
        <v>313500</v>
      </c>
    </row>
    <row r="450" spans="1:19" s="34" customFormat="1" x14ac:dyDescent="0.2">
      <c r="A450" s="54">
        <v>347900</v>
      </c>
      <c r="B450" s="9">
        <v>342000</v>
      </c>
      <c r="C450" s="136">
        <v>335400</v>
      </c>
      <c r="D450" s="706">
        <v>232500</v>
      </c>
      <c r="E450" s="134">
        <v>237500</v>
      </c>
      <c r="F450" s="239" t="s">
        <v>806</v>
      </c>
      <c r="G450" s="662" t="s">
        <v>6043</v>
      </c>
      <c r="H450" s="9">
        <f>250000-5000</f>
        <v>245000</v>
      </c>
      <c r="I450" s="584">
        <f t="shared" si="458"/>
        <v>3.1578947368421053</v>
      </c>
      <c r="J450" s="9">
        <f>ROUNDUP(H450+(H450*Assumptions!I$5),-2)</f>
        <v>250700</v>
      </c>
      <c r="K450" s="9">
        <f>ROUNDUP(J450+(J450*Assumptions!J$5),-2)</f>
        <v>257000</v>
      </c>
      <c r="L450" s="9">
        <f>ROUNDUP(K450+(K450*Assumptions!K$5),-2)</f>
        <v>263500</v>
      </c>
      <c r="M450" s="9">
        <f>ROUNDUP(L450+(L450*Assumptions!L$5),-2)</f>
        <v>270100</v>
      </c>
      <c r="N450" s="9">
        <f>ROUNDUP(M450+(M450*Assumptions!M$5),-2)</f>
        <v>276900</v>
      </c>
      <c r="O450" s="9">
        <f>ROUNDUP(N450+(N450*Assumptions!N$5),-2)</f>
        <v>283900</v>
      </c>
      <c r="P450" s="9">
        <f>ROUNDUP(O450+(O450*Assumptions!O$5),-2)</f>
        <v>291000</v>
      </c>
      <c r="Q450" s="9">
        <f>ROUNDUP(P450+(P450*Assumptions!P$5),-2)</f>
        <v>298300</v>
      </c>
      <c r="R450" s="9">
        <f>ROUNDUP(Q450+(Q450*Assumptions!Q$5),-2)</f>
        <v>305800</v>
      </c>
      <c r="S450" s="47">
        <f>ROUNDUP(R450+(R450*Assumptions!R$5),-2)</f>
        <v>313500</v>
      </c>
    </row>
    <row r="451" spans="1:19" s="34" customFormat="1" x14ac:dyDescent="0.2">
      <c r="A451" s="54">
        <v>72200</v>
      </c>
      <c r="B451" s="9">
        <v>93300</v>
      </c>
      <c r="C451" s="136">
        <v>107800</v>
      </c>
      <c r="D451" s="706">
        <v>80700</v>
      </c>
      <c r="E451" s="134">
        <v>72500</v>
      </c>
      <c r="F451" s="239" t="s">
        <v>1801</v>
      </c>
      <c r="G451" s="662" t="s">
        <v>6044</v>
      </c>
      <c r="H451" s="9">
        <v>85000</v>
      </c>
      <c r="I451" s="584">
        <f t="shared" si="458"/>
        <v>17.241379310344829</v>
      </c>
      <c r="J451" s="9">
        <f>ROUNDUP(H451+(H451*Assumptions!I$5),-2)</f>
        <v>87000</v>
      </c>
      <c r="K451" s="9">
        <f>ROUNDUP(J451+(J451*Assumptions!J$5),-2)</f>
        <v>89200</v>
      </c>
      <c r="L451" s="9">
        <f>ROUNDUP(K451+(K451*Assumptions!K$5),-2)</f>
        <v>91500</v>
      </c>
      <c r="M451" s="9">
        <f>ROUNDUP(L451+(L451*Assumptions!L$5),-2)</f>
        <v>93800</v>
      </c>
      <c r="N451" s="9">
        <f>ROUNDUP(M451+(M451*Assumptions!M$5),-2)</f>
        <v>96200</v>
      </c>
      <c r="O451" s="9">
        <f>ROUNDUP(N451+(N451*Assumptions!N$5),-2)</f>
        <v>98700</v>
      </c>
      <c r="P451" s="9">
        <f>ROUNDUP(O451+(O451*Assumptions!O$5),-2)</f>
        <v>101200</v>
      </c>
      <c r="Q451" s="9">
        <f>ROUNDUP(P451+(P451*Assumptions!P$5),-2)</f>
        <v>103800</v>
      </c>
      <c r="R451" s="9">
        <f>ROUNDUP(Q451+(Q451*Assumptions!Q$5),-2)</f>
        <v>106400</v>
      </c>
      <c r="S451" s="47">
        <f>ROUNDUP(R451+(R451*Assumptions!R$5),-2)</f>
        <v>109100</v>
      </c>
    </row>
    <row r="452" spans="1:19" s="34" customFormat="1" x14ac:dyDescent="0.2">
      <c r="A452" s="54">
        <v>25000</v>
      </c>
      <c r="B452" s="9">
        <v>20300</v>
      </c>
      <c r="C452" s="136">
        <v>15600</v>
      </c>
      <c r="D452" s="706">
        <v>23600</v>
      </c>
      <c r="E452" s="134">
        <v>20300</v>
      </c>
      <c r="F452" s="239" t="s">
        <v>1802</v>
      </c>
      <c r="G452" s="662" t="s">
        <v>6045</v>
      </c>
      <c r="H452" s="9">
        <v>30000</v>
      </c>
      <c r="I452" s="584">
        <f t="shared" si="458"/>
        <v>47.783251231527096</v>
      </c>
      <c r="J452" s="9">
        <f>ROUNDUP(H452+(H452*Assumptions!I$5),-2)</f>
        <v>30700</v>
      </c>
      <c r="K452" s="9">
        <f>ROUNDUP(J452+(J452*Assumptions!J$5),-2)</f>
        <v>31500</v>
      </c>
      <c r="L452" s="9">
        <f>ROUNDUP(K452+(K452*Assumptions!K$5),-2)</f>
        <v>32300</v>
      </c>
      <c r="M452" s="9">
        <f>ROUNDUP(L452+(L452*Assumptions!L$5),-2)</f>
        <v>33200</v>
      </c>
      <c r="N452" s="9">
        <f>ROUNDUP(M452+(M452*Assumptions!M$5),-2)</f>
        <v>34100</v>
      </c>
      <c r="O452" s="9">
        <f>ROUNDUP(N452+(N452*Assumptions!N$5),-2)</f>
        <v>35000</v>
      </c>
      <c r="P452" s="9">
        <f>ROUNDUP(O452+(O452*Assumptions!O$5),-2)</f>
        <v>35900</v>
      </c>
      <c r="Q452" s="9">
        <f>ROUNDUP(P452+(P452*Assumptions!P$5),-2)</f>
        <v>36800</v>
      </c>
      <c r="R452" s="9">
        <f>ROUNDUP(Q452+(Q452*Assumptions!Q$5),-2)</f>
        <v>37800</v>
      </c>
      <c r="S452" s="47">
        <f>ROUNDUP(R452+(R452*Assumptions!R$5),-2)</f>
        <v>38800</v>
      </c>
    </row>
    <row r="453" spans="1:19" s="34" customFormat="1" x14ac:dyDescent="0.2">
      <c r="A453" s="54">
        <v>285000</v>
      </c>
      <c r="B453" s="9">
        <v>218700</v>
      </c>
      <c r="C453" s="136">
        <v>227600</v>
      </c>
      <c r="D453" s="706">
        <v>232900</v>
      </c>
      <c r="E453" s="134">
        <v>223300</v>
      </c>
      <c r="F453" s="239" t="s">
        <v>1803</v>
      </c>
      <c r="G453" s="662" t="s">
        <v>6046</v>
      </c>
      <c r="H453" s="9">
        <f>329900-15000</f>
        <v>314900</v>
      </c>
      <c r="I453" s="584">
        <f t="shared" si="458"/>
        <v>41.021047917599638</v>
      </c>
      <c r="J453" s="9">
        <f>ROUNDUP(H453+(H453*Assumptions!I$5),-2)</f>
        <v>322200</v>
      </c>
      <c r="K453" s="9">
        <f>ROUNDUP(J453+(J453*Assumptions!J$5),-2)</f>
        <v>330300</v>
      </c>
      <c r="L453" s="9">
        <f>ROUNDUP(K453+(K453*Assumptions!K$5),-2)</f>
        <v>338600</v>
      </c>
      <c r="M453" s="9">
        <f>ROUNDUP(L453+(L453*Assumptions!L$5),-2)</f>
        <v>347100</v>
      </c>
      <c r="N453" s="9">
        <f>ROUNDUP(M453+(M453*Assumptions!M$5),-2)</f>
        <v>355800</v>
      </c>
      <c r="O453" s="9">
        <f>ROUNDUP(N453+(N453*Assumptions!N$5),-2)</f>
        <v>364700</v>
      </c>
      <c r="P453" s="9">
        <f>ROUNDUP(O453+(O453*Assumptions!O$5),-2)</f>
        <v>373900</v>
      </c>
      <c r="Q453" s="9">
        <f>ROUNDUP(P453+(P453*Assumptions!P$5),-2)</f>
        <v>383300</v>
      </c>
      <c r="R453" s="9">
        <f>ROUNDUP(Q453+(Q453*Assumptions!Q$5),-2)</f>
        <v>392900</v>
      </c>
      <c r="S453" s="47">
        <f>ROUNDUP(R453+(R453*Assumptions!R$5),-2)</f>
        <v>402800</v>
      </c>
    </row>
    <row r="454" spans="1:19" s="34" customFormat="1" x14ac:dyDescent="0.2">
      <c r="A454" s="54">
        <v>107500</v>
      </c>
      <c r="B454" s="9">
        <v>94300</v>
      </c>
      <c r="C454" s="136">
        <v>91500</v>
      </c>
      <c r="D454" s="706">
        <v>114700</v>
      </c>
      <c r="E454" s="134">
        <v>102400</v>
      </c>
      <c r="F454" s="239" t="s">
        <v>1804</v>
      </c>
      <c r="G454" s="662" t="s">
        <v>6047</v>
      </c>
      <c r="H454" s="9">
        <f>142100-5000</f>
        <v>137100</v>
      </c>
      <c r="I454" s="584">
        <f t="shared" si="458"/>
        <v>33.88671875</v>
      </c>
      <c r="J454" s="9">
        <f>ROUNDUP(H454+(H454*Assumptions!I$5),-2)</f>
        <v>140300</v>
      </c>
      <c r="K454" s="9">
        <f>ROUNDUP(J454+(J454*Assumptions!J$5),-2)</f>
        <v>143900</v>
      </c>
      <c r="L454" s="9">
        <f>ROUNDUP(K454+(K454*Assumptions!K$5),-2)</f>
        <v>147500</v>
      </c>
      <c r="M454" s="9">
        <f>ROUNDUP(L454+(L454*Assumptions!L$5),-2)</f>
        <v>151200</v>
      </c>
      <c r="N454" s="9">
        <f>ROUNDUP(M454+(M454*Assumptions!M$5),-2)</f>
        <v>155000</v>
      </c>
      <c r="O454" s="9">
        <f>ROUNDUP(N454+(N454*Assumptions!N$5),-2)</f>
        <v>158900</v>
      </c>
      <c r="P454" s="9">
        <f>ROUNDUP(O454+(O454*Assumptions!O$5),-2)</f>
        <v>162900</v>
      </c>
      <c r="Q454" s="9">
        <f>ROUNDUP(P454+(P454*Assumptions!P$5),-2)</f>
        <v>167000</v>
      </c>
      <c r="R454" s="9">
        <f>ROUNDUP(Q454+(Q454*Assumptions!Q$5),-2)</f>
        <v>171200</v>
      </c>
      <c r="S454" s="47">
        <f>ROUNDUP(R454+(R454*Assumptions!R$5),-2)</f>
        <v>175500</v>
      </c>
    </row>
    <row r="455" spans="1:19" s="34" customFormat="1" x14ac:dyDescent="0.2">
      <c r="A455" s="54">
        <v>22000</v>
      </c>
      <c r="B455" s="9">
        <v>12800</v>
      </c>
      <c r="C455" s="136">
        <v>18200</v>
      </c>
      <c r="D455" s="706">
        <v>23000</v>
      </c>
      <c r="E455" s="134">
        <v>16400</v>
      </c>
      <c r="F455" s="239" t="s">
        <v>1805</v>
      </c>
      <c r="G455" s="662" t="s">
        <v>6048</v>
      </c>
      <c r="H455" s="9">
        <v>31400</v>
      </c>
      <c r="I455" s="584">
        <f t="shared" si="458"/>
        <v>91.463414634146346</v>
      </c>
      <c r="J455" s="9">
        <f>ROUNDUP(H455+(H455*Assumptions!I$5),-2)</f>
        <v>32200</v>
      </c>
      <c r="K455" s="9">
        <f>ROUNDUP(J455+(J455*Assumptions!J$5),-2)</f>
        <v>33100</v>
      </c>
      <c r="L455" s="9">
        <f>ROUNDUP(K455+(K455*Assumptions!K$5),-2)</f>
        <v>34000</v>
      </c>
      <c r="M455" s="9">
        <f>ROUNDUP(L455+(L455*Assumptions!L$5),-2)</f>
        <v>34900</v>
      </c>
      <c r="N455" s="9">
        <f>ROUNDUP(M455+(M455*Assumptions!M$5),-2)</f>
        <v>35800</v>
      </c>
      <c r="O455" s="9">
        <f>ROUNDUP(N455+(N455*Assumptions!N$5),-2)</f>
        <v>36700</v>
      </c>
      <c r="P455" s="9">
        <f>ROUNDUP(O455+(O455*Assumptions!O$5),-2)</f>
        <v>37700</v>
      </c>
      <c r="Q455" s="9">
        <f>ROUNDUP(P455+(P455*Assumptions!P$5),-2)</f>
        <v>38700</v>
      </c>
      <c r="R455" s="9">
        <f>ROUNDUP(Q455+(Q455*Assumptions!Q$5),-2)</f>
        <v>39700</v>
      </c>
      <c r="S455" s="47">
        <f>ROUNDUP(R455+(R455*Assumptions!R$5),-2)</f>
        <v>40700</v>
      </c>
    </row>
    <row r="456" spans="1:19" s="34" customFormat="1" x14ac:dyDescent="0.2">
      <c r="A456" s="54">
        <v>24300</v>
      </c>
      <c r="B456" s="9">
        <v>17800</v>
      </c>
      <c r="C456" s="136">
        <v>20200</v>
      </c>
      <c r="D456" s="706">
        <v>15200</v>
      </c>
      <c r="E456" s="134">
        <v>16800</v>
      </c>
      <c r="F456" s="239" t="s">
        <v>1806</v>
      </c>
      <c r="G456" s="662" t="s">
        <v>6049</v>
      </c>
      <c r="H456" s="9">
        <v>30500</v>
      </c>
      <c r="I456" s="584">
        <f t="shared" si="458"/>
        <v>81.547619047619051</v>
      </c>
      <c r="J456" s="9">
        <f>ROUNDUP(H456+(H456*Assumptions!I$5),-2)</f>
        <v>31300</v>
      </c>
      <c r="K456" s="9">
        <f>ROUNDUP(J456+(J456*Assumptions!J$5),-2)</f>
        <v>32100</v>
      </c>
      <c r="L456" s="9">
        <f>ROUNDUP(K456+(K456*Assumptions!K$5),-2)</f>
        <v>33000</v>
      </c>
      <c r="M456" s="9">
        <f>ROUNDUP(L456+(L456*Assumptions!L$5),-2)</f>
        <v>33900</v>
      </c>
      <c r="N456" s="9">
        <f>ROUNDUP(M456+(M456*Assumptions!M$5),-2)</f>
        <v>34800</v>
      </c>
      <c r="O456" s="9">
        <f>ROUNDUP(N456+(N456*Assumptions!N$5),-2)</f>
        <v>35700</v>
      </c>
      <c r="P456" s="9">
        <f>ROUNDUP(O456+(O456*Assumptions!O$5),-2)</f>
        <v>36600</v>
      </c>
      <c r="Q456" s="9">
        <f>ROUNDUP(P456+(P456*Assumptions!P$5),-2)</f>
        <v>37600</v>
      </c>
      <c r="R456" s="9">
        <f>ROUNDUP(Q456+(Q456*Assumptions!Q$5),-2)</f>
        <v>38600</v>
      </c>
      <c r="S456" s="47">
        <f>ROUNDUP(R456+(R456*Assumptions!R$5),-2)</f>
        <v>39600</v>
      </c>
    </row>
    <row r="457" spans="1:19" s="34" customFormat="1" x14ac:dyDescent="0.2">
      <c r="A457" s="54"/>
      <c r="B457" s="9"/>
      <c r="C457" s="136"/>
      <c r="D457" s="706"/>
      <c r="E457" s="134"/>
      <c r="F457" s="240"/>
      <c r="G457" s="371"/>
      <c r="H457" s="134"/>
      <c r="I457" s="584"/>
      <c r="J457" s="134"/>
      <c r="K457" s="134"/>
      <c r="L457" s="134"/>
      <c r="M457" s="134"/>
      <c r="N457" s="134"/>
      <c r="O457" s="134"/>
      <c r="P457" s="136"/>
      <c r="Q457" s="134"/>
      <c r="R457" s="134"/>
      <c r="S457" s="2359"/>
    </row>
    <row r="458" spans="1:19" s="34" customFormat="1" x14ac:dyDescent="0.2">
      <c r="A458" s="54"/>
      <c r="B458" s="9"/>
      <c r="C458" s="136"/>
      <c r="D458" s="706"/>
      <c r="E458" s="134"/>
      <c r="F458" s="240"/>
      <c r="G458" s="912" t="s">
        <v>4898</v>
      </c>
      <c r="H458" s="134"/>
      <c r="I458" s="584"/>
      <c r="J458" s="9"/>
      <c r="K458" s="9"/>
      <c r="L458" s="9"/>
      <c r="M458" s="9"/>
      <c r="N458" s="9"/>
      <c r="O458" s="9"/>
      <c r="P458" s="89"/>
      <c r="Q458" s="9"/>
      <c r="R458" s="9"/>
      <c r="S458" s="47"/>
    </row>
    <row r="459" spans="1:19" s="34" customFormat="1" x14ac:dyDescent="0.2">
      <c r="A459" s="54">
        <v>1030600</v>
      </c>
      <c r="B459" s="9">
        <v>1074700</v>
      </c>
      <c r="C459" s="136">
        <v>1077800</v>
      </c>
      <c r="D459" s="706">
        <v>932200</v>
      </c>
      <c r="E459" s="134">
        <v>1009800</v>
      </c>
      <c r="F459" s="577" t="s">
        <v>6050</v>
      </c>
      <c r="G459" s="662" t="s">
        <v>4899</v>
      </c>
      <c r="H459" s="9">
        <v>1020000</v>
      </c>
      <c r="I459" s="584">
        <f>IF(E459=H459,0,IF(E459=0,100,(H459-E459)/E459*100))</f>
        <v>1.0101010101010102</v>
      </c>
      <c r="J459" s="9">
        <f>ROUNDUP(H459+(H459*Assumptions!I$5),-2)</f>
        <v>1043500</v>
      </c>
      <c r="K459" s="9">
        <f>ROUNDUP(J459+(J459*Assumptions!J$5),-2)</f>
        <v>1069600</v>
      </c>
      <c r="L459" s="9">
        <f>ROUNDUP(K459+(K459*Assumptions!K$5),-2)</f>
        <v>1096400</v>
      </c>
      <c r="M459" s="9">
        <f>ROUNDUP(L459+(L459*Assumptions!L$5),-2)</f>
        <v>1123900</v>
      </c>
      <c r="N459" s="9">
        <f>ROUNDUP(M459+(M459*Assumptions!M$5),-2)</f>
        <v>1152000</v>
      </c>
      <c r="O459" s="9">
        <f>ROUNDUP(N459+(N459*Assumptions!N$5),-2)</f>
        <v>1180800</v>
      </c>
      <c r="P459" s="9">
        <f>ROUNDUP(O459+(O459*Assumptions!O$5),-2)</f>
        <v>1210400</v>
      </c>
      <c r="Q459" s="9">
        <f>ROUNDUP(P459+(P459*Assumptions!P$5),-2)</f>
        <v>1240700</v>
      </c>
      <c r="R459" s="9">
        <f>ROUNDUP(Q459+(Q459*Assumptions!Q$5),-2)</f>
        <v>1271800</v>
      </c>
      <c r="S459" s="47">
        <f>ROUNDUP(R459+(R459*Assumptions!R$5),-2)</f>
        <v>1303600</v>
      </c>
    </row>
    <row r="460" spans="1:19" s="34" customFormat="1" x14ac:dyDescent="0.2">
      <c r="A460" s="54"/>
      <c r="B460" s="9"/>
      <c r="C460" s="136"/>
      <c r="D460" s="134"/>
      <c r="E460" s="134"/>
      <c r="F460" s="1378"/>
      <c r="G460" s="912" t="s">
        <v>4904</v>
      </c>
      <c r="H460" s="134"/>
      <c r="I460" s="584"/>
      <c r="J460" s="9"/>
      <c r="K460" s="9"/>
      <c r="L460" s="9"/>
      <c r="M460" s="9"/>
      <c r="N460" s="9"/>
      <c r="O460" s="9"/>
      <c r="P460" s="89"/>
      <c r="Q460" s="9"/>
      <c r="R460" s="9"/>
      <c r="S460" s="47"/>
    </row>
    <row r="461" spans="1:19" s="34" customFormat="1" x14ac:dyDescent="0.2">
      <c r="A461" s="54">
        <v>0</v>
      </c>
      <c r="B461" s="9">
        <v>0</v>
      </c>
      <c r="C461" s="136">
        <v>0</v>
      </c>
      <c r="D461" s="134">
        <v>137200</v>
      </c>
      <c r="E461" s="134">
        <v>160500</v>
      </c>
      <c r="F461" s="578" t="s">
        <v>6074</v>
      </c>
      <c r="G461" s="662" t="s">
        <v>4879</v>
      </c>
      <c r="H461" s="9">
        <v>202500</v>
      </c>
      <c r="I461" s="584">
        <f>IF(E461=H461,0,IF(E461=0,100,(H461-E461)/E461*100))</f>
        <v>26.168224299065418</v>
      </c>
      <c r="J461" s="9">
        <f>ROUNDUP(H461+(H461*Assumptions!I$5),-2)</f>
        <v>207200</v>
      </c>
      <c r="K461" s="9">
        <f>ROUNDUP(J461+(J461*Assumptions!J$5),-2)</f>
        <v>212400</v>
      </c>
      <c r="L461" s="9">
        <f>ROUNDUP(K461+(K461*Assumptions!K$5),-2)</f>
        <v>217800</v>
      </c>
      <c r="M461" s="9">
        <f>ROUNDUP(L461+(L461*Assumptions!L$5),-2)</f>
        <v>223300</v>
      </c>
      <c r="N461" s="9">
        <f>ROUNDUP(M461+(M461*Assumptions!M$5),-2)</f>
        <v>228900</v>
      </c>
      <c r="O461" s="9">
        <f>ROUNDUP(N461+(N461*Assumptions!N$5),-2)</f>
        <v>234700</v>
      </c>
      <c r="P461" s="9">
        <f>ROUNDUP(O461+(O461*Assumptions!O$5),-2)</f>
        <v>240600</v>
      </c>
      <c r="Q461" s="9">
        <f>ROUNDUP(P461+(P461*Assumptions!P$5),-2)</f>
        <v>246700</v>
      </c>
      <c r="R461" s="9">
        <f>ROUNDUP(Q461+(Q461*Assumptions!Q$5),-2)</f>
        <v>252900</v>
      </c>
      <c r="S461" s="47">
        <f>ROUNDUP(R461+(R461*Assumptions!R$5),-2)</f>
        <v>259300</v>
      </c>
    </row>
    <row r="462" spans="1:19" s="34" customFormat="1" x14ac:dyDescent="0.2">
      <c r="A462" s="54"/>
      <c r="B462" s="9"/>
      <c r="C462" s="136"/>
      <c r="D462" s="706"/>
      <c r="E462" s="134"/>
      <c r="F462" s="240"/>
      <c r="G462" s="662"/>
      <c r="H462" s="134"/>
      <c r="I462" s="584"/>
      <c r="J462" s="9"/>
      <c r="K462" s="9"/>
      <c r="L462" s="9"/>
      <c r="M462" s="9"/>
      <c r="N462" s="9"/>
      <c r="O462" s="9"/>
      <c r="P462" s="89"/>
      <c r="Q462" s="9"/>
      <c r="R462" s="9"/>
      <c r="S462" s="47"/>
    </row>
    <row r="463" spans="1:19" s="34" customFormat="1" x14ac:dyDescent="0.2">
      <c r="A463" s="54"/>
      <c r="B463" s="9"/>
      <c r="C463" s="9"/>
      <c r="D463" s="134"/>
      <c r="E463" s="134"/>
      <c r="F463" s="1378"/>
      <c r="G463" s="912" t="s">
        <v>6051</v>
      </c>
      <c r="H463" s="134"/>
      <c r="I463" s="584"/>
      <c r="J463" s="9"/>
      <c r="K463" s="9"/>
      <c r="L463" s="9"/>
      <c r="M463" s="9"/>
      <c r="N463" s="9"/>
      <c r="O463" s="9"/>
      <c r="P463" s="89"/>
      <c r="Q463" s="9"/>
      <c r="R463" s="9"/>
      <c r="S463" s="47"/>
    </row>
    <row r="464" spans="1:19" s="34" customFormat="1" x14ac:dyDescent="0.2">
      <c r="A464" s="54">
        <v>498700</v>
      </c>
      <c r="B464" s="136">
        <v>484200</v>
      </c>
      <c r="C464" s="136">
        <v>770000</v>
      </c>
      <c r="D464" s="706">
        <v>419400</v>
      </c>
      <c r="E464" s="706">
        <v>198600</v>
      </c>
      <c r="F464" s="578" t="s">
        <v>5788</v>
      </c>
      <c r="G464" s="662" t="s">
        <v>6054</v>
      </c>
      <c r="H464" s="9">
        <v>225000</v>
      </c>
      <c r="I464" s="584">
        <f t="shared" ref="I464:I474" si="459">IF(E464=H464,0,IF(E464=0,100,(H464-E464)/E464*100))</f>
        <v>13.293051359516618</v>
      </c>
      <c r="J464" s="9">
        <f>ROUNDUP(H464+(H464*Assumptions!I$5),-2)</f>
        <v>230200</v>
      </c>
      <c r="K464" s="9">
        <f>ROUNDUP(J464+(J464*Assumptions!J$5),-2)</f>
        <v>236000</v>
      </c>
      <c r="L464" s="9">
        <f>ROUNDUP(K464+(K464*Assumptions!K$5),-2)</f>
        <v>241900</v>
      </c>
      <c r="M464" s="9">
        <f>ROUNDUP(L464+(L464*Assumptions!L$5),-2)</f>
        <v>248000</v>
      </c>
      <c r="N464" s="9">
        <f>ROUNDUP(M464+(M464*Assumptions!M$5),-2)</f>
        <v>254200</v>
      </c>
      <c r="O464" s="9">
        <f>ROUNDUP(N464+(N464*Assumptions!N$5),-2)</f>
        <v>260600</v>
      </c>
      <c r="P464" s="9">
        <f>ROUNDUP(O464+(O464*Assumptions!O$5),-2)</f>
        <v>267200</v>
      </c>
      <c r="Q464" s="9">
        <f>ROUNDUP(P464+(P464*Assumptions!P$5),-2)</f>
        <v>273900</v>
      </c>
      <c r="R464" s="9">
        <f>ROUNDUP(Q464+(Q464*Assumptions!Q$5),-2)</f>
        <v>280800</v>
      </c>
      <c r="S464" s="47">
        <f>ROUNDUP(R464+(R464*Assumptions!R$5),-2)</f>
        <v>287900</v>
      </c>
    </row>
    <row r="465" spans="1:21" s="34" customFormat="1" x14ac:dyDescent="0.2">
      <c r="A465" s="54">
        <v>0</v>
      </c>
      <c r="B465" s="136">
        <v>0</v>
      </c>
      <c r="C465" s="136">
        <v>0</v>
      </c>
      <c r="D465" s="706">
        <v>123700</v>
      </c>
      <c r="E465" s="134">
        <v>97400</v>
      </c>
      <c r="F465" s="578" t="s">
        <v>5791</v>
      </c>
      <c r="G465" s="662" t="s">
        <v>6066</v>
      </c>
      <c r="H465" s="9">
        <v>105000</v>
      </c>
      <c r="I465" s="584">
        <f t="shared" si="459"/>
        <v>7.8028747433264893</v>
      </c>
      <c r="J465" s="9">
        <f>ROUNDUP(H465+(H465*Assumptions!I$5),-2)</f>
        <v>107500</v>
      </c>
      <c r="K465" s="9">
        <f>ROUNDUP(J465+(J465*Assumptions!J$5),-2)</f>
        <v>110200</v>
      </c>
      <c r="L465" s="9">
        <f>ROUNDUP(K465+(K465*Assumptions!K$5),-2)</f>
        <v>113000</v>
      </c>
      <c r="M465" s="9">
        <f>ROUNDUP(L465+(L465*Assumptions!L$5),-2)</f>
        <v>115900</v>
      </c>
      <c r="N465" s="9">
        <f>ROUNDUP(M465+(M465*Assumptions!M$5),-2)</f>
        <v>118800</v>
      </c>
      <c r="O465" s="9">
        <f>ROUNDUP(N465+(N465*Assumptions!N$5),-2)</f>
        <v>121800</v>
      </c>
      <c r="P465" s="9">
        <f>ROUNDUP(O465+(O465*Assumptions!O$5),-2)</f>
        <v>124900</v>
      </c>
      <c r="Q465" s="9">
        <f>ROUNDUP(P465+(P465*Assumptions!P$5),-2)</f>
        <v>128100</v>
      </c>
      <c r="R465" s="9">
        <f>ROUNDUP(Q465+(Q465*Assumptions!Q$5),-2)</f>
        <v>131400</v>
      </c>
      <c r="S465" s="47">
        <f>ROUNDUP(R465+(R465*Assumptions!R$5),-2)</f>
        <v>134700</v>
      </c>
    </row>
    <row r="466" spans="1:21" s="34" customFormat="1" x14ac:dyDescent="0.2">
      <c r="A466" s="54">
        <v>282400</v>
      </c>
      <c r="B466" s="136">
        <v>519000</v>
      </c>
      <c r="C466" s="136">
        <v>477000</v>
      </c>
      <c r="D466" s="706">
        <v>388900</v>
      </c>
      <c r="E466" s="134">
        <v>145800</v>
      </c>
      <c r="F466" s="578" t="s">
        <v>5789</v>
      </c>
      <c r="G466" s="662" t="s">
        <v>6055</v>
      </c>
      <c r="H466" s="9">
        <v>160000</v>
      </c>
      <c r="I466" s="584">
        <f t="shared" si="459"/>
        <v>9.7393689986282581</v>
      </c>
      <c r="J466" s="9">
        <f>ROUNDUP(H466+(H466*Assumptions!I$5),-2)</f>
        <v>163700</v>
      </c>
      <c r="K466" s="9">
        <f>ROUNDUP(J466+(J466*Assumptions!J$5),-2)</f>
        <v>167800</v>
      </c>
      <c r="L466" s="9">
        <f>ROUNDUP(K466+(K466*Assumptions!K$5),-2)</f>
        <v>172000</v>
      </c>
      <c r="M466" s="9">
        <f>ROUNDUP(L466+(L466*Assumptions!L$5),-2)</f>
        <v>176300</v>
      </c>
      <c r="N466" s="9">
        <f>ROUNDUP(M466+(M466*Assumptions!M$5),-2)</f>
        <v>180800</v>
      </c>
      <c r="O466" s="9">
        <f>ROUNDUP(N466+(N466*Assumptions!N$5),-2)</f>
        <v>185400</v>
      </c>
      <c r="P466" s="9">
        <f>ROUNDUP(O466+(O466*Assumptions!O$5),-2)</f>
        <v>190100</v>
      </c>
      <c r="Q466" s="9">
        <f>ROUNDUP(P466+(P466*Assumptions!P$5),-2)</f>
        <v>194900</v>
      </c>
      <c r="R466" s="9">
        <f>ROUNDUP(Q466+(Q466*Assumptions!Q$5),-2)</f>
        <v>199800</v>
      </c>
      <c r="S466" s="47">
        <f>ROUNDUP(R466+(R466*Assumptions!R$5),-2)</f>
        <v>204800</v>
      </c>
    </row>
    <row r="467" spans="1:21" s="34" customFormat="1" x14ac:dyDescent="0.2">
      <c r="A467" s="54">
        <v>0</v>
      </c>
      <c r="B467" s="136">
        <v>0</v>
      </c>
      <c r="C467" s="136">
        <v>0</v>
      </c>
      <c r="D467" s="706">
        <v>56400</v>
      </c>
      <c r="E467" s="134">
        <v>114600</v>
      </c>
      <c r="F467" s="578" t="s">
        <v>6062</v>
      </c>
      <c r="G467" s="662" t="s">
        <v>6063</v>
      </c>
      <c r="H467" s="9">
        <v>105000</v>
      </c>
      <c r="I467" s="584">
        <f t="shared" si="459"/>
        <v>-8.3769633507853403</v>
      </c>
      <c r="J467" s="9">
        <f>ROUNDUP(H467+(H467*Assumptions!I$5),-2)</f>
        <v>107500</v>
      </c>
      <c r="K467" s="9">
        <f>ROUNDUP(J467+(J467*Assumptions!J$5),-2)</f>
        <v>110200</v>
      </c>
      <c r="L467" s="9">
        <f>ROUNDUP(K467+(K467*Assumptions!K$5),-2)</f>
        <v>113000</v>
      </c>
      <c r="M467" s="9">
        <f>ROUNDUP(L467+(L467*Assumptions!L$5),-2)</f>
        <v>115900</v>
      </c>
      <c r="N467" s="9">
        <f>ROUNDUP(M467+(M467*Assumptions!M$5),-2)</f>
        <v>118800</v>
      </c>
      <c r="O467" s="9">
        <f>ROUNDUP(N467+(N467*Assumptions!N$5),-2)</f>
        <v>121800</v>
      </c>
      <c r="P467" s="9">
        <f>ROUNDUP(O467+(O467*Assumptions!O$5),-2)</f>
        <v>124900</v>
      </c>
      <c r="Q467" s="9">
        <f>ROUNDUP(P467+(P467*Assumptions!P$5),-2)</f>
        <v>128100</v>
      </c>
      <c r="R467" s="9">
        <f>ROUNDUP(Q467+(Q467*Assumptions!Q$5),-2)</f>
        <v>131400</v>
      </c>
      <c r="S467" s="47">
        <f>ROUNDUP(R467+(R467*Assumptions!R$5),-2)</f>
        <v>134700</v>
      </c>
    </row>
    <row r="468" spans="1:21" s="34" customFormat="1" x14ac:dyDescent="0.2">
      <c r="A468" s="54">
        <v>271000</v>
      </c>
      <c r="B468" s="136">
        <f>4400+248900+41000+85300</f>
        <v>379600</v>
      </c>
      <c r="C468" s="136">
        <v>280700</v>
      </c>
      <c r="D468" s="1439">
        <v>256000</v>
      </c>
      <c r="E468" s="134">
        <v>174600</v>
      </c>
      <c r="F468" s="578" t="s">
        <v>5790</v>
      </c>
      <c r="G468" s="662" t="s">
        <v>6056</v>
      </c>
      <c r="H468" s="9">
        <v>180000</v>
      </c>
      <c r="I468" s="584">
        <f t="shared" si="459"/>
        <v>3.0927835051546393</v>
      </c>
      <c r="J468" s="9">
        <f>ROUNDUP(H468+(H468*Assumptions!I$5),-2)</f>
        <v>184200</v>
      </c>
      <c r="K468" s="9">
        <f>ROUNDUP(J468+(J468*Assumptions!J$5),-2)</f>
        <v>188900</v>
      </c>
      <c r="L468" s="9">
        <f>ROUNDUP(K468+(K468*Assumptions!K$5),-2)</f>
        <v>193700</v>
      </c>
      <c r="M468" s="9">
        <f>ROUNDUP(L468+(L468*Assumptions!L$5),-2)</f>
        <v>198600</v>
      </c>
      <c r="N468" s="9">
        <f>ROUNDUP(M468+(M468*Assumptions!M$5),-2)</f>
        <v>203600</v>
      </c>
      <c r="O468" s="9">
        <f>ROUNDUP(N468+(N468*Assumptions!N$5),-2)</f>
        <v>208700</v>
      </c>
      <c r="P468" s="9">
        <f>ROUNDUP(O468+(O468*Assumptions!O$5),-2)</f>
        <v>214000</v>
      </c>
      <c r="Q468" s="9">
        <f>ROUNDUP(P468+(P468*Assumptions!P$5),-2)</f>
        <v>219400</v>
      </c>
      <c r="R468" s="9">
        <f>ROUNDUP(Q468+(Q468*Assumptions!Q$5),-2)</f>
        <v>224900</v>
      </c>
      <c r="S468" s="47">
        <f>ROUNDUP(R468+(R468*Assumptions!R$5),-2)</f>
        <v>230600</v>
      </c>
    </row>
    <row r="469" spans="1:21" s="34" customFormat="1" x14ac:dyDescent="0.2">
      <c r="A469" s="54">
        <v>0</v>
      </c>
      <c r="B469" s="136">
        <v>0</v>
      </c>
      <c r="C469" s="136">
        <v>0</v>
      </c>
      <c r="D469" s="1439">
        <v>35300</v>
      </c>
      <c r="E469" s="134">
        <v>34700</v>
      </c>
      <c r="F469" s="578" t="s">
        <v>6064</v>
      </c>
      <c r="G469" s="662" t="s">
        <v>6065</v>
      </c>
      <c r="H469" s="9">
        <v>30000</v>
      </c>
      <c r="I469" s="584">
        <f t="shared" si="459"/>
        <v>-13.544668587896252</v>
      </c>
      <c r="J469" s="9">
        <f>ROUNDUP(H469+(H469*Assumptions!I$5),-2)</f>
        <v>30700</v>
      </c>
      <c r="K469" s="9">
        <f>ROUNDUP(J469+(J469*Assumptions!J$5),-2)</f>
        <v>31500</v>
      </c>
      <c r="L469" s="9">
        <f>ROUNDUP(K469+(K469*Assumptions!K$5),-2)</f>
        <v>32300</v>
      </c>
      <c r="M469" s="9">
        <f>ROUNDUP(L469+(L469*Assumptions!L$5),-2)</f>
        <v>33200</v>
      </c>
      <c r="N469" s="9">
        <f>ROUNDUP(M469+(M469*Assumptions!M$5),-2)</f>
        <v>34100</v>
      </c>
      <c r="O469" s="9">
        <f>ROUNDUP(N469+(N469*Assumptions!N$5),-2)</f>
        <v>35000</v>
      </c>
      <c r="P469" s="9">
        <f>ROUNDUP(O469+(O469*Assumptions!O$5),-2)</f>
        <v>35900</v>
      </c>
      <c r="Q469" s="9">
        <f>ROUNDUP(P469+(P469*Assumptions!P$5),-2)</f>
        <v>36800</v>
      </c>
      <c r="R469" s="9">
        <f>ROUNDUP(Q469+(Q469*Assumptions!Q$5),-2)</f>
        <v>37800</v>
      </c>
      <c r="S469" s="47">
        <f>ROUNDUP(R469+(R469*Assumptions!R$5),-2)</f>
        <v>38800</v>
      </c>
    </row>
    <row r="470" spans="1:21" s="34" customFormat="1" x14ac:dyDescent="0.2">
      <c r="A470" s="54">
        <v>138700</v>
      </c>
      <c r="B470" s="136">
        <f>2800+86200+18300+7800</f>
        <v>115100</v>
      </c>
      <c r="C470" s="136">
        <v>106000</v>
      </c>
      <c r="D470" s="1439">
        <v>68100</v>
      </c>
      <c r="E470" s="134">
        <v>68100</v>
      </c>
      <c r="F470" s="239" t="s">
        <v>587</v>
      </c>
      <c r="G470" s="662" t="s">
        <v>6057</v>
      </c>
      <c r="H470" s="9">
        <v>75000</v>
      </c>
      <c r="I470" s="584">
        <f t="shared" si="459"/>
        <v>10.13215859030837</v>
      </c>
      <c r="J470" s="9">
        <f>ROUNDUP(H470+(H470*Assumptions!I$5),-2)</f>
        <v>76800</v>
      </c>
      <c r="K470" s="9">
        <f>ROUNDUP(J470+(J470*Assumptions!J$5),-2)</f>
        <v>78800</v>
      </c>
      <c r="L470" s="9">
        <f>ROUNDUP(K470+(K470*Assumptions!K$5),-2)</f>
        <v>80800</v>
      </c>
      <c r="M470" s="9">
        <f>ROUNDUP(L470+(L470*Assumptions!L$5),-2)</f>
        <v>82900</v>
      </c>
      <c r="N470" s="9">
        <f>ROUNDUP(M470+(M470*Assumptions!M$5),-2)</f>
        <v>85000</v>
      </c>
      <c r="O470" s="9">
        <f>ROUNDUP(N470+(N470*Assumptions!N$5),-2)</f>
        <v>87200</v>
      </c>
      <c r="P470" s="9">
        <f>ROUNDUP(O470+(O470*Assumptions!O$5),-2)</f>
        <v>89400</v>
      </c>
      <c r="Q470" s="9">
        <f>ROUNDUP(P470+(P470*Assumptions!P$5),-2)</f>
        <v>91700</v>
      </c>
      <c r="R470" s="9">
        <f>ROUNDUP(Q470+(Q470*Assumptions!Q$5),-2)</f>
        <v>94000</v>
      </c>
      <c r="S470" s="47">
        <f>ROUNDUP(R470+(R470*Assumptions!R$5),-2)</f>
        <v>96400</v>
      </c>
    </row>
    <row r="471" spans="1:21" s="34" customFormat="1" x14ac:dyDescent="0.2">
      <c r="A471" s="54">
        <v>0</v>
      </c>
      <c r="B471" s="136">
        <v>0</v>
      </c>
      <c r="C471" s="136">
        <v>0</v>
      </c>
      <c r="D471" s="1439">
        <v>16300</v>
      </c>
      <c r="E471" s="134">
        <v>20900</v>
      </c>
      <c r="F471" s="578" t="s">
        <v>6067</v>
      </c>
      <c r="G471" s="662" t="s">
        <v>6068</v>
      </c>
      <c r="H471" s="9">
        <v>25000</v>
      </c>
      <c r="I471" s="584">
        <f t="shared" si="459"/>
        <v>19.617224880382775</v>
      </c>
      <c r="J471" s="9">
        <f>ROUNDUP(H471+(H471*Assumptions!I$5),-2)</f>
        <v>25600</v>
      </c>
      <c r="K471" s="9">
        <f>ROUNDUP(J471+(J471*Assumptions!J$5),-2)</f>
        <v>26300</v>
      </c>
      <c r="L471" s="9">
        <f>ROUNDUP(K471+(K471*Assumptions!K$5),-2)</f>
        <v>27000</v>
      </c>
      <c r="M471" s="9">
        <f>ROUNDUP(L471+(L471*Assumptions!L$5),-2)</f>
        <v>27700</v>
      </c>
      <c r="N471" s="9">
        <f>ROUNDUP(M471+(M471*Assumptions!M$5),-2)</f>
        <v>28400</v>
      </c>
      <c r="O471" s="9">
        <f>ROUNDUP(N471+(N471*Assumptions!N$5),-2)</f>
        <v>29200</v>
      </c>
      <c r="P471" s="9">
        <f>ROUNDUP(O471+(O471*Assumptions!O$5),-2)</f>
        <v>30000</v>
      </c>
      <c r="Q471" s="9">
        <f>ROUNDUP(P471+(P471*Assumptions!P$5),-2)</f>
        <v>30800</v>
      </c>
      <c r="R471" s="9">
        <f>ROUNDUP(Q471+(Q471*Assumptions!Q$5),-2)</f>
        <v>31600</v>
      </c>
      <c r="S471" s="47">
        <f>ROUNDUP(R471+(R471*Assumptions!R$5),-2)</f>
        <v>32400</v>
      </c>
    </row>
    <row r="472" spans="1:21" s="34" customFormat="1" x14ac:dyDescent="0.2">
      <c r="A472" s="54">
        <v>0</v>
      </c>
      <c r="B472" s="136">
        <v>0</v>
      </c>
      <c r="C472" s="136">
        <v>0</v>
      </c>
      <c r="D472" s="1439">
        <v>0</v>
      </c>
      <c r="E472" s="134">
        <v>128600</v>
      </c>
      <c r="F472" s="578" t="s">
        <v>6273</v>
      </c>
      <c r="G472" s="662" t="s">
        <v>6058</v>
      </c>
      <c r="H472" s="9">
        <v>140000</v>
      </c>
      <c r="I472" s="584">
        <f t="shared" si="459"/>
        <v>8.8646967340590983</v>
      </c>
      <c r="J472" s="9">
        <f>ROUNDUP(H472+(H472*Assumptions!I$5),-2)</f>
        <v>143300</v>
      </c>
      <c r="K472" s="9">
        <f>ROUNDUP(J472+(J472*Assumptions!J$5),-2)</f>
        <v>146900</v>
      </c>
      <c r="L472" s="9">
        <f>ROUNDUP(K472+(K472*Assumptions!K$5),-2)</f>
        <v>150600</v>
      </c>
      <c r="M472" s="9">
        <f>ROUNDUP(L472+(L472*Assumptions!L$5),-2)</f>
        <v>154400</v>
      </c>
      <c r="N472" s="9">
        <f>ROUNDUP(M472+(M472*Assumptions!M$5),-2)</f>
        <v>158300</v>
      </c>
      <c r="O472" s="9">
        <f>ROUNDUP(N472+(N472*Assumptions!N$5),-2)</f>
        <v>162300</v>
      </c>
      <c r="P472" s="9">
        <f>ROUNDUP(O472+(O472*Assumptions!O$5),-2)</f>
        <v>166400</v>
      </c>
      <c r="Q472" s="9">
        <f>ROUNDUP(P472+(P472*Assumptions!P$5),-2)</f>
        <v>170600</v>
      </c>
      <c r="R472" s="9">
        <f>ROUNDUP(Q472+(Q472*Assumptions!Q$5),-2)</f>
        <v>174900</v>
      </c>
      <c r="S472" s="47">
        <f>ROUNDUP(R472+(R472*Assumptions!R$5),-2)</f>
        <v>179300</v>
      </c>
    </row>
    <row r="473" spans="1:21" s="34" customFormat="1" x14ac:dyDescent="0.2">
      <c r="A473" s="54">
        <v>0</v>
      </c>
      <c r="B473" s="136">
        <v>0</v>
      </c>
      <c r="C473" s="136">
        <v>0</v>
      </c>
      <c r="D473" s="1439">
        <v>0</v>
      </c>
      <c r="E473" s="134">
        <v>110300</v>
      </c>
      <c r="F473" s="578" t="s">
        <v>6274</v>
      </c>
      <c r="G473" s="662" t="s">
        <v>6059</v>
      </c>
      <c r="H473" s="9">
        <v>135000</v>
      </c>
      <c r="I473" s="584">
        <f t="shared" si="459"/>
        <v>22.393472348141433</v>
      </c>
      <c r="J473" s="9">
        <f>ROUNDUP(H473+(H473*Assumptions!I$5),-2)</f>
        <v>138200</v>
      </c>
      <c r="K473" s="9">
        <f>ROUNDUP(J473+(J473*Assumptions!J$5),-2)</f>
        <v>141700</v>
      </c>
      <c r="L473" s="9">
        <f>ROUNDUP(K473+(K473*Assumptions!K$5),-2)</f>
        <v>145300</v>
      </c>
      <c r="M473" s="9">
        <f>ROUNDUP(L473+(L473*Assumptions!L$5),-2)</f>
        <v>149000</v>
      </c>
      <c r="N473" s="9">
        <f>ROUNDUP(M473+(M473*Assumptions!M$5),-2)</f>
        <v>152800</v>
      </c>
      <c r="O473" s="9">
        <f>ROUNDUP(N473+(N473*Assumptions!N$5),-2)</f>
        <v>156700</v>
      </c>
      <c r="P473" s="9">
        <f>ROUNDUP(O473+(O473*Assumptions!O$5),-2)</f>
        <v>160700</v>
      </c>
      <c r="Q473" s="9">
        <f>ROUNDUP(P473+(P473*Assumptions!P$5),-2)</f>
        <v>164800</v>
      </c>
      <c r="R473" s="9">
        <f>ROUNDUP(Q473+(Q473*Assumptions!Q$5),-2)</f>
        <v>169000</v>
      </c>
      <c r="S473" s="47">
        <f>ROUNDUP(R473+(R473*Assumptions!R$5),-2)</f>
        <v>173300</v>
      </c>
    </row>
    <row r="474" spans="1:21" s="34" customFormat="1" x14ac:dyDescent="0.2">
      <c r="A474" s="54">
        <v>0</v>
      </c>
      <c r="B474" s="136">
        <v>0</v>
      </c>
      <c r="C474" s="136">
        <v>0</v>
      </c>
      <c r="D474" s="1439">
        <v>0</v>
      </c>
      <c r="E474" s="134">
        <v>73300</v>
      </c>
      <c r="F474" s="578" t="s">
        <v>6275</v>
      </c>
      <c r="G474" s="662" t="s">
        <v>6060</v>
      </c>
      <c r="H474" s="9">
        <v>80000</v>
      </c>
      <c r="I474" s="584">
        <f t="shared" si="459"/>
        <v>9.1405184174624825</v>
      </c>
      <c r="J474" s="9">
        <f>ROUNDUP(H474+(H474*Assumptions!I$5),-2)</f>
        <v>81900</v>
      </c>
      <c r="K474" s="9">
        <f>ROUNDUP(J474+(J474*Assumptions!J$5),-2)</f>
        <v>84000</v>
      </c>
      <c r="L474" s="9">
        <f>ROUNDUP(K474+(K474*Assumptions!K$5),-2)</f>
        <v>86100</v>
      </c>
      <c r="M474" s="9">
        <f>ROUNDUP(L474+(L474*Assumptions!L$5),-2)</f>
        <v>88300</v>
      </c>
      <c r="N474" s="9">
        <f>ROUNDUP(M474+(M474*Assumptions!M$5),-2)</f>
        <v>90600</v>
      </c>
      <c r="O474" s="9">
        <f>ROUNDUP(N474+(N474*Assumptions!N$5),-2)</f>
        <v>92900</v>
      </c>
      <c r="P474" s="9">
        <f>ROUNDUP(O474+(O474*Assumptions!O$5),-2)</f>
        <v>95300</v>
      </c>
      <c r="Q474" s="9">
        <f>ROUNDUP(P474+(P474*Assumptions!P$5),-2)</f>
        <v>97700</v>
      </c>
      <c r="R474" s="9">
        <f>ROUNDUP(Q474+(Q474*Assumptions!Q$5),-2)</f>
        <v>100200</v>
      </c>
      <c r="S474" s="47">
        <f>ROUNDUP(R474+(R474*Assumptions!R$5),-2)</f>
        <v>102800</v>
      </c>
    </row>
    <row r="475" spans="1:21" s="34" customFormat="1" x14ac:dyDescent="0.2">
      <c r="A475" s="54">
        <v>0</v>
      </c>
      <c r="B475" s="136">
        <v>0</v>
      </c>
      <c r="C475" s="136">
        <v>0</v>
      </c>
      <c r="D475" s="1439">
        <v>0</v>
      </c>
      <c r="E475" s="134">
        <v>2200</v>
      </c>
      <c r="F475" s="578" t="s">
        <v>6276</v>
      </c>
      <c r="G475" s="662" t="s">
        <v>6061</v>
      </c>
      <c r="H475" s="9">
        <v>5100</v>
      </c>
      <c r="I475" s="584">
        <f>IF(E475=H475,0,IF(E475=0,100,(H475-E475)/E475*100))</f>
        <v>131.81818181818181</v>
      </c>
      <c r="J475" s="9">
        <f>ROUNDUP(H475+(H475*Assumptions!I$5),-2)</f>
        <v>5300</v>
      </c>
      <c r="K475" s="9">
        <f>ROUNDUP(J475+(J475*Assumptions!J$5),-2)</f>
        <v>5500</v>
      </c>
      <c r="L475" s="9">
        <f>ROUNDUP(K475+(K475*Assumptions!K$5),-2)</f>
        <v>5700</v>
      </c>
      <c r="M475" s="9">
        <f>ROUNDUP(L475+(L475*Assumptions!L$5),-2)</f>
        <v>5900</v>
      </c>
      <c r="N475" s="9">
        <f>ROUNDUP(M475+(M475*Assumptions!M$5),-2)</f>
        <v>6100</v>
      </c>
      <c r="O475" s="9">
        <f>ROUNDUP(N475+(N475*Assumptions!N$5),-2)</f>
        <v>6300</v>
      </c>
      <c r="P475" s="9">
        <f>ROUNDUP(O475+(O475*Assumptions!O$5),-2)</f>
        <v>6500</v>
      </c>
      <c r="Q475" s="9">
        <f>ROUNDUP(P475+(P475*Assumptions!P$5),-2)</f>
        <v>6700</v>
      </c>
      <c r="R475" s="9">
        <f>ROUNDUP(Q475+(Q475*Assumptions!Q$5),-2)</f>
        <v>6900</v>
      </c>
      <c r="S475" s="47">
        <f>ROUNDUP(R475+(R475*Assumptions!R$5),-2)</f>
        <v>7100</v>
      </c>
    </row>
    <row r="476" spans="1:21" s="34" customFormat="1" x14ac:dyDescent="0.2">
      <c r="A476" s="54"/>
      <c r="B476" s="9"/>
      <c r="C476" s="9"/>
      <c r="D476" s="29"/>
      <c r="E476" s="9"/>
      <c r="F476" s="167"/>
      <c r="G476" s="521" t="s">
        <v>1014</v>
      </c>
      <c r="H476" s="9"/>
      <c r="I476" s="584"/>
      <c r="J476" s="9"/>
      <c r="K476" s="9"/>
      <c r="L476" s="9"/>
      <c r="M476" s="9"/>
      <c r="N476" s="9"/>
      <c r="O476" s="9"/>
      <c r="P476" s="89"/>
      <c r="Q476" s="9"/>
      <c r="R476" s="9"/>
      <c r="S476" s="47"/>
    </row>
    <row r="477" spans="1:21" s="34" customFormat="1" ht="13.5" thickBot="1" x14ac:dyDescent="0.25">
      <c r="A477" s="118"/>
      <c r="B477" s="23"/>
      <c r="C477" s="23"/>
      <c r="D477" s="227"/>
      <c r="E477" s="23"/>
      <c r="F477" s="168"/>
      <c r="G477" s="1619"/>
      <c r="H477" s="23"/>
      <c r="I477" s="751"/>
      <c r="J477" s="23"/>
      <c r="K477" s="23"/>
      <c r="L477" s="23"/>
      <c r="M477" s="23"/>
      <c r="N477" s="23"/>
      <c r="O477" s="23"/>
      <c r="P477" s="113"/>
      <c r="Q477" s="23"/>
      <c r="R477" s="23"/>
      <c r="S477" s="112"/>
    </row>
    <row r="478" spans="1:21" s="38" customFormat="1" ht="18.75" customHeight="1" thickTop="1" thickBot="1" x14ac:dyDescent="0.3">
      <c r="A478" s="2601" t="s">
        <v>4748</v>
      </c>
      <c r="B478" s="2602"/>
      <c r="C478" s="2602"/>
      <c r="D478" s="2602"/>
      <c r="E478" s="2602"/>
      <c r="F478" s="2602"/>
      <c r="G478" s="2602"/>
      <c r="H478" s="2602"/>
      <c r="I478" s="2602"/>
      <c r="J478" s="2602"/>
      <c r="K478" s="2602"/>
      <c r="L478" s="2602"/>
      <c r="M478" s="2602"/>
      <c r="N478" s="2602"/>
      <c r="O478" s="2602"/>
      <c r="P478" s="2602"/>
      <c r="Q478" s="2602"/>
      <c r="R478" s="2602"/>
      <c r="S478" s="2603"/>
      <c r="U478" s="34"/>
    </row>
    <row r="479" spans="1:21" s="39" customFormat="1" x14ac:dyDescent="0.2">
      <c r="A479" s="2598" t="s">
        <v>1824</v>
      </c>
      <c r="B479" s="2599"/>
      <c r="C479" s="2599"/>
      <c r="D479" s="2599"/>
      <c r="E479" s="2600"/>
      <c r="F479" s="2058" t="s">
        <v>2616</v>
      </c>
      <c r="G479" s="2231" t="s">
        <v>2213</v>
      </c>
      <c r="H479" s="2577" t="s">
        <v>2215</v>
      </c>
      <c r="I479" s="2577"/>
      <c r="J479" s="2577"/>
      <c r="K479" s="2577"/>
      <c r="L479" s="2577"/>
      <c r="M479" s="2577"/>
      <c r="N479" s="2577"/>
      <c r="O479" s="2577"/>
      <c r="P479" s="2577"/>
      <c r="Q479" s="2577"/>
      <c r="R479" s="2577"/>
      <c r="S479" s="2578"/>
      <c r="U479" s="34"/>
    </row>
    <row r="480" spans="1:21" s="34" customFormat="1" ht="13.5" customHeight="1" thickBot="1" x14ac:dyDescent="0.25">
      <c r="A480" s="541" t="str">
        <f>A3</f>
        <v>2012/13</v>
      </c>
      <c r="B480" s="28" t="str">
        <f>B3</f>
        <v>2013/14</v>
      </c>
      <c r="C480" s="40" t="str">
        <f>C3</f>
        <v>2014/15</v>
      </c>
      <c r="D480" s="40" t="str">
        <f>D3</f>
        <v>2015/16</v>
      </c>
      <c r="E480" s="40" t="str">
        <f>E3</f>
        <v>2016/17</v>
      </c>
      <c r="F480" s="40" t="s">
        <v>2617</v>
      </c>
      <c r="G480" s="41"/>
      <c r="H480" s="40" t="str">
        <f t="shared" ref="H480:S480" si="460">H3</f>
        <v>2017/18</v>
      </c>
      <c r="I480" s="1459" t="str">
        <f t="shared" si="460"/>
        <v>%</v>
      </c>
      <c r="J480" s="40" t="str">
        <f t="shared" si="460"/>
        <v>2018/19</v>
      </c>
      <c r="K480" s="40" t="str">
        <f t="shared" si="460"/>
        <v>2019/20</v>
      </c>
      <c r="L480" s="40" t="str">
        <f t="shared" si="460"/>
        <v>2020/21</v>
      </c>
      <c r="M480" s="40" t="str">
        <f t="shared" si="460"/>
        <v>2021/22</v>
      </c>
      <c r="N480" s="40" t="str">
        <f t="shared" si="460"/>
        <v>2022/23</v>
      </c>
      <c r="O480" s="40" t="str">
        <f t="shared" si="460"/>
        <v>2023/24</v>
      </c>
      <c r="P480" s="1257" t="str">
        <f t="shared" si="460"/>
        <v>2024/25</v>
      </c>
      <c r="Q480" s="40" t="str">
        <f t="shared" si="460"/>
        <v>2025/26</v>
      </c>
      <c r="R480" s="40" t="str">
        <f t="shared" si="460"/>
        <v>2026/27</v>
      </c>
      <c r="S480" s="1620" t="str">
        <f t="shared" si="460"/>
        <v>2027/28</v>
      </c>
    </row>
    <row r="481" spans="1:19" s="34" customFormat="1" ht="13.5" customHeight="1" x14ac:dyDescent="0.2">
      <c r="A481" s="528"/>
      <c r="B481" s="150"/>
      <c r="C481" s="150"/>
      <c r="D481" s="150"/>
      <c r="E481" s="150"/>
      <c r="F481" s="152"/>
      <c r="G481" s="46"/>
      <c r="H481" s="150"/>
      <c r="I481" s="2219"/>
      <c r="J481" s="150"/>
      <c r="K481" s="150"/>
      <c r="L481" s="150"/>
      <c r="M481" s="150"/>
      <c r="N481" s="150"/>
      <c r="O481" s="150"/>
      <c r="P481" s="152"/>
      <c r="Q481" s="150"/>
      <c r="R481" s="150"/>
      <c r="S481" s="381"/>
    </row>
    <row r="482" spans="1:19" s="34" customFormat="1" x14ac:dyDescent="0.2">
      <c r="A482" s="54"/>
      <c r="B482" s="9"/>
      <c r="C482" s="9"/>
      <c r="D482" s="9"/>
      <c r="E482" s="9"/>
      <c r="F482" s="1153"/>
      <c r="G482" s="256" t="s">
        <v>1800</v>
      </c>
      <c r="H482" s="9"/>
      <c r="I482" s="584"/>
      <c r="J482" s="9"/>
      <c r="K482" s="9"/>
      <c r="L482" s="9"/>
      <c r="M482" s="9"/>
      <c r="N482" s="9"/>
      <c r="O482" s="9"/>
      <c r="P482" s="89"/>
      <c r="Q482" s="9"/>
      <c r="R482" s="9"/>
      <c r="S482" s="61"/>
    </row>
    <row r="483" spans="1:19" s="34" customFormat="1" x14ac:dyDescent="0.2">
      <c r="A483" s="54"/>
      <c r="B483" s="136"/>
      <c r="C483" s="136"/>
      <c r="D483" s="706"/>
      <c r="E483" s="134"/>
      <c r="F483" s="240"/>
      <c r="G483" s="662"/>
      <c r="H483" s="134"/>
      <c r="I483" s="584"/>
      <c r="J483" s="9"/>
      <c r="K483" s="9"/>
      <c r="L483" s="9"/>
      <c r="M483" s="9"/>
      <c r="N483" s="9"/>
      <c r="O483" s="9"/>
      <c r="P483" s="89"/>
      <c r="Q483" s="9"/>
      <c r="R483" s="9"/>
      <c r="S483" s="61"/>
    </row>
    <row r="484" spans="1:19" s="34" customFormat="1" x14ac:dyDescent="0.2">
      <c r="A484" s="54"/>
      <c r="B484" s="9"/>
      <c r="C484" s="9"/>
      <c r="D484" s="134"/>
      <c r="E484" s="134"/>
      <c r="F484" s="730"/>
      <c r="G484" s="912" t="s">
        <v>4901</v>
      </c>
      <c r="H484" s="134"/>
      <c r="I484" s="584"/>
      <c r="J484" s="9"/>
      <c r="K484" s="9"/>
      <c r="L484" s="9"/>
      <c r="M484" s="9"/>
      <c r="N484" s="9"/>
      <c r="O484" s="9"/>
      <c r="P484" s="89"/>
      <c r="Q484" s="9"/>
      <c r="R484" s="9"/>
      <c r="S484" s="61"/>
    </row>
    <row r="485" spans="1:19" s="34" customFormat="1" x14ac:dyDescent="0.2">
      <c r="A485" s="54">
        <v>186600</v>
      </c>
      <c r="B485" s="136">
        <v>198300</v>
      </c>
      <c r="C485" s="136">
        <v>138100</v>
      </c>
      <c r="D485" s="706">
        <v>98500</v>
      </c>
      <c r="E485" s="134">
        <v>66900</v>
      </c>
      <c r="F485" s="577" t="s">
        <v>6070</v>
      </c>
      <c r="G485" s="662" t="s">
        <v>6069</v>
      </c>
      <c r="H485" s="9">
        <v>90000</v>
      </c>
      <c r="I485" s="584">
        <f>IF(E485=H485,0,IF(E485=0,100,(H485-E485)/E485*100))</f>
        <v>34.529147982062781</v>
      </c>
      <c r="J485" s="9">
        <f>ROUNDUP(H485+(H485*Assumptions!I$5),-2)</f>
        <v>92100</v>
      </c>
      <c r="K485" s="9">
        <f>ROUNDUP(J485+(J485*Assumptions!J$5),-2)</f>
        <v>94500</v>
      </c>
      <c r="L485" s="9">
        <f>ROUNDUP(K485+(K485*Assumptions!K$5),-2)</f>
        <v>96900</v>
      </c>
      <c r="M485" s="9">
        <f>ROUNDUP(L485+(L485*Assumptions!L$5),-2)</f>
        <v>99400</v>
      </c>
      <c r="N485" s="9">
        <f>ROUNDUP(M485+(M485*Assumptions!M$5),-2)</f>
        <v>101900</v>
      </c>
      <c r="O485" s="9">
        <f>ROUNDUP(N485+(N485*Assumptions!N$5),-2)</f>
        <v>104500</v>
      </c>
      <c r="P485" s="9">
        <f>ROUNDUP(O485+(O485*Assumptions!O$5),-2)</f>
        <v>107200</v>
      </c>
      <c r="Q485" s="9">
        <f>ROUNDUP(P485+(P485*Assumptions!P$5),-2)</f>
        <v>109900</v>
      </c>
      <c r="R485" s="9">
        <f>ROUNDUP(Q485+(Q485*Assumptions!Q$5),-2)</f>
        <v>112700</v>
      </c>
      <c r="S485" s="47">
        <f>ROUNDUP(R485+(R485*Assumptions!R$5),-2)</f>
        <v>115600</v>
      </c>
    </row>
    <row r="486" spans="1:19" s="34" customFormat="1" x14ac:dyDescent="0.2">
      <c r="A486" s="54"/>
      <c r="B486" s="136"/>
      <c r="C486" s="136"/>
      <c r="D486" s="706"/>
      <c r="E486" s="134"/>
      <c r="F486" s="240"/>
      <c r="G486" s="912" t="s">
        <v>4902</v>
      </c>
      <c r="H486" s="134"/>
      <c r="I486" s="584"/>
      <c r="J486" s="9"/>
      <c r="K486" s="9"/>
      <c r="L486" s="9"/>
      <c r="M486" s="9"/>
      <c r="N486" s="9"/>
      <c r="O486" s="9"/>
      <c r="P486" s="89"/>
      <c r="Q486" s="9"/>
      <c r="R486" s="9"/>
      <c r="S486" s="47"/>
    </row>
    <row r="487" spans="1:19" s="34" customFormat="1" x14ac:dyDescent="0.2">
      <c r="A487" s="54">
        <v>359600</v>
      </c>
      <c r="B487" s="136">
        <v>258900</v>
      </c>
      <c r="C487" s="136">
        <v>424700</v>
      </c>
      <c r="D487" s="706">
        <v>468300</v>
      </c>
      <c r="E487" s="134">
        <v>328200</v>
      </c>
      <c r="F487" s="240" t="s">
        <v>987</v>
      </c>
      <c r="G487" s="662" t="s">
        <v>6042</v>
      </c>
      <c r="H487" s="9">
        <v>387600</v>
      </c>
      <c r="I487" s="584">
        <f>IF(E487=H487,0,IF(E487=0,100,(H487-E487)/E487*100))</f>
        <v>18.09872029250457</v>
      </c>
      <c r="J487" s="9">
        <f>ROUNDUP(H487+(H487*Assumptions!I$5),-2)</f>
        <v>396600</v>
      </c>
      <c r="K487" s="9">
        <f>ROUNDUP(J487+(J487*Assumptions!J$5),-2)</f>
        <v>406600</v>
      </c>
      <c r="L487" s="9">
        <f>ROUNDUP(K487+(K487*Assumptions!K$5),-2)</f>
        <v>416800</v>
      </c>
      <c r="M487" s="9">
        <f>ROUNDUP(L487+(L487*Assumptions!L$5),-2)</f>
        <v>427300</v>
      </c>
      <c r="N487" s="9">
        <f>ROUNDUP(M487+(M487*Assumptions!M$5),-2)</f>
        <v>438000</v>
      </c>
      <c r="O487" s="9">
        <f>ROUNDUP(N487+(N487*Assumptions!N$5),-2)</f>
        <v>449000</v>
      </c>
      <c r="P487" s="9">
        <f>ROUNDUP(O487+(O487*Assumptions!O$5),-2)</f>
        <v>460300</v>
      </c>
      <c r="Q487" s="9">
        <f>ROUNDUP(P487+(P487*Assumptions!P$5),-2)</f>
        <v>471900</v>
      </c>
      <c r="R487" s="9">
        <f>ROUNDUP(Q487+(Q487*Assumptions!Q$5),-2)</f>
        <v>483700</v>
      </c>
      <c r="S487" s="47">
        <f>ROUNDUP(R487+(R487*Assumptions!R$5),-2)</f>
        <v>495800</v>
      </c>
    </row>
    <row r="488" spans="1:19" s="34" customFormat="1" x14ac:dyDescent="0.2">
      <c r="A488" s="54">
        <v>0</v>
      </c>
      <c r="B488" s="136">
        <v>0</v>
      </c>
      <c r="C488" s="136">
        <v>0</v>
      </c>
      <c r="D488" s="706">
        <f>285000+77000</f>
        <v>362000</v>
      </c>
      <c r="E488" s="134">
        <v>353600</v>
      </c>
      <c r="F488" s="578" t="s">
        <v>5204</v>
      </c>
      <c r="G488" s="662" t="s">
        <v>6071</v>
      </c>
      <c r="H488" s="9">
        <v>357900</v>
      </c>
      <c r="I488" s="584">
        <f>IF(E488=H488,0,IF(E488=0,100,(H488-E488)/E488*100))</f>
        <v>1.2160633484162897</v>
      </c>
      <c r="J488" s="9">
        <f>ROUNDUP(H488+(H488*Assumptions!I$5),-2)</f>
        <v>366200</v>
      </c>
      <c r="K488" s="9">
        <f>ROUNDUP(J488+(J488*Assumptions!J$5),-2)</f>
        <v>375400</v>
      </c>
      <c r="L488" s="9">
        <f>ROUNDUP(K488+(K488*Assumptions!K$5),-2)</f>
        <v>384800</v>
      </c>
      <c r="M488" s="9">
        <f>ROUNDUP(L488+(L488*Assumptions!L$5),-2)</f>
        <v>394500</v>
      </c>
      <c r="N488" s="9">
        <f>ROUNDUP(M488+(M488*Assumptions!M$5),-2)</f>
        <v>404400</v>
      </c>
      <c r="O488" s="9">
        <f>ROUNDUP(N488+(N488*Assumptions!N$5),-2)</f>
        <v>414600</v>
      </c>
      <c r="P488" s="9">
        <f>ROUNDUP(O488+(O488*Assumptions!O$5),-2)</f>
        <v>425000</v>
      </c>
      <c r="Q488" s="9">
        <f>ROUNDUP(P488+(P488*Assumptions!P$5),-2)</f>
        <v>435700</v>
      </c>
      <c r="R488" s="9">
        <f>ROUNDUP(Q488+(Q488*Assumptions!Q$5),-2)</f>
        <v>446600</v>
      </c>
      <c r="S488" s="47">
        <f>ROUNDUP(R488+(R488*Assumptions!R$5),-2)</f>
        <v>457800</v>
      </c>
    </row>
    <row r="489" spans="1:19" s="34" customFormat="1" x14ac:dyDescent="0.2">
      <c r="A489" s="54">
        <v>0</v>
      </c>
      <c r="B489" s="136">
        <v>0</v>
      </c>
      <c r="C489" s="136">
        <v>0</v>
      </c>
      <c r="D489" s="706">
        <f>75000+41000+38000</f>
        <v>154000</v>
      </c>
      <c r="E489" s="134">
        <v>87500</v>
      </c>
      <c r="F489" s="578" t="s">
        <v>5205</v>
      </c>
      <c r="G489" s="662" t="s">
        <v>6044</v>
      </c>
      <c r="H489" s="9">
        <v>91500</v>
      </c>
      <c r="I489" s="584">
        <f>IF(E489=H489,0,IF(E489=0,100,(H489-E489)/E489*100))</f>
        <v>4.5714285714285712</v>
      </c>
      <c r="J489" s="9">
        <f>ROUNDUP(H489+(H489*Assumptions!I$5),-2)</f>
        <v>93700</v>
      </c>
      <c r="K489" s="9">
        <f>ROUNDUP(J489+(J489*Assumptions!J$5),-2)</f>
        <v>96100</v>
      </c>
      <c r="L489" s="9">
        <f>ROUNDUP(K489+(K489*Assumptions!K$5),-2)</f>
        <v>98600</v>
      </c>
      <c r="M489" s="9">
        <f>ROUNDUP(L489+(L489*Assumptions!L$5),-2)</f>
        <v>101100</v>
      </c>
      <c r="N489" s="9">
        <f>ROUNDUP(M489+(M489*Assumptions!M$5),-2)</f>
        <v>103700</v>
      </c>
      <c r="O489" s="9">
        <f>ROUNDUP(N489+(N489*Assumptions!N$5),-2)</f>
        <v>106300</v>
      </c>
      <c r="P489" s="9">
        <f>ROUNDUP(O489+(O489*Assumptions!O$5),-2)</f>
        <v>109000</v>
      </c>
      <c r="Q489" s="9">
        <f>ROUNDUP(P489+(P489*Assumptions!P$5),-2)</f>
        <v>111800</v>
      </c>
      <c r="R489" s="9">
        <f>ROUNDUP(Q489+(Q489*Assumptions!Q$5),-2)</f>
        <v>114600</v>
      </c>
      <c r="S489" s="47">
        <f>ROUNDUP(R489+(R489*Assumptions!R$5),-2)</f>
        <v>117500</v>
      </c>
    </row>
    <row r="490" spans="1:19" s="34" customFormat="1" x14ac:dyDescent="0.2">
      <c r="A490" s="54">
        <v>0</v>
      </c>
      <c r="B490" s="136">
        <v>0</v>
      </c>
      <c r="C490" s="136">
        <v>0</v>
      </c>
      <c r="D490" s="706">
        <v>54000</v>
      </c>
      <c r="E490" s="134">
        <v>61400</v>
      </c>
      <c r="F490" s="578" t="s">
        <v>5206</v>
      </c>
      <c r="G490" s="662" t="s">
        <v>6045</v>
      </c>
      <c r="H490" s="9">
        <v>41100</v>
      </c>
      <c r="I490" s="584">
        <f>IF(E490=H490,0,IF(E490=0,100,(H490-E490)/E490*100))</f>
        <v>-33.061889250814332</v>
      </c>
      <c r="J490" s="9">
        <f>ROUNDUP(H490+(H490*Assumptions!I$5),-2)</f>
        <v>42100</v>
      </c>
      <c r="K490" s="9">
        <f>ROUNDUP(J490+(J490*Assumptions!J$5),-2)</f>
        <v>43200</v>
      </c>
      <c r="L490" s="9">
        <f>ROUNDUP(K490+(K490*Assumptions!K$5),-2)</f>
        <v>44300</v>
      </c>
      <c r="M490" s="9">
        <f>ROUNDUP(L490+(L490*Assumptions!L$5),-2)</f>
        <v>45500</v>
      </c>
      <c r="N490" s="9">
        <f>ROUNDUP(M490+(M490*Assumptions!M$5),-2)</f>
        <v>46700</v>
      </c>
      <c r="O490" s="9">
        <f>ROUNDUP(N490+(N490*Assumptions!N$5),-2)</f>
        <v>47900</v>
      </c>
      <c r="P490" s="9">
        <f>ROUNDUP(O490+(O490*Assumptions!O$5),-2)</f>
        <v>49100</v>
      </c>
      <c r="Q490" s="9">
        <f>ROUNDUP(P490+(P490*Assumptions!P$5),-2)</f>
        <v>50400</v>
      </c>
      <c r="R490" s="9">
        <f>ROUNDUP(Q490+(Q490*Assumptions!Q$5),-2)</f>
        <v>51700</v>
      </c>
      <c r="S490" s="47">
        <f>ROUNDUP(R490+(R490*Assumptions!R$5),-2)</f>
        <v>53000</v>
      </c>
    </row>
    <row r="491" spans="1:19" s="34" customFormat="1" x14ac:dyDescent="0.2">
      <c r="A491" s="54">
        <v>0</v>
      </c>
      <c r="B491" s="136">
        <v>0</v>
      </c>
      <c r="C491" s="136">
        <v>0</v>
      </c>
      <c r="D491" s="706">
        <v>0</v>
      </c>
      <c r="E491" s="134">
        <v>314900</v>
      </c>
      <c r="F491" s="578" t="s">
        <v>6277</v>
      </c>
      <c r="G491" s="662" t="s">
        <v>6072</v>
      </c>
      <c r="H491" s="9">
        <v>317200</v>
      </c>
      <c r="I491" s="584">
        <f>IF(E491=H491,0,IF(E491=0,100,(H491-E491)/E491*100))</f>
        <v>0.7303906001905367</v>
      </c>
      <c r="J491" s="9">
        <f>ROUNDUP(H491+(H491*Assumptions!I$5),-2)</f>
        <v>324500</v>
      </c>
      <c r="K491" s="9">
        <f>ROUNDUP(J491+(J491*Assumptions!J$5),-2)</f>
        <v>332700</v>
      </c>
      <c r="L491" s="9">
        <f>ROUNDUP(K491+(K491*Assumptions!K$5),-2)</f>
        <v>341100</v>
      </c>
      <c r="M491" s="9">
        <f>ROUNDUP(L491+(L491*Assumptions!L$5),-2)</f>
        <v>349700</v>
      </c>
      <c r="N491" s="9">
        <f>ROUNDUP(M491+(M491*Assumptions!M$5),-2)</f>
        <v>358500</v>
      </c>
      <c r="O491" s="9">
        <f>ROUNDUP(N491+(N491*Assumptions!N$5),-2)</f>
        <v>367500</v>
      </c>
      <c r="P491" s="9">
        <f>ROUNDUP(O491+(O491*Assumptions!O$5),-2)</f>
        <v>376700</v>
      </c>
      <c r="Q491" s="9">
        <f>ROUNDUP(P491+(P491*Assumptions!P$5),-2)</f>
        <v>386200</v>
      </c>
      <c r="R491" s="9">
        <f>ROUNDUP(Q491+(Q491*Assumptions!Q$5),-2)</f>
        <v>395900</v>
      </c>
      <c r="S491" s="47">
        <f>ROUNDUP(R491+(R491*Assumptions!R$5),-2)</f>
        <v>405800</v>
      </c>
    </row>
    <row r="492" spans="1:19" s="34" customFormat="1" x14ac:dyDescent="0.2">
      <c r="A492" s="54"/>
      <c r="B492" s="9"/>
      <c r="C492" s="136"/>
      <c r="D492" s="134"/>
      <c r="E492" s="136"/>
      <c r="F492" s="240"/>
      <c r="G492" s="63" t="s">
        <v>4581</v>
      </c>
      <c r="H492" s="134"/>
      <c r="I492" s="584"/>
      <c r="J492" s="9"/>
      <c r="K492" s="9"/>
      <c r="L492" s="9"/>
      <c r="M492" s="9"/>
      <c r="N492" s="9"/>
      <c r="O492" s="9"/>
      <c r="P492" s="89"/>
      <c r="Q492" s="9"/>
      <c r="R492" s="9"/>
      <c r="S492" s="47"/>
    </row>
    <row r="493" spans="1:19" s="34" customFormat="1" x14ac:dyDescent="0.2">
      <c r="A493" s="54">
        <v>58800</v>
      </c>
      <c r="B493" s="9">
        <v>46700</v>
      </c>
      <c r="C493" s="136">
        <v>9000</v>
      </c>
      <c r="D493" s="134">
        <v>44100</v>
      </c>
      <c r="E493" s="136">
        <v>67300</v>
      </c>
      <c r="F493" s="577" t="s">
        <v>5478</v>
      </c>
      <c r="G493" s="662" t="s">
        <v>4881</v>
      </c>
      <c r="H493" s="9">
        <v>75000</v>
      </c>
      <c r="I493" s="584">
        <f>IF(E493=H493,0,IF(E493=0,100,(H493-E493)/E493*100))</f>
        <v>11.441307578008916</v>
      </c>
      <c r="J493" s="9">
        <f>ROUNDUP(H493+(H493*Assumptions!I$5),-2)</f>
        <v>76800</v>
      </c>
      <c r="K493" s="9">
        <f>ROUNDUP(J493+(J493*Assumptions!J$5),-2)</f>
        <v>78800</v>
      </c>
      <c r="L493" s="9">
        <f>ROUNDUP(K493+(K493*Assumptions!K$5),-2)</f>
        <v>80800</v>
      </c>
      <c r="M493" s="9">
        <f>ROUNDUP(L493+(L493*Assumptions!L$5),-2)</f>
        <v>82900</v>
      </c>
      <c r="N493" s="9">
        <f>ROUNDUP(M493+(M493*Assumptions!M$5),-2)</f>
        <v>85000</v>
      </c>
      <c r="O493" s="9">
        <f>ROUNDUP(N493+(N493*Assumptions!N$5),-2)</f>
        <v>87200</v>
      </c>
      <c r="P493" s="9">
        <f>ROUNDUP(O493+(O493*Assumptions!O$5),-2)</f>
        <v>89400</v>
      </c>
      <c r="Q493" s="9">
        <f>ROUNDUP(P493+(P493*Assumptions!P$5),-2)</f>
        <v>91700</v>
      </c>
      <c r="R493" s="9">
        <f>ROUNDUP(Q493+(Q493*Assumptions!Q$5),-2)</f>
        <v>94000</v>
      </c>
      <c r="S493" s="47">
        <f>ROUNDUP(R493+(R493*Assumptions!R$5),-2)</f>
        <v>96400</v>
      </c>
    </row>
    <row r="494" spans="1:19" s="34" customFormat="1" x14ac:dyDescent="0.2">
      <c r="A494" s="54"/>
      <c r="B494" s="9"/>
      <c r="C494" s="136"/>
      <c r="D494" s="134"/>
      <c r="E494" s="134"/>
      <c r="F494" s="730"/>
      <c r="G494" s="371"/>
      <c r="H494" s="134"/>
      <c r="I494" s="584"/>
      <c r="J494" s="9"/>
      <c r="K494" s="9"/>
      <c r="L494" s="9"/>
      <c r="M494" s="9"/>
      <c r="N494" s="9"/>
      <c r="O494" s="9"/>
      <c r="P494" s="89"/>
      <c r="Q494" s="9"/>
      <c r="R494" s="9"/>
      <c r="S494" s="47"/>
    </row>
    <row r="495" spans="1:19" s="34" customFormat="1" x14ac:dyDescent="0.2">
      <c r="A495" s="54"/>
      <c r="B495" s="9"/>
      <c r="C495" s="136"/>
      <c r="D495" s="134"/>
      <c r="E495" s="134"/>
      <c r="F495" s="1378"/>
      <c r="G495" s="912" t="s">
        <v>4582</v>
      </c>
      <c r="H495" s="134"/>
      <c r="I495" s="584"/>
      <c r="J495" s="9"/>
      <c r="K495" s="9"/>
      <c r="L495" s="9"/>
      <c r="M495" s="9"/>
      <c r="N495" s="9"/>
      <c r="O495" s="9"/>
      <c r="P495" s="89"/>
      <c r="Q495" s="9"/>
      <c r="R495" s="9"/>
      <c r="S495" s="47"/>
    </row>
    <row r="496" spans="1:19" s="34" customFormat="1" x14ac:dyDescent="0.2">
      <c r="A496" s="54">
        <v>0</v>
      </c>
      <c r="B496" s="9">
        <v>0</v>
      </c>
      <c r="C496" s="134">
        <v>0</v>
      </c>
      <c r="D496" s="134">
        <v>5800</v>
      </c>
      <c r="E496" s="136">
        <v>3900</v>
      </c>
      <c r="F496" s="578" t="s">
        <v>5208</v>
      </c>
      <c r="G496" s="662" t="s">
        <v>4907</v>
      </c>
      <c r="H496" s="9">
        <v>0</v>
      </c>
      <c r="I496" s="584">
        <f t="shared" ref="I496:I510" si="461">IF(E496=H496,0,IF(E496=0,100,(H496-E496)/E496*100))</f>
        <v>-100</v>
      </c>
      <c r="J496" s="9">
        <f>ROUNDUP(H496+(H496*Assumptions!I$5),-2)</f>
        <v>0</v>
      </c>
      <c r="K496" s="9">
        <f>ROUNDUP(J496+(J496*Assumptions!J$5),-2)</f>
        <v>0</v>
      </c>
      <c r="L496" s="9">
        <f>ROUNDUP(K496+(K496*Assumptions!K$5),-2)</f>
        <v>0</v>
      </c>
      <c r="M496" s="9">
        <f>ROUNDUP(L496+(L496*Assumptions!L$5),-2)</f>
        <v>0</v>
      </c>
      <c r="N496" s="9">
        <f>ROUNDUP(M496+(M496*Assumptions!M$5),-2)</f>
        <v>0</v>
      </c>
      <c r="O496" s="9">
        <f>ROUNDUP(N496+(N496*Assumptions!N$5),-2)</f>
        <v>0</v>
      </c>
      <c r="P496" s="9">
        <f>ROUNDUP(O496+(O496*Assumptions!O$5),-2)</f>
        <v>0</v>
      </c>
      <c r="Q496" s="9">
        <f>ROUNDUP(P496+(P496*Assumptions!P$5),-2)</f>
        <v>0</v>
      </c>
      <c r="R496" s="9">
        <f>ROUNDUP(Q496+(Q496*Assumptions!Q$5),-2)</f>
        <v>0</v>
      </c>
      <c r="S496" s="47">
        <f>ROUNDUP(R496+(R496*Assumptions!R$5),-2)</f>
        <v>0</v>
      </c>
    </row>
    <row r="497" spans="1:19" s="34" customFormat="1" x14ac:dyDescent="0.2">
      <c r="A497" s="54">
        <v>0</v>
      </c>
      <c r="B497" s="9">
        <v>0</v>
      </c>
      <c r="C497" s="136">
        <v>0</v>
      </c>
      <c r="D497" s="134">
        <v>24700</v>
      </c>
      <c r="E497" s="134">
        <v>68800</v>
      </c>
      <c r="F497" s="578" t="s">
        <v>5207</v>
      </c>
      <c r="G497" s="662" t="s">
        <v>2012</v>
      </c>
      <c r="H497" s="9">
        <v>60000</v>
      </c>
      <c r="I497" s="584">
        <f t="shared" si="461"/>
        <v>-12.790697674418606</v>
      </c>
      <c r="J497" s="9">
        <f>ROUNDUP(H497+(H497*Assumptions!I$5),-2)</f>
        <v>61400</v>
      </c>
      <c r="K497" s="9">
        <f>ROUNDUP(J497+(J497*Assumptions!J$5),-2)</f>
        <v>63000</v>
      </c>
      <c r="L497" s="9">
        <f>ROUNDUP(K497+(K497*Assumptions!K$5),-2)</f>
        <v>64600</v>
      </c>
      <c r="M497" s="9">
        <f>ROUNDUP(L497+(L497*Assumptions!L$5),-2)</f>
        <v>66300</v>
      </c>
      <c r="N497" s="9">
        <f>ROUNDUP(M497+(M497*Assumptions!M$5),-2)</f>
        <v>68000</v>
      </c>
      <c r="O497" s="9">
        <f>ROUNDUP(N497+(N497*Assumptions!N$5),-2)</f>
        <v>69700</v>
      </c>
      <c r="P497" s="9">
        <f>ROUNDUP(O497+(O497*Assumptions!O$5),-2)</f>
        <v>71500</v>
      </c>
      <c r="Q497" s="9">
        <f>ROUNDUP(P497+(P497*Assumptions!P$5),-2)</f>
        <v>73300</v>
      </c>
      <c r="R497" s="9">
        <f>ROUNDUP(Q497+(Q497*Assumptions!Q$5),-2)</f>
        <v>75200</v>
      </c>
      <c r="S497" s="47">
        <f>ROUNDUP(R497+(R497*Assumptions!R$5),-2)</f>
        <v>77100</v>
      </c>
    </row>
    <row r="498" spans="1:19" s="34" customFormat="1" x14ac:dyDescent="0.2">
      <c r="A498" s="54">
        <v>9000</v>
      </c>
      <c r="B498" s="9">
        <v>13100</v>
      </c>
      <c r="C498" s="134">
        <v>3000</v>
      </c>
      <c r="D498" s="134">
        <v>8800</v>
      </c>
      <c r="E498" s="136">
        <v>1100</v>
      </c>
      <c r="F498" s="578" t="s">
        <v>6038</v>
      </c>
      <c r="G498" s="371" t="s">
        <v>1786</v>
      </c>
      <c r="H498" s="9">
        <v>6000</v>
      </c>
      <c r="I498" s="584">
        <f t="shared" si="461"/>
        <v>445.45454545454544</v>
      </c>
      <c r="J498" s="9">
        <f>ROUNDUP(H498+(H498*Assumptions!I$5),-2)</f>
        <v>6200</v>
      </c>
      <c r="K498" s="9">
        <f>ROUNDUP(J498+(J498*Assumptions!J$5),-2)</f>
        <v>6400</v>
      </c>
      <c r="L498" s="9">
        <f>ROUNDUP(K498+(K498*Assumptions!K$5),-2)</f>
        <v>6600</v>
      </c>
      <c r="M498" s="9">
        <f>ROUNDUP(L498+(L498*Assumptions!L$5),-2)</f>
        <v>6800</v>
      </c>
      <c r="N498" s="9">
        <f>ROUNDUP(M498+(M498*Assumptions!M$5),-2)</f>
        <v>7000</v>
      </c>
      <c r="O498" s="9">
        <f>ROUNDUP(N498+(N498*Assumptions!N$5),-2)</f>
        <v>7200</v>
      </c>
      <c r="P498" s="9">
        <f>ROUNDUP(O498+(O498*Assumptions!O$5),-2)</f>
        <v>7400</v>
      </c>
      <c r="Q498" s="9">
        <f>ROUNDUP(P498+(P498*Assumptions!P$5),-2)</f>
        <v>7600</v>
      </c>
      <c r="R498" s="9">
        <f>ROUNDUP(Q498+(Q498*Assumptions!Q$5),-2)</f>
        <v>7800</v>
      </c>
      <c r="S498" s="47">
        <f>ROUNDUP(R498+(R498*Assumptions!R$5),-2)</f>
        <v>8000</v>
      </c>
    </row>
    <row r="499" spans="1:19" s="34" customFormat="1" x14ac:dyDescent="0.2">
      <c r="A499" s="54">
        <v>0</v>
      </c>
      <c r="B499" s="9">
        <v>239300</v>
      </c>
      <c r="C499" s="134">
        <v>178500</v>
      </c>
      <c r="D499" s="134">
        <v>0</v>
      </c>
      <c r="E499" s="136">
        <v>0</v>
      </c>
      <c r="F499" s="239" t="s">
        <v>820</v>
      </c>
      <c r="G499" s="371" t="s">
        <v>2210</v>
      </c>
      <c r="H499" s="9">
        <v>0</v>
      </c>
      <c r="I499" s="584">
        <f t="shared" si="461"/>
        <v>0</v>
      </c>
      <c r="J499" s="9">
        <f>ROUNDUP(H499+(H499*Assumptions!I$5),-2)</f>
        <v>0</v>
      </c>
      <c r="K499" s="9">
        <f>ROUNDUP(J499+(J499*Assumptions!J$5),-2)</f>
        <v>0</v>
      </c>
      <c r="L499" s="9">
        <f>ROUNDUP(K499+(K499*Assumptions!K$5),-2)</f>
        <v>0</v>
      </c>
      <c r="M499" s="9">
        <f>ROUNDUP(L499+(L499*Assumptions!L$5),-2)</f>
        <v>0</v>
      </c>
      <c r="N499" s="9">
        <f>ROUNDUP(M499+(M499*Assumptions!M$5),-2)</f>
        <v>0</v>
      </c>
      <c r="O499" s="9">
        <f>ROUNDUP(N499+(N499*Assumptions!N$5),-2)</f>
        <v>0</v>
      </c>
      <c r="P499" s="9">
        <f>ROUNDUP(O499+(O499*Assumptions!O$5),-2)</f>
        <v>0</v>
      </c>
      <c r="Q499" s="9">
        <f>ROUNDUP(P499+(P499*Assumptions!P$5),-2)</f>
        <v>0</v>
      </c>
      <c r="R499" s="9">
        <f>ROUNDUP(Q499+(Q499*Assumptions!Q$5),-2)</f>
        <v>0</v>
      </c>
      <c r="S499" s="47">
        <f>ROUNDUP(R499+(R499*Assumptions!R$5),-2)</f>
        <v>0</v>
      </c>
    </row>
    <row r="500" spans="1:19" s="34" customFormat="1" x14ac:dyDescent="0.2">
      <c r="A500" s="54">
        <f>61800-16700</f>
        <v>45100</v>
      </c>
      <c r="B500" s="9">
        <v>52000</v>
      </c>
      <c r="C500" s="134">
        <v>35400</v>
      </c>
      <c r="D500" s="134">
        <v>20000</v>
      </c>
      <c r="E500" s="136">
        <v>0</v>
      </c>
      <c r="F500" s="578" t="s">
        <v>6039</v>
      </c>
      <c r="G500" s="371" t="s">
        <v>646</v>
      </c>
      <c r="H500" s="9">
        <v>20000</v>
      </c>
      <c r="I500" s="584">
        <f t="shared" si="461"/>
        <v>100</v>
      </c>
      <c r="J500" s="9">
        <f>ROUNDUP(H500+(H500*Assumptions!I$5),-2)</f>
        <v>20500</v>
      </c>
      <c r="K500" s="9">
        <f>ROUNDUP(J500+(J500*Assumptions!J$5),-2)</f>
        <v>21100</v>
      </c>
      <c r="L500" s="9">
        <f>ROUNDUP(K500+(K500*Assumptions!K$5),-2)</f>
        <v>21700</v>
      </c>
      <c r="M500" s="9">
        <f>ROUNDUP(L500+(L500*Assumptions!L$5),-2)</f>
        <v>22300</v>
      </c>
      <c r="N500" s="9">
        <f>ROUNDUP(M500+(M500*Assumptions!M$5),-2)</f>
        <v>22900</v>
      </c>
      <c r="O500" s="9">
        <f>ROUNDUP(N500+(N500*Assumptions!N$5),-2)</f>
        <v>23500</v>
      </c>
      <c r="P500" s="9">
        <f>ROUNDUP(O500+(O500*Assumptions!O$5),-2)</f>
        <v>24100</v>
      </c>
      <c r="Q500" s="9">
        <f>ROUNDUP(P500+(P500*Assumptions!P$5),-2)</f>
        <v>24800</v>
      </c>
      <c r="R500" s="9">
        <f>ROUNDUP(Q500+(Q500*Assumptions!Q$5),-2)</f>
        <v>25500</v>
      </c>
      <c r="S500" s="47">
        <f>ROUNDUP(R500+(R500*Assumptions!R$5),-2)</f>
        <v>26200</v>
      </c>
    </row>
    <row r="501" spans="1:19" s="34" customFormat="1" x14ac:dyDescent="0.2">
      <c r="A501" s="54">
        <v>0</v>
      </c>
      <c r="B501" s="9">
        <v>7100</v>
      </c>
      <c r="C501" s="134">
        <v>18900</v>
      </c>
      <c r="D501" s="134">
        <v>500</v>
      </c>
      <c r="E501" s="136">
        <v>2900</v>
      </c>
      <c r="F501" s="578" t="s">
        <v>6040</v>
      </c>
      <c r="G501" s="662" t="s">
        <v>3539</v>
      </c>
      <c r="H501" s="9">
        <v>5000</v>
      </c>
      <c r="I501" s="584">
        <f t="shared" si="461"/>
        <v>72.41379310344827</v>
      </c>
      <c r="J501" s="9">
        <f>ROUNDUP(H501+(H501*Assumptions!I$5),-2)</f>
        <v>5200</v>
      </c>
      <c r="K501" s="9">
        <f>ROUNDUP(J501+(J501*Assumptions!J$5),-2)</f>
        <v>5400</v>
      </c>
      <c r="L501" s="9">
        <f>ROUNDUP(K501+(K501*Assumptions!K$5),-2)</f>
        <v>5600</v>
      </c>
      <c r="M501" s="9">
        <f>ROUNDUP(L501+(L501*Assumptions!L$5),-2)</f>
        <v>5800</v>
      </c>
      <c r="N501" s="9">
        <f>ROUNDUP(M501+(M501*Assumptions!M$5),-2)</f>
        <v>6000</v>
      </c>
      <c r="O501" s="9">
        <f>ROUNDUP(N501+(N501*Assumptions!N$5),-2)</f>
        <v>6200</v>
      </c>
      <c r="P501" s="9">
        <f>ROUNDUP(O501+(O501*Assumptions!O$5),-2)</f>
        <v>6400</v>
      </c>
      <c r="Q501" s="9">
        <f>ROUNDUP(P501+(P501*Assumptions!P$5),-2)</f>
        <v>6600</v>
      </c>
      <c r="R501" s="9">
        <f>ROUNDUP(Q501+(Q501*Assumptions!Q$5),-2)</f>
        <v>6800</v>
      </c>
      <c r="S501" s="47">
        <f>ROUNDUP(R501+(R501*Assumptions!R$5),-2)</f>
        <v>7000</v>
      </c>
    </row>
    <row r="502" spans="1:19" s="34" customFormat="1" x14ac:dyDescent="0.2">
      <c r="A502" s="54">
        <v>0</v>
      </c>
      <c r="B502" s="9">
        <f>3500+9700</f>
        <v>13200</v>
      </c>
      <c r="C502" s="136">
        <v>11100</v>
      </c>
      <c r="D502" s="134">
        <v>5600</v>
      </c>
      <c r="E502" s="134">
        <v>8200</v>
      </c>
      <c r="F502" s="578" t="s">
        <v>3387</v>
      </c>
      <c r="G502" s="662" t="s">
        <v>6555</v>
      </c>
      <c r="H502" s="9">
        <v>10000</v>
      </c>
      <c r="I502" s="584">
        <f t="shared" si="461"/>
        <v>21.951219512195124</v>
      </c>
      <c r="J502" s="9">
        <f>ROUNDUP(H502+(H502*Assumptions!I$5),-2)</f>
        <v>10300</v>
      </c>
      <c r="K502" s="9">
        <f>ROUNDUP(J502+(J502*Assumptions!J$5),-2)</f>
        <v>10600</v>
      </c>
      <c r="L502" s="9">
        <f>ROUNDUP(K502+(K502*Assumptions!K$5),-2)</f>
        <v>10900</v>
      </c>
      <c r="M502" s="9">
        <f>ROUNDUP(L502+(L502*Assumptions!L$5),-2)</f>
        <v>11200</v>
      </c>
      <c r="N502" s="9">
        <f>ROUNDUP(M502+(M502*Assumptions!M$5),-2)</f>
        <v>11500</v>
      </c>
      <c r="O502" s="9">
        <f>ROUNDUP(N502+(N502*Assumptions!N$5),-2)</f>
        <v>11800</v>
      </c>
      <c r="P502" s="9">
        <f>ROUNDUP(O502+(O502*Assumptions!O$5),-2)</f>
        <v>12100</v>
      </c>
      <c r="Q502" s="9">
        <f>ROUNDUP(P502+(P502*Assumptions!P$5),-2)</f>
        <v>12500</v>
      </c>
      <c r="R502" s="9">
        <f>ROUNDUP(Q502+(Q502*Assumptions!Q$5),-2)</f>
        <v>12900</v>
      </c>
      <c r="S502" s="47">
        <f>ROUNDUP(R502+(R502*Assumptions!R$5),-2)</f>
        <v>13300</v>
      </c>
    </row>
    <row r="503" spans="1:19" s="34" customFormat="1" x14ac:dyDescent="0.2">
      <c r="A503" s="54">
        <v>0</v>
      </c>
      <c r="B503" s="9">
        <v>0</v>
      </c>
      <c r="C503" s="136">
        <v>22400</v>
      </c>
      <c r="D503" s="134">
        <v>23200</v>
      </c>
      <c r="E503" s="134">
        <v>12900</v>
      </c>
      <c r="F503" s="578" t="s">
        <v>6073</v>
      </c>
      <c r="G503" s="662" t="s">
        <v>6556</v>
      </c>
      <c r="H503" s="9">
        <v>10000</v>
      </c>
      <c r="I503" s="584">
        <f t="shared" si="461"/>
        <v>-22.480620155038761</v>
      </c>
      <c r="J503" s="9">
        <f>ROUNDUP(H503+(H503*Assumptions!I$5),-2)</f>
        <v>10300</v>
      </c>
      <c r="K503" s="9">
        <f>ROUNDUP(J503+(J503*Assumptions!J$5),-2)</f>
        <v>10600</v>
      </c>
      <c r="L503" s="9">
        <f>ROUNDUP(K503+(K503*Assumptions!K$5),-2)</f>
        <v>10900</v>
      </c>
      <c r="M503" s="9">
        <f>ROUNDUP(L503+(L503*Assumptions!L$5),-2)</f>
        <v>11200</v>
      </c>
      <c r="N503" s="9">
        <f>ROUNDUP(M503+(M503*Assumptions!M$5),-2)</f>
        <v>11500</v>
      </c>
      <c r="O503" s="9">
        <f>ROUNDUP(N503+(N503*Assumptions!N$5),-2)</f>
        <v>11800</v>
      </c>
      <c r="P503" s="9">
        <f>ROUNDUP(O503+(O503*Assumptions!O$5),-2)</f>
        <v>12100</v>
      </c>
      <c r="Q503" s="9">
        <f>ROUNDUP(P503+(P503*Assumptions!P$5),-2)</f>
        <v>12500</v>
      </c>
      <c r="R503" s="9">
        <f>ROUNDUP(Q503+(Q503*Assumptions!Q$5),-2)</f>
        <v>12900</v>
      </c>
      <c r="S503" s="47">
        <f>ROUNDUP(R503+(R503*Assumptions!R$5),-2)</f>
        <v>13300</v>
      </c>
    </row>
    <row r="504" spans="1:19" s="34" customFormat="1" x14ac:dyDescent="0.2">
      <c r="A504" s="54">
        <v>71900</v>
      </c>
      <c r="B504" s="9">
        <v>57700</v>
      </c>
      <c r="C504" s="136">
        <v>57900</v>
      </c>
      <c r="D504" s="134">
        <v>94500</v>
      </c>
      <c r="E504" s="134">
        <v>139700</v>
      </c>
      <c r="F504" s="578" t="s">
        <v>1450</v>
      </c>
      <c r="G504" s="662" t="s">
        <v>3540</v>
      </c>
      <c r="H504" s="9">
        <v>93000</v>
      </c>
      <c r="I504" s="584">
        <f t="shared" si="461"/>
        <v>-33.428775948460988</v>
      </c>
      <c r="J504" s="9">
        <f>ROUNDUP(H504+(H504*Assumptions!I$5),-2)</f>
        <v>95200</v>
      </c>
      <c r="K504" s="9">
        <f>ROUNDUP(J504+(J504*Assumptions!J$5),-2)</f>
        <v>97600</v>
      </c>
      <c r="L504" s="9">
        <f>ROUNDUP(K504+(K504*Assumptions!K$5),-2)</f>
        <v>100100</v>
      </c>
      <c r="M504" s="9">
        <f>ROUNDUP(L504+(L504*Assumptions!L$5),-2)</f>
        <v>102700</v>
      </c>
      <c r="N504" s="9">
        <f>ROUNDUP(M504+(M504*Assumptions!M$5),-2)</f>
        <v>105300</v>
      </c>
      <c r="O504" s="9">
        <f>ROUNDUP(N504+(N504*Assumptions!N$5),-2)</f>
        <v>108000</v>
      </c>
      <c r="P504" s="9">
        <f>ROUNDUP(O504+(O504*Assumptions!O$5),-2)</f>
        <v>110700</v>
      </c>
      <c r="Q504" s="9">
        <f>ROUNDUP(P504+(P504*Assumptions!P$5),-2)</f>
        <v>113500</v>
      </c>
      <c r="R504" s="9">
        <f>ROUNDUP(Q504+(Q504*Assumptions!Q$5),-2)</f>
        <v>116400</v>
      </c>
      <c r="S504" s="47">
        <f>ROUNDUP(R504+(R504*Assumptions!R$5),-2)</f>
        <v>119400</v>
      </c>
    </row>
    <row r="505" spans="1:19" s="34" customFormat="1" x14ac:dyDescent="0.2">
      <c r="A505" s="54">
        <v>51400</v>
      </c>
      <c r="B505" s="9">
        <v>75800</v>
      </c>
      <c r="C505" s="136">
        <v>76100</v>
      </c>
      <c r="D505" s="134">
        <v>36800</v>
      </c>
      <c r="E505" s="134">
        <v>0</v>
      </c>
      <c r="F505" s="578" t="s">
        <v>1450</v>
      </c>
      <c r="G505" s="662" t="s">
        <v>6520</v>
      </c>
      <c r="H505" s="9">
        <v>67000</v>
      </c>
      <c r="I505" s="584">
        <f t="shared" si="461"/>
        <v>100</v>
      </c>
      <c r="J505" s="9">
        <f>ROUNDUP(H505+(H505*Assumptions!I$5),-2)</f>
        <v>68600</v>
      </c>
      <c r="K505" s="9">
        <f>ROUNDUP(J505+(J505*Assumptions!J$5),-2)</f>
        <v>70400</v>
      </c>
      <c r="L505" s="9">
        <f>ROUNDUP(K505+(K505*Assumptions!K$5),-2)</f>
        <v>72200</v>
      </c>
      <c r="M505" s="9">
        <f>ROUNDUP(L505+(L505*Assumptions!L$5),-2)</f>
        <v>74100</v>
      </c>
      <c r="N505" s="9">
        <f>ROUNDUP(M505+(M505*Assumptions!M$5),-2)</f>
        <v>76000</v>
      </c>
      <c r="O505" s="9">
        <f>ROUNDUP(N505+(N505*Assumptions!N$5),-2)</f>
        <v>77900</v>
      </c>
      <c r="P505" s="9">
        <f>ROUNDUP(O505+(O505*Assumptions!O$5),-2)</f>
        <v>79900</v>
      </c>
      <c r="Q505" s="9">
        <f>ROUNDUP(P505+(P505*Assumptions!P$5),-2)</f>
        <v>81900</v>
      </c>
      <c r="R505" s="9">
        <f>ROUNDUP(Q505+(Q505*Assumptions!Q$5),-2)</f>
        <v>84000</v>
      </c>
      <c r="S505" s="47">
        <f>ROUNDUP(R505+(R505*Assumptions!R$5),-2)</f>
        <v>86100</v>
      </c>
    </row>
    <row r="506" spans="1:19" s="34" customFormat="1" x14ac:dyDescent="0.2">
      <c r="A506" s="54">
        <v>101300</v>
      </c>
      <c r="B506" s="9">
        <v>77200</v>
      </c>
      <c r="C506" s="134">
        <v>15300</v>
      </c>
      <c r="D506" s="134">
        <v>0</v>
      </c>
      <c r="E506" s="136">
        <v>0</v>
      </c>
      <c r="F506" s="239" t="s">
        <v>175</v>
      </c>
      <c r="G506" s="371" t="s">
        <v>2738</v>
      </c>
      <c r="H506" s="9">
        <v>0</v>
      </c>
      <c r="I506" s="584">
        <f t="shared" si="461"/>
        <v>0</v>
      </c>
      <c r="J506" s="9">
        <f>ROUNDUP(H506+(H506*Assumptions!I$5),-2)</f>
        <v>0</v>
      </c>
      <c r="K506" s="9">
        <f>ROUNDUP(J506+(J506*Assumptions!J$5),-2)</f>
        <v>0</v>
      </c>
      <c r="L506" s="9">
        <f>ROUNDUP(K506+(K506*Assumptions!K$5),-2)</f>
        <v>0</v>
      </c>
      <c r="M506" s="9">
        <f>ROUNDUP(L506+(L506*Assumptions!L$5),-2)</f>
        <v>0</v>
      </c>
      <c r="N506" s="9">
        <f>ROUNDUP(M506+(M506*Assumptions!M$5),-2)</f>
        <v>0</v>
      </c>
      <c r="O506" s="9">
        <f>ROUNDUP(N506+(N506*Assumptions!N$5),-2)</f>
        <v>0</v>
      </c>
      <c r="P506" s="9">
        <f>ROUNDUP(O506+(O506*Assumptions!O$5),-2)</f>
        <v>0</v>
      </c>
      <c r="Q506" s="9">
        <f>ROUNDUP(P506+(P506*Assumptions!P$5),-2)</f>
        <v>0</v>
      </c>
      <c r="R506" s="9">
        <f>ROUNDUP(Q506+(Q506*Assumptions!Q$5),-2)</f>
        <v>0</v>
      </c>
      <c r="S506" s="47">
        <f>ROUNDUP(R506+(R506*Assumptions!R$5),-2)</f>
        <v>0</v>
      </c>
    </row>
    <row r="507" spans="1:19" s="34" customFormat="1" x14ac:dyDescent="0.2">
      <c r="A507" s="54">
        <v>4000</v>
      </c>
      <c r="B507" s="9">
        <v>2600</v>
      </c>
      <c r="C507" s="134">
        <v>4300</v>
      </c>
      <c r="D507" s="134">
        <v>0</v>
      </c>
      <c r="E507" s="136">
        <v>3000</v>
      </c>
      <c r="F507" s="578" t="s">
        <v>6336</v>
      </c>
      <c r="G507" s="371" t="s">
        <v>2739</v>
      </c>
      <c r="H507" s="9">
        <v>15000</v>
      </c>
      <c r="I507" s="584">
        <f t="shared" si="461"/>
        <v>400</v>
      </c>
      <c r="J507" s="9">
        <f>ROUNDUP(H507+(H507*Assumptions!I$5),-2)</f>
        <v>15400</v>
      </c>
      <c r="K507" s="9">
        <f>ROUNDUP(J507+(J507*Assumptions!J$5),-2)</f>
        <v>15800</v>
      </c>
      <c r="L507" s="9">
        <f>ROUNDUP(K507+(K507*Assumptions!K$5),-2)</f>
        <v>16200</v>
      </c>
      <c r="M507" s="9">
        <f>ROUNDUP(L507+(L507*Assumptions!L$5),-2)</f>
        <v>16700</v>
      </c>
      <c r="N507" s="9">
        <f>ROUNDUP(M507+(M507*Assumptions!M$5),-2)</f>
        <v>17200</v>
      </c>
      <c r="O507" s="9">
        <f>ROUNDUP(N507+(N507*Assumptions!N$5),-2)</f>
        <v>17700</v>
      </c>
      <c r="P507" s="9">
        <f>ROUNDUP(O507+(O507*Assumptions!O$5),-2)</f>
        <v>18200</v>
      </c>
      <c r="Q507" s="9">
        <f>ROUNDUP(P507+(P507*Assumptions!P$5),-2)</f>
        <v>18700</v>
      </c>
      <c r="R507" s="9">
        <f>ROUNDUP(Q507+(Q507*Assumptions!Q$5),-2)</f>
        <v>19200</v>
      </c>
      <c r="S507" s="47">
        <f>ROUNDUP(R507+(R507*Assumptions!R$5),-2)</f>
        <v>19700</v>
      </c>
    </row>
    <row r="508" spans="1:19" s="34" customFormat="1" x14ac:dyDescent="0.2">
      <c r="A508" s="54">
        <v>6800</v>
      </c>
      <c r="B508" s="9">
        <v>5700</v>
      </c>
      <c r="C508" s="136">
        <f>10000-5000</f>
        <v>5000</v>
      </c>
      <c r="D508" s="134">
        <f>5000-5000</f>
        <v>0</v>
      </c>
      <c r="E508" s="134">
        <v>4100</v>
      </c>
      <c r="F508" s="578" t="s">
        <v>7246</v>
      </c>
      <c r="G508" s="371" t="s">
        <v>2708</v>
      </c>
      <c r="H508" s="9">
        <v>7200</v>
      </c>
      <c r="I508" s="584">
        <f t="shared" si="461"/>
        <v>75.609756097560975</v>
      </c>
      <c r="J508" s="9">
        <f>ROUNDUP(H508+(H508*Assumptions!I$5),-2)</f>
        <v>7400</v>
      </c>
      <c r="K508" s="9">
        <f>ROUNDUP(J508+(J508*Assumptions!J$5),-2)</f>
        <v>7600</v>
      </c>
      <c r="L508" s="9">
        <f>ROUNDUP(K508+(K508*Assumptions!K$5),-2)</f>
        <v>7800</v>
      </c>
      <c r="M508" s="9">
        <f>ROUNDUP(L508+(L508*Assumptions!L$5),-2)</f>
        <v>8000</v>
      </c>
      <c r="N508" s="9">
        <f>ROUNDUP(M508+(M508*Assumptions!M$5),-2)</f>
        <v>8200</v>
      </c>
      <c r="O508" s="9">
        <f>ROUNDUP(N508+(N508*Assumptions!N$5),-2)</f>
        <v>8500</v>
      </c>
      <c r="P508" s="9">
        <f>ROUNDUP(O508+(O508*Assumptions!O$5),-2)</f>
        <v>8800</v>
      </c>
      <c r="Q508" s="9">
        <f>ROUNDUP(P508+(P508*Assumptions!P$5),-2)</f>
        <v>9100</v>
      </c>
      <c r="R508" s="9">
        <f>ROUNDUP(Q508+(Q508*Assumptions!Q$5),-2)</f>
        <v>9400</v>
      </c>
      <c r="S508" s="47">
        <f>ROUNDUP(R508+(R508*Assumptions!R$5),-2)</f>
        <v>9700</v>
      </c>
    </row>
    <row r="509" spans="1:19" s="34" customFormat="1" x14ac:dyDescent="0.2">
      <c r="A509" s="54">
        <v>137500</v>
      </c>
      <c r="B509" s="79">
        <v>72700</v>
      </c>
      <c r="C509" s="136">
        <v>66800</v>
      </c>
      <c r="D509" s="134">
        <f>34000+18000+24000-7000-1600</f>
        <v>67400</v>
      </c>
      <c r="E509" s="136">
        <f>17900+5000+1700+5100+6400+5100+23600+300</f>
        <v>65100</v>
      </c>
      <c r="F509" s="239" t="s">
        <v>1009</v>
      </c>
      <c r="G509" s="371" t="s">
        <v>100</v>
      </c>
      <c r="H509" s="9">
        <v>102000</v>
      </c>
      <c r="I509" s="584">
        <f t="shared" si="461"/>
        <v>56.682027649769587</v>
      </c>
      <c r="J509" s="9">
        <f>ROUNDUP(H509+(H509*Assumptions!I$5),-2)</f>
        <v>104400</v>
      </c>
      <c r="K509" s="9">
        <f>ROUNDUP(J509+(J509*Assumptions!J$5),-2)</f>
        <v>107100</v>
      </c>
      <c r="L509" s="9">
        <f>ROUNDUP(K509+(K509*Assumptions!K$5),-2)</f>
        <v>109800</v>
      </c>
      <c r="M509" s="9">
        <f>ROUNDUP(L509+(L509*Assumptions!L$5),-2)</f>
        <v>112600</v>
      </c>
      <c r="N509" s="9">
        <f>ROUNDUP(M509+(M509*Assumptions!M$5),-2)</f>
        <v>115500</v>
      </c>
      <c r="O509" s="9">
        <f>ROUNDUP(N509+(N509*Assumptions!N$5),-2)</f>
        <v>118400</v>
      </c>
      <c r="P509" s="9">
        <f>ROUNDUP(O509+(O509*Assumptions!O$5),-2)</f>
        <v>121400</v>
      </c>
      <c r="Q509" s="9">
        <f>ROUNDUP(P509+(P509*Assumptions!P$5),-2)</f>
        <v>124500</v>
      </c>
      <c r="R509" s="9">
        <f>ROUNDUP(Q509+(Q509*Assumptions!Q$5),-2)</f>
        <v>127700</v>
      </c>
      <c r="S509" s="47">
        <f>ROUNDUP(R509+(R509*Assumptions!R$5),-2)</f>
        <v>130900</v>
      </c>
    </row>
    <row r="510" spans="1:19" s="34" customFormat="1" x14ac:dyDescent="0.2">
      <c r="A510" s="54">
        <v>9000</v>
      </c>
      <c r="B510" s="9">
        <v>10700</v>
      </c>
      <c r="C510" s="136">
        <v>7100</v>
      </c>
      <c r="D510" s="134">
        <v>7000</v>
      </c>
      <c r="E510" s="136">
        <v>6200</v>
      </c>
      <c r="F510" s="239" t="s">
        <v>307</v>
      </c>
      <c r="G510" s="662" t="s">
        <v>1451</v>
      </c>
      <c r="H510" s="9">
        <v>10000</v>
      </c>
      <c r="I510" s="584">
        <f t="shared" si="461"/>
        <v>61.29032258064516</v>
      </c>
      <c r="J510" s="9">
        <f>ROUNDUP(H510+(H510*Assumptions!I$5),-2)</f>
        <v>10300</v>
      </c>
      <c r="K510" s="9">
        <f>ROUNDUP(J510+(J510*Assumptions!J$5),-2)</f>
        <v>10600</v>
      </c>
      <c r="L510" s="9">
        <f>ROUNDUP(K510+(K510*Assumptions!K$5),-2)</f>
        <v>10900</v>
      </c>
      <c r="M510" s="9">
        <f>ROUNDUP(L510+(L510*Assumptions!L$5),-2)</f>
        <v>11200</v>
      </c>
      <c r="N510" s="9">
        <f>ROUNDUP(M510+(M510*Assumptions!M$5),-2)</f>
        <v>11500</v>
      </c>
      <c r="O510" s="9">
        <f>ROUNDUP(N510+(N510*Assumptions!N$5),-2)</f>
        <v>11800</v>
      </c>
      <c r="P510" s="9">
        <f>ROUNDUP(O510+(O510*Assumptions!O$5),-2)</f>
        <v>12100</v>
      </c>
      <c r="Q510" s="9">
        <f>ROUNDUP(P510+(P510*Assumptions!P$5),-2)</f>
        <v>12500</v>
      </c>
      <c r="R510" s="9">
        <f>ROUNDUP(Q510+(Q510*Assumptions!Q$5),-2)</f>
        <v>12900</v>
      </c>
      <c r="S510" s="47">
        <f>ROUNDUP(R510+(R510*Assumptions!R$5),-2)</f>
        <v>13300</v>
      </c>
    </row>
    <row r="511" spans="1:19" s="34" customFormat="1" x14ac:dyDescent="0.2">
      <c r="A511" s="54"/>
      <c r="B511" s="9"/>
      <c r="C511" s="136"/>
      <c r="D511" s="134"/>
      <c r="E511" s="136"/>
      <c r="F511" s="577"/>
      <c r="G511" s="912" t="s">
        <v>5984</v>
      </c>
      <c r="H511" s="134"/>
      <c r="I511" s="584"/>
      <c r="J511" s="9"/>
      <c r="K511" s="9"/>
      <c r="L511" s="9"/>
      <c r="M511" s="9"/>
      <c r="N511" s="9"/>
      <c r="O511" s="9"/>
      <c r="P511" s="89"/>
      <c r="Q511" s="9"/>
      <c r="R511" s="9"/>
      <c r="S511" s="47"/>
    </row>
    <row r="512" spans="1:19" s="34" customFormat="1" x14ac:dyDescent="0.2">
      <c r="A512" s="54">
        <v>0</v>
      </c>
      <c r="B512" s="9">
        <v>0</v>
      </c>
      <c r="C512" s="136">
        <v>0</v>
      </c>
      <c r="D512" s="134">
        <v>58200</v>
      </c>
      <c r="E512" s="136">
        <f>37700+7000+18500</f>
        <v>63200</v>
      </c>
      <c r="F512" s="577" t="s">
        <v>6546</v>
      </c>
      <c r="G512" s="662" t="s">
        <v>6550</v>
      </c>
      <c r="H512" s="9">
        <v>199000</v>
      </c>
      <c r="I512" s="584">
        <f>IF(E512=H512,0,IF(E512=0,100,(H512-E512)/E512*100))</f>
        <v>214.87341772151899</v>
      </c>
      <c r="J512" s="9">
        <f>ROUNDUP(H512+(H512*Assumptions!I$5),-2)</f>
        <v>203600</v>
      </c>
      <c r="K512" s="9">
        <f>ROUNDUP(J512+(J512*Assumptions!J$5),-2)</f>
        <v>208700</v>
      </c>
      <c r="L512" s="9">
        <f>ROUNDUP(K512+(K512*Assumptions!K$5),-2)</f>
        <v>214000</v>
      </c>
      <c r="M512" s="9">
        <f>ROUNDUP(L512+(L512*Assumptions!L$5),-2)</f>
        <v>219400</v>
      </c>
      <c r="N512" s="9">
        <f>ROUNDUP(M512+(M512*Assumptions!M$5),-2)</f>
        <v>224900</v>
      </c>
      <c r="O512" s="9">
        <f>ROUNDUP(N512+(N512*Assumptions!N$5),-2)</f>
        <v>230600</v>
      </c>
      <c r="P512" s="9">
        <f>ROUNDUP(O512+(O512*Assumptions!O$5),-2)</f>
        <v>236400</v>
      </c>
      <c r="Q512" s="9">
        <f>ROUNDUP(P512+(P512*Assumptions!P$5),-2)</f>
        <v>242400</v>
      </c>
      <c r="R512" s="9">
        <f>ROUNDUP(Q512+(Q512*Assumptions!Q$5),-2)</f>
        <v>248500</v>
      </c>
      <c r="S512" s="47">
        <f>ROUNDUP(R512+(R512*Assumptions!R$5),-2)</f>
        <v>254800</v>
      </c>
    </row>
    <row r="513" spans="1:21" s="34" customFormat="1" x14ac:dyDescent="0.2">
      <c r="A513" s="54">
        <v>0</v>
      </c>
      <c r="B513" s="9">
        <v>0</v>
      </c>
      <c r="C513" s="134">
        <v>0</v>
      </c>
      <c r="D513" s="134">
        <v>0</v>
      </c>
      <c r="E513" s="136">
        <v>0</v>
      </c>
      <c r="F513" s="578" t="s">
        <v>6930</v>
      </c>
      <c r="G513" s="662" t="s">
        <v>4907</v>
      </c>
      <c r="H513" s="9">
        <v>31500</v>
      </c>
      <c r="I513" s="584">
        <f>IF(E513=H513,0,IF(E513=0,100,(H513-E513)/E513*100))</f>
        <v>100</v>
      </c>
      <c r="J513" s="9">
        <f>ROUNDUP(H513+(H513*Assumptions!I$5),-2)</f>
        <v>32300</v>
      </c>
      <c r="K513" s="9">
        <f>ROUNDUP(J513+(J513*Assumptions!J$5),-2)</f>
        <v>33200</v>
      </c>
      <c r="L513" s="9">
        <f>ROUNDUP(K513+(K513*Assumptions!K$5),-2)</f>
        <v>34100</v>
      </c>
      <c r="M513" s="9">
        <f>ROUNDUP(L513+(L513*Assumptions!L$5),-2)</f>
        <v>35000</v>
      </c>
      <c r="N513" s="9">
        <f>ROUNDUP(M513+(M513*Assumptions!M$5),-2)</f>
        <v>35900</v>
      </c>
      <c r="O513" s="9">
        <f>ROUNDUP(N513+(N513*Assumptions!N$5),-2)</f>
        <v>36800</v>
      </c>
      <c r="P513" s="9">
        <f>ROUNDUP(O513+(O513*Assumptions!O$5),-2)</f>
        <v>37800</v>
      </c>
      <c r="Q513" s="9">
        <f>ROUNDUP(P513+(P513*Assumptions!P$5),-2)</f>
        <v>38800</v>
      </c>
      <c r="R513" s="9">
        <f>ROUNDUP(Q513+(Q513*Assumptions!Q$5),-2)</f>
        <v>39800</v>
      </c>
      <c r="S513" s="47">
        <f>ROUNDUP(R513+(R513*Assumptions!R$5),-2)</f>
        <v>40800</v>
      </c>
    </row>
    <row r="514" spans="1:21" s="34" customFormat="1" x14ac:dyDescent="0.2">
      <c r="A514" s="54">
        <v>0</v>
      </c>
      <c r="B514" s="9">
        <v>0</v>
      </c>
      <c r="C514" s="136">
        <v>0</v>
      </c>
      <c r="D514" s="134">
        <v>500</v>
      </c>
      <c r="E514" s="136">
        <v>4100</v>
      </c>
      <c r="F514" s="577" t="s">
        <v>6547</v>
      </c>
      <c r="G514" s="662" t="s">
        <v>6551</v>
      </c>
      <c r="H514" s="9">
        <v>0</v>
      </c>
      <c r="I514" s="584">
        <f>IF(E514=H514,0,IF(E514=0,100,(H514-E514)/E514*100))</f>
        <v>-100</v>
      </c>
      <c r="J514" s="9">
        <f>ROUNDUP(H514+(H514*Assumptions!I$5),-2)</f>
        <v>0</v>
      </c>
      <c r="K514" s="9">
        <f>ROUNDUP(J514+(J514*Assumptions!J$5),-2)</f>
        <v>0</v>
      </c>
      <c r="L514" s="9">
        <f>ROUNDUP(K514+(K514*Assumptions!K$5),-2)</f>
        <v>0</v>
      </c>
      <c r="M514" s="9">
        <f>ROUNDUP(L514+(L514*Assumptions!L$5),-2)</f>
        <v>0</v>
      </c>
      <c r="N514" s="9">
        <f>ROUNDUP(M514+(M514*Assumptions!M$5),-2)</f>
        <v>0</v>
      </c>
      <c r="O514" s="9">
        <f>ROUNDUP(N514+(N514*Assumptions!N$5),-2)</f>
        <v>0</v>
      </c>
      <c r="P514" s="9">
        <f>ROUNDUP(O514+(O514*Assumptions!O$5),-2)</f>
        <v>0</v>
      </c>
      <c r="Q514" s="9">
        <f>ROUNDUP(P514+(P514*Assumptions!P$5),-2)</f>
        <v>0</v>
      </c>
      <c r="R514" s="9">
        <f>ROUNDUP(Q514+(Q514*Assumptions!Q$5),-2)</f>
        <v>0</v>
      </c>
      <c r="S514" s="47">
        <f>ROUNDUP(R514+(R514*Assumptions!R$5),-2)</f>
        <v>0</v>
      </c>
    </row>
    <row r="515" spans="1:21" s="34" customFormat="1" x14ac:dyDescent="0.2">
      <c r="A515" s="54">
        <v>0</v>
      </c>
      <c r="B515" s="9">
        <v>0</v>
      </c>
      <c r="C515" s="136">
        <v>0</v>
      </c>
      <c r="D515" s="134">
        <v>14500</v>
      </c>
      <c r="E515" s="136">
        <v>9500</v>
      </c>
      <c r="F515" s="577" t="s">
        <v>6548</v>
      </c>
      <c r="G515" s="662" t="s">
        <v>6552</v>
      </c>
      <c r="H515" s="9">
        <v>0</v>
      </c>
      <c r="I515" s="584">
        <f>IF(E515=H515,0,IF(E515=0,100,(H515-E515)/E515*100))</f>
        <v>-100</v>
      </c>
      <c r="J515" s="9">
        <f>ROUNDUP(H515+(H515*Assumptions!I$5),-2)</f>
        <v>0</v>
      </c>
      <c r="K515" s="9">
        <f>ROUNDUP(J515+(J515*Assumptions!J$5),-2)</f>
        <v>0</v>
      </c>
      <c r="L515" s="9">
        <f>ROUNDUP(K515+(K515*Assumptions!K$5),-2)</f>
        <v>0</v>
      </c>
      <c r="M515" s="9">
        <f>ROUNDUP(L515+(L515*Assumptions!L$5),-2)</f>
        <v>0</v>
      </c>
      <c r="N515" s="9">
        <f>ROUNDUP(M515+(M515*Assumptions!M$5),-2)</f>
        <v>0</v>
      </c>
      <c r="O515" s="9">
        <f>ROUNDUP(N515+(N515*Assumptions!N$5),-2)</f>
        <v>0</v>
      </c>
      <c r="P515" s="9">
        <f>ROUNDUP(O515+(O515*Assumptions!O$5),-2)</f>
        <v>0</v>
      </c>
      <c r="Q515" s="9">
        <f>ROUNDUP(P515+(P515*Assumptions!P$5),-2)</f>
        <v>0</v>
      </c>
      <c r="R515" s="9">
        <f>ROUNDUP(Q515+(Q515*Assumptions!Q$5),-2)</f>
        <v>0</v>
      </c>
      <c r="S515" s="47">
        <f>ROUNDUP(R515+(R515*Assumptions!R$5),-2)</f>
        <v>0</v>
      </c>
    </row>
    <row r="516" spans="1:21" s="34" customFormat="1" x14ac:dyDescent="0.2">
      <c r="A516" s="54">
        <v>0</v>
      </c>
      <c r="B516" s="9">
        <v>0</v>
      </c>
      <c r="C516" s="136">
        <v>0</v>
      </c>
      <c r="D516" s="134">
        <v>21600</v>
      </c>
      <c r="E516" s="136">
        <v>2400</v>
      </c>
      <c r="F516" s="577" t="s">
        <v>6549</v>
      </c>
      <c r="G516" s="662" t="s">
        <v>6553</v>
      </c>
      <c r="H516" s="9">
        <v>0</v>
      </c>
      <c r="I516" s="584">
        <f>IF(E516=H516,0,IF(E516=0,100,(H516-E516)/E516*100))</f>
        <v>-100</v>
      </c>
      <c r="J516" s="9">
        <f>ROUNDUP(H516+(H516*Assumptions!I$5),-2)</f>
        <v>0</v>
      </c>
      <c r="K516" s="9">
        <f>ROUNDUP(J516+(J516*Assumptions!J$5),-2)</f>
        <v>0</v>
      </c>
      <c r="L516" s="9">
        <f>ROUNDUP(K516+(K516*Assumptions!K$5),-2)</f>
        <v>0</v>
      </c>
      <c r="M516" s="9">
        <f>ROUNDUP(L516+(L516*Assumptions!L$5),-2)</f>
        <v>0</v>
      </c>
      <c r="N516" s="9">
        <f>ROUNDUP(M516+(M516*Assumptions!M$5),-2)</f>
        <v>0</v>
      </c>
      <c r="O516" s="9">
        <f>ROUNDUP(N516+(N516*Assumptions!N$5),-2)</f>
        <v>0</v>
      </c>
      <c r="P516" s="9">
        <f>ROUNDUP(O516+(O516*Assumptions!O$5),-2)</f>
        <v>0</v>
      </c>
      <c r="Q516" s="9">
        <f>ROUNDUP(P516+(P516*Assumptions!P$5),-2)</f>
        <v>0</v>
      </c>
      <c r="R516" s="9">
        <f>ROUNDUP(Q516+(Q516*Assumptions!Q$5),-2)</f>
        <v>0</v>
      </c>
      <c r="S516" s="47">
        <f>ROUNDUP(R516+(R516*Assumptions!R$5),-2)</f>
        <v>0</v>
      </c>
    </row>
    <row r="517" spans="1:21" s="34" customFormat="1" x14ac:dyDescent="0.2">
      <c r="A517" s="54"/>
      <c r="B517" s="9"/>
      <c r="C517" s="134"/>
      <c r="D517" s="134"/>
      <c r="E517" s="136"/>
      <c r="F517" s="1153"/>
      <c r="G517" s="9"/>
      <c r="H517" s="134"/>
      <c r="I517" s="584"/>
      <c r="J517" s="9"/>
      <c r="K517" s="9"/>
      <c r="L517" s="9"/>
      <c r="M517" s="9"/>
      <c r="N517" s="9"/>
      <c r="O517" s="9"/>
      <c r="P517" s="89"/>
      <c r="Q517" s="9"/>
      <c r="R517" s="9"/>
      <c r="S517" s="47"/>
    </row>
    <row r="518" spans="1:21" s="34" customFormat="1" x14ac:dyDescent="0.2">
      <c r="A518" s="54"/>
      <c r="B518" s="9"/>
      <c r="C518" s="134"/>
      <c r="D518" s="134"/>
      <c r="E518" s="136"/>
      <c r="F518" s="1153"/>
      <c r="G518" s="21" t="s">
        <v>1112</v>
      </c>
      <c r="H518" s="9"/>
      <c r="I518" s="584"/>
      <c r="J518" s="9"/>
      <c r="K518" s="9"/>
      <c r="L518" s="9"/>
      <c r="M518" s="9"/>
      <c r="N518" s="9"/>
      <c r="O518" s="9"/>
      <c r="P518" s="89"/>
      <c r="Q518" s="9"/>
      <c r="R518" s="9"/>
      <c r="S518" s="47"/>
    </row>
    <row r="519" spans="1:21" s="34" customFormat="1" x14ac:dyDescent="0.2">
      <c r="A519" s="54">
        <v>3266700</v>
      </c>
      <c r="B519" s="9">
        <v>4766800</v>
      </c>
      <c r="C519" s="9">
        <v>4647600</v>
      </c>
      <c r="D519" s="136">
        <f>ROUND('Debt-WW'!K16,-2)</f>
        <v>4358200</v>
      </c>
      <c r="E519" s="136">
        <v>4199300</v>
      </c>
      <c r="F519" s="239" t="s">
        <v>2700</v>
      </c>
      <c r="G519" s="9" t="s">
        <v>1343</v>
      </c>
      <c r="H519" s="9">
        <v>4055900</v>
      </c>
      <c r="I519" s="584">
        <f>IF(E519=H519,0,IF(E519=0,100,(H519-E519)/E519*100))</f>
        <v>-3.4148548567618411</v>
      </c>
      <c r="J519" s="9">
        <f>ROUND('Debt-WW'!Q16,-2)</f>
        <v>3744300</v>
      </c>
      <c r="K519" s="9">
        <f>ROUND('Debt-WW'!S16,-2)</f>
        <v>3598000</v>
      </c>
      <c r="L519" s="9">
        <f>ROUND('Debt-WW'!U16,-2)</f>
        <v>3439800</v>
      </c>
      <c r="M519" s="9">
        <f>ROUND('Debt-WW'!W16,-2)</f>
        <v>3239200</v>
      </c>
      <c r="N519" s="9">
        <f>ROUND('Debt-WW'!Y16,-2)</f>
        <v>3049200</v>
      </c>
      <c r="O519" s="9">
        <f>ROUND('Debt-WW'!AA16,-2)</f>
        <v>2856300</v>
      </c>
      <c r="P519" s="89">
        <f>ROUND('Debt-WW'!AC16,-2)</f>
        <v>2658300</v>
      </c>
      <c r="Q519" s="9">
        <f>ROUND('Debt-WW'!AE16,-2)</f>
        <v>2463300</v>
      </c>
      <c r="R519" s="9">
        <f>ROUND('Debt-WW'!AG16,-2)</f>
        <v>2266300</v>
      </c>
      <c r="S519" s="47">
        <f>ROUND('Debt-WW'!AI16,-2)</f>
        <v>2068300</v>
      </c>
    </row>
    <row r="520" spans="1:21" s="34" customFormat="1" x14ac:dyDescent="0.2">
      <c r="A520" s="54"/>
      <c r="B520" s="9"/>
      <c r="C520" s="136"/>
      <c r="D520" s="134"/>
      <c r="E520" s="134"/>
      <c r="F520" s="1157"/>
      <c r="G520" s="9"/>
      <c r="H520" s="9"/>
      <c r="I520" s="584"/>
      <c r="J520" s="9"/>
      <c r="K520" s="9"/>
      <c r="L520" s="9"/>
      <c r="M520" s="9"/>
      <c r="N520" s="9"/>
      <c r="O520" s="9"/>
      <c r="P520" s="89"/>
      <c r="Q520" s="9"/>
      <c r="R520" s="9"/>
      <c r="S520" s="47"/>
    </row>
    <row r="521" spans="1:21" s="34" customFormat="1" x14ac:dyDescent="0.2">
      <c r="A521" s="54"/>
      <c r="B521" s="9"/>
      <c r="C521" s="136"/>
      <c r="D521" s="134"/>
      <c r="E521" s="134"/>
      <c r="F521" s="1153"/>
      <c r="G521" s="21" t="s">
        <v>261</v>
      </c>
      <c r="H521" s="9"/>
      <c r="I521" s="584"/>
      <c r="J521" s="9"/>
      <c r="K521" s="9"/>
      <c r="L521" s="9"/>
      <c r="M521" s="9"/>
      <c r="N521" s="9"/>
      <c r="O521" s="9"/>
      <c r="P521" s="89"/>
      <c r="Q521" s="9"/>
      <c r="R521" s="9"/>
      <c r="S521" s="47"/>
    </row>
    <row r="522" spans="1:21" s="34" customFormat="1" x14ac:dyDescent="0.2">
      <c r="A522" s="54">
        <v>2841000</v>
      </c>
      <c r="B522" s="9">
        <v>2643100</v>
      </c>
      <c r="C522" s="136">
        <v>2314300</v>
      </c>
      <c r="D522" s="134">
        <v>3531900</v>
      </c>
      <c r="E522" s="134">
        <v>3573300</v>
      </c>
      <c r="F522" s="239" t="s">
        <v>1532</v>
      </c>
      <c r="G522" s="9" t="s">
        <v>2035</v>
      </c>
      <c r="H522" s="134">
        <v>3775000</v>
      </c>
      <c r="I522" s="584">
        <f>IF(E522=H522,0,IF(E522=0,100,(H522-E522)/E522*100))</f>
        <v>5.6446422074832787</v>
      </c>
      <c r="J522" s="9">
        <f>ROUND(H522+(H522*Assumptions!I$18),-3)</f>
        <v>3851000</v>
      </c>
      <c r="K522" s="9">
        <f>ROUND(J522+(J522*Assumptions!J$18),-3)</f>
        <v>3928000</v>
      </c>
      <c r="L522" s="9">
        <f>ROUND(K522+(K522*Assumptions!K$18),-3)</f>
        <v>4007000</v>
      </c>
      <c r="M522" s="9">
        <f>ROUND(L522+(L522*Assumptions!L$18),-3)</f>
        <v>4087000</v>
      </c>
      <c r="N522" s="9">
        <f>ROUND(M522+(M522*Assumptions!M$18),-3)</f>
        <v>4169000</v>
      </c>
      <c r="O522" s="9">
        <f>ROUND(N522+(N522*Assumptions!N$18),-3)</f>
        <v>4252000</v>
      </c>
      <c r="P522" s="89">
        <f>ROUND(O522+(O522*Assumptions!O$18),-3)</f>
        <v>4337000</v>
      </c>
      <c r="Q522" s="9">
        <f>ROUND(P522+(P522*Assumptions!P$18),-3)</f>
        <v>4424000</v>
      </c>
      <c r="R522" s="9">
        <f>ROUND(Q522+(Q522*Assumptions!Q$18),-3)</f>
        <v>4512000</v>
      </c>
      <c r="S522" s="47">
        <f>ROUND(R522+(R522*Assumptions!R$18),-3)</f>
        <v>4602000</v>
      </c>
    </row>
    <row r="523" spans="1:21" s="34" customFormat="1" x14ac:dyDescent="0.2">
      <c r="A523" s="54">
        <v>1595500</v>
      </c>
      <c r="B523" s="9">
        <v>20300</v>
      </c>
      <c r="C523" s="136">
        <v>12216800</v>
      </c>
      <c r="D523" s="134">
        <v>10800</v>
      </c>
      <c r="E523" s="134">
        <v>416400</v>
      </c>
      <c r="F523" s="578" t="s">
        <v>4418</v>
      </c>
      <c r="G523" s="662" t="s">
        <v>4427</v>
      </c>
      <c r="H523" s="9">
        <v>0</v>
      </c>
      <c r="I523" s="584">
        <f>IF(E523=H523,0,IF(E523=0,100,(H523-E523)/E523*100))</f>
        <v>-100</v>
      </c>
      <c r="J523" s="9">
        <f>ROUNDUP(H523+(H523*Assumptions!I$5),-2)</f>
        <v>0</v>
      </c>
      <c r="K523" s="9">
        <f>ROUNDUP(J523+(J523*Assumptions!J$5),-2)</f>
        <v>0</v>
      </c>
      <c r="L523" s="9">
        <f>ROUNDUP(K523+(K523*Assumptions!K$5),-2)</f>
        <v>0</v>
      </c>
      <c r="M523" s="9">
        <f>ROUNDUP(L523+(L523*Assumptions!L$5),-2)</f>
        <v>0</v>
      </c>
      <c r="N523" s="9">
        <f>ROUNDUP(M523+(M523*Assumptions!M$5),-2)</f>
        <v>0</v>
      </c>
      <c r="O523" s="9">
        <f>ROUNDUP(N523+(N523*Assumptions!N$5),-2)</f>
        <v>0</v>
      </c>
      <c r="P523" s="89">
        <f>ROUNDUP(O523+(O523*Assumptions!O$5),-2)</f>
        <v>0</v>
      </c>
      <c r="Q523" s="9">
        <f>ROUNDUP(P523+(P523*Assumptions!P$5),-2)</f>
        <v>0</v>
      </c>
      <c r="R523" s="9">
        <f>ROUNDUP(Q523+(Q523*Assumptions!Q$5),-2)</f>
        <v>0</v>
      </c>
      <c r="S523" s="47">
        <f>ROUNDUP(R523+(R523*Assumptions!R$5),-2)</f>
        <v>0</v>
      </c>
    </row>
    <row r="524" spans="1:21" s="34" customFormat="1" x14ac:dyDescent="0.2">
      <c r="A524" s="54">
        <v>435600</v>
      </c>
      <c r="B524" s="9">
        <v>394000</v>
      </c>
      <c r="C524" s="9">
        <v>349200</v>
      </c>
      <c r="D524" s="134">
        <v>301100</v>
      </c>
      <c r="E524" s="136">
        <v>249300</v>
      </c>
      <c r="F524" s="239" t="s">
        <v>387</v>
      </c>
      <c r="G524" s="79" t="s">
        <v>1246</v>
      </c>
      <c r="H524" s="9">
        <v>194000</v>
      </c>
      <c r="I524" s="584">
        <f>IF(E524=H524,0,IF(E524=0,100,(H524-E524)/E524*100))</f>
        <v>-22.182109907741676</v>
      </c>
      <c r="J524" s="9">
        <v>134000</v>
      </c>
      <c r="K524" s="9">
        <v>69000</v>
      </c>
      <c r="L524" s="9">
        <v>0</v>
      </c>
      <c r="M524" s="9">
        <v>0</v>
      </c>
      <c r="N524" s="9">
        <v>0</v>
      </c>
      <c r="O524" s="9">
        <v>0</v>
      </c>
      <c r="P524" s="89">
        <v>0</v>
      </c>
      <c r="Q524" s="9">
        <v>0</v>
      </c>
      <c r="R524" s="9">
        <v>0</v>
      </c>
      <c r="S524" s="47">
        <v>0</v>
      </c>
    </row>
    <row r="525" spans="1:21" s="34" customFormat="1" ht="13.5" thickBot="1" x14ac:dyDescent="0.25">
      <c r="A525" s="54"/>
      <c r="B525" s="9"/>
      <c r="C525" s="136"/>
      <c r="D525" s="134"/>
      <c r="E525" s="134"/>
      <c r="F525" s="1157"/>
      <c r="G525" s="257"/>
      <c r="H525" s="9"/>
      <c r="I525" s="584"/>
      <c r="J525" s="9"/>
      <c r="K525" s="9"/>
      <c r="L525" s="9"/>
      <c r="M525" s="9"/>
      <c r="N525" s="9"/>
      <c r="O525" s="9"/>
      <c r="P525" s="89"/>
      <c r="Q525" s="9"/>
      <c r="R525" s="9"/>
      <c r="S525" s="47"/>
    </row>
    <row r="526" spans="1:21" s="39" customFormat="1" x14ac:dyDescent="0.2">
      <c r="A526" s="52">
        <f>SUM(A394:A525)</f>
        <v>17499300</v>
      </c>
      <c r="B526" s="16">
        <f>SUM(B394:B525)</f>
        <v>17044400</v>
      </c>
      <c r="C526" s="137">
        <f>SUM(C394:C525)</f>
        <v>28747200</v>
      </c>
      <c r="D526" s="145">
        <f>SUM(D394:D525)</f>
        <v>17312700</v>
      </c>
      <c r="E526" s="145">
        <f>SUM(E394:E525)</f>
        <v>18133500</v>
      </c>
      <c r="F526" s="1182"/>
      <c r="G526" s="267" t="s">
        <v>556</v>
      </c>
      <c r="H526" s="16">
        <f>SUM(H394:H525)</f>
        <v>17797300</v>
      </c>
      <c r="I526" s="391">
        <f>IF(E526=H526,0,IF(E526=0,100,(H526-E526)/E526*100))</f>
        <v>-1.8540270769570131</v>
      </c>
      <c r="J526" s="16">
        <f t="shared" ref="J526:S526" si="462">SUM(J394:J525)</f>
        <v>17653400</v>
      </c>
      <c r="K526" s="16">
        <f t="shared" si="462"/>
        <v>17769900</v>
      </c>
      <c r="L526" s="16">
        <f t="shared" si="462"/>
        <v>17878100</v>
      </c>
      <c r="M526" s="16">
        <f t="shared" si="462"/>
        <v>18035400</v>
      </c>
      <c r="N526" s="16">
        <f t="shared" si="462"/>
        <v>18232100</v>
      </c>
      <c r="O526" s="16">
        <f t="shared" si="462"/>
        <v>18348000</v>
      </c>
      <c r="P526" s="102">
        <f t="shared" si="462"/>
        <v>18517300</v>
      </c>
      <c r="Q526" s="16">
        <f t="shared" si="462"/>
        <v>18631100</v>
      </c>
      <c r="R526" s="16">
        <f t="shared" si="462"/>
        <v>18832800</v>
      </c>
      <c r="S526" s="2342">
        <f t="shared" si="462"/>
        <v>19052200</v>
      </c>
      <c r="U526" s="34"/>
    </row>
    <row r="527" spans="1:21" s="34" customFormat="1" x14ac:dyDescent="0.2">
      <c r="A527" s="54"/>
      <c r="B527" s="9"/>
      <c r="C527" s="136"/>
      <c r="D527" s="134"/>
      <c r="E527" s="134"/>
      <c r="F527" s="1157"/>
      <c r="G527" s="257"/>
      <c r="H527" s="9"/>
      <c r="I527" s="584"/>
      <c r="J527" s="9"/>
      <c r="K527" s="9"/>
      <c r="L527" s="9"/>
      <c r="M527" s="9"/>
      <c r="N527" s="9"/>
      <c r="O527" s="9"/>
      <c r="P527" s="89"/>
      <c r="Q527" s="9"/>
      <c r="R527" s="9"/>
      <c r="S527" s="47"/>
    </row>
    <row r="528" spans="1:21" s="39" customFormat="1" x14ac:dyDescent="0.2">
      <c r="A528" s="24">
        <f>A392-A526</f>
        <v>-3712700</v>
      </c>
      <c r="B528" s="21">
        <f>B392-B526</f>
        <v>-2581600</v>
      </c>
      <c r="C528" s="139">
        <f>C392-C526</f>
        <v>-13391300</v>
      </c>
      <c r="D528" s="138">
        <f>D392-D526</f>
        <v>-963600</v>
      </c>
      <c r="E528" s="138">
        <f>E392-E526</f>
        <v>-246000</v>
      </c>
      <c r="F528" s="1182"/>
      <c r="G528" s="361" t="s">
        <v>1002</v>
      </c>
      <c r="H528" s="21">
        <f>H392-H526</f>
        <v>421100</v>
      </c>
      <c r="I528" s="220">
        <f>IF(E528=H528,0,IF(E528=0,100,(H528-E528)/E528*100))</f>
        <v>-271.17886178861789</v>
      </c>
      <c r="J528" s="21">
        <f t="shared" ref="J528:S528" si="463">J392-J526</f>
        <v>1016800</v>
      </c>
      <c r="K528" s="21">
        <f t="shared" si="463"/>
        <v>1347800</v>
      </c>
      <c r="L528" s="21">
        <f t="shared" si="463"/>
        <v>1723200</v>
      </c>
      <c r="M528" s="21">
        <f t="shared" si="463"/>
        <v>2105600</v>
      </c>
      <c r="N528" s="21">
        <f t="shared" si="463"/>
        <v>2412200</v>
      </c>
      <c r="O528" s="21">
        <f t="shared" si="463"/>
        <v>2796000</v>
      </c>
      <c r="P528" s="75">
        <f t="shared" si="463"/>
        <v>3202500</v>
      </c>
      <c r="Q528" s="21">
        <f t="shared" si="463"/>
        <v>3652000</v>
      </c>
      <c r="R528" s="21">
        <f t="shared" si="463"/>
        <v>4122300</v>
      </c>
      <c r="S528" s="86">
        <f t="shared" si="463"/>
        <v>4599100</v>
      </c>
      <c r="U528" s="34"/>
    </row>
    <row r="529" spans="1:21" s="34" customFormat="1" x14ac:dyDescent="0.2">
      <c r="A529" s="54">
        <f t="shared" ref="A529:B529" si="464">A522</f>
        <v>2841000</v>
      </c>
      <c r="B529" s="9">
        <f t="shared" si="464"/>
        <v>2643100</v>
      </c>
      <c r="C529" s="136">
        <f t="shared" ref="C529:E531" si="465">C522</f>
        <v>2314300</v>
      </c>
      <c r="D529" s="134">
        <f t="shared" si="465"/>
        <v>3531900</v>
      </c>
      <c r="E529" s="134">
        <f t="shared" si="465"/>
        <v>3573300</v>
      </c>
      <c r="F529" s="1157"/>
      <c r="G529" s="261" t="s">
        <v>1943</v>
      </c>
      <c r="H529" s="9">
        <f t="shared" ref="H529:P529" si="466">H522</f>
        <v>3775000</v>
      </c>
      <c r="I529" s="584">
        <f>IF(E529=H529,0,IF(E529=0,100,(H529-E529)/E529*100))</f>
        <v>5.6446422074832787</v>
      </c>
      <c r="J529" s="9">
        <f t="shared" si="466"/>
        <v>3851000</v>
      </c>
      <c r="K529" s="9">
        <f t="shared" si="466"/>
        <v>3928000</v>
      </c>
      <c r="L529" s="9">
        <f t="shared" si="466"/>
        <v>4007000</v>
      </c>
      <c r="M529" s="9">
        <f t="shared" si="466"/>
        <v>4087000</v>
      </c>
      <c r="N529" s="9">
        <f t="shared" si="466"/>
        <v>4169000</v>
      </c>
      <c r="O529" s="9">
        <f t="shared" si="466"/>
        <v>4252000</v>
      </c>
      <c r="P529" s="89">
        <f t="shared" si="466"/>
        <v>4337000</v>
      </c>
      <c r="Q529" s="9">
        <f t="shared" ref="Q529" si="467">Q522</f>
        <v>4424000</v>
      </c>
      <c r="R529" s="9">
        <f t="shared" ref="R529" si="468">R522</f>
        <v>4512000</v>
      </c>
      <c r="S529" s="47">
        <f t="shared" ref="S529" si="469">S522</f>
        <v>4602000</v>
      </c>
    </row>
    <row r="530" spans="1:21" s="34" customFormat="1" x14ac:dyDescent="0.2">
      <c r="A530" s="54">
        <f t="shared" ref="A530:B530" si="470">A523</f>
        <v>1595500</v>
      </c>
      <c r="B530" s="9">
        <f t="shared" si="470"/>
        <v>20300</v>
      </c>
      <c r="C530" s="136">
        <f t="shared" si="465"/>
        <v>12216800</v>
      </c>
      <c r="D530" s="134">
        <f t="shared" si="465"/>
        <v>10800</v>
      </c>
      <c r="E530" s="134">
        <f t="shared" si="465"/>
        <v>416400</v>
      </c>
      <c r="F530" s="1157"/>
      <c r="G530" s="261" t="s">
        <v>4594</v>
      </c>
      <c r="H530" s="9">
        <f t="shared" ref="H530:P530" si="471">H523</f>
        <v>0</v>
      </c>
      <c r="I530" s="584">
        <f>IF(E530=H530,0,IF(E530=0,100,(H530-E530)/E530*100))</f>
        <v>-100</v>
      </c>
      <c r="J530" s="9">
        <f t="shared" si="471"/>
        <v>0</v>
      </c>
      <c r="K530" s="9">
        <f t="shared" si="471"/>
        <v>0</v>
      </c>
      <c r="L530" s="9">
        <f t="shared" si="471"/>
        <v>0</v>
      </c>
      <c r="M530" s="9">
        <f t="shared" si="471"/>
        <v>0</v>
      </c>
      <c r="N530" s="9">
        <f t="shared" si="471"/>
        <v>0</v>
      </c>
      <c r="O530" s="9">
        <f t="shared" si="471"/>
        <v>0</v>
      </c>
      <c r="P530" s="89">
        <f t="shared" si="471"/>
        <v>0</v>
      </c>
      <c r="Q530" s="9">
        <f t="shared" ref="Q530" si="472">Q523</f>
        <v>0</v>
      </c>
      <c r="R530" s="9">
        <f t="shared" ref="R530" si="473">R523</f>
        <v>0</v>
      </c>
      <c r="S530" s="47">
        <f t="shared" ref="S530" si="474">S523</f>
        <v>0</v>
      </c>
    </row>
    <row r="531" spans="1:21" s="34" customFormat="1" x14ac:dyDescent="0.2">
      <c r="A531" s="54">
        <f t="shared" ref="A531:B531" si="475">A524</f>
        <v>435600</v>
      </c>
      <c r="B531" s="9">
        <f t="shared" si="475"/>
        <v>394000</v>
      </c>
      <c r="C531" s="136">
        <f t="shared" si="465"/>
        <v>349200</v>
      </c>
      <c r="D531" s="134">
        <f t="shared" si="465"/>
        <v>301100</v>
      </c>
      <c r="E531" s="134">
        <f t="shared" si="465"/>
        <v>249300</v>
      </c>
      <c r="F531" s="1157"/>
      <c r="G531" s="261" t="s">
        <v>2732</v>
      </c>
      <c r="H531" s="9">
        <f t="shared" ref="H531:P531" si="476">H524</f>
        <v>194000</v>
      </c>
      <c r="I531" s="584">
        <f>IF(E531=H531,0,IF(E531=0,100,(H531-E531)/E531*100))</f>
        <v>-22.182109907741676</v>
      </c>
      <c r="J531" s="9">
        <f t="shared" si="476"/>
        <v>134000</v>
      </c>
      <c r="K531" s="9">
        <f t="shared" si="476"/>
        <v>69000</v>
      </c>
      <c r="L531" s="9">
        <f t="shared" si="476"/>
        <v>0</v>
      </c>
      <c r="M531" s="9">
        <f t="shared" si="476"/>
        <v>0</v>
      </c>
      <c r="N531" s="9">
        <f t="shared" si="476"/>
        <v>0</v>
      </c>
      <c r="O531" s="9">
        <f t="shared" si="476"/>
        <v>0</v>
      </c>
      <c r="P531" s="89">
        <f t="shared" si="476"/>
        <v>0</v>
      </c>
      <c r="Q531" s="9">
        <f t="shared" ref="Q531" si="477">Q524</f>
        <v>0</v>
      </c>
      <c r="R531" s="9">
        <f t="shared" ref="R531" si="478">R524</f>
        <v>0</v>
      </c>
      <c r="S531" s="47">
        <f t="shared" ref="S531" si="479">S524</f>
        <v>0</v>
      </c>
    </row>
    <row r="532" spans="1:21" s="39" customFormat="1" x14ac:dyDescent="0.2">
      <c r="A532" s="128">
        <f t="shared" ref="A532:B532" si="480">SUM(A528:A531)</f>
        <v>1159400</v>
      </c>
      <c r="B532" s="280">
        <f t="shared" si="480"/>
        <v>475800</v>
      </c>
      <c r="C532" s="281">
        <f>SUM(C528:C531)</f>
        <v>1489000</v>
      </c>
      <c r="D532" s="529">
        <f>SUM(D528:D531)</f>
        <v>2880200</v>
      </c>
      <c r="E532" s="529">
        <f t="shared" ref="E532" si="481">SUM(E528:E531)</f>
        <v>3993000</v>
      </c>
      <c r="F532" s="365"/>
      <c r="G532" s="363" t="s">
        <v>1659</v>
      </c>
      <c r="H532" s="280">
        <f t="shared" ref="H532" si="482">SUM(H528:H531)</f>
        <v>4390100</v>
      </c>
      <c r="I532" s="864">
        <f>IF(E532=H532,0,IF(E532=0,100,(H532-E532)/E532*100))</f>
        <v>9.9449035812672175</v>
      </c>
      <c r="J532" s="280">
        <f t="shared" ref="J532" si="483">SUM(J528:J531)</f>
        <v>5001800</v>
      </c>
      <c r="K532" s="280">
        <f t="shared" ref="K532" si="484">SUM(K528:K531)</f>
        <v>5344800</v>
      </c>
      <c r="L532" s="280">
        <f t="shared" ref="L532" si="485">SUM(L528:L531)</f>
        <v>5730200</v>
      </c>
      <c r="M532" s="280">
        <f t="shared" ref="M532" si="486">SUM(M528:M531)</f>
        <v>6192600</v>
      </c>
      <c r="N532" s="280">
        <f t="shared" ref="N532" si="487">SUM(N528:N531)</f>
        <v>6581200</v>
      </c>
      <c r="O532" s="280">
        <f t="shared" ref="O532" si="488">SUM(O528:O531)</f>
        <v>7048000</v>
      </c>
      <c r="P532" s="266">
        <f t="shared" ref="P532:Q532" si="489">SUM(P528:P531)</f>
        <v>7539500</v>
      </c>
      <c r="Q532" s="280">
        <f t="shared" si="489"/>
        <v>8076000</v>
      </c>
      <c r="R532" s="280">
        <f t="shared" ref="R532" si="490">SUM(R528:R531)</f>
        <v>8634300</v>
      </c>
      <c r="S532" s="2343">
        <f t="shared" ref="S532" si="491">SUM(S528:S531)</f>
        <v>9201100</v>
      </c>
      <c r="U532" s="34"/>
    </row>
    <row r="533" spans="1:21" s="34" customFormat="1" ht="13.5" thickBot="1" x14ac:dyDescent="0.25">
      <c r="A533" s="118"/>
      <c r="B533" s="23"/>
      <c r="C533" s="148"/>
      <c r="D533" s="530"/>
      <c r="E533" s="530"/>
      <c r="F533" s="119"/>
      <c r="G533" s="268"/>
      <c r="H533" s="68"/>
      <c r="I533" s="751"/>
      <c r="J533" s="68"/>
      <c r="K533" s="68"/>
      <c r="L533" s="68"/>
      <c r="M533" s="68"/>
      <c r="N533" s="68"/>
      <c r="O533" s="68"/>
      <c r="P533" s="42"/>
      <c r="Q533" s="68"/>
      <c r="R533" s="68"/>
      <c r="S533" s="108"/>
    </row>
    <row r="534" spans="1:21" s="34" customFormat="1" ht="13.5" thickTop="1" x14ac:dyDescent="0.2">
      <c r="A534" s="270"/>
      <c r="B534" s="109"/>
      <c r="C534" s="140"/>
      <c r="D534" s="531"/>
      <c r="E534" s="531"/>
      <c r="F534" s="70"/>
      <c r="G534" s="258"/>
      <c r="H534" s="74"/>
      <c r="I534" s="1057"/>
      <c r="J534" s="74"/>
      <c r="K534" s="74"/>
      <c r="L534" s="74"/>
      <c r="M534" s="74"/>
      <c r="N534" s="74"/>
      <c r="O534" s="74"/>
      <c r="P534" s="111"/>
      <c r="Q534" s="74"/>
      <c r="R534" s="74"/>
      <c r="S534" s="110"/>
    </row>
    <row r="535" spans="1:21" s="34" customFormat="1" x14ac:dyDescent="0.2">
      <c r="A535" s="24"/>
      <c r="B535" s="21"/>
      <c r="C535" s="139"/>
      <c r="D535" s="138"/>
      <c r="E535" s="138"/>
      <c r="F535" s="70"/>
      <c r="G535" s="361" t="s">
        <v>192</v>
      </c>
      <c r="H535" s="9"/>
      <c r="I535" s="220"/>
      <c r="J535" s="9"/>
      <c r="K535" s="9"/>
      <c r="L535" s="9"/>
      <c r="M535" s="9"/>
      <c r="N535" s="9"/>
      <c r="O535" s="9"/>
      <c r="P535" s="89"/>
      <c r="Q535" s="9"/>
      <c r="R535" s="9"/>
      <c r="S535" s="61"/>
    </row>
    <row r="536" spans="1:21" s="34" customFormat="1" x14ac:dyDescent="0.2">
      <c r="A536" s="54">
        <v>985000</v>
      </c>
      <c r="B536" s="9">
        <f>ROUND('Debt-WW'!F16,-2)</f>
        <v>2384800</v>
      </c>
      <c r="C536" s="136">
        <f>ROUND('Debt-WW'!H16,-2)</f>
        <v>2187900</v>
      </c>
      <c r="D536" s="134">
        <f>ROUND('Debt-WW'!J16,-2)</f>
        <v>2793300</v>
      </c>
      <c r="E536" s="134">
        <f>ROUND('Debt-WW'!L16,-2)</f>
        <v>2957900</v>
      </c>
      <c r="F536" s="70"/>
      <c r="G536" s="257" t="s">
        <v>2848</v>
      </c>
      <c r="H536" s="9">
        <f>ROUND('Debt-WW'!N16,-2)</f>
        <v>3095600</v>
      </c>
      <c r="I536" s="584"/>
      <c r="J536" s="9">
        <f>ROUND('Debt-WW'!P16,-2)</f>
        <v>3134000</v>
      </c>
      <c r="K536" s="9">
        <f>ROUND('Debt-WW'!R16,-2)</f>
        <v>3280300</v>
      </c>
      <c r="L536" s="9">
        <f>ROUND('Debt-WW'!T16,-2)</f>
        <v>2453500</v>
      </c>
      <c r="M536" s="9">
        <f>ROUND('Debt-WW'!V16,-2)</f>
        <v>2654100</v>
      </c>
      <c r="N536" s="9">
        <f>ROUND('Debt-WW'!X16,-2)</f>
        <v>2844100</v>
      </c>
      <c r="O536" s="9">
        <f>ROUND('Debt-WW'!Z16,-2)</f>
        <v>3037000</v>
      </c>
      <c r="P536" s="89">
        <f>ROUND('Debt-WW'!AB16,-2)</f>
        <v>3235000</v>
      </c>
      <c r="Q536" s="9">
        <f>ROUND('Debt-WW'!AD16,-2)</f>
        <v>3430000</v>
      </c>
      <c r="R536" s="9">
        <f>ROUND('Debt-WW'!AF16,-2)</f>
        <v>3627000</v>
      </c>
      <c r="S536" s="61">
        <f>ROUND('Debt-WW'!AH16,-2)</f>
        <v>3825000</v>
      </c>
    </row>
    <row r="537" spans="1:21" s="34" customFormat="1" x14ac:dyDescent="0.2">
      <c r="A537" s="54">
        <v>239300</v>
      </c>
      <c r="B537" s="9">
        <f>IF(B532-B536-B540+B539&gt;0,B532-B536-B540+B539-20000,0)</f>
        <v>0</v>
      </c>
      <c r="C537" s="136">
        <f>IF(C532-C536-C540+C539&gt;0,C532-C536-C540+C539-20000,0)</f>
        <v>0</v>
      </c>
      <c r="D537" s="134">
        <f>IF(D532-D536-D540+D539&gt;0,D532-D536-D540+D539-20000,0)</f>
        <v>0</v>
      </c>
      <c r="E537" s="134">
        <v>0</v>
      </c>
      <c r="F537" s="134"/>
      <c r="G537" s="257" t="s">
        <v>1909</v>
      </c>
      <c r="H537" s="9">
        <f t="shared" ref="H537:P537" si="492">IF(H532-H536-H540+H539&gt;0,H532-H536-H540+H539-20000,0)</f>
        <v>0</v>
      </c>
      <c r="I537" s="584"/>
      <c r="J537" s="9">
        <f t="shared" si="492"/>
        <v>0</v>
      </c>
      <c r="K537" s="9">
        <f t="shared" si="492"/>
        <v>0</v>
      </c>
      <c r="L537" s="9">
        <f t="shared" si="492"/>
        <v>561300</v>
      </c>
      <c r="M537" s="9">
        <f t="shared" si="492"/>
        <v>0</v>
      </c>
      <c r="N537" s="9">
        <f t="shared" si="492"/>
        <v>0</v>
      </c>
      <c r="O537" s="9">
        <f t="shared" si="492"/>
        <v>2976500</v>
      </c>
      <c r="P537" s="89">
        <f t="shared" si="492"/>
        <v>0</v>
      </c>
      <c r="Q537" s="9">
        <f t="shared" ref="Q537" si="493">IF(Q532-Q536-Q540+Q539&gt;0,Q532-Q536-Q540+Q539-20000,0)</f>
        <v>3440000</v>
      </c>
      <c r="R537" s="9">
        <f t="shared" ref="R537:S537" si="494">IF(R532-R536-R540+R539&gt;0,R532-R536-R540+R539-20000,0)</f>
        <v>3856600</v>
      </c>
      <c r="S537" s="61">
        <f t="shared" si="494"/>
        <v>4225400</v>
      </c>
    </row>
    <row r="538" spans="1:21" s="34" customFormat="1" x14ac:dyDescent="0.2">
      <c r="A538" s="54">
        <v>6638900</v>
      </c>
      <c r="B538" s="9">
        <f>IF(B532-B536-B540+B539&gt;0,0,-(B532-B536-B540+B539-20000))</f>
        <v>8689200</v>
      </c>
      <c r="C538" s="136">
        <f>IF(C532-C536-C540+C539&gt;0,0,-(C532-C536-C540+C539-20000))</f>
        <v>5039300</v>
      </c>
      <c r="D538" s="134">
        <f>IF(D532-D536-D540+D539&gt;0,0,-(D532-D536-D540+D539-20000))</f>
        <v>2025800</v>
      </c>
      <c r="E538" s="134">
        <f>IF(E532-E536-E540+E539&gt;0,0,-(E532-E536-E540+E539-20000))</f>
        <v>808900</v>
      </c>
      <c r="F538" s="70"/>
      <c r="G538" s="257" t="s">
        <v>2309</v>
      </c>
      <c r="H538" s="9">
        <f t="shared" ref="H538:P538" si="495">IF(H532-H536-H540+H539&gt;0,0,-(H532-H536-H540+H539-20000))</f>
        <v>6323600</v>
      </c>
      <c r="I538" s="584"/>
      <c r="J538" s="9">
        <f t="shared" si="495"/>
        <v>4887100</v>
      </c>
      <c r="K538" s="9">
        <f t="shared" si="495"/>
        <v>2764200</v>
      </c>
      <c r="L538" s="9">
        <f t="shared" si="495"/>
        <v>0</v>
      </c>
      <c r="M538" s="9">
        <f t="shared" si="495"/>
        <v>1586600</v>
      </c>
      <c r="N538" s="9">
        <f t="shared" si="495"/>
        <v>303000</v>
      </c>
      <c r="O538" s="9">
        <f t="shared" si="495"/>
        <v>0</v>
      </c>
      <c r="P538" s="89">
        <f t="shared" si="495"/>
        <v>1031900</v>
      </c>
      <c r="Q538" s="9">
        <f t="shared" ref="Q538" si="496">IF(Q532-Q536-Q540+Q539&gt;0,0,-(Q532-Q536-Q540+Q539-20000))</f>
        <v>0</v>
      </c>
      <c r="R538" s="9">
        <f t="shared" ref="R538:S538" si="497">IF(R532-R536-R540+R539&gt;0,0,-(R532-R536-R540+R539-20000))</f>
        <v>0</v>
      </c>
      <c r="S538" s="61">
        <f t="shared" si="497"/>
        <v>0</v>
      </c>
    </row>
    <row r="539" spans="1:21" s="34" customFormat="1" x14ac:dyDescent="0.2">
      <c r="A539" s="54">
        <v>18800000</v>
      </c>
      <c r="B539" s="9">
        <f>'[2]Cash-WW'!A18</f>
        <v>1351900</v>
      </c>
      <c r="C539" s="136">
        <f>SUM('[2]Cap-WW'!W136:Y136)+'[2]Cap-WW'!G147</f>
        <v>0</v>
      </c>
      <c r="D539" s="134">
        <f>SUM('Cap-WW'!S142:U142)+'Cap-WW'!F152</f>
        <v>174600</v>
      </c>
      <c r="E539" s="134">
        <v>736500</v>
      </c>
      <c r="F539" s="70"/>
      <c r="G539" s="257" t="s">
        <v>5847</v>
      </c>
      <c r="H539" s="9">
        <f>SUM('Cap-WW'!AA142:AC142)</f>
        <v>1147000</v>
      </c>
      <c r="I539" s="584"/>
      <c r="J539" s="9">
        <f>SUM('Cap-WW'!AE142:AG142)</f>
        <v>1000000</v>
      </c>
      <c r="K539" s="9">
        <f>SUM('Cap-WW'!AI142:AK142)</f>
        <v>268000</v>
      </c>
      <c r="L539" s="9">
        <f>SUM('Cap-WW'!AM142:AO142)</f>
        <v>0</v>
      </c>
      <c r="M539" s="9">
        <f>SUM('Cap-WW'!AQ142:AS142)</f>
        <v>0</v>
      </c>
      <c r="N539" s="9">
        <f>SUM('Cap-WW'!AU142:AW142)</f>
        <v>435000</v>
      </c>
      <c r="O539" s="9">
        <f>SUM('Cap-WW'!AY142:BA142)</f>
        <v>0</v>
      </c>
      <c r="P539" s="89">
        <f>SUM('Cap-WW'!BC142:BE142)</f>
        <v>0</v>
      </c>
      <c r="Q539" s="9">
        <f>SUM('Cap-WW'!BG142:BI142)</f>
        <v>0</v>
      </c>
      <c r="R539" s="9">
        <f>SUM('Cap-WW'!BK142:BM142)</f>
        <v>0</v>
      </c>
      <c r="S539" s="61">
        <f>SUM('Cap-WW'!BO142:BQ142)</f>
        <v>0</v>
      </c>
    </row>
    <row r="540" spans="1:21" s="34" customFormat="1" x14ac:dyDescent="0.2">
      <c r="A540" s="25">
        <f>25324017+30000-17</f>
        <v>25354000</v>
      </c>
      <c r="B540" s="9">
        <f>'[2]Cap-WW'!F136</f>
        <v>8112100</v>
      </c>
      <c r="C540" s="136">
        <f>'[2]Cap-WW'!G136</f>
        <v>4320400</v>
      </c>
      <c r="D540" s="134">
        <f>'Cap-WW'!F142</f>
        <v>2267300</v>
      </c>
      <c r="E540" s="134">
        <f>'Cap-WW'!G142</f>
        <v>2560500</v>
      </c>
      <c r="F540" s="70"/>
      <c r="G540" s="257" t="s">
        <v>959</v>
      </c>
      <c r="H540" s="9">
        <f>'Cap-WW'!H142</f>
        <v>8745100</v>
      </c>
      <c r="I540" s="584"/>
      <c r="J540" s="9">
        <f>'Cap-WW'!I142</f>
        <v>7734900</v>
      </c>
      <c r="K540" s="9">
        <f>'Cap-WW'!J142</f>
        <v>5076700</v>
      </c>
      <c r="L540" s="9">
        <f>'Cap-WW'!K142</f>
        <v>2695400</v>
      </c>
      <c r="M540" s="9">
        <f>'Cap-WW'!L142</f>
        <v>5105100</v>
      </c>
      <c r="N540" s="9">
        <f>'Cap-WW'!M142</f>
        <v>4455100</v>
      </c>
      <c r="O540" s="9">
        <f>'Cap-WW'!N142</f>
        <v>1014500</v>
      </c>
      <c r="P540" s="89">
        <f>'Cap-WW'!O142</f>
        <v>5316400</v>
      </c>
      <c r="Q540" s="9">
        <f>'Cap-WW'!P142</f>
        <v>1186000</v>
      </c>
      <c r="R540" s="9">
        <f>'Cap-WW'!Q142</f>
        <v>1130700</v>
      </c>
      <c r="S540" s="47">
        <f>'Cap-WW'!R142</f>
        <v>1130700</v>
      </c>
    </row>
    <row r="541" spans="1:21" s="39" customFormat="1" x14ac:dyDescent="0.2">
      <c r="A541" s="128">
        <f>A532-A536-A537+A538++A539-A540</f>
        <v>20000</v>
      </c>
      <c r="B541" s="280">
        <f>B532-B536-B537+B538++B539-B540</f>
        <v>20000</v>
      </c>
      <c r="C541" s="281">
        <f>C532-C536-C537+C538++C539-C540</f>
        <v>20000</v>
      </c>
      <c r="D541" s="529">
        <f>D532-D536-D537+D538++D539-D540</f>
        <v>20000</v>
      </c>
      <c r="E541" s="529">
        <f t="shared" ref="E541" si="498">E532-E536-E537+E538++E539-E540</f>
        <v>20000</v>
      </c>
      <c r="F541" s="380"/>
      <c r="G541" s="363" t="s">
        <v>2447</v>
      </c>
      <c r="H541" s="280">
        <f t="shared" ref="H541:M541" si="499">H532-H536-H537+H538++H539-H540</f>
        <v>20000</v>
      </c>
      <c r="I541" s="864">
        <f>IF(E541=H541,0,IF(E541=0,100,(H541-E541)/E541*100))</f>
        <v>0</v>
      </c>
      <c r="J541" s="280">
        <f t="shared" si="499"/>
        <v>20000</v>
      </c>
      <c r="K541" s="280">
        <f t="shared" si="499"/>
        <v>20000</v>
      </c>
      <c r="L541" s="280">
        <f t="shared" si="499"/>
        <v>20000</v>
      </c>
      <c r="M541" s="280">
        <f t="shared" si="499"/>
        <v>20000</v>
      </c>
      <c r="N541" s="280">
        <f t="shared" ref="N541:S541" si="500">N532-N536-N537+N538++N539-N540</f>
        <v>20000</v>
      </c>
      <c r="O541" s="280">
        <f t="shared" si="500"/>
        <v>20000</v>
      </c>
      <c r="P541" s="266">
        <f t="shared" si="500"/>
        <v>20000</v>
      </c>
      <c r="Q541" s="280">
        <f t="shared" si="500"/>
        <v>20000</v>
      </c>
      <c r="R541" s="280">
        <f t="shared" si="500"/>
        <v>20000</v>
      </c>
      <c r="S541" s="282">
        <f t="shared" si="500"/>
        <v>20000</v>
      </c>
      <c r="U541" s="34"/>
    </row>
    <row r="542" spans="1:21" s="34" customFormat="1" ht="13.5" thickBot="1" x14ac:dyDescent="0.25">
      <c r="A542" s="26"/>
      <c r="B542" s="37"/>
      <c r="C542" s="141"/>
      <c r="D542" s="146"/>
      <c r="E542" s="146"/>
      <c r="F542" s="37"/>
      <c r="G542" s="259"/>
      <c r="H542" s="23"/>
      <c r="I542" s="851"/>
      <c r="J542" s="23"/>
      <c r="K542" s="23"/>
      <c r="L542" s="23"/>
      <c r="M542" s="23"/>
      <c r="N542" s="23"/>
      <c r="O542" s="23"/>
      <c r="P542" s="113"/>
      <c r="Q542" s="23"/>
      <c r="R542" s="23"/>
      <c r="S542" s="112"/>
    </row>
    <row r="543" spans="1:21" s="34" customFormat="1" ht="13.5" thickTop="1" x14ac:dyDescent="0.2">
      <c r="A543" s="27"/>
      <c r="B543" s="27"/>
      <c r="C543" s="27"/>
      <c r="D543" s="27"/>
      <c r="E543" s="143"/>
      <c r="F543" s="27"/>
      <c r="G543" s="84"/>
      <c r="H543" s="46"/>
      <c r="I543" s="92"/>
      <c r="J543" s="46"/>
      <c r="K543" s="46"/>
      <c r="L543" s="46"/>
      <c r="M543" s="46"/>
      <c r="N543" s="46"/>
      <c r="O543" s="46"/>
      <c r="P543" s="46"/>
      <c r="Q543" s="46"/>
      <c r="R543" s="46"/>
      <c r="S543" s="46"/>
    </row>
    <row r="544" spans="1:21" s="34" customFormat="1" ht="13.5" thickBot="1" x14ac:dyDescent="0.25">
      <c r="C544" s="144"/>
      <c r="D544" s="144"/>
      <c r="E544" s="149"/>
      <c r="F544" s="96"/>
      <c r="I544" s="2226"/>
    </row>
    <row r="545" spans="1:21" s="39" customFormat="1" ht="13.5" thickTop="1" x14ac:dyDescent="0.2">
      <c r="A545" s="2610" t="s">
        <v>1824</v>
      </c>
      <c r="B545" s="2611"/>
      <c r="C545" s="2611"/>
      <c r="D545" s="2611"/>
      <c r="E545" s="2612"/>
      <c r="F545" s="2377" t="s">
        <v>2616</v>
      </c>
      <c r="G545" s="2372" t="s">
        <v>2213</v>
      </c>
      <c r="H545" s="2594" t="s">
        <v>2215</v>
      </c>
      <c r="I545" s="2594"/>
      <c r="J545" s="2594"/>
      <c r="K545" s="2594"/>
      <c r="L545" s="2594"/>
      <c r="M545" s="2594"/>
      <c r="N545" s="2594"/>
      <c r="O545" s="2594"/>
      <c r="P545" s="2594"/>
      <c r="Q545" s="2594"/>
      <c r="R545" s="2594"/>
      <c r="S545" s="2595"/>
      <c r="U545" s="34"/>
    </row>
    <row r="546" spans="1:21" s="34" customFormat="1" ht="13.5" thickBot="1" x14ac:dyDescent="0.25">
      <c r="A546" s="541" t="str">
        <f>A3</f>
        <v>2012/13</v>
      </c>
      <c r="B546" s="28" t="str">
        <f>B3</f>
        <v>2013/14</v>
      </c>
      <c r="C546" s="28" t="str">
        <f>C3</f>
        <v>2014/15</v>
      </c>
      <c r="D546" s="28" t="str">
        <f>$D$3</f>
        <v>2015/16</v>
      </c>
      <c r="E546" s="28" t="str">
        <f>+E480</f>
        <v>2016/17</v>
      </c>
      <c r="F546" s="2045" t="s">
        <v>2617</v>
      </c>
      <c r="G546" s="131"/>
      <c r="H546" s="28" t="str">
        <f>$H$3</f>
        <v>2017/18</v>
      </c>
      <c r="I546" s="1436" t="s">
        <v>492</v>
      </c>
      <c r="J546" s="28" t="str">
        <f>$J$3</f>
        <v>2018/19</v>
      </c>
      <c r="K546" s="28" t="str">
        <f>$K$3</f>
        <v>2019/20</v>
      </c>
      <c r="L546" s="28" t="str">
        <f>$L$3</f>
        <v>2020/21</v>
      </c>
      <c r="M546" s="28" t="str">
        <f t="shared" ref="M546:S546" si="501">$M$3</f>
        <v>2021/22</v>
      </c>
      <c r="N546" s="28" t="str">
        <f t="shared" si="501"/>
        <v>2021/22</v>
      </c>
      <c r="O546" s="28" t="str">
        <f t="shared" si="501"/>
        <v>2021/22</v>
      </c>
      <c r="P546" s="28" t="str">
        <f t="shared" si="501"/>
        <v>2021/22</v>
      </c>
      <c r="Q546" s="28" t="str">
        <f t="shared" si="501"/>
        <v>2021/22</v>
      </c>
      <c r="R546" s="28" t="str">
        <f t="shared" si="501"/>
        <v>2021/22</v>
      </c>
      <c r="S546" s="1262" t="str">
        <f t="shared" si="501"/>
        <v>2021/22</v>
      </c>
    </row>
    <row r="547" spans="1:21" s="34" customFormat="1" x14ac:dyDescent="0.2">
      <c r="A547" s="54"/>
      <c r="B547" s="9"/>
      <c r="C547" s="134"/>
      <c r="D547" s="134"/>
      <c r="E547" s="134"/>
      <c r="F547" s="85"/>
      <c r="G547" s="27"/>
      <c r="H547" s="9"/>
      <c r="I547" s="79"/>
      <c r="J547" s="9"/>
      <c r="K547" s="9"/>
      <c r="L547" s="9"/>
      <c r="M547" s="9"/>
      <c r="N547" s="9"/>
      <c r="O547" s="9"/>
      <c r="P547" s="9"/>
      <c r="Q547" s="9"/>
      <c r="R547" s="9"/>
      <c r="S547" s="61"/>
    </row>
    <row r="548" spans="1:21" s="34" customFormat="1" x14ac:dyDescent="0.2">
      <c r="A548" s="54">
        <f>A86</f>
        <v>754600</v>
      </c>
      <c r="B548" s="9">
        <f>B86</f>
        <v>1548000</v>
      </c>
      <c r="C548" s="134">
        <f>C86</f>
        <v>1574800</v>
      </c>
      <c r="D548" s="134">
        <f>D86</f>
        <v>1912100</v>
      </c>
      <c r="E548" s="134">
        <f>E86</f>
        <v>2689100</v>
      </c>
      <c r="F548" s="85"/>
      <c r="G548" s="46" t="str">
        <f>F7</f>
        <v>Water Operations</v>
      </c>
      <c r="H548" s="9">
        <f>H86</f>
        <v>1933000</v>
      </c>
      <c r="I548" s="584">
        <f>IF(E548=H548,0,IF(E548=0,100,(H548-E548)/E548*100))</f>
        <v>-28.117213937748691</v>
      </c>
      <c r="J548" s="9">
        <f t="shared" ref="J548:S548" si="502">J86</f>
        <v>2039300</v>
      </c>
      <c r="K548" s="9">
        <f t="shared" si="502"/>
        <v>2024600</v>
      </c>
      <c r="L548" s="9">
        <f t="shared" si="502"/>
        <v>2052200</v>
      </c>
      <c r="M548" s="9">
        <f t="shared" si="502"/>
        <v>2128700</v>
      </c>
      <c r="N548" s="9">
        <f t="shared" si="502"/>
        <v>2061600</v>
      </c>
      <c r="O548" s="9">
        <f t="shared" si="502"/>
        <v>2120800</v>
      </c>
      <c r="P548" s="9">
        <f t="shared" si="502"/>
        <v>2135500</v>
      </c>
      <c r="Q548" s="9">
        <f t="shared" si="502"/>
        <v>2161500</v>
      </c>
      <c r="R548" s="9">
        <f t="shared" si="502"/>
        <v>2296600</v>
      </c>
      <c r="S548" s="47">
        <f t="shared" si="502"/>
        <v>2484000</v>
      </c>
    </row>
    <row r="549" spans="1:21" s="34" customFormat="1" x14ac:dyDescent="0.2">
      <c r="A549" s="54">
        <f>A151</f>
        <v>1159400</v>
      </c>
      <c r="B549" s="9">
        <f>B151</f>
        <v>475800</v>
      </c>
      <c r="C549" s="134">
        <f>C151</f>
        <v>1489000</v>
      </c>
      <c r="D549" s="134">
        <f>D151</f>
        <v>2880200</v>
      </c>
      <c r="E549" s="134">
        <f>E151</f>
        <v>3993000</v>
      </c>
      <c r="F549" s="85"/>
      <c r="G549" s="46" t="str">
        <f>F8</f>
        <v>Wastewater Operations</v>
      </c>
      <c r="H549" s="9">
        <f>H151</f>
        <v>4390100</v>
      </c>
      <c r="I549" s="584">
        <f>IF(E549=H549,0,IF(E549=0,100,(H549-E549)/E549*100))</f>
        <v>9.9449035812672175</v>
      </c>
      <c r="J549" s="9">
        <f t="shared" ref="J549:S549" si="503">J151</f>
        <v>5001800</v>
      </c>
      <c r="K549" s="9">
        <f t="shared" si="503"/>
        <v>5344800</v>
      </c>
      <c r="L549" s="9">
        <f t="shared" si="503"/>
        <v>5730200</v>
      </c>
      <c r="M549" s="9">
        <f t="shared" si="503"/>
        <v>6192600</v>
      </c>
      <c r="N549" s="9">
        <f t="shared" si="503"/>
        <v>6581200</v>
      </c>
      <c r="O549" s="9">
        <f t="shared" si="503"/>
        <v>7048000</v>
      </c>
      <c r="P549" s="9">
        <f t="shared" si="503"/>
        <v>7539500</v>
      </c>
      <c r="Q549" s="9">
        <f t="shared" si="503"/>
        <v>8076000</v>
      </c>
      <c r="R549" s="9">
        <f t="shared" si="503"/>
        <v>8634300</v>
      </c>
      <c r="S549" s="47">
        <f t="shared" si="503"/>
        <v>9201100</v>
      </c>
    </row>
    <row r="550" spans="1:21" s="34" customFormat="1" ht="13.5" thickBot="1" x14ac:dyDescent="0.25">
      <c r="A550" s="24"/>
      <c r="B550" s="21"/>
      <c r="C550" s="138"/>
      <c r="D550" s="138"/>
      <c r="E550" s="138"/>
      <c r="F550" s="85"/>
      <c r="G550" s="46"/>
      <c r="H550" s="9"/>
      <c r="I550" s="584"/>
      <c r="J550" s="9"/>
      <c r="K550" s="9"/>
      <c r="L550" s="9"/>
      <c r="M550" s="9"/>
      <c r="N550" s="9"/>
      <c r="O550" s="9"/>
      <c r="P550" s="9"/>
      <c r="Q550" s="9"/>
      <c r="R550" s="9"/>
      <c r="S550" s="47"/>
    </row>
    <row r="551" spans="1:21" s="34" customFormat="1" x14ac:dyDescent="0.2">
      <c r="A551" s="52">
        <f>SUM(A548:A550)</f>
        <v>1914000</v>
      </c>
      <c r="B551" s="16">
        <f>SUM(B548:B550)</f>
        <v>2023800</v>
      </c>
      <c r="C551" s="137">
        <f>SUM(C548:C550)</f>
        <v>3063800</v>
      </c>
      <c r="D551" s="137">
        <f>SUM(D548:D550)</f>
        <v>4792300</v>
      </c>
      <c r="E551" s="145">
        <f t="shared" ref="E551" si="504">SUM(E548:E550)</f>
        <v>6682100</v>
      </c>
      <c r="F551" s="85"/>
      <c r="G551" s="361" t="s">
        <v>1659</v>
      </c>
      <c r="H551" s="16">
        <f t="shared" ref="H551:M551" si="505">SUM(H548:H550)</f>
        <v>6323100</v>
      </c>
      <c r="I551" s="220">
        <f>IF(E551=H551,0,IF(E551=0,100,(H551-E551)/E551*100))</f>
        <v>-5.3725625177713594</v>
      </c>
      <c r="J551" s="16">
        <f t="shared" si="505"/>
        <v>7041100</v>
      </c>
      <c r="K551" s="16">
        <f t="shared" si="505"/>
        <v>7369400</v>
      </c>
      <c r="L551" s="16">
        <f t="shared" si="505"/>
        <v>7782400</v>
      </c>
      <c r="M551" s="16">
        <f t="shared" si="505"/>
        <v>8321300</v>
      </c>
      <c r="N551" s="16">
        <f t="shared" ref="N551:R551" si="506">SUM(N548:N550)</f>
        <v>8642800</v>
      </c>
      <c r="O551" s="16">
        <f t="shared" si="506"/>
        <v>9168800</v>
      </c>
      <c r="P551" s="16">
        <f t="shared" si="506"/>
        <v>9675000</v>
      </c>
      <c r="Q551" s="16">
        <f t="shared" si="506"/>
        <v>10237500</v>
      </c>
      <c r="R551" s="16">
        <f t="shared" si="506"/>
        <v>10930900</v>
      </c>
      <c r="S551" s="2342">
        <f t="shared" ref="S551" si="507">SUM(S548:S550)</f>
        <v>11685100</v>
      </c>
    </row>
    <row r="552" spans="1:21" s="34" customFormat="1" ht="13.5" thickBot="1" x14ac:dyDescent="0.25">
      <c r="A552" s="26"/>
      <c r="B552" s="37"/>
      <c r="C552" s="146"/>
      <c r="D552" s="146"/>
      <c r="E552" s="146"/>
      <c r="F552" s="87"/>
      <c r="G552" s="88"/>
      <c r="H552" s="23"/>
      <c r="I552" s="851"/>
      <c r="J552" s="23"/>
      <c r="K552" s="23"/>
      <c r="L552" s="23"/>
      <c r="M552" s="23"/>
      <c r="N552" s="23"/>
      <c r="O552" s="23"/>
      <c r="P552" s="23"/>
      <c r="Q552" s="23"/>
      <c r="R552" s="23"/>
      <c r="S552" s="112"/>
    </row>
    <row r="553" spans="1:21" s="34" customFormat="1" ht="13.5" thickTop="1" x14ac:dyDescent="0.2">
      <c r="C553" s="144"/>
      <c r="D553" s="144"/>
      <c r="E553" s="149"/>
      <c r="F553" s="96"/>
      <c r="I553" s="2226"/>
    </row>
    <row r="554" spans="1:21" s="34" customFormat="1" ht="13.5" thickBot="1" x14ac:dyDescent="0.25">
      <c r="E554" s="149"/>
      <c r="I554" s="2226"/>
    </row>
    <row r="555" spans="1:21" s="39" customFormat="1" ht="13.5" thickTop="1" x14ac:dyDescent="0.2">
      <c r="A555" s="2610" t="s">
        <v>1824</v>
      </c>
      <c r="B555" s="2611"/>
      <c r="C555" s="2611"/>
      <c r="D555" s="2611"/>
      <c r="E555" s="2612"/>
      <c r="F555" s="2377" t="s">
        <v>2616</v>
      </c>
      <c r="G555" s="2372" t="s">
        <v>2213</v>
      </c>
      <c r="H555" s="2594" t="s">
        <v>2215</v>
      </c>
      <c r="I555" s="2594"/>
      <c r="J555" s="2594"/>
      <c r="K555" s="2594"/>
      <c r="L555" s="2594"/>
      <c r="M555" s="2594"/>
      <c r="N555" s="2594"/>
      <c r="O555" s="2594"/>
      <c r="P555" s="2594"/>
      <c r="Q555" s="2594"/>
      <c r="R555" s="2594"/>
      <c r="S555" s="2595"/>
      <c r="U555" s="34"/>
    </row>
    <row r="556" spans="1:21" s="34" customFormat="1" ht="13.5" thickBot="1" x14ac:dyDescent="0.25">
      <c r="A556" s="541" t="str">
        <f>A3</f>
        <v>2012/13</v>
      </c>
      <c r="B556" s="28" t="str">
        <f>$C$3</f>
        <v>2014/15</v>
      </c>
      <c r="C556" s="28" t="str">
        <f>C3</f>
        <v>2014/15</v>
      </c>
      <c r="D556" s="40" t="str">
        <f>$D$3</f>
        <v>2015/16</v>
      </c>
      <c r="E556" s="28" t="str">
        <f>+E546</f>
        <v>2016/17</v>
      </c>
      <c r="F556" s="162" t="s">
        <v>2617</v>
      </c>
      <c r="G556" s="131"/>
      <c r="H556" s="28" t="str">
        <f>$H$3</f>
        <v>2017/18</v>
      </c>
      <c r="I556" s="1436" t="s">
        <v>492</v>
      </c>
      <c r="J556" s="28" t="str">
        <f>$J$3</f>
        <v>2018/19</v>
      </c>
      <c r="K556" s="28" t="str">
        <f>$K$3</f>
        <v>2019/20</v>
      </c>
      <c r="L556" s="28" t="str">
        <f>$L$3</f>
        <v>2020/21</v>
      </c>
      <c r="M556" s="28" t="str">
        <f t="shared" ref="M556:S556" si="508">$M$3</f>
        <v>2021/22</v>
      </c>
      <c r="N556" s="28" t="str">
        <f t="shared" si="508"/>
        <v>2021/22</v>
      </c>
      <c r="O556" s="28" t="str">
        <f t="shared" si="508"/>
        <v>2021/22</v>
      </c>
      <c r="P556" s="28" t="str">
        <f t="shared" si="508"/>
        <v>2021/22</v>
      </c>
      <c r="Q556" s="28" t="str">
        <f t="shared" si="508"/>
        <v>2021/22</v>
      </c>
      <c r="R556" s="28" t="str">
        <f t="shared" si="508"/>
        <v>2021/22</v>
      </c>
      <c r="S556" s="1262" t="str">
        <f t="shared" si="508"/>
        <v>2021/22</v>
      </c>
    </row>
    <row r="557" spans="1:21" s="34" customFormat="1" x14ac:dyDescent="0.2">
      <c r="A557" s="54"/>
      <c r="B557" s="9"/>
      <c r="C557" s="134"/>
      <c r="D557" s="134"/>
      <c r="E557" s="134"/>
      <c r="F557" s="85"/>
      <c r="G557" s="27"/>
      <c r="H557" s="9"/>
      <c r="I557" s="79"/>
      <c r="J557" s="9"/>
      <c r="K557" s="9"/>
      <c r="L557" s="9"/>
      <c r="M557" s="9"/>
      <c r="N557" s="9"/>
      <c r="O557" s="9"/>
      <c r="P557" s="9"/>
      <c r="Q557" s="9"/>
      <c r="R557" s="9"/>
      <c r="S557" s="61"/>
    </row>
    <row r="558" spans="1:21" s="34" customFormat="1" x14ac:dyDescent="0.2">
      <c r="A558" s="54">
        <f>A83</f>
        <v>-1290100</v>
      </c>
      <c r="B558" s="9">
        <f>B83</f>
        <v>-422500</v>
      </c>
      <c r="C558" s="134">
        <f>C83</f>
        <v>75500</v>
      </c>
      <c r="D558" s="134">
        <f>D83</f>
        <v>349200</v>
      </c>
      <c r="E558" s="134">
        <f>E83</f>
        <v>1289500</v>
      </c>
      <c r="F558" s="85"/>
      <c r="G558" s="46" t="str">
        <f>G548</f>
        <v>Water Operations</v>
      </c>
      <c r="H558" s="9">
        <f>H83</f>
        <v>553000</v>
      </c>
      <c r="I558" s="584">
        <f>IF(E558=H558,0,IF(E558=0,100,(H558-E558)/E558*100))</f>
        <v>-57.115160915083365</v>
      </c>
      <c r="J558" s="9">
        <f t="shared" ref="J558:S558" si="509">J83</f>
        <v>631700</v>
      </c>
      <c r="K558" s="9">
        <f t="shared" si="509"/>
        <v>588800</v>
      </c>
      <c r="L558" s="9">
        <f t="shared" si="509"/>
        <v>587600</v>
      </c>
      <c r="M558" s="9">
        <f t="shared" si="509"/>
        <v>634800</v>
      </c>
      <c r="N558" s="9">
        <f t="shared" si="509"/>
        <v>537800</v>
      </c>
      <c r="O558" s="9">
        <f t="shared" si="509"/>
        <v>566500</v>
      </c>
      <c r="P558" s="9">
        <f t="shared" si="509"/>
        <v>550100</v>
      </c>
      <c r="Q558" s="9">
        <f t="shared" si="509"/>
        <v>544300</v>
      </c>
      <c r="R558" s="9">
        <f t="shared" si="509"/>
        <v>647000</v>
      </c>
      <c r="S558" s="47">
        <f t="shared" si="509"/>
        <v>801400</v>
      </c>
    </row>
    <row r="559" spans="1:21" s="34" customFormat="1" x14ac:dyDescent="0.2">
      <c r="A559" s="54">
        <f>A147</f>
        <v>-3713200</v>
      </c>
      <c r="B559" s="9">
        <f>B147</f>
        <v>-2581600</v>
      </c>
      <c r="C559" s="134">
        <f>C147</f>
        <v>-13391300</v>
      </c>
      <c r="D559" s="134">
        <f>D147</f>
        <v>-963600</v>
      </c>
      <c r="E559" s="134">
        <f>E147</f>
        <v>-246000</v>
      </c>
      <c r="F559" s="85"/>
      <c r="G559" s="46" t="str">
        <f>G549</f>
        <v>Wastewater Operations</v>
      </c>
      <c r="H559" s="9">
        <f>H147</f>
        <v>421100</v>
      </c>
      <c r="I559" s="584">
        <f>IF(E559=H559,0,IF(E559=0,100,(H559-E559)/E559*100))</f>
        <v>-271.17886178861789</v>
      </c>
      <c r="J559" s="9">
        <f t="shared" ref="J559:S559" si="510">J147</f>
        <v>1016800</v>
      </c>
      <c r="K559" s="9">
        <f t="shared" si="510"/>
        <v>1347800</v>
      </c>
      <c r="L559" s="9">
        <f t="shared" si="510"/>
        <v>1723200</v>
      </c>
      <c r="M559" s="9">
        <f t="shared" si="510"/>
        <v>2105600</v>
      </c>
      <c r="N559" s="9">
        <f t="shared" si="510"/>
        <v>2412200</v>
      </c>
      <c r="O559" s="9">
        <f t="shared" si="510"/>
        <v>2796000</v>
      </c>
      <c r="P559" s="9">
        <f t="shared" si="510"/>
        <v>3202500</v>
      </c>
      <c r="Q559" s="9">
        <f t="shared" si="510"/>
        <v>3652000</v>
      </c>
      <c r="R559" s="9">
        <f t="shared" si="510"/>
        <v>4122300</v>
      </c>
      <c r="S559" s="47">
        <f t="shared" si="510"/>
        <v>4599100</v>
      </c>
    </row>
    <row r="560" spans="1:21" s="34" customFormat="1" ht="13.5" thickBot="1" x14ac:dyDescent="0.25">
      <c r="A560" s="24"/>
      <c r="B560" s="21"/>
      <c r="C560" s="138"/>
      <c r="D560" s="138"/>
      <c r="E560" s="138"/>
      <c r="F560" s="85"/>
      <c r="G560" s="46"/>
      <c r="H560" s="9"/>
      <c r="I560" s="584"/>
      <c r="J560" s="9"/>
      <c r="K560" s="9"/>
      <c r="L560" s="9"/>
      <c r="M560" s="9"/>
      <c r="N560" s="9"/>
      <c r="O560" s="9"/>
      <c r="P560" s="9"/>
      <c r="Q560" s="9"/>
      <c r="R560" s="9"/>
      <c r="S560" s="47"/>
    </row>
    <row r="561" spans="1:21" s="34" customFormat="1" x14ac:dyDescent="0.2">
      <c r="A561" s="52">
        <f>SUM(A558:A560)</f>
        <v>-5003300</v>
      </c>
      <c r="B561" s="16">
        <f>SUM(B558:B560)</f>
        <v>-3004100</v>
      </c>
      <c r="C561" s="137">
        <f>SUM(C558:C560)</f>
        <v>-13315800</v>
      </c>
      <c r="D561" s="137">
        <f>SUM(D558:D560)</f>
        <v>-614400</v>
      </c>
      <c r="E561" s="145">
        <f t="shared" ref="E561" si="511">SUM(E558:E560)</f>
        <v>1043500</v>
      </c>
      <c r="F561" s="85"/>
      <c r="G561" s="361" t="s">
        <v>361</v>
      </c>
      <c r="H561" s="16">
        <f t="shared" ref="H561:M561" si="512">SUM(H558:H560)</f>
        <v>974100</v>
      </c>
      <c r="I561" s="220">
        <f>IF(E561=H561,0,IF(E561=0,100,(H561-E561)/E561*100))</f>
        <v>-6.6506947771921414</v>
      </c>
      <c r="J561" s="16">
        <f t="shared" si="512"/>
        <v>1648500</v>
      </c>
      <c r="K561" s="16">
        <f t="shared" si="512"/>
        <v>1936600</v>
      </c>
      <c r="L561" s="16">
        <f t="shared" si="512"/>
        <v>2310800</v>
      </c>
      <c r="M561" s="16">
        <f t="shared" si="512"/>
        <v>2740400</v>
      </c>
      <c r="N561" s="16">
        <f t="shared" ref="N561:R561" si="513">SUM(N558:N560)</f>
        <v>2950000</v>
      </c>
      <c r="O561" s="16">
        <f t="shared" si="513"/>
        <v>3362500</v>
      </c>
      <c r="P561" s="16">
        <f t="shared" si="513"/>
        <v>3752600</v>
      </c>
      <c r="Q561" s="16">
        <f t="shared" si="513"/>
        <v>4196300</v>
      </c>
      <c r="R561" s="16">
        <f t="shared" si="513"/>
        <v>4769300</v>
      </c>
      <c r="S561" s="2342">
        <f t="shared" ref="S561" si="514">SUM(S558:S560)</f>
        <v>5400500</v>
      </c>
    </row>
    <row r="562" spans="1:21" s="34" customFormat="1" x14ac:dyDescent="0.2">
      <c r="A562" s="24"/>
      <c r="B562" s="21"/>
      <c r="C562" s="139"/>
      <c r="D562" s="139"/>
      <c r="E562" s="138"/>
      <c r="F562" s="85"/>
      <c r="G562" s="361"/>
      <c r="H562" s="21"/>
      <c r="I562" s="584"/>
      <c r="J562" s="21"/>
      <c r="K562" s="21"/>
      <c r="L562" s="21"/>
      <c r="M562" s="21"/>
      <c r="N562" s="21"/>
      <c r="O562" s="21"/>
      <c r="P562" s="21"/>
      <c r="Q562" s="21"/>
      <c r="R562" s="21"/>
      <c r="S562" s="86"/>
    </row>
    <row r="563" spans="1:21" s="34" customFormat="1" x14ac:dyDescent="0.2">
      <c r="A563" s="24">
        <f>A551</f>
        <v>1914000</v>
      </c>
      <c r="B563" s="21">
        <f>B551</f>
        <v>2023800</v>
      </c>
      <c r="C563" s="139">
        <f>C551</f>
        <v>3063800</v>
      </c>
      <c r="D563" s="139">
        <f>D551</f>
        <v>4792300</v>
      </c>
      <c r="E563" s="138">
        <f t="shared" ref="E563" si="515">E551</f>
        <v>6682100</v>
      </c>
      <c r="F563" s="85"/>
      <c r="G563" s="361" t="s">
        <v>2755</v>
      </c>
      <c r="H563" s="21">
        <f t="shared" ref="H563:P563" si="516">H551</f>
        <v>6323100</v>
      </c>
      <c r="I563" s="220">
        <f>IF(E563=H563,0,IF(E563=0,100,(H563-E563)/E563*100))</f>
        <v>-5.3725625177713594</v>
      </c>
      <c r="J563" s="21">
        <f t="shared" si="516"/>
        <v>7041100</v>
      </c>
      <c r="K563" s="21">
        <f t="shared" si="516"/>
        <v>7369400</v>
      </c>
      <c r="L563" s="21">
        <f t="shared" si="516"/>
        <v>7782400</v>
      </c>
      <c r="M563" s="21">
        <f t="shared" si="516"/>
        <v>8321300</v>
      </c>
      <c r="N563" s="21">
        <f t="shared" si="516"/>
        <v>8642800</v>
      </c>
      <c r="O563" s="21">
        <f t="shared" si="516"/>
        <v>9168800</v>
      </c>
      <c r="P563" s="21">
        <f t="shared" si="516"/>
        <v>9675000</v>
      </c>
      <c r="Q563" s="21">
        <f t="shared" ref="Q563" si="517">Q551</f>
        <v>10237500</v>
      </c>
      <c r="R563" s="21">
        <f t="shared" ref="R563" si="518">R551</f>
        <v>10930900</v>
      </c>
      <c r="S563" s="86">
        <f t="shared" ref="S563" si="519">S551</f>
        <v>11685100</v>
      </c>
    </row>
    <row r="564" spans="1:21" s="34" customFormat="1" x14ac:dyDescent="0.2">
      <c r="A564" s="24"/>
      <c r="B564" s="21"/>
      <c r="C564" s="139"/>
      <c r="D564" s="139"/>
      <c r="E564" s="138"/>
      <c r="F564" s="85"/>
      <c r="G564" s="361"/>
      <c r="H564" s="21"/>
      <c r="I564" s="584"/>
      <c r="J564" s="21"/>
      <c r="K564" s="21"/>
      <c r="L564" s="21"/>
      <c r="M564" s="21"/>
      <c r="N564" s="21"/>
      <c r="O564" s="21"/>
      <c r="P564" s="21"/>
      <c r="Q564" s="21"/>
      <c r="R564" s="21"/>
      <c r="S564" s="86"/>
    </row>
    <row r="565" spans="1:21" s="34" customFormat="1" x14ac:dyDescent="0.2">
      <c r="A565" s="24">
        <f>A522+A330</f>
        <v>4723900</v>
      </c>
      <c r="B565" s="21">
        <f>B522+B330</f>
        <v>4502600</v>
      </c>
      <c r="C565" s="139">
        <f>C522+C330</f>
        <v>3793000</v>
      </c>
      <c r="D565" s="139">
        <f>D522+D330</f>
        <v>5030800</v>
      </c>
      <c r="E565" s="138">
        <f>E522+E330</f>
        <v>4972900</v>
      </c>
      <c r="F565" s="85"/>
      <c r="G565" s="361" t="s">
        <v>2035</v>
      </c>
      <c r="H565" s="21">
        <f>H522+H330</f>
        <v>5155000</v>
      </c>
      <c r="I565" s="220">
        <f>IF(E565=H565,0,IF(E565=0,100,(H565-E565)/E565*100))</f>
        <v>3.6618472118884351</v>
      </c>
      <c r="J565" s="21">
        <f t="shared" ref="J565:S565" si="520">J522+J330</f>
        <v>5258600</v>
      </c>
      <c r="K565" s="21">
        <f t="shared" si="520"/>
        <v>5363800</v>
      </c>
      <c r="L565" s="21">
        <f t="shared" si="520"/>
        <v>5471600</v>
      </c>
      <c r="M565" s="21">
        <f t="shared" si="520"/>
        <v>5580900</v>
      </c>
      <c r="N565" s="21">
        <f t="shared" si="520"/>
        <v>5692800</v>
      </c>
      <c r="O565" s="21">
        <f t="shared" si="520"/>
        <v>5806300</v>
      </c>
      <c r="P565" s="21">
        <f t="shared" si="520"/>
        <v>5922400</v>
      </c>
      <c r="Q565" s="21">
        <f t="shared" si="520"/>
        <v>6041200</v>
      </c>
      <c r="R565" s="21">
        <f t="shared" si="520"/>
        <v>6161600</v>
      </c>
      <c r="S565" s="86">
        <f t="shared" si="520"/>
        <v>6284600</v>
      </c>
    </row>
    <row r="566" spans="1:21" s="328" customFormat="1" x14ac:dyDescent="0.2">
      <c r="A566" s="826">
        <f>A524</f>
        <v>435600</v>
      </c>
      <c r="B566" s="332">
        <f>B524</f>
        <v>394000</v>
      </c>
      <c r="C566" s="349">
        <f>C524</f>
        <v>349200</v>
      </c>
      <c r="D566" s="349">
        <f>D524</f>
        <v>301100</v>
      </c>
      <c r="E566" s="334">
        <f t="shared" ref="E566" si="521">E524</f>
        <v>249300</v>
      </c>
      <c r="F566" s="333"/>
      <c r="G566" s="425" t="s">
        <v>908</v>
      </c>
      <c r="H566" s="332">
        <f t="shared" ref="H566:P566" si="522">H524</f>
        <v>194000</v>
      </c>
      <c r="I566" s="220">
        <f>IF(E566=H566,0,IF(E566=0,100,(H566-E566)/E566*100))</f>
        <v>-22.182109907741676</v>
      </c>
      <c r="J566" s="332">
        <f t="shared" si="522"/>
        <v>134000</v>
      </c>
      <c r="K566" s="332">
        <f t="shared" si="522"/>
        <v>69000</v>
      </c>
      <c r="L566" s="332">
        <f t="shared" si="522"/>
        <v>0</v>
      </c>
      <c r="M566" s="332">
        <f t="shared" si="522"/>
        <v>0</v>
      </c>
      <c r="N566" s="332">
        <f t="shared" si="522"/>
        <v>0</v>
      </c>
      <c r="O566" s="332">
        <f t="shared" si="522"/>
        <v>0</v>
      </c>
      <c r="P566" s="332">
        <f t="shared" si="522"/>
        <v>0</v>
      </c>
      <c r="Q566" s="332">
        <f t="shared" ref="Q566" si="523">Q524</f>
        <v>0</v>
      </c>
      <c r="R566" s="332">
        <f t="shared" ref="R566" si="524">R524</f>
        <v>0</v>
      </c>
      <c r="S566" s="2378">
        <f t="shared" ref="S566" si="525">S524</f>
        <v>0</v>
      </c>
      <c r="U566" s="34"/>
    </row>
    <row r="567" spans="1:21" s="34" customFormat="1" x14ac:dyDescent="0.2">
      <c r="A567" s="24"/>
      <c r="B567" s="21"/>
      <c r="C567" s="139"/>
      <c r="D567" s="139"/>
      <c r="E567" s="138"/>
      <c r="F567" s="85"/>
      <c r="G567" s="361"/>
      <c r="H567" s="21"/>
      <c r="I567" s="584"/>
      <c r="J567" s="21"/>
      <c r="K567" s="21"/>
      <c r="L567" s="21"/>
      <c r="M567" s="21"/>
      <c r="N567" s="21"/>
      <c r="O567" s="21"/>
      <c r="P567" s="21"/>
      <c r="Q567" s="21"/>
      <c r="R567" s="21"/>
      <c r="S567" s="86"/>
    </row>
    <row r="568" spans="1:21" s="34" customFormat="1" x14ac:dyDescent="0.2">
      <c r="A568" s="24">
        <f t="shared" ref="A568" si="526">ROUND(A561+A565-A563+A566,-3)</f>
        <v>-1758000</v>
      </c>
      <c r="B568" s="21">
        <f>ROUND(B561+B565-B563+B566,)</f>
        <v>-131300</v>
      </c>
      <c r="C568" s="139">
        <f>ROUND(C561+C565-C563+C566,)</f>
        <v>-12237400</v>
      </c>
      <c r="D568" s="139">
        <f>ROUND(D561+D565-D563+D566,)</f>
        <v>-74800</v>
      </c>
      <c r="E568" s="138">
        <f t="shared" ref="E568" si="527">ROUND(E561+E565-E563+E566,)</f>
        <v>-416400</v>
      </c>
      <c r="F568" s="85"/>
      <c r="G568" s="361" t="s">
        <v>1731</v>
      </c>
      <c r="H568" s="21">
        <f t="shared" ref="H568:O568" si="528">ROUND(H561+H565-H563+H566,)</f>
        <v>0</v>
      </c>
      <c r="I568" s="220">
        <f>IF(E568=H568,0,IF(E568=0,100,(H568-E568)/E568*100))</f>
        <v>-100</v>
      </c>
      <c r="J568" s="21">
        <f t="shared" si="528"/>
        <v>0</v>
      </c>
      <c r="K568" s="21">
        <f t="shared" si="528"/>
        <v>0</v>
      </c>
      <c r="L568" s="21">
        <f t="shared" si="528"/>
        <v>0</v>
      </c>
      <c r="M568" s="21">
        <f t="shared" si="528"/>
        <v>0</v>
      </c>
      <c r="N568" s="21">
        <f t="shared" si="528"/>
        <v>0</v>
      </c>
      <c r="O568" s="21">
        <f t="shared" si="528"/>
        <v>0</v>
      </c>
      <c r="P568" s="21">
        <f t="shared" ref="P568:Q568" si="529">ROUND(P561+P565-P563+P566,)</f>
        <v>0</v>
      </c>
      <c r="Q568" s="21">
        <f t="shared" si="529"/>
        <v>0</v>
      </c>
      <c r="R568" s="21">
        <f t="shared" ref="R568" si="530">ROUND(R561+R565-R563+R566,)</f>
        <v>0</v>
      </c>
      <c r="S568" s="86">
        <f t="shared" ref="S568" si="531">ROUND(S561+S565-S563+S566,)</f>
        <v>0</v>
      </c>
    </row>
    <row r="569" spans="1:21" s="34" customFormat="1" ht="13.5" thickBot="1" x14ac:dyDescent="0.25">
      <c r="A569" s="26"/>
      <c r="B569" s="37"/>
      <c r="C569" s="146"/>
      <c r="D569" s="146"/>
      <c r="E569" s="146"/>
      <c r="F569" s="87"/>
      <c r="G569" s="88"/>
      <c r="H569" s="23"/>
      <c r="I569" s="851"/>
      <c r="J569" s="23"/>
      <c r="K569" s="23"/>
      <c r="L569" s="23"/>
      <c r="M569" s="23"/>
      <c r="N569" s="23"/>
      <c r="O569" s="23"/>
      <c r="P569" s="23"/>
      <c r="Q569" s="23"/>
      <c r="R569" s="23"/>
      <c r="S569" s="112"/>
    </row>
    <row r="570" spans="1:21" s="34" customFormat="1" ht="14.25" thickTop="1" thickBot="1" x14ac:dyDescent="0.25">
      <c r="C570" s="144"/>
      <c r="D570" s="144"/>
      <c r="E570" s="149"/>
      <c r="I570" s="2226"/>
    </row>
    <row r="571" spans="1:21" s="39" customFormat="1" ht="13.5" thickTop="1" x14ac:dyDescent="0.2">
      <c r="A571" s="2610" t="s">
        <v>1824</v>
      </c>
      <c r="B571" s="2611"/>
      <c r="C571" s="2611"/>
      <c r="D571" s="2611"/>
      <c r="E571" s="2612"/>
      <c r="F571" s="2377" t="s">
        <v>2616</v>
      </c>
      <c r="G571" s="2372" t="s">
        <v>2213</v>
      </c>
      <c r="H571" s="2594" t="s">
        <v>2215</v>
      </c>
      <c r="I571" s="2594"/>
      <c r="J571" s="2594"/>
      <c r="K571" s="2594"/>
      <c r="L571" s="2594"/>
      <c r="M571" s="2594"/>
      <c r="N571" s="2594"/>
      <c r="O571" s="2594"/>
      <c r="P571" s="2594"/>
      <c r="Q571" s="2594"/>
      <c r="R571" s="2594"/>
      <c r="S571" s="2595"/>
      <c r="U571" s="34"/>
    </row>
    <row r="572" spans="1:21" s="34" customFormat="1" ht="13.5" thickBot="1" x14ac:dyDescent="0.25">
      <c r="A572" s="541" t="str">
        <f>A3</f>
        <v>2012/13</v>
      </c>
      <c r="B572" s="28" t="str">
        <f>$C$3</f>
        <v>2014/15</v>
      </c>
      <c r="C572" s="28" t="str">
        <f>C3</f>
        <v>2014/15</v>
      </c>
      <c r="D572" s="28" t="str">
        <f>$D$3</f>
        <v>2015/16</v>
      </c>
      <c r="E572" s="28" t="str">
        <f>+E556</f>
        <v>2016/17</v>
      </c>
      <c r="F572" s="162" t="s">
        <v>2617</v>
      </c>
      <c r="G572" s="131"/>
      <c r="H572" s="28" t="str">
        <f>$H$3</f>
        <v>2017/18</v>
      </c>
      <c r="I572" s="1436" t="s">
        <v>492</v>
      </c>
      <c r="J572" s="28" t="str">
        <f>$J$3</f>
        <v>2018/19</v>
      </c>
      <c r="K572" s="28" t="str">
        <f>$K$3</f>
        <v>2019/20</v>
      </c>
      <c r="L572" s="28" t="str">
        <f>$L$3</f>
        <v>2020/21</v>
      </c>
      <c r="M572" s="28" t="str">
        <f t="shared" ref="M572:S572" si="532">$M$3</f>
        <v>2021/22</v>
      </c>
      <c r="N572" s="28" t="str">
        <f t="shared" si="532"/>
        <v>2021/22</v>
      </c>
      <c r="O572" s="28" t="str">
        <f t="shared" si="532"/>
        <v>2021/22</v>
      </c>
      <c r="P572" s="28" t="str">
        <f t="shared" si="532"/>
        <v>2021/22</v>
      </c>
      <c r="Q572" s="28" t="str">
        <f t="shared" si="532"/>
        <v>2021/22</v>
      </c>
      <c r="R572" s="28" t="str">
        <f t="shared" si="532"/>
        <v>2021/22</v>
      </c>
      <c r="S572" s="1262" t="str">
        <f t="shared" si="532"/>
        <v>2021/22</v>
      </c>
    </row>
    <row r="573" spans="1:21" s="34" customFormat="1" x14ac:dyDescent="0.2">
      <c r="A573" s="54"/>
      <c r="B573" s="9"/>
      <c r="C573" s="134"/>
      <c r="D573" s="134"/>
      <c r="E573" s="134"/>
      <c r="F573" s="85"/>
      <c r="G573" s="27"/>
      <c r="H573" s="9"/>
      <c r="I573" s="79"/>
      <c r="J573" s="9"/>
      <c r="K573" s="9"/>
      <c r="L573" s="9"/>
      <c r="M573" s="9"/>
      <c r="N573" s="9"/>
      <c r="O573" s="9"/>
      <c r="P573" s="9"/>
      <c r="Q573" s="9"/>
      <c r="R573" s="9"/>
      <c r="S573" s="61"/>
    </row>
    <row r="574" spans="1:21" s="34" customFormat="1" x14ac:dyDescent="0.2">
      <c r="A574" s="54"/>
      <c r="B574" s="9"/>
      <c r="C574" s="134"/>
      <c r="D574" s="134"/>
      <c r="E574" s="134"/>
      <c r="F574" s="85"/>
      <c r="G574" s="27" t="s">
        <v>388</v>
      </c>
      <c r="H574" s="9"/>
      <c r="I574" s="79"/>
      <c r="J574" s="9"/>
      <c r="K574" s="9"/>
      <c r="L574" s="9"/>
      <c r="M574" s="9"/>
      <c r="N574" s="9"/>
      <c r="O574" s="9"/>
      <c r="P574" s="9"/>
      <c r="Q574" s="9"/>
      <c r="R574" s="9"/>
      <c r="S574" s="61"/>
    </row>
    <row r="575" spans="1:21" s="34" customFormat="1" x14ac:dyDescent="0.2">
      <c r="A575" s="54"/>
      <c r="B575" s="9"/>
      <c r="C575" s="134"/>
      <c r="D575" s="134"/>
      <c r="E575" s="134"/>
      <c r="F575" s="85"/>
      <c r="G575" s="27"/>
      <c r="H575" s="9"/>
      <c r="I575" s="79"/>
      <c r="J575" s="9"/>
      <c r="K575" s="9"/>
      <c r="L575" s="9"/>
      <c r="M575" s="9"/>
      <c r="N575" s="9"/>
      <c r="O575" s="9"/>
      <c r="P575" s="9"/>
      <c r="Q575" s="9"/>
      <c r="R575" s="9"/>
      <c r="S575" s="61"/>
    </row>
    <row r="576" spans="1:21" s="34" customFormat="1" x14ac:dyDescent="0.2">
      <c r="A576" s="54">
        <f>A50</f>
        <v>9633500</v>
      </c>
      <c r="B576" s="9">
        <f>B50</f>
        <v>10689100</v>
      </c>
      <c r="C576" s="134">
        <f>C50</f>
        <v>10892500</v>
      </c>
      <c r="D576" s="134">
        <f>D50</f>
        <v>11199100</v>
      </c>
      <c r="E576" s="134">
        <f>E50</f>
        <v>12409800</v>
      </c>
      <c r="F576" s="85"/>
      <c r="G576" s="46" t="str">
        <f>G558</f>
        <v>Water Operations</v>
      </c>
      <c r="H576" s="9">
        <f>H50</f>
        <v>11778400</v>
      </c>
      <c r="I576" s="584">
        <f>IF(E576=H576,0,IF(E576=0,100,(H576-E576)/E576*100))</f>
        <v>-5.0879143902399715</v>
      </c>
      <c r="J576" s="9">
        <f t="shared" ref="J576:S576" si="533">J50</f>
        <v>12143700</v>
      </c>
      <c r="K576" s="9">
        <f t="shared" si="533"/>
        <v>12332100</v>
      </c>
      <c r="L576" s="9">
        <f t="shared" si="533"/>
        <v>12608400</v>
      </c>
      <c r="M576" s="9">
        <f t="shared" si="533"/>
        <v>12999400</v>
      </c>
      <c r="N576" s="9">
        <f t="shared" si="533"/>
        <v>13275300</v>
      </c>
      <c r="O576" s="9">
        <f t="shared" si="533"/>
        <v>13601000</v>
      </c>
      <c r="P576" s="9">
        <f t="shared" si="533"/>
        <v>13940900</v>
      </c>
      <c r="Q576" s="9">
        <f t="shared" si="533"/>
        <v>14301200</v>
      </c>
      <c r="R576" s="9">
        <f t="shared" si="533"/>
        <v>14763100</v>
      </c>
      <c r="S576" s="47">
        <f t="shared" si="533"/>
        <v>15245100</v>
      </c>
    </row>
    <row r="577" spans="1:21" s="34" customFormat="1" x14ac:dyDescent="0.2">
      <c r="A577" s="54">
        <f>A113</f>
        <v>13786600</v>
      </c>
      <c r="B577" s="9">
        <f>B113</f>
        <v>14462800</v>
      </c>
      <c r="C577" s="134">
        <f>C113</f>
        <v>15355900</v>
      </c>
      <c r="D577" s="134">
        <f>D113</f>
        <v>16349100</v>
      </c>
      <c r="E577" s="134">
        <f>E113</f>
        <v>17887500</v>
      </c>
      <c r="F577" s="85"/>
      <c r="G577" s="46" t="str">
        <f>G559</f>
        <v>Wastewater Operations</v>
      </c>
      <c r="H577" s="9">
        <f>H113</f>
        <v>18218400</v>
      </c>
      <c r="I577" s="584">
        <f>IF(E577=H577,0,IF(E577=0,100,(H577-E577)/E577*100))</f>
        <v>1.8498951781970652</v>
      </c>
      <c r="J577" s="9">
        <f t="shared" ref="J577:S577" si="534">J113</f>
        <v>18670200</v>
      </c>
      <c r="K577" s="9">
        <f t="shared" si="534"/>
        <v>19117700</v>
      </c>
      <c r="L577" s="9">
        <f t="shared" si="534"/>
        <v>19601300</v>
      </c>
      <c r="M577" s="9">
        <f t="shared" si="534"/>
        <v>20141000</v>
      </c>
      <c r="N577" s="9">
        <f t="shared" si="534"/>
        <v>20644300</v>
      </c>
      <c r="O577" s="9">
        <f t="shared" si="534"/>
        <v>21144000</v>
      </c>
      <c r="P577" s="9">
        <f t="shared" si="534"/>
        <v>21719800</v>
      </c>
      <c r="Q577" s="9">
        <f t="shared" si="534"/>
        <v>22283100</v>
      </c>
      <c r="R577" s="9">
        <f t="shared" si="534"/>
        <v>22955100</v>
      </c>
      <c r="S577" s="47">
        <f t="shared" si="534"/>
        <v>23651300</v>
      </c>
    </row>
    <row r="578" spans="1:21" s="34" customFormat="1" ht="13.5" thickBot="1" x14ac:dyDescent="0.25">
      <c r="A578" s="54"/>
      <c r="B578" s="9"/>
      <c r="C578" s="136"/>
      <c r="D578" s="136"/>
      <c r="E578" s="134"/>
      <c r="F578" s="1157"/>
      <c r="G578" s="9"/>
      <c r="H578" s="9"/>
      <c r="I578" s="220"/>
      <c r="J578" s="9"/>
      <c r="K578" s="9"/>
      <c r="L578" s="9"/>
      <c r="M578" s="9"/>
      <c r="N578" s="9"/>
      <c r="O578" s="9"/>
      <c r="P578" s="9"/>
      <c r="Q578" s="9"/>
      <c r="R578" s="9"/>
      <c r="S578" s="47"/>
    </row>
    <row r="579" spans="1:21" s="39" customFormat="1" x14ac:dyDescent="0.2">
      <c r="A579" s="52">
        <f>SUM(A576:A578)</f>
        <v>23420100</v>
      </c>
      <c r="B579" s="16">
        <f>SUM(B576:B578)</f>
        <v>25151900</v>
      </c>
      <c r="C579" s="137">
        <f>SUM(C576:C578)</f>
        <v>26248400</v>
      </c>
      <c r="D579" s="137">
        <f>SUM(D576:D578)</f>
        <v>27548200</v>
      </c>
      <c r="E579" s="145">
        <f t="shared" ref="E579" si="535">SUM(E576:E578)</f>
        <v>30297300</v>
      </c>
      <c r="F579" s="1182"/>
      <c r="G579" s="267" t="s">
        <v>2561</v>
      </c>
      <c r="H579" s="16">
        <f t="shared" ref="H579:M579" si="536">SUM(H576:H578)</f>
        <v>29996800</v>
      </c>
      <c r="I579" s="220">
        <f>IF(E579=H579,0,IF(E579=0,100,(H579-E579)/E579*100))</f>
        <v>-0.99183755648193073</v>
      </c>
      <c r="J579" s="16">
        <f t="shared" si="536"/>
        <v>30813900</v>
      </c>
      <c r="K579" s="16">
        <f t="shared" si="536"/>
        <v>31449800</v>
      </c>
      <c r="L579" s="16">
        <f t="shared" si="536"/>
        <v>32209700</v>
      </c>
      <c r="M579" s="16">
        <f t="shared" si="536"/>
        <v>33140400</v>
      </c>
      <c r="N579" s="16">
        <f t="shared" ref="N579:R579" si="537">SUM(N576:N578)</f>
        <v>33919600</v>
      </c>
      <c r="O579" s="16">
        <f t="shared" si="537"/>
        <v>34745000</v>
      </c>
      <c r="P579" s="16">
        <f t="shared" si="537"/>
        <v>35660700</v>
      </c>
      <c r="Q579" s="16">
        <f t="shared" si="537"/>
        <v>36584300</v>
      </c>
      <c r="R579" s="16">
        <f t="shared" si="537"/>
        <v>37718200</v>
      </c>
      <c r="S579" s="2342">
        <f t="shared" ref="S579" si="538">SUM(S576:S578)</f>
        <v>38896400</v>
      </c>
      <c r="U579" s="34"/>
    </row>
    <row r="580" spans="1:21" s="34" customFormat="1" x14ac:dyDescent="0.2">
      <c r="A580" s="54"/>
      <c r="B580" s="9"/>
      <c r="C580" s="136"/>
      <c r="D580" s="136"/>
      <c r="E580" s="134"/>
      <c r="F580" s="1157"/>
      <c r="G580" s="9"/>
      <c r="H580" s="9"/>
      <c r="I580" s="220"/>
      <c r="J580" s="9"/>
      <c r="K580" s="9"/>
      <c r="L580" s="9"/>
      <c r="M580" s="9"/>
      <c r="N580" s="9"/>
      <c r="O580" s="9"/>
      <c r="P580" s="9"/>
      <c r="Q580" s="9"/>
      <c r="R580" s="9"/>
      <c r="S580" s="47"/>
    </row>
    <row r="581" spans="1:21" s="34" customFormat="1" x14ac:dyDescent="0.2">
      <c r="A581" s="54"/>
      <c r="B581" s="9"/>
      <c r="C581" s="136"/>
      <c r="D581" s="136"/>
      <c r="E581" s="134"/>
      <c r="F581" s="1157"/>
      <c r="G581" s="256" t="s">
        <v>2169</v>
      </c>
      <c r="H581" s="9"/>
      <c r="I581" s="220"/>
      <c r="J581" s="9"/>
      <c r="K581" s="9"/>
      <c r="L581" s="9"/>
      <c r="M581" s="9"/>
      <c r="N581" s="9"/>
      <c r="O581" s="9"/>
      <c r="P581" s="9"/>
      <c r="Q581" s="9"/>
      <c r="R581" s="9"/>
      <c r="S581" s="47"/>
    </row>
    <row r="582" spans="1:21" s="34" customFormat="1" x14ac:dyDescent="0.2">
      <c r="A582" s="54"/>
      <c r="B582" s="9"/>
      <c r="C582" s="136"/>
      <c r="D582" s="134"/>
      <c r="E582" s="134"/>
      <c r="F582" s="85"/>
      <c r="G582" s="21"/>
      <c r="H582" s="9"/>
      <c r="I582" s="220"/>
      <c r="J582" s="9"/>
      <c r="K582" s="9"/>
      <c r="L582" s="9"/>
      <c r="M582" s="9"/>
      <c r="N582" s="9"/>
      <c r="O582" s="9"/>
      <c r="P582" s="9"/>
      <c r="Q582" s="9"/>
      <c r="R582" s="9"/>
      <c r="S582" s="47"/>
    </row>
    <row r="583" spans="1:21" s="34" customFormat="1" x14ac:dyDescent="0.2">
      <c r="A583" s="54">
        <f>A81</f>
        <v>10923600</v>
      </c>
      <c r="B583" s="9">
        <f>B81</f>
        <v>11111600</v>
      </c>
      <c r="C583" s="136">
        <f>C81</f>
        <v>10817000</v>
      </c>
      <c r="D583" s="134">
        <f>D81</f>
        <v>10849900</v>
      </c>
      <c r="E583" s="134">
        <f>E81</f>
        <v>11120300</v>
      </c>
      <c r="F583" s="85"/>
      <c r="G583" s="9" t="s">
        <v>146</v>
      </c>
      <c r="H583" s="9">
        <f>H81</f>
        <v>11225400</v>
      </c>
      <c r="I583" s="584">
        <f>IF(E583=H583,0,IF(E583=0,100,(H583-E583)/E583*100))</f>
        <v>0.94511838709387341</v>
      </c>
      <c r="J583" s="9">
        <f t="shared" ref="J583:S583" si="539">J81</f>
        <v>11512000</v>
      </c>
      <c r="K583" s="9">
        <f t="shared" si="539"/>
        <v>11743300</v>
      </c>
      <c r="L583" s="9">
        <f t="shared" si="539"/>
        <v>12020800</v>
      </c>
      <c r="M583" s="9">
        <f t="shared" si="539"/>
        <v>12364600</v>
      </c>
      <c r="N583" s="9">
        <f t="shared" si="539"/>
        <v>12737500</v>
      </c>
      <c r="O583" s="9">
        <f t="shared" si="539"/>
        <v>13034500</v>
      </c>
      <c r="P583" s="9">
        <f t="shared" si="539"/>
        <v>13390800</v>
      </c>
      <c r="Q583" s="9">
        <f t="shared" si="539"/>
        <v>13756900</v>
      </c>
      <c r="R583" s="9">
        <f t="shared" si="539"/>
        <v>14116100</v>
      </c>
      <c r="S583" s="47">
        <f t="shared" si="539"/>
        <v>14443700</v>
      </c>
    </row>
    <row r="584" spans="1:21" s="34" customFormat="1" x14ac:dyDescent="0.2">
      <c r="A584" s="54">
        <f>A145</f>
        <v>17499800</v>
      </c>
      <c r="B584" s="9">
        <f>B145</f>
        <v>17044400</v>
      </c>
      <c r="C584" s="136">
        <f>C145</f>
        <v>28747200</v>
      </c>
      <c r="D584" s="134">
        <f>D145</f>
        <v>17312700</v>
      </c>
      <c r="E584" s="134">
        <f>E145</f>
        <v>18133500</v>
      </c>
      <c r="F584" s="85"/>
      <c r="G584" s="9" t="s">
        <v>846</v>
      </c>
      <c r="H584" s="9">
        <f>H145</f>
        <v>17797300</v>
      </c>
      <c r="I584" s="584">
        <f>IF(E584=H584,0,IF(E584=0,100,(H584-E584)/E584*100))</f>
        <v>-1.8540270769570131</v>
      </c>
      <c r="J584" s="9">
        <f t="shared" ref="J584:S584" si="540">J145</f>
        <v>17653400</v>
      </c>
      <c r="K584" s="9">
        <f t="shared" si="540"/>
        <v>17769900</v>
      </c>
      <c r="L584" s="9">
        <f t="shared" si="540"/>
        <v>17878100</v>
      </c>
      <c r="M584" s="9">
        <f t="shared" si="540"/>
        <v>18035400</v>
      </c>
      <c r="N584" s="9">
        <f t="shared" si="540"/>
        <v>18232100</v>
      </c>
      <c r="O584" s="9">
        <f t="shared" si="540"/>
        <v>18348000</v>
      </c>
      <c r="P584" s="9">
        <f t="shared" si="540"/>
        <v>18517300</v>
      </c>
      <c r="Q584" s="9">
        <f t="shared" si="540"/>
        <v>18631100</v>
      </c>
      <c r="R584" s="9">
        <f t="shared" si="540"/>
        <v>18832800</v>
      </c>
      <c r="S584" s="47">
        <f t="shared" si="540"/>
        <v>19052200</v>
      </c>
    </row>
    <row r="585" spans="1:21" s="34" customFormat="1" ht="13.5" thickBot="1" x14ac:dyDescent="0.25">
      <c r="A585" s="54"/>
      <c r="B585" s="9"/>
      <c r="C585" s="136"/>
      <c r="D585" s="136"/>
      <c r="E585" s="134"/>
      <c r="F585" s="1157"/>
      <c r="G585" s="257"/>
      <c r="H585" s="9"/>
      <c r="I585" s="220"/>
      <c r="J585" s="9"/>
      <c r="K585" s="9"/>
      <c r="L585" s="9"/>
      <c r="M585" s="9"/>
      <c r="N585" s="9"/>
      <c r="O585" s="9"/>
      <c r="P585" s="9"/>
      <c r="Q585" s="9"/>
      <c r="R585" s="9"/>
      <c r="S585" s="47"/>
    </row>
    <row r="586" spans="1:21" s="39" customFormat="1" x14ac:dyDescent="0.2">
      <c r="A586" s="52">
        <f>SUM(A582:A585)</f>
        <v>28423400</v>
      </c>
      <c r="B586" s="16">
        <f>SUM(B582:B585)</f>
        <v>28156000</v>
      </c>
      <c r="C586" s="137">
        <f>SUM(C582:C585)</f>
        <v>39564200</v>
      </c>
      <c r="D586" s="137">
        <f>SUM(D582:D585)</f>
        <v>28162600</v>
      </c>
      <c r="E586" s="145">
        <f t="shared" ref="E586" si="541">SUM(E582:E585)</f>
        <v>29253800</v>
      </c>
      <c r="F586" s="1182"/>
      <c r="G586" s="267" t="s">
        <v>556</v>
      </c>
      <c r="H586" s="16">
        <f t="shared" ref="H586:M586" si="542">SUM(H582:H585)</f>
        <v>29022700</v>
      </c>
      <c r="I586" s="220">
        <f>IF(E586=H586,0,IF(E586=0,100,(H586-E586)/E586*100))</f>
        <v>-0.78998283983619222</v>
      </c>
      <c r="J586" s="16">
        <f t="shared" si="542"/>
        <v>29165400</v>
      </c>
      <c r="K586" s="16">
        <f t="shared" si="542"/>
        <v>29513200</v>
      </c>
      <c r="L586" s="16">
        <f t="shared" si="542"/>
        <v>29898900</v>
      </c>
      <c r="M586" s="16">
        <f t="shared" si="542"/>
        <v>30400000</v>
      </c>
      <c r="N586" s="16">
        <f t="shared" ref="N586:R586" si="543">SUM(N582:N585)</f>
        <v>30969600</v>
      </c>
      <c r="O586" s="16">
        <f t="shared" si="543"/>
        <v>31382500</v>
      </c>
      <c r="P586" s="16">
        <f t="shared" si="543"/>
        <v>31908100</v>
      </c>
      <c r="Q586" s="16">
        <f t="shared" si="543"/>
        <v>32388000</v>
      </c>
      <c r="R586" s="16">
        <f t="shared" si="543"/>
        <v>32948900</v>
      </c>
      <c r="S586" s="2342">
        <f t="shared" ref="S586" si="544">SUM(S582:S585)</f>
        <v>33495900</v>
      </c>
      <c r="U586" s="34"/>
    </row>
    <row r="587" spans="1:21" s="34" customFormat="1" ht="13.5" thickBot="1" x14ac:dyDescent="0.25">
      <c r="A587" s="24"/>
      <c r="B587" s="21"/>
      <c r="C587" s="139"/>
      <c r="D587" s="138"/>
      <c r="E587" s="138"/>
      <c r="F587" s="85"/>
      <c r="G587" s="9"/>
      <c r="H587" s="9"/>
      <c r="I587" s="220"/>
      <c r="J587" s="9"/>
      <c r="K587" s="9"/>
      <c r="L587" s="9"/>
      <c r="M587" s="9"/>
      <c r="N587" s="9"/>
      <c r="O587" s="9"/>
      <c r="P587" s="9"/>
      <c r="Q587" s="9"/>
      <c r="R587" s="9"/>
      <c r="S587" s="47"/>
    </row>
    <row r="588" spans="1:21" s="34" customFormat="1" x14ac:dyDescent="0.2">
      <c r="A588" s="52">
        <f>A579-A586</f>
        <v>-5003300</v>
      </c>
      <c r="B588" s="16">
        <f>B579-B586</f>
        <v>-3004100</v>
      </c>
      <c r="C588" s="137">
        <f>C579-C586</f>
        <v>-13315800</v>
      </c>
      <c r="D588" s="137">
        <f>D579-D586</f>
        <v>-614400</v>
      </c>
      <c r="E588" s="145">
        <f t="shared" ref="E588" si="545">E579-E586</f>
        <v>1043500</v>
      </c>
      <c r="F588" s="85"/>
      <c r="G588" s="361" t="s">
        <v>361</v>
      </c>
      <c r="H588" s="16">
        <f t="shared" ref="H588:M588" si="546">H579-H586</f>
        <v>974100</v>
      </c>
      <c r="I588" s="220">
        <f>IF(E588=H588,0,IF(E588=0,100,(H588-E588)/E588*100))</f>
        <v>-6.6506947771921414</v>
      </c>
      <c r="J588" s="16">
        <f t="shared" si="546"/>
        <v>1648500</v>
      </c>
      <c r="K588" s="16">
        <f t="shared" si="546"/>
        <v>1936600</v>
      </c>
      <c r="L588" s="16">
        <f t="shared" si="546"/>
        <v>2310800</v>
      </c>
      <c r="M588" s="16">
        <f t="shared" si="546"/>
        <v>2740400</v>
      </c>
      <c r="N588" s="16">
        <f t="shared" ref="N588:R588" si="547">N579-N586</f>
        <v>2950000</v>
      </c>
      <c r="O588" s="16">
        <f t="shared" si="547"/>
        <v>3362500</v>
      </c>
      <c r="P588" s="16">
        <f t="shared" si="547"/>
        <v>3752600</v>
      </c>
      <c r="Q588" s="16">
        <f t="shared" si="547"/>
        <v>4196300</v>
      </c>
      <c r="R588" s="16">
        <f t="shared" si="547"/>
        <v>4769300</v>
      </c>
      <c r="S588" s="2342">
        <f t="shared" ref="S588" si="548">S579-S586</f>
        <v>5400500</v>
      </c>
    </row>
    <row r="589" spans="1:21" s="34" customFormat="1" x14ac:dyDescent="0.2">
      <c r="A589" s="24"/>
      <c r="B589" s="21"/>
      <c r="C589" s="139"/>
      <c r="D589" s="139"/>
      <c r="E589" s="138"/>
      <c r="F589" s="85"/>
      <c r="G589" s="361"/>
      <c r="H589" s="21"/>
      <c r="I589" s="63"/>
      <c r="J589" s="21"/>
      <c r="K589" s="21"/>
      <c r="L589" s="21"/>
      <c r="M589" s="21"/>
      <c r="N589" s="21"/>
      <c r="O589" s="21"/>
      <c r="P589" s="21"/>
      <c r="Q589" s="21"/>
      <c r="R589" s="21"/>
      <c r="S589" s="86"/>
    </row>
    <row r="590" spans="1:21" s="34" customFormat="1" x14ac:dyDescent="0.2">
      <c r="A590" s="24">
        <f>A588-A561</f>
        <v>0</v>
      </c>
      <c r="B590" s="21">
        <f>B588-B561</f>
        <v>0</v>
      </c>
      <c r="C590" s="139">
        <f>C588-C561</f>
        <v>0</v>
      </c>
      <c r="D590" s="139">
        <f>D588-D561</f>
        <v>0</v>
      </c>
      <c r="E590" s="138">
        <f t="shared" ref="E590" si="549">E588-E561</f>
        <v>0</v>
      </c>
      <c r="F590" s="85"/>
      <c r="G590" s="361" t="s">
        <v>1731</v>
      </c>
      <c r="H590" s="21">
        <f t="shared" ref="H590:P590" si="550">H588-H561</f>
        <v>0</v>
      </c>
      <c r="I590" s="63"/>
      <c r="J590" s="21">
        <f t="shared" si="550"/>
        <v>0</v>
      </c>
      <c r="K590" s="21">
        <f t="shared" si="550"/>
        <v>0</v>
      </c>
      <c r="L590" s="21">
        <f t="shared" si="550"/>
        <v>0</v>
      </c>
      <c r="M590" s="21">
        <f t="shared" si="550"/>
        <v>0</v>
      </c>
      <c r="N590" s="21">
        <f t="shared" si="550"/>
        <v>0</v>
      </c>
      <c r="O590" s="21">
        <f t="shared" si="550"/>
        <v>0</v>
      </c>
      <c r="P590" s="21">
        <f t="shared" si="550"/>
        <v>0</v>
      </c>
      <c r="Q590" s="21">
        <f t="shared" ref="Q590" si="551">Q588-Q561</f>
        <v>0</v>
      </c>
      <c r="R590" s="21">
        <f t="shared" ref="R590" si="552">R588-R561</f>
        <v>0</v>
      </c>
      <c r="S590" s="86">
        <f t="shared" ref="S590" si="553">S588-S561</f>
        <v>0</v>
      </c>
    </row>
    <row r="591" spans="1:21" s="34" customFormat="1" ht="13.5" thickBot="1" x14ac:dyDescent="0.25">
      <c r="A591" s="26"/>
      <c r="B591" s="37"/>
      <c r="C591" s="146"/>
      <c r="D591" s="146"/>
      <c r="E591" s="146"/>
      <c r="F591" s="87"/>
      <c r="G591" s="88"/>
      <c r="H591" s="23"/>
      <c r="I591" s="851"/>
      <c r="J591" s="23"/>
      <c r="K591" s="23"/>
      <c r="L591" s="23"/>
      <c r="M591" s="23"/>
      <c r="N591" s="23"/>
      <c r="O591" s="23"/>
      <c r="P591" s="23"/>
      <c r="Q591" s="23"/>
      <c r="R591" s="23"/>
      <c r="S591" s="112"/>
    </row>
    <row r="592" spans="1:21" ht="13.5" thickTop="1" x14ac:dyDescent="0.2">
      <c r="U592" s="34"/>
    </row>
    <row r="1048541" spans="5:8" customFormat="1" x14ac:dyDescent="0.2">
      <c r="E1048541" s="1"/>
      <c r="H1048541" s="1"/>
    </row>
    <row r="1048542" spans="5:8" customFormat="1" x14ac:dyDescent="0.2">
      <c r="E1048542" s="1"/>
      <c r="H1048542" s="1"/>
    </row>
    <row r="1048543" spans="5:8" customFormat="1" x14ac:dyDescent="0.2">
      <c r="E1048543" s="1"/>
      <c r="H1048543" s="1"/>
    </row>
    <row r="1048544" spans="5:8" customFormat="1" x14ac:dyDescent="0.2">
      <c r="E1048544" s="1"/>
      <c r="H1048544" s="1"/>
    </row>
    <row r="1048545" spans="5:8" customFormat="1" x14ac:dyDescent="0.2">
      <c r="E1048545" s="1"/>
      <c r="H1048545" s="1"/>
    </row>
    <row r="1048546" spans="5:8" customFormat="1" x14ac:dyDescent="0.2">
      <c r="E1048546" s="1"/>
      <c r="H1048546" s="1"/>
    </row>
    <row r="1048547" spans="5:8" customFormat="1" x14ac:dyDescent="0.2">
      <c r="E1048547" s="1"/>
      <c r="H1048547" s="1"/>
    </row>
    <row r="1048548" spans="5:8" customFormat="1" x14ac:dyDescent="0.2">
      <c r="E1048548" s="1"/>
      <c r="H1048548" s="1"/>
    </row>
    <row r="1048549" spans="5:8" customFormat="1" x14ac:dyDescent="0.2">
      <c r="E1048549" s="1"/>
      <c r="H1048549" s="1"/>
    </row>
    <row r="1048550" spans="5:8" customFormat="1" x14ac:dyDescent="0.2">
      <c r="E1048550" s="1"/>
      <c r="H1048550" s="1"/>
    </row>
    <row r="1048551" spans="5:8" customFormat="1" x14ac:dyDescent="0.2">
      <c r="E1048551" s="1"/>
      <c r="H1048551" s="1"/>
    </row>
    <row r="1048552" spans="5:8" customFormat="1" x14ac:dyDescent="0.2">
      <c r="E1048552" s="1"/>
      <c r="H1048552" s="1"/>
    </row>
    <row r="1048553" spans="5:8" customFormat="1" x14ac:dyDescent="0.2">
      <c r="E1048553" s="1"/>
      <c r="H1048553" s="1"/>
    </row>
    <row r="1048554" spans="5:8" customFormat="1" x14ac:dyDescent="0.2">
      <c r="E1048554" s="1"/>
      <c r="H1048554" s="1"/>
    </row>
    <row r="1048555" spans="5:8" customFormat="1" x14ac:dyDescent="0.2">
      <c r="E1048555" s="1"/>
      <c r="H1048555" s="1"/>
    </row>
    <row r="1048556" spans="5:8" customFormat="1" x14ac:dyDescent="0.2">
      <c r="E1048556" s="1"/>
      <c r="H1048556" s="1"/>
    </row>
    <row r="1048557" spans="5:8" customFormat="1" x14ac:dyDescent="0.2">
      <c r="E1048557" s="1"/>
      <c r="H1048557" s="1"/>
    </row>
    <row r="1048558" spans="5:8" customFormat="1" x14ac:dyDescent="0.2">
      <c r="E1048558" s="1"/>
      <c r="H1048558" s="1"/>
    </row>
    <row r="1048559" spans="5:8" customFormat="1" x14ac:dyDescent="0.2">
      <c r="E1048559" s="1"/>
      <c r="H1048559" s="1"/>
    </row>
    <row r="1048560" spans="5:8" customFormat="1" x14ac:dyDescent="0.2">
      <c r="E1048560" s="1"/>
      <c r="H1048560" s="1"/>
    </row>
    <row r="1048561" spans="5:8" customFormat="1" x14ac:dyDescent="0.2">
      <c r="E1048561" s="1"/>
      <c r="H1048561" s="1"/>
    </row>
  </sheetData>
  <mergeCells count="33">
    <mergeCell ref="A100:S100"/>
    <mergeCell ref="A37:S37"/>
    <mergeCell ref="A2:E2"/>
    <mergeCell ref="A38:E38"/>
    <mergeCell ref="A1:S1"/>
    <mergeCell ref="H2:S2"/>
    <mergeCell ref="H38:S38"/>
    <mergeCell ref="A101:E101"/>
    <mergeCell ref="A165:E165"/>
    <mergeCell ref="A227:E227"/>
    <mergeCell ref="H101:S101"/>
    <mergeCell ref="H165:S165"/>
    <mergeCell ref="H227:S227"/>
    <mergeCell ref="A226:S226"/>
    <mergeCell ref="A164:S164"/>
    <mergeCell ref="A555:E555"/>
    <mergeCell ref="A571:E571"/>
    <mergeCell ref="H479:S479"/>
    <mergeCell ref="H545:S545"/>
    <mergeCell ref="H555:S555"/>
    <mergeCell ref="H571:S571"/>
    <mergeCell ref="A412:S412"/>
    <mergeCell ref="A350:S350"/>
    <mergeCell ref="A288:S288"/>
    <mergeCell ref="A479:E479"/>
    <mergeCell ref="A545:E545"/>
    <mergeCell ref="A478:S478"/>
    <mergeCell ref="A289:E289"/>
    <mergeCell ref="A351:E351"/>
    <mergeCell ref="A413:E413"/>
    <mergeCell ref="H289:S289"/>
    <mergeCell ref="H351:S351"/>
    <mergeCell ref="H413:S413"/>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9" manualBreakCount="9">
    <brk id="35" max="16383" man="1"/>
    <brk id="98" max="16383" man="1"/>
    <brk id="162" max="16383" man="1"/>
    <brk id="225" max="16383" man="1"/>
    <brk id="287" max="16383" man="1"/>
    <brk id="348" max="16383" man="1"/>
    <brk id="411" max="16383" man="1"/>
    <brk id="477" max="16383" man="1"/>
    <brk id="542"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A1:DE1126"/>
  <sheetViews>
    <sheetView topLeftCell="A154" zoomScaleNormal="100" workbookViewId="0">
      <pane xSplit="1" topLeftCell="G1" activePane="topRight" state="frozen"/>
      <selection activeCell="E788" sqref="E788"/>
      <selection pane="topRight" activeCell="J182" sqref="J182"/>
    </sheetView>
  </sheetViews>
  <sheetFormatPr defaultColWidth="9.140625" defaultRowHeight="12.75" x14ac:dyDescent="0.2"/>
  <cols>
    <col min="1" max="1" width="34.5703125" style="34" customWidth="1"/>
    <col min="2" max="2" width="14.28515625" style="149" hidden="1" customWidth="1"/>
    <col min="3" max="4" width="15.140625" style="1347" hidden="1" customWidth="1"/>
    <col min="5" max="5" width="15.28515625" style="34" hidden="1" customWidth="1"/>
    <col min="6" max="6" width="10.7109375" style="34" hidden="1" customWidth="1"/>
    <col min="7" max="17" width="10.140625" style="34" customWidth="1"/>
    <col min="18" max="18" width="10.28515625" style="34" hidden="1" customWidth="1"/>
    <col min="19" max="19" width="9.85546875" style="34" hidden="1" customWidth="1"/>
    <col min="20" max="20" width="9.140625" style="34" hidden="1" customWidth="1"/>
    <col min="21" max="21" width="13.7109375" style="34" hidden="1" customWidth="1"/>
    <col min="22" max="22" width="15.140625" style="46" hidden="1" customWidth="1"/>
    <col min="23" max="23" width="10.140625" style="34" hidden="1" customWidth="1"/>
    <col min="24" max="24" width="10.28515625" style="34" hidden="1" customWidth="1"/>
    <col min="25" max="25" width="9.140625" style="34" hidden="1" customWidth="1"/>
    <col min="26" max="26" width="10.140625" style="34" hidden="1" customWidth="1"/>
    <col min="27" max="27" width="10.28515625" style="46" hidden="1" customWidth="1"/>
    <col min="28" max="28" width="10.140625" style="34" customWidth="1"/>
    <col min="29" max="29" width="8.7109375" style="34" customWidth="1"/>
    <col min="30" max="30" width="9.140625" style="34" customWidth="1"/>
    <col min="31" max="31" width="10.140625" style="34" customWidth="1"/>
    <col min="32" max="32" width="10.28515625" style="46" customWidth="1"/>
    <col min="33" max="33" width="9.140625" style="34" customWidth="1"/>
    <col min="34" max="34" width="7.5703125" style="34" customWidth="1"/>
    <col min="35" max="35" width="9.140625" style="34" customWidth="1"/>
    <col min="36" max="36" width="10.140625" style="34" customWidth="1"/>
    <col min="37" max="37" width="9.140625" style="46" customWidth="1"/>
    <col min="38" max="38" width="8" style="34" customWidth="1"/>
    <col min="39" max="39" width="10.140625" style="34" customWidth="1"/>
    <col min="40" max="40" width="6.42578125" style="34" customWidth="1"/>
    <col min="41" max="41" width="9.140625" style="34" customWidth="1"/>
    <col min="42" max="42" width="9.140625" style="46" customWidth="1"/>
    <col min="43" max="43" width="8" style="34" customWidth="1"/>
    <col min="44" max="44" width="10.140625" style="34" customWidth="1"/>
    <col min="45" max="46" width="9.140625" style="34" customWidth="1"/>
    <col min="47" max="48" width="9.140625" style="46" customWidth="1"/>
    <col min="49" max="49" width="10.140625" style="34" customWidth="1"/>
    <col min="50" max="51" width="9.140625" style="34" customWidth="1"/>
    <col min="52" max="52" width="9.140625" style="46" customWidth="1"/>
    <col min="53" max="53" width="10.28515625" style="34" customWidth="1"/>
    <col min="54" max="56" width="9.140625" style="34" customWidth="1"/>
    <col min="57" max="57" width="9.140625" style="46" customWidth="1"/>
    <col min="58" max="61" width="9.140625" style="34" customWidth="1"/>
    <col min="62" max="62" width="9.140625" style="46" customWidth="1"/>
    <col min="63" max="65" width="9.140625" style="34" customWidth="1"/>
    <col min="66" max="66" width="10.140625" style="34" customWidth="1"/>
    <col min="67" max="67" width="9.140625" style="46" customWidth="1"/>
    <col min="68" max="70" width="9.140625" style="34" customWidth="1"/>
    <col min="71" max="71" width="10.140625" style="34" customWidth="1"/>
    <col min="72" max="72" width="9.140625" style="46" customWidth="1"/>
    <col min="73" max="75" width="9.140625" style="34" customWidth="1"/>
    <col min="76" max="76" width="10.140625" style="34" customWidth="1"/>
    <col min="77" max="77" width="9.140625" style="46" customWidth="1"/>
    <col min="78" max="80" width="9.140625" style="34" customWidth="1"/>
    <col min="81" max="81" width="10.140625" style="34" bestFit="1" customWidth="1"/>
    <col min="82" max="82" width="10.140625" style="46" bestFit="1" customWidth="1"/>
    <col min="83" max="96" width="9.140625" style="34"/>
    <col min="97" max="97" width="10.140625" style="34" bestFit="1" customWidth="1"/>
    <col min="98" max="98" width="9.85546875" style="34" customWidth="1"/>
    <col min="99" max="100" width="10.140625" style="34" bestFit="1" customWidth="1"/>
    <col min="101" max="101" width="9.85546875" style="34" customWidth="1"/>
    <col min="102" max="109" width="10.140625" style="34" bestFit="1" customWidth="1"/>
    <col min="110" max="16384" width="9.140625" style="34"/>
  </cols>
  <sheetData>
    <row r="1" spans="1:109" s="317" customFormat="1" ht="24.75" customHeight="1" thickTop="1" thickBot="1" x14ac:dyDescent="0.3">
      <c r="A1" s="2623" t="s">
        <v>3072</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c r="AN1" s="2624"/>
      <c r="AO1" s="2624"/>
      <c r="AP1" s="2624"/>
      <c r="AQ1" s="2624"/>
      <c r="AR1" s="2624"/>
      <c r="AS1" s="2624"/>
      <c r="AT1" s="2624"/>
      <c r="AU1" s="2625"/>
      <c r="AV1" s="390"/>
      <c r="AW1" s="390"/>
      <c r="AX1" s="390"/>
      <c r="AY1" s="390"/>
      <c r="AZ1" s="390"/>
      <c r="BA1" s="390"/>
      <c r="BB1" s="390"/>
      <c r="BC1" s="390"/>
      <c r="BD1" s="390"/>
      <c r="BE1" s="390"/>
      <c r="BF1" s="390"/>
      <c r="BG1" s="390"/>
      <c r="BH1" s="390"/>
      <c r="BI1" s="390"/>
      <c r="BJ1" s="390"/>
      <c r="BK1" s="390"/>
      <c r="BL1" s="390"/>
      <c r="BM1" s="390"/>
      <c r="BN1" s="390"/>
      <c r="BO1" s="390"/>
      <c r="BP1" s="390"/>
      <c r="BQ1" s="390"/>
      <c r="BR1" s="390"/>
      <c r="BS1" s="390"/>
      <c r="BT1" s="390"/>
      <c r="BU1" s="390"/>
      <c r="BV1" s="390"/>
      <c r="BW1" s="390"/>
      <c r="BX1" s="390"/>
      <c r="BY1" s="390"/>
      <c r="BZ1" s="390"/>
      <c r="CA1" s="390"/>
      <c r="CB1" s="390"/>
      <c r="CC1" s="390"/>
      <c r="CD1" s="390"/>
      <c r="CE1" s="2626" t="s">
        <v>5036</v>
      </c>
      <c r="CF1" s="2627"/>
      <c r="CG1" s="2627"/>
      <c r="CH1" s="2627"/>
      <c r="CI1" s="2627"/>
      <c r="CJ1" s="2627"/>
      <c r="CK1" s="2627"/>
      <c r="CL1" s="2627"/>
      <c r="CM1" s="2627"/>
      <c r="CN1" s="2627"/>
      <c r="CO1" s="2627"/>
      <c r="CP1" s="2627"/>
      <c r="CQ1" s="2627"/>
      <c r="CR1" s="2627"/>
      <c r="CS1" s="2627"/>
      <c r="CT1" s="2627"/>
      <c r="CU1" s="2627"/>
      <c r="CV1" s="2627"/>
      <c r="CW1" s="2627"/>
      <c r="CX1" s="2627"/>
      <c r="CY1" s="2627"/>
      <c r="CZ1" s="2627"/>
      <c r="DA1" s="2627"/>
      <c r="DB1" s="2627"/>
      <c r="DC1" s="2627"/>
      <c r="DD1" s="2627"/>
      <c r="DE1" s="2628"/>
    </row>
    <row r="2" spans="1:109" ht="13.5" thickBot="1" x14ac:dyDescent="0.25">
      <c r="A2" s="290"/>
      <c r="B2" s="1351"/>
      <c r="C2" s="1329"/>
      <c r="D2" s="1383"/>
      <c r="E2" s="2638" t="s">
        <v>6815</v>
      </c>
      <c r="F2" s="2568"/>
      <c r="G2" s="2568"/>
      <c r="H2" s="2568"/>
      <c r="I2" s="2568"/>
      <c r="J2" s="2568"/>
      <c r="K2" s="2568"/>
      <c r="L2" s="2568"/>
      <c r="M2" s="2568"/>
      <c r="N2" s="2568"/>
      <c r="O2" s="2568"/>
      <c r="P2" s="2568"/>
      <c r="Q2" s="2569"/>
      <c r="R2" s="2638" t="s">
        <v>2857</v>
      </c>
      <c r="S2" s="2568"/>
      <c r="T2" s="2568"/>
      <c r="U2" s="1676" t="str">
        <f>SP!D3</f>
        <v>2015/16</v>
      </c>
      <c r="V2" s="1676"/>
      <c r="W2" s="1546" t="s">
        <v>2857</v>
      </c>
      <c r="X2" s="156"/>
      <c r="Y2" s="156"/>
      <c r="Z2" s="156" t="str">
        <f>SP!E3</f>
        <v>2016/17</v>
      </c>
      <c r="AA2" s="156"/>
      <c r="AB2" s="1546" t="str">
        <f>W2</f>
        <v>Funding Sources</v>
      </c>
      <c r="AC2" s="156"/>
      <c r="AD2" s="156"/>
      <c r="AE2" s="156" t="str">
        <f>SP!H3</f>
        <v>2017/18</v>
      </c>
      <c r="AF2" s="309"/>
      <c r="AG2" s="156" t="str">
        <f>AB2</f>
        <v>Funding Sources</v>
      </c>
      <c r="AH2" s="156"/>
      <c r="AI2" s="156"/>
      <c r="AJ2" s="156" t="str">
        <f>SP!J3</f>
        <v>2018/19</v>
      </c>
      <c r="AK2" s="309"/>
      <c r="AL2" s="156" t="str">
        <f>AG2</f>
        <v>Funding Sources</v>
      </c>
      <c r="AM2" s="156"/>
      <c r="AN2" s="156"/>
      <c r="AO2" s="156" t="str">
        <f>SP!K3</f>
        <v>2019/20</v>
      </c>
      <c r="AP2" s="309"/>
      <c r="AQ2" s="156" t="str">
        <f>AL2</f>
        <v>Funding Sources</v>
      </c>
      <c r="AR2" s="156"/>
      <c r="AS2" s="156"/>
      <c r="AT2" s="156" t="str">
        <f>SP!L3</f>
        <v>2020/21</v>
      </c>
      <c r="AU2" s="310"/>
      <c r="AV2" s="156" t="str">
        <f>AQ2</f>
        <v>Funding Sources</v>
      </c>
      <c r="AW2" s="156"/>
      <c r="AX2" s="156"/>
      <c r="AY2" s="156" t="str">
        <f>SP!M3</f>
        <v>2021/22</v>
      </c>
      <c r="AZ2" s="309"/>
      <c r="BA2" s="156" t="str">
        <f>AV2</f>
        <v>Funding Sources</v>
      </c>
      <c r="BB2" s="156"/>
      <c r="BC2" s="156"/>
      <c r="BD2" s="156" t="str">
        <f>SP!N3</f>
        <v>2022/23</v>
      </c>
      <c r="BE2" s="309"/>
      <c r="BF2" s="156" t="str">
        <f>BA2</f>
        <v>Funding Sources</v>
      </c>
      <c r="BG2" s="156"/>
      <c r="BH2" s="156"/>
      <c r="BI2" s="156" t="str">
        <f>SP!O3</f>
        <v>2023/24</v>
      </c>
      <c r="BJ2" s="309"/>
      <c r="BK2" s="156" t="str">
        <f>BF2</f>
        <v>Funding Sources</v>
      </c>
      <c r="BL2" s="156"/>
      <c r="BM2" s="156"/>
      <c r="BN2" s="156" t="str">
        <f>SP!P3</f>
        <v>2024/25</v>
      </c>
      <c r="BO2" s="309"/>
      <c r="BP2" s="156" t="str">
        <f>BK2</f>
        <v>Funding Sources</v>
      </c>
      <c r="BQ2" s="156"/>
      <c r="BR2" s="156"/>
      <c r="BS2" s="156" t="str">
        <f>SP!Q3</f>
        <v>2025/26</v>
      </c>
      <c r="BT2" s="309"/>
      <c r="BU2" s="156" t="str">
        <f>BP2</f>
        <v>Funding Sources</v>
      </c>
      <c r="BV2" s="156"/>
      <c r="BW2" s="156"/>
      <c r="BX2" s="156" t="str">
        <f>SP!R3</f>
        <v>2026/27</v>
      </c>
      <c r="BY2" s="309"/>
      <c r="BZ2" s="156" t="str">
        <f>BU2</f>
        <v>Funding Sources</v>
      </c>
      <c r="CA2" s="156"/>
      <c r="CB2" s="156"/>
      <c r="CC2" s="156" t="str">
        <f>SP!S3</f>
        <v>2027/28</v>
      </c>
      <c r="CD2" s="156"/>
      <c r="CE2" s="2631" t="s">
        <v>3396</v>
      </c>
      <c r="CF2" s="2618"/>
      <c r="CG2" s="2618"/>
      <c r="CH2" s="2618"/>
      <c r="CI2" s="2618"/>
      <c r="CJ2" s="2618"/>
      <c r="CK2" s="2618"/>
      <c r="CL2" s="2618"/>
      <c r="CM2" s="2618"/>
      <c r="CN2" s="2618"/>
      <c r="CO2" s="2618"/>
      <c r="CP2" s="2618"/>
      <c r="CQ2" s="2618"/>
      <c r="CR2" s="2632"/>
      <c r="CS2" s="2629" t="s">
        <v>3397</v>
      </c>
      <c r="CT2" s="2577"/>
      <c r="CU2" s="2577"/>
      <c r="CV2" s="2577"/>
      <c r="CW2" s="2577"/>
      <c r="CX2" s="2577"/>
      <c r="CY2" s="2577"/>
      <c r="CZ2" s="2577"/>
      <c r="DA2" s="2577"/>
      <c r="DB2" s="2577"/>
      <c r="DC2" s="2577"/>
      <c r="DD2" s="2577"/>
      <c r="DE2" s="2630"/>
    </row>
    <row r="3" spans="1:109" s="46" customFormat="1" ht="27" customHeight="1" thickBot="1" x14ac:dyDescent="0.25">
      <c r="A3" s="291" t="s">
        <v>1189</v>
      </c>
      <c r="B3" s="1835" t="s">
        <v>4957</v>
      </c>
      <c r="C3" s="1835" t="s">
        <v>3900</v>
      </c>
      <c r="D3" s="2379" t="s">
        <v>11933</v>
      </c>
      <c r="E3" s="1115" t="str">
        <f>SP!D3</f>
        <v>2015/16</v>
      </c>
      <c r="F3" s="1115" t="s">
        <v>1587</v>
      </c>
      <c r="G3" s="311" t="str">
        <f>SP!H3</f>
        <v>2017/18</v>
      </c>
      <c r="H3" s="1115" t="str">
        <f>SP!J3</f>
        <v>2018/19</v>
      </c>
      <c r="I3" s="1115" t="str">
        <f>SP!K3</f>
        <v>2019/20</v>
      </c>
      <c r="J3" s="1115" t="str">
        <f>SP!L3</f>
        <v>2020/21</v>
      </c>
      <c r="K3" s="1115" t="str">
        <f>SP!M3</f>
        <v>2021/22</v>
      </c>
      <c r="L3" s="1115" t="str">
        <f>SP!N3</f>
        <v>2022/23</v>
      </c>
      <c r="M3" s="1115" t="str">
        <f>SP!O3</f>
        <v>2023/24</v>
      </c>
      <c r="N3" s="311" t="str">
        <f>SP!P3</f>
        <v>2024/25</v>
      </c>
      <c r="O3" s="311" t="str">
        <f>SP!Q3</f>
        <v>2025/26</v>
      </c>
      <c r="P3" s="311" t="str">
        <f>SP!R3</f>
        <v>2026/27</v>
      </c>
      <c r="Q3" s="2232" t="str">
        <f>SP!S3</f>
        <v>2027/28</v>
      </c>
      <c r="R3" s="313" t="s">
        <v>2470</v>
      </c>
      <c r="S3" s="313" t="s">
        <v>5035</v>
      </c>
      <c r="T3" s="313" t="s">
        <v>2042</v>
      </c>
      <c r="U3" s="313" t="s">
        <v>2290</v>
      </c>
      <c r="V3" s="1119" t="s">
        <v>2682</v>
      </c>
      <c r="W3" s="1663" t="s">
        <v>2470</v>
      </c>
      <c r="X3" s="313" t="str">
        <f>S3</f>
        <v>Sec 94</v>
      </c>
      <c r="Y3" s="313" t="str">
        <f>T3</f>
        <v>Loans</v>
      </c>
      <c r="Z3" s="313" t="str">
        <f>U3</f>
        <v>Reserves</v>
      </c>
      <c r="AA3" s="1119" t="str">
        <f>V3</f>
        <v>General Revenue</v>
      </c>
      <c r="AB3" s="1663" t="str">
        <f t="shared" ref="AB3:AJ3" si="0">W3</f>
        <v>Grants / Conts</v>
      </c>
      <c r="AC3" s="313" t="str">
        <f t="shared" si="0"/>
        <v>Sec 94</v>
      </c>
      <c r="AD3" s="313" t="str">
        <f t="shared" si="0"/>
        <v>Loans</v>
      </c>
      <c r="AE3" s="313" t="str">
        <f t="shared" si="0"/>
        <v>Reserves</v>
      </c>
      <c r="AF3" s="316" t="str">
        <f>AA3</f>
        <v>General Revenue</v>
      </c>
      <c r="AG3" s="313" t="str">
        <f t="shared" si="0"/>
        <v>Grants / Conts</v>
      </c>
      <c r="AH3" s="313" t="str">
        <f t="shared" si="0"/>
        <v>Sec 94</v>
      </c>
      <c r="AI3" s="313" t="str">
        <f t="shared" si="0"/>
        <v>Loans</v>
      </c>
      <c r="AJ3" s="313" t="str">
        <f t="shared" si="0"/>
        <v>Reserves</v>
      </c>
      <c r="AK3" s="316" t="str">
        <f t="shared" ref="AK3:AP3" si="1">AF3</f>
        <v>General Revenue</v>
      </c>
      <c r="AL3" s="313" t="str">
        <f t="shared" si="1"/>
        <v>Grants / Conts</v>
      </c>
      <c r="AM3" s="313" t="str">
        <f t="shared" si="1"/>
        <v>Sec 94</v>
      </c>
      <c r="AN3" s="313" t="str">
        <f t="shared" si="1"/>
        <v>Loans</v>
      </c>
      <c r="AO3" s="313" t="str">
        <f t="shared" si="1"/>
        <v>Reserves</v>
      </c>
      <c r="AP3" s="316" t="str">
        <f t="shared" si="1"/>
        <v>General Revenue</v>
      </c>
      <c r="AQ3" s="313" t="str">
        <f>AL3</f>
        <v>Grants / Conts</v>
      </c>
      <c r="AR3" s="313" t="str">
        <f>AM3</f>
        <v>Sec 94</v>
      </c>
      <c r="AS3" s="313" t="str">
        <f>AN3</f>
        <v>Loans</v>
      </c>
      <c r="AT3" s="313" t="str">
        <f>AO3</f>
        <v>Reserves</v>
      </c>
      <c r="AU3" s="315" t="str">
        <f>AP3</f>
        <v>General Revenue</v>
      </c>
      <c r="AV3" s="314" t="str">
        <f t="shared" ref="AV3:BE3" si="2">AL3</f>
        <v>Grants / Conts</v>
      </c>
      <c r="AW3" s="387" t="str">
        <f t="shared" si="2"/>
        <v>Sec 94</v>
      </c>
      <c r="AX3" s="387" t="str">
        <f t="shared" si="2"/>
        <v>Loans</v>
      </c>
      <c r="AY3" s="387" t="str">
        <f t="shared" si="2"/>
        <v>Reserves</v>
      </c>
      <c r="AZ3" s="316" t="str">
        <f t="shared" si="2"/>
        <v>General Revenue</v>
      </c>
      <c r="BA3" s="313" t="str">
        <f t="shared" si="2"/>
        <v>Grants / Conts</v>
      </c>
      <c r="BB3" s="313" t="str">
        <f t="shared" si="2"/>
        <v>Sec 94</v>
      </c>
      <c r="BC3" s="313" t="str">
        <f t="shared" si="2"/>
        <v>Loans</v>
      </c>
      <c r="BD3" s="313" t="str">
        <f t="shared" si="2"/>
        <v>Reserves</v>
      </c>
      <c r="BE3" s="316" t="str">
        <f t="shared" si="2"/>
        <v>General Revenue</v>
      </c>
      <c r="BF3" s="313" t="str">
        <f t="shared" ref="BF3:BO3" si="3">AV3</f>
        <v>Grants / Conts</v>
      </c>
      <c r="BG3" s="313" t="str">
        <f t="shared" si="3"/>
        <v>Sec 94</v>
      </c>
      <c r="BH3" s="313" t="str">
        <f t="shared" si="3"/>
        <v>Loans</v>
      </c>
      <c r="BI3" s="313" t="str">
        <f t="shared" si="3"/>
        <v>Reserves</v>
      </c>
      <c r="BJ3" s="316" t="str">
        <f t="shared" si="3"/>
        <v>General Revenue</v>
      </c>
      <c r="BK3" s="313" t="str">
        <f t="shared" si="3"/>
        <v>Grants / Conts</v>
      </c>
      <c r="BL3" s="313" t="str">
        <f t="shared" si="3"/>
        <v>Sec 94</v>
      </c>
      <c r="BM3" s="313" t="str">
        <f t="shared" si="3"/>
        <v>Loans</v>
      </c>
      <c r="BN3" s="313" t="str">
        <f t="shared" si="3"/>
        <v>Reserves</v>
      </c>
      <c r="BO3" s="316" t="str">
        <f t="shared" si="3"/>
        <v>General Revenue</v>
      </c>
      <c r="BP3" s="313" t="str">
        <f t="shared" ref="BP3" si="4">BF3</f>
        <v>Grants / Conts</v>
      </c>
      <c r="BQ3" s="313" t="str">
        <f t="shared" ref="BQ3" si="5">BG3</f>
        <v>Sec 94</v>
      </c>
      <c r="BR3" s="313" t="str">
        <f t="shared" ref="BR3" si="6">BH3</f>
        <v>Loans</v>
      </c>
      <c r="BS3" s="313" t="str">
        <f t="shared" ref="BS3" si="7">BI3</f>
        <v>Reserves</v>
      </c>
      <c r="BT3" s="316" t="str">
        <f t="shared" ref="BT3" si="8">BJ3</f>
        <v>General Revenue</v>
      </c>
      <c r="BU3" s="313" t="str">
        <f t="shared" ref="BU3" si="9">BK3</f>
        <v>Grants / Conts</v>
      </c>
      <c r="BV3" s="313" t="str">
        <f t="shared" ref="BV3" si="10">BL3</f>
        <v>Sec 94</v>
      </c>
      <c r="BW3" s="313" t="str">
        <f t="shared" ref="BW3" si="11">BM3</f>
        <v>Loans</v>
      </c>
      <c r="BX3" s="313" t="str">
        <f t="shared" ref="BX3" si="12">BN3</f>
        <v>Reserves</v>
      </c>
      <c r="BY3" s="316" t="str">
        <f t="shared" ref="BY3" si="13">BO3</f>
        <v>General Revenue</v>
      </c>
      <c r="BZ3" s="313" t="str">
        <f t="shared" ref="BZ3" si="14">BP3</f>
        <v>Grants / Conts</v>
      </c>
      <c r="CA3" s="313" t="str">
        <f t="shared" ref="CA3" si="15">BQ3</f>
        <v>Sec 94</v>
      </c>
      <c r="CB3" s="313" t="str">
        <f t="shared" ref="CB3" si="16">BR3</f>
        <v>Loans</v>
      </c>
      <c r="CC3" s="313" t="str">
        <f t="shared" ref="CC3" si="17">BS3</f>
        <v>Reserves</v>
      </c>
      <c r="CD3" s="1119" t="str">
        <f t="shared" ref="CD3" si="18">BT3</f>
        <v>General Revenue</v>
      </c>
      <c r="CE3" s="1404" t="str">
        <f t="shared" ref="CE3:CQ3" si="19">E3</f>
        <v>2015/16</v>
      </c>
      <c r="CF3" s="1682" t="str">
        <f t="shared" si="19"/>
        <v>2016/17</v>
      </c>
      <c r="CG3" s="1682" t="str">
        <f t="shared" si="19"/>
        <v>2017/18</v>
      </c>
      <c r="CH3" s="1682" t="str">
        <f t="shared" si="19"/>
        <v>2018/19</v>
      </c>
      <c r="CI3" s="1682" t="str">
        <f t="shared" si="19"/>
        <v>2019/20</v>
      </c>
      <c r="CJ3" s="1682" t="str">
        <f t="shared" si="19"/>
        <v>2020/21</v>
      </c>
      <c r="CK3" s="1682" t="str">
        <f t="shared" si="19"/>
        <v>2021/22</v>
      </c>
      <c r="CL3" s="1682" t="str">
        <f t="shared" si="19"/>
        <v>2022/23</v>
      </c>
      <c r="CM3" s="1682" t="str">
        <f t="shared" si="19"/>
        <v>2023/24</v>
      </c>
      <c r="CN3" s="1682" t="str">
        <f t="shared" si="19"/>
        <v>2024/25</v>
      </c>
      <c r="CO3" s="1682" t="str">
        <f t="shared" si="19"/>
        <v>2025/26</v>
      </c>
      <c r="CP3" s="1682" t="str">
        <f t="shared" si="19"/>
        <v>2026/27</v>
      </c>
      <c r="CQ3" s="2236" t="str">
        <f t="shared" si="19"/>
        <v>2027/28</v>
      </c>
      <c r="CR3" s="1682"/>
      <c r="CS3" s="1835" t="str">
        <f t="shared" ref="CS3:DE3" si="20">CE3</f>
        <v>2015/16</v>
      </c>
      <c r="CT3" s="2236" t="str">
        <f t="shared" si="20"/>
        <v>2016/17</v>
      </c>
      <c r="CU3" s="2236" t="str">
        <f t="shared" si="20"/>
        <v>2017/18</v>
      </c>
      <c r="CV3" s="2236" t="str">
        <f t="shared" si="20"/>
        <v>2018/19</v>
      </c>
      <c r="CW3" s="2236" t="str">
        <f t="shared" si="20"/>
        <v>2019/20</v>
      </c>
      <c r="CX3" s="2236" t="str">
        <f t="shared" si="20"/>
        <v>2020/21</v>
      </c>
      <c r="CY3" s="2236" t="str">
        <f t="shared" si="20"/>
        <v>2021/22</v>
      </c>
      <c r="CZ3" s="2236" t="str">
        <f t="shared" si="20"/>
        <v>2022/23</v>
      </c>
      <c r="DA3" s="2236" t="str">
        <f t="shared" si="20"/>
        <v>2023/24</v>
      </c>
      <c r="DB3" s="2236" t="str">
        <f t="shared" si="20"/>
        <v>2024/25</v>
      </c>
      <c r="DC3" s="2236" t="str">
        <f t="shared" si="20"/>
        <v>2025/26</v>
      </c>
      <c r="DD3" s="2236" t="str">
        <f t="shared" si="20"/>
        <v>2026/27</v>
      </c>
      <c r="DE3" s="2252" t="str">
        <f t="shared" si="20"/>
        <v>2027/28</v>
      </c>
    </row>
    <row r="4" spans="1:109" s="46" customFormat="1" x14ac:dyDescent="0.2">
      <c r="A4" s="407"/>
      <c r="B4" s="1352"/>
      <c r="C4" s="1338"/>
      <c r="D4" s="1384"/>
      <c r="E4" s="1182"/>
      <c r="F4" s="1182"/>
      <c r="G4" s="126"/>
      <c r="H4" s="126"/>
      <c r="I4" s="126"/>
      <c r="J4" s="126"/>
      <c r="K4" s="126"/>
      <c r="L4" s="127"/>
      <c r="M4" s="1182"/>
      <c r="N4" s="126"/>
      <c r="O4" s="126"/>
      <c r="P4" s="126"/>
      <c r="Q4" s="1548"/>
      <c r="R4" s="568"/>
      <c r="S4" s="568"/>
      <c r="T4" s="568"/>
      <c r="U4" s="568"/>
      <c r="V4" s="1120"/>
      <c r="W4" s="1664"/>
      <c r="X4" s="568"/>
      <c r="Y4" s="568"/>
      <c r="Z4" s="568"/>
      <c r="AA4" s="1120"/>
      <c r="AB4" s="1664"/>
      <c r="AC4" s="568"/>
      <c r="AD4" s="568"/>
      <c r="AE4" s="568"/>
      <c r="AF4" s="570"/>
      <c r="AG4" s="568"/>
      <c r="AH4" s="568"/>
      <c r="AI4" s="568"/>
      <c r="AJ4" s="568"/>
      <c r="AK4" s="570"/>
      <c r="AL4" s="568"/>
      <c r="AM4" s="568"/>
      <c r="AN4" s="568"/>
      <c r="AO4" s="568"/>
      <c r="AP4" s="570"/>
      <c r="AQ4" s="568"/>
      <c r="AR4" s="568"/>
      <c r="AS4" s="568"/>
      <c r="AT4" s="568"/>
      <c r="AU4" s="572"/>
      <c r="AV4" s="569"/>
      <c r="AW4" s="571"/>
      <c r="AX4" s="571"/>
      <c r="AY4" s="571"/>
      <c r="AZ4" s="570"/>
      <c r="BA4" s="568"/>
      <c r="BB4" s="568"/>
      <c r="BC4" s="568"/>
      <c r="BD4" s="568"/>
      <c r="BE4" s="570"/>
      <c r="BF4" s="568"/>
      <c r="BG4" s="568"/>
      <c r="BH4" s="568"/>
      <c r="BI4" s="568"/>
      <c r="BJ4" s="570"/>
      <c r="BK4" s="568"/>
      <c r="BL4" s="568"/>
      <c r="BM4" s="568"/>
      <c r="BN4" s="568"/>
      <c r="BO4" s="570"/>
      <c r="BP4" s="568"/>
      <c r="BQ4" s="568"/>
      <c r="BR4" s="568"/>
      <c r="BS4" s="568"/>
      <c r="BT4" s="570"/>
      <c r="BU4" s="568"/>
      <c r="BV4" s="568"/>
      <c r="BW4" s="568"/>
      <c r="BX4" s="568"/>
      <c r="BY4" s="570"/>
      <c r="BZ4" s="568"/>
      <c r="CA4" s="568"/>
      <c r="CB4" s="568"/>
      <c r="CC4" s="568"/>
      <c r="CD4" s="1120"/>
      <c r="CE4" s="45"/>
      <c r="CS4" s="350"/>
      <c r="DE4" s="61"/>
    </row>
    <row r="5" spans="1:109" s="46" customFormat="1" x14ac:dyDescent="0.2">
      <c r="A5" s="295" t="str">
        <f>'Res-Gen'!A5</f>
        <v>Strategic and Community Facilities Group</v>
      </c>
      <c r="B5" s="1352"/>
      <c r="C5" s="1338"/>
      <c r="D5" s="1384"/>
      <c r="E5" s="1182"/>
      <c r="F5" s="1182"/>
      <c r="G5" s="126"/>
      <c r="H5" s="271"/>
      <c r="I5" s="271"/>
      <c r="J5" s="271"/>
      <c r="K5" s="271"/>
      <c r="L5" s="126"/>
      <c r="M5" s="1182"/>
      <c r="N5" s="126"/>
      <c r="O5" s="126"/>
      <c r="P5" s="126"/>
      <c r="Q5" s="1548"/>
      <c r="R5" s="568"/>
      <c r="S5" s="568"/>
      <c r="T5" s="568"/>
      <c r="U5" s="568"/>
      <c r="V5" s="1120"/>
      <c r="W5" s="1664"/>
      <c r="X5" s="568"/>
      <c r="Y5" s="571"/>
      <c r="Z5" s="568"/>
      <c r="AA5" s="1120"/>
      <c r="AB5" s="1664"/>
      <c r="AC5" s="568"/>
      <c r="AD5" s="568"/>
      <c r="AE5" s="568"/>
      <c r="AF5" s="570"/>
      <c r="AG5" s="568"/>
      <c r="AH5" s="568"/>
      <c r="AI5" s="568"/>
      <c r="AJ5" s="568"/>
      <c r="AK5" s="570"/>
      <c r="AL5" s="568"/>
      <c r="AM5" s="568"/>
      <c r="AN5" s="568"/>
      <c r="AO5" s="568"/>
      <c r="AP5" s="570"/>
      <c r="AQ5" s="568"/>
      <c r="AR5" s="568"/>
      <c r="AS5" s="568"/>
      <c r="AT5" s="568"/>
      <c r="AU5" s="572"/>
      <c r="AV5" s="569"/>
      <c r="AW5" s="571"/>
      <c r="AX5" s="571"/>
      <c r="AY5" s="571"/>
      <c r="AZ5" s="570"/>
      <c r="BA5" s="568"/>
      <c r="BB5" s="568"/>
      <c r="BC5" s="568"/>
      <c r="BD5" s="568"/>
      <c r="BE5" s="570"/>
      <c r="BF5" s="568"/>
      <c r="BG5" s="568"/>
      <c r="BH5" s="568"/>
      <c r="BI5" s="568"/>
      <c r="BJ5" s="570"/>
      <c r="BK5" s="568"/>
      <c r="BL5" s="568"/>
      <c r="BM5" s="568"/>
      <c r="BN5" s="568"/>
      <c r="BO5" s="570"/>
      <c r="BP5" s="568"/>
      <c r="BQ5" s="568"/>
      <c r="BR5" s="568"/>
      <c r="BS5" s="568"/>
      <c r="BT5" s="570"/>
      <c r="BU5" s="568"/>
      <c r="BV5" s="568"/>
      <c r="BW5" s="568"/>
      <c r="BX5" s="568"/>
      <c r="BY5" s="570"/>
      <c r="BZ5" s="568"/>
      <c r="CA5" s="568"/>
      <c r="CB5" s="568"/>
      <c r="CC5" s="568"/>
      <c r="CD5" s="1120"/>
      <c r="CE5" s="45"/>
      <c r="CS5" s="350"/>
      <c r="DE5" s="61"/>
    </row>
    <row r="6" spans="1:109" s="46" customFormat="1" x14ac:dyDescent="0.2">
      <c r="A6" s="778" t="s">
        <v>4785</v>
      </c>
      <c r="B6" s="1353"/>
      <c r="C6" s="1338"/>
      <c r="D6" s="1384"/>
      <c r="E6" s="1182"/>
      <c r="F6" s="1182"/>
      <c r="G6" s="126"/>
      <c r="H6" s="271"/>
      <c r="I6" s="271"/>
      <c r="J6" s="271"/>
      <c r="K6" s="271"/>
      <c r="L6" s="126"/>
      <c r="M6" s="1678"/>
      <c r="N6" s="126"/>
      <c r="O6" s="126"/>
      <c r="P6" s="126"/>
      <c r="Q6" s="1548"/>
      <c r="R6" s="568"/>
      <c r="S6" s="568"/>
      <c r="T6" s="568"/>
      <c r="U6" s="568"/>
      <c r="V6" s="1120"/>
      <c r="W6" s="1664"/>
      <c r="X6" s="568"/>
      <c r="Y6" s="9"/>
      <c r="Z6" s="568"/>
      <c r="AA6" s="1120"/>
      <c r="AB6" s="1664"/>
      <c r="AC6" s="568"/>
      <c r="AD6" s="568"/>
      <c r="AE6" s="568"/>
      <c r="AF6" s="570"/>
      <c r="AG6" s="568"/>
      <c r="AH6" s="568"/>
      <c r="AI6" s="568"/>
      <c r="AJ6" s="568"/>
      <c r="AK6" s="570"/>
      <c r="AL6" s="568"/>
      <c r="AM6" s="568"/>
      <c r="AN6" s="568"/>
      <c r="AO6" s="568"/>
      <c r="AP6" s="570"/>
      <c r="AQ6" s="568"/>
      <c r="AR6" s="568"/>
      <c r="AS6" s="568"/>
      <c r="AT6" s="568"/>
      <c r="AU6" s="572"/>
      <c r="AV6" s="569"/>
      <c r="AW6" s="571"/>
      <c r="AX6" s="571"/>
      <c r="AY6" s="571"/>
      <c r="AZ6" s="570"/>
      <c r="BA6" s="568"/>
      <c r="BB6" s="568"/>
      <c r="BC6" s="568"/>
      <c r="BD6" s="568"/>
      <c r="BE6" s="570"/>
      <c r="BF6" s="568"/>
      <c r="BG6" s="568"/>
      <c r="BH6" s="568"/>
      <c r="BI6" s="568"/>
      <c r="BJ6" s="570"/>
      <c r="BK6" s="568"/>
      <c r="BL6" s="568"/>
      <c r="BM6" s="568"/>
      <c r="BN6" s="568"/>
      <c r="BO6" s="570"/>
      <c r="BP6" s="568"/>
      <c r="BQ6" s="568"/>
      <c r="BR6" s="568"/>
      <c r="BS6" s="568"/>
      <c r="BT6" s="570"/>
      <c r="BU6" s="568"/>
      <c r="BV6" s="568"/>
      <c r="BW6" s="568"/>
      <c r="BX6" s="568"/>
      <c r="BY6" s="570"/>
      <c r="BZ6" s="568"/>
      <c r="CA6" s="568"/>
      <c r="CB6" s="568"/>
      <c r="CC6" s="568"/>
      <c r="CD6" s="1120"/>
      <c r="CE6" s="1405"/>
      <c r="CF6" s="538"/>
      <c r="CG6" s="538"/>
      <c r="CH6" s="538"/>
      <c r="CI6" s="538"/>
      <c r="CJ6" s="538"/>
      <c r="CK6" s="538"/>
      <c r="CL6" s="538"/>
      <c r="CM6" s="538"/>
      <c r="CN6" s="538"/>
      <c r="CO6" s="538"/>
      <c r="CP6" s="538"/>
      <c r="CQ6" s="538"/>
      <c r="CR6" s="538"/>
      <c r="CS6" s="350"/>
      <c r="DE6" s="61"/>
    </row>
    <row r="7" spans="1:109" s="31" customFormat="1" x14ac:dyDescent="0.2">
      <c r="A7" s="615" t="s">
        <v>3588</v>
      </c>
      <c r="B7" s="1354" t="s">
        <v>6347</v>
      </c>
      <c r="C7" s="1346" t="s">
        <v>6348</v>
      </c>
      <c r="D7" s="1331" t="s">
        <v>6348</v>
      </c>
      <c r="E7" s="89">
        <v>217600</v>
      </c>
      <c r="F7" s="9">
        <v>19900</v>
      </c>
      <c r="G7" s="9">
        <v>23000</v>
      </c>
      <c r="H7" s="29">
        <f>ROUND((G7*Assumptions!I$6+G7),-3)</f>
        <v>24000</v>
      </c>
      <c r="I7" s="29">
        <f>ROUND((H7*Assumptions!J$6+H7),-3)</f>
        <v>25000</v>
      </c>
      <c r="J7" s="29">
        <f>ROUND((I7*Assumptions!K$6+I7),-3)</f>
        <v>26000</v>
      </c>
      <c r="K7" s="29">
        <f>ROUND((J7*Assumptions!L$6+J7),-3)</f>
        <v>27000</v>
      </c>
      <c r="L7" s="9">
        <f>ROUND((K7*Assumptions!M$6+K7),-3)</f>
        <v>28000</v>
      </c>
      <c r="M7" s="46">
        <f>ROUND((L7*Assumptions!N$6+L7),-3)</f>
        <v>29000</v>
      </c>
      <c r="N7" s="9">
        <f>ROUND((M7*Assumptions!O$6+M7),-3)</f>
        <v>30000</v>
      </c>
      <c r="O7" s="9">
        <f>ROUND((N7*Assumptions!P$6+N7),-3)</f>
        <v>31000</v>
      </c>
      <c r="P7" s="9">
        <f>ROUND((O7*Assumptions!Q$6+O7),-3)</f>
        <v>32000</v>
      </c>
      <c r="Q7" s="49">
        <f>ROUND((P7*Assumptions!R$6+P7),-3)</f>
        <v>33000</v>
      </c>
      <c r="R7" s="89">
        <f>'Cap Inc'!B6:B6</f>
        <v>20000</v>
      </c>
      <c r="S7" s="9"/>
      <c r="T7" s="9"/>
      <c r="U7" s="9">
        <f>170200+6000</f>
        <v>176200</v>
      </c>
      <c r="V7" s="46">
        <f>E7-R7-S7-T7-U7</f>
        <v>21400</v>
      </c>
      <c r="W7" s="133"/>
      <c r="X7" s="9"/>
      <c r="Y7" s="9"/>
      <c r="Z7" s="89"/>
      <c r="AA7" s="46">
        <f>F7-W7-X7-Y7-Z7</f>
        <v>19900</v>
      </c>
      <c r="AB7" s="133"/>
      <c r="AC7" s="9"/>
      <c r="AD7" s="9"/>
      <c r="AE7" s="9"/>
      <c r="AF7" s="49">
        <f>G7-AB7-AC7-AD7-AE7</f>
        <v>23000</v>
      </c>
      <c r="AG7" s="89"/>
      <c r="AH7" s="9"/>
      <c r="AI7" s="9"/>
      <c r="AJ7" s="9"/>
      <c r="AK7" s="49">
        <f>H7-AG7-AH7-AI7-AJ7</f>
        <v>24000</v>
      </c>
      <c r="AL7" s="89"/>
      <c r="AM7" s="9"/>
      <c r="AN7" s="9"/>
      <c r="AO7" s="9"/>
      <c r="AP7" s="49">
        <f>I7-AL7-AM7-AN7-AO7</f>
        <v>25000</v>
      </c>
      <c r="AQ7" s="89"/>
      <c r="AR7" s="9"/>
      <c r="AS7" s="9"/>
      <c r="AT7" s="9"/>
      <c r="AU7" s="61">
        <f>J7-AQ7-AR7-AS7-AT7</f>
        <v>26000</v>
      </c>
      <c r="AV7" s="46"/>
      <c r="AW7" s="9"/>
      <c r="AX7" s="9"/>
      <c r="AY7" s="9"/>
      <c r="AZ7" s="49">
        <f>K7-AV7-AW7-AX7-AY7</f>
        <v>27000</v>
      </c>
      <c r="BA7" s="89"/>
      <c r="BB7" s="9"/>
      <c r="BC7" s="9"/>
      <c r="BD7" s="9"/>
      <c r="BE7" s="49">
        <f>L7-BA7-BB7-BC7-BD7</f>
        <v>28000</v>
      </c>
      <c r="BF7" s="89"/>
      <c r="BG7" s="9"/>
      <c r="BH7" s="9"/>
      <c r="BI7" s="9"/>
      <c r="BJ7" s="49">
        <f>M7-BF7-BG7-BH7-BI7</f>
        <v>29000</v>
      </c>
      <c r="BK7" s="89"/>
      <c r="BL7" s="9"/>
      <c r="BM7" s="9"/>
      <c r="BN7" s="9"/>
      <c r="BO7" s="49">
        <f>N7-BK7-BL7-BM7-BN7</f>
        <v>30000</v>
      </c>
      <c r="BP7" s="89"/>
      <c r="BQ7" s="9"/>
      <c r="BR7" s="9"/>
      <c r="BS7" s="9"/>
      <c r="BT7" s="49">
        <f>O7-BP7-BQ7-BR7-BS7</f>
        <v>31000</v>
      </c>
      <c r="BU7" s="89"/>
      <c r="BV7" s="9"/>
      <c r="BW7" s="9"/>
      <c r="BX7" s="9"/>
      <c r="BY7" s="49">
        <f>P7-BU7-BV7-BW7-BX7</f>
        <v>32000</v>
      </c>
      <c r="BZ7" s="89"/>
      <c r="CA7" s="9"/>
      <c r="CB7" s="9"/>
      <c r="CC7" s="9"/>
      <c r="CD7" s="46">
        <f>Q7-BZ7-CA7-CB7-CC7</f>
        <v>33000</v>
      </c>
      <c r="CE7" s="1406">
        <v>1</v>
      </c>
      <c r="CF7" s="833">
        <f t="shared" ref="CF7:CN7" si="21">CE7</f>
        <v>1</v>
      </c>
      <c r="CG7" s="833">
        <f t="shared" si="21"/>
        <v>1</v>
      </c>
      <c r="CH7" s="833">
        <f t="shared" si="21"/>
        <v>1</v>
      </c>
      <c r="CI7" s="833">
        <f t="shared" si="21"/>
        <v>1</v>
      </c>
      <c r="CJ7" s="833">
        <f t="shared" si="21"/>
        <v>1</v>
      </c>
      <c r="CK7" s="833">
        <f t="shared" si="21"/>
        <v>1</v>
      </c>
      <c r="CL7" s="833">
        <f t="shared" si="21"/>
        <v>1</v>
      </c>
      <c r="CM7" s="833">
        <f t="shared" si="21"/>
        <v>1</v>
      </c>
      <c r="CN7" s="833">
        <f t="shared" si="21"/>
        <v>1</v>
      </c>
      <c r="CO7" s="833">
        <f t="shared" ref="CO7:CQ11" si="22">CN7</f>
        <v>1</v>
      </c>
      <c r="CP7" s="833">
        <f t="shared" si="22"/>
        <v>1</v>
      </c>
      <c r="CQ7" s="833">
        <f t="shared" si="22"/>
        <v>1</v>
      </c>
      <c r="CR7" s="833"/>
      <c r="CS7" s="1125">
        <f t="shared" ref="CS7:DE11" si="23">ROUND(CE7*E7,-3)</f>
        <v>218000</v>
      </c>
      <c r="CT7" s="31">
        <f t="shared" si="23"/>
        <v>20000</v>
      </c>
      <c r="CU7" s="31">
        <f t="shared" si="23"/>
        <v>23000</v>
      </c>
      <c r="CV7" s="31">
        <f t="shared" si="23"/>
        <v>24000</v>
      </c>
      <c r="CW7" s="31">
        <f t="shared" si="23"/>
        <v>25000</v>
      </c>
      <c r="CX7" s="31">
        <f t="shared" si="23"/>
        <v>26000</v>
      </c>
      <c r="CY7" s="31">
        <f t="shared" si="23"/>
        <v>27000</v>
      </c>
      <c r="CZ7" s="31">
        <f t="shared" si="23"/>
        <v>28000</v>
      </c>
      <c r="DA7" s="31">
        <f t="shared" si="23"/>
        <v>29000</v>
      </c>
      <c r="DB7" s="31">
        <f t="shared" si="23"/>
        <v>30000</v>
      </c>
      <c r="DC7" s="31">
        <f t="shared" si="23"/>
        <v>31000</v>
      </c>
      <c r="DD7" s="31">
        <f t="shared" si="23"/>
        <v>32000</v>
      </c>
      <c r="DE7" s="78">
        <f t="shared" si="23"/>
        <v>33000</v>
      </c>
    </row>
    <row r="8" spans="1:109" x14ac:dyDescent="0.2">
      <c r="A8" s="615" t="s">
        <v>5938</v>
      </c>
      <c r="B8" s="1352" t="s">
        <v>6084</v>
      </c>
      <c r="C8" s="1335" t="s">
        <v>6083</v>
      </c>
      <c r="D8" s="1330"/>
      <c r="E8" s="89">
        <v>25200</v>
      </c>
      <c r="F8" s="9">
        <v>300</v>
      </c>
      <c r="G8" s="9">
        <v>20900</v>
      </c>
      <c r="H8" s="29"/>
      <c r="I8" s="29"/>
      <c r="J8" s="29"/>
      <c r="K8" s="29"/>
      <c r="L8" s="29"/>
      <c r="M8" s="29"/>
      <c r="N8" s="126"/>
      <c r="O8" s="126"/>
      <c r="P8" s="126"/>
      <c r="Q8" s="1548"/>
      <c r="R8" s="89"/>
      <c r="S8" s="9"/>
      <c r="T8" s="9"/>
      <c r="U8" s="9">
        <f>'Res-Gen'!C20-6000-2500-7000-1300</f>
        <v>25200</v>
      </c>
      <c r="W8" s="133"/>
      <c r="X8" s="9"/>
      <c r="Y8" s="46"/>
      <c r="Z8" s="9"/>
      <c r="AA8" s="46">
        <f t="shared" ref="AA8:AA24" si="24">F8-W8-X8-Y8-Z8</f>
        <v>300</v>
      </c>
      <c r="AB8" s="133"/>
      <c r="AC8" s="9"/>
      <c r="AD8" s="9"/>
      <c r="AE8" s="9">
        <f>+G8</f>
        <v>20900</v>
      </c>
      <c r="AF8" s="49">
        <f>G8-AB8-AC8-AD8-AE8</f>
        <v>0</v>
      </c>
      <c r="AG8" s="89"/>
      <c r="AH8" s="9"/>
      <c r="AI8" s="9"/>
      <c r="AJ8" s="9"/>
      <c r="AK8" s="49">
        <f t="shared" ref="AK8:AK11" si="25">H8-AG8-AH8-AI8-AJ8</f>
        <v>0</v>
      </c>
      <c r="AL8" s="89"/>
      <c r="AM8" s="9"/>
      <c r="AN8" s="9"/>
      <c r="AO8" s="9"/>
      <c r="AP8" s="49">
        <f>I8-AL8-AM8-AN8-AO8</f>
        <v>0</v>
      </c>
      <c r="AQ8" s="89"/>
      <c r="AR8" s="9"/>
      <c r="AS8" s="9"/>
      <c r="AT8" s="9"/>
      <c r="AU8" s="61">
        <f>J8-AQ8-AR8-AS8-AT8</f>
        <v>0</v>
      </c>
      <c r="AW8" s="9"/>
      <c r="AX8" s="9"/>
      <c r="AY8" s="9"/>
      <c r="AZ8" s="49">
        <f>K8-AV8-AW8-AX8-AY8</f>
        <v>0</v>
      </c>
      <c r="BA8" s="89"/>
      <c r="BB8" s="9"/>
      <c r="BC8" s="9"/>
      <c r="BD8" s="9"/>
      <c r="BE8" s="49">
        <f>L8-BA8-BB8-BC8-BD8</f>
        <v>0</v>
      </c>
      <c r="BF8" s="89"/>
      <c r="BG8" s="9"/>
      <c r="BH8" s="9"/>
      <c r="BI8" s="9"/>
      <c r="BJ8" s="49">
        <f>M8-BF8-BG8-BH8-BI8</f>
        <v>0</v>
      </c>
      <c r="BK8" s="89"/>
      <c r="BL8" s="9"/>
      <c r="BM8" s="9"/>
      <c r="BN8" s="9"/>
      <c r="BO8" s="49">
        <f>N8-BK8-BL8-BM8-BN8</f>
        <v>0</v>
      </c>
      <c r="BP8" s="89"/>
      <c r="BQ8" s="9"/>
      <c r="BR8" s="9"/>
      <c r="BS8" s="9"/>
      <c r="BT8" s="49">
        <f>O8-BP8-BQ8-BR8-BS8</f>
        <v>0</v>
      </c>
      <c r="BU8" s="89"/>
      <c r="BV8" s="9"/>
      <c r="BW8" s="9"/>
      <c r="BX8" s="9"/>
      <c r="BY8" s="49">
        <f t="shared" ref="BY8:BY11" si="26">P8-BU8-BV8-BW8-BX8</f>
        <v>0</v>
      </c>
      <c r="BZ8" s="89"/>
      <c r="CA8" s="9"/>
      <c r="CB8" s="9"/>
      <c r="CC8" s="9"/>
      <c r="CD8" s="46">
        <f t="shared" ref="CD8:CD11" si="27">Q8-BZ8-CA8-CB8-CC8</f>
        <v>0</v>
      </c>
      <c r="CE8" s="1406">
        <v>1</v>
      </c>
      <c r="CF8" s="833">
        <f t="shared" ref="CF8:CN8" si="28">CE8</f>
        <v>1</v>
      </c>
      <c r="CG8" s="833">
        <f t="shared" si="28"/>
        <v>1</v>
      </c>
      <c r="CH8" s="833">
        <f t="shared" si="28"/>
        <v>1</v>
      </c>
      <c r="CI8" s="833">
        <f t="shared" si="28"/>
        <v>1</v>
      </c>
      <c r="CJ8" s="833">
        <f t="shared" si="28"/>
        <v>1</v>
      </c>
      <c r="CK8" s="833">
        <f t="shared" si="28"/>
        <v>1</v>
      </c>
      <c r="CL8" s="833">
        <f t="shared" si="28"/>
        <v>1</v>
      </c>
      <c r="CM8" s="833">
        <f t="shared" si="28"/>
        <v>1</v>
      </c>
      <c r="CN8" s="833">
        <f t="shared" si="28"/>
        <v>1</v>
      </c>
      <c r="CO8" s="833">
        <f t="shared" si="22"/>
        <v>1</v>
      </c>
      <c r="CP8" s="833">
        <f t="shared" si="22"/>
        <v>1</v>
      </c>
      <c r="CQ8" s="833">
        <f t="shared" si="22"/>
        <v>1</v>
      </c>
      <c r="CR8" s="833"/>
      <c r="CS8" s="1125">
        <f t="shared" si="23"/>
        <v>25000</v>
      </c>
      <c r="CT8" s="31">
        <f t="shared" si="23"/>
        <v>0</v>
      </c>
      <c r="CU8" s="31">
        <f t="shared" si="23"/>
        <v>21000</v>
      </c>
      <c r="CV8" s="31">
        <f t="shared" si="23"/>
        <v>0</v>
      </c>
      <c r="CW8" s="31">
        <f t="shared" si="23"/>
        <v>0</v>
      </c>
      <c r="CX8" s="31">
        <f t="shared" si="23"/>
        <v>0</v>
      </c>
      <c r="CY8" s="31">
        <f t="shared" si="23"/>
        <v>0</v>
      </c>
      <c r="CZ8" s="31">
        <f t="shared" si="23"/>
        <v>0</v>
      </c>
      <c r="DA8" s="31">
        <f t="shared" si="23"/>
        <v>0</v>
      </c>
      <c r="DB8" s="31">
        <f t="shared" si="23"/>
        <v>0</v>
      </c>
      <c r="DC8" s="31">
        <f t="shared" si="23"/>
        <v>0</v>
      </c>
      <c r="DD8" s="31">
        <f t="shared" si="23"/>
        <v>0</v>
      </c>
      <c r="DE8" s="78">
        <f t="shared" si="23"/>
        <v>0</v>
      </c>
    </row>
    <row r="9" spans="1:109" x14ac:dyDescent="0.2">
      <c r="A9" s="615" t="s">
        <v>3499</v>
      </c>
      <c r="B9" s="1352" t="s">
        <v>6085</v>
      </c>
      <c r="C9" s="1335" t="s">
        <v>4959</v>
      </c>
      <c r="D9" s="1330"/>
      <c r="E9" s="89">
        <v>11900</v>
      </c>
      <c r="F9" s="9"/>
      <c r="G9" s="9"/>
      <c r="H9" s="29"/>
      <c r="I9" s="29"/>
      <c r="J9" s="29"/>
      <c r="K9" s="29"/>
      <c r="L9" s="29"/>
      <c r="M9" s="29"/>
      <c r="N9" s="126"/>
      <c r="O9" s="126"/>
      <c r="P9" s="126"/>
      <c r="Q9" s="1548"/>
      <c r="R9" s="89"/>
      <c r="S9" s="9"/>
      <c r="T9" s="9"/>
      <c r="U9" s="9">
        <v>11900</v>
      </c>
      <c r="V9" s="46">
        <f>E9-R9-S9-T9-U9</f>
        <v>0</v>
      </c>
      <c r="W9" s="133"/>
      <c r="X9" s="9"/>
      <c r="Y9" s="46"/>
      <c r="Z9" s="9">
        <f>F9</f>
        <v>0</v>
      </c>
      <c r="AA9" s="46">
        <f t="shared" si="24"/>
        <v>0</v>
      </c>
      <c r="AB9" s="133"/>
      <c r="AC9" s="9"/>
      <c r="AD9" s="9"/>
      <c r="AE9" s="9"/>
      <c r="AF9" s="49">
        <f>G9-AB9-AC9-AD9-AE9</f>
        <v>0</v>
      </c>
      <c r="AG9" s="89"/>
      <c r="AH9" s="9"/>
      <c r="AI9" s="9"/>
      <c r="AJ9" s="9"/>
      <c r="AK9" s="49">
        <f t="shared" si="25"/>
        <v>0</v>
      </c>
      <c r="AL9" s="89"/>
      <c r="AM9" s="9"/>
      <c r="AN9" s="9"/>
      <c r="AO9" s="9"/>
      <c r="AP9" s="49">
        <f>I9-AL9-AM9-AN9-AO9</f>
        <v>0</v>
      </c>
      <c r="AQ9" s="89"/>
      <c r="AR9" s="9"/>
      <c r="AS9" s="9"/>
      <c r="AT9" s="9"/>
      <c r="AU9" s="61">
        <f>J9-AQ9-AR9-AS9-AT9</f>
        <v>0</v>
      </c>
      <c r="AW9" s="9"/>
      <c r="AX9" s="9"/>
      <c r="AY9" s="9"/>
      <c r="AZ9" s="49">
        <f>K9-AV9-AW9-AX9-AY9</f>
        <v>0</v>
      </c>
      <c r="BA9" s="89"/>
      <c r="BB9" s="9"/>
      <c r="BC9" s="9"/>
      <c r="BD9" s="9"/>
      <c r="BE9" s="49">
        <f>L9-BA9-BB9-BC9-BD9</f>
        <v>0</v>
      </c>
      <c r="BF9" s="89"/>
      <c r="BG9" s="9"/>
      <c r="BH9" s="9"/>
      <c r="BI9" s="9"/>
      <c r="BJ9" s="49">
        <f>M9-BF9-BG9-BH9-BI9</f>
        <v>0</v>
      </c>
      <c r="BK9" s="89"/>
      <c r="BL9" s="9"/>
      <c r="BM9" s="9"/>
      <c r="BN9" s="9"/>
      <c r="BO9" s="49">
        <f>N9-BK9-BL9-BM9-BN9</f>
        <v>0</v>
      </c>
      <c r="BP9" s="89"/>
      <c r="BQ9" s="9"/>
      <c r="BR9" s="9"/>
      <c r="BS9" s="9"/>
      <c r="BT9" s="49">
        <f>O9-BP9-BQ9-BR9-BS9</f>
        <v>0</v>
      </c>
      <c r="BU9" s="89"/>
      <c r="BV9" s="9"/>
      <c r="BW9" s="9"/>
      <c r="BX9" s="9"/>
      <c r="BY9" s="49">
        <f t="shared" si="26"/>
        <v>0</v>
      </c>
      <c r="BZ9" s="89"/>
      <c r="CA9" s="9"/>
      <c r="CB9" s="9"/>
      <c r="CC9" s="9"/>
      <c r="CD9" s="46">
        <f t="shared" si="27"/>
        <v>0</v>
      </c>
      <c r="CE9" s="1406">
        <v>1</v>
      </c>
      <c r="CF9" s="833">
        <f t="shared" ref="CF9:CN9" si="29">CE9</f>
        <v>1</v>
      </c>
      <c r="CG9" s="833">
        <f t="shared" si="29"/>
        <v>1</v>
      </c>
      <c r="CH9" s="833">
        <f t="shared" si="29"/>
        <v>1</v>
      </c>
      <c r="CI9" s="833">
        <f t="shared" si="29"/>
        <v>1</v>
      </c>
      <c r="CJ9" s="833">
        <f t="shared" si="29"/>
        <v>1</v>
      </c>
      <c r="CK9" s="833">
        <f t="shared" si="29"/>
        <v>1</v>
      </c>
      <c r="CL9" s="833">
        <f t="shared" si="29"/>
        <v>1</v>
      </c>
      <c r="CM9" s="833">
        <f t="shared" si="29"/>
        <v>1</v>
      </c>
      <c r="CN9" s="833">
        <f t="shared" si="29"/>
        <v>1</v>
      </c>
      <c r="CO9" s="833">
        <f t="shared" si="22"/>
        <v>1</v>
      </c>
      <c r="CP9" s="833">
        <f t="shared" si="22"/>
        <v>1</v>
      </c>
      <c r="CQ9" s="833">
        <f t="shared" si="22"/>
        <v>1</v>
      </c>
      <c r="CR9" s="833"/>
      <c r="CS9" s="1125">
        <f t="shared" si="23"/>
        <v>12000</v>
      </c>
      <c r="CT9" s="31">
        <f t="shared" si="23"/>
        <v>0</v>
      </c>
      <c r="CU9" s="31">
        <f t="shared" si="23"/>
        <v>0</v>
      </c>
      <c r="CV9" s="31">
        <f t="shared" si="23"/>
        <v>0</v>
      </c>
      <c r="CW9" s="31">
        <f t="shared" si="23"/>
        <v>0</v>
      </c>
      <c r="CX9" s="31">
        <f t="shared" si="23"/>
        <v>0</v>
      </c>
      <c r="CY9" s="31">
        <f t="shared" si="23"/>
        <v>0</v>
      </c>
      <c r="CZ9" s="31">
        <f t="shared" si="23"/>
        <v>0</v>
      </c>
      <c r="DA9" s="31">
        <f t="shared" si="23"/>
        <v>0</v>
      </c>
      <c r="DB9" s="31">
        <f t="shared" si="23"/>
        <v>0</v>
      </c>
      <c r="DC9" s="31">
        <f t="shared" si="23"/>
        <v>0</v>
      </c>
      <c r="DD9" s="31">
        <f t="shared" si="23"/>
        <v>0</v>
      </c>
      <c r="DE9" s="78">
        <f t="shared" si="23"/>
        <v>0</v>
      </c>
    </row>
    <row r="10" spans="1:109" x14ac:dyDescent="0.2">
      <c r="A10" s="615" t="s">
        <v>3727</v>
      </c>
      <c r="B10" s="1352" t="s">
        <v>3901</v>
      </c>
      <c r="C10" s="1335" t="s">
        <v>4022</v>
      </c>
      <c r="D10" s="1330"/>
      <c r="E10" s="89">
        <v>111100</v>
      </c>
      <c r="F10" s="9"/>
      <c r="G10" s="9"/>
      <c r="H10" s="29"/>
      <c r="I10" s="29"/>
      <c r="J10" s="29"/>
      <c r="K10" s="29"/>
      <c r="L10" s="29"/>
      <c r="M10" s="29"/>
      <c r="N10" s="126"/>
      <c r="O10" s="126"/>
      <c r="P10" s="126"/>
      <c r="Q10" s="1548"/>
      <c r="R10" s="89"/>
      <c r="S10" s="9"/>
      <c r="T10" s="9"/>
      <c r="U10" s="9">
        <f>'Res-Gen'!C21+2500</f>
        <v>81500</v>
      </c>
      <c r="V10" s="46">
        <f>E10-R10-S10-T10-U10</f>
        <v>29600</v>
      </c>
      <c r="W10" s="133"/>
      <c r="X10" s="9"/>
      <c r="Y10" s="46"/>
      <c r="Z10" s="9"/>
      <c r="AA10" s="46">
        <f t="shared" si="24"/>
        <v>0</v>
      </c>
      <c r="AB10" s="133"/>
      <c r="AC10" s="9"/>
      <c r="AD10" s="9"/>
      <c r="AE10" s="9"/>
      <c r="AF10" s="49">
        <f>G10-AB10-AC10-AD10-AE10</f>
        <v>0</v>
      </c>
      <c r="AG10" s="89"/>
      <c r="AH10" s="9"/>
      <c r="AI10" s="9"/>
      <c r="AJ10" s="9"/>
      <c r="AK10" s="49">
        <f t="shared" si="25"/>
        <v>0</v>
      </c>
      <c r="AL10" s="89"/>
      <c r="AM10" s="9"/>
      <c r="AN10" s="9"/>
      <c r="AO10" s="9"/>
      <c r="AP10" s="49">
        <f>I10-AL10-AM10-AN10-AO10</f>
        <v>0</v>
      </c>
      <c r="AQ10" s="89"/>
      <c r="AR10" s="9"/>
      <c r="AS10" s="9"/>
      <c r="AT10" s="9"/>
      <c r="AU10" s="61">
        <f>J10-AQ10-AR10-AS10-AT10</f>
        <v>0</v>
      </c>
      <c r="AW10" s="9"/>
      <c r="AX10" s="9"/>
      <c r="AY10" s="9"/>
      <c r="AZ10" s="49">
        <f>K10-AV10-AW10-AX10-AY10</f>
        <v>0</v>
      </c>
      <c r="BA10" s="89"/>
      <c r="BB10" s="9"/>
      <c r="BC10" s="9"/>
      <c r="BD10" s="9"/>
      <c r="BE10" s="49">
        <f>L10-BA10-BB10-BC10-BD10</f>
        <v>0</v>
      </c>
      <c r="BF10" s="89"/>
      <c r="BG10" s="9"/>
      <c r="BH10" s="9"/>
      <c r="BI10" s="9"/>
      <c r="BJ10" s="49">
        <f>M10-BF10-BG10-BH10-BI10</f>
        <v>0</v>
      </c>
      <c r="BK10" s="89"/>
      <c r="BL10" s="9"/>
      <c r="BM10" s="9"/>
      <c r="BN10" s="9"/>
      <c r="BO10" s="49">
        <f>N10-BK10-BL10-BM10-BN10</f>
        <v>0</v>
      </c>
      <c r="BP10" s="89"/>
      <c r="BQ10" s="9"/>
      <c r="BR10" s="9"/>
      <c r="BS10" s="9"/>
      <c r="BT10" s="49">
        <f>O10-BP10-BQ10-BR10-BS10</f>
        <v>0</v>
      </c>
      <c r="BU10" s="89"/>
      <c r="BV10" s="9"/>
      <c r="BW10" s="9"/>
      <c r="BX10" s="9"/>
      <c r="BY10" s="49">
        <f t="shared" si="26"/>
        <v>0</v>
      </c>
      <c r="BZ10" s="89"/>
      <c r="CA10" s="9"/>
      <c r="CB10" s="9"/>
      <c r="CC10" s="9"/>
      <c r="CD10" s="46">
        <f t="shared" si="27"/>
        <v>0</v>
      </c>
      <c r="CE10" s="1406">
        <v>0</v>
      </c>
      <c r="CF10" s="833">
        <f t="shared" ref="CF10:CN10" si="30">CE10</f>
        <v>0</v>
      </c>
      <c r="CG10" s="833">
        <f t="shared" si="30"/>
        <v>0</v>
      </c>
      <c r="CH10" s="833">
        <f t="shared" si="30"/>
        <v>0</v>
      </c>
      <c r="CI10" s="833">
        <f t="shared" si="30"/>
        <v>0</v>
      </c>
      <c r="CJ10" s="833">
        <f t="shared" si="30"/>
        <v>0</v>
      </c>
      <c r="CK10" s="833">
        <f t="shared" si="30"/>
        <v>0</v>
      </c>
      <c r="CL10" s="833">
        <f t="shared" si="30"/>
        <v>0</v>
      </c>
      <c r="CM10" s="833">
        <f t="shared" si="30"/>
        <v>0</v>
      </c>
      <c r="CN10" s="833">
        <f t="shared" si="30"/>
        <v>0</v>
      </c>
      <c r="CO10" s="833">
        <f t="shared" si="22"/>
        <v>0</v>
      </c>
      <c r="CP10" s="833">
        <f t="shared" si="22"/>
        <v>0</v>
      </c>
      <c r="CQ10" s="833">
        <f t="shared" si="22"/>
        <v>0</v>
      </c>
      <c r="CR10" s="833"/>
      <c r="CS10" s="1125">
        <f t="shared" si="23"/>
        <v>0</v>
      </c>
      <c r="CT10" s="31">
        <f t="shared" si="23"/>
        <v>0</v>
      </c>
      <c r="CU10" s="31">
        <f t="shared" si="23"/>
        <v>0</v>
      </c>
      <c r="CV10" s="31">
        <f t="shared" si="23"/>
        <v>0</v>
      </c>
      <c r="CW10" s="31">
        <f t="shared" si="23"/>
        <v>0</v>
      </c>
      <c r="CX10" s="31">
        <f t="shared" si="23"/>
        <v>0</v>
      </c>
      <c r="CY10" s="31">
        <f t="shared" si="23"/>
        <v>0</v>
      </c>
      <c r="CZ10" s="31">
        <f t="shared" si="23"/>
        <v>0</v>
      </c>
      <c r="DA10" s="31">
        <f t="shared" si="23"/>
        <v>0</v>
      </c>
      <c r="DB10" s="31">
        <f t="shared" si="23"/>
        <v>0</v>
      </c>
      <c r="DC10" s="31">
        <f t="shared" si="23"/>
        <v>0</v>
      </c>
      <c r="DD10" s="31">
        <f t="shared" si="23"/>
        <v>0</v>
      </c>
      <c r="DE10" s="78">
        <f t="shared" si="23"/>
        <v>0</v>
      </c>
    </row>
    <row r="11" spans="1:109" x14ac:dyDescent="0.2">
      <c r="A11" s="615" t="s">
        <v>5900</v>
      </c>
      <c r="B11" s="1355" t="s">
        <v>430</v>
      </c>
      <c r="C11" s="1335"/>
      <c r="D11" s="1330" t="s">
        <v>7090</v>
      </c>
      <c r="E11" s="89">
        <v>9600</v>
      </c>
      <c r="F11" s="9">
        <v>25000</v>
      </c>
      <c r="G11" s="9">
        <f>3257000+75000-2332000</f>
        <v>1000000</v>
      </c>
      <c r="H11" s="29">
        <f>5000000+2332000</f>
        <v>7332000</v>
      </c>
      <c r="I11" s="29"/>
      <c r="J11" s="29"/>
      <c r="K11" s="29"/>
      <c r="L11" s="29"/>
      <c r="M11" s="29"/>
      <c r="N11" s="126"/>
      <c r="O11" s="126"/>
      <c r="P11" s="126"/>
      <c r="Q11" s="1548"/>
      <c r="R11" s="89"/>
      <c r="S11" s="9"/>
      <c r="T11" s="9"/>
      <c r="U11" s="9">
        <f>E11</f>
        <v>9600</v>
      </c>
      <c r="V11" s="46">
        <f>E11-R11-S11-T11-U11</f>
        <v>0</v>
      </c>
      <c r="W11" s="133"/>
      <c r="X11" s="9"/>
      <c r="Y11" s="46"/>
      <c r="Z11" s="9">
        <f>+F11</f>
        <v>25000</v>
      </c>
      <c r="AA11" s="46">
        <f t="shared" si="24"/>
        <v>0</v>
      </c>
      <c r="AB11" s="133"/>
      <c r="AC11" s="9"/>
      <c r="AD11" s="9"/>
      <c r="AE11" s="9">
        <f>G11</f>
        <v>1000000</v>
      </c>
      <c r="AF11" s="49">
        <f>G11-AB11-AC11-AD11-AE11</f>
        <v>0</v>
      </c>
      <c r="AG11" s="89"/>
      <c r="AH11" s="9"/>
      <c r="AI11" s="9"/>
      <c r="AJ11" s="9">
        <f>H11</f>
        <v>7332000</v>
      </c>
      <c r="AK11" s="49">
        <f t="shared" si="25"/>
        <v>0</v>
      </c>
      <c r="AL11" s="89"/>
      <c r="AM11" s="9"/>
      <c r="AN11" s="9"/>
      <c r="AO11" s="9"/>
      <c r="AP11" s="49">
        <f>I11-AL11-AM11-AN11-AO11</f>
        <v>0</v>
      </c>
      <c r="AQ11" s="89"/>
      <c r="AR11" s="9"/>
      <c r="AS11" s="9"/>
      <c r="AT11" s="9"/>
      <c r="AU11" s="61">
        <f>J11-AQ11-AR11-AS11-AT11</f>
        <v>0</v>
      </c>
      <c r="AW11" s="9"/>
      <c r="AX11" s="9"/>
      <c r="AY11" s="9"/>
      <c r="AZ11" s="49">
        <f>K11-AV11-AW11-AX11-AY11</f>
        <v>0</v>
      </c>
      <c r="BA11" s="89"/>
      <c r="BB11" s="9"/>
      <c r="BC11" s="9"/>
      <c r="BD11" s="9"/>
      <c r="BE11" s="49">
        <f>L11-BA11-BB11-BC11-BD11</f>
        <v>0</v>
      </c>
      <c r="BF11" s="89"/>
      <c r="BG11" s="9"/>
      <c r="BH11" s="9"/>
      <c r="BI11" s="9"/>
      <c r="BJ11" s="49">
        <f>M11-BF11-BG11-BH11-BI11</f>
        <v>0</v>
      </c>
      <c r="BK11" s="89"/>
      <c r="BL11" s="9"/>
      <c r="BM11" s="9"/>
      <c r="BN11" s="9"/>
      <c r="BO11" s="49">
        <f>N11-BK11-BL11-BM11-BN11</f>
        <v>0</v>
      </c>
      <c r="BP11" s="89"/>
      <c r="BQ11" s="9"/>
      <c r="BR11" s="9"/>
      <c r="BS11" s="9"/>
      <c r="BT11" s="49">
        <f>O11-BP11-BQ11-BR11-BS11</f>
        <v>0</v>
      </c>
      <c r="BU11" s="89"/>
      <c r="BV11" s="9"/>
      <c r="BW11" s="9"/>
      <c r="BX11" s="9"/>
      <c r="BY11" s="49">
        <f t="shared" si="26"/>
        <v>0</v>
      </c>
      <c r="BZ11" s="89"/>
      <c r="CA11" s="9"/>
      <c r="CB11" s="9"/>
      <c r="CC11" s="9"/>
      <c r="CD11" s="46">
        <f t="shared" si="27"/>
        <v>0</v>
      </c>
      <c r="CE11" s="1406">
        <v>0</v>
      </c>
      <c r="CF11" s="833">
        <f t="shared" ref="CF11:CN11" si="31">CE11</f>
        <v>0</v>
      </c>
      <c r="CG11" s="833">
        <f t="shared" si="31"/>
        <v>0</v>
      </c>
      <c r="CH11" s="833">
        <f t="shared" si="31"/>
        <v>0</v>
      </c>
      <c r="CI11" s="833">
        <f t="shared" si="31"/>
        <v>0</v>
      </c>
      <c r="CJ11" s="833">
        <f t="shared" si="31"/>
        <v>0</v>
      </c>
      <c r="CK11" s="833">
        <f t="shared" si="31"/>
        <v>0</v>
      </c>
      <c r="CL11" s="833">
        <f t="shared" si="31"/>
        <v>0</v>
      </c>
      <c r="CM11" s="833">
        <f t="shared" si="31"/>
        <v>0</v>
      </c>
      <c r="CN11" s="833">
        <f t="shared" si="31"/>
        <v>0</v>
      </c>
      <c r="CO11" s="833">
        <f t="shared" si="22"/>
        <v>0</v>
      </c>
      <c r="CP11" s="833">
        <f t="shared" si="22"/>
        <v>0</v>
      </c>
      <c r="CQ11" s="833">
        <f t="shared" si="22"/>
        <v>0</v>
      </c>
      <c r="CR11" s="833"/>
      <c r="CS11" s="1125">
        <f t="shared" si="23"/>
        <v>0</v>
      </c>
      <c r="CT11" s="31">
        <f t="shared" si="23"/>
        <v>0</v>
      </c>
      <c r="CU11" s="31">
        <f t="shared" si="23"/>
        <v>0</v>
      </c>
      <c r="CV11" s="31">
        <f t="shared" si="23"/>
        <v>0</v>
      </c>
      <c r="CW11" s="31">
        <f t="shared" si="23"/>
        <v>0</v>
      </c>
      <c r="CX11" s="31">
        <f t="shared" si="23"/>
        <v>0</v>
      </c>
      <c r="CY11" s="31">
        <f t="shared" si="23"/>
        <v>0</v>
      </c>
      <c r="CZ11" s="31">
        <f t="shared" si="23"/>
        <v>0</v>
      </c>
      <c r="DA11" s="31">
        <f t="shared" si="23"/>
        <v>0</v>
      </c>
      <c r="DB11" s="31">
        <f t="shared" si="23"/>
        <v>0</v>
      </c>
      <c r="DC11" s="31">
        <f t="shared" si="23"/>
        <v>0</v>
      </c>
      <c r="DD11" s="31">
        <f t="shared" si="23"/>
        <v>0</v>
      </c>
      <c r="DE11" s="78">
        <f t="shared" si="23"/>
        <v>0</v>
      </c>
    </row>
    <row r="12" spans="1:109" ht="12.75" customHeight="1" x14ac:dyDescent="0.2">
      <c r="A12" s="296"/>
      <c r="B12" s="1356"/>
      <c r="C12" s="1337"/>
      <c r="D12" s="1333"/>
      <c r="E12" s="89"/>
      <c r="F12" s="9"/>
      <c r="G12" s="9"/>
      <c r="H12" s="29"/>
      <c r="I12" s="29"/>
      <c r="J12" s="29"/>
      <c r="K12" s="29"/>
      <c r="L12" s="29"/>
      <c r="M12" s="29"/>
      <c r="N12" s="126"/>
      <c r="O12" s="126"/>
      <c r="P12" s="126"/>
      <c r="Q12" s="1548"/>
      <c r="R12" s="89"/>
      <c r="S12" s="9"/>
      <c r="T12" s="9"/>
      <c r="U12" s="9"/>
      <c r="W12" s="133"/>
      <c r="X12" s="9"/>
      <c r="Y12" s="46"/>
      <c r="Z12" s="9"/>
      <c r="AA12" s="46">
        <f t="shared" si="24"/>
        <v>0</v>
      </c>
      <c r="AB12" s="133"/>
      <c r="AC12" s="9"/>
      <c r="AD12" s="9"/>
      <c r="AE12" s="9"/>
      <c r="AF12" s="49"/>
      <c r="AG12" s="89"/>
      <c r="AH12" s="9"/>
      <c r="AI12" s="9"/>
      <c r="AJ12" s="9"/>
      <c r="AK12" s="49"/>
      <c r="AL12" s="89"/>
      <c r="AM12" s="9"/>
      <c r="AN12" s="9"/>
      <c r="AO12" s="9"/>
      <c r="AP12" s="49"/>
      <c r="AQ12" s="89"/>
      <c r="AR12" s="9"/>
      <c r="AS12" s="9"/>
      <c r="AT12" s="9"/>
      <c r="AU12" s="61"/>
      <c r="AW12" s="9"/>
      <c r="AX12" s="9"/>
      <c r="AY12" s="9"/>
      <c r="AZ12" s="49"/>
      <c r="BA12" s="89"/>
      <c r="BB12" s="9"/>
      <c r="BC12" s="9"/>
      <c r="BD12" s="9"/>
      <c r="BE12" s="49"/>
      <c r="BF12" s="89"/>
      <c r="BG12" s="9"/>
      <c r="BH12" s="9"/>
      <c r="BI12" s="9"/>
      <c r="BJ12" s="49"/>
      <c r="BK12" s="89"/>
      <c r="BL12" s="9"/>
      <c r="BM12" s="9"/>
      <c r="BN12" s="9"/>
      <c r="BO12" s="49"/>
      <c r="BP12" s="89"/>
      <c r="BQ12" s="9"/>
      <c r="BR12" s="9"/>
      <c r="BS12" s="9"/>
      <c r="BT12" s="49"/>
      <c r="BU12" s="89"/>
      <c r="BV12" s="9"/>
      <c r="BW12" s="9"/>
      <c r="BX12" s="9"/>
      <c r="BY12" s="49"/>
      <c r="BZ12" s="89"/>
      <c r="CA12" s="9"/>
      <c r="CB12" s="9"/>
      <c r="CC12" s="9"/>
      <c r="CE12" s="1405"/>
      <c r="CF12" s="538"/>
      <c r="CG12" s="538"/>
      <c r="CH12" s="538"/>
      <c r="CI12" s="538"/>
      <c r="CJ12" s="538"/>
      <c r="CK12" s="538"/>
      <c r="CL12" s="538"/>
      <c r="CM12" s="538"/>
      <c r="CN12" s="538"/>
      <c r="CO12" s="538"/>
      <c r="CP12" s="538"/>
      <c r="CQ12" s="538"/>
      <c r="CR12" s="538"/>
      <c r="CS12" s="350"/>
      <c r="CT12" s="46"/>
      <c r="CU12" s="46"/>
      <c r="CV12" s="46"/>
      <c r="CW12" s="46"/>
      <c r="CX12" s="46"/>
      <c r="CY12" s="46"/>
      <c r="CZ12" s="46"/>
      <c r="DA12" s="46"/>
      <c r="DB12" s="46"/>
      <c r="DC12" s="46"/>
      <c r="DD12" s="46"/>
      <c r="DE12" s="61"/>
    </row>
    <row r="13" spans="1:109" ht="12.75" customHeight="1" x14ac:dyDescent="0.2">
      <c r="A13" s="293" t="s">
        <v>1903</v>
      </c>
      <c r="B13" s="1353"/>
      <c r="C13" s="1338"/>
      <c r="D13" s="1384"/>
      <c r="E13" s="89"/>
      <c r="F13" s="9"/>
      <c r="G13" s="9"/>
      <c r="H13" s="29"/>
      <c r="I13" s="29"/>
      <c r="J13" s="29"/>
      <c r="K13" s="29"/>
      <c r="L13" s="29"/>
      <c r="M13" s="29"/>
      <c r="N13" s="126"/>
      <c r="O13" s="126"/>
      <c r="P13" s="126"/>
      <c r="Q13" s="1548"/>
      <c r="R13" s="89"/>
      <c r="S13" s="9"/>
      <c r="T13" s="9"/>
      <c r="U13" s="9"/>
      <c r="W13" s="133"/>
      <c r="X13" s="9"/>
      <c r="Y13" s="46"/>
      <c r="Z13" s="9"/>
      <c r="AA13" s="46">
        <f t="shared" si="24"/>
        <v>0</v>
      </c>
      <c r="AB13" s="133"/>
      <c r="AC13" s="9"/>
      <c r="AD13" s="9"/>
      <c r="AE13" s="9"/>
      <c r="AF13" s="49"/>
      <c r="AG13" s="89"/>
      <c r="AH13" s="9"/>
      <c r="AI13" s="9"/>
      <c r="AJ13" s="9"/>
      <c r="AK13" s="49"/>
      <c r="AL13" s="89"/>
      <c r="AM13" s="9"/>
      <c r="AN13" s="9"/>
      <c r="AO13" s="9"/>
      <c r="AP13" s="49"/>
      <c r="AQ13" s="89"/>
      <c r="AR13" s="9"/>
      <c r="AS13" s="9"/>
      <c r="AT13" s="9"/>
      <c r="AU13" s="61"/>
      <c r="AW13" s="9"/>
      <c r="AX13" s="9"/>
      <c r="AY13" s="9"/>
      <c r="AZ13" s="49"/>
      <c r="BA13" s="89"/>
      <c r="BB13" s="9"/>
      <c r="BC13" s="9"/>
      <c r="BD13" s="9"/>
      <c r="BE13" s="49"/>
      <c r="BF13" s="89"/>
      <c r="BG13" s="9"/>
      <c r="BH13" s="9"/>
      <c r="BI13" s="9"/>
      <c r="BJ13" s="49"/>
      <c r="BK13" s="89"/>
      <c r="BL13" s="9"/>
      <c r="BM13" s="9"/>
      <c r="BN13" s="9"/>
      <c r="BO13" s="49"/>
      <c r="BP13" s="89"/>
      <c r="BQ13" s="9"/>
      <c r="BR13" s="9"/>
      <c r="BS13" s="9"/>
      <c r="BT13" s="49"/>
      <c r="BU13" s="89"/>
      <c r="BV13" s="9"/>
      <c r="BW13" s="9"/>
      <c r="BX13" s="9"/>
      <c r="BY13" s="49"/>
      <c r="BZ13" s="89"/>
      <c r="CA13" s="9"/>
      <c r="CB13" s="9"/>
      <c r="CC13" s="9"/>
      <c r="CE13" s="1405"/>
      <c r="CF13" s="538"/>
      <c r="CG13" s="538"/>
      <c r="CH13" s="538"/>
      <c r="CI13" s="538"/>
      <c r="CJ13" s="538"/>
      <c r="CK13" s="538"/>
      <c r="CL13" s="538"/>
      <c r="CM13" s="538"/>
      <c r="CN13" s="538"/>
      <c r="CO13" s="538"/>
      <c r="CP13" s="538"/>
      <c r="CQ13" s="538"/>
      <c r="CR13" s="538"/>
      <c r="CS13" s="350"/>
      <c r="CT13" s="46"/>
      <c r="CU13" s="46"/>
      <c r="CV13" s="46"/>
      <c r="CW13" s="46"/>
      <c r="CX13" s="46"/>
      <c r="CY13" s="46"/>
      <c r="CZ13" s="46"/>
      <c r="DA13" s="46"/>
      <c r="DB13" s="46"/>
      <c r="DC13" s="46"/>
      <c r="DD13" s="46"/>
      <c r="DE13" s="61"/>
    </row>
    <row r="14" spans="1:109" ht="12.75" customHeight="1" x14ac:dyDescent="0.2">
      <c r="A14" s="615" t="s">
        <v>5553</v>
      </c>
      <c r="B14" s="1354" t="s">
        <v>3082</v>
      </c>
      <c r="C14" s="1335" t="s">
        <v>4959</v>
      </c>
      <c r="D14" s="1331"/>
      <c r="E14" s="89">
        <v>39300</v>
      </c>
      <c r="F14" s="9"/>
      <c r="G14" s="9"/>
      <c r="H14" s="29"/>
      <c r="I14" s="29"/>
      <c r="J14" s="29"/>
      <c r="K14" s="29"/>
      <c r="L14" s="29"/>
      <c r="M14" s="29"/>
      <c r="N14" s="126"/>
      <c r="O14" s="126"/>
      <c r="P14" s="126"/>
      <c r="Q14" s="1548"/>
      <c r="R14" s="89"/>
      <c r="S14" s="9"/>
      <c r="T14" s="9"/>
      <c r="U14" s="9">
        <f>56900-25000</f>
        <v>31900</v>
      </c>
      <c r="V14" s="46">
        <f>E14-R14-S14-T14-U14</f>
        <v>7400</v>
      </c>
      <c r="W14" s="133"/>
      <c r="X14" s="9"/>
      <c r="Y14" s="46"/>
      <c r="Z14" s="9"/>
      <c r="AA14" s="46">
        <f t="shared" si="24"/>
        <v>0</v>
      </c>
      <c r="AB14" s="133"/>
      <c r="AC14" s="9"/>
      <c r="AD14" s="9"/>
      <c r="AE14" s="9"/>
      <c r="AF14" s="49">
        <f>G14-AB14-AC14-AD14-AE14</f>
        <v>0</v>
      </c>
      <c r="AG14" s="89"/>
      <c r="AH14" s="9"/>
      <c r="AI14" s="9"/>
      <c r="AJ14" s="9"/>
      <c r="AK14" s="49">
        <f>H14-AG14-AH14-AI14-AJ14</f>
        <v>0</v>
      </c>
      <c r="AL14" s="89"/>
      <c r="AM14" s="9"/>
      <c r="AN14" s="9"/>
      <c r="AO14" s="9"/>
      <c r="AP14" s="49">
        <f>I14-AL14-AM14-AN14-AO14</f>
        <v>0</v>
      </c>
      <c r="AQ14" s="89"/>
      <c r="AR14" s="9"/>
      <c r="AS14" s="9"/>
      <c r="AT14" s="9"/>
      <c r="AU14" s="61">
        <f>J14-AQ14-AR14-AS14-AT14</f>
        <v>0</v>
      </c>
      <c r="AW14" s="9"/>
      <c r="AX14" s="9"/>
      <c r="AY14" s="9"/>
      <c r="AZ14" s="49">
        <f>K14-AV14-AW14-AX14-AY14</f>
        <v>0</v>
      </c>
      <c r="BA14" s="89"/>
      <c r="BB14" s="9"/>
      <c r="BC14" s="9"/>
      <c r="BD14" s="9"/>
      <c r="BE14" s="49">
        <f>L14-BA14-BB14-BC14-BD14</f>
        <v>0</v>
      </c>
      <c r="BF14" s="89"/>
      <c r="BG14" s="9"/>
      <c r="BH14" s="9"/>
      <c r="BI14" s="9"/>
      <c r="BJ14" s="49">
        <f>M14-BF14-BG14-BH14-BI14</f>
        <v>0</v>
      </c>
      <c r="BK14" s="89"/>
      <c r="BL14" s="9"/>
      <c r="BM14" s="9"/>
      <c r="BN14" s="9"/>
      <c r="BO14" s="49">
        <f>N14-BK14-BL14-BM14-BN14</f>
        <v>0</v>
      </c>
      <c r="BP14" s="89"/>
      <c r="BQ14" s="9"/>
      <c r="BR14" s="9"/>
      <c r="BS14" s="9"/>
      <c r="BT14" s="49">
        <f>O14-BP14-BQ14-BR14-BS14</f>
        <v>0</v>
      </c>
      <c r="BU14" s="89"/>
      <c r="BV14" s="9"/>
      <c r="BW14" s="9"/>
      <c r="BX14" s="9"/>
      <c r="BY14" s="49">
        <f t="shared" ref="BY14" si="32">P14-BU14-BV14-BW14-BX14</f>
        <v>0</v>
      </c>
      <c r="BZ14" s="89"/>
      <c r="CA14" s="9"/>
      <c r="CB14" s="9"/>
      <c r="CC14" s="9"/>
      <c r="CD14" s="46">
        <f t="shared" ref="CD14" si="33">Q14-BZ14-CA14-CB14-CC14</f>
        <v>0</v>
      </c>
      <c r="CE14" s="1406">
        <v>1</v>
      </c>
      <c r="CF14" s="833">
        <f t="shared" ref="CF14:CN14" si="34">CE14</f>
        <v>1</v>
      </c>
      <c r="CG14" s="833">
        <f t="shared" si="34"/>
        <v>1</v>
      </c>
      <c r="CH14" s="833">
        <f t="shared" si="34"/>
        <v>1</v>
      </c>
      <c r="CI14" s="833">
        <f t="shared" si="34"/>
        <v>1</v>
      </c>
      <c r="CJ14" s="833">
        <f t="shared" si="34"/>
        <v>1</v>
      </c>
      <c r="CK14" s="833">
        <f t="shared" si="34"/>
        <v>1</v>
      </c>
      <c r="CL14" s="833">
        <f t="shared" si="34"/>
        <v>1</v>
      </c>
      <c r="CM14" s="833">
        <f t="shared" si="34"/>
        <v>1</v>
      </c>
      <c r="CN14" s="833">
        <f t="shared" si="34"/>
        <v>1</v>
      </c>
      <c r="CO14" s="833">
        <f>CN14</f>
        <v>1</v>
      </c>
      <c r="CP14" s="833">
        <f>CO14</f>
        <v>1</v>
      </c>
      <c r="CQ14" s="833">
        <f>CP14</f>
        <v>1</v>
      </c>
      <c r="CR14" s="833"/>
      <c r="CS14" s="1125">
        <f t="shared" ref="CS14:DE14" si="35">ROUND(CE14*E14,-3)</f>
        <v>39000</v>
      </c>
      <c r="CT14" s="31">
        <f t="shared" si="35"/>
        <v>0</v>
      </c>
      <c r="CU14" s="31">
        <f t="shared" si="35"/>
        <v>0</v>
      </c>
      <c r="CV14" s="31">
        <f t="shared" si="35"/>
        <v>0</v>
      </c>
      <c r="CW14" s="31">
        <f t="shared" si="35"/>
        <v>0</v>
      </c>
      <c r="CX14" s="31">
        <f t="shared" si="35"/>
        <v>0</v>
      </c>
      <c r="CY14" s="31">
        <f t="shared" si="35"/>
        <v>0</v>
      </c>
      <c r="CZ14" s="31">
        <f t="shared" si="35"/>
        <v>0</v>
      </c>
      <c r="DA14" s="31">
        <f t="shared" si="35"/>
        <v>0</v>
      </c>
      <c r="DB14" s="31">
        <f t="shared" si="35"/>
        <v>0</v>
      </c>
      <c r="DC14" s="31">
        <f t="shared" si="35"/>
        <v>0</v>
      </c>
      <c r="DD14" s="31">
        <f t="shared" si="35"/>
        <v>0</v>
      </c>
      <c r="DE14" s="78">
        <f t="shared" si="35"/>
        <v>0</v>
      </c>
    </row>
    <row r="15" spans="1:109" x14ac:dyDescent="0.2">
      <c r="A15" s="296"/>
      <c r="B15" s="1356"/>
      <c r="C15" s="1335"/>
      <c r="D15" s="1332"/>
      <c r="E15" s="89"/>
      <c r="F15" s="9"/>
      <c r="G15" s="29"/>
      <c r="H15" s="29"/>
      <c r="I15" s="29"/>
      <c r="J15" s="29"/>
      <c r="K15" s="29"/>
      <c r="L15" s="29"/>
      <c r="M15" s="29"/>
      <c r="N15" s="126"/>
      <c r="O15" s="126"/>
      <c r="P15" s="126"/>
      <c r="Q15" s="1548"/>
      <c r="R15" s="89"/>
      <c r="S15" s="9"/>
      <c r="T15" s="9"/>
      <c r="U15" s="9"/>
      <c r="W15" s="133"/>
      <c r="X15" s="9"/>
      <c r="Y15" s="46"/>
      <c r="Z15" s="9"/>
      <c r="AA15" s="46">
        <f t="shared" si="24"/>
        <v>0</v>
      </c>
      <c r="AB15" s="133"/>
      <c r="AC15" s="9"/>
      <c r="AD15" s="9"/>
      <c r="AE15" s="9"/>
      <c r="AF15" s="49"/>
      <c r="AG15" s="89"/>
      <c r="AH15" s="9"/>
      <c r="AI15" s="9"/>
      <c r="AJ15" s="9"/>
      <c r="AK15" s="49"/>
      <c r="AL15" s="89"/>
      <c r="AM15" s="9"/>
      <c r="AN15" s="9"/>
      <c r="AO15" s="9"/>
      <c r="AP15" s="49"/>
      <c r="AQ15" s="89"/>
      <c r="AR15" s="9"/>
      <c r="AS15" s="9"/>
      <c r="AT15" s="9"/>
      <c r="AU15" s="61"/>
      <c r="AW15" s="9"/>
      <c r="AX15" s="9"/>
      <c r="AY15" s="9"/>
      <c r="AZ15" s="49"/>
      <c r="BA15" s="89"/>
      <c r="BB15" s="9"/>
      <c r="BC15" s="9"/>
      <c r="BD15" s="9"/>
      <c r="BE15" s="49"/>
      <c r="BF15" s="89"/>
      <c r="BG15" s="9"/>
      <c r="BH15" s="9"/>
      <c r="BI15" s="9"/>
      <c r="BJ15" s="49"/>
      <c r="BK15" s="89"/>
      <c r="BL15" s="9"/>
      <c r="BM15" s="9"/>
      <c r="BN15" s="9"/>
      <c r="BO15" s="49"/>
      <c r="BP15" s="89"/>
      <c r="BQ15" s="9"/>
      <c r="BR15" s="9"/>
      <c r="BS15" s="9"/>
      <c r="BT15" s="49"/>
      <c r="BU15" s="89"/>
      <c r="BV15" s="9"/>
      <c r="BW15" s="9"/>
      <c r="BX15" s="9"/>
      <c r="BY15" s="49"/>
      <c r="BZ15" s="89"/>
      <c r="CA15" s="9"/>
      <c r="CB15" s="9"/>
      <c r="CC15" s="9"/>
      <c r="CE15" s="1406"/>
      <c r="CF15" s="833"/>
      <c r="CG15" s="833"/>
      <c r="CH15" s="833"/>
      <c r="CI15" s="833"/>
      <c r="CJ15" s="833"/>
      <c r="CK15" s="833"/>
      <c r="CL15" s="833"/>
      <c r="CM15" s="833"/>
      <c r="CN15" s="833"/>
      <c r="CO15" s="833"/>
      <c r="CP15" s="833"/>
      <c r="CQ15" s="833"/>
      <c r="CR15" s="833"/>
      <c r="CS15" s="350"/>
      <c r="CT15" s="46"/>
      <c r="CU15" s="46"/>
      <c r="CV15" s="46"/>
      <c r="CW15" s="46"/>
      <c r="CX15" s="46"/>
      <c r="CY15" s="46"/>
      <c r="CZ15" s="46"/>
      <c r="DA15" s="46"/>
      <c r="DB15" s="46"/>
      <c r="DC15" s="46"/>
      <c r="DD15" s="46"/>
      <c r="DE15" s="61"/>
    </row>
    <row r="16" spans="1:109" x14ac:dyDescent="0.2">
      <c r="A16" s="293" t="s">
        <v>384</v>
      </c>
      <c r="B16" s="1356"/>
      <c r="C16" s="1335"/>
      <c r="D16" s="1332"/>
      <c r="E16" s="89"/>
      <c r="F16" s="9"/>
      <c r="G16" s="29"/>
      <c r="H16" s="29"/>
      <c r="I16" s="29"/>
      <c r="J16" s="29"/>
      <c r="K16" s="29"/>
      <c r="L16" s="29"/>
      <c r="M16" s="29"/>
      <c r="N16" s="126"/>
      <c r="O16" s="126"/>
      <c r="P16" s="126"/>
      <c r="Q16" s="1548"/>
      <c r="R16" s="89"/>
      <c r="S16" s="9"/>
      <c r="T16" s="9"/>
      <c r="U16" s="9"/>
      <c r="W16" s="133"/>
      <c r="X16" s="9"/>
      <c r="Y16" s="46"/>
      <c r="Z16" s="9"/>
      <c r="AA16" s="46">
        <f t="shared" si="24"/>
        <v>0</v>
      </c>
      <c r="AB16" s="133"/>
      <c r="AC16" s="9"/>
      <c r="AD16" s="9"/>
      <c r="AE16" s="9"/>
      <c r="AF16" s="49"/>
      <c r="AG16" s="89"/>
      <c r="AH16" s="9"/>
      <c r="AI16" s="9"/>
      <c r="AJ16" s="9"/>
      <c r="AK16" s="49"/>
      <c r="AL16" s="89"/>
      <c r="AM16" s="9"/>
      <c r="AN16" s="9"/>
      <c r="AO16" s="9"/>
      <c r="AP16" s="49"/>
      <c r="AQ16" s="89"/>
      <c r="AR16" s="9"/>
      <c r="AS16" s="9"/>
      <c r="AT16" s="9"/>
      <c r="AU16" s="61"/>
      <c r="AW16" s="9"/>
      <c r="AX16" s="9"/>
      <c r="AY16" s="9"/>
      <c r="AZ16" s="49"/>
      <c r="BA16" s="89"/>
      <c r="BB16" s="9"/>
      <c r="BC16" s="9"/>
      <c r="BD16" s="9"/>
      <c r="BE16" s="49"/>
      <c r="BF16" s="89"/>
      <c r="BG16" s="9"/>
      <c r="BH16" s="9"/>
      <c r="BI16" s="9"/>
      <c r="BJ16" s="49"/>
      <c r="BK16" s="89"/>
      <c r="BL16" s="9"/>
      <c r="BM16" s="9"/>
      <c r="BN16" s="9"/>
      <c r="BO16" s="49"/>
      <c r="BP16" s="89"/>
      <c r="BQ16" s="9"/>
      <c r="BR16" s="9"/>
      <c r="BS16" s="9"/>
      <c r="BT16" s="49"/>
      <c r="BU16" s="89"/>
      <c r="BV16" s="9"/>
      <c r="BW16" s="9"/>
      <c r="BX16" s="9"/>
      <c r="BY16" s="49"/>
      <c r="BZ16" s="89"/>
      <c r="CA16" s="9"/>
      <c r="CB16" s="9"/>
      <c r="CC16" s="9"/>
      <c r="CE16" s="1405"/>
      <c r="CF16" s="538"/>
      <c r="CG16" s="538"/>
      <c r="CH16" s="538"/>
      <c r="CI16" s="538"/>
      <c r="CJ16" s="538"/>
      <c r="CK16" s="538"/>
      <c r="CL16" s="538"/>
      <c r="CM16" s="538"/>
      <c r="CN16" s="538"/>
      <c r="CO16" s="538"/>
      <c r="CP16" s="538"/>
      <c r="CQ16" s="538"/>
      <c r="CR16" s="538"/>
      <c r="CS16" s="350"/>
      <c r="CT16" s="46"/>
      <c r="CU16" s="46"/>
      <c r="CV16" s="46"/>
      <c r="CW16" s="46"/>
      <c r="CX16" s="46"/>
      <c r="CY16" s="46"/>
      <c r="CZ16" s="46"/>
      <c r="DA16" s="46"/>
      <c r="DB16" s="46"/>
      <c r="DC16" s="46"/>
      <c r="DD16" s="46"/>
      <c r="DE16" s="61"/>
    </row>
    <row r="17" spans="1:109" x14ac:dyDescent="0.2">
      <c r="A17" s="615" t="s">
        <v>5554</v>
      </c>
      <c r="B17" s="1354" t="s">
        <v>3902</v>
      </c>
      <c r="C17" s="1335" t="s">
        <v>4023</v>
      </c>
      <c r="D17" s="1332" t="s">
        <v>4023</v>
      </c>
      <c r="E17" s="89">
        <v>115400</v>
      </c>
      <c r="F17" s="9">
        <v>1718000</v>
      </c>
      <c r="G17" s="29">
        <f>3309500+2790100+220000</f>
        <v>6319600</v>
      </c>
      <c r="H17" s="29"/>
      <c r="I17" s="29"/>
      <c r="J17" s="29"/>
      <c r="K17" s="29"/>
      <c r="L17" s="29"/>
      <c r="M17" s="29"/>
      <c r="N17" s="126"/>
      <c r="O17" s="126"/>
      <c r="P17" s="126"/>
      <c r="Q17" s="1548"/>
      <c r="R17" s="89"/>
      <c r="S17" s="9"/>
      <c r="T17" s="9"/>
      <c r="U17" s="9"/>
      <c r="V17" s="46">
        <f>E17-R17-S17-T17-U17</f>
        <v>115400</v>
      </c>
      <c r="W17" s="133"/>
      <c r="X17" s="9"/>
      <c r="Y17" s="9">
        <f>+F17</f>
        <v>1718000</v>
      </c>
      <c r="Z17" s="9"/>
      <c r="AA17" s="46">
        <f t="shared" si="24"/>
        <v>0</v>
      </c>
      <c r="AB17" s="133"/>
      <c r="AC17" s="9"/>
      <c r="AD17" s="9">
        <f>'Cap Inc'!F162</f>
        <v>3529500</v>
      </c>
      <c r="AE17" s="9">
        <v>2790100</v>
      </c>
      <c r="AF17" s="49">
        <f t="shared" ref="AF17:AF18" si="36">G17-AB17-AC17-AD17-AE17</f>
        <v>0</v>
      </c>
      <c r="AG17" s="89"/>
      <c r="AH17" s="9"/>
      <c r="AI17" s="9"/>
      <c r="AJ17" s="9"/>
      <c r="AK17" s="49">
        <f>H17-AG17-AH17-AI17-AJ17</f>
        <v>0</v>
      </c>
      <c r="AL17" s="89"/>
      <c r="AM17" s="9"/>
      <c r="AN17" s="9"/>
      <c r="AO17" s="9"/>
      <c r="AP17" s="49">
        <f>I17-AL17-AM17-AN17-AO17</f>
        <v>0</v>
      </c>
      <c r="AQ17" s="89"/>
      <c r="AR17" s="9"/>
      <c r="AS17" s="9"/>
      <c r="AT17" s="9"/>
      <c r="AU17" s="61">
        <f>J17-AQ17-AR17-AS17-AT17</f>
        <v>0</v>
      </c>
      <c r="AW17" s="9"/>
      <c r="AX17" s="9"/>
      <c r="AY17" s="9"/>
      <c r="AZ17" s="49">
        <f>K17-AV17-AW17-AX17-AY17</f>
        <v>0</v>
      </c>
      <c r="BA17" s="89"/>
      <c r="BB17" s="9"/>
      <c r="BC17" s="9"/>
      <c r="BD17" s="9"/>
      <c r="BE17" s="49">
        <f>L17-BA17-BB17-BC17-BD17</f>
        <v>0</v>
      </c>
      <c r="BF17" s="89"/>
      <c r="BG17" s="9"/>
      <c r="BH17" s="9"/>
      <c r="BI17" s="9"/>
      <c r="BJ17" s="49">
        <f>M17-BF17-BG17-BH17-BI17</f>
        <v>0</v>
      </c>
      <c r="BK17" s="89"/>
      <c r="BL17" s="9"/>
      <c r="BM17" s="9"/>
      <c r="BN17" s="9"/>
      <c r="BO17" s="49">
        <f>N17-BK17-BL17-BM17-BN17</f>
        <v>0</v>
      </c>
      <c r="BP17" s="89"/>
      <c r="BQ17" s="9"/>
      <c r="BR17" s="9"/>
      <c r="BS17" s="9"/>
      <c r="BT17" s="49">
        <f>O17-BP17-BQ17-BR17-BS17</f>
        <v>0</v>
      </c>
      <c r="BU17" s="89"/>
      <c r="BV17" s="9"/>
      <c r="BW17" s="9"/>
      <c r="BX17" s="9"/>
      <c r="BY17" s="49">
        <f t="shared" ref="BY17:BY18" si="37">P17-BU17-BV17-BW17-BX17</f>
        <v>0</v>
      </c>
      <c r="BZ17" s="89"/>
      <c r="CA17" s="9"/>
      <c r="CB17" s="9"/>
      <c r="CC17" s="9"/>
      <c r="CD17" s="46">
        <f t="shared" ref="CD17:CD18" si="38">Q17-BZ17-CA17-CB17-CC17</f>
        <v>0</v>
      </c>
      <c r="CE17" s="1406">
        <v>0.9</v>
      </c>
      <c r="CF17" s="833">
        <v>0.9</v>
      </c>
      <c r="CG17" s="833">
        <v>0.9</v>
      </c>
      <c r="CH17" s="833">
        <v>0.9</v>
      </c>
      <c r="CI17" s="833">
        <v>0.9</v>
      </c>
      <c r="CJ17" s="833">
        <v>0.9</v>
      </c>
      <c r="CK17" s="833">
        <v>0.9</v>
      </c>
      <c r="CL17" s="833">
        <v>0.9</v>
      </c>
      <c r="CM17" s="833">
        <v>0.9</v>
      </c>
      <c r="CN17" s="833">
        <v>0.9</v>
      </c>
      <c r="CO17" s="833">
        <v>0.9</v>
      </c>
      <c r="CP17" s="833">
        <v>0.9</v>
      </c>
      <c r="CQ17" s="833">
        <v>0.9</v>
      </c>
      <c r="CR17" s="833"/>
      <c r="CS17" s="1125">
        <f t="shared" ref="CS17:DE18" si="39">ROUND(CE17*E17,-3)</f>
        <v>104000</v>
      </c>
      <c r="CT17" s="31">
        <f t="shared" si="39"/>
        <v>1546000</v>
      </c>
      <c r="CU17" s="31">
        <f t="shared" si="39"/>
        <v>5688000</v>
      </c>
      <c r="CV17" s="31">
        <f t="shared" si="39"/>
        <v>0</v>
      </c>
      <c r="CW17" s="31">
        <f t="shared" si="39"/>
        <v>0</v>
      </c>
      <c r="CX17" s="31">
        <f t="shared" si="39"/>
        <v>0</v>
      </c>
      <c r="CY17" s="31">
        <f t="shared" si="39"/>
        <v>0</v>
      </c>
      <c r="CZ17" s="31">
        <f t="shared" si="39"/>
        <v>0</v>
      </c>
      <c r="DA17" s="31">
        <f t="shared" si="39"/>
        <v>0</v>
      </c>
      <c r="DB17" s="31">
        <f t="shared" si="39"/>
        <v>0</v>
      </c>
      <c r="DC17" s="31">
        <f t="shared" si="39"/>
        <v>0</v>
      </c>
      <c r="DD17" s="31">
        <f t="shared" si="39"/>
        <v>0</v>
      </c>
      <c r="DE17" s="78">
        <f t="shared" si="39"/>
        <v>0</v>
      </c>
    </row>
    <row r="18" spans="1:109" x14ac:dyDescent="0.2">
      <c r="A18" s="615" t="s">
        <v>5555</v>
      </c>
      <c r="B18" s="1354" t="s">
        <v>6141</v>
      </c>
      <c r="C18" s="1335" t="s">
        <v>6142</v>
      </c>
      <c r="D18" s="1332" t="s">
        <v>6142</v>
      </c>
      <c r="E18" s="89"/>
      <c r="F18" s="9">
        <v>1358900</v>
      </c>
      <c r="G18" s="29">
        <f>2618300+2223700+300000</f>
        <v>5142000</v>
      </c>
      <c r="H18" s="29"/>
      <c r="I18" s="9"/>
      <c r="J18" s="89"/>
      <c r="K18" s="9"/>
      <c r="L18" s="29"/>
      <c r="M18" s="29"/>
      <c r="N18" s="126"/>
      <c r="O18" s="126"/>
      <c r="P18" s="126"/>
      <c r="Q18" s="1548"/>
      <c r="R18" s="89"/>
      <c r="S18" s="9"/>
      <c r="T18" s="9"/>
      <c r="U18" s="9"/>
      <c r="W18" s="133"/>
      <c r="X18" s="9"/>
      <c r="Y18" s="9">
        <f>+F18</f>
        <v>1358900</v>
      </c>
      <c r="Z18" s="9"/>
      <c r="AA18" s="46">
        <f t="shared" si="24"/>
        <v>0</v>
      </c>
      <c r="AB18" s="133"/>
      <c r="AC18" s="9"/>
      <c r="AD18" s="9">
        <f>'Cap Inc'!F163</f>
        <v>2918300</v>
      </c>
      <c r="AE18" s="9">
        <f>+'Res-Gen'!I33-'Cap-Gen'!AE17</f>
        <v>2223700</v>
      </c>
      <c r="AF18" s="49">
        <f t="shared" si="36"/>
        <v>0</v>
      </c>
      <c r="AG18" s="89"/>
      <c r="AH18" s="9"/>
      <c r="AI18" s="9"/>
      <c r="AJ18" s="9"/>
      <c r="AK18" s="49">
        <f>H18-AG18-AH18-AI18-AJ18</f>
        <v>0</v>
      </c>
      <c r="AL18" s="89"/>
      <c r="AM18" s="9"/>
      <c r="AN18" s="9"/>
      <c r="AO18" s="9"/>
      <c r="AP18" s="49">
        <f>I18-AL18-AM18-AN18-AO18</f>
        <v>0</v>
      </c>
      <c r="AQ18" s="89"/>
      <c r="AR18" s="9"/>
      <c r="AS18" s="9"/>
      <c r="AT18" s="9"/>
      <c r="AU18" s="61">
        <f>J18-AQ18-AR18-AS18-AT18</f>
        <v>0</v>
      </c>
      <c r="AW18" s="9"/>
      <c r="AX18" s="9"/>
      <c r="AY18" s="9"/>
      <c r="AZ18" s="49">
        <f>K18-AV18-AW18-AX18-AY18</f>
        <v>0</v>
      </c>
      <c r="BA18" s="89"/>
      <c r="BB18" s="9"/>
      <c r="BC18" s="9"/>
      <c r="BD18" s="9"/>
      <c r="BE18" s="49">
        <f>L18-BA18-BB18-BC18-BD18</f>
        <v>0</v>
      </c>
      <c r="BF18" s="89"/>
      <c r="BG18" s="9"/>
      <c r="BH18" s="9"/>
      <c r="BI18" s="9"/>
      <c r="BJ18" s="49">
        <f>M18-BF18-BG18-BH18-BI18</f>
        <v>0</v>
      </c>
      <c r="BK18" s="89"/>
      <c r="BL18" s="9"/>
      <c r="BM18" s="9"/>
      <c r="BN18" s="9"/>
      <c r="BO18" s="49">
        <f>N18-BK18-BL18-BM18-BN18</f>
        <v>0</v>
      </c>
      <c r="BP18" s="89"/>
      <c r="BQ18" s="9"/>
      <c r="BR18" s="9"/>
      <c r="BS18" s="9"/>
      <c r="BT18" s="49">
        <f>O18-BP18-BQ18-BR18-BS18</f>
        <v>0</v>
      </c>
      <c r="BU18" s="89"/>
      <c r="BV18" s="9"/>
      <c r="BW18" s="9"/>
      <c r="BX18" s="9"/>
      <c r="BY18" s="49">
        <f t="shared" si="37"/>
        <v>0</v>
      </c>
      <c r="BZ18" s="89"/>
      <c r="CA18" s="9"/>
      <c r="CB18" s="9"/>
      <c r="CC18" s="9"/>
      <c r="CD18" s="46">
        <f t="shared" si="38"/>
        <v>0</v>
      </c>
      <c r="CE18" s="1406">
        <v>0.9</v>
      </c>
      <c r="CF18" s="833">
        <v>0.9</v>
      </c>
      <c r="CG18" s="833">
        <v>0.9</v>
      </c>
      <c r="CH18" s="833">
        <v>0.9</v>
      </c>
      <c r="CI18" s="833">
        <v>0.9</v>
      </c>
      <c r="CJ18" s="833">
        <v>0.9</v>
      </c>
      <c r="CK18" s="833">
        <v>0.9</v>
      </c>
      <c r="CL18" s="833">
        <v>0.9</v>
      </c>
      <c r="CM18" s="833">
        <v>0.9</v>
      </c>
      <c r="CN18" s="833">
        <v>0.9</v>
      </c>
      <c r="CO18" s="833">
        <v>0.9</v>
      </c>
      <c r="CP18" s="833">
        <v>0.9</v>
      </c>
      <c r="CQ18" s="833">
        <v>0.9</v>
      </c>
      <c r="CR18" s="833"/>
      <c r="CS18" s="1125">
        <f t="shared" si="39"/>
        <v>0</v>
      </c>
      <c r="CT18" s="31">
        <f t="shared" si="39"/>
        <v>1223000</v>
      </c>
      <c r="CU18" s="31">
        <f t="shared" si="39"/>
        <v>4628000</v>
      </c>
      <c r="CV18" s="31">
        <f t="shared" si="39"/>
        <v>0</v>
      </c>
      <c r="CW18" s="31">
        <f t="shared" si="39"/>
        <v>0</v>
      </c>
      <c r="CX18" s="31">
        <f t="shared" si="39"/>
        <v>0</v>
      </c>
      <c r="CY18" s="31">
        <f t="shared" si="39"/>
        <v>0</v>
      </c>
      <c r="CZ18" s="31">
        <f t="shared" si="39"/>
        <v>0</v>
      </c>
      <c r="DA18" s="31">
        <f t="shared" si="39"/>
        <v>0</v>
      </c>
      <c r="DB18" s="31">
        <f t="shared" si="39"/>
        <v>0</v>
      </c>
      <c r="DC18" s="31">
        <f t="shared" si="39"/>
        <v>0</v>
      </c>
      <c r="DD18" s="31">
        <f t="shared" si="39"/>
        <v>0</v>
      </c>
      <c r="DE18" s="78">
        <f t="shared" si="39"/>
        <v>0</v>
      </c>
    </row>
    <row r="19" spans="1:109" s="31" customFormat="1" x14ac:dyDescent="0.2">
      <c r="A19" s="633"/>
      <c r="B19" s="1354"/>
      <c r="C19" s="1335"/>
      <c r="D19" s="1332"/>
      <c r="E19" s="89"/>
      <c r="F19" s="89"/>
      <c r="G19" s="9"/>
      <c r="H19" s="29"/>
      <c r="I19" s="29"/>
      <c r="J19" s="29"/>
      <c r="K19" s="29"/>
      <c r="L19" s="29"/>
      <c r="M19" s="29"/>
      <c r="N19" s="126"/>
      <c r="O19" s="126"/>
      <c r="P19" s="126"/>
      <c r="Q19" s="1548"/>
      <c r="R19" s="89"/>
      <c r="S19" s="89"/>
      <c r="T19" s="89"/>
      <c r="U19" s="89"/>
      <c r="V19" s="46"/>
      <c r="W19" s="133"/>
      <c r="X19" s="89"/>
      <c r="Y19" s="9"/>
      <c r="Z19" s="9"/>
      <c r="AA19" s="46">
        <f t="shared" si="24"/>
        <v>0</v>
      </c>
      <c r="AB19" s="133"/>
      <c r="AC19" s="89"/>
      <c r="AD19" s="89"/>
      <c r="AE19" s="89"/>
      <c r="AF19" s="49"/>
      <c r="AG19" s="89"/>
      <c r="AH19" s="89"/>
      <c r="AI19" s="89"/>
      <c r="AJ19" s="89"/>
      <c r="AK19" s="49"/>
      <c r="AL19" s="89"/>
      <c r="AM19" s="89"/>
      <c r="AN19" s="89"/>
      <c r="AO19" s="89"/>
      <c r="AP19" s="49"/>
      <c r="AQ19" s="89"/>
      <c r="AR19" s="89"/>
      <c r="AS19" s="89"/>
      <c r="AT19" s="89"/>
      <c r="AU19" s="61"/>
      <c r="AV19" s="46"/>
      <c r="AW19" s="9"/>
      <c r="AX19" s="9"/>
      <c r="AY19" s="9"/>
      <c r="AZ19" s="49"/>
      <c r="BA19" s="89"/>
      <c r="BB19" s="89"/>
      <c r="BC19" s="89"/>
      <c r="BD19" s="89"/>
      <c r="BE19" s="49"/>
      <c r="BF19" s="89"/>
      <c r="BG19" s="89"/>
      <c r="BH19" s="89"/>
      <c r="BI19" s="89"/>
      <c r="BJ19" s="49"/>
      <c r="BK19" s="89"/>
      <c r="BL19" s="89"/>
      <c r="BM19" s="89"/>
      <c r="BN19" s="89"/>
      <c r="BO19" s="49"/>
      <c r="BP19" s="89"/>
      <c r="BQ19" s="89"/>
      <c r="BR19" s="89"/>
      <c r="BS19" s="89"/>
      <c r="BT19" s="49"/>
      <c r="BU19" s="89"/>
      <c r="BV19" s="89"/>
      <c r="BW19" s="89"/>
      <c r="BX19" s="89"/>
      <c r="BY19" s="49"/>
      <c r="BZ19" s="89"/>
      <c r="CA19" s="89"/>
      <c r="CB19" s="89"/>
      <c r="CC19" s="89"/>
      <c r="CD19" s="46"/>
      <c r="CE19" s="1406"/>
      <c r="CF19" s="833"/>
      <c r="CG19" s="833"/>
      <c r="CH19" s="833"/>
      <c r="CI19" s="833"/>
      <c r="CJ19" s="833"/>
      <c r="CK19" s="833"/>
      <c r="CL19" s="833"/>
      <c r="CM19" s="833"/>
      <c r="CN19" s="833"/>
      <c r="CO19" s="833"/>
      <c r="CP19" s="833"/>
      <c r="CQ19" s="833"/>
      <c r="CR19" s="833"/>
      <c r="CS19" s="1125"/>
      <c r="DE19" s="78"/>
    </row>
    <row r="20" spans="1:109" s="46" customFormat="1" x14ac:dyDescent="0.2">
      <c r="A20" s="778" t="s">
        <v>2850</v>
      </c>
      <c r="B20" s="1353"/>
      <c r="C20" s="1335"/>
      <c r="D20" s="1332"/>
      <c r="E20" s="1182"/>
      <c r="F20" s="1182"/>
      <c r="G20" s="126"/>
      <c r="H20" s="271"/>
      <c r="I20" s="271"/>
      <c r="J20" s="271"/>
      <c r="K20" s="271"/>
      <c r="L20" s="29"/>
      <c r="M20" s="29"/>
      <c r="N20" s="126"/>
      <c r="O20" s="126"/>
      <c r="P20" s="126"/>
      <c r="Q20" s="1548"/>
      <c r="R20" s="568"/>
      <c r="S20" s="568"/>
      <c r="T20" s="568"/>
      <c r="U20" s="568"/>
      <c r="V20" s="1120"/>
      <c r="W20" s="1664"/>
      <c r="X20" s="568"/>
      <c r="Y20" s="9"/>
      <c r="Z20" s="9"/>
      <c r="AA20" s="46">
        <f t="shared" si="24"/>
        <v>0</v>
      </c>
      <c r="AB20" s="1664"/>
      <c r="AC20" s="568"/>
      <c r="AD20" s="568"/>
      <c r="AE20" s="568"/>
      <c r="AF20" s="570"/>
      <c r="AG20" s="568"/>
      <c r="AH20" s="568"/>
      <c r="AI20" s="568"/>
      <c r="AJ20" s="568"/>
      <c r="AK20" s="570"/>
      <c r="AL20" s="568"/>
      <c r="AM20" s="568"/>
      <c r="AN20" s="568"/>
      <c r="AO20" s="568"/>
      <c r="AP20" s="570"/>
      <c r="AQ20" s="568"/>
      <c r="AR20" s="568"/>
      <c r="AS20" s="568"/>
      <c r="AT20" s="568"/>
      <c r="AU20" s="572"/>
      <c r="AV20" s="569"/>
      <c r="AW20" s="571"/>
      <c r="AX20" s="571"/>
      <c r="AY20" s="571"/>
      <c r="AZ20" s="570"/>
      <c r="BA20" s="568"/>
      <c r="BB20" s="568"/>
      <c r="BC20" s="568"/>
      <c r="BD20" s="568"/>
      <c r="BE20" s="570"/>
      <c r="BF20" s="568"/>
      <c r="BG20" s="568"/>
      <c r="BH20" s="568"/>
      <c r="BI20" s="568"/>
      <c r="BJ20" s="570"/>
      <c r="BK20" s="568"/>
      <c r="BL20" s="568"/>
      <c r="BM20" s="568"/>
      <c r="BN20" s="568"/>
      <c r="BO20" s="570"/>
      <c r="BP20" s="568"/>
      <c r="BQ20" s="568"/>
      <c r="BR20" s="568"/>
      <c r="BS20" s="568"/>
      <c r="BT20" s="570"/>
      <c r="BU20" s="568"/>
      <c r="BV20" s="568"/>
      <c r="BW20" s="568"/>
      <c r="BX20" s="568"/>
      <c r="BY20" s="570"/>
      <c r="BZ20" s="568"/>
      <c r="CA20" s="568"/>
      <c r="CB20" s="568"/>
      <c r="CC20" s="568"/>
      <c r="CD20" s="1120"/>
      <c r="CE20" s="1405"/>
      <c r="CF20" s="538"/>
      <c r="CG20" s="538"/>
      <c r="CH20" s="538"/>
      <c r="CI20" s="538"/>
      <c r="CJ20" s="538"/>
      <c r="CK20" s="538"/>
      <c r="CL20" s="538"/>
      <c r="CM20" s="538"/>
      <c r="CN20" s="538"/>
      <c r="CO20" s="538"/>
      <c r="CP20" s="538"/>
      <c r="CQ20" s="538"/>
      <c r="CR20" s="538"/>
      <c r="CS20" s="350"/>
      <c r="DE20" s="61"/>
    </row>
    <row r="21" spans="1:109" s="31" customFormat="1" x14ac:dyDescent="0.2">
      <c r="A21" s="633" t="s">
        <v>6830</v>
      </c>
      <c r="B21" s="1354" t="s">
        <v>6403</v>
      </c>
      <c r="C21" s="1335" t="s">
        <v>4959</v>
      </c>
      <c r="D21" s="1354" t="s">
        <v>6403</v>
      </c>
      <c r="E21" s="798"/>
      <c r="F21" s="9">
        <v>3700</v>
      </c>
      <c r="G21" s="659">
        <f>15000+21300</f>
        <v>36300</v>
      </c>
      <c r="H21" s="694"/>
      <c r="I21" s="694"/>
      <c r="J21" s="694"/>
      <c r="K21" s="694"/>
      <c r="L21" s="584"/>
      <c r="M21" s="599"/>
      <c r="N21" s="126"/>
      <c r="O21" s="126"/>
      <c r="P21" s="126"/>
      <c r="Q21" s="1548"/>
      <c r="R21" s="767"/>
      <c r="S21" s="767"/>
      <c r="T21" s="767"/>
      <c r="U21" s="767"/>
      <c r="V21" s="1623"/>
      <c r="W21" s="1665"/>
      <c r="X21" s="767"/>
      <c r="Y21" s="9"/>
      <c r="Z21" s="9">
        <f>+F21</f>
        <v>3700</v>
      </c>
      <c r="AA21" s="46">
        <f t="shared" si="24"/>
        <v>0</v>
      </c>
      <c r="AB21" s="1665"/>
      <c r="AC21" s="767"/>
      <c r="AD21" s="767"/>
      <c r="AE21" s="767">
        <v>21300</v>
      </c>
      <c r="AF21" s="49">
        <f t="shared" ref="AF21:AF22" si="40">G21-AB21-AC21-AD21-AE21</f>
        <v>15000</v>
      </c>
      <c r="AG21" s="767"/>
      <c r="AH21" s="767"/>
      <c r="AI21" s="767"/>
      <c r="AJ21" s="767"/>
      <c r="AK21" s="799"/>
      <c r="AL21" s="767"/>
      <c r="AM21" s="767"/>
      <c r="AN21" s="767"/>
      <c r="AO21" s="767"/>
      <c r="AP21" s="49"/>
      <c r="AQ21" s="89"/>
      <c r="AR21" s="9"/>
      <c r="AS21" s="9"/>
      <c r="AT21" s="9"/>
      <c r="AU21" s="61"/>
      <c r="AV21" s="46"/>
      <c r="AW21" s="9"/>
      <c r="AX21" s="9"/>
      <c r="AY21" s="9"/>
      <c r="AZ21" s="49"/>
      <c r="BA21" s="89"/>
      <c r="BB21" s="9"/>
      <c r="BC21" s="9"/>
      <c r="BD21" s="9"/>
      <c r="BE21" s="49"/>
      <c r="BF21" s="89"/>
      <c r="BG21" s="9"/>
      <c r="BH21" s="9"/>
      <c r="BI21" s="9"/>
      <c r="BJ21" s="49"/>
      <c r="BK21" s="89"/>
      <c r="BL21" s="9"/>
      <c r="BM21" s="9"/>
      <c r="BN21" s="9"/>
      <c r="BO21" s="49"/>
      <c r="BP21" s="89"/>
      <c r="BQ21" s="9"/>
      <c r="BR21" s="9"/>
      <c r="BS21" s="9"/>
      <c r="BT21" s="49"/>
      <c r="BU21" s="89"/>
      <c r="BV21" s="9"/>
      <c r="BW21" s="9"/>
      <c r="BX21" s="9"/>
      <c r="BY21" s="49"/>
      <c r="BZ21" s="89"/>
      <c r="CA21" s="9"/>
      <c r="CB21" s="9"/>
      <c r="CC21" s="9"/>
      <c r="CD21" s="46"/>
      <c r="CE21" s="1406">
        <v>1</v>
      </c>
      <c r="CF21" s="833">
        <f t="shared" ref="CF21:CF22" si="41">CE21</f>
        <v>1</v>
      </c>
      <c r="CG21" s="833">
        <f t="shared" ref="CG21:CG22" si="42">CF21</f>
        <v>1</v>
      </c>
      <c r="CH21" s="833">
        <f t="shared" ref="CH21:CH22" si="43">CG21</f>
        <v>1</v>
      </c>
      <c r="CI21" s="833">
        <f t="shared" ref="CI21:CI22" si="44">CH21</f>
        <v>1</v>
      </c>
      <c r="CJ21" s="833">
        <f t="shared" ref="CJ21:CJ22" si="45">CI21</f>
        <v>1</v>
      </c>
      <c r="CK21" s="833">
        <f t="shared" ref="CK21:CK22" si="46">CJ21</f>
        <v>1</v>
      </c>
      <c r="CL21" s="833">
        <f t="shared" ref="CL21:CL22" si="47">CK21</f>
        <v>1</v>
      </c>
      <c r="CM21" s="833">
        <f t="shared" ref="CM21:CM22" si="48">CL21</f>
        <v>1</v>
      </c>
      <c r="CN21" s="833">
        <f t="shared" ref="CN21:CN22" si="49">CM21</f>
        <v>1</v>
      </c>
      <c r="CO21" s="833">
        <f t="shared" ref="CO21:CQ22" si="50">CN21</f>
        <v>1</v>
      </c>
      <c r="CP21" s="833">
        <f t="shared" si="50"/>
        <v>1</v>
      </c>
      <c r="CQ21" s="833">
        <f t="shared" si="50"/>
        <v>1</v>
      </c>
      <c r="CR21" s="833"/>
      <c r="CS21" s="1125">
        <f t="shared" ref="CS21:DE22" si="51">ROUND(CE21*E21,-3)</f>
        <v>0</v>
      </c>
      <c r="CT21" s="31">
        <f t="shared" si="51"/>
        <v>4000</v>
      </c>
      <c r="CU21" s="31">
        <f t="shared" si="51"/>
        <v>36000</v>
      </c>
      <c r="CV21" s="31">
        <f t="shared" si="51"/>
        <v>0</v>
      </c>
      <c r="CW21" s="31">
        <f t="shared" si="51"/>
        <v>0</v>
      </c>
      <c r="CX21" s="31">
        <f t="shared" si="51"/>
        <v>0</v>
      </c>
      <c r="CY21" s="31">
        <f t="shared" si="51"/>
        <v>0</v>
      </c>
      <c r="CZ21" s="31">
        <f t="shared" si="51"/>
        <v>0</v>
      </c>
      <c r="DA21" s="31">
        <f t="shared" si="51"/>
        <v>0</v>
      </c>
      <c r="DB21" s="31">
        <f t="shared" si="51"/>
        <v>0</v>
      </c>
      <c r="DC21" s="31">
        <f t="shared" si="51"/>
        <v>0</v>
      </c>
      <c r="DD21" s="31">
        <f t="shared" si="51"/>
        <v>0</v>
      </c>
      <c r="DE21" s="78">
        <f t="shared" si="51"/>
        <v>0</v>
      </c>
    </row>
    <row r="22" spans="1:109" s="31" customFormat="1" ht="12.75" customHeight="1" x14ac:dyDescent="0.2">
      <c r="A22" s="633" t="s">
        <v>6617</v>
      </c>
      <c r="B22" s="1354" t="s">
        <v>6616</v>
      </c>
      <c r="C22" s="1335"/>
      <c r="D22" s="1331"/>
      <c r="E22" s="89">
        <v>600</v>
      </c>
      <c r="F22" s="89"/>
      <c r="G22" s="9"/>
      <c r="H22" s="9"/>
      <c r="I22" s="29"/>
      <c r="J22" s="29"/>
      <c r="K22" s="29"/>
      <c r="L22" s="9"/>
      <c r="M22" s="89"/>
      <c r="N22" s="9"/>
      <c r="O22" s="9"/>
      <c r="P22" s="9"/>
      <c r="Q22" s="49"/>
      <c r="R22" s="89"/>
      <c r="S22" s="89"/>
      <c r="T22" s="89"/>
      <c r="U22" s="89"/>
      <c r="V22" s="46">
        <f>E22-R22-S22-T22-U22</f>
        <v>600</v>
      </c>
      <c r="W22" s="133"/>
      <c r="X22" s="89"/>
      <c r="Y22" s="89"/>
      <c r="Z22" s="9"/>
      <c r="AA22" s="46">
        <f t="shared" si="24"/>
        <v>0</v>
      </c>
      <c r="AB22" s="133"/>
      <c r="AC22" s="89"/>
      <c r="AD22" s="89"/>
      <c r="AE22" s="89"/>
      <c r="AF22" s="49">
        <f t="shared" si="40"/>
        <v>0</v>
      </c>
      <c r="AG22" s="89"/>
      <c r="AH22" s="89"/>
      <c r="AI22" s="89"/>
      <c r="AJ22" s="89"/>
      <c r="AK22" s="49"/>
      <c r="AL22" s="89"/>
      <c r="AM22" s="89"/>
      <c r="AN22" s="89"/>
      <c r="AO22" s="89"/>
      <c r="AP22" s="49"/>
      <c r="AQ22" s="89"/>
      <c r="AR22" s="89"/>
      <c r="AS22" s="89"/>
      <c r="AT22" s="89"/>
      <c r="AU22" s="61"/>
      <c r="AV22" s="46"/>
      <c r="AW22" s="9"/>
      <c r="AX22" s="9"/>
      <c r="AY22" s="9"/>
      <c r="AZ22" s="49"/>
      <c r="BA22" s="89"/>
      <c r="BB22" s="89"/>
      <c r="BC22" s="89"/>
      <c r="BD22" s="89"/>
      <c r="BE22" s="49"/>
      <c r="BF22" s="89"/>
      <c r="BG22" s="89"/>
      <c r="BH22" s="89"/>
      <c r="BI22" s="89"/>
      <c r="BJ22" s="49"/>
      <c r="BK22" s="89"/>
      <c r="BL22" s="89"/>
      <c r="BM22" s="89"/>
      <c r="BN22" s="89"/>
      <c r="BO22" s="49"/>
      <c r="BP22" s="89"/>
      <c r="BQ22" s="89"/>
      <c r="BR22" s="89"/>
      <c r="BS22" s="89"/>
      <c r="BT22" s="49"/>
      <c r="BU22" s="89"/>
      <c r="BV22" s="89"/>
      <c r="BW22" s="89"/>
      <c r="BX22" s="89"/>
      <c r="BY22" s="49"/>
      <c r="BZ22" s="89"/>
      <c r="CA22" s="89"/>
      <c r="CB22" s="89"/>
      <c r="CC22" s="89"/>
      <c r="CD22" s="46"/>
      <c r="CE22" s="1406">
        <v>1</v>
      </c>
      <c r="CF22" s="833">
        <f t="shared" si="41"/>
        <v>1</v>
      </c>
      <c r="CG22" s="833">
        <f t="shared" si="42"/>
        <v>1</v>
      </c>
      <c r="CH22" s="833">
        <f t="shared" si="43"/>
        <v>1</v>
      </c>
      <c r="CI22" s="833">
        <f t="shared" si="44"/>
        <v>1</v>
      </c>
      <c r="CJ22" s="833">
        <f t="shared" si="45"/>
        <v>1</v>
      </c>
      <c r="CK22" s="833">
        <f t="shared" si="46"/>
        <v>1</v>
      </c>
      <c r="CL22" s="833">
        <f t="shared" si="47"/>
        <v>1</v>
      </c>
      <c r="CM22" s="833">
        <f t="shared" si="48"/>
        <v>1</v>
      </c>
      <c r="CN22" s="833">
        <f t="shared" si="49"/>
        <v>1</v>
      </c>
      <c r="CO22" s="833">
        <f t="shared" si="50"/>
        <v>1</v>
      </c>
      <c r="CP22" s="833">
        <f t="shared" si="50"/>
        <v>1</v>
      </c>
      <c r="CQ22" s="833">
        <f t="shared" si="50"/>
        <v>1</v>
      </c>
      <c r="CR22" s="833"/>
      <c r="CS22" s="1125">
        <f t="shared" si="51"/>
        <v>1000</v>
      </c>
      <c r="CT22" s="31">
        <f t="shared" si="51"/>
        <v>0</v>
      </c>
      <c r="CU22" s="31">
        <f t="shared" si="51"/>
        <v>0</v>
      </c>
      <c r="CV22" s="31">
        <f t="shared" si="51"/>
        <v>0</v>
      </c>
      <c r="CW22" s="31">
        <f t="shared" si="51"/>
        <v>0</v>
      </c>
      <c r="CX22" s="31">
        <f t="shared" si="51"/>
        <v>0</v>
      </c>
      <c r="CY22" s="31">
        <f t="shared" si="51"/>
        <v>0</v>
      </c>
      <c r="CZ22" s="31">
        <f t="shared" si="51"/>
        <v>0</v>
      </c>
      <c r="DA22" s="31">
        <f t="shared" si="51"/>
        <v>0</v>
      </c>
      <c r="DB22" s="31">
        <f t="shared" si="51"/>
        <v>0</v>
      </c>
      <c r="DC22" s="31">
        <f t="shared" si="51"/>
        <v>0</v>
      </c>
      <c r="DD22" s="31">
        <f t="shared" si="51"/>
        <v>0</v>
      </c>
      <c r="DE22" s="78">
        <f t="shared" si="51"/>
        <v>0</v>
      </c>
    </row>
    <row r="23" spans="1:109" s="31" customFormat="1" x14ac:dyDescent="0.2">
      <c r="A23" s="633" t="s">
        <v>11931</v>
      </c>
      <c r="B23" s="1354" t="s">
        <v>7025</v>
      </c>
      <c r="C23" s="1335"/>
      <c r="D23" s="1331"/>
      <c r="E23" s="89"/>
      <c r="F23" s="89">
        <v>0</v>
      </c>
      <c r="G23" s="9">
        <v>40900</v>
      </c>
      <c r="H23" s="9"/>
      <c r="I23" s="29"/>
      <c r="J23" s="29"/>
      <c r="K23" s="29"/>
      <c r="L23" s="9"/>
      <c r="M23" s="89"/>
      <c r="N23" s="9"/>
      <c r="O23" s="9"/>
      <c r="P23" s="9"/>
      <c r="Q23" s="49"/>
      <c r="R23" s="89"/>
      <c r="S23" s="89"/>
      <c r="T23" s="89"/>
      <c r="U23" s="89"/>
      <c r="V23" s="46"/>
      <c r="W23" s="133"/>
      <c r="X23" s="89"/>
      <c r="Y23" s="89"/>
      <c r="Z23" s="9"/>
      <c r="AA23" s="46">
        <f t="shared" si="24"/>
        <v>0</v>
      </c>
      <c r="AB23" s="133"/>
      <c r="AC23" s="89"/>
      <c r="AD23" s="89"/>
      <c r="AE23" s="89">
        <v>40900</v>
      </c>
      <c r="AF23" s="49"/>
      <c r="AG23" s="89"/>
      <c r="AH23" s="89"/>
      <c r="AI23" s="89"/>
      <c r="AJ23" s="89"/>
      <c r="AK23" s="49"/>
      <c r="AL23" s="89"/>
      <c r="AM23" s="89"/>
      <c r="AN23" s="89"/>
      <c r="AO23" s="89"/>
      <c r="AP23" s="49"/>
      <c r="AQ23" s="89"/>
      <c r="AR23" s="89"/>
      <c r="AS23" s="89"/>
      <c r="AT23" s="89"/>
      <c r="AU23" s="61"/>
      <c r="AV23" s="46"/>
      <c r="AW23" s="9"/>
      <c r="AX23" s="9"/>
      <c r="AY23" s="9"/>
      <c r="AZ23" s="49"/>
      <c r="BA23" s="89"/>
      <c r="BB23" s="89"/>
      <c r="BC23" s="89"/>
      <c r="BD23" s="89"/>
      <c r="BE23" s="49"/>
      <c r="BF23" s="89"/>
      <c r="BG23" s="89"/>
      <c r="BH23" s="89"/>
      <c r="BI23" s="89"/>
      <c r="BJ23" s="49"/>
      <c r="BK23" s="89"/>
      <c r="BL23" s="89"/>
      <c r="BM23" s="89"/>
      <c r="BN23" s="89"/>
      <c r="BO23" s="49"/>
      <c r="BP23" s="89"/>
      <c r="BQ23" s="89"/>
      <c r="BR23" s="89"/>
      <c r="BS23" s="89"/>
      <c r="BT23" s="49"/>
      <c r="BU23" s="89"/>
      <c r="BV23" s="89"/>
      <c r="BW23" s="89"/>
      <c r="BX23" s="89"/>
      <c r="BY23" s="49"/>
      <c r="BZ23" s="89"/>
      <c r="CA23" s="89"/>
      <c r="CB23" s="89"/>
      <c r="CC23" s="89"/>
      <c r="CD23" s="46"/>
      <c r="CE23" s="1406"/>
      <c r="CF23" s="833"/>
      <c r="CG23" s="833"/>
      <c r="CH23" s="833"/>
      <c r="CI23" s="833"/>
      <c r="CJ23" s="833"/>
      <c r="CK23" s="833"/>
      <c r="CL23" s="833"/>
      <c r="CM23" s="833"/>
      <c r="CN23" s="833"/>
      <c r="CO23" s="833"/>
      <c r="CP23" s="833"/>
      <c r="CQ23" s="833"/>
      <c r="CR23" s="833"/>
      <c r="CS23" s="1125"/>
      <c r="DE23" s="78"/>
    </row>
    <row r="24" spans="1:109" s="46" customFormat="1" ht="13.5" thickBot="1" x14ac:dyDescent="0.25">
      <c r="A24" s="407"/>
      <c r="B24" s="1354"/>
      <c r="C24" s="1338"/>
      <c r="D24" s="1384"/>
      <c r="E24" s="1182"/>
      <c r="F24" s="1182"/>
      <c r="G24" s="126"/>
      <c r="H24" s="126"/>
      <c r="I24" s="271"/>
      <c r="J24" s="271"/>
      <c r="K24" s="271"/>
      <c r="L24" s="126"/>
      <c r="M24" s="1182"/>
      <c r="N24" s="126"/>
      <c r="O24" s="126"/>
      <c r="P24" s="126"/>
      <c r="Q24" s="1548"/>
      <c r="R24" s="568"/>
      <c r="S24" s="568"/>
      <c r="T24" s="568"/>
      <c r="U24" s="568"/>
      <c r="V24" s="1120"/>
      <c r="W24" s="1664"/>
      <c r="X24" s="568"/>
      <c r="Y24" s="568"/>
      <c r="Z24" s="9"/>
      <c r="AA24" s="46">
        <f t="shared" si="24"/>
        <v>0</v>
      </c>
      <c r="AB24" s="1664"/>
      <c r="AC24" s="568"/>
      <c r="AD24" s="568"/>
      <c r="AE24" s="568"/>
      <c r="AF24" s="570"/>
      <c r="AG24" s="568"/>
      <c r="AH24" s="568"/>
      <c r="AI24" s="568"/>
      <c r="AJ24" s="568"/>
      <c r="AK24" s="570"/>
      <c r="AL24" s="568"/>
      <c r="AM24" s="568"/>
      <c r="AN24" s="568"/>
      <c r="AO24" s="568"/>
      <c r="AP24" s="570"/>
      <c r="AQ24" s="568"/>
      <c r="AR24" s="568"/>
      <c r="AS24" s="568"/>
      <c r="AT24" s="568"/>
      <c r="AU24" s="572"/>
      <c r="AV24" s="569"/>
      <c r="AW24" s="571"/>
      <c r="AX24" s="571"/>
      <c r="AY24" s="571"/>
      <c r="AZ24" s="570"/>
      <c r="BA24" s="568"/>
      <c r="BB24" s="568"/>
      <c r="BC24" s="568"/>
      <c r="BD24" s="568"/>
      <c r="BE24" s="570"/>
      <c r="BF24" s="568"/>
      <c r="BG24" s="568"/>
      <c r="BH24" s="568"/>
      <c r="BI24" s="568"/>
      <c r="BJ24" s="570"/>
      <c r="BK24" s="568"/>
      <c r="BL24" s="568"/>
      <c r="BM24" s="568"/>
      <c r="BN24" s="568"/>
      <c r="BO24" s="570"/>
      <c r="BP24" s="568"/>
      <c r="BQ24" s="568"/>
      <c r="BR24" s="568"/>
      <c r="BS24" s="568"/>
      <c r="BT24" s="570"/>
      <c r="BU24" s="568"/>
      <c r="BV24" s="568"/>
      <c r="BW24" s="568"/>
      <c r="BX24" s="568"/>
      <c r="BY24" s="570"/>
      <c r="BZ24" s="568"/>
      <c r="CA24" s="568"/>
      <c r="CB24" s="568"/>
      <c r="CC24" s="568"/>
      <c r="CD24" s="1120"/>
      <c r="CE24" s="1405"/>
      <c r="CF24" s="538"/>
      <c r="CG24" s="538"/>
      <c r="CH24" s="538"/>
      <c r="CI24" s="538"/>
      <c r="CJ24" s="538"/>
      <c r="CK24" s="538"/>
      <c r="CL24" s="538"/>
      <c r="CM24" s="538"/>
      <c r="CN24" s="538"/>
      <c r="CO24" s="538"/>
      <c r="CP24" s="538"/>
      <c r="CQ24" s="538"/>
      <c r="CR24" s="538"/>
      <c r="CS24" s="350"/>
      <c r="DE24" s="61"/>
    </row>
    <row r="25" spans="1:109" s="39" customFormat="1" ht="14.25" thickTop="1" thickBot="1" x14ac:dyDescent="0.25">
      <c r="A25" s="797" t="s">
        <v>3300</v>
      </c>
      <c r="B25" s="1357"/>
      <c r="C25" s="1334"/>
      <c r="D25" s="1385"/>
      <c r="E25" s="302">
        <f t="shared" ref="E25:AL25" si="52">SUBTOTAL(9,E5:E24)</f>
        <v>530700</v>
      </c>
      <c r="F25" s="300">
        <f t="shared" si="52"/>
        <v>3125800</v>
      </c>
      <c r="G25" s="300">
        <f t="shared" si="52"/>
        <v>12582700</v>
      </c>
      <c r="H25" s="300">
        <f t="shared" si="52"/>
        <v>7356000</v>
      </c>
      <c r="I25" s="306">
        <f t="shared" si="52"/>
        <v>25000</v>
      </c>
      <c r="J25" s="306">
        <f t="shared" si="52"/>
        <v>26000</v>
      </c>
      <c r="K25" s="306">
        <f t="shared" si="52"/>
        <v>27000</v>
      </c>
      <c r="L25" s="300">
        <f t="shared" si="52"/>
        <v>28000</v>
      </c>
      <c r="M25" s="302">
        <f t="shared" si="52"/>
        <v>29000</v>
      </c>
      <c r="N25" s="300">
        <f t="shared" si="52"/>
        <v>30000</v>
      </c>
      <c r="O25" s="300">
        <f t="shared" si="52"/>
        <v>31000</v>
      </c>
      <c r="P25" s="300">
        <f t="shared" ref="P25:Q25" si="53">SUBTOTAL(9,P5:P24)</f>
        <v>32000</v>
      </c>
      <c r="Q25" s="305">
        <f t="shared" si="53"/>
        <v>33000</v>
      </c>
      <c r="R25" s="302">
        <f t="shared" si="52"/>
        <v>20000</v>
      </c>
      <c r="S25" s="300">
        <f t="shared" si="52"/>
        <v>0</v>
      </c>
      <c r="T25" s="300">
        <f t="shared" si="52"/>
        <v>0</v>
      </c>
      <c r="U25" s="300">
        <f t="shared" si="52"/>
        <v>336300</v>
      </c>
      <c r="V25" s="306">
        <f t="shared" si="52"/>
        <v>174400</v>
      </c>
      <c r="W25" s="307">
        <v>0</v>
      </c>
      <c r="X25" s="300">
        <f t="shared" si="52"/>
        <v>0</v>
      </c>
      <c r="Y25" s="302">
        <f t="shared" si="52"/>
        <v>3076900</v>
      </c>
      <c r="Z25" s="300">
        <f t="shared" si="52"/>
        <v>28700</v>
      </c>
      <c r="AA25" s="306">
        <f t="shared" si="52"/>
        <v>20200</v>
      </c>
      <c r="AB25" s="307">
        <f t="shared" si="52"/>
        <v>0</v>
      </c>
      <c r="AC25" s="300">
        <f t="shared" si="52"/>
        <v>0</v>
      </c>
      <c r="AD25" s="300">
        <f t="shared" si="52"/>
        <v>6447800</v>
      </c>
      <c r="AE25" s="300">
        <f t="shared" si="52"/>
        <v>6096900</v>
      </c>
      <c r="AF25" s="301">
        <f t="shared" si="52"/>
        <v>38000</v>
      </c>
      <c r="AG25" s="302">
        <f t="shared" si="52"/>
        <v>0</v>
      </c>
      <c r="AH25" s="300">
        <f t="shared" si="52"/>
        <v>0</v>
      </c>
      <c r="AI25" s="300">
        <f t="shared" si="52"/>
        <v>0</v>
      </c>
      <c r="AJ25" s="300">
        <f t="shared" si="52"/>
        <v>7332000</v>
      </c>
      <c r="AK25" s="301">
        <f t="shared" si="52"/>
        <v>24000</v>
      </c>
      <c r="AL25" s="302">
        <f t="shared" si="52"/>
        <v>0</v>
      </c>
      <c r="AM25" s="300">
        <f t="shared" ref="AM25:BR25" si="54">SUBTOTAL(9,AM5:AM24)</f>
        <v>0</v>
      </c>
      <c r="AN25" s="300">
        <f t="shared" si="54"/>
        <v>0</v>
      </c>
      <c r="AO25" s="300">
        <f t="shared" si="54"/>
        <v>0</v>
      </c>
      <c r="AP25" s="301">
        <f t="shared" si="54"/>
        <v>25000</v>
      </c>
      <c r="AQ25" s="302">
        <f t="shared" si="54"/>
        <v>0</v>
      </c>
      <c r="AR25" s="300">
        <f t="shared" si="54"/>
        <v>0</v>
      </c>
      <c r="AS25" s="300">
        <f t="shared" si="54"/>
        <v>0</v>
      </c>
      <c r="AT25" s="300">
        <f t="shared" si="54"/>
        <v>0</v>
      </c>
      <c r="AU25" s="303">
        <f t="shared" si="54"/>
        <v>26000</v>
      </c>
      <c r="AV25" s="304">
        <f t="shared" si="54"/>
        <v>0</v>
      </c>
      <c r="AW25" s="300">
        <f t="shared" si="54"/>
        <v>0</v>
      </c>
      <c r="AX25" s="300">
        <f t="shared" si="54"/>
        <v>0</v>
      </c>
      <c r="AY25" s="300">
        <f t="shared" si="54"/>
        <v>0</v>
      </c>
      <c r="AZ25" s="301">
        <f t="shared" si="54"/>
        <v>27000</v>
      </c>
      <c r="BA25" s="302">
        <f t="shared" si="54"/>
        <v>0</v>
      </c>
      <c r="BB25" s="300">
        <f t="shared" si="54"/>
        <v>0</v>
      </c>
      <c r="BC25" s="300">
        <f t="shared" si="54"/>
        <v>0</v>
      </c>
      <c r="BD25" s="300">
        <f t="shared" si="54"/>
        <v>0</v>
      </c>
      <c r="BE25" s="301">
        <f t="shared" si="54"/>
        <v>28000</v>
      </c>
      <c r="BF25" s="302">
        <f t="shared" si="54"/>
        <v>0</v>
      </c>
      <c r="BG25" s="300">
        <f t="shared" si="54"/>
        <v>0</v>
      </c>
      <c r="BH25" s="300">
        <f t="shared" si="54"/>
        <v>0</v>
      </c>
      <c r="BI25" s="300">
        <f t="shared" si="54"/>
        <v>0</v>
      </c>
      <c r="BJ25" s="301">
        <f t="shared" si="54"/>
        <v>29000</v>
      </c>
      <c r="BK25" s="302">
        <f t="shared" si="54"/>
        <v>0</v>
      </c>
      <c r="BL25" s="300">
        <f t="shared" si="54"/>
        <v>0</v>
      </c>
      <c r="BM25" s="300">
        <f t="shared" si="54"/>
        <v>0</v>
      </c>
      <c r="BN25" s="300">
        <f t="shared" si="54"/>
        <v>0</v>
      </c>
      <c r="BO25" s="301">
        <f t="shared" si="54"/>
        <v>30000</v>
      </c>
      <c r="BP25" s="302">
        <f t="shared" si="54"/>
        <v>0</v>
      </c>
      <c r="BQ25" s="300">
        <f t="shared" si="54"/>
        <v>0</v>
      </c>
      <c r="BR25" s="300">
        <f t="shared" si="54"/>
        <v>0</v>
      </c>
      <c r="BS25" s="300">
        <f t="shared" ref="BS25:BW25" si="55">SUBTOTAL(9,BS5:BS24)</f>
        <v>0</v>
      </c>
      <c r="BT25" s="301">
        <f t="shared" si="55"/>
        <v>31000</v>
      </c>
      <c r="BU25" s="302">
        <f t="shared" si="55"/>
        <v>0</v>
      </c>
      <c r="BV25" s="300">
        <f t="shared" si="55"/>
        <v>0</v>
      </c>
      <c r="BW25" s="300">
        <f t="shared" si="55"/>
        <v>0</v>
      </c>
      <c r="BX25" s="300">
        <f t="shared" ref="BX25:CB25" si="56">SUBTOTAL(9,BX5:BX24)</f>
        <v>0</v>
      </c>
      <c r="BY25" s="301">
        <f t="shared" si="56"/>
        <v>32000</v>
      </c>
      <c r="BZ25" s="302">
        <f t="shared" si="56"/>
        <v>0</v>
      </c>
      <c r="CA25" s="300">
        <f t="shared" si="56"/>
        <v>0</v>
      </c>
      <c r="CB25" s="300">
        <f t="shared" si="56"/>
        <v>0</v>
      </c>
      <c r="CC25" s="300">
        <f t="shared" ref="CC25" si="57">SUBTOTAL(9,CC5:CC24)</f>
        <v>0</v>
      </c>
      <c r="CD25" s="306">
        <f>SUBTOTAL(9,CD5:CD24)</f>
        <v>33000</v>
      </c>
      <c r="CE25" s="1405"/>
      <c r="CF25" s="538"/>
      <c r="CG25" s="466"/>
      <c r="CH25" s="466"/>
      <c r="CI25" s="466"/>
      <c r="CJ25" s="466"/>
      <c r="CK25" s="466"/>
      <c r="CL25" s="466"/>
      <c r="CM25" s="466"/>
      <c r="CN25" s="466"/>
      <c r="CO25" s="466"/>
      <c r="CP25" s="466"/>
      <c r="CQ25" s="466"/>
      <c r="CR25" s="466"/>
      <c r="CS25" s="1043"/>
      <c r="CT25" s="27"/>
      <c r="CU25" s="27"/>
      <c r="CV25" s="27"/>
      <c r="CW25" s="27"/>
      <c r="CX25" s="27"/>
      <c r="CY25" s="27"/>
      <c r="CZ25" s="27"/>
      <c r="DA25" s="27"/>
      <c r="DB25" s="27"/>
      <c r="DC25" s="27"/>
      <c r="DD25" s="27"/>
      <c r="DE25" s="62"/>
    </row>
    <row r="26" spans="1:109" s="39" customFormat="1" ht="13.5" thickTop="1" x14ac:dyDescent="0.2">
      <c r="A26" s="293"/>
      <c r="B26" s="1354"/>
      <c r="C26" s="1338"/>
      <c r="D26" s="1384"/>
      <c r="E26" s="75"/>
      <c r="F26" s="21"/>
      <c r="G26" s="21"/>
      <c r="H26" s="21"/>
      <c r="I26" s="32"/>
      <c r="J26" s="32"/>
      <c r="K26" s="32"/>
      <c r="L26" s="21"/>
      <c r="M26" s="75"/>
      <c r="N26" s="21"/>
      <c r="O26" s="21"/>
      <c r="P26" s="21"/>
      <c r="Q26" s="64"/>
      <c r="R26" s="75"/>
      <c r="S26" s="21"/>
      <c r="T26" s="21"/>
      <c r="U26" s="21"/>
      <c r="V26" s="32"/>
      <c r="W26" s="132"/>
      <c r="X26" s="21"/>
      <c r="Y26" s="75"/>
      <c r="Z26" s="21"/>
      <c r="AA26" s="32"/>
      <c r="AB26" s="132"/>
      <c r="AC26" s="21"/>
      <c r="AD26" s="21"/>
      <c r="AE26" s="21"/>
      <c r="AF26" s="283"/>
      <c r="AG26" s="75"/>
      <c r="AH26" s="21"/>
      <c r="AI26" s="21"/>
      <c r="AJ26" s="21"/>
      <c r="AK26" s="283"/>
      <c r="AL26" s="75"/>
      <c r="AM26" s="21"/>
      <c r="AN26" s="21"/>
      <c r="AO26" s="21"/>
      <c r="AP26" s="283"/>
      <c r="AQ26" s="75"/>
      <c r="AR26" s="21"/>
      <c r="AS26" s="21"/>
      <c r="AT26" s="21"/>
      <c r="AU26" s="86"/>
      <c r="AV26" s="27"/>
      <c r="AW26" s="21"/>
      <c r="AX26" s="21"/>
      <c r="AY26" s="21"/>
      <c r="AZ26" s="283"/>
      <c r="BA26" s="75"/>
      <c r="BB26" s="21"/>
      <c r="BC26" s="21"/>
      <c r="BD26" s="21"/>
      <c r="BE26" s="283"/>
      <c r="BF26" s="75"/>
      <c r="BG26" s="21"/>
      <c r="BH26" s="21"/>
      <c r="BI26" s="21"/>
      <c r="BJ26" s="283"/>
      <c r="BK26" s="75"/>
      <c r="BL26" s="21"/>
      <c r="BM26" s="21"/>
      <c r="BN26" s="21"/>
      <c r="BO26" s="283"/>
      <c r="BP26" s="75"/>
      <c r="BQ26" s="21"/>
      <c r="BR26" s="21"/>
      <c r="BS26" s="21"/>
      <c r="BT26" s="283"/>
      <c r="BU26" s="75"/>
      <c r="BV26" s="21"/>
      <c r="BW26" s="21"/>
      <c r="BX26" s="21"/>
      <c r="BY26" s="283"/>
      <c r="BZ26" s="75"/>
      <c r="CA26" s="21"/>
      <c r="CB26" s="21"/>
      <c r="CC26" s="21"/>
      <c r="CD26" s="32"/>
      <c r="CE26" s="1405"/>
      <c r="CF26" s="538"/>
      <c r="CG26" s="466"/>
      <c r="CH26" s="466"/>
      <c r="CI26" s="466"/>
      <c r="CJ26" s="466"/>
      <c r="CK26" s="466"/>
      <c r="CL26" s="466"/>
      <c r="CM26" s="466"/>
      <c r="CN26" s="466"/>
      <c r="CO26" s="466"/>
      <c r="CP26" s="466"/>
      <c r="CQ26" s="466"/>
      <c r="CR26" s="466"/>
      <c r="CS26" s="1043"/>
      <c r="CT26" s="27"/>
      <c r="CU26" s="27"/>
      <c r="CV26" s="27"/>
      <c r="CW26" s="27"/>
      <c r="CX26" s="27"/>
      <c r="CY26" s="27"/>
      <c r="CZ26" s="27"/>
      <c r="DA26" s="27"/>
      <c r="DB26" s="27"/>
      <c r="DC26" s="27"/>
      <c r="DD26" s="27"/>
      <c r="DE26" s="62"/>
    </row>
    <row r="27" spans="1:109" x14ac:dyDescent="0.2">
      <c r="A27" s="295" t="s">
        <v>467</v>
      </c>
      <c r="B27" s="1354"/>
      <c r="C27" s="1339"/>
      <c r="D27" s="1386"/>
      <c r="E27" s="89"/>
      <c r="F27" s="9"/>
      <c r="G27" s="9"/>
      <c r="H27" s="9"/>
      <c r="I27" s="29"/>
      <c r="J27" s="29"/>
      <c r="K27" s="29"/>
      <c r="L27" s="9"/>
      <c r="M27" s="89"/>
      <c r="N27" s="9"/>
      <c r="O27" s="9"/>
      <c r="P27" s="9"/>
      <c r="Q27" s="49"/>
      <c r="R27" s="89"/>
      <c r="S27" s="9"/>
      <c r="T27" s="9"/>
      <c r="U27" s="9"/>
      <c r="V27" s="29"/>
      <c r="W27" s="133"/>
      <c r="X27" s="9"/>
      <c r="Y27" s="89"/>
      <c r="Z27" s="9"/>
      <c r="AA27" s="46">
        <f t="shared" ref="AA27:AA28" si="58">F27-W27-X27-Y27-Z27</f>
        <v>0</v>
      </c>
      <c r="AB27" s="133"/>
      <c r="AC27" s="9"/>
      <c r="AD27" s="9"/>
      <c r="AE27" s="9"/>
      <c r="AF27" s="76"/>
      <c r="AG27" s="89"/>
      <c r="AH27" s="9"/>
      <c r="AI27" s="9"/>
      <c r="AJ27" s="9"/>
      <c r="AK27" s="76"/>
      <c r="AL27" s="89"/>
      <c r="AM27" s="9"/>
      <c r="AN27" s="9"/>
      <c r="AO27" s="9"/>
      <c r="AP27" s="76"/>
      <c r="AQ27" s="89"/>
      <c r="AR27" s="9"/>
      <c r="AS27" s="9"/>
      <c r="AT27" s="9"/>
      <c r="AU27" s="47"/>
      <c r="AW27" s="9"/>
      <c r="AX27" s="9"/>
      <c r="AY27" s="9"/>
      <c r="AZ27" s="76"/>
      <c r="BA27" s="89"/>
      <c r="BB27" s="9"/>
      <c r="BC27" s="9"/>
      <c r="BD27" s="9"/>
      <c r="BE27" s="76"/>
      <c r="BF27" s="89"/>
      <c r="BG27" s="9"/>
      <c r="BH27" s="9"/>
      <c r="BI27" s="9"/>
      <c r="BJ27" s="76"/>
      <c r="BK27" s="89"/>
      <c r="BL27" s="9"/>
      <c r="BM27" s="9"/>
      <c r="BN27" s="9"/>
      <c r="BO27" s="76"/>
      <c r="BP27" s="89"/>
      <c r="BQ27" s="9"/>
      <c r="BR27" s="9"/>
      <c r="BS27" s="9"/>
      <c r="BT27" s="76"/>
      <c r="BU27" s="89"/>
      <c r="BV27" s="9"/>
      <c r="BW27" s="9"/>
      <c r="BX27" s="9"/>
      <c r="BY27" s="76"/>
      <c r="BZ27" s="89"/>
      <c r="CA27" s="9"/>
      <c r="CB27" s="9"/>
      <c r="CC27" s="9"/>
      <c r="CD27" s="29"/>
      <c r="CE27" s="1405"/>
      <c r="CF27" s="538"/>
      <c r="CG27" s="538"/>
      <c r="CH27" s="538"/>
      <c r="CI27" s="538"/>
      <c r="CJ27" s="538"/>
      <c r="CK27" s="538"/>
      <c r="CL27" s="538"/>
      <c r="CM27" s="538"/>
      <c r="CN27" s="538"/>
      <c r="CO27" s="538"/>
      <c r="CP27" s="538"/>
      <c r="CQ27" s="538"/>
      <c r="CR27" s="538"/>
      <c r="CS27" s="350"/>
      <c r="CT27" s="46"/>
      <c r="CU27" s="46"/>
      <c r="CV27" s="46"/>
      <c r="CW27" s="46"/>
      <c r="CX27" s="46"/>
      <c r="CY27" s="46"/>
      <c r="CZ27" s="46"/>
      <c r="DA27" s="46"/>
      <c r="DB27" s="46"/>
      <c r="DC27" s="46"/>
      <c r="DD27" s="46"/>
      <c r="DE27" s="61"/>
    </row>
    <row r="28" spans="1:109" x14ac:dyDescent="0.2">
      <c r="A28" s="296"/>
      <c r="B28" s="1354"/>
      <c r="C28" s="1342"/>
      <c r="D28" s="1332"/>
      <c r="E28" s="89"/>
      <c r="F28" s="9"/>
      <c r="G28" s="9"/>
      <c r="H28" s="9"/>
      <c r="I28" s="29"/>
      <c r="J28" s="29"/>
      <c r="K28" s="29"/>
      <c r="L28" s="9"/>
      <c r="M28" s="89"/>
      <c r="N28" s="9"/>
      <c r="O28" s="9"/>
      <c r="P28" s="9"/>
      <c r="Q28" s="49"/>
      <c r="R28" s="89"/>
      <c r="S28" s="9"/>
      <c r="T28" s="9"/>
      <c r="U28" s="9"/>
      <c r="W28" s="133"/>
      <c r="X28" s="9"/>
      <c r="Y28" s="46"/>
      <c r="Z28" s="9"/>
      <c r="AA28" s="46">
        <f t="shared" si="58"/>
        <v>0</v>
      </c>
      <c r="AB28" s="133"/>
      <c r="AC28" s="9"/>
      <c r="AD28" s="9"/>
      <c r="AE28" s="9"/>
      <c r="AF28" s="49"/>
      <c r="AG28" s="89"/>
      <c r="AH28" s="9"/>
      <c r="AI28" s="9"/>
      <c r="AJ28" s="9"/>
      <c r="AK28" s="49"/>
      <c r="AL28" s="89"/>
      <c r="AM28" s="9"/>
      <c r="AN28" s="9"/>
      <c r="AO28" s="9"/>
      <c r="AP28" s="49"/>
      <c r="AQ28" s="89"/>
      <c r="AR28" s="9"/>
      <c r="AS28" s="9"/>
      <c r="AT28" s="9"/>
      <c r="AU28" s="61"/>
      <c r="AW28" s="9"/>
      <c r="AX28" s="9"/>
      <c r="AY28" s="9"/>
      <c r="AZ28" s="49"/>
      <c r="BA28" s="89"/>
      <c r="BB28" s="9"/>
      <c r="BC28" s="9"/>
      <c r="BD28" s="9"/>
      <c r="BE28" s="49"/>
      <c r="BF28" s="89"/>
      <c r="BG28" s="9"/>
      <c r="BH28" s="9"/>
      <c r="BI28" s="9"/>
      <c r="BJ28" s="49"/>
      <c r="BK28" s="89"/>
      <c r="BL28" s="9"/>
      <c r="BM28" s="9"/>
      <c r="BN28" s="9"/>
      <c r="BO28" s="49"/>
      <c r="BP28" s="89"/>
      <c r="BQ28" s="9"/>
      <c r="BR28" s="9"/>
      <c r="BS28" s="9"/>
      <c r="BT28" s="49"/>
      <c r="BU28" s="89"/>
      <c r="BV28" s="9"/>
      <c r="BW28" s="9"/>
      <c r="BX28" s="9"/>
      <c r="BY28" s="49"/>
      <c r="BZ28" s="89"/>
      <c r="CA28" s="9"/>
      <c r="CB28" s="9"/>
      <c r="CC28" s="9"/>
      <c r="CE28" s="1405"/>
      <c r="CF28" s="538"/>
      <c r="CG28" s="538"/>
      <c r="CH28" s="538"/>
      <c r="CI28" s="538"/>
      <c r="CJ28" s="538"/>
      <c r="CK28" s="538"/>
      <c r="CL28" s="538"/>
      <c r="CM28" s="538"/>
      <c r="CN28" s="538"/>
      <c r="CO28" s="538"/>
      <c r="CP28" s="538"/>
      <c r="CQ28" s="538"/>
      <c r="CR28" s="538"/>
      <c r="CS28" s="350"/>
      <c r="CT28" s="46"/>
      <c r="CU28" s="46"/>
      <c r="CV28" s="46"/>
      <c r="CW28" s="46"/>
      <c r="CX28" s="46"/>
      <c r="CY28" s="46"/>
      <c r="CZ28" s="46"/>
      <c r="DA28" s="46"/>
      <c r="DB28" s="46"/>
      <c r="DC28" s="46"/>
      <c r="DD28" s="46"/>
      <c r="DE28" s="61"/>
    </row>
    <row r="29" spans="1:109" x14ac:dyDescent="0.2">
      <c r="A29" s="293" t="s">
        <v>2273</v>
      </c>
      <c r="B29" s="1354"/>
      <c r="C29" s="1338"/>
      <c r="D29" s="1330"/>
      <c r="E29" s="89"/>
      <c r="F29" s="9"/>
      <c r="G29" s="9"/>
      <c r="H29" s="9"/>
      <c r="I29" s="29"/>
      <c r="J29" s="29"/>
      <c r="K29" s="29"/>
      <c r="L29" s="9"/>
      <c r="M29" s="89"/>
      <c r="N29" s="9"/>
      <c r="O29" s="9"/>
      <c r="P29" s="9"/>
      <c r="Q29" s="49"/>
      <c r="R29" s="89"/>
      <c r="S29" s="9"/>
      <c r="T29" s="9"/>
      <c r="U29" s="9"/>
      <c r="W29" s="133"/>
      <c r="X29" s="9"/>
      <c r="Y29" s="46"/>
      <c r="Z29" s="9"/>
      <c r="AA29" s="46">
        <f t="shared" ref="AA29:AA63" si="59">F29-W29-X29-Y29-Z29</f>
        <v>0</v>
      </c>
      <c r="AB29" s="133"/>
      <c r="AC29" s="9"/>
      <c r="AD29" s="9"/>
      <c r="AE29" s="9"/>
      <c r="AF29" s="49"/>
      <c r="AG29" s="89"/>
      <c r="AH29" s="9"/>
      <c r="AI29" s="9"/>
      <c r="AJ29" s="9"/>
      <c r="AK29" s="49"/>
      <c r="AL29" s="89"/>
      <c r="AM29" s="9"/>
      <c r="AN29" s="9"/>
      <c r="AO29" s="9"/>
      <c r="AP29" s="49"/>
      <c r="AQ29" s="89"/>
      <c r="AR29" s="9"/>
      <c r="AS29" s="9"/>
      <c r="AT29" s="9"/>
      <c r="AU29" s="61"/>
      <c r="AW29" s="9"/>
      <c r="AX29" s="9"/>
      <c r="AY29" s="9"/>
      <c r="AZ29" s="49"/>
      <c r="BA29" s="89"/>
      <c r="BB29" s="9"/>
      <c r="BC29" s="9"/>
      <c r="BD29" s="9"/>
      <c r="BE29" s="49"/>
      <c r="BF29" s="89"/>
      <c r="BG29" s="9"/>
      <c r="BH29" s="9"/>
      <c r="BI29" s="9"/>
      <c r="BJ29" s="49"/>
      <c r="BK29" s="89"/>
      <c r="BL29" s="9"/>
      <c r="BM29" s="9"/>
      <c r="BN29" s="9"/>
      <c r="BO29" s="49"/>
      <c r="BP29" s="89"/>
      <c r="BQ29" s="9"/>
      <c r="BR29" s="9"/>
      <c r="BS29" s="9"/>
      <c r="BT29" s="49"/>
      <c r="BU29" s="89"/>
      <c r="BV29" s="9"/>
      <c r="BW29" s="9"/>
      <c r="BX29" s="9"/>
      <c r="BY29" s="49"/>
      <c r="BZ29" s="89"/>
      <c r="CA29" s="9"/>
      <c r="CB29" s="9"/>
      <c r="CC29" s="9"/>
      <c r="CE29" s="1405"/>
      <c r="CF29" s="538"/>
      <c r="CG29" s="538"/>
      <c r="CH29" s="538"/>
      <c r="CI29" s="538"/>
      <c r="CJ29" s="538"/>
      <c r="CK29" s="538"/>
      <c r="CL29" s="538"/>
      <c r="CM29" s="538"/>
      <c r="CN29" s="538"/>
      <c r="CO29" s="538"/>
      <c r="CP29" s="538"/>
      <c r="CQ29" s="538"/>
      <c r="CR29" s="538"/>
      <c r="CS29" s="350"/>
      <c r="CT29" s="46"/>
      <c r="CU29" s="46"/>
      <c r="CV29" s="46"/>
      <c r="CW29" s="46"/>
      <c r="CX29" s="46"/>
      <c r="CY29" s="46"/>
      <c r="CZ29" s="46"/>
      <c r="DA29" s="46"/>
      <c r="DB29" s="46"/>
      <c r="DC29" s="46"/>
      <c r="DD29" s="46"/>
      <c r="DE29" s="61"/>
    </row>
    <row r="30" spans="1:109" x14ac:dyDescent="0.2">
      <c r="A30" s="615" t="s">
        <v>1003</v>
      </c>
      <c r="B30" s="1355" t="s">
        <v>431</v>
      </c>
      <c r="C30" s="1335" t="s">
        <v>4959</v>
      </c>
      <c r="D30" s="1330" t="s">
        <v>431</v>
      </c>
      <c r="E30" s="89">
        <v>16800</v>
      </c>
      <c r="F30" s="9">
        <v>22300</v>
      </c>
      <c r="G30" s="9">
        <v>22000</v>
      </c>
      <c r="H30" s="9">
        <f>ROUND((G30*Assumptions!I$6+G30),-3)</f>
        <v>23000</v>
      </c>
      <c r="I30" s="29">
        <f>ROUND((H30*Assumptions!J$6+H30),-3)</f>
        <v>24000</v>
      </c>
      <c r="J30" s="29">
        <f>ROUND((I30*Assumptions!K$6+I30),-3)</f>
        <v>25000</v>
      </c>
      <c r="K30" s="29">
        <f>ROUND((J30*Assumptions!L$6+J30),-3)</f>
        <v>26000</v>
      </c>
      <c r="L30" s="9">
        <f>ROUND((K30*Assumptions!M$6+K30),-3)</f>
        <v>27000</v>
      </c>
      <c r="M30" s="89">
        <f>ROUND((L30*Assumptions!N$6+L30),-3)</f>
        <v>28000</v>
      </c>
      <c r="N30" s="9">
        <f>ROUND((M30*Assumptions!O$6+M30),-3)</f>
        <v>29000</v>
      </c>
      <c r="O30" s="9">
        <f>ROUND((N30*Assumptions!P$6+N30),-3)</f>
        <v>30000</v>
      </c>
      <c r="P30" s="9">
        <f>ROUND((O30*Assumptions!Q$6+O30),-3)</f>
        <v>31000</v>
      </c>
      <c r="Q30" s="49">
        <f>ROUND((P30*Assumptions!R$6+P30),-3)</f>
        <v>32000</v>
      </c>
      <c r="R30" s="89"/>
      <c r="S30" s="9"/>
      <c r="T30" s="9"/>
      <c r="U30" s="9"/>
      <c r="V30" s="46">
        <f>E30-R30-S30-T30-U30</f>
        <v>16800</v>
      </c>
      <c r="W30" s="133"/>
      <c r="X30" s="9"/>
      <c r="Y30" s="46"/>
      <c r="Z30" s="9"/>
      <c r="AA30" s="46">
        <f t="shared" si="59"/>
        <v>22300</v>
      </c>
      <c r="AB30" s="133"/>
      <c r="AC30" s="9"/>
      <c r="AD30" s="9"/>
      <c r="AE30" s="9"/>
      <c r="AF30" s="49">
        <f>G30-AB30-AC30-AD30-AE30</f>
        <v>22000</v>
      </c>
      <c r="AG30" s="89"/>
      <c r="AH30" s="9"/>
      <c r="AI30" s="9"/>
      <c r="AJ30" s="9"/>
      <c r="AK30" s="49">
        <f>H30-AG30-AH30-AI30-AJ30</f>
        <v>23000</v>
      </c>
      <c r="AL30" s="89"/>
      <c r="AM30" s="9"/>
      <c r="AN30" s="9"/>
      <c r="AO30" s="9"/>
      <c r="AP30" s="49">
        <f>I30-AL30-AM30-AN30-AO30</f>
        <v>24000</v>
      </c>
      <c r="AQ30" s="89"/>
      <c r="AR30" s="9"/>
      <c r="AS30" s="9"/>
      <c r="AT30" s="9"/>
      <c r="AU30" s="61">
        <f>J30-AQ30-AR30-AS30-AT30</f>
        <v>25000</v>
      </c>
      <c r="AW30" s="9"/>
      <c r="AX30" s="9"/>
      <c r="AY30" s="9"/>
      <c r="AZ30" s="49">
        <f>K30-AV30-AW30-AX30-AY30</f>
        <v>26000</v>
      </c>
      <c r="BA30" s="89"/>
      <c r="BB30" s="9"/>
      <c r="BC30" s="9"/>
      <c r="BD30" s="9"/>
      <c r="BE30" s="49">
        <f>L30-BA30-BB30-BC30-BD30</f>
        <v>27000</v>
      </c>
      <c r="BF30" s="89"/>
      <c r="BG30" s="9"/>
      <c r="BH30" s="9"/>
      <c r="BI30" s="9"/>
      <c r="BJ30" s="49">
        <f>M30-BF30-BG30-BH30-BI30</f>
        <v>28000</v>
      </c>
      <c r="BK30" s="89"/>
      <c r="BL30" s="9"/>
      <c r="BM30" s="9"/>
      <c r="BN30" s="9"/>
      <c r="BO30" s="49">
        <f>N30-BK30-BL30-BM30-BN30</f>
        <v>29000</v>
      </c>
      <c r="BP30" s="89"/>
      <c r="BQ30" s="9"/>
      <c r="BR30" s="9"/>
      <c r="BS30" s="9"/>
      <c r="BT30" s="49">
        <f>O30-BP30-BQ30-BR30-BS30</f>
        <v>30000</v>
      </c>
      <c r="BU30" s="89"/>
      <c r="BV30" s="9"/>
      <c r="BW30" s="9"/>
      <c r="BX30" s="9"/>
      <c r="BY30" s="49">
        <f t="shared" ref="BY30:BY38" si="60">P30-BU30-BV30-BW30-BX30</f>
        <v>31000</v>
      </c>
      <c r="BZ30" s="89"/>
      <c r="CA30" s="9"/>
      <c r="CB30" s="9"/>
      <c r="CC30" s="9"/>
      <c r="CD30" s="46">
        <f t="shared" ref="CD30:CD33" si="61">Q30-BZ30-CA30-CB30-CC30</f>
        <v>32000</v>
      </c>
      <c r="CE30" s="1406">
        <v>0</v>
      </c>
      <c r="CF30" s="833">
        <f t="shared" ref="CF30:CN30" si="62">CE30</f>
        <v>0</v>
      </c>
      <c r="CG30" s="833">
        <f t="shared" si="62"/>
        <v>0</v>
      </c>
      <c r="CH30" s="833">
        <f t="shared" si="62"/>
        <v>0</v>
      </c>
      <c r="CI30" s="833">
        <f t="shared" si="62"/>
        <v>0</v>
      </c>
      <c r="CJ30" s="833">
        <f t="shared" si="62"/>
        <v>0</v>
      </c>
      <c r="CK30" s="833">
        <f t="shared" si="62"/>
        <v>0</v>
      </c>
      <c r="CL30" s="833">
        <f t="shared" si="62"/>
        <v>0</v>
      </c>
      <c r="CM30" s="833">
        <f t="shared" si="62"/>
        <v>0</v>
      </c>
      <c r="CN30" s="833">
        <f t="shared" si="62"/>
        <v>0</v>
      </c>
      <c r="CO30" s="833">
        <f t="shared" ref="CO30:CQ33" si="63">CN30</f>
        <v>0</v>
      </c>
      <c r="CP30" s="833">
        <f t="shared" si="63"/>
        <v>0</v>
      </c>
      <c r="CQ30" s="833">
        <f t="shared" si="63"/>
        <v>0</v>
      </c>
      <c r="CR30" s="833"/>
      <c r="CS30" s="1125">
        <f t="shared" ref="CS30:DE30" si="64">ROUND(CE30*E30,-3)</f>
        <v>0</v>
      </c>
      <c r="CT30" s="31">
        <f t="shared" si="64"/>
        <v>0</v>
      </c>
      <c r="CU30" s="31">
        <f t="shared" si="64"/>
        <v>0</v>
      </c>
      <c r="CV30" s="31">
        <f t="shared" si="64"/>
        <v>0</v>
      </c>
      <c r="CW30" s="31">
        <f t="shared" si="64"/>
        <v>0</v>
      </c>
      <c r="CX30" s="31">
        <f t="shared" si="64"/>
        <v>0</v>
      </c>
      <c r="CY30" s="31">
        <f t="shared" si="64"/>
        <v>0</v>
      </c>
      <c r="CZ30" s="31">
        <f t="shared" si="64"/>
        <v>0</v>
      </c>
      <c r="DA30" s="31">
        <f t="shared" si="64"/>
        <v>0</v>
      </c>
      <c r="DB30" s="31">
        <f t="shared" si="64"/>
        <v>0</v>
      </c>
      <c r="DC30" s="31">
        <f t="shared" si="64"/>
        <v>0</v>
      </c>
      <c r="DD30" s="31">
        <f t="shared" si="64"/>
        <v>0</v>
      </c>
      <c r="DE30" s="78">
        <f t="shared" si="64"/>
        <v>0</v>
      </c>
    </row>
    <row r="31" spans="1:109" x14ac:dyDescent="0.2">
      <c r="A31" s="615" t="s">
        <v>5498</v>
      </c>
      <c r="B31" s="1358" t="s">
        <v>5414</v>
      </c>
      <c r="C31" s="1335"/>
      <c r="D31" s="1330"/>
      <c r="E31" s="89">
        <v>37500</v>
      </c>
      <c r="F31" s="9">
        <v>12700</v>
      </c>
      <c r="G31" s="9"/>
      <c r="H31" s="9"/>
      <c r="I31" s="29"/>
      <c r="J31" s="29"/>
      <c r="K31" s="29"/>
      <c r="L31" s="9"/>
      <c r="M31" s="89"/>
      <c r="N31" s="9"/>
      <c r="O31" s="9"/>
      <c r="P31" s="9"/>
      <c r="Q31" s="49"/>
      <c r="R31" s="89"/>
      <c r="S31" s="9"/>
      <c r="T31" s="9"/>
      <c r="U31" s="9">
        <v>40000</v>
      </c>
      <c r="V31" s="46">
        <f>E31-R31-S31-T31-U31</f>
        <v>-2500</v>
      </c>
      <c r="W31" s="133"/>
      <c r="X31" s="9"/>
      <c r="Y31" s="46"/>
      <c r="Z31" s="9">
        <v>2500</v>
      </c>
      <c r="AA31" s="46">
        <f t="shared" si="59"/>
        <v>10200</v>
      </c>
      <c r="AB31" s="133"/>
      <c r="AC31" s="9"/>
      <c r="AD31" s="9"/>
      <c r="AE31" s="9"/>
      <c r="AF31" s="49">
        <f>G31-AB31-AC31-AD31-AE31</f>
        <v>0</v>
      </c>
      <c r="AG31" s="89"/>
      <c r="AH31" s="9"/>
      <c r="AI31" s="9"/>
      <c r="AJ31" s="9"/>
      <c r="AK31" s="49">
        <f>H31-AG31-AH31-AI31-AJ31</f>
        <v>0</v>
      </c>
      <c r="AL31" s="89"/>
      <c r="AM31" s="9"/>
      <c r="AN31" s="9"/>
      <c r="AO31" s="9"/>
      <c r="AP31" s="49">
        <f>I31-AL31-AM31-AN31-AO31</f>
        <v>0</v>
      </c>
      <c r="AQ31" s="89"/>
      <c r="AR31" s="9"/>
      <c r="AS31" s="9"/>
      <c r="AT31" s="9"/>
      <c r="AU31" s="61">
        <f>J31-AQ31-AR31-AS31-AT31</f>
        <v>0</v>
      </c>
      <c r="AW31" s="9"/>
      <c r="AX31" s="9"/>
      <c r="AY31" s="9"/>
      <c r="AZ31" s="49">
        <f>K31-AV31-AW31-AX31-AY31</f>
        <v>0</v>
      </c>
      <c r="BA31" s="89"/>
      <c r="BB31" s="9"/>
      <c r="BC31" s="9"/>
      <c r="BD31" s="9"/>
      <c r="BE31" s="49">
        <f>L31-BA31-BB31-BC31-BD31</f>
        <v>0</v>
      </c>
      <c r="BF31" s="89"/>
      <c r="BG31" s="9"/>
      <c r="BH31" s="9"/>
      <c r="BI31" s="9"/>
      <c r="BJ31" s="49">
        <f>M31-BF31-BG31-BH31-BI31</f>
        <v>0</v>
      </c>
      <c r="BK31" s="89"/>
      <c r="BL31" s="9"/>
      <c r="BM31" s="9"/>
      <c r="BN31" s="9"/>
      <c r="BO31" s="49">
        <f>N31-BK31-BL31-BM31-BN31</f>
        <v>0</v>
      </c>
      <c r="BP31" s="89"/>
      <c r="BQ31" s="9"/>
      <c r="BR31" s="9"/>
      <c r="BS31" s="9"/>
      <c r="BT31" s="49">
        <f>O31-BP31-BQ31-BR31-BS31</f>
        <v>0</v>
      </c>
      <c r="BU31" s="89"/>
      <c r="BV31" s="9"/>
      <c r="BW31" s="9"/>
      <c r="BX31" s="9"/>
      <c r="BY31" s="49">
        <f t="shared" si="60"/>
        <v>0</v>
      </c>
      <c r="BZ31" s="89"/>
      <c r="CA31" s="9"/>
      <c r="CB31" s="9"/>
      <c r="CC31" s="9"/>
      <c r="CD31" s="46">
        <f t="shared" si="61"/>
        <v>0</v>
      </c>
      <c r="CE31" s="1406">
        <v>0</v>
      </c>
      <c r="CF31" s="833">
        <f t="shared" ref="CF31:CF32" si="65">CE31</f>
        <v>0</v>
      </c>
      <c r="CG31" s="833">
        <f t="shared" ref="CG31:CG32" si="66">CF31</f>
        <v>0</v>
      </c>
      <c r="CH31" s="833">
        <f t="shared" ref="CH31:CH32" si="67">CG31</f>
        <v>0</v>
      </c>
      <c r="CI31" s="833">
        <f t="shared" ref="CI31:CI32" si="68">CH31</f>
        <v>0</v>
      </c>
      <c r="CJ31" s="833">
        <f t="shared" ref="CJ31:CJ32" si="69">CI31</f>
        <v>0</v>
      </c>
      <c r="CK31" s="833">
        <f t="shared" ref="CK31:CK32" si="70">CJ31</f>
        <v>0</v>
      </c>
      <c r="CL31" s="833">
        <f t="shared" ref="CL31:CL32" si="71">CK31</f>
        <v>0</v>
      </c>
      <c r="CM31" s="833">
        <f t="shared" ref="CM31:CM32" si="72">CL31</f>
        <v>0</v>
      </c>
      <c r="CN31" s="833">
        <f t="shared" ref="CN31:CN32" si="73">CM31</f>
        <v>0</v>
      </c>
      <c r="CO31" s="833">
        <f t="shared" si="63"/>
        <v>0</v>
      </c>
      <c r="CP31" s="833">
        <f t="shared" si="63"/>
        <v>0</v>
      </c>
      <c r="CQ31" s="833">
        <f t="shared" si="63"/>
        <v>0</v>
      </c>
      <c r="CR31" s="833"/>
      <c r="CS31" s="1125">
        <f t="shared" ref="CS31:CS33" si="74">ROUND(CE31*E31,-3)</f>
        <v>0</v>
      </c>
      <c r="CT31" s="31">
        <f t="shared" ref="CT31:CT33" si="75">ROUND(CF31*F31,-3)</f>
        <v>0</v>
      </c>
      <c r="CU31" s="31">
        <f t="shared" ref="CU31:DE33" si="76">ROUND(CG31*G31,-3)</f>
        <v>0</v>
      </c>
      <c r="CV31" s="31">
        <f t="shared" si="76"/>
        <v>0</v>
      </c>
      <c r="CW31" s="31">
        <f t="shared" si="76"/>
        <v>0</v>
      </c>
      <c r="CX31" s="31">
        <f t="shared" si="76"/>
        <v>0</v>
      </c>
      <c r="CY31" s="31">
        <f t="shared" si="76"/>
        <v>0</v>
      </c>
      <c r="CZ31" s="31">
        <f t="shared" si="76"/>
        <v>0</v>
      </c>
      <c r="DA31" s="31">
        <f t="shared" si="76"/>
        <v>0</v>
      </c>
      <c r="DB31" s="31">
        <f t="shared" si="76"/>
        <v>0</v>
      </c>
      <c r="DC31" s="31">
        <f t="shared" si="76"/>
        <v>0</v>
      </c>
      <c r="DD31" s="31">
        <f t="shared" si="76"/>
        <v>0</v>
      </c>
      <c r="DE31" s="78">
        <f t="shared" si="76"/>
        <v>0</v>
      </c>
    </row>
    <row r="32" spans="1:109" x14ac:dyDescent="0.2">
      <c r="A32" s="615" t="s">
        <v>5974</v>
      </c>
      <c r="B32" s="1352" t="s">
        <v>6143</v>
      </c>
      <c r="C32" s="1335"/>
      <c r="D32" s="1330" t="s">
        <v>6143</v>
      </c>
      <c r="E32" s="89"/>
      <c r="F32" s="9">
        <v>27200</v>
      </c>
      <c r="G32" s="9">
        <f>65000+37800</f>
        <v>102800</v>
      </c>
      <c r="H32" s="9"/>
      <c r="I32" s="29"/>
      <c r="J32" s="29"/>
      <c r="K32" s="29"/>
      <c r="L32" s="9"/>
      <c r="M32" s="89"/>
      <c r="N32" s="9"/>
      <c r="O32" s="9"/>
      <c r="P32" s="9"/>
      <c r="Q32" s="49"/>
      <c r="R32" s="89"/>
      <c r="S32" s="9"/>
      <c r="T32" s="9"/>
      <c r="U32" s="9"/>
      <c r="W32" s="133"/>
      <c r="X32" s="9"/>
      <c r="Y32" s="46"/>
      <c r="Z32" s="9"/>
      <c r="AA32" s="46">
        <f t="shared" si="59"/>
        <v>27200</v>
      </c>
      <c r="AB32" s="133"/>
      <c r="AC32" s="9"/>
      <c r="AD32" s="9"/>
      <c r="AE32" s="9">
        <f>+G32</f>
        <v>102800</v>
      </c>
      <c r="AF32" s="49">
        <f>G32-AB32-AC32-AD32-AE32</f>
        <v>0</v>
      </c>
      <c r="AG32" s="89"/>
      <c r="AH32" s="9"/>
      <c r="AI32" s="9"/>
      <c r="AJ32" s="9"/>
      <c r="AK32" s="49">
        <f>H32-AG32-AH32-AI32-AJ32</f>
        <v>0</v>
      </c>
      <c r="AL32" s="89"/>
      <c r="AM32" s="9"/>
      <c r="AN32" s="9"/>
      <c r="AO32" s="9"/>
      <c r="AP32" s="49">
        <f>I32-AL32-AM32-AN32-AO32</f>
        <v>0</v>
      </c>
      <c r="AQ32" s="89"/>
      <c r="AR32" s="9"/>
      <c r="AS32" s="9"/>
      <c r="AT32" s="9"/>
      <c r="AU32" s="61">
        <f>J32-AQ32-AR32-AS32-AT32</f>
        <v>0</v>
      </c>
      <c r="AW32" s="9"/>
      <c r="AX32" s="9"/>
      <c r="AY32" s="9"/>
      <c r="AZ32" s="49">
        <f>K32-AV32-AW32-AX32-AY32</f>
        <v>0</v>
      </c>
      <c r="BA32" s="89"/>
      <c r="BB32" s="9"/>
      <c r="BC32" s="9"/>
      <c r="BD32" s="9"/>
      <c r="BE32" s="49">
        <f>L32-BA32-BB32-BC32-BD32</f>
        <v>0</v>
      </c>
      <c r="BF32" s="89"/>
      <c r="BG32" s="9"/>
      <c r="BH32" s="9"/>
      <c r="BI32" s="9"/>
      <c r="BJ32" s="49">
        <f>M32-BF32-BG32-BH32-BI32</f>
        <v>0</v>
      </c>
      <c r="BK32" s="89"/>
      <c r="BL32" s="9"/>
      <c r="BM32" s="9"/>
      <c r="BN32" s="9"/>
      <c r="BO32" s="49">
        <f>N32-BK32-BL32-BM32-BN32</f>
        <v>0</v>
      </c>
      <c r="BP32" s="89"/>
      <c r="BQ32" s="9"/>
      <c r="BR32" s="9"/>
      <c r="BS32" s="9"/>
      <c r="BT32" s="49">
        <f>O32-BP32-BQ32-BR32-BS32</f>
        <v>0</v>
      </c>
      <c r="BU32" s="89"/>
      <c r="BV32" s="9"/>
      <c r="BW32" s="9"/>
      <c r="BX32" s="9"/>
      <c r="BY32" s="49">
        <f t="shared" si="60"/>
        <v>0</v>
      </c>
      <c r="BZ32" s="89"/>
      <c r="CA32" s="9"/>
      <c r="CB32" s="9"/>
      <c r="CC32" s="9"/>
      <c r="CD32" s="46">
        <f t="shared" si="61"/>
        <v>0</v>
      </c>
      <c r="CE32" s="1406">
        <v>0</v>
      </c>
      <c r="CF32" s="833">
        <f t="shared" si="65"/>
        <v>0</v>
      </c>
      <c r="CG32" s="833">
        <f t="shared" si="66"/>
        <v>0</v>
      </c>
      <c r="CH32" s="833">
        <f t="shared" si="67"/>
        <v>0</v>
      </c>
      <c r="CI32" s="833">
        <f t="shared" si="68"/>
        <v>0</v>
      </c>
      <c r="CJ32" s="833">
        <f t="shared" si="69"/>
        <v>0</v>
      </c>
      <c r="CK32" s="833">
        <f t="shared" si="70"/>
        <v>0</v>
      </c>
      <c r="CL32" s="833">
        <f t="shared" si="71"/>
        <v>0</v>
      </c>
      <c r="CM32" s="833">
        <f t="shared" si="72"/>
        <v>0</v>
      </c>
      <c r="CN32" s="833">
        <f t="shared" si="73"/>
        <v>0</v>
      </c>
      <c r="CO32" s="833">
        <f t="shared" si="63"/>
        <v>0</v>
      </c>
      <c r="CP32" s="833">
        <f t="shared" si="63"/>
        <v>0</v>
      </c>
      <c r="CQ32" s="833">
        <f t="shared" si="63"/>
        <v>0</v>
      </c>
      <c r="CR32" s="833"/>
      <c r="CS32" s="1125">
        <f t="shared" si="74"/>
        <v>0</v>
      </c>
      <c r="CT32" s="31">
        <f t="shared" si="75"/>
        <v>0</v>
      </c>
      <c r="CU32" s="31">
        <f t="shared" si="76"/>
        <v>0</v>
      </c>
      <c r="CV32" s="31">
        <f t="shared" si="76"/>
        <v>0</v>
      </c>
      <c r="CW32" s="31">
        <f t="shared" si="76"/>
        <v>0</v>
      </c>
      <c r="CX32" s="31">
        <f t="shared" si="76"/>
        <v>0</v>
      </c>
      <c r="CY32" s="31">
        <f t="shared" si="76"/>
        <v>0</v>
      </c>
      <c r="CZ32" s="31">
        <f t="shared" si="76"/>
        <v>0</v>
      </c>
      <c r="DA32" s="31">
        <f t="shared" si="76"/>
        <v>0</v>
      </c>
      <c r="DB32" s="31">
        <f t="shared" si="76"/>
        <v>0</v>
      </c>
      <c r="DC32" s="31">
        <f t="shared" si="76"/>
        <v>0</v>
      </c>
      <c r="DD32" s="31">
        <f t="shared" si="76"/>
        <v>0</v>
      </c>
      <c r="DE32" s="78">
        <f t="shared" si="76"/>
        <v>0</v>
      </c>
    </row>
    <row r="33" spans="1:109" x14ac:dyDescent="0.2">
      <c r="A33" s="615" t="s">
        <v>6134</v>
      </c>
      <c r="B33" s="1335" t="s">
        <v>6135</v>
      </c>
      <c r="C33" s="1335"/>
      <c r="D33" s="1330" t="s">
        <v>6135</v>
      </c>
      <c r="E33" s="89"/>
      <c r="F33" s="9">
        <v>4500</v>
      </c>
      <c r="G33" s="9"/>
      <c r="H33" s="9"/>
      <c r="I33" s="9"/>
      <c r="J33" s="9"/>
      <c r="K33" s="9"/>
      <c r="L33" s="9"/>
      <c r="M33" s="9"/>
      <c r="N33" s="9"/>
      <c r="O33" s="9"/>
      <c r="P33" s="9"/>
      <c r="Q33" s="49"/>
      <c r="R33" s="89"/>
      <c r="S33" s="9"/>
      <c r="T33" s="9"/>
      <c r="U33" s="9"/>
      <c r="W33" s="133"/>
      <c r="X33" s="9"/>
      <c r="Y33" s="46"/>
      <c r="Z33" s="9"/>
      <c r="AA33" s="46">
        <f t="shared" si="59"/>
        <v>4500</v>
      </c>
      <c r="AB33" s="133"/>
      <c r="AC33" s="9"/>
      <c r="AD33" s="9"/>
      <c r="AE33" s="9"/>
      <c r="AF33" s="49">
        <f>G33-AB33-AC33-AD33-AE33</f>
        <v>0</v>
      </c>
      <c r="AG33" s="89"/>
      <c r="AH33" s="9"/>
      <c r="AI33" s="9"/>
      <c r="AJ33" s="9"/>
      <c r="AK33" s="49">
        <f>H33-AG33-AH33-AI33-AJ33</f>
        <v>0</v>
      </c>
      <c r="AL33" s="89"/>
      <c r="AM33" s="9"/>
      <c r="AN33" s="9"/>
      <c r="AO33" s="9"/>
      <c r="AP33" s="49">
        <f>I33-AL33-AM33-AN33-AO33</f>
        <v>0</v>
      </c>
      <c r="AQ33" s="89"/>
      <c r="AR33" s="9"/>
      <c r="AS33" s="9"/>
      <c r="AT33" s="9"/>
      <c r="AU33" s="61">
        <f>J33-AQ33-AR33-AS33-AT33</f>
        <v>0</v>
      </c>
      <c r="AW33" s="9"/>
      <c r="AX33" s="9"/>
      <c r="AY33" s="9"/>
      <c r="AZ33" s="49">
        <f>K33-AV33-AW33-AX33-AY33</f>
        <v>0</v>
      </c>
      <c r="BA33" s="89"/>
      <c r="BB33" s="9"/>
      <c r="BC33" s="9"/>
      <c r="BD33" s="9"/>
      <c r="BE33" s="49">
        <f>L33-BA33-BB33-BC33-BD33</f>
        <v>0</v>
      </c>
      <c r="BF33" s="89"/>
      <c r="BG33" s="9"/>
      <c r="BH33" s="9"/>
      <c r="BI33" s="9"/>
      <c r="BJ33" s="49">
        <f>M33-BF33-BG33-BH33-BI33</f>
        <v>0</v>
      </c>
      <c r="BK33" s="89"/>
      <c r="BL33" s="9"/>
      <c r="BM33" s="9"/>
      <c r="BN33" s="9"/>
      <c r="BO33" s="49">
        <f>N33-BK33-BL33-BM33-BN33</f>
        <v>0</v>
      </c>
      <c r="BP33" s="89"/>
      <c r="BQ33" s="9"/>
      <c r="BR33" s="9"/>
      <c r="BS33" s="9"/>
      <c r="BT33" s="49">
        <f>O33-BP33-BQ33-BR33-BS33</f>
        <v>0</v>
      </c>
      <c r="BU33" s="89"/>
      <c r="BV33" s="9"/>
      <c r="BW33" s="9"/>
      <c r="BX33" s="9"/>
      <c r="BY33" s="49">
        <f t="shared" si="60"/>
        <v>0</v>
      </c>
      <c r="BZ33" s="89"/>
      <c r="CA33" s="9"/>
      <c r="CB33" s="9"/>
      <c r="CC33" s="9"/>
      <c r="CD33" s="46">
        <f t="shared" si="61"/>
        <v>0</v>
      </c>
      <c r="CE33" s="1406">
        <v>0</v>
      </c>
      <c r="CF33" s="833">
        <f t="shared" ref="CF33" si="77">CE33</f>
        <v>0</v>
      </c>
      <c r="CG33" s="833">
        <f t="shared" ref="CG33" si="78">CF33</f>
        <v>0</v>
      </c>
      <c r="CH33" s="833">
        <f t="shared" ref="CH33" si="79">CG33</f>
        <v>0</v>
      </c>
      <c r="CI33" s="833">
        <f t="shared" ref="CI33" si="80">CH33</f>
        <v>0</v>
      </c>
      <c r="CJ33" s="833">
        <f t="shared" ref="CJ33" si="81">CI33</f>
        <v>0</v>
      </c>
      <c r="CK33" s="833">
        <f t="shared" ref="CK33" si="82">CJ33</f>
        <v>0</v>
      </c>
      <c r="CL33" s="833">
        <f t="shared" ref="CL33" si="83">CK33</f>
        <v>0</v>
      </c>
      <c r="CM33" s="833">
        <f t="shared" ref="CM33" si="84">CL33</f>
        <v>0</v>
      </c>
      <c r="CN33" s="833">
        <f t="shared" ref="CN33" si="85">CM33</f>
        <v>0</v>
      </c>
      <c r="CO33" s="833">
        <f t="shared" si="63"/>
        <v>0</v>
      </c>
      <c r="CP33" s="833">
        <f t="shared" si="63"/>
        <v>0</v>
      </c>
      <c r="CQ33" s="833">
        <f t="shared" si="63"/>
        <v>0</v>
      </c>
      <c r="CR33" s="833"/>
      <c r="CS33" s="1125">
        <f t="shared" si="74"/>
        <v>0</v>
      </c>
      <c r="CT33" s="31">
        <f t="shared" si="75"/>
        <v>0</v>
      </c>
      <c r="CU33" s="31">
        <f t="shared" si="76"/>
        <v>0</v>
      </c>
      <c r="CV33" s="31">
        <f t="shared" si="76"/>
        <v>0</v>
      </c>
      <c r="CW33" s="31">
        <f t="shared" si="76"/>
        <v>0</v>
      </c>
      <c r="CX33" s="31">
        <f t="shared" si="76"/>
        <v>0</v>
      </c>
      <c r="CY33" s="31">
        <f t="shared" si="76"/>
        <v>0</v>
      </c>
      <c r="CZ33" s="31">
        <f t="shared" si="76"/>
        <v>0</v>
      </c>
      <c r="DA33" s="31">
        <f t="shared" si="76"/>
        <v>0</v>
      </c>
      <c r="DB33" s="31">
        <f t="shared" si="76"/>
        <v>0</v>
      </c>
      <c r="DC33" s="31">
        <f t="shared" si="76"/>
        <v>0</v>
      </c>
      <c r="DD33" s="31">
        <f t="shared" si="76"/>
        <v>0</v>
      </c>
      <c r="DE33" s="78">
        <f t="shared" si="76"/>
        <v>0</v>
      </c>
    </row>
    <row r="34" spans="1:109" x14ac:dyDescent="0.2">
      <c r="A34" s="615"/>
      <c r="B34" s="1335"/>
      <c r="C34" s="1335"/>
      <c r="D34" s="1330"/>
      <c r="E34" s="89"/>
      <c r="F34" s="9"/>
      <c r="G34" s="9"/>
      <c r="H34" s="9"/>
      <c r="I34" s="29"/>
      <c r="J34" s="29"/>
      <c r="K34" s="29"/>
      <c r="L34" s="9"/>
      <c r="M34" s="89"/>
      <c r="N34" s="9"/>
      <c r="O34" s="9"/>
      <c r="P34" s="9"/>
      <c r="Q34" s="49"/>
      <c r="R34" s="89"/>
      <c r="S34" s="9"/>
      <c r="T34" s="9"/>
      <c r="U34" s="9"/>
      <c r="W34" s="133"/>
      <c r="X34" s="9"/>
      <c r="Y34" s="46"/>
      <c r="Z34" s="9"/>
      <c r="AA34" s="46">
        <f t="shared" si="59"/>
        <v>0</v>
      </c>
      <c r="AB34" s="133"/>
      <c r="AC34" s="9"/>
      <c r="AD34" s="9"/>
      <c r="AE34" s="9"/>
      <c r="AF34" s="49"/>
      <c r="AG34" s="89"/>
      <c r="AH34" s="9"/>
      <c r="AI34" s="9"/>
      <c r="AJ34" s="9"/>
      <c r="AK34" s="49"/>
      <c r="AL34" s="89"/>
      <c r="AM34" s="9"/>
      <c r="AN34" s="9"/>
      <c r="AO34" s="9"/>
      <c r="AP34" s="49"/>
      <c r="AQ34" s="89"/>
      <c r="AR34" s="9"/>
      <c r="AS34" s="9"/>
      <c r="AT34" s="9"/>
      <c r="AU34" s="61"/>
      <c r="AW34" s="9"/>
      <c r="AX34" s="9"/>
      <c r="AY34" s="9"/>
      <c r="AZ34" s="49"/>
      <c r="BA34" s="89"/>
      <c r="BB34" s="9"/>
      <c r="BC34" s="9"/>
      <c r="BD34" s="9"/>
      <c r="BE34" s="49"/>
      <c r="BF34" s="89"/>
      <c r="BG34" s="9"/>
      <c r="BH34" s="9"/>
      <c r="BI34" s="9"/>
      <c r="BJ34" s="49"/>
      <c r="BK34" s="89"/>
      <c r="BL34" s="9"/>
      <c r="BM34" s="9"/>
      <c r="BN34" s="9"/>
      <c r="BO34" s="49"/>
      <c r="BP34" s="89"/>
      <c r="BQ34" s="9"/>
      <c r="BR34" s="9"/>
      <c r="BS34" s="9"/>
      <c r="BT34" s="49"/>
      <c r="BU34" s="89"/>
      <c r="BV34" s="9"/>
      <c r="BW34" s="9"/>
      <c r="BX34" s="9"/>
      <c r="BY34" s="49"/>
      <c r="BZ34" s="89"/>
      <c r="CA34" s="9"/>
      <c r="CB34" s="9"/>
      <c r="CC34" s="9"/>
      <c r="CE34" s="1406"/>
      <c r="CF34" s="833"/>
      <c r="CG34" s="833"/>
      <c r="CH34" s="833"/>
      <c r="CI34" s="833"/>
      <c r="CJ34" s="833"/>
      <c r="CK34" s="833"/>
      <c r="CL34" s="833"/>
      <c r="CM34" s="833"/>
      <c r="CN34" s="833"/>
      <c r="CO34" s="833"/>
      <c r="CP34" s="833"/>
      <c r="CQ34" s="833"/>
      <c r="CR34" s="833"/>
      <c r="CS34" s="1125"/>
      <c r="CT34" s="31"/>
      <c r="CU34" s="31"/>
      <c r="CV34" s="31"/>
      <c r="CW34" s="31"/>
      <c r="CX34" s="31"/>
      <c r="CY34" s="31"/>
      <c r="CZ34" s="31"/>
      <c r="DA34" s="31"/>
      <c r="DB34" s="31"/>
      <c r="DC34" s="31"/>
      <c r="DD34" s="31"/>
      <c r="DE34" s="78"/>
    </row>
    <row r="35" spans="1:109" x14ac:dyDescent="0.2">
      <c r="A35" s="413" t="s">
        <v>3622</v>
      </c>
      <c r="B35" s="1335"/>
      <c r="C35" s="1335"/>
      <c r="D35" s="1330"/>
      <c r="E35" s="89"/>
      <c r="F35" s="9"/>
      <c r="G35" s="9"/>
      <c r="H35" s="9"/>
      <c r="I35" s="29"/>
      <c r="J35" s="29"/>
      <c r="K35" s="29"/>
      <c r="L35" s="9"/>
      <c r="M35" s="89"/>
      <c r="N35" s="9"/>
      <c r="O35" s="9"/>
      <c r="P35" s="9"/>
      <c r="Q35" s="49"/>
      <c r="R35" s="89"/>
      <c r="S35" s="9"/>
      <c r="T35" s="9"/>
      <c r="U35" s="9"/>
      <c r="W35" s="133"/>
      <c r="X35" s="9"/>
      <c r="Y35" s="46"/>
      <c r="Z35" s="9"/>
      <c r="AA35" s="46">
        <f t="shared" si="59"/>
        <v>0</v>
      </c>
      <c r="AB35" s="133"/>
      <c r="AC35" s="9"/>
      <c r="AD35" s="9"/>
      <c r="AE35" s="9"/>
      <c r="AF35" s="49"/>
      <c r="AG35" s="89"/>
      <c r="AH35" s="9"/>
      <c r="AI35" s="9"/>
      <c r="AJ35" s="9"/>
      <c r="AK35" s="49"/>
      <c r="AL35" s="89"/>
      <c r="AM35" s="9"/>
      <c r="AN35" s="9"/>
      <c r="AO35" s="9"/>
      <c r="AP35" s="49"/>
      <c r="AQ35" s="89"/>
      <c r="AR35" s="9"/>
      <c r="AS35" s="9"/>
      <c r="AT35" s="9"/>
      <c r="AU35" s="61"/>
      <c r="AW35" s="9"/>
      <c r="AX35" s="9"/>
      <c r="AY35" s="9"/>
      <c r="AZ35" s="49"/>
      <c r="BA35" s="89"/>
      <c r="BB35" s="9"/>
      <c r="BC35" s="9"/>
      <c r="BD35" s="9"/>
      <c r="BE35" s="49"/>
      <c r="BF35" s="89"/>
      <c r="BG35" s="9"/>
      <c r="BH35" s="9"/>
      <c r="BI35" s="9"/>
      <c r="BJ35" s="49"/>
      <c r="BK35" s="89"/>
      <c r="BL35" s="9"/>
      <c r="BM35" s="9"/>
      <c r="BN35" s="9"/>
      <c r="BO35" s="49"/>
      <c r="BP35" s="89"/>
      <c r="BQ35" s="9"/>
      <c r="BR35" s="9"/>
      <c r="BS35" s="9"/>
      <c r="BT35" s="49"/>
      <c r="BU35" s="89"/>
      <c r="BV35" s="9"/>
      <c r="BW35" s="9"/>
      <c r="BX35" s="9"/>
      <c r="BY35" s="49"/>
      <c r="BZ35" s="89"/>
      <c r="CA35" s="9"/>
      <c r="CB35" s="9"/>
      <c r="CC35" s="9"/>
      <c r="CE35" s="1406"/>
      <c r="CF35" s="833"/>
      <c r="CG35" s="833"/>
      <c r="CH35" s="833"/>
      <c r="CI35" s="833"/>
      <c r="CJ35" s="833"/>
      <c r="CK35" s="833"/>
      <c r="CL35" s="833"/>
      <c r="CM35" s="833"/>
      <c r="CN35" s="833"/>
      <c r="CO35" s="833"/>
      <c r="CP35" s="833"/>
      <c r="CQ35" s="833"/>
      <c r="CR35" s="833"/>
      <c r="CS35" s="1125"/>
      <c r="CT35" s="31"/>
      <c r="CU35" s="31"/>
      <c r="CV35" s="31"/>
      <c r="CW35" s="31"/>
      <c r="CX35" s="31"/>
      <c r="CY35" s="31"/>
      <c r="CZ35" s="31"/>
      <c r="DA35" s="31"/>
      <c r="DB35" s="31"/>
      <c r="DC35" s="31"/>
      <c r="DD35" s="31"/>
      <c r="DE35" s="78"/>
    </row>
    <row r="36" spans="1:109" x14ac:dyDescent="0.2">
      <c r="A36" s="615" t="s">
        <v>6895</v>
      </c>
      <c r="B36" s="1335" t="s">
        <v>6884</v>
      </c>
      <c r="C36" s="1335"/>
      <c r="D36" s="1330" t="s">
        <v>6884</v>
      </c>
      <c r="E36" s="89"/>
      <c r="F36" s="9">
        <v>26500</v>
      </c>
      <c r="G36" s="9"/>
      <c r="H36" s="9"/>
      <c r="I36" s="29"/>
      <c r="J36" s="29"/>
      <c r="K36" s="29"/>
      <c r="L36" s="9"/>
      <c r="M36" s="89"/>
      <c r="N36" s="9"/>
      <c r="O36" s="9"/>
      <c r="P36" s="9"/>
      <c r="Q36" s="49"/>
      <c r="R36" s="89"/>
      <c r="S36" s="9"/>
      <c r="T36" s="9"/>
      <c r="U36" s="9"/>
      <c r="W36" s="133"/>
      <c r="X36" s="9"/>
      <c r="Y36" s="46"/>
      <c r="Z36" s="9"/>
      <c r="AA36" s="46">
        <f t="shared" si="59"/>
        <v>26500</v>
      </c>
      <c r="AB36" s="133"/>
      <c r="AC36" s="9"/>
      <c r="AD36" s="9"/>
      <c r="AE36" s="9"/>
      <c r="AF36" s="49"/>
      <c r="AG36" s="89"/>
      <c r="AH36" s="9"/>
      <c r="AI36" s="9"/>
      <c r="AJ36" s="9"/>
      <c r="AK36" s="49"/>
      <c r="AL36" s="89"/>
      <c r="AM36" s="9"/>
      <c r="AN36" s="9"/>
      <c r="AO36" s="9"/>
      <c r="AP36" s="49"/>
      <c r="AQ36" s="89"/>
      <c r="AR36" s="9"/>
      <c r="AS36" s="9"/>
      <c r="AT36" s="9"/>
      <c r="AU36" s="61"/>
      <c r="AW36" s="9"/>
      <c r="AX36" s="9"/>
      <c r="AY36" s="9"/>
      <c r="AZ36" s="49"/>
      <c r="BA36" s="89"/>
      <c r="BB36" s="9"/>
      <c r="BC36" s="9"/>
      <c r="BD36" s="9"/>
      <c r="BE36" s="49"/>
      <c r="BF36" s="89"/>
      <c r="BG36" s="9"/>
      <c r="BH36" s="9"/>
      <c r="BI36" s="9"/>
      <c r="BJ36" s="49"/>
      <c r="BK36" s="89"/>
      <c r="BL36" s="9"/>
      <c r="BM36" s="9"/>
      <c r="BN36" s="9"/>
      <c r="BO36" s="49"/>
      <c r="BP36" s="89"/>
      <c r="BQ36" s="9"/>
      <c r="BR36" s="9"/>
      <c r="BS36" s="9"/>
      <c r="BT36" s="49"/>
      <c r="BU36" s="89"/>
      <c r="BV36" s="9"/>
      <c r="BW36" s="9"/>
      <c r="BX36" s="9"/>
      <c r="BY36" s="49"/>
      <c r="BZ36" s="89"/>
      <c r="CA36" s="9"/>
      <c r="CB36" s="9"/>
      <c r="CC36" s="9"/>
      <c r="CE36" s="1406">
        <v>0</v>
      </c>
      <c r="CF36" s="833">
        <f t="shared" ref="CF36:CF37" si="86">CE36</f>
        <v>0</v>
      </c>
      <c r="CG36" s="833">
        <f t="shared" ref="CG36:CG37" si="87">CF36</f>
        <v>0</v>
      </c>
      <c r="CH36" s="833">
        <f t="shared" ref="CH36:CH37" si="88">CG36</f>
        <v>0</v>
      </c>
      <c r="CI36" s="833">
        <f t="shared" ref="CI36:CI37" si="89">CH36</f>
        <v>0</v>
      </c>
      <c r="CJ36" s="833">
        <f t="shared" ref="CJ36:CJ37" si="90">CI36</f>
        <v>0</v>
      </c>
      <c r="CK36" s="833">
        <f t="shared" ref="CK36:CK37" si="91">CJ36</f>
        <v>0</v>
      </c>
      <c r="CL36" s="833">
        <f t="shared" ref="CL36:CL37" si="92">CK36</f>
        <v>0</v>
      </c>
      <c r="CM36" s="833">
        <f t="shared" ref="CM36:CM37" si="93">CL36</f>
        <v>0</v>
      </c>
      <c r="CN36" s="833">
        <f t="shared" ref="CN36:CN37" si="94">CM36</f>
        <v>0</v>
      </c>
      <c r="CO36" s="833">
        <f t="shared" ref="CO36:CO37" si="95">CN36</f>
        <v>0</v>
      </c>
      <c r="CP36" s="833">
        <f t="shared" ref="CP36:CQ37" si="96">CO36</f>
        <v>0</v>
      </c>
      <c r="CQ36" s="833">
        <f t="shared" si="96"/>
        <v>0</v>
      </c>
      <c r="CR36" s="833"/>
      <c r="CS36" s="1125">
        <f t="shared" ref="CS36:CS37" si="97">ROUND(CE36*E36,-3)</f>
        <v>0</v>
      </c>
      <c r="CT36" s="31">
        <f t="shared" ref="CT36:CT37" si="98">ROUND(CF36*F36,-3)</f>
        <v>0</v>
      </c>
      <c r="CU36" s="31">
        <f t="shared" ref="CU36:CU37" si="99">ROUND(CG36*G36,-3)</f>
        <v>0</v>
      </c>
      <c r="CV36" s="31">
        <f t="shared" ref="CV36:CV37" si="100">ROUND(CH36*H36,-3)</f>
        <v>0</v>
      </c>
      <c r="CW36" s="31">
        <f t="shared" ref="CW36:CW37" si="101">ROUND(CI36*I36,-3)</f>
        <v>0</v>
      </c>
      <c r="CX36" s="31">
        <f t="shared" ref="CX36:CX37" si="102">ROUND(CJ36*J36,-3)</f>
        <v>0</v>
      </c>
      <c r="CY36" s="31">
        <f t="shared" ref="CY36:CY37" si="103">ROUND(CK36*K36,-3)</f>
        <v>0</v>
      </c>
      <c r="CZ36" s="31">
        <f t="shared" ref="CZ36:CZ37" si="104">ROUND(CL36*L36,-3)</f>
        <v>0</v>
      </c>
      <c r="DA36" s="31">
        <f t="shared" ref="DA36:DA37" si="105">ROUND(CM36*M36,-3)</f>
        <v>0</v>
      </c>
      <c r="DB36" s="31">
        <f t="shared" ref="DB36:DB37" si="106">ROUND(CN36*N36,-3)</f>
        <v>0</v>
      </c>
      <c r="DC36" s="31">
        <f t="shared" ref="DC36:DC37" si="107">ROUND(CO36*O36,-3)</f>
        <v>0</v>
      </c>
      <c r="DD36" s="31">
        <f t="shared" ref="DD36:DE37" si="108">ROUND(CP36*P36,-3)</f>
        <v>0</v>
      </c>
      <c r="DE36" s="78">
        <f t="shared" si="108"/>
        <v>0</v>
      </c>
    </row>
    <row r="37" spans="1:109" x14ac:dyDescent="0.2">
      <c r="A37" s="615" t="s">
        <v>6896</v>
      </c>
      <c r="B37" s="1335" t="s">
        <v>6885</v>
      </c>
      <c r="C37" s="1335"/>
      <c r="D37" s="1330" t="s">
        <v>6885</v>
      </c>
      <c r="E37" s="89"/>
      <c r="F37" s="9">
        <v>9600</v>
      </c>
      <c r="G37" s="9"/>
      <c r="H37" s="9"/>
      <c r="I37" s="29"/>
      <c r="J37" s="29"/>
      <c r="K37" s="29"/>
      <c r="L37" s="9"/>
      <c r="M37" s="89"/>
      <c r="N37" s="9"/>
      <c r="O37" s="9"/>
      <c r="P37" s="9"/>
      <c r="Q37" s="49"/>
      <c r="R37" s="89"/>
      <c r="S37" s="9"/>
      <c r="T37" s="9"/>
      <c r="U37" s="9"/>
      <c r="W37" s="133"/>
      <c r="X37" s="9"/>
      <c r="Y37" s="46"/>
      <c r="Z37" s="9"/>
      <c r="AA37" s="46">
        <f t="shared" si="59"/>
        <v>9600</v>
      </c>
      <c r="AB37" s="133"/>
      <c r="AC37" s="9"/>
      <c r="AD37" s="9"/>
      <c r="AE37" s="9"/>
      <c r="AF37" s="49"/>
      <c r="AG37" s="89"/>
      <c r="AH37" s="9"/>
      <c r="AI37" s="9"/>
      <c r="AJ37" s="9"/>
      <c r="AK37" s="49"/>
      <c r="AL37" s="89"/>
      <c r="AM37" s="9"/>
      <c r="AN37" s="9"/>
      <c r="AO37" s="9"/>
      <c r="AP37" s="49"/>
      <c r="AQ37" s="89"/>
      <c r="AR37" s="9"/>
      <c r="AS37" s="9"/>
      <c r="AT37" s="9"/>
      <c r="AU37" s="61"/>
      <c r="AW37" s="9"/>
      <c r="AX37" s="9"/>
      <c r="AY37" s="9"/>
      <c r="AZ37" s="49"/>
      <c r="BA37" s="89"/>
      <c r="BB37" s="9"/>
      <c r="BC37" s="9"/>
      <c r="BD37" s="9"/>
      <c r="BE37" s="49"/>
      <c r="BF37" s="89"/>
      <c r="BG37" s="9"/>
      <c r="BH37" s="9"/>
      <c r="BI37" s="9"/>
      <c r="BJ37" s="49"/>
      <c r="BK37" s="89"/>
      <c r="BL37" s="9"/>
      <c r="BM37" s="9"/>
      <c r="BN37" s="9"/>
      <c r="BO37" s="49"/>
      <c r="BP37" s="89"/>
      <c r="BQ37" s="9"/>
      <c r="BR37" s="9"/>
      <c r="BS37" s="9"/>
      <c r="BT37" s="49"/>
      <c r="BU37" s="89"/>
      <c r="BV37" s="9"/>
      <c r="BW37" s="9"/>
      <c r="BX37" s="9"/>
      <c r="BY37" s="49"/>
      <c r="BZ37" s="89"/>
      <c r="CA37" s="9"/>
      <c r="CB37" s="9"/>
      <c r="CC37" s="9"/>
      <c r="CE37" s="1406">
        <v>0</v>
      </c>
      <c r="CF37" s="833">
        <f t="shared" si="86"/>
        <v>0</v>
      </c>
      <c r="CG37" s="833">
        <f t="shared" si="87"/>
        <v>0</v>
      </c>
      <c r="CH37" s="833">
        <f t="shared" si="88"/>
        <v>0</v>
      </c>
      <c r="CI37" s="833">
        <f t="shared" si="89"/>
        <v>0</v>
      </c>
      <c r="CJ37" s="833">
        <f t="shared" si="90"/>
        <v>0</v>
      </c>
      <c r="CK37" s="833">
        <f t="shared" si="91"/>
        <v>0</v>
      </c>
      <c r="CL37" s="833">
        <f t="shared" si="92"/>
        <v>0</v>
      </c>
      <c r="CM37" s="833">
        <f t="shared" si="93"/>
        <v>0</v>
      </c>
      <c r="CN37" s="833">
        <f t="shared" si="94"/>
        <v>0</v>
      </c>
      <c r="CO37" s="833">
        <f t="shared" si="95"/>
        <v>0</v>
      </c>
      <c r="CP37" s="833">
        <f t="shared" si="96"/>
        <v>0</v>
      </c>
      <c r="CQ37" s="833">
        <f t="shared" si="96"/>
        <v>0</v>
      </c>
      <c r="CR37" s="833"/>
      <c r="CS37" s="1125">
        <f t="shared" si="97"/>
        <v>0</v>
      </c>
      <c r="CT37" s="31">
        <f t="shared" si="98"/>
        <v>0</v>
      </c>
      <c r="CU37" s="31">
        <f t="shared" si="99"/>
        <v>0</v>
      </c>
      <c r="CV37" s="31">
        <f t="shared" si="100"/>
        <v>0</v>
      </c>
      <c r="CW37" s="31">
        <f t="shared" si="101"/>
        <v>0</v>
      </c>
      <c r="CX37" s="31">
        <f t="shared" si="102"/>
        <v>0</v>
      </c>
      <c r="CY37" s="31">
        <f t="shared" si="103"/>
        <v>0</v>
      </c>
      <c r="CZ37" s="31">
        <f t="shared" si="104"/>
        <v>0</v>
      </c>
      <c r="DA37" s="31">
        <f t="shared" si="105"/>
        <v>0</v>
      </c>
      <c r="DB37" s="31">
        <f t="shared" si="106"/>
        <v>0</v>
      </c>
      <c r="DC37" s="31">
        <f t="shared" si="107"/>
        <v>0</v>
      </c>
      <c r="DD37" s="31">
        <f t="shared" si="108"/>
        <v>0</v>
      </c>
      <c r="DE37" s="78">
        <f t="shared" si="108"/>
        <v>0</v>
      </c>
    </row>
    <row r="38" spans="1:109" x14ac:dyDescent="0.2">
      <c r="A38" s="296"/>
      <c r="B38" s="1354"/>
      <c r="C38" s="1337"/>
      <c r="D38" s="1330"/>
      <c r="E38" s="89"/>
      <c r="F38" s="9"/>
      <c r="G38" s="9"/>
      <c r="H38" s="9"/>
      <c r="I38" s="29"/>
      <c r="J38" s="29"/>
      <c r="K38" s="29"/>
      <c r="L38" s="9"/>
      <c r="M38" s="89"/>
      <c r="N38" s="9"/>
      <c r="O38" s="9"/>
      <c r="P38" s="9"/>
      <c r="Q38" s="49"/>
      <c r="R38" s="89"/>
      <c r="S38" s="9"/>
      <c r="T38" s="9"/>
      <c r="U38" s="9"/>
      <c r="W38" s="133"/>
      <c r="X38" s="9"/>
      <c r="Y38" s="46"/>
      <c r="Z38" s="9"/>
      <c r="AA38" s="46">
        <f t="shared" si="59"/>
        <v>0</v>
      </c>
      <c r="AB38" s="133"/>
      <c r="AC38" s="9"/>
      <c r="AD38" s="9"/>
      <c r="AE38" s="9"/>
      <c r="AF38" s="49"/>
      <c r="AG38" s="89"/>
      <c r="AH38" s="9"/>
      <c r="AI38" s="9"/>
      <c r="AJ38" s="9"/>
      <c r="AK38" s="49"/>
      <c r="AL38" s="89"/>
      <c r="AM38" s="9"/>
      <c r="AN38" s="9"/>
      <c r="AO38" s="9"/>
      <c r="AP38" s="49"/>
      <c r="AQ38" s="89"/>
      <c r="AR38" s="9"/>
      <c r="AS38" s="9"/>
      <c r="AT38" s="9"/>
      <c r="AU38" s="61"/>
      <c r="AW38" s="9"/>
      <c r="AX38" s="9"/>
      <c r="AY38" s="9"/>
      <c r="AZ38" s="49">
        <f>K38-AV38-AW38-AX38-AY38</f>
        <v>0</v>
      </c>
      <c r="BA38" s="89"/>
      <c r="BB38" s="9"/>
      <c r="BC38" s="9"/>
      <c r="BD38" s="9"/>
      <c r="BE38" s="49">
        <f>L38-BA38-BB38-BC38-BD38</f>
        <v>0</v>
      </c>
      <c r="BF38" s="89"/>
      <c r="BG38" s="9"/>
      <c r="BH38" s="9"/>
      <c r="BI38" s="9"/>
      <c r="BJ38" s="49">
        <f>M38-BF38-BG38-BH38-BI38</f>
        <v>0</v>
      </c>
      <c r="BK38" s="89"/>
      <c r="BL38" s="9"/>
      <c r="BM38" s="9"/>
      <c r="BN38" s="9"/>
      <c r="BO38" s="49">
        <f>N38-BK38-BL38-BM38-BN38</f>
        <v>0</v>
      </c>
      <c r="BP38" s="89"/>
      <c r="BQ38" s="9"/>
      <c r="BR38" s="9"/>
      <c r="BS38" s="9"/>
      <c r="BT38" s="49">
        <f>O38-BP38-BQ38-BR38-BS38</f>
        <v>0</v>
      </c>
      <c r="BU38" s="89"/>
      <c r="BV38" s="9"/>
      <c r="BW38" s="9"/>
      <c r="BX38" s="9"/>
      <c r="BY38" s="49">
        <f t="shared" si="60"/>
        <v>0</v>
      </c>
      <c r="BZ38" s="89"/>
      <c r="CA38" s="9"/>
      <c r="CB38" s="9"/>
      <c r="CC38" s="9"/>
      <c r="CD38" s="46">
        <f>Q38-BZ38-CA38-CB38-CC38</f>
        <v>0</v>
      </c>
      <c r="CE38" s="1406"/>
      <c r="CF38" s="833"/>
      <c r="CG38" s="833"/>
      <c r="CH38" s="833"/>
      <c r="CI38" s="833"/>
      <c r="CJ38" s="833"/>
      <c r="CK38" s="833"/>
      <c r="CL38" s="833"/>
      <c r="CM38" s="833"/>
      <c r="CN38" s="833"/>
      <c r="CO38" s="833"/>
      <c r="CP38" s="833"/>
      <c r="CQ38" s="833"/>
      <c r="CR38" s="833"/>
      <c r="CS38" s="1125"/>
      <c r="CT38" s="31"/>
      <c r="CU38" s="31"/>
      <c r="CV38" s="31"/>
      <c r="CW38" s="31"/>
      <c r="CX38" s="31"/>
      <c r="CY38" s="31"/>
      <c r="CZ38" s="31"/>
      <c r="DA38" s="31"/>
      <c r="DB38" s="31"/>
      <c r="DC38" s="31"/>
      <c r="DD38" s="31"/>
      <c r="DE38" s="78"/>
    </row>
    <row r="39" spans="1:109" x14ac:dyDescent="0.2">
      <c r="A39" s="413" t="s">
        <v>3228</v>
      </c>
      <c r="B39" s="1354"/>
      <c r="C39" s="1338"/>
      <c r="D39" s="1384"/>
      <c r="E39" s="89"/>
      <c r="F39" s="9"/>
      <c r="G39" s="9"/>
      <c r="H39" s="9"/>
      <c r="I39" s="29"/>
      <c r="J39" s="29"/>
      <c r="K39" s="29"/>
      <c r="L39" s="29"/>
      <c r="M39" s="9"/>
      <c r="N39" s="9"/>
      <c r="O39" s="9"/>
      <c r="P39" s="9"/>
      <c r="Q39" s="49"/>
      <c r="R39" s="89"/>
      <c r="S39" s="9"/>
      <c r="T39" s="9"/>
      <c r="U39" s="9"/>
      <c r="W39" s="133"/>
      <c r="X39" s="9"/>
      <c r="Y39" s="46"/>
      <c r="Z39" s="9"/>
      <c r="AA39" s="46">
        <f t="shared" si="59"/>
        <v>0</v>
      </c>
      <c r="AB39" s="133"/>
      <c r="AC39" s="9"/>
      <c r="AD39" s="9"/>
      <c r="AE39" s="9"/>
      <c r="AF39" s="49"/>
      <c r="AG39" s="89"/>
      <c r="AH39" s="9"/>
      <c r="AI39" s="9"/>
      <c r="AJ39" s="9"/>
      <c r="AK39" s="49"/>
      <c r="AL39" s="89"/>
      <c r="AM39" s="9"/>
      <c r="AN39" s="9"/>
      <c r="AO39" s="9"/>
      <c r="AP39" s="49"/>
      <c r="AQ39" s="89"/>
      <c r="AR39" s="9"/>
      <c r="AS39" s="9"/>
      <c r="AT39" s="9"/>
      <c r="AU39" s="61"/>
      <c r="AW39" s="9"/>
      <c r="AX39" s="9"/>
      <c r="AY39" s="9"/>
      <c r="AZ39" s="49"/>
      <c r="BA39" s="89"/>
      <c r="BB39" s="9"/>
      <c r="BC39" s="9"/>
      <c r="BD39" s="9"/>
      <c r="BE39" s="49"/>
      <c r="BF39" s="89"/>
      <c r="BG39" s="9"/>
      <c r="BH39" s="9"/>
      <c r="BI39" s="9"/>
      <c r="BJ39" s="49"/>
      <c r="BK39" s="89"/>
      <c r="BL39" s="9"/>
      <c r="BM39" s="9"/>
      <c r="BN39" s="9"/>
      <c r="BO39" s="49"/>
      <c r="BP39" s="89"/>
      <c r="BQ39" s="9"/>
      <c r="BR39" s="9"/>
      <c r="BS39" s="9"/>
      <c r="BT39" s="49"/>
      <c r="BU39" s="89"/>
      <c r="BV39" s="9"/>
      <c r="BW39" s="9"/>
      <c r="BX39" s="9"/>
      <c r="BY39" s="49"/>
      <c r="BZ39" s="89"/>
      <c r="CA39" s="9"/>
      <c r="CB39" s="9"/>
      <c r="CC39" s="9"/>
      <c r="CE39" s="1405"/>
      <c r="CF39" s="833"/>
      <c r="CG39" s="833"/>
      <c r="CH39" s="833"/>
      <c r="CI39" s="538"/>
      <c r="CJ39" s="538"/>
      <c r="CK39" s="538"/>
      <c r="CL39" s="538"/>
      <c r="CM39" s="538"/>
      <c r="CN39" s="538"/>
      <c r="CO39" s="538"/>
      <c r="CP39" s="538"/>
      <c r="CQ39" s="538"/>
      <c r="CR39" s="538"/>
      <c r="CS39" s="350"/>
      <c r="CT39" s="46"/>
      <c r="CU39" s="46"/>
      <c r="CV39" s="46"/>
      <c r="CW39" s="46"/>
      <c r="CX39" s="46"/>
      <c r="CY39" s="46"/>
      <c r="CZ39" s="46"/>
      <c r="DA39" s="46"/>
      <c r="DB39" s="46"/>
      <c r="DC39" s="46"/>
      <c r="DD39" s="46"/>
      <c r="DE39" s="61"/>
    </row>
    <row r="40" spans="1:109" x14ac:dyDescent="0.2">
      <c r="A40" s="615" t="s">
        <v>2381</v>
      </c>
      <c r="B40" s="1355" t="s">
        <v>432</v>
      </c>
      <c r="C40" s="1335" t="s">
        <v>4959</v>
      </c>
      <c r="D40" s="1332" t="s">
        <v>432</v>
      </c>
      <c r="E40" s="89">
        <v>2800</v>
      </c>
      <c r="F40" s="9">
        <v>60700</v>
      </c>
      <c r="G40" s="9">
        <f>500000+39300</f>
        <v>539300</v>
      </c>
      <c r="H40" s="9"/>
      <c r="I40" s="29">
        <v>4500000</v>
      </c>
      <c r="J40" s="29"/>
      <c r="K40" s="29"/>
      <c r="L40" s="29"/>
      <c r="M40" s="9"/>
      <c r="N40" s="9"/>
      <c r="O40" s="9"/>
      <c r="P40" s="9"/>
      <c r="Q40" s="49"/>
      <c r="R40" s="89"/>
      <c r="S40" s="9"/>
      <c r="T40" s="9"/>
      <c r="U40" s="9">
        <f>E40</f>
        <v>2800</v>
      </c>
      <c r="V40" s="46">
        <f>E40-R40-S40-T40-U40</f>
        <v>0</v>
      </c>
      <c r="W40" s="133"/>
      <c r="X40" s="9"/>
      <c r="Y40" s="46"/>
      <c r="Z40" s="9">
        <f>F40</f>
        <v>60700</v>
      </c>
      <c r="AA40" s="46">
        <f t="shared" si="59"/>
        <v>0</v>
      </c>
      <c r="AB40" s="133"/>
      <c r="AC40" s="9"/>
      <c r="AD40" s="9"/>
      <c r="AE40" s="9">
        <f t="shared" ref="AE40:AE46" si="109">G40</f>
        <v>539300</v>
      </c>
      <c r="AF40" s="49">
        <f t="shared" ref="AF40:AF46" si="110">G40-AB40-AC40-AD40-AE40</f>
        <v>0</v>
      </c>
      <c r="AG40" s="89"/>
      <c r="AH40" s="9"/>
      <c r="AI40" s="9"/>
      <c r="AJ40" s="9">
        <f t="shared" ref="AJ40:AJ46" si="111">H40</f>
        <v>0</v>
      </c>
      <c r="AK40" s="49">
        <f t="shared" ref="AK40:AK46" si="112">H40-AG40-AH40-AI40-AJ40</f>
        <v>0</v>
      </c>
      <c r="AL40" s="89"/>
      <c r="AM40" s="9"/>
      <c r="AN40" s="9"/>
      <c r="AO40" s="9">
        <f>I40</f>
        <v>4500000</v>
      </c>
      <c r="AP40" s="49">
        <f t="shared" ref="AP40:AP46" si="113">I40-AL40-AM40-AN40-AO40</f>
        <v>0</v>
      </c>
      <c r="AQ40" s="89"/>
      <c r="AR40" s="9"/>
      <c r="AS40" s="9"/>
      <c r="AT40" s="9">
        <f>J40</f>
        <v>0</v>
      </c>
      <c r="AU40" s="61">
        <f>J40-AQ40-AR40-AS40-AT40</f>
        <v>0</v>
      </c>
      <c r="AW40" s="9"/>
      <c r="AX40" s="9"/>
      <c r="AY40" s="9">
        <f>K40</f>
        <v>0</v>
      </c>
      <c r="AZ40" s="49">
        <f>K40-AV40-AW40-AX40-AY40</f>
        <v>0</v>
      </c>
      <c r="BA40" s="89"/>
      <c r="BB40" s="9"/>
      <c r="BC40" s="9"/>
      <c r="BD40" s="9">
        <f>L40</f>
        <v>0</v>
      </c>
      <c r="BE40" s="49">
        <f>L40-BA40-BB40-BC40-BD40</f>
        <v>0</v>
      </c>
      <c r="BF40" s="89"/>
      <c r="BG40" s="9"/>
      <c r="BH40" s="9"/>
      <c r="BI40" s="9">
        <f>M40</f>
        <v>0</v>
      </c>
      <c r="BJ40" s="49">
        <f>M40-BF40-BG40-BH40-BI40</f>
        <v>0</v>
      </c>
      <c r="BK40" s="89"/>
      <c r="BL40" s="9"/>
      <c r="BM40" s="9"/>
      <c r="BN40" s="9">
        <f>N40</f>
        <v>0</v>
      </c>
      <c r="BO40" s="49">
        <f>N40-BK40-BL40-BM40-BN40</f>
        <v>0</v>
      </c>
      <c r="BP40" s="89"/>
      <c r="BQ40" s="9"/>
      <c r="BR40" s="9"/>
      <c r="BS40" s="9">
        <f>O40</f>
        <v>0</v>
      </c>
      <c r="BT40" s="49">
        <f>O40-BP40-BQ40-BR40-BS40</f>
        <v>0</v>
      </c>
      <c r="BU40" s="89"/>
      <c r="BV40" s="9"/>
      <c r="BW40" s="9"/>
      <c r="BX40" s="9">
        <f>V40</f>
        <v>0</v>
      </c>
      <c r="BY40" s="49">
        <f t="shared" ref="BY40:BY41" si="114">P40-BU40-BV40-BW40-BX40</f>
        <v>0</v>
      </c>
      <c r="BZ40" s="89"/>
      <c r="CA40" s="9"/>
      <c r="CB40" s="9"/>
      <c r="CC40" s="9">
        <f>AA40</f>
        <v>0</v>
      </c>
      <c r="CD40" s="46">
        <f t="shared" ref="CD40:CD42" si="115">Q40-BZ40-CA40-CB40-CC40</f>
        <v>0</v>
      </c>
      <c r="CE40" s="1406">
        <v>0</v>
      </c>
      <c r="CF40" s="833">
        <f t="shared" ref="CF40:CN40" si="116">CE40</f>
        <v>0</v>
      </c>
      <c r="CG40" s="833">
        <f t="shared" si="116"/>
        <v>0</v>
      </c>
      <c r="CH40" s="833">
        <f t="shared" si="116"/>
        <v>0</v>
      </c>
      <c r="CI40" s="833">
        <f t="shared" si="116"/>
        <v>0</v>
      </c>
      <c r="CJ40" s="833">
        <f t="shared" si="116"/>
        <v>0</v>
      </c>
      <c r="CK40" s="833">
        <f t="shared" si="116"/>
        <v>0</v>
      </c>
      <c r="CL40" s="833">
        <f t="shared" si="116"/>
        <v>0</v>
      </c>
      <c r="CM40" s="833">
        <f t="shared" si="116"/>
        <v>0</v>
      </c>
      <c r="CN40" s="833">
        <f t="shared" si="116"/>
        <v>0</v>
      </c>
      <c r="CO40" s="833">
        <f t="shared" ref="CO40:CQ46" si="117">CN40</f>
        <v>0</v>
      </c>
      <c r="CP40" s="833">
        <f t="shared" si="117"/>
        <v>0</v>
      </c>
      <c r="CQ40" s="833">
        <f t="shared" si="117"/>
        <v>0</v>
      </c>
      <c r="CR40" s="833"/>
      <c r="CS40" s="1125">
        <f t="shared" ref="CS40:DE46" si="118">ROUND(CE40*E40,-3)</f>
        <v>0</v>
      </c>
      <c r="CT40" s="31">
        <f t="shared" si="118"/>
        <v>0</v>
      </c>
      <c r="CU40" s="31">
        <f t="shared" si="118"/>
        <v>0</v>
      </c>
      <c r="CV40" s="31">
        <f t="shared" si="118"/>
        <v>0</v>
      </c>
      <c r="CW40" s="31">
        <f t="shared" si="118"/>
        <v>0</v>
      </c>
      <c r="CX40" s="31">
        <f t="shared" si="118"/>
        <v>0</v>
      </c>
      <c r="CY40" s="31">
        <f t="shared" si="118"/>
        <v>0</v>
      </c>
      <c r="CZ40" s="31">
        <f t="shared" si="118"/>
        <v>0</v>
      </c>
      <c r="DA40" s="31">
        <f t="shared" si="118"/>
        <v>0</v>
      </c>
      <c r="DB40" s="31">
        <f t="shared" si="118"/>
        <v>0</v>
      </c>
      <c r="DC40" s="31">
        <f t="shared" si="118"/>
        <v>0</v>
      </c>
      <c r="DD40" s="31">
        <f t="shared" si="118"/>
        <v>0</v>
      </c>
      <c r="DE40" s="78">
        <f t="shared" si="118"/>
        <v>0</v>
      </c>
    </row>
    <row r="41" spans="1:109" ht="14.25" customHeight="1" x14ac:dyDescent="0.2">
      <c r="A41" s="615" t="s">
        <v>2567</v>
      </c>
      <c r="B41" s="1352" t="s">
        <v>3389</v>
      </c>
      <c r="C41" s="1335" t="s">
        <v>4959</v>
      </c>
      <c r="D41" s="1330" t="s">
        <v>7091</v>
      </c>
      <c r="E41" s="89">
        <v>155400</v>
      </c>
      <c r="F41" s="9"/>
      <c r="G41" s="9">
        <f>2500000-2000000</f>
        <v>500000</v>
      </c>
      <c r="H41" s="9">
        <f>500000+2000000</f>
        <v>2500000</v>
      </c>
      <c r="I41" s="29"/>
      <c r="J41" s="29">
        <v>950000</v>
      </c>
      <c r="K41" s="29"/>
      <c r="L41" s="29"/>
      <c r="M41" s="9">
        <v>1000000</v>
      </c>
      <c r="N41" s="9"/>
      <c r="O41" s="9"/>
      <c r="P41" s="9"/>
      <c r="Q41" s="49"/>
      <c r="R41" s="89"/>
      <c r="S41" s="9"/>
      <c r="T41" s="9"/>
      <c r="U41" s="9">
        <f>E41</f>
        <v>155400</v>
      </c>
      <c r="V41" s="46">
        <f>E41-R41-S41-T41-U41</f>
        <v>0</v>
      </c>
      <c r="W41" s="133"/>
      <c r="X41" s="9"/>
      <c r="Y41" s="46"/>
      <c r="Z41" s="9"/>
      <c r="AA41" s="46">
        <f t="shared" si="59"/>
        <v>0</v>
      </c>
      <c r="AB41" s="133"/>
      <c r="AC41" s="9"/>
      <c r="AD41" s="9"/>
      <c r="AE41" s="9">
        <f t="shared" si="109"/>
        <v>500000</v>
      </c>
      <c r="AF41" s="49">
        <f t="shared" si="110"/>
        <v>0</v>
      </c>
      <c r="AG41" s="89"/>
      <c r="AH41" s="9"/>
      <c r="AI41" s="9"/>
      <c r="AJ41" s="9">
        <f t="shared" si="111"/>
        <v>2500000</v>
      </c>
      <c r="AK41" s="49">
        <f t="shared" si="112"/>
        <v>0</v>
      </c>
      <c r="AL41" s="89"/>
      <c r="AM41" s="9"/>
      <c r="AN41" s="9"/>
      <c r="AO41" s="9">
        <f>I41</f>
        <v>0</v>
      </c>
      <c r="AP41" s="49">
        <f t="shared" si="113"/>
        <v>0</v>
      </c>
      <c r="AQ41" s="89"/>
      <c r="AR41" s="9"/>
      <c r="AS41" s="9"/>
      <c r="AT41" s="9">
        <f>J41</f>
        <v>950000</v>
      </c>
      <c r="AU41" s="61">
        <f>J41-AQ41-AR41-AS41-AT41</f>
        <v>0</v>
      </c>
      <c r="AW41" s="9"/>
      <c r="AX41" s="9"/>
      <c r="AY41" s="9">
        <f>K41</f>
        <v>0</v>
      </c>
      <c r="AZ41" s="49">
        <f>K41-AV41-AW41-AX41-AY41</f>
        <v>0</v>
      </c>
      <c r="BA41" s="89"/>
      <c r="BB41" s="9"/>
      <c r="BC41" s="9"/>
      <c r="BD41" s="9">
        <f>L41</f>
        <v>0</v>
      </c>
      <c r="BE41" s="49">
        <f>L41-BA41-BB41-BC41-BD41</f>
        <v>0</v>
      </c>
      <c r="BF41" s="89"/>
      <c r="BG41" s="9"/>
      <c r="BH41" s="9"/>
      <c r="BI41" s="9">
        <f>M41</f>
        <v>1000000</v>
      </c>
      <c r="BJ41" s="49">
        <f>M41-BF41-BG41-BH41-BI41</f>
        <v>0</v>
      </c>
      <c r="BK41" s="89"/>
      <c r="BL41" s="9"/>
      <c r="BM41" s="9"/>
      <c r="BN41" s="9">
        <f>N41</f>
        <v>0</v>
      </c>
      <c r="BO41" s="49">
        <f>N41-BK41-BL41-BM41-BN41</f>
        <v>0</v>
      </c>
      <c r="BP41" s="89"/>
      <c r="BQ41" s="9"/>
      <c r="BR41" s="9"/>
      <c r="BS41" s="9">
        <f>O41</f>
        <v>0</v>
      </c>
      <c r="BT41" s="49">
        <f>O41-BP41-BQ41-BR41-BS41</f>
        <v>0</v>
      </c>
      <c r="BU41" s="89"/>
      <c r="BV41" s="9"/>
      <c r="BW41" s="9"/>
      <c r="BX41" s="9">
        <f>V41</f>
        <v>0</v>
      </c>
      <c r="BY41" s="49">
        <f t="shared" si="114"/>
        <v>0</v>
      </c>
      <c r="BZ41" s="89"/>
      <c r="CA41" s="9"/>
      <c r="CB41" s="9"/>
      <c r="CC41" s="9">
        <f>AA41</f>
        <v>0</v>
      </c>
      <c r="CD41" s="46">
        <f t="shared" si="115"/>
        <v>0</v>
      </c>
      <c r="CE41" s="1406">
        <v>0</v>
      </c>
      <c r="CF41" s="833">
        <f t="shared" ref="CF41:CF43" si="119">CE41</f>
        <v>0</v>
      </c>
      <c r="CG41" s="833">
        <f t="shared" ref="CG41:CG43" si="120">CF41</f>
        <v>0</v>
      </c>
      <c r="CH41" s="833">
        <f t="shared" ref="CH41:CH43" si="121">CG41</f>
        <v>0</v>
      </c>
      <c r="CI41" s="833">
        <f t="shared" ref="CI41:CI43" si="122">CH41</f>
        <v>0</v>
      </c>
      <c r="CJ41" s="833">
        <f t="shared" ref="CJ41:CJ43" si="123">CI41</f>
        <v>0</v>
      </c>
      <c r="CK41" s="833">
        <f t="shared" ref="CK41:CK43" si="124">CJ41</f>
        <v>0</v>
      </c>
      <c r="CL41" s="833">
        <f t="shared" ref="CL41:CL43" si="125">CK41</f>
        <v>0</v>
      </c>
      <c r="CM41" s="833">
        <f t="shared" ref="CM41:CM43" si="126">CL41</f>
        <v>0</v>
      </c>
      <c r="CN41" s="833">
        <f t="shared" ref="CN41:CN43" si="127">CM41</f>
        <v>0</v>
      </c>
      <c r="CO41" s="833">
        <f t="shared" si="117"/>
        <v>0</v>
      </c>
      <c r="CP41" s="833">
        <f t="shared" si="117"/>
        <v>0</v>
      </c>
      <c r="CQ41" s="833">
        <f t="shared" si="117"/>
        <v>0</v>
      </c>
      <c r="CR41" s="833"/>
      <c r="CS41" s="1125">
        <f t="shared" si="118"/>
        <v>0</v>
      </c>
      <c r="CT41" s="31">
        <f t="shared" si="118"/>
        <v>0</v>
      </c>
      <c r="CU41" s="31">
        <f t="shared" si="118"/>
        <v>0</v>
      </c>
      <c r="CV41" s="31">
        <f t="shared" si="118"/>
        <v>0</v>
      </c>
      <c r="CW41" s="31">
        <f t="shared" si="118"/>
        <v>0</v>
      </c>
      <c r="CX41" s="31">
        <f t="shared" si="118"/>
        <v>0</v>
      </c>
      <c r="CY41" s="31">
        <f t="shared" si="118"/>
        <v>0</v>
      </c>
      <c r="CZ41" s="31">
        <f t="shared" si="118"/>
        <v>0</v>
      </c>
      <c r="DA41" s="31">
        <f t="shared" si="118"/>
        <v>0</v>
      </c>
      <c r="DB41" s="31">
        <f t="shared" si="118"/>
        <v>0</v>
      </c>
      <c r="DC41" s="31">
        <f t="shared" si="118"/>
        <v>0</v>
      </c>
      <c r="DD41" s="31">
        <f t="shared" si="118"/>
        <v>0</v>
      </c>
      <c r="DE41" s="78">
        <f t="shared" si="118"/>
        <v>0</v>
      </c>
    </row>
    <row r="42" spans="1:109" x14ac:dyDescent="0.2">
      <c r="A42" s="615" t="s">
        <v>317</v>
      </c>
      <c r="B42" s="1352" t="s">
        <v>3081</v>
      </c>
      <c r="C42" s="1335" t="s">
        <v>4959</v>
      </c>
      <c r="D42" s="1330" t="s">
        <v>3081</v>
      </c>
      <c r="E42" s="89">
        <v>194700</v>
      </c>
      <c r="F42" s="9">
        <v>851000</v>
      </c>
      <c r="G42" s="9">
        <f>720000+1193000</f>
        <v>1913000</v>
      </c>
      <c r="H42" s="9">
        <v>1680000</v>
      </c>
      <c r="I42" s="29">
        <v>1800000</v>
      </c>
      <c r="J42" s="29"/>
      <c r="K42" s="29"/>
      <c r="L42" s="29"/>
      <c r="M42" s="9"/>
      <c r="N42" s="9"/>
      <c r="O42" s="9"/>
      <c r="P42" s="9"/>
      <c r="Q42" s="49"/>
      <c r="R42" s="89"/>
      <c r="S42" s="9"/>
      <c r="T42" s="9"/>
      <c r="U42" s="9">
        <f>E42</f>
        <v>194700</v>
      </c>
      <c r="V42" s="46">
        <f>E42-R42-S42-T42-U42</f>
        <v>0</v>
      </c>
      <c r="W42" s="133"/>
      <c r="X42" s="9"/>
      <c r="Y42" s="46"/>
      <c r="Z42" s="9">
        <f>F42</f>
        <v>851000</v>
      </c>
      <c r="AA42" s="46">
        <f t="shared" si="59"/>
        <v>0</v>
      </c>
      <c r="AB42" s="133"/>
      <c r="AC42" s="9"/>
      <c r="AD42" s="9"/>
      <c r="AE42" s="9">
        <f t="shared" si="109"/>
        <v>1913000</v>
      </c>
      <c r="AF42" s="49">
        <f t="shared" si="110"/>
        <v>0</v>
      </c>
      <c r="AG42" s="89"/>
      <c r="AH42" s="9"/>
      <c r="AI42" s="9"/>
      <c r="AJ42" s="9">
        <f t="shared" si="111"/>
        <v>1680000</v>
      </c>
      <c r="AK42" s="49">
        <f t="shared" si="112"/>
        <v>0</v>
      </c>
      <c r="AL42" s="89"/>
      <c r="AM42" s="9"/>
      <c r="AN42" s="9"/>
      <c r="AO42" s="9">
        <f>I42</f>
        <v>1800000</v>
      </c>
      <c r="AP42" s="49">
        <f t="shared" si="113"/>
        <v>0</v>
      </c>
      <c r="AQ42" s="89"/>
      <c r="AR42" s="9"/>
      <c r="AS42" s="9"/>
      <c r="AT42" s="9">
        <f>J42</f>
        <v>0</v>
      </c>
      <c r="AU42" s="61">
        <f>J42-AQ42-AR42-AS42-AT42</f>
        <v>0</v>
      </c>
      <c r="AW42" s="9"/>
      <c r="AX42" s="9"/>
      <c r="AY42" s="9">
        <f>K42</f>
        <v>0</v>
      </c>
      <c r="AZ42" s="49">
        <f>K42-AV42-AW42-AX42-AY42</f>
        <v>0</v>
      </c>
      <c r="BA42" s="89"/>
      <c r="BB42" s="9"/>
      <c r="BC42" s="9"/>
      <c r="BD42" s="9">
        <f>L42</f>
        <v>0</v>
      </c>
      <c r="BE42" s="49">
        <f>L42-BA42-BB42-BC42-BD42</f>
        <v>0</v>
      </c>
      <c r="BF42" s="89"/>
      <c r="BG42" s="9"/>
      <c r="BH42" s="9"/>
      <c r="BI42" s="9">
        <f>M42</f>
        <v>0</v>
      </c>
      <c r="BJ42" s="49">
        <f>M42-BF42-BG42-BH42-BI42</f>
        <v>0</v>
      </c>
      <c r="BK42" s="89"/>
      <c r="BL42" s="9"/>
      <c r="BM42" s="9"/>
      <c r="BN42" s="9">
        <f>N42</f>
        <v>0</v>
      </c>
      <c r="BO42" s="49">
        <f>N42-BK42-BL42-BM42-BN42</f>
        <v>0</v>
      </c>
      <c r="BP42" s="89"/>
      <c r="BQ42" s="9"/>
      <c r="BR42" s="9"/>
      <c r="BS42" s="9">
        <f>O42</f>
        <v>0</v>
      </c>
      <c r="BT42" s="49">
        <f>O42-BP42-BQ42-BR42-BS42</f>
        <v>0</v>
      </c>
      <c r="BU42" s="89"/>
      <c r="BV42" s="9"/>
      <c r="BW42" s="9"/>
      <c r="BX42" s="9">
        <f>V42</f>
        <v>0</v>
      </c>
      <c r="BY42" s="49">
        <f t="shared" ref="BY42" si="128">P42-BU42-BV42-BW42-BX42</f>
        <v>0</v>
      </c>
      <c r="BZ42" s="89"/>
      <c r="CA42" s="9"/>
      <c r="CB42" s="9"/>
      <c r="CC42" s="9">
        <f>AA42</f>
        <v>0</v>
      </c>
      <c r="CD42" s="46">
        <f t="shared" si="115"/>
        <v>0</v>
      </c>
      <c r="CE42" s="1406">
        <v>0</v>
      </c>
      <c r="CF42" s="833">
        <f t="shared" si="119"/>
        <v>0</v>
      </c>
      <c r="CG42" s="833">
        <f t="shared" si="120"/>
        <v>0</v>
      </c>
      <c r="CH42" s="833">
        <f t="shared" si="121"/>
        <v>0</v>
      </c>
      <c r="CI42" s="833">
        <f t="shared" si="122"/>
        <v>0</v>
      </c>
      <c r="CJ42" s="833">
        <f t="shared" si="123"/>
        <v>0</v>
      </c>
      <c r="CK42" s="833">
        <f t="shared" si="124"/>
        <v>0</v>
      </c>
      <c r="CL42" s="833">
        <f t="shared" si="125"/>
        <v>0</v>
      </c>
      <c r="CM42" s="833">
        <f t="shared" si="126"/>
        <v>0</v>
      </c>
      <c r="CN42" s="833">
        <f t="shared" si="127"/>
        <v>0</v>
      </c>
      <c r="CO42" s="833">
        <f t="shared" si="117"/>
        <v>0</v>
      </c>
      <c r="CP42" s="833">
        <f t="shared" si="117"/>
        <v>0</v>
      </c>
      <c r="CQ42" s="833">
        <f t="shared" si="117"/>
        <v>0</v>
      </c>
      <c r="CR42" s="833"/>
      <c r="CS42" s="1125">
        <f t="shared" si="118"/>
        <v>0</v>
      </c>
      <c r="CT42" s="31">
        <f t="shared" si="118"/>
        <v>0</v>
      </c>
      <c r="CU42" s="31">
        <f t="shared" si="118"/>
        <v>0</v>
      </c>
      <c r="CV42" s="31">
        <f t="shared" si="118"/>
        <v>0</v>
      </c>
      <c r="CW42" s="31">
        <f t="shared" si="118"/>
        <v>0</v>
      </c>
      <c r="CX42" s="31">
        <f t="shared" si="118"/>
        <v>0</v>
      </c>
      <c r="CY42" s="31">
        <f t="shared" si="118"/>
        <v>0</v>
      </c>
      <c r="CZ42" s="31">
        <f t="shared" si="118"/>
        <v>0</v>
      </c>
      <c r="DA42" s="31">
        <f t="shared" si="118"/>
        <v>0</v>
      </c>
      <c r="DB42" s="31">
        <f t="shared" si="118"/>
        <v>0</v>
      </c>
      <c r="DC42" s="31">
        <f t="shared" si="118"/>
        <v>0</v>
      </c>
      <c r="DD42" s="31">
        <f t="shared" si="118"/>
        <v>0</v>
      </c>
      <c r="DE42" s="78">
        <f t="shared" si="118"/>
        <v>0</v>
      </c>
    </row>
    <row r="43" spans="1:109" ht="14.25" customHeight="1" x14ac:dyDescent="0.2">
      <c r="A43" s="615" t="s">
        <v>5556</v>
      </c>
      <c r="B43" s="1352" t="s">
        <v>5450</v>
      </c>
      <c r="C43" s="1335" t="s">
        <v>4959</v>
      </c>
      <c r="D43" s="1330" t="s">
        <v>5450</v>
      </c>
      <c r="E43" s="89">
        <v>9700</v>
      </c>
      <c r="F43" s="9"/>
      <c r="G43" s="9">
        <v>935700</v>
      </c>
      <c r="H43" s="9"/>
      <c r="I43" s="29"/>
      <c r="J43" s="29"/>
      <c r="K43" s="29"/>
      <c r="L43" s="29"/>
      <c r="M43" s="9"/>
      <c r="N43" s="9"/>
      <c r="O43" s="9"/>
      <c r="P43" s="9"/>
      <c r="Q43" s="49"/>
      <c r="R43" s="89"/>
      <c r="S43" s="9"/>
      <c r="T43" s="9"/>
      <c r="U43" s="9">
        <f>706000+30000-720000</f>
        <v>16000</v>
      </c>
      <c r="V43" s="46">
        <f>E43-R43-S43-T43-U43</f>
        <v>-6300</v>
      </c>
      <c r="W43" s="133"/>
      <c r="X43" s="9"/>
      <c r="Y43" s="46"/>
      <c r="Z43" s="9"/>
      <c r="AA43" s="46">
        <f t="shared" si="59"/>
        <v>0</v>
      </c>
      <c r="AB43" s="133"/>
      <c r="AC43" s="9"/>
      <c r="AD43" s="9"/>
      <c r="AE43" s="9">
        <f t="shared" si="109"/>
        <v>935700</v>
      </c>
      <c r="AF43" s="49">
        <f t="shared" si="110"/>
        <v>0</v>
      </c>
      <c r="AG43" s="89"/>
      <c r="AH43" s="9"/>
      <c r="AI43" s="9"/>
      <c r="AJ43" s="9">
        <f t="shared" si="111"/>
        <v>0</v>
      </c>
      <c r="AK43" s="49">
        <f t="shared" si="112"/>
        <v>0</v>
      </c>
      <c r="AL43" s="89"/>
      <c r="AM43" s="9"/>
      <c r="AN43" s="9"/>
      <c r="AO43" s="9"/>
      <c r="AP43" s="49">
        <f t="shared" si="113"/>
        <v>0</v>
      </c>
      <c r="AQ43" s="89"/>
      <c r="AR43" s="9"/>
      <c r="AS43" s="9"/>
      <c r="AT43" s="9"/>
      <c r="AU43" s="61"/>
      <c r="AW43" s="9"/>
      <c r="AX43" s="9"/>
      <c r="AY43" s="9"/>
      <c r="AZ43" s="49"/>
      <c r="BA43" s="89"/>
      <c r="BB43" s="9"/>
      <c r="BC43" s="9"/>
      <c r="BD43" s="9"/>
      <c r="BE43" s="49"/>
      <c r="BF43" s="89"/>
      <c r="BG43" s="9"/>
      <c r="BH43" s="9"/>
      <c r="BI43" s="9">
        <f t="shared" ref="BI43:BI54" si="129">M43</f>
        <v>0</v>
      </c>
      <c r="BJ43" s="49">
        <f t="shared" ref="BJ43:BJ54" si="130">M43-BF43-BG43-BH43-BI43</f>
        <v>0</v>
      </c>
      <c r="BK43" s="89"/>
      <c r="BL43" s="9"/>
      <c r="BM43" s="9"/>
      <c r="BN43" s="9"/>
      <c r="BO43" s="49"/>
      <c r="BP43" s="89"/>
      <c r="BQ43" s="9"/>
      <c r="BR43" s="9"/>
      <c r="BS43" s="9"/>
      <c r="BT43" s="49"/>
      <c r="BU43" s="89"/>
      <c r="BV43" s="9"/>
      <c r="BW43" s="9"/>
      <c r="BX43" s="9"/>
      <c r="BY43" s="49"/>
      <c r="BZ43" s="89"/>
      <c r="CA43" s="9"/>
      <c r="CB43" s="9"/>
      <c r="CC43" s="9"/>
      <c r="CE43" s="1406">
        <v>0</v>
      </c>
      <c r="CF43" s="833">
        <f t="shared" si="119"/>
        <v>0</v>
      </c>
      <c r="CG43" s="833">
        <f t="shared" si="120"/>
        <v>0</v>
      </c>
      <c r="CH43" s="833">
        <f t="shared" si="121"/>
        <v>0</v>
      </c>
      <c r="CI43" s="833">
        <f t="shared" si="122"/>
        <v>0</v>
      </c>
      <c r="CJ43" s="833">
        <f t="shared" si="123"/>
        <v>0</v>
      </c>
      <c r="CK43" s="833">
        <f t="shared" si="124"/>
        <v>0</v>
      </c>
      <c r="CL43" s="833">
        <f t="shared" si="125"/>
        <v>0</v>
      </c>
      <c r="CM43" s="833">
        <f t="shared" si="126"/>
        <v>0</v>
      </c>
      <c r="CN43" s="833">
        <f t="shared" si="127"/>
        <v>0</v>
      </c>
      <c r="CO43" s="833">
        <f t="shared" si="117"/>
        <v>0</v>
      </c>
      <c r="CP43" s="833">
        <f t="shared" si="117"/>
        <v>0</v>
      </c>
      <c r="CQ43" s="833">
        <f t="shared" si="117"/>
        <v>0</v>
      </c>
      <c r="CR43" s="833"/>
      <c r="CS43" s="1125">
        <f t="shared" si="118"/>
        <v>0</v>
      </c>
      <c r="CT43" s="31">
        <f t="shared" si="118"/>
        <v>0</v>
      </c>
      <c r="CU43" s="31">
        <f t="shared" si="118"/>
        <v>0</v>
      </c>
      <c r="CV43" s="31">
        <f t="shared" si="118"/>
        <v>0</v>
      </c>
      <c r="CW43" s="31">
        <f t="shared" si="118"/>
        <v>0</v>
      </c>
      <c r="CX43" s="31">
        <f t="shared" si="118"/>
        <v>0</v>
      </c>
      <c r="CY43" s="31">
        <f t="shared" si="118"/>
        <v>0</v>
      </c>
      <c r="CZ43" s="31">
        <f t="shared" si="118"/>
        <v>0</v>
      </c>
      <c r="DA43" s="31">
        <f t="shared" si="118"/>
        <v>0</v>
      </c>
      <c r="DB43" s="31">
        <f t="shared" si="118"/>
        <v>0</v>
      </c>
      <c r="DC43" s="31">
        <f t="shared" si="118"/>
        <v>0</v>
      </c>
      <c r="DD43" s="31">
        <f t="shared" si="118"/>
        <v>0</v>
      </c>
      <c r="DE43" s="78">
        <f t="shared" si="118"/>
        <v>0</v>
      </c>
    </row>
    <row r="44" spans="1:109" ht="14.25" customHeight="1" x14ac:dyDescent="0.2">
      <c r="A44" s="615" t="s">
        <v>6646</v>
      </c>
      <c r="B44" s="1352" t="s">
        <v>6506</v>
      </c>
      <c r="C44" s="1335" t="s">
        <v>6505</v>
      </c>
      <c r="D44" s="1330" t="s">
        <v>6505</v>
      </c>
      <c r="E44" s="89"/>
      <c r="F44" s="9"/>
      <c r="G44" s="9"/>
      <c r="H44" s="9"/>
      <c r="I44" s="29"/>
      <c r="J44" s="29"/>
      <c r="K44" s="29"/>
      <c r="L44" s="29"/>
      <c r="M44" s="9"/>
      <c r="N44" s="9"/>
      <c r="O44" s="9"/>
      <c r="P44" s="9"/>
      <c r="Q44" s="49"/>
      <c r="R44" s="89"/>
      <c r="S44" s="9"/>
      <c r="T44" s="9"/>
      <c r="U44" s="9"/>
      <c r="W44" s="133"/>
      <c r="X44" s="9"/>
      <c r="Y44" s="46"/>
      <c r="Z44" s="9"/>
      <c r="AA44" s="46">
        <f t="shared" si="59"/>
        <v>0</v>
      </c>
      <c r="AB44" s="133"/>
      <c r="AC44" s="9"/>
      <c r="AD44" s="9"/>
      <c r="AE44" s="9">
        <f t="shared" si="109"/>
        <v>0</v>
      </c>
      <c r="AF44" s="49">
        <f t="shared" si="110"/>
        <v>0</v>
      </c>
      <c r="AG44" s="89"/>
      <c r="AH44" s="9"/>
      <c r="AI44" s="9"/>
      <c r="AJ44" s="9">
        <f t="shared" si="111"/>
        <v>0</v>
      </c>
      <c r="AK44" s="49">
        <f t="shared" si="112"/>
        <v>0</v>
      </c>
      <c r="AL44" s="89"/>
      <c r="AM44" s="9"/>
      <c r="AN44" s="9"/>
      <c r="AO44" s="9"/>
      <c r="AP44" s="49">
        <f t="shared" si="113"/>
        <v>0</v>
      </c>
      <c r="AQ44" s="89"/>
      <c r="AR44" s="9"/>
      <c r="AS44" s="9"/>
      <c r="AT44" s="9"/>
      <c r="AU44" s="61"/>
      <c r="AW44" s="9"/>
      <c r="AX44" s="9"/>
      <c r="AY44" s="9"/>
      <c r="AZ44" s="49"/>
      <c r="BA44" s="89"/>
      <c r="BB44" s="9"/>
      <c r="BC44" s="9"/>
      <c r="BD44" s="9"/>
      <c r="BE44" s="49"/>
      <c r="BF44" s="89"/>
      <c r="BG44" s="9"/>
      <c r="BH44" s="9"/>
      <c r="BI44" s="9">
        <f t="shared" si="129"/>
        <v>0</v>
      </c>
      <c r="BJ44" s="49">
        <f t="shared" si="130"/>
        <v>0</v>
      </c>
      <c r="BK44" s="89"/>
      <c r="BL44" s="9"/>
      <c r="BM44" s="9"/>
      <c r="BN44" s="9"/>
      <c r="BO44" s="49"/>
      <c r="BP44" s="89"/>
      <c r="BQ44" s="9"/>
      <c r="BR44" s="9"/>
      <c r="BS44" s="9"/>
      <c r="BT44" s="49"/>
      <c r="BU44" s="89"/>
      <c r="BV44" s="9"/>
      <c r="BW44" s="9"/>
      <c r="BX44" s="9"/>
      <c r="BY44" s="49"/>
      <c r="BZ44" s="89"/>
      <c r="CA44" s="9"/>
      <c r="CB44" s="9"/>
      <c r="CC44" s="9"/>
      <c r="CE44" s="1406">
        <v>0</v>
      </c>
      <c r="CF44" s="833">
        <f t="shared" ref="CF44:CF46" si="131">CE44</f>
        <v>0</v>
      </c>
      <c r="CG44" s="833">
        <f t="shared" ref="CG44:CG46" si="132">CF44</f>
        <v>0</v>
      </c>
      <c r="CH44" s="833">
        <f t="shared" ref="CH44:CH46" si="133">CG44</f>
        <v>0</v>
      </c>
      <c r="CI44" s="833">
        <f t="shared" ref="CI44:CI46" si="134">CH44</f>
        <v>0</v>
      </c>
      <c r="CJ44" s="833">
        <f t="shared" ref="CJ44:CJ46" si="135">CI44</f>
        <v>0</v>
      </c>
      <c r="CK44" s="833">
        <f t="shared" ref="CK44:CK46" si="136">CJ44</f>
        <v>0</v>
      </c>
      <c r="CL44" s="833">
        <f t="shared" ref="CL44:CL46" si="137">CK44</f>
        <v>0</v>
      </c>
      <c r="CM44" s="833">
        <f t="shared" ref="CM44:CM46" si="138">CL44</f>
        <v>0</v>
      </c>
      <c r="CN44" s="833">
        <f t="shared" ref="CN44:CN46" si="139">CM44</f>
        <v>0</v>
      </c>
      <c r="CO44" s="833">
        <f t="shared" si="117"/>
        <v>0</v>
      </c>
      <c r="CP44" s="833">
        <f t="shared" si="117"/>
        <v>0</v>
      </c>
      <c r="CQ44" s="833">
        <f t="shared" si="117"/>
        <v>0</v>
      </c>
      <c r="CR44" s="833"/>
      <c r="CS44" s="1125">
        <f t="shared" si="118"/>
        <v>0</v>
      </c>
      <c r="CT44" s="31">
        <f t="shared" si="118"/>
        <v>0</v>
      </c>
      <c r="CU44" s="31">
        <f t="shared" si="118"/>
        <v>0</v>
      </c>
      <c r="CV44" s="31">
        <f t="shared" si="118"/>
        <v>0</v>
      </c>
      <c r="CW44" s="31">
        <f t="shared" si="118"/>
        <v>0</v>
      </c>
      <c r="CX44" s="31">
        <f t="shared" si="118"/>
        <v>0</v>
      </c>
      <c r="CY44" s="31">
        <f t="shared" si="118"/>
        <v>0</v>
      </c>
      <c r="CZ44" s="31">
        <f t="shared" si="118"/>
        <v>0</v>
      </c>
      <c r="DA44" s="31">
        <f t="shared" si="118"/>
        <v>0</v>
      </c>
      <c r="DB44" s="31">
        <f t="shared" si="118"/>
        <v>0</v>
      </c>
      <c r="DC44" s="31">
        <f t="shared" si="118"/>
        <v>0</v>
      </c>
      <c r="DD44" s="31">
        <f t="shared" si="118"/>
        <v>0</v>
      </c>
      <c r="DE44" s="78">
        <f t="shared" si="118"/>
        <v>0</v>
      </c>
    </row>
    <row r="45" spans="1:109" ht="14.25" customHeight="1" x14ac:dyDescent="0.2">
      <c r="A45" s="615" t="s">
        <v>6433</v>
      </c>
      <c r="B45" s="1352" t="s">
        <v>6504</v>
      </c>
      <c r="C45" s="1335" t="s">
        <v>4959</v>
      </c>
      <c r="D45" s="1330" t="s">
        <v>6504</v>
      </c>
      <c r="E45" s="89"/>
      <c r="F45" s="9">
        <v>15900</v>
      </c>
      <c r="G45" s="9"/>
      <c r="H45" s="9"/>
      <c r="I45" s="29"/>
      <c r="J45" s="29"/>
      <c r="K45" s="29"/>
      <c r="L45" s="29"/>
      <c r="M45" s="9"/>
      <c r="N45" s="9"/>
      <c r="O45" s="9"/>
      <c r="P45" s="9"/>
      <c r="Q45" s="49"/>
      <c r="R45" s="89"/>
      <c r="S45" s="9"/>
      <c r="T45" s="9"/>
      <c r="U45" s="9"/>
      <c r="W45" s="133"/>
      <c r="X45" s="9"/>
      <c r="Y45" s="46"/>
      <c r="Z45" s="9">
        <f>+F45</f>
        <v>15900</v>
      </c>
      <c r="AA45" s="46">
        <f t="shared" si="59"/>
        <v>0</v>
      </c>
      <c r="AB45" s="133"/>
      <c r="AC45" s="9"/>
      <c r="AD45" s="9"/>
      <c r="AE45" s="9">
        <f t="shared" si="109"/>
        <v>0</v>
      </c>
      <c r="AF45" s="49">
        <f t="shared" si="110"/>
        <v>0</v>
      </c>
      <c r="AG45" s="89"/>
      <c r="AH45" s="9"/>
      <c r="AI45" s="9"/>
      <c r="AJ45" s="9">
        <f t="shared" si="111"/>
        <v>0</v>
      </c>
      <c r="AK45" s="49">
        <f t="shared" si="112"/>
        <v>0</v>
      </c>
      <c r="AL45" s="89"/>
      <c r="AM45" s="9"/>
      <c r="AN45" s="9"/>
      <c r="AO45" s="9"/>
      <c r="AP45" s="49">
        <f t="shared" si="113"/>
        <v>0</v>
      </c>
      <c r="AQ45" s="89"/>
      <c r="AR45" s="9"/>
      <c r="AS45" s="9"/>
      <c r="AT45" s="9"/>
      <c r="AU45" s="61"/>
      <c r="AW45" s="9"/>
      <c r="AX45" s="9"/>
      <c r="AY45" s="9"/>
      <c r="AZ45" s="49"/>
      <c r="BA45" s="89"/>
      <c r="BB45" s="9"/>
      <c r="BC45" s="9"/>
      <c r="BD45" s="9"/>
      <c r="BE45" s="49"/>
      <c r="BF45" s="89"/>
      <c r="BG45" s="9"/>
      <c r="BH45" s="9"/>
      <c r="BI45" s="9">
        <f t="shared" si="129"/>
        <v>0</v>
      </c>
      <c r="BJ45" s="49">
        <f t="shared" si="130"/>
        <v>0</v>
      </c>
      <c r="BK45" s="89"/>
      <c r="BL45" s="9"/>
      <c r="BM45" s="9"/>
      <c r="BN45" s="9"/>
      <c r="BO45" s="49"/>
      <c r="BP45" s="89"/>
      <c r="BQ45" s="9"/>
      <c r="BR45" s="9"/>
      <c r="BS45" s="9"/>
      <c r="BT45" s="49"/>
      <c r="BU45" s="89"/>
      <c r="BV45" s="9"/>
      <c r="BW45" s="9"/>
      <c r="BX45" s="9"/>
      <c r="BY45" s="49"/>
      <c r="BZ45" s="89"/>
      <c r="CA45" s="9"/>
      <c r="CB45" s="9"/>
      <c r="CC45" s="9"/>
      <c r="CE45" s="1406">
        <v>0</v>
      </c>
      <c r="CF45" s="833">
        <f t="shared" si="131"/>
        <v>0</v>
      </c>
      <c r="CG45" s="833">
        <f t="shared" si="132"/>
        <v>0</v>
      </c>
      <c r="CH45" s="833">
        <f t="shared" si="133"/>
        <v>0</v>
      </c>
      <c r="CI45" s="833">
        <f t="shared" si="134"/>
        <v>0</v>
      </c>
      <c r="CJ45" s="833">
        <f t="shared" si="135"/>
        <v>0</v>
      </c>
      <c r="CK45" s="833">
        <f t="shared" si="136"/>
        <v>0</v>
      </c>
      <c r="CL45" s="833">
        <f t="shared" si="137"/>
        <v>0</v>
      </c>
      <c r="CM45" s="833">
        <f t="shared" si="138"/>
        <v>0</v>
      </c>
      <c r="CN45" s="833">
        <f t="shared" si="139"/>
        <v>0</v>
      </c>
      <c r="CO45" s="833">
        <f t="shared" si="117"/>
        <v>0</v>
      </c>
      <c r="CP45" s="833">
        <f t="shared" si="117"/>
        <v>0</v>
      </c>
      <c r="CQ45" s="833">
        <f t="shared" si="117"/>
        <v>0</v>
      </c>
      <c r="CR45" s="833"/>
      <c r="CS45" s="1125">
        <f t="shared" si="118"/>
        <v>0</v>
      </c>
      <c r="CT45" s="31">
        <f t="shared" si="118"/>
        <v>0</v>
      </c>
      <c r="CU45" s="31">
        <f t="shared" si="118"/>
        <v>0</v>
      </c>
      <c r="CV45" s="31">
        <f t="shared" si="118"/>
        <v>0</v>
      </c>
      <c r="CW45" s="31">
        <f t="shared" si="118"/>
        <v>0</v>
      </c>
      <c r="CX45" s="31">
        <f t="shared" si="118"/>
        <v>0</v>
      </c>
      <c r="CY45" s="31">
        <f t="shared" si="118"/>
        <v>0</v>
      </c>
      <c r="CZ45" s="31">
        <f t="shared" si="118"/>
        <v>0</v>
      </c>
      <c r="DA45" s="31">
        <f t="shared" si="118"/>
        <v>0</v>
      </c>
      <c r="DB45" s="31">
        <f t="shared" si="118"/>
        <v>0</v>
      </c>
      <c r="DC45" s="31">
        <f t="shared" si="118"/>
        <v>0</v>
      </c>
      <c r="DD45" s="31">
        <f t="shared" si="118"/>
        <v>0</v>
      </c>
      <c r="DE45" s="78">
        <f t="shared" si="118"/>
        <v>0</v>
      </c>
    </row>
    <row r="46" spans="1:109" ht="14.25" customHeight="1" x14ac:dyDescent="0.2">
      <c r="A46" s="615" t="s">
        <v>6645</v>
      </c>
      <c r="B46" s="1352" t="s">
        <v>6503</v>
      </c>
      <c r="C46" s="1335" t="s">
        <v>4959</v>
      </c>
      <c r="D46" s="1330" t="s">
        <v>6503</v>
      </c>
      <c r="E46" s="89"/>
      <c r="F46" s="9">
        <v>33800</v>
      </c>
      <c r="G46" s="9"/>
      <c r="H46" s="9"/>
      <c r="I46" s="29"/>
      <c r="J46" s="29"/>
      <c r="K46" s="29"/>
      <c r="L46" s="29"/>
      <c r="M46" s="9"/>
      <c r="N46" s="9"/>
      <c r="O46" s="9"/>
      <c r="P46" s="9"/>
      <c r="Q46" s="49"/>
      <c r="R46" s="89"/>
      <c r="S46" s="9"/>
      <c r="T46" s="9"/>
      <c r="U46" s="9"/>
      <c r="W46" s="133"/>
      <c r="X46" s="9"/>
      <c r="Y46" s="46"/>
      <c r="Z46" s="9">
        <f>+F46</f>
        <v>33800</v>
      </c>
      <c r="AA46" s="46">
        <f t="shared" si="59"/>
        <v>0</v>
      </c>
      <c r="AB46" s="133"/>
      <c r="AC46" s="9"/>
      <c r="AD46" s="9"/>
      <c r="AE46" s="9">
        <f t="shared" si="109"/>
        <v>0</v>
      </c>
      <c r="AF46" s="49">
        <f t="shared" si="110"/>
        <v>0</v>
      </c>
      <c r="AG46" s="89"/>
      <c r="AH46" s="9"/>
      <c r="AI46" s="9"/>
      <c r="AJ46" s="9">
        <f t="shared" si="111"/>
        <v>0</v>
      </c>
      <c r="AK46" s="49">
        <f t="shared" si="112"/>
        <v>0</v>
      </c>
      <c r="AL46" s="89"/>
      <c r="AM46" s="9"/>
      <c r="AN46" s="9"/>
      <c r="AO46" s="9"/>
      <c r="AP46" s="49">
        <f t="shared" si="113"/>
        <v>0</v>
      </c>
      <c r="AQ46" s="89"/>
      <c r="AR46" s="9"/>
      <c r="AS46" s="9"/>
      <c r="AT46" s="9"/>
      <c r="AU46" s="61"/>
      <c r="AW46" s="9"/>
      <c r="AX46" s="9"/>
      <c r="AY46" s="9"/>
      <c r="AZ46" s="49"/>
      <c r="BA46" s="89"/>
      <c r="BB46" s="9"/>
      <c r="BC46" s="9"/>
      <c r="BD46" s="9"/>
      <c r="BE46" s="49"/>
      <c r="BF46" s="89"/>
      <c r="BG46" s="9"/>
      <c r="BH46" s="9"/>
      <c r="BI46" s="9">
        <f t="shared" si="129"/>
        <v>0</v>
      </c>
      <c r="BJ46" s="49">
        <f t="shared" si="130"/>
        <v>0</v>
      </c>
      <c r="BK46" s="89"/>
      <c r="BL46" s="9"/>
      <c r="BM46" s="9"/>
      <c r="BN46" s="9"/>
      <c r="BO46" s="49"/>
      <c r="BP46" s="89"/>
      <c r="BQ46" s="9"/>
      <c r="BR46" s="9"/>
      <c r="BS46" s="9"/>
      <c r="BT46" s="49"/>
      <c r="BU46" s="89"/>
      <c r="BV46" s="9"/>
      <c r="BW46" s="9"/>
      <c r="BX46" s="9"/>
      <c r="BY46" s="49"/>
      <c r="BZ46" s="89"/>
      <c r="CA46" s="9"/>
      <c r="CB46" s="9"/>
      <c r="CC46" s="9"/>
      <c r="CE46" s="1406">
        <v>0</v>
      </c>
      <c r="CF46" s="833">
        <f t="shared" si="131"/>
        <v>0</v>
      </c>
      <c r="CG46" s="833">
        <f t="shared" si="132"/>
        <v>0</v>
      </c>
      <c r="CH46" s="833">
        <f t="shared" si="133"/>
        <v>0</v>
      </c>
      <c r="CI46" s="833">
        <f t="shared" si="134"/>
        <v>0</v>
      </c>
      <c r="CJ46" s="833">
        <f t="shared" si="135"/>
        <v>0</v>
      </c>
      <c r="CK46" s="833">
        <f t="shared" si="136"/>
        <v>0</v>
      </c>
      <c r="CL46" s="833">
        <f t="shared" si="137"/>
        <v>0</v>
      </c>
      <c r="CM46" s="833">
        <f t="shared" si="138"/>
        <v>0</v>
      </c>
      <c r="CN46" s="833">
        <f t="shared" si="139"/>
        <v>0</v>
      </c>
      <c r="CO46" s="833">
        <f t="shared" si="117"/>
        <v>0</v>
      </c>
      <c r="CP46" s="833">
        <f t="shared" si="117"/>
        <v>0</v>
      </c>
      <c r="CQ46" s="833">
        <f t="shared" si="117"/>
        <v>0</v>
      </c>
      <c r="CR46" s="833"/>
      <c r="CS46" s="1125">
        <f t="shared" si="118"/>
        <v>0</v>
      </c>
      <c r="CT46" s="31">
        <f t="shared" si="118"/>
        <v>0</v>
      </c>
      <c r="CU46" s="31">
        <f t="shared" si="118"/>
        <v>0</v>
      </c>
      <c r="CV46" s="31">
        <f t="shared" si="118"/>
        <v>0</v>
      </c>
      <c r="CW46" s="31">
        <f t="shared" si="118"/>
        <v>0</v>
      </c>
      <c r="CX46" s="31">
        <f t="shared" si="118"/>
        <v>0</v>
      </c>
      <c r="CY46" s="31">
        <f t="shared" si="118"/>
        <v>0</v>
      </c>
      <c r="CZ46" s="31">
        <f t="shared" si="118"/>
        <v>0</v>
      </c>
      <c r="DA46" s="31">
        <f t="shared" si="118"/>
        <v>0</v>
      </c>
      <c r="DB46" s="31">
        <f t="shared" si="118"/>
        <v>0</v>
      </c>
      <c r="DC46" s="31">
        <f t="shared" si="118"/>
        <v>0</v>
      </c>
      <c r="DD46" s="31">
        <f t="shared" si="118"/>
        <v>0</v>
      </c>
      <c r="DE46" s="78">
        <f t="shared" si="118"/>
        <v>0</v>
      </c>
    </row>
    <row r="47" spans="1:109" x14ac:dyDescent="0.2">
      <c r="A47" s="296"/>
      <c r="B47" s="1354"/>
      <c r="C47" s="1342"/>
      <c r="D47" s="1330"/>
      <c r="E47" s="89"/>
      <c r="F47" s="9"/>
      <c r="G47" s="9"/>
      <c r="H47" s="9"/>
      <c r="I47" s="29"/>
      <c r="J47" s="29"/>
      <c r="K47" s="29"/>
      <c r="L47" s="29"/>
      <c r="M47" s="9"/>
      <c r="N47" s="9"/>
      <c r="O47" s="9"/>
      <c r="P47" s="9"/>
      <c r="Q47" s="49"/>
      <c r="R47" s="89"/>
      <c r="S47" s="9"/>
      <c r="T47" s="9"/>
      <c r="U47" s="9"/>
      <c r="W47" s="133"/>
      <c r="X47" s="9"/>
      <c r="Y47" s="46"/>
      <c r="Z47" s="9"/>
      <c r="AA47" s="46">
        <f t="shared" si="59"/>
        <v>0</v>
      </c>
      <c r="AB47" s="133"/>
      <c r="AC47" s="9"/>
      <c r="AD47" s="9"/>
      <c r="AE47" s="9"/>
      <c r="AF47" s="49"/>
      <c r="AG47" s="89"/>
      <c r="AH47" s="9"/>
      <c r="AI47" s="9"/>
      <c r="AJ47" s="9"/>
      <c r="AK47" s="49"/>
      <c r="AL47" s="89"/>
      <c r="AM47" s="9"/>
      <c r="AN47" s="9"/>
      <c r="AO47" s="9"/>
      <c r="AP47" s="49"/>
      <c r="AQ47" s="89"/>
      <c r="AR47" s="9"/>
      <c r="AS47" s="9"/>
      <c r="AT47" s="9"/>
      <c r="AU47" s="61"/>
      <c r="AW47" s="9"/>
      <c r="AX47" s="9"/>
      <c r="AY47" s="9"/>
      <c r="AZ47" s="49"/>
      <c r="BA47" s="89"/>
      <c r="BB47" s="9"/>
      <c r="BC47" s="9"/>
      <c r="BD47" s="9"/>
      <c r="BE47" s="49"/>
      <c r="BF47" s="89"/>
      <c r="BG47" s="9"/>
      <c r="BH47" s="9"/>
      <c r="BI47" s="9">
        <f t="shared" si="129"/>
        <v>0</v>
      </c>
      <c r="BJ47" s="49">
        <f t="shared" si="130"/>
        <v>0</v>
      </c>
      <c r="BK47" s="89"/>
      <c r="BL47" s="9"/>
      <c r="BM47" s="9"/>
      <c r="BN47" s="9"/>
      <c r="BO47" s="49"/>
      <c r="BP47" s="89"/>
      <c r="BQ47" s="9"/>
      <c r="BR47" s="9"/>
      <c r="BS47" s="9"/>
      <c r="BT47" s="49"/>
      <c r="BU47" s="89"/>
      <c r="BV47" s="9"/>
      <c r="BW47" s="9"/>
      <c r="BX47" s="9"/>
      <c r="BY47" s="49"/>
      <c r="BZ47" s="89"/>
      <c r="CA47" s="9"/>
      <c r="CB47" s="9"/>
      <c r="CC47" s="9"/>
      <c r="CE47" s="1405"/>
      <c r="CF47" s="538"/>
      <c r="CG47" s="538"/>
      <c r="CH47" s="538"/>
      <c r="CI47" s="538"/>
      <c r="CJ47" s="538"/>
      <c r="CK47" s="538"/>
      <c r="CL47" s="538"/>
      <c r="CM47" s="538"/>
      <c r="CN47" s="538"/>
      <c r="CO47" s="538"/>
      <c r="CP47" s="538"/>
      <c r="CQ47" s="538"/>
      <c r="CR47" s="538"/>
      <c r="CS47" s="350"/>
      <c r="CT47" s="46"/>
      <c r="CU47" s="46"/>
      <c r="CV47" s="46"/>
      <c r="CW47" s="46"/>
      <c r="CX47" s="46"/>
      <c r="CY47" s="46"/>
      <c r="CZ47" s="46"/>
      <c r="DA47" s="46"/>
      <c r="DB47" s="46"/>
      <c r="DC47" s="46"/>
      <c r="DD47" s="46"/>
      <c r="DE47" s="61"/>
    </row>
    <row r="48" spans="1:109" x14ac:dyDescent="0.2">
      <c r="A48" s="413" t="s">
        <v>2499</v>
      </c>
      <c r="B48" s="1354"/>
      <c r="C48" s="1342"/>
      <c r="D48" s="1332"/>
      <c r="E48" s="89"/>
      <c r="F48" s="9"/>
      <c r="G48" s="9"/>
      <c r="H48" s="9"/>
      <c r="I48" s="29"/>
      <c r="J48" s="29"/>
      <c r="K48" s="29"/>
      <c r="L48" s="29"/>
      <c r="M48" s="9"/>
      <c r="N48" s="9"/>
      <c r="O48" s="9"/>
      <c r="P48" s="9"/>
      <c r="Q48" s="49"/>
      <c r="R48" s="89"/>
      <c r="S48" s="9"/>
      <c r="T48" s="9"/>
      <c r="U48" s="9"/>
      <c r="W48" s="133"/>
      <c r="X48" s="9"/>
      <c r="Y48" s="46"/>
      <c r="Z48" s="9"/>
      <c r="AA48" s="46">
        <f t="shared" si="59"/>
        <v>0</v>
      </c>
      <c r="AB48" s="133"/>
      <c r="AC48" s="9"/>
      <c r="AD48" s="9"/>
      <c r="AE48" s="9"/>
      <c r="AF48" s="49"/>
      <c r="AG48" s="89"/>
      <c r="AH48" s="9"/>
      <c r="AI48" s="9"/>
      <c r="AJ48" s="9"/>
      <c r="AK48" s="49"/>
      <c r="AL48" s="89"/>
      <c r="AM48" s="9"/>
      <c r="AN48" s="9"/>
      <c r="AO48" s="9"/>
      <c r="AP48" s="49"/>
      <c r="AQ48" s="89"/>
      <c r="AR48" s="9"/>
      <c r="AS48" s="9"/>
      <c r="AT48" s="9"/>
      <c r="AU48" s="61"/>
      <c r="AW48" s="9"/>
      <c r="AX48" s="9"/>
      <c r="AY48" s="9"/>
      <c r="AZ48" s="49"/>
      <c r="BA48" s="89"/>
      <c r="BB48" s="9"/>
      <c r="BC48" s="9"/>
      <c r="BD48" s="9"/>
      <c r="BE48" s="49"/>
      <c r="BF48" s="89"/>
      <c r="BG48" s="9"/>
      <c r="BH48" s="9"/>
      <c r="BI48" s="9">
        <f t="shared" si="129"/>
        <v>0</v>
      </c>
      <c r="BJ48" s="49">
        <f t="shared" si="130"/>
        <v>0</v>
      </c>
      <c r="BK48" s="89"/>
      <c r="BL48" s="9"/>
      <c r="BM48" s="9"/>
      <c r="BN48" s="9"/>
      <c r="BO48" s="49"/>
      <c r="BP48" s="89"/>
      <c r="BQ48" s="9"/>
      <c r="BR48" s="9"/>
      <c r="BS48" s="9"/>
      <c r="BT48" s="49"/>
      <c r="BU48" s="89"/>
      <c r="BV48" s="9"/>
      <c r="BW48" s="9"/>
      <c r="BX48" s="9"/>
      <c r="BY48" s="49"/>
      <c r="BZ48" s="89"/>
      <c r="CA48" s="9"/>
      <c r="CB48" s="9"/>
      <c r="CC48" s="9"/>
      <c r="CE48" s="1405"/>
      <c r="CF48" s="538"/>
      <c r="CG48" s="538"/>
      <c r="CH48" s="538"/>
      <c r="CI48" s="538"/>
      <c r="CJ48" s="538"/>
      <c r="CK48" s="538"/>
      <c r="CL48" s="538"/>
      <c r="CM48" s="538"/>
      <c r="CN48" s="538"/>
      <c r="CO48" s="538"/>
      <c r="CP48" s="538"/>
      <c r="CQ48" s="538"/>
      <c r="CR48" s="538"/>
      <c r="CS48" s="350"/>
      <c r="CT48" s="46"/>
      <c r="CU48" s="46"/>
      <c r="CV48" s="46"/>
      <c r="CW48" s="46"/>
      <c r="CX48" s="46"/>
      <c r="CY48" s="46"/>
      <c r="CZ48" s="46"/>
      <c r="DA48" s="46"/>
      <c r="DB48" s="46"/>
      <c r="DC48" s="46"/>
      <c r="DD48" s="46"/>
      <c r="DE48" s="61"/>
    </row>
    <row r="49" spans="1:109" x14ac:dyDescent="0.2">
      <c r="A49" s="615" t="s">
        <v>4139</v>
      </c>
      <c r="B49" s="1355" t="s">
        <v>264</v>
      </c>
      <c r="C49" s="1335" t="s">
        <v>4959</v>
      </c>
      <c r="D49" s="1355" t="s">
        <v>264</v>
      </c>
      <c r="E49" s="89">
        <f>153200-2200+1300</f>
        <v>152300</v>
      </c>
      <c r="F49" s="9">
        <v>7400</v>
      </c>
      <c r="G49" s="9"/>
      <c r="H49" s="9"/>
      <c r="I49" s="29"/>
      <c r="J49" s="29"/>
      <c r="K49" s="29"/>
      <c r="L49" s="29"/>
      <c r="M49" s="9">
        <v>500000</v>
      </c>
      <c r="N49" s="9"/>
      <c r="O49" s="9"/>
      <c r="P49" s="9"/>
      <c r="Q49" s="49"/>
      <c r="R49" s="89"/>
      <c r="S49" s="9"/>
      <c r="T49" s="9"/>
      <c r="U49" s="9">
        <f>120000-15000+15000+20500</f>
        <v>140500</v>
      </c>
      <c r="V49" s="46">
        <f>E49-R49-S49-T49-U49</f>
        <v>11800</v>
      </c>
      <c r="W49" s="133"/>
      <c r="X49" s="9"/>
      <c r="Y49" s="46"/>
      <c r="Z49" s="9"/>
      <c r="AA49" s="46">
        <f t="shared" si="59"/>
        <v>7400</v>
      </c>
      <c r="AB49" s="133"/>
      <c r="AC49" s="9"/>
      <c r="AD49" s="9"/>
      <c r="AE49" s="9">
        <f>G49</f>
        <v>0</v>
      </c>
      <c r="AF49" s="49">
        <f>G49-AB49-AC49-AD49-AE49</f>
        <v>0</v>
      </c>
      <c r="AG49" s="89"/>
      <c r="AH49" s="9"/>
      <c r="AI49" s="9"/>
      <c r="AJ49" s="9">
        <f>H49</f>
        <v>0</v>
      </c>
      <c r="AK49" s="49">
        <f>H49-AG49-AH49-AI49-AJ49</f>
        <v>0</v>
      </c>
      <c r="AL49" s="89"/>
      <c r="AM49" s="9"/>
      <c r="AN49" s="9"/>
      <c r="AO49" s="9"/>
      <c r="AP49" s="49">
        <f>I49-AL49-AM49-AN49-AO49</f>
        <v>0</v>
      </c>
      <c r="AQ49" s="89"/>
      <c r="AR49" s="9"/>
      <c r="AS49" s="9"/>
      <c r="AT49" s="9"/>
      <c r="AU49" s="61"/>
      <c r="AW49" s="9"/>
      <c r="AX49" s="9"/>
      <c r="AY49" s="9"/>
      <c r="AZ49" s="49"/>
      <c r="BA49" s="89"/>
      <c r="BB49" s="9"/>
      <c r="BC49" s="9"/>
      <c r="BD49" s="9"/>
      <c r="BE49" s="49"/>
      <c r="BF49" s="89"/>
      <c r="BG49" s="9"/>
      <c r="BH49" s="9"/>
      <c r="BI49" s="9">
        <f t="shared" si="129"/>
        <v>500000</v>
      </c>
      <c r="BJ49" s="49">
        <f t="shared" si="130"/>
        <v>0</v>
      </c>
      <c r="BK49" s="89"/>
      <c r="BL49" s="9"/>
      <c r="BM49" s="9"/>
      <c r="BN49" s="9"/>
      <c r="BO49" s="49"/>
      <c r="BP49" s="89"/>
      <c r="BQ49" s="9"/>
      <c r="BR49" s="9"/>
      <c r="BS49" s="9"/>
      <c r="BT49" s="49"/>
      <c r="BU49" s="89"/>
      <c r="BV49" s="9"/>
      <c r="BW49" s="9"/>
      <c r="BX49" s="9"/>
      <c r="BY49" s="49"/>
      <c r="BZ49" s="89"/>
      <c r="CA49" s="9"/>
      <c r="CB49" s="9"/>
      <c r="CC49" s="9"/>
      <c r="CE49" s="1406">
        <v>1</v>
      </c>
      <c r="CF49" s="833">
        <f t="shared" ref="CF49:CN49" si="140">CE49</f>
        <v>1</v>
      </c>
      <c r="CG49" s="833">
        <f t="shared" si="140"/>
        <v>1</v>
      </c>
      <c r="CH49" s="833">
        <f t="shared" si="140"/>
        <v>1</v>
      </c>
      <c r="CI49" s="833">
        <f t="shared" si="140"/>
        <v>1</v>
      </c>
      <c r="CJ49" s="833">
        <f t="shared" si="140"/>
        <v>1</v>
      </c>
      <c r="CK49" s="833">
        <f t="shared" si="140"/>
        <v>1</v>
      </c>
      <c r="CL49" s="833">
        <f t="shared" si="140"/>
        <v>1</v>
      </c>
      <c r="CM49" s="833">
        <f t="shared" si="140"/>
        <v>1</v>
      </c>
      <c r="CN49" s="833">
        <f t="shared" si="140"/>
        <v>1</v>
      </c>
      <c r="CO49" s="833">
        <f t="shared" ref="CO49:CQ52" si="141">CN49</f>
        <v>1</v>
      </c>
      <c r="CP49" s="833">
        <f t="shared" si="141"/>
        <v>1</v>
      </c>
      <c r="CQ49" s="833">
        <f t="shared" si="141"/>
        <v>1</v>
      </c>
      <c r="CR49" s="833"/>
      <c r="CS49" s="1125">
        <f t="shared" ref="CS49:DE52" si="142">ROUND(CE49*E49,-3)</f>
        <v>152000</v>
      </c>
      <c r="CT49" s="31">
        <f t="shared" si="142"/>
        <v>7000</v>
      </c>
      <c r="CU49" s="31">
        <f t="shared" si="142"/>
        <v>0</v>
      </c>
      <c r="CV49" s="31">
        <f t="shared" si="142"/>
        <v>0</v>
      </c>
      <c r="CW49" s="31">
        <f t="shared" si="142"/>
        <v>0</v>
      </c>
      <c r="CX49" s="31">
        <f t="shared" si="142"/>
        <v>0</v>
      </c>
      <c r="CY49" s="31">
        <f t="shared" si="142"/>
        <v>0</v>
      </c>
      <c r="CZ49" s="31">
        <f t="shared" si="142"/>
        <v>0</v>
      </c>
      <c r="DA49" s="31">
        <f t="shared" si="142"/>
        <v>500000</v>
      </c>
      <c r="DB49" s="31">
        <f t="shared" si="142"/>
        <v>0</v>
      </c>
      <c r="DC49" s="31">
        <f t="shared" si="142"/>
        <v>0</v>
      </c>
      <c r="DD49" s="31">
        <f t="shared" si="142"/>
        <v>0</v>
      </c>
      <c r="DE49" s="78">
        <f t="shared" si="142"/>
        <v>0</v>
      </c>
    </row>
    <row r="50" spans="1:109" ht="14.25" customHeight="1" x14ac:dyDescent="0.2">
      <c r="A50" s="615" t="s">
        <v>5499</v>
      </c>
      <c r="B50" s="1358" t="s">
        <v>5451</v>
      </c>
      <c r="C50" s="1335" t="s">
        <v>4959</v>
      </c>
      <c r="D50" s="1352" t="s">
        <v>5451</v>
      </c>
      <c r="E50" s="89">
        <v>287100</v>
      </c>
      <c r="F50" s="9">
        <v>370500</v>
      </c>
      <c r="G50" s="9"/>
      <c r="H50" s="9"/>
      <c r="I50" s="29"/>
      <c r="J50" s="29"/>
      <c r="K50" s="29"/>
      <c r="L50" s="29"/>
      <c r="M50" s="9"/>
      <c r="N50" s="9"/>
      <c r="O50" s="9"/>
      <c r="P50" s="9"/>
      <c r="Q50" s="49"/>
      <c r="R50" s="89"/>
      <c r="S50" s="9"/>
      <c r="T50" s="9"/>
      <c r="U50" s="9">
        <f>210000+40000+250000</f>
        <v>500000</v>
      </c>
      <c r="V50" s="46">
        <f>E50-R50-S50-T50-U50</f>
        <v>-212900</v>
      </c>
      <c r="W50" s="133"/>
      <c r="X50" s="9"/>
      <c r="Y50" s="46"/>
      <c r="Z50" s="9">
        <f>'Res-Gen'!F113</f>
        <v>370500</v>
      </c>
      <c r="AA50" s="46">
        <f t="shared" si="59"/>
        <v>0</v>
      </c>
      <c r="AB50" s="133"/>
      <c r="AC50" s="9"/>
      <c r="AD50" s="9"/>
      <c r="AE50" s="9">
        <f>G50</f>
        <v>0</v>
      </c>
      <c r="AF50" s="49">
        <f>G50-AB50-AC50-AD50-AE50</f>
        <v>0</v>
      </c>
      <c r="AG50" s="89"/>
      <c r="AH50" s="9"/>
      <c r="AI50" s="9"/>
      <c r="AJ50" s="9">
        <f>H50</f>
        <v>0</v>
      </c>
      <c r="AK50" s="49">
        <f>H50-AG50-AH50-AI50-AJ50</f>
        <v>0</v>
      </c>
      <c r="AL50" s="89"/>
      <c r="AM50" s="9"/>
      <c r="AN50" s="9"/>
      <c r="AO50" s="9"/>
      <c r="AP50" s="49">
        <f>I50-AL50-AM50-AN50-AO50</f>
        <v>0</v>
      </c>
      <c r="AQ50" s="89"/>
      <c r="AR50" s="9"/>
      <c r="AS50" s="9"/>
      <c r="AT50" s="9"/>
      <c r="AU50" s="61"/>
      <c r="AW50" s="9"/>
      <c r="AX50" s="9"/>
      <c r="AY50" s="9"/>
      <c r="AZ50" s="49"/>
      <c r="BA50" s="89"/>
      <c r="BB50" s="9"/>
      <c r="BC50" s="9"/>
      <c r="BD50" s="9"/>
      <c r="BE50" s="49"/>
      <c r="BF50" s="89"/>
      <c r="BG50" s="9"/>
      <c r="BH50" s="9"/>
      <c r="BI50" s="9">
        <f t="shared" si="129"/>
        <v>0</v>
      </c>
      <c r="BJ50" s="49">
        <f t="shared" si="130"/>
        <v>0</v>
      </c>
      <c r="BK50" s="89"/>
      <c r="BL50" s="9"/>
      <c r="BM50" s="9"/>
      <c r="BN50" s="9"/>
      <c r="BO50" s="49"/>
      <c r="BP50" s="89"/>
      <c r="BQ50" s="9"/>
      <c r="BR50" s="9"/>
      <c r="BS50" s="9"/>
      <c r="BT50" s="49"/>
      <c r="BU50" s="89"/>
      <c r="BV50" s="9"/>
      <c r="BW50" s="9"/>
      <c r="BX50" s="9"/>
      <c r="BY50" s="49"/>
      <c r="BZ50" s="89"/>
      <c r="CA50" s="9"/>
      <c r="CB50" s="9"/>
      <c r="CC50" s="9"/>
      <c r="CE50" s="1406">
        <v>1</v>
      </c>
      <c r="CF50" s="833">
        <f t="shared" ref="CF50" si="143">CE50</f>
        <v>1</v>
      </c>
      <c r="CG50" s="833">
        <f t="shared" ref="CG50" si="144">CF50</f>
        <v>1</v>
      </c>
      <c r="CH50" s="833">
        <f t="shared" ref="CH50" si="145">CG50</f>
        <v>1</v>
      </c>
      <c r="CI50" s="833">
        <f t="shared" ref="CI50" si="146">CH50</f>
        <v>1</v>
      </c>
      <c r="CJ50" s="833">
        <f t="shared" ref="CJ50" si="147">CI50</f>
        <v>1</v>
      </c>
      <c r="CK50" s="833">
        <f t="shared" ref="CK50" si="148">CJ50</f>
        <v>1</v>
      </c>
      <c r="CL50" s="833">
        <f t="shared" ref="CL50" si="149">CK50</f>
        <v>1</v>
      </c>
      <c r="CM50" s="833">
        <f t="shared" ref="CM50" si="150">CL50</f>
        <v>1</v>
      </c>
      <c r="CN50" s="833">
        <f t="shared" ref="CN50" si="151">CM50</f>
        <v>1</v>
      </c>
      <c r="CO50" s="833">
        <f t="shared" si="141"/>
        <v>1</v>
      </c>
      <c r="CP50" s="833">
        <f t="shared" si="141"/>
        <v>1</v>
      </c>
      <c r="CQ50" s="833">
        <f t="shared" si="141"/>
        <v>1</v>
      </c>
      <c r="CR50" s="833"/>
      <c r="CS50" s="1125">
        <f t="shared" si="142"/>
        <v>287000</v>
      </c>
      <c r="CT50" s="31">
        <f t="shared" si="142"/>
        <v>371000</v>
      </c>
      <c r="CU50" s="31">
        <f t="shared" si="142"/>
        <v>0</v>
      </c>
      <c r="CV50" s="31">
        <f t="shared" si="142"/>
        <v>0</v>
      </c>
      <c r="CW50" s="31">
        <f t="shared" si="142"/>
        <v>0</v>
      </c>
      <c r="CX50" s="31">
        <f t="shared" si="142"/>
        <v>0</v>
      </c>
      <c r="CY50" s="31">
        <f t="shared" si="142"/>
        <v>0</v>
      </c>
      <c r="CZ50" s="31">
        <f t="shared" si="142"/>
        <v>0</v>
      </c>
      <c r="DA50" s="31">
        <f t="shared" si="142"/>
        <v>0</v>
      </c>
      <c r="DB50" s="31">
        <f t="shared" si="142"/>
        <v>0</v>
      </c>
      <c r="DC50" s="31">
        <f t="shared" si="142"/>
        <v>0</v>
      </c>
      <c r="DD50" s="31">
        <f t="shared" si="142"/>
        <v>0</v>
      </c>
      <c r="DE50" s="78">
        <f t="shared" si="142"/>
        <v>0</v>
      </c>
    </row>
    <row r="51" spans="1:109" x14ac:dyDescent="0.2">
      <c r="A51" s="615" t="s">
        <v>5032</v>
      </c>
      <c r="B51" s="1352" t="s">
        <v>6434</v>
      </c>
      <c r="C51" s="1335" t="s">
        <v>6435</v>
      </c>
      <c r="D51" s="1352" t="s">
        <v>6435</v>
      </c>
      <c r="E51" s="89">
        <v>3300</v>
      </c>
      <c r="F51" s="9">
        <f>28700+1400</f>
        <v>30100</v>
      </c>
      <c r="G51" s="9"/>
      <c r="H51" s="9"/>
      <c r="I51" s="29"/>
      <c r="J51" s="29"/>
      <c r="K51" s="29"/>
      <c r="L51" s="29"/>
      <c r="M51" s="9"/>
      <c r="N51" s="9"/>
      <c r="O51" s="9"/>
      <c r="P51" s="9"/>
      <c r="Q51" s="49"/>
      <c r="R51" s="89"/>
      <c r="S51" s="9"/>
      <c r="T51" s="9"/>
      <c r="U51" s="9">
        <f>15000-13500</f>
        <v>1500</v>
      </c>
      <c r="V51" s="46">
        <f>E51-R51-S51-T51-U51</f>
        <v>1800</v>
      </c>
      <c r="W51" s="133"/>
      <c r="X51" s="9"/>
      <c r="Y51" s="46"/>
      <c r="Z51" s="9">
        <f>+F51</f>
        <v>30100</v>
      </c>
      <c r="AA51" s="46">
        <f t="shared" si="59"/>
        <v>0</v>
      </c>
      <c r="AB51" s="133"/>
      <c r="AC51" s="9"/>
      <c r="AD51" s="9"/>
      <c r="AE51" s="9">
        <f>G51</f>
        <v>0</v>
      </c>
      <c r="AF51" s="49">
        <f>G51-AB51-AC51-AD51-AE51</f>
        <v>0</v>
      </c>
      <c r="AG51" s="89"/>
      <c r="AH51" s="9"/>
      <c r="AI51" s="9"/>
      <c r="AJ51" s="9">
        <f>H51</f>
        <v>0</v>
      </c>
      <c r="AK51" s="49">
        <f>H51-AG51-AH51-AI51-AJ51</f>
        <v>0</v>
      </c>
      <c r="AL51" s="89"/>
      <c r="AM51" s="9"/>
      <c r="AN51" s="9"/>
      <c r="AO51" s="9"/>
      <c r="AP51" s="49">
        <f>I51-AL51-AM51-AN51-AO51</f>
        <v>0</v>
      </c>
      <c r="AQ51" s="89"/>
      <c r="AR51" s="9"/>
      <c r="AS51" s="9"/>
      <c r="AT51" s="9"/>
      <c r="AU51" s="61"/>
      <c r="AW51" s="9"/>
      <c r="AX51" s="9"/>
      <c r="AY51" s="9"/>
      <c r="AZ51" s="49"/>
      <c r="BA51" s="89"/>
      <c r="BB51" s="9"/>
      <c r="BC51" s="9"/>
      <c r="BD51" s="9"/>
      <c r="BE51" s="49"/>
      <c r="BF51" s="89"/>
      <c r="BG51" s="9"/>
      <c r="BH51" s="9"/>
      <c r="BI51" s="9">
        <f t="shared" si="129"/>
        <v>0</v>
      </c>
      <c r="BJ51" s="49">
        <f t="shared" si="130"/>
        <v>0</v>
      </c>
      <c r="BK51" s="89"/>
      <c r="BL51" s="9"/>
      <c r="BM51" s="9"/>
      <c r="BN51" s="9"/>
      <c r="BO51" s="49"/>
      <c r="BP51" s="89"/>
      <c r="BQ51" s="9"/>
      <c r="BR51" s="9"/>
      <c r="BS51" s="9"/>
      <c r="BT51" s="49"/>
      <c r="BU51" s="89"/>
      <c r="BV51" s="9"/>
      <c r="BW51" s="9"/>
      <c r="BX51" s="9"/>
      <c r="BY51" s="49"/>
      <c r="BZ51" s="89"/>
      <c r="CA51" s="9"/>
      <c r="CB51" s="9"/>
      <c r="CC51" s="9"/>
      <c r="CE51" s="1406">
        <v>0</v>
      </c>
      <c r="CF51" s="833">
        <f t="shared" ref="CF51:CN51" si="152">CE51</f>
        <v>0</v>
      </c>
      <c r="CG51" s="833">
        <f t="shared" si="152"/>
        <v>0</v>
      </c>
      <c r="CH51" s="833">
        <f t="shared" si="152"/>
        <v>0</v>
      </c>
      <c r="CI51" s="833">
        <f t="shared" si="152"/>
        <v>0</v>
      </c>
      <c r="CJ51" s="833">
        <f t="shared" si="152"/>
        <v>0</v>
      </c>
      <c r="CK51" s="833">
        <f t="shared" si="152"/>
        <v>0</v>
      </c>
      <c r="CL51" s="833">
        <f t="shared" si="152"/>
        <v>0</v>
      </c>
      <c r="CM51" s="833">
        <f t="shared" si="152"/>
        <v>0</v>
      </c>
      <c r="CN51" s="833">
        <f t="shared" si="152"/>
        <v>0</v>
      </c>
      <c r="CO51" s="833">
        <f t="shared" si="141"/>
        <v>0</v>
      </c>
      <c r="CP51" s="833">
        <f t="shared" si="141"/>
        <v>0</v>
      </c>
      <c r="CQ51" s="833">
        <f t="shared" si="141"/>
        <v>0</v>
      </c>
      <c r="CR51" s="833"/>
      <c r="CS51" s="1125">
        <f t="shared" si="142"/>
        <v>0</v>
      </c>
      <c r="CT51" s="31">
        <f t="shared" si="142"/>
        <v>0</v>
      </c>
      <c r="CU51" s="31">
        <f t="shared" si="142"/>
        <v>0</v>
      </c>
      <c r="CV51" s="31">
        <f t="shared" si="142"/>
        <v>0</v>
      </c>
      <c r="CW51" s="31">
        <f t="shared" si="142"/>
        <v>0</v>
      </c>
      <c r="CX51" s="31">
        <f t="shared" si="142"/>
        <v>0</v>
      </c>
      <c r="CY51" s="31">
        <f t="shared" si="142"/>
        <v>0</v>
      </c>
      <c r="CZ51" s="31">
        <f t="shared" si="142"/>
        <v>0</v>
      </c>
      <c r="DA51" s="31">
        <f t="shared" si="142"/>
        <v>0</v>
      </c>
      <c r="DB51" s="31">
        <f t="shared" si="142"/>
        <v>0</v>
      </c>
      <c r="DC51" s="31">
        <f t="shared" si="142"/>
        <v>0</v>
      </c>
      <c r="DD51" s="31">
        <f t="shared" si="142"/>
        <v>0</v>
      </c>
      <c r="DE51" s="78">
        <f t="shared" si="142"/>
        <v>0</v>
      </c>
    </row>
    <row r="52" spans="1:109" x14ac:dyDescent="0.2">
      <c r="A52" s="615" t="s">
        <v>6540</v>
      </c>
      <c r="B52" s="1352" t="s">
        <v>6432</v>
      </c>
      <c r="C52" s="1335" t="s">
        <v>4959</v>
      </c>
      <c r="D52" s="1352" t="s">
        <v>6432</v>
      </c>
      <c r="E52" s="89">
        <v>11700</v>
      </c>
      <c r="F52" s="9"/>
      <c r="G52" s="9">
        <v>47000</v>
      </c>
      <c r="H52" s="9"/>
      <c r="I52" s="29"/>
      <c r="J52" s="29"/>
      <c r="K52" s="29"/>
      <c r="L52" s="29"/>
      <c r="M52" s="9"/>
      <c r="N52" s="9"/>
      <c r="O52" s="9"/>
      <c r="P52" s="9"/>
      <c r="Q52" s="49"/>
      <c r="R52" s="89"/>
      <c r="S52" s="9"/>
      <c r="T52" s="9"/>
      <c r="U52" s="9"/>
      <c r="V52" s="46">
        <f>E52-R52-S52-T52-U52</f>
        <v>11700</v>
      </c>
      <c r="W52" s="133"/>
      <c r="X52" s="9"/>
      <c r="Y52" s="46"/>
      <c r="Z52" s="9"/>
      <c r="AA52" s="46">
        <f t="shared" si="59"/>
        <v>0</v>
      </c>
      <c r="AB52" s="133"/>
      <c r="AC52" s="9"/>
      <c r="AD52" s="9"/>
      <c r="AE52" s="9">
        <f>G52</f>
        <v>47000</v>
      </c>
      <c r="AF52" s="49">
        <f>G52-AB52-AC52-AD52-AE52</f>
        <v>0</v>
      </c>
      <c r="AG52" s="89"/>
      <c r="AH52" s="9"/>
      <c r="AI52" s="9"/>
      <c r="AJ52" s="9">
        <f>H52</f>
        <v>0</v>
      </c>
      <c r="AK52" s="49">
        <f>H52-AG52-AH52-AI52-AJ52</f>
        <v>0</v>
      </c>
      <c r="AL52" s="89"/>
      <c r="AM52" s="9"/>
      <c r="AN52" s="9"/>
      <c r="AO52" s="9"/>
      <c r="AP52" s="49">
        <f>I52-AL52-AM52-AN52-AO52</f>
        <v>0</v>
      </c>
      <c r="AQ52" s="89"/>
      <c r="AR52" s="9"/>
      <c r="AS52" s="9"/>
      <c r="AT52" s="9"/>
      <c r="AU52" s="61"/>
      <c r="AW52" s="9"/>
      <c r="AX52" s="9"/>
      <c r="AY52" s="9"/>
      <c r="AZ52" s="49"/>
      <c r="BA52" s="89"/>
      <c r="BB52" s="9"/>
      <c r="BC52" s="9"/>
      <c r="BD52" s="9"/>
      <c r="BE52" s="49"/>
      <c r="BF52" s="89"/>
      <c r="BG52" s="9"/>
      <c r="BH52" s="9"/>
      <c r="BI52" s="9">
        <f t="shared" si="129"/>
        <v>0</v>
      </c>
      <c r="BJ52" s="49">
        <f t="shared" si="130"/>
        <v>0</v>
      </c>
      <c r="BK52" s="89"/>
      <c r="BL52" s="9"/>
      <c r="BM52" s="9"/>
      <c r="BN52" s="9"/>
      <c r="BO52" s="49"/>
      <c r="BP52" s="89"/>
      <c r="BQ52" s="9"/>
      <c r="BR52" s="9"/>
      <c r="BS52" s="9"/>
      <c r="BT52" s="49"/>
      <c r="BU52" s="89"/>
      <c r="BV52" s="9"/>
      <c r="BW52" s="9"/>
      <c r="BX52" s="9"/>
      <c r="BY52" s="49"/>
      <c r="BZ52" s="89"/>
      <c r="CA52" s="9"/>
      <c r="CB52" s="9"/>
      <c r="CC52" s="9"/>
      <c r="CE52" s="1406">
        <v>1</v>
      </c>
      <c r="CF52" s="833">
        <f t="shared" ref="CF52" si="153">CE52</f>
        <v>1</v>
      </c>
      <c r="CG52" s="833">
        <f t="shared" ref="CG52" si="154">CF52</f>
        <v>1</v>
      </c>
      <c r="CH52" s="833">
        <f t="shared" ref="CH52" si="155">CG52</f>
        <v>1</v>
      </c>
      <c r="CI52" s="833">
        <f t="shared" ref="CI52" si="156">CH52</f>
        <v>1</v>
      </c>
      <c r="CJ52" s="833">
        <f t="shared" ref="CJ52" si="157">CI52</f>
        <v>1</v>
      </c>
      <c r="CK52" s="833">
        <f t="shared" ref="CK52" si="158">CJ52</f>
        <v>1</v>
      </c>
      <c r="CL52" s="833">
        <f t="shared" ref="CL52" si="159">CK52</f>
        <v>1</v>
      </c>
      <c r="CM52" s="833">
        <f t="shared" ref="CM52" si="160">CL52</f>
        <v>1</v>
      </c>
      <c r="CN52" s="833">
        <f t="shared" ref="CN52" si="161">CM52</f>
        <v>1</v>
      </c>
      <c r="CO52" s="833">
        <f t="shared" si="141"/>
        <v>1</v>
      </c>
      <c r="CP52" s="833">
        <f t="shared" si="141"/>
        <v>1</v>
      </c>
      <c r="CQ52" s="833">
        <f t="shared" si="141"/>
        <v>1</v>
      </c>
      <c r="CR52" s="833"/>
      <c r="CS52" s="1125">
        <f t="shared" si="142"/>
        <v>12000</v>
      </c>
      <c r="CT52" s="31">
        <f t="shared" si="142"/>
        <v>0</v>
      </c>
      <c r="CU52" s="31">
        <f t="shared" si="142"/>
        <v>47000</v>
      </c>
      <c r="CV52" s="31">
        <f t="shared" si="142"/>
        <v>0</v>
      </c>
      <c r="CW52" s="31">
        <f t="shared" si="142"/>
        <v>0</v>
      </c>
      <c r="CX52" s="31">
        <f t="shared" si="142"/>
        <v>0</v>
      </c>
      <c r="CY52" s="31">
        <f t="shared" si="142"/>
        <v>0</v>
      </c>
      <c r="CZ52" s="31">
        <f t="shared" si="142"/>
        <v>0</v>
      </c>
      <c r="DA52" s="31">
        <f t="shared" si="142"/>
        <v>0</v>
      </c>
      <c r="DB52" s="31">
        <f t="shared" si="142"/>
        <v>0</v>
      </c>
      <c r="DC52" s="31">
        <f t="shared" si="142"/>
        <v>0</v>
      </c>
      <c r="DD52" s="31">
        <f t="shared" si="142"/>
        <v>0</v>
      </c>
      <c r="DE52" s="78">
        <f t="shared" si="142"/>
        <v>0</v>
      </c>
    </row>
    <row r="53" spans="1:109" x14ac:dyDescent="0.2">
      <c r="A53" s="615"/>
      <c r="B53" s="1354"/>
      <c r="C53" s="1346"/>
      <c r="D53" s="1331"/>
      <c r="E53" s="89"/>
      <c r="F53" s="9"/>
      <c r="G53" s="9"/>
      <c r="H53" s="9"/>
      <c r="I53" s="29"/>
      <c r="J53" s="29"/>
      <c r="K53" s="29"/>
      <c r="L53" s="29"/>
      <c r="M53" s="9"/>
      <c r="N53" s="9"/>
      <c r="O53" s="9"/>
      <c r="P53" s="9"/>
      <c r="Q53" s="49"/>
      <c r="R53" s="89"/>
      <c r="S53" s="9"/>
      <c r="T53" s="9"/>
      <c r="U53" s="9"/>
      <c r="W53" s="133"/>
      <c r="X53" s="9"/>
      <c r="Y53" s="46"/>
      <c r="Z53" s="9"/>
      <c r="AA53" s="46">
        <f t="shared" si="59"/>
        <v>0</v>
      </c>
      <c r="AB53" s="133"/>
      <c r="AC53" s="9"/>
      <c r="AD53" s="9"/>
      <c r="AE53" s="9"/>
      <c r="AF53" s="76"/>
      <c r="AG53" s="89"/>
      <c r="AH53" s="9"/>
      <c r="AI53" s="9"/>
      <c r="AJ53" s="9"/>
      <c r="AK53" s="49"/>
      <c r="AL53" s="89"/>
      <c r="AM53" s="9"/>
      <c r="AN53" s="9"/>
      <c r="AO53" s="9"/>
      <c r="AP53" s="49"/>
      <c r="AQ53" s="89"/>
      <c r="AR53" s="9"/>
      <c r="AS53" s="9"/>
      <c r="AT53" s="9"/>
      <c r="AU53" s="61"/>
      <c r="AW53" s="9"/>
      <c r="AX53" s="9"/>
      <c r="AY53" s="9"/>
      <c r="AZ53" s="49"/>
      <c r="BA53" s="89"/>
      <c r="BB53" s="9"/>
      <c r="BC53" s="9"/>
      <c r="BD53" s="9"/>
      <c r="BE53" s="49"/>
      <c r="BF53" s="89"/>
      <c r="BG53" s="9"/>
      <c r="BH53" s="9"/>
      <c r="BI53" s="9">
        <f t="shared" si="129"/>
        <v>0</v>
      </c>
      <c r="BJ53" s="49">
        <f t="shared" si="130"/>
        <v>0</v>
      </c>
      <c r="BK53" s="89"/>
      <c r="BL53" s="9"/>
      <c r="BM53" s="9"/>
      <c r="BN53" s="9"/>
      <c r="BO53" s="49"/>
      <c r="BP53" s="89"/>
      <c r="BQ53" s="9"/>
      <c r="BR53" s="9"/>
      <c r="BS53" s="9"/>
      <c r="BT53" s="49"/>
      <c r="BU53" s="89"/>
      <c r="BV53" s="9"/>
      <c r="BW53" s="9"/>
      <c r="BX53" s="9"/>
      <c r="BY53" s="49"/>
      <c r="BZ53" s="89"/>
      <c r="CA53" s="9"/>
      <c r="CB53" s="9"/>
      <c r="CC53" s="9"/>
      <c r="CE53" s="1405"/>
      <c r="CF53" s="538"/>
      <c r="CG53" s="538"/>
      <c r="CH53" s="538"/>
      <c r="CI53" s="538"/>
      <c r="CJ53" s="538"/>
      <c r="CK53" s="538"/>
      <c r="CL53" s="538"/>
      <c r="CM53" s="538"/>
      <c r="CN53" s="538"/>
      <c r="CO53" s="538"/>
      <c r="CP53" s="538"/>
      <c r="CQ53" s="538"/>
      <c r="CR53" s="538"/>
      <c r="CS53" s="350"/>
      <c r="CT53" s="46"/>
      <c r="CU53" s="46"/>
      <c r="CV53" s="46"/>
      <c r="CW53" s="46"/>
      <c r="CX53" s="46"/>
      <c r="CY53" s="46"/>
      <c r="CZ53" s="46"/>
      <c r="DA53" s="46"/>
      <c r="DB53" s="46"/>
      <c r="DC53" s="46"/>
      <c r="DD53" s="46"/>
      <c r="DE53" s="61"/>
    </row>
    <row r="54" spans="1:109" x14ac:dyDescent="0.2">
      <c r="A54" s="413" t="s">
        <v>1392</v>
      </c>
      <c r="B54" s="1354"/>
      <c r="C54" s="1338"/>
      <c r="D54" s="1384"/>
      <c r="E54" s="89"/>
      <c r="F54" s="9"/>
      <c r="G54" s="9"/>
      <c r="H54" s="9"/>
      <c r="I54" s="29"/>
      <c r="J54" s="29"/>
      <c r="K54" s="29"/>
      <c r="L54" s="29"/>
      <c r="M54" s="9"/>
      <c r="N54" s="9"/>
      <c r="O54" s="9"/>
      <c r="P54" s="9"/>
      <c r="Q54" s="49"/>
      <c r="R54" s="89"/>
      <c r="S54" s="9"/>
      <c r="T54" s="9"/>
      <c r="U54" s="9"/>
      <c r="W54" s="133"/>
      <c r="X54" s="9"/>
      <c r="Y54" s="46"/>
      <c r="Z54" s="9"/>
      <c r="AA54" s="46">
        <f t="shared" si="59"/>
        <v>0</v>
      </c>
      <c r="AB54" s="133"/>
      <c r="AC54" s="9"/>
      <c r="AD54" s="9"/>
      <c r="AE54" s="9"/>
      <c r="AF54" s="76"/>
      <c r="AG54" s="89"/>
      <c r="AH54" s="9"/>
      <c r="AI54" s="9"/>
      <c r="AJ54" s="9"/>
      <c r="AK54" s="49"/>
      <c r="AL54" s="89"/>
      <c r="AM54" s="9"/>
      <c r="AN54" s="9"/>
      <c r="AO54" s="9"/>
      <c r="AP54" s="49"/>
      <c r="AQ54" s="89"/>
      <c r="AR54" s="9"/>
      <c r="AS54" s="9"/>
      <c r="AT54" s="9"/>
      <c r="AU54" s="61"/>
      <c r="AW54" s="9"/>
      <c r="AX54" s="9"/>
      <c r="AY54" s="9"/>
      <c r="AZ54" s="49"/>
      <c r="BA54" s="89"/>
      <c r="BB54" s="9"/>
      <c r="BC54" s="9"/>
      <c r="BD54" s="9"/>
      <c r="BE54" s="49"/>
      <c r="BF54" s="89"/>
      <c r="BG54" s="9"/>
      <c r="BH54" s="9"/>
      <c r="BI54" s="9">
        <f t="shared" si="129"/>
        <v>0</v>
      </c>
      <c r="BJ54" s="49">
        <f t="shared" si="130"/>
        <v>0</v>
      </c>
      <c r="BK54" s="89"/>
      <c r="BL54" s="9"/>
      <c r="BM54" s="9"/>
      <c r="BN54" s="9"/>
      <c r="BO54" s="49"/>
      <c r="BP54" s="89"/>
      <c r="BQ54" s="9"/>
      <c r="BR54" s="9"/>
      <c r="BS54" s="9"/>
      <c r="BT54" s="49"/>
      <c r="BU54" s="89"/>
      <c r="BV54" s="9"/>
      <c r="BW54" s="9"/>
      <c r="BX54" s="9"/>
      <c r="BY54" s="49"/>
      <c r="BZ54" s="89"/>
      <c r="CA54" s="9"/>
      <c r="CB54" s="9"/>
      <c r="CC54" s="9"/>
      <c r="CE54" s="1405"/>
      <c r="CF54" s="538"/>
      <c r="CG54" s="538"/>
      <c r="CH54" s="538"/>
      <c r="CI54" s="538"/>
      <c r="CJ54" s="538"/>
      <c r="CK54" s="538"/>
      <c r="CL54" s="538"/>
      <c r="CM54" s="538"/>
      <c r="CN54" s="538"/>
      <c r="CO54" s="538"/>
      <c r="CP54" s="538"/>
      <c r="CQ54" s="538"/>
      <c r="CR54" s="538"/>
      <c r="CS54" s="350"/>
      <c r="CT54" s="46"/>
      <c r="CU54" s="46"/>
      <c r="CV54" s="46"/>
      <c r="CW54" s="46"/>
      <c r="CX54" s="46"/>
      <c r="CY54" s="46"/>
      <c r="CZ54" s="46"/>
      <c r="DA54" s="46"/>
      <c r="DB54" s="46"/>
      <c r="DC54" s="46"/>
      <c r="DD54" s="46"/>
      <c r="DE54" s="61"/>
    </row>
    <row r="55" spans="1:109" x14ac:dyDescent="0.2">
      <c r="A55" s="615" t="s">
        <v>3521</v>
      </c>
      <c r="B55" s="1354" t="s">
        <v>6086</v>
      </c>
      <c r="C55" s="1335" t="s">
        <v>5144</v>
      </c>
      <c r="D55" s="1330" t="s">
        <v>5144</v>
      </c>
      <c r="E55" s="89"/>
      <c r="F55" s="9"/>
      <c r="G55" s="9">
        <f>100000+20000</f>
        <v>120000</v>
      </c>
      <c r="H55" s="9">
        <v>60000</v>
      </c>
      <c r="I55" s="29">
        <v>100000</v>
      </c>
      <c r="J55" s="29">
        <v>20000</v>
      </c>
      <c r="K55" s="29">
        <f>ROUND((J55*Assumptions!L$6+J55),-3)</f>
        <v>21000</v>
      </c>
      <c r="L55" s="9">
        <f>ROUND((K55*Assumptions!M$6+K55),-3)</f>
        <v>22000</v>
      </c>
      <c r="M55" s="89">
        <f>ROUND((L55*Assumptions!N$6+L55),-3)</f>
        <v>23000</v>
      </c>
      <c r="N55" s="9">
        <f>ROUND((M55*Assumptions!O$6+M55),-3)</f>
        <v>24000</v>
      </c>
      <c r="O55" s="9">
        <f>ROUND((N55*Assumptions!P$6+N55),-3)</f>
        <v>25000</v>
      </c>
      <c r="P55" s="9">
        <f>ROUND((O55*Assumptions!Q$6+O55),-3)</f>
        <v>26000</v>
      </c>
      <c r="Q55" s="49">
        <f>ROUND((P55*Assumptions!R$6+P55),-3)</f>
        <v>27000</v>
      </c>
      <c r="R55" s="89"/>
      <c r="S55" s="9"/>
      <c r="T55" s="9"/>
      <c r="U55" s="9">
        <f>E55</f>
        <v>0</v>
      </c>
      <c r="V55" s="46">
        <f>E55-R55-S55-T55-U55</f>
        <v>0</v>
      </c>
      <c r="W55" s="133"/>
      <c r="X55" s="9"/>
      <c r="Y55" s="9"/>
      <c r="Z55" s="9">
        <f>F55</f>
        <v>0</v>
      </c>
      <c r="AA55" s="46">
        <f t="shared" si="59"/>
        <v>0</v>
      </c>
      <c r="AB55" s="133"/>
      <c r="AC55" s="9"/>
      <c r="AD55" s="9"/>
      <c r="AE55" s="9">
        <f>G55</f>
        <v>120000</v>
      </c>
      <c r="AF55" s="49">
        <f>G55-AB55-AC55-AD55-AE55</f>
        <v>0</v>
      </c>
      <c r="AG55" s="89"/>
      <c r="AH55" s="9"/>
      <c r="AI55" s="9"/>
      <c r="AJ55" s="9">
        <f>H55</f>
        <v>60000</v>
      </c>
      <c r="AK55" s="49">
        <f>H55-AG55-AH55-AI55-AJ55</f>
        <v>0</v>
      </c>
      <c r="AL55" s="89"/>
      <c r="AM55" s="9"/>
      <c r="AN55" s="9"/>
      <c r="AO55" s="9">
        <f>I55</f>
        <v>100000</v>
      </c>
      <c r="AP55" s="49">
        <f>I55-AL55-AM55-AN55-AO55</f>
        <v>0</v>
      </c>
      <c r="AQ55" s="89"/>
      <c r="AR55" s="9"/>
      <c r="AS55" s="9"/>
      <c r="AT55" s="9">
        <f>J55</f>
        <v>20000</v>
      </c>
      <c r="AU55" s="61">
        <f>J55-AQ55-AR55-AS55-AT55</f>
        <v>0</v>
      </c>
      <c r="AW55" s="9"/>
      <c r="AX55" s="9"/>
      <c r="AY55" s="9">
        <f>K55</f>
        <v>21000</v>
      </c>
      <c r="AZ55" s="49">
        <f>K55-AV55-AW55-AX55-AY55</f>
        <v>0</v>
      </c>
      <c r="BA55" s="89"/>
      <c r="BB55" s="9"/>
      <c r="BC55" s="9"/>
      <c r="BD55" s="9">
        <f>L55</f>
        <v>22000</v>
      </c>
      <c r="BE55" s="49">
        <f>L55-BA55-BB55-BC55-BD55</f>
        <v>0</v>
      </c>
      <c r="BF55" s="89"/>
      <c r="BG55" s="9"/>
      <c r="BH55" s="9"/>
      <c r="BI55" s="9">
        <f>M55</f>
        <v>23000</v>
      </c>
      <c r="BJ55" s="49">
        <f>M55-BF55-BG55-BH55-BI55</f>
        <v>0</v>
      </c>
      <c r="BK55" s="89"/>
      <c r="BL55" s="9"/>
      <c r="BM55" s="9"/>
      <c r="BN55" s="9">
        <f>N55</f>
        <v>24000</v>
      </c>
      <c r="BO55" s="49">
        <f>N55-BK55-BL55-BM55-BN55</f>
        <v>0</v>
      </c>
      <c r="BP55" s="89"/>
      <c r="BQ55" s="9"/>
      <c r="BR55" s="9"/>
      <c r="BS55" s="9">
        <f>O55</f>
        <v>25000</v>
      </c>
      <c r="BT55" s="49">
        <f>O55-BP55-BQ55-BR55-BS55</f>
        <v>0</v>
      </c>
      <c r="BU55" s="89"/>
      <c r="BV55" s="9"/>
      <c r="BW55" s="9"/>
      <c r="BX55" s="9">
        <f>P55</f>
        <v>26000</v>
      </c>
      <c r="BY55" s="49">
        <f t="shared" ref="BY55" si="162">P55-BU55-BV55-BW55-BX55</f>
        <v>0</v>
      </c>
      <c r="BZ55" s="89"/>
      <c r="CA55" s="9"/>
      <c r="CB55" s="9"/>
      <c r="CC55" s="9">
        <f>+Q55</f>
        <v>27000</v>
      </c>
      <c r="CD55" s="46">
        <f>Q55-BZ55-CA55-CB55-CC55</f>
        <v>0</v>
      </c>
      <c r="CE55" s="1406">
        <v>0</v>
      </c>
      <c r="CF55" s="833">
        <f t="shared" ref="CF55" si="163">CE55</f>
        <v>0</v>
      </c>
      <c r="CG55" s="833">
        <f t="shared" ref="CG55" si="164">CF55</f>
        <v>0</v>
      </c>
      <c r="CH55" s="833">
        <f t="shared" ref="CH55" si="165">CG55</f>
        <v>0</v>
      </c>
      <c r="CI55" s="833">
        <f t="shared" ref="CI55" si="166">CH55</f>
        <v>0</v>
      </c>
      <c r="CJ55" s="833">
        <f t="shared" ref="CJ55" si="167">CI55</f>
        <v>0</v>
      </c>
      <c r="CK55" s="833">
        <f t="shared" ref="CK55" si="168">CJ55</f>
        <v>0</v>
      </c>
      <c r="CL55" s="833">
        <f t="shared" ref="CL55" si="169">CK55</f>
        <v>0</v>
      </c>
      <c r="CM55" s="833">
        <f t="shared" ref="CM55" si="170">CL55</f>
        <v>0</v>
      </c>
      <c r="CN55" s="833">
        <f t="shared" ref="CN55" si="171">CM55</f>
        <v>0</v>
      </c>
      <c r="CO55" s="833">
        <f>CN55</f>
        <v>0</v>
      </c>
      <c r="CP55" s="833">
        <f>CO55</f>
        <v>0</v>
      </c>
      <c r="CQ55" s="833">
        <f>CP55</f>
        <v>0</v>
      </c>
      <c r="CR55" s="833"/>
      <c r="CS55" s="1125">
        <f t="shared" ref="CS55:DE55" si="172">ROUND(CE55*E55,-3)</f>
        <v>0</v>
      </c>
      <c r="CT55" s="31">
        <f t="shared" si="172"/>
        <v>0</v>
      </c>
      <c r="CU55" s="31">
        <f t="shared" si="172"/>
        <v>0</v>
      </c>
      <c r="CV55" s="31">
        <f t="shared" si="172"/>
        <v>0</v>
      </c>
      <c r="CW55" s="31">
        <f t="shared" si="172"/>
        <v>0</v>
      </c>
      <c r="CX55" s="31">
        <f t="shared" si="172"/>
        <v>0</v>
      </c>
      <c r="CY55" s="31">
        <f t="shared" si="172"/>
        <v>0</v>
      </c>
      <c r="CZ55" s="31">
        <f t="shared" si="172"/>
        <v>0</v>
      </c>
      <c r="DA55" s="31">
        <f t="shared" si="172"/>
        <v>0</v>
      </c>
      <c r="DB55" s="31">
        <f t="shared" si="172"/>
        <v>0</v>
      </c>
      <c r="DC55" s="31">
        <f t="shared" si="172"/>
        <v>0</v>
      </c>
      <c r="DD55" s="31">
        <f t="shared" si="172"/>
        <v>0</v>
      </c>
      <c r="DE55" s="78">
        <f t="shared" si="172"/>
        <v>0</v>
      </c>
    </row>
    <row r="56" spans="1:109" x14ac:dyDescent="0.2">
      <c r="A56" s="296"/>
      <c r="B56" s="1354"/>
      <c r="C56" s="1337"/>
      <c r="D56" s="1333"/>
      <c r="E56" s="89"/>
      <c r="F56" s="9"/>
      <c r="G56" s="9"/>
      <c r="H56" s="9"/>
      <c r="I56" s="29"/>
      <c r="J56" s="29"/>
      <c r="K56" s="29"/>
      <c r="L56" s="29"/>
      <c r="M56" s="9"/>
      <c r="N56" s="9"/>
      <c r="O56" s="9"/>
      <c r="P56" s="9"/>
      <c r="Q56" s="49"/>
      <c r="R56" s="89"/>
      <c r="S56" s="9"/>
      <c r="T56" s="9"/>
      <c r="U56" s="9"/>
      <c r="W56" s="133"/>
      <c r="X56" s="9"/>
      <c r="Y56" s="46"/>
      <c r="Z56" s="48"/>
      <c r="AA56" s="46">
        <f t="shared" si="59"/>
        <v>0</v>
      </c>
      <c r="AB56" s="133"/>
      <c r="AC56" s="48"/>
      <c r="AD56" s="48"/>
      <c r="AE56" s="9"/>
      <c r="AF56" s="76"/>
      <c r="AG56" s="89"/>
      <c r="AH56" s="48"/>
      <c r="AI56" s="48"/>
      <c r="AJ56" s="9"/>
      <c r="AK56" s="49"/>
      <c r="AL56" s="89"/>
      <c r="AM56" s="48"/>
      <c r="AN56" s="48"/>
      <c r="AO56" s="48"/>
      <c r="AP56" s="49"/>
      <c r="AQ56" s="89"/>
      <c r="AR56" s="48"/>
      <c r="AS56" s="48"/>
      <c r="AT56" s="48"/>
      <c r="AU56" s="61"/>
      <c r="AW56" s="48"/>
      <c r="AX56" s="48"/>
      <c r="AY56" s="48"/>
      <c r="AZ56" s="49"/>
      <c r="BA56" s="89"/>
      <c r="BB56" s="48"/>
      <c r="BC56" s="48"/>
      <c r="BD56" s="9"/>
      <c r="BE56" s="49"/>
      <c r="BF56" s="89"/>
      <c r="BG56" s="48"/>
      <c r="BH56" s="48"/>
      <c r="BI56" s="9"/>
      <c r="BJ56" s="49"/>
      <c r="BK56" s="89"/>
      <c r="BL56" s="48"/>
      <c r="BM56" s="48"/>
      <c r="BN56" s="9"/>
      <c r="BO56" s="49"/>
      <c r="BP56" s="89"/>
      <c r="BQ56" s="48"/>
      <c r="BR56" s="48"/>
      <c r="BS56" s="9"/>
      <c r="BT56" s="49"/>
      <c r="BU56" s="89"/>
      <c r="BV56" s="48"/>
      <c r="BW56" s="48"/>
      <c r="BX56" s="9"/>
      <c r="BY56" s="49"/>
      <c r="BZ56" s="89"/>
      <c r="CA56" s="48"/>
      <c r="CB56" s="48"/>
      <c r="CC56" s="9"/>
      <c r="CE56" s="1405"/>
      <c r="CF56" s="538"/>
      <c r="CG56" s="538"/>
      <c r="CH56" s="538"/>
      <c r="CI56" s="538"/>
      <c r="CJ56" s="538"/>
      <c r="CK56" s="538"/>
      <c r="CL56" s="538"/>
      <c r="CM56" s="538"/>
      <c r="CN56" s="538"/>
      <c r="CO56" s="538"/>
      <c r="CP56" s="538"/>
      <c r="CQ56" s="538"/>
      <c r="CR56" s="538"/>
      <c r="CS56" s="350"/>
      <c r="CT56" s="46"/>
      <c r="CU56" s="46"/>
      <c r="CV56" s="46"/>
      <c r="CW56" s="46"/>
      <c r="CX56" s="46"/>
      <c r="CY56" s="46"/>
      <c r="CZ56" s="46"/>
      <c r="DA56" s="46"/>
      <c r="DB56" s="46"/>
      <c r="DC56" s="46"/>
      <c r="DD56" s="46"/>
      <c r="DE56" s="61"/>
    </row>
    <row r="57" spans="1:109" x14ac:dyDescent="0.2">
      <c r="A57" s="413" t="s">
        <v>6814</v>
      </c>
      <c r="B57" s="1354"/>
      <c r="C57" s="1338"/>
      <c r="D57" s="1384"/>
      <c r="E57" s="89"/>
      <c r="F57" s="9"/>
      <c r="G57" s="9"/>
      <c r="H57" s="9"/>
      <c r="I57" s="9"/>
      <c r="J57" s="89"/>
      <c r="K57" s="9"/>
      <c r="L57" s="9"/>
      <c r="M57" s="89"/>
      <c r="N57" s="9"/>
      <c r="O57" s="9"/>
      <c r="P57" s="9"/>
      <c r="Q57" s="49"/>
      <c r="R57" s="89"/>
      <c r="S57" s="9"/>
      <c r="T57" s="9"/>
      <c r="U57" s="9"/>
      <c r="W57" s="133"/>
      <c r="X57" s="9"/>
      <c r="Y57" s="46"/>
      <c r="Z57" s="9"/>
      <c r="AA57" s="46">
        <f t="shared" si="59"/>
        <v>0</v>
      </c>
      <c r="AB57" s="133"/>
      <c r="AC57" s="9"/>
      <c r="AD57" s="9"/>
      <c r="AE57" s="9"/>
      <c r="AF57" s="76"/>
      <c r="AG57" s="89"/>
      <c r="AH57" s="9"/>
      <c r="AI57" s="9"/>
      <c r="AJ57" s="9"/>
      <c r="AK57" s="49"/>
      <c r="AL57" s="89"/>
      <c r="AM57" s="9"/>
      <c r="AN57" s="9"/>
      <c r="AO57" s="9"/>
      <c r="AP57" s="49"/>
      <c r="AQ57" s="89"/>
      <c r="AR57" s="9"/>
      <c r="AS57" s="9"/>
      <c r="AT57" s="9"/>
      <c r="AU57" s="61"/>
      <c r="AW57" s="9"/>
      <c r="AX57" s="9"/>
      <c r="AY57" s="9"/>
      <c r="AZ57" s="49"/>
      <c r="BA57" s="89"/>
      <c r="BB57" s="9"/>
      <c r="BC57" s="9"/>
      <c r="BD57" s="9"/>
      <c r="BE57" s="49"/>
      <c r="BF57" s="89"/>
      <c r="BG57" s="9"/>
      <c r="BH57" s="9"/>
      <c r="BI57" s="9"/>
      <c r="BJ57" s="49"/>
      <c r="BK57" s="89"/>
      <c r="BL57" s="9"/>
      <c r="BM57" s="9"/>
      <c r="BN57" s="9"/>
      <c r="BO57" s="49"/>
      <c r="BP57" s="89"/>
      <c r="BQ57" s="9"/>
      <c r="BR57" s="9"/>
      <c r="BS57" s="9"/>
      <c r="BT57" s="49"/>
      <c r="BU57" s="89"/>
      <c r="BV57" s="9"/>
      <c r="BW57" s="9"/>
      <c r="BX57" s="9"/>
      <c r="BY57" s="49"/>
      <c r="BZ57" s="89"/>
      <c r="CA57" s="9"/>
      <c r="CB57" s="9"/>
      <c r="CC57" s="9"/>
      <c r="CE57" s="1405"/>
      <c r="CF57" s="538"/>
      <c r="CG57" s="538"/>
      <c r="CH57" s="538"/>
      <c r="CI57" s="538"/>
      <c r="CJ57" s="538"/>
      <c r="CK57" s="538"/>
      <c r="CL57" s="538"/>
      <c r="CM57" s="538"/>
      <c r="CN57" s="538"/>
      <c r="CO57" s="538"/>
      <c r="CP57" s="538"/>
      <c r="CQ57" s="538"/>
      <c r="CR57" s="538"/>
      <c r="CS57" s="350"/>
      <c r="CT57" s="46"/>
      <c r="CU57" s="46"/>
      <c r="CV57" s="46"/>
      <c r="CW57" s="46"/>
      <c r="CX57" s="46"/>
      <c r="CY57" s="46"/>
      <c r="CZ57" s="46"/>
      <c r="DA57" s="46"/>
      <c r="DB57" s="46"/>
      <c r="DC57" s="46"/>
      <c r="DD57" s="46"/>
      <c r="DE57" s="61"/>
    </row>
    <row r="58" spans="1:109" x14ac:dyDescent="0.2">
      <c r="A58" s="615" t="s">
        <v>6959</v>
      </c>
      <c r="B58" s="1354" t="s">
        <v>3903</v>
      </c>
      <c r="C58" s="1335" t="s">
        <v>4024</v>
      </c>
      <c r="D58" s="1330"/>
      <c r="E58" s="89">
        <v>2719100</v>
      </c>
      <c r="F58" s="9"/>
      <c r="G58" s="9"/>
      <c r="H58" s="9"/>
      <c r="I58" s="9"/>
      <c r="J58" s="89"/>
      <c r="K58" s="9"/>
      <c r="L58" s="9"/>
      <c r="M58" s="89">
        <v>2000000</v>
      </c>
      <c r="N58" s="9">
        <v>2000000</v>
      </c>
      <c r="O58" s="9"/>
      <c r="P58" s="9"/>
      <c r="Q58" s="49"/>
      <c r="R58" s="89">
        <v>2207000</v>
      </c>
      <c r="S58" s="29"/>
      <c r="T58" s="29">
        <v>500000</v>
      </c>
      <c r="U58" s="9"/>
      <c r="V58" s="46">
        <f>E58-R58-S58-T58-U58</f>
        <v>12100</v>
      </c>
      <c r="W58" s="133"/>
      <c r="X58" s="9"/>
      <c r="Y58" s="46"/>
      <c r="Z58" s="9"/>
      <c r="AA58" s="46">
        <f t="shared" si="59"/>
        <v>0</v>
      </c>
      <c r="AB58" s="133"/>
      <c r="AC58" s="29"/>
      <c r="AD58" s="29"/>
      <c r="AE58" s="9"/>
      <c r="AF58" s="49">
        <f t="shared" ref="AF58:AF63" si="173">G58-AB58-AC58-AD58-AE58</f>
        <v>0</v>
      </c>
      <c r="AG58" s="89"/>
      <c r="AH58" s="29"/>
      <c r="AI58" s="29"/>
      <c r="AJ58" s="9">
        <f t="shared" ref="AJ58:AJ63" si="174">H58</f>
        <v>0</v>
      </c>
      <c r="AK58" s="49">
        <f t="shared" ref="AK58:AK63" si="175">H58-AG58-AH58-AI58-AJ58</f>
        <v>0</v>
      </c>
      <c r="AL58" s="89"/>
      <c r="AM58" s="29"/>
      <c r="AN58" s="29"/>
      <c r="AO58" s="9">
        <f t="shared" ref="AO58:AO63" si="176">I58</f>
        <v>0</v>
      </c>
      <c r="AP58" s="49">
        <f t="shared" ref="AP58:AP63" si="177">I58-AL58-AM58-AN58-AO58</f>
        <v>0</v>
      </c>
      <c r="AQ58" s="89"/>
      <c r="AR58" s="29"/>
      <c r="AS58" s="29"/>
      <c r="AT58" s="9">
        <f t="shared" ref="AT58:AT63" si="178">J58</f>
        <v>0</v>
      </c>
      <c r="AU58" s="61">
        <f t="shared" ref="AU58:AU63" si="179">J58-AQ58-AR58-AS58-AT58</f>
        <v>0</v>
      </c>
      <c r="AW58" s="9"/>
      <c r="AX58" s="9"/>
      <c r="AY58" s="9">
        <f t="shared" ref="AY58:AY63" si="180">K58</f>
        <v>0</v>
      </c>
      <c r="AZ58" s="49">
        <f t="shared" ref="AZ58:AZ63" si="181">K58-AV58-AW58-AX58-AY58</f>
        <v>0</v>
      </c>
      <c r="BA58" s="89"/>
      <c r="BB58" s="29"/>
      <c r="BC58" s="29"/>
      <c r="BD58" s="9">
        <f t="shared" ref="BD58:BD63" si="182">L58</f>
        <v>0</v>
      </c>
      <c r="BE58" s="49">
        <f t="shared" ref="BE58:BE63" si="183">L58-BA58-BB58-BC58-BD58</f>
        <v>0</v>
      </c>
      <c r="BF58" s="89"/>
      <c r="BG58" s="29"/>
      <c r="BH58" s="29"/>
      <c r="BI58" s="9">
        <f>M58</f>
        <v>2000000</v>
      </c>
      <c r="BJ58" s="49">
        <f t="shared" ref="BJ58:BJ63" si="184">M58-BF58-BG58-BH58-BI58</f>
        <v>0</v>
      </c>
      <c r="BK58" s="89"/>
      <c r="BL58" s="29"/>
      <c r="BM58" s="29"/>
      <c r="BN58" s="9">
        <f>N58</f>
        <v>2000000</v>
      </c>
      <c r="BO58" s="49">
        <f t="shared" ref="BO58:BO63" si="185">N58-BK58-BL58-BM58-BN58</f>
        <v>0</v>
      </c>
      <c r="BP58" s="89"/>
      <c r="BQ58" s="29"/>
      <c r="BR58" s="29"/>
      <c r="BS58" s="9">
        <f t="shared" ref="BS58:BS63" si="186">O58</f>
        <v>0</v>
      </c>
      <c r="BT58" s="49">
        <f t="shared" ref="BT58:BT63" si="187">O58-BP58-BQ58-BR58-BS58</f>
        <v>0</v>
      </c>
      <c r="BU58" s="89"/>
      <c r="BV58" s="29"/>
      <c r="BW58" s="29"/>
      <c r="BX58" s="9">
        <f>P58</f>
        <v>0</v>
      </c>
      <c r="BY58" s="49">
        <f t="shared" ref="BY58:BY62" si="188">P58-BU58-BV58-BW58-BX58</f>
        <v>0</v>
      </c>
      <c r="BZ58" s="89"/>
      <c r="CA58" s="29"/>
      <c r="CB58" s="29"/>
      <c r="CC58" s="9">
        <f>U58</f>
        <v>0</v>
      </c>
      <c r="CD58" s="46">
        <f t="shared" ref="CD58:CD63" si="189">Q58-BZ58-CA58-CB58-CC58</f>
        <v>0</v>
      </c>
      <c r="CE58" s="1406">
        <v>0</v>
      </c>
      <c r="CF58" s="833">
        <f t="shared" ref="CF58" si="190">CE58</f>
        <v>0</v>
      </c>
      <c r="CG58" s="833">
        <f t="shared" ref="CG58" si="191">CF58</f>
        <v>0</v>
      </c>
      <c r="CH58" s="833">
        <f t="shared" ref="CH58" si="192">CG58</f>
        <v>0</v>
      </c>
      <c r="CI58" s="833">
        <f t="shared" ref="CI58" si="193">CH58</f>
        <v>0</v>
      </c>
      <c r="CJ58" s="833">
        <f t="shared" ref="CJ58" si="194">CI58</f>
        <v>0</v>
      </c>
      <c r="CK58" s="833">
        <f t="shared" ref="CK58" si="195">CJ58</f>
        <v>0</v>
      </c>
      <c r="CL58" s="833">
        <f t="shared" ref="CL58" si="196">CK58</f>
        <v>0</v>
      </c>
      <c r="CM58" s="833">
        <f t="shared" ref="CM58" si="197">CL58</f>
        <v>0</v>
      </c>
      <c r="CN58" s="833">
        <f t="shared" ref="CN58" si="198">CM58</f>
        <v>0</v>
      </c>
      <c r="CO58" s="833">
        <f t="shared" ref="CO58:CQ60" si="199">CN58</f>
        <v>0</v>
      </c>
      <c r="CP58" s="833">
        <f t="shared" si="199"/>
        <v>0</v>
      </c>
      <c r="CQ58" s="833">
        <f t="shared" si="199"/>
        <v>0</v>
      </c>
      <c r="CR58" s="833"/>
      <c r="CS58" s="1125">
        <f t="shared" ref="CS58:DE62" si="200">ROUND(CE58*E58,-3)</f>
        <v>0</v>
      </c>
      <c r="CT58" s="31">
        <f t="shared" si="200"/>
        <v>0</v>
      </c>
      <c r="CU58" s="31">
        <f t="shared" si="200"/>
        <v>0</v>
      </c>
      <c r="CV58" s="31">
        <f t="shared" si="200"/>
        <v>0</v>
      </c>
      <c r="CW58" s="31">
        <f t="shared" si="200"/>
        <v>0</v>
      </c>
      <c r="CX58" s="31">
        <f t="shared" si="200"/>
        <v>0</v>
      </c>
      <c r="CY58" s="31">
        <f t="shared" si="200"/>
        <v>0</v>
      </c>
      <c r="CZ58" s="31">
        <f t="shared" si="200"/>
        <v>0</v>
      </c>
      <c r="DA58" s="31">
        <f t="shared" si="200"/>
        <v>0</v>
      </c>
      <c r="DB58" s="31">
        <f t="shared" si="200"/>
        <v>0</v>
      </c>
      <c r="DC58" s="31">
        <f t="shared" si="200"/>
        <v>0</v>
      </c>
      <c r="DD58" s="31">
        <f t="shared" si="200"/>
        <v>0</v>
      </c>
      <c r="DE58" s="78">
        <f t="shared" si="200"/>
        <v>0</v>
      </c>
    </row>
    <row r="59" spans="1:109" ht="12.75" customHeight="1" x14ac:dyDescent="0.2">
      <c r="A59" s="615" t="s">
        <v>3620</v>
      </c>
      <c r="B59" s="1354" t="s">
        <v>3904</v>
      </c>
      <c r="C59" s="1335" t="s">
        <v>4025</v>
      </c>
      <c r="D59" s="1330"/>
      <c r="E59" s="9">
        <v>34200</v>
      </c>
      <c r="F59" s="9"/>
      <c r="G59" s="9"/>
      <c r="H59" s="9"/>
      <c r="I59" s="9"/>
      <c r="J59" s="89"/>
      <c r="K59" s="9"/>
      <c r="L59" s="9"/>
      <c r="M59" s="89"/>
      <c r="N59" s="9"/>
      <c r="O59" s="9"/>
      <c r="P59" s="9"/>
      <c r="Q59" s="49"/>
      <c r="R59" s="89"/>
      <c r="S59" s="29"/>
      <c r="T59" s="29"/>
      <c r="U59" s="9">
        <f>E59</f>
        <v>34200</v>
      </c>
      <c r="V59" s="46">
        <f t="shared" ref="V59:V63" si="201">E59-R59-S59-T59-U59</f>
        <v>0</v>
      </c>
      <c r="W59" s="133"/>
      <c r="X59" s="9"/>
      <c r="Y59" s="46"/>
      <c r="Z59" s="9"/>
      <c r="AA59" s="46">
        <f t="shared" si="59"/>
        <v>0</v>
      </c>
      <c r="AB59" s="133"/>
      <c r="AC59" s="29"/>
      <c r="AD59" s="29"/>
      <c r="AE59" s="9"/>
      <c r="AF59" s="49">
        <f t="shared" si="173"/>
        <v>0</v>
      </c>
      <c r="AG59" s="89"/>
      <c r="AH59" s="29"/>
      <c r="AI59" s="29"/>
      <c r="AJ59" s="9">
        <f t="shared" si="174"/>
        <v>0</v>
      </c>
      <c r="AK59" s="49">
        <f t="shared" si="175"/>
        <v>0</v>
      </c>
      <c r="AL59" s="89"/>
      <c r="AM59" s="29"/>
      <c r="AN59" s="29"/>
      <c r="AO59" s="9">
        <f t="shared" si="176"/>
        <v>0</v>
      </c>
      <c r="AP59" s="49">
        <f t="shared" si="177"/>
        <v>0</v>
      </c>
      <c r="AQ59" s="89"/>
      <c r="AR59" s="29"/>
      <c r="AS59" s="29"/>
      <c r="AT59" s="9">
        <f t="shared" si="178"/>
        <v>0</v>
      </c>
      <c r="AU59" s="61">
        <f t="shared" si="179"/>
        <v>0</v>
      </c>
      <c r="AW59" s="9"/>
      <c r="AX59" s="9"/>
      <c r="AY59" s="9">
        <f t="shared" si="180"/>
        <v>0</v>
      </c>
      <c r="AZ59" s="49">
        <f t="shared" si="181"/>
        <v>0</v>
      </c>
      <c r="BA59" s="89"/>
      <c r="BB59" s="29"/>
      <c r="BC59" s="29"/>
      <c r="BD59" s="9">
        <f t="shared" si="182"/>
        <v>0</v>
      </c>
      <c r="BE59" s="49">
        <f t="shared" si="183"/>
        <v>0</v>
      </c>
      <c r="BF59" s="89"/>
      <c r="BG59" s="29"/>
      <c r="BH59" s="29"/>
      <c r="BI59" s="9">
        <f>M59</f>
        <v>0</v>
      </c>
      <c r="BJ59" s="49">
        <f t="shared" si="184"/>
        <v>0</v>
      </c>
      <c r="BK59" s="89"/>
      <c r="BL59" s="29"/>
      <c r="BM59" s="29"/>
      <c r="BN59" s="9">
        <f>N59</f>
        <v>0</v>
      </c>
      <c r="BO59" s="49">
        <f t="shared" si="185"/>
        <v>0</v>
      </c>
      <c r="BP59" s="89"/>
      <c r="BQ59" s="29"/>
      <c r="BR59" s="29"/>
      <c r="BS59" s="9">
        <f t="shared" si="186"/>
        <v>0</v>
      </c>
      <c r="BT59" s="49">
        <f t="shared" si="187"/>
        <v>0</v>
      </c>
      <c r="BU59" s="89"/>
      <c r="BV59" s="29"/>
      <c r="BW59" s="29"/>
      <c r="BX59" s="9">
        <f t="shared" ref="BX59:BX62" si="202">P59</f>
        <v>0</v>
      </c>
      <c r="BY59" s="49">
        <f t="shared" si="188"/>
        <v>0</v>
      </c>
      <c r="BZ59" s="89"/>
      <c r="CA59" s="29"/>
      <c r="CB59" s="29"/>
      <c r="CC59" s="9">
        <v>0</v>
      </c>
      <c r="CD59" s="46">
        <f t="shared" si="189"/>
        <v>0</v>
      </c>
      <c r="CE59" s="1406">
        <v>0</v>
      </c>
      <c r="CF59" s="833">
        <f t="shared" ref="CF59:CN59" si="203">CE59</f>
        <v>0</v>
      </c>
      <c r="CG59" s="833">
        <f t="shared" si="203"/>
        <v>0</v>
      </c>
      <c r="CH59" s="833">
        <f t="shared" si="203"/>
        <v>0</v>
      </c>
      <c r="CI59" s="833">
        <f t="shared" si="203"/>
        <v>0</v>
      </c>
      <c r="CJ59" s="833">
        <f t="shared" si="203"/>
        <v>0</v>
      </c>
      <c r="CK59" s="833">
        <f t="shared" si="203"/>
        <v>0</v>
      </c>
      <c r="CL59" s="833">
        <f t="shared" si="203"/>
        <v>0</v>
      </c>
      <c r="CM59" s="833">
        <f t="shared" si="203"/>
        <v>0</v>
      </c>
      <c r="CN59" s="833">
        <f t="shared" si="203"/>
        <v>0</v>
      </c>
      <c r="CO59" s="833">
        <f t="shared" si="199"/>
        <v>0</v>
      </c>
      <c r="CP59" s="833">
        <f t="shared" si="199"/>
        <v>0</v>
      </c>
      <c r="CQ59" s="833">
        <f t="shared" si="199"/>
        <v>0</v>
      </c>
      <c r="CR59" s="833"/>
      <c r="CS59" s="1125">
        <f t="shared" si="200"/>
        <v>0</v>
      </c>
      <c r="CT59" s="31">
        <f t="shared" si="200"/>
        <v>0</v>
      </c>
      <c r="CU59" s="31">
        <f t="shared" si="200"/>
        <v>0</v>
      </c>
      <c r="CV59" s="31">
        <f t="shared" si="200"/>
        <v>0</v>
      </c>
      <c r="CW59" s="31">
        <f t="shared" si="200"/>
        <v>0</v>
      </c>
      <c r="CX59" s="31">
        <f t="shared" si="200"/>
        <v>0</v>
      </c>
      <c r="CY59" s="31">
        <f t="shared" si="200"/>
        <v>0</v>
      </c>
      <c r="CZ59" s="31">
        <f t="shared" si="200"/>
        <v>0</v>
      </c>
      <c r="DA59" s="31">
        <f t="shared" si="200"/>
        <v>0</v>
      </c>
      <c r="DB59" s="31">
        <f t="shared" si="200"/>
        <v>0</v>
      </c>
      <c r="DC59" s="31">
        <f t="shared" si="200"/>
        <v>0</v>
      </c>
      <c r="DD59" s="31">
        <f t="shared" si="200"/>
        <v>0</v>
      </c>
      <c r="DE59" s="78">
        <f t="shared" si="200"/>
        <v>0</v>
      </c>
    </row>
    <row r="60" spans="1:109" x14ac:dyDescent="0.2">
      <c r="A60" s="296" t="s">
        <v>244</v>
      </c>
      <c r="B60" s="1355" t="s">
        <v>2394</v>
      </c>
      <c r="C60" s="1335" t="s">
        <v>4959</v>
      </c>
      <c r="D60" s="1330"/>
      <c r="E60" s="89"/>
      <c r="F60" s="9"/>
      <c r="G60" s="9"/>
      <c r="H60" s="9"/>
      <c r="I60" s="9"/>
      <c r="J60" s="89"/>
      <c r="K60" s="9"/>
      <c r="L60" s="9">
        <v>400000</v>
      </c>
      <c r="M60" s="89"/>
      <c r="N60" s="9"/>
      <c r="O60" s="9"/>
      <c r="P60" s="9"/>
      <c r="Q60" s="49"/>
      <c r="R60" s="89"/>
      <c r="S60" s="29"/>
      <c r="T60" s="29"/>
      <c r="U60" s="9">
        <f>E60</f>
        <v>0</v>
      </c>
      <c r="V60" s="46">
        <f t="shared" si="201"/>
        <v>0</v>
      </c>
      <c r="W60" s="133"/>
      <c r="X60" s="9"/>
      <c r="Y60" s="46"/>
      <c r="Z60" s="9"/>
      <c r="AA60" s="46">
        <f t="shared" si="59"/>
        <v>0</v>
      </c>
      <c r="AB60" s="133"/>
      <c r="AC60" s="29"/>
      <c r="AD60" s="29"/>
      <c r="AE60" s="9"/>
      <c r="AF60" s="49">
        <f t="shared" si="173"/>
        <v>0</v>
      </c>
      <c r="AG60" s="89"/>
      <c r="AH60" s="29"/>
      <c r="AI60" s="29"/>
      <c r="AJ60" s="9">
        <f t="shared" si="174"/>
        <v>0</v>
      </c>
      <c r="AK60" s="49">
        <f t="shared" si="175"/>
        <v>0</v>
      </c>
      <c r="AL60" s="89"/>
      <c r="AM60" s="29"/>
      <c r="AN60" s="29"/>
      <c r="AO60" s="9">
        <f t="shared" si="176"/>
        <v>0</v>
      </c>
      <c r="AP60" s="49">
        <f t="shared" si="177"/>
        <v>0</v>
      </c>
      <c r="AQ60" s="89"/>
      <c r="AR60" s="29"/>
      <c r="AS60" s="29"/>
      <c r="AT60" s="9">
        <f t="shared" si="178"/>
        <v>0</v>
      </c>
      <c r="AU60" s="61">
        <f t="shared" si="179"/>
        <v>0</v>
      </c>
      <c r="AW60" s="9"/>
      <c r="AX60" s="9"/>
      <c r="AY60" s="9">
        <f t="shared" si="180"/>
        <v>0</v>
      </c>
      <c r="AZ60" s="49">
        <f t="shared" si="181"/>
        <v>0</v>
      </c>
      <c r="BA60" s="89"/>
      <c r="BB60" s="29"/>
      <c r="BC60" s="29"/>
      <c r="BD60" s="9">
        <f t="shared" si="182"/>
        <v>400000</v>
      </c>
      <c r="BE60" s="49">
        <f t="shared" si="183"/>
        <v>0</v>
      </c>
      <c r="BF60" s="89"/>
      <c r="BG60" s="29"/>
      <c r="BH60" s="29"/>
      <c r="BI60" s="9">
        <f>M60</f>
        <v>0</v>
      </c>
      <c r="BJ60" s="76">
        <f t="shared" si="184"/>
        <v>0</v>
      </c>
      <c r="BK60" s="89"/>
      <c r="BL60" s="29"/>
      <c r="BM60" s="29"/>
      <c r="BN60" s="9">
        <f>N60</f>
        <v>0</v>
      </c>
      <c r="BO60" s="49">
        <f t="shared" si="185"/>
        <v>0</v>
      </c>
      <c r="BP60" s="89"/>
      <c r="BQ60" s="29"/>
      <c r="BR60" s="29"/>
      <c r="BS60" s="9">
        <f t="shared" si="186"/>
        <v>0</v>
      </c>
      <c r="BT60" s="49">
        <f t="shared" si="187"/>
        <v>0</v>
      </c>
      <c r="BU60" s="89"/>
      <c r="BV60" s="29"/>
      <c r="BW60" s="29"/>
      <c r="BX60" s="9">
        <f t="shared" si="202"/>
        <v>0</v>
      </c>
      <c r="BY60" s="49">
        <f t="shared" si="188"/>
        <v>0</v>
      </c>
      <c r="BZ60" s="89"/>
      <c r="CA60" s="29"/>
      <c r="CB60" s="29"/>
      <c r="CC60" s="9">
        <f t="shared" ref="CC60:CC63" si="204">U60</f>
        <v>0</v>
      </c>
      <c r="CD60" s="46">
        <f t="shared" si="189"/>
        <v>0</v>
      </c>
      <c r="CE60" s="1406">
        <v>0</v>
      </c>
      <c r="CF60" s="833">
        <v>0</v>
      </c>
      <c r="CG60" s="833">
        <f t="shared" ref="CG60:CN60" si="205">CF60</f>
        <v>0</v>
      </c>
      <c r="CH60" s="833">
        <f t="shared" si="205"/>
        <v>0</v>
      </c>
      <c r="CI60" s="833">
        <f t="shared" si="205"/>
        <v>0</v>
      </c>
      <c r="CJ60" s="833">
        <f t="shared" si="205"/>
        <v>0</v>
      </c>
      <c r="CK60" s="833">
        <f t="shared" si="205"/>
        <v>0</v>
      </c>
      <c r="CL60" s="833">
        <f t="shared" si="205"/>
        <v>0</v>
      </c>
      <c r="CM60" s="833">
        <f t="shared" si="205"/>
        <v>0</v>
      </c>
      <c r="CN60" s="833">
        <f t="shared" si="205"/>
        <v>0</v>
      </c>
      <c r="CO60" s="833">
        <f t="shared" si="199"/>
        <v>0</v>
      </c>
      <c r="CP60" s="833">
        <f t="shared" si="199"/>
        <v>0</v>
      </c>
      <c r="CQ60" s="833">
        <f t="shared" si="199"/>
        <v>0</v>
      </c>
      <c r="CR60" s="833"/>
      <c r="CS60" s="1125">
        <f t="shared" si="200"/>
        <v>0</v>
      </c>
      <c r="CT60" s="31">
        <f t="shared" si="200"/>
        <v>0</v>
      </c>
      <c r="CU60" s="31">
        <f t="shared" si="200"/>
        <v>0</v>
      </c>
      <c r="CV60" s="31">
        <f t="shared" si="200"/>
        <v>0</v>
      </c>
      <c r="CW60" s="31">
        <f t="shared" si="200"/>
        <v>0</v>
      </c>
      <c r="CX60" s="31">
        <f t="shared" si="200"/>
        <v>0</v>
      </c>
      <c r="CY60" s="31">
        <f t="shared" si="200"/>
        <v>0</v>
      </c>
      <c r="CZ60" s="31">
        <f t="shared" si="200"/>
        <v>0</v>
      </c>
      <c r="DA60" s="31">
        <f t="shared" si="200"/>
        <v>0</v>
      </c>
      <c r="DB60" s="31">
        <f t="shared" si="200"/>
        <v>0</v>
      </c>
      <c r="DC60" s="31">
        <f t="shared" si="200"/>
        <v>0</v>
      </c>
      <c r="DD60" s="31">
        <f t="shared" si="200"/>
        <v>0</v>
      </c>
      <c r="DE60" s="78">
        <f t="shared" si="200"/>
        <v>0</v>
      </c>
    </row>
    <row r="61" spans="1:109" x14ac:dyDescent="0.2">
      <c r="A61" s="615" t="s">
        <v>6955</v>
      </c>
      <c r="B61" s="1354" t="s">
        <v>3905</v>
      </c>
      <c r="C61" s="1335" t="s">
        <v>4026</v>
      </c>
      <c r="D61" s="1330" t="s">
        <v>4026</v>
      </c>
      <c r="E61" s="89">
        <v>50100</v>
      </c>
      <c r="F61" s="9">
        <v>574400</v>
      </c>
      <c r="G61" s="9">
        <f>6400000-3000000</f>
        <v>3400000</v>
      </c>
      <c r="H61" s="9">
        <f>3000000</f>
        <v>3000000</v>
      </c>
      <c r="I61" s="9"/>
      <c r="J61" s="89"/>
      <c r="K61" s="9"/>
      <c r="L61" s="9"/>
      <c r="M61" s="89">
        <v>0</v>
      </c>
      <c r="N61" s="9">
        <v>0</v>
      </c>
      <c r="O61" s="79">
        <v>1500000</v>
      </c>
      <c r="P61" s="79">
        <v>1500000</v>
      </c>
      <c r="Q61" s="587">
        <v>1800000</v>
      </c>
      <c r="R61" s="89"/>
      <c r="S61" s="29"/>
      <c r="T61" s="29"/>
      <c r="U61" s="9">
        <f>E61</f>
        <v>50100</v>
      </c>
      <c r="V61" s="46">
        <f t="shared" si="201"/>
        <v>0</v>
      </c>
      <c r="W61" s="133">
        <v>400</v>
      </c>
      <c r="X61" s="9"/>
      <c r="Y61" s="46">
        <v>0</v>
      </c>
      <c r="Z61" s="9">
        <f>F61-W61</f>
        <v>574000</v>
      </c>
      <c r="AA61" s="46">
        <f t="shared" si="59"/>
        <v>0</v>
      </c>
      <c r="AB61" s="133">
        <f>+'Cap Inc'!F18</f>
        <v>1000000</v>
      </c>
      <c r="AC61" s="29"/>
      <c r="AD61" s="29">
        <f>'Cap Inc'!F153</f>
        <v>2400000</v>
      </c>
      <c r="AE61" s="9">
        <f>G61-AB61-AD61</f>
        <v>0</v>
      </c>
      <c r="AF61" s="49">
        <f t="shared" si="173"/>
        <v>0</v>
      </c>
      <c r="AG61" s="89"/>
      <c r="AH61" s="29"/>
      <c r="AI61" s="29"/>
      <c r="AJ61" s="9">
        <v>3000000</v>
      </c>
      <c r="AK61" s="49">
        <f t="shared" si="175"/>
        <v>0</v>
      </c>
      <c r="AL61" s="89"/>
      <c r="AM61" s="29"/>
      <c r="AN61" s="29"/>
      <c r="AO61" s="9">
        <f t="shared" si="176"/>
        <v>0</v>
      </c>
      <c r="AP61" s="49">
        <f t="shared" si="177"/>
        <v>0</v>
      </c>
      <c r="AQ61" s="89"/>
      <c r="AR61" s="29"/>
      <c r="AS61" s="29"/>
      <c r="AT61" s="9">
        <f t="shared" si="178"/>
        <v>0</v>
      </c>
      <c r="AU61" s="61">
        <f t="shared" si="179"/>
        <v>0</v>
      </c>
      <c r="AW61" s="29"/>
      <c r="AX61" s="29"/>
      <c r="AY61" s="9">
        <f t="shared" si="180"/>
        <v>0</v>
      </c>
      <c r="AZ61" s="49">
        <f t="shared" si="181"/>
        <v>0</v>
      </c>
      <c r="BA61" s="89"/>
      <c r="BB61" s="29"/>
      <c r="BC61" s="29"/>
      <c r="BD61" s="9">
        <f t="shared" si="182"/>
        <v>0</v>
      </c>
      <c r="BE61" s="49">
        <f t="shared" si="183"/>
        <v>0</v>
      </c>
      <c r="BF61" s="89">
        <f>'Cap Inc'!L17</f>
        <v>0</v>
      </c>
      <c r="BG61" s="29"/>
      <c r="BH61" s="29"/>
      <c r="BI61" s="9">
        <f>M61-BF61</f>
        <v>0</v>
      </c>
      <c r="BJ61" s="76">
        <f t="shared" si="184"/>
        <v>0</v>
      </c>
      <c r="BK61" s="89">
        <f>'Cap Inc'!M17</f>
        <v>0</v>
      </c>
      <c r="BL61" s="29"/>
      <c r="BM61" s="29"/>
      <c r="BN61" s="9">
        <f>N61-BK61</f>
        <v>0</v>
      </c>
      <c r="BO61" s="49">
        <f t="shared" si="185"/>
        <v>0</v>
      </c>
      <c r="BP61" s="89"/>
      <c r="BQ61" s="29"/>
      <c r="BR61" s="29"/>
      <c r="BS61" s="9">
        <f t="shared" si="186"/>
        <v>1500000</v>
      </c>
      <c r="BT61" s="49">
        <f t="shared" si="187"/>
        <v>0</v>
      </c>
      <c r="BU61" s="89"/>
      <c r="BV61" s="29"/>
      <c r="BW61" s="29"/>
      <c r="BX61" s="9">
        <f t="shared" si="202"/>
        <v>1500000</v>
      </c>
      <c r="BY61" s="49">
        <f t="shared" si="188"/>
        <v>0</v>
      </c>
      <c r="BZ61" s="89"/>
      <c r="CA61" s="29"/>
      <c r="CB61" s="29"/>
      <c r="CC61" s="9">
        <f>+Q61</f>
        <v>1800000</v>
      </c>
      <c r="CD61" s="46">
        <f t="shared" si="189"/>
        <v>0</v>
      </c>
      <c r="CE61" s="1406">
        <v>0.4</v>
      </c>
      <c r="CF61" s="833">
        <v>0.4</v>
      </c>
      <c r="CG61" s="833">
        <v>0.4</v>
      </c>
      <c r="CH61" s="833">
        <v>0.4</v>
      </c>
      <c r="CI61" s="833">
        <v>0.4</v>
      </c>
      <c r="CJ61" s="833">
        <v>0.4</v>
      </c>
      <c r="CK61" s="833">
        <v>0.4</v>
      </c>
      <c r="CL61" s="833">
        <v>0.4</v>
      </c>
      <c r="CM61" s="833">
        <v>0.4</v>
      </c>
      <c r="CN61" s="833">
        <v>0.4</v>
      </c>
      <c r="CO61" s="833">
        <v>0.4</v>
      </c>
      <c r="CP61" s="833">
        <v>0.4</v>
      </c>
      <c r="CQ61" s="833">
        <v>0.4</v>
      </c>
      <c r="CR61" s="833"/>
      <c r="CS61" s="1125">
        <f t="shared" si="200"/>
        <v>20000</v>
      </c>
      <c r="CT61" s="31">
        <f t="shared" si="200"/>
        <v>230000</v>
      </c>
      <c r="CU61" s="31">
        <f t="shared" si="200"/>
        <v>1360000</v>
      </c>
      <c r="CV61" s="31">
        <f t="shared" si="200"/>
        <v>1200000</v>
      </c>
      <c r="CW61" s="31">
        <f t="shared" si="200"/>
        <v>0</v>
      </c>
      <c r="CX61" s="31">
        <f t="shared" si="200"/>
        <v>0</v>
      </c>
      <c r="CY61" s="31">
        <f t="shared" si="200"/>
        <v>0</v>
      </c>
      <c r="CZ61" s="31">
        <f t="shared" si="200"/>
        <v>0</v>
      </c>
      <c r="DA61" s="31">
        <f t="shared" si="200"/>
        <v>0</v>
      </c>
      <c r="DB61" s="31">
        <f t="shared" si="200"/>
        <v>0</v>
      </c>
      <c r="DC61" s="31">
        <f t="shared" si="200"/>
        <v>600000</v>
      </c>
      <c r="DD61" s="31">
        <f t="shared" si="200"/>
        <v>600000</v>
      </c>
      <c r="DE61" s="78">
        <f t="shared" si="200"/>
        <v>720000</v>
      </c>
    </row>
    <row r="62" spans="1:109" x14ac:dyDescent="0.2">
      <c r="A62" s="296" t="s">
        <v>245</v>
      </c>
      <c r="B62" s="1352" t="s">
        <v>6087</v>
      </c>
      <c r="C62" s="1335" t="s">
        <v>5075</v>
      </c>
      <c r="D62" s="1330" t="s">
        <v>5075</v>
      </c>
      <c r="E62" s="89">
        <v>76000</v>
      </c>
      <c r="F62" s="9">
        <v>60000</v>
      </c>
      <c r="G62" s="9">
        <f>75000+18000</f>
        <v>93000</v>
      </c>
      <c r="H62" s="9">
        <v>200000</v>
      </c>
      <c r="I62" s="29">
        <f>H62</f>
        <v>200000</v>
      </c>
      <c r="J62" s="29">
        <f>I62</f>
        <v>200000</v>
      </c>
      <c r="K62" s="29">
        <v>100000</v>
      </c>
      <c r="L62" s="9">
        <f>ROUND((K62*Assumptions!M$6+K62),-3)</f>
        <v>103000</v>
      </c>
      <c r="M62" s="89">
        <f>ROUND((L62*Assumptions!N$6+L62),-3)</f>
        <v>106000</v>
      </c>
      <c r="N62" s="9">
        <f>ROUND((M62*Assumptions!O$6+M62),-3)</f>
        <v>109000</v>
      </c>
      <c r="O62" s="9">
        <f>ROUND((N62*Assumptions!P$6+N62),-3)</f>
        <v>112000</v>
      </c>
      <c r="P62" s="9">
        <f>ROUND((O62*Assumptions!Q$6+O62),-3)</f>
        <v>115000</v>
      </c>
      <c r="Q62" s="49">
        <f>ROUND((P62*Assumptions!R$6+P62),-3)</f>
        <v>118000</v>
      </c>
      <c r="R62" s="89"/>
      <c r="S62" s="29"/>
      <c r="T62" s="29"/>
      <c r="U62" s="9">
        <f>E62</f>
        <v>76000</v>
      </c>
      <c r="V62" s="46">
        <f t="shared" si="201"/>
        <v>0</v>
      </c>
      <c r="W62" s="133"/>
      <c r="X62" s="9"/>
      <c r="Y62" s="46"/>
      <c r="Z62" s="9">
        <f>F62</f>
        <v>60000</v>
      </c>
      <c r="AA62" s="46">
        <f t="shared" si="59"/>
        <v>0</v>
      </c>
      <c r="AB62" s="133"/>
      <c r="AC62" s="29"/>
      <c r="AD62" s="29"/>
      <c r="AE62" s="9">
        <f>G62</f>
        <v>93000</v>
      </c>
      <c r="AF62" s="49">
        <f t="shared" si="173"/>
        <v>0</v>
      </c>
      <c r="AG62" s="89"/>
      <c r="AH62" s="29"/>
      <c r="AI62" s="29"/>
      <c r="AJ62" s="9">
        <f t="shared" si="174"/>
        <v>200000</v>
      </c>
      <c r="AK62" s="49">
        <f t="shared" si="175"/>
        <v>0</v>
      </c>
      <c r="AL62" s="89"/>
      <c r="AM62" s="29"/>
      <c r="AN62" s="29"/>
      <c r="AO62" s="9">
        <f t="shared" si="176"/>
        <v>200000</v>
      </c>
      <c r="AP62" s="49">
        <f t="shared" si="177"/>
        <v>0</v>
      </c>
      <c r="AQ62" s="89"/>
      <c r="AR62" s="29"/>
      <c r="AS62" s="29"/>
      <c r="AT62" s="9">
        <f t="shared" si="178"/>
        <v>200000</v>
      </c>
      <c r="AU62" s="61">
        <f t="shared" si="179"/>
        <v>0</v>
      </c>
      <c r="AW62" s="29"/>
      <c r="AX62" s="29"/>
      <c r="AY62" s="9">
        <f t="shared" si="180"/>
        <v>100000</v>
      </c>
      <c r="AZ62" s="49">
        <f t="shared" si="181"/>
        <v>0</v>
      </c>
      <c r="BA62" s="89"/>
      <c r="BB62" s="29"/>
      <c r="BC62" s="29"/>
      <c r="BD62" s="9">
        <f t="shared" si="182"/>
        <v>103000</v>
      </c>
      <c r="BE62" s="49">
        <f t="shared" si="183"/>
        <v>0</v>
      </c>
      <c r="BF62" s="89"/>
      <c r="BG62" s="29"/>
      <c r="BH62" s="29"/>
      <c r="BI62" s="9">
        <f>M62</f>
        <v>106000</v>
      </c>
      <c r="BJ62" s="76">
        <f t="shared" si="184"/>
        <v>0</v>
      </c>
      <c r="BK62" s="89"/>
      <c r="BL62" s="29"/>
      <c r="BM62" s="29"/>
      <c r="BN62" s="9">
        <f>N62</f>
        <v>109000</v>
      </c>
      <c r="BO62" s="49">
        <f t="shared" si="185"/>
        <v>0</v>
      </c>
      <c r="BP62" s="89"/>
      <c r="BQ62" s="29"/>
      <c r="BR62" s="29"/>
      <c r="BS62" s="9">
        <f t="shared" si="186"/>
        <v>112000</v>
      </c>
      <c r="BT62" s="49">
        <f t="shared" si="187"/>
        <v>0</v>
      </c>
      <c r="BU62" s="89"/>
      <c r="BV62" s="29"/>
      <c r="BW62" s="29"/>
      <c r="BX62" s="9">
        <f t="shared" si="202"/>
        <v>115000</v>
      </c>
      <c r="BY62" s="49">
        <f t="shared" si="188"/>
        <v>0</v>
      </c>
      <c r="BZ62" s="89"/>
      <c r="CA62" s="29"/>
      <c r="CB62" s="29"/>
      <c r="CC62" s="9">
        <f>Q62</f>
        <v>118000</v>
      </c>
      <c r="CD62" s="46">
        <f t="shared" si="189"/>
        <v>0</v>
      </c>
      <c r="CE62" s="1406">
        <v>1</v>
      </c>
      <c r="CF62" s="833">
        <f t="shared" ref="CF62:CN62" si="206">CE62</f>
        <v>1</v>
      </c>
      <c r="CG62" s="833">
        <f t="shared" si="206"/>
        <v>1</v>
      </c>
      <c r="CH62" s="833">
        <f t="shared" si="206"/>
        <v>1</v>
      </c>
      <c r="CI62" s="833">
        <f t="shared" si="206"/>
        <v>1</v>
      </c>
      <c r="CJ62" s="833">
        <f t="shared" si="206"/>
        <v>1</v>
      </c>
      <c r="CK62" s="833">
        <f t="shared" si="206"/>
        <v>1</v>
      </c>
      <c r="CL62" s="833">
        <f t="shared" si="206"/>
        <v>1</v>
      </c>
      <c r="CM62" s="833">
        <f t="shared" si="206"/>
        <v>1</v>
      </c>
      <c r="CN62" s="833">
        <f t="shared" si="206"/>
        <v>1</v>
      </c>
      <c r="CO62" s="833">
        <f t="shared" ref="CO62:CQ63" si="207">CN62</f>
        <v>1</v>
      </c>
      <c r="CP62" s="833">
        <f t="shared" si="207"/>
        <v>1</v>
      </c>
      <c r="CQ62" s="833">
        <f t="shared" si="207"/>
        <v>1</v>
      </c>
      <c r="CR62" s="833"/>
      <c r="CS62" s="1125">
        <f t="shared" si="200"/>
        <v>76000</v>
      </c>
      <c r="CT62" s="31">
        <f t="shared" si="200"/>
        <v>60000</v>
      </c>
      <c r="CU62" s="31">
        <f t="shared" si="200"/>
        <v>93000</v>
      </c>
      <c r="CV62" s="31">
        <f t="shared" si="200"/>
        <v>200000</v>
      </c>
      <c r="CW62" s="31">
        <f t="shared" si="200"/>
        <v>200000</v>
      </c>
      <c r="CX62" s="31">
        <f t="shared" si="200"/>
        <v>200000</v>
      </c>
      <c r="CY62" s="31">
        <f t="shared" si="200"/>
        <v>100000</v>
      </c>
      <c r="CZ62" s="31">
        <f t="shared" si="200"/>
        <v>103000</v>
      </c>
      <c r="DA62" s="31">
        <f t="shared" si="200"/>
        <v>106000</v>
      </c>
      <c r="DB62" s="31">
        <f t="shared" si="200"/>
        <v>109000</v>
      </c>
      <c r="DC62" s="31">
        <f t="shared" si="200"/>
        <v>112000</v>
      </c>
      <c r="DD62" s="31">
        <f t="shared" si="200"/>
        <v>115000</v>
      </c>
      <c r="DE62" s="78">
        <f t="shared" si="200"/>
        <v>118000</v>
      </c>
    </row>
    <row r="63" spans="1:109" ht="13.5" thickBot="1" x14ac:dyDescent="0.25">
      <c r="A63" s="615" t="s">
        <v>6900</v>
      </c>
      <c r="B63" s="1352" t="s">
        <v>6890</v>
      </c>
      <c r="C63" s="1335"/>
      <c r="D63" s="1352" t="s">
        <v>6890</v>
      </c>
      <c r="E63" s="89"/>
      <c r="F63" s="9">
        <v>65000</v>
      </c>
      <c r="G63" s="9"/>
      <c r="H63" s="9"/>
      <c r="I63" s="29"/>
      <c r="J63" s="46"/>
      <c r="K63" s="29"/>
      <c r="L63" s="9"/>
      <c r="M63" s="89"/>
      <c r="N63" s="9"/>
      <c r="O63" s="9"/>
      <c r="P63" s="9"/>
      <c r="Q63" s="49"/>
      <c r="R63" s="89"/>
      <c r="S63" s="29"/>
      <c r="T63" s="29"/>
      <c r="U63" s="9"/>
      <c r="V63" s="46">
        <f t="shared" si="201"/>
        <v>0</v>
      </c>
      <c r="W63" s="133"/>
      <c r="X63" s="9"/>
      <c r="Y63" s="46"/>
      <c r="Z63" s="9">
        <v>65000</v>
      </c>
      <c r="AA63" s="46">
        <f t="shared" si="59"/>
        <v>0</v>
      </c>
      <c r="AB63" s="133"/>
      <c r="AC63" s="29"/>
      <c r="AD63" s="29"/>
      <c r="AE63" s="9"/>
      <c r="AF63" s="49">
        <f t="shared" si="173"/>
        <v>0</v>
      </c>
      <c r="AG63" s="89"/>
      <c r="AH63" s="29"/>
      <c r="AI63" s="29"/>
      <c r="AJ63" s="9">
        <f t="shared" si="174"/>
        <v>0</v>
      </c>
      <c r="AK63" s="49">
        <f t="shared" si="175"/>
        <v>0</v>
      </c>
      <c r="AL63" s="89"/>
      <c r="AM63" s="29"/>
      <c r="AN63" s="29"/>
      <c r="AO63" s="9">
        <f t="shared" si="176"/>
        <v>0</v>
      </c>
      <c r="AP63" s="49">
        <f t="shared" si="177"/>
        <v>0</v>
      </c>
      <c r="AQ63" s="89"/>
      <c r="AR63" s="29"/>
      <c r="AS63" s="29"/>
      <c r="AT63" s="9">
        <f t="shared" si="178"/>
        <v>0</v>
      </c>
      <c r="AU63" s="61">
        <f t="shared" si="179"/>
        <v>0</v>
      </c>
      <c r="AW63" s="29"/>
      <c r="AX63" s="29"/>
      <c r="AY63" s="9">
        <f t="shared" si="180"/>
        <v>0</v>
      </c>
      <c r="AZ63" s="49">
        <f t="shared" si="181"/>
        <v>0</v>
      </c>
      <c r="BA63" s="89"/>
      <c r="BB63" s="29"/>
      <c r="BC63" s="29"/>
      <c r="BD63" s="9">
        <f t="shared" si="182"/>
        <v>0</v>
      </c>
      <c r="BE63" s="49">
        <f t="shared" si="183"/>
        <v>0</v>
      </c>
      <c r="BF63" s="89"/>
      <c r="BG63" s="29"/>
      <c r="BH63" s="29"/>
      <c r="BI63" s="9">
        <f>M63</f>
        <v>0</v>
      </c>
      <c r="BJ63" s="76">
        <f t="shared" si="184"/>
        <v>0</v>
      </c>
      <c r="BK63" s="89"/>
      <c r="BL63" s="29"/>
      <c r="BM63" s="29"/>
      <c r="BN63" s="9">
        <f>N63</f>
        <v>0</v>
      </c>
      <c r="BO63" s="49">
        <f t="shared" si="185"/>
        <v>0</v>
      </c>
      <c r="BP63" s="89"/>
      <c r="BQ63" s="29"/>
      <c r="BR63" s="29"/>
      <c r="BS63" s="9">
        <f t="shared" si="186"/>
        <v>0</v>
      </c>
      <c r="BT63" s="49">
        <f t="shared" si="187"/>
        <v>0</v>
      </c>
      <c r="BU63" s="89"/>
      <c r="BV63" s="29"/>
      <c r="BW63" s="29"/>
      <c r="BX63" s="9">
        <f t="shared" ref="BX63" si="208">P63</f>
        <v>0</v>
      </c>
      <c r="BY63" s="49">
        <f t="shared" ref="BY63" si="209">P63-BU63-BV63-BW63-BX63</f>
        <v>0</v>
      </c>
      <c r="BZ63" s="89"/>
      <c r="CA63" s="29"/>
      <c r="CB63" s="29"/>
      <c r="CC63" s="9">
        <f t="shared" si="204"/>
        <v>0</v>
      </c>
      <c r="CD63" s="46">
        <f t="shared" si="189"/>
        <v>0</v>
      </c>
      <c r="CE63" s="1406">
        <v>1</v>
      </c>
      <c r="CF63" s="833">
        <f t="shared" ref="CF63" si="210">CE63</f>
        <v>1</v>
      </c>
      <c r="CG63" s="833">
        <f t="shared" ref="CG63" si="211">CF63</f>
        <v>1</v>
      </c>
      <c r="CH63" s="833">
        <f t="shared" ref="CH63" si="212">CG63</f>
        <v>1</v>
      </c>
      <c r="CI63" s="833">
        <f t="shared" ref="CI63" si="213">CH63</f>
        <v>1</v>
      </c>
      <c r="CJ63" s="833">
        <f t="shared" ref="CJ63" si="214">CI63</f>
        <v>1</v>
      </c>
      <c r="CK63" s="833">
        <f t="shared" ref="CK63" si="215">CJ63</f>
        <v>1</v>
      </c>
      <c r="CL63" s="833">
        <f t="shared" ref="CL63" si="216">CK63</f>
        <v>1</v>
      </c>
      <c r="CM63" s="833">
        <f t="shared" ref="CM63" si="217">CL63</f>
        <v>1</v>
      </c>
      <c r="CN63" s="833">
        <f t="shared" ref="CN63" si="218">CM63</f>
        <v>1</v>
      </c>
      <c r="CO63" s="833">
        <f t="shared" si="207"/>
        <v>1</v>
      </c>
      <c r="CP63" s="833">
        <f t="shared" si="207"/>
        <v>1</v>
      </c>
      <c r="CQ63" s="833">
        <f t="shared" si="207"/>
        <v>1</v>
      </c>
      <c r="CR63" s="833"/>
      <c r="CS63" s="1125">
        <f t="shared" ref="CS63" si="219">ROUND(CE63*E63,-3)</f>
        <v>0</v>
      </c>
      <c r="CT63" s="31">
        <f t="shared" ref="CT63" si="220">ROUND(CF63*F63,-3)</f>
        <v>65000</v>
      </c>
      <c r="CU63" s="31">
        <f t="shared" ref="CU63" si="221">ROUND(CG63*G63,-3)</f>
        <v>0</v>
      </c>
      <c r="CV63" s="31">
        <f t="shared" ref="CV63" si="222">ROUND(CH63*H63,-3)</f>
        <v>0</v>
      </c>
      <c r="CW63" s="31">
        <f t="shared" ref="CW63" si="223">ROUND(CI63*I63,-3)</f>
        <v>0</v>
      </c>
      <c r="CX63" s="31">
        <f t="shared" ref="CX63" si="224">ROUND(CJ63*J63,-3)</f>
        <v>0</v>
      </c>
      <c r="CY63" s="31">
        <f t="shared" ref="CY63" si="225">ROUND(CK63*K63,-3)</f>
        <v>0</v>
      </c>
      <c r="CZ63" s="31">
        <f t="shared" ref="CZ63" si="226">ROUND(CL63*L63,-3)</f>
        <v>0</v>
      </c>
      <c r="DA63" s="31">
        <f t="shared" ref="DA63" si="227">ROUND(CM63*M63,-3)</f>
        <v>0</v>
      </c>
      <c r="DB63" s="31">
        <f t="shared" ref="DB63" si="228">ROUND(CN63*N63,-3)</f>
        <v>0</v>
      </c>
      <c r="DC63" s="31">
        <f t="shared" ref="DC63" si="229">ROUND(CO63*O63,-3)</f>
        <v>0</v>
      </c>
      <c r="DD63" s="31">
        <f t="shared" ref="DD63:DE63" si="230">ROUND(CP63*P63,-3)</f>
        <v>0</v>
      </c>
      <c r="DE63" s="78">
        <f t="shared" si="230"/>
        <v>0</v>
      </c>
    </row>
    <row r="64" spans="1:109" s="39" customFormat="1" ht="13.5" thickTop="1" x14ac:dyDescent="0.2">
      <c r="A64" s="294" t="s">
        <v>2393</v>
      </c>
      <c r="B64" s="1359"/>
      <c r="C64" s="1336"/>
      <c r="D64" s="1387"/>
      <c r="E64" s="69">
        <f>SUBTOTAL(9,E57:E62)</f>
        <v>2879400</v>
      </c>
      <c r="F64" s="109">
        <f t="shared" ref="F64:AL64" si="231">SUBTOTAL(9,F57:F63)</f>
        <v>699400</v>
      </c>
      <c r="G64" s="109">
        <f t="shared" si="231"/>
        <v>3493000</v>
      </c>
      <c r="H64" s="109">
        <f t="shared" si="231"/>
        <v>3200000</v>
      </c>
      <c r="I64" s="109">
        <f t="shared" si="231"/>
        <v>200000</v>
      </c>
      <c r="J64" s="109">
        <f t="shared" si="231"/>
        <v>200000</v>
      </c>
      <c r="K64" s="109">
        <f t="shared" si="231"/>
        <v>100000</v>
      </c>
      <c r="L64" s="109">
        <f t="shared" si="231"/>
        <v>503000</v>
      </c>
      <c r="M64" s="109">
        <f t="shared" si="231"/>
        <v>2106000</v>
      </c>
      <c r="N64" s="109">
        <f t="shared" si="231"/>
        <v>2109000</v>
      </c>
      <c r="O64" s="109">
        <f t="shared" si="231"/>
        <v>1612000</v>
      </c>
      <c r="P64" s="109">
        <f t="shared" si="231"/>
        <v>1615000</v>
      </c>
      <c r="Q64" s="109">
        <f t="shared" ref="Q64" si="232">SUBTOTAL(9,Q57:Q63)</f>
        <v>1918000</v>
      </c>
      <c r="R64" s="109">
        <f t="shared" si="231"/>
        <v>2207000</v>
      </c>
      <c r="S64" s="109">
        <f t="shared" si="231"/>
        <v>0</v>
      </c>
      <c r="T64" s="109">
        <f t="shared" si="231"/>
        <v>500000</v>
      </c>
      <c r="U64" s="109">
        <f t="shared" si="231"/>
        <v>160300</v>
      </c>
      <c r="V64" s="109">
        <f t="shared" si="231"/>
        <v>12100</v>
      </c>
      <c r="W64" s="109">
        <v>400</v>
      </c>
      <c r="X64" s="109">
        <f t="shared" si="231"/>
        <v>0</v>
      </c>
      <c r="Y64" s="109">
        <f t="shared" si="231"/>
        <v>0</v>
      </c>
      <c r="Z64" s="109">
        <f t="shared" si="231"/>
        <v>699000</v>
      </c>
      <c r="AA64" s="274">
        <f t="shared" si="231"/>
        <v>0</v>
      </c>
      <c r="AB64" s="273">
        <f t="shared" si="231"/>
        <v>1000000</v>
      </c>
      <c r="AC64" s="109">
        <f t="shared" si="231"/>
        <v>0</v>
      </c>
      <c r="AD64" s="109">
        <f t="shared" si="231"/>
        <v>2400000</v>
      </c>
      <c r="AE64" s="109">
        <f t="shared" si="231"/>
        <v>93000</v>
      </c>
      <c r="AF64" s="109">
        <f t="shared" si="231"/>
        <v>0</v>
      </c>
      <c r="AG64" s="109">
        <f t="shared" si="231"/>
        <v>0</v>
      </c>
      <c r="AH64" s="109">
        <f t="shared" si="231"/>
        <v>0</v>
      </c>
      <c r="AI64" s="109">
        <f t="shared" si="231"/>
        <v>0</v>
      </c>
      <c r="AJ64" s="109">
        <f t="shared" si="231"/>
        <v>3200000</v>
      </c>
      <c r="AK64" s="109">
        <f t="shared" si="231"/>
        <v>0</v>
      </c>
      <c r="AL64" s="109">
        <f t="shared" si="231"/>
        <v>0</v>
      </c>
      <c r="AM64" s="109">
        <f t="shared" ref="AM64:BR64" si="233">SUBTOTAL(9,AM57:AM63)</f>
        <v>0</v>
      </c>
      <c r="AN64" s="109">
        <f t="shared" si="233"/>
        <v>0</v>
      </c>
      <c r="AO64" s="109">
        <f t="shared" si="233"/>
        <v>200000</v>
      </c>
      <c r="AP64" s="221">
        <f t="shared" si="233"/>
        <v>0</v>
      </c>
      <c r="AQ64" s="69">
        <f t="shared" si="233"/>
        <v>0</v>
      </c>
      <c r="AR64" s="109">
        <f t="shared" si="233"/>
        <v>0</v>
      </c>
      <c r="AS64" s="109">
        <f t="shared" si="233"/>
        <v>0</v>
      </c>
      <c r="AT64" s="109">
        <f t="shared" si="233"/>
        <v>200000</v>
      </c>
      <c r="AU64" s="238">
        <f t="shared" si="233"/>
        <v>0</v>
      </c>
      <c r="AV64" s="69">
        <f t="shared" si="233"/>
        <v>0</v>
      </c>
      <c r="AW64" s="109">
        <f t="shared" si="233"/>
        <v>0</v>
      </c>
      <c r="AX64" s="109">
        <f t="shared" si="233"/>
        <v>0</v>
      </c>
      <c r="AY64" s="109">
        <f t="shared" si="233"/>
        <v>100000</v>
      </c>
      <c r="AZ64" s="109">
        <f t="shared" si="233"/>
        <v>0</v>
      </c>
      <c r="BA64" s="109">
        <f t="shared" si="233"/>
        <v>0</v>
      </c>
      <c r="BB64" s="109">
        <f t="shared" si="233"/>
        <v>0</v>
      </c>
      <c r="BC64" s="109">
        <f t="shared" si="233"/>
        <v>0</v>
      </c>
      <c r="BD64" s="109">
        <f t="shared" si="233"/>
        <v>503000</v>
      </c>
      <c r="BE64" s="109">
        <f t="shared" si="233"/>
        <v>0</v>
      </c>
      <c r="BF64" s="109">
        <f t="shared" si="233"/>
        <v>0</v>
      </c>
      <c r="BG64" s="109">
        <f t="shared" si="233"/>
        <v>0</v>
      </c>
      <c r="BH64" s="109">
        <f t="shared" si="233"/>
        <v>0</v>
      </c>
      <c r="BI64" s="109">
        <f t="shared" si="233"/>
        <v>2106000</v>
      </c>
      <c r="BJ64" s="109">
        <f t="shared" si="233"/>
        <v>0</v>
      </c>
      <c r="BK64" s="109">
        <f t="shared" si="233"/>
        <v>0</v>
      </c>
      <c r="BL64" s="109">
        <f t="shared" si="233"/>
        <v>0</v>
      </c>
      <c r="BM64" s="109">
        <f t="shared" si="233"/>
        <v>0</v>
      </c>
      <c r="BN64" s="109">
        <f t="shared" si="233"/>
        <v>2109000</v>
      </c>
      <c r="BO64" s="109">
        <f t="shared" si="233"/>
        <v>0</v>
      </c>
      <c r="BP64" s="109">
        <f t="shared" si="233"/>
        <v>0</v>
      </c>
      <c r="BQ64" s="109">
        <f t="shared" si="233"/>
        <v>0</v>
      </c>
      <c r="BR64" s="109">
        <f t="shared" si="233"/>
        <v>0</v>
      </c>
      <c r="BS64" s="109">
        <f t="shared" ref="BS64:BY64" si="234">SUBTOTAL(9,BS57:BS63)</f>
        <v>1612000</v>
      </c>
      <c r="BT64" s="109">
        <f t="shared" si="234"/>
        <v>0</v>
      </c>
      <c r="BU64" s="109">
        <f t="shared" si="234"/>
        <v>0</v>
      </c>
      <c r="BV64" s="109">
        <f t="shared" si="234"/>
        <v>0</v>
      </c>
      <c r="BW64" s="109">
        <f t="shared" si="234"/>
        <v>0</v>
      </c>
      <c r="BX64" s="109">
        <f t="shared" si="234"/>
        <v>1615000</v>
      </c>
      <c r="BY64" s="109">
        <f t="shared" si="234"/>
        <v>0</v>
      </c>
      <c r="BZ64" s="109">
        <f t="shared" ref="BZ64:CD64" si="235">SUBTOTAL(9,BZ57:BZ63)</f>
        <v>0</v>
      </c>
      <c r="CA64" s="109">
        <f t="shared" si="235"/>
        <v>0</v>
      </c>
      <c r="CB64" s="109">
        <f t="shared" si="235"/>
        <v>0</v>
      </c>
      <c r="CC64" s="109">
        <f t="shared" si="235"/>
        <v>1918000</v>
      </c>
      <c r="CD64" s="109">
        <f t="shared" si="235"/>
        <v>0</v>
      </c>
      <c r="CE64" s="1405"/>
      <c r="CF64" s="538"/>
      <c r="CG64" s="466"/>
      <c r="CH64" s="466"/>
      <c r="CI64" s="466"/>
      <c r="CJ64" s="466"/>
      <c r="CK64" s="466"/>
      <c r="CL64" s="466"/>
      <c r="CM64" s="466"/>
      <c r="CN64" s="466"/>
      <c r="CO64" s="466"/>
      <c r="CP64" s="466"/>
      <c r="CQ64" s="466"/>
      <c r="CR64" s="466"/>
      <c r="CS64" s="1043"/>
      <c r="CT64" s="27"/>
      <c r="CU64" s="27"/>
      <c r="CV64" s="27"/>
      <c r="CW64" s="27"/>
      <c r="CX64" s="27"/>
      <c r="CY64" s="27"/>
      <c r="CZ64" s="27"/>
      <c r="DA64" s="27"/>
      <c r="DB64" s="27"/>
      <c r="DC64" s="27"/>
      <c r="DD64" s="27"/>
      <c r="DE64" s="62"/>
    </row>
    <row r="65" spans="1:109" ht="13.5" thickBot="1" x14ac:dyDescent="0.25">
      <c r="A65" s="296"/>
      <c r="B65" s="1269"/>
      <c r="C65" s="1337"/>
      <c r="D65" s="1333"/>
      <c r="E65" s="89"/>
      <c r="F65" s="9"/>
      <c r="G65" s="9"/>
      <c r="H65" s="9"/>
      <c r="I65" s="23"/>
      <c r="J65" s="89"/>
      <c r="K65" s="9"/>
      <c r="L65" s="9"/>
      <c r="M65" s="89"/>
      <c r="N65" s="9"/>
      <c r="O65" s="9"/>
      <c r="P65" s="9"/>
      <c r="Q65" s="49"/>
      <c r="R65" s="89"/>
      <c r="S65" s="9"/>
      <c r="T65" s="9"/>
      <c r="U65" s="9"/>
      <c r="V65" s="29"/>
      <c r="W65" s="133"/>
      <c r="X65" s="9"/>
      <c r="Y65" s="46"/>
      <c r="Z65" s="9"/>
      <c r="AB65" s="133"/>
      <c r="AC65" s="9"/>
      <c r="AD65" s="9"/>
      <c r="AE65" s="9"/>
      <c r="AF65" s="49"/>
      <c r="AG65" s="89"/>
      <c r="AH65" s="9"/>
      <c r="AI65" s="9"/>
      <c r="AJ65" s="9"/>
      <c r="AK65" s="49"/>
      <c r="AL65" s="89"/>
      <c r="AM65" s="9"/>
      <c r="AN65" s="9"/>
      <c r="AO65" s="23"/>
      <c r="AP65" s="49"/>
      <c r="AQ65" s="89"/>
      <c r="AR65" s="9"/>
      <c r="AS65" s="9"/>
      <c r="AT65" s="9"/>
      <c r="AU65" s="61"/>
      <c r="AW65" s="9"/>
      <c r="AX65" s="9"/>
      <c r="AY65" s="9"/>
      <c r="AZ65" s="49">
        <f>K65-AV65-AW65-AX65-AY65</f>
        <v>0</v>
      </c>
      <c r="BA65" s="89"/>
      <c r="BB65" s="9"/>
      <c r="BC65" s="9"/>
      <c r="BD65" s="9"/>
      <c r="BE65" s="49"/>
      <c r="BF65" s="89"/>
      <c r="BG65" s="9"/>
      <c r="BH65" s="9"/>
      <c r="BI65" s="9"/>
      <c r="BJ65" s="76"/>
      <c r="BK65" s="89"/>
      <c r="BL65" s="9"/>
      <c r="BM65" s="9"/>
      <c r="BN65" s="9"/>
      <c r="BO65" s="76"/>
      <c r="BP65" s="89"/>
      <c r="BQ65" s="9"/>
      <c r="BR65" s="9"/>
      <c r="BS65" s="9"/>
      <c r="BT65" s="76"/>
      <c r="BU65" s="89"/>
      <c r="BV65" s="9"/>
      <c r="BW65" s="9"/>
      <c r="BX65" s="9"/>
      <c r="BY65" s="76"/>
      <c r="BZ65" s="89"/>
      <c r="CA65" s="9"/>
      <c r="CB65" s="9"/>
      <c r="CC65" s="9"/>
      <c r="CD65" s="29"/>
      <c r="CE65" s="1405"/>
      <c r="CF65" s="538"/>
      <c r="CG65" s="538"/>
      <c r="CH65" s="538"/>
      <c r="CI65" s="538"/>
      <c r="CJ65" s="538"/>
      <c r="CK65" s="538"/>
      <c r="CL65" s="538"/>
      <c r="CM65" s="538"/>
      <c r="CN65" s="538"/>
      <c r="CO65" s="538"/>
      <c r="CP65" s="538"/>
      <c r="CQ65" s="538"/>
      <c r="CR65" s="538"/>
      <c r="CS65" s="350"/>
      <c r="CT65" s="46"/>
      <c r="CU65" s="46"/>
      <c r="CV65" s="46"/>
      <c r="CW65" s="46"/>
      <c r="CX65" s="46"/>
      <c r="CY65" s="46"/>
      <c r="CZ65" s="46"/>
      <c r="DA65" s="46"/>
      <c r="DB65" s="46"/>
      <c r="DC65" s="46"/>
      <c r="DD65" s="46"/>
      <c r="DE65" s="61"/>
    </row>
    <row r="66" spans="1:109" s="39" customFormat="1" ht="14.25" thickTop="1" thickBot="1" x14ac:dyDescent="0.25">
      <c r="A66" s="796" t="s">
        <v>3300</v>
      </c>
      <c r="B66" s="1357"/>
      <c r="C66" s="1334"/>
      <c r="D66" s="1385"/>
      <c r="E66" s="300">
        <f t="shared" ref="E66:V66" si="236">SUBTOTAL(9,E28:E65)</f>
        <v>3750700</v>
      </c>
      <c r="F66" s="300">
        <f t="shared" si="236"/>
        <v>2171600</v>
      </c>
      <c r="G66" s="300">
        <f t="shared" si="236"/>
        <v>7672800</v>
      </c>
      <c r="H66" s="300">
        <f t="shared" si="236"/>
        <v>7463000</v>
      </c>
      <c r="I66" s="300">
        <f t="shared" si="236"/>
        <v>6624000</v>
      </c>
      <c r="J66" s="300">
        <f t="shared" si="236"/>
        <v>1195000</v>
      </c>
      <c r="K66" s="300">
        <f t="shared" si="236"/>
        <v>147000</v>
      </c>
      <c r="L66" s="300">
        <f t="shared" si="236"/>
        <v>552000</v>
      </c>
      <c r="M66" s="300">
        <f t="shared" si="236"/>
        <v>3657000</v>
      </c>
      <c r="N66" s="300">
        <f t="shared" si="236"/>
        <v>2162000</v>
      </c>
      <c r="O66" s="300">
        <f t="shared" si="236"/>
        <v>1667000</v>
      </c>
      <c r="P66" s="300">
        <f t="shared" si="236"/>
        <v>1672000</v>
      </c>
      <c r="Q66" s="305">
        <f t="shared" ref="Q66" si="237">SUBTOTAL(9,Q28:Q65)</f>
        <v>1977000</v>
      </c>
      <c r="R66" s="302">
        <f t="shared" si="236"/>
        <v>2207000</v>
      </c>
      <c r="S66" s="302">
        <f t="shared" si="236"/>
        <v>0</v>
      </c>
      <c r="T66" s="302">
        <f t="shared" si="236"/>
        <v>500000</v>
      </c>
      <c r="U66" s="302">
        <f t="shared" si="236"/>
        <v>1211200</v>
      </c>
      <c r="V66" s="306">
        <f t="shared" si="236"/>
        <v>-167500</v>
      </c>
      <c r="W66" s="307">
        <v>400</v>
      </c>
      <c r="X66" s="302">
        <f t="shared" ref="X66:BC66" si="238">SUBTOTAL(9,X28:X65)</f>
        <v>0</v>
      </c>
      <c r="Y66" s="302">
        <f t="shared" si="238"/>
        <v>0</v>
      </c>
      <c r="Z66" s="302">
        <f t="shared" si="238"/>
        <v>2063500</v>
      </c>
      <c r="AA66" s="306">
        <f t="shared" si="238"/>
        <v>107700</v>
      </c>
      <c r="AB66" s="307">
        <f t="shared" si="238"/>
        <v>1000000</v>
      </c>
      <c r="AC66" s="302">
        <f t="shared" si="238"/>
        <v>0</v>
      </c>
      <c r="AD66" s="302">
        <f t="shared" si="238"/>
        <v>2400000</v>
      </c>
      <c r="AE66" s="302">
        <f t="shared" si="238"/>
        <v>4250800</v>
      </c>
      <c r="AF66" s="301">
        <f t="shared" si="238"/>
        <v>22000</v>
      </c>
      <c r="AG66" s="302">
        <f t="shared" si="238"/>
        <v>0</v>
      </c>
      <c r="AH66" s="302">
        <f t="shared" si="238"/>
        <v>0</v>
      </c>
      <c r="AI66" s="302">
        <f t="shared" si="238"/>
        <v>0</v>
      </c>
      <c r="AJ66" s="302">
        <f t="shared" si="238"/>
        <v>7440000</v>
      </c>
      <c r="AK66" s="301">
        <f t="shared" si="238"/>
        <v>23000</v>
      </c>
      <c r="AL66" s="302">
        <f t="shared" si="238"/>
        <v>0</v>
      </c>
      <c r="AM66" s="302">
        <f t="shared" si="238"/>
        <v>0</v>
      </c>
      <c r="AN66" s="302">
        <f t="shared" si="238"/>
        <v>0</v>
      </c>
      <c r="AO66" s="302">
        <f t="shared" si="238"/>
        <v>6600000</v>
      </c>
      <c r="AP66" s="301">
        <f t="shared" si="238"/>
        <v>24000</v>
      </c>
      <c r="AQ66" s="302">
        <f t="shared" si="238"/>
        <v>0</v>
      </c>
      <c r="AR66" s="302">
        <f t="shared" si="238"/>
        <v>0</v>
      </c>
      <c r="AS66" s="302">
        <f t="shared" si="238"/>
        <v>0</v>
      </c>
      <c r="AT66" s="302">
        <f t="shared" si="238"/>
        <v>1170000</v>
      </c>
      <c r="AU66" s="303">
        <f t="shared" si="238"/>
        <v>25000</v>
      </c>
      <c r="AV66" s="302">
        <f t="shared" si="238"/>
        <v>0</v>
      </c>
      <c r="AW66" s="302">
        <f t="shared" si="238"/>
        <v>0</v>
      </c>
      <c r="AX66" s="302">
        <f t="shared" si="238"/>
        <v>0</v>
      </c>
      <c r="AY66" s="302">
        <f t="shared" si="238"/>
        <v>121000</v>
      </c>
      <c r="AZ66" s="301">
        <f t="shared" si="238"/>
        <v>26000</v>
      </c>
      <c r="BA66" s="302">
        <f t="shared" si="238"/>
        <v>0</v>
      </c>
      <c r="BB66" s="302">
        <f t="shared" si="238"/>
        <v>0</v>
      </c>
      <c r="BC66" s="302">
        <f t="shared" si="238"/>
        <v>0</v>
      </c>
      <c r="BD66" s="302">
        <f t="shared" ref="BD66:BY66" si="239">SUBTOTAL(9,BD28:BD65)</f>
        <v>525000</v>
      </c>
      <c r="BE66" s="301">
        <f t="shared" si="239"/>
        <v>27000</v>
      </c>
      <c r="BF66" s="302">
        <f t="shared" si="239"/>
        <v>0</v>
      </c>
      <c r="BG66" s="302">
        <f t="shared" si="239"/>
        <v>0</v>
      </c>
      <c r="BH66" s="302">
        <f t="shared" si="239"/>
        <v>0</v>
      </c>
      <c r="BI66" s="302">
        <f t="shared" si="239"/>
        <v>3629000</v>
      </c>
      <c r="BJ66" s="301">
        <f t="shared" si="239"/>
        <v>28000</v>
      </c>
      <c r="BK66" s="302">
        <f t="shared" si="239"/>
        <v>0</v>
      </c>
      <c r="BL66" s="302">
        <f t="shared" si="239"/>
        <v>0</v>
      </c>
      <c r="BM66" s="302">
        <f t="shared" si="239"/>
        <v>0</v>
      </c>
      <c r="BN66" s="302">
        <f t="shared" si="239"/>
        <v>2133000</v>
      </c>
      <c r="BO66" s="301">
        <f t="shared" si="239"/>
        <v>29000</v>
      </c>
      <c r="BP66" s="302">
        <f t="shared" si="239"/>
        <v>0</v>
      </c>
      <c r="BQ66" s="302">
        <f t="shared" si="239"/>
        <v>0</v>
      </c>
      <c r="BR66" s="302">
        <f t="shared" si="239"/>
        <v>0</v>
      </c>
      <c r="BS66" s="302">
        <f t="shared" si="239"/>
        <v>1637000</v>
      </c>
      <c r="BT66" s="301">
        <f t="shared" si="239"/>
        <v>30000</v>
      </c>
      <c r="BU66" s="302">
        <f t="shared" si="239"/>
        <v>0</v>
      </c>
      <c r="BV66" s="302">
        <f t="shared" si="239"/>
        <v>0</v>
      </c>
      <c r="BW66" s="302">
        <f t="shared" si="239"/>
        <v>0</v>
      </c>
      <c r="BX66" s="302">
        <f t="shared" si="239"/>
        <v>1641000</v>
      </c>
      <c r="BY66" s="301">
        <f t="shared" si="239"/>
        <v>31000</v>
      </c>
      <c r="BZ66" s="302">
        <f t="shared" ref="BZ66:CD66" si="240">SUBTOTAL(9,BZ28:BZ65)</f>
        <v>0</v>
      </c>
      <c r="CA66" s="302">
        <f t="shared" si="240"/>
        <v>0</v>
      </c>
      <c r="CB66" s="302">
        <f t="shared" si="240"/>
        <v>0</v>
      </c>
      <c r="CC66" s="302">
        <f t="shared" si="240"/>
        <v>1945000</v>
      </c>
      <c r="CD66" s="306">
        <f t="shared" si="240"/>
        <v>32000</v>
      </c>
      <c r="CE66" s="1405"/>
      <c r="CF66" s="538"/>
      <c r="CG66" s="466"/>
      <c r="CH66" s="466"/>
      <c r="CI66" s="466"/>
      <c r="CJ66" s="466"/>
      <c r="CK66" s="466"/>
      <c r="CL66" s="466"/>
      <c r="CM66" s="466"/>
      <c r="CN66" s="466"/>
      <c r="CO66" s="466"/>
      <c r="CP66" s="466"/>
      <c r="CQ66" s="466"/>
      <c r="CR66" s="466"/>
      <c r="CS66" s="1043"/>
      <c r="CT66" s="27"/>
      <c r="CU66" s="27"/>
      <c r="CV66" s="27"/>
      <c r="CW66" s="27"/>
      <c r="CX66" s="27"/>
      <c r="CY66" s="27"/>
      <c r="CZ66" s="27"/>
      <c r="DA66" s="27"/>
      <c r="DB66" s="27"/>
      <c r="DC66" s="27"/>
      <c r="DD66" s="27"/>
      <c r="DE66" s="62"/>
    </row>
    <row r="67" spans="1:109" s="39" customFormat="1" ht="13.5" thickTop="1" x14ac:dyDescent="0.2">
      <c r="A67" s="293"/>
      <c r="B67" s="1360"/>
      <c r="C67" s="1338"/>
      <c r="D67" s="1384"/>
      <c r="E67" s="75"/>
      <c r="F67" s="21"/>
      <c r="G67" s="21"/>
      <c r="H67" s="21"/>
      <c r="I67" s="32"/>
      <c r="J67" s="32"/>
      <c r="K67" s="32"/>
      <c r="L67" s="32"/>
      <c r="M67" s="21"/>
      <c r="N67" s="21"/>
      <c r="O67" s="21"/>
      <c r="P67" s="21"/>
      <c r="Q67" s="64"/>
      <c r="R67" s="75"/>
      <c r="S67" s="21"/>
      <c r="T67" s="21"/>
      <c r="U67" s="21"/>
      <c r="V67" s="32"/>
      <c r="W67" s="132"/>
      <c r="X67" s="21"/>
      <c r="Y67" s="27"/>
      <c r="Z67" s="21"/>
      <c r="AA67" s="27"/>
      <c r="AB67" s="132"/>
      <c r="AC67" s="21"/>
      <c r="AD67" s="21"/>
      <c r="AE67" s="21"/>
      <c r="AF67" s="64"/>
      <c r="AG67" s="75"/>
      <c r="AH67" s="21"/>
      <c r="AI67" s="21"/>
      <c r="AJ67" s="21"/>
      <c r="AK67" s="64"/>
      <c r="AL67" s="75"/>
      <c r="AM67" s="21"/>
      <c r="AN67" s="21"/>
      <c r="AO67" s="21"/>
      <c r="AP67" s="64"/>
      <c r="AQ67" s="75"/>
      <c r="AR67" s="21"/>
      <c r="AS67" s="21"/>
      <c r="AT67" s="21"/>
      <c r="AU67" s="62"/>
      <c r="AV67" s="27"/>
      <c r="AW67" s="21"/>
      <c r="AX67" s="21"/>
      <c r="AY67" s="21"/>
      <c r="AZ67" s="64"/>
      <c r="BA67" s="75"/>
      <c r="BB67" s="21"/>
      <c r="BC67" s="21"/>
      <c r="BD67" s="21"/>
      <c r="BE67" s="64"/>
      <c r="BF67" s="75"/>
      <c r="BG67" s="21"/>
      <c r="BH67" s="21"/>
      <c r="BI67" s="21"/>
      <c r="BJ67" s="283"/>
      <c r="BK67" s="75"/>
      <c r="BL67" s="21"/>
      <c r="BM67" s="21"/>
      <c r="BN67" s="21"/>
      <c r="BO67" s="283"/>
      <c r="BP67" s="75"/>
      <c r="BQ67" s="21"/>
      <c r="BR67" s="21"/>
      <c r="BS67" s="21"/>
      <c r="BT67" s="283"/>
      <c r="BU67" s="75"/>
      <c r="BV67" s="21"/>
      <c r="BW67" s="21"/>
      <c r="BX67" s="21"/>
      <c r="BY67" s="283"/>
      <c r="BZ67" s="75"/>
      <c r="CA67" s="21"/>
      <c r="CB67" s="21"/>
      <c r="CC67" s="21"/>
      <c r="CD67" s="32"/>
      <c r="CE67" s="1405"/>
      <c r="CF67" s="538"/>
      <c r="CG67" s="466"/>
      <c r="CH67" s="466"/>
      <c r="CI67" s="466"/>
      <c r="CJ67" s="466"/>
      <c r="CK67" s="466"/>
      <c r="CL67" s="466"/>
      <c r="CM67" s="466"/>
      <c r="CN67" s="466"/>
      <c r="CO67" s="466"/>
      <c r="CP67" s="466"/>
      <c r="CQ67" s="466"/>
      <c r="CR67" s="466"/>
      <c r="CS67" s="1043"/>
      <c r="CT67" s="27"/>
      <c r="CU67" s="27"/>
      <c r="CV67" s="27"/>
      <c r="CW67" s="27"/>
      <c r="CX67" s="27"/>
      <c r="CY67" s="27"/>
      <c r="CZ67" s="27"/>
      <c r="DA67" s="27"/>
      <c r="DB67" s="27"/>
      <c r="DC67" s="27"/>
      <c r="DD67" s="27"/>
      <c r="DE67" s="62"/>
    </row>
    <row r="68" spans="1:109" x14ac:dyDescent="0.2">
      <c r="A68" s="410" t="s">
        <v>3299</v>
      </c>
      <c r="B68" s="1361"/>
      <c r="C68" s="1339"/>
      <c r="D68" s="1386"/>
      <c r="E68" s="89"/>
      <c r="F68" s="9"/>
      <c r="G68" s="9"/>
      <c r="H68" s="9"/>
      <c r="I68" s="29"/>
      <c r="J68" s="29"/>
      <c r="K68" s="29"/>
      <c r="L68" s="29"/>
      <c r="M68" s="9"/>
      <c r="N68" s="9"/>
      <c r="O68" s="9"/>
      <c r="P68" s="9"/>
      <c r="Q68" s="49"/>
      <c r="R68" s="89"/>
      <c r="S68" s="9"/>
      <c r="T68" s="9"/>
      <c r="U68" s="9"/>
      <c r="V68" s="29"/>
      <c r="W68" s="133"/>
      <c r="X68" s="9"/>
      <c r="Y68" s="89"/>
      <c r="Z68" s="9"/>
      <c r="AA68" s="46">
        <f t="shared" ref="AA68:AA70" si="241">F68-W68-X68-Y68-Z68</f>
        <v>0</v>
      </c>
      <c r="AB68" s="133"/>
      <c r="AC68" s="9"/>
      <c r="AD68" s="9"/>
      <c r="AE68" s="9"/>
      <c r="AF68" s="76"/>
      <c r="AG68" s="89"/>
      <c r="AH68" s="9"/>
      <c r="AI68" s="9"/>
      <c r="AJ68" s="9"/>
      <c r="AK68" s="76"/>
      <c r="AL68" s="89"/>
      <c r="AM68" s="9"/>
      <c r="AN68" s="9"/>
      <c r="AO68" s="9"/>
      <c r="AP68" s="76"/>
      <c r="AQ68" s="89"/>
      <c r="AR68" s="9"/>
      <c r="AS68" s="9"/>
      <c r="AT68" s="9"/>
      <c r="AU68" s="47"/>
      <c r="AW68" s="9"/>
      <c r="AX68" s="9"/>
      <c r="AY68" s="9"/>
      <c r="AZ68" s="76"/>
      <c r="BA68" s="89"/>
      <c r="BB68" s="9"/>
      <c r="BC68" s="9"/>
      <c r="BD68" s="9"/>
      <c r="BE68" s="76"/>
      <c r="BF68" s="89"/>
      <c r="BG68" s="9"/>
      <c r="BH68" s="9"/>
      <c r="BI68" s="9"/>
      <c r="BJ68" s="76"/>
      <c r="BK68" s="89"/>
      <c r="BL68" s="9"/>
      <c r="BM68" s="9"/>
      <c r="BN68" s="9"/>
      <c r="BO68" s="76"/>
      <c r="BP68" s="89"/>
      <c r="BQ68" s="9"/>
      <c r="BR68" s="9"/>
      <c r="BS68" s="9"/>
      <c r="BT68" s="76"/>
      <c r="BU68" s="89"/>
      <c r="BV68" s="9"/>
      <c r="BW68" s="9"/>
      <c r="BX68" s="9"/>
      <c r="BY68" s="76"/>
      <c r="BZ68" s="89"/>
      <c r="CA68" s="9"/>
      <c r="CB68" s="9"/>
      <c r="CC68" s="9"/>
      <c r="CD68" s="29"/>
      <c r="CE68" s="1405"/>
      <c r="CF68" s="538"/>
      <c r="CG68" s="538"/>
      <c r="CH68" s="538"/>
      <c r="CI68" s="538"/>
      <c r="CJ68" s="538"/>
      <c r="CK68" s="538"/>
      <c r="CL68" s="538"/>
      <c r="CM68" s="538"/>
      <c r="CN68" s="538"/>
      <c r="CO68" s="538"/>
      <c r="CP68" s="538"/>
      <c r="CQ68" s="538"/>
      <c r="CR68" s="538"/>
      <c r="CS68" s="350"/>
      <c r="CT68" s="46"/>
      <c r="CU68" s="46"/>
      <c r="CV68" s="46"/>
      <c r="CW68" s="46"/>
      <c r="CX68" s="46"/>
      <c r="CY68" s="46"/>
      <c r="CZ68" s="46"/>
      <c r="DA68" s="46"/>
      <c r="DB68" s="46"/>
      <c r="DC68" s="46"/>
      <c r="DD68" s="46"/>
      <c r="DE68" s="61"/>
    </row>
    <row r="69" spans="1:109" x14ac:dyDescent="0.2">
      <c r="A69" s="413" t="s">
        <v>978</v>
      </c>
      <c r="B69" s="1360"/>
      <c r="C69" s="1338"/>
      <c r="D69" s="1384"/>
      <c r="E69" s="89"/>
      <c r="F69" s="9"/>
      <c r="G69" s="9"/>
      <c r="H69" s="9"/>
      <c r="I69" s="29"/>
      <c r="J69" s="29"/>
      <c r="K69" s="29"/>
      <c r="L69" s="29"/>
      <c r="M69" s="9"/>
      <c r="N69" s="9"/>
      <c r="O69" s="9"/>
      <c r="P69" s="9"/>
      <c r="Q69" s="49"/>
      <c r="R69" s="89"/>
      <c r="S69" s="9"/>
      <c r="T69" s="9"/>
      <c r="U69" s="9"/>
      <c r="V69" s="29"/>
      <c r="W69" s="133"/>
      <c r="X69" s="9"/>
      <c r="Y69" s="46"/>
      <c r="Z69" s="9"/>
      <c r="AA69" s="46">
        <f t="shared" si="241"/>
        <v>0</v>
      </c>
      <c r="AB69" s="133"/>
      <c r="AC69" s="9"/>
      <c r="AD69" s="9"/>
      <c r="AE69" s="9"/>
      <c r="AF69" s="49"/>
      <c r="AG69" s="89"/>
      <c r="AH69" s="9"/>
      <c r="AI69" s="9"/>
      <c r="AJ69" s="9"/>
      <c r="AK69" s="49"/>
      <c r="AL69" s="89"/>
      <c r="AM69" s="9"/>
      <c r="AN69" s="9"/>
      <c r="AO69" s="9"/>
      <c r="AP69" s="49"/>
      <c r="AQ69" s="89"/>
      <c r="AR69" s="9"/>
      <c r="AS69" s="9"/>
      <c r="AT69" s="9"/>
      <c r="AU69" s="61"/>
      <c r="AW69" s="9"/>
      <c r="AX69" s="9"/>
      <c r="AY69" s="9"/>
      <c r="AZ69" s="49"/>
      <c r="BA69" s="89"/>
      <c r="BB69" s="9"/>
      <c r="BC69" s="9"/>
      <c r="BD69" s="9"/>
      <c r="BE69" s="49"/>
      <c r="BF69" s="89"/>
      <c r="BG69" s="9"/>
      <c r="BH69" s="9"/>
      <c r="BI69" s="9"/>
      <c r="BJ69" s="76"/>
      <c r="BK69" s="89"/>
      <c r="BL69" s="9"/>
      <c r="BM69" s="9"/>
      <c r="BN69" s="9"/>
      <c r="BO69" s="76"/>
      <c r="BP69" s="89"/>
      <c r="BQ69" s="9"/>
      <c r="BR69" s="9"/>
      <c r="BS69" s="9"/>
      <c r="BT69" s="76"/>
      <c r="BU69" s="89"/>
      <c r="BV69" s="9"/>
      <c r="BW69" s="9"/>
      <c r="BX69" s="9"/>
      <c r="BY69" s="76"/>
      <c r="BZ69" s="89"/>
      <c r="CA69" s="9"/>
      <c r="CB69" s="9"/>
      <c r="CC69" s="9"/>
      <c r="CD69" s="29"/>
      <c r="CE69" s="1405"/>
      <c r="CF69" s="538"/>
      <c r="CG69" s="538"/>
      <c r="CH69" s="538"/>
      <c r="CI69" s="538"/>
      <c r="CJ69" s="538"/>
      <c r="CK69" s="538"/>
      <c r="CL69" s="538"/>
      <c r="CM69" s="538"/>
      <c r="CN69" s="538"/>
      <c r="CO69" s="538"/>
      <c r="CP69" s="538"/>
      <c r="CQ69" s="538"/>
      <c r="CR69" s="538"/>
      <c r="CS69" s="350"/>
      <c r="CT69" s="46"/>
      <c r="CU69" s="46"/>
      <c r="CV69" s="46"/>
      <c r="CW69" s="46"/>
      <c r="CX69" s="46"/>
      <c r="CY69" s="46"/>
      <c r="CZ69" s="46"/>
      <c r="DA69" s="46"/>
      <c r="DB69" s="46"/>
      <c r="DC69" s="46"/>
      <c r="DD69" s="46"/>
      <c r="DE69" s="61"/>
    </row>
    <row r="70" spans="1:109" x14ac:dyDescent="0.2">
      <c r="A70" s="615" t="s">
        <v>11932</v>
      </c>
      <c r="B70" s="1358" t="s">
        <v>5146</v>
      </c>
      <c r="C70" s="1335" t="s">
        <v>5145</v>
      </c>
      <c r="D70" s="1330" t="s">
        <v>5145</v>
      </c>
      <c r="E70" s="89">
        <v>0</v>
      </c>
      <c r="F70" s="9"/>
      <c r="G70" s="9">
        <f>208000+714000-472000+366000</f>
        <v>816000</v>
      </c>
      <c r="H70" s="9"/>
      <c r="I70" s="29"/>
      <c r="J70" s="29"/>
      <c r="K70" s="29"/>
      <c r="L70" s="29"/>
      <c r="M70" s="9"/>
      <c r="N70" s="9"/>
      <c r="O70" s="9"/>
      <c r="P70" s="9"/>
      <c r="Q70" s="49"/>
      <c r="R70" s="89">
        <f>'Cap Inc'!B22</f>
        <v>0</v>
      </c>
      <c r="S70" s="9"/>
      <c r="T70" s="9"/>
      <c r="U70" s="9"/>
      <c r="V70" s="29">
        <f>E70-R70-S70-T70-U70</f>
        <v>0</v>
      </c>
      <c r="W70" s="133"/>
      <c r="X70" s="9">
        <f>'Sec 94'!F40</f>
        <v>0</v>
      </c>
      <c r="Y70" s="46"/>
      <c r="Z70" s="9"/>
      <c r="AA70" s="46">
        <f t="shared" si="241"/>
        <v>0</v>
      </c>
      <c r="AB70" s="133">
        <f>SUM('Cap Inc'!F22:F22)</f>
        <v>181900</v>
      </c>
      <c r="AC70" s="9">
        <f>'Sec 94'!G40</f>
        <v>109200</v>
      </c>
      <c r="AD70" s="9"/>
      <c r="AE70" s="9">
        <f>G70-AC70-AB70</f>
        <v>524900</v>
      </c>
      <c r="AF70" s="49">
        <f>G70-AB70-AC70-AD70-AE70</f>
        <v>0</v>
      </c>
      <c r="AG70" s="89">
        <f>SUM('Cap Inc'!G22:G22)</f>
        <v>0</v>
      </c>
      <c r="AH70" s="9">
        <f>'Sec 94'!H40</f>
        <v>0</v>
      </c>
      <c r="AI70" s="9"/>
      <c r="AJ70" s="9"/>
      <c r="AK70" s="49">
        <f>H70-AG70-AH70-AI70-AJ70</f>
        <v>0</v>
      </c>
      <c r="AL70" s="89">
        <f>SUM('Cap Inc'!H22:H22)</f>
        <v>0</v>
      </c>
      <c r="AM70" s="9">
        <f>'Sec 94'!I40</f>
        <v>0</v>
      </c>
      <c r="AN70" s="9"/>
      <c r="AO70" s="9"/>
      <c r="AP70" s="49">
        <f>I70-AL70-AM70-AN70-AO70</f>
        <v>0</v>
      </c>
      <c r="AQ70" s="89">
        <f>SUM('Cap Inc'!I22:I22)</f>
        <v>0</v>
      </c>
      <c r="AR70" s="9"/>
      <c r="AS70" s="9"/>
      <c r="AT70" s="9"/>
      <c r="AU70" s="61">
        <f>J70-AQ70-AR70-AS70-AT70</f>
        <v>0</v>
      </c>
      <c r="AW70" s="9"/>
      <c r="AX70" s="9"/>
      <c r="AY70" s="9"/>
      <c r="AZ70" s="49">
        <f>K70-AV70-AW70-AX70-AY70</f>
        <v>0</v>
      </c>
      <c r="BA70" s="89"/>
      <c r="BB70" s="9"/>
      <c r="BC70" s="9"/>
      <c r="BD70" s="9"/>
      <c r="BE70" s="49">
        <f>L70-BA70-BB70-BC70-BD70</f>
        <v>0</v>
      </c>
      <c r="BF70" s="89"/>
      <c r="BG70" s="9"/>
      <c r="BH70" s="9"/>
      <c r="BI70" s="9"/>
      <c r="BJ70" s="76">
        <f>M70-BF70-BG70-BH70-BI70</f>
        <v>0</v>
      </c>
      <c r="BK70" s="89"/>
      <c r="BL70" s="9"/>
      <c r="BM70" s="9"/>
      <c r="BN70" s="9"/>
      <c r="BO70" s="76">
        <f>N70-BK70-BL70-BM70-BN70</f>
        <v>0</v>
      </c>
      <c r="BP70" s="89"/>
      <c r="BQ70" s="9"/>
      <c r="BR70" s="9"/>
      <c r="BS70" s="9"/>
      <c r="BT70" s="49">
        <f>O70-BP70-BQ70-BR70-BS70</f>
        <v>0</v>
      </c>
      <c r="BU70" s="89"/>
      <c r="BV70" s="9"/>
      <c r="BW70" s="9"/>
      <c r="BX70" s="9"/>
      <c r="BY70" s="49">
        <f t="shared" ref="BY70" si="242">P70-BU70-BV70-BW70-BX70</f>
        <v>0</v>
      </c>
      <c r="BZ70" s="89"/>
      <c r="CA70" s="9"/>
      <c r="CB70" s="9"/>
      <c r="CC70" s="9"/>
      <c r="CD70" s="46">
        <f t="shared" ref="CD70" si="243">U70-BZ70-CA70-CB70-CC70</f>
        <v>0</v>
      </c>
      <c r="CE70" s="1406">
        <v>0.25</v>
      </c>
      <c r="CF70" s="833">
        <f t="shared" ref="CF70" si="244">CE70</f>
        <v>0.25</v>
      </c>
      <c r="CG70" s="833">
        <f t="shared" ref="CG70" si="245">CF70</f>
        <v>0.25</v>
      </c>
      <c r="CH70" s="833">
        <f t="shared" ref="CH70" si="246">CG70</f>
        <v>0.25</v>
      </c>
      <c r="CI70" s="833">
        <f t="shared" ref="CI70" si="247">CH70</f>
        <v>0.25</v>
      </c>
      <c r="CJ70" s="833">
        <f t="shared" ref="CJ70" si="248">CI70</f>
        <v>0.25</v>
      </c>
      <c r="CK70" s="833">
        <f t="shared" ref="CK70" si="249">CJ70</f>
        <v>0.25</v>
      </c>
      <c r="CL70" s="833">
        <f t="shared" ref="CL70" si="250">CK70</f>
        <v>0.25</v>
      </c>
      <c r="CM70" s="833">
        <f t="shared" ref="CM70:CN70" si="251">CL70</f>
        <v>0.25</v>
      </c>
      <c r="CN70" s="833">
        <f t="shared" si="251"/>
        <v>0.25</v>
      </c>
      <c r="CO70" s="833">
        <f>CN70</f>
        <v>0.25</v>
      </c>
      <c r="CP70" s="833">
        <f>CO70</f>
        <v>0.25</v>
      </c>
      <c r="CQ70" s="833">
        <f>CP70</f>
        <v>0.25</v>
      </c>
      <c r="CR70" s="833"/>
      <c r="CS70" s="1125">
        <f t="shared" ref="CS70:DE70" si="252">ROUND(CE70*E70,-3)</f>
        <v>0</v>
      </c>
      <c r="CT70" s="31">
        <f t="shared" si="252"/>
        <v>0</v>
      </c>
      <c r="CU70" s="31">
        <f t="shared" si="252"/>
        <v>204000</v>
      </c>
      <c r="CV70" s="31">
        <f t="shared" si="252"/>
        <v>0</v>
      </c>
      <c r="CW70" s="31">
        <f t="shared" si="252"/>
        <v>0</v>
      </c>
      <c r="CX70" s="31">
        <f t="shared" si="252"/>
        <v>0</v>
      </c>
      <c r="CY70" s="31">
        <f t="shared" si="252"/>
        <v>0</v>
      </c>
      <c r="CZ70" s="31">
        <f t="shared" si="252"/>
        <v>0</v>
      </c>
      <c r="DA70" s="31">
        <f t="shared" si="252"/>
        <v>0</v>
      </c>
      <c r="DB70" s="31">
        <f t="shared" si="252"/>
        <v>0</v>
      </c>
      <c r="DC70" s="31">
        <f t="shared" si="252"/>
        <v>0</v>
      </c>
      <c r="DD70" s="31">
        <f t="shared" si="252"/>
        <v>0</v>
      </c>
      <c r="DE70" s="78">
        <f t="shared" si="252"/>
        <v>0</v>
      </c>
    </row>
    <row r="71" spans="1:109" ht="12.75" customHeight="1" x14ac:dyDescent="0.2">
      <c r="A71" s="292"/>
      <c r="B71" s="1362"/>
      <c r="C71" s="1340"/>
      <c r="D71" s="1388"/>
      <c r="E71" s="89"/>
      <c r="F71" s="9"/>
      <c r="G71" s="9"/>
      <c r="H71" s="9"/>
      <c r="I71" s="29"/>
      <c r="J71" s="29"/>
      <c r="K71" s="29"/>
      <c r="L71" s="29"/>
      <c r="M71" s="9"/>
      <c r="N71" s="9"/>
      <c r="O71" s="9"/>
      <c r="P71" s="9"/>
      <c r="Q71" s="49"/>
      <c r="R71" s="89"/>
      <c r="S71" s="9"/>
      <c r="T71" s="9"/>
      <c r="U71" s="9"/>
      <c r="V71" s="29"/>
      <c r="W71" s="133"/>
      <c r="X71" s="9"/>
      <c r="Y71" s="46"/>
      <c r="Z71" s="9"/>
      <c r="AB71" s="133"/>
      <c r="AC71" s="9"/>
      <c r="AD71" s="9"/>
      <c r="AE71" s="9"/>
      <c r="AF71" s="49"/>
      <c r="AG71" s="89"/>
      <c r="AH71" s="9"/>
      <c r="AI71" s="9"/>
      <c r="AJ71" s="9"/>
      <c r="AK71" s="49"/>
      <c r="AL71" s="89"/>
      <c r="AM71" s="9"/>
      <c r="AN71" s="9"/>
      <c r="AO71" s="9"/>
      <c r="AP71" s="49"/>
      <c r="AQ71" s="89"/>
      <c r="AR71" s="9"/>
      <c r="AS71" s="9"/>
      <c r="AT71" s="9"/>
      <c r="AU71" s="61"/>
      <c r="AW71" s="9"/>
      <c r="AX71" s="9"/>
      <c r="AY71" s="9"/>
      <c r="AZ71" s="49"/>
      <c r="BA71" s="89"/>
      <c r="BB71" s="9"/>
      <c r="BC71" s="9"/>
      <c r="BD71" s="9"/>
      <c r="BE71" s="49"/>
      <c r="BF71" s="89"/>
      <c r="BG71" s="9"/>
      <c r="BH71" s="9"/>
      <c r="BI71" s="9"/>
      <c r="BJ71" s="76"/>
      <c r="BK71" s="89"/>
      <c r="BL71" s="9"/>
      <c r="BM71" s="9"/>
      <c r="BN71" s="9"/>
      <c r="BO71" s="76"/>
      <c r="BP71" s="89"/>
      <c r="BQ71" s="9"/>
      <c r="BR71" s="9"/>
      <c r="BS71" s="9"/>
      <c r="BT71" s="76"/>
      <c r="BU71" s="89"/>
      <c r="BV71" s="9"/>
      <c r="BW71" s="9"/>
      <c r="BX71" s="9"/>
      <c r="BY71" s="76"/>
      <c r="BZ71" s="89"/>
      <c r="CA71" s="9"/>
      <c r="CB71" s="9"/>
      <c r="CC71" s="9"/>
      <c r="CD71" s="29"/>
      <c r="CE71" s="1405"/>
      <c r="CF71" s="538"/>
      <c r="CG71" s="538"/>
      <c r="CH71" s="538"/>
      <c r="CI71" s="538"/>
      <c r="CJ71" s="538"/>
      <c r="CK71" s="538"/>
      <c r="CL71" s="538"/>
      <c r="CM71" s="538"/>
      <c r="CN71" s="538"/>
      <c r="CO71" s="538"/>
      <c r="CP71" s="538"/>
      <c r="CQ71" s="538"/>
      <c r="CR71" s="538"/>
      <c r="CS71" s="350"/>
      <c r="CT71" s="46"/>
      <c r="CU71" s="46"/>
      <c r="CV71" s="46"/>
      <c r="CW71" s="46"/>
      <c r="CX71" s="46"/>
      <c r="CY71" s="46"/>
      <c r="CZ71" s="46"/>
      <c r="DA71" s="46"/>
      <c r="DB71" s="46"/>
      <c r="DC71" s="46"/>
      <c r="DD71" s="46"/>
      <c r="DE71" s="61"/>
    </row>
    <row r="72" spans="1:109" ht="12.75" customHeight="1" x14ac:dyDescent="0.2">
      <c r="A72" s="413" t="s">
        <v>815</v>
      </c>
      <c r="B72" s="1360"/>
      <c r="C72" s="1338"/>
      <c r="D72" s="1384"/>
      <c r="E72" s="89"/>
      <c r="F72" s="9"/>
      <c r="G72" s="9"/>
      <c r="H72" s="9"/>
      <c r="I72" s="29"/>
      <c r="J72" s="29"/>
      <c r="K72" s="29"/>
      <c r="L72" s="29"/>
      <c r="M72" s="9"/>
      <c r="N72" s="9"/>
      <c r="O72" s="9"/>
      <c r="P72" s="9"/>
      <c r="Q72" s="49"/>
      <c r="R72" s="89"/>
      <c r="S72" s="9"/>
      <c r="T72" s="9"/>
      <c r="U72" s="9"/>
      <c r="V72" s="29"/>
      <c r="W72" s="133"/>
      <c r="X72" s="9"/>
      <c r="Y72" s="46"/>
      <c r="Z72" s="9"/>
      <c r="AB72" s="133"/>
      <c r="AC72" s="9"/>
      <c r="AD72" s="9"/>
      <c r="AE72" s="9"/>
      <c r="AF72" s="49"/>
      <c r="AG72" s="89"/>
      <c r="AH72" s="9"/>
      <c r="AI72" s="9"/>
      <c r="AJ72" s="9"/>
      <c r="AK72" s="49"/>
      <c r="AL72" s="89"/>
      <c r="AM72" s="9"/>
      <c r="AN72" s="9"/>
      <c r="AO72" s="9"/>
      <c r="AP72" s="49"/>
      <c r="AQ72" s="89"/>
      <c r="AR72" s="9"/>
      <c r="AS72" s="9"/>
      <c r="AT72" s="9"/>
      <c r="AU72" s="61"/>
      <c r="AW72" s="9"/>
      <c r="AX72" s="9"/>
      <c r="AY72" s="9"/>
      <c r="AZ72" s="49"/>
      <c r="BA72" s="89"/>
      <c r="BB72" s="9"/>
      <c r="BC72" s="9"/>
      <c r="BD72" s="9"/>
      <c r="BE72" s="49"/>
      <c r="BF72" s="89"/>
      <c r="BG72" s="9"/>
      <c r="BH72" s="9"/>
      <c r="BI72" s="9"/>
      <c r="BJ72" s="76"/>
      <c r="BK72" s="89"/>
      <c r="BL72" s="9"/>
      <c r="BM72" s="9"/>
      <c r="BN72" s="9"/>
      <c r="BO72" s="76"/>
      <c r="BP72" s="89"/>
      <c r="BQ72" s="9"/>
      <c r="BR72" s="9"/>
      <c r="BS72" s="9"/>
      <c r="BT72" s="76"/>
      <c r="BU72" s="89"/>
      <c r="BV72" s="9"/>
      <c r="BW72" s="9"/>
      <c r="BX72" s="9"/>
      <c r="BY72" s="76"/>
      <c r="BZ72" s="89"/>
      <c r="CA72" s="9"/>
      <c r="CB72" s="9"/>
      <c r="CC72" s="9"/>
      <c r="CD72" s="29"/>
      <c r="CE72" s="1405"/>
      <c r="CF72" s="538"/>
      <c r="CG72" s="538"/>
      <c r="CH72" s="538"/>
      <c r="CI72" s="538"/>
      <c r="CJ72" s="538"/>
      <c r="CK72" s="538"/>
      <c r="CL72" s="538"/>
      <c r="CM72" s="538"/>
      <c r="CN72" s="538"/>
      <c r="CO72" s="538"/>
      <c r="CP72" s="538"/>
      <c r="CQ72" s="538"/>
      <c r="CR72" s="538"/>
      <c r="CS72" s="350"/>
      <c r="CT72" s="46"/>
      <c r="CU72" s="46"/>
      <c r="CV72" s="46"/>
      <c r="CW72" s="46"/>
      <c r="CX72" s="46"/>
      <c r="CY72" s="46"/>
      <c r="CZ72" s="46"/>
      <c r="DA72" s="46"/>
      <c r="DB72" s="46"/>
      <c r="DC72" s="46"/>
      <c r="DD72" s="46"/>
      <c r="DE72" s="61"/>
    </row>
    <row r="73" spans="1:109" ht="12.75" customHeight="1" x14ac:dyDescent="0.2">
      <c r="A73" s="615" t="s">
        <v>3021</v>
      </c>
      <c r="B73" s="1355" t="s">
        <v>2330</v>
      </c>
      <c r="C73" s="1342"/>
      <c r="D73" s="1332"/>
      <c r="E73" s="89">
        <v>5100</v>
      </c>
      <c r="F73" s="9"/>
      <c r="G73" s="9"/>
      <c r="H73" s="9"/>
      <c r="I73" s="29"/>
      <c r="J73" s="29"/>
      <c r="K73" s="29"/>
      <c r="L73" s="29"/>
      <c r="M73" s="9"/>
      <c r="N73" s="9"/>
      <c r="O73" s="9"/>
      <c r="P73" s="9"/>
      <c r="Q73" s="49"/>
      <c r="R73" s="89"/>
      <c r="S73" s="9"/>
      <c r="T73" s="9"/>
      <c r="U73" s="9"/>
      <c r="V73" s="29">
        <v>5100</v>
      </c>
      <c r="W73" s="133"/>
      <c r="X73" s="9"/>
      <c r="Y73" s="46"/>
      <c r="Z73" s="9"/>
      <c r="AB73" s="133"/>
      <c r="AC73" s="9"/>
      <c r="AD73" s="9"/>
      <c r="AE73" s="9"/>
      <c r="AF73" s="49"/>
      <c r="AG73" s="89"/>
      <c r="AH73" s="9"/>
      <c r="AI73" s="9"/>
      <c r="AJ73" s="9"/>
      <c r="AK73" s="49"/>
      <c r="AL73" s="89"/>
      <c r="AM73" s="9"/>
      <c r="AN73" s="9"/>
      <c r="AO73" s="9"/>
      <c r="AP73" s="49"/>
      <c r="AQ73" s="89"/>
      <c r="AR73" s="9"/>
      <c r="AS73" s="9"/>
      <c r="AT73" s="9"/>
      <c r="AU73" s="61"/>
      <c r="AW73" s="9"/>
      <c r="AX73" s="9"/>
      <c r="AY73" s="9"/>
      <c r="AZ73" s="49"/>
      <c r="BA73" s="89"/>
      <c r="BB73" s="9"/>
      <c r="BC73" s="9"/>
      <c r="BD73" s="9"/>
      <c r="BE73" s="49"/>
      <c r="BF73" s="89"/>
      <c r="BG73" s="9"/>
      <c r="BH73" s="9"/>
      <c r="BI73" s="9"/>
      <c r="BJ73" s="49"/>
      <c r="BK73" s="89"/>
      <c r="BL73" s="9"/>
      <c r="BM73" s="9"/>
      <c r="BN73" s="9"/>
      <c r="BO73" s="49"/>
      <c r="BP73" s="89"/>
      <c r="BQ73" s="9"/>
      <c r="BR73" s="9"/>
      <c r="BS73" s="9"/>
      <c r="BT73" s="49"/>
      <c r="BU73" s="89"/>
      <c r="BV73" s="9"/>
      <c r="BW73" s="9"/>
      <c r="BX73" s="9"/>
      <c r="BY73" s="49"/>
      <c r="BZ73" s="89"/>
      <c r="CA73" s="9"/>
      <c r="CB73" s="9"/>
      <c r="CC73" s="9"/>
      <c r="CE73" s="1406">
        <v>1</v>
      </c>
      <c r="CF73" s="833">
        <f t="shared" ref="CF73:CN73" si="253">CE73</f>
        <v>1</v>
      </c>
      <c r="CG73" s="833">
        <f t="shared" si="253"/>
        <v>1</v>
      </c>
      <c r="CH73" s="833">
        <f t="shared" si="253"/>
        <v>1</v>
      </c>
      <c r="CI73" s="833">
        <f t="shared" si="253"/>
        <v>1</v>
      </c>
      <c r="CJ73" s="833">
        <f t="shared" si="253"/>
        <v>1</v>
      </c>
      <c r="CK73" s="833">
        <f t="shared" si="253"/>
        <v>1</v>
      </c>
      <c r="CL73" s="833">
        <f t="shared" si="253"/>
        <v>1</v>
      </c>
      <c r="CM73" s="833">
        <f t="shared" si="253"/>
        <v>1</v>
      </c>
      <c r="CN73" s="833">
        <f t="shared" si="253"/>
        <v>1</v>
      </c>
      <c r="CO73" s="833">
        <f>CN73</f>
        <v>1</v>
      </c>
      <c r="CP73" s="833">
        <f>CO73</f>
        <v>1</v>
      </c>
      <c r="CQ73" s="833">
        <f>CP73</f>
        <v>1</v>
      </c>
      <c r="CR73" s="833"/>
      <c r="CS73" s="1125">
        <f t="shared" ref="CS73:DE73" si="254">ROUND(CE73*E73,-3)</f>
        <v>5000</v>
      </c>
      <c r="CT73" s="31">
        <f t="shared" si="254"/>
        <v>0</v>
      </c>
      <c r="CU73" s="31">
        <f t="shared" si="254"/>
        <v>0</v>
      </c>
      <c r="CV73" s="31">
        <f t="shared" si="254"/>
        <v>0</v>
      </c>
      <c r="CW73" s="31">
        <f t="shared" si="254"/>
        <v>0</v>
      </c>
      <c r="CX73" s="31">
        <f t="shared" si="254"/>
        <v>0</v>
      </c>
      <c r="CY73" s="31">
        <f t="shared" si="254"/>
        <v>0</v>
      </c>
      <c r="CZ73" s="31">
        <f t="shared" si="254"/>
        <v>0</v>
      </c>
      <c r="DA73" s="31">
        <f t="shared" si="254"/>
        <v>0</v>
      </c>
      <c r="DB73" s="31">
        <f t="shared" si="254"/>
        <v>0</v>
      </c>
      <c r="DC73" s="31">
        <f t="shared" si="254"/>
        <v>0</v>
      </c>
      <c r="DD73" s="31">
        <f t="shared" si="254"/>
        <v>0</v>
      </c>
      <c r="DE73" s="78">
        <f t="shared" si="254"/>
        <v>0</v>
      </c>
    </row>
    <row r="74" spans="1:109" ht="13.5" thickBot="1" x14ac:dyDescent="0.25">
      <c r="A74" s="416" t="s">
        <v>242</v>
      </c>
      <c r="B74" s="1269"/>
      <c r="C74" s="1337"/>
      <c r="D74" s="1333"/>
      <c r="E74" s="89"/>
      <c r="F74" s="9"/>
      <c r="G74" s="9"/>
      <c r="H74" s="9"/>
      <c r="I74" s="29"/>
      <c r="J74" s="29"/>
      <c r="K74" s="29"/>
      <c r="L74" s="29"/>
      <c r="M74" s="9"/>
      <c r="N74" s="9"/>
      <c r="O74" s="9"/>
      <c r="P74" s="9"/>
      <c r="Q74" s="49"/>
      <c r="R74" s="89"/>
      <c r="S74" s="9"/>
      <c r="T74" s="9"/>
      <c r="U74" s="9"/>
      <c r="V74" s="29"/>
      <c r="W74" s="133"/>
      <c r="X74" s="9"/>
      <c r="Y74" s="89"/>
      <c r="Z74" s="9"/>
      <c r="AA74" s="29"/>
      <c r="AB74" s="133"/>
      <c r="AC74" s="9"/>
      <c r="AD74" s="9"/>
      <c r="AE74" s="9"/>
      <c r="AF74" s="76"/>
      <c r="AG74" s="89"/>
      <c r="AH74" s="9"/>
      <c r="AI74" s="9"/>
      <c r="AJ74" s="9"/>
      <c r="AK74" s="76"/>
      <c r="AL74" s="89"/>
      <c r="AM74" s="9"/>
      <c r="AN74" s="9"/>
      <c r="AO74" s="9"/>
      <c r="AP74" s="76"/>
      <c r="AQ74" s="89"/>
      <c r="AR74" s="9"/>
      <c r="AS74" s="9"/>
      <c r="AT74" s="9"/>
      <c r="AU74" s="47"/>
      <c r="AW74" s="9"/>
      <c r="AX74" s="9"/>
      <c r="AY74" s="9"/>
      <c r="AZ74" s="76"/>
      <c r="BA74" s="89"/>
      <c r="BB74" s="9"/>
      <c r="BC74" s="9"/>
      <c r="BD74" s="9"/>
      <c r="BE74" s="76"/>
      <c r="BF74" s="89"/>
      <c r="BG74" s="9"/>
      <c r="BH74" s="9"/>
      <c r="BI74" s="9"/>
      <c r="BJ74" s="76"/>
      <c r="BK74" s="89"/>
      <c r="BL74" s="9"/>
      <c r="BM74" s="9"/>
      <c r="BN74" s="9"/>
      <c r="BO74" s="76"/>
      <c r="BP74" s="89"/>
      <c r="BQ74" s="9"/>
      <c r="BR74" s="9"/>
      <c r="BS74" s="9"/>
      <c r="BT74" s="76"/>
      <c r="BU74" s="89"/>
      <c r="BV74" s="9"/>
      <c r="BW74" s="9"/>
      <c r="BX74" s="9"/>
      <c r="BY74" s="76"/>
      <c r="BZ74" s="89"/>
      <c r="CA74" s="9"/>
      <c r="CB74" s="9"/>
      <c r="CC74" s="9"/>
      <c r="CD74" s="29"/>
      <c r="CE74" s="1405"/>
      <c r="CF74" s="538"/>
      <c r="CG74" s="538"/>
      <c r="CH74" s="538"/>
      <c r="CI74" s="538"/>
      <c r="CJ74" s="538"/>
      <c r="CK74" s="538"/>
      <c r="CL74" s="538"/>
      <c r="CM74" s="538"/>
      <c r="CN74" s="538"/>
      <c r="CO74" s="538"/>
      <c r="CP74" s="538"/>
      <c r="CQ74" s="538"/>
      <c r="CR74" s="538"/>
      <c r="CS74" s="350"/>
      <c r="CT74" s="46"/>
      <c r="CU74" s="46"/>
      <c r="CV74" s="46"/>
      <c r="CW74" s="46"/>
      <c r="CX74" s="46"/>
      <c r="CY74" s="46"/>
      <c r="CZ74" s="46"/>
      <c r="DA74" s="46"/>
      <c r="DB74" s="46"/>
      <c r="DC74" s="46"/>
      <c r="DD74" s="46"/>
      <c r="DE74" s="61"/>
    </row>
    <row r="75" spans="1:109" s="39" customFormat="1" ht="14.25" thickTop="1" thickBot="1" x14ac:dyDescent="0.25">
      <c r="A75" s="796" t="s">
        <v>3300</v>
      </c>
      <c r="B75" s="1357"/>
      <c r="C75" s="1334"/>
      <c r="D75" s="1385"/>
      <c r="E75" s="302">
        <f t="shared" ref="E75:AF75" si="255">SUBTOTAL(9,E69:E74)</f>
        <v>5100</v>
      </c>
      <c r="F75" s="300">
        <f t="shared" si="255"/>
        <v>0</v>
      </c>
      <c r="G75" s="300">
        <f t="shared" si="255"/>
        <v>816000</v>
      </c>
      <c r="H75" s="300">
        <f t="shared" si="255"/>
        <v>0</v>
      </c>
      <c r="I75" s="306">
        <f t="shared" si="255"/>
        <v>0</v>
      </c>
      <c r="J75" s="306">
        <f t="shared" si="255"/>
        <v>0</v>
      </c>
      <c r="K75" s="306">
        <f t="shared" si="255"/>
        <v>0</v>
      </c>
      <c r="L75" s="306">
        <f t="shared" si="255"/>
        <v>0</v>
      </c>
      <c r="M75" s="300">
        <f t="shared" si="255"/>
        <v>0</v>
      </c>
      <c r="N75" s="300">
        <f t="shared" si="255"/>
        <v>0</v>
      </c>
      <c r="O75" s="300">
        <f t="shared" si="255"/>
        <v>0</v>
      </c>
      <c r="P75" s="300">
        <f t="shared" ref="P75:Q75" si="256">SUBTOTAL(9,P69:P74)</f>
        <v>0</v>
      </c>
      <c r="Q75" s="305">
        <f t="shared" si="256"/>
        <v>0</v>
      </c>
      <c r="R75" s="302">
        <f t="shared" si="255"/>
        <v>0</v>
      </c>
      <c r="S75" s="300">
        <f t="shared" si="255"/>
        <v>0</v>
      </c>
      <c r="T75" s="300">
        <f t="shared" si="255"/>
        <v>0</v>
      </c>
      <c r="U75" s="300">
        <f t="shared" si="255"/>
        <v>0</v>
      </c>
      <c r="V75" s="306">
        <f t="shared" si="255"/>
        <v>5100</v>
      </c>
      <c r="W75" s="307">
        <v>0</v>
      </c>
      <c r="X75" s="300">
        <f t="shared" si="255"/>
        <v>0</v>
      </c>
      <c r="Y75" s="302">
        <f t="shared" si="255"/>
        <v>0</v>
      </c>
      <c r="Z75" s="300">
        <f t="shared" si="255"/>
        <v>0</v>
      </c>
      <c r="AA75" s="306">
        <f t="shared" si="255"/>
        <v>0</v>
      </c>
      <c r="AB75" s="307">
        <f t="shared" si="255"/>
        <v>181900</v>
      </c>
      <c r="AC75" s="300">
        <f t="shared" si="255"/>
        <v>109200</v>
      </c>
      <c r="AD75" s="300">
        <f t="shared" si="255"/>
        <v>0</v>
      </c>
      <c r="AE75" s="300">
        <f t="shared" si="255"/>
        <v>524900</v>
      </c>
      <c r="AF75" s="301">
        <f t="shared" si="255"/>
        <v>0</v>
      </c>
      <c r="AG75" s="302">
        <f t="shared" ref="AG75:BL75" si="257">SUBTOTAL(9,AG69:AG74)</f>
        <v>0</v>
      </c>
      <c r="AH75" s="300">
        <f t="shared" si="257"/>
        <v>0</v>
      </c>
      <c r="AI75" s="300">
        <f t="shared" si="257"/>
        <v>0</v>
      </c>
      <c r="AJ75" s="300">
        <f t="shared" si="257"/>
        <v>0</v>
      </c>
      <c r="AK75" s="301">
        <f t="shared" si="257"/>
        <v>0</v>
      </c>
      <c r="AL75" s="302">
        <f t="shared" si="257"/>
        <v>0</v>
      </c>
      <c r="AM75" s="300">
        <f t="shared" si="257"/>
        <v>0</v>
      </c>
      <c r="AN75" s="300">
        <f t="shared" si="257"/>
        <v>0</v>
      </c>
      <c r="AO75" s="300">
        <f t="shared" si="257"/>
        <v>0</v>
      </c>
      <c r="AP75" s="301">
        <f t="shared" si="257"/>
        <v>0</v>
      </c>
      <c r="AQ75" s="302">
        <f t="shared" si="257"/>
        <v>0</v>
      </c>
      <c r="AR75" s="300">
        <f t="shared" si="257"/>
        <v>0</v>
      </c>
      <c r="AS75" s="300">
        <f t="shared" si="257"/>
        <v>0</v>
      </c>
      <c r="AT75" s="300">
        <f t="shared" si="257"/>
        <v>0</v>
      </c>
      <c r="AU75" s="303">
        <f t="shared" si="257"/>
        <v>0</v>
      </c>
      <c r="AV75" s="302">
        <f t="shared" si="257"/>
        <v>0</v>
      </c>
      <c r="AW75" s="300">
        <f t="shared" si="257"/>
        <v>0</v>
      </c>
      <c r="AX75" s="300">
        <f t="shared" si="257"/>
        <v>0</v>
      </c>
      <c r="AY75" s="300">
        <f t="shared" si="257"/>
        <v>0</v>
      </c>
      <c r="AZ75" s="301">
        <f t="shared" si="257"/>
        <v>0</v>
      </c>
      <c r="BA75" s="302">
        <f t="shared" si="257"/>
        <v>0</v>
      </c>
      <c r="BB75" s="300">
        <f t="shared" si="257"/>
        <v>0</v>
      </c>
      <c r="BC75" s="300">
        <f t="shared" si="257"/>
        <v>0</v>
      </c>
      <c r="BD75" s="300">
        <f t="shared" si="257"/>
        <v>0</v>
      </c>
      <c r="BE75" s="301">
        <f t="shared" si="257"/>
        <v>0</v>
      </c>
      <c r="BF75" s="302">
        <f t="shared" si="257"/>
        <v>0</v>
      </c>
      <c r="BG75" s="300">
        <f t="shared" si="257"/>
        <v>0</v>
      </c>
      <c r="BH75" s="300">
        <f t="shared" si="257"/>
        <v>0</v>
      </c>
      <c r="BI75" s="300">
        <f t="shared" si="257"/>
        <v>0</v>
      </c>
      <c r="BJ75" s="301">
        <f t="shared" si="257"/>
        <v>0</v>
      </c>
      <c r="BK75" s="302">
        <f t="shared" si="257"/>
        <v>0</v>
      </c>
      <c r="BL75" s="300">
        <f t="shared" si="257"/>
        <v>0</v>
      </c>
      <c r="BM75" s="300">
        <f t="shared" ref="BM75:BT75" si="258">SUBTOTAL(9,BM69:BM74)</f>
        <v>0</v>
      </c>
      <c r="BN75" s="300">
        <f t="shared" si="258"/>
        <v>0</v>
      </c>
      <c r="BO75" s="301">
        <f t="shared" si="258"/>
        <v>0</v>
      </c>
      <c r="BP75" s="302">
        <f t="shared" si="258"/>
        <v>0</v>
      </c>
      <c r="BQ75" s="300">
        <f t="shared" si="258"/>
        <v>0</v>
      </c>
      <c r="BR75" s="300">
        <f t="shared" si="258"/>
        <v>0</v>
      </c>
      <c r="BS75" s="300">
        <f t="shared" si="258"/>
        <v>0</v>
      </c>
      <c r="BT75" s="301">
        <f t="shared" si="258"/>
        <v>0</v>
      </c>
      <c r="BU75" s="302">
        <f t="shared" ref="BU75:BY75" si="259">SUBTOTAL(9,BU69:BU74)</f>
        <v>0</v>
      </c>
      <c r="BV75" s="300">
        <f t="shared" si="259"/>
        <v>0</v>
      </c>
      <c r="BW75" s="300">
        <f t="shared" si="259"/>
        <v>0</v>
      </c>
      <c r="BX75" s="300">
        <f t="shared" si="259"/>
        <v>0</v>
      </c>
      <c r="BY75" s="301">
        <f t="shared" si="259"/>
        <v>0</v>
      </c>
      <c r="BZ75" s="302">
        <f t="shared" ref="BZ75:CD75" si="260">SUBTOTAL(9,BZ69:BZ74)</f>
        <v>0</v>
      </c>
      <c r="CA75" s="300">
        <f t="shared" si="260"/>
        <v>0</v>
      </c>
      <c r="CB75" s="300">
        <f t="shared" si="260"/>
        <v>0</v>
      </c>
      <c r="CC75" s="300">
        <f t="shared" si="260"/>
        <v>0</v>
      </c>
      <c r="CD75" s="306">
        <f t="shared" si="260"/>
        <v>0</v>
      </c>
      <c r="CE75" s="1405"/>
      <c r="CF75" s="538"/>
      <c r="CG75" s="466"/>
      <c r="CH75" s="466"/>
      <c r="CI75" s="466"/>
      <c r="CJ75" s="466"/>
      <c r="CK75" s="466"/>
      <c r="CL75" s="466"/>
      <c r="CM75" s="466"/>
      <c r="CN75" s="466"/>
      <c r="CO75" s="466"/>
      <c r="CP75" s="466"/>
      <c r="CQ75" s="466"/>
      <c r="CR75" s="466"/>
      <c r="CS75" s="1043"/>
      <c r="CT75" s="27"/>
      <c r="CU75" s="27"/>
      <c r="CV75" s="27"/>
      <c r="CW75" s="27"/>
      <c r="CX75" s="27"/>
      <c r="CY75" s="27"/>
      <c r="CZ75" s="27"/>
      <c r="DA75" s="27"/>
      <c r="DB75" s="27"/>
      <c r="DC75" s="27"/>
      <c r="DD75" s="27"/>
      <c r="DE75" s="62"/>
    </row>
    <row r="76" spans="1:109" s="39" customFormat="1" ht="13.5" thickTop="1" x14ac:dyDescent="0.2">
      <c r="A76" s="413"/>
      <c r="B76" s="1360"/>
      <c r="C76" s="1338"/>
      <c r="D76" s="1384"/>
      <c r="E76" s="75"/>
      <c r="F76" s="21"/>
      <c r="G76" s="21"/>
      <c r="H76" s="21"/>
      <c r="I76" s="32"/>
      <c r="J76" s="32"/>
      <c r="K76" s="32"/>
      <c r="L76" s="32"/>
      <c r="M76" s="21"/>
      <c r="N76" s="21"/>
      <c r="O76" s="21"/>
      <c r="P76" s="21"/>
      <c r="Q76" s="64"/>
      <c r="R76" s="75"/>
      <c r="S76" s="21"/>
      <c r="T76" s="21"/>
      <c r="U76" s="21"/>
      <c r="V76" s="27"/>
      <c r="W76" s="132"/>
      <c r="X76" s="21"/>
      <c r="Y76" s="27"/>
      <c r="Z76" s="21"/>
      <c r="AA76" s="27"/>
      <c r="AB76" s="132"/>
      <c r="AC76" s="21"/>
      <c r="AD76" s="21"/>
      <c r="AE76" s="21"/>
      <c r="AF76" s="64"/>
      <c r="AG76" s="75"/>
      <c r="AH76" s="21"/>
      <c r="AI76" s="21"/>
      <c r="AJ76" s="21"/>
      <c r="AK76" s="64"/>
      <c r="AL76" s="75"/>
      <c r="AM76" s="21"/>
      <c r="AN76" s="21"/>
      <c r="AO76" s="21"/>
      <c r="AP76" s="64"/>
      <c r="AQ76" s="75"/>
      <c r="AR76" s="21"/>
      <c r="AS76" s="21"/>
      <c r="AT76" s="21"/>
      <c r="AU76" s="62"/>
      <c r="AV76" s="27"/>
      <c r="AW76" s="21"/>
      <c r="AX76" s="21"/>
      <c r="AY76" s="21"/>
      <c r="AZ76" s="64"/>
      <c r="BA76" s="75"/>
      <c r="BB76" s="21"/>
      <c r="BC76" s="21"/>
      <c r="BD76" s="21"/>
      <c r="BE76" s="64"/>
      <c r="BF76" s="75"/>
      <c r="BG76" s="21"/>
      <c r="BH76" s="21"/>
      <c r="BI76" s="21"/>
      <c r="BJ76" s="64"/>
      <c r="BK76" s="75"/>
      <c r="BL76" s="21"/>
      <c r="BM76" s="21"/>
      <c r="BN76" s="21"/>
      <c r="BO76" s="64"/>
      <c r="BP76" s="75"/>
      <c r="BQ76" s="21"/>
      <c r="BR76" s="21"/>
      <c r="BS76" s="21"/>
      <c r="BT76" s="64"/>
      <c r="BU76" s="75"/>
      <c r="BV76" s="21"/>
      <c r="BW76" s="21"/>
      <c r="BX76" s="21"/>
      <c r="BY76" s="64"/>
      <c r="BZ76" s="75"/>
      <c r="CA76" s="21"/>
      <c r="CB76" s="21"/>
      <c r="CC76" s="21"/>
      <c r="CD76" s="27"/>
      <c r="CE76" s="1405"/>
      <c r="CF76" s="538"/>
      <c r="CG76" s="466"/>
      <c r="CH76" s="466"/>
      <c r="CI76" s="466"/>
      <c r="CJ76" s="466"/>
      <c r="CK76" s="466"/>
      <c r="CL76" s="466"/>
      <c r="CM76" s="466"/>
      <c r="CN76" s="466"/>
      <c r="CO76" s="466"/>
      <c r="CP76" s="466"/>
      <c r="CQ76" s="466"/>
      <c r="CR76" s="466"/>
      <c r="CS76" s="1043"/>
      <c r="CT76" s="27"/>
      <c r="CU76" s="27"/>
      <c r="CV76" s="27"/>
      <c r="CW76" s="27"/>
      <c r="CX76" s="27"/>
      <c r="CY76" s="27"/>
      <c r="CZ76" s="27"/>
      <c r="DA76" s="27"/>
      <c r="DB76" s="27"/>
      <c r="DC76" s="27"/>
      <c r="DD76" s="27"/>
      <c r="DE76" s="62"/>
    </row>
    <row r="77" spans="1:109" x14ac:dyDescent="0.2">
      <c r="A77" s="295" t="s">
        <v>299</v>
      </c>
      <c r="B77" s="1361"/>
      <c r="C77" s="1339"/>
      <c r="D77" s="1386"/>
      <c r="E77" s="89"/>
      <c r="F77" s="9"/>
      <c r="G77" s="9"/>
      <c r="H77" s="9"/>
      <c r="I77" s="9"/>
      <c r="J77" s="46"/>
      <c r="K77" s="29"/>
      <c r="L77" s="29"/>
      <c r="M77" s="9"/>
      <c r="N77" s="9"/>
      <c r="O77" s="9"/>
      <c r="P77" s="9"/>
      <c r="Q77" s="49"/>
      <c r="R77" s="89"/>
      <c r="S77" s="9"/>
      <c r="T77" s="9"/>
      <c r="U77" s="9"/>
      <c r="W77" s="133"/>
      <c r="X77" s="9"/>
      <c r="Y77" s="46"/>
      <c r="Z77" s="9"/>
      <c r="AB77" s="133"/>
      <c r="AC77" s="9"/>
      <c r="AD77" s="9"/>
      <c r="AE77" s="9"/>
      <c r="AF77" s="49"/>
      <c r="AG77" s="89"/>
      <c r="AH77" s="9"/>
      <c r="AI77" s="9"/>
      <c r="AJ77" s="9"/>
      <c r="AK77" s="49"/>
      <c r="AL77" s="89"/>
      <c r="AM77" s="9"/>
      <c r="AN77" s="9"/>
      <c r="AO77" s="9"/>
      <c r="AP77" s="49"/>
      <c r="AQ77" s="89"/>
      <c r="AR77" s="9"/>
      <c r="AS77" s="9"/>
      <c r="AT77" s="9"/>
      <c r="AU77" s="61"/>
      <c r="AW77" s="9"/>
      <c r="AX77" s="9"/>
      <c r="AY77" s="9"/>
      <c r="AZ77" s="49"/>
      <c r="BA77" s="89"/>
      <c r="BB77" s="9"/>
      <c r="BC77" s="9"/>
      <c r="BD77" s="9"/>
      <c r="BE77" s="49"/>
      <c r="BF77" s="89"/>
      <c r="BG77" s="9"/>
      <c r="BH77" s="9"/>
      <c r="BI77" s="9"/>
      <c r="BJ77" s="49"/>
      <c r="BK77" s="89"/>
      <c r="BL77" s="9"/>
      <c r="BM77" s="9"/>
      <c r="BN77" s="9"/>
      <c r="BO77" s="49"/>
      <c r="BP77" s="89"/>
      <c r="BQ77" s="9"/>
      <c r="BR77" s="9"/>
      <c r="BS77" s="9"/>
      <c r="BT77" s="49"/>
      <c r="BU77" s="89"/>
      <c r="BV77" s="9"/>
      <c r="BW77" s="9"/>
      <c r="BX77" s="9"/>
      <c r="BY77" s="49"/>
      <c r="BZ77" s="89"/>
      <c r="CA77" s="9"/>
      <c r="CB77" s="9"/>
      <c r="CC77" s="9"/>
      <c r="CE77" s="1405"/>
      <c r="CF77" s="538"/>
      <c r="CG77" s="538"/>
      <c r="CH77" s="538"/>
      <c r="CI77" s="538"/>
      <c r="CJ77" s="538"/>
      <c r="CK77" s="538"/>
      <c r="CL77" s="538"/>
      <c r="CM77" s="538"/>
      <c r="CN77" s="538"/>
      <c r="CO77" s="538"/>
      <c r="CP77" s="538"/>
      <c r="CQ77" s="538"/>
      <c r="CR77" s="538"/>
      <c r="CS77" s="350"/>
      <c r="CT77" s="46"/>
      <c r="CU77" s="46"/>
      <c r="CV77" s="46"/>
      <c r="CW77" s="46"/>
      <c r="CX77" s="46"/>
      <c r="CY77" s="46"/>
      <c r="CZ77" s="46"/>
      <c r="DA77" s="46"/>
      <c r="DB77" s="46"/>
      <c r="DC77" s="46"/>
      <c r="DD77" s="46"/>
      <c r="DE77" s="61"/>
    </row>
    <row r="78" spans="1:109" s="80" customFormat="1" x14ac:dyDescent="0.2">
      <c r="A78" s="413" t="s">
        <v>563</v>
      </c>
      <c r="B78" s="1363"/>
      <c r="C78" s="1341"/>
      <c r="D78" s="1389"/>
      <c r="E78" s="77"/>
      <c r="F78" s="79"/>
      <c r="G78" s="79"/>
      <c r="H78" s="79"/>
      <c r="I78" s="79"/>
      <c r="J78" s="31"/>
      <c r="K78" s="29"/>
      <c r="L78" s="29"/>
      <c r="M78" s="79"/>
      <c r="N78" s="79"/>
      <c r="O78" s="79"/>
      <c r="P78" s="79"/>
      <c r="Q78" s="587"/>
      <c r="R78" s="77"/>
      <c r="S78" s="79"/>
      <c r="T78" s="79"/>
      <c r="U78" s="79"/>
      <c r="V78" s="31"/>
      <c r="W78" s="641"/>
      <c r="X78" s="79"/>
      <c r="Y78" s="31"/>
      <c r="Z78" s="79"/>
      <c r="AA78" s="46">
        <f t="shared" ref="AA78:AA83" si="261">F78-W78-X78-Y78-Z78</f>
        <v>0</v>
      </c>
      <c r="AB78" s="641"/>
      <c r="AC78" s="79"/>
      <c r="AD78" s="79"/>
      <c r="AE78" s="79"/>
      <c r="AF78" s="587"/>
      <c r="AG78" s="77"/>
      <c r="AH78" s="79"/>
      <c r="AI78" s="79"/>
      <c r="AJ78" s="79"/>
      <c r="AK78" s="587"/>
      <c r="AL78" s="77"/>
      <c r="AM78" s="79"/>
      <c r="AN78" s="79"/>
      <c r="AO78" s="79"/>
      <c r="AP78" s="587"/>
      <c r="AQ78" s="77"/>
      <c r="AR78" s="79"/>
      <c r="AS78" s="79"/>
      <c r="AT78" s="79"/>
      <c r="AU78" s="78"/>
      <c r="AV78" s="31"/>
      <c r="AW78" s="79"/>
      <c r="AX78" s="79"/>
      <c r="AY78" s="79"/>
      <c r="AZ78" s="587"/>
      <c r="BA78" s="77"/>
      <c r="BB78" s="79"/>
      <c r="BC78" s="79"/>
      <c r="BD78" s="79"/>
      <c r="BE78" s="587"/>
      <c r="BF78" s="77"/>
      <c r="BG78" s="79"/>
      <c r="BH78" s="79"/>
      <c r="BI78" s="79"/>
      <c r="BJ78" s="587"/>
      <c r="BK78" s="77"/>
      <c r="BL78" s="79"/>
      <c r="BM78" s="79"/>
      <c r="BN78" s="79"/>
      <c r="BO78" s="587"/>
      <c r="BP78" s="77"/>
      <c r="BQ78" s="79"/>
      <c r="BR78" s="79"/>
      <c r="BS78" s="79"/>
      <c r="BT78" s="587"/>
      <c r="BU78" s="77"/>
      <c r="BV78" s="79"/>
      <c r="BW78" s="79"/>
      <c r="BX78" s="79"/>
      <c r="BY78" s="587"/>
      <c r="BZ78" s="77"/>
      <c r="CA78" s="79"/>
      <c r="CB78" s="79"/>
      <c r="CC78" s="79"/>
      <c r="CD78" s="31"/>
      <c r="CE78" s="1406"/>
      <c r="CF78" s="833"/>
      <c r="CG78" s="833"/>
      <c r="CH78" s="833"/>
      <c r="CI78" s="833"/>
      <c r="CJ78" s="833"/>
      <c r="CK78" s="833"/>
      <c r="CL78" s="833"/>
      <c r="CM78" s="833"/>
      <c r="CN78" s="833"/>
      <c r="CO78" s="833"/>
      <c r="CP78" s="833"/>
      <c r="CQ78" s="833"/>
      <c r="CR78" s="833"/>
      <c r="CS78" s="1125"/>
      <c r="CT78" s="31"/>
      <c r="CU78" s="31"/>
      <c r="CV78" s="31"/>
      <c r="CW78" s="31"/>
      <c r="CX78" s="31"/>
      <c r="CY78" s="31"/>
      <c r="CZ78" s="31"/>
      <c r="DA78" s="31"/>
      <c r="DB78" s="31"/>
      <c r="DC78" s="31"/>
      <c r="DD78" s="31"/>
      <c r="DE78" s="78"/>
    </row>
    <row r="79" spans="1:109" x14ac:dyDescent="0.2">
      <c r="A79" s="615" t="s">
        <v>4825</v>
      </c>
      <c r="B79" s="1358" t="s">
        <v>5147</v>
      </c>
      <c r="C79" s="1335" t="s">
        <v>4959</v>
      </c>
      <c r="D79" s="1330"/>
      <c r="E79" s="9">
        <v>121100</v>
      </c>
      <c r="F79" s="29"/>
      <c r="G79" s="9"/>
      <c r="H79" s="9"/>
      <c r="I79" s="9"/>
      <c r="J79" s="46">
        <v>60000</v>
      </c>
      <c r="K79" s="29"/>
      <c r="L79" s="29"/>
      <c r="M79" s="9"/>
      <c r="N79" s="9"/>
      <c r="O79" s="9">
        <v>70000</v>
      </c>
      <c r="P79" s="9"/>
      <c r="Q79" s="49"/>
      <c r="R79" s="89"/>
      <c r="S79" s="9"/>
      <c r="T79" s="9"/>
      <c r="U79" s="9"/>
      <c r="V79" s="46">
        <f>E79-R79-S79-T79-U79</f>
        <v>121100</v>
      </c>
      <c r="W79" s="133"/>
      <c r="X79" s="9"/>
      <c r="Y79" s="46"/>
      <c r="Z79" s="9"/>
      <c r="AA79" s="46">
        <f t="shared" si="261"/>
        <v>0</v>
      </c>
      <c r="AB79" s="133"/>
      <c r="AC79" s="9"/>
      <c r="AD79" s="9"/>
      <c r="AE79" s="9"/>
      <c r="AF79" s="49">
        <f>G79-AB79-AC79-AD79-AE79</f>
        <v>0</v>
      </c>
      <c r="AG79" s="89"/>
      <c r="AH79" s="9"/>
      <c r="AI79" s="9"/>
      <c r="AJ79" s="9"/>
      <c r="AK79" s="49">
        <f>H79-AG79-AH79-AI79-AJ79</f>
        <v>0</v>
      </c>
      <c r="AL79" s="89"/>
      <c r="AM79" s="9"/>
      <c r="AN79" s="9"/>
      <c r="AO79" s="9"/>
      <c r="AP79" s="49">
        <f>I79-AL79-AM79-AN79-AO79</f>
        <v>0</v>
      </c>
      <c r="AQ79" s="89"/>
      <c r="AR79" s="9"/>
      <c r="AS79" s="9"/>
      <c r="AT79" s="9"/>
      <c r="AU79" s="61">
        <f>J79-AQ79-AR79-AS79-AT79</f>
        <v>60000</v>
      </c>
      <c r="AW79" s="9"/>
      <c r="AX79" s="9"/>
      <c r="AY79" s="9"/>
      <c r="AZ79" s="49">
        <f>K79-AV79-AW79-AX79-AY79</f>
        <v>0</v>
      </c>
      <c r="BA79" s="89"/>
      <c r="BB79" s="9"/>
      <c r="BC79" s="9"/>
      <c r="BD79" s="9"/>
      <c r="BE79" s="49">
        <f>L79-BA79-BB79-BC79-BD79</f>
        <v>0</v>
      </c>
      <c r="BF79" s="89"/>
      <c r="BG79" s="9"/>
      <c r="BH79" s="9"/>
      <c r="BI79" s="9"/>
      <c r="BJ79" s="49">
        <f>M79-BF79-BG79-BH79-BI79</f>
        <v>0</v>
      </c>
      <c r="BK79" s="89"/>
      <c r="BL79" s="9"/>
      <c r="BM79" s="9"/>
      <c r="BN79" s="9"/>
      <c r="BO79" s="49">
        <f>N79-BK79-BL79-BM79-BN79</f>
        <v>0</v>
      </c>
      <c r="BP79" s="89"/>
      <c r="BQ79" s="9"/>
      <c r="BR79" s="9"/>
      <c r="BS79" s="9"/>
      <c r="BT79" s="49">
        <f>O79-BP79-BQ79-BR79-BS79</f>
        <v>70000</v>
      </c>
      <c r="BU79" s="89"/>
      <c r="BV79" s="9"/>
      <c r="BW79" s="9"/>
      <c r="BX79" s="9"/>
      <c r="BY79" s="49">
        <f>P79-BU79-BV79-BW79-BX79</f>
        <v>0</v>
      </c>
      <c r="BZ79" s="89"/>
      <c r="CA79" s="9"/>
      <c r="CB79" s="9"/>
      <c r="CC79" s="9"/>
      <c r="CD79" s="46">
        <f>U79-BZ79-CA79-CB79-CC79</f>
        <v>0</v>
      </c>
      <c r="CE79" s="1406">
        <v>0</v>
      </c>
      <c r="CF79" s="833">
        <f>CE79</f>
        <v>0</v>
      </c>
      <c r="CG79" s="833">
        <f t="shared" ref="CG79" si="262">CF79</f>
        <v>0</v>
      </c>
      <c r="CH79" s="833">
        <f t="shared" ref="CH79" si="263">CG79</f>
        <v>0</v>
      </c>
      <c r="CI79" s="833">
        <f t="shared" ref="CI79" si="264">CH79</f>
        <v>0</v>
      </c>
      <c r="CJ79" s="833">
        <f t="shared" ref="CJ79" si="265">CI79</f>
        <v>0</v>
      </c>
      <c r="CK79" s="833">
        <f t="shared" ref="CK79" si="266">CJ79</f>
        <v>0</v>
      </c>
      <c r="CL79" s="833">
        <f t="shared" ref="CL79" si="267">CK79</f>
        <v>0</v>
      </c>
      <c r="CM79" s="833">
        <f t="shared" ref="CM79" si="268">CL79</f>
        <v>0</v>
      </c>
      <c r="CN79" s="833">
        <f t="shared" ref="CN79" si="269">CM79</f>
        <v>0</v>
      </c>
      <c r="CO79" s="833">
        <f>CN79</f>
        <v>0</v>
      </c>
      <c r="CP79" s="833">
        <f>CO79</f>
        <v>0</v>
      </c>
      <c r="CQ79" s="833">
        <f>CP79</f>
        <v>0</v>
      </c>
      <c r="CR79" s="833"/>
      <c r="CS79" s="1125">
        <f t="shared" ref="CS79:DE79" si="270">ROUND(CE79*E79,-3)</f>
        <v>0</v>
      </c>
      <c r="CT79" s="31">
        <f t="shared" si="270"/>
        <v>0</v>
      </c>
      <c r="CU79" s="31">
        <f t="shared" si="270"/>
        <v>0</v>
      </c>
      <c r="CV79" s="31">
        <f t="shared" si="270"/>
        <v>0</v>
      </c>
      <c r="CW79" s="31">
        <f t="shared" si="270"/>
        <v>0</v>
      </c>
      <c r="CX79" s="31">
        <f t="shared" si="270"/>
        <v>0</v>
      </c>
      <c r="CY79" s="31">
        <f t="shared" si="270"/>
        <v>0</v>
      </c>
      <c r="CZ79" s="31">
        <f t="shared" si="270"/>
        <v>0</v>
      </c>
      <c r="DA79" s="31">
        <f t="shared" si="270"/>
        <v>0</v>
      </c>
      <c r="DB79" s="31">
        <f t="shared" si="270"/>
        <v>0</v>
      </c>
      <c r="DC79" s="31">
        <f t="shared" si="270"/>
        <v>0</v>
      </c>
      <c r="DD79" s="31">
        <f t="shared" si="270"/>
        <v>0</v>
      </c>
      <c r="DE79" s="78">
        <f t="shared" si="270"/>
        <v>0</v>
      </c>
    </row>
    <row r="80" spans="1:109" x14ac:dyDescent="0.2">
      <c r="A80" s="296"/>
      <c r="B80" s="1269"/>
      <c r="C80" s="1337"/>
      <c r="D80" s="1333"/>
      <c r="E80" s="89"/>
      <c r="F80" s="9"/>
      <c r="G80" s="9"/>
      <c r="H80" s="9"/>
      <c r="I80" s="9"/>
      <c r="J80" s="46"/>
      <c r="K80" s="9"/>
      <c r="L80" s="46"/>
      <c r="M80" s="9"/>
      <c r="N80" s="9"/>
      <c r="O80" s="9"/>
      <c r="P80" s="9"/>
      <c r="Q80" s="49"/>
      <c r="R80" s="89"/>
      <c r="S80" s="9"/>
      <c r="T80" s="9"/>
      <c r="U80" s="9"/>
      <c r="W80" s="133"/>
      <c r="X80" s="9"/>
      <c r="Y80" s="46"/>
      <c r="Z80" s="9"/>
      <c r="AA80" s="46">
        <f t="shared" si="261"/>
        <v>0</v>
      </c>
      <c r="AB80" s="133"/>
      <c r="AC80" s="9"/>
      <c r="AD80" s="9"/>
      <c r="AE80" s="9"/>
      <c r="AF80" s="49"/>
      <c r="AG80" s="89"/>
      <c r="AH80" s="9"/>
      <c r="AI80" s="9"/>
      <c r="AJ80" s="9"/>
      <c r="AK80" s="49"/>
      <c r="AL80" s="89"/>
      <c r="AM80" s="9"/>
      <c r="AN80" s="9"/>
      <c r="AO80" s="9"/>
      <c r="AP80" s="49"/>
      <c r="AQ80" s="89"/>
      <c r="AR80" s="9"/>
      <c r="AS80" s="9"/>
      <c r="AT80" s="9"/>
      <c r="AU80" s="61"/>
      <c r="AW80" s="9"/>
      <c r="AX80" s="9"/>
      <c r="AY80" s="9"/>
      <c r="AZ80" s="49"/>
      <c r="BA80" s="89"/>
      <c r="BB80" s="9"/>
      <c r="BC80" s="9"/>
      <c r="BD80" s="9"/>
      <c r="BE80" s="49"/>
      <c r="BF80" s="89"/>
      <c r="BG80" s="9"/>
      <c r="BH80" s="9"/>
      <c r="BI80" s="9"/>
      <c r="BJ80" s="49"/>
      <c r="BK80" s="89"/>
      <c r="BL80" s="9"/>
      <c r="BM80" s="9"/>
      <c r="BN80" s="9"/>
      <c r="BO80" s="49"/>
      <c r="BP80" s="89"/>
      <c r="BQ80" s="9"/>
      <c r="BR80" s="9"/>
      <c r="BS80" s="9"/>
      <c r="BT80" s="49"/>
      <c r="BU80" s="89"/>
      <c r="BV80" s="9"/>
      <c r="BW80" s="9"/>
      <c r="BX80" s="9"/>
      <c r="BY80" s="49"/>
      <c r="BZ80" s="89"/>
      <c r="CA80" s="9"/>
      <c r="CB80" s="9"/>
      <c r="CC80" s="9"/>
      <c r="CE80" s="1405"/>
      <c r="CF80" s="538"/>
      <c r="CG80" s="538"/>
      <c r="CH80" s="538"/>
      <c r="CI80" s="538"/>
      <c r="CJ80" s="538"/>
      <c r="CK80" s="538"/>
      <c r="CL80" s="538"/>
      <c r="CM80" s="538"/>
      <c r="CN80" s="538"/>
      <c r="CO80" s="538"/>
      <c r="CP80" s="538"/>
      <c r="CQ80" s="538"/>
      <c r="CR80" s="538"/>
      <c r="CS80" s="350"/>
      <c r="CT80" s="46"/>
      <c r="CU80" s="46"/>
      <c r="CV80" s="46"/>
      <c r="CW80" s="46"/>
      <c r="CX80" s="46"/>
      <c r="CY80" s="46"/>
      <c r="CZ80" s="46"/>
      <c r="DA80" s="46"/>
      <c r="DB80" s="46"/>
      <c r="DC80" s="46"/>
      <c r="DD80" s="46"/>
      <c r="DE80" s="61"/>
    </row>
    <row r="81" spans="1:109" x14ac:dyDescent="0.2">
      <c r="A81" s="413" t="s">
        <v>3672</v>
      </c>
      <c r="B81" s="1364"/>
      <c r="C81" s="1342"/>
      <c r="D81" s="1332"/>
      <c r="E81" s="89"/>
      <c r="F81" s="9"/>
      <c r="G81" s="9"/>
      <c r="H81" s="9"/>
      <c r="I81" s="9"/>
      <c r="J81" s="46"/>
      <c r="K81" s="9"/>
      <c r="L81" s="46"/>
      <c r="M81" s="9"/>
      <c r="N81" s="9"/>
      <c r="O81" s="9"/>
      <c r="P81" s="9"/>
      <c r="Q81" s="49"/>
      <c r="R81" s="89"/>
      <c r="S81" s="9"/>
      <c r="T81" s="9"/>
      <c r="U81" s="9"/>
      <c r="W81" s="133"/>
      <c r="X81" s="9"/>
      <c r="Y81" s="46"/>
      <c r="Z81" s="9"/>
      <c r="AA81" s="46">
        <f t="shared" si="261"/>
        <v>0</v>
      </c>
      <c r="AB81" s="133"/>
      <c r="AC81" s="9"/>
      <c r="AD81" s="9"/>
      <c r="AE81" s="9"/>
      <c r="AF81" s="49"/>
      <c r="AG81" s="89"/>
      <c r="AH81" s="9"/>
      <c r="AI81" s="9"/>
      <c r="AJ81" s="9"/>
      <c r="AK81" s="49"/>
      <c r="AL81" s="89"/>
      <c r="AM81" s="9"/>
      <c r="AN81" s="9"/>
      <c r="AO81" s="9"/>
      <c r="AP81" s="49"/>
      <c r="AQ81" s="89"/>
      <c r="AR81" s="9"/>
      <c r="AS81" s="9"/>
      <c r="AT81" s="9"/>
      <c r="AU81" s="61"/>
      <c r="AW81" s="9"/>
      <c r="AX81" s="9"/>
      <c r="AY81" s="9"/>
      <c r="AZ81" s="49"/>
      <c r="BA81" s="89"/>
      <c r="BB81" s="9"/>
      <c r="BC81" s="9"/>
      <c r="BD81" s="9"/>
      <c r="BE81" s="49"/>
      <c r="BF81" s="89"/>
      <c r="BG81" s="9"/>
      <c r="BH81" s="9"/>
      <c r="BI81" s="9"/>
      <c r="BJ81" s="49"/>
      <c r="BK81" s="89"/>
      <c r="BL81" s="9"/>
      <c r="BM81" s="9"/>
      <c r="BN81" s="9"/>
      <c r="BO81" s="49"/>
      <c r="BP81" s="89"/>
      <c r="BQ81" s="9"/>
      <c r="BR81" s="9"/>
      <c r="BS81" s="9"/>
      <c r="BT81" s="49"/>
      <c r="BU81" s="89"/>
      <c r="BV81" s="9"/>
      <c r="BW81" s="9"/>
      <c r="BX81" s="9"/>
      <c r="BY81" s="49"/>
      <c r="BZ81" s="89"/>
      <c r="CA81" s="9"/>
      <c r="CB81" s="9"/>
      <c r="CC81" s="9"/>
      <c r="CE81" s="1405"/>
      <c r="CF81" s="538"/>
      <c r="CG81" s="538"/>
      <c r="CH81" s="538"/>
      <c r="CI81" s="538"/>
      <c r="CJ81" s="538"/>
      <c r="CK81" s="538"/>
      <c r="CL81" s="538"/>
      <c r="CM81" s="538"/>
      <c r="CN81" s="538"/>
      <c r="CO81" s="538"/>
      <c r="CP81" s="538"/>
      <c r="CQ81" s="538"/>
      <c r="CR81" s="538"/>
      <c r="CS81" s="350"/>
      <c r="CT81" s="46"/>
      <c r="CU81" s="46"/>
      <c r="CV81" s="46"/>
      <c r="CW81" s="46"/>
      <c r="CX81" s="46"/>
      <c r="CY81" s="46"/>
      <c r="CZ81" s="46"/>
      <c r="DA81" s="46"/>
      <c r="DB81" s="46"/>
      <c r="DC81" s="46"/>
      <c r="DD81" s="46"/>
      <c r="DE81" s="61"/>
    </row>
    <row r="82" spans="1:109" x14ac:dyDescent="0.2">
      <c r="A82" s="615" t="s">
        <v>5506</v>
      </c>
      <c r="B82" s="1352" t="s">
        <v>3206</v>
      </c>
      <c r="C82" s="1335" t="s">
        <v>4959</v>
      </c>
      <c r="D82" s="1330" t="s">
        <v>3206</v>
      </c>
      <c r="E82" s="9">
        <v>105400</v>
      </c>
      <c r="F82" s="9">
        <f>37700+100</f>
        <v>37800</v>
      </c>
      <c r="G82" s="9">
        <f>168000+110200-250000</f>
        <v>28200</v>
      </c>
      <c r="H82" s="9">
        <v>175000</v>
      </c>
      <c r="I82" s="9">
        <f>ROUND((H82*Assumptions!J$6+H82),-3)</f>
        <v>182000</v>
      </c>
      <c r="J82" s="46">
        <f>ROUND((I82*Assumptions!K$6+I82),-3)</f>
        <v>187000</v>
      </c>
      <c r="K82" s="9">
        <f>ROUND((J82*Assumptions!L$6+J82),-3)</f>
        <v>192000</v>
      </c>
      <c r="L82" s="46">
        <f>ROUND((K82*Assumptions!M$6+K82),-3)</f>
        <v>197000</v>
      </c>
      <c r="M82" s="9">
        <f>ROUND((L82*Assumptions!N$6+L82),-3)</f>
        <v>202000</v>
      </c>
      <c r="N82" s="9">
        <f>ROUND((M82*Assumptions!O$6+M82),-3)</f>
        <v>207000</v>
      </c>
      <c r="O82" s="9">
        <f>ROUND((N82*Assumptions!P$6+N82),-3)</f>
        <v>212000</v>
      </c>
      <c r="P82" s="9">
        <f>ROUND((O82*Assumptions!Q$6+O82),-3)</f>
        <v>217000</v>
      </c>
      <c r="Q82" s="49">
        <f>ROUND((P82*Assumptions!R$6+P82),-3)</f>
        <v>222000</v>
      </c>
      <c r="R82" s="89"/>
      <c r="S82" s="9"/>
      <c r="T82" s="9"/>
      <c r="U82" s="9">
        <f>136000+26800</f>
        <v>162800</v>
      </c>
      <c r="V82" s="46">
        <f>E82-R82-S82-T82-U82</f>
        <v>-57400</v>
      </c>
      <c r="W82" s="133">
        <v>37800</v>
      </c>
      <c r="X82" s="9"/>
      <c r="Y82" s="46"/>
      <c r="Z82" s="9"/>
      <c r="AA82" s="46">
        <f t="shared" si="261"/>
        <v>0</v>
      </c>
      <c r="AB82" s="133"/>
      <c r="AC82" s="9"/>
      <c r="AD82" s="9"/>
      <c r="AE82" s="9">
        <f>+G82</f>
        <v>28200</v>
      </c>
      <c r="AF82" s="49">
        <f>G82-AB82-AC82-AD82-AE82</f>
        <v>0</v>
      </c>
      <c r="AG82" s="89">
        <f>'Cap Inc'!G25</f>
        <v>109900</v>
      </c>
      <c r="AH82" s="9"/>
      <c r="AI82" s="9"/>
      <c r="AJ82" s="9"/>
      <c r="AK82" s="49">
        <f>H82-AG82-AH82-AI82-AJ82</f>
        <v>65100</v>
      </c>
      <c r="AL82" s="89">
        <f>'Cap Inc'!H25</f>
        <v>112100</v>
      </c>
      <c r="AM82" s="9"/>
      <c r="AN82" s="9"/>
      <c r="AO82" s="9"/>
      <c r="AP82" s="49">
        <f>I82-AL82-AM82-AN82-AO82</f>
        <v>69900</v>
      </c>
      <c r="AQ82" s="89">
        <f>'Cap Inc'!I25</f>
        <v>114400</v>
      </c>
      <c r="AR82" s="9"/>
      <c r="AS82" s="9"/>
      <c r="AT82" s="9"/>
      <c r="AU82" s="61">
        <f>J82-AQ82-AR82-AS82-AT82</f>
        <v>72600</v>
      </c>
      <c r="AV82" s="46">
        <f>'Cap Inc'!J25</f>
        <v>116800</v>
      </c>
      <c r="AW82" s="9"/>
      <c r="AX82" s="9"/>
      <c r="AY82" s="9"/>
      <c r="AZ82" s="49">
        <f>K82-AV82-AW82-AX82-AY82</f>
        <v>75200</v>
      </c>
      <c r="BA82" s="89">
        <f>'Cap Inc'!K25</f>
        <v>119200</v>
      </c>
      <c r="BB82" s="9"/>
      <c r="BC82" s="9"/>
      <c r="BD82" s="9"/>
      <c r="BE82" s="49">
        <f>L82-BA82-BB82-BC82-BD82</f>
        <v>77800</v>
      </c>
      <c r="BF82" s="89">
        <f>'Cap Inc'!L25</f>
        <v>121600</v>
      </c>
      <c r="BG82" s="9"/>
      <c r="BH82" s="9"/>
      <c r="BI82" s="9"/>
      <c r="BJ82" s="49">
        <f>M82-BF82-BG82-BH82-BI82</f>
        <v>80400</v>
      </c>
      <c r="BK82" s="89">
        <f>'Cap Inc'!M25</f>
        <v>124200</v>
      </c>
      <c r="BL82" s="9"/>
      <c r="BM82" s="9"/>
      <c r="BN82" s="9"/>
      <c r="BO82" s="49">
        <f>N82-BK82-BL82-BM82-BN82</f>
        <v>82800</v>
      </c>
      <c r="BP82" s="89">
        <f>'Cap Inc'!N25</f>
        <v>126800</v>
      </c>
      <c r="BQ82" s="9"/>
      <c r="BR82" s="9"/>
      <c r="BS82" s="9"/>
      <c r="BT82" s="49">
        <f>O82-BP82-BQ82-BR82-BS82</f>
        <v>85200</v>
      </c>
      <c r="BU82" s="89">
        <f>'Cap Inc'!O25</f>
        <v>129400</v>
      </c>
      <c r="BV82" s="9"/>
      <c r="BW82" s="9"/>
      <c r="BX82" s="9"/>
      <c r="BY82" s="49">
        <f>P82-BU82-BV82-BW82-BX82</f>
        <v>87600</v>
      </c>
      <c r="BZ82" s="89">
        <f>+'Cap Inc'!P25</f>
        <v>132200</v>
      </c>
      <c r="CA82" s="9"/>
      <c r="CB82" s="9"/>
      <c r="CC82" s="9"/>
      <c r="CD82" s="46">
        <f t="shared" ref="CD82" si="271">Q82-BZ82-CA82-CB82-CC82</f>
        <v>89800</v>
      </c>
      <c r="CE82" s="1406">
        <v>1</v>
      </c>
      <c r="CF82" s="833">
        <f t="shared" ref="CF82:CN82" si="272">CE82</f>
        <v>1</v>
      </c>
      <c r="CG82" s="833">
        <f t="shared" si="272"/>
        <v>1</v>
      </c>
      <c r="CH82" s="833">
        <f t="shared" si="272"/>
        <v>1</v>
      </c>
      <c r="CI82" s="833">
        <f t="shared" si="272"/>
        <v>1</v>
      </c>
      <c r="CJ82" s="833">
        <f t="shared" si="272"/>
        <v>1</v>
      </c>
      <c r="CK82" s="833">
        <f t="shared" si="272"/>
        <v>1</v>
      </c>
      <c r="CL82" s="833">
        <f t="shared" si="272"/>
        <v>1</v>
      </c>
      <c r="CM82" s="833">
        <f t="shared" si="272"/>
        <v>1</v>
      </c>
      <c r="CN82" s="833">
        <f t="shared" si="272"/>
        <v>1</v>
      </c>
      <c r="CO82" s="833">
        <f t="shared" ref="CO82:CQ83" si="273">CN82</f>
        <v>1</v>
      </c>
      <c r="CP82" s="833">
        <f t="shared" si="273"/>
        <v>1</v>
      </c>
      <c r="CQ82" s="833">
        <f t="shared" si="273"/>
        <v>1</v>
      </c>
      <c r="CR82" s="833"/>
      <c r="CS82" s="1125">
        <f t="shared" ref="CS82:DE83" si="274">ROUND(CE82*E82,-3)</f>
        <v>105000</v>
      </c>
      <c r="CT82" s="31">
        <f t="shared" si="274"/>
        <v>38000</v>
      </c>
      <c r="CU82" s="31">
        <f t="shared" si="274"/>
        <v>28000</v>
      </c>
      <c r="CV82" s="31">
        <f t="shared" si="274"/>
        <v>175000</v>
      </c>
      <c r="CW82" s="31">
        <f t="shared" si="274"/>
        <v>182000</v>
      </c>
      <c r="CX82" s="31">
        <f t="shared" si="274"/>
        <v>187000</v>
      </c>
      <c r="CY82" s="31">
        <f t="shared" si="274"/>
        <v>192000</v>
      </c>
      <c r="CZ82" s="31">
        <f t="shared" si="274"/>
        <v>197000</v>
      </c>
      <c r="DA82" s="31">
        <f t="shared" si="274"/>
        <v>202000</v>
      </c>
      <c r="DB82" s="31">
        <f t="shared" si="274"/>
        <v>207000</v>
      </c>
      <c r="DC82" s="31">
        <f t="shared" si="274"/>
        <v>212000</v>
      </c>
      <c r="DD82" s="31">
        <f t="shared" si="274"/>
        <v>217000</v>
      </c>
      <c r="DE82" s="78">
        <f t="shared" si="274"/>
        <v>222000</v>
      </c>
    </row>
    <row r="83" spans="1:109" x14ac:dyDescent="0.2">
      <c r="A83" s="615" t="s">
        <v>5420</v>
      </c>
      <c r="B83" s="1354" t="s">
        <v>5148</v>
      </c>
      <c r="C83" s="1335" t="s">
        <v>5149</v>
      </c>
      <c r="D83" s="1330" t="s">
        <v>5149</v>
      </c>
      <c r="E83" s="89">
        <v>13700</v>
      </c>
      <c r="F83" s="9">
        <f>200+1372000</f>
        <v>1372200</v>
      </c>
      <c r="G83" s="79">
        <v>196600</v>
      </c>
      <c r="H83" s="9"/>
      <c r="I83" s="9"/>
      <c r="J83" s="46"/>
      <c r="K83" s="9"/>
      <c r="L83" s="46"/>
      <c r="M83" s="9"/>
      <c r="N83" s="9"/>
      <c r="O83" s="9"/>
      <c r="P83" s="9"/>
      <c r="Q83" s="49"/>
      <c r="R83" s="89">
        <f>'Cap Inc'!B25</f>
        <v>330000</v>
      </c>
      <c r="S83" s="9"/>
      <c r="T83" s="9"/>
      <c r="U83" s="9">
        <f>'Res-Gen'!C161</f>
        <v>15200</v>
      </c>
      <c r="V83" s="46">
        <f>E83-R83-S83-T83-U83</f>
        <v>-331500</v>
      </c>
      <c r="W83" s="133">
        <v>450600</v>
      </c>
      <c r="X83" s="9"/>
      <c r="Y83" s="46"/>
      <c r="Z83" s="9">
        <f>+F83-W83</f>
        <v>921600</v>
      </c>
      <c r="AA83" s="46">
        <f t="shared" si="261"/>
        <v>0</v>
      </c>
      <c r="AB83" s="133"/>
      <c r="AC83" s="9"/>
      <c r="AD83" s="9"/>
      <c r="AE83" s="9">
        <f>+'Res-Gen'!I160</f>
        <v>196600</v>
      </c>
      <c r="AF83" s="49">
        <f>G83-AB83-AC83-AD83-AE83</f>
        <v>0</v>
      </c>
      <c r="AG83" s="89"/>
      <c r="AH83" s="9"/>
      <c r="AI83" s="9"/>
      <c r="AJ83" s="9"/>
      <c r="AK83" s="49"/>
      <c r="AL83" s="89"/>
      <c r="AM83" s="9"/>
      <c r="AN83" s="9"/>
      <c r="AO83" s="9"/>
      <c r="AP83" s="49"/>
      <c r="AQ83" s="89"/>
      <c r="AR83" s="9"/>
      <c r="AS83" s="9"/>
      <c r="AT83" s="9"/>
      <c r="AU83" s="61"/>
      <c r="AW83" s="9"/>
      <c r="AX83" s="9"/>
      <c r="AY83" s="9"/>
      <c r="AZ83" s="49"/>
      <c r="BA83" s="89"/>
      <c r="BB83" s="9"/>
      <c r="BC83" s="9"/>
      <c r="BD83" s="9"/>
      <c r="BE83" s="49"/>
      <c r="BF83" s="89"/>
      <c r="BG83" s="9"/>
      <c r="BH83" s="9"/>
      <c r="BI83" s="9"/>
      <c r="BJ83" s="49"/>
      <c r="BK83" s="89"/>
      <c r="BL83" s="9"/>
      <c r="BM83" s="9"/>
      <c r="BN83" s="9"/>
      <c r="BO83" s="49"/>
      <c r="BP83" s="89"/>
      <c r="BQ83" s="9"/>
      <c r="BR83" s="9"/>
      <c r="BS83" s="9"/>
      <c r="BT83" s="49"/>
      <c r="BU83" s="89"/>
      <c r="BV83" s="9"/>
      <c r="BW83" s="9"/>
      <c r="BX83" s="9"/>
      <c r="BY83" s="49"/>
      <c r="BZ83" s="89"/>
      <c r="CA83" s="9"/>
      <c r="CB83" s="9"/>
      <c r="CC83" s="9"/>
      <c r="CE83" s="1406">
        <v>1</v>
      </c>
      <c r="CF83" s="833">
        <f t="shared" ref="CF83:CN83" si="275">CE83</f>
        <v>1</v>
      </c>
      <c r="CG83" s="833">
        <f t="shared" si="275"/>
        <v>1</v>
      </c>
      <c r="CH83" s="833">
        <f t="shared" si="275"/>
        <v>1</v>
      </c>
      <c r="CI83" s="833">
        <f t="shared" si="275"/>
        <v>1</v>
      </c>
      <c r="CJ83" s="833">
        <f t="shared" si="275"/>
        <v>1</v>
      </c>
      <c r="CK83" s="833">
        <f t="shared" si="275"/>
        <v>1</v>
      </c>
      <c r="CL83" s="833">
        <f t="shared" si="275"/>
        <v>1</v>
      </c>
      <c r="CM83" s="833">
        <f t="shared" si="275"/>
        <v>1</v>
      </c>
      <c r="CN83" s="833">
        <f t="shared" si="275"/>
        <v>1</v>
      </c>
      <c r="CO83" s="833">
        <f t="shared" si="273"/>
        <v>1</v>
      </c>
      <c r="CP83" s="833">
        <f t="shared" si="273"/>
        <v>1</v>
      </c>
      <c r="CQ83" s="833">
        <f t="shared" si="273"/>
        <v>1</v>
      </c>
      <c r="CR83" s="833"/>
      <c r="CS83" s="1125">
        <f t="shared" si="274"/>
        <v>14000</v>
      </c>
      <c r="CT83" s="31">
        <f t="shared" si="274"/>
        <v>1372000</v>
      </c>
      <c r="CU83" s="31">
        <f t="shared" si="274"/>
        <v>197000</v>
      </c>
      <c r="CV83" s="31">
        <f t="shared" si="274"/>
        <v>0</v>
      </c>
      <c r="CW83" s="31">
        <f t="shared" si="274"/>
        <v>0</v>
      </c>
      <c r="CX83" s="31">
        <f t="shared" si="274"/>
        <v>0</v>
      </c>
      <c r="CY83" s="31">
        <f t="shared" si="274"/>
        <v>0</v>
      </c>
      <c r="CZ83" s="31">
        <f t="shared" si="274"/>
        <v>0</v>
      </c>
      <c r="DA83" s="31">
        <f t="shared" si="274"/>
        <v>0</v>
      </c>
      <c r="DB83" s="31">
        <f t="shared" si="274"/>
        <v>0</v>
      </c>
      <c r="DC83" s="31">
        <f t="shared" si="274"/>
        <v>0</v>
      </c>
      <c r="DD83" s="31">
        <f t="shared" si="274"/>
        <v>0</v>
      </c>
      <c r="DE83" s="78">
        <f t="shared" si="274"/>
        <v>0</v>
      </c>
    </row>
    <row r="84" spans="1:109" ht="13.5" thickBot="1" x14ac:dyDescent="0.25">
      <c r="A84" s="299"/>
      <c r="B84" s="1365"/>
      <c r="C84" s="1343"/>
      <c r="D84" s="1390"/>
      <c r="E84" s="113"/>
      <c r="F84" s="23"/>
      <c r="G84" s="23"/>
      <c r="H84" s="23"/>
      <c r="I84" s="227"/>
      <c r="J84" s="227"/>
      <c r="K84" s="227"/>
      <c r="L84" s="227"/>
      <c r="M84" s="23"/>
      <c r="N84" s="23"/>
      <c r="O84" s="23"/>
      <c r="P84" s="23"/>
      <c r="Q84" s="223"/>
      <c r="R84" s="113"/>
      <c r="S84" s="23"/>
      <c r="T84" s="23"/>
      <c r="U84" s="23"/>
      <c r="V84" s="121"/>
      <c r="W84" s="158"/>
      <c r="X84" s="23"/>
      <c r="Y84" s="121"/>
      <c r="Z84" s="23"/>
      <c r="AA84" s="121"/>
      <c r="AB84" s="158"/>
      <c r="AC84" s="23"/>
      <c r="AD84" s="23"/>
      <c r="AE84" s="23"/>
      <c r="AF84" s="223"/>
      <c r="AG84" s="113"/>
      <c r="AH84" s="23"/>
      <c r="AI84" s="23"/>
      <c r="AJ84" s="23"/>
      <c r="AK84" s="223"/>
      <c r="AL84" s="113"/>
      <c r="AM84" s="23"/>
      <c r="AN84" s="23"/>
      <c r="AO84" s="23"/>
      <c r="AP84" s="223"/>
      <c r="AQ84" s="113"/>
      <c r="AR84" s="23"/>
      <c r="AS84" s="23"/>
      <c r="AT84" s="23"/>
      <c r="AU84" s="112"/>
      <c r="AV84" s="121"/>
      <c r="AW84" s="23"/>
      <c r="AX84" s="23"/>
      <c r="AY84" s="23"/>
      <c r="AZ84" s="223"/>
      <c r="BA84" s="113"/>
      <c r="BB84" s="23"/>
      <c r="BC84" s="23"/>
      <c r="BD84" s="23"/>
      <c r="BE84" s="223"/>
      <c r="BF84" s="113"/>
      <c r="BG84" s="23"/>
      <c r="BH84" s="23"/>
      <c r="BI84" s="23"/>
      <c r="BJ84" s="223"/>
      <c r="BK84" s="113"/>
      <c r="BL84" s="23"/>
      <c r="BM84" s="23"/>
      <c r="BN84" s="23"/>
      <c r="BO84" s="223"/>
      <c r="BP84" s="113"/>
      <c r="BQ84" s="23"/>
      <c r="BR84" s="23"/>
      <c r="BS84" s="23"/>
      <c r="BT84" s="223"/>
      <c r="BU84" s="113"/>
      <c r="BV84" s="23"/>
      <c r="BW84" s="23"/>
      <c r="BX84" s="23"/>
      <c r="BY84" s="223"/>
      <c r="BZ84" s="113"/>
      <c r="CA84" s="23"/>
      <c r="CB84" s="23"/>
      <c r="CC84" s="23"/>
      <c r="CD84" s="121"/>
      <c r="CE84" s="1405"/>
      <c r="CF84" s="538"/>
      <c r="CG84" s="538"/>
      <c r="CH84" s="538"/>
      <c r="CI84" s="538"/>
      <c r="CJ84" s="538"/>
      <c r="CK84" s="538"/>
      <c r="CL84" s="538"/>
      <c r="CM84" s="538"/>
      <c r="CN84" s="538"/>
      <c r="CO84" s="538"/>
      <c r="CP84" s="538"/>
      <c r="CQ84" s="538"/>
      <c r="CR84" s="833"/>
      <c r="CS84" s="1125"/>
      <c r="CT84" s="46"/>
      <c r="CU84" s="46"/>
      <c r="CV84" s="46"/>
      <c r="CW84" s="46"/>
      <c r="CX84" s="46"/>
      <c r="CY84" s="46"/>
      <c r="CZ84" s="46"/>
      <c r="DA84" s="46"/>
      <c r="DB84" s="46"/>
      <c r="DC84" s="46"/>
      <c r="DD84" s="46"/>
      <c r="DE84" s="61"/>
    </row>
    <row r="85" spans="1:109" s="46" customFormat="1" ht="14.25" thickTop="1" thickBot="1" x14ac:dyDescent="0.25">
      <c r="A85" s="298"/>
      <c r="B85" s="1366"/>
      <c r="C85" s="1344"/>
      <c r="D85" s="1583"/>
      <c r="CE85" s="1405"/>
      <c r="CF85" s="538"/>
      <c r="CG85" s="538"/>
      <c r="CH85" s="538"/>
      <c r="CI85" s="538"/>
      <c r="CJ85" s="538"/>
      <c r="CK85" s="538"/>
      <c r="CL85" s="538"/>
      <c r="CM85" s="538"/>
      <c r="CN85" s="538"/>
      <c r="CO85" s="538"/>
      <c r="CP85" s="538"/>
      <c r="CQ85" s="538"/>
      <c r="CR85" s="833"/>
      <c r="CS85" s="1125"/>
      <c r="DE85" s="61"/>
    </row>
    <row r="86" spans="1:109" s="317" customFormat="1" ht="19.5" thickTop="1" thickBot="1" x14ac:dyDescent="0.3">
      <c r="A86" s="2633" t="s">
        <v>5040</v>
      </c>
      <c r="B86" s="2634"/>
      <c r="C86" s="2634"/>
      <c r="D86" s="2634"/>
      <c r="E86" s="2634"/>
      <c r="F86" s="2634"/>
      <c r="G86" s="2634"/>
      <c r="H86" s="2634"/>
      <c r="I86" s="2634"/>
      <c r="J86" s="2634"/>
      <c r="K86" s="2634"/>
      <c r="L86" s="2634"/>
      <c r="M86" s="2634"/>
      <c r="N86" s="2634"/>
      <c r="O86" s="2634"/>
      <c r="P86" s="2634"/>
      <c r="Q86" s="2634"/>
      <c r="R86" s="2634"/>
      <c r="S86" s="2634"/>
      <c r="T86" s="2634"/>
      <c r="U86" s="2634"/>
      <c r="V86" s="2634"/>
      <c r="W86" s="2634"/>
      <c r="X86" s="2634"/>
      <c r="Y86" s="2634"/>
      <c r="Z86" s="2634"/>
      <c r="AA86" s="2634"/>
      <c r="AB86" s="2634"/>
      <c r="AC86" s="2634"/>
      <c r="AD86" s="2634"/>
      <c r="AE86" s="2634"/>
      <c r="AF86" s="2634"/>
      <c r="AG86" s="2634"/>
      <c r="AH86" s="2634"/>
      <c r="AI86" s="2634"/>
      <c r="AJ86" s="2634"/>
      <c r="AK86" s="2634"/>
      <c r="AL86" s="2634"/>
      <c r="AM86" s="2634"/>
      <c r="AN86" s="2634"/>
      <c r="AO86" s="2634"/>
      <c r="AP86" s="2634"/>
      <c r="AQ86" s="2634"/>
      <c r="AR86" s="2634"/>
      <c r="AS86" s="2634"/>
      <c r="AT86" s="2634"/>
      <c r="AU86" s="2635"/>
      <c r="AV86" s="390"/>
      <c r="AW86" s="390"/>
      <c r="AX86" s="390"/>
      <c r="AY86" s="390"/>
      <c r="AZ86" s="637"/>
      <c r="BA86" s="390"/>
      <c r="BB86" s="390"/>
      <c r="BC86" s="390"/>
      <c r="BD86" s="390"/>
      <c r="BE86" s="637"/>
      <c r="BF86" s="390"/>
      <c r="BG86" s="390"/>
      <c r="BH86" s="390"/>
      <c r="BI86" s="390"/>
      <c r="BJ86" s="637"/>
      <c r="BK86" s="390"/>
      <c r="BL86" s="390"/>
      <c r="BM86" s="390"/>
      <c r="BN86" s="390"/>
      <c r="BO86" s="637"/>
      <c r="BP86" s="390"/>
      <c r="BQ86" s="390"/>
      <c r="BR86" s="390"/>
      <c r="BS86" s="390"/>
      <c r="BT86" s="390"/>
      <c r="BU86" s="390"/>
      <c r="BV86" s="390"/>
      <c r="BW86" s="390"/>
      <c r="BX86" s="390"/>
      <c r="BY86" s="390"/>
      <c r="BZ86" s="390"/>
      <c r="CA86" s="390"/>
      <c r="CB86" s="390"/>
      <c r="CC86" s="390"/>
      <c r="CD86" s="390"/>
      <c r="CE86" s="1405"/>
      <c r="CF86" s="538"/>
      <c r="CG86" s="1121"/>
      <c r="CH86" s="1121"/>
      <c r="CI86" s="1121"/>
      <c r="CJ86" s="1121"/>
      <c r="CK86" s="1121"/>
      <c r="CL86" s="1121"/>
      <c r="CM86" s="1121"/>
      <c r="CN86" s="1121"/>
      <c r="CO86" s="1121"/>
      <c r="CP86" s="1121"/>
      <c r="CQ86" s="1121"/>
      <c r="CR86" s="833"/>
      <c r="CS86" s="1125"/>
      <c r="CT86" s="620"/>
      <c r="CU86" s="620"/>
      <c r="CV86" s="620"/>
      <c r="CW86" s="620"/>
      <c r="CX86" s="620"/>
      <c r="CY86" s="620"/>
      <c r="CZ86" s="620"/>
      <c r="DA86" s="620"/>
      <c r="DB86" s="620"/>
      <c r="DC86" s="620"/>
      <c r="DD86" s="620"/>
      <c r="DE86" s="959"/>
    </row>
    <row r="87" spans="1:109" ht="14.25" thickTop="1" thickBot="1" x14ac:dyDescent="0.25">
      <c r="A87" s="1626"/>
      <c r="B87" s="1627"/>
      <c r="C87" s="1628"/>
      <c r="D87" s="1629"/>
      <c r="E87" s="2636" t="str">
        <f>E2</f>
        <v>Expenditure Year</v>
      </c>
      <c r="F87" s="2637"/>
      <c r="G87" s="2637"/>
      <c r="H87" s="2637"/>
      <c r="I87" s="2637"/>
      <c r="J87" s="2637"/>
      <c r="K87" s="2637"/>
      <c r="L87" s="2637"/>
      <c r="M87" s="2637"/>
      <c r="N87" s="2637"/>
      <c r="O87" s="2637"/>
      <c r="P87" s="2637"/>
      <c r="Q87" s="2637"/>
      <c r="R87" s="1630" t="str">
        <f>R2</f>
        <v>Funding Sources</v>
      </c>
      <c r="S87" s="1630"/>
      <c r="T87" s="1630"/>
      <c r="U87" s="1630" t="str">
        <f>U2</f>
        <v>2015/16</v>
      </c>
      <c r="V87" s="1631"/>
      <c r="W87" s="1666" t="s">
        <v>2857</v>
      </c>
      <c r="X87" s="1630"/>
      <c r="Y87" s="1630"/>
      <c r="Z87" s="1630" t="str">
        <f>Z2</f>
        <v>2016/17</v>
      </c>
      <c r="AA87" s="1631"/>
      <c r="AB87" s="1666" t="str">
        <f>AB2</f>
        <v>Funding Sources</v>
      </c>
      <c r="AC87" s="1630"/>
      <c r="AD87" s="1630"/>
      <c r="AE87" s="1630" t="str">
        <f>AE2</f>
        <v>2017/18</v>
      </c>
      <c r="AF87" s="1631"/>
      <c r="AG87" s="1630" t="str">
        <f>AG2</f>
        <v>Funding Sources</v>
      </c>
      <c r="AH87" s="1630"/>
      <c r="AI87" s="1630"/>
      <c r="AJ87" s="1630" t="str">
        <f>AJ2</f>
        <v>2018/19</v>
      </c>
      <c r="AK87" s="1631"/>
      <c r="AL87" s="1630" t="str">
        <f>AL2</f>
        <v>Funding Sources</v>
      </c>
      <c r="AM87" s="1630"/>
      <c r="AN87" s="1630"/>
      <c r="AO87" s="1630" t="str">
        <f>AO2</f>
        <v>2019/20</v>
      </c>
      <c r="AP87" s="1632"/>
      <c r="AQ87" s="1630" t="str">
        <f>AQ2</f>
        <v>Funding Sources</v>
      </c>
      <c r="AR87" s="1630"/>
      <c r="AS87" s="1630"/>
      <c r="AT87" s="1630" t="str">
        <f>AT2</f>
        <v>2020/21</v>
      </c>
      <c r="AU87" s="1632"/>
      <c r="AV87" s="156" t="str">
        <f>AV2</f>
        <v>Funding Sources</v>
      </c>
      <c r="AW87" s="156"/>
      <c r="AX87" s="156"/>
      <c r="AY87" s="156" t="str">
        <f>AY2</f>
        <v>2021/22</v>
      </c>
      <c r="AZ87" s="309"/>
      <c r="BA87" s="156" t="str">
        <f>BA2</f>
        <v>Funding Sources</v>
      </c>
      <c r="BB87" s="156"/>
      <c r="BC87" s="156"/>
      <c r="BD87" s="156" t="str">
        <f>BD2</f>
        <v>2022/23</v>
      </c>
      <c r="BE87" s="309"/>
      <c r="BF87" s="156" t="str">
        <f>BF2</f>
        <v>Funding Sources</v>
      </c>
      <c r="BG87" s="156"/>
      <c r="BH87" s="156"/>
      <c r="BI87" s="156" t="str">
        <f>BI2</f>
        <v>2023/24</v>
      </c>
      <c r="BJ87" s="309"/>
      <c r="BK87" s="156" t="str">
        <f>BK2</f>
        <v>Funding Sources</v>
      </c>
      <c r="BL87" s="156"/>
      <c r="BM87" s="156"/>
      <c r="BN87" s="156" t="str">
        <f>BN2</f>
        <v>2024/25</v>
      </c>
      <c r="BO87" s="309"/>
      <c r="BP87" s="156" t="str">
        <f>BP2</f>
        <v>Funding Sources</v>
      </c>
      <c r="BQ87" s="156"/>
      <c r="BR87" s="156"/>
      <c r="BS87" s="156" t="str">
        <f>BS2</f>
        <v>2025/26</v>
      </c>
      <c r="BT87" s="309"/>
      <c r="BU87" s="156" t="str">
        <f>BU2</f>
        <v>Funding Sources</v>
      </c>
      <c r="BV87" s="156"/>
      <c r="BW87" s="156"/>
      <c r="BX87" s="156" t="str">
        <f>BX2</f>
        <v>2026/27</v>
      </c>
      <c r="BY87" s="309"/>
      <c r="BZ87" s="156" t="str">
        <f>BZ2</f>
        <v>Funding Sources</v>
      </c>
      <c r="CA87" s="156"/>
      <c r="CB87" s="156"/>
      <c r="CC87" s="156" t="str">
        <f>CC2</f>
        <v>2027/28</v>
      </c>
      <c r="CD87" s="156"/>
      <c r="CE87" s="1405"/>
      <c r="CF87" s="538"/>
      <c r="CG87" s="538"/>
      <c r="CH87" s="538"/>
      <c r="CI87" s="538"/>
      <c r="CJ87" s="538"/>
      <c r="CK87" s="538"/>
      <c r="CL87" s="538"/>
      <c r="CM87" s="538"/>
      <c r="CN87" s="538"/>
      <c r="CO87" s="538"/>
      <c r="CP87" s="538"/>
      <c r="CQ87" s="538"/>
      <c r="CR87" s="538"/>
      <c r="CS87" s="350"/>
      <c r="CT87" s="46"/>
      <c r="CU87" s="46"/>
      <c r="CV87" s="46"/>
      <c r="CW87" s="46"/>
      <c r="CX87" s="46"/>
      <c r="CY87" s="46"/>
      <c r="CZ87" s="46"/>
      <c r="DA87" s="46"/>
      <c r="DB87" s="46"/>
      <c r="DC87" s="46"/>
      <c r="DD87" s="46"/>
      <c r="DE87" s="61"/>
    </row>
    <row r="88" spans="1:109" s="46" customFormat="1" ht="26.25" thickBot="1" x14ac:dyDescent="0.25">
      <c r="A88" s="291" t="s">
        <v>1189</v>
      </c>
      <c r="B88" s="1367"/>
      <c r="C88" s="1345"/>
      <c r="D88" s="1391"/>
      <c r="E88" s="1582" t="str">
        <f>E3</f>
        <v>2015/16</v>
      </c>
      <c r="F88" s="311" t="str">
        <f t="shared" ref="F88:P88" si="276">F3</f>
        <v>2016/17</v>
      </c>
      <c r="G88" s="311" t="str">
        <f t="shared" si="276"/>
        <v>2017/18</v>
      </c>
      <c r="H88" s="311" t="str">
        <f t="shared" si="276"/>
        <v>2018/19</v>
      </c>
      <c r="I88" s="311" t="str">
        <f t="shared" si="276"/>
        <v>2019/20</v>
      </c>
      <c r="J88" s="1676" t="str">
        <f t="shared" si="276"/>
        <v>2020/21</v>
      </c>
      <c r="K88" s="308" t="str">
        <f t="shared" si="276"/>
        <v>2021/22</v>
      </c>
      <c r="L88" s="308" t="str">
        <f t="shared" si="276"/>
        <v>2022/23</v>
      </c>
      <c r="M88" s="311" t="str">
        <f t="shared" si="276"/>
        <v>2023/24</v>
      </c>
      <c r="N88" s="311" t="str">
        <f t="shared" si="276"/>
        <v>2024/25</v>
      </c>
      <c r="O88" s="311" t="str">
        <f t="shared" si="276"/>
        <v>2025/26</v>
      </c>
      <c r="P88" s="311" t="str">
        <f t="shared" si="276"/>
        <v>2026/27</v>
      </c>
      <c r="Q88" s="2232" t="str">
        <f t="shared" ref="Q88" si="277">Q3</f>
        <v>2027/28</v>
      </c>
      <c r="R88" s="313" t="str">
        <f>R3</f>
        <v>Grants / Conts</v>
      </c>
      <c r="S88" s="313" t="str">
        <f>S3</f>
        <v>Sec 94</v>
      </c>
      <c r="T88" s="313" t="str">
        <f>T3</f>
        <v>Loans</v>
      </c>
      <c r="U88" s="313" t="str">
        <f>U3</f>
        <v>Reserves</v>
      </c>
      <c r="V88" s="316" t="str">
        <f>V3</f>
        <v>General Revenue</v>
      </c>
      <c r="W88" s="1663" t="s">
        <v>2470</v>
      </c>
      <c r="X88" s="387" t="str">
        <f>X3</f>
        <v>Sec 94</v>
      </c>
      <c r="Y88" s="313" t="str">
        <f>Y3</f>
        <v>Loans</v>
      </c>
      <c r="Z88" s="313" t="str">
        <f>Z3</f>
        <v>Reserves</v>
      </c>
      <c r="AA88" s="316" t="str">
        <f>AA3</f>
        <v>General Revenue</v>
      </c>
      <c r="AB88" s="1663" t="str">
        <f>AB3</f>
        <v>Grants / Conts</v>
      </c>
      <c r="AC88" s="313" t="str">
        <f>AC3</f>
        <v>Sec 94</v>
      </c>
      <c r="AD88" s="313" t="str">
        <f>AD3</f>
        <v>Loans</v>
      </c>
      <c r="AE88" s="313" t="str">
        <f>AE3</f>
        <v>Reserves</v>
      </c>
      <c r="AF88" s="316" t="str">
        <f>AF3</f>
        <v>General Revenue</v>
      </c>
      <c r="AG88" s="313" t="str">
        <f>AG3</f>
        <v>Grants / Conts</v>
      </c>
      <c r="AH88" s="313" t="str">
        <f>AH3</f>
        <v>Sec 94</v>
      </c>
      <c r="AI88" s="313" t="str">
        <f>AI3</f>
        <v>Loans</v>
      </c>
      <c r="AJ88" s="313" t="str">
        <f>AJ3</f>
        <v>Reserves</v>
      </c>
      <c r="AK88" s="316" t="str">
        <f>AK3</f>
        <v>General Revenue</v>
      </c>
      <c r="AL88" s="313" t="str">
        <f>AL3</f>
        <v>Grants / Conts</v>
      </c>
      <c r="AM88" s="313" t="str">
        <f>AM3</f>
        <v>Sec 94</v>
      </c>
      <c r="AN88" s="313" t="str">
        <f>AN3</f>
        <v>Loans</v>
      </c>
      <c r="AO88" s="313" t="str">
        <f>AO3</f>
        <v>Reserves</v>
      </c>
      <c r="AP88" s="315" t="str">
        <f>AP3</f>
        <v>General Revenue</v>
      </c>
      <c r="AQ88" s="313" t="str">
        <f>AQ3</f>
        <v>Grants / Conts</v>
      </c>
      <c r="AR88" s="313" t="str">
        <f>AR3</f>
        <v>Sec 94</v>
      </c>
      <c r="AS88" s="313" t="str">
        <f>AS3</f>
        <v>Loans</v>
      </c>
      <c r="AT88" s="313" t="str">
        <f>AT3</f>
        <v>Reserves</v>
      </c>
      <c r="AU88" s="315" t="str">
        <f>AU3</f>
        <v>General Revenue</v>
      </c>
      <c r="AV88" s="314" t="str">
        <f>AV3</f>
        <v>Grants / Conts</v>
      </c>
      <c r="AW88" s="313" t="str">
        <f>AW3</f>
        <v>Sec 94</v>
      </c>
      <c r="AX88" s="313" t="str">
        <f>AX3</f>
        <v>Loans</v>
      </c>
      <c r="AY88" s="313" t="str">
        <f>AY3</f>
        <v>Reserves</v>
      </c>
      <c r="AZ88" s="316" t="str">
        <f>AZ3</f>
        <v>General Revenue</v>
      </c>
      <c r="BA88" s="313" t="str">
        <f>BA3</f>
        <v>Grants / Conts</v>
      </c>
      <c r="BB88" s="313" t="str">
        <f>BB3</f>
        <v>Sec 94</v>
      </c>
      <c r="BC88" s="313" t="str">
        <f>BC3</f>
        <v>Loans</v>
      </c>
      <c r="BD88" s="313" t="str">
        <f>BD3</f>
        <v>Reserves</v>
      </c>
      <c r="BE88" s="316" t="str">
        <f>BE3</f>
        <v>General Revenue</v>
      </c>
      <c r="BF88" s="313" t="str">
        <f>BF3</f>
        <v>Grants / Conts</v>
      </c>
      <c r="BG88" s="313" t="str">
        <f>BG3</f>
        <v>Sec 94</v>
      </c>
      <c r="BH88" s="313" t="str">
        <f>BH3</f>
        <v>Loans</v>
      </c>
      <c r="BI88" s="313" t="str">
        <f>BI3</f>
        <v>Reserves</v>
      </c>
      <c r="BJ88" s="316" t="str">
        <f>BJ3</f>
        <v>General Revenue</v>
      </c>
      <c r="BK88" s="313" t="str">
        <f>BK3</f>
        <v>Grants / Conts</v>
      </c>
      <c r="BL88" s="313" t="str">
        <f>BL3</f>
        <v>Sec 94</v>
      </c>
      <c r="BM88" s="313" t="str">
        <f>BM3</f>
        <v>Loans</v>
      </c>
      <c r="BN88" s="313" t="str">
        <f>BN3</f>
        <v>Reserves</v>
      </c>
      <c r="BO88" s="316" t="str">
        <f>BO3</f>
        <v>General Revenue</v>
      </c>
      <c r="BP88" s="313" t="str">
        <f>BP3</f>
        <v>Grants / Conts</v>
      </c>
      <c r="BQ88" s="313" t="str">
        <f>BQ3</f>
        <v>Sec 94</v>
      </c>
      <c r="BR88" s="313" t="str">
        <f>BR3</f>
        <v>Loans</v>
      </c>
      <c r="BS88" s="313" t="str">
        <f>BS3</f>
        <v>Reserves</v>
      </c>
      <c r="BT88" s="316" t="str">
        <f>BT3</f>
        <v>General Revenue</v>
      </c>
      <c r="BU88" s="313" t="str">
        <f>BU3</f>
        <v>Grants / Conts</v>
      </c>
      <c r="BV88" s="313" t="str">
        <f>BV3</f>
        <v>Sec 94</v>
      </c>
      <c r="BW88" s="313" t="str">
        <f>BW3</f>
        <v>Loans</v>
      </c>
      <c r="BX88" s="313" t="str">
        <f>BX3</f>
        <v>Reserves</v>
      </c>
      <c r="BY88" s="316" t="str">
        <f>BY3</f>
        <v>General Revenue</v>
      </c>
      <c r="BZ88" s="313" t="str">
        <f>BZ3</f>
        <v>Grants / Conts</v>
      </c>
      <c r="CA88" s="313" t="str">
        <f>CA3</f>
        <v>Sec 94</v>
      </c>
      <c r="CB88" s="313" t="str">
        <f>CB3</f>
        <v>Loans</v>
      </c>
      <c r="CC88" s="313" t="str">
        <f>CC3</f>
        <v>Reserves</v>
      </c>
      <c r="CD88" s="1119" t="str">
        <f>CD3</f>
        <v>General Revenue</v>
      </c>
      <c r="CE88" s="1405"/>
      <c r="CF88" s="538"/>
      <c r="CG88" s="538"/>
      <c r="CH88" s="538"/>
      <c r="CI88" s="538"/>
      <c r="CJ88" s="538"/>
      <c r="CK88" s="538"/>
      <c r="CL88" s="538"/>
      <c r="CM88" s="538"/>
      <c r="CN88" s="538"/>
      <c r="CO88" s="538"/>
      <c r="CP88" s="538"/>
      <c r="CQ88" s="538"/>
      <c r="CR88" s="538"/>
      <c r="CS88" s="350"/>
      <c r="DE88" s="61"/>
    </row>
    <row r="89" spans="1:109" x14ac:dyDescent="0.2">
      <c r="A89" s="295"/>
      <c r="B89" s="1361"/>
      <c r="C89" s="1339"/>
      <c r="D89" s="1386"/>
      <c r="E89" s="133"/>
      <c r="F89" s="9"/>
      <c r="G89" s="9"/>
      <c r="H89" s="9"/>
      <c r="I89" s="116"/>
      <c r="J89" s="46"/>
      <c r="K89" s="29"/>
      <c r="L89" s="29"/>
      <c r="M89" s="9"/>
      <c r="N89" s="9"/>
      <c r="O89" s="9"/>
      <c r="P89" s="9"/>
      <c r="Q89" s="49"/>
      <c r="R89" s="89"/>
      <c r="S89" s="9"/>
      <c r="T89" s="9"/>
      <c r="U89" s="9"/>
      <c r="V89" s="49"/>
      <c r="W89" s="133"/>
      <c r="X89" s="9"/>
      <c r="Y89" s="46"/>
      <c r="Z89" s="9"/>
      <c r="AA89" s="49"/>
      <c r="AB89" s="133"/>
      <c r="AC89" s="9"/>
      <c r="AD89" s="9"/>
      <c r="AE89" s="9"/>
      <c r="AF89" s="49"/>
      <c r="AG89" s="89"/>
      <c r="AH89" s="9"/>
      <c r="AI89" s="9"/>
      <c r="AJ89" s="9"/>
      <c r="AK89" s="49"/>
      <c r="AL89" s="89"/>
      <c r="AM89" s="9"/>
      <c r="AN89" s="9"/>
      <c r="AO89" s="9"/>
      <c r="AP89" s="61"/>
      <c r="AQ89" s="89"/>
      <c r="AR89" s="9"/>
      <c r="AS89" s="9"/>
      <c r="AT89" s="9"/>
      <c r="AU89" s="61"/>
      <c r="AW89" s="9"/>
      <c r="AX89" s="9"/>
      <c r="AY89" s="9"/>
      <c r="AZ89" s="49"/>
      <c r="BA89" s="89"/>
      <c r="BB89" s="9"/>
      <c r="BC89" s="9"/>
      <c r="BD89" s="9"/>
      <c r="BE89" s="49"/>
      <c r="BF89" s="89"/>
      <c r="BG89" s="9"/>
      <c r="BH89" s="9"/>
      <c r="BI89" s="9"/>
      <c r="BJ89" s="49"/>
      <c r="BK89" s="89"/>
      <c r="BL89" s="9"/>
      <c r="BM89" s="9"/>
      <c r="BN89" s="9"/>
      <c r="BO89" s="49"/>
      <c r="BP89" s="89"/>
      <c r="BQ89" s="9"/>
      <c r="BR89" s="9"/>
      <c r="BS89" s="9"/>
      <c r="BT89" s="49"/>
      <c r="BU89" s="89"/>
      <c r="BV89" s="9"/>
      <c r="BW89" s="9"/>
      <c r="BX89" s="9"/>
      <c r="BY89" s="49"/>
      <c r="BZ89" s="89"/>
      <c r="CA89" s="9"/>
      <c r="CB89" s="9"/>
      <c r="CC89" s="9"/>
      <c r="CE89" s="1405"/>
      <c r="CF89" s="538"/>
      <c r="CG89" s="538"/>
      <c r="CH89" s="538"/>
      <c r="CI89" s="538"/>
      <c r="CJ89" s="538"/>
      <c r="CK89" s="538"/>
      <c r="CL89" s="538"/>
      <c r="CM89" s="538"/>
      <c r="CN89" s="538"/>
      <c r="CO89" s="538"/>
      <c r="CP89" s="538"/>
      <c r="CQ89" s="538"/>
      <c r="CR89" s="538"/>
      <c r="CS89" s="350"/>
      <c r="CT89" s="46"/>
      <c r="CU89" s="46"/>
      <c r="CV89" s="46"/>
      <c r="CW89" s="46"/>
      <c r="CX89" s="46"/>
      <c r="CY89" s="46"/>
      <c r="CZ89" s="46"/>
      <c r="DA89" s="46"/>
      <c r="DB89" s="46"/>
      <c r="DC89" s="46"/>
      <c r="DD89" s="46"/>
      <c r="DE89" s="61"/>
    </row>
    <row r="90" spans="1:109" x14ac:dyDescent="0.2">
      <c r="A90" s="295" t="s">
        <v>4729</v>
      </c>
      <c r="B90" s="1361"/>
      <c r="C90" s="1339"/>
      <c r="D90" s="1386"/>
      <c r="E90" s="133"/>
      <c r="F90" s="9"/>
      <c r="G90" s="9"/>
      <c r="H90" s="9"/>
      <c r="I90" s="9"/>
      <c r="J90" s="9"/>
      <c r="K90" s="9"/>
      <c r="L90" s="46"/>
      <c r="M90" s="9"/>
      <c r="N90" s="9"/>
      <c r="O90" s="9"/>
      <c r="P90" s="9"/>
      <c r="Q90" s="49"/>
      <c r="R90" s="89"/>
      <c r="S90" s="9"/>
      <c r="T90" s="9"/>
      <c r="U90" s="9"/>
      <c r="V90" s="49"/>
      <c r="W90" s="133"/>
      <c r="X90" s="9"/>
      <c r="Y90" s="46"/>
      <c r="Z90" s="9"/>
      <c r="AA90" s="49"/>
      <c r="AB90" s="133"/>
      <c r="AC90" s="9"/>
      <c r="AD90" s="9"/>
      <c r="AE90" s="9"/>
      <c r="AF90" s="49"/>
      <c r="AG90" s="89"/>
      <c r="AH90" s="9"/>
      <c r="AI90" s="9"/>
      <c r="AJ90" s="9"/>
      <c r="AK90" s="49"/>
      <c r="AL90" s="89"/>
      <c r="AM90" s="9"/>
      <c r="AN90" s="9"/>
      <c r="AO90" s="9"/>
      <c r="AP90" s="61"/>
      <c r="AQ90" s="89"/>
      <c r="AR90" s="9"/>
      <c r="AS90" s="9"/>
      <c r="AT90" s="9"/>
      <c r="AU90" s="61"/>
      <c r="AW90" s="9"/>
      <c r="AX90" s="9"/>
      <c r="AY90" s="9"/>
      <c r="AZ90" s="49"/>
      <c r="BA90" s="89"/>
      <c r="BB90" s="9"/>
      <c r="BC90" s="9"/>
      <c r="BD90" s="9"/>
      <c r="BE90" s="49"/>
      <c r="BF90" s="89"/>
      <c r="BG90" s="9"/>
      <c r="BH90" s="9"/>
      <c r="BI90" s="9"/>
      <c r="BJ90" s="49"/>
      <c r="BK90" s="89"/>
      <c r="BL90" s="9"/>
      <c r="BM90" s="9"/>
      <c r="BN90" s="9"/>
      <c r="BO90" s="49"/>
      <c r="BP90" s="89"/>
      <c r="BQ90" s="9"/>
      <c r="BR90" s="9"/>
      <c r="BS90" s="9"/>
      <c r="BT90" s="49"/>
      <c r="BU90" s="89"/>
      <c r="BV90" s="9"/>
      <c r="BW90" s="9"/>
      <c r="BX90" s="9"/>
      <c r="BY90" s="49"/>
      <c r="BZ90" s="89"/>
      <c r="CA90" s="9"/>
      <c r="CB90" s="9"/>
      <c r="CC90" s="9"/>
      <c r="CE90" s="1405"/>
      <c r="CF90" s="538"/>
      <c r="CG90" s="538"/>
      <c r="CH90" s="538"/>
      <c r="CI90" s="538"/>
      <c r="CJ90" s="538"/>
      <c r="CK90" s="538"/>
      <c r="CL90" s="538"/>
      <c r="CM90" s="538"/>
      <c r="CN90" s="538"/>
      <c r="CO90" s="538"/>
      <c r="CP90" s="538"/>
      <c r="CQ90" s="538"/>
      <c r="CR90" s="538"/>
      <c r="CS90" s="350"/>
      <c r="CT90" s="46"/>
      <c r="CU90" s="46"/>
      <c r="CV90" s="46"/>
      <c r="CW90" s="46"/>
      <c r="CX90" s="46"/>
      <c r="CY90" s="46"/>
      <c r="CZ90" s="46"/>
      <c r="DA90" s="46"/>
      <c r="DB90" s="46"/>
      <c r="DC90" s="46"/>
      <c r="DD90" s="46"/>
      <c r="DE90" s="61"/>
    </row>
    <row r="91" spans="1:109" x14ac:dyDescent="0.2">
      <c r="A91" s="615"/>
      <c r="B91" s="1368"/>
      <c r="C91" s="1346"/>
      <c r="D91" s="1331"/>
      <c r="E91" s="133"/>
      <c r="F91" s="9"/>
      <c r="G91" s="9"/>
      <c r="H91" s="9"/>
      <c r="I91" s="9"/>
      <c r="J91" s="9"/>
      <c r="K91" s="9"/>
      <c r="L91" s="46"/>
      <c r="M91" s="9"/>
      <c r="N91" s="9"/>
      <c r="O91" s="9"/>
      <c r="P91" s="9"/>
      <c r="Q91" s="49"/>
      <c r="R91" s="89"/>
      <c r="S91" s="9"/>
      <c r="T91" s="9"/>
      <c r="U91" s="9"/>
      <c r="V91" s="49"/>
      <c r="W91" s="133"/>
      <c r="X91" s="9"/>
      <c r="Y91" s="46"/>
      <c r="Z91" s="9"/>
      <c r="AA91" s="49"/>
      <c r="AB91" s="133"/>
      <c r="AC91" s="9"/>
      <c r="AD91" s="9"/>
      <c r="AE91" s="9"/>
      <c r="AF91" s="49"/>
      <c r="AG91" s="89"/>
      <c r="AH91" s="9"/>
      <c r="AI91" s="9"/>
      <c r="AJ91" s="9"/>
      <c r="AK91" s="49"/>
      <c r="AL91" s="89"/>
      <c r="AM91" s="9"/>
      <c r="AN91" s="9"/>
      <c r="AO91" s="9"/>
      <c r="AP91" s="61"/>
      <c r="AQ91" s="89"/>
      <c r="AR91" s="9"/>
      <c r="AS91" s="9"/>
      <c r="AT91" s="9"/>
      <c r="AU91" s="61"/>
      <c r="AW91" s="9"/>
      <c r="AX91" s="9"/>
      <c r="AY91" s="9"/>
      <c r="AZ91" s="49"/>
      <c r="BA91" s="89"/>
      <c r="BB91" s="9"/>
      <c r="BC91" s="9"/>
      <c r="BD91" s="9"/>
      <c r="BE91" s="49"/>
      <c r="BF91" s="89"/>
      <c r="BG91" s="9"/>
      <c r="BH91" s="9"/>
      <c r="BI91" s="9"/>
      <c r="BJ91" s="49"/>
      <c r="BK91" s="89"/>
      <c r="BL91" s="9"/>
      <c r="BM91" s="9"/>
      <c r="BN91" s="9"/>
      <c r="BO91" s="49"/>
      <c r="BP91" s="89"/>
      <c r="BQ91" s="9"/>
      <c r="BR91" s="9"/>
      <c r="BS91" s="9"/>
      <c r="BT91" s="49"/>
      <c r="BU91" s="89"/>
      <c r="BV91" s="9"/>
      <c r="BW91" s="9"/>
      <c r="BX91" s="9"/>
      <c r="BY91" s="49"/>
      <c r="BZ91" s="89"/>
      <c r="CA91" s="9"/>
      <c r="CB91" s="9"/>
      <c r="CC91" s="9"/>
      <c r="CE91" s="1406"/>
      <c r="CF91" s="833"/>
      <c r="CG91" s="833"/>
      <c r="CH91" s="833"/>
      <c r="CI91" s="833"/>
      <c r="CJ91" s="833"/>
      <c r="CK91" s="833"/>
      <c r="CL91" s="833"/>
      <c r="CM91" s="833"/>
      <c r="CN91" s="833"/>
      <c r="CO91" s="833"/>
      <c r="CP91" s="833"/>
      <c r="CQ91" s="833"/>
      <c r="CR91" s="833"/>
      <c r="CS91" s="1125"/>
      <c r="CT91" s="31"/>
      <c r="CU91" s="31"/>
      <c r="CV91" s="31"/>
      <c r="CW91" s="31"/>
      <c r="CX91" s="31"/>
      <c r="CY91" s="31"/>
      <c r="CZ91" s="31"/>
      <c r="DA91" s="31"/>
      <c r="DB91" s="31"/>
      <c r="DC91" s="31"/>
      <c r="DD91" s="31"/>
      <c r="DE91" s="78"/>
    </row>
    <row r="92" spans="1:109" x14ac:dyDescent="0.2">
      <c r="A92" s="413" t="s">
        <v>3788</v>
      </c>
      <c r="B92" s="1368"/>
      <c r="C92" s="1346"/>
      <c r="D92" s="1331"/>
      <c r="E92" s="133"/>
      <c r="F92" s="9"/>
      <c r="G92" s="9"/>
      <c r="H92" s="9"/>
      <c r="I92" s="9"/>
      <c r="J92" s="9"/>
      <c r="K92" s="9"/>
      <c r="L92" s="46"/>
      <c r="M92" s="9"/>
      <c r="N92" s="9"/>
      <c r="O92" s="9"/>
      <c r="P92" s="9"/>
      <c r="Q92" s="49"/>
      <c r="R92" s="89"/>
      <c r="S92" s="9"/>
      <c r="T92" s="9"/>
      <c r="U92" s="9"/>
      <c r="V92" s="49"/>
      <c r="W92" s="133"/>
      <c r="X92" s="9"/>
      <c r="Y92" s="46"/>
      <c r="Z92" s="9"/>
      <c r="AA92" s="49"/>
      <c r="AB92" s="133"/>
      <c r="AC92" s="9"/>
      <c r="AD92" s="9"/>
      <c r="AE92" s="9"/>
      <c r="AF92" s="49"/>
      <c r="AG92" s="89"/>
      <c r="AH92" s="9"/>
      <c r="AI92" s="9"/>
      <c r="AJ92" s="9"/>
      <c r="AK92" s="49"/>
      <c r="AL92" s="89"/>
      <c r="AM92" s="9"/>
      <c r="AN92" s="9"/>
      <c r="AO92" s="9"/>
      <c r="AP92" s="61"/>
      <c r="AQ92" s="89"/>
      <c r="AR92" s="9"/>
      <c r="AS92" s="9"/>
      <c r="AT92" s="9"/>
      <c r="AU92" s="61"/>
      <c r="AW92" s="9"/>
      <c r="AX92" s="9"/>
      <c r="AY92" s="9"/>
      <c r="AZ92" s="49"/>
      <c r="BA92" s="89"/>
      <c r="BB92" s="9"/>
      <c r="BC92" s="9"/>
      <c r="BD92" s="9"/>
      <c r="BE92" s="49"/>
      <c r="BF92" s="89"/>
      <c r="BG92" s="9"/>
      <c r="BH92" s="9"/>
      <c r="BI92" s="9"/>
      <c r="BJ92" s="49"/>
      <c r="BK92" s="89"/>
      <c r="BL92" s="9"/>
      <c r="BM92" s="9"/>
      <c r="BN92" s="9"/>
      <c r="BO92" s="49"/>
      <c r="BP92" s="89"/>
      <c r="BQ92" s="9"/>
      <c r="BR92" s="9"/>
      <c r="BS92" s="9"/>
      <c r="BT92" s="49"/>
      <c r="BU92" s="89"/>
      <c r="BV92" s="9"/>
      <c r="BW92" s="9"/>
      <c r="BX92" s="9"/>
      <c r="BY92" s="49"/>
      <c r="BZ92" s="89"/>
      <c r="CA92" s="9"/>
      <c r="CB92" s="9"/>
      <c r="CC92" s="9"/>
      <c r="CE92" s="1406"/>
      <c r="CF92" s="833"/>
      <c r="CG92" s="833"/>
      <c r="CH92" s="833"/>
      <c r="CI92" s="833"/>
      <c r="CJ92" s="833"/>
      <c r="CK92" s="833"/>
      <c r="CL92" s="833"/>
      <c r="CM92" s="833"/>
      <c r="CN92" s="833"/>
      <c r="CO92" s="833"/>
      <c r="CP92" s="833"/>
      <c r="CQ92" s="833"/>
      <c r="CR92" s="833"/>
      <c r="CS92" s="1125"/>
      <c r="CT92" s="31"/>
      <c r="CU92" s="31"/>
      <c r="CV92" s="31"/>
      <c r="CW92" s="31"/>
      <c r="CX92" s="31"/>
      <c r="CY92" s="31"/>
      <c r="CZ92" s="31"/>
      <c r="DA92" s="31"/>
      <c r="DB92" s="31"/>
      <c r="DC92" s="31"/>
      <c r="DD92" s="31"/>
      <c r="DE92" s="78"/>
    </row>
    <row r="93" spans="1:109" x14ac:dyDescent="0.2">
      <c r="A93" s="615" t="s">
        <v>5939</v>
      </c>
      <c r="B93" s="1352" t="s">
        <v>3275</v>
      </c>
      <c r="C93" s="1335"/>
      <c r="D93" s="1330"/>
      <c r="E93" s="133">
        <v>1083500</v>
      </c>
      <c r="F93" s="9">
        <v>1021000</v>
      </c>
      <c r="G93" s="9"/>
      <c r="H93" s="9"/>
      <c r="I93" s="9"/>
      <c r="J93" s="9"/>
      <c r="K93" s="9"/>
      <c r="L93" s="46"/>
      <c r="M93" s="9"/>
      <c r="N93" s="9"/>
      <c r="O93" s="9"/>
      <c r="P93" s="9"/>
      <c r="Q93" s="49"/>
      <c r="R93" s="89">
        <f>'Cap Inc'!B30+'Cap Inc'!B31+'Cap Inc'!B32+'Cap Inc'!B33</f>
        <v>447700</v>
      </c>
      <c r="S93" s="9"/>
      <c r="T93" s="9"/>
      <c r="U93" s="9">
        <f>'Res-Gen'!C73+'Res-Gen'!C168</f>
        <v>596500</v>
      </c>
      <c r="V93" s="49">
        <f t="shared" ref="V93:V100" si="278">E93-R93-S93-T93-U93</f>
        <v>39300</v>
      </c>
      <c r="W93" s="133">
        <v>1017300</v>
      </c>
      <c r="X93" s="9"/>
      <c r="Y93" s="46"/>
      <c r="Z93" s="9"/>
      <c r="AA93" s="46">
        <f t="shared" ref="AA93:AA141" si="279">F93-W93-X93-Y93-Z93</f>
        <v>3700</v>
      </c>
      <c r="AB93" s="133"/>
      <c r="AC93" s="9"/>
      <c r="AD93" s="9"/>
      <c r="AE93" s="9"/>
      <c r="AF93" s="49">
        <f t="shared" ref="AF93:AF107" si="280">G93-AB93-AC93-AD93-AE93</f>
        <v>0</v>
      </c>
      <c r="AG93" s="89"/>
      <c r="AH93" s="9"/>
      <c r="AI93" s="9"/>
      <c r="AJ93" s="9"/>
      <c r="AK93" s="49">
        <f t="shared" ref="AK93:AK107" si="281">H93-AG93-AH93-AI93-AJ93</f>
        <v>0</v>
      </c>
      <c r="AL93" s="89"/>
      <c r="AM93" s="9"/>
      <c r="AN93" s="9"/>
      <c r="AO93" s="9"/>
      <c r="AP93" s="61">
        <f t="shared" ref="AP93:AP107" si="282">I93-AL93-AM93-AN93-AO93</f>
        <v>0</v>
      </c>
      <c r="AQ93" s="89"/>
      <c r="AR93" s="9"/>
      <c r="AS93" s="9"/>
      <c r="AT93" s="9"/>
      <c r="AU93" s="61"/>
      <c r="AW93" s="9"/>
      <c r="AX93" s="9"/>
      <c r="AY93" s="9"/>
      <c r="AZ93" s="49"/>
      <c r="BA93" s="89"/>
      <c r="BB93" s="9"/>
      <c r="BC93" s="9"/>
      <c r="BD93" s="9"/>
      <c r="BE93" s="49"/>
      <c r="BF93" s="89"/>
      <c r="BG93" s="9"/>
      <c r="BH93" s="9"/>
      <c r="BI93" s="9"/>
      <c r="BJ93" s="49"/>
      <c r="BK93" s="89"/>
      <c r="BL93" s="9"/>
      <c r="BM93" s="9"/>
      <c r="BN93" s="9"/>
      <c r="BO93" s="49"/>
      <c r="BP93" s="89"/>
      <c r="BQ93" s="9"/>
      <c r="BR93" s="9"/>
      <c r="BS93" s="9"/>
      <c r="BT93" s="49"/>
      <c r="BU93" s="89"/>
      <c r="BV93" s="9"/>
      <c r="BW93" s="9"/>
      <c r="BX93" s="9"/>
      <c r="BY93" s="49"/>
      <c r="BZ93" s="89"/>
      <c r="CA93" s="9"/>
      <c r="CB93" s="9"/>
      <c r="CC93" s="9"/>
      <c r="CE93" s="1406">
        <v>1</v>
      </c>
      <c r="CF93" s="833">
        <f t="shared" ref="CF93:CQ93" si="283">CE93</f>
        <v>1</v>
      </c>
      <c r="CG93" s="833">
        <f t="shared" si="283"/>
        <v>1</v>
      </c>
      <c r="CH93" s="833">
        <f t="shared" si="283"/>
        <v>1</v>
      </c>
      <c r="CI93" s="833">
        <f t="shared" si="283"/>
        <v>1</v>
      </c>
      <c r="CJ93" s="833">
        <f t="shared" si="283"/>
        <v>1</v>
      </c>
      <c r="CK93" s="833">
        <f t="shared" si="283"/>
        <v>1</v>
      </c>
      <c r="CL93" s="833">
        <f t="shared" si="283"/>
        <v>1</v>
      </c>
      <c r="CM93" s="833">
        <f t="shared" si="283"/>
        <v>1</v>
      </c>
      <c r="CN93" s="833">
        <f t="shared" si="283"/>
        <v>1</v>
      </c>
      <c r="CO93" s="833">
        <f t="shared" si="283"/>
        <v>1</v>
      </c>
      <c r="CP93" s="833">
        <f t="shared" si="283"/>
        <v>1</v>
      </c>
      <c r="CQ93" s="833">
        <f t="shared" si="283"/>
        <v>1</v>
      </c>
      <c r="CR93" s="833"/>
      <c r="CS93" s="1125">
        <f t="shared" ref="CS93:CS107" si="284">ROUND(CE93*E93,-3)</f>
        <v>1084000</v>
      </c>
      <c r="CT93" s="31">
        <f t="shared" ref="CT93:CT107" si="285">ROUND(CF93*F93,-3)</f>
        <v>1021000</v>
      </c>
      <c r="CU93" s="31">
        <f t="shared" ref="CU93:CU107" si="286">ROUND(CG93*G93,-3)</f>
        <v>0</v>
      </c>
      <c r="CV93" s="31">
        <f t="shared" ref="CV93:CV107" si="287">ROUND(CH93*H93,-3)</f>
        <v>0</v>
      </c>
      <c r="CW93" s="31">
        <f t="shared" ref="CW93:CW107" si="288">ROUND(CI93*I93,-3)</f>
        <v>0</v>
      </c>
      <c r="CX93" s="31">
        <f t="shared" ref="CX93:CX107" si="289">ROUND(CJ93*J93,-3)</f>
        <v>0</v>
      </c>
      <c r="CY93" s="31">
        <f t="shared" ref="CY93:CY107" si="290">ROUND(CK93*K93,-3)</f>
        <v>0</v>
      </c>
      <c r="CZ93" s="31">
        <f t="shared" ref="CZ93:CZ107" si="291">ROUND(CL93*L93,-3)</f>
        <v>0</v>
      </c>
      <c r="DA93" s="31">
        <f t="shared" ref="DA93:DA107" si="292">ROUND(CM93*M93,-3)</f>
        <v>0</v>
      </c>
      <c r="DB93" s="31">
        <f t="shared" ref="DB93:DB107" si="293">ROUND(CN93*N93,-3)</f>
        <v>0</v>
      </c>
      <c r="DC93" s="31">
        <f t="shared" ref="DC93:DC107" si="294">ROUND(CO93*O93,-3)</f>
        <v>0</v>
      </c>
      <c r="DD93" s="31">
        <f t="shared" ref="DD93:DE107" si="295">ROUND(CP93*P93,-3)</f>
        <v>0</v>
      </c>
      <c r="DE93" s="78">
        <f t="shared" si="295"/>
        <v>0</v>
      </c>
    </row>
    <row r="94" spans="1:109" x14ac:dyDescent="0.2">
      <c r="A94" s="615" t="s">
        <v>11916</v>
      </c>
      <c r="B94" s="1355" t="s">
        <v>429</v>
      </c>
      <c r="C94" s="1335"/>
      <c r="D94" s="1332" t="s">
        <v>429</v>
      </c>
      <c r="E94" s="133">
        <v>59300</v>
      </c>
      <c r="F94" s="9">
        <f>2500-400</f>
        <v>2100</v>
      </c>
      <c r="G94" s="9">
        <v>683500</v>
      </c>
      <c r="H94" s="9"/>
      <c r="I94" s="9"/>
      <c r="J94" s="9"/>
      <c r="K94" s="9"/>
      <c r="L94" s="46"/>
      <c r="M94" s="9"/>
      <c r="N94" s="9"/>
      <c r="O94" s="9"/>
      <c r="P94" s="9"/>
      <c r="Q94" s="49"/>
      <c r="R94" s="89"/>
      <c r="S94" s="9"/>
      <c r="T94" s="9"/>
      <c r="U94" s="9">
        <f>744800+25000-25000-650000</f>
        <v>94800</v>
      </c>
      <c r="V94" s="49">
        <f t="shared" si="278"/>
        <v>-35500</v>
      </c>
      <c r="W94" s="133"/>
      <c r="X94" s="9"/>
      <c r="Y94" s="46"/>
      <c r="Z94" s="9">
        <f>+F94</f>
        <v>2100</v>
      </c>
      <c r="AA94" s="46">
        <f t="shared" si="279"/>
        <v>0</v>
      </c>
      <c r="AB94" s="133"/>
      <c r="AC94" s="9"/>
      <c r="AD94" s="9"/>
      <c r="AE94" s="9">
        <f>+'Res-Gen'!I169</f>
        <v>683500</v>
      </c>
      <c r="AF94" s="49">
        <f t="shared" si="280"/>
        <v>0</v>
      </c>
      <c r="AG94" s="89"/>
      <c r="AH94" s="9"/>
      <c r="AI94" s="9"/>
      <c r="AJ94" s="9"/>
      <c r="AK94" s="49">
        <f t="shared" si="281"/>
        <v>0</v>
      </c>
      <c r="AL94" s="89"/>
      <c r="AM94" s="9"/>
      <c r="AN94" s="9"/>
      <c r="AO94" s="9"/>
      <c r="AP94" s="61">
        <f t="shared" si="282"/>
        <v>0</v>
      </c>
      <c r="AQ94" s="89"/>
      <c r="AR94" s="9"/>
      <c r="AS94" s="9"/>
      <c r="AT94" s="9"/>
      <c r="AU94" s="61"/>
      <c r="AW94" s="9"/>
      <c r="AX94" s="9"/>
      <c r="AY94" s="9"/>
      <c r="AZ94" s="49"/>
      <c r="BA94" s="89"/>
      <c r="BB94" s="9"/>
      <c r="BC94" s="9"/>
      <c r="BD94" s="9"/>
      <c r="BE94" s="49"/>
      <c r="BF94" s="89"/>
      <c r="BG94" s="9"/>
      <c r="BH94" s="9"/>
      <c r="BI94" s="9"/>
      <c r="BJ94" s="49"/>
      <c r="BK94" s="89"/>
      <c r="BL94" s="9"/>
      <c r="BM94" s="9"/>
      <c r="BN94" s="9"/>
      <c r="BO94" s="49"/>
      <c r="BP94" s="89"/>
      <c r="BQ94" s="9"/>
      <c r="BR94" s="9"/>
      <c r="BS94" s="9"/>
      <c r="BT94" s="49"/>
      <c r="BU94" s="89"/>
      <c r="BV94" s="9"/>
      <c r="BW94" s="9"/>
      <c r="BX94" s="9"/>
      <c r="BY94" s="49"/>
      <c r="BZ94" s="89"/>
      <c r="CA94" s="9"/>
      <c r="CB94" s="9"/>
      <c r="CC94" s="9"/>
      <c r="CE94" s="1406">
        <v>1</v>
      </c>
      <c r="CF94" s="833">
        <f t="shared" ref="CF94:CQ94" si="296">CE94</f>
        <v>1</v>
      </c>
      <c r="CG94" s="833">
        <f t="shared" si="296"/>
        <v>1</v>
      </c>
      <c r="CH94" s="833">
        <f t="shared" si="296"/>
        <v>1</v>
      </c>
      <c r="CI94" s="833">
        <f t="shared" si="296"/>
        <v>1</v>
      </c>
      <c r="CJ94" s="833">
        <f t="shared" si="296"/>
        <v>1</v>
      </c>
      <c r="CK94" s="833">
        <f t="shared" si="296"/>
        <v>1</v>
      </c>
      <c r="CL94" s="833">
        <f t="shared" si="296"/>
        <v>1</v>
      </c>
      <c r="CM94" s="833">
        <f t="shared" si="296"/>
        <v>1</v>
      </c>
      <c r="CN94" s="833">
        <f t="shared" si="296"/>
        <v>1</v>
      </c>
      <c r="CO94" s="833">
        <f t="shared" si="296"/>
        <v>1</v>
      </c>
      <c r="CP94" s="833">
        <f t="shared" si="296"/>
        <v>1</v>
      </c>
      <c r="CQ94" s="833">
        <f t="shared" si="296"/>
        <v>1</v>
      </c>
      <c r="CR94" s="833"/>
      <c r="CS94" s="1125">
        <f t="shared" si="284"/>
        <v>59000</v>
      </c>
      <c r="CT94" s="31">
        <f t="shared" si="285"/>
        <v>2000</v>
      </c>
      <c r="CU94" s="31">
        <f t="shared" si="286"/>
        <v>684000</v>
      </c>
      <c r="CV94" s="31">
        <f t="shared" si="287"/>
        <v>0</v>
      </c>
      <c r="CW94" s="31">
        <f t="shared" si="288"/>
        <v>0</v>
      </c>
      <c r="CX94" s="31">
        <f t="shared" si="289"/>
        <v>0</v>
      </c>
      <c r="CY94" s="31">
        <f t="shared" si="290"/>
        <v>0</v>
      </c>
      <c r="CZ94" s="31">
        <f t="shared" si="291"/>
        <v>0</v>
      </c>
      <c r="DA94" s="31">
        <f t="shared" si="292"/>
        <v>0</v>
      </c>
      <c r="DB94" s="31">
        <f t="shared" si="293"/>
        <v>0</v>
      </c>
      <c r="DC94" s="31">
        <f t="shared" si="294"/>
        <v>0</v>
      </c>
      <c r="DD94" s="31">
        <f t="shared" si="295"/>
        <v>0</v>
      </c>
      <c r="DE94" s="78">
        <f t="shared" si="295"/>
        <v>0</v>
      </c>
    </row>
    <row r="95" spans="1:109" x14ac:dyDescent="0.2">
      <c r="A95" s="615" t="s">
        <v>11915</v>
      </c>
      <c r="B95" s="1352" t="s">
        <v>5150</v>
      </c>
      <c r="C95" s="1335" t="s">
        <v>7234</v>
      </c>
      <c r="D95" s="1335" t="s">
        <v>7234</v>
      </c>
      <c r="E95" s="133"/>
      <c r="F95" s="9">
        <v>50900</v>
      </c>
      <c r="G95" s="9">
        <v>100000</v>
      </c>
      <c r="H95" s="9"/>
      <c r="I95" s="9"/>
      <c r="J95" s="9"/>
      <c r="K95" s="9"/>
      <c r="L95" s="46"/>
      <c r="M95" s="9"/>
      <c r="N95" s="9"/>
      <c r="O95" s="9"/>
      <c r="P95" s="9"/>
      <c r="Q95" s="49"/>
      <c r="R95" s="89"/>
      <c r="S95" s="9"/>
      <c r="T95" s="9"/>
      <c r="U95" s="9"/>
      <c r="V95" s="49"/>
      <c r="W95" s="133"/>
      <c r="X95" s="9"/>
      <c r="Y95" s="46"/>
      <c r="Z95" s="9"/>
      <c r="AA95" s="46">
        <f t="shared" si="279"/>
        <v>50900</v>
      </c>
      <c r="AB95" s="133"/>
      <c r="AC95" s="9"/>
      <c r="AD95" s="9"/>
      <c r="AE95" s="9">
        <f>'Res-Gen'!I104</f>
        <v>100000</v>
      </c>
      <c r="AF95" s="49">
        <f t="shared" ref="AF95" si="297">G95-AB95-AC95-AD95-AE95</f>
        <v>0</v>
      </c>
      <c r="AG95" s="89"/>
      <c r="AH95" s="9"/>
      <c r="AI95" s="9"/>
      <c r="AJ95" s="9"/>
      <c r="AK95" s="49">
        <f t="shared" ref="AK95" si="298">H95-AG95-AH95-AI95-AJ95</f>
        <v>0</v>
      </c>
      <c r="AL95" s="89"/>
      <c r="AM95" s="9"/>
      <c r="AN95" s="9"/>
      <c r="AO95" s="9"/>
      <c r="AP95" s="61">
        <f t="shared" ref="AP95" si="299">I95-AL95-AM95-AN95-AO95</f>
        <v>0</v>
      </c>
      <c r="AQ95" s="89"/>
      <c r="AR95" s="9"/>
      <c r="AS95" s="9"/>
      <c r="AT95" s="9"/>
      <c r="AU95" s="61"/>
      <c r="AW95" s="9"/>
      <c r="AX95" s="9"/>
      <c r="AY95" s="9"/>
      <c r="AZ95" s="49"/>
      <c r="BA95" s="89"/>
      <c r="BB95" s="9"/>
      <c r="BC95" s="9"/>
      <c r="BD95" s="9"/>
      <c r="BE95" s="49"/>
      <c r="BF95" s="89"/>
      <c r="BG95" s="9"/>
      <c r="BH95" s="9"/>
      <c r="BI95" s="9"/>
      <c r="BJ95" s="49"/>
      <c r="BK95" s="89"/>
      <c r="BL95" s="9"/>
      <c r="BM95" s="9"/>
      <c r="BN95" s="9"/>
      <c r="BO95" s="49"/>
      <c r="BP95" s="89"/>
      <c r="BQ95" s="9"/>
      <c r="BR95" s="9"/>
      <c r="BS95" s="9"/>
      <c r="BT95" s="49"/>
      <c r="BU95" s="89"/>
      <c r="BV95" s="9"/>
      <c r="BW95" s="9"/>
      <c r="BX95" s="9"/>
      <c r="BY95" s="49"/>
      <c r="BZ95" s="89"/>
      <c r="CA95" s="9"/>
      <c r="CB95" s="9"/>
      <c r="CC95" s="9"/>
      <c r="CE95" s="1406"/>
      <c r="CF95" s="833"/>
      <c r="CG95" s="833"/>
      <c r="CH95" s="833"/>
      <c r="CI95" s="833"/>
      <c r="CJ95" s="833"/>
      <c r="CK95" s="833"/>
      <c r="CL95" s="833"/>
      <c r="CM95" s="833"/>
      <c r="CN95" s="833"/>
      <c r="CO95" s="833"/>
      <c r="CP95" s="833"/>
      <c r="CQ95" s="833"/>
      <c r="CR95" s="833"/>
      <c r="CS95" s="1125"/>
      <c r="CT95" s="31"/>
      <c r="CU95" s="31"/>
      <c r="CV95" s="31"/>
      <c r="CW95" s="31"/>
      <c r="CX95" s="31"/>
      <c r="CY95" s="31"/>
      <c r="CZ95" s="31"/>
      <c r="DA95" s="31"/>
      <c r="DB95" s="31"/>
      <c r="DC95" s="31"/>
      <c r="DD95" s="31"/>
      <c r="DE95" s="78"/>
    </row>
    <row r="96" spans="1:109" x14ac:dyDescent="0.2">
      <c r="A96" s="615" t="s">
        <v>7082</v>
      </c>
      <c r="B96" s="1355" t="s">
        <v>510</v>
      </c>
      <c r="C96" s="1335"/>
      <c r="D96" s="1332"/>
      <c r="E96" s="133">
        <v>42800</v>
      </c>
      <c r="F96" s="9">
        <v>300</v>
      </c>
      <c r="G96" s="9">
        <v>50000</v>
      </c>
      <c r="H96" s="9"/>
      <c r="I96" s="9"/>
      <c r="J96" s="9"/>
      <c r="K96" s="9"/>
      <c r="L96" s="9"/>
      <c r="M96" s="9"/>
      <c r="N96" s="9"/>
      <c r="O96" s="9"/>
      <c r="P96" s="9"/>
      <c r="Q96" s="49"/>
      <c r="R96" s="89"/>
      <c r="S96" s="9"/>
      <c r="T96" s="9"/>
      <c r="U96" s="9">
        <f>E96</f>
        <v>42800</v>
      </c>
      <c r="V96" s="49">
        <f t="shared" si="278"/>
        <v>0</v>
      </c>
      <c r="W96" s="133"/>
      <c r="X96" s="9"/>
      <c r="Y96" s="46"/>
      <c r="Z96" s="9">
        <f>+F96</f>
        <v>300</v>
      </c>
      <c r="AA96" s="46">
        <f>F96-W96-X96-Y96-Z96</f>
        <v>0</v>
      </c>
      <c r="AB96" s="133"/>
      <c r="AC96" s="9"/>
      <c r="AD96" s="9"/>
      <c r="AE96" s="9">
        <f>+G96</f>
        <v>50000</v>
      </c>
      <c r="AF96" s="49">
        <f t="shared" si="280"/>
        <v>0</v>
      </c>
      <c r="AG96" s="89"/>
      <c r="AH96" s="9"/>
      <c r="AI96" s="9"/>
      <c r="AJ96" s="9"/>
      <c r="AK96" s="49">
        <f t="shared" si="281"/>
        <v>0</v>
      </c>
      <c r="AL96" s="89"/>
      <c r="AM96" s="9"/>
      <c r="AN96" s="9"/>
      <c r="AO96" s="9"/>
      <c r="AP96" s="61">
        <f t="shared" si="282"/>
        <v>0</v>
      </c>
      <c r="AQ96" s="89"/>
      <c r="AR96" s="9"/>
      <c r="AS96" s="9"/>
      <c r="AT96" s="9"/>
      <c r="AU96" s="61"/>
      <c r="AW96" s="9"/>
      <c r="AX96" s="9"/>
      <c r="AY96" s="9"/>
      <c r="AZ96" s="49"/>
      <c r="BA96" s="89"/>
      <c r="BB96" s="9"/>
      <c r="BC96" s="9"/>
      <c r="BD96" s="9"/>
      <c r="BE96" s="49"/>
      <c r="BF96" s="89"/>
      <c r="BG96" s="9"/>
      <c r="BH96" s="9"/>
      <c r="BI96" s="9"/>
      <c r="BJ96" s="49"/>
      <c r="BK96" s="89"/>
      <c r="BL96" s="9"/>
      <c r="BM96" s="9"/>
      <c r="BN96" s="9"/>
      <c r="BO96" s="49"/>
      <c r="BP96" s="89"/>
      <c r="BQ96" s="9"/>
      <c r="BR96" s="9"/>
      <c r="BS96" s="9"/>
      <c r="BT96" s="49"/>
      <c r="BU96" s="89"/>
      <c r="BV96" s="9"/>
      <c r="BW96" s="9"/>
      <c r="BX96" s="9"/>
      <c r="BY96" s="49"/>
      <c r="BZ96" s="89"/>
      <c r="CA96" s="9"/>
      <c r="CB96" s="9"/>
      <c r="CC96" s="9"/>
      <c r="CE96" s="1406">
        <v>1</v>
      </c>
      <c r="CF96" s="833">
        <f t="shared" ref="CF96:CQ96" si="300">CE96</f>
        <v>1</v>
      </c>
      <c r="CG96" s="833">
        <f t="shared" si="300"/>
        <v>1</v>
      </c>
      <c r="CH96" s="833">
        <f t="shared" si="300"/>
        <v>1</v>
      </c>
      <c r="CI96" s="833">
        <f t="shared" si="300"/>
        <v>1</v>
      </c>
      <c r="CJ96" s="833">
        <f t="shared" si="300"/>
        <v>1</v>
      </c>
      <c r="CK96" s="833">
        <f t="shared" si="300"/>
        <v>1</v>
      </c>
      <c r="CL96" s="833">
        <f t="shared" si="300"/>
        <v>1</v>
      </c>
      <c r="CM96" s="833">
        <f t="shared" si="300"/>
        <v>1</v>
      </c>
      <c r="CN96" s="833">
        <f t="shared" si="300"/>
        <v>1</v>
      </c>
      <c r="CO96" s="833">
        <f t="shared" si="300"/>
        <v>1</v>
      </c>
      <c r="CP96" s="833">
        <f t="shared" si="300"/>
        <v>1</v>
      </c>
      <c r="CQ96" s="833">
        <f t="shared" si="300"/>
        <v>1</v>
      </c>
      <c r="CR96" s="833"/>
      <c r="CS96" s="1125">
        <f t="shared" si="284"/>
        <v>43000</v>
      </c>
      <c r="CT96" s="31">
        <f t="shared" si="285"/>
        <v>0</v>
      </c>
      <c r="CU96" s="31">
        <f t="shared" si="286"/>
        <v>50000</v>
      </c>
      <c r="CV96" s="31">
        <f t="shared" si="287"/>
        <v>0</v>
      </c>
      <c r="CW96" s="31">
        <f t="shared" si="288"/>
        <v>0</v>
      </c>
      <c r="CX96" s="31">
        <f t="shared" si="289"/>
        <v>0</v>
      </c>
      <c r="CY96" s="31">
        <f t="shared" si="290"/>
        <v>0</v>
      </c>
      <c r="CZ96" s="31">
        <f t="shared" si="291"/>
        <v>0</v>
      </c>
      <c r="DA96" s="31">
        <f t="shared" si="292"/>
        <v>0</v>
      </c>
      <c r="DB96" s="31">
        <f t="shared" si="293"/>
        <v>0</v>
      </c>
      <c r="DC96" s="31">
        <f t="shared" si="294"/>
        <v>0</v>
      </c>
      <c r="DD96" s="31">
        <f t="shared" si="295"/>
        <v>0</v>
      </c>
      <c r="DE96" s="78">
        <f t="shared" si="295"/>
        <v>0</v>
      </c>
    </row>
    <row r="97" spans="1:109" x14ac:dyDescent="0.2">
      <c r="A97" s="615" t="s">
        <v>6657</v>
      </c>
      <c r="B97" s="1269"/>
      <c r="C97" s="1337"/>
      <c r="D97" s="1331"/>
      <c r="E97" s="133"/>
      <c r="F97" s="9"/>
      <c r="G97" s="9"/>
      <c r="H97" s="9"/>
      <c r="I97" s="9"/>
      <c r="J97" s="9"/>
      <c r="K97" s="9">
        <f>'Res-Gen'!U114</f>
        <v>1100000</v>
      </c>
      <c r="L97" s="9">
        <f>'Res-Gen'!X114</f>
        <v>500000</v>
      </c>
      <c r="M97" s="9">
        <f>'Res-Gen'!AA114</f>
        <v>0</v>
      </c>
      <c r="N97" s="9">
        <f>'Res-Gen'!AD114</f>
        <v>700000</v>
      </c>
      <c r="O97" s="9">
        <f>'Res-Gen'!AG114</f>
        <v>700000</v>
      </c>
      <c r="P97" s="9">
        <f>'Res-Gen'!AJ114</f>
        <v>700000</v>
      </c>
      <c r="Q97" s="49">
        <f>'Res-Gen'!AM114</f>
        <v>700000</v>
      </c>
      <c r="R97" s="89"/>
      <c r="S97" s="9"/>
      <c r="T97" s="9"/>
      <c r="U97" s="9"/>
      <c r="V97" s="49">
        <f t="shared" si="278"/>
        <v>0</v>
      </c>
      <c r="W97" s="133"/>
      <c r="X97" s="9"/>
      <c r="Y97" s="46"/>
      <c r="Z97" s="9"/>
      <c r="AA97" s="46">
        <f t="shared" si="279"/>
        <v>0</v>
      </c>
      <c r="AB97" s="133"/>
      <c r="AC97" s="9"/>
      <c r="AD97" s="9"/>
      <c r="AE97" s="9"/>
      <c r="AF97" s="49">
        <f t="shared" si="280"/>
        <v>0</v>
      </c>
      <c r="AG97" s="89"/>
      <c r="AH97" s="9"/>
      <c r="AI97" s="9"/>
      <c r="AJ97" s="9">
        <f>H97</f>
        <v>0</v>
      </c>
      <c r="AK97" s="49">
        <f t="shared" si="281"/>
        <v>0</v>
      </c>
      <c r="AL97" s="89"/>
      <c r="AM97" s="9"/>
      <c r="AN97" s="9"/>
      <c r="AO97" s="9">
        <f>I97</f>
        <v>0</v>
      </c>
      <c r="AP97" s="61">
        <f t="shared" si="282"/>
        <v>0</v>
      </c>
      <c r="AQ97" s="89"/>
      <c r="AR97" s="9"/>
      <c r="AS97" s="9"/>
      <c r="AT97" s="9">
        <f>J97</f>
        <v>0</v>
      </c>
      <c r="AU97" s="61">
        <f t="shared" ref="AU97:AU107" si="301">J97-AQ97-AR97-AS97-AT97</f>
        <v>0</v>
      </c>
      <c r="AW97" s="9"/>
      <c r="AX97" s="9"/>
      <c r="AY97" s="9">
        <f>K97</f>
        <v>1100000</v>
      </c>
      <c r="AZ97" s="49">
        <f>K97-AV97-AW97-AX97-AY97</f>
        <v>0</v>
      </c>
      <c r="BA97" s="89"/>
      <c r="BB97" s="9"/>
      <c r="BC97" s="9"/>
      <c r="BD97" s="9">
        <f>L97</f>
        <v>500000</v>
      </c>
      <c r="BE97" s="49">
        <f>L97-BA97-BB97-BC97-BD97</f>
        <v>0</v>
      </c>
      <c r="BF97" s="89"/>
      <c r="BG97" s="9"/>
      <c r="BH97" s="9"/>
      <c r="BI97" s="9">
        <f>M97</f>
        <v>0</v>
      </c>
      <c r="BJ97" s="49">
        <f>M97-BF97-BG97-BH97-BI97</f>
        <v>0</v>
      </c>
      <c r="BK97" s="89"/>
      <c r="BL97" s="9"/>
      <c r="BM97" s="9"/>
      <c r="BN97" s="9">
        <f>N97</f>
        <v>700000</v>
      </c>
      <c r="BO97" s="49">
        <f>N97-BK97-BL97-BM97-BN97</f>
        <v>0</v>
      </c>
      <c r="BP97" s="89"/>
      <c r="BQ97" s="9"/>
      <c r="BR97" s="9"/>
      <c r="BS97" s="9">
        <f>O97</f>
        <v>700000</v>
      </c>
      <c r="BT97" s="49">
        <f>O97-BP97-BQ97-BR97-BS97</f>
        <v>0</v>
      </c>
      <c r="BU97" s="89"/>
      <c r="BV97" s="9"/>
      <c r="BW97" s="9"/>
      <c r="BX97" s="9">
        <f>P97</f>
        <v>700000</v>
      </c>
      <c r="BY97" s="49">
        <f>P97-BU97-BV97-BW97-BX97</f>
        <v>0</v>
      </c>
      <c r="BZ97" s="89"/>
      <c r="CA97" s="9"/>
      <c r="CB97" s="9"/>
      <c r="CC97" s="9">
        <f>+Q97</f>
        <v>700000</v>
      </c>
      <c r="CD97" s="46">
        <f t="shared" ref="CD97:CD100" si="302">Q97-BZ97-CA97-CB97-CC97</f>
        <v>0</v>
      </c>
      <c r="CE97" s="1406">
        <v>0.5</v>
      </c>
      <c r="CF97" s="833">
        <v>0.5</v>
      </c>
      <c r="CG97" s="833">
        <v>0.5</v>
      </c>
      <c r="CH97" s="833">
        <v>0.5</v>
      </c>
      <c r="CI97" s="833">
        <v>0.5</v>
      </c>
      <c r="CJ97" s="833">
        <v>0.5</v>
      </c>
      <c r="CK97" s="833">
        <v>1</v>
      </c>
      <c r="CL97" s="833">
        <f t="shared" ref="CL97:CL98" si="303">CK97</f>
        <v>1</v>
      </c>
      <c r="CM97" s="833">
        <f t="shared" ref="CM97:CM98" si="304">CL97</f>
        <v>1</v>
      </c>
      <c r="CN97" s="833">
        <f t="shared" ref="CN97:CN98" si="305">CM97</f>
        <v>1</v>
      </c>
      <c r="CO97" s="833">
        <f t="shared" ref="CO97:CO98" si="306">CN97</f>
        <v>1</v>
      </c>
      <c r="CP97" s="833">
        <f t="shared" ref="CP97:CQ98" si="307">CO97</f>
        <v>1</v>
      </c>
      <c r="CQ97" s="833">
        <f t="shared" si="307"/>
        <v>1</v>
      </c>
      <c r="CR97" s="833"/>
      <c r="CS97" s="1125">
        <f t="shared" si="284"/>
        <v>0</v>
      </c>
      <c r="CT97" s="31">
        <f t="shared" si="285"/>
        <v>0</v>
      </c>
      <c r="CU97" s="31">
        <f t="shared" si="286"/>
        <v>0</v>
      </c>
      <c r="CV97" s="31">
        <f t="shared" si="287"/>
        <v>0</v>
      </c>
      <c r="CW97" s="31">
        <f t="shared" si="288"/>
        <v>0</v>
      </c>
      <c r="CX97" s="31">
        <f t="shared" si="289"/>
        <v>0</v>
      </c>
      <c r="CY97" s="31">
        <f t="shared" si="290"/>
        <v>1100000</v>
      </c>
      <c r="CZ97" s="31">
        <f t="shared" si="291"/>
        <v>500000</v>
      </c>
      <c r="DA97" s="31">
        <f t="shared" si="292"/>
        <v>0</v>
      </c>
      <c r="DB97" s="31">
        <f t="shared" si="293"/>
        <v>700000</v>
      </c>
      <c r="DC97" s="31">
        <f t="shared" si="294"/>
        <v>700000</v>
      </c>
      <c r="DD97" s="31">
        <f t="shared" si="295"/>
        <v>700000</v>
      </c>
      <c r="DE97" s="78">
        <f t="shared" si="295"/>
        <v>700000</v>
      </c>
    </row>
    <row r="98" spans="1:109" x14ac:dyDescent="0.2">
      <c r="A98" s="615" t="s">
        <v>6658</v>
      </c>
      <c r="B98" s="1269"/>
      <c r="C98" s="1337"/>
      <c r="D98" s="1331"/>
      <c r="E98" s="133"/>
      <c r="F98" s="9"/>
      <c r="G98" s="9"/>
      <c r="H98" s="9"/>
      <c r="I98" s="9"/>
      <c r="J98" s="9"/>
      <c r="K98" s="9">
        <v>1000000</v>
      </c>
      <c r="L98" s="9">
        <v>1000000</v>
      </c>
      <c r="M98" s="9">
        <v>1000000</v>
      </c>
      <c r="N98" s="9">
        <v>1000000</v>
      </c>
      <c r="O98" s="9">
        <v>1000000</v>
      </c>
      <c r="P98" s="9">
        <v>1000000</v>
      </c>
      <c r="Q98" s="49">
        <v>1000000</v>
      </c>
      <c r="R98" s="89"/>
      <c r="S98" s="9"/>
      <c r="T98" s="9"/>
      <c r="U98" s="9"/>
      <c r="V98" s="49">
        <f t="shared" si="278"/>
        <v>0</v>
      </c>
      <c r="W98" s="133"/>
      <c r="X98" s="9"/>
      <c r="Y98" s="46"/>
      <c r="Z98" s="9"/>
      <c r="AA98" s="46">
        <f t="shared" si="279"/>
        <v>0</v>
      </c>
      <c r="AB98" s="133"/>
      <c r="AC98" s="9"/>
      <c r="AD98" s="9"/>
      <c r="AE98" s="9"/>
      <c r="AF98" s="49">
        <f t="shared" si="280"/>
        <v>0</v>
      </c>
      <c r="AG98" s="89"/>
      <c r="AH98" s="9"/>
      <c r="AI98" s="9"/>
      <c r="AJ98" s="9">
        <f>H98</f>
        <v>0</v>
      </c>
      <c r="AK98" s="49">
        <f t="shared" si="281"/>
        <v>0</v>
      </c>
      <c r="AL98" s="89"/>
      <c r="AM98" s="9"/>
      <c r="AN98" s="9"/>
      <c r="AO98" s="9">
        <f>I98</f>
        <v>0</v>
      </c>
      <c r="AP98" s="61">
        <f t="shared" si="282"/>
        <v>0</v>
      </c>
      <c r="AQ98" s="89"/>
      <c r="AR98" s="9"/>
      <c r="AS98" s="9"/>
      <c r="AT98" s="9">
        <f>J98</f>
        <v>0</v>
      </c>
      <c r="AU98" s="61">
        <f t="shared" si="301"/>
        <v>0</v>
      </c>
      <c r="AW98" s="9"/>
      <c r="AX98" s="9"/>
      <c r="AY98" s="9">
        <f>K98</f>
        <v>1000000</v>
      </c>
      <c r="AZ98" s="49">
        <f>K98-AV98-AW98-AX98-AY98</f>
        <v>0</v>
      </c>
      <c r="BA98" s="89"/>
      <c r="BB98" s="9"/>
      <c r="BC98" s="9"/>
      <c r="BD98" s="9">
        <f>L98</f>
        <v>1000000</v>
      </c>
      <c r="BE98" s="49">
        <f>L98-BA98-BB98-BC98-BD98</f>
        <v>0</v>
      </c>
      <c r="BF98" s="89"/>
      <c r="BG98" s="9"/>
      <c r="BH98" s="9"/>
      <c r="BI98" s="9">
        <f>M98</f>
        <v>1000000</v>
      </c>
      <c r="BJ98" s="49">
        <f>M98-BF98-BG98-BH98-BI98</f>
        <v>0</v>
      </c>
      <c r="BK98" s="89"/>
      <c r="BL98" s="9"/>
      <c r="BM98" s="9"/>
      <c r="BN98" s="9">
        <f>N98</f>
        <v>1000000</v>
      </c>
      <c r="BO98" s="49">
        <f>N98-BK98-BL98-BM98-BN98</f>
        <v>0</v>
      </c>
      <c r="BP98" s="89"/>
      <c r="BQ98" s="9"/>
      <c r="BR98" s="9"/>
      <c r="BS98" s="9">
        <f>O98</f>
        <v>1000000</v>
      </c>
      <c r="BT98" s="49">
        <f>O98-BP98-BQ98-BR98-BS98</f>
        <v>0</v>
      </c>
      <c r="BU98" s="89"/>
      <c r="BV98" s="9"/>
      <c r="BW98" s="9"/>
      <c r="BX98" s="9">
        <f>P98</f>
        <v>1000000</v>
      </c>
      <c r="BY98" s="49">
        <f>P98-BU98-BV98-BW98-BX98</f>
        <v>0</v>
      </c>
      <c r="BZ98" s="89"/>
      <c r="CA98" s="9"/>
      <c r="CB98" s="9"/>
      <c r="CC98" s="9">
        <f>+Q98</f>
        <v>1000000</v>
      </c>
      <c r="CD98" s="46">
        <f t="shared" si="302"/>
        <v>0</v>
      </c>
      <c r="CE98" s="1406">
        <v>0.5</v>
      </c>
      <c r="CF98" s="833">
        <v>0.5</v>
      </c>
      <c r="CG98" s="833">
        <v>0.5</v>
      </c>
      <c r="CH98" s="833">
        <v>0.5</v>
      </c>
      <c r="CI98" s="833">
        <v>0.5</v>
      </c>
      <c r="CJ98" s="833">
        <v>0.5</v>
      </c>
      <c r="CK98" s="833">
        <v>1</v>
      </c>
      <c r="CL98" s="833">
        <f t="shared" si="303"/>
        <v>1</v>
      </c>
      <c r="CM98" s="833">
        <f t="shared" si="304"/>
        <v>1</v>
      </c>
      <c r="CN98" s="833">
        <f t="shared" si="305"/>
        <v>1</v>
      </c>
      <c r="CO98" s="833">
        <f t="shared" si="306"/>
        <v>1</v>
      </c>
      <c r="CP98" s="833">
        <f t="shared" si="307"/>
        <v>1</v>
      </c>
      <c r="CQ98" s="833">
        <f t="shared" si="307"/>
        <v>1</v>
      </c>
      <c r="CR98" s="833"/>
      <c r="CS98" s="1125">
        <f t="shared" si="284"/>
        <v>0</v>
      </c>
      <c r="CT98" s="31">
        <f t="shared" si="285"/>
        <v>0</v>
      </c>
      <c r="CU98" s="31">
        <f t="shared" si="286"/>
        <v>0</v>
      </c>
      <c r="CV98" s="31">
        <f t="shared" si="287"/>
        <v>0</v>
      </c>
      <c r="CW98" s="31">
        <f t="shared" si="288"/>
        <v>0</v>
      </c>
      <c r="CX98" s="31">
        <f t="shared" si="289"/>
        <v>0</v>
      </c>
      <c r="CY98" s="31">
        <f t="shared" si="290"/>
        <v>1000000</v>
      </c>
      <c r="CZ98" s="31">
        <f t="shared" si="291"/>
        <v>1000000</v>
      </c>
      <c r="DA98" s="31">
        <f t="shared" si="292"/>
        <v>1000000</v>
      </c>
      <c r="DB98" s="31">
        <f t="shared" si="293"/>
        <v>1000000</v>
      </c>
      <c r="DC98" s="31">
        <f t="shared" si="294"/>
        <v>1000000</v>
      </c>
      <c r="DD98" s="31">
        <f t="shared" si="295"/>
        <v>1000000</v>
      </c>
      <c r="DE98" s="78">
        <f t="shared" si="295"/>
        <v>1000000</v>
      </c>
    </row>
    <row r="99" spans="1:109" x14ac:dyDescent="0.2">
      <c r="A99" s="615" t="s">
        <v>6597</v>
      </c>
      <c r="B99" s="1354" t="s">
        <v>5150</v>
      </c>
      <c r="C99" s="1346" t="s">
        <v>5151</v>
      </c>
      <c r="D99" s="1331" t="s">
        <v>5046</v>
      </c>
      <c r="E99" s="133"/>
      <c r="F99" s="29"/>
      <c r="G99" s="9">
        <f>232000-25000-3000</f>
        <v>204000</v>
      </c>
      <c r="H99" s="9">
        <v>238000</v>
      </c>
      <c r="I99" s="9">
        <f>ROUND((H99*Assumptions!J$6+H99),-3)</f>
        <v>248000</v>
      </c>
      <c r="J99" s="29">
        <f>ROUND((I99*Assumptions!K$6+I99),-3)</f>
        <v>254000</v>
      </c>
      <c r="K99" s="9">
        <f>ROUND((J99*Assumptions!L$6+J99),-3)</f>
        <v>260000</v>
      </c>
      <c r="L99" s="9">
        <f>ROUND((K99*Assumptions!M$6+K99),-3)</f>
        <v>267000</v>
      </c>
      <c r="M99" s="89">
        <f>ROUND((L99*Assumptions!N$6+L99),-3)</f>
        <v>274000</v>
      </c>
      <c r="N99" s="9">
        <f>ROUND((M99*Assumptions!O$6+M99),-3)</f>
        <v>281000</v>
      </c>
      <c r="O99" s="9">
        <f>ROUND((N99*Assumptions!P$6+N99),-3)</f>
        <v>288000</v>
      </c>
      <c r="P99" s="9">
        <f>ROUND((O99*Assumptions!Q$6+O99),-3)</f>
        <v>295000</v>
      </c>
      <c r="Q99" s="49">
        <f>ROUND((P99*Assumptions!R$6+P99),-3)</f>
        <v>302000</v>
      </c>
      <c r="R99" s="89"/>
      <c r="S99" s="9"/>
      <c r="T99" s="9"/>
      <c r="U99" s="9"/>
      <c r="V99" s="49">
        <f t="shared" si="278"/>
        <v>0</v>
      </c>
      <c r="W99" s="133"/>
      <c r="X99" s="9"/>
      <c r="Y99" s="46"/>
      <c r="Z99" s="9"/>
      <c r="AA99" s="46">
        <f t="shared" si="279"/>
        <v>0</v>
      </c>
      <c r="AB99" s="133"/>
      <c r="AC99" s="9"/>
      <c r="AD99" s="9"/>
      <c r="AE99" s="9"/>
      <c r="AF99" s="49">
        <f t="shared" si="280"/>
        <v>204000</v>
      </c>
      <c r="AG99" s="89"/>
      <c r="AH99" s="9"/>
      <c r="AI99" s="9"/>
      <c r="AJ99" s="9"/>
      <c r="AK99" s="49">
        <f t="shared" si="281"/>
        <v>238000</v>
      </c>
      <c r="AL99" s="89"/>
      <c r="AM99" s="9"/>
      <c r="AN99" s="9"/>
      <c r="AO99" s="9"/>
      <c r="AP99" s="61">
        <f t="shared" si="282"/>
        <v>248000</v>
      </c>
      <c r="AQ99" s="89"/>
      <c r="AR99" s="9"/>
      <c r="AS99" s="9"/>
      <c r="AT99" s="9"/>
      <c r="AU99" s="61">
        <f t="shared" si="301"/>
        <v>254000</v>
      </c>
      <c r="AW99" s="9"/>
      <c r="AX99" s="9"/>
      <c r="AY99" s="9"/>
      <c r="AZ99" s="49">
        <f>K99-AV99-AW99-AX99-AY99</f>
        <v>260000</v>
      </c>
      <c r="BA99" s="89"/>
      <c r="BB99" s="9"/>
      <c r="BC99" s="9"/>
      <c r="BD99" s="9"/>
      <c r="BE99" s="49">
        <f>L99-BA99-BB99-BC99-BD99</f>
        <v>267000</v>
      </c>
      <c r="BF99" s="89"/>
      <c r="BG99" s="9"/>
      <c r="BH99" s="9"/>
      <c r="BI99" s="9"/>
      <c r="BJ99" s="49">
        <f>M99-BF99-BG99-BH99-BI99</f>
        <v>274000</v>
      </c>
      <c r="BK99" s="89"/>
      <c r="BL99" s="9"/>
      <c r="BM99" s="9"/>
      <c r="BN99" s="9"/>
      <c r="BO99" s="49">
        <f>N99-BK99-BL99-BM99-BN99</f>
        <v>281000</v>
      </c>
      <c r="BP99" s="89"/>
      <c r="BQ99" s="9"/>
      <c r="BR99" s="9"/>
      <c r="BS99" s="9"/>
      <c r="BT99" s="49">
        <f>O99-BP99-BQ99-BR99-BS99</f>
        <v>288000</v>
      </c>
      <c r="BU99" s="89"/>
      <c r="BV99" s="9"/>
      <c r="BW99" s="9"/>
      <c r="BX99" s="9"/>
      <c r="BY99" s="49">
        <f>P99-BU99-BV99-BW99-BX99</f>
        <v>295000</v>
      </c>
      <c r="BZ99" s="89"/>
      <c r="CA99" s="9"/>
      <c r="CB99" s="9"/>
      <c r="CC99" s="9"/>
      <c r="CD99" s="46">
        <f t="shared" si="302"/>
        <v>302000</v>
      </c>
      <c r="CE99" s="1406">
        <v>1</v>
      </c>
      <c r="CF99" s="833">
        <f t="shared" ref="CF99:CQ99" si="308">CE99</f>
        <v>1</v>
      </c>
      <c r="CG99" s="833">
        <f t="shared" si="308"/>
        <v>1</v>
      </c>
      <c r="CH99" s="833">
        <f t="shared" si="308"/>
        <v>1</v>
      </c>
      <c r="CI99" s="833">
        <f t="shared" si="308"/>
        <v>1</v>
      </c>
      <c r="CJ99" s="833">
        <f t="shared" si="308"/>
        <v>1</v>
      </c>
      <c r="CK99" s="833">
        <f t="shared" si="308"/>
        <v>1</v>
      </c>
      <c r="CL99" s="833">
        <f t="shared" si="308"/>
        <v>1</v>
      </c>
      <c r="CM99" s="833">
        <f t="shared" si="308"/>
        <v>1</v>
      </c>
      <c r="CN99" s="833">
        <f t="shared" si="308"/>
        <v>1</v>
      </c>
      <c r="CO99" s="833">
        <f t="shared" si="308"/>
        <v>1</v>
      </c>
      <c r="CP99" s="833">
        <f t="shared" si="308"/>
        <v>1</v>
      </c>
      <c r="CQ99" s="833">
        <f t="shared" si="308"/>
        <v>1</v>
      </c>
      <c r="CR99" s="833"/>
      <c r="CS99" s="1125">
        <f t="shared" si="284"/>
        <v>0</v>
      </c>
      <c r="CT99" s="31">
        <f t="shared" si="285"/>
        <v>0</v>
      </c>
      <c r="CU99" s="31">
        <f t="shared" si="286"/>
        <v>204000</v>
      </c>
      <c r="CV99" s="31">
        <f t="shared" si="287"/>
        <v>238000</v>
      </c>
      <c r="CW99" s="31">
        <f t="shared" si="288"/>
        <v>248000</v>
      </c>
      <c r="CX99" s="31">
        <f t="shared" si="289"/>
        <v>254000</v>
      </c>
      <c r="CY99" s="31">
        <f t="shared" si="290"/>
        <v>260000</v>
      </c>
      <c r="CZ99" s="31">
        <f t="shared" si="291"/>
        <v>267000</v>
      </c>
      <c r="DA99" s="31">
        <f t="shared" si="292"/>
        <v>274000</v>
      </c>
      <c r="DB99" s="31">
        <f t="shared" si="293"/>
        <v>281000</v>
      </c>
      <c r="DC99" s="31">
        <f t="shared" si="294"/>
        <v>288000</v>
      </c>
      <c r="DD99" s="31">
        <f t="shared" si="295"/>
        <v>295000</v>
      </c>
      <c r="DE99" s="78">
        <f t="shared" si="295"/>
        <v>302000</v>
      </c>
    </row>
    <row r="100" spans="1:109" x14ac:dyDescent="0.2">
      <c r="A100" s="2554" t="s">
        <v>6802</v>
      </c>
      <c r="B100" s="1360"/>
      <c r="C100" s="1337"/>
      <c r="D100" s="1331" t="s">
        <v>5046</v>
      </c>
      <c r="E100" s="350"/>
      <c r="F100" s="29"/>
      <c r="G100" s="9"/>
      <c r="H100" s="9">
        <v>0</v>
      </c>
      <c r="I100" s="29">
        <v>0</v>
      </c>
      <c r="J100" s="29">
        <f>ROUND((I100*Assumptions!K$6+I100),-3)</f>
        <v>0</v>
      </c>
      <c r="K100" s="9">
        <f>ROUND((J100*Assumptions!L$6+J100),-3)</f>
        <v>0</v>
      </c>
      <c r="L100" s="9">
        <f>ROUND((K100*Assumptions!M$6+K100),-3)</f>
        <v>0</v>
      </c>
      <c r="M100" s="89">
        <f>ROUND((L100*Assumptions!N$6+L100),-3)</f>
        <v>0</v>
      </c>
      <c r="N100" s="9">
        <f>ROUND((M100*Assumptions!O$6+M100),-3)</f>
        <v>0</v>
      </c>
      <c r="O100" s="9">
        <f>ROUND((N100*Assumptions!P$6+N100),-3)</f>
        <v>0</v>
      </c>
      <c r="P100" s="9">
        <f>ROUND((O100*Assumptions!Q$6+O100),-3)</f>
        <v>0</v>
      </c>
      <c r="Q100" s="49">
        <f>ROUND((P100*Assumptions!R$6+P100),-3)</f>
        <v>0</v>
      </c>
      <c r="R100" s="89"/>
      <c r="S100" s="9"/>
      <c r="T100" s="9"/>
      <c r="U100" s="9">
        <f>E100</f>
        <v>0</v>
      </c>
      <c r="V100" s="49">
        <f t="shared" si="278"/>
        <v>0</v>
      </c>
      <c r="W100" s="133"/>
      <c r="X100" s="9"/>
      <c r="Y100" s="46"/>
      <c r="Z100" s="9">
        <f>F100</f>
        <v>0</v>
      </c>
      <c r="AA100" s="46">
        <f t="shared" si="279"/>
        <v>0</v>
      </c>
      <c r="AB100" s="133"/>
      <c r="AC100" s="9"/>
      <c r="AD100" s="9"/>
      <c r="AE100" s="9"/>
      <c r="AF100" s="49">
        <f t="shared" si="280"/>
        <v>0</v>
      </c>
      <c r="AG100" s="89"/>
      <c r="AH100" s="9"/>
      <c r="AI100" s="9"/>
      <c r="AJ100" s="9"/>
      <c r="AK100" s="49">
        <f t="shared" si="281"/>
        <v>0</v>
      </c>
      <c r="AL100" s="89"/>
      <c r="AM100" s="9"/>
      <c r="AN100" s="9"/>
      <c r="AO100" s="9"/>
      <c r="AP100" s="61">
        <f t="shared" si="282"/>
        <v>0</v>
      </c>
      <c r="AQ100" s="89"/>
      <c r="AR100" s="9"/>
      <c r="AS100" s="9"/>
      <c r="AT100" s="9"/>
      <c r="AU100" s="61">
        <f t="shared" si="301"/>
        <v>0</v>
      </c>
      <c r="AW100" s="9"/>
      <c r="AX100" s="9"/>
      <c r="AY100" s="9"/>
      <c r="AZ100" s="49">
        <f>K100-AV100-AW100-AX100-AY100</f>
        <v>0</v>
      </c>
      <c r="BA100" s="89"/>
      <c r="BB100" s="9"/>
      <c r="BC100" s="9"/>
      <c r="BD100" s="9"/>
      <c r="BE100" s="49">
        <f>L100-BA100-BB100-BC100-BD100</f>
        <v>0</v>
      </c>
      <c r="BF100" s="89"/>
      <c r="BG100" s="9"/>
      <c r="BH100" s="9"/>
      <c r="BI100" s="9"/>
      <c r="BJ100" s="49">
        <f>M100-BF100-BG100-BH100-BI100</f>
        <v>0</v>
      </c>
      <c r="BK100" s="89"/>
      <c r="BL100" s="9"/>
      <c r="BM100" s="9"/>
      <c r="BN100" s="9"/>
      <c r="BO100" s="49">
        <f>N100-BK100-BL100-BM100-BN100</f>
        <v>0</v>
      </c>
      <c r="BP100" s="89"/>
      <c r="BQ100" s="9"/>
      <c r="BR100" s="9"/>
      <c r="BS100" s="9"/>
      <c r="BT100" s="49">
        <f>O100-BP100-BQ100-BR100-BS100</f>
        <v>0</v>
      </c>
      <c r="BU100" s="89"/>
      <c r="BV100" s="9"/>
      <c r="BW100" s="9"/>
      <c r="BX100" s="9"/>
      <c r="BY100" s="49">
        <f>P100-BU100-BV100-BW100-BX100</f>
        <v>0</v>
      </c>
      <c r="BZ100" s="89"/>
      <c r="CA100" s="9"/>
      <c r="CB100" s="9"/>
      <c r="CC100" s="9"/>
      <c r="CD100" s="46">
        <f t="shared" si="302"/>
        <v>0</v>
      </c>
      <c r="CE100" s="1406">
        <v>1</v>
      </c>
      <c r="CF100" s="833">
        <f t="shared" ref="CF100:CQ100" si="309">CE100</f>
        <v>1</v>
      </c>
      <c r="CG100" s="833">
        <f t="shared" si="309"/>
        <v>1</v>
      </c>
      <c r="CH100" s="833">
        <f t="shared" si="309"/>
        <v>1</v>
      </c>
      <c r="CI100" s="833">
        <f t="shared" si="309"/>
        <v>1</v>
      </c>
      <c r="CJ100" s="833">
        <f t="shared" si="309"/>
        <v>1</v>
      </c>
      <c r="CK100" s="833">
        <f t="shared" si="309"/>
        <v>1</v>
      </c>
      <c r="CL100" s="833">
        <f t="shared" si="309"/>
        <v>1</v>
      </c>
      <c r="CM100" s="833">
        <f t="shared" si="309"/>
        <v>1</v>
      </c>
      <c r="CN100" s="833">
        <f t="shared" si="309"/>
        <v>1</v>
      </c>
      <c r="CO100" s="833">
        <f t="shared" si="309"/>
        <v>1</v>
      </c>
      <c r="CP100" s="833">
        <f t="shared" si="309"/>
        <v>1</v>
      </c>
      <c r="CQ100" s="833">
        <f t="shared" si="309"/>
        <v>1</v>
      </c>
      <c r="CR100" s="833"/>
      <c r="CS100" s="1125">
        <f t="shared" si="284"/>
        <v>0</v>
      </c>
      <c r="CT100" s="31">
        <f t="shared" si="285"/>
        <v>0</v>
      </c>
      <c r="CU100" s="31">
        <f t="shared" si="286"/>
        <v>0</v>
      </c>
      <c r="CV100" s="31">
        <f t="shared" si="287"/>
        <v>0</v>
      </c>
      <c r="CW100" s="31">
        <f t="shared" si="288"/>
        <v>0</v>
      </c>
      <c r="CX100" s="31">
        <f t="shared" si="289"/>
        <v>0</v>
      </c>
      <c r="CY100" s="31">
        <f t="shared" si="290"/>
        <v>0</v>
      </c>
      <c r="CZ100" s="31">
        <f t="shared" si="291"/>
        <v>0</v>
      </c>
      <c r="DA100" s="31">
        <f t="shared" si="292"/>
        <v>0</v>
      </c>
      <c r="DB100" s="31">
        <f t="shared" si="293"/>
        <v>0</v>
      </c>
      <c r="DC100" s="31">
        <f t="shared" si="294"/>
        <v>0</v>
      </c>
      <c r="DD100" s="31">
        <f t="shared" si="295"/>
        <v>0</v>
      </c>
      <c r="DE100" s="78">
        <f t="shared" si="295"/>
        <v>0</v>
      </c>
    </row>
    <row r="101" spans="1:109" x14ac:dyDescent="0.2">
      <c r="A101" s="615" t="s">
        <v>6998</v>
      </c>
      <c r="B101" s="1354"/>
      <c r="C101" s="1346" t="s">
        <v>6404</v>
      </c>
      <c r="D101" s="1331" t="s">
        <v>6404</v>
      </c>
      <c r="E101" s="133"/>
      <c r="F101" s="29"/>
      <c r="G101" s="9"/>
      <c r="H101" s="9"/>
      <c r="I101" s="9"/>
      <c r="J101" s="29"/>
      <c r="K101" s="9"/>
      <c r="L101" s="9"/>
      <c r="M101" s="89"/>
      <c r="N101" s="9"/>
      <c r="O101" s="9"/>
      <c r="P101" s="9"/>
      <c r="Q101" s="49"/>
      <c r="R101" s="89"/>
      <c r="S101" s="9"/>
      <c r="T101" s="9"/>
      <c r="U101" s="9"/>
      <c r="V101" s="49"/>
      <c r="W101" s="133"/>
      <c r="X101" s="9"/>
      <c r="Y101" s="46"/>
      <c r="Z101" s="9"/>
      <c r="AA101" s="46">
        <f t="shared" si="279"/>
        <v>0</v>
      </c>
      <c r="AB101" s="133"/>
      <c r="AC101" s="9"/>
      <c r="AD101" s="9"/>
      <c r="AE101" s="9"/>
      <c r="AF101" s="49">
        <f t="shared" si="280"/>
        <v>0</v>
      </c>
      <c r="AG101" s="89"/>
      <c r="AH101" s="9"/>
      <c r="AI101" s="9"/>
      <c r="AJ101" s="9"/>
      <c r="AK101" s="49">
        <f t="shared" si="281"/>
        <v>0</v>
      </c>
      <c r="AL101" s="89"/>
      <c r="AM101" s="9"/>
      <c r="AN101" s="9"/>
      <c r="AO101" s="9"/>
      <c r="AP101" s="61">
        <f t="shared" si="282"/>
        <v>0</v>
      </c>
      <c r="AQ101" s="89"/>
      <c r="AR101" s="9"/>
      <c r="AS101" s="9"/>
      <c r="AT101" s="9"/>
      <c r="AU101" s="61">
        <f t="shared" si="301"/>
        <v>0</v>
      </c>
      <c r="AW101" s="9"/>
      <c r="AX101" s="9"/>
      <c r="AY101" s="9"/>
      <c r="AZ101" s="49"/>
      <c r="BA101" s="89"/>
      <c r="BB101" s="9"/>
      <c r="BC101" s="9"/>
      <c r="BD101" s="9"/>
      <c r="BE101" s="49"/>
      <c r="BF101" s="89"/>
      <c r="BG101" s="9"/>
      <c r="BH101" s="9"/>
      <c r="BI101" s="9"/>
      <c r="BJ101" s="49"/>
      <c r="BK101" s="89"/>
      <c r="BL101" s="9"/>
      <c r="BM101" s="9"/>
      <c r="BN101" s="9"/>
      <c r="BO101" s="49"/>
      <c r="BP101" s="89"/>
      <c r="BQ101" s="9"/>
      <c r="BR101" s="9"/>
      <c r="BS101" s="9"/>
      <c r="BT101" s="49"/>
      <c r="BU101" s="89"/>
      <c r="BV101" s="9"/>
      <c r="BW101" s="9"/>
      <c r="BX101" s="9"/>
      <c r="BY101" s="49"/>
      <c r="BZ101" s="89"/>
      <c r="CA101" s="9"/>
      <c r="CB101" s="9"/>
      <c r="CC101" s="9"/>
      <c r="CE101" s="1406">
        <v>1</v>
      </c>
      <c r="CF101" s="833">
        <f t="shared" ref="CF101:CQ101" si="310">CE101</f>
        <v>1</v>
      </c>
      <c r="CG101" s="833">
        <f t="shared" si="310"/>
        <v>1</v>
      </c>
      <c r="CH101" s="833">
        <f t="shared" si="310"/>
        <v>1</v>
      </c>
      <c r="CI101" s="833">
        <f t="shared" si="310"/>
        <v>1</v>
      </c>
      <c r="CJ101" s="833">
        <f t="shared" si="310"/>
        <v>1</v>
      </c>
      <c r="CK101" s="833">
        <f t="shared" si="310"/>
        <v>1</v>
      </c>
      <c r="CL101" s="833">
        <f t="shared" si="310"/>
        <v>1</v>
      </c>
      <c r="CM101" s="833">
        <f t="shared" si="310"/>
        <v>1</v>
      </c>
      <c r="CN101" s="833">
        <f t="shared" si="310"/>
        <v>1</v>
      </c>
      <c r="CO101" s="833">
        <f t="shared" si="310"/>
        <v>1</v>
      </c>
      <c r="CP101" s="833">
        <f t="shared" si="310"/>
        <v>1</v>
      </c>
      <c r="CQ101" s="833">
        <f t="shared" si="310"/>
        <v>1</v>
      </c>
      <c r="CR101" s="833"/>
      <c r="CS101" s="1125">
        <f t="shared" si="284"/>
        <v>0</v>
      </c>
      <c r="CT101" s="31">
        <f t="shared" si="285"/>
        <v>0</v>
      </c>
      <c r="CU101" s="31">
        <f t="shared" si="286"/>
        <v>0</v>
      </c>
      <c r="CV101" s="31">
        <f t="shared" si="287"/>
        <v>0</v>
      </c>
      <c r="CW101" s="31">
        <f t="shared" si="288"/>
        <v>0</v>
      </c>
      <c r="CX101" s="31">
        <f t="shared" si="289"/>
        <v>0</v>
      </c>
      <c r="CY101" s="31">
        <f t="shared" si="290"/>
        <v>0</v>
      </c>
      <c r="CZ101" s="31">
        <f t="shared" si="291"/>
        <v>0</v>
      </c>
      <c r="DA101" s="31">
        <f t="shared" si="292"/>
        <v>0</v>
      </c>
      <c r="DB101" s="31">
        <f t="shared" si="293"/>
        <v>0</v>
      </c>
      <c r="DC101" s="31">
        <f t="shared" si="294"/>
        <v>0</v>
      </c>
      <c r="DD101" s="31">
        <f t="shared" si="295"/>
        <v>0</v>
      </c>
      <c r="DE101" s="78">
        <f t="shared" si="295"/>
        <v>0</v>
      </c>
    </row>
    <row r="102" spans="1:109" x14ac:dyDescent="0.2">
      <c r="A102" s="615" t="s">
        <v>6407</v>
      </c>
      <c r="B102" s="1354"/>
      <c r="C102" s="1346" t="s">
        <v>6405</v>
      </c>
      <c r="D102" s="1331" t="s">
        <v>6405</v>
      </c>
      <c r="E102" s="133"/>
      <c r="F102" s="29"/>
      <c r="G102" s="9"/>
      <c r="H102" s="9"/>
      <c r="I102" s="9"/>
      <c r="J102" s="29"/>
      <c r="K102" s="9"/>
      <c r="L102" s="9"/>
      <c r="M102" s="89"/>
      <c r="N102" s="9"/>
      <c r="O102" s="9"/>
      <c r="P102" s="9"/>
      <c r="Q102" s="49"/>
      <c r="R102" s="89"/>
      <c r="S102" s="9"/>
      <c r="T102" s="9"/>
      <c r="U102" s="9"/>
      <c r="V102" s="49"/>
      <c r="W102" s="133"/>
      <c r="X102" s="9"/>
      <c r="Y102" s="46"/>
      <c r="Z102" s="9"/>
      <c r="AA102" s="46">
        <f t="shared" si="279"/>
        <v>0</v>
      </c>
      <c r="AB102" s="133"/>
      <c r="AC102" s="9"/>
      <c r="AD102" s="9"/>
      <c r="AE102" s="9"/>
      <c r="AF102" s="49">
        <f t="shared" si="280"/>
        <v>0</v>
      </c>
      <c r="AG102" s="89"/>
      <c r="AH102" s="9"/>
      <c r="AI102" s="9"/>
      <c r="AJ102" s="9"/>
      <c r="AK102" s="49">
        <f t="shared" si="281"/>
        <v>0</v>
      </c>
      <c r="AL102" s="89"/>
      <c r="AM102" s="9"/>
      <c r="AN102" s="9"/>
      <c r="AO102" s="9"/>
      <c r="AP102" s="61">
        <f t="shared" si="282"/>
        <v>0</v>
      </c>
      <c r="AQ102" s="89"/>
      <c r="AR102" s="9"/>
      <c r="AS102" s="9"/>
      <c r="AT102" s="9"/>
      <c r="AU102" s="61">
        <f t="shared" si="301"/>
        <v>0</v>
      </c>
      <c r="AW102" s="9"/>
      <c r="AX102" s="9"/>
      <c r="AY102" s="9"/>
      <c r="AZ102" s="49"/>
      <c r="BA102" s="89"/>
      <c r="BB102" s="9"/>
      <c r="BC102" s="9"/>
      <c r="BD102" s="9"/>
      <c r="BE102" s="49"/>
      <c r="BF102" s="89"/>
      <c r="BG102" s="9"/>
      <c r="BH102" s="9"/>
      <c r="BI102" s="9"/>
      <c r="BJ102" s="49"/>
      <c r="BK102" s="89"/>
      <c r="BL102" s="9"/>
      <c r="BM102" s="9"/>
      <c r="BN102" s="9"/>
      <c r="BO102" s="49"/>
      <c r="BP102" s="89"/>
      <c r="BQ102" s="9"/>
      <c r="BR102" s="9"/>
      <c r="BS102" s="9"/>
      <c r="BT102" s="49"/>
      <c r="BU102" s="89"/>
      <c r="BV102" s="9"/>
      <c r="BW102" s="9"/>
      <c r="BX102" s="9"/>
      <c r="BY102" s="49"/>
      <c r="BZ102" s="89"/>
      <c r="CA102" s="9"/>
      <c r="CB102" s="9"/>
      <c r="CC102" s="9"/>
      <c r="CE102" s="1406">
        <v>1</v>
      </c>
      <c r="CF102" s="833">
        <f t="shared" ref="CF102:CQ102" si="311">CE102</f>
        <v>1</v>
      </c>
      <c r="CG102" s="833">
        <f t="shared" si="311"/>
        <v>1</v>
      </c>
      <c r="CH102" s="833">
        <f t="shared" si="311"/>
        <v>1</v>
      </c>
      <c r="CI102" s="833">
        <f t="shared" si="311"/>
        <v>1</v>
      </c>
      <c r="CJ102" s="833">
        <f t="shared" si="311"/>
        <v>1</v>
      </c>
      <c r="CK102" s="833">
        <f t="shared" si="311"/>
        <v>1</v>
      </c>
      <c r="CL102" s="833">
        <f t="shared" si="311"/>
        <v>1</v>
      </c>
      <c r="CM102" s="833">
        <f t="shared" si="311"/>
        <v>1</v>
      </c>
      <c r="CN102" s="833">
        <f t="shared" si="311"/>
        <v>1</v>
      </c>
      <c r="CO102" s="833">
        <f t="shared" si="311"/>
        <v>1</v>
      </c>
      <c r="CP102" s="833">
        <f t="shared" si="311"/>
        <v>1</v>
      </c>
      <c r="CQ102" s="833">
        <f t="shared" si="311"/>
        <v>1</v>
      </c>
      <c r="CR102" s="833"/>
      <c r="CS102" s="1125">
        <f t="shared" si="284"/>
        <v>0</v>
      </c>
      <c r="CT102" s="31">
        <f t="shared" si="285"/>
        <v>0</v>
      </c>
      <c r="CU102" s="31">
        <f t="shared" si="286"/>
        <v>0</v>
      </c>
      <c r="CV102" s="31">
        <f t="shared" si="287"/>
        <v>0</v>
      </c>
      <c r="CW102" s="31">
        <f t="shared" si="288"/>
        <v>0</v>
      </c>
      <c r="CX102" s="31">
        <f t="shared" si="289"/>
        <v>0</v>
      </c>
      <c r="CY102" s="31">
        <f t="shared" si="290"/>
        <v>0</v>
      </c>
      <c r="CZ102" s="31">
        <f t="shared" si="291"/>
        <v>0</v>
      </c>
      <c r="DA102" s="31">
        <f t="shared" si="292"/>
        <v>0</v>
      </c>
      <c r="DB102" s="31">
        <f t="shared" si="293"/>
        <v>0</v>
      </c>
      <c r="DC102" s="31">
        <f t="shared" si="294"/>
        <v>0</v>
      </c>
      <c r="DD102" s="31">
        <f t="shared" si="295"/>
        <v>0</v>
      </c>
      <c r="DE102" s="78">
        <f t="shared" si="295"/>
        <v>0</v>
      </c>
    </row>
    <row r="103" spans="1:109" x14ac:dyDescent="0.2">
      <c r="A103" s="615" t="s">
        <v>6999</v>
      </c>
      <c r="B103" s="1354"/>
      <c r="C103" s="1346" t="s">
        <v>6406</v>
      </c>
      <c r="D103" s="1331" t="s">
        <v>6406</v>
      </c>
      <c r="E103" s="133"/>
      <c r="F103" s="30"/>
      <c r="G103" s="9">
        <v>60600</v>
      </c>
      <c r="H103" s="9"/>
      <c r="I103" s="9"/>
      <c r="J103" s="29"/>
      <c r="K103" s="9"/>
      <c r="L103" s="9"/>
      <c r="M103" s="89"/>
      <c r="N103" s="9"/>
      <c r="O103" s="9"/>
      <c r="P103" s="9"/>
      <c r="Q103" s="49"/>
      <c r="R103" s="89"/>
      <c r="S103" s="9"/>
      <c r="T103" s="9"/>
      <c r="U103" s="9"/>
      <c r="V103" s="49"/>
      <c r="W103" s="133">
        <v>0</v>
      </c>
      <c r="X103" s="9"/>
      <c r="Y103" s="46"/>
      <c r="Z103" s="9"/>
      <c r="AA103" s="46">
        <f t="shared" si="279"/>
        <v>0</v>
      </c>
      <c r="AB103" s="133"/>
      <c r="AC103" s="9"/>
      <c r="AD103" s="9"/>
      <c r="AE103" s="9">
        <f>+G103</f>
        <v>60600</v>
      </c>
      <c r="AF103" s="49">
        <f t="shared" si="280"/>
        <v>0</v>
      </c>
      <c r="AG103" s="89"/>
      <c r="AH103" s="9"/>
      <c r="AI103" s="9"/>
      <c r="AJ103" s="9"/>
      <c r="AK103" s="49">
        <f t="shared" si="281"/>
        <v>0</v>
      </c>
      <c r="AL103" s="89"/>
      <c r="AM103" s="9"/>
      <c r="AN103" s="9"/>
      <c r="AO103" s="9"/>
      <c r="AP103" s="61">
        <f t="shared" si="282"/>
        <v>0</v>
      </c>
      <c r="AQ103" s="89"/>
      <c r="AR103" s="9"/>
      <c r="AS103" s="9"/>
      <c r="AT103" s="9"/>
      <c r="AU103" s="61">
        <f t="shared" si="301"/>
        <v>0</v>
      </c>
      <c r="AW103" s="9"/>
      <c r="AX103" s="9"/>
      <c r="AY103" s="9"/>
      <c r="AZ103" s="49"/>
      <c r="BA103" s="89"/>
      <c r="BB103" s="9"/>
      <c r="BC103" s="9"/>
      <c r="BD103" s="9"/>
      <c r="BE103" s="49"/>
      <c r="BF103" s="89"/>
      <c r="BG103" s="9"/>
      <c r="BH103" s="9"/>
      <c r="BI103" s="9"/>
      <c r="BJ103" s="49"/>
      <c r="BK103" s="89"/>
      <c r="BL103" s="9"/>
      <c r="BM103" s="9"/>
      <c r="BN103" s="9"/>
      <c r="BO103" s="49"/>
      <c r="BP103" s="89"/>
      <c r="BQ103" s="9"/>
      <c r="BR103" s="9"/>
      <c r="BS103" s="9"/>
      <c r="BT103" s="49"/>
      <c r="BU103" s="89"/>
      <c r="BV103" s="9"/>
      <c r="BW103" s="9"/>
      <c r="BX103" s="9"/>
      <c r="BY103" s="49"/>
      <c r="BZ103" s="89"/>
      <c r="CA103" s="9"/>
      <c r="CB103" s="9"/>
      <c r="CC103" s="9"/>
      <c r="CE103" s="1406">
        <v>1</v>
      </c>
      <c r="CF103" s="833">
        <f t="shared" ref="CF103:CQ103" si="312">CE103</f>
        <v>1</v>
      </c>
      <c r="CG103" s="833">
        <f t="shared" si="312"/>
        <v>1</v>
      </c>
      <c r="CH103" s="833">
        <f t="shared" si="312"/>
        <v>1</v>
      </c>
      <c r="CI103" s="833">
        <f t="shared" si="312"/>
        <v>1</v>
      </c>
      <c r="CJ103" s="833">
        <f t="shared" si="312"/>
        <v>1</v>
      </c>
      <c r="CK103" s="833">
        <f t="shared" si="312"/>
        <v>1</v>
      </c>
      <c r="CL103" s="833">
        <f t="shared" si="312"/>
        <v>1</v>
      </c>
      <c r="CM103" s="833">
        <f t="shared" si="312"/>
        <v>1</v>
      </c>
      <c r="CN103" s="833">
        <f t="shared" si="312"/>
        <v>1</v>
      </c>
      <c r="CO103" s="833">
        <f t="shared" si="312"/>
        <v>1</v>
      </c>
      <c r="CP103" s="833">
        <f t="shared" si="312"/>
        <v>1</v>
      </c>
      <c r="CQ103" s="833">
        <f t="shared" si="312"/>
        <v>1</v>
      </c>
      <c r="CR103" s="833"/>
      <c r="CS103" s="1125">
        <f t="shared" si="284"/>
        <v>0</v>
      </c>
      <c r="CT103" s="31">
        <f t="shared" si="285"/>
        <v>0</v>
      </c>
      <c r="CU103" s="31">
        <f t="shared" si="286"/>
        <v>61000</v>
      </c>
      <c r="CV103" s="31">
        <f t="shared" si="287"/>
        <v>0</v>
      </c>
      <c r="CW103" s="31">
        <f t="shared" si="288"/>
        <v>0</v>
      </c>
      <c r="CX103" s="31">
        <f t="shared" si="289"/>
        <v>0</v>
      </c>
      <c r="CY103" s="31">
        <f t="shared" si="290"/>
        <v>0</v>
      </c>
      <c r="CZ103" s="31">
        <f t="shared" si="291"/>
        <v>0</v>
      </c>
      <c r="DA103" s="31">
        <f t="shared" si="292"/>
        <v>0</v>
      </c>
      <c r="DB103" s="31">
        <f t="shared" si="293"/>
        <v>0</v>
      </c>
      <c r="DC103" s="31">
        <f t="shared" si="294"/>
        <v>0</v>
      </c>
      <c r="DD103" s="31">
        <f t="shared" si="295"/>
        <v>0</v>
      </c>
      <c r="DE103" s="78">
        <f t="shared" si="295"/>
        <v>0</v>
      </c>
    </row>
    <row r="104" spans="1:109" x14ac:dyDescent="0.2">
      <c r="A104" s="615" t="s">
        <v>6408</v>
      </c>
      <c r="B104" s="1354"/>
      <c r="C104" s="1346" t="s">
        <v>6855</v>
      </c>
      <c r="D104" s="1331" t="s">
        <v>6855</v>
      </c>
      <c r="E104" s="133"/>
      <c r="F104" s="29"/>
      <c r="G104" s="9"/>
      <c r="H104" s="9"/>
      <c r="I104" s="9"/>
      <c r="J104" s="29"/>
      <c r="K104" s="29"/>
      <c r="L104" s="9"/>
      <c r="M104" s="89"/>
      <c r="N104" s="9"/>
      <c r="O104" s="9"/>
      <c r="P104" s="9"/>
      <c r="Q104" s="49"/>
      <c r="R104" s="89"/>
      <c r="S104" s="9"/>
      <c r="T104" s="9"/>
      <c r="U104" s="9"/>
      <c r="V104" s="49"/>
      <c r="W104" s="133"/>
      <c r="X104" s="9"/>
      <c r="Y104" s="46"/>
      <c r="Z104" s="9"/>
      <c r="AA104" s="46">
        <f t="shared" si="279"/>
        <v>0</v>
      </c>
      <c r="AB104" s="133"/>
      <c r="AC104" s="9"/>
      <c r="AD104" s="9"/>
      <c r="AE104" s="9"/>
      <c r="AF104" s="49">
        <f t="shared" si="280"/>
        <v>0</v>
      </c>
      <c r="AG104" s="89"/>
      <c r="AH104" s="9"/>
      <c r="AI104" s="9"/>
      <c r="AJ104" s="9"/>
      <c r="AK104" s="49">
        <f t="shared" si="281"/>
        <v>0</v>
      </c>
      <c r="AL104" s="89"/>
      <c r="AM104" s="9"/>
      <c r="AN104" s="9"/>
      <c r="AO104" s="9"/>
      <c r="AP104" s="61">
        <f t="shared" si="282"/>
        <v>0</v>
      </c>
      <c r="AQ104" s="89"/>
      <c r="AR104" s="9"/>
      <c r="AS104" s="9"/>
      <c r="AT104" s="9"/>
      <c r="AU104" s="61">
        <f t="shared" si="301"/>
        <v>0</v>
      </c>
      <c r="AW104" s="9"/>
      <c r="AX104" s="9"/>
      <c r="AY104" s="9"/>
      <c r="AZ104" s="49"/>
      <c r="BA104" s="89"/>
      <c r="BB104" s="9"/>
      <c r="BC104" s="9"/>
      <c r="BD104" s="9"/>
      <c r="BE104" s="49"/>
      <c r="BF104" s="89"/>
      <c r="BG104" s="9"/>
      <c r="BH104" s="9"/>
      <c r="BI104" s="9"/>
      <c r="BJ104" s="49"/>
      <c r="BK104" s="89"/>
      <c r="BL104" s="9"/>
      <c r="BM104" s="9"/>
      <c r="BN104" s="9"/>
      <c r="BO104" s="49"/>
      <c r="BP104" s="89"/>
      <c r="BQ104" s="9"/>
      <c r="BR104" s="9"/>
      <c r="BS104" s="9"/>
      <c r="BT104" s="49"/>
      <c r="BU104" s="89"/>
      <c r="BV104" s="9"/>
      <c r="BW104" s="9"/>
      <c r="BX104" s="9"/>
      <c r="BY104" s="49"/>
      <c r="BZ104" s="89"/>
      <c r="CA104" s="9"/>
      <c r="CB104" s="9"/>
      <c r="CC104" s="9"/>
      <c r="CE104" s="1406">
        <v>1</v>
      </c>
      <c r="CF104" s="833">
        <f t="shared" ref="CF104:CQ104" si="313">CE104</f>
        <v>1</v>
      </c>
      <c r="CG104" s="833">
        <f t="shared" si="313"/>
        <v>1</v>
      </c>
      <c r="CH104" s="833">
        <f t="shared" si="313"/>
        <v>1</v>
      </c>
      <c r="CI104" s="833">
        <f t="shared" si="313"/>
        <v>1</v>
      </c>
      <c r="CJ104" s="833">
        <f t="shared" si="313"/>
        <v>1</v>
      </c>
      <c r="CK104" s="833">
        <f t="shared" si="313"/>
        <v>1</v>
      </c>
      <c r="CL104" s="833">
        <f t="shared" si="313"/>
        <v>1</v>
      </c>
      <c r="CM104" s="833">
        <f t="shared" si="313"/>
        <v>1</v>
      </c>
      <c r="CN104" s="833">
        <f t="shared" si="313"/>
        <v>1</v>
      </c>
      <c r="CO104" s="833">
        <f t="shared" si="313"/>
        <v>1</v>
      </c>
      <c r="CP104" s="833">
        <f t="shared" si="313"/>
        <v>1</v>
      </c>
      <c r="CQ104" s="833">
        <f t="shared" si="313"/>
        <v>1</v>
      </c>
      <c r="CR104" s="833"/>
      <c r="CS104" s="1125">
        <f t="shared" si="284"/>
        <v>0</v>
      </c>
      <c r="CT104" s="31">
        <f t="shared" si="285"/>
        <v>0</v>
      </c>
      <c r="CU104" s="31">
        <f t="shared" si="286"/>
        <v>0</v>
      </c>
      <c r="CV104" s="31">
        <f t="shared" si="287"/>
        <v>0</v>
      </c>
      <c r="CW104" s="31">
        <f t="shared" si="288"/>
        <v>0</v>
      </c>
      <c r="CX104" s="31">
        <f t="shared" si="289"/>
        <v>0</v>
      </c>
      <c r="CY104" s="31">
        <f t="shared" si="290"/>
        <v>0</v>
      </c>
      <c r="CZ104" s="31">
        <f t="shared" si="291"/>
        <v>0</v>
      </c>
      <c r="DA104" s="31">
        <f t="shared" si="292"/>
        <v>0</v>
      </c>
      <c r="DB104" s="31">
        <f t="shared" si="293"/>
        <v>0</v>
      </c>
      <c r="DC104" s="31">
        <f t="shared" si="294"/>
        <v>0</v>
      </c>
      <c r="DD104" s="31">
        <f t="shared" si="295"/>
        <v>0</v>
      </c>
      <c r="DE104" s="78">
        <f t="shared" si="295"/>
        <v>0</v>
      </c>
    </row>
    <row r="105" spans="1:109" x14ac:dyDescent="0.2">
      <c r="A105" s="615" t="s">
        <v>6410</v>
      </c>
      <c r="B105" s="1354"/>
      <c r="C105" s="1346" t="s">
        <v>6409</v>
      </c>
      <c r="D105" s="1331" t="s">
        <v>6409</v>
      </c>
      <c r="E105" s="133"/>
      <c r="F105" s="29"/>
      <c r="G105" s="9">
        <v>67000</v>
      </c>
      <c r="H105" s="9"/>
      <c r="I105" s="9"/>
      <c r="J105" s="29"/>
      <c r="K105" s="29"/>
      <c r="L105" s="9"/>
      <c r="M105" s="89"/>
      <c r="N105" s="9"/>
      <c r="O105" s="9"/>
      <c r="P105" s="9"/>
      <c r="Q105" s="49"/>
      <c r="R105" s="89"/>
      <c r="S105" s="9"/>
      <c r="T105" s="9"/>
      <c r="U105" s="9"/>
      <c r="V105" s="49"/>
      <c r="W105" s="133"/>
      <c r="X105" s="9"/>
      <c r="Y105" s="46"/>
      <c r="Z105" s="9"/>
      <c r="AA105" s="46">
        <f t="shared" si="279"/>
        <v>0</v>
      </c>
      <c r="AB105" s="133"/>
      <c r="AC105" s="9"/>
      <c r="AD105" s="9"/>
      <c r="AE105" s="9">
        <f>+G105</f>
        <v>67000</v>
      </c>
      <c r="AF105" s="49">
        <f t="shared" si="280"/>
        <v>0</v>
      </c>
      <c r="AG105" s="89"/>
      <c r="AH105" s="9"/>
      <c r="AI105" s="9"/>
      <c r="AJ105" s="9"/>
      <c r="AK105" s="49">
        <f t="shared" si="281"/>
        <v>0</v>
      </c>
      <c r="AL105" s="89"/>
      <c r="AM105" s="9"/>
      <c r="AN105" s="9"/>
      <c r="AO105" s="9"/>
      <c r="AP105" s="61">
        <f t="shared" si="282"/>
        <v>0</v>
      </c>
      <c r="AQ105" s="89"/>
      <c r="AR105" s="9"/>
      <c r="AS105" s="9"/>
      <c r="AT105" s="9"/>
      <c r="AU105" s="61">
        <f t="shared" si="301"/>
        <v>0</v>
      </c>
      <c r="AW105" s="9"/>
      <c r="AX105" s="9"/>
      <c r="AY105" s="9"/>
      <c r="AZ105" s="49"/>
      <c r="BA105" s="89"/>
      <c r="BB105" s="9"/>
      <c r="BC105" s="9"/>
      <c r="BD105" s="9"/>
      <c r="BE105" s="49"/>
      <c r="BF105" s="89"/>
      <c r="BG105" s="9"/>
      <c r="BH105" s="9"/>
      <c r="BI105" s="9"/>
      <c r="BJ105" s="49"/>
      <c r="BK105" s="89"/>
      <c r="BL105" s="9"/>
      <c r="BM105" s="9"/>
      <c r="BN105" s="9"/>
      <c r="BO105" s="49"/>
      <c r="BP105" s="89"/>
      <c r="BQ105" s="9"/>
      <c r="BR105" s="9"/>
      <c r="BS105" s="9"/>
      <c r="BT105" s="49"/>
      <c r="BU105" s="89"/>
      <c r="BV105" s="9"/>
      <c r="BW105" s="9"/>
      <c r="BX105" s="9"/>
      <c r="BY105" s="49"/>
      <c r="BZ105" s="89"/>
      <c r="CA105" s="9"/>
      <c r="CB105" s="9"/>
      <c r="CC105" s="9"/>
      <c r="CE105" s="1406">
        <v>1</v>
      </c>
      <c r="CF105" s="833">
        <f t="shared" ref="CF105:CQ105" si="314">CE105</f>
        <v>1</v>
      </c>
      <c r="CG105" s="833">
        <f t="shared" si="314"/>
        <v>1</v>
      </c>
      <c r="CH105" s="833">
        <f t="shared" si="314"/>
        <v>1</v>
      </c>
      <c r="CI105" s="833">
        <f t="shared" si="314"/>
        <v>1</v>
      </c>
      <c r="CJ105" s="833">
        <f t="shared" si="314"/>
        <v>1</v>
      </c>
      <c r="CK105" s="833">
        <f t="shared" si="314"/>
        <v>1</v>
      </c>
      <c r="CL105" s="833">
        <f t="shared" si="314"/>
        <v>1</v>
      </c>
      <c r="CM105" s="833">
        <f t="shared" si="314"/>
        <v>1</v>
      </c>
      <c r="CN105" s="833">
        <f t="shared" si="314"/>
        <v>1</v>
      </c>
      <c r="CO105" s="833">
        <f t="shared" si="314"/>
        <v>1</v>
      </c>
      <c r="CP105" s="833">
        <f t="shared" si="314"/>
        <v>1</v>
      </c>
      <c r="CQ105" s="833">
        <f t="shared" si="314"/>
        <v>1</v>
      </c>
      <c r="CR105" s="833"/>
      <c r="CS105" s="1125">
        <f t="shared" si="284"/>
        <v>0</v>
      </c>
      <c r="CT105" s="31">
        <f t="shared" si="285"/>
        <v>0</v>
      </c>
      <c r="CU105" s="31">
        <f t="shared" si="286"/>
        <v>67000</v>
      </c>
      <c r="CV105" s="31">
        <f t="shared" si="287"/>
        <v>0</v>
      </c>
      <c r="CW105" s="31">
        <f t="shared" si="288"/>
        <v>0</v>
      </c>
      <c r="CX105" s="31">
        <f t="shared" si="289"/>
        <v>0</v>
      </c>
      <c r="CY105" s="31">
        <f t="shared" si="290"/>
        <v>0</v>
      </c>
      <c r="CZ105" s="31">
        <f t="shared" si="291"/>
        <v>0</v>
      </c>
      <c r="DA105" s="31">
        <f t="shared" si="292"/>
        <v>0</v>
      </c>
      <c r="DB105" s="31">
        <f t="shared" si="293"/>
        <v>0</v>
      </c>
      <c r="DC105" s="31">
        <f t="shared" si="294"/>
        <v>0</v>
      </c>
      <c r="DD105" s="31">
        <f t="shared" si="295"/>
        <v>0</v>
      </c>
      <c r="DE105" s="78">
        <f t="shared" si="295"/>
        <v>0</v>
      </c>
    </row>
    <row r="106" spans="1:109" x14ac:dyDescent="0.2">
      <c r="A106" s="615" t="s">
        <v>7000</v>
      </c>
      <c r="B106" s="1354" t="s">
        <v>6310</v>
      </c>
      <c r="C106" s="1346" t="s">
        <v>6311</v>
      </c>
      <c r="D106" s="1331" t="s">
        <v>6311</v>
      </c>
      <c r="E106" s="133"/>
      <c r="F106" s="29">
        <v>20000</v>
      </c>
      <c r="G106" s="9"/>
      <c r="H106" s="9"/>
      <c r="I106" s="9"/>
      <c r="J106" s="29"/>
      <c r="K106" s="29"/>
      <c r="L106" s="9"/>
      <c r="M106" s="89"/>
      <c r="N106" s="9"/>
      <c r="O106" s="9"/>
      <c r="P106" s="9"/>
      <c r="Q106" s="49"/>
      <c r="R106" s="89"/>
      <c r="S106" s="9"/>
      <c r="T106" s="9"/>
      <c r="U106" s="9"/>
      <c r="V106" s="49"/>
      <c r="W106" s="133"/>
      <c r="X106" s="9"/>
      <c r="Y106" s="46"/>
      <c r="Z106" s="9">
        <v>20000</v>
      </c>
      <c r="AA106" s="46">
        <f t="shared" si="279"/>
        <v>0</v>
      </c>
      <c r="AB106" s="133"/>
      <c r="AC106" s="9"/>
      <c r="AD106" s="9"/>
      <c r="AE106" s="9"/>
      <c r="AF106" s="49">
        <f t="shared" si="280"/>
        <v>0</v>
      </c>
      <c r="AG106" s="89"/>
      <c r="AH106" s="9"/>
      <c r="AI106" s="9"/>
      <c r="AJ106" s="9"/>
      <c r="AK106" s="49">
        <f t="shared" si="281"/>
        <v>0</v>
      </c>
      <c r="AL106" s="89"/>
      <c r="AM106" s="9"/>
      <c r="AN106" s="9"/>
      <c r="AO106" s="9"/>
      <c r="AP106" s="61">
        <f t="shared" si="282"/>
        <v>0</v>
      </c>
      <c r="AQ106" s="89"/>
      <c r="AR106" s="9"/>
      <c r="AS106" s="9"/>
      <c r="AT106" s="9"/>
      <c r="AU106" s="61">
        <f t="shared" si="301"/>
        <v>0</v>
      </c>
      <c r="AW106" s="9"/>
      <c r="AX106" s="9"/>
      <c r="AY106" s="9"/>
      <c r="AZ106" s="49"/>
      <c r="BA106" s="89"/>
      <c r="BB106" s="9"/>
      <c r="BC106" s="9"/>
      <c r="BD106" s="9"/>
      <c r="BE106" s="49"/>
      <c r="BF106" s="89"/>
      <c r="BG106" s="9"/>
      <c r="BH106" s="9"/>
      <c r="BI106" s="9"/>
      <c r="BJ106" s="49"/>
      <c r="BK106" s="89"/>
      <c r="BL106" s="9"/>
      <c r="BM106" s="9"/>
      <c r="BN106" s="9"/>
      <c r="BO106" s="49"/>
      <c r="BP106" s="89"/>
      <c r="BQ106" s="9"/>
      <c r="BR106" s="9"/>
      <c r="BS106" s="9"/>
      <c r="BT106" s="49"/>
      <c r="BU106" s="89"/>
      <c r="BV106" s="9"/>
      <c r="BW106" s="9"/>
      <c r="BX106" s="9"/>
      <c r="BY106" s="49"/>
      <c r="BZ106" s="89"/>
      <c r="CA106" s="9"/>
      <c r="CB106" s="9"/>
      <c r="CC106" s="9"/>
      <c r="CE106" s="1406">
        <v>1</v>
      </c>
      <c r="CF106" s="833">
        <f t="shared" ref="CF106:CQ106" si="315">CE106</f>
        <v>1</v>
      </c>
      <c r="CG106" s="833">
        <f t="shared" si="315"/>
        <v>1</v>
      </c>
      <c r="CH106" s="833">
        <f t="shared" si="315"/>
        <v>1</v>
      </c>
      <c r="CI106" s="833">
        <f t="shared" si="315"/>
        <v>1</v>
      </c>
      <c r="CJ106" s="833">
        <f t="shared" si="315"/>
        <v>1</v>
      </c>
      <c r="CK106" s="833">
        <f t="shared" si="315"/>
        <v>1</v>
      </c>
      <c r="CL106" s="833">
        <f t="shared" si="315"/>
        <v>1</v>
      </c>
      <c r="CM106" s="833">
        <f t="shared" si="315"/>
        <v>1</v>
      </c>
      <c r="CN106" s="833">
        <f t="shared" si="315"/>
        <v>1</v>
      </c>
      <c r="CO106" s="833">
        <f t="shared" si="315"/>
        <v>1</v>
      </c>
      <c r="CP106" s="833">
        <f t="shared" si="315"/>
        <v>1</v>
      </c>
      <c r="CQ106" s="833">
        <f t="shared" si="315"/>
        <v>1</v>
      </c>
      <c r="CR106" s="833"/>
      <c r="CS106" s="1125">
        <f t="shared" si="284"/>
        <v>0</v>
      </c>
      <c r="CT106" s="31">
        <f t="shared" si="285"/>
        <v>20000</v>
      </c>
      <c r="CU106" s="31">
        <f t="shared" si="286"/>
        <v>0</v>
      </c>
      <c r="CV106" s="31">
        <f t="shared" si="287"/>
        <v>0</v>
      </c>
      <c r="CW106" s="31">
        <f t="shared" si="288"/>
        <v>0</v>
      </c>
      <c r="CX106" s="31">
        <f t="shared" si="289"/>
        <v>0</v>
      </c>
      <c r="CY106" s="31">
        <f t="shared" si="290"/>
        <v>0</v>
      </c>
      <c r="CZ106" s="31">
        <f t="shared" si="291"/>
        <v>0</v>
      </c>
      <c r="DA106" s="31">
        <f t="shared" si="292"/>
        <v>0</v>
      </c>
      <c r="DB106" s="31">
        <f t="shared" si="293"/>
        <v>0</v>
      </c>
      <c r="DC106" s="31">
        <f t="shared" si="294"/>
        <v>0</v>
      </c>
      <c r="DD106" s="31">
        <f t="shared" si="295"/>
        <v>0</v>
      </c>
      <c r="DE106" s="78">
        <f t="shared" si="295"/>
        <v>0</v>
      </c>
    </row>
    <row r="107" spans="1:109" x14ac:dyDescent="0.2">
      <c r="A107" s="615" t="s">
        <v>7013</v>
      </c>
      <c r="B107" s="1360"/>
      <c r="C107" s="1337"/>
      <c r="D107" s="1331"/>
      <c r="E107" s="350"/>
      <c r="F107" s="29"/>
      <c r="G107" s="9"/>
      <c r="H107" s="9"/>
      <c r="I107" s="9">
        <f>Assumptions!J47</f>
        <v>0</v>
      </c>
      <c r="J107" s="29">
        <f>Assumptions!K47</f>
        <v>250000</v>
      </c>
      <c r="K107" s="29">
        <f>Assumptions!L47</f>
        <v>250000</v>
      </c>
      <c r="L107" s="29">
        <f>Assumptions!M47</f>
        <v>250000</v>
      </c>
      <c r="M107" s="9">
        <f>Assumptions!N47</f>
        <v>250000</v>
      </c>
      <c r="N107" s="9">
        <f>Assumptions!O47</f>
        <v>250000</v>
      </c>
      <c r="O107" s="9">
        <f>Assumptions!P47</f>
        <v>250000</v>
      </c>
      <c r="P107" s="9">
        <f>Assumptions!Q47</f>
        <v>250000</v>
      </c>
      <c r="Q107" s="49">
        <f>Assumptions!R47</f>
        <v>250000</v>
      </c>
      <c r="R107" s="89"/>
      <c r="S107" s="9"/>
      <c r="T107" s="9"/>
      <c r="U107" s="9"/>
      <c r="V107" s="49">
        <f>E107-R107-S107-T107-U107</f>
        <v>0</v>
      </c>
      <c r="W107" s="133"/>
      <c r="X107" s="9"/>
      <c r="Y107" s="46"/>
      <c r="Z107" s="9"/>
      <c r="AA107" s="46">
        <f t="shared" si="279"/>
        <v>0</v>
      </c>
      <c r="AB107" s="133"/>
      <c r="AC107" s="9"/>
      <c r="AD107" s="9"/>
      <c r="AE107" s="9"/>
      <c r="AF107" s="49">
        <f t="shared" si="280"/>
        <v>0</v>
      </c>
      <c r="AG107" s="89"/>
      <c r="AH107" s="9"/>
      <c r="AI107" s="9"/>
      <c r="AJ107" s="9"/>
      <c r="AK107" s="49">
        <f t="shared" si="281"/>
        <v>0</v>
      </c>
      <c r="AL107" s="89"/>
      <c r="AM107" s="9"/>
      <c r="AN107" s="9"/>
      <c r="AO107" s="9">
        <f>I107</f>
        <v>0</v>
      </c>
      <c r="AP107" s="61">
        <f t="shared" si="282"/>
        <v>0</v>
      </c>
      <c r="AQ107" s="89"/>
      <c r="AR107" s="9"/>
      <c r="AS107" s="9"/>
      <c r="AT107" s="9">
        <f>J107</f>
        <v>250000</v>
      </c>
      <c r="AU107" s="61">
        <f t="shared" si="301"/>
        <v>0</v>
      </c>
      <c r="AW107" s="9"/>
      <c r="AX107" s="9"/>
      <c r="AY107" s="9">
        <f>K107</f>
        <v>250000</v>
      </c>
      <c r="AZ107" s="49">
        <f>K107-AV107-AW107-AX107-AY107</f>
        <v>0</v>
      </c>
      <c r="BA107" s="89"/>
      <c r="BB107" s="9"/>
      <c r="BC107" s="9"/>
      <c r="BD107" s="9">
        <f>L107</f>
        <v>250000</v>
      </c>
      <c r="BE107" s="49">
        <f>L107-BA107-BB107-BC107-BD107</f>
        <v>0</v>
      </c>
      <c r="BF107" s="89"/>
      <c r="BG107" s="9"/>
      <c r="BH107" s="9"/>
      <c r="BI107" s="9">
        <f>M107</f>
        <v>250000</v>
      </c>
      <c r="BJ107" s="49">
        <f>M107-BF107-BG107-BH107-BI107</f>
        <v>0</v>
      </c>
      <c r="BK107" s="89"/>
      <c r="BL107" s="9"/>
      <c r="BM107" s="9"/>
      <c r="BN107" s="9">
        <f>N107</f>
        <v>250000</v>
      </c>
      <c r="BO107" s="49">
        <f>N107-BK107-BL107-BM107-BN107</f>
        <v>0</v>
      </c>
      <c r="BP107" s="89"/>
      <c r="BQ107" s="9"/>
      <c r="BR107" s="9"/>
      <c r="BS107" s="9">
        <f>O107</f>
        <v>250000</v>
      </c>
      <c r="BT107" s="49">
        <f>O107-BP107-BQ107-BR107-BS107</f>
        <v>0</v>
      </c>
      <c r="BU107" s="89"/>
      <c r="BV107" s="9"/>
      <c r="BW107" s="9"/>
      <c r="BX107" s="9">
        <f>P107</f>
        <v>250000</v>
      </c>
      <c r="BY107" s="49">
        <f>P107-BU107-BV107-BW107-BX107</f>
        <v>0</v>
      </c>
      <c r="BZ107" s="89"/>
      <c r="CA107" s="9"/>
      <c r="CB107" s="9"/>
      <c r="CC107" s="9">
        <f>+Q107</f>
        <v>250000</v>
      </c>
      <c r="CD107" s="46">
        <f t="shared" ref="CD107" si="316">Q107-BZ107-CA107-CB107-CC107</f>
        <v>0</v>
      </c>
      <c r="CE107" s="1406">
        <v>1</v>
      </c>
      <c r="CF107" s="833">
        <f t="shared" ref="CF107:CQ107" si="317">CE107</f>
        <v>1</v>
      </c>
      <c r="CG107" s="833">
        <f t="shared" si="317"/>
        <v>1</v>
      </c>
      <c r="CH107" s="833">
        <f t="shared" si="317"/>
        <v>1</v>
      </c>
      <c r="CI107" s="833">
        <f t="shared" si="317"/>
        <v>1</v>
      </c>
      <c r="CJ107" s="833">
        <f t="shared" si="317"/>
        <v>1</v>
      </c>
      <c r="CK107" s="833">
        <f t="shared" si="317"/>
        <v>1</v>
      </c>
      <c r="CL107" s="833">
        <f t="shared" si="317"/>
        <v>1</v>
      </c>
      <c r="CM107" s="833">
        <f t="shared" si="317"/>
        <v>1</v>
      </c>
      <c r="CN107" s="833">
        <f t="shared" si="317"/>
        <v>1</v>
      </c>
      <c r="CO107" s="833">
        <f t="shared" si="317"/>
        <v>1</v>
      </c>
      <c r="CP107" s="833">
        <f t="shared" si="317"/>
        <v>1</v>
      </c>
      <c r="CQ107" s="833">
        <f t="shared" si="317"/>
        <v>1</v>
      </c>
      <c r="CR107" s="833"/>
      <c r="CS107" s="1125">
        <f t="shared" si="284"/>
        <v>0</v>
      </c>
      <c r="CT107" s="31">
        <f t="shared" si="285"/>
        <v>0</v>
      </c>
      <c r="CU107" s="31">
        <f t="shared" si="286"/>
        <v>0</v>
      </c>
      <c r="CV107" s="31">
        <f t="shared" si="287"/>
        <v>0</v>
      </c>
      <c r="CW107" s="31">
        <f t="shared" si="288"/>
        <v>0</v>
      </c>
      <c r="CX107" s="31">
        <f t="shared" si="289"/>
        <v>250000</v>
      </c>
      <c r="CY107" s="31">
        <f t="shared" si="290"/>
        <v>250000</v>
      </c>
      <c r="CZ107" s="31">
        <f t="shared" si="291"/>
        <v>250000</v>
      </c>
      <c r="DA107" s="31">
        <f t="shared" si="292"/>
        <v>250000</v>
      </c>
      <c r="DB107" s="31">
        <f t="shared" si="293"/>
        <v>250000</v>
      </c>
      <c r="DC107" s="31">
        <f t="shared" si="294"/>
        <v>250000</v>
      </c>
      <c r="DD107" s="31">
        <f t="shared" si="295"/>
        <v>250000</v>
      </c>
      <c r="DE107" s="78">
        <f t="shared" si="295"/>
        <v>250000</v>
      </c>
    </row>
    <row r="108" spans="1:109" x14ac:dyDescent="0.2">
      <c r="A108" s="296"/>
      <c r="B108" s="1269"/>
      <c r="C108" s="1337"/>
      <c r="D108" s="1333"/>
      <c r="E108" s="133"/>
      <c r="F108" s="89"/>
      <c r="G108" s="9"/>
      <c r="H108" s="9"/>
      <c r="I108" s="9"/>
      <c r="J108" s="29"/>
      <c r="K108" s="29"/>
      <c r="L108" s="9"/>
      <c r="M108" s="89"/>
      <c r="N108" s="9"/>
      <c r="O108" s="9"/>
      <c r="P108" s="9"/>
      <c r="Q108" s="49"/>
      <c r="R108" s="89"/>
      <c r="S108" s="9"/>
      <c r="T108" s="9"/>
      <c r="U108" s="9"/>
      <c r="V108" s="49"/>
      <c r="W108" s="133"/>
      <c r="X108" s="9"/>
      <c r="Y108" s="46"/>
      <c r="Z108" s="9"/>
      <c r="AA108" s="46">
        <f t="shared" si="279"/>
        <v>0</v>
      </c>
      <c r="AB108" s="133"/>
      <c r="AC108" s="9"/>
      <c r="AD108" s="9"/>
      <c r="AE108" s="9"/>
      <c r="AF108" s="49"/>
      <c r="AG108" s="89"/>
      <c r="AH108" s="9"/>
      <c r="AI108" s="9"/>
      <c r="AJ108" s="9"/>
      <c r="AK108" s="49"/>
      <c r="AL108" s="89"/>
      <c r="AM108" s="9"/>
      <c r="AN108" s="9"/>
      <c r="AO108" s="9"/>
      <c r="AP108" s="61"/>
      <c r="AQ108" s="89"/>
      <c r="AR108" s="9"/>
      <c r="AS108" s="9"/>
      <c r="AT108" s="9"/>
      <c r="AU108" s="61"/>
      <c r="AW108" s="9"/>
      <c r="AX108" s="9"/>
      <c r="AY108" s="9"/>
      <c r="AZ108" s="49"/>
      <c r="BA108" s="89"/>
      <c r="BB108" s="9"/>
      <c r="BC108" s="9"/>
      <c r="BD108" s="9"/>
      <c r="BE108" s="49"/>
      <c r="BF108" s="89"/>
      <c r="BG108" s="9"/>
      <c r="BH108" s="9"/>
      <c r="BI108" s="9"/>
      <c r="BJ108" s="49"/>
      <c r="BK108" s="89"/>
      <c r="BL108" s="9"/>
      <c r="BM108" s="9"/>
      <c r="BN108" s="9"/>
      <c r="BO108" s="49"/>
      <c r="BP108" s="89"/>
      <c r="BQ108" s="9"/>
      <c r="BR108" s="9"/>
      <c r="BS108" s="9"/>
      <c r="BT108" s="49"/>
      <c r="BU108" s="89"/>
      <c r="BV108" s="9"/>
      <c r="BW108" s="9"/>
      <c r="BX108" s="9"/>
      <c r="BY108" s="49"/>
      <c r="BZ108" s="89"/>
      <c r="CA108" s="9"/>
      <c r="CB108" s="9"/>
      <c r="CC108" s="9"/>
      <c r="CE108" s="1405"/>
      <c r="CF108" s="538"/>
      <c r="CG108" s="538"/>
      <c r="CH108" s="538"/>
      <c r="CI108" s="538"/>
      <c r="CJ108" s="538"/>
      <c r="CK108" s="538"/>
      <c r="CL108" s="538"/>
      <c r="CM108" s="538"/>
      <c r="CN108" s="538"/>
      <c r="CO108" s="538"/>
      <c r="CP108" s="538"/>
      <c r="CQ108" s="538"/>
      <c r="CR108" s="538"/>
      <c r="CS108" s="350"/>
      <c r="CT108" s="46"/>
      <c r="CU108" s="46"/>
      <c r="CV108" s="46"/>
      <c r="CW108" s="46"/>
      <c r="CX108" s="46"/>
      <c r="CY108" s="46"/>
      <c r="CZ108" s="46"/>
      <c r="DA108" s="46"/>
      <c r="DB108" s="46"/>
      <c r="DC108" s="46"/>
      <c r="DD108" s="46"/>
      <c r="DE108" s="61"/>
    </row>
    <row r="109" spans="1:109" x14ac:dyDescent="0.2">
      <c r="A109" s="413" t="s">
        <v>3080</v>
      </c>
      <c r="B109" s="1360"/>
      <c r="C109" s="1337"/>
      <c r="D109" s="1333"/>
      <c r="E109" s="133"/>
      <c r="F109" s="89"/>
      <c r="G109" s="9"/>
      <c r="H109" s="9"/>
      <c r="I109" s="9"/>
      <c r="J109" s="29"/>
      <c r="K109" s="29"/>
      <c r="L109" s="9"/>
      <c r="M109" s="89"/>
      <c r="N109" s="9"/>
      <c r="O109" s="9"/>
      <c r="P109" s="9"/>
      <c r="Q109" s="49"/>
      <c r="R109" s="89"/>
      <c r="S109" s="9"/>
      <c r="T109" s="9"/>
      <c r="U109" s="9"/>
      <c r="V109" s="49"/>
      <c r="W109" s="133"/>
      <c r="X109" s="9"/>
      <c r="Y109" s="46"/>
      <c r="Z109" s="9"/>
      <c r="AA109" s="46">
        <f t="shared" si="279"/>
        <v>0</v>
      </c>
      <c r="AB109" s="133"/>
      <c r="AC109" s="9"/>
      <c r="AD109" s="9"/>
      <c r="AE109" s="9"/>
      <c r="AF109" s="49"/>
      <c r="AG109" s="89"/>
      <c r="AH109" s="9"/>
      <c r="AI109" s="9"/>
      <c r="AJ109" s="9"/>
      <c r="AK109" s="49"/>
      <c r="AL109" s="89"/>
      <c r="AM109" s="9"/>
      <c r="AN109" s="9"/>
      <c r="AO109" s="9"/>
      <c r="AP109" s="61"/>
      <c r="AQ109" s="89"/>
      <c r="AR109" s="9"/>
      <c r="AS109" s="9"/>
      <c r="AT109" s="9"/>
      <c r="AU109" s="61"/>
      <c r="AW109" s="9"/>
      <c r="AX109" s="9"/>
      <c r="AY109" s="9"/>
      <c r="AZ109" s="49"/>
      <c r="BA109" s="89"/>
      <c r="BB109" s="9"/>
      <c r="BC109" s="9"/>
      <c r="BD109" s="9"/>
      <c r="BE109" s="49"/>
      <c r="BF109" s="89"/>
      <c r="BG109" s="9"/>
      <c r="BH109" s="9"/>
      <c r="BI109" s="9"/>
      <c r="BJ109" s="49"/>
      <c r="BK109" s="89"/>
      <c r="BL109" s="9"/>
      <c r="BM109" s="9"/>
      <c r="BN109" s="9"/>
      <c r="BO109" s="49"/>
      <c r="BP109" s="89"/>
      <c r="BQ109" s="9"/>
      <c r="BR109" s="9"/>
      <c r="BS109" s="9"/>
      <c r="BT109" s="49"/>
      <c r="BU109" s="89"/>
      <c r="BV109" s="9"/>
      <c r="BW109" s="9"/>
      <c r="BX109" s="9"/>
      <c r="BY109" s="49"/>
      <c r="BZ109" s="89"/>
      <c r="CA109" s="9"/>
      <c r="CB109" s="9"/>
      <c r="CC109" s="9"/>
      <c r="CE109" s="1405"/>
      <c r="CF109" s="538"/>
      <c r="CG109" s="538"/>
      <c r="CH109" s="538"/>
      <c r="CI109" s="538"/>
      <c r="CJ109" s="538"/>
      <c r="CK109" s="538"/>
      <c r="CL109" s="538"/>
      <c r="CM109" s="538"/>
      <c r="CN109" s="538"/>
      <c r="CO109" s="538"/>
      <c r="CP109" s="538"/>
      <c r="CQ109" s="538"/>
      <c r="CR109" s="538"/>
      <c r="CS109" s="350"/>
      <c r="CT109" s="46"/>
      <c r="CU109" s="46"/>
      <c r="CV109" s="46"/>
      <c r="CW109" s="46"/>
      <c r="CX109" s="46"/>
      <c r="CY109" s="46"/>
      <c r="CZ109" s="46"/>
      <c r="DA109" s="46"/>
      <c r="DB109" s="46"/>
      <c r="DC109" s="46"/>
      <c r="DD109" s="46"/>
      <c r="DE109" s="61"/>
    </row>
    <row r="110" spans="1:109" x14ac:dyDescent="0.2">
      <c r="A110" s="615" t="s">
        <v>4403</v>
      </c>
      <c r="B110" s="1354" t="s">
        <v>1287</v>
      </c>
      <c r="C110" s="1337"/>
      <c r="D110" s="1331" t="s">
        <v>5046</v>
      </c>
      <c r="E110" s="641">
        <v>23000</v>
      </c>
      <c r="F110" s="89">
        <v>200</v>
      </c>
      <c r="G110" s="9">
        <f>104000+151000</f>
        <v>255000</v>
      </c>
      <c r="H110" s="9">
        <f>ROUND((G110*Assumptions!I$6+G110),-3)-157000</f>
        <v>108000</v>
      </c>
      <c r="I110" s="9">
        <f>ROUND((H110*Assumptions!J$6+H110),-3)</f>
        <v>112000</v>
      </c>
      <c r="J110" s="29">
        <f>ROUND((I110*Assumptions!K$6+I110),-3)</f>
        <v>115000</v>
      </c>
      <c r="K110" s="29">
        <f>ROUND((J110*Assumptions!L$6+J110),-3)</f>
        <v>118000</v>
      </c>
      <c r="L110" s="9">
        <f>ROUND((K110*Assumptions!M$6+K110),-3)</f>
        <v>121000</v>
      </c>
      <c r="M110" s="89">
        <f>ROUND((L110*Assumptions!N$6+L110),-3)</f>
        <v>124000</v>
      </c>
      <c r="N110" s="9">
        <f>ROUND((M110*Assumptions!O$6+M110),-3)</f>
        <v>127000</v>
      </c>
      <c r="O110" s="9">
        <f>ROUND((N110*Assumptions!P$6+N110),-3)</f>
        <v>130000</v>
      </c>
      <c r="P110" s="9">
        <f>ROUND((O110*Assumptions!Q$6+O110),-3)</f>
        <v>133000</v>
      </c>
      <c r="Q110" s="49">
        <f>ROUND((P110*Assumptions!R$6+P110),-3)</f>
        <v>136000</v>
      </c>
      <c r="R110" s="89"/>
      <c r="S110" s="9"/>
      <c r="T110" s="9"/>
      <c r="U110" s="9"/>
      <c r="V110" s="49">
        <f>E110-R110-S110-T110-U110</f>
        <v>23000</v>
      </c>
      <c r="W110" s="133"/>
      <c r="X110" s="9"/>
      <c r="Y110" s="46"/>
      <c r="Z110" s="9">
        <f>+F110</f>
        <v>200</v>
      </c>
      <c r="AA110" s="46">
        <f t="shared" si="279"/>
        <v>0</v>
      </c>
      <c r="AB110" s="133"/>
      <c r="AC110" s="9"/>
      <c r="AD110" s="9"/>
      <c r="AE110" s="9">
        <v>151000</v>
      </c>
      <c r="AF110" s="49">
        <f>G110-AB110-AC110-AD110-AE110</f>
        <v>104000</v>
      </c>
      <c r="AG110" s="89"/>
      <c r="AH110" s="9"/>
      <c r="AI110" s="9"/>
      <c r="AJ110" s="9"/>
      <c r="AK110" s="49">
        <f>H110-AG110-AH110-AI110-AJ110</f>
        <v>108000</v>
      </c>
      <c r="AL110" s="89"/>
      <c r="AM110" s="9"/>
      <c r="AN110" s="9"/>
      <c r="AO110" s="9"/>
      <c r="AP110" s="61">
        <f>I110-AL110-AM110-AN110-AO110</f>
        <v>112000</v>
      </c>
      <c r="AQ110" s="89"/>
      <c r="AR110" s="9"/>
      <c r="AS110" s="9"/>
      <c r="AT110" s="9"/>
      <c r="AU110" s="61">
        <f>J110-AQ110-AR110-AS110-AT110</f>
        <v>115000</v>
      </c>
      <c r="AW110" s="9"/>
      <c r="AX110" s="9"/>
      <c r="AY110" s="9"/>
      <c r="AZ110" s="49">
        <f>K110-AV110-AW110-AX110-AY110</f>
        <v>118000</v>
      </c>
      <c r="BA110" s="89"/>
      <c r="BB110" s="9"/>
      <c r="BC110" s="9"/>
      <c r="BD110" s="9"/>
      <c r="BE110" s="49">
        <f>L110-BA110-BB110-BC110-BD110</f>
        <v>121000</v>
      </c>
      <c r="BF110" s="89"/>
      <c r="BG110" s="9"/>
      <c r="BH110" s="9"/>
      <c r="BI110" s="9"/>
      <c r="BJ110" s="49">
        <f>M110-BF110-BG110-BH110-BI110</f>
        <v>124000</v>
      </c>
      <c r="BK110" s="89"/>
      <c r="BL110" s="9"/>
      <c r="BM110" s="9"/>
      <c r="BN110" s="9"/>
      <c r="BO110" s="49">
        <f>N110-BK110-BL110-BM110-BN110</f>
        <v>127000</v>
      </c>
      <c r="BP110" s="89"/>
      <c r="BQ110" s="9"/>
      <c r="BR110" s="9"/>
      <c r="BS110" s="9"/>
      <c r="BT110" s="49">
        <f>O110-BP110-BQ110-BR110-BS110</f>
        <v>130000</v>
      </c>
      <c r="BU110" s="89"/>
      <c r="BV110" s="9"/>
      <c r="BW110" s="9"/>
      <c r="BX110" s="9"/>
      <c r="BY110" s="49">
        <f t="shared" ref="BY110" si="318">P110-BU110-BV110-BW110-BX110</f>
        <v>133000</v>
      </c>
      <c r="BZ110" s="89"/>
      <c r="CA110" s="9"/>
      <c r="CB110" s="9"/>
      <c r="CC110" s="9"/>
      <c r="CD110" s="46">
        <f t="shared" ref="CD110" si="319">Q110-BZ110-CA110-CB110-CC110</f>
        <v>136000</v>
      </c>
      <c r="CE110" s="1406">
        <v>1</v>
      </c>
      <c r="CF110" s="833">
        <f t="shared" ref="CF110:CN110" si="320">CE110</f>
        <v>1</v>
      </c>
      <c r="CG110" s="833">
        <f t="shared" si="320"/>
        <v>1</v>
      </c>
      <c r="CH110" s="833">
        <f t="shared" si="320"/>
        <v>1</v>
      </c>
      <c r="CI110" s="833">
        <f t="shared" si="320"/>
        <v>1</v>
      </c>
      <c r="CJ110" s="833">
        <f t="shared" si="320"/>
        <v>1</v>
      </c>
      <c r="CK110" s="833">
        <f t="shared" si="320"/>
        <v>1</v>
      </c>
      <c r="CL110" s="833">
        <f t="shared" si="320"/>
        <v>1</v>
      </c>
      <c r="CM110" s="833">
        <f t="shared" si="320"/>
        <v>1</v>
      </c>
      <c r="CN110" s="833">
        <f t="shared" si="320"/>
        <v>1</v>
      </c>
      <c r="CO110" s="833">
        <f>CN110</f>
        <v>1</v>
      </c>
      <c r="CP110" s="833">
        <f>CO110</f>
        <v>1</v>
      </c>
      <c r="CQ110" s="833">
        <f>CP110</f>
        <v>1</v>
      </c>
      <c r="CR110" s="833"/>
      <c r="CS110" s="1125">
        <f t="shared" ref="CS110:DE110" si="321">ROUND(CE110*E110,-3)</f>
        <v>23000</v>
      </c>
      <c r="CT110" s="31">
        <f t="shared" si="321"/>
        <v>0</v>
      </c>
      <c r="CU110" s="31">
        <f t="shared" si="321"/>
        <v>255000</v>
      </c>
      <c r="CV110" s="31">
        <f t="shared" si="321"/>
        <v>108000</v>
      </c>
      <c r="CW110" s="31">
        <f t="shared" si="321"/>
        <v>112000</v>
      </c>
      <c r="CX110" s="31">
        <f t="shared" si="321"/>
        <v>115000</v>
      </c>
      <c r="CY110" s="31">
        <f t="shared" si="321"/>
        <v>118000</v>
      </c>
      <c r="CZ110" s="31">
        <f t="shared" si="321"/>
        <v>121000</v>
      </c>
      <c r="DA110" s="31">
        <f t="shared" si="321"/>
        <v>124000</v>
      </c>
      <c r="DB110" s="31">
        <f t="shared" si="321"/>
        <v>127000</v>
      </c>
      <c r="DC110" s="31">
        <f t="shared" si="321"/>
        <v>130000</v>
      </c>
      <c r="DD110" s="31">
        <f t="shared" si="321"/>
        <v>133000</v>
      </c>
      <c r="DE110" s="78">
        <f t="shared" si="321"/>
        <v>136000</v>
      </c>
    </row>
    <row r="111" spans="1:109" x14ac:dyDescent="0.2">
      <c r="A111" s="296"/>
      <c r="B111" s="1269"/>
      <c r="C111" s="1337"/>
      <c r="D111" s="1333"/>
      <c r="E111" s="133"/>
      <c r="F111" s="9"/>
      <c r="G111" s="9"/>
      <c r="H111" s="9"/>
      <c r="I111" s="9"/>
      <c r="J111" s="29"/>
      <c r="K111" s="29"/>
      <c r="L111" s="9"/>
      <c r="M111" s="89"/>
      <c r="N111" s="9"/>
      <c r="O111" s="9"/>
      <c r="P111" s="9"/>
      <c r="Q111" s="49"/>
      <c r="R111" s="89"/>
      <c r="S111" s="9"/>
      <c r="T111" s="9"/>
      <c r="U111" s="9"/>
      <c r="V111" s="49"/>
      <c r="W111" s="133"/>
      <c r="X111" s="9"/>
      <c r="Y111" s="46"/>
      <c r="Z111" s="9"/>
      <c r="AA111" s="46">
        <f t="shared" si="279"/>
        <v>0</v>
      </c>
      <c r="AB111" s="133"/>
      <c r="AC111" s="9"/>
      <c r="AD111" s="9"/>
      <c r="AE111" s="9"/>
      <c r="AF111" s="49"/>
      <c r="AG111" s="89"/>
      <c r="AH111" s="9"/>
      <c r="AI111" s="9"/>
      <c r="AJ111" s="9"/>
      <c r="AK111" s="49"/>
      <c r="AL111" s="89"/>
      <c r="AM111" s="9"/>
      <c r="AN111" s="9"/>
      <c r="AO111" s="9"/>
      <c r="AP111" s="61"/>
      <c r="AQ111" s="89"/>
      <c r="AR111" s="9"/>
      <c r="AS111" s="9"/>
      <c r="AT111" s="9"/>
      <c r="AU111" s="61"/>
      <c r="AW111" s="9"/>
      <c r="AX111" s="9"/>
      <c r="AY111" s="9"/>
      <c r="AZ111" s="49"/>
      <c r="BA111" s="89"/>
      <c r="BB111" s="9"/>
      <c r="BC111" s="9"/>
      <c r="BD111" s="9"/>
      <c r="BE111" s="49"/>
      <c r="BF111" s="89"/>
      <c r="BG111" s="9"/>
      <c r="BH111" s="9"/>
      <c r="BI111" s="9"/>
      <c r="BJ111" s="49"/>
      <c r="BK111" s="89"/>
      <c r="BL111" s="9"/>
      <c r="BM111" s="9"/>
      <c r="BN111" s="9"/>
      <c r="BO111" s="49"/>
      <c r="BP111" s="89"/>
      <c r="BQ111" s="9"/>
      <c r="BR111" s="9"/>
      <c r="BS111" s="9"/>
      <c r="BT111" s="49"/>
      <c r="BU111" s="89"/>
      <c r="BV111" s="9"/>
      <c r="BW111" s="9"/>
      <c r="BX111" s="9"/>
      <c r="BY111" s="49"/>
      <c r="BZ111" s="89"/>
      <c r="CA111" s="9"/>
      <c r="CB111" s="9"/>
      <c r="CC111" s="9"/>
      <c r="CE111" s="1405"/>
      <c r="CF111" s="538"/>
      <c r="CG111" s="538"/>
      <c r="CH111" s="538"/>
      <c r="CI111" s="538"/>
      <c r="CJ111" s="538"/>
      <c r="CK111" s="538"/>
      <c r="CL111" s="538"/>
      <c r="CM111" s="538"/>
      <c r="CN111" s="538"/>
      <c r="CO111" s="538"/>
      <c r="CP111" s="538"/>
      <c r="CQ111" s="538"/>
      <c r="CR111" s="538"/>
      <c r="CS111" s="350"/>
      <c r="CT111" s="46"/>
      <c r="CU111" s="46"/>
      <c r="CV111" s="46"/>
      <c r="CW111" s="46"/>
      <c r="CX111" s="46"/>
      <c r="CY111" s="46"/>
      <c r="CZ111" s="46"/>
      <c r="DA111" s="46"/>
      <c r="DB111" s="46"/>
      <c r="DC111" s="46"/>
      <c r="DD111" s="46"/>
      <c r="DE111" s="61"/>
    </row>
    <row r="112" spans="1:109" x14ac:dyDescent="0.2">
      <c r="A112" s="293" t="s">
        <v>402</v>
      </c>
      <c r="B112" s="1360"/>
      <c r="C112" s="1337"/>
      <c r="D112" s="1333"/>
      <c r="E112" s="133"/>
      <c r="F112" s="9"/>
      <c r="G112" s="9"/>
      <c r="H112" s="9"/>
      <c r="I112" s="9"/>
      <c r="J112" s="46"/>
      <c r="K112" s="9"/>
      <c r="L112" s="9"/>
      <c r="M112" s="89"/>
      <c r="N112" s="9"/>
      <c r="O112" s="9"/>
      <c r="P112" s="9"/>
      <c r="Q112" s="49"/>
      <c r="R112" s="89"/>
      <c r="S112" s="9"/>
      <c r="T112" s="9"/>
      <c r="U112" s="9"/>
      <c r="V112" s="49"/>
      <c r="W112" s="133"/>
      <c r="X112" s="9"/>
      <c r="Y112" s="46"/>
      <c r="Z112" s="9"/>
      <c r="AA112" s="46">
        <f t="shared" si="279"/>
        <v>0</v>
      </c>
      <c r="AB112" s="133"/>
      <c r="AC112" s="9"/>
      <c r="AD112" s="9"/>
      <c r="AE112" s="9"/>
      <c r="AF112" s="49"/>
      <c r="AG112" s="89"/>
      <c r="AH112" s="9"/>
      <c r="AI112" s="9"/>
      <c r="AJ112" s="9"/>
      <c r="AK112" s="49"/>
      <c r="AL112" s="89"/>
      <c r="AM112" s="9"/>
      <c r="AN112" s="9"/>
      <c r="AO112" s="9"/>
      <c r="AP112" s="61"/>
      <c r="AQ112" s="89"/>
      <c r="AR112" s="9"/>
      <c r="AS112" s="9"/>
      <c r="AT112" s="9"/>
      <c r="AU112" s="61"/>
      <c r="AW112" s="9"/>
      <c r="AX112" s="9"/>
      <c r="AY112" s="9"/>
      <c r="AZ112" s="49"/>
      <c r="BA112" s="89"/>
      <c r="BB112" s="9"/>
      <c r="BC112" s="9"/>
      <c r="BD112" s="9"/>
      <c r="BE112" s="49"/>
      <c r="BF112" s="89"/>
      <c r="BG112" s="9"/>
      <c r="BH112" s="9"/>
      <c r="BI112" s="9"/>
      <c r="BJ112" s="49"/>
      <c r="BK112" s="89"/>
      <c r="BL112" s="9"/>
      <c r="BM112" s="9"/>
      <c r="BN112" s="9"/>
      <c r="BO112" s="49"/>
      <c r="BP112" s="89"/>
      <c r="BQ112" s="9"/>
      <c r="BR112" s="9"/>
      <c r="BS112" s="9"/>
      <c r="BT112" s="49"/>
      <c r="BU112" s="89"/>
      <c r="BV112" s="9"/>
      <c r="BW112" s="9"/>
      <c r="BX112" s="9"/>
      <c r="BY112" s="49"/>
      <c r="BZ112" s="89"/>
      <c r="CA112" s="9"/>
      <c r="CB112" s="9"/>
      <c r="CC112" s="9"/>
      <c r="CE112" s="1405"/>
      <c r="CF112" s="538"/>
      <c r="CG112" s="538"/>
      <c r="CH112" s="538"/>
      <c r="CI112" s="538"/>
      <c r="CJ112" s="538"/>
      <c r="CK112" s="538"/>
      <c r="CL112" s="538"/>
      <c r="CM112" s="538"/>
      <c r="CN112" s="538"/>
      <c r="CO112" s="538"/>
      <c r="CP112" s="538"/>
      <c r="CQ112" s="538"/>
      <c r="CR112" s="538"/>
      <c r="CS112" s="350"/>
      <c r="CT112" s="46"/>
      <c r="CU112" s="46"/>
      <c r="CV112" s="46"/>
      <c r="CW112" s="46"/>
      <c r="CX112" s="46"/>
      <c r="CY112" s="46"/>
      <c r="CZ112" s="46"/>
      <c r="DA112" s="46"/>
      <c r="DB112" s="46"/>
      <c r="DC112" s="46"/>
      <c r="DD112" s="46"/>
      <c r="DE112" s="61"/>
    </row>
    <row r="113" spans="1:109" x14ac:dyDescent="0.2">
      <c r="A113" s="296" t="s">
        <v>2622</v>
      </c>
      <c r="B113" s="1356" t="s">
        <v>899</v>
      </c>
      <c r="C113" s="1337"/>
      <c r="D113" s="1331" t="s">
        <v>5046</v>
      </c>
      <c r="E113" s="133"/>
      <c r="F113" s="9"/>
      <c r="G113" s="9"/>
      <c r="H113" s="9">
        <v>23000</v>
      </c>
      <c r="I113" s="9">
        <f>ROUND((H113*Assumptions!J$6+H113),-3)</f>
        <v>24000</v>
      </c>
      <c r="J113" s="29">
        <f>ROUND((I113*Assumptions!K$6+I113),-3)</f>
        <v>25000</v>
      </c>
      <c r="K113" s="9">
        <f>ROUND((J113*Assumptions!L$6+J113),-3)</f>
        <v>26000</v>
      </c>
      <c r="L113" s="9">
        <f>ROUND((K113*Assumptions!M$6+K113),-3)</f>
        <v>27000</v>
      </c>
      <c r="M113" s="89">
        <f>ROUND((L113*Assumptions!N$6+L113),-3)</f>
        <v>28000</v>
      </c>
      <c r="N113" s="9">
        <f>ROUND((M113*Assumptions!O$6+M113),-3)</f>
        <v>29000</v>
      </c>
      <c r="O113" s="9">
        <f>ROUND((N113*Assumptions!P$6+N113),-3)</f>
        <v>30000</v>
      </c>
      <c r="P113" s="9">
        <f>ROUND((O113*Assumptions!Q$6+O113),-3)</f>
        <v>31000</v>
      </c>
      <c r="Q113" s="49">
        <f>ROUND((P113*Assumptions!R$6+P113),-3)</f>
        <v>32000</v>
      </c>
      <c r="R113" s="89"/>
      <c r="S113" s="9"/>
      <c r="T113" s="9"/>
      <c r="U113" s="9"/>
      <c r="V113" s="49">
        <f>E113-R113-S113-T113-U113</f>
        <v>0</v>
      </c>
      <c r="W113" s="133"/>
      <c r="X113" s="9"/>
      <c r="Y113" s="46"/>
      <c r="Z113" s="9"/>
      <c r="AA113" s="46">
        <f t="shared" si="279"/>
        <v>0</v>
      </c>
      <c r="AB113" s="133"/>
      <c r="AC113" s="9"/>
      <c r="AD113" s="9"/>
      <c r="AE113" s="9"/>
      <c r="AF113" s="49">
        <f>G113-AB113-AC113-AD113-AE113</f>
        <v>0</v>
      </c>
      <c r="AG113" s="89"/>
      <c r="AH113" s="9"/>
      <c r="AI113" s="9"/>
      <c r="AJ113" s="9"/>
      <c r="AK113" s="49">
        <f>H113-AG113-AH113-AI113-AJ113</f>
        <v>23000</v>
      </c>
      <c r="AL113" s="89"/>
      <c r="AM113" s="9"/>
      <c r="AN113" s="9"/>
      <c r="AO113" s="9"/>
      <c r="AP113" s="61">
        <f>I113-AL113-AM113-AN113-AO113</f>
        <v>24000</v>
      </c>
      <c r="AQ113" s="89"/>
      <c r="AR113" s="9"/>
      <c r="AS113" s="9"/>
      <c r="AT113" s="9"/>
      <c r="AU113" s="61">
        <f>J113-AQ113-AR113-AS113-AT113</f>
        <v>25000</v>
      </c>
      <c r="AW113" s="9"/>
      <c r="AX113" s="9"/>
      <c r="AY113" s="9"/>
      <c r="AZ113" s="49">
        <f>K113-AV113-AW113-AX113-AY113</f>
        <v>26000</v>
      </c>
      <c r="BA113" s="89"/>
      <c r="BB113" s="9"/>
      <c r="BC113" s="9"/>
      <c r="BD113" s="9"/>
      <c r="BE113" s="49">
        <f>L113-BA113-BB113-BC113-BD113</f>
        <v>27000</v>
      </c>
      <c r="BF113" s="89"/>
      <c r="BG113" s="9"/>
      <c r="BH113" s="9"/>
      <c r="BI113" s="9"/>
      <c r="BJ113" s="49">
        <f>M113-BF113-BG113-BH113-BI113</f>
        <v>28000</v>
      </c>
      <c r="BK113" s="89"/>
      <c r="BL113" s="9"/>
      <c r="BM113" s="9"/>
      <c r="BN113" s="9"/>
      <c r="BO113" s="49">
        <f>N113-BK113-BL113-BM113-BN113</f>
        <v>29000</v>
      </c>
      <c r="BP113" s="89"/>
      <c r="BQ113" s="9"/>
      <c r="BR113" s="9"/>
      <c r="BS113" s="9"/>
      <c r="BT113" s="49">
        <f>O113-BP113-BQ113-BR113-BS113</f>
        <v>30000</v>
      </c>
      <c r="BU113" s="89"/>
      <c r="BV113" s="9"/>
      <c r="BW113" s="9"/>
      <c r="BX113" s="9"/>
      <c r="BY113" s="49">
        <f t="shared" ref="BY113:BY115" si="322">P113-BU113-BV113-BW113-BX113</f>
        <v>31000</v>
      </c>
      <c r="BZ113" s="89"/>
      <c r="CA113" s="9"/>
      <c r="CB113" s="9"/>
      <c r="CC113" s="9"/>
      <c r="CD113" s="46">
        <f t="shared" ref="CD113:CD115" si="323">Q113-BZ113-CA113-CB113-CC113</f>
        <v>32000</v>
      </c>
      <c r="CE113" s="1406">
        <v>1</v>
      </c>
      <c r="CF113" s="833">
        <f t="shared" ref="CF113:CN114" si="324">CE113</f>
        <v>1</v>
      </c>
      <c r="CG113" s="833">
        <f t="shared" si="324"/>
        <v>1</v>
      </c>
      <c r="CH113" s="833">
        <f t="shared" si="324"/>
        <v>1</v>
      </c>
      <c r="CI113" s="833">
        <f t="shared" si="324"/>
        <v>1</v>
      </c>
      <c r="CJ113" s="833">
        <f t="shared" si="324"/>
        <v>1</v>
      </c>
      <c r="CK113" s="833">
        <f t="shared" si="324"/>
        <v>1</v>
      </c>
      <c r="CL113" s="833">
        <f t="shared" si="324"/>
        <v>1</v>
      </c>
      <c r="CM113" s="833">
        <f t="shared" si="324"/>
        <v>1</v>
      </c>
      <c r="CN113" s="833">
        <f t="shared" si="324"/>
        <v>1</v>
      </c>
      <c r="CO113" s="833">
        <f t="shared" ref="CO113:CQ115" si="325">CN113</f>
        <v>1</v>
      </c>
      <c r="CP113" s="833">
        <f t="shared" si="325"/>
        <v>1</v>
      </c>
      <c r="CQ113" s="833">
        <f t="shared" si="325"/>
        <v>1</v>
      </c>
      <c r="CR113" s="833"/>
      <c r="CS113" s="1125">
        <f t="shared" ref="CS113:DE113" si="326">ROUND(CE113*E113,-3)</f>
        <v>0</v>
      </c>
      <c r="CT113" s="31">
        <f t="shared" si="326"/>
        <v>0</v>
      </c>
      <c r="CU113" s="31">
        <f t="shared" si="326"/>
        <v>0</v>
      </c>
      <c r="CV113" s="31">
        <f t="shared" si="326"/>
        <v>23000</v>
      </c>
      <c r="CW113" s="31">
        <f t="shared" si="326"/>
        <v>24000</v>
      </c>
      <c r="CX113" s="31">
        <f t="shared" si="326"/>
        <v>25000</v>
      </c>
      <c r="CY113" s="31">
        <f t="shared" si="326"/>
        <v>26000</v>
      </c>
      <c r="CZ113" s="31">
        <f t="shared" si="326"/>
        <v>27000</v>
      </c>
      <c r="DA113" s="31">
        <f t="shared" si="326"/>
        <v>28000</v>
      </c>
      <c r="DB113" s="31">
        <f t="shared" si="326"/>
        <v>29000</v>
      </c>
      <c r="DC113" s="31">
        <f t="shared" si="326"/>
        <v>30000</v>
      </c>
      <c r="DD113" s="31">
        <f t="shared" si="326"/>
        <v>31000</v>
      </c>
      <c r="DE113" s="78">
        <f t="shared" si="326"/>
        <v>32000</v>
      </c>
    </row>
    <row r="114" spans="1:109" x14ac:dyDescent="0.2">
      <c r="A114" s="2554" t="s">
        <v>7252</v>
      </c>
      <c r="B114" s="1368" t="s">
        <v>1287</v>
      </c>
      <c r="C114" s="1337"/>
      <c r="D114" s="1331" t="s">
        <v>5046</v>
      </c>
      <c r="E114" s="133"/>
      <c r="F114" s="9"/>
      <c r="G114" s="9"/>
      <c r="H114" s="9">
        <f>ROUND((G114*Assumptions!I$6+G114),-3)</f>
        <v>0</v>
      </c>
      <c r="I114" s="9">
        <v>0</v>
      </c>
      <c r="J114" s="29">
        <v>0</v>
      </c>
      <c r="K114" s="9">
        <f>ROUND((J114*Assumptions!L$6+J114),-3)</f>
        <v>0</v>
      </c>
      <c r="L114" s="9">
        <f>ROUND((K114*Assumptions!M$6+K114),-3)</f>
        <v>0</v>
      </c>
      <c r="M114" s="89">
        <f>ROUND((L114*Assumptions!N$6+L114),-3)</f>
        <v>0</v>
      </c>
      <c r="N114" s="9">
        <f>ROUND((M114*Assumptions!O$6+M114),-3)</f>
        <v>0</v>
      </c>
      <c r="O114" s="9">
        <f>ROUND((N114*Assumptions!P$6+N114),-3)</f>
        <v>0</v>
      </c>
      <c r="P114" s="9">
        <f>ROUND((O114*Assumptions!Q$6+O114),-3)</f>
        <v>0</v>
      </c>
      <c r="Q114" s="49">
        <f>ROUND((P114*Assumptions!R$6+P114),-3)</f>
        <v>0</v>
      </c>
      <c r="R114" s="89"/>
      <c r="S114" s="9"/>
      <c r="T114" s="9"/>
      <c r="U114" s="9">
        <v>221400</v>
      </c>
      <c r="V114" s="49">
        <f>E114-R114-S114-T114-U114</f>
        <v>-221400</v>
      </c>
      <c r="W114" s="133"/>
      <c r="X114" s="9"/>
      <c r="Y114" s="46"/>
      <c r="Z114" s="9">
        <v>0</v>
      </c>
      <c r="AA114" s="46">
        <f t="shared" si="279"/>
        <v>0</v>
      </c>
      <c r="AB114" s="133"/>
      <c r="AC114" s="9"/>
      <c r="AD114" s="9"/>
      <c r="AE114" s="9"/>
      <c r="AF114" s="49">
        <f>G114-AB114-AC114-AD114-AE114</f>
        <v>0</v>
      </c>
      <c r="AG114" s="89"/>
      <c r="AH114" s="9"/>
      <c r="AI114" s="9"/>
      <c r="AJ114" s="9"/>
      <c r="AK114" s="49">
        <f>H114-AG114-AH114-AI114-AJ114</f>
        <v>0</v>
      </c>
      <c r="AL114" s="89"/>
      <c r="AM114" s="9"/>
      <c r="AN114" s="9"/>
      <c r="AO114" s="9"/>
      <c r="AP114" s="61">
        <f>I114-AL114-AM114-AN114-AO114</f>
        <v>0</v>
      </c>
      <c r="AQ114" s="89"/>
      <c r="AR114" s="9"/>
      <c r="AS114" s="9"/>
      <c r="AT114" s="9"/>
      <c r="AU114" s="61">
        <f>J114-AQ114-AR114-AS114-AT114</f>
        <v>0</v>
      </c>
      <c r="AW114" s="9"/>
      <c r="AX114" s="9"/>
      <c r="AY114" s="9"/>
      <c r="AZ114" s="49">
        <f>K114-AV114-AW114-AX114-AY114</f>
        <v>0</v>
      </c>
      <c r="BA114" s="89"/>
      <c r="BB114" s="9"/>
      <c r="BC114" s="9"/>
      <c r="BD114" s="9"/>
      <c r="BE114" s="49">
        <f>L114-BA114-BB114-BC114-BD114</f>
        <v>0</v>
      </c>
      <c r="BF114" s="89"/>
      <c r="BG114" s="9"/>
      <c r="BH114" s="9"/>
      <c r="BI114" s="9"/>
      <c r="BJ114" s="49">
        <f>M114-BF114-BG114-BH114-BI114</f>
        <v>0</v>
      </c>
      <c r="BK114" s="89"/>
      <c r="BL114" s="9"/>
      <c r="BM114" s="9"/>
      <c r="BN114" s="9"/>
      <c r="BO114" s="49">
        <f>N114-BK114-BL114-BM114-BN114</f>
        <v>0</v>
      </c>
      <c r="BP114" s="89"/>
      <c r="BQ114" s="9"/>
      <c r="BR114" s="9"/>
      <c r="BS114" s="9"/>
      <c r="BT114" s="49">
        <f>O114-BP114-BQ114-BR114-BS114</f>
        <v>0</v>
      </c>
      <c r="BU114" s="89"/>
      <c r="BV114" s="9"/>
      <c r="BW114" s="9"/>
      <c r="BX114" s="9"/>
      <c r="BY114" s="49">
        <f t="shared" ref="BY114" si="327">P114-BU114-BV114-BW114-BX114</f>
        <v>0</v>
      </c>
      <c r="BZ114" s="89"/>
      <c r="CA114" s="9"/>
      <c r="CB114" s="9"/>
      <c r="CC114" s="9"/>
      <c r="CD114" s="46">
        <f t="shared" si="323"/>
        <v>0</v>
      </c>
      <c r="CE114" s="1406">
        <v>1</v>
      </c>
      <c r="CF114" s="833">
        <f t="shared" si="324"/>
        <v>1</v>
      </c>
      <c r="CG114" s="833">
        <f t="shared" si="324"/>
        <v>1</v>
      </c>
      <c r="CH114" s="833">
        <f t="shared" si="324"/>
        <v>1</v>
      </c>
      <c r="CI114" s="833">
        <f t="shared" si="324"/>
        <v>1</v>
      </c>
      <c r="CJ114" s="833">
        <f t="shared" si="324"/>
        <v>1</v>
      </c>
      <c r="CK114" s="833">
        <f t="shared" si="324"/>
        <v>1</v>
      </c>
      <c r="CL114" s="833">
        <f t="shared" si="324"/>
        <v>1</v>
      </c>
      <c r="CM114" s="833">
        <f t="shared" si="324"/>
        <v>1</v>
      </c>
      <c r="CN114" s="833">
        <f t="shared" si="324"/>
        <v>1</v>
      </c>
      <c r="CO114" s="833">
        <f t="shared" si="325"/>
        <v>1</v>
      </c>
      <c r="CP114" s="833">
        <f t="shared" si="325"/>
        <v>1</v>
      </c>
      <c r="CQ114" s="833">
        <f t="shared" si="325"/>
        <v>1</v>
      </c>
      <c r="CR114" s="833"/>
      <c r="CS114" s="1125">
        <f t="shared" ref="CS114" si="328">ROUND(CE114*E114,-3)</f>
        <v>0</v>
      </c>
      <c r="CT114" s="31">
        <f t="shared" ref="CT114" si="329">ROUND(CF114*F114,-3)</f>
        <v>0</v>
      </c>
      <c r="CU114" s="31">
        <f t="shared" ref="CU114" si="330">ROUND(CG114*G114,-3)</f>
        <v>0</v>
      </c>
      <c r="CV114" s="31">
        <f t="shared" ref="CV114" si="331">ROUND(CH114*H114,-3)</f>
        <v>0</v>
      </c>
      <c r="CW114" s="31">
        <f t="shared" ref="CW114" si="332">ROUND(CI114*I114,-3)</f>
        <v>0</v>
      </c>
      <c r="CX114" s="31">
        <f t="shared" ref="CX114" si="333">ROUND(CJ114*J114,-3)</f>
        <v>0</v>
      </c>
      <c r="CY114" s="31">
        <f t="shared" ref="CY114" si="334">ROUND(CK114*K114,-3)</f>
        <v>0</v>
      </c>
      <c r="CZ114" s="31">
        <f t="shared" ref="CZ114" si="335">ROUND(CL114*L114,-3)</f>
        <v>0</v>
      </c>
      <c r="DA114" s="31">
        <f t="shared" ref="DA114" si="336">ROUND(CM114*M114,-3)</f>
        <v>0</v>
      </c>
      <c r="DB114" s="31">
        <f t="shared" ref="DB114" si="337">ROUND(CN114*N114,-3)</f>
        <v>0</v>
      </c>
      <c r="DC114" s="31">
        <f t="shared" ref="DC114" si="338">ROUND(CO114*O114,-3)</f>
        <v>0</v>
      </c>
      <c r="DD114" s="31">
        <f t="shared" ref="DD114:DE114" si="339">ROUND(CP114*P114,-3)</f>
        <v>0</v>
      </c>
      <c r="DE114" s="78">
        <f t="shared" si="339"/>
        <v>0</v>
      </c>
    </row>
    <row r="115" spans="1:109" x14ac:dyDescent="0.2">
      <c r="A115" s="296" t="s">
        <v>2621</v>
      </c>
      <c r="B115" s="1368" t="s">
        <v>1287</v>
      </c>
      <c r="C115" s="1337"/>
      <c r="D115" s="1331" t="s">
        <v>5046</v>
      </c>
      <c r="E115" s="133">
        <v>302700</v>
      </c>
      <c r="F115" s="9">
        <f>255300</f>
        <v>255300</v>
      </c>
      <c r="G115" s="9">
        <f>434000+15500+125300+6300+25100-32000-61000+22000-4000-100000-22000+4000-60000-21000+22000</f>
        <v>354200</v>
      </c>
      <c r="H115" s="9">
        <f>ROUND((G115*Assumptions!I$6+G115),-3)-179000+262000</f>
        <v>451000</v>
      </c>
      <c r="I115" s="9">
        <f>ROUND((H115*Assumptions!J$6+H115),-3)</f>
        <v>469000</v>
      </c>
      <c r="J115" s="29">
        <f>ROUND((I115*Assumptions!K$6+I115),-3)</f>
        <v>481000</v>
      </c>
      <c r="K115" s="9">
        <f>ROUND((J115*Assumptions!L$6+J115),-3)</f>
        <v>493000</v>
      </c>
      <c r="L115" s="9">
        <f>ROUND((K115*Assumptions!M$6+K115),-3)</f>
        <v>505000</v>
      </c>
      <c r="M115" s="89">
        <f>ROUND((L115*Assumptions!N$6+L115),-3)</f>
        <v>518000</v>
      </c>
      <c r="N115" s="9">
        <f>ROUND((M115*Assumptions!O$6+M115),-3)</f>
        <v>531000</v>
      </c>
      <c r="O115" s="9">
        <f>ROUND((N115*Assumptions!P$6+N115),-3)</f>
        <v>544000</v>
      </c>
      <c r="P115" s="9">
        <f>ROUND((O115*Assumptions!Q$6+O115),-3)</f>
        <v>558000</v>
      </c>
      <c r="Q115" s="49">
        <f>ROUND((P115*Assumptions!R$6+P115),-3)</f>
        <v>572000</v>
      </c>
      <c r="R115" s="89"/>
      <c r="S115" s="9"/>
      <c r="T115" s="9"/>
      <c r="U115" s="9">
        <v>221400</v>
      </c>
      <c r="V115" s="49">
        <f>E115-R115-S115-T115-U115</f>
        <v>81300</v>
      </c>
      <c r="W115" s="133"/>
      <c r="X115" s="9"/>
      <c r="Y115" s="46"/>
      <c r="Z115" s="9">
        <f>16000+115200+35600+55000</f>
        <v>221800</v>
      </c>
      <c r="AA115" s="46">
        <f t="shared" si="279"/>
        <v>33500</v>
      </c>
      <c r="AB115" s="133"/>
      <c r="AC115" s="9"/>
      <c r="AD115" s="9"/>
      <c r="AE115" s="9">
        <f>+'Res-Gen'!I174</f>
        <v>241800</v>
      </c>
      <c r="AF115" s="49">
        <f>G115-AB115-AC115-AD115-AE115</f>
        <v>112400</v>
      </c>
      <c r="AG115" s="89"/>
      <c r="AH115" s="9"/>
      <c r="AI115" s="9"/>
      <c r="AJ115" s="9"/>
      <c r="AK115" s="49">
        <f>H115-AG115-AH115-AI115-AJ115</f>
        <v>451000</v>
      </c>
      <c r="AL115" s="89"/>
      <c r="AM115" s="9"/>
      <c r="AN115" s="9"/>
      <c r="AO115" s="9"/>
      <c r="AP115" s="61">
        <f>I115-AL115-AM115-AN115-AO115</f>
        <v>469000</v>
      </c>
      <c r="AQ115" s="89"/>
      <c r="AR115" s="9"/>
      <c r="AS115" s="9"/>
      <c r="AT115" s="9"/>
      <c r="AU115" s="61">
        <f>J115-AQ115-AR115-AS115-AT115</f>
        <v>481000</v>
      </c>
      <c r="AW115" s="9"/>
      <c r="AX115" s="9"/>
      <c r="AY115" s="9"/>
      <c r="AZ115" s="49">
        <f>K115-AV115-AW115-AX115-AY115</f>
        <v>493000</v>
      </c>
      <c r="BA115" s="89"/>
      <c r="BB115" s="9"/>
      <c r="BC115" s="9"/>
      <c r="BD115" s="9"/>
      <c r="BE115" s="49">
        <f>L115-BA115-BB115-BC115-BD115</f>
        <v>505000</v>
      </c>
      <c r="BF115" s="89"/>
      <c r="BG115" s="9"/>
      <c r="BH115" s="9"/>
      <c r="BI115" s="9"/>
      <c r="BJ115" s="49">
        <f>M115-BF115-BG115-BH115-BI115</f>
        <v>518000</v>
      </c>
      <c r="BK115" s="89"/>
      <c r="BL115" s="9"/>
      <c r="BM115" s="9"/>
      <c r="BN115" s="9"/>
      <c r="BO115" s="49">
        <f>N115-BK115-BL115-BM115-BN115</f>
        <v>531000</v>
      </c>
      <c r="BP115" s="89"/>
      <c r="BQ115" s="9"/>
      <c r="BR115" s="9"/>
      <c r="BS115" s="9"/>
      <c r="BT115" s="49">
        <f>O115-BP115-BQ115-BR115-BS115</f>
        <v>544000</v>
      </c>
      <c r="BU115" s="89"/>
      <c r="BV115" s="9"/>
      <c r="BW115" s="9"/>
      <c r="BX115" s="9"/>
      <c r="BY115" s="49">
        <f t="shared" si="322"/>
        <v>558000</v>
      </c>
      <c r="BZ115" s="89"/>
      <c r="CA115" s="9"/>
      <c r="CB115" s="9"/>
      <c r="CC115" s="9"/>
      <c r="CD115" s="46">
        <f t="shared" si="323"/>
        <v>572000</v>
      </c>
      <c r="CE115" s="1406">
        <v>1</v>
      </c>
      <c r="CF115" s="833">
        <f t="shared" ref="CF115:CN115" si="340">CE115</f>
        <v>1</v>
      </c>
      <c r="CG115" s="833">
        <f t="shared" si="340"/>
        <v>1</v>
      </c>
      <c r="CH115" s="833">
        <f t="shared" si="340"/>
        <v>1</v>
      </c>
      <c r="CI115" s="833">
        <f t="shared" si="340"/>
        <v>1</v>
      </c>
      <c r="CJ115" s="833">
        <f t="shared" si="340"/>
        <v>1</v>
      </c>
      <c r="CK115" s="833">
        <f t="shared" si="340"/>
        <v>1</v>
      </c>
      <c r="CL115" s="833">
        <f t="shared" si="340"/>
        <v>1</v>
      </c>
      <c r="CM115" s="833">
        <f t="shared" si="340"/>
        <v>1</v>
      </c>
      <c r="CN115" s="833">
        <f t="shared" si="340"/>
        <v>1</v>
      </c>
      <c r="CO115" s="833">
        <f t="shared" si="325"/>
        <v>1</v>
      </c>
      <c r="CP115" s="833">
        <f t="shared" si="325"/>
        <v>1</v>
      </c>
      <c r="CQ115" s="833">
        <f t="shared" si="325"/>
        <v>1</v>
      </c>
      <c r="CR115" s="833"/>
      <c r="CS115" s="1125">
        <f t="shared" ref="CS115:DE115" si="341">ROUND(CE115*E115,-3)</f>
        <v>303000</v>
      </c>
      <c r="CT115" s="31">
        <f t="shared" si="341"/>
        <v>255000</v>
      </c>
      <c r="CU115" s="31">
        <f t="shared" si="341"/>
        <v>354000</v>
      </c>
      <c r="CV115" s="31">
        <f t="shared" si="341"/>
        <v>451000</v>
      </c>
      <c r="CW115" s="31">
        <f t="shared" si="341"/>
        <v>469000</v>
      </c>
      <c r="CX115" s="31">
        <f t="shared" si="341"/>
        <v>481000</v>
      </c>
      <c r="CY115" s="31">
        <f t="shared" si="341"/>
        <v>493000</v>
      </c>
      <c r="CZ115" s="31">
        <f t="shared" si="341"/>
        <v>505000</v>
      </c>
      <c r="DA115" s="31">
        <f t="shared" si="341"/>
        <v>518000</v>
      </c>
      <c r="DB115" s="31">
        <f t="shared" si="341"/>
        <v>531000</v>
      </c>
      <c r="DC115" s="31">
        <f t="shared" si="341"/>
        <v>544000</v>
      </c>
      <c r="DD115" s="31">
        <f t="shared" si="341"/>
        <v>558000</v>
      </c>
      <c r="DE115" s="78">
        <f t="shared" si="341"/>
        <v>572000</v>
      </c>
    </row>
    <row r="116" spans="1:109" x14ac:dyDescent="0.2">
      <c r="A116" s="296"/>
      <c r="B116" s="1269"/>
      <c r="C116" s="1337"/>
      <c r="D116" s="1333"/>
      <c r="E116" s="133"/>
      <c r="F116" s="9"/>
      <c r="G116" s="9"/>
      <c r="H116" s="9"/>
      <c r="I116" s="9"/>
      <c r="J116" s="9"/>
      <c r="K116" s="9"/>
      <c r="L116" s="9"/>
      <c r="M116" s="89"/>
      <c r="N116" s="9"/>
      <c r="O116" s="9"/>
      <c r="P116" s="9"/>
      <c r="Q116" s="49"/>
      <c r="R116" s="89"/>
      <c r="S116" s="9"/>
      <c r="T116" s="9"/>
      <c r="U116" s="9"/>
      <c r="V116" s="49"/>
      <c r="W116" s="133"/>
      <c r="X116" s="9"/>
      <c r="Y116" s="46"/>
      <c r="Z116" s="9"/>
      <c r="AA116" s="46">
        <f t="shared" si="279"/>
        <v>0</v>
      </c>
      <c r="AB116" s="133"/>
      <c r="AC116" s="9"/>
      <c r="AD116" s="9"/>
      <c r="AE116" s="9"/>
      <c r="AF116" s="49"/>
      <c r="AG116" s="89"/>
      <c r="AH116" s="9"/>
      <c r="AI116" s="9"/>
      <c r="AJ116" s="9"/>
      <c r="AK116" s="49"/>
      <c r="AL116" s="89"/>
      <c r="AM116" s="9"/>
      <c r="AN116" s="9"/>
      <c r="AO116" s="9"/>
      <c r="AP116" s="61"/>
      <c r="AQ116" s="89"/>
      <c r="AR116" s="9"/>
      <c r="AS116" s="9"/>
      <c r="AT116" s="9"/>
      <c r="AU116" s="61"/>
      <c r="AW116" s="9"/>
      <c r="AX116" s="9"/>
      <c r="AY116" s="9"/>
      <c r="AZ116" s="49"/>
      <c r="BA116" s="89"/>
      <c r="BB116" s="9"/>
      <c r="BC116" s="9"/>
      <c r="BD116" s="9"/>
      <c r="BE116" s="49"/>
      <c r="BF116" s="89"/>
      <c r="BG116" s="9"/>
      <c r="BH116" s="9"/>
      <c r="BI116" s="9"/>
      <c r="BJ116" s="49"/>
      <c r="BK116" s="89"/>
      <c r="BL116" s="9"/>
      <c r="BM116" s="9"/>
      <c r="BN116" s="9"/>
      <c r="BO116" s="49"/>
      <c r="BP116" s="89"/>
      <c r="BQ116" s="9"/>
      <c r="BR116" s="9"/>
      <c r="BS116" s="9"/>
      <c r="BT116" s="49"/>
      <c r="BU116" s="89"/>
      <c r="BV116" s="9"/>
      <c r="BW116" s="9"/>
      <c r="BX116" s="9"/>
      <c r="BY116" s="49"/>
      <c r="BZ116" s="89"/>
      <c r="CA116" s="9"/>
      <c r="CB116" s="9"/>
      <c r="CC116" s="9"/>
      <c r="CE116" s="1405"/>
      <c r="CF116" s="538"/>
      <c r="CG116" s="538"/>
      <c r="CH116" s="538"/>
      <c r="CI116" s="538"/>
      <c r="CJ116" s="538"/>
      <c r="CK116" s="538"/>
      <c r="CL116" s="538"/>
      <c r="CM116" s="538"/>
      <c r="CN116" s="538"/>
      <c r="CO116" s="538"/>
      <c r="CP116" s="538"/>
      <c r="CQ116" s="538"/>
      <c r="CR116" s="538"/>
      <c r="CS116" s="350"/>
      <c r="CT116" s="46"/>
      <c r="CU116" s="46"/>
      <c r="CV116" s="46"/>
      <c r="CW116" s="46"/>
      <c r="CX116" s="46"/>
      <c r="CY116" s="46"/>
      <c r="CZ116" s="46"/>
      <c r="DA116" s="46"/>
      <c r="DB116" s="46"/>
      <c r="DC116" s="46"/>
      <c r="DD116" s="46"/>
      <c r="DE116" s="61"/>
    </row>
    <row r="117" spans="1:109" x14ac:dyDescent="0.2">
      <c r="A117" s="293" t="s">
        <v>717</v>
      </c>
      <c r="B117" s="1360"/>
      <c r="C117" s="1338"/>
      <c r="D117" s="1333"/>
      <c r="E117" s="133"/>
      <c r="F117" s="9"/>
      <c r="G117" s="9"/>
      <c r="H117" s="9"/>
      <c r="I117" s="9"/>
      <c r="J117" s="9"/>
      <c r="K117" s="9"/>
      <c r="L117" s="9"/>
      <c r="M117" s="89"/>
      <c r="N117" s="9"/>
      <c r="O117" s="9"/>
      <c r="P117" s="9"/>
      <c r="Q117" s="49"/>
      <c r="R117" s="89"/>
      <c r="S117" s="9"/>
      <c r="T117" s="9"/>
      <c r="U117" s="9"/>
      <c r="V117" s="49"/>
      <c r="W117" s="133"/>
      <c r="X117" s="79"/>
      <c r="Y117" s="46"/>
      <c r="Z117" s="9"/>
      <c r="AA117" s="46">
        <f t="shared" si="279"/>
        <v>0</v>
      </c>
      <c r="AB117" s="133"/>
      <c r="AC117" s="9"/>
      <c r="AD117" s="9"/>
      <c r="AE117" s="9"/>
      <c r="AF117" s="49"/>
      <c r="AG117" s="89"/>
      <c r="AH117" s="9"/>
      <c r="AI117" s="9"/>
      <c r="AJ117" s="9"/>
      <c r="AK117" s="49"/>
      <c r="AL117" s="89"/>
      <c r="AM117" s="9"/>
      <c r="AN117" s="9"/>
      <c r="AO117" s="9"/>
      <c r="AP117" s="61"/>
      <c r="AQ117" s="89"/>
      <c r="AR117" s="9"/>
      <c r="AS117" s="9"/>
      <c r="AT117" s="9"/>
      <c r="AU117" s="61"/>
      <c r="AW117" s="9"/>
      <c r="AX117" s="9"/>
      <c r="AY117" s="9"/>
      <c r="AZ117" s="49"/>
      <c r="BA117" s="89"/>
      <c r="BB117" s="9"/>
      <c r="BC117" s="9"/>
      <c r="BD117" s="9"/>
      <c r="BE117" s="49"/>
      <c r="BF117" s="89"/>
      <c r="BG117" s="9"/>
      <c r="BH117" s="9"/>
      <c r="BI117" s="9"/>
      <c r="BJ117" s="49"/>
      <c r="BK117" s="89"/>
      <c r="BL117" s="9"/>
      <c r="BM117" s="9"/>
      <c r="BN117" s="9"/>
      <c r="BO117" s="49"/>
      <c r="BP117" s="89"/>
      <c r="BQ117" s="9"/>
      <c r="BR117" s="9"/>
      <c r="BS117" s="9"/>
      <c r="BT117" s="49"/>
      <c r="BU117" s="89"/>
      <c r="BV117" s="9"/>
      <c r="BW117" s="9"/>
      <c r="BX117" s="9"/>
      <c r="BY117" s="49"/>
      <c r="BZ117" s="89"/>
      <c r="CA117" s="9"/>
      <c r="CB117" s="9"/>
      <c r="CC117" s="9"/>
      <c r="CE117" s="1405"/>
      <c r="CF117" s="538"/>
      <c r="CG117" s="538"/>
      <c r="CH117" s="538"/>
      <c r="CI117" s="538"/>
      <c r="CJ117" s="538"/>
      <c r="CK117" s="538"/>
      <c r="CL117" s="538"/>
      <c r="CM117" s="538"/>
      <c r="CN117" s="538"/>
      <c r="CO117" s="538"/>
      <c r="CP117" s="538"/>
      <c r="CQ117" s="538"/>
      <c r="CR117" s="538"/>
      <c r="CS117" s="350"/>
      <c r="CT117" s="46"/>
      <c r="CU117" s="46"/>
      <c r="CV117" s="46"/>
      <c r="CW117" s="46"/>
      <c r="CX117" s="46"/>
      <c r="CY117" s="46"/>
      <c r="CZ117" s="46"/>
      <c r="DA117" s="46"/>
      <c r="DB117" s="46"/>
      <c r="DC117" s="46"/>
      <c r="DD117" s="46"/>
      <c r="DE117" s="61"/>
    </row>
    <row r="118" spans="1:109" x14ac:dyDescent="0.2">
      <c r="A118" s="615" t="s">
        <v>5940</v>
      </c>
      <c r="B118" s="1356" t="s">
        <v>1287</v>
      </c>
      <c r="C118" s="1337"/>
      <c r="D118" s="1331" t="s">
        <v>5046</v>
      </c>
      <c r="E118" s="350">
        <f>8502700-1906200-500</f>
        <v>6596000</v>
      </c>
      <c r="F118" s="29">
        <f>+F339+F392-F119-F120-F123-F124-F125-F126-F128-F131-F133-F139</f>
        <v>5841700</v>
      </c>
      <c r="G118" s="9">
        <f>2410200-3100-2000-102000-173000+'Cap Inc'!F40+104000+'Cap Inc'!F68+3000-200000-104000+10000+14700+457500-146000-318000-309700+'Cap Inc'!F44+465900+307800+74100+207000+329700+27000+1992400+50000+81000+5000+227200+28000-465900+465900-31000-150000-315000-350000+50000+110000</f>
        <v>7134400</v>
      </c>
      <c r="H118" s="79">
        <f>2334100+172200+1700-108000-174000+'Cap Inc'!G40+108000+3000-200000+3000-7000-108000+2100</f>
        <v>2209100</v>
      </c>
      <c r="I118" s="29">
        <f>2427000-52000+175000-1000-111000-174000+'Cap Inc'!H40+112000+3000-200000-7000-112000+2000</f>
        <v>2247000</v>
      </c>
      <c r="J118" s="30">
        <f>2758000-200000-9000+2000+'Cap Inc'!I40+2000</f>
        <v>2741700</v>
      </c>
      <c r="K118" s="9">
        <f>1970000-200000-12000+4000+6000+3000-6800+'Cap Inc'!J40+2000</f>
        <v>1958700</v>
      </c>
      <c r="L118" s="9">
        <f>2318000-200000-15000+7000+10000-7000+'Cap Inc'!K40+2000</f>
        <v>2311400</v>
      </c>
      <c r="M118" s="89">
        <f>2484000-200000-18000+10000+14000-9900+'Cap Inc'!L40+2000</f>
        <v>2482500</v>
      </c>
      <c r="N118" s="9">
        <f>2756000-200000+31000+3000+13000+18000-13000+'Cap Inc'!M40+2500-1000</f>
        <v>2814000</v>
      </c>
      <c r="O118" s="9">
        <f>2861000-200000+678000+3000+17000+22000-16800+'Cap Inc'!N40+3000</f>
        <v>3575800</v>
      </c>
      <c r="P118" s="9">
        <f>2740000+782000+3000+20000+28000-19700-700+'Cap Inc'!O40+3000</f>
        <v>3768400</v>
      </c>
      <c r="Q118" s="587">
        <f>2740000+782000+3000+20000+28000-19700-700+'Cap Inc'!P40+3000</f>
        <v>3772700</v>
      </c>
      <c r="R118" s="89">
        <f>'Cap Inc'!B40+200000+889000+1004000+200000+172761+269000+39</f>
        <v>2937100</v>
      </c>
      <c r="S118" s="9">
        <f>84000+26000+80000+50000</f>
        <v>240000</v>
      </c>
      <c r="T118" s="9"/>
      <c r="U118" s="9">
        <f>24300+330800+286000+865000+67100+220000+30000-295000-297000+'Res-Gen'!C112+30000+51000+3000+15000+14800</f>
        <v>1445000</v>
      </c>
      <c r="V118" s="49">
        <f t="shared" ref="V118:V133" si="342">E118-R118-S118-T118-U118</f>
        <v>1973900</v>
      </c>
      <c r="W118" s="133">
        <v>2801500</v>
      </c>
      <c r="X118" s="9">
        <v>33500</v>
      </c>
      <c r="Y118" s="46"/>
      <c r="Z118" s="9">
        <f>850900+268600+21600+26500+211900+21500+20500-35000+14000+34000+80000+14300-815900</f>
        <v>712900</v>
      </c>
      <c r="AA118" s="46">
        <f t="shared" si="279"/>
        <v>2293800</v>
      </c>
      <c r="AB118" s="133">
        <f>'Cap Inc'!F40+'Cap Inc'!F68+'Cap Inc'!F44+'Cap Inc'!F48+'Cap Inc'!F49+'Cap Inc'!F63+'Cap Inc'!F64</f>
        <v>4681300</v>
      </c>
      <c r="AC118" s="9">
        <f>2855+'Sec 94'!G71+'Sec 94'!G72</f>
        <v>7855</v>
      </c>
      <c r="AD118" s="9"/>
      <c r="AE118" s="9">
        <f>10000+14700+457500+74100+207000+27000+329700-2855-31000+81000</f>
        <v>1167145</v>
      </c>
      <c r="AF118" s="49">
        <f>G118-AB118-AC118-AD118-AE118</f>
        <v>1278100</v>
      </c>
      <c r="AG118" s="89">
        <f>'Cap Inc'!G40</f>
        <v>182000</v>
      </c>
      <c r="AH118" s="9"/>
      <c r="AI118" s="9"/>
      <c r="AJ118" s="9"/>
      <c r="AK118" s="49">
        <f t="shared" ref="AK118:AK139" si="343">H118-AG118-AH118-AI118-AJ118</f>
        <v>2027100</v>
      </c>
      <c r="AL118" s="89">
        <f>'Cap Inc'!H40</f>
        <v>185000</v>
      </c>
      <c r="AM118" s="9"/>
      <c r="AN118" s="9"/>
      <c r="AO118" s="9"/>
      <c r="AP118" s="61">
        <f t="shared" ref="AP118:AP139" si="344">I118-AL118-AM118-AN118-AO118</f>
        <v>2062000</v>
      </c>
      <c r="AQ118" s="89">
        <f>'Cap Inc'!I40</f>
        <v>188700</v>
      </c>
      <c r="AR118" s="9"/>
      <c r="AS118" s="9"/>
      <c r="AT118" s="9"/>
      <c r="AU118" s="61">
        <f t="shared" ref="AU118:AU139" si="345">J118-AQ118-AR118-AS118-AT118</f>
        <v>2553000</v>
      </c>
      <c r="AV118" s="46">
        <f>'Cap Inc'!J40</f>
        <v>192500</v>
      </c>
      <c r="AW118" s="9"/>
      <c r="AX118" s="9"/>
      <c r="AY118" s="9"/>
      <c r="AZ118" s="49">
        <f t="shared" ref="AZ118:AZ139" si="346">K118-AV118-AW118-AX118-AY118</f>
        <v>1766200</v>
      </c>
      <c r="BA118" s="89">
        <f>'Cap Inc'!K40</f>
        <v>196400</v>
      </c>
      <c r="BB118" s="9"/>
      <c r="BC118" s="9"/>
      <c r="BD118" s="9"/>
      <c r="BE118" s="49">
        <f t="shared" ref="BE118:BE139" si="347">L118-BA118-BB118-BC118-BD118</f>
        <v>2115000</v>
      </c>
      <c r="BF118" s="89">
        <f>'Cap Inc'!L40</f>
        <v>200400</v>
      </c>
      <c r="BG118" s="9"/>
      <c r="BH118" s="9"/>
      <c r="BI118" s="9"/>
      <c r="BJ118" s="49">
        <f t="shared" ref="BJ118:BJ139" si="348">M118-BF118-BG118-BH118-BI118</f>
        <v>2282100</v>
      </c>
      <c r="BK118" s="89">
        <f>'Cap Inc'!M40</f>
        <v>204500</v>
      </c>
      <c r="BL118" s="9"/>
      <c r="BM118" s="9"/>
      <c r="BN118" s="9"/>
      <c r="BO118" s="49">
        <f t="shared" ref="BO118:BO139" si="349">N118-BK118-BL118-BM118-BN118</f>
        <v>2609500</v>
      </c>
      <c r="BP118" s="89">
        <f>'Cap Inc'!N40</f>
        <v>208600</v>
      </c>
      <c r="BQ118" s="9"/>
      <c r="BR118" s="9"/>
      <c r="BS118" s="9"/>
      <c r="BT118" s="49">
        <f t="shared" ref="BT118:BT139" si="350">O118-BP118-BQ118-BR118-BS118</f>
        <v>3367200</v>
      </c>
      <c r="BU118" s="89">
        <f>'Cap Inc'!O40</f>
        <v>212800</v>
      </c>
      <c r="BV118" s="9"/>
      <c r="BW118" s="9"/>
      <c r="BX118" s="9"/>
      <c r="BY118" s="49">
        <f t="shared" ref="BY118:BY139" si="351">P118-BU118-BV118-BW118-BX118</f>
        <v>3555600</v>
      </c>
      <c r="BZ118" s="89">
        <f>'Cap Inc'!P40</f>
        <v>217100</v>
      </c>
      <c r="CA118" s="9"/>
      <c r="CB118" s="9"/>
      <c r="CC118" s="9"/>
      <c r="CD118" s="46">
        <f t="shared" ref="CD118:CD128" si="352">Q118-BZ118-CA118-CB118-CC118</f>
        <v>3555600</v>
      </c>
      <c r="CE118" s="1406">
        <v>1</v>
      </c>
      <c r="CF118" s="833">
        <v>1</v>
      </c>
      <c r="CG118" s="833">
        <f t="shared" ref="CG118:CN118" si="353">CF118</f>
        <v>1</v>
      </c>
      <c r="CH118" s="833">
        <f t="shared" si="353"/>
        <v>1</v>
      </c>
      <c r="CI118" s="833">
        <f t="shared" si="353"/>
        <v>1</v>
      </c>
      <c r="CJ118" s="833">
        <f t="shared" si="353"/>
        <v>1</v>
      </c>
      <c r="CK118" s="833">
        <f t="shared" si="353"/>
        <v>1</v>
      </c>
      <c r="CL118" s="833">
        <f t="shared" si="353"/>
        <v>1</v>
      </c>
      <c r="CM118" s="833">
        <f t="shared" si="353"/>
        <v>1</v>
      </c>
      <c r="CN118" s="833">
        <f t="shared" si="353"/>
        <v>1</v>
      </c>
      <c r="CO118" s="833">
        <f t="shared" ref="CO118:CQ132" si="354">CN118</f>
        <v>1</v>
      </c>
      <c r="CP118" s="833">
        <f t="shared" si="354"/>
        <v>1</v>
      </c>
      <c r="CQ118" s="833">
        <f t="shared" si="354"/>
        <v>1</v>
      </c>
      <c r="CR118" s="833"/>
      <c r="CS118" s="1125">
        <f t="shared" ref="CS118:CS139" si="355">ROUND(CE118*E118,-3)</f>
        <v>6596000</v>
      </c>
      <c r="CT118" s="31">
        <f t="shared" ref="CT118:CT139" si="356">ROUND(CF118*F118,-3)</f>
        <v>5842000</v>
      </c>
      <c r="CU118" s="31">
        <f t="shared" ref="CU118:CU139" si="357">ROUND(CG118*G118,-3)</f>
        <v>7134000</v>
      </c>
      <c r="CV118" s="31">
        <f t="shared" ref="CV118:CV139" si="358">ROUND(CH118*H118,-3)</f>
        <v>2209000</v>
      </c>
      <c r="CW118" s="31">
        <f t="shared" ref="CW118:CW139" si="359">ROUND(CI118*I118,-3)</f>
        <v>2247000</v>
      </c>
      <c r="CX118" s="31">
        <f t="shared" ref="CX118:CX139" si="360">ROUND(CJ118*J118,-3)</f>
        <v>2742000</v>
      </c>
      <c r="CY118" s="31">
        <f t="shared" ref="CY118:CY139" si="361">ROUND(CK118*K118,-3)</f>
        <v>1959000</v>
      </c>
      <c r="CZ118" s="31">
        <f t="shared" ref="CZ118:CZ139" si="362">ROUND(CL118*L118,-3)</f>
        <v>2311000</v>
      </c>
      <c r="DA118" s="31">
        <f t="shared" ref="DA118:DA139" si="363">ROUND(CM118*M118,-3)</f>
        <v>2483000</v>
      </c>
      <c r="DB118" s="31">
        <f t="shared" ref="DB118:DB139" si="364">ROUND(CN118*N118,-3)</f>
        <v>2814000</v>
      </c>
      <c r="DC118" s="31">
        <f t="shared" ref="DC118:DC139" si="365">ROUND(CO118*O118,-3)</f>
        <v>3576000</v>
      </c>
      <c r="DD118" s="31">
        <f t="shared" ref="DD118:DE139" si="366">ROUND(CP118*P118,-3)</f>
        <v>3768000</v>
      </c>
      <c r="DE118" s="78">
        <f t="shared" si="366"/>
        <v>3773000</v>
      </c>
    </row>
    <row r="119" spans="1:109" x14ac:dyDescent="0.2">
      <c r="A119" s="615" t="s">
        <v>6949</v>
      </c>
      <c r="B119" s="1356" t="s">
        <v>1287</v>
      </c>
      <c r="C119" s="1337"/>
      <c r="D119" s="1331" t="s">
        <v>5046</v>
      </c>
      <c r="E119" s="350"/>
      <c r="F119" s="29">
        <f>+F318</f>
        <v>40600</v>
      </c>
      <c r="G119" s="9">
        <f>7000000-6900000</f>
        <v>100000</v>
      </c>
      <c r="H119" s="79">
        <v>6900000</v>
      </c>
      <c r="I119" s="29"/>
      <c r="J119" s="29"/>
      <c r="K119" s="9"/>
      <c r="L119" s="9"/>
      <c r="M119" s="89"/>
      <c r="N119" s="9"/>
      <c r="O119" s="9"/>
      <c r="P119" s="9"/>
      <c r="Q119" s="49"/>
      <c r="R119" s="89"/>
      <c r="S119" s="9"/>
      <c r="T119" s="9"/>
      <c r="U119" s="9"/>
      <c r="V119" s="49">
        <f t="shared" ref="V119" si="367">E119-R119-S119-T119-U119</f>
        <v>0</v>
      </c>
      <c r="W119" s="133"/>
      <c r="X119" s="9"/>
      <c r="Y119" s="46"/>
      <c r="Z119" s="9"/>
      <c r="AA119" s="46">
        <f t="shared" si="279"/>
        <v>40600</v>
      </c>
      <c r="AB119" s="133">
        <f>'Cap Inc'!F46</f>
        <v>0</v>
      </c>
      <c r="AC119" s="9"/>
      <c r="AD119" s="9"/>
      <c r="AE119" s="9">
        <f>+G119</f>
        <v>100000</v>
      </c>
      <c r="AF119" s="49">
        <f t="shared" ref="AF119:AF139" si="368">G119-AB119-AC119-AD119-AE119</f>
        <v>0</v>
      </c>
      <c r="AG119" s="89">
        <f>+'Cap Inc'!G46</f>
        <v>3000000</v>
      </c>
      <c r="AH119" s="9"/>
      <c r="AI119" s="9"/>
      <c r="AJ119" s="9">
        <v>3900000</v>
      </c>
      <c r="AK119" s="49">
        <f t="shared" si="343"/>
        <v>0</v>
      </c>
      <c r="AL119" s="89">
        <f>'Cap Inc'!H41</f>
        <v>0</v>
      </c>
      <c r="AM119" s="9"/>
      <c r="AN119" s="9"/>
      <c r="AO119" s="9"/>
      <c r="AP119" s="61">
        <f t="shared" si="344"/>
        <v>0</v>
      </c>
      <c r="AQ119" s="89"/>
      <c r="AR119" s="9"/>
      <c r="AS119" s="9"/>
      <c r="AT119" s="9"/>
      <c r="AU119" s="61">
        <f t="shared" si="345"/>
        <v>0</v>
      </c>
      <c r="AW119" s="9"/>
      <c r="AX119" s="9"/>
      <c r="AY119" s="9"/>
      <c r="AZ119" s="49">
        <f t="shared" si="346"/>
        <v>0</v>
      </c>
      <c r="BA119" s="89"/>
      <c r="BB119" s="9"/>
      <c r="BC119" s="9"/>
      <c r="BD119" s="9"/>
      <c r="BE119" s="49">
        <f t="shared" si="347"/>
        <v>0</v>
      </c>
      <c r="BF119" s="89"/>
      <c r="BG119" s="9"/>
      <c r="BH119" s="9"/>
      <c r="BI119" s="9"/>
      <c r="BJ119" s="49">
        <f t="shared" si="348"/>
        <v>0</v>
      </c>
      <c r="BK119" s="89"/>
      <c r="BL119" s="9"/>
      <c r="BM119" s="9"/>
      <c r="BN119" s="9"/>
      <c r="BO119" s="49">
        <f t="shared" si="349"/>
        <v>0</v>
      </c>
      <c r="BP119" s="89"/>
      <c r="BQ119" s="9"/>
      <c r="BR119" s="9"/>
      <c r="BS119" s="9"/>
      <c r="BT119" s="49">
        <f t="shared" si="350"/>
        <v>0</v>
      </c>
      <c r="BU119" s="89"/>
      <c r="BV119" s="9"/>
      <c r="BW119" s="9"/>
      <c r="BX119" s="9"/>
      <c r="BY119" s="49">
        <f t="shared" si="351"/>
        <v>0</v>
      </c>
      <c r="BZ119" s="89"/>
      <c r="CA119" s="9"/>
      <c r="CB119" s="9"/>
      <c r="CC119" s="9"/>
      <c r="CD119" s="46">
        <f t="shared" si="352"/>
        <v>0</v>
      </c>
      <c r="CE119" s="1406">
        <v>0</v>
      </c>
      <c r="CF119" s="833">
        <f>CE119</f>
        <v>0</v>
      </c>
      <c r="CG119" s="833">
        <f t="shared" ref="CG119" si="369">CF119</f>
        <v>0</v>
      </c>
      <c r="CH119" s="833">
        <f t="shared" ref="CH119" si="370">CG119</f>
        <v>0</v>
      </c>
      <c r="CI119" s="833">
        <f t="shared" ref="CI119" si="371">CH119</f>
        <v>0</v>
      </c>
      <c r="CJ119" s="833">
        <f t="shared" ref="CJ119" si="372">CI119</f>
        <v>0</v>
      </c>
      <c r="CK119" s="833">
        <f t="shared" ref="CK119" si="373">CJ119</f>
        <v>0</v>
      </c>
      <c r="CL119" s="833">
        <f t="shared" ref="CL119" si="374">CK119</f>
        <v>0</v>
      </c>
      <c r="CM119" s="833">
        <f t="shared" ref="CM119" si="375">CL119</f>
        <v>0</v>
      </c>
      <c r="CN119" s="833">
        <f t="shared" ref="CN119" si="376">CM119</f>
        <v>0</v>
      </c>
      <c r="CO119" s="833">
        <f t="shared" si="354"/>
        <v>0</v>
      </c>
      <c r="CP119" s="833">
        <f t="shared" si="354"/>
        <v>0</v>
      </c>
      <c r="CQ119" s="833">
        <f t="shared" si="354"/>
        <v>0</v>
      </c>
      <c r="CR119" s="833"/>
      <c r="CS119" s="1125">
        <f t="shared" si="355"/>
        <v>0</v>
      </c>
      <c r="CT119" s="31">
        <f t="shared" si="356"/>
        <v>0</v>
      </c>
      <c r="CU119" s="31">
        <f t="shared" si="357"/>
        <v>0</v>
      </c>
      <c r="CV119" s="31">
        <f t="shared" si="358"/>
        <v>0</v>
      </c>
      <c r="CW119" s="31">
        <f t="shared" si="359"/>
        <v>0</v>
      </c>
      <c r="CX119" s="31">
        <f t="shared" si="360"/>
        <v>0</v>
      </c>
      <c r="CY119" s="31">
        <f t="shared" si="361"/>
        <v>0</v>
      </c>
      <c r="CZ119" s="31">
        <f t="shared" si="362"/>
        <v>0</v>
      </c>
      <c r="DA119" s="31">
        <f t="shared" si="363"/>
        <v>0</v>
      </c>
      <c r="DB119" s="31">
        <f t="shared" si="364"/>
        <v>0</v>
      </c>
      <c r="DC119" s="31">
        <f t="shared" si="365"/>
        <v>0</v>
      </c>
      <c r="DD119" s="31">
        <f t="shared" si="366"/>
        <v>0</v>
      </c>
      <c r="DE119" s="78">
        <f t="shared" si="366"/>
        <v>0</v>
      </c>
    </row>
    <row r="120" spans="1:109" x14ac:dyDescent="0.2">
      <c r="A120" s="615" t="s">
        <v>5436</v>
      </c>
      <c r="B120" s="1356" t="s">
        <v>1287</v>
      </c>
      <c r="C120" s="1337"/>
      <c r="D120" s="1331" t="s">
        <v>5046</v>
      </c>
      <c r="E120" s="350"/>
      <c r="F120" s="79">
        <f>CIV!H1030</f>
        <v>900000</v>
      </c>
      <c r="G120" s="9">
        <f>CIV!H1030+257300-257300</f>
        <v>900000</v>
      </c>
      <c r="H120" s="79">
        <f>CIV!J1030</f>
        <v>492000</v>
      </c>
      <c r="I120" s="29">
        <f>CIV!K1030</f>
        <v>634000</v>
      </c>
      <c r="J120" s="29">
        <f>CIV!L1030</f>
        <v>646700</v>
      </c>
      <c r="K120" s="9">
        <f>CIV!M1030</f>
        <v>659700</v>
      </c>
      <c r="L120" s="9">
        <f>CIV!N1030</f>
        <v>672900</v>
      </c>
      <c r="M120" s="89">
        <f>CIV!O1030</f>
        <v>686400</v>
      </c>
      <c r="N120" s="9">
        <f>CIV!P1030</f>
        <v>700200</v>
      </c>
      <c r="O120" s="9">
        <f>CIV!Q1030</f>
        <v>714300</v>
      </c>
      <c r="P120" s="9">
        <f>CIV!R1030</f>
        <v>728600</v>
      </c>
      <c r="Q120" s="49">
        <f>CIV!S1030</f>
        <v>743200</v>
      </c>
      <c r="R120" s="89">
        <f>'Cap Inc'!B39+SUM('Cap Inc'!B55:B57)</f>
        <v>1706600</v>
      </c>
      <c r="S120" s="9"/>
      <c r="T120" s="9"/>
      <c r="U120" s="9"/>
      <c r="V120" s="49">
        <f t="shared" si="342"/>
        <v>-1706600</v>
      </c>
      <c r="W120" s="133">
        <v>900000</v>
      </c>
      <c r="X120" s="9"/>
      <c r="Y120" s="46"/>
      <c r="Z120" s="9"/>
      <c r="AA120" s="46">
        <f t="shared" si="279"/>
        <v>0</v>
      </c>
      <c r="AB120" s="133">
        <v>900000</v>
      </c>
      <c r="AC120" s="9"/>
      <c r="AD120" s="9"/>
      <c r="AE120" s="9">
        <v>0</v>
      </c>
      <c r="AF120" s="49">
        <f t="shared" si="368"/>
        <v>0</v>
      </c>
      <c r="AG120" s="89">
        <v>492000</v>
      </c>
      <c r="AH120" s="9"/>
      <c r="AI120" s="9"/>
      <c r="AJ120" s="9"/>
      <c r="AK120" s="49">
        <f t="shared" si="343"/>
        <v>0</v>
      </c>
      <c r="AL120" s="89">
        <f>CIV!K249</f>
        <v>634000</v>
      </c>
      <c r="AM120" s="9"/>
      <c r="AN120" s="9"/>
      <c r="AO120" s="9"/>
      <c r="AP120" s="61">
        <f t="shared" si="344"/>
        <v>0</v>
      </c>
      <c r="AQ120" s="89">
        <f>CIV!L249</f>
        <v>646700</v>
      </c>
      <c r="AR120" s="9"/>
      <c r="AS120" s="9"/>
      <c r="AT120" s="9"/>
      <c r="AU120" s="61">
        <f t="shared" si="345"/>
        <v>0</v>
      </c>
      <c r="AV120" s="89">
        <f>CIV!M249</f>
        <v>659700</v>
      </c>
      <c r="AW120" s="9"/>
      <c r="AX120" s="9"/>
      <c r="AY120" s="9"/>
      <c r="AZ120" s="49">
        <f t="shared" si="346"/>
        <v>0</v>
      </c>
      <c r="BA120" s="89">
        <f>CIV!N249</f>
        <v>672900</v>
      </c>
      <c r="BB120" s="9"/>
      <c r="BC120" s="9"/>
      <c r="BD120" s="9"/>
      <c r="BE120" s="49">
        <f t="shared" si="347"/>
        <v>0</v>
      </c>
      <c r="BF120" s="89">
        <f>CIV!O249</f>
        <v>686400</v>
      </c>
      <c r="BG120" s="9"/>
      <c r="BH120" s="9"/>
      <c r="BI120" s="9"/>
      <c r="BJ120" s="49">
        <f t="shared" si="348"/>
        <v>0</v>
      </c>
      <c r="BK120" s="89">
        <f>CIV!P249</f>
        <v>700200</v>
      </c>
      <c r="BL120" s="9"/>
      <c r="BM120" s="9"/>
      <c r="BN120" s="9"/>
      <c r="BO120" s="49">
        <f t="shared" si="349"/>
        <v>0</v>
      </c>
      <c r="BP120" s="89">
        <f>CIV!Q249</f>
        <v>714300</v>
      </c>
      <c r="BQ120" s="9"/>
      <c r="BR120" s="9"/>
      <c r="BS120" s="9"/>
      <c r="BT120" s="49">
        <f t="shared" si="350"/>
        <v>0</v>
      </c>
      <c r="BU120" s="89">
        <f>CIV!R249</f>
        <v>728600</v>
      </c>
      <c r="BV120" s="9"/>
      <c r="BW120" s="9"/>
      <c r="BX120" s="9"/>
      <c r="BY120" s="49">
        <f>P120-BU120-BV120-BW120-BX120</f>
        <v>0</v>
      </c>
      <c r="BZ120" s="89">
        <f>+CIV!S1030</f>
        <v>743200</v>
      </c>
      <c r="CA120" s="9"/>
      <c r="CB120" s="9"/>
      <c r="CC120" s="9"/>
      <c r="CD120" s="46">
        <f t="shared" si="352"/>
        <v>0</v>
      </c>
      <c r="CE120" s="1406">
        <v>1</v>
      </c>
      <c r="CF120" s="833">
        <f t="shared" ref="CF120" si="377">CE120</f>
        <v>1</v>
      </c>
      <c r="CG120" s="833">
        <f t="shared" ref="CG120" si="378">CF120</f>
        <v>1</v>
      </c>
      <c r="CH120" s="833">
        <f t="shared" ref="CH120" si="379">CG120</f>
        <v>1</v>
      </c>
      <c r="CI120" s="833">
        <f t="shared" ref="CI120" si="380">CH120</f>
        <v>1</v>
      </c>
      <c r="CJ120" s="833">
        <f t="shared" ref="CJ120" si="381">CI120</f>
        <v>1</v>
      </c>
      <c r="CK120" s="833">
        <f t="shared" ref="CK120" si="382">CJ120</f>
        <v>1</v>
      </c>
      <c r="CL120" s="833">
        <f t="shared" ref="CL120" si="383">CK120</f>
        <v>1</v>
      </c>
      <c r="CM120" s="833">
        <f t="shared" ref="CM120" si="384">CL120</f>
        <v>1</v>
      </c>
      <c r="CN120" s="833">
        <f t="shared" ref="CN120" si="385">CM120</f>
        <v>1</v>
      </c>
      <c r="CO120" s="833">
        <f t="shared" si="354"/>
        <v>1</v>
      </c>
      <c r="CP120" s="833">
        <f t="shared" si="354"/>
        <v>1</v>
      </c>
      <c r="CQ120" s="833">
        <f t="shared" si="354"/>
        <v>1</v>
      </c>
      <c r="CR120" s="833"/>
      <c r="CS120" s="1125">
        <f t="shared" si="355"/>
        <v>0</v>
      </c>
      <c r="CT120" s="31">
        <f t="shared" si="356"/>
        <v>900000</v>
      </c>
      <c r="CU120" s="31">
        <f t="shared" si="357"/>
        <v>900000</v>
      </c>
      <c r="CV120" s="31">
        <f t="shared" si="358"/>
        <v>492000</v>
      </c>
      <c r="CW120" s="31">
        <f t="shared" si="359"/>
        <v>634000</v>
      </c>
      <c r="CX120" s="31">
        <f t="shared" si="360"/>
        <v>647000</v>
      </c>
      <c r="CY120" s="31">
        <f t="shared" si="361"/>
        <v>660000</v>
      </c>
      <c r="CZ120" s="31">
        <f t="shared" si="362"/>
        <v>673000</v>
      </c>
      <c r="DA120" s="31">
        <f t="shared" si="363"/>
        <v>686000</v>
      </c>
      <c r="DB120" s="31">
        <f t="shared" si="364"/>
        <v>700000</v>
      </c>
      <c r="DC120" s="31">
        <f t="shared" si="365"/>
        <v>714000</v>
      </c>
      <c r="DD120" s="31">
        <f t="shared" si="366"/>
        <v>729000</v>
      </c>
      <c r="DE120" s="78">
        <f t="shared" si="366"/>
        <v>743000</v>
      </c>
    </row>
    <row r="121" spans="1:109" x14ac:dyDescent="0.2">
      <c r="A121" s="615" t="s">
        <v>5437</v>
      </c>
      <c r="B121" s="1360"/>
      <c r="C121" s="1337"/>
      <c r="D121" s="1331" t="s">
        <v>5046</v>
      </c>
      <c r="E121" s="350"/>
      <c r="F121" s="29"/>
      <c r="G121" s="9">
        <f>Assumptions!H45</f>
        <v>0</v>
      </c>
      <c r="H121" s="9">
        <f>Assumptions!I45</f>
        <v>0</v>
      </c>
      <c r="I121" s="29">
        <f>Assumptions!J45</f>
        <v>0</v>
      </c>
      <c r="J121" s="29">
        <f>Assumptions!K45</f>
        <v>500000</v>
      </c>
      <c r="K121" s="9">
        <f>Assumptions!L45</f>
        <v>500000</v>
      </c>
      <c r="L121" s="9">
        <f>Assumptions!M45</f>
        <v>500000</v>
      </c>
      <c r="M121" s="89">
        <f>Assumptions!N45</f>
        <v>500000</v>
      </c>
      <c r="N121" s="9">
        <f>Assumptions!O45</f>
        <v>500000</v>
      </c>
      <c r="O121" s="9">
        <f>Assumptions!P45</f>
        <v>500000</v>
      </c>
      <c r="P121" s="9">
        <f>Assumptions!Q45</f>
        <v>1000000</v>
      </c>
      <c r="Q121" s="49">
        <f>Assumptions!R45</f>
        <v>1000000</v>
      </c>
      <c r="R121" s="89"/>
      <c r="S121" s="9"/>
      <c r="T121" s="9"/>
      <c r="U121" s="9">
        <f>E121</f>
        <v>0</v>
      </c>
      <c r="V121" s="49">
        <f t="shared" si="342"/>
        <v>0</v>
      </c>
      <c r="W121" s="133"/>
      <c r="X121" s="9"/>
      <c r="Y121" s="46"/>
      <c r="Z121" s="9">
        <f>F121</f>
        <v>0</v>
      </c>
      <c r="AA121" s="46">
        <f t="shared" si="279"/>
        <v>0</v>
      </c>
      <c r="AB121" s="133"/>
      <c r="AC121" s="9"/>
      <c r="AD121" s="9"/>
      <c r="AE121" s="9">
        <f>G121</f>
        <v>0</v>
      </c>
      <c r="AF121" s="49">
        <f t="shared" si="368"/>
        <v>0</v>
      </c>
      <c r="AG121" s="89"/>
      <c r="AH121" s="9"/>
      <c r="AI121" s="9"/>
      <c r="AJ121" s="9">
        <f>H121</f>
        <v>0</v>
      </c>
      <c r="AK121" s="49">
        <f t="shared" si="343"/>
        <v>0</v>
      </c>
      <c r="AL121" s="89"/>
      <c r="AM121" s="9"/>
      <c r="AN121" s="9"/>
      <c r="AO121" s="9">
        <f>I121</f>
        <v>0</v>
      </c>
      <c r="AP121" s="61">
        <f t="shared" si="344"/>
        <v>0</v>
      </c>
      <c r="AQ121" s="89"/>
      <c r="AR121" s="9"/>
      <c r="AS121" s="9"/>
      <c r="AT121" s="9">
        <f>J121</f>
        <v>500000</v>
      </c>
      <c r="AU121" s="61">
        <f t="shared" si="345"/>
        <v>0</v>
      </c>
      <c r="AW121" s="9"/>
      <c r="AX121" s="9"/>
      <c r="AY121" s="9">
        <f>K121</f>
        <v>500000</v>
      </c>
      <c r="AZ121" s="49">
        <f t="shared" si="346"/>
        <v>0</v>
      </c>
      <c r="BA121" s="89"/>
      <c r="BB121" s="9"/>
      <c r="BC121" s="9"/>
      <c r="BD121" s="9">
        <f>L121</f>
        <v>500000</v>
      </c>
      <c r="BE121" s="49">
        <f t="shared" si="347"/>
        <v>0</v>
      </c>
      <c r="BF121" s="89"/>
      <c r="BG121" s="9"/>
      <c r="BH121" s="9"/>
      <c r="BI121" s="9">
        <f>M121</f>
        <v>500000</v>
      </c>
      <c r="BJ121" s="49">
        <f t="shared" si="348"/>
        <v>0</v>
      </c>
      <c r="BK121" s="89"/>
      <c r="BL121" s="9"/>
      <c r="BM121" s="9"/>
      <c r="BN121" s="9">
        <f>N121</f>
        <v>500000</v>
      </c>
      <c r="BO121" s="49">
        <f t="shared" si="349"/>
        <v>0</v>
      </c>
      <c r="BP121" s="89"/>
      <c r="BQ121" s="9"/>
      <c r="BR121" s="9"/>
      <c r="BS121" s="9">
        <f>O121</f>
        <v>500000</v>
      </c>
      <c r="BT121" s="49">
        <f t="shared" si="350"/>
        <v>0</v>
      </c>
      <c r="BU121" s="89"/>
      <c r="BV121" s="9"/>
      <c r="BW121" s="9"/>
      <c r="BX121" s="9">
        <f>P121</f>
        <v>1000000</v>
      </c>
      <c r="BY121" s="49">
        <f t="shared" si="351"/>
        <v>0</v>
      </c>
      <c r="BZ121" s="89"/>
      <c r="CA121" s="9"/>
      <c r="CB121" s="9"/>
      <c r="CC121" s="9">
        <f>+Q121</f>
        <v>1000000</v>
      </c>
      <c r="CD121" s="46">
        <f t="shared" si="352"/>
        <v>0</v>
      </c>
      <c r="CE121" s="1406">
        <v>1</v>
      </c>
      <c r="CF121" s="833">
        <f t="shared" ref="CF121" si="386">CE121</f>
        <v>1</v>
      </c>
      <c r="CG121" s="833">
        <f t="shared" ref="CG121" si="387">CF121</f>
        <v>1</v>
      </c>
      <c r="CH121" s="833">
        <f t="shared" ref="CH121" si="388">CG121</f>
        <v>1</v>
      </c>
      <c r="CI121" s="833">
        <f t="shared" ref="CI121" si="389">CH121</f>
        <v>1</v>
      </c>
      <c r="CJ121" s="833">
        <f t="shared" ref="CJ121" si="390">CI121</f>
        <v>1</v>
      </c>
      <c r="CK121" s="833">
        <f t="shared" ref="CK121" si="391">CJ121</f>
        <v>1</v>
      </c>
      <c r="CL121" s="833">
        <f t="shared" ref="CL121" si="392">CK121</f>
        <v>1</v>
      </c>
      <c r="CM121" s="833">
        <f t="shared" ref="CM121:CN121" si="393">CL121</f>
        <v>1</v>
      </c>
      <c r="CN121" s="833">
        <f t="shared" si="393"/>
        <v>1</v>
      </c>
      <c r="CO121" s="833">
        <f t="shared" si="354"/>
        <v>1</v>
      </c>
      <c r="CP121" s="833">
        <f t="shared" si="354"/>
        <v>1</v>
      </c>
      <c r="CQ121" s="833">
        <f t="shared" si="354"/>
        <v>1</v>
      </c>
      <c r="CR121" s="833"/>
      <c r="CS121" s="1125">
        <f t="shared" si="355"/>
        <v>0</v>
      </c>
      <c r="CT121" s="31">
        <f t="shared" si="356"/>
        <v>0</v>
      </c>
      <c r="CU121" s="31">
        <f t="shared" si="357"/>
        <v>0</v>
      </c>
      <c r="CV121" s="31">
        <f t="shared" si="358"/>
        <v>0</v>
      </c>
      <c r="CW121" s="31">
        <f t="shared" si="359"/>
        <v>0</v>
      </c>
      <c r="CX121" s="31">
        <f t="shared" si="360"/>
        <v>500000</v>
      </c>
      <c r="CY121" s="31">
        <f t="shared" si="361"/>
        <v>500000</v>
      </c>
      <c r="CZ121" s="31">
        <f t="shared" si="362"/>
        <v>500000</v>
      </c>
      <c r="DA121" s="31">
        <f t="shared" si="363"/>
        <v>500000</v>
      </c>
      <c r="DB121" s="31">
        <f t="shared" si="364"/>
        <v>500000</v>
      </c>
      <c r="DC121" s="31">
        <f t="shared" si="365"/>
        <v>500000</v>
      </c>
      <c r="DD121" s="31">
        <f t="shared" si="366"/>
        <v>1000000</v>
      </c>
      <c r="DE121" s="78">
        <f t="shared" si="366"/>
        <v>1000000</v>
      </c>
    </row>
    <row r="122" spans="1:109" x14ac:dyDescent="0.2">
      <c r="A122" s="2554" t="s">
        <v>7253</v>
      </c>
      <c r="B122" s="1360"/>
      <c r="C122" s="1337"/>
      <c r="D122" s="1331" t="s">
        <v>5046</v>
      </c>
      <c r="E122" s="350"/>
      <c r="F122" s="29"/>
      <c r="G122" s="9">
        <v>389600</v>
      </c>
      <c r="H122" s="9">
        <v>0</v>
      </c>
      <c r="I122" s="9">
        <v>0</v>
      </c>
      <c r="J122" s="9">
        <v>0</v>
      </c>
      <c r="K122" s="9">
        <f>ROUND((J122*Assumptions!L$6+J122),-3)</f>
        <v>0</v>
      </c>
      <c r="L122" s="9">
        <f>ROUND((K122*Assumptions!M$6+K122),-3)</f>
        <v>0</v>
      </c>
      <c r="M122" s="89">
        <f>ROUND((L122*Assumptions!N$6+L122),-3)</f>
        <v>0</v>
      </c>
      <c r="N122" s="9">
        <f>ROUND((M122*Assumptions!O$6+M122),-3)</f>
        <v>0</v>
      </c>
      <c r="O122" s="9">
        <f>ROUND((N122*Assumptions!P$6+N122),-3)</f>
        <v>0</v>
      </c>
      <c r="P122" s="9">
        <f>ROUND((O122*Assumptions!Q$6+O122),-3)</f>
        <v>0</v>
      </c>
      <c r="Q122" s="49">
        <f>ROUND((P122*Assumptions!R$6+P122),-3)</f>
        <v>0</v>
      </c>
      <c r="R122" s="89"/>
      <c r="S122" s="9"/>
      <c r="T122" s="9"/>
      <c r="U122" s="9">
        <f>E122</f>
        <v>0</v>
      </c>
      <c r="V122" s="49">
        <f t="shared" si="342"/>
        <v>0</v>
      </c>
      <c r="W122" s="133"/>
      <c r="X122" s="9"/>
      <c r="Y122" s="46"/>
      <c r="Z122" s="9">
        <f>F122</f>
        <v>0</v>
      </c>
      <c r="AA122" s="46">
        <f t="shared" si="279"/>
        <v>0</v>
      </c>
      <c r="AB122" s="133"/>
      <c r="AC122" s="9"/>
      <c r="AD122" s="9"/>
      <c r="AE122" s="9"/>
      <c r="AF122" s="49">
        <f t="shared" si="368"/>
        <v>389600</v>
      </c>
      <c r="AG122" s="89"/>
      <c r="AH122" s="9"/>
      <c r="AI122" s="9"/>
      <c r="AJ122" s="9"/>
      <c r="AK122" s="49">
        <f t="shared" si="343"/>
        <v>0</v>
      </c>
      <c r="AL122" s="89"/>
      <c r="AM122" s="9"/>
      <c r="AN122" s="9"/>
      <c r="AO122" s="9"/>
      <c r="AP122" s="61">
        <f t="shared" si="344"/>
        <v>0</v>
      </c>
      <c r="AQ122" s="89"/>
      <c r="AR122" s="9"/>
      <c r="AS122" s="9"/>
      <c r="AT122" s="9"/>
      <c r="AU122" s="61">
        <f t="shared" si="345"/>
        <v>0</v>
      </c>
      <c r="AW122" s="9"/>
      <c r="AX122" s="9"/>
      <c r="AY122" s="9"/>
      <c r="AZ122" s="49">
        <f t="shared" si="346"/>
        <v>0</v>
      </c>
      <c r="BA122" s="89"/>
      <c r="BB122" s="9"/>
      <c r="BC122" s="9"/>
      <c r="BD122" s="9"/>
      <c r="BE122" s="49">
        <f t="shared" si="347"/>
        <v>0</v>
      </c>
      <c r="BF122" s="89"/>
      <c r="BG122" s="9"/>
      <c r="BH122" s="9"/>
      <c r="BI122" s="9"/>
      <c r="BJ122" s="49">
        <f t="shared" si="348"/>
        <v>0</v>
      </c>
      <c r="BK122" s="89"/>
      <c r="BL122" s="9"/>
      <c r="BM122" s="9"/>
      <c r="BN122" s="9"/>
      <c r="BO122" s="49">
        <f t="shared" si="349"/>
        <v>0</v>
      </c>
      <c r="BP122" s="89"/>
      <c r="BQ122" s="9"/>
      <c r="BR122" s="9"/>
      <c r="BS122" s="9"/>
      <c r="BT122" s="49">
        <f t="shared" si="350"/>
        <v>0</v>
      </c>
      <c r="BU122" s="89"/>
      <c r="BV122" s="9"/>
      <c r="BW122" s="9"/>
      <c r="BX122" s="9"/>
      <c r="BY122" s="49">
        <f t="shared" si="351"/>
        <v>0</v>
      </c>
      <c r="BZ122" s="89"/>
      <c r="CA122" s="9"/>
      <c r="CB122" s="9"/>
      <c r="CC122" s="9"/>
      <c r="CD122" s="46">
        <f t="shared" si="352"/>
        <v>0</v>
      </c>
      <c r="CE122" s="1406">
        <v>1</v>
      </c>
      <c r="CF122" s="833">
        <f t="shared" ref="CF122" si="394">CE122</f>
        <v>1</v>
      </c>
      <c r="CG122" s="833">
        <f t="shared" ref="CG122" si="395">CF122</f>
        <v>1</v>
      </c>
      <c r="CH122" s="833">
        <f t="shared" ref="CH122" si="396">CG122</f>
        <v>1</v>
      </c>
      <c r="CI122" s="833">
        <f t="shared" ref="CI122" si="397">CH122</f>
        <v>1</v>
      </c>
      <c r="CJ122" s="833">
        <f t="shared" ref="CJ122" si="398">CI122</f>
        <v>1</v>
      </c>
      <c r="CK122" s="833">
        <f t="shared" ref="CK122" si="399">CJ122</f>
        <v>1</v>
      </c>
      <c r="CL122" s="833">
        <f t="shared" ref="CL122" si="400">CK122</f>
        <v>1</v>
      </c>
      <c r="CM122" s="833">
        <f t="shared" ref="CM122" si="401">CL122</f>
        <v>1</v>
      </c>
      <c r="CN122" s="833">
        <f t="shared" ref="CN122" si="402">CM122</f>
        <v>1</v>
      </c>
      <c r="CO122" s="833">
        <f t="shared" si="354"/>
        <v>1</v>
      </c>
      <c r="CP122" s="833">
        <f t="shared" si="354"/>
        <v>1</v>
      </c>
      <c r="CQ122" s="833">
        <f t="shared" si="354"/>
        <v>1</v>
      </c>
      <c r="CR122" s="833"/>
      <c r="CS122" s="1125">
        <f t="shared" si="355"/>
        <v>0</v>
      </c>
      <c r="CT122" s="31">
        <f t="shared" si="356"/>
        <v>0</v>
      </c>
      <c r="CU122" s="31">
        <f t="shared" si="357"/>
        <v>390000</v>
      </c>
      <c r="CV122" s="31">
        <f t="shared" si="358"/>
        <v>0</v>
      </c>
      <c r="CW122" s="31">
        <f t="shared" si="359"/>
        <v>0</v>
      </c>
      <c r="CX122" s="31">
        <f t="shared" si="360"/>
        <v>0</v>
      </c>
      <c r="CY122" s="31">
        <f t="shared" si="361"/>
        <v>0</v>
      </c>
      <c r="CZ122" s="31">
        <f t="shared" si="362"/>
        <v>0</v>
      </c>
      <c r="DA122" s="31">
        <f t="shared" si="363"/>
        <v>0</v>
      </c>
      <c r="DB122" s="31">
        <f t="shared" si="364"/>
        <v>0</v>
      </c>
      <c r="DC122" s="31">
        <f t="shared" si="365"/>
        <v>0</v>
      </c>
      <c r="DD122" s="31">
        <f t="shared" si="366"/>
        <v>0</v>
      </c>
      <c r="DE122" s="78">
        <f t="shared" si="366"/>
        <v>0</v>
      </c>
    </row>
    <row r="123" spans="1:109" x14ac:dyDescent="0.2">
      <c r="A123" s="615" t="s">
        <v>4786</v>
      </c>
      <c r="B123" s="1354" t="s">
        <v>1287</v>
      </c>
      <c r="C123" s="1337"/>
      <c r="D123" s="1331" t="s">
        <v>5046</v>
      </c>
      <c r="E123" s="350">
        <v>318600</v>
      </c>
      <c r="F123" s="29">
        <f>+F305</f>
        <v>275500</v>
      </c>
      <c r="G123" s="9">
        <v>324000</v>
      </c>
      <c r="H123" s="79">
        <f>ROUND((G123*Assumptions!I$6+G123),-3)</f>
        <v>337000</v>
      </c>
      <c r="I123" s="29">
        <f>ROUND((H123*Assumptions!J$6+H123),-3)</f>
        <v>350000</v>
      </c>
      <c r="J123" s="29">
        <f>ROUND((I123*Assumptions!K$6+I123),-3)</f>
        <v>359000</v>
      </c>
      <c r="K123" s="9">
        <f>ROUND((J123*Assumptions!L$6+J123),-3)</f>
        <v>368000</v>
      </c>
      <c r="L123" s="9">
        <f>ROUND((K123*Assumptions!M$6+K123),-3)</f>
        <v>377000</v>
      </c>
      <c r="M123" s="89">
        <f>ROUND((L123*Assumptions!N$6+L123),-3)</f>
        <v>386000</v>
      </c>
      <c r="N123" s="9">
        <f>ROUND((M123*Assumptions!O$6+M123),-3)</f>
        <v>396000</v>
      </c>
      <c r="O123" s="9">
        <f>ROUND((N123*Assumptions!P$6+N123),-3)</f>
        <v>406000</v>
      </c>
      <c r="P123" s="9">
        <f>ROUND((O123*Assumptions!Q$6+O123),-3)</f>
        <v>416000</v>
      </c>
      <c r="Q123" s="49">
        <f>ROUND((P123*Assumptions!R$6+P123),-3)</f>
        <v>426000</v>
      </c>
      <c r="R123" s="89"/>
      <c r="S123" s="9"/>
      <c r="T123" s="9"/>
      <c r="U123" s="9"/>
      <c r="V123" s="49">
        <f t="shared" si="342"/>
        <v>318600</v>
      </c>
      <c r="W123" s="133"/>
      <c r="X123" s="9"/>
      <c r="Y123" s="46"/>
      <c r="Z123" s="9"/>
      <c r="AA123" s="46">
        <f t="shared" si="279"/>
        <v>275500</v>
      </c>
      <c r="AB123" s="133"/>
      <c r="AC123" s="9"/>
      <c r="AD123" s="9"/>
      <c r="AE123" s="9"/>
      <c r="AF123" s="49">
        <f t="shared" si="368"/>
        <v>324000</v>
      </c>
      <c r="AG123" s="89"/>
      <c r="AH123" s="9"/>
      <c r="AI123" s="9"/>
      <c r="AJ123" s="9"/>
      <c r="AK123" s="49">
        <f t="shared" si="343"/>
        <v>337000</v>
      </c>
      <c r="AL123" s="89"/>
      <c r="AM123" s="9"/>
      <c r="AN123" s="9"/>
      <c r="AO123" s="9"/>
      <c r="AP123" s="61">
        <f t="shared" si="344"/>
        <v>350000</v>
      </c>
      <c r="AQ123" s="89"/>
      <c r="AR123" s="9"/>
      <c r="AS123" s="9"/>
      <c r="AT123" s="9"/>
      <c r="AU123" s="61">
        <f t="shared" si="345"/>
        <v>359000</v>
      </c>
      <c r="AW123" s="9"/>
      <c r="AX123" s="9"/>
      <c r="AY123" s="9"/>
      <c r="AZ123" s="49">
        <f t="shared" si="346"/>
        <v>368000</v>
      </c>
      <c r="BA123" s="89"/>
      <c r="BB123" s="9"/>
      <c r="BC123" s="9"/>
      <c r="BD123" s="9"/>
      <c r="BE123" s="49">
        <f t="shared" si="347"/>
        <v>377000</v>
      </c>
      <c r="BF123" s="89"/>
      <c r="BG123" s="9"/>
      <c r="BH123" s="9"/>
      <c r="BI123" s="9"/>
      <c r="BJ123" s="49">
        <f t="shared" si="348"/>
        <v>386000</v>
      </c>
      <c r="BK123" s="89"/>
      <c r="BL123" s="9"/>
      <c r="BM123" s="9"/>
      <c r="BN123" s="9"/>
      <c r="BO123" s="49">
        <f t="shared" si="349"/>
        <v>396000</v>
      </c>
      <c r="BP123" s="89"/>
      <c r="BQ123" s="9"/>
      <c r="BR123" s="9"/>
      <c r="BS123" s="9"/>
      <c r="BT123" s="49">
        <f t="shared" si="350"/>
        <v>406000</v>
      </c>
      <c r="BU123" s="89"/>
      <c r="BV123" s="9"/>
      <c r="BW123" s="9"/>
      <c r="BX123" s="9"/>
      <c r="BY123" s="49">
        <f t="shared" si="351"/>
        <v>416000</v>
      </c>
      <c r="BZ123" s="89"/>
      <c r="CA123" s="9"/>
      <c r="CB123" s="9"/>
      <c r="CC123" s="9"/>
      <c r="CD123" s="46">
        <f t="shared" si="352"/>
        <v>426000</v>
      </c>
      <c r="CE123" s="1406">
        <v>1</v>
      </c>
      <c r="CF123" s="833">
        <f t="shared" ref="CF123" si="403">CE123</f>
        <v>1</v>
      </c>
      <c r="CG123" s="833">
        <f t="shared" ref="CG123" si="404">CF123</f>
        <v>1</v>
      </c>
      <c r="CH123" s="833">
        <f t="shared" ref="CH123" si="405">CG123</f>
        <v>1</v>
      </c>
      <c r="CI123" s="833">
        <f t="shared" ref="CI123" si="406">CH123</f>
        <v>1</v>
      </c>
      <c r="CJ123" s="833">
        <f t="shared" ref="CJ123" si="407">CI123</f>
        <v>1</v>
      </c>
      <c r="CK123" s="833">
        <f t="shared" ref="CK123" si="408">CJ123</f>
        <v>1</v>
      </c>
      <c r="CL123" s="833">
        <f t="shared" ref="CL123" si="409">CK123</f>
        <v>1</v>
      </c>
      <c r="CM123" s="833">
        <f t="shared" ref="CM123:CN123" si="410">CL123</f>
        <v>1</v>
      </c>
      <c r="CN123" s="833">
        <f t="shared" si="410"/>
        <v>1</v>
      </c>
      <c r="CO123" s="833">
        <f t="shared" si="354"/>
        <v>1</v>
      </c>
      <c r="CP123" s="833">
        <f t="shared" si="354"/>
        <v>1</v>
      </c>
      <c r="CQ123" s="833">
        <f t="shared" si="354"/>
        <v>1</v>
      </c>
      <c r="CR123" s="833"/>
      <c r="CS123" s="1125">
        <f t="shared" si="355"/>
        <v>319000</v>
      </c>
      <c r="CT123" s="31">
        <f t="shared" si="356"/>
        <v>276000</v>
      </c>
      <c r="CU123" s="31">
        <f t="shared" si="357"/>
        <v>324000</v>
      </c>
      <c r="CV123" s="31">
        <f t="shared" si="358"/>
        <v>337000</v>
      </c>
      <c r="CW123" s="31">
        <f t="shared" si="359"/>
        <v>350000</v>
      </c>
      <c r="CX123" s="31">
        <f t="shared" si="360"/>
        <v>359000</v>
      </c>
      <c r="CY123" s="31">
        <f t="shared" si="361"/>
        <v>368000</v>
      </c>
      <c r="CZ123" s="31">
        <f t="shared" si="362"/>
        <v>377000</v>
      </c>
      <c r="DA123" s="31">
        <f t="shared" si="363"/>
        <v>386000</v>
      </c>
      <c r="DB123" s="31">
        <f t="shared" si="364"/>
        <v>396000</v>
      </c>
      <c r="DC123" s="31">
        <f t="shared" si="365"/>
        <v>406000</v>
      </c>
      <c r="DD123" s="31">
        <f t="shared" si="366"/>
        <v>416000</v>
      </c>
      <c r="DE123" s="78">
        <f t="shared" si="366"/>
        <v>426000</v>
      </c>
    </row>
    <row r="124" spans="1:109" x14ac:dyDescent="0.2">
      <c r="A124" s="615" t="s">
        <v>4787</v>
      </c>
      <c r="B124" s="1356" t="s">
        <v>1287</v>
      </c>
      <c r="C124" s="1337"/>
      <c r="D124" s="1331" t="s">
        <v>5046</v>
      </c>
      <c r="E124" s="350">
        <v>320600</v>
      </c>
      <c r="F124" s="29">
        <f>+F347</f>
        <v>291900</v>
      </c>
      <c r="G124" s="9">
        <v>314000</v>
      </c>
      <c r="H124" s="79">
        <f>ROUND((G124*Assumptions!I$6+G124),-3)</f>
        <v>327000</v>
      </c>
      <c r="I124" s="29">
        <f>ROUND((H124*Assumptions!J$6+H124),-3)</f>
        <v>340000</v>
      </c>
      <c r="J124" s="29">
        <f>ROUND((I124*Assumptions!K$6+I124),-3)</f>
        <v>349000</v>
      </c>
      <c r="K124" s="9">
        <f>ROUND((J124*Assumptions!L$6+J124),-3)</f>
        <v>358000</v>
      </c>
      <c r="L124" s="9">
        <f>ROUND((K124*Assumptions!M$6+K124),-3)</f>
        <v>367000</v>
      </c>
      <c r="M124" s="89">
        <f>ROUND((L124*Assumptions!N$6+L124),-3)</f>
        <v>376000</v>
      </c>
      <c r="N124" s="9">
        <f>ROUND((M124*Assumptions!O$6+M124),-3)</f>
        <v>385000</v>
      </c>
      <c r="O124" s="9">
        <f>ROUND((N124*Assumptions!P$6+N124),-3)</f>
        <v>395000</v>
      </c>
      <c r="P124" s="9">
        <f>ROUND((O124*Assumptions!Q$6+O124),-3)</f>
        <v>405000</v>
      </c>
      <c r="Q124" s="49">
        <f>ROUND((P124*Assumptions!R$6+P124),-3)</f>
        <v>415000</v>
      </c>
      <c r="R124" s="89"/>
      <c r="S124" s="9"/>
      <c r="T124" s="9"/>
      <c r="U124" s="9"/>
      <c r="V124" s="49">
        <f t="shared" si="342"/>
        <v>320600</v>
      </c>
      <c r="W124" s="133"/>
      <c r="X124" s="9"/>
      <c r="Y124" s="46"/>
      <c r="Z124" s="9"/>
      <c r="AA124" s="46">
        <f t="shared" si="279"/>
        <v>291900</v>
      </c>
      <c r="AB124" s="133"/>
      <c r="AC124" s="9"/>
      <c r="AD124" s="9"/>
      <c r="AE124" s="9"/>
      <c r="AF124" s="49">
        <f t="shared" si="368"/>
        <v>314000</v>
      </c>
      <c r="AG124" s="89"/>
      <c r="AH124" s="9"/>
      <c r="AI124" s="9"/>
      <c r="AJ124" s="9"/>
      <c r="AK124" s="49">
        <f t="shared" si="343"/>
        <v>327000</v>
      </c>
      <c r="AL124" s="89"/>
      <c r="AM124" s="9"/>
      <c r="AN124" s="9"/>
      <c r="AO124" s="9"/>
      <c r="AP124" s="61">
        <f t="shared" si="344"/>
        <v>340000</v>
      </c>
      <c r="AQ124" s="89"/>
      <c r="AR124" s="9"/>
      <c r="AS124" s="9"/>
      <c r="AT124" s="9"/>
      <c r="AU124" s="61">
        <f t="shared" si="345"/>
        <v>349000</v>
      </c>
      <c r="AW124" s="9"/>
      <c r="AX124" s="9"/>
      <c r="AY124" s="9"/>
      <c r="AZ124" s="49">
        <f t="shared" si="346"/>
        <v>358000</v>
      </c>
      <c r="BA124" s="89"/>
      <c r="BB124" s="9"/>
      <c r="BC124" s="9"/>
      <c r="BD124" s="9"/>
      <c r="BE124" s="49">
        <f t="shared" si="347"/>
        <v>367000</v>
      </c>
      <c r="BF124" s="89"/>
      <c r="BG124" s="9"/>
      <c r="BH124" s="9"/>
      <c r="BI124" s="9"/>
      <c r="BJ124" s="49">
        <f t="shared" si="348"/>
        <v>376000</v>
      </c>
      <c r="BK124" s="89"/>
      <c r="BL124" s="9"/>
      <c r="BM124" s="9"/>
      <c r="BN124" s="9"/>
      <c r="BO124" s="49">
        <f t="shared" si="349"/>
        <v>385000</v>
      </c>
      <c r="BP124" s="89"/>
      <c r="BQ124" s="9"/>
      <c r="BR124" s="9"/>
      <c r="BS124" s="9"/>
      <c r="BT124" s="49">
        <f t="shared" si="350"/>
        <v>395000</v>
      </c>
      <c r="BU124" s="89"/>
      <c r="BV124" s="9"/>
      <c r="BW124" s="9"/>
      <c r="BX124" s="9"/>
      <c r="BY124" s="49">
        <f t="shared" si="351"/>
        <v>405000</v>
      </c>
      <c r="BZ124" s="89"/>
      <c r="CA124" s="9"/>
      <c r="CB124" s="9"/>
      <c r="CC124" s="9"/>
      <c r="CD124" s="46">
        <f t="shared" si="352"/>
        <v>415000</v>
      </c>
      <c r="CE124" s="1406">
        <v>1</v>
      </c>
      <c r="CF124" s="833">
        <f t="shared" ref="CF124:CF125" si="411">CE124</f>
        <v>1</v>
      </c>
      <c r="CG124" s="833">
        <f t="shared" ref="CG124:CG125" si="412">CF124</f>
        <v>1</v>
      </c>
      <c r="CH124" s="833">
        <f t="shared" ref="CH124:CH125" si="413">CG124</f>
        <v>1</v>
      </c>
      <c r="CI124" s="833">
        <f t="shared" ref="CI124:CI125" si="414">CH124</f>
        <v>1</v>
      </c>
      <c r="CJ124" s="833">
        <f t="shared" ref="CJ124:CJ125" si="415">CI124</f>
        <v>1</v>
      </c>
      <c r="CK124" s="833">
        <f t="shared" ref="CK124:CK125" si="416">CJ124</f>
        <v>1</v>
      </c>
      <c r="CL124" s="833">
        <f t="shared" ref="CL124:CL125" si="417">CK124</f>
        <v>1</v>
      </c>
      <c r="CM124" s="833">
        <f t="shared" ref="CM124:CN125" si="418">CL124</f>
        <v>1</v>
      </c>
      <c r="CN124" s="833">
        <f t="shared" si="418"/>
        <v>1</v>
      </c>
      <c r="CO124" s="833">
        <f t="shared" si="354"/>
        <v>1</v>
      </c>
      <c r="CP124" s="833">
        <f t="shared" si="354"/>
        <v>1</v>
      </c>
      <c r="CQ124" s="833">
        <f t="shared" si="354"/>
        <v>1</v>
      </c>
      <c r="CR124" s="833"/>
      <c r="CS124" s="1125">
        <f t="shared" si="355"/>
        <v>321000</v>
      </c>
      <c r="CT124" s="31">
        <f t="shared" si="356"/>
        <v>292000</v>
      </c>
      <c r="CU124" s="31">
        <f t="shared" si="357"/>
        <v>314000</v>
      </c>
      <c r="CV124" s="31">
        <f t="shared" si="358"/>
        <v>327000</v>
      </c>
      <c r="CW124" s="31">
        <f t="shared" si="359"/>
        <v>340000</v>
      </c>
      <c r="CX124" s="31">
        <f t="shared" si="360"/>
        <v>349000</v>
      </c>
      <c r="CY124" s="31">
        <f t="shared" si="361"/>
        <v>358000</v>
      </c>
      <c r="CZ124" s="31">
        <f t="shared" si="362"/>
        <v>367000</v>
      </c>
      <c r="DA124" s="31">
        <f t="shared" si="363"/>
        <v>376000</v>
      </c>
      <c r="DB124" s="31">
        <f t="shared" si="364"/>
        <v>385000</v>
      </c>
      <c r="DC124" s="31">
        <f t="shared" si="365"/>
        <v>395000</v>
      </c>
      <c r="DD124" s="31">
        <f t="shared" si="366"/>
        <v>405000</v>
      </c>
      <c r="DE124" s="78">
        <f t="shared" si="366"/>
        <v>415000</v>
      </c>
    </row>
    <row r="125" spans="1:109" x14ac:dyDescent="0.2">
      <c r="A125" s="615" t="s">
        <v>4711</v>
      </c>
      <c r="B125" s="1356" t="s">
        <v>1287</v>
      </c>
      <c r="C125" s="1337"/>
      <c r="D125" s="1331" t="s">
        <v>5046</v>
      </c>
      <c r="E125" s="350">
        <v>277000</v>
      </c>
      <c r="F125" s="29">
        <f>+F317</f>
        <v>212600</v>
      </c>
      <c r="G125" s="79">
        <f>342000+38800</f>
        <v>380800</v>
      </c>
      <c r="H125" s="79">
        <f>ROUND((G125*Assumptions!I$6+G125),-3)-40000</f>
        <v>356000</v>
      </c>
      <c r="I125" s="29">
        <f>ROUND((H125*Assumptions!J$6+H125),-3)</f>
        <v>370000</v>
      </c>
      <c r="J125" s="29">
        <f>ROUND((I125*Assumptions!K$6+I125),-3)</f>
        <v>379000</v>
      </c>
      <c r="K125" s="9">
        <f>ROUND((J125*Assumptions!L$6+J125),-3)</f>
        <v>388000</v>
      </c>
      <c r="L125" s="9">
        <f>ROUND((K125*Assumptions!M$6+K125),-3)</f>
        <v>398000</v>
      </c>
      <c r="M125" s="89">
        <f>ROUND((L125*Assumptions!N$6+L125),-3)</f>
        <v>408000</v>
      </c>
      <c r="N125" s="9">
        <f>ROUND((M125*Assumptions!O$6+M125),-3)</f>
        <v>418000</v>
      </c>
      <c r="O125" s="9">
        <f>ROUND((N125*Assumptions!P$6+N125),-3)</f>
        <v>428000</v>
      </c>
      <c r="P125" s="9">
        <f>ROUND((O125*Assumptions!Q$6+O125),-3)</f>
        <v>439000</v>
      </c>
      <c r="Q125" s="49">
        <f>ROUND((P125*Assumptions!R$6+P125),-3)</f>
        <v>450000</v>
      </c>
      <c r="R125" s="89"/>
      <c r="S125" s="9"/>
      <c r="T125" s="9"/>
      <c r="U125" s="9"/>
      <c r="V125" s="49">
        <f t="shared" si="342"/>
        <v>277000</v>
      </c>
      <c r="W125" s="133"/>
      <c r="X125" s="9"/>
      <c r="Y125" s="46"/>
      <c r="Z125" s="9"/>
      <c r="AA125" s="46">
        <f t="shared" si="279"/>
        <v>212600</v>
      </c>
      <c r="AB125" s="133"/>
      <c r="AC125" s="9"/>
      <c r="AD125" s="9"/>
      <c r="AE125" s="9">
        <v>38800</v>
      </c>
      <c r="AF125" s="49">
        <f t="shared" si="368"/>
        <v>342000</v>
      </c>
      <c r="AG125" s="89"/>
      <c r="AH125" s="9"/>
      <c r="AI125" s="9"/>
      <c r="AJ125" s="9"/>
      <c r="AK125" s="49">
        <f t="shared" si="343"/>
        <v>356000</v>
      </c>
      <c r="AL125" s="89"/>
      <c r="AM125" s="9"/>
      <c r="AN125" s="9"/>
      <c r="AO125" s="9"/>
      <c r="AP125" s="61">
        <f t="shared" si="344"/>
        <v>370000</v>
      </c>
      <c r="AQ125" s="89"/>
      <c r="AR125" s="9"/>
      <c r="AS125" s="9"/>
      <c r="AT125" s="9"/>
      <c r="AU125" s="61">
        <f t="shared" si="345"/>
        <v>379000</v>
      </c>
      <c r="AW125" s="9"/>
      <c r="AX125" s="9"/>
      <c r="AY125" s="9"/>
      <c r="AZ125" s="49">
        <f t="shared" si="346"/>
        <v>388000</v>
      </c>
      <c r="BA125" s="89"/>
      <c r="BB125" s="9"/>
      <c r="BC125" s="9"/>
      <c r="BD125" s="9"/>
      <c r="BE125" s="49">
        <f t="shared" si="347"/>
        <v>398000</v>
      </c>
      <c r="BF125" s="89"/>
      <c r="BG125" s="9"/>
      <c r="BH125" s="9"/>
      <c r="BI125" s="9"/>
      <c r="BJ125" s="49">
        <f t="shared" si="348"/>
        <v>408000</v>
      </c>
      <c r="BK125" s="89"/>
      <c r="BL125" s="9"/>
      <c r="BM125" s="9"/>
      <c r="BN125" s="9"/>
      <c r="BO125" s="49">
        <f t="shared" si="349"/>
        <v>418000</v>
      </c>
      <c r="BP125" s="89"/>
      <c r="BQ125" s="9"/>
      <c r="BR125" s="9"/>
      <c r="BS125" s="9"/>
      <c r="BT125" s="49">
        <f t="shared" si="350"/>
        <v>428000</v>
      </c>
      <c r="BU125" s="89"/>
      <c r="BV125" s="9"/>
      <c r="BW125" s="9"/>
      <c r="BX125" s="9"/>
      <c r="BY125" s="49">
        <f t="shared" si="351"/>
        <v>439000</v>
      </c>
      <c r="BZ125" s="89"/>
      <c r="CA125" s="9"/>
      <c r="CB125" s="9"/>
      <c r="CC125" s="9"/>
      <c r="CD125" s="46">
        <f t="shared" si="352"/>
        <v>450000</v>
      </c>
      <c r="CE125" s="1406">
        <v>1</v>
      </c>
      <c r="CF125" s="833">
        <f t="shared" si="411"/>
        <v>1</v>
      </c>
      <c r="CG125" s="833">
        <f t="shared" si="412"/>
        <v>1</v>
      </c>
      <c r="CH125" s="833">
        <f t="shared" si="413"/>
        <v>1</v>
      </c>
      <c r="CI125" s="833">
        <f t="shared" si="414"/>
        <v>1</v>
      </c>
      <c r="CJ125" s="833">
        <f t="shared" si="415"/>
        <v>1</v>
      </c>
      <c r="CK125" s="833">
        <f t="shared" si="416"/>
        <v>1</v>
      </c>
      <c r="CL125" s="833">
        <f t="shared" si="417"/>
        <v>1</v>
      </c>
      <c r="CM125" s="833">
        <f t="shared" si="418"/>
        <v>1</v>
      </c>
      <c r="CN125" s="833">
        <f t="shared" si="418"/>
        <v>1</v>
      </c>
      <c r="CO125" s="833">
        <f t="shared" si="354"/>
        <v>1</v>
      </c>
      <c r="CP125" s="833">
        <f t="shared" si="354"/>
        <v>1</v>
      </c>
      <c r="CQ125" s="833">
        <f t="shared" si="354"/>
        <v>1</v>
      </c>
      <c r="CR125" s="833"/>
      <c r="CS125" s="1125">
        <f t="shared" si="355"/>
        <v>277000</v>
      </c>
      <c r="CT125" s="31">
        <f t="shared" si="356"/>
        <v>213000</v>
      </c>
      <c r="CU125" s="31">
        <f t="shared" si="357"/>
        <v>381000</v>
      </c>
      <c r="CV125" s="31">
        <f t="shared" si="358"/>
        <v>356000</v>
      </c>
      <c r="CW125" s="31">
        <f t="shared" si="359"/>
        <v>370000</v>
      </c>
      <c r="CX125" s="31">
        <f t="shared" si="360"/>
        <v>379000</v>
      </c>
      <c r="CY125" s="31">
        <f t="shared" si="361"/>
        <v>388000</v>
      </c>
      <c r="CZ125" s="31">
        <f t="shared" si="362"/>
        <v>398000</v>
      </c>
      <c r="DA125" s="31">
        <f t="shared" si="363"/>
        <v>408000</v>
      </c>
      <c r="DB125" s="31">
        <f t="shared" si="364"/>
        <v>418000</v>
      </c>
      <c r="DC125" s="31">
        <f t="shared" si="365"/>
        <v>428000</v>
      </c>
      <c r="DD125" s="31">
        <f t="shared" si="366"/>
        <v>439000</v>
      </c>
      <c r="DE125" s="78">
        <f t="shared" si="366"/>
        <v>450000</v>
      </c>
    </row>
    <row r="126" spans="1:109" x14ac:dyDescent="0.2">
      <c r="A126" s="615" t="s">
        <v>4788</v>
      </c>
      <c r="B126" s="1356" t="s">
        <v>1287</v>
      </c>
      <c r="C126" s="1337"/>
      <c r="D126" s="1331" t="s">
        <v>5046</v>
      </c>
      <c r="E126" s="350">
        <v>175500</v>
      </c>
      <c r="F126" s="29">
        <f>+F353</f>
        <v>133800</v>
      </c>
      <c r="G126" s="9">
        <f>175000+9700+34200</f>
        <v>218900</v>
      </c>
      <c r="H126" s="79">
        <f>ROUND((G126*Assumptions!I$6+G126),-3)-46000</f>
        <v>182000</v>
      </c>
      <c r="I126" s="29">
        <f>ROUND((H126*Assumptions!J$6+H126),-3)</f>
        <v>189000</v>
      </c>
      <c r="J126" s="29">
        <f>ROUND((I126*Assumptions!K$6+I126),-3)</f>
        <v>194000</v>
      </c>
      <c r="K126" s="9">
        <f>ROUND((J126*Assumptions!L$6+J126),-3)</f>
        <v>199000</v>
      </c>
      <c r="L126" s="9">
        <f>ROUND((K126*Assumptions!M$6+K126),-3)</f>
        <v>204000</v>
      </c>
      <c r="M126" s="89">
        <f>ROUND((L126*Assumptions!N$6+L126),-3)</f>
        <v>209000</v>
      </c>
      <c r="N126" s="9">
        <f>ROUND((M126*Assumptions!O$6+M126),-3)</f>
        <v>214000</v>
      </c>
      <c r="O126" s="9">
        <f>ROUND((N126*Assumptions!P$6+N126),-3)</f>
        <v>219000</v>
      </c>
      <c r="P126" s="9">
        <f>ROUND((O126*Assumptions!Q$6+O126),-3)</f>
        <v>224000</v>
      </c>
      <c r="Q126" s="49">
        <f>ROUND((P126*Assumptions!R$6+P126),-3)</f>
        <v>230000</v>
      </c>
      <c r="R126" s="89"/>
      <c r="S126" s="9"/>
      <c r="T126" s="9"/>
      <c r="U126" s="9"/>
      <c r="V126" s="49">
        <f t="shared" si="342"/>
        <v>175500</v>
      </c>
      <c r="W126" s="133"/>
      <c r="X126" s="9"/>
      <c r="Y126" s="46"/>
      <c r="Z126" s="9"/>
      <c r="AA126" s="46">
        <f t="shared" si="279"/>
        <v>133800</v>
      </c>
      <c r="AB126" s="133"/>
      <c r="AC126" s="9"/>
      <c r="AD126" s="9"/>
      <c r="AE126" s="9">
        <f>9700+34200</f>
        <v>43900</v>
      </c>
      <c r="AF126" s="49">
        <f t="shared" si="368"/>
        <v>175000</v>
      </c>
      <c r="AG126" s="89"/>
      <c r="AH126" s="9"/>
      <c r="AI126" s="9"/>
      <c r="AJ126" s="9"/>
      <c r="AK126" s="49">
        <f t="shared" si="343"/>
        <v>182000</v>
      </c>
      <c r="AL126" s="89"/>
      <c r="AM126" s="9"/>
      <c r="AN126" s="9"/>
      <c r="AO126" s="9"/>
      <c r="AP126" s="61">
        <f t="shared" si="344"/>
        <v>189000</v>
      </c>
      <c r="AQ126" s="89"/>
      <c r="AR126" s="9"/>
      <c r="AS126" s="9"/>
      <c r="AT126" s="9"/>
      <c r="AU126" s="61">
        <f t="shared" si="345"/>
        <v>194000</v>
      </c>
      <c r="AW126" s="9"/>
      <c r="AX126" s="9"/>
      <c r="AY126" s="9"/>
      <c r="AZ126" s="49">
        <f t="shared" si="346"/>
        <v>199000</v>
      </c>
      <c r="BA126" s="89"/>
      <c r="BB126" s="9"/>
      <c r="BC126" s="9"/>
      <c r="BD126" s="9"/>
      <c r="BE126" s="49">
        <f t="shared" si="347"/>
        <v>204000</v>
      </c>
      <c r="BF126" s="89"/>
      <c r="BG126" s="9"/>
      <c r="BH126" s="9"/>
      <c r="BI126" s="9"/>
      <c r="BJ126" s="49">
        <f t="shared" si="348"/>
        <v>209000</v>
      </c>
      <c r="BK126" s="89"/>
      <c r="BL126" s="9"/>
      <c r="BM126" s="9"/>
      <c r="BN126" s="9"/>
      <c r="BO126" s="49">
        <f t="shared" si="349"/>
        <v>214000</v>
      </c>
      <c r="BP126" s="89"/>
      <c r="BQ126" s="9"/>
      <c r="BR126" s="9"/>
      <c r="BS126" s="9"/>
      <c r="BT126" s="49">
        <f t="shared" si="350"/>
        <v>219000</v>
      </c>
      <c r="BU126" s="89"/>
      <c r="BV126" s="9"/>
      <c r="BW126" s="9"/>
      <c r="BX126" s="9"/>
      <c r="BY126" s="49">
        <f t="shared" si="351"/>
        <v>224000</v>
      </c>
      <c r="BZ126" s="89"/>
      <c r="CA126" s="9"/>
      <c r="CB126" s="9"/>
      <c r="CC126" s="9"/>
      <c r="CD126" s="46">
        <f t="shared" si="352"/>
        <v>230000</v>
      </c>
      <c r="CE126" s="1406">
        <v>1</v>
      </c>
      <c r="CF126" s="833">
        <f t="shared" ref="CF126" si="419">CE126</f>
        <v>1</v>
      </c>
      <c r="CG126" s="833">
        <f t="shared" ref="CG126" si="420">CF126</f>
        <v>1</v>
      </c>
      <c r="CH126" s="833">
        <f t="shared" ref="CH126" si="421">CG126</f>
        <v>1</v>
      </c>
      <c r="CI126" s="833">
        <f t="shared" ref="CI126" si="422">CH126</f>
        <v>1</v>
      </c>
      <c r="CJ126" s="833">
        <f t="shared" ref="CJ126" si="423">CI126</f>
        <v>1</v>
      </c>
      <c r="CK126" s="833">
        <f t="shared" ref="CK126" si="424">CJ126</f>
        <v>1</v>
      </c>
      <c r="CL126" s="833">
        <f t="shared" ref="CL126" si="425">CK126</f>
        <v>1</v>
      </c>
      <c r="CM126" s="833">
        <f t="shared" ref="CM126:CN126" si="426">CL126</f>
        <v>1</v>
      </c>
      <c r="CN126" s="833">
        <f t="shared" si="426"/>
        <v>1</v>
      </c>
      <c r="CO126" s="833">
        <f t="shared" si="354"/>
        <v>1</v>
      </c>
      <c r="CP126" s="833">
        <f t="shared" si="354"/>
        <v>1</v>
      </c>
      <c r="CQ126" s="833">
        <f t="shared" si="354"/>
        <v>1</v>
      </c>
      <c r="CR126" s="833"/>
      <c r="CS126" s="1125">
        <f t="shared" si="355"/>
        <v>176000</v>
      </c>
      <c r="CT126" s="31">
        <f t="shared" si="356"/>
        <v>134000</v>
      </c>
      <c r="CU126" s="31">
        <f t="shared" si="357"/>
        <v>219000</v>
      </c>
      <c r="CV126" s="31">
        <f t="shared" si="358"/>
        <v>182000</v>
      </c>
      <c r="CW126" s="31">
        <f t="shared" si="359"/>
        <v>189000</v>
      </c>
      <c r="CX126" s="31">
        <f t="shared" si="360"/>
        <v>194000</v>
      </c>
      <c r="CY126" s="31">
        <f t="shared" si="361"/>
        <v>199000</v>
      </c>
      <c r="CZ126" s="31">
        <f t="shared" si="362"/>
        <v>204000</v>
      </c>
      <c r="DA126" s="31">
        <f t="shared" si="363"/>
        <v>209000</v>
      </c>
      <c r="DB126" s="31">
        <f t="shared" si="364"/>
        <v>214000</v>
      </c>
      <c r="DC126" s="31">
        <f t="shared" si="365"/>
        <v>219000</v>
      </c>
      <c r="DD126" s="31">
        <f t="shared" si="366"/>
        <v>224000</v>
      </c>
      <c r="DE126" s="78">
        <f t="shared" si="366"/>
        <v>230000</v>
      </c>
    </row>
    <row r="127" spans="1:109" x14ac:dyDescent="0.2">
      <c r="A127" s="615" t="s">
        <v>5241</v>
      </c>
      <c r="B127" s="1360"/>
      <c r="C127" s="1337"/>
      <c r="D127" s="1331" t="s">
        <v>5046</v>
      </c>
      <c r="E127" s="350">
        <v>44700</v>
      </c>
      <c r="F127" s="29"/>
      <c r="G127" s="9">
        <v>0</v>
      </c>
      <c r="H127" s="9">
        <v>0</v>
      </c>
      <c r="I127" s="46">
        <v>0</v>
      </c>
      <c r="J127" s="29">
        <v>100000</v>
      </c>
      <c r="K127" s="9">
        <f>ROUND((J127*Assumptions!L$6+J127),-3)</f>
        <v>103000</v>
      </c>
      <c r="L127" s="9">
        <f>ROUND((K127*Assumptions!M$6+K127),-3)</f>
        <v>106000</v>
      </c>
      <c r="M127" s="89">
        <f>ROUND((L127*Assumptions!N$6+L127),-3)</f>
        <v>109000</v>
      </c>
      <c r="N127" s="9">
        <f>ROUND((M127*Assumptions!O$6+M127),-3)</f>
        <v>112000</v>
      </c>
      <c r="O127" s="9">
        <f>ROUND((N127*Assumptions!P$6+N127),-3)</f>
        <v>115000</v>
      </c>
      <c r="P127" s="9">
        <f>ROUND((O127*Assumptions!Q$6+O127),-3)</f>
        <v>118000</v>
      </c>
      <c r="Q127" s="49">
        <f>ROUND((P127*Assumptions!R$6+P127),-3)</f>
        <v>121000</v>
      </c>
      <c r="R127" s="89"/>
      <c r="S127" s="9"/>
      <c r="T127" s="9"/>
      <c r="U127" s="9">
        <f>E127</f>
        <v>44700</v>
      </c>
      <c r="V127" s="49">
        <f t="shared" si="342"/>
        <v>0</v>
      </c>
      <c r="W127" s="133"/>
      <c r="X127" s="9"/>
      <c r="Y127" s="46"/>
      <c r="Z127" s="9">
        <f>F127</f>
        <v>0</v>
      </c>
      <c r="AA127" s="46">
        <f t="shared" si="279"/>
        <v>0</v>
      </c>
      <c r="AB127" s="133"/>
      <c r="AC127" s="9"/>
      <c r="AD127" s="9"/>
      <c r="AE127" s="9">
        <f>G127</f>
        <v>0</v>
      </c>
      <c r="AF127" s="49">
        <f t="shared" si="368"/>
        <v>0</v>
      </c>
      <c r="AG127" s="89"/>
      <c r="AH127" s="9"/>
      <c r="AI127" s="9"/>
      <c r="AJ127" s="9">
        <f>H127</f>
        <v>0</v>
      </c>
      <c r="AK127" s="49">
        <f t="shared" si="343"/>
        <v>0</v>
      </c>
      <c r="AL127" s="89"/>
      <c r="AM127" s="9"/>
      <c r="AN127" s="9"/>
      <c r="AO127" s="9">
        <f>I127</f>
        <v>0</v>
      </c>
      <c r="AP127" s="61">
        <f t="shared" si="344"/>
        <v>0</v>
      </c>
      <c r="AQ127" s="89"/>
      <c r="AR127" s="9"/>
      <c r="AS127" s="9"/>
      <c r="AT127" s="9">
        <f>J127</f>
        <v>100000</v>
      </c>
      <c r="AU127" s="61">
        <f t="shared" si="345"/>
        <v>0</v>
      </c>
      <c r="AW127" s="9"/>
      <c r="AX127" s="9"/>
      <c r="AY127" s="9">
        <f>K127</f>
        <v>103000</v>
      </c>
      <c r="AZ127" s="49">
        <f t="shared" si="346"/>
        <v>0</v>
      </c>
      <c r="BA127" s="89"/>
      <c r="BB127" s="9"/>
      <c r="BC127" s="9"/>
      <c r="BD127" s="9">
        <f>L127</f>
        <v>106000</v>
      </c>
      <c r="BE127" s="49">
        <f t="shared" si="347"/>
        <v>0</v>
      </c>
      <c r="BF127" s="89"/>
      <c r="BG127" s="9"/>
      <c r="BH127" s="9"/>
      <c r="BI127" s="9">
        <f>M127</f>
        <v>109000</v>
      </c>
      <c r="BJ127" s="49">
        <f t="shared" si="348"/>
        <v>0</v>
      </c>
      <c r="BK127" s="89"/>
      <c r="BL127" s="9"/>
      <c r="BM127" s="9"/>
      <c r="BN127" s="9">
        <f>N127</f>
        <v>112000</v>
      </c>
      <c r="BO127" s="49">
        <f t="shared" si="349"/>
        <v>0</v>
      </c>
      <c r="BP127" s="89"/>
      <c r="BQ127" s="9"/>
      <c r="BR127" s="9"/>
      <c r="BS127" s="9">
        <f>O127</f>
        <v>115000</v>
      </c>
      <c r="BT127" s="49">
        <f t="shared" si="350"/>
        <v>0</v>
      </c>
      <c r="BU127" s="89"/>
      <c r="BV127" s="9"/>
      <c r="BW127" s="9"/>
      <c r="BX127" s="9">
        <f>P127</f>
        <v>118000</v>
      </c>
      <c r="BY127" s="49">
        <f t="shared" si="351"/>
        <v>0</v>
      </c>
      <c r="BZ127" s="89"/>
      <c r="CA127" s="9"/>
      <c r="CB127" s="9"/>
      <c r="CC127" s="9">
        <f>Q127</f>
        <v>121000</v>
      </c>
      <c r="CD127" s="46">
        <f t="shared" si="352"/>
        <v>0</v>
      </c>
      <c r="CE127" s="1406">
        <v>1</v>
      </c>
      <c r="CF127" s="833">
        <f t="shared" ref="CF127:CN127" si="427">CE127</f>
        <v>1</v>
      </c>
      <c r="CG127" s="833">
        <f t="shared" si="427"/>
        <v>1</v>
      </c>
      <c r="CH127" s="833">
        <f t="shared" si="427"/>
        <v>1</v>
      </c>
      <c r="CI127" s="833">
        <f t="shared" si="427"/>
        <v>1</v>
      </c>
      <c r="CJ127" s="833">
        <f t="shared" si="427"/>
        <v>1</v>
      </c>
      <c r="CK127" s="833">
        <f t="shared" si="427"/>
        <v>1</v>
      </c>
      <c r="CL127" s="833">
        <f t="shared" si="427"/>
        <v>1</v>
      </c>
      <c r="CM127" s="833">
        <f t="shared" si="427"/>
        <v>1</v>
      </c>
      <c r="CN127" s="833">
        <f t="shared" si="427"/>
        <v>1</v>
      </c>
      <c r="CO127" s="833">
        <f t="shared" si="354"/>
        <v>1</v>
      </c>
      <c r="CP127" s="833">
        <f t="shared" si="354"/>
        <v>1</v>
      </c>
      <c r="CQ127" s="833">
        <f t="shared" si="354"/>
        <v>1</v>
      </c>
      <c r="CR127" s="833"/>
      <c r="CS127" s="1125">
        <f t="shared" si="355"/>
        <v>45000</v>
      </c>
      <c r="CT127" s="31">
        <f t="shared" si="356"/>
        <v>0</v>
      </c>
      <c r="CU127" s="31">
        <f t="shared" si="357"/>
        <v>0</v>
      </c>
      <c r="CV127" s="31">
        <f t="shared" si="358"/>
        <v>0</v>
      </c>
      <c r="CW127" s="31">
        <f t="shared" si="359"/>
        <v>0</v>
      </c>
      <c r="CX127" s="31">
        <f t="shared" si="360"/>
        <v>100000</v>
      </c>
      <c r="CY127" s="31">
        <f t="shared" si="361"/>
        <v>103000</v>
      </c>
      <c r="CZ127" s="31">
        <f t="shared" si="362"/>
        <v>106000</v>
      </c>
      <c r="DA127" s="31">
        <f t="shared" si="363"/>
        <v>109000</v>
      </c>
      <c r="DB127" s="31">
        <f t="shared" si="364"/>
        <v>112000</v>
      </c>
      <c r="DC127" s="31">
        <f t="shared" si="365"/>
        <v>115000</v>
      </c>
      <c r="DD127" s="31">
        <f t="shared" si="366"/>
        <v>118000</v>
      </c>
      <c r="DE127" s="78">
        <f t="shared" si="366"/>
        <v>121000</v>
      </c>
    </row>
    <row r="128" spans="1:109" x14ac:dyDescent="0.2">
      <c r="A128" s="615" t="s">
        <v>5557</v>
      </c>
      <c r="B128" s="1360"/>
      <c r="C128" s="1337"/>
      <c r="D128" s="1331" t="s">
        <v>5046</v>
      </c>
      <c r="E128" s="350">
        <v>199700</v>
      </c>
      <c r="F128" s="29">
        <f>+F296</f>
        <v>70700</v>
      </c>
      <c r="G128" s="9">
        <f>200000+27400</f>
        <v>227400</v>
      </c>
      <c r="H128" s="9">
        <v>0</v>
      </c>
      <c r="I128" s="29">
        <v>0</v>
      </c>
      <c r="J128" s="29">
        <v>100000</v>
      </c>
      <c r="K128" s="9">
        <f>ROUND((J128*Assumptions!L$6+J128),-3)</f>
        <v>103000</v>
      </c>
      <c r="L128" s="9">
        <f>ROUND((K128*Assumptions!M$6+K128),-3)</f>
        <v>106000</v>
      </c>
      <c r="M128" s="89">
        <f>ROUND((L128*Assumptions!N$6+L128),-3)</f>
        <v>109000</v>
      </c>
      <c r="N128" s="9">
        <f>ROUND((M128*Assumptions!O$6+M128),-3)</f>
        <v>112000</v>
      </c>
      <c r="O128" s="9">
        <f>ROUND((N128*Assumptions!P$6+N128),-3)</f>
        <v>115000</v>
      </c>
      <c r="P128" s="9">
        <f>ROUND((O128*Assumptions!Q$6+O128),-3)</f>
        <v>118000</v>
      </c>
      <c r="Q128" s="49">
        <f>ROUND((P128*Assumptions!R$6+P128),-3)</f>
        <v>121000</v>
      </c>
      <c r="R128" s="89"/>
      <c r="S128" s="9"/>
      <c r="T128" s="9"/>
      <c r="U128" s="9">
        <f>E128</f>
        <v>199700</v>
      </c>
      <c r="V128" s="49">
        <f t="shared" si="342"/>
        <v>0</v>
      </c>
      <c r="W128" s="133"/>
      <c r="X128" s="9"/>
      <c r="Y128" s="46"/>
      <c r="Z128" s="9">
        <f>F128</f>
        <v>70700</v>
      </c>
      <c r="AA128" s="46">
        <f t="shared" si="279"/>
        <v>0</v>
      </c>
      <c r="AB128" s="133"/>
      <c r="AC128" s="9"/>
      <c r="AD128" s="9"/>
      <c r="AE128" s="9">
        <f>G128</f>
        <v>227400</v>
      </c>
      <c r="AF128" s="49">
        <f t="shared" si="368"/>
        <v>0</v>
      </c>
      <c r="AG128" s="89"/>
      <c r="AH128" s="9"/>
      <c r="AI128" s="9"/>
      <c r="AJ128" s="9">
        <f>H128</f>
        <v>0</v>
      </c>
      <c r="AK128" s="49">
        <f t="shared" si="343"/>
        <v>0</v>
      </c>
      <c r="AL128" s="89"/>
      <c r="AM128" s="9"/>
      <c r="AN128" s="9"/>
      <c r="AO128" s="9">
        <f>I128</f>
        <v>0</v>
      </c>
      <c r="AP128" s="61">
        <f t="shared" si="344"/>
        <v>0</v>
      </c>
      <c r="AQ128" s="89"/>
      <c r="AR128" s="9"/>
      <c r="AS128" s="9"/>
      <c r="AT128" s="9">
        <f>J128</f>
        <v>100000</v>
      </c>
      <c r="AU128" s="61">
        <f t="shared" si="345"/>
        <v>0</v>
      </c>
      <c r="AW128" s="9"/>
      <c r="AX128" s="9"/>
      <c r="AY128" s="9">
        <f>K128</f>
        <v>103000</v>
      </c>
      <c r="AZ128" s="49">
        <f t="shared" si="346"/>
        <v>0</v>
      </c>
      <c r="BA128" s="89"/>
      <c r="BB128" s="9"/>
      <c r="BC128" s="9"/>
      <c r="BD128" s="9">
        <f>L128</f>
        <v>106000</v>
      </c>
      <c r="BE128" s="49">
        <f t="shared" si="347"/>
        <v>0</v>
      </c>
      <c r="BF128" s="89"/>
      <c r="BG128" s="9"/>
      <c r="BH128" s="9"/>
      <c r="BI128" s="9">
        <f>M128</f>
        <v>109000</v>
      </c>
      <c r="BJ128" s="49">
        <f t="shared" si="348"/>
        <v>0</v>
      </c>
      <c r="BK128" s="89"/>
      <c r="BL128" s="9"/>
      <c r="BM128" s="9"/>
      <c r="BN128" s="9">
        <f>N128</f>
        <v>112000</v>
      </c>
      <c r="BO128" s="49">
        <f t="shared" si="349"/>
        <v>0</v>
      </c>
      <c r="BP128" s="89"/>
      <c r="BQ128" s="9"/>
      <c r="BR128" s="9"/>
      <c r="BS128" s="9">
        <f>O128</f>
        <v>115000</v>
      </c>
      <c r="BT128" s="49">
        <f t="shared" si="350"/>
        <v>0</v>
      </c>
      <c r="BU128" s="89"/>
      <c r="BV128" s="9"/>
      <c r="BW128" s="9"/>
      <c r="BX128" s="9">
        <f>P128</f>
        <v>118000</v>
      </c>
      <c r="BY128" s="49">
        <f t="shared" si="351"/>
        <v>0</v>
      </c>
      <c r="BZ128" s="89"/>
      <c r="CA128" s="9"/>
      <c r="CB128" s="9"/>
      <c r="CC128" s="9">
        <f>Q128</f>
        <v>121000</v>
      </c>
      <c r="CD128" s="46">
        <f t="shared" si="352"/>
        <v>0</v>
      </c>
      <c r="CE128" s="1406">
        <v>1</v>
      </c>
      <c r="CF128" s="833">
        <f t="shared" ref="CF128:CN131" si="428">CE128</f>
        <v>1</v>
      </c>
      <c r="CG128" s="833">
        <f t="shared" si="428"/>
        <v>1</v>
      </c>
      <c r="CH128" s="833">
        <f t="shared" si="428"/>
        <v>1</v>
      </c>
      <c r="CI128" s="833">
        <f t="shared" si="428"/>
        <v>1</v>
      </c>
      <c r="CJ128" s="833">
        <f t="shared" si="428"/>
        <v>1</v>
      </c>
      <c r="CK128" s="833">
        <f t="shared" si="428"/>
        <v>1</v>
      </c>
      <c r="CL128" s="833">
        <f t="shared" si="428"/>
        <v>1</v>
      </c>
      <c r="CM128" s="833">
        <f t="shared" si="428"/>
        <v>1</v>
      </c>
      <c r="CN128" s="833">
        <f t="shared" si="428"/>
        <v>1</v>
      </c>
      <c r="CO128" s="833">
        <f t="shared" si="354"/>
        <v>1</v>
      </c>
      <c r="CP128" s="833">
        <f t="shared" si="354"/>
        <v>1</v>
      </c>
      <c r="CQ128" s="833">
        <f t="shared" si="354"/>
        <v>1</v>
      </c>
      <c r="CR128" s="833"/>
      <c r="CS128" s="1125">
        <f t="shared" si="355"/>
        <v>200000</v>
      </c>
      <c r="CT128" s="31">
        <f t="shared" si="356"/>
        <v>71000</v>
      </c>
      <c r="CU128" s="31">
        <f t="shared" si="357"/>
        <v>227000</v>
      </c>
      <c r="CV128" s="31">
        <f t="shared" si="358"/>
        <v>0</v>
      </c>
      <c r="CW128" s="31">
        <f t="shared" si="359"/>
        <v>0</v>
      </c>
      <c r="CX128" s="31">
        <f t="shared" si="360"/>
        <v>100000</v>
      </c>
      <c r="CY128" s="31">
        <f t="shared" si="361"/>
        <v>103000</v>
      </c>
      <c r="CZ128" s="31">
        <f t="shared" si="362"/>
        <v>106000</v>
      </c>
      <c r="DA128" s="31">
        <f t="shared" si="363"/>
        <v>109000</v>
      </c>
      <c r="DB128" s="31">
        <f t="shared" si="364"/>
        <v>112000</v>
      </c>
      <c r="DC128" s="31">
        <f t="shared" si="365"/>
        <v>115000</v>
      </c>
      <c r="DD128" s="31">
        <f t="shared" si="366"/>
        <v>118000</v>
      </c>
      <c r="DE128" s="78">
        <f t="shared" si="366"/>
        <v>121000</v>
      </c>
    </row>
    <row r="129" spans="1:109" x14ac:dyDescent="0.2">
      <c r="A129" s="615" t="s">
        <v>11865</v>
      </c>
      <c r="B129" s="1360"/>
      <c r="C129" s="1337"/>
      <c r="D129" s="1331" t="s">
        <v>5046</v>
      </c>
      <c r="E129" s="350"/>
      <c r="F129" s="29"/>
      <c r="G129" s="9">
        <f>+G334+G335+G336</f>
        <v>355000</v>
      </c>
      <c r="H129" s="9"/>
      <c r="I129" s="29">
        <v>0</v>
      </c>
      <c r="J129" s="29">
        <v>100000</v>
      </c>
      <c r="K129" s="9">
        <f>ROUND((J129*Assumptions!L$6+J129),-3)</f>
        <v>103000</v>
      </c>
      <c r="L129" s="9">
        <f>ROUND((K129*Assumptions!M$6+K129),-3)</f>
        <v>106000</v>
      </c>
      <c r="M129" s="89">
        <f>ROUND((L129*Assumptions!N$6+L129),-3)</f>
        <v>109000</v>
      </c>
      <c r="N129" s="9">
        <f>ROUND((M129*Assumptions!O$6+M129),-3)</f>
        <v>112000</v>
      </c>
      <c r="O129" s="9">
        <f>ROUND((N129*Assumptions!P$6+N129),-3)</f>
        <v>115000</v>
      </c>
      <c r="P129" s="9">
        <f>ROUND((O129*Assumptions!Q$6+O129),-3)</f>
        <v>118000</v>
      </c>
      <c r="Q129" s="49">
        <f>ROUND((P129*Assumptions!R$6+P129),-3)</f>
        <v>121000</v>
      </c>
      <c r="R129" s="89"/>
      <c r="S129" s="9"/>
      <c r="T129" s="9"/>
      <c r="U129" s="9"/>
      <c r="V129" s="49"/>
      <c r="W129" s="133"/>
      <c r="X129" s="9"/>
      <c r="Y129" s="46"/>
      <c r="Z129" s="9"/>
      <c r="AB129" s="133"/>
      <c r="AC129" s="9"/>
      <c r="AD129" s="9"/>
      <c r="AE129" s="9">
        <f>+G129</f>
        <v>355000</v>
      </c>
      <c r="AF129" s="49">
        <f t="shared" si="368"/>
        <v>0</v>
      </c>
      <c r="AG129" s="89"/>
      <c r="AH129" s="9"/>
      <c r="AI129" s="9"/>
      <c r="AJ129" s="9">
        <f>H129</f>
        <v>0</v>
      </c>
      <c r="AK129" s="49">
        <f t="shared" ref="AK129" si="429">H129-AG129-AH129-AI129-AJ129</f>
        <v>0</v>
      </c>
      <c r="AL129" s="89"/>
      <c r="AM129" s="9"/>
      <c r="AN129" s="9"/>
      <c r="AO129" s="9">
        <f>I129</f>
        <v>0</v>
      </c>
      <c r="AP129" s="61">
        <f t="shared" ref="AP129" si="430">I129-AL129-AM129-AN129-AO129</f>
        <v>0</v>
      </c>
      <c r="AQ129" s="89"/>
      <c r="AR129" s="9"/>
      <c r="AS129" s="9"/>
      <c r="AT129" s="9">
        <f>J129</f>
        <v>100000</v>
      </c>
      <c r="AU129" s="61">
        <f t="shared" ref="AU129" si="431">J129-AQ129-AR129-AS129-AT129</f>
        <v>0</v>
      </c>
      <c r="AW129" s="9"/>
      <c r="AX129" s="9"/>
      <c r="AY129" s="9">
        <f>K129</f>
        <v>103000</v>
      </c>
      <c r="AZ129" s="49">
        <f t="shared" ref="AZ129" si="432">K129-AV129-AW129-AX129-AY129</f>
        <v>0</v>
      </c>
      <c r="BA129" s="89"/>
      <c r="BB129" s="9"/>
      <c r="BC129" s="9"/>
      <c r="BD129" s="9">
        <f>L129</f>
        <v>106000</v>
      </c>
      <c r="BE129" s="49">
        <f t="shared" ref="BE129" si="433">L129-BA129-BB129-BC129-BD129</f>
        <v>0</v>
      </c>
      <c r="BF129" s="89"/>
      <c r="BG129" s="9"/>
      <c r="BH129" s="9"/>
      <c r="BI129" s="9">
        <f>M129</f>
        <v>109000</v>
      </c>
      <c r="BJ129" s="49">
        <f t="shared" ref="BJ129" si="434">M129-BF129-BG129-BH129-BI129</f>
        <v>0</v>
      </c>
      <c r="BK129" s="89"/>
      <c r="BL129" s="9"/>
      <c r="BM129" s="9"/>
      <c r="BN129" s="9">
        <f>N129</f>
        <v>112000</v>
      </c>
      <c r="BO129" s="49">
        <f t="shared" ref="BO129" si="435">N129-BK129-BL129-BM129-BN129</f>
        <v>0</v>
      </c>
      <c r="BP129" s="89"/>
      <c r="BQ129" s="9"/>
      <c r="BR129" s="9"/>
      <c r="BS129" s="9">
        <f>O129</f>
        <v>115000</v>
      </c>
      <c r="BT129" s="49">
        <f t="shared" ref="BT129" si="436">O129-BP129-BQ129-BR129-BS129</f>
        <v>0</v>
      </c>
      <c r="BU129" s="89"/>
      <c r="BV129" s="9"/>
      <c r="BW129" s="9"/>
      <c r="BX129" s="9">
        <f>P129</f>
        <v>118000</v>
      </c>
      <c r="BY129" s="49">
        <f t="shared" ref="BY129" si="437">P129-BU129-BV129-BW129-BX129</f>
        <v>0</v>
      </c>
      <c r="BZ129" s="89"/>
      <c r="CA129" s="9"/>
      <c r="CB129" s="9"/>
      <c r="CC129" s="9">
        <f>Q129</f>
        <v>121000</v>
      </c>
      <c r="CD129" s="46">
        <f t="shared" ref="CD129" si="438">Q129-BZ129-CA129-CB129-CC129</f>
        <v>0</v>
      </c>
      <c r="CE129" s="1406"/>
      <c r="CF129" s="833"/>
      <c r="CG129" s="833"/>
      <c r="CH129" s="833"/>
      <c r="CI129" s="833"/>
      <c r="CJ129" s="833"/>
      <c r="CK129" s="833"/>
      <c r="CL129" s="833"/>
      <c r="CM129" s="833"/>
      <c r="CN129" s="833"/>
      <c r="CO129" s="833"/>
      <c r="CP129" s="833"/>
      <c r="CQ129" s="833"/>
      <c r="CR129" s="833"/>
      <c r="CS129" s="1125"/>
      <c r="CT129" s="31"/>
      <c r="CU129" s="31"/>
      <c r="CV129" s="31"/>
      <c r="CW129" s="31"/>
      <c r="CX129" s="31"/>
      <c r="CY129" s="31"/>
      <c r="CZ129" s="31"/>
      <c r="DA129" s="31"/>
      <c r="DB129" s="31"/>
      <c r="DC129" s="31"/>
      <c r="DD129" s="31"/>
      <c r="DE129" s="78"/>
    </row>
    <row r="130" spans="1:109" x14ac:dyDescent="0.2">
      <c r="A130" s="615" t="s">
        <v>7086</v>
      </c>
      <c r="B130" s="1368"/>
      <c r="C130" s="1346"/>
      <c r="D130" s="1331"/>
      <c r="E130" s="350"/>
      <c r="F130" s="9"/>
      <c r="G130" s="9"/>
      <c r="H130" s="9">
        <v>2500000</v>
      </c>
      <c r="I130" s="9"/>
      <c r="J130" s="29"/>
      <c r="K130" s="9"/>
      <c r="L130" s="9"/>
      <c r="M130" s="89"/>
      <c r="N130" s="9"/>
      <c r="O130" s="9"/>
      <c r="P130" s="9"/>
      <c r="Q130" s="49"/>
      <c r="R130" s="89"/>
      <c r="S130" s="9"/>
      <c r="T130" s="9"/>
      <c r="U130" s="9"/>
      <c r="V130" s="49">
        <f t="shared" si="342"/>
        <v>0</v>
      </c>
      <c r="W130" s="133"/>
      <c r="X130" s="9"/>
      <c r="Y130" s="46"/>
      <c r="Z130" s="9"/>
      <c r="AA130" s="46">
        <f t="shared" si="279"/>
        <v>0</v>
      </c>
      <c r="AB130" s="133"/>
      <c r="AC130" s="9"/>
      <c r="AD130" s="9"/>
      <c r="AE130" s="9"/>
      <c r="AF130" s="49">
        <f t="shared" si="368"/>
        <v>0</v>
      </c>
      <c r="AG130" s="89"/>
      <c r="AH130" s="9"/>
      <c r="AI130" s="9">
        <f>'Cap Inc'!G156</f>
        <v>2500000</v>
      </c>
      <c r="AJ130" s="9"/>
      <c r="AK130" s="49">
        <f t="shared" si="343"/>
        <v>0</v>
      </c>
      <c r="AL130" s="89"/>
      <c r="AM130" s="9"/>
      <c r="AN130" s="9"/>
      <c r="AO130" s="9"/>
      <c r="AP130" s="61">
        <f t="shared" si="344"/>
        <v>0</v>
      </c>
      <c r="AQ130" s="89"/>
      <c r="AR130" s="9"/>
      <c r="AS130" s="9"/>
      <c r="AT130" s="9"/>
      <c r="AU130" s="61">
        <f t="shared" si="345"/>
        <v>0</v>
      </c>
      <c r="AW130" s="9"/>
      <c r="AX130" s="9"/>
      <c r="AY130" s="9"/>
      <c r="AZ130" s="49">
        <f t="shared" si="346"/>
        <v>0</v>
      </c>
      <c r="BA130" s="89"/>
      <c r="BB130" s="9"/>
      <c r="BC130" s="9"/>
      <c r="BD130" s="9"/>
      <c r="BE130" s="49">
        <f t="shared" si="347"/>
        <v>0</v>
      </c>
      <c r="BF130" s="89"/>
      <c r="BG130" s="9"/>
      <c r="BH130" s="9"/>
      <c r="BI130" s="9"/>
      <c r="BJ130" s="49">
        <f t="shared" si="348"/>
        <v>0</v>
      </c>
      <c r="BK130" s="89"/>
      <c r="BL130" s="9"/>
      <c r="BM130" s="9"/>
      <c r="BN130" s="9"/>
      <c r="BO130" s="49">
        <f t="shared" si="349"/>
        <v>0</v>
      </c>
      <c r="BP130" s="89"/>
      <c r="BQ130" s="9"/>
      <c r="BR130" s="9"/>
      <c r="BS130" s="9"/>
      <c r="BT130" s="49">
        <f t="shared" si="350"/>
        <v>0</v>
      </c>
      <c r="BU130" s="89"/>
      <c r="BV130" s="9"/>
      <c r="BW130" s="9"/>
      <c r="BX130" s="9"/>
      <c r="BY130" s="49">
        <f t="shared" si="351"/>
        <v>0</v>
      </c>
      <c r="BZ130" s="89"/>
      <c r="CA130" s="9"/>
      <c r="CB130" s="9"/>
      <c r="CC130" s="9"/>
      <c r="CD130" s="46">
        <f t="shared" ref="CD130" si="439">U130-BZ130-CA130-CB130-CC130</f>
        <v>0</v>
      </c>
      <c r="CE130" s="1406">
        <v>0</v>
      </c>
      <c r="CF130" s="833">
        <f t="shared" si="428"/>
        <v>0</v>
      </c>
      <c r="CG130" s="833">
        <f t="shared" si="428"/>
        <v>0</v>
      </c>
      <c r="CH130" s="833">
        <f t="shared" si="428"/>
        <v>0</v>
      </c>
      <c r="CI130" s="833">
        <f t="shared" si="428"/>
        <v>0</v>
      </c>
      <c r="CJ130" s="833">
        <f t="shared" si="428"/>
        <v>0</v>
      </c>
      <c r="CK130" s="833">
        <f t="shared" si="428"/>
        <v>0</v>
      </c>
      <c r="CL130" s="833">
        <f t="shared" si="428"/>
        <v>0</v>
      </c>
      <c r="CM130" s="833">
        <f t="shared" si="428"/>
        <v>0</v>
      </c>
      <c r="CN130" s="833">
        <f t="shared" si="428"/>
        <v>0</v>
      </c>
      <c r="CO130" s="833">
        <f t="shared" si="354"/>
        <v>0</v>
      </c>
      <c r="CP130" s="833">
        <f t="shared" si="354"/>
        <v>0</v>
      </c>
      <c r="CQ130" s="833">
        <f t="shared" si="354"/>
        <v>0</v>
      </c>
      <c r="CR130" s="833"/>
      <c r="CS130" s="1125">
        <f t="shared" si="355"/>
        <v>0</v>
      </c>
      <c r="CT130" s="31">
        <f t="shared" si="356"/>
        <v>0</v>
      </c>
      <c r="CU130" s="31">
        <f t="shared" si="357"/>
        <v>0</v>
      </c>
      <c r="CV130" s="31">
        <f t="shared" si="358"/>
        <v>0</v>
      </c>
      <c r="CW130" s="31">
        <f t="shared" si="359"/>
        <v>0</v>
      </c>
      <c r="CX130" s="31">
        <f t="shared" si="360"/>
        <v>0</v>
      </c>
      <c r="CY130" s="31">
        <f t="shared" si="361"/>
        <v>0</v>
      </c>
      <c r="CZ130" s="31">
        <f t="shared" si="362"/>
        <v>0</v>
      </c>
      <c r="DA130" s="31">
        <f t="shared" si="363"/>
        <v>0</v>
      </c>
      <c r="DB130" s="31">
        <f t="shared" si="364"/>
        <v>0</v>
      </c>
      <c r="DC130" s="31">
        <f t="shared" si="365"/>
        <v>0</v>
      </c>
      <c r="DD130" s="31">
        <f t="shared" si="366"/>
        <v>0</v>
      </c>
      <c r="DE130" s="78">
        <f t="shared" si="366"/>
        <v>0</v>
      </c>
    </row>
    <row r="131" spans="1:109" x14ac:dyDescent="0.2">
      <c r="A131" s="615" t="s">
        <v>7085</v>
      </c>
      <c r="B131" s="1355"/>
      <c r="C131" s="1335"/>
      <c r="D131" s="1331" t="s">
        <v>5046</v>
      </c>
      <c r="E131" s="133">
        <f>42800+262500-42800</f>
        <v>262500</v>
      </c>
      <c r="F131" s="79">
        <f>+F322+F323</f>
        <v>42200</v>
      </c>
      <c r="G131" s="9">
        <f>148000+22000+729900+603600+170100-720000-900000</f>
        <v>53600</v>
      </c>
      <c r="H131" s="9">
        <f>'Res-Bal'!J96</f>
        <v>1620000</v>
      </c>
      <c r="I131" s="9"/>
      <c r="J131" s="9"/>
      <c r="K131" s="9"/>
      <c r="L131" s="9"/>
      <c r="M131" s="9"/>
      <c r="N131" s="9"/>
      <c r="O131" s="9"/>
      <c r="P131" s="9"/>
      <c r="Q131" s="49"/>
      <c r="R131" s="89"/>
      <c r="S131" s="9"/>
      <c r="T131" s="9"/>
      <c r="U131" s="9">
        <f>320300-22700-42800</f>
        <v>254800</v>
      </c>
      <c r="V131" s="49">
        <f t="shared" si="342"/>
        <v>7700</v>
      </c>
      <c r="W131" s="133"/>
      <c r="X131" s="9"/>
      <c r="Y131" s="46"/>
      <c r="Z131" s="9">
        <f>+F131</f>
        <v>42200</v>
      </c>
      <c r="AA131" s="46">
        <f t="shared" si="279"/>
        <v>0</v>
      </c>
      <c r="AB131" s="133"/>
      <c r="AC131" s="9"/>
      <c r="AD131" s="9"/>
      <c r="AE131" s="9">
        <f>+G131</f>
        <v>53600</v>
      </c>
      <c r="AF131" s="49">
        <f>G131-AB131-AC131-AD131-AE131</f>
        <v>0</v>
      </c>
      <c r="AG131" s="89"/>
      <c r="AH131" s="9"/>
      <c r="AI131" s="9"/>
      <c r="AJ131" s="9">
        <f>H131</f>
        <v>1620000</v>
      </c>
      <c r="AK131" s="49">
        <f t="shared" si="343"/>
        <v>0</v>
      </c>
      <c r="AL131" s="89"/>
      <c r="AM131" s="9"/>
      <c r="AN131" s="9"/>
      <c r="AO131" s="9"/>
      <c r="AP131" s="61">
        <f t="shared" si="344"/>
        <v>0</v>
      </c>
      <c r="AQ131" s="89"/>
      <c r="AR131" s="9"/>
      <c r="AS131" s="9"/>
      <c r="AT131" s="9"/>
      <c r="AU131" s="61"/>
      <c r="AW131" s="9"/>
      <c r="AX131" s="9"/>
      <c r="AY131" s="9"/>
      <c r="AZ131" s="49"/>
      <c r="BA131" s="89"/>
      <c r="BB131" s="9"/>
      <c r="BC131" s="9"/>
      <c r="BD131" s="9"/>
      <c r="BE131" s="49"/>
      <c r="BF131" s="89"/>
      <c r="BG131" s="9"/>
      <c r="BH131" s="9"/>
      <c r="BI131" s="9"/>
      <c r="BJ131" s="49"/>
      <c r="BK131" s="89"/>
      <c r="BL131" s="9"/>
      <c r="BM131" s="9"/>
      <c r="BN131" s="9"/>
      <c r="BO131" s="49"/>
      <c r="BP131" s="89"/>
      <c r="BQ131" s="9"/>
      <c r="BR131" s="9"/>
      <c r="BS131" s="9"/>
      <c r="BT131" s="49"/>
      <c r="BU131" s="89"/>
      <c r="BV131" s="9"/>
      <c r="BW131" s="9"/>
      <c r="BX131" s="9"/>
      <c r="BY131" s="49"/>
      <c r="BZ131" s="89"/>
      <c r="CA131" s="9"/>
      <c r="CB131" s="9"/>
      <c r="CC131" s="9"/>
      <c r="CE131" s="1406">
        <v>1</v>
      </c>
      <c r="CF131" s="833">
        <f t="shared" si="428"/>
        <v>1</v>
      </c>
      <c r="CG131" s="833">
        <f t="shared" si="428"/>
        <v>1</v>
      </c>
      <c r="CH131" s="833">
        <f t="shared" si="428"/>
        <v>1</v>
      </c>
      <c r="CI131" s="833">
        <f t="shared" si="428"/>
        <v>1</v>
      </c>
      <c r="CJ131" s="833">
        <f t="shared" si="428"/>
        <v>1</v>
      </c>
      <c r="CK131" s="833">
        <f t="shared" si="428"/>
        <v>1</v>
      </c>
      <c r="CL131" s="833">
        <f t="shared" si="428"/>
        <v>1</v>
      </c>
      <c r="CM131" s="833">
        <f t="shared" si="428"/>
        <v>1</v>
      </c>
      <c r="CN131" s="833">
        <f t="shared" si="428"/>
        <v>1</v>
      </c>
      <c r="CO131" s="833">
        <f t="shared" si="354"/>
        <v>1</v>
      </c>
      <c r="CP131" s="833">
        <f t="shared" si="354"/>
        <v>1</v>
      </c>
      <c r="CQ131" s="833">
        <f t="shared" si="354"/>
        <v>1</v>
      </c>
      <c r="CR131" s="833"/>
      <c r="CS131" s="1125">
        <f t="shared" si="355"/>
        <v>263000</v>
      </c>
      <c r="CT131" s="31">
        <f t="shared" si="356"/>
        <v>42000</v>
      </c>
      <c r="CU131" s="31">
        <f t="shared" si="357"/>
        <v>54000</v>
      </c>
      <c r="CV131" s="31">
        <f t="shared" si="358"/>
        <v>1620000</v>
      </c>
      <c r="CW131" s="31">
        <f t="shared" si="359"/>
        <v>0</v>
      </c>
      <c r="CX131" s="31">
        <f t="shared" si="360"/>
        <v>0</v>
      </c>
      <c r="CY131" s="31">
        <f t="shared" si="361"/>
        <v>0</v>
      </c>
      <c r="CZ131" s="31">
        <f t="shared" si="362"/>
        <v>0</v>
      </c>
      <c r="DA131" s="31">
        <f t="shared" si="363"/>
        <v>0</v>
      </c>
      <c r="DB131" s="31">
        <f t="shared" si="364"/>
        <v>0</v>
      </c>
      <c r="DC131" s="31">
        <f t="shared" si="365"/>
        <v>0</v>
      </c>
      <c r="DD131" s="31">
        <f t="shared" si="366"/>
        <v>0</v>
      </c>
      <c r="DE131" s="78">
        <f t="shared" si="366"/>
        <v>0</v>
      </c>
    </row>
    <row r="132" spans="1:109" ht="12.75" customHeight="1" x14ac:dyDescent="0.2">
      <c r="A132" s="615" t="s">
        <v>6840</v>
      </c>
      <c r="B132" s="1269"/>
      <c r="C132" s="1337"/>
      <c r="D132" s="1331" t="s">
        <v>5046</v>
      </c>
      <c r="E132" s="350">
        <v>473800</v>
      </c>
      <c r="F132" s="9"/>
      <c r="G132" s="9"/>
      <c r="H132" s="9"/>
      <c r="I132" s="9"/>
      <c r="J132" s="46"/>
      <c r="K132" s="29"/>
      <c r="L132" s="9"/>
      <c r="M132" s="89"/>
      <c r="N132" s="9"/>
      <c r="O132" s="9"/>
      <c r="P132" s="9"/>
      <c r="Q132" s="49"/>
      <c r="R132" s="89"/>
      <c r="S132" s="9">
        <v>106200</v>
      </c>
      <c r="T132" s="9"/>
      <c r="U132" s="9">
        <v>119300</v>
      </c>
      <c r="V132" s="49">
        <f t="shared" si="342"/>
        <v>248300</v>
      </c>
      <c r="W132" s="133"/>
      <c r="X132" s="9"/>
      <c r="Y132" s="46"/>
      <c r="Z132" s="9"/>
      <c r="AA132" s="46">
        <f t="shared" si="279"/>
        <v>0</v>
      </c>
      <c r="AB132" s="133"/>
      <c r="AC132" s="9"/>
      <c r="AD132" s="9"/>
      <c r="AE132" s="9"/>
      <c r="AF132" s="49">
        <f t="shared" si="368"/>
        <v>0</v>
      </c>
      <c r="AG132" s="89"/>
      <c r="AH132" s="9"/>
      <c r="AI132" s="9"/>
      <c r="AJ132" s="9"/>
      <c r="AK132" s="49">
        <f t="shared" si="343"/>
        <v>0</v>
      </c>
      <c r="AL132" s="89"/>
      <c r="AM132" s="9"/>
      <c r="AN132" s="9"/>
      <c r="AO132" s="9"/>
      <c r="AP132" s="61">
        <f t="shared" si="344"/>
        <v>0</v>
      </c>
      <c r="AQ132" s="89"/>
      <c r="AR132" s="9"/>
      <c r="AS132" s="9"/>
      <c r="AT132" s="9"/>
      <c r="AU132" s="61">
        <f t="shared" si="345"/>
        <v>0</v>
      </c>
      <c r="AW132" s="9"/>
      <c r="AX132" s="9"/>
      <c r="AY132" s="9"/>
      <c r="AZ132" s="49">
        <f t="shared" si="346"/>
        <v>0</v>
      </c>
      <c r="BA132" s="89"/>
      <c r="BB132" s="9"/>
      <c r="BC132" s="9"/>
      <c r="BD132" s="9"/>
      <c r="BE132" s="49">
        <f t="shared" si="347"/>
        <v>0</v>
      </c>
      <c r="BF132" s="89"/>
      <c r="BG132" s="9"/>
      <c r="BH132" s="9"/>
      <c r="BI132" s="9"/>
      <c r="BJ132" s="49">
        <f t="shared" si="348"/>
        <v>0</v>
      </c>
      <c r="BK132" s="89"/>
      <c r="BL132" s="9"/>
      <c r="BM132" s="9"/>
      <c r="BN132" s="9"/>
      <c r="BO132" s="49">
        <f t="shared" si="349"/>
        <v>0</v>
      </c>
      <c r="BP132" s="89"/>
      <c r="BQ132" s="9"/>
      <c r="BR132" s="9"/>
      <c r="BS132" s="9"/>
      <c r="BT132" s="49">
        <f t="shared" si="350"/>
        <v>0</v>
      </c>
      <c r="BU132" s="89"/>
      <c r="BV132" s="9"/>
      <c r="BW132" s="9"/>
      <c r="BX132" s="9"/>
      <c r="BY132" s="49">
        <f t="shared" si="351"/>
        <v>0</v>
      </c>
      <c r="BZ132" s="89"/>
      <c r="CA132" s="9"/>
      <c r="CB132" s="9"/>
      <c r="CC132" s="9"/>
      <c r="CD132" s="46">
        <f t="shared" ref="CD132:CD139" si="440">Q132-BZ132-CA132-CB132-CC132</f>
        <v>0</v>
      </c>
      <c r="CE132" s="1406">
        <v>1</v>
      </c>
      <c r="CF132" s="833">
        <f t="shared" ref="CF132:CN132" si="441">CE132</f>
        <v>1</v>
      </c>
      <c r="CG132" s="833">
        <f t="shared" si="441"/>
        <v>1</v>
      </c>
      <c r="CH132" s="833">
        <f t="shared" si="441"/>
        <v>1</v>
      </c>
      <c r="CI132" s="833">
        <f t="shared" si="441"/>
        <v>1</v>
      </c>
      <c r="CJ132" s="833">
        <f t="shared" si="441"/>
        <v>1</v>
      </c>
      <c r="CK132" s="833">
        <f t="shared" si="441"/>
        <v>1</v>
      </c>
      <c r="CL132" s="833">
        <f t="shared" si="441"/>
        <v>1</v>
      </c>
      <c r="CM132" s="833">
        <f t="shared" si="441"/>
        <v>1</v>
      </c>
      <c r="CN132" s="833">
        <f t="shared" si="441"/>
        <v>1</v>
      </c>
      <c r="CO132" s="833">
        <f t="shared" si="354"/>
        <v>1</v>
      </c>
      <c r="CP132" s="833">
        <f t="shared" si="354"/>
        <v>1</v>
      </c>
      <c r="CQ132" s="833">
        <f t="shared" si="354"/>
        <v>1</v>
      </c>
      <c r="CR132" s="833"/>
      <c r="CS132" s="1125">
        <f t="shared" si="355"/>
        <v>474000</v>
      </c>
      <c r="CT132" s="31">
        <f t="shared" si="356"/>
        <v>0</v>
      </c>
      <c r="CU132" s="31">
        <f t="shared" si="357"/>
        <v>0</v>
      </c>
      <c r="CV132" s="31">
        <f t="shared" si="358"/>
        <v>0</v>
      </c>
      <c r="CW132" s="31">
        <f t="shared" si="359"/>
        <v>0</v>
      </c>
      <c r="CX132" s="31">
        <f t="shared" si="360"/>
        <v>0</v>
      </c>
      <c r="CY132" s="31">
        <f t="shared" si="361"/>
        <v>0</v>
      </c>
      <c r="CZ132" s="31">
        <f t="shared" si="362"/>
        <v>0</v>
      </c>
      <c r="DA132" s="31">
        <f t="shared" si="363"/>
        <v>0</v>
      </c>
      <c r="DB132" s="31">
        <f t="shared" si="364"/>
        <v>0</v>
      </c>
      <c r="DC132" s="31">
        <f t="shared" si="365"/>
        <v>0</v>
      </c>
      <c r="DD132" s="31">
        <f t="shared" si="366"/>
        <v>0</v>
      </c>
      <c r="DE132" s="78">
        <f t="shared" si="366"/>
        <v>0</v>
      </c>
    </row>
    <row r="133" spans="1:109" x14ac:dyDescent="0.2">
      <c r="A133" s="615" t="s">
        <v>5848</v>
      </c>
      <c r="B133" s="1356"/>
      <c r="C133" s="58"/>
      <c r="D133" s="1331" t="s">
        <v>5046</v>
      </c>
      <c r="E133" s="350"/>
      <c r="F133" s="9">
        <f>+F308+F307</f>
        <v>42100</v>
      </c>
      <c r="G133" s="9">
        <f>239900+55600-5000-239900</f>
        <v>50600</v>
      </c>
      <c r="H133" s="9">
        <f>'Sec 94 Roads'!I12</f>
        <v>0</v>
      </c>
      <c r="I133" s="9">
        <f>'Sec 94 Roads'!J12</f>
        <v>17224000</v>
      </c>
      <c r="J133" s="9"/>
      <c r="K133" s="46"/>
      <c r="L133" s="9"/>
      <c r="M133" s="9"/>
      <c r="N133" s="9"/>
      <c r="O133" s="9"/>
      <c r="P133" s="9"/>
      <c r="Q133" s="49"/>
      <c r="R133" s="89"/>
      <c r="S133" s="9">
        <f>E133*0.7</f>
        <v>0</v>
      </c>
      <c r="T133" s="9"/>
      <c r="U133" s="9">
        <f>'Res-Gen'!C183</f>
        <v>135000</v>
      </c>
      <c r="V133" s="49">
        <f t="shared" si="342"/>
        <v>-135000</v>
      </c>
      <c r="W133" s="133"/>
      <c r="X133" s="9">
        <f>+F133</f>
        <v>42100</v>
      </c>
      <c r="Y133" s="46"/>
      <c r="Z133" s="9">
        <f>'Res-Gen'!F183</f>
        <v>0</v>
      </c>
      <c r="AA133" s="46">
        <f t="shared" si="279"/>
        <v>0</v>
      </c>
      <c r="AB133" s="133"/>
      <c r="AC133" s="9">
        <f>+'Sec 94'!G69+'Sec 94'!G70</f>
        <v>29600</v>
      </c>
      <c r="AD133" s="9"/>
      <c r="AE133" s="9">
        <v>21000</v>
      </c>
      <c r="AF133" s="49">
        <f t="shared" si="368"/>
        <v>0</v>
      </c>
      <c r="AG133" s="89"/>
      <c r="AH133" s="9">
        <f>H133</f>
        <v>0</v>
      </c>
      <c r="AI133" s="9"/>
      <c r="AJ133" s="9"/>
      <c r="AK133" s="49">
        <f t="shared" si="343"/>
        <v>0</v>
      </c>
      <c r="AL133" s="89"/>
      <c r="AM133" s="9">
        <f>I133</f>
        <v>17224000</v>
      </c>
      <c r="AN133" s="9"/>
      <c r="AO133" s="9"/>
      <c r="AP133" s="61">
        <f t="shared" si="344"/>
        <v>0</v>
      </c>
      <c r="AQ133" s="89"/>
      <c r="AR133" s="9"/>
      <c r="AS133" s="9"/>
      <c r="AT133" s="9"/>
      <c r="AU133" s="61">
        <f t="shared" si="345"/>
        <v>0</v>
      </c>
      <c r="AW133" s="9"/>
      <c r="AX133" s="9"/>
      <c r="AY133" s="9"/>
      <c r="AZ133" s="49">
        <f t="shared" si="346"/>
        <v>0</v>
      </c>
      <c r="BA133" s="89"/>
      <c r="BB133" s="9"/>
      <c r="BC133" s="9"/>
      <c r="BD133" s="9"/>
      <c r="BE133" s="49">
        <f t="shared" si="347"/>
        <v>0</v>
      </c>
      <c r="BF133" s="89"/>
      <c r="BG133" s="9"/>
      <c r="BH133" s="9"/>
      <c r="BI133" s="9"/>
      <c r="BJ133" s="49">
        <f t="shared" si="348"/>
        <v>0</v>
      </c>
      <c r="BK133" s="89"/>
      <c r="BL133" s="9"/>
      <c r="BM133" s="9"/>
      <c r="BN133" s="9"/>
      <c r="BO133" s="49">
        <f t="shared" si="349"/>
        <v>0</v>
      </c>
      <c r="BP133" s="89"/>
      <c r="BQ133" s="9"/>
      <c r="BR133" s="9"/>
      <c r="BS133" s="9"/>
      <c r="BT133" s="49">
        <f t="shared" si="350"/>
        <v>0</v>
      </c>
      <c r="BU133" s="89"/>
      <c r="BV133" s="9"/>
      <c r="BW133" s="9"/>
      <c r="BX133" s="9"/>
      <c r="BY133" s="49">
        <f t="shared" si="351"/>
        <v>0</v>
      </c>
      <c r="BZ133" s="89"/>
      <c r="CA133" s="9"/>
      <c r="CB133" s="9"/>
      <c r="CC133" s="9"/>
      <c r="CD133" s="46">
        <f t="shared" si="440"/>
        <v>0</v>
      </c>
      <c r="CE133" s="1406">
        <v>0</v>
      </c>
      <c r="CF133" s="833">
        <f t="shared" ref="CF133:CF138" si="442">CE133</f>
        <v>0</v>
      </c>
      <c r="CG133" s="833">
        <f t="shared" ref="CG133:CG138" si="443">CF133</f>
        <v>0</v>
      </c>
      <c r="CH133" s="833">
        <f t="shared" ref="CH133:CH138" si="444">CG133</f>
        <v>0</v>
      </c>
      <c r="CI133" s="833">
        <f t="shared" ref="CI133:CI138" si="445">CH133</f>
        <v>0</v>
      </c>
      <c r="CJ133" s="833">
        <f t="shared" ref="CJ133:CJ138" si="446">CI133</f>
        <v>0</v>
      </c>
      <c r="CK133" s="833">
        <f t="shared" ref="CK133:CK138" si="447">CJ133</f>
        <v>0</v>
      </c>
      <c r="CL133" s="833">
        <f t="shared" ref="CL133:CL138" si="448">CK133</f>
        <v>0</v>
      </c>
      <c r="CM133" s="833">
        <f t="shared" ref="CM133:CM138" si="449">CL133</f>
        <v>0</v>
      </c>
      <c r="CN133" s="833">
        <f t="shared" ref="CN133:CN138" si="450">CM133</f>
        <v>0</v>
      </c>
      <c r="CO133" s="833">
        <f t="shared" ref="CO133:CO138" si="451">CN133</f>
        <v>0</v>
      </c>
      <c r="CP133" s="833">
        <f t="shared" ref="CP133:CQ138" si="452">CO133</f>
        <v>0</v>
      </c>
      <c r="CQ133" s="833">
        <f t="shared" si="452"/>
        <v>0</v>
      </c>
      <c r="CR133" s="833"/>
      <c r="CS133" s="1125">
        <f t="shared" si="355"/>
        <v>0</v>
      </c>
      <c r="CT133" s="31">
        <f t="shared" si="356"/>
        <v>0</v>
      </c>
      <c r="CU133" s="31">
        <f t="shared" si="357"/>
        <v>0</v>
      </c>
      <c r="CV133" s="31">
        <f t="shared" si="358"/>
        <v>0</v>
      </c>
      <c r="CW133" s="31">
        <f t="shared" si="359"/>
        <v>0</v>
      </c>
      <c r="CX133" s="31">
        <f t="shared" si="360"/>
        <v>0</v>
      </c>
      <c r="CY133" s="31">
        <f t="shared" si="361"/>
        <v>0</v>
      </c>
      <c r="CZ133" s="31">
        <f t="shared" si="362"/>
        <v>0</v>
      </c>
      <c r="DA133" s="31">
        <f t="shared" si="363"/>
        <v>0</v>
      </c>
      <c r="DB133" s="31">
        <f t="shared" si="364"/>
        <v>0</v>
      </c>
      <c r="DC133" s="31">
        <f t="shared" si="365"/>
        <v>0</v>
      </c>
      <c r="DD133" s="31">
        <f t="shared" si="366"/>
        <v>0</v>
      </c>
      <c r="DE133" s="78">
        <f t="shared" si="366"/>
        <v>0</v>
      </c>
    </row>
    <row r="134" spans="1:109" x14ac:dyDescent="0.2">
      <c r="A134" s="615" t="s">
        <v>5881</v>
      </c>
      <c r="B134" s="1269"/>
      <c r="C134" s="1337"/>
      <c r="D134" s="1331" t="s">
        <v>5046</v>
      </c>
      <c r="E134" s="1346"/>
      <c r="F134" s="9"/>
      <c r="G134" s="9"/>
      <c r="H134" s="9"/>
      <c r="I134" s="9"/>
      <c r="J134" s="46">
        <f>'Sec 94 Roads'!K6+'Sec 94 Roads'!K7</f>
        <v>15614000</v>
      </c>
      <c r="K134" s="9"/>
      <c r="L134" s="9"/>
      <c r="M134" s="9"/>
      <c r="N134" s="9"/>
      <c r="O134" s="9"/>
      <c r="P134" s="9"/>
      <c r="Q134" s="49"/>
      <c r="R134" s="89"/>
      <c r="S134" s="9"/>
      <c r="T134" s="9"/>
      <c r="U134" s="9"/>
      <c r="V134" s="49"/>
      <c r="W134" s="133"/>
      <c r="X134" s="9"/>
      <c r="Y134" s="46"/>
      <c r="Z134" s="9"/>
      <c r="AA134" s="46">
        <f t="shared" si="279"/>
        <v>0</v>
      </c>
      <c r="AB134" s="133"/>
      <c r="AC134" s="9"/>
      <c r="AD134" s="9"/>
      <c r="AE134" s="9"/>
      <c r="AF134" s="49">
        <f t="shared" si="368"/>
        <v>0</v>
      </c>
      <c r="AG134" s="89"/>
      <c r="AH134" s="9"/>
      <c r="AI134" s="9"/>
      <c r="AJ134" s="9"/>
      <c r="AK134" s="49">
        <f t="shared" si="343"/>
        <v>0</v>
      </c>
      <c r="AL134" s="89"/>
      <c r="AM134" s="9"/>
      <c r="AN134" s="9"/>
      <c r="AO134" s="9"/>
      <c r="AP134" s="61">
        <f t="shared" si="344"/>
        <v>0</v>
      </c>
      <c r="AQ134" s="89"/>
      <c r="AR134" s="9">
        <f>ROUND('Sec 94 Roads'!K7*'Sec 94 Roads'!D7+'Sec 94 Roads'!K6*'Sec 94 Roads'!D6,-3)</f>
        <v>10438000</v>
      </c>
      <c r="AS134" s="9">
        <f>J134-AR134</f>
        <v>5176000</v>
      </c>
      <c r="AT134" s="9"/>
      <c r="AU134" s="61">
        <f t="shared" si="345"/>
        <v>0</v>
      </c>
      <c r="AW134" s="9"/>
      <c r="AX134" s="9"/>
      <c r="AY134" s="9"/>
      <c r="AZ134" s="49">
        <f t="shared" si="346"/>
        <v>0</v>
      </c>
      <c r="BA134" s="89"/>
      <c r="BB134" s="9"/>
      <c r="BC134" s="9"/>
      <c r="BD134" s="9"/>
      <c r="BE134" s="49">
        <f t="shared" si="347"/>
        <v>0</v>
      </c>
      <c r="BF134" s="89"/>
      <c r="BG134" s="9"/>
      <c r="BH134" s="9"/>
      <c r="BI134" s="9"/>
      <c r="BJ134" s="49">
        <f t="shared" si="348"/>
        <v>0</v>
      </c>
      <c r="BK134" s="89"/>
      <c r="BL134" s="9"/>
      <c r="BM134" s="9"/>
      <c r="BN134" s="9"/>
      <c r="BO134" s="49">
        <f t="shared" si="349"/>
        <v>0</v>
      </c>
      <c r="BP134" s="89"/>
      <c r="BQ134" s="9"/>
      <c r="BR134" s="9"/>
      <c r="BS134" s="9"/>
      <c r="BT134" s="49">
        <f t="shared" si="350"/>
        <v>0</v>
      </c>
      <c r="BU134" s="89"/>
      <c r="BV134" s="9"/>
      <c r="BW134" s="9"/>
      <c r="BX134" s="9"/>
      <c r="BY134" s="49">
        <f t="shared" si="351"/>
        <v>0</v>
      </c>
      <c r="BZ134" s="89"/>
      <c r="CA134" s="9"/>
      <c r="CB134" s="9"/>
      <c r="CC134" s="9"/>
      <c r="CD134" s="46">
        <f t="shared" si="440"/>
        <v>0</v>
      </c>
      <c r="CE134" s="1406">
        <v>0.75</v>
      </c>
      <c r="CF134" s="833">
        <f t="shared" si="442"/>
        <v>0.75</v>
      </c>
      <c r="CG134" s="833">
        <f t="shared" si="443"/>
        <v>0.75</v>
      </c>
      <c r="CH134" s="833">
        <f t="shared" si="444"/>
        <v>0.75</v>
      </c>
      <c r="CI134" s="833">
        <f t="shared" si="445"/>
        <v>0.75</v>
      </c>
      <c r="CJ134" s="833">
        <f t="shared" si="446"/>
        <v>0.75</v>
      </c>
      <c r="CK134" s="833">
        <f t="shared" si="447"/>
        <v>0.75</v>
      </c>
      <c r="CL134" s="833">
        <f t="shared" si="448"/>
        <v>0.75</v>
      </c>
      <c r="CM134" s="833">
        <f t="shared" si="449"/>
        <v>0.75</v>
      </c>
      <c r="CN134" s="833">
        <f t="shared" si="450"/>
        <v>0.75</v>
      </c>
      <c r="CO134" s="833">
        <f t="shared" si="451"/>
        <v>0.75</v>
      </c>
      <c r="CP134" s="833">
        <f t="shared" si="452"/>
        <v>0.75</v>
      </c>
      <c r="CQ134" s="833">
        <f t="shared" si="452"/>
        <v>0.75</v>
      </c>
      <c r="CR134" s="833"/>
      <c r="CS134" s="1125">
        <f t="shared" si="355"/>
        <v>0</v>
      </c>
      <c r="CT134" s="31">
        <f t="shared" si="356"/>
        <v>0</v>
      </c>
      <c r="CU134" s="31">
        <f t="shared" si="357"/>
        <v>0</v>
      </c>
      <c r="CV134" s="31">
        <f t="shared" si="358"/>
        <v>0</v>
      </c>
      <c r="CW134" s="31">
        <f t="shared" si="359"/>
        <v>0</v>
      </c>
      <c r="CX134" s="31">
        <f t="shared" si="360"/>
        <v>11711000</v>
      </c>
      <c r="CY134" s="31">
        <f t="shared" si="361"/>
        <v>0</v>
      </c>
      <c r="CZ134" s="31">
        <f t="shared" si="362"/>
        <v>0</v>
      </c>
      <c r="DA134" s="31">
        <f t="shared" si="363"/>
        <v>0</v>
      </c>
      <c r="DB134" s="31">
        <f t="shared" si="364"/>
        <v>0</v>
      </c>
      <c r="DC134" s="31">
        <f t="shared" si="365"/>
        <v>0</v>
      </c>
      <c r="DD134" s="31">
        <f t="shared" si="366"/>
        <v>0</v>
      </c>
      <c r="DE134" s="78">
        <f t="shared" si="366"/>
        <v>0</v>
      </c>
    </row>
    <row r="135" spans="1:109" x14ac:dyDescent="0.2">
      <c r="A135" s="615" t="s">
        <v>5941</v>
      </c>
      <c r="B135" s="1269"/>
      <c r="C135" s="1337"/>
      <c r="D135" s="1331" t="s">
        <v>5046</v>
      </c>
      <c r="E135" s="1346"/>
      <c r="F135" s="9"/>
      <c r="G135" s="9"/>
      <c r="H135" s="9"/>
      <c r="I135" s="9"/>
      <c r="J135" s="9">
        <f>'Sec 94 Roads'!K8</f>
        <v>6195000</v>
      </c>
      <c r="K135" s="9"/>
      <c r="L135" s="29"/>
      <c r="M135" s="9"/>
      <c r="N135" s="9"/>
      <c r="O135" s="9"/>
      <c r="P135" s="9"/>
      <c r="Q135" s="49"/>
      <c r="R135" s="89"/>
      <c r="S135" s="9"/>
      <c r="T135" s="9"/>
      <c r="U135" s="9"/>
      <c r="V135" s="49"/>
      <c r="W135" s="133"/>
      <c r="X135" s="9"/>
      <c r="Y135" s="46"/>
      <c r="Z135" s="9"/>
      <c r="AA135" s="46">
        <f t="shared" si="279"/>
        <v>0</v>
      </c>
      <c r="AB135" s="133"/>
      <c r="AC135" s="9"/>
      <c r="AD135" s="9"/>
      <c r="AE135" s="9"/>
      <c r="AF135" s="49">
        <f t="shared" si="368"/>
        <v>0</v>
      </c>
      <c r="AG135" s="89"/>
      <c r="AH135" s="9"/>
      <c r="AI135" s="9"/>
      <c r="AJ135" s="9"/>
      <c r="AK135" s="49">
        <f t="shared" si="343"/>
        <v>0</v>
      </c>
      <c r="AL135" s="89"/>
      <c r="AM135" s="9"/>
      <c r="AN135" s="9"/>
      <c r="AO135" s="9"/>
      <c r="AP135" s="61">
        <f t="shared" si="344"/>
        <v>0</v>
      </c>
      <c r="AQ135" s="89"/>
      <c r="AR135" s="9">
        <f>ROUND('Sec 94 Roads'!K8*'Sec 94 Roads'!D8,-3)</f>
        <v>3072000</v>
      </c>
      <c r="AS135" s="9">
        <f>J135-AR135</f>
        <v>3123000</v>
      </c>
      <c r="AT135" s="9"/>
      <c r="AU135" s="61">
        <f t="shared" si="345"/>
        <v>0</v>
      </c>
      <c r="AW135" s="9"/>
      <c r="AX135" s="9"/>
      <c r="AY135" s="9"/>
      <c r="AZ135" s="49">
        <f t="shared" si="346"/>
        <v>0</v>
      </c>
      <c r="BA135" s="89"/>
      <c r="BB135" s="9"/>
      <c r="BC135" s="9"/>
      <c r="BD135" s="9"/>
      <c r="BE135" s="49">
        <f t="shared" si="347"/>
        <v>0</v>
      </c>
      <c r="BF135" s="89"/>
      <c r="BG135" s="9"/>
      <c r="BH135" s="9"/>
      <c r="BI135" s="9"/>
      <c r="BJ135" s="49">
        <f t="shared" si="348"/>
        <v>0</v>
      </c>
      <c r="BK135" s="89"/>
      <c r="BL135" s="9"/>
      <c r="BM135" s="9"/>
      <c r="BN135" s="9"/>
      <c r="BO135" s="49">
        <f t="shared" si="349"/>
        <v>0</v>
      </c>
      <c r="BP135" s="89"/>
      <c r="BQ135" s="9"/>
      <c r="BR135" s="9"/>
      <c r="BS135" s="9"/>
      <c r="BT135" s="49">
        <f t="shared" si="350"/>
        <v>0</v>
      </c>
      <c r="BU135" s="89"/>
      <c r="BV135" s="9"/>
      <c r="BW135" s="9"/>
      <c r="BX135" s="9"/>
      <c r="BY135" s="49">
        <f t="shared" si="351"/>
        <v>0</v>
      </c>
      <c r="BZ135" s="89"/>
      <c r="CA135" s="9"/>
      <c r="CB135" s="9"/>
      <c r="CC135" s="9"/>
      <c r="CD135" s="46">
        <f t="shared" si="440"/>
        <v>0</v>
      </c>
      <c r="CE135" s="1406">
        <v>0.75</v>
      </c>
      <c r="CF135" s="833">
        <f t="shared" si="442"/>
        <v>0.75</v>
      </c>
      <c r="CG135" s="833">
        <f t="shared" si="443"/>
        <v>0.75</v>
      </c>
      <c r="CH135" s="833">
        <f t="shared" si="444"/>
        <v>0.75</v>
      </c>
      <c r="CI135" s="833">
        <f t="shared" si="445"/>
        <v>0.75</v>
      </c>
      <c r="CJ135" s="833">
        <f t="shared" si="446"/>
        <v>0.75</v>
      </c>
      <c r="CK135" s="833">
        <f t="shared" si="447"/>
        <v>0.75</v>
      </c>
      <c r="CL135" s="833">
        <f t="shared" si="448"/>
        <v>0.75</v>
      </c>
      <c r="CM135" s="833">
        <f t="shared" si="449"/>
        <v>0.75</v>
      </c>
      <c r="CN135" s="833">
        <f t="shared" si="450"/>
        <v>0.75</v>
      </c>
      <c r="CO135" s="833">
        <f t="shared" si="451"/>
        <v>0.75</v>
      </c>
      <c r="CP135" s="833">
        <f t="shared" si="452"/>
        <v>0.75</v>
      </c>
      <c r="CQ135" s="833">
        <f t="shared" si="452"/>
        <v>0.75</v>
      </c>
      <c r="CR135" s="833"/>
      <c r="CS135" s="1125">
        <f t="shared" si="355"/>
        <v>0</v>
      </c>
      <c r="CT135" s="31">
        <f t="shared" si="356"/>
        <v>0</v>
      </c>
      <c r="CU135" s="31">
        <f t="shared" si="357"/>
        <v>0</v>
      </c>
      <c r="CV135" s="31">
        <f t="shared" si="358"/>
        <v>0</v>
      </c>
      <c r="CW135" s="31">
        <f t="shared" si="359"/>
        <v>0</v>
      </c>
      <c r="CX135" s="31">
        <f t="shared" si="360"/>
        <v>4646000</v>
      </c>
      <c r="CY135" s="31">
        <f t="shared" si="361"/>
        <v>0</v>
      </c>
      <c r="CZ135" s="31">
        <f t="shared" si="362"/>
        <v>0</v>
      </c>
      <c r="DA135" s="31">
        <f t="shared" si="363"/>
        <v>0</v>
      </c>
      <c r="DB135" s="31">
        <f t="shared" si="364"/>
        <v>0</v>
      </c>
      <c r="DC135" s="31">
        <f t="shared" si="365"/>
        <v>0</v>
      </c>
      <c r="DD135" s="31">
        <f t="shared" si="366"/>
        <v>0</v>
      </c>
      <c r="DE135" s="78">
        <f t="shared" si="366"/>
        <v>0</v>
      </c>
    </row>
    <row r="136" spans="1:109" x14ac:dyDescent="0.2">
      <c r="A136" s="615" t="s">
        <v>5942</v>
      </c>
      <c r="B136" s="1269"/>
      <c r="C136" s="1337"/>
      <c r="D136" s="1331" t="s">
        <v>5046</v>
      </c>
      <c r="E136" s="1346"/>
      <c r="F136" s="9"/>
      <c r="G136" s="9"/>
      <c r="H136" s="9"/>
      <c r="I136" s="9"/>
      <c r="J136" s="9">
        <f>'Sec 94 Roads'!K9</f>
        <v>155000</v>
      </c>
      <c r="K136" s="9"/>
      <c r="L136" s="29"/>
      <c r="M136" s="9"/>
      <c r="N136" s="9"/>
      <c r="O136" s="9"/>
      <c r="P136" s="9"/>
      <c r="Q136" s="49"/>
      <c r="R136" s="89"/>
      <c r="S136" s="9"/>
      <c r="T136" s="9"/>
      <c r="U136" s="9"/>
      <c r="V136" s="49"/>
      <c r="W136" s="133"/>
      <c r="X136" s="9"/>
      <c r="Y136" s="46"/>
      <c r="Z136" s="9"/>
      <c r="AA136" s="46">
        <f t="shared" si="279"/>
        <v>0</v>
      </c>
      <c r="AB136" s="133"/>
      <c r="AC136" s="9"/>
      <c r="AD136" s="9"/>
      <c r="AE136" s="9"/>
      <c r="AF136" s="49">
        <f t="shared" si="368"/>
        <v>0</v>
      </c>
      <c r="AG136" s="89"/>
      <c r="AH136" s="9"/>
      <c r="AI136" s="9"/>
      <c r="AJ136" s="9"/>
      <c r="AK136" s="49">
        <f t="shared" si="343"/>
        <v>0</v>
      </c>
      <c r="AL136" s="89"/>
      <c r="AM136" s="9"/>
      <c r="AN136" s="9"/>
      <c r="AO136" s="9"/>
      <c r="AP136" s="61">
        <f t="shared" si="344"/>
        <v>0</v>
      </c>
      <c r="AQ136" s="89"/>
      <c r="AR136" s="9">
        <f>ROUND('Sec 94 Roads'!K9*'Sec 94 Roads'!D9,-3)</f>
        <v>114000</v>
      </c>
      <c r="AS136" s="9">
        <f>J136-AR136</f>
        <v>41000</v>
      </c>
      <c r="AT136" s="9"/>
      <c r="AU136" s="61">
        <f t="shared" si="345"/>
        <v>0</v>
      </c>
      <c r="AW136" s="9"/>
      <c r="AX136" s="9"/>
      <c r="AY136" s="9"/>
      <c r="AZ136" s="49">
        <f t="shared" si="346"/>
        <v>0</v>
      </c>
      <c r="BA136" s="89"/>
      <c r="BB136" s="9"/>
      <c r="BC136" s="9"/>
      <c r="BD136" s="9"/>
      <c r="BE136" s="49">
        <f t="shared" si="347"/>
        <v>0</v>
      </c>
      <c r="BF136" s="89"/>
      <c r="BG136" s="9"/>
      <c r="BH136" s="9"/>
      <c r="BI136" s="9"/>
      <c r="BJ136" s="49">
        <f t="shared" si="348"/>
        <v>0</v>
      </c>
      <c r="BK136" s="89"/>
      <c r="BL136" s="9"/>
      <c r="BM136" s="9"/>
      <c r="BN136" s="9"/>
      <c r="BO136" s="49">
        <f t="shared" si="349"/>
        <v>0</v>
      </c>
      <c r="BP136" s="89"/>
      <c r="BQ136" s="9"/>
      <c r="BR136" s="9"/>
      <c r="BS136" s="9"/>
      <c r="BT136" s="49">
        <f t="shared" si="350"/>
        <v>0</v>
      </c>
      <c r="BU136" s="89"/>
      <c r="BV136" s="9"/>
      <c r="BW136" s="9"/>
      <c r="BX136" s="9"/>
      <c r="BY136" s="49">
        <f t="shared" si="351"/>
        <v>0</v>
      </c>
      <c r="BZ136" s="89"/>
      <c r="CA136" s="9"/>
      <c r="CB136" s="9"/>
      <c r="CC136" s="9"/>
      <c r="CD136" s="46">
        <f t="shared" si="440"/>
        <v>0</v>
      </c>
      <c r="CE136" s="1406">
        <v>0.75</v>
      </c>
      <c r="CF136" s="833">
        <f t="shared" si="442"/>
        <v>0.75</v>
      </c>
      <c r="CG136" s="833">
        <f t="shared" si="443"/>
        <v>0.75</v>
      </c>
      <c r="CH136" s="833">
        <f t="shared" si="444"/>
        <v>0.75</v>
      </c>
      <c r="CI136" s="833">
        <f t="shared" si="445"/>
        <v>0.75</v>
      </c>
      <c r="CJ136" s="833">
        <f t="shared" si="446"/>
        <v>0.75</v>
      </c>
      <c r="CK136" s="833">
        <f t="shared" si="447"/>
        <v>0.75</v>
      </c>
      <c r="CL136" s="833">
        <f t="shared" si="448"/>
        <v>0.75</v>
      </c>
      <c r="CM136" s="833">
        <f t="shared" si="449"/>
        <v>0.75</v>
      </c>
      <c r="CN136" s="833">
        <f t="shared" si="450"/>
        <v>0.75</v>
      </c>
      <c r="CO136" s="833">
        <f t="shared" si="451"/>
        <v>0.75</v>
      </c>
      <c r="CP136" s="833">
        <f t="shared" si="452"/>
        <v>0.75</v>
      </c>
      <c r="CQ136" s="833">
        <f t="shared" si="452"/>
        <v>0.75</v>
      </c>
      <c r="CR136" s="833"/>
      <c r="CS136" s="1125">
        <f t="shared" si="355"/>
        <v>0</v>
      </c>
      <c r="CT136" s="31">
        <f t="shared" si="356"/>
        <v>0</v>
      </c>
      <c r="CU136" s="31">
        <f t="shared" si="357"/>
        <v>0</v>
      </c>
      <c r="CV136" s="31">
        <f t="shared" si="358"/>
        <v>0</v>
      </c>
      <c r="CW136" s="31">
        <f t="shared" si="359"/>
        <v>0</v>
      </c>
      <c r="CX136" s="31">
        <f t="shared" si="360"/>
        <v>116000</v>
      </c>
      <c r="CY136" s="31">
        <f t="shared" si="361"/>
        <v>0</v>
      </c>
      <c r="CZ136" s="31">
        <f t="shared" si="362"/>
        <v>0</v>
      </c>
      <c r="DA136" s="31">
        <f t="shared" si="363"/>
        <v>0</v>
      </c>
      <c r="DB136" s="31">
        <f t="shared" si="364"/>
        <v>0</v>
      </c>
      <c r="DC136" s="31">
        <f t="shared" si="365"/>
        <v>0</v>
      </c>
      <c r="DD136" s="31">
        <f t="shared" si="366"/>
        <v>0</v>
      </c>
      <c r="DE136" s="78">
        <f t="shared" si="366"/>
        <v>0</v>
      </c>
    </row>
    <row r="137" spans="1:109" x14ac:dyDescent="0.2">
      <c r="A137" s="615" t="s">
        <v>5882</v>
      </c>
      <c r="B137" s="1269"/>
      <c r="C137" s="1337"/>
      <c r="D137" s="1331" t="s">
        <v>5046</v>
      </c>
      <c r="E137" s="1346"/>
      <c r="F137" s="9"/>
      <c r="G137" s="9"/>
      <c r="H137" s="9"/>
      <c r="I137" s="9"/>
      <c r="J137" s="9"/>
      <c r="K137" s="9">
        <f>'Sec 94 Roads'!L10</f>
        <v>8556000</v>
      </c>
      <c r="L137" s="9"/>
      <c r="M137" s="9"/>
      <c r="N137" s="9"/>
      <c r="O137" s="9"/>
      <c r="P137" s="9"/>
      <c r="Q137" s="49"/>
      <c r="R137" s="89"/>
      <c r="S137" s="9"/>
      <c r="T137" s="9"/>
      <c r="U137" s="9"/>
      <c r="V137" s="49"/>
      <c r="W137" s="133"/>
      <c r="X137" s="9"/>
      <c r="Y137" s="46"/>
      <c r="Z137" s="9"/>
      <c r="AA137" s="46">
        <f t="shared" si="279"/>
        <v>0</v>
      </c>
      <c r="AB137" s="133"/>
      <c r="AC137" s="9"/>
      <c r="AD137" s="9"/>
      <c r="AE137" s="9"/>
      <c r="AF137" s="49">
        <f t="shared" si="368"/>
        <v>0</v>
      </c>
      <c r="AG137" s="89"/>
      <c r="AH137" s="9"/>
      <c r="AI137" s="9"/>
      <c r="AJ137" s="9"/>
      <c r="AK137" s="49">
        <f t="shared" si="343"/>
        <v>0</v>
      </c>
      <c r="AL137" s="89"/>
      <c r="AM137" s="9"/>
      <c r="AN137" s="9"/>
      <c r="AO137" s="9"/>
      <c r="AP137" s="61">
        <f t="shared" si="344"/>
        <v>0</v>
      </c>
      <c r="AQ137" s="89"/>
      <c r="AR137" s="9"/>
      <c r="AS137" s="9"/>
      <c r="AT137" s="9"/>
      <c r="AU137" s="61">
        <f t="shared" si="345"/>
        <v>0</v>
      </c>
      <c r="AW137" s="9">
        <f>ROUND('Sec 94 Roads'!L10*'Sec 94 Roads'!D10,-3)</f>
        <v>8434000</v>
      </c>
      <c r="AX137" s="9"/>
      <c r="AY137" s="9"/>
      <c r="AZ137" s="49">
        <f t="shared" si="346"/>
        <v>122000</v>
      </c>
      <c r="BA137" s="89"/>
      <c r="BB137" s="9"/>
      <c r="BC137" s="9"/>
      <c r="BD137" s="9"/>
      <c r="BE137" s="49">
        <f t="shared" si="347"/>
        <v>0</v>
      </c>
      <c r="BF137" s="89"/>
      <c r="BG137" s="9"/>
      <c r="BH137" s="9"/>
      <c r="BI137" s="9"/>
      <c r="BJ137" s="49">
        <f t="shared" si="348"/>
        <v>0</v>
      </c>
      <c r="BK137" s="89"/>
      <c r="BL137" s="9"/>
      <c r="BM137" s="9"/>
      <c r="BN137" s="9"/>
      <c r="BO137" s="49">
        <f t="shared" si="349"/>
        <v>0</v>
      </c>
      <c r="BP137" s="89"/>
      <c r="BQ137" s="9"/>
      <c r="BR137" s="9"/>
      <c r="BS137" s="9"/>
      <c r="BT137" s="49">
        <f t="shared" si="350"/>
        <v>0</v>
      </c>
      <c r="BU137" s="89"/>
      <c r="BV137" s="9"/>
      <c r="BW137" s="9"/>
      <c r="BX137" s="9"/>
      <c r="BY137" s="49">
        <f t="shared" si="351"/>
        <v>0</v>
      </c>
      <c r="BZ137" s="89"/>
      <c r="CA137" s="9"/>
      <c r="CB137" s="9"/>
      <c r="CC137" s="9"/>
      <c r="CD137" s="46">
        <f t="shared" si="440"/>
        <v>0</v>
      </c>
      <c r="CE137" s="1406">
        <v>0.75</v>
      </c>
      <c r="CF137" s="833">
        <f t="shared" si="442"/>
        <v>0.75</v>
      </c>
      <c r="CG137" s="833">
        <f t="shared" si="443"/>
        <v>0.75</v>
      </c>
      <c r="CH137" s="833">
        <f t="shared" si="444"/>
        <v>0.75</v>
      </c>
      <c r="CI137" s="833">
        <f t="shared" si="445"/>
        <v>0.75</v>
      </c>
      <c r="CJ137" s="833">
        <f t="shared" si="446"/>
        <v>0.75</v>
      </c>
      <c r="CK137" s="833">
        <f t="shared" si="447"/>
        <v>0.75</v>
      </c>
      <c r="CL137" s="833">
        <f t="shared" si="448"/>
        <v>0.75</v>
      </c>
      <c r="CM137" s="833">
        <f t="shared" si="449"/>
        <v>0.75</v>
      </c>
      <c r="CN137" s="833">
        <f t="shared" si="450"/>
        <v>0.75</v>
      </c>
      <c r="CO137" s="833">
        <f t="shared" si="451"/>
        <v>0.75</v>
      </c>
      <c r="CP137" s="833">
        <f t="shared" si="452"/>
        <v>0.75</v>
      </c>
      <c r="CQ137" s="833">
        <f t="shared" si="452"/>
        <v>0.75</v>
      </c>
      <c r="CR137" s="833"/>
      <c r="CS137" s="1125">
        <f t="shared" si="355"/>
        <v>0</v>
      </c>
      <c r="CT137" s="31">
        <f t="shared" si="356"/>
        <v>0</v>
      </c>
      <c r="CU137" s="31">
        <f t="shared" si="357"/>
        <v>0</v>
      </c>
      <c r="CV137" s="31">
        <f t="shared" si="358"/>
        <v>0</v>
      </c>
      <c r="CW137" s="31">
        <f t="shared" si="359"/>
        <v>0</v>
      </c>
      <c r="CX137" s="31">
        <f t="shared" si="360"/>
        <v>0</v>
      </c>
      <c r="CY137" s="31">
        <f t="shared" si="361"/>
        <v>6417000</v>
      </c>
      <c r="CZ137" s="31">
        <f t="shared" si="362"/>
        <v>0</v>
      </c>
      <c r="DA137" s="31">
        <f t="shared" si="363"/>
        <v>0</v>
      </c>
      <c r="DB137" s="31">
        <f t="shared" si="364"/>
        <v>0</v>
      </c>
      <c r="DC137" s="31">
        <f t="shared" si="365"/>
        <v>0</v>
      </c>
      <c r="DD137" s="31">
        <f t="shared" si="366"/>
        <v>0</v>
      </c>
      <c r="DE137" s="78">
        <f t="shared" si="366"/>
        <v>0</v>
      </c>
    </row>
    <row r="138" spans="1:109" x14ac:dyDescent="0.2">
      <c r="A138" s="615" t="s">
        <v>5883</v>
      </c>
      <c r="B138" s="1269"/>
      <c r="C138" s="1337"/>
      <c r="D138" s="1331" t="s">
        <v>5046</v>
      </c>
      <c r="E138" s="1346"/>
      <c r="F138" s="9"/>
      <c r="G138" s="9"/>
      <c r="H138" s="9"/>
      <c r="I138" s="9"/>
      <c r="J138" s="46"/>
      <c r="K138" s="9">
        <f>'Sec 94 Roads'!L11</f>
        <v>4786000</v>
      </c>
      <c r="L138" s="29"/>
      <c r="M138" s="9"/>
      <c r="N138" s="9"/>
      <c r="O138" s="9"/>
      <c r="P138" s="9"/>
      <c r="Q138" s="49"/>
      <c r="R138" s="89"/>
      <c r="S138" s="9"/>
      <c r="T138" s="9"/>
      <c r="U138" s="9"/>
      <c r="V138" s="49"/>
      <c r="W138" s="133"/>
      <c r="X138" s="9"/>
      <c r="Y138" s="46"/>
      <c r="Z138" s="9"/>
      <c r="AA138" s="46">
        <f t="shared" si="279"/>
        <v>0</v>
      </c>
      <c r="AB138" s="133"/>
      <c r="AC138" s="9"/>
      <c r="AD138" s="9"/>
      <c r="AE138" s="9"/>
      <c r="AF138" s="49">
        <f t="shared" si="368"/>
        <v>0</v>
      </c>
      <c r="AG138" s="89"/>
      <c r="AH138" s="9"/>
      <c r="AI138" s="9"/>
      <c r="AJ138" s="9"/>
      <c r="AK138" s="49">
        <f t="shared" si="343"/>
        <v>0</v>
      </c>
      <c r="AL138" s="89"/>
      <c r="AM138" s="9"/>
      <c r="AN138" s="9"/>
      <c r="AO138" s="9"/>
      <c r="AP138" s="61">
        <f t="shared" si="344"/>
        <v>0</v>
      </c>
      <c r="AQ138" s="89"/>
      <c r="AR138" s="9"/>
      <c r="AS138" s="9"/>
      <c r="AT138" s="9"/>
      <c r="AU138" s="61">
        <f t="shared" si="345"/>
        <v>0</v>
      </c>
      <c r="AW138" s="9">
        <f>ROUND('Sec 94 Roads'!L11*'Sec 94 Roads'!D11,-3)</f>
        <v>4718000</v>
      </c>
      <c r="AX138" s="9"/>
      <c r="AY138" s="9"/>
      <c r="AZ138" s="49">
        <f t="shared" si="346"/>
        <v>68000</v>
      </c>
      <c r="BA138" s="89"/>
      <c r="BB138" s="9"/>
      <c r="BC138" s="9"/>
      <c r="BD138" s="9"/>
      <c r="BE138" s="49">
        <f t="shared" si="347"/>
        <v>0</v>
      </c>
      <c r="BF138" s="89"/>
      <c r="BG138" s="9"/>
      <c r="BH138" s="9"/>
      <c r="BI138" s="9"/>
      <c r="BJ138" s="49">
        <f t="shared" si="348"/>
        <v>0</v>
      </c>
      <c r="BK138" s="89"/>
      <c r="BL138" s="9"/>
      <c r="BM138" s="9"/>
      <c r="BN138" s="9"/>
      <c r="BO138" s="49">
        <f t="shared" si="349"/>
        <v>0</v>
      </c>
      <c r="BP138" s="89"/>
      <c r="BQ138" s="9"/>
      <c r="BR138" s="9"/>
      <c r="BS138" s="9"/>
      <c r="BT138" s="49">
        <f t="shared" si="350"/>
        <v>0</v>
      </c>
      <c r="BU138" s="89"/>
      <c r="BV138" s="9"/>
      <c r="BW138" s="9"/>
      <c r="BX138" s="9"/>
      <c r="BY138" s="49">
        <f t="shared" si="351"/>
        <v>0</v>
      </c>
      <c r="BZ138" s="89"/>
      <c r="CA138" s="9"/>
      <c r="CB138" s="9"/>
      <c r="CC138" s="9"/>
      <c r="CD138" s="46">
        <f t="shared" si="440"/>
        <v>0</v>
      </c>
      <c r="CE138" s="1406">
        <v>0.75</v>
      </c>
      <c r="CF138" s="833">
        <f t="shared" si="442"/>
        <v>0.75</v>
      </c>
      <c r="CG138" s="833">
        <f t="shared" si="443"/>
        <v>0.75</v>
      </c>
      <c r="CH138" s="833">
        <f t="shared" si="444"/>
        <v>0.75</v>
      </c>
      <c r="CI138" s="833">
        <f t="shared" si="445"/>
        <v>0.75</v>
      </c>
      <c r="CJ138" s="833">
        <f t="shared" si="446"/>
        <v>0.75</v>
      </c>
      <c r="CK138" s="833">
        <f t="shared" si="447"/>
        <v>0.75</v>
      </c>
      <c r="CL138" s="833">
        <f t="shared" si="448"/>
        <v>0.75</v>
      </c>
      <c r="CM138" s="833">
        <f t="shared" si="449"/>
        <v>0.75</v>
      </c>
      <c r="CN138" s="833">
        <f t="shared" si="450"/>
        <v>0.75</v>
      </c>
      <c r="CO138" s="833">
        <f t="shared" si="451"/>
        <v>0.75</v>
      </c>
      <c r="CP138" s="833">
        <f t="shared" si="452"/>
        <v>0.75</v>
      </c>
      <c r="CQ138" s="833">
        <f t="shared" si="452"/>
        <v>0.75</v>
      </c>
      <c r="CR138" s="833"/>
      <c r="CS138" s="1125">
        <f t="shared" si="355"/>
        <v>0</v>
      </c>
      <c r="CT138" s="31">
        <f t="shared" si="356"/>
        <v>0</v>
      </c>
      <c r="CU138" s="31">
        <f t="shared" si="357"/>
        <v>0</v>
      </c>
      <c r="CV138" s="31">
        <f t="shared" si="358"/>
        <v>0</v>
      </c>
      <c r="CW138" s="31">
        <f t="shared" si="359"/>
        <v>0</v>
      </c>
      <c r="CX138" s="31">
        <f t="shared" si="360"/>
        <v>0</v>
      </c>
      <c r="CY138" s="31">
        <f t="shared" si="361"/>
        <v>3590000</v>
      </c>
      <c r="CZ138" s="31">
        <f t="shared" si="362"/>
        <v>0</v>
      </c>
      <c r="DA138" s="31">
        <f t="shared" si="363"/>
        <v>0</v>
      </c>
      <c r="DB138" s="31">
        <f t="shared" si="364"/>
        <v>0</v>
      </c>
      <c r="DC138" s="31">
        <f t="shared" si="365"/>
        <v>0</v>
      </c>
      <c r="DD138" s="31">
        <f t="shared" si="366"/>
        <v>0</v>
      </c>
      <c r="DE138" s="78">
        <f t="shared" si="366"/>
        <v>0</v>
      </c>
    </row>
    <row r="139" spans="1:109" x14ac:dyDescent="0.2">
      <c r="A139" s="615" t="s">
        <v>5849</v>
      </c>
      <c r="B139" s="1269"/>
      <c r="C139" s="1337"/>
      <c r="D139" s="1331" t="s">
        <v>5046</v>
      </c>
      <c r="E139" s="133"/>
      <c r="F139" s="9">
        <f>'Sec 94'!F62</f>
        <v>354600</v>
      </c>
      <c r="G139" s="9">
        <f>'Sec 94'!G62-2800</f>
        <v>494000</v>
      </c>
      <c r="H139" s="9">
        <f>'Sec 94'!H62</f>
        <v>191000</v>
      </c>
      <c r="I139" s="9">
        <f>'Sec 94'!I62</f>
        <v>199000</v>
      </c>
      <c r="J139" s="9">
        <f>'Sec 94'!J62</f>
        <v>207000</v>
      </c>
      <c r="K139" s="9">
        <f>'Sec 94'!K62</f>
        <v>215000</v>
      </c>
      <c r="L139" s="9">
        <f>'Sec 94'!L62</f>
        <v>224000</v>
      </c>
      <c r="M139" s="9">
        <f>'Sec 94'!M62</f>
        <v>233000</v>
      </c>
      <c r="N139" s="9">
        <f>'Sec 94'!N62</f>
        <v>242000</v>
      </c>
      <c r="O139" s="9">
        <f>'Sec 94'!O62</f>
        <v>381000</v>
      </c>
      <c r="P139" s="9">
        <f>'Sec 94'!P62</f>
        <v>391000</v>
      </c>
      <c r="Q139" s="49">
        <f>'Sec 94'!Q62</f>
        <v>401000</v>
      </c>
      <c r="R139" s="89"/>
      <c r="S139" s="9"/>
      <c r="T139" s="9"/>
      <c r="U139" s="9"/>
      <c r="V139" s="49"/>
      <c r="W139" s="133"/>
      <c r="X139" s="9">
        <f>'Sec 94'!F62</f>
        <v>354600</v>
      </c>
      <c r="Y139" s="46"/>
      <c r="Z139" s="9"/>
      <c r="AA139" s="46">
        <f t="shared" si="279"/>
        <v>0</v>
      </c>
      <c r="AB139" s="133"/>
      <c r="AC139" s="9">
        <f>+G139</f>
        <v>494000</v>
      </c>
      <c r="AD139" s="9"/>
      <c r="AE139" s="9"/>
      <c r="AF139" s="49">
        <f t="shared" si="368"/>
        <v>0</v>
      </c>
      <c r="AG139" s="89"/>
      <c r="AH139" s="9">
        <f>'Sec 94'!H62</f>
        <v>191000</v>
      </c>
      <c r="AI139" s="9"/>
      <c r="AJ139" s="9"/>
      <c r="AK139" s="49">
        <f t="shared" si="343"/>
        <v>0</v>
      </c>
      <c r="AL139" s="89"/>
      <c r="AM139" s="9">
        <f>'Sec 94'!I62</f>
        <v>199000</v>
      </c>
      <c r="AN139" s="9"/>
      <c r="AO139" s="9"/>
      <c r="AP139" s="61">
        <f t="shared" si="344"/>
        <v>0</v>
      </c>
      <c r="AQ139" s="89"/>
      <c r="AR139" s="9">
        <f>'Sec 94'!J62</f>
        <v>207000</v>
      </c>
      <c r="AS139" s="9"/>
      <c r="AT139" s="9"/>
      <c r="AU139" s="61">
        <f t="shared" si="345"/>
        <v>0</v>
      </c>
      <c r="AW139" s="9">
        <f>'Sec 94'!K62</f>
        <v>215000</v>
      </c>
      <c r="AX139" s="9"/>
      <c r="AY139" s="9"/>
      <c r="AZ139" s="49">
        <f t="shared" si="346"/>
        <v>0</v>
      </c>
      <c r="BA139" s="89"/>
      <c r="BB139" s="9">
        <f>'Sec 94'!L62</f>
        <v>224000</v>
      </c>
      <c r="BC139" s="9"/>
      <c r="BD139" s="9"/>
      <c r="BE139" s="49">
        <f t="shared" si="347"/>
        <v>0</v>
      </c>
      <c r="BF139" s="89"/>
      <c r="BG139" s="9">
        <f>'Sec 94'!M62</f>
        <v>233000</v>
      </c>
      <c r="BH139" s="9"/>
      <c r="BI139" s="9"/>
      <c r="BJ139" s="49">
        <f t="shared" si="348"/>
        <v>0</v>
      </c>
      <c r="BK139" s="89"/>
      <c r="BL139" s="9">
        <f>'Sec 94'!N62</f>
        <v>242000</v>
      </c>
      <c r="BM139" s="9"/>
      <c r="BN139" s="9"/>
      <c r="BO139" s="49">
        <f t="shared" si="349"/>
        <v>0</v>
      </c>
      <c r="BP139" s="89"/>
      <c r="BQ139" s="9">
        <f>'Sec 94'!O62</f>
        <v>381000</v>
      </c>
      <c r="BR139" s="9"/>
      <c r="BS139" s="9"/>
      <c r="BT139" s="49">
        <f t="shared" si="350"/>
        <v>0</v>
      </c>
      <c r="BU139" s="89"/>
      <c r="BV139" s="9">
        <f>'Sec 94'!P62</f>
        <v>391000</v>
      </c>
      <c r="BW139" s="9"/>
      <c r="BX139" s="9"/>
      <c r="BY139" s="49">
        <f t="shared" si="351"/>
        <v>0</v>
      </c>
      <c r="BZ139" s="89"/>
      <c r="CA139" s="9">
        <f>+Q139</f>
        <v>401000</v>
      </c>
      <c r="CB139" s="9"/>
      <c r="CC139" s="9"/>
      <c r="CD139" s="46">
        <f t="shared" si="440"/>
        <v>0</v>
      </c>
      <c r="CE139" s="1406">
        <v>1</v>
      </c>
      <c r="CF139" s="833">
        <f t="shared" ref="CF139:CN139" si="453">CE139</f>
        <v>1</v>
      </c>
      <c r="CG139" s="833">
        <f t="shared" si="453"/>
        <v>1</v>
      </c>
      <c r="CH139" s="833">
        <f t="shared" si="453"/>
        <v>1</v>
      </c>
      <c r="CI139" s="833">
        <f t="shared" si="453"/>
        <v>1</v>
      </c>
      <c r="CJ139" s="833">
        <f t="shared" si="453"/>
        <v>1</v>
      </c>
      <c r="CK139" s="833">
        <f t="shared" si="453"/>
        <v>1</v>
      </c>
      <c r="CL139" s="833">
        <f t="shared" si="453"/>
        <v>1</v>
      </c>
      <c r="CM139" s="833">
        <f t="shared" si="453"/>
        <v>1</v>
      </c>
      <c r="CN139" s="833">
        <f t="shared" si="453"/>
        <v>1</v>
      </c>
      <c r="CO139" s="833">
        <f>CN139</f>
        <v>1</v>
      </c>
      <c r="CP139" s="833">
        <f>CO139</f>
        <v>1</v>
      </c>
      <c r="CQ139" s="833">
        <f>CP139</f>
        <v>1</v>
      </c>
      <c r="CR139" s="833"/>
      <c r="CS139" s="1125">
        <f t="shared" si="355"/>
        <v>0</v>
      </c>
      <c r="CT139" s="31">
        <f t="shared" si="356"/>
        <v>355000</v>
      </c>
      <c r="CU139" s="31">
        <f t="shared" si="357"/>
        <v>494000</v>
      </c>
      <c r="CV139" s="31">
        <f t="shared" si="358"/>
        <v>191000</v>
      </c>
      <c r="CW139" s="31">
        <f t="shared" si="359"/>
        <v>199000</v>
      </c>
      <c r="CX139" s="31">
        <f t="shared" si="360"/>
        <v>207000</v>
      </c>
      <c r="CY139" s="31">
        <f t="shared" si="361"/>
        <v>215000</v>
      </c>
      <c r="CZ139" s="31">
        <f t="shared" si="362"/>
        <v>224000</v>
      </c>
      <c r="DA139" s="31">
        <f t="shared" si="363"/>
        <v>233000</v>
      </c>
      <c r="DB139" s="31">
        <f t="shared" si="364"/>
        <v>242000</v>
      </c>
      <c r="DC139" s="31">
        <f t="shared" si="365"/>
        <v>381000</v>
      </c>
      <c r="DD139" s="31">
        <f t="shared" si="366"/>
        <v>391000</v>
      </c>
      <c r="DE139" s="78">
        <f t="shared" si="366"/>
        <v>401000</v>
      </c>
    </row>
    <row r="140" spans="1:109" x14ac:dyDescent="0.2">
      <c r="A140" s="615"/>
      <c r="B140" s="1368"/>
      <c r="C140" s="1346"/>
      <c r="D140" s="1331"/>
      <c r="E140" s="133"/>
      <c r="F140" s="9"/>
      <c r="G140" s="9"/>
      <c r="H140" s="9"/>
      <c r="I140" s="9"/>
      <c r="J140" s="89"/>
      <c r="K140" s="9"/>
      <c r="L140" s="9"/>
      <c r="M140" s="89"/>
      <c r="N140" s="9"/>
      <c r="O140" s="9"/>
      <c r="P140" s="9"/>
      <c r="Q140" s="49"/>
      <c r="R140" s="89"/>
      <c r="S140" s="9"/>
      <c r="T140" s="9"/>
      <c r="U140" s="9"/>
      <c r="V140" s="49"/>
      <c r="W140" s="133"/>
      <c r="X140" s="9"/>
      <c r="Y140" s="46"/>
      <c r="Z140" s="9"/>
      <c r="AA140" s="46">
        <f t="shared" si="279"/>
        <v>0</v>
      </c>
      <c r="AB140" s="133"/>
      <c r="AC140" s="9"/>
      <c r="AD140" s="9"/>
      <c r="AE140" s="9"/>
      <c r="AF140" s="49"/>
      <c r="AG140" s="89"/>
      <c r="AH140" s="9"/>
      <c r="AI140" s="9"/>
      <c r="AJ140" s="9"/>
      <c r="AK140" s="49"/>
      <c r="AL140" s="89"/>
      <c r="AM140" s="9"/>
      <c r="AN140" s="9"/>
      <c r="AO140" s="9"/>
      <c r="AP140" s="61"/>
      <c r="AQ140" s="89"/>
      <c r="AR140" s="9"/>
      <c r="AS140" s="9"/>
      <c r="AT140" s="9"/>
      <c r="AU140" s="61"/>
      <c r="AW140" s="9"/>
      <c r="AX140" s="9"/>
      <c r="AY140" s="9"/>
      <c r="AZ140" s="49"/>
      <c r="BA140" s="89"/>
      <c r="BB140" s="9"/>
      <c r="BC140" s="9"/>
      <c r="BD140" s="9"/>
      <c r="BE140" s="49"/>
      <c r="BF140" s="89"/>
      <c r="BG140" s="9"/>
      <c r="BH140" s="9"/>
      <c r="BI140" s="9"/>
      <c r="BJ140" s="49"/>
      <c r="BK140" s="89"/>
      <c r="BL140" s="9"/>
      <c r="BM140" s="9"/>
      <c r="BN140" s="9"/>
      <c r="BO140" s="49"/>
      <c r="BP140" s="89"/>
      <c r="BQ140" s="9"/>
      <c r="BR140" s="9"/>
      <c r="BS140" s="9"/>
      <c r="BT140" s="49"/>
      <c r="BU140" s="89"/>
      <c r="BV140" s="9"/>
      <c r="BW140" s="9"/>
      <c r="BX140" s="9"/>
      <c r="BY140" s="49"/>
      <c r="BZ140" s="89"/>
      <c r="CA140" s="9"/>
      <c r="CB140" s="9"/>
      <c r="CC140" s="9"/>
      <c r="CE140" s="1406"/>
      <c r="CF140" s="833"/>
      <c r="CG140" s="833"/>
      <c r="CH140" s="833"/>
      <c r="CI140" s="833"/>
      <c r="CJ140" s="833"/>
      <c r="CK140" s="833"/>
      <c r="CL140" s="833"/>
      <c r="CM140" s="833"/>
      <c r="CN140" s="833"/>
      <c r="CO140" s="833"/>
      <c r="CP140" s="833"/>
      <c r="CQ140" s="833"/>
      <c r="CR140" s="833"/>
      <c r="CS140" s="1125"/>
      <c r="CT140" s="31"/>
      <c r="CU140" s="31"/>
      <c r="CV140" s="31"/>
      <c r="CW140" s="31"/>
      <c r="CX140" s="31"/>
      <c r="CY140" s="31"/>
      <c r="CZ140" s="31"/>
      <c r="DA140" s="31"/>
      <c r="DB140" s="31"/>
      <c r="DC140" s="31"/>
      <c r="DD140" s="31"/>
      <c r="DE140" s="78"/>
    </row>
    <row r="141" spans="1:109" x14ac:dyDescent="0.2">
      <c r="A141" s="413" t="s">
        <v>1007</v>
      </c>
      <c r="B141" s="1356" t="s">
        <v>1287</v>
      </c>
      <c r="C141" s="1337"/>
      <c r="D141" s="1331" t="s">
        <v>5046</v>
      </c>
      <c r="E141" s="133">
        <v>96000</v>
      </c>
      <c r="F141" s="9">
        <v>89900</v>
      </c>
      <c r="G141" s="9">
        <f>104000+45900+39500+30000-45900</f>
        <v>173500</v>
      </c>
      <c r="H141" s="9">
        <f>ROUND((G141*Assumptions!I$6+G141),-3)-48000-41000-31000+48000</f>
        <v>108000</v>
      </c>
      <c r="I141" s="29">
        <f>ROUND((H141*Assumptions!J$6+H141),-3)</f>
        <v>112000</v>
      </c>
      <c r="J141" s="29">
        <f>ROUND((I141*Assumptions!K$6+I141),-3)</f>
        <v>115000</v>
      </c>
      <c r="K141" s="9">
        <f>ROUND((J141*Assumptions!L$6+J141),-3)</f>
        <v>118000</v>
      </c>
      <c r="L141" s="9">
        <f>ROUND((K141*Assumptions!M$6+K141),-3)</f>
        <v>121000</v>
      </c>
      <c r="M141" s="89">
        <f>ROUND((L141*Assumptions!N$6+L141),-3)</f>
        <v>124000</v>
      </c>
      <c r="N141" s="9">
        <f>ROUND((M141*Assumptions!O$6+M141),-3)</f>
        <v>127000</v>
      </c>
      <c r="O141" s="9">
        <f>ROUND((N141*Assumptions!P$6+N141),-3)</f>
        <v>130000</v>
      </c>
      <c r="P141" s="9">
        <f>ROUND((O141*Assumptions!Q$6+O141),-3)</f>
        <v>133000</v>
      </c>
      <c r="Q141" s="49">
        <f>ROUND((P141*Assumptions!R$6+P141),-3)</f>
        <v>136000</v>
      </c>
      <c r="R141" s="89">
        <f>+'Cap Inc'!B60</f>
        <v>75000</v>
      </c>
      <c r="S141" s="9"/>
      <c r="T141" s="9"/>
      <c r="U141" s="9">
        <f>75000-54000</f>
        <v>21000</v>
      </c>
      <c r="V141" s="49">
        <f>E141-R141-S141-T141-U141</f>
        <v>0</v>
      </c>
      <c r="W141" s="133"/>
      <c r="X141" s="9"/>
      <c r="Y141" s="46"/>
      <c r="Z141" s="9">
        <f>+F141</f>
        <v>89900</v>
      </c>
      <c r="AA141" s="46">
        <f t="shared" si="279"/>
        <v>0</v>
      </c>
      <c r="AB141" s="133"/>
      <c r="AC141" s="9"/>
      <c r="AD141" s="9"/>
      <c r="AE141" s="9">
        <f>45900+39500+30000-45900</f>
        <v>69500</v>
      </c>
      <c r="AF141" s="49">
        <f>G141-AB141-AC141-AD141-AE141</f>
        <v>104000</v>
      </c>
      <c r="AG141" s="89"/>
      <c r="AH141" s="9"/>
      <c r="AI141" s="9"/>
      <c r="AJ141" s="9"/>
      <c r="AK141" s="49">
        <f>H141-AG141-AH141-AI141-AJ141</f>
        <v>108000</v>
      </c>
      <c r="AL141" s="89"/>
      <c r="AM141" s="9"/>
      <c r="AN141" s="9"/>
      <c r="AO141" s="9"/>
      <c r="AP141" s="61">
        <f>I141-AL141-AM141-AN141-AO141</f>
        <v>112000</v>
      </c>
      <c r="AQ141" s="89"/>
      <c r="AR141" s="9"/>
      <c r="AS141" s="9"/>
      <c r="AT141" s="9"/>
      <c r="AU141" s="61">
        <f>J141-AQ141-AR141-AS141-AT141</f>
        <v>115000</v>
      </c>
      <c r="AW141" s="9"/>
      <c r="AX141" s="9"/>
      <c r="AY141" s="9"/>
      <c r="AZ141" s="49">
        <f>K141-AV141-AW141-AX141-AY141</f>
        <v>118000</v>
      </c>
      <c r="BA141" s="89"/>
      <c r="BB141" s="9"/>
      <c r="BC141" s="9"/>
      <c r="BD141" s="9"/>
      <c r="BE141" s="49">
        <f>L141-BA141-BB141-BC141-BD141</f>
        <v>121000</v>
      </c>
      <c r="BF141" s="89"/>
      <c r="BG141" s="9"/>
      <c r="BH141" s="9"/>
      <c r="BI141" s="9"/>
      <c r="BJ141" s="49">
        <f>M141-BF141-BG141-BH141-BI141</f>
        <v>124000</v>
      </c>
      <c r="BK141" s="89"/>
      <c r="BL141" s="9"/>
      <c r="BM141" s="9"/>
      <c r="BN141" s="9"/>
      <c r="BO141" s="49">
        <f>N141-BK141-BL141-BM141-BN141</f>
        <v>127000</v>
      </c>
      <c r="BP141" s="89"/>
      <c r="BQ141" s="9"/>
      <c r="BR141" s="9"/>
      <c r="BS141" s="9"/>
      <c r="BT141" s="49">
        <f>O141-BP141-BQ141-BR141-BS141</f>
        <v>130000</v>
      </c>
      <c r="BU141" s="89"/>
      <c r="BV141" s="9"/>
      <c r="BW141" s="9"/>
      <c r="BX141" s="9"/>
      <c r="BY141" s="49">
        <f>P141-BU141-BV141-BW141-BX141</f>
        <v>133000</v>
      </c>
      <c r="BZ141" s="89"/>
      <c r="CA141" s="9"/>
      <c r="CB141" s="9"/>
      <c r="CC141" s="9"/>
      <c r="CD141" s="46">
        <f t="shared" ref="CD141" si="454">Q141-BZ141-CA141-CB141-CC141</f>
        <v>136000</v>
      </c>
      <c r="CE141" s="1406">
        <v>1</v>
      </c>
      <c r="CF141" s="833">
        <f t="shared" ref="CF141:CN141" si="455">CE141</f>
        <v>1</v>
      </c>
      <c r="CG141" s="833">
        <f t="shared" si="455"/>
        <v>1</v>
      </c>
      <c r="CH141" s="833">
        <f t="shared" si="455"/>
        <v>1</v>
      </c>
      <c r="CI141" s="833">
        <f t="shared" si="455"/>
        <v>1</v>
      </c>
      <c r="CJ141" s="833">
        <f t="shared" si="455"/>
        <v>1</v>
      </c>
      <c r="CK141" s="833">
        <f t="shared" si="455"/>
        <v>1</v>
      </c>
      <c r="CL141" s="833">
        <f t="shared" si="455"/>
        <v>1</v>
      </c>
      <c r="CM141" s="833">
        <f t="shared" si="455"/>
        <v>1</v>
      </c>
      <c r="CN141" s="833">
        <f t="shared" si="455"/>
        <v>1</v>
      </c>
      <c r="CO141" s="833">
        <f>CN141</f>
        <v>1</v>
      </c>
      <c r="CP141" s="833">
        <f>CO141</f>
        <v>1</v>
      </c>
      <c r="CQ141" s="833">
        <f>CP141</f>
        <v>1</v>
      </c>
      <c r="CR141" s="833"/>
      <c r="CS141" s="1125">
        <f t="shared" ref="CS141:DE141" si="456">ROUND(CE141*E141,-3)</f>
        <v>96000</v>
      </c>
      <c r="CT141" s="31">
        <f t="shared" si="456"/>
        <v>90000</v>
      </c>
      <c r="CU141" s="31">
        <f t="shared" si="456"/>
        <v>174000</v>
      </c>
      <c r="CV141" s="31">
        <f t="shared" si="456"/>
        <v>108000</v>
      </c>
      <c r="CW141" s="31">
        <f t="shared" si="456"/>
        <v>112000</v>
      </c>
      <c r="CX141" s="31">
        <f t="shared" si="456"/>
        <v>115000</v>
      </c>
      <c r="CY141" s="31">
        <f t="shared" si="456"/>
        <v>118000</v>
      </c>
      <c r="CZ141" s="31">
        <f t="shared" si="456"/>
        <v>121000</v>
      </c>
      <c r="DA141" s="31">
        <f t="shared" si="456"/>
        <v>124000</v>
      </c>
      <c r="DB141" s="31">
        <f t="shared" si="456"/>
        <v>127000</v>
      </c>
      <c r="DC141" s="31">
        <f t="shared" si="456"/>
        <v>130000</v>
      </c>
      <c r="DD141" s="31">
        <f t="shared" si="456"/>
        <v>133000</v>
      </c>
      <c r="DE141" s="78">
        <f t="shared" si="456"/>
        <v>136000</v>
      </c>
    </row>
    <row r="142" spans="1:109" ht="13.5" thickBot="1" x14ac:dyDescent="0.25">
      <c r="A142" s="615"/>
      <c r="B142" s="1368"/>
      <c r="C142" s="1346"/>
      <c r="D142" s="1331"/>
      <c r="E142" s="133"/>
      <c r="F142" s="9"/>
      <c r="G142" s="9"/>
      <c r="H142" s="9"/>
      <c r="I142" s="9"/>
      <c r="J142" s="89"/>
      <c r="K142" s="9"/>
      <c r="L142" s="9"/>
      <c r="M142" s="89"/>
      <c r="N142" s="9"/>
      <c r="O142" s="9"/>
      <c r="P142" s="9"/>
      <c r="Q142" s="49"/>
      <c r="R142" s="89"/>
      <c r="S142" s="9"/>
      <c r="T142" s="9"/>
      <c r="U142" s="9"/>
      <c r="V142" s="49"/>
      <c r="W142" s="133"/>
      <c r="X142" s="9"/>
      <c r="Y142" s="46"/>
      <c r="Z142" s="9"/>
      <c r="AA142" s="49"/>
      <c r="AB142" s="133"/>
      <c r="AC142" s="9"/>
      <c r="AD142" s="9"/>
      <c r="AE142" s="9"/>
      <c r="AF142" s="49"/>
      <c r="AG142" s="89"/>
      <c r="AH142" s="9"/>
      <c r="AI142" s="9"/>
      <c r="AJ142" s="9"/>
      <c r="AK142" s="49"/>
      <c r="AL142" s="89"/>
      <c r="AM142" s="9"/>
      <c r="AN142" s="9"/>
      <c r="AO142" s="9"/>
      <c r="AP142" s="61"/>
      <c r="AQ142" s="89"/>
      <c r="AR142" s="9"/>
      <c r="AS142" s="9"/>
      <c r="AT142" s="9"/>
      <c r="AU142" s="61"/>
      <c r="AW142" s="9"/>
      <c r="AX142" s="9"/>
      <c r="AY142" s="9"/>
      <c r="AZ142" s="49"/>
      <c r="BA142" s="89"/>
      <c r="BB142" s="9"/>
      <c r="BC142" s="9"/>
      <c r="BD142" s="9"/>
      <c r="BE142" s="49"/>
      <c r="BF142" s="89"/>
      <c r="BG142" s="9"/>
      <c r="BH142" s="9"/>
      <c r="BI142" s="9"/>
      <c r="BJ142" s="49"/>
      <c r="BK142" s="89"/>
      <c r="BL142" s="9"/>
      <c r="BM142" s="9"/>
      <c r="BN142" s="9"/>
      <c r="BO142" s="49"/>
      <c r="BP142" s="89"/>
      <c r="BQ142" s="9"/>
      <c r="BR142" s="9"/>
      <c r="BS142" s="9"/>
      <c r="BT142" s="49"/>
      <c r="BU142" s="89"/>
      <c r="BV142" s="9"/>
      <c r="BW142" s="9"/>
      <c r="BX142" s="9"/>
      <c r="BY142" s="49"/>
      <c r="BZ142" s="89"/>
      <c r="CA142" s="9"/>
      <c r="CB142" s="9"/>
      <c r="CC142" s="9"/>
      <c r="CE142" s="1406"/>
      <c r="CF142" s="833"/>
      <c r="CG142" s="833"/>
      <c r="CH142" s="833"/>
      <c r="CI142" s="833"/>
      <c r="CJ142" s="833"/>
      <c r="CK142" s="833"/>
      <c r="CL142" s="833"/>
      <c r="CM142" s="833"/>
      <c r="CN142" s="833"/>
      <c r="CO142" s="833"/>
      <c r="CP142" s="833"/>
      <c r="CQ142" s="833"/>
      <c r="CR142" s="833"/>
      <c r="CS142" s="1125"/>
      <c r="CT142" s="31"/>
      <c r="CU142" s="31"/>
      <c r="CV142" s="31"/>
      <c r="CW142" s="31"/>
      <c r="CX142" s="31"/>
      <c r="CY142" s="31"/>
      <c r="CZ142" s="31"/>
      <c r="DA142" s="31"/>
      <c r="DB142" s="31"/>
      <c r="DC142" s="31"/>
      <c r="DD142" s="31"/>
      <c r="DE142" s="78"/>
    </row>
    <row r="143" spans="1:109" s="39" customFormat="1" ht="13.5" thickTop="1" x14ac:dyDescent="0.2">
      <c r="A143" s="1326" t="s">
        <v>5976</v>
      </c>
      <c r="B143" s="1359"/>
      <c r="C143" s="1336"/>
      <c r="D143" s="1387"/>
      <c r="E143" s="273">
        <f t="shared" ref="E143:AK143" si="457">SUBTOTAL(9,E117:E142)</f>
        <v>8764400</v>
      </c>
      <c r="F143" s="109">
        <f>SUBTOTAL(9,F117:F142)</f>
        <v>8295600</v>
      </c>
      <c r="G143" s="109">
        <f t="shared" si="457"/>
        <v>11115800</v>
      </c>
      <c r="H143" s="109">
        <f t="shared" si="457"/>
        <v>15222100</v>
      </c>
      <c r="I143" s="109">
        <f t="shared" si="457"/>
        <v>21665000</v>
      </c>
      <c r="J143" s="69">
        <f t="shared" si="457"/>
        <v>27755400</v>
      </c>
      <c r="K143" s="109">
        <f t="shared" si="457"/>
        <v>18415400</v>
      </c>
      <c r="L143" s="109">
        <f t="shared" si="457"/>
        <v>5493300</v>
      </c>
      <c r="M143" s="69">
        <f t="shared" si="457"/>
        <v>5731900</v>
      </c>
      <c r="N143" s="109">
        <f t="shared" si="457"/>
        <v>6132200</v>
      </c>
      <c r="O143" s="109">
        <f t="shared" si="457"/>
        <v>7094100</v>
      </c>
      <c r="P143" s="109">
        <f t="shared" si="457"/>
        <v>7859000</v>
      </c>
      <c r="Q143" s="272">
        <f t="shared" ref="Q143" si="458">SUBTOTAL(9,Q117:Q142)</f>
        <v>7936900</v>
      </c>
      <c r="R143" s="69">
        <f t="shared" si="457"/>
        <v>4718700</v>
      </c>
      <c r="S143" s="109">
        <f t="shared" si="457"/>
        <v>346200</v>
      </c>
      <c r="T143" s="109">
        <f t="shared" si="457"/>
        <v>0</v>
      </c>
      <c r="U143" s="109">
        <f t="shared" si="457"/>
        <v>2219500</v>
      </c>
      <c r="V143" s="221">
        <f t="shared" si="457"/>
        <v>1480000</v>
      </c>
      <c r="W143" s="273">
        <v>3701500</v>
      </c>
      <c r="X143" s="109">
        <f t="shared" si="457"/>
        <v>430200</v>
      </c>
      <c r="Y143" s="69">
        <f t="shared" si="457"/>
        <v>0</v>
      </c>
      <c r="Z143" s="109">
        <f t="shared" si="457"/>
        <v>915700</v>
      </c>
      <c r="AA143" s="221">
        <f t="shared" si="457"/>
        <v>3248200</v>
      </c>
      <c r="AB143" s="273">
        <f t="shared" si="457"/>
        <v>5581300</v>
      </c>
      <c r="AC143" s="109">
        <f t="shared" si="457"/>
        <v>531455</v>
      </c>
      <c r="AD143" s="109">
        <f t="shared" si="457"/>
        <v>0</v>
      </c>
      <c r="AE143" s="109">
        <f t="shared" si="457"/>
        <v>2076345</v>
      </c>
      <c r="AF143" s="221">
        <f t="shared" si="457"/>
        <v>2926700</v>
      </c>
      <c r="AG143" s="69">
        <f t="shared" si="457"/>
        <v>3674000</v>
      </c>
      <c r="AH143" s="109">
        <f t="shared" si="457"/>
        <v>191000</v>
      </c>
      <c r="AI143" s="109">
        <f t="shared" si="457"/>
        <v>2500000</v>
      </c>
      <c r="AJ143" s="109">
        <f t="shared" si="457"/>
        <v>5520000</v>
      </c>
      <c r="AK143" s="221">
        <f t="shared" si="457"/>
        <v>3337100</v>
      </c>
      <c r="AL143" s="69">
        <f t="shared" ref="AL143:BQ143" si="459">SUBTOTAL(9,AL117:AL142)</f>
        <v>819000</v>
      </c>
      <c r="AM143" s="109">
        <f t="shared" si="459"/>
        <v>17423000</v>
      </c>
      <c r="AN143" s="109">
        <f t="shared" si="459"/>
        <v>0</v>
      </c>
      <c r="AO143" s="109">
        <f t="shared" si="459"/>
        <v>0</v>
      </c>
      <c r="AP143" s="238">
        <f t="shared" si="459"/>
        <v>3423000</v>
      </c>
      <c r="AQ143" s="69">
        <f t="shared" si="459"/>
        <v>835400</v>
      </c>
      <c r="AR143" s="109">
        <f t="shared" si="459"/>
        <v>13831000</v>
      </c>
      <c r="AS143" s="109">
        <f t="shared" si="459"/>
        <v>8340000</v>
      </c>
      <c r="AT143" s="109">
        <f t="shared" si="459"/>
        <v>800000</v>
      </c>
      <c r="AU143" s="238">
        <f t="shared" si="459"/>
        <v>3949000</v>
      </c>
      <c r="AV143" s="72">
        <f t="shared" si="459"/>
        <v>852200</v>
      </c>
      <c r="AW143" s="109">
        <f t="shared" si="459"/>
        <v>13367000</v>
      </c>
      <c r="AX143" s="109">
        <f t="shared" si="459"/>
        <v>0</v>
      </c>
      <c r="AY143" s="109">
        <f t="shared" si="459"/>
        <v>809000</v>
      </c>
      <c r="AZ143" s="221">
        <f t="shared" si="459"/>
        <v>3387200</v>
      </c>
      <c r="BA143" s="69">
        <f t="shared" si="459"/>
        <v>869300</v>
      </c>
      <c r="BB143" s="109">
        <f t="shared" si="459"/>
        <v>224000</v>
      </c>
      <c r="BC143" s="109">
        <f t="shared" si="459"/>
        <v>0</v>
      </c>
      <c r="BD143" s="109">
        <f t="shared" si="459"/>
        <v>818000</v>
      </c>
      <c r="BE143" s="221">
        <f t="shared" si="459"/>
        <v>3582000</v>
      </c>
      <c r="BF143" s="69">
        <f t="shared" si="459"/>
        <v>886800</v>
      </c>
      <c r="BG143" s="109">
        <f t="shared" si="459"/>
        <v>233000</v>
      </c>
      <c r="BH143" s="109">
        <f t="shared" si="459"/>
        <v>0</v>
      </c>
      <c r="BI143" s="109">
        <f t="shared" si="459"/>
        <v>827000</v>
      </c>
      <c r="BJ143" s="221">
        <f t="shared" si="459"/>
        <v>3785100</v>
      </c>
      <c r="BK143" s="69">
        <f t="shared" si="459"/>
        <v>904700</v>
      </c>
      <c r="BL143" s="109">
        <f t="shared" si="459"/>
        <v>242000</v>
      </c>
      <c r="BM143" s="109">
        <f t="shared" si="459"/>
        <v>0</v>
      </c>
      <c r="BN143" s="109">
        <f t="shared" si="459"/>
        <v>836000</v>
      </c>
      <c r="BO143" s="221">
        <f t="shared" si="459"/>
        <v>4149500</v>
      </c>
      <c r="BP143" s="69">
        <f t="shared" si="459"/>
        <v>922900</v>
      </c>
      <c r="BQ143" s="109">
        <f t="shared" si="459"/>
        <v>381000</v>
      </c>
      <c r="BR143" s="109">
        <f t="shared" ref="BR143:BY143" si="460">SUBTOTAL(9,BR117:BR142)</f>
        <v>0</v>
      </c>
      <c r="BS143" s="109">
        <f t="shared" si="460"/>
        <v>845000</v>
      </c>
      <c r="BT143" s="221">
        <f t="shared" si="460"/>
        <v>4945200</v>
      </c>
      <c r="BU143" s="69">
        <f t="shared" si="460"/>
        <v>941400</v>
      </c>
      <c r="BV143" s="109">
        <f t="shared" si="460"/>
        <v>391000</v>
      </c>
      <c r="BW143" s="109">
        <f t="shared" si="460"/>
        <v>0</v>
      </c>
      <c r="BX143" s="109">
        <f t="shared" si="460"/>
        <v>1354000</v>
      </c>
      <c r="BY143" s="221">
        <f t="shared" si="460"/>
        <v>5172600</v>
      </c>
      <c r="BZ143" s="69">
        <f t="shared" ref="BZ143:CC143" si="461">SUBTOTAL(9,BZ117:BZ142)</f>
        <v>960300</v>
      </c>
      <c r="CA143" s="109">
        <f t="shared" si="461"/>
        <v>401000</v>
      </c>
      <c r="CB143" s="109">
        <f t="shared" si="461"/>
        <v>0</v>
      </c>
      <c r="CC143" s="109">
        <f t="shared" si="461"/>
        <v>1363000</v>
      </c>
      <c r="CD143" s="274">
        <f>SUBTOTAL(9,CD117:CD142)</f>
        <v>5212600</v>
      </c>
      <c r="CE143" s="1405"/>
      <c r="CF143" s="538"/>
      <c r="CG143" s="466"/>
      <c r="CH143" s="466"/>
      <c r="CI143" s="466"/>
      <c r="CJ143" s="466"/>
      <c r="CK143" s="466"/>
      <c r="CL143" s="466"/>
      <c r="CM143" s="466"/>
      <c r="CN143" s="466"/>
      <c r="CO143" s="466"/>
      <c r="CP143" s="466"/>
      <c r="CQ143" s="466"/>
      <c r="CR143" s="466"/>
      <c r="CS143" s="1043"/>
      <c r="CT143" s="27"/>
      <c r="CU143" s="27"/>
      <c r="CV143" s="27"/>
      <c r="CW143" s="27"/>
      <c r="CX143" s="27"/>
      <c r="CY143" s="27"/>
      <c r="CZ143" s="27"/>
      <c r="DA143" s="27"/>
      <c r="DB143" s="27"/>
      <c r="DC143" s="27"/>
      <c r="DD143" s="27"/>
      <c r="DE143" s="62"/>
    </row>
    <row r="144" spans="1:109" s="39" customFormat="1" x14ac:dyDescent="0.2">
      <c r="A144" s="293"/>
      <c r="B144" s="1360"/>
      <c r="C144" s="1338"/>
      <c r="D144" s="1384"/>
      <c r="E144" s="132"/>
      <c r="F144" s="75"/>
      <c r="G144" s="9"/>
      <c r="H144" s="9"/>
      <c r="I144" s="9"/>
      <c r="J144" s="9"/>
      <c r="K144" s="32"/>
      <c r="L144" s="21"/>
      <c r="M144" s="75"/>
      <c r="N144" s="21"/>
      <c r="O144" s="21"/>
      <c r="P144" s="21"/>
      <c r="Q144" s="64"/>
      <c r="R144" s="75"/>
      <c r="S144" s="21"/>
      <c r="T144" s="21"/>
      <c r="U144" s="21"/>
      <c r="V144" s="283"/>
      <c r="W144" s="132"/>
      <c r="X144" s="21"/>
      <c r="Y144" s="27"/>
      <c r="Z144" s="21"/>
      <c r="AA144" s="64"/>
      <c r="AB144" s="132"/>
      <c r="AC144" s="21"/>
      <c r="AD144" s="21"/>
      <c r="AE144" s="21"/>
      <c r="AF144" s="64"/>
      <c r="AG144" s="75"/>
      <c r="AH144" s="21"/>
      <c r="AI144" s="21"/>
      <c r="AJ144" s="21"/>
      <c r="AK144" s="64"/>
      <c r="AL144" s="75"/>
      <c r="AM144" s="21"/>
      <c r="AN144" s="21"/>
      <c r="AO144" s="21"/>
      <c r="AP144" s="62"/>
      <c r="AQ144" s="75"/>
      <c r="AR144" s="21"/>
      <c r="AS144" s="21"/>
      <c r="AT144" s="21"/>
      <c r="AU144" s="62"/>
      <c r="AV144" s="27"/>
      <c r="AW144" s="21"/>
      <c r="AX144" s="21"/>
      <c r="AY144" s="21"/>
      <c r="AZ144" s="64"/>
      <c r="BA144" s="75"/>
      <c r="BB144" s="21"/>
      <c r="BC144" s="21"/>
      <c r="BD144" s="21"/>
      <c r="BE144" s="64"/>
      <c r="BF144" s="75"/>
      <c r="BG144" s="21"/>
      <c r="BH144" s="21"/>
      <c r="BI144" s="21"/>
      <c r="BJ144" s="64"/>
      <c r="BK144" s="75"/>
      <c r="BL144" s="21"/>
      <c r="BM144" s="21"/>
      <c r="BN144" s="21"/>
      <c r="BO144" s="64"/>
      <c r="BP144" s="75"/>
      <c r="BQ144" s="21"/>
      <c r="BR144" s="21"/>
      <c r="BS144" s="21"/>
      <c r="BT144" s="64"/>
      <c r="BU144" s="75"/>
      <c r="BV144" s="21"/>
      <c r="BW144" s="21"/>
      <c r="BX144" s="21"/>
      <c r="BY144" s="64"/>
      <c r="BZ144" s="75"/>
      <c r="CA144" s="21"/>
      <c r="CB144" s="21"/>
      <c r="CC144" s="21"/>
      <c r="CD144" s="27"/>
      <c r="CE144" s="1405"/>
      <c r="CF144" s="538"/>
      <c r="CG144" s="466"/>
      <c r="CH144" s="466"/>
      <c r="CI144" s="466"/>
      <c r="CJ144" s="466"/>
      <c r="CK144" s="466"/>
      <c r="CL144" s="466"/>
      <c r="CM144" s="466"/>
      <c r="CN144" s="466"/>
      <c r="CO144" s="466"/>
      <c r="CP144" s="466"/>
      <c r="CQ144" s="466"/>
      <c r="CR144" s="466"/>
      <c r="CS144" s="1043"/>
      <c r="CT144" s="27"/>
      <c r="CU144" s="27"/>
      <c r="CV144" s="27"/>
      <c r="CW144" s="27"/>
      <c r="CX144" s="27"/>
      <c r="CY144" s="27"/>
      <c r="CZ144" s="27"/>
      <c r="DA144" s="27"/>
      <c r="DB144" s="27"/>
      <c r="DC144" s="27"/>
      <c r="DD144" s="27"/>
      <c r="DE144" s="62"/>
    </row>
    <row r="145" spans="1:109" x14ac:dyDescent="0.2">
      <c r="A145" s="293" t="s">
        <v>1160</v>
      </c>
      <c r="B145" s="1360"/>
      <c r="C145" s="1338"/>
      <c r="D145" s="1384"/>
      <c r="E145" s="133"/>
      <c r="F145" s="9"/>
      <c r="G145" s="9"/>
      <c r="H145" s="9"/>
      <c r="I145" s="9"/>
      <c r="J145" s="9"/>
      <c r="K145" s="29"/>
      <c r="L145" s="9"/>
      <c r="M145" s="89"/>
      <c r="N145" s="9"/>
      <c r="O145" s="9"/>
      <c r="P145" s="9"/>
      <c r="Q145" s="49"/>
      <c r="R145" s="89"/>
      <c r="S145" s="9"/>
      <c r="T145" s="9"/>
      <c r="U145" s="9"/>
      <c r="V145" s="49"/>
      <c r="W145" s="133"/>
      <c r="X145" s="9"/>
      <c r="Y145" s="46"/>
      <c r="Z145" s="9"/>
      <c r="AA145" s="49"/>
      <c r="AB145" s="133"/>
      <c r="AC145" s="9"/>
      <c r="AD145" s="9"/>
      <c r="AE145" s="9"/>
      <c r="AF145" s="49"/>
      <c r="AG145" s="89"/>
      <c r="AH145" s="9"/>
      <c r="AI145" s="9"/>
      <c r="AJ145" s="9"/>
      <c r="AK145" s="49"/>
      <c r="AL145" s="89"/>
      <c r="AM145" s="9"/>
      <c r="AN145" s="9"/>
      <c r="AO145" s="9"/>
      <c r="AP145" s="61"/>
      <c r="AQ145" s="89"/>
      <c r="AR145" s="9"/>
      <c r="AS145" s="9"/>
      <c r="AT145" s="9"/>
      <c r="AU145" s="61"/>
      <c r="AW145" s="9"/>
      <c r="AX145" s="9"/>
      <c r="AY145" s="9"/>
      <c r="AZ145" s="49"/>
      <c r="BA145" s="89"/>
      <c r="BB145" s="9"/>
      <c r="BC145" s="9"/>
      <c r="BD145" s="9"/>
      <c r="BE145" s="49"/>
      <c r="BF145" s="89"/>
      <c r="BG145" s="9"/>
      <c r="BH145" s="9"/>
      <c r="BI145" s="9"/>
      <c r="BJ145" s="49"/>
      <c r="BK145" s="89"/>
      <c r="BL145" s="9"/>
      <c r="BM145" s="9"/>
      <c r="BN145" s="9"/>
      <c r="BO145" s="49"/>
      <c r="BP145" s="89"/>
      <c r="BQ145" s="9"/>
      <c r="BR145" s="9"/>
      <c r="BS145" s="9"/>
      <c r="BT145" s="49"/>
      <c r="BU145" s="89"/>
      <c r="BV145" s="9"/>
      <c r="BW145" s="9"/>
      <c r="BX145" s="9"/>
      <c r="BY145" s="49"/>
      <c r="BZ145" s="89"/>
      <c r="CA145" s="9"/>
      <c r="CB145" s="9"/>
      <c r="CC145" s="9"/>
      <c r="CE145" s="1405"/>
      <c r="CF145" s="538"/>
      <c r="CG145" s="538"/>
      <c r="CH145" s="538"/>
      <c r="CI145" s="538"/>
      <c r="CJ145" s="538"/>
      <c r="CK145" s="538"/>
      <c r="CL145" s="538"/>
      <c r="CM145" s="538"/>
      <c r="CN145" s="538"/>
      <c r="CO145" s="538"/>
      <c r="CP145" s="538"/>
      <c r="CQ145" s="538"/>
      <c r="CR145" s="538"/>
      <c r="CS145" s="350"/>
      <c r="CT145" s="46"/>
      <c r="CU145" s="46"/>
      <c r="CV145" s="46"/>
      <c r="CW145" s="46"/>
      <c r="CX145" s="46"/>
      <c r="CY145" s="46"/>
      <c r="CZ145" s="46"/>
      <c r="DA145" s="46"/>
      <c r="DB145" s="46"/>
      <c r="DC145" s="46"/>
      <c r="DD145" s="46"/>
      <c r="DE145" s="61"/>
    </row>
    <row r="146" spans="1:109" x14ac:dyDescent="0.2">
      <c r="A146" s="615" t="s">
        <v>5943</v>
      </c>
      <c r="B146" s="1356" t="s">
        <v>1287</v>
      </c>
      <c r="C146" s="1337"/>
      <c r="D146" s="1331" t="s">
        <v>5046</v>
      </c>
      <c r="E146" s="350">
        <f>403200-29500</f>
        <v>373700</v>
      </c>
      <c r="F146" s="9">
        <f>+F468</f>
        <v>1256700</v>
      </c>
      <c r="G146" s="9">
        <f>418000-52000+24300+52200+13200+7500+43700+4000-45900-25000</f>
        <v>440000</v>
      </c>
      <c r="H146" s="9">
        <f>ROUND((G146*Assumptions!I$6+G146),-3)+113000-35000-25000-121000-4000+58000+26000-11000</f>
        <v>459000</v>
      </c>
      <c r="I146" s="29">
        <f>ROUND((H146*Assumptions!J$6+H146),-3)</f>
        <v>477000</v>
      </c>
      <c r="J146" s="29">
        <f>ROUND((I146*Assumptions!K$6+I146),-3)</f>
        <v>489000</v>
      </c>
      <c r="K146" s="9">
        <f>ROUND((J146*Assumptions!L$6+J146),-3)</f>
        <v>501000</v>
      </c>
      <c r="L146" s="9">
        <f>ROUND((K146*Assumptions!M$6+K146),-3)</f>
        <v>514000</v>
      </c>
      <c r="M146" s="89">
        <f>ROUND((L146*Assumptions!N$6+L146),-3)</f>
        <v>527000</v>
      </c>
      <c r="N146" s="9">
        <f>ROUND((M146*Assumptions!O$6+M146),-3)</f>
        <v>540000</v>
      </c>
      <c r="O146" s="9">
        <f>ROUND((N146*Assumptions!P$6+N146),-3)</f>
        <v>554000</v>
      </c>
      <c r="P146" s="9">
        <f>ROUND((O146*Assumptions!Q$6+O146),-3)</f>
        <v>568000</v>
      </c>
      <c r="Q146" s="49">
        <f>ROUND((P146*Assumptions!R$6+P146),-3)</f>
        <v>582000</v>
      </c>
      <c r="R146" s="89">
        <f>'Cap Inc'!B80+'Cap Inc'!B73+'Cap Inc'!B82+'Cap Inc'!B83+'Cap Inc'!B84+'Cap Inc'!B85+'Cap Inc'!B81</f>
        <v>154200</v>
      </c>
      <c r="S146" s="9"/>
      <c r="T146" s="9"/>
      <c r="U146" s="9">
        <f>3000+218300-30000</f>
        <v>191300</v>
      </c>
      <c r="V146" s="49">
        <f t="shared" ref="V146:V156" si="462">E146-R146-S146-T146-U146</f>
        <v>28200</v>
      </c>
      <c r="W146" s="133">
        <v>0</v>
      </c>
      <c r="X146" s="9">
        <f>50000+20000</f>
        <v>70000</v>
      </c>
      <c r="Y146" s="46"/>
      <c r="Z146" s="9">
        <f>13200+15000+11000+41000+17500-10000+2000+7000+1000+55000</f>
        <v>152700</v>
      </c>
      <c r="AA146" s="46">
        <f t="shared" ref="AA146:AA169" si="463">F146-W146-X146-Y146-Z146</f>
        <v>1034000</v>
      </c>
      <c r="AB146" s="133">
        <f>+'Cap Inc'!F78</f>
        <v>4000</v>
      </c>
      <c r="AC146" s="9"/>
      <c r="AD146" s="9"/>
      <c r="AE146" s="9">
        <f>24300+64400+52200-25000-45900</f>
        <v>70000</v>
      </c>
      <c r="AF146" s="49">
        <f t="shared" ref="AF146:AF156" si="464">G146-AB146-AC146-AD146-AE146</f>
        <v>366000</v>
      </c>
      <c r="AG146" s="89"/>
      <c r="AH146" s="9"/>
      <c r="AI146" s="9"/>
      <c r="AJ146" s="9"/>
      <c r="AK146" s="49">
        <f t="shared" ref="AK146:AK156" si="465">H146-AG146-AH146-AI146-AJ146</f>
        <v>459000</v>
      </c>
      <c r="AL146" s="89"/>
      <c r="AM146" s="9"/>
      <c r="AN146" s="9"/>
      <c r="AO146" s="9"/>
      <c r="AP146" s="61">
        <f t="shared" ref="AP146:AP156" si="466">I146-AL146-AM146-AN146-AO146</f>
        <v>477000</v>
      </c>
      <c r="AQ146" s="89"/>
      <c r="AR146" s="9"/>
      <c r="AS146" s="9"/>
      <c r="AT146" s="9"/>
      <c r="AU146" s="61">
        <f>J146-AQ146-AR146-AS146-AT146</f>
        <v>489000</v>
      </c>
      <c r="AW146" s="9"/>
      <c r="AX146" s="9"/>
      <c r="AY146" s="9"/>
      <c r="AZ146" s="49">
        <f>K146-AV146-AW146-AX146-AY146</f>
        <v>501000</v>
      </c>
      <c r="BA146" s="89"/>
      <c r="BB146" s="9"/>
      <c r="BC146" s="9"/>
      <c r="BD146" s="9"/>
      <c r="BE146" s="49">
        <f>L146-BA146-BB146-BC146-BD146</f>
        <v>514000</v>
      </c>
      <c r="BF146" s="89"/>
      <c r="BG146" s="9"/>
      <c r="BH146" s="9"/>
      <c r="BI146" s="9"/>
      <c r="BJ146" s="49">
        <f>M146-BF146-BG146-BH146-BI146</f>
        <v>527000</v>
      </c>
      <c r="BK146" s="89"/>
      <c r="BL146" s="9"/>
      <c r="BM146" s="9"/>
      <c r="BN146" s="9"/>
      <c r="BO146" s="49">
        <f>N146-BK146-BL146-BM146-BN146</f>
        <v>540000</v>
      </c>
      <c r="BP146" s="89"/>
      <c r="BQ146" s="9"/>
      <c r="BR146" s="9"/>
      <c r="BS146" s="9"/>
      <c r="BT146" s="49">
        <f>O146-BP146-BQ146-BR146-BS146</f>
        <v>554000</v>
      </c>
      <c r="BU146" s="89"/>
      <c r="BV146" s="9"/>
      <c r="BW146" s="9"/>
      <c r="BX146" s="9"/>
      <c r="BY146" s="49">
        <f t="shared" ref="BY146" si="467">P146-BU146-BV146-BW146-BX146</f>
        <v>568000</v>
      </c>
      <c r="BZ146" s="89"/>
      <c r="CA146" s="9"/>
      <c r="CB146" s="9"/>
      <c r="CC146" s="9"/>
      <c r="CD146" s="46">
        <f t="shared" ref="CD146:CD156" si="468">Q146-BZ146-CA146-CB146-CC146</f>
        <v>582000</v>
      </c>
      <c r="CE146" s="1406">
        <v>0.5</v>
      </c>
      <c r="CF146" s="833">
        <v>0.5</v>
      </c>
      <c r="CG146" s="833">
        <v>0.5</v>
      </c>
      <c r="CH146" s="833">
        <v>0.5</v>
      </c>
      <c r="CI146" s="833">
        <v>0.5</v>
      </c>
      <c r="CJ146" s="833">
        <v>0.5</v>
      </c>
      <c r="CK146" s="833">
        <v>0.5</v>
      </c>
      <c r="CL146" s="833">
        <v>0.5</v>
      </c>
      <c r="CM146" s="833">
        <v>0.5</v>
      </c>
      <c r="CN146" s="833">
        <v>0.5</v>
      </c>
      <c r="CO146" s="833">
        <v>0.5</v>
      </c>
      <c r="CP146" s="833">
        <v>0.5</v>
      </c>
      <c r="CQ146" s="833">
        <v>0.5</v>
      </c>
      <c r="CR146" s="833"/>
      <c r="CS146" s="1125">
        <f t="shared" ref="CS146:CS155" si="469">ROUND(CE146*E146,-3)</f>
        <v>187000</v>
      </c>
      <c r="CT146" s="31">
        <f t="shared" ref="CT146:CT155" si="470">ROUND(CF146*F146,-3)</f>
        <v>628000</v>
      </c>
      <c r="CU146" s="31">
        <f t="shared" ref="CU146:CU155" si="471">ROUND(CG146*G146,-3)</f>
        <v>220000</v>
      </c>
      <c r="CV146" s="31">
        <f t="shared" ref="CV146:CV155" si="472">ROUND(CH146*H146,-3)</f>
        <v>230000</v>
      </c>
      <c r="CW146" s="31">
        <f t="shared" ref="CW146:CW155" si="473">ROUND(CI146*I146,-3)</f>
        <v>239000</v>
      </c>
      <c r="CX146" s="31">
        <f t="shared" ref="CX146:CX155" si="474">ROUND(CJ146*J146,-3)</f>
        <v>245000</v>
      </c>
      <c r="CY146" s="31">
        <f t="shared" ref="CY146:CY155" si="475">ROUND(CK146*K146,-3)</f>
        <v>251000</v>
      </c>
      <c r="CZ146" s="31">
        <f t="shared" ref="CZ146:CZ155" si="476">ROUND(CL146*L146,-3)</f>
        <v>257000</v>
      </c>
      <c r="DA146" s="31">
        <f t="shared" ref="DA146:DA155" si="477">ROUND(CM146*M146,-3)</f>
        <v>264000</v>
      </c>
      <c r="DB146" s="31">
        <f t="shared" ref="DB146:DB155" si="478">ROUND(CN146*N146,-3)</f>
        <v>270000</v>
      </c>
      <c r="DC146" s="31">
        <f t="shared" ref="DC146:DC155" si="479">ROUND(CO146*O146,-3)</f>
        <v>277000</v>
      </c>
      <c r="DD146" s="31">
        <f t="shared" ref="DD146:DE155" si="480">ROUND(CP146*P146,-3)</f>
        <v>284000</v>
      </c>
      <c r="DE146" s="78">
        <f t="shared" si="480"/>
        <v>291000</v>
      </c>
    </row>
    <row r="147" spans="1:109" ht="12.75" customHeight="1" x14ac:dyDescent="0.2">
      <c r="A147" s="615" t="s">
        <v>5500</v>
      </c>
      <c r="B147" s="1354"/>
      <c r="C147" s="1337"/>
      <c r="D147" s="1331" t="s">
        <v>5046</v>
      </c>
      <c r="E147" s="350">
        <v>93000</v>
      </c>
      <c r="F147" s="29"/>
      <c r="G147" s="9"/>
      <c r="H147" s="9"/>
      <c r="I147" s="29"/>
      <c r="J147" s="29"/>
      <c r="K147" s="29"/>
      <c r="L147" s="9"/>
      <c r="M147" s="89"/>
      <c r="N147" s="9"/>
      <c r="O147" s="9"/>
      <c r="P147" s="9"/>
      <c r="Q147" s="49"/>
      <c r="R147" s="89"/>
      <c r="S147" s="9"/>
      <c r="T147" s="9"/>
      <c r="U147" s="9">
        <f>E147</f>
        <v>93000</v>
      </c>
      <c r="V147" s="49">
        <f t="shared" si="462"/>
        <v>0</v>
      </c>
      <c r="W147" s="133"/>
      <c r="X147" s="9"/>
      <c r="Y147" s="46"/>
      <c r="Z147" s="9"/>
      <c r="AA147" s="46">
        <f t="shared" si="463"/>
        <v>0</v>
      </c>
      <c r="AB147" s="133"/>
      <c r="AC147" s="9"/>
      <c r="AD147" s="9"/>
      <c r="AE147" s="9"/>
      <c r="AF147" s="49">
        <f t="shared" si="464"/>
        <v>0</v>
      </c>
      <c r="AG147" s="89"/>
      <c r="AH147" s="9"/>
      <c r="AI147" s="9"/>
      <c r="AJ147" s="9"/>
      <c r="AK147" s="49">
        <f t="shared" si="465"/>
        <v>0</v>
      </c>
      <c r="AL147" s="89"/>
      <c r="AM147" s="9"/>
      <c r="AN147" s="9"/>
      <c r="AO147" s="9"/>
      <c r="AP147" s="61">
        <f t="shared" si="466"/>
        <v>0</v>
      </c>
      <c r="AQ147" s="89"/>
      <c r="AR147" s="9"/>
      <c r="AS147" s="9"/>
      <c r="AT147" s="9"/>
      <c r="AU147" s="61">
        <f t="shared" ref="AU147:AU156" si="481">J147-AQ147-AR147-AS147-AT147</f>
        <v>0</v>
      </c>
      <c r="AW147" s="9"/>
      <c r="AX147" s="9"/>
      <c r="AY147" s="9"/>
      <c r="AZ147" s="49">
        <f t="shared" ref="AZ147:AZ156" si="482">K147-AV147-AW147-AX147-AY147</f>
        <v>0</v>
      </c>
      <c r="BA147" s="89"/>
      <c r="BB147" s="9"/>
      <c r="BC147" s="9"/>
      <c r="BD147" s="9"/>
      <c r="BE147" s="49">
        <f t="shared" ref="BE147:BE156" si="483">L147-BA147-BB147-BC147-BD147</f>
        <v>0</v>
      </c>
      <c r="BF147" s="89"/>
      <c r="BG147" s="9"/>
      <c r="BH147" s="9"/>
      <c r="BI147" s="9"/>
      <c r="BJ147" s="49">
        <f t="shared" ref="BJ147:BJ156" si="484">M147-BF147-BG147-BH147-BI147</f>
        <v>0</v>
      </c>
      <c r="BK147" s="89"/>
      <c r="BL147" s="9"/>
      <c r="BM147" s="9"/>
      <c r="BN147" s="9"/>
      <c r="BO147" s="49">
        <f t="shared" ref="BO147:BO156" si="485">N147-BK147-BL147-BM147-BN147</f>
        <v>0</v>
      </c>
      <c r="BP147" s="89"/>
      <c r="BQ147" s="9"/>
      <c r="BR147" s="9"/>
      <c r="BS147" s="9"/>
      <c r="BT147" s="49">
        <f t="shared" ref="BT147:BT156" si="486">O147-BP147-BQ147-BR147-BS147</f>
        <v>0</v>
      </c>
      <c r="BU147" s="89"/>
      <c r="BV147" s="9"/>
      <c r="BW147" s="9"/>
      <c r="BX147" s="9"/>
      <c r="BY147" s="49">
        <f t="shared" ref="BY147:BY156" si="487">P147-BU147-BV147-BW147-BX147</f>
        <v>0</v>
      </c>
      <c r="BZ147" s="89"/>
      <c r="CA147" s="9"/>
      <c r="CB147" s="9"/>
      <c r="CC147" s="9"/>
      <c r="CD147" s="46">
        <f t="shared" si="468"/>
        <v>0</v>
      </c>
      <c r="CE147" s="1406">
        <v>0</v>
      </c>
      <c r="CF147" s="833">
        <f t="shared" ref="CF147:CF151" si="488">CE147</f>
        <v>0</v>
      </c>
      <c r="CG147" s="833">
        <f t="shared" ref="CG147:CG151" si="489">CF147</f>
        <v>0</v>
      </c>
      <c r="CH147" s="833">
        <f t="shared" ref="CH147:CH151" si="490">CG147</f>
        <v>0</v>
      </c>
      <c r="CI147" s="833">
        <f t="shared" ref="CI147:CI151" si="491">CH147</f>
        <v>0</v>
      </c>
      <c r="CJ147" s="833">
        <f t="shared" ref="CJ147:CJ151" si="492">CI147</f>
        <v>0</v>
      </c>
      <c r="CK147" s="833">
        <f t="shared" ref="CK147:CK151" si="493">CJ147</f>
        <v>0</v>
      </c>
      <c r="CL147" s="833">
        <f t="shared" ref="CL147:CL151" si="494">CK147</f>
        <v>0</v>
      </c>
      <c r="CM147" s="833">
        <f t="shared" ref="CM147:CN151" si="495">CL147</f>
        <v>0</v>
      </c>
      <c r="CN147" s="833">
        <f t="shared" si="495"/>
        <v>0</v>
      </c>
      <c r="CO147" s="833">
        <f t="shared" ref="CO147:CQ155" si="496">CN147</f>
        <v>0</v>
      </c>
      <c r="CP147" s="833">
        <f t="shared" si="496"/>
        <v>0</v>
      </c>
      <c r="CQ147" s="833">
        <f t="shared" si="496"/>
        <v>0</v>
      </c>
      <c r="CR147" s="833"/>
      <c r="CS147" s="1125">
        <f t="shared" si="469"/>
        <v>0</v>
      </c>
      <c r="CT147" s="31">
        <f t="shared" si="470"/>
        <v>0</v>
      </c>
      <c r="CU147" s="31">
        <f t="shared" si="471"/>
        <v>0</v>
      </c>
      <c r="CV147" s="31">
        <f t="shared" si="472"/>
        <v>0</v>
      </c>
      <c r="CW147" s="31">
        <f t="shared" si="473"/>
        <v>0</v>
      </c>
      <c r="CX147" s="31">
        <f t="shared" si="474"/>
        <v>0</v>
      </c>
      <c r="CY147" s="31">
        <f t="shared" si="475"/>
        <v>0</v>
      </c>
      <c r="CZ147" s="31">
        <f t="shared" si="476"/>
        <v>0</v>
      </c>
      <c r="DA147" s="31">
        <f t="shared" si="477"/>
        <v>0</v>
      </c>
      <c r="DB147" s="31">
        <f t="shared" si="478"/>
        <v>0</v>
      </c>
      <c r="DC147" s="31">
        <f t="shared" si="479"/>
        <v>0</v>
      </c>
      <c r="DD147" s="31">
        <f t="shared" si="480"/>
        <v>0</v>
      </c>
      <c r="DE147" s="78">
        <f t="shared" si="480"/>
        <v>0</v>
      </c>
    </row>
    <row r="148" spans="1:109" ht="12.75" customHeight="1" x14ac:dyDescent="0.2">
      <c r="A148" s="615" t="s">
        <v>6822</v>
      </c>
      <c r="B148" s="1354"/>
      <c r="C148" s="1337"/>
      <c r="D148" s="1331" t="s">
        <v>5046</v>
      </c>
      <c r="E148" s="350"/>
      <c r="F148" s="29"/>
      <c r="G148" s="9"/>
      <c r="H148" s="9"/>
      <c r="I148" s="29"/>
      <c r="J148" s="29"/>
      <c r="K148" s="29"/>
      <c r="L148" s="9"/>
      <c r="M148" s="89"/>
      <c r="N148" s="9"/>
      <c r="O148" s="9"/>
      <c r="P148" s="9"/>
      <c r="Q148" s="49"/>
      <c r="R148" s="89"/>
      <c r="S148" s="9"/>
      <c r="T148" s="9"/>
      <c r="U148" s="9"/>
      <c r="V148" s="49">
        <f t="shared" si="462"/>
        <v>0</v>
      </c>
      <c r="W148" s="133"/>
      <c r="X148" s="9"/>
      <c r="Y148" s="46"/>
      <c r="Z148" s="9">
        <f>'Res-Gen'!F193-37800-770700-850000+30000+850000-62400</f>
        <v>30000</v>
      </c>
      <c r="AA148" s="46">
        <f t="shared" si="463"/>
        <v>-30000</v>
      </c>
      <c r="AB148" s="133"/>
      <c r="AC148" s="9"/>
      <c r="AD148" s="9"/>
      <c r="AE148" s="9"/>
      <c r="AF148" s="49">
        <f t="shared" si="464"/>
        <v>0</v>
      </c>
      <c r="AG148" s="89"/>
      <c r="AH148" s="9"/>
      <c r="AI148" s="9"/>
      <c r="AJ148" s="9"/>
      <c r="AK148" s="49">
        <f t="shared" si="465"/>
        <v>0</v>
      </c>
      <c r="AL148" s="89"/>
      <c r="AM148" s="9"/>
      <c r="AN148" s="9"/>
      <c r="AO148" s="9"/>
      <c r="AP148" s="61">
        <f t="shared" si="466"/>
        <v>0</v>
      </c>
      <c r="AQ148" s="89"/>
      <c r="AR148" s="9"/>
      <c r="AS148" s="9"/>
      <c r="AT148" s="9"/>
      <c r="AU148" s="61">
        <f t="shared" si="481"/>
        <v>0</v>
      </c>
      <c r="AW148" s="9"/>
      <c r="AX148" s="9"/>
      <c r="AY148" s="9"/>
      <c r="AZ148" s="49">
        <f t="shared" si="482"/>
        <v>0</v>
      </c>
      <c r="BA148" s="89"/>
      <c r="BB148" s="9"/>
      <c r="BC148" s="9"/>
      <c r="BD148" s="9"/>
      <c r="BE148" s="49">
        <f t="shared" si="483"/>
        <v>0</v>
      </c>
      <c r="BF148" s="89"/>
      <c r="BG148" s="9"/>
      <c r="BH148" s="9"/>
      <c r="BI148" s="9"/>
      <c r="BJ148" s="49">
        <f t="shared" si="484"/>
        <v>0</v>
      </c>
      <c r="BK148" s="89"/>
      <c r="BL148" s="9"/>
      <c r="BM148" s="9"/>
      <c r="BN148" s="9"/>
      <c r="BO148" s="49">
        <f t="shared" si="485"/>
        <v>0</v>
      </c>
      <c r="BP148" s="89"/>
      <c r="BQ148" s="9"/>
      <c r="BR148" s="9"/>
      <c r="BS148" s="9"/>
      <c r="BT148" s="49">
        <f t="shared" si="486"/>
        <v>0</v>
      </c>
      <c r="BU148" s="89"/>
      <c r="BV148" s="9"/>
      <c r="BW148" s="9"/>
      <c r="BX148" s="9"/>
      <c r="BY148" s="49">
        <f t="shared" si="487"/>
        <v>0</v>
      </c>
      <c r="BZ148" s="89"/>
      <c r="CA148" s="9"/>
      <c r="CB148" s="9"/>
      <c r="CC148" s="9"/>
      <c r="CD148" s="46">
        <f t="shared" si="468"/>
        <v>0</v>
      </c>
      <c r="CE148" s="1406">
        <v>0</v>
      </c>
      <c r="CF148" s="833">
        <f t="shared" ref="CF148" si="497">CE148</f>
        <v>0</v>
      </c>
      <c r="CG148" s="833">
        <f t="shared" ref="CG148" si="498">CF148</f>
        <v>0</v>
      </c>
      <c r="CH148" s="833">
        <f t="shared" ref="CH148" si="499">CG148</f>
        <v>0</v>
      </c>
      <c r="CI148" s="833">
        <f t="shared" ref="CI148" si="500">CH148</f>
        <v>0</v>
      </c>
      <c r="CJ148" s="833">
        <f t="shared" ref="CJ148" si="501">CI148</f>
        <v>0</v>
      </c>
      <c r="CK148" s="833">
        <f t="shared" ref="CK148" si="502">CJ148</f>
        <v>0</v>
      </c>
      <c r="CL148" s="833">
        <f t="shared" ref="CL148" si="503">CK148</f>
        <v>0</v>
      </c>
      <c r="CM148" s="833">
        <f t="shared" ref="CM148" si="504">CL148</f>
        <v>0</v>
      </c>
      <c r="CN148" s="833">
        <f t="shared" ref="CN148" si="505">CM148</f>
        <v>0</v>
      </c>
      <c r="CO148" s="833">
        <f t="shared" si="496"/>
        <v>0</v>
      </c>
      <c r="CP148" s="833">
        <f t="shared" si="496"/>
        <v>0</v>
      </c>
      <c r="CQ148" s="833">
        <f t="shared" si="496"/>
        <v>0</v>
      </c>
      <c r="CR148" s="833"/>
      <c r="CS148" s="1125">
        <f t="shared" si="469"/>
        <v>0</v>
      </c>
      <c r="CT148" s="31">
        <f t="shared" si="470"/>
        <v>0</v>
      </c>
      <c r="CU148" s="31">
        <f t="shared" si="471"/>
        <v>0</v>
      </c>
      <c r="CV148" s="31">
        <f t="shared" si="472"/>
        <v>0</v>
      </c>
      <c r="CW148" s="31">
        <f t="shared" si="473"/>
        <v>0</v>
      </c>
      <c r="CX148" s="31">
        <f t="shared" si="474"/>
        <v>0</v>
      </c>
      <c r="CY148" s="31">
        <f t="shared" si="475"/>
        <v>0</v>
      </c>
      <c r="CZ148" s="31">
        <f t="shared" si="476"/>
        <v>0</v>
      </c>
      <c r="DA148" s="31">
        <f t="shared" si="477"/>
        <v>0</v>
      </c>
      <c r="DB148" s="31">
        <f t="shared" si="478"/>
        <v>0</v>
      </c>
      <c r="DC148" s="31">
        <f t="shared" si="479"/>
        <v>0</v>
      </c>
      <c r="DD148" s="31">
        <f t="shared" si="480"/>
        <v>0</v>
      </c>
      <c r="DE148" s="78">
        <f t="shared" si="480"/>
        <v>0</v>
      </c>
    </row>
    <row r="149" spans="1:109" ht="12.75" customHeight="1" x14ac:dyDescent="0.2">
      <c r="A149" s="615" t="s">
        <v>5438</v>
      </c>
      <c r="B149" s="1354" t="s">
        <v>4166</v>
      </c>
      <c r="C149" s="1337"/>
      <c r="D149" s="1331" t="s">
        <v>5046</v>
      </c>
      <c r="E149" s="350">
        <f>597900+30300</f>
        <v>628200</v>
      </c>
      <c r="F149" s="29"/>
      <c r="G149" s="9"/>
      <c r="H149" s="9"/>
      <c r="I149" s="29"/>
      <c r="J149" s="29"/>
      <c r="K149" s="29"/>
      <c r="L149" s="9"/>
      <c r="M149" s="89"/>
      <c r="N149" s="9"/>
      <c r="O149" s="9"/>
      <c r="P149" s="9"/>
      <c r="Q149" s="49"/>
      <c r="R149" s="89">
        <v>296000</v>
      </c>
      <c r="S149" s="9"/>
      <c r="T149" s="9"/>
      <c r="U149" s="9">
        <f>60000+396900-120000</f>
        <v>336900</v>
      </c>
      <c r="V149" s="49">
        <f t="shared" si="462"/>
        <v>-4700</v>
      </c>
      <c r="W149" s="133"/>
      <c r="X149" s="9"/>
      <c r="Y149" s="46"/>
      <c r="Z149" s="9">
        <f>37800-35000</f>
        <v>2800</v>
      </c>
      <c r="AA149" s="46">
        <f t="shared" si="463"/>
        <v>-2800</v>
      </c>
      <c r="AB149" s="133"/>
      <c r="AC149" s="9"/>
      <c r="AD149" s="9"/>
      <c r="AE149" s="9"/>
      <c r="AF149" s="49">
        <f t="shared" si="464"/>
        <v>0</v>
      </c>
      <c r="AG149" s="89"/>
      <c r="AH149" s="9"/>
      <c r="AI149" s="9"/>
      <c r="AJ149" s="9"/>
      <c r="AK149" s="49">
        <f t="shared" si="465"/>
        <v>0</v>
      </c>
      <c r="AL149" s="89"/>
      <c r="AM149" s="9"/>
      <c r="AN149" s="9"/>
      <c r="AO149" s="9"/>
      <c r="AP149" s="61">
        <f t="shared" si="466"/>
        <v>0</v>
      </c>
      <c r="AQ149" s="89"/>
      <c r="AR149" s="9"/>
      <c r="AS149" s="9"/>
      <c r="AT149" s="9"/>
      <c r="AU149" s="61">
        <f t="shared" si="481"/>
        <v>0</v>
      </c>
      <c r="AW149" s="9"/>
      <c r="AX149" s="9"/>
      <c r="AY149" s="9"/>
      <c r="AZ149" s="49">
        <f t="shared" si="482"/>
        <v>0</v>
      </c>
      <c r="BA149" s="89"/>
      <c r="BB149" s="9"/>
      <c r="BC149" s="9"/>
      <c r="BD149" s="9"/>
      <c r="BE149" s="49">
        <f t="shared" si="483"/>
        <v>0</v>
      </c>
      <c r="BF149" s="89"/>
      <c r="BG149" s="9"/>
      <c r="BH149" s="9"/>
      <c r="BI149" s="9"/>
      <c r="BJ149" s="49">
        <f t="shared" si="484"/>
        <v>0</v>
      </c>
      <c r="BK149" s="89"/>
      <c r="BL149" s="9"/>
      <c r="BM149" s="9"/>
      <c r="BN149" s="9"/>
      <c r="BO149" s="49">
        <f t="shared" si="485"/>
        <v>0</v>
      </c>
      <c r="BP149" s="89"/>
      <c r="BQ149" s="9"/>
      <c r="BR149" s="9"/>
      <c r="BS149" s="9"/>
      <c r="BT149" s="49">
        <f t="shared" si="486"/>
        <v>0</v>
      </c>
      <c r="BU149" s="89"/>
      <c r="BV149" s="9"/>
      <c r="BW149" s="9"/>
      <c r="BX149" s="9"/>
      <c r="BY149" s="49">
        <f t="shared" si="487"/>
        <v>0</v>
      </c>
      <c r="BZ149" s="89"/>
      <c r="CA149" s="9"/>
      <c r="CB149" s="9"/>
      <c r="CC149" s="9"/>
      <c r="CD149" s="46">
        <f t="shared" si="468"/>
        <v>0</v>
      </c>
      <c r="CE149" s="1406">
        <v>0</v>
      </c>
      <c r="CF149" s="833">
        <f t="shared" si="488"/>
        <v>0</v>
      </c>
      <c r="CG149" s="833">
        <f t="shared" si="489"/>
        <v>0</v>
      </c>
      <c r="CH149" s="833">
        <f t="shared" si="490"/>
        <v>0</v>
      </c>
      <c r="CI149" s="833">
        <f t="shared" si="491"/>
        <v>0</v>
      </c>
      <c r="CJ149" s="833">
        <f t="shared" si="492"/>
        <v>0</v>
      </c>
      <c r="CK149" s="833">
        <f t="shared" si="493"/>
        <v>0</v>
      </c>
      <c r="CL149" s="833">
        <f t="shared" si="494"/>
        <v>0</v>
      </c>
      <c r="CM149" s="833">
        <f t="shared" si="495"/>
        <v>0</v>
      </c>
      <c r="CN149" s="833">
        <f t="shared" si="495"/>
        <v>0</v>
      </c>
      <c r="CO149" s="833">
        <f t="shared" si="496"/>
        <v>0</v>
      </c>
      <c r="CP149" s="833">
        <f t="shared" si="496"/>
        <v>0</v>
      </c>
      <c r="CQ149" s="833">
        <f t="shared" si="496"/>
        <v>0</v>
      </c>
      <c r="CR149" s="833"/>
      <c r="CS149" s="1125">
        <f t="shared" si="469"/>
        <v>0</v>
      </c>
      <c r="CT149" s="31">
        <f t="shared" si="470"/>
        <v>0</v>
      </c>
      <c r="CU149" s="31">
        <f t="shared" si="471"/>
        <v>0</v>
      </c>
      <c r="CV149" s="31">
        <f t="shared" si="472"/>
        <v>0</v>
      </c>
      <c r="CW149" s="31">
        <f t="shared" si="473"/>
        <v>0</v>
      </c>
      <c r="CX149" s="31">
        <f t="shared" si="474"/>
        <v>0</v>
      </c>
      <c r="CY149" s="31">
        <f t="shared" si="475"/>
        <v>0</v>
      </c>
      <c r="CZ149" s="31">
        <f t="shared" si="476"/>
        <v>0</v>
      </c>
      <c r="DA149" s="31">
        <f t="shared" si="477"/>
        <v>0</v>
      </c>
      <c r="DB149" s="31">
        <f t="shared" si="478"/>
        <v>0</v>
      </c>
      <c r="DC149" s="31">
        <f t="shared" si="479"/>
        <v>0</v>
      </c>
      <c r="DD149" s="31">
        <f t="shared" si="480"/>
        <v>0</v>
      </c>
      <c r="DE149" s="78">
        <f t="shared" si="480"/>
        <v>0</v>
      </c>
    </row>
    <row r="150" spans="1:109" x14ac:dyDescent="0.2">
      <c r="A150" s="615" t="s">
        <v>5492</v>
      </c>
      <c r="B150" s="1354"/>
      <c r="C150" s="1337"/>
      <c r="D150" s="1331" t="s">
        <v>5046</v>
      </c>
      <c r="E150" s="350">
        <v>1074300</v>
      </c>
      <c r="F150" s="29"/>
      <c r="G150" s="9">
        <v>850000</v>
      </c>
      <c r="H150" s="9">
        <v>850000</v>
      </c>
      <c r="I150" s="29"/>
      <c r="J150" s="29"/>
      <c r="K150" s="29"/>
      <c r="L150" s="9"/>
      <c r="M150" s="89"/>
      <c r="N150" s="9"/>
      <c r="O150" s="9"/>
      <c r="P150" s="9"/>
      <c r="Q150" s="49"/>
      <c r="R150" s="89">
        <f>+'Cap Inc'!B77</f>
        <v>0</v>
      </c>
      <c r="S150" s="9"/>
      <c r="T150" s="9"/>
      <c r="U150" s="9">
        <f>1000000+98000+100000+181800+535000</f>
        <v>1914800</v>
      </c>
      <c r="V150" s="49">
        <f>E150-R150-S150-T150-U150</f>
        <v>-840500</v>
      </c>
      <c r="W150" s="133">
        <v>0</v>
      </c>
      <c r="X150" s="9"/>
      <c r="Y150" s="46"/>
      <c r="Z150" s="9">
        <v>0</v>
      </c>
      <c r="AA150" s="46">
        <f t="shared" si="463"/>
        <v>0</v>
      </c>
      <c r="AB150" s="133">
        <f>'Cap Inc'!F72</f>
        <v>425000</v>
      </c>
      <c r="AC150" s="9"/>
      <c r="AD150" s="9"/>
      <c r="AE150" s="9">
        <v>425000</v>
      </c>
      <c r="AF150" s="49">
        <f>G150-AB150-AC150-AD150-AE150</f>
        <v>0</v>
      </c>
      <c r="AG150" s="89">
        <f>'Cap Inc'!G72</f>
        <v>425000</v>
      </c>
      <c r="AH150" s="9"/>
      <c r="AI150" s="9"/>
      <c r="AJ150" s="9">
        <v>425000</v>
      </c>
      <c r="AK150" s="49">
        <f>H150-AG150-AH150-AI150-AJ150</f>
        <v>0</v>
      </c>
      <c r="AL150" s="89"/>
      <c r="AM150" s="9"/>
      <c r="AN150" s="9"/>
      <c r="AO150" s="9"/>
      <c r="AP150" s="61">
        <f>I150-AL150-AM150-AN150-AO150</f>
        <v>0</v>
      </c>
      <c r="AQ150" s="89"/>
      <c r="AR150" s="9"/>
      <c r="AS150" s="9"/>
      <c r="AT150" s="9"/>
      <c r="AU150" s="61">
        <f>J150-AQ150-AR150-AS150-AT150</f>
        <v>0</v>
      </c>
      <c r="AW150" s="9"/>
      <c r="AX150" s="9"/>
      <c r="AY150" s="9"/>
      <c r="AZ150" s="49">
        <f>K150-AV150-AW150-AX150-AY150</f>
        <v>0</v>
      </c>
      <c r="BA150" s="89"/>
      <c r="BB150" s="9"/>
      <c r="BC150" s="9"/>
      <c r="BD150" s="9"/>
      <c r="BE150" s="49">
        <f>L150-BA150-BB150-BC150-BD150</f>
        <v>0</v>
      </c>
      <c r="BF150" s="89"/>
      <c r="BG150" s="9"/>
      <c r="BH150" s="9"/>
      <c r="BI150" s="9"/>
      <c r="BJ150" s="49">
        <f>M150-BF150-BG150-BH150-BI150</f>
        <v>0</v>
      </c>
      <c r="BK150" s="89"/>
      <c r="BL150" s="9"/>
      <c r="BM150" s="9"/>
      <c r="BN150" s="9"/>
      <c r="BO150" s="49">
        <f>N150-BK150-BL150-BM150-BN150</f>
        <v>0</v>
      </c>
      <c r="BP150" s="89"/>
      <c r="BQ150" s="9"/>
      <c r="BR150" s="9"/>
      <c r="BS150" s="9"/>
      <c r="BT150" s="49">
        <f>O150-BP150-BQ150-BR150-BS150</f>
        <v>0</v>
      </c>
      <c r="BU150" s="89"/>
      <c r="BV150" s="9"/>
      <c r="BW150" s="9"/>
      <c r="BX150" s="9"/>
      <c r="BY150" s="49">
        <f>P150-BU150-BV150-BW150-BX150</f>
        <v>0</v>
      </c>
      <c r="BZ150" s="89"/>
      <c r="CA150" s="9"/>
      <c r="CB150" s="9"/>
      <c r="CC150" s="9"/>
      <c r="CD150" s="46">
        <f t="shared" si="468"/>
        <v>0</v>
      </c>
      <c r="CE150" s="1406">
        <v>0</v>
      </c>
      <c r="CF150" s="833">
        <f t="shared" ref="CF150:CQ150" si="506">CE150</f>
        <v>0</v>
      </c>
      <c r="CG150" s="833">
        <f t="shared" si="506"/>
        <v>0</v>
      </c>
      <c r="CH150" s="833">
        <f t="shared" si="506"/>
        <v>0</v>
      </c>
      <c r="CI150" s="833">
        <f t="shared" si="506"/>
        <v>0</v>
      </c>
      <c r="CJ150" s="833">
        <f t="shared" si="506"/>
        <v>0</v>
      </c>
      <c r="CK150" s="833">
        <f t="shared" si="506"/>
        <v>0</v>
      </c>
      <c r="CL150" s="833">
        <f t="shared" si="506"/>
        <v>0</v>
      </c>
      <c r="CM150" s="833">
        <f t="shared" si="506"/>
        <v>0</v>
      </c>
      <c r="CN150" s="833">
        <f t="shared" si="506"/>
        <v>0</v>
      </c>
      <c r="CO150" s="833">
        <f t="shared" si="506"/>
        <v>0</v>
      </c>
      <c r="CP150" s="833">
        <f t="shared" si="506"/>
        <v>0</v>
      </c>
      <c r="CQ150" s="833">
        <f t="shared" si="506"/>
        <v>0</v>
      </c>
      <c r="CR150" s="833"/>
      <c r="CS150" s="1125">
        <f t="shared" ref="CS150:DE150" si="507">ROUND(CE150*E150,-3)</f>
        <v>0</v>
      </c>
      <c r="CT150" s="31">
        <f t="shared" si="507"/>
        <v>0</v>
      </c>
      <c r="CU150" s="31">
        <f t="shared" si="507"/>
        <v>0</v>
      </c>
      <c r="CV150" s="31">
        <f t="shared" si="507"/>
        <v>0</v>
      </c>
      <c r="CW150" s="31">
        <f t="shared" si="507"/>
        <v>0</v>
      </c>
      <c r="CX150" s="31">
        <f t="shared" si="507"/>
        <v>0</v>
      </c>
      <c r="CY150" s="31">
        <f t="shared" si="507"/>
        <v>0</v>
      </c>
      <c r="CZ150" s="31">
        <f t="shared" si="507"/>
        <v>0</v>
      </c>
      <c r="DA150" s="31">
        <f t="shared" si="507"/>
        <v>0</v>
      </c>
      <c r="DB150" s="31">
        <f t="shared" si="507"/>
        <v>0</v>
      </c>
      <c r="DC150" s="31">
        <f t="shared" si="507"/>
        <v>0</v>
      </c>
      <c r="DD150" s="31">
        <f t="shared" si="507"/>
        <v>0</v>
      </c>
      <c r="DE150" s="78">
        <f t="shared" si="507"/>
        <v>0</v>
      </c>
    </row>
    <row r="151" spans="1:109" x14ac:dyDescent="0.2">
      <c r="A151" s="615" t="s">
        <v>713</v>
      </c>
      <c r="B151" s="1368" t="s">
        <v>3926</v>
      </c>
      <c r="C151" s="1346" t="s">
        <v>4027</v>
      </c>
      <c r="D151" s="1331" t="s">
        <v>4027</v>
      </c>
      <c r="E151" s="350">
        <v>18200</v>
      </c>
      <c r="F151" s="29">
        <v>53800</v>
      </c>
      <c r="G151" s="9">
        <v>49000</v>
      </c>
      <c r="H151" s="9">
        <f>ROUND((G151*Assumptions!I$6+G151),-3)</f>
        <v>51000</v>
      </c>
      <c r="I151" s="29">
        <f>ROUND((H151*Assumptions!J$6+H151),-3)</f>
        <v>53000</v>
      </c>
      <c r="J151" s="29">
        <f>ROUND((I151*Assumptions!K$6+I151),-3)</f>
        <v>54000</v>
      </c>
      <c r="K151" s="9">
        <f>ROUND((J151*Assumptions!L$6+J151),-3)</f>
        <v>55000</v>
      </c>
      <c r="L151" s="9">
        <f>ROUND((K151*Assumptions!M$6+K151),-3)</f>
        <v>56000</v>
      </c>
      <c r="M151" s="89">
        <f>ROUND((L151*Assumptions!N$6+L151),-3)</f>
        <v>57000</v>
      </c>
      <c r="N151" s="9">
        <f>ROUND((M151*Assumptions!O$6+M151),-3)</f>
        <v>58000</v>
      </c>
      <c r="O151" s="9">
        <f>ROUND((N151*Assumptions!P$6+N151),-3)</f>
        <v>59000</v>
      </c>
      <c r="P151" s="9">
        <f>ROUND((O151*Assumptions!Q$6+O151),-3)</f>
        <v>60000</v>
      </c>
      <c r="Q151" s="49">
        <f>ROUND((P151*Assumptions!R$6+P151),-3)</f>
        <v>62000</v>
      </c>
      <c r="R151" s="89"/>
      <c r="S151" s="9"/>
      <c r="T151" s="9"/>
      <c r="U151" s="9"/>
      <c r="V151" s="49">
        <f t="shared" si="462"/>
        <v>18200</v>
      </c>
      <c r="W151" s="133"/>
      <c r="X151" s="9"/>
      <c r="Y151" s="46"/>
      <c r="Z151" s="9">
        <v>6800</v>
      </c>
      <c r="AA151" s="46">
        <f t="shared" si="463"/>
        <v>47000</v>
      </c>
      <c r="AB151" s="133"/>
      <c r="AC151" s="9"/>
      <c r="AD151" s="9"/>
      <c r="AE151" s="9"/>
      <c r="AF151" s="49">
        <f t="shared" si="464"/>
        <v>49000</v>
      </c>
      <c r="AG151" s="89"/>
      <c r="AH151" s="9"/>
      <c r="AI151" s="9"/>
      <c r="AJ151" s="9"/>
      <c r="AK151" s="49">
        <f t="shared" si="465"/>
        <v>51000</v>
      </c>
      <c r="AL151" s="89"/>
      <c r="AM151" s="9"/>
      <c r="AN151" s="9"/>
      <c r="AO151" s="9"/>
      <c r="AP151" s="61">
        <f t="shared" si="466"/>
        <v>53000</v>
      </c>
      <c r="AQ151" s="89"/>
      <c r="AR151" s="9"/>
      <c r="AS151" s="9"/>
      <c r="AT151" s="9"/>
      <c r="AU151" s="61">
        <f t="shared" si="481"/>
        <v>54000</v>
      </c>
      <c r="AW151" s="9"/>
      <c r="AX151" s="9"/>
      <c r="AY151" s="9"/>
      <c r="AZ151" s="49">
        <f t="shared" si="482"/>
        <v>55000</v>
      </c>
      <c r="BA151" s="89"/>
      <c r="BB151" s="9"/>
      <c r="BC151" s="9"/>
      <c r="BD151" s="9"/>
      <c r="BE151" s="49">
        <f t="shared" si="483"/>
        <v>56000</v>
      </c>
      <c r="BF151" s="89"/>
      <c r="BG151" s="9"/>
      <c r="BH151" s="9"/>
      <c r="BI151" s="9"/>
      <c r="BJ151" s="49">
        <f t="shared" si="484"/>
        <v>57000</v>
      </c>
      <c r="BK151" s="89"/>
      <c r="BL151" s="9"/>
      <c r="BM151" s="9"/>
      <c r="BN151" s="9"/>
      <c r="BO151" s="49">
        <f t="shared" si="485"/>
        <v>58000</v>
      </c>
      <c r="BP151" s="89"/>
      <c r="BQ151" s="9"/>
      <c r="BR151" s="9"/>
      <c r="BS151" s="9"/>
      <c r="BT151" s="49">
        <f t="shared" si="486"/>
        <v>59000</v>
      </c>
      <c r="BU151" s="89"/>
      <c r="BV151" s="9"/>
      <c r="BW151" s="9"/>
      <c r="BX151" s="9"/>
      <c r="BY151" s="49">
        <f t="shared" si="487"/>
        <v>60000</v>
      </c>
      <c r="BZ151" s="89"/>
      <c r="CA151" s="9"/>
      <c r="CB151" s="9"/>
      <c r="CC151" s="9"/>
      <c r="CD151" s="46">
        <f t="shared" si="468"/>
        <v>62000</v>
      </c>
      <c r="CE151" s="1406">
        <v>0</v>
      </c>
      <c r="CF151" s="833">
        <f t="shared" si="488"/>
        <v>0</v>
      </c>
      <c r="CG151" s="833">
        <f t="shared" si="489"/>
        <v>0</v>
      </c>
      <c r="CH151" s="833">
        <f t="shared" si="490"/>
        <v>0</v>
      </c>
      <c r="CI151" s="833">
        <f t="shared" si="491"/>
        <v>0</v>
      </c>
      <c r="CJ151" s="833">
        <f t="shared" si="492"/>
        <v>0</v>
      </c>
      <c r="CK151" s="833">
        <f t="shared" si="493"/>
        <v>0</v>
      </c>
      <c r="CL151" s="833">
        <f t="shared" si="494"/>
        <v>0</v>
      </c>
      <c r="CM151" s="833">
        <f t="shared" si="495"/>
        <v>0</v>
      </c>
      <c r="CN151" s="833">
        <f t="shared" si="495"/>
        <v>0</v>
      </c>
      <c r="CO151" s="833">
        <f t="shared" si="496"/>
        <v>0</v>
      </c>
      <c r="CP151" s="833">
        <f t="shared" si="496"/>
        <v>0</v>
      </c>
      <c r="CQ151" s="833">
        <f t="shared" si="496"/>
        <v>0</v>
      </c>
      <c r="CR151" s="833"/>
      <c r="CS151" s="1125">
        <f t="shared" si="469"/>
        <v>0</v>
      </c>
      <c r="CT151" s="31">
        <f t="shared" si="470"/>
        <v>0</v>
      </c>
      <c r="CU151" s="31">
        <f t="shared" si="471"/>
        <v>0</v>
      </c>
      <c r="CV151" s="31">
        <f t="shared" si="472"/>
        <v>0</v>
      </c>
      <c r="CW151" s="31">
        <f t="shared" si="473"/>
        <v>0</v>
      </c>
      <c r="CX151" s="31">
        <f t="shared" si="474"/>
        <v>0</v>
      </c>
      <c r="CY151" s="31">
        <f t="shared" si="475"/>
        <v>0</v>
      </c>
      <c r="CZ151" s="31">
        <f t="shared" si="476"/>
        <v>0</v>
      </c>
      <c r="DA151" s="31">
        <f t="shared" si="477"/>
        <v>0</v>
      </c>
      <c r="DB151" s="31">
        <f t="shared" si="478"/>
        <v>0</v>
      </c>
      <c r="DC151" s="31">
        <f t="shared" si="479"/>
        <v>0</v>
      </c>
      <c r="DD151" s="31">
        <f t="shared" si="480"/>
        <v>0</v>
      </c>
      <c r="DE151" s="78">
        <f t="shared" si="480"/>
        <v>0</v>
      </c>
    </row>
    <row r="152" spans="1:109" x14ac:dyDescent="0.2">
      <c r="A152" s="615" t="s">
        <v>5033</v>
      </c>
      <c r="B152" s="1352" t="s">
        <v>3210</v>
      </c>
      <c r="C152" s="1335" t="s">
        <v>4959</v>
      </c>
      <c r="D152" s="1330"/>
      <c r="E152" s="133">
        <v>221300</v>
      </c>
      <c r="F152" s="9">
        <v>10400</v>
      </c>
      <c r="G152" s="9"/>
      <c r="H152" s="9"/>
      <c r="I152" s="29"/>
      <c r="J152" s="29"/>
      <c r="K152" s="29"/>
      <c r="L152" s="9"/>
      <c r="M152" s="89"/>
      <c r="N152" s="9"/>
      <c r="O152" s="9"/>
      <c r="P152" s="9"/>
      <c r="Q152" s="49"/>
      <c r="R152" s="89"/>
      <c r="S152" s="9">
        <f>E152</f>
        <v>221300</v>
      </c>
      <c r="T152" s="9"/>
      <c r="U152" s="9"/>
      <c r="V152" s="49">
        <f t="shared" si="462"/>
        <v>0</v>
      </c>
      <c r="W152" s="133"/>
      <c r="X152" s="9">
        <f>42000-31600</f>
        <v>10400</v>
      </c>
      <c r="Y152" s="46"/>
      <c r="Z152" s="9"/>
      <c r="AA152" s="46">
        <f t="shared" si="463"/>
        <v>0</v>
      </c>
      <c r="AB152" s="133"/>
      <c r="AC152" s="9"/>
      <c r="AD152" s="9"/>
      <c r="AE152" s="9"/>
      <c r="AF152" s="49">
        <f t="shared" si="464"/>
        <v>0</v>
      </c>
      <c r="AG152" s="89"/>
      <c r="AH152" s="9"/>
      <c r="AI152" s="9"/>
      <c r="AJ152" s="9"/>
      <c r="AK152" s="49">
        <f t="shared" si="465"/>
        <v>0</v>
      </c>
      <c r="AL152" s="89"/>
      <c r="AM152" s="9"/>
      <c r="AN152" s="9"/>
      <c r="AO152" s="9"/>
      <c r="AP152" s="61">
        <f t="shared" si="466"/>
        <v>0</v>
      </c>
      <c r="AQ152" s="89"/>
      <c r="AR152" s="9"/>
      <c r="AS152" s="9"/>
      <c r="AT152" s="9"/>
      <c r="AU152" s="61">
        <f t="shared" si="481"/>
        <v>0</v>
      </c>
      <c r="AW152" s="9"/>
      <c r="AX152" s="9"/>
      <c r="AY152" s="9"/>
      <c r="AZ152" s="49">
        <f t="shared" si="482"/>
        <v>0</v>
      </c>
      <c r="BA152" s="89"/>
      <c r="BB152" s="9"/>
      <c r="BC152" s="9"/>
      <c r="BD152" s="9"/>
      <c r="BE152" s="49">
        <f t="shared" si="483"/>
        <v>0</v>
      </c>
      <c r="BF152" s="89"/>
      <c r="BG152" s="9"/>
      <c r="BH152" s="9"/>
      <c r="BI152" s="9"/>
      <c r="BJ152" s="49">
        <f t="shared" si="484"/>
        <v>0</v>
      </c>
      <c r="BK152" s="89"/>
      <c r="BL152" s="9"/>
      <c r="BM152" s="9"/>
      <c r="BN152" s="9"/>
      <c r="BO152" s="49">
        <f t="shared" si="485"/>
        <v>0</v>
      </c>
      <c r="BP152" s="89"/>
      <c r="BQ152" s="9"/>
      <c r="BR152" s="9"/>
      <c r="BS152" s="9"/>
      <c r="BT152" s="49">
        <f t="shared" si="486"/>
        <v>0</v>
      </c>
      <c r="BU152" s="89"/>
      <c r="BV152" s="9"/>
      <c r="BW152" s="9"/>
      <c r="BX152" s="9"/>
      <c r="BY152" s="49">
        <f t="shared" si="487"/>
        <v>0</v>
      </c>
      <c r="BZ152" s="89"/>
      <c r="CA152" s="9"/>
      <c r="CB152" s="9"/>
      <c r="CC152" s="9"/>
      <c r="CD152" s="46">
        <f t="shared" si="468"/>
        <v>0</v>
      </c>
      <c r="CE152" s="1406">
        <v>0</v>
      </c>
      <c r="CF152" s="833">
        <f t="shared" ref="CF152:CN152" si="508">CE152</f>
        <v>0</v>
      </c>
      <c r="CG152" s="833">
        <f t="shared" si="508"/>
        <v>0</v>
      </c>
      <c r="CH152" s="833">
        <f t="shared" si="508"/>
        <v>0</v>
      </c>
      <c r="CI152" s="833">
        <f t="shared" si="508"/>
        <v>0</v>
      </c>
      <c r="CJ152" s="833">
        <f t="shared" si="508"/>
        <v>0</v>
      </c>
      <c r="CK152" s="833">
        <f t="shared" si="508"/>
        <v>0</v>
      </c>
      <c r="CL152" s="833">
        <f t="shared" si="508"/>
        <v>0</v>
      </c>
      <c r="CM152" s="833">
        <f t="shared" si="508"/>
        <v>0</v>
      </c>
      <c r="CN152" s="833">
        <f t="shared" si="508"/>
        <v>0</v>
      </c>
      <c r="CO152" s="833">
        <f t="shared" si="496"/>
        <v>0</v>
      </c>
      <c r="CP152" s="833">
        <f t="shared" si="496"/>
        <v>0</v>
      </c>
      <c r="CQ152" s="833">
        <f t="shared" si="496"/>
        <v>0</v>
      </c>
      <c r="CR152" s="833"/>
      <c r="CS152" s="1125">
        <f t="shared" si="469"/>
        <v>0</v>
      </c>
      <c r="CT152" s="31">
        <f t="shared" si="470"/>
        <v>0</v>
      </c>
      <c r="CU152" s="31">
        <f t="shared" si="471"/>
        <v>0</v>
      </c>
      <c r="CV152" s="31">
        <f t="shared" si="472"/>
        <v>0</v>
      </c>
      <c r="CW152" s="31">
        <f t="shared" si="473"/>
        <v>0</v>
      </c>
      <c r="CX152" s="31">
        <f t="shared" si="474"/>
        <v>0</v>
      </c>
      <c r="CY152" s="31">
        <f t="shared" si="475"/>
        <v>0</v>
      </c>
      <c r="CZ152" s="31">
        <f t="shared" si="476"/>
        <v>0</v>
      </c>
      <c r="DA152" s="31">
        <f t="shared" si="477"/>
        <v>0</v>
      </c>
      <c r="DB152" s="31">
        <f t="shared" si="478"/>
        <v>0</v>
      </c>
      <c r="DC152" s="31">
        <f t="shared" si="479"/>
        <v>0</v>
      </c>
      <c r="DD152" s="31">
        <f t="shared" si="480"/>
        <v>0</v>
      </c>
      <c r="DE152" s="78">
        <f t="shared" si="480"/>
        <v>0</v>
      </c>
    </row>
    <row r="153" spans="1:109" x14ac:dyDescent="0.2">
      <c r="A153" s="615" t="s">
        <v>5944</v>
      </c>
      <c r="B153" s="1354" t="s">
        <v>6144</v>
      </c>
      <c r="C153" s="1335" t="s">
        <v>6145</v>
      </c>
      <c r="D153" s="1330" t="s">
        <v>6145</v>
      </c>
      <c r="E153" s="133"/>
      <c r="F153" s="9">
        <v>92400</v>
      </c>
      <c r="G153" s="9"/>
      <c r="H153" s="9"/>
      <c r="I153" s="29"/>
      <c r="J153" s="29"/>
      <c r="K153" s="29"/>
      <c r="L153" s="9"/>
      <c r="M153" s="89"/>
      <c r="N153" s="9"/>
      <c r="O153" s="9"/>
      <c r="P153" s="9"/>
      <c r="Q153" s="49"/>
      <c r="R153" s="89"/>
      <c r="S153" s="9"/>
      <c r="T153" s="9"/>
      <c r="U153" s="9"/>
      <c r="V153" s="49">
        <f t="shared" si="462"/>
        <v>0</v>
      </c>
      <c r="W153" s="133"/>
      <c r="X153" s="9"/>
      <c r="Y153" s="46"/>
      <c r="Z153" s="9">
        <f>'Res-Gen'!F84</f>
        <v>92400</v>
      </c>
      <c r="AA153" s="46">
        <f t="shared" si="463"/>
        <v>0</v>
      </c>
      <c r="AB153" s="133"/>
      <c r="AC153" s="9"/>
      <c r="AD153" s="9"/>
      <c r="AE153" s="9"/>
      <c r="AF153" s="49">
        <f t="shared" si="464"/>
        <v>0</v>
      </c>
      <c r="AG153" s="89"/>
      <c r="AH153" s="9"/>
      <c r="AI153" s="9"/>
      <c r="AJ153" s="9"/>
      <c r="AK153" s="49">
        <f t="shared" si="465"/>
        <v>0</v>
      </c>
      <c r="AL153" s="89"/>
      <c r="AM153" s="9"/>
      <c r="AN153" s="9"/>
      <c r="AO153" s="9"/>
      <c r="AP153" s="61">
        <f t="shared" si="466"/>
        <v>0</v>
      </c>
      <c r="AQ153" s="89"/>
      <c r="AR153" s="9"/>
      <c r="AS153" s="9"/>
      <c r="AT153" s="9"/>
      <c r="AU153" s="61">
        <f t="shared" si="481"/>
        <v>0</v>
      </c>
      <c r="AW153" s="9"/>
      <c r="AX153" s="9"/>
      <c r="AY153" s="9"/>
      <c r="AZ153" s="49">
        <f t="shared" si="482"/>
        <v>0</v>
      </c>
      <c r="BA153" s="89"/>
      <c r="BB153" s="9"/>
      <c r="BC153" s="9"/>
      <c r="BD153" s="9"/>
      <c r="BE153" s="49">
        <f t="shared" si="483"/>
        <v>0</v>
      </c>
      <c r="BF153" s="89"/>
      <c r="BG153" s="9"/>
      <c r="BH153" s="9"/>
      <c r="BI153" s="9"/>
      <c r="BJ153" s="49">
        <f t="shared" si="484"/>
        <v>0</v>
      </c>
      <c r="BK153" s="89"/>
      <c r="BL153" s="9"/>
      <c r="BM153" s="9"/>
      <c r="BN153" s="9"/>
      <c r="BO153" s="49">
        <f t="shared" si="485"/>
        <v>0</v>
      </c>
      <c r="BP153" s="89"/>
      <c r="BQ153" s="9"/>
      <c r="BR153" s="9"/>
      <c r="BS153" s="9"/>
      <c r="BT153" s="49">
        <f t="shared" si="486"/>
        <v>0</v>
      </c>
      <c r="BU153" s="89"/>
      <c r="BV153" s="9"/>
      <c r="BW153" s="9"/>
      <c r="BX153" s="9"/>
      <c r="BY153" s="49">
        <f t="shared" si="487"/>
        <v>0</v>
      </c>
      <c r="BZ153" s="89"/>
      <c r="CA153" s="9"/>
      <c r="CB153" s="9"/>
      <c r="CC153" s="9"/>
      <c r="CD153" s="46">
        <f t="shared" si="468"/>
        <v>0</v>
      </c>
      <c r="CE153" s="1406">
        <v>1</v>
      </c>
      <c r="CF153" s="833">
        <f t="shared" ref="CF153:CN153" si="509">CE153</f>
        <v>1</v>
      </c>
      <c r="CG153" s="833">
        <f t="shared" si="509"/>
        <v>1</v>
      </c>
      <c r="CH153" s="833">
        <f t="shared" si="509"/>
        <v>1</v>
      </c>
      <c r="CI153" s="833">
        <f t="shared" si="509"/>
        <v>1</v>
      </c>
      <c r="CJ153" s="833">
        <f t="shared" si="509"/>
        <v>1</v>
      </c>
      <c r="CK153" s="833">
        <f t="shared" si="509"/>
        <v>1</v>
      </c>
      <c r="CL153" s="833">
        <f t="shared" si="509"/>
        <v>1</v>
      </c>
      <c r="CM153" s="833">
        <f t="shared" si="509"/>
        <v>1</v>
      </c>
      <c r="CN153" s="833">
        <f t="shared" si="509"/>
        <v>1</v>
      </c>
      <c r="CO153" s="833">
        <f t="shared" si="496"/>
        <v>1</v>
      </c>
      <c r="CP153" s="833">
        <f t="shared" si="496"/>
        <v>1</v>
      </c>
      <c r="CQ153" s="833">
        <f t="shared" si="496"/>
        <v>1</v>
      </c>
      <c r="CR153" s="833"/>
      <c r="CS153" s="1125">
        <f t="shared" si="469"/>
        <v>0</v>
      </c>
      <c r="CT153" s="31">
        <f t="shared" si="470"/>
        <v>92000</v>
      </c>
      <c r="CU153" s="31">
        <f t="shared" si="471"/>
        <v>0</v>
      </c>
      <c r="CV153" s="31">
        <f t="shared" si="472"/>
        <v>0</v>
      </c>
      <c r="CW153" s="31">
        <f t="shared" si="473"/>
        <v>0</v>
      </c>
      <c r="CX153" s="31">
        <f t="shared" si="474"/>
        <v>0</v>
      </c>
      <c r="CY153" s="31">
        <f t="shared" si="475"/>
        <v>0</v>
      </c>
      <c r="CZ153" s="31">
        <f t="shared" si="476"/>
        <v>0</v>
      </c>
      <c r="DA153" s="31">
        <f t="shared" si="477"/>
        <v>0</v>
      </c>
      <c r="DB153" s="31">
        <f t="shared" si="478"/>
        <v>0</v>
      </c>
      <c r="DC153" s="31">
        <f t="shared" si="479"/>
        <v>0</v>
      </c>
      <c r="DD153" s="31">
        <f t="shared" si="480"/>
        <v>0</v>
      </c>
      <c r="DE153" s="78">
        <f t="shared" si="480"/>
        <v>0</v>
      </c>
    </row>
    <row r="154" spans="1:109" x14ac:dyDescent="0.2">
      <c r="A154" s="615" t="s">
        <v>6015</v>
      </c>
      <c r="B154" s="1354" t="s">
        <v>6096</v>
      </c>
      <c r="C154" s="1346" t="s">
        <v>6003</v>
      </c>
      <c r="D154" s="1331"/>
      <c r="E154" s="133">
        <v>800</v>
      </c>
      <c r="F154" s="9">
        <v>36600</v>
      </c>
      <c r="G154" s="9"/>
      <c r="H154" s="9"/>
      <c r="I154" s="29"/>
      <c r="J154" s="29"/>
      <c r="K154" s="29"/>
      <c r="L154" s="9"/>
      <c r="M154" s="89"/>
      <c r="N154" s="9"/>
      <c r="O154" s="9"/>
      <c r="P154" s="9"/>
      <c r="Q154" s="49"/>
      <c r="R154" s="89"/>
      <c r="S154" s="9"/>
      <c r="T154" s="9"/>
      <c r="U154" s="9">
        <v>45000</v>
      </c>
      <c r="V154" s="49">
        <f t="shared" si="462"/>
        <v>-44200</v>
      </c>
      <c r="W154" s="133"/>
      <c r="X154" s="9"/>
      <c r="Y154" s="46"/>
      <c r="Z154" s="9">
        <f>+F154</f>
        <v>36600</v>
      </c>
      <c r="AA154" s="46">
        <f t="shared" si="463"/>
        <v>0</v>
      </c>
      <c r="AB154" s="133"/>
      <c r="AC154" s="9"/>
      <c r="AD154" s="9"/>
      <c r="AE154" s="9"/>
      <c r="AF154" s="49">
        <f t="shared" si="464"/>
        <v>0</v>
      </c>
      <c r="AG154" s="89"/>
      <c r="AH154" s="9"/>
      <c r="AI154" s="9"/>
      <c r="AJ154" s="9"/>
      <c r="AK154" s="49">
        <f t="shared" si="465"/>
        <v>0</v>
      </c>
      <c r="AL154" s="89"/>
      <c r="AM154" s="9"/>
      <c r="AN154" s="9"/>
      <c r="AO154" s="9"/>
      <c r="AP154" s="61">
        <f t="shared" si="466"/>
        <v>0</v>
      </c>
      <c r="AQ154" s="89"/>
      <c r="AR154" s="9"/>
      <c r="AS154" s="9"/>
      <c r="AT154" s="9"/>
      <c r="AU154" s="61">
        <f t="shared" si="481"/>
        <v>0</v>
      </c>
      <c r="AW154" s="9"/>
      <c r="AX154" s="9"/>
      <c r="AY154" s="9"/>
      <c r="AZ154" s="49">
        <f t="shared" si="482"/>
        <v>0</v>
      </c>
      <c r="BA154" s="89"/>
      <c r="BB154" s="9"/>
      <c r="BC154" s="9"/>
      <c r="BD154" s="9"/>
      <c r="BE154" s="49">
        <f t="shared" si="483"/>
        <v>0</v>
      </c>
      <c r="BF154" s="89"/>
      <c r="BG154" s="9"/>
      <c r="BH154" s="9"/>
      <c r="BI154" s="9"/>
      <c r="BJ154" s="49">
        <f t="shared" si="484"/>
        <v>0</v>
      </c>
      <c r="BK154" s="89"/>
      <c r="BL154" s="9"/>
      <c r="BM154" s="9"/>
      <c r="BN154" s="9"/>
      <c r="BO154" s="49">
        <f t="shared" si="485"/>
        <v>0</v>
      </c>
      <c r="BP154" s="89"/>
      <c r="BQ154" s="9"/>
      <c r="BR154" s="9"/>
      <c r="BS154" s="9"/>
      <c r="BT154" s="49">
        <f t="shared" si="486"/>
        <v>0</v>
      </c>
      <c r="BU154" s="89"/>
      <c r="BV154" s="9"/>
      <c r="BW154" s="9"/>
      <c r="BX154" s="9"/>
      <c r="BY154" s="49">
        <f t="shared" si="487"/>
        <v>0</v>
      </c>
      <c r="BZ154" s="89"/>
      <c r="CA154" s="9"/>
      <c r="CB154" s="9"/>
      <c r="CC154" s="9"/>
      <c r="CD154" s="46">
        <f t="shared" si="468"/>
        <v>0</v>
      </c>
      <c r="CE154" s="1406">
        <v>1</v>
      </c>
      <c r="CF154" s="833">
        <f t="shared" ref="CF154" si="510">CE154</f>
        <v>1</v>
      </c>
      <c r="CG154" s="833">
        <f t="shared" ref="CG154" si="511">CF154</f>
        <v>1</v>
      </c>
      <c r="CH154" s="833">
        <f t="shared" ref="CH154" si="512">CG154</f>
        <v>1</v>
      </c>
      <c r="CI154" s="833">
        <f t="shared" ref="CI154" si="513">CH154</f>
        <v>1</v>
      </c>
      <c r="CJ154" s="833">
        <f t="shared" ref="CJ154" si="514">CI154</f>
        <v>1</v>
      </c>
      <c r="CK154" s="833">
        <f t="shared" ref="CK154" si="515">CJ154</f>
        <v>1</v>
      </c>
      <c r="CL154" s="833">
        <f t="shared" ref="CL154" si="516">CK154</f>
        <v>1</v>
      </c>
      <c r="CM154" s="833">
        <f t="shared" ref="CM154" si="517">CL154</f>
        <v>1</v>
      </c>
      <c r="CN154" s="833">
        <f t="shared" ref="CN154" si="518">CM154</f>
        <v>1</v>
      </c>
      <c r="CO154" s="833">
        <f t="shared" si="496"/>
        <v>1</v>
      </c>
      <c r="CP154" s="833">
        <f t="shared" si="496"/>
        <v>1</v>
      </c>
      <c r="CQ154" s="833">
        <f t="shared" si="496"/>
        <v>1</v>
      </c>
      <c r="CR154" s="833"/>
      <c r="CS154" s="1125">
        <f t="shared" si="469"/>
        <v>1000</v>
      </c>
      <c r="CT154" s="31">
        <f t="shared" si="470"/>
        <v>37000</v>
      </c>
      <c r="CU154" s="31">
        <f t="shared" si="471"/>
        <v>0</v>
      </c>
      <c r="CV154" s="31">
        <f t="shared" si="472"/>
        <v>0</v>
      </c>
      <c r="CW154" s="31">
        <f t="shared" si="473"/>
        <v>0</v>
      </c>
      <c r="CX154" s="31">
        <f t="shared" si="474"/>
        <v>0</v>
      </c>
      <c r="CY154" s="31">
        <f t="shared" si="475"/>
        <v>0</v>
      </c>
      <c r="CZ154" s="31">
        <f t="shared" si="476"/>
        <v>0</v>
      </c>
      <c r="DA154" s="31">
        <f t="shared" si="477"/>
        <v>0</v>
      </c>
      <c r="DB154" s="31">
        <f t="shared" si="478"/>
        <v>0</v>
      </c>
      <c r="DC154" s="31">
        <f t="shared" si="479"/>
        <v>0</v>
      </c>
      <c r="DD154" s="31">
        <f t="shared" si="480"/>
        <v>0</v>
      </c>
      <c r="DE154" s="78">
        <f t="shared" si="480"/>
        <v>0</v>
      </c>
    </row>
    <row r="155" spans="1:109" x14ac:dyDescent="0.2">
      <c r="A155" s="615" t="s">
        <v>6380</v>
      </c>
      <c r="B155" s="1356"/>
      <c r="C155" s="1335" t="s">
        <v>5905</v>
      </c>
      <c r="D155" s="1330"/>
      <c r="E155" s="133">
        <v>29500</v>
      </c>
      <c r="F155" s="9">
        <v>515000</v>
      </c>
      <c r="G155" s="9">
        <v>31000</v>
      </c>
      <c r="H155" s="9"/>
      <c r="I155" s="29"/>
      <c r="J155" s="29"/>
      <c r="K155" s="29"/>
      <c r="L155" s="9"/>
      <c r="M155" s="89"/>
      <c r="N155" s="9"/>
      <c r="O155" s="9"/>
      <c r="P155" s="9"/>
      <c r="Q155" s="49"/>
      <c r="R155" s="89"/>
      <c r="S155" s="9">
        <v>45000</v>
      </c>
      <c r="T155" s="9"/>
      <c r="U155" s="9">
        <f>540000-45000</f>
        <v>495000</v>
      </c>
      <c r="V155" s="49">
        <f t="shared" si="462"/>
        <v>-510500</v>
      </c>
      <c r="W155" s="133"/>
      <c r="X155" s="9"/>
      <c r="Y155" s="46"/>
      <c r="Z155" s="9">
        <v>510500</v>
      </c>
      <c r="AA155" s="46">
        <f t="shared" si="463"/>
        <v>4500</v>
      </c>
      <c r="AB155" s="133"/>
      <c r="AC155" s="9"/>
      <c r="AD155" s="9"/>
      <c r="AE155" s="9">
        <f>+G155</f>
        <v>31000</v>
      </c>
      <c r="AF155" s="49">
        <f t="shared" si="464"/>
        <v>0</v>
      </c>
      <c r="AG155" s="89"/>
      <c r="AH155" s="9"/>
      <c r="AI155" s="9"/>
      <c r="AJ155" s="9"/>
      <c r="AK155" s="49">
        <f t="shared" si="465"/>
        <v>0</v>
      </c>
      <c r="AL155" s="89"/>
      <c r="AM155" s="9"/>
      <c r="AN155" s="9"/>
      <c r="AO155" s="9"/>
      <c r="AP155" s="61">
        <f t="shared" si="466"/>
        <v>0</v>
      </c>
      <c r="AQ155" s="89"/>
      <c r="AR155" s="9"/>
      <c r="AS155" s="9"/>
      <c r="AT155" s="9"/>
      <c r="AU155" s="61">
        <f t="shared" si="481"/>
        <v>0</v>
      </c>
      <c r="AW155" s="9"/>
      <c r="AX155" s="9"/>
      <c r="AY155" s="9"/>
      <c r="AZ155" s="49">
        <f t="shared" si="482"/>
        <v>0</v>
      </c>
      <c r="BA155" s="89"/>
      <c r="BB155" s="9"/>
      <c r="BC155" s="9"/>
      <c r="BD155" s="9"/>
      <c r="BE155" s="49">
        <f t="shared" si="483"/>
        <v>0</v>
      </c>
      <c r="BF155" s="89"/>
      <c r="BG155" s="9"/>
      <c r="BH155" s="9"/>
      <c r="BI155" s="9"/>
      <c r="BJ155" s="49">
        <f t="shared" si="484"/>
        <v>0</v>
      </c>
      <c r="BK155" s="89"/>
      <c r="BL155" s="9"/>
      <c r="BM155" s="9"/>
      <c r="BN155" s="9"/>
      <c r="BO155" s="49">
        <f t="shared" si="485"/>
        <v>0</v>
      </c>
      <c r="BP155" s="89"/>
      <c r="BQ155" s="9"/>
      <c r="BR155" s="9"/>
      <c r="BS155" s="9"/>
      <c r="BT155" s="49">
        <f t="shared" si="486"/>
        <v>0</v>
      </c>
      <c r="BU155" s="89"/>
      <c r="BV155" s="9"/>
      <c r="BW155" s="9"/>
      <c r="BX155" s="9"/>
      <c r="BY155" s="49">
        <f t="shared" si="487"/>
        <v>0</v>
      </c>
      <c r="BZ155" s="89"/>
      <c r="CA155" s="9"/>
      <c r="CB155" s="9"/>
      <c r="CC155" s="9"/>
      <c r="CD155" s="46">
        <f t="shared" si="468"/>
        <v>0</v>
      </c>
      <c r="CE155" s="1406">
        <v>1</v>
      </c>
      <c r="CF155" s="833">
        <f t="shared" ref="CF155:CN155" si="519">CE155</f>
        <v>1</v>
      </c>
      <c r="CG155" s="833">
        <f t="shared" si="519"/>
        <v>1</v>
      </c>
      <c r="CH155" s="833">
        <f t="shared" si="519"/>
        <v>1</v>
      </c>
      <c r="CI155" s="833">
        <f t="shared" si="519"/>
        <v>1</v>
      </c>
      <c r="CJ155" s="833">
        <f t="shared" si="519"/>
        <v>1</v>
      </c>
      <c r="CK155" s="833">
        <f t="shared" si="519"/>
        <v>1</v>
      </c>
      <c r="CL155" s="833">
        <f t="shared" si="519"/>
        <v>1</v>
      </c>
      <c r="CM155" s="833">
        <f t="shared" si="519"/>
        <v>1</v>
      </c>
      <c r="CN155" s="833">
        <f t="shared" si="519"/>
        <v>1</v>
      </c>
      <c r="CO155" s="833">
        <f t="shared" si="496"/>
        <v>1</v>
      </c>
      <c r="CP155" s="833">
        <f t="shared" si="496"/>
        <v>1</v>
      </c>
      <c r="CQ155" s="833">
        <f t="shared" si="496"/>
        <v>1</v>
      </c>
      <c r="CR155" s="833"/>
      <c r="CS155" s="1125">
        <f t="shared" si="469"/>
        <v>30000</v>
      </c>
      <c r="CT155" s="31">
        <f t="shared" si="470"/>
        <v>515000</v>
      </c>
      <c r="CU155" s="31">
        <f t="shared" si="471"/>
        <v>31000</v>
      </c>
      <c r="CV155" s="31">
        <f t="shared" si="472"/>
        <v>0</v>
      </c>
      <c r="CW155" s="31">
        <f t="shared" si="473"/>
        <v>0</v>
      </c>
      <c r="CX155" s="31">
        <f t="shared" si="474"/>
        <v>0</v>
      </c>
      <c r="CY155" s="31">
        <f t="shared" si="475"/>
        <v>0</v>
      </c>
      <c r="CZ155" s="31">
        <f t="shared" si="476"/>
        <v>0</v>
      </c>
      <c r="DA155" s="31">
        <f t="shared" si="477"/>
        <v>0</v>
      </c>
      <c r="DB155" s="31">
        <f t="shared" si="478"/>
        <v>0</v>
      </c>
      <c r="DC155" s="31">
        <f t="shared" si="479"/>
        <v>0</v>
      </c>
      <c r="DD155" s="31">
        <f t="shared" si="480"/>
        <v>0</v>
      </c>
      <c r="DE155" s="78">
        <f t="shared" si="480"/>
        <v>0</v>
      </c>
    </row>
    <row r="156" spans="1:109" x14ac:dyDescent="0.2">
      <c r="A156" s="615" t="s">
        <v>6813</v>
      </c>
      <c r="B156" s="1368" t="s">
        <v>11812</v>
      </c>
      <c r="C156" s="1335"/>
      <c r="D156" s="1330"/>
      <c r="E156" s="133"/>
      <c r="F156" s="9">
        <v>34900</v>
      </c>
      <c r="G156" s="9"/>
      <c r="H156" s="9"/>
      <c r="I156" s="29"/>
      <c r="J156" s="29"/>
      <c r="K156" s="29"/>
      <c r="L156" s="9"/>
      <c r="M156" s="89"/>
      <c r="N156" s="9"/>
      <c r="O156" s="9"/>
      <c r="P156" s="9"/>
      <c r="Q156" s="49"/>
      <c r="R156" s="89"/>
      <c r="S156" s="9"/>
      <c r="T156" s="9"/>
      <c r="U156" s="9"/>
      <c r="V156" s="49">
        <f t="shared" si="462"/>
        <v>0</v>
      </c>
      <c r="W156" s="133"/>
      <c r="X156" s="9"/>
      <c r="Y156" s="46"/>
      <c r="Z156" s="9">
        <f>30000+1400</f>
        <v>31400</v>
      </c>
      <c r="AA156" s="46">
        <f t="shared" si="463"/>
        <v>3500</v>
      </c>
      <c r="AB156" s="133"/>
      <c r="AC156" s="9"/>
      <c r="AD156" s="9"/>
      <c r="AE156" s="9"/>
      <c r="AF156" s="49">
        <f t="shared" si="464"/>
        <v>0</v>
      </c>
      <c r="AG156" s="89"/>
      <c r="AH156" s="9"/>
      <c r="AI156" s="9"/>
      <c r="AJ156" s="9"/>
      <c r="AK156" s="49">
        <f t="shared" si="465"/>
        <v>0</v>
      </c>
      <c r="AL156" s="89"/>
      <c r="AM156" s="9"/>
      <c r="AN156" s="9"/>
      <c r="AO156" s="9"/>
      <c r="AP156" s="61">
        <f t="shared" si="466"/>
        <v>0</v>
      </c>
      <c r="AQ156" s="89"/>
      <c r="AR156" s="9"/>
      <c r="AS156" s="9"/>
      <c r="AT156" s="9"/>
      <c r="AU156" s="61">
        <f t="shared" si="481"/>
        <v>0</v>
      </c>
      <c r="AW156" s="9"/>
      <c r="AX156" s="9"/>
      <c r="AY156" s="9"/>
      <c r="AZ156" s="49">
        <f t="shared" si="482"/>
        <v>0</v>
      </c>
      <c r="BA156" s="89"/>
      <c r="BB156" s="9"/>
      <c r="BC156" s="9"/>
      <c r="BD156" s="9"/>
      <c r="BE156" s="49">
        <f t="shared" si="483"/>
        <v>0</v>
      </c>
      <c r="BF156" s="89"/>
      <c r="BG156" s="9"/>
      <c r="BH156" s="9"/>
      <c r="BI156" s="9"/>
      <c r="BJ156" s="49">
        <f t="shared" si="484"/>
        <v>0</v>
      </c>
      <c r="BK156" s="89"/>
      <c r="BL156" s="9"/>
      <c r="BM156" s="9"/>
      <c r="BN156" s="9"/>
      <c r="BO156" s="49">
        <f t="shared" si="485"/>
        <v>0</v>
      </c>
      <c r="BP156" s="89"/>
      <c r="BQ156" s="9"/>
      <c r="BR156" s="9"/>
      <c r="BS156" s="9"/>
      <c r="BT156" s="49">
        <f t="shared" si="486"/>
        <v>0</v>
      </c>
      <c r="BU156" s="89"/>
      <c r="BV156" s="9"/>
      <c r="BW156" s="9"/>
      <c r="BX156" s="9"/>
      <c r="BY156" s="49">
        <f t="shared" si="487"/>
        <v>0</v>
      </c>
      <c r="BZ156" s="89"/>
      <c r="CA156" s="9"/>
      <c r="CB156" s="9"/>
      <c r="CC156" s="9"/>
      <c r="CD156" s="46">
        <f t="shared" si="468"/>
        <v>0</v>
      </c>
      <c r="CE156" s="1406">
        <v>0</v>
      </c>
      <c r="CF156" s="833">
        <f t="shared" ref="CF156" si="520">CE156</f>
        <v>0</v>
      </c>
      <c r="CG156" s="833">
        <f t="shared" ref="CG156" si="521">CF156</f>
        <v>0</v>
      </c>
      <c r="CH156" s="833">
        <f t="shared" ref="CH156" si="522">CG156</f>
        <v>0</v>
      </c>
      <c r="CI156" s="833">
        <f t="shared" ref="CI156" si="523">CH156</f>
        <v>0</v>
      </c>
      <c r="CJ156" s="833">
        <f t="shared" ref="CJ156" si="524">CI156</f>
        <v>0</v>
      </c>
      <c r="CK156" s="833">
        <f t="shared" ref="CK156" si="525">CJ156</f>
        <v>0</v>
      </c>
      <c r="CL156" s="833">
        <f t="shared" ref="CL156" si="526">CK156</f>
        <v>0</v>
      </c>
      <c r="CM156" s="833">
        <f t="shared" ref="CM156" si="527">CL156</f>
        <v>0</v>
      </c>
      <c r="CN156" s="833">
        <f t="shared" ref="CN156" si="528">CM156</f>
        <v>0</v>
      </c>
      <c r="CO156" s="833">
        <f t="shared" ref="CO156" si="529">CN156</f>
        <v>0</v>
      </c>
      <c r="CP156" s="833">
        <f t="shared" ref="CP156:CQ156" si="530">CO156</f>
        <v>0</v>
      </c>
      <c r="CQ156" s="833">
        <f t="shared" si="530"/>
        <v>0</v>
      </c>
      <c r="CR156" s="833"/>
      <c r="CS156" s="1125">
        <f t="shared" ref="CS156" si="531">ROUND(CE156*E156,-3)</f>
        <v>0</v>
      </c>
      <c r="CT156" s="31">
        <f t="shared" ref="CT156" si="532">ROUND(CF156*F156,-3)</f>
        <v>0</v>
      </c>
      <c r="CU156" s="31">
        <f t="shared" ref="CU156" si="533">ROUND(CG156*G156,-3)</f>
        <v>0</v>
      </c>
      <c r="CV156" s="31">
        <f t="shared" ref="CV156" si="534">ROUND(CH156*H156,-3)</f>
        <v>0</v>
      </c>
      <c r="CW156" s="31">
        <f t="shared" ref="CW156" si="535">ROUND(CI156*I156,-3)</f>
        <v>0</v>
      </c>
      <c r="CX156" s="31">
        <f t="shared" ref="CX156" si="536">ROUND(CJ156*J156,-3)</f>
        <v>0</v>
      </c>
      <c r="CY156" s="31">
        <f t="shared" ref="CY156" si="537">ROUND(CK156*K156,-3)</f>
        <v>0</v>
      </c>
      <c r="CZ156" s="31">
        <f t="shared" ref="CZ156" si="538">ROUND(CL156*L156,-3)</f>
        <v>0</v>
      </c>
      <c r="DA156" s="31">
        <f t="shared" ref="DA156" si="539">ROUND(CM156*M156,-3)</f>
        <v>0</v>
      </c>
      <c r="DB156" s="31">
        <f t="shared" ref="DB156" si="540">ROUND(CN156*N156,-3)</f>
        <v>0</v>
      </c>
      <c r="DC156" s="31">
        <f t="shared" ref="DC156" si="541">ROUND(CO156*O156,-3)</f>
        <v>0</v>
      </c>
      <c r="DD156" s="31">
        <f t="shared" ref="DD156:DE156" si="542">ROUND(CP156*P156,-3)</f>
        <v>0</v>
      </c>
      <c r="DE156" s="78">
        <f t="shared" si="542"/>
        <v>0</v>
      </c>
    </row>
    <row r="157" spans="1:109" x14ac:dyDescent="0.2">
      <c r="A157" s="813" t="s">
        <v>242</v>
      </c>
      <c r="B157" s="1269"/>
      <c r="C157" s="1337"/>
      <c r="D157" s="1333"/>
      <c r="E157" s="133"/>
      <c r="F157" s="9"/>
      <c r="G157" s="9"/>
      <c r="H157" s="9"/>
      <c r="I157" s="29"/>
      <c r="J157" s="29"/>
      <c r="K157" s="29"/>
      <c r="L157" s="9"/>
      <c r="M157" s="89"/>
      <c r="N157" s="9"/>
      <c r="O157" s="9"/>
      <c r="P157" s="9"/>
      <c r="Q157" s="49"/>
      <c r="R157" s="89"/>
      <c r="S157" s="9"/>
      <c r="T157" s="9"/>
      <c r="U157" s="9"/>
      <c r="V157" s="49"/>
      <c r="W157" s="133"/>
      <c r="X157" s="9"/>
      <c r="Y157" s="46"/>
      <c r="Z157" s="9"/>
      <c r="AA157" s="46">
        <f t="shared" si="463"/>
        <v>0</v>
      </c>
      <c r="AB157" s="133"/>
      <c r="AC157" s="9"/>
      <c r="AD157" s="9"/>
      <c r="AE157" s="9"/>
      <c r="AF157" s="49"/>
      <c r="AG157" s="89"/>
      <c r="AH157" s="9"/>
      <c r="AI157" s="9"/>
      <c r="AJ157" s="9"/>
      <c r="AK157" s="49"/>
      <c r="AL157" s="89"/>
      <c r="AM157" s="9"/>
      <c r="AN157" s="9"/>
      <c r="AO157" s="9"/>
      <c r="AP157" s="61"/>
      <c r="AQ157" s="89"/>
      <c r="AR157" s="9"/>
      <c r="AS157" s="9"/>
      <c r="AT157" s="9"/>
      <c r="AU157" s="61"/>
      <c r="AW157" s="9"/>
      <c r="AX157" s="9"/>
      <c r="AY157" s="9"/>
      <c r="AZ157" s="49"/>
      <c r="BA157" s="89"/>
      <c r="BB157" s="9"/>
      <c r="BC157" s="9"/>
      <c r="BD157" s="9"/>
      <c r="BE157" s="49"/>
      <c r="BF157" s="89"/>
      <c r="BG157" s="9"/>
      <c r="BH157" s="9"/>
      <c r="BI157" s="9"/>
      <c r="BJ157" s="49"/>
      <c r="BK157" s="89"/>
      <c r="BL157" s="9"/>
      <c r="BM157" s="9"/>
      <c r="BN157" s="9"/>
      <c r="BO157" s="49"/>
      <c r="BP157" s="89"/>
      <c r="BQ157" s="9"/>
      <c r="BR157" s="9"/>
      <c r="BS157" s="9"/>
      <c r="BT157" s="49"/>
      <c r="BU157" s="89"/>
      <c r="BV157" s="9"/>
      <c r="BW157" s="9"/>
      <c r="BX157" s="9"/>
      <c r="BY157" s="49"/>
      <c r="BZ157" s="89"/>
      <c r="CA157" s="9"/>
      <c r="CB157" s="9"/>
      <c r="CC157" s="9"/>
      <c r="CE157" s="1405"/>
      <c r="CF157" s="538"/>
      <c r="CG157" s="538"/>
      <c r="CH157" s="538"/>
      <c r="CI157" s="538"/>
      <c r="CJ157" s="538"/>
      <c r="CK157" s="538"/>
      <c r="CL157" s="538"/>
      <c r="CM157" s="538"/>
      <c r="CN157" s="538"/>
      <c r="CO157" s="538"/>
      <c r="CP157" s="538"/>
      <c r="CQ157" s="538"/>
      <c r="CR157" s="538"/>
      <c r="CS157" s="350"/>
      <c r="CT157" s="46"/>
      <c r="CU157" s="46"/>
      <c r="CV157" s="46"/>
      <c r="CW157" s="46"/>
      <c r="CX157" s="46"/>
      <c r="CY157" s="46"/>
      <c r="CZ157" s="46"/>
      <c r="DA157" s="46"/>
      <c r="DB157" s="46"/>
      <c r="DC157" s="46"/>
      <c r="DD157" s="46"/>
      <c r="DE157" s="61"/>
    </row>
    <row r="158" spans="1:109" x14ac:dyDescent="0.2">
      <c r="A158" s="293" t="s">
        <v>1643</v>
      </c>
      <c r="B158" s="1360"/>
      <c r="C158" s="1338"/>
      <c r="D158" s="1384"/>
      <c r="E158" s="133"/>
      <c r="F158" s="9"/>
      <c r="G158" s="9"/>
      <c r="H158" s="9"/>
      <c r="I158" s="29"/>
      <c r="J158" s="29"/>
      <c r="K158" s="29"/>
      <c r="L158" s="9"/>
      <c r="M158" s="89"/>
      <c r="N158" s="9"/>
      <c r="O158" s="9"/>
      <c r="P158" s="9"/>
      <c r="Q158" s="49"/>
      <c r="R158" s="89"/>
      <c r="S158" s="9"/>
      <c r="T158" s="9"/>
      <c r="U158" s="9"/>
      <c r="V158" s="49"/>
      <c r="W158" s="133"/>
      <c r="X158" s="9"/>
      <c r="Y158" s="46"/>
      <c r="Z158" s="9"/>
      <c r="AA158" s="46">
        <f t="shared" si="463"/>
        <v>0</v>
      </c>
      <c r="AB158" s="133"/>
      <c r="AC158" s="9"/>
      <c r="AD158" s="9"/>
      <c r="AE158" s="9"/>
      <c r="AF158" s="49"/>
      <c r="AG158" s="89"/>
      <c r="AH158" s="9"/>
      <c r="AI158" s="9"/>
      <c r="AJ158" s="9"/>
      <c r="AK158" s="49"/>
      <c r="AL158" s="89"/>
      <c r="AM158" s="9"/>
      <c r="AN158" s="9"/>
      <c r="AO158" s="9"/>
      <c r="AP158" s="61"/>
      <c r="AQ158" s="89"/>
      <c r="AR158" s="9"/>
      <c r="AS158" s="9"/>
      <c r="AT158" s="9"/>
      <c r="AU158" s="61"/>
      <c r="AW158" s="9"/>
      <c r="AX158" s="9"/>
      <c r="AY158" s="9"/>
      <c r="AZ158" s="49"/>
      <c r="BA158" s="89"/>
      <c r="BB158" s="9"/>
      <c r="BC158" s="9"/>
      <c r="BD158" s="9"/>
      <c r="BE158" s="49"/>
      <c r="BF158" s="89"/>
      <c r="BG158" s="9"/>
      <c r="BH158" s="9"/>
      <c r="BI158" s="9"/>
      <c r="BJ158" s="49"/>
      <c r="BK158" s="89"/>
      <c r="BL158" s="9"/>
      <c r="BM158" s="9"/>
      <c r="BN158" s="9"/>
      <c r="BO158" s="49"/>
      <c r="BP158" s="89"/>
      <c r="BQ158" s="9"/>
      <c r="BR158" s="9"/>
      <c r="BS158" s="9"/>
      <c r="BT158" s="49"/>
      <c r="BU158" s="89"/>
      <c r="BV158" s="9"/>
      <c r="BW158" s="9"/>
      <c r="BX158" s="9"/>
      <c r="BY158" s="49"/>
      <c r="BZ158" s="89"/>
      <c r="CA158" s="9"/>
      <c r="CB158" s="9"/>
      <c r="CC158" s="9"/>
      <c r="CE158" s="1405"/>
      <c r="CF158" s="538"/>
      <c r="CG158" s="538"/>
      <c r="CH158" s="538"/>
      <c r="CI158" s="538"/>
      <c r="CJ158" s="538"/>
      <c r="CK158" s="538"/>
      <c r="CL158" s="538"/>
      <c r="CM158" s="538"/>
      <c r="CN158" s="538"/>
      <c r="CO158" s="538"/>
      <c r="CP158" s="538"/>
      <c r="CQ158" s="538"/>
      <c r="CR158" s="538"/>
      <c r="CS158" s="350"/>
      <c r="CT158" s="46"/>
      <c r="CU158" s="46"/>
      <c r="CV158" s="46"/>
      <c r="CW158" s="46"/>
      <c r="CX158" s="46"/>
      <c r="CY158" s="46"/>
      <c r="CZ158" s="46"/>
      <c r="DA158" s="46"/>
      <c r="DB158" s="46"/>
      <c r="DC158" s="46"/>
      <c r="DD158" s="46"/>
      <c r="DE158" s="61"/>
    </row>
    <row r="159" spans="1:109" x14ac:dyDescent="0.2">
      <c r="A159" s="615" t="s">
        <v>5439</v>
      </c>
      <c r="B159" s="1368" t="s">
        <v>5157</v>
      </c>
      <c r="C159" s="1346" t="s">
        <v>5153</v>
      </c>
      <c r="D159" s="1331" t="s">
        <v>5153</v>
      </c>
      <c r="E159" s="133">
        <v>18700</v>
      </c>
      <c r="F159" s="9">
        <v>23300</v>
      </c>
      <c r="G159" s="9">
        <f>265000-164000</f>
        <v>101000</v>
      </c>
      <c r="H159" s="9"/>
      <c r="I159" s="29"/>
      <c r="J159" s="29"/>
      <c r="K159" s="29"/>
      <c r="L159" s="9"/>
      <c r="M159" s="89"/>
      <c r="N159" s="9"/>
      <c r="O159" s="9"/>
      <c r="P159" s="9"/>
      <c r="Q159" s="49"/>
      <c r="R159" s="89">
        <f>'Cap Inc'!B95</f>
        <v>0</v>
      </c>
      <c r="S159" s="9"/>
      <c r="T159" s="9"/>
      <c r="U159" s="9">
        <v>7000</v>
      </c>
      <c r="V159" s="49">
        <f t="shared" ref="V159:V164" si="543">E159-R159-S159-T159-U159</f>
        <v>11700</v>
      </c>
      <c r="W159" s="133">
        <v>23300</v>
      </c>
      <c r="X159" s="9"/>
      <c r="Y159" s="46"/>
      <c r="Z159" s="9">
        <v>0</v>
      </c>
      <c r="AA159" s="46">
        <f t="shared" si="463"/>
        <v>0</v>
      </c>
      <c r="AB159" s="133"/>
      <c r="AC159" s="9"/>
      <c r="AD159" s="9"/>
      <c r="AE159" s="9">
        <f>+G159</f>
        <v>101000</v>
      </c>
      <c r="AF159" s="49">
        <f t="shared" ref="AF159:AF167" si="544">G159-AB159-AC159-AD159-AE159</f>
        <v>0</v>
      </c>
      <c r="AG159" s="89"/>
      <c r="AH159" s="9"/>
      <c r="AI159" s="9"/>
      <c r="AJ159" s="9"/>
      <c r="AK159" s="49">
        <f t="shared" ref="AK159:AK169" si="545">H159-AG159-AH159-AI159-AJ159</f>
        <v>0</v>
      </c>
      <c r="AL159" s="89"/>
      <c r="AM159" s="9"/>
      <c r="AN159" s="9"/>
      <c r="AO159" s="9"/>
      <c r="AP159" s="61">
        <f t="shared" ref="AP159:AP169" si="546">I159-AL159-AM159-AN159-AO159</f>
        <v>0</v>
      </c>
      <c r="AQ159" s="89"/>
      <c r="AR159" s="9"/>
      <c r="AS159" s="9"/>
      <c r="AT159" s="9"/>
      <c r="AU159" s="61">
        <f t="shared" ref="AU159:AU167" si="547">J159-AQ159-AR159-AS159-AT159</f>
        <v>0</v>
      </c>
      <c r="AW159" s="9"/>
      <c r="AX159" s="9"/>
      <c r="AY159" s="9"/>
      <c r="AZ159" s="49">
        <f t="shared" ref="AZ159:AZ167" si="548">K159-AV159-AW159-AX159-AY159</f>
        <v>0</v>
      </c>
      <c r="BA159" s="89"/>
      <c r="BB159" s="9"/>
      <c r="BC159" s="9"/>
      <c r="BD159" s="9"/>
      <c r="BE159" s="49">
        <f t="shared" ref="BE159:BE167" si="549">L159-BA159-BB159-BC159-BD159</f>
        <v>0</v>
      </c>
      <c r="BF159" s="89"/>
      <c r="BG159" s="9"/>
      <c r="BH159" s="9"/>
      <c r="BI159" s="9"/>
      <c r="BJ159" s="49">
        <f t="shared" ref="BJ159:BJ167" si="550">M159-BF159-BG159-BH159-BI159</f>
        <v>0</v>
      </c>
      <c r="BK159" s="89"/>
      <c r="BL159" s="9"/>
      <c r="BM159" s="9"/>
      <c r="BN159" s="9"/>
      <c r="BO159" s="49">
        <f t="shared" ref="BO159:BO167" si="551">N159-BK159-BL159-BM159-BN159</f>
        <v>0</v>
      </c>
      <c r="BP159" s="89"/>
      <c r="BQ159" s="9"/>
      <c r="BR159" s="9"/>
      <c r="BS159" s="9"/>
      <c r="BT159" s="49">
        <f t="shared" ref="BT159:BT167" si="552">O159-BP159-BQ159-BR159-BS159</f>
        <v>0</v>
      </c>
      <c r="BU159" s="89"/>
      <c r="BV159" s="9"/>
      <c r="BW159" s="9"/>
      <c r="BX159" s="9"/>
      <c r="BY159" s="49">
        <f t="shared" ref="BY159:BY167" si="553">P159-BU159-BV159-BW159-BX159</f>
        <v>0</v>
      </c>
      <c r="BZ159" s="89"/>
      <c r="CA159" s="9"/>
      <c r="CB159" s="9"/>
      <c r="CC159" s="9"/>
      <c r="CD159" s="46">
        <f t="shared" ref="CD159:CD167" si="554">Q159-BZ159-CA159-CB159-CC159</f>
        <v>0</v>
      </c>
      <c r="CE159" s="1406">
        <v>0</v>
      </c>
      <c r="CF159" s="833">
        <f t="shared" ref="CF159:CN159" si="555">CE159</f>
        <v>0</v>
      </c>
      <c r="CG159" s="833">
        <f t="shared" si="555"/>
        <v>0</v>
      </c>
      <c r="CH159" s="833">
        <f t="shared" si="555"/>
        <v>0</v>
      </c>
      <c r="CI159" s="833">
        <f t="shared" si="555"/>
        <v>0</v>
      </c>
      <c r="CJ159" s="833">
        <f t="shared" si="555"/>
        <v>0</v>
      </c>
      <c r="CK159" s="833">
        <f t="shared" si="555"/>
        <v>0</v>
      </c>
      <c r="CL159" s="833">
        <f t="shared" si="555"/>
        <v>0</v>
      </c>
      <c r="CM159" s="833">
        <f t="shared" si="555"/>
        <v>0</v>
      </c>
      <c r="CN159" s="833">
        <f t="shared" si="555"/>
        <v>0</v>
      </c>
      <c r="CO159" s="833">
        <f t="shared" ref="CO159:CQ167" si="556">CN159</f>
        <v>0</v>
      </c>
      <c r="CP159" s="833">
        <f t="shared" si="556"/>
        <v>0</v>
      </c>
      <c r="CQ159" s="833">
        <f t="shared" si="556"/>
        <v>0</v>
      </c>
      <c r="CR159" s="833"/>
      <c r="CS159" s="1125">
        <f t="shared" ref="CS159:CS167" si="557">ROUND(CE159*E159,-3)</f>
        <v>0</v>
      </c>
      <c r="CT159" s="31">
        <f t="shared" ref="CT159:CT167" si="558">ROUND(CF159*F159,-3)</f>
        <v>0</v>
      </c>
      <c r="CU159" s="31">
        <f t="shared" ref="CU159:CU167" si="559">ROUND(CG159*G159,-3)</f>
        <v>0</v>
      </c>
      <c r="CV159" s="31">
        <f t="shared" ref="CV159:CV167" si="560">ROUND(CH159*H159,-3)</f>
        <v>0</v>
      </c>
      <c r="CW159" s="31">
        <f t="shared" ref="CW159:CW167" si="561">ROUND(CI159*I159,-3)</f>
        <v>0</v>
      </c>
      <c r="CX159" s="31">
        <f t="shared" ref="CX159:CX167" si="562">ROUND(CJ159*J159,-3)</f>
        <v>0</v>
      </c>
      <c r="CY159" s="31">
        <f t="shared" ref="CY159:CY167" si="563">ROUND(CK159*K159,-3)</f>
        <v>0</v>
      </c>
      <c r="CZ159" s="31">
        <f t="shared" ref="CZ159:CZ167" si="564">ROUND(CL159*L159,-3)</f>
        <v>0</v>
      </c>
      <c r="DA159" s="31">
        <f t="shared" ref="DA159:DA167" si="565">ROUND(CM159*M159,-3)</f>
        <v>0</v>
      </c>
      <c r="DB159" s="31">
        <f t="shared" ref="DB159:DB167" si="566">ROUND(CN159*N159,-3)</f>
        <v>0</v>
      </c>
      <c r="DC159" s="31">
        <f t="shared" ref="DC159:DC167" si="567">ROUND(CO159*O159,-3)</f>
        <v>0</v>
      </c>
      <c r="DD159" s="31">
        <f t="shared" ref="DD159:DE167" si="568">ROUND(CP159*P159,-3)</f>
        <v>0</v>
      </c>
      <c r="DE159" s="78">
        <f t="shared" si="568"/>
        <v>0</v>
      </c>
    </row>
    <row r="160" spans="1:109" x14ac:dyDescent="0.2">
      <c r="A160" s="615" t="s">
        <v>5034</v>
      </c>
      <c r="B160" s="1368" t="s">
        <v>5156</v>
      </c>
      <c r="C160" s="1346" t="s">
        <v>5152</v>
      </c>
      <c r="D160" s="1331" t="s">
        <v>5152</v>
      </c>
      <c r="E160" s="133">
        <v>7600</v>
      </c>
      <c r="F160" s="9">
        <v>13900</v>
      </c>
      <c r="G160" s="9">
        <f>85000+5000</f>
        <v>90000</v>
      </c>
      <c r="H160" s="9"/>
      <c r="I160" s="29"/>
      <c r="J160" s="29"/>
      <c r="K160" s="29"/>
      <c r="L160" s="9"/>
      <c r="M160" s="89"/>
      <c r="N160" s="9"/>
      <c r="O160" s="9"/>
      <c r="P160" s="9"/>
      <c r="Q160" s="49"/>
      <c r="R160" s="89">
        <f>'Cap Inc'!B94</f>
        <v>0</v>
      </c>
      <c r="S160" s="9"/>
      <c r="T160" s="9"/>
      <c r="U160" s="9">
        <v>25000</v>
      </c>
      <c r="V160" s="49">
        <f t="shared" si="543"/>
        <v>-17400</v>
      </c>
      <c r="W160" s="133">
        <v>10800</v>
      </c>
      <c r="X160" s="9"/>
      <c r="Y160" s="46"/>
      <c r="Z160" s="9">
        <f>+F160-W160</f>
        <v>3100</v>
      </c>
      <c r="AA160" s="46">
        <f t="shared" si="463"/>
        <v>0</v>
      </c>
      <c r="AB160" s="133">
        <v>21900</v>
      </c>
      <c r="AC160" s="9"/>
      <c r="AD160" s="9"/>
      <c r="AE160" s="9">
        <f>+'Res-Gen'!I205-'Cap-Gen'!AE159-AE162-AE165</f>
        <v>79700</v>
      </c>
      <c r="AF160" s="49">
        <f t="shared" si="544"/>
        <v>-11600</v>
      </c>
      <c r="AG160" s="89"/>
      <c r="AH160" s="9"/>
      <c r="AI160" s="9"/>
      <c r="AJ160" s="9"/>
      <c r="AK160" s="49">
        <f t="shared" si="545"/>
        <v>0</v>
      </c>
      <c r="AL160" s="89"/>
      <c r="AM160" s="9"/>
      <c r="AN160" s="9"/>
      <c r="AO160" s="9"/>
      <c r="AP160" s="61">
        <f t="shared" si="546"/>
        <v>0</v>
      </c>
      <c r="AQ160" s="89"/>
      <c r="AR160" s="9"/>
      <c r="AS160" s="9"/>
      <c r="AT160" s="9"/>
      <c r="AU160" s="61">
        <f t="shared" si="547"/>
        <v>0</v>
      </c>
      <c r="AW160" s="9"/>
      <c r="AX160" s="9"/>
      <c r="AY160" s="9"/>
      <c r="AZ160" s="49">
        <f t="shared" si="548"/>
        <v>0</v>
      </c>
      <c r="BA160" s="89"/>
      <c r="BB160" s="9"/>
      <c r="BC160" s="9"/>
      <c r="BD160" s="9"/>
      <c r="BE160" s="49">
        <f t="shared" si="549"/>
        <v>0</v>
      </c>
      <c r="BF160" s="89"/>
      <c r="BG160" s="9"/>
      <c r="BH160" s="9"/>
      <c r="BI160" s="9"/>
      <c r="BJ160" s="49">
        <f t="shared" si="550"/>
        <v>0</v>
      </c>
      <c r="BK160" s="89"/>
      <c r="BL160" s="9"/>
      <c r="BM160" s="9"/>
      <c r="BN160" s="9"/>
      <c r="BO160" s="49">
        <f t="shared" si="551"/>
        <v>0</v>
      </c>
      <c r="BP160" s="89"/>
      <c r="BQ160" s="9"/>
      <c r="BR160" s="9"/>
      <c r="BS160" s="9"/>
      <c r="BT160" s="49">
        <f t="shared" si="552"/>
        <v>0</v>
      </c>
      <c r="BU160" s="89"/>
      <c r="BV160" s="9"/>
      <c r="BW160" s="9"/>
      <c r="BX160" s="9"/>
      <c r="BY160" s="49">
        <f t="shared" si="553"/>
        <v>0</v>
      </c>
      <c r="BZ160" s="89"/>
      <c r="CA160" s="9"/>
      <c r="CB160" s="9"/>
      <c r="CC160" s="9"/>
      <c r="CD160" s="46">
        <f t="shared" si="554"/>
        <v>0</v>
      </c>
      <c r="CE160" s="1406">
        <v>0</v>
      </c>
      <c r="CF160" s="833">
        <f t="shared" ref="CF160:CF163" si="569">CE160</f>
        <v>0</v>
      </c>
      <c r="CG160" s="833">
        <f t="shared" ref="CG160:CG163" si="570">CF160</f>
        <v>0</v>
      </c>
      <c r="CH160" s="833">
        <f t="shared" ref="CH160:CH163" si="571">CG160</f>
        <v>0</v>
      </c>
      <c r="CI160" s="833">
        <f t="shared" ref="CI160:CI163" si="572">CH160</f>
        <v>0</v>
      </c>
      <c r="CJ160" s="833">
        <f t="shared" ref="CJ160:CJ163" si="573">CI160</f>
        <v>0</v>
      </c>
      <c r="CK160" s="833">
        <f t="shared" ref="CK160:CK163" si="574">CJ160</f>
        <v>0</v>
      </c>
      <c r="CL160" s="833">
        <f t="shared" ref="CL160:CL163" si="575">CK160</f>
        <v>0</v>
      </c>
      <c r="CM160" s="833">
        <f t="shared" ref="CM160:CM163" si="576">CL160</f>
        <v>0</v>
      </c>
      <c r="CN160" s="833">
        <f t="shared" ref="CN160:CN163" si="577">CM160</f>
        <v>0</v>
      </c>
      <c r="CO160" s="833">
        <f t="shared" si="556"/>
        <v>0</v>
      </c>
      <c r="CP160" s="833">
        <f t="shared" si="556"/>
        <v>0</v>
      </c>
      <c r="CQ160" s="833">
        <f t="shared" si="556"/>
        <v>0</v>
      </c>
      <c r="CR160" s="833"/>
      <c r="CS160" s="1125">
        <f t="shared" si="557"/>
        <v>0</v>
      </c>
      <c r="CT160" s="31">
        <f t="shared" si="558"/>
        <v>0</v>
      </c>
      <c r="CU160" s="31">
        <f t="shared" si="559"/>
        <v>0</v>
      </c>
      <c r="CV160" s="31">
        <f t="shared" si="560"/>
        <v>0</v>
      </c>
      <c r="CW160" s="31">
        <f t="shared" si="561"/>
        <v>0</v>
      </c>
      <c r="CX160" s="31">
        <f t="shared" si="562"/>
        <v>0</v>
      </c>
      <c r="CY160" s="31">
        <f t="shared" si="563"/>
        <v>0</v>
      </c>
      <c r="CZ160" s="31">
        <f t="shared" si="564"/>
        <v>0</v>
      </c>
      <c r="DA160" s="31">
        <f t="shared" si="565"/>
        <v>0</v>
      </c>
      <c r="DB160" s="31">
        <f t="shared" si="566"/>
        <v>0</v>
      </c>
      <c r="DC160" s="31">
        <f t="shared" si="567"/>
        <v>0</v>
      </c>
      <c r="DD160" s="31">
        <f t="shared" si="568"/>
        <v>0</v>
      </c>
      <c r="DE160" s="78">
        <f t="shared" si="568"/>
        <v>0</v>
      </c>
    </row>
    <row r="161" spans="1:109" x14ac:dyDescent="0.2">
      <c r="A161" s="615" t="s">
        <v>6081</v>
      </c>
      <c r="B161" s="1368" t="s">
        <v>6146</v>
      </c>
      <c r="C161" s="1346" t="s">
        <v>6147</v>
      </c>
      <c r="D161" s="1331" t="s">
        <v>6147</v>
      </c>
      <c r="E161" s="133"/>
      <c r="F161" s="9"/>
      <c r="G161" s="9">
        <v>40000</v>
      </c>
      <c r="H161" s="9"/>
      <c r="I161" s="29"/>
      <c r="J161" s="29"/>
      <c r="K161" s="29"/>
      <c r="L161" s="9"/>
      <c r="M161" s="89"/>
      <c r="N161" s="9"/>
      <c r="O161" s="9"/>
      <c r="P161" s="9"/>
      <c r="Q161" s="49"/>
      <c r="R161" s="89"/>
      <c r="S161" s="9"/>
      <c r="T161" s="9"/>
      <c r="U161" s="9"/>
      <c r="V161" s="49">
        <f t="shared" si="543"/>
        <v>0</v>
      </c>
      <c r="W161" s="133">
        <v>0</v>
      </c>
      <c r="X161" s="9"/>
      <c r="Y161" s="46"/>
      <c r="Z161" s="9"/>
      <c r="AA161" s="46">
        <f t="shared" si="463"/>
        <v>0</v>
      </c>
      <c r="AB161" s="133">
        <f>+G161</f>
        <v>40000</v>
      </c>
      <c r="AC161" s="9"/>
      <c r="AD161" s="9"/>
      <c r="AE161" s="9"/>
      <c r="AF161" s="49">
        <f t="shared" si="544"/>
        <v>0</v>
      </c>
      <c r="AG161" s="89"/>
      <c r="AH161" s="9"/>
      <c r="AI161" s="9"/>
      <c r="AJ161" s="9"/>
      <c r="AK161" s="49">
        <f t="shared" si="545"/>
        <v>0</v>
      </c>
      <c r="AL161" s="89"/>
      <c r="AM161" s="9"/>
      <c r="AN161" s="9"/>
      <c r="AO161" s="9"/>
      <c r="AP161" s="61">
        <f t="shared" si="546"/>
        <v>0</v>
      </c>
      <c r="AQ161" s="89"/>
      <c r="AR161" s="9"/>
      <c r="AS161" s="9"/>
      <c r="AT161" s="9"/>
      <c r="AU161" s="61">
        <f t="shared" si="547"/>
        <v>0</v>
      </c>
      <c r="AW161" s="9"/>
      <c r="AX161" s="9"/>
      <c r="AY161" s="9"/>
      <c r="AZ161" s="49">
        <f t="shared" si="548"/>
        <v>0</v>
      </c>
      <c r="BA161" s="89"/>
      <c r="BB161" s="9"/>
      <c r="BC161" s="9"/>
      <c r="BD161" s="9"/>
      <c r="BE161" s="49">
        <f t="shared" si="549"/>
        <v>0</v>
      </c>
      <c r="BF161" s="89"/>
      <c r="BG161" s="9"/>
      <c r="BH161" s="9"/>
      <c r="BI161" s="9"/>
      <c r="BJ161" s="49">
        <f t="shared" si="550"/>
        <v>0</v>
      </c>
      <c r="BK161" s="89"/>
      <c r="BL161" s="9"/>
      <c r="BM161" s="9"/>
      <c r="BN161" s="9"/>
      <c r="BO161" s="49">
        <f t="shared" si="551"/>
        <v>0</v>
      </c>
      <c r="BP161" s="89"/>
      <c r="BQ161" s="9"/>
      <c r="BR161" s="9"/>
      <c r="BS161" s="9"/>
      <c r="BT161" s="49">
        <f t="shared" si="552"/>
        <v>0</v>
      </c>
      <c r="BU161" s="89"/>
      <c r="BV161" s="9"/>
      <c r="BW161" s="9"/>
      <c r="BX161" s="9"/>
      <c r="BY161" s="49">
        <f t="shared" si="553"/>
        <v>0</v>
      </c>
      <c r="BZ161" s="89"/>
      <c r="CA161" s="9"/>
      <c r="CB161" s="9"/>
      <c r="CC161" s="9"/>
      <c r="CD161" s="46">
        <f t="shared" si="554"/>
        <v>0</v>
      </c>
      <c r="CE161" s="1406">
        <v>0</v>
      </c>
      <c r="CF161" s="833">
        <f t="shared" ref="CF161:CN161" si="578">CE161</f>
        <v>0</v>
      </c>
      <c r="CG161" s="833">
        <f t="shared" si="578"/>
        <v>0</v>
      </c>
      <c r="CH161" s="833">
        <f t="shared" si="578"/>
        <v>0</v>
      </c>
      <c r="CI161" s="833">
        <f t="shared" si="578"/>
        <v>0</v>
      </c>
      <c r="CJ161" s="833">
        <f t="shared" si="578"/>
        <v>0</v>
      </c>
      <c r="CK161" s="833">
        <f t="shared" si="578"/>
        <v>0</v>
      </c>
      <c r="CL161" s="833">
        <f t="shared" si="578"/>
        <v>0</v>
      </c>
      <c r="CM161" s="833">
        <f t="shared" si="578"/>
        <v>0</v>
      </c>
      <c r="CN161" s="833">
        <f t="shared" si="578"/>
        <v>0</v>
      </c>
      <c r="CO161" s="833">
        <f t="shared" si="556"/>
        <v>0</v>
      </c>
      <c r="CP161" s="833">
        <f t="shared" si="556"/>
        <v>0</v>
      </c>
      <c r="CQ161" s="833">
        <f t="shared" si="556"/>
        <v>0</v>
      </c>
      <c r="CR161" s="833"/>
      <c r="CS161" s="1125">
        <f t="shared" si="557"/>
        <v>0</v>
      </c>
      <c r="CT161" s="31">
        <f t="shared" si="558"/>
        <v>0</v>
      </c>
      <c r="CU161" s="31">
        <f t="shared" si="559"/>
        <v>0</v>
      </c>
      <c r="CV161" s="31">
        <f t="shared" si="560"/>
        <v>0</v>
      </c>
      <c r="CW161" s="31">
        <f t="shared" si="561"/>
        <v>0</v>
      </c>
      <c r="CX161" s="31">
        <f t="shared" si="562"/>
        <v>0</v>
      </c>
      <c r="CY161" s="31">
        <f t="shared" si="563"/>
        <v>0</v>
      </c>
      <c r="CZ161" s="31">
        <f t="shared" si="564"/>
        <v>0</v>
      </c>
      <c r="DA161" s="31">
        <f t="shared" si="565"/>
        <v>0</v>
      </c>
      <c r="DB161" s="31">
        <f t="shared" si="566"/>
        <v>0</v>
      </c>
      <c r="DC161" s="31">
        <f t="shared" si="567"/>
        <v>0</v>
      </c>
      <c r="DD161" s="31">
        <f t="shared" si="568"/>
        <v>0</v>
      </c>
      <c r="DE161" s="78">
        <f t="shared" si="568"/>
        <v>0</v>
      </c>
    </row>
    <row r="162" spans="1:109" x14ac:dyDescent="0.2">
      <c r="A162" s="615" t="s">
        <v>4806</v>
      </c>
      <c r="B162" s="1368" t="s">
        <v>5159</v>
      </c>
      <c r="C162" s="1346" t="s">
        <v>5155</v>
      </c>
      <c r="D162" s="1331" t="s">
        <v>5155</v>
      </c>
      <c r="E162" s="133">
        <v>11400</v>
      </c>
      <c r="F162" s="9">
        <v>17900</v>
      </c>
      <c r="G162" s="9">
        <f>150000+4000</f>
        <v>154000</v>
      </c>
      <c r="H162" s="9"/>
      <c r="I162" s="29"/>
      <c r="J162" s="29"/>
      <c r="K162" s="29"/>
      <c r="L162" s="9"/>
      <c r="M162" s="89"/>
      <c r="N162" s="9"/>
      <c r="O162" s="9"/>
      <c r="P162" s="9"/>
      <c r="Q162" s="49"/>
      <c r="R162" s="89">
        <f>'Cap Inc'!B97</f>
        <v>0</v>
      </c>
      <c r="S162" s="9"/>
      <c r="T162" s="9"/>
      <c r="U162" s="9">
        <f>'Res-Gen'!C201</f>
        <v>25000</v>
      </c>
      <c r="V162" s="49">
        <f t="shared" si="543"/>
        <v>-13600</v>
      </c>
      <c r="W162" s="133">
        <v>16700</v>
      </c>
      <c r="X162" s="9"/>
      <c r="Y162" s="46"/>
      <c r="Z162" s="9">
        <f>+F162-W162</f>
        <v>1200</v>
      </c>
      <c r="AA162" s="46">
        <f t="shared" si="463"/>
        <v>0</v>
      </c>
      <c r="AB162" s="133">
        <f>+'Cap Inc'!F91-AB163</f>
        <v>129000</v>
      </c>
      <c r="AC162" s="9"/>
      <c r="AD162" s="9"/>
      <c r="AE162" s="9">
        <v>25000</v>
      </c>
      <c r="AF162" s="49">
        <f t="shared" si="544"/>
        <v>0</v>
      </c>
      <c r="AG162" s="89"/>
      <c r="AH162" s="9"/>
      <c r="AI162" s="9"/>
      <c r="AJ162" s="9"/>
      <c r="AK162" s="49">
        <f t="shared" si="545"/>
        <v>0</v>
      </c>
      <c r="AL162" s="89"/>
      <c r="AM162" s="9"/>
      <c r="AN162" s="9"/>
      <c r="AO162" s="9"/>
      <c r="AP162" s="61">
        <f t="shared" si="546"/>
        <v>0</v>
      </c>
      <c r="AQ162" s="89"/>
      <c r="AR162" s="9"/>
      <c r="AS162" s="9"/>
      <c r="AT162" s="9"/>
      <c r="AU162" s="61">
        <f t="shared" si="547"/>
        <v>0</v>
      </c>
      <c r="AW162" s="9"/>
      <c r="AX162" s="9"/>
      <c r="AY162" s="9"/>
      <c r="AZ162" s="49">
        <f t="shared" si="548"/>
        <v>0</v>
      </c>
      <c r="BA162" s="89"/>
      <c r="BB162" s="9"/>
      <c r="BC162" s="9"/>
      <c r="BD162" s="9"/>
      <c r="BE162" s="49">
        <f t="shared" si="549"/>
        <v>0</v>
      </c>
      <c r="BF162" s="89"/>
      <c r="BG162" s="9"/>
      <c r="BH162" s="9"/>
      <c r="BI162" s="9"/>
      <c r="BJ162" s="49">
        <f t="shared" si="550"/>
        <v>0</v>
      </c>
      <c r="BK162" s="89"/>
      <c r="BL162" s="9"/>
      <c r="BM162" s="9"/>
      <c r="BN162" s="9"/>
      <c r="BO162" s="49">
        <f t="shared" si="551"/>
        <v>0</v>
      </c>
      <c r="BP162" s="89"/>
      <c r="BQ162" s="9"/>
      <c r="BR162" s="9"/>
      <c r="BS162" s="9"/>
      <c r="BT162" s="49">
        <f t="shared" si="552"/>
        <v>0</v>
      </c>
      <c r="BU162" s="89"/>
      <c r="BV162" s="9"/>
      <c r="BW162" s="9"/>
      <c r="BX162" s="9"/>
      <c r="BY162" s="49">
        <f t="shared" si="553"/>
        <v>0</v>
      </c>
      <c r="BZ162" s="89"/>
      <c r="CA162" s="9"/>
      <c r="CB162" s="9"/>
      <c r="CC162" s="9"/>
      <c r="CD162" s="46">
        <f t="shared" si="554"/>
        <v>0</v>
      </c>
      <c r="CE162" s="1406">
        <v>0</v>
      </c>
      <c r="CF162" s="833">
        <f t="shared" ref="CF162:CN162" si="579">CE162</f>
        <v>0</v>
      </c>
      <c r="CG162" s="833">
        <f t="shared" si="579"/>
        <v>0</v>
      </c>
      <c r="CH162" s="833">
        <f t="shared" si="579"/>
        <v>0</v>
      </c>
      <c r="CI162" s="833">
        <f t="shared" si="579"/>
        <v>0</v>
      </c>
      <c r="CJ162" s="833">
        <f t="shared" si="579"/>
        <v>0</v>
      </c>
      <c r="CK162" s="833">
        <f t="shared" si="579"/>
        <v>0</v>
      </c>
      <c r="CL162" s="833">
        <f t="shared" si="579"/>
        <v>0</v>
      </c>
      <c r="CM162" s="833">
        <f t="shared" si="579"/>
        <v>0</v>
      </c>
      <c r="CN162" s="833">
        <f t="shared" si="579"/>
        <v>0</v>
      </c>
      <c r="CO162" s="833">
        <f t="shared" si="556"/>
        <v>0</v>
      </c>
      <c r="CP162" s="833">
        <f t="shared" si="556"/>
        <v>0</v>
      </c>
      <c r="CQ162" s="833">
        <f t="shared" si="556"/>
        <v>0</v>
      </c>
      <c r="CR162" s="833"/>
      <c r="CS162" s="1125">
        <f t="shared" si="557"/>
        <v>0</v>
      </c>
      <c r="CT162" s="31">
        <f t="shared" si="558"/>
        <v>0</v>
      </c>
      <c r="CU162" s="31">
        <f t="shared" si="559"/>
        <v>0</v>
      </c>
      <c r="CV162" s="31">
        <f t="shared" si="560"/>
        <v>0</v>
      </c>
      <c r="CW162" s="31">
        <f t="shared" si="561"/>
        <v>0</v>
      </c>
      <c r="CX162" s="31">
        <f t="shared" si="562"/>
        <v>0</v>
      </c>
      <c r="CY162" s="31">
        <f t="shared" si="563"/>
        <v>0</v>
      </c>
      <c r="CZ162" s="31">
        <f t="shared" si="564"/>
        <v>0</v>
      </c>
      <c r="DA162" s="31">
        <f t="shared" si="565"/>
        <v>0</v>
      </c>
      <c r="DB162" s="31">
        <f t="shared" si="566"/>
        <v>0</v>
      </c>
      <c r="DC162" s="31">
        <f t="shared" si="567"/>
        <v>0</v>
      </c>
      <c r="DD162" s="31">
        <f t="shared" si="568"/>
        <v>0</v>
      </c>
      <c r="DE162" s="78">
        <f t="shared" si="568"/>
        <v>0</v>
      </c>
    </row>
    <row r="163" spans="1:109" x14ac:dyDescent="0.2">
      <c r="A163" s="615" t="s">
        <v>4805</v>
      </c>
      <c r="B163" s="1368" t="s">
        <v>5158</v>
      </c>
      <c r="C163" s="1346" t="s">
        <v>5154</v>
      </c>
      <c r="D163" s="1331" t="s">
        <v>5154</v>
      </c>
      <c r="E163" s="133">
        <v>12600</v>
      </c>
      <c r="F163" s="9">
        <v>14200</v>
      </c>
      <c r="G163" s="9">
        <f>75000+21000</f>
        <v>96000</v>
      </c>
      <c r="H163" s="9"/>
      <c r="I163" s="29"/>
      <c r="J163" s="29"/>
      <c r="K163" s="29"/>
      <c r="L163" s="9"/>
      <c r="M163" s="89"/>
      <c r="N163" s="9"/>
      <c r="O163" s="9"/>
      <c r="P163" s="9"/>
      <c r="Q163" s="49"/>
      <c r="R163" s="89">
        <f>'Cap Inc'!B96</f>
        <v>0</v>
      </c>
      <c r="S163" s="9"/>
      <c r="T163" s="9"/>
      <c r="U163" s="9"/>
      <c r="V163" s="49">
        <f t="shared" si="543"/>
        <v>12600</v>
      </c>
      <c r="W163" s="133">
        <v>13400</v>
      </c>
      <c r="X163" s="9"/>
      <c r="Y163" s="46"/>
      <c r="Z163" s="9">
        <f>+F163-W163</f>
        <v>800</v>
      </c>
      <c r="AA163" s="46">
        <f t="shared" si="463"/>
        <v>0</v>
      </c>
      <c r="AB163" s="133">
        <f>+G163</f>
        <v>96000</v>
      </c>
      <c r="AC163" s="9"/>
      <c r="AD163" s="9"/>
      <c r="AE163" s="9"/>
      <c r="AF163" s="49">
        <f t="shared" si="544"/>
        <v>0</v>
      </c>
      <c r="AG163" s="89"/>
      <c r="AH163" s="9"/>
      <c r="AI163" s="9"/>
      <c r="AJ163" s="9"/>
      <c r="AK163" s="49">
        <f t="shared" si="545"/>
        <v>0</v>
      </c>
      <c r="AL163" s="89"/>
      <c r="AM163" s="9"/>
      <c r="AN163" s="9"/>
      <c r="AO163" s="9"/>
      <c r="AP163" s="61">
        <f t="shared" si="546"/>
        <v>0</v>
      </c>
      <c r="AQ163" s="89"/>
      <c r="AR163" s="9"/>
      <c r="AS163" s="9"/>
      <c r="AT163" s="9"/>
      <c r="AU163" s="61">
        <f t="shared" si="547"/>
        <v>0</v>
      </c>
      <c r="AW163" s="9"/>
      <c r="AX163" s="9"/>
      <c r="AY163" s="9"/>
      <c r="AZ163" s="49">
        <f t="shared" si="548"/>
        <v>0</v>
      </c>
      <c r="BA163" s="89"/>
      <c r="BB163" s="9"/>
      <c r="BC163" s="9"/>
      <c r="BD163" s="9"/>
      <c r="BE163" s="49">
        <f t="shared" si="549"/>
        <v>0</v>
      </c>
      <c r="BF163" s="89"/>
      <c r="BG163" s="9"/>
      <c r="BH163" s="9"/>
      <c r="BI163" s="9"/>
      <c r="BJ163" s="49">
        <f t="shared" si="550"/>
        <v>0</v>
      </c>
      <c r="BK163" s="89"/>
      <c r="BL163" s="9"/>
      <c r="BM163" s="9"/>
      <c r="BN163" s="9"/>
      <c r="BO163" s="49">
        <f t="shared" si="551"/>
        <v>0</v>
      </c>
      <c r="BP163" s="89"/>
      <c r="BQ163" s="9"/>
      <c r="BR163" s="9"/>
      <c r="BS163" s="9"/>
      <c r="BT163" s="49">
        <f t="shared" si="552"/>
        <v>0</v>
      </c>
      <c r="BU163" s="89"/>
      <c r="BV163" s="9"/>
      <c r="BW163" s="9"/>
      <c r="BX163" s="9"/>
      <c r="BY163" s="49">
        <f t="shared" si="553"/>
        <v>0</v>
      </c>
      <c r="BZ163" s="89"/>
      <c r="CA163" s="9"/>
      <c r="CB163" s="9"/>
      <c r="CC163" s="9"/>
      <c r="CD163" s="46">
        <f t="shared" si="554"/>
        <v>0</v>
      </c>
      <c r="CE163" s="1406">
        <v>0</v>
      </c>
      <c r="CF163" s="833">
        <f t="shared" si="569"/>
        <v>0</v>
      </c>
      <c r="CG163" s="833">
        <f t="shared" si="570"/>
        <v>0</v>
      </c>
      <c r="CH163" s="833">
        <f t="shared" si="571"/>
        <v>0</v>
      </c>
      <c r="CI163" s="833">
        <f t="shared" si="572"/>
        <v>0</v>
      </c>
      <c r="CJ163" s="833">
        <f t="shared" si="573"/>
        <v>0</v>
      </c>
      <c r="CK163" s="833">
        <f t="shared" si="574"/>
        <v>0</v>
      </c>
      <c r="CL163" s="833">
        <f t="shared" si="575"/>
        <v>0</v>
      </c>
      <c r="CM163" s="833">
        <f t="shared" si="576"/>
        <v>0</v>
      </c>
      <c r="CN163" s="833">
        <f t="shared" si="577"/>
        <v>0</v>
      </c>
      <c r="CO163" s="833">
        <f t="shared" si="556"/>
        <v>0</v>
      </c>
      <c r="CP163" s="833">
        <f t="shared" si="556"/>
        <v>0</v>
      </c>
      <c r="CQ163" s="833">
        <f t="shared" si="556"/>
        <v>0</v>
      </c>
      <c r="CR163" s="833"/>
      <c r="CS163" s="1125">
        <f t="shared" si="557"/>
        <v>0</v>
      </c>
      <c r="CT163" s="31">
        <f t="shared" si="558"/>
        <v>0</v>
      </c>
      <c r="CU163" s="31">
        <f t="shared" si="559"/>
        <v>0</v>
      </c>
      <c r="CV163" s="31">
        <f t="shared" si="560"/>
        <v>0</v>
      </c>
      <c r="CW163" s="31">
        <f t="shared" si="561"/>
        <v>0</v>
      </c>
      <c r="CX163" s="31">
        <f t="shared" si="562"/>
        <v>0</v>
      </c>
      <c r="CY163" s="31">
        <f t="shared" si="563"/>
        <v>0</v>
      </c>
      <c r="CZ163" s="31">
        <f t="shared" si="564"/>
        <v>0</v>
      </c>
      <c r="DA163" s="31">
        <f t="shared" si="565"/>
        <v>0</v>
      </c>
      <c r="DB163" s="31">
        <f t="shared" si="566"/>
        <v>0</v>
      </c>
      <c r="DC163" s="31">
        <f t="shared" si="567"/>
        <v>0</v>
      </c>
      <c r="DD163" s="31">
        <f t="shared" si="568"/>
        <v>0</v>
      </c>
      <c r="DE163" s="78">
        <f t="shared" si="568"/>
        <v>0</v>
      </c>
    </row>
    <row r="164" spans="1:109" x14ac:dyDescent="0.2">
      <c r="A164" s="615" t="s">
        <v>6593</v>
      </c>
      <c r="B164" s="1368" t="s">
        <v>3906</v>
      </c>
      <c r="C164" s="1346" t="s">
        <v>4028</v>
      </c>
      <c r="D164" s="1331" t="s">
        <v>4028</v>
      </c>
      <c r="E164" s="133">
        <v>23600</v>
      </c>
      <c r="F164" s="9">
        <v>25600</v>
      </c>
      <c r="G164" s="9">
        <v>8800</v>
      </c>
      <c r="H164" s="9"/>
      <c r="I164" s="29"/>
      <c r="J164" s="29"/>
      <c r="K164" s="29"/>
      <c r="L164" s="9"/>
      <c r="M164" s="89"/>
      <c r="N164" s="9"/>
      <c r="O164" s="9"/>
      <c r="P164" s="9"/>
      <c r="Q164" s="49"/>
      <c r="R164" s="89">
        <v>0</v>
      </c>
      <c r="S164" s="9"/>
      <c r="T164" s="9"/>
      <c r="U164" s="9">
        <v>27800</v>
      </c>
      <c r="V164" s="49">
        <f t="shared" si="543"/>
        <v>-4200</v>
      </c>
      <c r="W164" s="133">
        <v>24600</v>
      </c>
      <c r="X164" s="9"/>
      <c r="Y164" s="46"/>
      <c r="Z164" s="9">
        <f>+F164-W164</f>
        <v>1000</v>
      </c>
      <c r="AA164" s="46">
        <f t="shared" si="463"/>
        <v>0</v>
      </c>
      <c r="AB164" s="133">
        <f>+G164</f>
        <v>8800</v>
      </c>
      <c r="AC164" s="9"/>
      <c r="AD164" s="9"/>
      <c r="AE164" s="9"/>
      <c r="AF164" s="49">
        <f t="shared" si="544"/>
        <v>0</v>
      </c>
      <c r="AG164" s="89"/>
      <c r="AH164" s="9"/>
      <c r="AI164" s="9"/>
      <c r="AJ164" s="9"/>
      <c r="AK164" s="49">
        <f t="shared" si="545"/>
        <v>0</v>
      </c>
      <c r="AL164" s="89"/>
      <c r="AM164" s="9"/>
      <c r="AN164" s="9"/>
      <c r="AO164" s="9"/>
      <c r="AP164" s="61">
        <f t="shared" si="546"/>
        <v>0</v>
      </c>
      <c r="AQ164" s="89"/>
      <c r="AR164" s="9"/>
      <c r="AS164" s="9"/>
      <c r="AT164" s="9"/>
      <c r="AU164" s="61">
        <f t="shared" si="547"/>
        <v>0</v>
      </c>
      <c r="AW164" s="9"/>
      <c r="AX164" s="9"/>
      <c r="AY164" s="9"/>
      <c r="AZ164" s="49">
        <f t="shared" si="548"/>
        <v>0</v>
      </c>
      <c r="BA164" s="89"/>
      <c r="BB164" s="9"/>
      <c r="BC164" s="9"/>
      <c r="BD164" s="9"/>
      <c r="BE164" s="49">
        <f t="shared" si="549"/>
        <v>0</v>
      </c>
      <c r="BF164" s="89"/>
      <c r="BG164" s="9"/>
      <c r="BH164" s="9"/>
      <c r="BI164" s="9"/>
      <c r="BJ164" s="49">
        <f t="shared" si="550"/>
        <v>0</v>
      </c>
      <c r="BK164" s="89"/>
      <c r="BL164" s="9"/>
      <c r="BM164" s="9"/>
      <c r="BN164" s="9"/>
      <c r="BO164" s="49">
        <f t="shared" si="551"/>
        <v>0</v>
      </c>
      <c r="BP164" s="89"/>
      <c r="BQ164" s="9"/>
      <c r="BR164" s="9"/>
      <c r="BS164" s="9"/>
      <c r="BT164" s="49">
        <f t="shared" si="552"/>
        <v>0</v>
      </c>
      <c r="BU164" s="89"/>
      <c r="BV164" s="9"/>
      <c r="BW164" s="9"/>
      <c r="BX164" s="9"/>
      <c r="BY164" s="49">
        <f t="shared" si="553"/>
        <v>0</v>
      </c>
      <c r="BZ164" s="89"/>
      <c r="CA164" s="9"/>
      <c r="CB164" s="9"/>
      <c r="CC164" s="9"/>
      <c r="CD164" s="46">
        <f t="shared" si="554"/>
        <v>0</v>
      </c>
      <c r="CE164" s="1406">
        <v>0</v>
      </c>
      <c r="CF164" s="833">
        <f t="shared" ref="CF164:CN164" si="580">CE164</f>
        <v>0</v>
      </c>
      <c r="CG164" s="833">
        <f t="shared" si="580"/>
        <v>0</v>
      </c>
      <c r="CH164" s="833">
        <f t="shared" si="580"/>
        <v>0</v>
      </c>
      <c r="CI164" s="833">
        <f t="shared" si="580"/>
        <v>0</v>
      </c>
      <c r="CJ164" s="833">
        <f t="shared" si="580"/>
        <v>0</v>
      </c>
      <c r="CK164" s="833">
        <f t="shared" si="580"/>
        <v>0</v>
      </c>
      <c r="CL164" s="833">
        <f t="shared" si="580"/>
        <v>0</v>
      </c>
      <c r="CM164" s="833">
        <f t="shared" si="580"/>
        <v>0</v>
      </c>
      <c r="CN164" s="833">
        <f t="shared" si="580"/>
        <v>0</v>
      </c>
      <c r="CO164" s="833">
        <f t="shared" si="556"/>
        <v>0</v>
      </c>
      <c r="CP164" s="833">
        <f t="shared" si="556"/>
        <v>0</v>
      </c>
      <c r="CQ164" s="833">
        <f t="shared" si="556"/>
        <v>0</v>
      </c>
      <c r="CR164" s="833"/>
      <c r="CS164" s="1125">
        <f t="shared" si="557"/>
        <v>0</v>
      </c>
      <c r="CT164" s="31">
        <f t="shared" si="558"/>
        <v>0</v>
      </c>
      <c r="CU164" s="31">
        <f t="shared" si="559"/>
        <v>0</v>
      </c>
      <c r="CV164" s="31">
        <f t="shared" si="560"/>
        <v>0</v>
      </c>
      <c r="CW164" s="31">
        <f t="shared" si="561"/>
        <v>0</v>
      </c>
      <c r="CX164" s="31">
        <f t="shared" si="562"/>
        <v>0</v>
      </c>
      <c r="CY164" s="31">
        <f t="shared" si="563"/>
        <v>0</v>
      </c>
      <c r="CZ164" s="31">
        <f t="shared" si="564"/>
        <v>0</v>
      </c>
      <c r="DA164" s="31">
        <f t="shared" si="565"/>
        <v>0</v>
      </c>
      <c r="DB164" s="31">
        <f t="shared" si="566"/>
        <v>0</v>
      </c>
      <c r="DC164" s="31">
        <f t="shared" si="567"/>
        <v>0</v>
      </c>
      <c r="DD164" s="31">
        <f t="shared" si="568"/>
        <v>0</v>
      </c>
      <c r="DE164" s="78">
        <f t="shared" si="568"/>
        <v>0</v>
      </c>
    </row>
    <row r="165" spans="1:109" x14ac:dyDescent="0.2">
      <c r="A165" s="615" t="s">
        <v>6594</v>
      </c>
      <c r="B165" s="1368"/>
      <c r="C165" s="1346" t="s">
        <v>7266</v>
      </c>
      <c r="D165" s="1346" t="s">
        <v>7266</v>
      </c>
      <c r="E165" s="133"/>
      <c r="F165" s="9">
        <v>900</v>
      </c>
      <c r="G165" s="9">
        <f>267200+240000</f>
        <v>507200</v>
      </c>
      <c r="H165" s="9"/>
      <c r="I165" s="29"/>
      <c r="J165" s="29"/>
      <c r="K165" s="29"/>
      <c r="L165" s="9"/>
      <c r="M165" s="89"/>
      <c r="N165" s="9"/>
      <c r="O165" s="9"/>
      <c r="P165" s="9"/>
      <c r="Q165" s="49"/>
      <c r="R165" s="89"/>
      <c r="S165" s="9"/>
      <c r="T165" s="9"/>
      <c r="U165" s="9"/>
      <c r="V165" s="49"/>
      <c r="W165" s="133">
        <v>0</v>
      </c>
      <c r="X165" s="9"/>
      <c r="Y165" s="46"/>
      <c r="Z165" s="9">
        <f>+F165-W165</f>
        <v>900</v>
      </c>
      <c r="AA165" s="46">
        <f t="shared" si="463"/>
        <v>0</v>
      </c>
      <c r="AB165" s="133">
        <f>+G165-AE165-60000</f>
        <v>313200</v>
      </c>
      <c r="AC165" s="9"/>
      <c r="AD165" s="9"/>
      <c r="AE165" s="9">
        <v>134000</v>
      </c>
      <c r="AF165" s="49">
        <f t="shared" si="544"/>
        <v>60000</v>
      </c>
      <c r="AG165" s="89"/>
      <c r="AH165" s="9"/>
      <c r="AI165" s="9"/>
      <c r="AJ165" s="9"/>
      <c r="AK165" s="49">
        <f t="shared" si="545"/>
        <v>0</v>
      </c>
      <c r="AL165" s="89"/>
      <c r="AM165" s="9"/>
      <c r="AN165" s="9"/>
      <c r="AO165" s="9"/>
      <c r="AP165" s="61">
        <f t="shared" si="546"/>
        <v>0</v>
      </c>
      <c r="AQ165" s="89"/>
      <c r="AR165" s="9"/>
      <c r="AS165" s="9"/>
      <c r="AT165" s="9"/>
      <c r="AU165" s="61">
        <f t="shared" si="547"/>
        <v>0</v>
      </c>
      <c r="AW165" s="9"/>
      <c r="AX165" s="9"/>
      <c r="AY165" s="9"/>
      <c r="AZ165" s="49">
        <f t="shared" si="548"/>
        <v>0</v>
      </c>
      <c r="BA165" s="89"/>
      <c r="BB165" s="9"/>
      <c r="BC165" s="9"/>
      <c r="BD165" s="9"/>
      <c r="BE165" s="49">
        <f t="shared" si="549"/>
        <v>0</v>
      </c>
      <c r="BF165" s="89"/>
      <c r="BG165" s="9"/>
      <c r="BH165" s="9"/>
      <c r="BI165" s="9"/>
      <c r="BJ165" s="49">
        <f t="shared" si="550"/>
        <v>0</v>
      </c>
      <c r="BK165" s="89"/>
      <c r="BL165" s="9"/>
      <c r="BM165" s="9"/>
      <c r="BN165" s="9"/>
      <c r="BO165" s="49">
        <f t="shared" si="551"/>
        <v>0</v>
      </c>
      <c r="BP165" s="89"/>
      <c r="BQ165" s="9"/>
      <c r="BR165" s="9"/>
      <c r="BS165" s="9"/>
      <c r="BT165" s="49">
        <f t="shared" si="552"/>
        <v>0</v>
      </c>
      <c r="BU165" s="89"/>
      <c r="BV165" s="9"/>
      <c r="BW165" s="9"/>
      <c r="BX165" s="9"/>
      <c r="BY165" s="49">
        <f t="shared" si="553"/>
        <v>0</v>
      </c>
      <c r="BZ165" s="89"/>
      <c r="CA165" s="9"/>
      <c r="CB165" s="9"/>
      <c r="CC165" s="9"/>
      <c r="CD165" s="46">
        <f t="shared" si="554"/>
        <v>0</v>
      </c>
      <c r="CE165" s="1406">
        <v>0</v>
      </c>
      <c r="CF165" s="833">
        <f t="shared" ref="CF165:CF167" si="581">CE165</f>
        <v>0</v>
      </c>
      <c r="CG165" s="833">
        <f t="shared" ref="CG165:CG167" si="582">CF165</f>
        <v>0</v>
      </c>
      <c r="CH165" s="833">
        <f t="shared" ref="CH165:CH167" si="583">CG165</f>
        <v>0</v>
      </c>
      <c r="CI165" s="833">
        <f t="shared" ref="CI165:CI167" si="584">CH165</f>
        <v>0</v>
      </c>
      <c r="CJ165" s="833">
        <f t="shared" ref="CJ165:CJ167" si="585">CI165</f>
        <v>0</v>
      </c>
      <c r="CK165" s="833">
        <f t="shared" ref="CK165:CK167" si="586">CJ165</f>
        <v>0</v>
      </c>
      <c r="CL165" s="833">
        <f t="shared" ref="CL165:CL167" si="587">CK165</f>
        <v>0</v>
      </c>
      <c r="CM165" s="833">
        <f t="shared" ref="CM165:CM167" si="588">CL165</f>
        <v>0</v>
      </c>
      <c r="CN165" s="833">
        <f t="shared" ref="CN165:CN167" si="589">CM165</f>
        <v>0</v>
      </c>
      <c r="CO165" s="833">
        <f t="shared" si="556"/>
        <v>0</v>
      </c>
      <c r="CP165" s="833">
        <f t="shared" si="556"/>
        <v>0</v>
      </c>
      <c r="CQ165" s="833">
        <f t="shared" si="556"/>
        <v>0</v>
      </c>
      <c r="CR165" s="833"/>
      <c r="CS165" s="1125">
        <f t="shared" si="557"/>
        <v>0</v>
      </c>
      <c r="CT165" s="31">
        <f t="shared" si="558"/>
        <v>0</v>
      </c>
      <c r="CU165" s="31">
        <f t="shared" si="559"/>
        <v>0</v>
      </c>
      <c r="CV165" s="31">
        <f t="shared" si="560"/>
        <v>0</v>
      </c>
      <c r="CW165" s="31">
        <f t="shared" si="561"/>
        <v>0</v>
      </c>
      <c r="CX165" s="31">
        <f t="shared" si="562"/>
        <v>0</v>
      </c>
      <c r="CY165" s="31">
        <f t="shared" si="563"/>
        <v>0</v>
      </c>
      <c r="CZ165" s="31">
        <f t="shared" si="564"/>
        <v>0</v>
      </c>
      <c r="DA165" s="31">
        <f t="shared" si="565"/>
        <v>0</v>
      </c>
      <c r="DB165" s="31">
        <f t="shared" si="566"/>
        <v>0</v>
      </c>
      <c r="DC165" s="31">
        <f t="shared" si="567"/>
        <v>0</v>
      </c>
      <c r="DD165" s="31">
        <f t="shared" si="568"/>
        <v>0</v>
      </c>
      <c r="DE165" s="78">
        <f t="shared" si="568"/>
        <v>0</v>
      </c>
    </row>
    <row r="166" spans="1:109" x14ac:dyDescent="0.2">
      <c r="A166" s="615" t="s">
        <v>4807</v>
      </c>
      <c r="B166" s="1368" t="s">
        <v>6427</v>
      </c>
      <c r="C166" s="1346" t="s">
        <v>6426</v>
      </c>
      <c r="D166" s="1331" t="s">
        <v>6426</v>
      </c>
      <c r="E166" s="133">
        <v>14500</v>
      </c>
      <c r="F166" s="9">
        <v>7700</v>
      </c>
      <c r="G166" s="9">
        <f>136000-46000</f>
        <v>90000</v>
      </c>
      <c r="H166" s="9"/>
      <c r="I166" s="29"/>
      <c r="J166" s="29"/>
      <c r="K166" s="29"/>
      <c r="L166" s="9"/>
      <c r="M166" s="89"/>
      <c r="N166" s="9"/>
      <c r="O166" s="9"/>
      <c r="P166" s="9"/>
      <c r="Q166" s="49"/>
      <c r="R166" s="89">
        <f>'Cap Inc'!B99</f>
        <v>0</v>
      </c>
      <c r="S166" s="9"/>
      <c r="T166" s="9"/>
      <c r="U166" s="9"/>
      <c r="V166" s="49">
        <f>E166-R166-S166-T166-U166</f>
        <v>14500</v>
      </c>
      <c r="W166" s="133">
        <v>7700</v>
      </c>
      <c r="X166" s="9"/>
      <c r="Y166" s="46"/>
      <c r="Z166" s="9">
        <f>+F166-W166</f>
        <v>0</v>
      </c>
      <c r="AA166" s="46">
        <f t="shared" si="463"/>
        <v>0</v>
      </c>
      <c r="AB166" s="133">
        <f>+G166</f>
        <v>90000</v>
      </c>
      <c r="AC166" s="9"/>
      <c r="AD166" s="9"/>
      <c r="AE166" s="9"/>
      <c r="AF166" s="49">
        <f t="shared" si="544"/>
        <v>0</v>
      </c>
      <c r="AG166" s="89"/>
      <c r="AH166" s="9"/>
      <c r="AI166" s="9"/>
      <c r="AJ166" s="9"/>
      <c r="AK166" s="49">
        <f t="shared" si="545"/>
        <v>0</v>
      </c>
      <c r="AL166" s="89"/>
      <c r="AM166" s="9"/>
      <c r="AN166" s="9"/>
      <c r="AO166" s="9"/>
      <c r="AP166" s="61">
        <f t="shared" si="546"/>
        <v>0</v>
      </c>
      <c r="AQ166" s="89"/>
      <c r="AR166" s="9"/>
      <c r="AS166" s="9"/>
      <c r="AT166" s="9"/>
      <c r="AU166" s="61">
        <f t="shared" si="547"/>
        <v>0</v>
      </c>
      <c r="AW166" s="9"/>
      <c r="AX166" s="9"/>
      <c r="AY166" s="9"/>
      <c r="AZ166" s="49">
        <f t="shared" si="548"/>
        <v>0</v>
      </c>
      <c r="BA166" s="89"/>
      <c r="BB166" s="9"/>
      <c r="BC166" s="9"/>
      <c r="BD166" s="9"/>
      <c r="BE166" s="49">
        <f t="shared" si="549"/>
        <v>0</v>
      </c>
      <c r="BF166" s="89"/>
      <c r="BG166" s="9"/>
      <c r="BH166" s="9"/>
      <c r="BI166" s="9"/>
      <c r="BJ166" s="49">
        <f t="shared" si="550"/>
        <v>0</v>
      </c>
      <c r="BK166" s="89"/>
      <c r="BL166" s="9"/>
      <c r="BM166" s="9"/>
      <c r="BN166" s="9"/>
      <c r="BO166" s="49">
        <f t="shared" si="551"/>
        <v>0</v>
      </c>
      <c r="BP166" s="89"/>
      <c r="BQ166" s="9"/>
      <c r="BR166" s="9"/>
      <c r="BS166" s="9"/>
      <c r="BT166" s="49">
        <f t="shared" si="552"/>
        <v>0</v>
      </c>
      <c r="BU166" s="89"/>
      <c r="BV166" s="9"/>
      <c r="BW166" s="9"/>
      <c r="BX166" s="9"/>
      <c r="BY166" s="49">
        <f t="shared" si="553"/>
        <v>0</v>
      </c>
      <c r="BZ166" s="89"/>
      <c r="CA166" s="9"/>
      <c r="CB166" s="9"/>
      <c r="CC166" s="9"/>
      <c r="CD166" s="46">
        <f t="shared" si="554"/>
        <v>0</v>
      </c>
      <c r="CE166" s="1406">
        <v>0</v>
      </c>
      <c r="CF166" s="833">
        <f t="shared" si="581"/>
        <v>0</v>
      </c>
      <c r="CG166" s="833">
        <f t="shared" si="582"/>
        <v>0</v>
      </c>
      <c r="CH166" s="833">
        <f t="shared" si="583"/>
        <v>0</v>
      </c>
      <c r="CI166" s="833">
        <f t="shared" si="584"/>
        <v>0</v>
      </c>
      <c r="CJ166" s="833">
        <f t="shared" si="585"/>
        <v>0</v>
      </c>
      <c r="CK166" s="833">
        <f t="shared" si="586"/>
        <v>0</v>
      </c>
      <c r="CL166" s="833">
        <f t="shared" si="587"/>
        <v>0</v>
      </c>
      <c r="CM166" s="833">
        <f t="shared" si="588"/>
        <v>0</v>
      </c>
      <c r="CN166" s="833">
        <f t="shared" si="589"/>
        <v>0</v>
      </c>
      <c r="CO166" s="833">
        <f t="shared" si="556"/>
        <v>0</v>
      </c>
      <c r="CP166" s="833">
        <f t="shared" si="556"/>
        <v>0</v>
      </c>
      <c r="CQ166" s="833">
        <f t="shared" si="556"/>
        <v>0</v>
      </c>
      <c r="CR166" s="833"/>
      <c r="CS166" s="1125">
        <f t="shared" si="557"/>
        <v>0</v>
      </c>
      <c r="CT166" s="31">
        <f t="shared" si="558"/>
        <v>0</v>
      </c>
      <c r="CU166" s="31">
        <f t="shared" si="559"/>
        <v>0</v>
      </c>
      <c r="CV166" s="31">
        <f t="shared" si="560"/>
        <v>0</v>
      </c>
      <c r="CW166" s="31">
        <f t="shared" si="561"/>
        <v>0</v>
      </c>
      <c r="CX166" s="31">
        <f t="shared" si="562"/>
        <v>0</v>
      </c>
      <c r="CY166" s="31">
        <f t="shared" si="563"/>
        <v>0</v>
      </c>
      <c r="CZ166" s="31">
        <f t="shared" si="564"/>
        <v>0</v>
      </c>
      <c r="DA166" s="31">
        <f t="shared" si="565"/>
        <v>0</v>
      </c>
      <c r="DB166" s="31">
        <f t="shared" si="566"/>
        <v>0</v>
      </c>
      <c r="DC166" s="31">
        <f t="shared" si="567"/>
        <v>0</v>
      </c>
      <c r="DD166" s="31">
        <f t="shared" si="568"/>
        <v>0</v>
      </c>
      <c r="DE166" s="78">
        <f t="shared" si="568"/>
        <v>0</v>
      </c>
    </row>
    <row r="167" spans="1:109" x14ac:dyDescent="0.2">
      <c r="A167" s="615" t="s">
        <v>4808</v>
      </c>
      <c r="B167" s="1368" t="s">
        <v>7189</v>
      </c>
      <c r="C167" s="1346" t="s">
        <v>7102</v>
      </c>
      <c r="D167" s="1346" t="s">
        <v>7102</v>
      </c>
      <c r="E167" s="133">
        <v>11100</v>
      </c>
      <c r="F167" s="9">
        <v>4100</v>
      </c>
      <c r="G167" s="9">
        <f>200000-60000</f>
        <v>140000</v>
      </c>
      <c r="H167" s="9"/>
      <c r="I167" s="29"/>
      <c r="J167" s="29"/>
      <c r="K167" s="29"/>
      <c r="L167" s="9"/>
      <c r="M167" s="89"/>
      <c r="N167" s="9"/>
      <c r="O167" s="9"/>
      <c r="P167" s="9"/>
      <c r="Q167" s="49"/>
      <c r="R167" s="89"/>
      <c r="S167" s="9"/>
      <c r="T167" s="9"/>
      <c r="U167" s="9"/>
      <c r="V167" s="49">
        <f>E167-R167-S167-T167-U167</f>
        <v>11100</v>
      </c>
      <c r="W167" s="133">
        <v>4100</v>
      </c>
      <c r="X167" s="9"/>
      <c r="Y167" s="46"/>
      <c r="Z167" s="9"/>
      <c r="AA167" s="46">
        <f t="shared" si="463"/>
        <v>0</v>
      </c>
      <c r="AB167" s="133">
        <f>'Cap Inc'!F100+9500</f>
        <v>125000</v>
      </c>
      <c r="AC167" s="9"/>
      <c r="AD167" s="9"/>
      <c r="AE167" s="9"/>
      <c r="AF167" s="49">
        <f t="shared" si="544"/>
        <v>15000</v>
      </c>
      <c r="AG167" s="89"/>
      <c r="AH167" s="9"/>
      <c r="AI167" s="9"/>
      <c r="AJ167" s="9"/>
      <c r="AK167" s="49">
        <f t="shared" si="545"/>
        <v>0</v>
      </c>
      <c r="AL167" s="89"/>
      <c r="AM167" s="9"/>
      <c r="AN167" s="9"/>
      <c r="AO167" s="9"/>
      <c r="AP167" s="61">
        <f t="shared" si="546"/>
        <v>0</v>
      </c>
      <c r="AQ167" s="89"/>
      <c r="AR167" s="9"/>
      <c r="AS167" s="9"/>
      <c r="AT167" s="9"/>
      <c r="AU167" s="61">
        <f t="shared" si="547"/>
        <v>0</v>
      </c>
      <c r="AW167" s="9"/>
      <c r="AX167" s="9"/>
      <c r="AY167" s="9"/>
      <c r="AZ167" s="49">
        <f t="shared" si="548"/>
        <v>0</v>
      </c>
      <c r="BA167" s="89"/>
      <c r="BB167" s="9"/>
      <c r="BC167" s="9"/>
      <c r="BD167" s="9"/>
      <c r="BE167" s="49">
        <f t="shared" si="549"/>
        <v>0</v>
      </c>
      <c r="BF167" s="89"/>
      <c r="BG167" s="9"/>
      <c r="BH167" s="9"/>
      <c r="BI167" s="9"/>
      <c r="BJ167" s="49">
        <f t="shared" si="550"/>
        <v>0</v>
      </c>
      <c r="BK167" s="89"/>
      <c r="BL167" s="9"/>
      <c r="BM167" s="9"/>
      <c r="BN167" s="9"/>
      <c r="BO167" s="49">
        <f t="shared" si="551"/>
        <v>0</v>
      </c>
      <c r="BP167" s="89"/>
      <c r="BQ167" s="9"/>
      <c r="BR167" s="9"/>
      <c r="BS167" s="9"/>
      <c r="BT167" s="49">
        <f t="shared" si="552"/>
        <v>0</v>
      </c>
      <c r="BU167" s="89"/>
      <c r="BV167" s="9"/>
      <c r="BW167" s="9"/>
      <c r="BX167" s="9"/>
      <c r="BY167" s="49">
        <f t="shared" si="553"/>
        <v>0</v>
      </c>
      <c r="BZ167" s="89"/>
      <c r="CA167" s="9"/>
      <c r="CB167" s="9"/>
      <c r="CC167" s="9"/>
      <c r="CD167" s="46">
        <f t="shared" si="554"/>
        <v>0</v>
      </c>
      <c r="CE167" s="1406">
        <v>0</v>
      </c>
      <c r="CF167" s="833">
        <f t="shared" si="581"/>
        <v>0</v>
      </c>
      <c r="CG167" s="833">
        <f t="shared" si="582"/>
        <v>0</v>
      </c>
      <c r="CH167" s="833">
        <f t="shared" si="583"/>
        <v>0</v>
      </c>
      <c r="CI167" s="833">
        <f t="shared" si="584"/>
        <v>0</v>
      </c>
      <c r="CJ167" s="833">
        <f t="shared" si="585"/>
        <v>0</v>
      </c>
      <c r="CK167" s="833">
        <f t="shared" si="586"/>
        <v>0</v>
      </c>
      <c r="CL167" s="833">
        <f t="shared" si="587"/>
        <v>0</v>
      </c>
      <c r="CM167" s="833">
        <f t="shared" si="588"/>
        <v>0</v>
      </c>
      <c r="CN167" s="833">
        <f t="shared" si="589"/>
        <v>0</v>
      </c>
      <c r="CO167" s="833">
        <f t="shared" si="556"/>
        <v>0</v>
      </c>
      <c r="CP167" s="833">
        <f t="shared" si="556"/>
        <v>0</v>
      </c>
      <c r="CQ167" s="833">
        <f t="shared" si="556"/>
        <v>0</v>
      </c>
      <c r="CR167" s="833"/>
      <c r="CS167" s="1125">
        <f t="shared" si="557"/>
        <v>0</v>
      </c>
      <c r="CT167" s="31">
        <f t="shared" si="558"/>
        <v>0</v>
      </c>
      <c r="CU167" s="31">
        <f t="shared" si="559"/>
        <v>0</v>
      </c>
      <c r="CV167" s="31">
        <f t="shared" si="560"/>
        <v>0</v>
      </c>
      <c r="CW167" s="31">
        <f t="shared" si="561"/>
        <v>0</v>
      </c>
      <c r="CX167" s="31">
        <f t="shared" si="562"/>
        <v>0</v>
      </c>
      <c r="CY167" s="31">
        <f t="shared" si="563"/>
        <v>0</v>
      </c>
      <c r="CZ167" s="31">
        <f t="shared" si="564"/>
        <v>0</v>
      </c>
      <c r="DA167" s="31">
        <f t="shared" si="565"/>
        <v>0</v>
      </c>
      <c r="DB167" s="31">
        <f t="shared" si="566"/>
        <v>0</v>
      </c>
      <c r="DC167" s="31">
        <f t="shared" si="567"/>
        <v>0</v>
      </c>
      <c r="DD167" s="31">
        <f t="shared" si="568"/>
        <v>0</v>
      </c>
      <c r="DE167" s="78">
        <f t="shared" si="568"/>
        <v>0</v>
      </c>
    </row>
    <row r="168" spans="1:109" s="39" customFormat="1" x14ac:dyDescent="0.2">
      <c r="A168" s="293"/>
      <c r="B168" s="1360"/>
      <c r="C168" s="1338"/>
      <c r="D168" s="1384"/>
      <c r="E168" s="132"/>
      <c r="F168" s="21"/>
      <c r="G168" s="21"/>
      <c r="H168" s="21"/>
      <c r="I168" s="21"/>
      <c r="J168" s="27"/>
      <c r="K168" s="32"/>
      <c r="L168" s="21"/>
      <c r="M168" s="75"/>
      <c r="N168" s="21"/>
      <c r="O168" s="21"/>
      <c r="P168" s="21"/>
      <c r="Q168" s="64"/>
      <c r="R168" s="75"/>
      <c r="S168" s="21"/>
      <c r="T168" s="21"/>
      <c r="U168" s="21"/>
      <c r="V168" s="49"/>
      <c r="W168" s="132"/>
      <c r="X168" s="21"/>
      <c r="Y168" s="27"/>
      <c r="Z168" s="21"/>
      <c r="AA168" s="46">
        <f t="shared" si="463"/>
        <v>0</v>
      </c>
      <c r="AB168" s="132"/>
      <c r="AC168" s="21"/>
      <c r="AD168" s="21"/>
      <c r="AE168" s="21"/>
      <c r="AF168" s="64"/>
      <c r="AG168" s="75"/>
      <c r="AH168" s="21"/>
      <c r="AI168" s="21"/>
      <c r="AJ168" s="21"/>
      <c r="AK168" s="49">
        <f t="shared" si="545"/>
        <v>0</v>
      </c>
      <c r="AL168" s="89"/>
      <c r="AM168" s="9"/>
      <c r="AN168" s="9"/>
      <c r="AO168" s="9"/>
      <c r="AP168" s="61">
        <f t="shared" si="546"/>
        <v>0</v>
      </c>
      <c r="AQ168" s="75"/>
      <c r="AR168" s="21"/>
      <c r="AS168" s="21"/>
      <c r="AT168" s="21"/>
      <c r="AU168" s="62"/>
      <c r="AV168" s="27"/>
      <c r="AW168" s="21"/>
      <c r="AX168" s="21"/>
      <c r="AY168" s="21"/>
      <c r="AZ168" s="64"/>
      <c r="BA168" s="75"/>
      <c r="BB168" s="21"/>
      <c r="BC168" s="21"/>
      <c r="BD168" s="21"/>
      <c r="BE168" s="64"/>
      <c r="BF168" s="75"/>
      <c r="BG168" s="21"/>
      <c r="BH168" s="21"/>
      <c r="BI168" s="21"/>
      <c r="BJ168" s="64"/>
      <c r="BK168" s="75"/>
      <c r="BL168" s="21"/>
      <c r="BM168" s="21"/>
      <c r="BN168" s="21"/>
      <c r="BO168" s="64"/>
      <c r="BP168" s="75"/>
      <c r="BQ168" s="21"/>
      <c r="BR168" s="21"/>
      <c r="BS168" s="21"/>
      <c r="BT168" s="64"/>
      <c r="BU168" s="75"/>
      <c r="BV168" s="21"/>
      <c r="BW168" s="21"/>
      <c r="BX168" s="21"/>
      <c r="BY168" s="64"/>
      <c r="BZ168" s="75"/>
      <c r="CA168" s="21"/>
      <c r="CB168" s="21"/>
      <c r="CC168" s="21"/>
      <c r="CD168" s="27"/>
      <c r="CE168" s="1405"/>
      <c r="CF168" s="538"/>
      <c r="CG168" s="466"/>
      <c r="CH168" s="466"/>
      <c r="CI168" s="466"/>
      <c r="CJ168" s="466"/>
      <c r="CK168" s="466"/>
      <c r="CL168" s="466"/>
      <c r="CM168" s="466"/>
      <c r="CN168" s="466"/>
      <c r="CO168" s="466"/>
      <c r="CP168" s="466"/>
      <c r="CQ168" s="466"/>
      <c r="CR168" s="466"/>
      <c r="CS168" s="1043"/>
      <c r="CT168" s="27"/>
      <c r="CU168" s="27"/>
      <c r="CV168" s="27"/>
      <c r="CW168" s="27"/>
      <c r="CX168" s="27"/>
      <c r="CY168" s="27"/>
      <c r="CZ168" s="27"/>
      <c r="DA168" s="27"/>
      <c r="DB168" s="27"/>
      <c r="DC168" s="27"/>
      <c r="DD168" s="27"/>
      <c r="DE168" s="62"/>
    </row>
    <row r="169" spans="1:109" x14ac:dyDescent="0.2">
      <c r="A169" s="413" t="s">
        <v>3854</v>
      </c>
      <c r="B169" s="1356" t="s">
        <v>1287</v>
      </c>
      <c r="C169" s="1337"/>
      <c r="D169" s="1333"/>
      <c r="E169" s="133">
        <v>158800</v>
      </c>
      <c r="F169" s="9"/>
      <c r="G169" s="9"/>
      <c r="H169" s="9"/>
      <c r="I169" s="9"/>
      <c r="J169" s="46"/>
      <c r="K169" s="29"/>
      <c r="L169" s="9"/>
      <c r="M169" s="89"/>
      <c r="N169" s="9"/>
      <c r="O169" s="9"/>
      <c r="P169" s="9"/>
      <c r="Q169" s="49"/>
      <c r="R169" s="89"/>
      <c r="S169" s="9"/>
      <c r="T169" s="9"/>
      <c r="U169" s="9"/>
      <c r="V169" s="49">
        <f>E169-R169-S169-T169-U169</f>
        <v>158800</v>
      </c>
      <c r="W169" s="133"/>
      <c r="X169" s="9"/>
      <c r="Y169" s="46"/>
      <c r="Z169" s="9"/>
      <c r="AA169" s="46">
        <f t="shared" si="463"/>
        <v>0</v>
      </c>
      <c r="AB169" s="133"/>
      <c r="AC169" s="9"/>
      <c r="AD169" s="9"/>
      <c r="AE169" s="9"/>
      <c r="AF169" s="49"/>
      <c r="AG169" s="89"/>
      <c r="AH169" s="9"/>
      <c r="AI169" s="9"/>
      <c r="AJ169" s="9"/>
      <c r="AK169" s="49">
        <f t="shared" si="545"/>
        <v>0</v>
      </c>
      <c r="AL169" s="89"/>
      <c r="AM169" s="9"/>
      <c r="AN169" s="9"/>
      <c r="AO169" s="9"/>
      <c r="AP169" s="61">
        <f t="shared" si="546"/>
        <v>0</v>
      </c>
      <c r="AQ169" s="89"/>
      <c r="AR169" s="9"/>
      <c r="AS169" s="9"/>
      <c r="AT169" s="9"/>
      <c r="AU169" s="61">
        <f>J169-AQ169-AR169-AS169-AT169</f>
        <v>0</v>
      </c>
      <c r="AW169" s="9"/>
      <c r="AX169" s="9"/>
      <c r="AY169" s="9"/>
      <c r="AZ169" s="49">
        <f>K169-AV169-AW169-AX169-AY169</f>
        <v>0</v>
      </c>
      <c r="BA169" s="89"/>
      <c r="BB169" s="9"/>
      <c r="BC169" s="9"/>
      <c r="BD169" s="9"/>
      <c r="BE169" s="49">
        <f>L169-BA169-BB169-BC169-BD169</f>
        <v>0</v>
      </c>
      <c r="BF169" s="89"/>
      <c r="BG169" s="9"/>
      <c r="BH169" s="9"/>
      <c r="BI169" s="9"/>
      <c r="BJ169" s="49">
        <f>M169-BF169-BG169-BH169-BI169</f>
        <v>0</v>
      </c>
      <c r="BK169" s="89"/>
      <c r="BL169" s="9"/>
      <c r="BM169" s="9"/>
      <c r="BN169" s="9"/>
      <c r="BO169" s="49">
        <f>N169-BK169-BL169-BM169-BN169</f>
        <v>0</v>
      </c>
      <c r="BP169" s="89"/>
      <c r="BQ169" s="9"/>
      <c r="BR169" s="9"/>
      <c r="BS169" s="9"/>
      <c r="BT169" s="49">
        <f>O169-BP169-BQ169-BR169-BS169</f>
        <v>0</v>
      </c>
      <c r="BU169" s="89"/>
      <c r="BV169" s="9"/>
      <c r="BW169" s="9"/>
      <c r="BX169" s="9"/>
      <c r="BY169" s="49">
        <f t="shared" ref="BY169" si="590">P169-BU169-BV169-BW169-BX169</f>
        <v>0</v>
      </c>
      <c r="BZ169" s="89"/>
      <c r="CA169" s="9"/>
      <c r="CB169" s="9"/>
      <c r="CC169" s="9"/>
      <c r="CD169" s="46">
        <f t="shared" ref="CD169" si="591">Q169-BZ169-CA169-CB169-CC169</f>
        <v>0</v>
      </c>
      <c r="CE169" s="1406">
        <v>1</v>
      </c>
      <c r="CF169" s="833">
        <f t="shared" ref="CF169" si="592">CE169</f>
        <v>1</v>
      </c>
      <c r="CG169" s="833">
        <f t="shared" ref="CG169" si="593">CF169</f>
        <v>1</v>
      </c>
      <c r="CH169" s="833">
        <f t="shared" ref="CH169" si="594">CG169</f>
        <v>1</v>
      </c>
      <c r="CI169" s="833">
        <f t="shared" ref="CI169" si="595">CH169</f>
        <v>1</v>
      </c>
      <c r="CJ169" s="833">
        <f t="shared" ref="CJ169" si="596">CI169</f>
        <v>1</v>
      </c>
      <c r="CK169" s="833">
        <f t="shared" ref="CK169" si="597">CJ169</f>
        <v>1</v>
      </c>
      <c r="CL169" s="833">
        <f t="shared" ref="CL169" si="598">CK169</f>
        <v>1</v>
      </c>
      <c r="CM169" s="833">
        <f t="shared" ref="CM169:CN169" si="599">CL169</f>
        <v>1</v>
      </c>
      <c r="CN169" s="833">
        <f t="shared" si="599"/>
        <v>1</v>
      </c>
      <c r="CO169" s="833">
        <f>CN169</f>
        <v>1</v>
      </c>
      <c r="CP169" s="833">
        <f>CO169</f>
        <v>1</v>
      </c>
      <c r="CQ169" s="833">
        <f>CP169</f>
        <v>1</v>
      </c>
      <c r="CR169" s="833"/>
      <c r="CS169" s="1125">
        <f t="shared" ref="CS169:DE169" si="600">ROUND(CE169*E169,-3)</f>
        <v>159000</v>
      </c>
      <c r="CT169" s="31">
        <f t="shared" si="600"/>
        <v>0</v>
      </c>
      <c r="CU169" s="31">
        <f t="shared" si="600"/>
        <v>0</v>
      </c>
      <c r="CV169" s="31">
        <f t="shared" si="600"/>
        <v>0</v>
      </c>
      <c r="CW169" s="31">
        <f t="shared" si="600"/>
        <v>0</v>
      </c>
      <c r="CX169" s="31">
        <f t="shared" si="600"/>
        <v>0</v>
      </c>
      <c r="CY169" s="31">
        <f t="shared" si="600"/>
        <v>0</v>
      </c>
      <c r="CZ169" s="31">
        <f t="shared" si="600"/>
        <v>0</v>
      </c>
      <c r="DA169" s="31">
        <f t="shared" si="600"/>
        <v>0</v>
      </c>
      <c r="DB169" s="31">
        <f t="shared" si="600"/>
        <v>0</v>
      </c>
      <c r="DC169" s="31">
        <f t="shared" si="600"/>
        <v>0</v>
      </c>
      <c r="DD169" s="31">
        <f t="shared" si="600"/>
        <v>0</v>
      </c>
      <c r="DE169" s="78">
        <f t="shared" si="600"/>
        <v>0</v>
      </c>
    </row>
    <row r="170" spans="1:109" ht="13.5" thickBot="1" x14ac:dyDescent="0.25">
      <c r="A170" s="299"/>
      <c r="B170" s="1365"/>
      <c r="C170" s="1343"/>
      <c r="D170" s="1390"/>
      <c r="E170" s="113"/>
      <c r="F170" s="23"/>
      <c r="G170" s="23"/>
      <c r="H170" s="23"/>
      <c r="I170" s="227"/>
      <c r="J170" s="227"/>
      <c r="K170" s="227"/>
      <c r="L170" s="227"/>
      <c r="M170" s="23"/>
      <c r="N170" s="23"/>
      <c r="O170" s="23"/>
      <c r="P170" s="23"/>
      <c r="Q170" s="223"/>
      <c r="R170" s="113"/>
      <c r="S170" s="23"/>
      <c r="T170" s="23"/>
      <c r="U170" s="23"/>
      <c r="V170" s="121"/>
      <c r="W170" s="158"/>
      <c r="X170" s="23"/>
      <c r="Y170" s="121"/>
      <c r="Z170" s="23"/>
      <c r="AA170" s="223"/>
      <c r="AB170" s="158"/>
      <c r="AC170" s="23"/>
      <c r="AD170" s="23"/>
      <c r="AE170" s="23"/>
      <c r="AF170" s="223"/>
      <c r="AG170" s="113"/>
      <c r="AH170" s="23"/>
      <c r="AI170" s="23"/>
      <c r="AJ170" s="23"/>
      <c r="AK170" s="223"/>
      <c r="AL170" s="113"/>
      <c r="AM170" s="23"/>
      <c r="AN170" s="23"/>
      <c r="AO170" s="23"/>
      <c r="AP170" s="112"/>
      <c r="AQ170" s="113"/>
      <c r="AR170" s="23"/>
      <c r="AS170" s="23"/>
      <c r="AT170" s="23"/>
      <c r="AU170" s="112"/>
      <c r="AV170" s="121"/>
      <c r="AW170" s="23"/>
      <c r="AX170" s="23"/>
      <c r="AY170" s="23"/>
      <c r="AZ170" s="223"/>
      <c r="BA170" s="113"/>
      <c r="BB170" s="23"/>
      <c r="BC170" s="23"/>
      <c r="BD170" s="23"/>
      <c r="BE170" s="223"/>
      <c r="BF170" s="113"/>
      <c r="BG170" s="23"/>
      <c r="BH170" s="23"/>
      <c r="BI170" s="23"/>
      <c r="BJ170" s="223"/>
      <c r="BK170" s="113"/>
      <c r="BL170" s="23"/>
      <c r="BM170" s="23"/>
      <c r="BN170" s="23"/>
      <c r="BO170" s="223"/>
      <c r="BP170" s="113"/>
      <c r="BQ170" s="23"/>
      <c r="BR170" s="23"/>
      <c r="BS170" s="23"/>
      <c r="BT170" s="223"/>
      <c r="BU170" s="113"/>
      <c r="BV170" s="23"/>
      <c r="BW170" s="23"/>
      <c r="BX170" s="23"/>
      <c r="BY170" s="223"/>
      <c r="BZ170" s="113"/>
      <c r="CA170" s="23"/>
      <c r="CB170" s="23"/>
      <c r="CC170" s="23"/>
      <c r="CD170" s="121"/>
      <c r="CE170" s="1405"/>
      <c r="CF170" s="538"/>
      <c r="CG170" s="538"/>
      <c r="CH170" s="538"/>
      <c r="CI170" s="538"/>
      <c r="CJ170" s="538"/>
      <c r="CK170" s="538"/>
      <c r="CL170" s="538"/>
      <c r="CM170" s="538"/>
      <c r="CN170" s="538"/>
      <c r="CO170" s="538"/>
      <c r="CP170" s="538"/>
      <c r="CQ170" s="538"/>
      <c r="CR170" s="538"/>
      <c r="CS170" s="350"/>
      <c r="CT170" s="46"/>
      <c r="CU170" s="46"/>
      <c r="CV170" s="46"/>
      <c r="CW170" s="46"/>
      <c r="CX170" s="46"/>
      <c r="CY170" s="46"/>
      <c r="CZ170" s="46"/>
      <c r="DA170" s="46"/>
      <c r="DB170" s="46"/>
      <c r="DC170" s="46"/>
      <c r="DD170" s="46"/>
      <c r="DE170" s="61"/>
    </row>
    <row r="171" spans="1:109" s="46" customFormat="1" ht="14.25" thickTop="1" thickBot="1" x14ac:dyDescent="0.25">
      <c r="A171" s="298"/>
      <c r="B171" s="1366"/>
      <c r="C171" s="1344"/>
      <c r="D171" s="1583"/>
      <c r="CE171" s="1405"/>
      <c r="CF171" s="538"/>
      <c r="CG171" s="538"/>
      <c r="CH171" s="538"/>
      <c r="CI171" s="538"/>
      <c r="CJ171" s="538"/>
      <c r="CK171" s="538"/>
      <c r="CL171" s="538"/>
      <c r="CM171" s="538"/>
      <c r="CN171" s="538"/>
      <c r="CO171" s="538"/>
      <c r="CP171" s="538"/>
      <c r="CQ171" s="538"/>
      <c r="CR171" s="538"/>
      <c r="CS171" s="350"/>
      <c r="DE171" s="61"/>
    </row>
    <row r="172" spans="1:109" s="317" customFormat="1" ht="19.5" thickTop="1" thickBot="1" x14ac:dyDescent="0.3">
      <c r="A172" s="2633" t="s">
        <v>5040</v>
      </c>
      <c r="B172" s="2634"/>
      <c r="C172" s="2634"/>
      <c r="D172" s="2634"/>
      <c r="E172" s="2634"/>
      <c r="F172" s="2634"/>
      <c r="G172" s="2634"/>
      <c r="H172" s="2634"/>
      <c r="I172" s="2634"/>
      <c r="J172" s="2634"/>
      <c r="K172" s="2634"/>
      <c r="L172" s="2634"/>
      <c r="M172" s="2634"/>
      <c r="N172" s="2634"/>
      <c r="O172" s="2634"/>
      <c r="P172" s="2634"/>
      <c r="Q172" s="2634"/>
      <c r="R172" s="2634"/>
      <c r="S172" s="2634"/>
      <c r="T172" s="2634"/>
      <c r="U172" s="2634"/>
      <c r="V172" s="2634"/>
      <c r="W172" s="2634"/>
      <c r="X172" s="2634"/>
      <c r="Y172" s="2634"/>
      <c r="Z172" s="2634"/>
      <c r="AA172" s="2634"/>
      <c r="AB172" s="2634"/>
      <c r="AC172" s="2634"/>
      <c r="AD172" s="2634"/>
      <c r="AE172" s="2634"/>
      <c r="AF172" s="2634"/>
      <c r="AG172" s="2634"/>
      <c r="AH172" s="2634"/>
      <c r="AI172" s="2634"/>
      <c r="AJ172" s="2634"/>
      <c r="AK172" s="2634"/>
      <c r="AL172" s="2634"/>
      <c r="AM172" s="2634"/>
      <c r="AN172" s="2634"/>
      <c r="AO172" s="2634"/>
      <c r="AP172" s="2634"/>
      <c r="AQ172" s="2634"/>
      <c r="AR172" s="2634"/>
      <c r="AS172" s="2634"/>
      <c r="AT172" s="2634"/>
      <c r="AU172" s="2635"/>
      <c r="AV172" s="390"/>
      <c r="AW172" s="390"/>
      <c r="AX172" s="390"/>
      <c r="AY172" s="390"/>
      <c r="AZ172" s="637"/>
      <c r="BA172" s="390"/>
      <c r="BB172" s="390"/>
      <c r="BC172" s="390"/>
      <c r="BD172" s="390"/>
      <c r="BE172" s="637"/>
      <c r="BF172" s="390"/>
      <c r="BG172" s="390"/>
      <c r="BH172" s="390"/>
      <c r="BI172" s="390"/>
      <c r="BJ172" s="637"/>
      <c r="BK172" s="390"/>
      <c r="BL172" s="390"/>
      <c r="BM172" s="390"/>
      <c r="BN172" s="390"/>
      <c r="BO172" s="637"/>
      <c r="BP172" s="390"/>
      <c r="BQ172" s="390"/>
      <c r="BR172" s="390"/>
      <c r="BS172" s="390"/>
      <c r="BT172" s="390"/>
      <c r="BU172" s="390"/>
      <c r="BV172" s="390"/>
      <c r="BW172" s="390"/>
      <c r="BX172" s="390"/>
      <c r="BY172" s="390"/>
      <c r="BZ172" s="390"/>
      <c r="CA172" s="390"/>
      <c r="CB172" s="390"/>
      <c r="CC172" s="390"/>
      <c r="CD172" s="390"/>
      <c r="CE172" s="1405"/>
      <c r="CF172" s="538"/>
      <c r="CG172" s="1121"/>
      <c r="CH172" s="1121"/>
      <c r="CI172" s="1121"/>
      <c r="CJ172" s="1121"/>
      <c r="CK172" s="1121"/>
      <c r="CL172" s="1121"/>
      <c r="CM172" s="1121"/>
      <c r="CN172" s="1121"/>
      <c r="CO172" s="1121"/>
      <c r="CP172" s="1121"/>
      <c r="CQ172" s="1121"/>
      <c r="CR172" s="833"/>
      <c r="CS172" s="1125"/>
      <c r="CT172" s="620"/>
      <c r="CU172" s="620"/>
      <c r="CV172" s="620"/>
      <c r="CW172" s="620"/>
      <c r="CX172" s="620"/>
      <c r="CY172" s="620"/>
      <c r="CZ172" s="620"/>
      <c r="DA172" s="620"/>
      <c r="DB172" s="620"/>
      <c r="DC172" s="620"/>
      <c r="DD172" s="620"/>
      <c r="DE172" s="959"/>
    </row>
    <row r="173" spans="1:109" ht="14.25" thickTop="1" thickBot="1" x14ac:dyDescent="0.25">
      <c r="A173" s="1626"/>
      <c r="B173" s="1627"/>
      <c r="C173" s="1628"/>
      <c r="D173" s="1629"/>
      <c r="E173" s="2636" t="str">
        <f t="shared" ref="E173:U173" si="601">E87</f>
        <v>Expenditure Year</v>
      </c>
      <c r="F173" s="2637"/>
      <c r="G173" s="2637"/>
      <c r="H173" s="2637"/>
      <c r="I173" s="2637"/>
      <c r="J173" s="2637"/>
      <c r="K173" s="2637"/>
      <c r="L173" s="2637"/>
      <c r="M173" s="2637"/>
      <c r="N173" s="2637"/>
      <c r="O173" s="2637"/>
      <c r="P173" s="2637"/>
      <c r="Q173" s="2637"/>
      <c r="R173" s="1630" t="str">
        <f t="shared" si="601"/>
        <v>Funding Sources</v>
      </c>
      <c r="S173" s="1630"/>
      <c r="T173" s="1630"/>
      <c r="U173" s="1630" t="str">
        <f t="shared" si="601"/>
        <v>2015/16</v>
      </c>
      <c r="V173" s="1631"/>
      <c r="W173" s="1666" t="s">
        <v>2857</v>
      </c>
      <c r="X173" s="1630"/>
      <c r="Y173" s="1630"/>
      <c r="Z173" s="1630" t="str">
        <f>Z87</f>
        <v>2016/17</v>
      </c>
      <c r="AA173" s="1631"/>
      <c r="AB173" s="1666" t="str">
        <f>AB87</f>
        <v>Funding Sources</v>
      </c>
      <c r="AC173" s="1630"/>
      <c r="AD173" s="1630"/>
      <c r="AE173" s="1630" t="str">
        <f>AE87</f>
        <v>2017/18</v>
      </c>
      <c r="AF173" s="1631"/>
      <c r="AG173" s="1630" t="str">
        <f>AG87</f>
        <v>Funding Sources</v>
      </c>
      <c r="AH173" s="1630"/>
      <c r="AI173" s="1630"/>
      <c r="AJ173" s="1630" t="str">
        <f>AJ87</f>
        <v>2018/19</v>
      </c>
      <c r="AK173" s="1631"/>
      <c r="AL173" s="1630" t="str">
        <f>AL87</f>
        <v>Funding Sources</v>
      </c>
      <c r="AM173" s="1630"/>
      <c r="AN173" s="1630"/>
      <c r="AO173" s="1630" t="str">
        <f>AO87</f>
        <v>2019/20</v>
      </c>
      <c r="AP173" s="1632"/>
      <c r="AQ173" s="1630" t="str">
        <f>AQ87</f>
        <v>Funding Sources</v>
      </c>
      <c r="AR173" s="1630"/>
      <c r="AS173" s="1630"/>
      <c r="AT173" s="1630" t="str">
        <f>AT87</f>
        <v>2020/21</v>
      </c>
      <c r="AU173" s="1632"/>
      <c r="AV173" s="156" t="str">
        <f>AV87</f>
        <v>Funding Sources</v>
      </c>
      <c r="AW173" s="156"/>
      <c r="AX173" s="156"/>
      <c r="AY173" s="156" t="str">
        <f>AY87</f>
        <v>2021/22</v>
      </c>
      <c r="AZ173" s="309"/>
      <c r="BA173" s="156" t="str">
        <f>BA87</f>
        <v>Funding Sources</v>
      </c>
      <c r="BB173" s="156"/>
      <c r="BC173" s="156"/>
      <c r="BD173" s="156" t="str">
        <f>BD87</f>
        <v>2022/23</v>
      </c>
      <c r="BE173" s="309"/>
      <c r="BF173" s="156" t="str">
        <f>BF87</f>
        <v>Funding Sources</v>
      </c>
      <c r="BG173" s="156"/>
      <c r="BH173" s="156"/>
      <c r="BI173" s="156" t="str">
        <f>BI87</f>
        <v>2023/24</v>
      </c>
      <c r="BJ173" s="309"/>
      <c r="BK173" s="156" t="str">
        <f>BK87</f>
        <v>Funding Sources</v>
      </c>
      <c r="BL173" s="156"/>
      <c r="BM173" s="156"/>
      <c r="BN173" s="156" t="str">
        <f>BN87</f>
        <v>2024/25</v>
      </c>
      <c r="BO173" s="309"/>
      <c r="BP173" s="156" t="str">
        <f>BP87</f>
        <v>Funding Sources</v>
      </c>
      <c r="BQ173" s="156"/>
      <c r="BR173" s="156"/>
      <c r="BS173" s="156" t="str">
        <f>BS87</f>
        <v>2025/26</v>
      </c>
      <c r="BT173" s="309"/>
      <c r="BU173" s="156" t="str">
        <f>BU87</f>
        <v>Funding Sources</v>
      </c>
      <c r="BV173" s="156"/>
      <c r="BW173" s="156"/>
      <c r="BX173" s="156" t="str">
        <f>BX87</f>
        <v>2026/27</v>
      </c>
      <c r="BY173" s="309"/>
      <c r="BZ173" s="156" t="str">
        <f>BZ87</f>
        <v>Funding Sources</v>
      </c>
      <c r="CA173" s="156"/>
      <c r="CB173" s="156"/>
      <c r="CC173" s="156" t="str">
        <f>CC87</f>
        <v>2027/28</v>
      </c>
      <c r="CD173" s="156"/>
      <c r="CE173" s="1405"/>
      <c r="CF173" s="538"/>
      <c r="CG173" s="538"/>
      <c r="CH173" s="538"/>
      <c r="CI173" s="538"/>
      <c r="CJ173" s="538"/>
      <c r="CK173" s="538"/>
      <c r="CL173" s="538"/>
      <c r="CM173" s="538"/>
      <c r="CN173" s="538"/>
      <c r="CO173" s="538"/>
      <c r="CP173" s="538"/>
      <c r="CQ173" s="538"/>
      <c r="CR173" s="538"/>
      <c r="CS173" s="350"/>
      <c r="CT173" s="46"/>
      <c r="CU173" s="46"/>
      <c r="CV173" s="46"/>
      <c r="CW173" s="46"/>
      <c r="CX173" s="46"/>
      <c r="CY173" s="46"/>
      <c r="CZ173" s="46"/>
      <c r="DA173" s="46"/>
      <c r="DB173" s="46"/>
      <c r="DC173" s="46"/>
      <c r="DD173" s="46"/>
      <c r="DE173" s="61"/>
    </row>
    <row r="174" spans="1:109" s="46" customFormat="1" ht="26.25" thickBot="1" x14ac:dyDescent="0.25">
      <c r="A174" s="291" t="s">
        <v>1189</v>
      </c>
      <c r="B174" s="1367"/>
      <c r="C174" s="1345"/>
      <c r="D174" s="1391"/>
      <c r="E174" s="1582" t="str">
        <f t="shared" ref="E174:V174" si="602">E88</f>
        <v>2015/16</v>
      </c>
      <c r="F174" s="311" t="str">
        <f t="shared" si="602"/>
        <v>2016/17</v>
      </c>
      <c r="G174" s="311" t="str">
        <f t="shared" si="602"/>
        <v>2017/18</v>
      </c>
      <c r="H174" s="311" t="str">
        <f t="shared" si="602"/>
        <v>2018/19</v>
      </c>
      <c r="I174" s="311" t="str">
        <f t="shared" si="602"/>
        <v>2019/20</v>
      </c>
      <c r="J174" s="1676" t="str">
        <f t="shared" si="602"/>
        <v>2020/21</v>
      </c>
      <c r="K174" s="308" t="str">
        <f t="shared" si="602"/>
        <v>2021/22</v>
      </c>
      <c r="L174" s="308" t="str">
        <f t="shared" si="602"/>
        <v>2022/23</v>
      </c>
      <c r="M174" s="311" t="str">
        <f t="shared" si="602"/>
        <v>2023/24</v>
      </c>
      <c r="N174" s="311" t="str">
        <f t="shared" si="602"/>
        <v>2024/25</v>
      </c>
      <c r="O174" s="311" t="str">
        <f t="shared" si="602"/>
        <v>2025/26</v>
      </c>
      <c r="P174" s="311" t="str">
        <f t="shared" si="602"/>
        <v>2026/27</v>
      </c>
      <c r="Q174" s="2232" t="str">
        <f t="shared" ref="Q174" si="603">Q88</f>
        <v>2027/28</v>
      </c>
      <c r="R174" s="313" t="str">
        <f t="shared" si="602"/>
        <v>Grants / Conts</v>
      </c>
      <c r="S174" s="313" t="str">
        <f t="shared" si="602"/>
        <v>Sec 94</v>
      </c>
      <c r="T174" s="313" t="str">
        <f t="shared" si="602"/>
        <v>Loans</v>
      </c>
      <c r="U174" s="313" t="str">
        <f t="shared" si="602"/>
        <v>Reserves</v>
      </c>
      <c r="V174" s="316" t="str">
        <f t="shared" si="602"/>
        <v>General Revenue</v>
      </c>
      <c r="W174" s="1663" t="s">
        <v>2470</v>
      </c>
      <c r="X174" s="387" t="str">
        <f>X88</f>
        <v>Sec 94</v>
      </c>
      <c r="Y174" s="313" t="str">
        <f>Y88</f>
        <v>Loans</v>
      </c>
      <c r="Z174" s="313" t="str">
        <f>Z88</f>
        <v>Reserves</v>
      </c>
      <c r="AA174" s="316" t="str">
        <f>AA88</f>
        <v>General Revenue</v>
      </c>
      <c r="AB174" s="1663" t="str">
        <f>AB88</f>
        <v>Grants / Conts</v>
      </c>
      <c r="AC174" s="313" t="str">
        <f>AC88</f>
        <v>Sec 94</v>
      </c>
      <c r="AD174" s="313" t="str">
        <f>AD88</f>
        <v>Loans</v>
      </c>
      <c r="AE174" s="313" t="str">
        <f>AE88</f>
        <v>Reserves</v>
      </c>
      <c r="AF174" s="316" t="str">
        <f>AF88</f>
        <v>General Revenue</v>
      </c>
      <c r="AG174" s="313" t="str">
        <f>AG88</f>
        <v>Grants / Conts</v>
      </c>
      <c r="AH174" s="313" t="str">
        <f>AH88</f>
        <v>Sec 94</v>
      </c>
      <c r="AI174" s="313" t="str">
        <f>AI88</f>
        <v>Loans</v>
      </c>
      <c r="AJ174" s="313" t="str">
        <f>AJ88</f>
        <v>Reserves</v>
      </c>
      <c r="AK174" s="316" t="str">
        <f>AK88</f>
        <v>General Revenue</v>
      </c>
      <c r="AL174" s="313" t="str">
        <f>AL88</f>
        <v>Grants / Conts</v>
      </c>
      <c r="AM174" s="313" t="str">
        <f>AM88</f>
        <v>Sec 94</v>
      </c>
      <c r="AN174" s="313" t="str">
        <f>AN88</f>
        <v>Loans</v>
      </c>
      <c r="AO174" s="313" t="str">
        <f>AO88</f>
        <v>Reserves</v>
      </c>
      <c r="AP174" s="316" t="str">
        <f>AP88</f>
        <v>General Revenue</v>
      </c>
      <c r="AQ174" s="313" t="str">
        <f>AQ88</f>
        <v>Grants / Conts</v>
      </c>
      <c r="AR174" s="313" t="str">
        <f>AR88</f>
        <v>Sec 94</v>
      </c>
      <c r="AS174" s="313" t="str">
        <f>AS88</f>
        <v>Loans</v>
      </c>
      <c r="AT174" s="313" t="str">
        <f>AT88</f>
        <v>Reserves</v>
      </c>
      <c r="AU174" s="315" t="str">
        <f>AU88</f>
        <v>General Revenue</v>
      </c>
      <c r="AV174" s="314" t="str">
        <f>AV88</f>
        <v>Grants / Conts</v>
      </c>
      <c r="AW174" s="313" t="str">
        <f>AW88</f>
        <v>Sec 94</v>
      </c>
      <c r="AX174" s="313" t="str">
        <f>AX88</f>
        <v>Loans</v>
      </c>
      <c r="AY174" s="313" t="str">
        <f>AY88</f>
        <v>Reserves</v>
      </c>
      <c r="AZ174" s="316" t="str">
        <f>AZ88</f>
        <v>General Revenue</v>
      </c>
      <c r="BA174" s="313" t="str">
        <f>BA88</f>
        <v>Grants / Conts</v>
      </c>
      <c r="BB174" s="313" t="str">
        <f>BB88</f>
        <v>Sec 94</v>
      </c>
      <c r="BC174" s="313" t="str">
        <f>BC88</f>
        <v>Loans</v>
      </c>
      <c r="BD174" s="313" t="str">
        <f>BD88</f>
        <v>Reserves</v>
      </c>
      <c r="BE174" s="316" t="str">
        <f>BE88</f>
        <v>General Revenue</v>
      </c>
      <c r="BF174" s="313" t="str">
        <f>BF88</f>
        <v>Grants / Conts</v>
      </c>
      <c r="BG174" s="313" t="str">
        <f>BG88</f>
        <v>Sec 94</v>
      </c>
      <c r="BH174" s="313" t="str">
        <f>BH88</f>
        <v>Loans</v>
      </c>
      <c r="BI174" s="313" t="str">
        <f>BI88</f>
        <v>Reserves</v>
      </c>
      <c r="BJ174" s="316" t="str">
        <f>BJ88</f>
        <v>General Revenue</v>
      </c>
      <c r="BK174" s="313" t="str">
        <f>BK88</f>
        <v>Grants / Conts</v>
      </c>
      <c r="BL174" s="313" t="str">
        <f>BL88</f>
        <v>Sec 94</v>
      </c>
      <c r="BM174" s="313" t="str">
        <f>BM88</f>
        <v>Loans</v>
      </c>
      <c r="BN174" s="313" t="str">
        <f>BN88</f>
        <v>Reserves</v>
      </c>
      <c r="BO174" s="316" t="str">
        <f>BO88</f>
        <v>General Revenue</v>
      </c>
      <c r="BP174" s="313" t="str">
        <f>BP88</f>
        <v>Grants / Conts</v>
      </c>
      <c r="BQ174" s="313" t="str">
        <f>BQ88</f>
        <v>Sec 94</v>
      </c>
      <c r="BR174" s="313" t="str">
        <f>BR88</f>
        <v>Loans</v>
      </c>
      <c r="BS174" s="313" t="str">
        <f>BS88</f>
        <v>Reserves</v>
      </c>
      <c r="BT174" s="316" t="str">
        <f>BT88</f>
        <v>General Revenue</v>
      </c>
      <c r="BU174" s="313" t="str">
        <f>BU88</f>
        <v>Grants / Conts</v>
      </c>
      <c r="BV174" s="313" t="str">
        <f>BV88</f>
        <v>Sec 94</v>
      </c>
      <c r="BW174" s="313" t="str">
        <f>BW88</f>
        <v>Loans</v>
      </c>
      <c r="BX174" s="313" t="str">
        <f>BX88</f>
        <v>Reserves</v>
      </c>
      <c r="BY174" s="316" t="str">
        <f>BY88</f>
        <v>General Revenue</v>
      </c>
      <c r="BZ174" s="313" t="str">
        <f>BZ88</f>
        <v>Grants / Conts</v>
      </c>
      <c r="CA174" s="313" t="str">
        <f>CA88</f>
        <v>Sec 94</v>
      </c>
      <c r="CB174" s="313" t="str">
        <f>CB88</f>
        <v>Loans</v>
      </c>
      <c r="CC174" s="313" t="str">
        <f>CC88</f>
        <v>Reserves</v>
      </c>
      <c r="CD174" s="1119" t="str">
        <f>CD88</f>
        <v>General Revenue</v>
      </c>
      <c r="CE174" s="1405"/>
      <c r="CF174" s="538"/>
      <c r="CG174" s="538"/>
      <c r="CH174" s="538"/>
      <c r="CI174" s="538"/>
      <c r="CJ174" s="538"/>
      <c r="CK174" s="538"/>
      <c r="CL174" s="538"/>
      <c r="CM174" s="538"/>
      <c r="CN174" s="538"/>
      <c r="CO174" s="538"/>
      <c r="CP174" s="538"/>
      <c r="CQ174" s="538"/>
      <c r="CR174" s="538"/>
      <c r="CS174" s="350"/>
      <c r="DE174" s="61"/>
    </row>
    <row r="175" spans="1:109" x14ac:dyDescent="0.2">
      <c r="A175" s="295"/>
      <c r="B175" s="1361"/>
      <c r="C175" s="1339"/>
      <c r="D175" s="1386"/>
      <c r="E175" s="133"/>
      <c r="F175" s="9"/>
      <c r="G175" s="9"/>
      <c r="H175" s="9"/>
      <c r="I175" s="116"/>
      <c r="J175" s="46"/>
      <c r="K175" s="29"/>
      <c r="L175" s="29"/>
      <c r="M175" s="9"/>
      <c r="N175" s="9"/>
      <c r="O175" s="9"/>
      <c r="P175" s="9"/>
      <c r="Q175" s="49"/>
      <c r="R175" s="89"/>
      <c r="S175" s="9"/>
      <c r="T175" s="9"/>
      <c r="U175" s="9"/>
      <c r="V175" s="49"/>
      <c r="W175" s="133"/>
      <c r="X175" s="9"/>
      <c r="Y175" s="46"/>
      <c r="Z175" s="9"/>
      <c r="AA175" s="49"/>
      <c r="AB175" s="133"/>
      <c r="AC175" s="9"/>
      <c r="AD175" s="9"/>
      <c r="AE175" s="9"/>
      <c r="AF175" s="49"/>
      <c r="AG175" s="89"/>
      <c r="AH175" s="9"/>
      <c r="AI175" s="9"/>
      <c r="AJ175" s="9"/>
      <c r="AK175" s="49"/>
      <c r="AL175" s="89"/>
      <c r="AM175" s="9"/>
      <c r="AN175" s="9"/>
      <c r="AO175" s="9"/>
      <c r="AP175" s="49"/>
      <c r="AQ175" s="89"/>
      <c r="AR175" s="9"/>
      <c r="AS175" s="9"/>
      <c r="AT175" s="9"/>
      <c r="AU175" s="61"/>
      <c r="AW175" s="9"/>
      <c r="AX175" s="9"/>
      <c r="AY175" s="9"/>
      <c r="AZ175" s="49"/>
      <c r="BA175" s="89"/>
      <c r="BB175" s="9"/>
      <c r="BC175" s="9"/>
      <c r="BD175" s="9"/>
      <c r="BE175" s="49"/>
      <c r="BF175" s="89"/>
      <c r="BG175" s="9"/>
      <c r="BH175" s="9"/>
      <c r="BI175" s="9"/>
      <c r="BJ175" s="49"/>
      <c r="BK175" s="89"/>
      <c r="BL175" s="9"/>
      <c r="BM175" s="9"/>
      <c r="BN175" s="9"/>
      <c r="BO175" s="49"/>
      <c r="BP175" s="89"/>
      <c r="BQ175" s="9"/>
      <c r="BR175" s="9"/>
      <c r="BS175" s="9"/>
      <c r="BT175" s="49"/>
      <c r="BU175" s="89"/>
      <c r="BV175" s="9"/>
      <c r="BW175" s="9"/>
      <c r="BX175" s="9"/>
      <c r="BY175" s="49"/>
      <c r="BZ175" s="89"/>
      <c r="CA175" s="9"/>
      <c r="CB175" s="9"/>
      <c r="CC175" s="9"/>
      <c r="CE175" s="1405"/>
      <c r="CF175" s="538"/>
      <c r="CG175" s="538"/>
      <c r="CH175" s="538"/>
      <c r="CI175" s="538"/>
      <c r="CJ175" s="538"/>
      <c r="CK175" s="538"/>
      <c r="CL175" s="538"/>
      <c r="CM175" s="538"/>
      <c r="CN175" s="538"/>
      <c r="CO175" s="538"/>
      <c r="CP175" s="538"/>
      <c r="CQ175" s="538"/>
      <c r="CR175" s="538"/>
      <c r="CS175" s="350"/>
      <c r="CT175" s="46"/>
      <c r="CU175" s="46"/>
      <c r="CV175" s="46"/>
      <c r="CW175" s="46"/>
      <c r="CX175" s="46"/>
      <c r="CY175" s="46"/>
      <c r="CZ175" s="46"/>
      <c r="DA175" s="46"/>
      <c r="DB175" s="46"/>
      <c r="DC175" s="46"/>
      <c r="DD175" s="46"/>
      <c r="DE175" s="61"/>
    </row>
    <row r="176" spans="1:109" x14ac:dyDescent="0.2">
      <c r="A176" s="295" t="s">
        <v>4729</v>
      </c>
      <c r="B176" s="1361"/>
      <c r="C176" s="1339"/>
      <c r="D176" s="1386"/>
      <c r="E176" s="133"/>
      <c r="F176" s="9"/>
      <c r="G176" s="9"/>
      <c r="H176" s="9"/>
      <c r="I176" s="9"/>
      <c r="J176" s="9"/>
      <c r="K176" s="9"/>
      <c r="L176" s="46"/>
      <c r="M176" s="9"/>
      <c r="N176" s="9"/>
      <c r="O176" s="9"/>
      <c r="P176" s="9"/>
      <c r="Q176" s="49"/>
      <c r="R176" s="89"/>
      <c r="S176" s="9"/>
      <c r="T176" s="9"/>
      <c r="U176" s="9"/>
      <c r="V176" s="49"/>
      <c r="W176" s="133"/>
      <c r="X176" s="9"/>
      <c r="Y176" s="46"/>
      <c r="Z176" s="9"/>
      <c r="AA176" s="49"/>
      <c r="AB176" s="133"/>
      <c r="AC176" s="9"/>
      <c r="AD176" s="9"/>
      <c r="AE176" s="9"/>
      <c r="AF176" s="49"/>
      <c r="AG176" s="89"/>
      <c r="AH176" s="9"/>
      <c r="AI176" s="9"/>
      <c r="AJ176" s="9"/>
      <c r="AK176" s="49"/>
      <c r="AL176" s="89"/>
      <c r="AM176" s="9"/>
      <c r="AN176" s="9"/>
      <c r="AO176" s="9"/>
      <c r="AP176" s="49"/>
      <c r="AQ176" s="89"/>
      <c r="AR176" s="9"/>
      <c r="AS176" s="9"/>
      <c r="AT176" s="9"/>
      <c r="AU176" s="61"/>
      <c r="AW176" s="9"/>
      <c r="AX176" s="9"/>
      <c r="AY176" s="9"/>
      <c r="AZ176" s="49"/>
      <c r="BA176" s="89"/>
      <c r="BB176" s="9"/>
      <c r="BC176" s="9"/>
      <c r="BD176" s="9"/>
      <c r="BE176" s="49"/>
      <c r="BF176" s="89"/>
      <c r="BG176" s="9"/>
      <c r="BH176" s="9"/>
      <c r="BI176" s="9"/>
      <c r="BJ176" s="49"/>
      <c r="BK176" s="89"/>
      <c r="BL176" s="9"/>
      <c r="BM176" s="9"/>
      <c r="BN176" s="9"/>
      <c r="BO176" s="49"/>
      <c r="BP176" s="89"/>
      <c r="BQ176" s="9"/>
      <c r="BR176" s="9"/>
      <c r="BS176" s="9"/>
      <c r="BT176" s="49"/>
      <c r="BU176" s="89"/>
      <c r="BV176" s="9"/>
      <c r="BW176" s="9"/>
      <c r="BX176" s="9"/>
      <c r="BY176" s="49"/>
      <c r="BZ176" s="89"/>
      <c r="CA176" s="9"/>
      <c r="CB176" s="9"/>
      <c r="CC176" s="9"/>
      <c r="CE176" s="1405"/>
      <c r="CF176" s="538"/>
      <c r="CG176" s="538"/>
      <c r="CH176" s="538"/>
      <c r="CI176" s="538"/>
      <c r="CJ176" s="538"/>
      <c r="CK176" s="538"/>
      <c r="CL176" s="538"/>
      <c r="CM176" s="538"/>
      <c r="CN176" s="538"/>
      <c r="CO176" s="538"/>
      <c r="CP176" s="538"/>
      <c r="CQ176" s="538"/>
      <c r="CR176" s="538"/>
      <c r="CS176" s="350"/>
      <c r="CT176" s="46"/>
      <c r="CU176" s="46"/>
      <c r="CV176" s="46"/>
      <c r="CW176" s="46"/>
      <c r="CX176" s="46"/>
      <c r="CY176" s="46"/>
      <c r="CZ176" s="46"/>
      <c r="DA176" s="46"/>
      <c r="DB176" s="46"/>
      <c r="DC176" s="46"/>
      <c r="DD176" s="46"/>
      <c r="DE176" s="61"/>
    </row>
    <row r="177" spans="1:109" x14ac:dyDescent="0.2">
      <c r="A177" s="296"/>
      <c r="B177" s="1269"/>
      <c r="C177" s="1337"/>
      <c r="D177" s="1333"/>
      <c r="E177" s="133"/>
      <c r="F177" s="9"/>
      <c r="G177" s="9"/>
      <c r="H177" s="9"/>
      <c r="I177" s="29"/>
      <c r="J177" s="29"/>
      <c r="K177" s="29"/>
      <c r="L177" s="9"/>
      <c r="M177" s="89"/>
      <c r="N177" s="9"/>
      <c r="O177" s="9"/>
      <c r="P177" s="9"/>
      <c r="Q177" s="49"/>
      <c r="R177" s="89"/>
      <c r="S177" s="9"/>
      <c r="T177" s="9"/>
      <c r="U177" s="9"/>
      <c r="V177" s="49"/>
      <c r="W177" s="133"/>
      <c r="X177" s="9"/>
      <c r="Y177" s="46"/>
      <c r="Z177" s="9"/>
      <c r="AA177" s="46">
        <f t="shared" ref="AA177:AA217" si="604">F177-W177-X177-Y177-Z177</f>
        <v>0</v>
      </c>
      <c r="AB177" s="133"/>
      <c r="AC177" s="9"/>
      <c r="AD177" s="9"/>
      <c r="AE177" s="9"/>
      <c r="AF177" s="49"/>
      <c r="AG177" s="89"/>
      <c r="AH177" s="9"/>
      <c r="AI177" s="9"/>
      <c r="AJ177" s="9"/>
      <c r="AK177" s="49"/>
      <c r="AL177" s="89"/>
      <c r="AM177" s="9"/>
      <c r="AN177" s="9"/>
      <c r="AO177" s="9"/>
      <c r="AP177" s="49"/>
      <c r="AQ177" s="89"/>
      <c r="AR177" s="9"/>
      <c r="AS177" s="9"/>
      <c r="AT177" s="9"/>
      <c r="AU177" s="61"/>
      <c r="AW177" s="9"/>
      <c r="AX177" s="9"/>
      <c r="AY177" s="9"/>
      <c r="AZ177" s="49"/>
      <c r="BA177" s="89"/>
      <c r="BB177" s="9"/>
      <c r="BC177" s="9"/>
      <c r="BD177" s="9"/>
      <c r="BE177" s="49"/>
      <c r="BF177" s="89"/>
      <c r="BG177" s="9"/>
      <c r="BH177" s="9"/>
      <c r="BI177" s="9"/>
      <c r="BJ177" s="49"/>
      <c r="BK177" s="89"/>
      <c r="BL177" s="9"/>
      <c r="BM177" s="9"/>
      <c r="BN177" s="9"/>
      <c r="BO177" s="49"/>
      <c r="BP177" s="89"/>
      <c r="BQ177" s="9"/>
      <c r="BR177" s="9"/>
      <c r="BS177" s="9"/>
      <c r="BT177" s="49"/>
      <c r="BU177" s="89"/>
      <c r="BV177" s="9"/>
      <c r="BW177" s="9"/>
      <c r="BX177" s="9"/>
      <c r="BY177" s="49"/>
      <c r="BZ177" s="89"/>
      <c r="CA177" s="9"/>
      <c r="CB177" s="9"/>
      <c r="CC177" s="9"/>
      <c r="CE177" s="1406"/>
      <c r="CF177" s="833"/>
      <c r="CG177" s="833"/>
      <c r="CH177" s="833"/>
      <c r="CI177" s="833"/>
      <c r="CJ177" s="833"/>
      <c r="CK177" s="833"/>
      <c r="CL177" s="833"/>
      <c r="CM177" s="833"/>
      <c r="CN177" s="833"/>
      <c r="CO177" s="833"/>
      <c r="CP177" s="833"/>
      <c r="CQ177" s="833"/>
      <c r="CR177" s="833"/>
      <c r="CS177" s="350"/>
      <c r="CT177" s="46"/>
      <c r="CU177" s="46"/>
      <c r="CV177" s="46"/>
      <c r="CW177" s="46"/>
      <c r="CX177" s="46"/>
      <c r="CY177" s="46"/>
      <c r="CZ177" s="46"/>
      <c r="DA177" s="46"/>
      <c r="DB177" s="46"/>
      <c r="DC177" s="46"/>
      <c r="DD177" s="46"/>
      <c r="DE177" s="61"/>
    </row>
    <row r="178" spans="1:109" x14ac:dyDescent="0.2">
      <c r="A178" s="413" t="s">
        <v>5505</v>
      </c>
      <c r="B178" s="1360"/>
      <c r="C178" s="1338"/>
      <c r="D178" s="1333"/>
      <c r="E178" s="133"/>
      <c r="F178" s="9"/>
      <c r="G178" s="9"/>
      <c r="H178" s="9"/>
      <c r="I178" s="29"/>
      <c r="J178" s="29"/>
      <c r="K178" s="29"/>
      <c r="L178" s="9"/>
      <c r="M178" s="89"/>
      <c r="N178" s="9"/>
      <c r="O178" s="9"/>
      <c r="P178" s="9"/>
      <c r="Q178" s="49"/>
      <c r="R178" s="89"/>
      <c r="S178" s="9"/>
      <c r="T178" s="9"/>
      <c r="U178" s="9"/>
      <c r="V178" s="49"/>
      <c r="W178" s="133"/>
      <c r="X178" s="9"/>
      <c r="Y178" s="46"/>
      <c r="Z178" s="9"/>
      <c r="AA178" s="46">
        <f t="shared" si="604"/>
        <v>0</v>
      </c>
      <c r="AB178" s="133"/>
      <c r="AC178" s="9"/>
      <c r="AD178" s="9"/>
      <c r="AE178" s="9"/>
      <c r="AF178" s="49"/>
      <c r="AG178" s="89"/>
      <c r="AH178" s="9"/>
      <c r="AI178" s="9"/>
      <c r="AJ178" s="9"/>
      <c r="AK178" s="49"/>
      <c r="AL178" s="89"/>
      <c r="AM178" s="9"/>
      <c r="AN178" s="9"/>
      <c r="AO178" s="9"/>
      <c r="AP178" s="49"/>
      <c r="AQ178" s="89"/>
      <c r="AR178" s="9"/>
      <c r="AS178" s="9"/>
      <c r="AT178" s="9"/>
      <c r="AU178" s="61"/>
      <c r="AW178" s="9"/>
      <c r="AX178" s="9"/>
      <c r="AY178" s="9"/>
      <c r="AZ178" s="49"/>
      <c r="BA178" s="89"/>
      <c r="BB178" s="9"/>
      <c r="BC178" s="9"/>
      <c r="BD178" s="9"/>
      <c r="BE178" s="49"/>
      <c r="BF178" s="89"/>
      <c r="BG178" s="9"/>
      <c r="BH178" s="9"/>
      <c r="BI178" s="9"/>
      <c r="BJ178" s="49"/>
      <c r="BK178" s="89"/>
      <c r="BL178" s="9"/>
      <c r="BM178" s="9"/>
      <c r="BN178" s="9"/>
      <c r="BO178" s="49"/>
      <c r="BP178" s="89"/>
      <c r="BQ178" s="9"/>
      <c r="BR178" s="9"/>
      <c r="BS178" s="9"/>
      <c r="BT178" s="49"/>
      <c r="BU178" s="89"/>
      <c r="BV178" s="9"/>
      <c r="BW178" s="9"/>
      <c r="BX178" s="9"/>
      <c r="BY178" s="49"/>
      <c r="BZ178" s="89"/>
      <c r="CA178" s="9"/>
      <c r="CB178" s="9"/>
      <c r="CC178" s="9"/>
      <c r="CE178" s="1405"/>
      <c r="CF178" s="538"/>
      <c r="CG178" s="538"/>
      <c r="CH178" s="538"/>
      <c r="CI178" s="538"/>
      <c r="CJ178" s="538"/>
      <c r="CK178" s="538"/>
      <c r="CL178" s="538"/>
      <c r="CM178" s="538"/>
      <c r="CN178" s="538"/>
      <c r="CO178" s="538"/>
      <c r="CP178" s="538"/>
      <c r="CQ178" s="538"/>
      <c r="CR178" s="538"/>
      <c r="CS178" s="350"/>
      <c r="CT178" s="46"/>
      <c r="CU178" s="46"/>
      <c r="CV178" s="46"/>
      <c r="CW178" s="46"/>
      <c r="CX178" s="46"/>
      <c r="CY178" s="46"/>
      <c r="CZ178" s="46"/>
      <c r="DA178" s="46"/>
      <c r="DB178" s="46"/>
      <c r="DC178" s="46"/>
      <c r="DD178" s="46"/>
      <c r="DE178" s="61"/>
    </row>
    <row r="179" spans="1:109" x14ac:dyDescent="0.2">
      <c r="A179" s="615" t="s">
        <v>5945</v>
      </c>
      <c r="B179" s="1368" t="s">
        <v>1422</v>
      </c>
      <c r="C179" s="1335" t="s">
        <v>4959</v>
      </c>
      <c r="D179" s="1333" t="s">
        <v>1422</v>
      </c>
      <c r="E179" s="350">
        <v>15200</v>
      </c>
      <c r="F179" s="29">
        <v>29600</v>
      </c>
      <c r="G179" s="9">
        <v>25000</v>
      </c>
      <c r="H179" s="9">
        <f>ROUND((G179*Assumptions!I$6+G179),-3)</f>
        <v>26000</v>
      </c>
      <c r="I179" s="29">
        <f>ROUND((H179*Assumptions!J$6+H179),-3)</f>
        <v>27000</v>
      </c>
      <c r="J179" s="29">
        <f>ROUND((I179*Assumptions!K$6+I179),-3)</f>
        <v>28000</v>
      </c>
      <c r="K179" s="9">
        <f>ROUND((J179*Assumptions!L$6+J179),-3)</f>
        <v>29000</v>
      </c>
      <c r="L179" s="9">
        <f>ROUND((K179*Assumptions!M$6+K179),-3)</f>
        <v>30000</v>
      </c>
      <c r="M179" s="89">
        <f>ROUND((L179*Assumptions!N$6+L179),-3)</f>
        <v>31000</v>
      </c>
      <c r="N179" s="9">
        <f>ROUND((M179*Assumptions!O$6+M179),-3)</f>
        <v>32000</v>
      </c>
      <c r="O179" s="9">
        <f>ROUND((N179*Assumptions!P$6+N179),-3)</f>
        <v>33000</v>
      </c>
      <c r="P179" s="9">
        <f>ROUND((O179*Assumptions!Q$6+O179),-3)</f>
        <v>34000</v>
      </c>
      <c r="Q179" s="49">
        <f>ROUND((P179*Assumptions!R$6+P179),-3)</f>
        <v>35000</v>
      </c>
      <c r="R179" s="89"/>
      <c r="S179" s="9"/>
      <c r="T179" s="9"/>
      <c r="U179" s="9"/>
      <c r="V179" s="49">
        <f t="shared" ref="V179:V190" si="605">E179-R179-S179-T179-U179</f>
        <v>15200</v>
      </c>
      <c r="W179" s="133"/>
      <c r="X179" s="9"/>
      <c r="Y179" s="46"/>
      <c r="Z179" s="9"/>
      <c r="AA179" s="46">
        <f t="shared" si="604"/>
        <v>29600</v>
      </c>
      <c r="AB179" s="133"/>
      <c r="AC179" s="9"/>
      <c r="AD179" s="9"/>
      <c r="AE179" s="9"/>
      <c r="AF179" s="49">
        <f t="shared" ref="AF179:AF190" si="606">G179-AB179-AC179-AD179-AE179</f>
        <v>25000</v>
      </c>
      <c r="AG179" s="89"/>
      <c r="AH179" s="9"/>
      <c r="AI179" s="9"/>
      <c r="AJ179" s="9"/>
      <c r="AK179" s="49">
        <f t="shared" ref="AK179:AK190" si="607">H179-AG179-AH179-AI179-AJ179</f>
        <v>26000</v>
      </c>
      <c r="AL179" s="89"/>
      <c r="AM179" s="9"/>
      <c r="AN179" s="9"/>
      <c r="AO179" s="9"/>
      <c r="AP179" s="49">
        <f t="shared" ref="AP179:AP190" si="608">I179-AL179-AM179-AN179-AO179</f>
        <v>27000</v>
      </c>
      <c r="AQ179" s="89"/>
      <c r="AR179" s="9"/>
      <c r="AS179" s="9"/>
      <c r="AT179" s="9"/>
      <c r="AU179" s="61">
        <f t="shared" ref="AU179:AU190" si="609">J179-AQ179-AR179-AS179-AT179</f>
        <v>28000</v>
      </c>
      <c r="AW179" s="9"/>
      <c r="AX179" s="9"/>
      <c r="AY179" s="9"/>
      <c r="AZ179" s="49">
        <f>K179-AV179-AW179-AX179-AY179</f>
        <v>29000</v>
      </c>
      <c r="BA179" s="89"/>
      <c r="BB179" s="9"/>
      <c r="BC179" s="9"/>
      <c r="BD179" s="9"/>
      <c r="BE179" s="49">
        <f>L179-BA179-BB179-BC179-BD179</f>
        <v>30000</v>
      </c>
      <c r="BF179" s="89"/>
      <c r="BG179" s="9"/>
      <c r="BH179" s="9"/>
      <c r="BI179" s="9"/>
      <c r="BJ179" s="49">
        <f>M179-BF179-BG179-BH179-BI179</f>
        <v>31000</v>
      </c>
      <c r="BK179" s="89"/>
      <c r="BL179" s="9"/>
      <c r="BM179" s="9"/>
      <c r="BN179" s="9"/>
      <c r="BO179" s="49">
        <f>N179-BK179-BL179-BM179-BN179</f>
        <v>32000</v>
      </c>
      <c r="BP179" s="89"/>
      <c r="BQ179" s="9"/>
      <c r="BR179" s="9"/>
      <c r="BS179" s="9"/>
      <c r="BT179" s="49">
        <f t="shared" ref="BT179:BT190" si="610">O179-BP179-BQ179-BR179-BS179</f>
        <v>33000</v>
      </c>
      <c r="BU179" s="89"/>
      <c r="BV179" s="9"/>
      <c r="BW179" s="9"/>
      <c r="BX179" s="9"/>
      <c r="BY179" s="49">
        <f t="shared" ref="BY179:BY190" si="611">P179-BU179-BV179-BW179-BX179</f>
        <v>34000</v>
      </c>
      <c r="BZ179" s="89"/>
      <c r="CA179" s="9"/>
      <c r="CB179" s="9"/>
      <c r="CC179" s="9"/>
      <c r="CD179" s="46">
        <f t="shared" ref="CD179:CD185" si="612">Q179-BZ179-CA179-CB179-CC179</f>
        <v>35000</v>
      </c>
      <c r="CE179" s="1406">
        <v>1</v>
      </c>
      <c r="CF179" s="833">
        <f t="shared" ref="CF179:CN179" si="613">CE179</f>
        <v>1</v>
      </c>
      <c r="CG179" s="833">
        <f t="shared" si="613"/>
        <v>1</v>
      </c>
      <c r="CH179" s="833">
        <f t="shared" si="613"/>
        <v>1</v>
      </c>
      <c r="CI179" s="833">
        <f t="shared" si="613"/>
        <v>1</v>
      </c>
      <c r="CJ179" s="833">
        <f t="shared" si="613"/>
        <v>1</v>
      </c>
      <c r="CK179" s="833">
        <f t="shared" si="613"/>
        <v>1</v>
      </c>
      <c r="CL179" s="833">
        <f t="shared" si="613"/>
        <v>1</v>
      </c>
      <c r="CM179" s="833">
        <f t="shared" si="613"/>
        <v>1</v>
      </c>
      <c r="CN179" s="833">
        <f t="shared" si="613"/>
        <v>1</v>
      </c>
      <c r="CO179" s="833">
        <f t="shared" ref="CO179:CQ183" si="614">CN179</f>
        <v>1</v>
      </c>
      <c r="CP179" s="833">
        <f t="shared" si="614"/>
        <v>1</v>
      </c>
      <c r="CQ179" s="833">
        <f t="shared" si="614"/>
        <v>1</v>
      </c>
      <c r="CR179" s="833"/>
      <c r="CS179" s="1125">
        <f t="shared" ref="CS179:CS190" si="615">ROUND(CE179*E179,-3)</f>
        <v>15000</v>
      </c>
      <c r="CT179" s="31">
        <f t="shared" ref="CT179:CT190" si="616">ROUND(CF179*F179,-3)</f>
        <v>30000</v>
      </c>
      <c r="CU179" s="31">
        <f t="shared" ref="CU179:CU190" si="617">ROUND(CG179*G179,-3)</f>
        <v>25000</v>
      </c>
      <c r="CV179" s="31">
        <f t="shared" ref="CV179:CV190" si="618">ROUND(CH179*H179,-3)</f>
        <v>26000</v>
      </c>
      <c r="CW179" s="31">
        <f t="shared" ref="CW179:CW190" si="619">ROUND(CI179*I179,-3)</f>
        <v>27000</v>
      </c>
      <c r="CX179" s="31">
        <f t="shared" ref="CX179:CX190" si="620">ROUND(CJ179*J179,-3)</f>
        <v>28000</v>
      </c>
      <c r="CY179" s="31">
        <f t="shared" ref="CY179:CY190" si="621">ROUND(CK179*K179,-3)</f>
        <v>29000</v>
      </c>
      <c r="CZ179" s="31">
        <f t="shared" ref="CZ179:CZ190" si="622">ROUND(CL179*L179,-3)</f>
        <v>30000</v>
      </c>
      <c r="DA179" s="31">
        <f t="shared" ref="DA179:DA190" si="623">ROUND(CM179*M179,-3)</f>
        <v>31000</v>
      </c>
      <c r="DB179" s="31">
        <f t="shared" ref="DB179:DB190" si="624">ROUND(CN179*N179,-3)</f>
        <v>32000</v>
      </c>
      <c r="DC179" s="31">
        <f t="shared" ref="DC179:DC190" si="625">ROUND(CO179*O179,-3)</f>
        <v>33000</v>
      </c>
      <c r="DD179" s="31">
        <f t="shared" ref="DD179:DE190" si="626">ROUND(CP179*P179,-3)</f>
        <v>34000</v>
      </c>
      <c r="DE179" s="78">
        <f t="shared" si="626"/>
        <v>35000</v>
      </c>
    </row>
    <row r="180" spans="1:109" ht="12.75" customHeight="1" x14ac:dyDescent="0.2">
      <c r="A180" s="615" t="s">
        <v>4398</v>
      </c>
      <c r="B180" s="1354" t="s">
        <v>5049</v>
      </c>
      <c r="C180" s="1331" t="s">
        <v>4800</v>
      </c>
      <c r="D180" s="1333"/>
      <c r="E180" s="133">
        <v>79500</v>
      </c>
      <c r="F180" s="9"/>
      <c r="G180" s="9"/>
      <c r="H180" s="9"/>
      <c r="I180" s="9"/>
      <c r="J180" s="9"/>
      <c r="K180" s="9"/>
      <c r="L180" s="9"/>
      <c r="M180" s="89"/>
      <c r="N180" s="9"/>
      <c r="O180" s="9"/>
      <c r="P180" s="9"/>
      <c r="Q180" s="49"/>
      <c r="R180" s="89"/>
      <c r="S180" s="9"/>
      <c r="T180" s="9"/>
      <c r="U180" s="9">
        <v>66400</v>
      </c>
      <c r="V180" s="49">
        <f t="shared" si="605"/>
        <v>13100</v>
      </c>
      <c r="W180" s="133"/>
      <c r="X180" s="9"/>
      <c r="Y180" s="46"/>
      <c r="Z180" s="9"/>
      <c r="AA180" s="46">
        <f t="shared" si="604"/>
        <v>0</v>
      </c>
      <c r="AB180" s="133"/>
      <c r="AC180" s="9"/>
      <c r="AD180" s="9"/>
      <c r="AE180" s="9"/>
      <c r="AF180" s="49">
        <f t="shared" si="606"/>
        <v>0</v>
      </c>
      <c r="AG180" s="89"/>
      <c r="AH180" s="9"/>
      <c r="AI180" s="9"/>
      <c r="AJ180" s="9"/>
      <c r="AK180" s="49">
        <f t="shared" si="607"/>
        <v>0</v>
      </c>
      <c r="AL180" s="89"/>
      <c r="AM180" s="9"/>
      <c r="AN180" s="9"/>
      <c r="AO180" s="9"/>
      <c r="AP180" s="49">
        <f t="shared" si="608"/>
        <v>0</v>
      </c>
      <c r="AQ180" s="89"/>
      <c r="AR180" s="9"/>
      <c r="AS180" s="9"/>
      <c r="AT180" s="9"/>
      <c r="AU180" s="61">
        <f t="shared" si="609"/>
        <v>0</v>
      </c>
      <c r="AW180" s="9"/>
      <c r="AX180" s="9"/>
      <c r="AY180" s="9"/>
      <c r="AZ180" s="49"/>
      <c r="BA180" s="89"/>
      <c r="BB180" s="9"/>
      <c r="BC180" s="9"/>
      <c r="BD180" s="9"/>
      <c r="BE180" s="49"/>
      <c r="BF180" s="89"/>
      <c r="BG180" s="9"/>
      <c r="BH180" s="9"/>
      <c r="BI180" s="9"/>
      <c r="BJ180" s="49"/>
      <c r="BK180" s="89"/>
      <c r="BL180" s="9"/>
      <c r="BM180" s="9"/>
      <c r="BN180" s="9"/>
      <c r="BO180" s="49"/>
      <c r="BP180" s="89"/>
      <c r="BQ180" s="9"/>
      <c r="BR180" s="9"/>
      <c r="BS180" s="9"/>
      <c r="BT180" s="49">
        <f t="shared" si="610"/>
        <v>0</v>
      </c>
      <c r="BU180" s="89"/>
      <c r="BV180" s="9"/>
      <c r="BW180" s="9"/>
      <c r="BX180" s="9"/>
      <c r="BY180" s="49">
        <f t="shared" si="611"/>
        <v>0</v>
      </c>
      <c r="BZ180" s="89"/>
      <c r="CA180" s="9"/>
      <c r="CB180" s="9"/>
      <c r="CC180" s="9"/>
      <c r="CD180" s="46">
        <f t="shared" si="612"/>
        <v>0</v>
      </c>
      <c r="CE180" s="1406">
        <v>0</v>
      </c>
      <c r="CF180" s="833">
        <f t="shared" ref="CF180" si="627">CE180</f>
        <v>0</v>
      </c>
      <c r="CG180" s="833">
        <f t="shared" ref="CG180" si="628">CF180</f>
        <v>0</v>
      </c>
      <c r="CH180" s="833">
        <f t="shared" ref="CH180" si="629">CG180</f>
        <v>0</v>
      </c>
      <c r="CI180" s="833">
        <f t="shared" ref="CI180" si="630">CH180</f>
        <v>0</v>
      </c>
      <c r="CJ180" s="833">
        <f t="shared" ref="CJ180" si="631">CI180</f>
        <v>0</v>
      </c>
      <c r="CK180" s="833">
        <f t="shared" ref="CK180" si="632">CJ180</f>
        <v>0</v>
      </c>
      <c r="CL180" s="833">
        <f t="shared" ref="CL180" si="633">CK180</f>
        <v>0</v>
      </c>
      <c r="CM180" s="833">
        <f t="shared" ref="CM180:CN180" si="634">CL180</f>
        <v>0</v>
      </c>
      <c r="CN180" s="833">
        <f t="shared" si="634"/>
        <v>0</v>
      </c>
      <c r="CO180" s="833">
        <f t="shared" si="614"/>
        <v>0</v>
      </c>
      <c r="CP180" s="833">
        <f t="shared" si="614"/>
        <v>0</v>
      </c>
      <c r="CQ180" s="833">
        <f t="shared" si="614"/>
        <v>0</v>
      </c>
      <c r="CR180" s="833"/>
      <c r="CS180" s="1125">
        <f t="shared" si="615"/>
        <v>0</v>
      </c>
      <c r="CT180" s="31">
        <f t="shared" si="616"/>
        <v>0</v>
      </c>
      <c r="CU180" s="31">
        <f t="shared" si="617"/>
        <v>0</v>
      </c>
      <c r="CV180" s="31">
        <f t="shared" si="618"/>
        <v>0</v>
      </c>
      <c r="CW180" s="31">
        <f t="shared" si="619"/>
        <v>0</v>
      </c>
      <c r="CX180" s="31">
        <f t="shared" si="620"/>
        <v>0</v>
      </c>
      <c r="CY180" s="31">
        <f t="shared" si="621"/>
        <v>0</v>
      </c>
      <c r="CZ180" s="31">
        <f t="shared" si="622"/>
        <v>0</v>
      </c>
      <c r="DA180" s="31">
        <f t="shared" si="623"/>
        <v>0</v>
      </c>
      <c r="DB180" s="31">
        <f t="shared" si="624"/>
        <v>0</v>
      </c>
      <c r="DC180" s="31">
        <f t="shared" si="625"/>
        <v>0</v>
      </c>
      <c r="DD180" s="31">
        <f t="shared" si="626"/>
        <v>0</v>
      </c>
      <c r="DE180" s="78">
        <f t="shared" si="626"/>
        <v>0</v>
      </c>
    </row>
    <row r="181" spans="1:109" x14ac:dyDescent="0.2">
      <c r="A181" s="615" t="s">
        <v>7087</v>
      </c>
      <c r="B181" s="1356" t="s">
        <v>1287</v>
      </c>
      <c r="C181" s="1337"/>
      <c r="D181" s="1331" t="s">
        <v>5046</v>
      </c>
      <c r="E181" s="1125">
        <f>300400+23800</f>
        <v>324200</v>
      </c>
      <c r="F181" s="9">
        <f>+F498-F185-F188</f>
        <v>171700</v>
      </c>
      <c r="G181" s="9">
        <f>168000+34000+80500</f>
        <v>282500</v>
      </c>
      <c r="H181" s="9">
        <f>ROUND((G181*Assumptions!I$6+G181),-3)-35000</f>
        <v>259000</v>
      </c>
      <c r="I181" s="29">
        <f>ROUND((H181*Assumptions!J$6+H181),-3)</f>
        <v>269000</v>
      </c>
      <c r="J181" s="29">
        <f>ROUND((I181*Assumptions!K$6+I181),-3)</f>
        <v>276000</v>
      </c>
      <c r="K181" s="9">
        <f>ROUND((J181*Assumptions!L$6+J181),-3)</f>
        <v>283000</v>
      </c>
      <c r="L181" s="9">
        <f>ROUND((K181*Assumptions!M$6+K181),-3)</f>
        <v>290000</v>
      </c>
      <c r="M181" s="89">
        <f>ROUND((L181*Assumptions!N$6+L181),-3)</f>
        <v>297000</v>
      </c>
      <c r="N181" s="9">
        <f>ROUND((M181*Assumptions!O$6+M181),-3)</f>
        <v>304000</v>
      </c>
      <c r="O181" s="9">
        <f>ROUND((N181*Assumptions!P$6+N181),-3)</f>
        <v>312000</v>
      </c>
      <c r="P181" s="9">
        <f>ROUND((O181*Assumptions!Q$6+O181),-3)</f>
        <v>320000</v>
      </c>
      <c r="Q181" s="49">
        <f>ROUND((P181*Assumptions!R$6+P181),-3)</f>
        <v>328000</v>
      </c>
      <c r="R181" s="89"/>
      <c r="S181" s="9"/>
      <c r="T181" s="9"/>
      <c r="U181" s="9">
        <v>166400</v>
      </c>
      <c r="V181" s="49">
        <f>E181-R181-S181-T181-U181</f>
        <v>157800</v>
      </c>
      <c r="W181" s="133"/>
      <c r="X181" s="9"/>
      <c r="Y181" s="46"/>
      <c r="Z181" s="9">
        <v>43700</v>
      </c>
      <c r="AA181" s="46">
        <f t="shared" si="604"/>
        <v>128000</v>
      </c>
      <c r="AB181" s="133"/>
      <c r="AC181" s="9"/>
      <c r="AD181" s="9"/>
      <c r="AE181" s="9">
        <f>34000+80500</f>
        <v>114500</v>
      </c>
      <c r="AF181" s="49">
        <f>G181-AB181-AC181-AD181-AE181</f>
        <v>168000</v>
      </c>
      <c r="AG181" s="89"/>
      <c r="AH181" s="9"/>
      <c r="AI181" s="9"/>
      <c r="AJ181" s="9"/>
      <c r="AK181" s="49">
        <f>H181-AG181-AH181-AI181-AJ181</f>
        <v>259000</v>
      </c>
      <c r="AL181" s="89"/>
      <c r="AM181" s="9"/>
      <c r="AN181" s="9"/>
      <c r="AO181" s="9"/>
      <c r="AP181" s="49">
        <f t="shared" si="608"/>
        <v>269000</v>
      </c>
      <c r="AQ181" s="89"/>
      <c r="AR181" s="9"/>
      <c r="AS181" s="9"/>
      <c r="AT181" s="9"/>
      <c r="AU181" s="61">
        <f t="shared" si="609"/>
        <v>276000</v>
      </c>
      <c r="AW181" s="9"/>
      <c r="AX181" s="9"/>
      <c r="AY181" s="9"/>
      <c r="AZ181" s="49">
        <f>K181-AV181-AW181-AX181-AY181</f>
        <v>283000</v>
      </c>
      <c r="BA181" s="89"/>
      <c r="BB181" s="9"/>
      <c r="BC181" s="9"/>
      <c r="BD181" s="9"/>
      <c r="BE181" s="49">
        <f>L181-BA181-BB181-BC181-BD181</f>
        <v>290000</v>
      </c>
      <c r="BF181" s="89"/>
      <c r="BG181" s="9"/>
      <c r="BH181" s="9"/>
      <c r="BI181" s="9"/>
      <c r="BJ181" s="49">
        <f>M181-BF181-BG181-BH181-BI181</f>
        <v>297000</v>
      </c>
      <c r="BK181" s="89"/>
      <c r="BL181" s="9"/>
      <c r="BM181" s="9"/>
      <c r="BN181" s="9"/>
      <c r="BO181" s="49">
        <f>N181-BK181-BL181-BM181-BN181</f>
        <v>304000</v>
      </c>
      <c r="BP181" s="89"/>
      <c r="BQ181" s="9"/>
      <c r="BR181" s="9"/>
      <c r="BS181" s="9"/>
      <c r="BT181" s="49">
        <f>O181-BP181-BQ181-BR181-BS181</f>
        <v>312000</v>
      </c>
      <c r="BU181" s="89"/>
      <c r="BV181" s="9"/>
      <c r="BW181" s="9"/>
      <c r="BX181" s="9"/>
      <c r="BY181" s="49">
        <f>P181-BU181-BV181-BW181-BX181</f>
        <v>320000</v>
      </c>
      <c r="BZ181" s="89"/>
      <c r="CA181" s="9"/>
      <c r="CB181" s="9"/>
      <c r="CC181" s="9"/>
      <c r="CD181" s="46">
        <f t="shared" si="612"/>
        <v>328000</v>
      </c>
      <c r="CE181" s="1406">
        <v>1</v>
      </c>
      <c r="CF181" s="833">
        <f t="shared" ref="CF181:CN181" si="635">CE181</f>
        <v>1</v>
      </c>
      <c r="CG181" s="833">
        <f t="shared" si="635"/>
        <v>1</v>
      </c>
      <c r="CH181" s="833">
        <f t="shared" si="635"/>
        <v>1</v>
      </c>
      <c r="CI181" s="833">
        <f t="shared" si="635"/>
        <v>1</v>
      </c>
      <c r="CJ181" s="833">
        <f t="shared" si="635"/>
        <v>1</v>
      </c>
      <c r="CK181" s="833">
        <f t="shared" si="635"/>
        <v>1</v>
      </c>
      <c r="CL181" s="833">
        <f t="shared" si="635"/>
        <v>1</v>
      </c>
      <c r="CM181" s="833">
        <f t="shared" si="635"/>
        <v>1</v>
      </c>
      <c r="CN181" s="833">
        <f t="shared" si="635"/>
        <v>1</v>
      </c>
      <c r="CO181" s="833">
        <f t="shared" ref="CO181:CQ182" si="636">CN181</f>
        <v>1</v>
      </c>
      <c r="CP181" s="833">
        <f t="shared" si="636"/>
        <v>1</v>
      </c>
      <c r="CQ181" s="833">
        <f t="shared" si="636"/>
        <v>1</v>
      </c>
      <c r="CR181" s="833"/>
      <c r="CS181" s="1125">
        <f t="shared" ref="CS181:DE182" si="637">ROUND(CE181*E181,-3)</f>
        <v>324000</v>
      </c>
      <c r="CT181" s="31">
        <f t="shared" si="637"/>
        <v>172000</v>
      </c>
      <c r="CU181" s="31">
        <f t="shared" si="637"/>
        <v>283000</v>
      </c>
      <c r="CV181" s="31">
        <f t="shared" si="637"/>
        <v>259000</v>
      </c>
      <c r="CW181" s="31">
        <f t="shared" si="637"/>
        <v>269000</v>
      </c>
      <c r="CX181" s="31">
        <f t="shared" si="637"/>
        <v>276000</v>
      </c>
      <c r="CY181" s="31">
        <f t="shared" si="637"/>
        <v>283000</v>
      </c>
      <c r="CZ181" s="31">
        <f t="shared" si="637"/>
        <v>290000</v>
      </c>
      <c r="DA181" s="31">
        <f t="shared" si="637"/>
        <v>297000</v>
      </c>
      <c r="DB181" s="31">
        <f t="shared" si="637"/>
        <v>304000</v>
      </c>
      <c r="DC181" s="31">
        <f t="shared" si="637"/>
        <v>312000</v>
      </c>
      <c r="DD181" s="31">
        <f t="shared" si="637"/>
        <v>320000</v>
      </c>
      <c r="DE181" s="78">
        <f t="shared" si="637"/>
        <v>328000</v>
      </c>
    </row>
    <row r="182" spans="1:109" x14ac:dyDescent="0.2">
      <c r="A182" s="2554" t="s">
        <v>6803</v>
      </c>
      <c r="B182" s="1360"/>
      <c r="C182" s="1337"/>
      <c r="D182" s="1331" t="s">
        <v>5046</v>
      </c>
      <c r="E182" s="350"/>
      <c r="F182" s="29"/>
      <c r="G182" s="9"/>
      <c r="H182" s="9">
        <v>0</v>
      </c>
      <c r="I182" s="29">
        <v>0</v>
      </c>
      <c r="J182" s="29">
        <f>ROUND((I182*Assumptions!K$6+I182),-3)</f>
        <v>0</v>
      </c>
      <c r="K182" s="9">
        <f>ROUND((J182*Assumptions!L$6+J182),-3)</f>
        <v>0</v>
      </c>
      <c r="L182" s="9">
        <f>ROUND((K182*Assumptions!M$6+K182),-3)</f>
        <v>0</v>
      </c>
      <c r="M182" s="89">
        <f>ROUND((L182*Assumptions!N$6+L182),-3)</f>
        <v>0</v>
      </c>
      <c r="N182" s="9">
        <f>ROUND((M182*Assumptions!O$6+M182),-3)</f>
        <v>0</v>
      </c>
      <c r="O182" s="9">
        <f>ROUND((N182*Assumptions!P$6+N182),-3)</f>
        <v>0</v>
      </c>
      <c r="P182" s="9">
        <f>ROUND((O182*Assumptions!Q$6+O182),-3)</f>
        <v>0</v>
      </c>
      <c r="Q182" s="49">
        <f>ROUND((P182*Assumptions!R$6+P182),-3)</f>
        <v>0</v>
      </c>
      <c r="R182" s="89"/>
      <c r="S182" s="9"/>
      <c r="T182" s="9"/>
      <c r="U182" s="9">
        <f>E182</f>
        <v>0</v>
      </c>
      <c r="V182" s="49">
        <f>E182-R182-S182-T182-U182</f>
        <v>0</v>
      </c>
      <c r="W182" s="133"/>
      <c r="X182" s="9"/>
      <c r="Y182" s="46"/>
      <c r="Z182" s="9">
        <f>F182</f>
        <v>0</v>
      </c>
      <c r="AA182" s="46">
        <f t="shared" si="604"/>
        <v>0</v>
      </c>
      <c r="AB182" s="133"/>
      <c r="AC182" s="9"/>
      <c r="AD182" s="9"/>
      <c r="AE182" s="9"/>
      <c r="AF182" s="49">
        <f>G182-AB182-AC182-AD182-AE182</f>
        <v>0</v>
      </c>
      <c r="AG182" s="89"/>
      <c r="AH182" s="9"/>
      <c r="AI182" s="9"/>
      <c r="AJ182" s="9"/>
      <c r="AK182" s="49">
        <f>H182-AG182-AH182-AI182-AJ182</f>
        <v>0</v>
      </c>
      <c r="AL182" s="89"/>
      <c r="AM182" s="9"/>
      <c r="AN182" s="9"/>
      <c r="AO182" s="9"/>
      <c r="AP182" s="49">
        <f t="shared" si="608"/>
        <v>0</v>
      </c>
      <c r="AQ182" s="89"/>
      <c r="AR182" s="9"/>
      <c r="AS182" s="9"/>
      <c r="AT182" s="9"/>
      <c r="AU182" s="61">
        <f t="shared" si="609"/>
        <v>0</v>
      </c>
      <c r="AW182" s="9"/>
      <c r="AX182" s="9"/>
      <c r="AY182" s="9"/>
      <c r="AZ182" s="49">
        <f>K182-AV182-AW182-AX182-AY182</f>
        <v>0</v>
      </c>
      <c r="BA182" s="89"/>
      <c r="BB182" s="9"/>
      <c r="BC182" s="9"/>
      <c r="BD182" s="9"/>
      <c r="BE182" s="49">
        <f>L182-BA182-BB182-BC182-BD182</f>
        <v>0</v>
      </c>
      <c r="BF182" s="89"/>
      <c r="BG182" s="9"/>
      <c r="BH182" s="9"/>
      <c r="BI182" s="9"/>
      <c r="BJ182" s="49">
        <f>M182-BF182-BG182-BH182-BI182</f>
        <v>0</v>
      </c>
      <c r="BK182" s="89"/>
      <c r="BL182" s="9"/>
      <c r="BM182" s="9"/>
      <c r="BN182" s="9"/>
      <c r="BO182" s="49">
        <f>N182-BK182-BL182-BM182-BN182</f>
        <v>0</v>
      </c>
      <c r="BP182" s="89"/>
      <c r="BQ182" s="9"/>
      <c r="BR182" s="9"/>
      <c r="BS182" s="9"/>
      <c r="BT182" s="49">
        <f>O182-BP182-BQ182-BR182-BS182</f>
        <v>0</v>
      </c>
      <c r="BU182" s="89"/>
      <c r="BV182" s="9"/>
      <c r="BW182" s="9"/>
      <c r="BX182" s="9"/>
      <c r="BY182" s="49">
        <f>P182-BU182-BV182-BW182-BX182</f>
        <v>0</v>
      </c>
      <c r="BZ182" s="89"/>
      <c r="CA182" s="9"/>
      <c r="CB182" s="9"/>
      <c r="CC182" s="9"/>
      <c r="CD182" s="46">
        <f t="shared" si="612"/>
        <v>0</v>
      </c>
      <c r="CE182" s="1406">
        <v>1</v>
      </c>
      <c r="CF182" s="833">
        <f t="shared" ref="CF182:CN182" si="638">CE182</f>
        <v>1</v>
      </c>
      <c r="CG182" s="833">
        <f t="shared" si="638"/>
        <v>1</v>
      </c>
      <c r="CH182" s="833">
        <f t="shared" si="638"/>
        <v>1</v>
      </c>
      <c r="CI182" s="833">
        <f t="shared" si="638"/>
        <v>1</v>
      </c>
      <c r="CJ182" s="833">
        <f t="shared" si="638"/>
        <v>1</v>
      </c>
      <c r="CK182" s="833">
        <f t="shared" si="638"/>
        <v>1</v>
      </c>
      <c r="CL182" s="833">
        <f t="shared" si="638"/>
        <v>1</v>
      </c>
      <c r="CM182" s="833">
        <f t="shared" si="638"/>
        <v>1</v>
      </c>
      <c r="CN182" s="833">
        <f t="shared" si="638"/>
        <v>1</v>
      </c>
      <c r="CO182" s="833">
        <f t="shared" si="636"/>
        <v>1</v>
      </c>
      <c r="CP182" s="833">
        <f t="shared" si="636"/>
        <v>1</v>
      </c>
      <c r="CQ182" s="833">
        <f t="shared" si="636"/>
        <v>1</v>
      </c>
      <c r="CR182" s="833"/>
      <c r="CS182" s="1125">
        <f t="shared" si="637"/>
        <v>0</v>
      </c>
      <c r="CT182" s="31">
        <f t="shared" si="637"/>
        <v>0</v>
      </c>
      <c r="CU182" s="31">
        <f t="shared" si="637"/>
        <v>0</v>
      </c>
      <c r="CV182" s="31">
        <f t="shared" si="637"/>
        <v>0</v>
      </c>
      <c r="CW182" s="31">
        <f t="shared" si="637"/>
        <v>0</v>
      </c>
      <c r="CX182" s="31">
        <f t="shared" si="637"/>
        <v>0</v>
      </c>
      <c r="CY182" s="31">
        <f t="shared" si="637"/>
        <v>0</v>
      </c>
      <c r="CZ182" s="31">
        <f t="shared" si="637"/>
        <v>0</v>
      </c>
      <c r="DA182" s="31">
        <f t="shared" si="637"/>
        <v>0</v>
      </c>
      <c r="DB182" s="31">
        <f t="shared" si="637"/>
        <v>0</v>
      </c>
      <c r="DC182" s="31">
        <f t="shared" si="637"/>
        <v>0</v>
      </c>
      <c r="DD182" s="31">
        <f t="shared" si="637"/>
        <v>0</v>
      </c>
      <c r="DE182" s="78">
        <f t="shared" si="637"/>
        <v>0</v>
      </c>
    </row>
    <row r="183" spans="1:109" x14ac:dyDescent="0.2">
      <c r="A183" s="615" t="s">
        <v>7088</v>
      </c>
      <c r="B183" s="1360"/>
      <c r="C183" s="1337"/>
      <c r="D183" s="1331" t="s">
        <v>5046</v>
      </c>
      <c r="E183" s="350"/>
      <c r="F183" s="29"/>
      <c r="G183" s="9">
        <f>Assumptions!H46</f>
        <v>0</v>
      </c>
      <c r="H183" s="9">
        <f>Assumptions!I46</f>
        <v>0</v>
      </c>
      <c r="I183" s="29">
        <f>Assumptions!J46</f>
        <v>0</v>
      </c>
      <c r="J183" s="29">
        <f>Assumptions!K46</f>
        <v>250000</v>
      </c>
      <c r="K183" s="29">
        <f>Assumptions!L46</f>
        <v>250000</v>
      </c>
      <c r="L183" s="9">
        <f>Assumptions!M46</f>
        <v>250000</v>
      </c>
      <c r="M183" s="89">
        <f>Assumptions!N46</f>
        <v>250000</v>
      </c>
      <c r="N183" s="9">
        <f>Assumptions!O46</f>
        <v>250000</v>
      </c>
      <c r="O183" s="9">
        <f>Assumptions!P46</f>
        <v>250000</v>
      </c>
      <c r="P183" s="9">
        <f>Assumptions!Q46</f>
        <v>250000</v>
      </c>
      <c r="Q183" s="49">
        <f>Assumptions!R46</f>
        <v>250000</v>
      </c>
      <c r="R183" s="89"/>
      <c r="S183" s="9"/>
      <c r="T183" s="9"/>
      <c r="U183" s="9">
        <f>E183</f>
        <v>0</v>
      </c>
      <c r="V183" s="49">
        <f t="shared" si="605"/>
        <v>0</v>
      </c>
      <c r="W183" s="133"/>
      <c r="X183" s="9"/>
      <c r="Y183" s="46"/>
      <c r="Z183" s="9">
        <f>F183</f>
        <v>0</v>
      </c>
      <c r="AA183" s="46">
        <f t="shared" si="604"/>
        <v>0</v>
      </c>
      <c r="AB183" s="133"/>
      <c r="AC183" s="9"/>
      <c r="AD183" s="9"/>
      <c r="AE183" s="9">
        <f>G183</f>
        <v>0</v>
      </c>
      <c r="AF183" s="49">
        <f t="shared" si="606"/>
        <v>0</v>
      </c>
      <c r="AG183" s="89"/>
      <c r="AH183" s="9"/>
      <c r="AI183" s="9"/>
      <c r="AJ183" s="9">
        <f>H183</f>
        <v>0</v>
      </c>
      <c r="AK183" s="49">
        <f t="shared" si="607"/>
        <v>0</v>
      </c>
      <c r="AL183" s="89"/>
      <c r="AM183" s="9"/>
      <c r="AN183" s="9"/>
      <c r="AO183" s="9">
        <f>I183</f>
        <v>0</v>
      </c>
      <c r="AP183" s="49">
        <f t="shared" si="608"/>
        <v>0</v>
      </c>
      <c r="AQ183" s="89"/>
      <c r="AR183" s="9"/>
      <c r="AS183" s="9"/>
      <c r="AT183" s="9">
        <f>J183</f>
        <v>250000</v>
      </c>
      <c r="AU183" s="61">
        <f t="shared" si="609"/>
        <v>0</v>
      </c>
      <c r="AW183" s="9"/>
      <c r="AX183" s="9"/>
      <c r="AY183" s="9">
        <f>K183</f>
        <v>250000</v>
      </c>
      <c r="AZ183" s="49">
        <f>K183-AV183-AW183-AX183-AY183</f>
        <v>0</v>
      </c>
      <c r="BA183" s="89"/>
      <c r="BB183" s="9"/>
      <c r="BC183" s="9"/>
      <c r="BD183" s="9">
        <f>L183</f>
        <v>250000</v>
      </c>
      <c r="BE183" s="49">
        <f>L183-BA183-BB183-BC183-BD183</f>
        <v>0</v>
      </c>
      <c r="BF183" s="89"/>
      <c r="BG183" s="9"/>
      <c r="BH183" s="9"/>
      <c r="BI183" s="9">
        <f>M183</f>
        <v>250000</v>
      </c>
      <c r="BJ183" s="49">
        <f>M183-BF183-BG183-BH183-BI183</f>
        <v>0</v>
      </c>
      <c r="BK183" s="89"/>
      <c r="BL183" s="9"/>
      <c r="BM183" s="9"/>
      <c r="BN183" s="9">
        <f>N183</f>
        <v>250000</v>
      </c>
      <c r="BO183" s="49">
        <f>N183-BK183-BL183-BM183-BN183</f>
        <v>0</v>
      </c>
      <c r="BP183" s="89"/>
      <c r="BQ183" s="9"/>
      <c r="BR183" s="9"/>
      <c r="BS183" s="9">
        <f>O183</f>
        <v>250000</v>
      </c>
      <c r="BT183" s="49">
        <f t="shared" si="610"/>
        <v>0</v>
      </c>
      <c r="BU183" s="89"/>
      <c r="BV183" s="9"/>
      <c r="BW183" s="9"/>
      <c r="BX183" s="9">
        <f>P183</f>
        <v>250000</v>
      </c>
      <c r="BY183" s="49">
        <f t="shared" si="611"/>
        <v>0</v>
      </c>
      <c r="BZ183" s="89"/>
      <c r="CA183" s="9"/>
      <c r="CB183" s="9"/>
      <c r="CC183" s="9">
        <f>+Q183</f>
        <v>250000</v>
      </c>
      <c r="CD183" s="46">
        <f t="shared" si="612"/>
        <v>0</v>
      </c>
      <c r="CE183" s="1406">
        <v>1</v>
      </c>
      <c r="CF183" s="833">
        <f t="shared" ref="CF183:CN183" si="639">CE183</f>
        <v>1</v>
      </c>
      <c r="CG183" s="833">
        <f t="shared" si="639"/>
        <v>1</v>
      </c>
      <c r="CH183" s="833">
        <f t="shared" si="639"/>
        <v>1</v>
      </c>
      <c r="CI183" s="833">
        <f t="shared" si="639"/>
        <v>1</v>
      </c>
      <c r="CJ183" s="833">
        <f t="shared" si="639"/>
        <v>1</v>
      </c>
      <c r="CK183" s="833">
        <f t="shared" si="639"/>
        <v>1</v>
      </c>
      <c r="CL183" s="833">
        <f t="shared" si="639"/>
        <v>1</v>
      </c>
      <c r="CM183" s="833">
        <f t="shared" si="639"/>
        <v>1</v>
      </c>
      <c r="CN183" s="833">
        <f t="shared" si="639"/>
        <v>1</v>
      </c>
      <c r="CO183" s="833">
        <f t="shared" si="614"/>
        <v>1</v>
      </c>
      <c r="CP183" s="833">
        <f t="shared" si="614"/>
        <v>1</v>
      </c>
      <c r="CQ183" s="833">
        <f t="shared" si="614"/>
        <v>1</v>
      </c>
      <c r="CR183" s="833"/>
      <c r="CS183" s="1125">
        <f t="shared" si="615"/>
        <v>0</v>
      </c>
      <c r="CT183" s="31">
        <f t="shared" si="616"/>
        <v>0</v>
      </c>
      <c r="CU183" s="31">
        <f t="shared" si="617"/>
        <v>0</v>
      </c>
      <c r="CV183" s="31">
        <f t="shared" si="618"/>
        <v>0</v>
      </c>
      <c r="CW183" s="31">
        <f t="shared" si="619"/>
        <v>0</v>
      </c>
      <c r="CX183" s="31">
        <f t="shared" si="620"/>
        <v>250000</v>
      </c>
      <c r="CY183" s="31">
        <f t="shared" si="621"/>
        <v>250000</v>
      </c>
      <c r="CZ183" s="31">
        <f t="shared" si="622"/>
        <v>250000</v>
      </c>
      <c r="DA183" s="31">
        <f t="shared" si="623"/>
        <v>250000</v>
      </c>
      <c r="DB183" s="31">
        <f t="shared" si="624"/>
        <v>250000</v>
      </c>
      <c r="DC183" s="31">
        <f t="shared" si="625"/>
        <v>250000</v>
      </c>
      <c r="DD183" s="31">
        <f t="shared" si="626"/>
        <v>250000</v>
      </c>
      <c r="DE183" s="78">
        <f t="shared" si="626"/>
        <v>250000</v>
      </c>
    </row>
    <row r="184" spans="1:109" ht="12.75" customHeight="1" x14ac:dyDescent="0.2">
      <c r="A184" s="615" t="s">
        <v>6366</v>
      </c>
      <c r="B184" s="1269"/>
      <c r="C184" s="1337"/>
      <c r="D184" s="1331" t="s">
        <v>5046</v>
      </c>
      <c r="E184" s="1125">
        <v>41400</v>
      </c>
      <c r="F184" s="29"/>
      <c r="G184" s="9"/>
      <c r="H184" s="9"/>
      <c r="I184" s="29"/>
      <c r="J184" s="29"/>
      <c r="K184" s="9"/>
      <c r="L184" s="89"/>
      <c r="M184" s="89"/>
      <c r="N184" s="9"/>
      <c r="O184" s="9"/>
      <c r="P184" s="9"/>
      <c r="Q184" s="49"/>
      <c r="R184" s="89"/>
      <c r="S184" s="9">
        <v>41500</v>
      </c>
      <c r="T184" s="9"/>
      <c r="U184" s="9"/>
      <c r="V184" s="49">
        <f t="shared" si="605"/>
        <v>-100</v>
      </c>
      <c r="W184" s="133"/>
      <c r="X184" s="9"/>
      <c r="Y184" s="46"/>
      <c r="Z184" s="9"/>
      <c r="AA184" s="46">
        <f t="shared" si="604"/>
        <v>0</v>
      </c>
      <c r="AB184" s="133"/>
      <c r="AC184" s="9"/>
      <c r="AD184" s="9"/>
      <c r="AE184" s="9"/>
      <c r="AF184" s="49">
        <f t="shared" si="606"/>
        <v>0</v>
      </c>
      <c r="AG184" s="89"/>
      <c r="AH184" s="9"/>
      <c r="AI184" s="9"/>
      <c r="AJ184" s="9"/>
      <c r="AK184" s="49">
        <f t="shared" si="607"/>
        <v>0</v>
      </c>
      <c r="AL184" s="89"/>
      <c r="AM184" s="9"/>
      <c r="AN184" s="9"/>
      <c r="AO184" s="9"/>
      <c r="AP184" s="49">
        <f t="shared" si="608"/>
        <v>0</v>
      </c>
      <c r="AQ184" s="89"/>
      <c r="AR184" s="9"/>
      <c r="AS184" s="9"/>
      <c r="AT184" s="9"/>
      <c r="AU184" s="61">
        <f t="shared" si="609"/>
        <v>0</v>
      </c>
      <c r="AW184" s="9"/>
      <c r="AX184" s="9"/>
      <c r="AY184" s="9"/>
      <c r="AZ184" s="49"/>
      <c r="BA184" s="89"/>
      <c r="BB184" s="9"/>
      <c r="BC184" s="9"/>
      <c r="BD184" s="9"/>
      <c r="BE184" s="49"/>
      <c r="BF184" s="89"/>
      <c r="BG184" s="9"/>
      <c r="BH184" s="9"/>
      <c r="BI184" s="9"/>
      <c r="BJ184" s="49"/>
      <c r="BK184" s="89"/>
      <c r="BL184" s="9"/>
      <c r="BM184" s="9"/>
      <c r="BN184" s="9"/>
      <c r="BO184" s="49"/>
      <c r="BP184" s="89"/>
      <c r="BQ184" s="9"/>
      <c r="BR184" s="9"/>
      <c r="BS184" s="9"/>
      <c r="BT184" s="49">
        <f t="shared" si="610"/>
        <v>0</v>
      </c>
      <c r="BU184" s="89"/>
      <c r="BV184" s="9"/>
      <c r="BW184" s="9"/>
      <c r="BX184" s="9"/>
      <c r="BY184" s="49">
        <f t="shared" si="611"/>
        <v>0</v>
      </c>
      <c r="BZ184" s="89"/>
      <c r="CA184" s="9"/>
      <c r="CB184" s="9"/>
      <c r="CC184" s="9"/>
      <c r="CD184" s="46">
        <f t="shared" si="612"/>
        <v>0</v>
      </c>
      <c r="CE184" s="1406">
        <v>0</v>
      </c>
      <c r="CF184" s="833">
        <v>0</v>
      </c>
      <c r="CG184" s="833">
        <v>0</v>
      </c>
      <c r="CH184" s="833">
        <v>0</v>
      </c>
      <c r="CI184" s="833">
        <v>0</v>
      </c>
      <c r="CJ184" s="833">
        <v>0</v>
      </c>
      <c r="CK184" s="833">
        <v>0</v>
      </c>
      <c r="CL184" s="833">
        <v>0</v>
      </c>
      <c r="CM184" s="833">
        <v>0</v>
      </c>
      <c r="CN184" s="833">
        <v>0</v>
      </c>
      <c r="CO184" s="833">
        <v>0</v>
      </c>
      <c r="CP184" s="833">
        <v>0</v>
      </c>
      <c r="CQ184" s="833">
        <v>0</v>
      </c>
      <c r="CR184" s="833"/>
      <c r="CS184" s="1125">
        <f t="shared" si="615"/>
        <v>0</v>
      </c>
      <c r="CT184" s="31">
        <f t="shared" si="616"/>
        <v>0</v>
      </c>
      <c r="CU184" s="31">
        <f t="shared" si="617"/>
        <v>0</v>
      </c>
      <c r="CV184" s="31">
        <f t="shared" si="618"/>
        <v>0</v>
      </c>
      <c r="CW184" s="31">
        <f t="shared" si="619"/>
        <v>0</v>
      </c>
      <c r="CX184" s="31">
        <f t="shared" si="620"/>
        <v>0</v>
      </c>
      <c r="CY184" s="31">
        <f t="shared" si="621"/>
        <v>0</v>
      </c>
      <c r="CZ184" s="31">
        <f t="shared" si="622"/>
        <v>0</v>
      </c>
      <c r="DA184" s="31">
        <f t="shared" si="623"/>
        <v>0</v>
      </c>
      <c r="DB184" s="31">
        <f t="shared" si="624"/>
        <v>0</v>
      </c>
      <c r="DC184" s="31">
        <f t="shared" si="625"/>
        <v>0</v>
      </c>
      <c r="DD184" s="31">
        <f t="shared" si="626"/>
        <v>0</v>
      </c>
      <c r="DE184" s="78">
        <f t="shared" si="626"/>
        <v>0</v>
      </c>
    </row>
    <row r="185" spans="1:109" x14ac:dyDescent="0.2">
      <c r="A185" s="615" t="s">
        <v>4761</v>
      </c>
      <c r="B185" s="1368"/>
      <c r="C185" s="1346"/>
      <c r="D185" s="1331" t="s">
        <v>5046</v>
      </c>
      <c r="E185" s="133"/>
      <c r="F185" s="9">
        <f>+F493</f>
        <v>1100</v>
      </c>
      <c r="G185" s="9">
        <v>148900</v>
      </c>
      <c r="H185" s="9"/>
      <c r="I185" s="9">
        <v>750000</v>
      </c>
      <c r="J185" s="29">
        <f>900000+1000000+200000</f>
        <v>2100000</v>
      </c>
      <c r="K185" s="9"/>
      <c r="L185" s="89"/>
      <c r="M185" s="9"/>
      <c r="N185" s="9"/>
      <c r="O185" s="9"/>
      <c r="P185" s="9"/>
      <c r="Q185" s="49"/>
      <c r="R185" s="89"/>
      <c r="S185" s="9"/>
      <c r="T185" s="9"/>
      <c r="U185" s="9"/>
      <c r="V185" s="49">
        <f t="shared" si="605"/>
        <v>0</v>
      </c>
      <c r="W185" s="133">
        <v>0</v>
      </c>
      <c r="X185" s="9"/>
      <c r="Y185" s="46"/>
      <c r="Z185" s="9">
        <f>'Res-Gen'!F86</f>
        <v>1100</v>
      </c>
      <c r="AA185" s="46">
        <f t="shared" si="604"/>
        <v>0</v>
      </c>
      <c r="AB185" s="133">
        <f>+'Cap Inc'!F103</f>
        <v>60000</v>
      </c>
      <c r="AC185" s="9"/>
      <c r="AD185" s="9"/>
      <c r="AE185" s="9">
        <f>'Res-Gen'!I86</f>
        <v>88900</v>
      </c>
      <c r="AF185" s="49">
        <f t="shared" si="606"/>
        <v>0</v>
      </c>
      <c r="AG185" s="89"/>
      <c r="AH185" s="9"/>
      <c r="AI185" s="9"/>
      <c r="AJ185" s="9">
        <f>'Res-Gen'!L86</f>
        <v>0</v>
      </c>
      <c r="AK185" s="49">
        <f t="shared" si="607"/>
        <v>0</v>
      </c>
      <c r="AL185" s="89"/>
      <c r="AM185" s="9"/>
      <c r="AN185" s="9"/>
      <c r="AO185" s="9">
        <f>'Res-Gen'!O86</f>
        <v>750000</v>
      </c>
      <c r="AP185" s="49">
        <f t="shared" si="608"/>
        <v>0</v>
      </c>
      <c r="AQ185" s="89"/>
      <c r="AR185" s="9"/>
      <c r="AS185" s="9"/>
      <c r="AT185" s="9">
        <f>J185</f>
        <v>2100000</v>
      </c>
      <c r="AU185" s="61">
        <f t="shared" si="609"/>
        <v>0</v>
      </c>
      <c r="AW185" s="9"/>
      <c r="AX185" s="9"/>
      <c r="AY185" s="9"/>
      <c r="AZ185" s="49"/>
      <c r="BA185" s="89"/>
      <c r="BB185" s="9"/>
      <c r="BC185" s="9"/>
      <c r="BD185" s="9"/>
      <c r="BE185" s="49"/>
      <c r="BF185" s="89"/>
      <c r="BG185" s="9"/>
      <c r="BH185" s="9"/>
      <c r="BI185" s="9"/>
      <c r="BJ185" s="49"/>
      <c r="BK185" s="89"/>
      <c r="BL185" s="9"/>
      <c r="BM185" s="9"/>
      <c r="BN185" s="9"/>
      <c r="BO185" s="49"/>
      <c r="BP185" s="89"/>
      <c r="BQ185" s="9"/>
      <c r="BR185" s="9"/>
      <c r="BS185" s="9"/>
      <c r="BT185" s="49">
        <f t="shared" si="610"/>
        <v>0</v>
      </c>
      <c r="BU185" s="89"/>
      <c r="BV185" s="9"/>
      <c r="BW185" s="9"/>
      <c r="BX185" s="9"/>
      <c r="BY185" s="49">
        <f t="shared" si="611"/>
        <v>0</v>
      </c>
      <c r="BZ185" s="89"/>
      <c r="CA185" s="9"/>
      <c r="CB185" s="9"/>
      <c r="CC185" s="9"/>
      <c r="CD185" s="46">
        <f t="shared" si="612"/>
        <v>0</v>
      </c>
      <c r="CE185" s="1406">
        <v>0</v>
      </c>
      <c r="CF185" s="833">
        <v>0</v>
      </c>
      <c r="CG185" s="833">
        <v>0</v>
      </c>
      <c r="CH185" s="833">
        <v>0</v>
      </c>
      <c r="CI185" s="833">
        <v>0</v>
      </c>
      <c r="CJ185" s="833">
        <v>0</v>
      </c>
      <c r="CK185" s="833">
        <v>0</v>
      </c>
      <c r="CL185" s="833">
        <v>0</v>
      </c>
      <c r="CM185" s="833">
        <v>0</v>
      </c>
      <c r="CN185" s="833">
        <v>0</v>
      </c>
      <c r="CO185" s="833">
        <v>0</v>
      </c>
      <c r="CP185" s="833">
        <v>0</v>
      </c>
      <c r="CQ185" s="833">
        <v>0</v>
      </c>
      <c r="CR185" s="833"/>
      <c r="CS185" s="1125">
        <f t="shared" si="615"/>
        <v>0</v>
      </c>
      <c r="CT185" s="31">
        <f t="shared" si="616"/>
        <v>0</v>
      </c>
      <c r="CU185" s="31">
        <f t="shared" si="617"/>
        <v>0</v>
      </c>
      <c r="CV185" s="31">
        <f t="shared" si="618"/>
        <v>0</v>
      </c>
      <c r="CW185" s="31">
        <f t="shared" si="619"/>
        <v>0</v>
      </c>
      <c r="CX185" s="31">
        <f t="shared" si="620"/>
        <v>0</v>
      </c>
      <c r="CY185" s="31">
        <f t="shared" si="621"/>
        <v>0</v>
      </c>
      <c r="CZ185" s="31">
        <f t="shared" si="622"/>
        <v>0</v>
      </c>
      <c r="DA185" s="31">
        <f t="shared" si="623"/>
        <v>0</v>
      </c>
      <c r="DB185" s="31">
        <f t="shared" si="624"/>
        <v>0</v>
      </c>
      <c r="DC185" s="31">
        <f t="shared" si="625"/>
        <v>0</v>
      </c>
      <c r="DD185" s="31">
        <f t="shared" si="626"/>
        <v>0</v>
      </c>
      <c r="DE185" s="78">
        <f t="shared" si="626"/>
        <v>0</v>
      </c>
    </row>
    <row r="186" spans="1:109" s="80" customFormat="1" x14ac:dyDescent="0.2">
      <c r="A186" s="615" t="s">
        <v>7055</v>
      </c>
      <c r="B186" s="1354"/>
      <c r="C186" s="1335" t="s">
        <v>7056</v>
      </c>
      <c r="D186" s="1331"/>
      <c r="E186" s="641"/>
      <c r="F186" s="79"/>
      <c r="G186" s="79">
        <v>39800</v>
      </c>
      <c r="H186" s="79"/>
      <c r="I186" s="30"/>
      <c r="J186" s="30"/>
      <c r="K186" s="30"/>
      <c r="L186" s="9"/>
      <c r="M186" s="79"/>
      <c r="N186" s="79"/>
      <c r="O186" s="79"/>
      <c r="P186" s="79"/>
      <c r="Q186" s="587"/>
      <c r="R186" s="77"/>
      <c r="S186" s="79"/>
      <c r="T186" s="79"/>
      <c r="U186" s="79"/>
      <c r="V186" s="49"/>
      <c r="W186" s="641"/>
      <c r="X186" s="79"/>
      <c r="Y186" s="31"/>
      <c r="Z186" s="79"/>
      <c r="AA186" s="46">
        <f t="shared" si="604"/>
        <v>0</v>
      </c>
      <c r="AB186" s="641"/>
      <c r="AC186" s="79"/>
      <c r="AD186" s="79"/>
      <c r="AE186" s="79">
        <f>+G186</f>
        <v>39800</v>
      </c>
      <c r="AF186" s="49">
        <f t="shared" si="606"/>
        <v>0</v>
      </c>
      <c r="AG186" s="77"/>
      <c r="AH186" s="79"/>
      <c r="AI186" s="79"/>
      <c r="AJ186" s="79"/>
      <c r="AK186" s="49">
        <f t="shared" si="607"/>
        <v>0</v>
      </c>
      <c r="AL186" s="77"/>
      <c r="AM186" s="79"/>
      <c r="AN186" s="79"/>
      <c r="AO186" s="79"/>
      <c r="AP186" s="49">
        <f t="shared" si="608"/>
        <v>0</v>
      </c>
      <c r="AQ186" s="77"/>
      <c r="AR186" s="79"/>
      <c r="AS186" s="79"/>
      <c r="AT186" s="79"/>
      <c r="AU186" s="61">
        <f t="shared" si="609"/>
        <v>0</v>
      </c>
      <c r="AV186" s="31"/>
      <c r="AW186" s="79"/>
      <c r="AX186" s="79"/>
      <c r="AY186" s="79"/>
      <c r="AZ186" s="49"/>
      <c r="BA186" s="77"/>
      <c r="BB186" s="79"/>
      <c r="BC186" s="79"/>
      <c r="BD186" s="79"/>
      <c r="BE186" s="49"/>
      <c r="BF186" s="77"/>
      <c r="BG186" s="79"/>
      <c r="BH186" s="79"/>
      <c r="BI186" s="79"/>
      <c r="BJ186" s="49"/>
      <c r="BK186" s="77"/>
      <c r="BL186" s="79"/>
      <c r="BM186" s="79"/>
      <c r="BN186" s="79"/>
      <c r="BO186" s="49"/>
      <c r="BP186" s="77"/>
      <c r="BQ186" s="79"/>
      <c r="BR186" s="79"/>
      <c r="BS186" s="79"/>
      <c r="BT186" s="49"/>
      <c r="BU186" s="77"/>
      <c r="BV186" s="79"/>
      <c r="BW186" s="79"/>
      <c r="BX186" s="79"/>
      <c r="BY186" s="49"/>
      <c r="BZ186" s="77"/>
      <c r="CA186" s="79"/>
      <c r="CB186" s="79"/>
      <c r="CC186" s="79"/>
      <c r="CD186" s="46"/>
      <c r="CE186" s="1406"/>
      <c r="CF186" s="833"/>
      <c r="CG186" s="833"/>
      <c r="CH186" s="833"/>
      <c r="CI186" s="833"/>
      <c r="CJ186" s="833"/>
      <c r="CK186" s="833"/>
      <c r="CL186" s="833"/>
      <c r="CM186" s="833"/>
      <c r="CN186" s="833"/>
      <c r="CO186" s="833"/>
      <c r="CP186" s="833"/>
      <c r="CQ186" s="833"/>
      <c r="CR186" s="833"/>
      <c r="CS186" s="1125"/>
      <c r="CT186" s="31"/>
      <c r="CU186" s="31"/>
      <c r="CV186" s="31"/>
      <c r="CW186" s="31"/>
      <c r="CX186" s="31"/>
      <c r="CY186" s="31"/>
      <c r="CZ186" s="31"/>
      <c r="DA186" s="31"/>
      <c r="DB186" s="31"/>
      <c r="DC186" s="31"/>
      <c r="DD186" s="31"/>
      <c r="DE186" s="78"/>
    </row>
    <row r="187" spans="1:109" s="80" customFormat="1" x14ac:dyDescent="0.2">
      <c r="A187" s="615" t="s">
        <v>7264</v>
      </c>
      <c r="B187" s="1368"/>
      <c r="C187" s="1335" t="s">
        <v>7265</v>
      </c>
      <c r="D187" s="1331"/>
      <c r="E187" s="641"/>
      <c r="F187" s="79"/>
      <c r="G187" s="79">
        <v>50000</v>
      </c>
      <c r="H187" s="79"/>
      <c r="I187" s="30"/>
      <c r="J187" s="30"/>
      <c r="K187" s="30"/>
      <c r="L187" s="89"/>
      <c r="M187" s="79"/>
      <c r="N187" s="79"/>
      <c r="O187" s="79"/>
      <c r="P187" s="79"/>
      <c r="Q187" s="587"/>
      <c r="R187" s="77"/>
      <c r="S187" s="79"/>
      <c r="T187" s="79"/>
      <c r="U187" s="79"/>
      <c r="V187" s="49"/>
      <c r="W187" s="641"/>
      <c r="X187" s="79"/>
      <c r="Y187" s="31"/>
      <c r="Z187" s="79"/>
      <c r="AA187" s="46">
        <f t="shared" si="604"/>
        <v>0</v>
      </c>
      <c r="AB187" s="641"/>
      <c r="AC187" s="79"/>
      <c r="AD187" s="79"/>
      <c r="AE187" s="79">
        <f>+G187</f>
        <v>50000</v>
      </c>
      <c r="AF187" s="49">
        <f t="shared" ref="AF187" si="640">G187-AB187-AC187-AD187-AE187</f>
        <v>0</v>
      </c>
      <c r="AG187" s="77"/>
      <c r="AH187" s="79"/>
      <c r="AI187" s="79"/>
      <c r="AJ187" s="79"/>
      <c r="AK187" s="49">
        <f t="shared" si="607"/>
        <v>0</v>
      </c>
      <c r="AL187" s="77"/>
      <c r="AM187" s="79"/>
      <c r="AN187" s="79"/>
      <c r="AO187" s="79"/>
      <c r="AP187" s="49">
        <f t="shared" si="608"/>
        <v>0</v>
      </c>
      <c r="AQ187" s="77"/>
      <c r="AR187" s="79"/>
      <c r="AS187" s="79"/>
      <c r="AT187" s="79"/>
      <c r="AU187" s="61">
        <f t="shared" si="609"/>
        <v>0</v>
      </c>
      <c r="AV187" s="31"/>
      <c r="AW187" s="79"/>
      <c r="AX187" s="79"/>
      <c r="AY187" s="79"/>
      <c r="AZ187" s="49"/>
      <c r="BA187" s="77"/>
      <c r="BB187" s="79"/>
      <c r="BC187" s="79"/>
      <c r="BD187" s="79"/>
      <c r="BE187" s="49"/>
      <c r="BF187" s="77"/>
      <c r="BG187" s="79"/>
      <c r="BH187" s="79"/>
      <c r="BI187" s="79"/>
      <c r="BJ187" s="49"/>
      <c r="BK187" s="77"/>
      <c r="BL187" s="79"/>
      <c r="BM187" s="79"/>
      <c r="BN187" s="79"/>
      <c r="BO187" s="49"/>
      <c r="BP187" s="77"/>
      <c r="BQ187" s="79"/>
      <c r="BR187" s="79"/>
      <c r="BS187" s="79"/>
      <c r="BT187" s="49"/>
      <c r="BU187" s="77"/>
      <c r="BV187" s="79"/>
      <c r="BW187" s="79"/>
      <c r="BX187" s="79"/>
      <c r="BY187" s="49"/>
      <c r="BZ187" s="77"/>
      <c r="CA187" s="79"/>
      <c r="CB187" s="79"/>
      <c r="CC187" s="79"/>
      <c r="CD187" s="46"/>
      <c r="CE187" s="1406"/>
      <c r="CF187" s="833"/>
      <c r="CG187" s="833"/>
      <c r="CH187" s="833"/>
      <c r="CI187" s="833"/>
      <c r="CJ187" s="833"/>
      <c r="CK187" s="833"/>
      <c r="CL187" s="833"/>
      <c r="CM187" s="833"/>
      <c r="CN187" s="833"/>
      <c r="CO187" s="833"/>
      <c r="CP187" s="833"/>
      <c r="CQ187" s="833"/>
      <c r="CR187" s="833"/>
      <c r="CS187" s="1125"/>
      <c r="CT187" s="31"/>
      <c r="CU187" s="31"/>
      <c r="CV187" s="31"/>
      <c r="CW187" s="31"/>
      <c r="CX187" s="31"/>
      <c r="CY187" s="31"/>
      <c r="CZ187" s="31"/>
      <c r="DA187" s="31"/>
      <c r="DB187" s="31"/>
      <c r="DC187" s="31"/>
      <c r="DD187" s="31"/>
      <c r="DE187" s="78"/>
    </row>
    <row r="188" spans="1:109" x14ac:dyDescent="0.2">
      <c r="A188" s="615" t="s">
        <v>5893</v>
      </c>
      <c r="B188" s="1368"/>
      <c r="C188" s="1346"/>
      <c r="D188" s="1331" t="s">
        <v>5046</v>
      </c>
      <c r="E188" s="133"/>
      <c r="F188" s="9">
        <f>+F491</f>
        <v>7400</v>
      </c>
      <c r="G188" s="9">
        <v>342600</v>
      </c>
      <c r="H188" s="9"/>
      <c r="I188" s="9"/>
      <c r="J188" s="29"/>
      <c r="K188" s="9"/>
      <c r="L188" s="89"/>
      <c r="M188" s="9"/>
      <c r="N188" s="9"/>
      <c r="O188" s="9"/>
      <c r="P188" s="9"/>
      <c r="Q188" s="49"/>
      <c r="R188" s="89"/>
      <c r="S188" s="9"/>
      <c r="T188" s="9"/>
      <c r="U188" s="9"/>
      <c r="V188" s="49">
        <f t="shared" si="605"/>
        <v>0</v>
      </c>
      <c r="W188" s="133"/>
      <c r="X188" s="9"/>
      <c r="Y188" s="46"/>
      <c r="Z188" s="9">
        <f>'Sec 94'!F38</f>
        <v>7400</v>
      </c>
      <c r="AA188" s="46">
        <f t="shared" si="604"/>
        <v>0</v>
      </c>
      <c r="AB188" s="133"/>
      <c r="AC188" s="9">
        <f>+'Sec 94'!G38</f>
        <v>342600</v>
      </c>
      <c r="AD188" s="9"/>
      <c r="AE188" s="9"/>
      <c r="AF188" s="49">
        <f t="shared" si="606"/>
        <v>0</v>
      </c>
      <c r="AG188" s="89"/>
      <c r="AH188" s="9"/>
      <c r="AI188" s="9"/>
      <c r="AJ188" s="9"/>
      <c r="AK188" s="49">
        <f t="shared" si="607"/>
        <v>0</v>
      </c>
      <c r="AL188" s="89"/>
      <c r="AM188" s="9"/>
      <c r="AN188" s="9"/>
      <c r="AO188" s="9"/>
      <c r="AP188" s="49">
        <f t="shared" si="608"/>
        <v>0</v>
      </c>
      <c r="AQ188" s="89"/>
      <c r="AR188" s="9"/>
      <c r="AS188" s="9"/>
      <c r="AT188" s="9"/>
      <c r="AU188" s="61">
        <f t="shared" si="609"/>
        <v>0</v>
      </c>
      <c r="AW188" s="9"/>
      <c r="AX188" s="9"/>
      <c r="AY188" s="9"/>
      <c r="AZ188" s="49"/>
      <c r="BA188" s="89"/>
      <c r="BB188" s="9"/>
      <c r="BC188" s="9"/>
      <c r="BD188" s="9"/>
      <c r="BE188" s="49"/>
      <c r="BF188" s="89"/>
      <c r="BG188" s="9"/>
      <c r="BH188" s="9"/>
      <c r="BI188" s="9"/>
      <c r="BJ188" s="49"/>
      <c r="BK188" s="89"/>
      <c r="BL188" s="9"/>
      <c r="BM188" s="9"/>
      <c r="BN188" s="9"/>
      <c r="BO188" s="49"/>
      <c r="BP188" s="89"/>
      <c r="BQ188" s="9"/>
      <c r="BR188" s="9"/>
      <c r="BS188" s="9"/>
      <c r="BT188" s="49">
        <f t="shared" si="610"/>
        <v>0</v>
      </c>
      <c r="BU188" s="89"/>
      <c r="BV188" s="9"/>
      <c r="BW188" s="9"/>
      <c r="BX188" s="9"/>
      <c r="BY188" s="49">
        <f t="shared" si="611"/>
        <v>0</v>
      </c>
      <c r="BZ188" s="89"/>
      <c r="CA188" s="9"/>
      <c r="CB188" s="9"/>
      <c r="CC188" s="9"/>
      <c r="CD188" s="46">
        <f t="shared" ref="CD188:CD190" si="641">Q188-BZ188-CA188-CB188-CC188</f>
        <v>0</v>
      </c>
      <c r="CE188" s="1406">
        <v>0</v>
      </c>
      <c r="CF188" s="833">
        <v>0</v>
      </c>
      <c r="CG188" s="833">
        <v>0</v>
      </c>
      <c r="CH188" s="833">
        <v>0</v>
      </c>
      <c r="CI188" s="833">
        <v>0</v>
      </c>
      <c r="CJ188" s="833">
        <v>0</v>
      </c>
      <c r="CK188" s="833">
        <v>0</v>
      </c>
      <c r="CL188" s="833">
        <v>0</v>
      </c>
      <c r="CM188" s="833">
        <v>0</v>
      </c>
      <c r="CN188" s="833">
        <v>0</v>
      </c>
      <c r="CO188" s="833">
        <v>0</v>
      </c>
      <c r="CP188" s="833">
        <v>0</v>
      </c>
      <c r="CQ188" s="833">
        <v>0</v>
      </c>
      <c r="CR188" s="833"/>
      <c r="CS188" s="1125">
        <f t="shared" si="615"/>
        <v>0</v>
      </c>
      <c r="CT188" s="31">
        <f t="shared" si="616"/>
        <v>0</v>
      </c>
      <c r="CU188" s="31">
        <f t="shared" si="617"/>
        <v>0</v>
      </c>
      <c r="CV188" s="31">
        <f t="shared" si="618"/>
        <v>0</v>
      </c>
      <c r="CW188" s="31">
        <f t="shared" si="619"/>
        <v>0</v>
      </c>
      <c r="CX188" s="31">
        <f t="shared" si="620"/>
        <v>0</v>
      </c>
      <c r="CY188" s="31">
        <f t="shared" si="621"/>
        <v>0</v>
      </c>
      <c r="CZ188" s="31">
        <f t="shared" si="622"/>
        <v>0</v>
      </c>
      <c r="DA188" s="31">
        <f t="shared" si="623"/>
        <v>0</v>
      </c>
      <c r="DB188" s="31">
        <f t="shared" si="624"/>
        <v>0</v>
      </c>
      <c r="DC188" s="31">
        <f t="shared" si="625"/>
        <v>0</v>
      </c>
      <c r="DD188" s="31">
        <f t="shared" si="626"/>
        <v>0</v>
      </c>
      <c r="DE188" s="78">
        <f t="shared" si="626"/>
        <v>0</v>
      </c>
    </row>
    <row r="189" spans="1:109" x14ac:dyDescent="0.2">
      <c r="A189" s="615" t="s">
        <v>7089</v>
      </c>
      <c r="B189" s="1368"/>
      <c r="C189" s="1346"/>
      <c r="D189" s="1331"/>
      <c r="E189" s="133"/>
      <c r="F189" s="9"/>
      <c r="G189" s="9"/>
      <c r="H189" s="9">
        <f>'Res-Gen'!L87</f>
        <v>800000</v>
      </c>
      <c r="I189" s="9"/>
      <c r="J189" s="29"/>
      <c r="K189" s="9"/>
      <c r="L189" s="89"/>
      <c r="M189" s="9"/>
      <c r="N189" s="9"/>
      <c r="O189" s="9"/>
      <c r="P189" s="9"/>
      <c r="Q189" s="49"/>
      <c r="R189" s="89"/>
      <c r="S189" s="9"/>
      <c r="T189" s="9"/>
      <c r="U189" s="9"/>
      <c r="V189" s="49">
        <f t="shared" ref="V189" si="642">E189-R189-S189-T189-U189</f>
        <v>0</v>
      </c>
      <c r="W189" s="133"/>
      <c r="X189" s="9"/>
      <c r="Y189" s="46"/>
      <c r="Z189" s="9">
        <f>'Sec 94'!F39</f>
        <v>0</v>
      </c>
      <c r="AA189" s="46">
        <f t="shared" si="604"/>
        <v>0</v>
      </c>
      <c r="AB189" s="133"/>
      <c r="AC189" s="9"/>
      <c r="AD189" s="9"/>
      <c r="AE189" s="9"/>
      <c r="AF189" s="49">
        <f t="shared" si="606"/>
        <v>0</v>
      </c>
      <c r="AG189" s="89"/>
      <c r="AH189" s="9"/>
      <c r="AI189" s="9"/>
      <c r="AJ189" s="9">
        <f>'Res-Gen'!L87</f>
        <v>800000</v>
      </c>
      <c r="AK189" s="49">
        <f t="shared" si="607"/>
        <v>0</v>
      </c>
      <c r="AL189" s="89"/>
      <c r="AM189" s="9"/>
      <c r="AN189" s="9"/>
      <c r="AO189" s="9"/>
      <c r="AP189" s="49">
        <f t="shared" si="608"/>
        <v>0</v>
      </c>
      <c r="AQ189" s="89"/>
      <c r="AR189" s="9"/>
      <c r="AS189" s="9"/>
      <c r="AT189" s="9"/>
      <c r="AU189" s="61">
        <f t="shared" si="609"/>
        <v>0</v>
      </c>
      <c r="AW189" s="9"/>
      <c r="AX189" s="9"/>
      <c r="AY189" s="9"/>
      <c r="AZ189" s="49"/>
      <c r="BA189" s="89"/>
      <c r="BB189" s="9"/>
      <c r="BC189" s="9"/>
      <c r="BD189" s="9"/>
      <c r="BE189" s="49"/>
      <c r="BF189" s="89"/>
      <c r="BG189" s="9"/>
      <c r="BH189" s="9"/>
      <c r="BI189" s="9"/>
      <c r="BJ189" s="49"/>
      <c r="BK189" s="89"/>
      <c r="BL189" s="9"/>
      <c r="BM189" s="9"/>
      <c r="BN189" s="9"/>
      <c r="BO189" s="49"/>
      <c r="BP189" s="89"/>
      <c r="BQ189" s="9"/>
      <c r="BR189" s="9"/>
      <c r="BS189" s="9"/>
      <c r="BT189" s="49">
        <f t="shared" si="610"/>
        <v>0</v>
      </c>
      <c r="BU189" s="89"/>
      <c r="BV189" s="9"/>
      <c r="BW189" s="9"/>
      <c r="BX189" s="9"/>
      <c r="BY189" s="49">
        <f t="shared" si="611"/>
        <v>0</v>
      </c>
      <c r="BZ189" s="89"/>
      <c r="CA189" s="9"/>
      <c r="CB189" s="9"/>
      <c r="CC189" s="9"/>
      <c r="CD189" s="46">
        <f t="shared" si="641"/>
        <v>0</v>
      </c>
      <c r="CE189" s="1406">
        <v>0</v>
      </c>
      <c r="CF189" s="833">
        <v>0</v>
      </c>
      <c r="CG189" s="833">
        <v>0</v>
      </c>
      <c r="CH189" s="833">
        <v>0</v>
      </c>
      <c r="CI189" s="833">
        <v>0</v>
      </c>
      <c r="CJ189" s="833">
        <v>0</v>
      </c>
      <c r="CK189" s="833">
        <v>0</v>
      </c>
      <c r="CL189" s="833">
        <v>0</v>
      </c>
      <c r="CM189" s="833">
        <v>0</v>
      </c>
      <c r="CN189" s="833">
        <v>0</v>
      </c>
      <c r="CO189" s="833">
        <v>0</v>
      </c>
      <c r="CP189" s="833">
        <v>0</v>
      </c>
      <c r="CQ189" s="833">
        <v>0</v>
      </c>
      <c r="CR189" s="833"/>
      <c r="CS189" s="1125">
        <f t="shared" si="615"/>
        <v>0</v>
      </c>
      <c r="CT189" s="31">
        <f t="shared" si="616"/>
        <v>0</v>
      </c>
      <c r="CU189" s="31">
        <f t="shared" si="617"/>
        <v>0</v>
      </c>
      <c r="CV189" s="31">
        <f t="shared" si="618"/>
        <v>0</v>
      </c>
      <c r="CW189" s="31">
        <f t="shared" si="619"/>
        <v>0</v>
      </c>
      <c r="CX189" s="31">
        <f t="shared" si="620"/>
        <v>0</v>
      </c>
      <c r="CY189" s="31">
        <f t="shared" si="621"/>
        <v>0</v>
      </c>
      <c r="CZ189" s="31">
        <f t="shared" si="622"/>
        <v>0</v>
      </c>
      <c r="DA189" s="31">
        <f t="shared" si="623"/>
        <v>0</v>
      </c>
      <c r="DB189" s="31">
        <f t="shared" si="624"/>
        <v>0</v>
      </c>
      <c r="DC189" s="31">
        <f t="shared" si="625"/>
        <v>0</v>
      </c>
      <c r="DD189" s="31">
        <f t="shared" si="626"/>
        <v>0</v>
      </c>
      <c r="DE189" s="78">
        <f t="shared" si="626"/>
        <v>0</v>
      </c>
    </row>
    <row r="190" spans="1:109" x14ac:dyDescent="0.2">
      <c r="A190" s="615" t="s">
        <v>4758</v>
      </c>
      <c r="B190" s="1368" t="s">
        <v>5161</v>
      </c>
      <c r="C190" s="1346" t="s">
        <v>5160</v>
      </c>
      <c r="D190" s="1331" t="s">
        <v>5046</v>
      </c>
      <c r="E190" s="133"/>
      <c r="F190" s="9">
        <v>1100</v>
      </c>
      <c r="G190" s="9">
        <f>450000+50000</f>
        <v>500000</v>
      </c>
      <c r="H190" s="9"/>
      <c r="I190" s="9"/>
      <c r="J190" s="29"/>
      <c r="K190" s="9"/>
      <c r="L190" s="9"/>
      <c r="M190" s="9"/>
      <c r="N190" s="9"/>
      <c r="O190" s="9"/>
      <c r="P190" s="9"/>
      <c r="Q190" s="49"/>
      <c r="R190" s="89"/>
      <c r="S190" s="9"/>
      <c r="T190" s="9"/>
      <c r="U190" s="9"/>
      <c r="V190" s="49">
        <f t="shared" si="605"/>
        <v>0</v>
      </c>
      <c r="W190" s="133"/>
      <c r="X190" s="9"/>
      <c r="Y190" s="46"/>
      <c r="Z190" s="9">
        <f>'Res-Gen'!F81</f>
        <v>1100</v>
      </c>
      <c r="AA190" s="46">
        <f t="shared" si="604"/>
        <v>0</v>
      </c>
      <c r="AB190" s="133"/>
      <c r="AC190" s="9"/>
      <c r="AD190" s="9"/>
      <c r="AE190" s="9">
        <f>'Res-Gen'!I81</f>
        <v>500000</v>
      </c>
      <c r="AF190" s="49">
        <f t="shared" si="606"/>
        <v>0</v>
      </c>
      <c r="AG190" s="89"/>
      <c r="AH190" s="9"/>
      <c r="AI190" s="9"/>
      <c r="AJ190" s="9"/>
      <c r="AK190" s="49">
        <f t="shared" si="607"/>
        <v>0</v>
      </c>
      <c r="AL190" s="89"/>
      <c r="AM190" s="9"/>
      <c r="AN190" s="9"/>
      <c r="AO190" s="9"/>
      <c r="AP190" s="49">
        <f t="shared" si="608"/>
        <v>0</v>
      </c>
      <c r="AQ190" s="89"/>
      <c r="AR190" s="9"/>
      <c r="AS190" s="9"/>
      <c r="AT190" s="9"/>
      <c r="AU190" s="61">
        <f t="shared" si="609"/>
        <v>0</v>
      </c>
      <c r="AW190" s="9"/>
      <c r="AX190" s="9"/>
      <c r="AY190" s="9"/>
      <c r="AZ190" s="49"/>
      <c r="BA190" s="89"/>
      <c r="BB190" s="9"/>
      <c r="BC190" s="9"/>
      <c r="BD190" s="9"/>
      <c r="BE190" s="49"/>
      <c r="BF190" s="89"/>
      <c r="BG190" s="9"/>
      <c r="BH190" s="9"/>
      <c r="BI190" s="9"/>
      <c r="BJ190" s="49"/>
      <c r="BK190" s="89"/>
      <c r="BL190" s="9"/>
      <c r="BM190" s="9"/>
      <c r="BN190" s="9"/>
      <c r="BO190" s="49"/>
      <c r="BP190" s="89"/>
      <c r="BQ190" s="9"/>
      <c r="BR190" s="9"/>
      <c r="BS190" s="9"/>
      <c r="BT190" s="49">
        <f t="shared" si="610"/>
        <v>0</v>
      </c>
      <c r="BU190" s="89"/>
      <c r="BV190" s="9"/>
      <c r="BW190" s="9"/>
      <c r="BX190" s="9"/>
      <c r="BY190" s="49">
        <f t="shared" si="611"/>
        <v>0</v>
      </c>
      <c r="BZ190" s="89"/>
      <c r="CA190" s="9"/>
      <c r="CB190" s="9"/>
      <c r="CC190" s="9"/>
      <c r="CD190" s="46">
        <f t="shared" si="641"/>
        <v>0</v>
      </c>
      <c r="CE190" s="1406">
        <v>0</v>
      </c>
      <c r="CF190" s="833">
        <v>0</v>
      </c>
      <c r="CG190" s="833">
        <v>0</v>
      </c>
      <c r="CH190" s="833">
        <v>0</v>
      </c>
      <c r="CI190" s="833">
        <v>0</v>
      </c>
      <c r="CJ190" s="833">
        <v>0</v>
      </c>
      <c r="CK190" s="833">
        <v>0</v>
      </c>
      <c r="CL190" s="833">
        <v>0</v>
      </c>
      <c r="CM190" s="833">
        <v>0</v>
      </c>
      <c r="CN190" s="833">
        <v>0</v>
      </c>
      <c r="CO190" s="833">
        <v>0</v>
      </c>
      <c r="CP190" s="833">
        <v>0</v>
      </c>
      <c r="CQ190" s="833">
        <v>0</v>
      </c>
      <c r="CR190" s="833"/>
      <c r="CS190" s="1125">
        <f t="shared" si="615"/>
        <v>0</v>
      </c>
      <c r="CT190" s="31">
        <f t="shared" si="616"/>
        <v>0</v>
      </c>
      <c r="CU190" s="31">
        <f t="shared" si="617"/>
        <v>0</v>
      </c>
      <c r="CV190" s="31">
        <f t="shared" si="618"/>
        <v>0</v>
      </c>
      <c r="CW190" s="31">
        <f t="shared" si="619"/>
        <v>0</v>
      </c>
      <c r="CX190" s="31">
        <f t="shared" si="620"/>
        <v>0</v>
      </c>
      <c r="CY190" s="31">
        <f t="shared" si="621"/>
        <v>0</v>
      </c>
      <c r="CZ190" s="31">
        <f t="shared" si="622"/>
        <v>0</v>
      </c>
      <c r="DA190" s="31">
        <f t="shared" si="623"/>
        <v>0</v>
      </c>
      <c r="DB190" s="31">
        <f t="shared" si="624"/>
        <v>0</v>
      </c>
      <c r="DC190" s="31">
        <f t="shared" si="625"/>
        <v>0</v>
      </c>
      <c r="DD190" s="31">
        <f t="shared" si="626"/>
        <v>0</v>
      </c>
      <c r="DE190" s="78">
        <f t="shared" si="626"/>
        <v>0</v>
      </c>
    </row>
    <row r="191" spans="1:109" x14ac:dyDescent="0.2">
      <c r="A191" s="296"/>
      <c r="B191" s="1269"/>
      <c r="C191" s="1337"/>
      <c r="D191" s="1333"/>
      <c r="E191" s="133"/>
      <c r="F191" s="89"/>
      <c r="G191" s="9"/>
      <c r="H191" s="9"/>
      <c r="I191" s="9"/>
      <c r="J191" s="9"/>
      <c r="K191" s="89"/>
      <c r="L191" s="9"/>
      <c r="M191" s="89"/>
      <c r="N191" s="9"/>
      <c r="O191" s="9"/>
      <c r="P191" s="9"/>
      <c r="Q191" s="49"/>
      <c r="R191" s="89"/>
      <c r="S191" s="9"/>
      <c r="T191" s="9"/>
      <c r="U191" s="9"/>
      <c r="V191" s="49"/>
      <c r="W191" s="133"/>
      <c r="X191" s="9"/>
      <c r="Y191" s="46"/>
      <c r="Z191" s="9"/>
      <c r="AA191" s="46">
        <f t="shared" si="604"/>
        <v>0</v>
      </c>
      <c r="AB191" s="133"/>
      <c r="AC191" s="9"/>
      <c r="AD191" s="9"/>
      <c r="AE191" s="9"/>
      <c r="AF191" s="49"/>
      <c r="AG191" s="89"/>
      <c r="AH191" s="9"/>
      <c r="AI191" s="9"/>
      <c r="AJ191" s="9"/>
      <c r="AK191" s="49"/>
      <c r="AL191" s="89"/>
      <c r="AM191" s="9"/>
      <c r="AN191" s="9"/>
      <c r="AO191" s="9"/>
      <c r="AP191" s="49"/>
      <c r="AQ191" s="89"/>
      <c r="AR191" s="9"/>
      <c r="AS191" s="9"/>
      <c r="AT191" s="9"/>
      <c r="AU191" s="61"/>
      <c r="AW191" s="9"/>
      <c r="AX191" s="9"/>
      <c r="AY191" s="9"/>
      <c r="AZ191" s="49"/>
      <c r="BA191" s="89"/>
      <c r="BB191" s="9"/>
      <c r="BC191" s="9"/>
      <c r="BD191" s="9"/>
      <c r="BE191" s="49"/>
      <c r="BF191" s="89"/>
      <c r="BG191" s="9"/>
      <c r="BH191" s="9"/>
      <c r="BI191" s="9"/>
      <c r="BJ191" s="49"/>
      <c r="BK191" s="89"/>
      <c r="BL191" s="9"/>
      <c r="BM191" s="9"/>
      <c r="BN191" s="9"/>
      <c r="BO191" s="49"/>
      <c r="BP191" s="89"/>
      <c r="BQ191" s="9"/>
      <c r="BR191" s="9"/>
      <c r="BS191" s="9"/>
      <c r="BT191" s="49"/>
      <c r="BU191" s="89"/>
      <c r="BV191" s="9"/>
      <c r="BW191" s="9"/>
      <c r="BX191" s="9"/>
      <c r="BY191" s="49"/>
      <c r="BZ191" s="89"/>
      <c r="CA191" s="9"/>
      <c r="CB191" s="9"/>
      <c r="CC191" s="9"/>
      <c r="CE191" s="1405"/>
      <c r="CF191" s="538"/>
      <c r="CG191" s="538"/>
      <c r="CH191" s="538"/>
      <c r="CI191" s="538"/>
      <c r="CJ191" s="538"/>
      <c r="CK191" s="538"/>
      <c r="CL191" s="538"/>
      <c r="CM191" s="538"/>
      <c r="CN191" s="538"/>
      <c r="CO191" s="538"/>
      <c r="CP191" s="538"/>
      <c r="CQ191" s="538"/>
      <c r="CR191" s="538"/>
      <c r="CS191" s="350"/>
      <c r="CT191" s="46"/>
      <c r="CU191" s="46"/>
      <c r="CV191" s="46"/>
      <c r="CW191" s="46"/>
      <c r="CX191" s="46"/>
      <c r="CY191" s="46"/>
      <c r="CZ191" s="46"/>
      <c r="DA191" s="46"/>
      <c r="DB191" s="46"/>
      <c r="DC191" s="46"/>
      <c r="DD191" s="46"/>
      <c r="DE191" s="61"/>
    </row>
    <row r="192" spans="1:109" x14ac:dyDescent="0.2">
      <c r="A192" s="413" t="s">
        <v>5501</v>
      </c>
      <c r="B192" s="1360"/>
      <c r="C192" s="1338"/>
      <c r="D192" s="1384"/>
      <c r="E192" s="133"/>
      <c r="F192" s="89"/>
      <c r="G192" s="9"/>
      <c r="H192" s="9"/>
      <c r="I192" s="9"/>
      <c r="J192" s="9"/>
      <c r="K192" s="89"/>
      <c r="L192" s="9"/>
      <c r="M192" s="89"/>
      <c r="N192" s="9"/>
      <c r="O192" s="9"/>
      <c r="P192" s="9"/>
      <c r="Q192" s="49"/>
      <c r="R192" s="89"/>
      <c r="S192" s="9"/>
      <c r="T192" s="9"/>
      <c r="U192" s="9"/>
      <c r="V192" s="49"/>
      <c r="W192" s="133"/>
      <c r="X192" s="9"/>
      <c r="Y192" s="46"/>
      <c r="Z192" s="9"/>
      <c r="AA192" s="46">
        <f t="shared" si="604"/>
        <v>0</v>
      </c>
      <c r="AB192" s="133"/>
      <c r="AC192" s="9"/>
      <c r="AD192" s="9"/>
      <c r="AE192" s="9"/>
      <c r="AF192" s="49"/>
      <c r="AG192" s="89"/>
      <c r="AH192" s="9"/>
      <c r="AI192" s="9"/>
      <c r="AJ192" s="9"/>
      <c r="AK192" s="49"/>
      <c r="AL192" s="89"/>
      <c r="AM192" s="9"/>
      <c r="AN192" s="9"/>
      <c r="AO192" s="9"/>
      <c r="AP192" s="49"/>
      <c r="AQ192" s="89"/>
      <c r="AR192" s="9"/>
      <c r="AS192" s="9"/>
      <c r="AT192" s="9"/>
      <c r="AU192" s="61"/>
      <c r="AW192" s="9"/>
      <c r="AX192" s="9"/>
      <c r="AY192" s="9"/>
      <c r="AZ192" s="49"/>
      <c r="BA192" s="89"/>
      <c r="BB192" s="9"/>
      <c r="BC192" s="9"/>
      <c r="BD192" s="9"/>
      <c r="BE192" s="49"/>
      <c r="BF192" s="89"/>
      <c r="BG192" s="9"/>
      <c r="BH192" s="9"/>
      <c r="BI192" s="9"/>
      <c r="BJ192" s="49"/>
      <c r="BK192" s="89"/>
      <c r="BL192" s="9"/>
      <c r="BM192" s="9"/>
      <c r="BN192" s="9"/>
      <c r="BO192" s="49"/>
      <c r="BP192" s="89"/>
      <c r="BQ192" s="9"/>
      <c r="BR192" s="9"/>
      <c r="BS192" s="9"/>
      <c r="BT192" s="49"/>
      <c r="BU192" s="89"/>
      <c r="BV192" s="9"/>
      <c r="BW192" s="9"/>
      <c r="BX192" s="9"/>
      <c r="BY192" s="49"/>
      <c r="BZ192" s="89"/>
      <c r="CA192" s="9"/>
      <c r="CB192" s="9"/>
      <c r="CC192" s="9"/>
      <c r="CE192" s="1405"/>
      <c r="CF192" s="538"/>
      <c r="CG192" s="538"/>
      <c r="CH192" s="538"/>
      <c r="CI192" s="538"/>
      <c r="CJ192" s="538"/>
      <c r="CK192" s="538"/>
      <c r="CL192" s="538"/>
      <c r="CM192" s="538"/>
      <c r="CN192" s="538"/>
      <c r="CO192" s="538"/>
      <c r="CP192" s="538"/>
      <c r="CQ192" s="538"/>
      <c r="CR192" s="538"/>
      <c r="CS192" s="350"/>
      <c r="CT192" s="46"/>
      <c r="CU192" s="46"/>
      <c r="CV192" s="46"/>
      <c r="CW192" s="46"/>
      <c r="CX192" s="46"/>
      <c r="CY192" s="46"/>
      <c r="CZ192" s="46"/>
      <c r="DA192" s="46"/>
      <c r="DB192" s="46"/>
      <c r="DC192" s="46"/>
      <c r="DD192" s="46"/>
      <c r="DE192" s="61"/>
    </row>
    <row r="193" spans="1:109" x14ac:dyDescent="0.2">
      <c r="A193" s="615" t="s">
        <v>5452</v>
      </c>
      <c r="B193" s="1368" t="s">
        <v>5163</v>
      </c>
      <c r="C193" s="1346" t="s">
        <v>5162</v>
      </c>
      <c r="D193" s="1331" t="s">
        <v>5162</v>
      </c>
      <c r="E193" s="350"/>
      <c r="F193" s="29"/>
      <c r="G193" s="9">
        <v>107000</v>
      </c>
      <c r="H193" s="9">
        <v>175000</v>
      </c>
      <c r="I193" s="29">
        <f>ROUND((H193*Assumptions!J$6+H193),-3)</f>
        <v>182000</v>
      </c>
      <c r="J193" s="29">
        <f>ROUND((I193*Assumptions!K$6+I193),-3)</f>
        <v>187000</v>
      </c>
      <c r="K193" s="9">
        <f>ROUND((J193*Assumptions!L$6+J193),-3)</f>
        <v>192000</v>
      </c>
      <c r="L193" s="9">
        <f>ROUND((K193*Assumptions!M$6+K193),-3)</f>
        <v>197000</v>
      </c>
      <c r="M193" s="89">
        <f>ROUND((L193*Assumptions!N$6+L193),-3)</f>
        <v>202000</v>
      </c>
      <c r="N193" s="9">
        <f>ROUND((M193*Assumptions!O$6+M193),-3)</f>
        <v>207000</v>
      </c>
      <c r="O193" s="9">
        <f>ROUND((N193*Assumptions!P$6+N193),-3)</f>
        <v>212000</v>
      </c>
      <c r="P193" s="9">
        <f>ROUND((O193*Assumptions!Q$6+O193),-3)</f>
        <v>217000</v>
      </c>
      <c r="Q193" s="49">
        <f>ROUND((P193*Assumptions!R$6+P193),-3)</f>
        <v>222000</v>
      </c>
      <c r="R193" s="89"/>
      <c r="S193" s="9"/>
      <c r="T193" s="9"/>
      <c r="U193" s="9">
        <v>0</v>
      </c>
      <c r="V193" s="49">
        <f>E193-R193-S193-T193-U193</f>
        <v>0</v>
      </c>
      <c r="W193" s="133"/>
      <c r="X193" s="9"/>
      <c r="Y193" s="46"/>
      <c r="Z193" s="9"/>
      <c r="AA193" s="46">
        <f t="shared" si="604"/>
        <v>0</v>
      </c>
      <c r="AB193" s="133"/>
      <c r="AC193" s="9"/>
      <c r="AD193" s="9"/>
      <c r="AE193" s="9">
        <f>+G193</f>
        <v>107000</v>
      </c>
      <c r="AF193" s="49">
        <f t="shared" ref="AF193:AF198" si="643">G193-AB193-AC193-AD193-AE193</f>
        <v>0</v>
      </c>
      <c r="AG193" s="89"/>
      <c r="AH193" s="9"/>
      <c r="AI193" s="9"/>
      <c r="AJ193" s="9"/>
      <c r="AK193" s="49">
        <f t="shared" ref="AK193:AK198" si="644">H193-AG193-AH193-AI193-AJ193</f>
        <v>175000</v>
      </c>
      <c r="AL193" s="89"/>
      <c r="AM193" s="9"/>
      <c r="AN193" s="9"/>
      <c r="AO193" s="9"/>
      <c r="AP193" s="49">
        <f>I193-AL193-AM193-AN193-AO193</f>
        <v>182000</v>
      </c>
      <c r="AQ193" s="89"/>
      <c r="AR193" s="9"/>
      <c r="AS193" s="9"/>
      <c r="AT193" s="9"/>
      <c r="AU193" s="61">
        <f>J193-AQ193-AR193-AS193-AT193</f>
        <v>187000</v>
      </c>
      <c r="AW193" s="9"/>
      <c r="AX193" s="9"/>
      <c r="AY193" s="9"/>
      <c r="AZ193" s="49">
        <f>K193-AV193-AW193-AX193-AY193</f>
        <v>192000</v>
      </c>
      <c r="BA193" s="89"/>
      <c r="BB193" s="9"/>
      <c r="BC193" s="9"/>
      <c r="BD193" s="9"/>
      <c r="BE193" s="49">
        <f>L193-BA193-BB193-BC193-BD193</f>
        <v>197000</v>
      </c>
      <c r="BF193" s="89"/>
      <c r="BG193" s="9"/>
      <c r="BH193" s="9"/>
      <c r="BI193" s="9"/>
      <c r="BJ193" s="49">
        <f>M193-BF193-BG193-BH193-BI193</f>
        <v>202000</v>
      </c>
      <c r="BK193" s="89"/>
      <c r="BL193" s="9"/>
      <c r="BM193" s="9"/>
      <c r="BN193" s="9"/>
      <c r="BO193" s="49">
        <f>N193-BK193-BL193-BM193-BN193</f>
        <v>207000</v>
      </c>
      <c r="BP193" s="89"/>
      <c r="BQ193" s="9"/>
      <c r="BR193" s="9"/>
      <c r="BS193" s="9"/>
      <c r="BT193" s="49">
        <f>O193-BP193-BQ193-BR193-BS193</f>
        <v>212000</v>
      </c>
      <c r="BU193" s="89"/>
      <c r="BV193" s="9"/>
      <c r="BW193" s="9"/>
      <c r="BX193" s="9"/>
      <c r="BY193" s="49">
        <f t="shared" ref="BY193:BY203" si="645">P193-BU193-BV193-BW193-BX193</f>
        <v>217000</v>
      </c>
      <c r="BZ193" s="89"/>
      <c r="CA193" s="9"/>
      <c r="CB193" s="9"/>
      <c r="CC193" s="9"/>
      <c r="CD193" s="46">
        <f t="shared" ref="CD193:CD198" si="646">Q193-BZ193-CA193-CB193-CC193</f>
        <v>222000</v>
      </c>
      <c r="CE193" s="1406">
        <v>1</v>
      </c>
      <c r="CF193" s="833">
        <f t="shared" ref="CF193:CN193" si="647">CE193</f>
        <v>1</v>
      </c>
      <c r="CG193" s="833">
        <f t="shared" si="647"/>
        <v>1</v>
      </c>
      <c r="CH193" s="833">
        <f t="shared" si="647"/>
        <v>1</v>
      </c>
      <c r="CI193" s="833">
        <f t="shared" si="647"/>
        <v>1</v>
      </c>
      <c r="CJ193" s="833">
        <f t="shared" si="647"/>
        <v>1</v>
      </c>
      <c r="CK193" s="833">
        <f t="shared" si="647"/>
        <v>1</v>
      </c>
      <c r="CL193" s="833">
        <f t="shared" si="647"/>
        <v>1</v>
      </c>
      <c r="CM193" s="833">
        <f t="shared" si="647"/>
        <v>1</v>
      </c>
      <c r="CN193" s="833">
        <f t="shared" si="647"/>
        <v>1</v>
      </c>
      <c r="CO193" s="833">
        <f t="shared" ref="CO193:CQ198" si="648">CN193</f>
        <v>1</v>
      </c>
      <c r="CP193" s="833">
        <f t="shared" si="648"/>
        <v>1</v>
      </c>
      <c r="CQ193" s="833">
        <f t="shared" si="648"/>
        <v>1</v>
      </c>
      <c r="CR193" s="833"/>
      <c r="CS193" s="1125">
        <f t="shared" ref="CS193:DE198" si="649">ROUND(CE193*E193,-3)</f>
        <v>0</v>
      </c>
      <c r="CT193" s="31">
        <f t="shared" si="649"/>
        <v>0</v>
      </c>
      <c r="CU193" s="31">
        <f t="shared" si="649"/>
        <v>107000</v>
      </c>
      <c r="CV193" s="31">
        <f t="shared" si="649"/>
        <v>175000</v>
      </c>
      <c r="CW193" s="31">
        <f t="shared" si="649"/>
        <v>182000</v>
      </c>
      <c r="CX193" s="31">
        <f t="shared" si="649"/>
        <v>187000</v>
      </c>
      <c r="CY193" s="31">
        <f t="shared" si="649"/>
        <v>192000</v>
      </c>
      <c r="CZ193" s="31">
        <f t="shared" si="649"/>
        <v>197000</v>
      </c>
      <c r="DA193" s="31">
        <f t="shared" si="649"/>
        <v>202000</v>
      </c>
      <c r="DB193" s="31">
        <f t="shared" si="649"/>
        <v>207000</v>
      </c>
      <c r="DC193" s="31">
        <f t="shared" si="649"/>
        <v>212000</v>
      </c>
      <c r="DD193" s="31">
        <f t="shared" si="649"/>
        <v>217000</v>
      </c>
      <c r="DE193" s="78">
        <f t="shared" si="649"/>
        <v>222000</v>
      </c>
    </row>
    <row r="194" spans="1:109" x14ac:dyDescent="0.2">
      <c r="A194" s="615" t="s">
        <v>6647</v>
      </c>
      <c r="B194" s="1368" t="s">
        <v>7104</v>
      </c>
      <c r="C194" s="1346" t="s">
        <v>7103</v>
      </c>
      <c r="D194" s="1346" t="s">
        <v>7103</v>
      </c>
      <c r="E194" s="350"/>
      <c r="F194" s="29"/>
      <c r="G194" s="9">
        <v>20000</v>
      </c>
      <c r="H194" s="9"/>
      <c r="I194" s="29"/>
      <c r="J194" s="29"/>
      <c r="K194" s="29"/>
      <c r="L194" s="9"/>
      <c r="M194" s="89"/>
      <c r="N194" s="9"/>
      <c r="O194" s="9"/>
      <c r="P194" s="9"/>
      <c r="Q194" s="49"/>
      <c r="R194" s="89"/>
      <c r="S194" s="9"/>
      <c r="T194" s="9"/>
      <c r="U194" s="9"/>
      <c r="V194" s="49"/>
      <c r="W194" s="133"/>
      <c r="X194" s="9"/>
      <c r="Y194" s="46"/>
      <c r="Z194" s="9"/>
      <c r="AA194" s="46">
        <f t="shared" si="604"/>
        <v>0</v>
      </c>
      <c r="AB194" s="133"/>
      <c r="AC194" s="9"/>
      <c r="AD194" s="9"/>
      <c r="AE194" s="9"/>
      <c r="AF194" s="49">
        <f t="shared" si="643"/>
        <v>20000</v>
      </c>
      <c r="AG194" s="89"/>
      <c r="AH194" s="9"/>
      <c r="AI194" s="9"/>
      <c r="AJ194" s="9"/>
      <c r="AK194" s="49">
        <f t="shared" si="644"/>
        <v>0</v>
      </c>
      <c r="AL194" s="89"/>
      <c r="AM194" s="9"/>
      <c r="AN194" s="9"/>
      <c r="AO194" s="9"/>
      <c r="AP194" s="49">
        <f t="shared" ref="AP194:AP198" si="650">I194-AL194-AM194-AN194-AO194</f>
        <v>0</v>
      </c>
      <c r="AQ194" s="89"/>
      <c r="AR194" s="9"/>
      <c r="AS194" s="9"/>
      <c r="AT194" s="9"/>
      <c r="AU194" s="61">
        <f t="shared" ref="AU194:AU198" si="651">J194-AQ194-AR194-AS194-AT194</f>
        <v>0</v>
      </c>
      <c r="AW194" s="9"/>
      <c r="AX194" s="9"/>
      <c r="AY194" s="9"/>
      <c r="AZ194" s="49">
        <f t="shared" ref="AZ194:AZ198" si="652">K194-AV194-AW194-AX194-AY194</f>
        <v>0</v>
      </c>
      <c r="BA194" s="89"/>
      <c r="BB194" s="9"/>
      <c r="BC194" s="9"/>
      <c r="BD194" s="9"/>
      <c r="BE194" s="49">
        <f t="shared" ref="BE194:BE198" si="653">L194-BA194-BB194-BC194-BD194</f>
        <v>0</v>
      </c>
      <c r="BF194" s="89"/>
      <c r="BG194" s="9"/>
      <c r="BH194" s="9"/>
      <c r="BI194" s="9"/>
      <c r="BJ194" s="49">
        <f t="shared" ref="BJ194:BJ198" si="654">M194-BF194-BG194-BH194-BI194</f>
        <v>0</v>
      </c>
      <c r="BK194" s="89"/>
      <c r="BL194" s="9"/>
      <c r="BM194" s="9"/>
      <c r="BN194" s="9"/>
      <c r="BO194" s="49">
        <f t="shared" ref="BO194:BO203" si="655">N194-BK194-BL194-BM194-BN194</f>
        <v>0</v>
      </c>
      <c r="BP194" s="89"/>
      <c r="BQ194" s="9"/>
      <c r="BR194" s="9"/>
      <c r="BS194" s="9"/>
      <c r="BT194" s="49">
        <f t="shared" ref="BT194:BT203" si="656">O194-BP194-BQ194-BR194-BS194</f>
        <v>0</v>
      </c>
      <c r="BU194" s="89"/>
      <c r="BV194" s="9"/>
      <c r="BW194" s="9"/>
      <c r="BX194" s="9"/>
      <c r="BY194" s="49">
        <f t="shared" si="645"/>
        <v>0</v>
      </c>
      <c r="BZ194" s="89"/>
      <c r="CA194" s="9"/>
      <c r="CB194" s="9"/>
      <c r="CC194" s="9"/>
      <c r="CD194" s="46">
        <f t="shared" si="646"/>
        <v>0</v>
      </c>
      <c r="CE194" s="1406">
        <v>1</v>
      </c>
      <c r="CF194" s="833">
        <f t="shared" ref="CF194:CF195" si="657">CE194</f>
        <v>1</v>
      </c>
      <c r="CG194" s="833">
        <f t="shared" ref="CG194:CG195" si="658">CF194</f>
        <v>1</v>
      </c>
      <c r="CH194" s="833">
        <f t="shared" ref="CH194:CH195" si="659">CG194</f>
        <v>1</v>
      </c>
      <c r="CI194" s="833">
        <f t="shared" ref="CI194:CI195" si="660">CH194</f>
        <v>1</v>
      </c>
      <c r="CJ194" s="833">
        <f t="shared" ref="CJ194:CJ195" si="661">CI194</f>
        <v>1</v>
      </c>
      <c r="CK194" s="833">
        <f t="shared" ref="CK194:CK195" si="662">CJ194</f>
        <v>1</v>
      </c>
      <c r="CL194" s="833">
        <f t="shared" ref="CL194:CL195" si="663">CK194</f>
        <v>1</v>
      </c>
      <c r="CM194" s="833">
        <f t="shared" ref="CM194:CM195" si="664">CL194</f>
        <v>1</v>
      </c>
      <c r="CN194" s="833">
        <f t="shared" ref="CN194:CN195" si="665">CM194</f>
        <v>1</v>
      </c>
      <c r="CO194" s="833">
        <f t="shared" si="648"/>
        <v>1</v>
      </c>
      <c r="CP194" s="833">
        <f t="shared" si="648"/>
        <v>1</v>
      </c>
      <c r="CQ194" s="833">
        <f t="shared" si="648"/>
        <v>1</v>
      </c>
      <c r="CR194" s="833"/>
      <c r="CS194" s="1125">
        <f t="shared" si="649"/>
        <v>0</v>
      </c>
      <c r="CT194" s="31">
        <f t="shared" si="649"/>
        <v>0</v>
      </c>
      <c r="CU194" s="31">
        <f t="shared" si="649"/>
        <v>20000</v>
      </c>
      <c r="CV194" s="31">
        <f t="shared" si="649"/>
        <v>0</v>
      </c>
      <c r="CW194" s="31">
        <f t="shared" si="649"/>
        <v>0</v>
      </c>
      <c r="CX194" s="31">
        <f t="shared" si="649"/>
        <v>0</v>
      </c>
      <c r="CY194" s="31">
        <f t="shared" si="649"/>
        <v>0</v>
      </c>
      <c r="CZ194" s="31">
        <f t="shared" si="649"/>
        <v>0</v>
      </c>
      <c r="DA194" s="31">
        <f t="shared" si="649"/>
        <v>0</v>
      </c>
      <c r="DB194" s="31">
        <f t="shared" si="649"/>
        <v>0</v>
      </c>
      <c r="DC194" s="31">
        <f t="shared" si="649"/>
        <v>0</v>
      </c>
      <c r="DD194" s="31">
        <f t="shared" si="649"/>
        <v>0</v>
      </c>
      <c r="DE194" s="78">
        <f t="shared" si="649"/>
        <v>0</v>
      </c>
    </row>
    <row r="195" spans="1:109" x14ac:dyDescent="0.2">
      <c r="A195" s="615" t="s">
        <v>2365</v>
      </c>
      <c r="B195" s="1368" t="s">
        <v>6121</v>
      </c>
      <c r="C195" s="1346" t="s">
        <v>5909</v>
      </c>
      <c r="D195" s="1331" t="s">
        <v>5909</v>
      </c>
      <c r="E195" s="350"/>
      <c r="F195" s="29">
        <f>+F506</f>
        <v>45000</v>
      </c>
      <c r="G195" s="9"/>
      <c r="H195" s="9"/>
      <c r="I195" s="29"/>
      <c r="J195" s="29"/>
      <c r="K195" s="29"/>
      <c r="L195" s="9"/>
      <c r="M195" s="89"/>
      <c r="N195" s="9"/>
      <c r="O195" s="9"/>
      <c r="P195" s="9"/>
      <c r="Q195" s="49"/>
      <c r="R195" s="89"/>
      <c r="S195" s="9"/>
      <c r="T195" s="9"/>
      <c r="U195" s="9"/>
      <c r="V195" s="49"/>
      <c r="W195" s="133"/>
      <c r="X195" s="9"/>
      <c r="Y195" s="46"/>
      <c r="Z195" s="9">
        <f>'Res-Gen'!F229</f>
        <v>0</v>
      </c>
      <c r="AA195" s="46">
        <f t="shared" si="604"/>
        <v>45000</v>
      </c>
      <c r="AB195" s="133"/>
      <c r="AC195" s="9"/>
      <c r="AD195" s="9"/>
      <c r="AE195" s="9"/>
      <c r="AF195" s="49">
        <f t="shared" si="643"/>
        <v>0</v>
      </c>
      <c r="AG195" s="89"/>
      <c r="AH195" s="9"/>
      <c r="AI195" s="9"/>
      <c r="AJ195" s="9"/>
      <c r="AK195" s="49">
        <f t="shared" si="644"/>
        <v>0</v>
      </c>
      <c r="AL195" s="89"/>
      <c r="AM195" s="9"/>
      <c r="AN195" s="9"/>
      <c r="AO195" s="9"/>
      <c r="AP195" s="49">
        <f t="shared" si="650"/>
        <v>0</v>
      </c>
      <c r="AQ195" s="89"/>
      <c r="AR195" s="9"/>
      <c r="AS195" s="9"/>
      <c r="AT195" s="9"/>
      <c r="AU195" s="61">
        <f t="shared" si="651"/>
        <v>0</v>
      </c>
      <c r="AW195" s="9"/>
      <c r="AX195" s="9"/>
      <c r="AY195" s="9"/>
      <c r="AZ195" s="49">
        <f t="shared" si="652"/>
        <v>0</v>
      </c>
      <c r="BA195" s="89"/>
      <c r="BB195" s="9"/>
      <c r="BC195" s="9"/>
      <c r="BD195" s="9"/>
      <c r="BE195" s="49">
        <f t="shared" si="653"/>
        <v>0</v>
      </c>
      <c r="BF195" s="89"/>
      <c r="BG195" s="9"/>
      <c r="BH195" s="9"/>
      <c r="BI195" s="9"/>
      <c r="BJ195" s="49">
        <f t="shared" si="654"/>
        <v>0</v>
      </c>
      <c r="BK195" s="89"/>
      <c r="BL195" s="9"/>
      <c r="BM195" s="9"/>
      <c r="BN195" s="9"/>
      <c r="BO195" s="49">
        <f t="shared" si="655"/>
        <v>0</v>
      </c>
      <c r="BP195" s="89"/>
      <c r="BQ195" s="9"/>
      <c r="BR195" s="9"/>
      <c r="BS195" s="9"/>
      <c r="BT195" s="49">
        <f t="shared" si="656"/>
        <v>0</v>
      </c>
      <c r="BU195" s="89"/>
      <c r="BV195" s="9"/>
      <c r="BW195" s="9"/>
      <c r="BX195" s="9"/>
      <c r="BY195" s="49">
        <f t="shared" si="645"/>
        <v>0</v>
      </c>
      <c r="BZ195" s="89"/>
      <c r="CA195" s="9"/>
      <c r="CB195" s="9"/>
      <c r="CC195" s="9"/>
      <c r="CD195" s="46">
        <f t="shared" si="646"/>
        <v>0</v>
      </c>
      <c r="CE195" s="1406">
        <v>1</v>
      </c>
      <c r="CF195" s="833">
        <f t="shared" si="657"/>
        <v>1</v>
      </c>
      <c r="CG195" s="833">
        <f t="shared" si="658"/>
        <v>1</v>
      </c>
      <c r="CH195" s="833">
        <f t="shared" si="659"/>
        <v>1</v>
      </c>
      <c r="CI195" s="833">
        <f t="shared" si="660"/>
        <v>1</v>
      </c>
      <c r="CJ195" s="833">
        <f t="shared" si="661"/>
        <v>1</v>
      </c>
      <c r="CK195" s="833">
        <f t="shared" si="662"/>
        <v>1</v>
      </c>
      <c r="CL195" s="833">
        <f t="shared" si="663"/>
        <v>1</v>
      </c>
      <c r="CM195" s="833">
        <f t="shared" si="664"/>
        <v>1</v>
      </c>
      <c r="CN195" s="833">
        <f t="shared" si="665"/>
        <v>1</v>
      </c>
      <c r="CO195" s="833">
        <f t="shared" si="648"/>
        <v>1</v>
      </c>
      <c r="CP195" s="833">
        <f t="shared" si="648"/>
        <v>1</v>
      </c>
      <c r="CQ195" s="833">
        <f t="shared" si="648"/>
        <v>1</v>
      </c>
      <c r="CR195" s="833"/>
      <c r="CS195" s="1125">
        <f t="shared" si="649"/>
        <v>0</v>
      </c>
      <c r="CT195" s="31">
        <f t="shared" si="649"/>
        <v>45000</v>
      </c>
      <c r="CU195" s="31">
        <f t="shared" si="649"/>
        <v>0</v>
      </c>
      <c r="CV195" s="31">
        <f t="shared" si="649"/>
        <v>0</v>
      </c>
      <c r="CW195" s="31">
        <f t="shared" si="649"/>
        <v>0</v>
      </c>
      <c r="CX195" s="31">
        <f t="shared" si="649"/>
        <v>0</v>
      </c>
      <c r="CY195" s="31">
        <f t="shared" si="649"/>
        <v>0</v>
      </c>
      <c r="CZ195" s="31">
        <f t="shared" si="649"/>
        <v>0</v>
      </c>
      <c r="DA195" s="31">
        <f t="shared" si="649"/>
        <v>0</v>
      </c>
      <c r="DB195" s="31">
        <f t="shared" si="649"/>
        <v>0</v>
      </c>
      <c r="DC195" s="31">
        <f t="shared" si="649"/>
        <v>0</v>
      </c>
      <c r="DD195" s="31">
        <f t="shared" si="649"/>
        <v>0</v>
      </c>
      <c r="DE195" s="78">
        <f t="shared" si="649"/>
        <v>0</v>
      </c>
    </row>
    <row r="196" spans="1:109" s="80" customFormat="1" x14ac:dyDescent="0.2">
      <c r="A196" s="615" t="s">
        <v>3001</v>
      </c>
      <c r="B196" s="1354" t="s">
        <v>2633</v>
      </c>
      <c r="C196" s="1335" t="s">
        <v>4077</v>
      </c>
      <c r="D196" s="1331" t="s">
        <v>2633</v>
      </c>
      <c r="E196" s="641">
        <v>2695900</v>
      </c>
      <c r="F196" s="79">
        <f>+F503+F504</f>
        <v>3484500</v>
      </c>
      <c r="G196" s="79">
        <f>106700+95300</f>
        <v>202000</v>
      </c>
      <c r="H196" s="79"/>
      <c r="I196" s="30"/>
      <c r="J196" s="30"/>
      <c r="K196" s="30"/>
      <c r="L196" s="9"/>
      <c r="M196" s="79"/>
      <c r="N196" s="79"/>
      <c r="O196" s="79"/>
      <c r="P196" s="79"/>
      <c r="Q196" s="587"/>
      <c r="R196" s="77"/>
      <c r="S196" s="79"/>
      <c r="T196" s="79"/>
      <c r="U196" s="79">
        <v>2695900</v>
      </c>
      <c r="V196" s="49">
        <f>E196-R196-S196-T196-U196</f>
        <v>0</v>
      </c>
      <c r="W196" s="641">
        <v>30000</v>
      </c>
      <c r="X196" s="79"/>
      <c r="Y196" s="31"/>
      <c r="Z196" s="79">
        <f>+F196-W196</f>
        <v>3454500</v>
      </c>
      <c r="AA196" s="46">
        <f t="shared" si="604"/>
        <v>0</v>
      </c>
      <c r="AB196" s="641"/>
      <c r="AC196" s="79"/>
      <c r="AD196" s="79"/>
      <c r="AE196" s="79">
        <f>+G196</f>
        <v>202000</v>
      </c>
      <c r="AF196" s="49">
        <f t="shared" si="643"/>
        <v>0</v>
      </c>
      <c r="AG196" s="77"/>
      <c r="AH196" s="79"/>
      <c r="AI196" s="79"/>
      <c r="AJ196" s="79"/>
      <c r="AK196" s="49">
        <f t="shared" si="644"/>
        <v>0</v>
      </c>
      <c r="AL196" s="77"/>
      <c r="AM196" s="79"/>
      <c r="AN196" s="79"/>
      <c r="AO196" s="79"/>
      <c r="AP196" s="49">
        <f t="shared" si="650"/>
        <v>0</v>
      </c>
      <c r="AQ196" s="77"/>
      <c r="AR196" s="79"/>
      <c r="AS196" s="79"/>
      <c r="AT196" s="79"/>
      <c r="AU196" s="61">
        <f t="shared" si="651"/>
        <v>0</v>
      </c>
      <c r="AV196" s="31"/>
      <c r="AW196" s="79"/>
      <c r="AX196" s="79"/>
      <c r="AY196" s="79"/>
      <c r="AZ196" s="49">
        <f t="shared" si="652"/>
        <v>0</v>
      </c>
      <c r="BA196" s="77"/>
      <c r="BB196" s="79"/>
      <c r="BC196" s="79"/>
      <c r="BD196" s="79"/>
      <c r="BE196" s="49">
        <f t="shared" si="653"/>
        <v>0</v>
      </c>
      <c r="BF196" s="77"/>
      <c r="BG196" s="79"/>
      <c r="BH196" s="79"/>
      <c r="BI196" s="79"/>
      <c r="BJ196" s="49">
        <f t="shared" si="654"/>
        <v>0</v>
      </c>
      <c r="BK196" s="77"/>
      <c r="BL196" s="79"/>
      <c r="BM196" s="79"/>
      <c r="BN196" s="79"/>
      <c r="BO196" s="49">
        <f t="shared" si="655"/>
        <v>0</v>
      </c>
      <c r="BP196" s="77"/>
      <c r="BQ196" s="79"/>
      <c r="BR196" s="79"/>
      <c r="BS196" s="79"/>
      <c r="BT196" s="49">
        <f t="shared" si="656"/>
        <v>0</v>
      </c>
      <c r="BU196" s="77"/>
      <c r="BV196" s="79"/>
      <c r="BW196" s="79"/>
      <c r="BX196" s="79"/>
      <c r="BY196" s="49">
        <f t="shared" si="645"/>
        <v>0</v>
      </c>
      <c r="BZ196" s="77"/>
      <c r="CA196" s="79"/>
      <c r="CB196" s="79"/>
      <c r="CC196" s="79"/>
      <c r="CD196" s="46">
        <f t="shared" si="646"/>
        <v>0</v>
      </c>
      <c r="CE196" s="1406">
        <v>0</v>
      </c>
      <c r="CF196" s="833">
        <f t="shared" ref="CF196:CN196" si="666">CE196</f>
        <v>0</v>
      </c>
      <c r="CG196" s="833">
        <f t="shared" si="666"/>
        <v>0</v>
      </c>
      <c r="CH196" s="833">
        <f t="shared" si="666"/>
        <v>0</v>
      </c>
      <c r="CI196" s="833">
        <f t="shared" si="666"/>
        <v>0</v>
      </c>
      <c r="CJ196" s="833">
        <f t="shared" si="666"/>
        <v>0</v>
      </c>
      <c r="CK196" s="833">
        <f t="shared" si="666"/>
        <v>0</v>
      </c>
      <c r="CL196" s="833">
        <f t="shared" si="666"/>
        <v>0</v>
      </c>
      <c r="CM196" s="833">
        <f t="shared" si="666"/>
        <v>0</v>
      </c>
      <c r="CN196" s="833">
        <f t="shared" si="666"/>
        <v>0</v>
      </c>
      <c r="CO196" s="833">
        <f t="shared" si="648"/>
        <v>0</v>
      </c>
      <c r="CP196" s="833">
        <f t="shared" si="648"/>
        <v>0</v>
      </c>
      <c r="CQ196" s="833">
        <f t="shared" si="648"/>
        <v>0</v>
      </c>
      <c r="CR196" s="833"/>
      <c r="CS196" s="1125">
        <f t="shared" si="649"/>
        <v>0</v>
      </c>
      <c r="CT196" s="31">
        <f t="shared" si="649"/>
        <v>0</v>
      </c>
      <c r="CU196" s="31">
        <f t="shared" si="649"/>
        <v>0</v>
      </c>
      <c r="CV196" s="31">
        <f t="shared" si="649"/>
        <v>0</v>
      </c>
      <c r="CW196" s="31">
        <f t="shared" si="649"/>
        <v>0</v>
      </c>
      <c r="CX196" s="31">
        <f t="shared" si="649"/>
        <v>0</v>
      </c>
      <c r="CY196" s="31">
        <f t="shared" si="649"/>
        <v>0</v>
      </c>
      <c r="CZ196" s="31">
        <f t="shared" si="649"/>
        <v>0</v>
      </c>
      <c r="DA196" s="31">
        <f t="shared" si="649"/>
        <v>0</v>
      </c>
      <c r="DB196" s="31">
        <f t="shared" si="649"/>
        <v>0</v>
      </c>
      <c r="DC196" s="31">
        <f t="shared" si="649"/>
        <v>0</v>
      </c>
      <c r="DD196" s="31">
        <f t="shared" si="649"/>
        <v>0</v>
      </c>
      <c r="DE196" s="78">
        <f t="shared" si="649"/>
        <v>0</v>
      </c>
    </row>
    <row r="197" spans="1:109" s="80" customFormat="1" x14ac:dyDescent="0.2">
      <c r="A197" s="615" t="s">
        <v>6691</v>
      </c>
      <c r="B197" s="1354" t="s">
        <v>7105</v>
      </c>
      <c r="C197" s="1335" t="s">
        <v>7106</v>
      </c>
      <c r="D197" s="1335" t="s">
        <v>7106</v>
      </c>
      <c r="E197" s="641"/>
      <c r="F197" s="79"/>
      <c r="G197" s="79">
        <v>1300000</v>
      </c>
      <c r="H197" s="79"/>
      <c r="I197" s="30"/>
      <c r="J197" s="30"/>
      <c r="K197" s="30"/>
      <c r="L197" s="9"/>
      <c r="M197" s="79"/>
      <c r="N197" s="79"/>
      <c r="O197" s="79"/>
      <c r="P197" s="79"/>
      <c r="Q197" s="587"/>
      <c r="R197" s="77"/>
      <c r="S197" s="79"/>
      <c r="T197" s="79"/>
      <c r="U197" s="79"/>
      <c r="V197" s="49">
        <f>E197-R197-S197-T197-U197</f>
        <v>0</v>
      </c>
      <c r="W197" s="641"/>
      <c r="X197" s="79"/>
      <c r="Y197" s="31"/>
      <c r="Z197" s="79"/>
      <c r="AA197" s="46">
        <f t="shared" si="604"/>
        <v>0</v>
      </c>
      <c r="AB197" s="641"/>
      <c r="AC197" s="79"/>
      <c r="AD197" s="79"/>
      <c r="AE197" s="79">
        <f>'Res-Gen'!I75+150000</f>
        <v>1300000</v>
      </c>
      <c r="AF197" s="49">
        <f t="shared" si="643"/>
        <v>0</v>
      </c>
      <c r="AG197" s="77"/>
      <c r="AH197" s="79"/>
      <c r="AI197" s="79"/>
      <c r="AJ197" s="79"/>
      <c r="AK197" s="49">
        <f t="shared" si="644"/>
        <v>0</v>
      </c>
      <c r="AL197" s="77"/>
      <c r="AM197" s="79"/>
      <c r="AN197" s="79"/>
      <c r="AO197" s="79"/>
      <c r="AP197" s="49">
        <f t="shared" si="650"/>
        <v>0</v>
      </c>
      <c r="AQ197" s="77"/>
      <c r="AR197" s="79"/>
      <c r="AS197" s="79"/>
      <c r="AT197" s="79"/>
      <c r="AU197" s="61">
        <f t="shared" si="651"/>
        <v>0</v>
      </c>
      <c r="AV197" s="31"/>
      <c r="AW197" s="79"/>
      <c r="AX197" s="79"/>
      <c r="AY197" s="79"/>
      <c r="AZ197" s="49">
        <f t="shared" si="652"/>
        <v>0</v>
      </c>
      <c r="BA197" s="77"/>
      <c r="BB197" s="79"/>
      <c r="BC197" s="79"/>
      <c r="BD197" s="79"/>
      <c r="BE197" s="49">
        <f t="shared" si="653"/>
        <v>0</v>
      </c>
      <c r="BF197" s="77"/>
      <c r="BG197" s="79"/>
      <c r="BH197" s="79"/>
      <c r="BI197" s="79"/>
      <c r="BJ197" s="49">
        <f t="shared" si="654"/>
        <v>0</v>
      </c>
      <c r="BK197" s="77"/>
      <c r="BL197" s="79"/>
      <c r="BM197" s="79"/>
      <c r="BN197" s="79"/>
      <c r="BO197" s="49">
        <f t="shared" si="655"/>
        <v>0</v>
      </c>
      <c r="BP197" s="77"/>
      <c r="BQ197" s="79"/>
      <c r="BR197" s="79"/>
      <c r="BS197" s="79"/>
      <c r="BT197" s="49">
        <f t="shared" si="656"/>
        <v>0</v>
      </c>
      <c r="BU197" s="77"/>
      <c r="BV197" s="79"/>
      <c r="BW197" s="79"/>
      <c r="BX197" s="79"/>
      <c r="BY197" s="49">
        <f t="shared" si="645"/>
        <v>0</v>
      </c>
      <c r="BZ197" s="77"/>
      <c r="CA197" s="79"/>
      <c r="CB197" s="79"/>
      <c r="CC197" s="79"/>
      <c r="CD197" s="46">
        <f t="shared" si="646"/>
        <v>0</v>
      </c>
      <c r="CE197" s="1406">
        <v>0</v>
      </c>
      <c r="CF197" s="833">
        <f t="shared" ref="CF197" si="667">CE197</f>
        <v>0</v>
      </c>
      <c r="CG197" s="833">
        <f t="shared" ref="CG197" si="668">CF197</f>
        <v>0</v>
      </c>
      <c r="CH197" s="833">
        <f t="shared" ref="CH197" si="669">CG197</f>
        <v>0</v>
      </c>
      <c r="CI197" s="833">
        <f t="shared" ref="CI197" si="670">CH197</f>
        <v>0</v>
      </c>
      <c r="CJ197" s="833">
        <f t="shared" ref="CJ197" si="671">CI197</f>
        <v>0</v>
      </c>
      <c r="CK197" s="833">
        <f t="shared" ref="CK197" si="672">CJ197</f>
        <v>0</v>
      </c>
      <c r="CL197" s="833">
        <f t="shared" ref="CL197" si="673">CK197</f>
        <v>0</v>
      </c>
      <c r="CM197" s="833">
        <f t="shared" ref="CM197" si="674">CL197</f>
        <v>0</v>
      </c>
      <c r="CN197" s="833">
        <f t="shared" ref="CN197" si="675">CM197</f>
        <v>0</v>
      </c>
      <c r="CO197" s="833">
        <f t="shared" si="648"/>
        <v>0</v>
      </c>
      <c r="CP197" s="833">
        <f t="shared" si="648"/>
        <v>0</v>
      </c>
      <c r="CQ197" s="833">
        <f t="shared" si="648"/>
        <v>0</v>
      </c>
      <c r="CR197" s="833"/>
      <c r="CS197" s="1125">
        <f t="shared" si="649"/>
        <v>0</v>
      </c>
      <c r="CT197" s="31">
        <f t="shared" si="649"/>
        <v>0</v>
      </c>
      <c r="CU197" s="31">
        <f t="shared" si="649"/>
        <v>0</v>
      </c>
      <c r="CV197" s="31">
        <f t="shared" si="649"/>
        <v>0</v>
      </c>
      <c r="CW197" s="31">
        <f t="shared" si="649"/>
        <v>0</v>
      </c>
      <c r="CX197" s="31">
        <f t="shared" si="649"/>
        <v>0</v>
      </c>
      <c r="CY197" s="31">
        <f t="shared" si="649"/>
        <v>0</v>
      </c>
      <c r="CZ197" s="31">
        <f t="shared" si="649"/>
        <v>0</v>
      </c>
      <c r="DA197" s="31">
        <f t="shared" si="649"/>
        <v>0</v>
      </c>
      <c r="DB197" s="31">
        <f t="shared" si="649"/>
        <v>0</v>
      </c>
      <c r="DC197" s="31">
        <f t="shared" si="649"/>
        <v>0</v>
      </c>
      <c r="DD197" s="31">
        <f t="shared" si="649"/>
        <v>0</v>
      </c>
      <c r="DE197" s="78">
        <f t="shared" si="649"/>
        <v>0</v>
      </c>
    </row>
    <row r="198" spans="1:109" s="80" customFormat="1" x14ac:dyDescent="0.2">
      <c r="A198" s="615" t="s">
        <v>5946</v>
      </c>
      <c r="B198" s="1368"/>
      <c r="C198" s="1335" t="s">
        <v>5454</v>
      </c>
      <c r="D198" s="1331"/>
      <c r="E198" s="641"/>
      <c r="F198" s="79">
        <v>98100</v>
      </c>
      <c r="G198" s="79"/>
      <c r="H198" s="79"/>
      <c r="I198" s="30"/>
      <c r="J198" s="30"/>
      <c r="K198" s="30"/>
      <c r="L198" s="9"/>
      <c r="M198" s="79"/>
      <c r="N198" s="79"/>
      <c r="O198" s="79"/>
      <c r="P198" s="79"/>
      <c r="Q198" s="587"/>
      <c r="R198" s="77"/>
      <c r="S198" s="79"/>
      <c r="T198" s="79"/>
      <c r="U198" s="79">
        <v>0</v>
      </c>
      <c r="V198" s="49">
        <f>E198-R198-S198-T198-U198</f>
        <v>0</v>
      </c>
      <c r="W198" s="641">
        <v>20000</v>
      </c>
      <c r="X198" s="79"/>
      <c r="Y198" s="31"/>
      <c r="Z198" s="79">
        <v>25000</v>
      </c>
      <c r="AA198" s="46">
        <f t="shared" si="604"/>
        <v>53100</v>
      </c>
      <c r="AB198" s="641"/>
      <c r="AC198" s="79"/>
      <c r="AD198" s="79"/>
      <c r="AE198" s="79"/>
      <c r="AF198" s="49">
        <f t="shared" si="643"/>
        <v>0</v>
      </c>
      <c r="AG198" s="77"/>
      <c r="AH198" s="79"/>
      <c r="AI198" s="79"/>
      <c r="AJ198" s="79"/>
      <c r="AK198" s="49">
        <f t="shared" si="644"/>
        <v>0</v>
      </c>
      <c r="AL198" s="77"/>
      <c r="AM198" s="79"/>
      <c r="AN198" s="79"/>
      <c r="AO198" s="79"/>
      <c r="AP198" s="49">
        <f t="shared" si="650"/>
        <v>0</v>
      </c>
      <c r="AQ198" s="77"/>
      <c r="AR198" s="79"/>
      <c r="AS198" s="79"/>
      <c r="AT198" s="79"/>
      <c r="AU198" s="61">
        <f t="shared" si="651"/>
        <v>0</v>
      </c>
      <c r="AV198" s="31"/>
      <c r="AW198" s="79"/>
      <c r="AX198" s="79"/>
      <c r="AY198" s="79"/>
      <c r="AZ198" s="49">
        <f t="shared" si="652"/>
        <v>0</v>
      </c>
      <c r="BA198" s="77"/>
      <c r="BB198" s="79"/>
      <c r="BC198" s="79"/>
      <c r="BD198" s="79"/>
      <c r="BE198" s="49">
        <f t="shared" si="653"/>
        <v>0</v>
      </c>
      <c r="BF198" s="77"/>
      <c r="BG198" s="79"/>
      <c r="BH198" s="79"/>
      <c r="BI198" s="79"/>
      <c r="BJ198" s="49">
        <f t="shared" si="654"/>
        <v>0</v>
      </c>
      <c r="BK198" s="77"/>
      <c r="BL198" s="79"/>
      <c r="BM198" s="79"/>
      <c r="BN198" s="79"/>
      <c r="BO198" s="49">
        <f t="shared" si="655"/>
        <v>0</v>
      </c>
      <c r="BP198" s="77"/>
      <c r="BQ198" s="79"/>
      <c r="BR198" s="79"/>
      <c r="BS198" s="79"/>
      <c r="BT198" s="49">
        <f t="shared" si="656"/>
        <v>0</v>
      </c>
      <c r="BU198" s="77"/>
      <c r="BV198" s="79"/>
      <c r="BW198" s="79"/>
      <c r="BX198" s="79"/>
      <c r="BY198" s="49">
        <f t="shared" si="645"/>
        <v>0</v>
      </c>
      <c r="BZ198" s="77"/>
      <c r="CA198" s="79"/>
      <c r="CB198" s="79"/>
      <c r="CC198" s="79"/>
      <c r="CD198" s="46">
        <f t="shared" si="646"/>
        <v>0</v>
      </c>
      <c r="CE198" s="1406">
        <v>0</v>
      </c>
      <c r="CF198" s="833">
        <f t="shared" ref="CF198" si="676">CE198</f>
        <v>0</v>
      </c>
      <c r="CG198" s="833">
        <f t="shared" ref="CG198" si="677">CF198</f>
        <v>0</v>
      </c>
      <c r="CH198" s="833">
        <f t="shared" ref="CH198" si="678">CG198</f>
        <v>0</v>
      </c>
      <c r="CI198" s="833">
        <f t="shared" ref="CI198" si="679">CH198</f>
        <v>0</v>
      </c>
      <c r="CJ198" s="833">
        <f t="shared" ref="CJ198" si="680">CI198</f>
        <v>0</v>
      </c>
      <c r="CK198" s="833">
        <f t="shared" ref="CK198" si="681">CJ198</f>
        <v>0</v>
      </c>
      <c r="CL198" s="833">
        <f t="shared" ref="CL198" si="682">CK198</f>
        <v>0</v>
      </c>
      <c r="CM198" s="833">
        <f t="shared" ref="CM198" si="683">CL198</f>
        <v>0</v>
      </c>
      <c r="CN198" s="833">
        <f t="shared" ref="CN198" si="684">CM198</f>
        <v>0</v>
      </c>
      <c r="CO198" s="833">
        <f t="shared" si="648"/>
        <v>0</v>
      </c>
      <c r="CP198" s="833">
        <f t="shared" si="648"/>
        <v>0</v>
      </c>
      <c r="CQ198" s="833">
        <f t="shared" si="648"/>
        <v>0</v>
      </c>
      <c r="CR198" s="833"/>
      <c r="CS198" s="1125">
        <f t="shared" si="649"/>
        <v>0</v>
      </c>
      <c r="CT198" s="31">
        <f t="shared" si="649"/>
        <v>0</v>
      </c>
      <c r="CU198" s="31">
        <f t="shared" si="649"/>
        <v>0</v>
      </c>
      <c r="CV198" s="31">
        <f t="shared" si="649"/>
        <v>0</v>
      </c>
      <c r="CW198" s="31">
        <f t="shared" si="649"/>
        <v>0</v>
      </c>
      <c r="CX198" s="31">
        <f t="shared" si="649"/>
        <v>0</v>
      </c>
      <c r="CY198" s="31">
        <f t="shared" si="649"/>
        <v>0</v>
      </c>
      <c r="CZ198" s="31">
        <f t="shared" si="649"/>
        <v>0</v>
      </c>
      <c r="DA198" s="31">
        <f t="shared" si="649"/>
        <v>0</v>
      </c>
      <c r="DB198" s="31">
        <f t="shared" si="649"/>
        <v>0</v>
      </c>
      <c r="DC198" s="31">
        <f t="shared" si="649"/>
        <v>0</v>
      </c>
      <c r="DD198" s="31">
        <f t="shared" si="649"/>
        <v>0</v>
      </c>
      <c r="DE198" s="78">
        <f t="shared" si="649"/>
        <v>0</v>
      </c>
    </row>
    <row r="199" spans="1:109" s="80" customFormat="1" x14ac:dyDescent="0.2">
      <c r="A199" s="615"/>
      <c r="B199" s="1368"/>
      <c r="C199" s="1335"/>
      <c r="D199" s="1331"/>
      <c r="E199" s="641"/>
      <c r="F199" s="77"/>
      <c r="G199" s="79"/>
      <c r="H199" s="79"/>
      <c r="I199" s="30"/>
      <c r="J199" s="30"/>
      <c r="K199" s="30"/>
      <c r="L199" s="9"/>
      <c r="M199" s="77"/>
      <c r="N199" s="79"/>
      <c r="O199" s="79"/>
      <c r="P199" s="79"/>
      <c r="Q199" s="587"/>
      <c r="R199" s="77"/>
      <c r="S199" s="79"/>
      <c r="T199" s="79"/>
      <c r="U199" s="79"/>
      <c r="V199" s="49"/>
      <c r="W199" s="641"/>
      <c r="X199" s="79"/>
      <c r="Y199" s="31"/>
      <c r="Z199" s="79"/>
      <c r="AA199" s="46">
        <f t="shared" si="604"/>
        <v>0</v>
      </c>
      <c r="AB199" s="641"/>
      <c r="AC199" s="79"/>
      <c r="AD199" s="79"/>
      <c r="AE199" s="79"/>
      <c r="AF199" s="49"/>
      <c r="AG199" s="77"/>
      <c r="AH199" s="79"/>
      <c r="AI199" s="79"/>
      <c r="AJ199" s="79"/>
      <c r="AK199" s="49"/>
      <c r="AL199" s="77"/>
      <c r="AM199" s="79"/>
      <c r="AN199" s="79"/>
      <c r="AO199" s="79"/>
      <c r="AP199" s="49"/>
      <c r="AQ199" s="77"/>
      <c r="AR199" s="79"/>
      <c r="AS199" s="79"/>
      <c r="AT199" s="79"/>
      <c r="AU199" s="61"/>
      <c r="AV199" s="31"/>
      <c r="AW199" s="79"/>
      <c r="AX199" s="79"/>
      <c r="AY199" s="79"/>
      <c r="AZ199" s="49"/>
      <c r="BA199" s="77"/>
      <c r="BB199" s="79"/>
      <c r="BC199" s="79"/>
      <c r="BD199" s="79"/>
      <c r="BE199" s="49"/>
      <c r="BF199" s="77"/>
      <c r="BG199" s="79"/>
      <c r="BH199" s="79"/>
      <c r="BI199" s="79"/>
      <c r="BJ199" s="49"/>
      <c r="BK199" s="77"/>
      <c r="BL199" s="79"/>
      <c r="BM199" s="79"/>
      <c r="BN199" s="79"/>
      <c r="BO199" s="49"/>
      <c r="BP199" s="77"/>
      <c r="BQ199" s="79"/>
      <c r="BR199" s="79"/>
      <c r="BS199" s="79"/>
      <c r="BT199" s="49"/>
      <c r="BU199" s="77"/>
      <c r="BV199" s="79"/>
      <c r="BW199" s="79"/>
      <c r="BX199" s="79"/>
      <c r="BY199" s="49"/>
      <c r="BZ199" s="77"/>
      <c r="CA199" s="79"/>
      <c r="CB199" s="79"/>
      <c r="CC199" s="79"/>
      <c r="CD199" s="46"/>
      <c r="CE199" s="1406"/>
      <c r="CF199" s="833"/>
      <c r="CG199" s="833"/>
      <c r="CH199" s="833"/>
      <c r="CI199" s="833"/>
      <c r="CJ199" s="833"/>
      <c r="CK199" s="833"/>
      <c r="CL199" s="833"/>
      <c r="CM199" s="833"/>
      <c r="CN199" s="833"/>
      <c r="CO199" s="833"/>
      <c r="CP199" s="833"/>
      <c r="CQ199" s="833"/>
      <c r="CR199" s="833"/>
      <c r="CS199" s="1125"/>
      <c r="CT199" s="31"/>
      <c r="CU199" s="31"/>
      <c r="CV199" s="31"/>
      <c r="CW199" s="31"/>
      <c r="CX199" s="31"/>
      <c r="CY199" s="31"/>
      <c r="CZ199" s="31"/>
      <c r="DA199" s="31"/>
      <c r="DB199" s="31"/>
      <c r="DC199" s="31"/>
      <c r="DD199" s="31"/>
      <c r="DE199" s="78"/>
    </row>
    <row r="200" spans="1:109" s="80" customFormat="1" x14ac:dyDescent="0.2">
      <c r="A200" s="413" t="s">
        <v>1215</v>
      </c>
      <c r="B200" s="1368"/>
      <c r="C200" s="1335"/>
      <c r="D200" s="1331"/>
      <c r="E200" s="641"/>
      <c r="F200" s="77"/>
      <c r="G200" s="79"/>
      <c r="H200" s="79"/>
      <c r="I200" s="30"/>
      <c r="J200" s="30"/>
      <c r="K200" s="30"/>
      <c r="L200" s="9"/>
      <c r="M200" s="77"/>
      <c r="N200" s="79"/>
      <c r="O200" s="79"/>
      <c r="P200" s="79"/>
      <c r="Q200" s="587"/>
      <c r="R200" s="77"/>
      <c r="S200" s="79"/>
      <c r="T200" s="79"/>
      <c r="U200" s="79"/>
      <c r="V200" s="49"/>
      <c r="W200" s="641"/>
      <c r="X200" s="79"/>
      <c r="Y200" s="31"/>
      <c r="Z200" s="79"/>
      <c r="AA200" s="46">
        <f t="shared" si="604"/>
        <v>0</v>
      </c>
      <c r="AB200" s="641"/>
      <c r="AC200" s="79"/>
      <c r="AD200" s="79"/>
      <c r="AE200" s="79"/>
      <c r="AF200" s="49"/>
      <c r="AG200" s="77"/>
      <c r="AH200" s="79"/>
      <c r="AI200" s="79"/>
      <c r="AJ200" s="79"/>
      <c r="AK200" s="49"/>
      <c r="AL200" s="77"/>
      <c r="AM200" s="79"/>
      <c r="AN200" s="79"/>
      <c r="AO200" s="79"/>
      <c r="AP200" s="49"/>
      <c r="AQ200" s="77"/>
      <c r="AR200" s="79"/>
      <c r="AS200" s="79"/>
      <c r="AT200" s="79"/>
      <c r="AU200" s="61"/>
      <c r="AV200" s="31"/>
      <c r="AW200" s="79"/>
      <c r="AX200" s="79"/>
      <c r="AY200" s="79"/>
      <c r="AZ200" s="49"/>
      <c r="BA200" s="77"/>
      <c r="BB200" s="79"/>
      <c r="BC200" s="79"/>
      <c r="BD200" s="79"/>
      <c r="BE200" s="49"/>
      <c r="BF200" s="77"/>
      <c r="BG200" s="79"/>
      <c r="BH200" s="79"/>
      <c r="BI200" s="79"/>
      <c r="BJ200" s="49"/>
      <c r="BK200" s="77"/>
      <c r="BL200" s="79"/>
      <c r="BM200" s="79"/>
      <c r="BN200" s="79"/>
      <c r="BO200" s="49"/>
      <c r="BP200" s="77"/>
      <c r="BQ200" s="79"/>
      <c r="BR200" s="79"/>
      <c r="BS200" s="79"/>
      <c r="BT200" s="49"/>
      <c r="BU200" s="77"/>
      <c r="BV200" s="79"/>
      <c r="BW200" s="79"/>
      <c r="BX200" s="79"/>
      <c r="BY200" s="49"/>
      <c r="BZ200" s="77"/>
      <c r="CA200" s="79"/>
      <c r="CB200" s="79"/>
      <c r="CC200" s="79"/>
      <c r="CD200" s="46"/>
      <c r="CE200" s="1406"/>
      <c r="CF200" s="833"/>
      <c r="CG200" s="833"/>
      <c r="CH200" s="833"/>
      <c r="CI200" s="833"/>
      <c r="CJ200" s="833"/>
      <c r="CK200" s="833"/>
      <c r="CL200" s="833"/>
      <c r="CM200" s="833"/>
      <c r="CN200" s="833"/>
      <c r="CO200" s="833"/>
      <c r="CP200" s="833"/>
      <c r="CQ200" s="833"/>
      <c r="CR200" s="833"/>
      <c r="CS200" s="1125"/>
      <c r="CT200" s="31"/>
      <c r="CU200" s="31"/>
      <c r="CV200" s="31"/>
      <c r="CW200" s="31"/>
      <c r="CX200" s="31"/>
      <c r="CY200" s="31"/>
      <c r="CZ200" s="31"/>
      <c r="DA200" s="31"/>
      <c r="DB200" s="31"/>
      <c r="DC200" s="31"/>
      <c r="DD200" s="31"/>
      <c r="DE200" s="78"/>
    </row>
    <row r="201" spans="1:109" s="80" customFormat="1" x14ac:dyDescent="0.2">
      <c r="A201" s="615" t="s">
        <v>6988</v>
      </c>
      <c r="B201" s="1368" t="s">
        <v>7107</v>
      </c>
      <c r="C201" s="1335" t="s">
        <v>7108</v>
      </c>
      <c r="D201" s="1335" t="s">
        <v>7108</v>
      </c>
      <c r="E201" s="641"/>
      <c r="F201" s="77"/>
      <c r="G201" s="79">
        <v>90000</v>
      </c>
      <c r="H201" s="79"/>
      <c r="I201" s="30"/>
      <c r="J201" s="30"/>
      <c r="K201" s="30"/>
      <c r="L201" s="9"/>
      <c r="M201" s="77"/>
      <c r="N201" s="79"/>
      <c r="O201" s="79"/>
      <c r="P201" s="79"/>
      <c r="Q201" s="587"/>
      <c r="R201" s="77"/>
      <c r="S201" s="79"/>
      <c r="T201" s="79"/>
      <c r="U201" s="79"/>
      <c r="V201" s="49"/>
      <c r="W201" s="641"/>
      <c r="X201" s="79"/>
      <c r="Y201" s="31"/>
      <c r="Z201" s="79"/>
      <c r="AA201" s="46">
        <f t="shared" si="604"/>
        <v>0</v>
      </c>
      <c r="AB201" s="641"/>
      <c r="AC201" s="79"/>
      <c r="AD201" s="79"/>
      <c r="AE201" s="79">
        <f>G201</f>
        <v>90000</v>
      </c>
      <c r="AF201" s="49">
        <f t="shared" ref="AF201" si="685">G201-AB201-AC201-AD201-AE201</f>
        <v>0</v>
      </c>
      <c r="AG201" s="77"/>
      <c r="AH201" s="79"/>
      <c r="AI201" s="79"/>
      <c r="AJ201" s="79"/>
      <c r="AK201" s="49"/>
      <c r="AL201" s="77"/>
      <c r="AM201" s="79"/>
      <c r="AN201" s="79"/>
      <c r="AO201" s="79"/>
      <c r="AP201" s="49"/>
      <c r="AQ201" s="77"/>
      <c r="AR201" s="79"/>
      <c r="AS201" s="79"/>
      <c r="AT201" s="79"/>
      <c r="AU201" s="61"/>
      <c r="AV201" s="31"/>
      <c r="AW201" s="79"/>
      <c r="AX201" s="79"/>
      <c r="AY201" s="79"/>
      <c r="AZ201" s="49"/>
      <c r="BA201" s="77"/>
      <c r="BB201" s="79"/>
      <c r="BC201" s="79"/>
      <c r="BD201" s="79"/>
      <c r="BE201" s="49"/>
      <c r="BF201" s="77"/>
      <c r="BG201" s="79"/>
      <c r="BH201" s="79"/>
      <c r="BI201" s="79"/>
      <c r="BJ201" s="49"/>
      <c r="BK201" s="77"/>
      <c r="BL201" s="79"/>
      <c r="BM201" s="79"/>
      <c r="BN201" s="79"/>
      <c r="BO201" s="49"/>
      <c r="BP201" s="77"/>
      <c r="BQ201" s="79"/>
      <c r="BR201" s="79"/>
      <c r="BS201" s="79"/>
      <c r="BT201" s="49"/>
      <c r="BU201" s="77"/>
      <c r="BV201" s="79"/>
      <c r="BW201" s="79"/>
      <c r="BX201" s="79"/>
      <c r="BY201" s="49"/>
      <c r="BZ201" s="77"/>
      <c r="CA201" s="79"/>
      <c r="CB201" s="79"/>
      <c r="CC201" s="79"/>
      <c r="CD201" s="46"/>
      <c r="CE201" s="1406"/>
      <c r="CF201" s="833"/>
      <c r="CG201" s="833"/>
      <c r="CH201" s="833"/>
      <c r="CI201" s="833"/>
      <c r="CJ201" s="833"/>
      <c r="CK201" s="833"/>
      <c r="CL201" s="833"/>
      <c r="CM201" s="833"/>
      <c r="CN201" s="833"/>
      <c r="CO201" s="833"/>
      <c r="CP201" s="833"/>
      <c r="CQ201" s="833"/>
      <c r="CR201" s="833"/>
      <c r="CS201" s="1125"/>
      <c r="CT201" s="31"/>
      <c r="CU201" s="31"/>
      <c r="CV201" s="31"/>
      <c r="CW201" s="31"/>
      <c r="CX201" s="31"/>
      <c r="CY201" s="31"/>
      <c r="CZ201" s="31"/>
      <c r="DA201" s="31"/>
      <c r="DB201" s="31"/>
      <c r="DC201" s="31"/>
      <c r="DD201" s="31"/>
      <c r="DE201" s="78"/>
    </row>
    <row r="202" spans="1:109" x14ac:dyDescent="0.2">
      <c r="A202" s="615"/>
      <c r="B202" s="1368"/>
      <c r="C202" s="1350"/>
      <c r="D202" s="1331"/>
      <c r="E202" s="133"/>
      <c r="F202" s="89"/>
      <c r="G202" s="9"/>
      <c r="H202" s="9"/>
      <c r="I202" s="30"/>
      <c r="J202" s="30"/>
      <c r="K202" s="30"/>
      <c r="L202" s="9"/>
      <c r="M202" s="89"/>
      <c r="N202" s="9"/>
      <c r="O202" s="9"/>
      <c r="P202" s="9"/>
      <c r="Q202" s="49"/>
      <c r="R202" s="89"/>
      <c r="S202" s="9"/>
      <c r="T202" s="9"/>
      <c r="U202" s="9"/>
      <c r="V202" s="49"/>
      <c r="W202" s="133"/>
      <c r="X202" s="9"/>
      <c r="Y202" s="46"/>
      <c r="Z202" s="9"/>
      <c r="AA202" s="46">
        <f t="shared" si="604"/>
        <v>0</v>
      </c>
      <c r="AB202" s="133"/>
      <c r="AC202" s="9"/>
      <c r="AD202" s="9"/>
      <c r="AE202" s="9"/>
      <c r="AF202" s="49"/>
      <c r="AG202" s="89"/>
      <c r="AH202" s="9"/>
      <c r="AI202" s="9"/>
      <c r="AJ202" s="9"/>
      <c r="AK202" s="49"/>
      <c r="AL202" s="89"/>
      <c r="AM202" s="9"/>
      <c r="AN202" s="9"/>
      <c r="AO202" s="9"/>
      <c r="AP202" s="49"/>
      <c r="AQ202" s="89"/>
      <c r="AR202" s="9"/>
      <c r="AS202" s="9"/>
      <c r="AT202" s="9"/>
      <c r="AU202" s="61"/>
      <c r="AW202" s="9"/>
      <c r="AX202" s="9"/>
      <c r="AY202" s="9"/>
      <c r="AZ202" s="49"/>
      <c r="BA202" s="89"/>
      <c r="BB202" s="9"/>
      <c r="BC202" s="9"/>
      <c r="BD202" s="9"/>
      <c r="BE202" s="49"/>
      <c r="BF202" s="89"/>
      <c r="BG202" s="9"/>
      <c r="BH202" s="9"/>
      <c r="BI202" s="9"/>
      <c r="BJ202" s="49"/>
      <c r="BK202" s="89"/>
      <c r="BL202" s="9"/>
      <c r="BM202" s="9"/>
      <c r="BN202" s="9"/>
      <c r="BO202" s="49">
        <f t="shared" si="655"/>
        <v>0</v>
      </c>
      <c r="BP202" s="89"/>
      <c r="BQ202" s="9"/>
      <c r="BR202" s="9"/>
      <c r="BS202" s="9"/>
      <c r="BT202" s="49">
        <f t="shared" si="656"/>
        <v>0</v>
      </c>
      <c r="BU202" s="89"/>
      <c r="BV202" s="9"/>
      <c r="BW202" s="9"/>
      <c r="BX202" s="9"/>
      <c r="BY202" s="49">
        <f t="shared" si="645"/>
        <v>0</v>
      </c>
      <c r="BZ202" s="89"/>
      <c r="CA202" s="9"/>
      <c r="CB202" s="9"/>
      <c r="CC202" s="9"/>
      <c r="CD202" s="46">
        <f t="shared" ref="CD202:CD203" si="686">Q202-BZ202-CA202-CB202-CC202</f>
        <v>0</v>
      </c>
      <c r="CE202" s="1406"/>
      <c r="CF202" s="833"/>
      <c r="CG202" s="833"/>
      <c r="CH202" s="833"/>
      <c r="CI202" s="833"/>
      <c r="CJ202" s="833"/>
      <c r="CK202" s="833"/>
      <c r="CL202" s="833"/>
      <c r="CM202" s="833"/>
      <c r="CN202" s="833"/>
      <c r="CO202" s="833"/>
      <c r="CP202" s="833"/>
      <c r="CQ202" s="833"/>
      <c r="CR202" s="833"/>
      <c r="CS202" s="1125"/>
      <c r="CT202" s="31"/>
      <c r="CU202" s="31"/>
      <c r="CV202" s="31"/>
      <c r="CW202" s="31"/>
      <c r="CX202" s="31"/>
      <c r="CY202" s="31"/>
      <c r="CZ202" s="31"/>
      <c r="DA202" s="31"/>
      <c r="DB202" s="31"/>
      <c r="DC202" s="31"/>
      <c r="DD202" s="31"/>
      <c r="DE202" s="78"/>
    </row>
    <row r="203" spans="1:109" x14ac:dyDescent="0.2">
      <c r="A203" s="293" t="s">
        <v>362</v>
      </c>
      <c r="B203" s="1356" t="s">
        <v>1327</v>
      </c>
      <c r="C203" s="1335" t="s">
        <v>4959</v>
      </c>
      <c r="D203" s="1331" t="s">
        <v>1327</v>
      </c>
      <c r="E203" s="641">
        <f>1702300-317200</f>
        <v>1385100</v>
      </c>
      <c r="F203" s="29">
        <f>1707900-326500</f>
        <v>1381400</v>
      </c>
      <c r="G203" s="9">
        <f>1371600+25000+667500</f>
        <v>2064100</v>
      </c>
      <c r="H203" s="9">
        <f>1816100-700000</f>
        <v>1116100</v>
      </c>
      <c r="I203" s="29">
        <v>931200</v>
      </c>
      <c r="J203" s="29">
        <v>1553500</v>
      </c>
      <c r="K203" s="9">
        <v>1495900</v>
      </c>
      <c r="L203" s="9">
        <v>1613200</v>
      </c>
      <c r="M203" s="89">
        <f>1609500-350000</f>
        <v>1259500</v>
      </c>
      <c r="N203" s="9">
        <v>1304600</v>
      </c>
      <c r="O203" s="9">
        <v>1028400</v>
      </c>
      <c r="P203" s="9">
        <v>1522100</v>
      </c>
      <c r="Q203" s="49">
        <v>1522100</v>
      </c>
      <c r="R203" s="89"/>
      <c r="S203" s="9"/>
      <c r="T203" s="9"/>
      <c r="U203" s="9">
        <f>E203</f>
        <v>1385100</v>
      </c>
      <c r="V203" s="49">
        <f>E203-R203-S203-T203-U203</f>
        <v>0</v>
      </c>
      <c r="W203" s="133"/>
      <c r="X203" s="9"/>
      <c r="Y203" s="46"/>
      <c r="Z203" s="9">
        <f>F203</f>
        <v>1381400</v>
      </c>
      <c r="AA203" s="46">
        <f t="shared" si="604"/>
        <v>0</v>
      </c>
      <c r="AB203" s="133"/>
      <c r="AC203" s="9"/>
      <c r="AD203" s="9"/>
      <c r="AE203" s="9">
        <f>G203</f>
        <v>2064100</v>
      </c>
      <c r="AF203" s="49">
        <f>G203-AB203-AC203-AD203-AE203</f>
        <v>0</v>
      </c>
      <c r="AG203" s="89"/>
      <c r="AH203" s="9"/>
      <c r="AI203" s="9"/>
      <c r="AJ203" s="9">
        <f>H203</f>
        <v>1116100</v>
      </c>
      <c r="AK203" s="49">
        <f>H203-AG203-AH203-AI203-AJ203</f>
        <v>0</v>
      </c>
      <c r="AL203" s="89"/>
      <c r="AM203" s="9"/>
      <c r="AN203" s="9"/>
      <c r="AO203" s="9">
        <f>I203</f>
        <v>931200</v>
      </c>
      <c r="AP203" s="49">
        <f>I203-AL203-AM203-AN203-AO203</f>
        <v>0</v>
      </c>
      <c r="AQ203" s="89"/>
      <c r="AR203" s="9"/>
      <c r="AS203" s="9"/>
      <c r="AT203" s="9">
        <f>J203</f>
        <v>1553500</v>
      </c>
      <c r="AU203" s="61">
        <f>J203-AQ203-AR203-AS203-AT203</f>
        <v>0</v>
      </c>
      <c r="AW203" s="9"/>
      <c r="AX203" s="9"/>
      <c r="AY203" s="9">
        <f>K203</f>
        <v>1495900</v>
      </c>
      <c r="AZ203" s="49">
        <f>K203-AV203-AW203-AX203-AY203</f>
        <v>0</v>
      </c>
      <c r="BA203" s="89"/>
      <c r="BB203" s="9"/>
      <c r="BC203" s="9"/>
      <c r="BD203" s="9">
        <f>L203</f>
        <v>1613200</v>
      </c>
      <c r="BE203" s="49">
        <f>L203-BA203-BB203-BC203-BD203</f>
        <v>0</v>
      </c>
      <c r="BF203" s="89"/>
      <c r="BG203" s="9"/>
      <c r="BH203" s="9"/>
      <c r="BI203" s="9">
        <f>M203</f>
        <v>1259500</v>
      </c>
      <c r="BJ203" s="49">
        <f>M203-BF203-BG203-BH203-BI203</f>
        <v>0</v>
      </c>
      <c r="BK203" s="89"/>
      <c r="BL203" s="9"/>
      <c r="BM203" s="9"/>
      <c r="BN203" s="9">
        <f>N203</f>
        <v>1304600</v>
      </c>
      <c r="BO203" s="49">
        <f t="shared" si="655"/>
        <v>0</v>
      </c>
      <c r="BP203" s="89"/>
      <c r="BQ203" s="9"/>
      <c r="BR203" s="9"/>
      <c r="BS203" s="9">
        <f>O203</f>
        <v>1028400</v>
      </c>
      <c r="BT203" s="49">
        <f t="shared" si="656"/>
        <v>0</v>
      </c>
      <c r="BU203" s="89"/>
      <c r="BV203" s="9"/>
      <c r="BW203" s="9"/>
      <c r="BX203" s="9">
        <f>P203</f>
        <v>1522100</v>
      </c>
      <c r="BY203" s="49">
        <f t="shared" si="645"/>
        <v>0</v>
      </c>
      <c r="BZ203" s="89"/>
      <c r="CA203" s="9"/>
      <c r="CB203" s="9"/>
      <c r="CC203" s="9">
        <f>+Q203</f>
        <v>1522100</v>
      </c>
      <c r="CD203" s="46">
        <f t="shared" si="686"/>
        <v>0</v>
      </c>
      <c r="CE203" s="1406">
        <v>0</v>
      </c>
      <c r="CF203" s="833">
        <f t="shared" ref="CF203" si="687">CE203</f>
        <v>0</v>
      </c>
      <c r="CG203" s="833">
        <f t="shared" ref="CG203" si="688">CF203</f>
        <v>0</v>
      </c>
      <c r="CH203" s="833">
        <f t="shared" ref="CH203" si="689">CG203</f>
        <v>0</v>
      </c>
      <c r="CI203" s="833">
        <f t="shared" ref="CI203" si="690">CH203</f>
        <v>0</v>
      </c>
      <c r="CJ203" s="833">
        <f t="shared" ref="CJ203" si="691">CI203</f>
        <v>0</v>
      </c>
      <c r="CK203" s="833">
        <f t="shared" ref="CK203" si="692">CJ203</f>
        <v>0</v>
      </c>
      <c r="CL203" s="833">
        <f t="shared" ref="CL203" si="693">CK203</f>
        <v>0</v>
      </c>
      <c r="CM203" s="833">
        <f t="shared" ref="CM203:CN203" si="694">CL203</f>
        <v>0</v>
      </c>
      <c r="CN203" s="833">
        <f t="shared" si="694"/>
        <v>0</v>
      </c>
      <c r="CO203" s="833">
        <f>CN203</f>
        <v>0</v>
      </c>
      <c r="CP203" s="833">
        <f>CO203</f>
        <v>0</v>
      </c>
      <c r="CQ203" s="833">
        <f>CP203</f>
        <v>0</v>
      </c>
      <c r="CR203" s="833"/>
      <c r="CS203" s="1125">
        <f t="shared" ref="CS203:DE203" si="695">ROUND(CE203*E203,-3)</f>
        <v>0</v>
      </c>
      <c r="CT203" s="31">
        <f t="shared" si="695"/>
        <v>0</v>
      </c>
      <c r="CU203" s="31">
        <f t="shared" si="695"/>
        <v>0</v>
      </c>
      <c r="CV203" s="31">
        <f t="shared" si="695"/>
        <v>0</v>
      </c>
      <c r="CW203" s="31">
        <f t="shared" si="695"/>
        <v>0</v>
      </c>
      <c r="CX203" s="31">
        <f t="shared" si="695"/>
        <v>0</v>
      </c>
      <c r="CY203" s="31">
        <f t="shared" si="695"/>
        <v>0</v>
      </c>
      <c r="CZ203" s="31">
        <f t="shared" si="695"/>
        <v>0</v>
      </c>
      <c r="DA203" s="31">
        <f t="shared" si="695"/>
        <v>0</v>
      </c>
      <c r="DB203" s="31">
        <f t="shared" si="695"/>
        <v>0</v>
      </c>
      <c r="DC203" s="31">
        <f t="shared" si="695"/>
        <v>0</v>
      </c>
      <c r="DD203" s="31">
        <f t="shared" si="695"/>
        <v>0</v>
      </c>
      <c r="DE203" s="78">
        <f t="shared" si="695"/>
        <v>0</v>
      </c>
    </row>
    <row r="204" spans="1:109" x14ac:dyDescent="0.2">
      <c r="A204" s="615"/>
      <c r="B204" s="1368"/>
      <c r="C204" s="1335"/>
      <c r="D204" s="1331"/>
      <c r="E204" s="133"/>
      <c r="F204" s="89"/>
      <c r="G204" s="9"/>
      <c r="H204" s="9"/>
      <c r="I204" s="89"/>
      <c r="J204" s="89"/>
      <c r="K204" s="89"/>
      <c r="L204" s="9"/>
      <c r="M204" s="89"/>
      <c r="N204" s="9"/>
      <c r="O204" s="9"/>
      <c r="P204" s="9"/>
      <c r="Q204" s="49"/>
      <c r="R204" s="89"/>
      <c r="S204" s="9"/>
      <c r="T204" s="9"/>
      <c r="U204" s="9"/>
      <c r="V204" s="49"/>
      <c r="W204" s="133"/>
      <c r="X204" s="9"/>
      <c r="Y204" s="46"/>
      <c r="Z204" s="9"/>
      <c r="AA204" s="46">
        <f t="shared" si="604"/>
        <v>0</v>
      </c>
      <c r="AB204" s="133"/>
      <c r="AC204" s="9"/>
      <c r="AD204" s="9"/>
      <c r="AE204" s="9"/>
      <c r="AF204" s="49"/>
      <c r="AG204" s="89"/>
      <c r="AH204" s="9"/>
      <c r="AI204" s="9"/>
      <c r="AJ204" s="9"/>
      <c r="AK204" s="49"/>
      <c r="AL204" s="89"/>
      <c r="AM204" s="9"/>
      <c r="AN204" s="9"/>
      <c r="AO204" s="9"/>
      <c r="AP204" s="49"/>
      <c r="AQ204" s="89"/>
      <c r="AR204" s="9"/>
      <c r="AS204" s="9"/>
      <c r="AT204" s="9"/>
      <c r="AU204" s="61"/>
      <c r="AW204" s="9"/>
      <c r="AX204" s="9"/>
      <c r="AY204" s="9"/>
      <c r="AZ204" s="49"/>
      <c r="BA204" s="89"/>
      <c r="BB204" s="9"/>
      <c r="BC204" s="9"/>
      <c r="BD204" s="9"/>
      <c r="BE204" s="49"/>
      <c r="BF204" s="89"/>
      <c r="BG204" s="9"/>
      <c r="BH204" s="9"/>
      <c r="BI204" s="9"/>
      <c r="BJ204" s="49"/>
      <c r="BK204" s="89"/>
      <c r="BL204" s="9"/>
      <c r="BM204" s="9"/>
      <c r="BN204" s="9"/>
      <c r="BO204" s="49"/>
      <c r="BP204" s="89"/>
      <c r="BQ204" s="9"/>
      <c r="BR204" s="9"/>
      <c r="BS204" s="9"/>
      <c r="BT204" s="49"/>
      <c r="BU204" s="89"/>
      <c r="BV204" s="9"/>
      <c r="BW204" s="9"/>
      <c r="BX204" s="9"/>
      <c r="BY204" s="49"/>
      <c r="BZ204" s="89"/>
      <c r="CA204" s="9"/>
      <c r="CB204" s="9"/>
      <c r="CC204" s="9"/>
      <c r="CE204" s="1406"/>
      <c r="CF204" s="833"/>
      <c r="CG204" s="833"/>
      <c r="CH204" s="833"/>
      <c r="CI204" s="833"/>
      <c r="CJ204" s="833"/>
      <c r="CK204" s="833"/>
      <c r="CL204" s="833"/>
      <c r="CM204" s="833"/>
      <c r="CN204" s="833"/>
      <c r="CO204" s="833"/>
      <c r="CP204" s="833"/>
      <c r="CQ204" s="833"/>
      <c r="CR204" s="833"/>
      <c r="CS204" s="1125"/>
      <c r="CT204" s="31"/>
      <c r="CU204" s="31"/>
      <c r="CV204" s="31"/>
      <c r="CW204" s="31"/>
      <c r="CX204" s="31"/>
      <c r="CY204" s="31"/>
      <c r="CZ204" s="31"/>
      <c r="DA204" s="31"/>
      <c r="DB204" s="31"/>
      <c r="DC204" s="31"/>
      <c r="DD204" s="31"/>
      <c r="DE204" s="78"/>
    </row>
    <row r="205" spans="1:109" x14ac:dyDescent="0.2">
      <c r="A205" s="413" t="s">
        <v>5324</v>
      </c>
      <c r="B205" s="1368"/>
      <c r="C205" s="1335"/>
      <c r="D205" s="1331"/>
      <c r="E205" s="133"/>
      <c r="F205" s="89"/>
      <c r="G205" s="9"/>
      <c r="H205" s="9"/>
      <c r="I205" s="89"/>
      <c r="J205" s="89"/>
      <c r="K205" s="89"/>
      <c r="L205" s="9"/>
      <c r="M205" s="89"/>
      <c r="N205" s="9"/>
      <c r="O205" s="9"/>
      <c r="P205" s="9"/>
      <c r="Q205" s="49"/>
      <c r="R205" s="89"/>
      <c r="S205" s="9"/>
      <c r="T205" s="9"/>
      <c r="U205" s="9"/>
      <c r="V205" s="49"/>
      <c r="W205" s="133"/>
      <c r="X205" s="9"/>
      <c r="Y205" s="46"/>
      <c r="Z205" s="9"/>
      <c r="AA205" s="46">
        <f t="shared" si="604"/>
        <v>0</v>
      </c>
      <c r="AB205" s="133"/>
      <c r="AC205" s="9"/>
      <c r="AD205" s="9"/>
      <c r="AE205" s="9"/>
      <c r="AF205" s="49"/>
      <c r="AG205" s="89"/>
      <c r="AH205" s="9"/>
      <c r="AI205" s="9"/>
      <c r="AJ205" s="9"/>
      <c r="AK205" s="49"/>
      <c r="AL205" s="89"/>
      <c r="AM205" s="9"/>
      <c r="AN205" s="9"/>
      <c r="AO205" s="9"/>
      <c r="AP205" s="49"/>
      <c r="AQ205" s="89"/>
      <c r="AR205" s="9"/>
      <c r="AS205" s="9"/>
      <c r="AT205" s="9"/>
      <c r="AU205" s="61"/>
      <c r="AW205" s="9"/>
      <c r="AX205" s="9"/>
      <c r="AY205" s="9"/>
      <c r="AZ205" s="49"/>
      <c r="BA205" s="89"/>
      <c r="BB205" s="9"/>
      <c r="BC205" s="9"/>
      <c r="BD205" s="9"/>
      <c r="BE205" s="49"/>
      <c r="BF205" s="89"/>
      <c r="BG205" s="9"/>
      <c r="BH205" s="9"/>
      <c r="BI205" s="9"/>
      <c r="BJ205" s="49"/>
      <c r="BK205" s="89"/>
      <c r="BL205" s="9"/>
      <c r="BM205" s="9"/>
      <c r="BN205" s="9"/>
      <c r="BO205" s="49"/>
      <c r="BP205" s="89"/>
      <c r="BQ205" s="9"/>
      <c r="BR205" s="9"/>
      <c r="BS205" s="9"/>
      <c r="BT205" s="49"/>
      <c r="BU205" s="89"/>
      <c r="BV205" s="9"/>
      <c r="BW205" s="9"/>
      <c r="BX205" s="9"/>
      <c r="BY205" s="49"/>
      <c r="BZ205" s="89"/>
      <c r="CA205" s="9"/>
      <c r="CB205" s="9"/>
      <c r="CC205" s="9"/>
      <c r="CE205" s="1406"/>
      <c r="CF205" s="833"/>
      <c r="CG205" s="833"/>
      <c r="CH205" s="833"/>
      <c r="CI205" s="833"/>
      <c r="CJ205" s="833"/>
      <c r="CK205" s="833"/>
      <c r="CL205" s="833"/>
      <c r="CM205" s="833"/>
      <c r="CN205" s="833"/>
      <c r="CO205" s="833"/>
      <c r="CP205" s="833"/>
      <c r="CQ205" s="833"/>
      <c r="CR205" s="833"/>
      <c r="CS205" s="1125"/>
      <c r="CT205" s="31"/>
      <c r="CU205" s="31"/>
      <c r="CV205" s="31"/>
      <c r="CW205" s="31"/>
      <c r="CX205" s="31"/>
      <c r="CY205" s="31"/>
      <c r="CZ205" s="31"/>
      <c r="DA205" s="31"/>
      <c r="DB205" s="31"/>
      <c r="DC205" s="31"/>
      <c r="DD205" s="31"/>
      <c r="DE205" s="78"/>
    </row>
    <row r="206" spans="1:109" x14ac:dyDescent="0.2">
      <c r="A206" s="615" t="s">
        <v>6014</v>
      </c>
      <c r="B206" s="1368"/>
      <c r="C206" s="1335"/>
      <c r="D206" s="1331" t="s">
        <v>6082</v>
      </c>
      <c r="E206" s="133"/>
      <c r="F206" s="89">
        <v>4200</v>
      </c>
      <c r="G206" s="9"/>
      <c r="H206" s="9"/>
      <c r="I206" s="89"/>
      <c r="J206" s="89"/>
      <c r="K206" s="89"/>
      <c r="L206" s="9"/>
      <c r="M206" s="89"/>
      <c r="N206" s="9"/>
      <c r="O206" s="9"/>
      <c r="P206" s="9"/>
      <c r="Q206" s="49"/>
      <c r="R206" s="89"/>
      <c r="S206" s="9"/>
      <c r="T206" s="9"/>
      <c r="U206" s="9"/>
      <c r="V206" s="49"/>
      <c r="W206" s="133"/>
      <c r="X206" s="9"/>
      <c r="Y206" s="46"/>
      <c r="Z206" s="9">
        <f>+F206</f>
        <v>4200</v>
      </c>
      <c r="AA206" s="46">
        <f t="shared" si="604"/>
        <v>0</v>
      </c>
      <c r="AB206" s="133"/>
      <c r="AC206" s="9"/>
      <c r="AD206" s="9"/>
      <c r="AE206" s="9">
        <f>+G206</f>
        <v>0</v>
      </c>
      <c r="AF206" s="49">
        <f>G206-AB206-AC206-AD206-AE206</f>
        <v>0</v>
      </c>
      <c r="AG206" s="89"/>
      <c r="AH206" s="9"/>
      <c r="AI206" s="9"/>
      <c r="AJ206" s="9"/>
      <c r="AK206" s="49">
        <f>H206-AG206-AH206-AI206-AJ206</f>
        <v>0</v>
      </c>
      <c r="AL206" s="89"/>
      <c r="AM206" s="9"/>
      <c r="AN206" s="9"/>
      <c r="AO206" s="9"/>
      <c r="AP206" s="49"/>
      <c r="AQ206" s="89"/>
      <c r="AR206" s="9"/>
      <c r="AS206" s="9"/>
      <c r="AT206" s="9"/>
      <c r="AU206" s="61"/>
      <c r="AW206" s="9"/>
      <c r="AX206" s="9"/>
      <c r="AY206" s="9"/>
      <c r="AZ206" s="49"/>
      <c r="BA206" s="89"/>
      <c r="BB206" s="9"/>
      <c r="BC206" s="9"/>
      <c r="BD206" s="9"/>
      <c r="BE206" s="49"/>
      <c r="BF206" s="89"/>
      <c r="BG206" s="9"/>
      <c r="BH206" s="9"/>
      <c r="BI206" s="9"/>
      <c r="BJ206" s="49"/>
      <c r="BK206" s="89"/>
      <c r="BL206" s="9"/>
      <c r="BM206" s="9"/>
      <c r="BN206" s="9"/>
      <c r="BO206" s="49"/>
      <c r="BP206" s="89"/>
      <c r="BQ206" s="9"/>
      <c r="BR206" s="9"/>
      <c r="BS206" s="9"/>
      <c r="BT206" s="49"/>
      <c r="BU206" s="89"/>
      <c r="BV206" s="9"/>
      <c r="BW206" s="9"/>
      <c r="BX206" s="9"/>
      <c r="BY206" s="49"/>
      <c r="BZ206" s="89"/>
      <c r="CA206" s="9"/>
      <c r="CB206" s="9"/>
      <c r="CC206" s="9"/>
      <c r="CE206" s="1406">
        <v>0</v>
      </c>
      <c r="CF206" s="833">
        <f t="shared" ref="CF206" si="696">CE206</f>
        <v>0</v>
      </c>
      <c r="CG206" s="833">
        <f t="shared" ref="CG206" si="697">CF206</f>
        <v>0</v>
      </c>
      <c r="CH206" s="833">
        <f t="shared" ref="CH206" si="698">CG206</f>
        <v>0</v>
      </c>
      <c r="CI206" s="833">
        <f t="shared" ref="CI206" si="699">CH206</f>
        <v>0</v>
      </c>
      <c r="CJ206" s="833">
        <f t="shared" ref="CJ206" si="700">CI206</f>
        <v>0</v>
      </c>
      <c r="CK206" s="833">
        <f t="shared" ref="CK206" si="701">CJ206</f>
        <v>0</v>
      </c>
      <c r="CL206" s="833">
        <f t="shared" ref="CL206" si="702">CK206</f>
        <v>0</v>
      </c>
      <c r="CM206" s="833">
        <f t="shared" ref="CM206" si="703">CL206</f>
        <v>0</v>
      </c>
      <c r="CN206" s="833">
        <f t="shared" ref="CN206" si="704">CM206</f>
        <v>0</v>
      </c>
      <c r="CO206" s="833">
        <f>CN206</f>
        <v>0</v>
      </c>
      <c r="CP206" s="833">
        <f>CO206</f>
        <v>0</v>
      </c>
      <c r="CQ206" s="833">
        <f>CP206</f>
        <v>0</v>
      </c>
      <c r="CR206" s="833"/>
      <c r="CS206" s="1125">
        <f t="shared" ref="CS206:DE206" si="705">ROUND(CE206*E206,-3)</f>
        <v>0</v>
      </c>
      <c r="CT206" s="31">
        <f t="shared" si="705"/>
        <v>0</v>
      </c>
      <c r="CU206" s="31">
        <f t="shared" si="705"/>
        <v>0</v>
      </c>
      <c r="CV206" s="31">
        <f t="shared" si="705"/>
        <v>0</v>
      </c>
      <c r="CW206" s="31">
        <f t="shared" si="705"/>
        <v>0</v>
      </c>
      <c r="CX206" s="31">
        <f t="shared" si="705"/>
        <v>0</v>
      </c>
      <c r="CY206" s="31">
        <f t="shared" si="705"/>
        <v>0</v>
      </c>
      <c r="CZ206" s="31">
        <f t="shared" si="705"/>
        <v>0</v>
      </c>
      <c r="DA206" s="31">
        <f t="shared" si="705"/>
        <v>0</v>
      </c>
      <c r="DB206" s="31">
        <f t="shared" si="705"/>
        <v>0</v>
      </c>
      <c r="DC206" s="31">
        <f t="shared" si="705"/>
        <v>0</v>
      </c>
      <c r="DD206" s="31">
        <f t="shared" si="705"/>
        <v>0</v>
      </c>
      <c r="DE206" s="78">
        <f t="shared" si="705"/>
        <v>0</v>
      </c>
    </row>
    <row r="207" spans="1:109" x14ac:dyDescent="0.2">
      <c r="A207" s="296"/>
      <c r="B207" s="1269"/>
      <c r="C207" s="1337"/>
      <c r="D207" s="1333"/>
      <c r="E207" s="133"/>
      <c r="F207" s="9"/>
      <c r="G207" s="9"/>
      <c r="H207" s="9"/>
      <c r="I207" s="9"/>
      <c r="J207" s="89"/>
      <c r="K207" s="9"/>
      <c r="L207" s="9"/>
      <c r="M207" s="89"/>
      <c r="N207" s="9"/>
      <c r="O207" s="9"/>
      <c r="P207" s="9"/>
      <c r="Q207" s="49"/>
      <c r="R207" s="89"/>
      <c r="S207" s="9"/>
      <c r="T207" s="9"/>
      <c r="U207" s="9"/>
      <c r="V207" s="49"/>
      <c r="W207" s="133"/>
      <c r="X207" s="9"/>
      <c r="Y207" s="46"/>
      <c r="Z207" s="9"/>
      <c r="AA207" s="46">
        <f t="shared" si="604"/>
        <v>0</v>
      </c>
      <c r="AB207" s="133"/>
      <c r="AC207" s="9"/>
      <c r="AD207" s="9"/>
      <c r="AE207" s="9"/>
      <c r="AF207" s="49"/>
      <c r="AG207" s="89"/>
      <c r="AH207" s="9"/>
      <c r="AI207" s="9"/>
      <c r="AJ207" s="9"/>
      <c r="AK207" s="49"/>
      <c r="AL207" s="89"/>
      <c r="AM207" s="9"/>
      <c r="AN207" s="9"/>
      <c r="AO207" s="9"/>
      <c r="AP207" s="49"/>
      <c r="AQ207" s="89"/>
      <c r="AR207" s="9"/>
      <c r="AS207" s="9"/>
      <c r="AT207" s="9"/>
      <c r="AU207" s="61"/>
      <c r="AW207" s="9"/>
      <c r="AX207" s="9"/>
      <c r="AY207" s="9"/>
      <c r="AZ207" s="49"/>
      <c r="BA207" s="89"/>
      <c r="BB207" s="9"/>
      <c r="BC207" s="9"/>
      <c r="BD207" s="9"/>
      <c r="BE207" s="49"/>
      <c r="BF207" s="89"/>
      <c r="BG207" s="9"/>
      <c r="BH207" s="9"/>
      <c r="BI207" s="9"/>
      <c r="BJ207" s="49"/>
      <c r="BK207" s="89"/>
      <c r="BL207" s="9"/>
      <c r="BM207" s="9"/>
      <c r="BN207" s="9"/>
      <c r="BO207" s="49"/>
      <c r="BP207" s="89"/>
      <c r="BQ207" s="9"/>
      <c r="BR207" s="9"/>
      <c r="BS207" s="9"/>
      <c r="BT207" s="49"/>
      <c r="BU207" s="89"/>
      <c r="BV207" s="9"/>
      <c r="BW207" s="9"/>
      <c r="BX207" s="9"/>
      <c r="BY207" s="49"/>
      <c r="BZ207" s="89"/>
      <c r="CA207" s="9"/>
      <c r="CB207" s="9"/>
      <c r="CC207" s="9"/>
      <c r="CE207" s="1406"/>
      <c r="CF207" s="833"/>
      <c r="CG207" s="833"/>
      <c r="CH207" s="833"/>
      <c r="CI207" s="833"/>
      <c r="CJ207" s="833"/>
      <c r="CK207" s="833"/>
      <c r="CL207" s="833"/>
      <c r="CM207" s="833"/>
      <c r="CN207" s="833"/>
      <c r="CO207" s="833"/>
      <c r="CP207" s="833"/>
      <c r="CQ207" s="833"/>
      <c r="CR207" s="833"/>
      <c r="CS207" s="350"/>
      <c r="CT207" s="46"/>
      <c r="CU207" s="46"/>
      <c r="CV207" s="46"/>
      <c r="CW207" s="46"/>
      <c r="CX207" s="46"/>
      <c r="CY207" s="46"/>
      <c r="CZ207" s="46"/>
      <c r="DA207" s="46"/>
      <c r="DB207" s="46"/>
      <c r="DC207" s="46"/>
      <c r="DD207" s="46"/>
      <c r="DE207" s="61"/>
    </row>
    <row r="208" spans="1:109" x14ac:dyDescent="0.2">
      <c r="A208" s="293" t="s">
        <v>2102</v>
      </c>
      <c r="B208" s="1360"/>
      <c r="C208" s="1338"/>
      <c r="D208" s="1384"/>
      <c r="E208" s="133"/>
      <c r="F208" s="9"/>
      <c r="G208" s="9"/>
      <c r="H208" s="9"/>
      <c r="I208" s="9"/>
      <c r="J208" s="89"/>
      <c r="K208" s="9"/>
      <c r="L208" s="9"/>
      <c r="M208" s="89"/>
      <c r="N208" s="9"/>
      <c r="O208" s="9"/>
      <c r="P208" s="9"/>
      <c r="Q208" s="49"/>
      <c r="R208" s="89"/>
      <c r="S208" s="9"/>
      <c r="T208" s="9"/>
      <c r="U208" s="9"/>
      <c r="V208" s="49"/>
      <c r="W208" s="133"/>
      <c r="X208" s="9"/>
      <c r="Y208" s="46"/>
      <c r="Z208" s="9"/>
      <c r="AA208" s="46">
        <f t="shared" si="604"/>
        <v>0</v>
      </c>
      <c r="AB208" s="133"/>
      <c r="AC208" s="9"/>
      <c r="AD208" s="9"/>
      <c r="AE208" s="9"/>
      <c r="AF208" s="49"/>
      <c r="AG208" s="89"/>
      <c r="AH208" s="9"/>
      <c r="AI208" s="9"/>
      <c r="AJ208" s="9"/>
      <c r="AK208" s="76"/>
      <c r="AL208" s="89"/>
      <c r="AM208" s="9"/>
      <c r="AN208" s="9"/>
      <c r="AO208" s="9"/>
      <c r="AP208" s="49"/>
      <c r="AQ208" s="89"/>
      <c r="AR208" s="9"/>
      <c r="AS208" s="9"/>
      <c r="AT208" s="9"/>
      <c r="AU208" s="61"/>
      <c r="AW208" s="9"/>
      <c r="AX208" s="9"/>
      <c r="AY208" s="9"/>
      <c r="AZ208" s="49"/>
      <c r="BA208" s="89"/>
      <c r="BB208" s="9"/>
      <c r="BC208" s="9"/>
      <c r="BD208" s="9"/>
      <c r="BE208" s="49"/>
      <c r="BF208" s="89"/>
      <c r="BG208" s="9"/>
      <c r="BH208" s="9"/>
      <c r="BI208" s="9"/>
      <c r="BJ208" s="49"/>
      <c r="BK208" s="89"/>
      <c r="BL208" s="9"/>
      <c r="BM208" s="9"/>
      <c r="BN208" s="9"/>
      <c r="BO208" s="49"/>
      <c r="BP208" s="89"/>
      <c r="BQ208" s="9"/>
      <c r="BR208" s="9"/>
      <c r="BS208" s="9"/>
      <c r="BT208" s="49"/>
      <c r="BU208" s="89"/>
      <c r="BV208" s="9"/>
      <c r="BW208" s="9"/>
      <c r="BX208" s="9"/>
      <c r="BY208" s="49"/>
      <c r="BZ208" s="89"/>
      <c r="CA208" s="9"/>
      <c r="CB208" s="9"/>
      <c r="CC208" s="9"/>
      <c r="CE208" s="1405"/>
      <c r="CF208" s="538"/>
      <c r="CG208" s="538"/>
      <c r="CH208" s="538"/>
      <c r="CI208" s="538"/>
      <c r="CJ208" s="538"/>
      <c r="CK208" s="538"/>
      <c r="CL208" s="538"/>
      <c r="CM208" s="538"/>
      <c r="CN208" s="538"/>
      <c r="CO208" s="538"/>
      <c r="CP208" s="538"/>
      <c r="CQ208" s="538"/>
      <c r="CR208" s="538"/>
      <c r="CS208" s="350"/>
      <c r="CT208" s="46"/>
      <c r="CU208" s="46"/>
      <c r="CV208" s="46"/>
      <c r="CW208" s="46"/>
      <c r="CX208" s="46"/>
      <c r="CY208" s="46"/>
      <c r="CZ208" s="46"/>
      <c r="DA208" s="46"/>
      <c r="DB208" s="46"/>
      <c r="DC208" s="46"/>
      <c r="DD208" s="46"/>
      <c r="DE208" s="61"/>
    </row>
    <row r="209" spans="1:109" x14ac:dyDescent="0.2">
      <c r="A209" s="615" t="s">
        <v>5502</v>
      </c>
      <c r="B209" s="1368" t="s">
        <v>3907</v>
      </c>
      <c r="C209" s="1346" t="s">
        <v>5401</v>
      </c>
      <c r="D209" s="1331" t="s">
        <v>5401</v>
      </c>
      <c r="E209" s="133">
        <v>206300</v>
      </c>
      <c r="F209" s="9"/>
      <c r="G209" s="9"/>
      <c r="H209" s="9">
        <f>ROUND((G209*Assumptions!I$6+G209),-3)</f>
        <v>0</v>
      </c>
      <c r="I209" s="29">
        <f>ROUND((H209*Assumptions!J$6+H209),-3)</f>
        <v>0</v>
      </c>
      <c r="J209" s="29">
        <f>ROUND((I209*Assumptions!K$6+I209),-3)</f>
        <v>0</v>
      </c>
      <c r="K209" s="9">
        <f>ROUND((J209*Assumptions!L$6+J209),-3)</f>
        <v>0</v>
      </c>
      <c r="L209" s="9">
        <f>ROUND((K209*Assumptions!M$6+K209),-3)</f>
        <v>0</v>
      </c>
      <c r="M209" s="89">
        <f>ROUND((L209*Assumptions!N$6+L209),-3)</f>
        <v>0</v>
      </c>
      <c r="N209" s="9">
        <f>ROUND((M209*Assumptions!O$6+M209),-3)+2600000</f>
        <v>2600000</v>
      </c>
      <c r="O209" s="9">
        <f>ROUND((N209*Assumptions!P$6+N209),-3)-2665000</f>
        <v>0</v>
      </c>
      <c r="P209" s="9">
        <f>ROUND((O209*Assumptions!Q$6+O209),-3)</f>
        <v>0</v>
      </c>
      <c r="Q209" s="49">
        <f>ROUND((P209*Assumptions!R$6+P209),-3)</f>
        <v>0</v>
      </c>
      <c r="R209" s="89"/>
      <c r="S209" s="29"/>
      <c r="T209" s="29"/>
      <c r="U209" s="9">
        <f>E209-110000</f>
        <v>96300</v>
      </c>
      <c r="V209" s="49">
        <f t="shared" ref="V209:V217" si="706">E209-R209-S209-T209-U209</f>
        <v>110000</v>
      </c>
      <c r="W209" s="133"/>
      <c r="X209" s="9"/>
      <c r="Y209" s="46"/>
      <c r="Z209" s="9">
        <f>F209</f>
        <v>0</v>
      </c>
      <c r="AA209" s="46">
        <f t="shared" si="604"/>
        <v>0</v>
      </c>
      <c r="AB209" s="133"/>
      <c r="AC209" s="29"/>
      <c r="AD209" s="29"/>
      <c r="AE209" s="9">
        <f t="shared" ref="AE209:AE217" si="707">G209</f>
        <v>0</v>
      </c>
      <c r="AF209" s="49">
        <f t="shared" ref="AF209:AF217" si="708">G209-AB209-AC209-AD209-AE209</f>
        <v>0</v>
      </c>
      <c r="AG209" s="89"/>
      <c r="AH209" s="29"/>
      <c r="AI209" s="29"/>
      <c r="AJ209" s="9">
        <f t="shared" ref="AJ209:AJ217" si="709">H209</f>
        <v>0</v>
      </c>
      <c r="AK209" s="49">
        <f t="shared" ref="AK209:AK217" si="710">H209-AG209-AH209-AI209-AJ209</f>
        <v>0</v>
      </c>
      <c r="AL209" s="89"/>
      <c r="AM209" s="29"/>
      <c r="AN209" s="29"/>
      <c r="AO209" s="29">
        <f>I209</f>
        <v>0</v>
      </c>
      <c r="AP209" s="76">
        <f>I209-AL209-AM209-AN209-AO209</f>
        <v>0</v>
      </c>
      <c r="AQ209" s="89"/>
      <c r="AR209" s="29"/>
      <c r="AS209" s="29"/>
      <c r="AT209" s="9">
        <f>J209</f>
        <v>0</v>
      </c>
      <c r="AU209" s="61">
        <f>J209-AQ209-AR209-AS209-AT209</f>
        <v>0</v>
      </c>
      <c r="AW209" s="29"/>
      <c r="AX209" s="29"/>
      <c r="AY209" s="9">
        <f>K209</f>
        <v>0</v>
      </c>
      <c r="AZ209" s="49">
        <f>K209-AV209-AW209-AX209-AY209</f>
        <v>0</v>
      </c>
      <c r="BA209" s="89"/>
      <c r="BB209" s="29"/>
      <c r="BC209" s="29"/>
      <c r="BD209" s="9">
        <f>L209</f>
        <v>0</v>
      </c>
      <c r="BE209" s="49">
        <f>L209-BA209-BB209-BC209-BD209</f>
        <v>0</v>
      </c>
      <c r="BF209" s="89"/>
      <c r="BG209" s="29"/>
      <c r="BH209" s="29"/>
      <c r="BI209" s="9">
        <f>M209</f>
        <v>0</v>
      </c>
      <c r="BJ209" s="49">
        <f>M209-BF209-BG209-BH209-BI209</f>
        <v>0</v>
      </c>
      <c r="BK209" s="89"/>
      <c r="BL209" s="9"/>
      <c r="BM209" s="9"/>
      <c r="BN209" s="9">
        <f>N209</f>
        <v>2600000</v>
      </c>
      <c r="BO209" s="49">
        <f>N209-BK209-BL209-BM209-BN209</f>
        <v>0</v>
      </c>
      <c r="BP209" s="89"/>
      <c r="BQ209" s="9"/>
      <c r="BR209" s="9"/>
      <c r="BS209" s="9">
        <f>O209</f>
        <v>0</v>
      </c>
      <c r="BT209" s="49">
        <f>O209-BP209-BQ209-BR209-BS209</f>
        <v>0</v>
      </c>
      <c r="BU209" s="89"/>
      <c r="BV209" s="9"/>
      <c r="BW209" s="9"/>
      <c r="BX209" s="9">
        <f>P209</f>
        <v>0</v>
      </c>
      <c r="BY209" s="49">
        <f t="shared" ref="BY209:BY217" si="711">P209-BU209-BV209-BW209-BX209</f>
        <v>0</v>
      </c>
      <c r="BZ209" s="89"/>
      <c r="CA209" s="9"/>
      <c r="CB209" s="9"/>
      <c r="CC209" s="9"/>
      <c r="CD209" s="46">
        <f t="shared" ref="CD209:CD217" si="712">Q209-BZ209-CA209-CB209-CC209</f>
        <v>0</v>
      </c>
      <c r="CE209" s="1406">
        <v>1</v>
      </c>
      <c r="CF209" s="833">
        <f t="shared" ref="CF209" si="713">CE209</f>
        <v>1</v>
      </c>
      <c r="CG209" s="833">
        <f t="shared" ref="CG209" si="714">CF209</f>
        <v>1</v>
      </c>
      <c r="CH209" s="833">
        <f t="shared" ref="CH209" si="715">CG209</f>
        <v>1</v>
      </c>
      <c r="CI209" s="833">
        <f t="shared" ref="CI209" si="716">CH209</f>
        <v>1</v>
      </c>
      <c r="CJ209" s="833">
        <f t="shared" ref="CJ209" si="717">CI209</f>
        <v>1</v>
      </c>
      <c r="CK209" s="833">
        <f t="shared" ref="CK209" si="718">CJ209</f>
        <v>1</v>
      </c>
      <c r="CL209" s="833">
        <f t="shared" ref="CL209" si="719">CK209</f>
        <v>1</v>
      </c>
      <c r="CM209" s="833">
        <f t="shared" ref="CM209" si="720">CL209</f>
        <v>1</v>
      </c>
      <c r="CN209" s="833">
        <f t="shared" ref="CN209" si="721">CM209</f>
        <v>1</v>
      </c>
      <c r="CO209" s="833">
        <f t="shared" ref="CO209:CQ217" si="722">CN209</f>
        <v>1</v>
      </c>
      <c r="CP209" s="833">
        <f t="shared" si="722"/>
        <v>1</v>
      </c>
      <c r="CQ209" s="833">
        <f t="shared" si="722"/>
        <v>1</v>
      </c>
      <c r="CR209" s="833"/>
      <c r="CS209" s="1125">
        <f t="shared" ref="CS209:CS217" si="723">ROUND(CE209*E209,-3)</f>
        <v>206000</v>
      </c>
      <c r="CT209" s="31">
        <f t="shared" ref="CT209:CT217" si="724">ROUND(CF209*F209,-3)</f>
        <v>0</v>
      </c>
      <c r="CU209" s="31">
        <f t="shared" ref="CU209:CU217" si="725">ROUND(CG209*G209,-3)</f>
        <v>0</v>
      </c>
      <c r="CV209" s="31">
        <f t="shared" ref="CV209:CV217" si="726">ROUND(CH209*H209,-3)</f>
        <v>0</v>
      </c>
      <c r="CW209" s="31">
        <f t="shared" ref="CW209:CW217" si="727">ROUND(CI209*I209,-3)</f>
        <v>0</v>
      </c>
      <c r="CX209" s="31">
        <f t="shared" ref="CX209:CX217" si="728">ROUND(CJ209*J209,-3)</f>
        <v>0</v>
      </c>
      <c r="CY209" s="31">
        <f t="shared" ref="CY209:CY217" si="729">ROUND(CK209*K209,-3)</f>
        <v>0</v>
      </c>
      <c r="CZ209" s="31">
        <f t="shared" ref="CZ209:CZ217" si="730">ROUND(CL209*L209,-3)</f>
        <v>0</v>
      </c>
      <c r="DA209" s="31">
        <f t="shared" ref="DA209:DA217" si="731">ROUND(CM209*M209,-3)</f>
        <v>0</v>
      </c>
      <c r="DB209" s="31">
        <f t="shared" ref="DB209:DB217" si="732">ROUND(CN209*N209,-3)</f>
        <v>2600000</v>
      </c>
      <c r="DC209" s="31">
        <f t="shared" ref="DC209:DC217" si="733">ROUND(CO209*O209,-3)</f>
        <v>0</v>
      </c>
      <c r="DD209" s="31">
        <f t="shared" ref="DD209:DE217" si="734">ROUND(CP209*P209,-3)</f>
        <v>0</v>
      </c>
      <c r="DE209" s="78">
        <f t="shared" si="734"/>
        <v>0</v>
      </c>
    </row>
    <row r="210" spans="1:109" x14ac:dyDescent="0.2">
      <c r="A210" s="615" t="s">
        <v>4750</v>
      </c>
      <c r="B210" s="1368" t="s">
        <v>3907</v>
      </c>
      <c r="C210" s="1346" t="s">
        <v>4030</v>
      </c>
      <c r="D210" s="1331"/>
      <c r="E210" s="133">
        <f>108600-108600</f>
        <v>0</v>
      </c>
      <c r="F210" s="9"/>
      <c r="G210" s="9"/>
      <c r="H210" s="9">
        <v>0</v>
      </c>
      <c r="I210" s="9">
        <v>0</v>
      </c>
      <c r="J210" s="29">
        <v>0</v>
      </c>
      <c r="K210" s="9">
        <v>0</v>
      </c>
      <c r="L210" s="9">
        <v>0</v>
      </c>
      <c r="M210" s="89">
        <v>0</v>
      </c>
      <c r="N210" s="9">
        <f>ROUND((M210*Assumptions!O$6+M210),-3)</f>
        <v>0</v>
      </c>
      <c r="O210" s="9">
        <f>ROUND((N210*Assumptions!P$6+N210),-3)</f>
        <v>0</v>
      </c>
      <c r="P210" s="9">
        <f>ROUND((O210*Assumptions!Q$6+O210),-3)</f>
        <v>0</v>
      </c>
      <c r="Q210" s="49">
        <f>ROUND((P210*Assumptions!R$6+P210),-3)</f>
        <v>0</v>
      </c>
      <c r="R210" s="89"/>
      <c r="S210" s="29"/>
      <c r="T210" s="29"/>
      <c r="U210" s="9">
        <f>E210</f>
        <v>0</v>
      </c>
      <c r="V210" s="49">
        <f t="shared" si="706"/>
        <v>0</v>
      </c>
      <c r="W210" s="133"/>
      <c r="X210" s="9"/>
      <c r="Y210" s="46"/>
      <c r="Z210" s="9">
        <f>F210</f>
        <v>0</v>
      </c>
      <c r="AA210" s="46">
        <f t="shared" si="604"/>
        <v>0</v>
      </c>
      <c r="AB210" s="133"/>
      <c r="AC210" s="29"/>
      <c r="AD210" s="29"/>
      <c r="AE210" s="9">
        <f t="shared" si="707"/>
        <v>0</v>
      </c>
      <c r="AF210" s="49">
        <f t="shared" si="708"/>
        <v>0</v>
      </c>
      <c r="AG210" s="89"/>
      <c r="AH210" s="29"/>
      <c r="AI210" s="29"/>
      <c r="AJ210" s="9">
        <f t="shared" si="709"/>
        <v>0</v>
      </c>
      <c r="AK210" s="49">
        <f t="shared" si="710"/>
        <v>0</v>
      </c>
      <c r="AL210" s="89"/>
      <c r="AM210" s="29"/>
      <c r="AN210" s="29"/>
      <c r="AO210" s="29">
        <f>I210</f>
        <v>0</v>
      </c>
      <c r="AP210" s="76">
        <f t="shared" ref="AP210:AP217" si="735">I210-AL210-AM210-AN210-AO210</f>
        <v>0</v>
      </c>
      <c r="AQ210" s="89"/>
      <c r="AR210" s="29"/>
      <c r="AS210" s="29"/>
      <c r="AT210" s="9">
        <f>J210</f>
        <v>0</v>
      </c>
      <c r="AU210" s="61">
        <f t="shared" ref="AU210:AU217" si="736">J210-AQ210-AR210-AS210-AT210</f>
        <v>0</v>
      </c>
      <c r="AW210" s="29"/>
      <c r="AX210" s="29"/>
      <c r="AY210" s="9">
        <f>K210</f>
        <v>0</v>
      </c>
      <c r="AZ210" s="49">
        <f t="shared" ref="AZ210:AZ217" si="737">K210-AV210-AW210-AX210-AY210</f>
        <v>0</v>
      </c>
      <c r="BA210" s="89"/>
      <c r="BB210" s="29"/>
      <c r="BC210" s="29"/>
      <c r="BD210" s="9">
        <f>L210</f>
        <v>0</v>
      </c>
      <c r="BE210" s="49">
        <f t="shared" ref="BE210:BE217" si="738">L210-BA210-BB210-BC210-BD210</f>
        <v>0</v>
      </c>
      <c r="BF210" s="89"/>
      <c r="BG210" s="29"/>
      <c r="BH210" s="29"/>
      <c r="BI210" s="9">
        <f>M210</f>
        <v>0</v>
      </c>
      <c r="BJ210" s="49">
        <f t="shared" ref="BJ210:BJ217" si="739">M210-BF210-BG210-BH210-BI210</f>
        <v>0</v>
      </c>
      <c r="BK210" s="89"/>
      <c r="BL210" s="9"/>
      <c r="BM210" s="9"/>
      <c r="BN210" s="9">
        <f>N210</f>
        <v>0</v>
      </c>
      <c r="BO210" s="49">
        <f t="shared" ref="BO210:BO217" si="740">N210-BK210-BL210-BM210-BN210</f>
        <v>0</v>
      </c>
      <c r="BP210" s="89"/>
      <c r="BQ210" s="9"/>
      <c r="BR210" s="9"/>
      <c r="BS210" s="9">
        <f>O210</f>
        <v>0</v>
      </c>
      <c r="BT210" s="49">
        <f t="shared" ref="BT210:BT217" si="741">O210-BP210-BQ210-BR210-BS210</f>
        <v>0</v>
      </c>
      <c r="BU210" s="89"/>
      <c r="BV210" s="9"/>
      <c r="BW210" s="9"/>
      <c r="BX210" s="9">
        <f>P210</f>
        <v>0</v>
      </c>
      <c r="BY210" s="49">
        <f t="shared" si="711"/>
        <v>0</v>
      </c>
      <c r="BZ210" s="89"/>
      <c r="CA210" s="9"/>
      <c r="CB210" s="9"/>
      <c r="CC210" s="9">
        <f>U210</f>
        <v>0</v>
      </c>
      <c r="CD210" s="46">
        <f t="shared" si="712"/>
        <v>0</v>
      </c>
      <c r="CE210" s="1406">
        <v>1</v>
      </c>
      <c r="CF210" s="833">
        <f t="shared" ref="CF210:CN217" si="742">CE210</f>
        <v>1</v>
      </c>
      <c r="CG210" s="833">
        <f t="shared" si="742"/>
        <v>1</v>
      </c>
      <c r="CH210" s="833">
        <f t="shared" si="742"/>
        <v>1</v>
      </c>
      <c r="CI210" s="833">
        <f t="shared" si="742"/>
        <v>1</v>
      </c>
      <c r="CJ210" s="833">
        <f t="shared" si="742"/>
        <v>1</v>
      </c>
      <c r="CK210" s="833">
        <f t="shared" si="742"/>
        <v>1</v>
      </c>
      <c r="CL210" s="833">
        <f t="shared" si="742"/>
        <v>1</v>
      </c>
      <c r="CM210" s="833">
        <f t="shared" si="742"/>
        <v>1</v>
      </c>
      <c r="CN210" s="833">
        <f t="shared" si="742"/>
        <v>1</v>
      </c>
      <c r="CO210" s="833">
        <f t="shared" si="722"/>
        <v>1</v>
      </c>
      <c r="CP210" s="833">
        <f t="shared" si="722"/>
        <v>1</v>
      </c>
      <c r="CQ210" s="833">
        <f t="shared" si="722"/>
        <v>1</v>
      </c>
      <c r="CR210" s="833"/>
      <c r="CS210" s="1125">
        <f t="shared" si="723"/>
        <v>0</v>
      </c>
      <c r="CT210" s="31">
        <f t="shared" si="724"/>
        <v>0</v>
      </c>
      <c r="CU210" s="31">
        <f t="shared" si="725"/>
        <v>0</v>
      </c>
      <c r="CV210" s="31">
        <f t="shared" si="726"/>
        <v>0</v>
      </c>
      <c r="CW210" s="31">
        <f t="shared" si="727"/>
        <v>0</v>
      </c>
      <c r="CX210" s="31">
        <f t="shared" si="728"/>
        <v>0</v>
      </c>
      <c r="CY210" s="31">
        <f t="shared" si="729"/>
        <v>0</v>
      </c>
      <c r="CZ210" s="31">
        <f t="shared" si="730"/>
        <v>0</v>
      </c>
      <c r="DA210" s="31">
        <f t="shared" si="731"/>
        <v>0</v>
      </c>
      <c r="DB210" s="31">
        <f t="shared" si="732"/>
        <v>0</v>
      </c>
      <c r="DC210" s="31">
        <f t="shared" si="733"/>
        <v>0</v>
      </c>
      <c r="DD210" s="31">
        <f t="shared" si="734"/>
        <v>0</v>
      </c>
      <c r="DE210" s="78">
        <f t="shared" si="734"/>
        <v>0</v>
      </c>
    </row>
    <row r="211" spans="1:109" x14ac:dyDescent="0.2">
      <c r="A211" s="615" t="s">
        <v>5503</v>
      </c>
      <c r="B211" s="1354" t="s">
        <v>6112</v>
      </c>
      <c r="C211" s="1331" t="s">
        <v>5415</v>
      </c>
      <c r="D211" s="1331" t="s">
        <v>5415</v>
      </c>
      <c r="E211" s="133">
        <v>8500</v>
      </c>
      <c r="F211" s="9"/>
      <c r="G211" s="9"/>
      <c r="H211" s="9"/>
      <c r="I211" s="9"/>
      <c r="J211" s="46"/>
      <c r="K211" s="9"/>
      <c r="L211" s="9"/>
      <c r="M211" s="89"/>
      <c r="N211" s="9"/>
      <c r="O211" s="9"/>
      <c r="P211" s="9"/>
      <c r="Q211" s="49"/>
      <c r="R211" s="89"/>
      <c r="S211" s="29"/>
      <c r="T211" s="29"/>
      <c r="U211" s="9">
        <v>65000</v>
      </c>
      <c r="V211" s="49">
        <f t="shared" si="706"/>
        <v>-56500</v>
      </c>
      <c r="W211" s="133"/>
      <c r="X211" s="9"/>
      <c r="Y211" s="46"/>
      <c r="Z211" s="9">
        <f>56000-56000</f>
        <v>0</v>
      </c>
      <c r="AA211" s="46">
        <f t="shared" si="604"/>
        <v>0</v>
      </c>
      <c r="AB211" s="133"/>
      <c r="AC211" s="29"/>
      <c r="AD211" s="29"/>
      <c r="AE211" s="9">
        <f t="shared" si="707"/>
        <v>0</v>
      </c>
      <c r="AF211" s="49">
        <f t="shared" si="708"/>
        <v>0</v>
      </c>
      <c r="AG211" s="89"/>
      <c r="AH211" s="29"/>
      <c r="AI211" s="29"/>
      <c r="AJ211" s="9">
        <f t="shared" si="709"/>
        <v>0</v>
      </c>
      <c r="AK211" s="49">
        <f t="shared" si="710"/>
        <v>0</v>
      </c>
      <c r="AL211" s="89"/>
      <c r="AM211" s="29"/>
      <c r="AN211" s="29"/>
      <c r="AO211" s="29"/>
      <c r="AP211" s="76">
        <f t="shared" si="735"/>
        <v>0</v>
      </c>
      <c r="AQ211" s="89"/>
      <c r="AR211" s="29"/>
      <c r="AS211" s="29"/>
      <c r="AT211" s="9"/>
      <c r="AU211" s="61">
        <f t="shared" si="736"/>
        <v>0</v>
      </c>
      <c r="AW211" s="29"/>
      <c r="AX211" s="29"/>
      <c r="AY211" s="9"/>
      <c r="AZ211" s="49">
        <f t="shared" si="737"/>
        <v>0</v>
      </c>
      <c r="BA211" s="89"/>
      <c r="BB211" s="29"/>
      <c r="BC211" s="29"/>
      <c r="BD211" s="9"/>
      <c r="BE211" s="49">
        <f t="shared" si="738"/>
        <v>0</v>
      </c>
      <c r="BF211" s="89"/>
      <c r="BG211" s="29"/>
      <c r="BH211" s="29"/>
      <c r="BI211" s="9"/>
      <c r="BJ211" s="49">
        <f t="shared" si="739"/>
        <v>0</v>
      </c>
      <c r="BK211" s="89"/>
      <c r="BL211" s="29"/>
      <c r="BM211" s="29"/>
      <c r="BN211" s="9"/>
      <c r="BO211" s="49">
        <f t="shared" si="740"/>
        <v>0</v>
      </c>
      <c r="BP211" s="89"/>
      <c r="BQ211" s="29"/>
      <c r="BR211" s="29"/>
      <c r="BS211" s="9"/>
      <c r="BT211" s="49">
        <f t="shared" si="741"/>
        <v>0</v>
      </c>
      <c r="BU211" s="89"/>
      <c r="BV211" s="29"/>
      <c r="BW211" s="29"/>
      <c r="BX211" s="9"/>
      <c r="BY211" s="49">
        <f t="shared" si="711"/>
        <v>0</v>
      </c>
      <c r="BZ211" s="89"/>
      <c r="CA211" s="29"/>
      <c r="CB211" s="29"/>
      <c r="CC211" s="9"/>
      <c r="CD211" s="46">
        <f t="shared" si="712"/>
        <v>0</v>
      </c>
      <c r="CE211" s="1406">
        <v>0</v>
      </c>
      <c r="CF211" s="833">
        <f t="shared" ref="CF211:CF216" si="743">CE211</f>
        <v>0</v>
      </c>
      <c r="CG211" s="833">
        <f t="shared" ref="CG211:CG216" si="744">CF211</f>
        <v>0</v>
      </c>
      <c r="CH211" s="833">
        <f t="shared" ref="CH211:CH216" si="745">CG211</f>
        <v>0</v>
      </c>
      <c r="CI211" s="833">
        <f t="shared" ref="CI211:CI216" si="746">CH211</f>
        <v>0</v>
      </c>
      <c r="CJ211" s="833">
        <f t="shared" ref="CJ211:CJ216" si="747">CI211</f>
        <v>0</v>
      </c>
      <c r="CK211" s="833">
        <f t="shared" ref="CK211:CK216" si="748">CJ211</f>
        <v>0</v>
      </c>
      <c r="CL211" s="833">
        <f t="shared" ref="CL211:CL216" si="749">CK211</f>
        <v>0</v>
      </c>
      <c r="CM211" s="833">
        <f t="shared" ref="CM211:CM216" si="750">CL211</f>
        <v>0</v>
      </c>
      <c r="CN211" s="833">
        <f t="shared" ref="CN211:CN216" si="751">CM211</f>
        <v>0</v>
      </c>
      <c r="CO211" s="833">
        <f t="shared" si="722"/>
        <v>0</v>
      </c>
      <c r="CP211" s="833">
        <f t="shared" si="722"/>
        <v>0</v>
      </c>
      <c r="CQ211" s="833">
        <f t="shared" si="722"/>
        <v>0</v>
      </c>
      <c r="CR211" s="833"/>
      <c r="CS211" s="1125">
        <f t="shared" si="723"/>
        <v>0</v>
      </c>
      <c r="CT211" s="31">
        <f t="shared" si="724"/>
        <v>0</v>
      </c>
      <c r="CU211" s="31">
        <f t="shared" si="725"/>
        <v>0</v>
      </c>
      <c r="CV211" s="31">
        <f t="shared" si="726"/>
        <v>0</v>
      </c>
      <c r="CW211" s="31">
        <f t="shared" si="727"/>
        <v>0</v>
      </c>
      <c r="CX211" s="31">
        <f t="shared" si="728"/>
        <v>0</v>
      </c>
      <c r="CY211" s="31">
        <f t="shared" si="729"/>
        <v>0</v>
      </c>
      <c r="CZ211" s="31">
        <f t="shared" si="730"/>
        <v>0</v>
      </c>
      <c r="DA211" s="31">
        <f t="shared" si="731"/>
        <v>0</v>
      </c>
      <c r="DB211" s="31">
        <f t="shared" si="732"/>
        <v>0</v>
      </c>
      <c r="DC211" s="31">
        <f t="shared" si="733"/>
        <v>0</v>
      </c>
      <c r="DD211" s="31">
        <f t="shared" si="734"/>
        <v>0</v>
      </c>
      <c r="DE211" s="78">
        <f t="shared" si="734"/>
        <v>0</v>
      </c>
    </row>
    <row r="212" spans="1:109" x14ac:dyDescent="0.2">
      <c r="A212" s="615" t="s">
        <v>6993</v>
      </c>
      <c r="B212" s="1331" t="s">
        <v>5417</v>
      </c>
      <c r="C212" s="1346" t="s">
        <v>4959</v>
      </c>
      <c r="D212" s="1331"/>
      <c r="E212" s="133">
        <v>1900</v>
      </c>
      <c r="F212" s="9"/>
      <c r="G212" s="9"/>
      <c r="H212" s="9"/>
      <c r="I212" s="9"/>
      <c r="J212" s="46"/>
      <c r="K212" s="9"/>
      <c r="L212" s="9"/>
      <c r="M212" s="89"/>
      <c r="N212" s="9"/>
      <c r="O212" s="9"/>
      <c r="P212" s="9"/>
      <c r="Q212" s="49"/>
      <c r="R212" s="89"/>
      <c r="S212" s="29"/>
      <c r="T212" s="29"/>
      <c r="U212" s="9">
        <v>16000</v>
      </c>
      <c r="V212" s="49">
        <f t="shared" si="706"/>
        <v>-14100</v>
      </c>
      <c r="W212" s="133"/>
      <c r="X212" s="9"/>
      <c r="Y212" s="46"/>
      <c r="Z212" s="9">
        <v>14000</v>
      </c>
      <c r="AA212" s="46">
        <f t="shared" si="604"/>
        <v>-14000</v>
      </c>
      <c r="AB212" s="133"/>
      <c r="AC212" s="29"/>
      <c r="AD212" s="29"/>
      <c r="AE212" s="9">
        <f t="shared" si="707"/>
        <v>0</v>
      </c>
      <c r="AF212" s="49">
        <f t="shared" si="708"/>
        <v>0</v>
      </c>
      <c r="AG212" s="89"/>
      <c r="AH212" s="29"/>
      <c r="AI212" s="29"/>
      <c r="AJ212" s="9">
        <f t="shared" si="709"/>
        <v>0</v>
      </c>
      <c r="AK212" s="49">
        <f t="shared" si="710"/>
        <v>0</v>
      </c>
      <c r="AL212" s="89"/>
      <c r="AM212" s="29"/>
      <c r="AN212" s="29"/>
      <c r="AO212" s="29"/>
      <c r="AP212" s="76">
        <f t="shared" si="735"/>
        <v>0</v>
      </c>
      <c r="AQ212" s="89"/>
      <c r="AR212" s="29"/>
      <c r="AS212" s="29"/>
      <c r="AT212" s="9"/>
      <c r="AU212" s="61">
        <f t="shared" si="736"/>
        <v>0</v>
      </c>
      <c r="AW212" s="29"/>
      <c r="AX212" s="29"/>
      <c r="AY212" s="9"/>
      <c r="AZ212" s="49">
        <f t="shared" si="737"/>
        <v>0</v>
      </c>
      <c r="BA212" s="89"/>
      <c r="BB212" s="29"/>
      <c r="BC212" s="29"/>
      <c r="BD212" s="9"/>
      <c r="BE212" s="49">
        <f t="shared" si="738"/>
        <v>0</v>
      </c>
      <c r="BF212" s="89"/>
      <c r="BG212" s="29"/>
      <c r="BH212" s="29"/>
      <c r="BI212" s="9"/>
      <c r="BJ212" s="49">
        <f t="shared" si="739"/>
        <v>0</v>
      </c>
      <c r="BK212" s="89"/>
      <c r="BL212" s="29"/>
      <c r="BM212" s="29"/>
      <c r="BN212" s="9"/>
      <c r="BO212" s="49">
        <f t="shared" si="740"/>
        <v>0</v>
      </c>
      <c r="BP212" s="89"/>
      <c r="BQ212" s="29"/>
      <c r="BR212" s="29"/>
      <c r="BS212" s="9"/>
      <c r="BT212" s="49">
        <f t="shared" si="741"/>
        <v>0</v>
      </c>
      <c r="BU212" s="89"/>
      <c r="BV212" s="29"/>
      <c r="BW212" s="29"/>
      <c r="BX212" s="9"/>
      <c r="BY212" s="49">
        <f t="shared" si="711"/>
        <v>0</v>
      </c>
      <c r="BZ212" s="89"/>
      <c r="CA212" s="29"/>
      <c r="CB212" s="29"/>
      <c r="CC212" s="9"/>
      <c r="CD212" s="46">
        <f t="shared" si="712"/>
        <v>0</v>
      </c>
      <c r="CE212" s="1406">
        <v>0</v>
      </c>
      <c r="CF212" s="833">
        <f t="shared" si="743"/>
        <v>0</v>
      </c>
      <c r="CG212" s="833">
        <f t="shared" si="744"/>
        <v>0</v>
      </c>
      <c r="CH212" s="833">
        <f t="shared" si="745"/>
        <v>0</v>
      </c>
      <c r="CI212" s="833">
        <f t="shared" si="746"/>
        <v>0</v>
      </c>
      <c r="CJ212" s="833">
        <f t="shared" si="747"/>
        <v>0</v>
      </c>
      <c r="CK212" s="833">
        <f t="shared" si="748"/>
        <v>0</v>
      </c>
      <c r="CL212" s="833">
        <f t="shared" si="749"/>
        <v>0</v>
      </c>
      <c r="CM212" s="833">
        <f t="shared" si="750"/>
        <v>0</v>
      </c>
      <c r="CN212" s="833">
        <f t="shared" si="751"/>
        <v>0</v>
      </c>
      <c r="CO212" s="833">
        <f t="shared" si="722"/>
        <v>0</v>
      </c>
      <c r="CP212" s="833">
        <f t="shared" si="722"/>
        <v>0</v>
      </c>
      <c r="CQ212" s="833">
        <f t="shared" si="722"/>
        <v>0</v>
      </c>
      <c r="CR212" s="833"/>
      <c r="CS212" s="1125">
        <f t="shared" si="723"/>
        <v>0</v>
      </c>
      <c r="CT212" s="31">
        <f t="shared" si="724"/>
        <v>0</v>
      </c>
      <c r="CU212" s="31">
        <f t="shared" si="725"/>
        <v>0</v>
      </c>
      <c r="CV212" s="31">
        <f t="shared" si="726"/>
        <v>0</v>
      </c>
      <c r="CW212" s="31">
        <f t="shared" si="727"/>
        <v>0</v>
      </c>
      <c r="CX212" s="31">
        <f t="shared" si="728"/>
        <v>0</v>
      </c>
      <c r="CY212" s="31">
        <f t="shared" si="729"/>
        <v>0</v>
      </c>
      <c r="CZ212" s="31">
        <f t="shared" si="730"/>
        <v>0</v>
      </c>
      <c r="DA212" s="31">
        <f t="shared" si="731"/>
        <v>0</v>
      </c>
      <c r="DB212" s="31">
        <f t="shared" si="732"/>
        <v>0</v>
      </c>
      <c r="DC212" s="31">
        <f t="shared" si="733"/>
        <v>0</v>
      </c>
      <c r="DD212" s="31">
        <f t="shared" si="734"/>
        <v>0</v>
      </c>
      <c r="DE212" s="78">
        <f t="shared" si="734"/>
        <v>0</v>
      </c>
    </row>
    <row r="213" spans="1:109" x14ac:dyDescent="0.2">
      <c r="A213" s="615" t="s">
        <v>5416</v>
      </c>
      <c r="B213" s="1368" t="s">
        <v>6113</v>
      </c>
      <c r="C213" s="1346" t="s">
        <v>6114</v>
      </c>
      <c r="D213" s="1331"/>
      <c r="E213" s="133">
        <v>20700</v>
      </c>
      <c r="F213" s="9"/>
      <c r="G213" s="9"/>
      <c r="H213" s="9"/>
      <c r="I213" s="9"/>
      <c r="J213" s="46"/>
      <c r="K213" s="9"/>
      <c r="L213" s="9"/>
      <c r="M213" s="89"/>
      <c r="N213" s="9"/>
      <c r="O213" s="9"/>
      <c r="P213" s="9"/>
      <c r="Q213" s="49"/>
      <c r="R213" s="89"/>
      <c r="S213" s="29"/>
      <c r="T213" s="29"/>
      <c r="U213" s="9">
        <v>21000</v>
      </c>
      <c r="V213" s="49">
        <f t="shared" si="706"/>
        <v>-300</v>
      </c>
      <c r="W213" s="133"/>
      <c r="X213" s="9"/>
      <c r="Y213" s="46"/>
      <c r="Z213" s="9"/>
      <c r="AA213" s="46">
        <f t="shared" si="604"/>
        <v>0</v>
      </c>
      <c r="AB213" s="133"/>
      <c r="AC213" s="29"/>
      <c r="AD213" s="29"/>
      <c r="AE213" s="9">
        <f t="shared" si="707"/>
        <v>0</v>
      </c>
      <c r="AF213" s="49">
        <f t="shared" si="708"/>
        <v>0</v>
      </c>
      <c r="AG213" s="89"/>
      <c r="AH213" s="29"/>
      <c r="AI213" s="29"/>
      <c r="AJ213" s="9">
        <f t="shared" si="709"/>
        <v>0</v>
      </c>
      <c r="AK213" s="49">
        <f t="shared" si="710"/>
        <v>0</v>
      </c>
      <c r="AL213" s="89"/>
      <c r="AM213" s="29"/>
      <c r="AN213" s="29"/>
      <c r="AO213" s="29"/>
      <c r="AP213" s="76">
        <f t="shared" si="735"/>
        <v>0</v>
      </c>
      <c r="AQ213" s="89"/>
      <c r="AR213" s="29"/>
      <c r="AS213" s="29"/>
      <c r="AT213" s="9"/>
      <c r="AU213" s="61">
        <f t="shared" si="736"/>
        <v>0</v>
      </c>
      <c r="AW213" s="29"/>
      <c r="AX213" s="29"/>
      <c r="AY213" s="9"/>
      <c r="AZ213" s="49">
        <f t="shared" si="737"/>
        <v>0</v>
      </c>
      <c r="BA213" s="89"/>
      <c r="BB213" s="29"/>
      <c r="BC213" s="29"/>
      <c r="BD213" s="9"/>
      <c r="BE213" s="49">
        <f t="shared" si="738"/>
        <v>0</v>
      </c>
      <c r="BF213" s="89"/>
      <c r="BG213" s="29"/>
      <c r="BH213" s="29"/>
      <c r="BI213" s="9"/>
      <c r="BJ213" s="49">
        <f t="shared" si="739"/>
        <v>0</v>
      </c>
      <c r="BK213" s="89"/>
      <c r="BL213" s="29"/>
      <c r="BM213" s="29"/>
      <c r="BN213" s="9"/>
      <c r="BO213" s="49">
        <f t="shared" si="740"/>
        <v>0</v>
      </c>
      <c r="BP213" s="89"/>
      <c r="BQ213" s="29"/>
      <c r="BR213" s="29"/>
      <c r="BS213" s="9"/>
      <c r="BT213" s="49">
        <f t="shared" si="741"/>
        <v>0</v>
      </c>
      <c r="BU213" s="89"/>
      <c r="BV213" s="29"/>
      <c r="BW213" s="29"/>
      <c r="BX213" s="9"/>
      <c r="BY213" s="49">
        <f t="shared" si="711"/>
        <v>0</v>
      </c>
      <c r="BZ213" s="89"/>
      <c r="CA213" s="29"/>
      <c r="CB213" s="29"/>
      <c r="CC213" s="9"/>
      <c r="CD213" s="46">
        <f t="shared" si="712"/>
        <v>0</v>
      </c>
      <c r="CE213" s="1406">
        <v>0</v>
      </c>
      <c r="CF213" s="833">
        <f t="shared" si="743"/>
        <v>0</v>
      </c>
      <c r="CG213" s="833">
        <f t="shared" si="744"/>
        <v>0</v>
      </c>
      <c r="CH213" s="833">
        <f t="shared" si="745"/>
        <v>0</v>
      </c>
      <c r="CI213" s="833">
        <f t="shared" si="746"/>
        <v>0</v>
      </c>
      <c r="CJ213" s="833">
        <f t="shared" si="747"/>
        <v>0</v>
      </c>
      <c r="CK213" s="833">
        <f t="shared" si="748"/>
        <v>0</v>
      </c>
      <c r="CL213" s="833">
        <f t="shared" si="749"/>
        <v>0</v>
      </c>
      <c r="CM213" s="833">
        <f t="shared" si="750"/>
        <v>0</v>
      </c>
      <c r="CN213" s="833">
        <f t="shared" si="751"/>
        <v>0</v>
      </c>
      <c r="CO213" s="833">
        <f t="shared" si="722"/>
        <v>0</v>
      </c>
      <c r="CP213" s="833">
        <f t="shared" si="722"/>
        <v>0</v>
      </c>
      <c r="CQ213" s="833">
        <f t="shared" si="722"/>
        <v>0</v>
      </c>
      <c r="CR213" s="833"/>
      <c r="CS213" s="1125">
        <f t="shared" si="723"/>
        <v>0</v>
      </c>
      <c r="CT213" s="31">
        <f t="shared" si="724"/>
        <v>0</v>
      </c>
      <c r="CU213" s="31">
        <f t="shared" si="725"/>
        <v>0</v>
      </c>
      <c r="CV213" s="31">
        <f t="shared" si="726"/>
        <v>0</v>
      </c>
      <c r="CW213" s="31">
        <f t="shared" si="727"/>
        <v>0</v>
      </c>
      <c r="CX213" s="31">
        <f t="shared" si="728"/>
        <v>0</v>
      </c>
      <c r="CY213" s="31">
        <f t="shared" si="729"/>
        <v>0</v>
      </c>
      <c r="CZ213" s="31">
        <f t="shared" si="730"/>
        <v>0</v>
      </c>
      <c r="DA213" s="31">
        <f t="shared" si="731"/>
        <v>0</v>
      </c>
      <c r="DB213" s="31">
        <f t="shared" si="732"/>
        <v>0</v>
      </c>
      <c r="DC213" s="31">
        <f t="shared" si="733"/>
        <v>0</v>
      </c>
      <c r="DD213" s="31">
        <f t="shared" si="734"/>
        <v>0</v>
      </c>
      <c r="DE213" s="78">
        <f t="shared" si="734"/>
        <v>0</v>
      </c>
    </row>
    <row r="214" spans="1:109" x14ac:dyDescent="0.2">
      <c r="A214" s="615" t="s">
        <v>5440</v>
      </c>
      <c r="B214" s="1368" t="s">
        <v>6115</v>
      </c>
      <c r="C214" s="1335" t="s">
        <v>6397</v>
      </c>
      <c r="D214" s="1335" t="s">
        <v>6397</v>
      </c>
      <c r="E214" s="133">
        <v>82800</v>
      </c>
      <c r="F214" s="9"/>
      <c r="G214" s="9">
        <v>47000</v>
      </c>
      <c r="H214" s="9"/>
      <c r="I214" s="9"/>
      <c r="J214" s="9"/>
      <c r="K214" s="9"/>
      <c r="L214" s="9"/>
      <c r="M214" s="89"/>
      <c r="N214" s="9"/>
      <c r="O214" s="9"/>
      <c r="P214" s="9"/>
      <c r="Q214" s="49"/>
      <c r="R214" s="89"/>
      <c r="S214" s="29"/>
      <c r="T214" s="29"/>
      <c r="U214" s="9">
        <f>E214</f>
        <v>82800</v>
      </c>
      <c r="V214" s="49">
        <f t="shared" si="706"/>
        <v>0</v>
      </c>
      <c r="W214" s="133"/>
      <c r="X214" s="9"/>
      <c r="Y214" s="46"/>
      <c r="Z214" s="9">
        <f>47000-47000</f>
        <v>0</v>
      </c>
      <c r="AA214" s="46">
        <f t="shared" si="604"/>
        <v>0</v>
      </c>
      <c r="AB214" s="133"/>
      <c r="AC214" s="29"/>
      <c r="AD214" s="29"/>
      <c r="AE214" s="9">
        <f t="shared" si="707"/>
        <v>47000</v>
      </c>
      <c r="AF214" s="49">
        <f t="shared" si="708"/>
        <v>0</v>
      </c>
      <c r="AG214" s="89"/>
      <c r="AH214" s="29"/>
      <c r="AI214" s="29"/>
      <c r="AJ214" s="9">
        <f t="shared" si="709"/>
        <v>0</v>
      </c>
      <c r="AK214" s="49">
        <f t="shared" si="710"/>
        <v>0</v>
      </c>
      <c r="AL214" s="89"/>
      <c r="AM214" s="29"/>
      <c r="AN214" s="29"/>
      <c r="AO214" s="29"/>
      <c r="AP214" s="76">
        <f t="shared" si="735"/>
        <v>0</v>
      </c>
      <c r="AQ214" s="89"/>
      <c r="AR214" s="29"/>
      <c r="AS214" s="29"/>
      <c r="AT214" s="9"/>
      <c r="AU214" s="61">
        <f t="shared" si="736"/>
        <v>0</v>
      </c>
      <c r="AW214" s="29"/>
      <c r="AX214" s="29"/>
      <c r="AY214" s="9"/>
      <c r="AZ214" s="49">
        <f t="shared" si="737"/>
        <v>0</v>
      </c>
      <c r="BA214" s="89"/>
      <c r="BB214" s="29"/>
      <c r="BC214" s="29"/>
      <c r="BD214" s="9"/>
      <c r="BE214" s="49">
        <f t="shared" si="738"/>
        <v>0</v>
      </c>
      <c r="BF214" s="89"/>
      <c r="BG214" s="29"/>
      <c r="BH214" s="29"/>
      <c r="BI214" s="9"/>
      <c r="BJ214" s="49">
        <f t="shared" si="739"/>
        <v>0</v>
      </c>
      <c r="BK214" s="89"/>
      <c r="BL214" s="29"/>
      <c r="BM214" s="29"/>
      <c r="BN214" s="9"/>
      <c r="BO214" s="49">
        <f t="shared" si="740"/>
        <v>0</v>
      </c>
      <c r="BP214" s="89"/>
      <c r="BQ214" s="29"/>
      <c r="BR214" s="29"/>
      <c r="BS214" s="9"/>
      <c r="BT214" s="49">
        <f t="shared" si="741"/>
        <v>0</v>
      </c>
      <c r="BU214" s="89"/>
      <c r="BV214" s="29"/>
      <c r="BW214" s="29"/>
      <c r="BX214" s="9"/>
      <c r="BY214" s="49">
        <f t="shared" si="711"/>
        <v>0</v>
      </c>
      <c r="BZ214" s="89"/>
      <c r="CA214" s="29"/>
      <c r="CB214" s="29"/>
      <c r="CC214" s="9"/>
      <c r="CD214" s="46">
        <f t="shared" si="712"/>
        <v>0</v>
      </c>
      <c r="CE214" s="1406">
        <v>0</v>
      </c>
      <c r="CF214" s="833">
        <f t="shared" si="743"/>
        <v>0</v>
      </c>
      <c r="CG214" s="833">
        <f t="shared" si="744"/>
        <v>0</v>
      </c>
      <c r="CH214" s="833">
        <f t="shared" si="745"/>
        <v>0</v>
      </c>
      <c r="CI214" s="833">
        <f t="shared" si="746"/>
        <v>0</v>
      </c>
      <c r="CJ214" s="833">
        <f t="shared" si="747"/>
        <v>0</v>
      </c>
      <c r="CK214" s="833">
        <f t="shared" si="748"/>
        <v>0</v>
      </c>
      <c r="CL214" s="833">
        <f t="shared" si="749"/>
        <v>0</v>
      </c>
      <c r="CM214" s="833">
        <f t="shared" si="750"/>
        <v>0</v>
      </c>
      <c r="CN214" s="833">
        <f t="shared" si="751"/>
        <v>0</v>
      </c>
      <c r="CO214" s="833">
        <f t="shared" si="722"/>
        <v>0</v>
      </c>
      <c r="CP214" s="833">
        <f t="shared" si="722"/>
        <v>0</v>
      </c>
      <c r="CQ214" s="833">
        <f t="shared" si="722"/>
        <v>0</v>
      </c>
      <c r="CR214" s="833"/>
      <c r="CS214" s="1125">
        <f t="shared" si="723"/>
        <v>0</v>
      </c>
      <c r="CT214" s="31">
        <f t="shared" si="724"/>
        <v>0</v>
      </c>
      <c r="CU214" s="31">
        <f t="shared" si="725"/>
        <v>0</v>
      </c>
      <c r="CV214" s="31">
        <f t="shared" si="726"/>
        <v>0</v>
      </c>
      <c r="CW214" s="31">
        <f t="shared" si="727"/>
        <v>0</v>
      </c>
      <c r="CX214" s="31">
        <f t="shared" si="728"/>
        <v>0</v>
      </c>
      <c r="CY214" s="31">
        <f t="shared" si="729"/>
        <v>0</v>
      </c>
      <c r="CZ214" s="31">
        <f t="shared" si="730"/>
        <v>0</v>
      </c>
      <c r="DA214" s="31">
        <f t="shared" si="731"/>
        <v>0</v>
      </c>
      <c r="DB214" s="31">
        <f t="shared" si="732"/>
        <v>0</v>
      </c>
      <c r="DC214" s="31">
        <f t="shared" si="733"/>
        <v>0</v>
      </c>
      <c r="DD214" s="31">
        <f t="shared" si="734"/>
        <v>0</v>
      </c>
      <c r="DE214" s="78">
        <f t="shared" si="734"/>
        <v>0</v>
      </c>
    </row>
    <row r="215" spans="1:109" x14ac:dyDescent="0.2">
      <c r="A215" s="615" t="s">
        <v>5960</v>
      </c>
      <c r="B215" s="1368" t="s">
        <v>5961</v>
      </c>
      <c r="C215" s="1335"/>
      <c r="D215" s="1330"/>
      <c r="E215" s="133">
        <v>156300</v>
      </c>
      <c r="F215" s="9"/>
      <c r="G215" s="9"/>
      <c r="H215" s="9"/>
      <c r="I215" s="9"/>
      <c r="J215" s="9"/>
      <c r="K215" s="29"/>
      <c r="L215" s="9"/>
      <c r="M215" s="89"/>
      <c r="N215" s="9"/>
      <c r="O215" s="9"/>
      <c r="P215" s="9"/>
      <c r="Q215" s="49"/>
      <c r="R215" s="89"/>
      <c r="S215" s="29"/>
      <c r="T215" s="29"/>
      <c r="U215" s="9">
        <f>400000-120000</f>
        <v>280000</v>
      </c>
      <c r="V215" s="49">
        <f t="shared" si="706"/>
        <v>-123700</v>
      </c>
      <c r="W215" s="133"/>
      <c r="X215" s="9"/>
      <c r="Y215" s="46"/>
      <c r="Z215" s="9"/>
      <c r="AA215" s="46">
        <f t="shared" si="604"/>
        <v>0</v>
      </c>
      <c r="AB215" s="133"/>
      <c r="AC215" s="29"/>
      <c r="AD215" s="29"/>
      <c r="AE215" s="9">
        <f t="shared" si="707"/>
        <v>0</v>
      </c>
      <c r="AF215" s="49">
        <f t="shared" si="708"/>
        <v>0</v>
      </c>
      <c r="AG215" s="89"/>
      <c r="AH215" s="29"/>
      <c r="AI215" s="29"/>
      <c r="AJ215" s="9">
        <f t="shared" si="709"/>
        <v>0</v>
      </c>
      <c r="AK215" s="49">
        <f t="shared" si="710"/>
        <v>0</v>
      </c>
      <c r="AL215" s="89"/>
      <c r="AM215" s="29"/>
      <c r="AN215" s="29"/>
      <c r="AO215" s="29"/>
      <c r="AP215" s="76">
        <f t="shared" si="735"/>
        <v>0</v>
      </c>
      <c r="AQ215" s="89"/>
      <c r="AR215" s="29"/>
      <c r="AS215" s="29"/>
      <c r="AT215" s="9"/>
      <c r="AU215" s="61">
        <f t="shared" si="736"/>
        <v>0</v>
      </c>
      <c r="AW215" s="29"/>
      <c r="AX215" s="29"/>
      <c r="AY215" s="9"/>
      <c r="AZ215" s="49">
        <f t="shared" si="737"/>
        <v>0</v>
      </c>
      <c r="BA215" s="89"/>
      <c r="BB215" s="29"/>
      <c r="BC215" s="29"/>
      <c r="BD215" s="9"/>
      <c r="BE215" s="49">
        <f t="shared" si="738"/>
        <v>0</v>
      </c>
      <c r="BF215" s="89"/>
      <c r="BG215" s="29"/>
      <c r="BH215" s="29"/>
      <c r="BI215" s="9"/>
      <c r="BJ215" s="49">
        <f t="shared" si="739"/>
        <v>0</v>
      </c>
      <c r="BK215" s="89"/>
      <c r="BL215" s="29"/>
      <c r="BM215" s="29"/>
      <c r="BN215" s="9"/>
      <c r="BO215" s="49">
        <f t="shared" si="740"/>
        <v>0</v>
      </c>
      <c r="BP215" s="89"/>
      <c r="BQ215" s="29"/>
      <c r="BR215" s="29"/>
      <c r="BS215" s="9"/>
      <c r="BT215" s="49">
        <f t="shared" si="741"/>
        <v>0</v>
      </c>
      <c r="BU215" s="89"/>
      <c r="BV215" s="29"/>
      <c r="BW215" s="29"/>
      <c r="BX215" s="9"/>
      <c r="BY215" s="49">
        <f t="shared" si="711"/>
        <v>0</v>
      </c>
      <c r="BZ215" s="89"/>
      <c r="CA215" s="29"/>
      <c r="CB215" s="29"/>
      <c r="CC215" s="9"/>
      <c r="CD215" s="46">
        <f t="shared" si="712"/>
        <v>0</v>
      </c>
      <c r="CE215" s="1406">
        <v>0</v>
      </c>
      <c r="CF215" s="833">
        <f t="shared" si="743"/>
        <v>0</v>
      </c>
      <c r="CG215" s="833">
        <f t="shared" si="744"/>
        <v>0</v>
      </c>
      <c r="CH215" s="833">
        <f t="shared" si="745"/>
        <v>0</v>
      </c>
      <c r="CI215" s="833">
        <f t="shared" si="746"/>
        <v>0</v>
      </c>
      <c r="CJ215" s="833">
        <f t="shared" si="747"/>
        <v>0</v>
      </c>
      <c r="CK215" s="833">
        <f t="shared" si="748"/>
        <v>0</v>
      </c>
      <c r="CL215" s="833">
        <f t="shared" si="749"/>
        <v>0</v>
      </c>
      <c r="CM215" s="833">
        <f t="shared" si="750"/>
        <v>0</v>
      </c>
      <c r="CN215" s="833">
        <f t="shared" si="751"/>
        <v>0</v>
      </c>
      <c r="CO215" s="833">
        <f t="shared" si="722"/>
        <v>0</v>
      </c>
      <c r="CP215" s="833">
        <f t="shared" si="722"/>
        <v>0</v>
      </c>
      <c r="CQ215" s="833">
        <f t="shared" si="722"/>
        <v>0</v>
      </c>
      <c r="CR215" s="833"/>
      <c r="CS215" s="1125">
        <f t="shared" si="723"/>
        <v>0</v>
      </c>
      <c r="CT215" s="31">
        <f t="shared" si="724"/>
        <v>0</v>
      </c>
      <c r="CU215" s="31">
        <f t="shared" si="725"/>
        <v>0</v>
      </c>
      <c r="CV215" s="31">
        <f t="shared" si="726"/>
        <v>0</v>
      </c>
      <c r="CW215" s="31">
        <f t="shared" si="727"/>
        <v>0</v>
      </c>
      <c r="CX215" s="31">
        <f t="shared" si="728"/>
        <v>0</v>
      </c>
      <c r="CY215" s="31">
        <f t="shared" si="729"/>
        <v>0</v>
      </c>
      <c r="CZ215" s="31">
        <f t="shared" si="730"/>
        <v>0</v>
      </c>
      <c r="DA215" s="31">
        <f t="shared" si="731"/>
        <v>0</v>
      </c>
      <c r="DB215" s="31">
        <f t="shared" si="732"/>
        <v>0</v>
      </c>
      <c r="DC215" s="31">
        <f t="shared" si="733"/>
        <v>0</v>
      </c>
      <c r="DD215" s="31">
        <f t="shared" si="734"/>
        <v>0</v>
      </c>
      <c r="DE215" s="78">
        <f t="shared" si="734"/>
        <v>0</v>
      </c>
    </row>
    <row r="216" spans="1:109" x14ac:dyDescent="0.2">
      <c r="A216" s="615" t="s">
        <v>5991</v>
      </c>
      <c r="B216" s="1368" t="s">
        <v>6395</v>
      </c>
      <c r="C216" s="1335" t="s">
        <v>6396</v>
      </c>
      <c r="D216" s="1335" t="s">
        <v>6396</v>
      </c>
      <c r="E216" s="133"/>
      <c r="F216" s="9"/>
      <c r="G216" s="9"/>
      <c r="H216" s="9"/>
      <c r="I216" s="9"/>
      <c r="J216" s="9"/>
      <c r="K216" s="29"/>
      <c r="L216" s="9"/>
      <c r="M216" s="89"/>
      <c r="N216" s="9"/>
      <c r="O216" s="9"/>
      <c r="P216" s="9"/>
      <c r="Q216" s="49"/>
      <c r="R216" s="89"/>
      <c r="S216" s="29"/>
      <c r="T216" s="29"/>
      <c r="U216" s="9">
        <v>0</v>
      </c>
      <c r="V216" s="49">
        <f t="shared" si="706"/>
        <v>0</v>
      </c>
      <c r="W216" s="133"/>
      <c r="X216" s="9"/>
      <c r="Y216" s="46"/>
      <c r="Z216" s="9">
        <v>0</v>
      </c>
      <c r="AA216" s="46">
        <f t="shared" si="604"/>
        <v>0</v>
      </c>
      <c r="AB216" s="133"/>
      <c r="AC216" s="29"/>
      <c r="AD216" s="29"/>
      <c r="AE216" s="9">
        <f t="shared" si="707"/>
        <v>0</v>
      </c>
      <c r="AF216" s="49">
        <f t="shared" si="708"/>
        <v>0</v>
      </c>
      <c r="AG216" s="89"/>
      <c r="AH216" s="29"/>
      <c r="AI216" s="29"/>
      <c r="AJ216" s="9">
        <f t="shared" si="709"/>
        <v>0</v>
      </c>
      <c r="AK216" s="49">
        <f t="shared" si="710"/>
        <v>0</v>
      </c>
      <c r="AL216" s="89"/>
      <c r="AM216" s="29"/>
      <c r="AN216" s="29"/>
      <c r="AO216" s="29"/>
      <c r="AP216" s="76">
        <f t="shared" si="735"/>
        <v>0</v>
      </c>
      <c r="AQ216" s="89"/>
      <c r="AR216" s="29"/>
      <c r="AS216" s="29"/>
      <c r="AT216" s="9"/>
      <c r="AU216" s="61">
        <f t="shared" si="736"/>
        <v>0</v>
      </c>
      <c r="AW216" s="29"/>
      <c r="AX216" s="29"/>
      <c r="AY216" s="9"/>
      <c r="AZ216" s="49">
        <f t="shared" si="737"/>
        <v>0</v>
      </c>
      <c r="BA216" s="89"/>
      <c r="BB216" s="29"/>
      <c r="BC216" s="29"/>
      <c r="BD216" s="9"/>
      <c r="BE216" s="49">
        <f t="shared" si="738"/>
        <v>0</v>
      </c>
      <c r="BF216" s="89"/>
      <c r="BG216" s="29"/>
      <c r="BH216" s="29"/>
      <c r="BI216" s="9"/>
      <c r="BJ216" s="49">
        <f t="shared" si="739"/>
        <v>0</v>
      </c>
      <c r="BK216" s="89"/>
      <c r="BL216" s="29"/>
      <c r="BM216" s="29"/>
      <c r="BN216" s="9"/>
      <c r="BO216" s="49">
        <f t="shared" si="740"/>
        <v>0</v>
      </c>
      <c r="BP216" s="89"/>
      <c r="BQ216" s="29"/>
      <c r="BR216" s="29"/>
      <c r="BS216" s="9"/>
      <c r="BT216" s="49">
        <f t="shared" si="741"/>
        <v>0</v>
      </c>
      <c r="BU216" s="89"/>
      <c r="BV216" s="29"/>
      <c r="BW216" s="29"/>
      <c r="BX216" s="9"/>
      <c r="BY216" s="49">
        <f t="shared" si="711"/>
        <v>0</v>
      </c>
      <c r="BZ216" s="89"/>
      <c r="CA216" s="29"/>
      <c r="CB216" s="29"/>
      <c r="CC216" s="9"/>
      <c r="CD216" s="46">
        <f t="shared" si="712"/>
        <v>0</v>
      </c>
      <c r="CE216" s="1406">
        <v>0</v>
      </c>
      <c r="CF216" s="833">
        <f t="shared" si="743"/>
        <v>0</v>
      </c>
      <c r="CG216" s="833">
        <f t="shared" si="744"/>
        <v>0</v>
      </c>
      <c r="CH216" s="833">
        <f t="shared" si="745"/>
        <v>0</v>
      </c>
      <c r="CI216" s="833">
        <f t="shared" si="746"/>
        <v>0</v>
      </c>
      <c r="CJ216" s="833">
        <f t="shared" si="747"/>
        <v>0</v>
      </c>
      <c r="CK216" s="833">
        <f t="shared" si="748"/>
        <v>0</v>
      </c>
      <c r="CL216" s="833">
        <f t="shared" si="749"/>
        <v>0</v>
      </c>
      <c r="CM216" s="833">
        <f t="shared" si="750"/>
        <v>0</v>
      </c>
      <c r="CN216" s="833">
        <f t="shared" si="751"/>
        <v>0</v>
      </c>
      <c r="CO216" s="833">
        <f t="shared" si="722"/>
        <v>0</v>
      </c>
      <c r="CP216" s="833">
        <f t="shared" si="722"/>
        <v>0</v>
      </c>
      <c r="CQ216" s="833">
        <f t="shared" si="722"/>
        <v>0</v>
      </c>
      <c r="CR216" s="833"/>
      <c r="CS216" s="1125">
        <f t="shared" si="723"/>
        <v>0</v>
      </c>
      <c r="CT216" s="31">
        <f t="shared" si="724"/>
        <v>0</v>
      </c>
      <c r="CU216" s="31">
        <f t="shared" si="725"/>
        <v>0</v>
      </c>
      <c r="CV216" s="31">
        <f t="shared" si="726"/>
        <v>0</v>
      </c>
      <c r="CW216" s="31">
        <f t="shared" si="727"/>
        <v>0</v>
      </c>
      <c r="CX216" s="31">
        <f t="shared" si="728"/>
        <v>0</v>
      </c>
      <c r="CY216" s="31">
        <f t="shared" si="729"/>
        <v>0</v>
      </c>
      <c r="CZ216" s="31">
        <f t="shared" si="730"/>
        <v>0</v>
      </c>
      <c r="DA216" s="31">
        <f t="shared" si="731"/>
        <v>0</v>
      </c>
      <c r="DB216" s="31">
        <f t="shared" si="732"/>
        <v>0</v>
      </c>
      <c r="DC216" s="31">
        <f t="shared" si="733"/>
        <v>0</v>
      </c>
      <c r="DD216" s="31">
        <f t="shared" si="734"/>
        <v>0</v>
      </c>
      <c r="DE216" s="78">
        <f t="shared" si="734"/>
        <v>0</v>
      </c>
    </row>
    <row r="217" spans="1:109" x14ac:dyDescent="0.2">
      <c r="A217" s="615" t="s">
        <v>5504</v>
      </c>
      <c r="B217" s="1356" t="s">
        <v>927</v>
      </c>
      <c r="C217" s="1335" t="s">
        <v>4959</v>
      </c>
      <c r="D217" s="1331" t="s">
        <v>927</v>
      </c>
      <c r="E217" s="133">
        <v>379300</v>
      </c>
      <c r="F217" s="9"/>
      <c r="G217" s="9"/>
      <c r="H217" s="9">
        <v>1533000</v>
      </c>
      <c r="I217" s="9"/>
      <c r="J217" s="9">
        <v>1800000</v>
      </c>
      <c r="K217" s="9"/>
      <c r="L217" s="9"/>
      <c r="M217" s="9">
        <v>2000000</v>
      </c>
      <c r="N217" s="9"/>
      <c r="O217" s="9"/>
      <c r="P217" s="9">
        <v>2200000</v>
      </c>
      <c r="Q217" s="49"/>
      <c r="R217" s="89"/>
      <c r="S217" s="29"/>
      <c r="T217" s="29"/>
      <c r="U217" s="9">
        <f>E217</f>
        <v>379300</v>
      </c>
      <c r="V217" s="49">
        <f t="shared" si="706"/>
        <v>0</v>
      </c>
      <c r="W217" s="133"/>
      <c r="X217" s="9"/>
      <c r="Y217" s="46"/>
      <c r="Z217" s="9">
        <f>F217</f>
        <v>0</v>
      </c>
      <c r="AA217" s="46">
        <f t="shared" si="604"/>
        <v>0</v>
      </c>
      <c r="AB217" s="133"/>
      <c r="AC217" s="29"/>
      <c r="AD217" s="29"/>
      <c r="AE217" s="9">
        <f t="shared" si="707"/>
        <v>0</v>
      </c>
      <c r="AF217" s="49">
        <f t="shared" si="708"/>
        <v>0</v>
      </c>
      <c r="AG217" s="89"/>
      <c r="AH217" s="29"/>
      <c r="AI217" s="29"/>
      <c r="AJ217" s="9">
        <f t="shared" si="709"/>
        <v>1533000</v>
      </c>
      <c r="AK217" s="76">
        <f t="shared" si="710"/>
        <v>0</v>
      </c>
      <c r="AL217" s="89"/>
      <c r="AM217" s="29"/>
      <c r="AN217" s="29"/>
      <c r="AO217" s="29">
        <f>I217</f>
        <v>0</v>
      </c>
      <c r="AP217" s="76">
        <f t="shared" si="735"/>
        <v>0</v>
      </c>
      <c r="AQ217" s="89"/>
      <c r="AR217" s="29"/>
      <c r="AS217" s="29"/>
      <c r="AT217" s="9">
        <f>J217</f>
        <v>1800000</v>
      </c>
      <c r="AU217" s="61">
        <f t="shared" si="736"/>
        <v>0</v>
      </c>
      <c r="AW217" s="29"/>
      <c r="AX217" s="29"/>
      <c r="AY217" s="9">
        <f>K217</f>
        <v>0</v>
      </c>
      <c r="AZ217" s="49">
        <f t="shared" si="737"/>
        <v>0</v>
      </c>
      <c r="BA217" s="89"/>
      <c r="BB217" s="29"/>
      <c r="BC217" s="29"/>
      <c r="BD217" s="9">
        <f>L217</f>
        <v>0</v>
      </c>
      <c r="BE217" s="49">
        <f t="shared" si="738"/>
        <v>0</v>
      </c>
      <c r="BF217" s="89"/>
      <c r="BG217" s="29"/>
      <c r="BH217" s="29"/>
      <c r="BI217" s="9">
        <f>M217</f>
        <v>2000000</v>
      </c>
      <c r="BJ217" s="49">
        <f t="shared" si="739"/>
        <v>0</v>
      </c>
      <c r="BK217" s="89"/>
      <c r="BL217" s="29"/>
      <c r="BM217" s="29"/>
      <c r="BN217" s="9">
        <f>N217</f>
        <v>0</v>
      </c>
      <c r="BO217" s="49">
        <f t="shared" si="740"/>
        <v>0</v>
      </c>
      <c r="BP217" s="89"/>
      <c r="BQ217" s="29"/>
      <c r="BR217" s="29"/>
      <c r="BS217" s="9">
        <f>O217</f>
        <v>0</v>
      </c>
      <c r="BT217" s="49">
        <f t="shared" si="741"/>
        <v>0</v>
      </c>
      <c r="BU217" s="89"/>
      <c r="BV217" s="29"/>
      <c r="BW217" s="29"/>
      <c r="BX217" s="9">
        <f>P217</f>
        <v>2200000</v>
      </c>
      <c r="BY217" s="49">
        <f t="shared" si="711"/>
        <v>0</v>
      </c>
      <c r="BZ217" s="89"/>
      <c r="CA217" s="29"/>
      <c r="CB217" s="29"/>
      <c r="CC217" s="9"/>
      <c r="CD217" s="46">
        <f t="shared" si="712"/>
        <v>0</v>
      </c>
      <c r="CE217" s="1406">
        <v>0</v>
      </c>
      <c r="CF217" s="833">
        <f t="shared" si="742"/>
        <v>0</v>
      </c>
      <c r="CG217" s="833">
        <f t="shared" si="742"/>
        <v>0</v>
      </c>
      <c r="CH217" s="833">
        <f t="shared" si="742"/>
        <v>0</v>
      </c>
      <c r="CI217" s="833">
        <f t="shared" si="742"/>
        <v>0</v>
      </c>
      <c r="CJ217" s="833">
        <f t="shared" si="742"/>
        <v>0</v>
      </c>
      <c r="CK217" s="833">
        <f t="shared" si="742"/>
        <v>0</v>
      </c>
      <c r="CL217" s="833">
        <f t="shared" si="742"/>
        <v>0</v>
      </c>
      <c r="CM217" s="833">
        <f t="shared" si="742"/>
        <v>0</v>
      </c>
      <c r="CN217" s="833">
        <f t="shared" si="742"/>
        <v>0</v>
      </c>
      <c r="CO217" s="833">
        <f t="shared" si="722"/>
        <v>0</v>
      </c>
      <c r="CP217" s="833">
        <f t="shared" si="722"/>
        <v>0</v>
      </c>
      <c r="CQ217" s="833">
        <f t="shared" si="722"/>
        <v>0</v>
      </c>
      <c r="CR217" s="833"/>
      <c r="CS217" s="1125">
        <f t="shared" si="723"/>
        <v>0</v>
      </c>
      <c r="CT217" s="31">
        <f t="shared" si="724"/>
        <v>0</v>
      </c>
      <c r="CU217" s="31">
        <f t="shared" si="725"/>
        <v>0</v>
      </c>
      <c r="CV217" s="31">
        <f t="shared" si="726"/>
        <v>0</v>
      </c>
      <c r="CW217" s="31">
        <f t="shared" si="727"/>
        <v>0</v>
      </c>
      <c r="CX217" s="31">
        <f t="shared" si="728"/>
        <v>0</v>
      </c>
      <c r="CY217" s="31">
        <f t="shared" si="729"/>
        <v>0</v>
      </c>
      <c r="CZ217" s="31">
        <f t="shared" si="730"/>
        <v>0</v>
      </c>
      <c r="DA217" s="31">
        <f t="shared" si="731"/>
        <v>0</v>
      </c>
      <c r="DB217" s="31">
        <f t="shared" si="732"/>
        <v>0</v>
      </c>
      <c r="DC217" s="31">
        <f t="shared" si="733"/>
        <v>0</v>
      </c>
      <c r="DD217" s="31">
        <f t="shared" si="734"/>
        <v>0</v>
      </c>
      <c r="DE217" s="78">
        <f t="shared" si="734"/>
        <v>0</v>
      </c>
    </row>
    <row r="218" spans="1:109" ht="13.5" thickBot="1" x14ac:dyDescent="0.25">
      <c r="A218" s="296"/>
      <c r="B218" s="1269"/>
      <c r="C218" s="1337"/>
      <c r="D218" s="1333"/>
      <c r="E218" s="133"/>
      <c r="F218" s="9"/>
      <c r="G218" s="9"/>
      <c r="H218" s="9"/>
      <c r="I218" s="9"/>
      <c r="J218" s="89"/>
      <c r="K218" s="9"/>
      <c r="L218" s="9"/>
      <c r="M218" s="89"/>
      <c r="N218" s="9"/>
      <c r="O218" s="9"/>
      <c r="P218" s="9"/>
      <c r="Q218" s="49"/>
      <c r="R218" s="89"/>
      <c r="S218" s="9"/>
      <c r="T218" s="9"/>
      <c r="U218" s="9"/>
      <c r="V218" s="76"/>
      <c r="W218" s="133"/>
      <c r="X218" s="9"/>
      <c r="Y218" s="89"/>
      <c r="Z218" s="9"/>
      <c r="AA218" s="76"/>
      <c r="AB218" s="133"/>
      <c r="AC218" s="9"/>
      <c r="AD218" s="9"/>
      <c r="AE218" s="9"/>
      <c r="AF218" s="76"/>
      <c r="AG218" s="89"/>
      <c r="AH218" s="9"/>
      <c r="AI218" s="9"/>
      <c r="AJ218" s="9"/>
      <c r="AK218" s="83"/>
      <c r="AL218" s="89"/>
      <c r="AM218" s="9"/>
      <c r="AN218" s="9"/>
      <c r="AO218" s="9"/>
      <c r="AP218" s="76"/>
      <c r="AQ218" s="89"/>
      <c r="AR218" s="9"/>
      <c r="AS218" s="9"/>
      <c r="AT218" s="9"/>
      <c r="AU218" s="47"/>
      <c r="AW218" s="9"/>
      <c r="AX218" s="9"/>
      <c r="AY218" s="9"/>
      <c r="AZ218" s="76"/>
      <c r="BA218" s="89"/>
      <c r="BB218" s="9"/>
      <c r="BC218" s="9"/>
      <c r="BD218" s="9"/>
      <c r="BE218" s="76"/>
      <c r="BF218" s="89"/>
      <c r="BG218" s="9"/>
      <c r="BH218" s="9"/>
      <c r="BI218" s="9"/>
      <c r="BJ218" s="76"/>
      <c r="BK218" s="89"/>
      <c r="BL218" s="9"/>
      <c r="BM218" s="9"/>
      <c r="BN218" s="9"/>
      <c r="BO218" s="76"/>
      <c r="BP218" s="89"/>
      <c r="BQ218" s="9"/>
      <c r="BR218" s="9"/>
      <c r="BS218" s="9"/>
      <c r="BT218" s="76"/>
      <c r="BU218" s="89"/>
      <c r="BV218" s="9"/>
      <c r="BW218" s="9"/>
      <c r="BX218" s="9"/>
      <c r="BY218" s="76"/>
      <c r="BZ218" s="89"/>
      <c r="CA218" s="9"/>
      <c r="CB218" s="9"/>
      <c r="CC218" s="9"/>
      <c r="CD218" s="29"/>
      <c r="CE218" s="1405"/>
      <c r="CF218" s="538"/>
      <c r="CG218" s="538"/>
      <c r="CH218" s="538"/>
      <c r="CI218" s="538"/>
      <c r="CJ218" s="538"/>
      <c r="CK218" s="538"/>
      <c r="CL218" s="538"/>
      <c r="CM218" s="538"/>
      <c r="CN218" s="538"/>
      <c r="CO218" s="538"/>
      <c r="CP218" s="538"/>
      <c r="CQ218" s="538"/>
      <c r="CR218" s="538"/>
      <c r="CS218" s="350"/>
      <c r="CT218" s="46"/>
      <c r="CU218" s="46"/>
      <c r="CV218" s="46"/>
      <c r="CW218" s="46"/>
      <c r="CX218" s="46"/>
      <c r="CY218" s="46"/>
      <c r="CZ218" s="46"/>
      <c r="DA218" s="46"/>
      <c r="DB218" s="46"/>
      <c r="DC218" s="46"/>
      <c r="DD218" s="46"/>
      <c r="DE218" s="61"/>
    </row>
    <row r="219" spans="1:109" s="39" customFormat="1" ht="14.25" thickTop="1" thickBot="1" x14ac:dyDescent="0.25">
      <c r="A219" s="796" t="s">
        <v>3300</v>
      </c>
      <c r="B219" s="1357"/>
      <c r="C219" s="1334"/>
      <c r="D219" s="1385"/>
      <c r="E219" s="307">
        <f t="shared" ref="E219:V219" si="752">SUBTOTAL(9,E77:E218)</f>
        <v>18610300</v>
      </c>
      <c r="F219" s="300">
        <f t="shared" si="752"/>
        <v>18386900</v>
      </c>
      <c r="G219" s="300">
        <f t="shared" si="752"/>
        <v>20930800</v>
      </c>
      <c r="H219" s="300">
        <f t="shared" si="752"/>
        <v>21486200</v>
      </c>
      <c r="I219" s="300">
        <f t="shared" si="752"/>
        <v>25389200</v>
      </c>
      <c r="J219" s="302">
        <f t="shared" si="752"/>
        <v>35864900</v>
      </c>
      <c r="K219" s="300">
        <f t="shared" si="752"/>
        <v>24660300</v>
      </c>
      <c r="L219" s="300">
        <f t="shared" si="752"/>
        <v>11310500</v>
      </c>
      <c r="M219" s="302">
        <f t="shared" si="752"/>
        <v>12751400</v>
      </c>
      <c r="N219" s="300">
        <f t="shared" si="752"/>
        <v>14552800</v>
      </c>
      <c r="O219" s="300">
        <f t="shared" si="752"/>
        <v>12766500</v>
      </c>
      <c r="P219" s="300">
        <f t="shared" si="752"/>
        <v>16214100</v>
      </c>
      <c r="Q219" s="305">
        <f t="shared" ref="Q219" si="753">SUBTOTAL(9,Q77:Q218)</f>
        <v>14152000</v>
      </c>
      <c r="R219" s="302">
        <f t="shared" si="752"/>
        <v>5946600</v>
      </c>
      <c r="S219" s="300">
        <f t="shared" si="752"/>
        <v>654000</v>
      </c>
      <c r="T219" s="300">
        <f t="shared" si="752"/>
        <v>0</v>
      </c>
      <c r="U219" s="300">
        <f t="shared" si="752"/>
        <v>11989400</v>
      </c>
      <c r="V219" s="301">
        <f t="shared" si="752"/>
        <v>20300</v>
      </c>
      <c r="W219" s="307">
        <v>5357800</v>
      </c>
      <c r="X219" s="300">
        <f t="shared" ref="X219:BC219" si="754">SUBTOTAL(9,X77:X218)</f>
        <v>510600</v>
      </c>
      <c r="Y219" s="302">
        <f t="shared" si="754"/>
        <v>0</v>
      </c>
      <c r="Z219" s="300">
        <f t="shared" si="754"/>
        <v>7884300</v>
      </c>
      <c r="AA219" s="301">
        <f t="shared" si="754"/>
        <v>4634200</v>
      </c>
      <c r="AB219" s="307">
        <f t="shared" si="754"/>
        <v>6894200</v>
      </c>
      <c r="AC219" s="300">
        <f t="shared" si="754"/>
        <v>874055</v>
      </c>
      <c r="AD219" s="300">
        <f t="shared" si="754"/>
        <v>0</v>
      </c>
      <c r="AE219" s="300">
        <f t="shared" si="754"/>
        <v>9124045</v>
      </c>
      <c r="AF219" s="301">
        <f t="shared" si="754"/>
        <v>4038500</v>
      </c>
      <c r="AG219" s="302">
        <f t="shared" si="754"/>
        <v>4208900</v>
      </c>
      <c r="AH219" s="300">
        <f t="shared" si="754"/>
        <v>191000</v>
      </c>
      <c r="AI219" s="300">
        <f t="shared" si="754"/>
        <v>2500000</v>
      </c>
      <c r="AJ219" s="300">
        <f t="shared" si="754"/>
        <v>9394100</v>
      </c>
      <c r="AK219" s="301">
        <f t="shared" si="754"/>
        <v>5192200</v>
      </c>
      <c r="AL219" s="302">
        <f t="shared" si="754"/>
        <v>931100</v>
      </c>
      <c r="AM219" s="300">
        <f t="shared" si="754"/>
        <v>17423000</v>
      </c>
      <c r="AN219" s="300">
        <f t="shared" si="754"/>
        <v>0</v>
      </c>
      <c r="AO219" s="300">
        <f t="shared" si="754"/>
        <v>1681200</v>
      </c>
      <c r="AP219" s="301">
        <f t="shared" si="754"/>
        <v>5353900</v>
      </c>
      <c r="AQ219" s="302">
        <f t="shared" si="754"/>
        <v>949800</v>
      </c>
      <c r="AR219" s="300">
        <f t="shared" si="754"/>
        <v>13831000</v>
      </c>
      <c r="AS219" s="300">
        <f t="shared" si="754"/>
        <v>8340000</v>
      </c>
      <c r="AT219" s="300">
        <f t="shared" si="754"/>
        <v>6753500</v>
      </c>
      <c r="AU219" s="303">
        <f t="shared" si="754"/>
        <v>5990600</v>
      </c>
      <c r="AV219" s="302">
        <f t="shared" si="754"/>
        <v>969000</v>
      </c>
      <c r="AW219" s="300">
        <f t="shared" si="754"/>
        <v>13367000</v>
      </c>
      <c r="AX219" s="300">
        <f t="shared" si="754"/>
        <v>0</v>
      </c>
      <c r="AY219" s="300">
        <f t="shared" si="754"/>
        <v>4904900</v>
      </c>
      <c r="AZ219" s="301">
        <f t="shared" si="754"/>
        <v>5419400</v>
      </c>
      <c r="BA219" s="302">
        <f t="shared" si="754"/>
        <v>988500</v>
      </c>
      <c r="BB219" s="300">
        <f t="shared" si="754"/>
        <v>224000</v>
      </c>
      <c r="BC219" s="300">
        <f t="shared" si="754"/>
        <v>0</v>
      </c>
      <c r="BD219" s="300">
        <f t="shared" ref="BD219:BY219" si="755">SUBTOTAL(9,BD77:BD218)</f>
        <v>4431200</v>
      </c>
      <c r="BE219" s="301">
        <f t="shared" si="755"/>
        <v>5666800</v>
      </c>
      <c r="BF219" s="302">
        <f t="shared" si="755"/>
        <v>1008400</v>
      </c>
      <c r="BG219" s="300">
        <f t="shared" si="755"/>
        <v>233000</v>
      </c>
      <c r="BH219" s="300">
        <f t="shared" si="755"/>
        <v>0</v>
      </c>
      <c r="BI219" s="300">
        <f t="shared" si="755"/>
        <v>5586500</v>
      </c>
      <c r="BJ219" s="301">
        <f t="shared" si="755"/>
        <v>5923500</v>
      </c>
      <c r="BK219" s="302">
        <f t="shared" si="755"/>
        <v>1028900</v>
      </c>
      <c r="BL219" s="300">
        <f t="shared" si="755"/>
        <v>242000</v>
      </c>
      <c r="BM219" s="300">
        <f t="shared" si="755"/>
        <v>0</v>
      </c>
      <c r="BN219" s="300">
        <f t="shared" si="755"/>
        <v>6940600</v>
      </c>
      <c r="BO219" s="301">
        <f t="shared" si="755"/>
        <v>6341300</v>
      </c>
      <c r="BP219" s="302">
        <f t="shared" si="755"/>
        <v>1049700</v>
      </c>
      <c r="BQ219" s="300">
        <f t="shared" si="755"/>
        <v>381000</v>
      </c>
      <c r="BR219" s="300">
        <f t="shared" si="755"/>
        <v>0</v>
      </c>
      <c r="BS219" s="300">
        <f t="shared" si="755"/>
        <v>4073400</v>
      </c>
      <c r="BT219" s="301">
        <f t="shared" si="755"/>
        <v>7262400</v>
      </c>
      <c r="BU219" s="302">
        <f t="shared" si="755"/>
        <v>1070800</v>
      </c>
      <c r="BV219" s="300">
        <f t="shared" si="755"/>
        <v>391000</v>
      </c>
      <c r="BW219" s="300">
        <f t="shared" si="755"/>
        <v>0</v>
      </c>
      <c r="BX219" s="300">
        <f t="shared" si="755"/>
        <v>7276100</v>
      </c>
      <c r="BY219" s="301">
        <f t="shared" si="755"/>
        <v>7476200</v>
      </c>
      <c r="BZ219" s="302">
        <f t="shared" ref="BZ219:CD219" si="756">SUBTOTAL(9,BZ77:BZ218)</f>
        <v>1092500</v>
      </c>
      <c r="CA219" s="300">
        <f t="shared" si="756"/>
        <v>401000</v>
      </c>
      <c r="CB219" s="300">
        <f t="shared" si="756"/>
        <v>0</v>
      </c>
      <c r="CC219" s="300">
        <f t="shared" si="756"/>
        <v>5085100</v>
      </c>
      <c r="CD219" s="306">
        <f t="shared" si="756"/>
        <v>7573400</v>
      </c>
      <c r="CE219" s="1405"/>
      <c r="CF219" s="538"/>
      <c r="CG219" s="466"/>
      <c r="CH219" s="466"/>
      <c r="CI219" s="466"/>
      <c r="CJ219" s="466"/>
      <c r="CK219" s="466"/>
      <c r="CL219" s="466"/>
      <c r="CM219" s="466"/>
      <c r="CN219" s="466"/>
      <c r="CO219" s="466"/>
      <c r="CP219" s="466"/>
      <c r="CQ219" s="466"/>
      <c r="CR219" s="466"/>
      <c r="CS219" s="1043"/>
      <c r="CT219" s="27"/>
      <c r="CU219" s="27"/>
      <c r="CV219" s="27"/>
      <c r="CW219" s="27"/>
      <c r="CX219" s="27"/>
      <c r="CY219" s="27"/>
      <c r="CZ219" s="27"/>
      <c r="DA219" s="27"/>
      <c r="DB219" s="27"/>
      <c r="DC219" s="27"/>
      <c r="DD219" s="27"/>
      <c r="DE219" s="62"/>
    </row>
    <row r="220" spans="1:109" ht="14.25" thickTop="1" thickBot="1" x14ac:dyDescent="0.25">
      <c r="A220" s="292"/>
      <c r="B220" s="1362"/>
      <c r="C220" s="1340"/>
      <c r="D220" s="1388"/>
      <c r="E220" s="133"/>
      <c r="F220" s="9"/>
      <c r="G220" s="9"/>
      <c r="H220" s="9"/>
      <c r="I220" s="9"/>
      <c r="J220" s="89"/>
      <c r="K220" s="9"/>
      <c r="L220" s="9"/>
      <c r="M220" s="89"/>
      <c r="N220" s="9"/>
      <c r="O220" s="9"/>
      <c r="P220" s="9"/>
      <c r="Q220" s="49"/>
      <c r="R220" s="89"/>
      <c r="S220" s="9"/>
      <c r="T220" s="9"/>
      <c r="U220" s="9"/>
      <c r="V220" s="223"/>
      <c r="W220" s="133"/>
      <c r="X220" s="9"/>
      <c r="Y220" s="46"/>
      <c r="Z220" s="9"/>
      <c r="AA220" s="223"/>
      <c r="AB220" s="133"/>
      <c r="AC220" s="9"/>
      <c r="AD220" s="9"/>
      <c r="AE220" s="9"/>
      <c r="AF220" s="223"/>
      <c r="AG220" s="89"/>
      <c r="AH220" s="9"/>
      <c r="AI220" s="9"/>
      <c r="AJ220" s="9"/>
      <c r="AK220" s="223"/>
      <c r="AL220" s="89"/>
      <c r="AM220" s="9"/>
      <c r="AN220" s="9"/>
      <c r="AO220" s="9"/>
      <c r="AP220" s="223"/>
      <c r="AQ220" s="89"/>
      <c r="AR220" s="9"/>
      <c r="AS220" s="9"/>
      <c r="AT220" s="9"/>
      <c r="AU220" s="112"/>
      <c r="AV220" s="89"/>
      <c r="AW220" s="9"/>
      <c r="AX220" s="9"/>
      <c r="AY220" s="9"/>
      <c r="AZ220" s="223"/>
      <c r="BA220" s="89"/>
      <c r="BB220" s="9"/>
      <c r="BC220" s="9"/>
      <c r="BD220" s="9"/>
      <c r="BE220" s="223"/>
      <c r="BF220" s="89"/>
      <c r="BG220" s="9"/>
      <c r="BH220" s="9"/>
      <c r="BI220" s="9"/>
      <c r="BJ220" s="223"/>
      <c r="BK220" s="89"/>
      <c r="BL220" s="9"/>
      <c r="BM220" s="9"/>
      <c r="BN220" s="9"/>
      <c r="BO220" s="223"/>
      <c r="BP220" s="89"/>
      <c r="BQ220" s="9"/>
      <c r="BR220" s="9"/>
      <c r="BS220" s="9"/>
      <c r="BT220" s="223"/>
      <c r="BU220" s="89"/>
      <c r="BV220" s="9"/>
      <c r="BW220" s="9"/>
      <c r="BX220" s="9"/>
      <c r="BY220" s="223"/>
      <c r="BZ220" s="89"/>
      <c r="CA220" s="9"/>
      <c r="CB220" s="9"/>
      <c r="CC220" s="9"/>
      <c r="CD220" s="121"/>
      <c r="CE220" s="1405"/>
      <c r="CF220" s="538"/>
      <c r="CG220" s="538"/>
      <c r="CH220" s="538"/>
      <c r="CI220" s="538"/>
      <c r="CJ220" s="538"/>
      <c r="CK220" s="538"/>
      <c r="CL220" s="538"/>
      <c r="CM220" s="538"/>
      <c r="CN220" s="538"/>
      <c r="CO220" s="538"/>
      <c r="CP220" s="538"/>
      <c r="CQ220" s="538"/>
      <c r="CR220" s="538"/>
      <c r="CS220" s="350"/>
      <c r="CT220" s="46"/>
      <c r="CU220" s="46"/>
      <c r="CV220" s="46"/>
      <c r="CW220" s="46"/>
      <c r="CX220" s="46"/>
      <c r="CY220" s="46"/>
      <c r="CZ220" s="46"/>
      <c r="DA220" s="46"/>
      <c r="DB220" s="46"/>
      <c r="DC220" s="46"/>
      <c r="DD220" s="46"/>
      <c r="DE220" s="61"/>
    </row>
    <row r="221" spans="1:109" s="39" customFormat="1" ht="13.5" thickTop="1" x14ac:dyDescent="0.2">
      <c r="A221" s="294" t="s">
        <v>1902</v>
      </c>
      <c r="B221" s="1359"/>
      <c r="C221" s="1336"/>
      <c r="D221" s="1387"/>
      <c r="E221" s="273">
        <f t="shared" ref="E221:V221" si="757">SUBTOTAL(9,E5:E220)</f>
        <v>22896800</v>
      </c>
      <c r="F221" s="109">
        <f t="shared" si="757"/>
        <v>23684300</v>
      </c>
      <c r="G221" s="109">
        <f t="shared" si="757"/>
        <v>42002300</v>
      </c>
      <c r="H221" s="109">
        <f t="shared" si="757"/>
        <v>36305200</v>
      </c>
      <c r="I221" s="109">
        <f t="shared" si="757"/>
        <v>32038200</v>
      </c>
      <c r="J221" s="69">
        <f t="shared" si="757"/>
        <v>37085900</v>
      </c>
      <c r="K221" s="109">
        <f t="shared" si="757"/>
        <v>24834300</v>
      </c>
      <c r="L221" s="109">
        <f t="shared" si="757"/>
        <v>11890500</v>
      </c>
      <c r="M221" s="69">
        <f t="shared" si="757"/>
        <v>16437400</v>
      </c>
      <c r="N221" s="109">
        <f t="shared" si="757"/>
        <v>16744800</v>
      </c>
      <c r="O221" s="109">
        <f t="shared" si="757"/>
        <v>14464500</v>
      </c>
      <c r="P221" s="109">
        <f t="shared" si="757"/>
        <v>17918100</v>
      </c>
      <c r="Q221" s="272">
        <f>SUBTOTAL(9,Q5:Q220)</f>
        <v>16162000</v>
      </c>
      <c r="R221" s="69">
        <f t="shared" si="757"/>
        <v>8173600</v>
      </c>
      <c r="S221" s="109">
        <f t="shared" si="757"/>
        <v>654000</v>
      </c>
      <c r="T221" s="109">
        <f t="shared" si="757"/>
        <v>500000</v>
      </c>
      <c r="U221" s="109">
        <f t="shared" si="757"/>
        <v>13536900</v>
      </c>
      <c r="V221" s="272">
        <f t="shared" si="757"/>
        <v>32300</v>
      </c>
      <c r="W221" s="273">
        <v>5358200</v>
      </c>
      <c r="X221" s="109">
        <f t="shared" ref="X221:BC221" si="758">SUBTOTAL(9,X5:X220)</f>
        <v>510600</v>
      </c>
      <c r="Y221" s="69">
        <f t="shared" si="758"/>
        <v>3076900</v>
      </c>
      <c r="Z221" s="109">
        <f t="shared" si="758"/>
        <v>9976500</v>
      </c>
      <c r="AA221" s="272">
        <f t="shared" si="758"/>
        <v>4762100</v>
      </c>
      <c r="AB221" s="273">
        <f t="shared" si="758"/>
        <v>8076100</v>
      </c>
      <c r="AC221" s="109">
        <f t="shared" si="758"/>
        <v>983255</v>
      </c>
      <c r="AD221" s="109">
        <f t="shared" si="758"/>
        <v>8847800</v>
      </c>
      <c r="AE221" s="109">
        <f t="shared" si="758"/>
        <v>19996645</v>
      </c>
      <c r="AF221" s="272">
        <f t="shared" si="758"/>
        <v>4098500</v>
      </c>
      <c r="AG221" s="69">
        <f t="shared" si="758"/>
        <v>4208900</v>
      </c>
      <c r="AH221" s="109">
        <f t="shared" si="758"/>
        <v>191000</v>
      </c>
      <c r="AI221" s="109">
        <f t="shared" si="758"/>
        <v>2500000</v>
      </c>
      <c r="AJ221" s="109">
        <f t="shared" si="758"/>
        <v>24166100</v>
      </c>
      <c r="AK221" s="272">
        <f t="shared" si="758"/>
        <v>5239200</v>
      </c>
      <c r="AL221" s="69">
        <f t="shared" si="758"/>
        <v>931100</v>
      </c>
      <c r="AM221" s="109">
        <f t="shared" si="758"/>
        <v>17423000</v>
      </c>
      <c r="AN221" s="109">
        <f t="shared" si="758"/>
        <v>0</v>
      </c>
      <c r="AO221" s="109">
        <f t="shared" si="758"/>
        <v>8281200</v>
      </c>
      <c r="AP221" s="272">
        <f t="shared" si="758"/>
        <v>5402900</v>
      </c>
      <c r="AQ221" s="69">
        <f t="shared" si="758"/>
        <v>949800</v>
      </c>
      <c r="AR221" s="109">
        <f t="shared" si="758"/>
        <v>13831000</v>
      </c>
      <c r="AS221" s="109">
        <f t="shared" si="758"/>
        <v>8340000</v>
      </c>
      <c r="AT221" s="109">
        <f t="shared" si="758"/>
        <v>7923500</v>
      </c>
      <c r="AU221" s="73">
        <f t="shared" si="758"/>
        <v>6041600</v>
      </c>
      <c r="AV221" s="69">
        <f t="shared" si="758"/>
        <v>969000</v>
      </c>
      <c r="AW221" s="109">
        <f t="shared" si="758"/>
        <v>13367000</v>
      </c>
      <c r="AX221" s="109">
        <f t="shared" si="758"/>
        <v>0</v>
      </c>
      <c r="AY221" s="109">
        <f t="shared" si="758"/>
        <v>5025900</v>
      </c>
      <c r="AZ221" s="272">
        <f t="shared" si="758"/>
        <v>5472400</v>
      </c>
      <c r="BA221" s="69">
        <f t="shared" si="758"/>
        <v>988500</v>
      </c>
      <c r="BB221" s="109">
        <f t="shared" si="758"/>
        <v>224000</v>
      </c>
      <c r="BC221" s="109">
        <f t="shared" si="758"/>
        <v>0</v>
      </c>
      <c r="BD221" s="109">
        <f t="shared" ref="BD221:BY221" si="759">SUBTOTAL(9,BD5:BD220)</f>
        <v>4956200</v>
      </c>
      <c r="BE221" s="272">
        <f t="shared" si="759"/>
        <v>5721800</v>
      </c>
      <c r="BF221" s="69">
        <f t="shared" si="759"/>
        <v>1008400</v>
      </c>
      <c r="BG221" s="109">
        <f t="shared" si="759"/>
        <v>233000</v>
      </c>
      <c r="BH221" s="109">
        <f t="shared" si="759"/>
        <v>0</v>
      </c>
      <c r="BI221" s="109">
        <f t="shared" si="759"/>
        <v>9215500</v>
      </c>
      <c r="BJ221" s="272">
        <f t="shared" si="759"/>
        <v>5980500</v>
      </c>
      <c r="BK221" s="69">
        <f t="shared" si="759"/>
        <v>1028900</v>
      </c>
      <c r="BL221" s="109">
        <f t="shared" si="759"/>
        <v>242000</v>
      </c>
      <c r="BM221" s="109">
        <f t="shared" si="759"/>
        <v>0</v>
      </c>
      <c r="BN221" s="109">
        <f t="shared" si="759"/>
        <v>9073600</v>
      </c>
      <c r="BO221" s="272">
        <f t="shared" si="759"/>
        <v>6400300</v>
      </c>
      <c r="BP221" s="69">
        <f t="shared" si="759"/>
        <v>1049700</v>
      </c>
      <c r="BQ221" s="109">
        <f t="shared" si="759"/>
        <v>381000</v>
      </c>
      <c r="BR221" s="109">
        <f t="shared" si="759"/>
        <v>0</v>
      </c>
      <c r="BS221" s="109">
        <f t="shared" si="759"/>
        <v>5710400</v>
      </c>
      <c r="BT221" s="272">
        <f t="shared" si="759"/>
        <v>7323400</v>
      </c>
      <c r="BU221" s="69">
        <f t="shared" si="759"/>
        <v>1070800</v>
      </c>
      <c r="BV221" s="109">
        <f t="shared" si="759"/>
        <v>391000</v>
      </c>
      <c r="BW221" s="109">
        <f t="shared" si="759"/>
        <v>0</v>
      </c>
      <c r="BX221" s="109">
        <f t="shared" si="759"/>
        <v>8917100</v>
      </c>
      <c r="BY221" s="272">
        <f t="shared" si="759"/>
        <v>7539200</v>
      </c>
      <c r="BZ221" s="69">
        <f t="shared" ref="BZ221:CD221" si="760">SUBTOTAL(9,BZ5:BZ220)</f>
        <v>1092500</v>
      </c>
      <c r="CA221" s="109">
        <f t="shared" si="760"/>
        <v>401000</v>
      </c>
      <c r="CB221" s="109">
        <f t="shared" si="760"/>
        <v>0</v>
      </c>
      <c r="CC221" s="109">
        <f t="shared" si="760"/>
        <v>7030100</v>
      </c>
      <c r="CD221" s="72">
        <f t="shared" si="760"/>
        <v>7638400</v>
      </c>
      <c r="CE221" s="1405"/>
      <c r="CF221" s="538"/>
      <c r="CG221" s="466"/>
      <c r="CH221" s="466"/>
      <c r="CI221" s="466"/>
      <c r="CJ221" s="466"/>
      <c r="CK221" s="466"/>
      <c r="CL221" s="466"/>
      <c r="CM221" s="466"/>
      <c r="CN221" s="466"/>
      <c r="CO221" s="466"/>
      <c r="CP221" s="466"/>
      <c r="CQ221" s="466"/>
      <c r="CR221" s="466"/>
      <c r="CS221" s="1043">
        <f t="shared" ref="CS221:DD221" si="761">SUM(CS6:CS220)</f>
        <v>12271000</v>
      </c>
      <c r="CT221" s="27">
        <f t="shared" si="761"/>
        <v>15968000</v>
      </c>
      <c r="CU221" s="27">
        <f t="shared" si="761"/>
        <v>25297000</v>
      </c>
      <c r="CV221" s="27">
        <f t="shared" si="761"/>
        <v>8931000</v>
      </c>
      <c r="CW221" s="27">
        <f t="shared" si="761"/>
        <v>6418000</v>
      </c>
      <c r="CX221" s="27">
        <f t="shared" si="761"/>
        <v>24689000</v>
      </c>
      <c r="CY221" s="27">
        <f t="shared" si="761"/>
        <v>19549000</v>
      </c>
      <c r="CZ221" s="27">
        <f t="shared" si="761"/>
        <v>9409000</v>
      </c>
      <c r="DA221" s="27">
        <f t="shared" si="761"/>
        <v>9698000</v>
      </c>
      <c r="DB221" s="27">
        <f t="shared" si="761"/>
        <v>12947000</v>
      </c>
      <c r="DC221" s="27">
        <f t="shared" si="761"/>
        <v>11960000</v>
      </c>
      <c r="DD221" s="27">
        <f t="shared" si="761"/>
        <v>12777000</v>
      </c>
      <c r="DE221" s="62">
        <f t="shared" ref="DE221" si="762">SUM(DE6:DE220)</f>
        <v>13027000</v>
      </c>
    </row>
    <row r="222" spans="1:109" ht="13.5" thickBot="1" x14ac:dyDescent="0.25">
      <c r="A222" s="297"/>
      <c r="B222" s="1633"/>
      <c r="C222" s="1634"/>
      <c r="D222" s="1635"/>
      <c r="E222" s="158"/>
      <c r="F222" s="23"/>
      <c r="G222" s="23"/>
      <c r="H222" s="23"/>
      <c r="I222" s="23"/>
      <c r="J222" s="113"/>
      <c r="K222" s="23"/>
      <c r="L222" s="23"/>
      <c r="M222" s="113"/>
      <c r="N222" s="23"/>
      <c r="O222" s="23"/>
      <c r="P222" s="23"/>
      <c r="Q222" s="223"/>
      <c r="R222" s="113"/>
      <c r="S222" s="23"/>
      <c r="T222" s="23"/>
      <c r="U222" s="23"/>
      <c r="V222" s="223"/>
      <c r="W222" s="158"/>
      <c r="X222" s="23"/>
      <c r="Y222" s="113"/>
      <c r="Z222" s="23"/>
      <c r="AA222" s="223"/>
      <c r="AB222" s="158"/>
      <c r="AC222" s="23"/>
      <c r="AD222" s="23"/>
      <c r="AE222" s="23"/>
      <c r="AF222" s="223"/>
      <c r="AG222" s="113"/>
      <c r="AH222" s="23"/>
      <c r="AI222" s="23"/>
      <c r="AJ222" s="23"/>
      <c r="AK222" s="223"/>
      <c r="AL222" s="113"/>
      <c r="AM222" s="23"/>
      <c r="AN222" s="23"/>
      <c r="AO222" s="23"/>
      <c r="AP222" s="223"/>
      <c r="AQ222" s="113"/>
      <c r="AR222" s="23"/>
      <c r="AS222" s="23"/>
      <c r="AT222" s="23"/>
      <c r="AU222" s="112"/>
      <c r="AV222" s="121"/>
      <c r="AW222" s="23"/>
      <c r="AX222" s="23"/>
      <c r="AY222" s="23"/>
      <c r="AZ222" s="223"/>
      <c r="BA222" s="113"/>
      <c r="BB222" s="23"/>
      <c r="BC222" s="23"/>
      <c r="BD222" s="23"/>
      <c r="BE222" s="223"/>
      <c r="BF222" s="113"/>
      <c r="BG222" s="23"/>
      <c r="BH222" s="23"/>
      <c r="BI222" s="23"/>
      <c r="BJ222" s="223"/>
      <c r="BK222" s="113"/>
      <c r="BL222" s="23"/>
      <c r="BM222" s="23"/>
      <c r="BN222" s="23"/>
      <c r="BO222" s="223"/>
      <c r="BP222" s="113"/>
      <c r="BQ222" s="23"/>
      <c r="BR222" s="23"/>
      <c r="BS222" s="23"/>
      <c r="BT222" s="223"/>
      <c r="BU222" s="113"/>
      <c r="BV222" s="23"/>
      <c r="BW222" s="23"/>
      <c r="BX222" s="23"/>
      <c r="BY222" s="223"/>
      <c r="BZ222" s="113"/>
      <c r="CA222" s="23"/>
      <c r="CB222" s="23"/>
      <c r="CC222" s="23"/>
      <c r="CD222" s="121"/>
      <c r="CE222" s="1407"/>
      <c r="CF222" s="1122"/>
      <c r="CG222" s="1122"/>
      <c r="CH222" s="1122"/>
      <c r="CI222" s="1122"/>
      <c r="CJ222" s="1122"/>
      <c r="CK222" s="1122"/>
      <c r="CL222" s="1122"/>
      <c r="CM222" s="1122"/>
      <c r="CN222" s="1122"/>
      <c r="CO222" s="1122"/>
      <c r="CP222" s="1122"/>
      <c r="CQ222" s="1122"/>
      <c r="CR222" s="1122"/>
      <c r="CS222" s="1047"/>
      <c r="CT222" s="121"/>
      <c r="CU222" s="121"/>
      <c r="CV222" s="121"/>
      <c r="CW222" s="121"/>
      <c r="CX222" s="121"/>
      <c r="CY222" s="121"/>
      <c r="CZ222" s="121"/>
      <c r="DA222" s="121"/>
      <c r="DB222" s="121"/>
      <c r="DC222" s="121"/>
      <c r="DD222" s="121"/>
      <c r="DE222" s="112"/>
    </row>
    <row r="223" spans="1:109" ht="13.5" thickTop="1" x14ac:dyDescent="0.2">
      <c r="A223" s="46"/>
      <c r="B223" s="144"/>
      <c r="C223" s="55"/>
      <c r="D223" s="55"/>
      <c r="E223" s="46"/>
      <c r="F223" s="46"/>
      <c r="G223" s="46"/>
      <c r="H223" s="46"/>
      <c r="I223" s="46"/>
      <c r="J223" s="46"/>
      <c r="K223" s="46"/>
      <c r="L223" s="46"/>
      <c r="M223" s="46"/>
      <c r="N223" s="46"/>
      <c r="O223" s="46"/>
      <c r="P223" s="46"/>
      <c r="Q223" s="46"/>
      <c r="R223" s="46"/>
      <c r="W223" s="46"/>
      <c r="X223" s="46"/>
      <c r="Y223" s="46"/>
      <c r="AB223" s="46"/>
      <c r="AG223" s="46"/>
      <c r="AL223" s="46"/>
      <c r="AQ223" s="46"/>
      <c r="BA223" s="46"/>
      <c r="BF223" s="46"/>
      <c r="BK223" s="46"/>
      <c r="BP223" s="46"/>
      <c r="BU223" s="46"/>
      <c r="BZ223" s="46"/>
      <c r="CE223" s="379"/>
      <c r="CF223" s="379"/>
      <c r="CG223" s="379"/>
      <c r="CH223" s="379"/>
      <c r="CI223" s="379"/>
      <c r="CJ223" s="379"/>
      <c r="CK223" s="379"/>
      <c r="CL223" s="379"/>
      <c r="CM223" s="379"/>
      <c r="CN223" s="379"/>
      <c r="CO223" s="379"/>
      <c r="CP223" s="379"/>
      <c r="CQ223" s="379"/>
      <c r="CR223" s="379"/>
      <c r="DB223" s="46"/>
    </row>
    <row r="224" spans="1:109" x14ac:dyDescent="0.2">
      <c r="A224" s="27" t="s">
        <v>2429</v>
      </c>
      <c r="B224" s="144"/>
      <c r="C224" s="55"/>
      <c r="D224" s="55"/>
      <c r="E224" s="46">
        <f t="shared" ref="E224:M224" si="763">E221-E225</f>
        <v>14435600</v>
      </c>
      <c r="F224" s="46">
        <f>F221-F225</f>
        <v>16327200</v>
      </c>
      <c r="G224" s="46">
        <f t="shared" si="763"/>
        <v>33867000</v>
      </c>
      <c r="H224" s="46">
        <f t="shared" si="763"/>
        <v>32749100</v>
      </c>
      <c r="I224" s="46">
        <f t="shared" si="763"/>
        <v>28390200</v>
      </c>
      <c r="J224" s="46">
        <f t="shared" si="763"/>
        <v>32906200</v>
      </c>
      <c r="K224" s="46">
        <f t="shared" si="763"/>
        <v>21400600</v>
      </c>
      <c r="L224" s="46">
        <f t="shared" si="763"/>
        <v>8066100</v>
      </c>
      <c r="M224" s="46">
        <f t="shared" si="763"/>
        <v>12402900</v>
      </c>
      <c r="N224" s="46">
        <f t="shared" ref="N224:O224" si="764">N221-N225</f>
        <v>12339800</v>
      </c>
      <c r="O224" s="46">
        <f t="shared" si="764"/>
        <v>9257700</v>
      </c>
      <c r="P224" s="46">
        <f t="shared" ref="P224:Q224" si="765">P221-P225</f>
        <v>12477700</v>
      </c>
      <c r="Q224" s="46">
        <f t="shared" si="765"/>
        <v>10676300</v>
      </c>
      <c r="R224" s="46" t="s">
        <v>2470</v>
      </c>
      <c r="S224" s="34" t="s">
        <v>5035</v>
      </c>
      <c r="T224" s="34" t="s">
        <v>2042</v>
      </c>
      <c r="U224" s="34" t="s">
        <v>2290</v>
      </c>
      <c r="V224" s="46" t="s">
        <v>2682</v>
      </c>
      <c r="W224" s="46"/>
      <c r="X224" s="46"/>
      <c r="Y224" s="46"/>
      <c r="AB224" s="46"/>
      <c r="AG224" s="46"/>
      <c r="AL224" s="46"/>
      <c r="AQ224" s="46"/>
      <c r="BA224" s="46"/>
      <c r="BF224" s="46"/>
      <c r="BK224" s="46"/>
      <c r="BP224" s="46"/>
      <c r="BU224" s="46"/>
      <c r="BZ224" s="46"/>
      <c r="CE224" s="379"/>
      <c r="CF224" s="379"/>
      <c r="CG224" s="379"/>
      <c r="CH224" s="379"/>
      <c r="CI224" s="379"/>
      <c r="CJ224" s="379"/>
      <c r="CK224" s="379"/>
      <c r="CL224" s="379"/>
      <c r="CM224" s="379"/>
      <c r="CN224" s="379"/>
      <c r="CO224" s="379"/>
      <c r="CP224" s="379"/>
      <c r="CQ224" s="379"/>
      <c r="CR224" s="379"/>
      <c r="DB224" s="46"/>
    </row>
    <row r="225" spans="1:106" x14ac:dyDescent="0.2">
      <c r="A225" s="27" t="s">
        <v>2430</v>
      </c>
      <c r="B225" s="144"/>
      <c r="C225" s="55"/>
      <c r="D225" s="55"/>
      <c r="E225" s="46">
        <f t="shared" ref="E225:P225" si="766">E93+E59++E82+E99+E113+E115+E118+E179+E181+E193+E210</f>
        <v>8461200</v>
      </c>
      <c r="F225" s="46">
        <f t="shared" si="766"/>
        <v>7357100</v>
      </c>
      <c r="G225" s="46">
        <f t="shared" si="766"/>
        <v>8135300</v>
      </c>
      <c r="H225" s="46">
        <f t="shared" si="766"/>
        <v>3556100</v>
      </c>
      <c r="I225" s="46">
        <f t="shared" si="766"/>
        <v>3648000</v>
      </c>
      <c r="J225" s="46">
        <f t="shared" si="766"/>
        <v>4179700</v>
      </c>
      <c r="K225" s="46">
        <f t="shared" si="766"/>
        <v>3433700</v>
      </c>
      <c r="L225" s="46">
        <f t="shared" si="766"/>
        <v>3824400</v>
      </c>
      <c r="M225" s="46">
        <f t="shared" si="766"/>
        <v>4034500</v>
      </c>
      <c r="N225" s="46">
        <f t="shared" si="766"/>
        <v>4405000</v>
      </c>
      <c r="O225" s="46">
        <f t="shared" si="766"/>
        <v>5206800</v>
      </c>
      <c r="P225" s="46">
        <f t="shared" si="766"/>
        <v>5440400</v>
      </c>
      <c r="Q225" s="46">
        <f t="shared" ref="Q225" si="767">Q93+Q59++Q82+Q99+Q113+Q115+Q118+Q179+Q181+Q193+Q210</f>
        <v>5485700</v>
      </c>
      <c r="R225" s="46"/>
      <c r="W225" s="46"/>
      <c r="X225" s="46"/>
      <c r="Y225" s="46"/>
      <c r="AB225" s="46"/>
      <c r="AG225" s="46"/>
      <c r="AL225" s="46"/>
      <c r="AQ225" s="46"/>
      <c r="BA225" s="46"/>
      <c r="BF225" s="46"/>
      <c r="BK225" s="46"/>
      <c r="BP225" s="46"/>
      <c r="BU225" s="46"/>
      <c r="BZ225" s="46"/>
      <c r="CE225" s="379"/>
      <c r="CF225" s="379"/>
      <c r="CG225" s="379"/>
      <c r="CH225" s="379"/>
      <c r="CI225" s="379"/>
      <c r="CJ225" s="379"/>
      <c r="CK225" s="379"/>
      <c r="CL225" s="379"/>
      <c r="CM225" s="379"/>
      <c r="CN225" s="379"/>
      <c r="CO225" s="379"/>
      <c r="CP225" s="379"/>
      <c r="CQ225" s="379"/>
      <c r="CR225" s="379"/>
      <c r="DB225" s="46"/>
    </row>
    <row r="226" spans="1:106" x14ac:dyDescent="0.2">
      <c r="A226" s="27" t="s">
        <v>1504</v>
      </c>
      <c r="B226" s="144"/>
      <c r="C226" s="55"/>
      <c r="D226" s="55"/>
      <c r="E226" s="539">
        <f t="shared" ref="E226:M226" si="768">SUM(E224:E225)</f>
        <v>22896800</v>
      </c>
      <c r="F226" s="539">
        <f t="shared" si="768"/>
        <v>23684300</v>
      </c>
      <c r="G226" s="539">
        <f t="shared" si="768"/>
        <v>42002300</v>
      </c>
      <c r="H226" s="539">
        <f t="shared" si="768"/>
        <v>36305200</v>
      </c>
      <c r="I226" s="539">
        <f t="shared" si="768"/>
        <v>32038200</v>
      </c>
      <c r="J226" s="539">
        <f t="shared" si="768"/>
        <v>37085900</v>
      </c>
      <c r="K226" s="539">
        <f t="shared" si="768"/>
        <v>24834300</v>
      </c>
      <c r="L226" s="539">
        <f t="shared" si="768"/>
        <v>11890500</v>
      </c>
      <c r="M226" s="539">
        <f t="shared" si="768"/>
        <v>16437400</v>
      </c>
      <c r="N226" s="539">
        <f t="shared" ref="N226:O226" si="769">SUM(N224:N225)</f>
        <v>16744800</v>
      </c>
      <c r="O226" s="539">
        <f t="shared" si="769"/>
        <v>14464500</v>
      </c>
      <c r="P226" s="539">
        <f t="shared" ref="P226:Q226" si="770">SUM(P224:P225)</f>
        <v>17918100</v>
      </c>
      <c r="Q226" s="539">
        <f t="shared" si="770"/>
        <v>16162000</v>
      </c>
      <c r="R226" s="46"/>
      <c r="W226" s="46"/>
      <c r="X226" s="46"/>
      <c r="Y226" s="46"/>
      <c r="AB226" s="46"/>
      <c r="AG226" s="46"/>
      <c r="AL226" s="46"/>
      <c r="AQ226" s="46"/>
      <c r="BA226" s="46"/>
      <c r="BF226" s="46"/>
      <c r="BK226" s="46"/>
      <c r="BP226" s="46"/>
      <c r="BU226" s="46"/>
      <c r="BZ226" s="46"/>
      <c r="CE226" s="379"/>
      <c r="CF226" s="379"/>
      <c r="CG226" s="379"/>
      <c r="CH226" s="379"/>
      <c r="CI226" s="379"/>
      <c r="CJ226" s="379"/>
      <c r="CK226" s="379"/>
      <c r="CL226" s="379"/>
      <c r="CM226" s="379"/>
      <c r="CN226" s="379"/>
      <c r="CO226" s="379"/>
      <c r="CP226" s="379"/>
      <c r="CQ226" s="379"/>
      <c r="CR226" s="379"/>
      <c r="DB226" s="46"/>
    </row>
    <row r="227" spans="1:106" x14ac:dyDescent="0.2">
      <c r="A227" s="27"/>
      <c r="B227" s="144"/>
      <c r="C227" s="55"/>
      <c r="D227" s="55"/>
      <c r="E227" s="46"/>
      <c r="F227" s="46"/>
      <c r="G227" s="46"/>
      <c r="H227" s="46"/>
      <c r="I227" s="46"/>
      <c r="J227" s="46"/>
      <c r="K227" s="46"/>
      <c r="L227" s="46"/>
      <c r="M227" s="46"/>
      <c r="N227" s="46"/>
      <c r="O227" s="46"/>
      <c r="P227" s="46"/>
      <c r="Q227" s="46"/>
      <c r="R227" s="46"/>
      <c r="W227" s="46"/>
      <c r="X227" s="46"/>
      <c r="Y227" s="46"/>
      <c r="AB227" s="46"/>
      <c r="AG227" s="46"/>
      <c r="AL227" s="46"/>
      <c r="AQ227" s="46"/>
      <c r="BA227" s="46"/>
      <c r="BF227" s="46"/>
      <c r="BK227" s="46"/>
      <c r="BP227" s="46"/>
      <c r="BU227" s="46"/>
      <c r="BZ227" s="46"/>
      <c r="CE227" s="379"/>
      <c r="CF227" s="379"/>
      <c r="CG227" s="379"/>
      <c r="CH227" s="379"/>
      <c r="CI227" s="379"/>
      <c r="CJ227" s="379"/>
      <c r="CK227" s="379"/>
      <c r="CL227" s="379"/>
      <c r="CM227" s="379"/>
      <c r="CN227" s="379"/>
      <c r="CO227" s="379"/>
      <c r="CP227" s="379"/>
      <c r="CQ227" s="379"/>
      <c r="CR227" s="379"/>
      <c r="DB227" s="46"/>
    </row>
    <row r="228" spans="1:106" x14ac:dyDescent="0.2">
      <c r="A228" s="413" t="s">
        <v>3788</v>
      </c>
      <c r="B228" s="144"/>
      <c r="C228" s="55"/>
      <c r="D228" s="55"/>
      <c r="E228" s="46"/>
      <c r="F228" s="46"/>
      <c r="G228" s="46"/>
      <c r="H228" s="46"/>
      <c r="I228" s="46"/>
      <c r="J228" s="46"/>
      <c r="K228" s="46"/>
      <c r="L228" s="46"/>
      <c r="M228" s="46"/>
      <c r="N228" s="46"/>
      <c r="O228" s="46"/>
      <c r="P228" s="46"/>
      <c r="Q228" s="46"/>
      <c r="R228" s="46"/>
      <c r="W228" s="46"/>
      <c r="X228" s="46"/>
      <c r="Y228" s="46"/>
      <c r="AB228" s="46"/>
      <c r="AG228" s="46"/>
      <c r="AL228" s="46"/>
      <c r="AQ228" s="46"/>
      <c r="BA228" s="46"/>
      <c r="BF228" s="46"/>
      <c r="BK228" s="46"/>
      <c r="BP228" s="46"/>
      <c r="BU228" s="46"/>
      <c r="BZ228" s="46"/>
      <c r="CE228" s="379"/>
      <c r="CF228" s="379"/>
      <c r="CG228" s="379"/>
      <c r="CH228" s="379"/>
      <c r="CI228" s="379"/>
      <c r="CJ228" s="379"/>
      <c r="CK228" s="379"/>
      <c r="CL228" s="379"/>
      <c r="CM228" s="379"/>
      <c r="CN228" s="379"/>
      <c r="CO228" s="379"/>
      <c r="CP228" s="379"/>
      <c r="CQ228" s="379"/>
      <c r="CR228" s="379"/>
    </row>
    <row r="229" spans="1:106" x14ac:dyDescent="0.2">
      <c r="A229" s="92"/>
      <c r="B229" s="144"/>
      <c r="C229" s="55"/>
      <c r="D229" s="55"/>
      <c r="E229" s="46"/>
      <c r="F229" s="46"/>
      <c r="G229" s="46"/>
      <c r="H229" s="46"/>
      <c r="I229" s="46"/>
      <c r="J229" s="46"/>
      <c r="K229" s="46"/>
      <c r="L229" s="46"/>
      <c r="M229" s="46"/>
      <c r="N229" s="46"/>
      <c r="O229" s="46"/>
      <c r="P229" s="46"/>
      <c r="Q229" s="46"/>
      <c r="R229" s="46"/>
      <c r="W229" s="46"/>
      <c r="X229" s="46"/>
      <c r="Y229" s="46"/>
      <c r="AB229" s="46"/>
      <c r="AG229" s="46"/>
      <c r="AL229" s="46"/>
      <c r="AQ229" s="46"/>
      <c r="BA229" s="46"/>
      <c r="BF229" s="46"/>
      <c r="BK229" s="46"/>
      <c r="BP229" s="46"/>
      <c r="BU229" s="46"/>
      <c r="BZ229" s="46"/>
      <c r="CE229" s="379"/>
      <c r="CF229" s="379"/>
      <c r="CG229" s="379"/>
      <c r="CH229" s="379"/>
      <c r="CI229" s="379"/>
      <c r="CJ229" s="379"/>
      <c r="CK229" s="379"/>
      <c r="CL229" s="379"/>
      <c r="CM229" s="379"/>
      <c r="CN229" s="379"/>
      <c r="CO229" s="379"/>
      <c r="CP229" s="379"/>
      <c r="CQ229" s="379"/>
      <c r="CR229" s="379"/>
    </row>
    <row r="230" spans="1:106" x14ac:dyDescent="0.2">
      <c r="A230" s="31" t="s">
        <v>7093</v>
      </c>
      <c r="B230" s="144"/>
      <c r="C230" s="58" t="s">
        <v>7092</v>
      </c>
      <c r="D230" s="58" t="s">
        <v>7092</v>
      </c>
      <c r="E230" s="46"/>
      <c r="F230" s="46"/>
      <c r="G230" s="46">
        <v>102000</v>
      </c>
      <c r="H230" s="46"/>
      <c r="I230" s="46"/>
      <c r="J230" s="46"/>
      <c r="K230" s="46"/>
      <c r="L230" s="46"/>
      <c r="M230" s="46"/>
      <c r="N230" s="46"/>
      <c r="O230" s="46"/>
      <c r="P230" s="46"/>
      <c r="Q230" s="46"/>
      <c r="R230" s="46"/>
      <c r="W230" s="46"/>
      <c r="X230" s="46"/>
      <c r="Y230" s="46"/>
      <c r="AB230" s="46"/>
      <c r="AG230" s="46"/>
      <c r="AL230" s="46"/>
      <c r="AQ230" s="46"/>
      <c r="BA230" s="46"/>
      <c r="BF230" s="46"/>
      <c r="BK230" s="46"/>
      <c r="BP230" s="46"/>
      <c r="BU230" s="46"/>
      <c r="BZ230" s="46"/>
      <c r="CE230" s="379"/>
      <c r="CF230" s="379"/>
      <c r="CG230" s="379"/>
      <c r="CH230" s="379"/>
      <c r="CI230" s="379"/>
      <c r="CJ230" s="379"/>
      <c r="CK230" s="379"/>
      <c r="CL230" s="379"/>
      <c r="CM230" s="379"/>
      <c r="CN230" s="379"/>
      <c r="CO230" s="379"/>
      <c r="CP230" s="379"/>
      <c r="CQ230" s="379"/>
      <c r="CR230" s="379"/>
    </row>
    <row r="231" spans="1:106" x14ac:dyDescent="0.2">
      <c r="A231" s="31" t="s">
        <v>7094</v>
      </c>
      <c r="B231" s="144"/>
      <c r="C231" s="58" t="s">
        <v>7095</v>
      </c>
      <c r="D231" s="58" t="s">
        <v>7095</v>
      </c>
      <c r="E231" s="46"/>
      <c r="F231" s="46"/>
      <c r="G231" s="46">
        <v>25000</v>
      </c>
      <c r="H231" s="46"/>
      <c r="I231" s="46"/>
      <c r="J231" s="46"/>
      <c r="K231" s="46"/>
      <c r="L231" s="46"/>
      <c r="M231" s="46"/>
      <c r="N231" s="46"/>
      <c r="O231" s="46"/>
      <c r="P231" s="46"/>
      <c r="Q231" s="46"/>
      <c r="R231" s="46"/>
      <c r="W231" s="46"/>
      <c r="X231" s="46"/>
      <c r="Y231" s="46"/>
      <c r="AB231" s="46"/>
      <c r="AG231" s="46"/>
      <c r="AL231" s="46"/>
      <c r="AQ231" s="46"/>
      <c r="BA231" s="46"/>
      <c r="BF231" s="46"/>
      <c r="BK231" s="46"/>
      <c r="BP231" s="46"/>
      <c r="BU231" s="46"/>
      <c r="BZ231" s="46"/>
      <c r="CE231" s="379"/>
      <c r="CF231" s="379"/>
      <c r="CG231" s="379"/>
      <c r="CH231" s="379"/>
      <c r="CI231" s="379"/>
      <c r="CJ231" s="379"/>
      <c r="CK231" s="379"/>
      <c r="CL231" s="379"/>
      <c r="CM231" s="379"/>
      <c r="CN231" s="379"/>
      <c r="CO231" s="379"/>
      <c r="CP231" s="379"/>
      <c r="CQ231" s="379"/>
      <c r="CR231" s="379"/>
    </row>
    <row r="232" spans="1:106" x14ac:dyDescent="0.2">
      <c r="A232" s="31" t="s">
        <v>7096</v>
      </c>
      <c r="B232" s="144"/>
      <c r="C232" s="58" t="s">
        <v>7097</v>
      </c>
      <c r="D232" s="58" t="s">
        <v>7097</v>
      </c>
      <c r="E232" s="46"/>
      <c r="F232" s="46"/>
      <c r="G232" s="46">
        <v>25000</v>
      </c>
      <c r="H232" s="46"/>
      <c r="I232" s="46"/>
      <c r="J232" s="46"/>
      <c r="K232" s="46"/>
      <c r="L232" s="46"/>
      <c r="M232" s="46"/>
      <c r="N232" s="46"/>
      <c r="O232" s="46"/>
      <c r="P232" s="46"/>
      <c r="Q232" s="46"/>
      <c r="R232" s="46"/>
      <c r="W232" s="46"/>
      <c r="X232" s="46"/>
      <c r="Y232" s="46"/>
      <c r="AB232" s="46"/>
      <c r="AG232" s="46"/>
      <c r="AL232" s="46"/>
      <c r="AQ232" s="46"/>
      <c r="BA232" s="46"/>
      <c r="BF232" s="46"/>
      <c r="BK232" s="46"/>
      <c r="BP232" s="46"/>
      <c r="BU232" s="46"/>
      <c r="BZ232" s="46"/>
      <c r="CE232" s="379"/>
      <c r="CF232" s="379"/>
      <c r="CG232" s="379"/>
      <c r="CH232" s="379"/>
      <c r="CI232" s="379"/>
      <c r="CJ232" s="379"/>
      <c r="CK232" s="379"/>
      <c r="CL232" s="379"/>
      <c r="CM232" s="379"/>
      <c r="CN232" s="379"/>
      <c r="CO232" s="379"/>
      <c r="CP232" s="379"/>
      <c r="CQ232" s="379"/>
      <c r="CR232" s="379"/>
    </row>
    <row r="233" spans="1:106" x14ac:dyDescent="0.2">
      <c r="A233" s="31" t="s">
        <v>7098</v>
      </c>
      <c r="B233" s="144"/>
      <c r="C233" s="58" t="s">
        <v>7099</v>
      </c>
      <c r="D233" s="58" t="s">
        <v>7099</v>
      </c>
      <c r="E233" s="46"/>
      <c r="F233" s="46"/>
      <c r="G233" s="46">
        <v>12000</v>
      </c>
      <c r="H233" s="46"/>
      <c r="I233" s="46"/>
      <c r="J233" s="46"/>
      <c r="K233" s="46"/>
      <c r="L233" s="46"/>
      <c r="M233" s="46"/>
      <c r="N233" s="46"/>
      <c r="O233" s="46"/>
      <c r="P233" s="46"/>
      <c r="Q233" s="46"/>
      <c r="R233" s="46"/>
      <c r="W233" s="46"/>
      <c r="X233" s="46"/>
      <c r="Y233" s="46"/>
      <c r="AB233" s="46"/>
      <c r="AG233" s="46"/>
      <c r="AL233" s="46"/>
      <c r="AQ233" s="46"/>
      <c r="BA233" s="46"/>
      <c r="BF233" s="46"/>
      <c r="BK233" s="46"/>
      <c r="BP233" s="46"/>
      <c r="BU233" s="46"/>
      <c r="BZ233" s="46"/>
      <c r="CE233" s="379"/>
      <c r="CF233" s="379"/>
      <c r="CG233" s="379"/>
      <c r="CH233" s="379"/>
      <c r="CI233" s="379"/>
      <c r="CJ233" s="379"/>
      <c r="CK233" s="379"/>
      <c r="CL233" s="379"/>
      <c r="CM233" s="379"/>
      <c r="CN233" s="379"/>
      <c r="CO233" s="379"/>
      <c r="CP233" s="379"/>
      <c r="CQ233" s="379"/>
      <c r="CR233" s="379"/>
    </row>
    <row r="234" spans="1:106" x14ac:dyDescent="0.2">
      <c r="A234" s="31" t="s">
        <v>7100</v>
      </c>
      <c r="B234" s="144"/>
      <c r="C234" s="58" t="s">
        <v>7101</v>
      </c>
      <c r="D234" s="58" t="s">
        <v>7101</v>
      </c>
      <c r="E234" s="46"/>
      <c r="F234" s="46"/>
      <c r="G234" s="46">
        <v>40000</v>
      </c>
      <c r="H234" s="46"/>
      <c r="I234" s="46"/>
      <c r="J234" s="46"/>
      <c r="K234" s="46"/>
      <c r="L234" s="46"/>
      <c r="M234" s="46"/>
      <c r="N234" s="46"/>
      <c r="O234" s="46"/>
      <c r="P234" s="46"/>
      <c r="Q234" s="46"/>
      <c r="R234" s="46"/>
      <c r="W234" s="46"/>
      <c r="X234" s="46"/>
      <c r="Y234" s="46"/>
      <c r="AB234" s="46"/>
      <c r="AG234" s="46"/>
      <c r="AL234" s="46"/>
      <c r="AQ234" s="46"/>
      <c r="BA234" s="46"/>
      <c r="BF234" s="46"/>
      <c r="BK234" s="46"/>
      <c r="BP234" s="46"/>
      <c r="BU234" s="46"/>
      <c r="BZ234" s="46"/>
      <c r="CE234" s="379"/>
      <c r="CF234" s="379"/>
      <c r="CG234" s="379"/>
      <c r="CH234" s="379"/>
      <c r="CI234" s="379"/>
      <c r="CJ234" s="379"/>
      <c r="CK234" s="379"/>
      <c r="CL234" s="379"/>
      <c r="CM234" s="379"/>
      <c r="CN234" s="379"/>
      <c r="CO234" s="379"/>
      <c r="CP234" s="379"/>
      <c r="CQ234" s="379"/>
      <c r="CR234" s="379"/>
    </row>
    <row r="235" spans="1:106" x14ac:dyDescent="0.2">
      <c r="A235" s="31"/>
      <c r="B235" s="144"/>
      <c r="C235" s="58"/>
      <c r="D235" s="55"/>
      <c r="E235" s="46"/>
      <c r="F235" s="46"/>
      <c r="G235" s="46"/>
      <c r="H235" s="46"/>
      <c r="I235" s="46"/>
      <c r="J235" s="46"/>
      <c r="K235" s="46"/>
      <c r="L235" s="46"/>
      <c r="M235" s="46"/>
      <c r="N235" s="46"/>
      <c r="O235" s="46"/>
      <c r="P235" s="46"/>
      <c r="Q235" s="46"/>
      <c r="R235" s="46"/>
      <c r="W235" s="46"/>
      <c r="X235" s="46"/>
      <c r="Y235" s="46"/>
      <c r="AB235" s="46"/>
      <c r="AG235" s="46"/>
      <c r="AL235" s="46"/>
      <c r="AQ235" s="46"/>
      <c r="BA235" s="46"/>
      <c r="BF235" s="46"/>
      <c r="BK235" s="46"/>
      <c r="BP235" s="46"/>
      <c r="BU235" s="46"/>
      <c r="BZ235" s="46"/>
      <c r="CE235" s="379"/>
      <c r="CF235" s="379"/>
      <c r="CG235" s="379"/>
      <c r="CH235" s="379"/>
      <c r="CI235" s="379"/>
      <c r="CJ235" s="379"/>
      <c r="CK235" s="379"/>
      <c r="CL235" s="379"/>
      <c r="CM235" s="379"/>
      <c r="CN235" s="379"/>
      <c r="CO235" s="379"/>
      <c r="CP235" s="379"/>
      <c r="CQ235" s="379"/>
      <c r="CR235" s="379"/>
    </row>
    <row r="236" spans="1:106" s="65" customFormat="1" x14ac:dyDescent="0.2">
      <c r="A236" s="65" t="s">
        <v>2615</v>
      </c>
      <c r="B236" s="890"/>
      <c r="C236" s="56"/>
      <c r="D236" s="56"/>
      <c r="E236" s="1397"/>
      <c r="F236" s="1397"/>
      <c r="G236" s="1397">
        <f>SUM(G230:G235)</f>
        <v>204000</v>
      </c>
      <c r="R236" s="1397"/>
      <c r="S236" s="1397"/>
      <c r="T236" s="1397"/>
      <c r="U236" s="1397"/>
      <c r="V236" s="1397"/>
      <c r="W236" s="1397"/>
      <c r="X236" s="1397"/>
      <c r="Y236" s="1397"/>
      <c r="Z236" s="1397"/>
      <c r="AA236" s="1397"/>
      <c r="AB236" s="92"/>
      <c r="AF236" s="92"/>
      <c r="AG236" s="92"/>
      <c r="AK236" s="92"/>
      <c r="AL236" s="92"/>
      <c r="AP236" s="92"/>
      <c r="AQ236" s="92"/>
      <c r="AU236" s="92"/>
      <c r="AV236" s="92"/>
      <c r="AZ236" s="92"/>
      <c r="BA236" s="92"/>
      <c r="BE236" s="92"/>
      <c r="BF236" s="92"/>
      <c r="BJ236" s="92"/>
      <c r="BK236" s="92"/>
      <c r="BO236" s="92"/>
      <c r="BP236" s="92"/>
      <c r="BT236" s="92"/>
      <c r="BU236" s="92"/>
      <c r="BY236" s="92"/>
      <c r="BZ236" s="92"/>
      <c r="CD236" s="92"/>
      <c r="CE236" s="901"/>
      <c r="CF236" s="901"/>
      <c r="CG236" s="901"/>
      <c r="CH236" s="901"/>
      <c r="CI236" s="901"/>
      <c r="CJ236" s="901"/>
      <c r="CK236" s="901"/>
      <c r="CL236" s="901"/>
      <c r="CM236" s="901"/>
      <c r="CN236" s="901"/>
      <c r="CO236" s="901"/>
      <c r="CP236" s="901"/>
      <c r="CQ236" s="901"/>
      <c r="CR236" s="901"/>
    </row>
    <row r="237" spans="1:106" s="65" customFormat="1" x14ac:dyDescent="0.2">
      <c r="A237" s="65" t="s">
        <v>88</v>
      </c>
      <c r="B237" s="890"/>
      <c r="C237" s="56"/>
      <c r="D237" s="56"/>
      <c r="G237" s="65">
        <f>+G236-G99</f>
        <v>0</v>
      </c>
      <c r="AB237" s="92"/>
      <c r="AF237" s="92"/>
      <c r="AG237" s="92"/>
      <c r="AK237" s="92"/>
      <c r="AL237" s="92"/>
      <c r="AP237" s="92"/>
      <c r="AQ237" s="92"/>
      <c r="AU237" s="92"/>
      <c r="AV237" s="92"/>
      <c r="AZ237" s="92"/>
      <c r="BA237" s="92"/>
      <c r="BE237" s="92"/>
      <c r="BF237" s="92"/>
      <c r="BJ237" s="92"/>
      <c r="BK237" s="92"/>
      <c r="BO237" s="92"/>
      <c r="BP237" s="92"/>
      <c r="BT237" s="92"/>
      <c r="BU237" s="92"/>
      <c r="BY237" s="92"/>
      <c r="BZ237" s="92"/>
      <c r="CD237" s="92"/>
      <c r="CE237" s="901"/>
      <c r="CF237" s="901"/>
      <c r="CG237" s="901"/>
      <c r="CH237" s="901"/>
      <c r="CI237" s="901"/>
      <c r="CJ237" s="901"/>
      <c r="CK237" s="901"/>
      <c r="CL237" s="901"/>
      <c r="CM237" s="901"/>
      <c r="CN237" s="901"/>
      <c r="CO237" s="901"/>
      <c r="CP237" s="901"/>
      <c r="CQ237" s="901"/>
      <c r="CR237" s="901"/>
    </row>
    <row r="238" spans="1:106" x14ac:dyDescent="0.2">
      <c r="A238" s="31"/>
      <c r="B238" s="144"/>
      <c r="C238" s="58"/>
      <c r="D238" s="55"/>
      <c r="E238" s="46"/>
      <c r="F238" s="46"/>
      <c r="G238" s="46"/>
      <c r="H238" s="46"/>
      <c r="I238" s="46"/>
      <c r="J238" s="46"/>
      <c r="K238" s="46"/>
      <c r="L238" s="46"/>
      <c r="M238" s="46"/>
      <c r="N238" s="46"/>
      <c r="O238" s="46"/>
      <c r="P238" s="46"/>
      <c r="Q238" s="46"/>
      <c r="R238" s="46"/>
      <c r="W238" s="46"/>
      <c r="X238" s="46"/>
      <c r="Y238" s="46"/>
      <c r="AB238" s="46"/>
      <c r="AG238" s="46"/>
      <c r="AL238" s="46"/>
      <c r="AQ238" s="46"/>
      <c r="BA238" s="46"/>
      <c r="BF238" s="46"/>
      <c r="BK238" s="46"/>
      <c r="BP238" s="46"/>
      <c r="BU238" s="46"/>
      <c r="BZ238" s="46"/>
      <c r="CE238" s="379"/>
      <c r="CF238" s="379"/>
      <c r="CG238" s="379"/>
      <c r="CH238" s="379"/>
      <c r="CI238" s="379"/>
      <c r="CJ238" s="379"/>
      <c r="CK238" s="379"/>
      <c r="CL238" s="379"/>
      <c r="CM238" s="379"/>
      <c r="CN238" s="379"/>
      <c r="CO238" s="379"/>
      <c r="CP238" s="379"/>
      <c r="CQ238" s="379"/>
      <c r="CR238" s="379"/>
    </row>
    <row r="239" spans="1:106" x14ac:dyDescent="0.2">
      <c r="A239" s="65" t="s">
        <v>400</v>
      </c>
      <c r="B239" s="144"/>
      <c r="C239" s="55"/>
      <c r="D239" s="55"/>
      <c r="R239" s="46"/>
      <c r="W239" s="46"/>
      <c r="X239" s="46"/>
      <c r="Y239" s="46"/>
      <c r="AB239" s="46"/>
      <c r="AG239" s="46"/>
      <c r="AL239" s="46"/>
      <c r="AQ239" s="46"/>
      <c r="BA239" s="46"/>
      <c r="BF239" s="46"/>
      <c r="BK239" s="46"/>
      <c r="BP239" s="46"/>
      <c r="BU239" s="46"/>
      <c r="BZ239" s="46"/>
      <c r="CE239" s="379"/>
      <c r="CF239" s="379"/>
      <c r="CG239" s="379"/>
      <c r="CH239" s="379"/>
      <c r="CI239" s="379"/>
      <c r="CJ239" s="379"/>
      <c r="CK239" s="379"/>
      <c r="CL239" s="379"/>
      <c r="CM239" s="379"/>
      <c r="CN239" s="379"/>
      <c r="CO239" s="379"/>
      <c r="CP239" s="379"/>
      <c r="CQ239" s="379"/>
      <c r="CR239" s="379"/>
    </row>
    <row r="240" spans="1:106" x14ac:dyDescent="0.2">
      <c r="A240" s="784" t="s">
        <v>402</v>
      </c>
      <c r="B240" s="144"/>
      <c r="C240" s="55"/>
      <c r="D240" s="55"/>
      <c r="G240" s="1"/>
      <c r="H240" s="1"/>
      <c r="I240" s="1"/>
      <c r="J240" s="1"/>
      <c r="K240" s="1"/>
      <c r="L240" s="1"/>
      <c r="M240" s="1"/>
      <c r="N240" s="1"/>
      <c r="O240" s="1"/>
      <c r="P240" s="1"/>
      <c r="Q240" s="1"/>
      <c r="R240" s="1"/>
      <c r="S240" s="1"/>
      <c r="T240" s="1"/>
      <c r="U240" s="1"/>
      <c r="V240" s="1"/>
      <c r="W240" s="1"/>
      <c r="X240" s="46"/>
      <c r="Y240" s="46"/>
      <c r="AB240" s="46"/>
      <c r="AG240" s="46"/>
      <c r="AL240" s="46"/>
      <c r="AQ240" s="46"/>
      <c r="BA240" s="46"/>
      <c r="BF240" s="46"/>
      <c r="BK240" s="46"/>
      <c r="BP240" s="46"/>
      <c r="BU240" s="46"/>
      <c r="BZ240" s="46"/>
      <c r="CE240" s="379"/>
      <c r="CF240" s="379"/>
      <c r="CG240" s="379"/>
      <c r="CH240" s="379"/>
      <c r="CI240" s="379"/>
      <c r="CJ240" s="379"/>
      <c r="CK240" s="379"/>
      <c r="CL240" s="379"/>
      <c r="CM240" s="379"/>
      <c r="CN240" s="379"/>
      <c r="CO240" s="379"/>
      <c r="CP240" s="379"/>
      <c r="CQ240" s="379"/>
      <c r="CR240" s="379"/>
    </row>
    <row r="241" spans="1:96" x14ac:dyDescent="0.2">
      <c r="A241" s="80" t="s">
        <v>3371</v>
      </c>
      <c r="B241" s="885" t="s">
        <v>3372</v>
      </c>
      <c r="C241" s="1349" t="s">
        <v>4959</v>
      </c>
      <c r="D241" s="58"/>
      <c r="G241" s="1"/>
      <c r="H241" s="1"/>
      <c r="I241" s="1"/>
      <c r="J241" s="1"/>
      <c r="K241" s="1"/>
      <c r="L241" s="1"/>
      <c r="M241" s="1"/>
      <c r="N241" s="1"/>
      <c r="O241" s="1"/>
      <c r="P241" s="1"/>
      <c r="Q241" s="1"/>
      <c r="R241" s="1"/>
      <c r="S241" s="1"/>
      <c r="T241" s="1"/>
      <c r="U241" s="1"/>
      <c r="V241" s="1"/>
      <c r="W241" s="1"/>
      <c r="X241" s="46"/>
      <c r="Y241" s="46"/>
      <c r="AB241" s="46"/>
      <c r="AG241" s="46"/>
      <c r="AL241" s="46"/>
      <c r="AQ241" s="46"/>
      <c r="BA241" s="46"/>
      <c r="BF241" s="46"/>
      <c r="BK241" s="46"/>
      <c r="BP241" s="46"/>
      <c r="BU241" s="46"/>
      <c r="BZ241" s="46"/>
      <c r="CE241" s="379"/>
      <c r="CF241" s="379"/>
      <c r="CG241" s="379"/>
      <c r="CH241" s="379"/>
      <c r="CI241" s="379"/>
      <c r="CJ241" s="379"/>
      <c r="CK241" s="379"/>
      <c r="CL241" s="379"/>
      <c r="CM241" s="379"/>
      <c r="CN241" s="379"/>
      <c r="CO241" s="379"/>
      <c r="CP241" s="379"/>
      <c r="CQ241" s="379"/>
      <c r="CR241" s="379"/>
    </row>
    <row r="242" spans="1:96" x14ac:dyDescent="0.2">
      <c r="A242" s="80" t="s">
        <v>5254</v>
      </c>
      <c r="B242" s="885" t="s">
        <v>5255</v>
      </c>
      <c r="C242" s="58" t="s">
        <v>5423</v>
      </c>
      <c r="D242" s="55"/>
      <c r="E242" s="34">
        <f>10000-6000</f>
        <v>4000</v>
      </c>
      <c r="U242" s="34">
        <f>10000-6000</f>
        <v>4000</v>
      </c>
      <c r="V242" s="34">
        <f>E242-U242</f>
        <v>0</v>
      </c>
      <c r="W242" s="46"/>
      <c r="X242" s="46"/>
      <c r="Y242" s="46"/>
      <c r="AA242" s="46">
        <f t="shared" ref="AA242:AA255" si="771">F242-W242-X242-Y242-Z242</f>
        <v>0</v>
      </c>
      <c r="AB242" s="46"/>
      <c r="AG242" s="46"/>
      <c r="AL242" s="46"/>
      <c r="AQ242" s="46"/>
      <c r="BA242" s="46"/>
      <c r="BF242" s="46"/>
      <c r="BK242" s="46"/>
      <c r="BP242" s="46"/>
      <c r="BU242" s="46"/>
      <c r="BZ242" s="46"/>
      <c r="CE242" s="379"/>
      <c r="CF242" s="379"/>
      <c r="CG242" s="379"/>
      <c r="CH242" s="379"/>
      <c r="CI242" s="379"/>
      <c r="CJ242" s="379"/>
      <c r="CK242" s="379"/>
      <c r="CL242" s="379"/>
      <c r="CM242" s="379"/>
      <c r="CN242" s="379"/>
      <c r="CO242" s="379"/>
      <c r="CP242" s="379"/>
      <c r="CQ242" s="379"/>
      <c r="CR242" s="379"/>
    </row>
    <row r="243" spans="1:96" x14ac:dyDescent="0.2">
      <c r="A243" s="80" t="s">
        <v>4141</v>
      </c>
      <c r="B243" s="885" t="s">
        <v>5051</v>
      </c>
      <c r="C243" s="1349" t="s">
        <v>4959</v>
      </c>
      <c r="D243" s="58"/>
      <c r="E243" s="34">
        <v>100</v>
      </c>
      <c r="U243" s="34">
        <v>100</v>
      </c>
      <c r="V243" s="34">
        <f>E243-U243</f>
        <v>0</v>
      </c>
      <c r="W243" s="46"/>
      <c r="X243" s="46"/>
      <c r="Y243" s="46"/>
      <c r="AA243" s="46">
        <f t="shared" si="771"/>
        <v>0</v>
      </c>
      <c r="AB243" s="46"/>
      <c r="AE243" s="2553"/>
      <c r="AF243" s="1379"/>
      <c r="AG243" s="1379"/>
      <c r="AH243" s="1379"/>
      <c r="AI243" s="1379"/>
      <c r="AL243" s="46"/>
      <c r="AQ243" s="46"/>
      <c r="BA243" s="46"/>
      <c r="BF243" s="46"/>
      <c r="BK243" s="46"/>
      <c r="BP243" s="46"/>
      <c r="BU243" s="46"/>
      <c r="BZ243" s="46"/>
      <c r="CE243" s="379"/>
      <c r="CF243" s="379"/>
      <c r="CG243" s="379"/>
      <c r="CH243" s="379"/>
      <c r="CI243" s="379"/>
      <c r="CJ243" s="379"/>
      <c r="CK243" s="379"/>
      <c r="CL243" s="379"/>
      <c r="CM243" s="379"/>
      <c r="CN243" s="379"/>
      <c r="CO243" s="379"/>
      <c r="CP243" s="379"/>
      <c r="CQ243" s="379"/>
      <c r="CR243" s="379"/>
    </row>
    <row r="244" spans="1:96" x14ac:dyDescent="0.2">
      <c r="A244" s="80" t="s">
        <v>3595</v>
      </c>
      <c r="B244" s="885" t="s">
        <v>3908</v>
      </c>
      <c r="C244" s="1349" t="s">
        <v>4959</v>
      </c>
      <c r="D244" s="58" t="s">
        <v>3908</v>
      </c>
      <c r="G244" s="34">
        <f>22000-22000</f>
        <v>0</v>
      </c>
      <c r="V244" s="34">
        <f t="shared" ref="V244:V260" si="772">E244</f>
        <v>0</v>
      </c>
      <c r="W244" s="46"/>
      <c r="X244" s="46"/>
      <c r="Y244" s="46"/>
      <c r="AA244" s="46">
        <f t="shared" si="771"/>
        <v>0</v>
      </c>
      <c r="AB244" s="46"/>
      <c r="AE244" s="1667"/>
      <c r="AF244" s="1380"/>
      <c r="AG244" s="1380"/>
      <c r="AH244" s="1380"/>
      <c r="AI244" s="1380"/>
      <c r="AL244" s="46"/>
      <c r="AQ244" s="46"/>
      <c r="BA244" s="46"/>
      <c r="BF244" s="46"/>
      <c r="BK244" s="46"/>
      <c r="BP244" s="46"/>
      <c r="BU244" s="46"/>
      <c r="BZ244" s="46"/>
      <c r="CE244" s="379"/>
      <c r="CF244" s="379"/>
      <c r="CG244" s="379"/>
      <c r="CH244" s="379"/>
      <c r="CI244" s="379"/>
      <c r="CJ244" s="379"/>
      <c r="CK244" s="379"/>
      <c r="CL244" s="379"/>
      <c r="CM244" s="379"/>
      <c r="CN244" s="379"/>
      <c r="CO244" s="379"/>
      <c r="CP244" s="379"/>
      <c r="CQ244" s="379"/>
      <c r="CR244" s="379"/>
    </row>
    <row r="245" spans="1:96" x14ac:dyDescent="0.2">
      <c r="A245" s="80" t="s">
        <v>3352</v>
      </c>
      <c r="B245" s="885" t="s">
        <v>698</v>
      </c>
      <c r="C245" s="1349" t="s">
        <v>4959</v>
      </c>
      <c r="D245" s="58"/>
      <c r="V245" s="34">
        <f t="shared" si="772"/>
        <v>0</v>
      </c>
      <c r="W245" s="46"/>
      <c r="X245" s="46"/>
      <c r="Y245" s="46"/>
      <c r="AA245" s="46">
        <f t="shared" si="771"/>
        <v>0</v>
      </c>
      <c r="AB245" s="46"/>
      <c r="AE245" s="1667"/>
      <c r="AF245" s="1380"/>
      <c r="AG245" s="1"/>
      <c r="AH245" s="1"/>
      <c r="AI245" s="1"/>
      <c r="AL245" s="46"/>
      <c r="AQ245" s="46"/>
      <c r="BA245" s="46"/>
      <c r="BF245" s="46"/>
      <c r="BK245" s="46"/>
      <c r="BP245" s="46"/>
      <c r="BU245" s="46"/>
      <c r="BZ245" s="46"/>
      <c r="CE245" s="379"/>
      <c r="CF245" s="379"/>
      <c r="CG245" s="379"/>
      <c r="CH245" s="379"/>
      <c r="CI245" s="379"/>
      <c r="CJ245" s="379"/>
      <c r="CK245" s="379"/>
      <c r="CL245" s="379"/>
      <c r="CM245" s="379"/>
      <c r="CN245" s="379"/>
      <c r="CO245" s="379"/>
      <c r="CP245" s="379"/>
      <c r="CQ245" s="379"/>
      <c r="CR245" s="379"/>
    </row>
    <row r="246" spans="1:96" x14ac:dyDescent="0.2">
      <c r="A246" s="80" t="s">
        <v>3075</v>
      </c>
      <c r="B246" s="885" t="s">
        <v>3092</v>
      </c>
      <c r="C246" s="1349" t="s">
        <v>4959</v>
      </c>
      <c r="D246" s="58"/>
      <c r="V246" s="34">
        <f t="shared" si="772"/>
        <v>0</v>
      </c>
      <c r="W246" s="46"/>
      <c r="X246" s="46"/>
      <c r="Y246" s="46"/>
      <c r="AA246" s="46">
        <f t="shared" si="771"/>
        <v>0</v>
      </c>
      <c r="AB246" s="46"/>
      <c r="AE246" s="1667"/>
      <c r="AF246" s="1380"/>
      <c r="AG246" s="1"/>
      <c r="AH246" s="1"/>
      <c r="AI246" s="1"/>
      <c r="AL246" s="46"/>
      <c r="AQ246" s="46"/>
      <c r="BA246" s="46"/>
      <c r="BF246" s="46"/>
      <c r="BK246" s="46"/>
      <c r="BP246" s="46"/>
      <c r="BU246" s="46"/>
      <c r="BZ246" s="46"/>
      <c r="CE246" s="379"/>
      <c r="CF246" s="379"/>
      <c r="CG246" s="379"/>
      <c r="CH246" s="379"/>
      <c r="CI246" s="379"/>
      <c r="CJ246" s="379"/>
      <c r="CK246" s="379"/>
      <c r="CL246" s="379"/>
      <c r="CM246" s="379"/>
      <c r="CN246" s="379"/>
      <c r="CO246" s="379"/>
      <c r="CP246" s="379"/>
      <c r="CQ246" s="379"/>
      <c r="CR246" s="379"/>
    </row>
    <row r="247" spans="1:96" x14ac:dyDescent="0.2">
      <c r="A247" s="80" t="s">
        <v>3077</v>
      </c>
      <c r="B247" s="885" t="s">
        <v>3093</v>
      </c>
      <c r="C247" s="1349" t="s">
        <v>4959</v>
      </c>
      <c r="D247" s="58"/>
      <c r="V247" s="34">
        <f t="shared" si="772"/>
        <v>0</v>
      </c>
      <c r="W247" s="46"/>
      <c r="X247" s="46"/>
      <c r="Y247" s="46"/>
      <c r="AA247" s="46">
        <f t="shared" si="771"/>
        <v>0</v>
      </c>
      <c r="AB247" s="46"/>
      <c r="AE247" s="1667"/>
      <c r="AF247" s="1380"/>
      <c r="AG247" s="1380"/>
      <c r="AH247" s="1"/>
      <c r="AI247" s="1"/>
      <c r="AL247" s="46"/>
      <c r="AQ247" s="46"/>
      <c r="BA247" s="46"/>
      <c r="BF247" s="46"/>
      <c r="BK247" s="46"/>
      <c r="BP247" s="46"/>
      <c r="BU247" s="46"/>
      <c r="BZ247" s="46"/>
      <c r="CE247" s="379"/>
      <c r="CF247" s="379"/>
      <c r="CG247" s="379"/>
      <c r="CH247" s="379"/>
      <c r="CI247" s="379"/>
      <c r="CJ247" s="379"/>
      <c r="CK247" s="379"/>
      <c r="CL247" s="379"/>
      <c r="CM247" s="379"/>
      <c r="CN247" s="379"/>
      <c r="CO247" s="379"/>
      <c r="CP247" s="379"/>
      <c r="CQ247" s="379"/>
      <c r="CR247" s="379"/>
    </row>
    <row r="248" spans="1:96" x14ac:dyDescent="0.2">
      <c r="A248" s="80" t="s">
        <v>3373</v>
      </c>
      <c r="B248" s="885" t="s">
        <v>3374</v>
      </c>
      <c r="C248" s="1349" t="s">
        <v>4959</v>
      </c>
      <c r="D248" s="58"/>
      <c r="V248" s="34">
        <f t="shared" si="772"/>
        <v>0</v>
      </c>
      <c r="W248" s="46"/>
      <c r="X248" s="46"/>
      <c r="Y248" s="46"/>
      <c r="AA248" s="46">
        <f t="shared" si="771"/>
        <v>0</v>
      </c>
      <c r="AB248" s="46"/>
      <c r="AE248" s="1667"/>
      <c r="AF248" s="1380"/>
      <c r="AG248" s="1380"/>
      <c r="AH248" s="1"/>
      <c r="AI248" s="1"/>
      <c r="AL248" s="46"/>
      <c r="AQ248" s="46"/>
      <c r="BA248" s="46"/>
      <c r="BF248" s="46"/>
      <c r="BK248" s="46"/>
      <c r="BP248" s="46"/>
      <c r="BU248" s="46"/>
      <c r="BZ248" s="46"/>
      <c r="CE248" s="379"/>
      <c r="CF248" s="379"/>
      <c r="CG248" s="379"/>
      <c r="CH248" s="379"/>
      <c r="CI248" s="379"/>
      <c r="CJ248" s="379"/>
      <c r="CK248" s="379"/>
      <c r="CL248" s="379"/>
      <c r="CM248" s="379"/>
      <c r="CN248" s="379"/>
      <c r="CO248" s="379"/>
      <c r="CP248" s="379"/>
      <c r="CQ248" s="379"/>
      <c r="CR248" s="379"/>
    </row>
    <row r="249" spans="1:96" x14ac:dyDescent="0.2">
      <c r="A249" s="80" t="s">
        <v>3353</v>
      </c>
      <c r="B249" s="885" t="s">
        <v>588</v>
      </c>
      <c r="C249" s="1349" t="s">
        <v>4959</v>
      </c>
      <c r="D249" s="58"/>
      <c r="V249" s="34">
        <f t="shared" si="772"/>
        <v>0</v>
      </c>
      <c r="W249" s="46"/>
      <c r="X249" s="46"/>
      <c r="Y249" s="46"/>
      <c r="AA249" s="46">
        <f t="shared" si="771"/>
        <v>0</v>
      </c>
      <c r="AB249" s="46"/>
      <c r="AE249" s="1667"/>
      <c r="AF249" s="1"/>
      <c r="AG249" s="1"/>
      <c r="AH249" s="1380"/>
      <c r="AI249" s="1"/>
      <c r="AL249" s="46"/>
      <c r="AQ249" s="46"/>
      <c r="BA249" s="46"/>
      <c r="BF249" s="46"/>
      <c r="BK249" s="46"/>
      <c r="BP249" s="46"/>
      <c r="BU249" s="46"/>
      <c r="BZ249" s="46"/>
      <c r="CE249" s="379"/>
      <c r="CF249" s="379"/>
      <c r="CG249" s="379"/>
      <c r="CH249" s="379"/>
      <c r="CI249" s="379"/>
      <c r="CJ249" s="379"/>
      <c r="CK249" s="379"/>
      <c r="CL249" s="379"/>
      <c r="CM249" s="379"/>
      <c r="CN249" s="379"/>
      <c r="CO249" s="379"/>
      <c r="CP249" s="379"/>
      <c r="CQ249" s="379"/>
      <c r="CR249" s="379"/>
    </row>
    <row r="250" spans="1:96" x14ac:dyDescent="0.2">
      <c r="A250" s="80" t="s">
        <v>6994</v>
      </c>
      <c r="B250" s="885" t="s">
        <v>6089</v>
      </c>
      <c r="C250" s="58" t="s">
        <v>5902</v>
      </c>
      <c r="D250" s="55"/>
      <c r="E250" s="34">
        <v>1700</v>
      </c>
      <c r="V250" s="34">
        <f t="shared" si="772"/>
        <v>1700</v>
      </c>
      <c r="W250" s="46"/>
      <c r="X250" s="46"/>
      <c r="Y250" s="46"/>
      <c r="AA250" s="46">
        <f t="shared" si="771"/>
        <v>0</v>
      </c>
      <c r="AB250" s="46"/>
      <c r="AE250" s="1667"/>
      <c r="AF250" s="1"/>
      <c r="AG250" s="1"/>
      <c r="AH250" s="1380"/>
      <c r="AI250" s="1"/>
      <c r="AL250" s="46"/>
      <c r="AQ250" s="46"/>
      <c r="BA250" s="46"/>
      <c r="BF250" s="46"/>
      <c r="BK250" s="46"/>
      <c r="BP250" s="46"/>
      <c r="BU250" s="46"/>
      <c r="BZ250" s="46"/>
      <c r="CE250" s="379"/>
      <c r="CF250" s="379"/>
      <c r="CG250" s="379"/>
      <c r="CH250" s="379"/>
      <c r="CI250" s="379"/>
      <c r="CJ250" s="379"/>
      <c r="CK250" s="379"/>
      <c r="CL250" s="379"/>
      <c r="CM250" s="379"/>
      <c r="CN250" s="379"/>
      <c r="CO250" s="379"/>
      <c r="CP250" s="379"/>
      <c r="CQ250" s="379"/>
      <c r="CR250" s="379"/>
    </row>
    <row r="251" spans="1:96" x14ac:dyDescent="0.2">
      <c r="A251" s="80" t="s">
        <v>6027</v>
      </c>
      <c r="B251" s="885" t="s">
        <v>6148</v>
      </c>
      <c r="C251" s="1349" t="s">
        <v>6149</v>
      </c>
      <c r="D251" s="1349" t="s">
        <v>6149</v>
      </c>
      <c r="F251" s="34">
        <v>24900</v>
      </c>
      <c r="G251" s="34">
        <v>25100</v>
      </c>
      <c r="V251" s="34">
        <f t="shared" si="772"/>
        <v>0</v>
      </c>
      <c r="W251" s="46"/>
      <c r="X251" s="46"/>
      <c r="Y251" s="46"/>
      <c r="AA251" s="46">
        <f t="shared" si="771"/>
        <v>24900</v>
      </c>
      <c r="AB251" s="46"/>
      <c r="AE251" s="1667"/>
      <c r="AF251" s="1"/>
      <c r="AG251" s="1"/>
      <c r="AH251" s="1380"/>
      <c r="AI251" s="1"/>
      <c r="AL251" s="46"/>
      <c r="AQ251" s="46"/>
      <c r="BA251" s="46"/>
      <c r="BF251" s="46"/>
      <c r="BK251" s="46"/>
      <c r="BP251" s="46"/>
      <c r="BU251" s="46"/>
      <c r="BZ251" s="46"/>
      <c r="CE251" s="379"/>
      <c r="CF251" s="379"/>
      <c r="CG251" s="379"/>
      <c r="CH251" s="379"/>
      <c r="CI251" s="379"/>
      <c r="CJ251" s="379"/>
      <c r="CK251" s="379"/>
      <c r="CL251" s="379"/>
      <c r="CM251" s="379"/>
      <c r="CN251" s="379"/>
      <c r="CO251" s="379"/>
      <c r="CP251" s="379"/>
      <c r="CQ251" s="379"/>
      <c r="CR251" s="379"/>
    </row>
    <row r="252" spans="1:96" x14ac:dyDescent="0.2">
      <c r="A252" s="80" t="s">
        <v>5903</v>
      </c>
      <c r="B252" s="885" t="s">
        <v>6088</v>
      </c>
      <c r="C252" s="58" t="s">
        <v>5904</v>
      </c>
      <c r="D252" s="55"/>
      <c r="E252" s="34">
        <v>28200</v>
      </c>
      <c r="V252" s="34">
        <f t="shared" si="772"/>
        <v>28200</v>
      </c>
      <c r="W252" s="46"/>
      <c r="X252" s="46"/>
      <c r="Y252" s="46"/>
      <c r="AA252" s="46">
        <f t="shared" si="771"/>
        <v>0</v>
      </c>
      <c r="AB252" s="46"/>
      <c r="AE252" s="1667"/>
      <c r="AF252" s="1"/>
      <c r="AG252" s="1"/>
      <c r="AH252" s="1380"/>
      <c r="AI252" s="1"/>
      <c r="AL252" s="46"/>
      <c r="AQ252" s="46"/>
      <c r="BA252" s="46"/>
      <c r="BF252" s="46"/>
      <c r="BK252" s="46"/>
      <c r="BP252" s="46"/>
      <c r="BU252" s="46"/>
      <c r="BZ252" s="46"/>
      <c r="CE252" s="379"/>
      <c r="CF252" s="379"/>
      <c r="CG252" s="379"/>
      <c r="CH252" s="379"/>
      <c r="CI252" s="379"/>
      <c r="CJ252" s="379"/>
      <c r="CK252" s="379"/>
      <c r="CL252" s="379"/>
      <c r="CM252" s="379"/>
      <c r="CN252" s="379"/>
      <c r="CO252" s="379"/>
      <c r="CP252" s="379"/>
      <c r="CQ252" s="379"/>
      <c r="CR252" s="379"/>
    </row>
    <row r="253" spans="1:96" x14ac:dyDescent="0.2">
      <c r="A253" s="80" t="s">
        <v>151</v>
      </c>
      <c r="B253" s="885" t="s">
        <v>1653</v>
      </c>
      <c r="C253" s="1349" t="s">
        <v>4959</v>
      </c>
      <c r="D253" s="58" t="s">
        <v>1653</v>
      </c>
      <c r="E253" s="34">
        <v>6400</v>
      </c>
      <c r="F253" s="34">
        <v>2800</v>
      </c>
      <c r="G253" s="34">
        <f>125300-32000</f>
        <v>93300</v>
      </c>
      <c r="V253" s="34">
        <f t="shared" si="772"/>
        <v>6400</v>
      </c>
      <c r="W253" s="46"/>
      <c r="X253" s="46"/>
      <c r="Y253" s="46"/>
      <c r="Z253" s="34">
        <v>115200</v>
      </c>
      <c r="AA253" s="46">
        <f t="shared" si="771"/>
        <v>-112400</v>
      </c>
      <c r="AB253" s="46"/>
      <c r="AE253" s="1667"/>
      <c r="AF253" s="1"/>
      <c r="AG253" s="1"/>
      <c r="AH253" s="1380"/>
      <c r="AI253" s="1"/>
      <c r="AL253" s="46"/>
      <c r="AQ253" s="46"/>
      <c r="BA253" s="46"/>
      <c r="BF253" s="46"/>
      <c r="BK253" s="46"/>
      <c r="BP253" s="46"/>
      <c r="BU253" s="46"/>
      <c r="BZ253" s="46"/>
      <c r="CE253" s="379"/>
      <c r="CF253" s="379"/>
      <c r="CG253" s="379"/>
      <c r="CH253" s="379"/>
      <c r="CI253" s="379"/>
      <c r="CJ253" s="379"/>
      <c r="CK253" s="379"/>
      <c r="CL253" s="379"/>
      <c r="CM253" s="379"/>
      <c r="CN253" s="379"/>
      <c r="CO253" s="379"/>
      <c r="CP253" s="379"/>
      <c r="CQ253" s="379"/>
      <c r="CR253" s="379"/>
    </row>
    <row r="254" spans="1:96" x14ac:dyDescent="0.2">
      <c r="A254" s="80" t="s">
        <v>3596</v>
      </c>
      <c r="B254" s="885" t="s">
        <v>3909</v>
      </c>
      <c r="C254" s="58" t="s">
        <v>4031</v>
      </c>
      <c r="D254" s="58" t="s">
        <v>4031</v>
      </c>
      <c r="E254" s="34">
        <v>300</v>
      </c>
      <c r="G254" s="34">
        <f>80000-60000</f>
        <v>20000</v>
      </c>
      <c r="V254" s="34">
        <f t="shared" si="772"/>
        <v>300</v>
      </c>
      <c r="W254" s="46"/>
      <c r="X254" s="46"/>
      <c r="Y254" s="46"/>
      <c r="AA254" s="46">
        <f t="shared" si="771"/>
        <v>0</v>
      </c>
      <c r="AB254" s="46"/>
      <c r="AE254" s="1667"/>
      <c r="AF254" s="1"/>
      <c r="AG254" s="1"/>
      <c r="AH254" s="1"/>
      <c r="AI254" s="1380"/>
      <c r="AL254" s="46"/>
      <c r="AQ254" s="46"/>
      <c r="BA254" s="46"/>
      <c r="BF254" s="46"/>
      <c r="BK254" s="46"/>
      <c r="BP254" s="46"/>
      <c r="BU254" s="46"/>
      <c r="BZ254" s="46"/>
      <c r="CE254" s="379"/>
      <c r="CF254" s="379"/>
      <c r="CG254" s="379"/>
      <c r="CH254" s="379"/>
      <c r="CI254" s="379"/>
      <c r="CJ254" s="379"/>
      <c r="CK254" s="379"/>
      <c r="CL254" s="379"/>
      <c r="CM254" s="379"/>
      <c r="CN254" s="379"/>
      <c r="CO254" s="379"/>
      <c r="CP254" s="379"/>
      <c r="CQ254" s="379"/>
      <c r="CR254" s="379"/>
    </row>
    <row r="255" spans="1:96" x14ac:dyDescent="0.2">
      <c r="A255" s="80" t="s">
        <v>7109</v>
      </c>
      <c r="B255" s="885" t="s">
        <v>6150</v>
      </c>
      <c r="C255" s="58" t="s">
        <v>6151</v>
      </c>
      <c r="D255" s="58" t="s">
        <v>6151</v>
      </c>
      <c r="G255" s="34">
        <f>120000-100000</f>
        <v>20000</v>
      </c>
      <c r="V255" s="34">
        <f t="shared" si="772"/>
        <v>0</v>
      </c>
      <c r="W255" s="46"/>
      <c r="X255" s="46"/>
      <c r="Y255" s="46"/>
      <c r="AA255" s="46">
        <f t="shared" si="771"/>
        <v>0</v>
      </c>
      <c r="AB255" s="46"/>
      <c r="AE255" s="1667"/>
      <c r="AF255" s="1"/>
      <c r="AG255" s="1"/>
      <c r="AH255" s="1"/>
      <c r="AI255" s="1380"/>
      <c r="AL255" s="46"/>
      <c r="AQ255" s="46"/>
      <c r="BA255" s="46"/>
      <c r="BF255" s="46"/>
      <c r="BK255" s="46"/>
      <c r="BP255" s="46"/>
      <c r="BU255" s="46"/>
      <c r="BZ255" s="46"/>
      <c r="CE255" s="379"/>
      <c r="CF255" s="379"/>
      <c r="CG255" s="379"/>
      <c r="CH255" s="379"/>
      <c r="CI255" s="379"/>
      <c r="CJ255" s="379"/>
      <c r="CK255" s="379"/>
      <c r="CL255" s="379"/>
      <c r="CM255" s="379"/>
      <c r="CN255" s="379"/>
      <c r="CO255" s="379"/>
      <c r="CP255" s="379"/>
      <c r="CQ255" s="379"/>
      <c r="CR255" s="379"/>
    </row>
    <row r="256" spans="1:96" x14ac:dyDescent="0.2">
      <c r="A256" s="80" t="s">
        <v>6631</v>
      </c>
      <c r="B256" s="885" t="s">
        <v>6632</v>
      </c>
      <c r="C256" s="58"/>
      <c r="D256" s="58"/>
      <c r="E256" s="34">
        <v>13100</v>
      </c>
      <c r="V256" s="34">
        <f t="shared" si="772"/>
        <v>13100</v>
      </c>
      <c r="W256" s="46"/>
      <c r="X256" s="46"/>
      <c r="Y256" s="46"/>
      <c r="AB256" s="46"/>
      <c r="AE256" s="1667"/>
      <c r="AF256" s="1"/>
      <c r="AG256" s="1"/>
      <c r="AH256" s="1"/>
      <c r="AI256" s="1380"/>
      <c r="AL256" s="46"/>
      <c r="AQ256" s="46"/>
      <c r="BA256" s="46"/>
      <c r="BF256" s="46"/>
      <c r="BK256" s="46"/>
      <c r="BP256" s="46"/>
      <c r="BU256" s="46"/>
      <c r="BZ256" s="46"/>
      <c r="CE256" s="379"/>
      <c r="CF256" s="379"/>
      <c r="CG256" s="379"/>
      <c r="CH256" s="379"/>
      <c r="CI256" s="379"/>
      <c r="CJ256" s="379"/>
      <c r="CK256" s="379"/>
      <c r="CL256" s="379"/>
      <c r="CM256" s="379"/>
      <c r="CN256" s="379"/>
      <c r="CO256" s="379"/>
      <c r="CP256" s="379"/>
      <c r="CQ256" s="379"/>
      <c r="CR256" s="379"/>
    </row>
    <row r="257" spans="1:96" x14ac:dyDescent="0.2">
      <c r="A257" s="80" t="s">
        <v>3597</v>
      </c>
      <c r="B257" s="885" t="s">
        <v>3910</v>
      </c>
      <c r="C257" s="58" t="s">
        <v>4032</v>
      </c>
      <c r="D257" s="58"/>
      <c r="V257" s="34">
        <f t="shared" si="772"/>
        <v>0</v>
      </c>
      <c r="W257" s="46"/>
      <c r="X257" s="46"/>
      <c r="Y257" s="46"/>
      <c r="AA257" s="46">
        <f t="shared" ref="AA257:AA282" si="773">F257-W257-X257-Y257-Z257</f>
        <v>0</v>
      </c>
      <c r="AB257" s="46"/>
      <c r="AE257" s="1667"/>
      <c r="AF257" s="1"/>
      <c r="AG257" s="1380"/>
      <c r="AH257" s="1"/>
      <c r="AI257" s="1"/>
      <c r="AL257" s="46"/>
      <c r="AQ257" s="46"/>
      <c r="BA257" s="46"/>
      <c r="BF257" s="46"/>
      <c r="BK257" s="46"/>
      <c r="BP257" s="46"/>
      <c r="BU257" s="46"/>
      <c r="BZ257" s="46"/>
      <c r="CE257" s="379"/>
      <c r="CF257" s="379"/>
      <c r="CG257" s="379"/>
      <c r="CH257" s="379"/>
      <c r="CI257" s="379"/>
      <c r="CJ257" s="379"/>
      <c r="CK257" s="379"/>
      <c r="CL257" s="379"/>
      <c r="CM257" s="379"/>
      <c r="CN257" s="379"/>
      <c r="CO257" s="379"/>
      <c r="CP257" s="379"/>
      <c r="CQ257" s="379"/>
      <c r="CR257" s="379"/>
    </row>
    <row r="258" spans="1:96" x14ac:dyDescent="0.2">
      <c r="A258" s="80" t="s">
        <v>3598</v>
      </c>
      <c r="B258" s="885" t="s">
        <v>3911</v>
      </c>
      <c r="C258" s="58" t="s">
        <v>4033</v>
      </c>
      <c r="D258" s="58"/>
      <c r="V258" s="34">
        <f t="shared" si="772"/>
        <v>0</v>
      </c>
      <c r="W258" s="46"/>
      <c r="X258" s="46"/>
      <c r="Y258" s="46"/>
      <c r="AA258" s="46">
        <f t="shared" si="773"/>
        <v>0</v>
      </c>
      <c r="AB258" s="46"/>
      <c r="AE258" s="1667"/>
      <c r="AF258" s="1"/>
      <c r="AG258" s="1"/>
      <c r="AH258" s="1"/>
      <c r="AI258" s="1380"/>
      <c r="AL258" s="46"/>
      <c r="AQ258" s="46"/>
      <c r="BA258" s="46"/>
      <c r="BF258" s="46"/>
      <c r="BK258" s="46"/>
      <c r="BP258" s="46"/>
      <c r="BU258" s="46"/>
      <c r="BZ258" s="46"/>
      <c r="CE258" s="379"/>
      <c r="CF258" s="379"/>
      <c r="CG258" s="379"/>
      <c r="CH258" s="379"/>
      <c r="CI258" s="379"/>
      <c r="CJ258" s="379"/>
      <c r="CK258" s="379"/>
      <c r="CL258" s="379"/>
      <c r="CM258" s="379"/>
      <c r="CN258" s="379"/>
      <c r="CO258" s="379"/>
      <c r="CP258" s="379"/>
      <c r="CQ258" s="379"/>
      <c r="CR258" s="379"/>
    </row>
    <row r="259" spans="1:96" x14ac:dyDescent="0.2">
      <c r="A259" s="80" t="s">
        <v>4944</v>
      </c>
      <c r="B259" s="885" t="s">
        <v>5169</v>
      </c>
      <c r="C259" s="58" t="s">
        <v>5168</v>
      </c>
      <c r="D259" s="58"/>
      <c r="V259" s="34">
        <f t="shared" si="772"/>
        <v>0</v>
      </c>
      <c r="W259" s="46"/>
      <c r="X259" s="46"/>
      <c r="Y259" s="46"/>
      <c r="Z259" s="34">
        <f>16000-16000</f>
        <v>0</v>
      </c>
      <c r="AA259" s="46">
        <f t="shared" si="773"/>
        <v>0</v>
      </c>
      <c r="AB259" s="46"/>
      <c r="AE259" s="1667"/>
      <c r="AF259" s="1"/>
      <c r="AG259" s="1"/>
      <c r="AH259" s="1"/>
      <c r="AI259" s="1380"/>
      <c r="AL259" s="46"/>
      <c r="AQ259" s="46"/>
      <c r="BA259" s="46"/>
      <c r="BF259" s="46"/>
      <c r="BK259" s="46"/>
      <c r="BP259" s="46"/>
      <c r="BU259" s="46"/>
      <c r="BZ259" s="46"/>
      <c r="CE259" s="379"/>
      <c r="CF259" s="379"/>
      <c r="CG259" s="379"/>
      <c r="CH259" s="379"/>
      <c r="CI259" s="379"/>
      <c r="CJ259" s="379"/>
      <c r="CK259" s="379"/>
      <c r="CL259" s="379"/>
      <c r="CM259" s="379"/>
      <c r="CN259" s="379"/>
      <c r="CO259" s="379"/>
      <c r="CP259" s="379"/>
      <c r="CQ259" s="379"/>
      <c r="CR259" s="379"/>
    </row>
    <row r="260" spans="1:96" x14ac:dyDescent="0.2">
      <c r="A260" s="80" t="s">
        <v>6028</v>
      </c>
      <c r="B260" s="885" t="s">
        <v>6152</v>
      </c>
      <c r="C260" s="58" t="s">
        <v>6153</v>
      </c>
      <c r="D260" s="58" t="s">
        <v>6153</v>
      </c>
      <c r="F260" s="34">
        <v>3700</v>
      </c>
      <c r="G260" s="34">
        <v>6300</v>
      </c>
      <c r="V260" s="34">
        <f t="shared" si="772"/>
        <v>0</v>
      </c>
      <c r="W260" s="46"/>
      <c r="X260" s="46"/>
      <c r="Y260" s="46"/>
      <c r="AA260" s="46">
        <f t="shared" si="773"/>
        <v>3700</v>
      </c>
      <c r="AB260" s="46"/>
      <c r="AE260" s="1667"/>
      <c r="AF260" s="1"/>
      <c r="AG260" s="1"/>
      <c r="AH260" s="1"/>
      <c r="AI260" s="1380"/>
      <c r="AL260" s="46"/>
      <c r="AQ260" s="46"/>
      <c r="BA260" s="46"/>
      <c r="BF260" s="46"/>
      <c r="BK260" s="46"/>
      <c r="BP260" s="46"/>
      <c r="BU260" s="46"/>
      <c r="BZ260" s="46"/>
      <c r="CE260" s="379"/>
      <c r="CF260" s="379"/>
      <c r="CG260" s="379"/>
      <c r="CH260" s="379"/>
      <c r="CI260" s="379"/>
      <c r="CJ260" s="379"/>
      <c r="CK260" s="379"/>
      <c r="CL260" s="379"/>
      <c r="CM260" s="379"/>
      <c r="CN260" s="379"/>
      <c r="CO260" s="379"/>
      <c r="CP260" s="379"/>
      <c r="CQ260" s="379"/>
      <c r="CR260" s="379"/>
    </row>
    <row r="261" spans="1:96" x14ac:dyDescent="0.2">
      <c r="A261" s="80" t="s">
        <v>4688</v>
      </c>
      <c r="B261" s="885" t="s">
        <v>3929</v>
      </c>
      <c r="C261" s="58" t="s">
        <v>4689</v>
      </c>
      <c r="D261" s="55"/>
      <c r="E261" s="34">
        <v>900</v>
      </c>
      <c r="U261" s="34">
        <v>900</v>
      </c>
      <c r="V261" s="34">
        <v>0</v>
      </c>
      <c r="W261" s="46"/>
      <c r="X261" s="46"/>
      <c r="Y261" s="46"/>
      <c r="AA261" s="46">
        <f t="shared" si="773"/>
        <v>0</v>
      </c>
      <c r="AB261" s="46"/>
      <c r="AE261" s="1667"/>
      <c r="AF261" s="1"/>
      <c r="AG261" s="1"/>
      <c r="AH261" s="1"/>
      <c r="AI261" s="1380"/>
      <c r="AL261" s="46"/>
      <c r="AQ261" s="46"/>
      <c r="BA261" s="46"/>
      <c r="BF261" s="46"/>
      <c r="BK261" s="46"/>
      <c r="BP261" s="46"/>
      <c r="BU261" s="46"/>
      <c r="BZ261" s="46"/>
      <c r="CE261" s="379"/>
      <c r="CF261" s="379"/>
      <c r="CG261" s="379"/>
      <c r="CH261" s="379"/>
      <c r="CI261" s="379"/>
      <c r="CJ261" s="379"/>
      <c r="CK261" s="379"/>
      <c r="CL261" s="379"/>
      <c r="CM261" s="379"/>
      <c r="CN261" s="379"/>
      <c r="CO261" s="379"/>
      <c r="CP261" s="379"/>
      <c r="CQ261" s="379"/>
      <c r="CR261" s="379"/>
    </row>
    <row r="262" spans="1:96" x14ac:dyDescent="0.2">
      <c r="A262" s="80" t="s">
        <v>6463</v>
      </c>
      <c r="B262" s="885"/>
      <c r="C262" s="58"/>
      <c r="D262" s="58" t="s">
        <v>7078</v>
      </c>
      <c r="F262" s="34">
        <v>34000</v>
      </c>
      <c r="V262" s="34">
        <f>E262</f>
        <v>0</v>
      </c>
      <c r="W262" s="46"/>
      <c r="X262" s="46"/>
      <c r="Y262" s="46"/>
      <c r="Z262" s="34">
        <v>16000</v>
      </c>
      <c r="AA262" s="46">
        <f t="shared" si="773"/>
        <v>18000</v>
      </c>
      <c r="AB262" s="46"/>
      <c r="AE262" s="1667"/>
      <c r="AF262" s="1"/>
      <c r="AG262" s="1"/>
      <c r="AH262" s="1"/>
      <c r="AI262" s="1380"/>
      <c r="AL262" s="46"/>
      <c r="AQ262" s="46"/>
      <c r="BA262" s="46"/>
      <c r="BF262" s="46"/>
      <c r="BK262" s="46"/>
      <c r="BP262" s="46"/>
      <c r="BU262" s="46"/>
      <c r="BZ262" s="46"/>
      <c r="CE262" s="379"/>
      <c r="CF262" s="379"/>
      <c r="CG262" s="379"/>
      <c r="CH262" s="379"/>
      <c r="CI262" s="379"/>
      <c r="CJ262" s="379"/>
      <c r="CK262" s="379"/>
      <c r="CL262" s="379"/>
      <c r="CM262" s="379"/>
      <c r="CN262" s="379"/>
      <c r="CO262" s="379"/>
      <c r="CP262" s="379"/>
      <c r="CQ262" s="379"/>
      <c r="CR262" s="379"/>
    </row>
    <row r="263" spans="1:96" x14ac:dyDescent="0.2">
      <c r="A263" s="80" t="s">
        <v>6029</v>
      </c>
      <c r="B263" s="885" t="s">
        <v>6154</v>
      </c>
      <c r="C263" s="58" t="s">
        <v>6155</v>
      </c>
      <c r="D263" s="58" t="s">
        <v>6155</v>
      </c>
      <c r="F263" s="34">
        <v>400</v>
      </c>
      <c r="V263" s="34">
        <f>E263</f>
        <v>0</v>
      </c>
      <c r="W263" s="46"/>
      <c r="X263" s="46"/>
      <c r="Y263" s="46"/>
      <c r="AA263" s="46">
        <f t="shared" si="773"/>
        <v>400</v>
      </c>
      <c r="AB263" s="46"/>
      <c r="AE263" s="1667"/>
      <c r="AF263" s="1"/>
      <c r="AG263" s="1"/>
      <c r="AH263" s="1"/>
      <c r="AI263" s="1380"/>
      <c r="AL263" s="46"/>
      <c r="AQ263" s="46"/>
      <c r="BA263" s="46"/>
      <c r="BF263" s="46"/>
      <c r="BK263" s="46"/>
      <c r="BP263" s="46"/>
      <c r="BU263" s="46"/>
      <c r="BZ263" s="46"/>
      <c r="CE263" s="379"/>
      <c r="CF263" s="379"/>
      <c r="CG263" s="379"/>
      <c r="CH263" s="379"/>
      <c r="CI263" s="379"/>
      <c r="CJ263" s="379"/>
      <c r="CK263" s="379"/>
      <c r="CL263" s="379"/>
      <c r="CM263" s="379"/>
      <c r="CN263" s="379"/>
      <c r="CO263" s="379"/>
      <c r="CP263" s="379"/>
      <c r="CQ263" s="379"/>
      <c r="CR263" s="379"/>
    </row>
    <row r="264" spans="1:96" x14ac:dyDescent="0.2">
      <c r="A264" s="80" t="s">
        <v>6995</v>
      </c>
      <c r="B264" s="885" t="s">
        <v>3153</v>
      </c>
      <c r="C264" s="1349" t="s">
        <v>4959</v>
      </c>
      <c r="D264" s="58"/>
      <c r="V264" s="34">
        <f>E264</f>
        <v>0</v>
      </c>
      <c r="W264" s="46"/>
      <c r="X264" s="46"/>
      <c r="Y264" s="46"/>
      <c r="AA264" s="46">
        <f t="shared" si="773"/>
        <v>0</v>
      </c>
      <c r="AB264" s="46"/>
      <c r="AE264" s="1667"/>
      <c r="AF264" s="1380"/>
      <c r="AG264" s="1380"/>
      <c r="AH264" s="1380"/>
      <c r="AI264" s="1380"/>
      <c r="AL264" s="46"/>
      <c r="AQ264" s="46"/>
      <c r="BA264" s="46"/>
      <c r="BF264" s="46"/>
      <c r="BK264" s="46"/>
      <c r="BP264" s="46"/>
      <c r="BU264" s="46"/>
      <c r="BZ264" s="46"/>
      <c r="CE264" s="379"/>
      <c r="CF264" s="379"/>
      <c r="CG264" s="379"/>
      <c r="CH264" s="379"/>
      <c r="CI264" s="379"/>
      <c r="CJ264" s="379"/>
      <c r="CK264" s="379"/>
      <c r="CL264" s="379"/>
      <c r="CM264" s="379"/>
      <c r="CN264" s="379"/>
      <c r="CO264" s="379"/>
      <c r="CP264" s="379"/>
      <c r="CQ264" s="379"/>
      <c r="CR264" s="379"/>
    </row>
    <row r="265" spans="1:96" x14ac:dyDescent="0.2">
      <c r="A265" s="80" t="s">
        <v>3076</v>
      </c>
      <c r="B265" s="885" t="s">
        <v>6156</v>
      </c>
      <c r="C265" s="1349" t="s">
        <v>6157</v>
      </c>
      <c r="D265" s="1349" t="s">
        <v>6157</v>
      </c>
      <c r="E265" s="34">
        <f>50000-30000-14500-5500</f>
        <v>0</v>
      </c>
      <c r="F265" s="34">
        <v>78800</v>
      </c>
      <c r="G265" s="34">
        <f>22000-4000</f>
        <v>18000</v>
      </c>
      <c r="V265" s="34">
        <f>E265</f>
        <v>0</v>
      </c>
      <c r="W265" s="46"/>
      <c r="X265" s="46"/>
      <c r="Y265" s="46"/>
      <c r="AA265" s="46">
        <f t="shared" si="773"/>
        <v>78800</v>
      </c>
      <c r="AB265" s="46"/>
      <c r="AE265" s="1667"/>
      <c r="AF265" s="1380"/>
      <c r="AG265" s="1380"/>
      <c r="AH265" s="1380"/>
      <c r="AI265" s="1380"/>
      <c r="AL265" s="46"/>
      <c r="AQ265" s="46"/>
      <c r="BA265" s="46"/>
      <c r="BF265" s="46"/>
      <c r="BK265" s="46"/>
      <c r="BP265" s="46"/>
      <c r="BU265" s="46"/>
      <c r="BZ265" s="46"/>
      <c r="CE265" s="379"/>
      <c r="CF265" s="379"/>
      <c r="CG265" s="379"/>
      <c r="CH265" s="379"/>
      <c r="CI265" s="379"/>
      <c r="CJ265" s="379"/>
      <c r="CK265" s="379"/>
      <c r="CL265" s="379"/>
      <c r="CM265" s="379"/>
      <c r="CN265" s="379"/>
      <c r="CO265" s="379"/>
      <c r="CP265" s="379"/>
      <c r="CQ265" s="379"/>
      <c r="CR265" s="379"/>
    </row>
    <row r="266" spans="1:96" x14ac:dyDescent="0.2">
      <c r="A266" s="80" t="s">
        <v>5063</v>
      </c>
      <c r="B266" s="885" t="s">
        <v>3094</v>
      </c>
      <c r="C266" s="1349" t="s">
        <v>4959</v>
      </c>
      <c r="D266" s="58"/>
      <c r="U266" s="34">
        <v>0</v>
      </c>
      <c r="V266" s="34">
        <f>E266-U266</f>
        <v>0</v>
      </c>
      <c r="W266" s="31"/>
      <c r="X266" s="46"/>
      <c r="Y266" s="46"/>
      <c r="AA266" s="46">
        <f t="shared" si="773"/>
        <v>0</v>
      </c>
      <c r="AB266" s="46"/>
      <c r="AG266" s="46"/>
      <c r="AH266" s="46"/>
      <c r="AI266" s="46"/>
      <c r="AL266" s="46"/>
      <c r="AQ266" s="46"/>
      <c r="BA266" s="46"/>
      <c r="BF266" s="46"/>
      <c r="BK266" s="46"/>
      <c r="BP266" s="46"/>
      <c r="BU266" s="46"/>
      <c r="BZ266" s="46"/>
      <c r="CE266" s="379"/>
      <c r="CF266" s="379"/>
      <c r="CG266" s="379"/>
      <c r="CH266" s="379"/>
      <c r="CI266" s="379"/>
      <c r="CJ266" s="379"/>
      <c r="CK266" s="379"/>
      <c r="CL266" s="379"/>
      <c r="CM266" s="379"/>
      <c r="CN266" s="379"/>
      <c r="CO266" s="379"/>
      <c r="CP266" s="379"/>
      <c r="CQ266" s="379"/>
      <c r="CR266" s="379"/>
    </row>
    <row r="267" spans="1:96" x14ac:dyDescent="0.2">
      <c r="A267" s="80" t="s">
        <v>3074</v>
      </c>
      <c r="B267" s="885" t="s">
        <v>3095</v>
      </c>
      <c r="C267" s="1349" t="s">
        <v>4959</v>
      </c>
      <c r="D267" s="58" t="s">
        <v>3095</v>
      </c>
      <c r="E267" s="34">
        <v>36000</v>
      </c>
      <c r="F267" s="34">
        <v>14900</v>
      </c>
      <c r="G267" s="34">
        <f>61000-61000</f>
        <v>0</v>
      </c>
      <c r="V267" s="34">
        <f>E267</f>
        <v>36000</v>
      </c>
      <c r="W267" s="46"/>
      <c r="X267" s="46"/>
      <c r="Y267" s="46"/>
      <c r="AA267" s="46">
        <f t="shared" si="773"/>
        <v>14900</v>
      </c>
      <c r="AB267" s="46"/>
      <c r="AG267" s="46"/>
      <c r="AH267" s="46"/>
      <c r="AI267" s="46"/>
      <c r="AL267" s="46"/>
      <c r="AQ267" s="46"/>
      <c r="BA267" s="46"/>
      <c r="BF267" s="46"/>
      <c r="BK267" s="46"/>
      <c r="BP267" s="46"/>
      <c r="BU267" s="46"/>
      <c r="BZ267" s="46"/>
      <c r="CE267" s="379"/>
      <c r="CF267" s="379"/>
      <c r="CG267" s="379"/>
      <c r="CH267" s="379"/>
      <c r="CI267" s="379"/>
      <c r="CJ267" s="379"/>
      <c r="CK267" s="379"/>
      <c r="CL267" s="379"/>
      <c r="CM267" s="379"/>
      <c r="CN267" s="379"/>
      <c r="CO267" s="379"/>
      <c r="CP267" s="379"/>
      <c r="CQ267" s="379"/>
      <c r="CR267" s="379"/>
    </row>
    <row r="268" spans="1:96" x14ac:dyDescent="0.2">
      <c r="A268" s="80" t="s">
        <v>3561</v>
      </c>
      <c r="B268" s="885" t="s">
        <v>3562</v>
      </c>
      <c r="C268" s="1349" t="s">
        <v>4959</v>
      </c>
      <c r="D268" s="58"/>
      <c r="V268" s="34">
        <f>E268</f>
        <v>0</v>
      </c>
      <c r="W268" s="46"/>
      <c r="X268" s="46"/>
      <c r="Y268" s="46"/>
      <c r="AA268" s="46">
        <f t="shared" si="773"/>
        <v>0</v>
      </c>
      <c r="AB268" s="46"/>
      <c r="AG268" s="46"/>
      <c r="AL268" s="46"/>
      <c r="AQ268" s="46"/>
      <c r="BA268" s="46"/>
      <c r="BF268" s="46"/>
      <c r="BK268" s="46"/>
      <c r="BP268" s="46"/>
      <c r="BU268" s="46"/>
      <c r="BZ268" s="46"/>
      <c r="CE268" s="379"/>
      <c r="CF268" s="379"/>
      <c r="CG268" s="379"/>
      <c r="CH268" s="379"/>
      <c r="CI268" s="379"/>
      <c r="CJ268" s="379"/>
      <c r="CK268" s="379"/>
      <c r="CL268" s="379"/>
      <c r="CM268" s="379"/>
      <c r="CN268" s="379"/>
      <c r="CO268" s="379"/>
      <c r="CP268" s="379"/>
      <c r="CQ268" s="379"/>
      <c r="CR268" s="379"/>
    </row>
    <row r="269" spans="1:96" x14ac:dyDescent="0.2">
      <c r="A269" s="80" t="s">
        <v>3375</v>
      </c>
      <c r="B269" s="885" t="s">
        <v>3376</v>
      </c>
      <c r="C269" s="1349" t="s">
        <v>4959</v>
      </c>
      <c r="D269" s="58"/>
      <c r="V269" s="34">
        <f>E269</f>
        <v>0</v>
      </c>
      <c r="W269" s="46"/>
      <c r="X269" s="46"/>
      <c r="Y269" s="46"/>
      <c r="AA269" s="46">
        <f t="shared" si="773"/>
        <v>0</v>
      </c>
      <c r="AB269" s="46"/>
      <c r="AG269" s="46"/>
      <c r="AL269" s="46"/>
      <c r="AQ269" s="46"/>
      <c r="BA269" s="46"/>
      <c r="BF269" s="46"/>
      <c r="BK269" s="46"/>
      <c r="BP269" s="46"/>
      <c r="BU269" s="46"/>
      <c r="BZ269" s="46"/>
      <c r="CE269" s="379"/>
      <c r="CF269" s="379"/>
      <c r="CG269" s="379"/>
      <c r="CH269" s="379"/>
      <c r="CI269" s="379"/>
      <c r="CJ269" s="379"/>
      <c r="CK269" s="379"/>
      <c r="CL269" s="379"/>
      <c r="CM269" s="379"/>
      <c r="CN269" s="379"/>
      <c r="CO269" s="379"/>
      <c r="CP269" s="379"/>
      <c r="CQ269" s="379"/>
      <c r="CR269" s="379"/>
    </row>
    <row r="270" spans="1:96" x14ac:dyDescent="0.2">
      <c r="A270" s="80" t="s">
        <v>3564</v>
      </c>
      <c r="B270" s="885" t="s">
        <v>3563</v>
      </c>
      <c r="C270" s="1349" t="s">
        <v>4959</v>
      </c>
      <c r="D270" s="58"/>
      <c r="V270" s="34">
        <f>E270</f>
        <v>0</v>
      </c>
      <c r="W270" s="46"/>
      <c r="X270" s="46"/>
      <c r="Y270" s="46"/>
      <c r="AA270" s="46">
        <f t="shared" si="773"/>
        <v>0</v>
      </c>
      <c r="AB270" s="46"/>
      <c r="AG270" s="46"/>
      <c r="AL270" s="46"/>
      <c r="AQ270" s="46"/>
      <c r="BA270" s="46"/>
      <c r="BF270" s="46"/>
      <c r="BK270" s="46"/>
      <c r="BP270" s="46"/>
      <c r="BU270" s="46"/>
      <c r="BZ270" s="46"/>
      <c r="CE270" s="379"/>
      <c r="CF270" s="379"/>
      <c r="CG270" s="379"/>
      <c r="CH270" s="379"/>
      <c r="CI270" s="379"/>
      <c r="CJ270" s="379"/>
      <c r="CK270" s="379"/>
      <c r="CL270" s="379"/>
      <c r="CM270" s="379"/>
      <c r="CN270" s="379"/>
      <c r="CO270" s="379"/>
      <c r="CP270" s="379"/>
      <c r="CQ270" s="379"/>
      <c r="CR270" s="379"/>
    </row>
    <row r="271" spans="1:96" x14ac:dyDescent="0.2">
      <c r="A271" s="80" t="s">
        <v>5256</v>
      </c>
      <c r="B271" s="885" t="s">
        <v>5257</v>
      </c>
      <c r="C271" s="58" t="s">
        <v>5424</v>
      </c>
      <c r="D271" s="58" t="s">
        <v>5424</v>
      </c>
      <c r="E271" s="34">
        <v>61800</v>
      </c>
      <c r="G271" s="34">
        <v>10000</v>
      </c>
      <c r="U271" s="34">
        <v>61800</v>
      </c>
      <c r="V271" s="34">
        <v>0</v>
      </c>
      <c r="W271" s="46"/>
      <c r="X271" s="46"/>
      <c r="Y271" s="46"/>
      <c r="AA271" s="46">
        <f t="shared" si="773"/>
        <v>0</v>
      </c>
      <c r="AB271" s="46"/>
      <c r="AG271" s="46"/>
      <c r="AL271" s="46"/>
      <c r="AQ271" s="46"/>
      <c r="BA271" s="46"/>
      <c r="BF271" s="46"/>
      <c r="BK271" s="46"/>
      <c r="BP271" s="46"/>
      <c r="BU271" s="46"/>
      <c r="BZ271" s="46"/>
      <c r="CE271" s="379"/>
      <c r="CF271" s="379"/>
      <c r="CG271" s="379"/>
      <c r="CH271" s="379"/>
      <c r="CI271" s="379"/>
      <c r="CJ271" s="379"/>
      <c r="CK271" s="379"/>
      <c r="CL271" s="379"/>
      <c r="CM271" s="379"/>
      <c r="CN271" s="379"/>
      <c r="CO271" s="379"/>
      <c r="CP271" s="379"/>
      <c r="CQ271" s="379"/>
      <c r="CR271" s="379"/>
    </row>
    <row r="272" spans="1:96" x14ac:dyDescent="0.2">
      <c r="A272" s="80" t="s">
        <v>4798</v>
      </c>
      <c r="B272" s="885" t="s">
        <v>5052</v>
      </c>
      <c r="C272" s="58" t="s">
        <v>4799</v>
      </c>
      <c r="D272" s="55"/>
      <c r="V272" s="34">
        <f t="shared" ref="V272:V277" si="774">E272</f>
        <v>0</v>
      </c>
      <c r="W272" s="46"/>
      <c r="X272" s="46"/>
      <c r="Y272" s="46"/>
      <c r="AA272" s="46">
        <f t="shared" si="773"/>
        <v>0</v>
      </c>
      <c r="AB272" s="46"/>
      <c r="AG272" s="46"/>
      <c r="AL272" s="46"/>
      <c r="AQ272" s="46"/>
      <c r="BA272" s="46"/>
      <c r="BF272" s="46"/>
      <c r="BK272" s="46"/>
      <c r="BP272" s="46"/>
      <c r="BU272" s="46"/>
      <c r="BZ272" s="46"/>
      <c r="CE272" s="379"/>
      <c r="CF272" s="379"/>
      <c r="CG272" s="379"/>
      <c r="CH272" s="379"/>
      <c r="CI272" s="379"/>
      <c r="CJ272" s="379"/>
      <c r="CK272" s="379"/>
      <c r="CL272" s="379"/>
      <c r="CM272" s="379"/>
      <c r="CN272" s="379"/>
      <c r="CO272" s="379"/>
      <c r="CP272" s="379"/>
      <c r="CQ272" s="379"/>
      <c r="CR272" s="379"/>
    </row>
    <row r="273" spans="1:96" x14ac:dyDescent="0.2">
      <c r="A273" s="80" t="s">
        <v>4945</v>
      </c>
      <c r="B273" s="885" t="s">
        <v>5167</v>
      </c>
      <c r="C273" s="58" t="s">
        <v>5166</v>
      </c>
      <c r="D273" s="58" t="s">
        <v>5166</v>
      </c>
      <c r="E273" s="34">
        <v>1800</v>
      </c>
      <c r="F273" s="34">
        <v>56300</v>
      </c>
      <c r="G273" s="34">
        <v>42000</v>
      </c>
      <c r="V273" s="34">
        <f t="shared" si="774"/>
        <v>1800</v>
      </c>
      <c r="W273" s="46"/>
      <c r="X273" s="46"/>
      <c r="Y273" s="46"/>
      <c r="Z273" s="34">
        <v>35600</v>
      </c>
      <c r="AA273" s="46">
        <f t="shared" si="773"/>
        <v>20700</v>
      </c>
      <c r="AB273" s="46"/>
      <c r="AG273" s="46"/>
      <c r="AL273" s="46"/>
      <c r="AQ273" s="46"/>
      <c r="BA273" s="46"/>
      <c r="BF273" s="46"/>
      <c r="BK273" s="46"/>
      <c r="BP273" s="46"/>
      <c r="BU273" s="46"/>
      <c r="BZ273" s="46"/>
      <c r="CE273" s="379"/>
      <c r="CF273" s="379"/>
      <c r="CG273" s="379"/>
      <c r="CH273" s="379"/>
      <c r="CI273" s="379"/>
      <c r="CJ273" s="379"/>
      <c r="CK273" s="379"/>
      <c r="CL273" s="379"/>
      <c r="CM273" s="379"/>
      <c r="CN273" s="379"/>
      <c r="CO273" s="379"/>
      <c r="CP273" s="379"/>
      <c r="CQ273" s="379"/>
      <c r="CR273" s="379"/>
    </row>
    <row r="274" spans="1:96" x14ac:dyDescent="0.2">
      <c r="A274" s="80" t="s">
        <v>4946</v>
      </c>
      <c r="B274" s="885" t="s">
        <v>5165</v>
      </c>
      <c r="C274" s="58" t="s">
        <v>5164</v>
      </c>
      <c r="D274" s="58" t="s">
        <v>5164</v>
      </c>
      <c r="E274" s="34">
        <v>77400</v>
      </c>
      <c r="F274" s="34">
        <v>39500</v>
      </c>
      <c r="G274" s="34">
        <v>15500</v>
      </c>
      <c r="V274" s="34">
        <f t="shared" si="774"/>
        <v>77400</v>
      </c>
      <c r="W274" s="46"/>
      <c r="X274" s="46"/>
      <c r="Y274" s="46"/>
      <c r="Z274" s="34">
        <v>55000</v>
      </c>
      <c r="AA274" s="46">
        <f t="shared" si="773"/>
        <v>-15500</v>
      </c>
      <c r="AB274" s="46"/>
      <c r="AG274" s="46"/>
      <c r="AL274" s="46"/>
      <c r="AQ274" s="46"/>
      <c r="BA274" s="46"/>
      <c r="BF274" s="46"/>
      <c r="BK274" s="46"/>
      <c r="BP274" s="46"/>
      <c r="BU274" s="46"/>
      <c r="BZ274" s="46"/>
      <c r="CE274" s="379"/>
      <c r="CF274" s="379"/>
      <c r="CG274" s="379"/>
      <c r="CH274" s="379"/>
      <c r="CI274" s="379"/>
      <c r="CJ274" s="379"/>
      <c r="CK274" s="379"/>
      <c r="CL274" s="379"/>
      <c r="CM274" s="379"/>
      <c r="CN274" s="379"/>
      <c r="CO274" s="379"/>
      <c r="CP274" s="379"/>
      <c r="CQ274" s="379"/>
      <c r="CR274" s="379"/>
    </row>
    <row r="275" spans="1:96" x14ac:dyDescent="0.2">
      <c r="A275" s="80" t="s">
        <v>5369</v>
      </c>
      <c r="B275" s="885" t="s">
        <v>6116</v>
      </c>
      <c r="C275" s="58" t="s">
        <v>5368</v>
      </c>
      <c r="D275" s="58"/>
      <c r="E275" s="34">
        <f>10000-800</f>
        <v>9200</v>
      </c>
      <c r="V275" s="34">
        <f t="shared" si="774"/>
        <v>9200</v>
      </c>
      <c r="W275" s="46"/>
      <c r="X275" s="46"/>
      <c r="Y275" s="46"/>
      <c r="AA275" s="46">
        <f t="shared" si="773"/>
        <v>0</v>
      </c>
      <c r="AB275" s="46"/>
      <c r="AG275" s="46"/>
      <c r="AL275" s="46"/>
      <c r="AQ275" s="46"/>
      <c r="BA275" s="46"/>
      <c r="BF275" s="46"/>
      <c r="BK275" s="46"/>
      <c r="BP275" s="46"/>
      <c r="BU275" s="46"/>
      <c r="BZ275" s="46"/>
      <c r="CE275" s="379"/>
      <c r="CF275" s="379"/>
      <c r="CG275" s="379"/>
      <c r="CH275" s="379"/>
      <c r="CI275" s="379"/>
      <c r="CJ275" s="379"/>
      <c r="CK275" s="379"/>
      <c r="CL275" s="379"/>
      <c r="CM275" s="379"/>
      <c r="CN275" s="379"/>
      <c r="CO275" s="379"/>
      <c r="CP275" s="379"/>
      <c r="CQ275" s="379"/>
      <c r="CR275" s="379"/>
    </row>
    <row r="276" spans="1:96" x14ac:dyDescent="0.2">
      <c r="A276" s="80" t="s">
        <v>5370</v>
      </c>
      <c r="B276" s="885" t="s">
        <v>6117</v>
      </c>
      <c r="C276" s="58" t="s">
        <v>5372</v>
      </c>
      <c r="D276" s="58"/>
      <c r="E276" s="34">
        <f>10000-4300</f>
        <v>5700</v>
      </c>
      <c r="V276" s="34">
        <f t="shared" si="774"/>
        <v>5700</v>
      </c>
      <c r="W276" s="46"/>
      <c r="X276" s="46"/>
      <c r="Y276" s="46"/>
      <c r="AA276" s="46">
        <f t="shared" si="773"/>
        <v>0</v>
      </c>
      <c r="AB276" s="46"/>
      <c r="AG276" s="46"/>
      <c r="AL276" s="46"/>
      <c r="AQ276" s="46"/>
      <c r="BA276" s="46"/>
      <c r="BF276" s="46"/>
      <c r="BK276" s="46"/>
      <c r="BP276" s="46"/>
      <c r="BU276" s="46"/>
      <c r="BZ276" s="46"/>
      <c r="CE276" s="379"/>
      <c r="CF276" s="379"/>
      <c r="CG276" s="379"/>
      <c r="CH276" s="379"/>
      <c r="CI276" s="379"/>
      <c r="CJ276" s="379"/>
      <c r="CK276" s="379"/>
      <c r="CL276" s="379"/>
      <c r="CM276" s="379"/>
      <c r="CN276" s="379"/>
      <c r="CO276" s="379"/>
      <c r="CP276" s="379"/>
      <c r="CQ276" s="379"/>
      <c r="CR276" s="379"/>
    </row>
    <row r="277" spans="1:96" x14ac:dyDescent="0.2">
      <c r="A277" s="80" t="s">
        <v>5371</v>
      </c>
      <c r="B277" s="885" t="s">
        <v>6118</v>
      </c>
      <c r="C277" s="58" t="s">
        <v>5373</v>
      </c>
      <c r="D277" s="58"/>
      <c r="E277" s="34">
        <f>10000-3100</f>
        <v>6900</v>
      </c>
      <c r="V277" s="34">
        <f t="shared" si="774"/>
        <v>6900</v>
      </c>
      <c r="W277" s="46"/>
      <c r="X277" s="46"/>
      <c r="Y277" s="46"/>
      <c r="AA277" s="46">
        <f t="shared" si="773"/>
        <v>0</v>
      </c>
      <c r="AB277" s="46"/>
      <c r="AG277" s="46"/>
      <c r="AL277" s="46"/>
      <c r="AQ277" s="46"/>
      <c r="BA277" s="46"/>
      <c r="BF277" s="46"/>
      <c r="BK277" s="46"/>
      <c r="BP277" s="46"/>
      <c r="BU277" s="46"/>
      <c r="BZ277" s="46"/>
      <c r="CE277" s="379"/>
      <c r="CF277" s="379"/>
      <c r="CG277" s="379"/>
      <c r="CH277" s="379"/>
      <c r="CI277" s="379"/>
      <c r="CJ277" s="379"/>
      <c r="CK277" s="379"/>
      <c r="CL277" s="379"/>
      <c r="CM277" s="379"/>
      <c r="CN277" s="379"/>
      <c r="CO277" s="379"/>
      <c r="CP277" s="379"/>
      <c r="CQ277" s="379"/>
      <c r="CR277" s="379"/>
    </row>
    <row r="278" spans="1:96" x14ac:dyDescent="0.2">
      <c r="A278" s="80" t="s">
        <v>5421</v>
      </c>
      <c r="B278" s="885" t="s">
        <v>5425</v>
      </c>
      <c r="C278" s="58" t="s">
        <v>4959</v>
      </c>
      <c r="D278" s="58"/>
      <c r="E278" s="34">
        <v>69000</v>
      </c>
      <c r="U278" s="34">
        <v>69000</v>
      </c>
      <c r="V278" s="34">
        <v>0</v>
      </c>
      <c r="W278" s="46"/>
      <c r="X278" s="46"/>
      <c r="Y278" s="46"/>
      <c r="AA278" s="46">
        <f t="shared" si="773"/>
        <v>0</v>
      </c>
      <c r="AB278" s="46"/>
      <c r="AG278" s="46"/>
      <c r="AL278" s="46"/>
      <c r="AQ278" s="46"/>
      <c r="BA278" s="46"/>
      <c r="BF278" s="46"/>
      <c r="BK278" s="46"/>
      <c r="BP278" s="46"/>
      <c r="BU278" s="46"/>
      <c r="BZ278" s="46"/>
      <c r="CE278" s="379"/>
      <c r="CF278" s="379"/>
      <c r="CG278" s="379"/>
      <c r="CH278" s="379"/>
      <c r="CI278" s="379"/>
      <c r="CJ278" s="379"/>
      <c r="CK278" s="379"/>
      <c r="CL278" s="379"/>
      <c r="CM278" s="379"/>
      <c r="CN278" s="379"/>
      <c r="CO278" s="379"/>
      <c r="CP278" s="379"/>
      <c r="CQ278" s="379"/>
      <c r="CR278" s="379"/>
    </row>
    <row r="279" spans="1:96" x14ac:dyDescent="0.2">
      <c r="A279" s="80" t="s">
        <v>5421</v>
      </c>
      <c r="B279" s="885" t="s">
        <v>5425</v>
      </c>
      <c r="C279" s="58" t="s">
        <v>4959</v>
      </c>
      <c r="D279" s="58"/>
      <c r="E279" s="34">
        <v>-69000</v>
      </c>
      <c r="V279" s="34">
        <f>E279</f>
        <v>-69000</v>
      </c>
      <c r="W279" s="46"/>
      <c r="X279" s="46"/>
      <c r="Y279" s="46"/>
      <c r="AA279" s="46">
        <f t="shared" si="773"/>
        <v>0</v>
      </c>
      <c r="AB279" s="46"/>
      <c r="AG279" s="46"/>
      <c r="AL279" s="46"/>
      <c r="AQ279" s="46"/>
      <c r="BA279" s="46"/>
      <c r="BF279" s="46"/>
      <c r="BK279" s="46"/>
      <c r="BP279" s="46"/>
      <c r="BU279" s="46"/>
      <c r="BZ279" s="46"/>
      <c r="CE279" s="379"/>
      <c r="CF279" s="379"/>
      <c r="CG279" s="379"/>
      <c r="CH279" s="379"/>
      <c r="CI279" s="379"/>
      <c r="CJ279" s="379"/>
      <c r="CK279" s="379"/>
      <c r="CL279" s="379"/>
      <c r="CM279" s="379"/>
      <c r="CN279" s="379"/>
      <c r="CO279" s="379"/>
      <c r="CP279" s="379"/>
      <c r="CQ279" s="379"/>
      <c r="CR279" s="379"/>
    </row>
    <row r="280" spans="1:96" x14ac:dyDescent="0.2">
      <c r="A280" s="80" t="s">
        <v>5457</v>
      </c>
      <c r="B280" s="885" t="s">
        <v>5459</v>
      </c>
      <c r="C280" s="58" t="s">
        <v>5458</v>
      </c>
      <c r="D280" s="58"/>
      <c r="E280" s="34">
        <v>32800</v>
      </c>
      <c r="V280" s="34">
        <f>E280</f>
        <v>32800</v>
      </c>
      <c r="W280" s="46"/>
      <c r="X280" s="46"/>
      <c r="Y280" s="46"/>
      <c r="AA280" s="46">
        <f t="shared" si="773"/>
        <v>0</v>
      </c>
      <c r="AB280" s="46"/>
      <c r="AG280" s="46"/>
      <c r="AL280" s="46"/>
      <c r="AQ280" s="46"/>
      <c r="BA280" s="46"/>
      <c r="BF280" s="46"/>
      <c r="BK280" s="46"/>
      <c r="BP280" s="46"/>
      <c r="BU280" s="46"/>
      <c r="BZ280" s="46"/>
      <c r="CE280" s="379"/>
      <c r="CF280" s="379"/>
      <c r="CG280" s="379"/>
      <c r="CH280" s="379"/>
      <c r="CI280" s="379"/>
      <c r="CJ280" s="379"/>
      <c r="CK280" s="379"/>
      <c r="CL280" s="379"/>
      <c r="CM280" s="379"/>
      <c r="CN280" s="379"/>
      <c r="CO280" s="379"/>
      <c r="CP280" s="379"/>
      <c r="CQ280" s="379"/>
      <c r="CR280" s="379"/>
    </row>
    <row r="281" spans="1:96" x14ac:dyDescent="0.2">
      <c r="A281" s="80" t="s">
        <v>5461</v>
      </c>
      <c r="B281" s="885" t="s">
        <v>5462</v>
      </c>
      <c r="C281" s="58" t="s">
        <v>5460</v>
      </c>
      <c r="D281" s="58"/>
      <c r="E281" s="34">
        <v>5700</v>
      </c>
      <c r="V281" s="34">
        <f>E281</f>
        <v>5700</v>
      </c>
      <c r="W281" s="46"/>
      <c r="X281" s="46"/>
      <c r="Y281" s="46"/>
      <c r="AA281" s="46">
        <f t="shared" si="773"/>
        <v>0</v>
      </c>
      <c r="AB281" s="46"/>
      <c r="AG281" s="46"/>
      <c r="AL281" s="46"/>
      <c r="AQ281" s="46"/>
      <c r="BA281" s="46"/>
      <c r="BF281" s="46"/>
      <c r="BK281" s="46"/>
      <c r="BP281" s="46"/>
      <c r="BU281" s="46"/>
      <c r="BZ281" s="46"/>
      <c r="CE281" s="379"/>
      <c r="CF281" s="379"/>
      <c r="CG281" s="379"/>
      <c r="CH281" s="379"/>
      <c r="CI281" s="379"/>
      <c r="CJ281" s="379"/>
      <c r="CK281" s="379"/>
      <c r="CL281" s="379"/>
      <c r="CM281" s="379"/>
      <c r="CN281" s="379"/>
      <c r="CO281" s="379"/>
      <c r="CP281" s="379"/>
      <c r="CQ281" s="379"/>
      <c r="CR281" s="379"/>
    </row>
    <row r="282" spans="1:96" x14ac:dyDescent="0.2">
      <c r="A282" s="80" t="s">
        <v>5522</v>
      </c>
      <c r="B282" s="885" t="s">
        <v>2633</v>
      </c>
      <c r="C282" s="58"/>
      <c r="D282" s="58"/>
      <c r="E282" s="34">
        <v>10700</v>
      </c>
      <c r="V282" s="34">
        <f>E282</f>
        <v>10700</v>
      </c>
      <c r="W282" s="46"/>
      <c r="X282" s="46"/>
      <c r="Y282" s="46"/>
      <c r="AA282" s="46">
        <f t="shared" si="773"/>
        <v>0</v>
      </c>
      <c r="AB282" s="46"/>
      <c r="AG282" s="46"/>
      <c r="AL282" s="46"/>
      <c r="AQ282" s="46"/>
      <c r="BA282" s="46"/>
      <c r="BF282" s="46"/>
      <c r="BK282" s="46"/>
      <c r="BP282" s="46"/>
      <c r="BU282" s="46"/>
      <c r="BZ282" s="46"/>
      <c r="CE282" s="379"/>
      <c r="CF282" s="379"/>
      <c r="CG282" s="379"/>
      <c r="CH282" s="379"/>
      <c r="CI282" s="379"/>
      <c r="CJ282" s="379"/>
      <c r="CK282" s="379"/>
      <c r="CL282" s="379"/>
      <c r="CM282" s="379"/>
      <c r="CN282" s="379"/>
      <c r="CO282" s="379"/>
      <c r="CP282" s="379"/>
      <c r="CQ282" s="379"/>
      <c r="CR282" s="379"/>
    </row>
    <row r="283" spans="1:96" x14ac:dyDescent="0.2">
      <c r="A283" s="80" t="s">
        <v>6969</v>
      </c>
      <c r="B283" s="885" t="s">
        <v>7190</v>
      </c>
      <c r="C283" s="58" t="s">
        <v>7191</v>
      </c>
      <c r="D283" s="58" t="s">
        <v>7191</v>
      </c>
      <c r="G283" s="34">
        <f>78000+22000</f>
        <v>100000</v>
      </c>
      <c r="V283" s="34"/>
      <c r="W283" s="46"/>
      <c r="X283" s="46"/>
      <c r="Y283" s="46"/>
      <c r="AB283" s="46"/>
      <c r="AG283" s="46"/>
      <c r="AL283" s="46"/>
      <c r="AQ283" s="46"/>
      <c r="BA283" s="46"/>
      <c r="BF283" s="46"/>
      <c r="BK283" s="46"/>
      <c r="BP283" s="46"/>
      <c r="BU283" s="46"/>
      <c r="BZ283" s="46"/>
      <c r="CE283" s="379"/>
      <c r="CF283" s="379"/>
      <c r="CG283" s="379"/>
      <c r="CH283" s="379"/>
      <c r="CI283" s="379"/>
      <c r="CJ283" s="379"/>
      <c r="CK283" s="379"/>
      <c r="CL283" s="379"/>
      <c r="CM283" s="379"/>
      <c r="CN283" s="379"/>
      <c r="CO283" s="379"/>
      <c r="CP283" s="379"/>
      <c r="CQ283" s="379"/>
      <c r="CR283" s="379"/>
    </row>
    <row r="284" spans="1:96" x14ac:dyDescent="0.2">
      <c r="A284" s="80" t="s">
        <v>11847</v>
      </c>
      <c r="B284" s="885" t="s">
        <v>11848</v>
      </c>
      <c r="C284" s="58" t="s">
        <v>11849</v>
      </c>
      <c r="D284" s="58" t="s">
        <v>11849</v>
      </c>
      <c r="G284" s="34">
        <v>4000</v>
      </c>
      <c r="V284" s="34"/>
      <c r="W284" s="46"/>
      <c r="X284" s="46"/>
      <c r="Y284" s="46"/>
      <c r="AB284" s="46"/>
      <c r="AG284" s="46"/>
      <c r="AL284" s="46"/>
      <c r="AQ284" s="46"/>
      <c r="BA284" s="46"/>
      <c r="BF284" s="46"/>
      <c r="BK284" s="46"/>
      <c r="BP284" s="46"/>
      <c r="BU284" s="46"/>
      <c r="BZ284" s="46"/>
      <c r="CE284" s="379"/>
      <c r="CF284" s="379"/>
      <c r="CG284" s="379"/>
      <c r="CH284" s="379"/>
      <c r="CI284" s="379"/>
      <c r="CJ284" s="379"/>
      <c r="CK284" s="379"/>
      <c r="CL284" s="379"/>
      <c r="CM284" s="379"/>
      <c r="CN284" s="379"/>
      <c r="CO284" s="379"/>
      <c r="CP284" s="379"/>
      <c r="CQ284" s="379"/>
      <c r="CR284" s="379"/>
    </row>
    <row r="285" spans="1:96" x14ac:dyDescent="0.2">
      <c r="A285" s="80" t="s">
        <v>6970</v>
      </c>
      <c r="B285" s="885" t="s">
        <v>7110</v>
      </c>
      <c r="C285" s="58" t="s">
        <v>7111</v>
      </c>
      <c r="D285" s="58" t="s">
        <v>7111</v>
      </c>
      <c r="G285" s="34">
        <f>21000-21000</f>
        <v>0</v>
      </c>
      <c r="V285" s="34"/>
      <c r="W285" s="46"/>
      <c r="X285" s="46"/>
      <c r="Y285" s="46"/>
      <c r="AB285" s="46"/>
      <c r="AG285" s="46"/>
      <c r="AL285" s="46"/>
      <c r="AQ285" s="46"/>
      <c r="BA285" s="46"/>
      <c r="BF285" s="46"/>
      <c r="BK285" s="46"/>
      <c r="BP285" s="46"/>
      <c r="BU285" s="46"/>
      <c r="BZ285" s="46"/>
      <c r="CE285" s="379"/>
      <c r="CF285" s="379"/>
      <c r="CG285" s="379"/>
      <c r="CH285" s="379"/>
      <c r="CI285" s="379"/>
      <c r="CJ285" s="379"/>
      <c r="CK285" s="379"/>
      <c r="CL285" s="379"/>
      <c r="CM285" s="379"/>
      <c r="CN285" s="379"/>
      <c r="CO285" s="379"/>
      <c r="CP285" s="379"/>
      <c r="CQ285" s="379"/>
      <c r="CR285" s="379"/>
    </row>
    <row r="286" spans="1:96" x14ac:dyDescent="0.2">
      <c r="A286" s="80"/>
      <c r="B286" s="885"/>
      <c r="C286" s="58"/>
      <c r="D286" s="58"/>
      <c r="V286" s="34"/>
      <c r="W286" s="46"/>
      <c r="X286" s="46"/>
      <c r="Y286" s="46"/>
      <c r="AB286" s="46"/>
      <c r="AG286" s="46"/>
      <c r="AL286" s="46"/>
      <c r="AQ286" s="46"/>
      <c r="BA286" s="46"/>
      <c r="BF286" s="46"/>
      <c r="BK286" s="46"/>
      <c r="BP286" s="46"/>
      <c r="BU286" s="46"/>
      <c r="BZ286" s="46"/>
      <c r="CE286" s="379"/>
      <c r="CF286" s="379"/>
      <c r="CG286" s="379"/>
      <c r="CH286" s="379"/>
      <c r="CI286" s="379"/>
      <c r="CJ286" s="379"/>
      <c r="CK286" s="379"/>
      <c r="CL286" s="379"/>
      <c r="CM286" s="379"/>
      <c r="CN286" s="379"/>
      <c r="CO286" s="379"/>
      <c r="CP286" s="379"/>
      <c r="CQ286" s="379"/>
      <c r="CR286" s="379"/>
    </row>
    <row r="287" spans="1:96" s="65" customFormat="1" x14ac:dyDescent="0.2">
      <c r="A287" s="65" t="s">
        <v>2615</v>
      </c>
      <c r="B287" s="890"/>
      <c r="C287" s="56"/>
      <c r="D287" s="56"/>
      <c r="E287" s="1397">
        <f>SUM(E241:E282)</f>
        <v>302700</v>
      </c>
      <c r="F287" s="1397">
        <f>SUM(F241:F282)</f>
        <v>255300</v>
      </c>
      <c r="G287" s="1397">
        <f>SUM(G241:G285)</f>
        <v>354200</v>
      </c>
      <c r="R287" s="1397">
        <f>SUM(R241:R279)</f>
        <v>0</v>
      </c>
      <c r="S287" s="1397">
        <f>SUM(S241:S279)</f>
        <v>0</v>
      </c>
      <c r="T287" s="1397">
        <f>SUM(T241:T279)</f>
        <v>0</v>
      </c>
      <c r="U287" s="1397">
        <f>SUM(U241:U279)</f>
        <v>135800</v>
      </c>
      <c r="V287" s="1397">
        <f>SUM(V241:V282)</f>
        <v>166900</v>
      </c>
      <c r="W287" s="1397">
        <v>0</v>
      </c>
      <c r="X287" s="1397">
        <f>SUM(X241:X282)</f>
        <v>0</v>
      </c>
      <c r="Y287" s="1397">
        <f>SUM(Y241:Y282)</f>
        <v>0</v>
      </c>
      <c r="Z287" s="1397">
        <f>SUM(Z241:Z282)</f>
        <v>221800</v>
      </c>
      <c r="AA287" s="1397">
        <f>SUM(AA241:AA282)</f>
        <v>33500</v>
      </c>
      <c r="AB287" s="92"/>
      <c r="AF287" s="92"/>
      <c r="AG287" s="92"/>
      <c r="AK287" s="92"/>
      <c r="AL287" s="92"/>
      <c r="AP287" s="92"/>
      <c r="AQ287" s="92"/>
      <c r="AU287" s="92"/>
      <c r="AV287" s="92"/>
      <c r="AZ287" s="92"/>
      <c r="BA287" s="92"/>
      <c r="BE287" s="92"/>
      <c r="BF287" s="92"/>
      <c r="BJ287" s="92"/>
      <c r="BK287" s="92"/>
      <c r="BO287" s="92"/>
      <c r="BP287" s="92"/>
      <c r="BT287" s="92"/>
      <c r="BU287" s="92"/>
      <c r="BY287" s="92"/>
      <c r="BZ287" s="92"/>
      <c r="CD287" s="92"/>
      <c r="CE287" s="901"/>
      <c r="CF287" s="901"/>
      <c r="CG287" s="901"/>
      <c r="CH287" s="901"/>
      <c r="CI287" s="901"/>
      <c r="CJ287" s="901"/>
      <c r="CK287" s="901"/>
      <c r="CL287" s="901"/>
      <c r="CM287" s="901"/>
      <c r="CN287" s="901"/>
      <c r="CO287" s="901"/>
      <c r="CP287" s="901"/>
      <c r="CQ287" s="901"/>
      <c r="CR287" s="901"/>
    </row>
    <row r="288" spans="1:96" s="65" customFormat="1" x14ac:dyDescent="0.2">
      <c r="A288" s="65" t="s">
        <v>88</v>
      </c>
      <c r="B288" s="890"/>
      <c r="C288" s="56"/>
      <c r="D288" s="56"/>
      <c r="E288" s="65">
        <f>E113+E115-E287</f>
        <v>0</v>
      </c>
      <c r="F288" s="65">
        <f>F113+F115-F287</f>
        <v>0</v>
      </c>
      <c r="G288" s="65">
        <f>G113+G115-G287</f>
        <v>0</v>
      </c>
      <c r="R288" s="65">
        <f>R115+R113-R287</f>
        <v>0</v>
      </c>
      <c r="S288" s="65">
        <f>S115+S113-S287</f>
        <v>0</v>
      </c>
      <c r="T288" s="65">
        <f>T115+T113-T287</f>
        <v>0</v>
      </c>
      <c r="U288" s="65">
        <f>U115+U113-U287</f>
        <v>85600</v>
      </c>
      <c r="V288" s="65">
        <f>V115+V113-V287</f>
        <v>-85600</v>
      </c>
      <c r="W288" s="65">
        <v>0</v>
      </c>
      <c r="X288" s="65">
        <f>X115+X113-X287</f>
        <v>0</v>
      </c>
      <c r="Y288" s="65">
        <f>Y115+Y113-Y287</f>
        <v>0</v>
      </c>
      <c r="Z288" s="65">
        <f>Z115+Z113-Z287</f>
        <v>0</v>
      </c>
      <c r="AA288" s="65">
        <f>AA115+AA113-AA287</f>
        <v>0</v>
      </c>
      <c r="AB288" s="92"/>
      <c r="AF288" s="92"/>
      <c r="AG288" s="92"/>
      <c r="AK288" s="92"/>
      <c r="AL288" s="92"/>
      <c r="AP288" s="92"/>
      <c r="AQ288" s="92"/>
      <c r="AU288" s="92"/>
      <c r="AV288" s="92"/>
      <c r="AZ288" s="92"/>
      <c r="BA288" s="92"/>
      <c r="BE288" s="92"/>
      <c r="BF288" s="92"/>
      <c r="BJ288" s="92"/>
      <c r="BK288" s="92"/>
      <c r="BO288" s="92"/>
      <c r="BP288" s="92"/>
      <c r="BT288" s="92"/>
      <c r="BU288" s="92"/>
      <c r="BY288" s="92"/>
      <c r="BZ288" s="92"/>
      <c r="CD288" s="92"/>
      <c r="CE288" s="901"/>
      <c r="CF288" s="901"/>
      <c r="CG288" s="901"/>
      <c r="CH288" s="901"/>
      <c r="CI288" s="901"/>
      <c r="CJ288" s="901"/>
      <c r="CK288" s="901"/>
      <c r="CL288" s="901"/>
      <c r="CM288" s="901"/>
      <c r="CN288" s="901"/>
      <c r="CO288" s="901"/>
      <c r="CP288" s="901"/>
      <c r="CQ288" s="901"/>
      <c r="CR288" s="901"/>
    </row>
    <row r="289" spans="1:96" x14ac:dyDescent="0.2">
      <c r="B289" s="144"/>
      <c r="C289" s="55"/>
      <c r="D289" s="55"/>
      <c r="R289" s="46"/>
      <c r="W289" s="46"/>
      <c r="X289" s="46"/>
      <c r="Y289" s="46"/>
      <c r="AB289" s="46"/>
      <c r="AG289" s="46"/>
      <c r="AL289" s="46"/>
      <c r="AQ289" s="46"/>
      <c r="BA289" s="46"/>
      <c r="BF289" s="46"/>
      <c r="BK289" s="46"/>
      <c r="BP289" s="46"/>
      <c r="BU289" s="46"/>
      <c r="BZ289" s="46"/>
      <c r="CE289" s="379"/>
      <c r="CF289" s="379"/>
      <c r="CG289" s="379"/>
      <c r="CH289" s="379"/>
      <c r="CI289" s="379"/>
      <c r="CJ289" s="379"/>
      <c r="CK289" s="379"/>
      <c r="CL289" s="379"/>
      <c r="CM289" s="379"/>
      <c r="CN289" s="379"/>
      <c r="CO289" s="379"/>
      <c r="CP289" s="379"/>
      <c r="CQ289" s="379"/>
      <c r="CR289" s="379"/>
    </row>
    <row r="290" spans="1:96" x14ac:dyDescent="0.2">
      <c r="A290" s="784" t="s">
        <v>2098</v>
      </c>
      <c r="B290" s="144"/>
      <c r="C290" s="55"/>
      <c r="D290" s="55"/>
      <c r="R290" s="46"/>
      <c r="W290" s="46"/>
      <c r="X290" s="46"/>
      <c r="Y290" s="46"/>
      <c r="AB290" s="46"/>
      <c r="AG290" s="46"/>
      <c r="AL290" s="46"/>
      <c r="AQ290" s="46"/>
      <c r="BA290" s="46"/>
      <c r="BF290" s="46"/>
      <c r="BK290" s="46"/>
      <c r="BP290" s="46"/>
      <c r="BU290" s="46"/>
      <c r="BZ290" s="46"/>
      <c r="CE290" s="379"/>
      <c r="CF290" s="379"/>
      <c r="CG290" s="379"/>
      <c r="CH290" s="379"/>
      <c r="CI290" s="379"/>
      <c r="CJ290" s="379"/>
      <c r="CK290" s="379"/>
      <c r="CL290" s="379"/>
      <c r="CM290" s="379"/>
      <c r="CN290" s="379"/>
      <c r="CO290" s="379"/>
      <c r="CP290" s="379"/>
      <c r="CQ290" s="379"/>
      <c r="CR290" s="379"/>
    </row>
    <row r="291" spans="1:96" x14ac:dyDescent="0.2">
      <c r="A291" s="395" t="s">
        <v>813</v>
      </c>
      <c r="B291" s="144"/>
      <c r="C291" s="55"/>
      <c r="D291" s="55"/>
      <c r="R291" s="46"/>
      <c r="W291" s="46"/>
      <c r="X291" s="46"/>
      <c r="Y291" s="46"/>
      <c r="AB291" s="46"/>
      <c r="AG291" s="46"/>
      <c r="AL291" s="46"/>
      <c r="AQ291" s="46"/>
      <c r="BA291" s="46"/>
      <c r="BF291" s="46"/>
      <c r="BK291" s="46"/>
      <c r="BP291" s="46"/>
      <c r="BU291" s="46"/>
      <c r="BZ291" s="46"/>
      <c r="CE291" s="379"/>
      <c r="CF291" s="379"/>
      <c r="CG291" s="379"/>
      <c r="CH291" s="379"/>
      <c r="CI291" s="379"/>
      <c r="CJ291" s="379"/>
      <c r="CK291" s="379"/>
      <c r="CL291" s="379"/>
      <c r="CM291" s="379"/>
      <c r="CN291" s="379"/>
      <c r="CO291" s="379"/>
      <c r="CP291" s="379"/>
      <c r="CQ291" s="379"/>
      <c r="CR291" s="379"/>
    </row>
    <row r="292" spans="1:96" x14ac:dyDescent="0.2">
      <c r="A292" s="80" t="s">
        <v>3565</v>
      </c>
      <c r="B292" s="1636" t="s">
        <v>3566</v>
      </c>
      <c r="C292" s="1349" t="s">
        <v>4959</v>
      </c>
      <c r="D292" s="1637" t="s">
        <v>3566</v>
      </c>
      <c r="E292" s="34">
        <f>171000+174000-345000</f>
        <v>0</v>
      </c>
      <c r="F292" s="80"/>
      <c r="R292" s="34">
        <f>E292</f>
        <v>0</v>
      </c>
      <c r="V292" s="34">
        <f t="shared" ref="V292:V295" si="775">E292-SUM(R292:U292)</f>
        <v>0</v>
      </c>
      <c r="W292" s="46">
        <v>174700</v>
      </c>
      <c r="X292" s="46"/>
      <c r="Y292" s="46"/>
      <c r="AA292" s="46">
        <f>F292-W292-X292-Y292-Z292</f>
        <v>-174700</v>
      </c>
      <c r="AB292" s="46"/>
      <c r="AG292" s="46"/>
      <c r="AL292" s="46"/>
      <c r="AQ292" s="46"/>
      <c r="BA292" s="46"/>
      <c r="BF292" s="46"/>
      <c r="BK292" s="46"/>
      <c r="BP292" s="46"/>
      <c r="BU292" s="46"/>
      <c r="BZ292" s="46"/>
      <c r="CE292" s="379"/>
      <c r="CF292" s="379"/>
      <c r="CG292" s="379"/>
      <c r="CH292" s="379"/>
      <c r="CI292" s="379"/>
      <c r="CJ292" s="379"/>
      <c r="CK292" s="379"/>
      <c r="CL292" s="379"/>
      <c r="CM292" s="379"/>
      <c r="CN292" s="379"/>
      <c r="CO292" s="379"/>
      <c r="CP292" s="379"/>
      <c r="CQ292" s="379"/>
      <c r="CR292" s="379"/>
    </row>
    <row r="293" spans="1:96" x14ac:dyDescent="0.2">
      <c r="A293" s="80" t="s">
        <v>5053</v>
      </c>
      <c r="B293" s="1381" t="s">
        <v>5054</v>
      </c>
      <c r="C293" s="1349" t="s">
        <v>5055</v>
      </c>
      <c r="D293" s="1349" t="s">
        <v>5055</v>
      </c>
      <c r="E293" s="34">
        <v>845500</v>
      </c>
      <c r="F293" s="80">
        <v>784800</v>
      </c>
      <c r="R293" s="34">
        <f>1004000-204000</f>
        <v>800000</v>
      </c>
      <c r="V293" s="34">
        <f t="shared" si="775"/>
        <v>45500</v>
      </c>
      <c r="W293" s="46">
        <v>1000000</v>
      </c>
      <c r="X293" s="46"/>
      <c r="Y293" s="46"/>
      <c r="AA293" s="46">
        <f>F293-W293-X293-Y293-Z293</f>
        <v>-215200</v>
      </c>
      <c r="AB293" s="46"/>
      <c r="AG293" s="46"/>
      <c r="AL293" s="46"/>
      <c r="AQ293" s="46"/>
      <c r="BA293" s="46"/>
      <c r="BF293" s="46"/>
      <c r="BK293" s="46"/>
      <c r="BP293" s="46"/>
      <c r="BU293" s="46"/>
      <c r="BZ293" s="46"/>
      <c r="CE293" s="379"/>
      <c r="CF293" s="379"/>
      <c r="CG293" s="379"/>
      <c r="CH293" s="379"/>
      <c r="CI293" s="379"/>
      <c r="CJ293" s="379"/>
      <c r="CK293" s="379"/>
      <c r="CL293" s="379"/>
      <c r="CM293" s="379"/>
      <c r="CN293" s="379"/>
      <c r="CO293" s="379"/>
      <c r="CP293" s="379"/>
      <c r="CQ293" s="379"/>
      <c r="CR293" s="379"/>
    </row>
    <row r="294" spans="1:96" x14ac:dyDescent="0.2">
      <c r="A294" s="80" t="s">
        <v>6634</v>
      </c>
      <c r="B294" s="1381" t="s">
        <v>5054</v>
      </c>
      <c r="C294" s="1349" t="s">
        <v>6635</v>
      </c>
      <c r="D294" s="1349"/>
      <c r="E294" s="34">
        <v>156100</v>
      </c>
      <c r="F294" s="80"/>
      <c r="G294" s="34">
        <v>27000</v>
      </c>
      <c r="V294" s="34">
        <f t="shared" si="775"/>
        <v>156100</v>
      </c>
      <c r="W294" s="46"/>
      <c r="X294" s="46"/>
      <c r="Y294" s="46"/>
      <c r="AB294" s="46"/>
      <c r="AG294" s="46"/>
      <c r="AL294" s="46"/>
      <c r="AQ294" s="46"/>
      <c r="BA294" s="46"/>
      <c r="BF294" s="46"/>
      <c r="BK294" s="46"/>
      <c r="BP294" s="46"/>
      <c r="BU294" s="46"/>
      <c r="BZ294" s="46"/>
      <c r="CE294" s="379"/>
      <c r="CF294" s="379"/>
      <c r="CG294" s="379"/>
      <c r="CH294" s="379"/>
      <c r="CI294" s="379"/>
      <c r="CJ294" s="379"/>
      <c r="CK294" s="379"/>
      <c r="CL294" s="379"/>
      <c r="CM294" s="379"/>
      <c r="CN294" s="379"/>
      <c r="CO294" s="379"/>
      <c r="CP294" s="379"/>
      <c r="CQ294" s="379"/>
      <c r="CR294" s="379"/>
    </row>
    <row r="295" spans="1:96" x14ac:dyDescent="0.2">
      <c r="A295" s="80" t="s">
        <v>3211</v>
      </c>
      <c r="B295" s="1381" t="s">
        <v>3212</v>
      </c>
      <c r="C295" s="1349" t="s">
        <v>4959</v>
      </c>
      <c r="D295" s="1349" t="s">
        <v>3212</v>
      </c>
      <c r="E295" s="34">
        <f>E127</f>
        <v>44700</v>
      </c>
      <c r="U295" s="34">
        <f>U127</f>
        <v>44700</v>
      </c>
      <c r="V295" s="34">
        <f t="shared" si="775"/>
        <v>0</v>
      </c>
      <c r="W295" s="46"/>
      <c r="X295" s="46"/>
      <c r="Y295" s="46"/>
      <c r="Z295" s="34">
        <v>20000</v>
      </c>
      <c r="AA295" s="46">
        <f t="shared" ref="AA295:AA338" si="776">F295-W295-X295-Y295-Z295</f>
        <v>-20000</v>
      </c>
      <c r="AB295" s="46"/>
      <c r="AG295" s="46"/>
      <c r="AL295" s="46"/>
      <c r="AQ295" s="46"/>
      <c r="BA295" s="46"/>
      <c r="BF295" s="46"/>
      <c r="BK295" s="46"/>
      <c r="BP295" s="46"/>
      <c r="BU295" s="46"/>
      <c r="BZ295" s="46"/>
      <c r="CE295" s="379"/>
      <c r="CF295" s="379"/>
      <c r="CG295" s="379"/>
      <c r="CH295" s="379"/>
      <c r="CI295" s="379"/>
      <c r="CJ295" s="379"/>
      <c r="CK295" s="379"/>
      <c r="CL295" s="379"/>
      <c r="CM295" s="379"/>
      <c r="CN295" s="379"/>
      <c r="CO295" s="379"/>
      <c r="CP295" s="379"/>
      <c r="CQ295" s="379"/>
      <c r="CR295" s="379"/>
    </row>
    <row r="296" spans="1:96" x14ac:dyDescent="0.2">
      <c r="A296" s="80" t="s">
        <v>3214</v>
      </c>
      <c r="B296" s="1381" t="s">
        <v>6313</v>
      </c>
      <c r="C296" s="1349" t="s">
        <v>6312</v>
      </c>
      <c r="D296" s="1349" t="s">
        <v>6312</v>
      </c>
      <c r="F296" s="34">
        <v>70700</v>
      </c>
      <c r="G296" s="34">
        <v>200000</v>
      </c>
      <c r="V296" s="34"/>
      <c r="W296" s="46"/>
      <c r="X296" s="46"/>
      <c r="Y296" s="46"/>
      <c r="Z296" s="34">
        <f>633000-573000</f>
        <v>60000</v>
      </c>
      <c r="AA296" s="46">
        <f t="shared" si="776"/>
        <v>10700</v>
      </c>
      <c r="AB296" s="46"/>
      <c r="AG296" s="46"/>
      <c r="AL296" s="46"/>
      <c r="AQ296" s="46"/>
      <c r="BA296" s="46"/>
      <c r="BF296" s="46"/>
      <c r="BK296" s="46"/>
      <c r="BP296" s="46"/>
      <c r="BU296" s="46"/>
      <c r="BZ296" s="46"/>
      <c r="CE296" s="379"/>
      <c r="CF296" s="379"/>
      <c r="CG296" s="379"/>
      <c r="CH296" s="379"/>
      <c r="CI296" s="379"/>
      <c r="CJ296" s="379"/>
      <c r="CK296" s="379"/>
      <c r="CL296" s="379"/>
      <c r="CM296" s="379"/>
      <c r="CN296" s="379"/>
      <c r="CO296" s="379"/>
      <c r="CP296" s="379"/>
      <c r="CQ296" s="379"/>
      <c r="CR296" s="379"/>
    </row>
    <row r="297" spans="1:96" x14ac:dyDescent="0.2">
      <c r="A297" s="80" t="s">
        <v>6122</v>
      </c>
      <c r="B297" s="885" t="s">
        <v>6158</v>
      </c>
      <c r="C297" s="1349" t="s">
        <v>6163</v>
      </c>
      <c r="D297" s="1349" t="s">
        <v>6163</v>
      </c>
      <c r="G297" s="34">
        <v>74100</v>
      </c>
      <c r="V297" s="34">
        <f t="shared" ref="V297:V299" si="777">E297-SUM(R297:U297)</f>
        <v>0</v>
      </c>
      <c r="W297" s="46"/>
      <c r="X297" s="46"/>
      <c r="Y297" s="46"/>
      <c r="AA297" s="46">
        <f t="shared" si="776"/>
        <v>0</v>
      </c>
      <c r="AB297" s="46"/>
      <c r="AG297" s="46"/>
      <c r="AL297" s="46"/>
      <c r="AQ297" s="46"/>
      <c r="BA297" s="46"/>
      <c r="BF297" s="46"/>
      <c r="BK297" s="46"/>
      <c r="BP297" s="46"/>
      <c r="BU297" s="46"/>
      <c r="BZ297" s="46"/>
      <c r="CE297" s="379"/>
      <c r="CF297" s="379"/>
      <c r="CG297" s="379"/>
      <c r="CH297" s="379"/>
      <c r="CI297" s="379"/>
      <c r="CJ297" s="379"/>
      <c r="CK297" s="379"/>
      <c r="CL297" s="379"/>
      <c r="CM297" s="379"/>
      <c r="CN297" s="379"/>
      <c r="CO297" s="379"/>
      <c r="CP297" s="379"/>
      <c r="CQ297" s="379"/>
      <c r="CR297" s="379"/>
    </row>
    <row r="298" spans="1:96" x14ac:dyDescent="0.2">
      <c r="A298" s="80" t="s">
        <v>6123</v>
      </c>
      <c r="B298" s="885" t="s">
        <v>6633</v>
      </c>
      <c r="C298" s="1349" t="s">
        <v>6465</v>
      </c>
      <c r="D298" s="1349" t="s">
        <v>6465</v>
      </c>
      <c r="E298" s="34">
        <v>86600</v>
      </c>
      <c r="F298" s="34">
        <v>67100</v>
      </c>
      <c r="V298" s="34">
        <f t="shared" si="777"/>
        <v>86600</v>
      </c>
      <c r="W298" s="46"/>
      <c r="X298" s="46"/>
      <c r="Y298" s="46"/>
      <c r="AA298" s="46">
        <f t="shared" si="776"/>
        <v>67100</v>
      </c>
      <c r="AB298" s="46"/>
      <c r="AG298" s="46"/>
      <c r="AL298" s="46"/>
      <c r="AQ298" s="46"/>
      <c r="BA298" s="46"/>
      <c r="BF298" s="46"/>
      <c r="BK298" s="46"/>
      <c r="BP298" s="46"/>
      <c r="BU298" s="46"/>
      <c r="BZ298" s="46"/>
      <c r="CE298" s="379"/>
      <c r="CF298" s="379"/>
      <c r="CG298" s="379"/>
      <c r="CH298" s="379"/>
      <c r="CI298" s="379"/>
      <c r="CJ298" s="379"/>
      <c r="CK298" s="379"/>
      <c r="CL298" s="379"/>
      <c r="CM298" s="379"/>
      <c r="CN298" s="379"/>
      <c r="CO298" s="379"/>
      <c r="CP298" s="379"/>
      <c r="CQ298" s="379"/>
      <c r="CR298" s="379"/>
    </row>
    <row r="299" spans="1:96" x14ac:dyDescent="0.2">
      <c r="A299" s="80" t="s">
        <v>6418</v>
      </c>
      <c r="B299" s="885" t="s">
        <v>6313</v>
      </c>
      <c r="C299" s="1349" t="s">
        <v>6508</v>
      </c>
      <c r="D299" s="1349" t="s">
        <v>6508</v>
      </c>
      <c r="V299" s="34">
        <f t="shared" si="777"/>
        <v>0</v>
      </c>
      <c r="W299" s="46"/>
      <c r="X299" s="46"/>
      <c r="Y299" s="46"/>
      <c r="Z299" s="34">
        <v>34000</v>
      </c>
      <c r="AA299" s="46">
        <f t="shared" si="776"/>
        <v>-34000</v>
      </c>
      <c r="AB299" s="46"/>
      <c r="AG299" s="46"/>
      <c r="AL299" s="46"/>
      <c r="AQ299" s="46"/>
      <c r="BA299" s="46"/>
      <c r="BF299" s="46"/>
      <c r="BK299" s="46"/>
      <c r="BP299" s="46"/>
      <c r="BU299" s="46"/>
      <c r="BZ299" s="46"/>
      <c r="CE299" s="379"/>
      <c r="CF299" s="379"/>
      <c r="CG299" s="379"/>
      <c r="CH299" s="379"/>
      <c r="CI299" s="379"/>
      <c r="CJ299" s="379"/>
      <c r="CK299" s="379"/>
      <c r="CL299" s="379"/>
      <c r="CM299" s="379"/>
      <c r="CN299" s="379"/>
      <c r="CO299" s="379"/>
      <c r="CP299" s="379"/>
      <c r="CQ299" s="379"/>
      <c r="CR299" s="379"/>
    </row>
    <row r="300" spans="1:96" x14ac:dyDescent="0.2">
      <c r="A300" s="80" t="s">
        <v>6419</v>
      </c>
      <c r="B300" s="885" t="s">
        <v>6313</v>
      </c>
      <c r="C300" s="1349" t="s">
        <v>6509</v>
      </c>
      <c r="D300" s="1349" t="s">
        <v>6509</v>
      </c>
      <c r="V300" s="34"/>
      <c r="W300" s="46"/>
      <c r="X300" s="46"/>
      <c r="Y300" s="46"/>
      <c r="Z300" s="34">
        <v>14000</v>
      </c>
      <c r="AA300" s="46">
        <f t="shared" si="776"/>
        <v>-14000</v>
      </c>
      <c r="AB300" s="46"/>
      <c r="AG300" s="46"/>
      <c r="AL300" s="46"/>
      <c r="AQ300" s="46"/>
      <c r="BA300" s="46"/>
      <c r="BF300" s="46"/>
      <c r="BK300" s="46"/>
      <c r="BP300" s="46"/>
      <c r="BU300" s="46"/>
      <c r="BZ300" s="46"/>
      <c r="CE300" s="379"/>
      <c r="CF300" s="379"/>
      <c r="CG300" s="379"/>
      <c r="CH300" s="379"/>
      <c r="CI300" s="379"/>
      <c r="CJ300" s="379"/>
      <c r="CK300" s="379"/>
      <c r="CL300" s="379"/>
      <c r="CM300" s="379"/>
      <c r="CN300" s="379"/>
      <c r="CO300" s="379"/>
      <c r="CP300" s="379"/>
      <c r="CQ300" s="379"/>
      <c r="CR300" s="379"/>
    </row>
    <row r="301" spans="1:96" x14ac:dyDescent="0.2">
      <c r="A301" s="80" t="s">
        <v>6248</v>
      </c>
      <c r="B301" s="885" t="s">
        <v>6159</v>
      </c>
      <c r="C301" s="1349" t="s">
        <v>6164</v>
      </c>
      <c r="D301" s="1349" t="s">
        <v>6164</v>
      </c>
      <c r="F301" s="34">
        <v>321400</v>
      </c>
      <c r="V301" s="34"/>
      <c r="W301" s="46"/>
      <c r="X301" s="46"/>
      <c r="Y301" s="46"/>
      <c r="AA301" s="46">
        <f t="shared" si="776"/>
        <v>321400</v>
      </c>
      <c r="AB301" s="46"/>
      <c r="AG301" s="46"/>
      <c r="AL301" s="46"/>
      <c r="AQ301" s="46"/>
      <c r="BA301" s="46"/>
      <c r="BF301" s="46"/>
      <c r="BK301" s="46"/>
      <c r="BP301" s="46"/>
      <c r="BU301" s="46"/>
      <c r="BZ301" s="46"/>
      <c r="CE301" s="379"/>
      <c r="CF301" s="379"/>
      <c r="CG301" s="379"/>
      <c r="CH301" s="379"/>
      <c r="CI301" s="379"/>
      <c r="CJ301" s="379"/>
      <c r="CK301" s="379"/>
      <c r="CL301" s="379"/>
      <c r="CM301" s="379"/>
      <c r="CN301" s="379"/>
      <c r="CO301" s="379"/>
      <c r="CP301" s="379"/>
      <c r="CQ301" s="379"/>
      <c r="CR301" s="379"/>
    </row>
    <row r="302" spans="1:96" x14ac:dyDescent="0.2">
      <c r="A302" s="80" t="s">
        <v>6124</v>
      </c>
      <c r="B302" s="885" t="s">
        <v>6160</v>
      </c>
      <c r="C302" s="1349" t="s">
        <v>6165</v>
      </c>
      <c r="D302" s="1349" t="s">
        <v>6165</v>
      </c>
      <c r="F302" s="34">
        <v>482100</v>
      </c>
      <c r="V302" s="34"/>
      <c r="W302" s="46"/>
      <c r="X302" s="46"/>
      <c r="Y302" s="46"/>
      <c r="AA302" s="46">
        <f t="shared" si="776"/>
        <v>482100</v>
      </c>
      <c r="AB302" s="46"/>
      <c r="AG302" s="46"/>
      <c r="AL302" s="46"/>
      <c r="AQ302" s="46"/>
      <c r="BA302" s="46"/>
      <c r="BF302" s="46"/>
      <c r="BK302" s="46"/>
      <c r="BP302" s="46"/>
      <c r="BU302" s="46"/>
      <c r="BZ302" s="46"/>
      <c r="CE302" s="379"/>
      <c r="CF302" s="379"/>
      <c r="CG302" s="379"/>
      <c r="CH302" s="379"/>
      <c r="CI302" s="379"/>
      <c r="CJ302" s="379"/>
      <c r="CK302" s="379"/>
      <c r="CL302" s="379"/>
      <c r="CM302" s="379"/>
      <c r="CN302" s="379"/>
      <c r="CO302" s="379"/>
      <c r="CP302" s="379"/>
      <c r="CQ302" s="379"/>
      <c r="CR302" s="379"/>
    </row>
    <row r="303" spans="1:96" x14ac:dyDescent="0.2">
      <c r="A303" s="80" t="s">
        <v>6125</v>
      </c>
      <c r="B303" s="885" t="s">
        <v>6161</v>
      </c>
      <c r="C303" s="1349" t="s">
        <v>6166</v>
      </c>
      <c r="D303" s="1349" t="s">
        <v>6166</v>
      </c>
      <c r="V303" s="34"/>
      <c r="W303" s="46"/>
      <c r="X303" s="46"/>
      <c r="Y303" s="46"/>
      <c r="AA303" s="46">
        <f t="shared" si="776"/>
        <v>0</v>
      </c>
      <c r="AB303" s="46"/>
      <c r="AG303" s="46"/>
      <c r="AL303" s="46"/>
      <c r="AQ303" s="46"/>
      <c r="BA303" s="46"/>
      <c r="BF303" s="46"/>
      <c r="BK303" s="46"/>
      <c r="BP303" s="46"/>
      <c r="BU303" s="46"/>
      <c r="BZ303" s="46"/>
      <c r="CE303" s="379"/>
      <c r="CF303" s="379"/>
      <c r="CG303" s="379"/>
      <c r="CH303" s="379"/>
      <c r="CI303" s="379"/>
      <c r="CJ303" s="379"/>
      <c r="CK303" s="379"/>
      <c r="CL303" s="379"/>
      <c r="CM303" s="379"/>
      <c r="CN303" s="379"/>
      <c r="CO303" s="379"/>
      <c r="CP303" s="379"/>
      <c r="CQ303" s="379"/>
      <c r="CR303" s="379"/>
    </row>
    <row r="304" spans="1:96" x14ac:dyDescent="0.2">
      <c r="A304" s="80" t="s">
        <v>6126</v>
      </c>
      <c r="B304" s="885" t="s">
        <v>6162</v>
      </c>
      <c r="C304" s="1349" t="s">
        <v>6167</v>
      </c>
      <c r="D304" s="1349" t="s">
        <v>6167</v>
      </c>
      <c r="G304" s="34">
        <v>207000</v>
      </c>
      <c r="V304" s="34"/>
      <c r="W304" s="46"/>
      <c r="X304" s="46"/>
      <c r="Y304" s="46"/>
      <c r="AA304" s="46">
        <f t="shared" si="776"/>
        <v>0</v>
      </c>
      <c r="AB304" s="46"/>
      <c r="AG304" s="46"/>
      <c r="AL304" s="46"/>
      <c r="AQ304" s="46"/>
      <c r="BA304" s="46"/>
      <c r="BF304" s="46"/>
      <c r="BK304" s="46"/>
      <c r="BP304" s="46"/>
      <c r="BU304" s="46"/>
      <c r="BZ304" s="46"/>
      <c r="CE304" s="379"/>
      <c r="CF304" s="379"/>
      <c r="CG304" s="379"/>
      <c r="CH304" s="379"/>
      <c r="CI304" s="379"/>
      <c r="CJ304" s="379"/>
      <c r="CK304" s="379"/>
      <c r="CL304" s="379"/>
      <c r="CM304" s="379"/>
      <c r="CN304" s="379"/>
      <c r="CO304" s="379"/>
      <c r="CP304" s="379"/>
      <c r="CQ304" s="379"/>
      <c r="CR304" s="379"/>
    </row>
    <row r="305" spans="1:96" x14ac:dyDescent="0.2">
      <c r="A305" s="80" t="s">
        <v>4334</v>
      </c>
      <c r="B305" s="885" t="s">
        <v>5056</v>
      </c>
      <c r="C305" s="58" t="s">
        <v>4929</v>
      </c>
      <c r="D305" s="58" t="s">
        <v>4929</v>
      </c>
      <c r="E305" s="34">
        <f>E123</f>
        <v>318600</v>
      </c>
      <c r="F305" s="34">
        <v>275500</v>
      </c>
      <c r="G305" s="34">
        <v>324000</v>
      </c>
      <c r="V305" s="34">
        <f t="shared" ref="V305:V311" si="778">E305-SUM(R305:U305)</f>
        <v>318600</v>
      </c>
      <c r="W305" s="46"/>
      <c r="X305" s="46"/>
      <c r="Y305" s="46"/>
      <c r="AA305" s="46">
        <f t="shared" si="776"/>
        <v>275500</v>
      </c>
      <c r="AB305" s="46"/>
      <c r="AG305" s="46"/>
      <c r="AL305" s="46"/>
      <c r="AQ305" s="46"/>
      <c r="BA305" s="46"/>
      <c r="BF305" s="46"/>
      <c r="BK305" s="46"/>
      <c r="BP305" s="46"/>
      <c r="BU305" s="46"/>
      <c r="BZ305" s="46"/>
      <c r="CE305" s="379"/>
      <c r="CF305" s="379"/>
      <c r="CG305" s="379"/>
      <c r="CH305" s="379"/>
      <c r="CI305" s="379"/>
      <c r="CJ305" s="379"/>
      <c r="CK305" s="379"/>
      <c r="CL305" s="379"/>
      <c r="CM305" s="379"/>
      <c r="CN305" s="379"/>
      <c r="CO305" s="379"/>
      <c r="CP305" s="379"/>
      <c r="CQ305" s="379"/>
      <c r="CR305" s="379"/>
    </row>
    <row r="306" spans="1:96" x14ac:dyDescent="0.2">
      <c r="A306" s="80" t="str">
        <f>A132</f>
        <v>S 94 - River / Moon Sts Roundabout</v>
      </c>
      <c r="B306" s="885" t="s">
        <v>3948</v>
      </c>
      <c r="C306" s="1349" t="s">
        <v>4959</v>
      </c>
      <c r="D306" s="885" t="s">
        <v>3948</v>
      </c>
      <c r="E306" s="34">
        <v>473800</v>
      </c>
      <c r="F306" s="34">
        <v>11600</v>
      </c>
      <c r="S306" s="34">
        <v>106200</v>
      </c>
      <c r="U306" s="34">
        <f>119300+220000+30000</f>
        <v>369300</v>
      </c>
      <c r="V306" s="34">
        <f t="shared" si="778"/>
        <v>-1700</v>
      </c>
      <c r="W306" s="46"/>
      <c r="X306" s="46"/>
      <c r="Y306" s="46"/>
      <c r="AA306" s="46">
        <f t="shared" si="776"/>
        <v>11600</v>
      </c>
      <c r="AB306" s="46"/>
      <c r="AG306" s="46"/>
      <c r="AL306" s="46"/>
      <c r="AQ306" s="46"/>
      <c r="BA306" s="46"/>
      <c r="BF306" s="46"/>
      <c r="BK306" s="46"/>
      <c r="BP306" s="46"/>
      <c r="BU306" s="46"/>
      <c r="BZ306" s="46"/>
      <c r="CE306" s="379"/>
      <c r="CF306" s="379"/>
      <c r="CG306" s="379"/>
      <c r="CH306" s="379"/>
      <c r="CI306" s="379"/>
      <c r="CJ306" s="379"/>
      <c r="CK306" s="379"/>
      <c r="CL306" s="379"/>
      <c r="CM306" s="379"/>
      <c r="CN306" s="379"/>
      <c r="CO306" s="379"/>
      <c r="CP306" s="379"/>
      <c r="CQ306" s="379"/>
      <c r="CR306" s="379"/>
    </row>
    <row r="307" spans="1:96" x14ac:dyDescent="0.2">
      <c r="A307" s="80" t="str">
        <f>A133</f>
        <v>S 94 - Hutley Drive</v>
      </c>
      <c r="B307" s="885" t="s">
        <v>5065</v>
      </c>
      <c r="C307" s="58" t="s">
        <v>5066</v>
      </c>
      <c r="D307" s="58" t="s">
        <v>5066</v>
      </c>
      <c r="E307" s="34">
        <v>0</v>
      </c>
      <c r="F307" s="34">
        <v>42100</v>
      </c>
      <c r="G307" s="34">
        <f>55600-5000</f>
        <v>50600</v>
      </c>
      <c r="S307" s="34">
        <f>S133</f>
        <v>0</v>
      </c>
      <c r="U307" s="34">
        <v>0</v>
      </c>
      <c r="V307" s="34">
        <f t="shared" si="778"/>
        <v>0</v>
      </c>
      <c r="W307" s="46"/>
      <c r="X307" s="46">
        <f>F307*0.7</f>
        <v>29469.999999999996</v>
      </c>
      <c r="Y307" s="46"/>
      <c r="Z307" s="34">
        <f>Z133</f>
        <v>0</v>
      </c>
      <c r="AA307" s="46">
        <f t="shared" si="776"/>
        <v>12630.000000000004</v>
      </c>
      <c r="AB307" s="46"/>
      <c r="AG307" s="46"/>
      <c r="AL307" s="46"/>
      <c r="AQ307" s="46"/>
      <c r="BA307" s="46"/>
      <c r="BF307" s="46"/>
      <c r="BK307" s="46"/>
      <c r="BP307" s="46"/>
      <c r="BU307" s="46"/>
      <c r="BZ307" s="46"/>
      <c r="CE307" s="379"/>
      <c r="CF307" s="379"/>
      <c r="CG307" s="379"/>
      <c r="CH307" s="379"/>
      <c r="CI307" s="379"/>
      <c r="CJ307" s="379"/>
      <c r="CK307" s="379"/>
      <c r="CL307" s="379"/>
      <c r="CM307" s="379"/>
      <c r="CN307" s="379"/>
      <c r="CO307" s="379"/>
      <c r="CP307" s="379"/>
      <c r="CQ307" s="379"/>
      <c r="CR307" s="379"/>
    </row>
    <row r="308" spans="1:96" x14ac:dyDescent="0.2">
      <c r="A308" s="80" t="s">
        <v>6863</v>
      </c>
      <c r="B308" s="885" t="s">
        <v>6864</v>
      </c>
      <c r="C308" s="58" t="s">
        <v>6865</v>
      </c>
      <c r="D308" s="58" t="s">
        <v>6865</v>
      </c>
      <c r="G308" s="34">
        <f>239900-239900</f>
        <v>0</v>
      </c>
      <c r="V308" s="34"/>
      <c r="W308" s="46"/>
      <c r="X308" s="46">
        <f>F308</f>
        <v>0</v>
      </c>
      <c r="Y308" s="46"/>
      <c r="AA308" s="46">
        <f t="shared" si="776"/>
        <v>0</v>
      </c>
      <c r="AB308" s="46"/>
      <c r="AG308" s="46"/>
      <c r="AL308" s="46"/>
      <c r="AQ308" s="46"/>
      <c r="BA308" s="46"/>
      <c r="BF308" s="46"/>
      <c r="BK308" s="46"/>
      <c r="BP308" s="46"/>
      <c r="BU308" s="46"/>
      <c r="BZ308" s="46"/>
      <c r="CE308" s="379"/>
      <c r="CF308" s="379"/>
      <c r="CG308" s="379"/>
      <c r="CH308" s="379"/>
      <c r="CI308" s="379"/>
      <c r="CJ308" s="379"/>
      <c r="CK308" s="379"/>
      <c r="CL308" s="379"/>
      <c r="CM308" s="379"/>
      <c r="CN308" s="379"/>
      <c r="CO308" s="379"/>
      <c r="CP308" s="379"/>
      <c r="CQ308" s="379"/>
      <c r="CR308" s="379"/>
    </row>
    <row r="309" spans="1:96" x14ac:dyDescent="0.2">
      <c r="A309" s="80" t="s">
        <v>3614</v>
      </c>
      <c r="B309" s="885" t="s">
        <v>3912</v>
      </c>
      <c r="C309" s="58" t="s">
        <v>4034</v>
      </c>
      <c r="D309" s="58"/>
      <c r="E309" s="34">
        <v>6900</v>
      </c>
      <c r="V309" s="34">
        <f t="shared" si="778"/>
        <v>6900</v>
      </c>
      <c r="X309" s="46"/>
      <c r="AA309" s="46">
        <f t="shared" si="776"/>
        <v>0</v>
      </c>
    </row>
    <row r="310" spans="1:96" x14ac:dyDescent="0.2">
      <c r="A310" s="80" t="s">
        <v>4743</v>
      </c>
      <c r="B310" s="885" t="s">
        <v>3931</v>
      </c>
      <c r="C310" s="58" t="s">
        <v>4751</v>
      </c>
      <c r="D310" s="58"/>
      <c r="E310" s="34">
        <v>186100</v>
      </c>
      <c r="U310" s="34">
        <v>14800</v>
      </c>
      <c r="V310" s="34">
        <f t="shared" si="778"/>
        <v>171300</v>
      </c>
      <c r="X310" s="46"/>
      <c r="AA310" s="46">
        <f t="shared" si="776"/>
        <v>0</v>
      </c>
      <c r="AF310" s="34"/>
      <c r="AK310" s="34"/>
      <c r="AP310" s="34"/>
      <c r="AU310" s="34"/>
      <c r="AV310" s="34"/>
      <c r="AZ310" s="34"/>
      <c r="BE310" s="34"/>
      <c r="BJ310" s="34"/>
      <c r="BO310" s="34"/>
      <c r="BT310" s="34"/>
      <c r="BY310" s="34"/>
      <c r="CD310" s="34"/>
    </row>
    <row r="311" spans="1:96" x14ac:dyDescent="0.2">
      <c r="A311" s="80" t="s">
        <v>5069</v>
      </c>
      <c r="B311" s="885" t="s">
        <v>5067</v>
      </c>
      <c r="C311" s="58" t="s">
        <v>5068</v>
      </c>
      <c r="D311" s="58" t="s">
        <v>5068</v>
      </c>
      <c r="G311" s="34">
        <f>457500+81000-31000</f>
        <v>507500</v>
      </c>
      <c r="R311" s="34">
        <f>E311</f>
        <v>0</v>
      </c>
      <c r="V311" s="34">
        <f t="shared" si="778"/>
        <v>0</v>
      </c>
      <c r="X311" s="46"/>
      <c r="Z311" s="34">
        <v>20500</v>
      </c>
      <c r="AA311" s="46">
        <f t="shared" si="776"/>
        <v>-20500</v>
      </c>
      <c r="AF311" s="34"/>
      <c r="AK311" s="34"/>
      <c r="AP311" s="34"/>
      <c r="AU311" s="34"/>
      <c r="AV311" s="34"/>
      <c r="AZ311" s="34"/>
      <c r="BE311" s="34"/>
      <c r="BJ311" s="34"/>
      <c r="BO311" s="34"/>
      <c r="BT311" s="34"/>
      <c r="BY311" s="34"/>
      <c r="CD311" s="34"/>
    </row>
    <row r="312" spans="1:96" x14ac:dyDescent="0.2">
      <c r="A312" s="80" t="s">
        <v>6168</v>
      </c>
      <c r="B312" s="885" t="s">
        <v>6169</v>
      </c>
      <c r="C312" s="58" t="s">
        <v>6170</v>
      </c>
      <c r="D312" s="58" t="s">
        <v>6170</v>
      </c>
      <c r="F312" s="34">
        <v>145800</v>
      </c>
      <c r="V312" s="34"/>
      <c r="X312" s="46"/>
      <c r="AA312" s="46">
        <f t="shared" si="776"/>
        <v>145800</v>
      </c>
      <c r="AF312" s="34"/>
      <c r="AK312" s="34"/>
      <c r="AP312" s="34"/>
      <c r="AU312" s="34"/>
      <c r="AV312" s="34"/>
      <c r="AZ312" s="34"/>
      <c r="BE312" s="34"/>
      <c r="BJ312" s="34"/>
      <c r="BO312" s="34"/>
      <c r="BT312" s="34"/>
      <c r="BY312" s="34"/>
      <c r="CD312" s="34"/>
    </row>
    <row r="313" spans="1:96" x14ac:dyDescent="0.2">
      <c r="A313" s="80" t="s">
        <v>5070</v>
      </c>
      <c r="B313" s="885" t="s">
        <v>5071</v>
      </c>
      <c r="C313" s="58" t="s">
        <v>5072</v>
      </c>
      <c r="D313" s="58"/>
      <c r="E313" s="34">
        <v>436000</v>
      </c>
      <c r="V313" s="34">
        <f t="shared" ref="V313:V322" si="779">E313-SUM(R313:U313)</f>
        <v>436000</v>
      </c>
      <c r="X313" s="46"/>
      <c r="AA313" s="46">
        <f t="shared" si="776"/>
        <v>0</v>
      </c>
      <c r="AF313" s="34"/>
      <c r="AK313" s="34"/>
      <c r="AP313" s="34"/>
      <c r="AU313" s="34"/>
      <c r="AV313" s="34"/>
      <c r="AZ313" s="34"/>
      <c r="BE313" s="34"/>
      <c r="BJ313" s="34"/>
      <c r="BO313" s="34"/>
      <c r="BT313" s="34"/>
      <c r="BY313" s="34"/>
      <c r="CD313" s="34"/>
    </row>
    <row r="314" spans="1:96" x14ac:dyDescent="0.2">
      <c r="A314" s="80" t="s">
        <v>5073</v>
      </c>
      <c r="B314" s="885" t="s">
        <v>5074</v>
      </c>
      <c r="C314" s="58" t="s">
        <v>5191</v>
      </c>
      <c r="D314" s="58"/>
      <c r="E314" s="34">
        <v>169000</v>
      </c>
      <c r="V314" s="34">
        <f t="shared" si="779"/>
        <v>169000</v>
      </c>
      <c r="X314" s="46"/>
      <c r="AA314" s="46">
        <f t="shared" si="776"/>
        <v>0</v>
      </c>
      <c r="AF314" s="34"/>
      <c r="AK314" s="34"/>
      <c r="AP314" s="34"/>
      <c r="AU314" s="34"/>
      <c r="AV314" s="34"/>
      <c r="AZ314" s="34"/>
      <c r="BE314" s="34"/>
      <c r="BJ314" s="34"/>
      <c r="BO314" s="34"/>
      <c r="BT314" s="34"/>
      <c r="BY314" s="34"/>
      <c r="CD314" s="34"/>
    </row>
    <row r="315" spans="1:96" x14ac:dyDescent="0.2">
      <c r="A315" s="80" t="s">
        <v>5076</v>
      </c>
      <c r="B315" s="885" t="s">
        <v>5077</v>
      </c>
      <c r="C315" s="58" t="s">
        <v>5078</v>
      </c>
      <c r="D315" s="58"/>
      <c r="E315" s="34">
        <v>243600</v>
      </c>
      <c r="V315" s="34">
        <f t="shared" si="779"/>
        <v>243600</v>
      </c>
      <c r="X315" s="46"/>
      <c r="AA315" s="46">
        <f t="shared" si="776"/>
        <v>0</v>
      </c>
      <c r="AF315" s="34"/>
      <c r="AK315" s="34"/>
      <c r="AP315" s="34"/>
      <c r="AU315" s="34"/>
      <c r="AV315" s="34"/>
      <c r="AZ315" s="34"/>
      <c r="BE315" s="34"/>
      <c r="BJ315" s="34"/>
      <c r="BO315" s="34"/>
      <c r="BT315" s="34"/>
      <c r="BY315" s="34"/>
      <c r="CD315" s="34"/>
    </row>
    <row r="316" spans="1:96" x14ac:dyDescent="0.2">
      <c r="A316" s="80" t="s">
        <v>6664</v>
      </c>
      <c r="B316" s="885" t="s">
        <v>11810</v>
      </c>
      <c r="C316" s="58" t="s">
        <v>11811</v>
      </c>
      <c r="D316" s="58"/>
      <c r="F316" s="34">
        <v>80400</v>
      </c>
      <c r="V316" s="34"/>
      <c r="X316" s="46"/>
      <c r="Z316" s="34">
        <v>80000</v>
      </c>
      <c r="AA316" s="46">
        <f t="shared" si="776"/>
        <v>400</v>
      </c>
      <c r="AF316" s="34"/>
      <c r="AK316" s="34"/>
      <c r="AP316" s="34"/>
      <c r="AU316" s="34"/>
      <c r="AV316" s="34"/>
      <c r="AZ316" s="34"/>
      <c r="BE316" s="34"/>
      <c r="BJ316" s="34"/>
      <c r="BO316" s="34"/>
      <c r="BT316" s="34"/>
      <c r="BY316" s="34"/>
      <c r="CD316" s="34"/>
    </row>
    <row r="317" spans="1:96" x14ac:dyDescent="0.2">
      <c r="A317" s="80" t="s">
        <v>417</v>
      </c>
      <c r="B317" s="885" t="s">
        <v>5057</v>
      </c>
      <c r="C317" s="58" t="s">
        <v>4928</v>
      </c>
      <c r="D317" s="58" t="s">
        <v>4928</v>
      </c>
      <c r="E317" s="34">
        <f>E125</f>
        <v>277000</v>
      </c>
      <c r="F317" s="34">
        <v>212600</v>
      </c>
      <c r="G317" s="34">
        <f>342000+38800</f>
        <v>380800</v>
      </c>
      <c r="V317" s="34">
        <f t="shared" si="779"/>
        <v>277000</v>
      </c>
      <c r="X317" s="46"/>
      <c r="AA317" s="46">
        <f t="shared" si="776"/>
        <v>212600</v>
      </c>
      <c r="AF317" s="34"/>
      <c r="AK317" s="34"/>
      <c r="AP317" s="34"/>
      <c r="AU317" s="34"/>
      <c r="AV317" s="34"/>
      <c r="AZ317" s="34"/>
      <c r="BE317" s="34"/>
      <c r="BJ317" s="34"/>
      <c r="BO317" s="34"/>
      <c r="BT317" s="34"/>
      <c r="BY317" s="34"/>
      <c r="CD317" s="34"/>
    </row>
    <row r="318" spans="1:96" x14ac:dyDescent="0.2">
      <c r="A318" s="80" t="s">
        <v>5030</v>
      </c>
      <c r="B318" s="885" t="s">
        <v>5079</v>
      </c>
      <c r="C318" s="58" t="s">
        <v>5080</v>
      </c>
      <c r="D318" s="58" t="s">
        <v>5080</v>
      </c>
      <c r="E318" s="34">
        <v>78600</v>
      </c>
      <c r="F318" s="34">
        <v>40600</v>
      </c>
      <c r="G318" s="34">
        <f>7000000-6900000</f>
        <v>100000</v>
      </c>
      <c r="U318" s="34">
        <f>50000+50000</f>
        <v>100000</v>
      </c>
      <c r="V318" s="34">
        <f t="shared" si="779"/>
        <v>-21400</v>
      </c>
      <c r="X318" s="46"/>
      <c r="Z318" s="34">
        <f>21500+14300</f>
        <v>35800</v>
      </c>
      <c r="AA318" s="46">
        <f t="shared" si="776"/>
        <v>4800</v>
      </c>
      <c r="AF318" s="34"/>
      <c r="AK318" s="34"/>
      <c r="AP318" s="34"/>
      <c r="AU318" s="34"/>
      <c r="AV318" s="34"/>
      <c r="AZ318" s="34"/>
      <c r="BE318" s="34"/>
      <c r="BJ318" s="34"/>
      <c r="BO318" s="34"/>
      <c r="BT318" s="34"/>
      <c r="BY318" s="34"/>
      <c r="CD318" s="34"/>
    </row>
    <row r="319" spans="1:96" x14ac:dyDescent="0.2">
      <c r="A319" s="80" t="s">
        <v>5485</v>
      </c>
      <c r="B319" s="885" t="s">
        <v>5489</v>
      </c>
      <c r="C319" s="58" t="s">
        <v>5484</v>
      </c>
      <c r="D319" s="58"/>
      <c r="E319" s="34">
        <v>344500</v>
      </c>
      <c r="U319" s="34">
        <v>286000</v>
      </c>
      <c r="V319" s="34">
        <f t="shared" si="779"/>
        <v>58500</v>
      </c>
      <c r="X319" s="46"/>
      <c r="AA319" s="46">
        <f t="shared" si="776"/>
        <v>0</v>
      </c>
      <c r="AF319" s="34"/>
      <c r="AK319" s="34"/>
      <c r="AP319" s="34"/>
      <c r="AU319" s="34"/>
      <c r="AV319" s="34"/>
      <c r="AZ319" s="34"/>
      <c r="BE319" s="34"/>
      <c r="BJ319" s="34"/>
      <c r="BO319" s="34"/>
      <c r="BT319" s="34"/>
      <c r="BY319" s="34"/>
      <c r="CD319" s="34"/>
    </row>
    <row r="320" spans="1:96" x14ac:dyDescent="0.2">
      <c r="A320" s="80" t="s">
        <v>6171</v>
      </c>
      <c r="B320" s="885" t="s">
        <v>6173</v>
      </c>
      <c r="C320" s="58" t="s">
        <v>6175</v>
      </c>
      <c r="D320" s="58" t="s">
        <v>6175</v>
      </c>
      <c r="F320" s="34">
        <v>238200</v>
      </c>
      <c r="V320" s="34">
        <f t="shared" si="779"/>
        <v>0</v>
      </c>
      <c r="X320" s="46"/>
      <c r="AA320" s="46">
        <f t="shared" si="776"/>
        <v>238200</v>
      </c>
      <c r="AF320" s="34"/>
      <c r="AK320" s="34"/>
      <c r="AP320" s="34"/>
      <c r="AU320" s="34"/>
      <c r="AV320" s="34"/>
      <c r="AZ320" s="34"/>
      <c r="BE320" s="34"/>
      <c r="BJ320" s="34"/>
      <c r="BO320" s="34"/>
      <c r="BT320" s="34"/>
      <c r="BY320" s="34"/>
      <c r="CD320" s="34"/>
    </row>
    <row r="321" spans="1:96" x14ac:dyDescent="0.2">
      <c r="A321" s="80" t="s">
        <v>6172</v>
      </c>
      <c r="B321" s="885" t="s">
        <v>6174</v>
      </c>
      <c r="C321" s="58" t="s">
        <v>6176</v>
      </c>
      <c r="D321" s="58" t="s">
        <v>6176</v>
      </c>
      <c r="V321" s="34">
        <f t="shared" si="779"/>
        <v>0</v>
      </c>
      <c r="X321" s="46"/>
      <c r="AA321" s="46">
        <f t="shared" si="776"/>
        <v>0</v>
      </c>
      <c r="AF321" s="34"/>
      <c r="AK321" s="34"/>
      <c r="AP321" s="34"/>
      <c r="AU321" s="34"/>
      <c r="AV321" s="34"/>
      <c r="AZ321" s="34"/>
      <c r="BE321" s="34"/>
      <c r="BJ321" s="34"/>
      <c r="BO321" s="34"/>
      <c r="BT321" s="34"/>
      <c r="BY321" s="34"/>
      <c r="CD321" s="34"/>
    </row>
    <row r="322" spans="1:96" x14ac:dyDescent="0.2">
      <c r="A322" s="80" t="s">
        <v>5486</v>
      </c>
      <c r="B322" s="885" t="s">
        <v>5488</v>
      </c>
      <c r="C322" s="58" t="s">
        <v>5487</v>
      </c>
      <c r="D322" s="58" t="s">
        <v>5487</v>
      </c>
      <c r="E322" s="34">
        <f>14100+262500</f>
        <v>276600</v>
      </c>
      <c r="F322" s="34">
        <v>42200</v>
      </c>
      <c r="G322" s="34">
        <f>170000+603600-720000</f>
        <v>53600</v>
      </c>
      <c r="U322" s="34">
        <f>865000+262500</f>
        <v>1127500</v>
      </c>
      <c r="V322" s="34">
        <f t="shared" si="779"/>
        <v>-850900</v>
      </c>
      <c r="X322" s="46"/>
      <c r="Z322" s="34">
        <f>554900+815900</f>
        <v>1370800</v>
      </c>
      <c r="AA322" s="46">
        <f t="shared" si="776"/>
        <v>-1328600</v>
      </c>
      <c r="AF322" s="34"/>
      <c r="AK322" s="34"/>
      <c r="AP322" s="34"/>
      <c r="AU322" s="34"/>
      <c r="AV322" s="34"/>
      <c r="AZ322" s="34"/>
      <c r="BE322" s="34"/>
      <c r="BJ322" s="34"/>
      <c r="BO322" s="34"/>
      <c r="BT322" s="34"/>
      <c r="BY322" s="34"/>
      <c r="CD322" s="34"/>
    </row>
    <row r="323" spans="1:96" x14ac:dyDescent="0.2">
      <c r="A323" s="80" t="s">
        <v>7267</v>
      </c>
      <c r="B323" s="885"/>
      <c r="C323" s="58" t="s">
        <v>7268</v>
      </c>
      <c r="D323" s="58" t="s">
        <v>7268</v>
      </c>
      <c r="G323" s="34">
        <f>729900+170100-900000</f>
        <v>0</v>
      </c>
      <c r="V323" s="34"/>
      <c r="X323" s="46"/>
      <c r="AF323" s="34"/>
      <c r="AK323" s="34"/>
      <c r="AP323" s="34"/>
      <c r="AU323" s="34"/>
      <c r="AV323" s="34"/>
      <c r="AZ323" s="34"/>
      <c r="BE323" s="34"/>
      <c r="BJ323" s="34"/>
      <c r="BO323" s="34"/>
      <c r="BT323" s="34"/>
      <c r="BY323" s="34"/>
      <c r="CD323" s="34"/>
    </row>
    <row r="324" spans="1:96" x14ac:dyDescent="0.2">
      <c r="A324" s="80" t="s">
        <v>6356</v>
      </c>
      <c r="B324" s="885" t="s">
        <v>6359</v>
      </c>
      <c r="C324" s="58" t="s">
        <v>6360</v>
      </c>
      <c r="D324" s="58" t="s">
        <v>6360</v>
      </c>
      <c r="F324" s="34">
        <v>1503300</v>
      </c>
      <c r="G324" s="34">
        <f>+'Cap Inc'!F44+227200</f>
        <v>721000</v>
      </c>
      <c r="V324" s="34"/>
      <c r="W324" s="34">
        <v>1503300</v>
      </c>
      <c r="X324" s="46"/>
      <c r="AA324" s="46">
        <f t="shared" si="776"/>
        <v>0</v>
      </c>
      <c r="AB324" s="34">
        <f>+G324</f>
        <v>721000</v>
      </c>
      <c r="AF324" s="34"/>
      <c r="AK324" s="34"/>
      <c r="AP324" s="34"/>
      <c r="AU324" s="34"/>
      <c r="AV324" s="34"/>
      <c r="AZ324" s="34"/>
      <c r="BE324" s="34"/>
      <c r="BJ324" s="34"/>
      <c r="BO324" s="34"/>
      <c r="BT324" s="34"/>
      <c r="BY324" s="34"/>
      <c r="CD324" s="34"/>
    </row>
    <row r="325" spans="1:96" x14ac:dyDescent="0.2">
      <c r="A325" s="80" t="s">
        <v>6976</v>
      </c>
      <c r="B325" s="885" t="s">
        <v>7112</v>
      </c>
      <c r="C325" s="58" t="s">
        <v>7113</v>
      </c>
      <c r="D325" s="58" t="s">
        <v>7113</v>
      </c>
      <c r="G325" s="34">
        <f>146000-146000</f>
        <v>0</v>
      </c>
      <c r="V325" s="34"/>
      <c r="X325" s="46"/>
      <c r="AF325" s="34"/>
      <c r="AK325" s="34"/>
      <c r="AP325" s="34"/>
      <c r="AU325" s="34"/>
      <c r="AV325" s="34"/>
      <c r="AZ325" s="34"/>
      <c r="BE325" s="34"/>
      <c r="BJ325" s="34"/>
      <c r="BO325" s="34"/>
      <c r="BT325" s="34"/>
      <c r="BY325" s="34"/>
      <c r="CD325" s="34"/>
    </row>
    <row r="326" spans="1:96" x14ac:dyDescent="0.2">
      <c r="A326" s="80" t="s">
        <v>6977</v>
      </c>
      <c r="B326" s="885" t="s">
        <v>7114</v>
      </c>
      <c r="C326" s="58" t="s">
        <v>7115</v>
      </c>
      <c r="D326" s="58" t="s">
        <v>7115</v>
      </c>
      <c r="G326" s="34">
        <f>250000-150000</f>
        <v>100000</v>
      </c>
      <c r="V326" s="34"/>
      <c r="X326" s="46"/>
      <c r="AF326" s="34"/>
      <c r="AK326" s="34"/>
      <c r="AP326" s="34"/>
      <c r="AU326" s="34"/>
      <c r="AV326" s="34"/>
      <c r="AZ326" s="34"/>
      <c r="BE326" s="34"/>
      <c r="BJ326" s="34"/>
      <c r="BO326" s="34"/>
      <c r="BT326" s="34"/>
      <c r="BY326" s="34"/>
      <c r="CD326" s="34"/>
    </row>
    <row r="327" spans="1:96" x14ac:dyDescent="0.2">
      <c r="A327" s="80" t="s">
        <v>7066</v>
      </c>
      <c r="B327" s="885" t="s">
        <v>7116</v>
      </c>
      <c r="C327" s="58" t="s">
        <v>7117</v>
      </c>
      <c r="D327" s="58" t="s">
        <v>7117</v>
      </c>
      <c r="G327" s="34">
        <f>318000-318000</f>
        <v>0</v>
      </c>
      <c r="V327" s="34"/>
      <c r="X327" s="46"/>
      <c r="AF327" s="34"/>
      <c r="AK327" s="34"/>
      <c r="AP327" s="34"/>
      <c r="AU327" s="34"/>
      <c r="AV327" s="34"/>
      <c r="AZ327" s="34"/>
      <c r="BE327" s="34"/>
      <c r="BJ327" s="34"/>
      <c r="BO327" s="34"/>
      <c r="BT327" s="34"/>
      <c r="BY327" s="34"/>
      <c r="CD327" s="34"/>
    </row>
    <row r="328" spans="1:96" x14ac:dyDescent="0.2">
      <c r="A328" s="80" t="s">
        <v>7071</v>
      </c>
      <c r="B328" s="885" t="s">
        <v>7118</v>
      </c>
      <c r="C328" s="58" t="s">
        <v>7119</v>
      </c>
      <c r="D328" s="58" t="s">
        <v>7119</v>
      </c>
      <c r="G328" s="34">
        <v>116000</v>
      </c>
      <c r="V328" s="34"/>
      <c r="X328" s="46"/>
      <c r="AF328" s="34"/>
      <c r="AK328" s="34"/>
      <c r="AP328" s="34"/>
      <c r="AU328" s="34"/>
      <c r="AV328" s="34"/>
      <c r="AZ328" s="34"/>
      <c r="BE328" s="34"/>
      <c r="BJ328" s="34"/>
      <c r="BO328" s="34"/>
      <c r="BT328" s="34"/>
      <c r="BY328" s="34"/>
      <c r="CD328" s="34"/>
    </row>
    <row r="329" spans="1:96" x14ac:dyDescent="0.2">
      <c r="A329" s="80" t="s">
        <v>7072</v>
      </c>
      <c r="B329" s="885" t="s">
        <v>7120</v>
      </c>
      <c r="C329" s="58" t="s">
        <v>7123</v>
      </c>
      <c r="D329" s="58" t="s">
        <v>7123</v>
      </c>
      <c r="G329" s="34">
        <f>320000-315000</f>
        <v>5000</v>
      </c>
      <c r="V329" s="34"/>
      <c r="X329" s="46"/>
      <c r="AF329" s="34"/>
      <c r="AK329" s="34"/>
      <c r="AP329" s="34"/>
      <c r="AU329" s="34"/>
      <c r="AV329" s="34"/>
      <c r="AZ329" s="34"/>
      <c r="BE329" s="34"/>
      <c r="BJ329" s="34"/>
      <c r="BO329" s="34"/>
      <c r="BT329" s="34"/>
      <c r="BY329" s="34"/>
      <c r="CD329" s="34"/>
    </row>
    <row r="330" spans="1:96" x14ac:dyDescent="0.2">
      <c r="A330" s="80" t="s">
        <v>7074</v>
      </c>
      <c r="B330" s="885" t="s">
        <v>7121</v>
      </c>
      <c r="C330" s="58" t="s">
        <v>7124</v>
      </c>
      <c r="D330" s="58" t="s">
        <v>7124</v>
      </c>
      <c r="F330" s="34">
        <v>100</v>
      </c>
      <c r="G330" s="34">
        <f>309700-309700+465900</f>
        <v>465900</v>
      </c>
      <c r="V330" s="34"/>
      <c r="X330" s="46"/>
      <c r="AF330" s="34"/>
      <c r="AK330" s="34"/>
      <c r="AP330" s="34"/>
      <c r="AU330" s="34"/>
      <c r="AV330" s="34"/>
      <c r="AZ330" s="34"/>
      <c r="BE330" s="34"/>
      <c r="BJ330" s="34"/>
      <c r="BO330" s="34"/>
      <c r="BT330" s="34"/>
      <c r="BY330" s="34"/>
      <c r="CD330" s="34"/>
    </row>
    <row r="331" spans="1:96" x14ac:dyDescent="0.2">
      <c r="A331" s="80" t="s">
        <v>7069</v>
      </c>
      <c r="B331" s="885" t="s">
        <v>7122</v>
      </c>
      <c r="C331" s="58" t="s">
        <v>7125</v>
      </c>
      <c r="D331" s="58" t="s">
        <v>7125</v>
      </c>
      <c r="G331" s="34">
        <v>89000</v>
      </c>
      <c r="V331" s="34"/>
      <c r="W331" s="46"/>
      <c r="X331" s="46"/>
      <c r="Y331" s="46"/>
      <c r="AB331" s="46"/>
      <c r="AG331" s="46"/>
      <c r="AL331" s="46"/>
      <c r="AQ331" s="46"/>
      <c r="BA331" s="46"/>
      <c r="BF331" s="46"/>
      <c r="BK331" s="46"/>
      <c r="BP331" s="46"/>
      <c r="BU331" s="46"/>
      <c r="BZ331" s="46"/>
      <c r="CE331" s="379"/>
      <c r="CF331" s="379"/>
      <c r="CG331" s="379"/>
      <c r="CH331" s="379"/>
      <c r="CI331" s="379"/>
      <c r="CJ331" s="379"/>
      <c r="CK331" s="379"/>
      <c r="CL331" s="379"/>
      <c r="CM331" s="379"/>
      <c r="CN331" s="379"/>
      <c r="CO331" s="379"/>
      <c r="CP331" s="379"/>
      <c r="CQ331" s="379"/>
      <c r="CR331" s="379"/>
    </row>
    <row r="332" spans="1:96" x14ac:dyDescent="0.2">
      <c r="A332" s="2226" t="s">
        <v>11852</v>
      </c>
      <c r="B332" s="885" t="s">
        <v>11853</v>
      </c>
      <c r="C332" s="58" t="s">
        <v>11854</v>
      </c>
      <c r="D332" s="58" t="s">
        <v>11854</v>
      </c>
      <c r="G332" s="34">
        <v>1992400</v>
      </c>
      <c r="V332" s="34"/>
      <c r="W332" s="46"/>
      <c r="X332" s="46"/>
      <c r="Y332" s="46"/>
      <c r="AB332" s="46"/>
      <c r="AG332" s="46"/>
      <c r="AL332" s="46"/>
      <c r="AQ332" s="46"/>
      <c r="BA332" s="46"/>
      <c r="BF332" s="46"/>
      <c r="BK332" s="46"/>
      <c r="BP332" s="46"/>
      <c r="BU332" s="46"/>
      <c r="BZ332" s="46"/>
      <c r="CE332" s="379"/>
      <c r="CF332" s="379"/>
      <c r="CG332" s="379"/>
      <c r="CH332" s="379"/>
      <c r="CI332" s="379"/>
      <c r="CJ332" s="379"/>
      <c r="CK332" s="379"/>
      <c r="CL332" s="379"/>
      <c r="CM332" s="379"/>
      <c r="CN332" s="379"/>
      <c r="CO332" s="379"/>
      <c r="CP332" s="379"/>
      <c r="CQ332" s="379"/>
      <c r="CR332" s="379"/>
    </row>
    <row r="333" spans="1:96" x14ac:dyDescent="0.2">
      <c r="A333" s="2227" t="s">
        <v>11857</v>
      </c>
      <c r="B333" s="885" t="s">
        <v>11858</v>
      </c>
      <c r="C333" s="58" t="s">
        <v>11859</v>
      </c>
      <c r="D333" s="58" t="s">
        <v>11859</v>
      </c>
      <c r="G333" s="34">
        <v>50000</v>
      </c>
      <c r="V333" s="34"/>
      <c r="W333" s="46"/>
      <c r="X333" s="46"/>
      <c r="Y333" s="46"/>
      <c r="AB333" s="46">
        <v>50000</v>
      </c>
      <c r="AG333" s="46"/>
      <c r="AL333" s="46"/>
      <c r="AQ333" s="46"/>
      <c r="BA333" s="46"/>
      <c r="BF333" s="46"/>
      <c r="BK333" s="46"/>
      <c r="BP333" s="46"/>
      <c r="BU333" s="46"/>
      <c r="BZ333" s="46"/>
      <c r="CE333" s="379"/>
      <c r="CF333" s="379"/>
      <c r="CG333" s="379"/>
      <c r="CH333" s="379"/>
      <c r="CI333" s="379"/>
      <c r="CJ333" s="379"/>
      <c r="CK333" s="379"/>
      <c r="CL333" s="379"/>
      <c r="CM333" s="379"/>
      <c r="CN333" s="379"/>
      <c r="CO333" s="379"/>
      <c r="CP333" s="379"/>
      <c r="CQ333" s="379"/>
      <c r="CR333" s="379"/>
    </row>
    <row r="334" spans="1:96" x14ac:dyDescent="0.2">
      <c r="A334" s="2228" t="s">
        <v>11866</v>
      </c>
      <c r="B334" s="2224"/>
      <c r="C334" s="2225"/>
      <c r="D334" s="2225"/>
      <c r="G334" s="34">
        <v>150000</v>
      </c>
      <c r="V334" s="34"/>
      <c r="W334" s="46"/>
      <c r="X334" s="46"/>
      <c r="Y334" s="46"/>
      <c r="AB334" s="46"/>
      <c r="AG334" s="46"/>
      <c r="AL334" s="46"/>
      <c r="AQ334" s="46"/>
      <c r="BA334" s="46"/>
      <c r="BF334" s="46"/>
      <c r="BK334" s="46"/>
      <c r="BP334" s="46"/>
      <c r="BU334" s="46"/>
      <c r="BZ334" s="46"/>
      <c r="CE334" s="379"/>
      <c r="CF334" s="379"/>
      <c r="CG334" s="379"/>
      <c r="CH334" s="379"/>
      <c r="CI334" s="379"/>
      <c r="CJ334" s="379"/>
      <c r="CK334" s="379"/>
      <c r="CL334" s="379"/>
      <c r="CM334" s="379"/>
      <c r="CN334" s="379"/>
      <c r="CO334" s="379"/>
      <c r="CP334" s="379"/>
      <c r="CQ334" s="379"/>
      <c r="CR334" s="379"/>
    </row>
    <row r="335" spans="1:96" x14ac:dyDescent="0.2">
      <c r="A335" s="2228" t="s">
        <v>11867</v>
      </c>
      <c r="B335" s="2224"/>
      <c r="C335" s="2225"/>
      <c r="D335" s="2225"/>
      <c r="G335" s="34">
        <v>120000</v>
      </c>
      <c r="V335" s="34"/>
      <c r="W335" s="46"/>
      <c r="X335" s="46"/>
      <c r="Y335" s="46"/>
      <c r="AB335" s="46"/>
      <c r="AG335" s="46"/>
      <c r="AL335" s="46"/>
      <c r="AQ335" s="46"/>
      <c r="BA335" s="46"/>
      <c r="BF335" s="46"/>
      <c r="BK335" s="46"/>
      <c r="BP335" s="46"/>
      <c r="BU335" s="46"/>
      <c r="BZ335" s="46"/>
      <c r="CE335" s="379"/>
      <c r="CF335" s="379"/>
      <c r="CG335" s="379"/>
      <c r="CH335" s="379"/>
      <c r="CI335" s="379"/>
      <c r="CJ335" s="379"/>
      <c r="CK335" s="379"/>
      <c r="CL335" s="379"/>
      <c r="CM335" s="379"/>
      <c r="CN335" s="379"/>
      <c r="CO335" s="379"/>
      <c r="CP335" s="379"/>
      <c r="CQ335" s="379"/>
      <c r="CR335" s="379"/>
    </row>
    <row r="336" spans="1:96" x14ac:dyDescent="0.2">
      <c r="A336" s="2228" t="s">
        <v>11868</v>
      </c>
      <c r="B336" s="2224"/>
      <c r="C336" s="2225"/>
      <c r="D336" s="2225"/>
      <c r="G336" s="34">
        <v>85000</v>
      </c>
      <c r="V336" s="34"/>
      <c r="W336" s="46"/>
      <c r="X336" s="46"/>
      <c r="Y336" s="46"/>
      <c r="AB336" s="46"/>
      <c r="AG336" s="46"/>
      <c r="AL336" s="46"/>
      <c r="AQ336" s="46"/>
      <c r="BA336" s="46"/>
      <c r="BF336" s="46"/>
      <c r="BK336" s="46"/>
      <c r="BP336" s="46"/>
      <c r="BU336" s="46"/>
      <c r="BZ336" s="46"/>
      <c r="CE336" s="379"/>
      <c r="CF336" s="379"/>
      <c r="CG336" s="379"/>
      <c r="CH336" s="379"/>
      <c r="CI336" s="379"/>
      <c r="CJ336" s="379"/>
      <c r="CK336" s="379"/>
      <c r="CL336" s="379"/>
      <c r="CM336" s="379"/>
      <c r="CN336" s="379"/>
      <c r="CO336" s="379"/>
      <c r="CP336" s="379"/>
      <c r="CQ336" s="379"/>
      <c r="CR336" s="379"/>
    </row>
    <row r="337" spans="1:96" x14ac:dyDescent="0.2">
      <c r="A337" s="2229" t="s">
        <v>11869</v>
      </c>
      <c r="B337" s="885" t="s">
        <v>11858</v>
      </c>
      <c r="C337" s="58" t="s">
        <v>11870</v>
      </c>
      <c r="D337" s="58" t="s">
        <v>11870</v>
      </c>
      <c r="G337" s="34">
        <v>27400</v>
      </c>
      <c r="V337" s="34"/>
      <c r="W337" s="46"/>
      <c r="X337" s="46"/>
      <c r="Y337" s="46"/>
      <c r="AB337" s="46"/>
      <c r="AG337" s="46"/>
      <c r="AL337" s="46"/>
      <c r="AQ337" s="46"/>
      <c r="BA337" s="46"/>
      <c r="BF337" s="46"/>
      <c r="BK337" s="46"/>
      <c r="BP337" s="46"/>
      <c r="BU337" s="46"/>
      <c r="BZ337" s="46"/>
      <c r="CE337" s="379"/>
      <c r="CF337" s="379"/>
      <c r="CG337" s="379"/>
      <c r="CH337" s="379"/>
      <c r="CI337" s="379"/>
      <c r="CJ337" s="379"/>
      <c r="CK337" s="379"/>
      <c r="CL337" s="379"/>
      <c r="CM337" s="379"/>
      <c r="CN337" s="379"/>
      <c r="CO337" s="379"/>
      <c r="CP337" s="379"/>
      <c r="CQ337" s="379"/>
      <c r="CR337" s="379"/>
    </row>
    <row r="338" spans="1:96" x14ac:dyDescent="0.2">
      <c r="B338" s="1636"/>
      <c r="C338" s="1637"/>
      <c r="D338" s="1637"/>
      <c r="W338" s="46"/>
      <c r="X338" s="46"/>
      <c r="Y338" s="46"/>
      <c r="AA338" s="46">
        <f t="shared" si="776"/>
        <v>0</v>
      </c>
      <c r="AB338" s="46"/>
      <c r="AG338" s="46"/>
      <c r="AL338" s="46"/>
      <c r="AQ338" s="46"/>
      <c r="BA338" s="46"/>
      <c r="BF338" s="46"/>
      <c r="BK338" s="46"/>
      <c r="BP338" s="46"/>
      <c r="BU338" s="46"/>
      <c r="BZ338" s="46"/>
      <c r="CE338" s="379"/>
      <c r="CF338" s="379"/>
      <c r="CG338" s="379"/>
      <c r="CH338" s="379"/>
      <c r="CI338" s="379"/>
      <c r="CJ338" s="379"/>
      <c r="CK338" s="379"/>
      <c r="CL338" s="379"/>
      <c r="CM338" s="379"/>
      <c r="CN338" s="379"/>
      <c r="CO338" s="379"/>
      <c r="CP338" s="379"/>
      <c r="CQ338" s="379"/>
      <c r="CR338" s="379"/>
    </row>
    <row r="339" spans="1:96" s="65" customFormat="1" x14ac:dyDescent="0.2">
      <c r="A339" s="902" t="s">
        <v>752</v>
      </c>
      <c r="B339" s="890"/>
      <c r="C339" s="56"/>
      <c r="D339" s="56"/>
      <c r="E339" s="1397">
        <f>SUM(E291:E338)</f>
        <v>3943600</v>
      </c>
      <c r="F339" s="1397">
        <f>SUM(F291:F338)</f>
        <v>4318500</v>
      </c>
      <c r="G339" s="1397">
        <f>SUM(G291:G338)</f>
        <v>5846300</v>
      </c>
      <c r="R339" s="1397">
        <f>SUM(R291:R338)</f>
        <v>800000</v>
      </c>
      <c r="S339" s="1397">
        <f>SUM(S291:S338)</f>
        <v>106200</v>
      </c>
      <c r="T339" s="1397">
        <f>SUM(T291:T338)</f>
        <v>0</v>
      </c>
      <c r="U339" s="1397">
        <f>SUM(U291:U338)</f>
        <v>1942300</v>
      </c>
      <c r="V339" s="1397">
        <f>SUM(V291:V338)</f>
        <v>1095100</v>
      </c>
      <c r="W339" s="1397">
        <v>2678000</v>
      </c>
      <c r="X339" s="1397">
        <f>SUM(X291:X338)</f>
        <v>29469.999999999996</v>
      </c>
      <c r="Y339" s="1397">
        <f>SUM(Y291:Y338)</f>
        <v>0</v>
      </c>
      <c r="Z339" s="1397">
        <f>SUM(Z291:Z338)</f>
        <v>1635100</v>
      </c>
      <c r="AA339" s="1397">
        <f>SUM(AA291:AA338)</f>
        <v>-24170</v>
      </c>
      <c r="AB339" s="92"/>
      <c r="AF339" s="92"/>
      <c r="AG339" s="92"/>
      <c r="AK339" s="92"/>
      <c r="AL339" s="92"/>
      <c r="AP339" s="92"/>
      <c r="AQ339" s="92"/>
      <c r="AU339" s="92"/>
      <c r="AV339" s="92"/>
      <c r="AZ339" s="92"/>
      <c r="BA339" s="92"/>
      <c r="BE339" s="92"/>
      <c r="BF339" s="92"/>
      <c r="BJ339" s="92"/>
      <c r="BK339" s="92"/>
      <c r="BO339" s="92"/>
      <c r="BP339" s="92"/>
      <c r="BT339" s="92"/>
      <c r="BU339" s="92"/>
      <c r="BY339" s="92"/>
      <c r="BZ339" s="92"/>
      <c r="CD339" s="92"/>
      <c r="CE339" s="901"/>
      <c r="CF339" s="901"/>
      <c r="CG339" s="901"/>
      <c r="CH339" s="901"/>
      <c r="CI339" s="901"/>
      <c r="CJ339" s="901"/>
      <c r="CK339" s="901"/>
      <c r="CL339" s="901"/>
      <c r="CM339" s="901"/>
      <c r="CN339" s="901"/>
      <c r="CO339" s="901"/>
      <c r="CP339" s="901"/>
      <c r="CQ339" s="901"/>
      <c r="CR339" s="901"/>
    </row>
    <row r="340" spans="1:96" x14ac:dyDescent="0.2">
      <c r="A340" s="93"/>
      <c r="B340" s="144"/>
      <c r="C340" s="55"/>
      <c r="D340" s="55"/>
      <c r="R340" s="46"/>
      <c r="S340" s="46"/>
      <c r="T340" s="46"/>
      <c r="U340" s="46"/>
      <c r="W340" s="46"/>
      <c r="X340" s="46"/>
      <c r="Y340" s="46"/>
      <c r="AB340" s="46"/>
      <c r="AG340" s="46"/>
      <c r="AL340" s="46"/>
      <c r="AQ340" s="46"/>
      <c r="BA340" s="46"/>
      <c r="BF340" s="46"/>
      <c r="BK340" s="46"/>
      <c r="BP340" s="46"/>
      <c r="BU340" s="46"/>
      <c r="BZ340" s="46"/>
      <c r="CE340" s="379"/>
      <c r="CF340" s="379"/>
      <c r="CG340" s="379"/>
      <c r="CH340" s="379"/>
      <c r="CI340" s="379"/>
      <c r="CJ340" s="379"/>
      <c r="CK340" s="379"/>
      <c r="CL340" s="379"/>
      <c r="CM340" s="379"/>
      <c r="CN340" s="379"/>
      <c r="CO340" s="379"/>
      <c r="CP340" s="379"/>
      <c r="CQ340" s="379"/>
      <c r="CR340" s="379"/>
    </row>
    <row r="341" spans="1:96" x14ac:dyDescent="0.2">
      <c r="A341" s="395" t="s">
        <v>4462</v>
      </c>
      <c r="B341" s="144"/>
      <c r="C341" s="55"/>
      <c r="D341" s="55"/>
      <c r="W341" s="46"/>
      <c r="X341" s="46"/>
      <c r="Y341" s="46"/>
      <c r="AB341" s="46"/>
      <c r="AG341" s="46"/>
      <c r="AL341" s="46"/>
      <c r="AQ341" s="46"/>
      <c r="BA341" s="46"/>
      <c r="BF341" s="46"/>
      <c r="BK341" s="46"/>
      <c r="BP341" s="46"/>
      <c r="BU341" s="46"/>
      <c r="BZ341" s="46"/>
      <c r="CE341" s="379"/>
      <c r="CF341" s="379"/>
      <c r="CG341" s="379"/>
      <c r="CH341" s="379"/>
      <c r="CI341" s="379"/>
      <c r="CJ341" s="379"/>
      <c r="CK341" s="379"/>
      <c r="CL341" s="379"/>
      <c r="CM341" s="379"/>
      <c r="CN341" s="379"/>
      <c r="CO341" s="379"/>
      <c r="CP341" s="379"/>
      <c r="CQ341" s="379"/>
      <c r="CR341" s="379"/>
    </row>
    <row r="342" spans="1:96" x14ac:dyDescent="0.2">
      <c r="A342" s="80" t="s">
        <v>6127</v>
      </c>
      <c r="B342" s="885" t="s">
        <v>6177</v>
      </c>
      <c r="C342" s="1349" t="s">
        <v>6179</v>
      </c>
      <c r="D342" s="1349" t="s">
        <v>6179</v>
      </c>
      <c r="F342" s="80">
        <v>226300</v>
      </c>
      <c r="G342" s="34">
        <v>321000</v>
      </c>
      <c r="V342" s="34"/>
      <c r="W342" s="46"/>
      <c r="X342" s="46"/>
      <c r="Y342" s="46"/>
      <c r="AA342" s="46">
        <f t="shared" ref="AA342:AA382" si="780">F342-W342-X342-Y342-Z342</f>
        <v>226300</v>
      </c>
      <c r="AB342" s="46"/>
      <c r="AG342" s="46"/>
      <c r="AL342" s="46"/>
      <c r="AQ342" s="46"/>
      <c r="BA342" s="46"/>
      <c r="BF342" s="46"/>
      <c r="BK342" s="46"/>
      <c r="BP342" s="46"/>
      <c r="BU342" s="46"/>
      <c r="BZ342" s="46"/>
      <c r="CE342" s="379"/>
      <c r="CF342" s="379"/>
      <c r="CG342" s="379"/>
      <c r="CH342" s="379"/>
      <c r="CI342" s="379"/>
      <c r="CJ342" s="379"/>
      <c r="CK342" s="379"/>
      <c r="CL342" s="379"/>
      <c r="CM342" s="379"/>
      <c r="CN342" s="379"/>
      <c r="CO342" s="379"/>
      <c r="CP342" s="379"/>
      <c r="CQ342" s="379"/>
      <c r="CR342" s="379"/>
    </row>
    <row r="343" spans="1:96" x14ac:dyDescent="0.2">
      <c r="A343" s="80" t="s">
        <v>6128</v>
      </c>
      <c r="B343" s="885" t="s">
        <v>6178</v>
      </c>
      <c r="C343" s="1349" t="s">
        <v>6180</v>
      </c>
      <c r="D343" s="1349" t="s">
        <v>6180</v>
      </c>
      <c r="F343" s="34">
        <v>404500</v>
      </c>
      <c r="V343" s="34"/>
      <c r="W343" s="46"/>
      <c r="X343" s="46"/>
      <c r="Y343" s="46"/>
      <c r="AA343" s="46">
        <f t="shared" si="780"/>
        <v>404500</v>
      </c>
      <c r="AB343" s="46"/>
      <c r="AG343" s="46"/>
      <c r="AL343" s="46"/>
      <c r="AQ343" s="46"/>
      <c r="BA343" s="46"/>
      <c r="BF343" s="46"/>
      <c r="BK343" s="46"/>
      <c r="BP343" s="46"/>
      <c r="BU343" s="46"/>
      <c r="BZ343" s="46"/>
      <c r="CE343" s="379"/>
      <c r="CF343" s="379"/>
      <c r="CG343" s="379"/>
      <c r="CH343" s="379"/>
      <c r="CI343" s="379"/>
      <c r="CJ343" s="379"/>
      <c r="CK343" s="379"/>
      <c r="CL343" s="379"/>
      <c r="CM343" s="379"/>
      <c r="CN343" s="379"/>
      <c r="CO343" s="379"/>
      <c r="CP343" s="379"/>
      <c r="CQ343" s="379"/>
      <c r="CR343" s="379"/>
    </row>
    <row r="344" spans="1:96" x14ac:dyDescent="0.2">
      <c r="A344" s="80" t="s">
        <v>3354</v>
      </c>
      <c r="B344" s="885" t="s">
        <v>4142</v>
      </c>
      <c r="C344" s="1349" t="s">
        <v>4959</v>
      </c>
      <c r="D344" s="58"/>
      <c r="E344" s="34">
        <v>24300</v>
      </c>
      <c r="U344" s="34">
        <v>24300</v>
      </c>
      <c r="V344" s="34">
        <f t="shared" ref="V344:V348" si="781">E344-SUM(R344:U344)</f>
        <v>0</v>
      </c>
      <c r="W344" s="46"/>
      <c r="X344" s="46"/>
      <c r="Y344" s="46"/>
      <c r="AA344" s="46">
        <f t="shared" si="780"/>
        <v>0</v>
      </c>
      <c r="AB344" s="46"/>
      <c r="AG344" s="46"/>
      <c r="AL344" s="46"/>
      <c r="AQ344" s="46"/>
      <c r="BA344" s="46"/>
      <c r="BF344" s="46"/>
      <c r="BK344" s="46"/>
      <c r="BP344" s="46"/>
      <c r="BU344" s="46"/>
      <c r="BZ344" s="46"/>
      <c r="CE344" s="379"/>
      <c r="CF344" s="379"/>
      <c r="CG344" s="379"/>
      <c r="CH344" s="379"/>
      <c r="CI344" s="379"/>
      <c r="CJ344" s="379"/>
      <c r="CK344" s="379"/>
      <c r="CL344" s="379"/>
      <c r="CM344" s="379"/>
      <c r="CN344" s="379"/>
      <c r="CO344" s="379"/>
      <c r="CP344" s="379"/>
      <c r="CQ344" s="379"/>
      <c r="CR344" s="379"/>
    </row>
    <row r="345" spans="1:96" x14ac:dyDescent="0.2">
      <c r="A345" s="80" t="s">
        <v>6996</v>
      </c>
      <c r="B345" s="885" t="s">
        <v>4200</v>
      </c>
      <c r="C345" s="1349" t="s">
        <v>4959</v>
      </c>
      <c r="D345" s="58"/>
      <c r="E345" s="34">
        <v>6800</v>
      </c>
      <c r="U345" s="34">
        <v>6800</v>
      </c>
      <c r="V345" s="34">
        <f t="shared" si="781"/>
        <v>0</v>
      </c>
      <c r="W345" s="46"/>
      <c r="X345" s="46"/>
      <c r="Y345" s="46"/>
      <c r="AA345" s="46">
        <f t="shared" si="780"/>
        <v>0</v>
      </c>
      <c r="AB345" s="46"/>
      <c r="AG345" s="46"/>
      <c r="AL345" s="46"/>
      <c r="AQ345" s="46"/>
      <c r="BA345" s="46"/>
      <c r="BF345" s="46"/>
      <c r="BK345" s="46"/>
      <c r="BP345" s="46"/>
      <c r="BU345" s="46"/>
      <c r="BZ345" s="46"/>
      <c r="CE345" s="379"/>
      <c r="CF345" s="379"/>
      <c r="CG345" s="379"/>
      <c r="CH345" s="379"/>
      <c r="CI345" s="379"/>
      <c r="CJ345" s="379"/>
      <c r="CK345" s="379"/>
      <c r="CL345" s="379"/>
      <c r="CM345" s="379"/>
      <c r="CN345" s="379"/>
      <c r="CO345" s="379"/>
      <c r="CP345" s="379"/>
      <c r="CQ345" s="379"/>
      <c r="CR345" s="379"/>
    </row>
    <row r="346" spans="1:96" x14ac:dyDescent="0.2">
      <c r="A346" s="80" t="s">
        <v>3565</v>
      </c>
      <c r="B346" s="885" t="s">
        <v>5054</v>
      </c>
      <c r="C346" s="58" t="s">
        <v>5993</v>
      </c>
      <c r="D346" s="58"/>
      <c r="E346" s="34">
        <v>758300</v>
      </c>
      <c r="F346" s="80"/>
      <c r="R346" s="34">
        <f>345000+204000</f>
        <v>549000</v>
      </c>
      <c r="V346" s="34">
        <f t="shared" si="781"/>
        <v>209300</v>
      </c>
      <c r="W346" s="46"/>
      <c r="X346" s="46"/>
      <c r="Y346" s="46"/>
      <c r="AA346" s="46">
        <f t="shared" si="780"/>
        <v>0</v>
      </c>
      <c r="AB346" s="46"/>
      <c r="AG346" s="46"/>
      <c r="AL346" s="46"/>
      <c r="AQ346" s="46"/>
      <c r="BA346" s="46"/>
      <c r="BF346" s="46"/>
      <c r="BK346" s="46"/>
      <c r="BP346" s="46"/>
      <c r="BU346" s="46"/>
      <c r="BZ346" s="46"/>
      <c r="CE346" s="379"/>
      <c r="CF346" s="379"/>
      <c r="CG346" s="379"/>
      <c r="CH346" s="379"/>
      <c r="CI346" s="379"/>
      <c r="CJ346" s="379"/>
      <c r="CK346" s="379"/>
      <c r="CL346" s="379"/>
      <c r="CM346" s="379"/>
      <c r="CN346" s="379"/>
      <c r="CO346" s="379"/>
      <c r="CP346" s="379"/>
      <c r="CQ346" s="379"/>
      <c r="CR346" s="379"/>
    </row>
    <row r="347" spans="1:96" x14ac:dyDescent="0.2">
      <c r="A347" s="80" t="s">
        <v>4335</v>
      </c>
      <c r="B347" s="885" t="s">
        <v>5058</v>
      </c>
      <c r="C347" s="58" t="s">
        <v>5143</v>
      </c>
      <c r="D347" s="58" t="s">
        <v>5143</v>
      </c>
      <c r="E347" s="34">
        <f>E124</f>
        <v>320600</v>
      </c>
      <c r="F347" s="34">
        <v>291900</v>
      </c>
      <c r="G347" s="34">
        <v>314000</v>
      </c>
      <c r="U347" s="34">
        <v>56800</v>
      </c>
      <c r="V347" s="34">
        <f t="shared" si="781"/>
        <v>263800</v>
      </c>
      <c r="W347" s="46"/>
      <c r="X347" s="46"/>
      <c r="Y347" s="46"/>
      <c r="AA347" s="46">
        <f t="shared" si="780"/>
        <v>291900</v>
      </c>
      <c r="AB347" s="46"/>
      <c r="AG347" s="46"/>
      <c r="AL347" s="46"/>
      <c r="AQ347" s="46"/>
      <c r="BA347" s="46"/>
      <c r="BF347" s="46"/>
      <c r="BK347" s="46"/>
      <c r="BP347" s="46"/>
      <c r="BU347" s="46"/>
      <c r="BZ347" s="46"/>
      <c r="CE347" s="379"/>
      <c r="CF347" s="379"/>
      <c r="CG347" s="379"/>
      <c r="CH347" s="379"/>
      <c r="CI347" s="379"/>
      <c r="CJ347" s="379"/>
      <c r="CK347" s="379"/>
      <c r="CL347" s="379"/>
      <c r="CM347" s="379"/>
      <c r="CN347" s="379"/>
      <c r="CO347" s="379"/>
      <c r="CP347" s="379"/>
      <c r="CQ347" s="379"/>
      <c r="CR347" s="379"/>
    </row>
    <row r="348" spans="1:96" x14ac:dyDescent="0.2">
      <c r="A348" s="80" t="s">
        <v>3611</v>
      </c>
      <c r="B348" s="885" t="s">
        <v>3913</v>
      </c>
      <c r="C348" s="58" t="s">
        <v>4035</v>
      </c>
      <c r="D348" s="58"/>
      <c r="E348" s="34">
        <v>9100</v>
      </c>
      <c r="U348" s="34">
        <v>3500</v>
      </c>
      <c r="V348" s="34">
        <f t="shared" si="781"/>
        <v>5600</v>
      </c>
      <c r="X348" s="46"/>
      <c r="AA348" s="46">
        <f t="shared" si="780"/>
        <v>0</v>
      </c>
    </row>
    <row r="349" spans="1:96" x14ac:dyDescent="0.2">
      <c r="A349" s="80" t="s">
        <v>6129</v>
      </c>
      <c r="B349" s="885" t="s">
        <v>6181</v>
      </c>
      <c r="C349" s="58" t="s">
        <v>6182</v>
      </c>
      <c r="D349" s="58" t="s">
        <v>6182</v>
      </c>
      <c r="F349" s="34">
        <v>425300</v>
      </c>
      <c r="V349" s="34"/>
      <c r="X349" s="46"/>
      <c r="AA349" s="46">
        <f t="shared" si="780"/>
        <v>425300</v>
      </c>
    </row>
    <row r="350" spans="1:96" x14ac:dyDescent="0.2">
      <c r="A350" s="80" t="s">
        <v>3612</v>
      </c>
      <c r="B350" s="885" t="s">
        <v>3914</v>
      </c>
      <c r="C350" s="58" t="s">
        <v>4036</v>
      </c>
      <c r="D350" s="58"/>
      <c r="E350" s="34">
        <f>205000+51000</f>
        <v>256000</v>
      </c>
      <c r="U350" s="34">
        <v>51000</v>
      </c>
      <c r="V350" s="34">
        <f t="shared" ref="V350:V359" si="782">E350-SUM(R350:U350)</f>
        <v>205000</v>
      </c>
      <c r="X350" s="46"/>
      <c r="AA350" s="46">
        <f t="shared" si="780"/>
        <v>0</v>
      </c>
    </row>
    <row r="351" spans="1:96" x14ac:dyDescent="0.2">
      <c r="A351" s="80" t="s">
        <v>3613</v>
      </c>
      <c r="B351" s="885" t="s">
        <v>3915</v>
      </c>
      <c r="C351" s="58" t="s">
        <v>4037</v>
      </c>
      <c r="D351" s="58"/>
      <c r="E351" s="34">
        <v>3500</v>
      </c>
      <c r="R351" s="34">
        <v>296500</v>
      </c>
      <c r="U351" s="34">
        <v>-295000</v>
      </c>
      <c r="V351" s="34">
        <f t="shared" si="782"/>
        <v>2000</v>
      </c>
      <c r="X351" s="46"/>
      <c r="AA351" s="46">
        <f t="shared" si="780"/>
        <v>0</v>
      </c>
    </row>
    <row r="352" spans="1:96" x14ac:dyDescent="0.2">
      <c r="A352" s="80" t="s">
        <v>7128</v>
      </c>
      <c r="B352" s="885" t="s">
        <v>7126</v>
      </c>
      <c r="C352" s="58" t="s">
        <v>7127</v>
      </c>
      <c r="D352" s="58" t="s">
        <v>7127</v>
      </c>
      <c r="E352" s="34">
        <v>2800</v>
      </c>
      <c r="G352" s="34">
        <v>166000</v>
      </c>
      <c r="U352" s="34">
        <v>3000</v>
      </c>
      <c r="V352" s="34">
        <f t="shared" si="782"/>
        <v>-200</v>
      </c>
      <c r="X352" s="46"/>
      <c r="AA352" s="46">
        <f t="shared" si="780"/>
        <v>0</v>
      </c>
    </row>
    <row r="353" spans="1:96" x14ac:dyDescent="0.2">
      <c r="A353" s="80" t="s">
        <v>4712</v>
      </c>
      <c r="B353" s="885" t="s">
        <v>5059</v>
      </c>
      <c r="C353" s="58" t="s">
        <v>4931</v>
      </c>
      <c r="D353" s="58" t="s">
        <v>4931</v>
      </c>
      <c r="E353" s="34">
        <f>E126</f>
        <v>175500</v>
      </c>
      <c r="F353" s="34">
        <v>133800</v>
      </c>
      <c r="G353" s="34">
        <f>175000+34200</f>
        <v>209200</v>
      </c>
      <c r="V353" s="34">
        <f t="shared" si="782"/>
        <v>175500</v>
      </c>
      <c r="W353" s="46"/>
      <c r="X353" s="46"/>
      <c r="Y353" s="46"/>
      <c r="AA353" s="46">
        <f t="shared" si="780"/>
        <v>133800</v>
      </c>
      <c r="AB353" s="46"/>
      <c r="AG353" s="46"/>
      <c r="AL353" s="46"/>
      <c r="AQ353" s="46"/>
      <c r="BA353" s="46"/>
      <c r="BF353" s="46"/>
      <c r="BK353" s="46"/>
      <c r="BP353" s="46"/>
      <c r="BU353" s="46"/>
      <c r="BZ353" s="46"/>
      <c r="CE353" s="379"/>
      <c r="CF353" s="379"/>
      <c r="CG353" s="379"/>
      <c r="CH353" s="379"/>
      <c r="CI353" s="379"/>
      <c r="CJ353" s="379"/>
      <c r="CK353" s="379"/>
      <c r="CL353" s="379"/>
      <c r="CM353" s="379"/>
      <c r="CN353" s="379"/>
      <c r="CO353" s="379"/>
      <c r="CP353" s="379"/>
      <c r="CQ353" s="379"/>
      <c r="CR353" s="379"/>
    </row>
    <row r="354" spans="1:96" x14ac:dyDescent="0.2">
      <c r="A354" s="80" t="s">
        <v>4933</v>
      </c>
      <c r="B354" s="885" t="s">
        <v>5060</v>
      </c>
      <c r="C354" s="58" t="s">
        <v>4930</v>
      </c>
      <c r="D354" s="58"/>
      <c r="E354" s="34">
        <v>26000</v>
      </c>
      <c r="F354" s="34">
        <v>26200</v>
      </c>
      <c r="G354" s="34">
        <v>310000</v>
      </c>
      <c r="S354" s="34">
        <v>26000</v>
      </c>
      <c r="V354" s="34">
        <f t="shared" si="782"/>
        <v>0</v>
      </c>
      <c r="W354" s="46"/>
      <c r="X354" s="46">
        <v>26000</v>
      </c>
      <c r="Y354" s="46"/>
      <c r="AA354" s="46">
        <f t="shared" si="780"/>
        <v>200</v>
      </c>
      <c r="AB354" s="46"/>
      <c r="AG354" s="46"/>
      <c r="AL354" s="46"/>
      <c r="AQ354" s="46"/>
      <c r="BA354" s="46"/>
      <c r="BF354" s="46"/>
      <c r="BK354" s="46"/>
      <c r="BP354" s="46"/>
      <c r="BU354" s="46"/>
      <c r="BZ354" s="46"/>
      <c r="CE354" s="379"/>
      <c r="CF354" s="379"/>
      <c r="CG354" s="379"/>
      <c r="CH354" s="379"/>
      <c r="CI354" s="379"/>
      <c r="CJ354" s="379"/>
      <c r="CK354" s="379"/>
      <c r="CL354" s="379"/>
      <c r="CM354" s="379"/>
      <c r="CN354" s="379"/>
      <c r="CO354" s="379"/>
      <c r="CP354" s="379"/>
      <c r="CQ354" s="379"/>
      <c r="CR354" s="379"/>
    </row>
    <row r="355" spans="1:96" x14ac:dyDescent="0.2">
      <c r="A355" s="80" t="s">
        <v>4934</v>
      </c>
      <c r="B355" s="885" t="s">
        <v>5061</v>
      </c>
      <c r="C355" s="58" t="s">
        <v>4932</v>
      </c>
      <c r="D355" s="58" t="s">
        <v>4932</v>
      </c>
      <c r="E355" s="34">
        <v>84700</v>
      </c>
      <c r="F355" s="34">
        <v>405200</v>
      </c>
      <c r="S355" s="34">
        <f>84000+80000</f>
        <v>164000</v>
      </c>
      <c r="V355" s="34">
        <f t="shared" si="782"/>
        <v>-79300</v>
      </c>
      <c r="W355" s="46"/>
      <c r="X355" s="46">
        <f>196000+128500+33000</f>
        <v>357500</v>
      </c>
      <c r="Y355" s="46"/>
      <c r="AA355" s="46">
        <f t="shared" si="780"/>
        <v>47700</v>
      </c>
      <c r="AB355" s="46"/>
      <c r="AG355" s="46"/>
      <c r="AL355" s="46"/>
      <c r="AQ355" s="46"/>
      <c r="BA355" s="46"/>
      <c r="BF355" s="46"/>
      <c r="BK355" s="46"/>
      <c r="BP355" s="46"/>
      <c r="BU355" s="46"/>
      <c r="BZ355" s="46"/>
      <c r="CE355" s="379"/>
      <c r="CF355" s="379"/>
      <c r="CG355" s="379"/>
      <c r="CH355" s="379"/>
      <c r="CI355" s="379"/>
      <c r="CJ355" s="379"/>
      <c r="CK355" s="379"/>
      <c r="CL355" s="379"/>
      <c r="CM355" s="379"/>
      <c r="CN355" s="379"/>
      <c r="CO355" s="379"/>
      <c r="CP355" s="379"/>
      <c r="CQ355" s="379"/>
      <c r="CR355" s="379"/>
    </row>
    <row r="356" spans="1:96" x14ac:dyDescent="0.2">
      <c r="A356" s="80" t="s">
        <v>6873</v>
      </c>
      <c r="B356" s="885"/>
      <c r="C356" s="58" t="s">
        <v>6872</v>
      </c>
      <c r="D356" s="58" t="s">
        <v>6872</v>
      </c>
      <c r="F356" s="80"/>
      <c r="G356" s="34">
        <v>9700</v>
      </c>
      <c r="V356" s="34"/>
      <c r="W356" s="46"/>
      <c r="X356" s="46"/>
      <c r="Y356" s="46"/>
      <c r="AA356" s="46">
        <f t="shared" si="780"/>
        <v>0</v>
      </c>
      <c r="AB356" s="46"/>
      <c r="AG356" s="46"/>
      <c r="AL356" s="46"/>
      <c r="AQ356" s="46"/>
      <c r="BA356" s="46"/>
      <c r="BF356" s="46"/>
      <c r="BK356" s="46"/>
      <c r="BP356" s="46"/>
      <c r="BU356" s="46"/>
      <c r="BZ356" s="46"/>
      <c r="CE356" s="379"/>
      <c r="CF356" s="379"/>
      <c r="CG356" s="379"/>
      <c r="CH356" s="379"/>
      <c r="CI356" s="379"/>
      <c r="CJ356" s="379"/>
      <c r="CK356" s="379"/>
      <c r="CL356" s="379"/>
      <c r="CM356" s="379"/>
      <c r="CN356" s="379"/>
      <c r="CO356" s="379"/>
      <c r="CP356" s="379"/>
      <c r="CQ356" s="379"/>
      <c r="CR356" s="379"/>
    </row>
    <row r="357" spans="1:96" x14ac:dyDescent="0.2">
      <c r="A357" s="80" t="s">
        <v>5994</v>
      </c>
      <c r="B357" s="885" t="s">
        <v>6090</v>
      </c>
      <c r="C357" s="58" t="s">
        <v>5995</v>
      </c>
      <c r="D357" s="58"/>
      <c r="E357" s="34">
        <v>16500</v>
      </c>
      <c r="F357" s="34">
        <v>5800</v>
      </c>
      <c r="G357" s="34">
        <v>5000</v>
      </c>
      <c r="S357" s="34">
        <v>50000</v>
      </c>
      <c r="V357" s="34">
        <f t="shared" si="782"/>
        <v>-33500</v>
      </c>
      <c r="W357" s="46"/>
      <c r="X357" s="46">
        <v>33500</v>
      </c>
      <c r="Y357" s="46"/>
      <c r="AA357" s="46">
        <f t="shared" si="780"/>
        <v>-27700</v>
      </c>
      <c r="AB357" s="46"/>
      <c r="AG357" s="46"/>
      <c r="AL357" s="46"/>
      <c r="AQ357" s="46"/>
      <c r="BA357" s="46"/>
      <c r="BF357" s="46"/>
      <c r="BK357" s="46"/>
      <c r="BP357" s="46"/>
      <c r="BU357" s="46"/>
      <c r="BZ357" s="46"/>
      <c r="CE357" s="379"/>
      <c r="CF357" s="379"/>
      <c r="CG357" s="379"/>
      <c r="CH357" s="379"/>
      <c r="CI357" s="379"/>
      <c r="CJ357" s="379"/>
      <c r="CK357" s="379"/>
      <c r="CL357" s="379"/>
      <c r="CM357" s="379"/>
      <c r="CN357" s="379"/>
      <c r="CO357" s="379"/>
      <c r="CP357" s="379"/>
      <c r="CQ357" s="379"/>
      <c r="CR357" s="379"/>
    </row>
    <row r="358" spans="1:96" x14ac:dyDescent="0.2">
      <c r="A358" s="80" t="str">
        <f>A139</f>
        <v>S 94 - Heavy Vehicles</v>
      </c>
      <c r="B358" s="885" t="s">
        <v>5061</v>
      </c>
      <c r="C358" s="58" t="s">
        <v>4932</v>
      </c>
      <c r="D358" s="58" t="s">
        <v>4932</v>
      </c>
      <c r="G358" s="34">
        <v>184000</v>
      </c>
      <c r="V358" s="34">
        <f>E358-SUM(R358:U358)</f>
        <v>0</v>
      </c>
      <c r="W358" s="46"/>
      <c r="X358" s="46"/>
      <c r="Y358" s="46"/>
      <c r="AA358" s="46">
        <f>F358-W358-X358-Y358-Z358</f>
        <v>0</v>
      </c>
      <c r="AB358" s="46"/>
      <c r="AG358" s="46"/>
      <c r="AL358" s="46"/>
      <c r="AQ358" s="46"/>
      <c r="BA358" s="46"/>
      <c r="BF358" s="46"/>
      <c r="BK358" s="46"/>
      <c r="BP358" s="46"/>
      <c r="BU358" s="46"/>
      <c r="BZ358" s="46"/>
      <c r="CE358" s="379"/>
      <c r="CF358" s="379"/>
      <c r="CG358" s="379"/>
      <c r="CH358" s="379"/>
      <c r="CI358" s="379"/>
      <c r="CJ358" s="379"/>
      <c r="CK358" s="379"/>
      <c r="CL358" s="379"/>
      <c r="CM358" s="379"/>
      <c r="CN358" s="379"/>
      <c r="CO358" s="379"/>
      <c r="CP358" s="379"/>
      <c r="CQ358" s="379"/>
      <c r="CR358" s="379"/>
    </row>
    <row r="359" spans="1:96" x14ac:dyDescent="0.2">
      <c r="A359" s="80" t="s">
        <v>4992</v>
      </c>
      <c r="B359" s="885" t="s">
        <v>5082</v>
      </c>
      <c r="C359" s="58" t="s">
        <v>5083</v>
      </c>
      <c r="D359" s="58"/>
      <c r="E359" s="34">
        <v>284300</v>
      </c>
      <c r="U359" s="34">
        <v>15000</v>
      </c>
      <c r="V359" s="34">
        <f t="shared" si="782"/>
        <v>269300</v>
      </c>
      <c r="W359" s="46"/>
      <c r="X359" s="46"/>
      <c r="Y359" s="46"/>
      <c r="AA359" s="46">
        <f t="shared" si="780"/>
        <v>0</v>
      </c>
      <c r="AB359" s="46"/>
      <c r="AG359" s="46"/>
      <c r="AL359" s="46"/>
      <c r="AQ359" s="46"/>
      <c r="BA359" s="46"/>
      <c r="BF359" s="46"/>
      <c r="BK359" s="46"/>
      <c r="BP359" s="46"/>
      <c r="BU359" s="46"/>
      <c r="BZ359" s="46"/>
      <c r="CE359" s="379"/>
      <c r="CF359" s="379"/>
      <c r="CG359" s="379"/>
      <c r="CH359" s="379"/>
      <c r="CI359" s="379"/>
      <c r="CJ359" s="379"/>
      <c r="CK359" s="379"/>
      <c r="CL359" s="379"/>
      <c r="CM359" s="379"/>
      <c r="CN359" s="379"/>
      <c r="CO359" s="379"/>
      <c r="CP359" s="379"/>
      <c r="CQ359" s="379"/>
      <c r="CR359" s="379"/>
    </row>
    <row r="360" spans="1:96" x14ac:dyDescent="0.2">
      <c r="A360" s="80" t="s">
        <v>6130</v>
      </c>
      <c r="B360" s="885" t="s">
        <v>6183</v>
      </c>
      <c r="C360" s="58" t="s">
        <v>6185</v>
      </c>
      <c r="D360" s="58" t="s">
        <v>6185</v>
      </c>
      <c r="F360" s="34">
        <v>30300</v>
      </c>
      <c r="G360" s="34">
        <v>329700</v>
      </c>
      <c r="V360" s="34"/>
      <c r="W360" s="46"/>
      <c r="X360" s="46"/>
      <c r="Y360" s="46"/>
      <c r="AA360" s="46">
        <f t="shared" si="780"/>
        <v>30300</v>
      </c>
      <c r="AB360" s="46"/>
      <c r="AG360" s="46"/>
      <c r="AL360" s="46"/>
      <c r="AQ360" s="46"/>
      <c r="BA360" s="46"/>
      <c r="BF360" s="46"/>
      <c r="BK360" s="46"/>
      <c r="BP360" s="46"/>
      <c r="BU360" s="46"/>
      <c r="BZ360" s="46"/>
      <c r="CE360" s="379"/>
      <c r="CF360" s="379"/>
      <c r="CG360" s="379"/>
      <c r="CH360" s="379"/>
      <c r="CI360" s="379"/>
      <c r="CJ360" s="379"/>
      <c r="CK360" s="379"/>
      <c r="CL360" s="379"/>
      <c r="CM360" s="379"/>
      <c r="CN360" s="379"/>
      <c r="CO360" s="379"/>
      <c r="CP360" s="379"/>
      <c r="CQ360" s="379"/>
      <c r="CR360" s="379"/>
    </row>
    <row r="361" spans="1:96" x14ac:dyDescent="0.2">
      <c r="A361" s="80" t="s">
        <v>7067</v>
      </c>
      <c r="B361" s="885" t="s">
        <v>6183</v>
      </c>
      <c r="C361" s="58" t="s">
        <v>6185</v>
      </c>
      <c r="D361" s="58" t="s">
        <v>6185</v>
      </c>
      <c r="G361" s="34">
        <f>272000-35300</f>
        <v>236700</v>
      </c>
      <c r="W361" s="46"/>
      <c r="X361" s="46"/>
      <c r="Y361" s="46"/>
      <c r="AB361" s="46"/>
      <c r="AG361" s="46"/>
      <c r="AL361" s="46"/>
      <c r="AQ361" s="46"/>
      <c r="BA361" s="46"/>
      <c r="BF361" s="46"/>
      <c r="BK361" s="46"/>
      <c r="BP361" s="46"/>
      <c r="BU361" s="46"/>
      <c r="BZ361" s="46"/>
      <c r="CE361" s="379"/>
      <c r="CF361" s="379"/>
      <c r="CG361" s="379"/>
      <c r="CH361" s="379"/>
      <c r="CI361" s="379"/>
      <c r="CJ361" s="379"/>
      <c r="CK361" s="379"/>
      <c r="CL361" s="379"/>
      <c r="CM361" s="379"/>
      <c r="CN361" s="379"/>
      <c r="CO361" s="379"/>
      <c r="CP361" s="379"/>
      <c r="CQ361" s="379"/>
      <c r="CR361" s="379"/>
    </row>
    <row r="362" spans="1:96" x14ac:dyDescent="0.2">
      <c r="A362" s="80" t="s">
        <v>6131</v>
      </c>
      <c r="B362" s="885" t="s">
        <v>6184</v>
      </c>
      <c r="C362" s="58" t="s">
        <v>6186</v>
      </c>
      <c r="D362" s="58" t="s">
        <v>6186</v>
      </c>
      <c r="F362" s="34">
        <v>550900</v>
      </c>
      <c r="G362" s="34">
        <v>35300</v>
      </c>
      <c r="V362" s="34"/>
      <c r="W362" s="46"/>
      <c r="X362" s="46"/>
      <c r="Y362" s="46"/>
      <c r="AA362" s="46">
        <f t="shared" si="780"/>
        <v>550900</v>
      </c>
      <c r="AB362" s="46"/>
      <c r="AG362" s="46"/>
      <c r="AL362" s="46"/>
      <c r="AQ362" s="46"/>
      <c r="BA362" s="46"/>
      <c r="BF362" s="46"/>
      <c r="BK362" s="46"/>
      <c r="BP362" s="46"/>
      <c r="BU362" s="46"/>
      <c r="BZ362" s="46"/>
      <c r="CE362" s="379"/>
      <c r="CF362" s="379"/>
      <c r="CG362" s="379"/>
      <c r="CH362" s="379"/>
      <c r="CI362" s="379"/>
      <c r="CJ362" s="379"/>
      <c r="CK362" s="379"/>
      <c r="CL362" s="379"/>
      <c r="CM362" s="379"/>
      <c r="CN362" s="379"/>
      <c r="CO362" s="379"/>
      <c r="CP362" s="379"/>
      <c r="CQ362" s="379"/>
      <c r="CR362" s="379"/>
    </row>
    <row r="363" spans="1:96" x14ac:dyDescent="0.2">
      <c r="A363" s="80" t="s">
        <v>5084</v>
      </c>
      <c r="B363" s="885" t="s">
        <v>5085</v>
      </c>
      <c r="C363" s="58" t="s">
        <v>5086</v>
      </c>
      <c r="D363" s="58"/>
      <c r="E363" s="34">
        <v>433800</v>
      </c>
      <c r="V363" s="34">
        <f>E363-SUM(R363:U363)</f>
        <v>433800</v>
      </c>
      <c r="W363" s="46"/>
      <c r="X363" s="46"/>
      <c r="Y363" s="46"/>
      <c r="AA363" s="46">
        <f t="shared" si="780"/>
        <v>0</v>
      </c>
      <c r="AB363" s="46"/>
      <c r="AG363" s="46"/>
      <c r="AL363" s="46"/>
      <c r="AQ363" s="46"/>
      <c r="BA363" s="46"/>
      <c r="BF363" s="46"/>
      <c r="BK363" s="46"/>
      <c r="BP363" s="46"/>
      <c r="BU363" s="46"/>
      <c r="BZ363" s="46"/>
      <c r="CE363" s="379"/>
      <c r="CF363" s="379"/>
      <c r="CG363" s="379"/>
      <c r="CH363" s="379"/>
      <c r="CI363" s="379"/>
      <c r="CJ363" s="379"/>
      <c r="CK363" s="379"/>
      <c r="CL363" s="379"/>
      <c r="CM363" s="379"/>
      <c r="CN363" s="379"/>
      <c r="CO363" s="379"/>
      <c r="CP363" s="379"/>
      <c r="CQ363" s="379"/>
      <c r="CR363" s="379"/>
    </row>
    <row r="364" spans="1:96" x14ac:dyDescent="0.2">
      <c r="A364" s="80" t="s">
        <v>4993</v>
      </c>
      <c r="B364" s="885" t="s">
        <v>5087</v>
      </c>
      <c r="C364" s="58" t="s">
        <v>5088</v>
      </c>
      <c r="D364" s="58"/>
      <c r="E364" s="34">
        <v>8100</v>
      </c>
      <c r="F364" s="34">
        <v>187700</v>
      </c>
      <c r="G364" s="34">
        <f>257300-257300</f>
        <v>0</v>
      </c>
      <c r="V364" s="34">
        <f>E364-SUM(R364:U364)</f>
        <v>8100</v>
      </c>
      <c r="W364" s="46">
        <v>233000</v>
      </c>
      <c r="X364" s="46"/>
      <c r="Y364" s="46"/>
      <c r="Z364" s="34">
        <v>211900</v>
      </c>
      <c r="AA364" s="46">
        <f t="shared" si="780"/>
        <v>-257200</v>
      </c>
      <c r="AB364" s="46"/>
      <c r="AG364" s="46"/>
      <c r="AL364" s="46"/>
      <c r="AQ364" s="46"/>
      <c r="BA364" s="46"/>
      <c r="BF364" s="46"/>
      <c r="BK364" s="46"/>
      <c r="BP364" s="46"/>
      <c r="BU364" s="46"/>
      <c r="BZ364" s="46"/>
      <c r="CE364" s="379"/>
      <c r="CF364" s="379"/>
      <c r="CG364" s="379"/>
      <c r="CH364" s="379"/>
      <c r="CI364" s="379"/>
      <c r="CJ364" s="379"/>
      <c r="CK364" s="379"/>
      <c r="CL364" s="379"/>
      <c r="CM364" s="379"/>
      <c r="CN364" s="379"/>
      <c r="CO364" s="379"/>
      <c r="CP364" s="379"/>
      <c r="CQ364" s="379"/>
      <c r="CR364" s="379"/>
    </row>
    <row r="365" spans="1:96" x14ac:dyDescent="0.2">
      <c r="A365" s="80" t="s">
        <v>7269</v>
      </c>
      <c r="B365" s="885" t="s">
        <v>6511</v>
      </c>
      <c r="C365" s="58" t="s">
        <v>6510</v>
      </c>
      <c r="D365" s="58"/>
      <c r="F365" s="34">
        <v>2100</v>
      </c>
      <c r="G365" s="34">
        <f>465900-465900</f>
        <v>0</v>
      </c>
      <c r="V365" s="34"/>
      <c r="W365" s="46">
        <v>310000</v>
      </c>
      <c r="X365" s="46"/>
      <c r="Y365" s="46"/>
      <c r="AA365" s="46">
        <f t="shared" si="780"/>
        <v>-307900</v>
      </c>
      <c r="AB365" s="46"/>
      <c r="AG365" s="46"/>
      <c r="AL365" s="46"/>
      <c r="AQ365" s="46"/>
      <c r="BA365" s="46"/>
      <c r="BF365" s="46"/>
      <c r="BK365" s="46"/>
      <c r="BP365" s="46"/>
      <c r="BU365" s="46"/>
      <c r="BZ365" s="46"/>
      <c r="CE365" s="379"/>
      <c r="CF365" s="379"/>
      <c r="CG365" s="379"/>
      <c r="CH365" s="379"/>
      <c r="CI365" s="379"/>
      <c r="CJ365" s="379"/>
      <c r="CK365" s="379"/>
      <c r="CL365" s="379"/>
      <c r="CM365" s="379"/>
      <c r="CN365" s="379"/>
      <c r="CO365" s="379"/>
      <c r="CP365" s="379"/>
      <c r="CQ365" s="379"/>
      <c r="CR365" s="379"/>
    </row>
    <row r="366" spans="1:96" x14ac:dyDescent="0.2">
      <c r="A366" s="80" t="s">
        <v>6464</v>
      </c>
      <c r="B366" s="885" t="s">
        <v>11864</v>
      </c>
      <c r="C366" s="58" t="s">
        <v>11863</v>
      </c>
      <c r="D366" s="58"/>
      <c r="F366" s="34">
        <v>2200</v>
      </c>
      <c r="G366" s="34">
        <v>307800</v>
      </c>
      <c r="V366" s="34"/>
      <c r="W366" s="46"/>
      <c r="X366" s="46"/>
      <c r="Y366" s="46"/>
      <c r="AB366" s="46"/>
      <c r="AG366" s="46"/>
      <c r="AL366" s="46"/>
      <c r="AQ366" s="46"/>
      <c r="BA366" s="46"/>
      <c r="BF366" s="46"/>
      <c r="BK366" s="46"/>
      <c r="BP366" s="46"/>
      <c r="BU366" s="46"/>
      <c r="BZ366" s="46"/>
      <c r="CE366" s="379"/>
      <c r="CF366" s="379"/>
      <c r="CG366" s="379"/>
      <c r="CH366" s="379"/>
      <c r="CI366" s="379"/>
      <c r="CJ366" s="379"/>
      <c r="CK366" s="379"/>
      <c r="CL366" s="379"/>
      <c r="CM366" s="379"/>
      <c r="CN366" s="379"/>
      <c r="CO366" s="379"/>
      <c r="CP366" s="379"/>
      <c r="CQ366" s="379"/>
      <c r="CR366" s="379"/>
    </row>
    <row r="367" spans="1:96" x14ac:dyDescent="0.2">
      <c r="A367" s="80" t="s">
        <v>1441</v>
      </c>
      <c r="B367" s="885" t="s">
        <v>5419</v>
      </c>
      <c r="C367" s="58" t="s">
        <v>4959</v>
      </c>
      <c r="D367" s="58"/>
      <c r="E367" s="34">
        <v>62200</v>
      </c>
      <c r="F367" s="34">
        <v>6300</v>
      </c>
      <c r="G367" s="34">
        <v>10000</v>
      </c>
      <c r="U367" s="34">
        <v>330800</v>
      </c>
      <c r="V367" s="46">
        <f t="shared" ref="V367:V382" si="783">E367-SUM(R367:U367)</f>
        <v>-268600</v>
      </c>
      <c r="W367" s="46"/>
      <c r="X367" s="46"/>
      <c r="Y367" s="46"/>
      <c r="Z367" s="34">
        <v>268600</v>
      </c>
      <c r="AA367" s="46">
        <f t="shared" si="780"/>
        <v>-262300</v>
      </c>
      <c r="AB367" s="46"/>
      <c r="AG367" s="46"/>
      <c r="AL367" s="46"/>
      <c r="AQ367" s="46"/>
      <c r="BA367" s="46"/>
      <c r="BF367" s="46"/>
      <c r="BK367" s="46"/>
      <c r="BP367" s="46"/>
      <c r="BU367" s="46"/>
      <c r="BZ367" s="46"/>
      <c r="CE367" s="379"/>
      <c r="CF367" s="379"/>
      <c r="CG367" s="379"/>
      <c r="CH367" s="379"/>
      <c r="CI367" s="379"/>
      <c r="CJ367" s="379"/>
      <c r="CK367" s="379"/>
      <c r="CL367" s="379"/>
      <c r="CM367" s="379"/>
      <c r="CN367" s="379"/>
      <c r="CO367" s="379"/>
      <c r="CP367" s="379"/>
      <c r="CQ367" s="379"/>
      <c r="CR367" s="379"/>
    </row>
    <row r="368" spans="1:96" x14ac:dyDescent="0.2">
      <c r="A368" s="80" t="s">
        <v>5448</v>
      </c>
      <c r="B368" s="885" t="s">
        <v>6092</v>
      </c>
      <c r="C368" s="58" t="s">
        <v>5446</v>
      </c>
      <c r="D368" s="58"/>
      <c r="E368" s="34">
        <v>399400</v>
      </c>
      <c r="R368" s="34">
        <f>200000+200000</f>
        <v>400000</v>
      </c>
      <c r="V368" s="46">
        <f t="shared" si="783"/>
        <v>-600</v>
      </c>
      <c r="W368" s="46"/>
      <c r="X368" s="46"/>
      <c r="Y368" s="46"/>
      <c r="AA368" s="46">
        <f t="shared" si="780"/>
        <v>0</v>
      </c>
      <c r="AB368" s="46"/>
      <c r="AG368" s="46"/>
      <c r="AL368" s="46"/>
      <c r="AQ368" s="46"/>
      <c r="BA368" s="46"/>
      <c r="BF368" s="46"/>
      <c r="BK368" s="46"/>
      <c r="BP368" s="46"/>
      <c r="BU368" s="46"/>
      <c r="BZ368" s="46"/>
      <c r="CE368" s="379"/>
      <c r="CF368" s="379"/>
      <c r="CG368" s="379"/>
      <c r="CH368" s="379"/>
      <c r="CI368" s="379"/>
      <c r="CJ368" s="379"/>
      <c r="CK368" s="379"/>
      <c r="CL368" s="379"/>
      <c r="CM368" s="379"/>
      <c r="CN368" s="379"/>
      <c r="CO368" s="379"/>
      <c r="CP368" s="379"/>
      <c r="CQ368" s="379"/>
      <c r="CR368" s="379"/>
    </row>
    <row r="369" spans="1:96" x14ac:dyDescent="0.2">
      <c r="A369" s="80" t="s">
        <v>5447</v>
      </c>
      <c r="B369" s="885" t="s">
        <v>6093</v>
      </c>
      <c r="C369" s="58" t="s">
        <v>5081</v>
      </c>
      <c r="D369" s="58"/>
      <c r="E369" s="34">
        <v>419200</v>
      </c>
      <c r="R369" s="34">
        <v>160000</v>
      </c>
      <c r="U369" s="34">
        <v>30000</v>
      </c>
      <c r="V369" s="46">
        <f t="shared" si="783"/>
        <v>229200</v>
      </c>
      <c r="W369" s="46"/>
      <c r="X369" s="46"/>
      <c r="Y369" s="46"/>
      <c r="AA369" s="46">
        <f t="shared" si="780"/>
        <v>0</v>
      </c>
      <c r="AB369" s="46"/>
      <c r="AG369" s="46"/>
      <c r="AL369" s="46"/>
      <c r="AQ369" s="46"/>
      <c r="BA369" s="46"/>
      <c r="BF369" s="46"/>
      <c r="BK369" s="46"/>
      <c r="BP369" s="46"/>
      <c r="BU369" s="46"/>
      <c r="BZ369" s="46"/>
      <c r="CE369" s="379"/>
      <c r="CF369" s="379"/>
      <c r="CG369" s="379"/>
      <c r="CH369" s="379"/>
      <c r="CI369" s="379"/>
      <c r="CJ369" s="379"/>
      <c r="CK369" s="379"/>
      <c r="CL369" s="379"/>
      <c r="CM369" s="379"/>
      <c r="CN369" s="379"/>
      <c r="CO369" s="379"/>
      <c r="CP369" s="379"/>
      <c r="CQ369" s="379"/>
      <c r="CR369" s="379"/>
    </row>
    <row r="370" spans="1:96" x14ac:dyDescent="0.2">
      <c r="A370" s="80" t="s">
        <v>7073</v>
      </c>
      <c r="B370" s="885" t="s">
        <v>7129</v>
      </c>
      <c r="C370" s="58" t="s">
        <v>7130</v>
      </c>
      <c r="D370" s="58" t="s">
        <v>7130</v>
      </c>
      <c r="F370" s="34">
        <v>400</v>
      </c>
      <c r="G370" s="34">
        <f>350000-350000</f>
        <v>0</v>
      </c>
      <c r="W370" s="46"/>
      <c r="X370" s="46"/>
      <c r="Y370" s="46"/>
      <c r="AB370" s="46"/>
      <c r="AG370" s="46"/>
      <c r="AL370" s="46"/>
      <c r="AQ370" s="46"/>
      <c r="BA370" s="46"/>
      <c r="BF370" s="46"/>
      <c r="BK370" s="46"/>
      <c r="BP370" s="46"/>
      <c r="BU370" s="46"/>
      <c r="BZ370" s="46"/>
      <c r="CE370" s="379"/>
      <c r="CF370" s="379"/>
      <c r="CG370" s="379"/>
      <c r="CH370" s="379"/>
      <c r="CI370" s="379"/>
      <c r="CJ370" s="379"/>
      <c r="CK370" s="379"/>
      <c r="CL370" s="379"/>
      <c r="CM370" s="379"/>
      <c r="CN370" s="379"/>
      <c r="CO370" s="379"/>
      <c r="CP370" s="379"/>
      <c r="CQ370" s="379"/>
      <c r="CR370" s="379"/>
    </row>
    <row r="371" spans="1:96" x14ac:dyDescent="0.2">
      <c r="A371" s="80" t="s">
        <v>5449</v>
      </c>
      <c r="B371" s="885" t="s">
        <v>7129</v>
      </c>
      <c r="C371" s="58" t="s">
        <v>4959</v>
      </c>
      <c r="D371" s="58"/>
      <c r="E371" s="34">
        <v>3500</v>
      </c>
      <c r="F371" s="34">
        <v>11800</v>
      </c>
      <c r="G371" s="34">
        <v>14700</v>
      </c>
      <c r="V371" s="46">
        <f t="shared" si="783"/>
        <v>3500</v>
      </c>
      <c r="W371" s="46"/>
      <c r="X371" s="46"/>
      <c r="Y371" s="46"/>
      <c r="Z371" s="34">
        <v>26500</v>
      </c>
      <c r="AA371" s="46">
        <f t="shared" si="780"/>
        <v>-14700</v>
      </c>
      <c r="AB371" s="46"/>
      <c r="AG371" s="46"/>
      <c r="AL371" s="46"/>
      <c r="AQ371" s="46"/>
      <c r="BA371" s="46"/>
      <c r="BF371" s="46"/>
      <c r="BK371" s="46"/>
      <c r="BP371" s="46"/>
      <c r="BU371" s="46"/>
      <c r="BZ371" s="46"/>
      <c r="CE371" s="379"/>
      <c r="CF371" s="379"/>
      <c r="CG371" s="379"/>
      <c r="CH371" s="379"/>
      <c r="CI371" s="379"/>
      <c r="CJ371" s="379"/>
      <c r="CK371" s="379"/>
      <c r="CL371" s="379"/>
      <c r="CM371" s="379"/>
      <c r="CN371" s="379"/>
      <c r="CO371" s="379"/>
      <c r="CP371" s="379"/>
      <c r="CQ371" s="379"/>
      <c r="CR371" s="379"/>
    </row>
    <row r="372" spans="1:96" x14ac:dyDescent="0.2">
      <c r="A372" s="80" t="s">
        <v>5465</v>
      </c>
      <c r="B372" s="885" t="s">
        <v>6119</v>
      </c>
      <c r="C372" s="58" t="s">
        <v>6120</v>
      </c>
      <c r="D372" s="58"/>
      <c r="E372" s="34">
        <v>963000</v>
      </c>
      <c r="F372" s="34">
        <v>21600</v>
      </c>
      <c r="R372" s="34">
        <v>889000</v>
      </c>
      <c r="V372" s="46">
        <f t="shared" si="783"/>
        <v>74000</v>
      </c>
      <c r="W372" s="46"/>
      <c r="X372" s="46"/>
      <c r="Y372" s="46"/>
      <c r="Z372" s="34">
        <v>21600</v>
      </c>
      <c r="AA372" s="46">
        <f t="shared" si="780"/>
        <v>0</v>
      </c>
      <c r="AB372" s="46"/>
      <c r="AG372" s="46"/>
      <c r="AL372" s="46"/>
      <c r="AQ372" s="46"/>
      <c r="BA372" s="46"/>
      <c r="BF372" s="46"/>
      <c r="BK372" s="46"/>
      <c r="BP372" s="46"/>
      <c r="BU372" s="46"/>
      <c r="BZ372" s="46"/>
      <c r="CE372" s="379"/>
      <c r="CF372" s="379"/>
      <c r="CG372" s="379"/>
      <c r="CH372" s="379"/>
      <c r="CI372" s="379"/>
      <c r="CJ372" s="379"/>
      <c r="CK372" s="379"/>
      <c r="CL372" s="379"/>
      <c r="CM372" s="379"/>
      <c r="CN372" s="379"/>
      <c r="CO372" s="379"/>
      <c r="CP372" s="379"/>
      <c r="CQ372" s="379"/>
      <c r="CR372" s="379"/>
    </row>
    <row r="373" spans="1:96" x14ac:dyDescent="0.2">
      <c r="A373" s="80" t="s">
        <v>5523</v>
      </c>
      <c r="B373" s="885" t="s">
        <v>6094</v>
      </c>
      <c r="C373" s="58" t="s">
        <v>5525</v>
      </c>
      <c r="D373" s="58"/>
      <c r="E373" s="34">
        <v>12800</v>
      </c>
      <c r="U373" s="34">
        <f>11000+9000</f>
        <v>20000</v>
      </c>
      <c r="V373" s="46">
        <f t="shared" si="783"/>
        <v>-7200</v>
      </c>
      <c r="W373" s="46"/>
      <c r="X373" s="46"/>
      <c r="Y373" s="46"/>
      <c r="AA373" s="46">
        <f t="shared" si="780"/>
        <v>0</v>
      </c>
      <c r="AB373" s="46"/>
      <c r="AG373" s="46"/>
      <c r="AL373" s="46"/>
      <c r="AQ373" s="46"/>
      <c r="BA373" s="46"/>
      <c r="BF373" s="46"/>
      <c r="BK373" s="46"/>
      <c r="BP373" s="46"/>
      <c r="BU373" s="46"/>
      <c r="BZ373" s="46"/>
      <c r="CE373" s="379"/>
      <c r="CF373" s="379"/>
      <c r="CG373" s="379"/>
      <c r="CH373" s="379"/>
      <c r="CI373" s="379"/>
      <c r="CJ373" s="379"/>
      <c r="CK373" s="379"/>
      <c r="CL373" s="379"/>
      <c r="CM373" s="379"/>
      <c r="CN373" s="379"/>
      <c r="CO373" s="379"/>
      <c r="CP373" s="379"/>
      <c r="CQ373" s="379"/>
      <c r="CR373" s="379"/>
    </row>
    <row r="374" spans="1:96" x14ac:dyDescent="0.2">
      <c r="A374" s="80" t="s">
        <v>5524</v>
      </c>
      <c r="B374" s="885" t="s">
        <v>6095</v>
      </c>
      <c r="C374" s="58" t="s">
        <v>5526</v>
      </c>
      <c r="D374" s="58"/>
      <c r="E374" s="34">
        <v>186900</v>
      </c>
      <c r="U374" s="34">
        <v>170000</v>
      </c>
      <c r="V374" s="46">
        <f t="shared" si="783"/>
        <v>16900</v>
      </c>
      <c r="W374" s="46"/>
      <c r="X374" s="46"/>
      <c r="Y374" s="46"/>
      <c r="AA374" s="46">
        <f t="shared" si="780"/>
        <v>0</v>
      </c>
      <c r="AB374" s="46"/>
      <c r="AG374" s="46"/>
      <c r="AL374" s="46"/>
      <c r="AQ374" s="46"/>
      <c r="BA374" s="46"/>
      <c r="BF374" s="46"/>
      <c r="BK374" s="46"/>
      <c r="BP374" s="46"/>
      <c r="BU374" s="46"/>
      <c r="BZ374" s="46"/>
      <c r="CE374" s="379"/>
      <c r="CF374" s="379"/>
      <c r="CG374" s="379"/>
      <c r="CH374" s="379"/>
      <c r="CI374" s="379"/>
      <c r="CJ374" s="379"/>
      <c r="CK374" s="379"/>
      <c r="CL374" s="379"/>
      <c r="CM374" s="379"/>
      <c r="CN374" s="379"/>
      <c r="CO374" s="379"/>
      <c r="CP374" s="379"/>
      <c r="CQ374" s="379"/>
      <c r="CR374" s="379"/>
    </row>
    <row r="375" spans="1:96" x14ac:dyDescent="0.2">
      <c r="A375" s="80" t="s">
        <v>5809</v>
      </c>
      <c r="B375" s="885" t="s">
        <v>6091</v>
      </c>
      <c r="C375" s="58" t="s">
        <v>5808</v>
      </c>
      <c r="D375" s="58"/>
      <c r="R375" s="34">
        <v>76000</v>
      </c>
      <c r="V375" s="46">
        <f t="shared" si="783"/>
        <v>-76000</v>
      </c>
      <c r="W375" s="46"/>
      <c r="X375" s="46"/>
      <c r="Y375" s="46"/>
      <c r="AA375" s="46">
        <f t="shared" si="780"/>
        <v>0</v>
      </c>
      <c r="AB375" s="46"/>
      <c r="AG375" s="46"/>
      <c r="AL375" s="46"/>
      <c r="AQ375" s="46"/>
      <c r="BA375" s="46"/>
      <c r="BF375" s="46"/>
      <c r="BK375" s="46"/>
      <c r="BP375" s="46"/>
      <c r="BU375" s="46"/>
      <c r="BZ375" s="46"/>
      <c r="CE375" s="379"/>
      <c r="CF375" s="379"/>
      <c r="CG375" s="379"/>
      <c r="CH375" s="379"/>
      <c r="CI375" s="379"/>
      <c r="CJ375" s="379"/>
      <c r="CK375" s="379"/>
      <c r="CL375" s="379"/>
      <c r="CM375" s="379"/>
      <c r="CN375" s="379"/>
      <c r="CO375" s="379"/>
      <c r="CP375" s="379"/>
      <c r="CQ375" s="379"/>
      <c r="CR375" s="379"/>
    </row>
    <row r="376" spans="1:96" x14ac:dyDescent="0.2">
      <c r="A376" s="80" t="s">
        <v>5812</v>
      </c>
      <c r="B376" s="885" t="s">
        <v>6091</v>
      </c>
      <c r="C376" s="58" t="s">
        <v>5817</v>
      </c>
      <c r="D376" s="58"/>
      <c r="E376" s="34">
        <v>267500</v>
      </c>
      <c r="R376" s="34">
        <v>15000</v>
      </c>
      <c r="V376" s="46">
        <f t="shared" si="783"/>
        <v>252500</v>
      </c>
      <c r="W376" s="46"/>
      <c r="X376" s="46"/>
      <c r="Y376" s="46"/>
      <c r="AA376" s="46">
        <f t="shared" si="780"/>
        <v>0</v>
      </c>
      <c r="AB376" s="46"/>
      <c r="AG376" s="46"/>
      <c r="AL376" s="46"/>
      <c r="AQ376" s="46"/>
      <c r="BA376" s="46"/>
      <c r="BF376" s="46"/>
      <c r="BK376" s="46"/>
      <c r="BP376" s="46"/>
      <c r="BU376" s="46"/>
      <c r="BZ376" s="46"/>
      <c r="CE376" s="379"/>
      <c r="CF376" s="379"/>
      <c r="CG376" s="379"/>
      <c r="CH376" s="379"/>
      <c r="CI376" s="379"/>
      <c r="CJ376" s="379"/>
      <c r="CK376" s="379"/>
      <c r="CL376" s="379"/>
      <c r="CM376" s="379"/>
      <c r="CN376" s="379"/>
      <c r="CO376" s="379"/>
      <c r="CP376" s="379"/>
      <c r="CQ376" s="379"/>
      <c r="CR376" s="379"/>
    </row>
    <row r="377" spans="1:96" x14ac:dyDescent="0.2">
      <c r="A377" s="80" t="s">
        <v>5811</v>
      </c>
      <c r="B377" s="885" t="s">
        <v>6091</v>
      </c>
      <c r="C377" s="58" t="s">
        <v>5810</v>
      </c>
      <c r="D377" s="58"/>
      <c r="R377" s="34">
        <v>17000</v>
      </c>
      <c r="V377" s="46">
        <f t="shared" si="783"/>
        <v>-17000</v>
      </c>
      <c r="W377" s="46"/>
      <c r="X377" s="46"/>
      <c r="Y377" s="46"/>
      <c r="AA377" s="46">
        <f t="shared" si="780"/>
        <v>0</v>
      </c>
      <c r="AB377" s="46"/>
      <c r="AG377" s="46"/>
      <c r="AL377" s="46"/>
      <c r="AQ377" s="46"/>
      <c r="BA377" s="46"/>
      <c r="BF377" s="46"/>
      <c r="BK377" s="46"/>
      <c r="BP377" s="46"/>
      <c r="BU377" s="46"/>
      <c r="BZ377" s="46"/>
      <c r="CE377" s="379"/>
      <c r="CF377" s="379"/>
      <c r="CG377" s="379"/>
      <c r="CH377" s="379"/>
      <c r="CI377" s="379"/>
      <c r="CJ377" s="379"/>
      <c r="CK377" s="379"/>
      <c r="CL377" s="379"/>
      <c r="CM377" s="379"/>
      <c r="CN377" s="379"/>
      <c r="CO377" s="379"/>
      <c r="CP377" s="379"/>
      <c r="CQ377" s="379"/>
      <c r="CR377" s="379"/>
    </row>
    <row r="378" spans="1:96" x14ac:dyDescent="0.2">
      <c r="A378" s="80" t="s">
        <v>5813</v>
      </c>
      <c r="B378" s="885" t="s">
        <v>6091</v>
      </c>
      <c r="C378" s="58" t="s">
        <v>5818</v>
      </c>
      <c r="D378" s="58"/>
      <c r="R378" s="34">
        <v>35000</v>
      </c>
      <c r="V378" s="46">
        <f t="shared" si="783"/>
        <v>-35000</v>
      </c>
      <c r="W378" s="46"/>
      <c r="X378" s="46"/>
      <c r="Y378" s="46"/>
      <c r="AA378" s="46">
        <f t="shared" si="780"/>
        <v>0</v>
      </c>
      <c r="AB378" s="46"/>
      <c r="AG378" s="46"/>
      <c r="AL378" s="46"/>
      <c r="AQ378" s="46"/>
      <c r="BA378" s="46"/>
      <c r="BF378" s="46"/>
      <c r="BK378" s="46"/>
      <c r="BP378" s="46"/>
      <c r="BU378" s="46"/>
      <c r="BZ378" s="46"/>
      <c r="CE378" s="379"/>
      <c r="CF378" s="379"/>
      <c r="CG378" s="379"/>
      <c r="CH378" s="379"/>
      <c r="CI378" s="379"/>
      <c r="CJ378" s="379"/>
      <c r="CK378" s="379"/>
      <c r="CL378" s="379"/>
      <c r="CM378" s="379"/>
      <c r="CN378" s="379"/>
      <c r="CO378" s="379"/>
      <c r="CP378" s="379"/>
      <c r="CQ378" s="379"/>
      <c r="CR378" s="379"/>
    </row>
    <row r="379" spans="1:96" x14ac:dyDescent="0.2">
      <c r="A379" s="80" t="s">
        <v>5814</v>
      </c>
      <c r="B379" s="885" t="s">
        <v>6091</v>
      </c>
      <c r="C379" s="58" t="s">
        <v>5819</v>
      </c>
      <c r="D379" s="58"/>
      <c r="R379" s="34">
        <v>16000</v>
      </c>
      <c r="V379" s="46">
        <f t="shared" si="783"/>
        <v>-16000</v>
      </c>
      <c r="W379" s="46"/>
      <c r="X379" s="46"/>
      <c r="Y379" s="46"/>
      <c r="AA379" s="46">
        <f t="shared" si="780"/>
        <v>0</v>
      </c>
      <c r="AB379" s="46"/>
      <c r="AG379" s="46"/>
      <c r="AL379" s="46"/>
      <c r="AQ379" s="46"/>
      <c r="BA379" s="46"/>
      <c r="BF379" s="46"/>
      <c r="BK379" s="46"/>
      <c r="BP379" s="46"/>
      <c r="BU379" s="46"/>
      <c r="BZ379" s="46"/>
      <c r="CE379" s="379"/>
      <c r="CF379" s="379"/>
      <c r="CG379" s="379"/>
      <c r="CH379" s="379"/>
      <c r="CI379" s="379"/>
      <c r="CJ379" s="379"/>
      <c r="CK379" s="379"/>
      <c r="CL379" s="379"/>
      <c r="CM379" s="379"/>
      <c r="CN379" s="379"/>
      <c r="CO379" s="379"/>
      <c r="CP379" s="379"/>
      <c r="CQ379" s="379"/>
      <c r="CR379" s="379"/>
    </row>
    <row r="380" spans="1:96" x14ac:dyDescent="0.2">
      <c r="A380" s="80" t="s">
        <v>5815</v>
      </c>
      <c r="B380" s="885" t="s">
        <v>6091</v>
      </c>
      <c r="C380" s="58" t="s">
        <v>5820</v>
      </c>
      <c r="D380" s="58"/>
      <c r="R380" s="34">
        <v>30000</v>
      </c>
      <c r="V380" s="46">
        <f t="shared" si="783"/>
        <v>-30000</v>
      </c>
      <c r="W380" s="46"/>
      <c r="X380" s="46"/>
      <c r="Y380" s="46"/>
      <c r="AA380" s="46">
        <f t="shared" si="780"/>
        <v>0</v>
      </c>
      <c r="AB380" s="46"/>
      <c r="AG380" s="46"/>
      <c r="AL380" s="46"/>
      <c r="AQ380" s="46"/>
      <c r="BA380" s="46"/>
      <c r="BF380" s="46"/>
      <c r="BK380" s="46"/>
      <c r="BP380" s="46"/>
      <c r="BU380" s="46"/>
      <c r="BZ380" s="46"/>
      <c r="CE380" s="379"/>
      <c r="CF380" s="379"/>
      <c r="CG380" s="379"/>
      <c r="CH380" s="379"/>
      <c r="CI380" s="379"/>
      <c r="CJ380" s="379"/>
      <c r="CK380" s="379"/>
      <c r="CL380" s="379"/>
      <c r="CM380" s="379"/>
      <c r="CN380" s="379"/>
      <c r="CO380" s="379"/>
      <c r="CP380" s="379"/>
      <c r="CQ380" s="379"/>
      <c r="CR380" s="379"/>
    </row>
    <row r="381" spans="1:96" x14ac:dyDescent="0.2">
      <c r="A381" s="80" t="s">
        <v>5816</v>
      </c>
      <c r="B381" s="885" t="s">
        <v>6091</v>
      </c>
      <c r="C381" s="58" t="s">
        <v>5821</v>
      </c>
      <c r="D381" s="58"/>
      <c r="R381" s="34">
        <v>11000</v>
      </c>
      <c r="V381" s="46">
        <f t="shared" si="783"/>
        <v>-11000</v>
      </c>
      <c r="W381" s="46"/>
      <c r="X381" s="46"/>
      <c r="Y381" s="46"/>
      <c r="AA381" s="46">
        <f t="shared" si="780"/>
        <v>0</v>
      </c>
      <c r="AB381" s="46"/>
      <c r="AG381" s="46"/>
      <c r="AL381" s="46"/>
      <c r="AQ381" s="46"/>
      <c r="BA381" s="46"/>
      <c r="BF381" s="46"/>
      <c r="BK381" s="46"/>
      <c r="BP381" s="46"/>
      <c r="BU381" s="46"/>
      <c r="BZ381" s="46"/>
      <c r="CE381" s="379"/>
      <c r="CF381" s="379"/>
      <c r="CG381" s="379"/>
      <c r="CH381" s="379"/>
      <c r="CI381" s="379"/>
      <c r="CJ381" s="379"/>
      <c r="CK381" s="379"/>
      <c r="CL381" s="379"/>
      <c r="CM381" s="379"/>
      <c r="CN381" s="379"/>
      <c r="CO381" s="379"/>
      <c r="CP381" s="379"/>
      <c r="CQ381" s="379"/>
      <c r="CR381" s="379"/>
    </row>
    <row r="382" spans="1:96" x14ac:dyDescent="0.2">
      <c r="A382" s="80" t="s">
        <v>6247</v>
      </c>
      <c r="B382" s="885" t="s">
        <v>6279</v>
      </c>
      <c r="C382" s="58" t="s">
        <v>6314</v>
      </c>
      <c r="D382" s="58" t="s">
        <v>6314</v>
      </c>
      <c r="F382" s="34">
        <v>68100</v>
      </c>
      <c r="G382" s="34">
        <f>'Cap Inc'!F68</f>
        <v>1889900</v>
      </c>
      <c r="V382" s="46">
        <f t="shared" si="783"/>
        <v>0</v>
      </c>
      <c r="W382" s="46">
        <v>68100</v>
      </c>
      <c r="X382" s="46"/>
      <c r="Y382" s="46"/>
      <c r="AA382" s="46">
        <f t="shared" si="780"/>
        <v>0</v>
      </c>
      <c r="AB382" s="46">
        <f>'Cap Inc'!F68</f>
        <v>1889900</v>
      </c>
      <c r="AG382" s="46"/>
      <c r="AL382" s="46"/>
      <c r="AQ382" s="46"/>
      <c r="BA382" s="46"/>
      <c r="BF382" s="46"/>
      <c r="BK382" s="46"/>
      <c r="BP382" s="46"/>
      <c r="BU382" s="46"/>
      <c r="BZ382" s="46"/>
      <c r="CE382" s="379"/>
      <c r="CF382" s="379"/>
      <c r="CG382" s="379"/>
      <c r="CH382" s="379"/>
      <c r="CI382" s="379"/>
      <c r="CJ382" s="379"/>
      <c r="CK382" s="379"/>
      <c r="CL382" s="379"/>
      <c r="CM382" s="379"/>
      <c r="CN382" s="379"/>
      <c r="CO382" s="379"/>
      <c r="CP382" s="379"/>
      <c r="CQ382" s="379"/>
      <c r="CR382" s="379"/>
    </row>
    <row r="383" spans="1:96" x14ac:dyDescent="0.2">
      <c r="A383" s="80" t="s">
        <v>6249</v>
      </c>
      <c r="B383" s="885" t="s">
        <v>6280</v>
      </c>
      <c r="C383" s="58"/>
      <c r="D383" s="885" t="s">
        <v>6280</v>
      </c>
      <c r="V383" s="34"/>
      <c r="W383" s="34">
        <v>0</v>
      </c>
      <c r="X383" s="46"/>
    </row>
    <row r="384" spans="1:96" x14ac:dyDescent="0.2">
      <c r="A384" s="80" t="s">
        <v>6133</v>
      </c>
      <c r="B384" s="144"/>
      <c r="C384" s="55"/>
      <c r="D384" s="58"/>
      <c r="W384" s="46">
        <v>1484000</v>
      </c>
      <c r="X384" s="46"/>
      <c r="Y384" s="46"/>
      <c r="AA384" s="46">
        <f>F384-W384-X384-Y384-Z384</f>
        <v>-1484000</v>
      </c>
      <c r="AB384" s="46"/>
      <c r="AG384" s="46"/>
      <c r="AL384" s="46"/>
      <c r="AQ384" s="46"/>
      <c r="BA384" s="46"/>
      <c r="BF384" s="46"/>
      <c r="BK384" s="46"/>
      <c r="BP384" s="46"/>
      <c r="BU384" s="46"/>
      <c r="BZ384" s="46"/>
      <c r="CE384" s="379"/>
      <c r="CF384" s="379"/>
      <c r="CG384" s="379"/>
      <c r="CH384" s="379"/>
      <c r="CI384" s="379"/>
      <c r="CJ384" s="379"/>
      <c r="CK384" s="379"/>
      <c r="CL384" s="379"/>
      <c r="CM384" s="379"/>
      <c r="CN384" s="379"/>
      <c r="CO384" s="379"/>
      <c r="CP384" s="379"/>
      <c r="CQ384" s="379"/>
      <c r="CR384" s="379"/>
    </row>
    <row r="385" spans="1:96" x14ac:dyDescent="0.2">
      <c r="A385" s="80" t="s">
        <v>6355</v>
      </c>
      <c r="B385" s="885" t="s">
        <v>6361</v>
      </c>
      <c r="C385" s="58" t="s">
        <v>6362</v>
      </c>
      <c r="D385" s="58" t="s">
        <v>6362</v>
      </c>
      <c r="F385" s="34">
        <v>818100</v>
      </c>
      <c r="G385" s="34">
        <v>28000</v>
      </c>
      <c r="W385" s="46">
        <v>787100</v>
      </c>
      <c r="X385" s="46"/>
      <c r="Y385" s="46"/>
      <c r="AB385" s="46"/>
      <c r="AG385" s="46"/>
      <c r="AL385" s="46"/>
      <c r="AQ385" s="46"/>
      <c r="BA385" s="46"/>
      <c r="BF385" s="46"/>
      <c r="BK385" s="46"/>
      <c r="BP385" s="46"/>
      <c r="BU385" s="46"/>
      <c r="BZ385" s="46"/>
      <c r="CE385" s="379"/>
      <c r="CF385" s="379"/>
      <c r="CG385" s="379"/>
      <c r="CH385" s="379"/>
      <c r="CI385" s="379"/>
      <c r="CJ385" s="379"/>
      <c r="CK385" s="379"/>
      <c r="CL385" s="379"/>
      <c r="CM385" s="379"/>
      <c r="CN385" s="379"/>
      <c r="CO385" s="379"/>
      <c r="CP385" s="379"/>
      <c r="CQ385" s="379"/>
      <c r="CR385" s="379"/>
    </row>
    <row r="386" spans="1:96" x14ac:dyDescent="0.2">
      <c r="A386" s="80" t="s">
        <v>7065</v>
      </c>
      <c r="B386" s="885" t="s">
        <v>7131</v>
      </c>
      <c r="C386" s="58" t="s">
        <v>7132</v>
      </c>
      <c r="D386" s="58" t="s">
        <v>7132</v>
      </c>
      <c r="G386" s="34">
        <v>243000</v>
      </c>
      <c r="W386" s="46"/>
      <c r="X386" s="46"/>
      <c r="Y386" s="46"/>
      <c r="AB386" s="46"/>
      <c r="AG386" s="46"/>
      <c r="AL386" s="46"/>
      <c r="AQ386" s="46"/>
      <c r="BA386" s="46"/>
      <c r="BF386" s="46"/>
      <c r="BK386" s="46"/>
      <c r="BP386" s="46"/>
      <c r="BU386" s="46"/>
      <c r="BZ386" s="46"/>
      <c r="CE386" s="379"/>
      <c r="CF386" s="379"/>
      <c r="CG386" s="379"/>
      <c r="CH386" s="379"/>
      <c r="CI386" s="379"/>
      <c r="CJ386" s="379"/>
      <c r="CK386" s="379"/>
      <c r="CL386" s="379"/>
      <c r="CM386" s="379"/>
      <c r="CN386" s="379"/>
      <c r="CO386" s="379"/>
      <c r="CP386" s="379"/>
      <c r="CQ386" s="379"/>
      <c r="CR386" s="379"/>
    </row>
    <row r="387" spans="1:96" x14ac:dyDescent="0.2">
      <c r="A387" s="80" t="s">
        <v>7068</v>
      </c>
      <c r="B387" s="885" t="s">
        <v>7133</v>
      </c>
      <c r="C387" s="58" t="s">
        <v>7134</v>
      </c>
      <c r="D387" s="58" t="s">
        <v>7134</v>
      </c>
      <c r="G387" s="34">
        <v>142000</v>
      </c>
      <c r="W387" s="46"/>
      <c r="X387" s="46"/>
      <c r="Y387" s="46"/>
      <c r="AB387" s="46"/>
      <c r="AG387" s="46"/>
      <c r="AL387" s="46"/>
      <c r="AQ387" s="46"/>
      <c r="BA387" s="46"/>
      <c r="BF387" s="46"/>
      <c r="BK387" s="46"/>
      <c r="BP387" s="46"/>
      <c r="BU387" s="46"/>
      <c r="BZ387" s="46"/>
      <c r="CE387" s="379"/>
      <c r="CF387" s="379"/>
      <c r="CG387" s="379"/>
      <c r="CH387" s="379"/>
      <c r="CI387" s="379"/>
      <c r="CJ387" s="379"/>
      <c r="CK387" s="379"/>
      <c r="CL387" s="379"/>
      <c r="CM387" s="379"/>
      <c r="CN387" s="379"/>
      <c r="CO387" s="379"/>
      <c r="CP387" s="379"/>
      <c r="CQ387" s="379"/>
      <c r="CR387" s="379"/>
    </row>
    <row r="388" spans="1:96" x14ac:dyDescent="0.2">
      <c r="A388" s="80" t="s">
        <v>7070</v>
      </c>
      <c r="B388" s="885" t="s">
        <v>7135</v>
      </c>
      <c r="C388" s="58" t="s">
        <v>7136</v>
      </c>
      <c r="D388" s="58" t="s">
        <v>7136</v>
      </c>
      <c r="F388" s="34">
        <v>300</v>
      </c>
      <c r="G388" s="34">
        <v>180000</v>
      </c>
      <c r="W388" s="46"/>
      <c r="X388" s="46"/>
      <c r="Y388" s="46"/>
      <c r="AB388" s="46"/>
      <c r="AG388" s="46"/>
      <c r="AL388" s="46"/>
      <c r="AQ388" s="46"/>
      <c r="BA388" s="46"/>
      <c r="BF388" s="46"/>
      <c r="BK388" s="46"/>
      <c r="BP388" s="46"/>
      <c r="BU388" s="46"/>
      <c r="BZ388" s="46"/>
      <c r="CE388" s="379"/>
      <c r="CF388" s="379"/>
      <c r="CG388" s="379"/>
      <c r="CH388" s="379"/>
      <c r="CI388" s="379"/>
      <c r="CJ388" s="379"/>
      <c r="CK388" s="379"/>
      <c r="CL388" s="379"/>
      <c r="CM388" s="379"/>
      <c r="CN388" s="379"/>
      <c r="CO388" s="379"/>
      <c r="CP388" s="379"/>
      <c r="CQ388" s="379"/>
      <c r="CR388" s="379"/>
    </row>
    <row r="389" spans="1:96" x14ac:dyDescent="0.2">
      <c r="A389" s="80" t="s">
        <v>11813</v>
      </c>
      <c r="B389" s="885" t="s">
        <v>11815</v>
      </c>
      <c r="C389" s="58" t="s">
        <v>7127</v>
      </c>
      <c r="D389" s="58" t="s">
        <v>7127</v>
      </c>
      <c r="F389" s="34">
        <v>26900</v>
      </c>
      <c r="G389" s="34">
        <v>50000</v>
      </c>
      <c r="W389" s="46"/>
      <c r="X389" s="46"/>
      <c r="Y389" s="46"/>
      <c r="AB389" s="46"/>
      <c r="AG389" s="46"/>
      <c r="AL389" s="46"/>
      <c r="AQ389" s="46"/>
      <c r="BA389" s="46"/>
      <c r="BF389" s="46"/>
      <c r="BK389" s="46"/>
      <c r="BP389" s="46"/>
      <c r="BU389" s="46"/>
      <c r="BZ389" s="46"/>
      <c r="CE389" s="379"/>
      <c r="CF389" s="379"/>
      <c r="CG389" s="379"/>
      <c r="CH389" s="379"/>
      <c r="CI389" s="379"/>
      <c r="CJ389" s="379"/>
      <c r="CK389" s="379"/>
      <c r="CL389" s="379"/>
      <c r="CM389" s="379"/>
      <c r="CN389" s="379"/>
      <c r="CO389" s="379"/>
      <c r="CP389" s="379"/>
      <c r="CQ389" s="379"/>
      <c r="CR389" s="379"/>
    </row>
    <row r="390" spans="1:96" x14ac:dyDescent="0.2">
      <c r="A390" s="80" t="s">
        <v>11814</v>
      </c>
      <c r="B390" s="885" t="s">
        <v>11816</v>
      </c>
      <c r="C390" s="58" t="s">
        <v>7130</v>
      </c>
      <c r="D390" s="58" t="s">
        <v>7130</v>
      </c>
      <c r="F390" s="34">
        <v>241500</v>
      </c>
      <c r="G390" s="34">
        <v>110000</v>
      </c>
      <c r="W390" s="46"/>
      <c r="X390" s="46"/>
      <c r="Y390" s="46"/>
      <c r="AB390" s="46"/>
      <c r="AG390" s="46"/>
      <c r="AL390" s="46"/>
      <c r="AQ390" s="46"/>
      <c r="BA390" s="46"/>
      <c r="BF390" s="46"/>
      <c r="BK390" s="46"/>
      <c r="BP390" s="46"/>
      <c r="BU390" s="46"/>
      <c r="BZ390" s="46"/>
      <c r="CE390" s="379"/>
      <c r="CF390" s="379"/>
      <c r="CG390" s="379"/>
      <c r="CH390" s="379"/>
      <c r="CI390" s="379"/>
      <c r="CJ390" s="379"/>
      <c r="CK390" s="379"/>
      <c r="CL390" s="379"/>
      <c r="CM390" s="379"/>
      <c r="CN390" s="379"/>
      <c r="CO390" s="379"/>
      <c r="CP390" s="379"/>
      <c r="CQ390" s="379"/>
      <c r="CR390" s="379"/>
    </row>
    <row r="391" spans="1:96" x14ac:dyDescent="0.2">
      <c r="A391" s="80"/>
      <c r="B391" s="144"/>
      <c r="C391" s="55"/>
      <c r="D391" s="58"/>
      <c r="R391" s="34">
        <v>-192000</v>
      </c>
      <c r="U391" s="34">
        <v>192000</v>
      </c>
      <c r="V391" s="46">
        <v>192000</v>
      </c>
      <c r="W391" s="46"/>
      <c r="X391" s="46"/>
      <c r="Y391" s="46"/>
      <c r="AB391" s="46"/>
      <c r="AG391" s="46"/>
      <c r="AL391" s="46"/>
      <c r="AQ391" s="46"/>
      <c r="BA391" s="46"/>
      <c r="BF391" s="46"/>
      <c r="BK391" s="46"/>
      <c r="BP391" s="46"/>
      <c r="BU391" s="46"/>
      <c r="BZ391" s="46"/>
      <c r="CE391" s="379"/>
      <c r="CF391" s="379"/>
      <c r="CG391" s="379"/>
      <c r="CH391" s="379"/>
      <c r="CI391" s="379"/>
      <c r="CJ391" s="379"/>
      <c r="CK391" s="379"/>
      <c r="CL391" s="379"/>
      <c r="CM391" s="379"/>
      <c r="CN391" s="379"/>
      <c r="CO391" s="379"/>
      <c r="CP391" s="379"/>
      <c r="CQ391" s="379"/>
      <c r="CR391" s="379"/>
    </row>
    <row r="392" spans="1:96" s="65" customFormat="1" ht="13.5" thickBot="1" x14ac:dyDescent="0.25">
      <c r="A392" s="65" t="s">
        <v>752</v>
      </c>
      <c r="B392" s="890"/>
      <c r="C392" s="56"/>
      <c r="D392" s="56"/>
      <c r="E392" s="1284">
        <f>SUM(E341:E385)</f>
        <v>4724800</v>
      </c>
      <c r="F392" s="1284">
        <f t="shared" ref="F392:AA392" si="784">SUM(F341:F391)</f>
        <v>3887200</v>
      </c>
      <c r="G392" s="1284">
        <f t="shared" si="784"/>
        <v>5096000</v>
      </c>
      <c r="H392" s="1284">
        <f t="shared" si="784"/>
        <v>0</v>
      </c>
      <c r="I392" s="1284">
        <f t="shared" si="784"/>
        <v>0</v>
      </c>
      <c r="J392" s="1284">
        <f t="shared" si="784"/>
        <v>0</v>
      </c>
      <c r="K392" s="1284">
        <f t="shared" si="784"/>
        <v>0</v>
      </c>
      <c r="L392" s="1284">
        <f t="shared" si="784"/>
        <v>0</v>
      </c>
      <c r="M392" s="1284">
        <f t="shared" si="784"/>
        <v>0</v>
      </c>
      <c r="N392" s="1284">
        <f t="shared" si="784"/>
        <v>0</v>
      </c>
      <c r="O392" s="1284">
        <f t="shared" si="784"/>
        <v>0</v>
      </c>
      <c r="P392" s="1284">
        <f t="shared" si="784"/>
        <v>0</v>
      </c>
      <c r="Q392" s="1284">
        <f t="shared" ref="Q392" si="785">SUM(Q341:Q391)</f>
        <v>0</v>
      </c>
      <c r="R392" s="1284">
        <f t="shared" si="784"/>
        <v>2302500</v>
      </c>
      <c r="S392" s="1284">
        <f t="shared" si="784"/>
        <v>240000</v>
      </c>
      <c r="T392" s="1284">
        <f t="shared" si="784"/>
        <v>0</v>
      </c>
      <c r="U392" s="1284">
        <f t="shared" si="784"/>
        <v>608200</v>
      </c>
      <c r="V392" s="1284">
        <f t="shared" si="784"/>
        <v>1766100</v>
      </c>
      <c r="W392" s="1284">
        <v>2882200</v>
      </c>
      <c r="X392" s="1284">
        <f t="shared" si="784"/>
        <v>417000</v>
      </c>
      <c r="Y392" s="1284">
        <f t="shared" si="784"/>
        <v>0</v>
      </c>
      <c r="Z392" s="1284">
        <f t="shared" si="784"/>
        <v>528600</v>
      </c>
      <c r="AA392" s="1284">
        <f t="shared" si="784"/>
        <v>-242900</v>
      </c>
      <c r="AB392" s="92"/>
      <c r="AF392" s="92"/>
      <c r="AG392" s="92"/>
      <c r="AK392" s="92"/>
      <c r="AL392" s="92"/>
      <c r="AP392" s="92"/>
      <c r="AQ392" s="92"/>
      <c r="AU392" s="92"/>
      <c r="AV392" s="92"/>
      <c r="AZ392" s="92"/>
      <c r="BA392" s="92"/>
      <c r="BE392" s="92"/>
      <c r="BF392" s="92"/>
      <c r="BJ392" s="92"/>
      <c r="BK392" s="92"/>
      <c r="BO392" s="92"/>
      <c r="BP392" s="92"/>
      <c r="BT392" s="92"/>
      <c r="BU392" s="92"/>
      <c r="BY392" s="92"/>
      <c r="BZ392" s="92"/>
      <c r="CD392" s="92"/>
      <c r="CE392" s="901"/>
      <c r="CF392" s="901"/>
      <c r="CG392" s="901"/>
      <c r="CH392" s="901"/>
      <c r="CI392" s="901"/>
      <c r="CJ392" s="901"/>
      <c r="CK392" s="901"/>
      <c r="CL392" s="901"/>
      <c r="CM392" s="901"/>
      <c r="CN392" s="901"/>
      <c r="CO392" s="901"/>
      <c r="CP392" s="901"/>
      <c r="CQ392" s="901"/>
      <c r="CR392" s="901"/>
    </row>
    <row r="393" spans="1:96" s="65" customFormat="1" ht="13.5" thickTop="1" x14ac:dyDescent="0.2">
      <c r="A393" s="65" t="s">
        <v>88</v>
      </c>
      <c r="B393" s="890"/>
      <c r="C393" s="56"/>
      <c r="D393" s="56"/>
      <c r="E393" s="65">
        <f>IF((E392+E339)=SUM(E143)-E410,0,(E392+E339-SUM(E143)+E410))</f>
        <v>0</v>
      </c>
      <c r="F393" s="65">
        <f>IF((F392+F339)=SUM(F143)-F410,0,(F392+F339-SUM(F143)-F410))</f>
        <v>0</v>
      </c>
      <c r="G393" s="65">
        <f>IF((G392+G339)=SUM(G143)-G410,0,(G392+G339-SUM(G143)-G410))</f>
        <v>0</v>
      </c>
      <c r="H393" s="34"/>
      <c r="I393" s="34"/>
      <c r="R393" s="65">
        <f>IF((R392+R339)=SUM(R143-R410),0,(R392+R339-SUM(R143)-R410))</f>
        <v>-1691200</v>
      </c>
      <c r="S393" s="65">
        <f>IF((S392+S339)=SUM(S143-S410),0,(S392+S339-SUM(S143)-S410))</f>
        <v>0</v>
      </c>
      <c r="T393" s="65">
        <f>IF((T392+T339)=SUM(T143-T410),0,(T392+T339-SUM(T143)-T410))</f>
        <v>0</v>
      </c>
      <c r="U393" s="65">
        <f>IF((U392+U339)=SUM(U143-U410),0,(U392+U339-SUM(U143)-U410))</f>
        <v>310000</v>
      </c>
      <c r="V393" s="65">
        <f>IF((V392+V339)=SUM(V143-V410),0,(V392+V339-SUM(V143)-V410))</f>
        <v>1381200</v>
      </c>
      <c r="W393" s="65">
        <v>1858700</v>
      </c>
      <c r="X393" s="65">
        <f>IF((X392+X339)=SUM(X143-X410),0,(X392+X339-SUM(X143)-X410))</f>
        <v>16270</v>
      </c>
      <c r="Y393" s="65">
        <f>IF((Y392+Y339)=SUM(Y143-Y410),0,(Y392+Y339-SUM(Y143)-Y410))</f>
        <v>0</v>
      </c>
      <c r="Z393" s="65">
        <f>IF((Z392+Z339)=SUM(Z143-Z410),0,(Z392+Z339-SUM(Z143)-Z410))</f>
        <v>1071000</v>
      </c>
      <c r="AA393" s="65">
        <f>IF((AA392+AA339)=SUM(AA143-AA410),0,(AA392+AA339-SUM(AA143)-AA410))</f>
        <v>-3428170</v>
      </c>
      <c r="AB393" s="92"/>
      <c r="AF393" s="92"/>
      <c r="AG393" s="92"/>
      <c r="AK393" s="92"/>
      <c r="AL393" s="92"/>
      <c r="AP393" s="92"/>
      <c r="AQ393" s="92"/>
      <c r="AU393" s="92"/>
      <c r="AV393" s="92"/>
      <c r="AZ393" s="92"/>
      <c r="BA393" s="92"/>
      <c r="BE393" s="92"/>
      <c r="BF393" s="92"/>
      <c r="BJ393" s="92"/>
      <c r="BK393" s="92"/>
      <c r="BO393" s="92"/>
      <c r="BP393" s="92"/>
      <c r="BT393" s="92"/>
      <c r="BU393" s="92"/>
      <c r="BY393" s="92"/>
      <c r="BZ393" s="92"/>
      <c r="CD393" s="92"/>
      <c r="CE393" s="901"/>
      <c r="CF393" s="901"/>
      <c r="CG393" s="901"/>
      <c r="CH393" s="901"/>
      <c r="CI393" s="901"/>
      <c r="CJ393" s="901"/>
      <c r="CK393" s="901"/>
      <c r="CL393" s="901"/>
      <c r="CM393" s="901"/>
      <c r="CN393" s="901"/>
      <c r="CO393" s="901"/>
      <c r="CP393" s="901"/>
      <c r="CQ393" s="901"/>
      <c r="CR393" s="901"/>
    </row>
    <row r="394" spans="1:96" x14ac:dyDescent="0.2">
      <c r="B394" s="144"/>
      <c r="C394" s="55"/>
      <c r="D394" s="55"/>
      <c r="V394" s="34"/>
      <c r="W394" s="46"/>
      <c r="X394" s="46"/>
      <c r="Y394" s="46"/>
      <c r="AB394" s="46"/>
      <c r="AG394" s="46"/>
      <c r="AL394" s="46"/>
      <c r="AQ394" s="46"/>
      <c r="BA394" s="46"/>
      <c r="BF394" s="46"/>
      <c r="BK394" s="46"/>
      <c r="BP394" s="46"/>
      <c r="BU394" s="46"/>
      <c r="BZ394" s="46"/>
      <c r="CE394" s="379"/>
      <c r="CF394" s="379"/>
      <c r="CG394" s="379"/>
      <c r="CH394" s="379"/>
      <c r="CI394" s="379"/>
      <c r="CJ394" s="379"/>
      <c r="CK394" s="379"/>
      <c r="CL394" s="379"/>
      <c r="CM394" s="379"/>
      <c r="CN394" s="379"/>
      <c r="CO394" s="379"/>
      <c r="CP394" s="379"/>
      <c r="CQ394" s="379"/>
      <c r="CR394" s="379"/>
    </row>
    <row r="395" spans="1:96" x14ac:dyDescent="0.2">
      <c r="A395" s="395" t="s">
        <v>1007</v>
      </c>
      <c r="B395" s="144"/>
      <c r="C395" s="55"/>
      <c r="D395" s="55"/>
      <c r="W395" s="46"/>
      <c r="X395" s="46"/>
      <c r="Y395" s="46"/>
      <c r="AB395" s="46"/>
      <c r="AG395" s="46"/>
      <c r="AL395" s="46"/>
      <c r="AQ395" s="46"/>
      <c r="BA395" s="46"/>
      <c r="BF395" s="46"/>
      <c r="BK395" s="46"/>
      <c r="BP395" s="46"/>
      <c r="BU395" s="46"/>
      <c r="BZ395" s="46"/>
      <c r="CE395" s="379"/>
      <c r="CF395" s="379"/>
      <c r="CG395" s="379"/>
      <c r="CH395" s="379"/>
      <c r="CI395" s="379"/>
      <c r="CJ395" s="379"/>
      <c r="CK395" s="379"/>
      <c r="CL395" s="379"/>
      <c r="CM395" s="379"/>
      <c r="CN395" s="379"/>
      <c r="CO395" s="379"/>
      <c r="CP395" s="379"/>
      <c r="CQ395" s="379"/>
      <c r="CR395" s="379"/>
    </row>
    <row r="396" spans="1:96" x14ac:dyDescent="0.2">
      <c r="A396" s="80" t="s">
        <v>3356</v>
      </c>
      <c r="B396" s="885" t="s">
        <v>2404</v>
      </c>
      <c r="C396" s="58"/>
      <c r="D396" s="58"/>
      <c r="H396" s="34">
        <f>F392+F339</f>
        <v>8205700</v>
      </c>
      <c r="V396" s="46">
        <f>I396-SUM(R396:U396)</f>
        <v>0</v>
      </c>
      <c r="W396" s="46"/>
      <c r="X396" s="46"/>
      <c r="Y396" s="46"/>
      <c r="AA396" s="46">
        <f t="shared" ref="AA396:AA409" si="786">F396-W396-X396-Y396-Z396</f>
        <v>0</v>
      </c>
      <c r="AB396" s="46"/>
      <c r="AG396" s="46"/>
      <c r="AL396" s="46"/>
      <c r="AQ396" s="46"/>
      <c r="BA396" s="46"/>
      <c r="BF396" s="46"/>
      <c r="BK396" s="46"/>
      <c r="BP396" s="46"/>
      <c r="BU396" s="46"/>
      <c r="BZ396" s="46"/>
      <c r="CE396" s="379"/>
      <c r="CF396" s="379"/>
      <c r="CG396" s="379"/>
      <c r="CH396" s="379"/>
      <c r="CI396" s="379"/>
      <c r="CJ396" s="379"/>
      <c r="CK396" s="379"/>
      <c r="CL396" s="379"/>
      <c r="CM396" s="379"/>
      <c r="CN396" s="379"/>
      <c r="CO396" s="379"/>
      <c r="CP396" s="379"/>
      <c r="CQ396" s="379"/>
      <c r="CR396" s="379"/>
    </row>
    <row r="397" spans="1:96" x14ac:dyDescent="0.2">
      <c r="A397" s="80" t="s">
        <v>3356</v>
      </c>
      <c r="B397" s="885" t="s">
        <v>2406</v>
      </c>
      <c r="C397" s="58"/>
      <c r="D397" s="58"/>
      <c r="V397" s="34">
        <f t="shared" ref="V397:V403" si="787">E397-SUM(R397:U397)</f>
        <v>0</v>
      </c>
      <c r="W397" s="46"/>
      <c r="X397" s="46"/>
      <c r="Y397" s="46"/>
      <c r="AA397" s="46">
        <f t="shared" si="786"/>
        <v>0</v>
      </c>
      <c r="AB397" s="46"/>
      <c r="AG397" s="46"/>
      <c r="AL397" s="46"/>
      <c r="AQ397" s="46"/>
      <c r="BA397" s="46"/>
      <c r="BF397" s="46"/>
      <c r="BK397" s="46"/>
      <c r="BP397" s="46"/>
      <c r="BU397" s="46"/>
      <c r="BZ397" s="46"/>
      <c r="CE397" s="379"/>
      <c r="CF397" s="379"/>
      <c r="CG397" s="379"/>
      <c r="CH397" s="379"/>
      <c r="CI397" s="379"/>
      <c r="CJ397" s="379"/>
      <c r="CK397" s="379"/>
      <c r="CL397" s="379"/>
      <c r="CM397" s="379"/>
      <c r="CN397" s="379"/>
      <c r="CO397" s="379"/>
      <c r="CP397" s="379"/>
      <c r="CQ397" s="379"/>
      <c r="CR397" s="379"/>
    </row>
    <row r="398" spans="1:96" x14ac:dyDescent="0.2">
      <c r="A398" s="80" t="s">
        <v>3355</v>
      </c>
      <c r="B398" s="885" t="s">
        <v>2405</v>
      </c>
      <c r="C398" s="58"/>
      <c r="D398" s="58"/>
      <c r="V398" s="34">
        <f t="shared" si="787"/>
        <v>0</v>
      </c>
      <c r="W398" s="46"/>
      <c r="X398" s="46"/>
      <c r="Y398" s="46"/>
      <c r="AA398" s="46">
        <f t="shared" si="786"/>
        <v>0</v>
      </c>
      <c r="AB398" s="46"/>
      <c r="AG398" s="46"/>
      <c r="AL398" s="46"/>
      <c r="AQ398" s="46"/>
      <c r="BA398" s="46"/>
      <c r="BF398" s="46"/>
      <c r="BK398" s="46"/>
      <c r="BP398" s="46"/>
      <c r="BU398" s="46"/>
      <c r="BZ398" s="46"/>
      <c r="CE398" s="379"/>
      <c r="CF398" s="379"/>
      <c r="CG398" s="379"/>
      <c r="CH398" s="379"/>
      <c r="CI398" s="379"/>
      <c r="CJ398" s="379"/>
      <c r="CK398" s="379"/>
      <c r="CL398" s="379"/>
      <c r="CM398" s="379"/>
      <c r="CN398" s="379"/>
      <c r="CO398" s="379"/>
      <c r="CP398" s="379"/>
      <c r="CQ398" s="379"/>
      <c r="CR398" s="379"/>
    </row>
    <row r="399" spans="1:96" x14ac:dyDescent="0.2">
      <c r="A399" s="80" t="s">
        <v>3615</v>
      </c>
      <c r="B399" s="885" t="s">
        <v>3916</v>
      </c>
      <c r="C399" s="58" t="s">
        <v>4029</v>
      </c>
      <c r="D399" s="58"/>
      <c r="E399" s="34">
        <v>96000</v>
      </c>
      <c r="F399" s="34">
        <v>8100</v>
      </c>
      <c r="G399" s="34">
        <f>45900-45900</f>
        <v>0</v>
      </c>
      <c r="R399" s="34">
        <v>75000</v>
      </c>
      <c r="U399" s="80">
        <f>75000-54000</f>
        <v>21000</v>
      </c>
      <c r="V399" s="34">
        <f t="shared" si="787"/>
        <v>0</v>
      </c>
      <c r="X399" s="46"/>
      <c r="Z399" s="34">
        <v>54000</v>
      </c>
      <c r="AA399" s="46">
        <f t="shared" si="786"/>
        <v>-45900</v>
      </c>
    </row>
    <row r="400" spans="1:96" x14ac:dyDescent="0.2">
      <c r="A400" s="80" t="s">
        <v>3356</v>
      </c>
      <c r="B400" s="885" t="s">
        <v>2404</v>
      </c>
      <c r="C400" s="58"/>
      <c r="D400" s="58"/>
      <c r="V400" s="34">
        <f t="shared" si="787"/>
        <v>0</v>
      </c>
      <c r="X400" s="46"/>
      <c r="AA400" s="46">
        <f t="shared" si="786"/>
        <v>0</v>
      </c>
    </row>
    <row r="401" spans="1:96" x14ac:dyDescent="0.2">
      <c r="A401" s="80" t="s">
        <v>3616</v>
      </c>
      <c r="B401" s="885" t="s">
        <v>3917</v>
      </c>
      <c r="C401" s="58" t="s">
        <v>4038</v>
      </c>
      <c r="D401" s="58" t="s">
        <v>4038</v>
      </c>
      <c r="E401" s="34">
        <v>0</v>
      </c>
      <c r="F401" s="34">
        <v>33600</v>
      </c>
      <c r="G401" s="34">
        <f>104000+39500</f>
        <v>143500</v>
      </c>
      <c r="V401" s="34">
        <f t="shared" si="787"/>
        <v>0</v>
      </c>
      <c r="W401" s="46"/>
      <c r="X401" s="46"/>
      <c r="Y401" s="46"/>
      <c r="AA401" s="46">
        <f t="shared" si="786"/>
        <v>33600</v>
      </c>
      <c r="AB401" s="46"/>
      <c r="AG401" s="46"/>
      <c r="AL401" s="46"/>
      <c r="AQ401" s="46"/>
      <c r="BA401" s="46"/>
      <c r="BF401" s="46"/>
      <c r="BK401" s="46"/>
      <c r="BP401" s="46"/>
      <c r="BU401" s="46"/>
      <c r="BZ401" s="46"/>
      <c r="CE401" s="379"/>
      <c r="CF401" s="379"/>
      <c r="CG401" s="379"/>
      <c r="CH401" s="379"/>
      <c r="CI401" s="379"/>
      <c r="CJ401" s="379"/>
      <c r="CK401" s="379"/>
      <c r="CL401" s="379"/>
      <c r="CM401" s="379"/>
      <c r="CN401" s="379"/>
      <c r="CO401" s="379"/>
      <c r="CP401" s="379"/>
      <c r="CQ401" s="379"/>
      <c r="CR401" s="379"/>
    </row>
    <row r="402" spans="1:96" x14ac:dyDescent="0.2">
      <c r="A402" s="80" t="s">
        <v>3096</v>
      </c>
      <c r="B402" s="885" t="s">
        <v>3097</v>
      </c>
      <c r="C402" s="58"/>
      <c r="D402" s="58"/>
      <c r="R402" s="46"/>
      <c r="S402" s="46"/>
      <c r="T402" s="46"/>
      <c r="U402" s="46"/>
      <c r="V402" s="34">
        <f t="shared" si="787"/>
        <v>0</v>
      </c>
      <c r="W402" s="46"/>
      <c r="X402" s="46"/>
      <c r="Y402" s="46"/>
      <c r="AA402" s="46">
        <f t="shared" si="786"/>
        <v>0</v>
      </c>
      <c r="AB402" s="46"/>
      <c r="AG402" s="46"/>
      <c r="AL402" s="46"/>
      <c r="AQ402" s="46"/>
      <c r="BA402" s="46"/>
      <c r="BF402" s="46"/>
      <c r="BK402" s="46"/>
      <c r="BP402" s="46"/>
      <c r="BU402" s="46"/>
      <c r="BZ402" s="46"/>
      <c r="CE402" s="379"/>
      <c r="CF402" s="379"/>
      <c r="CG402" s="379"/>
      <c r="CH402" s="379"/>
      <c r="CI402" s="379"/>
      <c r="CJ402" s="379"/>
      <c r="CK402" s="379"/>
      <c r="CL402" s="379"/>
      <c r="CM402" s="379"/>
      <c r="CN402" s="379"/>
      <c r="CO402" s="379"/>
      <c r="CP402" s="379"/>
      <c r="CQ402" s="379"/>
      <c r="CR402" s="379"/>
    </row>
    <row r="403" spans="1:96" x14ac:dyDescent="0.2">
      <c r="A403" s="80" t="s">
        <v>3451</v>
      </c>
      <c r="B403" s="885" t="s">
        <v>3452</v>
      </c>
      <c r="C403" s="58"/>
      <c r="D403" s="58"/>
      <c r="R403" s="46"/>
      <c r="S403" s="46"/>
      <c r="T403" s="46"/>
      <c r="U403" s="46"/>
      <c r="V403" s="34">
        <f t="shared" si="787"/>
        <v>0</v>
      </c>
      <c r="W403" s="46"/>
      <c r="X403" s="46"/>
      <c r="Y403" s="46"/>
      <c r="AA403" s="46">
        <f t="shared" si="786"/>
        <v>0</v>
      </c>
      <c r="AB403" s="46"/>
      <c r="AG403" s="46"/>
      <c r="AL403" s="46"/>
      <c r="AQ403" s="46"/>
      <c r="BA403" s="46"/>
      <c r="BF403" s="46"/>
      <c r="BK403" s="46"/>
      <c r="BP403" s="46"/>
      <c r="BU403" s="46"/>
      <c r="BZ403" s="46"/>
      <c r="CE403" s="379"/>
      <c r="CF403" s="379"/>
      <c r="CG403" s="379"/>
      <c r="CH403" s="379"/>
      <c r="CI403" s="379"/>
      <c r="CJ403" s="379"/>
      <c r="CK403" s="379"/>
      <c r="CL403" s="379"/>
      <c r="CM403" s="379"/>
      <c r="CN403" s="379"/>
      <c r="CO403" s="379"/>
      <c r="CP403" s="379"/>
      <c r="CQ403" s="379"/>
      <c r="CR403" s="379"/>
    </row>
    <row r="404" spans="1:96" x14ac:dyDescent="0.2">
      <c r="A404" s="80" t="s">
        <v>6412</v>
      </c>
      <c r="B404" s="885" t="s">
        <v>6414</v>
      </c>
      <c r="C404" s="58" t="s">
        <v>6413</v>
      </c>
      <c r="D404" s="58" t="s">
        <v>6413</v>
      </c>
      <c r="F404" s="34">
        <v>11800</v>
      </c>
      <c r="R404" s="46"/>
      <c r="S404" s="46"/>
      <c r="T404" s="46"/>
      <c r="U404" s="46"/>
      <c r="V404" s="34"/>
      <c r="W404" s="46"/>
      <c r="X404" s="46"/>
      <c r="Y404" s="46"/>
      <c r="Z404" s="34">
        <v>32000</v>
      </c>
      <c r="AA404" s="46">
        <f t="shared" si="786"/>
        <v>-20200</v>
      </c>
      <c r="AB404" s="46"/>
      <c r="AG404" s="46"/>
      <c r="AL404" s="46"/>
      <c r="AQ404" s="46"/>
      <c r="BA404" s="46"/>
      <c r="BF404" s="46"/>
      <c r="BK404" s="46"/>
      <c r="BP404" s="46"/>
      <c r="BU404" s="46"/>
      <c r="BZ404" s="46"/>
      <c r="CE404" s="379"/>
      <c r="CF404" s="379"/>
      <c r="CG404" s="379"/>
      <c r="CH404" s="379"/>
      <c r="CI404" s="379"/>
      <c r="CJ404" s="379"/>
      <c r="CK404" s="379"/>
      <c r="CL404" s="379"/>
      <c r="CM404" s="379"/>
      <c r="CN404" s="379"/>
      <c r="CO404" s="379"/>
      <c r="CP404" s="379"/>
      <c r="CQ404" s="379"/>
      <c r="CR404" s="379"/>
    </row>
    <row r="405" spans="1:96" x14ac:dyDescent="0.2">
      <c r="A405" s="80" t="s">
        <v>6417</v>
      </c>
      <c r="B405" s="885" t="s">
        <v>6416</v>
      </c>
      <c r="C405" s="58" t="s">
        <v>6415</v>
      </c>
      <c r="D405" s="58" t="s">
        <v>6415</v>
      </c>
      <c r="G405" s="34">
        <v>30000</v>
      </c>
      <c r="R405" s="46"/>
      <c r="S405" s="46"/>
      <c r="T405" s="46"/>
      <c r="U405" s="46"/>
      <c r="V405" s="34"/>
      <c r="W405" s="46"/>
      <c r="X405" s="46"/>
      <c r="Y405" s="46"/>
      <c r="Z405" s="34">
        <v>58000</v>
      </c>
      <c r="AA405" s="46">
        <f t="shared" si="786"/>
        <v>-58000</v>
      </c>
      <c r="AB405" s="46"/>
      <c r="AE405" s="34">
        <v>30000</v>
      </c>
      <c r="AG405" s="46"/>
      <c r="AL405" s="46"/>
      <c r="AQ405" s="46"/>
      <c r="BA405" s="46"/>
      <c r="BF405" s="46"/>
      <c r="BK405" s="46"/>
      <c r="BP405" s="46"/>
      <c r="BU405" s="46"/>
      <c r="BZ405" s="46"/>
      <c r="CE405" s="379"/>
      <c r="CF405" s="379"/>
      <c r="CG405" s="379"/>
      <c r="CH405" s="379"/>
      <c r="CI405" s="379"/>
      <c r="CJ405" s="379"/>
      <c r="CK405" s="379"/>
      <c r="CL405" s="379"/>
      <c r="CM405" s="379"/>
      <c r="CN405" s="379"/>
      <c r="CO405" s="379"/>
      <c r="CP405" s="379"/>
      <c r="CQ405" s="379"/>
      <c r="CR405" s="379"/>
    </row>
    <row r="406" spans="1:96" x14ac:dyDescent="0.2">
      <c r="A406" s="80" t="s">
        <v>6894</v>
      </c>
      <c r="B406" s="885"/>
      <c r="C406" s="58"/>
      <c r="D406" s="58"/>
      <c r="R406" s="46"/>
      <c r="S406" s="46"/>
      <c r="T406" s="46"/>
      <c r="U406" s="46"/>
      <c r="V406" s="34"/>
      <c r="W406" s="46"/>
      <c r="X406" s="46"/>
      <c r="Y406" s="46"/>
      <c r="Z406" s="34">
        <v>33000</v>
      </c>
      <c r="AA406" s="46">
        <f t="shared" si="786"/>
        <v>-33000</v>
      </c>
      <c r="AB406" s="46"/>
      <c r="AG406" s="46"/>
      <c r="AL406" s="46"/>
      <c r="AQ406" s="46"/>
      <c r="BA406" s="46"/>
      <c r="BF406" s="46"/>
      <c r="BK406" s="46"/>
      <c r="BP406" s="46"/>
      <c r="BU406" s="46"/>
      <c r="BZ406" s="46"/>
      <c r="CE406" s="379"/>
      <c r="CF406" s="379"/>
      <c r="CG406" s="379"/>
      <c r="CH406" s="379"/>
      <c r="CI406" s="379"/>
      <c r="CJ406" s="379"/>
      <c r="CK406" s="379"/>
      <c r="CL406" s="379"/>
      <c r="CM406" s="379"/>
      <c r="CN406" s="379"/>
      <c r="CO406" s="379"/>
      <c r="CP406" s="379"/>
      <c r="CQ406" s="379"/>
      <c r="CR406" s="379"/>
    </row>
    <row r="407" spans="1:96" x14ac:dyDescent="0.2">
      <c r="A407" s="80" t="s">
        <v>6867</v>
      </c>
      <c r="B407" s="885" t="s">
        <v>6868</v>
      </c>
      <c r="C407" s="58" t="s">
        <v>6866</v>
      </c>
      <c r="D407" s="58" t="s">
        <v>6866</v>
      </c>
      <c r="F407" s="34">
        <v>17200</v>
      </c>
      <c r="R407" s="46"/>
      <c r="S407" s="46"/>
      <c r="T407" s="46"/>
      <c r="U407" s="46"/>
      <c r="V407" s="34"/>
      <c r="W407" s="46"/>
      <c r="X407" s="46"/>
      <c r="Y407" s="46"/>
      <c r="AA407" s="46">
        <f t="shared" si="786"/>
        <v>17200</v>
      </c>
      <c r="AB407" s="46"/>
      <c r="AG407" s="46"/>
      <c r="AL407" s="46"/>
      <c r="AQ407" s="46"/>
      <c r="BA407" s="46"/>
      <c r="BF407" s="46"/>
      <c r="BK407" s="46"/>
      <c r="BP407" s="46"/>
      <c r="BU407" s="46"/>
      <c r="BZ407" s="46"/>
      <c r="CE407" s="379"/>
      <c r="CF407" s="379"/>
      <c r="CG407" s="379"/>
      <c r="CH407" s="379"/>
      <c r="CI407" s="379"/>
      <c r="CJ407" s="379"/>
      <c r="CK407" s="379"/>
      <c r="CL407" s="379"/>
      <c r="CM407" s="379"/>
      <c r="CN407" s="379"/>
      <c r="CO407" s="379"/>
      <c r="CP407" s="379"/>
      <c r="CQ407" s="379"/>
      <c r="CR407" s="379"/>
    </row>
    <row r="408" spans="1:96" x14ac:dyDescent="0.2">
      <c r="A408" s="80" t="s">
        <v>6869</v>
      </c>
      <c r="B408" s="885" t="s">
        <v>6871</v>
      </c>
      <c r="C408" s="58" t="s">
        <v>6870</v>
      </c>
      <c r="D408" s="58" t="s">
        <v>6870</v>
      </c>
      <c r="F408" s="34">
        <v>19200</v>
      </c>
      <c r="R408" s="46"/>
      <c r="S408" s="46"/>
      <c r="T408" s="46"/>
      <c r="U408" s="46"/>
      <c r="V408" s="34"/>
      <c r="W408" s="46"/>
      <c r="X408" s="46"/>
      <c r="Y408" s="46"/>
      <c r="AA408" s="46">
        <f t="shared" si="786"/>
        <v>19200</v>
      </c>
      <c r="AB408" s="46"/>
      <c r="AG408" s="46"/>
      <c r="AL408" s="46"/>
      <c r="AQ408" s="46"/>
      <c r="BA408" s="46"/>
      <c r="BF408" s="46"/>
      <c r="BK408" s="46"/>
      <c r="BP408" s="46"/>
      <c r="BU408" s="46"/>
      <c r="BZ408" s="46"/>
      <c r="CE408" s="379"/>
      <c r="CF408" s="379"/>
      <c r="CG408" s="379"/>
      <c r="CH408" s="379"/>
      <c r="CI408" s="379"/>
      <c r="CJ408" s="379"/>
      <c r="CK408" s="379"/>
      <c r="CL408" s="379"/>
      <c r="CM408" s="379"/>
      <c r="CN408" s="379"/>
      <c r="CO408" s="379"/>
      <c r="CP408" s="379"/>
      <c r="CQ408" s="379"/>
      <c r="CR408" s="379"/>
    </row>
    <row r="409" spans="1:96" x14ac:dyDescent="0.2">
      <c r="B409" s="144"/>
      <c r="C409" s="55"/>
      <c r="D409" s="55"/>
      <c r="R409" s="46"/>
      <c r="S409" s="46"/>
      <c r="T409" s="46"/>
      <c r="U409" s="46"/>
      <c r="V409" s="34">
        <f>E409-SUM(R409:U409)</f>
        <v>0</v>
      </c>
      <c r="W409" s="46"/>
      <c r="X409" s="46"/>
      <c r="Y409" s="46"/>
      <c r="AA409" s="46">
        <f t="shared" si="786"/>
        <v>0</v>
      </c>
      <c r="AB409" s="46"/>
      <c r="AG409" s="46"/>
      <c r="AL409" s="46"/>
      <c r="AQ409" s="46"/>
      <c r="BA409" s="46"/>
      <c r="BF409" s="46"/>
      <c r="BK409" s="46"/>
      <c r="BP409" s="46"/>
      <c r="BU409" s="46"/>
      <c r="BZ409" s="46"/>
      <c r="CE409" s="379"/>
      <c r="CF409" s="379"/>
      <c r="CG409" s="379"/>
      <c r="CH409" s="379"/>
      <c r="CI409" s="379"/>
      <c r="CJ409" s="379"/>
      <c r="CK409" s="379"/>
      <c r="CL409" s="379"/>
      <c r="CM409" s="379"/>
      <c r="CN409" s="379"/>
      <c r="CO409" s="379"/>
      <c r="CP409" s="379"/>
      <c r="CQ409" s="379"/>
      <c r="CR409" s="379"/>
    </row>
    <row r="410" spans="1:96" ht="13.5" thickBot="1" x14ac:dyDescent="0.25">
      <c r="B410" s="144"/>
      <c r="C410" s="55"/>
      <c r="D410" s="55"/>
      <c r="E410" s="1285">
        <f>SUM(E395:E409)</f>
        <v>96000</v>
      </c>
      <c r="F410" s="1285">
        <f>SUM(F395:F409)</f>
        <v>89900</v>
      </c>
      <c r="G410" s="1285">
        <f>SUM(G395:G409)</f>
        <v>173500</v>
      </c>
      <c r="R410" s="1285">
        <f t="shared" ref="R410:AA410" si="788">SUM(R395:R409)</f>
        <v>75000</v>
      </c>
      <c r="S410" s="1285">
        <f t="shared" si="788"/>
        <v>0</v>
      </c>
      <c r="T410" s="1285">
        <f t="shared" si="788"/>
        <v>0</v>
      </c>
      <c r="U410" s="1285">
        <f t="shared" si="788"/>
        <v>21000</v>
      </c>
      <c r="V410" s="1285">
        <f t="shared" si="788"/>
        <v>0</v>
      </c>
      <c r="W410" s="1285">
        <v>0</v>
      </c>
      <c r="X410" s="1285">
        <f t="shared" si="788"/>
        <v>0</v>
      </c>
      <c r="Y410" s="1285">
        <f t="shared" si="788"/>
        <v>0</v>
      </c>
      <c r="Z410" s="1285">
        <f>SUM(Z395:Z409)</f>
        <v>177000</v>
      </c>
      <c r="AA410" s="1285">
        <f t="shared" si="788"/>
        <v>-87100</v>
      </c>
      <c r="AB410" s="46"/>
      <c r="AG410" s="46"/>
      <c r="AL410" s="46"/>
      <c r="AQ410" s="46"/>
      <c r="BA410" s="46"/>
      <c r="BF410" s="46"/>
      <c r="BK410" s="46"/>
      <c r="BP410" s="46"/>
      <c r="BU410" s="46"/>
      <c r="BZ410" s="46"/>
      <c r="CE410" s="379"/>
      <c r="CF410" s="379"/>
      <c r="CG410" s="379"/>
      <c r="CH410" s="379"/>
      <c r="CI410" s="379"/>
      <c r="CJ410" s="379"/>
      <c r="CK410" s="379"/>
      <c r="CL410" s="379"/>
      <c r="CM410" s="379"/>
      <c r="CN410" s="379"/>
      <c r="CO410" s="379"/>
      <c r="CP410" s="379"/>
      <c r="CQ410" s="379"/>
      <c r="CR410" s="379"/>
    </row>
    <row r="411" spans="1:96" ht="13.5" thickTop="1" x14ac:dyDescent="0.2">
      <c r="A411" s="34" t="s">
        <v>88</v>
      </c>
      <c r="B411" s="144"/>
      <c r="C411" s="55"/>
      <c r="D411" s="55"/>
      <c r="E411" s="34">
        <f>IF(E410=E141,0,(E410-E141))</f>
        <v>0</v>
      </c>
      <c r="F411" s="34">
        <f>IF(F410=F141,0,(F410-F141))</f>
        <v>0</v>
      </c>
      <c r="G411" s="34">
        <f>IF(G410=G141,0,(G410-G141))</f>
        <v>0</v>
      </c>
      <c r="R411" s="34">
        <f>IF(R410=R141,0,(R410-R141))</f>
        <v>0</v>
      </c>
      <c r="S411" s="34">
        <f>IF(S410=S141,0,(S410-S141))</f>
        <v>0</v>
      </c>
      <c r="T411" s="34">
        <f>IF(T410=T141,0,(T410-T141))</f>
        <v>0</v>
      </c>
      <c r="U411" s="34">
        <f>IF(U410=U141,0,(U410-U141))</f>
        <v>0</v>
      </c>
      <c r="V411" s="34">
        <f>IF(V410=V141,0,(V410-V141))</f>
        <v>0</v>
      </c>
      <c r="W411" s="34">
        <v>0</v>
      </c>
      <c r="X411" s="34">
        <f>IF(X410=X141,0,(X410-X141))</f>
        <v>0</v>
      </c>
      <c r="Y411" s="34">
        <f>IF(Y410=Y141,0,(Y410-Y141))</f>
        <v>0</v>
      </c>
      <c r="Z411" s="34">
        <f>IF(Z410=Z141,0,(Z410-Z141))</f>
        <v>87100</v>
      </c>
      <c r="AA411" s="34">
        <f>IF(AA410=AA141,0,(AA410-AA141))</f>
        <v>-87100</v>
      </c>
      <c r="AB411" s="46"/>
      <c r="AG411" s="46"/>
      <c r="AL411" s="46"/>
      <c r="AQ411" s="46"/>
      <c r="BA411" s="46"/>
      <c r="BF411" s="46"/>
      <c r="BK411" s="46"/>
      <c r="BP411" s="46"/>
      <c r="BU411" s="46"/>
      <c r="BZ411" s="46"/>
      <c r="CE411" s="379"/>
      <c r="CF411" s="379"/>
      <c r="CG411" s="379"/>
      <c r="CH411" s="379"/>
      <c r="CI411" s="379"/>
      <c r="CJ411" s="379"/>
      <c r="CK411" s="379"/>
      <c r="CL411" s="379"/>
      <c r="CM411" s="379"/>
      <c r="CN411" s="379"/>
      <c r="CO411" s="379"/>
      <c r="CP411" s="379"/>
      <c r="CQ411" s="379"/>
      <c r="CR411" s="379"/>
    </row>
    <row r="412" spans="1:96" x14ac:dyDescent="0.2">
      <c r="B412" s="144"/>
      <c r="C412" s="55"/>
      <c r="D412" s="55"/>
      <c r="W412" s="46"/>
      <c r="X412" s="46"/>
      <c r="Y412" s="46"/>
      <c r="AB412" s="46"/>
      <c r="AG412" s="46"/>
      <c r="AL412" s="46"/>
      <c r="AQ412" s="46"/>
      <c r="BA412" s="46"/>
      <c r="BF412" s="46"/>
      <c r="BK412" s="46"/>
      <c r="BP412" s="46"/>
      <c r="BU412" s="46"/>
      <c r="BZ412" s="46"/>
      <c r="CE412" s="379"/>
      <c r="CF412" s="379"/>
      <c r="CG412" s="379"/>
      <c r="CH412" s="379"/>
      <c r="CI412" s="379"/>
      <c r="CJ412" s="379"/>
      <c r="CK412" s="379"/>
      <c r="CL412" s="379"/>
      <c r="CM412" s="379"/>
      <c r="CN412" s="379"/>
      <c r="CO412" s="379"/>
      <c r="CP412" s="379"/>
      <c r="CQ412" s="379"/>
      <c r="CR412" s="379"/>
    </row>
    <row r="413" spans="1:96" x14ac:dyDescent="0.2">
      <c r="A413" s="395" t="s">
        <v>3466</v>
      </c>
      <c r="B413" s="144"/>
      <c r="C413" s="55"/>
      <c r="D413" s="55"/>
      <c r="W413" s="46"/>
      <c r="X413" s="46"/>
      <c r="Y413" s="46"/>
      <c r="AB413" s="46"/>
      <c r="AG413" s="46"/>
      <c r="AL413" s="46"/>
      <c r="AQ413" s="46"/>
      <c r="BA413" s="46"/>
      <c r="BF413" s="46"/>
      <c r="BK413" s="46"/>
      <c r="BP413" s="46"/>
      <c r="BU413" s="46"/>
      <c r="BZ413" s="46"/>
      <c r="CE413" s="379"/>
      <c r="CF413" s="379"/>
      <c r="CG413" s="379"/>
      <c r="CH413" s="379"/>
      <c r="CI413" s="379"/>
      <c r="CJ413" s="379"/>
      <c r="CK413" s="379"/>
      <c r="CL413" s="379"/>
      <c r="CM413" s="379"/>
      <c r="CN413" s="379"/>
      <c r="CO413" s="379"/>
      <c r="CP413" s="379"/>
      <c r="CQ413" s="379"/>
      <c r="CR413" s="379"/>
    </row>
    <row r="414" spans="1:96" x14ac:dyDescent="0.2">
      <c r="A414" s="34" t="s">
        <v>6031</v>
      </c>
      <c r="B414" s="885" t="s">
        <v>6187</v>
      </c>
      <c r="C414" s="58" t="s">
        <v>6188</v>
      </c>
      <c r="D414" s="58" t="s">
        <v>6188</v>
      </c>
      <c r="F414" s="34">
        <v>45100</v>
      </c>
      <c r="W414" s="46"/>
      <c r="X414" s="46"/>
      <c r="Y414" s="46"/>
      <c r="AA414" s="46">
        <f t="shared" ref="AA414:AA421" si="789">F414-W414-X414-Y414-Z414</f>
        <v>45100</v>
      </c>
      <c r="AB414" s="46"/>
      <c r="AG414" s="46"/>
      <c r="AL414" s="46"/>
      <c r="AQ414" s="46"/>
      <c r="BA414" s="46"/>
      <c r="BF414" s="46"/>
      <c r="BK414" s="46"/>
      <c r="BP414" s="46"/>
      <c r="BU414" s="46"/>
      <c r="BZ414" s="46"/>
      <c r="CE414" s="379"/>
      <c r="CF414" s="379"/>
      <c r="CG414" s="379"/>
      <c r="CH414" s="379"/>
      <c r="CI414" s="379"/>
      <c r="CJ414" s="379"/>
      <c r="CK414" s="379"/>
      <c r="CL414" s="379"/>
      <c r="CM414" s="379"/>
      <c r="CN414" s="379"/>
      <c r="CO414" s="379"/>
      <c r="CP414" s="379"/>
      <c r="CQ414" s="379"/>
      <c r="CR414" s="379"/>
    </row>
    <row r="415" spans="1:96" x14ac:dyDescent="0.2">
      <c r="A415" s="34" t="s">
        <v>1970</v>
      </c>
      <c r="B415" s="144" t="s">
        <v>1529</v>
      </c>
      <c r="C415" s="1349" t="s">
        <v>4959</v>
      </c>
      <c r="D415" s="55"/>
      <c r="V415" s="34">
        <f t="shared" ref="V415:V423" si="790">E415-SUM(R415:U415)</f>
        <v>0</v>
      </c>
      <c r="W415" s="46"/>
      <c r="X415" s="46"/>
      <c r="Y415" s="46"/>
      <c r="AA415" s="46">
        <f t="shared" si="789"/>
        <v>0</v>
      </c>
      <c r="AB415" s="46"/>
      <c r="AG415" s="46"/>
      <c r="AL415" s="46"/>
      <c r="AQ415" s="46"/>
      <c r="BA415" s="46"/>
      <c r="BF415" s="46"/>
      <c r="BK415" s="46"/>
      <c r="BP415" s="46"/>
      <c r="BU415" s="46"/>
      <c r="BZ415" s="46"/>
      <c r="CE415" s="379"/>
      <c r="CF415" s="379"/>
      <c r="CG415" s="379"/>
      <c r="CH415" s="379"/>
      <c r="CI415" s="379"/>
      <c r="CJ415" s="379"/>
      <c r="CK415" s="379"/>
      <c r="CL415" s="379"/>
      <c r="CM415" s="379"/>
      <c r="CN415" s="379"/>
      <c r="CO415" s="379"/>
      <c r="CP415" s="379"/>
      <c r="CQ415" s="379"/>
      <c r="CR415" s="379"/>
    </row>
    <row r="416" spans="1:96" x14ac:dyDescent="0.2">
      <c r="A416" s="34" t="s">
        <v>1196</v>
      </c>
      <c r="B416" s="144" t="s">
        <v>1530</v>
      </c>
      <c r="C416" s="1349" t="s">
        <v>4959</v>
      </c>
      <c r="D416" s="55"/>
      <c r="V416" s="34">
        <f t="shared" si="790"/>
        <v>0</v>
      </c>
      <c r="W416" s="46"/>
      <c r="X416" s="46"/>
      <c r="Y416" s="46"/>
      <c r="AA416" s="46">
        <f t="shared" si="789"/>
        <v>0</v>
      </c>
      <c r="AB416" s="46"/>
      <c r="AG416" s="46"/>
      <c r="AL416" s="46"/>
      <c r="AQ416" s="46"/>
      <c r="BA416" s="46"/>
      <c r="BF416" s="46"/>
      <c r="BK416" s="46"/>
      <c r="BP416" s="46"/>
      <c r="BU416" s="46"/>
      <c r="BZ416" s="46"/>
      <c r="CE416" s="379"/>
      <c r="CF416" s="379"/>
      <c r="CG416" s="379"/>
      <c r="CH416" s="379"/>
      <c r="CI416" s="379"/>
      <c r="CJ416" s="379"/>
      <c r="CK416" s="379"/>
      <c r="CL416" s="379"/>
      <c r="CM416" s="379"/>
      <c r="CN416" s="379"/>
      <c r="CO416" s="379"/>
      <c r="CP416" s="379"/>
      <c r="CQ416" s="379"/>
      <c r="CR416" s="379"/>
    </row>
    <row r="417" spans="1:96" x14ac:dyDescent="0.2">
      <c r="A417" s="80" t="s">
        <v>4659</v>
      </c>
      <c r="B417" s="885" t="s">
        <v>3465</v>
      </c>
      <c r="C417" s="1349" t="s">
        <v>4959</v>
      </c>
      <c r="D417" s="58"/>
      <c r="E417" s="34">
        <f>100000-100000</f>
        <v>0</v>
      </c>
      <c r="U417" s="34">
        <v>0</v>
      </c>
      <c r="V417" s="34">
        <f t="shared" si="790"/>
        <v>0</v>
      </c>
      <c r="W417" s="46"/>
      <c r="X417" s="46"/>
      <c r="Y417" s="46"/>
      <c r="AA417" s="46">
        <f t="shared" si="789"/>
        <v>0</v>
      </c>
      <c r="AB417" s="46"/>
      <c r="AG417" s="46"/>
      <c r="AL417" s="46"/>
      <c r="AQ417" s="46"/>
      <c r="BA417" s="46"/>
      <c r="BF417" s="46"/>
      <c r="BK417" s="46"/>
      <c r="BP417" s="46"/>
      <c r="BU417" s="46"/>
      <c r="BZ417" s="46"/>
      <c r="CE417" s="379"/>
      <c r="CF417" s="379"/>
      <c r="CG417" s="379"/>
      <c r="CH417" s="379"/>
      <c r="CI417" s="379"/>
      <c r="CJ417" s="379"/>
      <c r="CK417" s="379"/>
      <c r="CL417" s="379"/>
      <c r="CM417" s="379"/>
      <c r="CN417" s="379"/>
      <c r="CO417" s="379"/>
      <c r="CP417" s="379"/>
      <c r="CQ417" s="379"/>
      <c r="CR417" s="379"/>
    </row>
    <row r="418" spans="1:96" x14ac:dyDescent="0.2">
      <c r="A418" s="80" t="s">
        <v>3378</v>
      </c>
      <c r="B418" s="885" t="s">
        <v>2232</v>
      </c>
      <c r="C418" s="58"/>
      <c r="D418" s="58"/>
      <c r="V418" s="34">
        <f t="shared" si="790"/>
        <v>0</v>
      </c>
      <c r="W418" s="46"/>
      <c r="X418" s="46"/>
      <c r="Y418" s="46"/>
      <c r="AA418" s="46">
        <f t="shared" si="789"/>
        <v>0</v>
      </c>
      <c r="AB418" s="46"/>
      <c r="AG418" s="46"/>
      <c r="AL418" s="46"/>
      <c r="AQ418" s="46"/>
      <c r="BA418" s="46"/>
      <c r="BF418" s="46"/>
      <c r="BK418" s="46"/>
      <c r="BP418" s="46"/>
      <c r="BU418" s="46"/>
      <c r="BZ418" s="46"/>
      <c r="CE418" s="379"/>
      <c r="CF418" s="379"/>
      <c r="CG418" s="379"/>
      <c r="CH418" s="379"/>
      <c r="CI418" s="379"/>
      <c r="CJ418" s="379"/>
      <c r="CK418" s="379"/>
      <c r="CL418" s="379"/>
      <c r="CM418" s="379"/>
      <c r="CN418" s="379"/>
      <c r="CO418" s="379"/>
      <c r="CP418" s="379"/>
      <c r="CQ418" s="379"/>
      <c r="CR418" s="379"/>
    </row>
    <row r="419" spans="1:96" x14ac:dyDescent="0.2">
      <c r="A419" s="80" t="s">
        <v>5518</v>
      </c>
      <c r="B419" s="144" t="s">
        <v>589</v>
      </c>
      <c r="C419" s="58" t="s">
        <v>4959</v>
      </c>
      <c r="D419" s="144" t="s">
        <v>589</v>
      </c>
      <c r="E419" s="34">
        <v>29800</v>
      </c>
      <c r="F419" s="34">
        <v>2500</v>
      </c>
      <c r="R419" s="34">
        <f>R150</f>
        <v>0</v>
      </c>
      <c r="S419" s="34">
        <f>S150</f>
        <v>0</v>
      </c>
      <c r="T419" s="34">
        <f>T150</f>
        <v>0</v>
      </c>
      <c r="U419" s="34">
        <f>98000-7500</f>
        <v>90500</v>
      </c>
      <c r="V419" s="34">
        <f t="shared" si="790"/>
        <v>-60700</v>
      </c>
      <c r="W419" s="46"/>
      <c r="X419" s="46"/>
      <c r="Y419" s="46"/>
      <c r="Z419" s="34">
        <v>62400</v>
      </c>
      <c r="AA419" s="46">
        <f t="shared" si="789"/>
        <v>-59900</v>
      </c>
      <c r="AB419" s="46"/>
      <c r="AG419" s="46"/>
      <c r="AL419" s="46"/>
      <c r="AQ419" s="46"/>
      <c r="BA419" s="46"/>
      <c r="BF419" s="46"/>
      <c r="BK419" s="46"/>
      <c r="BP419" s="46"/>
      <c r="BU419" s="46"/>
      <c r="BZ419" s="46"/>
      <c r="CE419" s="379"/>
      <c r="CF419" s="379"/>
      <c r="CG419" s="379"/>
      <c r="CH419" s="379"/>
      <c r="CI419" s="379"/>
      <c r="CJ419" s="379"/>
      <c r="CK419" s="379"/>
      <c r="CL419" s="379"/>
      <c r="CM419" s="379"/>
      <c r="CN419" s="379"/>
      <c r="CO419" s="379"/>
      <c r="CP419" s="379"/>
      <c r="CQ419" s="379"/>
      <c r="CR419" s="379"/>
    </row>
    <row r="420" spans="1:96" x14ac:dyDescent="0.2">
      <c r="A420" s="80" t="s">
        <v>5527</v>
      </c>
      <c r="B420" s="885" t="s">
        <v>6393</v>
      </c>
      <c r="C420" s="58" t="s">
        <v>5528</v>
      </c>
      <c r="D420" s="58"/>
      <c r="E420" s="34">
        <v>1014300</v>
      </c>
      <c r="F420" s="34">
        <v>729600</v>
      </c>
      <c r="G420" s="34">
        <f>52200+43700-45900</f>
        <v>50000</v>
      </c>
      <c r="U420" s="34">
        <f>E420</f>
        <v>1014300</v>
      </c>
      <c r="V420" s="34">
        <f t="shared" si="790"/>
        <v>0</v>
      </c>
      <c r="W420" s="46">
        <v>0</v>
      </c>
      <c r="X420" s="46"/>
      <c r="Y420" s="46"/>
      <c r="Z420" s="80">
        <f>770700</f>
        <v>770700</v>
      </c>
      <c r="AA420" s="46">
        <f t="shared" si="789"/>
        <v>-41100</v>
      </c>
      <c r="AB420" s="46"/>
      <c r="AG420" s="46"/>
      <c r="AL420" s="46"/>
      <c r="AQ420" s="46"/>
      <c r="BA420" s="46"/>
      <c r="BF420" s="46"/>
      <c r="BK420" s="46"/>
      <c r="BP420" s="46"/>
      <c r="BU420" s="46"/>
      <c r="BZ420" s="46"/>
      <c r="CE420" s="379"/>
      <c r="CF420" s="379"/>
      <c r="CG420" s="379"/>
      <c r="CH420" s="379"/>
      <c r="CI420" s="379"/>
      <c r="CJ420" s="379"/>
      <c r="CK420" s="379"/>
      <c r="CL420" s="379"/>
      <c r="CM420" s="379"/>
      <c r="CN420" s="379"/>
      <c r="CO420" s="379"/>
      <c r="CP420" s="379"/>
      <c r="CQ420" s="379"/>
      <c r="CR420" s="379"/>
    </row>
    <row r="421" spans="1:96" x14ac:dyDescent="0.2">
      <c r="A421" s="80" t="s">
        <v>6132</v>
      </c>
      <c r="B421" s="885" t="s">
        <v>6189</v>
      </c>
      <c r="C421" s="58" t="s">
        <v>6191</v>
      </c>
      <c r="D421" s="58" t="s">
        <v>6191</v>
      </c>
      <c r="F421" s="80"/>
      <c r="V421" s="34">
        <f t="shared" si="790"/>
        <v>0</v>
      </c>
      <c r="W421" s="46">
        <v>0</v>
      </c>
      <c r="X421" s="46"/>
      <c r="Y421" s="46"/>
      <c r="AA421" s="46">
        <f t="shared" si="789"/>
        <v>0</v>
      </c>
      <c r="AB421" s="46"/>
      <c r="AG421" s="46"/>
      <c r="AL421" s="46"/>
      <c r="AQ421" s="46"/>
      <c r="BA421" s="46"/>
      <c r="BF421" s="46"/>
      <c r="BK421" s="46"/>
      <c r="BP421" s="46"/>
      <c r="BU421" s="46"/>
      <c r="BZ421" s="46"/>
      <c r="CE421" s="379"/>
      <c r="CF421" s="379"/>
      <c r="CG421" s="379"/>
      <c r="CH421" s="379"/>
      <c r="CI421" s="379"/>
      <c r="CJ421" s="379"/>
      <c r="CK421" s="379"/>
      <c r="CL421" s="379"/>
      <c r="CM421" s="379"/>
      <c r="CN421" s="379"/>
      <c r="CO421" s="379"/>
      <c r="CP421" s="379"/>
      <c r="CQ421" s="379"/>
      <c r="CR421" s="379"/>
    </row>
    <row r="422" spans="1:96" x14ac:dyDescent="0.2">
      <c r="A422" s="80" t="s">
        <v>6636</v>
      </c>
      <c r="B422" s="885" t="s">
        <v>6637</v>
      </c>
      <c r="C422" s="58"/>
      <c r="D422" s="58"/>
      <c r="E422" s="34">
        <v>1200</v>
      </c>
      <c r="F422" s="80"/>
      <c r="V422" s="34">
        <f t="shared" si="790"/>
        <v>1200</v>
      </c>
      <c r="W422" s="46"/>
      <c r="X422" s="46"/>
      <c r="Y422" s="46"/>
      <c r="AB422" s="46"/>
      <c r="AG422" s="46"/>
      <c r="AL422" s="46"/>
      <c r="AQ422" s="46"/>
      <c r="BA422" s="46"/>
      <c r="BF422" s="46"/>
      <c r="BK422" s="46"/>
      <c r="BP422" s="46"/>
      <c r="BU422" s="46"/>
      <c r="BZ422" s="46"/>
      <c r="CE422" s="379"/>
      <c r="CF422" s="379"/>
      <c r="CG422" s="379"/>
      <c r="CH422" s="379"/>
      <c r="CI422" s="379"/>
      <c r="CJ422" s="379"/>
      <c r="CK422" s="379"/>
      <c r="CL422" s="379"/>
      <c r="CM422" s="379"/>
      <c r="CN422" s="379"/>
      <c r="CO422" s="379"/>
      <c r="CP422" s="379"/>
      <c r="CQ422" s="379"/>
      <c r="CR422" s="379"/>
    </row>
    <row r="423" spans="1:96" x14ac:dyDescent="0.2">
      <c r="A423" s="80" t="s">
        <v>6077</v>
      </c>
      <c r="B423" s="885" t="s">
        <v>6190</v>
      </c>
      <c r="C423" s="58" t="s">
        <v>6192</v>
      </c>
      <c r="D423" s="58" t="s">
        <v>6192</v>
      </c>
      <c r="F423" s="34">
        <v>11700</v>
      </c>
      <c r="G423" s="34">
        <v>24300</v>
      </c>
      <c r="V423" s="34">
        <f t="shared" si="790"/>
        <v>0</v>
      </c>
      <c r="W423" s="46"/>
      <c r="X423" s="46"/>
      <c r="Y423" s="46"/>
      <c r="AA423" s="46">
        <f t="shared" ref="AA423:AA429" si="791">F423-W423-X423-Y423-Z423</f>
        <v>11700</v>
      </c>
      <c r="AB423" s="46"/>
      <c r="AG423" s="46"/>
      <c r="AL423" s="46"/>
      <c r="AQ423" s="46"/>
      <c r="BA423" s="46"/>
      <c r="BF423" s="46"/>
      <c r="BK423" s="46"/>
      <c r="BP423" s="46"/>
      <c r="BU423" s="46"/>
      <c r="BZ423" s="46"/>
      <c r="CE423" s="379"/>
      <c r="CF423" s="379"/>
      <c r="CG423" s="379"/>
      <c r="CH423" s="379"/>
      <c r="CI423" s="379"/>
      <c r="CJ423" s="379"/>
      <c r="CK423" s="379"/>
      <c r="CL423" s="379"/>
      <c r="CM423" s="379"/>
      <c r="CN423" s="379"/>
      <c r="CO423" s="379"/>
      <c r="CP423" s="379"/>
      <c r="CQ423" s="379"/>
      <c r="CR423" s="379"/>
    </row>
    <row r="424" spans="1:96" x14ac:dyDescent="0.2">
      <c r="A424" s="80" t="s">
        <v>6424</v>
      </c>
      <c r="B424" s="885" t="s">
        <v>6425</v>
      </c>
      <c r="C424" s="58" t="s">
        <v>4959</v>
      </c>
      <c r="D424" s="58" t="str">
        <f>B424</f>
        <v>2024.6596.0401</v>
      </c>
      <c r="V424" s="34"/>
      <c r="W424" s="46"/>
      <c r="X424" s="46"/>
      <c r="Y424" s="46"/>
      <c r="AA424" s="46">
        <f t="shared" si="791"/>
        <v>0</v>
      </c>
      <c r="AB424" s="46"/>
      <c r="AG424" s="46"/>
      <c r="AL424" s="46"/>
      <c r="AQ424" s="46"/>
      <c r="BA424" s="46"/>
      <c r="BF424" s="46"/>
      <c r="BK424" s="46"/>
      <c r="BP424" s="46"/>
      <c r="BU424" s="46"/>
      <c r="BZ424" s="46"/>
      <c r="CE424" s="379"/>
      <c r="CF424" s="379"/>
      <c r="CG424" s="379"/>
      <c r="CH424" s="379"/>
      <c r="CI424" s="379"/>
      <c r="CJ424" s="379"/>
      <c r="CK424" s="379"/>
      <c r="CL424" s="379"/>
      <c r="CM424" s="379"/>
      <c r="CN424" s="379"/>
      <c r="CO424" s="379"/>
      <c r="CP424" s="379"/>
      <c r="CQ424" s="379"/>
      <c r="CR424" s="379"/>
    </row>
    <row r="425" spans="1:96" x14ac:dyDescent="0.2">
      <c r="A425" s="80" t="s">
        <v>5064</v>
      </c>
      <c r="B425" s="885" t="s">
        <v>4166</v>
      </c>
      <c r="C425" s="1349" t="s">
        <v>4959</v>
      </c>
      <c r="D425" s="58"/>
      <c r="E425" s="34">
        <v>595100</v>
      </c>
      <c r="F425" s="34">
        <v>400</v>
      </c>
      <c r="R425" s="34">
        <f>176000+120000</f>
        <v>296000</v>
      </c>
      <c r="S425" s="34">
        <v>0</v>
      </c>
      <c r="T425" s="34">
        <v>0</v>
      </c>
      <c r="U425" s="80">
        <f>U149</f>
        <v>336900</v>
      </c>
      <c r="V425" s="34">
        <f>E425-SUM(R425:U425)</f>
        <v>-37800</v>
      </c>
      <c r="W425" s="46"/>
      <c r="X425" s="46"/>
      <c r="Y425" s="46"/>
      <c r="AA425" s="46">
        <f t="shared" si="791"/>
        <v>400</v>
      </c>
      <c r="AB425" s="46"/>
      <c r="AG425" s="46"/>
      <c r="AL425" s="46"/>
      <c r="AQ425" s="46"/>
      <c r="BA425" s="46"/>
      <c r="BF425" s="46"/>
      <c r="BK425" s="46"/>
      <c r="BP425" s="46"/>
      <c r="BU425" s="46"/>
      <c r="BZ425" s="46"/>
      <c r="CE425" s="379"/>
      <c r="CF425" s="379"/>
      <c r="CG425" s="379"/>
      <c r="CH425" s="379"/>
      <c r="CI425" s="379"/>
      <c r="CJ425" s="379"/>
      <c r="CK425" s="379"/>
      <c r="CL425" s="379"/>
      <c r="CM425" s="379"/>
      <c r="CN425" s="379"/>
      <c r="CO425" s="379"/>
      <c r="CP425" s="379"/>
      <c r="CQ425" s="379"/>
      <c r="CR425" s="379"/>
    </row>
    <row r="426" spans="1:96" x14ac:dyDescent="0.2">
      <c r="A426" s="80" t="s">
        <v>6392</v>
      </c>
      <c r="B426" s="885" t="s">
        <v>6391</v>
      </c>
      <c r="C426" s="1349" t="s">
        <v>4959</v>
      </c>
      <c r="D426" s="885" t="s">
        <v>6391</v>
      </c>
      <c r="F426" s="80">
        <f>2800-F425</f>
        <v>2400</v>
      </c>
      <c r="V426" s="34"/>
      <c r="W426" s="46"/>
      <c r="X426" s="46"/>
      <c r="Y426" s="46"/>
      <c r="Z426" s="34">
        <f>37800-35000</f>
        <v>2800</v>
      </c>
      <c r="AA426" s="46">
        <f t="shared" si="791"/>
        <v>-400</v>
      </c>
      <c r="AB426" s="46"/>
      <c r="AG426" s="46"/>
      <c r="AL426" s="46"/>
      <c r="AQ426" s="46"/>
      <c r="BA426" s="46"/>
      <c r="BF426" s="46"/>
      <c r="BK426" s="46"/>
      <c r="BP426" s="46"/>
      <c r="BU426" s="46"/>
      <c r="BZ426" s="46"/>
      <c r="CE426" s="379"/>
      <c r="CF426" s="379"/>
      <c r="CG426" s="379"/>
      <c r="CH426" s="379"/>
      <c r="CI426" s="379"/>
      <c r="CJ426" s="379"/>
      <c r="CK426" s="379"/>
      <c r="CL426" s="379"/>
      <c r="CM426" s="379"/>
      <c r="CN426" s="379"/>
      <c r="CO426" s="379"/>
      <c r="CP426" s="379"/>
      <c r="CQ426" s="379"/>
      <c r="CR426" s="379"/>
    </row>
    <row r="427" spans="1:96" x14ac:dyDescent="0.2">
      <c r="A427" s="80" t="s">
        <v>5517</v>
      </c>
      <c r="B427" s="885" t="s">
        <v>4936</v>
      </c>
      <c r="C427" s="1349" t="s">
        <v>4959</v>
      </c>
      <c r="D427" s="58"/>
      <c r="E427" s="34">
        <v>93000</v>
      </c>
      <c r="F427" s="34">
        <v>200</v>
      </c>
      <c r="R427" s="34">
        <f>'Cap Inc'!B80</f>
        <v>46300</v>
      </c>
      <c r="U427" s="34">
        <v>46300</v>
      </c>
      <c r="V427" s="34">
        <f t="shared" ref="V427:V434" si="792">E427-SUM(R427:U427)</f>
        <v>400</v>
      </c>
      <c r="W427" s="46"/>
      <c r="X427" s="46"/>
      <c r="Y427" s="46"/>
      <c r="AA427" s="46">
        <f t="shared" si="791"/>
        <v>200</v>
      </c>
      <c r="AB427" s="46"/>
      <c r="AG427" s="46"/>
      <c r="AL427" s="46"/>
      <c r="AQ427" s="46"/>
      <c r="BA427" s="46"/>
      <c r="BF427" s="46"/>
      <c r="BK427" s="46"/>
      <c r="BP427" s="46"/>
      <c r="BU427" s="46"/>
      <c r="BZ427" s="46"/>
      <c r="CE427" s="379"/>
      <c r="CF427" s="379"/>
      <c r="CG427" s="379"/>
      <c r="CH427" s="379"/>
      <c r="CI427" s="379"/>
      <c r="CJ427" s="379"/>
      <c r="CK427" s="379"/>
      <c r="CL427" s="379"/>
      <c r="CM427" s="379"/>
      <c r="CN427" s="379"/>
      <c r="CO427" s="379"/>
      <c r="CP427" s="379"/>
      <c r="CQ427" s="379"/>
      <c r="CR427" s="379"/>
    </row>
    <row r="428" spans="1:96" x14ac:dyDescent="0.2">
      <c r="A428" s="34" t="s">
        <v>1197</v>
      </c>
      <c r="B428" s="144" t="s">
        <v>1117</v>
      </c>
      <c r="C428" s="1349" t="s">
        <v>4959</v>
      </c>
      <c r="D428" s="55"/>
      <c r="E428" s="34">
        <v>30100</v>
      </c>
      <c r="F428" s="34">
        <v>7700</v>
      </c>
      <c r="U428" s="34">
        <f>E428</f>
        <v>30100</v>
      </c>
      <c r="V428" s="34">
        <f t="shared" si="792"/>
        <v>0</v>
      </c>
      <c r="W428" s="46"/>
      <c r="X428" s="46"/>
      <c r="Y428" s="46"/>
      <c r="AA428" s="46">
        <f t="shared" si="791"/>
        <v>7700</v>
      </c>
      <c r="AB428" s="46"/>
      <c r="AG428" s="46"/>
      <c r="AL428" s="46"/>
      <c r="AQ428" s="46"/>
      <c r="BA428" s="46"/>
      <c r="BF428" s="46"/>
      <c r="BK428" s="46"/>
      <c r="BP428" s="46"/>
      <c r="BU428" s="46"/>
      <c r="BZ428" s="46"/>
      <c r="CE428" s="379"/>
      <c r="CF428" s="379"/>
      <c r="CG428" s="379"/>
      <c r="CH428" s="379"/>
      <c r="CI428" s="379"/>
      <c r="CJ428" s="379"/>
      <c r="CK428" s="379"/>
      <c r="CL428" s="379"/>
      <c r="CM428" s="379"/>
      <c r="CN428" s="379"/>
      <c r="CO428" s="379"/>
      <c r="CP428" s="379"/>
      <c r="CQ428" s="379"/>
      <c r="CR428" s="379"/>
    </row>
    <row r="429" spans="1:96" x14ac:dyDescent="0.2">
      <c r="A429" s="80" t="s">
        <v>5956</v>
      </c>
      <c r="B429" s="885" t="s">
        <v>6097</v>
      </c>
      <c r="C429" s="58" t="s">
        <v>5957</v>
      </c>
      <c r="E429" s="34">
        <v>30300</v>
      </c>
      <c r="R429" s="34">
        <f>'Cap Inc'!B73</f>
        <v>19900</v>
      </c>
      <c r="U429" s="34">
        <v>7500</v>
      </c>
      <c r="V429" s="34">
        <f t="shared" si="792"/>
        <v>2900</v>
      </c>
      <c r="W429" s="46"/>
      <c r="X429" s="46"/>
      <c r="Y429" s="46"/>
      <c r="AA429" s="46">
        <f t="shared" si="791"/>
        <v>0</v>
      </c>
      <c r="AB429" s="46"/>
      <c r="AG429" s="46"/>
      <c r="AL429" s="46"/>
      <c r="AQ429" s="46"/>
      <c r="BA429" s="46"/>
      <c r="BF429" s="46"/>
      <c r="BK429" s="46"/>
      <c r="BP429" s="46"/>
      <c r="BU429" s="46"/>
      <c r="BZ429" s="46"/>
      <c r="CE429" s="379"/>
      <c r="CF429" s="379"/>
      <c r="CG429" s="379"/>
      <c r="CH429" s="379"/>
      <c r="CI429" s="379"/>
      <c r="CJ429" s="379"/>
      <c r="CK429" s="379"/>
      <c r="CL429" s="379"/>
      <c r="CM429" s="379"/>
      <c r="CN429" s="379"/>
      <c r="CO429" s="379"/>
      <c r="CP429" s="379"/>
      <c r="CQ429" s="379"/>
      <c r="CR429" s="379"/>
    </row>
    <row r="430" spans="1:96" x14ac:dyDescent="0.2">
      <c r="A430" s="80" t="s">
        <v>6638</v>
      </c>
      <c r="B430" s="885" t="s">
        <v>6639</v>
      </c>
      <c r="C430" s="58"/>
      <c r="E430" s="34">
        <v>1600</v>
      </c>
      <c r="V430" s="34">
        <f t="shared" si="792"/>
        <v>1600</v>
      </c>
      <c r="W430" s="46"/>
      <c r="X430" s="46"/>
      <c r="Y430" s="46"/>
      <c r="AB430" s="46"/>
      <c r="AG430" s="46"/>
      <c r="AL430" s="46"/>
      <c r="AQ430" s="46"/>
      <c r="BA430" s="46"/>
      <c r="BF430" s="46"/>
      <c r="BK430" s="46"/>
      <c r="BP430" s="46"/>
      <c r="BU430" s="46"/>
      <c r="BZ430" s="46"/>
      <c r="CE430" s="379"/>
      <c r="CF430" s="379"/>
      <c r="CG430" s="379"/>
      <c r="CH430" s="379"/>
      <c r="CI430" s="379"/>
      <c r="CJ430" s="379"/>
      <c r="CK430" s="379"/>
      <c r="CL430" s="379"/>
      <c r="CM430" s="379"/>
      <c r="CN430" s="379"/>
      <c r="CO430" s="379"/>
      <c r="CP430" s="379"/>
      <c r="CQ430" s="379"/>
      <c r="CR430" s="379"/>
    </row>
    <row r="431" spans="1:96" x14ac:dyDescent="0.2">
      <c r="A431" s="80" t="s">
        <v>3357</v>
      </c>
      <c r="B431" s="885" t="s">
        <v>2428</v>
      </c>
      <c r="C431" s="1349" t="s">
        <v>4959</v>
      </c>
      <c r="D431" s="58"/>
      <c r="V431" s="34">
        <f t="shared" si="792"/>
        <v>0</v>
      </c>
      <c r="W431" s="46"/>
      <c r="X431" s="46"/>
      <c r="Y431" s="46"/>
      <c r="AA431" s="46">
        <f t="shared" ref="AA431:AA467" si="793">F431-W431-X431-Y431-Z431</f>
        <v>0</v>
      </c>
      <c r="AB431" s="46"/>
      <c r="AG431" s="46"/>
      <c r="AL431" s="46"/>
      <c r="AQ431" s="46"/>
      <c r="BA431" s="46"/>
      <c r="BF431" s="46"/>
      <c r="BK431" s="46"/>
      <c r="BP431" s="46"/>
      <c r="BU431" s="46"/>
      <c r="BZ431" s="46"/>
      <c r="CE431" s="379"/>
      <c r="CF431" s="379"/>
      <c r="CG431" s="379"/>
      <c r="CH431" s="379"/>
      <c r="CI431" s="379"/>
      <c r="CJ431" s="379"/>
      <c r="CK431" s="379"/>
      <c r="CL431" s="379"/>
      <c r="CM431" s="379"/>
      <c r="CN431" s="379"/>
      <c r="CO431" s="379"/>
      <c r="CP431" s="379"/>
      <c r="CQ431" s="379"/>
      <c r="CR431" s="379"/>
    </row>
    <row r="432" spans="1:96" x14ac:dyDescent="0.2">
      <c r="A432" s="80" t="s">
        <v>997</v>
      </c>
      <c r="B432" s="885" t="s">
        <v>5171</v>
      </c>
      <c r="C432" s="58" t="s">
        <v>5170</v>
      </c>
      <c r="E432" s="34">
        <v>23700</v>
      </c>
      <c r="F432" s="80"/>
      <c r="V432" s="34">
        <f t="shared" si="792"/>
        <v>23700</v>
      </c>
      <c r="W432" s="46"/>
      <c r="X432" s="46"/>
      <c r="Y432" s="46"/>
      <c r="AA432" s="46">
        <f t="shared" si="793"/>
        <v>0</v>
      </c>
      <c r="AB432" s="46"/>
      <c r="AG432" s="46"/>
      <c r="AL432" s="46"/>
      <c r="AQ432" s="46"/>
      <c r="BA432" s="46"/>
      <c r="BF432" s="46"/>
      <c r="BK432" s="46"/>
      <c r="BP432" s="46"/>
      <c r="BU432" s="46"/>
      <c r="BZ432" s="46"/>
      <c r="CE432" s="379"/>
      <c r="CF432" s="379"/>
      <c r="CG432" s="379"/>
      <c r="CH432" s="379"/>
      <c r="CI432" s="379"/>
      <c r="CJ432" s="379"/>
      <c r="CK432" s="379"/>
      <c r="CL432" s="379"/>
      <c r="CM432" s="379"/>
      <c r="CN432" s="379"/>
      <c r="CO432" s="379"/>
      <c r="CP432" s="379"/>
      <c r="CQ432" s="379"/>
      <c r="CR432" s="379"/>
    </row>
    <row r="433" spans="1:96" ht="12" customHeight="1" x14ac:dyDescent="0.2">
      <c r="A433" s="80" t="s">
        <v>3379</v>
      </c>
      <c r="B433" s="885" t="s">
        <v>998</v>
      </c>
      <c r="C433" s="1349" t="s">
        <v>4959</v>
      </c>
      <c r="D433" s="58"/>
      <c r="V433" s="34">
        <f t="shared" si="792"/>
        <v>0</v>
      </c>
      <c r="W433" s="46"/>
      <c r="X433" s="46"/>
      <c r="Y433" s="46"/>
      <c r="AA433" s="46">
        <f t="shared" si="793"/>
        <v>0</v>
      </c>
      <c r="AB433" s="46"/>
      <c r="AG433" s="46"/>
      <c r="AL433" s="46"/>
      <c r="AQ433" s="46"/>
      <c r="BA433" s="46"/>
      <c r="BF433" s="46"/>
      <c r="BK433" s="46"/>
      <c r="BP433" s="46"/>
      <c r="BU433" s="46"/>
      <c r="BZ433" s="46"/>
      <c r="CE433" s="379"/>
      <c r="CF433" s="379"/>
      <c r="CG433" s="379"/>
      <c r="CH433" s="379"/>
      <c r="CI433" s="379"/>
      <c r="CJ433" s="379"/>
      <c r="CK433" s="379"/>
      <c r="CL433" s="379"/>
      <c r="CM433" s="379"/>
      <c r="CN433" s="379"/>
      <c r="CO433" s="379"/>
      <c r="CP433" s="379"/>
      <c r="CQ433" s="379"/>
      <c r="CR433" s="379"/>
    </row>
    <row r="434" spans="1:96" x14ac:dyDescent="0.2">
      <c r="A434" s="80" t="s">
        <v>2207</v>
      </c>
      <c r="B434" s="885" t="s">
        <v>2407</v>
      </c>
      <c r="C434" s="1349" t="s">
        <v>4959</v>
      </c>
      <c r="D434" s="58"/>
      <c r="V434" s="34">
        <f t="shared" si="792"/>
        <v>0</v>
      </c>
      <c r="W434" s="46"/>
      <c r="X434" s="46"/>
      <c r="Y434" s="46"/>
      <c r="AA434" s="46">
        <f t="shared" si="793"/>
        <v>0</v>
      </c>
      <c r="AB434" s="46"/>
      <c r="AG434" s="46"/>
      <c r="AL434" s="46"/>
      <c r="AQ434" s="46"/>
      <c r="BA434" s="46"/>
      <c r="BF434" s="46"/>
      <c r="BK434" s="46"/>
      <c r="BP434" s="46"/>
      <c r="BU434" s="46"/>
      <c r="BZ434" s="46"/>
      <c r="CE434" s="379"/>
      <c r="CF434" s="379"/>
      <c r="CG434" s="379"/>
      <c r="CH434" s="379"/>
      <c r="CI434" s="379"/>
      <c r="CJ434" s="379"/>
      <c r="CK434" s="379"/>
      <c r="CL434" s="379"/>
      <c r="CM434" s="379"/>
      <c r="CN434" s="379"/>
      <c r="CO434" s="379"/>
      <c r="CP434" s="379"/>
      <c r="CQ434" s="379"/>
      <c r="CR434" s="379"/>
    </row>
    <row r="435" spans="1:96" x14ac:dyDescent="0.2">
      <c r="A435" s="80" t="s">
        <v>6076</v>
      </c>
      <c r="B435" s="885" t="s">
        <v>6193</v>
      </c>
      <c r="C435" s="1349" t="s">
        <v>6194</v>
      </c>
      <c r="D435" s="1349" t="s">
        <v>6194</v>
      </c>
      <c r="F435" s="34">
        <v>18300</v>
      </c>
      <c r="V435" s="34"/>
      <c r="W435" s="46"/>
      <c r="X435" s="46"/>
      <c r="Y435" s="46"/>
      <c r="AA435" s="46">
        <f t="shared" si="793"/>
        <v>18300</v>
      </c>
      <c r="AB435" s="46"/>
      <c r="AG435" s="46"/>
      <c r="AL435" s="46"/>
      <c r="AQ435" s="46"/>
      <c r="BA435" s="46"/>
      <c r="BF435" s="46"/>
      <c r="BK435" s="46"/>
      <c r="BP435" s="46"/>
      <c r="BU435" s="46"/>
      <c r="BZ435" s="46"/>
      <c r="CE435" s="379"/>
      <c r="CF435" s="379"/>
      <c r="CG435" s="379"/>
      <c r="CH435" s="379"/>
      <c r="CI435" s="379"/>
      <c r="CJ435" s="379"/>
      <c r="CK435" s="379"/>
      <c r="CL435" s="379"/>
      <c r="CM435" s="379"/>
      <c r="CN435" s="379"/>
      <c r="CO435" s="379"/>
      <c r="CP435" s="379"/>
      <c r="CQ435" s="379"/>
      <c r="CR435" s="379"/>
    </row>
    <row r="436" spans="1:96" x14ac:dyDescent="0.2">
      <c r="A436" s="80" t="s">
        <v>7137</v>
      </c>
      <c r="B436" s="885" t="s">
        <v>3158</v>
      </c>
      <c r="C436" s="58" t="s">
        <v>7138</v>
      </c>
      <c r="D436" s="58" t="s">
        <v>7138</v>
      </c>
      <c r="G436" s="34">
        <f>25000-25000</f>
        <v>0</v>
      </c>
      <c r="V436" s="34">
        <f t="shared" ref="V436:V444" si="794">E436-SUM(R436:U436)</f>
        <v>0</v>
      </c>
      <c r="W436" s="46"/>
      <c r="X436" s="46"/>
      <c r="Y436" s="46"/>
      <c r="AA436" s="46">
        <f t="shared" si="793"/>
        <v>0</v>
      </c>
      <c r="AB436" s="46"/>
      <c r="AG436" s="46"/>
      <c r="AL436" s="46"/>
      <c r="AQ436" s="46"/>
      <c r="BA436" s="46"/>
      <c r="BF436" s="46"/>
      <c r="BK436" s="46"/>
      <c r="BP436" s="46"/>
      <c r="BU436" s="46"/>
      <c r="BZ436" s="46"/>
      <c r="CE436" s="379"/>
      <c r="CF436" s="379"/>
      <c r="CG436" s="379"/>
      <c r="CH436" s="379"/>
      <c r="CI436" s="379"/>
      <c r="CJ436" s="379"/>
      <c r="CK436" s="379"/>
      <c r="CL436" s="379"/>
      <c r="CM436" s="379"/>
      <c r="CN436" s="379"/>
      <c r="CO436" s="379"/>
      <c r="CP436" s="379"/>
      <c r="CQ436" s="379"/>
      <c r="CR436" s="379"/>
    </row>
    <row r="437" spans="1:96" x14ac:dyDescent="0.2">
      <c r="A437" s="80" t="s">
        <v>6975</v>
      </c>
      <c r="B437" s="885" t="s">
        <v>7139</v>
      </c>
      <c r="C437" s="1349" t="s">
        <v>7140</v>
      </c>
      <c r="D437" s="1349" t="s">
        <v>7140</v>
      </c>
      <c r="G437" s="34">
        <v>17000</v>
      </c>
      <c r="V437" s="34"/>
      <c r="W437" s="46"/>
      <c r="X437" s="46"/>
      <c r="Y437" s="46"/>
      <c r="AB437" s="46"/>
      <c r="AG437" s="46"/>
      <c r="AL437" s="46"/>
      <c r="AQ437" s="46"/>
      <c r="BA437" s="46"/>
      <c r="BF437" s="46"/>
      <c r="BK437" s="46"/>
      <c r="BP437" s="46"/>
      <c r="BU437" s="46"/>
      <c r="BZ437" s="46"/>
      <c r="CE437" s="379"/>
      <c r="CF437" s="379"/>
      <c r="CG437" s="379"/>
      <c r="CH437" s="379"/>
      <c r="CI437" s="379"/>
      <c r="CJ437" s="379"/>
      <c r="CK437" s="379"/>
      <c r="CL437" s="379"/>
      <c r="CM437" s="379"/>
      <c r="CN437" s="379"/>
      <c r="CO437" s="379"/>
      <c r="CP437" s="379"/>
      <c r="CQ437" s="379"/>
      <c r="CR437" s="379"/>
    </row>
    <row r="438" spans="1:96" x14ac:dyDescent="0.2">
      <c r="A438" s="80" t="s">
        <v>3098</v>
      </c>
      <c r="B438" s="885" t="s">
        <v>3099</v>
      </c>
      <c r="C438" s="1349" t="s">
        <v>4959</v>
      </c>
      <c r="D438" s="58"/>
      <c r="V438" s="34">
        <f t="shared" si="794"/>
        <v>0</v>
      </c>
      <c r="W438" s="46"/>
      <c r="X438" s="46"/>
      <c r="Y438" s="46"/>
      <c r="AA438" s="46">
        <f t="shared" si="793"/>
        <v>0</v>
      </c>
      <c r="AB438" s="46"/>
      <c r="AG438" s="46"/>
      <c r="AL438" s="46"/>
      <c r="AQ438" s="46"/>
      <c r="BA438" s="46"/>
      <c r="BF438" s="46"/>
      <c r="BK438" s="46"/>
      <c r="BP438" s="46"/>
      <c r="BU438" s="46"/>
      <c r="BZ438" s="46"/>
      <c r="CE438" s="379"/>
      <c r="CF438" s="379"/>
      <c r="CG438" s="379"/>
      <c r="CH438" s="379"/>
      <c r="CI438" s="379"/>
      <c r="CJ438" s="379"/>
      <c r="CK438" s="379"/>
      <c r="CL438" s="379"/>
      <c r="CM438" s="379"/>
      <c r="CN438" s="379"/>
      <c r="CO438" s="379"/>
      <c r="CP438" s="379"/>
      <c r="CQ438" s="379"/>
      <c r="CR438" s="379"/>
    </row>
    <row r="439" spans="1:96" x14ac:dyDescent="0.2">
      <c r="A439" s="80" t="s">
        <v>3457</v>
      </c>
      <c r="B439" s="885" t="s">
        <v>3458</v>
      </c>
      <c r="C439" s="1349" t="s">
        <v>4959</v>
      </c>
      <c r="D439" s="58"/>
      <c r="V439" s="34">
        <f t="shared" si="794"/>
        <v>0</v>
      </c>
      <c r="W439" s="46"/>
      <c r="X439" s="46"/>
      <c r="Y439" s="46"/>
      <c r="AA439" s="46">
        <f t="shared" si="793"/>
        <v>0</v>
      </c>
      <c r="AB439" s="46"/>
      <c r="AG439" s="46"/>
      <c r="AL439" s="46"/>
      <c r="AQ439" s="46"/>
      <c r="BA439" s="46"/>
      <c r="BF439" s="46"/>
      <c r="BK439" s="46"/>
      <c r="BP439" s="46"/>
      <c r="BU439" s="46"/>
      <c r="BZ439" s="46"/>
      <c r="CE439" s="379"/>
      <c r="CF439" s="379"/>
      <c r="CG439" s="379"/>
      <c r="CH439" s="379"/>
      <c r="CI439" s="379"/>
      <c r="CJ439" s="379"/>
      <c r="CK439" s="379"/>
      <c r="CL439" s="379"/>
      <c r="CM439" s="379"/>
      <c r="CN439" s="379"/>
      <c r="CO439" s="379"/>
      <c r="CP439" s="379"/>
      <c r="CQ439" s="379"/>
      <c r="CR439" s="379"/>
    </row>
    <row r="440" spans="1:96" x14ac:dyDescent="0.2">
      <c r="A440" s="80" t="s">
        <v>3468</v>
      </c>
      <c r="B440" s="885" t="s">
        <v>3469</v>
      </c>
      <c r="C440" s="1349" t="s">
        <v>4959</v>
      </c>
      <c r="D440" s="58"/>
      <c r="V440" s="34">
        <f t="shared" si="794"/>
        <v>0</v>
      </c>
      <c r="W440" s="46"/>
      <c r="X440" s="46"/>
      <c r="Y440" s="46"/>
      <c r="AA440" s="46">
        <f t="shared" si="793"/>
        <v>0</v>
      </c>
      <c r="AB440" s="46"/>
      <c r="AG440" s="46"/>
      <c r="AL440" s="46"/>
      <c r="AQ440" s="46"/>
      <c r="BA440" s="46"/>
      <c r="BF440" s="46"/>
      <c r="BK440" s="46"/>
      <c r="BP440" s="46"/>
      <c r="BU440" s="46"/>
      <c r="BZ440" s="46"/>
      <c r="CE440" s="379"/>
      <c r="CF440" s="379"/>
      <c r="CG440" s="379"/>
      <c r="CH440" s="379"/>
      <c r="CI440" s="379"/>
      <c r="CJ440" s="379"/>
      <c r="CK440" s="379"/>
      <c r="CL440" s="379"/>
      <c r="CM440" s="379"/>
      <c r="CN440" s="379"/>
      <c r="CO440" s="379"/>
      <c r="CP440" s="379"/>
      <c r="CQ440" s="379"/>
      <c r="CR440" s="379"/>
    </row>
    <row r="441" spans="1:96" x14ac:dyDescent="0.2">
      <c r="A441" s="80" t="s">
        <v>3600</v>
      </c>
      <c r="B441" s="885" t="s">
        <v>3918</v>
      </c>
      <c r="C441" s="58" t="s">
        <v>4039</v>
      </c>
      <c r="D441" s="58"/>
      <c r="E441" s="34">
        <v>2100</v>
      </c>
      <c r="F441" s="80"/>
      <c r="U441" s="34">
        <f>33000-30000</f>
        <v>3000</v>
      </c>
      <c r="V441" s="34">
        <f t="shared" si="794"/>
        <v>-900</v>
      </c>
      <c r="W441" s="46"/>
      <c r="X441" s="46"/>
      <c r="Y441" s="46"/>
      <c r="AA441" s="46">
        <f t="shared" si="793"/>
        <v>0</v>
      </c>
      <c r="AB441" s="46"/>
      <c r="AG441" s="46"/>
      <c r="AL441" s="46"/>
      <c r="AQ441" s="46"/>
      <c r="BA441" s="46"/>
      <c r="BF441" s="46"/>
      <c r="BK441" s="46"/>
      <c r="BP441" s="46"/>
      <c r="BU441" s="46"/>
      <c r="BZ441" s="46"/>
      <c r="CE441" s="379"/>
      <c r="CF441" s="379"/>
      <c r="CG441" s="379"/>
      <c r="CH441" s="379"/>
      <c r="CI441" s="379"/>
      <c r="CJ441" s="379"/>
      <c r="CK441" s="379"/>
      <c r="CL441" s="379"/>
      <c r="CM441" s="379"/>
      <c r="CN441" s="379"/>
      <c r="CO441" s="379"/>
      <c r="CP441" s="379"/>
      <c r="CQ441" s="379"/>
      <c r="CR441" s="379"/>
    </row>
    <row r="442" spans="1:96" x14ac:dyDescent="0.2">
      <c r="A442" s="80" t="s">
        <v>3601</v>
      </c>
      <c r="B442" s="885" t="s">
        <v>3919</v>
      </c>
      <c r="C442" s="58" t="s">
        <v>4040</v>
      </c>
      <c r="D442" s="58" t="s">
        <v>4040</v>
      </c>
      <c r="E442" s="34">
        <v>103500</v>
      </c>
      <c r="F442" s="80">
        <v>16900</v>
      </c>
      <c r="R442" s="34">
        <f>'Cap Inc'!B82</f>
        <v>49500</v>
      </c>
      <c r="U442" s="34">
        <v>11000</v>
      </c>
      <c r="V442" s="34">
        <f t="shared" si="794"/>
        <v>43000</v>
      </c>
      <c r="W442" s="46"/>
      <c r="X442" s="46"/>
      <c r="Y442" s="46"/>
      <c r="Z442" s="34">
        <f>15000+2000</f>
        <v>17000</v>
      </c>
      <c r="AA442" s="46">
        <f t="shared" si="793"/>
        <v>-100</v>
      </c>
      <c r="AB442" s="46"/>
      <c r="AD442" s="2226"/>
      <c r="AG442" s="46"/>
      <c r="AL442" s="46"/>
      <c r="AQ442" s="46"/>
      <c r="BA442" s="46"/>
      <c r="BF442" s="46"/>
      <c r="BK442" s="46"/>
      <c r="BP442" s="46"/>
      <c r="BU442" s="46"/>
      <c r="BZ442" s="46"/>
      <c r="CE442" s="379"/>
      <c r="CF442" s="379"/>
      <c r="CG442" s="379"/>
      <c r="CH442" s="379"/>
      <c r="CI442" s="379"/>
      <c r="CJ442" s="379"/>
      <c r="CK442" s="379"/>
      <c r="CL442" s="379"/>
      <c r="CM442" s="379"/>
      <c r="CN442" s="379"/>
      <c r="CO442" s="379"/>
      <c r="CP442" s="379"/>
      <c r="CQ442" s="379"/>
      <c r="CR442" s="379"/>
    </row>
    <row r="443" spans="1:96" x14ac:dyDescent="0.2">
      <c r="A443" s="80" t="s">
        <v>4650</v>
      </c>
      <c r="B443" s="885" t="s">
        <v>3930</v>
      </c>
      <c r="C443" s="58" t="s">
        <v>4752</v>
      </c>
      <c r="D443" s="58"/>
      <c r="E443" s="34">
        <v>77500</v>
      </c>
      <c r="F443" s="80"/>
      <c r="V443" s="34">
        <f t="shared" si="794"/>
        <v>77500</v>
      </c>
      <c r="W443" s="46"/>
      <c r="X443" s="46"/>
      <c r="Y443" s="46"/>
      <c r="AA443" s="46">
        <f t="shared" si="793"/>
        <v>0</v>
      </c>
      <c r="AB443" s="46"/>
      <c r="AG443" s="46"/>
      <c r="AL443" s="46"/>
      <c r="AQ443" s="46"/>
      <c r="BA443" s="46"/>
      <c r="BF443" s="46"/>
      <c r="BK443" s="46"/>
      <c r="BP443" s="46"/>
      <c r="BU443" s="46"/>
      <c r="BZ443" s="46"/>
      <c r="CE443" s="379"/>
      <c r="CF443" s="379"/>
      <c r="CG443" s="379"/>
      <c r="CH443" s="379"/>
      <c r="CI443" s="379"/>
      <c r="CJ443" s="379"/>
      <c r="CK443" s="379"/>
      <c r="CL443" s="379"/>
      <c r="CM443" s="379"/>
      <c r="CN443" s="379"/>
      <c r="CO443" s="379"/>
      <c r="CP443" s="379"/>
      <c r="CQ443" s="379"/>
      <c r="CR443" s="379"/>
    </row>
    <row r="444" spans="1:96" x14ac:dyDescent="0.2">
      <c r="A444" s="80" t="s">
        <v>3602</v>
      </c>
      <c r="B444" s="885" t="s">
        <v>3920</v>
      </c>
      <c r="C444" s="58" t="s">
        <v>4041</v>
      </c>
      <c r="D444" s="58"/>
      <c r="E444" s="34">
        <v>21400</v>
      </c>
      <c r="F444" s="80"/>
      <c r="U444" s="34">
        <v>20000</v>
      </c>
      <c r="V444" s="34">
        <f t="shared" si="794"/>
        <v>1400</v>
      </c>
      <c r="W444" s="46"/>
      <c r="X444" s="46"/>
      <c r="Y444" s="46"/>
      <c r="AA444" s="46">
        <f t="shared" si="793"/>
        <v>0</v>
      </c>
      <c r="AB444" s="46"/>
      <c r="AG444" s="46"/>
      <c r="AL444" s="46"/>
      <c r="AQ444" s="46"/>
      <c r="BA444" s="46"/>
      <c r="BF444" s="46"/>
      <c r="BK444" s="46"/>
      <c r="BP444" s="46"/>
      <c r="BU444" s="46"/>
      <c r="BZ444" s="46"/>
      <c r="CE444" s="379"/>
      <c r="CF444" s="379"/>
      <c r="CG444" s="379"/>
      <c r="CH444" s="379"/>
      <c r="CI444" s="379"/>
      <c r="CJ444" s="379"/>
      <c r="CK444" s="379"/>
      <c r="CL444" s="379"/>
      <c r="CM444" s="379"/>
      <c r="CN444" s="379"/>
      <c r="CO444" s="379"/>
      <c r="CP444" s="379"/>
      <c r="CQ444" s="379"/>
      <c r="CR444" s="379"/>
    </row>
    <row r="445" spans="1:96" x14ac:dyDescent="0.2">
      <c r="A445" s="80" t="s">
        <v>6030</v>
      </c>
      <c r="B445" s="885" t="s">
        <v>6195</v>
      </c>
      <c r="C445" s="58" t="s">
        <v>6196</v>
      </c>
      <c r="D445" s="58" t="s">
        <v>6196</v>
      </c>
      <c r="F445" s="80"/>
      <c r="V445" s="34"/>
      <c r="W445" s="46"/>
      <c r="X445" s="46"/>
      <c r="Y445" s="46"/>
      <c r="AA445" s="46">
        <f t="shared" si="793"/>
        <v>0</v>
      </c>
      <c r="AB445" s="46"/>
      <c r="AG445" s="46"/>
      <c r="AL445" s="46"/>
      <c r="AQ445" s="46"/>
      <c r="BA445" s="46"/>
      <c r="BF445" s="46"/>
      <c r="BK445" s="46"/>
      <c r="BP445" s="46"/>
      <c r="BU445" s="46"/>
      <c r="BZ445" s="46"/>
      <c r="CE445" s="379"/>
      <c r="CF445" s="379"/>
      <c r="CG445" s="379"/>
      <c r="CH445" s="379"/>
      <c r="CI445" s="379"/>
      <c r="CJ445" s="379"/>
      <c r="CK445" s="379"/>
      <c r="CL445" s="379"/>
      <c r="CM445" s="379"/>
      <c r="CN445" s="379"/>
      <c r="CO445" s="379"/>
      <c r="CP445" s="379"/>
      <c r="CQ445" s="379"/>
      <c r="CR445" s="379"/>
    </row>
    <row r="446" spans="1:96" x14ac:dyDescent="0.2">
      <c r="A446" s="80" t="s">
        <v>3603</v>
      </c>
      <c r="B446" s="885" t="s">
        <v>3921</v>
      </c>
      <c r="C446" s="58" t="s">
        <v>4042</v>
      </c>
      <c r="D446" s="58"/>
      <c r="E446" s="34">
        <v>13100</v>
      </c>
      <c r="F446" s="80"/>
      <c r="U446" s="34">
        <v>10000</v>
      </c>
      <c r="V446" s="34">
        <f>E446-SUM(R446:U446)</f>
        <v>3100</v>
      </c>
      <c r="W446" s="46"/>
      <c r="X446" s="46"/>
      <c r="Y446" s="46"/>
      <c r="AA446" s="46">
        <f t="shared" si="793"/>
        <v>0</v>
      </c>
      <c r="AB446" s="46"/>
      <c r="AG446" s="46"/>
      <c r="AL446" s="46"/>
      <c r="AQ446" s="46"/>
      <c r="BA446" s="46"/>
      <c r="BF446" s="46"/>
      <c r="BK446" s="46"/>
      <c r="BP446" s="46"/>
      <c r="BU446" s="46"/>
      <c r="BZ446" s="46"/>
      <c r="CE446" s="379"/>
      <c r="CF446" s="379"/>
      <c r="CG446" s="379"/>
      <c r="CH446" s="379"/>
      <c r="CI446" s="379"/>
      <c r="CJ446" s="379"/>
      <c r="CK446" s="379"/>
      <c r="CL446" s="379"/>
      <c r="CM446" s="379"/>
      <c r="CN446" s="379"/>
      <c r="CO446" s="379"/>
      <c r="CP446" s="379"/>
      <c r="CQ446" s="379"/>
      <c r="CR446" s="379"/>
    </row>
    <row r="447" spans="1:96" x14ac:dyDescent="0.2">
      <c r="A447" s="80" t="s">
        <v>3604</v>
      </c>
      <c r="B447" s="885" t="s">
        <v>3922</v>
      </c>
      <c r="C447" s="58" t="s">
        <v>4043</v>
      </c>
      <c r="D447" s="58"/>
      <c r="E447" s="34">
        <v>15100</v>
      </c>
      <c r="F447" s="80"/>
      <c r="V447" s="34">
        <f>E447-SUM(R447:U447)</f>
        <v>15100</v>
      </c>
      <c r="W447" s="46"/>
      <c r="X447" s="46"/>
      <c r="Y447" s="46"/>
      <c r="AA447" s="46">
        <f t="shared" si="793"/>
        <v>0</v>
      </c>
      <c r="AB447" s="46"/>
      <c r="AG447" s="46"/>
      <c r="AL447" s="46"/>
      <c r="AQ447" s="46"/>
      <c r="BA447" s="46"/>
      <c r="BF447" s="46"/>
      <c r="BK447" s="46"/>
      <c r="BP447" s="46"/>
      <c r="BU447" s="46"/>
      <c r="BZ447" s="46"/>
      <c r="CE447" s="379"/>
      <c r="CF447" s="379"/>
      <c r="CG447" s="379"/>
      <c r="CH447" s="379"/>
      <c r="CI447" s="379"/>
      <c r="CJ447" s="379"/>
      <c r="CK447" s="379"/>
      <c r="CL447" s="379"/>
      <c r="CM447" s="379"/>
      <c r="CN447" s="379"/>
      <c r="CO447" s="379"/>
      <c r="CP447" s="379"/>
      <c r="CQ447" s="379"/>
      <c r="CR447" s="379"/>
    </row>
    <row r="448" spans="1:96" x14ac:dyDescent="0.2">
      <c r="A448" s="80" t="s">
        <v>6079</v>
      </c>
      <c r="B448" s="885" t="s">
        <v>6197</v>
      </c>
      <c r="C448" s="58" t="s">
        <v>6198</v>
      </c>
      <c r="D448" s="58" t="s">
        <v>6198</v>
      </c>
      <c r="F448" s="80">
        <v>57900</v>
      </c>
      <c r="V448" s="34"/>
      <c r="W448" s="46"/>
      <c r="X448" s="46"/>
      <c r="Y448" s="46"/>
      <c r="AA448" s="46">
        <f t="shared" si="793"/>
        <v>57900</v>
      </c>
      <c r="AB448" s="46"/>
      <c r="AG448" s="46"/>
      <c r="AL448" s="46"/>
      <c r="AQ448" s="46"/>
      <c r="BA448" s="46"/>
      <c r="BF448" s="46"/>
      <c r="BK448" s="46"/>
      <c r="BP448" s="46"/>
      <c r="BU448" s="46"/>
      <c r="BZ448" s="46"/>
      <c r="CE448" s="379"/>
      <c r="CF448" s="379"/>
      <c r="CG448" s="379"/>
      <c r="CH448" s="379"/>
      <c r="CI448" s="379"/>
      <c r="CJ448" s="379"/>
      <c r="CK448" s="379"/>
      <c r="CL448" s="379"/>
      <c r="CM448" s="379"/>
      <c r="CN448" s="379"/>
      <c r="CO448" s="379"/>
      <c r="CP448" s="379"/>
      <c r="CQ448" s="379"/>
      <c r="CR448" s="379"/>
    </row>
    <row r="449" spans="1:96" x14ac:dyDescent="0.2">
      <c r="A449" s="80" t="s">
        <v>3605</v>
      </c>
      <c r="B449" s="885" t="s">
        <v>3923</v>
      </c>
      <c r="C449" s="58" t="s">
        <v>4044</v>
      </c>
      <c r="D449" s="58"/>
      <c r="E449" s="34">
        <v>21900</v>
      </c>
      <c r="F449" s="80"/>
      <c r="R449" s="34">
        <f>'Cap Inc'!B85</f>
        <v>13800</v>
      </c>
      <c r="U449" s="34">
        <v>22400</v>
      </c>
      <c r="V449" s="34">
        <f>E449-SUM(R449:U449)</f>
        <v>-14300</v>
      </c>
      <c r="W449" s="46"/>
      <c r="X449" s="46"/>
      <c r="Y449" s="46"/>
      <c r="AA449" s="46">
        <f t="shared" si="793"/>
        <v>0</v>
      </c>
      <c r="AB449" s="46"/>
      <c r="AG449" s="46"/>
      <c r="AL449" s="46"/>
      <c r="AQ449" s="46"/>
      <c r="BA449" s="46"/>
      <c r="BF449" s="46"/>
      <c r="BK449" s="46"/>
      <c r="BP449" s="46"/>
      <c r="BU449" s="46"/>
      <c r="BZ449" s="46"/>
      <c r="CE449" s="379"/>
      <c r="CF449" s="379"/>
      <c r="CG449" s="379"/>
      <c r="CH449" s="379"/>
      <c r="CI449" s="379"/>
      <c r="CJ449" s="379"/>
      <c r="CK449" s="379"/>
      <c r="CL449" s="379"/>
      <c r="CM449" s="379"/>
      <c r="CN449" s="379"/>
      <c r="CO449" s="379"/>
      <c r="CP449" s="379"/>
      <c r="CQ449" s="379"/>
      <c r="CR449" s="379"/>
    </row>
    <row r="450" spans="1:96" x14ac:dyDescent="0.2">
      <c r="A450" s="80" t="s">
        <v>4950</v>
      </c>
      <c r="B450" s="885" t="s">
        <v>5173</v>
      </c>
      <c r="C450" s="58" t="s">
        <v>5172</v>
      </c>
      <c r="D450" s="58"/>
      <c r="E450" s="34">
        <v>7000</v>
      </c>
      <c r="F450" s="80"/>
      <c r="V450" s="34">
        <f>E450-SUM(R450:U450)</f>
        <v>7000</v>
      </c>
      <c r="W450" s="46"/>
      <c r="X450" s="46"/>
      <c r="Y450" s="46"/>
      <c r="AA450" s="46">
        <f t="shared" si="793"/>
        <v>0</v>
      </c>
      <c r="AB450" s="46"/>
      <c r="AG450" s="46"/>
      <c r="AL450" s="46"/>
      <c r="AQ450" s="46"/>
      <c r="BA450" s="46"/>
      <c r="BF450" s="46"/>
      <c r="BK450" s="46"/>
      <c r="BP450" s="46"/>
      <c r="BU450" s="46"/>
      <c r="BZ450" s="46"/>
      <c r="CE450" s="379"/>
      <c r="CF450" s="379"/>
      <c r="CG450" s="379"/>
      <c r="CH450" s="379"/>
      <c r="CI450" s="379"/>
      <c r="CJ450" s="379"/>
      <c r="CK450" s="379"/>
      <c r="CL450" s="379"/>
      <c r="CM450" s="379"/>
      <c r="CN450" s="379"/>
      <c r="CO450" s="379"/>
      <c r="CP450" s="379"/>
      <c r="CQ450" s="379"/>
      <c r="CR450" s="379"/>
    </row>
    <row r="451" spans="1:96" x14ac:dyDescent="0.2">
      <c r="A451" s="80" t="s">
        <v>4951</v>
      </c>
      <c r="B451" s="885" t="s">
        <v>5175</v>
      </c>
      <c r="C451" s="58" t="s">
        <v>5174</v>
      </c>
      <c r="D451" s="58"/>
      <c r="E451" s="34">
        <v>60300</v>
      </c>
      <c r="F451" s="80">
        <v>16200</v>
      </c>
      <c r="V451" s="34">
        <f>E451-SUM(R451:U451)</f>
        <v>60300</v>
      </c>
      <c r="W451" s="46"/>
      <c r="X451" s="46"/>
      <c r="Y451" s="46"/>
      <c r="AA451" s="46">
        <f t="shared" si="793"/>
        <v>16200</v>
      </c>
      <c r="AB451" s="46"/>
      <c r="AG451" s="46"/>
      <c r="AL451" s="46"/>
      <c r="AQ451" s="46"/>
      <c r="BA451" s="46"/>
      <c r="BF451" s="46"/>
      <c r="BK451" s="46"/>
      <c r="BP451" s="46"/>
      <c r="BU451" s="46"/>
      <c r="BZ451" s="46"/>
      <c r="CE451" s="379"/>
      <c r="CF451" s="379"/>
      <c r="CG451" s="379"/>
      <c r="CH451" s="379"/>
      <c r="CI451" s="379"/>
      <c r="CJ451" s="379"/>
      <c r="CK451" s="379"/>
      <c r="CL451" s="379"/>
      <c r="CM451" s="379"/>
      <c r="CN451" s="379"/>
      <c r="CO451" s="379"/>
      <c r="CP451" s="379"/>
      <c r="CQ451" s="379"/>
      <c r="CR451" s="379"/>
    </row>
    <row r="452" spans="1:96" x14ac:dyDescent="0.2">
      <c r="A452" s="80" t="s">
        <v>6075</v>
      </c>
      <c r="B452" s="885" t="s">
        <v>6199</v>
      </c>
      <c r="C452" s="58" t="s">
        <v>6201</v>
      </c>
      <c r="D452" s="58" t="s">
        <v>6201</v>
      </c>
      <c r="F452" s="80">
        <v>6300</v>
      </c>
      <c r="V452" s="34"/>
      <c r="W452" s="46"/>
      <c r="X452" s="46"/>
      <c r="Y452" s="46"/>
      <c r="AA452" s="46">
        <f t="shared" si="793"/>
        <v>6300</v>
      </c>
      <c r="AB452" s="46"/>
      <c r="AG452" s="46"/>
      <c r="AL452" s="46"/>
      <c r="AQ452" s="46"/>
      <c r="BA452" s="46"/>
      <c r="BF452" s="46"/>
      <c r="BK452" s="46"/>
      <c r="BP452" s="46"/>
      <c r="BU452" s="46"/>
      <c r="BZ452" s="46"/>
      <c r="CE452" s="379"/>
      <c r="CF452" s="379"/>
      <c r="CG452" s="379"/>
      <c r="CH452" s="379"/>
      <c r="CI452" s="379"/>
      <c r="CJ452" s="379"/>
      <c r="CK452" s="379"/>
      <c r="CL452" s="379"/>
      <c r="CM452" s="379"/>
      <c r="CN452" s="379"/>
      <c r="CO452" s="379"/>
      <c r="CP452" s="379"/>
      <c r="CQ452" s="379"/>
      <c r="CR452" s="379"/>
    </row>
    <row r="453" spans="1:96" x14ac:dyDescent="0.2">
      <c r="A453" s="80" t="s">
        <v>6080</v>
      </c>
      <c r="B453" s="885" t="s">
        <v>6200</v>
      </c>
      <c r="C453" s="58" t="s">
        <v>6202</v>
      </c>
      <c r="D453" s="58" t="s">
        <v>6202</v>
      </c>
      <c r="F453" s="80">
        <v>68100</v>
      </c>
      <c r="G453" s="34">
        <f>92000-20000</f>
        <v>72000</v>
      </c>
      <c r="V453" s="34"/>
      <c r="W453" s="46"/>
      <c r="X453" s="46"/>
      <c r="Y453" s="46"/>
      <c r="Z453" s="34">
        <v>7000</v>
      </c>
      <c r="AA453" s="46">
        <f t="shared" si="793"/>
        <v>61100</v>
      </c>
      <c r="AB453" s="46"/>
      <c r="AD453" s="2226"/>
      <c r="AG453" s="46"/>
      <c r="AL453" s="46"/>
      <c r="AQ453" s="46"/>
      <c r="BA453" s="46"/>
      <c r="BF453" s="46"/>
      <c r="BK453" s="46"/>
      <c r="BP453" s="46"/>
      <c r="BU453" s="46"/>
      <c r="BZ453" s="46"/>
      <c r="CE453" s="379"/>
      <c r="CF453" s="379"/>
      <c r="CG453" s="379"/>
      <c r="CH453" s="379"/>
      <c r="CI453" s="379"/>
      <c r="CJ453" s="379"/>
      <c r="CK453" s="379"/>
      <c r="CL453" s="379"/>
      <c r="CM453" s="379"/>
      <c r="CN453" s="379"/>
      <c r="CO453" s="379"/>
      <c r="CP453" s="379"/>
      <c r="CQ453" s="379"/>
      <c r="CR453" s="379"/>
    </row>
    <row r="454" spans="1:96" x14ac:dyDescent="0.2">
      <c r="A454" s="80" t="s">
        <v>4952</v>
      </c>
      <c r="B454" s="885" t="s">
        <v>3922</v>
      </c>
      <c r="C454" s="58" t="s">
        <v>5176</v>
      </c>
      <c r="D454" s="58"/>
      <c r="E454" s="34">
        <v>10100</v>
      </c>
      <c r="F454" s="80"/>
      <c r="R454" s="34">
        <f>'Cap Inc'!B83</f>
        <v>5500</v>
      </c>
      <c r="V454" s="34">
        <f>E454-SUM(R454:U454)</f>
        <v>4600</v>
      </c>
      <c r="W454" s="46"/>
      <c r="X454" s="46"/>
      <c r="Y454" s="46"/>
      <c r="AA454" s="46">
        <f t="shared" si="793"/>
        <v>0</v>
      </c>
      <c r="AB454" s="46"/>
      <c r="AG454" s="46"/>
      <c r="AL454" s="46"/>
      <c r="AQ454" s="46"/>
      <c r="BA454" s="46"/>
      <c r="BF454" s="46"/>
      <c r="BK454" s="46"/>
      <c r="BP454" s="46"/>
      <c r="BU454" s="46"/>
      <c r="BZ454" s="46"/>
      <c r="CE454" s="379"/>
      <c r="CF454" s="379"/>
      <c r="CG454" s="379"/>
      <c r="CH454" s="379"/>
      <c r="CI454" s="379"/>
      <c r="CJ454" s="379"/>
      <c r="CK454" s="379"/>
      <c r="CL454" s="379"/>
      <c r="CM454" s="379"/>
      <c r="CN454" s="379"/>
      <c r="CO454" s="379"/>
      <c r="CP454" s="379"/>
      <c r="CQ454" s="379"/>
      <c r="CR454" s="379"/>
    </row>
    <row r="455" spans="1:96" x14ac:dyDescent="0.2">
      <c r="A455" s="80" t="s">
        <v>6078</v>
      </c>
      <c r="B455" s="885" t="s">
        <v>6203</v>
      </c>
      <c r="C455" s="58" t="s">
        <v>6204</v>
      </c>
      <c r="D455" s="58" t="s">
        <v>6204</v>
      </c>
      <c r="F455" s="80">
        <v>8900</v>
      </c>
      <c r="V455" s="34"/>
      <c r="W455" s="46"/>
      <c r="X455" s="46"/>
      <c r="Y455" s="46"/>
      <c r="AA455" s="46">
        <f t="shared" si="793"/>
        <v>8900</v>
      </c>
      <c r="AB455" s="46"/>
      <c r="AG455" s="46"/>
      <c r="AL455" s="46"/>
      <c r="AQ455" s="46"/>
      <c r="BA455" s="46"/>
      <c r="BF455" s="46"/>
      <c r="BK455" s="46"/>
      <c r="BP455" s="46"/>
      <c r="BU455" s="46"/>
      <c r="BZ455" s="46"/>
      <c r="CE455" s="379"/>
      <c r="CF455" s="379"/>
      <c r="CG455" s="379"/>
      <c r="CH455" s="379"/>
      <c r="CI455" s="379"/>
      <c r="CJ455" s="379"/>
      <c r="CK455" s="379"/>
      <c r="CL455" s="379"/>
      <c r="CM455" s="379"/>
      <c r="CN455" s="379"/>
      <c r="CO455" s="379"/>
      <c r="CP455" s="379"/>
      <c r="CQ455" s="379"/>
      <c r="CR455" s="379"/>
    </row>
    <row r="456" spans="1:96" x14ac:dyDescent="0.2">
      <c r="A456" s="80" t="s">
        <v>4953</v>
      </c>
      <c r="B456" s="885" t="s">
        <v>5180</v>
      </c>
      <c r="C456" s="58" t="s">
        <v>5177</v>
      </c>
      <c r="D456" s="58" t="s">
        <v>5177</v>
      </c>
      <c r="E456" s="34">
        <v>0</v>
      </c>
      <c r="F456" s="80">
        <v>68900</v>
      </c>
      <c r="V456" s="34">
        <f>E456-SUM(R456:U456)</f>
        <v>0</v>
      </c>
      <c r="W456" s="46"/>
      <c r="X456" s="46"/>
      <c r="Y456" s="46"/>
      <c r="Z456" s="34">
        <f>11000+1000</f>
        <v>12000</v>
      </c>
      <c r="AA456" s="46">
        <f t="shared" si="793"/>
        <v>56900</v>
      </c>
      <c r="AB456" s="46"/>
      <c r="AD456" s="2226"/>
      <c r="AG456" s="46"/>
      <c r="AL456" s="46"/>
      <c r="AQ456" s="46"/>
      <c r="BA456" s="46"/>
      <c r="BF456" s="46"/>
      <c r="BK456" s="46"/>
      <c r="BP456" s="46"/>
      <c r="BU456" s="46"/>
      <c r="BZ456" s="46"/>
      <c r="CE456" s="379"/>
      <c r="CF456" s="379"/>
      <c r="CG456" s="379"/>
      <c r="CH456" s="379"/>
      <c r="CI456" s="379"/>
      <c r="CJ456" s="379"/>
      <c r="CK456" s="379"/>
      <c r="CL456" s="379"/>
      <c r="CM456" s="379"/>
      <c r="CN456" s="379"/>
      <c r="CO456" s="379"/>
      <c r="CP456" s="379"/>
      <c r="CQ456" s="379"/>
      <c r="CR456" s="379"/>
    </row>
    <row r="457" spans="1:96" x14ac:dyDescent="0.2">
      <c r="A457" s="80" t="s">
        <v>5047</v>
      </c>
      <c r="B457" s="885" t="s">
        <v>5181</v>
      </c>
      <c r="C457" s="58" t="s">
        <v>5178</v>
      </c>
      <c r="D457" s="58" t="s">
        <v>5178</v>
      </c>
      <c r="E457" s="34">
        <v>0</v>
      </c>
      <c r="F457" s="80">
        <v>62800</v>
      </c>
      <c r="I457" s="80"/>
      <c r="U457" s="34">
        <f>E457</f>
        <v>0</v>
      </c>
      <c r="V457" s="34">
        <f>E457-SUM(R457:U457)</f>
        <v>0</v>
      </c>
      <c r="W457" s="46"/>
      <c r="X457" s="46"/>
      <c r="Y457" s="46"/>
      <c r="Z457" s="34">
        <v>41000</v>
      </c>
      <c r="AA457" s="46">
        <f t="shared" si="793"/>
        <v>21800</v>
      </c>
      <c r="AB457" s="46"/>
      <c r="AG457" s="46"/>
      <c r="AL457" s="46"/>
      <c r="AQ457" s="46"/>
      <c r="BA457" s="46"/>
      <c r="BF457" s="46"/>
      <c r="BK457" s="46"/>
      <c r="BP457" s="46"/>
      <c r="BU457" s="46"/>
      <c r="BZ457" s="46"/>
      <c r="CE457" s="379"/>
      <c r="CF457" s="379"/>
      <c r="CG457" s="379"/>
      <c r="CH457" s="379"/>
      <c r="CI457" s="379"/>
      <c r="CJ457" s="379"/>
      <c r="CK457" s="379"/>
      <c r="CL457" s="379"/>
      <c r="CM457" s="379"/>
      <c r="CN457" s="379"/>
      <c r="CO457" s="379"/>
      <c r="CP457" s="379"/>
      <c r="CQ457" s="379"/>
      <c r="CR457" s="379"/>
    </row>
    <row r="458" spans="1:96" x14ac:dyDescent="0.2">
      <c r="A458" s="80" t="s">
        <v>5048</v>
      </c>
      <c r="B458" s="885" t="s">
        <v>5182</v>
      </c>
      <c r="C458" s="58" t="s">
        <v>5179</v>
      </c>
      <c r="D458" s="58" t="s">
        <v>5179</v>
      </c>
      <c r="F458" s="80">
        <v>75600</v>
      </c>
      <c r="G458" s="34">
        <v>4000</v>
      </c>
      <c r="U458" s="34">
        <f>E458</f>
        <v>0</v>
      </c>
      <c r="V458" s="34">
        <f>E458-SUM(R458:U458)</f>
        <v>0</v>
      </c>
      <c r="W458" s="46"/>
      <c r="X458" s="46">
        <f>50000+20000</f>
        <v>70000</v>
      </c>
      <c r="Y458" s="46"/>
      <c r="AA458" s="46">
        <f t="shared" si="793"/>
        <v>5600</v>
      </c>
      <c r="AB458" s="46"/>
      <c r="AG458" s="46"/>
      <c r="AL458" s="46"/>
      <c r="AQ458" s="46"/>
      <c r="BA458" s="46"/>
      <c r="BF458" s="46"/>
      <c r="BK458" s="46"/>
      <c r="BP458" s="46"/>
      <c r="BU458" s="46"/>
      <c r="BZ458" s="46"/>
      <c r="CE458" s="379"/>
      <c r="CF458" s="379"/>
      <c r="CG458" s="379"/>
      <c r="CH458" s="379"/>
      <c r="CI458" s="379"/>
      <c r="CJ458" s="379"/>
      <c r="CK458" s="379"/>
      <c r="CL458" s="379"/>
      <c r="CM458" s="379"/>
      <c r="CN458" s="379"/>
      <c r="CO458" s="379"/>
      <c r="CP458" s="379"/>
      <c r="CQ458" s="379"/>
      <c r="CR458" s="379"/>
    </row>
    <row r="459" spans="1:96" x14ac:dyDescent="0.2">
      <c r="A459" s="80" t="s">
        <v>5409</v>
      </c>
      <c r="B459" s="885" t="s">
        <v>6389</v>
      </c>
      <c r="C459" s="58" t="s">
        <v>5408</v>
      </c>
      <c r="D459" s="58" t="s">
        <v>5408</v>
      </c>
      <c r="E459" s="34">
        <v>0</v>
      </c>
      <c r="F459" s="80"/>
      <c r="G459" s="34">
        <v>13200</v>
      </c>
      <c r="R459" s="34">
        <v>6600</v>
      </c>
      <c r="U459" s="34">
        <v>0</v>
      </c>
      <c r="V459" s="34">
        <f>E459-SUM(R459:U459)</f>
        <v>-6600</v>
      </c>
      <c r="W459" s="46"/>
      <c r="X459" s="46"/>
      <c r="Y459" s="46"/>
      <c r="Z459" s="34">
        <v>13200</v>
      </c>
      <c r="AA459" s="46">
        <f t="shared" si="793"/>
        <v>-13200</v>
      </c>
      <c r="AB459" s="46"/>
      <c r="AG459" s="46"/>
      <c r="AL459" s="46"/>
      <c r="AQ459" s="46"/>
      <c r="BA459" s="46"/>
      <c r="BF459" s="46"/>
      <c r="BK459" s="46"/>
      <c r="BP459" s="46"/>
      <c r="BU459" s="46"/>
      <c r="BZ459" s="46"/>
      <c r="CE459" s="379"/>
      <c r="CF459" s="379"/>
      <c r="CG459" s="379"/>
      <c r="CH459" s="379"/>
      <c r="CI459" s="379"/>
      <c r="CJ459" s="379"/>
      <c r="CK459" s="379"/>
      <c r="CL459" s="379"/>
      <c r="CM459" s="379"/>
      <c r="CN459" s="379"/>
      <c r="CO459" s="379"/>
      <c r="CP459" s="379"/>
      <c r="CQ459" s="379"/>
      <c r="CR459" s="379"/>
    </row>
    <row r="460" spans="1:96" x14ac:dyDescent="0.2">
      <c r="A460" s="80" t="s">
        <v>5783</v>
      </c>
      <c r="B460" s="885" t="s">
        <v>6390</v>
      </c>
      <c r="C460" s="58" t="s">
        <v>5782</v>
      </c>
      <c r="D460" s="58" t="s">
        <v>5782</v>
      </c>
      <c r="E460" s="34">
        <v>18100</v>
      </c>
      <c r="F460" s="80"/>
      <c r="G460" s="34">
        <v>7500</v>
      </c>
      <c r="R460" s="34">
        <f>'Cap Inc'!B84</f>
        <v>12600</v>
      </c>
      <c r="V460" s="34">
        <f>E460-SUM(R460:U460)</f>
        <v>5500</v>
      </c>
      <c r="W460" s="46"/>
      <c r="X460" s="46"/>
      <c r="Y460" s="46"/>
      <c r="Z460" s="34">
        <f>17500-10000</f>
        <v>7500</v>
      </c>
      <c r="AA460" s="46">
        <f t="shared" si="793"/>
        <v>-7500</v>
      </c>
      <c r="AB460" s="46"/>
      <c r="AD460" s="2226"/>
      <c r="AG460" s="46"/>
      <c r="AL460" s="46"/>
      <c r="AQ460" s="46"/>
      <c r="BA460" s="46"/>
      <c r="BF460" s="46"/>
      <c r="BK460" s="46"/>
      <c r="BP460" s="46"/>
      <c r="BU460" s="46"/>
      <c r="BZ460" s="46"/>
      <c r="CE460" s="379"/>
      <c r="CF460" s="379"/>
      <c r="CG460" s="379"/>
      <c r="CH460" s="379"/>
      <c r="CI460" s="379"/>
      <c r="CJ460" s="379"/>
      <c r="CK460" s="379"/>
      <c r="CL460" s="379"/>
      <c r="CM460" s="379"/>
      <c r="CN460" s="379"/>
      <c r="CO460" s="379"/>
      <c r="CP460" s="379"/>
      <c r="CQ460" s="379"/>
      <c r="CR460" s="379"/>
    </row>
    <row r="461" spans="1:96" x14ac:dyDescent="0.2">
      <c r="A461" s="80" t="s">
        <v>6971</v>
      </c>
      <c r="B461" s="885" t="s">
        <v>7141</v>
      </c>
      <c r="C461" s="58" t="s">
        <v>7146</v>
      </c>
      <c r="D461" s="58" t="s">
        <v>7146</v>
      </c>
      <c r="F461" s="80"/>
      <c r="G461" s="34">
        <v>40000</v>
      </c>
      <c r="V461" s="34"/>
      <c r="W461" s="46"/>
      <c r="X461" s="46"/>
      <c r="Y461" s="46"/>
      <c r="AB461" s="46"/>
      <c r="AD461" s="2226"/>
      <c r="AG461" s="46"/>
      <c r="AL461" s="46"/>
      <c r="AQ461" s="46"/>
      <c r="BA461" s="46"/>
      <c r="BF461" s="46"/>
      <c r="BK461" s="46"/>
      <c r="BP461" s="46"/>
      <c r="BU461" s="46"/>
      <c r="BZ461" s="46"/>
      <c r="CE461" s="379"/>
      <c r="CF461" s="379"/>
      <c r="CG461" s="379"/>
      <c r="CH461" s="379"/>
      <c r="CI461" s="379"/>
      <c r="CJ461" s="379"/>
      <c r="CK461" s="379"/>
      <c r="CL461" s="379"/>
      <c r="CM461" s="379"/>
      <c r="CN461" s="379"/>
      <c r="CO461" s="379"/>
      <c r="CP461" s="379"/>
      <c r="CQ461" s="379"/>
      <c r="CR461" s="379"/>
    </row>
    <row r="462" spans="1:96" x14ac:dyDescent="0.2">
      <c r="A462" s="80" t="s">
        <v>6972</v>
      </c>
      <c r="B462" s="885" t="s">
        <v>7142</v>
      </c>
      <c r="C462" s="58" t="s">
        <v>7147</v>
      </c>
      <c r="D462" s="58" t="s">
        <v>7147</v>
      </c>
      <c r="F462" s="80"/>
      <c r="G462" s="34">
        <f>147000-20000</f>
        <v>127000</v>
      </c>
      <c r="V462" s="34"/>
      <c r="W462" s="46"/>
      <c r="X462" s="46"/>
      <c r="Y462" s="46"/>
      <c r="AA462" s="46">
        <f t="shared" si="793"/>
        <v>0</v>
      </c>
      <c r="AB462" s="46"/>
      <c r="AG462" s="46"/>
      <c r="AL462" s="46"/>
      <c r="AQ462" s="46"/>
      <c r="BA462" s="46"/>
      <c r="BF462" s="46"/>
      <c r="BK462" s="46"/>
      <c r="BP462" s="46"/>
      <c r="BU462" s="46"/>
      <c r="BZ462" s="46"/>
      <c r="CE462" s="379"/>
      <c r="CF462" s="379"/>
      <c r="CG462" s="379"/>
      <c r="CH462" s="379"/>
      <c r="CI462" s="379"/>
      <c r="CJ462" s="379"/>
      <c r="CK462" s="379"/>
      <c r="CL462" s="379"/>
      <c r="CM462" s="379"/>
      <c r="CN462" s="379"/>
      <c r="CO462" s="379"/>
      <c r="CP462" s="379"/>
      <c r="CQ462" s="379"/>
      <c r="CR462" s="379"/>
    </row>
    <row r="463" spans="1:96" x14ac:dyDescent="0.2">
      <c r="A463" s="80" t="s">
        <v>6973</v>
      </c>
      <c r="B463" s="885" t="s">
        <v>7143</v>
      </c>
      <c r="C463" s="58" t="s">
        <v>7148</v>
      </c>
      <c r="D463" s="58" t="s">
        <v>7148</v>
      </c>
      <c r="F463" s="80"/>
      <c r="G463" s="34">
        <v>30000</v>
      </c>
      <c r="V463" s="34"/>
      <c r="W463" s="46"/>
      <c r="X463" s="46"/>
      <c r="Y463" s="46"/>
      <c r="AA463" s="46">
        <f t="shared" si="793"/>
        <v>0</v>
      </c>
      <c r="AB463" s="46"/>
      <c r="AG463" s="46"/>
      <c r="AL463" s="46"/>
      <c r="AQ463" s="46"/>
      <c r="BA463" s="46"/>
      <c r="BF463" s="46"/>
      <c r="BK463" s="46"/>
      <c r="BP463" s="46"/>
      <c r="BU463" s="46"/>
      <c r="BZ463" s="46"/>
      <c r="CE463" s="379"/>
      <c r="CF463" s="379"/>
      <c r="CG463" s="379"/>
      <c r="CH463" s="379"/>
      <c r="CI463" s="379"/>
      <c r="CJ463" s="379"/>
      <c r="CK463" s="379"/>
      <c r="CL463" s="379"/>
      <c r="CM463" s="379"/>
      <c r="CN463" s="379"/>
      <c r="CO463" s="379"/>
      <c r="CP463" s="379"/>
      <c r="CQ463" s="379"/>
      <c r="CR463" s="379"/>
    </row>
    <row r="464" spans="1:96" x14ac:dyDescent="0.2">
      <c r="A464" s="80" t="s">
        <v>6974</v>
      </c>
      <c r="B464" s="885" t="s">
        <v>7144</v>
      </c>
      <c r="C464" s="58" t="s">
        <v>7149</v>
      </c>
      <c r="D464" s="58" t="s">
        <v>7149</v>
      </c>
      <c r="F464" s="80"/>
      <c r="G464" s="34">
        <v>15000</v>
      </c>
      <c r="V464" s="34"/>
      <c r="W464" s="46"/>
      <c r="X464" s="46"/>
      <c r="Y464" s="46"/>
      <c r="AA464" s="46">
        <f t="shared" si="793"/>
        <v>0</v>
      </c>
      <c r="AB464" s="46"/>
      <c r="AG464" s="46"/>
      <c r="AL464" s="46"/>
      <c r="AQ464" s="46"/>
      <c r="BA464" s="46"/>
      <c r="BF464" s="46"/>
      <c r="BK464" s="46"/>
      <c r="BP464" s="46"/>
      <c r="BU464" s="46"/>
      <c r="BZ464" s="46"/>
      <c r="CE464" s="379"/>
      <c r="CF464" s="379"/>
      <c r="CG464" s="379"/>
      <c r="CH464" s="379"/>
      <c r="CI464" s="379"/>
      <c r="CJ464" s="379"/>
      <c r="CK464" s="379"/>
      <c r="CL464" s="379"/>
      <c r="CM464" s="379"/>
      <c r="CN464" s="379"/>
      <c r="CO464" s="379"/>
      <c r="CP464" s="379"/>
      <c r="CQ464" s="379"/>
      <c r="CR464" s="379"/>
    </row>
    <row r="465" spans="1:96" x14ac:dyDescent="0.2">
      <c r="A465" s="80" t="s">
        <v>7043</v>
      </c>
      <c r="B465" s="885" t="s">
        <v>7044</v>
      </c>
      <c r="C465" s="58" t="s">
        <v>7045</v>
      </c>
      <c r="D465" s="58"/>
      <c r="F465" s="80">
        <v>57200</v>
      </c>
      <c r="V465" s="34"/>
      <c r="W465" s="46"/>
      <c r="X465" s="46"/>
      <c r="Y465" s="46"/>
      <c r="Z465" s="34">
        <f>'Res-Gen'!F85</f>
        <v>55000</v>
      </c>
      <c r="AA465" s="46">
        <f t="shared" si="793"/>
        <v>2200</v>
      </c>
      <c r="AB465" s="46"/>
      <c r="AG465" s="46"/>
      <c r="AL465" s="46"/>
      <c r="AQ465" s="46"/>
      <c r="BA465" s="46"/>
      <c r="BF465" s="46"/>
      <c r="BK465" s="46"/>
      <c r="BP465" s="46"/>
      <c r="BU465" s="46"/>
      <c r="BZ465" s="46"/>
      <c r="CE465" s="379"/>
      <c r="CF465" s="379"/>
      <c r="CG465" s="379"/>
      <c r="CH465" s="379"/>
      <c r="CI465" s="379"/>
      <c r="CJ465" s="379"/>
      <c r="CK465" s="379"/>
      <c r="CL465" s="379"/>
      <c r="CM465" s="379"/>
      <c r="CN465" s="379"/>
      <c r="CO465" s="379"/>
      <c r="CP465" s="379"/>
      <c r="CQ465" s="379"/>
      <c r="CR465" s="379"/>
    </row>
    <row r="466" spans="1:96" x14ac:dyDescent="0.2">
      <c r="A466" s="80" t="s">
        <v>7151</v>
      </c>
      <c r="B466" s="885" t="s">
        <v>7145</v>
      </c>
      <c r="C466" s="58" t="s">
        <v>7150</v>
      </c>
      <c r="D466" s="58" t="s">
        <v>7150</v>
      </c>
      <c r="F466" s="80"/>
      <c r="G466" s="34">
        <v>850000</v>
      </c>
      <c r="V466" s="34"/>
      <c r="W466" s="46"/>
      <c r="X466" s="46"/>
      <c r="Y466" s="46"/>
      <c r="AA466" s="46">
        <f t="shared" si="793"/>
        <v>0</v>
      </c>
      <c r="AB466" s="46"/>
      <c r="AG466" s="46"/>
      <c r="AL466" s="46"/>
      <c r="AQ466" s="46"/>
      <c r="BA466" s="46"/>
      <c r="BF466" s="46"/>
      <c r="BK466" s="46"/>
      <c r="BP466" s="46"/>
      <c r="BU466" s="46"/>
      <c r="BZ466" s="46"/>
      <c r="CE466" s="379"/>
      <c r="CF466" s="379"/>
      <c r="CG466" s="379"/>
      <c r="CH466" s="379"/>
      <c r="CI466" s="379"/>
      <c r="CJ466" s="379"/>
      <c r="CK466" s="379"/>
      <c r="CL466" s="379"/>
      <c r="CM466" s="379"/>
      <c r="CN466" s="379"/>
      <c r="CO466" s="379"/>
      <c r="CP466" s="379"/>
      <c r="CQ466" s="379"/>
      <c r="CR466" s="379"/>
    </row>
    <row r="467" spans="1:96" x14ac:dyDescent="0.2">
      <c r="A467" s="80"/>
      <c r="B467" s="144"/>
      <c r="C467" s="55"/>
      <c r="D467" s="55"/>
      <c r="V467" s="34">
        <f>E467-SUM(R467:U467)</f>
        <v>0</v>
      </c>
      <c r="W467" s="46"/>
      <c r="X467" s="46"/>
      <c r="Y467" s="46"/>
      <c r="AA467" s="46">
        <f t="shared" si="793"/>
        <v>0</v>
      </c>
      <c r="AB467" s="46"/>
      <c r="AG467" s="46"/>
      <c r="AL467" s="46"/>
      <c r="AQ467" s="46"/>
      <c r="BA467" s="46"/>
      <c r="BF467" s="46"/>
      <c r="BK467" s="46"/>
      <c r="BP467" s="46"/>
      <c r="BU467" s="46"/>
      <c r="BZ467" s="46"/>
      <c r="CE467" s="379"/>
      <c r="CF467" s="379"/>
      <c r="CG467" s="379"/>
      <c r="CH467" s="379"/>
      <c r="CI467" s="379"/>
      <c r="CJ467" s="379"/>
      <c r="CK467" s="379"/>
      <c r="CL467" s="379"/>
      <c r="CM467" s="379"/>
      <c r="CN467" s="379"/>
      <c r="CO467" s="379"/>
      <c r="CP467" s="379"/>
      <c r="CQ467" s="379"/>
      <c r="CR467" s="379"/>
    </row>
    <row r="468" spans="1:96" s="65" customFormat="1" ht="13.5" thickBot="1" x14ac:dyDescent="0.25">
      <c r="A468" s="65" t="s">
        <v>2615</v>
      </c>
      <c r="B468" s="890"/>
      <c r="C468" s="56"/>
      <c r="D468" s="56"/>
      <c r="E468" s="1284">
        <f>SUM(E413:E467)</f>
        <v>2169200</v>
      </c>
      <c r="F468" s="1284">
        <f>SUM(F413:F467)</f>
        <v>1256700</v>
      </c>
      <c r="G468" s="1284">
        <f>SUM(G413:G467)</f>
        <v>1250000</v>
      </c>
      <c r="R468" s="1284">
        <f t="shared" ref="R468:AA468" si="795">SUM(R413:R467)</f>
        <v>450200</v>
      </c>
      <c r="S468" s="1284">
        <f t="shared" si="795"/>
        <v>0</v>
      </c>
      <c r="T468" s="1284">
        <f t="shared" si="795"/>
        <v>0</v>
      </c>
      <c r="U468" s="1284">
        <f t="shared" si="795"/>
        <v>1592000</v>
      </c>
      <c r="V468" s="1284">
        <f t="shared" si="795"/>
        <v>127000</v>
      </c>
      <c r="W468" s="1284">
        <v>0</v>
      </c>
      <c r="X468" s="1284">
        <f t="shared" si="795"/>
        <v>70000</v>
      </c>
      <c r="Y468" s="1284">
        <f t="shared" si="795"/>
        <v>0</v>
      </c>
      <c r="Z468" s="1284">
        <f t="shared" si="795"/>
        <v>988600</v>
      </c>
      <c r="AA468" s="1284">
        <f t="shared" si="795"/>
        <v>198100</v>
      </c>
      <c r="AB468" s="92"/>
      <c r="AF468" s="92"/>
      <c r="AG468" s="92"/>
      <c r="AK468" s="92"/>
      <c r="AL468" s="92"/>
      <c r="AP468" s="92"/>
      <c r="AQ468" s="92"/>
      <c r="AU468" s="92"/>
      <c r="AV468" s="92"/>
      <c r="AZ468" s="92"/>
      <c r="BA468" s="92"/>
      <c r="BE468" s="92"/>
      <c r="BF468" s="92"/>
      <c r="BJ468" s="92"/>
      <c r="BK468" s="92"/>
      <c r="BO468" s="92"/>
      <c r="BP468" s="92"/>
      <c r="BT468" s="92"/>
      <c r="BU468" s="92"/>
      <c r="BY468" s="92"/>
      <c r="BZ468" s="92"/>
      <c r="CD468" s="92"/>
      <c r="CE468" s="901"/>
      <c r="CF468" s="901"/>
      <c r="CG468" s="901"/>
      <c r="CH468" s="901"/>
      <c r="CI468" s="901"/>
      <c r="CJ468" s="901"/>
      <c r="CK468" s="901"/>
      <c r="CL468" s="901"/>
      <c r="CM468" s="901"/>
      <c r="CN468" s="901"/>
      <c r="CO468" s="901"/>
      <c r="CP468" s="901"/>
      <c r="CQ468" s="901"/>
      <c r="CR468" s="901"/>
    </row>
    <row r="469" spans="1:96" s="65" customFormat="1" ht="13.5" thickTop="1" x14ac:dyDescent="0.2">
      <c r="A469" s="65" t="s">
        <v>400</v>
      </c>
      <c r="B469" s="890"/>
      <c r="C469" s="56"/>
      <c r="D469" s="56"/>
      <c r="E469" s="65">
        <f>SUM(E146:E149)-E468</f>
        <v>-1074300</v>
      </c>
      <c r="F469" s="65">
        <f t="shared" ref="F469:V469" si="796">SUM(F146:F150)-F468</f>
        <v>0</v>
      </c>
      <c r="G469" s="65">
        <f t="shared" si="796"/>
        <v>40000</v>
      </c>
      <c r="H469" s="65">
        <f t="shared" si="796"/>
        <v>1309000</v>
      </c>
      <c r="I469" s="65">
        <f t="shared" si="796"/>
        <v>477000</v>
      </c>
      <c r="J469" s="65">
        <f t="shared" si="796"/>
        <v>489000</v>
      </c>
      <c r="K469" s="65">
        <f t="shared" si="796"/>
        <v>501000</v>
      </c>
      <c r="L469" s="65">
        <f t="shared" si="796"/>
        <v>514000</v>
      </c>
      <c r="M469" s="65">
        <f t="shared" si="796"/>
        <v>527000</v>
      </c>
      <c r="N469" s="65">
        <f t="shared" si="796"/>
        <v>540000</v>
      </c>
      <c r="O469" s="65">
        <f t="shared" si="796"/>
        <v>554000</v>
      </c>
      <c r="P469" s="65">
        <f t="shared" si="796"/>
        <v>568000</v>
      </c>
      <c r="Q469" s="65">
        <f t="shared" ref="Q469" si="797">SUM(Q146:Q150)-Q468</f>
        <v>582000</v>
      </c>
      <c r="R469" s="65">
        <f t="shared" si="796"/>
        <v>0</v>
      </c>
      <c r="S469" s="65">
        <f t="shared" si="796"/>
        <v>0</v>
      </c>
      <c r="T469" s="65">
        <f t="shared" si="796"/>
        <v>0</v>
      </c>
      <c r="U469" s="65">
        <f t="shared" si="796"/>
        <v>944000</v>
      </c>
      <c r="V469" s="65">
        <f t="shared" si="796"/>
        <v>-944000</v>
      </c>
      <c r="W469" s="65">
        <v>0</v>
      </c>
      <c r="X469" s="65">
        <f>SUM(X146:X150)-X468</f>
        <v>0</v>
      </c>
      <c r="Y469" s="65">
        <f>SUM(Y146:Y150)-Y468</f>
        <v>0</v>
      </c>
      <c r="Z469" s="65">
        <f>SUM(Z146:Z150)-Z468</f>
        <v>-803100</v>
      </c>
      <c r="AA469" s="65">
        <f>SUM(AA146:AA150)-AA468</f>
        <v>803100</v>
      </c>
      <c r="AB469" s="92"/>
      <c r="AF469" s="92"/>
      <c r="AG469" s="92"/>
      <c r="AK469" s="92"/>
      <c r="AL469" s="92"/>
      <c r="AP469" s="92"/>
      <c r="AQ469" s="92"/>
      <c r="AU469" s="92"/>
      <c r="AV469" s="92"/>
      <c r="AZ469" s="92"/>
      <c r="BA469" s="92"/>
      <c r="BE469" s="92"/>
      <c r="BF469" s="92"/>
      <c r="BJ469" s="92"/>
      <c r="BK469" s="92"/>
      <c r="BO469" s="92"/>
      <c r="BP469" s="92"/>
      <c r="BT469" s="92"/>
      <c r="BU469" s="92"/>
      <c r="BY469" s="92"/>
      <c r="BZ469" s="92"/>
      <c r="CD469" s="92"/>
      <c r="CE469" s="901"/>
      <c r="CF469" s="901"/>
      <c r="CG469" s="901"/>
      <c r="CH469" s="901"/>
      <c r="CI469" s="901"/>
      <c r="CJ469" s="901"/>
      <c r="CK469" s="901"/>
      <c r="CL469" s="901"/>
      <c r="CM469" s="901"/>
      <c r="CN469" s="901"/>
      <c r="CO469" s="901"/>
      <c r="CP469" s="901"/>
      <c r="CQ469" s="901"/>
      <c r="CR469" s="901"/>
    </row>
    <row r="470" spans="1:96" x14ac:dyDescent="0.2">
      <c r="B470" s="144"/>
      <c r="C470" s="55"/>
      <c r="D470" s="55"/>
      <c r="V470" s="34"/>
      <c r="W470" s="46"/>
      <c r="X470" s="46"/>
      <c r="Y470" s="46"/>
      <c r="AB470" s="46"/>
      <c r="AG470" s="46"/>
      <c r="AL470" s="46"/>
      <c r="AQ470" s="46"/>
      <c r="BA470" s="46"/>
      <c r="BF470" s="46"/>
      <c r="BK470" s="46"/>
      <c r="BP470" s="46"/>
      <c r="BU470" s="46"/>
      <c r="BZ470" s="46"/>
      <c r="CE470" s="379"/>
      <c r="CF470" s="379"/>
      <c r="CG470" s="379"/>
      <c r="CH470" s="379"/>
      <c r="CI470" s="379"/>
      <c r="CJ470" s="379"/>
      <c r="CK470" s="379"/>
      <c r="CL470" s="379"/>
      <c r="CM470" s="379"/>
      <c r="CN470" s="379"/>
      <c r="CO470" s="379"/>
      <c r="CP470" s="379"/>
      <c r="CQ470" s="379"/>
      <c r="CR470" s="379"/>
    </row>
    <row r="471" spans="1:96" x14ac:dyDescent="0.2">
      <c r="A471" s="395" t="s">
        <v>3608</v>
      </c>
      <c r="B471" s="144"/>
      <c r="C471" s="55"/>
      <c r="D471" s="55"/>
      <c r="V471" s="34"/>
      <c r="W471" s="46"/>
      <c r="X471" s="46"/>
      <c r="Y471" s="46"/>
      <c r="AB471" s="46"/>
      <c r="AG471" s="46"/>
      <c r="AL471" s="46"/>
      <c r="AQ471" s="46"/>
      <c r="BA471" s="46"/>
      <c r="BF471" s="46"/>
      <c r="BK471" s="46"/>
      <c r="BP471" s="46"/>
      <c r="BU471" s="46"/>
      <c r="BZ471" s="46"/>
      <c r="CE471" s="379"/>
      <c r="CF471" s="379"/>
      <c r="CG471" s="379"/>
      <c r="CH471" s="379"/>
      <c r="CI471" s="379"/>
      <c r="CJ471" s="379"/>
      <c r="CK471" s="379"/>
      <c r="CL471" s="379"/>
      <c r="CM471" s="379"/>
      <c r="CN471" s="379"/>
      <c r="CO471" s="379"/>
      <c r="CP471" s="379"/>
      <c r="CQ471" s="379"/>
      <c r="CR471" s="379"/>
    </row>
    <row r="472" spans="1:96" x14ac:dyDescent="0.2">
      <c r="A472" s="80" t="s">
        <v>4382</v>
      </c>
      <c r="B472" s="885" t="s">
        <v>5049</v>
      </c>
      <c r="C472" s="58" t="s">
        <v>4800</v>
      </c>
      <c r="D472" s="55"/>
      <c r="E472" s="34">
        <v>79400</v>
      </c>
      <c r="U472" s="34">
        <v>66400</v>
      </c>
      <c r="V472" s="34">
        <f t="shared" ref="V472:V492" si="798">E472-SUM(R472:U472)</f>
        <v>13000</v>
      </c>
      <c r="W472" s="46"/>
      <c r="X472" s="46"/>
      <c r="Y472" s="46"/>
      <c r="AA472" s="46">
        <f t="shared" ref="AA472:AA491" si="799">F472-W472-X472-Y472-Z472</f>
        <v>0</v>
      </c>
      <c r="AB472" s="46"/>
      <c r="AG472" s="46"/>
      <c r="AL472" s="46"/>
      <c r="AQ472" s="46"/>
      <c r="BA472" s="46"/>
      <c r="BF472" s="46"/>
      <c r="BK472" s="46"/>
      <c r="BP472" s="46"/>
      <c r="BU472" s="46"/>
      <c r="BZ472" s="46"/>
      <c r="CE472" s="379"/>
      <c r="CF472" s="379"/>
      <c r="CG472" s="379"/>
      <c r="CH472" s="379"/>
      <c r="CI472" s="379"/>
      <c r="CJ472" s="379"/>
      <c r="CK472" s="379"/>
      <c r="CL472" s="379"/>
      <c r="CM472" s="379"/>
      <c r="CN472" s="379"/>
      <c r="CO472" s="379"/>
      <c r="CP472" s="379"/>
      <c r="CQ472" s="379"/>
      <c r="CR472" s="379"/>
    </row>
    <row r="473" spans="1:96" x14ac:dyDescent="0.2">
      <c r="A473" s="80" t="s">
        <v>3629</v>
      </c>
      <c r="B473" s="885" t="s">
        <v>3924</v>
      </c>
      <c r="C473" s="58" t="s">
        <v>4045</v>
      </c>
      <c r="D473" s="58"/>
      <c r="V473" s="34">
        <f t="shared" si="798"/>
        <v>0</v>
      </c>
      <c r="W473" s="46"/>
      <c r="X473" s="46"/>
      <c r="Y473" s="46"/>
      <c r="AA473" s="46">
        <f t="shared" si="799"/>
        <v>0</v>
      </c>
      <c r="AB473" s="46"/>
      <c r="AG473" s="46"/>
      <c r="AL473" s="46"/>
      <c r="AQ473" s="46"/>
      <c r="BA473" s="46"/>
      <c r="BF473" s="46"/>
      <c r="BK473" s="46"/>
      <c r="BP473" s="46"/>
      <c r="BU473" s="46"/>
      <c r="BZ473" s="46"/>
      <c r="CE473" s="379"/>
      <c r="CF473" s="379"/>
      <c r="CG473" s="379"/>
      <c r="CH473" s="379"/>
      <c r="CI473" s="379"/>
      <c r="CJ473" s="379"/>
      <c r="CK473" s="379"/>
      <c r="CL473" s="379"/>
      <c r="CM473" s="379"/>
      <c r="CN473" s="379"/>
      <c r="CO473" s="379"/>
      <c r="CP473" s="379"/>
      <c r="CQ473" s="379"/>
      <c r="CR473" s="379"/>
    </row>
    <row r="474" spans="1:96" x14ac:dyDescent="0.2">
      <c r="A474" s="80" t="s">
        <v>3607</v>
      </c>
      <c r="B474" s="885" t="s">
        <v>5184</v>
      </c>
      <c r="C474" s="58" t="s">
        <v>5183</v>
      </c>
      <c r="D474" s="58" t="s">
        <v>5183</v>
      </c>
      <c r="E474" s="34">
        <v>0</v>
      </c>
      <c r="G474" s="34">
        <f>168000+34000</f>
        <v>202000</v>
      </c>
      <c r="V474" s="34">
        <f t="shared" si="798"/>
        <v>0</v>
      </c>
      <c r="W474" s="46"/>
      <c r="X474" s="46"/>
      <c r="Y474" s="46"/>
      <c r="Z474" s="80">
        <f>43700-43700</f>
        <v>0</v>
      </c>
      <c r="AA474" s="46">
        <f t="shared" si="799"/>
        <v>0</v>
      </c>
      <c r="AB474" s="46"/>
      <c r="AG474" s="46"/>
      <c r="AL474" s="46"/>
      <c r="AQ474" s="46"/>
      <c r="BA474" s="46"/>
      <c r="BF474" s="46"/>
      <c r="BK474" s="46"/>
      <c r="BP474" s="46"/>
      <c r="BU474" s="46"/>
      <c r="BZ474" s="46"/>
      <c r="CE474" s="379"/>
      <c r="CF474" s="379"/>
      <c r="CG474" s="379"/>
      <c r="CH474" s="379"/>
      <c r="CI474" s="379"/>
      <c r="CJ474" s="379"/>
      <c r="CK474" s="379"/>
      <c r="CL474" s="379"/>
      <c r="CM474" s="379"/>
      <c r="CN474" s="379"/>
      <c r="CO474" s="379"/>
      <c r="CP474" s="379"/>
      <c r="CQ474" s="379"/>
      <c r="CR474" s="379"/>
    </row>
    <row r="475" spans="1:96" x14ac:dyDescent="0.2">
      <c r="A475" s="80" t="s">
        <v>5542</v>
      </c>
      <c r="B475" s="885" t="s">
        <v>6098</v>
      </c>
      <c r="C475" s="58" t="s">
        <v>5545</v>
      </c>
      <c r="D475" s="58"/>
      <c r="E475" s="34">
        <v>119600</v>
      </c>
      <c r="F475" s="34">
        <v>2300</v>
      </c>
      <c r="V475" s="34">
        <f t="shared" si="798"/>
        <v>119600</v>
      </c>
      <c r="W475" s="46"/>
      <c r="X475" s="46"/>
      <c r="Y475" s="46"/>
      <c r="AA475" s="46">
        <f t="shared" si="799"/>
        <v>2300</v>
      </c>
      <c r="AB475" s="46"/>
      <c r="AG475" s="46"/>
      <c r="AL475" s="46"/>
      <c r="AQ475" s="46"/>
      <c r="BA475" s="46"/>
      <c r="BF475" s="46"/>
      <c r="BK475" s="46"/>
      <c r="BP475" s="46"/>
      <c r="BU475" s="46"/>
      <c r="BZ475" s="46"/>
      <c r="CE475" s="379"/>
      <c r="CF475" s="379"/>
      <c r="CG475" s="379"/>
      <c r="CH475" s="379"/>
      <c r="CI475" s="379"/>
      <c r="CJ475" s="379"/>
      <c r="CK475" s="379"/>
      <c r="CL475" s="379"/>
      <c r="CM475" s="379"/>
      <c r="CN475" s="379"/>
      <c r="CO475" s="379"/>
      <c r="CP475" s="379"/>
      <c r="CQ475" s="379"/>
      <c r="CR475" s="379"/>
    </row>
    <row r="476" spans="1:96" x14ac:dyDescent="0.2">
      <c r="A476" s="80" t="s">
        <v>5543</v>
      </c>
      <c r="B476" s="885" t="s">
        <v>6099</v>
      </c>
      <c r="C476" s="58" t="s">
        <v>5546</v>
      </c>
      <c r="D476" s="58"/>
      <c r="E476" s="34">
        <v>13300</v>
      </c>
      <c r="V476" s="34">
        <f t="shared" si="798"/>
        <v>13300</v>
      </c>
      <c r="W476" s="46"/>
      <c r="X476" s="46"/>
      <c r="Y476" s="46"/>
      <c r="AA476" s="46">
        <f t="shared" si="799"/>
        <v>0</v>
      </c>
      <c r="AB476" s="46"/>
      <c r="AG476" s="46"/>
      <c r="AL476" s="46"/>
      <c r="AQ476" s="46"/>
      <c r="BA476" s="46"/>
      <c r="BF476" s="46"/>
      <c r="BK476" s="46"/>
      <c r="BP476" s="46"/>
      <c r="BU476" s="46"/>
      <c r="BZ476" s="46"/>
      <c r="CE476" s="379"/>
      <c r="CF476" s="379"/>
      <c r="CG476" s="379"/>
      <c r="CH476" s="379"/>
      <c r="CI476" s="379"/>
      <c r="CJ476" s="379"/>
      <c r="CK476" s="379"/>
      <c r="CL476" s="379"/>
      <c r="CM476" s="379"/>
      <c r="CN476" s="379"/>
      <c r="CO476" s="379"/>
      <c r="CP476" s="379"/>
      <c r="CQ476" s="379"/>
      <c r="CR476" s="379"/>
    </row>
    <row r="477" spans="1:96" x14ac:dyDescent="0.2">
      <c r="A477" s="2230" t="s">
        <v>11880</v>
      </c>
      <c r="B477" s="885" t="s">
        <v>11881</v>
      </c>
      <c r="C477" s="58" t="s">
        <v>11882</v>
      </c>
      <c r="D477" s="58"/>
      <c r="G477" s="34">
        <v>80500</v>
      </c>
      <c r="V477" s="34"/>
      <c r="W477" s="46"/>
      <c r="X477" s="46"/>
      <c r="Y477" s="46"/>
      <c r="AB477" s="46"/>
      <c r="AG477" s="46"/>
      <c r="AL477" s="46"/>
      <c r="AQ477" s="46"/>
      <c r="BA477" s="46"/>
      <c r="BF477" s="46"/>
      <c r="BK477" s="46"/>
      <c r="BP477" s="46"/>
      <c r="BU477" s="46"/>
      <c r="BZ477" s="46"/>
      <c r="CE477" s="379"/>
      <c r="CF477" s="379"/>
      <c r="CG477" s="379"/>
      <c r="CH477" s="379"/>
      <c r="CI477" s="379"/>
      <c r="CJ477" s="379"/>
      <c r="CK477" s="379"/>
      <c r="CL477" s="379"/>
      <c r="CM477" s="379"/>
      <c r="CN477" s="379"/>
      <c r="CO477" s="379"/>
      <c r="CP477" s="379"/>
      <c r="CQ477" s="379"/>
      <c r="CR477" s="379"/>
    </row>
    <row r="478" spans="1:96" x14ac:dyDescent="0.2">
      <c r="A478" s="80" t="s">
        <v>11817</v>
      </c>
      <c r="B478" s="885" t="s">
        <v>11818</v>
      </c>
      <c r="C478" s="58" t="s">
        <v>11819</v>
      </c>
      <c r="D478" s="58"/>
      <c r="F478" s="34">
        <v>400</v>
      </c>
      <c r="V478" s="34"/>
      <c r="W478" s="46"/>
      <c r="X478" s="46"/>
      <c r="Y478" s="46"/>
      <c r="AB478" s="46"/>
      <c r="AG478" s="46"/>
      <c r="AL478" s="46"/>
      <c r="AQ478" s="46"/>
      <c r="BA478" s="46"/>
      <c r="BF478" s="46"/>
      <c r="BK478" s="46"/>
      <c r="BP478" s="46"/>
      <c r="BU478" s="46"/>
      <c r="BZ478" s="46"/>
      <c r="CE478" s="379"/>
      <c r="CF478" s="379"/>
      <c r="CG478" s="379"/>
      <c r="CH478" s="379"/>
      <c r="CI478" s="379"/>
      <c r="CJ478" s="379"/>
      <c r="CK478" s="379"/>
      <c r="CL478" s="379"/>
      <c r="CM478" s="379"/>
      <c r="CN478" s="379"/>
      <c r="CO478" s="379"/>
      <c r="CP478" s="379"/>
      <c r="CQ478" s="379"/>
      <c r="CR478" s="379"/>
    </row>
    <row r="479" spans="1:96" x14ac:dyDescent="0.2">
      <c r="A479" s="80" t="s">
        <v>5544</v>
      </c>
      <c r="B479" s="885" t="s">
        <v>5184</v>
      </c>
      <c r="C479" s="58" t="s">
        <v>5183</v>
      </c>
      <c r="D479" s="58"/>
      <c r="E479" s="34">
        <v>4300</v>
      </c>
      <c r="V479" s="34">
        <f t="shared" si="798"/>
        <v>4300</v>
      </c>
      <c r="W479" s="46"/>
      <c r="X479" s="46"/>
      <c r="Y479" s="46"/>
      <c r="AA479" s="46">
        <f t="shared" si="799"/>
        <v>0</v>
      </c>
      <c r="AB479" s="46"/>
      <c r="AG479" s="46"/>
      <c r="AL479" s="46"/>
      <c r="AQ479" s="46"/>
      <c r="BA479" s="46"/>
      <c r="BF479" s="46"/>
      <c r="BK479" s="46"/>
      <c r="BP479" s="46"/>
      <c r="BU479" s="46"/>
      <c r="BZ479" s="46"/>
      <c r="CE479" s="379"/>
      <c r="CF479" s="379"/>
      <c r="CG479" s="379"/>
      <c r="CH479" s="379"/>
      <c r="CI479" s="379"/>
      <c r="CJ479" s="379"/>
      <c r="CK479" s="379"/>
      <c r="CL479" s="379"/>
      <c r="CM479" s="379"/>
      <c r="CN479" s="379"/>
      <c r="CO479" s="379"/>
      <c r="CP479" s="379"/>
      <c r="CQ479" s="379"/>
      <c r="CR479" s="379"/>
    </row>
    <row r="480" spans="1:96" x14ac:dyDescent="0.2">
      <c r="A480" s="80" t="s">
        <v>3607</v>
      </c>
      <c r="B480" s="58" t="s">
        <v>5455</v>
      </c>
      <c r="C480" s="58" t="s">
        <v>4959</v>
      </c>
      <c r="D480" s="58" t="s">
        <v>5455</v>
      </c>
      <c r="E480" s="34">
        <v>0</v>
      </c>
      <c r="U480" s="34">
        <v>0</v>
      </c>
      <c r="V480" s="34">
        <f t="shared" si="798"/>
        <v>0</v>
      </c>
      <c r="W480" s="46"/>
      <c r="X480" s="46"/>
      <c r="Y480" s="46"/>
      <c r="AA480" s="46">
        <f t="shared" si="799"/>
        <v>0</v>
      </c>
      <c r="AB480" s="46"/>
      <c r="AG480" s="46"/>
      <c r="AL480" s="46"/>
      <c r="AQ480" s="46"/>
      <c r="BA480" s="46"/>
      <c r="BF480" s="46"/>
      <c r="BK480" s="46"/>
      <c r="BP480" s="46"/>
      <c r="BU480" s="46"/>
      <c r="BZ480" s="46"/>
      <c r="CE480" s="379"/>
      <c r="CF480" s="379"/>
      <c r="CG480" s="379"/>
      <c r="CH480" s="379"/>
      <c r="CI480" s="379"/>
      <c r="CJ480" s="379"/>
      <c r="CK480" s="379"/>
      <c r="CL480" s="379"/>
      <c r="CM480" s="379"/>
      <c r="CN480" s="379"/>
      <c r="CO480" s="379"/>
      <c r="CP480" s="379"/>
      <c r="CQ480" s="379"/>
      <c r="CR480" s="379"/>
    </row>
    <row r="481" spans="1:96" x14ac:dyDescent="0.2">
      <c r="A481" s="80" t="s">
        <v>5547</v>
      </c>
      <c r="B481" s="885" t="s">
        <v>6102</v>
      </c>
      <c r="C481" s="58" t="s">
        <v>6103</v>
      </c>
      <c r="D481" s="58"/>
      <c r="E481" s="34">
        <v>53400</v>
      </c>
      <c r="U481" s="34">
        <v>52000</v>
      </c>
      <c r="V481" s="34">
        <f t="shared" si="798"/>
        <v>1400</v>
      </c>
      <c r="W481" s="46"/>
      <c r="X481" s="46"/>
      <c r="Y481" s="46"/>
      <c r="AA481" s="46">
        <f t="shared" si="799"/>
        <v>0</v>
      </c>
      <c r="AB481" s="46"/>
      <c r="AG481" s="46"/>
      <c r="AL481" s="46"/>
      <c r="AQ481" s="46"/>
      <c r="BA481" s="46"/>
      <c r="BF481" s="46"/>
      <c r="BK481" s="46"/>
      <c r="BP481" s="46"/>
      <c r="BU481" s="46"/>
      <c r="BZ481" s="46"/>
      <c r="CE481" s="379"/>
      <c r="CF481" s="379"/>
      <c r="CG481" s="379"/>
      <c r="CH481" s="379"/>
      <c r="CI481" s="379"/>
      <c r="CJ481" s="379"/>
      <c r="CK481" s="379"/>
      <c r="CL481" s="379"/>
      <c r="CM481" s="379"/>
      <c r="CN481" s="379"/>
      <c r="CO481" s="379"/>
      <c r="CP481" s="379"/>
      <c r="CQ481" s="379"/>
      <c r="CR481" s="379"/>
    </row>
    <row r="482" spans="1:96" x14ac:dyDescent="0.2">
      <c r="A482" s="80" t="s">
        <v>5548</v>
      </c>
      <c r="B482" s="885" t="s">
        <v>6104</v>
      </c>
      <c r="C482" s="58" t="s">
        <v>6105</v>
      </c>
      <c r="D482" s="58"/>
      <c r="E482" s="34">
        <v>22400</v>
      </c>
      <c r="U482" s="34">
        <f>E482</f>
        <v>22400</v>
      </c>
      <c r="V482" s="34">
        <f t="shared" si="798"/>
        <v>0</v>
      </c>
      <c r="W482" s="46"/>
      <c r="X482" s="46"/>
      <c r="Y482" s="46"/>
      <c r="AA482" s="46">
        <f t="shared" si="799"/>
        <v>0</v>
      </c>
      <c r="AB482" s="46"/>
      <c r="AG482" s="46"/>
      <c r="AL482" s="46"/>
      <c r="AQ482" s="46"/>
      <c r="BA482" s="46"/>
      <c r="BF482" s="46"/>
      <c r="BK482" s="46"/>
      <c r="BP482" s="46"/>
      <c r="BU482" s="46"/>
      <c r="BZ482" s="46"/>
      <c r="CE482" s="379"/>
      <c r="CF482" s="379"/>
      <c r="CG482" s="379"/>
      <c r="CH482" s="379"/>
      <c r="CI482" s="379"/>
      <c r="CJ482" s="379"/>
      <c r="CK482" s="379"/>
      <c r="CL482" s="379"/>
      <c r="CM482" s="379"/>
      <c r="CN482" s="379"/>
      <c r="CO482" s="379"/>
      <c r="CP482" s="379"/>
      <c r="CQ482" s="379"/>
      <c r="CR482" s="379"/>
    </row>
    <row r="483" spans="1:96" x14ac:dyDescent="0.2">
      <c r="A483" s="80" t="s">
        <v>5549</v>
      </c>
      <c r="B483" s="885" t="s">
        <v>6106</v>
      </c>
      <c r="C483" s="58" t="s">
        <v>6107</v>
      </c>
      <c r="D483" s="58"/>
      <c r="E483" s="34">
        <v>7200</v>
      </c>
      <c r="U483" s="34">
        <v>7000</v>
      </c>
      <c r="V483" s="34">
        <f t="shared" si="798"/>
        <v>200</v>
      </c>
      <c r="W483" s="46"/>
      <c r="X483" s="46"/>
      <c r="Y483" s="46"/>
      <c r="AA483" s="46">
        <f t="shared" si="799"/>
        <v>0</v>
      </c>
      <c r="AB483" s="46"/>
      <c r="AG483" s="46"/>
      <c r="AL483" s="46"/>
      <c r="AQ483" s="46"/>
      <c r="BA483" s="46"/>
      <c r="BF483" s="46"/>
      <c r="BK483" s="46"/>
      <c r="BP483" s="46"/>
      <c r="BU483" s="46"/>
      <c r="BZ483" s="46"/>
      <c r="CE483" s="379"/>
      <c r="CF483" s="379"/>
      <c r="CG483" s="379"/>
      <c r="CH483" s="379"/>
      <c r="CI483" s="379"/>
      <c r="CJ483" s="379"/>
      <c r="CK483" s="379"/>
      <c r="CL483" s="379"/>
      <c r="CM483" s="379"/>
      <c r="CN483" s="379"/>
      <c r="CO483" s="379"/>
      <c r="CP483" s="379"/>
      <c r="CQ483" s="379"/>
      <c r="CR483" s="379"/>
    </row>
    <row r="484" spans="1:96" x14ac:dyDescent="0.2">
      <c r="A484" s="80" t="s">
        <v>5550</v>
      </c>
      <c r="B484" s="885" t="s">
        <v>6108</v>
      </c>
      <c r="C484" s="58" t="s">
        <v>6109</v>
      </c>
      <c r="D484" s="58"/>
      <c r="E484" s="34">
        <v>40200</v>
      </c>
      <c r="U484" s="34">
        <f>E484</f>
        <v>40200</v>
      </c>
      <c r="V484" s="34">
        <f t="shared" si="798"/>
        <v>0</v>
      </c>
      <c r="W484" s="46"/>
      <c r="X484" s="46"/>
      <c r="Y484" s="46"/>
      <c r="AA484" s="46">
        <f t="shared" si="799"/>
        <v>0</v>
      </c>
      <c r="AB484" s="46"/>
      <c r="AG484" s="46"/>
      <c r="AL484" s="46"/>
      <c r="AQ484" s="46"/>
      <c r="BA484" s="46"/>
      <c r="BF484" s="46"/>
      <c r="BK484" s="46"/>
      <c r="BP484" s="46"/>
      <c r="BU484" s="46"/>
      <c r="BZ484" s="46"/>
      <c r="CE484" s="379"/>
      <c r="CF484" s="379"/>
      <c r="CG484" s="379"/>
      <c r="CH484" s="379"/>
      <c r="CI484" s="379"/>
      <c r="CJ484" s="379"/>
      <c r="CK484" s="379"/>
      <c r="CL484" s="379"/>
      <c r="CM484" s="379"/>
      <c r="CN484" s="379"/>
      <c r="CO484" s="379"/>
      <c r="CP484" s="379"/>
      <c r="CQ484" s="379"/>
      <c r="CR484" s="379"/>
    </row>
    <row r="485" spans="1:96" x14ac:dyDescent="0.2">
      <c r="A485" s="80" t="s">
        <v>5551</v>
      </c>
      <c r="B485" s="885" t="s">
        <v>6110</v>
      </c>
      <c r="C485" s="58" t="s">
        <v>6111</v>
      </c>
      <c r="D485" s="58"/>
      <c r="E485" s="34">
        <v>35700</v>
      </c>
      <c r="U485" s="34">
        <f>E485</f>
        <v>35700</v>
      </c>
      <c r="V485" s="34">
        <f t="shared" si="798"/>
        <v>0</v>
      </c>
      <c r="W485" s="46"/>
      <c r="X485" s="46"/>
      <c r="Y485" s="46"/>
      <c r="AA485" s="46">
        <f t="shared" si="799"/>
        <v>0</v>
      </c>
      <c r="AB485" s="46"/>
      <c r="AG485" s="46"/>
      <c r="AL485" s="46"/>
      <c r="AQ485" s="46"/>
      <c r="BA485" s="46"/>
      <c r="BF485" s="46"/>
      <c r="BK485" s="46"/>
      <c r="BP485" s="46"/>
      <c r="BU485" s="46"/>
      <c r="BZ485" s="46"/>
      <c r="CE485" s="379"/>
      <c r="CF485" s="379"/>
      <c r="CG485" s="379"/>
      <c r="CH485" s="379"/>
      <c r="CI485" s="379"/>
      <c r="CJ485" s="379"/>
      <c r="CK485" s="379"/>
      <c r="CL485" s="379"/>
      <c r="CM485" s="379"/>
      <c r="CN485" s="379"/>
      <c r="CO485" s="379"/>
      <c r="CP485" s="379"/>
      <c r="CQ485" s="379"/>
      <c r="CR485" s="379"/>
    </row>
    <row r="486" spans="1:96" x14ac:dyDescent="0.2">
      <c r="A486" s="80" t="s">
        <v>4937</v>
      </c>
      <c r="B486" s="885" t="s">
        <v>5050</v>
      </c>
      <c r="C486" s="58" t="s">
        <v>4938</v>
      </c>
      <c r="D486" s="58"/>
      <c r="V486" s="34">
        <f t="shared" si="798"/>
        <v>0</v>
      </c>
      <c r="W486" s="46"/>
      <c r="X486" s="46"/>
      <c r="Y486" s="46"/>
      <c r="AA486" s="46">
        <f t="shared" si="799"/>
        <v>0</v>
      </c>
      <c r="AB486" s="46"/>
      <c r="AG486" s="46"/>
      <c r="AL486" s="46"/>
      <c r="AQ486" s="46"/>
      <c r="BA486" s="46"/>
      <c r="BF486" s="46"/>
      <c r="BK486" s="46"/>
      <c r="BP486" s="46"/>
      <c r="BU486" s="46"/>
      <c r="BZ486" s="46"/>
      <c r="CE486" s="379"/>
      <c r="CF486" s="379"/>
      <c r="CG486" s="379"/>
      <c r="CH486" s="379"/>
      <c r="CI486" s="379"/>
      <c r="CJ486" s="379"/>
      <c r="CK486" s="379"/>
      <c r="CL486" s="379"/>
      <c r="CM486" s="379"/>
      <c r="CN486" s="379"/>
      <c r="CO486" s="379"/>
      <c r="CP486" s="379"/>
      <c r="CQ486" s="379"/>
      <c r="CR486" s="379"/>
    </row>
    <row r="487" spans="1:96" x14ac:dyDescent="0.2">
      <c r="A487" s="80" t="s">
        <v>4758</v>
      </c>
      <c r="B487" s="885" t="s">
        <v>5161</v>
      </c>
      <c r="C487" s="58" t="s">
        <v>5160</v>
      </c>
      <c r="D487" s="58" t="s">
        <v>5160</v>
      </c>
      <c r="E487" s="34">
        <v>0</v>
      </c>
      <c r="G487" s="34">
        <v>450000</v>
      </c>
      <c r="U487" s="34">
        <f>E487</f>
        <v>0</v>
      </c>
      <c r="V487" s="34">
        <f t="shared" si="798"/>
        <v>0</v>
      </c>
      <c r="W487" s="46"/>
      <c r="X487" s="46"/>
      <c r="Y487" s="46"/>
      <c r="Z487" s="34">
        <f>490000+10000-450000</f>
        <v>50000</v>
      </c>
      <c r="AA487" s="46">
        <f t="shared" si="799"/>
        <v>-50000</v>
      </c>
      <c r="AB487" s="46"/>
      <c r="AE487" s="34">
        <v>450000</v>
      </c>
      <c r="AG487" s="46"/>
      <c r="AL487" s="46"/>
      <c r="AQ487" s="46"/>
      <c r="BA487" s="46"/>
      <c r="BF487" s="46"/>
      <c r="BK487" s="46"/>
      <c r="BP487" s="46"/>
      <c r="BU487" s="46"/>
      <c r="BZ487" s="46"/>
      <c r="CE487" s="379"/>
      <c r="CF487" s="379"/>
      <c r="CG487" s="379"/>
      <c r="CH487" s="379"/>
      <c r="CI487" s="379"/>
      <c r="CJ487" s="379"/>
      <c r="CK487" s="379"/>
      <c r="CL487" s="379"/>
      <c r="CM487" s="379"/>
      <c r="CN487" s="379"/>
      <c r="CO487" s="379"/>
      <c r="CP487" s="379"/>
      <c r="CQ487" s="379"/>
      <c r="CR487" s="379"/>
    </row>
    <row r="488" spans="1:96" x14ac:dyDescent="0.2">
      <c r="A488" s="80" t="s">
        <v>5529</v>
      </c>
      <c r="B488" s="885" t="s">
        <v>6100</v>
      </c>
      <c r="C488" s="58" t="s">
        <v>5530</v>
      </c>
      <c r="D488" s="58"/>
      <c r="E488" s="34">
        <v>4300</v>
      </c>
      <c r="V488" s="34">
        <f t="shared" si="798"/>
        <v>4300</v>
      </c>
      <c r="W488" s="46"/>
      <c r="X488" s="46"/>
      <c r="Y488" s="46"/>
      <c r="AA488" s="46">
        <f t="shared" si="799"/>
        <v>0</v>
      </c>
      <c r="AB488" s="46"/>
      <c r="AG488" s="46"/>
      <c r="AL488" s="46"/>
      <c r="AQ488" s="46"/>
      <c r="BA488" s="46"/>
      <c r="BF488" s="46"/>
      <c r="BK488" s="46"/>
      <c r="BP488" s="46"/>
      <c r="BU488" s="46"/>
      <c r="BZ488" s="46"/>
      <c r="CE488" s="379"/>
      <c r="CF488" s="379"/>
      <c r="CG488" s="379"/>
      <c r="CH488" s="379"/>
      <c r="CI488" s="379"/>
      <c r="CJ488" s="379"/>
      <c r="CK488" s="379"/>
      <c r="CL488" s="379"/>
      <c r="CM488" s="379"/>
      <c r="CN488" s="379"/>
      <c r="CO488" s="379"/>
      <c r="CP488" s="379"/>
      <c r="CQ488" s="379"/>
      <c r="CR488" s="379"/>
    </row>
    <row r="489" spans="1:96" x14ac:dyDescent="0.2">
      <c r="A489" s="80" t="s">
        <v>5531</v>
      </c>
      <c r="B489" s="144"/>
      <c r="C489" s="55"/>
      <c r="D489" s="58"/>
      <c r="E489" s="34">
        <v>23700</v>
      </c>
      <c r="V489" s="34">
        <f t="shared" si="798"/>
        <v>23700</v>
      </c>
      <c r="W489" s="46"/>
      <c r="X489" s="46"/>
      <c r="Y489" s="46"/>
      <c r="AA489" s="46">
        <f t="shared" si="799"/>
        <v>0</v>
      </c>
      <c r="AB489" s="46"/>
      <c r="AG489" s="46"/>
      <c r="AL489" s="46"/>
      <c r="AQ489" s="46"/>
      <c r="BA489" s="46"/>
      <c r="BF489" s="46"/>
      <c r="BK489" s="46"/>
      <c r="BP489" s="46"/>
      <c r="BU489" s="46"/>
      <c r="BZ489" s="46"/>
      <c r="CE489" s="379"/>
      <c r="CF489" s="379"/>
      <c r="CG489" s="379"/>
      <c r="CH489" s="379"/>
      <c r="CI489" s="379"/>
      <c r="CJ489" s="379"/>
      <c r="CK489" s="379"/>
      <c r="CL489" s="379"/>
      <c r="CM489" s="379"/>
      <c r="CN489" s="379"/>
      <c r="CO489" s="379"/>
      <c r="CP489" s="379"/>
      <c r="CQ489" s="379"/>
      <c r="CR489" s="379"/>
    </row>
    <row r="490" spans="1:96" x14ac:dyDescent="0.2">
      <c r="A490" s="80" t="s">
        <v>5536</v>
      </c>
      <c r="B490" s="885" t="s">
        <v>6101</v>
      </c>
      <c r="C490" s="58" t="s">
        <v>5537</v>
      </c>
      <c r="D490" s="58"/>
      <c r="E490" s="34">
        <v>41400</v>
      </c>
      <c r="S490" s="34">
        <v>41500</v>
      </c>
      <c r="V490" s="34">
        <f t="shared" si="798"/>
        <v>-100</v>
      </c>
      <c r="W490" s="46"/>
      <c r="X490" s="46"/>
      <c r="Y490" s="46"/>
      <c r="AA490" s="46">
        <f t="shared" si="799"/>
        <v>0</v>
      </c>
      <c r="AB490" s="46"/>
      <c r="AG490" s="46"/>
      <c r="AL490" s="46"/>
      <c r="AQ490" s="46"/>
      <c r="BA490" s="46"/>
      <c r="BF490" s="46"/>
      <c r="BK490" s="46"/>
      <c r="BP490" s="46"/>
      <c r="BU490" s="46"/>
      <c r="BZ490" s="46"/>
      <c r="CE490" s="379"/>
      <c r="CF490" s="379"/>
      <c r="CG490" s="379"/>
      <c r="CH490" s="379"/>
      <c r="CI490" s="379"/>
      <c r="CJ490" s="379"/>
      <c r="CK490" s="379"/>
      <c r="CL490" s="379"/>
      <c r="CM490" s="379"/>
      <c r="CN490" s="379"/>
      <c r="CO490" s="379"/>
      <c r="CP490" s="379"/>
      <c r="CQ490" s="379"/>
      <c r="CR490" s="379"/>
    </row>
    <row r="491" spans="1:96" x14ac:dyDescent="0.2">
      <c r="A491" s="80" t="s">
        <v>5893</v>
      </c>
      <c r="B491" s="885" t="s">
        <v>6205</v>
      </c>
      <c r="C491" s="58" t="s">
        <v>6207</v>
      </c>
      <c r="D491" s="58" t="s">
        <v>6207</v>
      </c>
      <c r="F491" s="34">
        <v>7400</v>
      </c>
      <c r="G491" s="34">
        <v>342600</v>
      </c>
      <c r="V491" s="34">
        <f t="shared" si="798"/>
        <v>0</v>
      </c>
      <c r="W491" s="46"/>
      <c r="X491" s="46"/>
      <c r="Y491" s="46"/>
      <c r="Z491" s="34">
        <v>350000</v>
      </c>
      <c r="AA491" s="46">
        <f t="shared" si="799"/>
        <v>-342600</v>
      </c>
      <c r="AB491" s="46"/>
      <c r="AG491" s="46"/>
      <c r="AL491" s="46"/>
      <c r="AQ491" s="46"/>
      <c r="BA491" s="46"/>
      <c r="BF491" s="46"/>
      <c r="BK491" s="46"/>
      <c r="BP491" s="46"/>
      <c r="BU491" s="46"/>
      <c r="BZ491" s="46"/>
      <c r="CE491" s="379"/>
      <c r="CF491" s="379"/>
      <c r="CG491" s="379"/>
      <c r="CH491" s="379"/>
      <c r="CI491" s="379"/>
      <c r="CJ491" s="379"/>
      <c r="CK491" s="379"/>
      <c r="CL491" s="379"/>
      <c r="CM491" s="379"/>
      <c r="CN491" s="379"/>
      <c r="CO491" s="379"/>
      <c r="CP491" s="379"/>
      <c r="CQ491" s="379"/>
      <c r="CR491" s="379"/>
    </row>
    <row r="492" spans="1:96" x14ac:dyDescent="0.2">
      <c r="A492" s="80" t="s">
        <v>6640</v>
      </c>
      <c r="B492" s="885" t="s">
        <v>3100</v>
      </c>
      <c r="C492" s="58"/>
      <c r="D492" s="58"/>
      <c r="E492" s="34">
        <v>200</v>
      </c>
      <c r="V492" s="34">
        <f t="shared" si="798"/>
        <v>200</v>
      </c>
      <c r="W492" s="46"/>
      <c r="X492" s="46"/>
      <c r="Y492" s="46"/>
      <c r="AB492" s="46"/>
      <c r="AG492" s="46"/>
      <c r="AL492" s="46"/>
      <c r="AQ492" s="46"/>
      <c r="BA492" s="46"/>
      <c r="BF492" s="46"/>
      <c r="BK492" s="46"/>
      <c r="BP492" s="46"/>
      <c r="BU492" s="46"/>
      <c r="BZ492" s="46"/>
      <c r="CE492" s="379"/>
      <c r="CF492" s="379"/>
      <c r="CG492" s="379"/>
      <c r="CH492" s="379"/>
      <c r="CI492" s="379"/>
      <c r="CJ492" s="379"/>
      <c r="CK492" s="379"/>
      <c r="CL492" s="379"/>
      <c r="CM492" s="379"/>
      <c r="CN492" s="379"/>
      <c r="CO492" s="379"/>
      <c r="CP492" s="379"/>
      <c r="CQ492" s="379"/>
      <c r="CR492" s="379"/>
    </row>
    <row r="493" spans="1:96" x14ac:dyDescent="0.2">
      <c r="A493" s="80" t="s">
        <v>4761</v>
      </c>
      <c r="B493" s="885" t="s">
        <v>6206</v>
      </c>
      <c r="C493" s="58" t="s">
        <v>6208</v>
      </c>
      <c r="D493" s="58" t="s">
        <v>6208</v>
      </c>
      <c r="F493" s="34">
        <v>1100</v>
      </c>
      <c r="G493" s="34">
        <v>148900</v>
      </c>
      <c r="V493" s="34"/>
      <c r="W493" s="46">
        <v>60000</v>
      </c>
      <c r="X493" s="46"/>
      <c r="Y493" s="46"/>
      <c r="Z493" s="34">
        <f>140000-50000</f>
        <v>90000</v>
      </c>
      <c r="AA493" s="46">
        <f>F493-W493-X493-Y493-Z493</f>
        <v>-148900</v>
      </c>
      <c r="AB493" s="46">
        <v>60000</v>
      </c>
      <c r="AE493" s="34">
        <v>88900</v>
      </c>
      <c r="AG493" s="46"/>
      <c r="AL493" s="46"/>
      <c r="AQ493" s="46"/>
      <c r="BA493" s="46"/>
      <c r="BF493" s="46"/>
      <c r="BK493" s="46"/>
      <c r="BP493" s="46"/>
      <c r="BU493" s="46"/>
      <c r="BZ493" s="46"/>
      <c r="CE493" s="379"/>
      <c r="CF493" s="379"/>
      <c r="CG493" s="379"/>
      <c r="CH493" s="379"/>
      <c r="CI493" s="379"/>
      <c r="CJ493" s="379"/>
      <c r="CK493" s="379"/>
      <c r="CL493" s="379"/>
      <c r="CM493" s="379"/>
      <c r="CN493" s="379"/>
      <c r="CO493" s="379"/>
      <c r="CP493" s="379"/>
      <c r="CQ493" s="379"/>
      <c r="CR493" s="379"/>
    </row>
    <row r="494" spans="1:96" x14ac:dyDescent="0.2">
      <c r="A494" s="80" t="s">
        <v>7046</v>
      </c>
      <c r="B494" s="885" t="s">
        <v>7049</v>
      </c>
      <c r="C494" s="58" t="s">
        <v>7050</v>
      </c>
      <c r="D494" s="58"/>
      <c r="V494" s="34"/>
      <c r="W494" s="46"/>
      <c r="X494" s="46"/>
      <c r="Y494" s="46"/>
      <c r="AA494" s="46">
        <f t="shared" ref="AA494:AA496" si="800">F494-W494-X494-Y494-Z494</f>
        <v>0</v>
      </c>
      <c r="AB494" s="46"/>
      <c r="AG494" s="46"/>
      <c r="AL494" s="46"/>
      <c r="AQ494" s="46"/>
      <c r="BA494" s="46"/>
      <c r="BF494" s="46"/>
      <c r="BK494" s="46"/>
      <c r="BP494" s="46"/>
      <c r="BU494" s="46"/>
      <c r="BZ494" s="46"/>
      <c r="CE494" s="379"/>
      <c r="CF494" s="379"/>
      <c r="CG494" s="379"/>
      <c r="CH494" s="379"/>
      <c r="CI494" s="379"/>
      <c r="CJ494" s="379"/>
      <c r="CK494" s="379"/>
      <c r="CL494" s="379"/>
      <c r="CM494" s="379"/>
      <c r="CN494" s="379"/>
      <c r="CO494" s="379"/>
      <c r="CP494" s="379"/>
      <c r="CQ494" s="379"/>
      <c r="CR494" s="379"/>
    </row>
    <row r="495" spans="1:96" x14ac:dyDescent="0.2">
      <c r="A495" s="80" t="s">
        <v>7047</v>
      </c>
      <c r="B495" s="885" t="s">
        <v>7051</v>
      </c>
      <c r="C495" s="58" t="s">
        <v>7052</v>
      </c>
      <c r="D495" s="58"/>
      <c r="F495" s="34">
        <v>112100</v>
      </c>
      <c r="V495" s="34"/>
      <c r="W495" s="46"/>
      <c r="X495" s="46"/>
      <c r="Y495" s="46"/>
      <c r="Z495" s="34">
        <v>43700</v>
      </c>
      <c r="AA495" s="46">
        <f t="shared" si="800"/>
        <v>68400</v>
      </c>
      <c r="AB495" s="46"/>
      <c r="AG495" s="46"/>
      <c r="AL495" s="46"/>
      <c r="AQ495" s="46"/>
      <c r="BA495" s="46"/>
      <c r="BF495" s="46"/>
      <c r="BK495" s="46"/>
      <c r="BP495" s="46"/>
      <c r="BU495" s="46"/>
      <c r="BZ495" s="46"/>
      <c r="CE495" s="379"/>
      <c r="CF495" s="379"/>
      <c r="CG495" s="379"/>
      <c r="CH495" s="379"/>
      <c r="CI495" s="379"/>
      <c r="CJ495" s="379"/>
      <c r="CK495" s="379"/>
      <c r="CL495" s="379"/>
      <c r="CM495" s="379"/>
      <c r="CN495" s="379"/>
      <c r="CO495" s="379"/>
      <c r="CP495" s="379"/>
      <c r="CQ495" s="379"/>
      <c r="CR495" s="379"/>
    </row>
    <row r="496" spans="1:96" x14ac:dyDescent="0.2">
      <c r="A496" s="80" t="s">
        <v>7048</v>
      </c>
      <c r="B496" s="885" t="s">
        <v>7053</v>
      </c>
      <c r="C496" s="58" t="s">
        <v>7054</v>
      </c>
      <c r="D496" s="58"/>
      <c r="F496" s="34">
        <v>56900</v>
      </c>
      <c r="V496" s="34"/>
      <c r="W496" s="46"/>
      <c r="X496" s="46"/>
      <c r="Y496" s="46"/>
      <c r="AA496" s="46">
        <f t="shared" si="800"/>
        <v>56900</v>
      </c>
      <c r="AB496" s="46"/>
      <c r="AG496" s="46"/>
      <c r="AL496" s="46"/>
      <c r="AQ496" s="46"/>
      <c r="BA496" s="46"/>
      <c r="BF496" s="46"/>
      <c r="BK496" s="46"/>
      <c r="BP496" s="46"/>
      <c r="BU496" s="46"/>
      <c r="BZ496" s="46"/>
      <c r="CE496" s="379"/>
      <c r="CF496" s="379"/>
      <c r="CG496" s="379"/>
      <c r="CH496" s="379"/>
      <c r="CI496" s="379"/>
      <c r="CJ496" s="379"/>
      <c r="CK496" s="379"/>
      <c r="CL496" s="379"/>
      <c r="CM496" s="379"/>
      <c r="CN496" s="379"/>
      <c r="CO496" s="379"/>
      <c r="CP496" s="379"/>
      <c r="CQ496" s="379"/>
      <c r="CR496" s="379"/>
    </row>
    <row r="497" spans="1:96" x14ac:dyDescent="0.2">
      <c r="A497" s="80"/>
      <c r="B497" s="885"/>
      <c r="C497" s="58"/>
      <c r="D497" s="58"/>
      <c r="V497" s="34"/>
      <c r="W497" s="46"/>
      <c r="X497" s="46"/>
      <c r="Y497" s="46"/>
      <c r="AB497" s="46"/>
      <c r="AG497" s="46"/>
      <c r="AL497" s="46"/>
      <c r="AQ497" s="46"/>
      <c r="BA497" s="46"/>
      <c r="BF497" s="46"/>
      <c r="BK497" s="46"/>
      <c r="BP497" s="46"/>
      <c r="BU497" s="46"/>
      <c r="BZ497" s="46"/>
      <c r="CE497" s="379"/>
      <c r="CF497" s="379"/>
      <c r="CG497" s="379"/>
      <c r="CH497" s="379"/>
      <c r="CI497" s="379"/>
      <c r="CJ497" s="379"/>
      <c r="CK497" s="379"/>
      <c r="CL497" s="379"/>
      <c r="CM497" s="379"/>
      <c r="CN497" s="379"/>
      <c r="CO497" s="379"/>
      <c r="CP497" s="379"/>
      <c r="CQ497" s="379"/>
      <c r="CR497" s="379"/>
    </row>
    <row r="498" spans="1:96" ht="13.5" thickBot="1" x14ac:dyDescent="0.25">
      <c r="A498" s="65" t="s">
        <v>2615</v>
      </c>
      <c r="B498" s="144"/>
      <c r="C498" s="55"/>
      <c r="D498" s="55"/>
      <c r="E498" s="1285">
        <f>SUM(E471:E493)</f>
        <v>445100</v>
      </c>
      <c r="F498" s="1285">
        <f>SUM(F471:F497)</f>
        <v>180200</v>
      </c>
      <c r="G498" s="1285">
        <f>SUM(G471:G497)</f>
        <v>1224000</v>
      </c>
      <c r="H498" s="1285">
        <f t="shared" ref="H498:AA498" si="801">SUM(H471:H497)</f>
        <v>0</v>
      </c>
      <c r="I498" s="1285">
        <f t="shared" si="801"/>
        <v>0</v>
      </c>
      <c r="J498" s="1285">
        <f t="shared" si="801"/>
        <v>0</v>
      </c>
      <c r="K498" s="1285">
        <f t="shared" si="801"/>
        <v>0</v>
      </c>
      <c r="L498" s="1285">
        <f t="shared" si="801"/>
        <v>0</v>
      </c>
      <c r="M498" s="1285">
        <f t="shared" si="801"/>
        <v>0</v>
      </c>
      <c r="N498" s="1285">
        <f t="shared" si="801"/>
        <v>0</v>
      </c>
      <c r="O498" s="1285">
        <f t="shared" si="801"/>
        <v>0</v>
      </c>
      <c r="P498" s="1285">
        <f t="shared" si="801"/>
        <v>0</v>
      </c>
      <c r="Q498" s="1285">
        <f t="shared" ref="Q498" si="802">SUM(Q471:Q497)</f>
        <v>0</v>
      </c>
      <c r="R498" s="1285">
        <f t="shared" si="801"/>
        <v>0</v>
      </c>
      <c r="S498" s="1285">
        <f t="shared" si="801"/>
        <v>41500</v>
      </c>
      <c r="T498" s="1285">
        <f t="shared" si="801"/>
        <v>0</v>
      </c>
      <c r="U498" s="1285">
        <f t="shared" si="801"/>
        <v>223700</v>
      </c>
      <c r="V498" s="1285">
        <f t="shared" si="801"/>
        <v>179900</v>
      </c>
      <c r="W498" s="1285">
        <v>60000</v>
      </c>
      <c r="X498" s="1285">
        <f t="shared" si="801"/>
        <v>0</v>
      </c>
      <c r="Y498" s="1285">
        <f t="shared" si="801"/>
        <v>0</v>
      </c>
      <c r="Z498" s="1285">
        <f t="shared" si="801"/>
        <v>533700</v>
      </c>
      <c r="AA498" s="1285">
        <f t="shared" si="801"/>
        <v>-413900</v>
      </c>
      <c r="AB498" s="46"/>
      <c r="AG498" s="46"/>
      <c r="AL498" s="46"/>
      <c r="AQ498" s="46"/>
      <c r="BA498" s="46"/>
      <c r="BF498" s="46"/>
      <c r="BK498" s="46"/>
      <c r="BP498" s="46"/>
      <c r="BU498" s="46"/>
      <c r="BZ498" s="46"/>
      <c r="CE498" s="379"/>
      <c r="CF498" s="379"/>
      <c r="CG498" s="379"/>
      <c r="CH498" s="379"/>
      <c r="CI498" s="379"/>
      <c r="CJ498" s="379"/>
      <c r="CK498" s="379"/>
      <c r="CL498" s="379"/>
      <c r="CM498" s="379"/>
      <c r="CN498" s="379"/>
      <c r="CO498" s="379"/>
      <c r="CP498" s="379"/>
      <c r="CQ498" s="379"/>
      <c r="CR498" s="379"/>
    </row>
    <row r="499" spans="1:96" ht="13.5" thickTop="1" x14ac:dyDescent="0.2">
      <c r="A499" s="65" t="s">
        <v>400</v>
      </c>
      <c r="B499" s="144"/>
      <c r="C499" s="55"/>
      <c r="D499" s="55"/>
      <c r="E499" s="46">
        <f>IF(E498=SUM(E180:E190),0,(E498-SUM(E180:E190)))</f>
        <v>0</v>
      </c>
      <c r="F499" s="46">
        <f>IF(F498=SUM(F180:F190),0,(F498-SUM(F180:F190)))+F186</f>
        <v>-1100</v>
      </c>
      <c r="G499" s="46">
        <f>IF(G498=SUM(G180:G190),0,(G498-SUM(G180:G190)))</f>
        <v>-139800</v>
      </c>
      <c r="R499" s="46">
        <f>IF(R498=SUM(R180:R190),0,(R498-SUM(R180:R190)))</f>
        <v>0</v>
      </c>
      <c r="S499" s="46">
        <f>IF(S498=SUM(S180:S190),0,(S498-SUM(S180:S190)))</f>
        <v>0</v>
      </c>
      <c r="T499" s="46">
        <f>IF(T498=SUM(T180:T190),0,(T498-SUM(T180:T190)))</f>
        <v>0</v>
      </c>
      <c r="U499" s="46">
        <f>IF(U498=SUM(U180:U190),0,(U498-SUM(U180:U190)))</f>
        <v>-9100</v>
      </c>
      <c r="V499" s="46">
        <f>IF(V498=SUM(V180:V190),0,(V498-SUM(V180:V190)))</f>
        <v>9100</v>
      </c>
      <c r="W499" s="46">
        <v>60000</v>
      </c>
      <c r="X499" s="46">
        <f>IF(X498=SUM(X180:X190),0,(X498-SUM(X180:X190)))</f>
        <v>0</v>
      </c>
      <c r="Y499" s="46">
        <f>IF(Y498=SUM(Y180:Y190),0,(Y498-SUM(Y180:Y190)))</f>
        <v>0</v>
      </c>
      <c r="Z499" s="46">
        <f>IF(Z498=SUM(Z180:Z190),0,(Z498-SUM(Z180:Z190)))</f>
        <v>480400</v>
      </c>
      <c r="AA499" s="46">
        <f>IF(AA498=SUM(AA180:AA190),0,(AA498-SUM(AA180:AA190)))</f>
        <v>-541900</v>
      </c>
      <c r="AB499" s="46"/>
      <c r="AG499" s="46"/>
      <c r="AL499" s="46"/>
      <c r="AQ499" s="46"/>
      <c r="BA499" s="46"/>
      <c r="BF499" s="46"/>
      <c r="BK499" s="46"/>
      <c r="BP499" s="46"/>
      <c r="BU499" s="46"/>
      <c r="BZ499" s="46"/>
      <c r="CE499" s="379"/>
      <c r="CF499" s="379"/>
      <c r="CG499" s="379"/>
      <c r="CH499" s="379"/>
      <c r="CI499" s="379"/>
      <c r="CJ499" s="379"/>
      <c r="CK499" s="379"/>
      <c r="CL499" s="379"/>
      <c r="CM499" s="379"/>
      <c r="CN499" s="379"/>
      <c r="CO499" s="379"/>
      <c r="CP499" s="379"/>
      <c r="CQ499" s="379"/>
      <c r="CR499" s="379"/>
    </row>
    <row r="500" spans="1:96" x14ac:dyDescent="0.2">
      <c r="A500" s="65"/>
      <c r="B500" s="144"/>
      <c r="C500" s="55"/>
      <c r="D500" s="55"/>
      <c r="R500" s="46"/>
      <c r="S500" s="46"/>
      <c r="T500" s="46"/>
      <c r="U500" s="46"/>
      <c r="W500" s="46"/>
      <c r="X500" s="46"/>
      <c r="Y500" s="46"/>
      <c r="AB500" s="46"/>
      <c r="AG500" s="46"/>
      <c r="AL500" s="46"/>
      <c r="AQ500" s="46"/>
      <c r="BA500" s="46"/>
      <c r="BF500" s="46"/>
      <c r="BK500" s="46"/>
      <c r="BP500" s="46"/>
      <c r="BU500" s="46"/>
      <c r="BZ500" s="46"/>
      <c r="CE500" s="379"/>
      <c r="CF500" s="379"/>
      <c r="CG500" s="379"/>
      <c r="CH500" s="379"/>
      <c r="CI500" s="379"/>
      <c r="CJ500" s="379"/>
      <c r="CK500" s="379"/>
      <c r="CL500" s="379"/>
      <c r="CM500" s="379"/>
      <c r="CN500" s="379"/>
      <c r="CO500" s="379"/>
      <c r="CP500" s="379"/>
      <c r="CQ500" s="379"/>
      <c r="CR500" s="379"/>
    </row>
    <row r="501" spans="1:96" x14ac:dyDescent="0.2">
      <c r="B501" s="144"/>
      <c r="C501" s="55"/>
      <c r="D501" s="55"/>
      <c r="V501" s="34"/>
      <c r="W501" s="46"/>
      <c r="X501" s="46"/>
      <c r="Y501" s="46"/>
      <c r="AB501" s="46"/>
      <c r="AG501" s="46"/>
      <c r="AL501" s="46"/>
      <c r="AQ501" s="46"/>
      <c r="BA501" s="46"/>
      <c r="BF501" s="46"/>
      <c r="BK501" s="46"/>
      <c r="BP501" s="46"/>
      <c r="BU501" s="46"/>
      <c r="BZ501" s="46"/>
      <c r="CE501" s="379"/>
      <c r="CF501" s="379"/>
      <c r="CG501" s="379"/>
      <c r="CH501" s="379"/>
      <c r="CI501" s="379"/>
      <c r="CJ501" s="379"/>
      <c r="CK501" s="379"/>
      <c r="CL501" s="379"/>
      <c r="CM501" s="379"/>
      <c r="CN501" s="379"/>
      <c r="CO501" s="379"/>
      <c r="CP501" s="379"/>
      <c r="CQ501" s="379"/>
      <c r="CR501" s="379"/>
    </row>
    <row r="502" spans="1:96" x14ac:dyDescent="0.2">
      <c r="A502" s="395" t="s">
        <v>3609</v>
      </c>
      <c r="B502" s="144"/>
      <c r="C502" s="55"/>
      <c r="D502" s="55"/>
      <c r="V502" s="34"/>
      <c r="W502" s="46"/>
      <c r="X502" s="46"/>
      <c r="Y502" s="46"/>
      <c r="AB502" s="46"/>
      <c r="AG502" s="46"/>
      <c r="AL502" s="46"/>
      <c r="AQ502" s="46"/>
      <c r="BA502" s="46"/>
      <c r="BF502" s="46"/>
      <c r="BK502" s="46"/>
      <c r="BP502" s="46"/>
      <c r="BU502" s="46"/>
      <c r="BZ502" s="46"/>
      <c r="CE502" s="379"/>
      <c r="CF502" s="379"/>
      <c r="CG502" s="379"/>
      <c r="CH502" s="379"/>
      <c r="CI502" s="379"/>
      <c r="CJ502" s="379"/>
      <c r="CK502" s="379"/>
      <c r="CL502" s="379"/>
      <c r="CM502" s="379"/>
      <c r="CN502" s="379"/>
      <c r="CO502" s="379"/>
      <c r="CP502" s="379"/>
      <c r="CQ502" s="379"/>
      <c r="CR502" s="379"/>
    </row>
    <row r="503" spans="1:96" x14ac:dyDescent="0.2">
      <c r="A503" s="80" t="s">
        <v>755</v>
      </c>
      <c r="B503" s="885" t="s">
        <v>3925</v>
      </c>
      <c r="C503" s="58" t="s">
        <v>4077</v>
      </c>
      <c r="D503" s="58"/>
      <c r="F503" s="34">
        <f>3484500-F504</f>
        <v>3484000</v>
      </c>
      <c r="G503" s="34">
        <v>95300</v>
      </c>
      <c r="V503" s="34">
        <f>E503-SUM(R503:U503)</f>
        <v>0</v>
      </c>
      <c r="W503" s="46"/>
      <c r="X503" s="46"/>
      <c r="Y503" s="46"/>
      <c r="AA503" s="46">
        <f>F503-W503-X503-Y503-Z503</f>
        <v>3484000</v>
      </c>
      <c r="AB503" s="46"/>
      <c r="AG503" s="46"/>
      <c r="AL503" s="46"/>
      <c r="AQ503" s="46"/>
      <c r="BA503" s="46"/>
      <c r="BF503" s="46"/>
      <c r="BK503" s="46"/>
      <c r="BP503" s="46"/>
      <c r="BU503" s="46"/>
      <c r="BZ503" s="46"/>
      <c r="CE503" s="379"/>
      <c r="CF503" s="379"/>
      <c r="CG503" s="379"/>
      <c r="CH503" s="379"/>
      <c r="CI503" s="379"/>
      <c r="CJ503" s="379"/>
      <c r="CK503" s="379"/>
      <c r="CL503" s="379"/>
      <c r="CM503" s="379"/>
      <c r="CN503" s="379"/>
      <c r="CO503" s="379"/>
      <c r="CP503" s="379"/>
      <c r="CQ503" s="379"/>
      <c r="CR503" s="379"/>
    </row>
    <row r="504" spans="1:96" x14ac:dyDescent="0.2">
      <c r="A504" s="34" t="str">
        <f>A196</f>
        <v>Wollongbar Sports Fields</v>
      </c>
      <c r="B504" s="885" t="s">
        <v>2633</v>
      </c>
      <c r="C504" s="58" t="s">
        <v>4959</v>
      </c>
      <c r="D504" s="58"/>
      <c r="E504" s="34">
        <v>2695900</v>
      </c>
      <c r="F504" s="34">
        <v>500</v>
      </c>
      <c r="G504" s="34">
        <v>106700</v>
      </c>
      <c r="U504" s="34">
        <v>2695900</v>
      </c>
      <c r="V504" s="34">
        <f>E504-SUM(R504:U504)</f>
        <v>0</v>
      </c>
      <c r="W504" s="46">
        <v>30000</v>
      </c>
      <c r="X504" s="46"/>
      <c r="Y504" s="46"/>
      <c r="Z504" s="34">
        <f>625500+2590300</f>
        <v>3215800</v>
      </c>
      <c r="AA504" s="46">
        <f>F504-W504-X504-Y504-Z504</f>
        <v>-3245300</v>
      </c>
      <c r="AB504" s="46"/>
      <c r="AG504" s="46"/>
      <c r="AL504" s="46"/>
      <c r="AQ504" s="46"/>
      <c r="BA504" s="46"/>
      <c r="BF504" s="46"/>
      <c r="BK504" s="46"/>
      <c r="BP504" s="46"/>
      <c r="BU504" s="46"/>
      <c r="BZ504" s="46"/>
      <c r="CE504" s="379"/>
      <c r="CF504" s="379"/>
      <c r="CG504" s="379"/>
      <c r="CH504" s="379"/>
      <c r="CI504" s="379"/>
      <c r="CJ504" s="379"/>
      <c r="CK504" s="379"/>
      <c r="CL504" s="379"/>
      <c r="CM504" s="379"/>
      <c r="CN504" s="379"/>
      <c r="CO504" s="379"/>
      <c r="CP504" s="379"/>
      <c r="CQ504" s="379"/>
      <c r="CR504" s="379"/>
    </row>
    <row r="505" spans="1:96" x14ac:dyDescent="0.2">
      <c r="A505" s="80" t="s">
        <v>5452</v>
      </c>
      <c r="B505" s="885" t="s">
        <v>5163</v>
      </c>
      <c r="C505" s="58" t="s">
        <v>5453</v>
      </c>
      <c r="D505" s="58"/>
      <c r="E505" s="34">
        <v>0</v>
      </c>
      <c r="F505" s="80"/>
      <c r="U505" s="34">
        <v>0</v>
      </c>
      <c r="V505" s="34">
        <f>E505-SUM(R505:U505)</f>
        <v>0</v>
      </c>
      <c r="W505" s="46"/>
      <c r="X505" s="46"/>
      <c r="Y505" s="46"/>
      <c r="AA505" s="46">
        <f>F505-W505-X505-Y505-Z505</f>
        <v>0</v>
      </c>
      <c r="AB505" s="46"/>
      <c r="AG505" s="46"/>
      <c r="AL505" s="46"/>
      <c r="AQ505" s="46"/>
      <c r="BA505" s="46"/>
      <c r="BF505" s="46"/>
      <c r="BK505" s="46"/>
      <c r="BP505" s="46"/>
      <c r="BU505" s="46"/>
      <c r="BZ505" s="46"/>
      <c r="CE505" s="379"/>
      <c r="CF505" s="379"/>
      <c r="CG505" s="379"/>
      <c r="CH505" s="379"/>
      <c r="CI505" s="379"/>
      <c r="CJ505" s="379"/>
      <c r="CK505" s="379"/>
      <c r="CL505" s="379"/>
      <c r="CM505" s="379"/>
      <c r="CN505" s="379"/>
      <c r="CO505" s="379"/>
      <c r="CP505" s="379"/>
      <c r="CQ505" s="379"/>
      <c r="CR505" s="379"/>
    </row>
    <row r="506" spans="1:96" x14ac:dyDescent="0.2">
      <c r="A506" s="80" t="s">
        <v>5910</v>
      </c>
      <c r="B506" s="885" t="s">
        <v>6121</v>
      </c>
      <c r="C506" s="58" t="s">
        <v>5909</v>
      </c>
      <c r="D506" s="58"/>
      <c r="E506" s="34">
        <v>0</v>
      </c>
      <c r="F506" s="34">
        <v>45000</v>
      </c>
      <c r="V506" s="34">
        <f>E506-SUM(R506:U506)</f>
        <v>0</v>
      </c>
      <c r="W506" s="46"/>
      <c r="X506" s="46"/>
      <c r="Y506" s="46"/>
      <c r="Z506" s="34">
        <v>45000</v>
      </c>
      <c r="AA506" s="46">
        <f>F506-W506-X506-Y506-Z506</f>
        <v>0</v>
      </c>
      <c r="AB506" s="46"/>
      <c r="AG506" s="46"/>
      <c r="AL506" s="46"/>
      <c r="AQ506" s="46"/>
      <c r="BA506" s="46"/>
      <c r="BF506" s="46"/>
      <c r="BK506" s="46"/>
      <c r="BP506" s="46"/>
      <c r="BU506" s="46"/>
      <c r="BZ506" s="46"/>
      <c r="CE506" s="379"/>
      <c r="CF506" s="379"/>
      <c r="CG506" s="379"/>
      <c r="CH506" s="379"/>
      <c r="CI506" s="379"/>
      <c r="CJ506" s="379"/>
      <c r="CK506" s="379"/>
      <c r="CL506" s="379"/>
      <c r="CM506" s="379"/>
      <c r="CN506" s="379"/>
      <c r="CO506" s="379"/>
      <c r="CP506" s="379"/>
      <c r="CQ506" s="379"/>
      <c r="CR506" s="379"/>
    </row>
    <row r="507" spans="1:96" x14ac:dyDescent="0.2">
      <c r="A507" s="80" t="s">
        <v>6978</v>
      </c>
      <c r="B507" s="885"/>
      <c r="C507" s="58"/>
      <c r="D507" s="58"/>
      <c r="V507" s="34"/>
      <c r="W507" s="46"/>
      <c r="X507" s="46"/>
      <c r="Y507" s="46"/>
      <c r="AB507" s="46"/>
      <c r="AG507" s="46"/>
      <c r="AL507" s="46"/>
      <c r="AQ507" s="46"/>
      <c r="BA507" s="46"/>
      <c r="BF507" s="46"/>
      <c r="BK507" s="46"/>
      <c r="BP507" s="46"/>
      <c r="BU507" s="46"/>
      <c r="BZ507" s="46"/>
      <c r="CE507" s="379"/>
      <c r="CF507" s="379"/>
      <c r="CG507" s="379"/>
      <c r="CH507" s="379"/>
      <c r="CI507" s="379"/>
      <c r="CJ507" s="379"/>
      <c r="CK507" s="379"/>
      <c r="CL507" s="379"/>
      <c r="CM507" s="379"/>
      <c r="CN507" s="379"/>
      <c r="CO507" s="379"/>
      <c r="CP507" s="379"/>
      <c r="CQ507" s="379"/>
      <c r="CR507" s="379"/>
    </row>
    <row r="508" spans="1:96" x14ac:dyDescent="0.2">
      <c r="A508" s="80" t="s">
        <v>6647</v>
      </c>
      <c r="B508" s="885" t="s">
        <v>7104</v>
      </c>
      <c r="C508" s="58" t="s">
        <v>7103</v>
      </c>
      <c r="D508" s="58" t="s">
        <v>7103</v>
      </c>
      <c r="G508" s="34">
        <v>20000</v>
      </c>
      <c r="V508" s="34"/>
      <c r="W508" s="46"/>
      <c r="X508" s="46"/>
      <c r="Y508" s="46"/>
      <c r="AB508" s="46"/>
      <c r="AG508" s="46"/>
      <c r="AL508" s="46"/>
      <c r="AQ508" s="46"/>
      <c r="BA508" s="46"/>
      <c r="BF508" s="46"/>
      <c r="BK508" s="46"/>
      <c r="BP508" s="46"/>
      <c r="BU508" s="46"/>
      <c r="BZ508" s="46"/>
      <c r="CE508" s="379"/>
      <c r="CF508" s="379"/>
      <c r="CG508" s="379"/>
      <c r="CH508" s="379"/>
      <c r="CI508" s="379"/>
      <c r="CJ508" s="379"/>
      <c r="CK508" s="379"/>
      <c r="CL508" s="379"/>
      <c r="CM508" s="379"/>
      <c r="CN508" s="379"/>
      <c r="CO508" s="379"/>
      <c r="CP508" s="379"/>
      <c r="CQ508" s="379"/>
      <c r="CR508" s="379"/>
    </row>
    <row r="509" spans="1:96" x14ac:dyDescent="0.2">
      <c r="B509" s="144"/>
      <c r="C509" s="55"/>
      <c r="D509" s="55"/>
      <c r="V509" s="34">
        <f>E509-SUM(R509:U509)</f>
        <v>0</v>
      </c>
      <c r="W509" s="46"/>
      <c r="X509" s="46"/>
      <c r="Y509" s="46"/>
      <c r="AA509" s="46">
        <f>F509-W509-X509-Y509-Z509</f>
        <v>0</v>
      </c>
      <c r="AB509" s="46"/>
      <c r="AG509" s="46"/>
      <c r="AL509" s="46"/>
      <c r="AQ509" s="46"/>
      <c r="BA509" s="46"/>
      <c r="BF509" s="46"/>
      <c r="BK509" s="46"/>
      <c r="BP509" s="46"/>
      <c r="BU509" s="46"/>
      <c r="BZ509" s="46"/>
      <c r="CE509" s="379"/>
      <c r="CF509" s="379"/>
      <c r="CG509" s="379"/>
      <c r="CH509" s="379"/>
      <c r="CI509" s="379"/>
      <c r="CJ509" s="379"/>
      <c r="CK509" s="379"/>
      <c r="CL509" s="379"/>
      <c r="CM509" s="379"/>
      <c r="CN509" s="379"/>
      <c r="CO509" s="379"/>
      <c r="CP509" s="379"/>
      <c r="CQ509" s="379"/>
      <c r="CR509" s="379"/>
    </row>
    <row r="510" spans="1:96" ht="13.5" thickBot="1" x14ac:dyDescent="0.25">
      <c r="A510" s="65" t="s">
        <v>2615</v>
      </c>
      <c r="B510" s="144"/>
      <c r="C510" s="55"/>
      <c r="D510" s="55"/>
      <c r="E510" s="1285">
        <f>SUM(E502:E509)</f>
        <v>2695900</v>
      </c>
      <c r="F510" s="1285">
        <f>SUM(F502:F509)</f>
        <v>3529500</v>
      </c>
      <c r="G510" s="1285">
        <f>SUM(G502:G509)</f>
        <v>222000</v>
      </c>
      <c r="R510" s="1285">
        <f>SUM(R502:R509)</f>
        <v>0</v>
      </c>
      <c r="S510" s="1285">
        <f>SUM(S502:S509)</f>
        <v>0</v>
      </c>
      <c r="T510" s="1285">
        <f>SUM(T502:T509)</f>
        <v>0</v>
      </c>
      <c r="U510" s="1285">
        <f>SUM(U502:U509)</f>
        <v>2695900</v>
      </c>
      <c r="V510" s="1285">
        <f>SUM(V502:V509)</f>
        <v>0</v>
      </c>
      <c r="W510" s="1285">
        <v>30000</v>
      </c>
      <c r="X510" s="1285">
        <f t="shared" ref="X510:AA510" si="803">SUM(X502:X509)</f>
        <v>0</v>
      </c>
      <c r="Y510" s="1285">
        <f t="shared" si="803"/>
        <v>0</v>
      </c>
      <c r="Z510" s="1285">
        <f t="shared" si="803"/>
        <v>3260800</v>
      </c>
      <c r="AA510" s="1285">
        <f t="shared" si="803"/>
        <v>238700</v>
      </c>
      <c r="AB510" s="46"/>
      <c r="AG510" s="46"/>
      <c r="AL510" s="46"/>
      <c r="AQ510" s="46"/>
      <c r="BA510" s="46"/>
      <c r="BF510" s="46"/>
      <c r="BK510" s="46"/>
      <c r="BP510" s="46"/>
      <c r="BU510" s="46"/>
      <c r="BZ510" s="46"/>
      <c r="CE510" s="379"/>
      <c r="CF510" s="379"/>
      <c r="CG510" s="379"/>
      <c r="CH510" s="379"/>
      <c r="CI510" s="379"/>
      <c r="CJ510" s="379"/>
      <c r="CK510" s="379"/>
      <c r="CL510" s="379"/>
      <c r="CM510" s="379"/>
      <c r="CN510" s="379"/>
      <c r="CO510" s="379"/>
      <c r="CP510" s="379"/>
      <c r="CQ510" s="379"/>
      <c r="CR510" s="379"/>
    </row>
    <row r="511" spans="1:96" ht="13.5" thickTop="1" x14ac:dyDescent="0.2">
      <c r="A511" s="65" t="s">
        <v>400</v>
      </c>
      <c r="B511" s="144"/>
      <c r="C511" s="55"/>
      <c r="D511" s="55"/>
      <c r="E511" s="46">
        <f>IF(E510=SUM(E193:E196),0,(E510-SUM(E193:E196)))</f>
        <v>0</v>
      </c>
      <c r="F511" s="46">
        <f>IF(F510=SUM(F193:F196),0,(F510-SUM(F193:F196)))</f>
        <v>0</v>
      </c>
      <c r="G511" s="46">
        <f>IF(G510=SUM(G193:G196),0,(G510-SUM(G193:G196)))</f>
        <v>-107000</v>
      </c>
      <c r="R511" s="46">
        <f>IF(R510=SUM(R193:R196),0,(R510-SUM(R193:R196)))</f>
        <v>0</v>
      </c>
      <c r="S511" s="46">
        <f>IF(S510=SUM(S193:S196),0,(S510-SUM(S193:S196)))</f>
        <v>0</v>
      </c>
      <c r="T511" s="46">
        <f>IF(T510=SUM(T193:T196),0,(T510-SUM(T193:T196)))</f>
        <v>0</v>
      </c>
      <c r="U511" s="46">
        <f>IF(U510=SUM(U193:U196),0,(U510-SUM(U193:U196)))</f>
        <v>0</v>
      </c>
      <c r="V511" s="46">
        <f>IF(V510=SUM(V193:V196),0,(V510-SUM(V193:V196)))</f>
        <v>0</v>
      </c>
      <c r="W511" s="46">
        <v>0</v>
      </c>
      <c r="X511" s="46">
        <f>IF(X510=SUM(X193:X196),0,(X510-SUM(X193:X196)))</f>
        <v>0</v>
      </c>
      <c r="Y511" s="46">
        <f>IF(Y510=SUM(Y193:Y196),0,(Y510-SUM(Y193:Y196)))</f>
        <v>0</v>
      </c>
      <c r="Z511" s="46">
        <f>IF(Z510=SUM(Z193:Z196),0,(Z510-SUM(Z193:Z196)))</f>
        <v>-193700</v>
      </c>
      <c r="AA511" s="46">
        <f>IF(AA510=SUM(AA193:AA196),0,(AA510-SUM(AA193:AA196)))</f>
        <v>193700</v>
      </c>
      <c r="AB511" s="46"/>
      <c r="AG511" s="46"/>
      <c r="AL511" s="46"/>
      <c r="AQ511" s="46"/>
      <c r="BA511" s="46"/>
      <c r="BF511" s="46"/>
      <c r="BK511" s="46"/>
      <c r="BP511" s="46"/>
      <c r="BU511" s="46"/>
      <c r="BZ511" s="46"/>
      <c r="CE511" s="379"/>
      <c r="CF511" s="379"/>
      <c r="CG511" s="379"/>
      <c r="CH511" s="379"/>
      <c r="CI511" s="379"/>
      <c r="CJ511" s="379"/>
      <c r="CK511" s="379"/>
      <c r="CL511" s="379"/>
      <c r="CM511" s="379"/>
      <c r="CN511" s="379"/>
      <c r="CO511" s="379"/>
      <c r="CP511" s="379"/>
      <c r="CQ511" s="379"/>
      <c r="CR511" s="379"/>
    </row>
    <row r="512" spans="1:96" x14ac:dyDescent="0.2">
      <c r="A512" s="65"/>
      <c r="B512" s="144"/>
      <c r="C512" s="55"/>
      <c r="D512" s="55"/>
      <c r="R512" s="46"/>
      <c r="S512" s="46"/>
      <c r="T512" s="46"/>
      <c r="U512" s="46"/>
      <c r="W512" s="46"/>
      <c r="X512" s="46"/>
      <c r="Y512" s="46"/>
      <c r="AB512" s="46"/>
      <c r="AG512" s="46"/>
      <c r="AL512" s="46"/>
      <c r="AQ512" s="46"/>
      <c r="BA512" s="46"/>
      <c r="BF512" s="46"/>
      <c r="BK512" s="46"/>
      <c r="BP512" s="46"/>
      <c r="BU512" s="46"/>
      <c r="BZ512" s="46"/>
      <c r="CE512" s="379"/>
      <c r="CF512" s="379"/>
      <c r="CG512" s="379"/>
      <c r="CH512" s="379"/>
      <c r="CI512" s="379"/>
      <c r="CJ512" s="379"/>
      <c r="CK512" s="379"/>
      <c r="CL512" s="379"/>
      <c r="CM512" s="379"/>
      <c r="CN512" s="379"/>
      <c r="CO512" s="379"/>
      <c r="CP512" s="379"/>
      <c r="CQ512" s="379"/>
      <c r="CR512" s="379"/>
    </row>
    <row r="513" spans="1:96" x14ac:dyDescent="0.2">
      <c r="A513" s="65" t="s">
        <v>3080</v>
      </c>
      <c r="B513" s="144"/>
      <c r="C513" s="55"/>
      <c r="D513" s="55"/>
      <c r="R513" s="46"/>
      <c r="S513" s="46"/>
      <c r="T513" s="46"/>
      <c r="U513" s="46"/>
      <c r="W513" s="46"/>
      <c r="X513" s="46"/>
      <c r="Y513" s="46"/>
      <c r="AB513" s="46"/>
      <c r="AG513" s="46"/>
      <c r="AL513" s="46"/>
      <c r="AQ513" s="46"/>
      <c r="BA513" s="46"/>
      <c r="BF513" s="46"/>
      <c r="BK513" s="46"/>
      <c r="BP513" s="46"/>
      <c r="BU513" s="46"/>
      <c r="BZ513" s="46"/>
      <c r="CE513" s="379"/>
      <c r="CF513" s="379"/>
      <c r="CG513" s="379"/>
      <c r="CH513" s="379"/>
      <c r="CI513" s="379"/>
      <c r="CJ513" s="379"/>
      <c r="CK513" s="379"/>
      <c r="CL513" s="379"/>
      <c r="CM513" s="379"/>
      <c r="CN513" s="379"/>
      <c r="CO513" s="379"/>
      <c r="CP513" s="379"/>
      <c r="CQ513" s="379"/>
      <c r="CR513" s="379"/>
    </row>
    <row r="514" spans="1:96" x14ac:dyDescent="0.2">
      <c r="A514" s="80" t="s">
        <v>3607</v>
      </c>
      <c r="B514" s="144"/>
      <c r="C514" s="55"/>
      <c r="D514" s="55"/>
      <c r="R514" s="46"/>
      <c r="S514" s="46"/>
      <c r="T514" s="46"/>
      <c r="U514" s="46"/>
      <c r="V514" s="34">
        <f>E514-SUM(R514:U514)</f>
        <v>0</v>
      </c>
      <c r="W514" s="46"/>
      <c r="X514" s="46"/>
      <c r="Y514" s="46"/>
      <c r="AA514" s="46">
        <f>F514-W514-X514-Y514-Z514</f>
        <v>0</v>
      </c>
      <c r="AB514" s="46"/>
      <c r="AG514" s="46"/>
      <c r="AL514" s="46"/>
      <c r="AQ514" s="46"/>
      <c r="BA514" s="46"/>
      <c r="BF514" s="46"/>
      <c r="BK514" s="46"/>
      <c r="BP514" s="46"/>
      <c r="BU514" s="46"/>
      <c r="BZ514" s="46"/>
      <c r="CE514" s="379"/>
      <c r="CF514" s="379"/>
      <c r="CG514" s="379"/>
      <c r="CH514" s="379"/>
      <c r="CI514" s="379"/>
      <c r="CJ514" s="379"/>
      <c r="CK514" s="379"/>
      <c r="CL514" s="379"/>
      <c r="CM514" s="379"/>
      <c r="CN514" s="379"/>
      <c r="CO514" s="379"/>
      <c r="CP514" s="379"/>
      <c r="CQ514" s="379"/>
      <c r="CR514" s="379"/>
    </row>
    <row r="515" spans="1:96" x14ac:dyDescent="0.2">
      <c r="A515" s="80" t="s">
        <v>11808</v>
      </c>
      <c r="B515" s="885" t="s">
        <v>11809</v>
      </c>
      <c r="C515" s="55"/>
      <c r="D515" s="55"/>
      <c r="F515" s="34">
        <v>200</v>
      </c>
      <c r="R515" s="46"/>
      <c r="S515" s="46"/>
      <c r="T515" s="46"/>
      <c r="U515" s="46"/>
      <c r="V515" s="34"/>
      <c r="W515" s="46"/>
      <c r="X515" s="46"/>
      <c r="Y515" s="46"/>
      <c r="AB515" s="46"/>
      <c r="AG515" s="46"/>
      <c r="AL515" s="46"/>
      <c r="AQ515" s="46"/>
      <c r="BA515" s="46"/>
      <c r="BF515" s="46"/>
      <c r="BK515" s="46"/>
      <c r="BP515" s="46"/>
      <c r="BU515" s="46"/>
      <c r="BZ515" s="46"/>
      <c r="CE515" s="379"/>
      <c r="CF515" s="379"/>
      <c r="CG515" s="379"/>
      <c r="CH515" s="379"/>
      <c r="CI515" s="379"/>
      <c r="CJ515" s="379"/>
      <c r="CK515" s="379"/>
      <c r="CL515" s="379"/>
      <c r="CM515" s="379"/>
      <c r="CN515" s="379"/>
      <c r="CO515" s="379"/>
      <c r="CP515" s="379"/>
      <c r="CQ515" s="379"/>
      <c r="CR515" s="379"/>
    </row>
    <row r="516" spans="1:96" x14ac:dyDescent="0.2">
      <c r="A516" s="80" t="s">
        <v>6979</v>
      </c>
      <c r="B516" s="885" t="s">
        <v>7152</v>
      </c>
      <c r="C516" s="58" t="s">
        <v>7153</v>
      </c>
      <c r="D516" s="58" t="s">
        <v>7153</v>
      </c>
      <c r="G516" s="34">
        <v>104000</v>
      </c>
      <c r="R516" s="46"/>
      <c r="S516" s="46"/>
      <c r="T516" s="46"/>
      <c r="U516" s="46"/>
      <c r="V516" s="34"/>
      <c r="W516" s="46"/>
      <c r="X516" s="46"/>
      <c r="Y516" s="46"/>
      <c r="AB516" s="46"/>
      <c r="AG516" s="46"/>
      <c r="AL516" s="46"/>
      <c r="AQ516" s="46"/>
      <c r="BA516" s="46"/>
      <c r="BF516" s="46"/>
      <c r="BK516" s="46"/>
      <c r="BP516" s="46"/>
      <c r="BU516" s="46"/>
      <c r="BZ516" s="46"/>
      <c r="CE516" s="379"/>
      <c r="CF516" s="379"/>
      <c r="CG516" s="379"/>
      <c r="CH516" s="379"/>
      <c r="CI516" s="379"/>
      <c r="CJ516" s="379"/>
      <c r="CK516" s="379"/>
      <c r="CL516" s="379"/>
      <c r="CM516" s="379"/>
      <c r="CN516" s="379"/>
      <c r="CO516" s="379"/>
      <c r="CP516" s="379"/>
      <c r="CQ516" s="379"/>
      <c r="CR516" s="379"/>
    </row>
    <row r="517" spans="1:96" x14ac:dyDescent="0.2">
      <c r="A517" s="80" t="s">
        <v>6011</v>
      </c>
      <c r="B517" s="885" t="s">
        <v>6209</v>
      </c>
      <c r="C517" s="58" t="s">
        <v>6210</v>
      </c>
      <c r="D517" s="58" t="s">
        <v>6210</v>
      </c>
      <c r="G517" s="34">
        <v>151000</v>
      </c>
      <c r="R517" s="46"/>
      <c r="S517" s="46"/>
      <c r="T517" s="46"/>
      <c r="U517" s="46"/>
      <c r="V517" s="34"/>
      <c r="W517" s="46"/>
      <c r="X517" s="46"/>
      <c r="Y517" s="46"/>
      <c r="Z517" s="34">
        <v>51000</v>
      </c>
      <c r="AA517" s="46">
        <f>F517-W517-X517-Y517-Z517</f>
        <v>-51000</v>
      </c>
      <c r="AB517" s="46"/>
      <c r="AG517" s="46"/>
      <c r="AL517" s="46"/>
      <c r="AQ517" s="46"/>
      <c r="BA517" s="46"/>
      <c r="BF517" s="46"/>
      <c r="BK517" s="46"/>
      <c r="BP517" s="46"/>
      <c r="BU517" s="46"/>
      <c r="BZ517" s="46"/>
      <c r="CE517" s="379"/>
      <c r="CF517" s="379"/>
      <c r="CG517" s="379"/>
      <c r="CH517" s="379"/>
      <c r="CI517" s="379"/>
      <c r="CJ517" s="379"/>
      <c r="CK517" s="379"/>
      <c r="CL517" s="379"/>
      <c r="CM517" s="379"/>
      <c r="CN517" s="379"/>
      <c r="CO517" s="379"/>
      <c r="CP517" s="379"/>
      <c r="CQ517" s="379"/>
      <c r="CR517" s="379"/>
    </row>
    <row r="518" spans="1:96" x14ac:dyDescent="0.2">
      <c r="A518" s="80" t="s">
        <v>4947</v>
      </c>
      <c r="B518" s="885" t="s">
        <v>5186</v>
      </c>
      <c r="C518" s="58" t="s">
        <v>5185</v>
      </c>
      <c r="D518" s="58"/>
      <c r="E518" s="34">
        <v>0</v>
      </c>
      <c r="R518" s="46"/>
      <c r="S518" s="46"/>
      <c r="T518" s="46"/>
      <c r="U518" s="46"/>
      <c r="V518" s="34">
        <f>E518-SUM(R518:U518)</f>
        <v>0</v>
      </c>
      <c r="W518" s="46"/>
      <c r="X518" s="46"/>
      <c r="Y518" s="46"/>
      <c r="AA518" s="46">
        <f>F518-W518-X518-Y518-Z518</f>
        <v>0</v>
      </c>
      <c r="AB518" s="46"/>
      <c r="AG518" s="46"/>
      <c r="AL518" s="46"/>
      <c r="AQ518" s="46"/>
      <c r="BA518" s="46"/>
      <c r="BF518" s="46"/>
      <c r="BK518" s="46"/>
      <c r="BP518" s="46"/>
      <c r="BU518" s="46"/>
      <c r="BZ518" s="46"/>
      <c r="CE518" s="379"/>
      <c r="CF518" s="379"/>
      <c r="CG518" s="379"/>
      <c r="CH518" s="379"/>
      <c r="CI518" s="379"/>
      <c r="CJ518" s="379"/>
      <c r="CK518" s="379"/>
      <c r="CL518" s="379"/>
      <c r="CM518" s="379"/>
      <c r="CN518" s="379"/>
      <c r="CO518" s="379"/>
      <c r="CP518" s="379"/>
      <c r="CQ518" s="379"/>
      <c r="CR518" s="379"/>
    </row>
    <row r="519" spans="1:96" x14ac:dyDescent="0.2">
      <c r="A519" s="80" t="s">
        <v>4948</v>
      </c>
      <c r="B519" s="885" t="s">
        <v>5188</v>
      </c>
      <c r="C519" s="58" t="s">
        <v>5187</v>
      </c>
      <c r="D519" s="58"/>
      <c r="E519" s="34">
        <v>21000</v>
      </c>
      <c r="R519" s="46"/>
      <c r="S519" s="46"/>
      <c r="T519" s="46"/>
      <c r="U519" s="46"/>
      <c r="V519" s="34">
        <f>E519-SUM(R519:U519)</f>
        <v>21000</v>
      </c>
      <c r="W519" s="46"/>
      <c r="X519" s="46"/>
      <c r="Y519" s="46"/>
      <c r="AA519" s="46">
        <f>F519-W519-X519-Y519-Z519</f>
        <v>0</v>
      </c>
      <c r="AB519" s="46"/>
      <c r="AG519" s="46"/>
      <c r="AL519" s="46"/>
      <c r="AQ519" s="46"/>
      <c r="BA519" s="46"/>
      <c r="BF519" s="46"/>
      <c r="BK519" s="46"/>
      <c r="BP519" s="46"/>
      <c r="BU519" s="46"/>
      <c r="BZ519" s="46"/>
      <c r="CE519" s="379"/>
      <c r="CF519" s="379"/>
      <c r="CG519" s="379"/>
      <c r="CH519" s="379"/>
      <c r="CI519" s="379"/>
      <c r="CJ519" s="379"/>
      <c r="CK519" s="379"/>
      <c r="CL519" s="379"/>
      <c r="CM519" s="379"/>
      <c r="CN519" s="379"/>
      <c r="CO519" s="379"/>
      <c r="CP519" s="379"/>
      <c r="CQ519" s="379"/>
      <c r="CR519" s="379"/>
    </row>
    <row r="520" spans="1:96" x14ac:dyDescent="0.2">
      <c r="A520" s="80" t="s">
        <v>4949</v>
      </c>
      <c r="B520" s="885" t="s">
        <v>5190</v>
      </c>
      <c r="C520" s="58" t="s">
        <v>5189</v>
      </c>
      <c r="D520" s="58"/>
      <c r="E520" s="34">
        <v>2000</v>
      </c>
      <c r="R520" s="46"/>
      <c r="S520" s="46"/>
      <c r="T520" s="46"/>
      <c r="U520" s="46"/>
      <c r="V520" s="34">
        <f>E520-SUM(R520:U520)</f>
        <v>2000</v>
      </c>
      <c r="W520" s="46"/>
      <c r="X520" s="46"/>
      <c r="Y520" s="46"/>
      <c r="AA520" s="46">
        <f>F520-W520-X520-Y520-Z520</f>
        <v>0</v>
      </c>
      <c r="AB520" s="46"/>
      <c r="AG520" s="46"/>
      <c r="AL520" s="46"/>
      <c r="AQ520" s="46"/>
      <c r="BA520" s="46"/>
      <c r="BF520" s="46"/>
      <c r="BK520" s="46"/>
      <c r="BP520" s="46"/>
      <c r="BU520" s="46"/>
      <c r="BZ520" s="46"/>
      <c r="CE520" s="379"/>
      <c r="CF520" s="379"/>
      <c r="CG520" s="379"/>
      <c r="CH520" s="379"/>
      <c r="CI520" s="379"/>
      <c r="CJ520" s="379"/>
      <c r="CK520" s="379"/>
      <c r="CL520" s="379"/>
      <c r="CM520" s="379"/>
      <c r="CN520" s="379"/>
      <c r="CO520" s="379"/>
      <c r="CP520" s="379"/>
      <c r="CQ520" s="379"/>
      <c r="CR520" s="379"/>
    </row>
    <row r="521" spans="1:96" ht="13.5" thickBot="1" x14ac:dyDescent="0.25">
      <c r="A521" s="65" t="s">
        <v>2615</v>
      </c>
      <c r="B521" s="144"/>
      <c r="C521" s="55"/>
      <c r="D521" s="55"/>
      <c r="E521" s="1285">
        <f>SUM(E514:E520)</f>
        <v>23000</v>
      </c>
      <c r="F521" s="1285">
        <f>SUM(F514:F520)</f>
        <v>200</v>
      </c>
      <c r="G521" s="1285">
        <f>SUM(G514:G520)</f>
        <v>255000</v>
      </c>
      <c r="R521" s="1285">
        <f t="shared" ref="R521:AA521" si="804">SUM(R514:R520)</f>
        <v>0</v>
      </c>
      <c r="S521" s="1285">
        <f t="shared" si="804"/>
        <v>0</v>
      </c>
      <c r="T521" s="1285">
        <f t="shared" si="804"/>
        <v>0</v>
      </c>
      <c r="U521" s="1285">
        <f t="shared" si="804"/>
        <v>0</v>
      </c>
      <c r="V521" s="1285">
        <f t="shared" si="804"/>
        <v>23000</v>
      </c>
      <c r="W521" s="1285">
        <v>0</v>
      </c>
      <c r="X521" s="1285">
        <f t="shared" si="804"/>
        <v>0</v>
      </c>
      <c r="Y521" s="1285">
        <f t="shared" si="804"/>
        <v>0</v>
      </c>
      <c r="Z521" s="1285">
        <f t="shared" si="804"/>
        <v>51000</v>
      </c>
      <c r="AA521" s="1285">
        <f t="shared" si="804"/>
        <v>-51000</v>
      </c>
      <c r="AB521" s="46"/>
      <c r="AG521" s="46"/>
      <c r="AL521" s="46"/>
      <c r="AQ521" s="46"/>
      <c r="BA521" s="46"/>
      <c r="BF521" s="46"/>
      <c r="BK521" s="46"/>
      <c r="BP521" s="46"/>
      <c r="BU521" s="46"/>
      <c r="BZ521" s="46"/>
      <c r="CE521" s="379"/>
      <c r="CF521" s="379"/>
      <c r="CG521" s="379"/>
      <c r="CH521" s="379"/>
      <c r="CI521" s="379"/>
      <c r="CJ521" s="379"/>
      <c r="CK521" s="379"/>
      <c r="CL521" s="379"/>
      <c r="CM521" s="379"/>
      <c r="CN521" s="379"/>
      <c r="CO521" s="379"/>
      <c r="CP521" s="379"/>
      <c r="CQ521" s="379"/>
      <c r="CR521" s="379"/>
    </row>
    <row r="522" spans="1:96" ht="13.5" thickTop="1" x14ac:dyDescent="0.2">
      <c r="A522" s="65" t="s">
        <v>400</v>
      </c>
      <c r="B522" s="144"/>
      <c r="C522" s="55"/>
      <c r="D522" s="55"/>
      <c r="E522" s="46">
        <f>IF(E521=E110,0,(E521-E110))</f>
        <v>0</v>
      </c>
      <c r="F522" s="46">
        <f>IF(F521=F110,0,(F521-F110))</f>
        <v>0</v>
      </c>
      <c r="G522" s="46">
        <f>IF(G521=G110,0,(G521-G110))</f>
        <v>0</v>
      </c>
      <c r="R522" s="46">
        <f>IF(R521=R110,0,(R521-R110))</f>
        <v>0</v>
      </c>
      <c r="S522" s="46">
        <f>IF(S521=S110,0,(S521-S110))</f>
        <v>0</v>
      </c>
      <c r="T522" s="46">
        <f>IF(T521=T110,0,(T521-T110))</f>
        <v>0</v>
      </c>
      <c r="U522" s="46">
        <f>IF(U521=U110,0,(U521-U110))</f>
        <v>0</v>
      </c>
      <c r="V522" s="46">
        <f>IF(V521=V110,0,(V521-V110))</f>
        <v>0</v>
      </c>
      <c r="W522" s="46">
        <v>0</v>
      </c>
      <c r="X522" s="46">
        <f>IF(X521=X110,0,(X521-X110))</f>
        <v>0</v>
      </c>
      <c r="Y522" s="46">
        <f>IF(Y521=Y110,0,(Y521-Y110))</f>
        <v>0</v>
      </c>
      <c r="Z522" s="46">
        <f>IF(Z521=Z110,0,(Z521-Z110))</f>
        <v>50800</v>
      </c>
      <c r="AA522" s="46">
        <f>IF(AA521=AA110,0,(AA521-AA110))</f>
        <v>-51000</v>
      </c>
      <c r="AB522" s="46"/>
      <c r="AG522" s="46"/>
      <c r="AL522" s="46"/>
      <c r="AQ522" s="46"/>
      <c r="BA522" s="46"/>
      <c r="BF522" s="46"/>
      <c r="BK522" s="46"/>
      <c r="BP522" s="46"/>
      <c r="BU522" s="46"/>
      <c r="BZ522" s="46"/>
      <c r="CE522" s="379"/>
      <c r="CF522" s="379"/>
      <c r="CG522" s="379"/>
      <c r="CH522" s="379"/>
      <c r="CI522" s="379"/>
      <c r="CJ522" s="379"/>
      <c r="CK522" s="379"/>
      <c r="CL522" s="379"/>
      <c r="CM522" s="379"/>
      <c r="CN522" s="379"/>
      <c r="CO522" s="379"/>
      <c r="CP522" s="379"/>
      <c r="CQ522" s="379"/>
      <c r="CR522" s="379"/>
    </row>
    <row r="523" spans="1:96" ht="13.5" thickBot="1" x14ac:dyDescent="0.25">
      <c r="A523" s="41"/>
      <c r="B523" s="1369"/>
      <c r="C523" s="1348"/>
      <c r="D523" s="1348"/>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6"/>
      <c r="AG523" s="46"/>
      <c r="AL523" s="46"/>
      <c r="AQ523" s="46"/>
      <c r="BA523" s="46"/>
      <c r="BF523" s="46"/>
      <c r="BK523" s="46"/>
      <c r="BP523" s="46"/>
      <c r="BU523" s="46"/>
      <c r="BZ523" s="46"/>
      <c r="CE523" s="379"/>
      <c r="CF523" s="379"/>
      <c r="CG523" s="379"/>
      <c r="CH523" s="379"/>
      <c r="CI523" s="379"/>
      <c r="CJ523" s="379"/>
      <c r="CK523" s="379"/>
      <c r="CL523" s="379"/>
      <c r="CM523" s="379"/>
      <c r="CN523" s="379"/>
      <c r="CO523" s="379"/>
      <c r="CP523" s="379"/>
      <c r="CQ523" s="379"/>
      <c r="CR523" s="379"/>
    </row>
    <row r="1126" spans="2:82" x14ac:dyDescent="0.2">
      <c r="B1126" s="34"/>
      <c r="C1126" s="34"/>
      <c r="D1126" s="34"/>
      <c r="E1126" s="34" t="s">
        <v>7245</v>
      </c>
      <c r="V1126" s="34"/>
      <c r="AA1126" s="34"/>
      <c r="AF1126" s="34"/>
      <c r="AK1126" s="34"/>
      <c r="AP1126" s="34"/>
      <c r="AU1126" s="34"/>
      <c r="AV1126" s="34"/>
      <c r="AZ1126" s="34"/>
      <c r="BE1126" s="34"/>
      <c r="BJ1126" s="34"/>
      <c r="BO1126" s="34"/>
      <c r="BT1126" s="34"/>
      <c r="BY1126" s="34"/>
      <c r="CD1126" s="34"/>
    </row>
  </sheetData>
  <sortState ref="A89:CM98">
    <sortCondition ref="A52:A66"/>
  </sortState>
  <mergeCells count="10">
    <mergeCell ref="E173:Q173"/>
    <mergeCell ref="R2:T2"/>
    <mergeCell ref="A1:AU1"/>
    <mergeCell ref="E2:Q2"/>
    <mergeCell ref="E87:Q87"/>
    <mergeCell ref="CE1:DE1"/>
    <mergeCell ref="CS2:DE2"/>
    <mergeCell ref="CE2:CR2"/>
    <mergeCell ref="A86:AU86"/>
    <mergeCell ref="A172:AU172"/>
  </mergeCells>
  <phoneticPr fontId="9" type="noConversion"/>
  <printOptions horizontalCentered="1"/>
  <pageMargins left="0.19685039370078741" right="0.19685039370078741" top="0.19685039370078741" bottom="0.19685039370078741" header="0.39370078740157483" footer="0.19685039370078741"/>
  <pageSetup paperSize="8" scale="75" orientation="landscape" r:id="rId1"/>
  <headerFooter alignWithMargins="0"/>
  <rowBreaks count="3" manualBreakCount="3">
    <brk id="84" max="16383" man="1"/>
    <brk id="170" max="16383" man="1"/>
    <brk id="222"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1069"/>
  <sheetViews>
    <sheetView workbookViewId="0">
      <selection activeCell="F31" sqref="F31"/>
    </sheetView>
  </sheetViews>
  <sheetFormatPr defaultColWidth="9.140625" defaultRowHeight="12.75" x14ac:dyDescent="0.2"/>
  <cols>
    <col min="1" max="1" width="9.140625" style="1" customWidth="1"/>
    <col min="2" max="2" width="9.140625" style="1"/>
    <col min="3" max="3" width="10.140625" style="1" bestFit="1" customWidth="1"/>
    <col min="4" max="4" width="15.28515625" style="1" customWidth="1"/>
    <col min="5" max="5" width="40.5703125" style="1" bestFit="1" customWidth="1"/>
    <col min="6" max="6" width="10.140625" style="1" bestFit="1" customWidth="1"/>
    <col min="7" max="10" width="9.140625" style="1" customWidth="1"/>
    <col min="11" max="11" width="7.5703125" style="1" customWidth="1"/>
    <col min="12" max="13" width="9.140625" style="1" bestFit="1" customWidth="1"/>
    <col min="14" max="16" width="7.5703125" style="1" customWidth="1"/>
    <col min="17" max="18" width="9.140625" style="1" customWidth="1"/>
    <col min="19" max="16384" width="9.140625" style="1"/>
  </cols>
  <sheetData>
    <row r="1" spans="1:16" s="38" customFormat="1" ht="18.75" customHeight="1" thickTop="1" thickBot="1" x14ac:dyDescent="0.3">
      <c r="A1" s="2588" t="s">
        <v>3071</v>
      </c>
      <c r="B1" s="2589"/>
      <c r="C1" s="2589"/>
      <c r="D1" s="2589"/>
      <c r="E1" s="2589"/>
      <c r="F1" s="2589"/>
      <c r="G1" s="2589"/>
      <c r="H1" s="2589"/>
      <c r="I1" s="2589"/>
      <c r="J1" s="2589"/>
      <c r="K1" s="2589"/>
      <c r="L1" s="2589"/>
      <c r="M1" s="2589"/>
      <c r="N1" s="2589"/>
      <c r="O1" s="2589"/>
      <c r="P1" s="2590"/>
    </row>
    <row r="2" spans="1:16" s="39" customFormat="1" x14ac:dyDescent="0.2">
      <c r="A2" s="2598" t="s">
        <v>1824</v>
      </c>
      <c r="B2" s="2599"/>
      <c r="C2" s="2600"/>
      <c r="D2" s="2253" t="s">
        <v>2616</v>
      </c>
      <c r="E2" s="271" t="str">
        <f>'Sec 94'!D17</f>
        <v>BUDGET ITEMS</v>
      </c>
      <c r="F2" s="2576" t="s">
        <v>2215</v>
      </c>
      <c r="G2" s="2577"/>
      <c r="H2" s="2577"/>
      <c r="I2" s="2577"/>
      <c r="J2" s="2577"/>
      <c r="K2" s="2577"/>
      <c r="L2" s="2577"/>
      <c r="M2" s="2577"/>
      <c r="N2" s="2577"/>
      <c r="O2" s="2577"/>
      <c r="P2" s="2578"/>
    </row>
    <row r="3" spans="1:16" s="34" customFormat="1" ht="12.75" customHeight="1" thickBot="1" x14ac:dyDescent="0.25">
      <c r="A3" s="1526" t="str">
        <f>'Sec 94'!C18</f>
        <v>2014/15</v>
      </c>
      <c r="B3" s="40" t="str">
        <f>'Sec 94'!E18</f>
        <v>2015/16</v>
      </c>
      <c r="C3" s="1257" t="s">
        <v>1587</v>
      </c>
      <c r="D3" s="2052" t="s">
        <v>2617</v>
      </c>
      <c r="E3" s="68"/>
      <c r="F3" s="40" t="str">
        <f>'Sec 94'!G18</f>
        <v>2017/18</v>
      </c>
      <c r="G3" s="40" t="str">
        <f>'Sec 94'!H18</f>
        <v>2018/19</v>
      </c>
      <c r="H3" s="40" t="str">
        <f>'Sec 94'!I18</f>
        <v>2019/20</v>
      </c>
      <c r="I3" s="40" t="str">
        <f>'Sec 94'!J18</f>
        <v>2020/21</v>
      </c>
      <c r="J3" s="40" t="str">
        <f>'Sec 94'!K18</f>
        <v>2021/22</v>
      </c>
      <c r="K3" s="40" t="str">
        <f>'Sec 94'!L18</f>
        <v>2022/23</v>
      </c>
      <c r="L3" s="40" t="str">
        <f>'Sec 94'!M18</f>
        <v>2023/24</v>
      </c>
      <c r="M3" s="1257" t="str">
        <f>'Sec 94'!N18</f>
        <v>2024/25</v>
      </c>
      <c r="N3" s="40" t="str">
        <f>'Sec 94'!O18</f>
        <v>2025/26</v>
      </c>
      <c r="O3" s="40" t="str">
        <f>'Sec 94'!P18</f>
        <v>2026/27</v>
      </c>
      <c r="P3" s="1620" t="str">
        <f>'Sec 94'!Q18</f>
        <v>2027/28</v>
      </c>
    </row>
    <row r="4" spans="1:16" s="34" customFormat="1" x14ac:dyDescent="0.2">
      <c r="A4" s="528"/>
      <c r="B4" s="150"/>
      <c r="C4" s="152"/>
      <c r="D4" s="2053"/>
      <c r="E4" s="9"/>
      <c r="F4" s="150"/>
      <c r="G4" s="150"/>
      <c r="H4" s="150"/>
      <c r="I4" s="150"/>
      <c r="J4" s="150"/>
      <c r="K4" s="150"/>
      <c r="L4" s="150"/>
      <c r="M4" s="152"/>
      <c r="N4" s="150"/>
      <c r="O4" s="150"/>
      <c r="P4" s="381"/>
    </row>
    <row r="5" spans="1:16" s="34" customFormat="1" x14ac:dyDescent="0.2">
      <c r="A5" s="528"/>
      <c r="B5" s="150"/>
      <c r="C5" s="152"/>
      <c r="D5" s="2053"/>
      <c r="E5" s="63" t="s">
        <v>3340</v>
      </c>
      <c r="F5" s="150"/>
      <c r="G5" s="150"/>
      <c r="H5" s="150"/>
      <c r="I5" s="150"/>
      <c r="J5" s="150"/>
      <c r="K5" s="150"/>
      <c r="L5" s="150"/>
      <c r="M5" s="152"/>
      <c r="N5" s="150"/>
      <c r="O5" s="150"/>
      <c r="P5" s="381"/>
    </row>
    <row r="6" spans="1:16" s="34" customFormat="1" x14ac:dyDescent="0.2">
      <c r="A6" s="1527"/>
      <c r="B6" s="822">
        <v>20000</v>
      </c>
      <c r="C6" s="152"/>
      <c r="D6" s="883" t="s">
        <v>5830</v>
      </c>
      <c r="E6" s="79" t="s">
        <v>5831</v>
      </c>
      <c r="F6" s="150"/>
      <c r="G6" s="150"/>
      <c r="H6" s="9"/>
      <c r="I6" s="150"/>
      <c r="J6" s="150"/>
      <c r="K6" s="150"/>
      <c r="L6" s="150"/>
      <c r="M6" s="152"/>
      <c r="N6" s="150"/>
      <c r="O6" s="150"/>
      <c r="P6" s="381"/>
    </row>
    <row r="7" spans="1:16" s="34" customFormat="1" x14ac:dyDescent="0.2">
      <c r="A7" s="1527"/>
      <c r="B7" s="1525"/>
      <c r="C7" s="152"/>
      <c r="D7" s="883"/>
      <c r="E7" s="79" t="s">
        <v>6651</v>
      </c>
      <c r="F7" s="150"/>
      <c r="G7" s="150"/>
      <c r="H7" s="9"/>
      <c r="I7" s="150"/>
      <c r="J7" s="150"/>
      <c r="K7" s="150"/>
      <c r="L7" s="150"/>
      <c r="M7" s="152"/>
      <c r="N7" s="150"/>
      <c r="O7" s="150"/>
      <c r="P7" s="381"/>
    </row>
    <row r="8" spans="1:16" s="34" customFormat="1" x14ac:dyDescent="0.2">
      <c r="A8" s="1527">
        <v>180000</v>
      </c>
      <c r="B8" s="150"/>
      <c r="C8" s="152"/>
      <c r="D8" s="883" t="s">
        <v>4923</v>
      </c>
      <c r="E8" s="79" t="s">
        <v>5512</v>
      </c>
      <c r="F8" s="150"/>
      <c r="G8" s="150"/>
      <c r="H8" s="9"/>
      <c r="I8" s="150"/>
      <c r="J8" s="150"/>
      <c r="K8" s="150"/>
      <c r="L8" s="150"/>
      <c r="M8" s="152"/>
      <c r="N8" s="150"/>
      <c r="O8" s="150"/>
      <c r="P8" s="381"/>
    </row>
    <row r="9" spans="1:16" s="34" customFormat="1" x14ac:dyDescent="0.2">
      <c r="A9" s="1527"/>
      <c r="B9" s="150"/>
      <c r="C9" s="152"/>
      <c r="D9" s="883"/>
      <c r="E9" s="79"/>
      <c r="F9" s="150"/>
      <c r="G9" s="150"/>
      <c r="H9" s="9"/>
      <c r="I9" s="150"/>
      <c r="J9" s="150"/>
      <c r="K9" s="150"/>
      <c r="L9" s="150"/>
      <c r="M9" s="152"/>
      <c r="N9" s="150"/>
      <c r="O9" s="150"/>
      <c r="P9" s="381"/>
    </row>
    <row r="10" spans="1:16" s="34" customFormat="1" x14ac:dyDescent="0.2">
      <c r="A10" s="1527"/>
      <c r="B10" s="150"/>
      <c r="C10" s="152"/>
      <c r="D10" s="883"/>
      <c r="E10" s="63" t="s">
        <v>7026</v>
      </c>
      <c r="F10" s="150"/>
      <c r="G10" s="150"/>
      <c r="H10" s="9"/>
      <c r="I10" s="150"/>
      <c r="J10" s="150"/>
      <c r="K10" s="150"/>
      <c r="L10" s="150"/>
      <c r="M10" s="152"/>
      <c r="N10" s="150"/>
      <c r="O10" s="150"/>
      <c r="P10" s="381"/>
    </row>
    <row r="11" spans="1:16" s="34" customFormat="1" x14ac:dyDescent="0.2">
      <c r="A11" s="1527"/>
      <c r="B11" s="150"/>
      <c r="C11" s="1135">
        <v>40000</v>
      </c>
      <c r="D11" s="883" t="s">
        <v>11807</v>
      </c>
      <c r="E11" s="79" t="s">
        <v>11934</v>
      </c>
      <c r="F11" s="150"/>
      <c r="G11" s="150"/>
      <c r="H11" s="9"/>
      <c r="I11" s="150"/>
      <c r="J11" s="150"/>
      <c r="K11" s="150"/>
      <c r="L11" s="150"/>
      <c r="M11" s="152"/>
      <c r="N11" s="150"/>
      <c r="O11" s="150"/>
      <c r="P11" s="381"/>
    </row>
    <row r="12" spans="1:16" s="34" customFormat="1" x14ac:dyDescent="0.2">
      <c r="A12" s="1527"/>
      <c r="B12" s="150"/>
      <c r="C12" s="152"/>
      <c r="D12" s="883"/>
      <c r="E12" s="79"/>
      <c r="F12" s="150"/>
      <c r="G12" s="150"/>
      <c r="H12" s="9"/>
      <c r="I12" s="150"/>
      <c r="J12" s="150"/>
      <c r="K12" s="150"/>
      <c r="L12" s="150"/>
      <c r="M12" s="152"/>
      <c r="N12" s="150"/>
      <c r="O12" s="150"/>
      <c r="P12" s="381"/>
    </row>
    <row r="13" spans="1:16" s="34" customFormat="1" x14ac:dyDescent="0.2">
      <c r="A13" s="1440"/>
      <c r="B13" s="134"/>
      <c r="C13" s="152"/>
      <c r="D13" s="1152"/>
      <c r="E13" s="21" t="s">
        <v>2886</v>
      </c>
      <c r="F13" s="9"/>
      <c r="G13" s="9"/>
      <c r="H13" s="9"/>
      <c r="I13" s="9"/>
      <c r="J13" s="9"/>
      <c r="K13" s="9"/>
      <c r="L13" s="9"/>
      <c r="M13" s="89"/>
      <c r="N13" s="9"/>
      <c r="O13" s="9"/>
      <c r="P13" s="61"/>
    </row>
    <row r="14" spans="1:16" s="34" customFormat="1" x14ac:dyDescent="0.2">
      <c r="A14" s="1440">
        <f>550000+50000</f>
        <v>600000</v>
      </c>
      <c r="B14" s="134"/>
      <c r="C14" s="1523"/>
      <c r="D14" s="1272" t="s">
        <v>3399</v>
      </c>
      <c r="E14" s="79" t="s">
        <v>5513</v>
      </c>
      <c r="F14" s="9"/>
      <c r="G14" s="9"/>
      <c r="H14" s="9"/>
      <c r="I14" s="9"/>
      <c r="J14" s="9"/>
      <c r="K14" s="9"/>
      <c r="L14" s="9"/>
      <c r="M14" s="89"/>
      <c r="N14" s="9"/>
      <c r="O14" s="9"/>
      <c r="P14" s="61"/>
    </row>
    <row r="15" spans="1:16" s="34" customFormat="1" x14ac:dyDescent="0.2">
      <c r="A15" s="1440"/>
      <c r="B15" s="134"/>
      <c r="C15" s="1523"/>
      <c r="D15" s="1272"/>
      <c r="E15" s="79"/>
      <c r="F15" s="9"/>
      <c r="G15" s="9"/>
      <c r="H15" s="9"/>
      <c r="I15" s="9"/>
      <c r="J15" s="9"/>
      <c r="K15" s="9"/>
      <c r="L15" s="9"/>
      <c r="M15" s="89"/>
      <c r="N15" s="9"/>
      <c r="O15" s="9"/>
      <c r="P15" s="61"/>
    </row>
    <row r="16" spans="1:16" s="34" customFormat="1" x14ac:dyDescent="0.2">
      <c r="A16" s="1440"/>
      <c r="B16" s="134"/>
      <c r="C16" s="152"/>
      <c r="D16" s="1152"/>
      <c r="E16" s="21" t="s">
        <v>1393</v>
      </c>
      <c r="F16" s="9"/>
      <c r="G16" s="9"/>
      <c r="H16" s="9"/>
      <c r="I16" s="9"/>
      <c r="J16" s="9"/>
      <c r="K16" s="9"/>
      <c r="L16" s="9"/>
      <c r="M16" s="89"/>
      <c r="N16" s="9"/>
      <c r="O16" s="9"/>
      <c r="P16" s="61"/>
    </row>
    <row r="17" spans="1:16" s="34" customFormat="1" x14ac:dyDescent="0.2">
      <c r="A17" s="1440"/>
      <c r="B17" s="134">
        <v>2207000</v>
      </c>
      <c r="C17" s="1523">
        <v>400</v>
      </c>
      <c r="D17" s="1272" t="s">
        <v>6281</v>
      </c>
      <c r="E17" s="79" t="s">
        <v>6957</v>
      </c>
      <c r="F17" s="9">
        <f>4500000-F18</f>
        <v>3500000</v>
      </c>
      <c r="G17" s="9"/>
      <c r="H17" s="9"/>
      <c r="I17" s="9"/>
      <c r="J17" s="9"/>
      <c r="K17" s="9"/>
      <c r="L17" s="9"/>
      <c r="M17" s="9"/>
      <c r="N17" s="9"/>
      <c r="O17" s="9"/>
      <c r="P17" s="61"/>
    </row>
    <row r="18" spans="1:16" s="34" customFormat="1" x14ac:dyDescent="0.2">
      <c r="A18" s="1440"/>
      <c r="B18" s="134"/>
      <c r="C18" s="1523"/>
      <c r="D18" s="1272" t="s">
        <v>6281</v>
      </c>
      <c r="E18" s="79" t="s">
        <v>6957</v>
      </c>
      <c r="F18" s="9">
        <v>1000000</v>
      </c>
      <c r="G18" s="9"/>
      <c r="H18" s="9"/>
      <c r="I18" s="9"/>
      <c r="J18" s="9"/>
      <c r="K18" s="9"/>
      <c r="L18" s="9"/>
      <c r="M18" s="89"/>
      <c r="N18" s="9"/>
      <c r="O18" s="9"/>
      <c r="P18" s="61"/>
    </row>
    <row r="19" spans="1:16" s="34" customFormat="1" x14ac:dyDescent="0.2">
      <c r="A19" s="1440"/>
      <c r="B19" s="134">
        <v>84400</v>
      </c>
      <c r="C19" s="1523">
        <v>0</v>
      </c>
      <c r="D19" s="1272" t="s">
        <v>6630</v>
      </c>
      <c r="E19" s="79" t="s">
        <v>6956</v>
      </c>
      <c r="F19" s="9"/>
      <c r="G19" s="9"/>
      <c r="H19" s="9"/>
      <c r="I19" s="9"/>
      <c r="J19" s="9"/>
      <c r="K19" s="9"/>
      <c r="L19" s="9"/>
      <c r="M19" s="89"/>
      <c r="N19" s="9"/>
      <c r="O19" s="9"/>
      <c r="P19" s="61"/>
    </row>
    <row r="20" spans="1:16" s="34" customFormat="1" x14ac:dyDescent="0.2">
      <c r="A20" s="1440"/>
      <c r="B20" s="134"/>
      <c r="C20" s="1523"/>
      <c r="D20" s="1272"/>
      <c r="E20" s="79"/>
      <c r="F20" s="9"/>
      <c r="G20" s="9"/>
      <c r="H20" s="9"/>
      <c r="I20" s="9"/>
      <c r="J20" s="9"/>
      <c r="K20" s="9"/>
      <c r="L20" s="9"/>
      <c r="M20" s="89"/>
      <c r="N20" s="9"/>
      <c r="O20" s="9"/>
      <c r="P20" s="61"/>
    </row>
    <row r="21" spans="1:16" s="34" customFormat="1" x14ac:dyDescent="0.2">
      <c r="A21" s="1440"/>
      <c r="B21" s="134"/>
      <c r="C21" s="152"/>
      <c r="D21" s="1152"/>
      <c r="E21" s="63" t="s">
        <v>978</v>
      </c>
      <c r="F21" s="9"/>
      <c r="G21" s="9"/>
      <c r="H21" s="9"/>
      <c r="I21" s="9"/>
      <c r="J21" s="9"/>
      <c r="K21" s="9"/>
      <c r="L21" s="9"/>
      <c r="M21" s="89"/>
      <c r="N21" s="9"/>
      <c r="O21" s="9"/>
      <c r="P21" s="61"/>
    </row>
    <row r="22" spans="1:16" s="34" customFormat="1" x14ac:dyDescent="0.2">
      <c r="A22" s="1440"/>
      <c r="B22" s="134"/>
      <c r="C22" s="1203">
        <v>95000</v>
      </c>
      <c r="D22" s="1272" t="s">
        <v>5062</v>
      </c>
      <c r="E22" s="79" t="s">
        <v>11935</v>
      </c>
      <c r="F22" s="9">
        <f>128900+53000</f>
        <v>181900</v>
      </c>
      <c r="G22" s="9"/>
      <c r="H22" s="9"/>
      <c r="I22" s="9"/>
      <c r="J22" s="9"/>
      <c r="K22" s="9"/>
      <c r="L22" s="9"/>
      <c r="M22" s="89"/>
      <c r="N22" s="9"/>
      <c r="O22" s="9"/>
      <c r="P22" s="61"/>
    </row>
    <row r="23" spans="1:16" s="34" customFormat="1" x14ac:dyDescent="0.2">
      <c r="A23" s="1440"/>
      <c r="B23" s="134"/>
      <c r="C23" s="1523"/>
      <c r="D23" s="1272"/>
      <c r="E23" s="79"/>
      <c r="F23" s="9"/>
      <c r="G23" s="9"/>
      <c r="H23" s="9"/>
      <c r="I23" s="9"/>
      <c r="J23" s="9"/>
      <c r="K23" s="9"/>
      <c r="L23" s="9"/>
      <c r="M23" s="89"/>
      <c r="N23" s="9"/>
      <c r="O23" s="9"/>
      <c r="P23" s="61"/>
    </row>
    <row r="24" spans="1:16" s="34" customFormat="1" x14ac:dyDescent="0.2">
      <c r="A24" s="1440"/>
      <c r="B24" s="134"/>
      <c r="C24" s="1523"/>
      <c r="D24" s="1152"/>
      <c r="E24" s="63" t="s">
        <v>3672</v>
      </c>
      <c r="F24" s="9"/>
      <c r="G24" s="9"/>
      <c r="H24" s="9"/>
      <c r="I24" s="9"/>
      <c r="J24" s="9"/>
      <c r="K24" s="9"/>
      <c r="L24" s="9"/>
      <c r="M24" s="89"/>
      <c r="N24" s="9"/>
      <c r="O24" s="9"/>
      <c r="P24" s="61"/>
    </row>
    <row r="25" spans="1:16" s="34" customFormat="1" x14ac:dyDescent="0.2">
      <c r="A25" s="1440">
        <v>103800</v>
      </c>
      <c r="B25" s="134">
        <f>'W&amp;W'!D216+'W&amp;W'!D404+CIV!D2005+CIV!D1827</f>
        <v>330000</v>
      </c>
      <c r="C25" s="136">
        <v>106400</v>
      </c>
      <c r="D25" s="883" t="s">
        <v>6282</v>
      </c>
      <c r="E25" s="79" t="s">
        <v>11936</v>
      </c>
      <c r="F25" s="134">
        <f>'W&amp;W'!H216+'W&amp;W'!H404+CIV!H2005+CIV!H1827</f>
        <v>107900</v>
      </c>
      <c r="G25" s="134">
        <f>'W&amp;W'!J216+'W&amp;W'!J404+CIV!J2005+CIV!J1827</f>
        <v>109900</v>
      </c>
      <c r="H25" s="134">
        <f>'W&amp;W'!K216+'W&amp;W'!K404+CIV!K2005+CIV!K1827</f>
        <v>112100</v>
      </c>
      <c r="I25" s="134">
        <f>'W&amp;W'!L216+'W&amp;W'!L404+CIV!L2005+CIV!L1827</f>
        <v>114400</v>
      </c>
      <c r="J25" s="134">
        <f>'W&amp;W'!M216+'W&amp;W'!M404+CIV!M2005+CIV!M1827</f>
        <v>116800</v>
      </c>
      <c r="K25" s="134">
        <f>'W&amp;W'!N216+'W&amp;W'!N404+CIV!N2005+CIV!N1827</f>
        <v>119200</v>
      </c>
      <c r="L25" s="134">
        <f>'W&amp;W'!O216+'W&amp;W'!O404+CIV!O2005+CIV!O1827</f>
        <v>121600</v>
      </c>
      <c r="M25" s="89">
        <f>'W&amp;W'!P216+'W&amp;W'!P404+CIV!P2005+CIV!P1827</f>
        <v>124200</v>
      </c>
      <c r="N25" s="9">
        <f>'W&amp;W'!Q216+'W&amp;W'!Q404+CIV!Q2005+CIV!Q1827</f>
        <v>126800</v>
      </c>
      <c r="O25" s="9">
        <f>'W&amp;W'!R216+'W&amp;W'!R404+CIV!R2005+CIV!R1827</f>
        <v>129400</v>
      </c>
      <c r="P25" s="61">
        <f>'W&amp;W'!S216+'W&amp;W'!S404+CIV!S2005+CIV!S1827</f>
        <v>132200</v>
      </c>
    </row>
    <row r="26" spans="1:16" s="34" customFormat="1" x14ac:dyDescent="0.2">
      <c r="A26" s="1440"/>
      <c r="B26" s="134"/>
      <c r="C26" s="136">
        <v>450600</v>
      </c>
      <c r="D26" s="883" t="s">
        <v>6283</v>
      </c>
      <c r="E26" s="79" t="s">
        <v>11937</v>
      </c>
      <c r="F26" s="134"/>
      <c r="G26" s="134"/>
      <c r="H26" s="134"/>
      <c r="I26" s="134"/>
      <c r="J26" s="134"/>
      <c r="K26" s="134"/>
      <c r="L26" s="134"/>
      <c r="M26" s="89"/>
      <c r="N26" s="9"/>
      <c r="O26" s="9"/>
      <c r="P26" s="61"/>
    </row>
    <row r="27" spans="1:16" s="34" customFormat="1" x14ac:dyDescent="0.2">
      <c r="A27" s="1440"/>
      <c r="B27" s="134"/>
      <c r="C27" s="136"/>
      <c r="D27" s="883"/>
      <c r="E27" s="79"/>
      <c r="F27" s="134"/>
      <c r="G27" s="134"/>
      <c r="H27" s="134"/>
      <c r="I27" s="134"/>
      <c r="J27" s="134"/>
      <c r="K27" s="134"/>
      <c r="L27" s="134"/>
      <c r="M27" s="89"/>
      <c r="N27" s="9"/>
      <c r="O27" s="9"/>
      <c r="P27" s="61"/>
    </row>
    <row r="28" spans="1:16" s="34" customFormat="1" x14ac:dyDescent="0.2">
      <c r="A28" s="1440"/>
      <c r="B28" s="134"/>
      <c r="C28" s="136"/>
      <c r="D28" s="883"/>
      <c r="E28" s="63" t="s">
        <v>3788</v>
      </c>
      <c r="F28" s="9"/>
      <c r="G28" s="9"/>
      <c r="H28" s="9"/>
      <c r="I28" s="9"/>
      <c r="J28" s="9"/>
      <c r="K28" s="9"/>
      <c r="L28" s="9"/>
      <c r="M28" s="89"/>
      <c r="N28" s="9"/>
      <c r="O28" s="9"/>
      <c r="P28" s="61"/>
    </row>
    <row r="29" spans="1:16" s="34" customFormat="1" x14ac:dyDescent="0.2">
      <c r="A29" s="1440">
        <f>318200+31800</f>
        <v>350000</v>
      </c>
      <c r="B29" s="134"/>
      <c r="C29" s="136"/>
      <c r="D29" s="883" t="s">
        <v>3940</v>
      </c>
      <c r="E29" s="79" t="s">
        <v>4647</v>
      </c>
      <c r="F29" s="9"/>
      <c r="G29" s="9"/>
      <c r="H29" s="9"/>
      <c r="I29" s="9"/>
      <c r="J29" s="9"/>
      <c r="K29" s="9"/>
      <c r="L29" s="9"/>
      <c r="M29" s="89"/>
      <c r="N29" s="9"/>
      <c r="O29" s="9"/>
      <c r="P29" s="61"/>
    </row>
    <row r="30" spans="1:16" s="34" customFormat="1" x14ac:dyDescent="0.2">
      <c r="A30" s="1440"/>
      <c r="B30" s="134">
        <f>1000000-800000</f>
        <v>200000</v>
      </c>
      <c r="C30" s="136">
        <v>412500</v>
      </c>
      <c r="D30" s="1272" t="s">
        <v>6363</v>
      </c>
      <c r="E30" s="79" t="s">
        <v>3237</v>
      </c>
      <c r="F30" s="9"/>
      <c r="G30" s="9"/>
      <c r="H30" s="9"/>
      <c r="I30" s="9"/>
      <c r="J30" s="9"/>
      <c r="K30" s="9"/>
      <c r="L30" s="9"/>
      <c r="M30" s="89"/>
      <c r="N30" s="9"/>
      <c r="O30" s="9"/>
      <c r="P30" s="61"/>
    </row>
    <row r="31" spans="1:16" s="34" customFormat="1" x14ac:dyDescent="0.2">
      <c r="A31" s="1440"/>
      <c r="B31" s="134">
        <v>247700</v>
      </c>
      <c r="C31" s="136">
        <v>-32700</v>
      </c>
      <c r="D31" s="883" t="s">
        <v>6364</v>
      </c>
      <c r="E31" s="79" t="s">
        <v>11938</v>
      </c>
      <c r="F31" s="9"/>
      <c r="G31" s="9"/>
      <c r="H31" s="9"/>
      <c r="I31" s="9"/>
      <c r="J31" s="9"/>
      <c r="K31" s="9"/>
      <c r="L31" s="9"/>
      <c r="M31" s="89"/>
      <c r="N31" s="9"/>
      <c r="O31" s="9"/>
      <c r="P31" s="61"/>
    </row>
    <row r="32" spans="1:16" s="34" customFormat="1" x14ac:dyDescent="0.2">
      <c r="A32" s="1440"/>
      <c r="B32" s="134"/>
      <c r="C32" s="136"/>
      <c r="D32" s="883" t="s">
        <v>6388</v>
      </c>
      <c r="E32" s="79" t="s">
        <v>6675</v>
      </c>
      <c r="F32" s="9"/>
      <c r="G32" s="9"/>
      <c r="H32" s="9"/>
      <c r="I32" s="9"/>
      <c r="J32" s="9"/>
      <c r="K32" s="9"/>
      <c r="L32" s="9"/>
      <c r="M32" s="89"/>
      <c r="N32" s="9"/>
      <c r="O32" s="9"/>
      <c r="P32" s="61"/>
    </row>
    <row r="33" spans="1:16" s="34" customFormat="1" x14ac:dyDescent="0.2">
      <c r="A33" s="1440"/>
      <c r="B33" s="134"/>
      <c r="C33" s="136">
        <v>637500</v>
      </c>
      <c r="D33" s="883" t="s">
        <v>6387</v>
      </c>
      <c r="E33" s="79" t="s">
        <v>3237</v>
      </c>
      <c r="F33" s="9"/>
      <c r="G33" s="9"/>
      <c r="H33" s="9"/>
      <c r="I33" s="9"/>
      <c r="J33" s="9"/>
      <c r="K33" s="9"/>
      <c r="L33" s="9"/>
      <c r="M33" s="89"/>
      <c r="N33" s="9"/>
      <c r="O33" s="9"/>
      <c r="P33" s="61"/>
    </row>
    <row r="34" spans="1:16" s="34" customFormat="1" x14ac:dyDescent="0.2">
      <c r="A34" s="1440">
        <v>136400</v>
      </c>
      <c r="B34" s="134"/>
      <c r="C34" s="136"/>
      <c r="D34" s="1152"/>
      <c r="E34" s="79" t="s">
        <v>4646</v>
      </c>
      <c r="F34" s="9"/>
      <c r="G34" s="9"/>
      <c r="H34" s="9"/>
      <c r="I34" s="9"/>
      <c r="J34" s="9"/>
      <c r="K34" s="9"/>
      <c r="L34" s="9"/>
      <c r="M34" s="89"/>
      <c r="N34" s="9"/>
      <c r="O34" s="9"/>
      <c r="P34" s="61"/>
    </row>
    <row r="35" spans="1:16" s="34" customFormat="1" x14ac:dyDescent="0.2">
      <c r="A35" s="1440"/>
      <c r="B35" s="134"/>
      <c r="C35" s="136">
        <v>7000</v>
      </c>
      <c r="D35" s="883" t="s">
        <v>6857</v>
      </c>
      <c r="E35" s="79" t="s">
        <v>11939</v>
      </c>
      <c r="F35" s="9"/>
      <c r="G35" s="9"/>
      <c r="H35" s="9"/>
      <c r="I35" s="9"/>
      <c r="J35" s="9"/>
      <c r="K35" s="9"/>
      <c r="L35" s="9"/>
      <c r="M35" s="89"/>
      <c r="N35" s="9"/>
      <c r="O35" s="9"/>
      <c r="P35" s="61"/>
    </row>
    <row r="36" spans="1:16" s="34" customFormat="1" x14ac:dyDescent="0.2">
      <c r="A36" s="1440"/>
      <c r="B36" s="134"/>
      <c r="C36" s="136"/>
      <c r="D36" s="1152"/>
      <c r="E36" s="79"/>
      <c r="F36" s="9"/>
      <c r="G36" s="9"/>
      <c r="H36" s="9"/>
      <c r="I36" s="9"/>
      <c r="J36" s="9"/>
      <c r="K36" s="9"/>
      <c r="L36" s="9"/>
      <c r="M36" s="89"/>
      <c r="N36" s="9"/>
      <c r="O36" s="9"/>
      <c r="P36" s="61"/>
    </row>
    <row r="37" spans="1:16" s="34" customFormat="1" x14ac:dyDescent="0.2">
      <c r="A37" s="1440"/>
      <c r="B37" s="134"/>
      <c r="C37" s="136"/>
      <c r="D37" s="1156"/>
      <c r="E37" s="21" t="s">
        <v>813</v>
      </c>
      <c r="F37" s="9"/>
      <c r="G37" s="9"/>
      <c r="H37" s="9"/>
      <c r="I37" s="9"/>
      <c r="J37" s="9"/>
      <c r="K37" s="9"/>
      <c r="L37" s="9"/>
      <c r="M37" s="89"/>
      <c r="N37" s="9"/>
      <c r="O37" s="9"/>
      <c r="P37" s="61"/>
    </row>
    <row r="38" spans="1:16" s="34" customFormat="1" x14ac:dyDescent="0.2">
      <c r="A38" s="1440"/>
      <c r="B38" s="134">
        <v>200000</v>
      </c>
      <c r="C38" s="136"/>
      <c r="D38" s="694" t="s">
        <v>5463</v>
      </c>
      <c r="E38" s="79" t="s">
        <v>5464</v>
      </c>
      <c r="F38" s="9"/>
      <c r="G38" s="9"/>
      <c r="H38" s="9"/>
      <c r="I38" s="9"/>
      <c r="J38" s="9"/>
      <c r="K38" s="9"/>
      <c r="L38" s="9"/>
      <c r="M38" s="89"/>
      <c r="N38" s="9"/>
      <c r="O38" s="9"/>
      <c r="P38" s="61"/>
    </row>
    <row r="39" spans="1:16" s="34" customFormat="1" x14ac:dyDescent="0.2">
      <c r="A39" s="1440">
        <v>652000</v>
      </c>
      <c r="B39" s="134">
        <v>1194600</v>
      </c>
      <c r="C39" s="136"/>
      <c r="D39" s="1272" t="s">
        <v>659</v>
      </c>
      <c r="E39" s="79" t="s">
        <v>4769</v>
      </c>
      <c r="F39" s="9"/>
      <c r="G39" s="9"/>
      <c r="H39" s="9"/>
      <c r="I39" s="9"/>
      <c r="J39" s="9"/>
      <c r="K39" s="9"/>
      <c r="L39" s="9"/>
      <c r="M39" s="89"/>
      <c r="N39" s="9"/>
      <c r="O39" s="9"/>
      <c r="P39" s="61"/>
    </row>
    <row r="40" spans="1:16" s="34" customFormat="1" x14ac:dyDescent="0.2">
      <c r="A40" s="1440"/>
      <c r="B40" s="134">
        <v>202300</v>
      </c>
      <c r="C40" s="136">
        <v>174700</v>
      </c>
      <c r="D40" s="1272" t="s">
        <v>6284</v>
      </c>
      <c r="E40" s="79" t="s">
        <v>6367</v>
      </c>
      <c r="F40" s="9">
        <v>0</v>
      </c>
      <c r="G40" s="9">
        <v>182000</v>
      </c>
      <c r="H40" s="9">
        <v>185000</v>
      </c>
      <c r="I40" s="9">
        <f>ROUNDUP(H40+(H40*Assumptions!H$12),-2)</f>
        <v>188700</v>
      </c>
      <c r="J40" s="9">
        <f>ROUNDUP(I40+(I40*Assumptions!I$12),-2)</f>
        <v>192500</v>
      </c>
      <c r="K40" s="9">
        <f>ROUNDUP(J40+(J40*Assumptions!J$12),-2)</f>
        <v>196400</v>
      </c>
      <c r="L40" s="9">
        <f>ROUNDUP(K40+(K40*Assumptions!K$12),-2)</f>
        <v>200400</v>
      </c>
      <c r="M40" s="9">
        <f>ROUNDUP(L40+(L40*Assumptions!L$12),-2)</f>
        <v>204500</v>
      </c>
      <c r="N40" s="9">
        <f>ROUNDUP(M40+(M40*Assumptions!M$12),-2)</f>
        <v>208600</v>
      </c>
      <c r="O40" s="9">
        <f>ROUNDUP(N40+(N40*Assumptions!N$12),-2)</f>
        <v>212800</v>
      </c>
      <c r="P40" s="61">
        <f>ROUNDUP(O40+(O40*Assumptions!O$12),-2)</f>
        <v>217100</v>
      </c>
    </row>
    <row r="41" spans="1:16" s="34" customFormat="1" x14ac:dyDescent="0.2">
      <c r="A41" s="1440">
        <v>46500</v>
      </c>
      <c r="B41" s="134"/>
      <c r="C41" s="136"/>
      <c r="D41" s="1272" t="s">
        <v>4174</v>
      </c>
      <c r="E41" s="79" t="s">
        <v>4407</v>
      </c>
      <c r="F41" s="9"/>
      <c r="G41" s="9"/>
      <c r="H41" s="9"/>
      <c r="I41" s="9"/>
      <c r="J41" s="9"/>
      <c r="K41" s="9"/>
      <c r="L41" s="9"/>
      <c r="M41" s="89"/>
      <c r="N41" s="9"/>
      <c r="O41" s="9"/>
      <c r="P41" s="61"/>
    </row>
    <row r="42" spans="1:16" s="34" customFormat="1" x14ac:dyDescent="0.2">
      <c r="A42" s="1440">
        <v>320000</v>
      </c>
      <c r="B42" s="134"/>
      <c r="C42" s="136"/>
      <c r="D42" s="1272" t="s">
        <v>3455</v>
      </c>
      <c r="E42" s="79" t="s">
        <v>6676</v>
      </c>
      <c r="F42" s="9"/>
      <c r="G42" s="9"/>
      <c r="H42" s="9"/>
      <c r="I42" s="9"/>
      <c r="J42" s="9"/>
      <c r="K42" s="9"/>
      <c r="L42" s="9"/>
      <c r="M42" s="89"/>
      <c r="N42" s="9"/>
      <c r="O42" s="9"/>
      <c r="P42" s="61"/>
    </row>
    <row r="43" spans="1:16" s="34" customFormat="1" x14ac:dyDescent="0.2">
      <c r="A43" s="1440">
        <v>30000</v>
      </c>
      <c r="B43" s="134"/>
      <c r="C43" s="136"/>
      <c r="D43" s="1272"/>
      <c r="E43" s="79" t="s">
        <v>4648</v>
      </c>
      <c r="F43" s="9"/>
      <c r="G43" s="9"/>
      <c r="H43" s="9"/>
      <c r="I43" s="9"/>
      <c r="J43" s="9"/>
      <c r="K43" s="9"/>
      <c r="L43" s="9"/>
      <c r="M43" s="89"/>
      <c r="N43" s="9"/>
      <c r="O43" s="9"/>
      <c r="P43" s="61"/>
    </row>
    <row r="44" spans="1:16" s="34" customFormat="1" x14ac:dyDescent="0.2">
      <c r="A44" s="1440"/>
      <c r="B44" s="134"/>
      <c r="C44" s="136">
        <v>1503300</v>
      </c>
      <c r="D44" s="1272" t="s">
        <v>6358</v>
      </c>
      <c r="E44" s="79" t="s">
        <v>6354</v>
      </c>
      <c r="F44" s="9">
        <v>493800</v>
      </c>
      <c r="G44" s="9"/>
      <c r="H44" s="9"/>
      <c r="I44" s="9"/>
      <c r="J44" s="9"/>
      <c r="K44" s="9"/>
      <c r="L44" s="9"/>
      <c r="M44" s="89"/>
      <c r="N44" s="9"/>
      <c r="O44" s="9"/>
      <c r="P44" s="61"/>
    </row>
    <row r="45" spans="1:16" s="34" customFormat="1" x14ac:dyDescent="0.2">
      <c r="A45" s="1440"/>
      <c r="B45" s="134">
        <v>1004000</v>
      </c>
      <c r="C45" s="136">
        <v>1000000</v>
      </c>
      <c r="D45" s="1272" t="s">
        <v>11791</v>
      </c>
      <c r="E45" s="79" t="s">
        <v>6244</v>
      </c>
      <c r="F45" s="9"/>
      <c r="G45" s="9"/>
      <c r="H45" s="9"/>
      <c r="I45" s="9"/>
      <c r="J45" s="9"/>
      <c r="K45" s="9"/>
      <c r="L45" s="9"/>
      <c r="M45" s="89"/>
      <c r="N45" s="9"/>
      <c r="O45" s="9"/>
      <c r="P45" s="61"/>
    </row>
    <row r="46" spans="1:16" s="34" customFormat="1" x14ac:dyDescent="0.2">
      <c r="A46" s="1440"/>
      <c r="B46" s="134"/>
      <c r="C46" s="144"/>
      <c r="D46" s="1394" t="s">
        <v>11850</v>
      </c>
      <c r="E46" s="79" t="s">
        <v>6689</v>
      </c>
      <c r="F46" s="9">
        <f>3000000-3000000</f>
        <v>0</v>
      </c>
      <c r="G46" s="9">
        <v>3000000</v>
      </c>
      <c r="H46" s="9"/>
      <c r="I46" s="9"/>
      <c r="J46" s="9"/>
      <c r="K46" s="9"/>
      <c r="L46" s="9"/>
      <c r="M46" s="89"/>
      <c r="N46" s="9"/>
      <c r="O46" s="9"/>
      <c r="P46" s="61"/>
    </row>
    <row r="47" spans="1:16" s="34" customFormat="1" x14ac:dyDescent="0.2">
      <c r="A47" s="1440"/>
      <c r="B47" s="134">
        <v>6100</v>
      </c>
      <c r="C47" s="144"/>
      <c r="D47" s="1394" t="s">
        <v>6627</v>
      </c>
      <c r="E47" s="79" t="s">
        <v>6677</v>
      </c>
      <c r="F47" s="9"/>
      <c r="G47" s="9"/>
      <c r="H47" s="9"/>
      <c r="I47" s="9"/>
      <c r="J47" s="9"/>
      <c r="K47" s="9"/>
      <c r="L47" s="9"/>
      <c r="M47" s="89"/>
      <c r="N47" s="9"/>
      <c r="O47" s="9"/>
      <c r="P47" s="61"/>
    </row>
    <row r="48" spans="1:16" s="34" customFormat="1" x14ac:dyDescent="0.2">
      <c r="A48" s="1440"/>
      <c r="B48" s="134"/>
      <c r="C48" s="144"/>
      <c r="D48" s="1394" t="s">
        <v>11851</v>
      </c>
      <c r="E48" s="58" t="s">
        <v>11940</v>
      </c>
      <c r="F48" s="9">
        <v>1992400</v>
      </c>
      <c r="G48" s="9"/>
      <c r="H48" s="9"/>
      <c r="I48" s="9"/>
      <c r="J48" s="9"/>
      <c r="K48" s="9"/>
      <c r="L48" s="9"/>
      <c r="M48" s="89"/>
      <c r="N48" s="9"/>
      <c r="O48" s="9"/>
      <c r="P48" s="61"/>
    </row>
    <row r="49" spans="1:16" s="34" customFormat="1" x14ac:dyDescent="0.2">
      <c r="A49" s="1440"/>
      <c r="B49" s="134"/>
      <c r="C49" s="144"/>
      <c r="D49" s="1394" t="s">
        <v>11856</v>
      </c>
      <c r="E49" s="2380" t="s">
        <v>11941</v>
      </c>
      <c r="F49" s="9">
        <v>50000</v>
      </c>
      <c r="G49" s="9"/>
      <c r="H49" s="9"/>
      <c r="I49" s="9"/>
      <c r="J49" s="9"/>
      <c r="K49" s="9"/>
      <c r="L49" s="9"/>
      <c r="M49" s="89"/>
      <c r="N49" s="9"/>
      <c r="O49" s="9"/>
      <c r="P49" s="61"/>
    </row>
    <row r="50" spans="1:16" s="34" customFormat="1" ht="13.5" thickBot="1" x14ac:dyDescent="0.25">
      <c r="A50" s="2381"/>
      <c r="B50" s="530"/>
      <c r="C50" s="148"/>
      <c r="D50" s="2382"/>
      <c r="E50" s="23"/>
      <c r="F50" s="23"/>
      <c r="G50" s="23"/>
      <c r="H50" s="23"/>
      <c r="I50" s="23"/>
      <c r="J50" s="23"/>
      <c r="K50" s="23"/>
      <c r="L50" s="23"/>
      <c r="M50" s="113"/>
      <c r="N50" s="23"/>
      <c r="O50" s="23"/>
      <c r="P50" s="112"/>
    </row>
    <row r="51" spans="1:16" s="38" customFormat="1" ht="18.75" customHeight="1" thickTop="1" thickBot="1" x14ac:dyDescent="0.3">
      <c r="A51" s="2588" t="s">
        <v>4595</v>
      </c>
      <c r="B51" s="2589"/>
      <c r="C51" s="2589"/>
      <c r="D51" s="2589"/>
      <c r="E51" s="2589"/>
      <c r="F51" s="2589"/>
      <c r="G51" s="2589"/>
      <c r="H51" s="2589"/>
      <c r="I51" s="2589"/>
      <c r="J51" s="2589"/>
      <c r="K51" s="2589"/>
      <c r="L51" s="2589"/>
      <c r="M51" s="2589"/>
      <c r="N51" s="2589"/>
      <c r="O51" s="2589"/>
      <c r="P51" s="2590"/>
    </row>
    <row r="52" spans="1:16" s="39" customFormat="1" x14ac:dyDescent="0.2">
      <c r="A52" s="2598" t="s">
        <v>1824</v>
      </c>
      <c r="B52" s="2599"/>
      <c r="C52" s="2600"/>
      <c r="D52" s="2054" t="s">
        <v>2616</v>
      </c>
      <c r="E52" s="127" t="str">
        <f>$E$2</f>
        <v>BUDGET ITEMS</v>
      </c>
      <c r="F52" s="2576" t="s">
        <v>2215</v>
      </c>
      <c r="G52" s="2577"/>
      <c r="H52" s="2577"/>
      <c r="I52" s="2577"/>
      <c r="J52" s="2577"/>
      <c r="K52" s="2577"/>
      <c r="L52" s="2577"/>
      <c r="M52" s="2577"/>
      <c r="N52" s="2577"/>
      <c r="O52" s="2577"/>
      <c r="P52" s="2578"/>
    </row>
    <row r="53" spans="1:16" s="34" customFormat="1" ht="12.75" customHeight="1" thickBot="1" x14ac:dyDescent="0.25">
      <c r="A53" s="1526" t="str">
        <f>A3</f>
        <v>2014/15</v>
      </c>
      <c r="B53" s="40" t="str">
        <f>B3</f>
        <v>2015/16</v>
      </c>
      <c r="C53" s="40" t="str">
        <f>C3</f>
        <v>2016/17</v>
      </c>
      <c r="D53" s="162" t="str">
        <f>D3</f>
        <v>ACCOUNT</v>
      </c>
      <c r="E53" s="42"/>
      <c r="F53" s="40" t="str">
        <f t="shared" ref="F53:N53" si="0">F3</f>
        <v>2017/18</v>
      </c>
      <c r="G53" s="40" t="str">
        <f t="shared" si="0"/>
        <v>2018/19</v>
      </c>
      <c r="H53" s="40" t="str">
        <f t="shared" si="0"/>
        <v>2019/20</v>
      </c>
      <c r="I53" s="40" t="str">
        <f t="shared" si="0"/>
        <v>2020/21</v>
      </c>
      <c r="J53" s="40" t="str">
        <f t="shared" si="0"/>
        <v>2021/22</v>
      </c>
      <c r="K53" s="40" t="str">
        <f t="shared" si="0"/>
        <v>2022/23</v>
      </c>
      <c r="L53" s="40" t="str">
        <f t="shared" si="0"/>
        <v>2023/24</v>
      </c>
      <c r="M53" s="1257" t="str">
        <f t="shared" si="0"/>
        <v>2024/25</v>
      </c>
      <c r="N53" s="1257" t="str">
        <f t="shared" si="0"/>
        <v>2025/26</v>
      </c>
      <c r="O53" s="1257" t="str">
        <f t="shared" ref="O53:P53" si="1">O3</f>
        <v>2026/27</v>
      </c>
      <c r="P53" s="1620" t="str">
        <f t="shared" si="1"/>
        <v>2027/28</v>
      </c>
    </row>
    <row r="54" spans="1:16" s="34" customFormat="1" x14ac:dyDescent="0.2">
      <c r="A54" s="1440"/>
      <c r="B54" s="134"/>
      <c r="C54" s="134"/>
      <c r="D54" s="85"/>
      <c r="E54" s="75" t="s">
        <v>1302</v>
      </c>
      <c r="F54" s="9"/>
      <c r="G54" s="9"/>
      <c r="H54" s="9"/>
      <c r="I54" s="9"/>
      <c r="J54" s="9"/>
      <c r="K54" s="9"/>
      <c r="L54" s="9"/>
      <c r="M54" s="89"/>
      <c r="N54" s="89"/>
      <c r="O54" s="89"/>
      <c r="P54" s="61"/>
    </row>
    <row r="55" spans="1:16" s="34" customFormat="1" x14ac:dyDescent="0.2">
      <c r="A55" s="1440"/>
      <c r="B55" s="134">
        <v>200000</v>
      </c>
      <c r="C55" s="134"/>
      <c r="D55" s="578" t="s">
        <v>659</v>
      </c>
      <c r="E55" s="77" t="s">
        <v>5443</v>
      </c>
      <c r="F55" s="9"/>
      <c r="G55" s="9"/>
      <c r="H55" s="9"/>
      <c r="I55" s="9"/>
      <c r="J55" s="9"/>
      <c r="K55" s="9"/>
      <c r="L55" s="9"/>
      <c r="M55" s="89"/>
      <c r="N55" s="89"/>
      <c r="O55" s="89"/>
      <c r="P55" s="61"/>
    </row>
    <row r="56" spans="1:16" s="34" customFormat="1" x14ac:dyDescent="0.2">
      <c r="A56" s="1440"/>
      <c r="B56" s="134">
        <v>160000</v>
      </c>
      <c r="C56" s="134"/>
      <c r="D56" s="578" t="s">
        <v>659</v>
      </c>
      <c r="E56" s="77" t="s">
        <v>5444</v>
      </c>
      <c r="F56" s="9"/>
      <c r="G56" s="9"/>
      <c r="H56" s="9"/>
      <c r="I56" s="9"/>
      <c r="J56" s="9"/>
      <c r="K56" s="9"/>
      <c r="L56" s="9"/>
      <c r="M56" s="89"/>
      <c r="N56" s="89"/>
      <c r="O56" s="89"/>
      <c r="P56" s="61"/>
    </row>
    <row r="57" spans="1:16" s="34" customFormat="1" x14ac:dyDescent="0.2">
      <c r="A57" s="1440"/>
      <c r="B57" s="134">
        <v>152000</v>
      </c>
      <c r="C57" s="134"/>
      <c r="D57" s="578" t="s">
        <v>659</v>
      </c>
      <c r="E57" s="77" t="s">
        <v>5445</v>
      </c>
      <c r="F57" s="9"/>
      <c r="G57" s="9"/>
      <c r="H57" s="9"/>
      <c r="I57" s="9"/>
      <c r="J57" s="9"/>
      <c r="K57" s="9"/>
      <c r="L57" s="9"/>
      <c r="M57" s="89"/>
      <c r="N57" s="89"/>
      <c r="O57" s="89"/>
      <c r="P57" s="61"/>
    </row>
    <row r="58" spans="1:16" s="34" customFormat="1" x14ac:dyDescent="0.2">
      <c r="A58" s="1440"/>
      <c r="B58" s="134">
        <v>984600</v>
      </c>
      <c r="C58" s="134"/>
      <c r="D58" s="584" t="s">
        <v>5466</v>
      </c>
      <c r="E58" s="77" t="s">
        <v>5467</v>
      </c>
      <c r="F58" s="9"/>
      <c r="G58" s="9"/>
      <c r="H58" s="9"/>
      <c r="I58" s="9"/>
      <c r="J58" s="9"/>
      <c r="K58" s="9"/>
      <c r="L58" s="9"/>
      <c r="M58" s="89"/>
      <c r="N58" s="89"/>
      <c r="O58" s="89"/>
      <c r="P58" s="61"/>
    </row>
    <row r="59" spans="1:16" s="34" customFormat="1" x14ac:dyDescent="0.2">
      <c r="A59" s="1440">
        <v>192800</v>
      </c>
      <c r="B59" s="134"/>
      <c r="C59" s="134"/>
      <c r="D59" s="584" t="s">
        <v>3338</v>
      </c>
      <c r="E59" s="77" t="s">
        <v>3377</v>
      </c>
      <c r="F59" s="9"/>
      <c r="G59" s="9"/>
      <c r="H59" s="9"/>
      <c r="I59" s="9"/>
      <c r="J59" s="9"/>
      <c r="K59" s="9"/>
      <c r="L59" s="9"/>
      <c r="M59" s="89"/>
      <c r="N59" s="89"/>
      <c r="O59" s="89"/>
      <c r="P59" s="61"/>
    </row>
    <row r="60" spans="1:16" s="34" customFormat="1" x14ac:dyDescent="0.2">
      <c r="A60" s="1440"/>
      <c r="B60" s="134">
        <v>75000</v>
      </c>
      <c r="C60" s="134"/>
      <c r="D60" s="578" t="s">
        <v>3941</v>
      </c>
      <c r="E60" s="77" t="s">
        <v>3591</v>
      </c>
      <c r="F60" s="9"/>
      <c r="G60" s="9"/>
      <c r="H60" s="9"/>
      <c r="I60" s="9"/>
      <c r="J60" s="9"/>
      <c r="K60" s="9"/>
      <c r="L60" s="9"/>
      <c r="M60" s="89"/>
      <c r="N60" s="89"/>
      <c r="O60" s="89"/>
      <c r="P60" s="61"/>
    </row>
    <row r="61" spans="1:16" s="34" customFormat="1" x14ac:dyDescent="0.2">
      <c r="A61" s="1440">
        <v>221700</v>
      </c>
      <c r="B61" s="134"/>
      <c r="C61" s="134"/>
      <c r="D61" s="578" t="s">
        <v>3942</v>
      </c>
      <c r="E61" s="77" t="s">
        <v>511</v>
      </c>
      <c r="F61" s="9"/>
      <c r="G61" s="9"/>
      <c r="H61" s="9"/>
      <c r="I61" s="9"/>
      <c r="J61" s="9"/>
      <c r="K61" s="9"/>
      <c r="L61" s="9"/>
      <c r="M61" s="89"/>
      <c r="N61" s="89"/>
      <c r="O61" s="89"/>
      <c r="P61" s="61"/>
    </row>
    <row r="62" spans="1:16" s="34" customFormat="1" x14ac:dyDescent="0.2">
      <c r="A62" s="1440">
        <v>77000</v>
      </c>
      <c r="B62" s="134">
        <f>77000-5900</f>
        <v>71100</v>
      </c>
      <c r="C62" s="134"/>
      <c r="D62" s="578" t="s">
        <v>4435</v>
      </c>
      <c r="E62" s="77" t="s">
        <v>4649</v>
      </c>
      <c r="F62" s="9"/>
      <c r="G62" s="9"/>
      <c r="H62" s="9"/>
      <c r="I62" s="9"/>
      <c r="J62" s="9"/>
      <c r="K62" s="9"/>
      <c r="L62" s="9"/>
      <c r="M62" s="89"/>
      <c r="N62" s="89"/>
      <c r="O62" s="89"/>
      <c r="P62" s="61"/>
    </row>
    <row r="63" spans="1:16" s="34" customFormat="1" x14ac:dyDescent="0.2">
      <c r="A63" s="1440"/>
      <c r="B63" s="134"/>
      <c r="C63" s="134"/>
      <c r="D63" s="578" t="s">
        <v>11785</v>
      </c>
      <c r="E63" s="2380" t="s">
        <v>11861</v>
      </c>
      <c r="F63" s="9">
        <v>77000</v>
      </c>
      <c r="G63" s="9"/>
      <c r="H63" s="9"/>
      <c r="I63" s="9"/>
      <c r="J63" s="9"/>
      <c r="K63" s="9"/>
      <c r="L63" s="9"/>
      <c r="M63" s="89"/>
      <c r="N63" s="89"/>
      <c r="O63" s="89"/>
      <c r="P63" s="61"/>
    </row>
    <row r="64" spans="1:16" s="34" customFormat="1" x14ac:dyDescent="0.2">
      <c r="A64" s="1440"/>
      <c r="B64" s="134"/>
      <c r="C64" s="134"/>
      <c r="D64" s="578" t="s">
        <v>11862</v>
      </c>
      <c r="E64" s="58" t="s">
        <v>11860</v>
      </c>
      <c r="F64" s="9">
        <v>178200</v>
      </c>
      <c r="G64" s="9"/>
      <c r="H64" s="9"/>
      <c r="I64" s="9"/>
      <c r="J64" s="9"/>
      <c r="K64" s="9"/>
      <c r="L64" s="9"/>
      <c r="M64" s="89"/>
      <c r="N64" s="89"/>
      <c r="O64" s="89"/>
      <c r="P64" s="61"/>
    </row>
    <row r="65" spans="1:16" s="34" customFormat="1" x14ac:dyDescent="0.2">
      <c r="A65" s="1440"/>
      <c r="B65" s="134">
        <v>200000</v>
      </c>
      <c r="C65" s="134">
        <v>437000</v>
      </c>
      <c r="D65" s="578" t="s">
        <v>5822</v>
      </c>
      <c r="E65" s="77" t="s">
        <v>6245</v>
      </c>
      <c r="F65" s="9"/>
      <c r="G65" s="9"/>
      <c r="H65" s="9"/>
      <c r="I65" s="9"/>
      <c r="J65" s="9"/>
      <c r="K65" s="9"/>
      <c r="L65" s="9"/>
      <c r="M65" s="89"/>
      <c r="N65" s="89"/>
      <c r="O65" s="89"/>
      <c r="P65" s="61"/>
    </row>
    <row r="66" spans="1:16" s="34" customFormat="1" x14ac:dyDescent="0.2">
      <c r="A66" s="1440"/>
      <c r="B66" s="134">
        <v>269000</v>
      </c>
      <c r="C66" s="134">
        <v>-269000</v>
      </c>
      <c r="D66" s="578" t="s">
        <v>6628</v>
      </c>
      <c r="E66" s="77" t="s">
        <v>11942</v>
      </c>
      <c r="F66" s="9"/>
      <c r="G66" s="9"/>
      <c r="H66" s="9"/>
      <c r="I66" s="9"/>
      <c r="J66" s="9"/>
      <c r="K66" s="9"/>
      <c r="L66" s="9"/>
      <c r="M66" s="89"/>
      <c r="N66" s="89"/>
      <c r="O66" s="89"/>
      <c r="P66" s="61"/>
    </row>
    <row r="67" spans="1:16" s="34" customFormat="1" x14ac:dyDescent="0.2">
      <c r="A67" s="1440"/>
      <c r="B67" s="134"/>
      <c r="C67" s="134">
        <v>787100</v>
      </c>
      <c r="D67" s="578" t="s">
        <v>6357</v>
      </c>
      <c r="E67" s="77" t="s">
        <v>6355</v>
      </c>
      <c r="F67" s="9"/>
      <c r="G67" s="9"/>
      <c r="H67" s="9"/>
      <c r="I67" s="9"/>
      <c r="J67" s="9"/>
      <c r="K67" s="9"/>
      <c r="L67" s="9"/>
      <c r="M67" s="89"/>
      <c r="N67" s="89"/>
      <c r="O67" s="89"/>
      <c r="P67" s="61"/>
    </row>
    <row r="68" spans="1:16" s="34" customFormat="1" x14ac:dyDescent="0.2">
      <c r="A68" s="1440"/>
      <c r="B68" s="134"/>
      <c r="C68" s="134">
        <v>68100</v>
      </c>
      <c r="D68" s="578" t="s">
        <v>6285</v>
      </c>
      <c r="E68" s="77" t="s">
        <v>6353</v>
      </c>
      <c r="F68" s="9">
        <f>1028000+861900</f>
        <v>1889900</v>
      </c>
      <c r="G68" s="9"/>
      <c r="H68" s="9"/>
      <c r="I68" s="9"/>
      <c r="J68" s="9"/>
      <c r="K68" s="9"/>
      <c r="L68" s="9"/>
      <c r="M68" s="89"/>
      <c r="N68" s="89"/>
      <c r="O68" s="89"/>
      <c r="P68" s="61"/>
    </row>
    <row r="69" spans="1:16" s="34" customFormat="1" x14ac:dyDescent="0.2">
      <c r="A69" s="1440"/>
      <c r="B69" s="134"/>
      <c r="C69" s="134">
        <f>1634000</f>
        <v>1634000</v>
      </c>
      <c r="D69" s="578"/>
      <c r="E69" s="77" t="s">
        <v>11943</v>
      </c>
      <c r="F69" s="9"/>
      <c r="G69" s="9"/>
      <c r="H69" s="9"/>
      <c r="I69" s="9"/>
      <c r="J69" s="9"/>
      <c r="K69" s="9"/>
      <c r="L69" s="9"/>
      <c r="M69" s="89"/>
      <c r="N69" s="89"/>
      <c r="O69" s="89"/>
      <c r="P69" s="61"/>
    </row>
    <row r="70" spans="1:16" s="34" customFormat="1" x14ac:dyDescent="0.2">
      <c r="A70" s="1440"/>
      <c r="B70" s="134"/>
      <c r="C70" s="134"/>
      <c r="D70" s="578"/>
      <c r="E70" s="77"/>
      <c r="F70" s="9"/>
      <c r="G70" s="9"/>
      <c r="H70" s="9"/>
      <c r="I70" s="9"/>
      <c r="J70" s="9"/>
      <c r="K70" s="9"/>
      <c r="L70" s="9"/>
      <c r="M70" s="89"/>
      <c r="N70" s="89"/>
      <c r="O70" s="89"/>
      <c r="P70" s="61"/>
    </row>
    <row r="71" spans="1:16" s="34" customFormat="1" x14ac:dyDescent="0.2">
      <c r="A71" s="1440"/>
      <c r="B71" s="134"/>
      <c r="C71" s="134"/>
      <c r="D71" s="85"/>
      <c r="E71" s="107" t="s">
        <v>4460</v>
      </c>
      <c r="F71" s="9"/>
      <c r="G71" s="9"/>
      <c r="H71" s="9"/>
      <c r="I71" s="9"/>
      <c r="J71" s="9"/>
      <c r="K71" s="9"/>
      <c r="L71" s="9"/>
      <c r="M71" s="89"/>
      <c r="N71" s="89"/>
      <c r="O71" s="89"/>
      <c r="P71" s="61"/>
    </row>
    <row r="72" spans="1:16" s="34" customFormat="1" x14ac:dyDescent="0.2">
      <c r="A72" s="1440">
        <v>802000</v>
      </c>
      <c r="B72" s="134"/>
      <c r="C72" s="134"/>
      <c r="D72" s="578" t="s">
        <v>7236</v>
      </c>
      <c r="E72" s="77" t="s">
        <v>5509</v>
      </c>
      <c r="F72" s="9">
        <v>425000</v>
      </c>
      <c r="G72" s="9">
        <v>425000</v>
      </c>
      <c r="H72" s="9"/>
      <c r="I72" s="9"/>
      <c r="J72" s="9"/>
      <c r="K72" s="9"/>
      <c r="L72" s="9"/>
      <c r="M72" s="89"/>
      <c r="N72" s="89"/>
      <c r="O72" s="89"/>
      <c r="P72" s="61"/>
    </row>
    <row r="73" spans="1:16" s="34" customFormat="1" x14ac:dyDescent="0.2">
      <c r="A73" s="1440"/>
      <c r="B73" s="134">
        <v>19900</v>
      </c>
      <c r="C73" s="134">
        <v>2600</v>
      </c>
      <c r="D73" s="578" t="s">
        <v>11788</v>
      </c>
      <c r="E73" s="77" t="s">
        <v>5955</v>
      </c>
      <c r="F73" s="9"/>
      <c r="G73" s="9"/>
      <c r="H73" s="9"/>
      <c r="I73" s="9"/>
      <c r="J73" s="9"/>
      <c r="K73" s="9"/>
      <c r="L73" s="9"/>
      <c r="M73" s="89"/>
      <c r="N73" s="89"/>
      <c r="O73" s="89"/>
      <c r="P73" s="61"/>
    </row>
    <row r="74" spans="1:16" s="34" customFormat="1" x14ac:dyDescent="0.2">
      <c r="A74" s="1440"/>
      <c r="B74" s="134"/>
      <c r="C74" s="134">
        <v>300</v>
      </c>
      <c r="D74" s="578" t="s">
        <v>11789</v>
      </c>
      <c r="E74" s="79" t="s">
        <v>6244</v>
      </c>
      <c r="F74" s="9"/>
      <c r="G74" s="9"/>
      <c r="H74" s="9"/>
      <c r="I74" s="9"/>
      <c r="J74" s="9"/>
      <c r="K74" s="9"/>
      <c r="L74" s="9"/>
      <c r="M74" s="89"/>
      <c r="N74" s="89"/>
      <c r="O74" s="89"/>
      <c r="P74" s="61"/>
    </row>
    <row r="75" spans="1:16" s="34" customFormat="1" x14ac:dyDescent="0.2">
      <c r="A75" s="1440">
        <v>270500</v>
      </c>
      <c r="B75" s="134">
        <v>296000</v>
      </c>
      <c r="C75" s="134"/>
      <c r="D75" s="578" t="s">
        <v>4167</v>
      </c>
      <c r="E75" s="77" t="s">
        <v>5493</v>
      </c>
      <c r="F75" s="9"/>
      <c r="G75" s="9"/>
      <c r="H75" s="9"/>
      <c r="I75" s="9"/>
      <c r="J75" s="9"/>
      <c r="K75" s="9"/>
      <c r="L75" s="9"/>
      <c r="M75" s="89"/>
      <c r="N75" s="89"/>
      <c r="O75" s="89"/>
      <c r="P75" s="61"/>
    </row>
    <row r="76" spans="1:16" s="34" customFormat="1" x14ac:dyDescent="0.2">
      <c r="A76" s="1440">
        <v>12100</v>
      </c>
      <c r="B76" s="134"/>
      <c r="C76" s="134"/>
      <c r="D76" s="239"/>
      <c r="E76" s="77" t="s">
        <v>4935</v>
      </c>
      <c r="F76" s="9"/>
      <c r="G76" s="9"/>
      <c r="H76" s="9"/>
      <c r="I76" s="9"/>
      <c r="J76" s="9"/>
      <c r="K76" s="9"/>
      <c r="L76" s="9"/>
      <c r="M76" s="89"/>
      <c r="N76" s="89"/>
      <c r="O76" s="89"/>
      <c r="P76" s="61"/>
    </row>
    <row r="77" spans="1:16" s="34" customFormat="1" x14ac:dyDescent="0.2">
      <c r="A77" s="1440">
        <v>281800</v>
      </c>
      <c r="B77" s="134"/>
      <c r="C77" s="134"/>
      <c r="D77" s="578" t="s">
        <v>3464</v>
      </c>
      <c r="E77" s="77" t="s">
        <v>6678</v>
      </c>
      <c r="F77" s="9"/>
      <c r="G77" s="9"/>
      <c r="H77" s="9"/>
      <c r="I77" s="9"/>
      <c r="J77" s="9"/>
      <c r="K77" s="9"/>
      <c r="L77" s="9"/>
      <c r="M77" s="89"/>
      <c r="N77" s="89"/>
      <c r="O77" s="89"/>
      <c r="P77" s="61"/>
    </row>
    <row r="78" spans="1:16" s="34" customFormat="1" x14ac:dyDescent="0.2">
      <c r="A78" s="1440"/>
      <c r="B78" s="134"/>
      <c r="C78" s="134"/>
      <c r="D78" s="578" t="s">
        <v>11904</v>
      </c>
      <c r="E78" s="2355" t="s">
        <v>11872</v>
      </c>
      <c r="F78" s="9">
        <v>4000</v>
      </c>
      <c r="G78" s="9"/>
      <c r="H78" s="9"/>
      <c r="I78" s="9"/>
      <c r="J78" s="9"/>
      <c r="K78" s="9"/>
      <c r="L78" s="9"/>
      <c r="M78" s="89"/>
      <c r="N78" s="89"/>
      <c r="O78" s="89"/>
      <c r="P78" s="61"/>
    </row>
    <row r="79" spans="1:16" s="34" customFormat="1" x14ac:dyDescent="0.2">
      <c r="A79" s="1440">
        <v>10000</v>
      </c>
      <c r="B79" s="134"/>
      <c r="C79" s="134"/>
      <c r="D79" s="578" t="s">
        <v>4144</v>
      </c>
      <c r="E79" s="77" t="s">
        <v>6679</v>
      </c>
      <c r="F79" s="9"/>
      <c r="G79" s="9"/>
      <c r="H79" s="9"/>
      <c r="I79" s="9"/>
      <c r="J79" s="9"/>
      <c r="K79" s="9"/>
      <c r="L79" s="9"/>
      <c r="M79" s="89"/>
      <c r="N79" s="89"/>
      <c r="O79" s="89"/>
      <c r="P79" s="61"/>
    </row>
    <row r="80" spans="1:16" s="34" customFormat="1" x14ac:dyDescent="0.2">
      <c r="A80" s="1440">
        <v>22700</v>
      </c>
      <c r="B80" s="134">
        <v>46300</v>
      </c>
      <c r="C80" s="134"/>
      <c r="D80" s="578" t="s">
        <v>5491</v>
      </c>
      <c r="E80" s="77" t="s">
        <v>5511</v>
      </c>
      <c r="F80" s="9"/>
      <c r="G80" s="9"/>
      <c r="H80" s="9"/>
      <c r="I80" s="9"/>
      <c r="J80" s="9"/>
      <c r="K80" s="9"/>
      <c r="L80" s="9"/>
      <c r="M80" s="89"/>
      <c r="N80" s="89"/>
      <c r="O80" s="89"/>
      <c r="P80" s="61"/>
    </row>
    <row r="81" spans="1:16" s="34" customFormat="1" x14ac:dyDescent="0.2">
      <c r="A81" s="1440"/>
      <c r="B81" s="134">
        <v>6600</v>
      </c>
      <c r="C81" s="134"/>
      <c r="D81" s="578" t="s">
        <v>6629</v>
      </c>
      <c r="E81" s="77" t="s">
        <v>6680</v>
      </c>
      <c r="F81" s="9"/>
      <c r="G81" s="9"/>
      <c r="H81" s="9"/>
      <c r="I81" s="9"/>
      <c r="J81" s="9"/>
      <c r="K81" s="9"/>
      <c r="L81" s="9"/>
      <c r="M81" s="89"/>
      <c r="N81" s="89"/>
      <c r="O81" s="89"/>
      <c r="P81" s="61"/>
    </row>
    <row r="82" spans="1:16" s="34" customFormat="1" x14ac:dyDescent="0.2">
      <c r="A82" s="1440"/>
      <c r="B82" s="134">
        <v>49500</v>
      </c>
      <c r="C82" s="134"/>
      <c r="D82" s="578" t="s">
        <v>5998</v>
      </c>
      <c r="E82" s="77" t="s">
        <v>6681</v>
      </c>
      <c r="F82" s="9"/>
      <c r="G82" s="9"/>
      <c r="H82" s="9"/>
      <c r="I82" s="9"/>
      <c r="J82" s="9"/>
      <c r="K82" s="9"/>
      <c r="L82" s="9"/>
      <c r="M82" s="89"/>
      <c r="N82" s="89"/>
      <c r="O82" s="89"/>
      <c r="P82" s="61"/>
    </row>
    <row r="83" spans="1:16" s="34" customFormat="1" x14ac:dyDescent="0.2">
      <c r="A83" s="1440"/>
      <c r="B83" s="134">
        <v>5500</v>
      </c>
      <c r="C83" s="134"/>
      <c r="D83" s="578" t="s">
        <v>5999</v>
      </c>
      <c r="E83" s="77" t="s">
        <v>6001</v>
      </c>
      <c r="F83" s="9"/>
      <c r="G83" s="9"/>
      <c r="H83" s="9"/>
      <c r="I83" s="9"/>
      <c r="J83" s="9"/>
      <c r="K83" s="9"/>
      <c r="L83" s="9"/>
      <c r="M83" s="89"/>
      <c r="N83" s="89"/>
      <c r="O83" s="89"/>
      <c r="P83" s="61"/>
    </row>
    <row r="84" spans="1:16" s="34" customFormat="1" x14ac:dyDescent="0.2">
      <c r="A84" s="1440"/>
      <c r="B84" s="134">
        <v>12600</v>
      </c>
      <c r="C84" s="134"/>
      <c r="D84" s="578" t="s">
        <v>6000</v>
      </c>
      <c r="E84" s="77" t="s">
        <v>6002</v>
      </c>
      <c r="F84" s="9"/>
      <c r="G84" s="9"/>
      <c r="H84" s="9"/>
      <c r="I84" s="9"/>
      <c r="J84" s="9"/>
      <c r="K84" s="9"/>
      <c r="L84" s="9"/>
      <c r="M84" s="89"/>
      <c r="N84" s="89"/>
      <c r="O84" s="89"/>
      <c r="P84" s="61"/>
    </row>
    <row r="85" spans="1:16" s="34" customFormat="1" x14ac:dyDescent="0.2">
      <c r="A85" s="1440"/>
      <c r="B85" s="134">
        <v>13800</v>
      </c>
      <c r="C85" s="134"/>
      <c r="D85" s="578" t="s">
        <v>5996</v>
      </c>
      <c r="E85" s="77" t="s">
        <v>5997</v>
      </c>
      <c r="F85" s="9"/>
      <c r="G85" s="9"/>
      <c r="H85" s="9"/>
      <c r="I85" s="9"/>
      <c r="J85" s="9"/>
      <c r="K85" s="9"/>
      <c r="L85" s="9"/>
      <c r="M85" s="89"/>
      <c r="N85" s="89"/>
      <c r="O85" s="89"/>
      <c r="P85" s="61"/>
    </row>
    <row r="86" spans="1:16" s="34" customFormat="1" x14ac:dyDescent="0.2">
      <c r="A86" s="1440">
        <v>212800</v>
      </c>
      <c r="B86" s="134"/>
      <c r="C86" s="134"/>
      <c r="D86" s="578" t="s">
        <v>3807</v>
      </c>
      <c r="E86" s="77" t="s">
        <v>4128</v>
      </c>
      <c r="F86" s="9"/>
      <c r="G86" s="9"/>
      <c r="H86" s="9"/>
      <c r="I86" s="9"/>
      <c r="J86" s="9"/>
      <c r="K86" s="9"/>
      <c r="L86" s="9"/>
      <c r="M86" s="89"/>
      <c r="N86" s="89"/>
      <c r="O86" s="89"/>
      <c r="P86" s="61"/>
    </row>
    <row r="87" spans="1:16" s="34" customFormat="1" x14ac:dyDescent="0.2">
      <c r="A87" s="1440">
        <v>7900</v>
      </c>
      <c r="B87" s="134"/>
      <c r="C87" s="134"/>
      <c r="D87" s="578" t="s">
        <v>3157</v>
      </c>
      <c r="E87" s="77" t="s">
        <v>4461</v>
      </c>
      <c r="F87" s="9"/>
      <c r="G87" s="9"/>
      <c r="H87" s="9"/>
      <c r="I87" s="9"/>
      <c r="J87" s="9"/>
      <c r="K87" s="9"/>
      <c r="L87" s="9"/>
      <c r="M87" s="89"/>
      <c r="N87" s="89"/>
      <c r="O87" s="89"/>
      <c r="P87" s="61"/>
    </row>
    <row r="88" spans="1:16" s="34" customFormat="1" x14ac:dyDescent="0.2">
      <c r="A88" s="1440"/>
      <c r="B88" s="134"/>
      <c r="C88" s="134"/>
      <c r="D88" s="578"/>
      <c r="E88" s="77"/>
      <c r="F88" s="9"/>
      <c r="G88" s="9"/>
      <c r="H88" s="9"/>
      <c r="I88" s="9"/>
      <c r="J88" s="9"/>
      <c r="K88" s="9"/>
      <c r="L88" s="9"/>
      <c r="M88" s="89"/>
      <c r="N88" s="89"/>
      <c r="O88" s="89"/>
      <c r="P88" s="61"/>
    </row>
    <row r="89" spans="1:16" s="34" customFormat="1" ht="12" customHeight="1" x14ac:dyDescent="0.2">
      <c r="A89" s="1440"/>
      <c r="B89" s="134"/>
      <c r="C89" s="134"/>
      <c r="D89" s="85"/>
      <c r="E89" s="75" t="s">
        <v>2498</v>
      </c>
      <c r="F89" s="9"/>
      <c r="G89" s="9"/>
      <c r="H89" s="9"/>
      <c r="I89" s="9"/>
      <c r="J89" s="9"/>
      <c r="K89" s="9"/>
      <c r="L89" s="9"/>
      <c r="M89" s="89"/>
      <c r="N89" s="89"/>
      <c r="O89" s="89"/>
      <c r="P89" s="61"/>
    </row>
    <row r="90" spans="1:16" s="34" customFormat="1" ht="12.75" customHeight="1" x14ac:dyDescent="0.2">
      <c r="A90" s="1440">
        <v>43500</v>
      </c>
      <c r="B90" s="134"/>
      <c r="C90" s="134"/>
      <c r="D90" s="578" t="s">
        <v>3159</v>
      </c>
      <c r="E90" s="77" t="s">
        <v>3573</v>
      </c>
      <c r="F90" s="9"/>
      <c r="G90" s="9"/>
      <c r="H90" s="9"/>
      <c r="I90" s="9"/>
      <c r="J90" s="9"/>
      <c r="K90" s="9"/>
      <c r="L90" s="9"/>
      <c r="M90" s="89"/>
      <c r="N90" s="89"/>
      <c r="O90" s="89"/>
      <c r="P90" s="61"/>
    </row>
    <row r="91" spans="1:16" s="34" customFormat="1" ht="12.75" customHeight="1" x14ac:dyDescent="0.2">
      <c r="A91" s="1440"/>
      <c r="B91" s="134"/>
      <c r="C91" s="134">
        <v>0</v>
      </c>
      <c r="D91" s="578" t="s">
        <v>6286</v>
      </c>
      <c r="E91" s="77" t="s">
        <v>6649</v>
      </c>
      <c r="F91" s="9">
        <v>225000</v>
      </c>
      <c r="G91" s="9"/>
      <c r="H91" s="9"/>
      <c r="I91" s="9"/>
      <c r="J91" s="9"/>
      <c r="K91" s="9"/>
      <c r="L91" s="9"/>
      <c r="M91" s="89"/>
      <c r="N91" s="89"/>
      <c r="O91" s="89"/>
      <c r="P91" s="61"/>
    </row>
    <row r="92" spans="1:16" s="34" customFormat="1" ht="12.75" customHeight="1" x14ac:dyDescent="0.2">
      <c r="A92" s="1440"/>
      <c r="B92" s="134"/>
      <c r="C92" s="134">
        <v>24600</v>
      </c>
      <c r="D92" s="578" t="s">
        <v>6468</v>
      </c>
      <c r="E92" s="77" t="s">
        <v>6469</v>
      </c>
      <c r="F92" s="9">
        <v>5400</v>
      </c>
      <c r="G92" s="9"/>
      <c r="H92" s="9"/>
      <c r="I92" s="9"/>
      <c r="J92" s="9"/>
      <c r="K92" s="9"/>
      <c r="L92" s="9"/>
      <c r="M92" s="89"/>
      <c r="N92" s="89"/>
      <c r="O92" s="89"/>
      <c r="P92" s="61"/>
    </row>
    <row r="93" spans="1:16" s="34" customFormat="1" ht="12.75" customHeight="1" x14ac:dyDescent="0.2">
      <c r="A93" s="1440">
        <v>154500</v>
      </c>
      <c r="B93" s="134"/>
      <c r="C93" s="134"/>
      <c r="D93" s="578" t="s">
        <v>3943</v>
      </c>
      <c r="E93" s="77" t="s">
        <v>3572</v>
      </c>
      <c r="F93" s="9"/>
      <c r="G93" s="9"/>
      <c r="H93" s="9"/>
      <c r="I93" s="9"/>
      <c r="J93" s="9"/>
      <c r="K93" s="9"/>
      <c r="L93" s="9"/>
      <c r="M93" s="89"/>
      <c r="N93" s="89"/>
      <c r="O93" s="89"/>
      <c r="P93" s="61"/>
    </row>
    <row r="94" spans="1:16" s="34" customFormat="1" ht="12.75" customHeight="1" x14ac:dyDescent="0.2">
      <c r="A94" s="1440"/>
      <c r="B94" s="134"/>
      <c r="C94" s="134">
        <v>10800</v>
      </c>
      <c r="D94" s="578" t="s">
        <v>6287</v>
      </c>
      <c r="E94" s="77" t="s">
        <v>4809</v>
      </c>
      <c r="F94" s="9">
        <v>39200</v>
      </c>
      <c r="G94" s="9"/>
      <c r="H94" s="9"/>
      <c r="I94" s="9"/>
      <c r="J94" s="9"/>
      <c r="K94" s="9"/>
      <c r="L94" s="9"/>
      <c r="M94" s="89"/>
      <c r="N94" s="89"/>
      <c r="O94" s="89"/>
      <c r="P94" s="61"/>
    </row>
    <row r="95" spans="1:16" s="34" customFormat="1" ht="12.75" customHeight="1" x14ac:dyDescent="0.2">
      <c r="A95" s="1440"/>
      <c r="B95" s="134"/>
      <c r="C95" s="134">
        <v>35000</v>
      </c>
      <c r="D95" s="578" t="s">
        <v>6288</v>
      </c>
      <c r="E95" s="77" t="s">
        <v>4810</v>
      </c>
      <c r="F95" s="9">
        <v>215000</v>
      </c>
      <c r="G95" s="9"/>
      <c r="H95" s="9"/>
      <c r="I95" s="9"/>
      <c r="J95" s="9"/>
      <c r="K95" s="9"/>
      <c r="L95" s="9"/>
      <c r="M95" s="89"/>
      <c r="N95" s="89"/>
      <c r="O95" s="89"/>
      <c r="P95" s="61"/>
    </row>
    <row r="96" spans="1:16" s="34" customFormat="1" ht="12.75" customHeight="1" x14ac:dyDescent="0.2">
      <c r="A96" s="1440"/>
      <c r="B96" s="134"/>
      <c r="C96" s="134">
        <v>13400</v>
      </c>
      <c r="D96" s="578" t="s">
        <v>6289</v>
      </c>
      <c r="E96" s="77" t="s">
        <v>5510</v>
      </c>
      <c r="F96" s="9">
        <v>36600</v>
      </c>
      <c r="G96" s="9"/>
      <c r="H96" s="9"/>
      <c r="I96" s="9"/>
      <c r="J96" s="9"/>
      <c r="K96" s="9"/>
      <c r="L96" s="9"/>
      <c r="M96" s="89"/>
      <c r="N96" s="89"/>
      <c r="O96" s="89"/>
      <c r="P96" s="61"/>
    </row>
    <row r="97" spans="1:16" s="34" customFormat="1" ht="12.75" customHeight="1" x14ac:dyDescent="0.2">
      <c r="A97" s="1440"/>
      <c r="B97" s="134"/>
      <c r="C97" s="134">
        <v>16700</v>
      </c>
      <c r="D97" s="578" t="s">
        <v>6290</v>
      </c>
      <c r="E97" s="77" t="s">
        <v>4811</v>
      </c>
      <c r="F97" s="9">
        <v>83300</v>
      </c>
      <c r="G97" s="9"/>
      <c r="H97" s="9"/>
      <c r="I97" s="9"/>
      <c r="J97" s="9"/>
      <c r="K97" s="9"/>
      <c r="L97" s="9"/>
      <c r="M97" s="89"/>
      <c r="N97" s="89"/>
      <c r="O97" s="89"/>
      <c r="P97" s="61"/>
    </row>
    <row r="98" spans="1:16" s="34" customFormat="1" ht="12.75" customHeight="1" x14ac:dyDescent="0.2">
      <c r="A98" s="1440"/>
      <c r="B98" s="134"/>
      <c r="C98" s="134">
        <v>0</v>
      </c>
      <c r="D98" s="578" t="s">
        <v>6291</v>
      </c>
      <c r="E98" s="77" t="s">
        <v>4812</v>
      </c>
      <c r="F98" s="9">
        <v>40000</v>
      </c>
      <c r="G98" s="9"/>
      <c r="H98" s="9"/>
      <c r="I98" s="9"/>
      <c r="J98" s="9"/>
      <c r="K98" s="9"/>
      <c r="L98" s="9"/>
      <c r="M98" s="89"/>
      <c r="N98" s="89"/>
      <c r="O98" s="89"/>
      <c r="P98" s="61"/>
    </row>
    <row r="99" spans="1:16" s="34" customFormat="1" ht="12.75" customHeight="1" x14ac:dyDescent="0.2">
      <c r="A99" s="1440"/>
      <c r="B99" s="134"/>
      <c r="C99" s="134">
        <v>11100</v>
      </c>
      <c r="D99" s="578" t="s">
        <v>6292</v>
      </c>
      <c r="E99" s="77" t="s">
        <v>4813</v>
      </c>
      <c r="F99" s="9">
        <v>63900</v>
      </c>
      <c r="G99" s="9"/>
      <c r="H99" s="9"/>
      <c r="I99" s="9"/>
      <c r="J99" s="9"/>
      <c r="K99" s="9"/>
      <c r="L99" s="9"/>
      <c r="M99" s="89"/>
      <c r="N99" s="89"/>
      <c r="O99" s="89"/>
      <c r="P99" s="61"/>
    </row>
    <row r="100" spans="1:16" s="34" customFormat="1" ht="12.75" customHeight="1" x14ac:dyDescent="0.2">
      <c r="A100" s="1440"/>
      <c r="B100" s="134"/>
      <c r="C100" s="134">
        <v>9500</v>
      </c>
      <c r="D100" s="578" t="s">
        <v>7237</v>
      </c>
      <c r="E100" s="77" t="s">
        <v>4814</v>
      </c>
      <c r="F100" s="9">
        <f>125000-9500</f>
        <v>115500</v>
      </c>
      <c r="G100" s="9"/>
      <c r="H100" s="9"/>
      <c r="I100" s="9"/>
      <c r="J100" s="9"/>
      <c r="K100" s="9"/>
      <c r="L100" s="9"/>
      <c r="M100" s="89"/>
      <c r="N100" s="89"/>
      <c r="O100" s="89"/>
      <c r="P100" s="61"/>
    </row>
    <row r="101" spans="1:16" s="34" customFormat="1" ht="12.75" customHeight="1" x14ac:dyDescent="0.2">
      <c r="A101" s="1440"/>
      <c r="B101" s="134"/>
      <c r="C101" s="134"/>
      <c r="D101" s="578"/>
      <c r="E101" s="77"/>
      <c r="F101" s="9"/>
      <c r="G101" s="9"/>
      <c r="H101" s="9"/>
      <c r="I101" s="9"/>
      <c r="J101" s="9"/>
      <c r="K101" s="9"/>
      <c r="L101" s="9"/>
      <c r="M101" s="89"/>
      <c r="N101" s="89"/>
      <c r="O101" s="89"/>
      <c r="P101" s="61"/>
    </row>
    <row r="102" spans="1:16" s="34" customFormat="1" x14ac:dyDescent="0.2">
      <c r="A102" s="1440"/>
      <c r="B102" s="134"/>
      <c r="C102" s="134"/>
      <c r="D102" s="85"/>
      <c r="E102" s="107" t="s">
        <v>3855</v>
      </c>
      <c r="F102" s="9"/>
      <c r="G102" s="9"/>
      <c r="H102" s="9"/>
      <c r="I102" s="9"/>
      <c r="J102" s="9"/>
      <c r="K102" s="9"/>
      <c r="L102" s="9"/>
      <c r="M102" s="89"/>
      <c r="N102" s="89"/>
      <c r="O102" s="89"/>
      <c r="P102" s="61"/>
    </row>
    <row r="103" spans="1:16" s="34" customFormat="1" ht="12.75" customHeight="1" x14ac:dyDescent="0.2">
      <c r="A103" s="1440"/>
      <c r="B103" s="134"/>
      <c r="C103" s="134"/>
      <c r="D103" s="578" t="s">
        <v>6293</v>
      </c>
      <c r="E103" s="77" t="s">
        <v>6368</v>
      </c>
      <c r="F103" s="9">
        <v>60000</v>
      </c>
      <c r="G103" s="9"/>
      <c r="H103" s="9"/>
      <c r="I103" s="9"/>
      <c r="J103" s="9"/>
      <c r="K103" s="9"/>
      <c r="L103" s="9"/>
      <c r="M103" s="89"/>
      <c r="N103" s="89"/>
      <c r="O103" s="89"/>
      <c r="P103" s="61"/>
    </row>
    <row r="104" spans="1:16" s="34" customFormat="1" ht="12.75" customHeight="1" x14ac:dyDescent="0.2">
      <c r="A104" s="1440"/>
      <c r="B104" s="134"/>
      <c r="C104" s="134"/>
      <c r="D104" s="578" t="s">
        <v>11905</v>
      </c>
      <c r="E104" s="2380" t="s">
        <v>11944</v>
      </c>
      <c r="F104" s="9">
        <v>61000</v>
      </c>
      <c r="G104" s="9"/>
      <c r="H104" s="9"/>
      <c r="I104" s="9"/>
      <c r="J104" s="9"/>
      <c r="K104" s="9"/>
      <c r="L104" s="9"/>
      <c r="M104" s="89"/>
      <c r="N104" s="89"/>
      <c r="O104" s="89"/>
      <c r="P104" s="61"/>
    </row>
    <row r="105" spans="1:16" s="34" customFormat="1" ht="12.75" customHeight="1" x14ac:dyDescent="0.2">
      <c r="A105" s="1440"/>
      <c r="B105" s="134"/>
      <c r="C105" s="134">
        <v>50000</v>
      </c>
      <c r="D105" s="578"/>
      <c r="E105" s="77" t="s">
        <v>11945</v>
      </c>
      <c r="F105" s="9"/>
      <c r="G105" s="9"/>
      <c r="H105" s="9"/>
      <c r="I105" s="9"/>
      <c r="J105" s="9"/>
      <c r="K105" s="9"/>
      <c r="L105" s="9"/>
      <c r="M105" s="89"/>
      <c r="N105" s="89"/>
      <c r="O105" s="89"/>
      <c r="P105" s="61"/>
    </row>
    <row r="106" spans="1:16" s="34" customFormat="1" ht="12.75" customHeight="1" x14ac:dyDescent="0.2">
      <c r="A106" s="1440"/>
      <c r="B106" s="134"/>
      <c r="C106" s="134">
        <v>39800</v>
      </c>
      <c r="D106" s="578"/>
      <c r="E106" s="77" t="s">
        <v>11946</v>
      </c>
      <c r="F106" s="9"/>
      <c r="G106" s="9"/>
      <c r="H106" s="9"/>
      <c r="I106" s="9"/>
      <c r="J106" s="9"/>
      <c r="K106" s="9"/>
      <c r="L106" s="9"/>
      <c r="M106" s="89"/>
      <c r="N106" s="89"/>
      <c r="O106" s="89"/>
      <c r="P106" s="61"/>
    </row>
    <row r="107" spans="1:16" s="34" customFormat="1" ht="12.75" customHeight="1" x14ac:dyDescent="0.2">
      <c r="A107" s="1440"/>
      <c r="B107" s="134"/>
      <c r="C107" s="134"/>
      <c r="D107" s="578"/>
      <c r="E107" s="77" t="s">
        <v>11947</v>
      </c>
      <c r="F107" s="9">
        <v>80500</v>
      </c>
      <c r="G107" s="9"/>
      <c r="H107" s="9"/>
      <c r="I107" s="9"/>
      <c r="J107" s="9"/>
      <c r="K107" s="9"/>
      <c r="L107" s="9"/>
      <c r="M107" s="89"/>
      <c r="N107" s="89"/>
      <c r="O107" s="89"/>
      <c r="P107" s="61"/>
    </row>
    <row r="108" spans="1:16" s="34" customFormat="1" ht="12.75" customHeight="1" x14ac:dyDescent="0.2">
      <c r="A108" s="1440"/>
      <c r="B108" s="134"/>
      <c r="C108" s="134"/>
      <c r="D108" s="578"/>
      <c r="E108" s="77"/>
      <c r="F108" s="9"/>
      <c r="G108" s="9"/>
      <c r="H108" s="9"/>
      <c r="I108" s="9"/>
      <c r="J108" s="9"/>
      <c r="K108" s="9"/>
      <c r="L108" s="9"/>
      <c r="M108" s="89"/>
      <c r="N108" s="89"/>
      <c r="O108" s="89"/>
      <c r="P108" s="61"/>
    </row>
    <row r="109" spans="1:16" s="34" customFormat="1" x14ac:dyDescent="0.2">
      <c r="A109" s="1440"/>
      <c r="B109" s="134"/>
      <c r="C109" s="134"/>
      <c r="D109" s="85"/>
      <c r="E109" s="107" t="s">
        <v>3609</v>
      </c>
      <c r="F109" s="9"/>
      <c r="G109" s="9"/>
      <c r="H109" s="9"/>
      <c r="I109" s="9"/>
      <c r="J109" s="9"/>
      <c r="K109" s="9"/>
      <c r="L109" s="9"/>
      <c r="M109" s="89"/>
      <c r="N109" s="89"/>
      <c r="O109" s="89"/>
      <c r="P109" s="61"/>
    </row>
    <row r="110" spans="1:16" s="34" customFormat="1" ht="12.75" customHeight="1" x14ac:dyDescent="0.2">
      <c r="A110" s="1440">
        <v>25000</v>
      </c>
      <c r="B110" s="134"/>
      <c r="C110" s="134">
        <v>20000</v>
      </c>
      <c r="D110" s="578" t="s">
        <v>6874</v>
      </c>
      <c r="E110" s="77" t="s">
        <v>11948</v>
      </c>
      <c r="F110" s="9"/>
      <c r="G110" s="9"/>
      <c r="H110" s="9"/>
      <c r="I110" s="9"/>
      <c r="J110" s="9"/>
      <c r="K110" s="9"/>
      <c r="L110" s="9"/>
      <c r="M110" s="89"/>
      <c r="N110" s="89"/>
      <c r="O110" s="89"/>
      <c r="P110" s="61"/>
    </row>
    <row r="111" spans="1:16" s="34" customFormat="1" ht="12.75" customHeight="1" x14ac:dyDescent="0.2">
      <c r="A111" s="1440"/>
      <c r="B111" s="134"/>
      <c r="C111" s="134">
        <v>30000</v>
      </c>
      <c r="D111" s="578"/>
      <c r="E111" s="77" t="s">
        <v>7057</v>
      </c>
      <c r="F111" s="9"/>
      <c r="G111" s="9"/>
      <c r="H111" s="9"/>
      <c r="I111" s="9"/>
      <c r="J111" s="9"/>
      <c r="K111" s="9"/>
      <c r="L111" s="9"/>
      <c r="M111" s="89"/>
      <c r="N111" s="89"/>
      <c r="O111" s="89"/>
      <c r="P111" s="61"/>
    </row>
    <row r="112" spans="1:16" s="34" customFormat="1" ht="12.75" customHeight="1" x14ac:dyDescent="0.2">
      <c r="A112" s="1440"/>
      <c r="B112" s="134"/>
      <c r="C112" s="134"/>
      <c r="D112" s="578"/>
      <c r="E112" s="77"/>
      <c r="F112" s="9"/>
      <c r="G112" s="9"/>
      <c r="H112" s="9"/>
      <c r="I112" s="9"/>
      <c r="J112" s="9"/>
      <c r="K112" s="9"/>
      <c r="L112" s="9"/>
      <c r="M112" s="89"/>
      <c r="N112" s="89"/>
      <c r="O112" s="89"/>
      <c r="P112" s="61"/>
    </row>
    <row r="113" spans="1:16" s="34" customFormat="1" x14ac:dyDescent="0.2">
      <c r="A113" s="1440"/>
      <c r="B113" s="134"/>
      <c r="C113" s="134"/>
      <c r="D113" s="239"/>
      <c r="E113" s="107" t="s">
        <v>532</v>
      </c>
      <c r="F113" s="9"/>
      <c r="G113" s="9"/>
      <c r="H113" s="9"/>
      <c r="I113" s="9"/>
      <c r="J113" s="9"/>
      <c r="K113" s="9"/>
      <c r="L113" s="9"/>
      <c r="M113" s="89"/>
      <c r="N113" s="89"/>
      <c r="O113" s="89"/>
      <c r="P113" s="61"/>
    </row>
    <row r="114" spans="1:16" s="34" customFormat="1" x14ac:dyDescent="0.2">
      <c r="A114" s="1440">
        <v>-500</v>
      </c>
      <c r="B114" s="134"/>
      <c r="C114" s="134"/>
      <c r="D114" s="578" t="s">
        <v>3523</v>
      </c>
      <c r="E114" s="77" t="s">
        <v>4408</v>
      </c>
      <c r="F114" s="9"/>
      <c r="G114" s="9"/>
      <c r="H114" s="9"/>
      <c r="I114" s="9"/>
      <c r="J114" s="9"/>
      <c r="K114" s="9"/>
      <c r="L114" s="9"/>
      <c r="M114" s="89"/>
      <c r="N114" s="89"/>
      <c r="O114" s="89"/>
      <c r="P114" s="61"/>
    </row>
    <row r="115" spans="1:16" s="34" customFormat="1" ht="13.5" thickBot="1" x14ac:dyDescent="0.25">
      <c r="A115" s="1440"/>
      <c r="B115" s="134"/>
      <c r="C115" s="134"/>
      <c r="D115" s="1272"/>
      <c r="E115" s="77"/>
      <c r="F115" s="9"/>
      <c r="G115" s="9"/>
      <c r="H115" s="9"/>
      <c r="I115" s="9"/>
      <c r="J115" s="9"/>
      <c r="K115" s="9"/>
      <c r="L115" s="9"/>
      <c r="M115" s="89"/>
      <c r="N115" s="89"/>
      <c r="O115" s="89"/>
      <c r="P115" s="61"/>
    </row>
    <row r="116" spans="1:16" s="39" customFormat="1" x14ac:dyDescent="0.2">
      <c r="A116" s="1528">
        <f>SUM(A4:A114)</f>
        <v>4752500</v>
      </c>
      <c r="B116" s="145">
        <f>SUM(B4:B114)</f>
        <v>8258000</v>
      </c>
      <c r="C116" s="145">
        <f>SUM(C4:C114)</f>
        <v>7315700</v>
      </c>
      <c r="D116" s="663"/>
      <c r="E116" s="262" t="s">
        <v>2748</v>
      </c>
      <c r="F116" s="16">
        <f t="shared" ref="F116:O116" si="2">SUM(F4:F114)</f>
        <v>10925500</v>
      </c>
      <c r="G116" s="16">
        <f t="shared" si="2"/>
        <v>3716900</v>
      </c>
      <c r="H116" s="16">
        <f t="shared" si="2"/>
        <v>297100</v>
      </c>
      <c r="I116" s="16">
        <f t="shared" si="2"/>
        <v>303100</v>
      </c>
      <c r="J116" s="16">
        <f t="shared" si="2"/>
        <v>309300</v>
      </c>
      <c r="K116" s="16">
        <f t="shared" si="2"/>
        <v>315600</v>
      </c>
      <c r="L116" s="16">
        <f t="shared" si="2"/>
        <v>322000</v>
      </c>
      <c r="M116" s="102">
        <f t="shared" si="2"/>
        <v>328700</v>
      </c>
      <c r="N116" s="102">
        <f t="shared" si="2"/>
        <v>335400</v>
      </c>
      <c r="O116" s="102">
        <f t="shared" si="2"/>
        <v>342200</v>
      </c>
      <c r="P116" s="60">
        <f t="shared" ref="P116" si="3">SUM(P4:P114)</f>
        <v>349300</v>
      </c>
    </row>
    <row r="117" spans="1:16" s="34" customFormat="1" ht="13.5" thickBot="1" x14ac:dyDescent="0.25">
      <c r="A117" s="1529"/>
      <c r="B117" s="146"/>
      <c r="C117" s="146"/>
      <c r="D117" s="1169"/>
      <c r="E117" s="259"/>
      <c r="F117" s="23"/>
      <c r="G117" s="23"/>
      <c r="H117" s="23"/>
      <c r="I117" s="23"/>
      <c r="J117" s="23"/>
      <c r="K117" s="23"/>
      <c r="L117" s="23"/>
      <c r="M117" s="113"/>
      <c r="N117" s="113"/>
      <c r="O117" s="113"/>
      <c r="P117" s="112"/>
    </row>
    <row r="118" spans="1:16" s="34" customFormat="1" ht="14.25" thickTop="1" thickBot="1" x14ac:dyDescent="0.25">
      <c r="A118" s="143"/>
      <c r="B118" s="143"/>
      <c r="C118" s="143"/>
      <c r="D118" s="165"/>
      <c r="E118" s="84"/>
      <c r="F118" s="46"/>
      <c r="G118" s="46"/>
      <c r="H118" s="46"/>
      <c r="I118" s="46"/>
      <c r="J118" s="46"/>
      <c r="K118" s="46"/>
      <c r="L118" s="46"/>
      <c r="M118" s="46"/>
      <c r="N118" s="46"/>
      <c r="O118" s="46"/>
      <c r="P118" s="46"/>
    </row>
    <row r="119" spans="1:16" s="38" customFormat="1" ht="18.75" customHeight="1" thickTop="1" thickBot="1" x14ac:dyDescent="0.3">
      <c r="A119" s="2588" t="s">
        <v>257</v>
      </c>
      <c r="B119" s="2589"/>
      <c r="C119" s="2589"/>
      <c r="D119" s="2589"/>
      <c r="E119" s="2589"/>
      <c r="F119" s="2589"/>
      <c r="G119" s="2589"/>
      <c r="H119" s="2589"/>
      <c r="I119" s="2589"/>
      <c r="J119" s="2589"/>
      <c r="K119" s="2589"/>
      <c r="L119" s="2589"/>
      <c r="M119" s="2589"/>
      <c r="N119" s="2589"/>
      <c r="O119" s="2589"/>
      <c r="P119" s="2590"/>
    </row>
    <row r="120" spans="1:16" s="39" customFormat="1" x14ac:dyDescent="0.2">
      <c r="A120" s="2598" t="s">
        <v>1824</v>
      </c>
      <c r="B120" s="2599"/>
      <c r="C120" s="2600">
        <f>C2</f>
        <v>0</v>
      </c>
      <c r="D120" s="2054" t="s">
        <v>2616</v>
      </c>
      <c r="E120" s="127" t="str">
        <f>$E$2</f>
        <v>BUDGET ITEMS</v>
      </c>
      <c r="F120" s="2576" t="s">
        <v>2215</v>
      </c>
      <c r="G120" s="2577"/>
      <c r="H120" s="2577"/>
      <c r="I120" s="2577"/>
      <c r="J120" s="2577"/>
      <c r="K120" s="2577"/>
      <c r="L120" s="2577"/>
      <c r="M120" s="2577"/>
      <c r="N120" s="2577"/>
      <c r="O120" s="2577"/>
      <c r="P120" s="2578"/>
    </row>
    <row r="121" spans="1:16" s="34" customFormat="1" ht="12.75" customHeight="1" thickBot="1" x14ac:dyDescent="0.25">
      <c r="A121" s="1526" t="str">
        <f>A3</f>
        <v>2014/15</v>
      </c>
      <c r="B121" s="40" t="str">
        <f>B3</f>
        <v>2015/16</v>
      </c>
      <c r="C121" s="1257" t="str">
        <f>C3</f>
        <v>2016/17</v>
      </c>
      <c r="D121" s="162" t="str">
        <f>D3</f>
        <v>ACCOUNT</v>
      </c>
      <c r="E121" s="68"/>
      <c r="F121" s="40" t="str">
        <f t="shared" ref="F121:O121" si="4">F3</f>
        <v>2017/18</v>
      </c>
      <c r="G121" s="40" t="str">
        <f t="shared" si="4"/>
        <v>2018/19</v>
      </c>
      <c r="H121" s="40" t="str">
        <f t="shared" si="4"/>
        <v>2019/20</v>
      </c>
      <c r="I121" s="40" t="str">
        <f t="shared" si="4"/>
        <v>2020/21</v>
      </c>
      <c r="J121" s="40" t="str">
        <f t="shared" si="4"/>
        <v>2021/22</v>
      </c>
      <c r="K121" s="40" t="str">
        <f t="shared" si="4"/>
        <v>2022/23</v>
      </c>
      <c r="L121" s="40" t="str">
        <f t="shared" si="4"/>
        <v>2023/24</v>
      </c>
      <c r="M121" s="1257" t="str">
        <f t="shared" si="4"/>
        <v>2024/25</v>
      </c>
      <c r="N121" s="28" t="str">
        <f t="shared" si="4"/>
        <v>2025/26</v>
      </c>
      <c r="O121" s="28" t="str">
        <f t="shared" si="4"/>
        <v>2026/27</v>
      </c>
      <c r="P121" s="1620" t="str">
        <f t="shared" ref="P121" si="5">P3</f>
        <v>2027/28</v>
      </c>
    </row>
    <row r="122" spans="1:16" s="34" customFormat="1" ht="12.75" customHeight="1" x14ac:dyDescent="0.2">
      <c r="A122" s="528"/>
      <c r="B122" s="150"/>
      <c r="C122" s="152"/>
      <c r="D122" s="2048"/>
      <c r="E122" s="9"/>
      <c r="F122" s="150"/>
      <c r="G122" s="150"/>
      <c r="H122" s="150"/>
      <c r="I122" s="150"/>
      <c r="J122" s="150"/>
      <c r="K122" s="150"/>
      <c r="L122" s="150"/>
      <c r="M122" s="152"/>
      <c r="N122" s="150"/>
      <c r="O122" s="150"/>
      <c r="P122" s="381"/>
    </row>
    <row r="123" spans="1:16" s="34" customFormat="1" x14ac:dyDescent="0.2">
      <c r="A123" s="1440"/>
      <c r="B123" s="134"/>
      <c r="C123" s="136"/>
      <c r="D123" s="167"/>
      <c r="E123" s="21" t="s">
        <v>2780</v>
      </c>
      <c r="F123" s="9"/>
      <c r="G123" s="9"/>
      <c r="H123" s="9"/>
      <c r="I123" s="9"/>
      <c r="J123" s="9"/>
      <c r="K123" s="9"/>
      <c r="L123" s="9"/>
      <c r="M123" s="89"/>
      <c r="N123" s="9"/>
      <c r="O123" s="9"/>
      <c r="P123" s="61"/>
    </row>
    <row r="124" spans="1:16" s="34" customFormat="1" x14ac:dyDescent="0.2">
      <c r="A124" s="427"/>
      <c r="B124" s="97">
        <v>910100</v>
      </c>
      <c r="C124" s="99"/>
      <c r="D124" s="578" t="s">
        <v>1041</v>
      </c>
      <c r="E124" s="79" t="s">
        <v>4411</v>
      </c>
      <c r="F124" s="97"/>
      <c r="G124" s="97">
        <v>1350000</v>
      </c>
      <c r="H124" s="97">
        <f>G124</f>
        <v>1350000</v>
      </c>
      <c r="I124" s="97"/>
      <c r="J124" s="97"/>
      <c r="K124" s="97"/>
      <c r="L124" s="97"/>
      <c r="M124" s="99"/>
      <c r="N124" s="97"/>
      <c r="O124" s="97"/>
      <c r="P124" s="741"/>
    </row>
    <row r="125" spans="1:16" s="34" customFormat="1" x14ac:dyDescent="0.2">
      <c r="A125" s="427">
        <v>261800</v>
      </c>
      <c r="B125" s="97">
        <v>750100</v>
      </c>
      <c r="C125" s="99">
        <v>719600</v>
      </c>
      <c r="D125" s="578" t="s">
        <v>6294</v>
      </c>
      <c r="E125" s="79" t="s">
        <v>4410</v>
      </c>
      <c r="F125" s="97"/>
      <c r="G125" s="97">
        <v>1325000</v>
      </c>
      <c r="H125" s="97">
        <f t="shared" ref="H125:P125" si="6">G125</f>
        <v>1325000</v>
      </c>
      <c r="I125" s="97">
        <v>600000</v>
      </c>
      <c r="J125" s="97">
        <f t="shared" si="6"/>
        <v>600000</v>
      </c>
      <c r="K125" s="97">
        <f t="shared" si="6"/>
        <v>600000</v>
      </c>
      <c r="L125" s="97">
        <f t="shared" si="6"/>
        <v>600000</v>
      </c>
      <c r="M125" s="99">
        <f t="shared" si="6"/>
        <v>600000</v>
      </c>
      <c r="N125" s="97">
        <f t="shared" si="6"/>
        <v>600000</v>
      </c>
      <c r="O125" s="97">
        <f t="shared" si="6"/>
        <v>600000</v>
      </c>
      <c r="P125" s="741">
        <f t="shared" si="6"/>
        <v>600000</v>
      </c>
    </row>
    <row r="126" spans="1:16" s="39" customFormat="1" x14ac:dyDescent="0.2">
      <c r="A126" s="1532">
        <f>SUBTOTAL(9,A123:A125)</f>
        <v>261800</v>
      </c>
      <c r="B126" s="624">
        <f>SUBTOTAL(9,B123:B125)</f>
        <v>1660200</v>
      </c>
      <c r="C126" s="463">
        <f t="shared" ref="C126" si="7">SUBTOTAL(9,C123:C125)</f>
        <v>719600</v>
      </c>
      <c r="D126" s="372"/>
      <c r="E126" s="280" t="s">
        <v>57</v>
      </c>
      <c r="F126" s="624">
        <f t="shared" ref="F126:N126" si="8">SUBTOTAL(9,F123:F125)</f>
        <v>0</v>
      </c>
      <c r="G126" s="624">
        <f t="shared" si="8"/>
        <v>2675000</v>
      </c>
      <c r="H126" s="624">
        <f t="shared" si="8"/>
        <v>2675000</v>
      </c>
      <c r="I126" s="624">
        <f t="shared" si="8"/>
        <v>600000</v>
      </c>
      <c r="J126" s="624">
        <f t="shared" si="8"/>
        <v>600000</v>
      </c>
      <c r="K126" s="624">
        <f t="shared" si="8"/>
        <v>600000</v>
      </c>
      <c r="L126" s="624">
        <f t="shared" si="8"/>
        <v>600000</v>
      </c>
      <c r="M126" s="463">
        <f t="shared" si="8"/>
        <v>600000</v>
      </c>
      <c r="N126" s="624">
        <f t="shared" si="8"/>
        <v>600000</v>
      </c>
      <c r="O126" s="624">
        <f t="shared" ref="O126:P126" si="9">SUBTOTAL(9,O123:O125)</f>
        <v>600000</v>
      </c>
      <c r="P126" s="899">
        <f t="shared" si="9"/>
        <v>600000</v>
      </c>
    </row>
    <row r="127" spans="1:16" s="34" customFormat="1" x14ac:dyDescent="0.2">
      <c r="A127" s="427"/>
      <c r="B127" s="97"/>
      <c r="C127" s="99"/>
      <c r="D127" s="239"/>
      <c r="E127" s="9"/>
      <c r="F127" s="97"/>
      <c r="G127" s="97"/>
      <c r="H127" s="97"/>
      <c r="I127" s="97"/>
      <c r="J127" s="97"/>
      <c r="K127" s="97"/>
      <c r="L127" s="97"/>
      <c r="M127" s="99"/>
      <c r="N127" s="97"/>
      <c r="O127" s="97"/>
      <c r="P127" s="741"/>
    </row>
    <row r="128" spans="1:16" s="34" customFormat="1" x14ac:dyDescent="0.2">
      <c r="A128" s="427"/>
      <c r="B128" s="97"/>
      <c r="C128" s="99"/>
      <c r="D128" s="85"/>
      <c r="E128" s="21" t="s">
        <v>2779</v>
      </c>
      <c r="F128" s="97"/>
      <c r="G128" s="97"/>
      <c r="H128" s="97"/>
      <c r="I128" s="97"/>
      <c r="J128" s="97"/>
      <c r="K128" s="97"/>
      <c r="L128" s="97"/>
      <c r="M128" s="99"/>
      <c r="N128" s="97"/>
      <c r="O128" s="97"/>
      <c r="P128" s="741"/>
    </row>
    <row r="129" spans="1:16" s="34" customFormat="1" x14ac:dyDescent="0.2">
      <c r="A129" s="427"/>
      <c r="B129" s="97"/>
      <c r="C129" s="99"/>
      <c r="D129" s="578" t="s">
        <v>6470</v>
      </c>
      <c r="E129" s="79" t="s">
        <v>4412</v>
      </c>
      <c r="F129" s="97">
        <f>90000+225000</f>
        <v>315000</v>
      </c>
      <c r="G129" s="97"/>
      <c r="H129" s="97">
        <f>G129</f>
        <v>0</v>
      </c>
      <c r="I129" s="97">
        <v>360000</v>
      </c>
      <c r="J129" s="97">
        <f t="shared" ref="J129:P129" si="10">I129</f>
        <v>360000</v>
      </c>
      <c r="K129" s="97">
        <f t="shared" si="10"/>
        <v>360000</v>
      </c>
      <c r="L129" s="97">
        <f t="shared" si="10"/>
        <v>360000</v>
      </c>
      <c r="M129" s="99">
        <f t="shared" si="10"/>
        <v>360000</v>
      </c>
      <c r="N129" s="97">
        <f t="shared" si="10"/>
        <v>360000</v>
      </c>
      <c r="O129" s="97">
        <f t="shared" si="10"/>
        <v>360000</v>
      </c>
      <c r="P129" s="741">
        <f t="shared" si="10"/>
        <v>360000</v>
      </c>
    </row>
    <row r="130" spans="1:16" s="34" customFormat="1" ht="12.75" customHeight="1" x14ac:dyDescent="0.2">
      <c r="A130" s="1527"/>
      <c r="B130" s="822"/>
      <c r="C130" s="1203"/>
      <c r="D130" s="914" t="s">
        <v>7233</v>
      </c>
      <c r="E130" s="79" t="s">
        <v>5844</v>
      </c>
      <c r="F130" s="822">
        <v>1300000</v>
      </c>
      <c r="G130" s="1108"/>
      <c r="H130" s="1108"/>
      <c r="I130" s="1108"/>
      <c r="J130" s="1108"/>
      <c r="K130" s="1108"/>
      <c r="L130" s="1108"/>
      <c r="M130" s="1524"/>
      <c r="N130" s="1108"/>
      <c r="O130" s="1108"/>
      <c r="P130" s="2055"/>
    </row>
    <row r="131" spans="1:16" s="39" customFormat="1" x14ac:dyDescent="0.2">
      <c r="A131" s="1532">
        <f>SUBTOTAL(9,A128:A130)</f>
        <v>0</v>
      </c>
      <c r="B131" s="624">
        <f>SUBTOTAL(9,B128:B130)</f>
        <v>0</v>
      </c>
      <c r="C131" s="463">
        <f t="shared" ref="C131" si="11">SUBTOTAL(9,C128:C130)</f>
        <v>0</v>
      </c>
      <c r="D131" s="372"/>
      <c r="E131" s="280" t="s">
        <v>58</v>
      </c>
      <c r="F131" s="624">
        <f t="shared" ref="F131:O131" si="12">SUBTOTAL(9,F128:F130)</f>
        <v>1615000</v>
      </c>
      <c r="G131" s="624">
        <f t="shared" si="12"/>
        <v>0</v>
      </c>
      <c r="H131" s="624">
        <f t="shared" si="12"/>
        <v>0</v>
      </c>
      <c r="I131" s="624">
        <f t="shared" si="12"/>
        <v>360000</v>
      </c>
      <c r="J131" s="624">
        <f t="shared" si="12"/>
        <v>360000</v>
      </c>
      <c r="K131" s="624">
        <f t="shared" si="12"/>
        <v>360000</v>
      </c>
      <c r="L131" s="624">
        <f t="shared" si="12"/>
        <v>360000</v>
      </c>
      <c r="M131" s="463">
        <f t="shared" si="12"/>
        <v>360000</v>
      </c>
      <c r="N131" s="624">
        <f t="shared" si="12"/>
        <v>360000</v>
      </c>
      <c r="O131" s="624">
        <f t="shared" si="12"/>
        <v>360000</v>
      </c>
      <c r="P131" s="899">
        <f t="shared" ref="P131" si="13">SUBTOTAL(9,P128:P130)</f>
        <v>360000</v>
      </c>
    </row>
    <row r="132" spans="1:16" s="39" customFormat="1" x14ac:dyDescent="0.2">
      <c r="A132" s="429"/>
      <c r="B132" s="103"/>
      <c r="C132" s="269"/>
      <c r="D132" s="173"/>
      <c r="E132" s="21"/>
      <c r="F132" s="103"/>
      <c r="G132" s="103"/>
      <c r="H132" s="103"/>
      <c r="I132" s="103"/>
      <c r="J132" s="103"/>
      <c r="K132" s="103"/>
      <c r="L132" s="103"/>
      <c r="M132" s="269"/>
      <c r="N132" s="103"/>
      <c r="O132" s="103"/>
      <c r="P132" s="715"/>
    </row>
    <row r="133" spans="1:16" s="34" customFormat="1" ht="12.75" customHeight="1" x14ac:dyDescent="0.2">
      <c r="A133" s="1533"/>
      <c r="B133" s="1108"/>
      <c r="C133" s="1524"/>
      <c r="D133" s="2048"/>
      <c r="E133" s="21" t="s">
        <v>1739</v>
      </c>
      <c r="F133" s="1108"/>
      <c r="G133" s="1108"/>
      <c r="H133" s="1108"/>
      <c r="I133" s="1108"/>
      <c r="J133" s="1108"/>
      <c r="K133" s="1108"/>
      <c r="L133" s="1108"/>
      <c r="M133" s="1524"/>
      <c r="N133" s="1108"/>
      <c r="O133" s="1108"/>
      <c r="P133" s="2055"/>
    </row>
    <row r="134" spans="1:16" s="34" customFormat="1" ht="12.75" customHeight="1" x14ac:dyDescent="0.2">
      <c r="A134" s="1527">
        <v>195300</v>
      </c>
      <c r="B134" s="822"/>
      <c r="C134" s="1203"/>
      <c r="D134" s="914" t="s">
        <v>3944</v>
      </c>
      <c r="E134" s="79" t="s">
        <v>4409</v>
      </c>
      <c r="F134" s="822"/>
      <c r="G134" s="1108"/>
      <c r="H134" s="1108"/>
      <c r="I134" s="1108"/>
      <c r="J134" s="1108"/>
      <c r="K134" s="1108"/>
      <c r="L134" s="1108"/>
      <c r="M134" s="1524"/>
      <c r="N134" s="1108"/>
      <c r="O134" s="1108"/>
      <c r="P134" s="2055"/>
    </row>
    <row r="135" spans="1:16" s="34" customFormat="1" ht="12.75" customHeight="1" x14ac:dyDescent="0.2">
      <c r="A135" s="1527">
        <v>2249600</v>
      </c>
      <c r="B135" s="822">
        <v>175600</v>
      </c>
      <c r="C135" s="1203">
        <v>387500</v>
      </c>
      <c r="D135" s="914" t="s">
        <v>6295</v>
      </c>
      <c r="E135" s="79" t="s">
        <v>487</v>
      </c>
      <c r="F135" s="822">
        <v>3990000</v>
      </c>
      <c r="G135" s="822">
        <v>1980000</v>
      </c>
      <c r="H135" s="822">
        <v>1980000</v>
      </c>
      <c r="I135" s="822">
        <v>1980000</v>
      </c>
      <c r="J135" s="822">
        <v>440000</v>
      </c>
      <c r="K135" s="822"/>
      <c r="L135" s="822"/>
      <c r="M135" s="1203"/>
      <c r="N135" s="822"/>
      <c r="O135" s="822"/>
      <c r="P135" s="915"/>
    </row>
    <row r="136" spans="1:16" s="34" customFormat="1" ht="12.75" customHeight="1" x14ac:dyDescent="0.2">
      <c r="A136" s="1527">
        <v>33700</v>
      </c>
      <c r="B136" s="822"/>
      <c r="C136" s="1203"/>
      <c r="D136" s="914"/>
      <c r="E136" s="79" t="s">
        <v>5514</v>
      </c>
      <c r="F136" s="822"/>
      <c r="G136" s="822"/>
      <c r="H136" s="822"/>
      <c r="I136" s="822"/>
      <c r="J136" s="822"/>
      <c r="K136" s="822"/>
      <c r="L136" s="822"/>
      <c r="M136" s="1203"/>
      <c r="N136" s="822"/>
      <c r="O136" s="822"/>
      <c r="P136" s="915"/>
    </row>
    <row r="137" spans="1:16" s="34" customFormat="1" ht="12.75" customHeight="1" x14ac:dyDescent="0.2">
      <c r="A137" s="1527"/>
      <c r="B137" s="822"/>
      <c r="C137" s="1203"/>
      <c r="D137" s="914"/>
      <c r="E137" s="79" t="s">
        <v>6433</v>
      </c>
      <c r="F137" s="822"/>
      <c r="G137" s="822"/>
      <c r="H137" s="822"/>
      <c r="I137" s="822"/>
      <c r="J137" s="822"/>
      <c r="K137" s="822"/>
      <c r="L137" s="822"/>
      <c r="M137" s="1203"/>
      <c r="N137" s="822"/>
      <c r="O137" s="822"/>
      <c r="P137" s="915"/>
    </row>
    <row r="138" spans="1:16" s="34" customFormat="1" ht="12.75" customHeight="1" x14ac:dyDescent="0.2">
      <c r="A138" s="1527"/>
      <c r="B138" s="822"/>
      <c r="C138" s="1203">
        <v>203200</v>
      </c>
      <c r="D138" s="914"/>
      <c r="E138" s="79" t="s">
        <v>6645</v>
      </c>
      <c r="F138" s="822"/>
      <c r="G138" s="822"/>
      <c r="H138" s="822"/>
      <c r="I138" s="822"/>
      <c r="J138" s="822"/>
      <c r="K138" s="822"/>
      <c r="L138" s="822"/>
      <c r="M138" s="1203"/>
      <c r="N138" s="822"/>
      <c r="O138" s="822"/>
      <c r="P138" s="915"/>
    </row>
    <row r="139" spans="1:16" s="34" customFormat="1" ht="12.75" customHeight="1" x14ac:dyDescent="0.2">
      <c r="A139" s="1527"/>
      <c r="B139" s="822"/>
      <c r="C139" s="1203"/>
      <c r="D139" s="914" t="s">
        <v>6296</v>
      </c>
      <c r="E139" s="79" t="s">
        <v>5843</v>
      </c>
      <c r="F139" s="822">
        <v>2500000</v>
      </c>
      <c r="G139" s="822"/>
      <c r="H139" s="822"/>
      <c r="I139" s="822"/>
      <c r="J139" s="822"/>
      <c r="K139" s="822"/>
      <c r="L139" s="822"/>
      <c r="M139" s="1203"/>
      <c r="N139" s="822"/>
      <c r="O139" s="822"/>
      <c r="P139" s="915"/>
    </row>
    <row r="140" spans="1:16" s="34" customFormat="1" ht="12.75" customHeight="1" x14ac:dyDescent="0.2">
      <c r="A140" s="1527"/>
      <c r="B140" s="822"/>
      <c r="C140" s="1203"/>
      <c r="D140" s="914"/>
      <c r="E140" s="79" t="s">
        <v>6951</v>
      </c>
      <c r="F140" s="822"/>
      <c r="G140" s="822">
        <v>3000000</v>
      </c>
      <c r="H140" s="822"/>
      <c r="I140" s="822"/>
      <c r="J140" s="822"/>
      <c r="K140" s="822"/>
      <c r="L140" s="822"/>
      <c r="M140" s="1203"/>
      <c r="N140" s="822"/>
      <c r="O140" s="822"/>
      <c r="P140" s="915"/>
    </row>
    <row r="141" spans="1:16" s="34" customFormat="1" ht="12.75" customHeight="1" x14ac:dyDescent="0.2">
      <c r="A141" s="1527"/>
      <c r="B141" s="822">
        <v>450600</v>
      </c>
      <c r="C141" s="1203"/>
      <c r="D141" s="914" t="s">
        <v>5829</v>
      </c>
      <c r="E141" s="79" t="s">
        <v>5833</v>
      </c>
      <c r="F141" s="822"/>
      <c r="G141" s="822"/>
      <c r="H141" s="822"/>
      <c r="I141" s="822"/>
      <c r="J141" s="822"/>
      <c r="K141" s="822"/>
      <c r="L141" s="822"/>
      <c r="M141" s="1203"/>
      <c r="N141" s="822"/>
      <c r="O141" s="822"/>
      <c r="P141" s="915"/>
    </row>
    <row r="142" spans="1:16" s="34" customFormat="1" ht="12.75" customHeight="1" x14ac:dyDescent="0.2">
      <c r="A142" s="1527">
        <v>69400</v>
      </c>
      <c r="B142" s="822"/>
      <c r="C142" s="1203"/>
      <c r="D142" s="914" t="s">
        <v>4064</v>
      </c>
      <c r="E142" s="79" t="s">
        <v>5834</v>
      </c>
      <c r="F142" s="822"/>
      <c r="G142" s="822"/>
      <c r="H142" s="822"/>
      <c r="I142" s="822"/>
      <c r="J142" s="822"/>
      <c r="K142" s="822"/>
      <c r="L142" s="822"/>
      <c r="M142" s="1203"/>
      <c r="N142" s="822"/>
      <c r="O142" s="822"/>
      <c r="P142" s="915"/>
    </row>
    <row r="143" spans="1:16" s="39" customFormat="1" x14ac:dyDescent="0.2">
      <c r="A143" s="1532">
        <f>SUBTOTAL(9,A134:A142)</f>
        <v>2548000</v>
      </c>
      <c r="B143" s="624">
        <f>SUBTOTAL(9,B134:B142)</f>
        <v>626200</v>
      </c>
      <c r="C143" s="463">
        <f t="shared" ref="C143" si="14">SUBTOTAL(9,C134:C142)</f>
        <v>590700</v>
      </c>
      <c r="D143" s="372"/>
      <c r="E143" s="280" t="s">
        <v>1946</v>
      </c>
      <c r="F143" s="624">
        <f t="shared" ref="F143:N143" si="15">SUBTOTAL(9,F134:F142)</f>
        <v>6490000</v>
      </c>
      <c r="G143" s="624">
        <f t="shared" si="15"/>
        <v>4980000</v>
      </c>
      <c r="H143" s="624">
        <f t="shared" si="15"/>
        <v>1980000</v>
      </c>
      <c r="I143" s="624">
        <f t="shared" si="15"/>
        <v>1980000</v>
      </c>
      <c r="J143" s="624">
        <f t="shared" si="15"/>
        <v>440000</v>
      </c>
      <c r="K143" s="624">
        <f t="shared" si="15"/>
        <v>0</v>
      </c>
      <c r="L143" s="624">
        <f t="shared" si="15"/>
        <v>0</v>
      </c>
      <c r="M143" s="463">
        <f t="shared" si="15"/>
        <v>0</v>
      </c>
      <c r="N143" s="624">
        <f t="shared" si="15"/>
        <v>0</v>
      </c>
      <c r="O143" s="624">
        <f t="shared" ref="O143:P143" si="16">SUBTOTAL(9,O134:O142)</f>
        <v>0</v>
      </c>
      <c r="P143" s="899">
        <f t="shared" si="16"/>
        <v>0</v>
      </c>
    </row>
    <row r="144" spans="1:16" s="34" customFormat="1" ht="13.5" thickBot="1" x14ac:dyDescent="0.25">
      <c r="A144" s="427"/>
      <c r="B144" s="97"/>
      <c r="C144" s="99"/>
      <c r="D144" s="249"/>
      <c r="E144" s="68"/>
      <c r="F144" s="97"/>
      <c r="G144" s="97"/>
      <c r="H144" s="97"/>
      <c r="I144" s="97"/>
      <c r="J144" s="97"/>
      <c r="K144" s="97"/>
      <c r="L144" s="97"/>
      <c r="M144" s="99"/>
      <c r="N144" s="97"/>
      <c r="O144" s="97"/>
      <c r="P144" s="741"/>
    </row>
    <row r="145" spans="1:16" s="39" customFormat="1" x14ac:dyDescent="0.2">
      <c r="A145" s="428">
        <f>SUBTOTAL(9,A124:A144)</f>
        <v>2809800</v>
      </c>
      <c r="B145" s="100">
        <f>SUBTOTAL(9,B124:B144)</f>
        <v>2286400</v>
      </c>
      <c r="C145" s="101">
        <f t="shared" ref="C145" si="17">SUBTOTAL(9,C124:C144)</f>
        <v>1310300</v>
      </c>
      <c r="D145" s="701"/>
      <c r="E145" s="267" t="s">
        <v>1467</v>
      </c>
      <c r="F145" s="100">
        <f t="shared" ref="F145:O145" si="18">SUBTOTAL(9,F124:F144)</f>
        <v>8105000</v>
      </c>
      <c r="G145" s="100">
        <f t="shared" si="18"/>
        <v>7655000</v>
      </c>
      <c r="H145" s="100">
        <f t="shared" si="18"/>
        <v>4655000</v>
      </c>
      <c r="I145" s="100">
        <f t="shared" si="18"/>
        <v>2940000</v>
      </c>
      <c r="J145" s="100">
        <f t="shared" si="18"/>
        <v>1400000</v>
      </c>
      <c r="K145" s="100">
        <f t="shared" si="18"/>
        <v>960000</v>
      </c>
      <c r="L145" s="100">
        <f t="shared" si="18"/>
        <v>960000</v>
      </c>
      <c r="M145" s="101">
        <f t="shared" si="18"/>
        <v>960000</v>
      </c>
      <c r="N145" s="100">
        <f t="shared" si="18"/>
        <v>960000</v>
      </c>
      <c r="O145" s="100">
        <f t="shared" si="18"/>
        <v>960000</v>
      </c>
      <c r="P145" s="900">
        <f t="shared" ref="P145" si="19">SUBTOTAL(9,P124:P144)</f>
        <v>960000</v>
      </c>
    </row>
    <row r="146" spans="1:16" s="34" customFormat="1" ht="13.5" thickBot="1" x14ac:dyDescent="0.25">
      <c r="A146" s="1529"/>
      <c r="B146" s="146"/>
      <c r="C146" s="141"/>
      <c r="D146" s="1169"/>
      <c r="E146" s="259"/>
      <c r="F146" s="23"/>
      <c r="G146" s="23"/>
      <c r="H146" s="23"/>
      <c r="I146" s="23"/>
      <c r="J146" s="23"/>
      <c r="K146" s="23"/>
      <c r="L146" s="23"/>
      <c r="M146" s="113"/>
      <c r="N146" s="23"/>
      <c r="O146" s="23"/>
      <c r="P146" s="112"/>
    </row>
    <row r="147" spans="1:16" s="46" customFormat="1" ht="14.25" thickTop="1" thickBot="1" x14ac:dyDescent="0.25">
      <c r="A147" s="143"/>
      <c r="B147" s="143"/>
      <c r="C147" s="143"/>
      <c r="D147" s="165"/>
      <c r="E147" s="84"/>
    </row>
    <row r="148" spans="1:16" s="38" customFormat="1" ht="18.75" customHeight="1" thickTop="1" thickBot="1" x14ac:dyDescent="0.3">
      <c r="A148" s="2588" t="s">
        <v>1397</v>
      </c>
      <c r="B148" s="2589"/>
      <c r="C148" s="2589"/>
      <c r="D148" s="2589"/>
      <c r="E148" s="2589"/>
      <c r="F148" s="2589"/>
      <c r="G148" s="2589"/>
      <c r="H148" s="2589"/>
      <c r="I148" s="2589"/>
      <c r="J148" s="2589"/>
      <c r="K148" s="2589"/>
      <c r="L148" s="2589"/>
      <c r="M148" s="2589"/>
      <c r="N148" s="2589"/>
      <c r="O148" s="2589"/>
      <c r="P148" s="2590"/>
    </row>
    <row r="149" spans="1:16" s="39" customFormat="1" x14ac:dyDescent="0.2">
      <c r="A149" s="2598" t="s">
        <v>1824</v>
      </c>
      <c r="B149" s="2599"/>
      <c r="C149" s="2600"/>
      <c r="D149" s="2054" t="s">
        <v>2616</v>
      </c>
      <c r="E149" s="127" t="str">
        <f>$E$2</f>
        <v>BUDGET ITEMS</v>
      </c>
      <c r="F149" s="2576" t="s">
        <v>2215</v>
      </c>
      <c r="G149" s="2577"/>
      <c r="H149" s="2577"/>
      <c r="I149" s="2577"/>
      <c r="J149" s="2577"/>
      <c r="K149" s="2577"/>
      <c r="L149" s="2577"/>
      <c r="M149" s="2577"/>
      <c r="N149" s="2577"/>
      <c r="O149" s="2577"/>
      <c r="P149" s="2578"/>
    </row>
    <row r="150" spans="1:16" s="34" customFormat="1" ht="12.75" customHeight="1" thickBot="1" x14ac:dyDescent="0.25">
      <c r="A150" s="1526" t="str">
        <f>A121</f>
        <v>2014/15</v>
      </c>
      <c r="B150" s="40" t="str">
        <f>B121</f>
        <v>2015/16</v>
      </c>
      <c r="C150" s="1257" t="str">
        <f t="shared" ref="C150" si="20">C121</f>
        <v>2016/17</v>
      </c>
      <c r="D150" s="162" t="str">
        <f>D121</f>
        <v>ACCOUNT</v>
      </c>
      <c r="E150" s="68"/>
      <c r="F150" s="40" t="str">
        <f t="shared" ref="F150:O150" si="21">F121</f>
        <v>2017/18</v>
      </c>
      <c r="G150" s="40" t="str">
        <f t="shared" si="21"/>
        <v>2018/19</v>
      </c>
      <c r="H150" s="40" t="str">
        <f t="shared" si="21"/>
        <v>2019/20</v>
      </c>
      <c r="I150" s="40" t="str">
        <f t="shared" si="21"/>
        <v>2020/21</v>
      </c>
      <c r="J150" s="40" t="str">
        <f t="shared" si="21"/>
        <v>2021/22</v>
      </c>
      <c r="K150" s="40" t="str">
        <f t="shared" si="21"/>
        <v>2022/23</v>
      </c>
      <c r="L150" s="40" t="str">
        <f t="shared" si="21"/>
        <v>2023/24</v>
      </c>
      <c r="M150" s="40" t="str">
        <f t="shared" si="21"/>
        <v>2024/25</v>
      </c>
      <c r="N150" s="40" t="str">
        <f t="shared" si="21"/>
        <v>2025/26</v>
      </c>
      <c r="O150" s="40" t="str">
        <f t="shared" si="21"/>
        <v>2026/27</v>
      </c>
      <c r="P150" s="1620" t="str">
        <f t="shared" ref="P150" si="22">P121</f>
        <v>2027/28</v>
      </c>
    </row>
    <row r="151" spans="1:16" s="34" customFormat="1" ht="12.75" customHeight="1" x14ac:dyDescent="0.2">
      <c r="A151" s="528"/>
      <c r="B151" s="150"/>
      <c r="C151" s="152"/>
      <c r="D151" s="2048"/>
      <c r="E151" s="9"/>
      <c r="F151" s="150"/>
      <c r="G151" s="150"/>
      <c r="H151" s="150"/>
      <c r="I151" s="150"/>
      <c r="J151" s="150"/>
      <c r="K151" s="150"/>
      <c r="L151" s="150"/>
      <c r="M151" s="150"/>
      <c r="N151" s="150"/>
      <c r="O151" s="150"/>
      <c r="P151" s="381"/>
    </row>
    <row r="152" spans="1:16" s="34" customFormat="1" ht="12.75" customHeight="1" x14ac:dyDescent="0.2">
      <c r="A152" s="528"/>
      <c r="B152" s="152"/>
      <c r="C152" s="152"/>
      <c r="D152" s="2048"/>
      <c r="E152" s="21" t="s">
        <v>1393</v>
      </c>
      <c r="F152" s="150"/>
      <c r="G152" s="150"/>
      <c r="H152" s="150"/>
      <c r="I152" s="150"/>
      <c r="J152" s="150"/>
      <c r="K152" s="150"/>
      <c r="L152" s="150"/>
      <c r="M152" s="150"/>
      <c r="N152" s="150"/>
      <c r="O152" s="150"/>
      <c r="P152" s="381"/>
    </row>
    <row r="153" spans="1:16" s="34" customFormat="1" ht="12.75" customHeight="1" x14ac:dyDescent="0.2">
      <c r="A153" s="1527">
        <v>725000</v>
      </c>
      <c r="B153" s="1135">
        <v>500000</v>
      </c>
      <c r="C153" s="1203">
        <v>0</v>
      </c>
      <c r="D153" s="773" t="s">
        <v>7238</v>
      </c>
      <c r="E153" s="79" t="s">
        <v>6955</v>
      </c>
      <c r="F153" s="822">
        <v>2400000</v>
      </c>
      <c r="G153" s="1525"/>
      <c r="H153" s="1525"/>
      <c r="I153" s="1525"/>
      <c r="J153" s="1525"/>
      <c r="K153" s="1525"/>
      <c r="L153" s="1525"/>
      <c r="M153" s="1525"/>
      <c r="N153" s="1525"/>
      <c r="O153" s="1525"/>
      <c r="P153" s="2056"/>
    </row>
    <row r="154" spans="1:16" s="34" customFormat="1" ht="12.75" customHeight="1" x14ac:dyDescent="0.2">
      <c r="A154" s="1527"/>
      <c r="B154" s="1135"/>
      <c r="C154" s="1135"/>
      <c r="D154" s="167"/>
      <c r="E154" s="9"/>
      <c r="F154" s="1525"/>
      <c r="G154" s="1525"/>
      <c r="H154" s="1525"/>
      <c r="I154" s="1525"/>
      <c r="J154" s="1525"/>
      <c r="K154" s="1525"/>
      <c r="L154" s="1525"/>
      <c r="M154" s="1525"/>
      <c r="N154" s="1525"/>
      <c r="O154" s="1525"/>
      <c r="P154" s="2056"/>
    </row>
    <row r="155" spans="1:16" s="34" customFormat="1" x14ac:dyDescent="0.2">
      <c r="A155" s="1527"/>
      <c r="B155" s="706"/>
      <c r="C155" s="707"/>
      <c r="D155" s="85"/>
      <c r="E155" s="21" t="s">
        <v>580</v>
      </c>
      <c r="F155" s="79"/>
      <c r="G155" s="79"/>
      <c r="H155" s="79"/>
      <c r="I155" s="79"/>
      <c r="J155" s="79"/>
      <c r="K155" s="79"/>
      <c r="L155" s="79"/>
      <c r="M155" s="79"/>
      <c r="N155" s="79"/>
      <c r="O155" s="79"/>
      <c r="P155" s="78"/>
    </row>
    <row r="156" spans="1:16" s="34" customFormat="1" x14ac:dyDescent="0.2">
      <c r="A156" s="1530"/>
      <c r="B156" s="706"/>
      <c r="C156" s="707"/>
      <c r="D156" s="126"/>
      <c r="E156" s="79" t="s">
        <v>6650</v>
      </c>
      <c r="F156" s="79"/>
      <c r="G156" s="79">
        <f>'Cap-Gen'!H130</f>
        <v>2500000</v>
      </c>
      <c r="H156" s="79"/>
      <c r="I156" s="79"/>
      <c r="J156" s="79"/>
      <c r="K156" s="79"/>
      <c r="L156" s="79"/>
      <c r="M156" s="79"/>
      <c r="N156" s="79"/>
      <c r="O156" s="79"/>
      <c r="P156" s="78"/>
    </row>
    <row r="157" spans="1:16" s="34" customFormat="1" x14ac:dyDescent="0.2">
      <c r="A157" s="1530"/>
      <c r="B157" s="706"/>
      <c r="C157" s="707"/>
      <c r="D157" s="126"/>
      <c r="E157" s="79" t="s">
        <v>5896</v>
      </c>
      <c r="F157" s="79"/>
      <c r="G157" s="79"/>
      <c r="H157" s="79"/>
      <c r="I157" s="79">
        <f>'Cap-Gen'!AS134</f>
        <v>5176000</v>
      </c>
      <c r="J157" s="79"/>
      <c r="K157" s="79"/>
      <c r="L157" s="79"/>
      <c r="M157" s="79"/>
      <c r="N157" s="79"/>
      <c r="O157" s="79"/>
      <c r="P157" s="78"/>
    </row>
    <row r="158" spans="1:16" s="34" customFormat="1" x14ac:dyDescent="0.2">
      <c r="A158" s="1530"/>
      <c r="B158" s="706"/>
      <c r="C158" s="707"/>
      <c r="D158" s="126"/>
      <c r="E158" s="79" t="s">
        <v>5897</v>
      </c>
      <c r="F158" s="79"/>
      <c r="G158" s="79"/>
      <c r="H158" s="79"/>
      <c r="I158" s="79">
        <f>'Cap-Gen'!AS135</f>
        <v>3123000</v>
      </c>
      <c r="J158" s="79"/>
      <c r="K158" s="79"/>
      <c r="L158" s="79"/>
      <c r="M158" s="79"/>
      <c r="N158" s="79"/>
      <c r="O158" s="79"/>
      <c r="P158" s="78"/>
    </row>
    <row r="159" spans="1:16" s="34" customFormat="1" x14ac:dyDescent="0.2">
      <c r="A159" s="1530"/>
      <c r="B159" s="706"/>
      <c r="C159" s="707"/>
      <c r="D159" s="126"/>
      <c r="E159" s="79" t="s">
        <v>5898</v>
      </c>
      <c r="F159" s="79"/>
      <c r="G159" s="79"/>
      <c r="H159" s="79"/>
      <c r="I159" s="79">
        <f>'Cap-Gen'!AS136</f>
        <v>41000</v>
      </c>
      <c r="J159" s="79"/>
      <c r="K159" s="79"/>
      <c r="L159" s="79"/>
      <c r="M159" s="79"/>
      <c r="N159" s="79"/>
      <c r="O159" s="79"/>
      <c r="P159" s="78"/>
    </row>
    <row r="160" spans="1:16" s="34" customFormat="1" x14ac:dyDescent="0.2">
      <c r="A160" s="1531"/>
      <c r="B160" s="706"/>
      <c r="C160" s="707"/>
      <c r="D160" s="85"/>
      <c r="E160" s="79"/>
      <c r="F160" s="79"/>
      <c r="G160" s="79"/>
      <c r="H160" s="79"/>
      <c r="I160" s="79"/>
      <c r="J160" s="79"/>
      <c r="K160" s="79"/>
      <c r="L160" s="79"/>
      <c r="M160" s="79"/>
      <c r="N160" s="79"/>
      <c r="O160" s="79"/>
      <c r="P160" s="78"/>
    </row>
    <row r="161" spans="1:16" s="34" customFormat="1" x14ac:dyDescent="0.2">
      <c r="A161" s="1531"/>
      <c r="B161" s="706"/>
      <c r="C161" s="707"/>
      <c r="D161" s="85"/>
      <c r="E161" s="21" t="s">
        <v>384</v>
      </c>
      <c r="F161" s="79"/>
      <c r="G161" s="79"/>
      <c r="H161" s="79"/>
      <c r="I161" s="79"/>
      <c r="J161" s="79"/>
      <c r="K161" s="79"/>
      <c r="L161" s="79"/>
      <c r="M161" s="79"/>
      <c r="N161" s="79"/>
      <c r="O161" s="79"/>
      <c r="P161" s="78"/>
    </row>
    <row r="162" spans="1:16" s="34" customFormat="1" x14ac:dyDescent="0.2">
      <c r="A162" s="1531"/>
      <c r="B162" s="706"/>
      <c r="C162" s="707">
        <v>3818100</v>
      </c>
      <c r="D162" s="584" t="s">
        <v>6297</v>
      </c>
      <c r="E162" s="79" t="s">
        <v>1156</v>
      </c>
      <c r="F162" s="79">
        <f>3309500+220000</f>
        <v>3529500</v>
      </c>
      <c r="G162" s="79"/>
      <c r="H162" s="79"/>
      <c r="I162" s="79"/>
      <c r="J162" s="79"/>
      <c r="K162" s="79"/>
      <c r="L162" s="79"/>
      <c r="M162" s="79"/>
      <c r="N162" s="79"/>
      <c r="O162" s="79"/>
      <c r="P162" s="78"/>
    </row>
    <row r="163" spans="1:16" s="34" customFormat="1" x14ac:dyDescent="0.2">
      <c r="A163" s="1531"/>
      <c r="B163" s="134"/>
      <c r="C163" s="707">
        <v>2893600</v>
      </c>
      <c r="D163" s="584" t="s">
        <v>6298</v>
      </c>
      <c r="E163" s="79" t="s">
        <v>1982</v>
      </c>
      <c r="F163" s="79">
        <f>2618300+300000</f>
        <v>2918300</v>
      </c>
      <c r="G163" s="9"/>
      <c r="H163" s="9"/>
      <c r="I163" s="9"/>
      <c r="J163" s="9"/>
      <c r="K163" s="9"/>
      <c r="L163" s="9"/>
      <c r="M163" s="9"/>
      <c r="N163" s="9"/>
      <c r="O163" s="9"/>
      <c r="P163" s="61"/>
    </row>
    <row r="164" spans="1:16" s="34" customFormat="1" ht="13.5" thickBot="1" x14ac:dyDescent="0.25">
      <c r="A164" s="1440"/>
      <c r="B164" s="134"/>
      <c r="C164" s="136"/>
      <c r="D164" s="126"/>
      <c r="E164" s="9"/>
      <c r="F164" s="9"/>
      <c r="G164" s="9"/>
      <c r="H164" s="9"/>
      <c r="I164" s="9"/>
      <c r="J164" s="9"/>
      <c r="K164" s="9"/>
      <c r="L164" s="9"/>
      <c r="M164" s="9"/>
      <c r="N164" s="9"/>
      <c r="O164" s="9"/>
      <c r="P164" s="61"/>
    </row>
    <row r="165" spans="1:16" s="39" customFormat="1" x14ac:dyDescent="0.2">
      <c r="A165" s="1528">
        <f>SUM(A152:A164)</f>
        <v>725000</v>
      </c>
      <c r="B165" s="145">
        <f>SUM(B152:B164)</f>
        <v>500000</v>
      </c>
      <c r="C165" s="137">
        <f>SUM(C152:C164)</f>
        <v>6711700</v>
      </c>
      <c r="D165" s="665"/>
      <c r="E165" s="1399" t="s">
        <v>1468</v>
      </c>
      <c r="F165" s="16">
        <f t="shared" ref="F165:N165" si="23">SUM(F152:F164)</f>
        <v>8847800</v>
      </c>
      <c r="G165" s="16">
        <f t="shared" si="23"/>
        <v>2500000</v>
      </c>
      <c r="H165" s="16">
        <f t="shared" si="23"/>
        <v>0</v>
      </c>
      <c r="I165" s="16">
        <f t="shared" si="23"/>
        <v>8340000</v>
      </c>
      <c r="J165" s="16">
        <f t="shared" si="23"/>
        <v>0</v>
      </c>
      <c r="K165" s="16">
        <f t="shared" si="23"/>
        <v>0</v>
      </c>
      <c r="L165" s="16">
        <f t="shared" si="23"/>
        <v>0</v>
      </c>
      <c r="M165" s="16">
        <f t="shared" si="23"/>
        <v>0</v>
      </c>
      <c r="N165" s="16">
        <f t="shared" si="23"/>
        <v>0</v>
      </c>
      <c r="O165" s="16">
        <f t="shared" ref="O165:P165" si="24">SUM(O152:O164)</f>
        <v>0</v>
      </c>
      <c r="P165" s="60">
        <f t="shared" si="24"/>
        <v>0</v>
      </c>
    </row>
    <row r="166" spans="1:16" s="34" customFormat="1" ht="13.5" thickBot="1" x14ac:dyDescent="0.25">
      <c r="A166" s="1529"/>
      <c r="B166" s="146"/>
      <c r="C166" s="141"/>
      <c r="D166" s="1169"/>
      <c r="E166" s="1400" t="s">
        <v>242</v>
      </c>
      <c r="F166" s="23"/>
      <c r="G166" s="23"/>
      <c r="H166" s="23"/>
      <c r="I166" s="23"/>
      <c r="J166" s="23"/>
      <c r="K166" s="23"/>
      <c r="L166" s="23"/>
      <c r="M166" s="23"/>
      <c r="N166" s="23"/>
      <c r="O166" s="23"/>
      <c r="P166" s="112"/>
    </row>
    <row r="167" spans="1:16" s="34" customFormat="1" ht="13.5" thickTop="1" x14ac:dyDescent="0.2">
      <c r="D167" s="382"/>
    </row>
    <row r="1069" spans="3:3" x14ac:dyDescent="0.2">
      <c r="C1069" s="1" t="s">
        <v>7245</v>
      </c>
    </row>
  </sheetData>
  <mergeCells count="12">
    <mergeCell ref="A149:C149"/>
    <mergeCell ref="A2:C2"/>
    <mergeCell ref="A52:C52"/>
    <mergeCell ref="A120:C120"/>
    <mergeCell ref="A1:P1"/>
    <mergeCell ref="F2:P2"/>
    <mergeCell ref="F52:P52"/>
    <mergeCell ref="F120:P120"/>
    <mergeCell ref="F149:P149"/>
    <mergeCell ref="A148:P148"/>
    <mergeCell ref="A119:P119"/>
    <mergeCell ref="A51:P51"/>
  </mergeCells>
  <phoneticPr fontId="9" type="noConversion"/>
  <printOptions horizontalCentered="1"/>
  <pageMargins left="0.35433070866141736" right="0.39370078740157483" top="0.39370078740157483" bottom="0.39370078740157483" header="0" footer="0"/>
  <pageSetup paperSize="9" scale="60" orientation="landscape" r:id="rId1"/>
  <headerFooter alignWithMargins="0"/>
  <rowBreaks count="2" manualBreakCount="2">
    <brk id="50" max="16383" man="1"/>
    <brk id="117"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C000"/>
  </sheetPr>
  <dimension ref="A1:T1110"/>
  <sheetViews>
    <sheetView zoomScaleNormal="100" workbookViewId="0">
      <selection activeCell="G3" sqref="G1:G1048576"/>
    </sheetView>
  </sheetViews>
  <sheetFormatPr defaultColWidth="9.140625" defaultRowHeight="12.75" x14ac:dyDescent="0.2"/>
  <cols>
    <col min="1" max="1" width="10.140625" style="34" customWidth="1"/>
    <col min="2" max="2" width="14.5703125" style="382" customWidth="1"/>
    <col min="3" max="3" width="9.140625" style="34" bestFit="1" customWidth="1"/>
    <col min="4" max="4" width="37.5703125" style="34" bestFit="1" customWidth="1"/>
    <col min="5" max="5" width="9.140625" style="34" bestFit="1" customWidth="1"/>
    <col min="6" max="7" width="10.140625" style="34" bestFit="1" customWidth="1"/>
    <col min="8" max="9" width="10.28515625" style="34" bestFit="1" customWidth="1"/>
    <col min="10" max="17" width="11.28515625" style="34" bestFit="1" customWidth="1"/>
    <col min="18" max="18" width="9.140625" style="34"/>
    <col min="19" max="19" width="10.28515625" style="34" bestFit="1" customWidth="1"/>
    <col min="20" max="16384" width="9.140625" style="34"/>
  </cols>
  <sheetData>
    <row r="1" spans="1:19" s="38" customFormat="1" ht="18.75" customHeight="1" thickTop="1" thickBot="1" x14ac:dyDescent="0.3">
      <c r="A1" s="2588" t="s">
        <v>3070</v>
      </c>
      <c r="B1" s="2589"/>
      <c r="C1" s="2589"/>
      <c r="D1" s="2589"/>
      <c r="E1" s="2589"/>
      <c r="F1" s="2589"/>
      <c r="G1" s="2589"/>
      <c r="H1" s="2589"/>
      <c r="I1" s="2589"/>
      <c r="J1" s="2589"/>
      <c r="K1" s="2589"/>
      <c r="L1" s="2589"/>
      <c r="M1" s="2589"/>
      <c r="N1" s="2589"/>
      <c r="O1" s="2589"/>
      <c r="P1" s="2589"/>
      <c r="Q1" s="2590"/>
    </row>
    <row r="2" spans="1:19" s="39" customFormat="1" ht="13.5" thickBot="1" x14ac:dyDescent="0.25">
      <c r="A2" s="2639" t="s">
        <v>1824</v>
      </c>
      <c r="B2" s="2640"/>
      <c r="C2" s="2641"/>
      <c r="D2" s="2268" t="s">
        <v>2213</v>
      </c>
      <c r="E2" s="2642" t="s">
        <v>1824</v>
      </c>
      <c r="F2" s="2643"/>
      <c r="G2" s="2644" t="s">
        <v>2215</v>
      </c>
      <c r="H2" s="2644"/>
      <c r="I2" s="2644"/>
      <c r="J2" s="2644"/>
      <c r="K2" s="2644"/>
      <c r="L2" s="2644"/>
      <c r="M2" s="2644"/>
      <c r="N2" s="2644"/>
      <c r="O2" s="2644"/>
      <c r="P2" s="2644"/>
      <c r="Q2" s="2645"/>
    </row>
    <row r="3" spans="1:19" ht="12.75" customHeight="1" thickBot="1" x14ac:dyDescent="0.25">
      <c r="A3" s="1526" t="str">
        <f>A18</f>
        <v>2013/14</v>
      </c>
      <c r="B3" s="2045" t="s">
        <v>2617</v>
      </c>
      <c r="C3" s="40" t="str">
        <f>C18</f>
        <v>2014/15</v>
      </c>
      <c r="D3" s="41"/>
      <c r="E3" s="40" t="str">
        <f t="shared" ref="E3:N3" si="0">E18</f>
        <v>2015/16</v>
      </c>
      <c r="F3" s="40" t="str">
        <f t="shared" si="0"/>
        <v>2016/17</v>
      </c>
      <c r="G3" s="40" t="str">
        <f t="shared" si="0"/>
        <v>2017/18</v>
      </c>
      <c r="H3" s="40" t="str">
        <f t="shared" si="0"/>
        <v>2018/19</v>
      </c>
      <c r="I3" s="40" t="str">
        <f t="shared" si="0"/>
        <v>2019/20</v>
      </c>
      <c r="J3" s="40" t="str">
        <f t="shared" si="0"/>
        <v>2020/21</v>
      </c>
      <c r="K3" s="40" t="str">
        <f t="shared" si="0"/>
        <v>2021/22</v>
      </c>
      <c r="L3" s="40" t="str">
        <f t="shared" si="0"/>
        <v>2022/23</v>
      </c>
      <c r="M3" s="40" t="str">
        <f t="shared" si="0"/>
        <v>2023/24</v>
      </c>
      <c r="N3" s="40" t="str">
        <f t="shared" si="0"/>
        <v>2024/25</v>
      </c>
      <c r="O3" s="40" t="str">
        <f t="shared" ref="O3:P3" si="1">O18</f>
        <v>2025/26</v>
      </c>
      <c r="P3" s="40" t="str">
        <f t="shared" si="1"/>
        <v>2026/27</v>
      </c>
      <c r="Q3" s="1620" t="str">
        <f t="shared" ref="Q3" si="2">Q18</f>
        <v>2027/28</v>
      </c>
    </row>
    <row r="4" spans="1:19" x14ac:dyDescent="0.2">
      <c r="A4" s="54">
        <v>209700</v>
      </c>
      <c r="B4" s="469"/>
      <c r="C4" s="134">
        <f>C20-C42+A4+SP!C338-C81-C87</f>
        <v>552200</v>
      </c>
      <c r="D4" s="9" t="s">
        <v>198</v>
      </c>
      <c r="E4" s="134">
        <f>E20-E42++C4+SP!D338-E81-E87</f>
        <v>548700</v>
      </c>
      <c r="F4" s="134">
        <f>F20-F42++E4+SP!E338-F81-F87</f>
        <v>724700</v>
      </c>
      <c r="G4" s="134">
        <f>G20-G42++F4+SP!H338-G81-G87</f>
        <v>535900</v>
      </c>
      <c r="H4" s="134">
        <f>H20-H42++G4+SP!J338-H81-H87</f>
        <v>857900</v>
      </c>
      <c r="I4" s="134">
        <f>I20-I42++H4+SP!K338-I81-I87</f>
        <v>1199400</v>
      </c>
      <c r="J4" s="134">
        <f>J20-J42++I4+SP!L338-J81-J87</f>
        <v>1560400</v>
      </c>
      <c r="K4" s="134">
        <f>K20-K42++J4+SP!M338-K81-K87</f>
        <v>1941400</v>
      </c>
      <c r="L4" s="134">
        <f>L20-L42++K4+SP!N338-L81-L87</f>
        <v>2342900</v>
      </c>
      <c r="M4" s="134">
        <f>M20-M42++L4+SP!O338-M81-M87</f>
        <v>2766400</v>
      </c>
      <c r="N4" s="134">
        <f>N20-N42++M4+SP!P338-N81-N87</f>
        <v>3212400</v>
      </c>
      <c r="O4" s="134">
        <f>O20-O42++N4+SP!Q338-O81-O87</f>
        <v>3681900</v>
      </c>
      <c r="P4" s="134">
        <f>P20-P42++O4+SP!R338-P81-P87</f>
        <v>4175900</v>
      </c>
      <c r="Q4" s="135">
        <f>Q20-Q42++P4+SP!S338-Q81-Q87</f>
        <v>4694900</v>
      </c>
    </row>
    <row r="5" spans="1:19" x14ac:dyDescent="0.2">
      <c r="A5" s="54">
        <v>290700</v>
      </c>
      <c r="B5" s="469"/>
      <c r="C5" s="134">
        <f>C21-C47++A5+SP!C339-C82-C88-C89</f>
        <v>518300</v>
      </c>
      <c r="D5" s="257" t="s">
        <v>550</v>
      </c>
      <c r="E5" s="134">
        <f>E21-E47++C5+SP!D339-E82-E88-E89</f>
        <v>616200</v>
      </c>
      <c r="F5" s="134">
        <f>F21-F47++E5+SP!E339-F82-F88-F89+SP!E337</f>
        <v>575600</v>
      </c>
      <c r="G5" s="134">
        <f>G21-G47++F5+SP!H339-G82</f>
        <v>845600</v>
      </c>
      <c r="H5" s="134">
        <f>H21-H47++G5+SP!J339-H82</f>
        <v>1280600</v>
      </c>
      <c r="I5" s="134">
        <f>I21-I47++H5+SP!K339-I82</f>
        <v>1743600</v>
      </c>
      <c r="J5" s="134">
        <f>J21-J47++I5+SP!L339-J82</f>
        <v>2234600</v>
      </c>
      <c r="K5" s="134">
        <f>K21-K47++J5+SP!M339-K82</f>
        <v>2756100</v>
      </c>
      <c r="L5" s="134">
        <f>L21-L47++K5+SP!N339-L82</f>
        <v>3308100</v>
      </c>
      <c r="M5" s="134">
        <f>M21-M47++L5+SP!O339-M82</f>
        <v>3892600</v>
      </c>
      <c r="N5" s="134">
        <f>N21-N47++M5+SP!P339-N82</f>
        <v>4510100</v>
      </c>
      <c r="O5" s="134">
        <f>O21-O47++N5+SP!Q339-O82</f>
        <v>5162600</v>
      </c>
      <c r="P5" s="134">
        <f>P21-P47++O5+SP!R339-P82</f>
        <v>5850600</v>
      </c>
      <c r="Q5" s="135">
        <f>Q21-Q47++P5+SP!S339-Q82</f>
        <v>6576100</v>
      </c>
    </row>
    <row r="6" spans="1:19" x14ac:dyDescent="0.2">
      <c r="A6" s="54">
        <v>194300</v>
      </c>
      <c r="B6" s="469"/>
      <c r="C6" s="134">
        <f>C22++-C56+A6+SP!C340</f>
        <v>328200</v>
      </c>
      <c r="D6" s="257" t="s">
        <v>317</v>
      </c>
      <c r="E6" s="134">
        <f>E22++-E56+C6+SP!D340</f>
        <v>228600</v>
      </c>
      <c r="F6" s="134">
        <f>F22++-F56+E6+SP!E340</f>
        <v>170100</v>
      </c>
      <c r="G6" s="134">
        <f>G22++-G56+F6+SP!H340</f>
        <v>115600</v>
      </c>
      <c r="H6" s="134">
        <f>H22++-H56+G6+SP!J340</f>
        <v>59100</v>
      </c>
      <c r="I6" s="134">
        <f>I22++-I56+H6+SP!K340</f>
        <v>57600</v>
      </c>
      <c r="J6" s="134">
        <f>J22++-J56+I6+SP!L340</f>
        <v>112100</v>
      </c>
      <c r="K6" s="134">
        <f>K22++-K56+J6+SP!M340</f>
        <v>168600</v>
      </c>
      <c r="L6" s="134">
        <f>L22++-L56+K6+SP!N340</f>
        <v>227600</v>
      </c>
      <c r="M6" s="134">
        <f>M22++-M56+L6+SP!O340</f>
        <v>288600</v>
      </c>
      <c r="N6" s="134">
        <f>N22++-N56+M6+SP!P340</f>
        <v>352100</v>
      </c>
      <c r="O6" s="134">
        <f>O22++-O56+N6+SP!Q340</f>
        <v>418100</v>
      </c>
      <c r="P6" s="134">
        <f>P22++-P56+O6+SP!R340</f>
        <v>486600</v>
      </c>
      <c r="Q6" s="135">
        <f>Q22++-Q56+P6+SP!S340</f>
        <v>557600</v>
      </c>
    </row>
    <row r="7" spans="1:19" x14ac:dyDescent="0.2">
      <c r="A7" s="54">
        <v>332500</v>
      </c>
      <c r="B7" s="469"/>
      <c r="C7" s="134">
        <f>A7+C23-C52+SP!C341</f>
        <v>374600</v>
      </c>
      <c r="D7" s="9" t="s">
        <v>1297</v>
      </c>
      <c r="E7" s="134">
        <f>C7+E23-E52+SP!D341+SUM(GM!D837:D838)</f>
        <v>228100</v>
      </c>
      <c r="F7" s="134">
        <f>E7+F23-F52+SP!E341+SUM(GM!E837:E838)</f>
        <v>235100</v>
      </c>
      <c r="G7" s="134">
        <f>F7+G23-G52+SP!H341+SUM(GM!H837:H838)</f>
        <v>274200</v>
      </c>
      <c r="H7" s="134">
        <f>G7+H23-H52+SP!J341+SUM(GM!J837:J838)</f>
        <v>316200</v>
      </c>
      <c r="I7" s="134">
        <f>H7+I23-I52+SP!K341+SUM(GM!K837:K838)</f>
        <v>360200</v>
      </c>
      <c r="J7" s="134">
        <f>I7+J23-J52+SP!L341+SUM(GM!L837:L838)</f>
        <v>406200</v>
      </c>
      <c r="K7" s="134">
        <f>J7+K23-K52+SP!M341+SUM(GM!M837:M838)</f>
        <v>454200</v>
      </c>
      <c r="L7" s="134">
        <f>K7+L23-L52+SP!N341+SUM(GM!N837:N838)</f>
        <v>504200</v>
      </c>
      <c r="M7" s="134">
        <f>L7+M23-M52+SP!O341+SUM(GM!O837:O838)</f>
        <v>556700</v>
      </c>
      <c r="N7" s="134">
        <f>M7+N23-N52+SP!P341+SUM(GM!P837:P838)</f>
        <v>611200</v>
      </c>
      <c r="O7" s="134">
        <f>N7+O23-O52+SP!Q341+SUM(GM!Q837:Q838)</f>
        <v>668200</v>
      </c>
      <c r="P7" s="134">
        <f>O7+P23-P52+SP!R341+SUM(GM!R837:R838)</f>
        <v>727200</v>
      </c>
      <c r="Q7" s="135">
        <f>P7+Q23-Q52+SP!S341+SUM(GM!S837:S838)</f>
        <v>788700</v>
      </c>
    </row>
    <row r="8" spans="1:19" x14ac:dyDescent="0.2">
      <c r="A8" s="54">
        <v>680600</v>
      </c>
      <c r="B8" s="469"/>
      <c r="C8" s="134">
        <f>C24-C63+A8+SP!C342</f>
        <v>614100</v>
      </c>
      <c r="D8" s="257" t="s">
        <v>401</v>
      </c>
      <c r="E8" s="134">
        <f>E24-E63++C8+SP!D342</f>
        <v>710700</v>
      </c>
      <c r="F8" s="134">
        <f>F24-F63++E8+SP!E342</f>
        <v>700400</v>
      </c>
      <c r="G8" s="134">
        <f>G24-G63++F8+SP!H342</f>
        <v>399100</v>
      </c>
      <c r="H8" s="134">
        <f>H24-H63++G8+SP!J342</f>
        <v>408100</v>
      </c>
      <c r="I8" s="134">
        <f>I24-I63++H8+SP!K342</f>
        <v>417100</v>
      </c>
      <c r="J8" s="134">
        <f>J24-J63++I8+SP!L342</f>
        <v>426600</v>
      </c>
      <c r="K8" s="134">
        <f>K24-K63++J8+SP!M342</f>
        <v>436100</v>
      </c>
      <c r="L8" s="134">
        <f>L24-L63++K8+SP!N342</f>
        <v>446100</v>
      </c>
      <c r="M8" s="134">
        <f>M24-M63++L8+SP!O342</f>
        <v>456100</v>
      </c>
      <c r="N8" s="134">
        <f>N24-N63++M8+SP!P342</f>
        <v>466600</v>
      </c>
      <c r="O8" s="134">
        <f>O24-O63++N8+SP!Q342</f>
        <v>477100</v>
      </c>
      <c r="P8" s="134">
        <f>P24-P63++O8+SP!R342</f>
        <v>487600</v>
      </c>
      <c r="Q8" s="135">
        <f>Q24-Q63++P8+SP!S342</f>
        <v>498600</v>
      </c>
    </row>
    <row r="9" spans="1:19" x14ac:dyDescent="0.2">
      <c r="A9" s="54">
        <v>2675100</v>
      </c>
      <c r="B9" s="469"/>
      <c r="C9" s="134">
        <f>C25+C26-C78+A9+SP!C343+SP!C344-C84-C91-C95</f>
        <v>2272700</v>
      </c>
      <c r="D9" s="634" t="s">
        <v>17</v>
      </c>
      <c r="E9" s="134">
        <f>E25+-E78+C9+SP!D343+SP!D344-E84-E91-E95</f>
        <v>2859300</v>
      </c>
      <c r="F9" s="134">
        <f>F25+F26+-F78+E9+SP!E343+SP!E344-F84-F91-F95</f>
        <v>3978500</v>
      </c>
      <c r="G9" s="134">
        <f>G25+G26+-G78+F9+SP!H343+SP!H344-G84-G91-G95</f>
        <v>6531800</v>
      </c>
      <c r="H9" s="134">
        <f>H25+H26+-H78+G9+SP!J343+SP!J344-H84-H91-H95</f>
        <v>12286800</v>
      </c>
      <c r="I9" s="134">
        <f>I25+I26+-I78+H9+SP!K343+SP!K344-I84-I91-I95</f>
        <v>1087300</v>
      </c>
      <c r="J9" s="134">
        <f>J25+J26+-J78+I9+SP!L343+SP!L344-J84-J91-J95</f>
        <v>-620200</v>
      </c>
      <c r="K9" s="134">
        <f>K25+K26+-K78+J9+SP!M343+SP!M344-K84-K91-K95</f>
        <v>-1583200</v>
      </c>
      <c r="L9" s="134">
        <f>L25+L26+-L78+K9+SP!N343+SP!N344-L84-L91-L95</f>
        <v>2910800</v>
      </c>
      <c r="M9" s="134">
        <f>M25+M26+-M78+L9+SP!O343+SP!O344-M84-M91-M95</f>
        <v>7582300</v>
      </c>
      <c r="N9" s="134">
        <f>N25+N26+-N78+M9+SP!P343+SP!P344-N84-N91-N95</f>
        <v>12473800</v>
      </c>
      <c r="O9" s="134">
        <f>O25+O26+-O78+N9+SP!Q343+SP!Q344-O84-O91-O95</f>
        <v>17593300</v>
      </c>
      <c r="P9" s="134">
        <f>P25+P26+-P78+O9+SP!R343+SP!R344-P84-P91-P95</f>
        <v>22949300</v>
      </c>
      <c r="Q9" s="135">
        <f>Q25+Q26+-Q78+P9+SP!S343+SP!S344-Q84-Q91-Q95</f>
        <v>28549800</v>
      </c>
    </row>
    <row r="10" spans="1:19" ht="13.5" thickBot="1" x14ac:dyDescent="0.25">
      <c r="A10" s="54"/>
      <c r="B10" s="496"/>
      <c r="C10" s="134"/>
      <c r="D10" s="634"/>
      <c r="E10" s="134"/>
      <c r="F10" s="134"/>
      <c r="G10" s="134"/>
      <c r="H10" s="134"/>
      <c r="I10" s="134"/>
      <c r="J10" s="134"/>
      <c r="K10" s="134"/>
      <c r="L10" s="134"/>
      <c r="M10" s="134"/>
      <c r="N10" s="134"/>
      <c r="O10" s="134"/>
      <c r="P10" s="134"/>
      <c r="Q10" s="135"/>
    </row>
    <row r="11" spans="1:19" s="39" customFormat="1" ht="13.5" thickBot="1" x14ac:dyDescent="0.25">
      <c r="A11" s="807">
        <f>SUM(A4:A9)</f>
        <v>4382900</v>
      </c>
      <c r="B11" s="808"/>
      <c r="C11" s="810">
        <f>SUM(C4:C9)</f>
        <v>4660100</v>
      </c>
      <c r="D11" s="809" t="s">
        <v>1378</v>
      </c>
      <c r="E11" s="810">
        <f t="shared" ref="E11:M11" si="3">SUM(E4:E9)</f>
        <v>5191600</v>
      </c>
      <c r="F11" s="810">
        <f t="shared" si="3"/>
        <v>6384400</v>
      </c>
      <c r="G11" s="803">
        <f>SUM(G4:G9)</f>
        <v>8702200</v>
      </c>
      <c r="H11" s="803">
        <f t="shared" si="3"/>
        <v>15208700</v>
      </c>
      <c r="I11" s="803">
        <f t="shared" si="3"/>
        <v>4865200</v>
      </c>
      <c r="J11" s="803">
        <f t="shared" si="3"/>
        <v>4119700</v>
      </c>
      <c r="K11" s="803">
        <f t="shared" si="3"/>
        <v>4173200</v>
      </c>
      <c r="L11" s="803">
        <f t="shared" si="3"/>
        <v>9739700</v>
      </c>
      <c r="M11" s="803">
        <f t="shared" si="3"/>
        <v>15542700</v>
      </c>
      <c r="N11" s="803">
        <f t="shared" ref="N11:O11" si="4">SUM(N4:N9)</f>
        <v>21626200</v>
      </c>
      <c r="O11" s="803">
        <f t="shared" si="4"/>
        <v>28001200</v>
      </c>
      <c r="P11" s="803">
        <f t="shared" ref="P11" si="5">SUM(P4:P9)</f>
        <v>34677200</v>
      </c>
      <c r="Q11" s="806">
        <f>SUM(Q4:Q9)</f>
        <v>41665700</v>
      </c>
      <c r="S11" s="34"/>
    </row>
    <row r="12" spans="1:19" s="39" customFormat="1" ht="13.5" thickTop="1" x14ac:dyDescent="0.2">
      <c r="A12" s="27"/>
      <c r="B12" s="171"/>
      <c r="C12" s="143"/>
      <c r="D12" s="59"/>
      <c r="E12" s="143"/>
      <c r="F12" s="143"/>
      <c r="G12" s="27"/>
      <c r="H12" s="27"/>
      <c r="I12" s="27"/>
      <c r="J12" s="27"/>
      <c r="K12" s="27"/>
      <c r="L12" s="27"/>
      <c r="M12" s="27"/>
      <c r="N12" s="27"/>
      <c r="O12" s="27"/>
      <c r="P12" s="27"/>
      <c r="Q12" s="27"/>
      <c r="S12" s="34"/>
    </row>
    <row r="13" spans="1:19" s="39" customFormat="1" x14ac:dyDescent="0.2">
      <c r="A13" s="27"/>
      <c r="B13" s="171"/>
      <c r="C13" s="143"/>
      <c r="D13" s="59"/>
      <c r="E13" s="143"/>
      <c r="F13" s="143"/>
      <c r="G13" s="27"/>
      <c r="H13" s="27"/>
      <c r="I13" s="27"/>
      <c r="J13" s="27"/>
      <c r="K13" s="27"/>
      <c r="L13" s="27"/>
      <c r="M13" s="27"/>
      <c r="N13" s="27"/>
      <c r="O13" s="27"/>
      <c r="P13" s="27"/>
      <c r="Q13" s="27"/>
      <c r="S13" s="34"/>
    </row>
    <row r="14" spans="1:19" s="39" customFormat="1" x14ac:dyDescent="0.2">
      <c r="A14" s="27"/>
      <c r="B14" s="171"/>
      <c r="C14" s="143"/>
      <c r="D14" s="59"/>
      <c r="E14" s="143"/>
      <c r="F14" s="143"/>
      <c r="G14" s="27"/>
      <c r="H14" s="27"/>
      <c r="I14" s="27"/>
      <c r="J14" s="27"/>
      <c r="K14" s="27"/>
      <c r="L14" s="27"/>
      <c r="M14" s="27"/>
      <c r="N14" s="27"/>
      <c r="O14" s="27"/>
      <c r="P14" s="27"/>
      <c r="Q14" s="27"/>
      <c r="S14" s="34"/>
    </row>
    <row r="15" spans="1:19" ht="13.5" thickBot="1" x14ac:dyDescent="0.25">
      <c r="A15" s="27"/>
      <c r="B15" s="165"/>
      <c r="C15" s="143"/>
      <c r="D15" s="84"/>
      <c r="E15" s="143"/>
      <c r="F15" s="143"/>
      <c r="G15" s="46"/>
      <c r="H15" s="46"/>
      <c r="I15" s="46"/>
      <c r="J15" s="46"/>
      <c r="K15" s="46"/>
      <c r="L15" s="46"/>
      <c r="M15" s="46"/>
      <c r="N15" s="46"/>
      <c r="O15" s="46"/>
      <c r="P15" s="46"/>
      <c r="Q15" s="46"/>
    </row>
    <row r="16" spans="1:19" s="38" customFormat="1" ht="18.75" customHeight="1" thickTop="1" thickBot="1" x14ac:dyDescent="0.3">
      <c r="A16" s="2588" t="s">
        <v>3068</v>
      </c>
      <c r="B16" s="2589"/>
      <c r="C16" s="2589"/>
      <c r="D16" s="2589"/>
      <c r="E16" s="2589"/>
      <c r="F16" s="2589"/>
      <c r="G16" s="2589"/>
      <c r="H16" s="2589"/>
      <c r="I16" s="2589"/>
      <c r="J16" s="2589"/>
      <c r="K16" s="2589"/>
      <c r="L16" s="2589"/>
      <c r="M16" s="2589"/>
      <c r="N16" s="2589"/>
      <c r="O16" s="2589"/>
      <c r="P16" s="2589"/>
      <c r="Q16" s="2590"/>
    </row>
    <row r="17" spans="1:19" s="39" customFormat="1" ht="13.5" thickBot="1" x14ac:dyDescent="0.25">
      <c r="A17" s="2639" t="s">
        <v>1824</v>
      </c>
      <c r="B17" s="2640"/>
      <c r="C17" s="2641"/>
      <c r="D17" s="2268" t="str">
        <f>+D2</f>
        <v>BUDGET ITEMS</v>
      </c>
      <c r="E17" s="2642" t="s">
        <v>1824</v>
      </c>
      <c r="F17" s="2643"/>
      <c r="G17" s="2644" t="s">
        <v>2215</v>
      </c>
      <c r="H17" s="2644"/>
      <c r="I17" s="2644"/>
      <c r="J17" s="2644"/>
      <c r="K17" s="2644"/>
      <c r="L17" s="2644"/>
      <c r="M17" s="2644"/>
      <c r="N17" s="2644"/>
      <c r="O17" s="2644"/>
      <c r="P17" s="2644"/>
      <c r="Q17" s="2645"/>
    </row>
    <row r="18" spans="1:19" ht="12.75" customHeight="1" thickBot="1" x14ac:dyDescent="0.25">
      <c r="A18" s="1526" t="str">
        <f>DEH!B3</f>
        <v>2013/14</v>
      </c>
      <c r="B18" s="2008" t="s">
        <v>2617</v>
      </c>
      <c r="C18" s="40" t="str">
        <f>DEH!C3</f>
        <v>2014/15</v>
      </c>
      <c r="D18" s="41"/>
      <c r="E18" s="40" t="str">
        <f>DEH!D3</f>
        <v>2015/16</v>
      </c>
      <c r="F18" s="40" t="str">
        <f>DEH!E3</f>
        <v>2016/17</v>
      </c>
      <c r="G18" s="40" t="str">
        <f>DEH!H3</f>
        <v>2017/18</v>
      </c>
      <c r="H18" s="40" t="str">
        <f>DEH!J3</f>
        <v>2018/19</v>
      </c>
      <c r="I18" s="40" t="str">
        <f>DEH!K3</f>
        <v>2019/20</v>
      </c>
      <c r="J18" s="40" t="str">
        <f>DEH!L3</f>
        <v>2020/21</v>
      </c>
      <c r="K18" s="40" t="str">
        <f>DEH!M3</f>
        <v>2021/22</v>
      </c>
      <c r="L18" s="40" t="str">
        <f>DEH!N3</f>
        <v>2022/23</v>
      </c>
      <c r="M18" s="40" t="str">
        <f>DEH!O3</f>
        <v>2023/24</v>
      </c>
      <c r="N18" s="40" t="str">
        <f>DEH!P3</f>
        <v>2024/25</v>
      </c>
      <c r="O18" s="28" t="str">
        <f>DEH!Q3</f>
        <v>2025/26</v>
      </c>
      <c r="P18" s="28" t="str">
        <f>DEH!R3</f>
        <v>2026/27</v>
      </c>
      <c r="Q18" s="1620" t="str">
        <f>DEH!S3</f>
        <v>2027/28</v>
      </c>
    </row>
    <row r="19" spans="1:19" x14ac:dyDescent="0.2">
      <c r="A19" s="528"/>
      <c r="B19" s="2046"/>
      <c r="C19" s="150"/>
      <c r="D19" s="46"/>
      <c r="E19" s="150"/>
      <c r="F19" s="150"/>
      <c r="G19" s="150"/>
      <c r="H19" s="150"/>
      <c r="I19" s="150"/>
      <c r="J19" s="150"/>
      <c r="K19" s="150"/>
      <c r="L19" s="150"/>
      <c r="M19" s="151"/>
      <c r="N19" s="151"/>
      <c r="O19" s="151"/>
      <c r="P19" s="151"/>
      <c r="Q19" s="2047"/>
    </row>
    <row r="20" spans="1:19" x14ac:dyDescent="0.2">
      <c r="A20" s="54">
        <v>517800</v>
      </c>
      <c r="B20" s="769">
        <v>22031.260300000002</v>
      </c>
      <c r="C20" s="134">
        <f>585300+16300</f>
        <v>601600</v>
      </c>
      <c r="D20" s="9" t="s">
        <v>198</v>
      </c>
      <c r="E20" s="89">
        <f>51333+206254+13</f>
        <v>257600</v>
      </c>
      <c r="F20" s="134">
        <f>59300+254600</f>
        <v>313900</v>
      </c>
      <c r="G20" s="9">
        <v>450000</v>
      </c>
      <c r="H20" s="9">
        <f>ROUND(G20+G20*Assumptions!I$5,-3)</f>
        <v>460000</v>
      </c>
      <c r="I20" s="9">
        <f>ROUND(H20+H20*Assumptions!J$5,-3)</f>
        <v>472000</v>
      </c>
      <c r="J20" s="9">
        <f>ROUND(I20+I20*Assumptions!K$5,-3)</f>
        <v>484000</v>
      </c>
      <c r="K20" s="9">
        <f>ROUND(J20+J20*Assumptions!L$5,-3)</f>
        <v>496000</v>
      </c>
      <c r="L20" s="9">
        <f>ROUND(K20+K20*Assumptions!M$5,-3)</f>
        <v>508000</v>
      </c>
      <c r="M20" s="9">
        <f>ROUND(L20+L20*Assumptions!N$5,-3)</f>
        <v>521000</v>
      </c>
      <c r="N20" s="9">
        <f>ROUND(M20+M20*Assumptions!O$5,-3)</f>
        <v>534000</v>
      </c>
      <c r="O20" s="9">
        <f>ROUND(N20+N20*Assumptions!P$5,-3)</f>
        <v>547000</v>
      </c>
      <c r="P20" s="9">
        <f>ROUND(O20+O20*Assumptions!Q$5,-3)</f>
        <v>561000</v>
      </c>
      <c r="Q20" s="61">
        <f>ROUND(P20+P20*Assumptions!R$5,-3)</f>
        <v>575000</v>
      </c>
    </row>
    <row r="21" spans="1:19" x14ac:dyDescent="0.2">
      <c r="A21" s="54">
        <v>648100</v>
      </c>
      <c r="B21" s="769">
        <v>22031.260399999999</v>
      </c>
      <c r="C21" s="134">
        <f>128000+665600</f>
        <v>793600</v>
      </c>
      <c r="D21" s="257" t="s">
        <v>550</v>
      </c>
      <c r="E21" s="89">
        <f>156036+530604-40</f>
        <v>686600</v>
      </c>
      <c r="F21" s="134">
        <f>147100+311200</f>
        <v>458300</v>
      </c>
      <c r="G21" s="9">
        <v>700000</v>
      </c>
      <c r="H21" s="9">
        <f>ROUND(G21+G21*Assumptions!I$5,-3)</f>
        <v>716000</v>
      </c>
      <c r="I21" s="9">
        <f>ROUND(H21+H21*Assumptions!J$5,-3)</f>
        <v>734000</v>
      </c>
      <c r="J21" s="9">
        <f>ROUND(I21+I21*Assumptions!K$5,-3)</f>
        <v>752000</v>
      </c>
      <c r="K21" s="9">
        <f>ROUND(J21+J21*Assumptions!L$5,-3)</f>
        <v>771000</v>
      </c>
      <c r="L21" s="9">
        <f>ROUND(K21+K21*Assumptions!M$5,-3)</f>
        <v>790000</v>
      </c>
      <c r="M21" s="9">
        <f>ROUND(L21+L21*Assumptions!N$5,-3)</f>
        <v>810000</v>
      </c>
      <c r="N21" s="9">
        <f>ROUND(M21+M21*Assumptions!O$5,-3)</f>
        <v>830000</v>
      </c>
      <c r="O21" s="9">
        <f>ROUND(N21+N21*Assumptions!P$5,-3)</f>
        <v>851000</v>
      </c>
      <c r="P21" s="9">
        <f>ROUND(O21+O21*Assumptions!Q$5,-3)</f>
        <v>872000</v>
      </c>
      <c r="Q21" s="61">
        <f>ROUND(P21+P21*Assumptions!R$5,-3)</f>
        <v>894000</v>
      </c>
    </row>
    <row r="22" spans="1:19" x14ac:dyDescent="0.2">
      <c r="A22" s="54">
        <v>265900</v>
      </c>
      <c r="B22" s="769">
        <v>22031.2605</v>
      </c>
      <c r="C22" s="134">
        <v>249500</v>
      </c>
      <c r="D22" s="634" t="s">
        <v>2216</v>
      </c>
      <c r="E22" s="89">
        <v>300</v>
      </c>
      <c r="F22" s="134">
        <v>44100</v>
      </c>
      <c r="G22" s="9">
        <v>50000</v>
      </c>
      <c r="H22" s="9">
        <f>ROUND(G22+G22*Assumptions!I$5,-3)</f>
        <v>51000</v>
      </c>
      <c r="I22" s="9">
        <f>ROUND(H22+H22*Assumptions!J$5,-3)</f>
        <v>52000</v>
      </c>
      <c r="J22" s="9">
        <f>ROUND(I22+I22*Assumptions!K$5,-3)</f>
        <v>53000</v>
      </c>
      <c r="K22" s="9">
        <f>ROUND(J22+J22*Assumptions!L$5,-3)</f>
        <v>54000</v>
      </c>
      <c r="L22" s="9">
        <f>ROUND(K22+K22*Assumptions!M$5,-3)</f>
        <v>55000</v>
      </c>
      <c r="M22" s="9">
        <f>ROUND(L22+L22*Assumptions!N$5,-3)</f>
        <v>56000</v>
      </c>
      <c r="N22" s="9">
        <f>ROUND(M22+M22*Assumptions!O$5,-3)</f>
        <v>57000</v>
      </c>
      <c r="O22" s="9">
        <f>ROUND(N22+N22*Assumptions!P$5,-3)</f>
        <v>58000</v>
      </c>
      <c r="P22" s="9">
        <f>ROUND(O22+O22*Assumptions!Q$5,-3)</f>
        <v>59000</v>
      </c>
      <c r="Q22" s="61">
        <f>ROUND(P22+P22*Assumptions!R$5,-3)</f>
        <v>60000</v>
      </c>
    </row>
    <row r="23" spans="1:19" x14ac:dyDescent="0.2">
      <c r="A23" s="25">
        <v>0</v>
      </c>
      <c r="B23" s="769">
        <v>22031.260900000001</v>
      </c>
      <c r="C23" s="134">
        <v>43800</v>
      </c>
      <c r="D23" s="9" t="s">
        <v>1297</v>
      </c>
      <c r="E23" s="89">
        <f>51606+12129-35</f>
        <v>63700</v>
      </c>
      <c r="F23" s="134">
        <v>10800</v>
      </c>
      <c r="G23" s="9">
        <v>35000</v>
      </c>
      <c r="H23" s="9">
        <f>ROUND(G23+G23*Assumptions!I$5,-3)</f>
        <v>36000</v>
      </c>
      <c r="I23" s="9">
        <f>ROUND(H23+H23*Assumptions!J$5,-3)</f>
        <v>37000</v>
      </c>
      <c r="J23" s="9">
        <f>ROUND(I23+I23*Assumptions!K$5,-3)</f>
        <v>38000</v>
      </c>
      <c r="K23" s="9">
        <f>ROUND(J23+J23*Assumptions!L$5,-3)</f>
        <v>39000</v>
      </c>
      <c r="L23" s="9">
        <f>ROUND(K23+K23*Assumptions!M$5,-3)</f>
        <v>40000</v>
      </c>
      <c r="M23" s="9">
        <f>ROUND(L23+L23*Assumptions!N$5,-3)</f>
        <v>41000</v>
      </c>
      <c r="N23" s="9">
        <f>ROUND(M23+M23*Assumptions!O$5,-3)</f>
        <v>42000</v>
      </c>
      <c r="O23" s="9">
        <f>ROUND(N23+N23*Assumptions!P$5,-3)</f>
        <v>43000</v>
      </c>
      <c r="P23" s="9">
        <f>ROUND(O23+O23*Assumptions!Q$5,-3)</f>
        <v>44000</v>
      </c>
      <c r="Q23" s="61">
        <f>ROUND(P23+P23*Assumptions!R$5,-3)</f>
        <v>45000</v>
      </c>
    </row>
    <row r="24" spans="1:19" x14ac:dyDescent="0.2">
      <c r="A24" s="54">
        <v>244200</v>
      </c>
      <c r="B24" s="769">
        <v>22031.260600000001</v>
      </c>
      <c r="C24" s="134">
        <v>318500</v>
      </c>
      <c r="D24" s="257" t="s">
        <v>401</v>
      </c>
      <c r="E24" s="89">
        <v>379300</v>
      </c>
      <c r="F24" s="134">
        <v>451000</v>
      </c>
      <c r="G24" s="9">
        <v>314000</v>
      </c>
      <c r="H24" s="9">
        <f>ROUND(G24+G24*Assumptions!I$5,-3)</f>
        <v>321000</v>
      </c>
      <c r="I24" s="9">
        <f>ROUND(H24+H24*Assumptions!J$5,-3)</f>
        <v>329000</v>
      </c>
      <c r="J24" s="9">
        <f>ROUND(I24+I24*Assumptions!K$5,-3)</f>
        <v>337000</v>
      </c>
      <c r="K24" s="9">
        <f>ROUND(J24+J24*Assumptions!L$5,-3)</f>
        <v>345000</v>
      </c>
      <c r="L24" s="9">
        <f>ROUND(K24+K24*Assumptions!M$5,-3)</f>
        <v>354000</v>
      </c>
      <c r="M24" s="9">
        <f>ROUND(L24+L24*Assumptions!N$5,-3)</f>
        <v>363000</v>
      </c>
      <c r="N24" s="9">
        <f>ROUND(M24+M24*Assumptions!O$5,-3)</f>
        <v>372000</v>
      </c>
      <c r="O24" s="9">
        <f>ROUND(N24+N24*Assumptions!P$5,-3)</f>
        <v>381000</v>
      </c>
      <c r="P24" s="9">
        <f>ROUND(O24+O24*Assumptions!Q$5,-3)</f>
        <v>391000</v>
      </c>
      <c r="Q24" s="61">
        <f>ROUND(P24+P24*Assumptions!R$5,-3)</f>
        <v>401000</v>
      </c>
    </row>
    <row r="25" spans="1:19" x14ac:dyDescent="0.2">
      <c r="A25" s="54">
        <v>523700</v>
      </c>
      <c r="B25" s="769">
        <v>22031.261699999999</v>
      </c>
      <c r="C25" s="134">
        <f>719300+143700</f>
        <v>863000</v>
      </c>
      <c r="D25" s="634" t="s">
        <v>5884</v>
      </c>
      <c r="E25" s="89">
        <f>187100+581200</f>
        <v>768300</v>
      </c>
      <c r="F25" s="134">
        <f>281300+788900-F26</f>
        <v>964600</v>
      </c>
      <c r="G25" s="9">
        <f>4500000-2000000</f>
        <v>2500000</v>
      </c>
      <c r="H25" s="9">
        <f>ROUND(G25+G25*Assumptions!I$5,-3)+1000000+2050000</f>
        <v>5608000</v>
      </c>
      <c r="I25" s="9">
        <f>ROUND(H25+H25*Assumptions!J$5,-3)</f>
        <v>5748000</v>
      </c>
      <c r="J25" s="9">
        <f>ROUND(I25+I25*Assumptions!K$5,-3)+6000000</f>
        <v>11892000</v>
      </c>
      <c r="K25" s="9">
        <f>ROUND(J25+J25*Assumptions!L$5,-3)</f>
        <v>12189000</v>
      </c>
      <c r="L25" s="9">
        <f>ROUND(K25+K25*Assumptions!M$5,-3)-8000000</f>
        <v>4494000</v>
      </c>
      <c r="M25" s="9">
        <f>ROUND(L25+L25*Assumptions!N$5,-3)</f>
        <v>4606000</v>
      </c>
      <c r="N25" s="9">
        <f>ROUND(M25+M25*Assumptions!O$5,-3)</f>
        <v>4721000</v>
      </c>
      <c r="O25" s="9">
        <f>ROUND(N25+N25*Assumptions!P$5,-3)</f>
        <v>4839000</v>
      </c>
      <c r="P25" s="9">
        <f>ROUND(O25+O25*Assumptions!Q$5,-3)</f>
        <v>4960000</v>
      </c>
      <c r="Q25" s="61">
        <f>ROUND(P25+P25*Assumptions!R$5,-3)</f>
        <v>5084000</v>
      </c>
    </row>
    <row r="26" spans="1:19" x14ac:dyDescent="0.2">
      <c r="A26" s="54">
        <f>69100</f>
        <v>69100</v>
      </c>
      <c r="B26" s="769">
        <v>22031.260699999999</v>
      </c>
      <c r="C26" s="134">
        <v>54000</v>
      </c>
      <c r="D26" s="634" t="s">
        <v>5211</v>
      </c>
      <c r="E26" s="89">
        <v>70300</v>
      </c>
      <c r="F26" s="134">
        <v>105600</v>
      </c>
      <c r="G26" s="9">
        <v>0</v>
      </c>
      <c r="H26" s="9">
        <f>ROUND(G26+G26*Assumptions!I$5,-3)</f>
        <v>0</v>
      </c>
      <c r="I26" s="9">
        <f>ROUND(H26+H26*Assumptions!J$5,-3)</f>
        <v>0</v>
      </c>
      <c r="J26" s="9">
        <f>ROUND(I26+I26*Assumptions!K$5,-3)</f>
        <v>0</v>
      </c>
      <c r="K26" s="9">
        <f>ROUND(J26+J26*Assumptions!L$5,-3)</f>
        <v>0</v>
      </c>
      <c r="L26" s="9">
        <f>ROUND(K26+K26*Assumptions!M$5,-3)</f>
        <v>0</v>
      </c>
      <c r="M26" s="9">
        <f>ROUND(L26+L26*Assumptions!N$5,-3)</f>
        <v>0</v>
      </c>
      <c r="N26" s="9">
        <f>ROUND(M26+M26*Assumptions!O$5,-3)</f>
        <v>0</v>
      </c>
      <c r="O26" s="9">
        <f>ROUND(N26+N26*Assumptions!P$5,-3)</f>
        <v>0</v>
      </c>
      <c r="P26" s="9">
        <f>ROUND(O26+O26*Assumptions!Q$5,-3)</f>
        <v>0</v>
      </c>
      <c r="Q26" s="61">
        <f>ROUND(P26+P26*Assumptions!R$5,-3)</f>
        <v>0</v>
      </c>
    </row>
    <row r="27" spans="1:19" ht="13.5" thickBot="1" x14ac:dyDescent="0.25">
      <c r="A27" s="54"/>
      <c r="B27" s="849"/>
      <c r="C27" s="134"/>
      <c r="D27" s="1150"/>
      <c r="E27" s="89"/>
      <c r="F27" s="134"/>
      <c r="G27" s="9"/>
      <c r="H27" s="9"/>
      <c r="I27" s="9"/>
      <c r="J27" s="9"/>
      <c r="K27" s="9"/>
      <c r="L27" s="9"/>
      <c r="M27" s="9"/>
      <c r="N27" s="9"/>
      <c r="O27" s="9"/>
      <c r="P27" s="9"/>
      <c r="Q27" s="61"/>
    </row>
    <row r="28" spans="1:19" s="39" customFormat="1" x14ac:dyDescent="0.2">
      <c r="A28" s="52">
        <f>SUM(A20:A26)</f>
        <v>2268800</v>
      </c>
      <c r="B28" s="663"/>
      <c r="C28" s="145">
        <f>SUM(C20:C26)</f>
        <v>2924000</v>
      </c>
      <c r="D28" s="664" t="s">
        <v>1248</v>
      </c>
      <c r="E28" s="145">
        <f>SUM(E20:E26)</f>
        <v>2226100</v>
      </c>
      <c r="F28" s="145">
        <f>SUM(F20:F26)</f>
        <v>2348300</v>
      </c>
      <c r="G28" s="16">
        <f t="shared" ref="G28:N28" si="6">SUM(G20:G26)</f>
        <v>4049000</v>
      </c>
      <c r="H28" s="16">
        <f t="shared" si="6"/>
        <v>7192000</v>
      </c>
      <c r="I28" s="16">
        <f t="shared" si="6"/>
        <v>7372000</v>
      </c>
      <c r="J28" s="16">
        <f t="shared" si="6"/>
        <v>13556000</v>
      </c>
      <c r="K28" s="16">
        <f t="shared" si="6"/>
        <v>13894000</v>
      </c>
      <c r="L28" s="16">
        <f t="shared" si="6"/>
        <v>6241000</v>
      </c>
      <c r="M28" s="16">
        <f t="shared" si="6"/>
        <v>6397000</v>
      </c>
      <c r="N28" s="16">
        <f t="shared" si="6"/>
        <v>6556000</v>
      </c>
      <c r="O28" s="16">
        <f t="shared" ref="O28:P28" si="7">SUM(O20:O26)</f>
        <v>6719000</v>
      </c>
      <c r="P28" s="16">
        <f t="shared" si="7"/>
        <v>6887000</v>
      </c>
      <c r="Q28" s="60">
        <f t="shared" ref="Q28" si="8">SUM(Q20:Q26)</f>
        <v>7059000</v>
      </c>
      <c r="S28" s="34"/>
    </row>
    <row r="29" spans="1:19" ht="13.5" thickBot="1" x14ac:dyDescent="0.25">
      <c r="A29" s="26"/>
      <c r="B29" s="1169"/>
      <c r="C29" s="146"/>
      <c r="D29" s="259"/>
      <c r="E29" s="146"/>
      <c r="F29" s="146"/>
      <c r="G29" s="23"/>
      <c r="H29" s="23"/>
      <c r="I29" s="23"/>
      <c r="J29" s="23"/>
      <c r="K29" s="23"/>
      <c r="L29" s="23"/>
      <c r="M29" s="23"/>
      <c r="N29" s="23"/>
      <c r="O29" s="23"/>
      <c r="P29" s="23"/>
      <c r="Q29" s="112"/>
    </row>
    <row r="30" spans="1:19" ht="13.5" thickTop="1" x14ac:dyDescent="0.2">
      <c r="A30" s="27"/>
      <c r="B30" s="165"/>
      <c r="C30" s="143"/>
      <c r="D30" s="84"/>
      <c r="E30" s="143"/>
      <c r="F30" s="143"/>
      <c r="G30" s="46"/>
      <c r="H30" s="46"/>
      <c r="I30" s="46"/>
      <c r="J30" s="46"/>
      <c r="K30" s="46"/>
      <c r="L30" s="46"/>
      <c r="M30" s="46"/>
      <c r="N30" s="46"/>
      <c r="O30" s="46"/>
      <c r="P30" s="46"/>
      <c r="Q30" s="46"/>
    </row>
    <row r="31" spans="1:19" ht="13.5" thickBot="1" x14ac:dyDescent="0.25"/>
    <row r="32" spans="1:19" s="38" customFormat="1" ht="18.75" customHeight="1" thickTop="1" thickBot="1" x14ac:dyDescent="0.3">
      <c r="A32" s="2588" t="s">
        <v>3069</v>
      </c>
      <c r="B32" s="2589"/>
      <c r="C32" s="2589"/>
      <c r="D32" s="2589"/>
      <c r="E32" s="2589"/>
      <c r="F32" s="2589"/>
      <c r="G32" s="2589"/>
      <c r="H32" s="2589"/>
      <c r="I32" s="2589"/>
      <c r="J32" s="2589"/>
      <c r="K32" s="2589"/>
      <c r="L32" s="2589"/>
      <c r="M32" s="2589"/>
      <c r="N32" s="2589"/>
      <c r="O32" s="2589"/>
      <c r="P32" s="2589"/>
      <c r="Q32" s="2590"/>
    </row>
    <row r="33" spans="1:19" s="39" customFormat="1" ht="13.5" thickBot="1" x14ac:dyDescent="0.25">
      <c r="A33" s="2639" t="s">
        <v>1824</v>
      </c>
      <c r="B33" s="2640"/>
      <c r="C33" s="2641"/>
      <c r="D33" s="2268" t="str">
        <f>+D17</f>
        <v>BUDGET ITEMS</v>
      </c>
      <c r="E33" s="2642" t="s">
        <v>1824</v>
      </c>
      <c r="F33" s="2643"/>
      <c r="G33" s="2644" t="s">
        <v>2215</v>
      </c>
      <c r="H33" s="2644"/>
      <c r="I33" s="2644"/>
      <c r="J33" s="2644"/>
      <c r="K33" s="2644"/>
      <c r="L33" s="2644"/>
      <c r="M33" s="2644"/>
      <c r="N33" s="2644"/>
      <c r="O33" s="2644"/>
      <c r="P33" s="2644"/>
      <c r="Q33" s="2645"/>
    </row>
    <row r="34" spans="1:19" ht="12.75" customHeight="1" thickBot="1" x14ac:dyDescent="0.25">
      <c r="A34" s="1526" t="str">
        <f>A18</f>
        <v>2013/14</v>
      </c>
      <c r="B34" s="2008" t="s">
        <v>2617</v>
      </c>
      <c r="C34" s="40" t="str">
        <f>C18</f>
        <v>2014/15</v>
      </c>
      <c r="D34" s="41"/>
      <c r="E34" s="40" t="str">
        <f t="shared" ref="E34:N34" si="9">E18</f>
        <v>2015/16</v>
      </c>
      <c r="F34" s="40" t="str">
        <f t="shared" si="9"/>
        <v>2016/17</v>
      </c>
      <c r="G34" s="40" t="str">
        <f t="shared" si="9"/>
        <v>2017/18</v>
      </c>
      <c r="H34" s="40" t="str">
        <f t="shared" si="9"/>
        <v>2018/19</v>
      </c>
      <c r="I34" s="40" t="str">
        <f t="shared" si="9"/>
        <v>2019/20</v>
      </c>
      <c r="J34" s="40" t="str">
        <f t="shared" si="9"/>
        <v>2020/21</v>
      </c>
      <c r="K34" s="40" t="str">
        <f t="shared" si="9"/>
        <v>2021/22</v>
      </c>
      <c r="L34" s="40" t="str">
        <f t="shared" si="9"/>
        <v>2022/23</v>
      </c>
      <c r="M34" s="40" t="str">
        <f t="shared" si="9"/>
        <v>2023/24</v>
      </c>
      <c r="N34" s="40" t="str">
        <f t="shared" si="9"/>
        <v>2024/25</v>
      </c>
      <c r="O34" s="28" t="str">
        <f t="shared" ref="O34:P34" si="10">O18</f>
        <v>2025/26</v>
      </c>
      <c r="P34" s="28" t="str">
        <f t="shared" si="10"/>
        <v>2026/27</v>
      </c>
      <c r="Q34" s="1620" t="str">
        <f t="shared" ref="Q34" si="11">Q18</f>
        <v>2027/28</v>
      </c>
    </row>
    <row r="35" spans="1:19" x14ac:dyDescent="0.2">
      <c r="A35" s="528"/>
      <c r="B35" s="2046"/>
      <c r="C35" s="150"/>
      <c r="D35" s="46"/>
      <c r="E35" s="150"/>
      <c r="F35" s="152"/>
      <c r="G35" s="150"/>
      <c r="H35" s="150"/>
      <c r="I35" s="150"/>
      <c r="J35" s="150"/>
      <c r="K35" s="150"/>
      <c r="L35" s="150"/>
      <c r="M35" s="151"/>
      <c r="N35" s="151"/>
      <c r="O35" s="151"/>
      <c r="P35" s="151"/>
      <c r="Q35" s="2047"/>
    </row>
    <row r="36" spans="1:19" x14ac:dyDescent="0.2">
      <c r="A36" s="528"/>
      <c r="B36" s="2048"/>
      <c r="C36" s="150"/>
      <c r="D36" s="21" t="s">
        <v>1249</v>
      </c>
      <c r="E36" s="150"/>
      <c r="F36" s="152"/>
      <c r="G36" s="150"/>
      <c r="H36" s="150"/>
      <c r="I36" s="150"/>
      <c r="J36" s="150"/>
      <c r="K36" s="150"/>
      <c r="L36" s="150"/>
      <c r="M36" s="150"/>
      <c r="N36" s="150"/>
      <c r="O36" s="150"/>
      <c r="P36" s="150"/>
      <c r="Q36" s="381"/>
    </row>
    <row r="37" spans="1:19" x14ac:dyDescent="0.2">
      <c r="A37" s="54">
        <f>5900+1800</f>
        <v>7700</v>
      </c>
      <c r="B37" s="97" t="s">
        <v>2654</v>
      </c>
      <c r="C37" s="9"/>
      <c r="D37" s="79" t="s">
        <v>4132</v>
      </c>
      <c r="E37" s="89">
        <v>11300</v>
      </c>
      <c r="F37" s="9">
        <v>70100</v>
      </c>
      <c r="G37" s="9"/>
      <c r="H37" s="9"/>
      <c r="I37" s="9"/>
      <c r="J37" s="9"/>
      <c r="K37" s="9"/>
      <c r="L37" s="9"/>
      <c r="M37" s="9"/>
      <c r="N37" s="9"/>
      <c r="O37" s="9"/>
      <c r="P37" s="9"/>
      <c r="Q37" s="61"/>
    </row>
    <row r="38" spans="1:19" x14ac:dyDescent="0.2">
      <c r="A38" s="54"/>
      <c r="B38" s="97"/>
      <c r="C38" s="9"/>
      <c r="D38" s="79" t="s">
        <v>5893</v>
      </c>
      <c r="E38" s="89"/>
      <c r="F38" s="9">
        <v>7400</v>
      </c>
      <c r="G38" s="9">
        <v>342600</v>
      </c>
      <c r="H38" s="9"/>
      <c r="I38" s="9"/>
      <c r="J38" s="9"/>
      <c r="K38" s="9"/>
      <c r="L38" s="9"/>
      <c r="M38" s="9"/>
      <c r="N38" s="9"/>
      <c r="O38" s="9"/>
      <c r="P38" s="9"/>
      <c r="Q38" s="61"/>
    </row>
    <row r="39" spans="1:19" x14ac:dyDescent="0.2">
      <c r="A39" s="54">
        <f>9500+24000</f>
        <v>33500</v>
      </c>
      <c r="B39" s="97" t="s">
        <v>928</v>
      </c>
      <c r="C39" s="134"/>
      <c r="D39" s="9" t="s">
        <v>2795</v>
      </c>
      <c r="E39" s="136"/>
      <c r="F39" s="134"/>
      <c r="G39" s="9"/>
      <c r="H39" s="9"/>
      <c r="I39" s="9"/>
      <c r="J39" s="9"/>
      <c r="K39" s="9"/>
      <c r="L39" s="9"/>
      <c r="M39" s="9"/>
      <c r="N39" s="9"/>
      <c r="O39" s="9"/>
      <c r="P39" s="9"/>
      <c r="Q39" s="61"/>
    </row>
    <row r="40" spans="1:19" x14ac:dyDescent="0.2">
      <c r="A40" s="54"/>
      <c r="B40" s="97"/>
      <c r="C40" s="134"/>
      <c r="D40" s="79" t="s">
        <v>5894</v>
      </c>
      <c r="E40" s="136"/>
      <c r="F40" s="134"/>
      <c r="G40" s="9">
        <v>109200</v>
      </c>
      <c r="H40" s="9"/>
      <c r="I40" s="9"/>
      <c r="J40" s="9">
        <v>0</v>
      </c>
      <c r="K40" s="9">
        <v>0</v>
      </c>
      <c r="L40" s="9">
        <v>0</v>
      </c>
      <c r="M40" s="9">
        <v>0</v>
      </c>
      <c r="N40" s="9">
        <v>0</v>
      </c>
      <c r="O40" s="9">
        <v>0</v>
      </c>
      <c r="P40" s="9">
        <v>0</v>
      </c>
      <c r="Q40" s="61">
        <v>0</v>
      </c>
    </row>
    <row r="41" spans="1:19" x14ac:dyDescent="0.2">
      <c r="A41" s="54"/>
      <c r="B41" s="97"/>
      <c r="C41" s="134"/>
      <c r="D41" s="79" t="s">
        <v>5895</v>
      </c>
      <c r="E41" s="136">
        <v>41500</v>
      </c>
      <c r="F41" s="134"/>
      <c r="G41" s="9"/>
      <c r="H41" s="9"/>
      <c r="I41" s="9"/>
      <c r="J41" s="9"/>
      <c r="K41" s="9"/>
      <c r="L41" s="9"/>
      <c r="M41" s="9"/>
      <c r="N41" s="9"/>
      <c r="O41" s="9"/>
      <c r="P41" s="9"/>
      <c r="Q41" s="61"/>
    </row>
    <row r="42" spans="1:19" s="39" customFormat="1" x14ac:dyDescent="0.2">
      <c r="A42" s="128">
        <f>SUBTOTAL(9,A36:A40)</f>
        <v>41200</v>
      </c>
      <c r="B42" s="372"/>
      <c r="C42" s="529">
        <f>SUBTOTAL(9,C37:C40)</f>
        <v>0</v>
      </c>
      <c r="D42" s="280" t="s">
        <v>2642</v>
      </c>
      <c r="E42" s="281">
        <f>SUBTOTAL(9,E37:E41)</f>
        <v>52800</v>
      </c>
      <c r="F42" s="281">
        <f t="shared" ref="F42:N42" si="12">SUBTOTAL(9,F37:F41)</f>
        <v>77500</v>
      </c>
      <c r="G42" s="281">
        <f t="shared" si="12"/>
        <v>451800</v>
      </c>
      <c r="H42" s="281">
        <f t="shared" si="12"/>
        <v>0</v>
      </c>
      <c r="I42" s="281">
        <f t="shared" si="12"/>
        <v>0</v>
      </c>
      <c r="J42" s="281">
        <f t="shared" si="12"/>
        <v>0</v>
      </c>
      <c r="K42" s="281">
        <f t="shared" si="12"/>
        <v>0</v>
      </c>
      <c r="L42" s="281">
        <f t="shared" si="12"/>
        <v>0</v>
      </c>
      <c r="M42" s="281">
        <f t="shared" si="12"/>
        <v>0</v>
      </c>
      <c r="N42" s="529">
        <f t="shared" si="12"/>
        <v>0</v>
      </c>
      <c r="O42" s="529">
        <f t="shared" ref="O42:P42" si="13">SUBTOTAL(9,O37:O41)</f>
        <v>0</v>
      </c>
      <c r="P42" s="529">
        <f t="shared" si="13"/>
        <v>0</v>
      </c>
      <c r="Q42" s="1014">
        <f t="shared" ref="Q42" si="14">SUBTOTAL(9,Q37:Q41)</f>
        <v>0</v>
      </c>
      <c r="S42" s="34"/>
    </row>
    <row r="43" spans="1:19" x14ac:dyDescent="0.2">
      <c r="A43" s="54"/>
      <c r="B43" s="167"/>
      <c r="C43" s="134"/>
      <c r="D43" s="9"/>
      <c r="E43" s="136"/>
      <c r="F43" s="134"/>
      <c r="G43" s="9"/>
      <c r="H43" s="9"/>
      <c r="I43" s="9"/>
      <c r="J43" s="9"/>
      <c r="K43" s="9"/>
      <c r="L43" s="9"/>
      <c r="M43" s="9"/>
      <c r="N43" s="9"/>
      <c r="O43" s="9"/>
      <c r="P43" s="9"/>
      <c r="Q43" s="61"/>
    </row>
    <row r="44" spans="1:19" x14ac:dyDescent="0.2">
      <c r="A44" s="54"/>
      <c r="B44" s="167"/>
      <c r="C44" s="134"/>
      <c r="D44" s="21" t="s">
        <v>1250</v>
      </c>
      <c r="E44" s="136"/>
      <c r="F44" s="134"/>
      <c r="G44" s="9"/>
      <c r="H44" s="9"/>
      <c r="I44" s="9"/>
      <c r="J44" s="9"/>
      <c r="K44" s="9"/>
      <c r="L44" s="9"/>
      <c r="M44" s="9"/>
      <c r="N44" s="9"/>
      <c r="O44" s="9"/>
      <c r="P44" s="9"/>
      <c r="Q44" s="61"/>
    </row>
    <row r="45" spans="1:19" x14ac:dyDescent="0.2">
      <c r="A45" s="54">
        <v>6500</v>
      </c>
      <c r="B45" s="167"/>
      <c r="C45" s="134">
        <v>900</v>
      </c>
      <c r="D45" s="79" t="s">
        <v>4090</v>
      </c>
      <c r="E45" s="136">
        <f>184900+800</f>
        <v>185700</v>
      </c>
      <c r="F45" s="134">
        <v>157800</v>
      </c>
      <c r="G45" s="9"/>
      <c r="H45" s="9"/>
      <c r="I45" s="9"/>
      <c r="J45" s="9"/>
      <c r="K45" s="9"/>
      <c r="L45" s="9"/>
      <c r="M45" s="9"/>
      <c r="N45" s="9"/>
      <c r="O45" s="9"/>
      <c r="P45" s="9"/>
      <c r="Q45" s="61"/>
    </row>
    <row r="46" spans="1:19" x14ac:dyDescent="0.2">
      <c r="A46" s="54"/>
      <c r="B46" s="167"/>
      <c r="C46" s="134"/>
      <c r="D46" s="79" t="s">
        <v>6278</v>
      </c>
      <c r="E46" s="136"/>
      <c r="F46" s="134">
        <v>55700</v>
      </c>
      <c r="G46" s="9"/>
      <c r="H46" s="9"/>
      <c r="I46" s="9"/>
      <c r="J46" s="9"/>
      <c r="K46" s="9"/>
      <c r="L46" s="9"/>
      <c r="M46" s="9"/>
      <c r="N46" s="9"/>
      <c r="O46" s="9"/>
      <c r="P46" s="9"/>
      <c r="Q46" s="61"/>
    </row>
    <row r="47" spans="1:19" s="39" customFormat="1" x14ac:dyDescent="0.2">
      <c r="A47" s="128">
        <f>SUBTOTAL(9,A44:A46)</f>
        <v>6500</v>
      </c>
      <c r="B47" s="372"/>
      <c r="C47" s="529">
        <f>SUBTOTAL(9,C44:C46)</f>
        <v>900</v>
      </c>
      <c r="D47" s="280" t="s">
        <v>2641</v>
      </c>
      <c r="E47" s="281">
        <f t="shared" ref="E47:Q47" si="15">SUBTOTAL(9,E44:E46)</f>
        <v>185700</v>
      </c>
      <c r="F47" s="529">
        <f t="shared" si="15"/>
        <v>213500</v>
      </c>
      <c r="G47" s="280">
        <f t="shared" si="15"/>
        <v>0</v>
      </c>
      <c r="H47" s="280">
        <f t="shared" si="15"/>
        <v>0</v>
      </c>
      <c r="I47" s="280">
        <f t="shared" si="15"/>
        <v>0</v>
      </c>
      <c r="J47" s="280">
        <f t="shared" si="15"/>
        <v>0</v>
      </c>
      <c r="K47" s="280">
        <f t="shared" si="15"/>
        <v>0</v>
      </c>
      <c r="L47" s="280">
        <f t="shared" si="15"/>
        <v>0</v>
      </c>
      <c r="M47" s="280">
        <f t="shared" si="15"/>
        <v>0</v>
      </c>
      <c r="N47" s="280">
        <f t="shared" si="15"/>
        <v>0</v>
      </c>
      <c r="O47" s="280">
        <f t="shared" si="15"/>
        <v>0</v>
      </c>
      <c r="P47" s="280">
        <f t="shared" si="15"/>
        <v>0</v>
      </c>
      <c r="Q47" s="282">
        <f t="shared" si="15"/>
        <v>0</v>
      </c>
      <c r="S47" s="34"/>
    </row>
    <row r="48" spans="1:19" x14ac:dyDescent="0.2">
      <c r="A48" s="54"/>
      <c r="B48" s="97"/>
      <c r="C48" s="134"/>
      <c r="D48" s="9"/>
      <c r="E48" s="136"/>
      <c r="F48" s="134"/>
      <c r="G48" s="9"/>
      <c r="H48" s="9"/>
      <c r="I48" s="9"/>
      <c r="J48" s="9"/>
      <c r="K48" s="9"/>
      <c r="L48" s="9"/>
      <c r="M48" s="9"/>
      <c r="N48" s="9"/>
      <c r="O48" s="9"/>
      <c r="P48" s="9"/>
      <c r="Q48" s="61"/>
    </row>
    <row r="49" spans="1:20" x14ac:dyDescent="0.2">
      <c r="A49" s="54"/>
      <c r="B49" s="97"/>
      <c r="C49" s="134"/>
      <c r="D49" s="21" t="s">
        <v>1297</v>
      </c>
      <c r="E49" s="136"/>
      <c r="F49" s="134"/>
      <c r="G49" s="9"/>
      <c r="H49" s="9"/>
      <c r="I49" s="9"/>
      <c r="J49" s="9"/>
      <c r="K49" s="9"/>
      <c r="L49" s="9"/>
      <c r="M49" s="9"/>
      <c r="N49" s="9"/>
      <c r="O49" s="9"/>
      <c r="P49" s="9"/>
      <c r="Q49" s="61"/>
    </row>
    <row r="50" spans="1:20" x14ac:dyDescent="0.2">
      <c r="A50" s="54">
        <v>12300</v>
      </c>
      <c r="B50" s="659" t="s">
        <v>2974</v>
      </c>
      <c r="C50" s="134"/>
      <c r="D50" s="79" t="s">
        <v>3789</v>
      </c>
      <c r="E50" s="136"/>
      <c r="F50" s="134"/>
      <c r="G50" s="9"/>
      <c r="H50" s="9"/>
      <c r="I50" s="9"/>
      <c r="J50" s="9"/>
      <c r="K50" s="9"/>
      <c r="L50" s="9"/>
      <c r="M50" s="9"/>
      <c r="N50" s="9"/>
      <c r="O50" s="9"/>
      <c r="P50" s="9"/>
      <c r="Q50" s="61"/>
    </row>
    <row r="51" spans="1:20" x14ac:dyDescent="0.2">
      <c r="A51" s="54">
        <v>842100</v>
      </c>
      <c r="B51" s="775" t="s">
        <v>2975</v>
      </c>
      <c r="C51" s="134">
        <v>14200</v>
      </c>
      <c r="D51" s="79" t="s">
        <v>3238</v>
      </c>
      <c r="E51" s="136">
        <v>221400</v>
      </c>
      <c r="F51" s="134">
        <v>10400</v>
      </c>
      <c r="G51" s="9"/>
      <c r="H51" s="9"/>
      <c r="I51" s="9"/>
      <c r="J51" s="9"/>
      <c r="K51" s="9"/>
      <c r="L51" s="9"/>
      <c r="M51" s="9"/>
      <c r="N51" s="9"/>
      <c r="O51" s="9"/>
      <c r="P51" s="9"/>
      <c r="Q51" s="61"/>
    </row>
    <row r="52" spans="1:20" s="39" customFormat="1" x14ac:dyDescent="0.2">
      <c r="A52" s="128">
        <f>SUBTOTAL(9,A49:A51)</f>
        <v>854400</v>
      </c>
      <c r="B52" s="372"/>
      <c r="C52" s="529">
        <f>SUBTOTAL(9,C49:C51)</f>
        <v>14200</v>
      </c>
      <c r="D52" s="280" t="s">
        <v>166</v>
      </c>
      <c r="E52" s="281">
        <f t="shared" ref="E52:O52" si="16">SUBTOTAL(9,E49:E51)</f>
        <v>221400</v>
      </c>
      <c r="F52" s="529">
        <f t="shared" si="16"/>
        <v>10400</v>
      </c>
      <c r="G52" s="280">
        <f t="shared" si="16"/>
        <v>0</v>
      </c>
      <c r="H52" s="280">
        <f t="shared" si="16"/>
        <v>0</v>
      </c>
      <c r="I52" s="280">
        <f t="shared" si="16"/>
        <v>0</v>
      </c>
      <c r="J52" s="280">
        <f t="shared" si="16"/>
        <v>0</v>
      </c>
      <c r="K52" s="280">
        <f t="shared" si="16"/>
        <v>0</v>
      </c>
      <c r="L52" s="280">
        <f t="shared" si="16"/>
        <v>0</v>
      </c>
      <c r="M52" s="280">
        <f t="shared" si="16"/>
        <v>0</v>
      </c>
      <c r="N52" s="280">
        <f t="shared" si="16"/>
        <v>0</v>
      </c>
      <c r="O52" s="280">
        <f t="shared" si="16"/>
        <v>0</v>
      </c>
      <c r="P52" s="280">
        <f t="shared" ref="P52:Q52" si="17">SUBTOTAL(9,P49:P51)</f>
        <v>0</v>
      </c>
      <c r="Q52" s="282">
        <f t="shared" si="17"/>
        <v>0</v>
      </c>
      <c r="S52" s="34"/>
    </row>
    <row r="53" spans="1:20" s="39" customFormat="1" x14ac:dyDescent="0.2">
      <c r="A53" s="24"/>
      <c r="B53" s="173"/>
      <c r="C53" s="138"/>
      <c r="D53" s="21"/>
      <c r="E53" s="139"/>
      <c r="F53" s="138"/>
      <c r="G53" s="21"/>
      <c r="H53" s="21"/>
      <c r="I53" s="21"/>
      <c r="J53" s="21"/>
      <c r="K53" s="21"/>
      <c r="L53" s="21"/>
      <c r="M53" s="21"/>
      <c r="N53" s="21"/>
      <c r="O53" s="21"/>
      <c r="P53" s="21"/>
      <c r="Q53" s="62"/>
      <c r="R53" s="34"/>
      <c r="S53" s="34"/>
      <c r="T53" s="34"/>
    </row>
    <row r="54" spans="1:20" x14ac:dyDescent="0.2">
      <c r="A54" s="54"/>
      <c r="B54" s="97"/>
      <c r="C54" s="134"/>
      <c r="D54" s="21" t="s">
        <v>317</v>
      </c>
      <c r="E54" s="136"/>
      <c r="F54" s="134"/>
      <c r="G54" s="9"/>
      <c r="H54" s="9"/>
      <c r="I54" s="9"/>
      <c r="J54" s="9"/>
      <c r="K54" s="9"/>
      <c r="L54" s="9"/>
      <c r="M54" s="9"/>
      <c r="N54" s="9"/>
      <c r="O54" s="9"/>
      <c r="P54" s="9"/>
      <c r="Q54" s="61"/>
    </row>
    <row r="55" spans="1:20" x14ac:dyDescent="0.2">
      <c r="A55" s="54">
        <v>121500</v>
      </c>
      <c r="B55" s="97" t="s">
        <v>2645</v>
      </c>
      <c r="C55" s="134">
        <v>127700</v>
      </c>
      <c r="D55" s="79" t="s">
        <v>2217</v>
      </c>
      <c r="E55" s="134">
        <v>110000</v>
      </c>
      <c r="F55" s="134">
        <v>110000</v>
      </c>
      <c r="G55" s="9">
        <f>F55</f>
        <v>110000</v>
      </c>
      <c r="H55" s="9">
        <f>G55</f>
        <v>110000</v>
      </c>
      <c r="I55" s="9">
        <v>55000</v>
      </c>
      <c r="J55" s="9"/>
      <c r="K55" s="9">
        <v>0</v>
      </c>
      <c r="L55" s="9">
        <v>0</v>
      </c>
      <c r="M55" s="9">
        <f>'Debt-Gen'!Y45</f>
        <v>0</v>
      </c>
      <c r="N55" s="9">
        <f>'Debt-Gen'!Z45</f>
        <v>0</v>
      </c>
      <c r="O55" s="9">
        <f>'Debt-Gen'!AA45</f>
        <v>0</v>
      </c>
      <c r="P55" s="9">
        <f>'Debt-Gen'!AB45</f>
        <v>0</v>
      </c>
      <c r="Q55" s="61">
        <f>'Debt-Gen'!AC45</f>
        <v>0</v>
      </c>
    </row>
    <row r="56" spans="1:20" s="39" customFormat="1" x14ac:dyDescent="0.2">
      <c r="A56" s="128">
        <f>SUBTOTAL(9,A54:A55)</f>
        <v>121500</v>
      </c>
      <c r="B56" s="372"/>
      <c r="C56" s="529">
        <f>SUBTOTAL(9,C54:C55)</f>
        <v>127700</v>
      </c>
      <c r="D56" s="280" t="s">
        <v>688</v>
      </c>
      <c r="E56" s="281">
        <f t="shared" ref="E56:M56" si="18">SUBTOTAL(9,E54:E55)</f>
        <v>110000</v>
      </c>
      <c r="F56" s="529">
        <f t="shared" si="18"/>
        <v>110000</v>
      </c>
      <c r="G56" s="280">
        <f t="shared" si="18"/>
        <v>110000</v>
      </c>
      <c r="H56" s="280">
        <f t="shared" si="18"/>
        <v>110000</v>
      </c>
      <c r="I56" s="280">
        <f t="shared" si="18"/>
        <v>55000</v>
      </c>
      <c r="J56" s="280">
        <f t="shared" si="18"/>
        <v>0</v>
      </c>
      <c r="K56" s="280">
        <f t="shared" si="18"/>
        <v>0</v>
      </c>
      <c r="L56" s="280">
        <f t="shared" si="18"/>
        <v>0</v>
      </c>
      <c r="M56" s="280">
        <f t="shared" si="18"/>
        <v>0</v>
      </c>
      <c r="N56" s="280">
        <f t="shared" ref="N56:O56" si="19">SUBTOTAL(9,N54:N55)</f>
        <v>0</v>
      </c>
      <c r="O56" s="280">
        <f t="shared" si="19"/>
        <v>0</v>
      </c>
      <c r="P56" s="280">
        <f t="shared" ref="P56:Q56" si="20">SUBTOTAL(9,P54:P55)</f>
        <v>0</v>
      </c>
      <c r="Q56" s="282">
        <f t="shared" si="20"/>
        <v>0</v>
      </c>
      <c r="R56" s="34"/>
      <c r="S56" s="34"/>
      <c r="T56" s="34"/>
    </row>
    <row r="57" spans="1:20" x14ac:dyDescent="0.2">
      <c r="A57" s="54"/>
      <c r="B57" s="167"/>
      <c r="C57" s="9"/>
      <c r="D57" s="257"/>
      <c r="E57" s="89"/>
      <c r="F57" s="9"/>
      <c r="G57" s="9"/>
      <c r="H57" s="9"/>
      <c r="I57" s="9"/>
      <c r="J57" s="9"/>
      <c r="K57" s="9"/>
      <c r="L57" s="9"/>
      <c r="M57" s="9"/>
      <c r="N57" s="9"/>
      <c r="O57" s="9"/>
      <c r="P57" s="9"/>
      <c r="Q57" s="61"/>
    </row>
    <row r="58" spans="1:20" x14ac:dyDescent="0.2">
      <c r="A58" s="54"/>
      <c r="B58" s="167"/>
      <c r="C58" s="9"/>
      <c r="D58" s="260" t="s">
        <v>521</v>
      </c>
      <c r="E58" s="89"/>
      <c r="F58" s="9"/>
      <c r="G58" s="9"/>
      <c r="H58" s="9"/>
      <c r="I58" s="9"/>
      <c r="J58" s="9"/>
      <c r="K58" s="9"/>
      <c r="L58" s="9"/>
      <c r="M58" s="9"/>
      <c r="N58" s="9"/>
      <c r="O58" s="9"/>
      <c r="P58" s="9"/>
      <c r="Q58" s="61"/>
    </row>
    <row r="59" spans="1:20" x14ac:dyDescent="0.2">
      <c r="A59" s="54">
        <v>192000</v>
      </c>
      <c r="B59" s="97" t="s">
        <v>2653</v>
      </c>
      <c r="C59" s="89">
        <v>192000</v>
      </c>
      <c r="D59" s="634" t="s">
        <v>2269</v>
      </c>
      <c r="E59" s="89">
        <f>ROUND(SUM('Debt-Gen'!I53:J53)*0.75,-3)</f>
        <v>195000</v>
      </c>
      <c r="F59" s="136">
        <v>130000</v>
      </c>
      <c r="G59" s="9">
        <f>ROUND(SUM('Debt-Gen'!M53:N53)*0.5,-3)</f>
        <v>130000</v>
      </c>
      <c r="H59" s="9">
        <f>ROUND(SUM('Debt-Gen'!O53:P53)*0.5,-3)</f>
        <v>130000</v>
      </c>
      <c r="I59" s="9">
        <f>ROUND(SUM('Debt-Gen'!Q53:R53)*0.5,-3)</f>
        <v>130000</v>
      </c>
      <c r="J59" s="9">
        <f>ROUND(SUM('Debt-Gen'!S53:T53)*0.5,-3)</f>
        <v>130000</v>
      </c>
      <c r="K59" s="9">
        <f>ROUND(SUM('Debt-Gen'!U53:V53)*0.5,-3)</f>
        <v>130000</v>
      </c>
      <c r="L59" s="9">
        <f>ROUND(SUM('Debt-Gen'!W53:X53)*0.5,-3)</f>
        <v>130000</v>
      </c>
      <c r="M59" s="9">
        <f>ROUND(SUM('Debt-Gen'!Y53:Z53)*0.5,-3)</f>
        <v>130000</v>
      </c>
      <c r="N59" s="9">
        <f>ROUND(SUM('Debt-Gen'!AA53:AB53)*0.5,-3)</f>
        <v>130000</v>
      </c>
      <c r="O59" s="9">
        <f>ROUND(SUM('Debt-Gen'!AC53:AD53)*0.5,-3)</f>
        <v>0</v>
      </c>
      <c r="P59" s="9"/>
      <c r="Q59" s="61"/>
    </row>
    <row r="60" spans="1:20" x14ac:dyDescent="0.2">
      <c r="A60" s="54"/>
      <c r="B60" s="167"/>
      <c r="C60" s="9"/>
      <c r="D60" s="257"/>
      <c r="E60" s="9"/>
      <c r="F60" s="9"/>
      <c r="G60" s="9"/>
      <c r="H60" s="9"/>
      <c r="I60" s="9"/>
      <c r="J60" s="9"/>
      <c r="K60" s="9"/>
      <c r="L60" s="9"/>
      <c r="M60" s="9"/>
      <c r="N60" s="9"/>
      <c r="O60" s="9"/>
      <c r="P60" s="9"/>
      <c r="Q60" s="61"/>
    </row>
    <row r="61" spans="1:20" x14ac:dyDescent="0.2">
      <c r="A61" s="54"/>
      <c r="B61" s="167"/>
      <c r="C61" s="9"/>
      <c r="D61" s="122" t="s">
        <v>522</v>
      </c>
      <c r="E61" s="9"/>
      <c r="F61" s="9"/>
      <c r="G61" s="9"/>
      <c r="H61" s="9"/>
      <c r="I61" s="9"/>
      <c r="J61" s="9"/>
      <c r="K61" s="9"/>
      <c r="L61" s="9"/>
      <c r="M61" s="9"/>
      <c r="N61" s="9"/>
      <c r="O61" s="9"/>
      <c r="P61" s="9"/>
      <c r="Q61" s="61"/>
    </row>
    <row r="62" spans="1:20" x14ac:dyDescent="0.2">
      <c r="A62" s="54">
        <f>39500+17200</f>
        <v>56700</v>
      </c>
      <c r="B62" s="97" t="s">
        <v>1380</v>
      </c>
      <c r="C62" s="134">
        <v>213500</v>
      </c>
      <c r="D62" s="634" t="s">
        <v>7033</v>
      </c>
      <c r="E62" s="136">
        <v>110600</v>
      </c>
      <c r="F62" s="136">
        <v>354600</v>
      </c>
      <c r="G62" s="9">
        <f>G24-G59+2800+'Cap-Gen'!G354</f>
        <v>496800</v>
      </c>
      <c r="H62" s="9">
        <f t="shared" ref="H62:Q62" si="21">H24-H59</f>
        <v>191000</v>
      </c>
      <c r="I62" s="9">
        <f t="shared" si="21"/>
        <v>199000</v>
      </c>
      <c r="J62" s="9">
        <f t="shared" si="21"/>
        <v>207000</v>
      </c>
      <c r="K62" s="9">
        <f t="shared" si="21"/>
        <v>215000</v>
      </c>
      <c r="L62" s="9">
        <f t="shared" si="21"/>
        <v>224000</v>
      </c>
      <c r="M62" s="9">
        <f t="shared" si="21"/>
        <v>233000</v>
      </c>
      <c r="N62" s="9">
        <f t="shared" si="21"/>
        <v>242000</v>
      </c>
      <c r="O62" s="9">
        <f t="shared" si="21"/>
        <v>381000</v>
      </c>
      <c r="P62" s="9">
        <f t="shared" si="21"/>
        <v>391000</v>
      </c>
      <c r="Q62" s="61">
        <f t="shared" si="21"/>
        <v>401000</v>
      </c>
    </row>
    <row r="63" spans="1:20" s="39" customFormat="1" x14ac:dyDescent="0.2">
      <c r="A63" s="128">
        <f>SUBTOTAL(9,A58:A62)</f>
        <v>248700</v>
      </c>
      <c r="B63" s="372"/>
      <c r="C63" s="529">
        <f>SUBTOTAL(9,C58:C62)</f>
        <v>405500</v>
      </c>
      <c r="D63" s="280" t="s">
        <v>2305</v>
      </c>
      <c r="E63" s="281">
        <f t="shared" ref="E63:O63" si="22">SUBTOTAL(9,E58:E62)</f>
        <v>305600</v>
      </c>
      <c r="F63" s="529">
        <f t="shared" si="22"/>
        <v>484600</v>
      </c>
      <c r="G63" s="280">
        <f t="shared" si="22"/>
        <v>626800</v>
      </c>
      <c r="H63" s="280">
        <f t="shared" si="22"/>
        <v>321000</v>
      </c>
      <c r="I63" s="280">
        <f t="shared" si="22"/>
        <v>329000</v>
      </c>
      <c r="J63" s="280">
        <f t="shared" si="22"/>
        <v>337000</v>
      </c>
      <c r="K63" s="280">
        <f t="shared" si="22"/>
        <v>345000</v>
      </c>
      <c r="L63" s="280">
        <f t="shared" si="22"/>
        <v>354000</v>
      </c>
      <c r="M63" s="280">
        <f t="shared" si="22"/>
        <v>363000</v>
      </c>
      <c r="N63" s="280">
        <f t="shared" si="22"/>
        <v>372000</v>
      </c>
      <c r="O63" s="280">
        <f t="shared" si="22"/>
        <v>381000</v>
      </c>
      <c r="P63" s="280">
        <f t="shared" ref="P63:Q63" si="23">SUBTOTAL(9,P58:P62)</f>
        <v>391000</v>
      </c>
      <c r="Q63" s="282">
        <f t="shared" si="23"/>
        <v>401000</v>
      </c>
      <c r="R63" s="34"/>
      <c r="S63" s="34"/>
      <c r="T63" s="34"/>
    </row>
    <row r="64" spans="1:20" s="39" customFormat="1" x14ac:dyDescent="0.2">
      <c r="A64" s="24"/>
      <c r="B64" s="173"/>
      <c r="C64" s="138"/>
      <c r="D64" s="21"/>
      <c r="E64" s="139"/>
      <c r="F64" s="138"/>
      <c r="G64" s="21"/>
      <c r="H64" s="21"/>
      <c r="I64" s="21"/>
      <c r="J64" s="21"/>
      <c r="K64" s="21"/>
      <c r="L64" s="21"/>
      <c r="M64" s="21"/>
      <c r="N64" s="21"/>
      <c r="O64" s="21"/>
      <c r="P64" s="21"/>
      <c r="Q64" s="62"/>
      <c r="R64" s="34"/>
      <c r="S64" s="34"/>
      <c r="T64" s="34"/>
    </row>
    <row r="65" spans="1:20" x14ac:dyDescent="0.2">
      <c r="A65" s="54"/>
      <c r="B65" s="167"/>
      <c r="C65" s="9"/>
      <c r="D65" s="260" t="s">
        <v>2218</v>
      </c>
      <c r="E65" s="9"/>
      <c r="F65" s="9"/>
      <c r="G65" s="9"/>
      <c r="H65" s="9"/>
      <c r="I65" s="9"/>
      <c r="J65" s="9"/>
      <c r="K65" s="9"/>
      <c r="L65" s="9"/>
      <c r="M65" s="9"/>
      <c r="N65" s="9"/>
      <c r="O65" s="9"/>
      <c r="P65" s="9"/>
      <c r="Q65" s="61"/>
    </row>
    <row r="66" spans="1:20" x14ac:dyDescent="0.2">
      <c r="A66" s="54">
        <v>1139200</v>
      </c>
      <c r="B66" s="97" t="s">
        <v>2652</v>
      </c>
      <c r="C66" s="9">
        <f>55800+313300</f>
        <v>369100</v>
      </c>
      <c r="D66" s="58" t="s">
        <v>1441</v>
      </c>
      <c r="E66" s="9"/>
      <c r="F66" s="9"/>
      <c r="G66" s="9"/>
      <c r="H66" s="9"/>
      <c r="I66" s="9"/>
      <c r="J66" s="9"/>
      <c r="K66" s="9"/>
      <c r="L66" s="9"/>
      <c r="M66" s="9"/>
      <c r="N66" s="9"/>
      <c r="O66" s="9"/>
      <c r="P66" s="9"/>
      <c r="Q66" s="61"/>
    </row>
    <row r="67" spans="1:20" x14ac:dyDescent="0.2">
      <c r="A67" s="54">
        <v>30700</v>
      </c>
      <c r="B67" s="659" t="s">
        <v>3454</v>
      </c>
      <c r="C67" s="9">
        <v>730700</v>
      </c>
      <c r="D67" s="58" t="s">
        <v>3453</v>
      </c>
      <c r="E67" s="9">
        <v>106200</v>
      </c>
      <c r="F67" s="9"/>
      <c r="G67" s="9"/>
      <c r="H67" s="9"/>
      <c r="I67" s="9"/>
      <c r="J67" s="9"/>
      <c r="K67" s="9"/>
      <c r="L67" s="9"/>
      <c r="M67" s="9"/>
      <c r="N67" s="9"/>
      <c r="O67" s="9"/>
      <c r="P67" s="9"/>
      <c r="Q67" s="61"/>
    </row>
    <row r="68" spans="1:20" x14ac:dyDescent="0.2">
      <c r="A68" s="54"/>
      <c r="B68" s="167"/>
      <c r="C68" s="9">
        <v>130100</v>
      </c>
      <c r="D68" s="58" t="s">
        <v>3411</v>
      </c>
      <c r="E68" s="9">
        <v>10000</v>
      </c>
      <c r="F68" s="9"/>
      <c r="G68" s="9"/>
      <c r="H68" s="9"/>
      <c r="I68" s="9"/>
      <c r="J68" s="9"/>
      <c r="K68" s="9"/>
      <c r="L68" s="9"/>
      <c r="M68" s="9"/>
      <c r="N68" s="9"/>
      <c r="O68" s="9"/>
      <c r="P68" s="9"/>
      <c r="Q68" s="61"/>
    </row>
    <row r="69" spans="1:20" x14ac:dyDescent="0.2">
      <c r="A69" s="54">
        <v>13000</v>
      </c>
      <c r="B69" s="97" t="s">
        <v>2651</v>
      </c>
      <c r="C69" s="9"/>
      <c r="D69" s="58" t="s">
        <v>1386</v>
      </c>
      <c r="E69" s="9"/>
      <c r="F69" s="9">
        <v>42100</v>
      </c>
      <c r="G69" s="9">
        <f>246800-239900-5000</f>
        <v>1900</v>
      </c>
      <c r="H69" s="9">
        <f>'Cap-Gen'!AH133</f>
        <v>0</v>
      </c>
      <c r="I69" s="9">
        <f>'Cap-Gen'!AM133</f>
        <v>17224000</v>
      </c>
      <c r="J69" s="9"/>
      <c r="K69" s="9"/>
      <c r="L69" s="9"/>
      <c r="M69" s="9"/>
      <c r="N69" s="9"/>
      <c r="O69" s="9"/>
      <c r="P69" s="9"/>
      <c r="Q69" s="61"/>
    </row>
    <row r="70" spans="1:20" x14ac:dyDescent="0.2">
      <c r="A70" s="54"/>
      <c r="B70" s="167"/>
      <c r="C70" s="9"/>
      <c r="D70" s="58" t="s">
        <v>6598</v>
      </c>
      <c r="E70" s="9">
        <v>16300</v>
      </c>
      <c r="F70" s="9">
        <v>5800</v>
      </c>
      <c r="G70" s="9">
        <v>27700</v>
      </c>
      <c r="H70" s="9"/>
      <c r="I70" s="9"/>
      <c r="J70" s="9"/>
      <c r="K70" s="9"/>
      <c r="L70" s="9"/>
      <c r="M70" s="9"/>
      <c r="N70" s="9"/>
      <c r="O70" s="9"/>
      <c r="P70" s="9"/>
      <c r="Q70" s="61"/>
    </row>
    <row r="71" spans="1:20" x14ac:dyDescent="0.2">
      <c r="A71" s="54"/>
      <c r="B71" s="167"/>
      <c r="C71" s="9"/>
      <c r="D71" s="58" t="s">
        <v>11949</v>
      </c>
      <c r="E71" s="9"/>
      <c r="F71" s="9"/>
      <c r="G71" s="9"/>
      <c r="H71" s="9"/>
      <c r="I71" s="9"/>
      <c r="J71" s="9"/>
      <c r="K71" s="9"/>
      <c r="L71" s="9"/>
      <c r="M71" s="9"/>
      <c r="N71" s="9"/>
      <c r="O71" s="9"/>
      <c r="P71" s="9"/>
      <c r="Q71" s="61"/>
    </row>
    <row r="72" spans="1:20" x14ac:dyDescent="0.2">
      <c r="A72" s="54"/>
      <c r="B72" s="167"/>
      <c r="C72" s="9"/>
      <c r="D72" s="58" t="s">
        <v>11893</v>
      </c>
      <c r="E72" s="9"/>
      <c r="F72" s="9"/>
      <c r="G72" s="9">
        <v>5000</v>
      </c>
      <c r="H72" s="9"/>
      <c r="I72" s="9"/>
      <c r="J72" s="9"/>
      <c r="K72" s="9"/>
      <c r="L72" s="9"/>
      <c r="M72" s="9"/>
      <c r="N72" s="9"/>
      <c r="O72" s="9"/>
      <c r="P72" s="9"/>
      <c r="Q72" s="61"/>
    </row>
    <row r="73" spans="1:20" x14ac:dyDescent="0.2">
      <c r="A73" s="54"/>
      <c r="B73" s="167"/>
      <c r="C73" s="9"/>
      <c r="D73" s="58" t="s">
        <v>5885</v>
      </c>
      <c r="E73" s="9"/>
      <c r="F73" s="9"/>
      <c r="G73" s="9"/>
      <c r="H73" s="9"/>
      <c r="I73" s="9"/>
      <c r="J73" s="9">
        <f>'Cap-Gen'!AR134</f>
        <v>10438000</v>
      </c>
      <c r="K73" s="9"/>
      <c r="L73" s="9"/>
      <c r="M73" s="9"/>
      <c r="N73" s="9"/>
      <c r="O73" s="9"/>
      <c r="P73" s="9"/>
      <c r="Q73" s="61"/>
    </row>
    <row r="74" spans="1:20" x14ac:dyDescent="0.2">
      <c r="A74" s="54"/>
      <c r="B74" s="167"/>
      <c r="C74" s="9"/>
      <c r="D74" s="58" t="s">
        <v>5886</v>
      </c>
      <c r="E74" s="9"/>
      <c r="F74" s="9"/>
      <c r="G74" s="9"/>
      <c r="H74" s="9"/>
      <c r="I74" s="9"/>
      <c r="J74" s="9">
        <f>'Cap-Gen'!AR135</f>
        <v>3072000</v>
      </c>
      <c r="K74" s="9"/>
      <c r="L74" s="9"/>
      <c r="M74" s="9"/>
      <c r="N74" s="9"/>
      <c r="O74" s="9"/>
      <c r="P74" s="9"/>
      <c r="Q74" s="61"/>
    </row>
    <row r="75" spans="1:20" x14ac:dyDescent="0.2">
      <c r="A75" s="54"/>
      <c r="B75" s="167"/>
      <c r="C75" s="9"/>
      <c r="D75" s="58" t="s">
        <v>5887</v>
      </c>
      <c r="E75" s="9"/>
      <c r="F75" s="9"/>
      <c r="G75" s="9"/>
      <c r="H75" s="9"/>
      <c r="I75" s="9"/>
      <c r="J75" s="9">
        <f>'Cap-Gen'!AR136</f>
        <v>114000</v>
      </c>
      <c r="K75" s="9"/>
      <c r="L75" s="9"/>
      <c r="M75" s="9"/>
      <c r="N75" s="9"/>
      <c r="O75" s="9"/>
      <c r="P75" s="9"/>
      <c r="Q75" s="61"/>
    </row>
    <row r="76" spans="1:20" x14ac:dyDescent="0.2">
      <c r="A76" s="54"/>
      <c r="B76" s="167"/>
      <c r="C76" s="9"/>
      <c r="D76" s="58" t="s">
        <v>5888</v>
      </c>
      <c r="E76" s="9"/>
      <c r="F76" s="9"/>
      <c r="G76" s="9"/>
      <c r="H76" s="9"/>
      <c r="I76" s="9"/>
      <c r="J76" s="9"/>
      <c r="K76" s="9">
        <f>'Cap-Gen'!AW137</f>
        <v>8434000</v>
      </c>
      <c r="L76" s="9"/>
      <c r="M76" s="9"/>
      <c r="N76" s="9"/>
      <c r="O76" s="9"/>
      <c r="P76" s="9"/>
      <c r="Q76" s="61"/>
    </row>
    <row r="77" spans="1:20" x14ac:dyDescent="0.2">
      <c r="A77" s="54"/>
      <c r="B77" s="167"/>
      <c r="C77" s="9"/>
      <c r="D77" s="58" t="s">
        <v>5889</v>
      </c>
      <c r="E77" s="9"/>
      <c r="F77" s="9"/>
      <c r="G77" s="9"/>
      <c r="H77" s="9"/>
      <c r="I77" s="9"/>
      <c r="J77" s="9"/>
      <c r="K77" s="9">
        <f>'Cap-Gen'!AW138</f>
        <v>4718000</v>
      </c>
      <c r="L77" s="9"/>
      <c r="M77" s="9"/>
      <c r="N77" s="9"/>
      <c r="O77" s="9"/>
      <c r="P77" s="9"/>
      <c r="Q77" s="61"/>
    </row>
    <row r="78" spans="1:20" s="39" customFormat="1" x14ac:dyDescent="0.2">
      <c r="A78" s="128">
        <f>SUBTOTAL(9,A65:A77)</f>
        <v>1182900</v>
      </c>
      <c r="B78" s="372"/>
      <c r="C78" s="529">
        <f>SUBTOTAL(9,C65:C77)</f>
        <v>1229900</v>
      </c>
      <c r="D78" s="280" t="s">
        <v>2304</v>
      </c>
      <c r="E78" s="281">
        <f t="shared" ref="E78:Q78" si="24">SUBTOTAL(9,E65:E77)</f>
        <v>132500</v>
      </c>
      <c r="F78" s="281">
        <f t="shared" si="24"/>
        <v>47900</v>
      </c>
      <c r="G78" s="281">
        <f t="shared" si="24"/>
        <v>34600</v>
      </c>
      <c r="H78" s="281">
        <f t="shared" si="24"/>
        <v>0</v>
      </c>
      <c r="I78" s="281">
        <f t="shared" si="24"/>
        <v>17224000</v>
      </c>
      <c r="J78" s="281">
        <f t="shared" si="24"/>
        <v>13624000</v>
      </c>
      <c r="K78" s="281">
        <f t="shared" si="24"/>
        <v>13152000</v>
      </c>
      <c r="L78" s="281">
        <f t="shared" si="24"/>
        <v>0</v>
      </c>
      <c r="M78" s="281">
        <f t="shared" si="24"/>
        <v>0</v>
      </c>
      <c r="N78" s="281">
        <f t="shared" si="24"/>
        <v>0</v>
      </c>
      <c r="O78" s="529">
        <f t="shared" si="24"/>
        <v>0</v>
      </c>
      <c r="P78" s="529">
        <f t="shared" si="24"/>
        <v>0</v>
      </c>
      <c r="Q78" s="1014">
        <f t="shared" si="24"/>
        <v>0</v>
      </c>
      <c r="R78" s="34"/>
      <c r="S78" s="34"/>
      <c r="T78" s="34"/>
    </row>
    <row r="79" spans="1:20" x14ac:dyDescent="0.2">
      <c r="A79" s="54"/>
      <c r="B79" s="97"/>
      <c r="C79" s="9"/>
      <c r="D79" s="9"/>
      <c r="E79" s="89"/>
      <c r="F79" s="136"/>
      <c r="G79" s="9"/>
      <c r="H79" s="9"/>
      <c r="I79" s="9"/>
      <c r="J79" s="9"/>
      <c r="K79" s="9"/>
      <c r="L79" s="9"/>
      <c r="M79" s="9"/>
      <c r="N79" s="9"/>
      <c r="O79" s="9"/>
      <c r="P79" s="9"/>
      <c r="Q79" s="61"/>
    </row>
    <row r="80" spans="1:20" s="39" customFormat="1" x14ac:dyDescent="0.2">
      <c r="A80" s="24"/>
      <c r="B80" s="103"/>
      <c r="C80" s="21"/>
      <c r="D80" s="63" t="s">
        <v>4780</v>
      </c>
      <c r="E80" s="75"/>
      <c r="F80" s="139"/>
      <c r="G80" s="21"/>
      <c r="H80" s="21"/>
      <c r="I80" s="21"/>
      <c r="J80" s="21"/>
      <c r="K80" s="21"/>
      <c r="L80" s="21"/>
      <c r="M80" s="21"/>
      <c r="N80" s="21"/>
      <c r="O80" s="21"/>
      <c r="P80" s="21"/>
      <c r="Q80" s="62"/>
      <c r="S80" s="34"/>
    </row>
    <row r="81" spans="1:19" x14ac:dyDescent="0.2">
      <c r="A81" s="25">
        <f>56800+210800+101700</f>
        <v>369300</v>
      </c>
      <c r="B81" s="99" t="s">
        <v>606</v>
      </c>
      <c r="C81" s="9">
        <v>202700</v>
      </c>
      <c r="D81" s="79" t="s">
        <v>3855</v>
      </c>
      <c r="E81" s="89">
        <v>72500</v>
      </c>
      <c r="F81" s="136">
        <v>84300</v>
      </c>
      <c r="G81" s="9">
        <v>200000</v>
      </c>
      <c r="H81" s="9">
        <v>150000</v>
      </c>
      <c r="I81" s="9">
        <f t="shared" ref="I81:P81" si="25">H81</f>
        <v>150000</v>
      </c>
      <c r="J81" s="9">
        <f t="shared" si="25"/>
        <v>150000</v>
      </c>
      <c r="K81" s="9">
        <f t="shared" si="25"/>
        <v>150000</v>
      </c>
      <c r="L81" s="9">
        <f t="shared" si="25"/>
        <v>150000</v>
      </c>
      <c r="M81" s="9">
        <f t="shared" si="25"/>
        <v>150000</v>
      </c>
      <c r="N81" s="9">
        <f t="shared" si="25"/>
        <v>150000</v>
      </c>
      <c r="O81" s="9">
        <f t="shared" si="25"/>
        <v>150000</v>
      </c>
      <c r="P81" s="9">
        <f t="shared" si="25"/>
        <v>150000</v>
      </c>
      <c r="Q81" s="61">
        <f>P81</f>
        <v>150000</v>
      </c>
    </row>
    <row r="82" spans="1:19" x14ac:dyDescent="0.2">
      <c r="A82" s="54">
        <f>36000+58900+25800+345700+9500</f>
        <v>475900</v>
      </c>
      <c r="B82" s="97" t="s">
        <v>606</v>
      </c>
      <c r="C82" s="9">
        <f>299000+138000+91000-900</f>
        <v>527100</v>
      </c>
      <c r="D82" s="79" t="s">
        <v>550</v>
      </c>
      <c r="E82" s="89">
        <v>401000</v>
      </c>
      <c r="F82" s="136">
        <f>249300</f>
        <v>249300</v>
      </c>
      <c r="G82" s="9">
        <v>450000</v>
      </c>
      <c r="H82" s="9">
        <v>300000</v>
      </c>
      <c r="I82" s="9">
        <f t="shared" ref="I82:Q82" si="26">H82</f>
        <v>300000</v>
      </c>
      <c r="J82" s="9">
        <f t="shared" si="26"/>
        <v>300000</v>
      </c>
      <c r="K82" s="9">
        <f t="shared" si="26"/>
        <v>300000</v>
      </c>
      <c r="L82" s="9">
        <f t="shared" si="26"/>
        <v>300000</v>
      </c>
      <c r="M82" s="9">
        <f t="shared" si="26"/>
        <v>300000</v>
      </c>
      <c r="N82" s="9">
        <f t="shared" si="26"/>
        <v>300000</v>
      </c>
      <c r="O82" s="9">
        <f t="shared" si="26"/>
        <v>300000</v>
      </c>
      <c r="P82" s="9">
        <f t="shared" si="26"/>
        <v>300000</v>
      </c>
      <c r="Q82" s="61">
        <f t="shared" si="26"/>
        <v>300000</v>
      </c>
    </row>
    <row r="83" spans="1:19" x14ac:dyDescent="0.2">
      <c r="A83" s="54"/>
      <c r="B83" s="99" t="s">
        <v>606</v>
      </c>
      <c r="C83" s="9"/>
      <c r="D83" s="79" t="s">
        <v>4781</v>
      </c>
      <c r="E83" s="89"/>
      <c r="F83" s="136"/>
      <c r="G83" s="9"/>
      <c r="H83" s="9"/>
      <c r="I83" s="9"/>
      <c r="J83" s="9"/>
      <c r="K83" s="9"/>
      <c r="L83" s="9"/>
      <c r="M83" s="9"/>
      <c r="N83" s="9"/>
      <c r="O83" s="9"/>
      <c r="P83" s="9"/>
      <c r="Q83" s="61"/>
    </row>
    <row r="84" spans="1:19" x14ac:dyDescent="0.2">
      <c r="A84" s="54"/>
      <c r="B84" s="97" t="s">
        <v>606</v>
      </c>
      <c r="C84" s="9"/>
      <c r="D84" s="79" t="s">
        <v>3022</v>
      </c>
      <c r="E84" s="89"/>
      <c r="F84" s="136"/>
      <c r="G84" s="9"/>
      <c r="H84" s="9"/>
      <c r="I84" s="9"/>
      <c r="J84" s="9"/>
      <c r="K84" s="9"/>
      <c r="L84" s="9"/>
      <c r="M84" s="9"/>
      <c r="N84" s="9"/>
      <c r="O84" s="9"/>
      <c r="P84" s="9"/>
      <c r="Q84" s="61"/>
    </row>
    <row r="85" spans="1:19" s="39" customFormat="1" x14ac:dyDescent="0.2">
      <c r="A85" s="128">
        <f>SUBTOTAL(9,A80:A84)</f>
        <v>845200</v>
      </c>
      <c r="B85" s="372"/>
      <c r="C85" s="529">
        <f>SUBTOTAL(9,C80:C84)</f>
        <v>729800</v>
      </c>
      <c r="D85" s="791" t="s">
        <v>4136</v>
      </c>
      <c r="E85" s="281">
        <f t="shared" ref="E85:M85" si="27">SUBTOTAL(9,E80:E84)</f>
        <v>473500</v>
      </c>
      <c r="F85" s="529">
        <f t="shared" si="27"/>
        <v>333600</v>
      </c>
      <c r="G85" s="280">
        <f t="shared" si="27"/>
        <v>650000</v>
      </c>
      <c r="H85" s="280">
        <f t="shared" si="27"/>
        <v>450000</v>
      </c>
      <c r="I85" s="280">
        <f t="shared" si="27"/>
        <v>450000</v>
      </c>
      <c r="J85" s="280">
        <f t="shared" si="27"/>
        <v>450000</v>
      </c>
      <c r="K85" s="280">
        <f t="shared" si="27"/>
        <v>450000</v>
      </c>
      <c r="L85" s="280">
        <f t="shared" si="27"/>
        <v>450000</v>
      </c>
      <c r="M85" s="280">
        <f t="shared" si="27"/>
        <v>450000</v>
      </c>
      <c r="N85" s="280">
        <f t="shared" ref="N85:O85" si="28">SUBTOTAL(9,N80:N84)</f>
        <v>450000</v>
      </c>
      <c r="O85" s="280">
        <f t="shared" si="28"/>
        <v>450000</v>
      </c>
      <c r="P85" s="280">
        <f t="shared" ref="P85:Q85" si="29">SUBTOTAL(9,P80:P84)</f>
        <v>450000</v>
      </c>
      <c r="Q85" s="282">
        <f t="shared" si="29"/>
        <v>450000</v>
      </c>
      <c r="S85" s="34"/>
    </row>
    <row r="86" spans="1:19" s="39" customFormat="1" x14ac:dyDescent="0.2">
      <c r="A86" s="24"/>
      <c r="B86" s="173"/>
      <c r="C86" s="138"/>
      <c r="D86" s="21"/>
      <c r="E86" s="139"/>
      <c r="F86" s="138"/>
      <c r="G86" s="21"/>
      <c r="H86" s="21"/>
      <c r="I86" s="21"/>
      <c r="J86" s="21"/>
      <c r="K86" s="21"/>
      <c r="L86" s="21"/>
      <c r="M86" s="21"/>
      <c r="N86" s="21"/>
      <c r="O86" s="21"/>
      <c r="P86" s="21"/>
      <c r="Q86" s="62"/>
      <c r="S86" s="34"/>
    </row>
    <row r="87" spans="1:19" s="39" customFormat="1" x14ac:dyDescent="0.2">
      <c r="A87" s="25">
        <v>101300</v>
      </c>
      <c r="B87" s="173"/>
      <c r="C87" s="706">
        <v>72600</v>
      </c>
      <c r="D87" s="79" t="s">
        <v>3144</v>
      </c>
      <c r="E87" s="707">
        <f>72600+82700</f>
        <v>155300</v>
      </c>
      <c r="F87" s="706"/>
      <c r="G87" s="79"/>
      <c r="H87" s="21"/>
      <c r="I87" s="21"/>
      <c r="J87" s="21"/>
      <c r="K87" s="21"/>
      <c r="L87" s="21"/>
      <c r="M87" s="21"/>
      <c r="N87" s="21"/>
      <c r="O87" s="21"/>
      <c r="P87" s="21"/>
      <c r="Q87" s="62"/>
      <c r="S87" s="34"/>
    </row>
    <row r="88" spans="1:19" s="39" customFormat="1" x14ac:dyDescent="0.2">
      <c r="A88" s="25">
        <f>37800+2700</f>
        <v>40500</v>
      </c>
      <c r="B88" s="173"/>
      <c r="C88" s="706">
        <v>0</v>
      </c>
      <c r="D88" s="79" t="s">
        <v>3146</v>
      </c>
      <c r="E88" s="707">
        <v>24600</v>
      </c>
      <c r="F88" s="706"/>
      <c r="G88" s="79"/>
      <c r="H88" s="21"/>
      <c r="I88" s="21"/>
      <c r="J88" s="21"/>
      <c r="K88" s="21"/>
      <c r="L88" s="21"/>
      <c r="M88" s="21"/>
      <c r="N88" s="21"/>
      <c r="O88" s="21"/>
      <c r="P88" s="21"/>
      <c r="Q88" s="62"/>
      <c r="S88" s="34"/>
    </row>
    <row r="89" spans="1:19" s="39" customFormat="1" x14ac:dyDescent="0.2">
      <c r="A89" s="25">
        <v>60000</v>
      </c>
      <c r="B89" s="173"/>
      <c r="C89" s="706">
        <v>60000</v>
      </c>
      <c r="D89" s="79" t="s">
        <v>6371</v>
      </c>
      <c r="E89" s="707"/>
      <c r="F89" s="706">
        <v>60000</v>
      </c>
      <c r="G89" s="79"/>
      <c r="H89" s="21"/>
      <c r="I89" s="21"/>
      <c r="J89" s="21"/>
      <c r="K89" s="21"/>
      <c r="L89" s="21"/>
      <c r="M89" s="21"/>
      <c r="N89" s="21"/>
      <c r="O89" s="21"/>
      <c r="P89" s="21"/>
      <c r="Q89" s="62"/>
      <c r="S89" s="34"/>
    </row>
    <row r="90" spans="1:19" s="39" customFormat="1" ht="12.75" hidden="1" customHeight="1" x14ac:dyDescent="0.2">
      <c r="A90" s="25"/>
      <c r="B90" s="173"/>
      <c r="C90" s="706"/>
      <c r="D90" s="79" t="s">
        <v>3364</v>
      </c>
      <c r="E90" s="707"/>
      <c r="F90" s="706"/>
      <c r="G90" s="79"/>
      <c r="H90" s="21"/>
      <c r="I90" s="21"/>
      <c r="J90" s="21"/>
      <c r="K90" s="21"/>
      <c r="L90" s="21"/>
      <c r="M90" s="21"/>
      <c r="N90" s="21"/>
      <c r="O90" s="21"/>
      <c r="P90" s="21"/>
      <c r="Q90" s="62"/>
      <c r="S90" s="34"/>
    </row>
    <row r="91" spans="1:19" s="39" customFormat="1" x14ac:dyDescent="0.2">
      <c r="A91" s="1273">
        <v>193100</v>
      </c>
      <c r="B91" s="790"/>
      <c r="C91" s="792">
        <v>127300</v>
      </c>
      <c r="D91" s="768" t="s">
        <v>3147</v>
      </c>
      <c r="E91" s="793">
        <v>127400</v>
      </c>
      <c r="F91" s="792"/>
      <c r="G91" s="768"/>
      <c r="H91" s="789"/>
      <c r="I91" s="789"/>
      <c r="J91" s="789"/>
      <c r="K91" s="789"/>
      <c r="L91" s="789"/>
      <c r="M91" s="789"/>
      <c r="N91" s="789"/>
      <c r="O91" s="789"/>
      <c r="P91" s="789"/>
      <c r="Q91" s="1016"/>
      <c r="S91" s="34"/>
    </row>
    <row r="92" spans="1:19" s="39" customFormat="1" x14ac:dyDescent="0.2">
      <c r="A92" s="24">
        <f>SUBTOTAL(9,A86:A91)</f>
        <v>394900</v>
      </c>
      <c r="B92" s="173"/>
      <c r="C92" s="529">
        <f>SUBTOTAL(9,C86:C91)</f>
        <v>259900</v>
      </c>
      <c r="D92" s="791" t="s">
        <v>3145</v>
      </c>
      <c r="E92" s="139">
        <f t="shared" ref="E92:M92" si="30">SUBTOTAL(9,E86:E91)</f>
        <v>307300</v>
      </c>
      <c r="F92" s="138">
        <f t="shared" si="30"/>
        <v>60000</v>
      </c>
      <c r="G92" s="21">
        <f t="shared" si="30"/>
        <v>0</v>
      </c>
      <c r="H92" s="21">
        <f t="shared" si="30"/>
        <v>0</v>
      </c>
      <c r="I92" s="21">
        <f t="shared" si="30"/>
        <v>0</v>
      </c>
      <c r="J92" s="21">
        <f t="shared" si="30"/>
        <v>0</v>
      </c>
      <c r="K92" s="21">
        <f t="shared" si="30"/>
        <v>0</v>
      </c>
      <c r="L92" s="21">
        <f t="shared" si="30"/>
        <v>0</v>
      </c>
      <c r="M92" s="21">
        <f t="shared" si="30"/>
        <v>0</v>
      </c>
      <c r="N92" s="21">
        <f t="shared" ref="N92:O92" si="31">SUBTOTAL(9,N86:N91)</f>
        <v>0</v>
      </c>
      <c r="O92" s="21">
        <f t="shared" si="31"/>
        <v>0</v>
      </c>
      <c r="P92" s="21">
        <f t="shared" ref="P92:Q92" si="32">SUBTOTAL(9,P86:P91)</f>
        <v>0</v>
      </c>
      <c r="Q92" s="62">
        <f t="shared" si="32"/>
        <v>0</v>
      </c>
      <c r="S92" s="34"/>
    </row>
    <row r="93" spans="1:19" s="39" customFormat="1" x14ac:dyDescent="0.2">
      <c r="A93" s="24"/>
      <c r="B93" s="173"/>
      <c r="C93" s="138"/>
      <c r="D93" s="21"/>
      <c r="E93" s="139"/>
      <c r="F93" s="138"/>
      <c r="G93" s="21"/>
      <c r="H93" s="21"/>
      <c r="I93" s="21"/>
      <c r="J93" s="21"/>
      <c r="K93" s="21"/>
      <c r="L93" s="21"/>
      <c r="M93" s="21"/>
      <c r="N93" s="21"/>
      <c r="O93" s="21"/>
      <c r="P93" s="21"/>
      <c r="Q93" s="62"/>
      <c r="S93" s="34"/>
    </row>
    <row r="94" spans="1:19" s="39" customFormat="1" x14ac:dyDescent="0.2">
      <c r="A94" s="1273"/>
      <c r="B94" s="790"/>
      <c r="C94" s="792">
        <v>54000</v>
      </c>
      <c r="D94" s="768" t="s">
        <v>5342</v>
      </c>
      <c r="E94" s="793"/>
      <c r="F94" s="792"/>
      <c r="G94" s="768"/>
      <c r="H94" s="789"/>
      <c r="I94" s="789"/>
      <c r="J94" s="789"/>
      <c r="K94" s="789"/>
      <c r="L94" s="789"/>
      <c r="M94" s="789"/>
      <c r="N94" s="789"/>
      <c r="O94" s="789"/>
      <c r="P94" s="789"/>
      <c r="Q94" s="1016"/>
      <c r="S94" s="34"/>
    </row>
    <row r="95" spans="1:19" s="39" customFormat="1" x14ac:dyDescent="0.2">
      <c r="A95" s="24">
        <f>SUBTOTAL(9,A93:A94)</f>
        <v>0</v>
      </c>
      <c r="B95" s="21">
        <f t="shared" ref="B95:C95" si="33">SUBTOTAL(9,B93:B94)</f>
        <v>0</v>
      </c>
      <c r="C95" s="21">
        <f t="shared" si="33"/>
        <v>54000</v>
      </c>
      <c r="D95" s="791" t="s">
        <v>5212</v>
      </c>
      <c r="E95" s="139">
        <f t="shared" ref="E95:N95" si="34">SUBTOTAL(9,E93:E94)</f>
        <v>0</v>
      </c>
      <c r="F95" s="138">
        <f t="shared" si="34"/>
        <v>0</v>
      </c>
      <c r="G95" s="21">
        <f t="shared" si="34"/>
        <v>0</v>
      </c>
      <c r="H95" s="21">
        <f t="shared" si="34"/>
        <v>0</v>
      </c>
      <c r="I95" s="21">
        <f t="shared" si="34"/>
        <v>0</v>
      </c>
      <c r="J95" s="21">
        <f t="shared" si="34"/>
        <v>0</v>
      </c>
      <c r="K95" s="21">
        <f t="shared" si="34"/>
        <v>0</v>
      </c>
      <c r="L95" s="21">
        <f t="shared" si="34"/>
        <v>0</v>
      </c>
      <c r="M95" s="21">
        <f t="shared" si="34"/>
        <v>0</v>
      </c>
      <c r="N95" s="21">
        <f t="shared" si="34"/>
        <v>0</v>
      </c>
      <c r="O95" s="21">
        <f t="shared" ref="O95:P95" si="35">SUBTOTAL(9,O93:O94)</f>
        <v>0</v>
      </c>
      <c r="P95" s="21">
        <f t="shared" si="35"/>
        <v>0</v>
      </c>
      <c r="Q95" s="62">
        <f t="shared" ref="Q95" si="36">SUBTOTAL(9,Q93:Q94)</f>
        <v>0</v>
      </c>
      <c r="S95" s="34"/>
    </row>
    <row r="96" spans="1:19" ht="13.5" thickBot="1" x14ac:dyDescent="0.25">
      <c r="A96" s="54"/>
      <c r="B96" s="167"/>
      <c r="C96" s="134"/>
      <c r="D96" s="257"/>
      <c r="E96" s="136"/>
      <c r="F96" s="1512"/>
      <c r="G96" s="9"/>
      <c r="H96" s="9"/>
      <c r="I96" s="9"/>
      <c r="J96" s="9"/>
      <c r="K96" s="9"/>
      <c r="L96" s="9"/>
      <c r="M96" s="9"/>
      <c r="N96" s="9"/>
      <c r="O96" s="9"/>
      <c r="P96" s="9"/>
      <c r="Q96" s="61"/>
    </row>
    <row r="97" spans="1:19" s="39" customFormat="1" ht="13.5" thickBot="1" x14ac:dyDescent="0.25">
      <c r="A97" s="807">
        <f>SUBTOTAL(9,A36:A96)</f>
        <v>3695300</v>
      </c>
      <c r="B97" s="804"/>
      <c r="C97" s="803">
        <f>SUBTOTAL(9,C37:C96)</f>
        <v>2821900</v>
      </c>
      <c r="D97" s="805" t="s">
        <v>1758</v>
      </c>
      <c r="E97" s="803">
        <f t="shared" ref="E97:Q97" si="37">SUBTOTAL(9,E37:E96)</f>
        <v>1788800</v>
      </c>
      <c r="F97" s="803">
        <f t="shared" si="37"/>
        <v>1337500</v>
      </c>
      <c r="G97" s="803">
        <f t="shared" si="37"/>
        <v>1873200</v>
      </c>
      <c r="H97" s="803">
        <f t="shared" si="37"/>
        <v>881000</v>
      </c>
      <c r="I97" s="803">
        <f t="shared" si="37"/>
        <v>18058000</v>
      </c>
      <c r="J97" s="803">
        <f t="shared" si="37"/>
        <v>14411000</v>
      </c>
      <c r="K97" s="803">
        <f t="shared" si="37"/>
        <v>13947000</v>
      </c>
      <c r="L97" s="803">
        <f t="shared" si="37"/>
        <v>804000</v>
      </c>
      <c r="M97" s="803">
        <f t="shared" si="37"/>
        <v>813000</v>
      </c>
      <c r="N97" s="803">
        <f t="shared" si="37"/>
        <v>822000</v>
      </c>
      <c r="O97" s="803">
        <f t="shared" si="37"/>
        <v>831000</v>
      </c>
      <c r="P97" s="803">
        <f t="shared" si="37"/>
        <v>841000</v>
      </c>
      <c r="Q97" s="806">
        <f t="shared" si="37"/>
        <v>851000</v>
      </c>
      <c r="S97" s="34"/>
    </row>
    <row r="98" spans="1:19" ht="13.5" thickTop="1" x14ac:dyDescent="0.2">
      <c r="A98" s="27"/>
      <c r="B98" s="165"/>
      <c r="C98" s="143"/>
      <c r="D98" s="84"/>
      <c r="E98" s="143"/>
      <c r="F98" s="143"/>
      <c r="G98" s="46"/>
      <c r="H98" s="46"/>
      <c r="I98" s="46"/>
      <c r="J98" s="46"/>
      <c r="K98" s="46"/>
      <c r="L98" s="46"/>
      <c r="M98" s="46"/>
      <c r="N98" s="46"/>
      <c r="O98" s="46"/>
      <c r="P98" s="46"/>
      <c r="Q98" s="46"/>
    </row>
    <row r="1110" spans="5:5" x14ac:dyDescent="0.2">
      <c r="E1110" s="34" t="s">
        <v>7245</v>
      </c>
    </row>
  </sheetData>
  <mergeCells count="12">
    <mergeCell ref="A33:C33"/>
    <mergeCell ref="A2:C2"/>
    <mergeCell ref="A17:C17"/>
    <mergeCell ref="A1:Q1"/>
    <mergeCell ref="A16:Q16"/>
    <mergeCell ref="A32:Q32"/>
    <mergeCell ref="E2:F2"/>
    <mergeCell ref="G2:Q2"/>
    <mergeCell ref="E17:F17"/>
    <mergeCell ref="G17:Q17"/>
    <mergeCell ref="E33:F33"/>
    <mergeCell ref="G33:Q33"/>
  </mergeCells>
  <phoneticPr fontId="9" type="noConversion"/>
  <printOptions horizontalCentered="1"/>
  <pageMargins left="0.39370078740157483" right="0.39370078740157483" top="0.19685039370078741" bottom="0.19685039370078741" header="0.39370078740157483" footer="0.39370078740157483"/>
  <pageSetup paperSize="9" scale="70" orientation="landscape" r:id="rId1"/>
  <headerFooter alignWithMargins="0"/>
  <rowBreaks count="2" manualBreakCount="2">
    <brk id="31" max="16383" man="1"/>
    <brk id="98"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sheetPr>
  <dimension ref="A1:AY1127"/>
  <sheetViews>
    <sheetView workbookViewId="0">
      <pane xSplit="1" ySplit="3" topLeftCell="B4" activePane="bottomRight" state="frozen"/>
      <selection activeCell="E788" sqref="E788"/>
      <selection pane="topRight" activeCell="E788" sqref="E788"/>
      <selection pane="bottomLeft" activeCell="E788" sqref="E788"/>
      <selection pane="bottomRight" activeCell="K40" sqref="K40"/>
    </sheetView>
  </sheetViews>
  <sheetFormatPr defaultColWidth="9.140625" defaultRowHeight="12.75" x14ac:dyDescent="0.2"/>
  <cols>
    <col min="1" max="1" width="33.140625" style="34" customWidth="1"/>
    <col min="2" max="2" width="10.28515625" style="34" hidden="1" customWidth="1"/>
    <col min="3" max="3" width="10.140625" style="34" hidden="1" customWidth="1"/>
    <col min="4" max="4" width="11.28515625" style="34" hidden="1" customWidth="1"/>
    <col min="5" max="5" width="10.28515625" style="34" hidden="1" customWidth="1"/>
    <col min="6" max="6" width="9.85546875" style="34" hidden="1" customWidth="1"/>
    <col min="7" max="7" width="11.28515625" style="34" hidden="1" customWidth="1"/>
    <col min="8" max="9" width="10.140625" style="34" customWidth="1"/>
    <col min="10" max="10" width="11.28515625" style="34" bestFit="1" customWidth="1"/>
    <col min="11" max="12" width="10.28515625" style="34" customWidth="1"/>
    <col min="13" max="13" width="11.28515625" style="34" customWidth="1"/>
    <col min="14" max="15" width="10.28515625" style="34" customWidth="1"/>
    <col min="16" max="16" width="11.28515625" style="34" customWidth="1"/>
    <col min="17" max="18" width="10.28515625" style="34" customWidth="1"/>
    <col min="19" max="19" width="11.28515625" style="34" bestFit="1" customWidth="1"/>
    <col min="20" max="30" width="10.28515625" style="34" customWidth="1"/>
    <col min="31" max="31" width="10.28515625" style="34" bestFit="1" customWidth="1"/>
    <col min="32" max="32" width="10.140625" style="34" bestFit="1" customWidth="1"/>
    <col min="33" max="34" width="10.28515625" style="34" customWidth="1"/>
    <col min="35" max="35" width="10.140625" style="34" bestFit="1" customWidth="1"/>
    <col min="36" max="37" width="10.28515625" style="34" customWidth="1"/>
    <col min="38" max="38" width="10.140625" style="34" bestFit="1" customWidth="1"/>
    <col min="39" max="40" width="10.28515625" style="34" customWidth="1"/>
    <col min="41" max="45" width="9.140625" style="34" customWidth="1"/>
    <col min="46" max="16384" width="9.140625" style="34"/>
  </cols>
  <sheetData>
    <row r="1" spans="1:47" ht="18.75" customHeight="1" thickTop="1" thickBot="1" x14ac:dyDescent="0.25">
      <c r="A1" s="2653" t="s">
        <v>5953</v>
      </c>
      <c r="B1" s="2654"/>
      <c r="C1" s="2654"/>
      <c r="D1" s="2654"/>
      <c r="E1" s="2654"/>
      <c r="F1" s="2654"/>
      <c r="G1" s="2654"/>
      <c r="H1" s="2654"/>
      <c r="I1" s="2654"/>
      <c r="J1" s="2654"/>
      <c r="K1" s="2654"/>
      <c r="L1" s="2654"/>
      <c r="M1" s="2654"/>
      <c r="N1" s="2654"/>
      <c r="O1" s="2654"/>
      <c r="P1" s="2654"/>
      <c r="Q1" s="2654"/>
      <c r="R1" s="2654"/>
      <c r="S1" s="2655"/>
      <c r="T1" s="1039"/>
      <c r="U1" s="1039"/>
      <c r="V1" s="635"/>
      <c r="W1" s="1045"/>
      <c r="X1" s="1045"/>
      <c r="Y1" s="635"/>
      <c r="Z1" s="1045"/>
      <c r="AA1" s="1045"/>
      <c r="AB1" s="635"/>
      <c r="AC1" s="1045"/>
      <c r="AD1" s="1045"/>
      <c r="AE1" s="635"/>
      <c r="AF1" s="1039"/>
      <c r="AG1" s="1045"/>
      <c r="AH1" s="635"/>
      <c r="AI1" s="1039"/>
      <c r="AJ1" s="1045"/>
      <c r="AK1" s="1046"/>
      <c r="AL1" s="1039"/>
      <c r="AM1" s="1045"/>
      <c r="AN1" s="1046"/>
    </row>
    <row r="2" spans="1:47" ht="13.5" thickBot="1" x14ac:dyDescent="0.25">
      <c r="A2" s="406" t="s">
        <v>1526</v>
      </c>
      <c r="B2" s="156" t="str">
        <f>SP!D3</f>
        <v>2015/16</v>
      </c>
      <c r="C2" s="1534"/>
      <c r="D2" s="1535"/>
      <c r="E2" s="1546" t="str">
        <f>SP!E3</f>
        <v>2016/17</v>
      </c>
      <c r="F2" s="1536"/>
      <c r="G2" s="1535"/>
      <c r="H2" s="2650" t="str">
        <f>SP!H3</f>
        <v>2017/18</v>
      </c>
      <c r="I2" s="2651"/>
      <c r="J2" s="2652"/>
      <c r="K2" s="2650" t="str">
        <f>SP!J3</f>
        <v>2018/19</v>
      </c>
      <c r="L2" s="2651"/>
      <c r="M2" s="2652"/>
      <c r="N2" s="2648" t="str">
        <f>SP!K3</f>
        <v>2019/20</v>
      </c>
      <c r="O2" s="2646"/>
      <c r="P2" s="2649"/>
      <c r="Q2" s="2648" t="str">
        <f>SP!L3</f>
        <v>2020/21</v>
      </c>
      <c r="R2" s="2646"/>
      <c r="S2" s="2647"/>
      <c r="T2" s="2646" t="str">
        <f>SP!M3</f>
        <v>2021/22</v>
      </c>
      <c r="U2" s="2646"/>
      <c r="V2" s="2646"/>
      <c r="W2" s="2648" t="str">
        <f>SP!N3</f>
        <v>2022/23</v>
      </c>
      <c r="X2" s="2646"/>
      <c r="Y2" s="2649"/>
      <c r="Z2" s="2648" t="str">
        <f>SP!O3</f>
        <v>2023/24</v>
      </c>
      <c r="AA2" s="2646"/>
      <c r="AB2" s="2649"/>
      <c r="AC2" s="2646" t="str">
        <f>SP!P3</f>
        <v>2024/25</v>
      </c>
      <c r="AD2" s="2646"/>
      <c r="AE2" s="2646"/>
      <c r="AF2" s="2648" t="str">
        <f>SP!Q3</f>
        <v>2025/26</v>
      </c>
      <c r="AG2" s="2646"/>
      <c r="AH2" s="2649"/>
      <c r="AI2" s="2646" t="str">
        <f>SP!R3</f>
        <v>2026/27</v>
      </c>
      <c r="AJ2" s="2646"/>
      <c r="AK2" s="2647"/>
      <c r="AL2" s="2646" t="str">
        <f>[3]SP!T3</f>
        <v>2027/28</v>
      </c>
      <c r="AM2" s="2646"/>
      <c r="AN2" s="2647"/>
      <c r="AP2" s="34" t="s">
        <v>6812</v>
      </c>
    </row>
    <row r="3" spans="1:47" ht="13.5" thickBot="1" x14ac:dyDescent="0.25">
      <c r="A3" s="291"/>
      <c r="B3" s="393" t="s">
        <v>6648</v>
      </c>
      <c r="C3" s="229" t="s">
        <v>2773</v>
      </c>
      <c r="D3" s="222" t="s">
        <v>2774</v>
      </c>
      <c r="E3" s="393" t="str">
        <f>B3</f>
        <v>To</v>
      </c>
      <c r="F3" s="219" t="str">
        <f>C3</f>
        <v>From</v>
      </c>
      <c r="G3" s="222" t="str">
        <f>D3</f>
        <v>Net</v>
      </c>
      <c r="H3" s="229" t="str">
        <f>B3</f>
        <v>To</v>
      </c>
      <c r="I3" s="219" t="str">
        <f>C3</f>
        <v>From</v>
      </c>
      <c r="J3" s="222" t="str">
        <f>D3</f>
        <v>Net</v>
      </c>
      <c r="K3" s="393" t="str">
        <f t="shared" ref="K3:S3" si="0">H3</f>
        <v>To</v>
      </c>
      <c r="L3" s="219" t="str">
        <f t="shared" si="0"/>
        <v>From</v>
      </c>
      <c r="M3" s="222" t="str">
        <f t="shared" si="0"/>
        <v>Net</v>
      </c>
      <c r="N3" s="229" t="str">
        <f t="shared" si="0"/>
        <v>To</v>
      </c>
      <c r="O3" s="219" t="str">
        <f t="shared" si="0"/>
        <v>From</v>
      </c>
      <c r="P3" s="222" t="str">
        <f t="shared" si="0"/>
        <v>Net</v>
      </c>
      <c r="Q3" s="229" t="str">
        <f t="shared" si="0"/>
        <v>To</v>
      </c>
      <c r="R3" s="219" t="str">
        <f t="shared" si="0"/>
        <v>From</v>
      </c>
      <c r="S3" s="230" t="str">
        <f t="shared" si="0"/>
        <v>Net</v>
      </c>
      <c r="T3" s="229" t="str">
        <f>Q3</f>
        <v>To</v>
      </c>
      <c r="U3" s="219" t="str">
        <f>R3</f>
        <v>From</v>
      </c>
      <c r="V3" s="388" t="str">
        <f>S3</f>
        <v>Net</v>
      </c>
      <c r="W3" s="393" t="str">
        <f t="shared" ref="W3:Y3" si="1">T3</f>
        <v>To</v>
      </c>
      <c r="X3" s="219" t="str">
        <f t="shared" si="1"/>
        <v>From</v>
      </c>
      <c r="Y3" s="222" t="str">
        <f t="shared" si="1"/>
        <v>Net</v>
      </c>
      <c r="Z3" s="393" t="str">
        <f t="shared" ref="Z3:AE3" si="2">W3</f>
        <v>To</v>
      </c>
      <c r="AA3" s="219" t="str">
        <f t="shared" si="2"/>
        <v>From</v>
      </c>
      <c r="AB3" s="222" t="str">
        <f t="shared" si="2"/>
        <v>Net</v>
      </c>
      <c r="AC3" s="229" t="str">
        <f t="shared" si="2"/>
        <v>To</v>
      </c>
      <c r="AD3" s="219" t="str">
        <f t="shared" si="2"/>
        <v>From</v>
      </c>
      <c r="AE3" s="388" t="str">
        <f t="shared" si="2"/>
        <v>Net</v>
      </c>
      <c r="AF3" s="393" t="str">
        <f t="shared" ref="AF3" si="3">AC3</f>
        <v>To</v>
      </c>
      <c r="AG3" s="219" t="str">
        <f t="shared" ref="AG3" si="4">AD3</f>
        <v>From</v>
      </c>
      <c r="AH3" s="222" t="str">
        <f t="shared" ref="AH3" si="5">AE3</f>
        <v>Net</v>
      </c>
      <c r="AI3" s="229" t="str">
        <f t="shared" ref="AI3" si="6">AF3</f>
        <v>To</v>
      </c>
      <c r="AJ3" s="219" t="str">
        <f t="shared" ref="AJ3" si="7">AG3</f>
        <v>From</v>
      </c>
      <c r="AK3" s="230" t="str">
        <f t="shared" ref="AK3:AM3" si="8">AH3</f>
        <v>Net</v>
      </c>
      <c r="AL3" s="229" t="str">
        <f t="shared" si="8"/>
        <v>To</v>
      </c>
      <c r="AM3" s="219" t="str">
        <f t="shared" si="8"/>
        <v>From</v>
      </c>
      <c r="AN3" s="230" t="str">
        <f t="shared" ref="AN3" si="9">AK3</f>
        <v>Net</v>
      </c>
      <c r="AP3" s="34" t="s">
        <v>6648</v>
      </c>
      <c r="AQ3" s="34" t="s">
        <v>2773</v>
      </c>
      <c r="AR3" s="34" t="s">
        <v>2774</v>
      </c>
    </row>
    <row r="4" spans="1:47" x14ac:dyDescent="0.2">
      <c r="A4" s="407"/>
      <c r="B4" s="405"/>
      <c r="C4" s="284"/>
      <c r="D4" s="383"/>
      <c r="E4" s="405"/>
      <c r="F4" s="220"/>
      <c r="G4" s="383"/>
      <c r="H4" s="284"/>
      <c r="I4" s="220"/>
      <c r="J4" s="383"/>
      <c r="K4" s="405"/>
      <c r="L4" s="220"/>
      <c r="M4" s="383"/>
      <c r="N4" s="284"/>
      <c r="O4" s="220"/>
      <c r="P4" s="1068"/>
      <c r="Q4" s="384"/>
      <c r="R4" s="220"/>
      <c r="S4" s="957"/>
      <c r="T4" s="1263"/>
      <c r="U4" s="391"/>
      <c r="V4" s="1270"/>
      <c r="W4" s="1040"/>
      <c r="X4" s="220"/>
      <c r="Y4" s="235"/>
      <c r="Z4" s="1040"/>
      <c r="AA4" s="220"/>
      <c r="AB4" s="235"/>
      <c r="AC4" s="384"/>
      <c r="AD4" s="220"/>
      <c r="AE4" s="234"/>
      <c r="AF4" s="1040"/>
      <c r="AG4" s="220"/>
      <c r="AH4" s="235"/>
      <c r="AI4" s="384"/>
      <c r="AJ4" s="220"/>
      <c r="AK4" s="957"/>
      <c r="AL4" s="2237"/>
      <c r="AM4" s="220"/>
      <c r="AN4" s="957"/>
      <c r="AS4" s="265">
        <f>+AI4-AP4</f>
        <v>0</v>
      </c>
      <c r="AT4" s="265">
        <f>+AJ4-AQ4</f>
        <v>0</v>
      </c>
      <c r="AU4" s="265">
        <f>+AK4-AR4</f>
        <v>0</v>
      </c>
    </row>
    <row r="5" spans="1:47" x14ac:dyDescent="0.2">
      <c r="A5" s="410" t="s">
        <v>3194</v>
      </c>
      <c r="B5" s="405"/>
      <c r="C5" s="284"/>
      <c r="D5" s="383"/>
      <c r="E5" s="405"/>
      <c r="F5" s="220"/>
      <c r="G5" s="383"/>
      <c r="H5" s="284"/>
      <c r="I5" s="220"/>
      <c r="J5" s="383"/>
      <c r="K5" s="405"/>
      <c r="L5" s="220"/>
      <c r="M5" s="383"/>
      <c r="N5" s="284"/>
      <c r="O5" s="220"/>
      <c r="P5" s="1068"/>
      <c r="Q5" s="384"/>
      <c r="R5" s="220"/>
      <c r="S5" s="957"/>
      <c r="T5" s="384"/>
      <c r="U5" s="220"/>
      <c r="V5" s="234"/>
      <c r="W5" s="1040"/>
      <c r="X5" s="220"/>
      <c r="Y5" s="235"/>
      <c r="Z5" s="1040"/>
      <c r="AA5" s="220"/>
      <c r="AB5" s="235"/>
      <c r="AC5" s="384"/>
      <c r="AD5" s="220"/>
      <c r="AE5" s="234"/>
      <c r="AF5" s="1040"/>
      <c r="AG5" s="220"/>
      <c r="AH5" s="235"/>
      <c r="AI5" s="384"/>
      <c r="AJ5" s="220"/>
      <c r="AK5" s="957"/>
      <c r="AL5" s="2237"/>
      <c r="AM5" s="220"/>
      <c r="AN5" s="957"/>
      <c r="AS5" s="265">
        <f t="shared" ref="AS5:AS75" si="10">+AI5-AP5</f>
        <v>0</v>
      </c>
      <c r="AT5" s="265">
        <f>+AJ5-AQ5</f>
        <v>0</v>
      </c>
      <c r="AU5" s="265">
        <f t="shared" ref="AU5:AU75" si="11">+AK5-AR5</f>
        <v>0</v>
      </c>
    </row>
    <row r="6" spans="1:47" s="236" customFormat="1" x14ac:dyDescent="0.2">
      <c r="A6" s="778" t="s">
        <v>214</v>
      </c>
      <c r="B6" s="443"/>
      <c r="C6" s="233"/>
      <c r="D6" s="232"/>
      <c r="E6" s="443"/>
      <c r="F6" s="231"/>
      <c r="G6" s="232"/>
      <c r="H6" s="233"/>
      <c r="I6" s="231"/>
      <c r="J6" s="232"/>
      <c r="K6" s="443"/>
      <c r="L6" s="231"/>
      <c r="M6" s="232"/>
      <c r="N6" s="233"/>
      <c r="O6" s="231"/>
      <c r="P6" s="235"/>
      <c r="Q6" s="234"/>
      <c r="R6" s="231"/>
      <c r="S6" s="957"/>
      <c r="T6" s="234"/>
      <c r="U6" s="231"/>
      <c r="V6" s="234"/>
      <c r="W6" s="1042"/>
      <c r="X6" s="231"/>
      <c r="Y6" s="235"/>
      <c r="Z6" s="1042"/>
      <c r="AA6" s="231"/>
      <c r="AB6" s="235"/>
      <c r="AC6" s="234"/>
      <c r="AD6" s="231"/>
      <c r="AE6" s="234"/>
      <c r="AF6" s="1042"/>
      <c r="AG6" s="231"/>
      <c r="AH6" s="235"/>
      <c r="AI6" s="234"/>
      <c r="AJ6" s="231"/>
      <c r="AK6" s="957"/>
      <c r="AL6" s="234"/>
      <c r="AM6" s="231"/>
      <c r="AN6" s="957"/>
      <c r="AS6" s="265">
        <f t="shared" si="10"/>
        <v>0</v>
      </c>
      <c r="AT6" s="265">
        <f>+AJ6-AQ6</f>
        <v>0</v>
      </c>
      <c r="AU6" s="265">
        <f t="shared" si="11"/>
        <v>0</v>
      </c>
    </row>
    <row r="7" spans="1:47" x14ac:dyDescent="0.2">
      <c r="A7" s="408" t="s">
        <v>2148</v>
      </c>
      <c r="B7" s="133">
        <f>'Sec 94'!E28-'Sec 94'!E26+SP!D59+SUM(GM!D837:D838)</f>
        <v>2320300</v>
      </c>
      <c r="C7" s="99">
        <f>'Sec 94'!E97</f>
        <v>1788800</v>
      </c>
      <c r="D7" s="76">
        <f>B7-C7</f>
        <v>531500</v>
      </c>
      <c r="E7" s="133">
        <f>'Sec 94'!F28+SP!E59+SUM(GM!E837:E838)</f>
        <v>2530300</v>
      </c>
      <c r="F7" s="9">
        <f>'Sec 94'!F97</f>
        <v>1337500</v>
      </c>
      <c r="G7" s="76">
        <f>E7-F7</f>
        <v>1192800</v>
      </c>
      <c r="H7" s="89">
        <f>'Sec 94'!G28+SP!H59+SUM(GM!H837:H838)</f>
        <v>4191000</v>
      </c>
      <c r="I7" s="9">
        <f>'Sec 94'!G97</f>
        <v>1873200</v>
      </c>
      <c r="J7" s="76">
        <f>H7-I7</f>
        <v>2317800</v>
      </c>
      <c r="K7" s="133">
        <f>'Sec 94'!H28+SP!J59+SUM(GM!J837:J838)</f>
        <v>7387500</v>
      </c>
      <c r="L7" s="9">
        <f>'Sec 94'!H97</f>
        <v>881000</v>
      </c>
      <c r="M7" s="76">
        <f>K7-L7</f>
        <v>6506500</v>
      </c>
      <c r="N7" s="89">
        <f>'Sec 94'!I28+SP!K59+SUM(GM!K837:K838)</f>
        <v>7714500</v>
      </c>
      <c r="O7" s="9">
        <f>'Sec 94'!I97</f>
        <v>18058000</v>
      </c>
      <c r="P7" s="49">
        <f>N7-O7</f>
        <v>-10343500</v>
      </c>
      <c r="Q7" s="46">
        <f>'Sec 94'!J28+SP!L59+SUM(GM!L837:L838)</f>
        <v>13665500</v>
      </c>
      <c r="R7" s="9">
        <f>'Sec 94'!J97</f>
        <v>14411000</v>
      </c>
      <c r="S7" s="61">
        <f>Q7-R7</f>
        <v>-745500</v>
      </c>
      <c r="T7" s="46">
        <f>'Sec 94'!K28+SP!M59+SUM(GM!M837:M838)</f>
        <v>14000500</v>
      </c>
      <c r="U7" s="9">
        <f>'Sec 94'!K97</f>
        <v>13947000</v>
      </c>
      <c r="V7" s="46">
        <f>T7-U7</f>
        <v>53500</v>
      </c>
      <c r="W7" s="350">
        <f>'Sec 94'!L28+SP!N59+SUM(GM!N837:N838)</f>
        <v>6370500</v>
      </c>
      <c r="X7" s="9">
        <f>'Sec 94'!L97</f>
        <v>804000</v>
      </c>
      <c r="Y7" s="49">
        <f>W7-X7</f>
        <v>5566500</v>
      </c>
      <c r="Z7" s="350">
        <f>'Sec 94'!M28+SP!O59+SUM(GM!O837:O838)</f>
        <v>6616000</v>
      </c>
      <c r="AA7" s="9">
        <f>'Sec 94'!M97</f>
        <v>813000</v>
      </c>
      <c r="AB7" s="49">
        <f>Z7-AA7</f>
        <v>5803000</v>
      </c>
      <c r="AC7" s="46">
        <f>'Sec 94'!N28+SP!P59+SUM(GM!P837:P838)</f>
        <v>6905500</v>
      </c>
      <c r="AD7" s="9">
        <f>'Sec 94'!N97</f>
        <v>822000</v>
      </c>
      <c r="AE7" s="46">
        <f>AC7-AD7</f>
        <v>6083500</v>
      </c>
      <c r="AF7" s="350">
        <f>'Sec 94'!O28+SP!Q59+SUM(GM!Q837:Q838)</f>
        <v>7206000</v>
      </c>
      <c r="AG7" s="9">
        <f>'Sec 94'!O97</f>
        <v>831000</v>
      </c>
      <c r="AH7" s="49">
        <f>AF7-AG7</f>
        <v>6375000</v>
      </c>
      <c r="AI7" s="46">
        <f>'Sec 94'!P28+SP!R59+SUM(GM!R837:R838)</f>
        <v>7517000</v>
      </c>
      <c r="AJ7" s="9">
        <f>'Sec 94'!P97</f>
        <v>841000</v>
      </c>
      <c r="AK7" s="61">
        <f>AI7-AJ7</f>
        <v>6676000</v>
      </c>
      <c r="AL7" s="46">
        <f>'Sec 94'!Q28+SP!S59+SUM(GM!S837:S838)</f>
        <v>7839500</v>
      </c>
      <c r="AM7" s="9">
        <f>'Sec 94'!Q97</f>
        <v>851000</v>
      </c>
      <c r="AN7" s="61">
        <f>AL7-AM7</f>
        <v>6988500</v>
      </c>
      <c r="AP7" s="34">
        <v>2563000</v>
      </c>
      <c r="AQ7" s="34">
        <v>842000</v>
      </c>
      <c r="AR7" s="34">
        <v>1721000</v>
      </c>
      <c r="AS7" s="265">
        <f t="shared" si="10"/>
        <v>4954000</v>
      </c>
      <c r="AT7" s="265">
        <f>+AJ7-AQ7</f>
        <v>-1000</v>
      </c>
      <c r="AU7" s="265">
        <f t="shared" si="11"/>
        <v>4955000</v>
      </c>
    </row>
    <row r="8" spans="1:47" s="236" customFormat="1" x14ac:dyDescent="0.2">
      <c r="A8" s="633" t="s">
        <v>3500</v>
      </c>
      <c r="B8" s="133">
        <v>270200</v>
      </c>
      <c r="C8" s="99">
        <f>106200+2000+20600+53200+11000+7600</f>
        <v>200600</v>
      </c>
      <c r="D8" s="76">
        <f>B8-C8</f>
        <v>69600</v>
      </c>
      <c r="E8" s="133">
        <v>85600</v>
      </c>
      <c r="F8" s="9">
        <v>85000</v>
      </c>
      <c r="G8" s="76">
        <f t="shared" ref="G8:G10" si="12">E8-F8</f>
        <v>600</v>
      </c>
      <c r="H8" s="89"/>
      <c r="I8" s="9">
        <f>18200+118700</f>
        <v>136900</v>
      </c>
      <c r="J8" s="76">
        <f>H8-I8</f>
        <v>-136900</v>
      </c>
      <c r="K8" s="133"/>
      <c r="L8" s="46"/>
      <c r="M8" s="76"/>
      <c r="N8" s="89"/>
      <c r="O8" s="231"/>
      <c r="P8" s="49"/>
      <c r="Q8" s="46"/>
      <c r="R8" s="9"/>
      <c r="S8" s="61"/>
      <c r="T8" s="46"/>
      <c r="U8" s="9"/>
      <c r="V8" s="46"/>
      <c r="W8" s="350"/>
      <c r="X8" s="9"/>
      <c r="Y8" s="49"/>
      <c r="Z8" s="350"/>
      <c r="AA8" s="9"/>
      <c r="AB8" s="49"/>
      <c r="AC8" s="46"/>
      <c r="AD8" s="9"/>
      <c r="AE8" s="46"/>
      <c r="AF8" s="350"/>
      <c r="AG8" s="9"/>
      <c r="AH8" s="49"/>
      <c r="AI8" s="46"/>
      <c r="AJ8" s="9"/>
      <c r="AK8" s="61"/>
      <c r="AL8" s="46"/>
      <c r="AM8" s="9"/>
      <c r="AN8" s="61"/>
      <c r="AS8" s="265">
        <f t="shared" si="10"/>
        <v>0</v>
      </c>
      <c r="AT8" s="265">
        <f>+AJ8-AQ8</f>
        <v>0</v>
      </c>
      <c r="AU8" s="265">
        <f t="shared" si="11"/>
        <v>0</v>
      </c>
    </row>
    <row r="9" spans="1:47" s="236" customFormat="1" x14ac:dyDescent="0.2">
      <c r="A9" s="633" t="s">
        <v>7258</v>
      </c>
      <c r="B9" s="133"/>
      <c r="C9" s="99"/>
      <c r="D9" s="76"/>
      <c r="E9" s="133"/>
      <c r="F9" s="9"/>
      <c r="G9" s="76"/>
      <c r="H9" s="89"/>
      <c r="I9" s="9">
        <f>5700+2800+12800</f>
        <v>21300</v>
      </c>
      <c r="J9" s="76">
        <f>H9-I9</f>
        <v>-21300</v>
      </c>
      <c r="K9" s="133"/>
      <c r="L9" s="46"/>
      <c r="M9" s="76"/>
      <c r="N9" s="89"/>
      <c r="O9" s="231"/>
      <c r="P9" s="49"/>
      <c r="Q9" s="46"/>
      <c r="R9" s="9"/>
      <c r="S9" s="61"/>
      <c r="T9" s="46"/>
      <c r="U9" s="9"/>
      <c r="V9" s="46"/>
      <c r="W9" s="350"/>
      <c r="X9" s="9"/>
      <c r="Y9" s="49"/>
      <c r="Z9" s="350"/>
      <c r="AA9" s="9"/>
      <c r="AB9" s="49"/>
      <c r="AC9" s="46"/>
      <c r="AD9" s="9"/>
      <c r="AE9" s="46"/>
      <c r="AF9" s="350"/>
      <c r="AG9" s="9"/>
      <c r="AH9" s="49"/>
      <c r="AI9" s="46"/>
      <c r="AJ9" s="9"/>
      <c r="AK9" s="61"/>
      <c r="AL9" s="46"/>
      <c r="AM9" s="9"/>
      <c r="AN9" s="61"/>
      <c r="AS9" s="265"/>
      <c r="AT9" s="265"/>
      <c r="AU9" s="265"/>
    </row>
    <row r="10" spans="1:47" s="236" customFormat="1" x14ac:dyDescent="0.2">
      <c r="A10" s="633" t="s">
        <v>3501</v>
      </c>
      <c r="B10" s="133">
        <v>47400</v>
      </c>
      <c r="C10" s="679">
        <f>38500</f>
        <v>38500</v>
      </c>
      <c r="D10" s="76">
        <f>B10-C10</f>
        <v>8900</v>
      </c>
      <c r="E10" s="133">
        <v>51600</v>
      </c>
      <c r="F10" s="9">
        <v>74900</v>
      </c>
      <c r="G10" s="76">
        <f t="shared" si="12"/>
        <v>-23300</v>
      </c>
      <c r="H10" s="89"/>
      <c r="I10" s="231"/>
      <c r="J10" s="76"/>
      <c r="K10" s="133"/>
      <c r="L10" s="46"/>
      <c r="M10" s="76"/>
      <c r="N10" s="89"/>
      <c r="O10" s="231"/>
      <c r="P10" s="49"/>
      <c r="Q10" s="46"/>
      <c r="R10" s="9"/>
      <c r="S10" s="61"/>
      <c r="T10" s="46"/>
      <c r="U10" s="9"/>
      <c r="V10" s="46"/>
      <c r="W10" s="350"/>
      <c r="X10" s="9"/>
      <c r="Y10" s="49"/>
      <c r="Z10" s="350"/>
      <c r="AA10" s="9"/>
      <c r="AB10" s="49"/>
      <c r="AC10" s="46"/>
      <c r="AD10" s="9"/>
      <c r="AE10" s="46"/>
      <c r="AF10" s="350"/>
      <c r="AG10" s="9"/>
      <c r="AH10" s="49"/>
      <c r="AI10" s="46"/>
      <c r="AJ10" s="9"/>
      <c r="AK10" s="61"/>
      <c r="AL10" s="46"/>
      <c r="AM10" s="9"/>
      <c r="AN10" s="61"/>
      <c r="AS10" s="265">
        <f t="shared" si="10"/>
        <v>0</v>
      </c>
      <c r="AT10" s="265">
        <f>+AJ10-AQ10</f>
        <v>0</v>
      </c>
      <c r="AU10" s="265">
        <f t="shared" si="11"/>
        <v>0</v>
      </c>
    </row>
    <row r="11" spans="1:47" s="236" customFormat="1" x14ac:dyDescent="0.2">
      <c r="A11" s="633" t="s">
        <v>3584</v>
      </c>
      <c r="B11" s="133"/>
      <c r="C11" s="99"/>
      <c r="D11" s="76"/>
      <c r="E11" s="133"/>
      <c r="F11" s="9"/>
      <c r="G11" s="76"/>
      <c r="H11" s="89"/>
      <c r="I11" s="231"/>
      <c r="J11" s="76"/>
      <c r="K11" s="133"/>
      <c r="L11" s="46"/>
      <c r="M11" s="76"/>
      <c r="N11" s="89"/>
      <c r="O11" s="231"/>
      <c r="P11" s="49"/>
      <c r="Q11" s="46"/>
      <c r="R11" s="9"/>
      <c r="S11" s="61"/>
      <c r="T11" s="46"/>
      <c r="U11" s="9"/>
      <c r="V11" s="46"/>
      <c r="W11" s="350"/>
      <c r="X11" s="9"/>
      <c r="Y11" s="49"/>
      <c r="Z11" s="350"/>
      <c r="AA11" s="9"/>
      <c r="AB11" s="49"/>
      <c r="AC11" s="46"/>
      <c r="AD11" s="9"/>
      <c r="AE11" s="46"/>
      <c r="AF11" s="350"/>
      <c r="AG11" s="9"/>
      <c r="AH11" s="49"/>
      <c r="AI11" s="46"/>
      <c r="AJ11" s="9"/>
      <c r="AK11" s="61"/>
      <c r="AL11" s="46"/>
      <c r="AM11" s="9"/>
      <c r="AN11" s="61"/>
      <c r="AS11" s="265">
        <f t="shared" si="10"/>
        <v>0</v>
      </c>
      <c r="AT11" s="265">
        <f>+AJ11-AQ11</f>
        <v>0</v>
      </c>
      <c r="AU11" s="265">
        <f t="shared" si="11"/>
        <v>0</v>
      </c>
    </row>
    <row r="12" spans="1:47" s="236" customFormat="1" x14ac:dyDescent="0.2">
      <c r="A12" s="633" t="s">
        <v>11836</v>
      </c>
      <c r="B12" s="133"/>
      <c r="C12" s="99"/>
      <c r="D12" s="76"/>
      <c r="E12" s="133"/>
      <c r="F12" s="9"/>
      <c r="G12" s="76"/>
      <c r="H12" s="89"/>
      <c r="I12" s="79">
        <v>3800</v>
      </c>
      <c r="J12" s="76">
        <f>H12-I12</f>
        <v>-3800</v>
      </c>
      <c r="K12" s="133"/>
      <c r="L12" s="46"/>
      <c r="M12" s="76"/>
      <c r="N12" s="89"/>
      <c r="O12" s="231"/>
      <c r="P12" s="49"/>
      <c r="Q12" s="46"/>
      <c r="R12" s="9"/>
      <c r="S12" s="61"/>
      <c r="T12" s="46"/>
      <c r="U12" s="9"/>
      <c r="V12" s="46"/>
      <c r="W12" s="350"/>
      <c r="X12" s="9"/>
      <c r="Y12" s="49"/>
      <c r="Z12" s="350"/>
      <c r="AA12" s="9"/>
      <c r="AB12" s="49"/>
      <c r="AC12" s="46"/>
      <c r="AD12" s="9"/>
      <c r="AE12" s="46"/>
      <c r="AF12" s="350"/>
      <c r="AG12" s="9"/>
      <c r="AH12" s="49"/>
      <c r="AI12" s="46"/>
      <c r="AJ12" s="9"/>
      <c r="AK12" s="61"/>
      <c r="AL12" s="46"/>
      <c r="AM12" s="9"/>
      <c r="AN12" s="61"/>
      <c r="AS12" s="265"/>
      <c r="AT12" s="265"/>
      <c r="AU12" s="265"/>
    </row>
    <row r="13" spans="1:47" s="236" customFormat="1" x14ac:dyDescent="0.2">
      <c r="A13" s="633"/>
      <c r="B13" s="133"/>
      <c r="C13" s="99"/>
      <c r="D13" s="76"/>
      <c r="E13" s="133"/>
      <c r="F13" s="9"/>
      <c r="G13" s="76"/>
      <c r="H13" s="89"/>
      <c r="I13" s="231"/>
      <c r="J13" s="76"/>
      <c r="K13" s="133"/>
      <c r="L13" s="46"/>
      <c r="M13" s="76"/>
      <c r="N13" s="89"/>
      <c r="O13" s="231"/>
      <c r="P13" s="49"/>
      <c r="Q13" s="46"/>
      <c r="R13" s="9"/>
      <c r="S13" s="61"/>
      <c r="T13" s="46"/>
      <c r="U13" s="9"/>
      <c r="V13" s="46"/>
      <c r="W13" s="350"/>
      <c r="X13" s="9"/>
      <c r="Y13" s="49"/>
      <c r="Z13" s="350"/>
      <c r="AA13" s="9"/>
      <c r="AB13" s="49"/>
      <c r="AC13" s="46"/>
      <c r="AD13" s="9"/>
      <c r="AE13" s="46"/>
      <c r="AF13" s="350"/>
      <c r="AG13" s="9"/>
      <c r="AH13" s="49"/>
      <c r="AI13" s="46"/>
      <c r="AJ13" s="9"/>
      <c r="AK13" s="61"/>
      <c r="AL13" s="46"/>
      <c r="AM13" s="9"/>
      <c r="AN13" s="61"/>
      <c r="AS13" s="265">
        <f t="shared" si="10"/>
        <v>0</v>
      </c>
      <c r="AT13" s="265">
        <f t="shared" ref="AT13:AT18" si="13">+AJ13-AQ13</f>
        <v>0</v>
      </c>
      <c r="AU13" s="265">
        <f t="shared" si="11"/>
        <v>0</v>
      </c>
    </row>
    <row r="14" spans="1:47" s="236" customFormat="1" x14ac:dyDescent="0.2">
      <c r="A14" s="778" t="s">
        <v>550</v>
      </c>
      <c r="B14" s="133"/>
      <c r="C14" s="99"/>
      <c r="D14" s="76"/>
      <c r="E14" s="133"/>
      <c r="F14" s="9"/>
      <c r="G14" s="76"/>
      <c r="H14" s="89"/>
      <c r="I14" s="231"/>
      <c r="J14" s="76"/>
      <c r="K14" s="133"/>
      <c r="L14" s="46"/>
      <c r="M14" s="76"/>
      <c r="N14" s="89"/>
      <c r="O14" s="231"/>
      <c r="P14" s="49"/>
      <c r="Q14" s="46"/>
      <c r="R14" s="9"/>
      <c r="S14" s="61"/>
      <c r="T14" s="46"/>
      <c r="U14" s="9"/>
      <c r="V14" s="46"/>
      <c r="W14" s="350"/>
      <c r="X14" s="9"/>
      <c r="Y14" s="49"/>
      <c r="Z14" s="350"/>
      <c r="AA14" s="9"/>
      <c r="AB14" s="49"/>
      <c r="AC14" s="46"/>
      <c r="AD14" s="9"/>
      <c r="AE14" s="46"/>
      <c r="AF14" s="350"/>
      <c r="AG14" s="9"/>
      <c r="AH14" s="49"/>
      <c r="AI14" s="46"/>
      <c r="AJ14" s="9"/>
      <c r="AK14" s="61"/>
      <c r="AL14" s="46"/>
      <c r="AM14" s="9"/>
      <c r="AN14" s="61"/>
      <c r="AS14" s="265">
        <f t="shared" si="10"/>
        <v>0</v>
      </c>
      <c r="AT14" s="265">
        <f t="shared" si="13"/>
        <v>0</v>
      </c>
      <c r="AU14" s="265">
        <f t="shared" si="11"/>
        <v>0</v>
      </c>
    </row>
    <row r="15" spans="1:47" s="236" customFormat="1" x14ac:dyDescent="0.2">
      <c r="A15" s="633" t="s">
        <v>3350</v>
      </c>
      <c r="B15" s="133">
        <v>5300</v>
      </c>
      <c r="C15" s="99">
        <v>7100</v>
      </c>
      <c r="D15" s="76">
        <f t="shared" ref="D15:D21" si="14">B15-C15</f>
        <v>-1800</v>
      </c>
      <c r="E15" s="133"/>
      <c r="F15" s="9">
        <v>5300</v>
      </c>
      <c r="G15" s="76">
        <f>E15-F15</f>
        <v>-5300</v>
      </c>
      <c r="H15" s="89"/>
      <c r="I15" s="231"/>
      <c r="J15" s="76"/>
      <c r="K15" s="133"/>
      <c r="L15" s="46"/>
      <c r="M15" s="76"/>
      <c r="N15" s="89"/>
      <c r="O15" s="231"/>
      <c r="P15" s="49"/>
      <c r="Q15" s="46"/>
      <c r="R15" s="9"/>
      <c r="S15" s="61"/>
      <c r="T15" s="46"/>
      <c r="U15" s="9"/>
      <c r="V15" s="46"/>
      <c r="W15" s="350"/>
      <c r="X15" s="9"/>
      <c r="Y15" s="49"/>
      <c r="Z15" s="350"/>
      <c r="AA15" s="9"/>
      <c r="AB15" s="49"/>
      <c r="AC15" s="46"/>
      <c r="AD15" s="9"/>
      <c r="AE15" s="46"/>
      <c r="AF15" s="350"/>
      <c r="AG15" s="9"/>
      <c r="AH15" s="49"/>
      <c r="AI15" s="46"/>
      <c r="AJ15" s="9"/>
      <c r="AK15" s="61"/>
      <c r="AL15" s="46"/>
      <c r="AM15" s="9"/>
      <c r="AN15" s="61"/>
      <c r="AS15" s="265">
        <f t="shared" si="10"/>
        <v>0</v>
      </c>
      <c r="AT15" s="265">
        <f t="shared" si="13"/>
        <v>0</v>
      </c>
      <c r="AU15" s="265">
        <f t="shared" si="11"/>
        <v>0</v>
      </c>
    </row>
    <row r="16" spans="1:47" s="236" customFormat="1" x14ac:dyDescent="0.2">
      <c r="A16" s="633" t="s">
        <v>3340</v>
      </c>
      <c r="B16" s="133"/>
      <c r="C16" s="99">
        <f>13200</f>
        <v>13200</v>
      </c>
      <c r="D16" s="76">
        <f t="shared" si="14"/>
        <v>-13200</v>
      </c>
      <c r="E16" s="133">
        <v>32500</v>
      </c>
      <c r="F16" s="9">
        <v>0</v>
      </c>
      <c r="G16" s="76">
        <f>E16-F16</f>
        <v>32500</v>
      </c>
      <c r="H16" s="89"/>
      <c r="I16" s="9"/>
      <c r="J16" s="76"/>
      <c r="K16" s="133"/>
      <c r="L16" s="46"/>
      <c r="M16" s="76"/>
      <c r="N16" s="89"/>
      <c r="O16" s="9"/>
      <c r="P16" s="49"/>
      <c r="Q16" s="46"/>
      <c r="R16" s="9"/>
      <c r="S16" s="61"/>
      <c r="T16" s="46"/>
      <c r="U16" s="9"/>
      <c r="V16" s="46"/>
      <c r="W16" s="350"/>
      <c r="X16" s="9"/>
      <c r="Y16" s="49"/>
      <c r="Z16" s="350"/>
      <c r="AA16" s="9"/>
      <c r="AB16" s="49"/>
      <c r="AC16" s="46"/>
      <c r="AD16" s="9"/>
      <c r="AE16" s="46"/>
      <c r="AF16" s="350"/>
      <c r="AG16" s="9"/>
      <c r="AH16" s="49"/>
      <c r="AI16" s="46"/>
      <c r="AJ16" s="9"/>
      <c r="AK16" s="61"/>
      <c r="AL16" s="46"/>
      <c r="AM16" s="9"/>
      <c r="AN16" s="61"/>
      <c r="AS16" s="265">
        <f t="shared" si="10"/>
        <v>0</v>
      </c>
      <c r="AT16" s="265">
        <f t="shared" si="13"/>
        <v>0</v>
      </c>
      <c r="AU16" s="265">
        <f t="shared" si="11"/>
        <v>0</v>
      </c>
    </row>
    <row r="17" spans="1:47" s="236" customFormat="1" x14ac:dyDescent="0.2">
      <c r="A17" s="633" t="s">
        <v>5900</v>
      </c>
      <c r="B17" s="133">
        <v>234400</v>
      </c>
      <c r="C17" s="99">
        <v>0</v>
      </c>
      <c r="D17" s="76">
        <f t="shared" si="14"/>
        <v>234400</v>
      </c>
      <c r="E17" s="133">
        <v>1075000</v>
      </c>
      <c r="F17" s="9">
        <v>0</v>
      </c>
      <c r="G17" s="76">
        <f t="shared" ref="G17" si="15">E17-F17</f>
        <v>1075000</v>
      </c>
      <c r="H17" s="89">
        <f>I252</f>
        <v>2000000</v>
      </c>
      <c r="I17" s="9">
        <f>'Cap-Gen'!G11</f>
        <v>1000000</v>
      </c>
      <c r="J17" s="76">
        <f t="shared" ref="J17:J20" si="16">H17-I17</f>
        <v>1000000</v>
      </c>
      <c r="K17" s="133">
        <f>L252+L102</f>
        <v>5000000</v>
      </c>
      <c r="L17" s="46">
        <f>'Cap-Gen'!H11</f>
        <v>7332000</v>
      </c>
      <c r="M17" s="76">
        <f t="shared" ref="M17" si="17">K17-L17</f>
        <v>-2332000</v>
      </c>
      <c r="N17" s="89">
        <f>O252</f>
        <v>0</v>
      </c>
      <c r="O17" s="79">
        <f>'Cap-Gen'!I11</f>
        <v>0</v>
      </c>
      <c r="P17" s="49">
        <f t="shared" ref="P17" si="18">N17-O17</f>
        <v>0</v>
      </c>
      <c r="Q17" s="46">
        <f>R252</f>
        <v>0</v>
      </c>
      <c r="R17" s="9">
        <f>'Cap-Gen'!J11-'Cap Inc'!I140</f>
        <v>0</v>
      </c>
      <c r="S17" s="61">
        <f t="shared" ref="S17" si="19">Q17-R17</f>
        <v>0</v>
      </c>
      <c r="T17" s="46"/>
      <c r="U17" s="9"/>
      <c r="V17" s="46"/>
      <c r="W17" s="350"/>
      <c r="X17" s="9"/>
      <c r="Y17" s="49"/>
      <c r="Z17" s="350"/>
      <c r="AA17" s="9"/>
      <c r="AB17" s="49"/>
      <c r="AC17" s="46"/>
      <c r="AD17" s="9"/>
      <c r="AE17" s="46"/>
      <c r="AF17" s="350"/>
      <c r="AG17" s="9"/>
      <c r="AH17" s="49"/>
      <c r="AI17" s="46"/>
      <c r="AJ17" s="9"/>
      <c r="AK17" s="61"/>
      <c r="AL17" s="46"/>
      <c r="AM17" s="9"/>
      <c r="AN17" s="61"/>
      <c r="AS17" s="265">
        <f t="shared" si="10"/>
        <v>0</v>
      </c>
      <c r="AT17" s="265">
        <f t="shared" si="13"/>
        <v>0</v>
      </c>
      <c r="AU17" s="265">
        <f t="shared" si="11"/>
        <v>0</v>
      </c>
    </row>
    <row r="18" spans="1:47" x14ac:dyDescent="0.2">
      <c r="A18" s="633" t="s">
        <v>4703</v>
      </c>
      <c r="B18" s="133">
        <v>19000</v>
      </c>
      <c r="C18" s="99">
        <v>170200</v>
      </c>
      <c r="D18" s="76">
        <f t="shared" si="14"/>
        <v>-151200</v>
      </c>
      <c r="E18" s="133"/>
      <c r="F18" s="9">
        <v>19000</v>
      </c>
      <c r="G18" s="76">
        <f>E18-F18</f>
        <v>-19000</v>
      </c>
      <c r="H18" s="89"/>
      <c r="I18" s="9"/>
      <c r="J18" s="76"/>
      <c r="K18" s="133"/>
      <c r="L18" s="46"/>
      <c r="M18" s="76"/>
      <c r="N18" s="89"/>
      <c r="O18" s="9"/>
      <c r="P18" s="49"/>
      <c r="Q18" s="46"/>
      <c r="R18" s="9"/>
      <c r="S18" s="61"/>
      <c r="T18" s="46"/>
      <c r="U18" s="9"/>
      <c r="V18" s="46"/>
      <c r="W18" s="350"/>
      <c r="X18" s="9"/>
      <c r="Y18" s="49"/>
      <c r="Z18" s="350"/>
      <c r="AA18" s="9"/>
      <c r="AB18" s="49"/>
      <c r="AC18" s="46"/>
      <c r="AD18" s="9"/>
      <c r="AE18" s="46"/>
      <c r="AF18" s="350"/>
      <c r="AG18" s="9"/>
      <c r="AH18" s="49"/>
      <c r="AI18" s="46"/>
      <c r="AJ18" s="9"/>
      <c r="AK18" s="61"/>
      <c r="AL18" s="46"/>
      <c r="AM18" s="9"/>
      <c r="AN18" s="61"/>
      <c r="AS18" s="265">
        <f t="shared" si="10"/>
        <v>0</v>
      </c>
      <c r="AT18" s="265">
        <f t="shared" si="13"/>
        <v>0</v>
      </c>
      <c r="AU18" s="265">
        <f t="shared" si="11"/>
        <v>0</v>
      </c>
    </row>
    <row r="19" spans="1:47" x14ac:dyDescent="0.2">
      <c r="A19" s="633" t="s">
        <v>7262</v>
      </c>
      <c r="B19" s="133"/>
      <c r="C19" s="99"/>
      <c r="D19" s="76"/>
      <c r="E19" s="133">
        <v>0</v>
      </c>
      <c r="F19" s="9"/>
      <c r="G19" s="76">
        <f>E19-F19</f>
        <v>0</v>
      </c>
      <c r="H19" s="89"/>
      <c r="I19" s="9">
        <v>7900</v>
      </c>
      <c r="J19" s="76">
        <f t="shared" si="16"/>
        <v>-7900</v>
      </c>
      <c r="K19" s="133"/>
      <c r="L19" s="46"/>
      <c r="M19" s="76"/>
      <c r="N19" s="89"/>
      <c r="O19" s="9"/>
      <c r="P19" s="49"/>
      <c r="Q19" s="46"/>
      <c r="R19" s="9"/>
      <c r="S19" s="61"/>
      <c r="T19" s="46"/>
      <c r="U19" s="9"/>
      <c r="V19" s="46"/>
      <c r="W19" s="350"/>
      <c r="X19" s="9"/>
      <c r="Y19" s="49"/>
      <c r="Z19" s="350"/>
      <c r="AA19" s="9"/>
      <c r="AB19" s="49"/>
      <c r="AC19" s="46"/>
      <c r="AD19" s="9"/>
      <c r="AE19" s="46"/>
      <c r="AF19" s="350"/>
      <c r="AG19" s="9"/>
      <c r="AH19" s="49"/>
      <c r="AI19" s="46"/>
      <c r="AJ19" s="9"/>
      <c r="AK19" s="61"/>
      <c r="AL19" s="46"/>
      <c r="AM19" s="9"/>
      <c r="AN19" s="61"/>
      <c r="AS19" s="265"/>
      <c r="AT19" s="265"/>
      <c r="AU19" s="265"/>
    </row>
    <row r="20" spans="1:47" x14ac:dyDescent="0.2">
      <c r="A20" s="633" t="s">
        <v>5538</v>
      </c>
      <c r="B20" s="133">
        <v>1300</v>
      </c>
      <c r="C20" s="99">
        <f>35000+7000</f>
        <v>42000</v>
      </c>
      <c r="D20" s="76">
        <f t="shared" si="14"/>
        <v>-40700</v>
      </c>
      <c r="E20" s="133"/>
      <c r="F20" s="9"/>
      <c r="G20" s="76">
        <f>E20-F20</f>
        <v>0</v>
      </c>
      <c r="H20" s="89"/>
      <c r="I20" s="9">
        <f>20850+3750</f>
        <v>24600</v>
      </c>
      <c r="J20" s="76">
        <f t="shared" si="16"/>
        <v>-24600</v>
      </c>
      <c r="K20" s="133"/>
      <c r="L20" s="46"/>
      <c r="M20" s="76"/>
      <c r="N20" s="89"/>
      <c r="O20" s="9"/>
      <c r="P20" s="49"/>
      <c r="Q20" s="46"/>
      <c r="R20" s="9"/>
      <c r="S20" s="61"/>
      <c r="T20" s="46"/>
      <c r="U20" s="9"/>
      <c r="V20" s="46"/>
      <c r="W20" s="350"/>
      <c r="X20" s="9"/>
      <c r="Y20" s="49"/>
      <c r="Z20" s="350"/>
      <c r="AA20" s="9"/>
      <c r="AB20" s="49"/>
      <c r="AC20" s="46"/>
      <c r="AD20" s="9"/>
      <c r="AE20" s="46"/>
      <c r="AF20" s="350"/>
      <c r="AG20" s="9"/>
      <c r="AH20" s="49"/>
      <c r="AI20" s="46"/>
      <c r="AJ20" s="9"/>
      <c r="AK20" s="61"/>
      <c r="AL20" s="46"/>
      <c r="AM20" s="9"/>
      <c r="AN20" s="61"/>
      <c r="AS20" s="265">
        <f t="shared" si="10"/>
        <v>0</v>
      </c>
      <c r="AT20" s="265">
        <f t="shared" ref="AT20:AT44" si="20">+AJ20-AQ20</f>
        <v>0</v>
      </c>
      <c r="AU20" s="265">
        <f t="shared" si="11"/>
        <v>0</v>
      </c>
    </row>
    <row r="21" spans="1:47" s="236" customFormat="1" x14ac:dyDescent="0.2">
      <c r="A21" s="633" t="s">
        <v>5261</v>
      </c>
      <c r="B21" s="133"/>
      <c r="C21" s="99">
        <f>35000+44000</f>
        <v>79000</v>
      </c>
      <c r="D21" s="76">
        <f t="shared" si="14"/>
        <v>-79000</v>
      </c>
      <c r="E21" s="133"/>
      <c r="F21" s="9"/>
      <c r="G21" s="76"/>
      <c r="H21" s="89"/>
      <c r="I21" s="9"/>
      <c r="J21" s="76"/>
      <c r="K21" s="133"/>
      <c r="L21" s="46"/>
      <c r="M21" s="76"/>
      <c r="N21" s="89"/>
      <c r="O21" s="231"/>
      <c r="P21" s="49"/>
      <c r="Q21" s="46"/>
      <c r="R21" s="9"/>
      <c r="S21" s="61"/>
      <c r="T21" s="46"/>
      <c r="U21" s="9"/>
      <c r="V21" s="46"/>
      <c r="W21" s="350"/>
      <c r="X21" s="9"/>
      <c r="Y21" s="49"/>
      <c r="Z21" s="350"/>
      <c r="AA21" s="9"/>
      <c r="AB21" s="49"/>
      <c r="AC21" s="46"/>
      <c r="AD21" s="9"/>
      <c r="AE21" s="46"/>
      <c r="AF21" s="350"/>
      <c r="AG21" s="9"/>
      <c r="AH21" s="49"/>
      <c r="AI21" s="46"/>
      <c r="AJ21" s="9"/>
      <c r="AK21" s="61"/>
      <c r="AL21" s="46"/>
      <c r="AM21" s="9"/>
      <c r="AN21" s="61"/>
      <c r="AS21" s="265">
        <f t="shared" si="10"/>
        <v>0</v>
      </c>
      <c r="AT21" s="265">
        <f t="shared" si="20"/>
        <v>0</v>
      </c>
      <c r="AU21" s="265">
        <f t="shared" si="11"/>
        <v>0</v>
      </c>
    </row>
    <row r="22" spans="1:47" s="236" customFormat="1" x14ac:dyDescent="0.2">
      <c r="A22" s="633"/>
      <c r="B22" s="133"/>
      <c r="C22" s="99"/>
      <c r="D22" s="76"/>
      <c r="E22" s="133"/>
      <c r="F22" s="9"/>
      <c r="G22" s="76"/>
      <c r="H22" s="89"/>
      <c r="I22" s="231"/>
      <c r="J22" s="76"/>
      <c r="K22" s="133"/>
      <c r="L22" s="46"/>
      <c r="M22" s="76"/>
      <c r="N22" s="89"/>
      <c r="O22" s="231"/>
      <c r="P22" s="49"/>
      <c r="Q22" s="46"/>
      <c r="R22" s="9"/>
      <c r="S22" s="61"/>
      <c r="T22" s="46"/>
      <c r="U22" s="9"/>
      <c r="V22" s="46"/>
      <c r="W22" s="350"/>
      <c r="X22" s="9"/>
      <c r="Y22" s="49"/>
      <c r="Z22" s="350"/>
      <c r="AA22" s="9"/>
      <c r="AB22" s="49"/>
      <c r="AC22" s="46"/>
      <c r="AD22" s="9"/>
      <c r="AE22" s="46"/>
      <c r="AF22" s="350"/>
      <c r="AG22" s="9"/>
      <c r="AH22" s="49"/>
      <c r="AI22" s="46"/>
      <c r="AJ22" s="9"/>
      <c r="AK22" s="61"/>
      <c r="AL22" s="46"/>
      <c r="AM22" s="9"/>
      <c r="AN22" s="61"/>
      <c r="AS22" s="265">
        <f t="shared" si="10"/>
        <v>0</v>
      </c>
      <c r="AT22" s="265">
        <f t="shared" si="20"/>
        <v>0</v>
      </c>
      <c r="AU22" s="265">
        <f t="shared" si="11"/>
        <v>0</v>
      </c>
    </row>
    <row r="23" spans="1:47" x14ac:dyDescent="0.2">
      <c r="A23" s="778" t="s">
        <v>2869</v>
      </c>
      <c r="B23" s="133"/>
      <c r="C23" s="99"/>
      <c r="D23" s="76"/>
      <c r="E23" s="133"/>
      <c r="F23" s="9"/>
      <c r="G23" s="76"/>
      <c r="H23" s="89"/>
      <c r="I23" s="9"/>
      <c r="J23" s="76"/>
      <c r="K23" s="133"/>
      <c r="L23" s="9"/>
      <c r="M23" s="76"/>
      <c r="N23" s="89"/>
      <c r="O23" s="9"/>
      <c r="P23" s="49"/>
      <c r="Q23" s="46"/>
      <c r="R23" s="9"/>
      <c r="S23" s="61"/>
      <c r="T23" s="46"/>
      <c r="U23" s="9"/>
      <c r="V23" s="46"/>
      <c r="W23" s="350"/>
      <c r="X23" s="9"/>
      <c r="Y23" s="49"/>
      <c r="Z23" s="350"/>
      <c r="AA23" s="9"/>
      <c r="AB23" s="49"/>
      <c r="AC23" s="46"/>
      <c r="AD23" s="9"/>
      <c r="AE23" s="46"/>
      <c r="AF23" s="350"/>
      <c r="AG23" s="9"/>
      <c r="AH23" s="49"/>
      <c r="AI23" s="46"/>
      <c r="AJ23" s="9"/>
      <c r="AK23" s="61"/>
      <c r="AL23" s="46"/>
      <c r="AM23" s="9"/>
      <c r="AN23" s="61"/>
      <c r="AS23" s="265">
        <f t="shared" si="10"/>
        <v>0</v>
      </c>
      <c r="AT23" s="265">
        <f t="shared" si="20"/>
        <v>0</v>
      </c>
      <c r="AU23" s="265">
        <f t="shared" si="11"/>
        <v>0</v>
      </c>
    </row>
    <row r="24" spans="1:47" x14ac:dyDescent="0.2">
      <c r="A24" s="633" t="s">
        <v>3502</v>
      </c>
      <c r="B24" s="133">
        <v>2000</v>
      </c>
      <c r="C24" s="99">
        <v>17300</v>
      </c>
      <c r="D24" s="218">
        <f t="shared" ref="D24:D37" si="21">B24-C24</f>
        <v>-15300</v>
      </c>
      <c r="E24" s="133">
        <v>71000</v>
      </c>
      <c r="F24" s="9">
        <v>2000</v>
      </c>
      <c r="G24" s="76">
        <f>E24-F24</f>
        <v>69000</v>
      </c>
      <c r="H24" s="89"/>
      <c r="I24" s="9">
        <v>71000</v>
      </c>
      <c r="J24" s="76">
        <f t="shared" ref="J24:J25" si="22">H24-I24</f>
        <v>-71000</v>
      </c>
      <c r="K24" s="133"/>
      <c r="L24" s="9"/>
      <c r="M24" s="76"/>
      <c r="N24" s="89"/>
      <c r="O24" s="9"/>
      <c r="P24" s="49"/>
      <c r="Q24" s="46"/>
      <c r="R24" s="9"/>
      <c r="S24" s="61"/>
      <c r="T24" s="46"/>
      <c r="U24" s="9"/>
      <c r="V24" s="46"/>
      <c r="W24" s="350"/>
      <c r="X24" s="9"/>
      <c r="Y24" s="49"/>
      <c r="Z24" s="350"/>
      <c r="AA24" s="9"/>
      <c r="AB24" s="49"/>
      <c r="AC24" s="46"/>
      <c r="AD24" s="9"/>
      <c r="AE24" s="46"/>
      <c r="AF24" s="350"/>
      <c r="AG24" s="9"/>
      <c r="AH24" s="49"/>
      <c r="AI24" s="46"/>
      <c r="AJ24" s="9"/>
      <c r="AK24" s="61"/>
      <c r="AL24" s="46"/>
      <c r="AM24" s="9"/>
      <c r="AN24" s="61"/>
      <c r="AS24" s="265">
        <f t="shared" si="10"/>
        <v>0</v>
      </c>
      <c r="AT24" s="265">
        <f t="shared" si="20"/>
        <v>0</v>
      </c>
      <c r="AU24" s="265">
        <f t="shared" si="11"/>
        <v>0</v>
      </c>
    </row>
    <row r="25" spans="1:47" x14ac:dyDescent="0.2">
      <c r="A25" s="633" t="s">
        <v>6369</v>
      </c>
      <c r="B25" s="133">
        <v>55000</v>
      </c>
      <c r="C25" s="99">
        <f>10000</f>
        <v>10000</v>
      </c>
      <c r="D25" s="218">
        <f t="shared" si="21"/>
        <v>45000</v>
      </c>
      <c r="E25" s="133">
        <v>10000</v>
      </c>
      <c r="F25" s="9">
        <v>25300</v>
      </c>
      <c r="G25" s="76">
        <f t="shared" ref="G25" si="23">E25-F25</f>
        <v>-15300</v>
      </c>
      <c r="H25" s="89">
        <v>10000</v>
      </c>
      <c r="I25" s="9">
        <f>SP!H373</f>
        <v>24000</v>
      </c>
      <c r="J25" s="76">
        <f t="shared" si="22"/>
        <v>-14000</v>
      </c>
      <c r="K25" s="133">
        <v>10000</v>
      </c>
      <c r="L25" s="9">
        <f>SP!J373</f>
        <v>10000</v>
      </c>
      <c r="M25" s="76">
        <f t="shared" ref="M25" si="24">K25-L25</f>
        <v>0</v>
      </c>
      <c r="N25" s="89">
        <v>10000</v>
      </c>
      <c r="O25" s="9">
        <f>SP!K373</f>
        <v>10000</v>
      </c>
      <c r="P25" s="49">
        <f t="shared" ref="P25" si="25">N25-O25</f>
        <v>0</v>
      </c>
      <c r="Q25" s="46">
        <v>10000</v>
      </c>
      <c r="R25" s="9">
        <f>SP!L373</f>
        <v>10000</v>
      </c>
      <c r="S25" s="61">
        <f t="shared" ref="S25" si="26">Q25-R25</f>
        <v>0</v>
      </c>
      <c r="T25" s="46">
        <v>10000</v>
      </c>
      <c r="U25" s="9">
        <f>SP!M373</f>
        <v>10000</v>
      </c>
      <c r="V25" s="46">
        <f t="shared" ref="V25" si="27">T25-U25</f>
        <v>0</v>
      </c>
      <c r="W25" s="350">
        <v>10000</v>
      </c>
      <c r="X25" s="9">
        <f>SP!N373</f>
        <v>10000</v>
      </c>
      <c r="Y25" s="49">
        <f t="shared" ref="Y25" si="28">W25-X25</f>
        <v>0</v>
      </c>
      <c r="Z25" s="350">
        <v>10000</v>
      </c>
      <c r="AA25" s="9">
        <f>SP!O373</f>
        <v>10000</v>
      </c>
      <c r="AB25" s="49">
        <f t="shared" ref="AB25" si="29">Z25-AA25</f>
        <v>0</v>
      </c>
      <c r="AC25" s="46">
        <v>10000</v>
      </c>
      <c r="AD25" s="9">
        <f>SP!P373</f>
        <v>10000</v>
      </c>
      <c r="AE25" s="46">
        <f t="shared" ref="AE25" si="30">AC25-AD25</f>
        <v>0</v>
      </c>
      <c r="AF25" s="350">
        <v>10000</v>
      </c>
      <c r="AG25" s="9">
        <f>SP!Q373</f>
        <v>10000</v>
      </c>
      <c r="AH25" s="49">
        <f t="shared" ref="AH25" si="31">AF25-AG25</f>
        <v>0</v>
      </c>
      <c r="AI25" s="46">
        <v>10000</v>
      </c>
      <c r="AJ25" s="9">
        <f>SP!R373</f>
        <v>10300</v>
      </c>
      <c r="AK25" s="61">
        <f t="shared" ref="AK25" si="32">AI25-AJ25</f>
        <v>-300</v>
      </c>
      <c r="AL25" s="46">
        <v>10000</v>
      </c>
      <c r="AM25" s="9">
        <f>SP!S373</f>
        <v>10600</v>
      </c>
      <c r="AN25" s="61">
        <f t="shared" ref="AN25" si="33">AL25-AM25</f>
        <v>-600</v>
      </c>
      <c r="AP25" s="34">
        <v>10000</v>
      </c>
      <c r="AQ25" s="34">
        <v>10000</v>
      </c>
      <c r="AR25" s="34">
        <v>0</v>
      </c>
      <c r="AS25" s="265">
        <f t="shared" si="10"/>
        <v>0</v>
      </c>
      <c r="AT25" s="265">
        <f t="shared" si="20"/>
        <v>300</v>
      </c>
      <c r="AU25" s="265">
        <f t="shared" si="11"/>
        <v>-300</v>
      </c>
    </row>
    <row r="26" spans="1:47" x14ac:dyDescent="0.2">
      <c r="A26" s="633"/>
      <c r="B26" s="133"/>
      <c r="C26" s="99"/>
      <c r="D26" s="218"/>
      <c r="E26" s="133"/>
      <c r="F26" s="9"/>
      <c r="G26" s="76"/>
      <c r="H26" s="89"/>
      <c r="I26" s="9"/>
      <c r="J26" s="76"/>
      <c r="K26" s="133"/>
      <c r="L26" s="9"/>
      <c r="M26" s="76"/>
      <c r="N26" s="89"/>
      <c r="O26" s="9"/>
      <c r="P26" s="49"/>
      <c r="Q26" s="46"/>
      <c r="R26" s="9"/>
      <c r="S26" s="61"/>
      <c r="T26" s="46"/>
      <c r="U26" s="9"/>
      <c r="V26" s="46"/>
      <c r="W26" s="350"/>
      <c r="X26" s="9"/>
      <c r="Y26" s="49"/>
      <c r="Z26" s="350"/>
      <c r="AA26" s="9"/>
      <c r="AB26" s="49"/>
      <c r="AC26" s="46"/>
      <c r="AD26" s="9"/>
      <c r="AE26" s="46"/>
      <c r="AF26" s="350"/>
      <c r="AG26" s="9"/>
      <c r="AH26" s="49"/>
      <c r="AI26" s="46"/>
      <c r="AJ26" s="9"/>
      <c r="AK26" s="61"/>
      <c r="AL26" s="46"/>
      <c r="AM26" s="9"/>
      <c r="AN26" s="61"/>
      <c r="AS26" s="265">
        <f t="shared" si="10"/>
        <v>0</v>
      </c>
      <c r="AT26" s="265">
        <f t="shared" si="20"/>
        <v>0</v>
      </c>
      <c r="AU26" s="265">
        <f t="shared" si="11"/>
        <v>0</v>
      </c>
    </row>
    <row r="27" spans="1:47" x14ac:dyDescent="0.2">
      <c r="A27" s="778" t="s">
        <v>2871</v>
      </c>
      <c r="B27" s="133"/>
      <c r="C27" s="99"/>
      <c r="D27" s="218"/>
      <c r="E27" s="133"/>
      <c r="F27" s="9"/>
      <c r="G27" s="76"/>
      <c r="H27" s="89"/>
      <c r="I27" s="9"/>
      <c r="J27" s="76"/>
      <c r="K27" s="133"/>
      <c r="L27" s="9"/>
      <c r="M27" s="76"/>
      <c r="N27" s="89"/>
      <c r="O27" s="9"/>
      <c r="P27" s="49"/>
      <c r="Q27" s="46"/>
      <c r="R27" s="9"/>
      <c r="S27" s="61"/>
      <c r="T27" s="46"/>
      <c r="U27" s="9"/>
      <c r="V27" s="46"/>
      <c r="W27" s="350"/>
      <c r="X27" s="9"/>
      <c r="Y27" s="49"/>
      <c r="Z27" s="350"/>
      <c r="AA27" s="9"/>
      <c r="AB27" s="49"/>
      <c r="AC27" s="46"/>
      <c r="AD27" s="9"/>
      <c r="AE27" s="46"/>
      <c r="AF27" s="350"/>
      <c r="AG27" s="9"/>
      <c r="AH27" s="49"/>
      <c r="AI27" s="46"/>
      <c r="AJ27" s="9"/>
      <c r="AK27" s="61"/>
      <c r="AL27" s="46"/>
      <c r="AM27" s="9"/>
      <c r="AN27" s="61"/>
      <c r="AS27" s="265">
        <f t="shared" si="10"/>
        <v>0</v>
      </c>
      <c r="AT27" s="265">
        <f t="shared" si="20"/>
        <v>0</v>
      </c>
      <c r="AU27" s="265">
        <f t="shared" si="11"/>
        <v>0</v>
      </c>
    </row>
    <row r="28" spans="1:47" x14ac:dyDescent="0.2">
      <c r="A28" s="633" t="s">
        <v>4089</v>
      </c>
      <c r="B28" s="133">
        <v>64200</v>
      </c>
      <c r="C28" s="99">
        <v>54800</v>
      </c>
      <c r="D28" s="218">
        <f t="shared" si="21"/>
        <v>9400</v>
      </c>
      <c r="E28" s="133">
        <v>81600</v>
      </c>
      <c r="F28" s="9">
        <v>64200</v>
      </c>
      <c r="G28" s="76">
        <f>E28-F28</f>
        <v>17400</v>
      </c>
      <c r="H28" s="89"/>
      <c r="I28" s="9">
        <v>4000</v>
      </c>
      <c r="J28" s="76">
        <f t="shared" ref="J28" si="34">H28-I28</f>
        <v>-4000</v>
      </c>
      <c r="K28" s="133"/>
      <c r="L28" s="9"/>
      <c r="M28" s="76"/>
      <c r="N28" s="89"/>
      <c r="O28" s="9"/>
      <c r="P28" s="49"/>
      <c r="Q28" s="46"/>
      <c r="R28" s="9"/>
      <c r="S28" s="61"/>
      <c r="T28" s="46"/>
      <c r="U28" s="9"/>
      <c r="V28" s="46"/>
      <c r="W28" s="350"/>
      <c r="X28" s="9"/>
      <c r="Y28" s="49"/>
      <c r="Z28" s="350"/>
      <c r="AA28" s="9"/>
      <c r="AB28" s="49"/>
      <c r="AC28" s="46"/>
      <c r="AD28" s="9"/>
      <c r="AE28" s="46"/>
      <c r="AF28" s="350"/>
      <c r="AG28" s="9"/>
      <c r="AH28" s="49"/>
      <c r="AI28" s="46"/>
      <c r="AJ28" s="9"/>
      <c r="AK28" s="61"/>
      <c r="AL28" s="46"/>
      <c r="AM28" s="9"/>
      <c r="AN28" s="61"/>
      <c r="AS28" s="265">
        <f t="shared" si="10"/>
        <v>0</v>
      </c>
      <c r="AT28" s="265">
        <f t="shared" si="20"/>
        <v>0</v>
      </c>
      <c r="AU28" s="265">
        <f t="shared" si="11"/>
        <v>0</v>
      </c>
    </row>
    <row r="29" spans="1:47" x14ac:dyDescent="0.2">
      <c r="A29" s="633" t="s">
        <v>6591</v>
      </c>
      <c r="B29" s="133"/>
      <c r="C29" s="99">
        <f>8400+56900</f>
        <v>65300</v>
      </c>
      <c r="D29" s="218">
        <f t="shared" si="21"/>
        <v>-65300</v>
      </c>
      <c r="E29" s="133"/>
      <c r="F29" s="9"/>
      <c r="G29" s="76"/>
      <c r="H29" s="89"/>
      <c r="I29" s="9"/>
      <c r="J29" s="76"/>
      <c r="K29" s="133"/>
      <c r="L29" s="9"/>
      <c r="M29" s="76"/>
      <c r="N29" s="89"/>
      <c r="O29" s="9"/>
      <c r="P29" s="49"/>
      <c r="Q29" s="46"/>
      <c r="R29" s="9"/>
      <c r="S29" s="61"/>
      <c r="T29" s="46"/>
      <c r="U29" s="9"/>
      <c r="V29" s="46"/>
      <c r="W29" s="350"/>
      <c r="X29" s="9"/>
      <c r="Y29" s="49"/>
      <c r="Z29" s="350"/>
      <c r="AA29" s="9"/>
      <c r="AB29" s="49"/>
      <c r="AC29" s="46"/>
      <c r="AD29" s="9"/>
      <c r="AE29" s="46"/>
      <c r="AF29" s="350"/>
      <c r="AG29" s="9"/>
      <c r="AH29" s="49"/>
      <c r="AI29" s="46"/>
      <c r="AJ29" s="9"/>
      <c r="AK29" s="61"/>
      <c r="AL29" s="46"/>
      <c r="AM29" s="9"/>
      <c r="AN29" s="61"/>
      <c r="AS29" s="265">
        <f t="shared" si="10"/>
        <v>0</v>
      </c>
      <c r="AT29" s="265">
        <f t="shared" si="20"/>
        <v>0</v>
      </c>
      <c r="AU29" s="265">
        <f t="shared" si="11"/>
        <v>0</v>
      </c>
    </row>
    <row r="30" spans="1:47" x14ac:dyDescent="0.2">
      <c r="A30" s="633"/>
      <c r="B30" s="133"/>
      <c r="C30" s="99"/>
      <c r="D30" s="218"/>
      <c r="E30" s="133"/>
      <c r="F30" s="9"/>
      <c r="G30" s="76"/>
      <c r="H30" s="89"/>
      <c r="I30" s="9"/>
      <c r="J30" s="76"/>
      <c r="K30" s="133"/>
      <c r="L30" s="9"/>
      <c r="M30" s="76"/>
      <c r="N30" s="89"/>
      <c r="O30" s="9"/>
      <c r="P30" s="49"/>
      <c r="Q30" s="46"/>
      <c r="R30" s="9"/>
      <c r="S30" s="61"/>
      <c r="T30" s="46"/>
      <c r="U30" s="9"/>
      <c r="V30" s="46"/>
      <c r="W30" s="350"/>
      <c r="X30" s="9"/>
      <c r="Y30" s="49"/>
      <c r="Z30" s="350"/>
      <c r="AA30" s="9"/>
      <c r="AB30" s="49"/>
      <c r="AC30" s="46"/>
      <c r="AD30" s="9"/>
      <c r="AE30" s="46"/>
      <c r="AF30" s="350"/>
      <c r="AG30" s="9"/>
      <c r="AH30" s="49"/>
      <c r="AI30" s="46"/>
      <c r="AJ30" s="9"/>
      <c r="AK30" s="61"/>
      <c r="AL30" s="46"/>
      <c r="AM30" s="9"/>
      <c r="AN30" s="61"/>
      <c r="AS30" s="265">
        <f t="shared" si="10"/>
        <v>0</v>
      </c>
      <c r="AT30" s="265">
        <f t="shared" si="20"/>
        <v>0</v>
      </c>
      <c r="AU30" s="265">
        <f t="shared" si="11"/>
        <v>0</v>
      </c>
    </row>
    <row r="31" spans="1:47" x14ac:dyDescent="0.2">
      <c r="A31" s="778" t="s">
        <v>384</v>
      </c>
      <c r="B31" s="133"/>
      <c r="C31" s="99"/>
      <c r="D31" s="218"/>
      <c r="E31" s="133"/>
      <c r="F31" s="9"/>
      <c r="G31" s="76"/>
      <c r="H31" s="89"/>
      <c r="I31" s="9"/>
      <c r="J31" s="76"/>
      <c r="K31" s="133"/>
      <c r="L31" s="9"/>
      <c r="M31" s="76"/>
      <c r="N31" s="89"/>
      <c r="O31" s="9"/>
      <c r="P31" s="49"/>
      <c r="Q31" s="46"/>
      <c r="R31" s="9"/>
      <c r="S31" s="61"/>
      <c r="T31" s="46"/>
      <c r="U31" s="9"/>
      <c r="V31" s="46"/>
      <c r="W31" s="350"/>
      <c r="X31" s="9"/>
      <c r="Y31" s="49"/>
      <c r="Z31" s="350"/>
      <c r="AA31" s="9"/>
      <c r="AB31" s="49"/>
      <c r="AC31" s="46"/>
      <c r="AD31" s="9"/>
      <c r="AE31" s="46"/>
      <c r="AF31" s="350"/>
      <c r="AG31" s="9"/>
      <c r="AH31" s="49"/>
      <c r="AI31" s="46"/>
      <c r="AJ31" s="9"/>
      <c r="AK31" s="61"/>
      <c r="AL31" s="46"/>
      <c r="AM31" s="9"/>
      <c r="AN31" s="61"/>
      <c r="AS31" s="265">
        <f t="shared" si="10"/>
        <v>0</v>
      </c>
      <c r="AT31" s="265">
        <f t="shared" si="20"/>
        <v>0</v>
      </c>
      <c r="AU31" s="265">
        <f t="shared" si="11"/>
        <v>0</v>
      </c>
    </row>
    <row r="32" spans="1:47" x14ac:dyDescent="0.2">
      <c r="A32" s="633" t="s">
        <v>658</v>
      </c>
      <c r="B32" s="133">
        <v>10500</v>
      </c>
      <c r="C32" s="99"/>
      <c r="D32" s="218">
        <f t="shared" ref="D32" si="35">B32-C32</f>
        <v>10500</v>
      </c>
      <c r="E32" s="133"/>
      <c r="F32" s="9"/>
      <c r="G32" s="76"/>
      <c r="H32" s="89"/>
      <c r="I32" s="9"/>
      <c r="J32" s="76"/>
      <c r="K32" s="133"/>
      <c r="L32" s="9"/>
      <c r="M32" s="76"/>
      <c r="N32" s="89"/>
      <c r="O32" s="9"/>
      <c r="P32" s="49"/>
      <c r="Q32" s="46"/>
      <c r="R32" s="9"/>
      <c r="S32" s="61"/>
      <c r="T32" s="46"/>
      <c r="U32" s="9"/>
      <c r="V32" s="46"/>
      <c r="W32" s="350"/>
      <c r="X32" s="9"/>
      <c r="Y32" s="49"/>
      <c r="Z32" s="350"/>
      <c r="AA32" s="9"/>
      <c r="AB32" s="49"/>
      <c r="AC32" s="46"/>
      <c r="AD32" s="9"/>
      <c r="AE32" s="46"/>
      <c r="AF32" s="350"/>
      <c r="AG32" s="9"/>
      <c r="AH32" s="49"/>
      <c r="AI32" s="46"/>
      <c r="AJ32" s="9"/>
      <c r="AK32" s="61"/>
      <c r="AL32" s="46"/>
      <c r="AM32" s="9"/>
      <c r="AN32" s="61"/>
      <c r="AS32" s="265">
        <f t="shared" si="10"/>
        <v>0</v>
      </c>
      <c r="AT32" s="265">
        <f t="shared" si="20"/>
        <v>0</v>
      </c>
      <c r="AU32" s="265">
        <f t="shared" si="11"/>
        <v>0</v>
      </c>
    </row>
    <row r="33" spans="1:47" x14ac:dyDescent="0.2">
      <c r="A33" s="633" t="s">
        <v>5494</v>
      </c>
      <c r="B33" s="133">
        <v>439000</v>
      </c>
      <c r="C33" s="99">
        <f>'Cap-Gen'!E17</f>
        <v>115400</v>
      </c>
      <c r="D33" s="218">
        <f t="shared" si="21"/>
        <v>323600</v>
      </c>
      <c r="E33" s="133">
        <v>6059100</v>
      </c>
      <c r="F33" s="9">
        <v>1379000</v>
      </c>
      <c r="G33" s="76">
        <f t="shared" ref="G33" si="36">E33-F33</f>
        <v>4680100</v>
      </c>
      <c r="H33" s="89"/>
      <c r="I33" s="9">
        <v>5013800</v>
      </c>
      <c r="J33" s="76">
        <f t="shared" ref="J33" si="37">H33-I33</f>
        <v>-5013800</v>
      </c>
      <c r="K33" s="133"/>
      <c r="L33" s="9"/>
      <c r="M33" s="76"/>
      <c r="N33" s="89"/>
      <c r="O33" s="9"/>
      <c r="P33" s="49"/>
      <c r="Q33" s="46"/>
      <c r="R33" s="9"/>
      <c r="S33" s="61"/>
      <c r="T33" s="46"/>
      <c r="U33" s="9"/>
      <c r="V33" s="46"/>
      <c r="W33" s="350"/>
      <c r="X33" s="9"/>
      <c r="Y33" s="49"/>
      <c r="Z33" s="350"/>
      <c r="AA33" s="9"/>
      <c r="AB33" s="49"/>
      <c r="AC33" s="46"/>
      <c r="AD33" s="9"/>
      <c r="AE33" s="46"/>
      <c r="AF33" s="350"/>
      <c r="AG33" s="9"/>
      <c r="AH33" s="49"/>
      <c r="AI33" s="46"/>
      <c r="AJ33" s="9"/>
      <c r="AK33" s="61"/>
      <c r="AL33" s="46"/>
      <c r="AM33" s="9"/>
      <c r="AN33" s="61"/>
      <c r="AS33" s="265">
        <f t="shared" si="10"/>
        <v>0</v>
      </c>
      <c r="AT33" s="265">
        <f t="shared" si="20"/>
        <v>0</v>
      </c>
      <c r="AU33" s="265">
        <f t="shared" si="11"/>
        <v>0</v>
      </c>
    </row>
    <row r="34" spans="1:47" x14ac:dyDescent="0.2">
      <c r="A34" s="633"/>
      <c r="B34" s="133"/>
      <c r="C34" s="99"/>
      <c r="D34" s="218"/>
      <c r="E34" s="133"/>
      <c r="F34" s="9"/>
      <c r="G34" s="76"/>
      <c r="H34" s="89"/>
      <c r="I34" s="9"/>
      <c r="J34" s="76"/>
      <c r="K34" s="133"/>
      <c r="L34" s="9"/>
      <c r="M34" s="76"/>
      <c r="N34" s="89"/>
      <c r="O34" s="9"/>
      <c r="P34" s="49"/>
      <c r="Q34" s="46"/>
      <c r="R34" s="9"/>
      <c r="S34" s="61"/>
      <c r="T34" s="46"/>
      <c r="U34" s="9"/>
      <c r="V34" s="46"/>
      <c r="W34" s="350"/>
      <c r="X34" s="9"/>
      <c r="Y34" s="49"/>
      <c r="Z34" s="350"/>
      <c r="AA34" s="9"/>
      <c r="AB34" s="49"/>
      <c r="AC34" s="46"/>
      <c r="AD34" s="9"/>
      <c r="AE34" s="46"/>
      <c r="AF34" s="350"/>
      <c r="AG34" s="9"/>
      <c r="AH34" s="49"/>
      <c r="AI34" s="46"/>
      <c r="AJ34" s="9"/>
      <c r="AK34" s="61"/>
      <c r="AL34" s="46"/>
      <c r="AM34" s="9"/>
      <c r="AN34" s="61"/>
      <c r="AS34" s="265">
        <f t="shared" si="10"/>
        <v>0</v>
      </c>
      <c r="AT34" s="265">
        <f t="shared" si="20"/>
        <v>0</v>
      </c>
      <c r="AU34" s="265">
        <f t="shared" si="11"/>
        <v>0</v>
      </c>
    </row>
    <row r="35" spans="1:47" x14ac:dyDescent="0.2">
      <c r="A35" s="778" t="s">
        <v>1560</v>
      </c>
      <c r="B35" s="133"/>
      <c r="C35" s="99"/>
      <c r="D35" s="218"/>
      <c r="E35" s="133"/>
      <c r="F35" s="9"/>
      <c r="G35" s="76"/>
      <c r="H35" s="89"/>
      <c r="I35" s="9"/>
      <c r="J35" s="76"/>
      <c r="K35" s="133"/>
      <c r="L35" s="9"/>
      <c r="M35" s="76"/>
      <c r="N35" s="89"/>
      <c r="O35" s="9"/>
      <c r="P35" s="49"/>
      <c r="Q35" s="46"/>
      <c r="R35" s="9"/>
      <c r="S35" s="61"/>
      <c r="T35" s="46"/>
      <c r="U35" s="9"/>
      <c r="V35" s="46"/>
      <c r="W35" s="350"/>
      <c r="X35" s="9"/>
      <c r="Y35" s="49"/>
      <c r="Z35" s="350"/>
      <c r="AA35" s="9"/>
      <c r="AB35" s="49"/>
      <c r="AC35" s="46"/>
      <c r="AD35" s="9"/>
      <c r="AE35" s="46"/>
      <c r="AF35" s="350"/>
      <c r="AG35" s="9"/>
      <c r="AH35" s="49"/>
      <c r="AI35" s="46"/>
      <c r="AJ35" s="9"/>
      <c r="AK35" s="61"/>
      <c r="AL35" s="46"/>
      <c r="AM35" s="9"/>
      <c r="AN35" s="61"/>
      <c r="AS35" s="265">
        <f t="shared" si="10"/>
        <v>0</v>
      </c>
      <c r="AT35" s="265">
        <f t="shared" si="20"/>
        <v>0</v>
      </c>
      <c r="AU35" s="265">
        <f t="shared" si="11"/>
        <v>0</v>
      </c>
    </row>
    <row r="36" spans="1:47" x14ac:dyDescent="0.2">
      <c r="A36" s="633" t="s">
        <v>6370</v>
      </c>
      <c r="B36" s="133"/>
      <c r="C36" s="99"/>
      <c r="D36" s="218"/>
      <c r="E36" s="133"/>
      <c r="F36" s="9"/>
      <c r="G36" s="76">
        <f>E36-F36</f>
        <v>0</v>
      </c>
      <c r="H36" s="89"/>
      <c r="I36" s="9"/>
      <c r="J36" s="76"/>
      <c r="K36" s="133"/>
      <c r="L36" s="9"/>
      <c r="M36" s="76"/>
      <c r="N36" s="89"/>
      <c r="O36" s="9"/>
      <c r="P36" s="49"/>
      <c r="Q36" s="46"/>
      <c r="R36" s="9"/>
      <c r="S36" s="61"/>
      <c r="T36" s="46"/>
      <c r="U36" s="9"/>
      <c r="V36" s="46"/>
      <c r="W36" s="350"/>
      <c r="X36" s="9"/>
      <c r="Y36" s="49"/>
      <c r="Z36" s="350"/>
      <c r="AA36" s="9"/>
      <c r="AB36" s="49"/>
      <c r="AC36" s="46"/>
      <c r="AD36" s="9"/>
      <c r="AE36" s="46"/>
      <c r="AF36" s="350"/>
      <c r="AG36" s="9"/>
      <c r="AH36" s="49"/>
      <c r="AI36" s="46"/>
      <c r="AJ36" s="9"/>
      <c r="AK36" s="61"/>
      <c r="AL36" s="46"/>
      <c r="AM36" s="9"/>
      <c r="AN36" s="61"/>
      <c r="AS36" s="265">
        <f t="shared" si="10"/>
        <v>0</v>
      </c>
      <c r="AT36" s="265">
        <f t="shared" si="20"/>
        <v>0</v>
      </c>
      <c r="AU36" s="265">
        <f t="shared" si="11"/>
        <v>0</v>
      </c>
    </row>
    <row r="37" spans="1:47" x14ac:dyDescent="0.2">
      <c r="A37" s="633" t="s">
        <v>3234</v>
      </c>
      <c r="B37" s="133">
        <v>84300</v>
      </c>
      <c r="C37" s="99">
        <v>61000</v>
      </c>
      <c r="D37" s="218">
        <f t="shared" si="21"/>
        <v>23300</v>
      </c>
      <c r="E37" s="133"/>
      <c r="F37" s="9">
        <v>84300</v>
      </c>
      <c r="G37" s="76">
        <f>E37-F37</f>
        <v>-84300</v>
      </c>
      <c r="H37" s="89"/>
      <c r="I37" s="9"/>
      <c r="J37" s="76"/>
      <c r="K37" s="133"/>
      <c r="L37" s="9"/>
      <c r="M37" s="76"/>
      <c r="N37" s="89"/>
      <c r="O37" s="9"/>
      <c r="P37" s="49"/>
      <c r="Q37" s="46"/>
      <c r="R37" s="9"/>
      <c r="S37" s="61"/>
      <c r="T37" s="46"/>
      <c r="U37" s="9"/>
      <c r="V37" s="46"/>
      <c r="W37" s="350"/>
      <c r="X37" s="9"/>
      <c r="Y37" s="49"/>
      <c r="Z37" s="350"/>
      <c r="AA37" s="9"/>
      <c r="AB37" s="49"/>
      <c r="AC37" s="46"/>
      <c r="AD37" s="9"/>
      <c r="AE37" s="46"/>
      <c r="AF37" s="350"/>
      <c r="AG37" s="9"/>
      <c r="AH37" s="49"/>
      <c r="AI37" s="46"/>
      <c r="AJ37" s="9"/>
      <c r="AK37" s="61"/>
      <c r="AL37" s="46"/>
      <c r="AM37" s="9"/>
      <c r="AN37" s="61"/>
      <c r="AS37" s="265">
        <f t="shared" si="10"/>
        <v>0</v>
      </c>
      <c r="AT37" s="265">
        <f t="shared" si="20"/>
        <v>0</v>
      </c>
      <c r="AU37" s="265">
        <f t="shared" si="11"/>
        <v>0</v>
      </c>
    </row>
    <row r="38" spans="1:47" ht="13.5" thickBot="1" x14ac:dyDescent="0.25">
      <c r="A38" s="408"/>
      <c r="B38" s="133"/>
      <c r="C38" s="99"/>
      <c r="D38" s="76"/>
      <c r="E38" s="133"/>
      <c r="F38" s="9"/>
      <c r="G38" s="76"/>
      <c r="H38" s="89"/>
      <c r="I38" s="9"/>
      <c r="J38" s="76"/>
      <c r="K38" s="133"/>
      <c r="L38" s="9"/>
      <c r="M38" s="76"/>
      <c r="N38" s="89"/>
      <c r="O38" s="9"/>
      <c r="P38" s="49"/>
      <c r="Q38" s="46"/>
      <c r="R38" s="9"/>
      <c r="S38" s="61"/>
      <c r="T38" s="46"/>
      <c r="U38" s="9"/>
      <c r="V38" s="46"/>
      <c r="W38" s="350"/>
      <c r="X38" s="9"/>
      <c r="Y38" s="49"/>
      <c r="Z38" s="350"/>
      <c r="AA38" s="9"/>
      <c r="AB38" s="49"/>
      <c r="AC38" s="46"/>
      <c r="AD38" s="9"/>
      <c r="AE38" s="46"/>
      <c r="AF38" s="350"/>
      <c r="AG38" s="9"/>
      <c r="AH38" s="49"/>
      <c r="AI38" s="46"/>
      <c r="AJ38" s="9"/>
      <c r="AK38" s="61"/>
      <c r="AL38" s="46"/>
      <c r="AM38" s="9"/>
      <c r="AN38" s="61"/>
      <c r="AS38" s="265">
        <f t="shared" si="10"/>
        <v>0</v>
      </c>
      <c r="AT38" s="265">
        <f t="shared" si="20"/>
        <v>0</v>
      </c>
      <c r="AU38" s="265">
        <f t="shared" si="11"/>
        <v>0</v>
      </c>
    </row>
    <row r="39" spans="1:47" s="39" customFormat="1" ht="14.25" thickTop="1" thickBot="1" x14ac:dyDescent="0.25">
      <c r="A39" s="797" t="s">
        <v>3195</v>
      </c>
      <c r="B39" s="307">
        <f t="shared" ref="B39:AM39" si="38">SUBTOTAL(9,B4:B37)</f>
        <v>3552900</v>
      </c>
      <c r="C39" s="1537">
        <f t="shared" si="38"/>
        <v>2663200</v>
      </c>
      <c r="D39" s="301">
        <f t="shared" si="38"/>
        <v>889700</v>
      </c>
      <c r="E39" s="307">
        <f t="shared" si="38"/>
        <v>9996700</v>
      </c>
      <c r="F39" s="307">
        <f t="shared" si="38"/>
        <v>3076500</v>
      </c>
      <c r="G39" s="307">
        <f t="shared" si="38"/>
        <v>6920200</v>
      </c>
      <c r="H39" s="302">
        <f t="shared" si="38"/>
        <v>6201000</v>
      </c>
      <c r="I39" s="300">
        <f t="shared" si="38"/>
        <v>8180500</v>
      </c>
      <c r="J39" s="301">
        <f t="shared" si="38"/>
        <v>-1979500</v>
      </c>
      <c r="K39" s="307">
        <f t="shared" si="38"/>
        <v>12397500</v>
      </c>
      <c r="L39" s="300">
        <f t="shared" si="38"/>
        <v>8223000</v>
      </c>
      <c r="M39" s="301">
        <f t="shared" si="38"/>
        <v>4174500</v>
      </c>
      <c r="N39" s="302">
        <f t="shared" si="38"/>
        <v>7724500</v>
      </c>
      <c r="O39" s="300">
        <f t="shared" si="38"/>
        <v>18068000</v>
      </c>
      <c r="P39" s="305">
        <f t="shared" si="38"/>
        <v>-10343500</v>
      </c>
      <c r="Q39" s="304">
        <f t="shared" si="38"/>
        <v>13675500</v>
      </c>
      <c r="R39" s="300">
        <f t="shared" si="38"/>
        <v>14421000</v>
      </c>
      <c r="S39" s="958">
        <f t="shared" si="38"/>
        <v>-745500</v>
      </c>
      <c r="T39" s="304">
        <f t="shared" si="38"/>
        <v>14010500</v>
      </c>
      <c r="U39" s="300">
        <f t="shared" si="38"/>
        <v>13957000</v>
      </c>
      <c r="V39" s="304">
        <f t="shared" si="38"/>
        <v>53500</v>
      </c>
      <c r="W39" s="1041">
        <f t="shared" si="38"/>
        <v>6380500</v>
      </c>
      <c r="X39" s="300">
        <f t="shared" si="38"/>
        <v>814000</v>
      </c>
      <c r="Y39" s="305">
        <f t="shared" si="38"/>
        <v>5566500</v>
      </c>
      <c r="Z39" s="1041">
        <f t="shared" si="38"/>
        <v>6626000</v>
      </c>
      <c r="AA39" s="300">
        <f t="shared" si="38"/>
        <v>823000</v>
      </c>
      <c r="AB39" s="305">
        <f t="shared" si="38"/>
        <v>5803000</v>
      </c>
      <c r="AC39" s="304">
        <f t="shared" si="38"/>
        <v>6915500</v>
      </c>
      <c r="AD39" s="300">
        <f t="shared" si="38"/>
        <v>832000</v>
      </c>
      <c r="AE39" s="304">
        <f t="shared" si="38"/>
        <v>6083500</v>
      </c>
      <c r="AF39" s="1041">
        <f t="shared" si="38"/>
        <v>7216000</v>
      </c>
      <c r="AG39" s="300">
        <f t="shared" si="38"/>
        <v>841000</v>
      </c>
      <c r="AH39" s="305">
        <f t="shared" si="38"/>
        <v>6375000</v>
      </c>
      <c r="AI39" s="304">
        <f t="shared" si="38"/>
        <v>7527000</v>
      </c>
      <c r="AJ39" s="300">
        <f t="shared" si="38"/>
        <v>851300</v>
      </c>
      <c r="AK39" s="958">
        <f t="shared" si="38"/>
        <v>6675700</v>
      </c>
      <c r="AL39" s="958">
        <f>SUBTOTAL(9,AL4:AL37)</f>
        <v>7849500</v>
      </c>
      <c r="AM39" s="958">
        <f t="shared" si="38"/>
        <v>861600</v>
      </c>
      <c r="AN39" s="958">
        <f>SUBTOTAL(9,AN4:AN37)</f>
        <v>6987900</v>
      </c>
      <c r="AP39" s="39">
        <v>2573000</v>
      </c>
      <c r="AQ39" s="39">
        <v>852000</v>
      </c>
      <c r="AR39" s="39">
        <v>1721000</v>
      </c>
      <c r="AS39" s="265">
        <f t="shared" si="10"/>
        <v>4954000</v>
      </c>
      <c r="AT39" s="265">
        <f t="shared" si="20"/>
        <v>-700</v>
      </c>
      <c r="AU39" s="265">
        <f t="shared" si="11"/>
        <v>4954700</v>
      </c>
    </row>
    <row r="40" spans="1:47" s="236" customFormat="1" ht="13.5" thickTop="1" x14ac:dyDescent="0.2">
      <c r="A40" s="408"/>
      <c r="B40" s="443"/>
      <c r="C40" s="233"/>
      <c r="D40" s="232"/>
      <c r="E40" s="443"/>
      <c r="F40" s="231"/>
      <c r="G40" s="232"/>
      <c r="H40" s="233"/>
      <c r="I40" s="231"/>
      <c r="J40" s="232"/>
      <c r="K40" s="443"/>
      <c r="L40" s="231"/>
      <c r="M40" s="232"/>
      <c r="N40" s="233"/>
      <c r="O40" s="231"/>
      <c r="P40" s="235"/>
      <c r="Q40" s="234"/>
      <c r="R40" s="231"/>
      <c r="S40" s="957"/>
      <c r="T40" s="234"/>
      <c r="U40" s="231"/>
      <c r="V40" s="234"/>
      <c r="W40" s="1042"/>
      <c r="X40" s="231"/>
      <c r="Y40" s="235"/>
      <c r="Z40" s="1042"/>
      <c r="AA40" s="231"/>
      <c r="AB40" s="235"/>
      <c r="AC40" s="234"/>
      <c r="AD40" s="231"/>
      <c r="AE40" s="234"/>
      <c r="AF40" s="1042"/>
      <c r="AG40" s="231"/>
      <c r="AH40" s="235"/>
      <c r="AI40" s="234"/>
      <c r="AJ40" s="231"/>
      <c r="AK40" s="957"/>
      <c r="AL40" s="234"/>
      <c r="AM40" s="231"/>
      <c r="AN40" s="957"/>
      <c r="AS40" s="265">
        <f t="shared" si="10"/>
        <v>0</v>
      </c>
      <c r="AT40" s="265">
        <f t="shared" si="20"/>
        <v>0</v>
      </c>
      <c r="AU40" s="265">
        <f t="shared" si="11"/>
        <v>0</v>
      </c>
    </row>
    <row r="41" spans="1:47" x14ac:dyDescent="0.2">
      <c r="A41" s="410" t="s">
        <v>467</v>
      </c>
      <c r="B41" s="133"/>
      <c r="C41" s="99"/>
      <c r="D41" s="76"/>
      <c r="E41" s="133"/>
      <c r="F41" s="9"/>
      <c r="G41" s="76"/>
      <c r="H41" s="89"/>
      <c r="I41" s="9"/>
      <c r="J41" s="76"/>
      <c r="K41" s="133"/>
      <c r="L41" s="9"/>
      <c r="M41" s="76"/>
      <c r="N41" s="89"/>
      <c r="O41" s="9"/>
      <c r="P41" s="49"/>
      <c r="Q41" s="46"/>
      <c r="R41" s="9"/>
      <c r="S41" s="61"/>
      <c r="T41" s="46"/>
      <c r="U41" s="9"/>
      <c r="V41" s="46"/>
      <c r="W41" s="350"/>
      <c r="X41" s="9"/>
      <c r="Y41" s="49"/>
      <c r="Z41" s="350"/>
      <c r="AA41" s="9"/>
      <c r="AB41" s="49"/>
      <c r="AC41" s="46"/>
      <c r="AD41" s="9"/>
      <c r="AE41" s="46"/>
      <c r="AF41" s="350"/>
      <c r="AG41" s="9"/>
      <c r="AH41" s="49"/>
      <c r="AI41" s="46"/>
      <c r="AJ41" s="9"/>
      <c r="AK41" s="61"/>
      <c r="AL41" s="46"/>
      <c r="AM41" s="9"/>
      <c r="AN41" s="61"/>
      <c r="AS41" s="265">
        <f t="shared" si="10"/>
        <v>0</v>
      </c>
      <c r="AT41" s="265">
        <f t="shared" si="20"/>
        <v>0</v>
      </c>
      <c r="AU41" s="265">
        <f t="shared" si="11"/>
        <v>0</v>
      </c>
    </row>
    <row r="42" spans="1:47" x14ac:dyDescent="0.2">
      <c r="A42" s="407" t="s">
        <v>771</v>
      </c>
      <c r="B42" s="133"/>
      <c r="C42" s="99"/>
      <c r="D42" s="76"/>
      <c r="E42" s="133"/>
      <c r="F42" s="9"/>
      <c r="G42" s="76"/>
      <c r="H42" s="89"/>
      <c r="I42" s="9"/>
      <c r="J42" s="76"/>
      <c r="K42" s="133"/>
      <c r="L42" s="9"/>
      <c r="M42" s="76"/>
      <c r="N42" s="89"/>
      <c r="O42" s="9"/>
      <c r="P42" s="49"/>
      <c r="Q42" s="46"/>
      <c r="R42" s="9"/>
      <c r="S42" s="61"/>
      <c r="T42" s="46"/>
      <c r="U42" s="9"/>
      <c r="V42" s="46"/>
      <c r="W42" s="350"/>
      <c r="X42" s="9"/>
      <c r="Y42" s="49"/>
      <c r="Z42" s="350"/>
      <c r="AA42" s="9"/>
      <c r="AB42" s="49"/>
      <c r="AC42" s="46"/>
      <c r="AD42" s="9"/>
      <c r="AE42" s="46"/>
      <c r="AF42" s="350"/>
      <c r="AG42" s="9"/>
      <c r="AH42" s="49"/>
      <c r="AI42" s="46"/>
      <c r="AJ42" s="9"/>
      <c r="AK42" s="61"/>
      <c r="AL42" s="46"/>
      <c r="AM42" s="9"/>
      <c r="AN42" s="61"/>
      <c r="AS42" s="265">
        <f t="shared" si="10"/>
        <v>0</v>
      </c>
      <c r="AT42" s="265">
        <f t="shared" si="20"/>
        <v>0</v>
      </c>
      <c r="AU42" s="265">
        <f t="shared" si="11"/>
        <v>0</v>
      </c>
    </row>
    <row r="43" spans="1:47" x14ac:dyDescent="0.2">
      <c r="A43" s="408" t="s">
        <v>1115</v>
      </c>
      <c r="B43" s="133">
        <v>14000</v>
      </c>
      <c r="C43" s="99">
        <v>18700</v>
      </c>
      <c r="D43" s="76">
        <f>B43-C43</f>
        <v>-4700</v>
      </c>
      <c r="E43" s="133">
        <v>12700</v>
      </c>
      <c r="F43" s="9">
        <v>14000</v>
      </c>
      <c r="G43" s="76">
        <f>E43-F43</f>
        <v>-1300</v>
      </c>
      <c r="H43" s="89"/>
      <c r="I43" s="9">
        <v>12700</v>
      </c>
      <c r="J43" s="76">
        <f>H43-I43</f>
        <v>-12700</v>
      </c>
      <c r="K43" s="133"/>
      <c r="L43" s="9"/>
      <c r="M43" s="76"/>
      <c r="N43" s="89"/>
      <c r="O43" s="9"/>
      <c r="P43" s="49"/>
      <c r="Q43" s="46"/>
      <c r="R43" s="9"/>
      <c r="S43" s="61"/>
      <c r="T43" s="46"/>
      <c r="U43" s="9"/>
      <c r="V43" s="46"/>
      <c r="W43" s="350"/>
      <c r="X43" s="9"/>
      <c r="Y43" s="49"/>
      <c r="Z43" s="350"/>
      <c r="AA43" s="9"/>
      <c r="AB43" s="49"/>
      <c r="AC43" s="46"/>
      <c r="AD43" s="9"/>
      <c r="AE43" s="46"/>
      <c r="AF43" s="350"/>
      <c r="AG43" s="9"/>
      <c r="AH43" s="49"/>
      <c r="AI43" s="46"/>
      <c r="AJ43" s="9"/>
      <c r="AK43" s="61"/>
      <c r="AL43" s="46"/>
      <c r="AM43" s="9"/>
      <c r="AN43" s="61"/>
      <c r="AS43" s="265">
        <f t="shared" si="10"/>
        <v>0</v>
      </c>
      <c r="AT43" s="265">
        <f t="shared" si="20"/>
        <v>0</v>
      </c>
      <c r="AU43" s="265">
        <f t="shared" si="11"/>
        <v>0</v>
      </c>
    </row>
    <row r="44" spans="1:47" x14ac:dyDescent="0.2">
      <c r="A44" s="408" t="s">
        <v>2524</v>
      </c>
      <c r="B44" s="133">
        <v>80000</v>
      </c>
      <c r="C44" s="9">
        <f>GM!D481</f>
        <v>0</v>
      </c>
      <c r="D44" s="76">
        <f>B44-C44</f>
        <v>80000</v>
      </c>
      <c r="E44" s="133">
        <v>90000</v>
      </c>
      <c r="F44" s="9">
        <v>246500</v>
      </c>
      <c r="G44" s="76">
        <f>E44-F44</f>
        <v>-156500</v>
      </c>
      <c r="H44" s="77">
        <v>30000</v>
      </c>
      <c r="I44" s="9">
        <f>GM!H481</f>
        <v>0</v>
      </c>
      <c r="J44" s="76">
        <f>H44-I44</f>
        <v>30000</v>
      </c>
      <c r="K44" s="133">
        <v>40000</v>
      </c>
      <c r="L44" s="9">
        <f>GM!J481</f>
        <v>0</v>
      </c>
      <c r="M44" s="76">
        <f>K44-L44</f>
        <v>40000</v>
      </c>
      <c r="N44" s="89">
        <v>45000</v>
      </c>
      <c r="O44" s="9">
        <f>GM!K481</f>
        <v>0</v>
      </c>
      <c r="P44" s="49">
        <f>N44-O44</f>
        <v>45000</v>
      </c>
      <c r="Q44" s="46">
        <v>61500</v>
      </c>
      <c r="R44" s="9">
        <f>GM!L481</f>
        <v>260000</v>
      </c>
      <c r="S44" s="61">
        <f>Q44-R44</f>
        <v>-198500</v>
      </c>
      <c r="T44" s="46">
        <v>71000</v>
      </c>
      <c r="U44" s="9">
        <f>GM!M481</f>
        <v>0</v>
      </c>
      <c r="V44" s="46">
        <f>T44-U44</f>
        <v>71000</v>
      </c>
      <c r="W44" s="350">
        <v>71000</v>
      </c>
      <c r="X44" s="9">
        <f>GM!N481</f>
        <v>0</v>
      </c>
      <c r="Y44" s="49">
        <f>W44-X44</f>
        <v>71000</v>
      </c>
      <c r="Z44" s="350">
        <v>73000</v>
      </c>
      <c r="AA44" s="9">
        <f>GM!O481</f>
        <v>0</v>
      </c>
      <c r="AB44" s="49">
        <f>Z44-AA44</f>
        <v>73000</v>
      </c>
      <c r="AC44" s="46">
        <v>75000</v>
      </c>
      <c r="AD44" s="9">
        <f>GM!P481</f>
        <v>290000</v>
      </c>
      <c r="AE44" s="46">
        <f>AC44-AD44</f>
        <v>-215000</v>
      </c>
      <c r="AF44" s="350">
        <f>AC44+5000</f>
        <v>80000</v>
      </c>
      <c r="AG44" s="9">
        <f>GM!Q481</f>
        <v>0</v>
      </c>
      <c r="AH44" s="49">
        <f>AF44-AG44</f>
        <v>80000</v>
      </c>
      <c r="AI44" s="46">
        <f>AF44+5000</f>
        <v>85000</v>
      </c>
      <c r="AJ44" s="9">
        <f>GM!T481</f>
        <v>0</v>
      </c>
      <c r="AK44" s="61">
        <f>AI44-AJ44</f>
        <v>85000</v>
      </c>
      <c r="AL44" s="46">
        <f>AI44+5000</f>
        <v>90000</v>
      </c>
      <c r="AM44" s="9">
        <f>GM!T483</f>
        <v>0</v>
      </c>
      <c r="AN44" s="61">
        <f>AL44-AM44</f>
        <v>90000</v>
      </c>
      <c r="AP44" s="34">
        <v>85000</v>
      </c>
      <c r="AQ44" s="34">
        <v>0</v>
      </c>
      <c r="AR44" s="34">
        <v>85000</v>
      </c>
      <c r="AS44" s="265">
        <f t="shared" si="10"/>
        <v>0</v>
      </c>
      <c r="AT44" s="265">
        <f t="shared" si="20"/>
        <v>0</v>
      </c>
      <c r="AU44" s="265">
        <f t="shared" si="11"/>
        <v>0</v>
      </c>
    </row>
    <row r="45" spans="1:47" x14ac:dyDescent="0.2">
      <c r="A45" s="633" t="s">
        <v>7270</v>
      </c>
      <c r="B45" s="133"/>
      <c r="C45" s="89"/>
      <c r="D45" s="76"/>
      <c r="E45" s="133">
        <v>35000</v>
      </c>
      <c r="F45" s="9">
        <v>0</v>
      </c>
      <c r="G45" s="76">
        <f>E45-F45</f>
        <v>35000</v>
      </c>
      <c r="H45" s="77"/>
      <c r="I45" s="9">
        <v>35000</v>
      </c>
      <c r="J45" s="76">
        <f>H45-I45</f>
        <v>-35000</v>
      </c>
      <c r="K45" s="133"/>
      <c r="L45" s="9"/>
      <c r="M45" s="76"/>
      <c r="N45" s="89"/>
      <c r="O45" s="9"/>
      <c r="P45" s="49"/>
      <c r="Q45" s="46"/>
      <c r="R45" s="9"/>
      <c r="S45" s="61"/>
      <c r="T45" s="46"/>
      <c r="U45" s="9"/>
      <c r="V45" s="46"/>
      <c r="W45" s="350"/>
      <c r="X45" s="9"/>
      <c r="Y45" s="49"/>
      <c r="Z45" s="350"/>
      <c r="AA45" s="9"/>
      <c r="AB45" s="49"/>
      <c r="AC45" s="46"/>
      <c r="AD45" s="9"/>
      <c r="AE45" s="46"/>
      <c r="AF45" s="350"/>
      <c r="AG45" s="9"/>
      <c r="AH45" s="49"/>
      <c r="AI45" s="46"/>
      <c r="AJ45" s="9"/>
      <c r="AK45" s="61"/>
      <c r="AL45" s="46"/>
      <c r="AM45" s="9"/>
      <c r="AN45" s="61"/>
      <c r="AS45" s="265"/>
      <c r="AT45" s="265"/>
      <c r="AU45" s="265"/>
    </row>
    <row r="46" spans="1:47" x14ac:dyDescent="0.2">
      <c r="A46" s="633" t="s">
        <v>11830</v>
      </c>
      <c r="B46" s="133"/>
      <c r="C46" s="89"/>
      <c r="D46" s="76"/>
      <c r="E46" s="133">
        <v>2108000</v>
      </c>
      <c r="F46" s="9">
        <v>0</v>
      </c>
      <c r="G46" s="76">
        <f>E46-F46</f>
        <v>2108000</v>
      </c>
      <c r="H46" s="77"/>
      <c r="I46" s="9"/>
      <c r="J46" s="76"/>
      <c r="K46" s="133"/>
      <c r="L46" s="9"/>
      <c r="M46" s="76"/>
      <c r="N46" s="89"/>
      <c r="O46" s="9"/>
      <c r="P46" s="49"/>
      <c r="Q46" s="46"/>
      <c r="R46" s="9"/>
      <c r="S46" s="61"/>
      <c r="T46" s="46"/>
      <c r="U46" s="9"/>
      <c r="V46" s="46"/>
      <c r="W46" s="350"/>
      <c r="X46" s="9"/>
      <c r="Y46" s="49"/>
      <c r="Z46" s="350"/>
      <c r="AA46" s="9"/>
      <c r="AB46" s="49"/>
      <c r="AC46" s="46"/>
      <c r="AD46" s="9"/>
      <c r="AE46" s="46"/>
      <c r="AF46" s="350"/>
      <c r="AG46" s="9"/>
      <c r="AH46" s="49"/>
      <c r="AI46" s="46"/>
      <c r="AJ46" s="9"/>
      <c r="AK46" s="61"/>
      <c r="AL46" s="46"/>
      <c r="AM46" s="9"/>
      <c r="AN46" s="61"/>
      <c r="AS46" s="265"/>
      <c r="AT46" s="265"/>
      <c r="AU46" s="265"/>
    </row>
    <row r="47" spans="1:47" x14ac:dyDescent="0.2">
      <c r="A47" s="408"/>
      <c r="B47" s="133"/>
      <c r="C47" s="89"/>
      <c r="D47" s="76"/>
      <c r="E47" s="133"/>
      <c r="F47" s="9"/>
      <c r="G47" s="76"/>
      <c r="H47" s="77"/>
      <c r="I47" s="9"/>
      <c r="J47" s="76"/>
      <c r="K47" s="133"/>
      <c r="L47" s="9"/>
      <c r="M47" s="76"/>
      <c r="N47" s="89"/>
      <c r="O47" s="9"/>
      <c r="P47" s="49"/>
      <c r="Q47" s="46"/>
      <c r="R47" s="9"/>
      <c r="S47" s="61"/>
      <c r="T47" s="46"/>
      <c r="U47" s="9"/>
      <c r="V47" s="46"/>
      <c r="W47" s="350"/>
      <c r="X47" s="9"/>
      <c r="Y47" s="49"/>
      <c r="Z47" s="350"/>
      <c r="AA47" s="9"/>
      <c r="AB47" s="49"/>
      <c r="AC47" s="46"/>
      <c r="AD47" s="9"/>
      <c r="AE47" s="46"/>
      <c r="AF47" s="350"/>
      <c r="AG47" s="9"/>
      <c r="AH47" s="49"/>
      <c r="AI47" s="46"/>
      <c r="AJ47" s="9"/>
      <c r="AK47" s="61"/>
      <c r="AL47" s="46"/>
      <c r="AM47" s="9"/>
      <c r="AN47" s="61"/>
      <c r="AS47" s="265">
        <f t="shared" si="10"/>
        <v>0</v>
      </c>
      <c r="AT47" s="265">
        <f t="shared" ref="AT47:AT52" si="39">+AJ47-AQ47</f>
        <v>0</v>
      </c>
      <c r="AU47" s="265">
        <f t="shared" si="11"/>
        <v>0</v>
      </c>
    </row>
    <row r="48" spans="1:47" x14ac:dyDescent="0.2">
      <c r="A48" s="778" t="s">
        <v>4106</v>
      </c>
      <c r="B48" s="133"/>
      <c r="C48" s="99"/>
      <c r="D48" s="76"/>
      <c r="E48" s="133"/>
      <c r="F48" s="9"/>
      <c r="G48" s="76"/>
      <c r="H48" s="89"/>
      <c r="I48" s="9"/>
      <c r="J48" s="76"/>
      <c r="K48" s="133"/>
      <c r="L48" s="9"/>
      <c r="M48" s="76"/>
      <c r="N48" s="89"/>
      <c r="O48" s="9"/>
      <c r="P48" s="49"/>
      <c r="Q48" s="46"/>
      <c r="R48" s="9"/>
      <c r="S48" s="61"/>
      <c r="T48" s="46"/>
      <c r="U48" s="9"/>
      <c r="V48" s="46"/>
      <c r="W48" s="350"/>
      <c r="X48" s="9"/>
      <c r="Y48" s="49"/>
      <c r="Z48" s="350"/>
      <c r="AA48" s="9"/>
      <c r="AB48" s="49"/>
      <c r="AC48" s="46"/>
      <c r="AD48" s="9"/>
      <c r="AE48" s="46"/>
      <c r="AF48" s="350"/>
      <c r="AG48" s="9"/>
      <c r="AH48" s="49"/>
      <c r="AI48" s="46"/>
      <c r="AJ48" s="9"/>
      <c r="AK48" s="61"/>
      <c r="AL48" s="46"/>
      <c r="AM48" s="9"/>
      <c r="AN48" s="61"/>
      <c r="AS48" s="265">
        <f t="shared" si="10"/>
        <v>0</v>
      </c>
      <c r="AT48" s="265">
        <f t="shared" si="39"/>
        <v>0</v>
      </c>
      <c r="AU48" s="265">
        <f t="shared" si="11"/>
        <v>0</v>
      </c>
    </row>
    <row r="49" spans="1:47" x14ac:dyDescent="0.2">
      <c r="A49" s="633" t="s">
        <v>5852</v>
      </c>
      <c r="B49" s="133">
        <f>15000+8500+50000+30000</f>
        <v>103500</v>
      </c>
      <c r="C49" s="99"/>
      <c r="D49" s="76">
        <f t="shared" ref="D49:D52" si="40">B49-C49</f>
        <v>103500</v>
      </c>
      <c r="E49" s="133"/>
      <c r="F49" s="9"/>
      <c r="G49" s="76">
        <f t="shared" ref="G49:G60" si="41">E49-F49</f>
        <v>0</v>
      </c>
      <c r="H49" s="89"/>
      <c r="I49" s="9"/>
      <c r="J49" s="76"/>
      <c r="K49" s="133"/>
      <c r="L49" s="9"/>
      <c r="M49" s="76"/>
      <c r="N49" s="89"/>
      <c r="O49" s="9"/>
      <c r="P49" s="49"/>
      <c r="Q49" s="46"/>
      <c r="R49" s="9"/>
      <c r="S49" s="61"/>
      <c r="T49" s="46"/>
      <c r="U49" s="9"/>
      <c r="V49" s="46"/>
      <c r="W49" s="350"/>
      <c r="X49" s="9"/>
      <c r="Y49" s="49"/>
      <c r="Z49" s="350"/>
      <c r="AA49" s="9"/>
      <c r="AB49" s="49"/>
      <c r="AC49" s="46"/>
      <c r="AD49" s="9"/>
      <c r="AE49" s="46"/>
      <c r="AF49" s="350"/>
      <c r="AG49" s="9"/>
      <c r="AH49" s="49"/>
      <c r="AI49" s="46"/>
      <c r="AJ49" s="9"/>
      <c r="AK49" s="61"/>
      <c r="AL49" s="46"/>
      <c r="AM49" s="9"/>
      <c r="AN49" s="61"/>
      <c r="AS49" s="265">
        <f t="shared" si="10"/>
        <v>0</v>
      </c>
      <c r="AT49" s="265">
        <f t="shared" si="39"/>
        <v>0</v>
      </c>
      <c r="AU49" s="265">
        <f t="shared" si="11"/>
        <v>0</v>
      </c>
    </row>
    <row r="50" spans="1:47" x14ac:dyDescent="0.2">
      <c r="A50" s="408"/>
      <c r="B50" s="133"/>
      <c r="C50" s="99"/>
      <c r="D50" s="76"/>
      <c r="E50" s="133"/>
      <c r="F50" s="9"/>
      <c r="G50" s="76"/>
      <c r="H50" s="89"/>
      <c r="I50" s="9"/>
      <c r="J50" s="76"/>
      <c r="K50" s="133"/>
      <c r="L50" s="9"/>
      <c r="M50" s="76"/>
      <c r="N50" s="89"/>
      <c r="O50" s="9"/>
      <c r="P50" s="49"/>
      <c r="Q50" s="46"/>
      <c r="R50" s="9"/>
      <c r="S50" s="61"/>
      <c r="T50" s="46"/>
      <c r="U50" s="9"/>
      <c r="V50" s="46"/>
      <c r="W50" s="350"/>
      <c r="X50" s="9"/>
      <c r="Y50" s="49"/>
      <c r="Z50" s="350"/>
      <c r="AA50" s="9"/>
      <c r="AB50" s="49"/>
      <c r="AC50" s="46"/>
      <c r="AD50" s="9"/>
      <c r="AE50" s="46"/>
      <c r="AF50" s="350"/>
      <c r="AG50" s="9"/>
      <c r="AH50" s="49"/>
      <c r="AI50" s="46"/>
      <c r="AJ50" s="9"/>
      <c r="AK50" s="61"/>
      <c r="AL50" s="46"/>
      <c r="AM50" s="9"/>
      <c r="AN50" s="61"/>
      <c r="AS50" s="265">
        <f t="shared" si="10"/>
        <v>0</v>
      </c>
      <c r="AT50" s="265">
        <f t="shared" si="39"/>
        <v>0</v>
      </c>
      <c r="AU50" s="265">
        <f t="shared" si="11"/>
        <v>0</v>
      </c>
    </row>
    <row r="51" spans="1:47" x14ac:dyDescent="0.2">
      <c r="A51" s="407" t="s">
        <v>357</v>
      </c>
      <c r="B51" s="133"/>
      <c r="C51" s="99"/>
      <c r="D51" s="76"/>
      <c r="E51" s="133"/>
      <c r="F51" s="9"/>
      <c r="G51" s="76"/>
      <c r="H51" s="89"/>
      <c r="I51" s="9"/>
      <c r="J51" s="76"/>
      <c r="K51" s="133"/>
      <c r="L51" s="9"/>
      <c r="M51" s="76"/>
      <c r="N51" s="89"/>
      <c r="O51" s="9"/>
      <c r="P51" s="49"/>
      <c r="Q51" s="46"/>
      <c r="R51" s="9"/>
      <c r="S51" s="61"/>
      <c r="T51" s="46"/>
      <c r="U51" s="9"/>
      <c r="V51" s="46"/>
      <c r="W51" s="350"/>
      <c r="X51" s="9"/>
      <c r="Y51" s="49"/>
      <c r="Z51" s="350"/>
      <c r="AA51" s="9"/>
      <c r="AB51" s="49"/>
      <c r="AC51" s="46"/>
      <c r="AD51" s="9"/>
      <c r="AE51" s="46"/>
      <c r="AF51" s="350"/>
      <c r="AG51" s="9"/>
      <c r="AH51" s="49"/>
      <c r="AI51" s="46"/>
      <c r="AJ51" s="9"/>
      <c r="AK51" s="61"/>
      <c r="AL51" s="46"/>
      <c r="AM51" s="9"/>
      <c r="AN51" s="61"/>
      <c r="AS51" s="265">
        <f t="shared" si="10"/>
        <v>0</v>
      </c>
      <c r="AT51" s="265">
        <f t="shared" si="39"/>
        <v>0</v>
      </c>
      <c r="AU51" s="265">
        <f t="shared" si="11"/>
        <v>0</v>
      </c>
    </row>
    <row r="52" spans="1:47" x14ac:dyDescent="0.2">
      <c r="A52" s="408" t="s">
        <v>783</v>
      </c>
      <c r="B52" s="133">
        <v>284000</v>
      </c>
      <c r="C52" s="99"/>
      <c r="D52" s="76">
        <f t="shared" si="40"/>
        <v>284000</v>
      </c>
      <c r="E52" s="133">
        <v>220000</v>
      </c>
      <c r="F52" s="9"/>
      <c r="G52" s="76">
        <f>E52-F52</f>
        <v>220000</v>
      </c>
      <c r="H52" s="89"/>
      <c r="I52" s="9"/>
      <c r="J52" s="76"/>
      <c r="K52" s="133"/>
      <c r="L52" s="9"/>
      <c r="M52" s="76"/>
      <c r="N52" s="89"/>
      <c r="O52" s="9"/>
      <c r="P52" s="49"/>
      <c r="Q52" s="46"/>
      <c r="R52" s="9"/>
      <c r="S52" s="61"/>
      <c r="T52" s="46"/>
      <c r="U52" s="9"/>
      <c r="V52" s="46"/>
      <c r="W52" s="350"/>
      <c r="X52" s="9"/>
      <c r="Y52" s="49"/>
      <c r="Z52" s="350"/>
      <c r="AA52" s="9"/>
      <c r="AB52" s="49"/>
      <c r="AC52" s="46"/>
      <c r="AD52" s="9"/>
      <c r="AE52" s="46"/>
      <c r="AF52" s="350"/>
      <c r="AG52" s="9"/>
      <c r="AH52" s="49"/>
      <c r="AI52" s="46"/>
      <c r="AJ52" s="9"/>
      <c r="AK52" s="61"/>
      <c r="AL52" s="46"/>
      <c r="AM52" s="9"/>
      <c r="AN52" s="61"/>
      <c r="AS52" s="265">
        <f t="shared" si="10"/>
        <v>0</v>
      </c>
      <c r="AT52" s="265">
        <f t="shared" si="39"/>
        <v>0</v>
      </c>
      <c r="AU52" s="265">
        <f t="shared" si="11"/>
        <v>0</v>
      </c>
    </row>
    <row r="53" spans="1:47" x14ac:dyDescent="0.2">
      <c r="A53" s="633" t="s">
        <v>5852</v>
      </c>
      <c r="B53" s="133"/>
      <c r="C53" s="99"/>
      <c r="D53" s="76"/>
      <c r="E53" s="133">
        <f>40900+76100</f>
        <v>117000</v>
      </c>
      <c r="F53" s="9"/>
      <c r="G53" s="76">
        <f t="shared" ref="G53" si="42">E53-F53</f>
        <v>117000</v>
      </c>
      <c r="H53" s="89"/>
      <c r="I53" s="9">
        <f>76100+40900</f>
        <v>117000</v>
      </c>
      <c r="J53" s="76">
        <f t="shared" ref="J53:J54" si="43">H53-I53</f>
        <v>-117000</v>
      </c>
      <c r="K53" s="133"/>
      <c r="L53" s="9"/>
      <c r="M53" s="76"/>
      <c r="N53" s="89"/>
      <c r="O53" s="9"/>
      <c r="P53" s="49"/>
      <c r="Q53" s="46"/>
      <c r="R53" s="9"/>
      <c r="S53" s="61"/>
      <c r="T53" s="46"/>
      <c r="U53" s="9"/>
      <c r="V53" s="46"/>
      <c r="W53" s="350"/>
      <c r="X53" s="9"/>
      <c r="Y53" s="49"/>
      <c r="Z53" s="350"/>
      <c r="AA53" s="9"/>
      <c r="AB53" s="49"/>
      <c r="AC53" s="46"/>
      <c r="AD53" s="9"/>
      <c r="AE53" s="46"/>
      <c r="AF53" s="350"/>
      <c r="AG53" s="9"/>
      <c r="AH53" s="49"/>
      <c r="AI53" s="46"/>
      <c r="AJ53" s="9"/>
      <c r="AK53" s="61"/>
      <c r="AL53" s="46"/>
      <c r="AM53" s="9"/>
      <c r="AN53" s="61"/>
      <c r="AS53" s="265">
        <f t="shared" ref="AS53" si="44">+AI53-AP53</f>
        <v>0</v>
      </c>
      <c r="AT53" s="265">
        <f t="shared" ref="AT53" si="45">+AJ53-AQ53</f>
        <v>0</v>
      </c>
      <c r="AU53" s="265">
        <f t="shared" ref="AU53" si="46">+AK53-AR53</f>
        <v>0</v>
      </c>
    </row>
    <row r="54" spans="1:47" x14ac:dyDescent="0.2">
      <c r="A54" s="633" t="s">
        <v>11892</v>
      </c>
      <c r="B54" s="133"/>
      <c r="C54" s="99"/>
      <c r="D54" s="76"/>
      <c r="E54" s="133"/>
      <c r="F54" s="9"/>
      <c r="G54" s="76"/>
      <c r="H54" s="89">
        <f>31100+1000+2600+3000+500+500+500+16500+18100+3500+2000+500+500+3000+2800+4200+3500+500+500+500+4700</f>
        <v>100000</v>
      </c>
      <c r="I54" s="9"/>
      <c r="J54" s="76">
        <f t="shared" si="43"/>
        <v>100000</v>
      </c>
      <c r="K54" s="133"/>
      <c r="L54" s="9"/>
      <c r="M54" s="76"/>
      <c r="N54" s="89"/>
      <c r="O54" s="9"/>
      <c r="P54" s="49"/>
      <c r="Q54" s="46"/>
      <c r="R54" s="9"/>
      <c r="S54" s="61"/>
      <c r="T54" s="46"/>
      <c r="U54" s="9"/>
      <c r="V54" s="46"/>
      <c r="W54" s="350"/>
      <c r="X54" s="9"/>
      <c r="Y54" s="49"/>
      <c r="Z54" s="350"/>
      <c r="AA54" s="9"/>
      <c r="AB54" s="49"/>
      <c r="AC54" s="46"/>
      <c r="AD54" s="9"/>
      <c r="AE54" s="46"/>
      <c r="AF54" s="350"/>
      <c r="AG54" s="9"/>
      <c r="AH54" s="49"/>
      <c r="AI54" s="46"/>
      <c r="AJ54" s="9"/>
      <c r="AK54" s="61"/>
      <c r="AL54" s="46"/>
      <c r="AM54" s="9"/>
      <c r="AN54" s="61"/>
      <c r="AS54" s="265"/>
      <c r="AT54" s="265"/>
      <c r="AU54" s="265"/>
    </row>
    <row r="55" spans="1:47" x14ac:dyDescent="0.2">
      <c r="A55" s="408"/>
      <c r="B55" s="133"/>
      <c r="C55" s="99"/>
      <c r="D55" s="76"/>
      <c r="E55" s="133"/>
      <c r="F55" s="9"/>
      <c r="G55" s="76"/>
      <c r="H55" s="89"/>
      <c r="I55" s="9"/>
      <c r="J55" s="76"/>
      <c r="K55" s="133"/>
      <c r="L55" s="9"/>
      <c r="M55" s="76"/>
      <c r="N55" s="89"/>
      <c r="O55" s="9"/>
      <c r="P55" s="49"/>
      <c r="Q55" s="46"/>
      <c r="R55" s="9"/>
      <c r="S55" s="61"/>
      <c r="T55" s="46"/>
      <c r="U55" s="9"/>
      <c r="V55" s="46"/>
      <c r="W55" s="350"/>
      <c r="X55" s="9"/>
      <c r="Y55" s="49"/>
      <c r="Z55" s="350"/>
      <c r="AA55" s="9"/>
      <c r="AB55" s="49"/>
      <c r="AC55" s="46"/>
      <c r="AD55" s="9"/>
      <c r="AE55" s="46"/>
      <c r="AF55" s="350"/>
      <c r="AG55" s="9"/>
      <c r="AH55" s="49"/>
      <c r="AI55" s="46"/>
      <c r="AJ55" s="9"/>
      <c r="AK55" s="61"/>
      <c r="AL55" s="46"/>
      <c r="AM55" s="9"/>
      <c r="AN55" s="61"/>
      <c r="AS55" s="265">
        <f t="shared" si="10"/>
        <v>0</v>
      </c>
      <c r="AT55" s="265">
        <f t="shared" ref="AT55:AT75" si="47">+AJ55-AQ55</f>
        <v>0</v>
      </c>
      <c r="AU55" s="265">
        <f t="shared" si="11"/>
        <v>0</v>
      </c>
    </row>
    <row r="56" spans="1:47" x14ac:dyDescent="0.2">
      <c r="A56" s="778" t="s">
        <v>2273</v>
      </c>
      <c r="B56" s="133"/>
      <c r="C56" s="99"/>
      <c r="D56" s="76"/>
      <c r="E56" s="133"/>
      <c r="F56" s="9"/>
      <c r="G56" s="76"/>
      <c r="H56" s="89"/>
      <c r="I56" s="9"/>
      <c r="J56" s="76"/>
      <c r="K56" s="133"/>
      <c r="L56" s="9"/>
      <c r="M56" s="76"/>
      <c r="N56" s="89"/>
      <c r="O56" s="9"/>
      <c r="P56" s="49"/>
      <c r="Q56" s="46"/>
      <c r="R56" s="9"/>
      <c r="S56" s="61"/>
      <c r="T56" s="46"/>
      <c r="U56" s="9"/>
      <c r="V56" s="46"/>
      <c r="W56" s="350"/>
      <c r="X56" s="9"/>
      <c r="Y56" s="49"/>
      <c r="Z56" s="350"/>
      <c r="AA56" s="9"/>
      <c r="AB56" s="49"/>
      <c r="AC56" s="46"/>
      <c r="AD56" s="9"/>
      <c r="AE56" s="46"/>
      <c r="AF56" s="350"/>
      <c r="AG56" s="9"/>
      <c r="AH56" s="49"/>
      <c r="AI56" s="46"/>
      <c r="AJ56" s="9"/>
      <c r="AK56" s="61"/>
      <c r="AL56" s="46"/>
      <c r="AM56" s="9"/>
      <c r="AN56" s="61"/>
      <c r="AS56" s="265">
        <f t="shared" si="10"/>
        <v>0</v>
      </c>
      <c r="AT56" s="265">
        <f t="shared" si="47"/>
        <v>0</v>
      </c>
      <c r="AU56" s="265">
        <f t="shared" si="11"/>
        <v>0</v>
      </c>
    </row>
    <row r="57" spans="1:47" x14ac:dyDescent="0.2">
      <c r="A57" s="633" t="s">
        <v>5263</v>
      </c>
      <c r="B57" s="133">
        <v>24100</v>
      </c>
      <c r="C57" s="99">
        <v>40000</v>
      </c>
      <c r="D57" s="76">
        <f>B57-C57</f>
        <v>-15900</v>
      </c>
      <c r="E57" s="133">
        <v>37800</v>
      </c>
      <c r="F57" s="9"/>
      <c r="G57" s="76">
        <f t="shared" si="41"/>
        <v>37800</v>
      </c>
      <c r="H57" s="89"/>
      <c r="I57" s="9">
        <v>37800</v>
      </c>
      <c r="J57" s="76">
        <f t="shared" ref="J57:J60" si="48">H57-I57</f>
        <v>-37800</v>
      </c>
      <c r="K57" s="133"/>
      <c r="L57" s="9"/>
      <c r="M57" s="76"/>
      <c r="N57" s="89"/>
      <c r="O57" s="9"/>
      <c r="P57" s="49"/>
      <c r="Q57" s="46"/>
      <c r="R57" s="9"/>
      <c r="S57" s="61"/>
      <c r="T57" s="46"/>
      <c r="U57" s="9"/>
      <c r="V57" s="46"/>
      <c r="W57" s="350"/>
      <c r="X57" s="9"/>
      <c r="Y57" s="49"/>
      <c r="Z57" s="350"/>
      <c r="AA57" s="9"/>
      <c r="AB57" s="49"/>
      <c r="AC57" s="46"/>
      <c r="AD57" s="9"/>
      <c r="AE57" s="46"/>
      <c r="AF57" s="350"/>
      <c r="AG57" s="9"/>
      <c r="AH57" s="49"/>
      <c r="AI57" s="46"/>
      <c r="AJ57" s="9"/>
      <c r="AK57" s="61"/>
      <c r="AL57" s="46"/>
      <c r="AM57" s="9"/>
      <c r="AN57" s="61"/>
      <c r="AS57" s="265">
        <f t="shared" si="10"/>
        <v>0</v>
      </c>
      <c r="AT57" s="265">
        <f t="shared" si="47"/>
        <v>0</v>
      </c>
      <c r="AU57" s="265">
        <f t="shared" si="11"/>
        <v>0</v>
      </c>
    </row>
    <row r="58" spans="1:47" x14ac:dyDescent="0.2">
      <c r="A58" s="633" t="s">
        <v>6399</v>
      </c>
      <c r="B58" s="133">
        <v>30000</v>
      </c>
      <c r="C58" s="99"/>
      <c r="D58" s="76">
        <f>B58-C58</f>
        <v>30000</v>
      </c>
      <c r="E58" s="133"/>
      <c r="F58" s="9">
        <v>21100</v>
      </c>
      <c r="G58" s="76">
        <f>E58-F58</f>
        <v>-21100</v>
      </c>
      <c r="H58" s="89"/>
      <c r="I58" s="9"/>
      <c r="J58" s="76"/>
      <c r="K58" s="133"/>
      <c r="L58" s="9"/>
      <c r="M58" s="76"/>
      <c r="N58" s="89"/>
      <c r="O58" s="9"/>
      <c r="P58" s="49"/>
      <c r="Q58" s="46"/>
      <c r="R58" s="9"/>
      <c r="S58" s="61"/>
      <c r="T58" s="46"/>
      <c r="U58" s="9"/>
      <c r="V58" s="46"/>
      <c r="W58" s="394"/>
      <c r="X58" s="9"/>
      <c r="Y58" s="49"/>
      <c r="Z58" s="350"/>
      <c r="AA58" s="9"/>
      <c r="AB58" s="49"/>
      <c r="AC58" s="46"/>
      <c r="AD58" s="9"/>
      <c r="AE58" s="46"/>
      <c r="AF58" s="350"/>
      <c r="AG58" s="9"/>
      <c r="AH58" s="49"/>
      <c r="AI58" s="46"/>
      <c r="AJ58" s="9"/>
      <c r="AK58" s="61"/>
      <c r="AL58" s="46"/>
      <c r="AM58" s="9"/>
      <c r="AN58" s="61"/>
      <c r="AS58" s="265">
        <f t="shared" si="10"/>
        <v>0</v>
      </c>
      <c r="AT58" s="265">
        <f t="shared" si="47"/>
        <v>0</v>
      </c>
      <c r="AU58" s="265">
        <f t="shared" si="11"/>
        <v>0</v>
      </c>
    </row>
    <row r="59" spans="1:47" x14ac:dyDescent="0.2">
      <c r="A59" s="633" t="s">
        <v>4107</v>
      </c>
      <c r="B59" s="133">
        <v>5000</v>
      </c>
      <c r="C59" s="99"/>
      <c r="D59" s="76">
        <f>B59-C59</f>
        <v>5000</v>
      </c>
      <c r="E59" s="133"/>
      <c r="F59" s="9"/>
      <c r="G59" s="76">
        <f>E59-F59</f>
        <v>0</v>
      </c>
      <c r="H59" s="89"/>
      <c r="I59" s="9">
        <v>15000</v>
      </c>
      <c r="J59" s="76">
        <f t="shared" si="48"/>
        <v>-15000</v>
      </c>
      <c r="K59" s="133"/>
      <c r="L59" s="9"/>
      <c r="M59" s="76"/>
      <c r="N59" s="89"/>
      <c r="O59" s="9"/>
      <c r="P59" s="49"/>
      <c r="Q59" s="46"/>
      <c r="R59" s="9"/>
      <c r="S59" s="61"/>
      <c r="T59" s="46"/>
      <c r="U59" s="9"/>
      <c r="V59" s="46"/>
      <c r="W59" s="394"/>
      <c r="X59" s="9"/>
      <c r="Y59" s="49"/>
      <c r="Z59" s="350"/>
      <c r="AA59" s="9"/>
      <c r="AB59" s="49"/>
      <c r="AC59" s="46"/>
      <c r="AD59" s="9"/>
      <c r="AE59" s="46"/>
      <c r="AF59" s="350"/>
      <c r="AG59" s="9"/>
      <c r="AH59" s="49"/>
      <c r="AI59" s="46"/>
      <c r="AJ59" s="9"/>
      <c r="AK59" s="61"/>
      <c r="AL59" s="46"/>
      <c r="AM59" s="9"/>
      <c r="AN59" s="61"/>
      <c r="AS59" s="265">
        <f t="shared" si="10"/>
        <v>0</v>
      </c>
      <c r="AT59" s="265">
        <f t="shared" si="47"/>
        <v>0</v>
      </c>
      <c r="AU59" s="265">
        <f t="shared" si="11"/>
        <v>0</v>
      </c>
    </row>
    <row r="60" spans="1:47" x14ac:dyDescent="0.2">
      <c r="A60" s="633" t="s">
        <v>5972</v>
      </c>
      <c r="B60" s="133"/>
      <c r="C60" s="99"/>
      <c r="D60" s="76"/>
      <c r="E60" s="133">
        <f>73000+23700+4700</f>
        <v>101400</v>
      </c>
      <c r="F60" s="9">
        <v>10900</v>
      </c>
      <c r="G60" s="76">
        <f t="shared" si="41"/>
        <v>90500</v>
      </c>
      <c r="H60" s="89"/>
      <c r="I60" s="9">
        <v>101400</v>
      </c>
      <c r="J60" s="76">
        <f t="shared" si="48"/>
        <v>-101400</v>
      </c>
      <c r="K60" s="89"/>
      <c r="L60" s="9"/>
      <c r="M60" s="76">
        <f t="shared" ref="M60" si="49">K60-L60</f>
        <v>0</v>
      </c>
      <c r="N60" s="89"/>
      <c r="O60" s="9"/>
      <c r="P60" s="49">
        <f t="shared" ref="P60" si="50">N60-O60</f>
        <v>0</v>
      </c>
      <c r="Q60" s="89"/>
      <c r="R60" s="9"/>
      <c r="S60" s="61">
        <f t="shared" ref="S60" si="51">Q60-R60</f>
        <v>0</v>
      </c>
      <c r="T60" s="89"/>
      <c r="U60" s="9"/>
      <c r="V60" s="46">
        <f t="shared" ref="V60" si="52">T60-U60</f>
        <v>0</v>
      </c>
      <c r="W60" s="394"/>
      <c r="X60" s="9"/>
      <c r="Y60" s="49">
        <f t="shared" ref="Y60" si="53">W60-X60</f>
        <v>0</v>
      </c>
      <c r="Z60" s="89"/>
      <c r="AA60" s="9"/>
      <c r="AB60" s="49">
        <f t="shared" ref="AB60" si="54">Z60-AA60</f>
        <v>0</v>
      </c>
      <c r="AC60" s="89"/>
      <c r="AD60" s="9"/>
      <c r="AE60" s="46">
        <f t="shared" ref="AE60" si="55">AC60-AD60</f>
        <v>0</v>
      </c>
      <c r="AF60" s="133"/>
      <c r="AG60" s="9"/>
      <c r="AH60" s="49">
        <f t="shared" ref="AH60" si="56">AF60-AG60</f>
        <v>0</v>
      </c>
      <c r="AI60" s="89"/>
      <c r="AJ60" s="9"/>
      <c r="AK60" s="61">
        <f t="shared" ref="AK60" si="57">AI60-AJ60</f>
        <v>0</v>
      </c>
      <c r="AL60" s="89"/>
      <c r="AM60" s="9"/>
      <c r="AN60" s="61">
        <f t="shared" ref="AN60" si="58">AL60-AM60</f>
        <v>0</v>
      </c>
      <c r="AR60" s="34">
        <v>0</v>
      </c>
      <c r="AS60" s="265">
        <f t="shared" si="10"/>
        <v>0</v>
      </c>
      <c r="AT60" s="265">
        <f t="shared" si="47"/>
        <v>0</v>
      </c>
      <c r="AU60" s="265">
        <f t="shared" si="11"/>
        <v>0</v>
      </c>
    </row>
    <row r="61" spans="1:47" x14ac:dyDescent="0.2">
      <c r="A61" s="408"/>
      <c r="B61" s="133"/>
      <c r="C61" s="99"/>
      <c r="D61" s="76"/>
      <c r="E61" s="133"/>
      <c r="F61" s="9"/>
      <c r="G61" s="76"/>
      <c r="H61" s="89"/>
      <c r="I61" s="9"/>
      <c r="J61" s="76"/>
      <c r="K61" s="133"/>
      <c r="L61" s="9"/>
      <c r="M61" s="76"/>
      <c r="N61" s="89"/>
      <c r="O61" s="9"/>
      <c r="P61" s="49"/>
      <c r="Q61" s="46"/>
      <c r="R61" s="9"/>
      <c r="S61" s="61"/>
      <c r="T61" s="46"/>
      <c r="U61" s="9"/>
      <c r="V61" s="46"/>
      <c r="W61" s="394"/>
      <c r="X61" s="9"/>
      <c r="Y61" s="49"/>
      <c r="Z61" s="350"/>
      <c r="AA61" s="9"/>
      <c r="AB61" s="49"/>
      <c r="AC61" s="46"/>
      <c r="AD61" s="9"/>
      <c r="AE61" s="46"/>
      <c r="AF61" s="350"/>
      <c r="AG61" s="9"/>
      <c r="AH61" s="49"/>
      <c r="AI61" s="46"/>
      <c r="AJ61" s="9"/>
      <c r="AK61" s="61"/>
      <c r="AL61" s="46"/>
      <c r="AM61" s="9"/>
      <c r="AN61" s="61"/>
      <c r="AS61" s="265">
        <f t="shared" si="10"/>
        <v>0</v>
      </c>
      <c r="AT61" s="265">
        <f t="shared" si="47"/>
        <v>0</v>
      </c>
      <c r="AU61" s="265">
        <f t="shared" si="11"/>
        <v>0</v>
      </c>
    </row>
    <row r="62" spans="1:47" x14ac:dyDescent="0.2">
      <c r="A62" s="407" t="s">
        <v>2499</v>
      </c>
      <c r="B62" s="133"/>
      <c r="C62" s="99"/>
      <c r="D62" s="218"/>
      <c r="E62" s="394"/>
      <c r="F62" s="97"/>
      <c r="G62" s="218"/>
      <c r="H62" s="89"/>
      <c r="I62" s="9"/>
      <c r="J62" s="76"/>
      <c r="K62" s="133"/>
      <c r="L62" s="9"/>
      <c r="M62" s="76"/>
      <c r="N62" s="89"/>
      <c r="O62" s="9"/>
      <c r="P62" s="49"/>
      <c r="Q62" s="46"/>
      <c r="R62" s="9"/>
      <c r="S62" s="61"/>
      <c r="T62" s="46"/>
      <c r="U62" s="9"/>
      <c r="V62" s="46"/>
      <c r="W62" s="394"/>
      <c r="X62" s="9"/>
      <c r="Y62" s="49"/>
      <c r="Z62" s="350"/>
      <c r="AA62" s="9"/>
      <c r="AB62" s="49"/>
      <c r="AC62" s="46"/>
      <c r="AD62" s="9"/>
      <c r="AE62" s="46"/>
      <c r="AF62" s="350"/>
      <c r="AG62" s="9"/>
      <c r="AH62" s="49"/>
      <c r="AI62" s="46"/>
      <c r="AJ62" s="9"/>
      <c r="AK62" s="61"/>
      <c r="AL62" s="46"/>
      <c r="AM62" s="9"/>
      <c r="AN62" s="61"/>
      <c r="AS62" s="265">
        <f t="shared" si="10"/>
        <v>0</v>
      </c>
      <c r="AT62" s="265">
        <f t="shared" si="47"/>
        <v>0</v>
      </c>
      <c r="AU62" s="265">
        <f t="shared" si="11"/>
        <v>0</v>
      </c>
    </row>
    <row r="63" spans="1:47" x14ac:dyDescent="0.2">
      <c r="A63" s="1310" t="s">
        <v>455</v>
      </c>
      <c r="B63" s="133"/>
      <c r="C63" s="129"/>
      <c r="D63" s="218"/>
      <c r="E63" s="394"/>
      <c r="F63" s="99"/>
      <c r="G63" s="218"/>
      <c r="H63" s="99"/>
      <c r="I63" s="46"/>
      <c r="J63" s="76"/>
      <c r="K63" s="133"/>
      <c r="L63" s="46"/>
      <c r="M63" s="76"/>
      <c r="N63" s="99"/>
      <c r="O63" s="9"/>
      <c r="P63" s="49"/>
      <c r="Q63" s="46"/>
      <c r="R63" s="9"/>
      <c r="S63" s="61"/>
      <c r="T63" s="46"/>
      <c r="U63" s="9"/>
      <c r="V63" s="46"/>
      <c r="W63" s="394"/>
      <c r="X63" s="9"/>
      <c r="Y63" s="49"/>
      <c r="Z63" s="350"/>
      <c r="AA63" s="9"/>
      <c r="AB63" s="49"/>
      <c r="AC63" s="46"/>
      <c r="AD63" s="9"/>
      <c r="AE63" s="46"/>
      <c r="AF63" s="350"/>
      <c r="AG63" s="9"/>
      <c r="AH63" s="49"/>
      <c r="AI63" s="46"/>
      <c r="AJ63" s="9"/>
      <c r="AK63" s="61"/>
      <c r="AL63" s="46"/>
      <c r="AM63" s="9"/>
      <c r="AN63" s="61"/>
      <c r="AS63" s="265">
        <f t="shared" si="10"/>
        <v>0</v>
      </c>
      <c r="AT63" s="265">
        <f t="shared" si="47"/>
        <v>0</v>
      </c>
      <c r="AU63" s="265">
        <f t="shared" si="11"/>
        <v>0</v>
      </c>
    </row>
    <row r="64" spans="1:47" x14ac:dyDescent="0.2">
      <c r="A64" s="408" t="s">
        <v>1317</v>
      </c>
      <c r="B64" s="394">
        <f>GM!D858</f>
        <v>41000</v>
      </c>
      <c r="C64" s="46"/>
      <c r="D64" s="76">
        <f t="shared" ref="D64:D91" si="59">B64-C64</f>
        <v>41000</v>
      </c>
      <c r="E64" s="133">
        <v>25500</v>
      </c>
      <c r="F64" s="89"/>
      <c r="G64" s="76">
        <f>E64-F64</f>
        <v>25500</v>
      </c>
      <c r="H64" s="99">
        <f>GM!H858</f>
        <v>16000</v>
      </c>
      <c r="I64" s="46"/>
      <c r="J64" s="76">
        <f t="shared" ref="J64:J93" si="60">H64-I64</f>
        <v>16000</v>
      </c>
      <c r="K64" s="133">
        <f>GM!J858</f>
        <v>0</v>
      </c>
      <c r="L64" s="46"/>
      <c r="M64" s="76">
        <f>K64-L64</f>
        <v>0</v>
      </c>
      <c r="N64" s="99">
        <f>GM!K858</f>
        <v>2000</v>
      </c>
      <c r="O64" s="9"/>
      <c r="P64" s="49">
        <f>N64-O64</f>
        <v>2000</v>
      </c>
      <c r="Q64" s="99">
        <f>GM!L858</f>
        <v>6000</v>
      </c>
      <c r="R64" s="9"/>
      <c r="S64" s="61">
        <f>Q64-R64</f>
        <v>6000</v>
      </c>
      <c r="T64" s="99">
        <f>GM!M858</f>
        <v>3000</v>
      </c>
      <c r="U64" s="9"/>
      <c r="V64" s="46">
        <f>T64-U64</f>
        <v>3000</v>
      </c>
      <c r="W64" s="394">
        <f>GM!N858</f>
        <v>3000</v>
      </c>
      <c r="X64" s="9"/>
      <c r="Y64" s="49">
        <f>W64-X64</f>
        <v>3000</v>
      </c>
      <c r="Z64" s="394">
        <f>GM!O858</f>
        <v>3000</v>
      </c>
      <c r="AA64" s="9"/>
      <c r="AB64" s="49">
        <f>Z64-AA64</f>
        <v>3000</v>
      </c>
      <c r="AC64" s="99">
        <f>GM!P858</f>
        <v>3000</v>
      </c>
      <c r="AD64" s="9"/>
      <c r="AE64" s="46">
        <f>AC64-AD64</f>
        <v>3000</v>
      </c>
      <c r="AF64" s="394">
        <f>GM!Q858</f>
        <v>5000</v>
      </c>
      <c r="AG64" s="9"/>
      <c r="AH64" s="49">
        <f>AF64-AG64</f>
        <v>5000</v>
      </c>
      <c r="AI64" s="99">
        <f>GM!R858</f>
        <v>6000</v>
      </c>
      <c r="AJ64" s="9"/>
      <c r="AK64" s="61">
        <f>AI64-AJ64</f>
        <v>6000</v>
      </c>
      <c r="AL64" s="99">
        <f>GM!S858</f>
        <v>6000</v>
      </c>
      <c r="AM64" s="9"/>
      <c r="AN64" s="61">
        <f>AL64-AM64</f>
        <v>6000</v>
      </c>
      <c r="AP64" s="34">
        <v>12000</v>
      </c>
      <c r="AR64" s="34">
        <v>12000</v>
      </c>
      <c r="AS64" s="265">
        <f t="shared" si="10"/>
        <v>-6000</v>
      </c>
      <c r="AT64" s="265">
        <f t="shared" si="47"/>
        <v>0</v>
      </c>
      <c r="AU64" s="265">
        <f t="shared" si="11"/>
        <v>-6000</v>
      </c>
    </row>
    <row r="65" spans="1:51" x14ac:dyDescent="0.2">
      <c r="A65" s="408" t="s">
        <v>334</v>
      </c>
      <c r="B65" s="394">
        <v>703800</v>
      </c>
      <c r="C65" s="97">
        <v>77300</v>
      </c>
      <c r="D65" s="76">
        <f t="shared" si="59"/>
        <v>626500</v>
      </c>
      <c r="E65" s="394">
        <v>702500</v>
      </c>
      <c r="F65" s="97">
        <v>68100</v>
      </c>
      <c r="G65" s="76">
        <f t="shared" ref="G65:G93" si="61">E65-F65</f>
        <v>634400</v>
      </c>
      <c r="H65" s="99">
        <f>(GM!H832)</f>
        <v>702500</v>
      </c>
      <c r="I65" s="97">
        <f>SUM(GM!H900:H904)+4200</f>
        <v>74100</v>
      </c>
      <c r="J65" s="76">
        <f t="shared" si="60"/>
        <v>628400</v>
      </c>
      <c r="K65" s="133">
        <f>(GM!J832)</f>
        <v>716000</v>
      </c>
      <c r="L65" s="97">
        <f>SUM(GM!J900:J904)</f>
        <v>71800</v>
      </c>
      <c r="M65" s="76">
        <f t="shared" ref="M65:M91" si="62">K65-L65</f>
        <v>644200</v>
      </c>
      <c r="N65" s="99">
        <f>(GM!K832)</f>
        <v>730300</v>
      </c>
      <c r="O65" s="97">
        <f>SUM(GM!K900:K904)</f>
        <v>73800</v>
      </c>
      <c r="P65" s="49">
        <f t="shared" ref="P65:P91" si="63">N65-O65</f>
        <v>656500</v>
      </c>
      <c r="Q65" s="129">
        <f>(GM!L832)</f>
        <v>744900</v>
      </c>
      <c r="R65" s="97">
        <f>SUM(GM!L900:L904)</f>
        <v>75900</v>
      </c>
      <c r="S65" s="61">
        <f t="shared" ref="S65:S91" si="64">Q65-R65</f>
        <v>669000</v>
      </c>
      <c r="T65" s="129">
        <f>(GM!M832)</f>
        <v>759800</v>
      </c>
      <c r="U65" s="97">
        <f>SUM(GM!M900:M904)</f>
        <v>78000</v>
      </c>
      <c r="V65" s="46">
        <f t="shared" ref="V65:V91" si="65">T65-U65</f>
        <v>681800</v>
      </c>
      <c r="W65" s="913">
        <f>(GM!N832)</f>
        <v>775000</v>
      </c>
      <c r="X65" s="97">
        <f>SUM(GM!N900:N904)</f>
        <v>80100</v>
      </c>
      <c r="Y65" s="49">
        <f t="shared" ref="Y65:Y91" si="66">W65-X65</f>
        <v>694900</v>
      </c>
      <c r="Z65" s="913">
        <f>(GM!O832)</f>
        <v>790500</v>
      </c>
      <c r="AA65" s="97">
        <f>SUM(GM!O900:O904)</f>
        <v>82300</v>
      </c>
      <c r="AB65" s="49">
        <f t="shared" ref="AB65:AB91" si="67">Z65-AA65</f>
        <v>708200</v>
      </c>
      <c r="AC65" s="129">
        <f>(GM!P832)</f>
        <v>806300</v>
      </c>
      <c r="AD65" s="97">
        <f>SUM(GM!P900:P904)</f>
        <v>84500</v>
      </c>
      <c r="AE65" s="46">
        <f t="shared" ref="AE65:AE67" si="68">AC65-AD65</f>
        <v>721800</v>
      </c>
      <c r="AF65" s="913">
        <f>(GM!Q832)</f>
        <v>822400</v>
      </c>
      <c r="AG65" s="97">
        <f>SUM(GM!Q900:Q904)</f>
        <v>86900</v>
      </c>
      <c r="AH65" s="49">
        <f t="shared" ref="AH65:AH67" si="69">AF65-AG65</f>
        <v>735500</v>
      </c>
      <c r="AI65" s="129">
        <f>(GM!R832)</f>
        <v>838800</v>
      </c>
      <c r="AJ65" s="97">
        <f>SUM(GM!R900:R904)</f>
        <v>89300</v>
      </c>
      <c r="AK65" s="61">
        <f t="shared" ref="AK65:AK67" si="70">AI65-AJ65</f>
        <v>749500</v>
      </c>
      <c r="AL65" s="129">
        <f>(GM!S832)</f>
        <v>855600</v>
      </c>
      <c r="AM65" s="97">
        <f>SUM(GM!S900:S904)</f>
        <v>91800</v>
      </c>
      <c r="AN65" s="61">
        <f t="shared" ref="AN65:AN67" si="71">AL65-AM65</f>
        <v>763800</v>
      </c>
      <c r="AO65" s="265"/>
      <c r="AP65" s="265">
        <v>839500</v>
      </c>
      <c r="AQ65" s="265">
        <v>94200</v>
      </c>
      <c r="AR65" s="265">
        <v>745300</v>
      </c>
      <c r="AS65" s="265">
        <f t="shared" si="10"/>
        <v>-700</v>
      </c>
      <c r="AT65" s="265">
        <f t="shared" si="47"/>
        <v>-4900</v>
      </c>
      <c r="AU65" s="265">
        <f t="shared" si="11"/>
        <v>4200</v>
      </c>
      <c r="AV65" s="265"/>
      <c r="AW65" s="265"/>
      <c r="AX65" s="265"/>
      <c r="AY65" s="265"/>
    </row>
    <row r="66" spans="1:51" x14ac:dyDescent="0.2">
      <c r="A66" s="408" t="s">
        <v>1914</v>
      </c>
      <c r="B66" s="394">
        <v>129500</v>
      </c>
      <c r="C66" s="99">
        <v>3000</v>
      </c>
      <c r="D66" s="76">
        <f t="shared" si="59"/>
        <v>126500</v>
      </c>
      <c r="E66" s="394">
        <v>124500</v>
      </c>
      <c r="F66" s="97"/>
      <c r="G66" s="76">
        <f t="shared" si="61"/>
        <v>124500</v>
      </c>
      <c r="H66" s="99">
        <f>ROUND((GM!H836)/2,-2)</f>
        <v>127200</v>
      </c>
      <c r="I66" s="97">
        <f>ROUND(GM!H905/2,-2)</f>
        <v>2400</v>
      </c>
      <c r="J66" s="76">
        <f t="shared" si="60"/>
        <v>124800</v>
      </c>
      <c r="K66" s="133">
        <f>ROUND((GM!J836)/2,-2)</f>
        <v>129500</v>
      </c>
      <c r="L66" s="97">
        <f>ROUND(GM!J905/2,-2)</f>
        <v>2500</v>
      </c>
      <c r="M66" s="76">
        <f t="shared" si="62"/>
        <v>127000</v>
      </c>
      <c r="N66" s="99">
        <f>ROUND((GM!K836)/2,-2)</f>
        <v>132100</v>
      </c>
      <c r="O66" s="97">
        <f>ROUND(GM!K905/2,-2)</f>
        <v>2600</v>
      </c>
      <c r="P66" s="49">
        <f t="shared" si="63"/>
        <v>129500</v>
      </c>
      <c r="Q66" s="129">
        <f>ROUND((GM!L836)/2,-2)</f>
        <v>134800</v>
      </c>
      <c r="R66" s="97">
        <f>ROUND(GM!L905/2,-2)</f>
        <v>2700</v>
      </c>
      <c r="S66" s="61">
        <f t="shared" si="64"/>
        <v>132100</v>
      </c>
      <c r="T66" s="129">
        <f>ROUND((GM!M836)/2,-2)</f>
        <v>137500</v>
      </c>
      <c r="U66" s="97">
        <f>ROUND(GM!M905/2,-2)</f>
        <v>2800</v>
      </c>
      <c r="V66" s="46">
        <f t="shared" si="65"/>
        <v>134700</v>
      </c>
      <c r="W66" s="913">
        <f>ROUND((GM!N836)/2,-2)</f>
        <v>140200</v>
      </c>
      <c r="X66" s="97">
        <f>ROUND(GM!N905/2,-2)</f>
        <v>2900</v>
      </c>
      <c r="Y66" s="49">
        <f t="shared" si="66"/>
        <v>137300</v>
      </c>
      <c r="Z66" s="913">
        <f>ROUND((GM!O836)/2,-2)</f>
        <v>143000</v>
      </c>
      <c r="AA66" s="97">
        <f>ROUND(GM!O905/2,-2)</f>
        <v>3000</v>
      </c>
      <c r="AB66" s="49">
        <f t="shared" si="67"/>
        <v>140000</v>
      </c>
      <c r="AC66" s="129">
        <f>ROUND((GM!P836)/2,-2)</f>
        <v>145900</v>
      </c>
      <c r="AD66" s="97">
        <f>ROUND(GM!P905/2,-2)</f>
        <v>3100</v>
      </c>
      <c r="AE66" s="46">
        <f t="shared" si="68"/>
        <v>142800</v>
      </c>
      <c r="AF66" s="913">
        <f>ROUND((GM!Q836)/2,-2)</f>
        <v>148800</v>
      </c>
      <c r="AG66" s="97">
        <f>ROUND(GM!Q905/2,-2)</f>
        <v>3200</v>
      </c>
      <c r="AH66" s="49">
        <f t="shared" si="69"/>
        <v>145600</v>
      </c>
      <c r="AI66" s="129">
        <f>ROUND((GM!R836)/2,-2)</f>
        <v>151800</v>
      </c>
      <c r="AJ66" s="97">
        <f>ROUND(GM!R905/2,-2)</f>
        <v>3300</v>
      </c>
      <c r="AK66" s="61">
        <f t="shared" si="70"/>
        <v>148500</v>
      </c>
      <c r="AL66" s="129">
        <f>ROUND((GM!S836)/2,-2)</f>
        <v>154800</v>
      </c>
      <c r="AM66" s="97">
        <f>ROUND(GM!S905/2,-2)</f>
        <v>3400</v>
      </c>
      <c r="AN66" s="61">
        <f t="shared" si="71"/>
        <v>151400</v>
      </c>
      <c r="AO66" s="265"/>
      <c r="AP66" s="265">
        <v>152000</v>
      </c>
      <c r="AQ66" s="265">
        <v>5900</v>
      </c>
      <c r="AR66" s="265">
        <v>146100</v>
      </c>
      <c r="AS66" s="265">
        <f t="shared" si="10"/>
        <v>-200</v>
      </c>
      <c r="AT66" s="265">
        <f t="shared" si="47"/>
        <v>-2600</v>
      </c>
      <c r="AU66" s="265">
        <f t="shared" si="11"/>
        <v>2400</v>
      </c>
      <c r="AV66" s="265"/>
      <c r="AW66" s="265"/>
      <c r="AX66" s="265"/>
      <c r="AY66" s="265"/>
    </row>
    <row r="67" spans="1:51" x14ac:dyDescent="0.2">
      <c r="A67" s="633" t="s">
        <v>5846</v>
      </c>
      <c r="B67" s="133">
        <f>GM!D831+GM!D834</f>
        <v>67000</v>
      </c>
      <c r="C67" s="99">
        <f>SUM(GM!D906:D908)</f>
        <v>21700</v>
      </c>
      <c r="D67" s="76">
        <f t="shared" si="59"/>
        <v>45300</v>
      </c>
      <c r="E67" s="133">
        <v>66100</v>
      </c>
      <c r="F67" s="97">
        <v>14000</v>
      </c>
      <c r="G67" s="76">
        <f t="shared" si="61"/>
        <v>52100</v>
      </c>
      <c r="H67" s="133">
        <f>GM!H831+GM!H834</f>
        <v>67100</v>
      </c>
      <c r="I67" s="97">
        <f>SUM(GM!H906:H908)+500</f>
        <v>28400</v>
      </c>
      <c r="J67" s="76">
        <f t="shared" si="60"/>
        <v>38700</v>
      </c>
      <c r="K67" s="133">
        <f>GM!J831+GM!J834</f>
        <v>68000</v>
      </c>
      <c r="L67" s="97">
        <f>SUM(GM!J906:J908)</f>
        <v>28700</v>
      </c>
      <c r="M67" s="76">
        <f t="shared" si="62"/>
        <v>39300</v>
      </c>
      <c r="N67" s="99">
        <f>GM!K831+GM!K834</f>
        <v>69400</v>
      </c>
      <c r="O67" s="97">
        <f>SUM(GM!K906:K908)</f>
        <v>29600</v>
      </c>
      <c r="P67" s="49">
        <f t="shared" si="63"/>
        <v>39800</v>
      </c>
      <c r="Q67" s="99">
        <f>GM!L831+GM!L834</f>
        <v>70800</v>
      </c>
      <c r="R67" s="97">
        <f>SUM(GM!L906:L908)</f>
        <v>30500</v>
      </c>
      <c r="S67" s="61">
        <f t="shared" si="64"/>
        <v>40300</v>
      </c>
      <c r="T67" s="99">
        <f>GM!M831+GM!M834</f>
        <v>72200</v>
      </c>
      <c r="U67" s="97">
        <f>SUM(GM!M906:M908)</f>
        <v>31400</v>
      </c>
      <c r="V67" s="46">
        <f t="shared" si="65"/>
        <v>40800</v>
      </c>
      <c r="W67" s="394">
        <f>GM!N831+GM!N834</f>
        <v>73600</v>
      </c>
      <c r="X67" s="97">
        <f>SUM(GM!N906:N908)</f>
        <v>32300</v>
      </c>
      <c r="Y67" s="49">
        <f t="shared" si="66"/>
        <v>41300</v>
      </c>
      <c r="Z67" s="394">
        <f>GM!O831+GM!O834</f>
        <v>75000</v>
      </c>
      <c r="AA67" s="97">
        <f>SUM(GM!O906:O908)</f>
        <v>33200</v>
      </c>
      <c r="AB67" s="49">
        <f t="shared" si="67"/>
        <v>41800</v>
      </c>
      <c r="AC67" s="99">
        <f>GM!P831+GM!P834</f>
        <v>76500</v>
      </c>
      <c r="AD67" s="97">
        <f>SUM(GM!P906:P908)</f>
        <v>34100</v>
      </c>
      <c r="AE67" s="46">
        <f t="shared" si="68"/>
        <v>42400</v>
      </c>
      <c r="AF67" s="394">
        <f>GM!Q831+GM!Q834</f>
        <v>78000</v>
      </c>
      <c r="AG67" s="97">
        <f>SUM(GM!Q906:Q908)</f>
        <v>35200</v>
      </c>
      <c r="AH67" s="49">
        <f t="shared" si="69"/>
        <v>42800</v>
      </c>
      <c r="AI67" s="99">
        <f>GM!R831+GM!R834</f>
        <v>79500</v>
      </c>
      <c r="AJ67" s="97">
        <f>SUM(GM!R906:R908)</f>
        <v>36300</v>
      </c>
      <c r="AK67" s="61">
        <f t="shared" si="70"/>
        <v>43200</v>
      </c>
      <c r="AL67" s="99">
        <f>GM!S831+GM!S834</f>
        <v>81000</v>
      </c>
      <c r="AM67" s="97">
        <f>SUM(GM!S906:S908)</f>
        <v>37400</v>
      </c>
      <c r="AN67" s="61">
        <f t="shared" si="71"/>
        <v>43600</v>
      </c>
      <c r="AO67" s="265"/>
      <c r="AP67" s="265">
        <v>80100</v>
      </c>
      <c r="AQ67" s="265">
        <v>30600</v>
      </c>
      <c r="AR67" s="265">
        <v>49500</v>
      </c>
      <c r="AS67" s="265">
        <f t="shared" si="10"/>
        <v>-600</v>
      </c>
      <c r="AT67" s="265">
        <f t="shared" si="47"/>
        <v>5700</v>
      </c>
      <c r="AU67" s="265">
        <f t="shared" si="11"/>
        <v>-6300</v>
      </c>
      <c r="AV67" s="265"/>
      <c r="AW67" s="265"/>
      <c r="AX67" s="265"/>
      <c r="AY67" s="265"/>
    </row>
    <row r="68" spans="1:51" x14ac:dyDescent="0.2">
      <c r="A68" s="633" t="s">
        <v>5835</v>
      </c>
      <c r="B68" s="394">
        <v>455000</v>
      </c>
      <c r="C68" s="99"/>
      <c r="D68" s="76">
        <f t="shared" si="59"/>
        <v>455000</v>
      </c>
      <c r="E68" s="394"/>
      <c r="F68" s="97"/>
      <c r="G68" s="76"/>
      <c r="H68" s="99"/>
      <c r="I68" s="97"/>
      <c r="J68" s="76"/>
      <c r="K68" s="394"/>
      <c r="L68" s="97"/>
      <c r="M68" s="76"/>
      <c r="N68" s="99"/>
      <c r="O68" s="97"/>
      <c r="P68" s="49"/>
      <c r="Q68" s="99"/>
      <c r="R68" s="97"/>
      <c r="S68" s="61"/>
      <c r="T68" s="99"/>
      <c r="U68" s="97"/>
      <c r="V68" s="46"/>
      <c r="W68" s="394"/>
      <c r="X68" s="97"/>
      <c r="Y68" s="49"/>
      <c r="Z68" s="394"/>
      <c r="AA68" s="97"/>
      <c r="AB68" s="49"/>
      <c r="AC68" s="99"/>
      <c r="AD68" s="97"/>
      <c r="AE68" s="46"/>
      <c r="AF68" s="394"/>
      <c r="AG68" s="97"/>
      <c r="AH68" s="49"/>
      <c r="AI68" s="99"/>
      <c r="AJ68" s="97"/>
      <c r="AK68" s="61"/>
      <c r="AL68" s="99"/>
      <c r="AM68" s="97"/>
      <c r="AN68" s="61"/>
      <c r="AO68" s="265"/>
      <c r="AP68" s="265"/>
      <c r="AQ68" s="265"/>
      <c r="AR68" s="265"/>
      <c r="AS68" s="265">
        <f t="shared" si="10"/>
        <v>0</v>
      </c>
      <c r="AT68" s="265">
        <f t="shared" si="47"/>
        <v>0</v>
      </c>
      <c r="AU68" s="265">
        <f t="shared" si="11"/>
        <v>0</v>
      </c>
      <c r="AV68" s="265"/>
      <c r="AW68" s="265"/>
      <c r="AX68" s="265"/>
      <c r="AY68" s="265"/>
    </row>
    <row r="69" spans="1:51" x14ac:dyDescent="0.2">
      <c r="A69" s="633" t="s">
        <v>5913</v>
      </c>
      <c r="B69" s="99"/>
      <c r="C69" s="99"/>
      <c r="D69" s="76"/>
      <c r="E69" s="394"/>
      <c r="F69" s="97">
        <v>169000</v>
      </c>
      <c r="G69" s="76">
        <f t="shared" si="61"/>
        <v>-169000</v>
      </c>
      <c r="H69" s="99"/>
      <c r="I69" s="97">
        <v>0</v>
      </c>
      <c r="J69" s="76">
        <f t="shared" si="60"/>
        <v>0</v>
      </c>
      <c r="K69" s="394"/>
      <c r="L69" s="97"/>
      <c r="M69" s="76"/>
      <c r="N69" s="99"/>
      <c r="O69" s="97"/>
      <c r="P69" s="49"/>
      <c r="Q69" s="99"/>
      <c r="R69" s="97"/>
      <c r="S69" s="61"/>
      <c r="T69" s="99"/>
      <c r="U69" s="97"/>
      <c r="V69" s="46"/>
      <c r="W69" s="394"/>
      <c r="X69" s="97"/>
      <c r="Y69" s="49"/>
      <c r="Z69" s="394"/>
      <c r="AA69" s="97"/>
      <c r="AB69" s="49"/>
      <c r="AC69" s="99"/>
      <c r="AD69" s="97"/>
      <c r="AE69" s="46"/>
      <c r="AF69" s="394"/>
      <c r="AG69" s="97"/>
      <c r="AH69" s="49"/>
      <c r="AI69" s="99"/>
      <c r="AJ69" s="97"/>
      <c r="AK69" s="61"/>
      <c r="AL69" s="99"/>
      <c r="AM69" s="97"/>
      <c r="AN69" s="61"/>
      <c r="AO69" s="265"/>
      <c r="AP69" s="265"/>
      <c r="AQ69" s="265"/>
      <c r="AR69" s="265"/>
      <c r="AS69" s="265">
        <f t="shared" si="10"/>
        <v>0</v>
      </c>
      <c r="AT69" s="265">
        <f t="shared" si="47"/>
        <v>0</v>
      </c>
      <c r="AU69" s="265">
        <f t="shared" si="11"/>
        <v>0</v>
      </c>
      <c r="AV69" s="265"/>
      <c r="AW69" s="265"/>
      <c r="AX69" s="265"/>
      <c r="AY69" s="265"/>
    </row>
    <row r="70" spans="1:51" x14ac:dyDescent="0.2">
      <c r="A70" s="633" t="s">
        <v>3847</v>
      </c>
      <c r="B70" s="89"/>
      <c r="C70" s="129">
        <v>119800</v>
      </c>
      <c r="D70" s="76">
        <f>B70-C70</f>
        <v>-119800</v>
      </c>
      <c r="E70" s="133"/>
      <c r="F70" s="89"/>
      <c r="G70" s="76"/>
      <c r="H70" s="89"/>
      <c r="J70" s="76">
        <f t="shared" si="60"/>
        <v>0</v>
      </c>
      <c r="K70" s="133"/>
      <c r="L70" s="129"/>
      <c r="M70" s="76"/>
      <c r="N70" s="89"/>
      <c r="O70" s="97"/>
      <c r="P70" s="49"/>
      <c r="Q70" s="46"/>
      <c r="R70" s="97"/>
      <c r="S70" s="61"/>
      <c r="T70" s="46"/>
      <c r="U70" s="97"/>
      <c r="V70" s="46"/>
      <c r="W70" s="350"/>
      <c r="X70" s="97"/>
      <c r="Y70" s="49"/>
      <c r="Z70" s="350"/>
      <c r="AA70" s="97"/>
      <c r="AB70" s="49"/>
      <c r="AC70" s="46"/>
      <c r="AD70" s="97"/>
      <c r="AE70" s="46"/>
      <c r="AF70" s="350"/>
      <c r="AG70" s="97"/>
      <c r="AH70" s="49"/>
      <c r="AI70" s="46"/>
      <c r="AJ70" s="97"/>
      <c r="AK70" s="61"/>
      <c r="AL70" s="46"/>
      <c r="AM70" s="97"/>
      <c r="AN70" s="61"/>
      <c r="AS70" s="265">
        <f>+AI70-AP70</f>
        <v>0</v>
      </c>
      <c r="AT70" s="265">
        <f t="shared" si="47"/>
        <v>0</v>
      </c>
      <c r="AU70" s="265">
        <f>+AK70-AR70</f>
        <v>0</v>
      </c>
    </row>
    <row r="71" spans="1:51" x14ac:dyDescent="0.2">
      <c r="A71" s="633" t="s">
        <v>6538</v>
      </c>
      <c r="B71" s="89"/>
      <c r="C71" s="129"/>
      <c r="D71" s="76"/>
      <c r="E71" s="133"/>
      <c r="F71" s="89"/>
      <c r="G71" s="76">
        <f t="shared" si="61"/>
        <v>0</v>
      </c>
      <c r="H71" s="89"/>
      <c r="I71" s="129"/>
      <c r="J71" s="76"/>
      <c r="K71" s="133"/>
      <c r="L71" s="129"/>
      <c r="M71" s="76"/>
      <c r="N71" s="89"/>
      <c r="O71" s="97"/>
      <c r="P71" s="49"/>
      <c r="Q71" s="46"/>
      <c r="R71" s="97"/>
      <c r="S71" s="61"/>
      <c r="T71" s="46"/>
      <c r="U71" s="97"/>
      <c r="V71" s="46"/>
      <c r="W71" s="350"/>
      <c r="X71" s="97"/>
      <c r="Y71" s="49"/>
      <c r="Z71" s="350"/>
      <c r="AA71" s="97"/>
      <c r="AB71" s="49"/>
      <c r="AC71" s="46"/>
      <c r="AD71" s="97"/>
      <c r="AE71" s="46"/>
      <c r="AF71" s="350"/>
      <c r="AG71" s="97"/>
      <c r="AH71" s="49"/>
      <c r="AI71" s="46"/>
      <c r="AJ71" s="97"/>
      <c r="AK71" s="61"/>
      <c r="AL71" s="46"/>
      <c r="AM71" s="97"/>
      <c r="AN71" s="61"/>
      <c r="AS71" s="265">
        <f t="shared" si="10"/>
        <v>0</v>
      </c>
      <c r="AT71" s="265">
        <f t="shared" si="47"/>
        <v>0</v>
      </c>
      <c r="AU71" s="265">
        <f t="shared" si="11"/>
        <v>0</v>
      </c>
    </row>
    <row r="72" spans="1:51" x14ac:dyDescent="0.2">
      <c r="A72" s="633" t="s">
        <v>5492</v>
      </c>
      <c r="B72" s="99"/>
      <c r="C72" s="46">
        <f>850000</f>
        <v>850000</v>
      </c>
      <c r="D72" s="76">
        <f t="shared" ref="D72" si="72">B72-C72</f>
        <v>-850000</v>
      </c>
      <c r="E72" s="133"/>
      <c r="F72" s="89"/>
      <c r="G72" s="76"/>
      <c r="H72" s="99"/>
      <c r="I72" s="46"/>
      <c r="J72" s="76"/>
      <c r="K72" s="394"/>
      <c r="L72" s="46"/>
      <c r="M72" s="76"/>
      <c r="N72" s="99"/>
      <c r="O72" s="9"/>
      <c r="P72" s="49"/>
      <c r="Q72" s="129"/>
      <c r="R72" s="9"/>
      <c r="S72" s="61"/>
      <c r="T72" s="129"/>
      <c r="U72" s="9"/>
      <c r="V72" s="46"/>
      <c r="W72" s="913"/>
      <c r="X72" s="9"/>
      <c r="Y72" s="49"/>
      <c r="Z72" s="913"/>
      <c r="AA72" s="9"/>
      <c r="AB72" s="49"/>
      <c r="AC72" s="129"/>
      <c r="AD72" s="9"/>
      <c r="AE72" s="46"/>
      <c r="AF72" s="913"/>
      <c r="AG72" s="9"/>
      <c r="AH72" s="49"/>
      <c r="AI72" s="129"/>
      <c r="AJ72" s="9"/>
      <c r="AK72" s="61"/>
      <c r="AL72" s="129"/>
      <c r="AM72" s="9"/>
      <c r="AN72" s="61"/>
      <c r="AS72" s="265">
        <f t="shared" si="10"/>
        <v>0</v>
      </c>
      <c r="AT72" s="265">
        <f t="shared" si="47"/>
        <v>0</v>
      </c>
      <c r="AU72" s="265">
        <f t="shared" si="11"/>
        <v>0</v>
      </c>
    </row>
    <row r="73" spans="1:51" x14ac:dyDescent="0.2">
      <c r="A73" s="633" t="s">
        <v>3567</v>
      </c>
      <c r="B73" s="89"/>
      <c r="C73" s="97">
        <f>825500+39300-39300-625500</f>
        <v>200000</v>
      </c>
      <c r="D73" s="76">
        <f>B73-C73</f>
        <v>-200000</v>
      </c>
      <c r="E73" s="133"/>
      <c r="F73" s="9"/>
      <c r="G73" s="76"/>
      <c r="H73" s="89"/>
      <c r="I73" s="97"/>
      <c r="J73" s="76"/>
      <c r="K73" s="133"/>
      <c r="L73" s="97"/>
      <c r="M73" s="76"/>
      <c r="N73" s="89"/>
      <c r="O73" s="97"/>
      <c r="P73" s="49"/>
      <c r="Q73" s="46"/>
      <c r="R73" s="97"/>
      <c r="S73" s="61"/>
      <c r="T73" s="46"/>
      <c r="U73" s="97"/>
      <c r="V73" s="46"/>
      <c r="W73" s="350"/>
      <c r="X73" s="97"/>
      <c r="Y73" s="49"/>
      <c r="Z73" s="350"/>
      <c r="AA73" s="97"/>
      <c r="AB73" s="49"/>
      <c r="AC73" s="46"/>
      <c r="AD73" s="97"/>
      <c r="AE73" s="46"/>
      <c r="AF73" s="350"/>
      <c r="AG73" s="97"/>
      <c r="AH73" s="49"/>
      <c r="AI73" s="46"/>
      <c r="AJ73" s="97"/>
      <c r="AK73" s="61"/>
      <c r="AL73" s="46"/>
      <c r="AM73" s="97"/>
      <c r="AN73" s="61"/>
      <c r="AS73" s="265">
        <f t="shared" si="10"/>
        <v>0</v>
      </c>
      <c r="AT73" s="265">
        <f t="shared" si="47"/>
        <v>0</v>
      </c>
      <c r="AU73" s="265">
        <f t="shared" si="11"/>
        <v>0</v>
      </c>
    </row>
    <row r="74" spans="1:51" x14ac:dyDescent="0.2">
      <c r="A74" s="633" t="s">
        <v>3001</v>
      </c>
      <c r="B74" s="89"/>
      <c r="C74" s="97">
        <v>625500</v>
      </c>
      <c r="D74" s="76">
        <f>B74-C74</f>
        <v>-625500</v>
      </c>
      <c r="E74" s="133"/>
      <c r="F74" s="9"/>
      <c r="G74" s="76"/>
      <c r="H74" s="89"/>
      <c r="I74" s="97"/>
      <c r="J74" s="76"/>
      <c r="K74" s="133"/>
      <c r="L74" s="97"/>
      <c r="M74" s="76"/>
      <c r="N74" s="89"/>
      <c r="O74" s="97"/>
      <c r="P74" s="49"/>
      <c r="Q74" s="46"/>
      <c r="R74" s="97"/>
      <c r="S74" s="61"/>
      <c r="T74" s="46"/>
      <c r="U74" s="97"/>
      <c r="V74" s="46"/>
      <c r="W74" s="350"/>
      <c r="X74" s="97"/>
      <c r="Y74" s="49"/>
      <c r="Z74" s="350"/>
      <c r="AA74" s="97"/>
      <c r="AB74" s="49"/>
      <c r="AC74" s="46"/>
      <c r="AD74" s="97"/>
      <c r="AE74" s="46"/>
      <c r="AF74" s="350"/>
      <c r="AG74" s="97"/>
      <c r="AH74" s="49"/>
      <c r="AI74" s="46"/>
      <c r="AJ74" s="97"/>
      <c r="AK74" s="61"/>
      <c r="AL74" s="46"/>
      <c r="AM74" s="97"/>
      <c r="AN74" s="61"/>
      <c r="AS74" s="265">
        <f t="shared" si="10"/>
        <v>0</v>
      </c>
      <c r="AT74" s="265">
        <f t="shared" si="47"/>
        <v>0</v>
      </c>
      <c r="AU74" s="265">
        <f t="shared" si="11"/>
        <v>0</v>
      </c>
    </row>
    <row r="75" spans="1:51" x14ac:dyDescent="0.2">
      <c r="A75" s="633" t="s">
        <v>6692</v>
      </c>
      <c r="B75" s="89"/>
      <c r="C75" s="97"/>
      <c r="D75" s="76"/>
      <c r="E75" s="133"/>
      <c r="F75" s="9"/>
      <c r="G75" s="76"/>
      <c r="H75" s="89"/>
      <c r="I75" s="97">
        <v>1150000</v>
      </c>
      <c r="J75" s="76">
        <f>H75-I75</f>
        <v>-1150000</v>
      </c>
      <c r="K75" s="133"/>
      <c r="L75" s="97"/>
      <c r="M75" s="76"/>
      <c r="N75" s="89"/>
      <c r="O75" s="97"/>
      <c r="P75" s="49"/>
      <c r="Q75" s="46"/>
      <c r="R75" s="97"/>
      <c r="S75" s="61"/>
      <c r="T75" s="46"/>
      <c r="U75" s="97"/>
      <c r="V75" s="46"/>
      <c r="W75" s="350"/>
      <c r="X75" s="97"/>
      <c r="Y75" s="49"/>
      <c r="Z75" s="350"/>
      <c r="AA75" s="97"/>
      <c r="AB75" s="49"/>
      <c r="AC75" s="46"/>
      <c r="AD75" s="97"/>
      <c r="AE75" s="46"/>
      <c r="AF75" s="350"/>
      <c r="AG75" s="97"/>
      <c r="AH75" s="49"/>
      <c r="AI75" s="46"/>
      <c r="AJ75" s="97"/>
      <c r="AK75" s="61"/>
      <c r="AL75" s="46"/>
      <c r="AM75" s="97"/>
      <c r="AN75" s="61"/>
      <c r="AS75" s="265">
        <f t="shared" si="10"/>
        <v>0</v>
      </c>
      <c r="AT75" s="265">
        <f t="shared" si="47"/>
        <v>0</v>
      </c>
      <c r="AU75" s="265">
        <f t="shared" si="11"/>
        <v>0</v>
      </c>
    </row>
    <row r="76" spans="1:51" x14ac:dyDescent="0.2">
      <c r="A76" s="633" t="s">
        <v>6013</v>
      </c>
      <c r="B76" s="89"/>
      <c r="C76" s="129"/>
      <c r="D76" s="76"/>
      <c r="E76" s="133"/>
      <c r="F76" s="89">
        <v>30100</v>
      </c>
      <c r="G76" s="76">
        <f t="shared" si="61"/>
        <v>-30100</v>
      </c>
      <c r="H76" s="89"/>
      <c r="I76" s="129"/>
      <c r="J76" s="76"/>
      <c r="K76" s="133"/>
      <c r="L76" s="129"/>
      <c r="M76" s="76"/>
      <c r="N76" s="89"/>
      <c r="O76" s="97"/>
      <c r="P76" s="49"/>
      <c r="Q76" s="46"/>
      <c r="R76" s="97"/>
      <c r="S76" s="61"/>
      <c r="T76" s="46"/>
      <c r="U76" s="97"/>
      <c r="V76" s="46"/>
      <c r="W76" s="350"/>
      <c r="X76" s="97"/>
      <c r="Y76" s="49"/>
      <c r="Z76" s="350"/>
      <c r="AA76" s="97"/>
      <c r="AB76" s="49"/>
      <c r="AC76" s="46"/>
      <c r="AD76" s="97"/>
      <c r="AE76" s="46"/>
      <c r="AF76" s="350"/>
      <c r="AG76" s="97"/>
      <c r="AH76" s="49"/>
      <c r="AI76" s="46"/>
      <c r="AJ76" s="97"/>
      <c r="AK76" s="61"/>
      <c r="AL76" s="46"/>
      <c r="AM76" s="97"/>
      <c r="AN76" s="61"/>
      <c r="AS76" s="265">
        <f t="shared" ref="AS76:AS144" si="73">+AI76-AP76</f>
        <v>0</v>
      </c>
      <c r="AT76" s="265">
        <f t="shared" ref="AT76:AT144" si="74">+AJ76-AQ76</f>
        <v>0</v>
      </c>
      <c r="AU76" s="265">
        <f t="shared" ref="AU76:AU144" si="75">+AK76-AR76</f>
        <v>0</v>
      </c>
    </row>
    <row r="77" spans="1:51" x14ac:dyDescent="0.2">
      <c r="A77" s="633" t="s">
        <v>6400</v>
      </c>
      <c r="B77" s="89">
        <v>30000</v>
      </c>
      <c r="C77" s="129"/>
      <c r="D77" s="76">
        <f t="shared" si="59"/>
        <v>30000</v>
      </c>
      <c r="E77" s="133"/>
      <c r="F77" s="89">
        <v>30000</v>
      </c>
      <c r="G77" s="76">
        <f t="shared" si="61"/>
        <v>-30000</v>
      </c>
      <c r="H77" s="89"/>
      <c r="I77" s="129"/>
      <c r="J77" s="76"/>
      <c r="K77" s="133"/>
      <c r="L77" s="129"/>
      <c r="M77" s="76"/>
      <c r="N77" s="89"/>
      <c r="O77" s="97"/>
      <c r="P77" s="49"/>
      <c r="Q77" s="46"/>
      <c r="R77" s="97"/>
      <c r="S77" s="61"/>
      <c r="T77" s="46"/>
      <c r="U77" s="97"/>
      <c r="V77" s="46"/>
      <c r="W77" s="350"/>
      <c r="X77" s="97"/>
      <c r="Y77" s="49"/>
      <c r="Z77" s="350"/>
      <c r="AA77" s="97"/>
      <c r="AB77" s="49"/>
      <c r="AC77" s="46"/>
      <c r="AD77" s="97"/>
      <c r="AE77" s="46"/>
      <c r="AF77" s="350"/>
      <c r="AG77" s="97"/>
      <c r="AH77" s="49"/>
      <c r="AI77" s="46"/>
      <c r="AJ77" s="97"/>
      <c r="AK77" s="61"/>
      <c r="AL77" s="46"/>
      <c r="AM77" s="97"/>
      <c r="AN77" s="61"/>
      <c r="AS77" s="265">
        <f t="shared" si="73"/>
        <v>0</v>
      </c>
      <c r="AT77" s="265">
        <f t="shared" si="74"/>
        <v>0</v>
      </c>
      <c r="AU77" s="265">
        <f t="shared" si="75"/>
        <v>0</v>
      </c>
    </row>
    <row r="78" spans="1:51" x14ac:dyDescent="0.2">
      <c r="A78" s="633" t="s">
        <v>2260</v>
      </c>
      <c r="B78" s="89">
        <v>3000</v>
      </c>
      <c r="C78" s="129">
        <f>12600+234400</f>
        <v>247000</v>
      </c>
      <c r="D78" s="76">
        <f t="shared" si="59"/>
        <v>-244000</v>
      </c>
      <c r="E78" s="133"/>
      <c r="F78" s="89">
        <v>100000</v>
      </c>
      <c r="G78" s="76">
        <f t="shared" si="61"/>
        <v>-100000</v>
      </c>
      <c r="H78" s="89"/>
      <c r="I78" s="129"/>
      <c r="J78" s="76"/>
      <c r="K78" s="133"/>
      <c r="L78" s="129"/>
      <c r="M78" s="76"/>
      <c r="N78" s="89"/>
      <c r="O78" s="97"/>
      <c r="P78" s="49"/>
      <c r="Q78" s="46"/>
      <c r="R78" s="97"/>
      <c r="S78" s="61"/>
      <c r="T78" s="46"/>
      <c r="U78" s="97"/>
      <c r="V78" s="46"/>
      <c r="W78" s="350"/>
      <c r="X78" s="97"/>
      <c r="Y78" s="49"/>
      <c r="Z78" s="350"/>
      <c r="AA78" s="97"/>
      <c r="AB78" s="49"/>
      <c r="AC78" s="46"/>
      <c r="AD78" s="97"/>
      <c r="AE78" s="46"/>
      <c r="AF78" s="350"/>
      <c r="AG78" s="97"/>
      <c r="AH78" s="49"/>
      <c r="AI78" s="46"/>
      <c r="AJ78" s="97"/>
      <c r="AK78" s="61"/>
      <c r="AL78" s="46"/>
      <c r="AM78" s="97"/>
      <c r="AN78" s="61"/>
      <c r="AS78" s="265">
        <f t="shared" si="73"/>
        <v>0</v>
      </c>
      <c r="AT78" s="265">
        <f t="shared" si="74"/>
        <v>0</v>
      </c>
      <c r="AU78" s="265">
        <f t="shared" si="75"/>
        <v>0</v>
      </c>
    </row>
    <row r="79" spans="1:51" x14ac:dyDescent="0.2">
      <c r="A79" s="633" t="s">
        <v>6541</v>
      </c>
      <c r="B79" s="89"/>
      <c r="C79" s="129"/>
      <c r="D79" s="76"/>
      <c r="E79" s="133"/>
      <c r="F79" s="89">
        <v>25000</v>
      </c>
      <c r="G79" s="76">
        <f t="shared" si="61"/>
        <v>-25000</v>
      </c>
      <c r="H79" s="89"/>
      <c r="I79" s="129"/>
      <c r="J79" s="76"/>
      <c r="K79" s="133"/>
      <c r="L79" s="129"/>
      <c r="M79" s="76"/>
      <c r="N79" s="89"/>
      <c r="O79" s="97"/>
      <c r="P79" s="49"/>
      <c r="Q79" s="46"/>
      <c r="R79" s="97"/>
      <c r="S79" s="61"/>
      <c r="T79" s="46"/>
      <c r="U79" s="97"/>
      <c r="V79" s="46"/>
      <c r="W79" s="350"/>
      <c r="X79" s="97"/>
      <c r="Y79" s="49"/>
      <c r="Z79" s="350"/>
      <c r="AA79" s="97"/>
      <c r="AB79" s="49"/>
      <c r="AC79" s="46"/>
      <c r="AD79" s="97"/>
      <c r="AE79" s="46"/>
      <c r="AF79" s="350"/>
      <c r="AG79" s="97"/>
      <c r="AH79" s="49"/>
      <c r="AI79" s="46"/>
      <c r="AJ79" s="97"/>
      <c r="AK79" s="61"/>
      <c r="AL79" s="46"/>
      <c r="AM79" s="97"/>
      <c r="AN79" s="61"/>
      <c r="AS79" s="265">
        <f t="shared" si="73"/>
        <v>0</v>
      </c>
      <c r="AT79" s="265">
        <f t="shared" si="74"/>
        <v>0</v>
      </c>
      <c r="AU79" s="265">
        <f t="shared" si="75"/>
        <v>0</v>
      </c>
    </row>
    <row r="80" spans="1:51" x14ac:dyDescent="0.2">
      <c r="A80" s="633" t="s">
        <v>5495</v>
      </c>
      <c r="B80" s="89"/>
      <c r="C80" s="97"/>
      <c r="D80" s="76"/>
      <c r="E80" s="133"/>
      <c r="F80" s="9">
        <v>75000</v>
      </c>
      <c r="G80" s="76">
        <f>E80-F80</f>
        <v>-75000</v>
      </c>
      <c r="H80" s="89"/>
      <c r="I80" s="97">
        <v>104000</v>
      </c>
      <c r="J80" s="76">
        <f>H80-I80</f>
        <v>-104000</v>
      </c>
      <c r="K80" s="133"/>
      <c r="L80" s="97"/>
      <c r="M80" s="76"/>
      <c r="N80" s="89"/>
      <c r="O80" s="97"/>
      <c r="P80" s="49"/>
      <c r="Q80" s="46"/>
      <c r="R80" s="97"/>
      <c r="S80" s="61"/>
      <c r="T80" s="46"/>
      <c r="U80" s="97"/>
      <c r="V80" s="46"/>
      <c r="W80" s="350"/>
      <c r="X80" s="97"/>
      <c r="Y80" s="49"/>
      <c r="Z80" s="350"/>
      <c r="AA80" s="97"/>
      <c r="AB80" s="49"/>
      <c r="AC80" s="46"/>
      <c r="AD80" s="97"/>
      <c r="AE80" s="46"/>
      <c r="AF80" s="350"/>
      <c r="AG80" s="97"/>
      <c r="AH80" s="49"/>
      <c r="AI80" s="46"/>
      <c r="AJ80" s="97"/>
      <c r="AK80" s="61"/>
      <c r="AL80" s="46"/>
      <c r="AM80" s="97"/>
      <c r="AN80" s="61"/>
      <c r="AS80" s="265">
        <f t="shared" si="73"/>
        <v>0</v>
      </c>
      <c r="AT80" s="265">
        <f t="shared" si="74"/>
        <v>0</v>
      </c>
      <c r="AU80" s="265">
        <f t="shared" si="75"/>
        <v>0</v>
      </c>
    </row>
    <row r="81" spans="1:47" x14ac:dyDescent="0.2">
      <c r="A81" s="633" t="s">
        <v>4758</v>
      </c>
      <c r="B81" s="89"/>
      <c r="C81" s="129"/>
      <c r="D81" s="76"/>
      <c r="E81" s="133"/>
      <c r="F81" s="89">
        <v>1100</v>
      </c>
      <c r="G81" s="76">
        <f t="shared" ref="G81:G83" si="76">E81-F81</f>
        <v>-1100</v>
      </c>
      <c r="H81" s="89"/>
      <c r="I81" s="129">
        <f>450000+50000</f>
        <v>500000</v>
      </c>
      <c r="J81" s="76">
        <f>H81-I81</f>
        <v>-500000</v>
      </c>
      <c r="K81" s="133"/>
      <c r="L81" s="129"/>
      <c r="M81" s="76"/>
      <c r="N81" s="89"/>
      <c r="O81" s="97"/>
      <c r="P81" s="49"/>
      <c r="Q81" s="46"/>
      <c r="R81" s="97"/>
      <c r="S81" s="61"/>
      <c r="T81" s="46"/>
      <c r="U81" s="97"/>
      <c r="V81" s="46"/>
      <c r="W81" s="350"/>
      <c r="X81" s="97"/>
      <c r="Y81" s="49"/>
      <c r="Z81" s="350"/>
      <c r="AA81" s="97"/>
      <c r="AB81" s="49"/>
      <c r="AC81" s="46"/>
      <c r="AD81" s="97"/>
      <c r="AE81" s="46"/>
      <c r="AF81" s="350"/>
      <c r="AG81" s="97"/>
      <c r="AH81" s="49"/>
      <c r="AI81" s="46"/>
      <c r="AJ81" s="97"/>
      <c r="AK81" s="61"/>
      <c r="AL81" s="46"/>
      <c r="AM81" s="97"/>
      <c r="AN81" s="61"/>
      <c r="AS81" s="265">
        <f t="shared" si="73"/>
        <v>0</v>
      </c>
      <c r="AT81" s="265">
        <f t="shared" si="74"/>
        <v>0</v>
      </c>
      <c r="AU81" s="265">
        <f t="shared" si="75"/>
        <v>0</v>
      </c>
    </row>
    <row r="82" spans="1:47" x14ac:dyDescent="0.2">
      <c r="A82" s="633" t="s">
        <v>5302</v>
      </c>
      <c r="B82" s="89"/>
      <c r="C82" s="129"/>
      <c r="D82" s="76"/>
      <c r="E82" s="133"/>
      <c r="F82" s="89">
        <v>725000</v>
      </c>
      <c r="G82" s="76">
        <f t="shared" si="76"/>
        <v>-725000</v>
      </c>
      <c r="H82" s="89"/>
      <c r="I82" s="129"/>
      <c r="J82" s="76"/>
      <c r="K82" s="133"/>
      <c r="L82" s="129"/>
      <c r="M82" s="76"/>
      <c r="N82" s="89"/>
      <c r="O82" s="97"/>
      <c r="P82" s="49"/>
      <c r="Q82" s="46"/>
      <c r="R82" s="97"/>
      <c r="S82" s="61"/>
      <c r="T82" s="46"/>
      <c r="U82" s="97"/>
      <c r="V82" s="46"/>
      <c r="W82" s="350"/>
      <c r="X82" s="97"/>
      <c r="Y82" s="49"/>
      <c r="Z82" s="350"/>
      <c r="AA82" s="97"/>
      <c r="AB82" s="49"/>
      <c r="AC82" s="46"/>
      <c r="AD82" s="97"/>
      <c r="AE82" s="46"/>
      <c r="AF82" s="350"/>
      <c r="AG82" s="97"/>
      <c r="AH82" s="49"/>
      <c r="AI82" s="46"/>
      <c r="AJ82" s="97"/>
      <c r="AK82" s="61"/>
      <c r="AL82" s="46"/>
      <c r="AM82" s="97"/>
      <c r="AN82" s="61"/>
      <c r="AS82" s="265">
        <f t="shared" si="73"/>
        <v>0</v>
      </c>
      <c r="AT82" s="265">
        <f t="shared" si="74"/>
        <v>0</v>
      </c>
      <c r="AU82" s="265">
        <f t="shared" si="75"/>
        <v>0</v>
      </c>
    </row>
    <row r="83" spans="1:47" x14ac:dyDescent="0.2">
      <c r="A83" s="633" t="s">
        <v>7001</v>
      </c>
      <c r="B83" s="89"/>
      <c r="C83" s="129"/>
      <c r="D83" s="76"/>
      <c r="E83" s="133"/>
      <c r="F83" s="89"/>
      <c r="G83" s="76">
        <f t="shared" si="76"/>
        <v>0</v>
      </c>
      <c r="H83" s="89"/>
      <c r="I83" s="129"/>
      <c r="J83" s="76"/>
      <c r="K83" s="133"/>
      <c r="L83" s="129"/>
      <c r="M83" s="76"/>
      <c r="N83" s="89"/>
      <c r="O83" s="97"/>
      <c r="P83" s="49"/>
      <c r="Q83" s="46"/>
      <c r="R83" s="97"/>
      <c r="S83" s="61"/>
      <c r="T83" s="46"/>
      <c r="U83" s="97"/>
      <c r="V83" s="46"/>
      <c r="W83" s="350"/>
      <c r="X83" s="97"/>
      <c r="Y83" s="49"/>
      <c r="Z83" s="350"/>
      <c r="AA83" s="97"/>
      <c r="AB83" s="49"/>
      <c r="AC83" s="46"/>
      <c r="AD83" s="97"/>
      <c r="AE83" s="46"/>
      <c r="AF83" s="350"/>
      <c r="AG83" s="97"/>
      <c r="AH83" s="49"/>
      <c r="AI83" s="46"/>
      <c r="AJ83" s="97"/>
      <c r="AK83" s="61"/>
      <c r="AL83" s="46"/>
      <c r="AM83" s="97"/>
      <c r="AN83" s="61"/>
      <c r="AS83" s="265">
        <f t="shared" si="73"/>
        <v>0</v>
      </c>
      <c r="AT83" s="265">
        <f t="shared" si="74"/>
        <v>0</v>
      </c>
      <c r="AU83" s="265">
        <f t="shared" si="75"/>
        <v>0</v>
      </c>
    </row>
    <row r="84" spans="1:47" x14ac:dyDescent="0.2">
      <c r="A84" s="633" t="s">
        <v>4759</v>
      </c>
      <c r="B84" s="89"/>
      <c r="C84" s="129"/>
      <c r="D84" s="76"/>
      <c r="E84" s="133"/>
      <c r="F84" s="89">
        <v>92400</v>
      </c>
      <c r="G84" s="76">
        <f t="shared" ref="G84:G85" si="77">E84-F84</f>
        <v>-92400</v>
      </c>
      <c r="H84" s="89"/>
      <c r="I84" s="129"/>
      <c r="J84" s="76"/>
      <c r="K84" s="133"/>
      <c r="L84" s="129"/>
      <c r="M84" s="76"/>
      <c r="N84" s="89"/>
      <c r="O84" s="97"/>
      <c r="P84" s="49"/>
      <c r="Q84" s="46"/>
      <c r="R84" s="97"/>
      <c r="S84" s="61"/>
      <c r="T84" s="46"/>
      <c r="U84" s="97"/>
      <c r="V84" s="46"/>
      <c r="W84" s="350"/>
      <c r="X84" s="97"/>
      <c r="Y84" s="49"/>
      <c r="Z84" s="350"/>
      <c r="AA84" s="97"/>
      <c r="AB84" s="49"/>
      <c r="AC84" s="46"/>
      <c r="AD84" s="97"/>
      <c r="AE84" s="46"/>
      <c r="AF84" s="350"/>
      <c r="AG84" s="97"/>
      <c r="AH84" s="49"/>
      <c r="AI84" s="46"/>
      <c r="AJ84" s="97"/>
      <c r="AK84" s="47"/>
      <c r="AL84" s="46"/>
      <c r="AM84" s="97"/>
      <c r="AN84" s="47"/>
      <c r="AS84" s="265">
        <f t="shared" si="73"/>
        <v>0</v>
      </c>
      <c r="AT84" s="265">
        <f t="shared" si="74"/>
        <v>0</v>
      </c>
      <c r="AU84" s="265">
        <f t="shared" si="75"/>
        <v>0</v>
      </c>
    </row>
    <row r="85" spans="1:47" x14ac:dyDescent="0.2">
      <c r="A85" s="633" t="s">
        <v>7043</v>
      </c>
      <c r="B85" s="89"/>
      <c r="C85" s="129"/>
      <c r="D85" s="76"/>
      <c r="E85" s="133"/>
      <c r="F85" s="89">
        <v>55000</v>
      </c>
      <c r="G85" s="76">
        <f t="shared" si="77"/>
        <v>-55000</v>
      </c>
      <c r="H85" s="89"/>
      <c r="I85" s="129"/>
      <c r="J85" s="76"/>
      <c r="K85" s="133"/>
      <c r="L85" s="129"/>
      <c r="M85" s="76"/>
      <c r="N85" s="89"/>
      <c r="O85" s="97"/>
      <c r="P85" s="49"/>
      <c r="Q85" s="46"/>
      <c r="R85" s="97"/>
      <c r="S85" s="61"/>
      <c r="T85" s="46"/>
      <c r="U85" s="97"/>
      <c r="V85" s="46"/>
      <c r="W85" s="350"/>
      <c r="X85" s="97"/>
      <c r="Y85" s="49"/>
      <c r="Z85" s="350"/>
      <c r="AA85" s="97"/>
      <c r="AB85" s="49"/>
      <c r="AC85" s="46"/>
      <c r="AD85" s="97"/>
      <c r="AE85" s="46"/>
      <c r="AF85" s="350"/>
      <c r="AG85" s="97"/>
      <c r="AH85" s="49"/>
      <c r="AI85" s="46"/>
      <c r="AJ85" s="97"/>
      <c r="AK85" s="47"/>
      <c r="AL85" s="46"/>
      <c r="AM85" s="97"/>
      <c r="AN85" s="47"/>
      <c r="AS85" s="265"/>
      <c r="AT85" s="265"/>
      <c r="AU85" s="265"/>
    </row>
    <row r="86" spans="1:47" x14ac:dyDescent="0.2">
      <c r="A86" s="633" t="s">
        <v>4761</v>
      </c>
      <c r="B86" s="89"/>
      <c r="C86" s="129"/>
      <c r="D86" s="76"/>
      <c r="E86" s="133"/>
      <c r="F86" s="89">
        <v>1100</v>
      </c>
      <c r="G86" s="76">
        <f t="shared" ref="G86:G87" si="78">E86-F86</f>
        <v>-1100</v>
      </c>
      <c r="H86" s="89"/>
      <c r="I86" s="129">
        <v>88900</v>
      </c>
      <c r="J86" s="76">
        <f t="shared" si="60"/>
        <v>-88900</v>
      </c>
      <c r="K86" s="133"/>
      <c r="L86" s="129"/>
      <c r="M86" s="76">
        <f t="shared" si="62"/>
        <v>0</v>
      </c>
      <c r="N86" s="89"/>
      <c r="O86" s="97">
        <f>'Cap-Gen'!I185</f>
        <v>750000</v>
      </c>
      <c r="P86" s="49">
        <f t="shared" si="63"/>
        <v>-750000</v>
      </c>
      <c r="Q86" s="46"/>
      <c r="R86" s="97">
        <f>'Cap-Gen'!J185</f>
        <v>2100000</v>
      </c>
      <c r="S86" s="61">
        <f t="shared" si="64"/>
        <v>-2100000</v>
      </c>
      <c r="T86" s="46"/>
      <c r="U86" s="97"/>
      <c r="V86" s="46"/>
      <c r="W86" s="350"/>
      <c r="X86" s="97"/>
      <c r="Y86" s="49"/>
      <c r="Z86" s="350"/>
      <c r="AA86" s="97"/>
      <c r="AB86" s="49"/>
      <c r="AC86" s="46"/>
      <c r="AD86" s="97"/>
      <c r="AE86" s="46"/>
      <c r="AF86" s="350"/>
      <c r="AG86" s="97"/>
      <c r="AH86" s="49"/>
      <c r="AI86" s="46"/>
      <c r="AJ86" s="97"/>
      <c r="AK86" s="47"/>
      <c r="AL86" s="46"/>
      <c r="AM86" s="97"/>
      <c r="AN86" s="47"/>
      <c r="AS86" s="265">
        <f t="shared" si="73"/>
        <v>0</v>
      </c>
      <c r="AT86" s="265">
        <f t="shared" si="74"/>
        <v>0</v>
      </c>
      <c r="AU86" s="265">
        <f t="shared" si="75"/>
        <v>0</v>
      </c>
    </row>
    <row r="87" spans="1:47" x14ac:dyDescent="0.2">
      <c r="A87" s="633" t="s">
        <v>4760</v>
      </c>
      <c r="B87" s="89"/>
      <c r="C87" s="129"/>
      <c r="D87" s="76"/>
      <c r="E87" s="133"/>
      <c r="F87" s="89"/>
      <c r="G87" s="76">
        <f t="shared" si="78"/>
        <v>0</v>
      </c>
      <c r="H87" s="89"/>
      <c r="I87" s="129"/>
      <c r="J87" s="76">
        <f t="shared" si="60"/>
        <v>0</v>
      </c>
      <c r="K87" s="133"/>
      <c r="L87" s="129">
        <v>800000</v>
      </c>
      <c r="M87" s="76">
        <f t="shared" si="62"/>
        <v>-800000</v>
      </c>
      <c r="N87" s="89"/>
      <c r="O87" s="97"/>
      <c r="P87" s="49"/>
      <c r="Q87" s="46"/>
      <c r="R87" s="97"/>
      <c r="S87" s="61"/>
      <c r="T87" s="46"/>
      <c r="U87" s="97"/>
      <c r="V87" s="46"/>
      <c r="W87" s="350"/>
      <c r="X87" s="97"/>
      <c r="Y87" s="49"/>
      <c r="Z87" s="350"/>
      <c r="AA87" s="97"/>
      <c r="AB87" s="49"/>
      <c r="AC87" s="46"/>
      <c r="AD87" s="97"/>
      <c r="AE87" s="46"/>
      <c r="AF87" s="350"/>
      <c r="AG87" s="97"/>
      <c r="AH87" s="49"/>
      <c r="AI87" s="46"/>
      <c r="AJ87" s="97"/>
      <c r="AK87" s="47"/>
      <c r="AL87" s="46"/>
      <c r="AM87" s="97"/>
      <c r="AN87" s="47"/>
      <c r="AS87" s="265">
        <f t="shared" si="73"/>
        <v>0</v>
      </c>
      <c r="AT87" s="265">
        <f t="shared" si="74"/>
        <v>0</v>
      </c>
      <c r="AU87" s="265">
        <f t="shared" si="75"/>
        <v>0</v>
      </c>
    </row>
    <row r="88" spans="1:47" x14ac:dyDescent="0.2">
      <c r="A88" s="633" t="s">
        <v>2474</v>
      </c>
      <c r="B88" s="394">
        <v>669700</v>
      </c>
      <c r="C88" s="46"/>
      <c r="D88" s="76">
        <f t="shared" si="59"/>
        <v>669700</v>
      </c>
      <c r="E88" s="133">
        <v>403700</v>
      </c>
      <c r="F88" s="89"/>
      <c r="G88" s="76">
        <f t="shared" si="61"/>
        <v>403700</v>
      </c>
      <c r="H88" s="99">
        <f>'Sec 94'!G85</f>
        <v>650000</v>
      </c>
      <c r="I88" s="46"/>
      <c r="J88" s="76">
        <f t="shared" si="60"/>
        <v>650000</v>
      </c>
      <c r="K88" s="394">
        <f>'Sec 94'!H85</f>
        <v>450000</v>
      </c>
      <c r="L88" s="46"/>
      <c r="M88" s="29">
        <f t="shared" si="62"/>
        <v>450000</v>
      </c>
      <c r="N88" s="394">
        <f>'Sec 94'!I85</f>
        <v>450000</v>
      </c>
      <c r="O88" s="9"/>
      <c r="P88" s="49">
        <f t="shared" si="63"/>
        <v>450000</v>
      </c>
      <c r="Q88" s="99">
        <f>'Sec 94'!J85</f>
        <v>450000</v>
      </c>
      <c r="R88" s="9"/>
      <c r="S88" s="61">
        <f t="shared" si="64"/>
        <v>450000</v>
      </c>
      <c r="T88" s="99">
        <f>'Sec 94'!K85</f>
        <v>450000</v>
      </c>
      <c r="U88" s="9"/>
      <c r="V88" s="46">
        <f t="shared" si="65"/>
        <v>450000</v>
      </c>
      <c r="W88" s="394">
        <f>'Sec 94'!L85</f>
        <v>450000</v>
      </c>
      <c r="X88" s="9"/>
      <c r="Y88" s="49">
        <f t="shared" si="66"/>
        <v>450000</v>
      </c>
      <c r="Z88" s="394">
        <f>'Sec 94'!M85</f>
        <v>450000</v>
      </c>
      <c r="AA88" s="9"/>
      <c r="AB88" s="49">
        <f t="shared" si="67"/>
        <v>450000</v>
      </c>
      <c r="AC88" s="99">
        <f>'Sec 94'!N85</f>
        <v>450000</v>
      </c>
      <c r="AD88" s="9"/>
      <c r="AE88" s="46">
        <f t="shared" ref="AE88:AE91" si="79">AC88-AD88</f>
        <v>450000</v>
      </c>
      <c r="AF88" s="394">
        <f>'Sec 94'!O85</f>
        <v>450000</v>
      </c>
      <c r="AG88" s="9"/>
      <c r="AH88" s="76">
        <f t="shared" ref="AH88:AH91" si="80">AF88-AG88</f>
        <v>450000</v>
      </c>
      <c r="AI88" s="99">
        <f>'Sec 94'!P85</f>
        <v>450000</v>
      </c>
      <c r="AJ88" s="9"/>
      <c r="AK88" s="47">
        <f t="shared" ref="AK88:AK91" si="81">AI88-AJ88</f>
        <v>450000</v>
      </c>
      <c r="AL88" s="99">
        <f>'Sec 94'!Q85</f>
        <v>450000</v>
      </c>
      <c r="AM88" s="9"/>
      <c r="AN88" s="47">
        <f t="shared" ref="AN88:AN91" si="82">AL88-AM88</f>
        <v>450000</v>
      </c>
      <c r="AP88" s="34">
        <v>450000</v>
      </c>
      <c r="AR88" s="34">
        <v>450000</v>
      </c>
      <c r="AS88" s="265">
        <f t="shared" si="73"/>
        <v>0</v>
      </c>
      <c r="AT88" s="265">
        <f t="shared" si="74"/>
        <v>0</v>
      </c>
      <c r="AU88" s="265">
        <f t="shared" si="75"/>
        <v>0</v>
      </c>
    </row>
    <row r="89" spans="1:47" x14ac:dyDescent="0.2">
      <c r="A89" s="633" t="s">
        <v>5496</v>
      </c>
      <c r="B89" s="99"/>
      <c r="C89" s="46"/>
      <c r="D89" s="76"/>
      <c r="E89" s="133"/>
      <c r="F89" s="89"/>
      <c r="G89" s="29">
        <f t="shared" si="61"/>
        <v>0</v>
      </c>
      <c r="H89" s="394">
        <f>I114</f>
        <v>0</v>
      </c>
      <c r="I89" s="46"/>
      <c r="J89" s="29">
        <f t="shared" si="60"/>
        <v>0</v>
      </c>
      <c r="K89" s="394">
        <f>L114</f>
        <v>0</v>
      </c>
      <c r="L89" s="46"/>
      <c r="M89" s="29">
        <f t="shared" si="62"/>
        <v>0</v>
      </c>
      <c r="N89" s="394">
        <f>O114</f>
        <v>0</v>
      </c>
      <c r="O89" s="9"/>
      <c r="P89" s="49">
        <f t="shared" si="63"/>
        <v>0</v>
      </c>
      <c r="Q89" s="129">
        <f>R114</f>
        <v>1000000</v>
      </c>
      <c r="R89" s="9"/>
      <c r="S89" s="61">
        <f t="shared" si="64"/>
        <v>1000000</v>
      </c>
      <c r="T89" s="129">
        <f>U114</f>
        <v>1100000</v>
      </c>
      <c r="U89" s="9"/>
      <c r="V89" s="46">
        <f t="shared" si="65"/>
        <v>1100000</v>
      </c>
      <c r="W89" s="913">
        <f>X114</f>
        <v>500000</v>
      </c>
      <c r="X89" s="9"/>
      <c r="Y89" s="49">
        <f t="shared" si="66"/>
        <v>500000</v>
      </c>
      <c r="Z89" s="913">
        <f>AA114</f>
        <v>0</v>
      </c>
      <c r="AA89" s="9"/>
      <c r="AB89" s="49">
        <f t="shared" si="67"/>
        <v>0</v>
      </c>
      <c r="AC89" s="129">
        <f>AD114</f>
        <v>700000</v>
      </c>
      <c r="AD89" s="9"/>
      <c r="AE89" s="46">
        <f t="shared" si="79"/>
        <v>700000</v>
      </c>
      <c r="AF89" s="913">
        <f>AG114</f>
        <v>700000</v>
      </c>
      <c r="AG89" s="9"/>
      <c r="AH89" s="76">
        <f t="shared" si="80"/>
        <v>700000</v>
      </c>
      <c r="AI89" s="129">
        <f>AJ114</f>
        <v>700000</v>
      </c>
      <c r="AJ89" s="9"/>
      <c r="AK89" s="47">
        <f t="shared" si="81"/>
        <v>700000</v>
      </c>
      <c r="AL89" s="129">
        <f>AM114</f>
        <v>700000</v>
      </c>
      <c r="AM89" s="9"/>
      <c r="AN89" s="47">
        <f t="shared" si="82"/>
        <v>700000</v>
      </c>
      <c r="AP89" s="34">
        <v>700000</v>
      </c>
      <c r="AR89" s="34">
        <v>700000</v>
      </c>
      <c r="AS89" s="265">
        <f t="shared" si="73"/>
        <v>0</v>
      </c>
      <c r="AT89" s="265">
        <f t="shared" si="74"/>
        <v>0</v>
      </c>
      <c r="AU89" s="265">
        <f t="shared" si="75"/>
        <v>0</v>
      </c>
    </row>
    <row r="90" spans="1:47" x14ac:dyDescent="0.2">
      <c r="A90" s="633" t="s">
        <v>1454</v>
      </c>
      <c r="B90" s="89"/>
      <c r="C90" s="99">
        <f>ROUND(SUM('Debt-Gen'!I10:J13),-2)</f>
        <v>29600</v>
      </c>
      <c r="D90" s="76">
        <f>B90-C90</f>
        <v>-29600</v>
      </c>
      <c r="E90" s="133"/>
      <c r="F90" s="9">
        <v>29600</v>
      </c>
      <c r="G90" s="29">
        <f t="shared" si="61"/>
        <v>-29600</v>
      </c>
      <c r="H90" s="133"/>
      <c r="I90" s="97">
        <f>ROUND(SUM('Debt-Gen'!M10:N13),-2)</f>
        <v>29600</v>
      </c>
      <c r="J90" s="29">
        <f t="shared" si="60"/>
        <v>-29600</v>
      </c>
      <c r="K90" s="133"/>
      <c r="L90" s="97">
        <f>ROUND(SUM('Debt-Gen'!O10:P13),-2)</f>
        <v>29600</v>
      </c>
      <c r="M90" s="29">
        <f t="shared" si="62"/>
        <v>-29600</v>
      </c>
      <c r="N90" s="133"/>
      <c r="O90" s="97">
        <f>ROUND(SUM('Debt-Gen'!Q10:R13),-2)</f>
        <v>28100</v>
      </c>
      <c r="P90" s="49">
        <f t="shared" si="63"/>
        <v>-28100</v>
      </c>
      <c r="Q90" s="46"/>
      <c r="R90" s="97">
        <f>ROUND(SUM('Debt-Gen'!S10:T13),-2)</f>
        <v>20600</v>
      </c>
      <c r="S90" s="61">
        <f t="shared" si="64"/>
        <v>-20600</v>
      </c>
      <c r="T90" s="46"/>
      <c r="U90" s="97">
        <f>ROUND(SUM('Debt-Gen'!U10:V13),-2)</f>
        <v>20600</v>
      </c>
      <c r="V90" s="46">
        <f t="shared" si="65"/>
        <v>-20600</v>
      </c>
      <c r="W90" s="350"/>
      <c r="X90" s="97">
        <f>ROUND(SUM('Debt-Gen'!W10:X13),-2)</f>
        <v>20600</v>
      </c>
      <c r="Y90" s="49">
        <f t="shared" si="66"/>
        <v>-20600</v>
      </c>
      <c r="Z90" s="350"/>
      <c r="AA90" s="97">
        <f>ROUND(SUM('Debt-Gen'!Y10:Z13),-2)</f>
        <v>0</v>
      </c>
      <c r="AB90" s="49">
        <f t="shared" si="67"/>
        <v>0</v>
      </c>
      <c r="AC90" s="46"/>
      <c r="AD90" s="97">
        <f>ROUND(SUM('Debt-Gen'!AA10:AB13),-2)</f>
        <v>0</v>
      </c>
      <c r="AE90" s="46">
        <f t="shared" si="79"/>
        <v>0</v>
      </c>
      <c r="AF90" s="350"/>
      <c r="AG90" s="97">
        <f>ROUND(SUM('Debt-Gen'!AC10:AD13),-2)</f>
        <v>0</v>
      </c>
      <c r="AH90" s="76">
        <f t="shared" si="80"/>
        <v>0</v>
      </c>
      <c r="AI90" s="46"/>
      <c r="AJ90" s="97">
        <f>ROUND(SUM('Debt-Gen'!AE10:AF13),-2)</f>
        <v>0</v>
      </c>
      <c r="AK90" s="47">
        <f t="shared" si="81"/>
        <v>0</v>
      </c>
      <c r="AL90" s="46"/>
      <c r="AM90" s="97">
        <f>ROUND(SUM('Debt-Gen'!AH10:AI13),-2)</f>
        <v>0</v>
      </c>
      <c r="AN90" s="47">
        <f t="shared" si="82"/>
        <v>0</v>
      </c>
      <c r="AQ90" s="34">
        <v>0</v>
      </c>
      <c r="AR90" s="34">
        <v>0</v>
      </c>
      <c r="AS90" s="265">
        <f t="shared" si="73"/>
        <v>0</v>
      </c>
      <c r="AT90" s="265">
        <f t="shared" si="74"/>
        <v>0</v>
      </c>
      <c r="AU90" s="265">
        <f t="shared" si="75"/>
        <v>0</v>
      </c>
    </row>
    <row r="91" spans="1:47" x14ac:dyDescent="0.2">
      <c r="A91" s="633" t="s">
        <v>256</v>
      </c>
      <c r="B91" s="89"/>
      <c r="C91" s="99">
        <v>537100</v>
      </c>
      <c r="D91" s="76">
        <f t="shared" si="59"/>
        <v>-537100</v>
      </c>
      <c r="E91" s="133"/>
      <c r="F91" s="9">
        <v>373000</v>
      </c>
      <c r="G91" s="29">
        <f t="shared" si="61"/>
        <v>-373000</v>
      </c>
      <c r="H91" s="133"/>
      <c r="I91" s="97">
        <f>ROUND(SUM('Debt-Gen'!M35:N37),-2)</f>
        <v>407300</v>
      </c>
      <c r="J91" s="29">
        <f t="shared" si="60"/>
        <v>-407300</v>
      </c>
      <c r="K91" s="133"/>
      <c r="L91" s="97">
        <f>ROUND(SUM('Debt-Gen'!O35:P37),-2)</f>
        <v>324400</v>
      </c>
      <c r="M91" s="29">
        <f t="shared" si="62"/>
        <v>-324400</v>
      </c>
      <c r="N91" s="133"/>
      <c r="O91" s="97">
        <f>ROUND(SUM('Debt-Gen'!Q35:R37),-2)</f>
        <v>308000</v>
      </c>
      <c r="P91" s="49">
        <f t="shared" si="63"/>
        <v>-308000</v>
      </c>
      <c r="Q91" s="46"/>
      <c r="R91" s="97">
        <f>ROUND(SUM('Debt-Gen'!S35:T37),-2)</f>
        <v>308000</v>
      </c>
      <c r="S91" s="61">
        <f t="shared" si="64"/>
        <v>-308000</v>
      </c>
      <c r="T91" s="46"/>
      <c r="U91" s="97">
        <f>ROUND(SUM('Debt-Gen'!U35:V37),-2)</f>
        <v>308000</v>
      </c>
      <c r="V91" s="46">
        <f t="shared" si="65"/>
        <v>-308000</v>
      </c>
      <c r="W91" s="350"/>
      <c r="X91" s="97">
        <f>ROUND(SUM('Debt-Gen'!W35:X37),-2)</f>
        <v>308000</v>
      </c>
      <c r="Y91" s="49">
        <f t="shared" si="66"/>
        <v>-308000</v>
      </c>
      <c r="Z91" s="350"/>
      <c r="AA91" s="97">
        <f>ROUND(SUM('Debt-Gen'!Y35:Z37),-2)</f>
        <v>308000</v>
      </c>
      <c r="AB91" s="49">
        <f t="shared" si="67"/>
        <v>-308000</v>
      </c>
      <c r="AC91" s="46"/>
      <c r="AD91" s="97">
        <f>ROUND(SUM('Debt-Gen'!AA35:AB37),-2)</f>
        <v>308000</v>
      </c>
      <c r="AE91" s="46">
        <f t="shared" si="79"/>
        <v>-308000</v>
      </c>
      <c r="AF91" s="350"/>
      <c r="AG91" s="97">
        <f>ROUND(SUM('Debt-Gen'!AC35:AD37),-2)</f>
        <v>308000</v>
      </c>
      <c r="AH91" s="76">
        <f t="shared" si="80"/>
        <v>-308000</v>
      </c>
      <c r="AI91" s="46"/>
      <c r="AJ91" s="97">
        <f>ROUND(SUM('Debt-Gen'!AE35:AF37),-2)</f>
        <v>308000</v>
      </c>
      <c r="AK91" s="47">
        <f t="shared" si="81"/>
        <v>-308000</v>
      </c>
      <c r="AL91" s="46"/>
      <c r="AM91" s="97">
        <f>ROUND(SUM('Debt-Gen'!AG35:AH37),-2)</f>
        <v>308000</v>
      </c>
      <c r="AN91" s="47">
        <f t="shared" si="82"/>
        <v>-308000</v>
      </c>
      <c r="AQ91" s="34">
        <v>308000</v>
      </c>
      <c r="AR91" s="34">
        <v>-308000</v>
      </c>
      <c r="AS91" s="265">
        <f t="shared" si="73"/>
        <v>0</v>
      </c>
      <c r="AT91" s="265">
        <f t="shared" si="74"/>
        <v>0</v>
      </c>
      <c r="AU91" s="265">
        <f t="shared" si="75"/>
        <v>0</v>
      </c>
    </row>
    <row r="92" spans="1:47" x14ac:dyDescent="0.2">
      <c r="A92" s="633" t="s">
        <v>7263</v>
      </c>
      <c r="B92" s="89"/>
      <c r="C92" s="99"/>
      <c r="D92" s="76"/>
      <c r="E92" s="133">
        <v>20400</v>
      </c>
      <c r="F92" s="89"/>
      <c r="G92" s="29">
        <f t="shared" si="61"/>
        <v>20400</v>
      </c>
      <c r="H92" s="133"/>
      <c r="I92" s="99">
        <v>20400</v>
      </c>
      <c r="J92" s="29">
        <f t="shared" si="60"/>
        <v>-20400</v>
      </c>
      <c r="K92" s="133"/>
      <c r="L92" s="99"/>
      <c r="M92" s="46"/>
      <c r="N92" s="133"/>
      <c r="O92" s="99"/>
      <c r="P92" s="46"/>
      <c r="Q92" s="46"/>
      <c r="R92" s="99"/>
      <c r="S92" s="61"/>
      <c r="T92" s="46"/>
      <c r="U92" s="99"/>
      <c r="V92" s="46"/>
      <c r="W92" s="350"/>
      <c r="X92" s="99"/>
      <c r="Y92" s="46"/>
      <c r="Z92" s="350"/>
      <c r="AA92" s="99"/>
      <c r="AB92" s="46"/>
      <c r="AC92" s="46"/>
      <c r="AD92" s="99"/>
      <c r="AE92" s="46"/>
      <c r="AF92" s="350"/>
      <c r="AG92" s="99"/>
      <c r="AH92" s="46"/>
      <c r="AI92" s="46"/>
      <c r="AJ92" s="99"/>
      <c r="AK92" s="47"/>
      <c r="AL92" s="46"/>
      <c r="AM92" s="99"/>
      <c r="AN92" s="47"/>
      <c r="AS92" s="265"/>
      <c r="AT92" s="265"/>
      <c r="AU92" s="265"/>
    </row>
    <row r="93" spans="1:47" ht="13.5" thickBot="1" x14ac:dyDescent="0.25">
      <c r="A93" s="633" t="s">
        <v>6810</v>
      </c>
      <c r="B93" s="89"/>
      <c r="C93" s="99"/>
      <c r="D93" s="76"/>
      <c r="E93" s="133">
        <v>0</v>
      </c>
      <c r="F93" s="89"/>
      <c r="G93" s="29">
        <f t="shared" si="61"/>
        <v>0</v>
      </c>
      <c r="H93" s="133">
        <v>225000</v>
      </c>
      <c r="I93" s="99"/>
      <c r="J93" s="29">
        <f t="shared" si="60"/>
        <v>225000</v>
      </c>
      <c r="K93" s="133"/>
      <c r="L93" s="99"/>
      <c r="M93" s="46"/>
      <c r="N93" s="133"/>
      <c r="O93" s="99"/>
      <c r="P93" s="46"/>
      <c r="Q93" s="133"/>
      <c r="R93" s="99"/>
      <c r="S93" s="61"/>
      <c r="T93" s="89"/>
      <c r="U93" s="99"/>
      <c r="V93" s="46"/>
      <c r="W93" s="133"/>
      <c r="X93" s="99"/>
      <c r="Y93" s="46"/>
      <c r="Z93" s="133"/>
      <c r="AA93" s="99"/>
      <c r="AB93" s="46"/>
      <c r="AC93" s="133"/>
      <c r="AD93" s="99"/>
      <c r="AE93" s="46"/>
      <c r="AF93" s="133"/>
      <c r="AG93" s="99"/>
      <c r="AH93" s="46"/>
      <c r="AI93" s="133"/>
      <c r="AJ93" s="99"/>
      <c r="AK93" s="47"/>
      <c r="AL93" s="133"/>
      <c r="AM93" s="99"/>
      <c r="AN93" s="47"/>
      <c r="AS93" s="265">
        <f t="shared" si="73"/>
        <v>0</v>
      </c>
      <c r="AT93" s="265">
        <f t="shared" si="74"/>
        <v>0</v>
      </c>
      <c r="AU93" s="265">
        <f t="shared" si="75"/>
        <v>0</v>
      </c>
    </row>
    <row r="94" spans="1:47" s="39" customFormat="1" ht="13.5" thickTop="1" x14ac:dyDescent="0.2">
      <c r="A94" s="1311" t="s">
        <v>168</v>
      </c>
      <c r="B94" s="273">
        <f>SUBTOTAL(9,B64:B91)</f>
        <v>2099000</v>
      </c>
      <c r="C94" s="1538">
        <f>SUBTOTAL(9,C64:C91)</f>
        <v>2711000</v>
      </c>
      <c r="D94" s="221">
        <f>SUBTOTAL(9,D64:D91)</f>
        <v>-612000</v>
      </c>
      <c r="E94" s="273">
        <f t="shared" ref="E94:J94" si="83">SUBTOTAL(9,E64:E93)</f>
        <v>1342700</v>
      </c>
      <c r="F94" s="273">
        <f t="shared" ref="F94" si="84">SUBTOTAL(9,F64:F93)</f>
        <v>1788400</v>
      </c>
      <c r="G94" s="273">
        <f t="shared" ref="G94" si="85">SUBTOTAL(9,G64:G93)</f>
        <v>-445700</v>
      </c>
      <c r="H94" s="273">
        <f>SUBTOTAL(9,H64:H93)</f>
        <v>1787800</v>
      </c>
      <c r="I94" s="69">
        <f t="shared" si="83"/>
        <v>2405100</v>
      </c>
      <c r="J94" s="72">
        <f t="shared" si="83"/>
        <v>-617300</v>
      </c>
      <c r="K94" s="273">
        <f t="shared" ref="K94:AK94" si="86">SUBTOTAL(9,K64:K91)</f>
        <v>1363500</v>
      </c>
      <c r="L94" s="69">
        <f t="shared" si="86"/>
        <v>1257000</v>
      </c>
      <c r="M94" s="72">
        <f t="shared" si="86"/>
        <v>106500</v>
      </c>
      <c r="N94" s="273">
        <f t="shared" si="86"/>
        <v>1383800</v>
      </c>
      <c r="O94" s="69">
        <f t="shared" si="86"/>
        <v>1192100</v>
      </c>
      <c r="P94" s="69">
        <f t="shared" si="86"/>
        <v>191700</v>
      </c>
      <c r="Q94" s="273">
        <f t="shared" si="86"/>
        <v>2406500</v>
      </c>
      <c r="R94" s="69">
        <f t="shared" si="86"/>
        <v>2537700</v>
      </c>
      <c r="S94" s="73">
        <f t="shared" si="86"/>
        <v>-131200</v>
      </c>
      <c r="T94" s="69">
        <f t="shared" si="86"/>
        <v>2522500</v>
      </c>
      <c r="U94" s="69">
        <f t="shared" si="86"/>
        <v>440800</v>
      </c>
      <c r="V94" s="69">
        <f t="shared" si="86"/>
        <v>2081700</v>
      </c>
      <c r="W94" s="273">
        <f t="shared" si="86"/>
        <v>1941800</v>
      </c>
      <c r="X94" s="69">
        <f t="shared" si="86"/>
        <v>443900</v>
      </c>
      <c r="Y94" s="69">
        <f t="shared" si="86"/>
        <v>1497900</v>
      </c>
      <c r="Z94" s="273">
        <f t="shared" si="86"/>
        <v>1461500</v>
      </c>
      <c r="AA94" s="69">
        <f t="shared" si="86"/>
        <v>426500</v>
      </c>
      <c r="AB94" s="69">
        <f t="shared" si="86"/>
        <v>1035000</v>
      </c>
      <c r="AC94" s="273">
        <f t="shared" si="86"/>
        <v>2181700</v>
      </c>
      <c r="AD94" s="69">
        <f t="shared" si="86"/>
        <v>429700</v>
      </c>
      <c r="AE94" s="72">
        <f t="shared" si="86"/>
        <v>1752000</v>
      </c>
      <c r="AF94" s="273">
        <f t="shared" si="86"/>
        <v>2204200</v>
      </c>
      <c r="AG94" s="69">
        <f t="shared" si="86"/>
        <v>433300</v>
      </c>
      <c r="AH94" s="221">
        <f t="shared" si="86"/>
        <v>1770900</v>
      </c>
      <c r="AI94" s="69">
        <f t="shared" si="86"/>
        <v>2226100</v>
      </c>
      <c r="AJ94" s="69">
        <f t="shared" si="86"/>
        <v>436900</v>
      </c>
      <c r="AK94" s="238">
        <f t="shared" si="86"/>
        <v>1789200</v>
      </c>
      <c r="AL94" s="69">
        <f t="shared" ref="AL94:AN94" si="87">SUBTOTAL(9,AL64:AL91)</f>
        <v>2247400</v>
      </c>
      <c r="AM94" s="69">
        <f>SUBTOTAL(9,AM64:AM91)</f>
        <v>440600</v>
      </c>
      <c r="AN94" s="238">
        <f t="shared" si="87"/>
        <v>1806800</v>
      </c>
      <c r="AP94" s="39">
        <v>2233600</v>
      </c>
      <c r="AQ94" s="39">
        <v>438700</v>
      </c>
      <c r="AR94" s="39">
        <v>1794900</v>
      </c>
      <c r="AS94" s="265">
        <f t="shared" si="73"/>
        <v>-7500</v>
      </c>
      <c r="AT94" s="265">
        <f t="shared" si="74"/>
        <v>-1800</v>
      </c>
      <c r="AU94" s="265">
        <f t="shared" si="75"/>
        <v>-5700</v>
      </c>
    </row>
    <row r="95" spans="1:47" x14ac:dyDescent="0.2">
      <c r="A95" s="408"/>
      <c r="B95" s="394"/>
      <c r="C95" s="99"/>
      <c r="D95" s="76"/>
      <c r="E95" s="133"/>
      <c r="F95" s="9"/>
      <c r="G95" s="29"/>
      <c r="H95" s="133"/>
      <c r="I95" s="9"/>
      <c r="J95" s="29"/>
      <c r="K95" s="133"/>
      <c r="L95" s="9"/>
      <c r="M95" s="29"/>
      <c r="N95" s="133"/>
      <c r="O95" s="9"/>
      <c r="P95" s="29"/>
      <c r="Q95" s="133"/>
      <c r="R95" s="9"/>
      <c r="S95" s="47"/>
      <c r="T95" s="89"/>
      <c r="U95" s="9"/>
      <c r="V95" s="29"/>
      <c r="W95" s="133"/>
      <c r="X95" s="9"/>
      <c r="Y95" s="29"/>
      <c r="Z95" s="133"/>
      <c r="AA95" s="9"/>
      <c r="AB95" s="29"/>
      <c r="AC95" s="133"/>
      <c r="AD95" s="9"/>
      <c r="AE95" s="29"/>
      <c r="AF95" s="133"/>
      <c r="AG95" s="9"/>
      <c r="AH95" s="29"/>
      <c r="AI95" s="133"/>
      <c r="AJ95" s="9"/>
      <c r="AK95" s="47"/>
      <c r="AL95" s="133"/>
      <c r="AM95" s="9"/>
      <c r="AN95" s="47"/>
      <c r="AS95" s="265">
        <f t="shared" si="73"/>
        <v>0</v>
      </c>
      <c r="AT95" s="265">
        <f t="shared" si="74"/>
        <v>0</v>
      </c>
      <c r="AU95" s="265">
        <f t="shared" si="75"/>
        <v>0</v>
      </c>
    </row>
    <row r="96" spans="1:47" x14ac:dyDescent="0.2">
      <c r="A96" s="1310" t="s">
        <v>3222</v>
      </c>
      <c r="B96" s="394"/>
      <c r="C96" s="99"/>
      <c r="D96" s="76"/>
      <c r="E96" s="133"/>
      <c r="F96" s="9"/>
      <c r="G96" s="29"/>
      <c r="H96" s="394"/>
      <c r="I96" s="97"/>
      <c r="J96" s="29"/>
      <c r="K96" s="394"/>
      <c r="L96" s="97"/>
      <c r="M96" s="29"/>
      <c r="N96" s="394"/>
      <c r="O96" s="97"/>
      <c r="P96" s="49"/>
      <c r="Q96" s="129"/>
      <c r="R96" s="97"/>
      <c r="S96" s="61"/>
      <c r="T96" s="129"/>
      <c r="U96" s="97"/>
      <c r="V96" s="46"/>
      <c r="W96" s="913"/>
      <c r="X96" s="97"/>
      <c r="Y96" s="49"/>
      <c r="Z96" s="913"/>
      <c r="AA96" s="97"/>
      <c r="AB96" s="49"/>
      <c r="AC96" s="129"/>
      <c r="AD96" s="97"/>
      <c r="AE96" s="46"/>
      <c r="AF96" s="913"/>
      <c r="AG96" s="97"/>
      <c r="AH96" s="76"/>
      <c r="AI96" s="129"/>
      <c r="AJ96" s="97"/>
      <c r="AK96" s="47"/>
      <c r="AL96" s="129"/>
      <c r="AM96" s="97"/>
      <c r="AN96" s="47"/>
      <c r="AS96" s="265">
        <f t="shared" si="73"/>
        <v>0</v>
      </c>
      <c r="AT96" s="265">
        <f t="shared" si="74"/>
        <v>0</v>
      </c>
      <c r="AU96" s="265">
        <f t="shared" si="75"/>
        <v>0</v>
      </c>
    </row>
    <row r="97" spans="1:51" x14ac:dyDescent="0.2">
      <c r="A97" s="408" t="s">
        <v>1317</v>
      </c>
      <c r="B97" s="99">
        <v>87000</v>
      </c>
      <c r="C97" s="99"/>
      <c r="D97" s="218">
        <f>B97-C97</f>
        <v>87000</v>
      </c>
      <c r="E97" s="394">
        <v>54600</v>
      </c>
      <c r="F97" s="97"/>
      <c r="G97" s="218">
        <f t="shared" ref="G97:G115" si="88">E97-F97</f>
        <v>54600</v>
      </c>
      <c r="H97" s="99">
        <f>GM!H859</f>
        <v>14000</v>
      </c>
      <c r="I97" s="97"/>
      <c r="J97" s="1403">
        <f t="shared" ref="J97:J115" si="89">H97-I97</f>
        <v>14000</v>
      </c>
      <c r="K97" s="394">
        <f>GM!J859</f>
        <v>58000</v>
      </c>
      <c r="L97" s="97"/>
      <c r="M97" s="218">
        <f>K97-L97</f>
        <v>58000</v>
      </c>
      <c r="N97" s="99">
        <f>GM!K859</f>
        <v>63000</v>
      </c>
      <c r="O97" s="97"/>
      <c r="P97" s="218">
        <f>N97-O97</f>
        <v>63000</v>
      </c>
      <c r="Q97" s="129">
        <f>GM!L859</f>
        <v>15000</v>
      </c>
      <c r="R97" s="97"/>
      <c r="S97" s="353">
        <f>Q97-R97</f>
        <v>15000</v>
      </c>
      <c r="T97" s="129">
        <f>GM!M859</f>
        <v>31000</v>
      </c>
      <c r="U97" s="97"/>
      <c r="V97" s="129">
        <f>T97-U97</f>
        <v>31000</v>
      </c>
      <c r="W97" s="913">
        <f>GM!N859</f>
        <v>30000</v>
      </c>
      <c r="X97" s="97"/>
      <c r="Y97" s="354">
        <f>W97-X97</f>
        <v>30000</v>
      </c>
      <c r="Z97" s="913">
        <f>GM!O859</f>
        <v>36000</v>
      </c>
      <c r="AA97" s="97"/>
      <c r="AB97" s="354">
        <f>Z97-AA97</f>
        <v>36000</v>
      </c>
      <c r="AC97" s="129">
        <f>GM!P859</f>
        <v>29000</v>
      </c>
      <c r="AD97" s="97"/>
      <c r="AE97" s="129">
        <f>AC97-AD97</f>
        <v>29000</v>
      </c>
      <c r="AF97" s="913">
        <f>GM!Q859</f>
        <v>28000</v>
      </c>
      <c r="AG97" s="97"/>
      <c r="AH97" s="354">
        <f>AF97-AG97</f>
        <v>28000</v>
      </c>
      <c r="AI97" s="129">
        <f>GM!R859</f>
        <v>28000</v>
      </c>
      <c r="AJ97" s="97"/>
      <c r="AK97" s="353">
        <f>AI97-AJ97</f>
        <v>28000</v>
      </c>
      <c r="AL97" s="129">
        <f>GM!S859</f>
        <v>28000</v>
      </c>
      <c r="AM97" s="97"/>
      <c r="AN97" s="353">
        <f>AL97-AM97</f>
        <v>28000</v>
      </c>
      <c r="AO97" s="265"/>
      <c r="AP97" s="265">
        <v>27000</v>
      </c>
      <c r="AQ97" s="265"/>
      <c r="AR97" s="265">
        <v>27000</v>
      </c>
      <c r="AS97" s="265">
        <f t="shared" si="73"/>
        <v>1000</v>
      </c>
      <c r="AT97" s="265">
        <f t="shared" si="74"/>
        <v>0</v>
      </c>
      <c r="AU97" s="265">
        <f t="shared" si="75"/>
        <v>1000</v>
      </c>
      <c r="AV97" s="265"/>
      <c r="AW97" s="265"/>
      <c r="AX97" s="265"/>
      <c r="AY97" s="265"/>
    </row>
    <row r="98" spans="1:51" x14ac:dyDescent="0.2">
      <c r="A98" s="633" t="s">
        <v>5840</v>
      </c>
      <c r="B98" s="394">
        <f>1660000-455000</f>
        <v>1205000</v>
      </c>
      <c r="C98" s="99">
        <v>360000</v>
      </c>
      <c r="D98" s="218">
        <f>B98-C98</f>
        <v>845000</v>
      </c>
      <c r="E98" s="394">
        <v>719600</v>
      </c>
      <c r="F98" s="97">
        <v>114200</v>
      </c>
      <c r="G98" s="218">
        <f t="shared" si="88"/>
        <v>605400</v>
      </c>
      <c r="H98" s="99">
        <f>'Cap Inc'!F125-H68+'Cap Inc'!F124</f>
        <v>0</v>
      </c>
      <c r="I98" s="97">
        <f>SUM(GM!H878:H881)+GM!H933+'Cap-Gen'!G41</f>
        <v>773400</v>
      </c>
      <c r="J98" s="218">
        <f>H98-I98</f>
        <v>-773400</v>
      </c>
      <c r="K98" s="394">
        <f>'Cap Inc'!G126</f>
        <v>2675000</v>
      </c>
      <c r="L98" s="97">
        <f>SUM(GM!J878:J881)+GM!J933+'Cap-Gen'!H41</f>
        <v>2605400</v>
      </c>
      <c r="M98" s="218">
        <f>K98-L98</f>
        <v>69600</v>
      </c>
      <c r="N98" s="99">
        <f>'Cap Inc'!H126</f>
        <v>2675000</v>
      </c>
      <c r="O98" s="97">
        <f>SUM(GM!K878:K881)+GM!K933+'Cap-Gen'!I41</f>
        <v>107800</v>
      </c>
      <c r="P98" s="218">
        <f>N98-O98</f>
        <v>2567200</v>
      </c>
      <c r="Q98" s="129">
        <f>'Cap Inc'!I126</f>
        <v>600000</v>
      </c>
      <c r="R98" s="97">
        <f>SUM(GM!L878:L881)+GM!L933+'Cap-Gen'!J41</f>
        <v>1060400</v>
      </c>
      <c r="S98" s="741">
        <f>Q98-R98</f>
        <v>-460400</v>
      </c>
      <c r="T98" s="129">
        <f>'Cap Inc'!J126</f>
        <v>600000</v>
      </c>
      <c r="U98" s="97">
        <f>SUM(GM!M878:M881)+GM!M933+'Cap-Gen'!K41</f>
        <v>113000</v>
      </c>
      <c r="V98" s="129">
        <f>T98-U98</f>
        <v>487000</v>
      </c>
      <c r="W98" s="913">
        <f>'Cap Inc'!K126</f>
        <v>600000</v>
      </c>
      <c r="X98" s="97">
        <f>SUM(GM!N878:N881)+GM!N933+'Cap-Gen'!L41</f>
        <v>115600</v>
      </c>
      <c r="Y98" s="354">
        <f>W98-X98</f>
        <v>484400</v>
      </c>
      <c r="Z98" s="913">
        <f>'Cap Inc'!L126</f>
        <v>600000</v>
      </c>
      <c r="AA98" s="97">
        <f>SUM(GM!O878:O881)+GM!O933+'Cap-Gen'!M41</f>
        <v>1118400</v>
      </c>
      <c r="AB98" s="354">
        <f>Z98-AA98</f>
        <v>-518400</v>
      </c>
      <c r="AC98" s="129">
        <f>'Cap Inc'!M126</f>
        <v>600000</v>
      </c>
      <c r="AD98" s="97">
        <f>SUM(GM!P878:P881)+GM!P933</f>
        <v>121200</v>
      </c>
      <c r="AE98" s="129">
        <f>AC98-AD98</f>
        <v>478800</v>
      </c>
      <c r="AF98" s="913">
        <f>'Cap Inc'!N126</f>
        <v>600000</v>
      </c>
      <c r="AG98" s="97">
        <f>SUM(GM!Q878:Q881)+GM!Q933</f>
        <v>124000</v>
      </c>
      <c r="AH98" s="354">
        <f>AF98-AG98</f>
        <v>476000</v>
      </c>
      <c r="AI98" s="129">
        <f>'Cap Inc'!O126</f>
        <v>600000</v>
      </c>
      <c r="AJ98" s="97">
        <f>SUM(GM!R878:R881)+GM!R933</f>
        <v>126900</v>
      </c>
      <c r="AK98" s="353">
        <f>AI98-AJ98</f>
        <v>473100</v>
      </c>
      <c r="AL98" s="129">
        <f>'Cap Inc'!P126</f>
        <v>600000</v>
      </c>
      <c r="AM98" s="97">
        <f>SUM(GM!S878:S881)+GM!S933</f>
        <v>129900</v>
      </c>
      <c r="AN98" s="353">
        <f>AL98-AM98</f>
        <v>470100</v>
      </c>
      <c r="AO98" s="265"/>
      <c r="AP98" s="265">
        <v>600000</v>
      </c>
      <c r="AQ98" s="265">
        <v>138700</v>
      </c>
      <c r="AR98" s="265">
        <v>461300</v>
      </c>
      <c r="AS98" s="265">
        <f t="shared" si="73"/>
        <v>0</v>
      </c>
      <c r="AT98" s="265">
        <f t="shared" si="74"/>
        <v>-11800</v>
      </c>
      <c r="AU98" s="265">
        <f t="shared" si="75"/>
        <v>11800</v>
      </c>
      <c r="AV98" s="265"/>
      <c r="AW98" s="265"/>
      <c r="AX98" s="265"/>
      <c r="AY98" s="265"/>
    </row>
    <row r="99" spans="1:51" x14ac:dyDescent="0.2">
      <c r="A99" s="633" t="s">
        <v>5841</v>
      </c>
      <c r="B99" s="394">
        <f>'Cap Inc'!B131</f>
        <v>0</v>
      </c>
      <c r="C99" s="99">
        <v>48000</v>
      </c>
      <c r="D99" s="218">
        <f>B99-C99</f>
        <v>-48000</v>
      </c>
      <c r="E99" s="394"/>
      <c r="F99" s="97">
        <f>60700+44200</f>
        <v>104900</v>
      </c>
      <c r="G99" s="218">
        <f t="shared" si="88"/>
        <v>-104900</v>
      </c>
      <c r="H99" s="394">
        <f>'Cap Inc'!F131-H93</f>
        <v>1390000</v>
      </c>
      <c r="I99" s="97">
        <f>SUM(GM!H882:H883)+GM!H934+'Cap-Gen'!G40</f>
        <v>611400</v>
      </c>
      <c r="J99" s="218">
        <f>H99-I99</f>
        <v>778600</v>
      </c>
      <c r="K99" s="394">
        <f>'Cap Inc'!G131</f>
        <v>0</v>
      </c>
      <c r="L99" s="97">
        <f>SUM(GM!J882:J883)+GM!J934+'Cap-Gen'!H40</f>
        <v>63100</v>
      </c>
      <c r="M99" s="218">
        <f>K99-L99</f>
        <v>-63100</v>
      </c>
      <c r="N99" s="99">
        <f>'Cap Inc'!H131</f>
        <v>0</v>
      </c>
      <c r="O99" s="97">
        <f>SUM(GM!K882:K883)+GM!K934+'Cap-Gen'!I40</f>
        <v>4564800</v>
      </c>
      <c r="P99" s="218">
        <f>N99-O99</f>
        <v>-4564800</v>
      </c>
      <c r="Q99" s="129">
        <f>'Cap Inc'!I131</f>
        <v>360000</v>
      </c>
      <c r="R99" s="97">
        <f>SUM(GM!L882:L883)+GM!L934+'Cap-Gen'!J40</f>
        <v>66600</v>
      </c>
      <c r="S99" s="741">
        <f>Q99-R99</f>
        <v>293400</v>
      </c>
      <c r="T99" s="129">
        <f>'Cap Inc'!J131</f>
        <v>360000</v>
      </c>
      <c r="U99" s="97">
        <f>SUM(GM!M882:M883)+GM!M934+'Cap-Gen'!K40</f>
        <v>68400</v>
      </c>
      <c r="V99" s="129">
        <f>T99-U99</f>
        <v>291600</v>
      </c>
      <c r="W99" s="913">
        <f>'Cap Inc'!K131</f>
        <v>360000</v>
      </c>
      <c r="X99" s="97">
        <f>SUM(GM!N882:N883)+GM!N934+'Cap-Gen'!L40</f>
        <v>70200</v>
      </c>
      <c r="Y99" s="354">
        <f>W99-X99</f>
        <v>289800</v>
      </c>
      <c r="Z99" s="913">
        <f>'Cap Inc'!L131</f>
        <v>360000</v>
      </c>
      <c r="AA99" s="97">
        <f>SUM(GM!O882:O883)+GM!O934+'Cap-Gen'!M40</f>
        <v>72100</v>
      </c>
      <c r="AB99" s="354">
        <f>Z99-AA99</f>
        <v>287900</v>
      </c>
      <c r="AC99" s="129">
        <f>'Cap Inc'!M131</f>
        <v>360000</v>
      </c>
      <c r="AD99" s="97">
        <f>SUM(GM!P882:P883)+GM!P934</f>
        <v>74000</v>
      </c>
      <c r="AE99" s="129">
        <f>AC99-AD99</f>
        <v>286000</v>
      </c>
      <c r="AF99" s="913">
        <f>'Cap Inc'!N131</f>
        <v>360000</v>
      </c>
      <c r="AG99" s="97">
        <f>SUM(GM!Q882:Q883)+GM!Q934</f>
        <v>75900</v>
      </c>
      <c r="AH99" s="354">
        <f>AF99-AG99</f>
        <v>284100</v>
      </c>
      <c r="AI99" s="129">
        <f>'Cap Inc'!O131</f>
        <v>360000</v>
      </c>
      <c r="AJ99" s="97">
        <f>SUM(GM!R882:R883)+GM!R934</f>
        <v>77800</v>
      </c>
      <c r="AK99" s="353">
        <f>AI99-AJ99</f>
        <v>282200</v>
      </c>
      <c r="AL99" s="129">
        <f>'Cap Inc'!P131</f>
        <v>360000</v>
      </c>
      <c r="AM99" s="97">
        <f>SUM(GM!S882:S883)+GM!S934</f>
        <v>79900</v>
      </c>
      <c r="AN99" s="353">
        <f>AL99-AM99</f>
        <v>280100</v>
      </c>
      <c r="AO99" s="265"/>
      <c r="AP99" s="265">
        <v>360000</v>
      </c>
      <c r="AQ99" s="265">
        <v>79700</v>
      </c>
      <c r="AR99" s="265">
        <v>280300</v>
      </c>
      <c r="AS99" s="265">
        <f t="shared" si="73"/>
        <v>0</v>
      </c>
      <c r="AT99" s="265">
        <f t="shared" si="74"/>
        <v>-1900</v>
      </c>
      <c r="AU99" s="265">
        <f t="shared" si="75"/>
        <v>1900</v>
      </c>
      <c r="AV99" s="265"/>
      <c r="AW99" s="265"/>
      <c r="AX99" s="265"/>
      <c r="AY99" s="265"/>
    </row>
    <row r="100" spans="1:51" x14ac:dyDescent="0.2">
      <c r="A100" s="633" t="s">
        <v>5842</v>
      </c>
      <c r="B100" s="394">
        <f>'Cap Inc'!B135</f>
        <v>175600</v>
      </c>
      <c r="C100" s="99">
        <f>SUM(GM!D875:D877)+GM!D935+'Cap-Gen'!E42</f>
        <v>278000</v>
      </c>
      <c r="D100" s="218">
        <f t="shared" ref="D100:D113" si="90">B100-C100</f>
        <v>-102400</v>
      </c>
      <c r="E100" s="394">
        <v>387500</v>
      </c>
      <c r="F100" s="97">
        <f>851000+55900</f>
        <v>906900</v>
      </c>
      <c r="G100" s="218">
        <f t="shared" si="88"/>
        <v>-519400</v>
      </c>
      <c r="H100" s="99">
        <f>'Cap Inc'!F135</f>
        <v>3990000</v>
      </c>
      <c r="I100" s="97">
        <f>SUM(GM!H875:H877)+GM!H935+'Cap-Gen'!G42</f>
        <v>2023800</v>
      </c>
      <c r="J100" s="218">
        <f t="shared" si="89"/>
        <v>1966200</v>
      </c>
      <c r="K100" s="394">
        <f>'Cap Inc'!G135</f>
        <v>1980000</v>
      </c>
      <c r="L100" s="97">
        <f>SUM(GM!J875:J877)+GM!J935+'Cap-Gen'!H42</f>
        <v>1770200</v>
      </c>
      <c r="M100" s="218">
        <f t="shared" ref="M100:M114" si="91">K100-L100</f>
        <v>209800</v>
      </c>
      <c r="N100" s="99">
        <f>'Cap Inc'!H135</f>
        <v>1980000</v>
      </c>
      <c r="O100" s="97">
        <f>SUM(GM!K875:K877)+GM!K935+'Cap-Gen'!I42</f>
        <v>1892500</v>
      </c>
      <c r="P100" s="218">
        <f t="shared" ref="P100:P114" si="92">N100-O100</f>
        <v>87500</v>
      </c>
      <c r="Q100" s="129">
        <f>'Cap Inc'!I135</f>
        <v>1980000</v>
      </c>
      <c r="R100" s="97">
        <f>SUM(GM!L875:L877)+GM!L935+'Cap-Gen'!J42</f>
        <v>94900</v>
      </c>
      <c r="S100" s="741">
        <f t="shared" ref="S100:S114" si="93">Q100-R100</f>
        <v>1885100</v>
      </c>
      <c r="T100" s="129">
        <f>'Cap Inc'!J135</f>
        <v>440000</v>
      </c>
      <c r="U100" s="97">
        <f>SUM(GM!M875:M877)+GM!M935+'Cap-Gen'!K42</f>
        <v>97300</v>
      </c>
      <c r="V100" s="129">
        <f t="shared" ref="V100:V114" si="94">T100-U100</f>
        <v>342700</v>
      </c>
      <c r="W100" s="913">
        <f>'Cap Inc'!K135</f>
        <v>0</v>
      </c>
      <c r="X100" s="97">
        <f>SUM(GM!N875:N877)+GM!N935</f>
        <v>0</v>
      </c>
      <c r="Y100" s="354">
        <f t="shared" ref="Y100:Y114" si="95">W100-X100</f>
        <v>0</v>
      </c>
      <c r="Z100" s="913">
        <f>'Cap Inc'!L135</f>
        <v>0</v>
      </c>
      <c r="AA100" s="97">
        <f>SUM(GM!O875:O877)+GM!O935</f>
        <v>0</v>
      </c>
      <c r="AB100" s="354">
        <f t="shared" ref="AB100:AB114" si="96">Z100-AA100</f>
        <v>0</v>
      </c>
      <c r="AC100" s="129">
        <f>'Cap Inc'!M135</f>
        <v>0</v>
      </c>
      <c r="AD100" s="97">
        <f>SUM(GM!P875:P877)+GM!P935</f>
        <v>0</v>
      </c>
      <c r="AE100" s="129">
        <f t="shared" ref="AE100" si="97">AC100-AD100</f>
        <v>0</v>
      </c>
      <c r="AF100" s="913">
        <f>'Cap Inc'!N135</f>
        <v>0</v>
      </c>
      <c r="AG100" s="97">
        <f>SUM(GM!Q875:Q877)+GM!Q935</f>
        <v>0</v>
      </c>
      <c r="AH100" s="354">
        <f t="shared" ref="AH100:AH103" si="98">AF100-AG100</f>
        <v>0</v>
      </c>
      <c r="AI100" s="129">
        <f>'Cap Inc'!O135</f>
        <v>0</v>
      </c>
      <c r="AJ100" s="97">
        <f>SUM(GM!R875:R877)+GM!R935</f>
        <v>0</v>
      </c>
      <c r="AK100" s="353">
        <f t="shared" ref="AK100:AK103" si="99">AI100-AJ100</f>
        <v>0</v>
      </c>
      <c r="AL100" s="129">
        <f>'Cap Inc'!P135</f>
        <v>0</v>
      </c>
      <c r="AM100" s="97">
        <f>SUM(GM!S875:S877)+GM!S935</f>
        <v>0</v>
      </c>
      <c r="AN100" s="353">
        <f t="shared" ref="AN100:AN101" si="100">AL100-AM100</f>
        <v>0</v>
      </c>
      <c r="AO100" s="265"/>
      <c r="AP100" s="265">
        <v>0</v>
      </c>
      <c r="AQ100" s="265">
        <v>0</v>
      </c>
      <c r="AR100" s="265">
        <v>0</v>
      </c>
      <c r="AS100" s="265">
        <f t="shared" si="73"/>
        <v>0</v>
      </c>
      <c r="AT100" s="265">
        <f t="shared" si="74"/>
        <v>0</v>
      </c>
      <c r="AU100" s="265">
        <f t="shared" si="75"/>
        <v>0</v>
      </c>
      <c r="AV100" s="265"/>
      <c r="AW100" s="265"/>
      <c r="AX100" s="265"/>
      <c r="AY100" s="265"/>
    </row>
    <row r="101" spans="1:51" x14ac:dyDescent="0.2">
      <c r="A101" s="633" t="s">
        <v>5839</v>
      </c>
      <c r="B101" s="394">
        <v>144500</v>
      </c>
      <c r="C101" s="99"/>
      <c r="D101" s="218">
        <f>B101-C101</f>
        <v>144500</v>
      </c>
      <c r="E101" s="394">
        <v>146200</v>
      </c>
      <c r="F101" s="97"/>
      <c r="G101" s="218">
        <f t="shared" si="88"/>
        <v>146200</v>
      </c>
      <c r="H101" s="99">
        <f>GM!H829</f>
        <v>150400</v>
      </c>
      <c r="I101" s="97"/>
      <c r="J101" s="218">
        <f>H101-I101</f>
        <v>150400</v>
      </c>
      <c r="K101" s="394">
        <f>GM!J829</f>
        <v>153000</v>
      </c>
      <c r="L101" s="97"/>
      <c r="M101" s="218">
        <f>K101-L101</f>
        <v>153000</v>
      </c>
      <c r="N101" s="99">
        <f>GM!K829</f>
        <v>156100</v>
      </c>
      <c r="O101" s="97"/>
      <c r="P101" s="218">
        <f>N101-O101</f>
        <v>156100</v>
      </c>
      <c r="Q101" s="129">
        <f>GM!L829</f>
        <v>159200</v>
      </c>
      <c r="R101" s="97"/>
      <c r="S101" s="741">
        <f>Q101-R101</f>
        <v>159200</v>
      </c>
      <c r="T101" s="129">
        <f>GM!M829</f>
        <v>162400</v>
      </c>
      <c r="U101" s="97"/>
      <c r="V101" s="129">
        <f>T101-U101</f>
        <v>162400</v>
      </c>
      <c r="W101" s="913">
        <f>GM!N829</f>
        <v>165600</v>
      </c>
      <c r="X101" s="97"/>
      <c r="Y101" s="354">
        <f>W101-X101</f>
        <v>165600</v>
      </c>
      <c r="Z101" s="913">
        <f>GM!O829</f>
        <v>168900</v>
      </c>
      <c r="AA101" s="97"/>
      <c r="AB101" s="354">
        <f>Z101-AA101</f>
        <v>168900</v>
      </c>
      <c r="AC101" s="129">
        <f>GM!P829</f>
        <v>172300</v>
      </c>
      <c r="AD101" s="97"/>
      <c r="AE101" s="129">
        <f t="shared" ref="AE101:AE103" si="101">AC101-AD101</f>
        <v>172300</v>
      </c>
      <c r="AF101" s="913">
        <f>GM!Q829</f>
        <v>175700</v>
      </c>
      <c r="AG101" s="97"/>
      <c r="AH101" s="354">
        <f t="shared" si="98"/>
        <v>175700</v>
      </c>
      <c r="AI101" s="129">
        <f>GM!R829</f>
        <v>179200</v>
      </c>
      <c r="AJ101" s="97"/>
      <c r="AK101" s="353">
        <f t="shared" si="99"/>
        <v>179200</v>
      </c>
      <c r="AL101" s="129">
        <f>GM!S829</f>
        <v>182800</v>
      </c>
      <c r="AM101" s="97"/>
      <c r="AN101" s="353">
        <f t="shared" si="100"/>
        <v>182800</v>
      </c>
      <c r="AO101" s="265"/>
      <c r="AP101" s="265">
        <v>179800</v>
      </c>
      <c r="AQ101" s="265"/>
      <c r="AR101" s="265">
        <v>179800</v>
      </c>
      <c r="AS101" s="265">
        <f t="shared" si="73"/>
        <v>-600</v>
      </c>
      <c r="AT101" s="265">
        <f t="shared" si="74"/>
        <v>0</v>
      </c>
      <c r="AU101" s="265">
        <f t="shared" si="75"/>
        <v>-600</v>
      </c>
      <c r="AV101" s="265"/>
      <c r="AW101" s="265"/>
      <c r="AX101" s="265"/>
      <c r="AY101" s="265"/>
    </row>
    <row r="102" spans="1:51" x14ac:dyDescent="0.2">
      <c r="A102" s="633" t="s">
        <v>6950</v>
      </c>
      <c r="B102" s="99"/>
      <c r="C102" s="99"/>
      <c r="D102" s="218"/>
      <c r="E102" s="394"/>
      <c r="F102" s="97"/>
      <c r="G102" s="218">
        <f t="shared" si="88"/>
        <v>0</v>
      </c>
      <c r="H102" s="99"/>
      <c r="I102" s="97"/>
      <c r="J102" s="218"/>
      <c r="K102" s="394">
        <f>'Cap Inc'!G140</f>
        <v>3000000</v>
      </c>
      <c r="L102" s="97">
        <f>K102</f>
        <v>3000000</v>
      </c>
      <c r="M102" s="218">
        <f t="shared" ref="M102:M111" si="102">K102-L102</f>
        <v>0</v>
      </c>
      <c r="N102" s="99"/>
      <c r="O102" s="97"/>
      <c r="P102" s="218"/>
      <c r="Q102" s="129"/>
      <c r="R102" s="97"/>
      <c r="S102" s="741"/>
      <c r="T102" s="129"/>
      <c r="U102" s="97"/>
      <c r="V102" s="129"/>
      <c r="W102" s="913"/>
      <c r="X102" s="97"/>
      <c r="Y102" s="354"/>
      <c r="Z102" s="913"/>
      <c r="AA102" s="97"/>
      <c r="AB102" s="354"/>
      <c r="AC102" s="129"/>
      <c r="AD102" s="97"/>
      <c r="AE102" s="129"/>
      <c r="AF102" s="913"/>
      <c r="AG102" s="97"/>
      <c r="AH102" s="354"/>
      <c r="AI102" s="129"/>
      <c r="AJ102" s="97"/>
      <c r="AK102" s="741"/>
      <c r="AL102" s="129"/>
      <c r="AM102" s="97"/>
      <c r="AN102" s="741"/>
      <c r="AO102" s="265"/>
      <c r="AP102" s="265"/>
      <c r="AQ102" s="265"/>
      <c r="AR102" s="265"/>
      <c r="AS102" s="265">
        <f t="shared" si="73"/>
        <v>0</v>
      </c>
      <c r="AT102" s="265">
        <f t="shared" si="74"/>
        <v>0</v>
      </c>
      <c r="AU102" s="265">
        <f t="shared" si="75"/>
        <v>0</v>
      </c>
      <c r="AV102" s="265"/>
      <c r="AW102" s="265"/>
      <c r="AX102" s="265"/>
      <c r="AY102" s="265"/>
    </row>
    <row r="103" spans="1:51" x14ac:dyDescent="0.2">
      <c r="A103" s="633" t="s">
        <v>3568</v>
      </c>
      <c r="B103" s="99">
        <f>B66</f>
        <v>129500</v>
      </c>
      <c r="C103" s="99">
        <f>C66</f>
        <v>3000</v>
      </c>
      <c r="D103" s="218">
        <f>B103-C103</f>
        <v>126500</v>
      </c>
      <c r="E103" s="394">
        <v>124500</v>
      </c>
      <c r="F103" s="97"/>
      <c r="G103" s="218">
        <f t="shared" si="88"/>
        <v>124500</v>
      </c>
      <c r="H103" s="99">
        <f>H66</f>
        <v>127200</v>
      </c>
      <c r="I103" s="97">
        <f>I66</f>
        <v>2400</v>
      </c>
      <c r="J103" s="218">
        <f>H103-I103</f>
        <v>124800</v>
      </c>
      <c r="K103" s="394">
        <f>K66</f>
        <v>129500</v>
      </c>
      <c r="L103" s="97">
        <f>L66</f>
        <v>2500</v>
      </c>
      <c r="M103" s="218">
        <f t="shared" si="102"/>
        <v>127000</v>
      </c>
      <c r="N103" s="99">
        <f>N66</f>
        <v>132100</v>
      </c>
      <c r="O103" s="97">
        <f>O66</f>
        <v>2600</v>
      </c>
      <c r="P103" s="218">
        <f>N103-O103</f>
        <v>129500</v>
      </c>
      <c r="Q103" s="99">
        <f>Q66</f>
        <v>134800</v>
      </c>
      <c r="R103" s="97">
        <f>R66</f>
        <v>2700</v>
      </c>
      <c r="S103" s="353">
        <f>Q103-R103</f>
        <v>132100</v>
      </c>
      <c r="T103" s="99">
        <f>T66</f>
        <v>137500</v>
      </c>
      <c r="U103" s="97">
        <f>U66</f>
        <v>2800</v>
      </c>
      <c r="V103" s="129">
        <f>T103-U103</f>
        <v>134700</v>
      </c>
      <c r="W103" s="394">
        <f>W66</f>
        <v>140200</v>
      </c>
      <c r="X103" s="97">
        <f>X66</f>
        <v>2900</v>
      </c>
      <c r="Y103" s="354">
        <f>W103-X103</f>
        <v>137300</v>
      </c>
      <c r="Z103" s="394">
        <f>Z66</f>
        <v>143000</v>
      </c>
      <c r="AA103" s="97">
        <f>AA66</f>
        <v>3000</v>
      </c>
      <c r="AB103" s="354">
        <f>Z103-AA103</f>
        <v>140000</v>
      </c>
      <c r="AC103" s="99">
        <f>AC66</f>
        <v>145900</v>
      </c>
      <c r="AD103" s="97">
        <f>AD66</f>
        <v>3100</v>
      </c>
      <c r="AE103" s="129">
        <f t="shared" si="101"/>
        <v>142800</v>
      </c>
      <c r="AF103" s="394">
        <f>AF66</f>
        <v>148800</v>
      </c>
      <c r="AG103" s="97">
        <f>AG66</f>
        <v>3200</v>
      </c>
      <c r="AH103" s="354">
        <f t="shared" si="98"/>
        <v>145600</v>
      </c>
      <c r="AI103" s="99">
        <f>AI66</f>
        <v>151800</v>
      </c>
      <c r="AJ103" s="97">
        <f>AJ66</f>
        <v>3300</v>
      </c>
      <c r="AK103" s="741">
        <f t="shared" si="99"/>
        <v>148500</v>
      </c>
      <c r="AL103" s="99">
        <f>AL66</f>
        <v>154800</v>
      </c>
      <c r="AM103" s="97">
        <f>AM66</f>
        <v>3400</v>
      </c>
      <c r="AN103" s="741">
        <f t="shared" ref="AN103" si="103">AL103-AM103</f>
        <v>151400</v>
      </c>
      <c r="AO103" s="265"/>
      <c r="AP103" s="265">
        <v>152000</v>
      </c>
      <c r="AQ103" s="265">
        <v>5900</v>
      </c>
      <c r="AR103" s="265">
        <v>146100</v>
      </c>
      <c r="AS103" s="265">
        <f t="shared" si="73"/>
        <v>-200</v>
      </c>
      <c r="AT103" s="265">
        <f t="shared" si="74"/>
        <v>-2600</v>
      </c>
      <c r="AU103" s="265">
        <f t="shared" si="75"/>
        <v>2400</v>
      </c>
      <c r="AV103" s="265"/>
      <c r="AW103" s="265"/>
      <c r="AX103" s="265"/>
      <c r="AY103" s="265"/>
    </row>
    <row r="104" spans="1:51" x14ac:dyDescent="0.2">
      <c r="A104" s="633" t="s">
        <v>3847</v>
      </c>
      <c r="B104" s="99"/>
      <c r="C104" s="99"/>
      <c r="D104" s="218"/>
      <c r="E104" s="394"/>
      <c r="F104" s="99"/>
      <c r="G104" s="218">
        <f t="shared" si="88"/>
        <v>0</v>
      </c>
      <c r="H104" s="99"/>
      <c r="I104" s="129">
        <f>'Cap-Gen'!G95</f>
        <v>100000</v>
      </c>
      <c r="J104" s="218">
        <f>H104-I104</f>
        <v>-100000</v>
      </c>
      <c r="K104" s="394"/>
      <c r="L104" s="97"/>
      <c r="M104" s="218">
        <f t="shared" si="102"/>
        <v>0</v>
      </c>
      <c r="N104" s="99"/>
      <c r="O104" s="97"/>
      <c r="P104" s="218">
        <f>N104-O104</f>
        <v>0</v>
      </c>
      <c r="Q104" s="129"/>
      <c r="R104" s="97"/>
      <c r="S104" s="353">
        <f>Q104-R104</f>
        <v>0</v>
      </c>
      <c r="T104" s="129"/>
      <c r="U104" s="97"/>
      <c r="V104" s="129"/>
      <c r="W104" s="913"/>
      <c r="X104" s="97"/>
      <c r="Y104" s="354"/>
      <c r="Z104" s="913"/>
      <c r="AA104" s="97"/>
      <c r="AB104" s="354"/>
      <c r="AC104" s="129"/>
      <c r="AD104" s="97"/>
      <c r="AE104" s="129"/>
      <c r="AF104" s="913"/>
      <c r="AG104" s="97"/>
      <c r="AH104" s="354"/>
      <c r="AI104" s="129"/>
      <c r="AJ104" s="97"/>
      <c r="AK104" s="741"/>
      <c r="AL104" s="129"/>
      <c r="AM104" s="97"/>
      <c r="AN104" s="741"/>
      <c r="AO104" s="265"/>
      <c r="AP104" s="265"/>
      <c r="AQ104" s="265"/>
      <c r="AR104" s="265"/>
      <c r="AS104" s="265"/>
      <c r="AT104" s="265"/>
      <c r="AU104" s="265"/>
      <c r="AV104" s="265"/>
      <c r="AW104" s="265"/>
      <c r="AX104" s="265"/>
      <c r="AY104" s="265"/>
    </row>
    <row r="105" spans="1:51" x14ac:dyDescent="0.2">
      <c r="A105" s="633" t="s">
        <v>5515</v>
      </c>
      <c r="B105" s="99"/>
      <c r="C105" s="99">
        <v>15700</v>
      </c>
      <c r="D105" s="218">
        <f>B105-C105</f>
        <v>-15700</v>
      </c>
      <c r="E105" s="394">
        <v>203200</v>
      </c>
      <c r="F105" s="99">
        <f>84300+49700</f>
        <v>134000</v>
      </c>
      <c r="G105" s="218">
        <f t="shared" si="88"/>
        <v>69200</v>
      </c>
      <c r="H105" s="394">
        <f>'Cap Inc'!F139</f>
        <v>2500000</v>
      </c>
      <c r="I105" s="97">
        <f>+'Cap-Gen'!G43</f>
        <v>935700</v>
      </c>
      <c r="J105" s="218">
        <f>H105-I105</f>
        <v>1564300</v>
      </c>
      <c r="K105" s="394"/>
      <c r="L105" s="97"/>
      <c r="M105" s="218">
        <f t="shared" si="102"/>
        <v>0</v>
      </c>
      <c r="N105" s="99"/>
      <c r="O105" s="97"/>
      <c r="P105" s="218"/>
      <c r="Q105" s="129"/>
      <c r="R105" s="97"/>
      <c r="S105" s="353"/>
      <c r="T105" s="129"/>
      <c r="U105" s="97"/>
      <c r="V105" s="129"/>
      <c r="W105" s="913"/>
      <c r="X105" s="97"/>
      <c r="Y105" s="354"/>
      <c r="Z105" s="913"/>
      <c r="AA105" s="97"/>
      <c r="AB105" s="354"/>
      <c r="AC105" s="129"/>
      <c r="AD105" s="97"/>
      <c r="AE105" s="129"/>
      <c r="AF105" s="913"/>
      <c r="AG105" s="97"/>
      <c r="AH105" s="354"/>
      <c r="AI105" s="129"/>
      <c r="AJ105" s="97"/>
      <c r="AK105" s="741"/>
      <c r="AL105" s="129"/>
      <c r="AM105" s="97"/>
      <c r="AN105" s="741"/>
      <c r="AO105" s="265"/>
      <c r="AP105" s="265"/>
      <c r="AQ105" s="265"/>
      <c r="AR105" s="265"/>
      <c r="AS105" s="265">
        <f t="shared" si="73"/>
        <v>0</v>
      </c>
      <c r="AT105" s="265">
        <f t="shared" si="74"/>
        <v>0</v>
      </c>
      <c r="AU105" s="265">
        <f t="shared" si="75"/>
        <v>0</v>
      </c>
      <c r="AV105" s="265"/>
      <c r="AW105" s="265"/>
      <c r="AX105" s="265"/>
      <c r="AY105" s="265"/>
    </row>
    <row r="106" spans="1:51" x14ac:dyDescent="0.2">
      <c r="A106" s="633" t="s">
        <v>11831</v>
      </c>
      <c r="B106" s="99"/>
      <c r="C106" s="99"/>
      <c r="D106" s="218"/>
      <c r="E106" s="394"/>
      <c r="F106" s="99">
        <v>7400</v>
      </c>
      <c r="G106" s="218">
        <f t="shared" si="88"/>
        <v>-7400</v>
      </c>
      <c r="H106" s="99"/>
      <c r="I106" s="97"/>
      <c r="J106" s="218"/>
      <c r="K106" s="394"/>
      <c r="L106" s="97"/>
      <c r="M106" s="218"/>
      <c r="N106" s="99"/>
      <c r="O106" s="97"/>
      <c r="P106" s="218"/>
      <c r="Q106" s="129"/>
      <c r="R106" s="97"/>
      <c r="S106" s="741"/>
      <c r="T106" s="129"/>
      <c r="U106" s="97"/>
      <c r="V106" s="129"/>
      <c r="W106" s="913"/>
      <c r="X106" s="97"/>
      <c r="Y106" s="354"/>
      <c r="Z106" s="913"/>
      <c r="AA106" s="97"/>
      <c r="AB106" s="354"/>
      <c r="AC106" s="129"/>
      <c r="AD106" s="97"/>
      <c r="AE106" s="129"/>
      <c r="AF106" s="913"/>
      <c r="AG106" s="97"/>
      <c r="AH106" s="354"/>
      <c r="AI106" s="129"/>
      <c r="AJ106" s="97"/>
      <c r="AK106" s="741"/>
      <c r="AL106" s="129"/>
      <c r="AM106" s="97"/>
      <c r="AN106" s="741"/>
      <c r="AO106" s="265"/>
      <c r="AP106" s="265"/>
      <c r="AQ106" s="265"/>
      <c r="AR106" s="265"/>
      <c r="AS106" s="265"/>
      <c r="AT106" s="265"/>
      <c r="AU106" s="265"/>
      <c r="AV106" s="265"/>
      <c r="AW106" s="265"/>
      <c r="AX106" s="265"/>
      <c r="AY106" s="265"/>
    </row>
    <row r="107" spans="1:51" x14ac:dyDescent="0.2">
      <c r="A107" s="633" t="s">
        <v>6540</v>
      </c>
      <c r="B107" s="99"/>
      <c r="C107" s="99"/>
      <c r="D107" s="218"/>
      <c r="E107" s="394"/>
      <c r="F107" s="99">
        <v>33000</v>
      </c>
      <c r="G107" s="218">
        <f t="shared" si="88"/>
        <v>-33000</v>
      </c>
      <c r="H107" s="99"/>
      <c r="I107" s="97">
        <v>47000</v>
      </c>
      <c r="J107" s="218">
        <f>H107-I107</f>
        <v>-47000</v>
      </c>
      <c r="K107" s="394"/>
      <c r="L107" s="97"/>
      <c r="M107" s="218">
        <f t="shared" si="102"/>
        <v>0</v>
      </c>
      <c r="N107" s="99"/>
      <c r="O107" s="97"/>
      <c r="P107" s="218"/>
      <c r="Q107" s="129"/>
      <c r="R107" s="97"/>
      <c r="S107" s="741"/>
      <c r="T107" s="129"/>
      <c r="U107" s="97"/>
      <c r="V107" s="129"/>
      <c r="W107" s="913"/>
      <c r="X107" s="97"/>
      <c r="Y107" s="354"/>
      <c r="Z107" s="913"/>
      <c r="AA107" s="97"/>
      <c r="AB107" s="354"/>
      <c r="AC107" s="129"/>
      <c r="AD107" s="97"/>
      <c r="AE107" s="129"/>
      <c r="AF107" s="913"/>
      <c r="AG107" s="97"/>
      <c r="AH107" s="354"/>
      <c r="AI107" s="129"/>
      <c r="AJ107" s="97"/>
      <c r="AK107" s="741"/>
      <c r="AL107" s="129"/>
      <c r="AM107" s="97"/>
      <c r="AN107" s="741"/>
      <c r="AO107" s="265"/>
      <c r="AP107" s="265"/>
      <c r="AQ107" s="265"/>
      <c r="AR107" s="265"/>
      <c r="AS107" s="265">
        <f t="shared" si="73"/>
        <v>0</v>
      </c>
      <c r="AT107" s="265">
        <f t="shared" si="74"/>
        <v>0</v>
      </c>
      <c r="AU107" s="265">
        <f t="shared" si="75"/>
        <v>0</v>
      </c>
      <c r="AV107" s="265"/>
      <c r="AW107" s="265"/>
      <c r="AX107" s="265"/>
      <c r="AY107" s="265"/>
    </row>
    <row r="108" spans="1:51" x14ac:dyDescent="0.2">
      <c r="A108" s="633" t="s">
        <v>5836</v>
      </c>
      <c r="B108" s="394">
        <f>'Cap Inc'!B141-600</f>
        <v>450000</v>
      </c>
      <c r="C108" s="99"/>
      <c r="D108" s="218">
        <f t="shared" ref="D108" si="104">B108-C108</f>
        <v>450000</v>
      </c>
      <c r="E108" s="394"/>
      <c r="F108" s="97"/>
      <c r="G108" s="218">
        <f t="shared" si="88"/>
        <v>0</v>
      </c>
      <c r="H108" s="99"/>
      <c r="I108" s="97"/>
      <c r="J108" s="218"/>
      <c r="K108" s="394"/>
      <c r="L108" s="97"/>
      <c r="M108" s="218">
        <f t="shared" si="102"/>
        <v>0</v>
      </c>
      <c r="N108" s="99"/>
      <c r="O108" s="97"/>
      <c r="P108" s="218"/>
      <c r="Q108" s="129"/>
      <c r="R108" s="97"/>
      <c r="S108" s="741"/>
      <c r="T108" s="129"/>
      <c r="U108" s="97"/>
      <c r="V108" s="129"/>
      <c r="W108" s="913"/>
      <c r="X108" s="97"/>
      <c r="Y108" s="354"/>
      <c r="Z108" s="913"/>
      <c r="AA108" s="97"/>
      <c r="AB108" s="354"/>
      <c r="AC108" s="129"/>
      <c r="AD108" s="97"/>
      <c r="AE108" s="129"/>
      <c r="AF108" s="913"/>
      <c r="AG108" s="97"/>
      <c r="AH108" s="354"/>
      <c r="AI108" s="129"/>
      <c r="AJ108" s="97"/>
      <c r="AK108" s="741"/>
      <c r="AL108" s="129"/>
      <c r="AM108" s="97"/>
      <c r="AN108" s="741"/>
      <c r="AO108" s="265"/>
      <c r="AP108" s="265"/>
      <c r="AQ108" s="265"/>
      <c r="AR108" s="265"/>
      <c r="AS108" s="265">
        <f t="shared" si="73"/>
        <v>0</v>
      </c>
      <c r="AT108" s="265">
        <f t="shared" si="74"/>
        <v>0</v>
      </c>
      <c r="AU108" s="265">
        <f t="shared" si="75"/>
        <v>0</v>
      </c>
      <c r="AV108" s="265"/>
      <c r="AW108" s="265"/>
      <c r="AX108" s="265"/>
      <c r="AY108" s="265"/>
    </row>
    <row r="109" spans="1:51" x14ac:dyDescent="0.2">
      <c r="A109" s="615" t="s">
        <v>6539</v>
      </c>
      <c r="B109" s="394"/>
      <c r="C109" s="99"/>
      <c r="D109" s="218"/>
      <c r="E109" s="394">
        <v>47000</v>
      </c>
      <c r="F109" s="97">
        <v>14600</v>
      </c>
      <c r="G109" s="218">
        <f t="shared" si="88"/>
        <v>32400</v>
      </c>
      <c r="H109" s="99"/>
      <c r="I109" s="97"/>
      <c r="J109" s="218"/>
      <c r="K109" s="394"/>
      <c r="L109" s="97"/>
      <c r="M109" s="218">
        <f t="shared" si="102"/>
        <v>0</v>
      </c>
      <c r="N109" s="99"/>
      <c r="O109" s="97"/>
      <c r="P109" s="354"/>
      <c r="Q109" s="129"/>
      <c r="R109" s="97"/>
      <c r="S109" s="741"/>
      <c r="T109" s="129"/>
      <c r="U109" s="97"/>
      <c r="V109" s="129"/>
      <c r="W109" s="913"/>
      <c r="X109" s="97"/>
      <c r="Y109" s="354"/>
      <c r="Z109" s="913"/>
      <c r="AA109" s="97"/>
      <c r="AB109" s="354"/>
      <c r="AC109" s="129"/>
      <c r="AD109" s="97"/>
      <c r="AE109" s="129"/>
      <c r="AF109" s="913"/>
      <c r="AG109" s="97"/>
      <c r="AH109" s="354"/>
      <c r="AI109" s="129"/>
      <c r="AJ109" s="97"/>
      <c r="AK109" s="741"/>
      <c r="AL109" s="129"/>
      <c r="AM109" s="97"/>
      <c r="AN109" s="741"/>
      <c r="AO109" s="265"/>
      <c r="AP109" s="265"/>
      <c r="AQ109" s="265"/>
      <c r="AR109" s="265"/>
      <c r="AS109" s="265">
        <f t="shared" si="73"/>
        <v>0</v>
      </c>
      <c r="AT109" s="265">
        <f t="shared" si="74"/>
        <v>0</v>
      </c>
      <c r="AU109" s="265">
        <f t="shared" si="75"/>
        <v>0</v>
      </c>
      <c r="AV109" s="265"/>
      <c r="AW109" s="265"/>
      <c r="AX109" s="265"/>
      <c r="AY109" s="265"/>
    </row>
    <row r="110" spans="1:51" x14ac:dyDescent="0.2">
      <c r="A110" s="633" t="s">
        <v>6538</v>
      </c>
      <c r="B110" s="394"/>
      <c r="C110" s="99">
        <v>3300</v>
      </c>
      <c r="D110" s="218">
        <f>B110-C110</f>
        <v>-3300</v>
      </c>
      <c r="E110" s="394"/>
      <c r="F110" s="97"/>
      <c r="G110" s="218">
        <f t="shared" si="88"/>
        <v>0</v>
      </c>
      <c r="H110" s="99"/>
      <c r="I110" s="97"/>
      <c r="J110" s="218"/>
      <c r="K110" s="394"/>
      <c r="L110" s="97"/>
      <c r="M110" s="218">
        <f t="shared" si="102"/>
        <v>0</v>
      </c>
      <c r="N110" s="99"/>
      <c r="O110" s="97"/>
      <c r="P110" s="218"/>
      <c r="Q110" s="129"/>
      <c r="R110" s="97"/>
      <c r="S110" s="741"/>
      <c r="T110" s="129"/>
      <c r="U110" s="97"/>
      <c r="V110" s="129"/>
      <c r="W110" s="913"/>
      <c r="X110" s="97"/>
      <c r="Y110" s="354"/>
      <c r="Z110" s="913"/>
      <c r="AA110" s="97"/>
      <c r="AB110" s="354"/>
      <c r="AC110" s="129"/>
      <c r="AD110" s="97"/>
      <c r="AE110" s="129"/>
      <c r="AF110" s="913"/>
      <c r="AG110" s="97"/>
      <c r="AH110" s="354"/>
      <c r="AI110" s="129"/>
      <c r="AJ110" s="97"/>
      <c r="AK110" s="741"/>
      <c r="AL110" s="129"/>
      <c r="AM110" s="97"/>
      <c r="AN110" s="741"/>
      <c r="AO110" s="265"/>
      <c r="AP110" s="265"/>
      <c r="AQ110" s="265"/>
      <c r="AR110" s="265"/>
      <c r="AS110" s="265">
        <f t="shared" si="73"/>
        <v>0</v>
      </c>
      <c r="AT110" s="265">
        <f t="shared" si="74"/>
        <v>0</v>
      </c>
      <c r="AU110" s="265">
        <f t="shared" si="75"/>
        <v>0</v>
      </c>
      <c r="AV110" s="265"/>
      <c r="AW110" s="265"/>
      <c r="AX110" s="265"/>
      <c r="AY110" s="265"/>
    </row>
    <row r="111" spans="1:51" x14ac:dyDescent="0.2">
      <c r="A111" s="633" t="s">
        <v>5838</v>
      </c>
      <c r="B111" s="394"/>
      <c r="C111" s="99">
        <v>27000</v>
      </c>
      <c r="D111" s="218">
        <f>B111-C111</f>
        <v>-27000</v>
      </c>
      <c r="E111" s="394"/>
      <c r="F111" s="97"/>
      <c r="G111" s="218">
        <f t="shared" si="88"/>
        <v>0</v>
      </c>
      <c r="H111" s="99"/>
      <c r="I111" s="97"/>
      <c r="J111" s="218"/>
      <c r="K111" s="394"/>
      <c r="L111" s="97"/>
      <c r="M111" s="218">
        <f t="shared" si="102"/>
        <v>0</v>
      </c>
      <c r="N111" s="99"/>
      <c r="O111" s="97"/>
      <c r="P111" s="49"/>
      <c r="Q111" s="129"/>
      <c r="R111" s="97"/>
      <c r="S111" s="61"/>
      <c r="T111" s="129"/>
      <c r="U111" s="97"/>
      <c r="V111" s="46"/>
      <c r="W111" s="913"/>
      <c r="X111" s="97"/>
      <c r="Y111" s="354"/>
      <c r="Z111" s="913"/>
      <c r="AA111" s="97"/>
      <c r="AB111" s="354"/>
      <c r="AC111" s="129"/>
      <c r="AD111" s="97"/>
      <c r="AE111" s="129"/>
      <c r="AF111" s="913"/>
      <c r="AG111" s="97"/>
      <c r="AH111" s="354"/>
      <c r="AI111" s="129"/>
      <c r="AJ111" s="97"/>
      <c r="AK111" s="741"/>
      <c r="AL111" s="129"/>
      <c r="AM111" s="97"/>
      <c r="AN111" s="741"/>
      <c r="AO111" s="265"/>
      <c r="AP111" s="265"/>
      <c r="AQ111" s="265"/>
      <c r="AR111" s="265"/>
      <c r="AS111" s="265">
        <f t="shared" si="73"/>
        <v>0</v>
      </c>
      <c r="AT111" s="265">
        <f t="shared" si="74"/>
        <v>0</v>
      </c>
      <c r="AU111" s="265">
        <f t="shared" si="75"/>
        <v>0</v>
      </c>
      <c r="AV111" s="265"/>
      <c r="AW111" s="265"/>
      <c r="AX111" s="265"/>
      <c r="AY111" s="265"/>
    </row>
    <row r="112" spans="1:51" x14ac:dyDescent="0.2">
      <c r="A112" s="633" t="s">
        <v>6690</v>
      </c>
      <c r="B112" s="394"/>
      <c r="C112" s="99">
        <v>100000</v>
      </c>
      <c r="D112" s="218">
        <f>B112-C112</f>
        <v>-100000</v>
      </c>
      <c r="E112" s="394"/>
      <c r="F112" s="97"/>
      <c r="G112" s="218">
        <f t="shared" si="88"/>
        <v>0</v>
      </c>
      <c r="H112" s="99"/>
      <c r="I112" s="97">
        <v>4000000</v>
      </c>
      <c r="J112" s="218">
        <f>H112-I112</f>
        <v>-4000000</v>
      </c>
      <c r="K112" s="394"/>
      <c r="L112" s="97"/>
      <c r="M112" s="76"/>
      <c r="N112" s="99"/>
      <c r="O112" s="97"/>
      <c r="P112" s="49"/>
      <c r="Q112" s="129"/>
      <c r="R112" s="97"/>
      <c r="S112" s="61"/>
      <c r="T112" s="129"/>
      <c r="U112" s="97"/>
      <c r="V112" s="46"/>
      <c r="W112" s="913"/>
      <c r="X112" s="97"/>
      <c r="Y112" s="354"/>
      <c r="Z112" s="913"/>
      <c r="AA112" s="97"/>
      <c r="AB112" s="354"/>
      <c r="AC112" s="129"/>
      <c r="AD112" s="97"/>
      <c r="AE112" s="129"/>
      <c r="AF112" s="913"/>
      <c r="AG112" s="97"/>
      <c r="AH112" s="354"/>
      <c r="AI112" s="129"/>
      <c r="AJ112" s="97"/>
      <c r="AK112" s="741"/>
      <c r="AL112" s="129"/>
      <c r="AM112" s="97"/>
      <c r="AN112" s="741"/>
      <c r="AO112" s="265"/>
      <c r="AP112" s="265"/>
      <c r="AQ112" s="265"/>
      <c r="AR112" s="265"/>
      <c r="AS112" s="265">
        <f t="shared" si="73"/>
        <v>0</v>
      </c>
      <c r="AT112" s="265">
        <f t="shared" si="74"/>
        <v>0</v>
      </c>
      <c r="AU112" s="265">
        <f t="shared" si="75"/>
        <v>0</v>
      </c>
      <c r="AV112" s="265"/>
      <c r="AW112" s="265"/>
      <c r="AX112" s="265"/>
      <c r="AY112" s="265"/>
    </row>
    <row r="113" spans="1:51" x14ac:dyDescent="0.2">
      <c r="A113" s="633" t="s">
        <v>5837</v>
      </c>
      <c r="B113" s="394"/>
      <c r="C113" s="99">
        <v>455500</v>
      </c>
      <c r="D113" s="218">
        <f t="shared" si="90"/>
        <v>-455500</v>
      </c>
      <c r="E113" s="394"/>
      <c r="F113" s="97">
        <v>370500</v>
      </c>
      <c r="G113" s="218">
        <f t="shared" si="88"/>
        <v>-370500</v>
      </c>
      <c r="H113" s="99"/>
      <c r="I113" s="97"/>
      <c r="J113" s="218"/>
      <c r="K113" s="394"/>
      <c r="L113" s="97"/>
      <c r="M113" s="218"/>
      <c r="N113" s="99"/>
      <c r="O113" s="97"/>
      <c r="P113" s="218"/>
      <c r="Q113" s="129"/>
      <c r="R113" s="97"/>
      <c r="S113" s="741"/>
      <c r="T113" s="129"/>
      <c r="U113" s="97"/>
      <c r="V113" s="129"/>
      <c r="W113" s="913"/>
      <c r="X113" s="97"/>
      <c r="Y113" s="354"/>
      <c r="Z113" s="913"/>
      <c r="AA113" s="97"/>
      <c r="AB113" s="354"/>
      <c r="AC113" s="129"/>
      <c r="AD113" s="97"/>
      <c r="AE113" s="129"/>
      <c r="AF113" s="913"/>
      <c r="AG113" s="97"/>
      <c r="AH113" s="354"/>
      <c r="AI113" s="129"/>
      <c r="AJ113" s="97"/>
      <c r="AK113" s="741"/>
      <c r="AL113" s="129"/>
      <c r="AM113" s="97"/>
      <c r="AN113" s="741"/>
      <c r="AO113" s="265"/>
      <c r="AP113" s="265"/>
      <c r="AQ113" s="265"/>
      <c r="AR113" s="265"/>
      <c r="AS113" s="265">
        <f t="shared" si="73"/>
        <v>0</v>
      </c>
      <c r="AT113" s="265">
        <f t="shared" si="74"/>
        <v>0</v>
      </c>
      <c r="AU113" s="265">
        <f t="shared" si="75"/>
        <v>0</v>
      </c>
      <c r="AV113" s="265"/>
      <c r="AW113" s="265"/>
      <c r="AX113" s="265"/>
      <c r="AY113" s="265"/>
    </row>
    <row r="114" spans="1:51" x14ac:dyDescent="0.2">
      <c r="A114" s="633" t="s">
        <v>3569</v>
      </c>
      <c r="B114" s="99"/>
      <c r="C114" s="99"/>
      <c r="D114" s="218"/>
      <c r="E114" s="394"/>
      <c r="F114" s="97"/>
      <c r="G114" s="218">
        <f t="shared" si="88"/>
        <v>0</v>
      </c>
      <c r="H114" s="99"/>
      <c r="I114" s="97">
        <v>0</v>
      </c>
      <c r="J114" s="218">
        <f t="shared" si="89"/>
        <v>0</v>
      </c>
      <c r="K114" s="394"/>
      <c r="L114" s="97"/>
      <c r="M114" s="218">
        <f t="shared" si="91"/>
        <v>0</v>
      </c>
      <c r="N114" s="99"/>
      <c r="O114" s="97"/>
      <c r="P114" s="218">
        <f t="shared" si="92"/>
        <v>0</v>
      </c>
      <c r="Q114" s="129"/>
      <c r="R114" s="97">
        <v>1000000</v>
      </c>
      <c r="S114" s="353">
        <f t="shared" si="93"/>
        <v>-1000000</v>
      </c>
      <c r="T114" s="129"/>
      <c r="U114" s="97">
        <v>1100000</v>
      </c>
      <c r="V114" s="129">
        <f t="shared" si="94"/>
        <v>-1100000</v>
      </c>
      <c r="W114" s="913"/>
      <c r="X114" s="97">
        <v>500000</v>
      </c>
      <c r="Y114" s="354">
        <f t="shared" si="95"/>
        <v>-500000</v>
      </c>
      <c r="Z114" s="913"/>
      <c r="AA114" s="97"/>
      <c r="AB114" s="354">
        <f t="shared" si="96"/>
        <v>0</v>
      </c>
      <c r="AC114" s="129"/>
      <c r="AD114" s="97">
        <v>700000</v>
      </c>
      <c r="AE114" s="129">
        <f t="shared" ref="AE114" si="105">AC114-AD114</f>
        <v>-700000</v>
      </c>
      <c r="AF114" s="913"/>
      <c r="AG114" s="97">
        <v>700000</v>
      </c>
      <c r="AH114" s="354">
        <f t="shared" ref="AH114" si="106">AF114-AG114</f>
        <v>-700000</v>
      </c>
      <c r="AI114" s="129"/>
      <c r="AJ114" s="97">
        <v>700000</v>
      </c>
      <c r="AK114" s="741">
        <f t="shared" ref="AK114" si="107">AI114-AJ114</f>
        <v>-700000</v>
      </c>
      <c r="AL114" s="129"/>
      <c r="AM114" s="97">
        <v>700000</v>
      </c>
      <c r="AN114" s="741">
        <f t="shared" ref="AN114" si="108">AL114-AM114</f>
        <v>-700000</v>
      </c>
      <c r="AO114" s="265"/>
      <c r="AP114" s="265"/>
      <c r="AQ114" s="265">
        <v>700000</v>
      </c>
      <c r="AR114" s="265">
        <v>-700000</v>
      </c>
      <c r="AS114" s="265">
        <f t="shared" si="73"/>
        <v>0</v>
      </c>
      <c r="AT114" s="265">
        <f t="shared" si="74"/>
        <v>0</v>
      </c>
      <c r="AU114" s="265">
        <f t="shared" si="75"/>
        <v>0</v>
      </c>
      <c r="AV114" s="265"/>
      <c r="AW114" s="265"/>
      <c r="AX114" s="265"/>
      <c r="AY114" s="265"/>
    </row>
    <row r="115" spans="1:51" ht="13.5" thickBot="1" x14ac:dyDescent="0.25">
      <c r="A115" s="633" t="s">
        <v>3570</v>
      </c>
      <c r="B115" s="394">
        <v>29000</v>
      </c>
      <c r="C115" s="659">
        <v>246800</v>
      </c>
      <c r="D115" s="218">
        <f>B115-C115</f>
        <v>-217800</v>
      </c>
      <c r="E115" s="394"/>
      <c r="F115" s="97">
        <v>234500</v>
      </c>
      <c r="G115" s="218">
        <f t="shared" si="88"/>
        <v>-234500</v>
      </c>
      <c r="H115" s="99"/>
      <c r="I115" s="97">
        <f>357800+2000-3500-1600-6000</f>
        <v>348700</v>
      </c>
      <c r="J115" s="218">
        <f t="shared" si="89"/>
        <v>-348700</v>
      </c>
      <c r="K115" s="394"/>
      <c r="L115" s="659">
        <f>347700+6000-2900</f>
        <v>350800</v>
      </c>
      <c r="M115" s="218">
        <f>K115-L115</f>
        <v>-350800</v>
      </c>
      <c r="N115" s="99"/>
      <c r="O115" s="659">
        <f>356000+6100-3600</f>
        <v>358500</v>
      </c>
      <c r="P115" s="218">
        <f>N115-O115</f>
        <v>-358500</v>
      </c>
      <c r="Q115" s="129"/>
      <c r="R115" s="97">
        <f>370700+6200-4300</f>
        <v>372600</v>
      </c>
      <c r="S115" s="741">
        <f>Q115-R115</f>
        <v>-372600</v>
      </c>
      <c r="T115" s="129"/>
      <c r="U115" s="97">
        <f>377500+6300-5200</f>
        <v>378600</v>
      </c>
      <c r="V115" s="129">
        <f>T115-U115</f>
        <v>-378600</v>
      </c>
      <c r="W115" s="913"/>
      <c r="X115" s="97">
        <f>384200+6400-6000</f>
        <v>384600</v>
      </c>
      <c r="Y115" s="354">
        <f>W115-X115</f>
        <v>-384600</v>
      </c>
      <c r="Z115" s="913"/>
      <c r="AA115" s="97">
        <f>411600+6500-6900</f>
        <v>411200</v>
      </c>
      <c r="AB115" s="354">
        <f>Z115-AA115</f>
        <v>-411200</v>
      </c>
      <c r="AC115" s="129"/>
      <c r="AD115" s="97">
        <f>418400+6600-7900</f>
        <v>417100</v>
      </c>
      <c r="AE115" s="129">
        <f>AC115-AD115</f>
        <v>-417100</v>
      </c>
      <c r="AF115" s="913"/>
      <c r="AG115" s="659">
        <f>424900+6700-8800</f>
        <v>422800</v>
      </c>
      <c r="AH115" s="354">
        <f>AF115-AG115</f>
        <v>-422800</v>
      </c>
      <c r="AI115" s="129"/>
      <c r="AJ115" s="659">
        <f>522300-90500+6800-9700</f>
        <v>428900</v>
      </c>
      <c r="AK115" s="741">
        <f>AI115-AJ115</f>
        <v>-428900</v>
      </c>
      <c r="AL115" s="129"/>
      <c r="AM115" s="659">
        <f>522300+9700-93000+6900-10700</f>
        <v>435200</v>
      </c>
      <c r="AN115" s="741">
        <f>AL115-AM115</f>
        <v>-435200</v>
      </c>
      <c r="AO115" s="265"/>
      <c r="AP115" s="265"/>
      <c r="AQ115" s="265">
        <v>524500</v>
      </c>
      <c r="AR115" s="265">
        <v>-524500</v>
      </c>
      <c r="AS115" s="265">
        <f t="shared" si="73"/>
        <v>0</v>
      </c>
      <c r="AT115" s="265">
        <f t="shared" si="74"/>
        <v>-95600</v>
      </c>
      <c r="AU115" s="265">
        <f t="shared" si="75"/>
        <v>95600</v>
      </c>
      <c r="AV115" s="265"/>
      <c r="AW115" s="265"/>
      <c r="AX115" s="265"/>
      <c r="AY115" s="265"/>
    </row>
    <row r="116" spans="1:51" s="39" customFormat="1" ht="13.5" thickTop="1" x14ac:dyDescent="0.2">
      <c r="A116" s="1312" t="s">
        <v>4116</v>
      </c>
      <c r="B116" s="273">
        <f t="shared" ref="B116:AK116" si="109">SUBTOTAL(9,B97:B115)</f>
        <v>2220600</v>
      </c>
      <c r="C116" s="1538">
        <f t="shared" si="109"/>
        <v>1537300</v>
      </c>
      <c r="D116" s="221">
        <f t="shared" si="109"/>
        <v>683300</v>
      </c>
      <c r="E116" s="273">
        <f t="shared" si="109"/>
        <v>1682600</v>
      </c>
      <c r="F116" s="273">
        <f t="shared" ref="F116" si="110">SUBTOTAL(9,F97:F115)</f>
        <v>1920000</v>
      </c>
      <c r="G116" s="273">
        <f t="shared" ref="G116" si="111">SUBTOTAL(9,G97:G115)</f>
        <v>-237400</v>
      </c>
      <c r="H116" s="273">
        <f>SUBTOTAL(9,H97:H115)</f>
        <v>8171600</v>
      </c>
      <c r="I116" s="109">
        <f t="shared" si="109"/>
        <v>8842400</v>
      </c>
      <c r="J116" s="221">
        <f t="shared" si="109"/>
        <v>-670800</v>
      </c>
      <c r="K116" s="273">
        <f t="shared" si="109"/>
        <v>7995500</v>
      </c>
      <c r="L116" s="109">
        <f t="shared" si="109"/>
        <v>7792000</v>
      </c>
      <c r="M116" s="221">
        <f t="shared" si="109"/>
        <v>203500</v>
      </c>
      <c r="N116" s="69">
        <f t="shared" si="109"/>
        <v>5006200</v>
      </c>
      <c r="O116" s="109">
        <f t="shared" si="109"/>
        <v>6926200</v>
      </c>
      <c r="P116" s="272">
        <f t="shared" si="109"/>
        <v>-1920000</v>
      </c>
      <c r="Q116" s="72">
        <f t="shared" si="109"/>
        <v>3249000</v>
      </c>
      <c r="R116" s="109">
        <f t="shared" si="109"/>
        <v>2597200</v>
      </c>
      <c r="S116" s="73">
        <f t="shared" si="109"/>
        <v>651800</v>
      </c>
      <c r="T116" s="72">
        <f t="shared" si="109"/>
        <v>1730900</v>
      </c>
      <c r="U116" s="109">
        <f t="shared" si="109"/>
        <v>1760100</v>
      </c>
      <c r="V116" s="72">
        <f t="shared" si="109"/>
        <v>-29200</v>
      </c>
      <c r="W116" s="392">
        <f t="shared" si="109"/>
        <v>1295800</v>
      </c>
      <c r="X116" s="109">
        <f t="shared" si="109"/>
        <v>1073300</v>
      </c>
      <c r="Y116" s="272">
        <f t="shared" si="109"/>
        <v>222500</v>
      </c>
      <c r="Z116" s="392">
        <f t="shared" si="109"/>
        <v>1307900</v>
      </c>
      <c r="AA116" s="109">
        <f t="shared" si="109"/>
        <v>1604700</v>
      </c>
      <c r="AB116" s="272">
        <f t="shared" si="109"/>
        <v>-296800</v>
      </c>
      <c r="AC116" s="72">
        <f t="shared" si="109"/>
        <v>1307200</v>
      </c>
      <c r="AD116" s="109">
        <f t="shared" si="109"/>
        <v>1315400</v>
      </c>
      <c r="AE116" s="72">
        <f t="shared" si="109"/>
        <v>-8200</v>
      </c>
      <c r="AF116" s="392">
        <f t="shared" si="109"/>
        <v>1312500</v>
      </c>
      <c r="AG116" s="109">
        <f t="shared" si="109"/>
        <v>1325900</v>
      </c>
      <c r="AH116" s="272">
        <f t="shared" si="109"/>
        <v>-13400</v>
      </c>
      <c r="AI116" s="72">
        <f t="shared" si="109"/>
        <v>1319000</v>
      </c>
      <c r="AJ116" s="109">
        <f t="shared" si="109"/>
        <v>1336900</v>
      </c>
      <c r="AK116" s="73">
        <f t="shared" si="109"/>
        <v>-17900</v>
      </c>
      <c r="AL116" s="72">
        <f t="shared" ref="AL116:AN116" si="112">SUBTOTAL(9,AL97:AL115)</f>
        <v>1325600</v>
      </c>
      <c r="AM116" s="109">
        <f>SUBTOTAL(9,AM97:AM115)</f>
        <v>1348400</v>
      </c>
      <c r="AN116" s="73">
        <f t="shared" si="112"/>
        <v>-22800</v>
      </c>
      <c r="AP116" s="39">
        <v>1318800</v>
      </c>
      <c r="AQ116" s="39">
        <v>1448800</v>
      </c>
      <c r="AR116" s="39">
        <v>-130000</v>
      </c>
      <c r="AS116" s="265">
        <f t="shared" si="73"/>
        <v>200</v>
      </c>
      <c r="AT116" s="265">
        <f t="shared" si="74"/>
        <v>-111900</v>
      </c>
      <c r="AU116" s="265">
        <f t="shared" si="75"/>
        <v>112100</v>
      </c>
    </row>
    <row r="117" spans="1:51" x14ac:dyDescent="0.2">
      <c r="A117" s="408"/>
      <c r="B117" s="89"/>
      <c r="C117" s="97"/>
      <c r="D117" s="76"/>
      <c r="E117" s="133"/>
      <c r="F117" s="9"/>
      <c r="G117" s="76"/>
      <c r="H117" s="89"/>
      <c r="I117" s="9"/>
      <c r="J117" s="76"/>
      <c r="K117" s="133"/>
      <c r="L117" s="9"/>
      <c r="M117" s="76"/>
      <c r="N117" s="89"/>
      <c r="O117" s="9"/>
      <c r="P117" s="49"/>
      <c r="Q117" s="46"/>
      <c r="R117" s="9"/>
      <c r="S117" s="61"/>
      <c r="T117" s="46"/>
      <c r="U117" s="9"/>
      <c r="V117" s="46"/>
      <c r="W117" s="350"/>
      <c r="X117" s="9"/>
      <c r="Y117" s="49"/>
      <c r="Z117" s="350"/>
      <c r="AA117" s="9"/>
      <c r="AB117" s="49"/>
      <c r="AC117" s="46"/>
      <c r="AD117" s="9"/>
      <c r="AE117" s="46"/>
      <c r="AF117" s="350"/>
      <c r="AG117" s="9"/>
      <c r="AH117" s="49"/>
      <c r="AI117" s="46"/>
      <c r="AJ117" s="9"/>
      <c r="AK117" s="61"/>
      <c r="AL117" s="46"/>
      <c r="AM117" s="9"/>
      <c r="AN117" s="61"/>
      <c r="AS117" s="265">
        <f t="shared" si="73"/>
        <v>0</v>
      </c>
      <c r="AT117" s="265">
        <f t="shared" si="74"/>
        <v>0</v>
      </c>
      <c r="AU117" s="265">
        <f t="shared" si="75"/>
        <v>0</v>
      </c>
    </row>
    <row r="118" spans="1:51" s="27" customFormat="1" x14ac:dyDescent="0.2">
      <c r="A118" s="2656" t="s">
        <v>2578</v>
      </c>
      <c r="B118" s="2657"/>
      <c r="C118" s="2657"/>
      <c r="D118" s="2657"/>
      <c r="E118" s="2657"/>
      <c r="F118" s="2657"/>
      <c r="G118" s="2657"/>
      <c r="H118" s="2657"/>
      <c r="I118" s="2657"/>
      <c r="J118" s="2657"/>
      <c r="K118" s="2657"/>
      <c r="L118" s="2657"/>
      <c r="M118" s="2657"/>
      <c r="N118" s="2657"/>
      <c r="O118" s="2657"/>
      <c r="P118" s="2657"/>
      <c r="Q118" s="2657"/>
      <c r="R118" s="2657"/>
      <c r="S118" s="2658"/>
      <c r="W118" s="1043"/>
      <c r="Y118" s="64"/>
      <c r="Z118" s="1043"/>
      <c r="AB118" s="64"/>
      <c r="AF118" s="1043"/>
      <c r="AH118" s="64"/>
      <c r="AK118" s="62"/>
      <c r="AN118" s="62"/>
      <c r="AS118" s="265">
        <f t="shared" si="73"/>
        <v>0</v>
      </c>
      <c r="AT118" s="265">
        <f t="shared" si="74"/>
        <v>0</v>
      </c>
      <c r="AU118" s="265">
        <f t="shared" si="75"/>
        <v>0</v>
      </c>
    </row>
    <row r="119" spans="1:51" s="27" customFormat="1" ht="13.5" thickBot="1" x14ac:dyDescent="0.25">
      <c r="A119" s="287"/>
      <c r="B119" s="67"/>
      <c r="C119" s="1539"/>
      <c r="D119" s="67"/>
      <c r="E119" s="67"/>
      <c r="F119" s="67"/>
      <c r="G119" s="67"/>
      <c r="H119" s="67"/>
      <c r="I119" s="67"/>
      <c r="J119" s="67"/>
      <c r="K119" s="67"/>
      <c r="L119" s="67"/>
      <c r="M119" s="67"/>
      <c r="N119" s="67"/>
      <c r="O119" s="67"/>
      <c r="P119" s="67"/>
      <c r="Q119" s="67"/>
      <c r="R119" s="67"/>
      <c r="S119" s="82"/>
      <c r="T119" s="67"/>
      <c r="U119" s="67"/>
      <c r="V119" s="67"/>
      <c r="W119" s="1044"/>
      <c r="X119" s="67"/>
      <c r="Y119" s="263"/>
      <c r="Z119" s="1044"/>
      <c r="AA119" s="67"/>
      <c r="AB119" s="263"/>
      <c r="AC119" s="67"/>
      <c r="AD119" s="67"/>
      <c r="AE119" s="67"/>
      <c r="AF119" s="1044"/>
      <c r="AG119" s="67"/>
      <c r="AH119" s="263"/>
      <c r="AI119" s="67"/>
      <c r="AJ119" s="67"/>
      <c r="AK119" s="82"/>
      <c r="AL119" s="67"/>
      <c r="AM119" s="67"/>
      <c r="AN119" s="82"/>
      <c r="AS119" s="265">
        <f t="shared" si="73"/>
        <v>0</v>
      </c>
      <c r="AT119" s="265">
        <f t="shared" si="74"/>
        <v>0</v>
      </c>
      <c r="AU119" s="265">
        <f t="shared" si="75"/>
        <v>0</v>
      </c>
    </row>
    <row r="120" spans="1:51" ht="18.75" customHeight="1" thickTop="1" thickBot="1" x14ac:dyDescent="0.25">
      <c r="A120" s="2653" t="s">
        <v>1657</v>
      </c>
      <c r="B120" s="2654"/>
      <c r="C120" s="2654"/>
      <c r="D120" s="2654"/>
      <c r="E120" s="2654"/>
      <c r="F120" s="2654"/>
      <c r="G120" s="2654"/>
      <c r="H120" s="2654"/>
      <c r="I120" s="2654"/>
      <c r="J120" s="2654"/>
      <c r="K120" s="2654"/>
      <c r="L120" s="2654"/>
      <c r="M120" s="2654"/>
      <c r="N120" s="2654"/>
      <c r="O120" s="2654"/>
      <c r="P120" s="2654"/>
      <c r="Q120" s="2654"/>
      <c r="R120" s="2654"/>
      <c r="S120" s="2655"/>
      <c r="T120" s="1039"/>
      <c r="U120" s="1039"/>
      <c r="V120" s="635"/>
      <c r="W120" s="1267"/>
      <c r="X120" s="1045"/>
      <c r="Y120" s="1268"/>
      <c r="Z120" s="1267"/>
      <c r="AA120" s="1045"/>
      <c r="AB120" s="1268"/>
      <c r="AC120" s="1045"/>
      <c r="AD120" s="1045"/>
      <c r="AE120" s="147"/>
      <c r="AF120" s="1267"/>
      <c r="AG120" s="1045"/>
      <c r="AH120" s="1266"/>
      <c r="AI120" s="1045"/>
      <c r="AJ120" s="1045"/>
      <c r="AK120" s="1046"/>
      <c r="AL120" s="1045"/>
      <c r="AM120" s="1045"/>
      <c r="AN120" s="1046"/>
      <c r="AS120" s="265">
        <f t="shared" si="73"/>
        <v>0</v>
      </c>
      <c r="AT120" s="265">
        <f t="shared" si="74"/>
        <v>0</v>
      </c>
      <c r="AU120" s="265">
        <f t="shared" si="75"/>
        <v>0</v>
      </c>
    </row>
    <row r="121" spans="1:51" ht="13.5" thickBot="1" x14ac:dyDescent="0.25">
      <c r="A121" s="1313" t="s">
        <v>1526</v>
      </c>
      <c r="B121" s="1536" t="str">
        <f>B2</f>
        <v>2015/16</v>
      </c>
      <c r="C121" s="156"/>
      <c r="D121" s="1535"/>
      <c r="E121" s="156" t="str">
        <f>E2</f>
        <v>2016/17</v>
      </c>
      <c r="F121" s="156"/>
      <c r="G121" s="1535"/>
      <c r="H121" s="2650" t="str">
        <f t="shared" ref="H121:AK121" si="113">H2</f>
        <v>2017/18</v>
      </c>
      <c r="I121" s="2651">
        <f t="shared" si="113"/>
        <v>0</v>
      </c>
      <c r="J121" s="2652">
        <f t="shared" si="113"/>
        <v>0</v>
      </c>
      <c r="K121" s="2650" t="str">
        <f t="shared" si="113"/>
        <v>2018/19</v>
      </c>
      <c r="L121" s="2651">
        <f t="shared" si="113"/>
        <v>0</v>
      </c>
      <c r="M121" s="2652">
        <f t="shared" si="113"/>
        <v>0</v>
      </c>
      <c r="N121" s="2648" t="str">
        <f t="shared" si="113"/>
        <v>2019/20</v>
      </c>
      <c r="O121" s="2646">
        <f t="shared" si="113"/>
        <v>0</v>
      </c>
      <c r="P121" s="2649">
        <f t="shared" si="113"/>
        <v>0</v>
      </c>
      <c r="Q121" s="2648" t="str">
        <f t="shared" si="113"/>
        <v>2020/21</v>
      </c>
      <c r="R121" s="2646">
        <f t="shared" si="113"/>
        <v>0</v>
      </c>
      <c r="S121" s="2647">
        <f t="shared" si="113"/>
        <v>0</v>
      </c>
      <c r="T121" s="2646" t="str">
        <f t="shared" si="113"/>
        <v>2021/22</v>
      </c>
      <c r="U121" s="2646">
        <f t="shared" si="113"/>
        <v>0</v>
      </c>
      <c r="V121" s="2646">
        <f t="shared" si="113"/>
        <v>0</v>
      </c>
      <c r="W121" s="2648" t="str">
        <f t="shared" si="113"/>
        <v>2022/23</v>
      </c>
      <c r="X121" s="2646">
        <f t="shared" si="113"/>
        <v>0</v>
      </c>
      <c r="Y121" s="2649">
        <f t="shared" si="113"/>
        <v>0</v>
      </c>
      <c r="Z121" s="2648" t="str">
        <f t="shared" si="113"/>
        <v>2023/24</v>
      </c>
      <c r="AA121" s="2646">
        <f t="shared" si="113"/>
        <v>0</v>
      </c>
      <c r="AB121" s="2649">
        <f t="shared" si="113"/>
        <v>0</v>
      </c>
      <c r="AC121" s="2646" t="str">
        <f t="shared" si="113"/>
        <v>2024/25</v>
      </c>
      <c r="AD121" s="2646">
        <f t="shared" si="113"/>
        <v>0</v>
      </c>
      <c r="AE121" s="2646">
        <f t="shared" si="113"/>
        <v>0</v>
      </c>
      <c r="AF121" s="2648" t="str">
        <f t="shared" si="113"/>
        <v>2025/26</v>
      </c>
      <c r="AG121" s="2646">
        <f t="shared" si="113"/>
        <v>0</v>
      </c>
      <c r="AH121" s="2649">
        <f t="shared" si="113"/>
        <v>0</v>
      </c>
      <c r="AI121" s="2646" t="str">
        <f t="shared" si="113"/>
        <v>2026/27</v>
      </c>
      <c r="AJ121" s="2646">
        <f t="shared" si="113"/>
        <v>0</v>
      </c>
      <c r="AK121" s="2647">
        <f t="shared" si="113"/>
        <v>0</v>
      </c>
      <c r="AL121" s="2646" t="str">
        <f t="shared" ref="AL121:AN121" si="114">AL2</f>
        <v>2027/28</v>
      </c>
      <c r="AM121" s="2646">
        <f t="shared" si="114"/>
        <v>0</v>
      </c>
      <c r="AN121" s="2647">
        <f t="shared" si="114"/>
        <v>0</v>
      </c>
      <c r="AP121" s="34" t="s">
        <v>6812</v>
      </c>
      <c r="AQ121" s="34">
        <v>0</v>
      </c>
      <c r="AR121" s="34">
        <v>0</v>
      </c>
      <c r="AS121" s="265" t="e">
        <f t="shared" si="73"/>
        <v>#VALUE!</v>
      </c>
      <c r="AT121" s="265">
        <f t="shared" si="74"/>
        <v>0</v>
      </c>
      <c r="AU121" s="265">
        <f t="shared" si="75"/>
        <v>0</v>
      </c>
    </row>
    <row r="122" spans="1:51" ht="13.5" thickBot="1" x14ac:dyDescent="0.25">
      <c r="A122" s="1314"/>
      <c r="B122" s="229" t="str">
        <f>B3</f>
        <v>To</v>
      </c>
      <c r="C122" s="219" t="str">
        <f>C3</f>
        <v>From</v>
      </c>
      <c r="D122" s="219" t="str">
        <f>D3</f>
        <v>Net</v>
      </c>
      <c r="E122" s="219" t="str">
        <f>E3</f>
        <v>To</v>
      </c>
      <c r="F122" s="219" t="str">
        <f>F3</f>
        <v>From</v>
      </c>
      <c r="G122" s="222" t="str">
        <f>G3</f>
        <v>Net</v>
      </c>
      <c r="H122" s="393" t="str">
        <f t="shared" ref="H122:AN122" si="115">H3</f>
        <v>To</v>
      </c>
      <c r="I122" s="219" t="str">
        <f t="shared" si="115"/>
        <v>From</v>
      </c>
      <c r="J122" s="222" t="str">
        <f t="shared" si="115"/>
        <v>Net</v>
      </c>
      <c r="K122" s="393" t="str">
        <f t="shared" si="115"/>
        <v>To</v>
      </c>
      <c r="L122" s="219" t="str">
        <f t="shared" si="115"/>
        <v>From</v>
      </c>
      <c r="M122" s="222" t="str">
        <f t="shared" si="115"/>
        <v>Net</v>
      </c>
      <c r="N122" s="229" t="str">
        <f t="shared" si="115"/>
        <v>To</v>
      </c>
      <c r="O122" s="219" t="str">
        <f t="shared" si="115"/>
        <v>From</v>
      </c>
      <c r="P122" s="222" t="str">
        <f t="shared" si="115"/>
        <v>Net</v>
      </c>
      <c r="Q122" s="229" t="str">
        <f t="shared" si="115"/>
        <v>To</v>
      </c>
      <c r="R122" s="219" t="str">
        <f t="shared" si="115"/>
        <v>From</v>
      </c>
      <c r="S122" s="230" t="str">
        <f t="shared" si="115"/>
        <v>Net</v>
      </c>
      <c r="T122" s="229" t="str">
        <f t="shared" si="115"/>
        <v>To</v>
      </c>
      <c r="U122" s="219" t="str">
        <f t="shared" si="115"/>
        <v>From</v>
      </c>
      <c r="V122" s="388" t="str">
        <f t="shared" si="115"/>
        <v>Net</v>
      </c>
      <c r="W122" s="393" t="str">
        <f t="shared" si="115"/>
        <v>To</v>
      </c>
      <c r="X122" s="219" t="str">
        <f t="shared" si="115"/>
        <v>From</v>
      </c>
      <c r="Y122" s="222" t="str">
        <f t="shared" si="115"/>
        <v>Net</v>
      </c>
      <c r="Z122" s="393" t="str">
        <f t="shared" si="115"/>
        <v>To</v>
      </c>
      <c r="AA122" s="219" t="str">
        <f t="shared" si="115"/>
        <v>From</v>
      </c>
      <c r="AB122" s="222" t="str">
        <f t="shared" si="115"/>
        <v>Net</v>
      </c>
      <c r="AC122" s="229" t="str">
        <f t="shared" si="115"/>
        <v>To</v>
      </c>
      <c r="AD122" s="219" t="str">
        <f t="shared" si="115"/>
        <v>From</v>
      </c>
      <c r="AE122" s="388" t="str">
        <f t="shared" si="115"/>
        <v>Net</v>
      </c>
      <c r="AF122" s="393" t="str">
        <f t="shared" si="115"/>
        <v>To</v>
      </c>
      <c r="AG122" s="219" t="str">
        <f t="shared" si="115"/>
        <v>From</v>
      </c>
      <c r="AH122" s="222" t="str">
        <f t="shared" si="115"/>
        <v>Net</v>
      </c>
      <c r="AI122" s="229" t="str">
        <f t="shared" si="115"/>
        <v>To</v>
      </c>
      <c r="AJ122" s="219" t="str">
        <f t="shared" si="115"/>
        <v>From</v>
      </c>
      <c r="AK122" s="230" t="str">
        <f t="shared" si="115"/>
        <v>Net</v>
      </c>
      <c r="AL122" s="229" t="str">
        <f t="shared" si="115"/>
        <v>To</v>
      </c>
      <c r="AM122" s="219" t="str">
        <f t="shared" si="115"/>
        <v>From</v>
      </c>
      <c r="AN122" s="230" t="str">
        <f t="shared" si="115"/>
        <v>Net</v>
      </c>
      <c r="AP122" s="34" t="s">
        <v>6648</v>
      </c>
      <c r="AQ122" s="34" t="s">
        <v>2773</v>
      </c>
      <c r="AR122" s="34" t="s">
        <v>2774</v>
      </c>
      <c r="AS122" s="265" t="e">
        <f t="shared" si="73"/>
        <v>#VALUE!</v>
      </c>
      <c r="AT122" s="265" t="e">
        <f t="shared" si="74"/>
        <v>#VALUE!</v>
      </c>
      <c r="AU122" s="265" t="e">
        <f t="shared" si="75"/>
        <v>#VALUE!</v>
      </c>
    </row>
    <row r="123" spans="1:51" x14ac:dyDescent="0.2">
      <c r="A123" s="408"/>
      <c r="B123" s="89"/>
      <c r="C123" s="97"/>
      <c r="D123" s="76"/>
      <c r="E123" s="133"/>
      <c r="F123" s="9"/>
      <c r="G123" s="76"/>
      <c r="H123" s="89"/>
      <c r="I123" s="9"/>
      <c r="J123" s="76"/>
      <c r="K123" s="133"/>
      <c r="L123" s="9"/>
      <c r="M123" s="76"/>
      <c r="N123" s="89"/>
      <c r="O123" s="9"/>
      <c r="P123" s="49"/>
      <c r="Q123" s="46"/>
      <c r="R123" s="9"/>
      <c r="S123" s="61"/>
      <c r="T123" s="46"/>
      <c r="U123" s="9"/>
      <c r="V123" s="46"/>
      <c r="W123" s="350"/>
      <c r="X123" s="9"/>
      <c r="Y123" s="49"/>
      <c r="Z123" s="350"/>
      <c r="AA123" s="9"/>
      <c r="AB123" s="49"/>
      <c r="AC123" s="46"/>
      <c r="AD123" s="9"/>
      <c r="AE123" s="46"/>
      <c r="AF123" s="350"/>
      <c r="AG123" s="9"/>
      <c r="AH123" s="49"/>
      <c r="AI123" s="46"/>
      <c r="AJ123" s="9"/>
      <c r="AK123" s="61"/>
      <c r="AL123" s="46"/>
      <c r="AM123" s="9"/>
      <c r="AN123" s="61"/>
      <c r="AS123" s="265">
        <f t="shared" si="73"/>
        <v>0</v>
      </c>
      <c r="AT123" s="265">
        <f t="shared" si="74"/>
        <v>0</v>
      </c>
      <c r="AU123" s="265">
        <f t="shared" si="75"/>
        <v>0</v>
      </c>
    </row>
    <row r="124" spans="1:51" ht="11.25" customHeight="1" x14ac:dyDescent="0.2">
      <c r="A124" s="1310" t="s">
        <v>1879</v>
      </c>
      <c r="B124" s="394"/>
      <c r="C124" s="99"/>
      <c r="D124" s="218"/>
      <c r="E124" s="394"/>
      <c r="F124" s="97"/>
      <c r="G124" s="218"/>
      <c r="H124" s="99"/>
      <c r="I124" s="97"/>
      <c r="J124" s="218"/>
      <c r="K124" s="394"/>
      <c r="L124" s="97"/>
      <c r="M124" s="218"/>
      <c r="N124" s="99"/>
      <c r="O124" s="97"/>
      <c r="P124" s="354"/>
      <c r="Q124" s="129"/>
      <c r="R124" s="97"/>
      <c r="S124" s="741"/>
      <c r="T124" s="129"/>
      <c r="U124" s="97"/>
      <c r="V124" s="129"/>
      <c r="W124" s="913"/>
      <c r="X124" s="97"/>
      <c r="Y124" s="354"/>
      <c r="Z124" s="913"/>
      <c r="AA124" s="97"/>
      <c r="AB124" s="354"/>
      <c r="AC124" s="129"/>
      <c r="AD124" s="97"/>
      <c r="AE124" s="129"/>
      <c r="AF124" s="913"/>
      <c r="AG124" s="97"/>
      <c r="AH124" s="354"/>
      <c r="AI124" s="129"/>
      <c r="AJ124" s="97"/>
      <c r="AK124" s="741"/>
      <c r="AL124" s="129"/>
      <c r="AM124" s="97"/>
      <c r="AN124" s="741"/>
      <c r="AO124" s="265"/>
      <c r="AP124" s="265"/>
      <c r="AQ124" s="265"/>
      <c r="AR124" s="265"/>
      <c r="AS124" s="265">
        <f t="shared" si="73"/>
        <v>0</v>
      </c>
      <c r="AT124" s="265">
        <f t="shared" si="74"/>
        <v>0</v>
      </c>
      <c r="AU124" s="265">
        <f t="shared" si="75"/>
        <v>0</v>
      </c>
      <c r="AV124" s="265"/>
      <c r="AW124" s="265"/>
      <c r="AX124" s="265"/>
      <c r="AY124" s="265"/>
    </row>
    <row r="125" spans="1:51" x14ac:dyDescent="0.2">
      <c r="A125" s="633" t="s">
        <v>3365</v>
      </c>
      <c r="B125" s="133">
        <f>500000-500000</f>
        <v>0</v>
      </c>
      <c r="C125" s="99">
        <v>400000</v>
      </c>
      <c r="D125" s="218">
        <f t="shared" ref="D125:D126" si="116">B125-C125</f>
        <v>-400000</v>
      </c>
      <c r="E125" s="133">
        <v>500000</v>
      </c>
      <c r="F125" s="9">
        <v>700000</v>
      </c>
      <c r="G125" s="218">
        <f>E125-F125</f>
        <v>-200000</v>
      </c>
      <c r="H125" s="89"/>
      <c r="I125" s="9">
        <v>725000</v>
      </c>
      <c r="J125" s="218">
        <f>H125-I125</f>
        <v>-725000</v>
      </c>
      <c r="K125" s="133"/>
      <c r="L125" s="9"/>
      <c r="M125" s="76"/>
      <c r="N125" s="89"/>
      <c r="O125" s="9"/>
      <c r="P125" s="49"/>
      <c r="Q125" s="46"/>
      <c r="R125" s="9"/>
      <c r="S125" s="61"/>
      <c r="T125" s="46"/>
      <c r="U125" s="9"/>
      <c r="V125" s="46"/>
      <c r="W125" s="350"/>
      <c r="X125" s="9"/>
      <c r="Y125" s="49"/>
      <c r="Z125" s="350"/>
      <c r="AA125" s="9"/>
      <c r="AB125" s="49"/>
      <c r="AC125" s="46"/>
      <c r="AD125" s="9"/>
      <c r="AE125" s="46"/>
      <c r="AF125" s="350"/>
      <c r="AG125" s="9"/>
      <c r="AH125" s="49"/>
      <c r="AI125" s="46"/>
      <c r="AJ125" s="9"/>
      <c r="AK125" s="61"/>
      <c r="AL125" s="46"/>
      <c r="AM125" s="9"/>
      <c r="AN125" s="61"/>
      <c r="AS125" s="265">
        <f t="shared" si="73"/>
        <v>0</v>
      </c>
      <c r="AT125" s="265">
        <f t="shared" si="74"/>
        <v>0</v>
      </c>
      <c r="AU125" s="265">
        <f t="shared" si="75"/>
        <v>0</v>
      </c>
    </row>
    <row r="126" spans="1:51" x14ac:dyDescent="0.2">
      <c r="A126" s="633" t="s">
        <v>4730</v>
      </c>
      <c r="B126" s="133">
        <f>316600-316600</f>
        <v>0</v>
      </c>
      <c r="C126" s="99">
        <v>225700</v>
      </c>
      <c r="D126" s="218">
        <f t="shared" si="116"/>
        <v>-225700</v>
      </c>
      <c r="E126" s="133"/>
      <c r="F126" s="9">
        <v>25000</v>
      </c>
      <c r="G126" s="218">
        <f>E126-F126</f>
        <v>-25000</v>
      </c>
      <c r="H126" s="89"/>
      <c r="I126" s="9"/>
      <c r="J126" s="76"/>
      <c r="K126" s="133"/>
      <c r="L126" s="9"/>
      <c r="M126" s="76"/>
      <c r="N126" s="89"/>
      <c r="O126" s="9"/>
      <c r="P126" s="49"/>
      <c r="Q126" s="46"/>
      <c r="R126" s="9"/>
      <c r="S126" s="61"/>
      <c r="T126" s="46"/>
      <c r="U126" s="9"/>
      <c r="V126" s="46"/>
      <c r="W126" s="350"/>
      <c r="X126" s="9"/>
      <c r="Y126" s="49"/>
      <c r="Z126" s="350"/>
      <c r="AA126" s="9"/>
      <c r="AB126" s="49"/>
      <c r="AC126" s="46"/>
      <c r="AD126" s="9"/>
      <c r="AE126" s="46"/>
      <c r="AF126" s="350"/>
      <c r="AG126" s="9"/>
      <c r="AH126" s="49"/>
      <c r="AI126" s="46"/>
      <c r="AJ126" s="9"/>
      <c r="AK126" s="61"/>
      <c r="AL126" s="46"/>
      <c r="AM126" s="9"/>
      <c r="AN126" s="61"/>
      <c r="AS126" s="265">
        <f t="shared" si="73"/>
        <v>0</v>
      </c>
      <c r="AT126" s="265">
        <f t="shared" si="74"/>
        <v>0</v>
      </c>
      <c r="AU126" s="265">
        <f t="shared" si="75"/>
        <v>0</v>
      </c>
    </row>
    <row r="127" spans="1:51" x14ac:dyDescent="0.2">
      <c r="A127" s="408" t="s">
        <v>1044</v>
      </c>
      <c r="B127" s="394">
        <v>78100</v>
      </c>
      <c r="C127" s="99">
        <v>65400</v>
      </c>
      <c r="D127" s="218">
        <f>B127-C127</f>
        <v>12700</v>
      </c>
      <c r="E127" s="394">
        <v>76100</v>
      </c>
      <c r="F127" s="97">
        <v>58000</v>
      </c>
      <c r="G127" s="218">
        <f>E127-F127</f>
        <v>18100</v>
      </c>
      <c r="H127" s="99">
        <f>SUM(GM!H848:H852)</f>
        <v>53000</v>
      </c>
      <c r="I127" s="97">
        <f>SUM(GM!H924:H931)</f>
        <v>70600</v>
      </c>
      <c r="J127" s="218">
        <f>H127-I127</f>
        <v>-17600</v>
      </c>
      <c r="K127" s="394">
        <f>SUM(GM!J848:J853)</f>
        <v>70000</v>
      </c>
      <c r="L127" s="97">
        <f>SUM(GM!J924:J931)</f>
        <v>72400</v>
      </c>
      <c r="M127" s="218">
        <f>K127-L127</f>
        <v>-2400</v>
      </c>
      <c r="N127" s="99">
        <f>SUM(GM!K848:K853)</f>
        <v>71300</v>
      </c>
      <c r="O127" s="97">
        <f>SUM(GM!K924:K931)</f>
        <v>74500</v>
      </c>
      <c r="P127" s="354">
        <f>N127-O127</f>
        <v>-3200</v>
      </c>
      <c r="Q127" s="129">
        <f>SUM(GM!L848:L853)</f>
        <v>72700</v>
      </c>
      <c r="R127" s="97">
        <f>SUM(GM!L924:L931)</f>
        <v>76600</v>
      </c>
      <c r="S127" s="741">
        <f>Q127-R127</f>
        <v>-3900</v>
      </c>
      <c r="T127" s="129">
        <f>SUM(GM!M848:M853)</f>
        <v>74200</v>
      </c>
      <c r="U127" s="97">
        <f>SUM(GM!M924:M931)</f>
        <v>78800</v>
      </c>
      <c r="V127" s="129">
        <f>T127-U127</f>
        <v>-4600</v>
      </c>
      <c r="W127" s="913">
        <f>SUM(GM!N848:N853)</f>
        <v>75700</v>
      </c>
      <c r="X127" s="97">
        <f>SUM(GM!N924:N931)</f>
        <v>81000</v>
      </c>
      <c r="Y127" s="354">
        <f>W127-X127</f>
        <v>-5300</v>
      </c>
      <c r="Z127" s="913">
        <f>SUM(GM!O848:O853)</f>
        <v>77200</v>
      </c>
      <c r="AA127" s="97">
        <f>SUM(GM!O924:O931)</f>
        <v>83300</v>
      </c>
      <c r="AB127" s="354">
        <f>Z127-AA127</f>
        <v>-6100</v>
      </c>
      <c r="AC127" s="129">
        <f>SUM(GM!P848:P853)</f>
        <v>78700</v>
      </c>
      <c r="AD127" s="97">
        <f>SUM(GM!P924:P931)</f>
        <v>85600</v>
      </c>
      <c r="AE127" s="129">
        <f>AC127-AD127</f>
        <v>-6900</v>
      </c>
      <c r="AF127" s="913">
        <f>SUM(GM!Q848:Q853)</f>
        <v>80300</v>
      </c>
      <c r="AG127" s="97">
        <f>SUM(GM!Q924:Q931)</f>
        <v>88000</v>
      </c>
      <c r="AH127" s="354">
        <f>AF127-AG127</f>
        <v>-7700</v>
      </c>
      <c r="AI127" s="129">
        <f>SUM(GM!R848:R853)</f>
        <v>81900</v>
      </c>
      <c r="AJ127" s="97">
        <f>SUM(GM!R924:R931)</f>
        <v>90400</v>
      </c>
      <c r="AK127" s="741">
        <f>AI127-AJ127</f>
        <v>-8500</v>
      </c>
      <c r="AL127" s="129">
        <f>SUM(GM!S848:S853)</f>
        <v>83500</v>
      </c>
      <c r="AM127" s="97">
        <f>SUM(GM!S924:S931)</f>
        <v>92900</v>
      </c>
      <c r="AN127" s="741">
        <f>AL127-AM127</f>
        <v>-9400</v>
      </c>
      <c r="AO127" s="265"/>
      <c r="AP127" s="265">
        <v>75200</v>
      </c>
      <c r="AQ127" s="265">
        <v>0</v>
      </c>
      <c r="AR127" s="265">
        <v>75200</v>
      </c>
      <c r="AS127" s="265">
        <f t="shared" si="73"/>
        <v>6700</v>
      </c>
      <c r="AT127" s="265">
        <f t="shared" si="74"/>
        <v>90400</v>
      </c>
      <c r="AU127" s="265">
        <f t="shared" si="75"/>
        <v>-83700</v>
      </c>
      <c r="AV127" s="265"/>
      <c r="AW127" s="265"/>
      <c r="AX127" s="265"/>
      <c r="AY127" s="265"/>
    </row>
    <row r="128" spans="1:51" x14ac:dyDescent="0.2">
      <c r="A128" s="408"/>
      <c r="B128" s="394"/>
      <c r="C128" s="99"/>
      <c r="D128" s="218"/>
      <c r="E128" s="394"/>
      <c r="F128" s="97"/>
      <c r="G128" s="218"/>
      <c r="H128" s="99"/>
      <c r="I128" s="97"/>
      <c r="J128" s="218"/>
      <c r="K128" s="394"/>
      <c r="L128" s="97"/>
      <c r="M128" s="218"/>
      <c r="N128" s="99"/>
      <c r="O128" s="97"/>
      <c r="P128" s="218"/>
      <c r="Q128" s="129"/>
      <c r="R128" s="97"/>
      <c r="S128" s="741"/>
      <c r="T128" s="129"/>
      <c r="U128" s="97"/>
      <c r="V128" s="129"/>
      <c r="W128" s="913"/>
      <c r="X128" s="97"/>
      <c r="Y128" s="354"/>
      <c r="Z128" s="913"/>
      <c r="AA128" s="97"/>
      <c r="AB128" s="354"/>
      <c r="AC128" s="129"/>
      <c r="AD128" s="97"/>
      <c r="AE128" s="129"/>
      <c r="AF128" s="913"/>
      <c r="AG128" s="97"/>
      <c r="AH128" s="354"/>
      <c r="AI128" s="129"/>
      <c r="AJ128" s="97"/>
      <c r="AK128" s="741"/>
      <c r="AL128" s="129"/>
      <c r="AM128" s="97"/>
      <c r="AN128" s="741"/>
      <c r="AO128" s="265"/>
      <c r="AP128" s="265"/>
      <c r="AQ128" s="265"/>
      <c r="AR128" s="265"/>
      <c r="AS128" s="265">
        <f t="shared" si="73"/>
        <v>0</v>
      </c>
      <c r="AT128" s="265">
        <f t="shared" si="74"/>
        <v>0</v>
      </c>
      <c r="AU128" s="265">
        <f t="shared" si="75"/>
        <v>0</v>
      </c>
      <c r="AV128" s="265"/>
      <c r="AW128" s="265"/>
      <c r="AX128" s="265"/>
      <c r="AY128" s="265"/>
    </row>
    <row r="129" spans="1:51" x14ac:dyDescent="0.2">
      <c r="A129" s="1310" t="s">
        <v>327</v>
      </c>
      <c r="B129" s="394"/>
      <c r="C129" s="99"/>
      <c r="D129" s="218"/>
      <c r="E129" s="394"/>
      <c r="F129" s="97"/>
      <c r="G129" s="218"/>
      <c r="H129" s="99"/>
      <c r="I129" s="97"/>
      <c r="J129" s="218"/>
      <c r="K129" s="394"/>
      <c r="L129" s="97"/>
      <c r="M129" s="218"/>
      <c r="N129" s="99"/>
      <c r="O129" s="97"/>
      <c r="P129" s="218"/>
      <c r="Q129" s="129"/>
      <c r="R129" s="97"/>
      <c r="S129" s="741"/>
      <c r="T129" s="129"/>
      <c r="U129" s="97"/>
      <c r="V129" s="129"/>
      <c r="W129" s="913"/>
      <c r="X129" s="97"/>
      <c r="Y129" s="354"/>
      <c r="Z129" s="913"/>
      <c r="AA129" s="97"/>
      <c r="AB129" s="354"/>
      <c r="AC129" s="129"/>
      <c r="AD129" s="97"/>
      <c r="AE129" s="129"/>
      <c r="AF129" s="913"/>
      <c r="AG129" s="97"/>
      <c r="AH129" s="354"/>
      <c r="AI129" s="129"/>
      <c r="AJ129" s="97"/>
      <c r="AK129" s="741"/>
      <c r="AL129" s="129"/>
      <c r="AM129" s="97"/>
      <c r="AN129" s="741"/>
      <c r="AO129" s="265"/>
      <c r="AP129" s="265"/>
      <c r="AQ129" s="265"/>
      <c r="AR129" s="265"/>
      <c r="AS129" s="265">
        <f t="shared" si="73"/>
        <v>0</v>
      </c>
      <c r="AT129" s="265">
        <f t="shared" si="74"/>
        <v>0</v>
      </c>
      <c r="AU129" s="265">
        <f t="shared" si="75"/>
        <v>0</v>
      </c>
      <c r="AV129" s="265"/>
      <c r="AW129" s="265"/>
      <c r="AX129" s="265"/>
      <c r="AY129" s="265"/>
    </row>
    <row r="130" spans="1:51" x14ac:dyDescent="0.2">
      <c r="A130" s="408" t="s">
        <v>1428</v>
      </c>
      <c r="B130" s="394">
        <v>55100</v>
      </c>
      <c r="C130" s="99"/>
      <c r="D130" s="218">
        <f>B130-C130</f>
        <v>55100</v>
      </c>
      <c r="E130" s="394">
        <f>45000+30000-22000</f>
        <v>53000</v>
      </c>
      <c r="F130" s="97"/>
      <c r="G130" s="218">
        <f>E130-F130</f>
        <v>53000</v>
      </c>
      <c r="H130" s="99">
        <f>50000</f>
        <v>50000</v>
      </c>
      <c r="I130" s="97"/>
      <c r="J130" s="218">
        <f>H130-I130</f>
        <v>50000</v>
      </c>
      <c r="K130" s="394">
        <f>H130+5000</f>
        <v>55000</v>
      </c>
      <c r="L130" s="97"/>
      <c r="M130" s="218">
        <f>K130-L130</f>
        <v>55000</v>
      </c>
      <c r="N130" s="99">
        <f t="shared" ref="N130" si="117">K130+5000</f>
        <v>60000</v>
      </c>
      <c r="O130" s="97"/>
      <c r="P130" s="218">
        <f t="shared" ref="P130" si="118">N130-O130</f>
        <v>60000</v>
      </c>
      <c r="Q130" s="129">
        <f t="shared" ref="Q130" si="119">N130+5000</f>
        <v>65000</v>
      </c>
      <c r="R130" s="97"/>
      <c r="S130" s="741">
        <f t="shared" ref="S130" si="120">Q130-R130</f>
        <v>65000</v>
      </c>
      <c r="T130" s="129">
        <f>Q130+5000</f>
        <v>70000</v>
      </c>
      <c r="U130" s="97"/>
      <c r="V130" s="129">
        <f t="shared" ref="V130" si="121">T130-U130</f>
        <v>70000</v>
      </c>
      <c r="W130" s="913">
        <f t="shared" ref="W130" si="122">T130+5000</f>
        <v>75000</v>
      </c>
      <c r="X130" s="97"/>
      <c r="Y130" s="354">
        <f t="shared" ref="Y130" si="123">W130-X130</f>
        <v>75000</v>
      </c>
      <c r="Z130" s="913">
        <f>W130+5000</f>
        <v>80000</v>
      </c>
      <c r="AA130" s="97">
        <f>+'Cap-Gen'!BI49</f>
        <v>500000</v>
      </c>
      <c r="AB130" s="354">
        <f t="shared" ref="AB130" si="124">Z130-AA130</f>
        <v>-420000</v>
      </c>
      <c r="AC130" s="129">
        <f>Z130+5000</f>
        <v>85000</v>
      </c>
      <c r="AD130" s="97"/>
      <c r="AE130" s="129">
        <f t="shared" ref="AE130" si="125">AC130-AD130</f>
        <v>85000</v>
      </c>
      <c r="AF130" s="913">
        <f>AC130+5000</f>
        <v>90000</v>
      </c>
      <c r="AG130" s="97"/>
      <c r="AH130" s="354">
        <f t="shared" ref="AH130" si="126">AF130-AG130</f>
        <v>90000</v>
      </c>
      <c r="AI130" s="129">
        <f>AF130+5000</f>
        <v>95000</v>
      </c>
      <c r="AJ130" s="97"/>
      <c r="AK130" s="741">
        <f t="shared" ref="AK130" si="127">AI130-AJ130</f>
        <v>95000</v>
      </c>
      <c r="AL130" s="129">
        <f>AI130+5000</f>
        <v>100000</v>
      </c>
      <c r="AM130" s="97"/>
      <c r="AN130" s="741">
        <f t="shared" ref="AN130" si="128">AL130-AM130</f>
        <v>100000</v>
      </c>
      <c r="AO130" s="265"/>
      <c r="AP130" s="265">
        <v>95000</v>
      </c>
      <c r="AQ130" s="265"/>
      <c r="AR130" s="265">
        <v>95000</v>
      </c>
      <c r="AS130" s="265">
        <f t="shared" si="73"/>
        <v>0</v>
      </c>
      <c r="AT130" s="265">
        <f t="shared" si="74"/>
        <v>0</v>
      </c>
      <c r="AU130" s="265">
        <f t="shared" si="75"/>
        <v>0</v>
      </c>
      <c r="AV130" s="265"/>
      <c r="AW130" s="265"/>
      <c r="AX130" s="265"/>
      <c r="AY130" s="265"/>
    </row>
    <row r="131" spans="1:51" x14ac:dyDescent="0.2">
      <c r="A131" s="633" t="s">
        <v>1392</v>
      </c>
      <c r="B131" s="133">
        <v>171000</v>
      </c>
      <c r="C131" s="89"/>
      <c r="D131" s="76">
        <f>B131-C131</f>
        <v>171000</v>
      </c>
      <c r="E131" s="133">
        <v>153600</v>
      </c>
      <c r="F131" s="9"/>
      <c r="G131" s="76">
        <f>E131-F131</f>
        <v>153600</v>
      </c>
      <c r="H131" s="99">
        <f>IF(GM!H321-GM!H349-GM!H350&gt;0,GM!H321-GM!H349-GM!H350,0)-500</f>
        <v>151800</v>
      </c>
      <c r="I131" s="9">
        <f>'Cap-Gen'!AE55+GM!H1005-GM!H1001+H131+150000+500</f>
        <v>270000</v>
      </c>
      <c r="J131" s="76">
        <f>H131-I131</f>
        <v>-118200</v>
      </c>
      <c r="K131" s="394">
        <f>IF(GM!J321-GM!J349-GM!J350&gt;0,GM!J321-GM!J349-GM!J350,0)</f>
        <v>154500</v>
      </c>
      <c r="L131" s="9">
        <f>'Cap-Gen'!AJ55+GM!J1005-GM!J1001+K131</f>
        <v>60000</v>
      </c>
      <c r="M131" s="76">
        <f>K131-L131</f>
        <v>94500</v>
      </c>
      <c r="N131" s="99">
        <f>IF(GM!K321-GM!K349-GM!K350&gt;0,GM!K321-GM!K349-GM!K350,0)</f>
        <v>157600</v>
      </c>
      <c r="O131" s="9">
        <f>'Cap-Gen'!AO55+GM!K1005-GM!K1001+N131</f>
        <v>100000</v>
      </c>
      <c r="P131" s="49">
        <f>N131-O131</f>
        <v>57600</v>
      </c>
      <c r="Q131" s="99">
        <f>IF(GM!L321-GM!L349-GM!L350&gt;0,GM!L321-GM!L349-GM!L350,0)</f>
        <v>160800</v>
      </c>
      <c r="R131" s="9">
        <f>'Cap-Gen'!AT55+GM!L1005-GM!L1001+Q131</f>
        <v>20000</v>
      </c>
      <c r="S131" s="61">
        <f>Q131-R131</f>
        <v>140800</v>
      </c>
      <c r="T131" s="99">
        <f>IF(GM!M321-GM!M349-GM!M350&gt;0,GM!M321-GM!M349-GM!M350,0)</f>
        <v>164100</v>
      </c>
      <c r="U131" s="9">
        <f>'Cap-Gen'!AY55-GM!M1001+T131</f>
        <v>21000</v>
      </c>
      <c r="V131" s="46">
        <f>T131-U131</f>
        <v>143100</v>
      </c>
      <c r="W131" s="394">
        <f>IF(GM!N321-GM!N349-GM!N350&gt;0,GM!N321-GM!N349-GM!N350,0)</f>
        <v>167500</v>
      </c>
      <c r="X131" s="9">
        <f>'Cap-Gen'!BD55-GM!N1001+W131</f>
        <v>22000</v>
      </c>
      <c r="Y131" s="49">
        <f>W131-X131</f>
        <v>145500</v>
      </c>
      <c r="Z131" s="394">
        <f>IF(GM!O321-GM!O349-GM!O350&gt;0,GM!O321-GM!O349-GM!O350,0)</f>
        <v>171100</v>
      </c>
      <c r="AA131" s="9">
        <f>'Cap-Gen'!BI55-GM!O1001+Z131</f>
        <v>23000</v>
      </c>
      <c r="AB131" s="49">
        <f>Z131-AA131</f>
        <v>148100</v>
      </c>
      <c r="AC131" s="99">
        <f>IF(GM!P321-GM!P349-GM!P350&gt;0,GM!P321-GM!P349-GM!P350,0)</f>
        <v>174800</v>
      </c>
      <c r="AD131" s="9">
        <f>'Cap-Gen'!BN55-GM!P1001+AC131</f>
        <v>24000</v>
      </c>
      <c r="AE131" s="46">
        <f>AC131-AD131</f>
        <v>150800</v>
      </c>
      <c r="AF131" s="394">
        <f>IF(GM!Q321-GM!Q349-GM!Q350&gt;0,GM!Q321-GM!Q349-GM!Q350,0)</f>
        <v>178500</v>
      </c>
      <c r="AG131" s="9">
        <f>'Cap-Gen'!BS55-GM!Q1001+AF131</f>
        <v>25000</v>
      </c>
      <c r="AH131" s="49">
        <f>AF131-AG131</f>
        <v>153500</v>
      </c>
      <c r="AI131" s="99">
        <f>IF(GM!R321-GM!R349-GM!R350&gt;0,GM!R321-GM!R349-GM!R350,0)</f>
        <v>182100</v>
      </c>
      <c r="AJ131" s="9">
        <f>'Cap-Gen'!BX55-GM!R1001+AI131</f>
        <v>26000</v>
      </c>
      <c r="AK131" s="61">
        <f>AI131-AJ131</f>
        <v>156100</v>
      </c>
      <c r="AL131" s="99">
        <f>IF(GM!S321-GM!S349-GM!S350&gt;0,GM!S321-GM!S349-GM!S350,0)</f>
        <v>185900</v>
      </c>
      <c r="AM131" s="9">
        <f>'Cap-Gen'!CC55-GM!S1001+AL131</f>
        <v>27000</v>
      </c>
      <c r="AN131" s="61">
        <f>AL131-AM131</f>
        <v>158900</v>
      </c>
      <c r="AP131" s="34">
        <v>182200</v>
      </c>
      <c r="AQ131" s="34">
        <v>26000</v>
      </c>
      <c r="AR131" s="34">
        <v>156200</v>
      </c>
      <c r="AS131" s="265">
        <f t="shared" si="73"/>
        <v>-100</v>
      </c>
      <c r="AT131" s="265">
        <f t="shared" si="74"/>
        <v>0</v>
      </c>
      <c r="AU131" s="265">
        <f t="shared" si="75"/>
        <v>-100</v>
      </c>
    </row>
    <row r="132" spans="1:51" s="39" customFormat="1" x14ac:dyDescent="0.2">
      <c r="A132" s="407"/>
      <c r="B132" s="75"/>
      <c r="C132" s="269"/>
      <c r="D132" s="283"/>
      <c r="E132" s="132"/>
      <c r="F132" s="21"/>
      <c r="G132" s="283"/>
      <c r="H132" s="75"/>
      <c r="I132" s="21"/>
      <c r="J132" s="283"/>
      <c r="K132" s="132"/>
      <c r="L132" s="21"/>
      <c r="M132" s="283"/>
      <c r="N132" s="75"/>
      <c r="O132" s="21"/>
      <c r="P132" s="64"/>
      <c r="Q132" s="27"/>
      <c r="R132" s="21"/>
      <c r="S132" s="62"/>
      <c r="T132" s="27"/>
      <c r="U132" s="21"/>
      <c r="V132" s="27"/>
      <c r="W132" s="1043"/>
      <c r="X132" s="21"/>
      <c r="Y132" s="64"/>
      <c r="Z132" s="1043"/>
      <c r="AA132" s="21"/>
      <c r="AB132" s="64"/>
      <c r="AC132" s="27"/>
      <c r="AD132" s="21"/>
      <c r="AE132" s="27"/>
      <c r="AF132" s="1043"/>
      <c r="AG132" s="21"/>
      <c r="AH132" s="64"/>
      <c r="AI132" s="27"/>
      <c r="AJ132" s="21"/>
      <c r="AK132" s="62"/>
      <c r="AL132" s="27"/>
      <c r="AM132" s="21"/>
      <c r="AN132" s="62"/>
      <c r="AS132" s="265">
        <f t="shared" si="73"/>
        <v>0</v>
      </c>
      <c r="AT132" s="265">
        <f t="shared" si="74"/>
        <v>0</v>
      </c>
      <c r="AU132" s="265">
        <f t="shared" si="75"/>
        <v>0</v>
      </c>
    </row>
    <row r="133" spans="1:51" x14ac:dyDescent="0.2">
      <c r="A133" s="407" t="s">
        <v>1393</v>
      </c>
      <c r="B133" s="89">
        <v>458300</v>
      </c>
      <c r="C133" s="97">
        <v>88000</v>
      </c>
      <c r="D133" s="76">
        <f>B133-C133</f>
        <v>370300</v>
      </c>
      <c r="E133" s="133">
        <v>556200</v>
      </c>
      <c r="F133" s="89">
        <v>699500</v>
      </c>
      <c r="G133" s="76">
        <f>E133-F133</f>
        <v>-143300</v>
      </c>
      <c r="H133" s="89">
        <f>IF(GM!H425-GM!H430&gt;0,GM!H425-GM!H430,0)-4700+'Cap Inc'!F17</f>
        <v>3923600</v>
      </c>
      <c r="I133" s="97">
        <f>SUM('Cap-Gen'!AE57:AE63)</f>
        <v>93000</v>
      </c>
      <c r="J133" s="76">
        <f>H133-I133</f>
        <v>3830600</v>
      </c>
      <c r="K133" s="133">
        <f>IF(GM!J425-GM!J430&gt;0,GM!J425-GM!J430,0)</f>
        <v>365000</v>
      </c>
      <c r="L133" s="9">
        <f>SUM('Cap-Gen'!AJ57:AJ63)+100000</f>
        <v>3300000</v>
      </c>
      <c r="M133" s="76">
        <f>K133-L133</f>
        <v>-2935000</v>
      </c>
      <c r="N133" s="89">
        <f>IF(GM!K425-GM!K430&gt;0,GM!K425-GM!K430,0)</f>
        <v>365900</v>
      </c>
      <c r="O133" s="9">
        <f>SUM('Cap-Gen'!AO57:AO63)+100000</f>
        <v>300000</v>
      </c>
      <c r="P133" s="49">
        <f>N133-O133</f>
        <v>65900</v>
      </c>
      <c r="Q133" s="46">
        <f>IF(GM!L425-GM!L430&gt;0,GM!L425-GM!L430,0)</f>
        <v>374600</v>
      </c>
      <c r="R133" s="97">
        <f>SUM('Cap-Gen'!AT64)+100000</f>
        <v>300000</v>
      </c>
      <c r="S133" s="61">
        <f>Q133-R133</f>
        <v>74600</v>
      </c>
      <c r="T133" s="46">
        <f>IF(GM!M425-GM!M430&gt;0,GM!M425-GM!M430,0)</f>
        <v>432100</v>
      </c>
      <c r="U133" s="97">
        <f>SUM('Cap-Gen'!AY64)+100000</f>
        <v>200000</v>
      </c>
      <c r="V133" s="46">
        <f>T133-U133</f>
        <v>232100</v>
      </c>
      <c r="W133" s="350">
        <f>IF(GM!N425-GM!N430&gt;0,GM!N425-GM!N430,0)</f>
        <v>895000</v>
      </c>
      <c r="X133" s="97">
        <f>'Cap-Gen'!BD64+100000</f>
        <v>603000</v>
      </c>
      <c r="Y133" s="49">
        <f>W133-X133</f>
        <v>292000</v>
      </c>
      <c r="Z133" s="350">
        <f>IF(GM!O425-GM!O430&gt;0,GM!O425-GM!O430,0)</f>
        <v>1587300</v>
      </c>
      <c r="AA133" s="97">
        <f>'Cap-Gen'!BI64+100000</f>
        <v>2206000</v>
      </c>
      <c r="AB133" s="49">
        <f>Z133-AA133</f>
        <v>-618700</v>
      </c>
      <c r="AC133" s="46">
        <f>IF(GM!P425-GM!P430&gt;0,GM!P425-GM!P430,0)</f>
        <v>1822600</v>
      </c>
      <c r="AD133" s="97">
        <f>'Cap-Gen'!BN64+100000</f>
        <v>2209000</v>
      </c>
      <c r="AE133" s="46">
        <f>AC133-AD133</f>
        <v>-386400</v>
      </c>
      <c r="AF133" s="350">
        <f>IF(GM!Q425-GM!Q430&gt;0,GM!Q425-GM!Q430,0)</f>
        <v>1839500</v>
      </c>
      <c r="AG133" s="97">
        <f>'Cap-Gen'!BS64+100000</f>
        <v>1712000</v>
      </c>
      <c r="AH133" s="49">
        <f>AF133-AG133</f>
        <v>127500</v>
      </c>
      <c r="AI133" s="46">
        <f>IF(GM!R425-GM!R430&gt;0,GM!R425-GM!R430,0)</f>
        <v>1919400</v>
      </c>
      <c r="AJ133" s="97">
        <f>'Cap-Gen'!BX64+100000</f>
        <v>1715000</v>
      </c>
      <c r="AK133" s="61">
        <f>AI133-AJ133</f>
        <v>204400</v>
      </c>
      <c r="AL133" s="46">
        <f>IF(GM!S425-GM!S430&gt;0,GM!S425-GM!S430,0)</f>
        <v>1925200</v>
      </c>
      <c r="AM133" s="97">
        <f>'Cap-Gen'!CC64+100000</f>
        <v>2018000</v>
      </c>
      <c r="AN133" s="61">
        <f>AL133-AM133</f>
        <v>-92800</v>
      </c>
      <c r="AP133" s="34">
        <v>2000200</v>
      </c>
      <c r="AQ133" s="34">
        <v>215000</v>
      </c>
      <c r="AR133" s="34">
        <v>1785200</v>
      </c>
      <c r="AS133" s="265">
        <f t="shared" si="73"/>
        <v>-80800</v>
      </c>
      <c r="AT133" s="265">
        <f t="shared" si="74"/>
        <v>1500000</v>
      </c>
      <c r="AU133" s="265">
        <f t="shared" si="75"/>
        <v>-1580800</v>
      </c>
    </row>
    <row r="134" spans="1:51" ht="13.5" thickBot="1" x14ac:dyDescent="0.25">
      <c r="A134" s="408"/>
      <c r="B134" s="133"/>
      <c r="C134" s="99"/>
      <c r="D134" s="76"/>
      <c r="E134" s="133"/>
      <c r="F134" s="9"/>
      <c r="G134" s="76"/>
      <c r="H134" s="89"/>
      <c r="I134" s="9"/>
      <c r="J134" s="76"/>
      <c r="K134" s="133"/>
      <c r="L134" s="9"/>
      <c r="M134" s="76"/>
      <c r="N134" s="89"/>
      <c r="O134" s="9"/>
      <c r="P134" s="49"/>
      <c r="Q134" s="46"/>
      <c r="R134" s="9"/>
      <c r="S134" s="61"/>
      <c r="T134" s="46"/>
      <c r="U134" s="9"/>
      <c r="V134" s="46"/>
      <c r="W134" s="350"/>
      <c r="X134" s="9"/>
      <c r="Y134" s="49"/>
      <c r="Z134" s="350"/>
      <c r="AA134" s="9"/>
      <c r="AB134" s="49"/>
      <c r="AC134" s="46"/>
      <c r="AD134" s="9"/>
      <c r="AE134" s="46"/>
      <c r="AF134" s="350"/>
      <c r="AG134" s="9"/>
      <c r="AH134" s="49"/>
      <c r="AI134" s="46"/>
      <c r="AJ134" s="9"/>
      <c r="AK134" s="61"/>
      <c r="AL134" s="46"/>
      <c r="AM134" s="9"/>
      <c r="AN134" s="61"/>
      <c r="AS134" s="265">
        <f t="shared" si="73"/>
        <v>0</v>
      </c>
      <c r="AT134" s="265">
        <f t="shared" si="74"/>
        <v>0</v>
      </c>
      <c r="AU134" s="265">
        <f t="shared" si="75"/>
        <v>0</v>
      </c>
    </row>
    <row r="135" spans="1:51" s="27" customFormat="1" ht="14.25" thickTop="1" thickBot="1" x14ac:dyDescent="0.25">
      <c r="A135" s="409" t="s">
        <v>2798</v>
      </c>
      <c r="B135" s="307">
        <f t="shared" ref="B135:AK135" si="129">SUBTOTAL(9,B42:B134)</f>
        <v>5622700</v>
      </c>
      <c r="C135" s="1537">
        <f t="shared" si="129"/>
        <v>5086100</v>
      </c>
      <c r="D135" s="301">
        <f t="shared" si="129"/>
        <v>536600</v>
      </c>
      <c r="E135" s="307">
        <f t="shared" si="129"/>
        <v>7086100</v>
      </c>
      <c r="F135" s="300">
        <f t="shared" si="129"/>
        <v>5483400</v>
      </c>
      <c r="G135" s="301">
        <f t="shared" si="129"/>
        <v>1602700</v>
      </c>
      <c r="H135" s="302">
        <f>SUBTOTAL(9,H42:H134)</f>
        <v>14267800</v>
      </c>
      <c r="I135" s="300">
        <f t="shared" si="129"/>
        <v>12725000</v>
      </c>
      <c r="J135" s="301">
        <f t="shared" si="129"/>
        <v>1542800</v>
      </c>
      <c r="K135" s="307">
        <f t="shared" si="129"/>
        <v>10043500</v>
      </c>
      <c r="L135" s="300">
        <f t="shared" si="129"/>
        <v>12481400</v>
      </c>
      <c r="M135" s="301">
        <f t="shared" si="129"/>
        <v>-2437900</v>
      </c>
      <c r="N135" s="302">
        <f t="shared" si="129"/>
        <v>7089800</v>
      </c>
      <c r="O135" s="300">
        <f t="shared" si="129"/>
        <v>8592800</v>
      </c>
      <c r="P135" s="305">
        <f t="shared" si="129"/>
        <v>-1503000</v>
      </c>
      <c r="Q135" s="304">
        <f t="shared" si="129"/>
        <v>6390100</v>
      </c>
      <c r="R135" s="300">
        <f t="shared" si="129"/>
        <v>5791500</v>
      </c>
      <c r="S135" s="958">
        <f t="shared" si="129"/>
        <v>598600</v>
      </c>
      <c r="T135" s="304">
        <f t="shared" si="129"/>
        <v>5064800</v>
      </c>
      <c r="U135" s="300">
        <f t="shared" si="129"/>
        <v>2500700</v>
      </c>
      <c r="V135" s="304">
        <f t="shared" si="129"/>
        <v>2564100</v>
      </c>
      <c r="W135" s="1041">
        <f t="shared" si="129"/>
        <v>4521800</v>
      </c>
      <c r="X135" s="300">
        <f t="shared" si="129"/>
        <v>2223200</v>
      </c>
      <c r="Y135" s="305">
        <f t="shared" si="129"/>
        <v>2298600</v>
      </c>
      <c r="Z135" s="1041">
        <f t="shared" si="129"/>
        <v>4758000</v>
      </c>
      <c r="AA135" s="300">
        <f t="shared" si="129"/>
        <v>4843500</v>
      </c>
      <c r="AB135" s="305">
        <f t="shared" si="129"/>
        <v>-85500</v>
      </c>
      <c r="AC135" s="304">
        <f t="shared" si="129"/>
        <v>5725000</v>
      </c>
      <c r="AD135" s="300">
        <f t="shared" si="129"/>
        <v>4353700</v>
      </c>
      <c r="AE135" s="304">
        <f t="shared" si="129"/>
        <v>1371300</v>
      </c>
      <c r="AF135" s="1041">
        <f t="shared" si="129"/>
        <v>5785000</v>
      </c>
      <c r="AG135" s="300">
        <f t="shared" si="129"/>
        <v>3584200</v>
      </c>
      <c r="AH135" s="305">
        <f t="shared" si="129"/>
        <v>2200800</v>
      </c>
      <c r="AI135" s="304">
        <f t="shared" si="129"/>
        <v>5908500</v>
      </c>
      <c r="AJ135" s="300">
        <f t="shared" si="129"/>
        <v>3605200</v>
      </c>
      <c r="AK135" s="958">
        <f t="shared" si="129"/>
        <v>2303300</v>
      </c>
      <c r="AL135" s="304">
        <f t="shared" ref="AL135:AN135" si="130">SUBTOTAL(9,AL42:AL134)</f>
        <v>5957600</v>
      </c>
      <c r="AM135" s="300">
        <f t="shared" si="130"/>
        <v>3926900</v>
      </c>
      <c r="AN135" s="958">
        <f t="shared" si="130"/>
        <v>2030700</v>
      </c>
      <c r="AP135" s="27">
        <v>5990000</v>
      </c>
      <c r="AQ135" s="27">
        <v>2128500</v>
      </c>
      <c r="AR135" s="27">
        <v>3861500</v>
      </c>
      <c r="AS135" s="265">
        <f t="shared" si="73"/>
        <v>-81500</v>
      </c>
      <c r="AT135" s="265">
        <f t="shared" si="74"/>
        <v>1476700</v>
      </c>
      <c r="AU135" s="265">
        <f t="shared" si="75"/>
        <v>-1558200</v>
      </c>
    </row>
    <row r="136" spans="1:51" s="27" customFormat="1" ht="13.5" thickTop="1" x14ac:dyDescent="0.2">
      <c r="A136" s="1315"/>
      <c r="B136" s="75"/>
      <c r="C136" s="269"/>
      <c r="D136" s="283"/>
      <c r="E136" s="75"/>
      <c r="F136" s="21"/>
      <c r="G136" s="283"/>
      <c r="H136" s="132"/>
      <c r="I136" s="21"/>
      <c r="J136" s="283"/>
      <c r="K136" s="132"/>
      <c r="L136" s="21"/>
      <c r="M136" s="283"/>
      <c r="N136" s="75"/>
      <c r="O136" s="21"/>
      <c r="P136" s="64"/>
      <c r="R136" s="21"/>
      <c r="S136" s="62"/>
      <c r="U136" s="21"/>
      <c r="W136" s="1043"/>
      <c r="X136" s="21"/>
      <c r="Y136" s="64"/>
      <c r="Z136" s="1043"/>
      <c r="AA136" s="21"/>
      <c r="AB136" s="64"/>
      <c r="AD136" s="21"/>
      <c r="AF136" s="1043"/>
      <c r="AG136" s="21"/>
      <c r="AH136" s="64"/>
      <c r="AJ136" s="21"/>
      <c r="AK136" s="62"/>
      <c r="AM136" s="21"/>
      <c r="AN136" s="62"/>
      <c r="AS136" s="265">
        <f t="shared" si="73"/>
        <v>0</v>
      </c>
      <c r="AT136" s="265">
        <f t="shared" si="74"/>
        <v>0</v>
      </c>
      <c r="AU136" s="265">
        <f t="shared" si="75"/>
        <v>0</v>
      </c>
    </row>
    <row r="137" spans="1:51" s="236" customFormat="1" x14ac:dyDescent="0.2">
      <c r="A137" s="1316" t="s">
        <v>3242</v>
      </c>
      <c r="B137" s="233"/>
      <c r="C137" s="99"/>
      <c r="D137" s="232"/>
      <c r="E137" s="233"/>
      <c r="F137" s="231"/>
      <c r="G137" s="232"/>
      <c r="H137" s="443"/>
      <c r="I137" s="231"/>
      <c r="J137" s="232"/>
      <c r="K137" s="443"/>
      <c r="L137" s="231"/>
      <c r="M137" s="232"/>
      <c r="N137" s="233"/>
      <c r="O137" s="231"/>
      <c r="P137" s="235"/>
      <c r="Q137" s="234"/>
      <c r="R137" s="231"/>
      <c r="S137" s="957"/>
      <c r="T137" s="234"/>
      <c r="U137" s="231"/>
      <c r="V137" s="234"/>
      <c r="W137" s="1042"/>
      <c r="X137" s="231"/>
      <c r="Y137" s="235"/>
      <c r="Z137" s="1042"/>
      <c r="AA137" s="231"/>
      <c r="AB137" s="235"/>
      <c r="AC137" s="234"/>
      <c r="AD137" s="231"/>
      <c r="AE137" s="234"/>
      <c r="AF137" s="1042"/>
      <c r="AG137" s="231"/>
      <c r="AH137" s="235"/>
      <c r="AI137" s="234"/>
      <c r="AJ137" s="231"/>
      <c r="AK137" s="957"/>
      <c r="AL137" s="234"/>
      <c r="AM137" s="231"/>
      <c r="AN137" s="957"/>
      <c r="AS137" s="265">
        <f t="shared" si="73"/>
        <v>0</v>
      </c>
      <c r="AT137" s="265">
        <f t="shared" si="74"/>
        <v>0</v>
      </c>
      <c r="AU137" s="265">
        <f t="shared" si="75"/>
        <v>0</v>
      </c>
    </row>
    <row r="138" spans="1:51" s="236" customFormat="1" x14ac:dyDescent="0.2">
      <c r="A138" s="1318"/>
      <c r="B138" s="233"/>
      <c r="C138" s="99"/>
      <c r="D138" s="232"/>
      <c r="E138" s="233"/>
      <c r="F138" s="231"/>
      <c r="G138" s="232"/>
      <c r="H138" s="443"/>
      <c r="I138" s="231"/>
      <c r="J138" s="232"/>
      <c r="K138" s="443"/>
      <c r="L138" s="231"/>
      <c r="M138" s="232"/>
      <c r="N138" s="233"/>
      <c r="O138" s="231"/>
      <c r="P138" s="235"/>
      <c r="Q138" s="234"/>
      <c r="R138" s="231"/>
      <c r="S138" s="957"/>
      <c r="T138" s="234"/>
      <c r="U138" s="231"/>
      <c r="V138" s="234"/>
      <c r="W138" s="1042"/>
      <c r="X138" s="231"/>
      <c r="Y138" s="235"/>
      <c r="Z138" s="1042"/>
      <c r="AA138" s="231"/>
      <c r="AB138" s="235"/>
      <c r="AC138" s="234"/>
      <c r="AD138" s="231"/>
      <c r="AE138" s="234"/>
      <c r="AF138" s="1042"/>
      <c r="AG138" s="231"/>
      <c r="AH138" s="235"/>
      <c r="AI138" s="234"/>
      <c r="AJ138" s="231"/>
      <c r="AK138" s="957"/>
      <c r="AL138" s="234"/>
      <c r="AM138" s="231"/>
      <c r="AN138" s="957"/>
      <c r="AS138" s="265">
        <f t="shared" si="73"/>
        <v>0</v>
      </c>
      <c r="AT138" s="265">
        <f t="shared" si="74"/>
        <v>0</v>
      </c>
      <c r="AU138" s="265">
        <f t="shared" si="75"/>
        <v>0</v>
      </c>
    </row>
    <row r="139" spans="1:51" s="236" customFormat="1" x14ac:dyDescent="0.2">
      <c r="A139" s="1319" t="s">
        <v>1238</v>
      </c>
      <c r="B139" s="233"/>
      <c r="C139" s="99"/>
      <c r="D139" s="232"/>
      <c r="E139" s="233"/>
      <c r="F139" s="231"/>
      <c r="G139" s="232"/>
      <c r="H139" s="443"/>
      <c r="I139" s="231"/>
      <c r="J139" s="232"/>
      <c r="K139" s="443"/>
      <c r="L139" s="231"/>
      <c r="M139" s="232"/>
      <c r="N139" s="233"/>
      <c r="O139" s="231"/>
      <c r="P139" s="235"/>
      <c r="Q139" s="234"/>
      <c r="R139" s="231"/>
      <c r="S139" s="957"/>
      <c r="T139" s="234"/>
      <c r="U139" s="231"/>
      <c r="V139" s="234"/>
      <c r="W139" s="1042"/>
      <c r="X139" s="231"/>
      <c r="Y139" s="235"/>
      <c r="Z139" s="1042"/>
      <c r="AA139" s="231"/>
      <c r="AB139" s="235"/>
      <c r="AC139" s="234"/>
      <c r="AD139" s="231"/>
      <c r="AE139" s="234"/>
      <c r="AF139" s="1042"/>
      <c r="AG139" s="231"/>
      <c r="AH139" s="235"/>
      <c r="AI139" s="234"/>
      <c r="AJ139" s="231"/>
      <c r="AK139" s="957"/>
      <c r="AL139" s="234"/>
      <c r="AM139" s="231"/>
      <c r="AN139" s="957"/>
      <c r="AS139" s="265">
        <f t="shared" si="73"/>
        <v>0</v>
      </c>
      <c r="AT139" s="265">
        <f t="shared" si="74"/>
        <v>0</v>
      </c>
      <c r="AU139" s="265">
        <f t="shared" si="75"/>
        <v>0</v>
      </c>
    </row>
    <row r="140" spans="1:51" s="236" customFormat="1" x14ac:dyDescent="0.2">
      <c r="A140" s="1317" t="s">
        <v>6590</v>
      </c>
      <c r="B140" s="77">
        <v>50000</v>
      </c>
      <c r="C140" s="99"/>
      <c r="D140" s="76">
        <f>B140-C140</f>
        <v>50000</v>
      </c>
      <c r="E140" s="77">
        <v>210000</v>
      </c>
      <c r="F140" s="231"/>
      <c r="G140" s="582">
        <f>E140-F140</f>
        <v>210000</v>
      </c>
      <c r="H140" s="443"/>
      <c r="I140" s="79">
        <f>25000</f>
        <v>25000</v>
      </c>
      <c r="J140" s="582">
        <f>H140-I140</f>
        <v>-25000</v>
      </c>
      <c r="K140" s="443"/>
      <c r="L140" s="231"/>
      <c r="M140" s="232"/>
      <c r="N140" s="233"/>
      <c r="O140" s="231"/>
      <c r="P140" s="235"/>
      <c r="Q140" s="234"/>
      <c r="R140" s="231"/>
      <c r="S140" s="957"/>
      <c r="T140" s="234"/>
      <c r="U140" s="231"/>
      <c r="V140" s="234"/>
      <c r="W140" s="1042"/>
      <c r="X140" s="231"/>
      <c r="Y140" s="235"/>
      <c r="Z140" s="1042"/>
      <c r="AA140" s="231"/>
      <c r="AB140" s="235"/>
      <c r="AC140" s="234"/>
      <c r="AD140" s="231"/>
      <c r="AE140" s="234"/>
      <c r="AF140" s="1042"/>
      <c r="AG140" s="231"/>
      <c r="AH140" s="235"/>
      <c r="AI140" s="234"/>
      <c r="AJ140" s="231"/>
      <c r="AK140" s="957"/>
      <c r="AL140" s="234"/>
      <c r="AM140" s="231"/>
      <c r="AN140" s="957"/>
      <c r="AS140" s="265">
        <f t="shared" si="73"/>
        <v>0</v>
      </c>
      <c r="AT140" s="265">
        <f t="shared" si="74"/>
        <v>0</v>
      </c>
      <c r="AU140" s="265">
        <f t="shared" si="75"/>
        <v>0</v>
      </c>
    </row>
    <row r="141" spans="1:51" s="236" customFormat="1" x14ac:dyDescent="0.2">
      <c r="A141" s="1317" t="s">
        <v>7271</v>
      </c>
      <c r="B141" s="77"/>
      <c r="C141" s="99"/>
      <c r="D141" s="76"/>
      <c r="E141" s="77">
        <v>23000</v>
      </c>
      <c r="F141" s="231"/>
      <c r="G141" s="582">
        <f>E141-F141</f>
        <v>23000</v>
      </c>
      <c r="H141" s="443"/>
      <c r="I141" s="79">
        <v>23000</v>
      </c>
      <c r="J141" s="582">
        <f>H141-I141</f>
        <v>-23000</v>
      </c>
      <c r="K141" s="443"/>
      <c r="L141" s="231"/>
      <c r="M141" s="232"/>
      <c r="N141" s="233"/>
      <c r="O141" s="231"/>
      <c r="P141" s="235"/>
      <c r="Q141" s="234"/>
      <c r="R141" s="231"/>
      <c r="S141" s="957"/>
      <c r="T141" s="234"/>
      <c r="U141" s="231"/>
      <c r="V141" s="234"/>
      <c r="W141" s="1042"/>
      <c r="X141" s="231"/>
      <c r="Y141" s="235"/>
      <c r="Z141" s="1042"/>
      <c r="AA141" s="231"/>
      <c r="AB141" s="235"/>
      <c r="AC141" s="234"/>
      <c r="AD141" s="231"/>
      <c r="AE141" s="234"/>
      <c r="AF141" s="1042"/>
      <c r="AG141" s="231"/>
      <c r="AH141" s="235"/>
      <c r="AI141" s="234"/>
      <c r="AJ141" s="231"/>
      <c r="AK141" s="957"/>
      <c r="AL141" s="234"/>
      <c r="AM141" s="231"/>
      <c r="AN141" s="957"/>
      <c r="AS141" s="265"/>
      <c r="AT141" s="265"/>
      <c r="AU141" s="265"/>
    </row>
    <row r="142" spans="1:51" s="236" customFormat="1" x14ac:dyDescent="0.2">
      <c r="A142" s="1318"/>
      <c r="B142" s="233"/>
      <c r="C142" s="99"/>
      <c r="D142" s="232"/>
      <c r="E142" s="233"/>
      <c r="F142" s="231"/>
      <c r="G142" s="232"/>
      <c r="H142" s="443"/>
      <c r="I142" s="231"/>
      <c r="J142" s="232"/>
      <c r="K142" s="443"/>
      <c r="L142" s="231"/>
      <c r="M142" s="232"/>
      <c r="N142" s="233"/>
      <c r="O142" s="231"/>
      <c r="P142" s="235"/>
      <c r="Q142" s="234"/>
      <c r="R142" s="231"/>
      <c r="S142" s="957"/>
      <c r="T142" s="234"/>
      <c r="U142" s="231"/>
      <c r="V142" s="234"/>
      <c r="W142" s="1042"/>
      <c r="X142" s="231"/>
      <c r="Y142" s="235"/>
      <c r="Z142" s="1042"/>
      <c r="AA142" s="231"/>
      <c r="AB142" s="235"/>
      <c r="AC142" s="234"/>
      <c r="AD142" s="231"/>
      <c r="AE142" s="234"/>
      <c r="AF142" s="1042"/>
      <c r="AG142" s="231"/>
      <c r="AH142" s="235"/>
      <c r="AI142" s="234"/>
      <c r="AJ142" s="231"/>
      <c r="AK142" s="957"/>
      <c r="AL142" s="234"/>
      <c r="AM142" s="231"/>
      <c r="AN142" s="957"/>
      <c r="AS142" s="265">
        <f t="shared" si="73"/>
        <v>0</v>
      </c>
      <c r="AT142" s="265">
        <f t="shared" si="74"/>
        <v>0</v>
      </c>
      <c r="AU142" s="265">
        <f t="shared" si="75"/>
        <v>0</v>
      </c>
    </row>
    <row r="143" spans="1:51" s="236" customFormat="1" x14ac:dyDescent="0.2">
      <c r="A143" s="1319" t="s">
        <v>3132</v>
      </c>
      <c r="B143" s="233"/>
      <c r="C143" s="99"/>
      <c r="D143" s="232"/>
      <c r="E143" s="233"/>
      <c r="F143" s="231"/>
      <c r="G143" s="232"/>
      <c r="H143" s="443"/>
      <c r="I143" s="231"/>
      <c r="J143" s="232"/>
      <c r="K143" s="443"/>
      <c r="L143" s="231"/>
      <c r="M143" s="232"/>
      <c r="N143" s="233"/>
      <c r="O143" s="231"/>
      <c r="P143" s="235"/>
      <c r="Q143" s="234"/>
      <c r="R143" s="231"/>
      <c r="S143" s="957"/>
      <c r="T143" s="234"/>
      <c r="U143" s="231"/>
      <c r="V143" s="234"/>
      <c r="W143" s="1042"/>
      <c r="X143" s="231"/>
      <c r="Y143" s="235"/>
      <c r="Z143" s="1042"/>
      <c r="AA143" s="231"/>
      <c r="AB143" s="235"/>
      <c r="AC143" s="234"/>
      <c r="AD143" s="231"/>
      <c r="AE143" s="234"/>
      <c r="AF143" s="1042"/>
      <c r="AG143" s="231"/>
      <c r="AH143" s="235"/>
      <c r="AI143" s="234"/>
      <c r="AJ143" s="231"/>
      <c r="AK143" s="957"/>
      <c r="AL143" s="234"/>
      <c r="AM143" s="231"/>
      <c r="AN143" s="957"/>
      <c r="AS143" s="265">
        <f t="shared" si="73"/>
        <v>0</v>
      </c>
      <c r="AT143" s="265">
        <f t="shared" si="74"/>
        <v>0</v>
      </c>
      <c r="AU143" s="265">
        <f t="shared" si="75"/>
        <v>0</v>
      </c>
    </row>
    <row r="144" spans="1:51" s="236" customFormat="1" x14ac:dyDescent="0.2">
      <c r="A144" s="1317" t="s">
        <v>4088</v>
      </c>
      <c r="B144" s="77">
        <f>20000+8000</f>
        <v>28000</v>
      </c>
      <c r="C144" s="136">
        <v>15000</v>
      </c>
      <c r="D144" s="76">
        <f>B144-C144</f>
        <v>13000</v>
      </c>
      <c r="E144" s="89">
        <v>373000</v>
      </c>
      <c r="F144" s="9">
        <v>32700</v>
      </c>
      <c r="G144" s="76">
        <f>E144-F144</f>
        <v>340300</v>
      </c>
      <c r="H144" s="133"/>
      <c r="I144" s="9">
        <f>14600+347400+20500</f>
        <v>382500</v>
      </c>
      <c r="J144" s="582">
        <f>H144-I144</f>
        <v>-382500</v>
      </c>
      <c r="K144" s="443"/>
      <c r="L144" s="231"/>
      <c r="M144" s="232"/>
      <c r="N144" s="233"/>
      <c r="O144" s="231"/>
      <c r="P144" s="235"/>
      <c r="Q144" s="234"/>
      <c r="R144" s="231"/>
      <c r="S144" s="957"/>
      <c r="T144" s="234"/>
      <c r="U144" s="231"/>
      <c r="V144" s="234"/>
      <c r="W144" s="1042"/>
      <c r="X144" s="231"/>
      <c r="Y144" s="235"/>
      <c r="Z144" s="1042"/>
      <c r="AA144" s="231"/>
      <c r="AB144" s="235"/>
      <c r="AC144" s="234"/>
      <c r="AD144" s="231"/>
      <c r="AE144" s="234"/>
      <c r="AF144" s="1042"/>
      <c r="AG144" s="231"/>
      <c r="AH144" s="235"/>
      <c r="AI144" s="234"/>
      <c r="AJ144" s="231"/>
      <c r="AK144" s="957"/>
      <c r="AL144" s="234"/>
      <c r="AM144" s="231"/>
      <c r="AN144" s="957"/>
      <c r="AS144" s="265">
        <f t="shared" si="73"/>
        <v>0</v>
      </c>
      <c r="AT144" s="265">
        <f t="shared" si="74"/>
        <v>0</v>
      </c>
      <c r="AU144" s="265">
        <f t="shared" si="75"/>
        <v>0</v>
      </c>
    </row>
    <row r="145" spans="1:47" x14ac:dyDescent="0.2">
      <c r="A145" s="1317" t="s">
        <v>6599</v>
      </c>
      <c r="B145" s="136"/>
      <c r="C145" s="136">
        <v>27000</v>
      </c>
      <c r="D145" s="76">
        <f t="shared" ref="D145" si="131">B145-C145</f>
        <v>-27000</v>
      </c>
      <c r="E145" s="89"/>
      <c r="F145" s="9"/>
      <c r="G145" s="76"/>
      <c r="H145" s="133"/>
      <c r="I145" s="9"/>
      <c r="J145" s="76"/>
      <c r="K145" s="1091"/>
      <c r="L145" s="134"/>
      <c r="M145" s="264"/>
      <c r="N145" s="136"/>
      <c r="O145" s="134"/>
      <c r="P145" s="1265"/>
      <c r="Q145" s="144"/>
      <c r="R145" s="134"/>
      <c r="S145" s="135"/>
      <c r="T145" s="144"/>
      <c r="U145" s="134"/>
      <c r="V145" s="144"/>
      <c r="W145" s="1269"/>
      <c r="X145" s="134"/>
      <c r="Y145" s="1265"/>
      <c r="Z145" s="1269"/>
      <c r="AA145" s="134"/>
      <c r="AB145" s="1265"/>
      <c r="AC145" s="144"/>
      <c r="AD145" s="134"/>
      <c r="AE145" s="144"/>
      <c r="AF145" s="1269"/>
      <c r="AG145" s="134"/>
      <c r="AH145" s="1265"/>
      <c r="AI145" s="144"/>
      <c r="AJ145" s="134"/>
      <c r="AK145" s="135"/>
      <c r="AL145" s="144"/>
      <c r="AM145" s="134"/>
      <c r="AN145" s="135"/>
      <c r="AS145" s="265">
        <f t="shared" ref="AS145:AS213" si="132">+AI145-AP145</f>
        <v>0</v>
      </c>
      <c r="AT145" s="265">
        <f t="shared" ref="AT145:AT213" si="133">+AJ145-AQ145</f>
        <v>0</v>
      </c>
      <c r="AU145" s="265">
        <f t="shared" ref="AU145:AU213" si="134">+AK145-AR145</f>
        <v>0</v>
      </c>
    </row>
    <row r="146" spans="1:47" x14ac:dyDescent="0.2">
      <c r="A146" s="1317"/>
      <c r="B146" s="136"/>
      <c r="C146" s="136"/>
      <c r="D146" s="76"/>
      <c r="E146" s="89"/>
      <c r="F146" s="9"/>
      <c r="G146" s="76"/>
      <c r="H146" s="133"/>
      <c r="I146" s="9"/>
      <c r="J146" s="76"/>
      <c r="K146" s="1091"/>
      <c r="L146" s="134"/>
      <c r="M146" s="264"/>
      <c r="N146" s="136"/>
      <c r="O146" s="134"/>
      <c r="P146" s="1265"/>
      <c r="Q146" s="144"/>
      <c r="R146" s="134"/>
      <c r="S146" s="135"/>
      <c r="T146" s="144"/>
      <c r="U146" s="134"/>
      <c r="V146" s="144"/>
      <c r="W146" s="1269"/>
      <c r="X146" s="134"/>
      <c r="Y146" s="1265"/>
      <c r="Z146" s="1269"/>
      <c r="AA146" s="134"/>
      <c r="AB146" s="1265"/>
      <c r="AC146" s="144"/>
      <c r="AD146" s="134"/>
      <c r="AE146" s="144"/>
      <c r="AF146" s="1269"/>
      <c r="AG146" s="134"/>
      <c r="AH146" s="1265"/>
      <c r="AI146" s="144"/>
      <c r="AJ146" s="134"/>
      <c r="AK146" s="135"/>
      <c r="AL146" s="144"/>
      <c r="AM146" s="134"/>
      <c r="AN146" s="135"/>
      <c r="AS146" s="265"/>
      <c r="AT146" s="265"/>
      <c r="AU146" s="265"/>
    </row>
    <row r="147" spans="1:47" x14ac:dyDescent="0.2">
      <c r="A147" s="1319" t="s">
        <v>4087</v>
      </c>
      <c r="B147" s="136"/>
      <c r="C147" s="136"/>
      <c r="D147" s="76"/>
      <c r="E147" s="89"/>
      <c r="F147" s="9"/>
      <c r="G147" s="76"/>
      <c r="H147" s="133"/>
      <c r="I147" s="9"/>
      <c r="J147" s="76"/>
      <c r="K147" s="1091"/>
      <c r="L147" s="134"/>
      <c r="M147" s="264"/>
      <c r="N147" s="136"/>
      <c r="O147" s="134"/>
      <c r="P147" s="1265"/>
      <c r="Q147" s="144"/>
      <c r="R147" s="134"/>
      <c r="S147" s="135"/>
      <c r="T147" s="144"/>
      <c r="U147" s="134"/>
      <c r="V147" s="144"/>
      <c r="W147" s="1269"/>
      <c r="X147" s="134"/>
      <c r="Y147" s="1265"/>
      <c r="Z147" s="1269"/>
      <c r="AA147" s="134"/>
      <c r="AB147" s="1265"/>
      <c r="AC147" s="144"/>
      <c r="AD147" s="134"/>
      <c r="AE147" s="144"/>
      <c r="AF147" s="1269"/>
      <c r="AG147" s="134"/>
      <c r="AH147" s="1265"/>
      <c r="AI147" s="144"/>
      <c r="AJ147" s="134"/>
      <c r="AK147" s="135"/>
      <c r="AL147" s="144"/>
      <c r="AM147" s="134"/>
      <c r="AN147" s="135"/>
      <c r="AS147" s="265"/>
      <c r="AT147" s="265"/>
      <c r="AU147" s="265"/>
    </row>
    <row r="148" spans="1:47" x14ac:dyDescent="0.2">
      <c r="A148" s="1317" t="s">
        <v>4087</v>
      </c>
      <c r="B148" s="136"/>
      <c r="C148" s="136"/>
      <c r="D148" s="76"/>
      <c r="E148" s="89">
        <v>6500</v>
      </c>
      <c r="F148" s="9"/>
      <c r="G148" s="76">
        <f>E148-F148</f>
        <v>6500</v>
      </c>
      <c r="H148" s="133"/>
      <c r="I148" s="9">
        <v>6500</v>
      </c>
      <c r="J148" s="582">
        <f>H148-I148</f>
        <v>-6500</v>
      </c>
      <c r="K148" s="1091"/>
      <c r="L148" s="134"/>
      <c r="M148" s="264"/>
      <c r="N148" s="136"/>
      <c r="O148" s="134"/>
      <c r="P148" s="1265"/>
      <c r="Q148" s="144"/>
      <c r="R148" s="134"/>
      <c r="S148" s="135"/>
      <c r="T148" s="144"/>
      <c r="U148" s="134"/>
      <c r="V148" s="144"/>
      <c r="W148" s="1269"/>
      <c r="X148" s="134"/>
      <c r="Y148" s="1265"/>
      <c r="Z148" s="1269"/>
      <c r="AA148" s="134"/>
      <c r="AB148" s="1265"/>
      <c r="AC148" s="144"/>
      <c r="AD148" s="134"/>
      <c r="AE148" s="144"/>
      <c r="AF148" s="1269"/>
      <c r="AG148" s="134"/>
      <c r="AH148" s="1265"/>
      <c r="AI148" s="144"/>
      <c r="AJ148" s="134"/>
      <c r="AK148" s="135"/>
      <c r="AL148" s="144"/>
      <c r="AM148" s="134"/>
      <c r="AN148" s="135"/>
      <c r="AS148" s="265"/>
      <c r="AT148" s="265"/>
      <c r="AU148" s="265"/>
    </row>
    <row r="149" spans="1:47" ht="13.5" thickBot="1" x14ac:dyDescent="0.25">
      <c r="A149" s="1318"/>
      <c r="B149" s="89"/>
      <c r="C149" s="99"/>
      <c r="D149" s="76"/>
      <c r="E149" s="89"/>
      <c r="F149" s="9"/>
      <c r="G149" s="76"/>
      <c r="H149" s="133"/>
      <c r="I149" s="9"/>
      <c r="J149" s="76"/>
      <c r="K149" s="133"/>
      <c r="L149" s="9"/>
      <c r="M149" s="76"/>
      <c r="N149" s="89"/>
      <c r="O149" s="9"/>
      <c r="P149" s="49"/>
      <c r="Q149" s="46"/>
      <c r="R149" s="9"/>
      <c r="S149" s="61"/>
      <c r="T149" s="46"/>
      <c r="U149" s="9"/>
      <c r="V149" s="46"/>
      <c r="W149" s="350"/>
      <c r="X149" s="9"/>
      <c r="Y149" s="49"/>
      <c r="Z149" s="350"/>
      <c r="AA149" s="9"/>
      <c r="AB149" s="49"/>
      <c r="AC149" s="46"/>
      <c r="AD149" s="9"/>
      <c r="AE149" s="46"/>
      <c r="AF149" s="350"/>
      <c r="AG149" s="9"/>
      <c r="AH149" s="49"/>
      <c r="AI149" s="46"/>
      <c r="AJ149" s="9"/>
      <c r="AK149" s="61"/>
      <c r="AL149" s="46"/>
      <c r="AM149" s="9"/>
      <c r="AN149" s="61"/>
      <c r="AS149" s="265">
        <f t="shared" si="132"/>
        <v>0</v>
      </c>
      <c r="AT149" s="265">
        <f t="shared" si="133"/>
        <v>0</v>
      </c>
      <c r="AU149" s="265">
        <f t="shared" si="134"/>
        <v>0</v>
      </c>
    </row>
    <row r="150" spans="1:47" s="39" customFormat="1" ht="14.25" thickTop="1" thickBot="1" x14ac:dyDescent="0.25">
      <c r="A150" s="1320" t="s">
        <v>3189</v>
      </c>
      <c r="B150" s="307">
        <f t="shared" ref="B150:AK150" si="135">SUBTOTAL(9,B138:B149)</f>
        <v>78000</v>
      </c>
      <c r="C150" s="1537">
        <f t="shared" si="135"/>
        <v>42000</v>
      </c>
      <c r="D150" s="301">
        <f t="shared" si="135"/>
        <v>36000</v>
      </c>
      <c r="E150" s="302">
        <f t="shared" si="135"/>
        <v>612500</v>
      </c>
      <c r="F150" s="302">
        <f t="shared" si="135"/>
        <v>32700</v>
      </c>
      <c r="G150" s="302">
        <f t="shared" si="135"/>
        <v>579800</v>
      </c>
      <c r="H150" s="307">
        <f t="shared" si="135"/>
        <v>0</v>
      </c>
      <c r="I150" s="300">
        <f t="shared" si="135"/>
        <v>437000</v>
      </c>
      <c r="J150" s="301">
        <f t="shared" si="135"/>
        <v>-437000</v>
      </c>
      <c r="K150" s="307">
        <f t="shared" si="135"/>
        <v>0</v>
      </c>
      <c r="L150" s="300">
        <f t="shared" si="135"/>
        <v>0</v>
      </c>
      <c r="M150" s="301">
        <f t="shared" si="135"/>
        <v>0</v>
      </c>
      <c r="N150" s="302">
        <f t="shared" si="135"/>
        <v>0</v>
      </c>
      <c r="O150" s="300">
        <f t="shared" si="135"/>
        <v>0</v>
      </c>
      <c r="P150" s="305">
        <f t="shared" si="135"/>
        <v>0</v>
      </c>
      <c r="Q150" s="304">
        <f t="shared" si="135"/>
        <v>0</v>
      </c>
      <c r="R150" s="300">
        <f t="shared" si="135"/>
        <v>0</v>
      </c>
      <c r="S150" s="958">
        <f t="shared" si="135"/>
        <v>0</v>
      </c>
      <c r="T150" s="304">
        <f t="shared" si="135"/>
        <v>0</v>
      </c>
      <c r="U150" s="300">
        <f t="shared" si="135"/>
        <v>0</v>
      </c>
      <c r="V150" s="304">
        <f t="shared" si="135"/>
        <v>0</v>
      </c>
      <c r="W150" s="1041">
        <f t="shared" si="135"/>
        <v>0</v>
      </c>
      <c r="X150" s="300">
        <f t="shared" si="135"/>
        <v>0</v>
      </c>
      <c r="Y150" s="305">
        <f t="shared" si="135"/>
        <v>0</v>
      </c>
      <c r="Z150" s="1041">
        <f t="shared" si="135"/>
        <v>0</v>
      </c>
      <c r="AA150" s="300">
        <f t="shared" si="135"/>
        <v>0</v>
      </c>
      <c r="AB150" s="305">
        <f t="shared" si="135"/>
        <v>0</v>
      </c>
      <c r="AC150" s="304">
        <f t="shared" si="135"/>
        <v>0</v>
      </c>
      <c r="AD150" s="300">
        <f t="shared" si="135"/>
        <v>0</v>
      </c>
      <c r="AE150" s="304">
        <f t="shared" si="135"/>
        <v>0</v>
      </c>
      <c r="AF150" s="1041">
        <f t="shared" si="135"/>
        <v>0</v>
      </c>
      <c r="AG150" s="300">
        <f t="shared" si="135"/>
        <v>0</v>
      </c>
      <c r="AH150" s="305">
        <f t="shared" si="135"/>
        <v>0</v>
      </c>
      <c r="AI150" s="304">
        <f t="shared" si="135"/>
        <v>0</v>
      </c>
      <c r="AJ150" s="300">
        <f t="shared" si="135"/>
        <v>0</v>
      </c>
      <c r="AK150" s="958">
        <f t="shared" si="135"/>
        <v>0</v>
      </c>
      <c r="AL150" s="304">
        <f t="shared" ref="AL150:AN150" si="136">SUBTOTAL(9,AL138:AL149)</f>
        <v>0</v>
      </c>
      <c r="AM150" s="300">
        <f t="shared" si="136"/>
        <v>0</v>
      </c>
      <c r="AN150" s="958">
        <f t="shared" si="136"/>
        <v>0</v>
      </c>
      <c r="AP150" s="39">
        <v>0</v>
      </c>
      <c r="AQ150" s="39">
        <v>0</v>
      </c>
      <c r="AR150" s="39">
        <v>0</v>
      </c>
      <c r="AS150" s="265">
        <f t="shared" si="132"/>
        <v>0</v>
      </c>
      <c r="AT150" s="265">
        <f t="shared" si="133"/>
        <v>0</v>
      </c>
      <c r="AU150" s="265">
        <f t="shared" si="134"/>
        <v>0</v>
      </c>
    </row>
    <row r="151" spans="1:47" s="39" customFormat="1" ht="13.5" thickTop="1" x14ac:dyDescent="0.2">
      <c r="A151" s="1315"/>
      <c r="B151" s="75"/>
      <c r="C151" s="269"/>
      <c r="D151" s="283"/>
      <c r="E151" s="75"/>
      <c r="F151" s="21"/>
      <c r="G151" s="283"/>
      <c r="H151" s="132"/>
      <c r="I151" s="21"/>
      <c r="J151" s="283"/>
      <c r="K151" s="132"/>
      <c r="L151" s="21"/>
      <c r="M151" s="283"/>
      <c r="N151" s="75"/>
      <c r="O151" s="21"/>
      <c r="P151" s="64"/>
      <c r="Q151" s="27"/>
      <c r="R151" s="21"/>
      <c r="S151" s="62"/>
      <c r="T151" s="27"/>
      <c r="U151" s="21"/>
      <c r="V151" s="27"/>
      <c r="W151" s="1043"/>
      <c r="X151" s="21"/>
      <c r="Y151" s="64"/>
      <c r="Z151" s="1043"/>
      <c r="AA151" s="21"/>
      <c r="AB151" s="64"/>
      <c r="AC151" s="27"/>
      <c r="AD151" s="21"/>
      <c r="AE151" s="27"/>
      <c r="AF151" s="1043"/>
      <c r="AG151" s="21"/>
      <c r="AH151" s="64"/>
      <c r="AI151" s="27"/>
      <c r="AJ151" s="21"/>
      <c r="AK151" s="62"/>
      <c r="AL151" s="27"/>
      <c r="AM151" s="21"/>
      <c r="AN151" s="62"/>
      <c r="AS151" s="265">
        <f t="shared" si="132"/>
        <v>0</v>
      </c>
      <c r="AT151" s="265">
        <f t="shared" si="133"/>
        <v>0</v>
      </c>
      <c r="AU151" s="265">
        <f t="shared" si="134"/>
        <v>0</v>
      </c>
    </row>
    <row r="152" spans="1:47" x14ac:dyDescent="0.2">
      <c r="A152" s="1321" t="s">
        <v>139</v>
      </c>
      <c r="B152" s="89"/>
      <c r="C152" s="97"/>
      <c r="D152" s="76"/>
      <c r="E152" s="89"/>
      <c r="F152" s="9"/>
      <c r="G152" s="76"/>
      <c r="H152" s="133"/>
      <c r="I152" s="9"/>
      <c r="J152" s="76"/>
      <c r="K152" s="133"/>
      <c r="L152" s="9"/>
      <c r="M152" s="76"/>
      <c r="N152" s="89"/>
      <c r="O152" s="9"/>
      <c r="P152" s="49"/>
      <c r="Q152" s="46"/>
      <c r="R152" s="9"/>
      <c r="S152" s="61"/>
      <c r="T152" s="46"/>
      <c r="U152" s="9"/>
      <c r="V152" s="46"/>
      <c r="W152" s="350"/>
      <c r="X152" s="9"/>
      <c r="Y152" s="49"/>
      <c r="Z152" s="350"/>
      <c r="AA152" s="9"/>
      <c r="AB152" s="49"/>
      <c r="AC152" s="46"/>
      <c r="AD152" s="9"/>
      <c r="AE152" s="46"/>
      <c r="AF152" s="350"/>
      <c r="AG152" s="9"/>
      <c r="AH152" s="49"/>
      <c r="AI152" s="46"/>
      <c r="AJ152" s="9"/>
      <c r="AK152" s="61"/>
      <c r="AL152" s="46"/>
      <c r="AM152" s="9"/>
      <c r="AN152" s="61"/>
      <c r="AS152" s="265">
        <f t="shared" si="132"/>
        <v>0</v>
      </c>
      <c r="AT152" s="265">
        <f t="shared" si="133"/>
        <v>0</v>
      </c>
      <c r="AU152" s="265">
        <f t="shared" si="134"/>
        <v>0</v>
      </c>
    </row>
    <row r="153" spans="1:47" x14ac:dyDescent="0.2">
      <c r="A153" s="1321"/>
      <c r="B153" s="89"/>
      <c r="C153" s="97"/>
      <c r="D153" s="76"/>
      <c r="E153" s="89"/>
      <c r="F153" s="9"/>
      <c r="G153" s="76"/>
      <c r="H153" s="133"/>
      <c r="I153" s="9"/>
      <c r="J153" s="76"/>
      <c r="K153" s="133"/>
      <c r="L153" s="9"/>
      <c r="M153" s="76"/>
      <c r="N153" s="89"/>
      <c r="O153" s="9"/>
      <c r="P153" s="49"/>
      <c r="Q153" s="46"/>
      <c r="R153" s="9"/>
      <c r="S153" s="61"/>
      <c r="T153" s="46"/>
      <c r="U153" s="9"/>
      <c r="V153" s="46"/>
      <c r="W153" s="350"/>
      <c r="X153" s="9"/>
      <c r="Y153" s="49"/>
      <c r="Z153" s="350"/>
      <c r="AA153" s="9"/>
      <c r="AB153" s="49"/>
      <c r="AC153" s="46"/>
      <c r="AD153" s="9"/>
      <c r="AE153" s="46"/>
      <c r="AF153" s="350"/>
      <c r="AG153" s="9"/>
      <c r="AH153" s="49"/>
      <c r="AI153" s="46"/>
      <c r="AJ153" s="9"/>
      <c r="AK153" s="61"/>
      <c r="AL153" s="46"/>
      <c r="AM153" s="9"/>
      <c r="AN153" s="61"/>
      <c r="AS153" s="265">
        <f t="shared" si="132"/>
        <v>0</v>
      </c>
      <c r="AT153" s="265">
        <f t="shared" si="133"/>
        <v>0</v>
      </c>
      <c r="AU153" s="265">
        <f t="shared" si="134"/>
        <v>0</v>
      </c>
    </row>
    <row r="154" spans="1:47" x14ac:dyDescent="0.2">
      <c r="A154" s="1319" t="s">
        <v>563</v>
      </c>
      <c r="B154" s="89"/>
      <c r="C154" s="97"/>
      <c r="D154" s="76"/>
      <c r="E154" s="89"/>
      <c r="F154" s="9"/>
      <c r="G154" s="76"/>
      <c r="H154" s="133"/>
      <c r="I154" s="9"/>
      <c r="J154" s="76"/>
      <c r="K154" s="133"/>
      <c r="L154" s="9"/>
      <c r="M154" s="76"/>
      <c r="N154" s="89"/>
      <c r="O154" s="9"/>
      <c r="P154" s="49"/>
      <c r="Q154" s="46"/>
      <c r="R154" s="9"/>
      <c r="S154" s="61"/>
      <c r="T154" s="46"/>
      <c r="U154" s="9"/>
      <c r="V154" s="46"/>
      <c r="W154" s="350"/>
      <c r="X154" s="9"/>
      <c r="Y154" s="49"/>
      <c r="Z154" s="350"/>
      <c r="AA154" s="9"/>
      <c r="AB154" s="49"/>
      <c r="AC154" s="46"/>
      <c r="AD154" s="9"/>
      <c r="AE154" s="46"/>
      <c r="AF154" s="350"/>
      <c r="AG154" s="9"/>
      <c r="AH154" s="49"/>
      <c r="AI154" s="46"/>
      <c r="AJ154" s="9"/>
      <c r="AK154" s="61"/>
      <c r="AL154" s="46"/>
      <c r="AM154" s="9"/>
      <c r="AN154" s="61"/>
      <c r="AS154" s="265">
        <f t="shared" si="132"/>
        <v>0</v>
      </c>
      <c r="AT154" s="265">
        <f t="shared" si="133"/>
        <v>0</v>
      </c>
      <c r="AU154" s="265">
        <f t="shared" si="134"/>
        <v>0</v>
      </c>
    </row>
    <row r="155" spans="1:47" x14ac:dyDescent="0.2">
      <c r="A155" s="1317" t="s">
        <v>3933</v>
      </c>
      <c r="B155" s="89">
        <v>19000</v>
      </c>
      <c r="C155" s="97"/>
      <c r="D155" s="76">
        <f>B155-C155</f>
        <v>19000</v>
      </c>
      <c r="E155" s="89"/>
      <c r="F155" s="9"/>
      <c r="G155" s="76"/>
      <c r="H155" s="133"/>
      <c r="I155" s="9"/>
      <c r="J155" s="76"/>
      <c r="K155" s="133"/>
      <c r="L155" s="9"/>
      <c r="M155" s="76"/>
      <c r="N155" s="89"/>
      <c r="O155" s="9"/>
      <c r="P155" s="49"/>
      <c r="Q155" s="46"/>
      <c r="R155" s="9"/>
      <c r="S155" s="61"/>
      <c r="T155" s="46"/>
      <c r="U155" s="9"/>
      <c r="V155" s="46"/>
      <c r="W155" s="350"/>
      <c r="X155" s="9"/>
      <c r="Y155" s="49"/>
      <c r="Z155" s="350"/>
      <c r="AA155" s="9"/>
      <c r="AB155" s="49"/>
      <c r="AC155" s="46"/>
      <c r="AD155" s="9"/>
      <c r="AE155" s="46"/>
      <c r="AF155" s="350"/>
      <c r="AG155" s="9"/>
      <c r="AH155" s="49"/>
      <c r="AI155" s="46"/>
      <c r="AJ155" s="9"/>
      <c r="AK155" s="61"/>
      <c r="AL155" s="46"/>
      <c r="AM155" s="9"/>
      <c r="AN155" s="61"/>
      <c r="AS155" s="265">
        <f t="shared" si="132"/>
        <v>0</v>
      </c>
      <c r="AT155" s="265">
        <f t="shared" si="133"/>
        <v>0</v>
      </c>
      <c r="AU155" s="265">
        <f t="shared" si="134"/>
        <v>0</v>
      </c>
    </row>
    <row r="156" spans="1:47" x14ac:dyDescent="0.2">
      <c r="A156" s="1317" t="s">
        <v>557</v>
      </c>
      <c r="B156" s="133">
        <v>8000</v>
      </c>
      <c r="C156" s="99"/>
      <c r="D156" s="76">
        <f t="shared" ref="D156" si="137">B156-C156</f>
        <v>8000</v>
      </c>
      <c r="E156" s="89">
        <v>26600</v>
      </c>
      <c r="F156" s="9"/>
      <c r="G156" s="76">
        <f t="shared" ref="G156:G169" si="138">E156-F156</f>
        <v>26600</v>
      </c>
      <c r="H156" s="89"/>
      <c r="I156" s="9"/>
      <c r="J156" s="76"/>
      <c r="K156" s="133"/>
      <c r="L156" s="9"/>
      <c r="M156" s="76"/>
      <c r="N156" s="89"/>
      <c r="O156" s="9"/>
      <c r="P156" s="49"/>
      <c r="Q156" s="46"/>
      <c r="R156" s="9"/>
      <c r="S156" s="61"/>
      <c r="T156" s="46"/>
      <c r="U156" s="9"/>
      <c r="V156" s="46"/>
      <c r="W156" s="350"/>
      <c r="X156" s="9"/>
      <c r="Y156" s="49"/>
      <c r="Z156" s="350"/>
      <c r="AA156" s="9"/>
      <c r="AB156" s="49"/>
      <c r="AC156" s="46"/>
      <c r="AD156" s="9"/>
      <c r="AE156" s="46"/>
      <c r="AF156" s="350"/>
      <c r="AG156" s="9"/>
      <c r="AH156" s="49"/>
      <c r="AI156" s="46"/>
      <c r="AJ156" s="9"/>
      <c r="AK156" s="61"/>
      <c r="AL156" s="46"/>
      <c r="AM156" s="9"/>
      <c r="AN156" s="61"/>
      <c r="AS156" s="265">
        <f t="shared" si="132"/>
        <v>0</v>
      </c>
      <c r="AT156" s="265">
        <f t="shared" si="133"/>
        <v>0</v>
      </c>
      <c r="AU156" s="265">
        <f t="shared" si="134"/>
        <v>0</v>
      </c>
    </row>
    <row r="157" spans="1:47" x14ac:dyDescent="0.2">
      <c r="A157" s="1317" t="s">
        <v>4825</v>
      </c>
      <c r="B157" s="133"/>
      <c r="C157" s="99"/>
      <c r="D157" s="76"/>
      <c r="E157" s="89">
        <v>10000</v>
      </c>
      <c r="F157" s="9"/>
      <c r="G157" s="76">
        <f t="shared" si="138"/>
        <v>10000</v>
      </c>
      <c r="H157" s="89">
        <f>E157</f>
        <v>10000</v>
      </c>
      <c r="I157" s="9"/>
      <c r="J157" s="76">
        <f t="shared" ref="J157" si="139">H157-I157</f>
        <v>10000</v>
      </c>
      <c r="K157" s="133">
        <f>H157</f>
        <v>10000</v>
      </c>
      <c r="L157" s="9"/>
      <c r="M157" s="76">
        <f t="shared" ref="M157" si="140">K157-L157</f>
        <v>10000</v>
      </c>
      <c r="N157" s="89">
        <f>K157</f>
        <v>10000</v>
      </c>
      <c r="O157" s="9"/>
      <c r="P157" s="49">
        <f t="shared" ref="P157" si="141">N157-O157</f>
        <v>10000</v>
      </c>
      <c r="Q157" s="46">
        <f>N157</f>
        <v>10000</v>
      </c>
      <c r="R157" s="9"/>
      <c r="S157" s="61">
        <f t="shared" ref="S157" si="142">Q157-R157</f>
        <v>10000</v>
      </c>
      <c r="T157" s="46">
        <f>Q157</f>
        <v>10000</v>
      </c>
      <c r="U157" s="9">
        <f>'Cap-Gen'!J79</f>
        <v>60000</v>
      </c>
      <c r="V157" s="46">
        <f t="shared" ref="V157" si="143">T157-U157</f>
        <v>-50000</v>
      </c>
      <c r="W157" s="350">
        <f>T157</f>
        <v>10000</v>
      </c>
      <c r="X157" s="9"/>
      <c r="Y157" s="49">
        <f t="shared" ref="Y157" si="144">W157-X157</f>
        <v>10000</v>
      </c>
      <c r="Z157" s="350">
        <f>W157</f>
        <v>10000</v>
      </c>
      <c r="AA157" s="9"/>
      <c r="AB157" s="49">
        <f t="shared" ref="AB157" si="145">Z157-AA157</f>
        <v>10000</v>
      </c>
      <c r="AC157" s="46">
        <f>Z157</f>
        <v>10000</v>
      </c>
      <c r="AD157" s="9"/>
      <c r="AE157" s="46">
        <f t="shared" ref="AE157" si="146">AC157-AD157</f>
        <v>10000</v>
      </c>
      <c r="AF157" s="350">
        <f>AC157</f>
        <v>10000</v>
      </c>
      <c r="AG157" s="9"/>
      <c r="AH157" s="49">
        <f t="shared" ref="AH157" si="147">AF157-AG157</f>
        <v>10000</v>
      </c>
      <c r="AI157" s="46">
        <f>AF157</f>
        <v>10000</v>
      </c>
      <c r="AJ157" s="9"/>
      <c r="AK157" s="61">
        <f t="shared" ref="AK157" si="148">AI157-AJ157</f>
        <v>10000</v>
      </c>
      <c r="AL157" s="46">
        <f>AI157</f>
        <v>10000</v>
      </c>
      <c r="AM157" s="9"/>
      <c r="AN157" s="61">
        <f t="shared" ref="AN157" si="149">AL157-AM157</f>
        <v>10000</v>
      </c>
      <c r="AP157" s="34">
        <v>10000</v>
      </c>
      <c r="AR157" s="34">
        <v>10000</v>
      </c>
      <c r="AS157" s="265">
        <f t="shared" si="132"/>
        <v>0</v>
      </c>
      <c r="AT157" s="265">
        <f t="shared" si="133"/>
        <v>0</v>
      </c>
      <c r="AU157" s="265">
        <f t="shared" si="134"/>
        <v>0</v>
      </c>
    </row>
    <row r="158" spans="1:47" x14ac:dyDescent="0.2">
      <c r="A158" s="1317"/>
      <c r="B158" s="89"/>
      <c r="C158" s="97"/>
      <c r="D158" s="218"/>
      <c r="E158" s="89"/>
      <c r="F158" s="9"/>
      <c r="G158" s="76"/>
      <c r="H158" s="133"/>
      <c r="I158" s="9"/>
      <c r="J158" s="76"/>
      <c r="K158" s="133"/>
      <c r="L158" s="9"/>
      <c r="M158" s="76"/>
      <c r="N158" s="89"/>
      <c r="O158" s="9"/>
      <c r="P158" s="49"/>
      <c r="Q158" s="46"/>
      <c r="R158" s="9"/>
      <c r="S158" s="61"/>
      <c r="T158" s="46"/>
      <c r="U158" s="9"/>
      <c r="V158" s="46"/>
      <c r="W158" s="350"/>
      <c r="X158" s="9"/>
      <c r="Y158" s="49"/>
      <c r="Z158" s="350"/>
      <c r="AA158" s="9"/>
      <c r="AB158" s="49"/>
      <c r="AC158" s="46"/>
      <c r="AD158" s="9"/>
      <c r="AE158" s="46"/>
      <c r="AF158" s="350"/>
      <c r="AG158" s="9"/>
      <c r="AH158" s="49"/>
      <c r="AI158" s="46"/>
      <c r="AJ158" s="9"/>
      <c r="AK158" s="61"/>
      <c r="AL158" s="46"/>
      <c r="AM158" s="9"/>
      <c r="AN158" s="61"/>
      <c r="AS158" s="265">
        <f t="shared" si="132"/>
        <v>0</v>
      </c>
      <c r="AT158" s="265">
        <f t="shared" si="133"/>
        <v>0</v>
      </c>
      <c r="AU158" s="265">
        <f t="shared" si="134"/>
        <v>0</v>
      </c>
    </row>
    <row r="159" spans="1:47" x14ac:dyDescent="0.2">
      <c r="A159" s="1319" t="s">
        <v>3673</v>
      </c>
      <c r="B159" s="89"/>
      <c r="C159" s="97"/>
      <c r="D159" s="218"/>
      <c r="E159" s="89"/>
      <c r="F159" s="9"/>
      <c r="G159" s="76"/>
      <c r="H159" s="133"/>
      <c r="I159" s="9"/>
      <c r="J159" s="76"/>
      <c r="K159" s="133"/>
      <c r="L159" s="9"/>
      <c r="M159" s="76"/>
      <c r="N159" s="89"/>
      <c r="O159" s="9"/>
      <c r="P159" s="49"/>
      <c r="Q159" s="46"/>
      <c r="R159" s="9"/>
      <c r="S159" s="61"/>
      <c r="T159" s="46"/>
      <c r="U159" s="9"/>
      <c r="V159" s="46"/>
      <c r="W159" s="350"/>
      <c r="X159" s="9"/>
      <c r="Y159" s="49"/>
      <c r="Z159" s="350"/>
      <c r="AA159" s="9"/>
      <c r="AB159" s="49"/>
      <c r="AC159" s="46"/>
      <c r="AD159" s="9"/>
      <c r="AE159" s="46"/>
      <c r="AF159" s="350"/>
      <c r="AG159" s="9"/>
      <c r="AH159" s="49"/>
      <c r="AI159" s="46"/>
      <c r="AJ159" s="9"/>
      <c r="AK159" s="61"/>
      <c r="AL159" s="46"/>
      <c r="AM159" s="9"/>
      <c r="AN159" s="61"/>
      <c r="AS159" s="265">
        <f t="shared" si="132"/>
        <v>0</v>
      </c>
      <c r="AT159" s="265">
        <f t="shared" si="133"/>
        <v>0</v>
      </c>
      <c r="AU159" s="265">
        <f t="shared" si="134"/>
        <v>0</v>
      </c>
    </row>
    <row r="160" spans="1:47" x14ac:dyDescent="0.2">
      <c r="A160" s="1317" t="s">
        <v>1385</v>
      </c>
      <c r="B160" s="89">
        <v>507200</v>
      </c>
      <c r="C160" s="97"/>
      <c r="D160" s="218">
        <f>B160-C160</f>
        <v>507200</v>
      </c>
      <c r="E160" s="89">
        <v>196600</v>
      </c>
      <c r="F160" s="9">
        <v>510200</v>
      </c>
      <c r="G160" s="76">
        <f t="shared" si="138"/>
        <v>-313600</v>
      </c>
      <c r="H160" s="133"/>
      <c r="I160" s="9">
        <v>196600</v>
      </c>
      <c r="J160" s="76">
        <f t="shared" ref="J160" si="150">H160-I160</f>
        <v>-196600</v>
      </c>
      <c r="K160" s="133"/>
      <c r="L160" s="9"/>
      <c r="M160" s="76"/>
      <c r="N160" s="89"/>
      <c r="O160" s="9"/>
      <c r="P160" s="49"/>
      <c r="Q160" s="46"/>
      <c r="R160" s="9"/>
      <c r="S160" s="61"/>
      <c r="T160" s="46"/>
      <c r="U160" s="9"/>
      <c r="V160" s="46"/>
      <c r="W160" s="350"/>
      <c r="X160" s="9"/>
      <c r="Y160" s="49"/>
      <c r="Z160" s="350"/>
      <c r="AA160" s="9"/>
      <c r="AB160" s="49"/>
      <c r="AC160" s="46"/>
      <c r="AD160" s="9"/>
      <c r="AE160" s="46"/>
      <c r="AF160" s="350"/>
      <c r="AG160" s="9"/>
      <c r="AH160" s="49"/>
      <c r="AI160" s="46"/>
      <c r="AJ160" s="9"/>
      <c r="AK160" s="61"/>
      <c r="AL160" s="46"/>
      <c r="AM160" s="9"/>
      <c r="AN160" s="61"/>
      <c r="AS160" s="265">
        <f t="shared" si="132"/>
        <v>0</v>
      </c>
      <c r="AT160" s="265">
        <f t="shared" si="133"/>
        <v>0</v>
      </c>
      <c r="AU160" s="265">
        <f t="shared" si="134"/>
        <v>0</v>
      </c>
    </row>
    <row r="161" spans="1:47" x14ac:dyDescent="0.2">
      <c r="A161" s="1317" t="s">
        <v>3079</v>
      </c>
      <c r="B161" s="89"/>
      <c r="C161" s="97">
        <f>15200</f>
        <v>15200</v>
      </c>
      <c r="D161" s="218">
        <f>B161-C161</f>
        <v>-15200</v>
      </c>
      <c r="E161" s="89"/>
      <c r="F161" s="9"/>
      <c r="G161" s="76"/>
      <c r="H161" s="133"/>
      <c r="I161" s="9"/>
      <c r="J161" s="76"/>
      <c r="K161" s="133"/>
      <c r="L161" s="9"/>
      <c r="M161" s="76"/>
      <c r="N161" s="89"/>
      <c r="O161" s="9"/>
      <c r="P161" s="49"/>
      <c r="Q161" s="46"/>
      <c r="R161" s="9"/>
      <c r="S161" s="61"/>
      <c r="T161" s="46"/>
      <c r="U161" s="9"/>
      <c r="V161" s="46"/>
      <c r="W161" s="350"/>
      <c r="X161" s="9"/>
      <c r="Y161" s="49"/>
      <c r="Z161" s="350"/>
      <c r="AA161" s="9"/>
      <c r="AB161" s="49"/>
      <c r="AC161" s="46"/>
      <c r="AD161" s="9"/>
      <c r="AE161" s="46"/>
      <c r="AF161" s="350"/>
      <c r="AG161" s="9"/>
      <c r="AH161" s="49"/>
      <c r="AI161" s="46"/>
      <c r="AJ161" s="9"/>
      <c r="AK161" s="61"/>
      <c r="AL161" s="46"/>
      <c r="AM161" s="9"/>
      <c r="AN161" s="61"/>
      <c r="AS161" s="265">
        <f t="shared" si="132"/>
        <v>0</v>
      </c>
      <c r="AT161" s="265">
        <f t="shared" si="133"/>
        <v>0</v>
      </c>
      <c r="AU161" s="265">
        <f t="shared" si="134"/>
        <v>0</v>
      </c>
    </row>
    <row r="162" spans="1:47" x14ac:dyDescent="0.2">
      <c r="A162" s="1317" t="s">
        <v>4121</v>
      </c>
      <c r="B162" s="89">
        <v>10000</v>
      </c>
      <c r="C162" s="97">
        <f>190500-C161</f>
        <v>175300</v>
      </c>
      <c r="D162" s="218">
        <f t="shared" ref="D162" si="151">B162-C162</f>
        <v>-165300</v>
      </c>
      <c r="E162" s="89">
        <f>110200</f>
        <v>110200</v>
      </c>
      <c r="F162" s="79">
        <v>10000</v>
      </c>
      <c r="G162" s="76">
        <f t="shared" si="138"/>
        <v>100200</v>
      </c>
      <c r="H162" s="133">
        <v>250000</v>
      </c>
      <c r="I162" s="9">
        <f>110200</f>
        <v>110200</v>
      </c>
      <c r="J162" s="76">
        <f t="shared" ref="J162" si="152">H162-I162</f>
        <v>139800</v>
      </c>
      <c r="K162" s="133"/>
      <c r="L162" s="9"/>
      <c r="M162" s="76"/>
      <c r="N162" s="89"/>
      <c r="O162" s="9"/>
      <c r="P162" s="49"/>
      <c r="Q162" s="46"/>
      <c r="R162" s="9"/>
      <c r="S162" s="61"/>
      <c r="T162" s="46"/>
      <c r="U162" s="9"/>
      <c r="V162" s="46"/>
      <c r="W162" s="350"/>
      <c r="X162" s="9"/>
      <c r="Y162" s="49"/>
      <c r="Z162" s="350"/>
      <c r="AA162" s="9"/>
      <c r="AB162" s="49"/>
      <c r="AC162" s="46"/>
      <c r="AD162" s="9"/>
      <c r="AE162" s="46"/>
      <c r="AF162" s="350"/>
      <c r="AG162" s="9"/>
      <c r="AH162" s="49"/>
      <c r="AI162" s="46"/>
      <c r="AJ162" s="9"/>
      <c r="AK162" s="61"/>
      <c r="AL162" s="46"/>
      <c r="AM162" s="9"/>
      <c r="AN162" s="61"/>
      <c r="AS162" s="265">
        <f t="shared" si="132"/>
        <v>0</v>
      </c>
      <c r="AT162" s="265">
        <f t="shared" si="133"/>
        <v>0</v>
      </c>
      <c r="AU162" s="265">
        <f t="shared" si="134"/>
        <v>0</v>
      </c>
    </row>
    <row r="163" spans="1:47" x14ac:dyDescent="0.2">
      <c r="A163" s="1317"/>
      <c r="B163" s="89"/>
      <c r="C163" s="97"/>
      <c r="D163" s="76"/>
      <c r="E163" s="89"/>
      <c r="F163" s="9"/>
      <c r="G163" s="76"/>
      <c r="H163" s="133"/>
      <c r="I163" s="9"/>
      <c r="J163" s="76"/>
      <c r="K163" s="133"/>
      <c r="L163" s="9"/>
      <c r="M163" s="76"/>
      <c r="N163" s="89"/>
      <c r="O163" s="9"/>
      <c r="P163" s="49"/>
      <c r="Q163" s="46"/>
      <c r="R163" s="9"/>
      <c r="S163" s="61"/>
      <c r="T163" s="46"/>
      <c r="U163" s="9"/>
      <c r="V163" s="46"/>
      <c r="W163" s="350"/>
      <c r="X163" s="9"/>
      <c r="Y163" s="49"/>
      <c r="Z163" s="350"/>
      <c r="AA163" s="9"/>
      <c r="AB163" s="49"/>
      <c r="AC163" s="46"/>
      <c r="AD163" s="9"/>
      <c r="AE163" s="46"/>
      <c r="AF163" s="350"/>
      <c r="AG163" s="9"/>
      <c r="AH163" s="49"/>
      <c r="AI163" s="46"/>
      <c r="AJ163" s="9"/>
      <c r="AK163" s="61"/>
      <c r="AL163" s="46"/>
      <c r="AM163" s="9"/>
      <c r="AN163" s="61"/>
      <c r="AS163" s="265">
        <f t="shared" si="132"/>
        <v>0</v>
      </c>
      <c r="AT163" s="265">
        <f t="shared" si="133"/>
        <v>0</v>
      </c>
      <c r="AU163" s="265">
        <f t="shared" si="134"/>
        <v>0</v>
      </c>
    </row>
    <row r="164" spans="1:47" x14ac:dyDescent="0.2">
      <c r="A164" s="1319" t="s">
        <v>3812</v>
      </c>
      <c r="B164" s="89"/>
      <c r="C164" s="97"/>
      <c r="D164" s="76"/>
      <c r="E164" s="89"/>
      <c r="F164" s="9"/>
      <c r="G164" s="76"/>
      <c r="H164" s="133"/>
      <c r="I164" s="9"/>
      <c r="J164" s="76"/>
      <c r="K164" s="133"/>
      <c r="L164" s="9"/>
      <c r="M164" s="76"/>
      <c r="N164" s="89"/>
      <c r="O164" s="9"/>
      <c r="P164" s="49"/>
      <c r="Q164" s="46"/>
      <c r="R164" s="9"/>
      <c r="S164" s="61"/>
      <c r="T164" s="46"/>
      <c r="U164" s="9"/>
      <c r="V164" s="46"/>
      <c r="W164" s="350"/>
      <c r="X164" s="9"/>
      <c r="Y164" s="49"/>
      <c r="Z164" s="350"/>
      <c r="AA164" s="9"/>
      <c r="AB164" s="49"/>
      <c r="AC164" s="46"/>
      <c r="AD164" s="9"/>
      <c r="AE164" s="46"/>
      <c r="AF164" s="350"/>
      <c r="AG164" s="9"/>
      <c r="AH164" s="49"/>
      <c r="AI164" s="46"/>
      <c r="AJ164" s="9"/>
      <c r="AK164" s="61"/>
      <c r="AL164" s="46"/>
      <c r="AM164" s="9"/>
      <c r="AN164" s="61"/>
      <c r="AS164" s="265">
        <f t="shared" si="132"/>
        <v>0</v>
      </c>
      <c r="AT164" s="265">
        <f t="shared" si="133"/>
        <v>0</v>
      </c>
      <c r="AU164" s="265">
        <f t="shared" si="134"/>
        <v>0</v>
      </c>
    </row>
    <row r="165" spans="1:47" x14ac:dyDescent="0.2">
      <c r="A165" s="1317" t="s">
        <v>6622</v>
      </c>
      <c r="B165" s="89">
        <v>50000</v>
      </c>
      <c r="C165" s="97">
        <v>20600</v>
      </c>
      <c r="D165" s="218">
        <f>B165-C165</f>
        <v>29400</v>
      </c>
      <c r="E165" s="89">
        <v>127600</v>
      </c>
      <c r="F165" s="9"/>
      <c r="G165" s="76">
        <f t="shared" si="138"/>
        <v>127600</v>
      </c>
      <c r="H165" s="133"/>
      <c r="I165" s="9">
        <v>127600</v>
      </c>
      <c r="J165" s="76">
        <f t="shared" ref="J165:J167" si="153">H165-I165</f>
        <v>-127600</v>
      </c>
      <c r="K165" s="133"/>
      <c r="L165" s="9"/>
      <c r="M165" s="76"/>
      <c r="N165" s="89"/>
      <c r="O165" s="9"/>
      <c r="P165" s="49"/>
      <c r="Q165" s="46"/>
      <c r="R165" s="9"/>
      <c r="S165" s="61"/>
      <c r="T165" s="46"/>
      <c r="U165" s="9"/>
      <c r="V165" s="46"/>
      <c r="W165" s="350"/>
      <c r="X165" s="9"/>
      <c r="Y165" s="49"/>
      <c r="Z165" s="350"/>
      <c r="AA165" s="9"/>
      <c r="AB165" s="49"/>
      <c r="AC165" s="46"/>
      <c r="AD165" s="9"/>
      <c r="AE165" s="46"/>
      <c r="AF165" s="350"/>
      <c r="AG165" s="9"/>
      <c r="AH165" s="49"/>
      <c r="AI165" s="46"/>
      <c r="AJ165" s="9"/>
      <c r="AK165" s="61"/>
      <c r="AL165" s="46"/>
      <c r="AM165" s="9"/>
      <c r="AN165" s="61"/>
      <c r="AS165" s="265">
        <f t="shared" si="132"/>
        <v>0</v>
      </c>
      <c r="AT165" s="265">
        <f t="shared" si="133"/>
        <v>0</v>
      </c>
      <c r="AU165" s="265">
        <f t="shared" si="134"/>
        <v>0</v>
      </c>
    </row>
    <row r="166" spans="1:47" x14ac:dyDescent="0.2">
      <c r="A166" s="1317" t="s">
        <v>6623</v>
      </c>
      <c r="B166" s="89">
        <v>71000</v>
      </c>
      <c r="C166" s="97"/>
      <c r="D166" s="218">
        <f>B166-C166</f>
        <v>71000</v>
      </c>
      <c r="E166" s="89">
        <v>151000</v>
      </c>
      <c r="F166" s="9">
        <v>71000</v>
      </c>
      <c r="G166" s="76">
        <f t="shared" si="138"/>
        <v>80000</v>
      </c>
      <c r="H166" s="133"/>
      <c r="I166" s="9">
        <f>+'Cap-Gen'!AE110</f>
        <v>151000</v>
      </c>
      <c r="J166" s="76">
        <f t="shared" si="153"/>
        <v>-151000</v>
      </c>
      <c r="K166" s="133"/>
      <c r="L166" s="9"/>
      <c r="M166" s="76"/>
      <c r="N166" s="89"/>
      <c r="O166" s="9"/>
      <c r="P166" s="49"/>
      <c r="Q166" s="46"/>
      <c r="R166" s="9"/>
      <c r="S166" s="61"/>
      <c r="T166" s="46"/>
      <c r="U166" s="9"/>
      <c r="V166" s="46"/>
      <c r="W166" s="350"/>
      <c r="X166" s="9"/>
      <c r="Y166" s="49"/>
      <c r="Z166" s="350"/>
      <c r="AA166" s="9"/>
      <c r="AB166" s="49"/>
      <c r="AC166" s="46"/>
      <c r="AD166" s="9"/>
      <c r="AE166" s="46"/>
      <c r="AF166" s="350"/>
      <c r="AG166" s="9"/>
      <c r="AH166" s="49"/>
      <c r="AI166" s="46"/>
      <c r="AJ166" s="9"/>
      <c r="AK166" s="61"/>
      <c r="AL166" s="46"/>
      <c r="AM166" s="9"/>
      <c r="AN166" s="61"/>
      <c r="AS166" s="265">
        <f t="shared" si="132"/>
        <v>0</v>
      </c>
      <c r="AT166" s="265">
        <f t="shared" si="133"/>
        <v>0</v>
      </c>
      <c r="AU166" s="265">
        <f t="shared" si="134"/>
        <v>0</v>
      </c>
    </row>
    <row r="167" spans="1:47" x14ac:dyDescent="0.2">
      <c r="A167" s="1317" t="s">
        <v>509</v>
      </c>
      <c r="B167" s="133"/>
      <c r="C167" s="97">
        <v>42800</v>
      </c>
      <c r="D167" s="218">
        <f>B167-C167</f>
        <v>-42800</v>
      </c>
      <c r="E167" s="89"/>
      <c r="F167" s="9">
        <v>15000</v>
      </c>
      <c r="G167" s="76">
        <f t="shared" si="138"/>
        <v>-15000</v>
      </c>
      <c r="H167" s="133"/>
      <c r="I167" s="9">
        <f>+'Cap-Gen'!AE96</f>
        <v>50000</v>
      </c>
      <c r="J167" s="76">
        <f t="shared" si="153"/>
        <v>-50000</v>
      </c>
      <c r="K167" s="133"/>
      <c r="L167" s="9"/>
      <c r="M167" s="76"/>
      <c r="N167" s="89"/>
      <c r="O167" s="9"/>
      <c r="P167" s="49"/>
      <c r="Q167" s="46"/>
      <c r="R167" s="9"/>
      <c r="S167" s="61"/>
      <c r="T167" s="46"/>
      <c r="U167" s="9"/>
      <c r="V167" s="46"/>
      <c r="W167" s="350"/>
      <c r="X167" s="9"/>
      <c r="Y167" s="49"/>
      <c r="Z167" s="350"/>
      <c r="AA167" s="9"/>
      <c r="AB167" s="49"/>
      <c r="AC167" s="46"/>
      <c r="AD167" s="9"/>
      <c r="AE167" s="46"/>
      <c r="AF167" s="350"/>
      <c r="AG167" s="9"/>
      <c r="AH167" s="49"/>
      <c r="AI167" s="46"/>
      <c r="AJ167" s="9"/>
      <c r="AK167" s="61"/>
      <c r="AL167" s="46"/>
      <c r="AM167" s="9"/>
      <c r="AN167" s="61"/>
      <c r="AS167" s="265">
        <f t="shared" si="132"/>
        <v>0</v>
      </c>
      <c r="AT167" s="265">
        <f t="shared" si="133"/>
        <v>0</v>
      </c>
      <c r="AU167" s="265">
        <f t="shared" si="134"/>
        <v>0</v>
      </c>
    </row>
    <row r="168" spans="1:47" x14ac:dyDescent="0.2">
      <c r="A168" s="1317" t="s">
        <v>5832</v>
      </c>
      <c r="B168" s="89"/>
      <c r="C168" s="97">
        <f>350000+46500+39300-39300</f>
        <v>396500</v>
      </c>
      <c r="D168" s="218">
        <f>B168-C168</f>
        <v>-396500</v>
      </c>
      <c r="E168" s="89"/>
      <c r="F168" s="9"/>
      <c r="G168" s="76"/>
      <c r="H168" s="133"/>
      <c r="I168" s="9"/>
      <c r="J168" s="76"/>
      <c r="K168" s="133"/>
      <c r="L168" s="9"/>
      <c r="M168" s="76"/>
      <c r="N168" s="89"/>
      <c r="O168" s="9"/>
      <c r="P168" s="49"/>
      <c r="Q168" s="46"/>
      <c r="R168" s="9"/>
      <c r="S168" s="61"/>
      <c r="T168" s="46"/>
      <c r="U168" s="9"/>
      <c r="V168" s="46"/>
      <c r="W168" s="350"/>
      <c r="X168" s="9"/>
      <c r="Y168" s="49"/>
      <c r="Z168" s="350"/>
      <c r="AA168" s="9"/>
      <c r="AB168" s="49"/>
      <c r="AC168" s="46"/>
      <c r="AD168" s="9"/>
      <c r="AE168" s="46"/>
      <c r="AF168" s="350"/>
      <c r="AG168" s="9"/>
      <c r="AH168" s="49"/>
      <c r="AI168" s="46"/>
      <c r="AJ168" s="9"/>
      <c r="AK168" s="61"/>
      <c r="AL168" s="46"/>
      <c r="AM168" s="9"/>
      <c r="AN168" s="61"/>
      <c r="AS168" s="265">
        <f t="shared" si="132"/>
        <v>0</v>
      </c>
      <c r="AT168" s="265">
        <f t="shared" si="133"/>
        <v>0</v>
      </c>
      <c r="AU168" s="265">
        <f t="shared" si="134"/>
        <v>0</v>
      </c>
    </row>
    <row r="169" spans="1:47" x14ac:dyDescent="0.2">
      <c r="A169" s="1317" t="s">
        <v>2261</v>
      </c>
      <c r="B169" s="89">
        <v>60500</v>
      </c>
      <c r="C169" s="97"/>
      <c r="D169" s="218">
        <f>B169-C169</f>
        <v>60500</v>
      </c>
      <c r="E169" s="89">
        <v>683500</v>
      </c>
      <c r="F169" s="9">
        <v>685500</v>
      </c>
      <c r="G169" s="76">
        <f t="shared" si="138"/>
        <v>-2000</v>
      </c>
      <c r="H169" s="133"/>
      <c r="I169" s="9">
        <v>683500</v>
      </c>
      <c r="J169" s="76">
        <f t="shared" ref="J169:J170" si="154">H169-I169</f>
        <v>-683500</v>
      </c>
      <c r="K169" s="133"/>
      <c r="L169" s="9"/>
      <c r="M169" s="76"/>
      <c r="N169" s="89"/>
      <c r="O169" s="9"/>
      <c r="P169" s="49"/>
      <c r="Q169" s="46"/>
      <c r="R169" s="9"/>
      <c r="S169" s="61"/>
      <c r="T169" s="46"/>
      <c r="U169" s="9"/>
      <c r="V169" s="46"/>
      <c r="W169" s="350"/>
      <c r="X169" s="9"/>
      <c r="Y169" s="49"/>
      <c r="Z169" s="350"/>
      <c r="AA169" s="9"/>
      <c r="AB169" s="49"/>
      <c r="AC169" s="46"/>
      <c r="AD169" s="9"/>
      <c r="AE169" s="46"/>
      <c r="AF169" s="350"/>
      <c r="AG169" s="9"/>
      <c r="AH169" s="49"/>
      <c r="AI169" s="46"/>
      <c r="AJ169" s="9"/>
      <c r="AK169" s="61"/>
      <c r="AL169" s="46"/>
      <c r="AM169" s="9"/>
      <c r="AN169" s="61"/>
      <c r="AS169" s="265">
        <f t="shared" si="132"/>
        <v>0</v>
      </c>
      <c r="AT169" s="265">
        <f t="shared" si="133"/>
        <v>0</v>
      </c>
      <c r="AU169" s="265">
        <f t="shared" si="134"/>
        <v>0</v>
      </c>
    </row>
    <row r="170" spans="1:47" x14ac:dyDescent="0.2">
      <c r="A170" s="1317" t="s">
        <v>3586</v>
      </c>
      <c r="B170" s="89"/>
      <c r="C170" s="97"/>
      <c r="D170" s="76"/>
      <c r="E170" s="89"/>
      <c r="F170" s="9"/>
      <c r="G170" s="76"/>
      <c r="H170" s="133"/>
      <c r="I170" s="9">
        <v>0</v>
      </c>
      <c r="J170" s="76">
        <f t="shared" si="154"/>
        <v>0</v>
      </c>
      <c r="K170" s="133"/>
      <c r="L170" s="9">
        <f>'Cap-Gen'!H97</f>
        <v>0</v>
      </c>
      <c r="M170" s="76">
        <f t="shared" ref="M170" si="155">K170-L170</f>
        <v>0</v>
      </c>
      <c r="N170" s="89"/>
      <c r="O170" s="9">
        <f>'Cap-Gen'!I97</f>
        <v>0</v>
      </c>
      <c r="P170" s="49">
        <f t="shared" ref="P170" si="156">N170-O170</f>
        <v>0</v>
      </c>
      <c r="Q170" s="46"/>
      <c r="R170" s="9">
        <f>'Cap-Gen'!J97</f>
        <v>0</v>
      </c>
      <c r="S170" s="61">
        <f t="shared" ref="S170" si="157">Q170-R170</f>
        <v>0</v>
      </c>
      <c r="T170" s="46"/>
      <c r="U170" s="9">
        <f>'Cap-Gen'!K97</f>
        <v>1100000</v>
      </c>
      <c r="V170" s="46">
        <f t="shared" ref="V170" si="158">T170-U170</f>
        <v>-1100000</v>
      </c>
      <c r="W170" s="350"/>
      <c r="X170" s="9">
        <f>'Cap-Gen'!L97</f>
        <v>500000</v>
      </c>
      <c r="Y170" s="49">
        <f t="shared" ref="Y170" si="159">W170-X170</f>
        <v>-500000</v>
      </c>
      <c r="Z170" s="350"/>
      <c r="AA170" s="9">
        <f>'Cap-Gen'!M97</f>
        <v>0</v>
      </c>
      <c r="AB170" s="49">
        <f t="shared" ref="AB170" si="160">Z170-AA170</f>
        <v>0</v>
      </c>
      <c r="AC170" s="46"/>
      <c r="AD170" s="9">
        <f>'Cap-Gen'!N97</f>
        <v>700000</v>
      </c>
      <c r="AE170" s="46">
        <f>AC170-AD170</f>
        <v>-700000</v>
      </c>
      <c r="AF170" s="350"/>
      <c r="AG170" s="9">
        <f>'Cap-Gen'!O97</f>
        <v>700000</v>
      </c>
      <c r="AH170" s="49">
        <f>AF170-AG170</f>
        <v>-700000</v>
      </c>
      <c r="AI170" s="46"/>
      <c r="AJ170" s="9">
        <f>'Cap-Gen'!P97</f>
        <v>700000</v>
      </c>
      <c r="AK170" s="61">
        <f>AI170-AJ170</f>
        <v>-700000</v>
      </c>
      <c r="AL170" s="46"/>
      <c r="AM170" s="9">
        <f>'Cap-Gen'!Q97</f>
        <v>700000</v>
      </c>
      <c r="AN170" s="61">
        <f>AL170-AM170</f>
        <v>-700000</v>
      </c>
      <c r="AQ170" s="34">
        <v>700000</v>
      </c>
      <c r="AR170" s="34">
        <v>-700000</v>
      </c>
      <c r="AS170" s="265">
        <f t="shared" si="132"/>
        <v>0</v>
      </c>
      <c r="AT170" s="265">
        <f t="shared" si="133"/>
        <v>0</v>
      </c>
      <c r="AU170" s="265">
        <f t="shared" si="134"/>
        <v>0</v>
      </c>
    </row>
    <row r="171" spans="1:47" x14ac:dyDescent="0.2">
      <c r="A171" s="1317" t="s">
        <v>3586</v>
      </c>
      <c r="B171" s="89"/>
      <c r="C171" s="97"/>
      <c r="D171" s="76"/>
      <c r="E171" s="89"/>
      <c r="F171" s="9"/>
      <c r="G171" s="76"/>
      <c r="H171" s="133"/>
      <c r="I171" s="9">
        <f>'Cap-Gen'!G98</f>
        <v>0</v>
      </c>
      <c r="J171" s="76">
        <f t="shared" ref="J171" si="161">H171-I171</f>
        <v>0</v>
      </c>
      <c r="K171" s="133"/>
      <c r="L171" s="9">
        <f>'Cap-Gen'!H98</f>
        <v>0</v>
      </c>
      <c r="M171" s="76">
        <f t="shared" ref="M171" si="162">K171-L171</f>
        <v>0</v>
      </c>
      <c r="N171" s="89"/>
      <c r="O171" s="9">
        <f>'Cap-Gen'!I98</f>
        <v>0</v>
      </c>
      <c r="P171" s="49">
        <f t="shared" ref="P171" si="163">N171-O171</f>
        <v>0</v>
      </c>
      <c r="Q171" s="46"/>
      <c r="R171" s="9">
        <f>'Cap-Gen'!J98</f>
        <v>0</v>
      </c>
      <c r="S171" s="61">
        <f t="shared" ref="S171" si="164">Q171-R171</f>
        <v>0</v>
      </c>
      <c r="T171" s="46"/>
      <c r="U171" s="9">
        <f>'Cap-Gen'!K98</f>
        <v>1000000</v>
      </c>
      <c r="V171" s="46">
        <f t="shared" ref="V171" si="165">T171-U171</f>
        <v>-1000000</v>
      </c>
      <c r="W171" s="350"/>
      <c r="X171" s="9">
        <f>'Cap-Gen'!L98</f>
        <v>1000000</v>
      </c>
      <c r="Y171" s="49">
        <f t="shared" ref="Y171" si="166">W171-X171</f>
        <v>-1000000</v>
      </c>
      <c r="Z171" s="350"/>
      <c r="AA171" s="9">
        <f>'Cap-Gen'!M98</f>
        <v>1000000</v>
      </c>
      <c r="AB171" s="49">
        <f t="shared" ref="AB171" si="167">Z171-AA171</f>
        <v>-1000000</v>
      </c>
      <c r="AC171" s="46"/>
      <c r="AD171" s="9">
        <f>'Cap-Gen'!N98</f>
        <v>1000000</v>
      </c>
      <c r="AE171" s="46">
        <f>AC171-AD171</f>
        <v>-1000000</v>
      </c>
      <c r="AF171" s="350"/>
      <c r="AG171" s="9">
        <f>'Cap-Gen'!O98</f>
        <v>1000000</v>
      </c>
      <c r="AH171" s="49">
        <f>AF171-AG171</f>
        <v>-1000000</v>
      </c>
      <c r="AI171" s="46"/>
      <c r="AJ171" s="9">
        <f>'Cap-Gen'!P98</f>
        <v>1000000</v>
      </c>
      <c r="AK171" s="61">
        <f>AI171-AJ171</f>
        <v>-1000000</v>
      </c>
      <c r="AL171" s="46"/>
      <c r="AM171" s="9">
        <f>'Cap-Gen'!Q98</f>
        <v>1000000</v>
      </c>
      <c r="AN171" s="61">
        <f>AL171-AM171</f>
        <v>-1000000</v>
      </c>
      <c r="AQ171" s="34">
        <v>1000000</v>
      </c>
      <c r="AR171" s="34">
        <v>-1000000</v>
      </c>
      <c r="AS171" s="265">
        <f t="shared" si="132"/>
        <v>0</v>
      </c>
      <c r="AT171" s="265">
        <f t="shared" si="133"/>
        <v>0</v>
      </c>
      <c r="AU171" s="265">
        <f t="shared" si="134"/>
        <v>0</v>
      </c>
    </row>
    <row r="172" spans="1:47" x14ac:dyDescent="0.2">
      <c r="A172" s="1318"/>
      <c r="B172" s="89"/>
      <c r="C172" s="97"/>
      <c r="D172" s="76"/>
      <c r="E172" s="89"/>
      <c r="F172" s="9"/>
      <c r="G172" s="76"/>
      <c r="H172" s="133"/>
      <c r="I172" s="9"/>
      <c r="J172" s="76"/>
      <c r="K172" s="133"/>
      <c r="L172" s="9"/>
      <c r="M172" s="76"/>
      <c r="N172" s="89"/>
      <c r="O172" s="9"/>
      <c r="P172" s="49"/>
      <c r="Q172" s="46"/>
      <c r="R172" s="9"/>
      <c r="S172" s="61"/>
      <c r="T172" s="46"/>
      <c r="U172" s="9"/>
      <c r="V172" s="46"/>
      <c r="W172" s="350"/>
      <c r="X172" s="9"/>
      <c r="Y172" s="49"/>
      <c r="Z172" s="350"/>
      <c r="AA172" s="9"/>
      <c r="AB172" s="49"/>
      <c r="AC172" s="46"/>
      <c r="AD172" s="9"/>
      <c r="AE172" s="46"/>
      <c r="AF172" s="350"/>
      <c r="AG172" s="9"/>
      <c r="AH172" s="49"/>
      <c r="AI172" s="46"/>
      <c r="AJ172" s="9"/>
      <c r="AK172" s="61"/>
      <c r="AL172" s="46"/>
      <c r="AM172" s="9"/>
      <c r="AN172" s="61"/>
      <c r="AS172" s="265">
        <f t="shared" si="132"/>
        <v>0</v>
      </c>
      <c r="AT172" s="265">
        <f t="shared" si="133"/>
        <v>0</v>
      </c>
      <c r="AU172" s="265">
        <f t="shared" si="134"/>
        <v>0</v>
      </c>
    </row>
    <row r="173" spans="1:47" x14ac:dyDescent="0.2">
      <c r="A173" s="1319" t="s">
        <v>402</v>
      </c>
      <c r="B173" s="89"/>
      <c r="C173" s="97"/>
      <c r="D173" s="76"/>
      <c r="E173" s="89"/>
      <c r="F173" s="9"/>
      <c r="G173" s="76"/>
      <c r="H173" s="133"/>
      <c r="I173" s="9"/>
      <c r="J173" s="76"/>
      <c r="K173" s="133"/>
      <c r="L173" s="9"/>
      <c r="M173" s="76"/>
      <c r="N173" s="89"/>
      <c r="O173" s="9"/>
      <c r="P173" s="49"/>
      <c r="Q173" s="46"/>
      <c r="R173" s="9"/>
      <c r="S173" s="61"/>
      <c r="T173" s="46"/>
      <c r="U173" s="9"/>
      <c r="V173" s="46"/>
      <c r="W173" s="350"/>
      <c r="X173" s="9"/>
      <c r="Y173" s="49"/>
      <c r="Z173" s="350"/>
      <c r="AA173" s="9"/>
      <c r="AB173" s="49"/>
      <c r="AC173" s="46"/>
      <c r="AD173" s="9"/>
      <c r="AE173" s="46"/>
      <c r="AF173" s="350"/>
      <c r="AG173" s="9"/>
      <c r="AH173" s="49"/>
      <c r="AI173" s="46"/>
      <c r="AJ173" s="9"/>
      <c r="AK173" s="61"/>
      <c r="AL173" s="46"/>
      <c r="AM173" s="9"/>
      <c r="AN173" s="61"/>
      <c r="AS173" s="265">
        <f t="shared" si="132"/>
        <v>0</v>
      </c>
      <c r="AT173" s="265">
        <f t="shared" si="133"/>
        <v>0</v>
      </c>
      <c r="AU173" s="265">
        <f t="shared" si="134"/>
        <v>0</v>
      </c>
    </row>
    <row r="174" spans="1:47" s="80" customFormat="1" x14ac:dyDescent="0.2">
      <c r="A174" s="1317" t="s">
        <v>3033</v>
      </c>
      <c r="B174" s="77">
        <v>178600</v>
      </c>
      <c r="C174" s="659">
        <f>221400</f>
        <v>221400</v>
      </c>
      <c r="D174" s="76">
        <f t="shared" ref="D174" si="168">B174-C174</f>
        <v>-42800</v>
      </c>
      <c r="E174" s="77">
        <f>69600+172200</f>
        <v>241800</v>
      </c>
      <c r="F174" s="9">
        <f>11800+'Cap-Gen'!Z253+'Cap-Gen'!Z259+'Cap-Gen'!Z273+'Cap-Gen'!Z274+'Cap-Gen'!Z262</f>
        <v>233600</v>
      </c>
      <c r="G174" s="582">
        <f>E174-F174</f>
        <v>8200</v>
      </c>
      <c r="H174" s="641">
        <f>100000+61000+60000+21000</f>
        <v>242000</v>
      </c>
      <c r="I174" s="79">
        <f>172200+69600</f>
        <v>241800</v>
      </c>
      <c r="J174" s="76">
        <f t="shared" ref="J174:J176" si="169">H174-I174</f>
        <v>200</v>
      </c>
      <c r="K174" s="641"/>
      <c r="L174" s="79"/>
      <c r="M174" s="582"/>
      <c r="N174" s="77"/>
      <c r="O174" s="79"/>
      <c r="P174" s="587"/>
      <c r="Q174" s="31"/>
      <c r="R174" s="79"/>
      <c r="S174" s="78"/>
      <c r="T174" s="31"/>
      <c r="U174" s="79"/>
      <c r="V174" s="31"/>
      <c r="W174" s="1125"/>
      <c r="X174" s="79"/>
      <c r="Y174" s="587"/>
      <c r="Z174" s="1125"/>
      <c r="AA174" s="79"/>
      <c r="AB174" s="587"/>
      <c r="AC174" s="31"/>
      <c r="AD174" s="79"/>
      <c r="AE174" s="31"/>
      <c r="AF174" s="1125"/>
      <c r="AG174" s="79"/>
      <c r="AH174" s="587"/>
      <c r="AI174" s="31"/>
      <c r="AJ174" s="79"/>
      <c r="AK174" s="78"/>
      <c r="AL174" s="31"/>
      <c r="AM174" s="79"/>
      <c r="AN174" s="78"/>
      <c r="AS174" s="265">
        <f t="shared" si="132"/>
        <v>0</v>
      </c>
      <c r="AT174" s="265">
        <f t="shared" si="133"/>
        <v>0</v>
      </c>
      <c r="AU174" s="265">
        <f t="shared" si="134"/>
        <v>0</v>
      </c>
    </row>
    <row r="175" spans="1:47" s="80" customFormat="1" x14ac:dyDescent="0.2">
      <c r="A175" s="1317" t="s">
        <v>3034</v>
      </c>
      <c r="B175" s="77"/>
      <c r="C175" s="659">
        <f>CIV!D988-15000</f>
        <v>25000</v>
      </c>
      <c r="D175" s="582">
        <f>B175-C175</f>
        <v>-25000</v>
      </c>
      <c r="E175" s="77"/>
      <c r="F175" s="79"/>
      <c r="G175" s="582"/>
      <c r="H175" s="641"/>
      <c r="I175" s="79"/>
      <c r="J175" s="582"/>
      <c r="K175" s="641"/>
      <c r="L175" s="79"/>
      <c r="M175" s="582"/>
      <c r="N175" s="77"/>
      <c r="O175" s="79"/>
      <c r="P175" s="587"/>
      <c r="Q175" s="31"/>
      <c r="R175" s="79"/>
      <c r="S175" s="78"/>
      <c r="T175" s="31"/>
      <c r="U175" s="79"/>
      <c r="V175" s="31"/>
      <c r="W175" s="1125"/>
      <c r="X175" s="79"/>
      <c r="Y175" s="587"/>
      <c r="Z175" s="1125"/>
      <c r="AA175" s="79"/>
      <c r="AB175" s="587"/>
      <c r="AC175" s="31"/>
      <c r="AD175" s="79"/>
      <c r="AE175" s="31"/>
      <c r="AF175" s="1125"/>
      <c r="AG175" s="79"/>
      <c r="AH175" s="587"/>
      <c r="AI175" s="31"/>
      <c r="AJ175" s="79"/>
      <c r="AK175" s="78"/>
      <c r="AL175" s="31"/>
      <c r="AM175" s="79"/>
      <c r="AN175" s="78"/>
      <c r="AS175" s="265">
        <f t="shared" si="132"/>
        <v>0</v>
      </c>
      <c r="AT175" s="265">
        <f t="shared" si="133"/>
        <v>0</v>
      </c>
      <c r="AU175" s="265">
        <f t="shared" si="134"/>
        <v>0</v>
      </c>
    </row>
    <row r="176" spans="1:47" s="80" customFormat="1" x14ac:dyDescent="0.2">
      <c r="A176" s="1317" t="s">
        <v>292</v>
      </c>
      <c r="B176" s="77">
        <v>0</v>
      </c>
      <c r="C176" s="659">
        <v>0</v>
      </c>
      <c r="D176" s="76">
        <f t="shared" ref="D176" si="170">B176-C176</f>
        <v>0</v>
      </c>
      <c r="E176" s="77"/>
      <c r="F176" s="9">
        <v>0</v>
      </c>
      <c r="G176" s="582">
        <f>E176-F176</f>
        <v>0</v>
      </c>
      <c r="H176" s="641">
        <f>55000-40000</f>
        <v>15000</v>
      </c>
      <c r="I176" s="79"/>
      <c r="J176" s="76">
        <f t="shared" si="169"/>
        <v>15000</v>
      </c>
      <c r="K176" s="641">
        <v>70000</v>
      </c>
      <c r="L176" s="79"/>
      <c r="M176" s="582">
        <f t="shared" ref="M176" si="171">K176-L176</f>
        <v>70000</v>
      </c>
      <c r="N176" s="77">
        <v>75000</v>
      </c>
      <c r="O176" s="79">
        <f>CIV!K995</f>
        <v>160000</v>
      </c>
      <c r="P176" s="587">
        <f t="shared" ref="P176" si="172">N176-O176</f>
        <v>-85000</v>
      </c>
      <c r="Q176" s="31">
        <v>35000</v>
      </c>
      <c r="R176" s="79"/>
      <c r="S176" s="78">
        <f t="shared" ref="S176" si="173">Q176-R176</f>
        <v>35000</v>
      </c>
      <c r="T176" s="31">
        <v>35000</v>
      </c>
      <c r="U176" s="79"/>
      <c r="V176" s="31">
        <f t="shared" ref="V176" si="174">T176-U176</f>
        <v>35000</v>
      </c>
      <c r="W176" s="1125">
        <v>35000</v>
      </c>
      <c r="X176" s="79"/>
      <c r="Y176" s="587">
        <f t="shared" ref="Y176" si="175">W176-X176</f>
        <v>35000</v>
      </c>
      <c r="Z176" s="1125">
        <v>45000</v>
      </c>
      <c r="AA176" s="79"/>
      <c r="AB176" s="587">
        <f t="shared" ref="AB176" si="176">Z176-AA176</f>
        <v>45000</v>
      </c>
      <c r="AC176" s="31">
        <v>50000</v>
      </c>
      <c r="AD176" s="79">
        <f>CIV!P995</f>
        <v>200000</v>
      </c>
      <c r="AE176" s="31">
        <f t="shared" ref="AE176" si="177">AC176-AD176</f>
        <v>-150000</v>
      </c>
      <c r="AF176" s="1125">
        <v>35000</v>
      </c>
      <c r="AG176" s="79"/>
      <c r="AH176" s="587">
        <f t="shared" ref="AH176" si="178">AF176-AG176</f>
        <v>35000</v>
      </c>
      <c r="AI176" s="31">
        <v>35000</v>
      </c>
      <c r="AJ176" s="79"/>
      <c r="AK176" s="78">
        <f t="shared" ref="AK176" si="179">AI176-AJ176</f>
        <v>35000</v>
      </c>
      <c r="AL176" s="31">
        <v>35000</v>
      </c>
      <c r="AM176" s="79"/>
      <c r="AN176" s="78">
        <f t="shared" ref="AN176" si="180">AL176-AM176</f>
        <v>35000</v>
      </c>
      <c r="AP176" s="80">
        <v>35000</v>
      </c>
      <c r="AR176" s="80">
        <v>35000</v>
      </c>
      <c r="AS176" s="265">
        <f t="shared" si="132"/>
        <v>0</v>
      </c>
      <c r="AT176" s="265">
        <f t="shared" si="133"/>
        <v>0</v>
      </c>
      <c r="AU176" s="265">
        <f t="shared" si="134"/>
        <v>0</v>
      </c>
    </row>
    <row r="177" spans="1:47" x14ac:dyDescent="0.2">
      <c r="A177" s="1318"/>
      <c r="B177" s="89"/>
      <c r="C177" s="97"/>
      <c r="D177" s="76"/>
      <c r="E177" s="89"/>
      <c r="F177" s="9"/>
      <c r="G177" s="76"/>
      <c r="H177" s="133"/>
      <c r="I177" s="9"/>
      <c r="J177" s="76"/>
      <c r="K177" s="133"/>
      <c r="L177" s="9"/>
      <c r="M177" s="76"/>
      <c r="N177" s="89"/>
      <c r="O177" s="9"/>
      <c r="P177" s="49"/>
      <c r="Q177" s="46"/>
      <c r="R177" s="9"/>
      <c r="S177" s="61"/>
      <c r="T177" s="46"/>
      <c r="U177" s="9"/>
      <c r="V177" s="46"/>
      <c r="W177" s="350"/>
      <c r="X177" s="9"/>
      <c r="Y177" s="49"/>
      <c r="Z177" s="350"/>
      <c r="AA177" s="9"/>
      <c r="AB177" s="49"/>
      <c r="AC177" s="46"/>
      <c r="AD177" s="9"/>
      <c r="AE177" s="46"/>
      <c r="AF177" s="350"/>
      <c r="AG177" s="9"/>
      <c r="AH177" s="49"/>
      <c r="AI177" s="46"/>
      <c r="AJ177" s="9"/>
      <c r="AK177" s="61"/>
      <c r="AL177" s="46"/>
      <c r="AM177" s="9"/>
      <c r="AN177" s="61"/>
      <c r="AS177" s="265">
        <f t="shared" si="132"/>
        <v>0</v>
      </c>
      <c r="AT177" s="265">
        <f t="shared" si="133"/>
        <v>0</v>
      </c>
      <c r="AU177" s="265">
        <f t="shared" si="134"/>
        <v>0</v>
      </c>
    </row>
    <row r="178" spans="1:47" x14ac:dyDescent="0.2">
      <c r="A178" s="1315" t="s">
        <v>1867</v>
      </c>
      <c r="B178" s="89"/>
      <c r="C178" s="97"/>
      <c r="D178" s="76"/>
      <c r="E178" s="89"/>
      <c r="F178" s="9"/>
      <c r="G178" s="76"/>
      <c r="H178" s="133"/>
      <c r="I178" s="9"/>
      <c r="J178" s="76"/>
      <c r="K178" s="133"/>
      <c r="L178" s="9"/>
      <c r="M178" s="76"/>
      <c r="N178" s="89"/>
      <c r="O178" s="9"/>
      <c r="P178" s="49"/>
      <c r="Q178" s="46"/>
      <c r="R178" s="9"/>
      <c r="S178" s="61"/>
      <c r="T178" s="46"/>
      <c r="U178" s="9"/>
      <c r="V178" s="46"/>
      <c r="W178" s="350"/>
      <c r="X178" s="9"/>
      <c r="Y178" s="49"/>
      <c r="Z178" s="350"/>
      <c r="AA178" s="9"/>
      <c r="AB178" s="49"/>
      <c r="AC178" s="46"/>
      <c r="AD178" s="9"/>
      <c r="AE178" s="46"/>
      <c r="AF178" s="350"/>
      <c r="AG178" s="9"/>
      <c r="AH178" s="49"/>
      <c r="AI178" s="46"/>
      <c r="AJ178" s="9"/>
      <c r="AK178" s="61"/>
      <c r="AL178" s="46"/>
      <c r="AM178" s="9"/>
      <c r="AN178" s="61"/>
      <c r="AS178" s="265">
        <f t="shared" si="132"/>
        <v>0</v>
      </c>
      <c r="AT178" s="265">
        <f t="shared" si="133"/>
        <v>0</v>
      </c>
      <c r="AU178" s="265">
        <f t="shared" si="134"/>
        <v>0</v>
      </c>
    </row>
    <row r="179" spans="1:47" x14ac:dyDescent="0.2">
      <c r="A179" s="1317" t="s">
        <v>5260</v>
      </c>
      <c r="B179" s="89">
        <v>328400</v>
      </c>
      <c r="C179" s="97">
        <v>305700</v>
      </c>
      <c r="D179" s="582">
        <f>B179-C179</f>
        <v>22700</v>
      </c>
      <c r="E179" s="89">
        <f>473300-120000</f>
        <v>353300</v>
      </c>
      <c r="F179" s="9">
        <f>408900-120000</f>
        <v>288900</v>
      </c>
      <c r="G179" s="76">
        <f>E179-F179</f>
        <v>64400</v>
      </c>
      <c r="H179" s="133"/>
      <c r="I179" s="9">
        <v>25000</v>
      </c>
      <c r="J179" s="76">
        <f t="shared" ref="J179" si="181">H179-I179</f>
        <v>-25000</v>
      </c>
      <c r="K179" s="133"/>
      <c r="L179" s="9"/>
      <c r="M179" s="76"/>
      <c r="N179" s="89"/>
      <c r="O179" s="9"/>
      <c r="P179" s="49"/>
      <c r="Q179" s="46"/>
      <c r="R179" s="9"/>
      <c r="S179" s="61"/>
      <c r="T179" s="46"/>
      <c r="U179" s="9"/>
      <c r="V179" s="46"/>
      <c r="W179" s="350"/>
      <c r="X179" s="9"/>
      <c r="Y179" s="49"/>
      <c r="Z179" s="350"/>
      <c r="AA179" s="9"/>
      <c r="AB179" s="49"/>
      <c r="AC179" s="46"/>
      <c r="AD179" s="9"/>
      <c r="AE179" s="46"/>
      <c r="AF179" s="350"/>
      <c r="AG179" s="9"/>
      <c r="AH179" s="49"/>
      <c r="AI179" s="46"/>
      <c r="AJ179" s="9"/>
      <c r="AK179" s="61"/>
      <c r="AL179" s="46"/>
      <c r="AM179" s="9"/>
      <c r="AN179" s="61"/>
      <c r="AS179" s="265">
        <f t="shared" si="132"/>
        <v>0</v>
      </c>
      <c r="AT179" s="265">
        <f t="shared" si="133"/>
        <v>0</v>
      </c>
      <c r="AU179" s="265">
        <f t="shared" si="134"/>
        <v>0</v>
      </c>
    </row>
    <row r="180" spans="1:47" x14ac:dyDescent="0.2">
      <c r="A180" s="1318"/>
      <c r="B180" s="89"/>
      <c r="C180" s="97"/>
      <c r="D180" s="582"/>
      <c r="E180" s="89"/>
      <c r="F180" s="9"/>
      <c r="G180" s="76"/>
      <c r="H180" s="133"/>
      <c r="I180" s="9"/>
      <c r="J180" s="76"/>
      <c r="K180" s="133"/>
      <c r="L180" s="9"/>
      <c r="M180" s="76"/>
      <c r="N180" s="89"/>
      <c r="O180" s="9"/>
      <c r="P180" s="49"/>
      <c r="Q180" s="46"/>
      <c r="R180" s="9"/>
      <c r="S180" s="61"/>
      <c r="T180" s="46"/>
      <c r="U180" s="9"/>
      <c r="V180" s="46"/>
      <c r="W180" s="350"/>
      <c r="X180" s="9"/>
      <c r="Y180" s="49"/>
      <c r="Z180" s="350"/>
      <c r="AA180" s="9"/>
      <c r="AB180" s="49"/>
      <c r="AC180" s="46"/>
      <c r="AD180" s="9"/>
      <c r="AE180" s="46"/>
      <c r="AF180" s="350"/>
      <c r="AG180" s="9"/>
      <c r="AH180" s="49"/>
      <c r="AI180" s="46"/>
      <c r="AJ180" s="9"/>
      <c r="AK180" s="61"/>
      <c r="AL180" s="46"/>
      <c r="AM180" s="9"/>
      <c r="AN180" s="61"/>
      <c r="AS180" s="265">
        <f t="shared" si="132"/>
        <v>0</v>
      </c>
      <c r="AT180" s="265">
        <f t="shared" si="133"/>
        <v>0</v>
      </c>
      <c r="AU180" s="265">
        <f t="shared" si="134"/>
        <v>0</v>
      </c>
    </row>
    <row r="181" spans="1:47" x14ac:dyDescent="0.2">
      <c r="A181" s="1315" t="s">
        <v>717</v>
      </c>
      <c r="B181" s="89"/>
      <c r="C181" s="97"/>
      <c r="D181" s="582"/>
      <c r="E181" s="89"/>
      <c r="F181" s="9"/>
      <c r="G181" s="76"/>
      <c r="H181" s="133"/>
      <c r="I181" s="9"/>
      <c r="J181" s="76"/>
      <c r="K181" s="133"/>
      <c r="L181" s="9"/>
      <c r="M181" s="76"/>
      <c r="N181" s="89"/>
      <c r="O181" s="9"/>
      <c r="P181" s="49"/>
      <c r="Q181" s="46"/>
      <c r="R181" s="9"/>
      <c r="S181" s="61"/>
      <c r="T181" s="46"/>
      <c r="U181" s="9"/>
      <c r="V181" s="46"/>
      <c r="W181" s="350"/>
      <c r="X181" s="9"/>
      <c r="Y181" s="49"/>
      <c r="Z181" s="350"/>
      <c r="AA181" s="9"/>
      <c r="AB181" s="49"/>
      <c r="AC181" s="46"/>
      <c r="AD181" s="9"/>
      <c r="AE181" s="46"/>
      <c r="AF181" s="350"/>
      <c r="AG181" s="9"/>
      <c r="AH181" s="49"/>
      <c r="AI181" s="46"/>
      <c r="AJ181" s="9"/>
      <c r="AK181" s="61"/>
      <c r="AL181" s="46"/>
      <c r="AM181" s="9"/>
      <c r="AN181" s="61"/>
      <c r="AS181" s="265">
        <f t="shared" si="132"/>
        <v>0</v>
      </c>
      <c r="AT181" s="265">
        <f t="shared" si="133"/>
        <v>0</v>
      </c>
      <c r="AU181" s="265">
        <f t="shared" si="134"/>
        <v>0</v>
      </c>
    </row>
    <row r="182" spans="1:47" x14ac:dyDescent="0.2">
      <c r="A182" s="1317" t="s">
        <v>3575</v>
      </c>
      <c r="B182" s="89">
        <v>867600</v>
      </c>
      <c r="C182" s="97">
        <v>1182800</v>
      </c>
      <c r="D182" s="582">
        <f t="shared" ref="D182" si="182">B182-C182</f>
        <v>-315200</v>
      </c>
      <c r="E182" s="89">
        <v>1339300</v>
      </c>
      <c r="F182" s="9">
        <v>382600</v>
      </c>
      <c r="G182" s="76">
        <f t="shared" ref="G182:G235" si="183">E182-F182</f>
        <v>956700</v>
      </c>
      <c r="H182" s="133">
        <f>150000+315000+257300+45900+350000</f>
        <v>1118200</v>
      </c>
      <c r="I182" s="9">
        <f>1563500+50000+12100</f>
        <v>1625600</v>
      </c>
      <c r="J182" s="76">
        <f t="shared" ref="J182:J188" si="184">H182-I182</f>
        <v>-507400</v>
      </c>
      <c r="K182" s="133"/>
      <c r="L182" s="9"/>
      <c r="M182" s="76"/>
      <c r="N182" s="89"/>
      <c r="O182" s="9"/>
      <c r="P182" s="49"/>
      <c r="Q182" s="46"/>
      <c r="R182" s="9"/>
      <c r="S182" s="61"/>
      <c r="T182" s="46"/>
      <c r="U182" s="9"/>
      <c r="V182" s="46"/>
      <c r="W182" s="350"/>
      <c r="X182" s="9"/>
      <c r="Y182" s="49"/>
      <c r="Z182" s="350"/>
      <c r="AA182" s="9"/>
      <c r="AB182" s="49"/>
      <c r="AC182" s="46"/>
      <c r="AD182" s="9"/>
      <c r="AE182" s="46"/>
      <c r="AF182" s="350"/>
      <c r="AG182" s="9"/>
      <c r="AH182" s="49"/>
      <c r="AI182" s="46"/>
      <c r="AJ182" s="9"/>
      <c r="AK182" s="61"/>
      <c r="AL182" s="46"/>
      <c r="AM182" s="9"/>
      <c r="AN182" s="61"/>
      <c r="AS182" s="265">
        <f t="shared" si="132"/>
        <v>0</v>
      </c>
      <c r="AT182" s="265">
        <f t="shared" si="133"/>
        <v>0</v>
      </c>
      <c r="AU182" s="265">
        <f t="shared" si="134"/>
        <v>0</v>
      </c>
    </row>
    <row r="183" spans="1:47" x14ac:dyDescent="0.2">
      <c r="A183" s="1317" t="s">
        <v>4130</v>
      </c>
      <c r="B183" s="89">
        <v>70300</v>
      </c>
      <c r="C183" s="97">
        <v>135000</v>
      </c>
      <c r="D183" s="76">
        <f t="shared" ref="D183:D192" si="185">B183-C183</f>
        <v>-64700</v>
      </c>
      <c r="E183" s="89">
        <v>105600</v>
      </c>
      <c r="F183" s="9">
        <v>0</v>
      </c>
      <c r="G183" s="76">
        <f t="shared" si="183"/>
        <v>105600</v>
      </c>
      <c r="H183" s="133"/>
      <c r="I183" s="9"/>
      <c r="J183" s="76"/>
      <c r="K183" s="133"/>
      <c r="L183" s="9"/>
      <c r="M183" s="76"/>
      <c r="N183" s="89"/>
      <c r="O183" s="9"/>
      <c r="P183" s="49"/>
      <c r="Q183" s="46"/>
      <c r="R183" s="9"/>
      <c r="S183" s="61"/>
      <c r="T183" s="46"/>
      <c r="U183" s="9"/>
      <c r="V183" s="46"/>
      <c r="W183" s="350"/>
      <c r="X183" s="9"/>
      <c r="Y183" s="49"/>
      <c r="Z183" s="350"/>
      <c r="AA183" s="9"/>
      <c r="AB183" s="49"/>
      <c r="AC183" s="46"/>
      <c r="AD183" s="9"/>
      <c r="AE183" s="46"/>
      <c r="AF183" s="350"/>
      <c r="AG183" s="9"/>
      <c r="AH183" s="49"/>
      <c r="AI183" s="46"/>
      <c r="AJ183" s="9"/>
      <c r="AK183" s="61"/>
      <c r="AL183" s="46"/>
      <c r="AM183" s="9"/>
      <c r="AN183" s="61"/>
      <c r="AS183" s="265">
        <f t="shared" si="132"/>
        <v>0</v>
      </c>
      <c r="AT183" s="265">
        <f t="shared" si="133"/>
        <v>0</v>
      </c>
      <c r="AU183" s="265">
        <f t="shared" si="134"/>
        <v>0</v>
      </c>
    </row>
    <row r="184" spans="1:47" x14ac:dyDescent="0.2">
      <c r="A184" s="1317" t="s">
        <v>3032</v>
      </c>
      <c r="B184" s="89">
        <v>26700</v>
      </c>
      <c r="C184" s="97">
        <v>45000</v>
      </c>
      <c r="D184" s="76">
        <f t="shared" si="185"/>
        <v>-18300</v>
      </c>
      <c r="E184" s="89">
        <v>24500</v>
      </c>
      <c r="F184" s="9">
        <v>0</v>
      </c>
      <c r="G184" s="76">
        <f t="shared" si="183"/>
        <v>24500</v>
      </c>
      <c r="H184" s="133"/>
      <c r="I184" s="9">
        <f>'Cap-Gen'!G127</f>
        <v>0</v>
      </c>
      <c r="J184" s="76">
        <f t="shared" si="184"/>
        <v>0</v>
      </c>
      <c r="K184" s="133"/>
      <c r="L184" s="9">
        <f>'Cap-Gen'!H127</f>
        <v>0</v>
      </c>
      <c r="M184" s="76">
        <f t="shared" ref="M184:M186" si="186">K184-L184</f>
        <v>0</v>
      </c>
      <c r="N184" s="89"/>
      <c r="O184" s="9">
        <f>'Cap-Gen'!I127</f>
        <v>0</v>
      </c>
      <c r="P184" s="49">
        <f t="shared" ref="P184:P186" si="187">N184-O184</f>
        <v>0</v>
      </c>
      <c r="Q184" s="46"/>
      <c r="R184" s="9">
        <f>'Cap-Gen'!J127</f>
        <v>100000</v>
      </c>
      <c r="S184" s="61">
        <f t="shared" ref="S184:S185" si="188">Q184-R184</f>
        <v>-100000</v>
      </c>
      <c r="T184" s="46"/>
      <c r="U184" s="9">
        <f>'Cap-Gen'!K127</f>
        <v>103000</v>
      </c>
      <c r="V184" s="46">
        <f t="shared" ref="V184:V186" si="189">T184-U184</f>
        <v>-103000</v>
      </c>
      <c r="W184" s="350"/>
      <c r="X184" s="9">
        <f>'Cap-Gen'!L127</f>
        <v>106000</v>
      </c>
      <c r="Y184" s="49">
        <f t="shared" ref="Y184:Y186" si="190">W184-X184</f>
        <v>-106000</v>
      </c>
      <c r="Z184" s="350"/>
      <c r="AA184" s="9">
        <f>'Cap-Gen'!M127</f>
        <v>109000</v>
      </c>
      <c r="AB184" s="49">
        <f t="shared" ref="AB184:AB186" si="191">Z184-AA184</f>
        <v>-109000</v>
      </c>
      <c r="AC184" s="46"/>
      <c r="AD184" s="9">
        <f>'Cap-Gen'!N127</f>
        <v>112000</v>
      </c>
      <c r="AE184" s="46">
        <f t="shared" ref="AE184:AE186" si="192">AC184-AD184</f>
        <v>-112000</v>
      </c>
      <c r="AF184" s="350"/>
      <c r="AG184" s="9">
        <f>'Cap-Gen'!O127</f>
        <v>115000</v>
      </c>
      <c r="AH184" s="49">
        <f t="shared" ref="AH184:AH186" si="193">AF184-AG184</f>
        <v>-115000</v>
      </c>
      <c r="AI184" s="46"/>
      <c r="AJ184" s="9">
        <f>'Cap-Gen'!P127</f>
        <v>118000</v>
      </c>
      <c r="AK184" s="61">
        <f t="shared" ref="AK184:AK186" si="194">AI184-AJ184</f>
        <v>-118000</v>
      </c>
      <c r="AL184" s="46"/>
      <c r="AM184" s="9">
        <f>'Cap-Gen'!Q127</f>
        <v>121000</v>
      </c>
      <c r="AN184" s="61">
        <f t="shared" ref="AN184:AN186" si="195">AL184-AM184</f>
        <v>-121000</v>
      </c>
      <c r="AQ184" s="34">
        <v>0</v>
      </c>
      <c r="AR184" s="34">
        <v>0</v>
      </c>
      <c r="AS184" s="265">
        <f t="shared" si="132"/>
        <v>0</v>
      </c>
      <c r="AT184" s="265">
        <f t="shared" si="133"/>
        <v>118000</v>
      </c>
      <c r="AU184" s="265">
        <f t="shared" si="134"/>
        <v>-118000</v>
      </c>
    </row>
    <row r="185" spans="1:47" x14ac:dyDescent="0.2">
      <c r="A185" s="1317" t="s">
        <v>3156</v>
      </c>
      <c r="B185" s="89">
        <v>47000</v>
      </c>
      <c r="C185" s="97">
        <v>199000</v>
      </c>
      <c r="D185" s="76">
        <f t="shared" si="185"/>
        <v>-152000</v>
      </c>
      <c r="E185" s="89">
        <v>38500</v>
      </c>
      <c r="F185" s="9">
        <v>82500</v>
      </c>
      <c r="G185" s="76">
        <f t="shared" si="183"/>
        <v>-44000</v>
      </c>
      <c r="H185" s="133"/>
      <c r="I185" s="9">
        <f>'Cap-Gen'!G128+30000</f>
        <v>257400</v>
      </c>
      <c r="J185" s="76">
        <f t="shared" si="184"/>
        <v>-257400</v>
      </c>
      <c r="K185" s="133"/>
      <c r="L185" s="9">
        <f>'Cap-Gen'!H128</f>
        <v>0</v>
      </c>
      <c r="M185" s="76">
        <f t="shared" si="186"/>
        <v>0</v>
      </c>
      <c r="N185" s="89"/>
      <c r="O185" s="9">
        <f>'Cap-Gen'!I128</f>
        <v>0</v>
      </c>
      <c r="P185" s="49">
        <f t="shared" si="187"/>
        <v>0</v>
      </c>
      <c r="Q185" s="46"/>
      <c r="R185" s="9">
        <f>'Cap-Gen'!J128</f>
        <v>100000</v>
      </c>
      <c r="S185" s="61">
        <f t="shared" si="188"/>
        <v>-100000</v>
      </c>
      <c r="T185" s="46"/>
      <c r="U185" s="9">
        <f>'Cap-Gen'!K128</f>
        <v>103000</v>
      </c>
      <c r="V185" s="46">
        <f t="shared" si="189"/>
        <v>-103000</v>
      </c>
      <c r="W185" s="350"/>
      <c r="X185" s="9">
        <f>'Cap-Gen'!L128</f>
        <v>106000</v>
      </c>
      <c r="Y185" s="49">
        <f t="shared" si="190"/>
        <v>-106000</v>
      </c>
      <c r="Z185" s="350"/>
      <c r="AA185" s="9">
        <f>'Cap-Gen'!M128</f>
        <v>109000</v>
      </c>
      <c r="AB185" s="49">
        <f t="shared" si="191"/>
        <v>-109000</v>
      </c>
      <c r="AC185" s="46"/>
      <c r="AD185" s="9">
        <f>'Cap-Gen'!N128</f>
        <v>112000</v>
      </c>
      <c r="AE185" s="46">
        <f t="shared" si="192"/>
        <v>-112000</v>
      </c>
      <c r="AF185" s="350"/>
      <c r="AG185" s="9">
        <f>'Cap-Gen'!O128</f>
        <v>115000</v>
      </c>
      <c r="AH185" s="49">
        <f t="shared" si="193"/>
        <v>-115000</v>
      </c>
      <c r="AI185" s="46"/>
      <c r="AJ185" s="9">
        <f>'Cap-Gen'!P128</f>
        <v>118000</v>
      </c>
      <c r="AK185" s="61">
        <f t="shared" si="194"/>
        <v>-118000</v>
      </c>
      <c r="AL185" s="46"/>
      <c r="AM185" s="9">
        <f>'Cap-Gen'!Q128</f>
        <v>121000</v>
      </c>
      <c r="AN185" s="61">
        <f t="shared" si="195"/>
        <v>-121000</v>
      </c>
      <c r="AQ185" s="34">
        <v>0</v>
      </c>
      <c r="AR185" s="34">
        <v>0</v>
      </c>
      <c r="AS185" s="265">
        <f t="shared" si="132"/>
        <v>0</v>
      </c>
      <c r="AT185" s="265">
        <f t="shared" si="133"/>
        <v>118000</v>
      </c>
      <c r="AU185" s="265">
        <f t="shared" si="134"/>
        <v>-118000</v>
      </c>
    </row>
    <row r="186" spans="1:47" x14ac:dyDescent="0.2">
      <c r="A186" s="1317" t="s">
        <v>11950</v>
      </c>
      <c r="B186" s="89"/>
      <c r="C186" s="97"/>
      <c r="D186" s="76"/>
      <c r="E186" s="89">
        <v>1657400</v>
      </c>
      <c r="F186" s="9"/>
      <c r="G186" s="76">
        <f t="shared" si="183"/>
        <v>1657400</v>
      </c>
      <c r="H186" s="133"/>
      <c r="I186" s="9">
        <v>355000</v>
      </c>
      <c r="J186" s="76">
        <f t="shared" si="184"/>
        <v>-355000</v>
      </c>
      <c r="K186" s="133"/>
      <c r="L186" s="9"/>
      <c r="M186" s="76">
        <f t="shared" si="186"/>
        <v>0</v>
      </c>
      <c r="N186" s="89"/>
      <c r="O186" s="9"/>
      <c r="P186" s="49">
        <f t="shared" si="187"/>
        <v>0</v>
      </c>
      <c r="Q186" s="46"/>
      <c r="R186" s="9">
        <f>'Cap-Gen'!J129</f>
        <v>100000</v>
      </c>
      <c r="S186" s="61">
        <f>Q186-R186</f>
        <v>-100000</v>
      </c>
      <c r="T186" s="46"/>
      <c r="U186" s="9">
        <f>'Cap-Gen'!K129</f>
        <v>103000</v>
      </c>
      <c r="V186" s="46">
        <f t="shared" si="189"/>
        <v>-103000</v>
      </c>
      <c r="W186" s="350"/>
      <c r="X186" s="9">
        <f>'Cap-Gen'!L129</f>
        <v>106000</v>
      </c>
      <c r="Y186" s="49">
        <f t="shared" si="190"/>
        <v>-106000</v>
      </c>
      <c r="Z186" s="350"/>
      <c r="AA186" s="9">
        <f>'Cap-Gen'!M129</f>
        <v>109000</v>
      </c>
      <c r="AB186" s="49">
        <f t="shared" si="191"/>
        <v>-109000</v>
      </c>
      <c r="AC186" s="46"/>
      <c r="AD186" s="9">
        <f>'Cap-Gen'!N129</f>
        <v>112000</v>
      </c>
      <c r="AE186" s="46">
        <f t="shared" si="192"/>
        <v>-112000</v>
      </c>
      <c r="AF186" s="350"/>
      <c r="AG186" s="9">
        <f>'Cap-Gen'!O129</f>
        <v>115000</v>
      </c>
      <c r="AH186" s="49">
        <f t="shared" si="193"/>
        <v>-115000</v>
      </c>
      <c r="AI186" s="46"/>
      <c r="AJ186" s="9">
        <f>'Cap-Gen'!P129</f>
        <v>118000</v>
      </c>
      <c r="AK186" s="61">
        <f t="shared" si="194"/>
        <v>-118000</v>
      </c>
      <c r="AL186" s="46"/>
      <c r="AM186" s="9">
        <f>'Cap-Gen'!Q129</f>
        <v>121000</v>
      </c>
      <c r="AN186" s="61">
        <f t="shared" si="195"/>
        <v>-121000</v>
      </c>
      <c r="AS186" s="265"/>
      <c r="AT186" s="265"/>
      <c r="AU186" s="265"/>
    </row>
    <row r="187" spans="1:47" x14ac:dyDescent="0.2">
      <c r="A187" s="1317" t="s">
        <v>11955</v>
      </c>
      <c r="B187" s="89"/>
      <c r="C187" s="97">
        <f>286300-1200</f>
        <v>285100</v>
      </c>
      <c r="D187" s="76">
        <f>B187-C187</f>
        <v>-285100</v>
      </c>
      <c r="E187" s="89"/>
      <c r="F187" s="9"/>
      <c r="G187" s="76"/>
      <c r="H187" s="133"/>
      <c r="I187" s="9"/>
      <c r="J187" s="76"/>
      <c r="K187" s="133"/>
      <c r="L187" s="9"/>
      <c r="M187" s="76"/>
      <c r="N187" s="89"/>
      <c r="O187" s="9"/>
      <c r="P187" s="49"/>
      <c r="Q187" s="46"/>
      <c r="R187" s="9"/>
      <c r="S187" s="61"/>
      <c r="T187" s="46"/>
      <c r="U187" s="9"/>
      <c r="V187" s="46"/>
      <c r="W187" s="350"/>
      <c r="X187" s="9"/>
      <c r="Y187" s="49"/>
      <c r="Z187" s="350"/>
      <c r="AA187" s="9"/>
      <c r="AB187" s="49"/>
      <c r="AC187" s="46"/>
      <c r="AD187" s="9"/>
      <c r="AE187" s="46"/>
      <c r="AF187" s="350"/>
      <c r="AG187" s="9"/>
      <c r="AH187" s="49"/>
      <c r="AI187" s="46"/>
      <c r="AJ187" s="9"/>
      <c r="AK187" s="61"/>
      <c r="AL187" s="46"/>
      <c r="AM187" s="9"/>
      <c r="AN187" s="61"/>
      <c r="AS187" s="265">
        <f t="shared" si="132"/>
        <v>0</v>
      </c>
      <c r="AT187" s="265">
        <f t="shared" si="133"/>
        <v>0</v>
      </c>
      <c r="AU187" s="265">
        <f t="shared" si="134"/>
        <v>0</v>
      </c>
    </row>
    <row r="188" spans="1:47" x14ac:dyDescent="0.2">
      <c r="A188" s="1317" t="s">
        <v>5302</v>
      </c>
      <c r="B188" s="89"/>
      <c r="C188" s="97">
        <f>297600-42800</f>
        <v>254800</v>
      </c>
      <c r="D188" s="76">
        <f>B188-C188</f>
        <v>-254800</v>
      </c>
      <c r="E188" s="89">
        <v>779900</v>
      </c>
      <c r="F188" s="9">
        <f>92200-F167</f>
        <v>77200</v>
      </c>
      <c r="G188" s="76">
        <f>E188-F188</f>
        <v>702700</v>
      </c>
      <c r="H188" s="133">
        <v>1620000</v>
      </c>
      <c r="I188" s="9">
        <v>1503600</v>
      </c>
      <c r="J188" s="76">
        <f t="shared" si="184"/>
        <v>116400</v>
      </c>
      <c r="K188" s="133"/>
      <c r="L188" s="9">
        <f>'Cap-Gen'!H131</f>
        <v>1620000</v>
      </c>
      <c r="M188" s="76">
        <f t="shared" ref="M188:M189" si="196">K188-L188</f>
        <v>-1620000</v>
      </c>
      <c r="N188" s="89"/>
      <c r="O188" s="9"/>
      <c r="P188" s="49"/>
      <c r="Q188" s="46"/>
      <c r="R188" s="9"/>
      <c r="S188" s="61"/>
      <c r="T188" s="46"/>
      <c r="U188" s="9"/>
      <c r="V188" s="46"/>
      <c r="W188" s="350"/>
      <c r="X188" s="9"/>
      <c r="Y188" s="49"/>
      <c r="Z188" s="350"/>
      <c r="AA188" s="9"/>
      <c r="AB188" s="49"/>
      <c r="AC188" s="46"/>
      <c r="AD188" s="9"/>
      <c r="AE188" s="46"/>
      <c r="AF188" s="350"/>
      <c r="AG188" s="9"/>
      <c r="AH188" s="49"/>
      <c r="AI188" s="46"/>
      <c r="AJ188" s="9"/>
      <c r="AK188" s="61"/>
      <c r="AL188" s="46"/>
      <c r="AM188" s="9"/>
      <c r="AN188" s="61"/>
      <c r="AS188" s="265">
        <f t="shared" si="132"/>
        <v>0</v>
      </c>
      <c r="AT188" s="265">
        <f t="shared" si="133"/>
        <v>0</v>
      </c>
      <c r="AU188" s="265">
        <f t="shared" si="134"/>
        <v>0</v>
      </c>
    </row>
    <row r="189" spans="1:47" x14ac:dyDescent="0.2">
      <c r="A189" s="1317" t="s">
        <v>11855</v>
      </c>
      <c r="B189" s="89"/>
      <c r="C189" s="97"/>
      <c r="D189" s="76"/>
      <c r="E189" s="89"/>
      <c r="F189" s="9"/>
      <c r="G189" s="76"/>
      <c r="H189" s="133">
        <v>3900000</v>
      </c>
      <c r="I189" s="9">
        <f>+'Cap-Gen'!AE132</f>
        <v>0</v>
      </c>
      <c r="J189" s="76">
        <f t="shared" ref="J189" si="197">H189-I189</f>
        <v>3900000</v>
      </c>
      <c r="K189" s="133"/>
      <c r="L189" s="9">
        <v>3900000</v>
      </c>
      <c r="M189" s="76">
        <f t="shared" si="196"/>
        <v>-3900000</v>
      </c>
      <c r="N189" s="89"/>
      <c r="O189" s="9"/>
      <c r="P189" s="49"/>
      <c r="Q189" s="46"/>
      <c r="R189" s="9"/>
      <c r="S189" s="61"/>
      <c r="T189" s="46"/>
      <c r="U189" s="9"/>
      <c r="V189" s="46"/>
      <c r="W189" s="350"/>
      <c r="X189" s="9"/>
      <c r="Y189" s="49"/>
      <c r="Z189" s="350"/>
      <c r="AA189" s="9"/>
      <c r="AB189" s="49"/>
      <c r="AC189" s="46"/>
      <c r="AD189" s="9"/>
      <c r="AE189" s="46"/>
      <c r="AF189" s="350"/>
      <c r="AG189" s="9"/>
      <c r="AH189" s="49"/>
      <c r="AI189" s="46"/>
      <c r="AJ189" s="9"/>
      <c r="AK189" s="61"/>
      <c r="AL189" s="46"/>
      <c r="AM189" s="9"/>
      <c r="AN189" s="61"/>
      <c r="AS189" s="265"/>
      <c r="AT189" s="265"/>
      <c r="AU189" s="265"/>
    </row>
    <row r="190" spans="1:47" x14ac:dyDescent="0.2">
      <c r="A190" s="1318"/>
      <c r="B190" s="89"/>
      <c r="C190" s="97"/>
      <c r="D190" s="582"/>
      <c r="E190" s="89"/>
      <c r="F190" s="9"/>
      <c r="G190" s="76"/>
      <c r="H190" s="133"/>
      <c r="I190" s="9"/>
      <c r="J190" s="76"/>
      <c r="K190" s="133"/>
      <c r="L190" s="9"/>
      <c r="M190" s="76"/>
      <c r="N190" s="89"/>
      <c r="O190" s="9"/>
      <c r="P190" s="76"/>
      <c r="Q190" s="46"/>
      <c r="R190" s="9"/>
      <c r="S190" s="47"/>
      <c r="T190" s="46"/>
      <c r="U190" s="9"/>
      <c r="V190" s="29"/>
      <c r="W190" s="350"/>
      <c r="X190" s="9"/>
      <c r="Y190" s="49"/>
      <c r="Z190" s="350"/>
      <c r="AA190" s="9"/>
      <c r="AB190" s="49"/>
      <c r="AC190" s="46"/>
      <c r="AD190" s="9"/>
      <c r="AE190" s="46"/>
      <c r="AF190" s="350"/>
      <c r="AG190" s="9"/>
      <c r="AH190" s="49"/>
      <c r="AI190" s="46"/>
      <c r="AJ190" s="9"/>
      <c r="AK190" s="61"/>
      <c r="AL190" s="46"/>
      <c r="AM190" s="9"/>
      <c r="AN190" s="61"/>
      <c r="AS190" s="265">
        <f t="shared" si="132"/>
        <v>0</v>
      </c>
      <c r="AT190" s="265">
        <f t="shared" si="133"/>
        <v>0</v>
      </c>
      <c r="AU190" s="265">
        <f t="shared" si="134"/>
        <v>0</v>
      </c>
    </row>
    <row r="191" spans="1:47" x14ac:dyDescent="0.2">
      <c r="A191" s="1315" t="s">
        <v>2313</v>
      </c>
      <c r="B191" s="89"/>
      <c r="C191" s="97"/>
      <c r="D191" s="76"/>
      <c r="E191" s="89"/>
      <c r="F191" s="9"/>
      <c r="G191" s="76"/>
      <c r="H191" s="133"/>
      <c r="I191" s="9"/>
      <c r="J191" s="76"/>
      <c r="K191" s="133"/>
      <c r="L191" s="9"/>
      <c r="M191" s="76"/>
      <c r="N191" s="89"/>
      <c r="O191" s="9"/>
      <c r="P191" s="76"/>
      <c r="Q191" s="46"/>
      <c r="R191" s="9"/>
      <c r="S191" s="47"/>
      <c r="T191" s="46"/>
      <c r="U191" s="9"/>
      <c r="V191" s="29"/>
      <c r="W191" s="350"/>
      <c r="X191" s="9"/>
      <c r="Y191" s="49"/>
      <c r="Z191" s="350"/>
      <c r="AA191" s="9"/>
      <c r="AB191" s="49"/>
      <c r="AC191" s="46"/>
      <c r="AD191" s="9"/>
      <c r="AE191" s="46"/>
      <c r="AF191" s="350"/>
      <c r="AG191" s="9"/>
      <c r="AH191" s="49"/>
      <c r="AI191" s="46"/>
      <c r="AJ191" s="9"/>
      <c r="AK191" s="61"/>
      <c r="AL191" s="46"/>
      <c r="AM191" s="9"/>
      <c r="AN191" s="61"/>
      <c r="AS191" s="265">
        <f t="shared" si="132"/>
        <v>0</v>
      </c>
      <c r="AT191" s="265">
        <f t="shared" si="133"/>
        <v>0</v>
      </c>
      <c r="AU191" s="265">
        <f t="shared" si="134"/>
        <v>0</v>
      </c>
    </row>
    <row r="192" spans="1:47" x14ac:dyDescent="0.2">
      <c r="A192" s="1317" t="s">
        <v>3061</v>
      </c>
      <c r="B192" s="89"/>
      <c r="C192" s="97">
        <f>412500-173600</f>
        <v>238900</v>
      </c>
      <c r="D192" s="76">
        <f t="shared" si="185"/>
        <v>-238900</v>
      </c>
      <c r="E192" s="89">
        <v>43700</v>
      </c>
      <c r="F192" s="9">
        <f>895300-F193</f>
        <v>24400</v>
      </c>
      <c r="G192" s="76">
        <f t="shared" si="183"/>
        <v>19300</v>
      </c>
      <c r="H192" s="133">
        <f>45900+25000</f>
        <v>70900</v>
      </c>
      <c r="I192" s="9">
        <f>19400+'Cap-Gen'!AE146+45900+25000</f>
        <v>160300</v>
      </c>
      <c r="J192" s="76">
        <f t="shared" ref="J192:J193" si="198">H192-I192</f>
        <v>-89400</v>
      </c>
      <c r="K192" s="133"/>
      <c r="L192" s="9"/>
      <c r="M192" s="76"/>
      <c r="N192" s="89"/>
      <c r="O192" s="9"/>
      <c r="P192" s="76"/>
      <c r="Q192" s="46"/>
      <c r="R192" s="9"/>
      <c r="S192" s="47"/>
      <c r="T192" s="46"/>
      <c r="U192" s="9"/>
      <c r="V192" s="29"/>
      <c r="W192" s="350"/>
      <c r="X192" s="9"/>
      <c r="Y192" s="49"/>
      <c r="Z192" s="350"/>
      <c r="AA192" s="9"/>
      <c r="AB192" s="49"/>
      <c r="AC192" s="46"/>
      <c r="AD192" s="9"/>
      <c r="AE192" s="46"/>
      <c r="AF192" s="350"/>
      <c r="AG192" s="9"/>
      <c r="AH192" s="49"/>
      <c r="AI192" s="46"/>
      <c r="AJ192" s="9"/>
      <c r="AK192" s="61"/>
      <c r="AL192" s="46"/>
      <c r="AM192" s="9"/>
      <c r="AN192" s="61"/>
      <c r="AS192" s="265">
        <f t="shared" si="132"/>
        <v>0</v>
      </c>
      <c r="AT192" s="265">
        <f t="shared" si="133"/>
        <v>0</v>
      </c>
      <c r="AU192" s="265">
        <f t="shared" si="134"/>
        <v>0</v>
      </c>
    </row>
    <row r="193" spans="1:47" x14ac:dyDescent="0.2">
      <c r="A193" s="1317" t="s">
        <v>5265</v>
      </c>
      <c r="B193" s="89">
        <v>1994500</v>
      </c>
      <c r="C193" s="97">
        <f>1625500+173600</f>
        <v>1799100</v>
      </c>
      <c r="D193" s="76">
        <f t="shared" ref="D193:D195" si="199">B193-C193</f>
        <v>195400</v>
      </c>
      <c r="E193" s="89"/>
      <c r="F193" s="9">
        <f>727000+143900</f>
        <v>870900</v>
      </c>
      <c r="G193" s="76">
        <f t="shared" si="183"/>
        <v>-870900</v>
      </c>
      <c r="H193" s="133"/>
      <c r="I193" s="9">
        <v>425000</v>
      </c>
      <c r="J193" s="76">
        <f t="shared" si="198"/>
        <v>-425000</v>
      </c>
      <c r="K193" s="133"/>
      <c r="L193" s="9">
        <v>425000</v>
      </c>
      <c r="M193" s="76">
        <f t="shared" ref="M193" si="200">K193-L193</f>
        <v>-425000</v>
      </c>
      <c r="N193" s="89"/>
      <c r="O193" s="9"/>
      <c r="P193" s="76"/>
      <c r="Q193" s="46"/>
      <c r="R193" s="9"/>
      <c r="S193" s="47"/>
      <c r="T193" s="46"/>
      <c r="U193" s="9"/>
      <c r="V193" s="29"/>
      <c r="W193" s="350"/>
      <c r="X193" s="9"/>
      <c r="Y193" s="49"/>
      <c r="Z193" s="350"/>
      <c r="AA193" s="9"/>
      <c r="AB193" s="49"/>
      <c r="AC193" s="46"/>
      <c r="AD193" s="9"/>
      <c r="AE193" s="46"/>
      <c r="AF193" s="350"/>
      <c r="AG193" s="9"/>
      <c r="AH193" s="49"/>
      <c r="AI193" s="46"/>
      <c r="AJ193" s="9"/>
      <c r="AK193" s="61"/>
      <c r="AL193" s="46"/>
      <c r="AM193" s="9"/>
      <c r="AN193" s="61"/>
      <c r="AS193" s="265">
        <f t="shared" si="132"/>
        <v>0</v>
      </c>
      <c r="AT193" s="265">
        <f t="shared" si="133"/>
        <v>0</v>
      </c>
      <c r="AU193" s="265">
        <f t="shared" si="134"/>
        <v>0</v>
      </c>
    </row>
    <row r="194" spans="1:47" x14ac:dyDescent="0.2">
      <c r="A194" s="1317" t="s">
        <v>4129</v>
      </c>
      <c r="B194" s="89"/>
      <c r="C194" s="97">
        <f>25000+38000-4800</f>
        <v>58200</v>
      </c>
      <c r="D194" s="76">
        <f t="shared" si="199"/>
        <v>-58200</v>
      </c>
      <c r="E194" s="89"/>
      <c r="F194" s="9"/>
      <c r="G194" s="76"/>
      <c r="H194" s="133"/>
      <c r="I194" s="9"/>
      <c r="J194" s="76"/>
      <c r="K194" s="133"/>
      <c r="L194" s="9"/>
      <c r="M194" s="76"/>
      <c r="N194" s="89"/>
      <c r="O194" s="9"/>
      <c r="P194" s="49"/>
      <c r="Q194" s="46"/>
      <c r="R194" s="9"/>
      <c r="S194" s="61"/>
      <c r="T194" s="46"/>
      <c r="U194" s="9"/>
      <c r="V194" s="46"/>
      <c r="W194" s="350"/>
      <c r="X194" s="9"/>
      <c r="Y194" s="49"/>
      <c r="Z194" s="350"/>
      <c r="AA194" s="9"/>
      <c r="AB194" s="49"/>
      <c r="AC194" s="46"/>
      <c r="AD194" s="9"/>
      <c r="AE194" s="46"/>
      <c r="AF194" s="350"/>
      <c r="AG194" s="9"/>
      <c r="AH194" s="49"/>
      <c r="AI194" s="46"/>
      <c r="AJ194" s="9"/>
      <c r="AK194" s="61"/>
      <c r="AL194" s="46"/>
      <c r="AM194" s="9"/>
      <c r="AN194" s="61"/>
      <c r="AS194" s="265">
        <f t="shared" si="132"/>
        <v>0</v>
      </c>
      <c r="AT194" s="265">
        <f t="shared" si="133"/>
        <v>0</v>
      </c>
      <c r="AU194" s="265">
        <f t="shared" si="134"/>
        <v>0</v>
      </c>
    </row>
    <row r="195" spans="1:47" x14ac:dyDescent="0.2">
      <c r="A195" s="1317" t="s">
        <v>2058</v>
      </c>
      <c r="B195" s="89"/>
      <c r="C195" s="97">
        <v>14800</v>
      </c>
      <c r="D195" s="76">
        <f t="shared" si="199"/>
        <v>-14800</v>
      </c>
      <c r="E195" s="89"/>
      <c r="F195" s="9"/>
      <c r="G195" s="76"/>
      <c r="H195" s="133"/>
      <c r="I195" s="9"/>
      <c r="J195" s="76"/>
      <c r="K195" s="133"/>
      <c r="L195" s="9"/>
      <c r="M195" s="76"/>
      <c r="N195" s="89"/>
      <c r="O195" s="9"/>
      <c r="P195" s="49"/>
      <c r="Q195" s="46"/>
      <c r="R195" s="9"/>
      <c r="S195" s="61"/>
      <c r="T195" s="46"/>
      <c r="U195" s="9"/>
      <c r="V195" s="46"/>
      <c r="W195" s="350"/>
      <c r="X195" s="9"/>
      <c r="Y195" s="49"/>
      <c r="Z195" s="350"/>
      <c r="AA195" s="9"/>
      <c r="AB195" s="49"/>
      <c r="AC195" s="46"/>
      <c r="AD195" s="9"/>
      <c r="AE195" s="46"/>
      <c r="AF195" s="350"/>
      <c r="AG195" s="9"/>
      <c r="AH195" s="49"/>
      <c r="AI195" s="46"/>
      <c r="AJ195" s="9"/>
      <c r="AK195" s="61"/>
      <c r="AL195" s="46"/>
      <c r="AM195" s="9"/>
      <c r="AN195" s="61"/>
      <c r="AS195" s="265">
        <f t="shared" si="132"/>
        <v>0</v>
      </c>
      <c r="AT195" s="265">
        <f t="shared" si="133"/>
        <v>0</v>
      </c>
      <c r="AU195" s="265">
        <f t="shared" si="134"/>
        <v>0</v>
      </c>
    </row>
    <row r="196" spans="1:47" x14ac:dyDescent="0.2">
      <c r="A196" s="1317" t="s">
        <v>875</v>
      </c>
      <c r="B196" s="89">
        <v>60000</v>
      </c>
      <c r="C196" s="97"/>
      <c r="D196" s="76">
        <f>B196-C196</f>
        <v>60000</v>
      </c>
      <c r="E196" s="89"/>
      <c r="F196" s="9"/>
      <c r="G196" s="76"/>
      <c r="H196" s="133"/>
      <c r="I196" s="9"/>
      <c r="J196" s="76"/>
      <c r="K196" s="133"/>
      <c r="L196" s="9"/>
      <c r="M196" s="76"/>
      <c r="N196" s="89"/>
      <c r="O196" s="9"/>
      <c r="P196" s="49"/>
      <c r="Q196" s="46"/>
      <c r="R196" s="9"/>
      <c r="S196" s="61"/>
      <c r="T196" s="46"/>
      <c r="U196" s="9"/>
      <c r="V196" s="46"/>
      <c r="W196" s="350"/>
      <c r="X196" s="9"/>
      <c r="Y196" s="49"/>
      <c r="Z196" s="350"/>
      <c r="AA196" s="9"/>
      <c r="AB196" s="49"/>
      <c r="AC196" s="46"/>
      <c r="AD196" s="9"/>
      <c r="AE196" s="46"/>
      <c r="AF196" s="350"/>
      <c r="AG196" s="9"/>
      <c r="AH196" s="49"/>
      <c r="AI196" s="46"/>
      <c r="AJ196" s="9"/>
      <c r="AK196" s="61"/>
      <c r="AL196" s="46"/>
      <c r="AM196" s="9"/>
      <c r="AN196" s="61"/>
      <c r="AS196" s="265">
        <f t="shared" si="132"/>
        <v>0</v>
      </c>
      <c r="AT196" s="265">
        <f t="shared" si="133"/>
        <v>0</v>
      </c>
      <c r="AU196" s="265">
        <f t="shared" si="134"/>
        <v>0</v>
      </c>
    </row>
    <row r="197" spans="1:47" x14ac:dyDescent="0.2">
      <c r="A197" s="1317" t="s">
        <v>1822</v>
      </c>
      <c r="B197" s="89">
        <v>510500</v>
      </c>
      <c r="C197" s="97">
        <v>486300</v>
      </c>
      <c r="D197" s="76">
        <f>B197-C197</f>
        <v>24200</v>
      </c>
      <c r="E197" s="89">
        <v>7300</v>
      </c>
      <c r="F197" s="9">
        <f>510500</f>
        <v>510500</v>
      </c>
      <c r="G197" s="76">
        <f t="shared" si="183"/>
        <v>-503200</v>
      </c>
      <c r="H197" s="133"/>
      <c r="I197" s="9">
        <v>7300</v>
      </c>
      <c r="J197" s="76">
        <f t="shared" ref="J197" si="201">H197-I197</f>
        <v>-7300</v>
      </c>
      <c r="K197" s="133"/>
      <c r="L197" s="9"/>
      <c r="M197" s="76"/>
      <c r="N197" s="89"/>
      <c r="O197" s="9"/>
      <c r="P197" s="49"/>
      <c r="Q197" s="46"/>
      <c r="R197" s="9"/>
      <c r="S197" s="61"/>
      <c r="T197" s="46"/>
      <c r="U197" s="9"/>
      <c r="V197" s="46"/>
      <c r="W197" s="350"/>
      <c r="X197" s="9"/>
      <c r="Y197" s="49"/>
      <c r="Z197" s="350"/>
      <c r="AA197" s="9"/>
      <c r="AB197" s="49"/>
      <c r="AC197" s="46"/>
      <c r="AD197" s="9"/>
      <c r="AE197" s="46"/>
      <c r="AF197" s="350"/>
      <c r="AG197" s="9"/>
      <c r="AH197" s="49"/>
      <c r="AI197" s="46"/>
      <c r="AJ197" s="9"/>
      <c r="AK197" s="61"/>
      <c r="AL197" s="46"/>
      <c r="AM197" s="9"/>
      <c r="AN197" s="61"/>
      <c r="AS197" s="265">
        <f t="shared" si="132"/>
        <v>0</v>
      </c>
      <c r="AT197" s="265">
        <f t="shared" si="133"/>
        <v>0</v>
      </c>
      <c r="AU197" s="265">
        <f t="shared" si="134"/>
        <v>0</v>
      </c>
    </row>
    <row r="198" spans="1:47" x14ac:dyDescent="0.2">
      <c r="A198" s="1318"/>
      <c r="B198" s="89"/>
      <c r="C198" s="97"/>
      <c r="D198" s="76"/>
      <c r="E198" s="89"/>
      <c r="F198" s="9"/>
      <c r="G198" s="76"/>
      <c r="H198" s="133"/>
      <c r="I198" s="9"/>
      <c r="J198" s="76"/>
      <c r="K198" s="133"/>
      <c r="L198" s="9"/>
      <c r="M198" s="76"/>
      <c r="N198" s="89"/>
      <c r="O198" s="9"/>
      <c r="P198" s="49"/>
      <c r="Q198" s="46"/>
      <c r="R198" s="9"/>
      <c r="S198" s="61"/>
      <c r="T198" s="46"/>
      <c r="U198" s="9"/>
      <c r="V198" s="46"/>
      <c r="W198" s="350"/>
      <c r="X198" s="9"/>
      <c r="Y198" s="49"/>
      <c r="Z198" s="350"/>
      <c r="AA198" s="9"/>
      <c r="AB198" s="49"/>
      <c r="AC198" s="46"/>
      <c r="AD198" s="9"/>
      <c r="AE198" s="46"/>
      <c r="AF198" s="350"/>
      <c r="AG198" s="9"/>
      <c r="AH198" s="49"/>
      <c r="AI198" s="46"/>
      <c r="AJ198" s="9"/>
      <c r="AK198" s="61"/>
      <c r="AL198" s="46"/>
      <c r="AM198" s="9"/>
      <c r="AN198" s="61"/>
      <c r="AS198" s="265">
        <f t="shared" si="132"/>
        <v>0</v>
      </c>
      <c r="AT198" s="265">
        <f t="shared" si="133"/>
        <v>0</v>
      </c>
      <c r="AU198" s="265">
        <f t="shared" si="134"/>
        <v>0</v>
      </c>
    </row>
    <row r="199" spans="1:47" x14ac:dyDescent="0.2">
      <c r="A199" s="1319" t="s">
        <v>3243</v>
      </c>
      <c r="B199" s="89"/>
      <c r="C199" s="97"/>
      <c r="D199" s="76"/>
      <c r="E199" s="89"/>
      <c r="F199" s="9"/>
      <c r="G199" s="76"/>
      <c r="H199" s="133"/>
      <c r="I199" s="9"/>
      <c r="J199" s="76"/>
      <c r="K199" s="133"/>
      <c r="L199" s="9"/>
      <c r="M199" s="76"/>
      <c r="N199" s="89"/>
      <c r="O199" s="9"/>
      <c r="P199" s="49"/>
      <c r="Q199" s="46"/>
      <c r="R199" s="9"/>
      <c r="S199" s="61"/>
      <c r="T199" s="46"/>
      <c r="U199" s="9"/>
      <c r="V199" s="46"/>
      <c r="W199" s="350"/>
      <c r="X199" s="9"/>
      <c r="Y199" s="49"/>
      <c r="Z199" s="350"/>
      <c r="AA199" s="9"/>
      <c r="AB199" s="49"/>
      <c r="AC199" s="46"/>
      <c r="AD199" s="9"/>
      <c r="AE199" s="46"/>
      <c r="AF199" s="350"/>
      <c r="AG199" s="9"/>
      <c r="AH199" s="49"/>
      <c r="AI199" s="46"/>
      <c r="AJ199" s="9"/>
      <c r="AK199" s="61"/>
      <c r="AL199" s="46"/>
      <c r="AM199" s="9"/>
      <c r="AN199" s="61"/>
      <c r="AS199" s="265">
        <f t="shared" si="132"/>
        <v>0</v>
      </c>
      <c r="AT199" s="265">
        <f t="shared" si="133"/>
        <v>0</v>
      </c>
      <c r="AU199" s="265">
        <f t="shared" si="134"/>
        <v>0</v>
      </c>
    </row>
    <row r="200" spans="1:47" x14ac:dyDescent="0.2">
      <c r="A200" s="1317" t="s">
        <v>4762</v>
      </c>
      <c r="B200" s="89"/>
      <c r="C200" s="97"/>
      <c r="D200" s="76"/>
      <c r="E200" s="89"/>
      <c r="F200" s="9">
        <v>15000</v>
      </c>
      <c r="G200" s="76">
        <f t="shared" si="183"/>
        <v>-15000</v>
      </c>
      <c r="H200" s="133"/>
      <c r="I200" s="9"/>
      <c r="J200" s="76"/>
      <c r="K200" s="133"/>
      <c r="L200" s="9"/>
      <c r="M200" s="76"/>
      <c r="N200" s="89"/>
      <c r="O200" s="9"/>
      <c r="P200" s="49"/>
      <c r="Q200" s="46"/>
      <c r="R200" s="9"/>
      <c r="S200" s="61"/>
      <c r="T200" s="46"/>
      <c r="U200" s="9"/>
      <c r="V200" s="46"/>
      <c r="W200" s="350"/>
      <c r="X200" s="9"/>
      <c r="Y200" s="49"/>
      <c r="Z200" s="350"/>
      <c r="AA200" s="9"/>
      <c r="AB200" s="49"/>
      <c r="AC200" s="46"/>
      <c r="AD200" s="9"/>
      <c r="AE200" s="46"/>
      <c r="AF200" s="350"/>
      <c r="AG200" s="9"/>
      <c r="AH200" s="49"/>
      <c r="AI200" s="46"/>
      <c r="AJ200" s="9"/>
      <c r="AK200" s="61"/>
      <c r="AL200" s="46"/>
      <c r="AM200" s="9"/>
      <c r="AN200" s="61"/>
      <c r="AS200" s="265">
        <f t="shared" si="132"/>
        <v>0</v>
      </c>
      <c r="AT200" s="265">
        <f t="shared" si="133"/>
        <v>0</v>
      </c>
      <c r="AU200" s="265">
        <f t="shared" si="134"/>
        <v>0</v>
      </c>
    </row>
    <row r="201" spans="1:47" x14ac:dyDescent="0.2">
      <c r="A201" s="1317" t="s">
        <v>6589</v>
      </c>
      <c r="B201" s="89"/>
      <c r="C201" s="97">
        <v>25000</v>
      </c>
      <c r="D201" s="76">
        <f>B201-C201</f>
        <v>-25000</v>
      </c>
      <c r="E201" s="89"/>
      <c r="F201" s="9"/>
      <c r="G201" s="76"/>
      <c r="H201" s="133"/>
      <c r="I201" s="9"/>
      <c r="J201" s="76"/>
      <c r="K201" s="133"/>
      <c r="L201" s="9"/>
      <c r="M201" s="76"/>
      <c r="N201" s="89"/>
      <c r="O201" s="9"/>
      <c r="P201" s="49"/>
      <c r="Q201" s="46"/>
      <c r="R201" s="9"/>
      <c r="S201" s="61"/>
      <c r="T201" s="46"/>
      <c r="U201" s="9"/>
      <c r="V201" s="46"/>
      <c r="W201" s="350"/>
      <c r="X201" s="9"/>
      <c r="Y201" s="49"/>
      <c r="Z201" s="350"/>
      <c r="AA201" s="9"/>
      <c r="AB201" s="49"/>
      <c r="AC201" s="46"/>
      <c r="AD201" s="9"/>
      <c r="AE201" s="46"/>
      <c r="AF201" s="350"/>
      <c r="AG201" s="9"/>
      <c r="AH201" s="49"/>
      <c r="AI201" s="46"/>
      <c r="AJ201" s="9"/>
      <c r="AK201" s="61"/>
      <c r="AL201" s="46"/>
      <c r="AM201" s="9"/>
      <c r="AN201" s="61"/>
      <c r="AS201" s="265">
        <f t="shared" si="132"/>
        <v>0</v>
      </c>
      <c r="AT201" s="265">
        <f t="shared" si="133"/>
        <v>0</v>
      </c>
      <c r="AU201" s="265">
        <f t="shared" si="134"/>
        <v>0</v>
      </c>
    </row>
    <row r="202" spans="1:47" x14ac:dyDescent="0.2">
      <c r="A202" s="1317" t="s">
        <v>6026</v>
      </c>
      <c r="B202" s="89"/>
      <c r="C202" s="97"/>
      <c r="D202" s="76"/>
      <c r="E202" s="89"/>
      <c r="F202" s="9">
        <f>63000</f>
        <v>63000</v>
      </c>
      <c r="G202" s="76">
        <f t="shared" si="183"/>
        <v>-63000</v>
      </c>
      <c r="H202" s="133"/>
      <c r="I202" s="9"/>
      <c r="J202" s="76"/>
      <c r="K202" s="133"/>
      <c r="L202" s="9"/>
      <c r="M202" s="76"/>
      <c r="N202" s="89"/>
      <c r="O202" s="9"/>
      <c r="P202" s="49"/>
      <c r="Q202" s="46"/>
      <c r="R202" s="9"/>
      <c r="S202" s="61"/>
      <c r="T202" s="46"/>
      <c r="U202" s="9"/>
      <c r="V202" s="46"/>
      <c r="W202" s="350"/>
      <c r="X202" s="9"/>
      <c r="Y202" s="49"/>
      <c r="Z202" s="350"/>
      <c r="AA202" s="9"/>
      <c r="AB202" s="49"/>
      <c r="AC202" s="46"/>
      <c r="AD202" s="9"/>
      <c r="AE202" s="46"/>
      <c r="AF202" s="350"/>
      <c r="AG202" s="9"/>
      <c r="AH202" s="49"/>
      <c r="AI202" s="46"/>
      <c r="AJ202" s="9"/>
      <c r="AK202" s="61"/>
      <c r="AL202" s="46"/>
      <c r="AM202" s="9"/>
      <c r="AN202" s="61"/>
      <c r="AS202" s="265">
        <f t="shared" si="132"/>
        <v>0</v>
      </c>
      <c r="AT202" s="265">
        <f t="shared" si="133"/>
        <v>0</v>
      </c>
      <c r="AU202" s="265">
        <f t="shared" si="134"/>
        <v>0</v>
      </c>
    </row>
    <row r="203" spans="1:47" x14ac:dyDescent="0.2">
      <c r="A203" s="1317" t="s">
        <v>6596</v>
      </c>
      <c r="B203" s="89"/>
      <c r="C203" s="97">
        <v>27800</v>
      </c>
      <c r="D203" s="76">
        <f>B203-C203</f>
        <v>-27800</v>
      </c>
      <c r="E203" s="89"/>
      <c r="F203" s="9"/>
      <c r="G203" s="76"/>
      <c r="H203" s="133"/>
      <c r="I203" s="9"/>
      <c r="J203" s="76"/>
      <c r="K203" s="133"/>
      <c r="L203" s="9"/>
      <c r="M203" s="76"/>
      <c r="N203" s="89"/>
      <c r="O203" s="9"/>
      <c r="P203" s="49"/>
      <c r="Q203" s="46"/>
      <c r="R203" s="9"/>
      <c r="S203" s="61"/>
      <c r="T203" s="46"/>
      <c r="U203" s="9"/>
      <c r="V203" s="46"/>
      <c r="W203" s="350"/>
      <c r="X203" s="9"/>
      <c r="Y203" s="49"/>
      <c r="Z203" s="350"/>
      <c r="AA203" s="9"/>
      <c r="AB203" s="49"/>
      <c r="AC203" s="46"/>
      <c r="AD203" s="9"/>
      <c r="AE203" s="46"/>
      <c r="AF203" s="350"/>
      <c r="AG203" s="9"/>
      <c r="AH203" s="49"/>
      <c r="AI203" s="46"/>
      <c r="AJ203" s="9"/>
      <c r="AK203" s="61"/>
      <c r="AL203" s="46"/>
      <c r="AM203" s="9"/>
      <c r="AN203" s="61"/>
      <c r="AS203" s="265">
        <f t="shared" si="132"/>
        <v>0</v>
      </c>
      <c r="AT203" s="265">
        <f t="shared" si="133"/>
        <v>0</v>
      </c>
      <c r="AU203" s="265">
        <f t="shared" si="134"/>
        <v>0</v>
      </c>
    </row>
    <row r="204" spans="1:47" x14ac:dyDescent="0.2">
      <c r="A204" s="1317" t="s">
        <v>5266</v>
      </c>
      <c r="B204" s="89"/>
      <c r="C204" s="97">
        <v>23200</v>
      </c>
      <c r="D204" s="76">
        <f t="shared" ref="D204:D235" si="202">B204-C204</f>
        <v>-23200</v>
      </c>
      <c r="E204" s="89"/>
      <c r="F204" s="9"/>
      <c r="G204" s="76"/>
      <c r="H204" s="133"/>
      <c r="I204" s="9"/>
      <c r="J204" s="76"/>
      <c r="K204" s="133"/>
      <c r="L204" s="9"/>
      <c r="M204" s="76"/>
      <c r="N204" s="89"/>
      <c r="O204" s="9"/>
      <c r="P204" s="49"/>
      <c r="Q204" s="46"/>
      <c r="R204" s="9"/>
      <c r="S204" s="61"/>
      <c r="T204" s="46"/>
      <c r="U204" s="9"/>
      <c r="V204" s="46"/>
      <c r="W204" s="350"/>
      <c r="X204" s="9"/>
      <c r="Y204" s="49"/>
      <c r="Z204" s="350"/>
      <c r="AA204" s="9"/>
      <c r="AB204" s="49"/>
      <c r="AC204" s="46"/>
      <c r="AD204" s="9"/>
      <c r="AE204" s="46"/>
      <c r="AF204" s="350"/>
      <c r="AG204" s="9"/>
      <c r="AH204" s="49"/>
      <c r="AI204" s="46"/>
      <c r="AJ204" s="9"/>
      <c r="AK204" s="61"/>
      <c r="AL204" s="46"/>
      <c r="AM204" s="9"/>
      <c r="AN204" s="61"/>
      <c r="AS204" s="265">
        <f t="shared" si="132"/>
        <v>0</v>
      </c>
      <c r="AT204" s="265">
        <f t="shared" si="133"/>
        <v>0</v>
      </c>
      <c r="AU204" s="265">
        <f t="shared" si="134"/>
        <v>0</v>
      </c>
    </row>
    <row r="205" spans="1:47" x14ac:dyDescent="0.2">
      <c r="A205" s="1317" t="s">
        <v>5267</v>
      </c>
      <c r="B205" s="89">
        <f>119000-50000</f>
        <v>69000</v>
      </c>
      <c r="C205" s="97"/>
      <c r="D205" s="76">
        <f t="shared" si="202"/>
        <v>69000</v>
      </c>
      <c r="E205" s="89">
        <v>339700</v>
      </c>
      <c r="F205" s="9"/>
      <c r="G205" s="76">
        <f t="shared" si="183"/>
        <v>339700</v>
      </c>
      <c r="H205" s="133"/>
      <c r="I205" s="9">
        <f>328100+11600</f>
        <v>339700</v>
      </c>
      <c r="J205" s="76">
        <f t="shared" ref="J205" si="203">H205-I205</f>
        <v>-339700</v>
      </c>
      <c r="K205" s="133"/>
      <c r="L205" s="9"/>
      <c r="M205" s="76"/>
      <c r="N205" s="89"/>
      <c r="O205" s="9"/>
      <c r="P205" s="49"/>
      <c r="Q205" s="46"/>
      <c r="R205" s="9"/>
      <c r="S205" s="61"/>
      <c r="T205" s="46"/>
      <c r="U205" s="9"/>
      <c r="V205" s="46"/>
      <c r="W205" s="350"/>
      <c r="X205" s="9"/>
      <c r="Y205" s="49"/>
      <c r="Z205" s="350"/>
      <c r="AA205" s="9"/>
      <c r="AB205" s="49"/>
      <c r="AC205" s="46"/>
      <c r="AD205" s="9"/>
      <c r="AE205" s="46"/>
      <c r="AF205" s="350"/>
      <c r="AG205" s="9"/>
      <c r="AH205" s="49"/>
      <c r="AI205" s="46"/>
      <c r="AJ205" s="9"/>
      <c r="AK205" s="61"/>
      <c r="AL205" s="46"/>
      <c r="AM205" s="9"/>
      <c r="AN205" s="61"/>
      <c r="AS205" s="265">
        <f t="shared" si="132"/>
        <v>0</v>
      </c>
      <c r="AT205" s="265">
        <f t="shared" si="133"/>
        <v>0</v>
      </c>
      <c r="AU205" s="265">
        <f t="shared" si="134"/>
        <v>0</v>
      </c>
    </row>
    <row r="206" spans="1:47" x14ac:dyDescent="0.2">
      <c r="A206" s="1317" t="s">
        <v>6624</v>
      </c>
      <c r="B206" s="89"/>
      <c r="C206" s="97">
        <v>40000</v>
      </c>
      <c r="D206" s="76">
        <f t="shared" si="202"/>
        <v>-40000</v>
      </c>
      <c r="E206" s="89"/>
      <c r="F206" s="9"/>
      <c r="G206" s="76"/>
      <c r="H206" s="133"/>
      <c r="I206" s="9"/>
      <c r="J206" s="76"/>
      <c r="K206" s="133"/>
      <c r="L206" s="9"/>
      <c r="M206" s="76"/>
      <c r="N206" s="89"/>
      <c r="O206" s="9"/>
      <c r="P206" s="49"/>
      <c r="Q206" s="46"/>
      <c r="R206" s="9"/>
      <c r="S206" s="61"/>
      <c r="T206" s="46"/>
      <c r="U206" s="9"/>
      <c r="V206" s="46"/>
      <c r="W206" s="350"/>
      <c r="X206" s="9"/>
      <c r="Y206" s="49"/>
      <c r="Z206" s="350"/>
      <c r="AA206" s="9"/>
      <c r="AB206" s="49"/>
      <c r="AC206" s="46"/>
      <c r="AD206" s="9"/>
      <c r="AE206" s="46"/>
      <c r="AF206" s="350"/>
      <c r="AG206" s="9"/>
      <c r="AH206" s="49"/>
      <c r="AI206" s="46"/>
      <c r="AJ206" s="9"/>
      <c r="AK206" s="61"/>
      <c r="AL206" s="46"/>
      <c r="AM206" s="9"/>
      <c r="AN206" s="61"/>
      <c r="AS206" s="265">
        <f t="shared" si="132"/>
        <v>0</v>
      </c>
      <c r="AT206" s="265">
        <f t="shared" si="133"/>
        <v>0</v>
      </c>
      <c r="AU206" s="265">
        <f t="shared" si="134"/>
        <v>0</v>
      </c>
    </row>
    <row r="207" spans="1:47" x14ac:dyDescent="0.2">
      <c r="A207" s="1317" t="s">
        <v>11956</v>
      </c>
      <c r="B207" s="89"/>
      <c r="C207" s="97"/>
      <c r="D207" s="76"/>
      <c r="E207" s="89"/>
      <c r="F207" s="9">
        <v>6000</v>
      </c>
      <c r="G207" s="76">
        <f t="shared" si="183"/>
        <v>-6000</v>
      </c>
      <c r="H207" s="133"/>
      <c r="I207" s="9"/>
      <c r="J207" s="76"/>
      <c r="K207" s="133"/>
      <c r="L207" s="9"/>
      <c r="M207" s="76"/>
      <c r="N207" s="89"/>
      <c r="O207" s="9"/>
      <c r="P207" s="49"/>
      <c r="Q207" s="46"/>
      <c r="R207" s="9"/>
      <c r="S207" s="61"/>
      <c r="T207" s="46"/>
      <c r="U207" s="9"/>
      <c r="V207" s="46"/>
      <c r="W207" s="350"/>
      <c r="X207" s="9"/>
      <c r="Y207" s="49"/>
      <c r="Z207" s="350"/>
      <c r="AA207" s="9"/>
      <c r="AB207" s="49"/>
      <c r="AC207" s="46"/>
      <c r="AD207" s="9"/>
      <c r="AE207" s="46"/>
      <c r="AF207" s="350"/>
      <c r="AG207" s="9"/>
      <c r="AH207" s="49"/>
      <c r="AI207" s="46"/>
      <c r="AJ207" s="9"/>
      <c r="AK207" s="61"/>
      <c r="AL207" s="46"/>
      <c r="AM207" s="9"/>
      <c r="AN207" s="61"/>
      <c r="AS207" s="265">
        <f t="shared" si="132"/>
        <v>0</v>
      </c>
      <c r="AT207" s="265">
        <f t="shared" si="133"/>
        <v>0</v>
      </c>
      <c r="AU207" s="265">
        <f t="shared" si="134"/>
        <v>0</v>
      </c>
    </row>
    <row r="208" spans="1:47" x14ac:dyDescent="0.2">
      <c r="A208" s="1317" t="s">
        <v>6025</v>
      </c>
      <c r="B208" s="89"/>
      <c r="C208" s="97"/>
      <c r="D208" s="76"/>
      <c r="E208" s="89"/>
      <c r="F208" s="9">
        <v>35000</v>
      </c>
      <c r="G208" s="76">
        <f t="shared" si="183"/>
        <v>-35000</v>
      </c>
      <c r="H208" s="133"/>
      <c r="I208" s="9"/>
      <c r="J208" s="76"/>
      <c r="K208" s="133"/>
      <c r="L208" s="9"/>
      <c r="M208" s="76"/>
      <c r="N208" s="89"/>
      <c r="O208" s="9"/>
      <c r="P208" s="49"/>
      <c r="Q208" s="46"/>
      <c r="R208" s="9"/>
      <c r="S208" s="61"/>
      <c r="T208" s="46"/>
      <c r="U208" s="9"/>
      <c r="V208" s="46"/>
      <c r="W208" s="350"/>
      <c r="X208" s="9"/>
      <c r="Y208" s="49"/>
      <c r="Z208" s="350"/>
      <c r="AA208" s="9"/>
      <c r="AB208" s="49"/>
      <c r="AC208" s="46"/>
      <c r="AD208" s="9"/>
      <c r="AE208" s="46"/>
      <c r="AF208" s="350"/>
      <c r="AG208" s="9"/>
      <c r="AH208" s="49"/>
      <c r="AI208" s="46"/>
      <c r="AJ208" s="9"/>
      <c r="AK208" s="61"/>
      <c r="AL208" s="46"/>
      <c r="AM208" s="9"/>
      <c r="AN208" s="61"/>
      <c r="AS208" s="265">
        <f t="shared" si="132"/>
        <v>0</v>
      </c>
      <c r="AT208" s="265">
        <f t="shared" si="133"/>
        <v>0</v>
      </c>
      <c r="AU208" s="265">
        <f t="shared" si="134"/>
        <v>0</v>
      </c>
    </row>
    <row r="209" spans="1:47" x14ac:dyDescent="0.2">
      <c r="A209" s="1317" t="s">
        <v>6656</v>
      </c>
      <c r="B209" s="89"/>
      <c r="C209" s="97"/>
      <c r="D209" s="76"/>
      <c r="E209" s="89"/>
      <c r="F209" s="9">
        <v>50000</v>
      </c>
      <c r="G209" s="76">
        <f t="shared" ref="G209" si="204">E209-F209</f>
        <v>-50000</v>
      </c>
      <c r="H209" s="133"/>
      <c r="I209" s="9"/>
      <c r="J209" s="76"/>
      <c r="K209" s="133"/>
      <c r="L209" s="9"/>
      <c r="M209" s="76"/>
      <c r="N209" s="89"/>
      <c r="O209" s="9"/>
      <c r="P209" s="49"/>
      <c r="Q209" s="46"/>
      <c r="R209" s="9"/>
      <c r="S209" s="61"/>
      <c r="T209" s="46"/>
      <c r="U209" s="9"/>
      <c r="V209" s="46"/>
      <c r="W209" s="350"/>
      <c r="X209" s="9"/>
      <c r="Y209" s="49"/>
      <c r="Z209" s="350"/>
      <c r="AA209" s="9"/>
      <c r="AB209" s="49"/>
      <c r="AC209" s="46"/>
      <c r="AD209" s="9"/>
      <c r="AE209" s="46"/>
      <c r="AF209" s="350"/>
      <c r="AG209" s="9"/>
      <c r="AH209" s="49"/>
      <c r="AI209" s="46"/>
      <c r="AJ209" s="9"/>
      <c r="AK209" s="61"/>
      <c r="AL209" s="46"/>
      <c r="AM209" s="9"/>
      <c r="AN209" s="61"/>
      <c r="AS209" s="265">
        <f t="shared" si="132"/>
        <v>0</v>
      </c>
      <c r="AT209" s="265">
        <f t="shared" si="133"/>
        <v>0</v>
      </c>
      <c r="AU209" s="265">
        <f t="shared" si="134"/>
        <v>0</v>
      </c>
    </row>
    <row r="210" spans="1:47" x14ac:dyDescent="0.2">
      <c r="A210" s="1317" t="s">
        <v>6654</v>
      </c>
      <c r="B210" s="89"/>
      <c r="C210" s="97"/>
      <c r="D210" s="76"/>
      <c r="E210" s="89"/>
      <c r="F210" s="9">
        <v>50000</v>
      </c>
      <c r="G210" s="76">
        <f>E210-F210</f>
        <v>-50000</v>
      </c>
      <c r="H210" s="133"/>
      <c r="I210" s="9"/>
      <c r="J210" s="76"/>
      <c r="K210" s="133"/>
      <c r="L210" s="9"/>
      <c r="M210" s="76"/>
      <c r="N210" s="89"/>
      <c r="O210" s="9"/>
      <c r="P210" s="49"/>
      <c r="Q210" s="46"/>
      <c r="R210" s="9"/>
      <c r="S210" s="61"/>
      <c r="T210" s="46"/>
      <c r="U210" s="9"/>
      <c r="V210" s="46"/>
      <c r="W210" s="350"/>
      <c r="X210" s="9"/>
      <c r="Y210" s="49"/>
      <c r="Z210" s="350"/>
      <c r="AA210" s="9"/>
      <c r="AB210" s="49"/>
      <c r="AC210" s="46"/>
      <c r="AD210" s="9"/>
      <c r="AE210" s="46"/>
      <c r="AF210" s="350"/>
      <c r="AG210" s="9"/>
      <c r="AH210" s="49"/>
      <c r="AI210" s="46"/>
      <c r="AJ210" s="9"/>
      <c r="AK210" s="61"/>
      <c r="AL210" s="46"/>
      <c r="AM210" s="9"/>
      <c r="AN210" s="61"/>
      <c r="AS210" s="265">
        <f t="shared" si="132"/>
        <v>0</v>
      </c>
      <c r="AT210" s="265">
        <f t="shared" si="133"/>
        <v>0</v>
      </c>
      <c r="AU210" s="265">
        <f t="shared" si="134"/>
        <v>0</v>
      </c>
    </row>
    <row r="211" spans="1:47" x14ac:dyDescent="0.2">
      <c r="A211" s="1317" t="s">
        <v>6655</v>
      </c>
      <c r="B211" s="89"/>
      <c r="C211" s="97"/>
      <c r="D211" s="76"/>
      <c r="E211" s="89"/>
      <c r="F211" s="9">
        <v>25000</v>
      </c>
      <c r="G211" s="76">
        <f>E211-F211</f>
        <v>-25000</v>
      </c>
      <c r="H211" s="133"/>
      <c r="I211" s="9"/>
      <c r="J211" s="76"/>
      <c r="K211" s="133"/>
      <c r="L211" s="9"/>
      <c r="M211" s="76"/>
      <c r="N211" s="89"/>
      <c r="O211" s="9"/>
      <c r="P211" s="49"/>
      <c r="Q211" s="46"/>
      <c r="R211" s="9"/>
      <c r="S211" s="61"/>
      <c r="T211" s="46"/>
      <c r="U211" s="9"/>
      <c r="V211" s="46"/>
      <c r="W211" s="350"/>
      <c r="X211" s="9"/>
      <c r="Y211" s="49"/>
      <c r="Z211" s="350"/>
      <c r="AA211" s="9"/>
      <c r="AB211" s="49"/>
      <c r="AC211" s="46"/>
      <c r="AD211" s="9"/>
      <c r="AE211" s="46"/>
      <c r="AF211" s="350"/>
      <c r="AG211" s="9"/>
      <c r="AH211" s="49"/>
      <c r="AI211" s="46"/>
      <c r="AJ211" s="9"/>
      <c r="AK211" s="61"/>
      <c r="AL211" s="46"/>
      <c r="AM211" s="9"/>
      <c r="AN211" s="61"/>
      <c r="AS211" s="265">
        <f t="shared" si="132"/>
        <v>0</v>
      </c>
      <c r="AT211" s="265">
        <f t="shared" si="133"/>
        <v>0</v>
      </c>
      <c r="AU211" s="265">
        <f t="shared" si="134"/>
        <v>0</v>
      </c>
    </row>
    <row r="212" spans="1:47" x14ac:dyDescent="0.2">
      <c r="A212" s="1317" t="s">
        <v>6821</v>
      </c>
      <c r="B212" s="89"/>
      <c r="C212" s="97"/>
      <c r="D212" s="76"/>
      <c r="E212" s="89"/>
      <c r="F212" s="9"/>
      <c r="G212" s="76"/>
      <c r="H212" s="133"/>
      <c r="I212" s="9"/>
      <c r="J212" s="76"/>
      <c r="K212" s="133">
        <v>50000</v>
      </c>
      <c r="L212" s="9"/>
      <c r="M212" s="76">
        <f t="shared" ref="M212" si="205">K212-L212</f>
        <v>50000</v>
      </c>
      <c r="N212" s="89">
        <f>K212</f>
        <v>50000</v>
      </c>
      <c r="O212" s="9">
        <v>100000</v>
      </c>
      <c r="P212" s="49">
        <f t="shared" ref="P212" si="206">N212-O212</f>
        <v>-50000</v>
      </c>
      <c r="Q212" s="46">
        <f>N212</f>
        <v>50000</v>
      </c>
      <c r="R212" s="9"/>
      <c r="S212" s="61">
        <f t="shared" ref="S212" si="207">Q212-R212</f>
        <v>50000</v>
      </c>
      <c r="T212" s="46">
        <f>Q212</f>
        <v>50000</v>
      </c>
      <c r="U212" s="9">
        <v>100000</v>
      </c>
      <c r="V212" s="46">
        <f t="shared" ref="V212" si="208">T212-U212</f>
        <v>-50000</v>
      </c>
      <c r="W212" s="350">
        <f>T212</f>
        <v>50000</v>
      </c>
      <c r="X212" s="9"/>
      <c r="Y212" s="49">
        <f t="shared" ref="Y212" si="209">W212-X212</f>
        <v>50000</v>
      </c>
      <c r="Z212" s="350">
        <f>W212</f>
        <v>50000</v>
      </c>
      <c r="AA212" s="9">
        <v>100000</v>
      </c>
      <c r="AB212" s="49">
        <f t="shared" ref="AB212" si="210">Z212-AA212</f>
        <v>-50000</v>
      </c>
      <c r="AC212" s="46">
        <f>Z212</f>
        <v>50000</v>
      </c>
      <c r="AD212" s="9"/>
      <c r="AE212" s="46">
        <f t="shared" ref="AE212" si="211">AC212-AD212</f>
        <v>50000</v>
      </c>
      <c r="AF212" s="350">
        <f>AC212</f>
        <v>50000</v>
      </c>
      <c r="AG212" s="9">
        <v>100000</v>
      </c>
      <c r="AH212" s="49">
        <f t="shared" ref="AH212" si="212">AF212-AG212</f>
        <v>-50000</v>
      </c>
      <c r="AI212" s="46">
        <f>AF212</f>
        <v>50000</v>
      </c>
      <c r="AJ212" s="9"/>
      <c r="AK212" s="61">
        <f t="shared" ref="AK212" si="213">AI212-AJ212</f>
        <v>50000</v>
      </c>
      <c r="AL212" s="46">
        <f>AI212</f>
        <v>50000</v>
      </c>
      <c r="AM212" s="9">
        <v>100000</v>
      </c>
      <c r="AN212" s="61">
        <f t="shared" ref="AN212" si="214">AL212-AM212</f>
        <v>-50000</v>
      </c>
      <c r="AP212" s="34">
        <v>50000</v>
      </c>
      <c r="AR212" s="34">
        <v>50000</v>
      </c>
      <c r="AS212" s="265">
        <f t="shared" si="132"/>
        <v>0</v>
      </c>
      <c r="AT212" s="265">
        <f t="shared" si="133"/>
        <v>0</v>
      </c>
      <c r="AU212" s="265">
        <f t="shared" si="134"/>
        <v>0</v>
      </c>
    </row>
    <row r="213" spans="1:47" x14ac:dyDescent="0.2">
      <c r="A213" s="1318"/>
      <c r="B213" s="89"/>
      <c r="C213" s="97"/>
      <c r="D213" s="76"/>
      <c r="E213" s="89"/>
      <c r="F213" s="9"/>
      <c r="G213" s="76"/>
      <c r="H213" s="133"/>
      <c r="I213" s="9"/>
      <c r="J213" s="76"/>
      <c r="K213" s="133"/>
      <c r="L213" s="9"/>
      <c r="M213" s="76"/>
      <c r="N213" s="89"/>
      <c r="O213" s="9"/>
      <c r="P213" s="49"/>
      <c r="Q213" s="46"/>
      <c r="R213" s="9"/>
      <c r="S213" s="61"/>
      <c r="T213" s="46"/>
      <c r="U213" s="9"/>
      <c r="V213" s="46"/>
      <c r="W213" s="350"/>
      <c r="X213" s="9"/>
      <c r="Y213" s="49"/>
      <c r="Z213" s="350"/>
      <c r="AA213" s="9"/>
      <c r="AB213" s="49"/>
      <c r="AC213" s="46"/>
      <c r="AD213" s="9"/>
      <c r="AE213" s="46"/>
      <c r="AF213" s="350"/>
      <c r="AG213" s="9"/>
      <c r="AH213" s="49"/>
      <c r="AI213" s="46"/>
      <c r="AJ213" s="9"/>
      <c r="AK213" s="61"/>
      <c r="AL213" s="46"/>
      <c r="AM213" s="9"/>
      <c r="AN213" s="61"/>
      <c r="AS213" s="265">
        <f t="shared" si="132"/>
        <v>0</v>
      </c>
      <c r="AT213" s="265">
        <f t="shared" si="133"/>
        <v>0</v>
      </c>
      <c r="AU213" s="265">
        <f t="shared" si="134"/>
        <v>0</v>
      </c>
    </row>
    <row r="214" spans="1:47" x14ac:dyDescent="0.2">
      <c r="A214" s="1319" t="s">
        <v>3020</v>
      </c>
      <c r="B214" s="89"/>
      <c r="C214" s="97"/>
      <c r="D214" s="76"/>
      <c r="E214" s="89"/>
      <c r="F214" s="9"/>
      <c r="G214" s="76"/>
      <c r="H214" s="133"/>
      <c r="I214" s="9"/>
      <c r="J214" s="76"/>
      <c r="K214" s="133"/>
      <c r="L214" s="9"/>
      <c r="M214" s="76"/>
      <c r="N214" s="89"/>
      <c r="O214" s="9"/>
      <c r="P214" s="49"/>
      <c r="Q214" s="46"/>
      <c r="R214" s="9"/>
      <c r="S214" s="61"/>
      <c r="T214" s="46"/>
      <c r="U214" s="9"/>
      <c r="V214" s="46"/>
      <c r="W214" s="350"/>
      <c r="X214" s="9"/>
      <c r="Y214" s="49"/>
      <c r="Z214" s="350"/>
      <c r="AA214" s="9"/>
      <c r="AB214" s="49"/>
      <c r="AC214" s="46"/>
      <c r="AD214" s="9"/>
      <c r="AE214" s="46"/>
      <c r="AF214" s="350"/>
      <c r="AG214" s="9"/>
      <c r="AH214" s="49"/>
      <c r="AI214" s="46"/>
      <c r="AJ214" s="9"/>
      <c r="AK214" s="61"/>
      <c r="AL214" s="46"/>
      <c r="AM214" s="9"/>
      <c r="AN214" s="61"/>
      <c r="AS214" s="265">
        <f t="shared" ref="AS214:AS262" si="215">+AI214-AP214</f>
        <v>0</v>
      </c>
      <c r="AT214" s="265">
        <f t="shared" ref="AT214:AT262" si="216">+AJ214-AQ214</f>
        <v>0</v>
      </c>
      <c r="AU214" s="265">
        <f t="shared" ref="AU214:AU262" si="217">+AK214-AR214</f>
        <v>0</v>
      </c>
    </row>
    <row r="215" spans="1:47" x14ac:dyDescent="0.2">
      <c r="A215" s="1317" t="s">
        <v>3020</v>
      </c>
      <c r="B215" s="89">
        <v>103100</v>
      </c>
      <c r="C215" s="97">
        <v>146900</v>
      </c>
      <c r="D215" s="76">
        <f t="shared" si="202"/>
        <v>-43800</v>
      </c>
      <c r="E215" s="89"/>
      <c r="F215" s="9">
        <v>103100</v>
      </c>
      <c r="G215" s="76">
        <f t="shared" si="183"/>
        <v>-103100</v>
      </c>
      <c r="H215" s="133"/>
      <c r="I215" s="9"/>
      <c r="J215" s="76"/>
      <c r="K215" s="133"/>
      <c r="L215" s="9"/>
      <c r="M215" s="76"/>
      <c r="N215" s="89"/>
      <c r="O215" s="9"/>
      <c r="P215" s="49"/>
      <c r="Q215" s="46"/>
      <c r="R215" s="9"/>
      <c r="S215" s="61"/>
      <c r="T215" s="46"/>
      <c r="U215" s="9"/>
      <c r="V215" s="46"/>
      <c r="W215" s="350"/>
      <c r="X215" s="9"/>
      <c r="Y215" s="49"/>
      <c r="Z215" s="350"/>
      <c r="AA215" s="9"/>
      <c r="AB215" s="49"/>
      <c r="AC215" s="46"/>
      <c r="AD215" s="9"/>
      <c r="AE215" s="46"/>
      <c r="AF215" s="350"/>
      <c r="AG215" s="9"/>
      <c r="AH215" s="49"/>
      <c r="AI215" s="46"/>
      <c r="AJ215" s="9"/>
      <c r="AK215" s="61"/>
      <c r="AL215" s="46"/>
      <c r="AM215" s="9"/>
      <c r="AN215" s="61"/>
      <c r="AS215" s="265">
        <f t="shared" si="215"/>
        <v>0</v>
      </c>
      <c r="AT215" s="265">
        <f t="shared" si="216"/>
        <v>0</v>
      </c>
      <c r="AU215" s="265">
        <f t="shared" si="217"/>
        <v>0</v>
      </c>
    </row>
    <row r="216" spans="1:47" x14ac:dyDescent="0.2">
      <c r="A216" s="408"/>
      <c r="B216" s="89"/>
      <c r="C216" s="97"/>
      <c r="D216" s="76"/>
      <c r="E216" s="133"/>
      <c r="F216" s="9"/>
      <c r="G216" s="76"/>
      <c r="H216" s="89"/>
      <c r="I216" s="9"/>
      <c r="J216" s="76"/>
      <c r="K216" s="133"/>
      <c r="L216" s="9"/>
      <c r="M216" s="76"/>
      <c r="N216" s="89"/>
      <c r="O216" s="9"/>
      <c r="P216" s="49"/>
      <c r="Q216" s="46"/>
      <c r="R216" s="9"/>
      <c r="S216" s="61"/>
      <c r="T216" s="46"/>
      <c r="U216" s="9"/>
      <c r="V216" s="46"/>
      <c r="W216" s="350"/>
      <c r="X216" s="9"/>
      <c r="Y216" s="49"/>
      <c r="Z216" s="350"/>
      <c r="AA216" s="9"/>
      <c r="AB216" s="49"/>
      <c r="AC216" s="46"/>
      <c r="AD216" s="9"/>
      <c r="AE216" s="46"/>
      <c r="AF216" s="350"/>
      <c r="AG216" s="9"/>
      <c r="AH216" s="49"/>
      <c r="AI216" s="46"/>
      <c r="AJ216" s="9"/>
      <c r="AK216" s="61"/>
      <c r="AL216" s="46"/>
      <c r="AM216" s="9"/>
      <c r="AN216" s="61"/>
      <c r="AS216" s="265">
        <f t="shared" si="215"/>
        <v>0</v>
      </c>
      <c r="AT216" s="265">
        <f t="shared" si="216"/>
        <v>0</v>
      </c>
      <c r="AU216" s="265">
        <f t="shared" si="217"/>
        <v>0</v>
      </c>
    </row>
    <row r="217" spans="1:47" x14ac:dyDescent="0.2">
      <c r="A217" s="1318"/>
      <c r="B217" s="89"/>
      <c r="C217" s="9"/>
      <c r="D217" s="76"/>
      <c r="E217" s="89"/>
      <c r="F217" s="9"/>
      <c r="G217" s="76"/>
      <c r="H217" s="133"/>
      <c r="I217" s="9"/>
      <c r="J217" s="76"/>
      <c r="K217" s="133"/>
      <c r="L217" s="9"/>
      <c r="M217" s="76"/>
      <c r="N217" s="89"/>
      <c r="O217" s="9"/>
      <c r="P217" s="49"/>
      <c r="Q217" s="46"/>
      <c r="R217" s="9"/>
      <c r="S217" s="61"/>
      <c r="T217" s="46"/>
      <c r="U217" s="9"/>
      <c r="V217" s="46"/>
      <c r="W217" s="350"/>
      <c r="X217" s="9"/>
      <c r="Y217" s="49"/>
      <c r="Z217" s="350"/>
      <c r="AA217" s="9"/>
      <c r="AB217" s="49"/>
      <c r="AC217" s="46"/>
      <c r="AD217" s="9"/>
      <c r="AE217" s="46"/>
      <c r="AF217" s="350"/>
      <c r="AG217" s="9"/>
      <c r="AH217" s="49"/>
      <c r="AI217" s="46"/>
      <c r="AJ217" s="9"/>
      <c r="AK217" s="61"/>
      <c r="AL217" s="46"/>
      <c r="AM217" s="9"/>
      <c r="AN217" s="61"/>
      <c r="AS217" s="265">
        <f t="shared" si="215"/>
        <v>0</v>
      </c>
      <c r="AT217" s="265">
        <f t="shared" si="216"/>
        <v>0</v>
      </c>
      <c r="AU217" s="265">
        <f t="shared" si="217"/>
        <v>0</v>
      </c>
    </row>
    <row r="218" spans="1:47" ht="12" customHeight="1" x14ac:dyDescent="0.2">
      <c r="A218" s="1315" t="s">
        <v>278</v>
      </c>
      <c r="B218" s="89"/>
      <c r="C218" s="97"/>
      <c r="D218" s="76"/>
      <c r="E218" s="89"/>
      <c r="F218" s="9"/>
      <c r="G218" s="76"/>
      <c r="H218" s="133"/>
      <c r="I218" s="9"/>
      <c r="J218" s="76"/>
      <c r="K218" s="133"/>
      <c r="L218" s="9"/>
      <c r="M218" s="76"/>
      <c r="N218" s="89"/>
      <c r="O218" s="9"/>
      <c r="P218" s="49"/>
      <c r="Q218" s="46"/>
      <c r="R218" s="9"/>
      <c r="S218" s="61"/>
      <c r="T218" s="46"/>
      <c r="U218" s="9"/>
      <c r="V218" s="46"/>
      <c r="W218" s="350"/>
      <c r="X218" s="9"/>
      <c r="Y218" s="49"/>
      <c r="Z218" s="350"/>
      <c r="AA218" s="9"/>
      <c r="AB218" s="49"/>
      <c r="AC218" s="46"/>
      <c r="AD218" s="9"/>
      <c r="AE218" s="46"/>
      <c r="AF218" s="350"/>
      <c r="AG218" s="9"/>
      <c r="AH218" s="49"/>
      <c r="AI218" s="46"/>
      <c r="AJ218" s="9"/>
      <c r="AK218" s="61"/>
      <c r="AL218" s="46"/>
      <c r="AM218" s="9"/>
      <c r="AN218" s="61"/>
      <c r="AS218" s="265">
        <f t="shared" si="215"/>
        <v>0</v>
      </c>
      <c r="AT218" s="265">
        <f t="shared" si="216"/>
        <v>0</v>
      </c>
      <c r="AU218" s="265">
        <f t="shared" si="217"/>
        <v>0</v>
      </c>
    </row>
    <row r="219" spans="1:47" x14ac:dyDescent="0.2">
      <c r="A219" s="1317" t="s">
        <v>3062</v>
      </c>
      <c r="B219" s="89">
        <v>153300</v>
      </c>
      <c r="C219" s="97">
        <v>401600</v>
      </c>
      <c r="D219" s="76">
        <f t="shared" si="202"/>
        <v>-248300</v>
      </c>
      <c r="E219" s="89">
        <f>193400-E220-E232</f>
        <v>109400</v>
      </c>
      <c r="F219" s="9">
        <f>207700-F220-F232</f>
        <v>107700</v>
      </c>
      <c r="G219" s="76">
        <f>E219-F219</f>
        <v>1700</v>
      </c>
      <c r="H219" s="133"/>
      <c r="I219" s="9">
        <f>42800+19600+39800+50000+34000</f>
        <v>186200</v>
      </c>
      <c r="J219" s="76">
        <f t="shared" ref="J219:J220" si="218">H219-I219</f>
        <v>-186200</v>
      </c>
      <c r="K219" s="133"/>
      <c r="L219" s="9"/>
      <c r="M219" s="76"/>
      <c r="N219" s="89"/>
      <c r="O219" s="9"/>
      <c r="P219" s="49"/>
      <c r="Q219" s="46"/>
      <c r="R219" s="9"/>
      <c r="S219" s="61"/>
      <c r="T219" s="46"/>
      <c r="U219" s="9"/>
      <c r="V219" s="46"/>
      <c r="W219" s="350"/>
      <c r="X219" s="9"/>
      <c r="Y219" s="49"/>
      <c r="Z219" s="350"/>
      <c r="AA219" s="9"/>
      <c r="AB219" s="49"/>
      <c r="AC219" s="46"/>
      <c r="AD219" s="9"/>
      <c r="AE219" s="46"/>
      <c r="AF219" s="350"/>
      <c r="AG219" s="9"/>
      <c r="AH219" s="49"/>
      <c r="AI219" s="46"/>
      <c r="AJ219" s="9"/>
      <c r="AK219" s="61"/>
      <c r="AL219" s="46"/>
      <c r="AM219" s="9"/>
      <c r="AN219" s="61"/>
      <c r="AS219" s="265">
        <f t="shared" si="215"/>
        <v>0</v>
      </c>
      <c r="AT219" s="265">
        <f t="shared" si="216"/>
        <v>0</v>
      </c>
      <c r="AU219" s="265">
        <f t="shared" si="217"/>
        <v>0</v>
      </c>
    </row>
    <row r="220" spans="1:47" x14ac:dyDescent="0.2">
      <c r="A220" s="1317" t="s">
        <v>3608</v>
      </c>
      <c r="B220" s="89"/>
      <c r="C220" s="97"/>
      <c r="D220" s="76"/>
      <c r="E220" s="89">
        <v>34000</v>
      </c>
      <c r="F220" s="9">
        <v>0</v>
      </c>
      <c r="G220" s="76">
        <f>E220-F220</f>
        <v>34000</v>
      </c>
      <c r="H220" s="133"/>
      <c r="I220" s="9"/>
      <c r="J220" s="76">
        <f t="shared" si="218"/>
        <v>0</v>
      </c>
      <c r="K220" s="133"/>
      <c r="L220" s="9"/>
      <c r="M220" s="76"/>
      <c r="N220" s="89"/>
      <c r="O220" s="9"/>
      <c r="P220" s="49"/>
      <c r="Q220" s="46"/>
      <c r="R220" s="9"/>
      <c r="S220" s="61"/>
      <c r="T220" s="46"/>
      <c r="U220" s="9"/>
      <c r="V220" s="46"/>
      <c r="W220" s="350"/>
      <c r="X220" s="9"/>
      <c r="Y220" s="49"/>
      <c r="Z220" s="350"/>
      <c r="AA220" s="9"/>
      <c r="AB220" s="49"/>
      <c r="AC220" s="46"/>
      <c r="AD220" s="9"/>
      <c r="AE220" s="46"/>
      <c r="AF220" s="350"/>
      <c r="AG220" s="9"/>
      <c r="AH220" s="49"/>
      <c r="AI220" s="46"/>
      <c r="AJ220" s="9"/>
      <c r="AK220" s="61"/>
      <c r="AL220" s="46"/>
      <c r="AM220" s="9"/>
      <c r="AN220" s="61"/>
      <c r="AS220" s="265">
        <f t="shared" si="215"/>
        <v>0</v>
      </c>
      <c r="AT220" s="265">
        <f t="shared" si="216"/>
        <v>0</v>
      </c>
      <c r="AU220" s="265">
        <f t="shared" si="217"/>
        <v>0</v>
      </c>
    </row>
    <row r="221" spans="1:47" x14ac:dyDescent="0.2">
      <c r="A221" s="1317" t="s">
        <v>11957</v>
      </c>
      <c r="B221" s="89"/>
      <c r="C221" s="97"/>
      <c r="D221" s="76"/>
      <c r="E221" s="89"/>
      <c r="F221" s="9"/>
      <c r="G221" s="76">
        <f>E221-F221</f>
        <v>0</v>
      </c>
      <c r="H221" s="133"/>
      <c r="I221" s="9">
        <f>SP!H376</f>
        <v>10000</v>
      </c>
      <c r="J221" s="76">
        <f>H221-I221</f>
        <v>-10000</v>
      </c>
      <c r="K221" s="133"/>
      <c r="L221" s="9"/>
      <c r="M221" s="76"/>
      <c r="N221" s="89"/>
      <c r="O221" s="9"/>
      <c r="P221" s="49"/>
      <c r="Q221" s="46"/>
      <c r="R221" s="9"/>
      <c r="S221" s="61"/>
      <c r="T221" s="46"/>
      <c r="U221" s="9"/>
      <c r="V221" s="46"/>
      <c r="W221" s="350"/>
      <c r="X221" s="9"/>
      <c r="Y221" s="49"/>
      <c r="Z221" s="350"/>
      <c r="AA221" s="9"/>
      <c r="AB221" s="49"/>
      <c r="AC221" s="46"/>
      <c r="AD221" s="9"/>
      <c r="AE221" s="46"/>
      <c r="AF221" s="350"/>
      <c r="AG221" s="9"/>
      <c r="AH221" s="49"/>
      <c r="AI221" s="46"/>
      <c r="AJ221" s="9"/>
      <c r="AK221" s="61"/>
      <c r="AL221" s="46"/>
      <c r="AM221" s="9"/>
      <c r="AN221" s="61"/>
      <c r="AS221" s="265"/>
      <c r="AT221" s="265"/>
      <c r="AU221" s="265"/>
    </row>
    <row r="222" spans="1:47" x14ac:dyDescent="0.2">
      <c r="A222" s="1317" t="s">
        <v>11958</v>
      </c>
      <c r="B222" s="89"/>
      <c r="C222" s="97"/>
      <c r="D222" s="76"/>
      <c r="E222" s="89"/>
      <c r="F222" s="9"/>
      <c r="G222" s="76"/>
      <c r="H222" s="133">
        <f>+'Cap Inc'!F104</f>
        <v>61000</v>
      </c>
      <c r="I222" s="9"/>
      <c r="J222" s="76">
        <f>H222-I222</f>
        <v>61000</v>
      </c>
      <c r="K222" s="133"/>
      <c r="L222" s="9"/>
      <c r="M222" s="76"/>
      <c r="N222" s="89"/>
      <c r="O222" s="9"/>
      <c r="P222" s="49"/>
      <c r="Q222" s="46"/>
      <c r="R222" s="9"/>
      <c r="S222" s="61"/>
      <c r="T222" s="46"/>
      <c r="U222" s="9"/>
      <c r="V222" s="46"/>
      <c r="W222" s="350"/>
      <c r="X222" s="9"/>
      <c r="Y222" s="49"/>
      <c r="Z222" s="350"/>
      <c r="AA222" s="9"/>
      <c r="AB222" s="49"/>
      <c r="AC222" s="46"/>
      <c r="AD222" s="9"/>
      <c r="AE222" s="46"/>
      <c r="AF222" s="350"/>
      <c r="AG222" s="9"/>
      <c r="AH222" s="49"/>
      <c r="AI222" s="46"/>
      <c r="AJ222" s="9"/>
      <c r="AK222" s="61"/>
      <c r="AL222" s="46"/>
      <c r="AM222" s="9"/>
      <c r="AN222" s="61"/>
      <c r="AS222" s="265"/>
      <c r="AT222" s="265"/>
      <c r="AU222" s="265"/>
    </row>
    <row r="223" spans="1:47" x14ac:dyDescent="0.2">
      <c r="A223" s="1318"/>
      <c r="B223" s="89"/>
      <c r="C223" s="97"/>
      <c r="D223" s="76"/>
      <c r="E223" s="89"/>
      <c r="F223" s="9"/>
      <c r="G223" s="76"/>
      <c r="H223" s="133"/>
      <c r="I223" s="9"/>
      <c r="J223" s="76"/>
      <c r="K223" s="133"/>
      <c r="L223" s="9"/>
      <c r="M223" s="76"/>
      <c r="N223" s="89"/>
      <c r="O223" s="9"/>
      <c r="P223" s="49"/>
      <c r="Q223" s="46"/>
      <c r="R223" s="9"/>
      <c r="S223" s="61"/>
      <c r="T223" s="46"/>
      <c r="U223" s="9"/>
      <c r="V223" s="46"/>
      <c r="W223" s="350"/>
      <c r="X223" s="9"/>
      <c r="Y223" s="49"/>
      <c r="Z223" s="350"/>
      <c r="AA223" s="9"/>
      <c r="AB223" s="49"/>
      <c r="AC223" s="46"/>
      <c r="AD223" s="9"/>
      <c r="AE223" s="46"/>
      <c r="AF223" s="350"/>
      <c r="AG223" s="9"/>
      <c r="AH223" s="49"/>
      <c r="AI223" s="46"/>
      <c r="AJ223" s="9"/>
      <c r="AK223" s="61"/>
      <c r="AL223" s="46"/>
      <c r="AM223" s="9"/>
      <c r="AN223" s="61"/>
      <c r="AS223" s="265">
        <f t="shared" si="215"/>
        <v>0</v>
      </c>
      <c r="AT223" s="265">
        <f t="shared" si="216"/>
        <v>0</v>
      </c>
      <c r="AU223" s="265">
        <f t="shared" si="217"/>
        <v>0</v>
      </c>
    </row>
    <row r="224" spans="1:47" x14ac:dyDescent="0.2">
      <c r="A224" s="1319" t="s">
        <v>163</v>
      </c>
      <c r="B224" s="89"/>
      <c r="C224" s="97"/>
      <c r="D224" s="76"/>
      <c r="E224" s="89"/>
      <c r="F224" s="9"/>
      <c r="G224" s="76"/>
      <c r="H224" s="133"/>
      <c r="I224" s="9"/>
      <c r="J224" s="76"/>
      <c r="K224" s="133"/>
      <c r="L224" s="9"/>
      <c r="M224" s="76"/>
      <c r="N224" s="89"/>
      <c r="O224" s="9"/>
      <c r="P224" s="49"/>
      <c r="Q224" s="46"/>
      <c r="R224" s="9"/>
      <c r="S224" s="61"/>
      <c r="T224" s="46"/>
      <c r="U224" s="9"/>
      <c r="V224" s="46"/>
      <c r="W224" s="350"/>
      <c r="X224" s="9"/>
      <c r="Y224" s="49"/>
      <c r="Z224" s="350"/>
      <c r="AA224" s="9"/>
      <c r="AB224" s="49"/>
      <c r="AC224" s="46"/>
      <c r="AD224" s="9"/>
      <c r="AE224" s="46"/>
      <c r="AF224" s="350"/>
      <c r="AG224" s="9"/>
      <c r="AH224" s="49"/>
      <c r="AI224" s="46"/>
      <c r="AJ224" s="9"/>
      <c r="AK224" s="61"/>
      <c r="AL224" s="46"/>
      <c r="AM224" s="9"/>
      <c r="AN224" s="61"/>
      <c r="AS224" s="265">
        <f t="shared" si="215"/>
        <v>0</v>
      </c>
      <c r="AT224" s="265">
        <f t="shared" si="216"/>
        <v>0</v>
      </c>
      <c r="AU224" s="265">
        <f t="shared" si="217"/>
        <v>0</v>
      </c>
    </row>
    <row r="225" spans="1:47" x14ac:dyDescent="0.2">
      <c r="A225" s="1317" t="s">
        <v>2251</v>
      </c>
      <c r="B225" s="89">
        <v>158900</v>
      </c>
      <c r="C225" s="97">
        <v>178000</v>
      </c>
      <c r="D225" s="76">
        <f t="shared" si="202"/>
        <v>-19100</v>
      </c>
      <c r="E225" s="89">
        <v>89600</v>
      </c>
      <c r="F225" s="9">
        <v>146600</v>
      </c>
      <c r="G225" s="76">
        <f t="shared" si="183"/>
        <v>-57000</v>
      </c>
      <c r="H225" s="133"/>
      <c r="I225" s="9">
        <f>900+11400+89600</f>
        <v>101900</v>
      </c>
      <c r="J225" s="76">
        <f>H225-I225</f>
        <v>-101900</v>
      </c>
      <c r="K225" s="133"/>
      <c r="L225" s="9"/>
      <c r="M225" s="76"/>
      <c r="N225" s="89"/>
      <c r="O225" s="9"/>
      <c r="P225" s="49"/>
      <c r="Q225" s="46"/>
      <c r="R225" s="9"/>
      <c r="S225" s="61"/>
      <c r="T225" s="46"/>
      <c r="U225" s="9"/>
      <c r="V225" s="46"/>
      <c r="W225" s="350"/>
      <c r="X225" s="9"/>
      <c r="Y225" s="49"/>
      <c r="Z225" s="350"/>
      <c r="AA225" s="9"/>
      <c r="AB225" s="49"/>
      <c r="AC225" s="46"/>
      <c r="AD225" s="9"/>
      <c r="AE225" s="46"/>
      <c r="AF225" s="350"/>
      <c r="AG225" s="9"/>
      <c r="AH225" s="49"/>
      <c r="AI225" s="46"/>
      <c r="AJ225" s="9"/>
      <c r="AK225" s="61"/>
      <c r="AL225" s="46"/>
      <c r="AM225" s="9"/>
      <c r="AN225" s="61"/>
      <c r="AS225" s="265">
        <f t="shared" si="215"/>
        <v>0</v>
      </c>
      <c r="AT225" s="265">
        <f t="shared" si="216"/>
        <v>0</v>
      </c>
      <c r="AU225" s="265">
        <f t="shared" si="217"/>
        <v>0</v>
      </c>
    </row>
    <row r="226" spans="1:47" x14ac:dyDescent="0.2">
      <c r="A226" s="1317" t="s">
        <v>11959</v>
      </c>
      <c r="B226" s="89"/>
      <c r="C226" s="97"/>
      <c r="D226" s="76"/>
      <c r="E226" s="89">
        <v>30000</v>
      </c>
      <c r="F226" s="9"/>
      <c r="G226" s="76">
        <f t="shared" si="183"/>
        <v>30000</v>
      </c>
      <c r="H226" s="133"/>
      <c r="I226" s="9"/>
      <c r="J226" s="76"/>
      <c r="K226" s="133"/>
      <c r="L226" s="9"/>
      <c r="M226" s="76"/>
      <c r="N226" s="89"/>
      <c r="O226" s="9"/>
      <c r="P226" s="49"/>
      <c r="Q226" s="46"/>
      <c r="R226" s="9"/>
      <c r="S226" s="61"/>
      <c r="T226" s="46"/>
      <c r="U226" s="9"/>
      <c r="V226" s="46"/>
      <c r="W226" s="350"/>
      <c r="X226" s="9"/>
      <c r="Y226" s="49"/>
      <c r="Z226" s="350"/>
      <c r="AA226" s="9"/>
      <c r="AB226" s="49"/>
      <c r="AC226" s="46"/>
      <c r="AD226" s="9"/>
      <c r="AE226" s="46"/>
      <c r="AF226" s="350"/>
      <c r="AG226" s="9"/>
      <c r="AH226" s="49"/>
      <c r="AI226" s="46"/>
      <c r="AJ226" s="9"/>
      <c r="AK226" s="61"/>
      <c r="AL226" s="46"/>
      <c r="AM226" s="9"/>
      <c r="AN226" s="61"/>
      <c r="AS226" s="265"/>
      <c r="AT226" s="265"/>
      <c r="AU226" s="265"/>
    </row>
    <row r="227" spans="1:47" x14ac:dyDescent="0.2">
      <c r="A227" s="1318"/>
      <c r="B227" s="89"/>
      <c r="C227" s="97"/>
      <c r="D227" s="76"/>
      <c r="E227" s="89"/>
      <c r="F227" s="9"/>
      <c r="G227" s="76"/>
      <c r="H227" s="133"/>
      <c r="I227" s="9"/>
      <c r="J227" s="76"/>
      <c r="K227" s="133"/>
      <c r="L227" s="9"/>
      <c r="M227" s="76"/>
      <c r="N227" s="89"/>
      <c r="O227" s="9"/>
      <c r="P227" s="49"/>
      <c r="Q227" s="46"/>
      <c r="R227" s="9"/>
      <c r="S227" s="61"/>
      <c r="T227" s="46"/>
      <c r="U227" s="9"/>
      <c r="V227" s="46"/>
      <c r="W227" s="350"/>
      <c r="X227" s="9"/>
      <c r="Y227" s="49"/>
      <c r="Z227" s="350"/>
      <c r="AA227" s="9"/>
      <c r="AB227" s="49"/>
      <c r="AC227" s="46"/>
      <c r="AD227" s="9"/>
      <c r="AE227" s="46"/>
      <c r="AF227" s="350"/>
      <c r="AG227" s="9"/>
      <c r="AH227" s="49"/>
      <c r="AI227" s="46"/>
      <c r="AJ227" s="9"/>
      <c r="AK227" s="61"/>
      <c r="AL227" s="46"/>
      <c r="AM227" s="9"/>
      <c r="AN227" s="61"/>
      <c r="AS227" s="265">
        <f t="shared" si="215"/>
        <v>0</v>
      </c>
      <c r="AT227" s="265">
        <f t="shared" si="216"/>
        <v>0</v>
      </c>
      <c r="AU227" s="265">
        <f t="shared" si="217"/>
        <v>0</v>
      </c>
    </row>
    <row r="228" spans="1:47" x14ac:dyDescent="0.2">
      <c r="A228" s="1319" t="s">
        <v>3609</v>
      </c>
      <c r="B228" s="89"/>
      <c r="C228" s="97"/>
      <c r="D228" s="76"/>
      <c r="E228" s="89"/>
      <c r="F228" s="9"/>
      <c r="G228" s="76"/>
      <c r="H228" s="133"/>
      <c r="I228" s="9"/>
      <c r="J228" s="76"/>
      <c r="K228" s="133"/>
      <c r="L228" s="9"/>
      <c r="M228" s="76"/>
      <c r="N228" s="89"/>
      <c r="O228" s="9"/>
      <c r="P228" s="49"/>
      <c r="Q228" s="46"/>
      <c r="R228" s="9"/>
      <c r="S228" s="61"/>
      <c r="T228" s="46"/>
      <c r="U228" s="9"/>
      <c r="V228" s="46"/>
      <c r="W228" s="350"/>
      <c r="X228" s="9"/>
      <c r="Y228" s="49"/>
      <c r="Z228" s="350"/>
      <c r="AA228" s="9"/>
      <c r="AB228" s="49"/>
      <c r="AC228" s="46"/>
      <c r="AD228" s="9"/>
      <c r="AE228" s="46"/>
      <c r="AF228" s="350"/>
      <c r="AG228" s="9"/>
      <c r="AH228" s="49"/>
      <c r="AI228" s="46"/>
      <c r="AJ228" s="9"/>
      <c r="AK228" s="61"/>
      <c r="AL228" s="46"/>
      <c r="AM228" s="9"/>
      <c r="AN228" s="61"/>
      <c r="AS228" s="265">
        <f t="shared" si="215"/>
        <v>0</v>
      </c>
      <c r="AT228" s="265">
        <f t="shared" si="216"/>
        <v>0</v>
      </c>
      <c r="AU228" s="265">
        <f t="shared" si="217"/>
        <v>0</v>
      </c>
    </row>
    <row r="229" spans="1:47" x14ac:dyDescent="0.2">
      <c r="A229" s="1317" t="s">
        <v>4789</v>
      </c>
      <c r="B229" s="89"/>
      <c r="C229" s="97"/>
      <c r="D229" s="76"/>
      <c r="E229" s="89"/>
      <c r="F229" s="9"/>
      <c r="G229" s="76">
        <f t="shared" si="183"/>
        <v>0</v>
      </c>
      <c r="H229" s="133"/>
      <c r="I229" s="9"/>
      <c r="J229" s="76"/>
      <c r="K229" s="133"/>
      <c r="L229" s="9"/>
      <c r="M229" s="76"/>
      <c r="N229" s="89"/>
      <c r="O229" s="9"/>
      <c r="P229" s="49"/>
      <c r="Q229" s="46"/>
      <c r="R229" s="9"/>
      <c r="S229" s="61"/>
      <c r="T229" s="46"/>
      <c r="U229" s="9"/>
      <c r="V229" s="46"/>
      <c r="W229" s="350"/>
      <c r="X229" s="9"/>
      <c r="Y229" s="49"/>
      <c r="Z229" s="350"/>
      <c r="AA229" s="9"/>
      <c r="AB229" s="49"/>
      <c r="AC229" s="46"/>
      <c r="AD229" s="9"/>
      <c r="AE229" s="46"/>
      <c r="AF229" s="350"/>
      <c r="AG229" s="9"/>
      <c r="AH229" s="49"/>
      <c r="AI229" s="46"/>
      <c r="AJ229" s="9"/>
      <c r="AK229" s="61"/>
      <c r="AL229" s="46"/>
      <c r="AM229" s="9"/>
      <c r="AN229" s="61"/>
      <c r="AS229" s="265">
        <f t="shared" si="215"/>
        <v>0</v>
      </c>
      <c r="AT229" s="265">
        <f t="shared" si="216"/>
        <v>0</v>
      </c>
      <c r="AU229" s="265">
        <f t="shared" si="217"/>
        <v>0</v>
      </c>
    </row>
    <row r="230" spans="1:47" x14ac:dyDescent="0.2">
      <c r="A230" s="1317" t="s">
        <v>4925</v>
      </c>
      <c r="B230" s="89"/>
      <c r="C230" s="97"/>
      <c r="D230" s="76"/>
      <c r="E230" s="89"/>
      <c r="F230" s="9">
        <v>25000</v>
      </c>
      <c r="G230" s="76">
        <f t="shared" si="183"/>
        <v>-25000</v>
      </c>
      <c r="H230" s="133"/>
      <c r="I230" s="9"/>
      <c r="J230" s="76"/>
      <c r="K230" s="133"/>
      <c r="L230" s="9"/>
      <c r="M230" s="76"/>
      <c r="N230" s="89"/>
      <c r="O230" s="9"/>
      <c r="P230" s="49"/>
      <c r="Q230" s="46"/>
      <c r="R230" s="9"/>
      <c r="S230" s="61"/>
      <c r="T230" s="46"/>
      <c r="U230" s="9"/>
      <c r="V230" s="46"/>
      <c r="W230" s="350"/>
      <c r="X230" s="9"/>
      <c r="Y230" s="49"/>
      <c r="Z230" s="350"/>
      <c r="AA230" s="9"/>
      <c r="AB230" s="49"/>
      <c r="AC230" s="46"/>
      <c r="AD230" s="9"/>
      <c r="AE230" s="46"/>
      <c r="AF230" s="350"/>
      <c r="AG230" s="9"/>
      <c r="AH230" s="49"/>
      <c r="AI230" s="46"/>
      <c r="AJ230" s="9"/>
      <c r="AK230" s="61"/>
      <c r="AL230" s="46"/>
      <c r="AM230" s="9"/>
      <c r="AN230" s="61"/>
      <c r="AS230" s="265">
        <f t="shared" si="215"/>
        <v>0</v>
      </c>
      <c r="AT230" s="265">
        <f t="shared" si="216"/>
        <v>0</v>
      </c>
      <c r="AU230" s="265">
        <f t="shared" si="217"/>
        <v>0</v>
      </c>
    </row>
    <row r="231" spans="1:47" x14ac:dyDescent="0.2">
      <c r="A231" s="1317" t="s">
        <v>6992</v>
      </c>
      <c r="B231" s="89"/>
      <c r="C231" s="99"/>
      <c r="D231" s="76"/>
      <c r="E231" s="89">
        <v>120000</v>
      </c>
      <c r="F231" s="9">
        <v>120000</v>
      </c>
      <c r="G231" s="76">
        <f t="shared" si="183"/>
        <v>0</v>
      </c>
      <c r="H231" s="133"/>
      <c r="I231" s="9"/>
      <c r="J231" s="76"/>
      <c r="K231" s="133"/>
      <c r="L231" s="9"/>
      <c r="M231" s="76"/>
      <c r="N231" s="89"/>
      <c r="O231" s="9"/>
      <c r="P231" s="49"/>
      <c r="Q231" s="46"/>
      <c r="R231" s="9"/>
      <c r="S231" s="61"/>
      <c r="T231" s="46"/>
      <c r="U231" s="9"/>
      <c r="V231" s="46"/>
      <c r="W231" s="350"/>
      <c r="X231" s="9"/>
      <c r="Y231" s="49"/>
      <c r="Z231" s="350"/>
      <c r="AA231" s="9"/>
      <c r="AB231" s="49"/>
      <c r="AC231" s="46"/>
      <c r="AD231" s="9"/>
      <c r="AE231" s="46"/>
      <c r="AF231" s="350"/>
      <c r="AG231" s="9"/>
      <c r="AH231" s="49"/>
      <c r="AI231" s="46"/>
      <c r="AJ231" s="9"/>
      <c r="AK231" s="61"/>
      <c r="AL231" s="46"/>
      <c r="AM231" s="9"/>
      <c r="AN231" s="61"/>
      <c r="AS231" s="265">
        <f t="shared" si="215"/>
        <v>0</v>
      </c>
      <c r="AT231" s="265">
        <f t="shared" si="216"/>
        <v>0</v>
      </c>
      <c r="AU231" s="265">
        <f t="shared" si="217"/>
        <v>0</v>
      </c>
    </row>
    <row r="232" spans="1:47" x14ac:dyDescent="0.2">
      <c r="A232" s="1317" t="s">
        <v>3062</v>
      </c>
      <c r="B232" s="89"/>
      <c r="C232" s="99"/>
      <c r="D232" s="76"/>
      <c r="E232" s="89">
        <v>50000</v>
      </c>
      <c r="F232" s="9">
        <v>100000</v>
      </c>
      <c r="G232" s="76">
        <f t="shared" si="183"/>
        <v>-50000</v>
      </c>
      <c r="H232" s="133"/>
      <c r="I232" s="9"/>
      <c r="J232" s="76">
        <f t="shared" ref="J232:J234" si="219">H232-I232</f>
        <v>0</v>
      </c>
      <c r="K232" s="133"/>
      <c r="L232" s="9"/>
      <c r="M232" s="76"/>
      <c r="N232" s="89"/>
      <c r="O232" s="9"/>
      <c r="P232" s="49"/>
      <c r="Q232" s="46"/>
      <c r="R232" s="9"/>
      <c r="S232" s="61"/>
      <c r="T232" s="46"/>
      <c r="U232" s="9"/>
      <c r="V232" s="46"/>
      <c r="W232" s="350"/>
      <c r="X232" s="9"/>
      <c r="Y232" s="49"/>
      <c r="Z232" s="350"/>
      <c r="AA232" s="9"/>
      <c r="AB232" s="49"/>
      <c r="AC232" s="46"/>
      <c r="AD232" s="9"/>
      <c r="AE232" s="46"/>
      <c r="AF232" s="350"/>
      <c r="AG232" s="9"/>
      <c r="AH232" s="49"/>
      <c r="AI232" s="46"/>
      <c r="AJ232" s="9"/>
      <c r="AK232" s="61"/>
      <c r="AL232" s="46"/>
      <c r="AM232" s="9"/>
      <c r="AN232" s="61"/>
      <c r="AS232" s="265">
        <f t="shared" si="215"/>
        <v>0</v>
      </c>
      <c r="AT232" s="265">
        <f t="shared" si="216"/>
        <v>0</v>
      </c>
      <c r="AU232" s="265">
        <f t="shared" si="217"/>
        <v>0</v>
      </c>
    </row>
    <row r="233" spans="1:47" x14ac:dyDescent="0.2">
      <c r="A233" s="1317" t="s">
        <v>6619</v>
      </c>
      <c r="B233" s="133"/>
      <c r="C233" s="99">
        <v>1347000</v>
      </c>
      <c r="D233" s="76">
        <f t="shared" si="202"/>
        <v>-1347000</v>
      </c>
      <c r="E233" s="89"/>
      <c r="F233" s="9">
        <v>1309100</v>
      </c>
      <c r="G233" s="76">
        <f t="shared" si="183"/>
        <v>-1309100</v>
      </c>
      <c r="H233" s="133"/>
      <c r="I233" s="9"/>
      <c r="J233" s="76"/>
      <c r="K233" s="133"/>
      <c r="L233" s="9"/>
      <c r="M233" s="76"/>
      <c r="N233" s="89"/>
      <c r="O233" s="9"/>
      <c r="P233" s="49"/>
      <c r="Q233" s="46"/>
      <c r="R233" s="9"/>
      <c r="S233" s="61"/>
      <c r="T233" s="46"/>
      <c r="U233" s="9"/>
      <c r="V233" s="46"/>
      <c r="W233" s="350"/>
      <c r="X233" s="9"/>
      <c r="Y233" s="49"/>
      <c r="Z233" s="350"/>
      <c r="AA233" s="9"/>
      <c r="AB233" s="49"/>
      <c r="AC233" s="46"/>
      <c r="AD233" s="9"/>
      <c r="AE233" s="46"/>
      <c r="AF233" s="350"/>
      <c r="AG233" s="9"/>
      <c r="AH233" s="49"/>
      <c r="AI233" s="46"/>
      <c r="AJ233" s="9"/>
      <c r="AK233" s="61"/>
      <c r="AL233" s="46"/>
      <c r="AM233" s="9"/>
      <c r="AN233" s="61"/>
      <c r="AS233" s="265">
        <f t="shared" si="215"/>
        <v>0</v>
      </c>
      <c r="AT233" s="265">
        <f t="shared" si="216"/>
        <v>0</v>
      </c>
      <c r="AU233" s="265">
        <f t="shared" si="217"/>
        <v>0</v>
      </c>
    </row>
    <row r="234" spans="1:47" x14ac:dyDescent="0.2">
      <c r="A234" s="1317" t="s">
        <v>6620</v>
      </c>
      <c r="B234" s="89">
        <v>1412700</v>
      </c>
      <c r="C234" s="99">
        <v>2375200</v>
      </c>
      <c r="D234" s="76">
        <f t="shared" si="202"/>
        <v>-962500</v>
      </c>
      <c r="E234" s="89">
        <v>310600</v>
      </c>
      <c r="F234" s="9">
        <f>1391100+45000</f>
        <v>1436100</v>
      </c>
      <c r="G234" s="76">
        <f t="shared" si="183"/>
        <v>-1125500</v>
      </c>
      <c r="H234" s="133"/>
      <c r="I234" s="9">
        <f>+'Cap-Gen'!AE193+'Cap-Gen'!AE196</f>
        <v>309000</v>
      </c>
      <c r="J234" s="76">
        <f t="shared" si="219"/>
        <v>-309000</v>
      </c>
      <c r="K234" s="133"/>
      <c r="L234" s="9"/>
      <c r="M234" s="76"/>
      <c r="N234" s="89"/>
      <c r="O234" s="9"/>
      <c r="P234" s="49"/>
      <c r="Q234" s="46"/>
      <c r="R234" s="9"/>
      <c r="S234" s="61"/>
      <c r="T234" s="46"/>
      <c r="U234" s="9"/>
      <c r="V234" s="46"/>
      <c r="W234" s="350"/>
      <c r="X234" s="9"/>
      <c r="Y234" s="49"/>
      <c r="Z234" s="350"/>
      <c r="AA234" s="9"/>
      <c r="AB234" s="49"/>
      <c r="AC234" s="46"/>
      <c r="AD234" s="9"/>
      <c r="AE234" s="46"/>
      <c r="AF234" s="350"/>
      <c r="AG234" s="9"/>
      <c r="AH234" s="49"/>
      <c r="AI234" s="46"/>
      <c r="AJ234" s="9"/>
      <c r="AK234" s="61"/>
      <c r="AL234" s="46"/>
      <c r="AM234" s="9"/>
      <c r="AN234" s="61"/>
      <c r="AS234" s="265">
        <f t="shared" si="215"/>
        <v>0</v>
      </c>
      <c r="AT234" s="265">
        <f t="shared" si="216"/>
        <v>0</v>
      </c>
      <c r="AU234" s="265">
        <f t="shared" si="217"/>
        <v>0</v>
      </c>
    </row>
    <row r="235" spans="1:47" x14ac:dyDescent="0.2">
      <c r="A235" s="1317" t="s">
        <v>6522</v>
      </c>
      <c r="B235" s="89">
        <f>C74</f>
        <v>625500</v>
      </c>
      <c r="C235" s="99"/>
      <c r="D235" s="76">
        <f t="shared" si="202"/>
        <v>625500</v>
      </c>
      <c r="E235" s="89">
        <v>159300</v>
      </c>
      <c r="F235" s="9">
        <v>625500</v>
      </c>
      <c r="G235" s="76">
        <f t="shared" si="183"/>
        <v>-466200</v>
      </c>
      <c r="H235" s="133"/>
      <c r="I235" s="9"/>
      <c r="J235" s="76"/>
      <c r="K235" s="133"/>
      <c r="L235" s="9"/>
      <c r="M235" s="76"/>
      <c r="N235" s="89"/>
      <c r="O235" s="9"/>
      <c r="P235" s="49"/>
      <c r="Q235" s="46"/>
      <c r="R235" s="9"/>
      <c r="S235" s="61"/>
      <c r="T235" s="46"/>
      <c r="U235" s="9"/>
      <c r="V235" s="46"/>
      <c r="W235" s="350"/>
      <c r="X235" s="9"/>
      <c r="Y235" s="49"/>
      <c r="Z235" s="350"/>
      <c r="AA235" s="9"/>
      <c r="AB235" s="49"/>
      <c r="AC235" s="46"/>
      <c r="AD235" s="9"/>
      <c r="AE235" s="46"/>
      <c r="AF235" s="350"/>
      <c r="AG235" s="9"/>
      <c r="AH235" s="49"/>
      <c r="AI235" s="46"/>
      <c r="AJ235" s="9"/>
      <c r="AK235" s="61"/>
      <c r="AL235" s="46"/>
      <c r="AM235" s="9"/>
      <c r="AN235" s="61"/>
      <c r="AS235" s="265">
        <f t="shared" si="215"/>
        <v>0</v>
      </c>
      <c r="AT235" s="265">
        <f t="shared" si="216"/>
        <v>0</v>
      </c>
      <c r="AU235" s="265">
        <f t="shared" si="217"/>
        <v>0</v>
      </c>
    </row>
    <row r="236" spans="1:47" x14ac:dyDescent="0.2">
      <c r="A236" s="1317" t="s">
        <v>5037</v>
      </c>
      <c r="B236" s="89">
        <v>6500</v>
      </c>
      <c r="C236" s="99"/>
      <c r="D236" s="76">
        <f t="shared" ref="D236" si="220">B236-C236</f>
        <v>6500</v>
      </c>
      <c r="E236" s="89">
        <v>6700</v>
      </c>
      <c r="F236" s="9"/>
      <c r="G236" s="76">
        <f t="shared" ref="G236" si="221">E236-F236</f>
        <v>6700</v>
      </c>
      <c r="H236" s="133">
        <f>SP!H454</f>
        <v>6900</v>
      </c>
      <c r="I236" s="9">
        <f t="shared" ref="I236" si="222">F236</f>
        <v>0</v>
      </c>
      <c r="J236" s="76">
        <f t="shared" ref="J236" si="223">H236-I236</f>
        <v>6900</v>
      </c>
      <c r="K236" s="133">
        <f>SP!J454</f>
        <v>7000</v>
      </c>
      <c r="L236" s="9">
        <f t="shared" ref="L236" si="224">I236</f>
        <v>0</v>
      </c>
      <c r="M236" s="76">
        <f t="shared" ref="M236" si="225">K236-L236</f>
        <v>7000</v>
      </c>
      <c r="N236" s="89">
        <f>SP!K454</f>
        <v>7200</v>
      </c>
      <c r="O236" s="9">
        <f t="shared" ref="O236" si="226">L236</f>
        <v>0</v>
      </c>
      <c r="P236" s="49">
        <f t="shared" ref="P236" si="227">N236-O236</f>
        <v>7200</v>
      </c>
      <c r="Q236" s="46">
        <f>SP!L454</f>
        <v>7400</v>
      </c>
      <c r="R236" s="9">
        <f t="shared" ref="R236" si="228">O236</f>
        <v>0</v>
      </c>
      <c r="S236" s="61">
        <f t="shared" ref="S236" si="229">Q236-R236</f>
        <v>7400</v>
      </c>
      <c r="T236" s="46">
        <f>SP!M454</f>
        <v>7600</v>
      </c>
      <c r="U236" s="9">
        <f>R236</f>
        <v>0</v>
      </c>
      <c r="V236" s="46">
        <f t="shared" ref="V236" si="230">T236-U236</f>
        <v>7600</v>
      </c>
      <c r="W236" s="350">
        <f>SP!N454</f>
        <v>7800</v>
      </c>
      <c r="X236" s="9">
        <f t="shared" ref="X236" si="231">U236</f>
        <v>0</v>
      </c>
      <c r="Y236" s="49">
        <f t="shared" ref="Y236" si="232">W236-X236</f>
        <v>7800</v>
      </c>
      <c r="Z236" s="350">
        <f>SP!O454</f>
        <v>8000</v>
      </c>
      <c r="AA236" s="9">
        <f t="shared" ref="AA236" si="233">X236</f>
        <v>0</v>
      </c>
      <c r="AB236" s="49">
        <f t="shared" ref="AB236" si="234">Z236-AA236</f>
        <v>8000</v>
      </c>
      <c r="AC236" s="46">
        <f>SP!P454</f>
        <v>8200</v>
      </c>
      <c r="AD236" s="9">
        <f t="shared" ref="AD236" si="235">AA236</f>
        <v>0</v>
      </c>
      <c r="AE236" s="46">
        <f t="shared" ref="AE236" si="236">AC236-AD236</f>
        <v>8200</v>
      </c>
      <c r="AF236" s="350">
        <f>SP!Q454</f>
        <v>8500</v>
      </c>
      <c r="AG236" s="9">
        <f>AD236</f>
        <v>0</v>
      </c>
      <c r="AH236" s="49">
        <f t="shared" ref="AH236" si="237">AF236-AG236</f>
        <v>8500</v>
      </c>
      <c r="AI236" s="46">
        <f>SP!R454</f>
        <v>8800</v>
      </c>
      <c r="AJ236" s="9">
        <f>AG236</f>
        <v>0</v>
      </c>
      <c r="AK236" s="61">
        <f t="shared" ref="AK236" si="238">AI236-AJ236</f>
        <v>8800</v>
      </c>
      <c r="AL236" s="46">
        <f>SP!S454</f>
        <v>9100</v>
      </c>
      <c r="AM236" s="9">
        <f>AJ236</f>
        <v>0</v>
      </c>
      <c r="AN236" s="61">
        <f t="shared" ref="AN236" si="239">AL236-AM236</f>
        <v>9100</v>
      </c>
      <c r="AP236" s="34">
        <v>9000</v>
      </c>
      <c r="AQ236" s="34">
        <v>0</v>
      </c>
      <c r="AR236" s="34">
        <v>9000</v>
      </c>
      <c r="AS236" s="265">
        <f t="shared" si="215"/>
        <v>-200</v>
      </c>
      <c r="AT236" s="265">
        <f t="shared" si="216"/>
        <v>0</v>
      </c>
      <c r="AU236" s="265">
        <f t="shared" si="217"/>
        <v>-200</v>
      </c>
    </row>
    <row r="237" spans="1:47" x14ac:dyDescent="0.2">
      <c r="A237" s="1317"/>
      <c r="B237" s="89"/>
      <c r="C237" s="99"/>
      <c r="D237" s="76"/>
      <c r="E237" s="89"/>
      <c r="F237" s="9"/>
      <c r="G237" s="76"/>
      <c r="H237" s="133"/>
      <c r="I237" s="9"/>
      <c r="J237" s="76"/>
      <c r="K237" s="133"/>
      <c r="L237" s="9"/>
      <c r="M237" s="76"/>
      <c r="N237" s="89"/>
      <c r="O237" s="9"/>
      <c r="P237" s="49"/>
      <c r="Q237" s="46"/>
      <c r="R237" s="9"/>
      <c r="S237" s="61"/>
      <c r="T237" s="46"/>
      <c r="U237" s="9"/>
      <c r="V237" s="46"/>
      <c r="W237" s="350"/>
      <c r="X237" s="9"/>
      <c r="Y237" s="49"/>
      <c r="Z237" s="350"/>
      <c r="AA237" s="9"/>
      <c r="AB237" s="49"/>
      <c r="AC237" s="46"/>
      <c r="AD237" s="9"/>
      <c r="AE237" s="46"/>
      <c r="AF237" s="350"/>
      <c r="AG237" s="9"/>
      <c r="AH237" s="49"/>
      <c r="AI237" s="46"/>
      <c r="AJ237" s="9"/>
      <c r="AK237" s="61"/>
      <c r="AL237" s="46"/>
      <c r="AM237" s="9"/>
      <c r="AN237" s="61"/>
      <c r="AS237" s="265">
        <f t="shared" si="215"/>
        <v>0</v>
      </c>
      <c r="AT237" s="265">
        <f t="shared" si="216"/>
        <v>0</v>
      </c>
      <c r="AU237" s="265">
        <f t="shared" si="217"/>
        <v>0</v>
      </c>
    </row>
    <row r="238" spans="1:47" x14ac:dyDescent="0.2">
      <c r="A238" s="1319" t="s">
        <v>1215</v>
      </c>
      <c r="B238" s="89"/>
      <c r="C238" s="99"/>
      <c r="D238" s="76"/>
      <c r="E238" s="89"/>
      <c r="F238" s="9"/>
      <c r="G238" s="76"/>
      <c r="H238" s="133"/>
      <c r="I238" s="9"/>
      <c r="J238" s="76"/>
      <c r="K238" s="133"/>
      <c r="L238" s="9"/>
      <c r="M238" s="76"/>
      <c r="N238" s="89"/>
      <c r="O238" s="9"/>
      <c r="P238" s="49"/>
      <c r="Q238" s="46"/>
      <c r="R238" s="9"/>
      <c r="S238" s="61"/>
      <c r="T238" s="46"/>
      <c r="U238" s="9"/>
      <c r="V238" s="46"/>
      <c r="W238" s="350"/>
      <c r="X238" s="9"/>
      <c r="Y238" s="49"/>
      <c r="Z238" s="350"/>
      <c r="AA238" s="9"/>
      <c r="AB238" s="49"/>
      <c r="AC238" s="46"/>
      <c r="AD238" s="9"/>
      <c r="AE238" s="46"/>
      <c r="AF238" s="350"/>
      <c r="AG238" s="9"/>
      <c r="AH238" s="49"/>
      <c r="AI238" s="46"/>
      <c r="AJ238" s="9"/>
      <c r="AK238" s="61"/>
      <c r="AL238" s="46"/>
      <c r="AM238" s="9"/>
      <c r="AN238" s="61"/>
      <c r="AS238" s="265">
        <f t="shared" si="215"/>
        <v>0</v>
      </c>
      <c r="AT238" s="265">
        <f t="shared" si="216"/>
        <v>0</v>
      </c>
      <c r="AU238" s="265">
        <f t="shared" si="217"/>
        <v>0</v>
      </c>
    </row>
    <row r="239" spans="1:47" x14ac:dyDescent="0.2">
      <c r="A239" s="1317" t="s">
        <v>2439</v>
      </c>
      <c r="B239" s="89">
        <v>109100</v>
      </c>
      <c r="C239" s="97">
        <v>50000</v>
      </c>
      <c r="D239" s="76">
        <f>B239-C239</f>
        <v>59100</v>
      </c>
      <c r="E239" s="89">
        <v>134100</v>
      </c>
      <c r="F239" s="9">
        <v>50000</v>
      </c>
      <c r="G239" s="76">
        <f>E239-F239</f>
        <v>84100</v>
      </c>
      <c r="H239" s="133">
        <f>IF(CIV!H1510-CIV!H1515&gt;0,CIV!H1510-CIV!H1515,0)-500</f>
        <v>115000</v>
      </c>
      <c r="I239" s="9">
        <f>F239+'Cap-Gen'!G201</f>
        <v>140000</v>
      </c>
      <c r="J239" s="76">
        <f>H239-I239</f>
        <v>-25000</v>
      </c>
      <c r="K239" s="133">
        <f>IF(CIV!J1510-CIV!J1515&gt;0,CIV!J1510-CIV!J1515,0)</f>
        <v>117900</v>
      </c>
      <c r="L239" s="9">
        <f>I239-'Cap-Gen'!G201</f>
        <v>50000</v>
      </c>
      <c r="M239" s="76">
        <f>K239-L239</f>
        <v>67900</v>
      </c>
      <c r="N239" s="89">
        <f>IF(CIV!K1510-CIV!K1515&gt;0,CIV!K1510-CIV!K1515,0)</f>
        <v>120500</v>
      </c>
      <c r="O239" s="9">
        <f>L239</f>
        <v>50000</v>
      </c>
      <c r="P239" s="49">
        <f>N239-O239</f>
        <v>70500</v>
      </c>
      <c r="Q239" s="46">
        <f>IF(CIV!L1510-CIV!L1515&gt;0,CIV!L1510-CIV!L1515,0)</f>
        <v>123200</v>
      </c>
      <c r="R239" s="9">
        <f>O239</f>
        <v>50000</v>
      </c>
      <c r="S239" s="61">
        <f>Q239-R239</f>
        <v>73200</v>
      </c>
      <c r="T239" s="46">
        <f>IF(CIV!M1510-CIV!M1515&gt;0,CIV!M1510-CIV!M1515,0)</f>
        <v>126000</v>
      </c>
      <c r="U239" s="9">
        <f>R239</f>
        <v>50000</v>
      </c>
      <c r="V239" s="46">
        <f>T239-U239</f>
        <v>76000</v>
      </c>
      <c r="W239" s="350">
        <f>IF(CIV!N1510-CIV!N1515&gt;0,CIV!N1510-CIV!N1515,0)</f>
        <v>128800</v>
      </c>
      <c r="X239" s="9">
        <f>U239</f>
        <v>50000</v>
      </c>
      <c r="Y239" s="49">
        <f>W239-X239</f>
        <v>78800</v>
      </c>
      <c r="Z239" s="350">
        <f>IF(CIV!O1510-CIV!O1515&gt;0,CIV!O1510-CIV!O1515,0)</f>
        <v>131800</v>
      </c>
      <c r="AA239" s="9">
        <f>X239</f>
        <v>50000</v>
      </c>
      <c r="AB239" s="49">
        <f>Z239-AA239</f>
        <v>81800</v>
      </c>
      <c r="AC239" s="46">
        <f>IF(CIV!P1510-CIV!P1515&gt;0,CIV!P1510-CIV!P1515,0)</f>
        <v>134800</v>
      </c>
      <c r="AD239" s="9">
        <f>AA239</f>
        <v>50000</v>
      </c>
      <c r="AE239" s="46">
        <f>AC239-AD239</f>
        <v>84800</v>
      </c>
      <c r="AF239" s="350">
        <f>IF(CIV!Q1510-CIV!Q1515&gt;0,CIV!Q1510-CIV!Q1515,0)</f>
        <v>137900</v>
      </c>
      <c r="AG239" s="9">
        <f>AD239</f>
        <v>50000</v>
      </c>
      <c r="AH239" s="49">
        <f>AF239-AG239</f>
        <v>87900</v>
      </c>
      <c r="AI239" s="46">
        <f>IF(CIV!R1510-CIV!R1515&gt;0,CIV!R1510-CIV!R1515,0)</f>
        <v>141000</v>
      </c>
      <c r="AJ239" s="9">
        <f>AG239</f>
        <v>50000</v>
      </c>
      <c r="AK239" s="61">
        <f>AI239-AJ239</f>
        <v>91000</v>
      </c>
      <c r="AL239" s="46">
        <f>IF(CIV!S1510-CIV!S1515&gt;0,CIV!S1510-CIV!S1515,0)</f>
        <v>144300</v>
      </c>
      <c r="AM239" s="9">
        <f>AJ239</f>
        <v>50000</v>
      </c>
      <c r="AN239" s="61">
        <f>AL239-AM239</f>
        <v>94300</v>
      </c>
      <c r="AP239" s="34">
        <v>140700</v>
      </c>
      <c r="AQ239" s="34">
        <v>50000</v>
      </c>
      <c r="AR239" s="34">
        <v>90700</v>
      </c>
      <c r="AS239" s="265">
        <f t="shared" si="215"/>
        <v>300</v>
      </c>
      <c r="AT239" s="265">
        <f t="shared" si="216"/>
        <v>0</v>
      </c>
      <c r="AU239" s="265">
        <f t="shared" si="217"/>
        <v>300</v>
      </c>
    </row>
    <row r="240" spans="1:47" x14ac:dyDescent="0.2">
      <c r="A240" s="1318"/>
      <c r="B240" s="89"/>
      <c r="C240" s="97"/>
      <c r="D240" s="76"/>
      <c r="E240" s="89"/>
      <c r="F240" s="9"/>
      <c r="G240" s="76"/>
      <c r="H240" s="133"/>
      <c r="I240" s="9"/>
      <c r="J240" s="76"/>
      <c r="K240" s="133"/>
      <c r="L240" s="9"/>
      <c r="M240" s="76"/>
      <c r="N240" s="89"/>
      <c r="O240" s="9"/>
      <c r="P240" s="49"/>
      <c r="Q240" s="46"/>
      <c r="R240" s="9"/>
      <c r="S240" s="61"/>
      <c r="T240" s="46"/>
      <c r="U240" s="9"/>
      <c r="V240" s="46"/>
      <c r="W240" s="350"/>
      <c r="X240" s="9"/>
      <c r="Y240" s="49"/>
      <c r="Z240" s="350"/>
      <c r="AA240" s="9"/>
      <c r="AB240" s="49"/>
      <c r="AC240" s="46"/>
      <c r="AD240" s="9"/>
      <c r="AE240" s="46"/>
      <c r="AF240" s="350"/>
      <c r="AG240" s="9"/>
      <c r="AH240" s="49"/>
      <c r="AI240" s="46"/>
      <c r="AJ240" s="9"/>
      <c r="AK240" s="61"/>
      <c r="AL240" s="46"/>
      <c r="AM240" s="9"/>
      <c r="AN240" s="61"/>
      <c r="AS240" s="265">
        <f t="shared" si="215"/>
        <v>0</v>
      </c>
      <c r="AT240" s="265">
        <f t="shared" si="216"/>
        <v>0</v>
      </c>
      <c r="AU240" s="265">
        <f t="shared" si="217"/>
        <v>0</v>
      </c>
    </row>
    <row r="241" spans="1:49" x14ac:dyDescent="0.2">
      <c r="A241" s="1315" t="s">
        <v>1452</v>
      </c>
      <c r="B241" s="89">
        <v>1423800</v>
      </c>
      <c r="C241" s="9">
        <v>1385100</v>
      </c>
      <c r="D241" s="76">
        <f>B241-C241</f>
        <v>38700</v>
      </c>
      <c r="E241" s="89">
        <v>1256300</v>
      </c>
      <c r="F241" s="9">
        <v>1381400</v>
      </c>
      <c r="G241" s="76">
        <f>E241-F241</f>
        <v>-125100</v>
      </c>
      <c r="H241" s="133">
        <f>CIV!H512-CIV!H517</f>
        <v>1012600</v>
      </c>
      <c r="I241" s="9">
        <f>'Cap-Gen'!AE203-25000</f>
        <v>2039100</v>
      </c>
      <c r="J241" s="76">
        <f>H241-I241</f>
        <v>-1026500</v>
      </c>
      <c r="K241" s="133">
        <f>CIV!J512-CIV!J517</f>
        <v>1264700</v>
      </c>
      <c r="L241" s="9">
        <f>'Cap-Gen'!AJ203</f>
        <v>1116100</v>
      </c>
      <c r="M241" s="76">
        <f>K241-L241</f>
        <v>148600</v>
      </c>
      <c r="N241" s="89">
        <f>CIV!K512-CIV!K517</f>
        <v>1299900</v>
      </c>
      <c r="O241" s="9">
        <f>'Cap-Gen'!AO203</f>
        <v>931200</v>
      </c>
      <c r="P241" s="49">
        <f>N241-O241</f>
        <v>368700</v>
      </c>
      <c r="Q241" s="46">
        <f>CIV!L512-CIV!L517</f>
        <v>1340300</v>
      </c>
      <c r="R241" s="9">
        <f>'Cap-Gen'!AT203</f>
        <v>1553500</v>
      </c>
      <c r="S241" s="61">
        <f>Q241-R241</f>
        <v>-213200</v>
      </c>
      <c r="T241" s="46">
        <f>CIV!M512-CIV!M517</f>
        <v>1369600</v>
      </c>
      <c r="U241" s="9">
        <f>'Cap-Gen'!AY203</f>
        <v>1495900</v>
      </c>
      <c r="V241" s="46">
        <f>T241-U241</f>
        <v>-126300</v>
      </c>
      <c r="W241" s="350">
        <f>CIV!N512-CIV!N517</f>
        <v>1400600</v>
      </c>
      <c r="X241" s="9">
        <f>'Cap-Gen'!BD203</f>
        <v>1613200</v>
      </c>
      <c r="Y241" s="49">
        <f>W241-X241</f>
        <v>-212600</v>
      </c>
      <c r="Z241" s="350">
        <f>CIV!O512-CIV!O517</f>
        <v>1430600</v>
      </c>
      <c r="AA241" s="9">
        <f>'Cap-Gen'!BI203</f>
        <v>1259500</v>
      </c>
      <c r="AB241" s="49">
        <f>Z241-AA241</f>
        <v>171100</v>
      </c>
      <c r="AC241" s="46">
        <f>CIV!P512-CIV!P517</f>
        <v>1466500</v>
      </c>
      <c r="AD241" s="9">
        <f>'Cap-Gen'!BN203</f>
        <v>1304600</v>
      </c>
      <c r="AE241" s="46">
        <f>AC241-AD241</f>
        <v>161900</v>
      </c>
      <c r="AF241" s="350">
        <f>CIV!Q512-CIV!Q517</f>
        <v>1511200</v>
      </c>
      <c r="AG241" s="9">
        <f>'Cap-Gen'!BS203</f>
        <v>1028400</v>
      </c>
      <c r="AH241" s="49">
        <f>AF241-AG241</f>
        <v>482800</v>
      </c>
      <c r="AI241" s="46">
        <f>CIV!R512-CIV!R517</f>
        <v>1514800</v>
      </c>
      <c r="AJ241" s="9">
        <f>'Cap-Gen'!BX203</f>
        <v>1522100</v>
      </c>
      <c r="AK241" s="61">
        <f>AI241-AJ241</f>
        <v>-7300</v>
      </c>
      <c r="AL241" s="46">
        <f>CIV!S512-CIV!S517</f>
        <v>1553400</v>
      </c>
      <c r="AM241" s="9">
        <f>'Cap-Gen'!CC203</f>
        <v>1522100</v>
      </c>
      <c r="AN241" s="61">
        <f>AL241-AM241</f>
        <v>31300</v>
      </c>
      <c r="AP241" s="34">
        <v>1511500</v>
      </c>
      <c r="AQ241" s="34">
        <v>1350000</v>
      </c>
      <c r="AR241" s="34">
        <v>161500</v>
      </c>
      <c r="AS241" s="265">
        <f t="shared" si="215"/>
        <v>3300</v>
      </c>
      <c r="AT241" s="265">
        <f t="shared" si="216"/>
        <v>172100</v>
      </c>
      <c r="AU241" s="265">
        <f t="shared" si="217"/>
        <v>-168800</v>
      </c>
    </row>
    <row r="242" spans="1:49" x14ac:dyDescent="0.2">
      <c r="A242" s="1318"/>
      <c r="B242" s="89"/>
      <c r="C242" s="9"/>
      <c r="D242" s="76"/>
      <c r="E242" s="89"/>
      <c r="F242" s="9"/>
      <c r="G242" s="76"/>
      <c r="H242" s="133"/>
      <c r="I242" s="9"/>
      <c r="J242" s="76"/>
      <c r="K242" s="133"/>
      <c r="L242" s="9"/>
      <c r="M242" s="76"/>
      <c r="N242" s="89"/>
      <c r="O242" s="9"/>
      <c r="P242" s="49"/>
      <c r="Q242" s="46"/>
      <c r="R242" s="9"/>
      <c r="S242" s="61"/>
      <c r="T242" s="46"/>
      <c r="U242" s="9"/>
      <c r="V242" s="46"/>
      <c r="W242" s="350"/>
      <c r="X242" s="9"/>
      <c r="Y242" s="49"/>
      <c r="Z242" s="350"/>
      <c r="AA242" s="9"/>
      <c r="AB242" s="49"/>
      <c r="AC242" s="46"/>
      <c r="AD242" s="9"/>
      <c r="AE242" s="46"/>
      <c r="AF242" s="350"/>
      <c r="AG242" s="9"/>
      <c r="AH242" s="49"/>
      <c r="AI242" s="46"/>
      <c r="AJ242" s="9"/>
      <c r="AK242" s="61"/>
      <c r="AL242" s="46"/>
      <c r="AM242" s="9"/>
      <c r="AN242" s="61"/>
      <c r="AS242" s="265">
        <f t="shared" si="215"/>
        <v>0</v>
      </c>
      <c r="AT242" s="265">
        <f t="shared" si="216"/>
        <v>0</v>
      </c>
      <c r="AU242" s="265">
        <f t="shared" si="217"/>
        <v>0</v>
      </c>
    </row>
    <row r="243" spans="1:49" x14ac:dyDescent="0.2">
      <c r="A243" s="1315" t="s">
        <v>532</v>
      </c>
      <c r="B243" s="99"/>
      <c r="C243" s="97">
        <v>19000</v>
      </c>
      <c r="D243" s="76">
        <f t="shared" ref="D243" si="240">B243-C243</f>
        <v>-19000</v>
      </c>
      <c r="E243" s="89"/>
      <c r="F243" s="9"/>
      <c r="G243" s="76"/>
      <c r="H243" s="133"/>
      <c r="I243" s="9"/>
      <c r="J243" s="76"/>
      <c r="K243" s="394"/>
      <c r="L243" s="97"/>
      <c r="M243" s="218"/>
      <c r="N243" s="99"/>
      <c r="O243" s="97"/>
      <c r="P243" s="354"/>
      <c r="Q243" s="129"/>
      <c r="R243" s="97"/>
      <c r="S243" s="741"/>
      <c r="T243" s="129"/>
      <c r="U243" s="97"/>
      <c r="V243" s="129"/>
      <c r="W243" s="913"/>
      <c r="X243" s="97"/>
      <c r="Y243" s="354"/>
      <c r="Z243" s="913"/>
      <c r="AA243" s="97"/>
      <c r="AB243" s="354"/>
      <c r="AC243" s="129"/>
      <c r="AD243" s="97"/>
      <c r="AE243" s="129"/>
      <c r="AF243" s="913"/>
      <c r="AG243" s="97"/>
      <c r="AH243" s="354"/>
      <c r="AI243" s="129"/>
      <c r="AJ243" s="97"/>
      <c r="AK243" s="741"/>
      <c r="AL243" s="129"/>
      <c r="AM243" s="97"/>
      <c r="AN243" s="741"/>
      <c r="AO243" s="265"/>
      <c r="AP243" s="265"/>
      <c r="AQ243" s="265"/>
      <c r="AR243" s="265"/>
      <c r="AS243" s="265">
        <f t="shared" si="215"/>
        <v>0</v>
      </c>
      <c r="AT243" s="265">
        <f t="shared" si="216"/>
        <v>0</v>
      </c>
      <c r="AU243" s="265">
        <f t="shared" si="217"/>
        <v>0</v>
      </c>
      <c r="AV243" s="265"/>
      <c r="AW243" s="265"/>
    </row>
    <row r="244" spans="1:49" x14ac:dyDescent="0.2">
      <c r="A244" s="1318"/>
      <c r="B244" s="89"/>
      <c r="C244" s="9"/>
      <c r="D244" s="76"/>
      <c r="E244" s="89"/>
      <c r="F244" s="9"/>
      <c r="G244" s="76"/>
      <c r="H244" s="133"/>
      <c r="I244" s="9"/>
      <c r="J244" s="76"/>
      <c r="K244" s="133"/>
      <c r="L244" s="9"/>
      <c r="M244" s="76"/>
      <c r="N244" s="89"/>
      <c r="O244" s="9"/>
      <c r="P244" s="49"/>
      <c r="Q244" s="46"/>
      <c r="R244" s="9"/>
      <c r="S244" s="61"/>
      <c r="T244" s="46"/>
      <c r="U244" s="9"/>
      <c r="V244" s="46"/>
      <c r="W244" s="350"/>
      <c r="X244" s="9"/>
      <c r="Y244" s="49"/>
      <c r="Z244" s="350"/>
      <c r="AA244" s="9"/>
      <c r="AB244" s="49"/>
      <c r="AC244" s="46"/>
      <c r="AD244" s="9"/>
      <c r="AE244" s="46"/>
      <c r="AF244" s="350"/>
      <c r="AG244" s="9"/>
      <c r="AH244" s="49"/>
      <c r="AI244" s="46"/>
      <c r="AJ244" s="9"/>
      <c r="AK244" s="61"/>
      <c r="AL244" s="46"/>
      <c r="AM244" s="9"/>
      <c r="AN244" s="61"/>
      <c r="AS244" s="265">
        <f t="shared" si="215"/>
        <v>0</v>
      </c>
      <c r="AT244" s="265">
        <f t="shared" si="216"/>
        <v>0</v>
      </c>
      <c r="AU244" s="265">
        <f t="shared" si="217"/>
        <v>0</v>
      </c>
    </row>
    <row r="245" spans="1:49" x14ac:dyDescent="0.2">
      <c r="A245" s="1315" t="s">
        <v>1932</v>
      </c>
      <c r="B245" s="89"/>
      <c r="C245" s="97"/>
      <c r="D245" s="76"/>
      <c r="E245" s="89"/>
      <c r="F245" s="9"/>
      <c r="G245" s="76"/>
      <c r="H245" s="133"/>
      <c r="I245" s="9"/>
      <c r="J245" s="76"/>
      <c r="K245" s="133"/>
      <c r="L245" s="9"/>
      <c r="M245" s="76"/>
      <c r="N245" s="89"/>
      <c r="O245" s="9"/>
      <c r="P245" s="49"/>
      <c r="Q245" s="46"/>
      <c r="R245" s="9"/>
      <c r="S245" s="61"/>
      <c r="T245" s="46"/>
      <c r="U245" s="9"/>
      <c r="V245" s="46"/>
      <c r="W245" s="350"/>
      <c r="X245" s="9"/>
      <c r="Y245" s="49"/>
      <c r="Z245" s="350"/>
      <c r="AA245" s="9"/>
      <c r="AB245" s="49"/>
      <c r="AC245" s="46"/>
      <c r="AD245" s="9"/>
      <c r="AE245" s="46"/>
      <c r="AF245" s="350"/>
      <c r="AG245" s="9"/>
      <c r="AH245" s="49"/>
      <c r="AI245" s="46"/>
      <c r="AJ245" s="9"/>
      <c r="AK245" s="61"/>
      <c r="AL245" s="46"/>
      <c r="AM245" s="9"/>
      <c r="AN245" s="61"/>
      <c r="AS245" s="265">
        <f t="shared" si="215"/>
        <v>0</v>
      </c>
      <c r="AT245" s="265">
        <f t="shared" si="216"/>
        <v>0</v>
      </c>
      <c r="AU245" s="265">
        <f t="shared" si="217"/>
        <v>0</v>
      </c>
    </row>
    <row r="246" spans="1:49" x14ac:dyDescent="0.2">
      <c r="A246" s="1317" t="s">
        <v>11961</v>
      </c>
      <c r="B246" s="89">
        <v>265900</v>
      </c>
      <c r="C246" s="89">
        <v>192900</v>
      </c>
      <c r="D246" s="76">
        <f>B246-C246</f>
        <v>73000</v>
      </c>
      <c r="E246" s="89">
        <f>IF(CIV!E1771&gt;0,CIV!E1771,0)</f>
        <v>0</v>
      </c>
      <c r="F246" s="97">
        <f>320500-F247</f>
        <v>243500</v>
      </c>
      <c r="G246" s="76">
        <f>E246-F246</f>
        <v>-243500</v>
      </c>
      <c r="H246" s="133">
        <v>8100</v>
      </c>
      <c r="I246" s="9">
        <v>570500</v>
      </c>
      <c r="J246" s="76">
        <f>H246-I246</f>
        <v>-562400</v>
      </c>
      <c r="K246" s="133">
        <f>IF(CIV!J1771&gt;0,CIV!J1771,0)</f>
        <v>9200</v>
      </c>
      <c r="L246" s="9">
        <f>IF(CIV!J1771&lt;0,-CIV!J1771,0)</f>
        <v>0</v>
      </c>
      <c r="M246" s="76">
        <f>K246-L246</f>
        <v>9200</v>
      </c>
      <c r="N246" s="89">
        <f>IF(CIV!K1771&gt;0,CIV!K1771,0)</f>
        <v>9500</v>
      </c>
      <c r="O246" s="9">
        <f>IF(CIV!K1771&lt;0,-CIV!K1771,0)</f>
        <v>0</v>
      </c>
      <c r="P246" s="49">
        <f>N246-O246</f>
        <v>9500</v>
      </c>
      <c r="Q246" s="46">
        <f>IF(CIV!L1771&gt;0,CIV!L1771,0)</f>
        <v>9800</v>
      </c>
      <c r="R246" s="9">
        <f>IF(CIV!L1771&lt;0,-CIV!L1771,0)</f>
        <v>0</v>
      </c>
      <c r="S246" s="61">
        <f>Q246-R246</f>
        <v>9800</v>
      </c>
      <c r="T246" s="46">
        <f>IF(CIV!M1771&gt;0,CIV!M1771,0)</f>
        <v>10000</v>
      </c>
      <c r="U246" s="9">
        <f>IF(CIV!M1771&lt;0,-CIV!M1771,0)</f>
        <v>0</v>
      </c>
      <c r="V246" s="46">
        <f>T246-U246</f>
        <v>10000</v>
      </c>
      <c r="W246" s="350">
        <f>IF(CIV!N1771&gt;0,CIV!N1771,0)</f>
        <v>10300</v>
      </c>
      <c r="X246" s="9">
        <f>IF(CIV!N1771&lt;0,-CIV!N1771,0)</f>
        <v>0</v>
      </c>
      <c r="Y246" s="49">
        <f>W246-X246</f>
        <v>10300</v>
      </c>
      <c r="Z246" s="350">
        <f>IF(CIV!O1771&gt;0,CIV!O1771,0)</f>
        <v>10500</v>
      </c>
      <c r="AA246" s="9">
        <f>IF(CIV!O1771&lt;0,-CIV!O1771,0)</f>
        <v>0</v>
      </c>
      <c r="AB246" s="49">
        <f>Z246-AA246</f>
        <v>10500</v>
      </c>
      <c r="AC246" s="46">
        <f>IF(CIV!P1771&gt;0,CIV!P1771,0)</f>
        <v>10800</v>
      </c>
      <c r="AD246" s="9">
        <f>IF(CIV!P1771&lt;0,-CIV!P1771,0)</f>
        <v>0</v>
      </c>
      <c r="AE246" s="46">
        <f>AC246-AD246</f>
        <v>10800</v>
      </c>
      <c r="AF246" s="350">
        <f>IF(CIV!Q1771&gt;0,CIV!Q1771,0)</f>
        <v>11000</v>
      </c>
      <c r="AG246" s="9">
        <f>IF(CIV!Q1771&lt;0,-CIV!Q1771,0)</f>
        <v>0</v>
      </c>
      <c r="AH246" s="49">
        <f>AF246-AG246</f>
        <v>11000</v>
      </c>
      <c r="AI246" s="46">
        <f>IF(CIV!R1771&gt;0,CIV!R1771,0)</f>
        <v>11200</v>
      </c>
      <c r="AJ246" s="9">
        <f>IF(CIV!R1771&lt;0,-CIV!R1771,0)</f>
        <v>0</v>
      </c>
      <c r="AK246" s="61">
        <f>AI246-AJ246</f>
        <v>11200</v>
      </c>
      <c r="AL246" s="46">
        <f>IF(CIV!S1771&gt;0,CIV!S1771,0)</f>
        <v>11500</v>
      </c>
      <c r="AM246" s="9">
        <f>IF(CIV!S1771&lt;0,-CIV!S1771,0)</f>
        <v>0</v>
      </c>
      <c r="AN246" s="61">
        <f>AL246-AM246</f>
        <v>11500</v>
      </c>
      <c r="AP246" s="34">
        <v>1700</v>
      </c>
      <c r="AQ246" s="34">
        <v>0</v>
      </c>
      <c r="AR246" s="34">
        <v>1700</v>
      </c>
      <c r="AS246" s="265">
        <f t="shared" si="215"/>
        <v>9500</v>
      </c>
      <c r="AT246" s="265">
        <f t="shared" si="216"/>
        <v>0</v>
      </c>
      <c r="AU246" s="265">
        <f t="shared" si="217"/>
        <v>9500</v>
      </c>
    </row>
    <row r="247" spans="1:49" x14ac:dyDescent="0.2">
      <c r="A247" s="1317" t="s">
        <v>11960</v>
      </c>
      <c r="B247" s="89"/>
      <c r="C247" s="97"/>
      <c r="D247" s="76"/>
      <c r="E247" s="89"/>
      <c r="F247" s="9">
        <v>77000</v>
      </c>
      <c r="G247" s="76">
        <f>E247-F247</f>
        <v>-77000</v>
      </c>
      <c r="H247" s="133"/>
      <c r="I247" s="9">
        <v>104000</v>
      </c>
      <c r="J247" s="76">
        <f>H247-I247</f>
        <v>-104000</v>
      </c>
      <c r="K247" s="133"/>
      <c r="L247" s="9"/>
      <c r="M247" s="76"/>
      <c r="N247" s="89"/>
      <c r="O247" s="9"/>
      <c r="P247" s="49"/>
      <c r="Q247" s="46"/>
      <c r="R247" s="9"/>
      <c r="S247" s="61"/>
      <c r="T247" s="46"/>
      <c r="U247" s="9"/>
      <c r="V247" s="46"/>
      <c r="W247" s="350"/>
      <c r="X247" s="9"/>
      <c r="Y247" s="49"/>
      <c r="Z247" s="350"/>
      <c r="AA247" s="9"/>
      <c r="AB247" s="49"/>
      <c r="AC247" s="46"/>
      <c r="AD247" s="9"/>
      <c r="AE247" s="46"/>
      <c r="AF247" s="350"/>
      <c r="AG247" s="9"/>
      <c r="AH247" s="49"/>
      <c r="AI247" s="46"/>
      <c r="AJ247" s="9"/>
      <c r="AK247" s="61"/>
      <c r="AL247" s="46"/>
      <c r="AM247" s="9"/>
      <c r="AN247" s="61"/>
      <c r="AS247" s="265">
        <f t="shared" si="215"/>
        <v>0</v>
      </c>
      <c r="AT247" s="265">
        <f t="shared" si="216"/>
        <v>0</v>
      </c>
      <c r="AU247" s="265">
        <f t="shared" si="217"/>
        <v>0</v>
      </c>
    </row>
    <row r="248" spans="1:49" x14ac:dyDescent="0.2">
      <c r="A248" s="1317"/>
      <c r="B248" s="89"/>
      <c r="C248" s="97"/>
      <c r="D248" s="76"/>
      <c r="E248" s="89"/>
      <c r="F248" s="9"/>
      <c r="G248" s="76"/>
      <c r="H248" s="133"/>
      <c r="I248" s="9"/>
      <c r="J248" s="76"/>
      <c r="K248" s="133"/>
      <c r="L248" s="9"/>
      <c r="M248" s="76"/>
      <c r="N248" s="89"/>
      <c r="O248" s="9"/>
      <c r="P248" s="49"/>
      <c r="Q248" s="46"/>
      <c r="R248" s="9"/>
      <c r="S248" s="61"/>
      <c r="T248" s="46"/>
      <c r="U248" s="9"/>
      <c r="V248" s="46"/>
      <c r="W248" s="350"/>
      <c r="X248" s="9"/>
      <c r="Y248" s="49"/>
      <c r="Z248" s="350"/>
      <c r="AA248" s="9"/>
      <c r="AB248" s="49"/>
      <c r="AC248" s="46"/>
      <c r="AD248" s="9"/>
      <c r="AE248" s="46"/>
      <c r="AF248" s="350"/>
      <c r="AG248" s="9"/>
      <c r="AH248" s="49"/>
      <c r="AI248" s="46"/>
      <c r="AJ248" s="9"/>
      <c r="AK248" s="61"/>
      <c r="AL248" s="46"/>
      <c r="AM248" s="9"/>
      <c r="AN248" s="61"/>
      <c r="AS248" s="265">
        <f t="shared" si="215"/>
        <v>0</v>
      </c>
      <c r="AT248" s="265">
        <f t="shared" si="216"/>
        <v>0</v>
      </c>
      <c r="AU248" s="265">
        <f t="shared" si="217"/>
        <v>0</v>
      </c>
    </row>
    <row r="249" spans="1:49" x14ac:dyDescent="0.2">
      <c r="A249" s="1315" t="s">
        <v>1453</v>
      </c>
      <c r="B249" s="89"/>
      <c r="C249" s="97"/>
      <c r="D249" s="76"/>
      <c r="E249" s="89"/>
      <c r="F249" s="9"/>
      <c r="G249" s="76"/>
      <c r="H249" s="133"/>
      <c r="I249" s="9"/>
      <c r="J249" s="76"/>
      <c r="K249" s="133"/>
      <c r="L249" s="9"/>
      <c r="M249" s="76"/>
      <c r="N249" s="89"/>
      <c r="O249" s="9"/>
      <c r="P249" s="49"/>
      <c r="Q249" s="46"/>
      <c r="R249" s="9"/>
      <c r="S249" s="61"/>
      <c r="T249" s="46"/>
      <c r="U249" s="9"/>
      <c r="V249" s="46"/>
      <c r="W249" s="350"/>
      <c r="X249" s="9"/>
      <c r="Y249" s="49"/>
      <c r="Z249" s="350"/>
      <c r="AA249" s="9"/>
      <c r="AB249" s="49"/>
      <c r="AC249" s="46"/>
      <c r="AD249" s="9"/>
      <c r="AE249" s="46"/>
      <c r="AF249" s="350"/>
      <c r="AG249" s="9"/>
      <c r="AH249" s="49"/>
      <c r="AI249" s="46"/>
      <c r="AJ249" s="9"/>
      <c r="AK249" s="61"/>
      <c r="AL249" s="46"/>
      <c r="AM249" s="9"/>
      <c r="AN249" s="61"/>
      <c r="AS249" s="265">
        <f t="shared" si="215"/>
        <v>0</v>
      </c>
      <c r="AT249" s="265">
        <f t="shared" si="216"/>
        <v>0</v>
      </c>
      <c r="AU249" s="265">
        <f t="shared" si="217"/>
        <v>0</v>
      </c>
    </row>
    <row r="250" spans="1:49" x14ac:dyDescent="0.2">
      <c r="A250" s="1317" t="s">
        <v>4465</v>
      </c>
      <c r="B250" s="89">
        <v>1940400</v>
      </c>
      <c r="C250" s="97">
        <f>1292300-C255</f>
        <v>1012300</v>
      </c>
      <c r="D250" s="76">
        <f t="shared" ref="D250:D251" si="241">B250-C250</f>
        <v>928100</v>
      </c>
      <c r="E250" s="89">
        <v>878200</v>
      </c>
      <c r="F250" s="9"/>
      <c r="G250" s="76">
        <f t="shared" ref="G250:G251" si="242">E250-F250</f>
        <v>878200</v>
      </c>
      <c r="H250" s="133">
        <f>750500-8000</f>
        <v>742500</v>
      </c>
      <c r="I250" s="97">
        <f>'Cap-Gen'!G209++Assumptions!H48+'Cap-Gen'!AE216+'Cap-Gen'!AE214+'Cap-Gen'!AE206+500</f>
        <v>47500</v>
      </c>
      <c r="J250" s="76">
        <f t="shared" ref="J250" si="243">H250-I250</f>
        <v>695000</v>
      </c>
      <c r="K250" s="133">
        <f>IF(CIV!J681-CIV!J684+CIV!J687&gt;0,CIV!J681-CIV!J684+CIV!J687,0)-K253</f>
        <v>1097000</v>
      </c>
      <c r="L250" s="97">
        <f>'Cap-Gen'!H209++Assumptions!I48</f>
        <v>0</v>
      </c>
      <c r="M250" s="76">
        <f t="shared" ref="M250" si="244">K250-L250</f>
        <v>1097000</v>
      </c>
      <c r="N250" s="89">
        <f>IF(CIV!K681-CIV!K684+CIV!K687&gt;0,CIV!K681-CIV!K684+CIV!K687,0)-N253</f>
        <v>1161000</v>
      </c>
      <c r="O250" s="97">
        <f>'Cap-Gen'!I209++Assumptions!J48</f>
        <v>0</v>
      </c>
      <c r="P250" s="49">
        <f t="shared" ref="P250" si="245">N250-O250</f>
        <v>1161000</v>
      </c>
      <c r="Q250" s="46">
        <f>IF(CIV!L681-CIV!L684+CIV!L687&gt;0,CIV!L681-CIV!L684+CIV!L687,0)-Q253</f>
        <v>1173000</v>
      </c>
      <c r="R250" s="97">
        <f>'Cap-Gen'!J209+Assumptions!K48</f>
        <v>1000000</v>
      </c>
      <c r="S250" s="61">
        <f t="shared" ref="S250" si="246">Q250-R250</f>
        <v>173000</v>
      </c>
      <c r="T250" s="46">
        <f>IF(CIV!M681-CIV!M684+CIV!M687&gt;0,CIV!M681-CIV!M684+CIV!M687,0)-T253</f>
        <v>1186000</v>
      </c>
      <c r="U250" s="97">
        <f>'Cap-Gen'!K209++Assumptions!L48</f>
        <v>1000000</v>
      </c>
      <c r="V250" s="46">
        <f t="shared" ref="V250" si="247">T250-U250</f>
        <v>186000</v>
      </c>
      <c r="W250" s="350">
        <f>IF(CIV!N681-CIV!N684+CIV!N687&gt;0,CIV!N681-CIV!N684+CIV!N687,0)-W253</f>
        <v>1193000</v>
      </c>
      <c r="X250" s="97">
        <f>'Cap-Gen'!L209++Assumptions!M48</f>
        <v>1000000</v>
      </c>
      <c r="Y250" s="49">
        <f t="shared" ref="Y250" si="248">W250-X250</f>
        <v>193000</v>
      </c>
      <c r="Z250" s="350">
        <f>IF(CIV!O681-CIV!O684+CIV!O687&gt;0,CIV!O681-CIV!O684+CIV!O687,0)-Z253</f>
        <v>1200000</v>
      </c>
      <c r="AA250" s="97">
        <f>'Cap-Gen'!M209++Assumptions!N48</f>
        <v>1000000</v>
      </c>
      <c r="AB250" s="49">
        <f t="shared" ref="AB250" si="249">Z250-AA250</f>
        <v>200000</v>
      </c>
      <c r="AC250" s="46">
        <f>IF(CIV!P681-CIV!P684+CIV!P687&gt;0,CIV!P681-CIV!P684+CIV!P687,0)-AC253</f>
        <v>1216000</v>
      </c>
      <c r="AD250" s="97">
        <f>'Cap-Gen'!N209+Assumptions!O48</f>
        <v>3600000</v>
      </c>
      <c r="AE250" s="46">
        <f t="shared" ref="AE250" si="250">AC250-AD250</f>
        <v>-2384000</v>
      </c>
      <c r="AF250" s="350">
        <f>IF(CIV!Q681-CIV!Q684+CIV!Q687&gt;0,CIV!Q681-CIV!Q684+CIV!Q687,0)-AF253</f>
        <v>1235000</v>
      </c>
      <c r="AG250" s="97">
        <f>'Cap-Gen'!O209++Assumptions!P48</f>
        <v>1000000</v>
      </c>
      <c r="AH250" s="49">
        <f t="shared" ref="AH250:AH253" si="251">AF250-AG250</f>
        <v>235000</v>
      </c>
      <c r="AI250" s="46">
        <f>IF(CIV!R681-CIV!R684+CIV!R687&gt;0,CIV!R681-CIV!R684+CIV!R687,0)-AI253</f>
        <v>1254000</v>
      </c>
      <c r="AJ250" s="97">
        <f>'Cap-Gen'!P209++Assumptions!Q48</f>
        <v>1500000</v>
      </c>
      <c r="AK250" s="61">
        <f t="shared" ref="AK250:AK253" si="252">AI250-AJ250</f>
        <v>-246000</v>
      </c>
      <c r="AL250" s="46">
        <f>IF(CIV!S681-CIV!S684+CIV!S687&gt;0,CIV!S681-CIV!S684+CIV!S687,0)-AL253</f>
        <v>1272000</v>
      </c>
      <c r="AM250" s="97">
        <f>'Cap-Gen'!Q209++Assumptions!R48</f>
        <v>1500000</v>
      </c>
      <c r="AN250" s="61">
        <f t="shared" ref="AN250" si="253">AL250-AM250</f>
        <v>-228000</v>
      </c>
      <c r="AP250" s="34">
        <v>1352200</v>
      </c>
      <c r="AQ250" s="34">
        <v>1269000</v>
      </c>
      <c r="AR250" s="34">
        <v>83200</v>
      </c>
      <c r="AS250" s="265">
        <f t="shared" si="215"/>
        <v>-98200</v>
      </c>
      <c r="AT250" s="265">
        <f t="shared" si="216"/>
        <v>231000</v>
      </c>
      <c r="AU250" s="265">
        <f t="shared" si="217"/>
        <v>-329200</v>
      </c>
    </row>
    <row r="251" spans="1:49" x14ac:dyDescent="0.2">
      <c r="A251" s="1317" t="s">
        <v>5912</v>
      </c>
      <c r="B251" s="89">
        <v>0</v>
      </c>
      <c r="C251" s="97">
        <v>0</v>
      </c>
      <c r="D251" s="76">
        <f t="shared" si="241"/>
        <v>0</v>
      </c>
      <c r="E251" s="89">
        <v>0</v>
      </c>
      <c r="F251" s="9">
        <f>200000+200000</f>
        <v>400000</v>
      </c>
      <c r="G251" s="76">
        <f t="shared" si="242"/>
        <v>-400000</v>
      </c>
      <c r="H251" s="133"/>
      <c r="I251" s="97"/>
      <c r="J251" s="76"/>
      <c r="K251" s="133"/>
      <c r="L251" s="97"/>
      <c r="M251" s="76"/>
      <c r="N251" s="89"/>
      <c r="O251" s="97"/>
      <c r="P251" s="49"/>
      <c r="Q251" s="46"/>
      <c r="R251" s="97"/>
      <c r="S251" s="61"/>
      <c r="T251" s="46"/>
      <c r="U251" s="97"/>
      <c r="V251" s="46"/>
      <c r="W251" s="350"/>
      <c r="X251" s="97"/>
      <c r="Y251" s="49"/>
      <c r="Z251" s="350"/>
      <c r="AA251" s="97"/>
      <c r="AB251" s="49"/>
      <c r="AC251" s="46"/>
      <c r="AD251" s="97"/>
      <c r="AE251" s="46"/>
      <c r="AF251" s="350"/>
      <c r="AG251" s="97"/>
      <c r="AH251" s="49"/>
      <c r="AI251" s="46"/>
      <c r="AJ251" s="97"/>
      <c r="AK251" s="61"/>
      <c r="AL251" s="46"/>
      <c r="AM251" s="97"/>
      <c r="AN251" s="61"/>
      <c r="AS251" s="265">
        <f t="shared" si="215"/>
        <v>0</v>
      </c>
      <c r="AT251" s="265">
        <f t="shared" si="216"/>
        <v>0</v>
      </c>
      <c r="AU251" s="265">
        <f t="shared" si="217"/>
        <v>0</v>
      </c>
    </row>
    <row r="252" spans="1:49" x14ac:dyDescent="0.2">
      <c r="A252" s="1317" t="s">
        <v>5901</v>
      </c>
      <c r="B252" s="89">
        <v>0</v>
      </c>
      <c r="C252" s="97">
        <v>0</v>
      </c>
      <c r="D252" s="76">
        <f t="shared" ref="D252" si="254">B252-C252</f>
        <v>0</v>
      </c>
      <c r="E252" s="89">
        <v>0</v>
      </c>
      <c r="F252" s="9">
        <v>1000000</v>
      </c>
      <c r="G252" s="76">
        <f t="shared" ref="G252" si="255">E252-F252</f>
        <v>-1000000</v>
      </c>
      <c r="H252" s="133">
        <v>0</v>
      </c>
      <c r="I252" s="97">
        <v>2000000</v>
      </c>
      <c r="J252" s="76">
        <f t="shared" ref="J252" si="256">H252-I252</f>
        <v>-2000000</v>
      </c>
      <c r="K252" s="133">
        <v>0</v>
      </c>
      <c r="L252" s="97">
        <v>2000000</v>
      </c>
      <c r="M252" s="76">
        <f t="shared" ref="M252" si="257">K252-L252</f>
        <v>-2000000</v>
      </c>
      <c r="N252" s="89">
        <v>0</v>
      </c>
      <c r="O252" s="97"/>
      <c r="P252" s="49">
        <f t="shared" ref="P252" si="258">N252-O252</f>
        <v>0</v>
      </c>
      <c r="Q252" s="46"/>
      <c r="R252" s="97"/>
      <c r="S252" s="61"/>
      <c r="T252" s="46"/>
      <c r="U252" s="97"/>
      <c r="V252" s="46"/>
      <c r="W252" s="350"/>
      <c r="X252" s="97"/>
      <c r="Y252" s="49"/>
      <c r="Z252" s="350"/>
      <c r="AA252" s="97"/>
      <c r="AB252" s="49"/>
      <c r="AC252" s="46"/>
      <c r="AD252" s="97"/>
      <c r="AE252" s="46"/>
      <c r="AF252" s="350"/>
      <c r="AG252" s="97"/>
      <c r="AH252" s="49"/>
      <c r="AI252" s="46"/>
      <c r="AJ252" s="97"/>
      <c r="AK252" s="61"/>
      <c r="AL252" s="46"/>
      <c r="AM252" s="97"/>
      <c r="AN252" s="61"/>
      <c r="AS252" s="265">
        <f t="shared" si="215"/>
        <v>0</v>
      </c>
      <c r="AT252" s="265">
        <f t="shared" si="216"/>
        <v>0</v>
      </c>
      <c r="AU252" s="265">
        <f t="shared" si="217"/>
        <v>0</v>
      </c>
    </row>
    <row r="253" spans="1:49" s="80" customFormat="1" x14ac:dyDescent="0.2">
      <c r="A253" s="1317" t="s">
        <v>4749</v>
      </c>
      <c r="B253" s="77">
        <f>CIV!D1798</f>
        <v>125500</v>
      </c>
      <c r="C253" s="659">
        <v>167100</v>
      </c>
      <c r="D253" s="582">
        <f t="shared" ref="D253:D255" si="259">B253-C253</f>
        <v>-41600</v>
      </c>
      <c r="E253" s="77">
        <f>124800</f>
        <v>124800</v>
      </c>
      <c r="F253" s="9">
        <v>65600</v>
      </c>
      <c r="G253" s="582">
        <f t="shared" ref="G253:G254" si="260">E253-F253</f>
        <v>59200</v>
      </c>
      <c r="H253" s="641">
        <f>CIV!H1798</f>
        <v>82000</v>
      </c>
      <c r="I253" s="659">
        <f>'Cap-Gen'!G210+'Cap-Gen'!AE211+1900+57300</f>
        <v>59200</v>
      </c>
      <c r="J253" s="582">
        <f t="shared" ref="J253" si="261">H253-I253</f>
        <v>22800</v>
      </c>
      <c r="K253" s="641">
        <f>CIV!J1798</f>
        <v>22000</v>
      </c>
      <c r="L253" s="659">
        <f>'Cap-Gen'!H210</f>
        <v>0</v>
      </c>
      <c r="M253" s="582">
        <f t="shared" ref="M253" si="262">K253-L253</f>
        <v>22000</v>
      </c>
      <c r="N253" s="77">
        <f>CIV!K1798</f>
        <v>23000</v>
      </c>
      <c r="O253" s="659">
        <f>'Cap-Gen'!I210</f>
        <v>0</v>
      </c>
      <c r="P253" s="587">
        <f t="shared" ref="P253" si="263">N253-O253</f>
        <v>23000</v>
      </c>
      <c r="Q253" s="31">
        <f>CIV!L1798</f>
        <v>24000</v>
      </c>
      <c r="R253" s="659">
        <f>'Cap-Gen'!J210</f>
        <v>0</v>
      </c>
      <c r="S253" s="78">
        <f t="shared" ref="S253" si="264">Q253-R253</f>
        <v>24000</v>
      </c>
      <c r="T253" s="31">
        <f>CIV!M1798</f>
        <v>25000</v>
      </c>
      <c r="U253" s="659">
        <f>'Cap-Gen'!K210</f>
        <v>0</v>
      </c>
      <c r="V253" s="31">
        <f t="shared" ref="V253" si="265">T253-U253</f>
        <v>25000</v>
      </c>
      <c r="W253" s="1125">
        <f>CIV!N1798</f>
        <v>26000</v>
      </c>
      <c r="X253" s="659">
        <f>'Cap-Gen'!L210</f>
        <v>0</v>
      </c>
      <c r="Y253" s="587">
        <f t="shared" ref="Y253" si="266">W253-X253</f>
        <v>26000</v>
      </c>
      <c r="Z253" s="1125">
        <f>CIV!O1798</f>
        <v>27000</v>
      </c>
      <c r="AA253" s="659">
        <f>'Cap-Gen'!M210</f>
        <v>0</v>
      </c>
      <c r="AB253" s="587">
        <f t="shared" ref="AB253" si="267">Z253-AA253</f>
        <v>27000</v>
      </c>
      <c r="AC253" s="31">
        <f>CIV!P1798</f>
        <v>28000</v>
      </c>
      <c r="AD253" s="659">
        <f>'Cap-Gen'!N210</f>
        <v>0</v>
      </c>
      <c r="AE253" s="31">
        <f t="shared" ref="AE253" si="268">AC253-AD253</f>
        <v>28000</v>
      </c>
      <c r="AF253" s="1125">
        <f>CIV!Q1798</f>
        <v>29000</v>
      </c>
      <c r="AG253" s="659">
        <f>'Cap-Gen'!O210</f>
        <v>0</v>
      </c>
      <c r="AH253" s="587">
        <f t="shared" si="251"/>
        <v>29000</v>
      </c>
      <c r="AI253" s="31">
        <f>CIV!R1798</f>
        <v>30000</v>
      </c>
      <c r="AJ253" s="659">
        <f>'Cap-Gen'!R210</f>
        <v>0</v>
      </c>
      <c r="AK253" s="78">
        <f t="shared" si="252"/>
        <v>30000</v>
      </c>
      <c r="AL253" s="31">
        <f>CIV!S1798</f>
        <v>31000</v>
      </c>
      <c r="AM253" s="659">
        <f>'Cap-Gen'!S210</f>
        <v>0</v>
      </c>
      <c r="AN253" s="78">
        <f t="shared" ref="AN253" si="269">AL253-AM253</f>
        <v>31000</v>
      </c>
      <c r="AP253" s="80">
        <v>30000</v>
      </c>
      <c r="AQ253" s="80">
        <v>0</v>
      </c>
      <c r="AR253" s="80">
        <v>30000</v>
      </c>
      <c r="AS253" s="265">
        <f t="shared" si="215"/>
        <v>0</v>
      </c>
      <c r="AT253" s="265">
        <f t="shared" si="216"/>
        <v>0</v>
      </c>
      <c r="AU253" s="265">
        <f t="shared" si="217"/>
        <v>0</v>
      </c>
    </row>
    <row r="254" spans="1:49" s="80" customFormat="1" x14ac:dyDescent="0.2">
      <c r="A254" s="1317" t="s">
        <v>6588</v>
      </c>
      <c r="B254" s="77"/>
      <c r="C254" s="659"/>
      <c r="D254" s="582"/>
      <c r="E254" s="77"/>
      <c r="F254" s="79">
        <v>4200</v>
      </c>
      <c r="G254" s="582">
        <f t="shared" si="260"/>
        <v>-4200</v>
      </c>
      <c r="H254" s="641"/>
      <c r="I254" s="659"/>
      <c r="J254" s="582"/>
      <c r="K254" s="641"/>
      <c r="L254" s="659"/>
      <c r="M254" s="582"/>
      <c r="N254" s="77"/>
      <c r="O254" s="659"/>
      <c r="P254" s="587"/>
      <c r="Q254" s="31"/>
      <c r="R254" s="659"/>
      <c r="S254" s="78"/>
      <c r="T254" s="31"/>
      <c r="U254" s="659"/>
      <c r="V254" s="31"/>
      <c r="W254" s="1125"/>
      <c r="X254" s="659"/>
      <c r="Y254" s="587"/>
      <c r="Z254" s="1125"/>
      <c r="AA254" s="659"/>
      <c r="AB254" s="587"/>
      <c r="AC254" s="31"/>
      <c r="AD254" s="659"/>
      <c r="AE254" s="31"/>
      <c r="AF254" s="1125"/>
      <c r="AG254" s="659"/>
      <c r="AH254" s="587"/>
      <c r="AI254" s="31"/>
      <c r="AJ254" s="659"/>
      <c r="AK254" s="78"/>
      <c r="AL254" s="31"/>
      <c r="AM254" s="659"/>
      <c r="AN254" s="78"/>
      <c r="AS254" s="265">
        <f t="shared" si="215"/>
        <v>0</v>
      </c>
      <c r="AT254" s="265">
        <f t="shared" si="216"/>
        <v>0</v>
      </c>
      <c r="AU254" s="265">
        <f t="shared" si="217"/>
        <v>0</v>
      </c>
    </row>
    <row r="255" spans="1:49" s="80" customFormat="1" x14ac:dyDescent="0.2">
      <c r="A255" s="1317" t="s">
        <v>5962</v>
      </c>
      <c r="B255" s="77"/>
      <c r="C255" s="659">
        <f>'Cap-Gen'!U215</f>
        <v>280000</v>
      </c>
      <c r="D255" s="582">
        <f t="shared" si="259"/>
        <v>-280000</v>
      </c>
      <c r="E255" s="77"/>
      <c r="F255" s="79"/>
      <c r="G255" s="582"/>
      <c r="H255" s="641"/>
      <c r="I255" s="659"/>
      <c r="J255" s="582"/>
      <c r="K255" s="641"/>
      <c r="L255" s="659"/>
      <c r="M255" s="582"/>
      <c r="N255" s="77"/>
      <c r="O255" s="659"/>
      <c r="P255" s="587"/>
      <c r="Q255" s="31"/>
      <c r="R255" s="659"/>
      <c r="S255" s="78"/>
      <c r="T255" s="31"/>
      <c r="U255" s="659"/>
      <c r="V255" s="31"/>
      <c r="W255" s="1125"/>
      <c r="X255" s="659"/>
      <c r="Y255" s="587"/>
      <c r="Z255" s="1125"/>
      <c r="AA255" s="659"/>
      <c r="AB255" s="587"/>
      <c r="AC255" s="31"/>
      <c r="AD255" s="659"/>
      <c r="AE255" s="31"/>
      <c r="AF255" s="1125"/>
      <c r="AG255" s="659"/>
      <c r="AH255" s="587"/>
      <c r="AI255" s="31"/>
      <c r="AJ255" s="659"/>
      <c r="AK255" s="78"/>
      <c r="AL255" s="31"/>
      <c r="AM255" s="659"/>
      <c r="AN255" s="78"/>
      <c r="AS255" s="265">
        <f t="shared" si="215"/>
        <v>0</v>
      </c>
      <c r="AT255" s="265">
        <f t="shared" si="216"/>
        <v>0</v>
      </c>
      <c r="AU255" s="265">
        <f t="shared" si="217"/>
        <v>0</v>
      </c>
    </row>
    <row r="256" spans="1:49" x14ac:dyDescent="0.2">
      <c r="A256" s="1318"/>
      <c r="B256" s="89"/>
      <c r="C256" s="9"/>
      <c r="D256" s="76"/>
      <c r="E256" s="89"/>
      <c r="F256" s="9"/>
      <c r="G256" s="76"/>
      <c r="H256" s="133"/>
      <c r="I256" s="9"/>
      <c r="J256" s="76"/>
      <c r="K256" s="133"/>
      <c r="L256" s="9"/>
      <c r="M256" s="76"/>
      <c r="N256" s="89"/>
      <c r="O256" s="9"/>
      <c r="P256" s="49"/>
      <c r="Q256" s="46"/>
      <c r="R256" s="9"/>
      <c r="S256" s="61"/>
      <c r="T256" s="46"/>
      <c r="U256" s="9"/>
      <c r="V256" s="46"/>
      <c r="W256" s="350"/>
      <c r="X256" s="9"/>
      <c r="Y256" s="49"/>
      <c r="Z256" s="350"/>
      <c r="AA256" s="9"/>
      <c r="AB256" s="49"/>
      <c r="AC256" s="46"/>
      <c r="AD256" s="9"/>
      <c r="AE256" s="46"/>
      <c r="AF256" s="350"/>
      <c r="AG256" s="9"/>
      <c r="AH256" s="49"/>
      <c r="AI256" s="46"/>
      <c r="AJ256" s="9"/>
      <c r="AK256" s="61"/>
      <c r="AL256" s="46"/>
      <c r="AM256" s="9"/>
      <c r="AN256" s="61"/>
      <c r="AS256" s="265">
        <f t="shared" si="215"/>
        <v>0</v>
      </c>
      <c r="AT256" s="265">
        <f t="shared" si="216"/>
        <v>0</v>
      </c>
      <c r="AU256" s="265">
        <f t="shared" si="217"/>
        <v>0</v>
      </c>
    </row>
    <row r="257" spans="1:47" x14ac:dyDescent="0.2">
      <c r="A257" s="1315" t="s">
        <v>1911</v>
      </c>
      <c r="B257" s="89">
        <v>339900</v>
      </c>
      <c r="C257" s="97">
        <v>541900</v>
      </c>
      <c r="D257" s="76">
        <f>B257-C257</f>
        <v>-202000</v>
      </c>
      <c r="E257" s="89">
        <v>478500</v>
      </c>
      <c r="F257" s="9">
        <f>'Cap-Gen'!Z217</f>
        <v>0</v>
      </c>
      <c r="G257" s="76">
        <f>E257-F257</f>
        <v>478500</v>
      </c>
      <c r="H257" s="133">
        <f>CIV!H735-CIV!H740</f>
        <v>593200</v>
      </c>
      <c r="I257" s="97">
        <f>'Cap-Gen'!AE217</f>
        <v>0</v>
      </c>
      <c r="J257" s="76">
        <f>H257-I257</f>
        <v>593200</v>
      </c>
      <c r="K257" s="133">
        <f>CIV!J735-CIV!J740</f>
        <v>598000</v>
      </c>
      <c r="L257" s="97">
        <f>'Cap-Gen'!AJ217</f>
        <v>1533000</v>
      </c>
      <c r="M257" s="76">
        <f>K257-L257</f>
        <v>-935000</v>
      </c>
      <c r="N257" s="89">
        <f>CIV!K735-CIV!K740</f>
        <v>584500</v>
      </c>
      <c r="O257" s="97">
        <f>'Cap-Gen'!AO217</f>
        <v>0</v>
      </c>
      <c r="P257" s="49">
        <f>N257-O257</f>
        <v>584500</v>
      </c>
      <c r="Q257" s="46">
        <f>CIV!L735-CIV!L740</f>
        <v>610500</v>
      </c>
      <c r="R257" s="97">
        <f>'Cap-Gen'!AT217</f>
        <v>1800000</v>
      </c>
      <c r="S257" s="61">
        <f>Q257-R257</f>
        <v>-1189500</v>
      </c>
      <c r="T257" s="46">
        <f>CIV!M735-CIV!M740</f>
        <v>589100</v>
      </c>
      <c r="U257" s="97">
        <f>'Cap-Gen'!AY217</f>
        <v>0</v>
      </c>
      <c r="V257" s="46">
        <f>T257-U257</f>
        <v>589100</v>
      </c>
      <c r="W257" s="350">
        <f>CIV!N735-CIV!N740</f>
        <v>613400</v>
      </c>
      <c r="X257" s="97">
        <f>'Cap-Gen'!BD217</f>
        <v>0</v>
      </c>
      <c r="Y257" s="49">
        <f>W257-X257</f>
        <v>613400</v>
      </c>
      <c r="Z257" s="350">
        <f>CIV!O735-CIV!O740</f>
        <v>639500</v>
      </c>
      <c r="AA257" s="97">
        <f>'Cap-Gen'!BI217</f>
        <v>2000000</v>
      </c>
      <c r="AB257" s="49">
        <f>Z257-AA257</f>
        <v>-1360500</v>
      </c>
      <c r="AC257" s="46">
        <f>CIV!P735-CIV!P740</f>
        <v>616600</v>
      </c>
      <c r="AD257" s="97">
        <f>'Cap-Gen'!BN217</f>
        <v>0</v>
      </c>
      <c r="AE257" s="46">
        <f>AC257-AD257</f>
        <v>616600</v>
      </c>
      <c r="AF257" s="350">
        <f>CIV!Q735-CIV!Q740</f>
        <v>642700</v>
      </c>
      <c r="AG257" s="97">
        <f>'Cap-Gen'!BS217</f>
        <v>0</v>
      </c>
      <c r="AH257" s="49">
        <f>AF257-AG257</f>
        <v>642700</v>
      </c>
      <c r="AI257" s="46">
        <f>CIV!R735-CIV!R740</f>
        <v>652800</v>
      </c>
      <c r="AJ257" s="97">
        <f>'Cap-Gen'!BX217</f>
        <v>2200000</v>
      </c>
      <c r="AK257" s="61">
        <f>AI257-AJ257</f>
        <v>-1547200</v>
      </c>
      <c r="AL257" s="46">
        <f>CIV!S735-CIV!S740</f>
        <v>646100</v>
      </c>
      <c r="AM257" s="97">
        <f>'Cap-Gen'!CC217</f>
        <v>0</v>
      </c>
      <c r="AN257" s="61">
        <f>AL257-AM257</f>
        <v>646100</v>
      </c>
      <c r="AP257" s="34">
        <v>798500</v>
      </c>
      <c r="AQ257" s="34">
        <v>0</v>
      </c>
      <c r="AR257" s="34">
        <v>798500</v>
      </c>
      <c r="AS257" s="265">
        <f t="shared" si="215"/>
        <v>-145700</v>
      </c>
      <c r="AT257" s="265">
        <f t="shared" si="216"/>
        <v>2200000</v>
      </c>
      <c r="AU257" s="265">
        <f t="shared" si="217"/>
        <v>-2345700</v>
      </c>
    </row>
    <row r="258" spans="1:47" ht="13.5" thickBot="1" x14ac:dyDescent="0.25">
      <c r="A258" s="1318"/>
      <c r="B258" s="89"/>
      <c r="C258" s="97"/>
      <c r="D258" s="76"/>
      <c r="E258" s="89"/>
      <c r="F258" s="9"/>
      <c r="G258" s="76"/>
      <c r="H258" s="133"/>
      <c r="I258" s="9"/>
      <c r="J258" s="76"/>
      <c r="K258" s="133"/>
      <c r="L258" s="9"/>
      <c r="M258" s="76"/>
      <c r="N258" s="89"/>
      <c r="O258" s="9"/>
      <c r="P258" s="49"/>
      <c r="Q258" s="46"/>
      <c r="R258" s="9"/>
      <c r="S258" s="61"/>
      <c r="T258" s="46"/>
      <c r="U258" s="9"/>
      <c r="V258" s="46"/>
      <c r="W258" s="350"/>
      <c r="X258" s="9"/>
      <c r="Y258" s="49"/>
      <c r="Z258" s="350"/>
      <c r="AA258" s="9"/>
      <c r="AB258" s="49"/>
      <c r="AC258" s="46"/>
      <c r="AD258" s="9"/>
      <c r="AE258" s="46"/>
      <c r="AF258" s="350"/>
      <c r="AG258" s="9"/>
      <c r="AH258" s="49"/>
      <c r="AI258" s="46"/>
      <c r="AJ258" s="9"/>
      <c r="AK258" s="61"/>
      <c r="AL258" s="46"/>
      <c r="AM258" s="9"/>
      <c r="AN258" s="61"/>
      <c r="AS258" s="265">
        <f t="shared" si="215"/>
        <v>0</v>
      </c>
      <c r="AT258" s="265">
        <f t="shared" si="216"/>
        <v>0</v>
      </c>
      <c r="AU258" s="265">
        <f t="shared" si="217"/>
        <v>0</v>
      </c>
    </row>
    <row r="259" spans="1:47" s="39" customFormat="1" ht="14.25" thickTop="1" thickBot="1" x14ac:dyDescent="0.25">
      <c r="A259" s="1322" t="s">
        <v>238</v>
      </c>
      <c r="B259" s="302">
        <f t="shared" ref="B259:AK259" si="270">SUBTOTAL(9,B152:B258)</f>
        <v>11542900</v>
      </c>
      <c r="C259" s="1540">
        <f t="shared" si="270"/>
        <v>14114500</v>
      </c>
      <c r="D259" s="301">
        <f t="shared" si="270"/>
        <v>-2571600</v>
      </c>
      <c r="E259" s="304">
        <f t="shared" si="270"/>
        <v>10018000</v>
      </c>
      <c r="F259" s="304">
        <f t="shared" si="270"/>
        <v>11201100</v>
      </c>
      <c r="G259" s="304">
        <f t="shared" si="270"/>
        <v>-1183100</v>
      </c>
      <c r="H259" s="307">
        <f t="shared" si="270"/>
        <v>9847400</v>
      </c>
      <c r="I259" s="300">
        <f t="shared" si="270"/>
        <v>11827000</v>
      </c>
      <c r="J259" s="301">
        <f t="shared" si="270"/>
        <v>-1979600</v>
      </c>
      <c r="K259" s="307">
        <f t="shared" si="270"/>
        <v>3245800</v>
      </c>
      <c r="L259" s="300">
        <f t="shared" si="270"/>
        <v>10644100</v>
      </c>
      <c r="M259" s="301">
        <f t="shared" si="270"/>
        <v>-7398300</v>
      </c>
      <c r="N259" s="302">
        <f t="shared" si="270"/>
        <v>3340600</v>
      </c>
      <c r="O259" s="300">
        <f t="shared" si="270"/>
        <v>1241200</v>
      </c>
      <c r="P259" s="305">
        <f t="shared" si="270"/>
        <v>2099400</v>
      </c>
      <c r="Q259" s="304">
        <f t="shared" si="270"/>
        <v>3383200</v>
      </c>
      <c r="R259" s="300">
        <f t="shared" si="270"/>
        <v>4703500</v>
      </c>
      <c r="S259" s="958">
        <f t="shared" si="270"/>
        <v>-1320300</v>
      </c>
      <c r="T259" s="304">
        <f t="shared" si="270"/>
        <v>3408300</v>
      </c>
      <c r="U259" s="300">
        <f t="shared" si="270"/>
        <v>5114900</v>
      </c>
      <c r="V259" s="304">
        <f t="shared" si="270"/>
        <v>-1706600</v>
      </c>
      <c r="W259" s="1041">
        <f t="shared" si="270"/>
        <v>3474900</v>
      </c>
      <c r="X259" s="300">
        <f t="shared" si="270"/>
        <v>4481200</v>
      </c>
      <c r="Y259" s="305">
        <f t="shared" si="270"/>
        <v>-1006300</v>
      </c>
      <c r="Z259" s="1041">
        <f t="shared" si="270"/>
        <v>3552400</v>
      </c>
      <c r="AA259" s="300">
        <f t="shared" si="270"/>
        <v>5736500</v>
      </c>
      <c r="AB259" s="305">
        <f t="shared" si="270"/>
        <v>-2184100</v>
      </c>
      <c r="AC259" s="304">
        <f t="shared" si="270"/>
        <v>3590900</v>
      </c>
      <c r="AD259" s="300">
        <f t="shared" si="270"/>
        <v>7190600</v>
      </c>
      <c r="AE259" s="304">
        <f t="shared" si="270"/>
        <v>-3599700</v>
      </c>
      <c r="AF259" s="1041">
        <f t="shared" si="270"/>
        <v>3670300</v>
      </c>
      <c r="AG259" s="300">
        <f t="shared" si="270"/>
        <v>4223400</v>
      </c>
      <c r="AH259" s="305">
        <f t="shared" si="270"/>
        <v>-553100</v>
      </c>
      <c r="AI259" s="304">
        <f t="shared" si="270"/>
        <v>3707600</v>
      </c>
      <c r="AJ259" s="300">
        <f t="shared" si="270"/>
        <v>7326100</v>
      </c>
      <c r="AK259" s="958">
        <f t="shared" si="270"/>
        <v>-3618500</v>
      </c>
      <c r="AL259" s="304">
        <f t="shared" ref="AL259:AN259" si="271">SUBTOTAL(9,AL152:AL258)</f>
        <v>3762400</v>
      </c>
      <c r="AM259" s="300">
        <f t="shared" si="271"/>
        <v>5235100</v>
      </c>
      <c r="AN259" s="958">
        <f t="shared" si="271"/>
        <v>-1472700</v>
      </c>
      <c r="AP259" s="39">
        <v>3938600</v>
      </c>
      <c r="AQ259" s="39">
        <v>4369000</v>
      </c>
      <c r="AR259" s="39">
        <v>-430400</v>
      </c>
      <c r="AS259" s="265">
        <f t="shared" si="215"/>
        <v>-231000</v>
      </c>
      <c r="AT259" s="265">
        <f t="shared" si="216"/>
        <v>2957100</v>
      </c>
      <c r="AU259" s="265">
        <f t="shared" si="217"/>
        <v>-3188100</v>
      </c>
    </row>
    <row r="260" spans="1:47" ht="14.25" thickTop="1" thickBot="1" x14ac:dyDescent="0.25">
      <c r="A260" s="1323"/>
      <c r="B260" s="89"/>
      <c r="C260" s="9"/>
      <c r="D260" s="76"/>
      <c r="E260" s="46"/>
      <c r="F260" s="9"/>
      <c r="G260" s="49"/>
      <c r="H260" s="133"/>
      <c r="I260" s="9"/>
      <c r="J260" s="76"/>
      <c r="K260" s="133"/>
      <c r="L260" s="9"/>
      <c r="M260" s="76"/>
      <c r="N260" s="89"/>
      <c r="O260" s="9"/>
      <c r="P260" s="76"/>
      <c r="Q260" s="89"/>
      <c r="R260" s="9"/>
      <c r="S260" s="61"/>
      <c r="T260" s="89"/>
      <c r="U260" s="9"/>
      <c r="V260" s="46"/>
      <c r="W260" s="133"/>
      <c r="X260" s="9"/>
      <c r="Y260" s="49"/>
      <c r="Z260" s="133"/>
      <c r="AA260" s="9"/>
      <c r="AB260" s="49"/>
      <c r="AC260" s="89"/>
      <c r="AD260" s="9"/>
      <c r="AE260" s="46"/>
      <c r="AF260" s="133"/>
      <c r="AG260" s="9"/>
      <c r="AH260" s="49"/>
      <c r="AI260" s="89"/>
      <c r="AJ260" s="9"/>
      <c r="AK260" s="61"/>
      <c r="AL260" s="89"/>
      <c r="AM260" s="9"/>
      <c r="AN260" s="61"/>
      <c r="AS260" s="265">
        <f t="shared" si="215"/>
        <v>0</v>
      </c>
      <c r="AT260" s="265">
        <f t="shared" si="216"/>
        <v>0</v>
      </c>
      <c r="AU260" s="265">
        <f t="shared" si="217"/>
        <v>0</v>
      </c>
    </row>
    <row r="261" spans="1:47" ht="13.5" thickTop="1" x14ac:dyDescent="0.2">
      <c r="A261" s="1324" t="s">
        <v>1401</v>
      </c>
      <c r="B261" s="69">
        <f t="shared" ref="B261:AK261" si="272">SUBTOTAL(9,B4:B260)</f>
        <v>20796500</v>
      </c>
      <c r="C261" s="109">
        <f t="shared" si="272"/>
        <v>21905800</v>
      </c>
      <c r="D261" s="221">
        <f t="shared" si="272"/>
        <v>-1109300</v>
      </c>
      <c r="E261" s="72">
        <f t="shared" si="272"/>
        <v>27713300</v>
      </c>
      <c r="F261" s="109">
        <f t="shared" si="272"/>
        <v>19793700</v>
      </c>
      <c r="G261" s="272">
        <f>SUBTOTAL(9,G4:G260)</f>
        <v>7919600</v>
      </c>
      <c r="H261" s="273">
        <f>SUBTOTAL(9,H4:H260)</f>
        <v>30316200</v>
      </c>
      <c r="I261" s="109">
        <f t="shared" si="272"/>
        <v>33169500</v>
      </c>
      <c r="J261" s="221">
        <f t="shared" si="272"/>
        <v>-2853300</v>
      </c>
      <c r="K261" s="273">
        <f t="shared" si="272"/>
        <v>25686800</v>
      </c>
      <c r="L261" s="109">
        <f t="shared" si="272"/>
        <v>31348500</v>
      </c>
      <c r="M261" s="221">
        <f t="shared" si="272"/>
        <v>-5661700</v>
      </c>
      <c r="N261" s="69">
        <f t="shared" si="272"/>
        <v>18154900</v>
      </c>
      <c r="O261" s="109">
        <f t="shared" si="272"/>
        <v>27902000</v>
      </c>
      <c r="P261" s="221">
        <f t="shared" si="272"/>
        <v>-9747100</v>
      </c>
      <c r="Q261" s="69">
        <f t="shared" si="272"/>
        <v>23448800</v>
      </c>
      <c r="R261" s="109">
        <f t="shared" si="272"/>
        <v>24916000</v>
      </c>
      <c r="S261" s="1264">
        <f t="shared" si="272"/>
        <v>-1467200</v>
      </c>
      <c r="T261" s="69">
        <f t="shared" si="272"/>
        <v>22483600</v>
      </c>
      <c r="U261" s="274">
        <f t="shared" si="272"/>
        <v>21572600</v>
      </c>
      <c r="V261" s="274">
        <f t="shared" si="272"/>
        <v>911000</v>
      </c>
      <c r="W261" s="273">
        <f t="shared" si="272"/>
        <v>14377200</v>
      </c>
      <c r="X261" s="274">
        <f t="shared" si="272"/>
        <v>7518400</v>
      </c>
      <c r="Y261" s="221">
        <f t="shared" si="272"/>
        <v>6858800</v>
      </c>
      <c r="Z261" s="273">
        <f t="shared" si="272"/>
        <v>14936400</v>
      </c>
      <c r="AA261" s="274">
        <f t="shared" si="272"/>
        <v>11403000</v>
      </c>
      <c r="AB261" s="221">
        <f t="shared" si="272"/>
        <v>3533400</v>
      </c>
      <c r="AC261" s="69">
        <f t="shared" si="272"/>
        <v>16231400</v>
      </c>
      <c r="AD261" s="274">
        <f t="shared" si="272"/>
        <v>12376300</v>
      </c>
      <c r="AE261" s="274">
        <f t="shared" si="272"/>
        <v>3855100</v>
      </c>
      <c r="AF261" s="273">
        <f t="shared" si="272"/>
        <v>16671300</v>
      </c>
      <c r="AG261" s="274">
        <f t="shared" si="272"/>
        <v>8648600</v>
      </c>
      <c r="AH261" s="221">
        <f t="shared" si="272"/>
        <v>8022700</v>
      </c>
      <c r="AI261" s="69">
        <f t="shared" si="272"/>
        <v>17143100</v>
      </c>
      <c r="AJ261" s="274">
        <f t="shared" si="272"/>
        <v>11782600</v>
      </c>
      <c r="AK261" s="238">
        <f t="shared" si="272"/>
        <v>5360500</v>
      </c>
      <c r="AL261" s="69">
        <f t="shared" ref="AL261:AN261" si="273">SUBTOTAL(9,AL4:AL260)</f>
        <v>17569500</v>
      </c>
      <c r="AM261" s="274">
        <f t="shared" si="273"/>
        <v>10023600</v>
      </c>
      <c r="AN261" s="238">
        <f t="shared" si="273"/>
        <v>7545900</v>
      </c>
      <c r="AP261" s="34">
        <v>12501600</v>
      </c>
      <c r="AQ261" s="34">
        <v>7349500</v>
      </c>
      <c r="AR261" s="34">
        <v>5152100</v>
      </c>
      <c r="AS261" s="265">
        <f t="shared" si="215"/>
        <v>4641500</v>
      </c>
      <c r="AT261" s="265">
        <f t="shared" si="216"/>
        <v>4433100</v>
      </c>
      <c r="AU261" s="265">
        <f t="shared" si="217"/>
        <v>208400</v>
      </c>
    </row>
    <row r="262" spans="1:47" ht="13.5" thickBot="1" x14ac:dyDescent="0.25">
      <c r="A262" s="1325"/>
      <c r="B262" s="113"/>
      <c r="C262" s="23"/>
      <c r="D262" s="83"/>
      <c r="E262" s="121"/>
      <c r="F262" s="23"/>
      <c r="G262" s="223"/>
      <c r="H262" s="158"/>
      <c r="I262" s="23"/>
      <c r="J262" s="83"/>
      <c r="K262" s="158"/>
      <c r="L262" s="23"/>
      <c r="M262" s="83"/>
      <c r="N262" s="113"/>
      <c r="O262" s="23"/>
      <c r="P262" s="83"/>
      <c r="Q262" s="113"/>
      <c r="R262" s="23"/>
      <c r="S262" s="1248"/>
      <c r="T262" s="113"/>
      <c r="U262" s="227"/>
      <c r="V262" s="227"/>
      <c r="W262" s="158"/>
      <c r="X262" s="227"/>
      <c r="Y262" s="83"/>
      <c r="Z262" s="158"/>
      <c r="AA262" s="227"/>
      <c r="AB262" s="83"/>
      <c r="AC262" s="113"/>
      <c r="AD262" s="227"/>
      <c r="AE262" s="227"/>
      <c r="AF262" s="158"/>
      <c r="AG262" s="227"/>
      <c r="AH262" s="83"/>
      <c r="AI262" s="113"/>
      <c r="AJ262" s="227"/>
      <c r="AK262" s="114"/>
      <c r="AL262" s="113"/>
      <c r="AM262" s="227"/>
      <c r="AN262" s="114"/>
      <c r="AS262" s="265">
        <f t="shared" si="215"/>
        <v>0</v>
      </c>
      <c r="AT262" s="265">
        <f t="shared" si="216"/>
        <v>0</v>
      </c>
      <c r="AU262" s="265">
        <f t="shared" si="217"/>
        <v>0</v>
      </c>
    </row>
    <row r="263" spans="1:47" ht="13.5" thickTop="1" x14ac:dyDescent="0.2"/>
    <row r="264" spans="1:47" x14ac:dyDescent="0.2">
      <c r="A264" s="34" t="s">
        <v>400</v>
      </c>
      <c r="B264" s="34">
        <f>B261-C261-D261</f>
        <v>0</v>
      </c>
      <c r="E264" s="39">
        <f>E261-F261-G261</f>
        <v>0</v>
      </c>
      <c r="H264" s="34">
        <f>H261-I261-J261</f>
        <v>0</v>
      </c>
      <c r="K264" s="34">
        <f>K261-L261-M261</f>
        <v>0</v>
      </c>
      <c r="N264" s="34">
        <f>N261-O261-P261</f>
        <v>0</v>
      </c>
      <c r="Q264" s="34">
        <f>Q261-R261-S261</f>
        <v>0</v>
      </c>
      <c r="T264" s="34">
        <f>T261-U261-V261</f>
        <v>0</v>
      </c>
      <c r="W264" s="34">
        <f>W261-X261-Y261</f>
        <v>0</v>
      </c>
      <c r="Z264" s="34">
        <f>Z261-AA261-AB261</f>
        <v>0</v>
      </c>
      <c r="AC264" s="34">
        <f>AC261-AD261-AE261</f>
        <v>0</v>
      </c>
      <c r="AF264" s="34">
        <f>AF261-AG261-AH261</f>
        <v>0</v>
      </c>
      <c r="AI264" s="34">
        <f>AI261-AJ261-AK261</f>
        <v>0</v>
      </c>
      <c r="AL264" s="34">
        <f>AL261-AM261-AN261</f>
        <v>0</v>
      </c>
      <c r="AP264" s="34">
        <v>0</v>
      </c>
    </row>
    <row r="265" spans="1:47" s="39" customFormat="1" x14ac:dyDescent="0.2">
      <c r="A265" s="39" t="s">
        <v>1901</v>
      </c>
    </row>
    <row r="267" spans="1:47" s="39" customFormat="1" x14ac:dyDescent="0.2">
      <c r="A267" s="34" t="s">
        <v>2787</v>
      </c>
    </row>
    <row r="268" spans="1:47" x14ac:dyDescent="0.2">
      <c r="A268" s="80" t="s">
        <v>3366</v>
      </c>
    </row>
    <row r="269" spans="1:47" x14ac:dyDescent="0.2">
      <c r="A269" s="80" t="s">
        <v>1352</v>
      </c>
    </row>
    <row r="270" spans="1:47" s="39" customFormat="1" x14ac:dyDescent="0.2">
      <c r="A270" s="34" t="s">
        <v>826</v>
      </c>
    </row>
    <row r="271" spans="1:47" x14ac:dyDescent="0.2">
      <c r="A271" s="80" t="s">
        <v>3899</v>
      </c>
    </row>
    <row r="421" spans="12:12" x14ac:dyDescent="0.2">
      <c r="L421" s="34">
        <f>334800+3907800</f>
        <v>4242600</v>
      </c>
    </row>
    <row r="422" spans="12:12" x14ac:dyDescent="0.2">
      <c r="L422" s="34">
        <f>4378200</f>
        <v>4378200</v>
      </c>
    </row>
    <row r="423" spans="12:12" x14ac:dyDescent="0.2">
      <c r="L423" s="34">
        <f>L421-L422</f>
        <v>-135600</v>
      </c>
    </row>
    <row r="1127" spans="5:5" x14ac:dyDescent="0.2">
      <c r="E1127" s="34" t="s">
        <v>7245</v>
      </c>
    </row>
  </sheetData>
  <mergeCells count="25">
    <mergeCell ref="A1:S1"/>
    <mergeCell ref="AF2:AH2"/>
    <mergeCell ref="AF121:AH121"/>
    <mergeCell ref="AC2:AE2"/>
    <mergeCell ref="AC121:AE121"/>
    <mergeCell ref="Z2:AB2"/>
    <mergeCell ref="Z121:AB121"/>
    <mergeCell ref="T121:V121"/>
    <mergeCell ref="W121:Y121"/>
    <mergeCell ref="W2:Y2"/>
    <mergeCell ref="T2:V2"/>
    <mergeCell ref="H2:J2"/>
    <mergeCell ref="K2:M2"/>
    <mergeCell ref="H121:J121"/>
    <mergeCell ref="AL2:AN2"/>
    <mergeCell ref="AL121:AN121"/>
    <mergeCell ref="Q2:S2"/>
    <mergeCell ref="N2:P2"/>
    <mergeCell ref="K121:M121"/>
    <mergeCell ref="A120:S120"/>
    <mergeCell ref="Q121:S121"/>
    <mergeCell ref="N121:P121"/>
    <mergeCell ref="A118:S118"/>
    <mergeCell ref="AI2:AK2"/>
    <mergeCell ref="AI121:AK121"/>
  </mergeCells>
  <phoneticPr fontId="9" type="noConversion"/>
  <printOptions horizontalCentered="1"/>
  <pageMargins left="0" right="0" top="0.59055118110236227" bottom="0" header="0" footer="0"/>
  <pageSetup paperSize="8" scale="75" orientation="landscape" r:id="rId1"/>
  <headerFooter alignWithMargins="0"/>
  <rowBreaks count="1" manualBreakCount="1">
    <brk id="119" max="16383" man="1"/>
  </rowBreaks>
  <colBreaks count="1" manualBreakCount="1">
    <brk id="20"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Q1113"/>
  <sheetViews>
    <sheetView zoomScale="98" zoomScaleNormal="98" workbookViewId="0">
      <pane xSplit="1" ySplit="3" topLeftCell="B4" activePane="bottomRight" state="frozen"/>
      <selection activeCell="E788" sqref="E788"/>
      <selection pane="topRight" activeCell="E788" sqref="E788"/>
      <selection pane="bottomLeft" activeCell="E788" sqref="E788"/>
      <selection pane="bottomRight" activeCell="O27" sqref="O27"/>
    </sheetView>
  </sheetViews>
  <sheetFormatPr defaultColWidth="9.140625" defaultRowHeight="12.75" x14ac:dyDescent="0.2"/>
  <cols>
    <col min="1" max="1" width="30.7109375" style="34" customWidth="1"/>
    <col min="2" max="2" width="10.140625" style="34" hidden="1" customWidth="1"/>
    <col min="3" max="3" width="12.42578125" style="34" hidden="1" customWidth="1"/>
    <col min="4" max="4" width="12.140625" style="34" hidden="1" customWidth="1"/>
    <col min="5" max="5" width="10.140625" style="34" hidden="1" customWidth="1"/>
    <col min="6" max="6" width="12.5703125" style="34" hidden="1" customWidth="1"/>
    <col min="7" max="7" width="13.42578125" style="34" hidden="1" customWidth="1"/>
    <col min="8" max="8" width="10.140625" style="34" bestFit="1" customWidth="1"/>
    <col min="9" max="9" width="11.28515625" style="34" bestFit="1" customWidth="1"/>
    <col min="10" max="11" width="10.140625" style="34" bestFit="1" customWidth="1"/>
    <col min="12" max="12" width="11.28515625" style="34" bestFit="1" customWidth="1"/>
    <col min="13" max="13" width="10.140625" style="34" bestFit="1" customWidth="1"/>
    <col min="14" max="14" width="10.28515625" style="34" customWidth="1"/>
    <col min="15" max="15" width="11.28515625" style="34" bestFit="1" customWidth="1"/>
    <col min="16" max="17" width="10.28515625" style="34" customWidth="1"/>
    <col min="18" max="18" width="11.28515625" style="34" bestFit="1" customWidth="1"/>
    <col min="19" max="21" width="10.28515625" style="34" customWidth="1"/>
    <col min="22" max="23" width="11.28515625" style="34" bestFit="1" customWidth="1"/>
    <col min="24" max="24" width="10.42578125" style="34" bestFit="1" customWidth="1"/>
    <col min="25" max="26" width="11.28515625" style="34" bestFit="1" customWidth="1"/>
    <col min="27" max="40" width="10.28515625" style="34" customWidth="1"/>
    <col min="41" max="16384" width="9.140625" style="34"/>
  </cols>
  <sheetData>
    <row r="1" spans="1:43" ht="18.75" customHeight="1" thickTop="1" thickBot="1" x14ac:dyDescent="0.25">
      <c r="A1" s="2653" t="s">
        <v>6823</v>
      </c>
      <c r="B1" s="2654"/>
      <c r="C1" s="2654"/>
      <c r="D1" s="2654"/>
      <c r="E1" s="2654"/>
      <c r="F1" s="2654"/>
      <c r="G1" s="2654"/>
      <c r="H1" s="2654"/>
      <c r="I1" s="2654"/>
      <c r="J1" s="2654"/>
      <c r="K1" s="2654"/>
      <c r="L1" s="2654"/>
      <c r="M1" s="2654"/>
      <c r="N1" s="2654"/>
      <c r="O1" s="2654"/>
      <c r="P1" s="2654"/>
      <c r="Q1" s="2654"/>
      <c r="R1" s="2654"/>
      <c r="S1" s="2655"/>
      <c r="T1" s="1039"/>
      <c r="U1" s="1039"/>
      <c r="V1" s="1039"/>
      <c r="W1" s="1039"/>
      <c r="X1" s="1039"/>
      <c r="Y1" s="1039"/>
      <c r="Z1" s="1039"/>
      <c r="AA1" s="1039"/>
      <c r="AB1" s="1039"/>
      <c r="AC1" s="1039"/>
      <c r="AD1" s="1039"/>
      <c r="AE1" s="1039"/>
      <c r="AF1" s="1039"/>
      <c r="AG1" s="1039"/>
      <c r="AH1" s="1039"/>
      <c r="AI1" s="1039"/>
      <c r="AJ1" s="1039"/>
      <c r="AK1" s="1039"/>
      <c r="AL1" s="1039"/>
      <c r="AM1" s="1039"/>
      <c r="AN1" s="1092"/>
    </row>
    <row r="2" spans="1:43" ht="13.5" thickBot="1" x14ac:dyDescent="0.25">
      <c r="A2" s="406" t="s">
        <v>1526</v>
      </c>
      <c r="B2" s="2651" t="str">
        <f>SP!D3</f>
        <v>2015/16</v>
      </c>
      <c r="C2" s="2651"/>
      <c r="D2" s="2652"/>
      <c r="E2" s="2651" t="str">
        <f>SP!E3</f>
        <v>2016/17</v>
      </c>
      <c r="F2" s="2651"/>
      <c r="G2" s="2652"/>
      <c r="H2" s="2651" t="str">
        <f>SP!H3</f>
        <v>2017/18</v>
      </c>
      <c r="I2" s="2651"/>
      <c r="J2" s="2652"/>
      <c r="K2" s="2646" t="str">
        <f>SP!J3</f>
        <v>2018/19</v>
      </c>
      <c r="L2" s="2646"/>
      <c r="M2" s="2646"/>
      <c r="N2" s="2648" t="str">
        <f>SP!K3</f>
        <v>2019/20</v>
      </c>
      <c r="O2" s="2646"/>
      <c r="P2" s="2649"/>
      <c r="Q2" s="2646" t="str">
        <f>SP!L3</f>
        <v>2020/21</v>
      </c>
      <c r="R2" s="2646"/>
      <c r="S2" s="2647"/>
      <c r="T2" s="2646" t="str">
        <f>SP!M3</f>
        <v>2021/22</v>
      </c>
      <c r="U2" s="2646"/>
      <c r="V2" s="2649"/>
      <c r="W2" s="2646" t="str">
        <f>SP!N3</f>
        <v>2022/23</v>
      </c>
      <c r="X2" s="2646"/>
      <c r="Y2" s="2649"/>
      <c r="Z2" s="2648" t="str">
        <f>SP!O3</f>
        <v>2023/24</v>
      </c>
      <c r="AA2" s="2646"/>
      <c r="AB2" s="2649"/>
      <c r="AC2" s="2648" t="str">
        <f>SP!P3</f>
        <v>2024/25</v>
      </c>
      <c r="AD2" s="2646"/>
      <c r="AE2" s="2649"/>
      <c r="AF2" s="2648" t="str">
        <f>SP!Q3</f>
        <v>2025/26</v>
      </c>
      <c r="AG2" s="2646"/>
      <c r="AH2" s="2649"/>
      <c r="AI2" s="2648" t="str">
        <f>SP!R3</f>
        <v>2026/27</v>
      </c>
      <c r="AJ2" s="2646"/>
      <c r="AK2" s="2649"/>
      <c r="AL2" s="2646" t="str">
        <f>SP!S3</f>
        <v>2027/28</v>
      </c>
      <c r="AM2" s="2646"/>
      <c r="AN2" s="2647"/>
    </row>
    <row r="3" spans="1:43" ht="13.5" thickBot="1" x14ac:dyDescent="0.25">
      <c r="A3" s="291"/>
      <c r="B3" s="229" t="s">
        <v>724</v>
      </c>
      <c r="C3" s="219" t="s">
        <v>195</v>
      </c>
      <c r="D3" s="222" t="s">
        <v>196</v>
      </c>
      <c r="E3" s="393" t="str">
        <f t="shared" ref="E3:P3" si="0">B3</f>
        <v>Opening</v>
      </c>
      <c r="F3" s="219" t="str">
        <f t="shared" si="0"/>
        <v>Movement</v>
      </c>
      <c r="G3" s="222" t="str">
        <f t="shared" si="0"/>
        <v>Closing</v>
      </c>
      <c r="H3" s="229" t="str">
        <f>E3</f>
        <v>Opening</v>
      </c>
      <c r="I3" s="219" t="str">
        <f>F3</f>
        <v>Movement</v>
      </c>
      <c r="J3" s="222" t="str">
        <f>G3</f>
        <v>Closing</v>
      </c>
      <c r="K3" s="229" t="str">
        <f>E3</f>
        <v>Opening</v>
      </c>
      <c r="L3" s="219" t="str">
        <f>F3</f>
        <v>Movement</v>
      </c>
      <c r="M3" s="388" t="str">
        <f>G3</f>
        <v>Closing</v>
      </c>
      <c r="N3" s="393" t="str">
        <f t="shared" si="0"/>
        <v>Opening</v>
      </c>
      <c r="O3" s="219" t="str">
        <f t="shared" si="0"/>
        <v>Movement</v>
      </c>
      <c r="P3" s="222" t="str">
        <f t="shared" si="0"/>
        <v>Closing</v>
      </c>
      <c r="Q3" s="229" t="str">
        <f t="shared" ref="Q3:Y3" si="1">N3</f>
        <v>Opening</v>
      </c>
      <c r="R3" s="219" t="str">
        <f t="shared" si="1"/>
        <v>Movement</v>
      </c>
      <c r="S3" s="230" t="str">
        <f t="shared" si="1"/>
        <v>Closing</v>
      </c>
      <c r="T3" s="229" t="str">
        <f t="shared" si="1"/>
        <v>Opening</v>
      </c>
      <c r="U3" s="219" t="str">
        <f t="shared" si="1"/>
        <v>Movement</v>
      </c>
      <c r="V3" s="222" t="str">
        <f t="shared" si="1"/>
        <v>Closing</v>
      </c>
      <c r="W3" s="219" t="str">
        <f t="shared" si="1"/>
        <v>Opening</v>
      </c>
      <c r="X3" s="219" t="str">
        <f t="shared" si="1"/>
        <v>Movement</v>
      </c>
      <c r="Y3" s="222" t="str">
        <f t="shared" si="1"/>
        <v>Closing</v>
      </c>
      <c r="Z3" s="393" t="str">
        <f t="shared" ref="Z3:AE3" si="2">W3</f>
        <v>Opening</v>
      </c>
      <c r="AA3" s="219" t="str">
        <f t="shared" si="2"/>
        <v>Movement</v>
      </c>
      <c r="AB3" s="222" t="str">
        <f t="shared" si="2"/>
        <v>Closing</v>
      </c>
      <c r="AC3" s="393" t="str">
        <f t="shared" si="2"/>
        <v>Opening</v>
      </c>
      <c r="AD3" s="219" t="str">
        <f t="shared" si="2"/>
        <v>Movement</v>
      </c>
      <c r="AE3" s="222" t="str">
        <f t="shared" si="2"/>
        <v>Closing</v>
      </c>
      <c r="AF3" s="393" t="str">
        <f t="shared" ref="AF3" si="3">AC3</f>
        <v>Opening</v>
      </c>
      <c r="AG3" s="219" t="str">
        <f t="shared" ref="AG3" si="4">AD3</f>
        <v>Movement</v>
      </c>
      <c r="AH3" s="222" t="str">
        <f t="shared" ref="AH3" si="5">AE3</f>
        <v>Closing</v>
      </c>
      <c r="AI3" s="393" t="str">
        <f t="shared" ref="AI3" si="6">AF3</f>
        <v>Opening</v>
      </c>
      <c r="AJ3" s="219" t="str">
        <f t="shared" ref="AJ3" si="7">AG3</f>
        <v>Movement</v>
      </c>
      <c r="AK3" s="222" t="str">
        <f t="shared" ref="AK3" si="8">AH3</f>
        <v>Closing</v>
      </c>
      <c r="AL3" s="229" t="str">
        <f t="shared" ref="AL3" si="9">AI3</f>
        <v>Opening</v>
      </c>
      <c r="AM3" s="219" t="str">
        <f t="shared" ref="AM3" si="10">AJ3</f>
        <v>Movement</v>
      </c>
      <c r="AN3" s="230" t="str">
        <f t="shared" ref="AN3" si="11">AK3</f>
        <v>Closing</v>
      </c>
    </row>
    <row r="4" spans="1:43" ht="15" customHeight="1" x14ac:dyDescent="0.2">
      <c r="A4" s="407"/>
      <c r="B4" s="284"/>
      <c r="C4" s="220"/>
      <c r="D4" s="383"/>
      <c r="E4" s="405"/>
      <c r="F4" s="220"/>
      <c r="G4" s="383"/>
      <c r="H4" s="284"/>
      <c r="I4" s="220"/>
      <c r="J4" s="383"/>
      <c r="K4" s="284"/>
      <c r="L4" s="220"/>
      <c r="M4" s="384"/>
      <c r="N4" s="1040"/>
      <c r="O4" s="220"/>
      <c r="P4" s="1638"/>
      <c r="Q4" s="384"/>
      <c r="R4" s="220"/>
      <c r="S4" s="957"/>
      <c r="T4" s="384"/>
      <c r="U4" s="220"/>
      <c r="V4" s="235"/>
      <c r="W4" s="384"/>
      <c r="X4" s="220"/>
      <c r="Y4" s="235"/>
      <c r="Z4" s="1040"/>
      <c r="AA4" s="220"/>
      <c r="AB4" s="235"/>
      <c r="AC4" s="1040"/>
      <c r="AD4" s="220"/>
      <c r="AE4" s="235"/>
      <c r="AF4" s="1040"/>
      <c r="AG4" s="220"/>
      <c r="AH4" s="235"/>
      <c r="AI4" s="2341"/>
      <c r="AJ4" s="220"/>
      <c r="AK4" s="235"/>
      <c r="AL4" s="2237"/>
      <c r="AM4" s="220"/>
      <c r="AN4" s="957"/>
    </row>
    <row r="5" spans="1:43" s="236" customFormat="1" x14ac:dyDescent="0.2">
      <c r="A5" s="410" t="str">
        <f>'Res-Gen'!A5</f>
        <v>Strategic and Community Facilities Group</v>
      </c>
      <c r="B5" s="89"/>
      <c r="C5" s="9"/>
      <c r="D5" s="76"/>
      <c r="E5" s="350"/>
      <c r="F5" s="9"/>
      <c r="G5" s="76"/>
      <c r="H5" s="46"/>
      <c r="I5" s="9"/>
      <c r="J5" s="76"/>
      <c r="K5" s="89"/>
      <c r="L5" s="9"/>
      <c r="M5" s="46"/>
      <c r="N5" s="350"/>
      <c r="O5" s="9"/>
      <c r="P5" s="76"/>
      <c r="Q5" s="46"/>
      <c r="R5" s="9"/>
      <c r="S5" s="61"/>
      <c r="T5" s="46"/>
      <c r="U5" s="9"/>
      <c r="V5" s="49"/>
      <c r="W5" s="46"/>
      <c r="X5" s="9"/>
      <c r="Y5" s="49"/>
      <c r="Z5" s="350"/>
      <c r="AA5" s="9"/>
      <c r="AB5" s="49"/>
      <c r="AC5" s="350"/>
      <c r="AD5" s="9"/>
      <c r="AE5" s="49"/>
      <c r="AF5" s="350"/>
      <c r="AG5" s="9"/>
      <c r="AH5" s="49"/>
      <c r="AI5" s="350"/>
      <c r="AJ5" s="9"/>
      <c r="AK5" s="49"/>
      <c r="AL5" s="46"/>
      <c r="AM5" s="9"/>
      <c r="AN5" s="61"/>
    </row>
    <row r="6" spans="1:43" x14ac:dyDescent="0.2">
      <c r="A6" s="633" t="s">
        <v>5258</v>
      </c>
      <c r="B6" s="89">
        <v>4660100</v>
      </c>
      <c r="C6" s="9">
        <f>'Res-Gen'!D7</f>
        <v>531500</v>
      </c>
      <c r="D6" s="76">
        <f t="shared" ref="D6:D14" si="12">B6+C6</f>
        <v>5191600</v>
      </c>
      <c r="E6" s="350">
        <f t="shared" ref="E6:E15" si="13">D6</f>
        <v>5191600</v>
      </c>
      <c r="F6" s="9">
        <f>'Res-Gen'!G7</f>
        <v>1192800</v>
      </c>
      <c r="G6" s="76">
        <f t="shared" ref="G6:G15" si="14">E6+F6</f>
        <v>6384400</v>
      </c>
      <c r="H6" s="46">
        <f t="shared" ref="H6:H15" si="15">G6</f>
        <v>6384400</v>
      </c>
      <c r="I6" s="9">
        <f>'Res-Gen'!J7</f>
        <v>2317800</v>
      </c>
      <c r="J6" s="76">
        <f t="shared" ref="J6:J15" si="16">H6+I6</f>
        <v>8702200</v>
      </c>
      <c r="K6" s="89">
        <f t="shared" ref="K6:K15" si="17">J6</f>
        <v>8702200</v>
      </c>
      <c r="L6" s="9">
        <f>'Res-Gen'!M7</f>
        <v>6506500</v>
      </c>
      <c r="M6" s="46">
        <f t="shared" ref="M6:M15" si="18">K6+L6</f>
        <v>15208700</v>
      </c>
      <c r="N6" s="350">
        <f t="shared" ref="N6:N15" si="19">M6</f>
        <v>15208700</v>
      </c>
      <c r="O6" s="9">
        <f>'Res-Gen'!P7</f>
        <v>-10343500</v>
      </c>
      <c r="P6" s="76">
        <f t="shared" ref="P6:P15" si="20">N6+O6</f>
        <v>4865200</v>
      </c>
      <c r="Q6" s="46">
        <f t="shared" ref="Q6:Q15" si="21">P6</f>
        <v>4865200</v>
      </c>
      <c r="R6" s="9">
        <f>'Res-Gen'!S7</f>
        <v>-745500</v>
      </c>
      <c r="S6" s="61">
        <f t="shared" ref="S6:S15" si="22">Q6+R6</f>
        <v>4119700</v>
      </c>
      <c r="T6" s="46">
        <f t="shared" ref="T6:T15" si="23">S6</f>
        <v>4119700</v>
      </c>
      <c r="U6" s="9">
        <f>'Res-Gen'!V7</f>
        <v>53500</v>
      </c>
      <c r="V6" s="49">
        <f t="shared" ref="V6:V15" si="24">T6+U6</f>
        <v>4173200</v>
      </c>
      <c r="W6" s="46">
        <f t="shared" ref="W6:W15" si="25">V6</f>
        <v>4173200</v>
      </c>
      <c r="X6" s="9">
        <f>'Res-Gen'!Y7</f>
        <v>5566500</v>
      </c>
      <c r="Y6" s="49">
        <f t="shared" ref="Y6:Y15" si="26">W6+X6</f>
        <v>9739700</v>
      </c>
      <c r="Z6" s="350">
        <f t="shared" ref="Z6:Z15" si="27">Y6</f>
        <v>9739700</v>
      </c>
      <c r="AA6" s="9">
        <f>'Res-Gen'!AB7</f>
        <v>5803000</v>
      </c>
      <c r="AB6" s="49">
        <f t="shared" ref="AB6:AB15" si="28">Z6+AA6</f>
        <v>15542700</v>
      </c>
      <c r="AC6" s="350">
        <f t="shared" ref="AC6:AC9" si="29">AB6</f>
        <v>15542700</v>
      </c>
      <c r="AD6" s="9">
        <f>'Res-Gen'!AE7</f>
        <v>6083500</v>
      </c>
      <c r="AE6" s="49">
        <f t="shared" ref="AE6:AE9" si="30">AC6+AD6</f>
        <v>21626200</v>
      </c>
      <c r="AF6" s="350">
        <f t="shared" ref="AF6:AF9" si="31">AE6</f>
        <v>21626200</v>
      </c>
      <c r="AG6" s="9">
        <f>'Res-Gen'!AH7</f>
        <v>6375000</v>
      </c>
      <c r="AH6" s="49">
        <f t="shared" ref="AH6:AH9" si="32">AF6+AG6</f>
        <v>28001200</v>
      </c>
      <c r="AI6" s="350">
        <f t="shared" ref="AI6:AI12" si="33">AH6</f>
        <v>28001200</v>
      </c>
      <c r="AJ6" s="9">
        <f>'Res-Gen'!AK7</f>
        <v>6676000</v>
      </c>
      <c r="AK6" s="49">
        <f t="shared" ref="AK6:AK12" si="34">AI6+AJ6</f>
        <v>34677200</v>
      </c>
      <c r="AL6" s="46">
        <f t="shared" ref="AL6:AL12" si="35">AK6</f>
        <v>34677200</v>
      </c>
      <c r="AM6" s="9">
        <f>'Res-Gen'!AN7</f>
        <v>6988500</v>
      </c>
      <c r="AN6" s="61">
        <f>AL6+AM6</f>
        <v>41665700</v>
      </c>
      <c r="AO6" s="265"/>
      <c r="AP6" s="265"/>
      <c r="AQ6" s="265"/>
    </row>
    <row r="7" spans="1:43" s="236" customFormat="1" x14ac:dyDescent="0.2">
      <c r="A7" s="408" t="str">
        <f>'Res-Gen'!A8</f>
        <v>Strategic Planning Studies</v>
      </c>
      <c r="B7" s="89">
        <v>401100</v>
      </c>
      <c r="C7" s="9">
        <f>'Res-Gen'!D8</f>
        <v>69600</v>
      </c>
      <c r="D7" s="76">
        <f t="shared" si="12"/>
        <v>470700</v>
      </c>
      <c r="E7" s="350">
        <f t="shared" si="13"/>
        <v>470700</v>
      </c>
      <c r="F7" s="9">
        <f>'Res-Gen'!G8</f>
        <v>600</v>
      </c>
      <c r="G7" s="76">
        <f t="shared" si="14"/>
        <v>471300</v>
      </c>
      <c r="H7" s="46">
        <f t="shared" si="15"/>
        <v>471300</v>
      </c>
      <c r="I7" s="9">
        <f>'Res-Gen'!J8+'Res-Gen'!J9</f>
        <v>-158200</v>
      </c>
      <c r="J7" s="76">
        <f t="shared" si="16"/>
        <v>313100</v>
      </c>
      <c r="K7" s="89">
        <f t="shared" si="17"/>
        <v>313100</v>
      </c>
      <c r="L7" s="9">
        <f>'Res-Gen'!M8</f>
        <v>0</v>
      </c>
      <c r="M7" s="46">
        <f t="shared" si="18"/>
        <v>313100</v>
      </c>
      <c r="N7" s="350">
        <f t="shared" si="19"/>
        <v>313100</v>
      </c>
      <c r="O7" s="9">
        <f>'Res-Gen'!P8</f>
        <v>0</v>
      </c>
      <c r="P7" s="76">
        <f t="shared" si="20"/>
        <v>313100</v>
      </c>
      <c r="Q7" s="46">
        <f t="shared" si="21"/>
        <v>313100</v>
      </c>
      <c r="R7" s="9">
        <f>'Res-Gen'!S8</f>
        <v>0</v>
      </c>
      <c r="S7" s="61">
        <f t="shared" si="22"/>
        <v>313100</v>
      </c>
      <c r="T7" s="46">
        <f t="shared" si="23"/>
        <v>313100</v>
      </c>
      <c r="U7" s="9">
        <f>'Res-Gen'!V8</f>
        <v>0</v>
      </c>
      <c r="V7" s="49">
        <f t="shared" si="24"/>
        <v>313100</v>
      </c>
      <c r="W7" s="46">
        <f t="shared" si="25"/>
        <v>313100</v>
      </c>
      <c r="X7" s="9">
        <f>'Res-Gen'!Y8</f>
        <v>0</v>
      </c>
      <c r="Y7" s="49">
        <f t="shared" si="26"/>
        <v>313100</v>
      </c>
      <c r="Z7" s="350">
        <f t="shared" si="27"/>
        <v>313100</v>
      </c>
      <c r="AA7" s="9">
        <f>'Res-Gen'!AB8</f>
        <v>0</v>
      </c>
      <c r="AB7" s="49">
        <f t="shared" si="28"/>
        <v>313100</v>
      </c>
      <c r="AC7" s="350">
        <f t="shared" si="29"/>
        <v>313100</v>
      </c>
      <c r="AD7" s="9">
        <f>'Res-Gen'!AE8</f>
        <v>0</v>
      </c>
      <c r="AE7" s="49">
        <f t="shared" si="30"/>
        <v>313100</v>
      </c>
      <c r="AF7" s="350">
        <f t="shared" si="31"/>
        <v>313100</v>
      </c>
      <c r="AG7" s="9">
        <f>'Res-Gen'!AH8</f>
        <v>0</v>
      </c>
      <c r="AH7" s="49">
        <f t="shared" si="32"/>
        <v>313100</v>
      </c>
      <c r="AI7" s="350">
        <f t="shared" si="33"/>
        <v>313100</v>
      </c>
      <c r="AJ7" s="9">
        <f>'Res-Gen'!AK8</f>
        <v>0</v>
      </c>
      <c r="AK7" s="49">
        <f t="shared" si="34"/>
        <v>313100</v>
      </c>
      <c r="AL7" s="46">
        <f t="shared" si="35"/>
        <v>313100</v>
      </c>
      <c r="AM7" s="9">
        <f>'Res-Gen'!AN8</f>
        <v>0</v>
      </c>
      <c r="AN7" s="61">
        <f t="shared" ref="AN7:AN12" si="36">AL7+AM7</f>
        <v>313100</v>
      </c>
    </row>
    <row r="8" spans="1:43" s="236" customFormat="1" x14ac:dyDescent="0.2">
      <c r="A8" s="633" t="s">
        <v>3501</v>
      </c>
      <c r="B8" s="89">
        <f>50500+27700</f>
        <v>78200</v>
      </c>
      <c r="C8" s="9">
        <f>'Res-Gen'!D10+'Res-Gen'!D155</f>
        <v>27900</v>
      </c>
      <c r="D8" s="76">
        <f t="shared" ref="D8" si="37">B8+C8</f>
        <v>106100</v>
      </c>
      <c r="E8" s="350">
        <f t="shared" ref="E8" si="38">D8</f>
        <v>106100</v>
      </c>
      <c r="F8" s="9">
        <f>'Res-Gen'!G10</f>
        <v>-23300</v>
      </c>
      <c r="G8" s="76">
        <f t="shared" ref="G8" si="39">E8+F8</f>
        <v>82800</v>
      </c>
      <c r="H8" s="46">
        <f t="shared" ref="H8" si="40">G8</f>
        <v>82800</v>
      </c>
      <c r="I8" s="9">
        <f>'Res-Gen'!J10</f>
        <v>0</v>
      </c>
      <c r="J8" s="76">
        <f t="shared" ref="J8" si="41">H8+I8</f>
        <v>82800</v>
      </c>
      <c r="K8" s="89">
        <f t="shared" ref="K8" si="42">J8</f>
        <v>82800</v>
      </c>
      <c r="L8" s="9">
        <f>'Res-Gen'!M10</f>
        <v>0</v>
      </c>
      <c r="M8" s="46">
        <f t="shared" ref="M8" si="43">K8+L8</f>
        <v>82800</v>
      </c>
      <c r="N8" s="350">
        <f t="shared" ref="N8" si="44">M8</f>
        <v>82800</v>
      </c>
      <c r="O8" s="9">
        <f>'Res-Gen'!P10</f>
        <v>0</v>
      </c>
      <c r="P8" s="76">
        <f t="shared" ref="P8" si="45">N8+O8</f>
        <v>82800</v>
      </c>
      <c r="Q8" s="46">
        <f t="shared" ref="Q8" si="46">P8</f>
        <v>82800</v>
      </c>
      <c r="R8" s="9">
        <f>'Res-Gen'!S10</f>
        <v>0</v>
      </c>
      <c r="S8" s="61">
        <f t="shared" ref="S8" si="47">Q8+R8</f>
        <v>82800</v>
      </c>
      <c r="T8" s="46">
        <f t="shared" ref="T8" si="48">S8</f>
        <v>82800</v>
      </c>
      <c r="U8" s="9">
        <f>'Res-Gen'!V10</f>
        <v>0</v>
      </c>
      <c r="V8" s="49">
        <f t="shared" ref="V8" si="49">T8+U8</f>
        <v>82800</v>
      </c>
      <c r="W8" s="46">
        <f t="shared" ref="W8" si="50">V8</f>
        <v>82800</v>
      </c>
      <c r="X8" s="9">
        <f>'Res-Gen'!Y10</f>
        <v>0</v>
      </c>
      <c r="Y8" s="49">
        <f t="shared" ref="Y8" si="51">W8+X8</f>
        <v>82800</v>
      </c>
      <c r="Z8" s="350">
        <f t="shared" ref="Z8" si="52">Y8</f>
        <v>82800</v>
      </c>
      <c r="AA8" s="9">
        <f>'Res-Gen'!AB10</f>
        <v>0</v>
      </c>
      <c r="AB8" s="49">
        <f t="shared" ref="AB8" si="53">Z8+AA8</f>
        <v>82800</v>
      </c>
      <c r="AC8" s="350">
        <f t="shared" si="29"/>
        <v>82800</v>
      </c>
      <c r="AD8" s="9">
        <f>'Res-Gen'!AE10</f>
        <v>0</v>
      </c>
      <c r="AE8" s="49">
        <f t="shared" si="30"/>
        <v>82800</v>
      </c>
      <c r="AF8" s="350">
        <f t="shared" si="31"/>
        <v>82800</v>
      </c>
      <c r="AG8" s="9">
        <f>'Res-Gen'!AH10</f>
        <v>0</v>
      </c>
      <c r="AH8" s="49">
        <f t="shared" si="32"/>
        <v>82800</v>
      </c>
      <c r="AI8" s="350">
        <f t="shared" si="33"/>
        <v>82800</v>
      </c>
      <c r="AJ8" s="9">
        <f>'Res-Gen'!AK10</f>
        <v>0</v>
      </c>
      <c r="AK8" s="49">
        <f t="shared" si="34"/>
        <v>82800</v>
      </c>
      <c r="AL8" s="46">
        <f t="shared" si="35"/>
        <v>82800</v>
      </c>
      <c r="AM8" s="9">
        <f>'Res-Gen'!AN10</f>
        <v>0</v>
      </c>
      <c r="AN8" s="61">
        <f t="shared" si="36"/>
        <v>82800</v>
      </c>
    </row>
    <row r="9" spans="1:43" s="236" customFormat="1" x14ac:dyDescent="0.2">
      <c r="A9" s="633" t="s">
        <v>3584</v>
      </c>
      <c r="B9" s="89">
        <v>26600</v>
      </c>
      <c r="C9" s="9">
        <f>'Res-Gen'!D11</f>
        <v>0</v>
      </c>
      <c r="D9" s="76">
        <f t="shared" si="12"/>
        <v>26600</v>
      </c>
      <c r="E9" s="350">
        <f t="shared" si="13"/>
        <v>26600</v>
      </c>
      <c r="F9" s="9">
        <f>'Res-Gen'!G11</f>
        <v>0</v>
      </c>
      <c r="G9" s="76">
        <f t="shared" si="14"/>
        <v>26600</v>
      </c>
      <c r="H9" s="46">
        <f t="shared" si="15"/>
        <v>26600</v>
      </c>
      <c r="I9" s="9">
        <f>'Res-Gen'!J11</f>
        <v>0</v>
      </c>
      <c r="J9" s="76">
        <f t="shared" si="16"/>
        <v>26600</v>
      </c>
      <c r="K9" s="89">
        <f t="shared" si="17"/>
        <v>26600</v>
      </c>
      <c r="L9" s="9">
        <f>'Res-Gen'!M11</f>
        <v>0</v>
      </c>
      <c r="M9" s="46">
        <f t="shared" si="18"/>
        <v>26600</v>
      </c>
      <c r="N9" s="350">
        <f t="shared" si="19"/>
        <v>26600</v>
      </c>
      <c r="O9" s="9">
        <f>'Res-Gen'!P11</f>
        <v>0</v>
      </c>
      <c r="P9" s="76">
        <f t="shared" si="20"/>
        <v>26600</v>
      </c>
      <c r="Q9" s="46">
        <f t="shared" si="21"/>
        <v>26600</v>
      </c>
      <c r="R9" s="9">
        <f>'Res-Gen'!S11</f>
        <v>0</v>
      </c>
      <c r="S9" s="61">
        <f t="shared" si="22"/>
        <v>26600</v>
      </c>
      <c r="T9" s="46">
        <f t="shared" si="23"/>
        <v>26600</v>
      </c>
      <c r="U9" s="9">
        <f>'Res-Gen'!V11</f>
        <v>0</v>
      </c>
      <c r="V9" s="49">
        <f t="shared" si="24"/>
        <v>26600</v>
      </c>
      <c r="W9" s="46">
        <f t="shared" si="25"/>
        <v>26600</v>
      </c>
      <c r="X9" s="9">
        <f>'Res-Gen'!Y11</f>
        <v>0</v>
      </c>
      <c r="Y9" s="49">
        <f t="shared" si="26"/>
        <v>26600</v>
      </c>
      <c r="Z9" s="350">
        <f t="shared" si="27"/>
        <v>26600</v>
      </c>
      <c r="AA9" s="9">
        <f>'Res-Gen'!AB11</f>
        <v>0</v>
      </c>
      <c r="AB9" s="49">
        <f t="shared" si="28"/>
        <v>26600</v>
      </c>
      <c r="AC9" s="350">
        <f t="shared" si="29"/>
        <v>26600</v>
      </c>
      <c r="AD9" s="9">
        <f>'Res-Gen'!AE11</f>
        <v>0</v>
      </c>
      <c r="AE9" s="49">
        <f t="shared" si="30"/>
        <v>26600</v>
      </c>
      <c r="AF9" s="350">
        <f t="shared" si="31"/>
        <v>26600</v>
      </c>
      <c r="AG9" s="9">
        <f>'Res-Gen'!AH11</f>
        <v>0</v>
      </c>
      <c r="AH9" s="49">
        <f t="shared" si="32"/>
        <v>26600</v>
      </c>
      <c r="AI9" s="350">
        <f t="shared" si="33"/>
        <v>26600</v>
      </c>
      <c r="AJ9" s="9">
        <f>'Res-Gen'!AK11</f>
        <v>0</v>
      </c>
      <c r="AK9" s="49">
        <f t="shared" si="34"/>
        <v>26600</v>
      </c>
      <c r="AL9" s="46">
        <f t="shared" si="35"/>
        <v>26600</v>
      </c>
      <c r="AM9" s="9">
        <f>'Res-Gen'!AN11</f>
        <v>0</v>
      </c>
      <c r="AN9" s="61">
        <f t="shared" si="36"/>
        <v>26600</v>
      </c>
    </row>
    <row r="10" spans="1:43" s="236" customFormat="1" x14ac:dyDescent="0.2">
      <c r="A10" s="633" t="s">
        <v>4125</v>
      </c>
      <c r="B10" s="89">
        <v>7100</v>
      </c>
      <c r="C10" s="9">
        <f>'Res-Gen'!D15</f>
        <v>-1800</v>
      </c>
      <c r="D10" s="76">
        <f t="shared" ref="D10" si="54">B10+C10</f>
        <v>5300</v>
      </c>
      <c r="E10" s="350">
        <f t="shared" ref="E10" si="55">D10</f>
        <v>5300</v>
      </c>
      <c r="F10" s="9">
        <f>'Res-Gen'!G15</f>
        <v>-5300</v>
      </c>
      <c r="G10" s="76">
        <f t="shared" ref="G10" si="56">E10+F10</f>
        <v>0</v>
      </c>
      <c r="H10" s="46">
        <v>3800</v>
      </c>
      <c r="I10" s="9">
        <f>'Res-Gen'!J15+'Res-Gen'!J12</f>
        <v>-3800</v>
      </c>
      <c r="J10" s="76">
        <f t="shared" ref="J10" si="57">H10+I10</f>
        <v>0</v>
      </c>
      <c r="K10" s="89">
        <f t="shared" ref="K10" si="58">J10</f>
        <v>0</v>
      </c>
      <c r="L10" s="9">
        <f>'Res-Gen'!M15</f>
        <v>0</v>
      </c>
      <c r="M10" s="46">
        <f t="shared" ref="M10" si="59">K10+L10</f>
        <v>0</v>
      </c>
      <c r="N10" s="350">
        <f t="shared" ref="N10" si="60">M10</f>
        <v>0</v>
      </c>
      <c r="O10" s="9">
        <f>'Res-Gen'!P15</f>
        <v>0</v>
      </c>
      <c r="P10" s="76">
        <f t="shared" ref="P10" si="61">N10+O10</f>
        <v>0</v>
      </c>
      <c r="Q10" s="46">
        <f t="shared" ref="Q10" si="62">P10</f>
        <v>0</v>
      </c>
      <c r="R10" s="9">
        <f>'Res-Gen'!S15</f>
        <v>0</v>
      </c>
      <c r="S10" s="61">
        <f t="shared" ref="S10" si="63">Q10+R10</f>
        <v>0</v>
      </c>
      <c r="T10" s="46">
        <f t="shared" ref="T10" si="64">S10</f>
        <v>0</v>
      </c>
      <c r="U10" s="9">
        <f>'Res-Gen'!V15</f>
        <v>0</v>
      </c>
      <c r="V10" s="49">
        <f t="shared" ref="V10" si="65">T10+U10</f>
        <v>0</v>
      </c>
      <c r="W10" s="46">
        <f t="shared" ref="W10" si="66">V10</f>
        <v>0</v>
      </c>
      <c r="X10" s="9">
        <f>'Res-Gen'!Y15</f>
        <v>0</v>
      </c>
      <c r="Y10" s="49">
        <f t="shared" ref="Y10" si="67">W10+X10</f>
        <v>0</v>
      </c>
      <c r="Z10" s="350">
        <f t="shared" ref="Z10" si="68">Y10</f>
        <v>0</v>
      </c>
      <c r="AA10" s="9">
        <f>'Res-Gen'!AB15</f>
        <v>0</v>
      </c>
      <c r="AB10" s="49">
        <f t="shared" ref="AB10" si="69">Z10+AA10</f>
        <v>0</v>
      </c>
      <c r="AC10" s="350">
        <f t="shared" ref="AC10:AC15" si="70">AB10</f>
        <v>0</v>
      </c>
      <c r="AD10" s="9">
        <f>'Res-Gen'!AE15</f>
        <v>0</v>
      </c>
      <c r="AE10" s="49">
        <f t="shared" ref="AE10:AE15" si="71">AC10+AD10</f>
        <v>0</v>
      </c>
      <c r="AF10" s="350">
        <f t="shared" ref="AF10:AF15" si="72">AE10</f>
        <v>0</v>
      </c>
      <c r="AG10" s="9">
        <f>'Res-Gen'!AH15</f>
        <v>0</v>
      </c>
      <c r="AH10" s="49">
        <f t="shared" ref="AH10:AH15" si="73">AF10+AG10</f>
        <v>0</v>
      </c>
      <c r="AI10" s="350">
        <f t="shared" si="33"/>
        <v>0</v>
      </c>
      <c r="AJ10" s="9">
        <f>'Res-Gen'!AK15</f>
        <v>0</v>
      </c>
      <c r="AK10" s="49">
        <f t="shared" si="34"/>
        <v>0</v>
      </c>
      <c r="AL10" s="46">
        <f t="shared" si="35"/>
        <v>0</v>
      </c>
      <c r="AM10" s="9">
        <f>'Res-Gen'!AN15</f>
        <v>0</v>
      </c>
      <c r="AN10" s="61">
        <f t="shared" si="36"/>
        <v>0</v>
      </c>
    </row>
    <row r="11" spans="1:43" s="236" customFormat="1" x14ac:dyDescent="0.2">
      <c r="A11" s="633" t="s">
        <v>4126</v>
      </c>
      <c r="B11" s="89">
        <v>273900</v>
      </c>
      <c r="C11" s="9">
        <f>'Res-Gen'!D16+'Res-Gen'!D18+'Res-Gen'!D20</f>
        <v>-205100</v>
      </c>
      <c r="D11" s="76">
        <f>B11+C11</f>
        <v>68800</v>
      </c>
      <c r="E11" s="350">
        <f t="shared" ref="E11" si="74">D11</f>
        <v>68800</v>
      </c>
      <c r="F11" s="9">
        <f>'Res-Gen'!G16+'Res-Gen'!G20+'Res-Gen'!G18+'Res-Gen'!G19</f>
        <v>13500</v>
      </c>
      <c r="G11" s="76">
        <f t="shared" ref="G11" si="75">E11+F11</f>
        <v>82300</v>
      </c>
      <c r="H11" s="46">
        <f t="shared" ref="H11" si="76">G11</f>
        <v>82300</v>
      </c>
      <c r="I11" s="9">
        <f>+'Res-Gen'!J19+'Res-Gen'!J20</f>
        <v>-32500</v>
      </c>
      <c r="J11" s="76">
        <f t="shared" ref="J11" si="77">H11+I11</f>
        <v>49800</v>
      </c>
      <c r="K11" s="89">
        <f t="shared" ref="K11" si="78">J11</f>
        <v>49800</v>
      </c>
      <c r="L11" s="9">
        <f>'Res-Gen'!M16</f>
        <v>0</v>
      </c>
      <c r="M11" s="46">
        <f t="shared" ref="M11" si="79">K11+L11</f>
        <v>49800</v>
      </c>
      <c r="N11" s="350">
        <f t="shared" ref="N11" si="80">M11</f>
        <v>49800</v>
      </c>
      <c r="O11" s="9">
        <f>'Res-Gen'!P16</f>
        <v>0</v>
      </c>
      <c r="P11" s="76">
        <f t="shared" ref="P11" si="81">N11+O11</f>
        <v>49800</v>
      </c>
      <c r="Q11" s="46">
        <f t="shared" ref="Q11" si="82">P11</f>
        <v>49800</v>
      </c>
      <c r="R11" s="9">
        <f>'Res-Gen'!S16</f>
        <v>0</v>
      </c>
      <c r="S11" s="61">
        <f t="shared" ref="S11" si="83">Q11+R11</f>
        <v>49800</v>
      </c>
      <c r="T11" s="46">
        <f t="shared" ref="T11" si="84">S11</f>
        <v>49800</v>
      </c>
      <c r="U11" s="9">
        <f>'Res-Gen'!V16</f>
        <v>0</v>
      </c>
      <c r="V11" s="49">
        <f t="shared" ref="V11" si="85">T11+U11</f>
        <v>49800</v>
      </c>
      <c r="W11" s="46">
        <f t="shared" ref="W11" si="86">V11</f>
        <v>49800</v>
      </c>
      <c r="X11" s="9">
        <f>'Res-Gen'!Y16</f>
        <v>0</v>
      </c>
      <c r="Y11" s="49">
        <f t="shared" ref="Y11" si="87">W11+X11</f>
        <v>49800</v>
      </c>
      <c r="Z11" s="350">
        <f t="shared" ref="Z11" si="88">Y11</f>
        <v>49800</v>
      </c>
      <c r="AA11" s="9">
        <f>'Res-Gen'!AB16</f>
        <v>0</v>
      </c>
      <c r="AB11" s="49">
        <f t="shared" ref="AB11" si="89">Z11+AA11</f>
        <v>49800</v>
      </c>
      <c r="AC11" s="350">
        <f t="shared" si="70"/>
        <v>49800</v>
      </c>
      <c r="AD11" s="9">
        <f>'Res-Gen'!AE16</f>
        <v>0</v>
      </c>
      <c r="AE11" s="49">
        <f t="shared" si="71"/>
        <v>49800</v>
      </c>
      <c r="AF11" s="350">
        <f t="shared" si="72"/>
        <v>49800</v>
      </c>
      <c r="AG11" s="9">
        <f>'Res-Gen'!AH16</f>
        <v>0</v>
      </c>
      <c r="AH11" s="49">
        <f t="shared" si="73"/>
        <v>49800</v>
      </c>
      <c r="AI11" s="350">
        <f t="shared" si="33"/>
        <v>49800</v>
      </c>
      <c r="AJ11" s="9">
        <f>'Res-Gen'!AK16</f>
        <v>0</v>
      </c>
      <c r="AK11" s="49">
        <f t="shared" si="34"/>
        <v>49800</v>
      </c>
      <c r="AL11" s="46">
        <f t="shared" si="35"/>
        <v>49800</v>
      </c>
      <c r="AM11" s="9">
        <f>'Res-Gen'!AN16</f>
        <v>0</v>
      </c>
      <c r="AN11" s="61">
        <f t="shared" si="36"/>
        <v>49800</v>
      </c>
    </row>
    <row r="12" spans="1:43" s="236" customFormat="1" x14ac:dyDescent="0.2">
      <c r="A12" s="633" t="s">
        <v>5900</v>
      </c>
      <c r="B12" s="89">
        <v>22600</v>
      </c>
      <c r="C12" s="9">
        <f>'Res-Gen'!D17</f>
        <v>234400</v>
      </c>
      <c r="D12" s="76">
        <f>B12+C12</f>
        <v>257000</v>
      </c>
      <c r="E12" s="350">
        <f t="shared" ref="E12" si="90">D12</f>
        <v>257000</v>
      </c>
      <c r="F12" s="9">
        <f>'Res-Gen'!G17</f>
        <v>1075000</v>
      </c>
      <c r="G12" s="76">
        <f t="shared" ref="G12" si="91">E12+F12</f>
        <v>1332000</v>
      </c>
      <c r="H12" s="46">
        <f t="shared" ref="H12" si="92">G12</f>
        <v>1332000</v>
      </c>
      <c r="I12" s="9">
        <f>'Res-Gen'!J17</f>
        <v>1000000</v>
      </c>
      <c r="J12" s="76">
        <f t="shared" ref="J12" si="93">H12+I12</f>
        <v>2332000</v>
      </c>
      <c r="K12" s="89">
        <f t="shared" ref="K12" si="94">J12</f>
        <v>2332000</v>
      </c>
      <c r="L12" s="9">
        <f>'Res-Gen'!M17</f>
        <v>-2332000</v>
      </c>
      <c r="M12" s="46">
        <f t="shared" ref="M12" si="95">K12+L12</f>
        <v>0</v>
      </c>
      <c r="N12" s="350">
        <f t="shared" ref="N12" si="96">M12</f>
        <v>0</v>
      </c>
      <c r="O12" s="9">
        <f>'Res-Gen'!P17</f>
        <v>0</v>
      </c>
      <c r="P12" s="76">
        <f t="shared" ref="P12" si="97">N12+O12</f>
        <v>0</v>
      </c>
      <c r="Q12" s="46">
        <f t="shared" ref="Q12" si="98">P12</f>
        <v>0</v>
      </c>
      <c r="R12" s="9">
        <f>'Res-Gen'!S17</f>
        <v>0</v>
      </c>
      <c r="S12" s="61">
        <f t="shared" ref="S12" si="99">Q12+R12</f>
        <v>0</v>
      </c>
      <c r="T12" s="46">
        <f t="shared" ref="T12" si="100">S12</f>
        <v>0</v>
      </c>
      <c r="U12" s="9">
        <f>'Res-Gen'!V17</f>
        <v>0</v>
      </c>
      <c r="V12" s="49">
        <f t="shared" ref="V12" si="101">T12+U12</f>
        <v>0</v>
      </c>
      <c r="W12" s="46">
        <f t="shared" ref="W12" si="102">V12</f>
        <v>0</v>
      </c>
      <c r="X12" s="9">
        <f>'Res-Gen'!Y17</f>
        <v>0</v>
      </c>
      <c r="Y12" s="49">
        <f t="shared" ref="Y12" si="103">W12+X12</f>
        <v>0</v>
      </c>
      <c r="Z12" s="350">
        <f t="shared" ref="Z12" si="104">Y12</f>
        <v>0</v>
      </c>
      <c r="AA12" s="9">
        <f>'Res-Gen'!AB17</f>
        <v>0</v>
      </c>
      <c r="AB12" s="49">
        <f t="shared" ref="AB12" si="105">Z12+AA12</f>
        <v>0</v>
      </c>
      <c r="AC12" s="350">
        <f t="shared" ref="AC12" si="106">AB12</f>
        <v>0</v>
      </c>
      <c r="AD12" s="9">
        <f>'Res-Gen'!AE17</f>
        <v>0</v>
      </c>
      <c r="AE12" s="49">
        <f t="shared" ref="AE12" si="107">AC12+AD12</f>
        <v>0</v>
      </c>
      <c r="AF12" s="350">
        <f t="shared" si="72"/>
        <v>0</v>
      </c>
      <c r="AG12" s="9">
        <f>'Res-Gen'!AH17</f>
        <v>0</v>
      </c>
      <c r="AH12" s="49">
        <f t="shared" si="73"/>
        <v>0</v>
      </c>
      <c r="AI12" s="350">
        <f t="shared" si="33"/>
        <v>0</v>
      </c>
      <c r="AJ12" s="9">
        <f>'Res-Gen'!AK17</f>
        <v>0</v>
      </c>
      <c r="AK12" s="49">
        <f t="shared" si="34"/>
        <v>0</v>
      </c>
      <c r="AL12" s="46">
        <f t="shared" si="35"/>
        <v>0</v>
      </c>
      <c r="AM12" s="9">
        <f>'Res-Gen'!AN17</f>
        <v>0</v>
      </c>
      <c r="AN12" s="61">
        <f t="shared" si="36"/>
        <v>0</v>
      </c>
    </row>
    <row r="13" spans="1:43" s="236" customFormat="1" x14ac:dyDescent="0.2">
      <c r="A13" s="633" t="s">
        <v>5262</v>
      </c>
      <c r="B13" s="89">
        <v>79000</v>
      </c>
      <c r="C13" s="9">
        <f>'Res-Gen'!D21</f>
        <v>-79000</v>
      </c>
      <c r="D13" s="76">
        <f t="shared" ref="D13" si="108">B13+C13</f>
        <v>0</v>
      </c>
      <c r="E13" s="350"/>
      <c r="F13" s="9"/>
      <c r="G13" s="76"/>
      <c r="H13" s="46"/>
      <c r="I13" s="9"/>
      <c r="J13" s="76"/>
      <c r="K13" s="89"/>
      <c r="L13" s="9"/>
      <c r="M13" s="46"/>
      <c r="N13" s="350"/>
      <c r="O13" s="9"/>
      <c r="P13" s="76"/>
      <c r="Q13" s="46"/>
      <c r="R13" s="9"/>
      <c r="S13" s="61"/>
      <c r="T13" s="46"/>
      <c r="U13" s="9"/>
      <c r="V13" s="49"/>
      <c r="W13" s="46"/>
      <c r="X13" s="9"/>
      <c r="Y13" s="49"/>
      <c r="Z13" s="350"/>
      <c r="AA13" s="9"/>
      <c r="AB13" s="49"/>
      <c r="AC13" s="350"/>
      <c r="AD13" s="9"/>
      <c r="AE13" s="49"/>
      <c r="AF13" s="350"/>
      <c r="AG13" s="9"/>
      <c r="AH13" s="49"/>
      <c r="AI13" s="350"/>
      <c r="AJ13" s="9"/>
      <c r="AK13" s="49"/>
      <c r="AL13" s="46"/>
      <c r="AM13" s="9"/>
      <c r="AN13" s="61"/>
    </row>
    <row r="14" spans="1:43" x14ac:dyDescent="0.2">
      <c r="A14" s="633" t="s">
        <v>2869</v>
      </c>
      <c r="B14" s="89">
        <v>25000</v>
      </c>
      <c r="C14" s="9">
        <f>'Res-Gen'!D24</f>
        <v>-15300</v>
      </c>
      <c r="D14" s="76">
        <f t="shared" si="12"/>
        <v>9700</v>
      </c>
      <c r="E14" s="350">
        <f t="shared" si="13"/>
        <v>9700</v>
      </c>
      <c r="F14" s="9">
        <f>'Res-Gen'!G24</f>
        <v>69000</v>
      </c>
      <c r="G14" s="76">
        <f t="shared" si="14"/>
        <v>78700</v>
      </c>
      <c r="H14" s="46">
        <f t="shared" si="15"/>
        <v>78700</v>
      </c>
      <c r="I14" s="9">
        <f>+'Res-Gen'!J24</f>
        <v>-71000</v>
      </c>
      <c r="J14" s="76">
        <f t="shared" si="16"/>
        <v>7700</v>
      </c>
      <c r="K14" s="89">
        <f t="shared" si="17"/>
        <v>7700</v>
      </c>
      <c r="L14" s="9"/>
      <c r="M14" s="46">
        <f t="shared" si="18"/>
        <v>7700</v>
      </c>
      <c r="N14" s="350">
        <f t="shared" si="19"/>
        <v>7700</v>
      </c>
      <c r="O14" s="9"/>
      <c r="P14" s="76">
        <f t="shared" si="20"/>
        <v>7700</v>
      </c>
      <c r="Q14" s="46">
        <f t="shared" si="21"/>
        <v>7700</v>
      </c>
      <c r="R14" s="9"/>
      <c r="S14" s="61">
        <f t="shared" si="22"/>
        <v>7700</v>
      </c>
      <c r="T14" s="46">
        <f t="shared" si="23"/>
        <v>7700</v>
      </c>
      <c r="U14" s="9"/>
      <c r="V14" s="49">
        <f t="shared" si="24"/>
        <v>7700</v>
      </c>
      <c r="W14" s="46">
        <f t="shared" si="25"/>
        <v>7700</v>
      </c>
      <c r="X14" s="9"/>
      <c r="Y14" s="49">
        <f t="shared" si="26"/>
        <v>7700</v>
      </c>
      <c r="Z14" s="350">
        <f t="shared" si="27"/>
        <v>7700</v>
      </c>
      <c r="AA14" s="9"/>
      <c r="AB14" s="49">
        <f t="shared" si="28"/>
        <v>7700</v>
      </c>
      <c r="AC14" s="350">
        <f t="shared" si="70"/>
        <v>7700</v>
      </c>
      <c r="AD14" s="9"/>
      <c r="AE14" s="49">
        <f t="shared" si="71"/>
        <v>7700</v>
      </c>
      <c r="AF14" s="350">
        <f t="shared" si="72"/>
        <v>7700</v>
      </c>
      <c r="AG14" s="9"/>
      <c r="AH14" s="49">
        <f t="shared" si="73"/>
        <v>7700</v>
      </c>
      <c r="AI14" s="350">
        <f t="shared" ref="AI14:AI15" si="109">AH14</f>
        <v>7700</v>
      </c>
      <c r="AJ14" s="9"/>
      <c r="AK14" s="49">
        <f t="shared" ref="AK14:AK15" si="110">AI14+AJ14</f>
        <v>7700</v>
      </c>
      <c r="AL14" s="46">
        <f t="shared" ref="AL14:AL15" si="111">AK14</f>
        <v>7700</v>
      </c>
      <c r="AM14" s="9"/>
      <c r="AN14" s="61">
        <f t="shared" ref="AN14:AN15" si="112">AL14+AM14</f>
        <v>7700</v>
      </c>
      <c r="AO14" s="265"/>
      <c r="AP14" s="265"/>
      <c r="AQ14" s="265"/>
    </row>
    <row r="15" spans="1:43" x14ac:dyDescent="0.2">
      <c r="A15" s="633" t="s">
        <v>4078</v>
      </c>
      <c r="B15" s="89">
        <v>20000</v>
      </c>
      <c r="C15" s="9">
        <f>'Res-Gen'!D25</f>
        <v>45000</v>
      </c>
      <c r="D15" s="76">
        <f t="shared" ref="D15" si="113">B15+C15</f>
        <v>65000</v>
      </c>
      <c r="E15" s="350">
        <f t="shared" si="13"/>
        <v>65000</v>
      </c>
      <c r="F15" s="9">
        <f>'Res-Gen'!G25</f>
        <v>-15300</v>
      </c>
      <c r="G15" s="76">
        <f t="shared" si="14"/>
        <v>49700</v>
      </c>
      <c r="H15" s="46">
        <f t="shared" si="15"/>
        <v>49700</v>
      </c>
      <c r="I15" s="9">
        <f>'Res-Gen'!J25</f>
        <v>-14000</v>
      </c>
      <c r="J15" s="76">
        <f t="shared" si="16"/>
        <v>35700</v>
      </c>
      <c r="K15" s="89">
        <f t="shared" si="17"/>
        <v>35700</v>
      </c>
      <c r="L15" s="9">
        <f>'Res-Gen'!M25</f>
        <v>0</v>
      </c>
      <c r="M15" s="46">
        <f t="shared" si="18"/>
        <v>35700</v>
      </c>
      <c r="N15" s="350">
        <f t="shared" si="19"/>
        <v>35700</v>
      </c>
      <c r="O15" s="9">
        <f>'Res-Gen'!P25</f>
        <v>0</v>
      </c>
      <c r="P15" s="76">
        <f t="shared" si="20"/>
        <v>35700</v>
      </c>
      <c r="Q15" s="46">
        <f t="shared" si="21"/>
        <v>35700</v>
      </c>
      <c r="R15" s="9">
        <f>'Res-Gen'!S25</f>
        <v>0</v>
      </c>
      <c r="S15" s="61">
        <f t="shared" si="22"/>
        <v>35700</v>
      </c>
      <c r="T15" s="46">
        <f t="shared" si="23"/>
        <v>35700</v>
      </c>
      <c r="U15" s="9">
        <f>'Res-Gen'!V25</f>
        <v>0</v>
      </c>
      <c r="V15" s="49">
        <f t="shared" si="24"/>
        <v>35700</v>
      </c>
      <c r="W15" s="46">
        <f t="shared" si="25"/>
        <v>35700</v>
      </c>
      <c r="X15" s="9">
        <f>'Res-Gen'!Y25</f>
        <v>0</v>
      </c>
      <c r="Y15" s="49">
        <f t="shared" si="26"/>
        <v>35700</v>
      </c>
      <c r="Z15" s="350">
        <f t="shared" si="27"/>
        <v>35700</v>
      </c>
      <c r="AA15" s="9">
        <f>'Res-Gen'!AB25</f>
        <v>0</v>
      </c>
      <c r="AB15" s="49">
        <f t="shared" si="28"/>
        <v>35700</v>
      </c>
      <c r="AC15" s="350">
        <f t="shared" si="70"/>
        <v>35700</v>
      </c>
      <c r="AD15" s="9">
        <f>'Res-Gen'!AE25</f>
        <v>0</v>
      </c>
      <c r="AE15" s="49">
        <f t="shared" si="71"/>
        <v>35700</v>
      </c>
      <c r="AF15" s="350">
        <f t="shared" si="72"/>
        <v>35700</v>
      </c>
      <c r="AG15" s="9">
        <f>'Res-Gen'!AH25</f>
        <v>0</v>
      </c>
      <c r="AH15" s="49">
        <f t="shared" si="73"/>
        <v>35700</v>
      </c>
      <c r="AI15" s="350">
        <f t="shared" si="109"/>
        <v>35700</v>
      </c>
      <c r="AJ15" s="9">
        <f>'Res-Gen'!AK25</f>
        <v>-300</v>
      </c>
      <c r="AK15" s="49">
        <f t="shared" si="110"/>
        <v>35400</v>
      </c>
      <c r="AL15" s="46">
        <f t="shared" si="111"/>
        <v>35400</v>
      </c>
      <c r="AM15" s="9">
        <f>'Res-Gen'!AN25</f>
        <v>-600</v>
      </c>
      <c r="AN15" s="61">
        <f t="shared" si="112"/>
        <v>34800</v>
      </c>
      <c r="AO15" s="265"/>
      <c r="AP15" s="265"/>
      <c r="AQ15" s="265"/>
    </row>
    <row r="16" spans="1:43" x14ac:dyDescent="0.2">
      <c r="A16" s="633" t="s">
        <v>2871</v>
      </c>
      <c r="B16" s="89">
        <v>120100</v>
      </c>
      <c r="C16" s="9">
        <f>'Res-Gen'!D28+'Res-Gen'!D29</f>
        <v>-55900</v>
      </c>
      <c r="D16" s="76">
        <f>B16+C16</f>
        <v>64200</v>
      </c>
      <c r="E16" s="350">
        <f>D16</f>
        <v>64200</v>
      </c>
      <c r="F16" s="9">
        <f>'Res-Gen'!G28</f>
        <v>17400</v>
      </c>
      <c r="G16" s="76">
        <f>E16+F16</f>
        <v>81600</v>
      </c>
      <c r="H16" s="46">
        <f>G16</f>
        <v>81600</v>
      </c>
      <c r="I16" s="9">
        <f>'Res-Gen'!J28</f>
        <v>-4000</v>
      </c>
      <c r="J16" s="76">
        <f>H16+I16</f>
        <v>77600</v>
      </c>
      <c r="K16" s="89">
        <f>J16</f>
        <v>77600</v>
      </c>
      <c r="L16" s="9">
        <f>'Res-Gen'!M28</f>
        <v>0</v>
      </c>
      <c r="M16" s="46">
        <f>K16+L16</f>
        <v>77600</v>
      </c>
      <c r="N16" s="350">
        <f>M16</f>
        <v>77600</v>
      </c>
      <c r="O16" s="9">
        <f>'Res-Gen'!P28</f>
        <v>0</v>
      </c>
      <c r="P16" s="76">
        <f>N16+O16</f>
        <v>77600</v>
      </c>
      <c r="Q16" s="46">
        <f>P16</f>
        <v>77600</v>
      </c>
      <c r="R16" s="9">
        <f>'Res-Gen'!S28</f>
        <v>0</v>
      </c>
      <c r="S16" s="61">
        <f>Q16+R16</f>
        <v>77600</v>
      </c>
      <c r="T16" s="46">
        <f>S16</f>
        <v>77600</v>
      </c>
      <c r="U16" s="9">
        <f>'Res-Gen'!V28</f>
        <v>0</v>
      </c>
      <c r="V16" s="49">
        <f>T16+U16</f>
        <v>77600</v>
      </c>
      <c r="W16" s="46">
        <f>V16</f>
        <v>77600</v>
      </c>
      <c r="X16" s="9">
        <f>'Res-Gen'!Y28</f>
        <v>0</v>
      </c>
      <c r="Y16" s="49">
        <f>W16+X16</f>
        <v>77600</v>
      </c>
      <c r="Z16" s="350">
        <f>Y16</f>
        <v>77600</v>
      </c>
      <c r="AA16" s="9">
        <f>'Res-Gen'!AB28</f>
        <v>0</v>
      </c>
      <c r="AB16" s="49">
        <f>Z16+AA16</f>
        <v>77600</v>
      </c>
      <c r="AC16" s="350">
        <f>AB16</f>
        <v>77600</v>
      </c>
      <c r="AD16" s="9">
        <f>'Res-Gen'!AE28</f>
        <v>0</v>
      </c>
      <c r="AE16" s="49">
        <f>AC16+AD16</f>
        <v>77600</v>
      </c>
      <c r="AF16" s="350">
        <f>AE16</f>
        <v>77600</v>
      </c>
      <c r="AG16" s="9">
        <f>'Res-Gen'!AH28</f>
        <v>0</v>
      </c>
      <c r="AH16" s="49">
        <f>AF16+AG16</f>
        <v>77600</v>
      </c>
      <c r="AI16" s="350">
        <f>AH16</f>
        <v>77600</v>
      </c>
      <c r="AJ16" s="9">
        <f>'Res-Gen'!AK28</f>
        <v>0</v>
      </c>
      <c r="AK16" s="49">
        <f>AI16+AJ16</f>
        <v>77600</v>
      </c>
      <c r="AL16" s="46">
        <f>AK16</f>
        <v>77600</v>
      </c>
      <c r="AM16" s="9">
        <f>'Res-Gen'!AN28</f>
        <v>0</v>
      </c>
      <c r="AN16" s="61">
        <f>AL16+AM16</f>
        <v>77600</v>
      </c>
    </row>
    <row r="17" spans="1:43" x14ac:dyDescent="0.2">
      <c r="A17" s="633" t="s">
        <v>6626</v>
      </c>
      <c r="B17" s="89">
        <v>0</v>
      </c>
      <c r="C17" s="9">
        <f>'Res-Gen'!D32</f>
        <v>10500</v>
      </c>
      <c r="D17" s="76">
        <f>B17+C17</f>
        <v>10500</v>
      </c>
      <c r="E17" s="350">
        <f t="shared" ref="E17" si="114">D17</f>
        <v>10500</v>
      </c>
      <c r="F17" s="9">
        <f>'Res-Gen'!G32</f>
        <v>0</v>
      </c>
      <c r="G17" s="76">
        <f t="shared" ref="G17" si="115">E17+F17</f>
        <v>10500</v>
      </c>
      <c r="H17" s="46">
        <f t="shared" ref="H17" si="116">G17</f>
        <v>10500</v>
      </c>
      <c r="I17" s="9">
        <f>'Res-Gen'!J32</f>
        <v>0</v>
      </c>
      <c r="J17" s="76">
        <f t="shared" ref="J17" si="117">H17+I17</f>
        <v>10500</v>
      </c>
      <c r="K17" s="89">
        <f t="shared" ref="K17" si="118">J17</f>
        <v>10500</v>
      </c>
      <c r="L17" s="9">
        <f>'Res-Gen'!M32</f>
        <v>0</v>
      </c>
      <c r="M17" s="46">
        <f t="shared" ref="M17" si="119">K17+L17</f>
        <v>10500</v>
      </c>
      <c r="N17" s="350">
        <f t="shared" ref="N17" si="120">M17</f>
        <v>10500</v>
      </c>
      <c r="O17" s="9">
        <f>'Res-Gen'!P32</f>
        <v>0</v>
      </c>
      <c r="P17" s="76">
        <f t="shared" ref="P17" si="121">N17+O17</f>
        <v>10500</v>
      </c>
      <c r="Q17" s="46">
        <f t="shared" ref="Q17" si="122">P17</f>
        <v>10500</v>
      </c>
      <c r="R17" s="9">
        <f>'Res-Gen'!S32</f>
        <v>0</v>
      </c>
      <c r="S17" s="61">
        <f t="shared" ref="S17" si="123">Q17+R17</f>
        <v>10500</v>
      </c>
      <c r="T17" s="46">
        <f t="shared" ref="T17" si="124">S17</f>
        <v>10500</v>
      </c>
      <c r="U17" s="9">
        <f>'Res-Gen'!V32</f>
        <v>0</v>
      </c>
      <c r="V17" s="49">
        <f t="shared" ref="V17" si="125">T17+U17</f>
        <v>10500</v>
      </c>
      <c r="W17" s="46">
        <f t="shared" ref="W17" si="126">V17</f>
        <v>10500</v>
      </c>
      <c r="X17" s="9">
        <f>'Res-Gen'!Y32</f>
        <v>0</v>
      </c>
      <c r="Y17" s="49">
        <f t="shared" ref="Y17" si="127">W17+X17</f>
        <v>10500</v>
      </c>
      <c r="Z17" s="350">
        <f t="shared" ref="Z17" si="128">Y17</f>
        <v>10500</v>
      </c>
      <c r="AA17" s="9">
        <f>'Res-Gen'!AB32</f>
        <v>0</v>
      </c>
      <c r="AB17" s="49">
        <f t="shared" ref="AB17" si="129">Z17+AA17</f>
        <v>10500</v>
      </c>
      <c r="AC17" s="350">
        <f t="shared" ref="AC17" si="130">AB17</f>
        <v>10500</v>
      </c>
      <c r="AD17" s="9">
        <f>'Res-Gen'!AE32</f>
        <v>0</v>
      </c>
      <c r="AE17" s="49">
        <f t="shared" ref="AE17" si="131">AC17+AD17</f>
        <v>10500</v>
      </c>
      <c r="AF17" s="350">
        <f t="shared" ref="AF17" si="132">AE17</f>
        <v>10500</v>
      </c>
      <c r="AG17" s="9">
        <f>'Res-Gen'!AH32</f>
        <v>0</v>
      </c>
      <c r="AH17" s="49">
        <f t="shared" ref="AH17" si="133">AF17+AG17</f>
        <v>10500</v>
      </c>
      <c r="AI17" s="350">
        <f t="shared" ref="AI17:AI19" si="134">AH17</f>
        <v>10500</v>
      </c>
      <c r="AJ17" s="9">
        <f>'Res-Gen'!AK32</f>
        <v>0</v>
      </c>
      <c r="AK17" s="49">
        <f t="shared" ref="AK17:AK19" si="135">AI17+AJ17</f>
        <v>10500</v>
      </c>
      <c r="AL17" s="46">
        <f t="shared" ref="AL17:AL19" si="136">AK17</f>
        <v>10500</v>
      </c>
      <c r="AM17" s="9">
        <f>'Res-Gen'!AN32</f>
        <v>0</v>
      </c>
      <c r="AN17" s="61">
        <f t="shared" ref="AN17:AN19" si="137">AL17+AM17</f>
        <v>10500</v>
      </c>
      <c r="AO17" s="265"/>
      <c r="AP17" s="265"/>
      <c r="AQ17" s="265"/>
    </row>
    <row r="18" spans="1:43" x14ac:dyDescent="0.2">
      <c r="A18" s="633" t="s">
        <v>6625</v>
      </c>
      <c r="B18" s="89">
        <v>166400</v>
      </c>
      <c r="C18" s="9">
        <f>'Res-Gen'!D33</f>
        <v>323600</v>
      </c>
      <c r="D18" s="76">
        <f>B18+C18</f>
        <v>490000</v>
      </c>
      <c r="E18" s="350">
        <f t="shared" ref="E18" si="138">D18</f>
        <v>490000</v>
      </c>
      <c r="F18" s="9">
        <f>'Res-Gen'!G33</f>
        <v>4680100</v>
      </c>
      <c r="G18" s="76">
        <f t="shared" ref="G18:G19" si="139">E18+F18</f>
        <v>5170100</v>
      </c>
      <c r="H18" s="46">
        <f t="shared" ref="H18:H19" si="140">G18</f>
        <v>5170100</v>
      </c>
      <c r="I18" s="9">
        <f>'Res-Gen'!J33</f>
        <v>-5013800</v>
      </c>
      <c r="J18" s="76">
        <f t="shared" ref="J18:J19" si="141">H18+I18</f>
        <v>156300</v>
      </c>
      <c r="K18" s="89">
        <f t="shared" ref="K18:K19" si="142">J18</f>
        <v>156300</v>
      </c>
      <c r="L18" s="9">
        <f>'Res-Gen'!M33</f>
        <v>0</v>
      </c>
      <c r="M18" s="46">
        <f t="shared" ref="M18:M19" si="143">K18+L18</f>
        <v>156300</v>
      </c>
      <c r="N18" s="350">
        <f t="shared" ref="N18:N19" si="144">M18</f>
        <v>156300</v>
      </c>
      <c r="O18" s="9">
        <f>'Res-Gen'!P33</f>
        <v>0</v>
      </c>
      <c r="P18" s="76">
        <f t="shared" ref="P18:P19" si="145">N18+O18</f>
        <v>156300</v>
      </c>
      <c r="Q18" s="46">
        <f t="shared" ref="Q18:Q19" si="146">P18</f>
        <v>156300</v>
      </c>
      <c r="R18" s="9">
        <f>'Res-Gen'!S33</f>
        <v>0</v>
      </c>
      <c r="S18" s="61">
        <f t="shared" ref="S18:S19" si="147">Q18+R18</f>
        <v>156300</v>
      </c>
      <c r="T18" s="46">
        <f t="shared" ref="T18:T19" si="148">S18</f>
        <v>156300</v>
      </c>
      <c r="U18" s="9">
        <f>'Res-Gen'!V33</f>
        <v>0</v>
      </c>
      <c r="V18" s="49">
        <f t="shared" ref="V18:V19" si="149">T18+U18</f>
        <v>156300</v>
      </c>
      <c r="W18" s="46">
        <f t="shared" ref="W18:W19" si="150">V18</f>
        <v>156300</v>
      </c>
      <c r="X18" s="9">
        <f>'Res-Gen'!Y33</f>
        <v>0</v>
      </c>
      <c r="Y18" s="49">
        <f t="shared" ref="Y18:Y19" si="151">W18+X18</f>
        <v>156300</v>
      </c>
      <c r="Z18" s="350">
        <f t="shared" ref="Z18:Z19" si="152">Y18</f>
        <v>156300</v>
      </c>
      <c r="AA18" s="9">
        <f>'Res-Gen'!AB33</f>
        <v>0</v>
      </c>
      <c r="AB18" s="49">
        <f t="shared" ref="AB18:AB19" si="153">Z18+AA18</f>
        <v>156300</v>
      </c>
      <c r="AC18" s="350">
        <f t="shared" ref="AC18:AC19" si="154">AB18</f>
        <v>156300</v>
      </c>
      <c r="AD18" s="9">
        <f>'Res-Gen'!AE33</f>
        <v>0</v>
      </c>
      <c r="AE18" s="49">
        <f t="shared" ref="AE18:AE19" si="155">AC18+AD18</f>
        <v>156300</v>
      </c>
      <c r="AF18" s="350">
        <f t="shared" ref="AF18:AF19" si="156">AE18</f>
        <v>156300</v>
      </c>
      <c r="AG18" s="9">
        <f>'Res-Gen'!AH33</f>
        <v>0</v>
      </c>
      <c r="AH18" s="49">
        <f t="shared" ref="AH18:AH19" si="157">AF18+AG18</f>
        <v>156300</v>
      </c>
      <c r="AI18" s="350">
        <f t="shared" si="134"/>
        <v>156300</v>
      </c>
      <c r="AJ18" s="9">
        <f>'Res-Gen'!AK33</f>
        <v>0</v>
      </c>
      <c r="AK18" s="49">
        <f t="shared" si="135"/>
        <v>156300</v>
      </c>
      <c r="AL18" s="46">
        <f t="shared" si="136"/>
        <v>156300</v>
      </c>
      <c r="AM18" s="9">
        <f>'Res-Gen'!AN33</f>
        <v>0</v>
      </c>
      <c r="AN18" s="61">
        <f t="shared" si="137"/>
        <v>156300</v>
      </c>
      <c r="AO18" s="265"/>
      <c r="AP18" s="265"/>
      <c r="AQ18" s="265"/>
    </row>
    <row r="19" spans="1:43" x14ac:dyDescent="0.2">
      <c r="A19" s="633" t="s">
        <v>3234</v>
      </c>
      <c r="B19" s="89">
        <v>76600</v>
      </c>
      <c r="C19" s="9">
        <f>'Res-Gen'!D37</f>
        <v>23300</v>
      </c>
      <c r="D19" s="76">
        <f>B19+C19</f>
        <v>99900</v>
      </c>
      <c r="E19" s="350">
        <f>D19</f>
        <v>99900</v>
      </c>
      <c r="F19" s="9">
        <f>'Res-Gen'!G37</f>
        <v>-84300</v>
      </c>
      <c r="G19" s="76">
        <f t="shared" si="139"/>
        <v>15600</v>
      </c>
      <c r="H19" s="46">
        <f t="shared" si="140"/>
        <v>15600</v>
      </c>
      <c r="I19" s="9">
        <f>'Res-Gen'!J37</f>
        <v>0</v>
      </c>
      <c r="J19" s="76">
        <f t="shared" si="141"/>
        <v>15600</v>
      </c>
      <c r="K19" s="89">
        <f t="shared" si="142"/>
        <v>15600</v>
      </c>
      <c r="L19" s="9">
        <f>'Res-Gen'!M37</f>
        <v>0</v>
      </c>
      <c r="M19" s="46">
        <f t="shared" si="143"/>
        <v>15600</v>
      </c>
      <c r="N19" s="350">
        <f t="shared" si="144"/>
        <v>15600</v>
      </c>
      <c r="O19" s="9">
        <f>'Res-Gen'!P37</f>
        <v>0</v>
      </c>
      <c r="P19" s="76">
        <f t="shared" si="145"/>
        <v>15600</v>
      </c>
      <c r="Q19" s="46">
        <f t="shared" si="146"/>
        <v>15600</v>
      </c>
      <c r="R19" s="9">
        <f>'Res-Gen'!S37</f>
        <v>0</v>
      </c>
      <c r="S19" s="61">
        <f t="shared" si="147"/>
        <v>15600</v>
      </c>
      <c r="T19" s="46">
        <f t="shared" si="148"/>
        <v>15600</v>
      </c>
      <c r="U19" s="9">
        <f>'Res-Gen'!V37</f>
        <v>0</v>
      </c>
      <c r="V19" s="49">
        <f t="shared" si="149"/>
        <v>15600</v>
      </c>
      <c r="W19" s="46">
        <f t="shared" si="150"/>
        <v>15600</v>
      </c>
      <c r="X19" s="9">
        <f>'Res-Gen'!Y37</f>
        <v>0</v>
      </c>
      <c r="Y19" s="49">
        <f t="shared" si="151"/>
        <v>15600</v>
      </c>
      <c r="Z19" s="350">
        <f t="shared" si="152"/>
        <v>15600</v>
      </c>
      <c r="AA19" s="9">
        <f>'Res-Gen'!AB37</f>
        <v>0</v>
      </c>
      <c r="AB19" s="49">
        <f t="shared" si="153"/>
        <v>15600</v>
      </c>
      <c r="AC19" s="350">
        <f t="shared" si="154"/>
        <v>15600</v>
      </c>
      <c r="AD19" s="9">
        <f>'Res-Gen'!AE37</f>
        <v>0</v>
      </c>
      <c r="AE19" s="49">
        <f t="shared" si="155"/>
        <v>15600</v>
      </c>
      <c r="AF19" s="350">
        <f t="shared" si="156"/>
        <v>15600</v>
      </c>
      <c r="AG19" s="9">
        <f>'Res-Gen'!AH37</f>
        <v>0</v>
      </c>
      <c r="AH19" s="49">
        <f t="shared" si="157"/>
        <v>15600</v>
      </c>
      <c r="AI19" s="350">
        <f t="shared" si="134"/>
        <v>15600</v>
      </c>
      <c r="AJ19" s="9">
        <f>'Res-Gen'!AK37</f>
        <v>0</v>
      </c>
      <c r="AK19" s="49">
        <f t="shared" si="135"/>
        <v>15600</v>
      </c>
      <c r="AL19" s="46">
        <f t="shared" si="136"/>
        <v>15600</v>
      </c>
      <c r="AM19" s="9">
        <f>'Res-Gen'!AN37</f>
        <v>0</v>
      </c>
      <c r="AN19" s="61">
        <f t="shared" si="137"/>
        <v>15600</v>
      </c>
      <c r="AO19" s="265"/>
      <c r="AP19" s="265"/>
      <c r="AQ19" s="265"/>
    </row>
    <row r="20" spans="1:43" ht="13.5" thickBot="1" x14ac:dyDescent="0.25">
      <c r="A20" s="408"/>
      <c r="B20" s="89"/>
      <c r="C20" s="9"/>
      <c r="D20" s="76"/>
      <c r="E20" s="133"/>
      <c r="F20" s="9"/>
      <c r="G20" s="76"/>
      <c r="H20" s="89"/>
      <c r="I20" s="9"/>
      <c r="J20" s="76"/>
      <c r="K20" s="89"/>
      <c r="L20" s="9"/>
      <c r="M20" s="46"/>
      <c r="N20" s="350"/>
      <c r="O20" s="9"/>
      <c r="P20" s="76"/>
      <c r="Q20" s="46"/>
      <c r="R20" s="9"/>
      <c r="S20" s="61"/>
      <c r="T20" s="46"/>
      <c r="U20" s="9"/>
      <c r="V20" s="49"/>
      <c r="W20" s="46"/>
      <c r="X20" s="9"/>
      <c r="Y20" s="49"/>
      <c r="Z20" s="350"/>
      <c r="AA20" s="9"/>
      <c r="AB20" s="49"/>
      <c r="AC20" s="350"/>
      <c r="AD20" s="9"/>
      <c r="AE20" s="49"/>
      <c r="AF20" s="350"/>
      <c r="AG20" s="9"/>
      <c r="AH20" s="49"/>
      <c r="AI20" s="350"/>
      <c r="AJ20" s="9"/>
      <c r="AK20" s="49"/>
      <c r="AL20" s="46"/>
      <c r="AM20" s="9"/>
      <c r="AN20" s="61"/>
    </row>
    <row r="21" spans="1:43" s="39" customFormat="1" ht="14.25" thickTop="1" thickBot="1" x14ac:dyDescent="0.25">
      <c r="A21" s="797" t="s">
        <v>3300</v>
      </c>
      <c r="B21" s="302">
        <f t="shared" ref="B21:J21" si="158">SUBTOTAL(9,B4:B20)</f>
        <v>5956700</v>
      </c>
      <c r="C21" s="300">
        <f t="shared" si="158"/>
        <v>908700</v>
      </c>
      <c r="D21" s="301">
        <f t="shared" si="158"/>
        <v>6865400</v>
      </c>
      <c r="E21" s="307">
        <f t="shared" si="158"/>
        <v>6865400</v>
      </c>
      <c r="F21" s="300">
        <f t="shared" si="158"/>
        <v>6920200</v>
      </c>
      <c r="G21" s="301">
        <f t="shared" si="158"/>
        <v>13785600</v>
      </c>
      <c r="H21" s="302">
        <f t="shared" si="158"/>
        <v>13789400</v>
      </c>
      <c r="I21" s="300">
        <f t="shared" si="158"/>
        <v>-1979500</v>
      </c>
      <c r="J21" s="301">
        <f t="shared" si="158"/>
        <v>11809900</v>
      </c>
      <c r="K21" s="302">
        <f>J21</f>
        <v>11809900</v>
      </c>
      <c r="L21" s="300">
        <f t="shared" ref="L21:AN21" si="159">SUBTOTAL(9,L4:L20)</f>
        <v>4174500</v>
      </c>
      <c r="M21" s="304">
        <f t="shared" si="159"/>
        <v>15984400</v>
      </c>
      <c r="N21" s="1041">
        <f t="shared" si="159"/>
        <v>15984400</v>
      </c>
      <c r="O21" s="300">
        <f t="shared" si="159"/>
        <v>-10343500</v>
      </c>
      <c r="P21" s="301">
        <f t="shared" si="159"/>
        <v>5640900</v>
      </c>
      <c r="Q21" s="304">
        <f t="shared" si="159"/>
        <v>5640900</v>
      </c>
      <c r="R21" s="300">
        <f t="shared" si="159"/>
        <v>-745500</v>
      </c>
      <c r="S21" s="958">
        <f t="shared" si="159"/>
        <v>4895400</v>
      </c>
      <c r="T21" s="304">
        <f t="shared" si="159"/>
        <v>4895400</v>
      </c>
      <c r="U21" s="300">
        <f t="shared" si="159"/>
        <v>53500</v>
      </c>
      <c r="V21" s="305">
        <f t="shared" si="159"/>
        <v>4948900</v>
      </c>
      <c r="W21" s="304">
        <f t="shared" si="159"/>
        <v>4948900</v>
      </c>
      <c r="X21" s="300">
        <f t="shared" si="159"/>
        <v>5566500</v>
      </c>
      <c r="Y21" s="305">
        <f t="shared" si="159"/>
        <v>10515400</v>
      </c>
      <c r="Z21" s="1041">
        <f t="shared" si="159"/>
        <v>10515400</v>
      </c>
      <c r="AA21" s="300">
        <f t="shared" si="159"/>
        <v>5803000</v>
      </c>
      <c r="AB21" s="305">
        <f t="shared" si="159"/>
        <v>16318400</v>
      </c>
      <c r="AC21" s="1041">
        <f t="shared" si="159"/>
        <v>16318400</v>
      </c>
      <c r="AD21" s="300">
        <f t="shared" si="159"/>
        <v>6083500</v>
      </c>
      <c r="AE21" s="305">
        <f t="shared" si="159"/>
        <v>22401900</v>
      </c>
      <c r="AF21" s="1041">
        <f t="shared" si="159"/>
        <v>22401900</v>
      </c>
      <c r="AG21" s="300">
        <f t="shared" si="159"/>
        <v>6375000</v>
      </c>
      <c r="AH21" s="305">
        <f t="shared" si="159"/>
        <v>28776900</v>
      </c>
      <c r="AI21" s="1041">
        <f t="shared" si="159"/>
        <v>28776900</v>
      </c>
      <c r="AJ21" s="300">
        <f t="shared" si="159"/>
        <v>6675700</v>
      </c>
      <c r="AK21" s="305">
        <f t="shared" si="159"/>
        <v>35452600</v>
      </c>
      <c r="AL21" s="304">
        <f t="shared" si="159"/>
        <v>35452600</v>
      </c>
      <c r="AM21" s="300">
        <f t="shared" si="159"/>
        <v>6987900</v>
      </c>
      <c r="AN21" s="958">
        <f t="shared" si="159"/>
        <v>42440500</v>
      </c>
    </row>
    <row r="22" spans="1:43" s="236" customFormat="1" ht="13.5" thickTop="1" x14ac:dyDescent="0.2">
      <c r="A22" s="408"/>
      <c r="B22" s="233"/>
      <c r="C22" s="231"/>
      <c r="D22" s="232"/>
      <c r="E22" s="443"/>
      <c r="F22" s="231"/>
      <c r="G22" s="232"/>
      <c r="H22" s="233"/>
      <c r="I22" s="231"/>
      <c r="J22" s="232"/>
      <c r="K22" s="233"/>
      <c r="L22" s="231"/>
      <c r="M22" s="234"/>
      <c r="N22" s="1042"/>
      <c r="O22" s="231"/>
      <c r="P22" s="232"/>
      <c r="Q22" s="234"/>
      <c r="R22" s="231"/>
      <c r="S22" s="957"/>
      <c r="T22" s="234"/>
      <c r="U22" s="231"/>
      <c r="V22" s="235"/>
      <c r="W22" s="234"/>
      <c r="X22" s="231"/>
      <c r="Y22" s="235"/>
      <c r="Z22" s="1042"/>
      <c r="AA22" s="231"/>
      <c r="AB22" s="235"/>
      <c r="AC22" s="1042"/>
      <c r="AD22" s="231"/>
      <c r="AE22" s="235"/>
      <c r="AF22" s="1042"/>
      <c r="AG22" s="231"/>
      <c r="AH22" s="235"/>
      <c r="AI22" s="1042"/>
      <c r="AJ22" s="231"/>
      <c r="AK22" s="235"/>
      <c r="AL22" s="234"/>
      <c r="AM22" s="231"/>
      <c r="AN22" s="957"/>
    </row>
    <row r="23" spans="1:43" x14ac:dyDescent="0.2">
      <c r="A23" s="410" t="s">
        <v>467</v>
      </c>
      <c r="B23" s="89"/>
      <c r="C23" s="9"/>
      <c r="D23" s="76"/>
      <c r="E23" s="133"/>
      <c r="F23" s="9"/>
      <c r="G23" s="76"/>
      <c r="H23" s="89"/>
      <c r="I23" s="9"/>
      <c r="J23" s="76"/>
      <c r="K23" s="89"/>
      <c r="L23" s="9"/>
      <c r="M23" s="46"/>
      <c r="N23" s="350"/>
      <c r="O23" s="9"/>
      <c r="P23" s="76"/>
      <c r="Q23" s="46"/>
      <c r="R23" s="9"/>
      <c r="S23" s="61"/>
      <c r="T23" s="46"/>
      <c r="U23" s="9"/>
      <c r="V23" s="49"/>
      <c r="W23" s="46"/>
      <c r="X23" s="9"/>
      <c r="Y23" s="49"/>
      <c r="Z23" s="350"/>
      <c r="AA23" s="9"/>
      <c r="AB23" s="49"/>
      <c r="AC23" s="350"/>
      <c r="AD23" s="9"/>
      <c r="AE23" s="49"/>
      <c r="AF23" s="350"/>
      <c r="AG23" s="9"/>
      <c r="AH23" s="49"/>
      <c r="AI23" s="350"/>
      <c r="AJ23" s="9"/>
      <c r="AK23" s="49"/>
      <c r="AL23" s="46"/>
      <c r="AM23" s="9"/>
      <c r="AN23" s="61"/>
    </row>
    <row r="24" spans="1:43" x14ac:dyDescent="0.2">
      <c r="A24" s="407" t="s">
        <v>771</v>
      </c>
      <c r="B24" s="89"/>
      <c r="C24" s="9"/>
      <c r="D24" s="76"/>
      <c r="E24" s="133"/>
      <c r="F24" s="9"/>
      <c r="G24" s="76"/>
      <c r="H24" s="89"/>
      <c r="I24" s="9"/>
      <c r="J24" s="76"/>
      <c r="K24" s="89"/>
      <c r="L24" s="9"/>
      <c r="M24" s="46"/>
      <c r="N24" s="350"/>
      <c r="O24" s="9"/>
      <c r="P24" s="76"/>
      <c r="Q24" s="46"/>
      <c r="R24" s="9"/>
      <c r="S24" s="61"/>
      <c r="T24" s="46"/>
      <c r="U24" s="9"/>
      <c r="V24" s="49"/>
      <c r="W24" s="46"/>
      <c r="X24" s="9"/>
      <c r="Y24" s="49"/>
      <c r="Z24" s="350"/>
      <c r="AA24" s="9"/>
      <c r="AB24" s="49"/>
      <c r="AC24" s="350"/>
      <c r="AD24" s="9"/>
      <c r="AE24" s="49"/>
      <c r="AF24" s="350"/>
      <c r="AG24" s="9"/>
      <c r="AH24" s="49"/>
      <c r="AI24" s="350"/>
      <c r="AJ24" s="9"/>
      <c r="AK24" s="49"/>
      <c r="AL24" s="46"/>
      <c r="AM24" s="9"/>
      <c r="AN24" s="61"/>
    </row>
    <row r="25" spans="1:43" x14ac:dyDescent="0.2">
      <c r="A25" s="408" t="s">
        <v>194</v>
      </c>
      <c r="B25" s="89">
        <v>18700</v>
      </c>
      <c r="C25" s="9">
        <f>'Res-Gen'!D43</f>
        <v>-4700</v>
      </c>
      <c r="D25" s="76">
        <f>B25+C25</f>
        <v>14000</v>
      </c>
      <c r="E25" s="350">
        <f>D25</f>
        <v>14000</v>
      </c>
      <c r="F25" s="9">
        <f>'Res-Gen'!G43</f>
        <v>-1300</v>
      </c>
      <c r="G25" s="76">
        <f>E25+F25</f>
        <v>12700</v>
      </c>
      <c r="H25" s="46">
        <f>G25</f>
        <v>12700</v>
      </c>
      <c r="I25" s="9">
        <f>+'Res-Gen'!J43</f>
        <v>-12700</v>
      </c>
      <c r="J25" s="76">
        <f>H25+I25</f>
        <v>0</v>
      </c>
      <c r="K25" s="89">
        <f>J25</f>
        <v>0</v>
      </c>
      <c r="L25" s="9"/>
      <c r="M25" s="46">
        <f>K25+L25</f>
        <v>0</v>
      </c>
      <c r="N25" s="350">
        <f>M25</f>
        <v>0</v>
      </c>
      <c r="O25" s="9"/>
      <c r="P25" s="76">
        <f>N25+O25</f>
        <v>0</v>
      </c>
      <c r="Q25" s="46">
        <f>P25</f>
        <v>0</v>
      </c>
      <c r="R25" s="9"/>
      <c r="S25" s="61">
        <f>Q25+R25</f>
        <v>0</v>
      </c>
      <c r="T25" s="46">
        <f>S25</f>
        <v>0</v>
      </c>
      <c r="U25" s="9"/>
      <c r="V25" s="49">
        <f>T25+U25</f>
        <v>0</v>
      </c>
      <c r="W25" s="46">
        <f>V25</f>
        <v>0</v>
      </c>
      <c r="X25" s="9"/>
      <c r="Y25" s="49">
        <f>W25+X25</f>
        <v>0</v>
      </c>
      <c r="Z25" s="350">
        <f>Y25</f>
        <v>0</v>
      </c>
      <c r="AA25" s="9"/>
      <c r="AB25" s="49">
        <f>Z25+AA25</f>
        <v>0</v>
      </c>
      <c r="AC25" s="350">
        <f>AB25</f>
        <v>0</v>
      </c>
      <c r="AD25" s="9"/>
      <c r="AE25" s="49">
        <f>AC25+AD25</f>
        <v>0</v>
      </c>
      <c r="AF25" s="350">
        <f>AE25</f>
        <v>0</v>
      </c>
      <c r="AG25" s="9"/>
      <c r="AH25" s="49">
        <f>AF25+AG25</f>
        <v>0</v>
      </c>
      <c r="AI25" s="350">
        <f>AH25</f>
        <v>0</v>
      </c>
      <c r="AJ25" s="9"/>
      <c r="AK25" s="49">
        <f>AI25+AJ25</f>
        <v>0</v>
      </c>
      <c r="AL25" s="46">
        <f>AK25</f>
        <v>0</v>
      </c>
      <c r="AM25" s="9"/>
      <c r="AN25" s="61">
        <f>AL25+AM25</f>
        <v>0</v>
      </c>
    </row>
    <row r="26" spans="1:43" x14ac:dyDescent="0.2">
      <c r="A26" s="408" t="s">
        <v>2524</v>
      </c>
      <c r="B26" s="89">
        <v>160000</v>
      </c>
      <c r="C26" s="9">
        <f>'Res-Gen'!D44</f>
        <v>80000</v>
      </c>
      <c r="D26" s="76">
        <f>B26+C26</f>
        <v>240000</v>
      </c>
      <c r="E26" s="350">
        <f>D26</f>
        <v>240000</v>
      </c>
      <c r="F26" s="9">
        <f>'Res-Gen'!G44</f>
        <v>-156500</v>
      </c>
      <c r="G26" s="76">
        <f>E26+F26</f>
        <v>83500</v>
      </c>
      <c r="H26" s="46">
        <f>G26</f>
        <v>83500</v>
      </c>
      <c r="I26" s="9">
        <f>'Res-Gen'!J44</f>
        <v>30000</v>
      </c>
      <c r="J26" s="76">
        <f>H26+I26</f>
        <v>113500</v>
      </c>
      <c r="K26" s="89">
        <f>J26</f>
        <v>113500</v>
      </c>
      <c r="L26" s="9">
        <f>'Res-Gen'!M44</f>
        <v>40000</v>
      </c>
      <c r="M26" s="46">
        <f>K26+L26</f>
        <v>153500</v>
      </c>
      <c r="N26" s="350">
        <f>M26</f>
        <v>153500</v>
      </c>
      <c r="O26" s="9">
        <f>'Res-Gen'!P44</f>
        <v>45000</v>
      </c>
      <c r="P26" s="76">
        <f>N26+O26</f>
        <v>198500</v>
      </c>
      <c r="Q26" s="46">
        <f>P26</f>
        <v>198500</v>
      </c>
      <c r="R26" s="9">
        <f>'Res-Gen'!S44</f>
        <v>-198500</v>
      </c>
      <c r="S26" s="61">
        <f>Q26+R26</f>
        <v>0</v>
      </c>
      <c r="T26" s="46">
        <f>S26</f>
        <v>0</v>
      </c>
      <c r="U26" s="9">
        <f>'Res-Gen'!V44</f>
        <v>71000</v>
      </c>
      <c r="V26" s="49">
        <f>T26+U26</f>
        <v>71000</v>
      </c>
      <c r="W26" s="46">
        <f>V26</f>
        <v>71000</v>
      </c>
      <c r="X26" s="9">
        <f>'Res-Gen'!Y44</f>
        <v>71000</v>
      </c>
      <c r="Y26" s="49">
        <f>W26+X26</f>
        <v>142000</v>
      </c>
      <c r="Z26" s="350">
        <f>Y26</f>
        <v>142000</v>
      </c>
      <c r="AA26" s="9">
        <f>'Res-Gen'!AB44</f>
        <v>73000</v>
      </c>
      <c r="AB26" s="49">
        <f>Z26+AA26</f>
        <v>215000</v>
      </c>
      <c r="AC26" s="350">
        <f>AB26</f>
        <v>215000</v>
      </c>
      <c r="AD26" s="9">
        <f>'Res-Gen'!AE44</f>
        <v>-215000</v>
      </c>
      <c r="AE26" s="49">
        <f>AC26+AD26</f>
        <v>0</v>
      </c>
      <c r="AF26" s="350">
        <f>AE26</f>
        <v>0</v>
      </c>
      <c r="AG26" s="9">
        <f>'Res-Gen'!AH44</f>
        <v>80000</v>
      </c>
      <c r="AH26" s="49">
        <f>AF26+AG26</f>
        <v>80000</v>
      </c>
      <c r="AI26" s="350">
        <f>AH26</f>
        <v>80000</v>
      </c>
      <c r="AJ26" s="9">
        <f>'Res-Gen'!AK44</f>
        <v>85000</v>
      </c>
      <c r="AK26" s="49">
        <f>AI26+AJ26</f>
        <v>165000</v>
      </c>
      <c r="AL26" s="46">
        <f>AK26</f>
        <v>165000</v>
      </c>
      <c r="AM26" s="9">
        <f>'Res-Gen'!AN44</f>
        <v>90000</v>
      </c>
      <c r="AN26" s="61">
        <f>AL26+AM26</f>
        <v>255000</v>
      </c>
    </row>
    <row r="27" spans="1:43" x14ac:dyDescent="0.2">
      <c r="A27" s="633" t="s">
        <v>7270</v>
      </c>
      <c r="B27" s="89"/>
      <c r="C27" s="9"/>
      <c r="D27" s="76"/>
      <c r="E27" s="350">
        <f>D27</f>
        <v>0</v>
      </c>
      <c r="F27" s="9">
        <f>'Res-Gen'!G45</f>
        <v>35000</v>
      </c>
      <c r="G27" s="76">
        <f>E27+F27</f>
        <v>35000</v>
      </c>
      <c r="H27" s="46">
        <f>G27</f>
        <v>35000</v>
      </c>
      <c r="I27" s="9">
        <f>+'Res-Gen'!J45</f>
        <v>-35000</v>
      </c>
      <c r="J27" s="76">
        <f>H27+I27</f>
        <v>0</v>
      </c>
      <c r="K27" s="89">
        <f>J27</f>
        <v>0</v>
      </c>
      <c r="L27" s="9">
        <f>'Res-Gen'!M45</f>
        <v>0</v>
      </c>
      <c r="M27" s="46">
        <f>K27+L27</f>
        <v>0</v>
      </c>
      <c r="N27" s="350">
        <f>M27</f>
        <v>0</v>
      </c>
      <c r="O27" s="9">
        <f>'Res-Gen'!P45</f>
        <v>0</v>
      </c>
      <c r="P27" s="76">
        <f>N27+O27</f>
        <v>0</v>
      </c>
      <c r="Q27" s="46">
        <f>P27</f>
        <v>0</v>
      </c>
      <c r="R27" s="9">
        <f>'Res-Gen'!S45</f>
        <v>0</v>
      </c>
      <c r="S27" s="61">
        <f>Q27+R27</f>
        <v>0</v>
      </c>
      <c r="T27" s="46">
        <f>S27</f>
        <v>0</v>
      </c>
      <c r="U27" s="9">
        <f>'Res-Gen'!V45</f>
        <v>0</v>
      </c>
      <c r="V27" s="49">
        <f>T27+U27</f>
        <v>0</v>
      </c>
      <c r="W27" s="46">
        <f>V27</f>
        <v>0</v>
      </c>
      <c r="X27" s="9">
        <f>'Res-Gen'!Y45</f>
        <v>0</v>
      </c>
      <c r="Y27" s="49">
        <f>W27+X27</f>
        <v>0</v>
      </c>
      <c r="Z27" s="350">
        <f>Y27</f>
        <v>0</v>
      </c>
      <c r="AA27" s="9">
        <f>'Res-Gen'!AB45</f>
        <v>0</v>
      </c>
      <c r="AB27" s="49">
        <f>Z27+AA27</f>
        <v>0</v>
      </c>
      <c r="AC27" s="350">
        <f>AB27</f>
        <v>0</v>
      </c>
      <c r="AD27" s="9">
        <f>'Res-Gen'!AE45</f>
        <v>0</v>
      </c>
      <c r="AE27" s="49">
        <f>AC27+AD27</f>
        <v>0</v>
      </c>
      <c r="AF27" s="350">
        <f>AE27</f>
        <v>0</v>
      </c>
      <c r="AG27" s="9">
        <f>'Res-Gen'!AH45</f>
        <v>0</v>
      </c>
      <c r="AH27" s="49">
        <f>AF27+AG27</f>
        <v>0</v>
      </c>
      <c r="AI27" s="350">
        <f>AH27</f>
        <v>0</v>
      </c>
      <c r="AJ27" s="9">
        <f>'Res-Gen'!AK45</f>
        <v>0</v>
      </c>
      <c r="AK27" s="49">
        <f>AI27+AJ27</f>
        <v>0</v>
      </c>
      <c r="AL27" s="46">
        <f>AK27</f>
        <v>0</v>
      </c>
      <c r="AM27" s="9">
        <f>'Res-Gen'!AN45</f>
        <v>0</v>
      </c>
      <c r="AN27" s="61">
        <f>AL27+AM27</f>
        <v>0</v>
      </c>
    </row>
    <row r="28" spans="1:43" x14ac:dyDescent="0.2">
      <c r="A28" s="408"/>
      <c r="B28" s="89"/>
      <c r="C28" s="9"/>
      <c r="D28" s="76"/>
      <c r="E28" s="350"/>
      <c r="F28" s="9"/>
      <c r="G28" s="76"/>
      <c r="H28" s="46"/>
      <c r="I28" s="9"/>
      <c r="J28" s="76"/>
      <c r="K28" s="89"/>
      <c r="L28" s="9"/>
      <c r="M28" s="46"/>
      <c r="N28" s="350"/>
      <c r="O28" s="9"/>
      <c r="P28" s="76"/>
      <c r="Q28" s="46"/>
      <c r="R28" s="9"/>
      <c r="S28" s="61"/>
      <c r="T28" s="46"/>
      <c r="U28" s="9"/>
      <c r="V28" s="49"/>
      <c r="W28" s="46"/>
      <c r="X28" s="9"/>
      <c r="Y28" s="49"/>
      <c r="Z28" s="350"/>
      <c r="AA28" s="9"/>
      <c r="AB28" s="49"/>
      <c r="AC28" s="350"/>
      <c r="AD28" s="9"/>
      <c r="AE28" s="49"/>
      <c r="AF28" s="350"/>
      <c r="AG28" s="9"/>
      <c r="AH28" s="49"/>
      <c r="AI28" s="350"/>
      <c r="AJ28" s="9"/>
      <c r="AK28" s="49"/>
      <c r="AL28" s="46"/>
      <c r="AM28" s="9"/>
      <c r="AN28" s="61"/>
    </row>
    <row r="29" spans="1:43" x14ac:dyDescent="0.2">
      <c r="A29" s="778" t="s">
        <v>6600</v>
      </c>
      <c r="B29" s="89"/>
      <c r="C29" s="9"/>
      <c r="D29" s="76"/>
      <c r="E29" s="133"/>
      <c r="F29" s="9"/>
      <c r="G29" s="76"/>
      <c r="H29" s="89"/>
      <c r="I29" s="9"/>
      <c r="J29" s="76"/>
      <c r="K29" s="89"/>
      <c r="L29" s="9"/>
      <c r="M29" s="46"/>
      <c r="N29" s="350"/>
      <c r="O29" s="9"/>
      <c r="P29" s="76"/>
      <c r="Q29" s="46"/>
      <c r="R29" s="9"/>
      <c r="S29" s="61"/>
      <c r="T29" s="46"/>
      <c r="U29" s="9"/>
      <c r="V29" s="49"/>
      <c r="W29" s="46"/>
      <c r="X29" s="9"/>
      <c r="Y29" s="49"/>
      <c r="Z29" s="350"/>
      <c r="AA29" s="9"/>
      <c r="AB29" s="49"/>
      <c r="AC29" s="350"/>
      <c r="AD29" s="9"/>
      <c r="AE29" s="49"/>
      <c r="AF29" s="350"/>
      <c r="AG29" s="9"/>
      <c r="AH29" s="49"/>
      <c r="AI29" s="350"/>
      <c r="AJ29" s="9"/>
      <c r="AK29" s="49"/>
      <c r="AL29" s="46"/>
      <c r="AM29" s="9"/>
      <c r="AN29" s="61"/>
    </row>
    <row r="30" spans="1:43" x14ac:dyDescent="0.2">
      <c r="A30" s="633" t="s">
        <v>5264</v>
      </c>
      <c r="B30" s="89">
        <v>81000</v>
      </c>
      <c r="C30" s="9">
        <f>'Res-Gen'!D49</f>
        <v>103500</v>
      </c>
      <c r="D30" s="76">
        <f t="shared" ref="D30" si="160">B30+C30</f>
        <v>184500</v>
      </c>
      <c r="E30" s="350">
        <f>D30</f>
        <v>184500</v>
      </c>
      <c r="F30" s="9">
        <v>0</v>
      </c>
      <c r="G30" s="76">
        <f>E30+F30</f>
        <v>184500</v>
      </c>
      <c r="H30" s="46">
        <f>G30</f>
        <v>184500</v>
      </c>
      <c r="I30" s="9">
        <v>0</v>
      </c>
      <c r="J30" s="76">
        <f>H30+I30</f>
        <v>184500</v>
      </c>
      <c r="K30" s="89">
        <f>J30</f>
        <v>184500</v>
      </c>
      <c r="L30" s="9">
        <v>0</v>
      </c>
      <c r="M30" s="46">
        <f>K30+L30</f>
        <v>184500</v>
      </c>
      <c r="N30" s="350">
        <f>M30</f>
        <v>184500</v>
      </c>
      <c r="O30" s="9">
        <v>0</v>
      </c>
      <c r="P30" s="76">
        <f>N30+O30</f>
        <v>184500</v>
      </c>
      <c r="Q30" s="46">
        <f>P30</f>
        <v>184500</v>
      </c>
      <c r="R30" s="9">
        <v>0</v>
      </c>
      <c r="S30" s="61">
        <f>Q30+R30</f>
        <v>184500</v>
      </c>
      <c r="T30" s="46">
        <f>S30</f>
        <v>184500</v>
      </c>
      <c r="U30" s="9">
        <v>0</v>
      </c>
      <c r="V30" s="49">
        <f>T30+U30</f>
        <v>184500</v>
      </c>
      <c r="W30" s="46">
        <f>V30</f>
        <v>184500</v>
      </c>
      <c r="X30" s="9">
        <v>0</v>
      </c>
      <c r="Y30" s="49">
        <f>W30+X30</f>
        <v>184500</v>
      </c>
      <c r="Z30" s="350">
        <f>Y30</f>
        <v>184500</v>
      </c>
      <c r="AA30" s="9">
        <v>0</v>
      </c>
      <c r="AB30" s="49">
        <f>Z30+AA30</f>
        <v>184500</v>
      </c>
      <c r="AC30" s="350">
        <f>AB30</f>
        <v>184500</v>
      </c>
      <c r="AD30" s="9">
        <v>0</v>
      </c>
      <c r="AE30" s="49">
        <f>AC30+AD30</f>
        <v>184500</v>
      </c>
      <c r="AF30" s="350">
        <f>AE30</f>
        <v>184500</v>
      </c>
      <c r="AG30" s="9">
        <v>0</v>
      </c>
      <c r="AH30" s="49">
        <f>AF30+AG30</f>
        <v>184500</v>
      </c>
      <c r="AI30" s="350">
        <f>AH30</f>
        <v>184500</v>
      </c>
      <c r="AJ30" s="9">
        <v>0</v>
      </c>
      <c r="AK30" s="49">
        <f>AI30+AJ30</f>
        <v>184500</v>
      </c>
      <c r="AL30" s="46">
        <f>AK30</f>
        <v>184500</v>
      </c>
      <c r="AM30" s="9">
        <v>0</v>
      </c>
      <c r="AN30" s="61">
        <f>AL30+AM30</f>
        <v>184500</v>
      </c>
    </row>
    <row r="31" spans="1:43" x14ac:dyDescent="0.2">
      <c r="A31" s="633" t="s">
        <v>1944</v>
      </c>
      <c r="B31" s="89"/>
      <c r="C31" s="9"/>
      <c r="D31" s="76"/>
      <c r="E31" s="350">
        <v>0</v>
      </c>
      <c r="F31" s="9">
        <f>+'Res-Gen'!G46</f>
        <v>2108000</v>
      </c>
      <c r="G31" s="76">
        <f>E31+F31</f>
        <v>2108000</v>
      </c>
      <c r="H31" s="46">
        <f>G31</f>
        <v>2108000</v>
      </c>
      <c r="I31" s="9">
        <v>0</v>
      </c>
      <c r="J31" s="76">
        <f>H31+I31</f>
        <v>2108000</v>
      </c>
      <c r="K31" s="89">
        <f>J31</f>
        <v>2108000</v>
      </c>
      <c r="L31" s="9"/>
      <c r="M31" s="46">
        <f>K31+L31</f>
        <v>2108000</v>
      </c>
      <c r="N31" s="350">
        <f>M31</f>
        <v>2108000</v>
      </c>
      <c r="O31" s="9"/>
      <c r="P31" s="76">
        <f>N31+O31</f>
        <v>2108000</v>
      </c>
      <c r="Q31" s="46">
        <f>P31</f>
        <v>2108000</v>
      </c>
      <c r="R31" s="9"/>
      <c r="S31" s="61">
        <f>Q31+R31</f>
        <v>2108000</v>
      </c>
      <c r="T31" s="46">
        <f>S31</f>
        <v>2108000</v>
      </c>
      <c r="U31" s="9"/>
      <c r="V31" s="49">
        <f>T31+U31</f>
        <v>2108000</v>
      </c>
      <c r="W31" s="46">
        <f>V31</f>
        <v>2108000</v>
      </c>
      <c r="X31" s="9"/>
      <c r="Y31" s="49">
        <f>W31+X31</f>
        <v>2108000</v>
      </c>
      <c r="Z31" s="350">
        <f>Y31</f>
        <v>2108000</v>
      </c>
      <c r="AA31" s="9"/>
      <c r="AB31" s="49">
        <f>Z31+AA31</f>
        <v>2108000</v>
      </c>
      <c r="AC31" s="350">
        <f>AB31</f>
        <v>2108000</v>
      </c>
      <c r="AD31" s="9"/>
      <c r="AE31" s="49">
        <f>AC31+AD31</f>
        <v>2108000</v>
      </c>
      <c r="AF31" s="350">
        <f>AE31</f>
        <v>2108000</v>
      </c>
      <c r="AG31" s="9"/>
      <c r="AH31" s="49">
        <f>AF31+AG31</f>
        <v>2108000</v>
      </c>
      <c r="AI31" s="350">
        <f>AH31</f>
        <v>2108000</v>
      </c>
      <c r="AJ31" s="9"/>
      <c r="AK31" s="49">
        <f>AI31+AJ31</f>
        <v>2108000</v>
      </c>
      <c r="AL31" s="46">
        <f>AK31</f>
        <v>2108000</v>
      </c>
      <c r="AM31" s="9"/>
      <c r="AN31" s="61">
        <f>AL31+AM31</f>
        <v>2108000</v>
      </c>
    </row>
    <row r="32" spans="1:43" x14ac:dyDescent="0.2">
      <c r="A32" s="408"/>
      <c r="B32" s="99"/>
      <c r="C32" s="97"/>
      <c r="D32" s="76"/>
      <c r="E32" s="394"/>
      <c r="F32" s="97"/>
      <c r="G32" s="76"/>
      <c r="H32" s="99"/>
      <c r="I32" s="97"/>
      <c r="J32" s="76"/>
      <c r="K32" s="99"/>
      <c r="L32" s="97"/>
      <c r="M32" s="46"/>
      <c r="N32" s="913"/>
      <c r="O32" s="97"/>
      <c r="P32" s="76"/>
      <c r="Q32" s="129"/>
      <c r="R32" s="97"/>
      <c r="S32" s="61"/>
      <c r="T32" s="129"/>
      <c r="U32" s="97"/>
      <c r="V32" s="49"/>
      <c r="W32" s="129"/>
      <c r="X32" s="97"/>
      <c r="Y32" s="49"/>
      <c r="Z32" s="913"/>
      <c r="AA32" s="97"/>
      <c r="AB32" s="49"/>
      <c r="AC32" s="913"/>
      <c r="AD32" s="97"/>
      <c r="AE32" s="49"/>
      <c r="AF32" s="913"/>
      <c r="AG32" s="97"/>
      <c r="AH32" s="49"/>
      <c r="AI32" s="913"/>
      <c r="AJ32" s="97"/>
      <c r="AK32" s="49"/>
      <c r="AL32" s="129"/>
      <c r="AM32" s="97"/>
      <c r="AN32" s="61"/>
    </row>
    <row r="33" spans="1:43" x14ac:dyDescent="0.2">
      <c r="A33" s="407" t="s">
        <v>357</v>
      </c>
      <c r="B33" s="89"/>
      <c r="C33" s="9"/>
      <c r="D33" s="76"/>
      <c r="E33" s="133"/>
      <c r="F33" s="9"/>
      <c r="G33" s="76"/>
      <c r="H33" s="89"/>
      <c r="I33" s="9"/>
      <c r="J33" s="76"/>
      <c r="K33" s="89"/>
      <c r="L33" s="9"/>
      <c r="M33" s="46"/>
      <c r="N33" s="350"/>
      <c r="O33" s="9"/>
      <c r="P33" s="76"/>
      <c r="Q33" s="46"/>
      <c r="R33" s="9"/>
      <c r="S33" s="61"/>
      <c r="T33" s="46"/>
      <c r="U33" s="9"/>
      <c r="V33" s="49"/>
      <c r="W33" s="46"/>
      <c r="X33" s="9"/>
      <c r="Y33" s="49"/>
      <c r="Z33" s="350"/>
      <c r="AA33" s="9"/>
      <c r="AB33" s="49"/>
      <c r="AC33" s="350"/>
      <c r="AD33" s="9"/>
      <c r="AE33" s="49"/>
      <c r="AF33" s="350"/>
      <c r="AG33" s="9"/>
      <c r="AH33" s="49"/>
      <c r="AI33" s="350"/>
      <c r="AJ33" s="9"/>
      <c r="AK33" s="49"/>
      <c r="AL33" s="46"/>
      <c r="AM33" s="9"/>
      <c r="AN33" s="61"/>
    </row>
    <row r="34" spans="1:43" x14ac:dyDescent="0.2">
      <c r="A34" s="633" t="s">
        <v>3274</v>
      </c>
      <c r="B34" s="89">
        <v>2508700</v>
      </c>
      <c r="C34" s="9">
        <f>'Res-Gen'!D52</f>
        <v>284000</v>
      </c>
      <c r="D34" s="76">
        <f>B34+C34</f>
        <v>2792700</v>
      </c>
      <c r="E34" s="350">
        <f>D34</f>
        <v>2792700</v>
      </c>
      <c r="F34" s="9">
        <f>'Res-Gen'!G52</f>
        <v>220000</v>
      </c>
      <c r="G34" s="76">
        <f>E34+F34</f>
        <v>3012700</v>
      </c>
      <c r="H34" s="46">
        <f>G34</f>
        <v>3012700</v>
      </c>
      <c r="I34" s="9">
        <f>'Res-Gen'!J52</f>
        <v>0</v>
      </c>
      <c r="J34" s="76">
        <f>H34+I34</f>
        <v>3012700</v>
      </c>
      <c r="K34" s="89">
        <f>J34</f>
        <v>3012700</v>
      </c>
      <c r="L34" s="9">
        <f>'Res-Gen'!M52</f>
        <v>0</v>
      </c>
      <c r="M34" s="46">
        <f>K34+L34</f>
        <v>3012700</v>
      </c>
      <c r="N34" s="350">
        <f>M34</f>
        <v>3012700</v>
      </c>
      <c r="O34" s="9">
        <f>'Res-Gen'!P52</f>
        <v>0</v>
      </c>
      <c r="P34" s="76">
        <f>N34+O34</f>
        <v>3012700</v>
      </c>
      <c r="Q34" s="46">
        <f>P34</f>
        <v>3012700</v>
      </c>
      <c r="R34" s="9">
        <f>'Res-Gen'!S52</f>
        <v>0</v>
      </c>
      <c r="S34" s="61">
        <f>Q34+R34</f>
        <v>3012700</v>
      </c>
      <c r="T34" s="46">
        <f>S34</f>
        <v>3012700</v>
      </c>
      <c r="U34" s="9">
        <f>'Res-Gen'!V52</f>
        <v>0</v>
      </c>
      <c r="V34" s="49">
        <f>T34+U34</f>
        <v>3012700</v>
      </c>
      <c r="W34" s="46">
        <f>V34</f>
        <v>3012700</v>
      </c>
      <c r="X34" s="9">
        <f>'Res-Gen'!Y52</f>
        <v>0</v>
      </c>
      <c r="Y34" s="49">
        <f>W34+X34</f>
        <v>3012700</v>
      </c>
      <c r="Z34" s="350">
        <f>Y34</f>
        <v>3012700</v>
      </c>
      <c r="AA34" s="9">
        <f>'Res-Gen'!AB52</f>
        <v>0</v>
      </c>
      <c r="AB34" s="49">
        <f>Z34+AA34</f>
        <v>3012700</v>
      </c>
      <c r="AC34" s="350">
        <f>AB34</f>
        <v>3012700</v>
      </c>
      <c r="AD34" s="9">
        <f>'Res-Gen'!AE52</f>
        <v>0</v>
      </c>
      <c r="AE34" s="49">
        <f>AC34+AD34</f>
        <v>3012700</v>
      </c>
      <c r="AF34" s="350">
        <f>AE34</f>
        <v>3012700</v>
      </c>
      <c r="AG34" s="9">
        <f>'Res-Gen'!AH52</f>
        <v>0</v>
      </c>
      <c r="AH34" s="49">
        <f>AF34+AG34</f>
        <v>3012700</v>
      </c>
      <c r="AI34" s="350">
        <f>AH34</f>
        <v>3012700</v>
      </c>
      <c r="AJ34" s="9">
        <f>'Res-Gen'!AK52</f>
        <v>0</v>
      </c>
      <c r="AK34" s="49">
        <f>AI34+AJ34</f>
        <v>3012700</v>
      </c>
      <c r="AL34" s="46">
        <f>AK34</f>
        <v>3012700</v>
      </c>
      <c r="AM34" s="9">
        <f>'Res-Gen'!AN52</f>
        <v>0</v>
      </c>
      <c r="AN34" s="61">
        <f>AL34+AM34</f>
        <v>3012700</v>
      </c>
    </row>
    <row r="35" spans="1:43" x14ac:dyDescent="0.2">
      <c r="A35" s="633" t="s">
        <v>5852</v>
      </c>
      <c r="B35" s="89"/>
      <c r="C35" s="9"/>
      <c r="D35" s="76"/>
      <c r="E35" s="350"/>
      <c r="F35" s="9">
        <f>+'Res-Gen'!G53</f>
        <v>117000</v>
      </c>
      <c r="G35" s="76">
        <f>E35+F35</f>
        <v>117000</v>
      </c>
      <c r="H35" s="46">
        <f>G35</f>
        <v>117000</v>
      </c>
      <c r="I35" s="9">
        <f>+'Res-Gen'!J53</f>
        <v>-117000</v>
      </c>
      <c r="J35" s="76">
        <f>H35+I35</f>
        <v>0</v>
      </c>
      <c r="K35" s="89">
        <f>J35</f>
        <v>0</v>
      </c>
      <c r="L35" s="9"/>
      <c r="M35" s="46">
        <f>K35+L35</f>
        <v>0</v>
      </c>
      <c r="N35" s="350">
        <f>M35</f>
        <v>0</v>
      </c>
      <c r="O35" s="9"/>
      <c r="P35" s="76">
        <f>N35+O35</f>
        <v>0</v>
      </c>
      <c r="Q35" s="46">
        <f>P35</f>
        <v>0</v>
      </c>
      <c r="R35" s="9"/>
      <c r="S35" s="61">
        <f>Q35+R35</f>
        <v>0</v>
      </c>
      <c r="T35" s="46">
        <f>S35</f>
        <v>0</v>
      </c>
      <c r="U35" s="9"/>
      <c r="V35" s="49">
        <f>T35+U35</f>
        <v>0</v>
      </c>
      <c r="W35" s="46">
        <f>V35</f>
        <v>0</v>
      </c>
      <c r="X35" s="9"/>
      <c r="Y35" s="49">
        <f>W35+X35</f>
        <v>0</v>
      </c>
      <c r="Z35" s="350">
        <f>Y35</f>
        <v>0</v>
      </c>
      <c r="AA35" s="9"/>
      <c r="AB35" s="49">
        <f>Z35+AA35</f>
        <v>0</v>
      </c>
      <c r="AC35" s="350">
        <f>AB35</f>
        <v>0</v>
      </c>
      <c r="AD35" s="9"/>
      <c r="AE35" s="49">
        <f>AC35+AD35</f>
        <v>0</v>
      </c>
      <c r="AF35" s="350">
        <f>AE35</f>
        <v>0</v>
      </c>
      <c r="AG35" s="9"/>
      <c r="AH35" s="49">
        <f>AF35+AG35</f>
        <v>0</v>
      </c>
      <c r="AI35" s="350">
        <f>AH35</f>
        <v>0</v>
      </c>
      <c r="AJ35" s="9"/>
      <c r="AK35" s="49">
        <f>AI35+AJ35</f>
        <v>0</v>
      </c>
      <c r="AL35" s="46">
        <f>AK35</f>
        <v>0</v>
      </c>
      <c r="AM35" s="9"/>
      <c r="AN35" s="61">
        <f>AL35+AM35</f>
        <v>0</v>
      </c>
    </row>
    <row r="36" spans="1:43" x14ac:dyDescent="0.2">
      <c r="A36" s="633" t="s">
        <v>2724</v>
      </c>
      <c r="B36" s="89"/>
      <c r="C36" s="9"/>
      <c r="D36" s="76"/>
      <c r="E36" s="350"/>
      <c r="F36" s="9"/>
      <c r="G36" s="76"/>
      <c r="H36" s="46">
        <f>G36</f>
        <v>0</v>
      </c>
      <c r="I36" s="9">
        <f>+'Res-Gen'!J54</f>
        <v>100000</v>
      </c>
      <c r="J36" s="76">
        <f>H36+I36</f>
        <v>100000</v>
      </c>
      <c r="K36" s="89">
        <f>J36</f>
        <v>100000</v>
      </c>
      <c r="L36" s="9"/>
      <c r="M36" s="46">
        <f>K36+L36</f>
        <v>100000</v>
      </c>
      <c r="N36" s="350">
        <f>M36</f>
        <v>100000</v>
      </c>
      <c r="O36" s="9"/>
      <c r="P36" s="76">
        <f>N36+O36</f>
        <v>100000</v>
      </c>
      <c r="Q36" s="46">
        <f>P36</f>
        <v>100000</v>
      </c>
      <c r="R36" s="9"/>
      <c r="S36" s="61">
        <f>Q36+R36</f>
        <v>100000</v>
      </c>
      <c r="T36" s="46">
        <f>S36</f>
        <v>100000</v>
      </c>
      <c r="U36" s="9"/>
      <c r="V36" s="49">
        <f>T36+U36</f>
        <v>100000</v>
      </c>
      <c r="W36" s="46">
        <f>V36</f>
        <v>100000</v>
      </c>
      <c r="X36" s="9"/>
      <c r="Y36" s="49">
        <f>W36+X36</f>
        <v>100000</v>
      </c>
      <c r="Z36" s="350">
        <f>Y36</f>
        <v>100000</v>
      </c>
      <c r="AA36" s="9"/>
      <c r="AB36" s="49">
        <f>Z36+AA36</f>
        <v>100000</v>
      </c>
      <c r="AC36" s="350">
        <f>AB36</f>
        <v>100000</v>
      </c>
      <c r="AD36" s="9"/>
      <c r="AE36" s="49">
        <f>AC36+AD36</f>
        <v>100000</v>
      </c>
      <c r="AF36" s="350">
        <f>AE36</f>
        <v>100000</v>
      </c>
      <c r="AG36" s="9"/>
      <c r="AH36" s="49">
        <f>AF36+AG36</f>
        <v>100000</v>
      </c>
      <c r="AI36" s="350">
        <f>AH36</f>
        <v>100000</v>
      </c>
      <c r="AJ36" s="9"/>
      <c r="AK36" s="49">
        <f>AI36+AJ36</f>
        <v>100000</v>
      </c>
      <c r="AL36" s="46">
        <f>AK36</f>
        <v>100000</v>
      </c>
      <c r="AM36" s="9"/>
      <c r="AN36" s="61">
        <f>AL36+AM36</f>
        <v>100000</v>
      </c>
    </row>
    <row r="37" spans="1:43" x14ac:dyDescent="0.2">
      <c r="A37" s="408"/>
      <c r="B37" s="99"/>
      <c r="C37" s="97"/>
      <c r="D37" s="76"/>
      <c r="E37" s="394"/>
      <c r="F37" s="97"/>
      <c r="G37" s="76"/>
      <c r="H37" s="99"/>
      <c r="I37" s="97"/>
      <c r="J37" s="76"/>
      <c r="K37" s="99"/>
      <c r="L37" s="97"/>
      <c r="M37" s="46"/>
      <c r="N37" s="913"/>
      <c r="O37" s="97"/>
      <c r="P37" s="76"/>
      <c r="Q37" s="129"/>
      <c r="R37" s="97"/>
      <c r="S37" s="61"/>
      <c r="T37" s="129"/>
      <c r="U37" s="97"/>
      <c r="V37" s="49"/>
      <c r="W37" s="129"/>
      <c r="X37" s="97"/>
      <c r="Y37" s="49"/>
      <c r="Z37" s="913"/>
      <c r="AA37" s="97"/>
      <c r="AB37" s="49"/>
      <c r="AC37" s="913"/>
      <c r="AD37" s="97"/>
      <c r="AE37" s="49"/>
      <c r="AF37" s="913"/>
      <c r="AG37" s="97"/>
      <c r="AH37" s="49"/>
      <c r="AI37" s="913"/>
      <c r="AJ37" s="97"/>
      <c r="AK37" s="49"/>
      <c r="AL37" s="129"/>
      <c r="AM37" s="97"/>
      <c r="AN37" s="61"/>
    </row>
    <row r="38" spans="1:43" x14ac:dyDescent="0.2">
      <c r="A38" s="778" t="s">
        <v>2273</v>
      </c>
      <c r="B38" s="89"/>
      <c r="C38" s="9"/>
      <c r="D38" s="76"/>
      <c r="E38" s="350"/>
      <c r="F38" s="9"/>
      <c r="G38" s="76"/>
      <c r="H38" s="46"/>
      <c r="I38" s="9"/>
      <c r="J38" s="76"/>
      <c r="K38" s="89"/>
      <c r="L38" s="9"/>
      <c r="M38" s="46"/>
      <c r="N38" s="350"/>
      <c r="O38" s="9"/>
      <c r="P38" s="76"/>
      <c r="Q38" s="46"/>
      <c r="R38" s="9"/>
      <c r="S38" s="61"/>
      <c r="T38" s="46"/>
      <c r="U38" s="9"/>
      <c r="V38" s="49"/>
      <c r="W38" s="46"/>
      <c r="X38" s="9"/>
      <c r="Y38" s="49"/>
      <c r="Z38" s="350"/>
      <c r="AA38" s="9"/>
      <c r="AB38" s="49"/>
      <c r="AC38" s="350"/>
      <c r="AD38" s="9"/>
      <c r="AE38" s="49"/>
      <c r="AF38" s="350"/>
      <c r="AG38" s="9"/>
      <c r="AH38" s="49"/>
      <c r="AI38" s="350"/>
      <c r="AJ38" s="9"/>
      <c r="AK38" s="49"/>
      <c r="AL38" s="46"/>
      <c r="AM38" s="9"/>
      <c r="AN38" s="61"/>
    </row>
    <row r="39" spans="1:43" x14ac:dyDescent="0.2">
      <c r="A39" s="633" t="s">
        <v>11964</v>
      </c>
      <c r="B39" s="89">
        <v>40000</v>
      </c>
      <c r="C39" s="9">
        <f>'Res-Gen'!D57</f>
        <v>-15900</v>
      </c>
      <c r="D39" s="76">
        <f>B39+C39</f>
        <v>24100</v>
      </c>
      <c r="E39" s="350">
        <f>D39</f>
        <v>24100</v>
      </c>
      <c r="F39" s="9">
        <f>+'Res-Gen'!G60+'Res-Gen'!G57</f>
        <v>128300</v>
      </c>
      <c r="G39" s="76">
        <f t="shared" ref="G39" si="161">E39+F39</f>
        <v>152400</v>
      </c>
      <c r="H39" s="46">
        <f>G39</f>
        <v>152400</v>
      </c>
      <c r="I39" s="9">
        <f>'Res-Gen'!J60+'Res-Gen'!J57</f>
        <v>-139200</v>
      </c>
      <c r="J39" s="76">
        <f t="shared" ref="J39" si="162">H39+I39</f>
        <v>13200</v>
      </c>
      <c r="K39" s="46">
        <f>J39</f>
        <v>13200</v>
      </c>
      <c r="L39" s="9">
        <f>'Res-Gen'!M60</f>
        <v>0</v>
      </c>
      <c r="M39" s="46">
        <f t="shared" ref="M39" si="163">K39+L39</f>
        <v>13200</v>
      </c>
      <c r="N39" s="350">
        <f t="shared" ref="N39" si="164">M39</f>
        <v>13200</v>
      </c>
      <c r="O39" s="9">
        <f>'Res-Gen'!P60</f>
        <v>0</v>
      </c>
      <c r="P39" s="76">
        <f t="shared" ref="P39" si="165">N39+O39</f>
        <v>13200</v>
      </c>
      <c r="Q39" s="46">
        <f t="shared" ref="Q39" si="166">P39</f>
        <v>13200</v>
      </c>
      <c r="R39" s="9">
        <f>'Res-Gen'!S60</f>
        <v>0</v>
      </c>
      <c r="S39" s="61">
        <f t="shared" ref="S39" si="167">Q39+R39</f>
        <v>13200</v>
      </c>
      <c r="T39" s="46">
        <f t="shared" ref="T39" si="168">S39</f>
        <v>13200</v>
      </c>
      <c r="U39" s="9">
        <f>'Res-Gen'!V60</f>
        <v>0</v>
      </c>
      <c r="V39" s="49">
        <f t="shared" ref="V39" si="169">T39+U39</f>
        <v>13200</v>
      </c>
      <c r="W39" s="46">
        <f t="shared" ref="W39" si="170">V39</f>
        <v>13200</v>
      </c>
      <c r="X39" s="9">
        <f>'Res-Gen'!Y60</f>
        <v>0</v>
      </c>
      <c r="Y39" s="49">
        <f t="shared" ref="Y39" si="171">W39+X39</f>
        <v>13200</v>
      </c>
      <c r="Z39" s="350">
        <f t="shared" ref="Z39" si="172">Y39</f>
        <v>13200</v>
      </c>
      <c r="AA39" s="9">
        <f>'Res-Gen'!AB60</f>
        <v>0</v>
      </c>
      <c r="AB39" s="49">
        <f t="shared" ref="AB39" si="173">Z39+AA39</f>
        <v>13200</v>
      </c>
      <c r="AC39" s="350">
        <f t="shared" ref="AC39" si="174">AB39</f>
        <v>13200</v>
      </c>
      <c r="AD39" s="9">
        <f>'Res-Gen'!AE60</f>
        <v>0</v>
      </c>
      <c r="AE39" s="49">
        <f t="shared" ref="AE39" si="175">AC39+AD39</f>
        <v>13200</v>
      </c>
      <c r="AF39" s="350">
        <f t="shared" ref="AF39" si="176">AE39</f>
        <v>13200</v>
      </c>
      <c r="AG39" s="9">
        <f>'Res-Gen'!AH60</f>
        <v>0</v>
      </c>
      <c r="AH39" s="49">
        <f t="shared" ref="AH39" si="177">AF39+AG39</f>
        <v>13200</v>
      </c>
      <c r="AI39" s="350">
        <f t="shared" ref="AI39" si="178">AH39</f>
        <v>13200</v>
      </c>
      <c r="AJ39" s="9">
        <f>'Res-Gen'!AK60</f>
        <v>0</v>
      </c>
      <c r="AK39" s="49">
        <f t="shared" ref="AK39" si="179">AI39+AJ39</f>
        <v>13200</v>
      </c>
      <c r="AL39" s="46">
        <f t="shared" ref="AL39" si="180">AK39</f>
        <v>13200</v>
      </c>
      <c r="AM39" s="9">
        <f>'Res-Gen'!AN60</f>
        <v>0</v>
      </c>
      <c r="AN39" s="61">
        <f t="shared" ref="AN39" si="181">AL39+AM39</f>
        <v>13200</v>
      </c>
    </row>
    <row r="40" spans="1:43" x14ac:dyDescent="0.2">
      <c r="A40" s="633" t="s">
        <v>4107</v>
      </c>
      <c r="B40" s="89">
        <v>10000</v>
      </c>
      <c r="C40" s="9">
        <f>'Res-Gen'!D59</f>
        <v>5000</v>
      </c>
      <c r="D40" s="76">
        <f>B40+C40</f>
        <v>15000</v>
      </c>
      <c r="E40" s="350">
        <f>D40</f>
        <v>15000</v>
      </c>
      <c r="F40" s="9">
        <f>'Res-Gen'!G59</f>
        <v>0</v>
      </c>
      <c r="G40" s="76">
        <f>E40+F40</f>
        <v>15000</v>
      </c>
      <c r="H40" s="46">
        <f>G40</f>
        <v>15000</v>
      </c>
      <c r="I40" s="9">
        <f>'Res-Gen'!J59</f>
        <v>-15000</v>
      </c>
      <c r="J40" s="76">
        <f>H40+I40</f>
        <v>0</v>
      </c>
      <c r="K40" s="89">
        <f>J40</f>
        <v>0</v>
      </c>
      <c r="L40" s="9">
        <f>'Res-Gen'!M59</f>
        <v>0</v>
      </c>
      <c r="M40" s="46">
        <f>K40+L40</f>
        <v>0</v>
      </c>
      <c r="N40" s="350">
        <f>M40</f>
        <v>0</v>
      </c>
      <c r="O40" s="9">
        <f>'Res-Gen'!P59</f>
        <v>0</v>
      </c>
      <c r="P40" s="76">
        <f>N40+O40</f>
        <v>0</v>
      </c>
      <c r="Q40" s="46">
        <f>P40</f>
        <v>0</v>
      </c>
      <c r="R40" s="9">
        <f>'Res-Gen'!S59</f>
        <v>0</v>
      </c>
      <c r="S40" s="61">
        <f>Q40+R40</f>
        <v>0</v>
      </c>
      <c r="T40" s="46">
        <f>S40</f>
        <v>0</v>
      </c>
      <c r="U40" s="9">
        <f>'Res-Gen'!V59</f>
        <v>0</v>
      </c>
      <c r="V40" s="49">
        <f>T40+U40</f>
        <v>0</v>
      </c>
      <c r="W40" s="46">
        <f>V40</f>
        <v>0</v>
      </c>
      <c r="X40" s="9">
        <f>'Res-Gen'!Y59</f>
        <v>0</v>
      </c>
      <c r="Y40" s="49">
        <f>W40+X40</f>
        <v>0</v>
      </c>
      <c r="Z40" s="350">
        <f>Y40</f>
        <v>0</v>
      </c>
      <c r="AA40" s="9">
        <f>'Res-Gen'!AB59</f>
        <v>0</v>
      </c>
      <c r="AB40" s="49">
        <f>Z40+AA40</f>
        <v>0</v>
      </c>
      <c r="AC40" s="350">
        <f>AB40</f>
        <v>0</v>
      </c>
      <c r="AD40" s="9">
        <f>'Res-Gen'!AE59</f>
        <v>0</v>
      </c>
      <c r="AE40" s="49">
        <f>AC40+AD40</f>
        <v>0</v>
      </c>
      <c r="AF40" s="350">
        <f>AE40</f>
        <v>0</v>
      </c>
      <c r="AG40" s="9">
        <f>'Res-Gen'!AH59</f>
        <v>0</v>
      </c>
      <c r="AH40" s="49">
        <f>AF40+AG40</f>
        <v>0</v>
      </c>
      <c r="AI40" s="350">
        <f>AH40</f>
        <v>0</v>
      </c>
      <c r="AJ40" s="9">
        <f>'Res-Gen'!AK59</f>
        <v>0</v>
      </c>
      <c r="AK40" s="49">
        <f>AI40+AJ40</f>
        <v>0</v>
      </c>
      <c r="AL40" s="46">
        <f>AK40</f>
        <v>0</v>
      </c>
      <c r="AM40" s="9">
        <f>'Res-Gen'!AN59</f>
        <v>0</v>
      </c>
      <c r="AN40" s="61">
        <f>AL40+AM40</f>
        <v>0</v>
      </c>
    </row>
    <row r="41" spans="1:43" s="2226" customFormat="1" x14ac:dyDescent="0.2">
      <c r="A41" s="633" t="s">
        <v>6399</v>
      </c>
      <c r="B41" s="77">
        <v>0</v>
      </c>
      <c r="C41" s="79">
        <f>'Res-Gen'!D58</f>
        <v>30000</v>
      </c>
      <c r="D41" s="582">
        <f>B41+C41</f>
        <v>30000</v>
      </c>
      <c r="E41" s="1125">
        <f>D41</f>
        <v>30000</v>
      </c>
      <c r="F41" s="79">
        <f>'Res-Gen'!G58</f>
        <v>-21100</v>
      </c>
      <c r="G41" s="582">
        <f>E41+F41</f>
        <v>8900</v>
      </c>
      <c r="H41" s="31">
        <f>G41</f>
        <v>8900</v>
      </c>
      <c r="I41" s="9">
        <f>'Res-Gen'!J58</f>
        <v>0</v>
      </c>
      <c r="J41" s="582">
        <f>H41+I41</f>
        <v>8900</v>
      </c>
      <c r="K41" s="77">
        <f>J41</f>
        <v>8900</v>
      </c>
      <c r="L41" s="79">
        <f>'[4]Res-Gen'!M57</f>
        <v>0</v>
      </c>
      <c r="M41" s="31">
        <f>K41+L41</f>
        <v>8900</v>
      </c>
      <c r="N41" s="1125">
        <f>M41</f>
        <v>8900</v>
      </c>
      <c r="O41" s="79">
        <f>'[4]Res-Gen'!P57</f>
        <v>0</v>
      </c>
      <c r="P41" s="582">
        <f>N41+O41</f>
        <v>8900</v>
      </c>
      <c r="Q41" s="31">
        <f>P41</f>
        <v>8900</v>
      </c>
      <c r="R41" s="79">
        <f>'[4]Res-Gen'!S57</f>
        <v>0</v>
      </c>
      <c r="S41" s="78">
        <f>Q41+R41</f>
        <v>8900</v>
      </c>
      <c r="T41" s="31">
        <f>S41</f>
        <v>8900</v>
      </c>
      <c r="U41" s="79">
        <f>'[4]Res-Gen'!V57</f>
        <v>0</v>
      </c>
      <c r="V41" s="587">
        <f>T41+U41</f>
        <v>8900</v>
      </c>
      <c r="W41" s="31">
        <f>V41</f>
        <v>8900</v>
      </c>
      <c r="X41" s="79">
        <f>'[4]Res-Gen'!Y57</f>
        <v>0</v>
      </c>
      <c r="Y41" s="587">
        <f>W41+X41</f>
        <v>8900</v>
      </c>
      <c r="Z41" s="1125">
        <f>Y41</f>
        <v>8900</v>
      </c>
      <c r="AA41" s="79">
        <f>'[4]Res-Gen'!AB57</f>
        <v>0</v>
      </c>
      <c r="AB41" s="587">
        <f>Z41+AA41</f>
        <v>8900</v>
      </c>
      <c r="AC41" s="1125">
        <f>AB41</f>
        <v>8900</v>
      </c>
      <c r="AD41" s="79">
        <f>'[4]Res-Gen'!AE57</f>
        <v>0</v>
      </c>
      <c r="AE41" s="587">
        <f>AC41+AD41</f>
        <v>8900</v>
      </c>
      <c r="AF41" s="1125">
        <f>AE41</f>
        <v>8900</v>
      </c>
      <c r="AG41" s="79">
        <f>'[4]Res-Gen'!AH57</f>
        <v>0</v>
      </c>
      <c r="AH41" s="587">
        <f>AF41+AG41</f>
        <v>8900</v>
      </c>
      <c r="AI41" s="31">
        <f>AH41</f>
        <v>8900</v>
      </c>
      <c r="AJ41" s="79">
        <f>'[4]Res-Gen'!AK57</f>
        <v>0</v>
      </c>
      <c r="AK41" s="78">
        <f>AI41+AJ41</f>
        <v>8900</v>
      </c>
      <c r="AL41" s="31">
        <f>AK41</f>
        <v>8900</v>
      </c>
      <c r="AM41" s="79">
        <f>'[4]Res-Gen'!AN57</f>
        <v>0</v>
      </c>
      <c r="AN41" s="78">
        <f>AL41+AM41</f>
        <v>8900</v>
      </c>
    </row>
    <row r="42" spans="1:43" x14ac:dyDescent="0.2">
      <c r="A42" s="408"/>
      <c r="B42" s="89"/>
      <c r="C42" s="9"/>
      <c r="D42" s="76"/>
      <c r="E42" s="133"/>
      <c r="F42" s="9"/>
      <c r="G42" s="76"/>
      <c r="H42" s="89"/>
      <c r="I42" s="9"/>
      <c r="J42" s="76"/>
      <c r="K42" s="89"/>
      <c r="L42" s="9"/>
      <c r="M42" s="46"/>
      <c r="N42" s="350"/>
      <c r="O42" s="9"/>
      <c r="P42" s="76"/>
      <c r="Q42" s="46"/>
      <c r="R42" s="9"/>
      <c r="S42" s="61"/>
      <c r="T42" s="46"/>
      <c r="U42" s="9"/>
      <c r="V42" s="49"/>
      <c r="W42" s="46"/>
      <c r="X42" s="9"/>
      <c r="Y42" s="49"/>
      <c r="Z42" s="350"/>
      <c r="AA42" s="9"/>
      <c r="AB42" s="49"/>
      <c r="AC42" s="350"/>
      <c r="AD42" s="9"/>
      <c r="AE42" s="49"/>
      <c r="AF42" s="350"/>
      <c r="AG42" s="9"/>
      <c r="AH42" s="49"/>
      <c r="AI42" s="350"/>
      <c r="AJ42" s="9"/>
      <c r="AK42" s="49"/>
      <c r="AL42" s="46"/>
      <c r="AM42" s="9"/>
      <c r="AN42" s="61"/>
    </row>
    <row r="43" spans="1:43" x14ac:dyDescent="0.2">
      <c r="A43" s="407" t="s">
        <v>2499</v>
      </c>
      <c r="B43" s="89"/>
      <c r="C43" s="9"/>
      <c r="D43" s="76"/>
      <c r="E43" s="133"/>
      <c r="F43" s="9"/>
      <c r="G43" s="76"/>
      <c r="H43" s="89"/>
      <c r="I43" s="9"/>
      <c r="J43" s="76"/>
      <c r="K43" s="89"/>
      <c r="L43" s="9"/>
      <c r="M43" s="46"/>
      <c r="N43" s="350"/>
      <c r="O43" s="9"/>
      <c r="P43" s="76"/>
      <c r="Q43" s="46"/>
      <c r="R43" s="9"/>
      <c r="S43" s="61"/>
      <c r="T43" s="46"/>
      <c r="U43" s="9"/>
      <c r="V43" s="49"/>
      <c r="W43" s="46"/>
      <c r="X43" s="9"/>
      <c r="Y43" s="49"/>
      <c r="Z43" s="350"/>
      <c r="AA43" s="9"/>
      <c r="AB43" s="49"/>
      <c r="AC43" s="350"/>
      <c r="AD43" s="9"/>
      <c r="AE43" s="49"/>
      <c r="AF43" s="350"/>
      <c r="AG43" s="9"/>
      <c r="AH43" s="49"/>
      <c r="AI43" s="350"/>
      <c r="AJ43" s="9"/>
      <c r="AK43" s="49"/>
      <c r="AL43" s="46"/>
      <c r="AM43" s="9"/>
      <c r="AN43" s="61"/>
    </row>
    <row r="44" spans="1:43" s="317" customFormat="1" x14ac:dyDescent="0.2">
      <c r="A44" s="622" t="s">
        <v>3301</v>
      </c>
      <c r="B44" s="617"/>
      <c r="C44" s="540"/>
      <c r="D44" s="618"/>
      <c r="E44" s="619"/>
      <c r="F44" s="540"/>
      <c r="G44" s="618"/>
      <c r="H44" s="620"/>
      <c r="I44" s="540"/>
      <c r="J44" s="618"/>
      <c r="K44" s="617"/>
      <c r="L44" s="540"/>
      <c r="M44" s="620"/>
      <c r="N44" s="619"/>
      <c r="O44" s="540"/>
      <c r="P44" s="618"/>
      <c r="Q44" s="620"/>
      <c r="R44" s="540"/>
      <c r="S44" s="959"/>
      <c r="T44" s="620"/>
      <c r="U44" s="540"/>
      <c r="V44" s="621"/>
      <c r="W44" s="620"/>
      <c r="X44" s="540"/>
      <c r="Y44" s="621"/>
      <c r="Z44" s="619"/>
      <c r="AA44" s="540"/>
      <c r="AB44" s="621"/>
      <c r="AC44" s="619"/>
      <c r="AD44" s="540"/>
      <c r="AE44" s="621"/>
      <c r="AF44" s="619"/>
      <c r="AG44" s="540"/>
      <c r="AH44" s="621"/>
      <c r="AI44" s="619"/>
      <c r="AJ44" s="540"/>
      <c r="AK44" s="621"/>
      <c r="AL44" s="620"/>
      <c r="AM44" s="540"/>
      <c r="AN44" s="959"/>
    </row>
    <row r="45" spans="1:43" x14ac:dyDescent="0.2">
      <c r="A45" s="408" t="s">
        <v>515</v>
      </c>
      <c r="B45" s="89">
        <v>1778800</v>
      </c>
      <c r="C45" s="97">
        <f>'Res-Gen'!D94++'Res-Gen'!D201</f>
        <v>-637000</v>
      </c>
      <c r="D45" s="76">
        <f>B45+C45</f>
        <v>1141800</v>
      </c>
      <c r="E45" s="350">
        <f>D45</f>
        <v>1141800</v>
      </c>
      <c r="F45" s="97">
        <f>'Res-Gen'!G94++'Res-Gen'!G211+'Res-Gen'!G210+'Res-Gen'!G209</f>
        <v>-570700</v>
      </c>
      <c r="G45" s="76">
        <f>E45+F45</f>
        <v>571100</v>
      </c>
      <c r="H45" s="46">
        <f>G45</f>
        <v>571100</v>
      </c>
      <c r="I45" s="97">
        <f>'Res-Gen'!J94+'Res-Gen'!J170</f>
        <v>-617300</v>
      </c>
      <c r="J45" s="76">
        <f>H45+I45</f>
        <v>-46200</v>
      </c>
      <c r="K45" s="89">
        <f>J45</f>
        <v>-46200</v>
      </c>
      <c r="L45" s="97">
        <f>'Res-Gen'!M94+'Res-Gen'!M170</f>
        <v>106500</v>
      </c>
      <c r="M45" s="46">
        <f>K45+L45</f>
        <v>60300</v>
      </c>
      <c r="N45" s="350">
        <f>M45</f>
        <v>60300</v>
      </c>
      <c r="O45" s="97">
        <f>'Res-Gen'!P94+'Res-Gen'!P170</f>
        <v>191700</v>
      </c>
      <c r="P45" s="76">
        <f>N45+O45</f>
        <v>252000</v>
      </c>
      <c r="Q45" s="46">
        <f>P45</f>
        <v>252000</v>
      </c>
      <c r="R45" s="97">
        <f>'Res-Gen'!S94+'Res-Gen'!S170+'Res-Gen'!S171</f>
        <v>-131200</v>
      </c>
      <c r="S45" s="61">
        <f>Q45+R45</f>
        <v>120800</v>
      </c>
      <c r="T45" s="46">
        <f>S45</f>
        <v>120800</v>
      </c>
      <c r="U45" s="97">
        <f>'Res-Gen'!V94+'Res-Gen'!V170+'Res-Gen'!V171</f>
        <v>-18300</v>
      </c>
      <c r="V45" s="49">
        <f>T45+U45</f>
        <v>102500</v>
      </c>
      <c r="W45" s="46">
        <f>V45</f>
        <v>102500</v>
      </c>
      <c r="X45" s="97">
        <f>'Res-Gen'!Y94+'Res-Gen'!Y170+'Res-Gen'!Y171</f>
        <v>-2100</v>
      </c>
      <c r="Y45" s="49">
        <f>W45+X45</f>
        <v>100400</v>
      </c>
      <c r="Z45" s="350">
        <f>Y45</f>
        <v>100400</v>
      </c>
      <c r="AA45" s="97">
        <f>'Res-Gen'!AB94+'Res-Gen'!AB170+'Res-Gen'!AB171</f>
        <v>35000</v>
      </c>
      <c r="AB45" s="49">
        <f>Z45+AA45</f>
        <v>135400</v>
      </c>
      <c r="AC45" s="350">
        <f>AB45</f>
        <v>135400</v>
      </c>
      <c r="AD45" s="97">
        <f>'Res-Gen'!AE94+'Res-Gen'!AE170+'Res-Gen'!AE171</f>
        <v>52000</v>
      </c>
      <c r="AE45" s="49">
        <f>AC45+AD45</f>
        <v>187400</v>
      </c>
      <c r="AF45" s="350">
        <f>AE45</f>
        <v>187400</v>
      </c>
      <c r="AG45" s="97">
        <f>'Res-Gen'!AH94+'Res-Gen'!AH170+'Res-Gen'!AH171</f>
        <v>70900</v>
      </c>
      <c r="AH45" s="49">
        <f>AF45+AG45</f>
        <v>258300</v>
      </c>
      <c r="AI45" s="350">
        <f>AH45</f>
        <v>258300</v>
      </c>
      <c r="AJ45" s="97">
        <f>'Res-Gen'!AK94+'Res-Gen'!AK170+'Res-Gen'!AK171</f>
        <v>89200</v>
      </c>
      <c r="AK45" s="49">
        <f>AI45+AJ45</f>
        <v>347500</v>
      </c>
      <c r="AL45" s="46">
        <f>AK45</f>
        <v>347500</v>
      </c>
      <c r="AM45" s="97">
        <f>'Res-Gen'!AN94+'Res-Gen'!AN170+'Res-Gen'!AN171</f>
        <v>106800</v>
      </c>
      <c r="AN45" s="61">
        <f>AL45+AM45</f>
        <v>454300</v>
      </c>
    </row>
    <row r="46" spans="1:43" x14ac:dyDescent="0.2">
      <c r="A46" s="633" t="s">
        <v>3223</v>
      </c>
      <c r="B46" s="89">
        <v>2536800</v>
      </c>
      <c r="C46" s="9">
        <f>'Res-Gen'!D116</f>
        <v>683300</v>
      </c>
      <c r="D46" s="76">
        <f>B46+C46</f>
        <v>3220100</v>
      </c>
      <c r="E46" s="350">
        <f t="shared" ref="E46:E51" si="182">D46</f>
        <v>3220100</v>
      </c>
      <c r="F46" s="9">
        <f>'Res-Gen'!G116</f>
        <v>-237400</v>
      </c>
      <c r="G46" s="76">
        <f>E46+F46</f>
        <v>2982700</v>
      </c>
      <c r="H46" s="46">
        <f t="shared" ref="H46:H51" si="183">G46</f>
        <v>2982700</v>
      </c>
      <c r="I46" s="9">
        <f>'Res-Gen'!J116</f>
        <v>-670800</v>
      </c>
      <c r="J46" s="76">
        <f>H46+I46</f>
        <v>2311900</v>
      </c>
      <c r="K46" s="89">
        <f t="shared" ref="K46:K51" si="184">J46</f>
        <v>2311900</v>
      </c>
      <c r="L46" s="9">
        <f>'Res-Gen'!M116</f>
        <v>203500</v>
      </c>
      <c r="M46" s="46">
        <f>K46+L46</f>
        <v>2515400</v>
      </c>
      <c r="N46" s="350">
        <f t="shared" ref="N46:N51" si="185">M46</f>
        <v>2515400</v>
      </c>
      <c r="O46" s="9">
        <f>'Res-Gen'!P116</f>
        <v>-1920000</v>
      </c>
      <c r="P46" s="76">
        <f>N46+O46</f>
        <v>595400</v>
      </c>
      <c r="Q46" s="46">
        <f t="shared" ref="Q46:Q51" si="186">P46</f>
        <v>595400</v>
      </c>
      <c r="R46" s="9">
        <f>'Res-Gen'!S116</f>
        <v>651800</v>
      </c>
      <c r="S46" s="61">
        <f>Q46+R46</f>
        <v>1247200</v>
      </c>
      <c r="T46" s="46">
        <f t="shared" ref="T46:T54" si="187">S46</f>
        <v>1247200</v>
      </c>
      <c r="U46" s="9">
        <f>'Res-Gen'!V116</f>
        <v>-29200</v>
      </c>
      <c r="V46" s="49">
        <f>T46+U46</f>
        <v>1218000</v>
      </c>
      <c r="W46" s="46">
        <f t="shared" ref="W46:W51" si="188">V46</f>
        <v>1218000</v>
      </c>
      <c r="X46" s="9">
        <f>'Res-Gen'!Y116</f>
        <v>222500</v>
      </c>
      <c r="Y46" s="49">
        <f>W46+X46</f>
        <v>1440500</v>
      </c>
      <c r="Z46" s="350">
        <f t="shared" ref="Z46:Z51" si="189">Y46</f>
        <v>1440500</v>
      </c>
      <c r="AA46" s="9">
        <f>'Res-Gen'!AB116</f>
        <v>-296800</v>
      </c>
      <c r="AB46" s="49">
        <f>Z46+AA46</f>
        <v>1143700</v>
      </c>
      <c r="AC46" s="350">
        <f t="shared" ref="AC46" si="190">AB46</f>
        <v>1143700</v>
      </c>
      <c r="AD46" s="9">
        <f>'Res-Gen'!AE116</f>
        <v>-8200</v>
      </c>
      <c r="AE46" s="49">
        <f>AC46+AD46</f>
        <v>1135500</v>
      </c>
      <c r="AF46" s="350">
        <f t="shared" ref="AF46" si="191">AE46</f>
        <v>1135500</v>
      </c>
      <c r="AG46" s="9">
        <f>'Res-Gen'!AH116</f>
        <v>-13400</v>
      </c>
      <c r="AH46" s="49">
        <f>AF46+AG46</f>
        <v>1122100</v>
      </c>
      <c r="AI46" s="350">
        <f t="shared" ref="AI46" si="192">AH46</f>
        <v>1122100</v>
      </c>
      <c r="AJ46" s="9">
        <f>'Res-Gen'!AK116</f>
        <v>-17900</v>
      </c>
      <c r="AK46" s="49">
        <f>AI46+AJ46</f>
        <v>1104200</v>
      </c>
      <c r="AL46" s="46">
        <f t="shared" ref="AL46" si="193">AK46</f>
        <v>1104200</v>
      </c>
      <c r="AM46" s="9">
        <f>'Res-Gen'!AN116</f>
        <v>-22800</v>
      </c>
      <c r="AN46" s="61">
        <f>AL46+AM46</f>
        <v>1081400</v>
      </c>
      <c r="AO46" s="265"/>
      <c r="AP46" s="265"/>
      <c r="AQ46" s="265"/>
    </row>
    <row r="47" spans="1:43" s="39" customFormat="1" x14ac:dyDescent="0.2">
      <c r="A47" s="623" t="s">
        <v>2262</v>
      </c>
      <c r="B47" s="266">
        <f t="shared" ref="B47:AB47" si="194">SUBTOTAL(9,B45:B46)</f>
        <v>4315600</v>
      </c>
      <c r="C47" s="280">
        <f t="shared" si="194"/>
        <v>46300</v>
      </c>
      <c r="D47" s="364">
        <f t="shared" si="194"/>
        <v>4361900</v>
      </c>
      <c r="E47" s="625">
        <f t="shared" si="194"/>
        <v>4361900</v>
      </c>
      <c r="F47" s="280">
        <f t="shared" si="194"/>
        <v>-808100</v>
      </c>
      <c r="G47" s="364">
        <f t="shared" si="194"/>
        <v>3553800</v>
      </c>
      <c r="H47" s="511">
        <f>SUBTOTAL(9,H45:H46)</f>
        <v>3553800</v>
      </c>
      <c r="I47" s="280">
        <f t="shared" si="194"/>
        <v>-1288100</v>
      </c>
      <c r="J47" s="364">
        <f t="shared" si="194"/>
        <v>2265700</v>
      </c>
      <c r="K47" s="266">
        <f t="shared" si="194"/>
        <v>2265700</v>
      </c>
      <c r="L47" s="280">
        <f t="shared" si="194"/>
        <v>310000</v>
      </c>
      <c r="M47" s="511">
        <f t="shared" si="194"/>
        <v>2575700</v>
      </c>
      <c r="N47" s="625">
        <f t="shared" si="194"/>
        <v>2575700</v>
      </c>
      <c r="O47" s="280">
        <f t="shared" si="194"/>
        <v>-1728300</v>
      </c>
      <c r="P47" s="364">
        <f t="shared" si="194"/>
        <v>847400</v>
      </c>
      <c r="Q47" s="511">
        <f t="shared" si="194"/>
        <v>847400</v>
      </c>
      <c r="R47" s="280">
        <f t="shared" si="194"/>
        <v>520600</v>
      </c>
      <c r="S47" s="282">
        <f t="shared" si="194"/>
        <v>1368000</v>
      </c>
      <c r="T47" s="511">
        <f t="shared" si="194"/>
        <v>1368000</v>
      </c>
      <c r="U47" s="280">
        <f t="shared" si="194"/>
        <v>-47500</v>
      </c>
      <c r="V47" s="356">
        <f t="shared" si="194"/>
        <v>1320500</v>
      </c>
      <c r="W47" s="511">
        <f t="shared" si="194"/>
        <v>1320500</v>
      </c>
      <c r="X47" s="280">
        <f t="shared" si="194"/>
        <v>220400</v>
      </c>
      <c r="Y47" s="356">
        <f t="shared" si="194"/>
        <v>1540900</v>
      </c>
      <c r="Z47" s="625">
        <f t="shared" si="194"/>
        <v>1540900</v>
      </c>
      <c r="AA47" s="280">
        <f t="shared" si="194"/>
        <v>-261800</v>
      </c>
      <c r="AB47" s="356">
        <f t="shared" si="194"/>
        <v>1279100</v>
      </c>
      <c r="AC47" s="625">
        <f t="shared" ref="AC47:AE47" si="195">SUBTOTAL(9,AC45:AC46)</f>
        <v>1279100</v>
      </c>
      <c r="AD47" s="280">
        <f t="shared" si="195"/>
        <v>43800</v>
      </c>
      <c r="AE47" s="356">
        <f t="shared" si="195"/>
        <v>1322900</v>
      </c>
      <c r="AF47" s="625">
        <f t="shared" ref="AF47:AH47" si="196">SUBTOTAL(9,AF45:AF46)</f>
        <v>1322900</v>
      </c>
      <c r="AG47" s="280">
        <f t="shared" si="196"/>
        <v>57500</v>
      </c>
      <c r="AH47" s="356">
        <f t="shared" si="196"/>
        <v>1380400</v>
      </c>
      <c r="AI47" s="625">
        <f t="shared" ref="AI47:AK47" si="197">SUBTOTAL(9,AI45:AI46)</f>
        <v>1380400</v>
      </c>
      <c r="AJ47" s="280">
        <f t="shared" si="197"/>
        <v>71300</v>
      </c>
      <c r="AK47" s="356">
        <f t="shared" si="197"/>
        <v>1451700</v>
      </c>
      <c r="AL47" s="511">
        <f t="shared" ref="AL47:AN47" si="198">SUBTOTAL(9,AL45:AL46)</f>
        <v>1451700</v>
      </c>
      <c r="AM47" s="280">
        <f t="shared" si="198"/>
        <v>84000</v>
      </c>
      <c r="AN47" s="282">
        <f t="shared" si="198"/>
        <v>1535700</v>
      </c>
      <c r="AO47" s="626"/>
      <c r="AP47" s="626"/>
      <c r="AQ47" s="626"/>
    </row>
    <row r="48" spans="1:43" x14ac:dyDescent="0.2">
      <c r="A48" s="408"/>
      <c r="B48" s="89"/>
      <c r="C48" s="9"/>
      <c r="D48" s="76"/>
      <c r="E48" s="350"/>
      <c r="F48" s="9"/>
      <c r="G48" s="76"/>
      <c r="H48" s="46"/>
      <c r="I48" s="9"/>
      <c r="J48" s="76"/>
      <c r="K48" s="89"/>
      <c r="L48" s="9"/>
      <c r="M48" s="46"/>
      <c r="N48" s="350"/>
      <c r="O48" s="9"/>
      <c r="P48" s="76"/>
      <c r="Q48" s="46"/>
      <c r="R48" s="9"/>
      <c r="S48" s="61"/>
      <c r="T48" s="46"/>
      <c r="U48" s="9"/>
      <c r="V48" s="49"/>
      <c r="W48" s="46"/>
      <c r="X48" s="9"/>
      <c r="Y48" s="49"/>
      <c r="Z48" s="350"/>
      <c r="AA48" s="9"/>
      <c r="AB48" s="49"/>
      <c r="AC48" s="350"/>
      <c r="AD48" s="9"/>
      <c r="AE48" s="49"/>
      <c r="AF48" s="350"/>
      <c r="AG48" s="9"/>
      <c r="AH48" s="49"/>
      <c r="AI48" s="350"/>
      <c r="AJ48" s="9"/>
      <c r="AK48" s="49"/>
      <c r="AL48" s="46"/>
      <c r="AM48" s="9"/>
      <c r="AN48" s="61"/>
      <c r="AO48" s="265"/>
      <c r="AP48" s="265"/>
      <c r="AQ48" s="265"/>
    </row>
    <row r="49" spans="1:43" s="628" customFormat="1" x14ac:dyDescent="0.2">
      <c r="A49" s="622" t="s">
        <v>3302</v>
      </c>
      <c r="B49" s="630"/>
      <c r="C49" s="256"/>
      <c r="D49" s="629"/>
      <c r="E49" s="631"/>
      <c r="F49" s="256"/>
      <c r="G49" s="629"/>
      <c r="H49" s="91"/>
      <c r="I49" s="256"/>
      <c r="J49" s="629"/>
      <c r="K49" s="630"/>
      <c r="L49" s="256"/>
      <c r="M49" s="91"/>
      <c r="N49" s="631"/>
      <c r="O49" s="256"/>
      <c r="P49" s="629"/>
      <c r="Q49" s="91"/>
      <c r="R49" s="256"/>
      <c r="S49" s="960"/>
      <c r="T49" s="91"/>
      <c r="U49" s="256"/>
      <c r="V49" s="632"/>
      <c r="W49" s="91"/>
      <c r="X49" s="256"/>
      <c r="Y49" s="632"/>
      <c r="Z49" s="631"/>
      <c r="AA49" s="256"/>
      <c r="AB49" s="632"/>
      <c r="AC49" s="631"/>
      <c r="AD49" s="256"/>
      <c r="AE49" s="632"/>
      <c r="AF49" s="631"/>
      <c r="AG49" s="256"/>
      <c r="AH49" s="632"/>
      <c r="AI49" s="631"/>
      <c r="AJ49" s="256"/>
      <c r="AK49" s="632"/>
      <c r="AL49" s="91"/>
      <c r="AM49" s="256"/>
      <c r="AN49" s="960"/>
      <c r="AO49" s="627"/>
      <c r="AP49" s="627"/>
      <c r="AQ49" s="627"/>
    </row>
    <row r="50" spans="1:43" x14ac:dyDescent="0.2">
      <c r="A50" s="633" t="s">
        <v>1428</v>
      </c>
      <c r="B50" s="89">
        <v>68000</v>
      </c>
      <c r="C50" s="9">
        <f>'Res-Gen'!D130</f>
        <v>55100</v>
      </c>
      <c r="D50" s="76">
        <f t="shared" ref="D50:D54" si="199">B50+C50</f>
        <v>123100</v>
      </c>
      <c r="E50" s="350">
        <f t="shared" si="182"/>
        <v>123100</v>
      </c>
      <c r="F50" s="9">
        <f>'Res-Gen'!G130</f>
        <v>53000</v>
      </c>
      <c r="G50" s="76">
        <f t="shared" ref="G50:G54" si="200">E50+F50</f>
        <v>176100</v>
      </c>
      <c r="H50" s="46">
        <f t="shared" si="183"/>
        <v>176100</v>
      </c>
      <c r="I50" s="9">
        <f>'Res-Gen'!J130</f>
        <v>50000</v>
      </c>
      <c r="J50" s="76">
        <f t="shared" ref="J50:J54" si="201">H50+I50</f>
        <v>226100</v>
      </c>
      <c r="K50" s="89">
        <f t="shared" si="184"/>
        <v>226100</v>
      </c>
      <c r="L50" s="9">
        <f>'Res-Gen'!M130</f>
        <v>55000</v>
      </c>
      <c r="M50" s="46">
        <f t="shared" ref="M50:M54" si="202">K50+L50</f>
        <v>281100</v>
      </c>
      <c r="N50" s="350">
        <f t="shared" si="185"/>
        <v>281100</v>
      </c>
      <c r="O50" s="9">
        <f>'Res-Gen'!P130</f>
        <v>60000</v>
      </c>
      <c r="P50" s="76">
        <f t="shared" ref="P50:P54" si="203">N50+O50</f>
        <v>341100</v>
      </c>
      <c r="Q50" s="46">
        <f t="shared" si="186"/>
        <v>341100</v>
      </c>
      <c r="R50" s="9">
        <f>'Res-Gen'!S130</f>
        <v>65000</v>
      </c>
      <c r="S50" s="61">
        <f t="shared" ref="S50:S54" si="204">Q50+R50</f>
        <v>406100</v>
      </c>
      <c r="T50" s="46">
        <f t="shared" si="187"/>
        <v>406100</v>
      </c>
      <c r="U50" s="9">
        <f>'Res-Gen'!V130</f>
        <v>70000</v>
      </c>
      <c r="V50" s="49">
        <f t="shared" ref="V50:V54" si="205">T50+U50</f>
        <v>476100</v>
      </c>
      <c r="W50" s="46">
        <f t="shared" si="188"/>
        <v>476100</v>
      </c>
      <c r="X50" s="9">
        <f>'Res-Gen'!Y130</f>
        <v>75000</v>
      </c>
      <c r="Y50" s="49">
        <f t="shared" ref="Y50:Y54" si="206">W50+X50</f>
        <v>551100</v>
      </c>
      <c r="Z50" s="350">
        <f t="shared" si="189"/>
        <v>551100</v>
      </c>
      <c r="AA50" s="9">
        <f>'Res-Gen'!AB130</f>
        <v>-420000</v>
      </c>
      <c r="AB50" s="49">
        <f t="shared" ref="AB50:AB54" si="207">Z50+AA50</f>
        <v>131100</v>
      </c>
      <c r="AC50" s="350">
        <f t="shared" ref="AC50:AC53" si="208">AB50</f>
        <v>131100</v>
      </c>
      <c r="AD50" s="9">
        <f>'Res-Gen'!AE130</f>
        <v>85000</v>
      </c>
      <c r="AE50" s="49">
        <f t="shared" ref="AE50:AE54" si="209">AC50+AD50</f>
        <v>216100</v>
      </c>
      <c r="AF50" s="350">
        <f t="shared" ref="AF50:AF53" si="210">AE50</f>
        <v>216100</v>
      </c>
      <c r="AG50" s="9">
        <f>'Res-Gen'!AH130</f>
        <v>90000</v>
      </c>
      <c r="AH50" s="49">
        <f t="shared" ref="AH50:AH54" si="211">AF50+AG50</f>
        <v>306100</v>
      </c>
      <c r="AI50" s="350">
        <f t="shared" ref="AI50:AI53" si="212">AH50</f>
        <v>306100</v>
      </c>
      <c r="AJ50" s="9">
        <f>'Res-Gen'!AK130</f>
        <v>95000</v>
      </c>
      <c r="AK50" s="49">
        <f t="shared" ref="AK50:AK54" si="213">AI50+AJ50</f>
        <v>401100</v>
      </c>
      <c r="AL50" s="46">
        <f t="shared" ref="AL50:AL53" si="214">AK50</f>
        <v>401100</v>
      </c>
      <c r="AM50" s="9">
        <f>'Res-Gen'!AN130</f>
        <v>100000</v>
      </c>
      <c r="AN50" s="61">
        <f t="shared" ref="AN50:AN54" si="215">AL50+AM50</f>
        <v>501100</v>
      </c>
      <c r="AO50" s="265"/>
      <c r="AP50" s="265"/>
      <c r="AQ50" s="265"/>
    </row>
    <row r="51" spans="1:43" x14ac:dyDescent="0.2">
      <c r="A51" s="633" t="s">
        <v>2797</v>
      </c>
      <c r="B51" s="89">
        <v>8100</v>
      </c>
      <c r="C51" s="9"/>
      <c r="D51" s="76">
        <f t="shared" si="199"/>
        <v>8100</v>
      </c>
      <c r="E51" s="350">
        <f t="shared" si="182"/>
        <v>8100</v>
      </c>
      <c r="F51" s="9"/>
      <c r="G51" s="76">
        <f t="shared" si="200"/>
        <v>8100</v>
      </c>
      <c r="H51" s="46">
        <f t="shared" si="183"/>
        <v>8100</v>
      </c>
      <c r="I51" s="9"/>
      <c r="J51" s="76">
        <f t="shared" si="201"/>
        <v>8100</v>
      </c>
      <c r="K51" s="89">
        <f t="shared" si="184"/>
        <v>8100</v>
      </c>
      <c r="L51" s="9"/>
      <c r="M51" s="46">
        <f t="shared" si="202"/>
        <v>8100</v>
      </c>
      <c r="N51" s="350">
        <f t="shared" si="185"/>
        <v>8100</v>
      </c>
      <c r="O51" s="9"/>
      <c r="P51" s="76">
        <f t="shared" si="203"/>
        <v>8100</v>
      </c>
      <c r="Q51" s="46">
        <f t="shared" si="186"/>
        <v>8100</v>
      </c>
      <c r="R51" s="9"/>
      <c r="S51" s="61">
        <f t="shared" si="204"/>
        <v>8100</v>
      </c>
      <c r="T51" s="46">
        <f t="shared" si="187"/>
        <v>8100</v>
      </c>
      <c r="U51" s="9"/>
      <c r="V51" s="49">
        <f t="shared" si="205"/>
        <v>8100</v>
      </c>
      <c r="W51" s="46">
        <f t="shared" si="188"/>
        <v>8100</v>
      </c>
      <c r="X51" s="9"/>
      <c r="Y51" s="49">
        <f t="shared" si="206"/>
        <v>8100</v>
      </c>
      <c r="Z51" s="350">
        <f t="shared" si="189"/>
        <v>8100</v>
      </c>
      <c r="AA51" s="9"/>
      <c r="AB51" s="49">
        <f t="shared" si="207"/>
        <v>8100</v>
      </c>
      <c r="AC51" s="350">
        <f t="shared" si="208"/>
        <v>8100</v>
      </c>
      <c r="AD51" s="9"/>
      <c r="AE51" s="49">
        <f t="shared" si="209"/>
        <v>8100</v>
      </c>
      <c r="AF51" s="350">
        <f t="shared" si="210"/>
        <v>8100</v>
      </c>
      <c r="AG51" s="9"/>
      <c r="AH51" s="49">
        <f t="shared" si="211"/>
        <v>8100</v>
      </c>
      <c r="AI51" s="350">
        <f t="shared" si="212"/>
        <v>8100</v>
      </c>
      <c r="AJ51" s="9"/>
      <c r="AK51" s="49">
        <f t="shared" si="213"/>
        <v>8100</v>
      </c>
      <c r="AL51" s="46">
        <f t="shared" si="214"/>
        <v>8100</v>
      </c>
      <c r="AM51" s="9"/>
      <c r="AN51" s="61">
        <f t="shared" si="215"/>
        <v>8100</v>
      </c>
      <c r="AO51" s="265"/>
      <c r="AP51" s="265"/>
      <c r="AQ51" s="265"/>
    </row>
    <row r="52" spans="1:43" x14ac:dyDescent="0.2">
      <c r="A52" s="633" t="s">
        <v>3365</v>
      </c>
      <c r="B52" s="89">
        <v>1325000</v>
      </c>
      <c r="C52" s="97">
        <f>'Res-Gen'!D125</f>
        <v>-400000</v>
      </c>
      <c r="D52" s="76">
        <f t="shared" ref="D52:D53" si="216">B52+C52</f>
        <v>925000</v>
      </c>
      <c r="E52" s="350">
        <f t="shared" ref="E52:E53" si="217">D52</f>
        <v>925000</v>
      </c>
      <c r="F52" s="97">
        <f>'Res-Gen'!G125</f>
        <v>-200000</v>
      </c>
      <c r="G52" s="76">
        <f t="shared" ref="G52:G53" si="218">E52+F52</f>
        <v>725000</v>
      </c>
      <c r="H52" s="46">
        <f t="shared" ref="H52:H53" si="219">G52</f>
        <v>725000</v>
      </c>
      <c r="I52" s="9">
        <f>+'Res-Gen'!J125</f>
        <v>-725000</v>
      </c>
      <c r="J52" s="76">
        <f t="shared" ref="J52:J53" si="220">H52+I52</f>
        <v>0</v>
      </c>
      <c r="K52" s="89">
        <f t="shared" ref="K52:K53" si="221">J52</f>
        <v>0</v>
      </c>
      <c r="L52" s="9"/>
      <c r="M52" s="46">
        <f t="shared" ref="M52:M53" si="222">K52+L52</f>
        <v>0</v>
      </c>
      <c r="N52" s="350">
        <f t="shared" ref="N52:N53" si="223">M52</f>
        <v>0</v>
      </c>
      <c r="O52" s="9"/>
      <c r="P52" s="76">
        <f t="shared" ref="P52:P53" si="224">N52+O52</f>
        <v>0</v>
      </c>
      <c r="Q52" s="46">
        <f t="shared" ref="Q52:Q53" si="225">P52</f>
        <v>0</v>
      </c>
      <c r="R52" s="9"/>
      <c r="S52" s="61">
        <f t="shared" ref="S52:S53" si="226">Q52+R52</f>
        <v>0</v>
      </c>
      <c r="T52" s="46">
        <f t="shared" ref="T52:T53" si="227">S52</f>
        <v>0</v>
      </c>
      <c r="U52" s="9"/>
      <c r="V52" s="49">
        <f t="shared" ref="V52:V53" si="228">T52+U52</f>
        <v>0</v>
      </c>
      <c r="W52" s="46">
        <f t="shared" ref="W52:W53" si="229">V52</f>
        <v>0</v>
      </c>
      <c r="X52" s="9"/>
      <c r="Y52" s="49">
        <f t="shared" ref="Y52:Y53" si="230">W52+X52</f>
        <v>0</v>
      </c>
      <c r="Z52" s="350">
        <f t="shared" ref="Z52:Z53" si="231">Y52</f>
        <v>0</v>
      </c>
      <c r="AA52" s="9"/>
      <c r="AB52" s="49">
        <f t="shared" ref="AB52:AB53" si="232">Z52+AA52</f>
        <v>0</v>
      </c>
      <c r="AC52" s="350">
        <f t="shared" si="208"/>
        <v>0</v>
      </c>
      <c r="AD52" s="9"/>
      <c r="AE52" s="49">
        <f t="shared" si="209"/>
        <v>0</v>
      </c>
      <c r="AF52" s="350">
        <f t="shared" si="210"/>
        <v>0</v>
      </c>
      <c r="AG52" s="9"/>
      <c r="AH52" s="49">
        <f t="shared" si="211"/>
        <v>0</v>
      </c>
      <c r="AI52" s="350">
        <f t="shared" si="212"/>
        <v>0</v>
      </c>
      <c r="AJ52" s="9"/>
      <c r="AK52" s="49">
        <f t="shared" si="213"/>
        <v>0</v>
      </c>
      <c r="AL52" s="46">
        <f t="shared" si="214"/>
        <v>0</v>
      </c>
      <c r="AM52" s="9"/>
      <c r="AN52" s="61">
        <f t="shared" si="215"/>
        <v>0</v>
      </c>
      <c r="AO52" s="265"/>
      <c r="AP52" s="265"/>
      <c r="AQ52" s="265"/>
    </row>
    <row r="53" spans="1:43" x14ac:dyDescent="0.2">
      <c r="A53" s="633" t="s">
        <v>4730</v>
      </c>
      <c r="B53" s="89">
        <v>250700</v>
      </c>
      <c r="C53" s="97">
        <f>'Res-Gen'!D126</f>
        <v>-225700</v>
      </c>
      <c r="D53" s="76">
        <f t="shared" si="216"/>
        <v>25000</v>
      </c>
      <c r="E53" s="350">
        <f t="shared" si="217"/>
        <v>25000</v>
      </c>
      <c r="F53" s="97">
        <f>'Res-Gen'!G126</f>
        <v>-25000</v>
      </c>
      <c r="G53" s="76">
        <f t="shared" si="218"/>
        <v>0</v>
      </c>
      <c r="H53" s="46">
        <f t="shared" si="219"/>
        <v>0</v>
      </c>
      <c r="I53" s="9"/>
      <c r="J53" s="76">
        <f t="shared" si="220"/>
        <v>0</v>
      </c>
      <c r="K53" s="89">
        <f t="shared" si="221"/>
        <v>0</v>
      </c>
      <c r="L53" s="9"/>
      <c r="M53" s="46">
        <f t="shared" si="222"/>
        <v>0</v>
      </c>
      <c r="N53" s="350">
        <f t="shared" si="223"/>
        <v>0</v>
      </c>
      <c r="O53" s="9"/>
      <c r="P53" s="76">
        <f t="shared" si="224"/>
        <v>0</v>
      </c>
      <c r="Q53" s="46">
        <f t="shared" si="225"/>
        <v>0</v>
      </c>
      <c r="R53" s="9"/>
      <c r="S53" s="61">
        <f t="shared" si="226"/>
        <v>0</v>
      </c>
      <c r="T53" s="46">
        <f t="shared" si="227"/>
        <v>0</v>
      </c>
      <c r="U53" s="9"/>
      <c r="V53" s="49">
        <f t="shared" si="228"/>
        <v>0</v>
      </c>
      <c r="W53" s="46">
        <f t="shared" si="229"/>
        <v>0</v>
      </c>
      <c r="X53" s="9"/>
      <c r="Y53" s="49">
        <f t="shared" si="230"/>
        <v>0</v>
      </c>
      <c r="Z53" s="350">
        <f t="shared" si="231"/>
        <v>0</v>
      </c>
      <c r="AA53" s="9"/>
      <c r="AB53" s="49">
        <f t="shared" si="232"/>
        <v>0</v>
      </c>
      <c r="AC53" s="350">
        <f t="shared" si="208"/>
        <v>0</v>
      </c>
      <c r="AD53" s="9"/>
      <c r="AE53" s="49">
        <f t="shared" si="209"/>
        <v>0</v>
      </c>
      <c r="AF53" s="350">
        <f t="shared" si="210"/>
        <v>0</v>
      </c>
      <c r="AG53" s="9"/>
      <c r="AH53" s="49">
        <f t="shared" si="211"/>
        <v>0</v>
      </c>
      <c r="AI53" s="350">
        <f t="shared" si="212"/>
        <v>0</v>
      </c>
      <c r="AJ53" s="9"/>
      <c r="AK53" s="49">
        <f t="shared" si="213"/>
        <v>0</v>
      </c>
      <c r="AL53" s="46">
        <f t="shared" si="214"/>
        <v>0</v>
      </c>
      <c r="AM53" s="9"/>
      <c r="AN53" s="61">
        <f t="shared" si="215"/>
        <v>0</v>
      </c>
      <c r="AO53" s="265"/>
      <c r="AP53" s="265"/>
      <c r="AQ53" s="265"/>
    </row>
    <row r="54" spans="1:43" x14ac:dyDescent="0.2">
      <c r="A54" s="633" t="s">
        <v>1619</v>
      </c>
      <c r="B54" s="89">
        <v>104600</v>
      </c>
      <c r="C54" s="9">
        <f>'Res-Gen'!D127</f>
        <v>12700</v>
      </c>
      <c r="D54" s="76">
        <f t="shared" si="199"/>
        <v>117300</v>
      </c>
      <c r="E54" s="350">
        <f>D54</f>
        <v>117300</v>
      </c>
      <c r="F54" s="9">
        <f>'Res-Gen'!G127</f>
        <v>18100</v>
      </c>
      <c r="G54" s="76">
        <f t="shared" si="200"/>
        <v>135400</v>
      </c>
      <c r="H54" s="46">
        <f>G54</f>
        <v>135400</v>
      </c>
      <c r="I54" s="9">
        <f>'Res-Gen'!J127</f>
        <v>-17600</v>
      </c>
      <c r="J54" s="76">
        <f t="shared" si="201"/>
        <v>117800</v>
      </c>
      <c r="K54" s="89">
        <f>J54</f>
        <v>117800</v>
      </c>
      <c r="L54" s="9">
        <f>'Res-Gen'!M127</f>
        <v>-2400</v>
      </c>
      <c r="M54" s="46">
        <f t="shared" si="202"/>
        <v>115400</v>
      </c>
      <c r="N54" s="350">
        <f>M54</f>
        <v>115400</v>
      </c>
      <c r="O54" s="9">
        <f>'Res-Gen'!P127</f>
        <v>-3200</v>
      </c>
      <c r="P54" s="76">
        <f t="shared" si="203"/>
        <v>112200</v>
      </c>
      <c r="Q54" s="46">
        <f>P54</f>
        <v>112200</v>
      </c>
      <c r="R54" s="9">
        <f>'Res-Gen'!S127</f>
        <v>-3900</v>
      </c>
      <c r="S54" s="61">
        <f t="shared" si="204"/>
        <v>108300</v>
      </c>
      <c r="T54" s="46">
        <f t="shared" si="187"/>
        <v>108300</v>
      </c>
      <c r="U54" s="9">
        <f>'Res-Gen'!V127</f>
        <v>-4600</v>
      </c>
      <c r="V54" s="49">
        <f t="shared" si="205"/>
        <v>103700</v>
      </c>
      <c r="W54" s="46">
        <f>V54</f>
        <v>103700</v>
      </c>
      <c r="X54" s="9">
        <f>'Res-Gen'!Y127</f>
        <v>-5300</v>
      </c>
      <c r="Y54" s="49">
        <f t="shared" si="206"/>
        <v>98400</v>
      </c>
      <c r="Z54" s="350">
        <f>Y54</f>
        <v>98400</v>
      </c>
      <c r="AA54" s="9">
        <f>'Res-Gen'!AB127</f>
        <v>-6100</v>
      </c>
      <c r="AB54" s="49">
        <f t="shared" si="207"/>
        <v>92300</v>
      </c>
      <c r="AC54" s="350">
        <f>AB54</f>
        <v>92300</v>
      </c>
      <c r="AD54" s="9">
        <f>'Res-Gen'!AE127</f>
        <v>-6900</v>
      </c>
      <c r="AE54" s="49">
        <f t="shared" si="209"/>
        <v>85400</v>
      </c>
      <c r="AF54" s="350">
        <f>AE54</f>
        <v>85400</v>
      </c>
      <c r="AG54" s="9">
        <f>'Res-Gen'!AH127</f>
        <v>-7700</v>
      </c>
      <c r="AH54" s="49">
        <f t="shared" si="211"/>
        <v>77700</v>
      </c>
      <c r="AI54" s="350">
        <f>AH54</f>
        <v>77700</v>
      </c>
      <c r="AJ54" s="9">
        <f>'Res-Gen'!AK127</f>
        <v>-8500</v>
      </c>
      <c r="AK54" s="49">
        <f t="shared" si="213"/>
        <v>69200</v>
      </c>
      <c r="AL54" s="46">
        <f>AK54</f>
        <v>69200</v>
      </c>
      <c r="AM54" s="9">
        <f>'Res-Gen'!AN127</f>
        <v>-9400</v>
      </c>
      <c r="AN54" s="61">
        <f t="shared" si="215"/>
        <v>59800</v>
      </c>
      <c r="AO54" s="265"/>
      <c r="AP54" s="265"/>
      <c r="AQ54" s="265"/>
    </row>
    <row r="55" spans="1:43" x14ac:dyDescent="0.2">
      <c r="A55" s="633"/>
      <c r="B55" s="89"/>
      <c r="C55" s="9"/>
      <c r="D55" s="76"/>
      <c r="E55" s="350"/>
      <c r="F55" s="9"/>
      <c r="G55" s="76"/>
      <c r="H55" s="46"/>
      <c r="I55" s="9"/>
      <c r="J55" s="76"/>
      <c r="K55" s="89"/>
      <c r="L55" s="9"/>
      <c r="M55" s="46"/>
      <c r="N55" s="350"/>
      <c r="O55" s="9"/>
      <c r="P55" s="76"/>
      <c r="Q55" s="46"/>
      <c r="R55" s="9"/>
      <c r="S55" s="61"/>
      <c r="T55" s="46"/>
      <c r="U55" s="9"/>
      <c r="V55" s="49"/>
      <c r="W55" s="46"/>
      <c r="X55" s="9"/>
      <c r="Y55" s="49"/>
      <c r="Z55" s="350"/>
      <c r="AA55" s="9"/>
      <c r="AB55" s="49"/>
      <c r="AC55" s="350"/>
      <c r="AD55" s="9"/>
      <c r="AE55" s="49"/>
      <c r="AF55" s="350"/>
      <c r="AG55" s="9"/>
      <c r="AH55" s="49"/>
      <c r="AI55" s="350"/>
      <c r="AJ55" s="9"/>
      <c r="AK55" s="49"/>
      <c r="AL55" s="46"/>
      <c r="AM55" s="9"/>
      <c r="AN55" s="61"/>
      <c r="AO55" s="265"/>
      <c r="AP55" s="265"/>
      <c r="AQ55" s="265"/>
    </row>
    <row r="56" spans="1:43" x14ac:dyDescent="0.2">
      <c r="A56" s="407" t="s">
        <v>1078</v>
      </c>
      <c r="B56" s="89"/>
      <c r="C56" s="9"/>
      <c r="D56" s="76"/>
      <c r="E56" s="133"/>
      <c r="F56" s="9"/>
      <c r="G56" s="76"/>
      <c r="H56" s="89"/>
      <c r="I56" s="9"/>
      <c r="J56" s="76"/>
      <c r="K56" s="89"/>
      <c r="L56" s="9"/>
      <c r="M56" s="46"/>
      <c r="N56" s="350"/>
      <c r="O56" s="9"/>
      <c r="P56" s="76"/>
      <c r="Q56" s="46"/>
      <c r="R56" s="9"/>
      <c r="S56" s="61"/>
      <c r="T56" s="46"/>
      <c r="U56" s="9"/>
      <c r="V56" s="49"/>
      <c r="W56" s="46"/>
      <c r="X56" s="9"/>
      <c r="Y56" s="49"/>
      <c r="Z56" s="350"/>
      <c r="AA56" s="9"/>
      <c r="AB56" s="49"/>
      <c r="AC56" s="350"/>
      <c r="AD56" s="9"/>
      <c r="AE56" s="49"/>
      <c r="AF56" s="350"/>
      <c r="AG56" s="9"/>
      <c r="AH56" s="49"/>
      <c r="AI56" s="350"/>
      <c r="AJ56" s="9"/>
      <c r="AK56" s="49"/>
      <c r="AL56" s="46"/>
      <c r="AM56" s="9"/>
      <c r="AN56" s="61"/>
    </row>
    <row r="57" spans="1:43" x14ac:dyDescent="0.2">
      <c r="A57" s="633" t="s">
        <v>1392</v>
      </c>
      <c r="B57" s="99">
        <v>326000</v>
      </c>
      <c r="C57" s="9">
        <f>'Res-Gen'!D131</f>
        <v>171000</v>
      </c>
      <c r="D57" s="76">
        <f>B57+C57</f>
        <v>497000</v>
      </c>
      <c r="E57" s="394">
        <f>D57</f>
        <v>497000</v>
      </c>
      <c r="F57" s="9">
        <f>'Res-Gen'!G131</f>
        <v>153600</v>
      </c>
      <c r="G57" s="76">
        <f>E57+F57</f>
        <v>650600</v>
      </c>
      <c r="H57" s="99">
        <f>G57</f>
        <v>650600</v>
      </c>
      <c r="I57" s="9">
        <f>'Res-Gen'!J131</f>
        <v>-118200</v>
      </c>
      <c r="J57" s="76">
        <f>H57+I57</f>
        <v>532400</v>
      </c>
      <c r="K57" s="99">
        <f>J57</f>
        <v>532400</v>
      </c>
      <c r="L57" s="9">
        <f>'Res-Gen'!M131</f>
        <v>94500</v>
      </c>
      <c r="M57" s="46">
        <f>K57+L57</f>
        <v>626900</v>
      </c>
      <c r="N57" s="394">
        <f>M57</f>
        <v>626900</v>
      </c>
      <c r="O57" s="9">
        <f>'Res-Gen'!P131</f>
        <v>57600</v>
      </c>
      <c r="P57" s="76">
        <f>N57+O57</f>
        <v>684500</v>
      </c>
      <c r="Q57" s="99">
        <f>P57</f>
        <v>684500</v>
      </c>
      <c r="R57" s="9">
        <f>'Res-Gen'!S131</f>
        <v>140800</v>
      </c>
      <c r="S57" s="61">
        <f>Q57+R57</f>
        <v>825300</v>
      </c>
      <c r="T57" s="99">
        <f>S57</f>
        <v>825300</v>
      </c>
      <c r="U57" s="9">
        <f>'Res-Gen'!V131</f>
        <v>143100</v>
      </c>
      <c r="V57" s="49">
        <f>T57+U57</f>
        <v>968400</v>
      </c>
      <c r="W57" s="99">
        <f>V57</f>
        <v>968400</v>
      </c>
      <c r="X57" s="9">
        <f>'Res-Gen'!Y131</f>
        <v>145500</v>
      </c>
      <c r="Y57" s="49">
        <f>W57+X57</f>
        <v>1113900</v>
      </c>
      <c r="Z57" s="394">
        <f>Y57</f>
        <v>1113900</v>
      </c>
      <c r="AA57" s="9">
        <f>'Res-Gen'!AB131</f>
        <v>148100</v>
      </c>
      <c r="AB57" s="49">
        <f>Z57+AA57</f>
        <v>1262000</v>
      </c>
      <c r="AC57" s="394">
        <f>AB57</f>
        <v>1262000</v>
      </c>
      <c r="AD57" s="9">
        <f>'Res-Gen'!AE131</f>
        <v>150800</v>
      </c>
      <c r="AE57" s="49">
        <f>AC57+AD57</f>
        <v>1412800</v>
      </c>
      <c r="AF57" s="394">
        <f>AE57</f>
        <v>1412800</v>
      </c>
      <c r="AG57" s="9">
        <f>'Res-Gen'!AH131</f>
        <v>153500</v>
      </c>
      <c r="AH57" s="49">
        <f>AF57+AG57</f>
        <v>1566300</v>
      </c>
      <c r="AI57" s="394">
        <f>AH57</f>
        <v>1566300</v>
      </c>
      <c r="AJ57" s="9">
        <f>'Res-Gen'!AK131</f>
        <v>156100</v>
      </c>
      <c r="AK57" s="49">
        <f>AI57+AJ57</f>
        <v>1722400</v>
      </c>
      <c r="AL57" s="99">
        <f>AK57</f>
        <v>1722400</v>
      </c>
      <c r="AM57" s="9">
        <f>'Res-Gen'!AN131</f>
        <v>158900</v>
      </c>
      <c r="AN57" s="61">
        <f>AL57+AM57</f>
        <v>1881300</v>
      </c>
    </row>
    <row r="58" spans="1:43" x14ac:dyDescent="0.2">
      <c r="A58" s="408"/>
      <c r="B58" s="99"/>
      <c r="C58" s="9"/>
      <c r="D58" s="76"/>
      <c r="E58" s="394"/>
      <c r="F58" s="9"/>
      <c r="G58" s="76"/>
      <c r="H58" s="99"/>
      <c r="I58" s="9"/>
      <c r="J58" s="76"/>
      <c r="K58" s="99"/>
      <c r="L58" s="9"/>
      <c r="M58" s="46"/>
      <c r="N58" s="913"/>
      <c r="O58" s="9"/>
      <c r="P58" s="76"/>
      <c r="Q58" s="129"/>
      <c r="R58" s="9"/>
      <c r="S58" s="61"/>
      <c r="T58" s="129"/>
      <c r="U58" s="9"/>
      <c r="V58" s="49"/>
      <c r="W58" s="129"/>
      <c r="X58" s="9"/>
      <c r="Y58" s="49"/>
      <c r="Z58" s="913"/>
      <c r="AA58" s="9"/>
      <c r="AB58" s="49"/>
      <c r="AC58" s="913"/>
      <c r="AD58" s="9"/>
      <c r="AE58" s="49"/>
      <c r="AF58" s="913"/>
      <c r="AG58" s="9"/>
      <c r="AH58" s="49"/>
      <c r="AI58" s="913"/>
      <c r="AJ58" s="9"/>
      <c r="AK58" s="49"/>
      <c r="AL58" s="129"/>
      <c r="AM58" s="9"/>
      <c r="AN58" s="61"/>
    </row>
    <row r="59" spans="1:43" x14ac:dyDescent="0.2">
      <c r="A59" s="407" t="s">
        <v>1393</v>
      </c>
      <c r="B59" s="89"/>
      <c r="C59" s="9"/>
      <c r="D59" s="76"/>
      <c r="E59" s="133"/>
      <c r="F59" s="9"/>
      <c r="G59" s="76"/>
      <c r="H59" s="89"/>
      <c r="I59" s="9"/>
      <c r="J59" s="76"/>
      <c r="K59" s="89"/>
      <c r="L59" s="9"/>
      <c r="M59" s="46"/>
      <c r="N59" s="350"/>
      <c r="O59" s="9"/>
      <c r="P59" s="76"/>
      <c r="Q59" s="46"/>
      <c r="R59" s="9"/>
      <c r="S59" s="61"/>
      <c r="T59" s="46"/>
      <c r="U59" s="9"/>
      <c r="V59" s="49"/>
      <c r="W59" s="46"/>
      <c r="X59" s="9"/>
      <c r="Y59" s="49"/>
      <c r="Z59" s="350"/>
      <c r="AA59" s="9"/>
      <c r="AB59" s="49"/>
      <c r="AC59" s="350"/>
      <c r="AD59" s="9"/>
      <c r="AE59" s="49"/>
      <c r="AF59" s="350"/>
      <c r="AG59" s="9"/>
      <c r="AH59" s="49"/>
      <c r="AI59" s="350"/>
      <c r="AJ59" s="9"/>
      <c r="AK59" s="49"/>
      <c r="AL59" s="46"/>
      <c r="AM59" s="9"/>
      <c r="AN59" s="61"/>
    </row>
    <row r="60" spans="1:43" x14ac:dyDescent="0.2">
      <c r="A60" s="633" t="s">
        <v>6766</v>
      </c>
      <c r="B60" s="89">
        <v>-724300</v>
      </c>
      <c r="C60" s="9">
        <f>'Res-Gen'!D133</f>
        <v>370300</v>
      </c>
      <c r="D60" s="76">
        <f>B60+C60</f>
        <v>-354000</v>
      </c>
      <c r="E60" s="350">
        <f>D60</f>
        <v>-354000</v>
      </c>
      <c r="F60" s="9">
        <f>'Res-Gen'!G133</f>
        <v>-143300</v>
      </c>
      <c r="G60" s="76">
        <f>E60+F60</f>
        <v>-497300</v>
      </c>
      <c r="H60" s="46">
        <f>G60</f>
        <v>-497300</v>
      </c>
      <c r="I60" s="9">
        <f>'Res-Gen'!J133</f>
        <v>3830600</v>
      </c>
      <c r="J60" s="76">
        <f>H60+I60</f>
        <v>3333300</v>
      </c>
      <c r="K60" s="89">
        <f>J60</f>
        <v>3333300</v>
      </c>
      <c r="L60" s="9">
        <f>'Res-Gen'!M133</f>
        <v>-2935000</v>
      </c>
      <c r="M60" s="46">
        <f>K60+L60</f>
        <v>398300</v>
      </c>
      <c r="N60" s="350">
        <f>M60</f>
        <v>398300</v>
      </c>
      <c r="O60" s="9">
        <f>'Res-Gen'!P133</f>
        <v>65900</v>
      </c>
      <c r="P60" s="76">
        <f>N60+O60</f>
        <v>464200</v>
      </c>
      <c r="Q60" s="46">
        <f>P60</f>
        <v>464200</v>
      </c>
      <c r="R60" s="9">
        <f>'Res-Gen'!S133</f>
        <v>74600</v>
      </c>
      <c r="S60" s="61">
        <f>Q60+R60</f>
        <v>538800</v>
      </c>
      <c r="T60" s="46">
        <f>S60</f>
        <v>538800</v>
      </c>
      <c r="U60" s="9">
        <f>'Res-Gen'!V133</f>
        <v>232100</v>
      </c>
      <c r="V60" s="49">
        <f>T60+U60</f>
        <v>770900</v>
      </c>
      <c r="W60" s="46">
        <f>V60</f>
        <v>770900</v>
      </c>
      <c r="X60" s="9">
        <f>'Res-Gen'!Y133</f>
        <v>292000</v>
      </c>
      <c r="Y60" s="49">
        <f>W60+X60</f>
        <v>1062900</v>
      </c>
      <c r="Z60" s="350">
        <f>Y60</f>
        <v>1062900</v>
      </c>
      <c r="AA60" s="9">
        <f>'Res-Gen'!AB133</f>
        <v>-618700</v>
      </c>
      <c r="AB60" s="49">
        <f>Z60+AA60</f>
        <v>444200</v>
      </c>
      <c r="AC60" s="350">
        <f>AB60</f>
        <v>444200</v>
      </c>
      <c r="AD60" s="9">
        <f>'Res-Gen'!AE133</f>
        <v>-386400</v>
      </c>
      <c r="AE60" s="49">
        <f>AC60+AD60</f>
        <v>57800</v>
      </c>
      <c r="AF60" s="350">
        <f>AE60</f>
        <v>57800</v>
      </c>
      <c r="AG60" s="9">
        <f>'Res-Gen'!AH133</f>
        <v>127500</v>
      </c>
      <c r="AH60" s="49">
        <f>AF60+AG60</f>
        <v>185300</v>
      </c>
      <c r="AI60" s="350">
        <f>AH60</f>
        <v>185300</v>
      </c>
      <c r="AJ60" s="9">
        <f>'Res-Gen'!AK133</f>
        <v>204400</v>
      </c>
      <c r="AK60" s="49">
        <f>AI60+AJ60</f>
        <v>389700</v>
      </c>
      <c r="AL60" s="46">
        <f>AK60</f>
        <v>389700</v>
      </c>
      <c r="AM60" s="9">
        <f>'Res-Gen'!AN133</f>
        <v>-92800</v>
      </c>
      <c r="AN60" s="61">
        <f>AL60+AM60</f>
        <v>296900</v>
      </c>
    </row>
    <row r="61" spans="1:43" ht="13.5" thickBot="1" x14ac:dyDescent="0.25">
      <c r="A61" s="408"/>
      <c r="B61" s="89"/>
      <c r="C61" s="9"/>
      <c r="D61" s="76"/>
      <c r="E61" s="133"/>
      <c r="F61" s="9"/>
      <c r="G61" s="76"/>
      <c r="H61" s="89"/>
      <c r="I61" s="9"/>
      <c r="J61" s="76"/>
      <c r="K61" s="89"/>
      <c r="L61" s="9"/>
      <c r="M61" s="46"/>
      <c r="N61" s="350"/>
      <c r="O61" s="9"/>
      <c r="P61" s="76"/>
      <c r="Q61" s="46"/>
      <c r="R61" s="9"/>
      <c r="S61" s="61"/>
      <c r="T61" s="46"/>
      <c r="U61" s="9"/>
      <c r="V61" s="49"/>
      <c r="W61" s="46"/>
      <c r="X61" s="9"/>
      <c r="Y61" s="49"/>
      <c r="Z61" s="350"/>
      <c r="AA61" s="9"/>
      <c r="AB61" s="49"/>
      <c r="AC61" s="350"/>
      <c r="AD61" s="9"/>
      <c r="AE61" s="49"/>
      <c r="AF61" s="350"/>
      <c r="AG61" s="9"/>
      <c r="AH61" s="49"/>
      <c r="AI61" s="350"/>
      <c r="AJ61" s="9"/>
      <c r="AK61" s="49"/>
      <c r="AL61" s="46"/>
      <c r="AM61" s="9"/>
      <c r="AN61" s="61"/>
    </row>
    <row r="62" spans="1:43" s="27" customFormat="1" ht="14.25" thickTop="1" thickBot="1" x14ac:dyDescent="0.25">
      <c r="A62" s="797" t="s">
        <v>3790</v>
      </c>
      <c r="B62" s="302">
        <f t="shared" ref="B62:AN62" si="233">SUBTOTAL(9,B24:B61)</f>
        <v>8492100</v>
      </c>
      <c r="C62" s="300">
        <f t="shared" si="233"/>
        <v>511600</v>
      </c>
      <c r="D62" s="301">
        <f t="shared" si="233"/>
        <v>9003700</v>
      </c>
      <c r="E62" s="307">
        <f t="shared" si="233"/>
        <v>9003700</v>
      </c>
      <c r="F62" s="300">
        <f t="shared" si="233"/>
        <v>1477700</v>
      </c>
      <c r="G62" s="301">
        <f t="shared" si="233"/>
        <v>10481400</v>
      </c>
      <c r="H62" s="302">
        <f t="shared" si="233"/>
        <v>10481400</v>
      </c>
      <c r="I62" s="300">
        <f t="shared" si="233"/>
        <v>1542800</v>
      </c>
      <c r="J62" s="301">
        <f t="shared" si="233"/>
        <v>12024200</v>
      </c>
      <c r="K62" s="302">
        <f t="shared" si="233"/>
        <v>12024200</v>
      </c>
      <c r="L62" s="300">
        <f t="shared" si="233"/>
        <v>-2437900</v>
      </c>
      <c r="M62" s="304">
        <f t="shared" si="233"/>
        <v>9586300</v>
      </c>
      <c r="N62" s="1041">
        <f t="shared" si="233"/>
        <v>9586300</v>
      </c>
      <c r="O62" s="300">
        <f t="shared" si="233"/>
        <v>-1503000</v>
      </c>
      <c r="P62" s="301">
        <f t="shared" si="233"/>
        <v>8083300</v>
      </c>
      <c r="Q62" s="304">
        <f t="shared" si="233"/>
        <v>8083300</v>
      </c>
      <c r="R62" s="300">
        <f t="shared" si="233"/>
        <v>598600</v>
      </c>
      <c r="S62" s="958">
        <f t="shared" si="233"/>
        <v>8681900</v>
      </c>
      <c r="T62" s="304">
        <f t="shared" si="233"/>
        <v>8681900</v>
      </c>
      <c r="U62" s="300">
        <f t="shared" si="233"/>
        <v>464100</v>
      </c>
      <c r="V62" s="305">
        <f t="shared" si="233"/>
        <v>9146000</v>
      </c>
      <c r="W62" s="304">
        <f t="shared" si="233"/>
        <v>9146000</v>
      </c>
      <c r="X62" s="300">
        <f t="shared" si="233"/>
        <v>798600</v>
      </c>
      <c r="Y62" s="305">
        <f t="shared" si="233"/>
        <v>9944600</v>
      </c>
      <c r="Z62" s="1041">
        <f t="shared" si="233"/>
        <v>9944600</v>
      </c>
      <c r="AA62" s="300">
        <f t="shared" si="233"/>
        <v>-1085500</v>
      </c>
      <c r="AB62" s="305">
        <f t="shared" si="233"/>
        <v>8859100</v>
      </c>
      <c r="AC62" s="1041">
        <f t="shared" si="233"/>
        <v>8859100</v>
      </c>
      <c r="AD62" s="300">
        <f t="shared" si="233"/>
        <v>-328700</v>
      </c>
      <c r="AE62" s="305">
        <f t="shared" si="233"/>
        <v>8530400</v>
      </c>
      <c r="AF62" s="1041">
        <f t="shared" si="233"/>
        <v>8530400</v>
      </c>
      <c r="AG62" s="300">
        <f t="shared" si="233"/>
        <v>500800</v>
      </c>
      <c r="AH62" s="305">
        <f t="shared" si="233"/>
        <v>9031200</v>
      </c>
      <c r="AI62" s="1041">
        <f t="shared" si="233"/>
        <v>9031200</v>
      </c>
      <c r="AJ62" s="300">
        <f t="shared" si="233"/>
        <v>603300</v>
      </c>
      <c r="AK62" s="305">
        <f t="shared" si="233"/>
        <v>9634500</v>
      </c>
      <c r="AL62" s="304">
        <f t="shared" si="233"/>
        <v>9634500</v>
      </c>
      <c r="AM62" s="300">
        <f t="shared" si="233"/>
        <v>330700</v>
      </c>
      <c r="AN62" s="958">
        <f t="shared" si="233"/>
        <v>9965200</v>
      </c>
    </row>
    <row r="63" spans="1:43" s="27" customFormat="1" ht="13.5" thickTop="1" x14ac:dyDescent="0.2">
      <c r="A63" s="407"/>
      <c r="B63" s="75"/>
      <c r="C63" s="21"/>
      <c r="D63" s="283"/>
      <c r="E63" s="132"/>
      <c r="F63" s="21"/>
      <c r="G63" s="283"/>
      <c r="H63" s="75"/>
      <c r="I63" s="21"/>
      <c r="J63" s="283"/>
      <c r="K63" s="75"/>
      <c r="L63" s="21"/>
      <c r="N63" s="1043"/>
      <c r="O63" s="21"/>
      <c r="P63" s="283"/>
      <c r="R63" s="21"/>
      <c r="S63" s="62"/>
      <c r="U63" s="21"/>
      <c r="V63" s="64"/>
      <c r="X63" s="21"/>
      <c r="Y63" s="64"/>
      <c r="Z63" s="1043"/>
      <c r="AA63" s="21"/>
      <c r="AB63" s="64"/>
      <c r="AC63" s="1043"/>
      <c r="AD63" s="21"/>
      <c r="AE63" s="64"/>
      <c r="AF63" s="1043"/>
      <c r="AG63" s="21"/>
      <c r="AH63" s="64"/>
      <c r="AI63" s="1043"/>
      <c r="AJ63" s="21"/>
      <c r="AK63" s="64"/>
      <c r="AM63" s="21"/>
      <c r="AN63" s="62"/>
    </row>
    <row r="64" spans="1:43" s="236" customFormat="1" x14ac:dyDescent="0.2">
      <c r="A64" s="410" t="str">
        <f>'Res-Gen'!A137</f>
        <v>Development and Env Health Group</v>
      </c>
      <c r="B64" s="233"/>
      <c r="C64" s="231"/>
      <c r="D64" s="232"/>
      <c r="E64" s="443"/>
      <c r="F64" s="231"/>
      <c r="G64" s="232"/>
      <c r="H64" s="233"/>
      <c r="I64" s="231"/>
      <c r="J64" s="232"/>
      <c r="K64" s="233"/>
      <c r="L64" s="231"/>
      <c r="M64" s="234"/>
      <c r="N64" s="1042"/>
      <c r="O64" s="231"/>
      <c r="P64" s="232"/>
      <c r="Q64" s="234"/>
      <c r="R64" s="231"/>
      <c r="S64" s="957"/>
      <c r="T64" s="234"/>
      <c r="U64" s="231"/>
      <c r="V64" s="235"/>
      <c r="W64" s="234"/>
      <c r="X64" s="231"/>
      <c r="Y64" s="235"/>
      <c r="Z64" s="1042"/>
      <c r="AA64" s="231"/>
      <c r="AB64" s="235"/>
      <c r="AC64" s="1042"/>
      <c r="AD64" s="231"/>
      <c r="AE64" s="235"/>
      <c r="AF64" s="1042"/>
      <c r="AG64" s="231"/>
      <c r="AH64" s="235"/>
      <c r="AI64" s="1042"/>
      <c r="AJ64" s="231"/>
      <c r="AK64" s="235"/>
      <c r="AL64" s="234"/>
      <c r="AM64" s="231"/>
      <c r="AN64" s="957"/>
    </row>
    <row r="65" spans="1:40" s="236" customFormat="1" x14ac:dyDescent="0.2">
      <c r="A65" s="411"/>
      <c r="B65" s="89"/>
      <c r="C65" s="9"/>
      <c r="D65" s="76"/>
      <c r="E65" s="350"/>
      <c r="F65" s="9"/>
      <c r="G65" s="76"/>
      <c r="H65" s="46"/>
      <c r="I65" s="9"/>
      <c r="J65" s="76"/>
      <c r="K65" s="89"/>
      <c r="L65" s="9"/>
      <c r="M65" s="46"/>
      <c r="N65" s="350"/>
      <c r="O65" s="9"/>
      <c r="P65" s="76"/>
      <c r="Q65" s="46"/>
      <c r="R65" s="9"/>
      <c r="S65" s="61"/>
      <c r="T65" s="46"/>
      <c r="U65" s="9"/>
      <c r="V65" s="49"/>
      <c r="W65" s="46"/>
      <c r="X65" s="9"/>
      <c r="Y65" s="49"/>
      <c r="Z65" s="350"/>
      <c r="AA65" s="9"/>
      <c r="AB65" s="49"/>
      <c r="AC65" s="350"/>
      <c r="AD65" s="9"/>
      <c r="AE65" s="49"/>
      <c r="AF65" s="350"/>
      <c r="AG65" s="9"/>
      <c r="AH65" s="49"/>
      <c r="AI65" s="350"/>
      <c r="AJ65" s="9"/>
      <c r="AK65" s="49"/>
      <c r="AL65" s="46"/>
      <c r="AM65" s="9"/>
      <c r="AN65" s="61"/>
    </row>
    <row r="66" spans="1:40" s="236" customFormat="1" x14ac:dyDescent="0.2">
      <c r="A66" s="778" t="s">
        <v>1238</v>
      </c>
      <c r="B66" s="89"/>
      <c r="C66" s="9"/>
      <c r="D66" s="76"/>
      <c r="E66" s="350"/>
      <c r="F66" s="9"/>
      <c r="G66" s="76"/>
      <c r="H66" s="46"/>
      <c r="I66" s="9"/>
      <c r="J66" s="76"/>
      <c r="K66" s="89"/>
      <c r="L66" s="9"/>
      <c r="M66" s="46"/>
      <c r="N66" s="350"/>
      <c r="O66" s="9"/>
      <c r="P66" s="76"/>
      <c r="Q66" s="46"/>
      <c r="R66" s="9"/>
      <c r="S66" s="61"/>
      <c r="T66" s="46"/>
      <c r="U66" s="9"/>
      <c r="V66" s="49"/>
      <c r="W66" s="46"/>
      <c r="X66" s="9"/>
      <c r="Y66" s="49"/>
      <c r="Z66" s="350"/>
      <c r="AA66" s="9"/>
      <c r="AB66" s="49"/>
      <c r="AC66" s="350"/>
      <c r="AD66" s="9"/>
      <c r="AE66" s="49"/>
      <c r="AF66" s="350"/>
      <c r="AG66" s="9"/>
      <c r="AH66" s="49"/>
      <c r="AI66" s="350"/>
      <c r="AJ66" s="9"/>
      <c r="AK66" s="49"/>
      <c r="AL66" s="46"/>
      <c r="AM66" s="9"/>
      <c r="AN66" s="61"/>
    </row>
    <row r="67" spans="1:40" s="236" customFormat="1" x14ac:dyDescent="0.2">
      <c r="A67" s="633" t="s">
        <v>6590</v>
      </c>
      <c r="B67" s="89">
        <v>0</v>
      </c>
      <c r="C67" s="9">
        <f>'Res-Gen'!D140</f>
        <v>50000</v>
      </c>
      <c r="D67" s="76">
        <f>B67+C67</f>
        <v>50000</v>
      </c>
      <c r="E67" s="350">
        <f>D67</f>
        <v>50000</v>
      </c>
      <c r="F67" s="9">
        <f>'Res-Gen'!G140+'Res-Gen'!G141</f>
        <v>233000</v>
      </c>
      <c r="G67" s="76">
        <f>E67+F67</f>
        <v>283000</v>
      </c>
      <c r="H67" s="46">
        <f>G67</f>
        <v>283000</v>
      </c>
      <c r="I67" s="9">
        <f>'Res-Gen'!J140+'Res-Gen'!J141</f>
        <v>-48000</v>
      </c>
      <c r="J67" s="76">
        <f>H67+I67</f>
        <v>235000</v>
      </c>
      <c r="K67" s="89">
        <f>J67</f>
        <v>235000</v>
      </c>
      <c r="L67" s="9"/>
      <c r="M67" s="46">
        <f>K67+L67</f>
        <v>235000</v>
      </c>
      <c r="N67" s="350">
        <f>M67</f>
        <v>235000</v>
      </c>
      <c r="O67" s="9"/>
      <c r="P67" s="76">
        <f>N67+O67</f>
        <v>235000</v>
      </c>
      <c r="Q67" s="46">
        <f>P67</f>
        <v>235000</v>
      </c>
      <c r="R67" s="9"/>
      <c r="S67" s="61">
        <f>Q67+R67</f>
        <v>235000</v>
      </c>
      <c r="T67" s="46">
        <f>S67</f>
        <v>235000</v>
      </c>
      <c r="U67" s="9"/>
      <c r="V67" s="49">
        <f>T67+U67</f>
        <v>235000</v>
      </c>
      <c r="W67" s="46">
        <f>V67</f>
        <v>235000</v>
      </c>
      <c r="X67" s="9"/>
      <c r="Y67" s="49">
        <f>W67+X67</f>
        <v>235000</v>
      </c>
      <c r="Z67" s="350">
        <f>Y67</f>
        <v>235000</v>
      </c>
      <c r="AA67" s="9"/>
      <c r="AB67" s="49">
        <f>Z67+AA67</f>
        <v>235000</v>
      </c>
      <c r="AC67" s="350">
        <f>AB67</f>
        <v>235000</v>
      </c>
      <c r="AD67" s="9"/>
      <c r="AE67" s="49">
        <f>AC67+AD67</f>
        <v>235000</v>
      </c>
      <c r="AF67" s="350">
        <f>AE67</f>
        <v>235000</v>
      </c>
      <c r="AG67" s="9"/>
      <c r="AH67" s="49">
        <f>AF67+AG67</f>
        <v>235000</v>
      </c>
      <c r="AI67" s="350">
        <f>AH67</f>
        <v>235000</v>
      </c>
      <c r="AJ67" s="9"/>
      <c r="AK67" s="49">
        <f>AI67+AJ67</f>
        <v>235000</v>
      </c>
      <c r="AL67" s="46">
        <f>AK67</f>
        <v>235000</v>
      </c>
      <c r="AM67" s="9"/>
      <c r="AN67" s="61">
        <f>AL67+AM67</f>
        <v>235000</v>
      </c>
    </row>
    <row r="68" spans="1:40" s="236" customFormat="1" x14ac:dyDescent="0.2">
      <c r="A68" s="411"/>
      <c r="B68" s="89"/>
      <c r="C68" s="9"/>
      <c r="D68" s="76"/>
      <c r="E68" s="350"/>
      <c r="F68" s="9"/>
      <c r="G68" s="76"/>
      <c r="H68" s="46"/>
      <c r="I68" s="9"/>
      <c r="J68" s="76"/>
      <c r="K68" s="89"/>
      <c r="L68" s="9"/>
      <c r="M68" s="46"/>
      <c r="N68" s="350"/>
      <c r="O68" s="9"/>
      <c r="P68" s="76"/>
      <c r="Q68" s="46"/>
      <c r="R68" s="9"/>
      <c r="S68" s="61"/>
      <c r="T68" s="46"/>
      <c r="U68" s="9"/>
      <c r="V68" s="49"/>
      <c r="W68" s="46"/>
      <c r="X68" s="9"/>
      <c r="Y68" s="49"/>
      <c r="Z68" s="350"/>
      <c r="AA68" s="9"/>
      <c r="AB68" s="49"/>
      <c r="AC68" s="350"/>
      <c r="AD68" s="9"/>
      <c r="AE68" s="49"/>
      <c r="AF68" s="350"/>
      <c r="AG68" s="9"/>
      <c r="AH68" s="49"/>
      <c r="AI68" s="350"/>
      <c r="AJ68" s="9"/>
      <c r="AK68" s="49"/>
      <c r="AL68" s="46"/>
      <c r="AM68" s="9"/>
      <c r="AN68" s="61"/>
    </row>
    <row r="69" spans="1:40" s="236" customFormat="1" x14ac:dyDescent="0.2">
      <c r="A69" s="778" t="s">
        <v>4086</v>
      </c>
      <c r="B69" s="89"/>
      <c r="C69" s="9"/>
      <c r="D69" s="76"/>
      <c r="E69" s="350"/>
      <c r="F69" s="9"/>
      <c r="G69" s="76"/>
      <c r="H69" s="46"/>
      <c r="I69" s="9"/>
      <c r="J69" s="76"/>
      <c r="K69" s="89"/>
      <c r="L69" s="9"/>
      <c r="M69" s="46"/>
      <c r="N69" s="350"/>
      <c r="O69" s="9"/>
      <c r="P69" s="76"/>
      <c r="Q69" s="46"/>
      <c r="R69" s="9"/>
      <c r="S69" s="61"/>
      <c r="T69" s="46"/>
      <c r="U69" s="9"/>
      <c r="V69" s="49"/>
      <c r="W69" s="46"/>
      <c r="X69" s="9"/>
      <c r="Y69" s="49"/>
      <c r="Z69" s="350"/>
      <c r="AA69" s="9"/>
      <c r="AB69" s="49"/>
      <c r="AC69" s="350"/>
      <c r="AD69" s="9"/>
      <c r="AE69" s="49"/>
      <c r="AF69" s="350"/>
      <c r="AG69" s="9"/>
      <c r="AH69" s="49"/>
      <c r="AI69" s="350"/>
      <c r="AJ69" s="9"/>
      <c r="AK69" s="49"/>
      <c r="AL69" s="46"/>
      <c r="AM69" s="9"/>
      <c r="AN69" s="61"/>
    </row>
    <row r="70" spans="1:40" x14ac:dyDescent="0.2">
      <c r="A70" s="633" t="s">
        <v>241</v>
      </c>
      <c r="B70" s="89">
        <v>34500</v>
      </c>
      <c r="C70" s="9"/>
      <c r="D70" s="76">
        <f>B70+C70</f>
        <v>34500</v>
      </c>
      <c r="E70" s="350">
        <f>D70</f>
        <v>34500</v>
      </c>
      <c r="F70" s="9"/>
      <c r="G70" s="76">
        <f>E70+F70</f>
        <v>34500</v>
      </c>
      <c r="H70" s="46">
        <f>G70</f>
        <v>34500</v>
      </c>
      <c r="I70" s="9"/>
      <c r="J70" s="76">
        <f>H70+I70</f>
        <v>34500</v>
      </c>
      <c r="K70" s="89">
        <f>J70</f>
        <v>34500</v>
      </c>
      <c r="L70" s="9"/>
      <c r="M70" s="46">
        <f>K70+L70</f>
        <v>34500</v>
      </c>
      <c r="N70" s="350">
        <f>M70</f>
        <v>34500</v>
      </c>
      <c r="O70" s="9"/>
      <c r="P70" s="76">
        <f>N70+O70</f>
        <v>34500</v>
      </c>
      <c r="Q70" s="46">
        <f>P70</f>
        <v>34500</v>
      </c>
      <c r="R70" s="9"/>
      <c r="S70" s="61">
        <f>Q70+R70</f>
        <v>34500</v>
      </c>
      <c r="T70" s="46">
        <f>S70</f>
        <v>34500</v>
      </c>
      <c r="U70" s="9"/>
      <c r="V70" s="49">
        <f>T70+U70</f>
        <v>34500</v>
      </c>
      <c r="W70" s="46">
        <f>V70</f>
        <v>34500</v>
      </c>
      <c r="X70" s="9"/>
      <c r="Y70" s="49">
        <f>W70+X70</f>
        <v>34500</v>
      </c>
      <c r="Z70" s="350">
        <f>Y70</f>
        <v>34500</v>
      </c>
      <c r="AA70" s="9"/>
      <c r="AB70" s="49">
        <f>Z70+AA70</f>
        <v>34500</v>
      </c>
      <c r="AC70" s="350">
        <f>AB70</f>
        <v>34500</v>
      </c>
      <c r="AD70" s="9"/>
      <c r="AE70" s="49">
        <f>AC70+AD70</f>
        <v>34500</v>
      </c>
      <c r="AF70" s="350">
        <f>AE70</f>
        <v>34500</v>
      </c>
      <c r="AG70" s="9"/>
      <c r="AH70" s="49">
        <f>AF70+AG70</f>
        <v>34500</v>
      </c>
      <c r="AI70" s="350">
        <f>AH70</f>
        <v>34500</v>
      </c>
      <c r="AJ70" s="9"/>
      <c r="AK70" s="49">
        <f>AI70+AJ70</f>
        <v>34500</v>
      </c>
      <c r="AL70" s="46">
        <f>AK70</f>
        <v>34500</v>
      </c>
      <c r="AM70" s="9"/>
      <c r="AN70" s="61">
        <f>AL70+AM70</f>
        <v>34500</v>
      </c>
    </row>
    <row r="71" spans="1:40" x14ac:dyDescent="0.2">
      <c r="A71" s="633" t="s">
        <v>6592</v>
      </c>
      <c r="B71" s="89">
        <v>172400</v>
      </c>
      <c r="C71" s="97">
        <f>'Res-Gen'!D144</f>
        <v>13000</v>
      </c>
      <c r="D71" s="76">
        <f>B71+C71</f>
        <v>185400</v>
      </c>
      <c r="E71" s="350">
        <f>D71</f>
        <v>185400</v>
      </c>
      <c r="F71" s="97">
        <f>'Res-Gen'!G144</f>
        <v>340300</v>
      </c>
      <c r="G71" s="76">
        <f>E71+F71</f>
        <v>525700</v>
      </c>
      <c r="H71" s="46">
        <f>G71</f>
        <v>525700</v>
      </c>
      <c r="I71" s="9">
        <f>+'Res-Gen'!J144</f>
        <v>-382500</v>
      </c>
      <c r="J71" s="76">
        <f>H71+I71</f>
        <v>143200</v>
      </c>
      <c r="K71" s="89">
        <f>J71</f>
        <v>143200</v>
      </c>
      <c r="L71" s="9"/>
      <c r="M71" s="46">
        <f>K71+L71</f>
        <v>143200</v>
      </c>
      <c r="N71" s="350">
        <f>M71</f>
        <v>143200</v>
      </c>
      <c r="O71" s="9"/>
      <c r="P71" s="76">
        <f>N71+O71</f>
        <v>143200</v>
      </c>
      <c r="Q71" s="46">
        <f>P71</f>
        <v>143200</v>
      </c>
      <c r="R71" s="9"/>
      <c r="S71" s="61">
        <f>Q71+R71</f>
        <v>143200</v>
      </c>
      <c r="T71" s="46">
        <f>S71</f>
        <v>143200</v>
      </c>
      <c r="U71" s="9"/>
      <c r="V71" s="49">
        <f>T71+U71</f>
        <v>143200</v>
      </c>
      <c r="W71" s="46">
        <f>V71</f>
        <v>143200</v>
      </c>
      <c r="X71" s="9"/>
      <c r="Y71" s="49">
        <f>W71+X71</f>
        <v>143200</v>
      </c>
      <c r="Z71" s="350">
        <f>Y71</f>
        <v>143200</v>
      </c>
      <c r="AA71" s="9"/>
      <c r="AB71" s="49">
        <f>Z71+AA71</f>
        <v>143200</v>
      </c>
      <c r="AC71" s="350">
        <f>AB71</f>
        <v>143200</v>
      </c>
      <c r="AD71" s="9"/>
      <c r="AE71" s="49">
        <f>AC71+AD71</f>
        <v>143200</v>
      </c>
      <c r="AF71" s="350">
        <f>AE71</f>
        <v>143200</v>
      </c>
      <c r="AG71" s="9"/>
      <c r="AH71" s="49">
        <f>AF71+AG71</f>
        <v>143200</v>
      </c>
      <c r="AI71" s="350">
        <f>AH71</f>
        <v>143200</v>
      </c>
      <c r="AJ71" s="9"/>
      <c r="AK71" s="49">
        <f>AI71+AJ71</f>
        <v>143200</v>
      </c>
      <c r="AL71" s="46">
        <f>AK71</f>
        <v>143200</v>
      </c>
      <c r="AM71" s="9"/>
      <c r="AN71" s="61">
        <f>AL71+AM71</f>
        <v>143200</v>
      </c>
    </row>
    <row r="72" spans="1:40" x14ac:dyDescent="0.2">
      <c r="A72" s="633" t="s">
        <v>6599</v>
      </c>
      <c r="B72" s="89">
        <v>27000</v>
      </c>
      <c r="C72" s="9">
        <f>'Res-Gen'!D145</f>
        <v>-27000</v>
      </c>
      <c r="D72" s="76">
        <f t="shared" ref="D72" si="234">B72+C72</f>
        <v>0</v>
      </c>
      <c r="E72" s="350"/>
      <c r="F72" s="9"/>
      <c r="G72" s="76"/>
      <c r="H72" s="46"/>
      <c r="I72" s="9"/>
      <c r="J72" s="76"/>
      <c r="K72" s="89"/>
      <c r="L72" s="9"/>
      <c r="M72" s="46"/>
      <c r="N72" s="350"/>
      <c r="O72" s="9"/>
      <c r="P72" s="76"/>
      <c r="Q72" s="46"/>
      <c r="R72" s="9"/>
      <c r="S72" s="61"/>
      <c r="T72" s="46"/>
      <c r="U72" s="9"/>
      <c r="V72" s="49"/>
      <c r="W72" s="46"/>
      <c r="X72" s="9"/>
      <c r="Y72" s="49"/>
      <c r="Z72" s="350"/>
      <c r="AA72" s="9"/>
      <c r="AB72" s="49"/>
      <c r="AC72" s="350"/>
      <c r="AD72" s="9"/>
      <c r="AE72" s="49"/>
      <c r="AF72" s="350"/>
      <c r="AG72" s="9"/>
      <c r="AH72" s="49"/>
      <c r="AI72" s="350"/>
      <c r="AJ72" s="9"/>
      <c r="AK72" s="49"/>
      <c r="AL72" s="46"/>
      <c r="AM72" s="9"/>
      <c r="AN72" s="61"/>
    </row>
    <row r="73" spans="1:40" x14ac:dyDescent="0.2">
      <c r="A73" s="408"/>
      <c r="B73" s="89"/>
      <c r="C73" s="9"/>
      <c r="D73" s="76"/>
      <c r="E73" s="350"/>
      <c r="F73" s="9"/>
      <c r="G73" s="76"/>
      <c r="H73" s="46"/>
      <c r="I73" s="9"/>
      <c r="J73" s="76"/>
      <c r="K73" s="89"/>
      <c r="L73" s="9"/>
      <c r="M73" s="46"/>
      <c r="N73" s="350"/>
      <c r="O73" s="9"/>
      <c r="P73" s="76"/>
      <c r="Q73" s="46"/>
      <c r="R73" s="9"/>
      <c r="S73" s="61"/>
      <c r="T73" s="46"/>
      <c r="U73" s="9"/>
      <c r="V73" s="49"/>
      <c r="W73" s="46"/>
      <c r="X73" s="9"/>
      <c r="Y73" s="49"/>
      <c r="Z73" s="350"/>
      <c r="AA73" s="9"/>
      <c r="AB73" s="49"/>
      <c r="AC73" s="350"/>
      <c r="AD73" s="9"/>
      <c r="AE73" s="49"/>
      <c r="AF73" s="350"/>
      <c r="AG73" s="9"/>
      <c r="AH73" s="49"/>
      <c r="AI73" s="350"/>
      <c r="AJ73" s="9"/>
      <c r="AK73" s="49"/>
      <c r="AL73" s="46"/>
      <c r="AM73" s="9"/>
      <c r="AN73" s="61"/>
    </row>
    <row r="74" spans="1:40" x14ac:dyDescent="0.2">
      <c r="A74" s="778" t="s">
        <v>4087</v>
      </c>
      <c r="B74" s="89"/>
      <c r="C74" s="9"/>
      <c r="D74" s="76"/>
      <c r="E74" s="350"/>
      <c r="F74" s="9"/>
      <c r="G74" s="76"/>
      <c r="H74" s="46"/>
      <c r="I74" s="9"/>
      <c r="J74" s="76"/>
      <c r="K74" s="89"/>
      <c r="L74" s="9"/>
      <c r="M74" s="46"/>
      <c r="N74" s="350"/>
      <c r="O74" s="9"/>
      <c r="P74" s="76"/>
      <c r="Q74" s="46"/>
      <c r="R74" s="9"/>
      <c r="S74" s="61"/>
      <c r="T74" s="46"/>
      <c r="U74" s="9"/>
      <c r="V74" s="49"/>
      <c r="W74" s="46"/>
      <c r="X74" s="9"/>
      <c r="Y74" s="49"/>
      <c r="Z74" s="350"/>
      <c r="AA74" s="9"/>
      <c r="AB74" s="49"/>
      <c r="AC74" s="350"/>
      <c r="AD74" s="9"/>
      <c r="AE74" s="49"/>
      <c r="AF74" s="350"/>
      <c r="AG74" s="9"/>
      <c r="AH74" s="49"/>
      <c r="AI74" s="350"/>
      <c r="AJ74" s="9"/>
      <c r="AK74" s="49"/>
      <c r="AL74" s="46"/>
      <c r="AM74" s="9"/>
      <c r="AN74" s="61"/>
    </row>
    <row r="75" spans="1:40" x14ac:dyDescent="0.2">
      <c r="A75" s="633" t="s">
        <v>258</v>
      </c>
      <c r="B75" s="89">
        <v>0</v>
      </c>
      <c r="C75" s="9"/>
      <c r="D75" s="76">
        <f>B75+C75</f>
        <v>0</v>
      </c>
      <c r="E75" s="350">
        <f>D75</f>
        <v>0</v>
      </c>
      <c r="F75" s="9">
        <f>+'Res-Gen'!G148</f>
        <v>6500</v>
      </c>
      <c r="G75" s="76">
        <f>E75+F75</f>
        <v>6500</v>
      </c>
      <c r="H75" s="46">
        <f>G75</f>
        <v>6500</v>
      </c>
      <c r="I75" s="9">
        <f>+'Res-Gen'!J148</f>
        <v>-6500</v>
      </c>
      <c r="J75" s="76">
        <f>H75+I75</f>
        <v>0</v>
      </c>
      <c r="K75" s="89">
        <f>J75</f>
        <v>0</v>
      </c>
      <c r="L75" s="9"/>
      <c r="M75" s="46">
        <f>K75+L75</f>
        <v>0</v>
      </c>
      <c r="N75" s="350">
        <f>M75</f>
        <v>0</v>
      </c>
      <c r="O75" s="9"/>
      <c r="P75" s="76">
        <f>N75+O75</f>
        <v>0</v>
      </c>
      <c r="Q75" s="46">
        <f>P75</f>
        <v>0</v>
      </c>
      <c r="R75" s="9"/>
      <c r="S75" s="61">
        <f>Q75+R75</f>
        <v>0</v>
      </c>
      <c r="T75" s="46">
        <f>S75</f>
        <v>0</v>
      </c>
      <c r="U75" s="9"/>
      <c r="V75" s="49">
        <f>T75+U75</f>
        <v>0</v>
      </c>
      <c r="W75" s="46">
        <f>V75</f>
        <v>0</v>
      </c>
      <c r="X75" s="9"/>
      <c r="Y75" s="49">
        <f>W75+X75</f>
        <v>0</v>
      </c>
      <c r="Z75" s="350">
        <f>Y75</f>
        <v>0</v>
      </c>
      <c r="AA75" s="9"/>
      <c r="AB75" s="49">
        <f>Z75+AA75</f>
        <v>0</v>
      </c>
      <c r="AC75" s="350">
        <f>AB75</f>
        <v>0</v>
      </c>
      <c r="AD75" s="9"/>
      <c r="AE75" s="49">
        <f>AC75+AD75</f>
        <v>0</v>
      </c>
      <c r="AF75" s="350">
        <f>AE75</f>
        <v>0</v>
      </c>
      <c r="AG75" s="9"/>
      <c r="AH75" s="49">
        <f>AF75+AG75</f>
        <v>0</v>
      </c>
      <c r="AI75" s="350">
        <f>AH75</f>
        <v>0</v>
      </c>
      <c r="AJ75" s="9"/>
      <c r="AK75" s="49">
        <f>AI75+AJ75</f>
        <v>0</v>
      </c>
      <c r="AL75" s="46">
        <f>AK75</f>
        <v>0</v>
      </c>
      <c r="AM75" s="9"/>
      <c r="AN75" s="61">
        <f>AL75+AM75</f>
        <v>0</v>
      </c>
    </row>
    <row r="76" spans="1:40" ht="13.5" thickBot="1" x14ac:dyDescent="0.25">
      <c r="A76" s="408"/>
      <c r="B76" s="89"/>
      <c r="C76" s="9"/>
      <c r="D76" s="76"/>
      <c r="E76" s="133"/>
      <c r="F76" s="9"/>
      <c r="G76" s="76"/>
      <c r="H76" s="89"/>
      <c r="I76" s="9"/>
      <c r="J76" s="76"/>
      <c r="K76" s="89"/>
      <c r="L76" s="9"/>
      <c r="M76" s="46"/>
      <c r="N76" s="350"/>
      <c r="O76" s="9"/>
      <c r="P76" s="76"/>
      <c r="Q76" s="46"/>
      <c r="R76" s="9"/>
      <c r="S76" s="61"/>
      <c r="T76" s="46"/>
      <c r="U76" s="9"/>
      <c r="V76" s="49"/>
      <c r="W76" s="46"/>
      <c r="X76" s="9"/>
      <c r="Y76" s="49"/>
      <c r="Z76" s="350"/>
      <c r="AA76" s="9"/>
      <c r="AB76" s="49"/>
      <c r="AC76" s="350"/>
      <c r="AD76" s="9"/>
      <c r="AE76" s="49"/>
      <c r="AF76" s="350"/>
      <c r="AG76" s="9"/>
      <c r="AH76" s="49"/>
      <c r="AI76" s="350"/>
      <c r="AJ76" s="9"/>
      <c r="AK76" s="49"/>
      <c r="AL76" s="46"/>
      <c r="AM76" s="9"/>
      <c r="AN76" s="61"/>
    </row>
    <row r="77" spans="1:40" s="39" customFormat="1" ht="14.25" thickTop="1" thickBot="1" x14ac:dyDescent="0.25">
      <c r="A77" s="797" t="s">
        <v>3300</v>
      </c>
      <c r="B77" s="302">
        <f t="shared" ref="B77:AK77" si="235">SUBTOTAL(9,B65:B76)</f>
        <v>233900</v>
      </c>
      <c r="C77" s="300">
        <f t="shared" si="235"/>
        <v>36000</v>
      </c>
      <c r="D77" s="301">
        <f t="shared" si="235"/>
        <v>269900</v>
      </c>
      <c r="E77" s="307">
        <f t="shared" si="235"/>
        <v>269900</v>
      </c>
      <c r="F77" s="300">
        <f t="shared" si="235"/>
        <v>579800</v>
      </c>
      <c r="G77" s="301">
        <f t="shared" si="235"/>
        <v>849700</v>
      </c>
      <c r="H77" s="302">
        <f t="shared" si="235"/>
        <v>849700</v>
      </c>
      <c r="I77" s="300">
        <f t="shared" si="235"/>
        <v>-437000</v>
      </c>
      <c r="J77" s="301">
        <f t="shared" si="235"/>
        <v>412700</v>
      </c>
      <c r="K77" s="302">
        <f t="shared" si="235"/>
        <v>412700</v>
      </c>
      <c r="L77" s="300">
        <f t="shared" si="235"/>
        <v>0</v>
      </c>
      <c r="M77" s="304">
        <f t="shared" si="235"/>
        <v>412700</v>
      </c>
      <c r="N77" s="1041">
        <f t="shared" si="235"/>
        <v>412700</v>
      </c>
      <c r="O77" s="300">
        <f t="shared" si="235"/>
        <v>0</v>
      </c>
      <c r="P77" s="301">
        <f t="shared" si="235"/>
        <v>412700</v>
      </c>
      <c r="Q77" s="304">
        <f t="shared" si="235"/>
        <v>412700</v>
      </c>
      <c r="R77" s="300">
        <f t="shared" si="235"/>
        <v>0</v>
      </c>
      <c r="S77" s="958">
        <f t="shared" si="235"/>
        <v>412700</v>
      </c>
      <c r="T77" s="304">
        <f t="shared" si="235"/>
        <v>412700</v>
      </c>
      <c r="U77" s="300">
        <f t="shared" si="235"/>
        <v>0</v>
      </c>
      <c r="V77" s="305">
        <f t="shared" si="235"/>
        <v>412700</v>
      </c>
      <c r="W77" s="304">
        <f t="shared" si="235"/>
        <v>412700</v>
      </c>
      <c r="X77" s="300">
        <f t="shared" si="235"/>
        <v>0</v>
      </c>
      <c r="Y77" s="305">
        <f t="shared" si="235"/>
        <v>412700</v>
      </c>
      <c r="Z77" s="1041">
        <f t="shared" si="235"/>
        <v>412700</v>
      </c>
      <c r="AA77" s="300">
        <f t="shared" si="235"/>
        <v>0</v>
      </c>
      <c r="AB77" s="305">
        <f t="shared" si="235"/>
        <v>412700</v>
      </c>
      <c r="AC77" s="1041">
        <f t="shared" si="235"/>
        <v>412700</v>
      </c>
      <c r="AD77" s="300">
        <f t="shared" si="235"/>
        <v>0</v>
      </c>
      <c r="AE77" s="305">
        <f t="shared" si="235"/>
        <v>412700</v>
      </c>
      <c r="AF77" s="1041">
        <f t="shared" si="235"/>
        <v>412700</v>
      </c>
      <c r="AG77" s="300">
        <f t="shared" si="235"/>
        <v>0</v>
      </c>
      <c r="AH77" s="305">
        <f t="shared" si="235"/>
        <v>412700</v>
      </c>
      <c r="AI77" s="1041">
        <f t="shared" si="235"/>
        <v>412700</v>
      </c>
      <c r="AJ77" s="300">
        <f t="shared" si="235"/>
        <v>0</v>
      </c>
      <c r="AK77" s="305">
        <f t="shared" si="235"/>
        <v>412700</v>
      </c>
      <c r="AL77" s="304">
        <f t="shared" ref="AL77:AN77" si="236">SUBTOTAL(9,AL65:AL76)</f>
        <v>412700</v>
      </c>
      <c r="AM77" s="300">
        <f t="shared" si="236"/>
        <v>0</v>
      </c>
      <c r="AN77" s="958">
        <f t="shared" si="236"/>
        <v>412700</v>
      </c>
    </row>
    <row r="78" spans="1:40" ht="13.5" thickTop="1" x14ac:dyDescent="0.2">
      <c r="A78" s="408"/>
      <c r="B78" s="89"/>
      <c r="C78" s="9"/>
      <c r="D78" s="76"/>
      <c r="E78" s="133"/>
      <c r="F78" s="9"/>
      <c r="G78" s="76"/>
      <c r="H78" s="89"/>
      <c r="I78" s="9"/>
      <c r="J78" s="76"/>
      <c r="K78" s="89"/>
      <c r="L78" s="9"/>
      <c r="M78" s="46"/>
      <c r="N78" s="350"/>
      <c r="O78" s="9"/>
      <c r="P78" s="76"/>
      <c r="Q78" s="46"/>
      <c r="R78" s="9"/>
      <c r="S78" s="61"/>
      <c r="T78" s="46"/>
      <c r="U78" s="9"/>
      <c r="V78" s="49"/>
      <c r="W78" s="46"/>
      <c r="X78" s="9"/>
      <c r="Y78" s="49"/>
      <c r="Z78" s="350"/>
      <c r="AA78" s="9"/>
      <c r="AB78" s="49"/>
      <c r="AC78" s="350"/>
      <c r="AD78" s="9"/>
      <c r="AE78" s="49"/>
      <c r="AF78" s="350"/>
      <c r="AG78" s="9"/>
      <c r="AH78" s="49"/>
      <c r="AI78" s="350"/>
      <c r="AJ78" s="9"/>
      <c r="AK78" s="49"/>
      <c r="AL78" s="46"/>
      <c r="AM78" s="9"/>
      <c r="AN78" s="61"/>
    </row>
    <row r="79" spans="1:40" s="27" customFormat="1" x14ac:dyDescent="0.2">
      <c r="A79" s="407"/>
      <c r="B79" s="75"/>
      <c r="C79" s="21"/>
      <c r="D79" s="283"/>
      <c r="E79" s="132"/>
      <c r="F79" s="21"/>
      <c r="G79" s="283"/>
      <c r="H79" s="75"/>
      <c r="I79" s="21"/>
      <c r="J79" s="283"/>
      <c r="K79" s="75"/>
      <c r="L79" s="21"/>
      <c r="N79" s="1043"/>
      <c r="O79" s="21"/>
      <c r="P79" s="283"/>
      <c r="R79" s="21"/>
      <c r="S79" s="62"/>
      <c r="U79" s="21"/>
      <c r="V79" s="64"/>
      <c r="X79" s="21"/>
      <c r="Y79" s="64"/>
      <c r="Z79" s="1043"/>
      <c r="AA79" s="21"/>
      <c r="AB79" s="64"/>
      <c r="AC79" s="1043"/>
      <c r="AD79" s="21"/>
      <c r="AE79" s="64"/>
      <c r="AF79" s="1043"/>
      <c r="AG79" s="21"/>
      <c r="AH79" s="64"/>
      <c r="AI79" s="1043"/>
      <c r="AJ79" s="21"/>
      <c r="AK79" s="64"/>
      <c r="AM79" s="21"/>
      <c r="AN79" s="62"/>
    </row>
    <row r="80" spans="1:40" s="27" customFormat="1" x14ac:dyDescent="0.2">
      <c r="A80" s="2656" t="s">
        <v>1310</v>
      </c>
      <c r="B80" s="2657"/>
      <c r="C80" s="2657"/>
      <c r="D80" s="2657"/>
      <c r="E80" s="2657"/>
      <c r="F80" s="2657"/>
      <c r="G80" s="2657"/>
      <c r="H80" s="2657"/>
      <c r="I80" s="2657"/>
      <c r="J80" s="2657"/>
      <c r="K80" s="2657"/>
      <c r="L80" s="2657"/>
      <c r="M80" s="2657"/>
      <c r="N80" s="1043"/>
      <c r="O80" s="21"/>
      <c r="P80" s="283"/>
      <c r="R80" s="21"/>
      <c r="S80" s="62"/>
      <c r="U80" s="21"/>
      <c r="V80" s="64"/>
      <c r="X80" s="21"/>
      <c r="Y80" s="64"/>
      <c r="Z80" s="1043"/>
      <c r="AA80" s="21"/>
      <c r="AB80" s="64"/>
      <c r="AC80" s="1043"/>
      <c r="AD80" s="21"/>
      <c r="AE80" s="64"/>
      <c r="AF80" s="1043"/>
      <c r="AG80" s="21"/>
      <c r="AH80" s="64"/>
      <c r="AI80" s="1043"/>
      <c r="AJ80" s="21"/>
      <c r="AK80" s="64"/>
      <c r="AM80" s="21"/>
      <c r="AN80" s="62"/>
    </row>
    <row r="81" spans="1:43" s="39" customFormat="1" ht="13.5" thickBot="1" x14ac:dyDescent="0.25">
      <c r="A81" s="412"/>
      <c r="B81" s="81"/>
      <c r="C81" s="37"/>
      <c r="D81" s="289"/>
      <c r="E81" s="1541"/>
      <c r="F81" s="37"/>
      <c r="G81" s="289"/>
      <c r="H81" s="81"/>
      <c r="I81" s="37"/>
      <c r="J81" s="289"/>
      <c r="K81" s="81"/>
      <c r="L81" s="37"/>
      <c r="M81" s="67"/>
      <c r="N81" s="1044"/>
      <c r="O81" s="37"/>
      <c r="P81" s="289"/>
      <c r="Q81" s="67"/>
      <c r="R81" s="37"/>
      <c r="S81" s="82"/>
      <c r="T81" s="67"/>
      <c r="U81" s="37"/>
      <c r="V81" s="263"/>
      <c r="W81" s="67"/>
      <c r="X81" s="37"/>
      <c r="Y81" s="263"/>
      <c r="Z81" s="1044"/>
      <c r="AA81" s="37"/>
      <c r="AB81" s="263"/>
      <c r="AC81" s="1044"/>
      <c r="AD81" s="37"/>
      <c r="AE81" s="263"/>
      <c r="AF81" s="1044"/>
      <c r="AG81" s="37"/>
      <c r="AH81" s="263"/>
      <c r="AI81" s="1044"/>
      <c r="AJ81" s="37"/>
      <c r="AK81" s="263"/>
      <c r="AL81" s="67"/>
      <c r="AM81" s="37"/>
      <c r="AN81" s="82"/>
    </row>
    <row r="82" spans="1:43" s="27" customFormat="1" ht="14.25" thickTop="1" thickBot="1" x14ac:dyDescent="0.25">
      <c r="A82" s="88"/>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row>
    <row r="83" spans="1:43" ht="18.75" customHeight="1" thickTop="1" thickBot="1" x14ac:dyDescent="0.25">
      <c r="A83" s="2653" t="s">
        <v>2355</v>
      </c>
      <c r="B83" s="2654"/>
      <c r="C83" s="2654"/>
      <c r="D83" s="2654"/>
      <c r="E83" s="2654"/>
      <c r="F83" s="2654"/>
      <c r="G83" s="2654"/>
      <c r="H83" s="2654"/>
      <c r="I83" s="2654"/>
      <c r="J83" s="2654"/>
      <c r="K83" s="2654"/>
      <c r="L83" s="2654"/>
      <c r="M83" s="2654"/>
      <c r="N83" s="2654"/>
      <c r="O83" s="2654"/>
      <c r="P83" s="2654"/>
      <c r="Q83" s="2654"/>
      <c r="R83" s="2654"/>
      <c r="S83" s="2655"/>
      <c r="T83" s="1039"/>
      <c r="U83" s="1039"/>
      <c r="V83" s="1039"/>
      <c r="W83" s="1039"/>
      <c r="X83" s="1039"/>
      <c r="Y83" s="1039"/>
      <c r="Z83" s="1039"/>
      <c r="AA83" s="1039"/>
      <c r="AB83" s="1039"/>
      <c r="AC83" s="1039"/>
      <c r="AD83" s="1039"/>
      <c r="AE83" s="1039"/>
      <c r="AF83" s="1039"/>
      <c r="AG83" s="1039"/>
      <c r="AH83" s="1039"/>
      <c r="AI83" s="1039"/>
      <c r="AJ83" s="1039"/>
      <c r="AK83" s="1039"/>
      <c r="AL83" s="1039"/>
      <c r="AM83" s="1039"/>
      <c r="AN83" s="1092"/>
    </row>
    <row r="84" spans="1:43" ht="13.5" thickBot="1" x14ac:dyDescent="0.25">
      <c r="A84" s="406" t="s">
        <v>1526</v>
      </c>
      <c r="B84" s="2651" t="str">
        <f t="shared" ref="B84:AN84" si="237">B2</f>
        <v>2015/16</v>
      </c>
      <c r="C84" s="2651">
        <f t="shared" si="237"/>
        <v>0</v>
      </c>
      <c r="D84" s="2652">
        <f t="shared" si="237"/>
        <v>0</v>
      </c>
      <c r="E84" s="2650" t="str">
        <f t="shared" si="237"/>
        <v>2016/17</v>
      </c>
      <c r="F84" s="2651">
        <f t="shared" si="237"/>
        <v>0</v>
      </c>
      <c r="G84" s="2652">
        <f t="shared" si="237"/>
        <v>0</v>
      </c>
      <c r="H84" s="2650" t="str">
        <f t="shared" si="237"/>
        <v>2017/18</v>
      </c>
      <c r="I84" s="2651">
        <f t="shared" si="237"/>
        <v>0</v>
      </c>
      <c r="J84" s="2652">
        <f t="shared" si="237"/>
        <v>0</v>
      </c>
      <c r="K84" s="2648" t="str">
        <f t="shared" si="237"/>
        <v>2018/19</v>
      </c>
      <c r="L84" s="2646">
        <f t="shared" si="237"/>
        <v>0</v>
      </c>
      <c r="M84" s="2649">
        <f t="shared" si="237"/>
        <v>0</v>
      </c>
      <c r="N84" s="2648" t="str">
        <f t="shared" si="237"/>
        <v>2019/20</v>
      </c>
      <c r="O84" s="2646">
        <f t="shared" si="237"/>
        <v>0</v>
      </c>
      <c r="P84" s="2649">
        <f t="shared" si="237"/>
        <v>0</v>
      </c>
      <c r="Q84" s="2646" t="str">
        <f t="shared" si="237"/>
        <v>2020/21</v>
      </c>
      <c r="R84" s="2646">
        <f t="shared" si="237"/>
        <v>0</v>
      </c>
      <c r="S84" s="2647">
        <f t="shared" si="237"/>
        <v>0</v>
      </c>
      <c r="T84" s="2646" t="str">
        <f t="shared" si="237"/>
        <v>2021/22</v>
      </c>
      <c r="U84" s="2646">
        <f t="shared" si="237"/>
        <v>0</v>
      </c>
      <c r="V84" s="2649">
        <f t="shared" si="237"/>
        <v>0</v>
      </c>
      <c r="W84" s="2646" t="str">
        <f t="shared" si="237"/>
        <v>2022/23</v>
      </c>
      <c r="X84" s="2646">
        <f t="shared" si="237"/>
        <v>0</v>
      </c>
      <c r="Y84" s="2649">
        <f t="shared" si="237"/>
        <v>0</v>
      </c>
      <c r="Z84" s="2646" t="str">
        <f t="shared" si="237"/>
        <v>2023/24</v>
      </c>
      <c r="AA84" s="2646">
        <f t="shared" si="237"/>
        <v>0</v>
      </c>
      <c r="AB84" s="2649">
        <f t="shared" si="237"/>
        <v>0</v>
      </c>
      <c r="AC84" s="2648" t="str">
        <f t="shared" si="237"/>
        <v>2024/25</v>
      </c>
      <c r="AD84" s="2646">
        <f t="shared" si="237"/>
        <v>0</v>
      </c>
      <c r="AE84" s="2649">
        <f t="shared" si="237"/>
        <v>0</v>
      </c>
      <c r="AF84" s="2646" t="str">
        <f t="shared" si="237"/>
        <v>2025/26</v>
      </c>
      <c r="AG84" s="2646">
        <f t="shared" si="237"/>
        <v>0</v>
      </c>
      <c r="AH84" s="2649">
        <f t="shared" si="237"/>
        <v>0</v>
      </c>
      <c r="AI84" s="2648" t="str">
        <f t="shared" si="237"/>
        <v>2026/27</v>
      </c>
      <c r="AJ84" s="2646">
        <f t="shared" si="237"/>
        <v>0</v>
      </c>
      <c r="AK84" s="2649">
        <f t="shared" si="237"/>
        <v>0</v>
      </c>
      <c r="AL84" s="2646" t="str">
        <f t="shared" si="237"/>
        <v>2027/28</v>
      </c>
      <c r="AM84" s="2646">
        <f t="shared" si="237"/>
        <v>0</v>
      </c>
      <c r="AN84" s="2647">
        <f t="shared" si="237"/>
        <v>0</v>
      </c>
    </row>
    <row r="85" spans="1:43" ht="13.5" thickBot="1" x14ac:dyDescent="0.25">
      <c r="A85" s="291"/>
      <c r="B85" s="229" t="str">
        <f t="shared" ref="B85:AN85" si="238">B3</f>
        <v>Opening</v>
      </c>
      <c r="C85" s="219" t="str">
        <f t="shared" si="238"/>
        <v>Movement</v>
      </c>
      <c r="D85" s="222" t="str">
        <f t="shared" si="238"/>
        <v>Closing</v>
      </c>
      <c r="E85" s="393" t="str">
        <f t="shared" si="238"/>
        <v>Opening</v>
      </c>
      <c r="F85" s="219" t="str">
        <f t="shared" si="238"/>
        <v>Movement</v>
      </c>
      <c r="G85" s="222" t="str">
        <f t="shared" si="238"/>
        <v>Closing</v>
      </c>
      <c r="H85" s="393" t="str">
        <f t="shared" si="238"/>
        <v>Opening</v>
      </c>
      <c r="I85" s="219" t="str">
        <f t="shared" si="238"/>
        <v>Movement</v>
      </c>
      <c r="J85" s="222" t="str">
        <f t="shared" si="238"/>
        <v>Closing</v>
      </c>
      <c r="K85" s="393" t="str">
        <f t="shared" si="238"/>
        <v>Opening</v>
      </c>
      <c r="L85" s="219" t="str">
        <f t="shared" si="238"/>
        <v>Movement</v>
      </c>
      <c r="M85" s="222" t="str">
        <f t="shared" si="238"/>
        <v>Closing</v>
      </c>
      <c r="N85" s="393" t="str">
        <f t="shared" si="238"/>
        <v>Opening</v>
      </c>
      <c r="O85" s="219" t="str">
        <f t="shared" si="238"/>
        <v>Movement</v>
      </c>
      <c r="P85" s="222" t="str">
        <f t="shared" si="238"/>
        <v>Closing</v>
      </c>
      <c r="Q85" s="229" t="str">
        <f t="shared" si="238"/>
        <v>Opening</v>
      </c>
      <c r="R85" s="219" t="str">
        <f t="shared" si="238"/>
        <v>Movement</v>
      </c>
      <c r="S85" s="230" t="str">
        <f t="shared" si="238"/>
        <v>Closing</v>
      </c>
      <c r="T85" s="229" t="str">
        <f t="shared" si="238"/>
        <v>Opening</v>
      </c>
      <c r="U85" s="219" t="str">
        <f t="shared" si="238"/>
        <v>Movement</v>
      </c>
      <c r="V85" s="230" t="str">
        <f t="shared" si="238"/>
        <v>Closing</v>
      </c>
      <c r="W85" s="229" t="str">
        <f t="shared" si="238"/>
        <v>Opening</v>
      </c>
      <c r="X85" s="219" t="str">
        <f t="shared" si="238"/>
        <v>Movement</v>
      </c>
      <c r="Y85" s="230" t="str">
        <f t="shared" si="238"/>
        <v>Closing</v>
      </c>
      <c r="Z85" s="229" t="str">
        <f t="shared" si="238"/>
        <v>Opening</v>
      </c>
      <c r="AA85" s="219" t="str">
        <f t="shared" si="238"/>
        <v>Movement</v>
      </c>
      <c r="AB85" s="222" t="str">
        <f t="shared" si="238"/>
        <v>Closing</v>
      </c>
      <c r="AC85" s="393" t="str">
        <f t="shared" si="238"/>
        <v>Opening</v>
      </c>
      <c r="AD85" s="219" t="str">
        <f t="shared" si="238"/>
        <v>Movement</v>
      </c>
      <c r="AE85" s="222" t="str">
        <f t="shared" si="238"/>
        <v>Closing</v>
      </c>
      <c r="AF85" s="229" t="str">
        <f t="shared" si="238"/>
        <v>Opening</v>
      </c>
      <c r="AG85" s="219" t="str">
        <f t="shared" si="238"/>
        <v>Movement</v>
      </c>
      <c r="AH85" s="222" t="str">
        <f t="shared" si="238"/>
        <v>Closing</v>
      </c>
      <c r="AI85" s="393" t="str">
        <f t="shared" si="238"/>
        <v>Opening</v>
      </c>
      <c r="AJ85" s="219" t="str">
        <f t="shared" si="238"/>
        <v>Movement</v>
      </c>
      <c r="AK85" s="222" t="str">
        <f t="shared" si="238"/>
        <v>Closing</v>
      </c>
      <c r="AL85" s="229" t="str">
        <f t="shared" si="238"/>
        <v>Opening</v>
      </c>
      <c r="AM85" s="219" t="str">
        <f t="shared" si="238"/>
        <v>Movement</v>
      </c>
      <c r="AN85" s="230" t="str">
        <f t="shared" si="238"/>
        <v>Closing</v>
      </c>
    </row>
    <row r="86" spans="1:43" x14ac:dyDescent="0.2">
      <c r="A86" s="408"/>
      <c r="B86" s="89"/>
      <c r="C86" s="9"/>
      <c r="D86" s="76"/>
      <c r="E86" s="133"/>
      <c r="F86" s="9"/>
      <c r="G86" s="76"/>
      <c r="H86" s="133"/>
      <c r="I86" s="9"/>
      <c r="J86" s="76"/>
      <c r="K86" s="133"/>
      <c r="L86" s="9"/>
      <c r="M86" s="49"/>
      <c r="N86" s="350"/>
      <c r="O86" s="9"/>
      <c r="P86" s="49"/>
      <c r="Q86" s="46"/>
      <c r="R86" s="9"/>
      <c r="S86" s="61"/>
      <c r="T86" s="46"/>
      <c r="U86" s="9"/>
      <c r="V86" s="49"/>
      <c r="W86" s="46"/>
      <c r="X86" s="9"/>
      <c r="Y86" s="49"/>
      <c r="Z86" s="46"/>
      <c r="AA86" s="9"/>
      <c r="AB86" s="49"/>
      <c r="AC86" s="350"/>
      <c r="AD86" s="9"/>
      <c r="AE86" s="49"/>
      <c r="AF86" s="46"/>
      <c r="AG86" s="9"/>
      <c r="AH86" s="49"/>
      <c r="AI86" s="350"/>
      <c r="AJ86" s="9"/>
      <c r="AK86" s="49"/>
      <c r="AL86" s="46"/>
      <c r="AM86" s="9"/>
      <c r="AN86" s="61"/>
    </row>
    <row r="87" spans="1:43" x14ac:dyDescent="0.2">
      <c r="A87" s="295" t="s">
        <v>139</v>
      </c>
      <c r="B87" s="89"/>
      <c r="C87" s="9"/>
      <c r="D87" s="76"/>
      <c r="E87" s="133"/>
      <c r="F87" s="9"/>
      <c r="G87" s="76"/>
      <c r="H87" s="133"/>
      <c r="I87" s="9"/>
      <c r="J87" s="76"/>
      <c r="K87" s="133"/>
      <c r="L87" s="9"/>
      <c r="M87" s="49"/>
      <c r="N87" s="350"/>
      <c r="O87" s="9"/>
      <c r="P87" s="49"/>
      <c r="Q87" s="46"/>
      <c r="R87" s="9"/>
      <c r="S87" s="61"/>
      <c r="T87" s="46"/>
      <c r="U87" s="9"/>
      <c r="V87" s="49"/>
      <c r="W87" s="46"/>
      <c r="X87" s="9"/>
      <c r="Y87" s="49"/>
      <c r="Z87" s="46"/>
      <c r="AA87" s="9"/>
      <c r="AB87" s="49"/>
      <c r="AC87" s="350"/>
      <c r="AD87" s="9"/>
      <c r="AE87" s="49"/>
      <c r="AF87" s="46"/>
      <c r="AG87" s="9"/>
      <c r="AH87" s="49"/>
      <c r="AI87" s="350"/>
      <c r="AJ87" s="9"/>
      <c r="AK87" s="49"/>
      <c r="AL87" s="46"/>
      <c r="AM87" s="9"/>
      <c r="AN87" s="61"/>
    </row>
    <row r="88" spans="1:43" x14ac:dyDescent="0.2">
      <c r="A88" s="778" t="s">
        <v>563</v>
      </c>
      <c r="B88" s="89"/>
      <c r="C88" s="9"/>
      <c r="D88" s="76"/>
      <c r="E88" s="133"/>
      <c r="F88" s="9"/>
      <c r="G88" s="76"/>
      <c r="H88" s="133"/>
      <c r="I88" s="9"/>
      <c r="J88" s="76"/>
      <c r="K88" s="133"/>
      <c r="L88" s="9"/>
      <c r="M88" s="49"/>
      <c r="N88" s="350"/>
      <c r="O88" s="9"/>
      <c r="P88" s="49"/>
      <c r="Q88" s="46"/>
      <c r="R88" s="9"/>
      <c r="S88" s="61"/>
      <c r="T88" s="46"/>
      <c r="U88" s="9"/>
      <c r="V88" s="49"/>
      <c r="W88" s="46"/>
      <c r="X88" s="9"/>
      <c r="Y88" s="49"/>
      <c r="Z88" s="46"/>
      <c r="AA88" s="9"/>
      <c r="AB88" s="49"/>
      <c r="AC88" s="350"/>
      <c r="AD88" s="9"/>
      <c r="AE88" s="49"/>
      <c r="AF88" s="46"/>
      <c r="AG88" s="9"/>
      <c r="AH88" s="49"/>
      <c r="AI88" s="350"/>
      <c r="AJ88" s="9"/>
      <c r="AK88" s="49"/>
      <c r="AL88" s="46"/>
      <c r="AM88" s="9"/>
      <c r="AN88" s="61"/>
    </row>
    <row r="89" spans="1:43" x14ac:dyDescent="0.2">
      <c r="A89" s="408" t="s">
        <v>557</v>
      </c>
      <c r="B89" s="89">
        <v>15000</v>
      </c>
      <c r="C89" s="9">
        <f>'Res-Gen'!D156</f>
        <v>8000</v>
      </c>
      <c r="D89" s="76">
        <f t="shared" ref="D89" si="239">B89+C89</f>
        <v>23000</v>
      </c>
      <c r="E89" s="350">
        <f>D89</f>
        <v>23000</v>
      </c>
      <c r="F89" s="9">
        <f>'Res-Gen'!G156</f>
        <v>26600</v>
      </c>
      <c r="G89" s="76">
        <f t="shared" ref="G89" si="240">E89+F89</f>
        <v>49600</v>
      </c>
      <c r="H89" s="350">
        <f>G89</f>
        <v>49600</v>
      </c>
      <c r="I89" s="9">
        <f>'Res-Gen'!J156</f>
        <v>0</v>
      </c>
      <c r="J89" s="76">
        <f t="shared" ref="J89" si="241">H89+I89</f>
        <v>49600</v>
      </c>
      <c r="K89" s="133">
        <f>J89</f>
        <v>49600</v>
      </c>
      <c r="L89" s="9">
        <f>'Res-Gen'!M156</f>
        <v>0</v>
      </c>
      <c r="M89" s="49">
        <f t="shared" ref="M89" si="242">K89+L89</f>
        <v>49600</v>
      </c>
      <c r="N89" s="350">
        <f>M89</f>
        <v>49600</v>
      </c>
      <c r="O89" s="9">
        <f>'Res-Gen'!P156</f>
        <v>0</v>
      </c>
      <c r="P89" s="49">
        <f t="shared" ref="P89" si="243">N89+O89</f>
        <v>49600</v>
      </c>
      <c r="Q89" s="46">
        <f>P89</f>
        <v>49600</v>
      </c>
      <c r="R89" s="9"/>
      <c r="S89" s="61">
        <f t="shared" ref="S89" si="244">Q89+R89</f>
        <v>49600</v>
      </c>
      <c r="T89" s="46">
        <f>S89</f>
        <v>49600</v>
      </c>
      <c r="U89" s="9"/>
      <c r="V89" s="49">
        <f t="shared" ref="V89" si="245">T89+U89</f>
        <v>49600</v>
      </c>
      <c r="W89" s="46">
        <f>V89</f>
        <v>49600</v>
      </c>
      <c r="X89" s="9"/>
      <c r="Y89" s="49">
        <f t="shared" ref="Y89" si="246">W89+X89</f>
        <v>49600</v>
      </c>
      <c r="Z89" s="46">
        <f>Y89</f>
        <v>49600</v>
      </c>
      <c r="AA89" s="9"/>
      <c r="AB89" s="49">
        <f t="shared" ref="AB89" si="247">Z89+AA89</f>
        <v>49600</v>
      </c>
      <c r="AC89" s="350">
        <f>AB89</f>
        <v>49600</v>
      </c>
      <c r="AD89" s="9"/>
      <c r="AE89" s="49">
        <f t="shared" ref="AE89" si="248">AC89+AD89</f>
        <v>49600</v>
      </c>
      <c r="AF89" s="46">
        <f>AE89</f>
        <v>49600</v>
      </c>
      <c r="AG89" s="9"/>
      <c r="AH89" s="49">
        <f>AF89+AG89</f>
        <v>49600</v>
      </c>
      <c r="AI89" s="350">
        <f>AH89</f>
        <v>49600</v>
      </c>
      <c r="AJ89" s="9"/>
      <c r="AK89" s="49">
        <f>AI89+AJ89</f>
        <v>49600</v>
      </c>
      <c r="AL89" s="46">
        <f>AK89</f>
        <v>49600</v>
      </c>
      <c r="AM89" s="9"/>
      <c r="AN89" s="61">
        <f>AL89+AM89</f>
        <v>49600</v>
      </c>
    </row>
    <row r="90" spans="1:43" s="236" customFormat="1" x14ac:dyDescent="0.2">
      <c r="A90" s="633" t="s">
        <v>4825</v>
      </c>
      <c r="B90" s="89">
        <v>0</v>
      </c>
      <c r="C90" s="9">
        <f>'Res-Gen'!D157</f>
        <v>0</v>
      </c>
      <c r="D90" s="76">
        <f t="shared" ref="D90" si="249">B90+C90</f>
        <v>0</v>
      </c>
      <c r="E90" s="350">
        <f t="shared" ref="E90" si="250">D90</f>
        <v>0</v>
      </c>
      <c r="F90" s="9">
        <f>'Res-Gen'!G157</f>
        <v>10000</v>
      </c>
      <c r="G90" s="76">
        <f t="shared" ref="G90" si="251">E90+F90</f>
        <v>10000</v>
      </c>
      <c r="H90" s="350">
        <f t="shared" ref="H90" si="252">G90</f>
        <v>10000</v>
      </c>
      <c r="I90" s="9">
        <f>'Res-Gen'!J157</f>
        <v>10000</v>
      </c>
      <c r="J90" s="76">
        <f t="shared" ref="J90" si="253">H90+I90</f>
        <v>20000</v>
      </c>
      <c r="K90" s="133">
        <f t="shared" ref="K90" si="254">J90</f>
        <v>20000</v>
      </c>
      <c r="L90" s="9">
        <f>'Res-Gen'!M157</f>
        <v>10000</v>
      </c>
      <c r="M90" s="49">
        <f t="shared" ref="M90" si="255">K90+L90</f>
        <v>30000</v>
      </c>
      <c r="N90" s="350">
        <f t="shared" ref="N90" si="256">M90</f>
        <v>30000</v>
      </c>
      <c r="O90" s="9">
        <f>'Res-Gen'!P157</f>
        <v>10000</v>
      </c>
      <c r="P90" s="49">
        <f t="shared" ref="P90" si="257">N90+O90</f>
        <v>40000</v>
      </c>
      <c r="Q90" s="46">
        <f t="shared" ref="Q90" si="258">P90</f>
        <v>40000</v>
      </c>
      <c r="R90" s="9">
        <f>'Res-Gen'!S157</f>
        <v>10000</v>
      </c>
      <c r="S90" s="61">
        <f t="shared" ref="S90" si="259">Q90+R90</f>
        <v>50000</v>
      </c>
      <c r="T90" s="46">
        <f t="shared" ref="T90" si="260">S90</f>
        <v>50000</v>
      </c>
      <c r="U90" s="9">
        <f>'Res-Gen'!V157</f>
        <v>-50000</v>
      </c>
      <c r="V90" s="49">
        <f t="shared" ref="V90" si="261">T90+U90</f>
        <v>0</v>
      </c>
      <c r="W90" s="46">
        <f t="shared" ref="W90" si="262">V90</f>
        <v>0</v>
      </c>
      <c r="X90" s="9">
        <f>'Res-Gen'!Y157</f>
        <v>10000</v>
      </c>
      <c r="Y90" s="49">
        <f t="shared" ref="Y90" si="263">W90+X90</f>
        <v>10000</v>
      </c>
      <c r="Z90" s="46">
        <f t="shared" ref="Z90" si="264">Y90</f>
        <v>10000</v>
      </c>
      <c r="AA90" s="9">
        <f>'Res-Gen'!AB157</f>
        <v>10000</v>
      </c>
      <c r="AB90" s="49">
        <f t="shared" ref="AB90" si="265">Z90+AA90</f>
        <v>20000</v>
      </c>
      <c r="AC90" s="350">
        <f t="shared" ref="AC90" si="266">AB90</f>
        <v>20000</v>
      </c>
      <c r="AD90" s="9">
        <f>'Res-Gen'!AE157</f>
        <v>10000</v>
      </c>
      <c r="AE90" s="49">
        <f t="shared" ref="AE90" si="267">AC90+AD90</f>
        <v>30000</v>
      </c>
      <c r="AF90" s="46">
        <f t="shared" ref="AF90" si="268">AE90</f>
        <v>30000</v>
      </c>
      <c r="AG90" s="9">
        <f>'Res-Gen'!AH157</f>
        <v>10000</v>
      </c>
      <c r="AH90" s="49">
        <f t="shared" ref="AH90" si="269">AF90+AG90</f>
        <v>40000</v>
      </c>
      <c r="AI90" s="350">
        <f t="shared" ref="AI90" si="270">AH90</f>
        <v>40000</v>
      </c>
      <c r="AJ90" s="9">
        <f>'Res-Gen'!AK157</f>
        <v>10000</v>
      </c>
      <c r="AK90" s="49">
        <f t="shared" ref="AK90" si="271">AI90+AJ90</f>
        <v>50000</v>
      </c>
      <c r="AL90" s="46">
        <f t="shared" ref="AL90" si="272">AK90</f>
        <v>50000</v>
      </c>
      <c r="AM90" s="9">
        <f>'Res-Gen'!AN157</f>
        <v>10000</v>
      </c>
      <c r="AN90" s="61">
        <f t="shared" ref="AN90" si="273">AL90+AM90</f>
        <v>60000</v>
      </c>
    </row>
    <row r="91" spans="1:43" x14ac:dyDescent="0.2">
      <c r="A91" s="633"/>
      <c r="B91" s="89"/>
      <c r="C91" s="9"/>
      <c r="D91" s="76"/>
      <c r="E91" s="350"/>
      <c r="F91" s="9"/>
      <c r="G91" s="76"/>
      <c r="H91" s="350"/>
      <c r="I91" s="9"/>
      <c r="J91" s="76"/>
      <c r="K91" s="133"/>
      <c r="L91" s="9"/>
      <c r="M91" s="49"/>
      <c r="N91" s="350"/>
      <c r="O91" s="9"/>
      <c r="P91" s="49"/>
      <c r="Q91" s="46"/>
      <c r="R91" s="9"/>
      <c r="S91" s="61"/>
      <c r="T91" s="46"/>
      <c r="U91" s="9"/>
      <c r="V91" s="49"/>
      <c r="W91" s="46"/>
      <c r="X91" s="9"/>
      <c r="Y91" s="49"/>
      <c r="Z91" s="46"/>
      <c r="AA91" s="9"/>
      <c r="AB91" s="49"/>
      <c r="AC91" s="350"/>
      <c r="AD91" s="9"/>
      <c r="AE91" s="49"/>
      <c r="AF91" s="46"/>
      <c r="AG91" s="9"/>
      <c r="AH91" s="49"/>
      <c r="AI91" s="350"/>
      <c r="AJ91" s="9"/>
      <c r="AK91" s="49"/>
      <c r="AL91" s="46"/>
      <c r="AM91" s="9"/>
      <c r="AN91" s="61"/>
    </row>
    <row r="92" spans="1:43" x14ac:dyDescent="0.2">
      <c r="A92" s="778" t="s">
        <v>4122</v>
      </c>
      <c r="B92" s="89"/>
      <c r="C92" s="9"/>
      <c r="D92" s="76"/>
      <c r="E92" s="350"/>
      <c r="F92" s="9"/>
      <c r="G92" s="76"/>
      <c r="H92" s="350"/>
      <c r="I92" s="9"/>
      <c r="J92" s="76"/>
      <c r="K92" s="133"/>
      <c r="L92" s="9"/>
      <c r="M92" s="49"/>
      <c r="N92" s="350"/>
      <c r="O92" s="9"/>
      <c r="P92" s="49"/>
      <c r="Q92" s="46"/>
      <c r="R92" s="9"/>
      <c r="S92" s="61"/>
      <c r="T92" s="46"/>
      <c r="U92" s="9"/>
      <c r="V92" s="49"/>
      <c r="W92" s="46"/>
      <c r="X92" s="9"/>
      <c r="Y92" s="49"/>
      <c r="Z92" s="46"/>
      <c r="AA92" s="9"/>
      <c r="AB92" s="49"/>
      <c r="AC92" s="350"/>
      <c r="AD92" s="9"/>
      <c r="AE92" s="49"/>
      <c r="AF92" s="46"/>
      <c r="AG92" s="9"/>
      <c r="AH92" s="49"/>
      <c r="AI92" s="350"/>
      <c r="AJ92" s="9"/>
      <c r="AK92" s="49"/>
      <c r="AL92" s="46"/>
      <c r="AM92" s="9"/>
      <c r="AN92" s="61"/>
    </row>
    <row r="93" spans="1:43" s="236" customFormat="1" x14ac:dyDescent="0.2">
      <c r="A93" s="633" t="s">
        <v>4127</v>
      </c>
      <c r="B93" s="89">
        <v>200500</v>
      </c>
      <c r="C93" s="9">
        <f>SUM('Res-Gen'!D160:D162)</f>
        <v>326700</v>
      </c>
      <c r="D93" s="76">
        <f t="shared" ref="D93" si="274">B93+C93</f>
        <v>527200</v>
      </c>
      <c r="E93" s="350">
        <f t="shared" ref="E93" si="275">D93</f>
        <v>527200</v>
      </c>
      <c r="F93" s="9">
        <f>SUM('Res-Gen'!G160:G162)</f>
        <v>-213400</v>
      </c>
      <c r="G93" s="76">
        <f t="shared" ref="G93" si="276">E93+F93</f>
        <v>313800</v>
      </c>
      <c r="H93" s="350">
        <f t="shared" ref="H93" si="277">G93</f>
        <v>313800</v>
      </c>
      <c r="I93" s="9">
        <f>+'Res-Gen'!J160+'Res-Gen'!J162</f>
        <v>-56800</v>
      </c>
      <c r="J93" s="76">
        <f t="shared" ref="J93" si="278">H93+I93</f>
        <v>257000</v>
      </c>
      <c r="K93" s="133">
        <f t="shared" ref="K93" si="279">J93</f>
        <v>257000</v>
      </c>
      <c r="L93" s="9"/>
      <c r="M93" s="49">
        <f t="shared" ref="M93" si="280">K93+L93</f>
        <v>257000</v>
      </c>
      <c r="N93" s="350">
        <f t="shared" ref="N93" si="281">M93</f>
        <v>257000</v>
      </c>
      <c r="O93" s="9"/>
      <c r="P93" s="49">
        <f t="shared" ref="P93" si="282">N93+O93</f>
        <v>257000</v>
      </c>
      <c r="Q93" s="46">
        <f t="shared" ref="Q93" si="283">P93</f>
        <v>257000</v>
      </c>
      <c r="R93" s="9"/>
      <c r="S93" s="61">
        <f t="shared" ref="S93" si="284">Q93+R93</f>
        <v>257000</v>
      </c>
      <c r="T93" s="46">
        <f t="shared" ref="T93" si="285">S93</f>
        <v>257000</v>
      </c>
      <c r="U93" s="9"/>
      <c r="V93" s="49">
        <f t="shared" ref="V93" si="286">T93+U93</f>
        <v>257000</v>
      </c>
      <c r="W93" s="46">
        <f t="shared" ref="W93" si="287">V93</f>
        <v>257000</v>
      </c>
      <c r="X93" s="9"/>
      <c r="Y93" s="49">
        <f t="shared" ref="Y93" si="288">W93+X93</f>
        <v>257000</v>
      </c>
      <c r="Z93" s="46">
        <f t="shared" ref="Z93" si="289">Y93</f>
        <v>257000</v>
      </c>
      <c r="AA93" s="9"/>
      <c r="AB93" s="49">
        <f t="shared" ref="AB93" si="290">Z93+AA93</f>
        <v>257000</v>
      </c>
      <c r="AC93" s="350">
        <f t="shared" ref="AC93" si="291">AB93</f>
        <v>257000</v>
      </c>
      <c r="AD93" s="9"/>
      <c r="AE93" s="49">
        <f t="shared" ref="AE93" si="292">AC93+AD93</f>
        <v>257000</v>
      </c>
      <c r="AF93" s="46">
        <f t="shared" ref="AF93" si="293">AE93</f>
        <v>257000</v>
      </c>
      <c r="AG93" s="9"/>
      <c r="AH93" s="49">
        <f t="shared" ref="AH93" si="294">AF93+AG93</f>
        <v>257000</v>
      </c>
      <c r="AI93" s="350">
        <f t="shared" ref="AI93" si="295">AH93</f>
        <v>257000</v>
      </c>
      <c r="AJ93" s="9"/>
      <c r="AK93" s="49">
        <f t="shared" ref="AK93" si="296">AI93+AJ93</f>
        <v>257000</v>
      </c>
      <c r="AL93" s="46">
        <f t="shared" ref="AL93" si="297">AK93</f>
        <v>257000</v>
      </c>
      <c r="AM93" s="9"/>
      <c r="AN93" s="61">
        <f t="shared" ref="AN93" si="298">AL93+AM93</f>
        <v>257000</v>
      </c>
    </row>
    <row r="94" spans="1:43" x14ac:dyDescent="0.2">
      <c r="A94" s="633"/>
      <c r="B94" s="89"/>
      <c r="C94" s="9"/>
      <c r="D94" s="76"/>
      <c r="E94" s="133"/>
      <c r="F94" s="9"/>
      <c r="G94" s="76"/>
      <c r="H94" s="133"/>
      <c r="I94" s="9"/>
      <c r="J94" s="76"/>
      <c r="K94" s="133"/>
      <c r="L94" s="9"/>
      <c r="M94" s="49"/>
      <c r="N94" s="350"/>
      <c r="O94" s="9"/>
      <c r="P94" s="49"/>
      <c r="Q94" s="46"/>
      <c r="R94" s="9"/>
      <c r="S94" s="61"/>
      <c r="T94" s="46"/>
      <c r="U94" s="9"/>
      <c r="V94" s="49"/>
      <c r="W94" s="46"/>
      <c r="X94" s="9"/>
      <c r="Y94" s="49"/>
      <c r="Z94" s="46"/>
      <c r="AA94" s="9"/>
      <c r="AB94" s="49"/>
      <c r="AC94" s="350"/>
      <c r="AD94" s="9"/>
      <c r="AE94" s="49"/>
      <c r="AF94" s="46"/>
      <c r="AG94" s="9"/>
      <c r="AH94" s="49"/>
      <c r="AI94" s="350"/>
      <c r="AJ94" s="9"/>
      <c r="AK94" s="49"/>
      <c r="AL94" s="46"/>
      <c r="AM94" s="9"/>
      <c r="AN94" s="61"/>
    </row>
    <row r="95" spans="1:43" x14ac:dyDescent="0.2">
      <c r="A95" s="778" t="s">
        <v>3812</v>
      </c>
      <c r="B95" s="89"/>
      <c r="C95" s="9"/>
      <c r="D95" s="76"/>
      <c r="E95" s="133"/>
      <c r="F95" s="9"/>
      <c r="G95" s="76"/>
      <c r="H95" s="133"/>
      <c r="I95" s="9"/>
      <c r="J95" s="76"/>
      <c r="K95" s="133"/>
      <c r="L95" s="9"/>
      <c r="M95" s="49"/>
      <c r="N95" s="350"/>
      <c r="O95" s="9"/>
      <c r="P95" s="49"/>
      <c r="Q95" s="46"/>
      <c r="R95" s="9"/>
      <c r="S95" s="61"/>
      <c r="T95" s="46"/>
      <c r="U95" s="9"/>
      <c r="V95" s="49"/>
      <c r="W95" s="46"/>
      <c r="X95" s="9"/>
      <c r="Y95" s="49"/>
      <c r="Z95" s="46"/>
      <c r="AA95" s="9"/>
      <c r="AB95" s="49"/>
      <c r="AC95" s="350"/>
      <c r="AD95" s="9"/>
      <c r="AE95" s="49"/>
      <c r="AF95" s="46"/>
      <c r="AG95" s="9"/>
      <c r="AH95" s="49"/>
      <c r="AI95" s="350"/>
      <c r="AJ95" s="9"/>
      <c r="AK95" s="49"/>
      <c r="AL95" s="46"/>
      <c r="AM95" s="9"/>
      <c r="AN95" s="61"/>
    </row>
    <row r="96" spans="1:43" x14ac:dyDescent="0.2">
      <c r="A96" s="633" t="s">
        <v>5497</v>
      </c>
      <c r="B96" s="89">
        <v>1448600</v>
      </c>
      <c r="C96" s="97">
        <f>'Res-Gen'!D167+'Res-Gen'!D187+'Res-Gen'!D188</f>
        <v>-582700</v>
      </c>
      <c r="D96" s="76">
        <f>B96+C96</f>
        <v>865900</v>
      </c>
      <c r="E96" s="350">
        <f>D96</f>
        <v>865900</v>
      </c>
      <c r="F96" s="9">
        <f>'Res-Gen'!G167+'Res-Gen'!G188</f>
        <v>687700</v>
      </c>
      <c r="G96" s="76">
        <f>E96+F96</f>
        <v>1553600</v>
      </c>
      <c r="H96" s="350">
        <f>G96</f>
        <v>1553600</v>
      </c>
      <c r="I96" s="9">
        <f>+'Res-Gen'!J188+'Res-Gen'!J167</f>
        <v>66400</v>
      </c>
      <c r="J96" s="76">
        <f>H96+I96</f>
        <v>1620000</v>
      </c>
      <c r="K96" s="133">
        <f>J96</f>
        <v>1620000</v>
      </c>
      <c r="L96" s="9">
        <f>'Res-Gen'!M188</f>
        <v>-1620000</v>
      </c>
      <c r="M96" s="49">
        <f>K96+L96</f>
        <v>0</v>
      </c>
      <c r="N96" s="350">
        <f>M96</f>
        <v>0</v>
      </c>
      <c r="O96" s="9"/>
      <c r="P96" s="49">
        <f>N96+O96</f>
        <v>0</v>
      </c>
      <c r="Q96" s="46">
        <f>P96</f>
        <v>0</v>
      </c>
      <c r="R96" s="9"/>
      <c r="S96" s="61">
        <f>Q96+R96</f>
        <v>0</v>
      </c>
      <c r="T96" s="46">
        <f>S96</f>
        <v>0</v>
      </c>
      <c r="U96" s="9"/>
      <c r="V96" s="49">
        <f>T96+U96</f>
        <v>0</v>
      </c>
      <c r="W96" s="46">
        <f>V96</f>
        <v>0</v>
      </c>
      <c r="X96" s="9"/>
      <c r="Y96" s="49">
        <f>W96+X96</f>
        <v>0</v>
      </c>
      <c r="Z96" s="46">
        <f>Y96</f>
        <v>0</v>
      </c>
      <c r="AA96" s="9"/>
      <c r="AB96" s="49">
        <f t="shared" ref="AB96" si="299">Z96+AA96</f>
        <v>0</v>
      </c>
      <c r="AC96" s="350">
        <f>AB96</f>
        <v>0</v>
      </c>
      <c r="AD96" s="9"/>
      <c r="AE96" s="49">
        <f t="shared" ref="AE96:AE97" si="300">AC96+AD96</f>
        <v>0</v>
      </c>
      <c r="AF96" s="46">
        <f>AE96</f>
        <v>0</v>
      </c>
      <c r="AG96" s="9"/>
      <c r="AH96" s="49">
        <f t="shared" ref="AH96:AH97" si="301">AF96+AG96</f>
        <v>0</v>
      </c>
      <c r="AI96" s="350">
        <f>AH96</f>
        <v>0</v>
      </c>
      <c r="AJ96" s="9"/>
      <c r="AK96" s="49">
        <f t="shared" ref="AK96:AK97" si="302">AI96+AJ96</f>
        <v>0</v>
      </c>
      <c r="AL96" s="46">
        <f>AK96</f>
        <v>0</v>
      </c>
      <c r="AM96" s="9"/>
      <c r="AN96" s="61">
        <f t="shared" ref="AN96:AN97" si="303">AL96+AM96</f>
        <v>0</v>
      </c>
      <c r="AO96" s="265"/>
      <c r="AP96" s="265"/>
      <c r="AQ96" s="265"/>
    </row>
    <row r="97" spans="1:43" x14ac:dyDescent="0.2">
      <c r="A97" s="633" t="s">
        <v>2261</v>
      </c>
      <c r="B97" s="89">
        <v>744800</v>
      </c>
      <c r="C97" s="97">
        <f>'Res-Gen'!D169</f>
        <v>60500</v>
      </c>
      <c r="D97" s="76">
        <f>B97+C97</f>
        <v>805300</v>
      </c>
      <c r="E97" s="350">
        <f>D97</f>
        <v>805300</v>
      </c>
      <c r="F97" s="9">
        <f>'Res-Gen'!G169</f>
        <v>-2000</v>
      </c>
      <c r="G97" s="76">
        <f>E97+F97</f>
        <v>803300</v>
      </c>
      <c r="H97" s="350">
        <f>G97</f>
        <v>803300</v>
      </c>
      <c r="I97" s="9">
        <f>+'Res-Gen'!J169</f>
        <v>-683500</v>
      </c>
      <c r="J97" s="76">
        <f>H97+I97</f>
        <v>119800</v>
      </c>
      <c r="K97" s="133">
        <f>J97</f>
        <v>119800</v>
      </c>
      <c r="L97" s="9"/>
      <c r="M97" s="49">
        <f>K97+L97</f>
        <v>119800</v>
      </c>
      <c r="N97" s="350">
        <f>M97</f>
        <v>119800</v>
      </c>
      <c r="O97" s="9"/>
      <c r="P97" s="49">
        <f>N97+O97</f>
        <v>119800</v>
      </c>
      <c r="Q97" s="46">
        <f>P97</f>
        <v>119800</v>
      </c>
      <c r="R97" s="9"/>
      <c r="S97" s="61">
        <f>Q97+R97</f>
        <v>119800</v>
      </c>
      <c r="T97" s="46">
        <f>S97</f>
        <v>119800</v>
      </c>
      <c r="U97" s="9"/>
      <c r="V97" s="49">
        <f>T97+U97</f>
        <v>119800</v>
      </c>
      <c r="W97" s="46">
        <f>V97</f>
        <v>119800</v>
      </c>
      <c r="X97" s="9"/>
      <c r="Y97" s="49">
        <f>W97+X97</f>
        <v>119800</v>
      </c>
      <c r="Z97" s="46">
        <f>Y97</f>
        <v>119800</v>
      </c>
      <c r="AA97" s="9"/>
      <c r="AB97" s="49">
        <f t="shared" ref="AB97" si="304">Z97+AA97</f>
        <v>119800</v>
      </c>
      <c r="AC97" s="350">
        <f>AB97</f>
        <v>119800</v>
      </c>
      <c r="AD97" s="9"/>
      <c r="AE97" s="49">
        <f t="shared" si="300"/>
        <v>119800</v>
      </c>
      <c r="AF97" s="46">
        <f>AE97</f>
        <v>119800</v>
      </c>
      <c r="AG97" s="9"/>
      <c r="AH97" s="49">
        <f t="shared" si="301"/>
        <v>119800</v>
      </c>
      <c r="AI97" s="350">
        <f>AH97</f>
        <v>119800</v>
      </c>
      <c r="AJ97" s="9"/>
      <c r="AK97" s="49">
        <f t="shared" si="302"/>
        <v>119800</v>
      </c>
      <c r="AL97" s="46">
        <f>AK97</f>
        <v>119800</v>
      </c>
      <c r="AM97" s="9"/>
      <c r="AN97" s="61">
        <f t="shared" si="303"/>
        <v>119800</v>
      </c>
      <c r="AO97" s="265"/>
      <c r="AP97" s="265"/>
      <c r="AQ97" s="265"/>
    </row>
    <row r="98" spans="1:43" x14ac:dyDescent="0.2">
      <c r="A98" s="633" t="s">
        <v>3567</v>
      </c>
      <c r="B98" s="89">
        <v>435800</v>
      </c>
      <c r="C98" s="97">
        <f>'Res-Gen'!D168</f>
        <v>-396500</v>
      </c>
      <c r="D98" s="76">
        <f>B98+C98</f>
        <v>39300</v>
      </c>
      <c r="E98" s="350">
        <f>D98</f>
        <v>39300</v>
      </c>
      <c r="F98" s="9"/>
      <c r="G98" s="76">
        <f>E98+F98</f>
        <v>39300</v>
      </c>
      <c r="H98" s="350">
        <f>G98</f>
        <v>39300</v>
      </c>
      <c r="I98" s="9"/>
      <c r="J98" s="76">
        <f>H98+I98</f>
        <v>39300</v>
      </c>
      <c r="K98" s="133">
        <f>J98</f>
        <v>39300</v>
      </c>
      <c r="L98" s="9"/>
      <c r="M98" s="49">
        <f>K98+L98</f>
        <v>39300</v>
      </c>
      <c r="N98" s="350">
        <f>M98</f>
        <v>39300</v>
      </c>
      <c r="O98" s="9"/>
      <c r="P98" s="49">
        <f>N98+O98</f>
        <v>39300</v>
      </c>
      <c r="Q98" s="46">
        <f>P98</f>
        <v>39300</v>
      </c>
      <c r="R98" s="9"/>
      <c r="S98" s="61">
        <f>Q98+R98</f>
        <v>39300</v>
      </c>
      <c r="T98" s="46">
        <f>S98</f>
        <v>39300</v>
      </c>
      <c r="U98" s="9"/>
      <c r="V98" s="49">
        <f>T98+U98</f>
        <v>39300</v>
      </c>
      <c r="W98" s="46">
        <f>V98</f>
        <v>39300</v>
      </c>
      <c r="X98" s="9"/>
      <c r="Y98" s="49">
        <f>W98+X98</f>
        <v>39300</v>
      </c>
      <c r="Z98" s="46">
        <f>Y98</f>
        <v>39300</v>
      </c>
      <c r="AA98" s="9"/>
      <c r="AB98" s="49">
        <f>Z98+AA98</f>
        <v>39300</v>
      </c>
      <c r="AC98" s="350">
        <f>AB98</f>
        <v>39300</v>
      </c>
      <c r="AD98" s="9"/>
      <c r="AE98" s="49">
        <f>AC98+AD98</f>
        <v>39300</v>
      </c>
      <c r="AF98" s="46">
        <f>AE98</f>
        <v>39300</v>
      </c>
      <c r="AG98" s="9"/>
      <c r="AH98" s="49">
        <f>AF98+AG98</f>
        <v>39300</v>
      </c>
      <c r="AI98" s="350">
        <f>AH98</f>
        <v>39300</v>
      </c>
      <c r="AJ98" s="9"/>
      <c r="AK98" s="49">
        <f>AI98+AJ98</f>
        <v>39300</v>
      </c>
      <c r="AL98" s="46">
        <f>AK98</f>
        <v>39300</v>
      </c>
      <c r="AM98" s="9"/>
      <c r="AN98" s="61">
        <f>AL98+AM98</f>
        <v>39300</v>
      </c>
      <c r="AO98" s="265"/>
      <c r="AP98" s="265"/>
      <c r="AQ98" s="265"/>
    </row>
    <row r="99" spans="1:43" x14ac:dyDescent="0.2">
      <c r="A99" s="633" t="s">
        <v>6621</v>
      </c>
      <c r="B99" s="89">
        <v>20600</v>
      </c>
      <c r="C99" s="9">
        <f>'Res-Gen'!D165+'Res-Gen'!D166</f>
        <v>100400</v>
      </c>
      <c r="D99" s="76">
        <f t="shared" ref="D99" si="305">B99+C99</f>
        <v>121000</v>
      </c>
      <c r="E99" s="350">
        <f t="shared" ref="E99" si="306">D99</f>
        <v>121000</v>
      </c>
      <c r="F99" s="9">
        <f>'Res-Gen'!G166+'Res-Gen'!G36+'Res-Gen'!G165</f>
        <v>207600</v>
      </c>
      <c r="G99" s="76">
        <f t="shared" ref="G99" si="307">E99+F99</f>
        <v>328600</v>
      </c>
      <c r="H99" s="350">
        <f t="shared" ref="H99" si="308">G99</f>
        <v>328600</v>
      </c>
      <c r="I99" s="9">
        <f>+'Res-Gen'!J166+'Res-Gen'!J165</f>
        <v>-278600</v>
      </c>
      <c r="J99" s="76">
        <f t="shared" ref="J99" si="309">H99+I99</f>
        <v>50000</v>
      </c>
      <c r="K99" s="133">
        <f t="shared" ref="K99" si="310">J99</f>
        <v>50000</v>
      </c>
      <c r="L99" s="9"/>
      <c r="M99" s="49">
        <f t="shared" ref="M99" si="311">K99+L99</f>
        <v>50000</v>
      </c>
      <c r="N99" s="350">
        <f t="shared" ref="N99" si="312">M99</f>
        <v>50000</v>
      </c>
      <c r="O99" s="9"/>
      <c r="P99" s="49">
        <f t="shared" ref="P99" si="313">N99+O99</f>
        <v>50000</v>
      </c>
      <c r="Q99" s="46">
        <f t="shared" ref="Q99" si="314">P99</f>
        <v>50000</v>
      </c>
      <c r="R99" s="9"/>
      <c r="S99" s="61">
        <f t="shared" ref="S99" si="315">Q99+R99</f>
        <v>50000</v>
      </c>
      <c r="T99" s="46">
        <f t="shared" ref="T99" si="316">S99</f>
        <v>50000</v>
      </c>
      <c r="U99" s="9"/>
      <c r="V99" s="49">
        <f t="shared" ref="V99" si="317">T99+U99</f>
        <v>50000</v>
      </c>
      <c r="W99" s="46">
        <f t="shared" ref="W99" si="318">V99</f>
        <v>50000</v>
      </c>
      <c r="X99" s="9"/>
      <c r="Y99" s="49">
        <f t="shared" ref="Y99" si="319">W99+X99</f>
        <v>50000</v>
      </c>
      <c r="Z99" s="46">
        <f t="shared" ref="Z99" si="320">Y99</f>
        <v>50000</v>
      </c>
      <c r="AA99" s="9"/>
      <c r="AB99" s="49">
        <f t="shared" ref="AB99" si="321">Z99+AA99</f>
        <v>50000</v>
      </c>
      <c r="AC99" s="350">
        <f t="shared" ref="AC99" si="322">AB99</f>
        <v>50000</v>
      </c>
      <c r="AD99" s="9"/>
      <c r="AE99" s="49">
        <f t="shared" ref="AE99" si="323">AC99+AD99</f>
        <v>50000</v>
      </c>
      <c r="AF99" s="46">
        <f t="shared" ref="AF99" si="324">AE99</f>
        <v>50000</v>
      </c>
      <c r="AG99" s="9"/>
      <c r="AH99" s="49">
        <f t="shared" ref="AH99" si="325">AF99+AG99</f>
        <v>50000</v>
      </c>
      <c r="AI99" s="350">
        <f t="shared" ref="AI99" si="326">AH99</f>
        <v>50000</v>
      </c>
      <c r="AJ99" s="9"/>
      <c r="AK99" s="49">
        <f t="shared" ref="AK99" si="327">AI99+AJ99</f>
        <v>50000</v>
      </c>
      <c r="AL99" s="46">
        <f t="shared" ref="AL99" si="328">AK99</f>
        <v>50000</v>
      </c>
      <c r="AM99" s="9"/>
      <c r="AN99" s="61">
        <f t="shared" ref="AN99" si="329">AL99+AM99</f>
        <v>50000</v>
      </c>
    </row>
    <row r="100" spans="1:43" x14ac:dyDescent="0.2">
      <c r="A100" s="408"/>
      <c r="B100" s="89"/>
      <c r="C100" s="9"/>
      <c r="D100" s="76"/>
      <c r="E100" s="133"/>
      <c r="F100" s="9"/>
      <c r="G100" s="76"/>
      <c r="H100" s="133"/>
      <c r="I100" s="9"/>
      <c r="J100" s="76"/>
      <c r="K100" s="133"/>
      <c r="L100" s="9"/>
      <c r="M100" s="49"/>
      <c r="N100" s="350"/>
      <c r="O100" s="9"/>
      <c r="P100" s="49"/>
      <c r="Q100" s="46"/>
      <c r="R100" s="9"/>
      <c r="S100" s="61"/>
      <c r="T100" s="46"/>
      <c r="U100" s="9"/>
      <c r="V100" s="49"/>
      <c r="W100" s="46"/>
      <c r="X100" s="9"/>
      <c r="Y100" s="49"/>
      <c r="Z100" s="46"/>
      <c r="AA100" s="9"/>
      <c r="AB100" s="49"/>
      <c r="AC100" s="350"/>
      <c r="AD100" s="9"/>
      <c r="AE100" s="49"/>
      <c r="AF100" s="46"/>
      <c r="AG100" s="9"/>
      <c r="AH100" s="49"/>
      <c r="AI100" s="350"/>
      <c r="AJ100" s="9"/>
      <c r="AK100" s="49"/>
      <c r="AL100" s="46"/>
      <c r="AM100" s="9"/>
      <c r="AN100" s="61"/>
    </row>
    <row r="101" spans="1:43" x14ac:dyDescent="0.2">
      <c r="A101" s="407" t="s">
        <v>1241</v>
      </c>
      <c r="B101" s="89"/>
      <c r="C101" s="9"/>
      <c r="D101" s="76"/>
      <c r="E101" s="133"/>
      <c r="F101" s="9"/>
      <c r="G101" s="76"/>
      <c r="H101" s="133"/>
      <c r="I101" s="9"/>
      <c r="J101" s="76"/>
      <c r="K101" s="133"/>
      <c r="L101" s="9"/>
      <c r="M101" s="49"/>
      <c r="N101" s="350"/>
      <c r="O101" s="9"/>
      <c r="P101" s="49"/>
      <c r="Q101" s="46"/>
      <c r="R101" s="9"/>
      <c r="S101" s="61"/>
      <c r="T101" s="46"/>
      <c r="U101" s="9"/>
      <c r="V101" s="49"/>
      <c r="W101" s="46"/>
      <c r="X101" s="9"/>
      <c r="Y101" s="49"/>
      <c r="Z101" s="46"/>
      <c r="AA101" s="9"/>
      <c r="AB101" s="49"/>
      <c r="AC101" s="350"/>
      <c r="AD101" s="9"/>
      <c r="AE101" s="49"/>
      <c r="AF101" s="46"/>
      <c r="AG101" s="9"/>
      <c r="AH101" s="49"/>
      <c r="AI101" s="350"/>
      <c r="AJ101" s="9"/>
      <c r="AK101" s="49"/>
      <c r="AL101" s="46"/>
      <c r="AM101" s="9"/>
      <c r="AN101" s="61"/>
    </row>
    <row r="102" spans="1:43" x14ac:dyDescent="0.2">
      <c r="A102" s="633" t="s">
        <v>402</v>
      </c>
      <c r="B102" s="89">
        <v>286400</v>
      </c>
      <c r="C102" s="9">
        <f>SUM('Res-Gen'!D173:'Res-Gen'!D175)</f>
        <v>-67800</v>
      </c>
      <c r="D102" s="76">
        <f>B102+C102</f>
        <v>218600</v>
      </c>
      <c r="E102" s="350">
        <f>D102</f>
        <v>218600</v>
      </c>
      <c r="F102" s="9">
        <f>SUM('Res-Gen'!G173:'Res-Gen'!G175)</f>
        <v>8200</v>
      </c>
      <c r="G102" s="76">
        <f>E102+F102</f>
        <v>226800</v>
      </c>
      <c r="H102" s="350">
        <f>G102</f>
        <v>226800</v>
      </c>
      <c r="I102" s="9">
        <f>SUM('Res-Gen'!J173:'Res-Gen'!J175)</f>
        <v>200</v>
      </c>
      <c r="J102" s="76">
        <f>H102+I102</f>
        <v>227000</v>
      </c>
      <c r="K102" s="133">
        <f>J102</f>
        <v>227000</v>
      </c>
      <c r="L102" s="9">
        <f>SUM('Res-Gen'!M173:'Res-Gen'!M175)</f>
        <v>0</v>
      </c>
      <c r="M102" s="49">
        <f>K102+L102</f>
        <v>227000</v>
      </c>
      <c r="N102" s="350">
        <f>M102</f>
        <v>227000</v>
      </c>
      <c r="O102" s="9">
        <f>SUM('Res-Gen'!P173:'Res-Gen'!P175)</f>
        <v>0</v>
      </c>
      <c r="P102" s="49">
        <f>N102+O102</f>
        <v>227000</v>
      </c>
      <c r="Q102" s="46">
        <f>P102</f>
        <v>227000</v>
      </c>
      <c r="R102" s="9">
        <f>SUM('Res-Gen'!S173:'Res-Gen'!S175)</f>
        <v>0</v>
      </c>
      <c r="S102" s="61">
        <f>Q102+R102</f>
        <v>227000</v>
      </c>
      <c r="T102" s="46">
        <f>S102</f>
        <v>227000</v>
      </c>
      <c r="U102" s="9">
        <f>SUM('Res-Gen'!V173:'Res-Gen'!V175)</f>
        <v>0</v>
      </c>
      <c r="V102" s="49">
        <f>T102+U102</f>
        <v>227000</v>
      </c>
      <c r="W102" s="46">
        <f>V102</f>
        <v>227000</v>
      </c>
      <c r="X102" s="9">
        <f>SUM('Res-Gen'!Y173:'Res-Gen'!Y175)</f>
        <v>0</v>
      </c>
      <c r="Y102" s="49">
        <f>W102+X102</f>
        <v>227000</v>
      </c>
      <c r="Z102" s="46">
        <f>Y102</f>
        <v>227000</v>
      </c>
      <c r="AA102" s="9">
        <f>SUM('Res-Gen'!AB173:'Res-Gen'!AB175)</f>
        <v>0</v>
      </c>
      <c r="AB102" s="49">
        <f>Z102+AA102</f>
        <v>227000</v>
      </c>
      <c r="AC102" s="350">
        <f>AB102</f>
        <v>227000</v>
      </c>
      <c r="AD102" s="9">
        <f>SUM('Res-Gen'!AE173:'Res-Gen'!AE175)</f>
        <v>0</v>
      </c>
      <c r="AE102" s="49">
        <f>AC102+AD102</f>
        <v>227000</v>
      </c>
      <c r="AF102" s="46">
        <f>AE102</f>
        <v>227000</v>
      </c>
      <c r="AG102" s="9">
        <f>SUM('Res-Gen'!AH173:'Res-Gen'!AH175)</f>
        <v>0</v>
      </c>
      <c r="AH102" s="49">
        <f>AF102+AG102</f>
        <v>227000</v>
      </c>
      <c r="AI102" s="350">
        <f>AH102</f>
        <v>227000</v>
      </c>
      <c r="AJ102" s="9">
        <f>SUM('Res-Gen'!AK173:'Res-Gen'!AK175)</f>
        <v>0</v>
      </c>
      <c r="AK102" s="49">
        <f>AI102+AJ102</f>
        <v>227000</v>
      </c>
      <c r="AL102" s="46">
        <f>AK102</f>
        <v>227000</v>
      </c>
      <c r="AM102" s="9">
        <f>SUM('Res-Gen'!AN173:'Res-Gen'!AN175)</f>
        <v>0</v>
      </c>
      <c r="AN102" s="61">
        <f>AL102+AM102</f>
        <v>227000</v>
      </c>
    </row>
    <row r="103" spans="1:43" x14ac:dyDescent="0.2">
      <c r="A103" s="633" t="s">
        <v>292</v>
      </c>
      <c r="B103" s="89">
        <v>0</v>
      </c>
      <c r="C103" s="9">
        <f>SUM('Res-Gen'!D176:'Res-Gen'!D176)</f>
        <v>0</v>
      </c>
      <c r="D103" s="76">
        <f>B103+C103</f>
        <v>0</v>
      </c>
      <c r="E103" s="350">
        <f>D103</f>
        <v>0</v>
      </c>
      <c r="F103" s="9">
        <f>SUM('Res-Gen'!G176:'Res-Gen'!G176)</f>
        <v>0</v>
      </c>
      <c r="G103" s="76">
        <f t="shared" ref="G103" si="330">E103+F103</f>
        <v>0</v>
      </c>
      <c r="H103" s="350">
        <f t="shared" ref="H103" si="331">G103</f>
        <v>0</v>
      </c>
      <c r="I103" s="9">
        <f>SUM('Res-Gen'!J176:'Res-Gen'!J176)</f>
        <v>15000</v>
      </c>
      <c r="J103" s="76">
        <f t="shared" ref="J103" si="332">H103+I103</f>
        <v>15000</v>
      </c>
      <c r="K103" s="133">
        <f t="shared" ref="K103" si="333">J103</f>
        <v>15000</v>
      </c>
      <c r="L103" s="9">
        <f>SUM('Res-Gen'!M176:'Res-Gen'!M176)</f>
        <v>70000</v>
      </c>
      <c r="M103" s="49">
        <f t="shared" ref="M103" si="334">K103+L103</f>
        <v>85000</v>
      </c>
      <c r="N103" s="350">
        <f t="shared" ref="N103" si="335">M103</f>
        <v>85000</v>
      </c>
      <c r="O103" s="9">
        <f>SUM('Res-Gen'!P176:'Res-Gen'!P176)</f>
        <v>-85000</v>
      </c>
      <c r="P103" s="49">
        <f t="shared" ref="P103" si="336">N103+O103</f>
        <v>0</v>
      </c>
      <c r="Q103" s="46">
        <f t="shared" ref="Q103" si="337">P103</f>
        <v>0</v>
      </c>
      <c r="R103" s="9">
        <f>SUM('Res-Gen'!S176:'Res-Gen'!S176)</f>
        <v>35000</v>
      </c>
      <c r="S103" s="61">
        <f t="shared" ref="S103" si="338">Q103+R103</f>
        <v>35000</v>
      </c>
      <c r="T103" s="46">
        <f t="shared" ref="T103" si="339">S103</f>
        <v>35000</v>
      </c>
      <c r="U103" s="9">
        <f>SUM('Res-Gen'!V176:'Res-Gen'!V176)</f>
        <v>35000</v>
      </c>
      <c r="V103" s="49">
        <f t="shared" ref="V103" si="340">T103+U103</f>
        <v>70000</v>
      </c>
      <c r="W103" s="46">
        <f t="shared" ref="W103" si="341">V103</f>
        <v>70000</v>
      </c>
      <c r="X103" s="9">
        <f>SUM('Res-Gen'!Y176:'Res-Gen'!Y176)</f>
        <v>35000</v>
      </c>
      <c r="Y103" s="49">
        <f t="shared" ref="Y103" si="342">W103+X103</f>
        <v>105000</v>
      </c>
      <c r="Z103" s="46">
        <f t="shared" ref="Z103" si="343">Y103</f>
        <v>105000</v>
      </c>
      <c r="AA103" s="9">
        <f>SUM('Res-Gen'!AB176:'Res-Gen'!AB176)</f>
        <v>45000</v>
      </c>
      <c r="AB103" s="49">
        <f t="shared" ref="AB103" si="344">Z103+AA103</f>
        <v>150000</v>
      </c>
      <c r="AC103" s="350">
        <f t="shared" ref="AC103" si="345">AB103</f>
        <v>150000</v>
      </c>
      <c r="AD103" s="9">
        <f>SUM('Res-Gen'!AE176:'Res-Gen'!AE176)</f>
        <v>-150000</v>
      </c>
      <c r="AE103" s="49">
        <f t="shared" ref="AE103" si="346">AC103+AD103</f>
        <v>0</v>
      </c>
      <c r="AF103" s="46">
        <f t="shared" ref="AF103" si="347">AE103</f>
        <v>0</v>
      </c>
      <c r="AG103" s="9">
        <f>SUM('Res-Gen'!AH176:'Res-Gen'!AH176)</f>
        <v>35000</v>
      </c>
      <c r="AH103" s="49">
        <f t="shared" ref="AH103" si="348">AF103+AG103</f>
        <v>35000</v>
      </c>
      <c r="AI103" s="350">
        <f t="shared" ref="AI103" si="349">AH103</f>
        <v>35000</v>
      </c>
      <c r="AJ103" s="9">
        <f>SUM('Res-Gen'!AK176:'Res-Gen'!AK176)</f>
        <v>35000</v>
      </c>
      <c r="AK103" s="49">
        <f t="shared" ref="AK103" si="350">AI103+AJ103</f>
        <v>70000</v>
      </c>
      <c r="AL103" s="46">
        <f t="shared" ref="AL103" si="351">AK103</f>
        <v>70000</v>
      </c>
      <c r="AM103" s="9">
        <f>SUM('Res-Gen'!AN176:'Res-Gen'!AN176)</f>
        <v>35000</v>
      </c>
      <c r="AN103" s="61">
        <f t="shared" ref="AN103" si="352">AL103+AM103</f>
        <v>105000</v>
      </c>
    </row>
    <row r="104" spans="1:43" x14ac:dyDescent="0.2">
      <c r="A104" s="408" t="s">
        <v>141</v>
      </c>
      <c r="B104" s="89">
        <v>382200</v>
      </c>
      <c r="C104" s="9">
        <f>'Res-Gen'!D179</f>
        <v>22700</v>
      </c>
      <c r="D104" s="76">
        <f>B104+C104</f>
        <v>404900</v>
      </c>
      <c r="E104" s="350">
        <f>D104</f>
        <v>404900</v>
      </c>
      <c r="F104" s="9">
        <f>'Res-Gen'!G179+'Res-Gen'!G231</f>
        <v>64400</v>
      </c>
      <c r="G104" s="76">
        <f>E104+F104</f>
        <v>469300</v>
      </c>
      <c r="H104" s="350">
        <f>G104</f>
        <v>469300</v>
      </c>
      <c r="I104" s="9">
        <f>'Res-Gen'!J179</f>
        <v>-25000</v>
      </c>
      <c r="J104" s="76">
        <f>H104+I104</f>
        <v>444300</v>
      </c>
      <c r="K104" s="133">
        <f>J104</f>
        <v>444300</v>
      </c>
      <c r="L104" s="9">
        <f>'Res-Gen'!M179</f>
        <v>0</v>
      </c>
      <c r="M104" s="49">
        <f>K104+L104</f>
        <v>444300</v>
      </c>
      <c r="N104" s="350">
        <f>M104</f>
        <v>444300</v>
      </c>
      <c r="O104" s="9">
        <f>'Res-Gen'!P179</f>
        <v>0</v>
      </c>
      <c r="P104" s="49">
        <f>N104+O104</f>
        <v>444300</v>
      </c>
      <c r="Q104" s="46">
        <f>P104</f>
        <v>444300</v>
      </c>
      <c r="R104" s="9">
        <f>'Res-Gen'!S179</f>
        <v>0</v>
      </c>
      <c r="S104" s="61">
        <f>Q104+R104</f>
        <v>444300</v>
      </c>
      <c r="T104" s="46">
        <f>S104</f>
        <v>444300</v>
      </c>
      <c r="U104" s="9">
        <f>'Res-Gen'!V179</f>
        <v>0</v>
      </c>
      <c r="V104" s="49">
        <f>T104+U104</f>
        <v>444300</v>
      </c>
      <c r="W104" s="46">
        <f>V104</f>
        <v>444300</v>
      </c>
      <c r="X104" s="9">
        <f>'Res-Gen'!Y179</f>
        <v>0</v>
      </c>
      <c r="Y104" s="49">
        <f>W104+X104</f>
        <v>444300</v>
      </c>
      <c r="Z104" s="46">
        <f>Y104</f>
        <v>444300</v>
      </c>
      <c r="AA104" s="9">
        <f>'Res-Gen'!AB179</f>
        <v>0</v>
      </c>
      <c r="AB104" s="49">
        <f>Z104+AA104</f>
        <v>444300</v>
      </c>
      <c r="AC104" s="350">
        <f>AB104</f>
        <v>444300</v>
      </c>
      <c r="AD104" s="9">
        <f>'Res-Gen'!AE179</f>
        <v>0</v>
      </c>
      <c r="AE104" s="49">
        <f>AC104+AD104</f>
        <v>444300</v>
      </c>
      <c r="AF104" s="46">
        <f>AE104</f>
        <v>444300</v>
      </c>
      <c r="AG104" s="9">
        <f>'Res-Gen'!AH179</f>
        <v>0</v>
      </c>
      <c r="AH104" s="49">
        <f>AF104+AG104</f>
        <v>444300</v>
      </c>
      <c r="AI104" s="350">
        <f>AH104</f>
        <v>444300</v>
      </c>
      <c r="AJ104" s="9">
        <f>'Res-Gen'!AK179</f>
        <v>0</v>
      </c>
      <c r="AK104" s="49">
        <f>AI104+AJ104</f>
        <v>444300</v>
      </c>
      <c r="AL104" s="46">
        <f>AK104</f>
        <v>444300</v>
      </c>
      <c r="AM104" s="9">
        <f>'Res-Gen'!AN179</f>
        <v>0</v>
      </c>
      <c r="AN104" s="61">
        <f>AL104+AM104</f>
        <v>444300</v>
      </c>
    </row>
    <row r="105" spans="1:43" x14ac:dyDescent="0.2">
      <c r="A105" s="408"/>
      <c r="B105" s="89"/>
      <c r="C105" s="9"/>
      <c r="D105" s="76"/>
      <c r="E105" s="133"/>
      <c r="F105" s="9"/>
      <c r="G105" s="76"/>
      <c r="H105" s="133"/>
      <c r="I105" s="9"/>
      <c r="J105" s="76"/>
      <c r="K105" s="133"/>
      <c r="L105" s="9"/>
      <c r="M105" s="49"/>
      <c r="N105" s="350"/>
      <c r="O105" s="9"/>
      <c r="P105" s="49"/>
      <c r="Q105" s="46"/>
      <c r="R105" s="9"/>
      <c r="S105" s="61"/>
      <c r="T105" s="46"/>
      <c r="U105" s="9"/>
      <c r="V105" s="49"/>
      <c r="W105" s="46"/>
      <c r="X105" s="9"/>
      <c r="Y105" s="49"/>
      <c r="Z105" s="46"/>
      <c r="AA105" s="9"/>
      <c r="AB105" s="49"/>
      <c r="AC105" s="350"/>
      <c r="AD105" s="9"/>
      <c r="AE105" s="49"/>
      <c r="AF105" s="46"/>
      <c r="AG105" s="9"/>
      <c r="AH105" s="49"/>
      <c r="AI105" s="350"/>
      <c r="AJ105" s="9"/>
      <c r="AK105" s="49"/>
      <c r="AL105" s="46"/>
      <c r="AM105" s="9"/>
      <c r="AN105" s="61"/>
    </row>
    <row r="106" spans="1:43" x14ac:dyDescent="0.2">
      <c r="A106" s="407" t="s">
        <v>717</v>
      </c>
      <c r="B106" s="89"/>
      <c r="C106" s="9"/>
      <c r="D106" s="76"/>
      <c r="E106" s="133"/>
      <c r="F106" s="9"/>
      <c r="G106" s="76"/>
      <c r="H106" s="133"/>
      <c r="I106" s="9"/>
      <c r="J106" s="76"/>
      <c r="K106" s="133"/>
      <c r="L106" s="9"/>
      <c r="M106" s="49"/>
      <c r="N106" s="350"/>
      <c r="O106" s="9"/>
      <c r="P106" s="49"/>
      <c r="Q106" s="46"/>
      <c r="R106" s="9"/>
      <c r="S106" s="61"/>
      <c r="T106" s="46"/>
      <c r="U106" s="9"/>
      <c r="V106" s="49"/>
      <c r="W106" s="46"/>
      <c r="X106" s="9"/>
      <c r="Y106" s="49"/>
      <c r="Z106" s="46"/>
      <c r="AA106" s="9"/>
      <c r="AB106" s="49"/>
      <c r="AC106" s="350"/>
      <c r="AD106" s="9"/>
      <c r="AE106" s="49"/>
      <c r="AF106" s="46"/>
      <c r="AG106" s="9"/>
      <c r="AH106" s="49"/>
      <c r="AI106" s="350"/>
      <c r="AJ106" s="9"/>
      <c r="AK106" s="49"/>
      <c r="AL106" s="46"/>
      <c r="AM106" s="9"/>
      <c r="AN106" s="61"/>
    </row>
    <row r="107" spans="1:43" x14ac:dyDescent="0.2">
      <c r="A107" s="633" t="s">
        <v>3025</v>
      </c>
      <c r="B107" s="89">
        <v>883700</v>
      </c>
      <c r="C107" s="9">
        <f>'Res-Gen'!D184</f>
        <v>-18300</v>
      </c>
      <c r="D107" s="76">
        <f>B107+C107</f>
        <v>865400</v>
      </c>
      <c r="E107" s="350">
        <f>D107</f>
        <v>865400</v>
      </c>
      <c r="F107" s="9">
        <f>'Res-Gen'!G184</f>
        <v>24500</v>
      </c>
      <c r="G107" s="76">
        <f>E107+F107</f>
        <v>889900</v>
      </c>
      <c r="H107" s="350">
        <f>G107</f>
        <v>889900</v>
      </c>
      <c r="I107" s="9">
        <f>'Res-Gen'!J184</f>
        <v>0</v>
      </c>
      <c r="J107" s="76">
        <f>H107+I107</f>
        <v>889900</v>
      </c>
      <c r="K107" s="133">
        <f>J107</f>
        <v>889900</v>
      </c>
      <c r="L107" s="9">
        <f>'Res-Gen'!M184</f>
        <v>0</v>
      </c>
      <c r="M107" s="49">
        <f>K107+L107</f>
        <v>889900</v>
      </c>
      <c r="N107" s="350">
        <f>M107</f>
        <v>889900</v>
      </c>
      <c r="O107" s="9">
        <f>'Res-Gen'!P184</f>
        <v>0</v>
      </c>
      <c r="P107" s="49">
        <f>N107+O107</f>
        <v>889900</v>
      </c>
      <c r="Q107" s="46">
        <f>P107</f>
        <v>889900</v>
      </c>
      <c r="R107" s="9">
        <f>'Res-Gen'!S184</f>
        <v>-100000</v>
      </c>
      <c r="S107" s="61">
        <f>Q107+R107</f>
        <v>789900</v>
      </c>
      <c r="T107" s="46">
        <f>S107</f>
        <v>789900</v>
      </c>
      <c r="U107" s="9">
        <f>'Res-Gen'!V184</f>
        <v>-103000</v>
      </c>
      <c r="V107" s="49">
        <f>T107+U107</f>
        <v>686900</v>
      </c>
      <c r="W107" s="46">
        <f>V107</f>
        <v>686900</v>
      </c>
      <c r="X107" s="9">
        <f>'Res-Gen'!Y184</f>
        <v>-106000</v>
      </c>
      <c r="Y107" s="49">
        <f>W107+X107</f>
        <v>580900</v>
      </c>
      <c r="Z107" s="46">
        <f>Y107</f>
        <v>580900</v>
      </c>
      <c r="AA107" s="9">
        <f>'Res-Gen'!AB184</f>
        <v>-109000</v>
      </c>
      <c r="AB107" s="49">
        <f>Z107+AA107</f>
        <v>471900</v>
      </c>
      <c r="AC107" s="350">
        <f>AB107</f>
        <v>471900</v>
      </c>
      <c r="AD107" s="9">
        <f>'Res-Gen'!AE184</f>
        <v>-112000</v>
      </c>
      <c r="AE107" s="49">
        <f>AC107+AD107</f>
        <v>359900</v>
      </c>
      <c r="AF107" s="46">
        <f>AE107</f>
        <v>359900</v>
      </c>
      <c r="AG107" s="9">
        <f>'Res-Gen'!AH184</f>
        <v>-115000</v>
      </c>
      <c r="AH107" s="49">
        <f>AF107+AG107</f>
        <v>244900</v>
      </c>
      <c r="AI107" s="350">
        <f>AH107</f>
        <v>244900</v>
      </c>
      <c r="AJ107" s="9">
        <f>'Res-Gen'!AK184</f>
        <v>-118000</v>
      </c>
      <c r="AK107" s="49">
        <f>AI107+AJ107</f>
        <v>126900</v>
      </c>
      <c r="AL107" s="46">
        <f>AK107</f>
        <v>126900</v>
      </c>
      <c r="AM107" s="9">
        <f>'Res-Gen'!AN184</f>
        <v>-121000</v>
      </c>
      <c r="AN107" s="61">
        <f>AL107+AM107</f>
        <v>5900</v>
      </c>
    </row>
    <row r="108" spans="1:43" x14ac:dyDescent="0.2">
      <c r="A108" s="633" t="s">
        <v>3156</v>
      </c>
      <c r="B108" s="89">
        <v>1610700</v>
      </c>
      <c r="C108" s="9">
        <f>'Res-Gen'!D185</f>
        <v>-152000</v>
      </c>
      <c r="D108" s="76">
        <f>B108+C108</f>
        <v>1458700</v>
      </c>
      <c r="E108" s="350">
        <f>D108</f>
        <v>1458700</v>
      </c>
      <c r="F108" s="9">
        <f>'Res-Gen'!G185</f>
        <v>-44000</v>
      </c>
      <c r="G108" s="76">
        <f>E108+F108</f>
        <v>1414700</v>
      </c>
      <c r="H108" s="350">
        <f>G108</f>
        <v>1414700</v>
      </c>
      <c r="I108" s="9">
        <f>'Res-Gen'!J185</f>
        <v>-257400</v>
      </c>
      <c r="J108" s="76">
        <f>H108+I108</f>
        <v>1157300</v>
      </c>
      <c r="K108" s="133">
        <f>J108</f>
        <v>1157300</v>
      </c>
      <c r="L108" s="9">
        <f>'Res-Gen'!M185</f>
        <v>0</v>
      </c>
      <c r="M108" s="49">
        <f>K108+L108</f>
        <v>1157300</v>
      </c>
      <c r="N108" s="350">
        <f>M108</f>
        <v>1157300</v>
      </c>
      <c r="O108" s="9">
        <f>'Res-Gen'!P185</f>
        <v>0</v>
      </c>
      <c r="P108" s="49">
        <f>N108+O108</f>
        <v>1157300</v>
      </c>
      <c r="Q108" s="46">
        <f>P108</f>
        <v>1157300</v>
      </c>
      <c r="R108" s="9">
        <f>'Res-Gen'!S185</f>
        <v>-100000</v>
      </c>
      <c r="S108" s="61">
        <f>Q108+R108</f>
        <v>1057300</v>
      </c>
      <c r="T108" s="46">
        <f>S108</f>
        <v>1057300</v>
      </c>
      <c r="U108" s="9">
        <f>'Res-Gen'!V185</f>
        <v>-103000</v>
      </c>
      <c r="V108" s="49">
        <f>T108+U108</f>
        <v>954300</v>
      </c>
      <c r="W108" s="46">
        <f>V108</f>
        <v>954300</v>
      </c>
      <c r="X108" s="9">
        <f>'Res-Gen'!Y185</f>
        <v>-106000</v>
      </c>
      <c r="Y108" s="49">
        <f>W108+X108</f>
        <v>848300</v>
      </c>
      <c r="Z108" s="46">
        <f>Y108</f>
        <v>848300</v>
      </c>
      <c r="AA108" s="9">
        <f>'Res-Gen'!AB185</f>
        <v>-109000</v>
      </c>
      <c r="AB108" s="49">
        <f>Z108+AA108</f>
        <v>739300</v>
      </c>
      <c r="AC108" s="350">
        <f>AB108</f>
        <v>739300</v>
      </c>
      <c r="AD108" s="9">
        <f>'Res-Gen'!AE185</f>
        <v>-112000</v>
      </c>
      <c r="AE108" s="49">
        <f>AC108+AD108</f>
        <v>627300</v>
      </c>
      <c r="AF108" s="46">
        <f>AE108</f>
        <v>627300</v>
      </c>
      <c r="AG108" s="9">
        <f>'Res-Gen'!AH185</f>
        <v>-115000</v>
      </c>
      <c r="AH108" s="49">
        <f>AF108+AG108</f>
        <v>512300</v>
      </c>
      <c r="AI108" s="350">
        <f>AH108</f>
        <v>512300</v>
      </c>
      <c r="AJ108" s="9">
        <f>'Res-Gen'!AK185</f>
        <v>-118000</v>
      </c>
      <c r="AK108" s="49">
        <f>AI108+AJ108</f>
        <v>394300</v>
      </c>
      <c r="AL108" s="46">
        <f>AK108</f>
        <v>394300</v>
      </c>
      <c r="AM108" s="9">
        <f>'Res-Gen'!AN185</f>
        <v>-121000</v>
      </c>
      <c r="AN108" s="61">
        <f>AL108+AM108</f>
        <v>273300</v>
      </c>
    </row>
    <row r="109" spans="1:43" x14ac:dyDescent="0.2">
      <c r="A109" s="1317" t="s">
        <v>11950</v>
      </c>
      <c r="B109" s="89"/>
      <c r="C109" s="9"/>
      <c r="D109" s="76"/>
      <c r="E109" s="350">
        <v>0</v>
      </c>
      <c r="F109" s="9">
        <f>'Res-Gen'!G186</f>
        <v>1657400</v>
      </c>
      <c r="G109" s="76">
        <f>E109+F109</f>
        <v>1657400</v>
      </c>
      <c r="H109" s="350">
        <f>G109</f>
        <v>1657400</v>
      </c>
      <c r="I109" s="9">
        <f>'Res-Gen'!J186</f>
        <v>-355000</v>
      </c>
      <c r="J109" s="76">
        <f>H109+I109</f>
        <v>1302400</v>
      </c>
      <c r="K109" s="133">
        <f>J109</f>
        <v>1302400</v>
      </c>
      <c r="L109" s="9">
        <f>'Res-Gen'!M186</f>
        <v>0</v>
      </c>
      <c r="M109" s="49">
        <f>K109+L109</f>
        <v>1302400</v>
      </c>
      <c r="N109" s="350">
        <f>M109</f>
        <v>1302400</v>
      </c>
      <c r="O109" s="9">
        <f>'Res-Gen'!P186</f>
        <v>0</v>
      </c>
      <c r="P109" s="49">
        <f>N109+O109</f>
        <v>1302400</v>
      </c>
      <c r="Q109" s="46">
        <f>P109</f>
        <v>1302400</v>
      </c>
      <c r="R109" s="9">
        <f>'Res-Gen'!S186</f>
        <v>-100000</v>
      </c>
      <c r="S109" s="61">
        <f>Q109+R109</f>
        <v>1202400</v>
      </c>
      <c r="T109" s="46">
        <f>S109</f>
        <v>1202400</v>
      </c>
      <c r="U109" s="9">
        <f>'Res-Gen'!V186</f>
        <v>-103000</v>
      </c>
      <c r="V109" s="49">
        <f>T109+U109</f>
        <v>1099400</v>
      </c>
      <c r="W109" s="46">
        <f>V109</f>
        <v>1099400</v>
      </c>
      <c r="X109" s="9">
        <f>'Res-Gen'!Y186</f>
        <v>-106000</v>
      </c>
      <c r="Y109" s="49">
        <f>W109+X109</f>
        <v>993400</v>
      </c>
      <c r="Z109" s="46">
        <f>Y109</f>
        <v>993400</v>
      </c>
      <c r="AA109" s="9">
        <f>'Res-Gen'!AB186</f>
        <v>-109000</v>
      </c>
      <c r="AB109" s="49">
        <f>Z109+AA109</f>
        <v>884400</v>
      </c>
      <c r="AC109" s="350">
        <f>AB109</f>
        <v>884400</v>
      </c>
      <c r="AD109" s="9">
        <f>'Res-Gen'!AE186</f>
        <v>-112000</v>
      </c>
      <c r="AE109" s="49">
        <f>AC109+AD109</f>
        <v>772400</v>
      </c>
      <c r="AF109" s="46">
        <f>AE109</f>
        <v>772400</v>
      </c>
      <c r="AG109" s="9">
        <f>'Res-Gen'!AH186</f>
        <v>-115000</v>
      </c>
      <c r="AH109" s="49">
        <f>AF109+AG109</f>
        <v>657400</v>
      </c>
      <c r="AI109" s="350">
        <f>AH109</f>
        <v>657400</v>
      </c>
      <c r="AJ109" s="9">
        <f>'Res-Gen'!AK186</f>
        <v>-118000</v>
      </c>
      <c r="AK109" s="49">
        <f>AI109+AJ109</f>
        <v>539400</v>
      </c>
      <c r="AL109" s="46">
        <f>AK109</f>
        <v>539400</v>
      </c>
      <c r="AM109" s="9">
        <f>'Res-Gen'!AN186</f>
        <v>-121000</v>
      </c>
      <c r="AN109" s="61">
        <f>AL109+AM109</f>
        <v>418400</v>
      </c>
    </row>
    <row r="110" spans="1:43" x14ac:dyDescent="0.2">
      <c r="A110" s="633" t="s">
        <v>6618</v>
      </c>
      <c r="B110" s="89">
        <v>77300</v>
      </c>
      <c r="C110" s="9">
        <v>0</v>
      </c>
      <c r="D110" s="76">
        <f>B110+C110</f>
        <v>77300</v>
      </c>
      <c r="E110" s="350">
        <f>D110</f>
        <v>77300</v>
      </c>
      <c r="F110" s="9"/>
      <c r="G110" s="76">
        <f>E110+F110</f>
        <v>77300</v>
      </c>
      <c r="H110" s="350">
        <f>G110</f>
        <v>77300</v>
      </c>
      <c r="I110" s="9"/>
      <c r="J110" s="76">
        <f>H110+I110</f>
        <v>77300</v>
      </c>
      <c r="K110" s="133">
        <f>J110</f>
        <v>77300</v>
      </c>
      <c r="L110" s="9"/>
      <c r="M110" s="49">
        <f>K110+L110</f>
        <v>77300</v>
      </c>
      <c r="N110" s="350">
        <f>M110</f>
        <v>77300</v>
      </c>
      <c r="O110" s="9"/>
      <c r="P110" s="49">
        <f>N110+O110</f>
        <v>77300</v>
      </c>
      <c r="Q110" s="46">
        <f>P110</f>
        <v>77300</v>
      </c>
      <c r="R110" s="9"/>
      <c r="S110" s="61">
        <f>Q110+R110</f>
        <v>77300</v>
      </c>
      <c r="T110" s="46">
        <f>S110</f>
        <v>77300</v>
      </c>
      <c r="U110" s="9"/>
      <c r="V110" s="49">
        <f>T110+U110</f>
        <v>77300</v>
      </c>
      <c r="W110" s="46">
        <f>V110</f>
        <v>77300</v>
      </c>
      <c r="X110" s="9"/>
      <c r="Y110" s="49">
        <f>W110+X110</f>
        <v>77300</v>
      </c>
      <c r="Z110" s="46">
        <f>Y110</f>
        <v>77300</v>
      </c>
      <c r="AA110" s="9"/>
      <c r="AB110" s="49">
        <f>Z110+AA110</f>
        <v>77300</v>
      </c>
      <c r="AC110" s="350">
        <f>AB110</f>
        <v>77300</v>
      </c>
      <c r="AD110" s="9"/>
      <c r="AE110" s="49">
        <f>AC110+AD110</f>
        <v>77300</v>
      </c>
      <c r="AF110" s="46">
        <f>AE110</f>
        <v>77300</v>
      </c>
      <c r="AG110" s="9"/>
      <c r="AH110" s="49">
        <f>AF110+AG110</f>
        <v>77300</v>
      </c>
      <c r="AI110" s="350">
        <f>AH110</f>
        <v>77300</v>
      </c>
      <c r="AJ110" s="9"/>
      <c r="AK110" s="49">
        <f>AI110+AJ110</f>
        <v>77300</v>
      </c>
      <c r="AL110" s="46">
        <f>AK110</f>
        <v>77300</v>
      </c>
      <c r="AM110" s="9"/>
      <c r="AN110" s="61">
        <f>AL110+AM110</f>
        <v>77300</v>
      </c>
    </row>
    <row r="111" spans="1:43" x14ac:dyDescent="0.2">
      <c r="A111" s="633" t="s">
        <v>1441</v>
      </c>
      <c r="B111" s="89">
        <v>5100</v>
      </c>
      <c r="C111" s="9"/>
      <c r="D111" s="76">
        <f>B111+C111</f>
        <v>5100</v>
      </c>
      <c r="E111" s="350">
        <f t="shared" ref="E111" si="353">D111</f>
        <v>5100</v>
      </c>
      <c r="F111" s="9"/>
      <c r="G111" s="76">
        <f>E111+F111</f>
        <v>5100</v>
      </c>
      <c r="H111" s="350">
        <f t="shared" ref="H111" si="354">G111</f>
        <v>5100</v>
      </c>
      <c r="I111" s="9"/>
      <c r="J111" s="76">
        <f>H111+I111</f>
        <v>5100</v>
      </c>
      <c r="K111" s="133">
        <f>J111</f>
        <v>5100</v>
      </c>
      <c r="L111" s="9"/>
      <c r="M111" s="49">
        <f>K111+L111</f>
        <v>5100</v>
      </c>
      <c r="N111" s="350">
        <f t="shared" ref="N111" si="355">M111</f>
        <v>5100</v>
      </c>
      <c r="O111" s="9"/>
      <c r="P111" s="49">
        <f>N111+O111</f>
        <v>5100</v>
      </c>
      <c r="Q111" s="46">
        <f t="shared" ref="Q111" si="356">P111</f>
        <v>5100</v>
      </c>
      <c r="R111" s="9"/>
      <c r="S111" s="61">
        <f>Q111+R111</f>
        <v>5100</v>
      </c>
      <c r="T111" s="46">
        <f t="shared" ref="T111" si="357">S111</f>
        <v>5100</v>
      </c>
      <c r="U111" s="9"/>
      <c r="V111" s="49">
        <f>T111+U111</f>
        <v>5100</v>
      </c>
      <c r="W111" s="46">
        <f t="shared" ref="W111" si="358">V111</f>
        <v>5100</v>
      </c>
      <c r="X111" s="9"/>
      <c r="Y111" s="49">
        <f>W111+X111</f>
        <v>5100</v>
      </c>
      <c r="Z111" s="46">
        <f t="shared" ref="Z111" si="359">Y111</f>
        <v>5100</v>
      </c>
      <c r="AA111" s="9"/>
      <c r="AB111" s="49">
        <f>Z111+AA111</f>
        <v>5100</v>
      </c>
      <c r="AC111" s="350">
        <f t="shared" ref="AC111" si="360">AB111</f>
        <v>5100</v>
      </c>
      <c r="AD111" s="9"/>
      <c r="AE111" s="49">
        <f>AC111+AD111</f>
        <v>5100</v>
      </c>
      <c r="AF111" s="46">
        <f t="shared" ref="AF111" si="361">AE111</f>
        <v>5100</v>
      </c>
      <c r="AG111" s="9"/>
      <c r="AH111" s="49">
        <f>AF111+AG111</f>
        <v>5100</v>
      </c>
      <c r="AI111" s="350">
        <f t="shared" ref="AI111" si="362">AH111</f>
        <v>5100</v>
      </c>
      <c r="AJ111" s="9"/>
      <c r="AK111" s="49">
        <f>AI111+AJ111</f>
        <v>5100</v>
      </c>
      <c r="AL111" s="46">
        <f t="shared" ref="AL111" si="363">AK111</f>
        <v>5100</v>
      </c>
      <c r="AM111" s="9"/>
      <c r="AN111" s="61">
        <f>AL111+AM111</f>
        <v>5100</v>
      </c>
    </row>
    <row r="112" spans="1:43" x14ac:dyDescent="0.2">
      <c r="A112" s="633" t="s">
        <v>11962</v>
      </c>
      <c r="B112" s="89">
        <v>1185300</v>
      </c>
      <c r="C112" s="9">
        <f>'Res-Gen'!D182</f>
        <v>-315200</v>
      </c>
      <c r="D112" s="76">
        <f t="shared" ref="D112" si="364">B112+C112</f>
        <v>870100</v>
      </c>
      <c r="E112" s="350">
        <f>D112</f>
        <v>870100</v>
      </c>
      <c r="F112" s="9">
        <f>'Res-Gen'!G182</f>
        <v>956700</v>
      </c>
      <c r="G112" s="76">
        <f t="shared" ref="G112" si="365">E112+F112</f>
        <v>1826800</v>
      </c>
      <c r="H112" s="350">
        <f>G112</f>
        <v>1826800</v>
      </c>
      <c r="I112" s="9">
        <f>'Res-Gen'!J182</f>
        <v>-507400</v>
      </c>
      <c r="J112" s="76">
        <f t="shared" ref="J112" si="366">H112+I112</f>
        <v>1319400</v>
      </c>
      <c r="K112" s="133">
        <f t="shared" ref="K112" si="367">J112</f>
        <v>1319400</v>
      </c>
      <c r="L112" s="9">
        <f>'Res-Gen'!M182</f>
        <v>0</v>
      </c>
      <c r="M112" s="49">
        <f t="shared" ref="M112" si="368">K112+L112</f>
        <v>1319400</v>
      </c>
      <c r="N112" s="350">
        <f>M112</f>
        <v>1319400</v>
      </c>
      <c r="O112" s="9">
        <f>'Res-Gen'!P182</f>
        <v>0</v>
      </c>
      <c r="P112" s="49">
        <f t="shared" ref="P112" si="369">N112+O112</f>
        <v>1319400</v>
      </c>
      <c r="Q112" s="46">
        <f>P112</f>
        <v>1319400</v>
      </c>
      <c r="R112" s="9">
        <f>'Res-Gen'!S182</f>
        <v>0</v>
      </c>
      <c r="S112" s="61">
        <f t="shared" ref="S112" si="370">Q112+R112</f>
        <v>1319400</v>
      </c>
      <c r="T112" s="46">
        <f>S112</f>
        <v>1319400</v>
      </c>
      <c r="U112" s="9">
        <f>'Res-Gen'!V182</f>
        <v>0</v>
      </c>
      <c r="V112" s="49">
        <f t="shared" ref="V112" si="371">T112+U112</f>
        <v>1319400</v>
      </c>
      <c r="W112" s="46">
        <f>V112</f>
        <v>1319400</v>
      </c>
      <c r="X112" s="9">
        <f>'Res-Gen'!Y182</f>
        <v>0</v>
      </c>
      <c r="Y112" s="49">
        <f t="shared" ref="Y112" si="372">W112+X112</f>
        <v>1319400</v>
      </c>
      <c r="Z112" s="46">
        <f>Y112</f>
        <v>1319400</v>
      </c>
      <c r="AA112" s="9">
        <f>'Res-Gen'!AB182</f>
        <v>0</v>
      </c>
      <c r="AB112" s="49">
        <f t="shared" ref="AB112" si="373">Z112+AA112</f>
        <v>1319400</v>
      </c>
      <c r="AC112" s="350">
        <f>AB112</f>
        <v>1319400</v>
      </c>
      <c r="AD112" s="9">
        <f>'Res-Gen'!AE182</f>
        <v>0</v>
      </c>
      <c r="AE112" s="49">
        <f t="shared" ref="AE112:AE113" si="374">AC112+AD112</f>
        <v>1319400</v>
      </c>
      <c r="AF112" s="46">
        <f>AE112</f>
        <v>1319400</v>
      </c>
      <c r="AG112" s="9">
        <f>'Res-Gen'!AH182</f>
        <v>0</v>
      </c>
      <c r="AH112" s="49">
        <f t="shared" ref="AH112:AH113" si="375">AF112+AG112</f>
        <v>1319400</v>
      </c>
      <c r="AI112" s="350">
        <f>AH112</f>
        <v>1319400</v>
      </c>
      <c r="AJ112" s="9">
        <f>'Res-Gen'!AK182</f>
        <v>0</v>
      </c>
      <c r="AK112" s="49">
        <f t="shared" ref="AK112:AK113" si="376">AI112+AJ112</f>
        <v>1319400</v>
      </c>
      <c r="AL112" s="46">
        <f>AK112</f>
        <v>1319400</v>
      </c>
      <c r="AM112" s="9">
        <f>'Res-Gen'!AN182</f>
        <v>0</v>
      </c>
      <c r="AN112" s="61">
        <f t="shared" ref="AN112:AN114" si="377">AL112+AM112</f>
        <v>1319400</v>
      </c>
    </row>
    <row r="113" spans="1:40" x14ac:dyDescent="0.2">
      <c r="A113" s="633" t="s">
        <v>4130</v>
      </c>
      <c r="B113" s="89">
        <v>245500</v>
      </c>
      <c r="C113" s="9">
        <f>'Res-Gen'!D183</f>
        <v>-64700</v>
      </c>
      <c r="D113" s="76">
        <f t="shared" ref="D113" si="378">B113+C113</f>
        <v>180800</v>
      </c>
      <c r="E113" s="350">
        <f>D113</f>
        <v>180800</v>
      </c>
      <c r="F113" s="9">
        <f>'Res-Gen'!G183</f>
        <v>105600</v>
      </c>
      <c r="G113" s="76">
        <f t="shared" ref="G113" si="379">E113+F113</f>
        <v>286400</v>
      </c>
      <c r="H113" s="350">
        <f>G113</f>
        <v>286400</v>
      </c>
      <c r="I113" s="9">
        <f>'Res-Gen'!J183</f>
        <v>0</v>
      </c>
      <c r="J113" s="76">
        <f t="shared" ref="J113:J114" si="380">H113+I113</f>
        <v>286400</v>
      </c>
      <c r="K113" s="133">
        <f t="shared" ref="K113" si="381">J113</f>
        <v>286400</v>
      </c>
      <c r="L113" s="9">
        <f>'Res-Gen'!M183</f>
        <v>0</v>
      </c>
      <c r="M113" s="49">
        <f t="shared" ref="M113" si="382">K113+L113</f>
        <v>286400</v>
      </c>
      <c r="N113" s="350">
        <f>M113</f>
        <v>286400</v>
      </c>
      <c r="O113" s="9">
        <f>'Res-Gen'!P183</f>
        <v>0</v>
      </c>
      <c r="P113" s="49">
        <f t="shared" ref="P113" si="383">N113+O113</f>
        <v>286400</v>
      </c>
      <c r="Q113" s="46">
        <f>P113</f>
        <v>286400</v>
      </c>
      <c r="R113" s="9">
        <f>'Res-Gen'!S183</f>
        <v>0</v>
      </c>
      <c r="S113" s="61">
        <f t="shared" ref="S113" si="384">Q113+R113</f>
        <v>286400</v>
      </c>
      <c r="T113" s="46">
        <f>S113</f>
        <v>286400</v>
      </c>
      <c r="U113" s="9">
        <f>'Res-Gen'!V183</f>
        <v>0</v>
      </c>
      <c r="V113" s="49">
        <f t="shared" ref="V113" si="385">T113+U113</f>
        <v>286400</v>
      </c>
      <c r="W113" s="46">
        <f>V113</f>
        <v>286400</v>
      </c>
      <c r="X113" s="9">
        <f>'Res-Gen'!Y183</f>
        <v>0</v>
      </c>
      <c r="Y113" s="49">
        <f t="shared" ref="Y113" si="386">W113+X113</f>
        <v>286400</v>
      </c>
      <c r="Z113" s="46">
        <f>Y113</f>
        <v>286400</v>
      </c>
      <c r="AA113" s="9">
        <f>'Res-Gen'!AB183</f>
        <v>0</v>
      </c>
      <c r="AB113" s="49">
        <f t="shared" ref="AB113" si="387">Z113+AA113</f>
        <v>286400</v>
      </c>
      <c r="AC113" s="350">
        <f>AB113</f>
        <v>286400</v>
      </c>
      <c r="AD113" s="9">
        <f>'Res-Gen'!AE183</f>
        <v>0</v>
      </c>
      <c r="AE113" s="49">
        <f t="shared" si="374"/>
        <v>286400</v>
      </c>
      <c r="AF113" s="46">
        <f>AE113</f>
        <v>286400</v>
      </c>
      <c r="AG113" s="9">
        <f>'Res-Gen'!AH183</f>
        <v>0</v>
      </c>
      <c r="AH113" s="49">
        <f t="shared" si="375"/>
        <v>286400</v>
      </c>
      <c r="AI113" s="350">
        <f>AH113</f>
        <v>286400</v>
      </c>
      <c r="AJ113" s="9">
        <f>'Res-Gen'!AK183</f>
        <v>0</v>
      </c>
      <c r="AK113" s="49">
        <f t="shared" si="376"/>
        <v>286400</v>
      </c>
      <c r="AL113" s="46">
        <f>AK113</f>
        <v>286400</v>
      </c>
      <c r="AM113" s="9">
        <f>'Res-Gen'!AN183</f>
        <v>0</v>
      </c>
      <c r="AN113" s="61">
        <f t="shared" si="377"/>
        <v>286400</v>
      </c>
    </row>
    <row r="114" spans="1:40" x14ac:dyDescent="0.2">
      <c r="A114" s="1317" t="s">
        <v>11855</v>
      </c>
      <c r="B114" s="89"/>
      <c r="C114" s="9"/>
      <c r="D114" s="76"/>
      <c r="E114" s="350"/>
      <c r="F114" s="9"/>
      <c r="G114" s="76"/>
      <c r="H114" s="350">
        <v>0</v>
      </c>
      <c r="I114" s="9">
        <f>+'Res-Gen'!J189</f>
        <v>3900000</v>
      </c>
      <c r="J114" s="76">
        <f t="shared" si="380"/>
        <v>3900000</v>
      </c>
      <c r="K114" s="133">
        <f t="shared" ref="K114" si="388">J114</f>
        <v>3900000</v>
      </c>
      <c r="L114" s="9">
        <f>+'Res-Gen'!M189</f>
        <v>-3900000</v>
      </c>
      <c r="M114" s="49">
        <f t="shared" ref="M114" si="389">K114+L114</f>
        <v>0</v>
      </c>
      <c r="N114" s="350">
        <f>M114</f>
        <v>0</v>
      </c>
      <c r="O114" s="9">
        <f>'Res-Gen'!P184</f>
        <v>0</v>
      </c>
      <c r="P114" s="49">
        <f t="shared" ref="P114" si="390">N114+O114</f>
        <v>0</v>
      </c>
      <c r="Q114" s="46">
        <f>P114</f>
        <v>0</v>
      </c>
      <c r="R114" s="9">
        <f>'Res-Gen'!S189</f>
        <v>0</v>
      </c>
      <c r="S114" s="61">
        <f t="shared" ref="S114" si="391">Q114+R114</f>
        <v>0</v>
      </c>
      <c r="T114" s="46">
        <f>S114</f>
        <v>0</v>
      </c>
      <c r="U114" s="9">
        <f>'Res-Gen'!V189</f>
        <v>0</v>
      </c>
      <c r="V114" s="49">
        <f t="shared" ref="V114" si="392">T114+U114</f>
        <v>0</v>
      </c>
      <c r="W114" s="46">
        <f>V114</f>
        <v>0</v>
      </c>
      <c r="X114" s="9">
        <f>'Res-Gen'!Y189</f>
        <v>0</v>
      </c>
      <c r="Y114" s="49">
        <f t="shared" ref="Y114" si="393">W114+X114</f>
        <v>0</v>
      </c>
      <c r="Z114" s="46">
        <f>Y114</f>
        <v>0</v>
      </c>
      <c r="AA114" s="9">
        <f>'Res-Gen'!AB189</f>
        <v>0</v>
      </c>
      <c r="AB114" s="49">
        <f t="shared" ref="AB114" si="394">Z114+AA114</f>
        <v>0</v>
      </c>
      <c r="AC114" s="350">
        <f>AB114</f>
        <v>0</v>
      </c>
      <c r="AD114" s="9">
        <f>'Res-Gen'!AE189</f>
        <v>0</v>
      </c>
      <c r="AE114" s="49">
        <f t="shared" ref="AE114" si="395">AC114+AD114</f>
        <v>0</v>
      </c>
      <c r="AF114" s="46">
        <f>AE114</f>
        <v>0</v>
      </c>
      <c r="AG114" s="9">
        <f>'Res-Gen'!AH189</f>
        <v>0</v>
      </c>
      <c r="AH114" s="49">
        <f t="shared" ref="AH114" si="396">AF114+AG114</f>
        <v>0</v>
      </c>
      <c r="AI114" s="350">
        <f>AH114</f>
        <v>0</v>
      </c>
      <c r="AJ114" s="9">
        <f>'Res-Gen'!AK189</f>
        <v>0</v>
      </c>
      <c r="AK114" s="49">
        <f t="shared" ref="AK114" si="397">AI114+AJ114</f>
        <v>0</v>
      </c>
      <c r="AL114" s="46">
        <f>AK114</f>
        <v>0</v>
      </c>
      <c r="AM114" s="9">
        <f>'Res-Gen'!AN189</f>
        <v>0</v>
      </c>
      <c r="AN114" s="61">
        <f t="shared" si="377"/>
        <v>0</v>
      </c>
    </row>
    <row r="115" spans="1:40" x14ac:dyDescent="0.2">
      <c r="A115" s="408"/>
      <c r="B115" s="89"/>
      <c r="C115" s="9"/>
      <c r="D115" s="76"/>
      <c r="E115" s="133"/>
      <c r="F115" s="9"/>
      <c r="G115" s="76"/>
      <c r="H115" s="133"/>
      <c r="I115" s="9"/>
      <c r="J115" s="76"/>
      <c r="K115" s="133"/>
      <c r="L115" s="9"/>
      <c r="M115" s="49"/>
      <c r="N115" s="350"/>
      <c r="O115" s="9"/>
      <c r="P115" s="49"/>
      <c r="Q115" s="46"/>
      <c r="R115" s="9"/>
      <c r="S115" s="61"/>
      <c r="T115" s="46"/>
      <c r="U115" s="9"/>
      <c r="V115" s="49"/>
      <c r="W115" s="46"/>
      <c r="X115" s="9"/>
      <c r="Y115" s="49"/>
      <c r="Z115" s="46"/>
      <c r="AA115" s="9"/>
      <c r="AB115" s="49"/>
      <c r="AC115" s="350"/>
      <c r="AD115" s="9"/>
      <c r="AE115" s="49"/>
      <c r="AF115" s="46"/>
      <c r="AG115" s="9"/>
      <c r="AH115" s="49"/>
      <c r="AI115" s="350"/>
      <c r="AJ115" s="9"/>
      <c r="AK115" s="49"/>
      <c r="AL115" s="46"/>
      <c r="AM115" s="9"/>
      <c r="AN115" s="61"/>
    </row>
    <row r="116" spans="1:40" x14ac:dyDescent="0.2">
      <c r="A116" s="407" t="s">
        <v>2313</v>
      </c>
      <c r="B116" s="89"/>
      <c r="C116" s="9"/>
      <c r="D116" s="76"/>
      <c r="E116" s="133"/>
      <c r="F116" s="9"/>
      <c r="G116" s="76"/>
      <c r="H116" s="133"/>
      <c r="I116" s="9"/>
      <c r="J116" s="76"/>
      <c r="K116" s="133"/>
      <c r="L116" s="9"/>
      <c r="M116" s="49"/>
      <c r="N116" s="350"/>
      <c r="O116" s="9"/>
      <c r="P116" s="49"/>
      <c r="Q116" s="46"/>
      <c r="R116" s="9"/>
      <c r="S116" s="61"/>
      <c r="T116" s="46"/>
      <c r="U116" s="9"/>
      <c r="V116" s="49"/>
      <c r="W116" s="46"/>
      <c r="X116" s="9"/>
      <c r="Y116" s="49"/>
      <c r="Z116" s="46"/>
      <c r="AA116" s="9"/>
      <c r="AB116" s="49"/>
      <c r="AC116" s="350"/>
      <c r="AD116" s="9"/>
      <c r="AE116" s="49"/>
      <c r="AF116" s="46"/>
      <c r="AG116" s="9"/>
      <c r="AH116" s="49"/>
      <c r="AI116" s="350"/>
      <c r="AJ116" s="9"/>
      <c r="AK116" s="49"/>
      <c r="AL116" s="46"/>
      <c r="AM116" s="9"/>
      <c r="AN116" s="61"/>
    </row>
    <row r="117" spans="1:40" x14ac:dyDescent="0.2">
      <c r="A117" s="408" t="s">
        <v>160</v>
      </c>
      <c r="B117" s="89">
        <v>412500</v>
      </c>
      <c r="C117" s="9">
        <f>'Res-Gen'!D192</f>
        <v>-238900</v>
      </c>
      <c r="D117" s="76">
        <f t="shared" ref="D117:D122" si="398">B117+C117</f>
        <v>173600</v>
      </c>
      <c r="E117" s="350">
        <f t="shared" ref="E117" si="399">D117</f>
        <v>173600</v>
      </c>
      <c r="F117" s="9">
        <f>'Res-Gen'!G192</f>
        <v>19300</v>
      </c>
      <c r="G117" s="76">
        <f t="shared" ref="G117:G122" si="400">E117+F117</f>
        <v>192900</v>
      </c>
      <c r="H117" s="350">
        <f t="shared" ref="H117" si="401">G117</f>
        <v>192900</v>
      </c>
      <c r="I117" s="9">
        <f>'Res-Gen'!J192</f>
        <v>-89400</v>
      </c>
      <c r="J117" s="76">
        <f t="shared" ref="J117:J122" si="402">H117+I117</f>
        <v>103500</v>
      </c>
      <c r="K117" s="133">
        <f t="shared" ref="K117:K122" si="403">J117</f>
        <v>103500</v>
      </c>
      <c r="L117" s="9">
        <f>'Res-Gen'!M192</f>
        <v>0</v>
      </c>
      <c r="M117" s="49">
        <f t="shared" ref="M117:M122" si="404">K117+L117</f>
        <v>103500</v>
      </c>
      <c r="N117" s="350">
        <f t="shared" ref="N117" si="405">M117</f>
        <v>103500</v>
      </c>
      <c r="O117" s="9">
        <f>'Res-Gen'!P192</f>
        <v>0</v>
      </c>
      <c r="P117" s="49">
        <f t="shared" ref="P117:P122" si="406">N117+O117</f>
        <v>103500</v>
      </c>
      <c r="Q117" s="46">
        <f t="shared" ref="Q117" si="407">P117</f>
        <v>103500</v>
      </c>
      <c r="R117" s="9">
        <f>'Res-Gen'!S192</f>
        <v>0</v>
      </c>
      <c r="S117" s="61">
        <f t="shared" ref="S117:S122" si="408">Q117+R117</f>
        <v>103500</v>
      </c>
      <c r="T117" s="46">
        <f t="shared" ref="T117" si="409">S117</f>
        <v>103500</v>
      </c>
      <c r="U117" s="9">
        <f>'Res-Gen'!V192</f>
        <v>0</v>
      </c>
      <c r="V117" s="49">
        <f t="shared" ref="V117:V122" si="410">T117+U117</f>
        <v>103500</v>
      </c>
      <c r="W117" s="46">
        <f t="shared" ref="W117" si="411">V117</f>
        <v>103500</v>
      </c>
      <c r="X117" s="9">
        <f>'Res-Gen'!Y192</f>
        <v>0</v>
      </c>
      <c r="Y117" s="49">
        <f t="shared" ref="Y117:Y122" si="412">W117+X117</f>
        <v>103500</v>
      </c>
      <c r="Z117" s="46">
        <f t="shared" ref="Z117" si="413">Y117</f>
        <v>103500</v>
      </c>
      <c r="AA117" s="9">
        <f>'Res-Gen'!AB192</f>
        <v>0</v>
      </c>
      <c r="AB117" s="49">
        <f t="shared" ref="AB117:AB122" si="414">Z117+AA117</f>
        <v>103500</v>
      </c>
      <c r="AC117" s="350">
        <f t="shared" ref="AC117" si="415">AB117</f>
        <v>103500</v>
      </c>
      <c r="AD117" s="9">
        <f>'Res-Gen'!AE192</f>
        <v>0</v>
      </c>
      <c r="AE117" s="49">
        <f t="shared" ref="AE117" si="416">AC117+AD117</f>
        <v>103500</v>
      </c>
      <c r="AF117" s="46">
        <f t="shared" ref="AF117:AF118" si="417">AE117</f>
        <v>103500</v>
      </c>
      <c r="AG117" s="9">
        <f>'Res-Gen'!AH192</f>
        <v>0</v>
      </c>
      <c r="AH117" s="49">
        <f t="shared" ref="AH117:AH118" si="418">AF117+AG117</f>
        <v>103500</v>
      </c>
      <c r="AI117" s="350">
        <f t="shared" ref="AI117:AI118" si="419">AH117</f>
        <v>103500</v>
      </c>
      <c r="AJ117" s="9">
        <f>'Res-Gen'!AK192</f>
        <v>0</v>
      </c>
      <c r="AK117" s="49">
        <f t="shared" ref="AK117:AK118" si="420">AI117+AJ117</f>
        <v>103500</v>
      </c>
      <c r="AL117" s="46">
        <f t="shared" ref="AL117:AL118" si="421">AK117</f>
        <v>103500</v>
      </c>
      <c r="AM117" s="9">
        <f>'Res-Gen'!AN192</f>
        <v>0</v>
      </c>
      <c r="AN117" s="61">
        <f t="shared" ref="AN117:AN118" si="422">AL117+AM117</f>
        <v>103500</v>
      </c>
    </row>
    <row r="118" spans="1:40" x14ac:dyDescent="0.2">
      <c r="A118" s="633" t="s">
        <v>4659</v>
      </c>
      <c r="B118" s="89">
        <v>1525500</v>
      </c>
      <c r="C118" s="9">
        <f>'Res-Gen'!D193</f>
        <v>195400</v>
      </c>
      <c r="D118" s="76">
        <f t="shared" ref="D118" si="423">B118+C118</f>
        <v>1720900</v>
      </c>
      <c r="E118" s="350">
        <f t="shared" ref="E118" si="424">D118</f>
        <v>1720900</v>
      </c>
      <c r="F118" s="9">
        <f>'Res-Gen'!G193</f>
        <v>-870900</v>
      </c>
      <c r="G118" s="76">
        <f t="shared" ref="G118" si="425">E118+F118</f>
        <v>850000</v>
      </c>
      <c r="H118" s="350">
        <f t="shared" ref="H118" si="426">G118</f>
        <v>850000</v>
      </c>
      <c r="I118" s="9">
        <f>'Res-Gen'!J193</f>
        <v>-425000</v>
      </c>
      <c r="J118" s="76">
        <f t="shared" ref="J118" si="427">H118+I118</f>
        <v>425000</v>
      </c>
      <c r="K118" s="133">
        <f t="shared" ref="K118" si="428">J118</f>
        <v>425000</v>
      </c>
      <c r="L118" s="9">
        <f>'Res-Gen'!M193</f>
        <v>-425000</v>
      </c>
      <c r="M118" s="49">
        <f t="shared" ref="M118" si="429">K118+L118</f>
        <v>0</v>
      </c>
      <c r="N118" s="350">
        <f t="shared" ref="N118" si="430">M118</f>
        <v>0</v>
      </c>
      <c r="O118" s="9">
        <f>'Res-Gen'!P193</f>
        <v>0</v>
      </c>
      <c r="P118" s="49">
        <f t="shared" ref="P118" si="431">N118+O118</f>
        <v>0</v>
      </c>
      <c r="Q118" s="46">
        <f t="shared" ref="Q118" si="432">P118</f>
        <v>0</v>
      </c>
      <c r="R118" s="9">
        <f>'Res-Gen'!S193</f>
        <v>0</v>
      </c>
      <c r="S118" s="61">
        <f t="shared" ref="S118" si="433">Q118+R118</f>
        <v>0</v>
      </c>
      <c r="T118" s="46">
        <f t="shared" ref="T118" si="434">S118</f>
        <v>0</v>
      </c>
      <c r="U118" s="9">
        <f>'Res-Gen'!V193</f>
        <v>0</v>
      </c>
      <c r="V118" s="49">
        <f t="shared" ref="V118" si="435">T118+U118</f>
        <v>0</v>
      </c>
      <c r="W118" s="46">
        <f t="shared" ref="W118" si="436">V118</f>
        <v>0</v>
      </c>
      <c r="X118" s="9">
        <f>'Res-Gen'!Y193</f>
        <v>0</v>
      </c>
      <c r="Y118" s="49">
        <f t="shared" ref="Y118" si="437">W118+X118</f>
        <v>0</v>
      </c>
      <c r="Z118" s="46">
        <f t="shared" ref="Z118" si="438">Y118</f>
        <v>0</v>
      </c>
      <c r="AA118" s="9">
        <f>'Res-Gen'!AB193</f>
        <v>0</v>
      </c>
      <c r="AB118" s="49">
        <f t="shared" ref="AB118" si="439">Z118+AA118</f>
        <v>0</v>
      </c>
      <c r="AC118" s="350">
        <f t="shared" ref="AC118" si="440">AB118</f>
        <v>0</v>
      </c>
      <c r="AD118" s="9">
        <f>'Res-Gen'!AE193</f>
        <v>0</v>
      </c>
      <c r="AE118" s="49">
        <f t="shared" ref="AE118" si="441">AC118+AD118</f>
        <v>0</v>
      </c>
      <c r="AF118" s="46">
        <f t="shared" si="417"/>
        <v>0</v>
      </c>
      <c r="AG118" s="9">
        <f>'Res-Gen'!AH193</f>
        <v>0</v>
      </c>
      <c r="AH118" s="49">
        <f t="shared" si="418"/>
        <v>0</v>
      </c>
      <c r="AI118" s="350">
        <f t="shared" si="419"/>
        <v>0</v>
      </c>
      <c r="AJ118" s="9">
        <f>'Res-Gen'!AK193</f>
        <v>0</v>
      </c>
      <c r="AK118" s="49">
        <f t="shared" si="420"/>
        <v>0</v>
      </c>
      <c r="AL118" s="46">
        <f t="shared" si="421"/>
        <v>0</v>
      </c>
      <c r="AM118" s="9">
        <f>'Res-Gen'!AN193</f>
        <v>0</v>
      </c>
      <c r="AN118" s="61">
        <f t="shared" si="422"/>
        <v>0</v>
      </c>
    </row>
    <row r="119" spans="1:40" x14ac:dyDescent="0.2">
      <c r="A119" s="633" t="s">
        <v>4129</v>
      </c>
      <c r="B119" s="89">
        <v>58200</v>
      </c>
      <c r="C119" s="9">
        <f>'Res-Gen'!D194</f>
        <v>-58200</v>
      </c>
      <c r="D119" s="76">
        <f t="shared" si="398"/>
        <v>0</v>
      </c>
      <c r="E119" s="350"/>
      <c r="F119" s="9"/>
      <c r="G119" s="76"/>
      <c r="H119" s="350"/>
      <c r="I119" s="9"/>
      <c r="J119" s="76"/>
      <c r="K119" s="133">
        <f t="shared" si="403"/>
        <v>0</v>
      </c>
      <c r="L119" s="9"/>
      <c r="M119" s="49"/>
      <c r="N119" s="350"/>
      <c r="O119" s="9"/>
      <c r="P119" s="49"/>
      <c r="Q119" s="46"/>
      <c r="R119" s="9"/>
      <c r="S119" s="61"/>
      <c r="T119" s="46"/>
      <c r="U119" s="9"/>
      <c r="V119" s="49"/>
      <c r="W119" s="46"/>
      <c r="X119" s="9"/>
      <c r="Y119" s="49"/>
      <c r="Z119" s="46"/>
      <c r="AA119" s="9"/>
      <c r="AB119" s="49"/>
      <c r="AC119" s="350"/>
      <c r="AD119" s="9"/>
      <c r="AE119" s="49"/>
      <c r="AF119" s="46"/>
      <c r="AG119" s="9"/>
      <c r="AH119" s="49"/>
      <c r="AI119" s="350"/>
      <c r="AJ119" s="9"/>
      <c r="AK119" s="49"/>
      <c r="AL119" s="46"/>
      <c r="AM119" s="9"/>
      <c r="AN119" s="61"/>
    </row>
    <row r="120" spans="1:40" x14ac:dyDescent="0.2">
      <c r="A120" s="408" t="s">
        <v>2058</v>
      </c>
      <c r="B120" s="89">
        <v>14800</v>
      </c>
      <c r="C120" s="9">
        <f>'Res-Gen'!D195</f>
        <v>-14800</v>
      </c>
      <c r="D120" s="76">
        <f t="shared" si="398"/>
        <v>0</v>
      </c>
      <c r="E120" s="350"/>
      <c r="F120" s="9"/>
      <c r="G120" s="76"/>
      <c r="H120" s="350"/>
      <c r="I120" s="9"/>
      <c r="J120" s="76"/>
      <c r="K120" s="133"/>
      <c r="L120" s="9"/>
      <c r="M120" s="49"/>
      <c r="N120" s="350"/>
      <c r="O120" s="9"/>
      <c r="P120" s="49"/>
      <c r="Q120" s="46"/>
      <c r="R120" s="9"/>
      <c r="S120" s="61"/>
      <c r="T120" s="46"/>
      <c r="U120" s="9"/>
      <c r="V120" s="49"/>
      <c r="W120" s="46"/>
      <c r="X120" s="9"/>
      <c r="Y120" s="49"/>
      <c r="Z120" s="46"/>
      <c r="AA120" s="9"/>
      <c r="AB120" s="49"/>
      <c r="AC120" s="350"/>
      <c r="AD120" s="9"/>
      <c r="AE120" s="49"/>
      <c r="AF120" s="46"/>
      <c r="AG120" s="9"/>
      <c r="AH120" s="49"/>
      <c r="AI120" s="350"/>
      <c r="AJ120" s="9"/>
      <c r="AK120" s="49"/>
      <c r="AL120" s="46"/>
      <c r="AM120" s="9"/>
      <c r="AN120" s="61"/>
    </row>
    <row r="121" spans="1:40" x14ac:dyDescent="0.2">
      <c r="A121" s="633" t="s">
        <v>875</v>
      </c>
      <c r="B121" s="89">
        <v>0</v>
      </c>
      <c r="C121" s="97">
        <f>SUM('Res-Gen'!D196)</f>
        <v>60000</v>
      </c>
      <c r="D121" s="76">
        <f t="shared" ref="D121" si="442">B121+C121</f>
        <v>60000</v>
      </c>
      <c r="E121" s="350">
        <f t="shared" ref="E121" si="443">D121</f>
        <v>60000</v>
      </c>
      <c r="F121" s="9">
        <f>'Res-Gen'!G196</f>
        <v>0</v>
      </c>
      <c r="G121" s="76">
        <f t="shared" ref="G121" si="444">E121+F121</f>
        <v>60000</v>
      </c>
      <c r="H121" s="350">
        <f t="shared" ref="H121" si="445">G121</f>
        <v>60000</v>
      </c>
      <c r="I121" s="9"/>
      <c r="J121" s="76">
        <f t="shared" ref="J121" si="446">H121+I121</f>
        <v>60000</v>
      </c>
      <c r="K121" s="133">
        <f t="shared" ref="K121" si="447">J121</f>
        <v>60000</v>
      </c>
      <c r="L121" s="9"/>
      <c r="M121" s="49">
        <f t="shared" ref="M121" si="448">K121+L121</f>
        <v>60000</v>
      </c>
      <c r="N121" s="350">
        <f t="shared" ref="N121" si="449">M121</f>
        <v>60000</v>
      </c>
      <c r="O121" s="9"/>
      <c r="P121" s="49">
        <f t="shared" ref="P121" si="450">N121+O121</f>
        <v>60000</v>
      </c>
      <c r="Q121" s="46">
        <f t="shared" ref="Q121" si="451">P121</f>
        <v>60000</v>
      </c>
      <c r="R121" s="9"/>
      <c r="S121" s="61">
        <f t="shared" ref="S121" si="452">Q121+R121</f>
        <v>60000</v>
      </c>
      <c r="T121" s="46">
        <f t="shared" ref="T121" si="453">S121</f>
        <v>60000</v>
      </c>
      <c r="U121" s="9"/>
      <c r="V121" s="49">
        <f t="shared" ref="V121" si="454">T121+U121</f>
        <v>60000</v>
      </c>
      <c r="W121" s="46">
        <f t="shared" ref="W121" si="455">V121</f>
        <v>60000</v>
      </c>
      <c r="X121" s="9"/>
      <c r="Y121" s="49">
        <f t="shared" ref="Y121" si="456">W121+X121</f>
        <v>60000</v>
      </c>
      <c r="Z121" s="46">
        <f t="shared" ref="Z121" si="457">Y121</f>
        <v>60000</v>
      </c>
      <c r="AA121" s="9"/>
      <c r="AB121" s="49">
        <f t="shared" ref="AB121" si="458">Z121+AA121</f>
        <v>60000</v>
      </c>
      <c r="AC121" s="350">
        <f t="shared" ref="AC121" si="459">AB121</f>
        <v>60000</v>
      </c>
      <c r="AD121" s="9"/>
      <c r="AE121" s="49">
        <f t="shared" ref="AE121" si="460">AC121+AD121</f>
        <v>60000</v>
      </c>
      <c r="AF121" s="46">
        <f t="shared" ref="AF121" si="461">AE121</f>
        <v>60000</v>
      </c>
      <c r="AG121" s="9"/>
      <c r="AH121" s="49">
        <f t="shared" ref="AH121" si="462">AF121+AG121</f>
        <v>60000</v>
      </c>
      <c r="AI121" s="350">
        <f t="shared" ref="AI121:AI122" si="463">AH121</f>
        <v>60000</v>
      </c>
      <c r="AJ121" s="9"/>
      <c r="AK121" s="49">
        <f t="shared" ref="AK121:AK122" si="464">AI121+AJ121</f>
        <v>60000</v>
      </c>
      <c r="AL121" s="46">
        <f t="shared" ref="AL121:AL122" si="465">AK121</f>
        <v>60000</v>
      </c>
      <c r="AM121" s="9"/>
      <c r="AN121" s="61">
        <f t="shared" ref="AN121:AN122" si="466">AL121+AM121</f>
        <v>60000</v>
      </c>
    </row>
    <row r="122" spans="1:40" x14ac:dyDescent="0.2">
      <c r="A122" s="408" t="s">
        <v>1227</v>
      </c>
      <c r="B122" s="89">
        <v>486300</v>
      </c>
      <c r="C122" s="97">
        <f>SUM('Res-Gen'!D197)</f>
        <v>24200</v>
      </c>
      <c r="D122" s="76">
        <f t="shared" si="398"/>
        <v>510500</v>
      </c>
      <c r="E122" s="350">
        <f t="shared" ref="E122" si="467">D122</f>
        <v>510500</v>
      </c>
      <c r="F122" s="9">
        <f>'Res-Gen'!G197</f>
        <v>-503200</v>
      </c>
      <c r="G122" s="76">
        <f t="shared" si="400"/>
        <v>7300</v>
      </c>
      <c r="H122" s="350">
        <f t="shared" ref="H122" si="468">G122</f>
        <v>7300</v>
      </c>
      <c r="I122" s="9">
        <f>+'Res-Gen'!J197</f>
        <v>-7300</v>
      </c>
      <c r="J122" s="76">
        <f t="shared" si="402"/>
        <v>0</v>
      </c>
      <c r="K122" s="133">
        <f t="shared" si="403"/>
        <v>0</v>
      </c>
      <c r="L122" s="9"/>
      <c r="M122" s="49">
        <f t="shared" si="404"/>
        <v>0</v>
      </c>
      <c r="N122" s="350">
        <f t="shared" ref="N122" si="469">M122</f>
        <v>0</v>
      </c>
      <c r="O122" s="9"/>
      <c r="P122" s="49">
        <f t="shared" si="406"/>
        <v>0</v>
      </c>
      <c r="Q122" s="46">
        <f t="shared" ref="Q122" si="470">P122</f>
        <v>0</v>
      </c>
      <c r="R122" s="9"/>
      <c r="S122" s="61">
        <f t="shared" si="408"/>
        <v>0</v>
      </c>
      <c r="T122" s="46">
        <f t="shared" ref="T122" si="471">S122</f>
        <v>0</v>
      </c>
      <c r="U122" s="9"/>
      <c r="V122" s="49">
        <f t="shared" si="410"/>
        <v>0</v>
      </c>
      <c r="W122" s="46">
        <f t="shared" ref="W122" si="472">V122</f>
        <v>0</v>
      </c>
      <c r="X122" s="9"/>
      <c r="Y122" s="49">
        <f t="shared" si="412"/>
        <v>0</v>
      </c>
      <c r="Z122" s="46">
        <f t="shared" ref="Z122" si="473">Y122</f>
        <v>0</v>
      </c>
      <c r="AA122" s="9"/>
      <c r="AB122" s="49">
        <f t="shared" si="414"/>
        <v>0</v>
      </c>
      <c r="AC122" s="350">
        <f t="shared" ref="AC122" si="474">AB122</f>
        <v>0</v>
      </c>
      <c r="AD122" s="9"/>
      <c r="AE122" s="49">
        <f t="shared" ref="AE122" si="475">AC122+AD122</f>
        <v>0</v>
      </c>
      <c r="AF122" s="46">
        <f t="shared" ref="AF122" si="476">AE122</f>
        <v>0</v>
      </c>
      <c r="AG122" s="9"/>
      <c r="AH122" s="49">
        <f t="shared" ref="AH122" si="477">AF122+AG122</f>
        <v>0</v>
      </c>
      <c r="AI122" s="350">
        <f t="shared" si="463"/>
        <v>0</v>
      </c>
      <c r="AJ122" s="9"/>
      <c r="AK122" s="49">
        <f t="shared" si="464"/>
        <v>0</v>
      </c>
      <c r="AL122" s="46">
        <f t="shared" si="465"/>
        <v>0</v>
      </c>
      <c r="AM122" s="9"/>
      <c r="AN122" s="61">
        <f t="shared" si="466"/>
        <v>0</v>
      </c>
    </row>
    <row r="123" spans="1:40" x14ac:dyDescent="0.2">
      <c r="A123" s="408"/>
      <c r="B123" s="89"/>
      <c r="C123" s="9"/>
      <c r="D123" s="76"/>
      <c r="E123" s="350"/>
      <c r="F123" s="9"/>
      <c r="G123" s="76"/>
      <c r="H123" s="350"/>
      <c r="I123" s="9"/>
      <c r="J123" s="76"/>
      <c r="K123" s="133"/>
      <c r="L123" s="9"/>
      <c r="M123" s="49"/>
      <c r="N123" s="350"/>
      <c r="O123" s="9"/>
      <c r="P123" s="49"/>
      <c r="Q123" s="46"/>
      <c r="R123" s="9"/>
      <c r="S123" s="61"/>
      <c r="T123" s="46"/>
      <c r="U123" s="9"/>
      <c r="V123" s="49"/>
      <c r="W123" s="46"/>
      <c r="X123" s="9"/>
      <c r="Y123" s="49"/>
      <c r="Z123" s="46"/>
      <c r="AA123" s="9"/>
      <c r="AB123" s="49"/>
      <c r="AC123" s="350"/>
      <c r="AD123" s="9"/>
      <c r="AE123" s="49"/>
      <c r="AF123" s="46"/>
      <c r="AG123" s="9"/>
      <c r="AH123" s="49"/>
      <c r="AI123" s="350"/>
      <c r="AJ123" s="9"/>
      <c r="AK123" s="49"/>
      <c r="AL123" s="46"/>
      <c r="AM123" s="9"/>
      <c r="AN123" s="61"/>
    </row>
    <row r="124" spans="1:40" x14ac:dyDescent="0.2">
      <c r="A124" s="778" t="s">
        <v>452</v>
      </c>
      <c r="B124" s="89"/>
      <c r="C124" s="9"/>
      <c r="D124" s="76"/>
      <c r="E124" s="350"/>
      <c r="F124" s="9"/>
      <c r="G124" s="76"/>
      <c r="H124" s="350"/>
      <c r="I124" s="9"/>
      <c r="J124" s="76"/>
      <c r="K124" s="133"/>
      <c r="L124" s="9"/>
      <c r="M124" s="49"/>
      <c r="N124" s="350"/>
      <c r="O124" s="9"/>
      <c r="P124" s="49"/>
      <c r="Q124" s="46"/>
      <c r="R124" s="9"/>
      <c r="S124" s="61"/>
      <c r="T124" s="46"/>
      <c r="U124" s="9"/>
      <c r="V124" s="49"/>
      <c r="W124" s="46"/>
      <c r="X124" s="9"/>
      <c r="Y124" s="49"/>
      <c r="Z124" s="46"/>
      <c r="AA124" s="9"/>
      <c r="AB124" s="49"/>
      <c r="AC124" s="350"/>
      <c r="AD124" s="9"/>
      <c r="AE124" s="49"/>
      <c r="AF124" s="46"/>
      <c r="AG124" s="9"/>
      <c r="AH124" s="49"/>
      <c r="AI124" s="350"/>
      <c r="AJ124" s="9"/>
      <c r="AK124" s="49"/>
      <c r="AL124" s="46"/>
      <c r="AM124" s="9"/>
      <c r="AN124" s="61"/>
    </row>
    <row r="125" spans="1:40" x14ac:dyDescent="0.2">
      <c r="A125" s="633" t="s">
        <v>5267</v>
      </c>
      <c r="B125" s="89">
        <f>80900+63200</f>
        <v>144100</v>
      </c>
      <c r="C125" s="9">
        <f>'Res-Gen'!D205+'Res-Gen'!D203+'Res-Gen'!D200++'Res-Gen'!D207+'Res-Gen'!D206+'Res-Gen'!D204</f>
        <v>-22000</v>
      </c>
      <c r="D125" s="76">
        <f>B125+C125</f>
        <v>122100</v>
      </c>
      <c r="E125" s="350">
        <f t="shared" ref="E125" si="478">D125</f>
        <v>122100</v>
      </c>
      <c r="F125" s="9">
        <f>SUM('Res-Gen'!G200:G208)</f>
        <v>220700</v>
      </c>
      <c r="G125" s="76">
        <f>E125+F125</f>
        <v>342800</v>
      </c>
      <c r="H125" s="350">
        <f t="shared" ref="H125" si="479">G125</f>
        <v>342800</v>
      </c>
      <c r="I125" s="9">
        <f>+'Res-Gen'!J205</f>
        <v>-339700</v>
      </c>
      <c r="J125" s="76">
        <f>H125+I125</f>
        <v>3100</v>
      </c>
      <c r="K125" s="133">
        <f>J125</f>
        <v>3100</v>
      </c>
      <c r="L125" s="9"/>
      <c r="M125" s="49">
        <f>K125+L125</f>
        <v>3100</v>
      </c>
      <c r="N125" s="350">
        <f t="shared" ref="N125" si="480">M125</f>
        <v>3100</v>
      </c>
      <c r="O125" s="9"/>
      <c r="P125" s="49">
        <f>N125+O125</f>
        <v>3100</v>
      </c>
      <c r="Q125" s="46">
        <f t="shared" ref="Q125" si="481">P125</f>
        <v>3100</v>
      </c>
      <c r="R125" s="9"/>
      <c r="S125" s="61">
        <f>Q125+R125</f>
        <v>3100</v>
      </c>
      <c r="T125" s="46">
        <f t="shared" ref="T125" si="482">S125</f>
        <v>3100</v>
      </c>
      <c r="U125" s="9"/>
      <c r="V125" s="49">
        <f>T125+U125</f>
        <v>3100</v>
      </c>
      <c r="W125" s="46">
        <f t="shared" ref="W125" si="483">V125</f>
        <v>3100</v>
      </c>
      <c r="X125" s="9"/>
      <c r="Y125" s="49">
        <f>W125+X125</f>
        <v>3100</v>
      </c>
      <c r="Z125" s="46">
        <f t="shared" ref="Z125" si="484">Y125</f>
        <v>3100</v>
      </c>
      <c r="AA125" s="9"/>
      <c r="AB125" s="49">
        <f>Z125+AA125</f>
        <v>3100</v>
      </c>
      <c r="AC125" s="350">
        <f t="shared" ref="AC125" si="485">AB125</f>
        <v>3100</v>
      </c>
      <c r="AD125" s="9"/>
      <c r="AE125" s="49">
        <f>AC125+AD125</f>
        <v>3100</v>
      </c>
      <c r="AF125" s="46">
        <f t="shared" ref="AF125" si="486">AE125</f>
        <v>3100</v>
      </c>
      <c r="AG125" s="9"/>
      <c r="AH125" s="49">
        <f>AF125+AG125</f>
        <v>3100</v>
      </c>
      <c r="AI125" s="350">
        <f t="shared" ref="AI125" si="487">AH125</f>
        <v>3100</v>
      </c>
      <c r="AJ125" s="9"/>
      <c r="AK125" s="49">
        <f>AI125+AJ125</f>
        <v>3100</v>
      </c>
      <c r="AL125" s="46">
        <f t="shared" ref="AL125:AL126" si="488">AK125</f>
        <v>3100</v>
      </c>
      <c r="AM125" s="9"/>
      <c r="AN125" s="61">
        <f>AL125+AM125</f>
        <v>3100</v>
      </c>
    </row>
    <row r="126" spans="1:40" x14ac:dyDescent="0.2">
      <c r="A126" s="633" t="s">
        <v>6821</v>
      </c>
      <c r="B126" s="89">
        <v>0</v>
      </c>
      <c r="C126" s="9">
        <f>'Res-Gen'!D212</f>
        <v>0</v>
      </c>
      <c r="D126" s="76">
        <f>B126+C126</f>
        <v>0</v>
      </c>
      <c r="E126" s="350">
        <f t="shared" ref="E126" si="489">D126</f>
        <v>0</v>
      </c>
      <c r="F126" s="9">
        <f>'Res-Gen'!G212</f>
        <v>0</v>
      </c>
      <c r="G126" s="76">
        <f>E126+F126</f>
        <v>0</v>
      </c>
      <c r="H126" s="350">
        <f t="shared" ref="H126" si="490">G126</f>
        <v>0</v>
      </c>
      <c r="I126" s="9">
        <f>'Res-Gen'!J212</f>
        <v>0</v>
      </c>
      <c r="J126" s="76">
        <f>H126+I126</f>
        <v>0</v>
      </c>
      <c r="K126" s="133">
        <f>J126</f>
        <v>0</v>
      </c>
      <c r="L126" s="9">
        <f>'Res-Gen'!M212</f>
        <v>50000</v>
      </c>
      <c r="M126" s="49">
        <f>K126+L126</f>
        <v>50000</v>
      </c>
      <c r="N126" s="350">
        <f t="shared" ref="N126" si="491">M126</f>
        <v>50000</v>
      </c>
      <c r="O126" s="9">
        <f>'Res-Gen'!P212</f>
        <v>-50000</v>
      </c>
      <c r="P126" s="49">
        <f>N126+O126</f>
        <v>0</v>
      </c>
      <c r="Q126" s="46">
        <f t="shared" ref="Q126" si="492">P126</f>
        <v>0</v>
      </c>
      <c r="R126" s="9">
        <f>'Res-Gen'!S212</f>
        <v>50000</v>
      </c>
      <c r="S126" s="61">
        <f>Q126+R126</f>
        <v>50000</v>
      </c>
      <c r="T126" s="46">
        <f t="shared" ref="T126" si="493">S126</f>
        <v>50000</v>
      </c>
      <c r="U126" s="9">
        <f>'Res-Gen'!V212</f>
        <v>-50000</v>
      </c>
      <c r="V126" s="49">
        <f>T126+U126</f>
        <v>0</v>
      </c>
      <c r="W126" s="46">
        <f t="shared" ref="W126" si="494">V126</f>
        <v>0</v>
      </c>
      <c r="X126" s="9">
        <f>'Res-Gen'!Y212</f>
        <v>50000</v>
      </c>
      <c r="Y126" s="49">
        <f>W126+X126</f>
        <v>50000</v>
      </c>
      <c r="Z126" s="46">
        <f t="shared" ref="Z126" si="495">Y126</f>
        <v>50000</v>
      </c>
      <c r="AA126" s="9">
        <f>'Res-Gen'!AB212</f>
        <v>-50000</v>
      </c>
      <c r="AB126" s="49">
        <f>Z126+AA126</f>
        <v>0</v>
      </c>
      <c r="AC126" s="350">
        <f t="shared" ref="AC126" si="496">AB126</f>
        <v>0</v>
      </c>
      <c r="AD126" s="9">
        <f>'Res-Gen'!AE212</f>
        <v>50000</v>
      </c>
      <c r="AE126" s="49">
        <f>AC126+AD126</f>
        <v>50000</v>
      </c>
      <c r="AF126" s="46">
        <f t="shared" ref="AF126" si="497">AE126</f>
        <v>50000</v>
      </c>
      <c r="AG126" s="9">
        <f>'Res-Gen'!AH212</f>
        <v>-50000</v>
      </c>
      <c r="AH126" s="49">
        <f>AF126+AG126</f>
        <v>0</v>
      </c>
      <c r="AI126" s="350">
        <f t="shared" ref="AI126" si="498">AH126</f>
        <v>0</v>
      </c>
      <c r="AJ126" s="9">
        <f>'Res-Gen'!AK212</f>
        <v>50000</v>
      </c>
      <c r="AK126" s="49">
        <f>AI126+AJ126</f>
        <v>50000</v>
      </c>
      <c r="AL126" s="46">
        <f t="shared" si="488"/>
        <v>50000</v>
      </c>
      <c r="AM126" s="9">
        <f>'Res-Gen'!AN212</f>
        <v>-50000</v>
      </c>
      <c r="AN126" s="61">
        <f>AL126+AM126</f>
        <v>0</v>
      </c>
    </row>
    <row r="127" spans="1:40" x14ac:dyDescent="0.2">
      <c r="A127" s="408"/>
      <c r="B127" s="89"/>
      <c r="C127" s="9"/>
      <c r="D127" s="76"/>
      <c r="E127" s="350"/>
      <c r="F127" s="9"/>
      <c r="G127" s="76"/>
      <c r="H127" s="350"/>
      <c r="I127" s="9"/>
      <c r="J127" s="76"/>
      <c r="K127" s="133"/>
      <c r="L127" s="9"/>
      <c r="M127" s="49"/>
      <c r="N127" s="350"/>
      <c r="O127" s="9"/>
      <c r="P127" s="49"/>
      <c r="Q127" s="46"/>
      <c r="R127" s="9"/>
      <c r="S127" s="61"/>
      <c r="T127" s="46"/>
      <c r="U127" s="9"/>
      <c r="V127" s="49"/>
      <c r="W127" s="46"/>
      <c r="X127" s="9"/>
      <c r="Y127" s="49"/>
      <c r="Z127" s="46"/>
      <c r="AA127" s="9"/>
      <c r="AB127" s="49"/>
      <c r="AC127" s="350"/>
      <c r="AD127" s="9"/>
      <c r="AE127" s="49"/>
      <c r="AF127" s="46"/>
      <c r="AG127" s="9"/>
      <c r="AH127" s="49"/>
      <c r="AI127" s="350"/>
      <c r="AJ127" s="9"/>
      <c r="AK127" s="49"/>
      <c r="AL127" s="46"/>
      <c r="AM127" s="9"/>
      <c r="AN127" s="61"/>
    </row>
    <row r="128" spans="1:40" x14ac:dyDescent="0.2">
      <c r="A128" s="778" t="s">
        <v>3020</v>
      </c>
      <c r="B128" s="89"/>
      <c r="C128" s="9"/>
      <c r="D128" s="76"/>
      <c r="E128" s="350"/>
      <c r="F128" s="9"/>
      <c r="G128" s="76"/>
      <c r="H128" s="350"/>
      <c r="I128" s="9"/>
      <c r="J128" s="76"/>
      <c r="K128" s="133"/>
      <c r="L128" s="9"/>
      <c r="M128" s="49"/>
      <c r="N128" s="350"/>
      <c r="O128" s="9"/>
      <c r="P128" s="49"/>
      <c r="Q128" s="46"/>
      <c r="R128" s="9"/>
      <c r="S128" s="61"/>
      <c r="T128" s="46"/>
      <c r="U128" s="9"/>
      <c r="V128" s="49"/>
      <c r="W128" s="46"/>
      <c r="X128" s="9"/>
      <c r="Y128" s="49"/>
      <c r="Z128" s="46"/>
      <c r="AA128" s="9"/>
      <c r="AB128" s="49"/>
      <c r="AC128" s="350"/>
      <c r="AD128" s="9"/>
      <c r="AE128" s="49"/>
      <c r="AF128" s="46"/>
      <c r="AG128" s="9"/>
      <c r="AH128" s="49"/>
      <c r="AI128" s="350"/>
      <c r="AJ128" s="9"/>
      <c r="AK128" s="49"/>
      <c r="AL128" s="46"/>
      <c r="AM128" s="9"/>
      <c r="AN128" s="61"/>
    </row>
    <row r="129" spans="1:43" x14ac:dyDescent="0.2">
      <c r="A129" s="633" t="s">
        <v>3020</v>
      </c>
      <c r="B129" s="89">
        <v>146900</v>
      </c>
      <c r="C129" s="9">
        <f>'Res-Gen'!D215</f>
        <v>-43800</v>
      </c>
      <c r="D129" s="76">
        <f>B129+C129</f>
        <v>103100</v>
      </c>
      <c r="E129" s="350">
        <f>D129</f>
        <v>103100</v>
      </c>
      <c r="F129" s="9">
        <f>'Res-Gen'!G215</f>
        <v>-103100</v>
      </c>
      <c r="G129" s="76">
        <f>E129+F129</f>
        <v>0</v>
      </c>
      <c r="H129" s="350">
        <f>G129</f>
        <v>0</v>
      </c>
      <c r="I129" s="9">
        <f>'Res-Gen'!J217</f>
        <v>0</v>
      </c>
      <c r="J129" s="76">
        <f>H129+I129</f>
        <v>0</v>
      </c>
      <c r="K129" s="133">
        <f>J129</f>
        <v>0</v>
      </c>
      <c r="L129" s="9">
        <f>'Res-Gen'!M217</f>
        <v>0</v>
      </c>
      <c r="M129" s="49">
        <f>K129+L129</f>
        <v>0</v>
      </c>
      <c r="N129" s="350">
        <f>M129</f>
        <v>0</v>
      </c>
      <c r="O129" s="9">
        <f>'Res-Gen'!P217</f>
        <v>0</v>
      </c>
      <c r="P129" s="49">
        <f>N129+O129</f>
        <v>0</v>
      </c>
      <c r="Q129" s="46">
        <f>P129</f>
        <v>0</v>
      </c>
      <c r="R129" s="9">
        <f>'Res-Gen'!S217</f>
        <v>0</v>
      </c>
      <c r="S129" s="61">
        <f>Q129+R129</f>
        <v>0</v>
      </c>
      <c r="T129" s="46">
        <f>S129</f>
        <v>0</v>
      </c>
      <c r="U129" s="9">
        <f>'Res-Gen'!V217</f>
        <v>0</v>
      </c>
      <c r="V129" s="49">
        <f>T129+U129</f>
        <v>0</v>
      </c>
      <c r="W129" s="46">
        <f>V129</f>
        <v>0</v>
      </c>
      <c r="X129" s="9">
        <f>'Res-Gen'!Y217</f>
        <v>0</v>
      </c>
      <c r="Y129" s="49">
        <f>W129+X129</f>
        <v>0</v>
      </c>
      <c r="Z129" s="46">
        <f>Y129</f>
        <v>0</v>
      </c>
      <c r="AA129" s="9">
        <f>'Res-Gen'!AB217</f>
        <v>0</v>
      </c>
      <c r="AB129" s="49">
        <f>Z129+AA129</f>
        <v>0</v>
      </c>
      <c r="AC129" s="350">
        <f>AB129</f>
        <v>0</v>
      </c>
      <c r="AD129" s="9">
        <f>'Res-Gen'!AE217</f>
        <v>0</v>
      </c>
      <c r="AE129" s="49">
        <f>AC129+AD129</f>
        <v>0</v>
      </c>
      <c r="AF129" s="46">
        <f>AE129</f>
        <v>0</v>
      </c>
      <c r="AG129" s="9">
        <f>'Res-Gen'!AH217</f>
        <v>0</v>
      </c>
      <c r="AH129" s="49">
        <f>AF129+AG129</f>
        <v>0</v>
      </c>
      <c r="AI129" s="350">
        <f>AH129</f>
        <v>0</v>
      </c>
      <c r="AJ129" s="9">
        <f>'Res-Gen'!AK217</f>
        <v>0</v>
      </c>
      <c r="AK129" s="49">
        <f>AI129+AJ129</f>
        <v>0</v>
      </c>
      <c r="AL129" s="46">
        <f>AK129</f>
        <v>0</v>
      </c>
      <c r="AM129" s="9">
        <f>'Res-Gen'!AN217</f>
        <v>0</v>
      </c>
      <c r="AN129" s="61">
        <f>AL129+AM129</f>
        <v>0</v>
      </c>
    </row>
    <row r="130" spans="1:43" x14ac:dyDescent="0.2">
      <c r="A130" s="408"/>
      <c r="B130" s="89"/>
      <c r="C130" s="9"/>
      <c r="D130" s="76"/>
      <c r="E130" s="133"/>
      <c r="F130" s="9"/>
      <c r="G130" s="76"/>
      <c r="H130" s="133"/>
      <c r="I130" s="9"/>
      <c r="J130" s="76"/>
      <c r="K130" s="133"/>
      <c r="L130" s="9"/>
      <c r="M130" s="49"/>
      <c r="N130" s="350"/>
      <c r="O130" s="9"/>
      <c r="P130" s="49"/>
      <c r="Q130" s="46"/>
      <c r="R130" s="9"/>
      <c r="S130" s="61"/>
      <c r="T130" s="46"/>
      <c r="U130" s="9"/>
      <c r="V130" s="49"/>
      <c r="W130" s="46"/>
      <c r="X130" s="9"/>
      <c r="Y130" s="49"/>
      <c r="Z130" s="46"/>
      <c r="AA130" s="9"/>
      <c r="AB130" s="49"/>
      <c r="AC130" s="350"/>
      <c r="AD130" s="9"/>
      <c r="AE130" s="49"/>
      <c r="AF130" s="46"/>
      <c r="AG130" s="9"/>
      <c r="AH130" s="49"/>
      <c r="AI130" s="350"/>
      <c r="AJ130" s="9"/>
      <c r="AK130" s="49"/>
      <c r="AL130" s="46"/>
      <c r="AM130" s="9"/>
      <c r="AN130" s="61"/>
    </row>
    <row r="131" spans="1:43" x14ac:dyDescent="0.2">
      <c r="A131" s="778" t="s">
        <v>491</v>
      </c>
      <c r="B131" s="89"/>
      <c r="C131" s="9"/>
      <c r="D131" s="76"/>
      <c r="E131" s="133"/>
      <c r="F131" s="9"/>
      <c r="G131" s="76"/>
      <c r="H131" s="133"/>
      <c r="I131" s="9"/>
      <c r="J131" s="76"/>
      <c r="K131" s="133"/>
      <c r="L131" s="9"/>
      <c r="M131" s="49"/>
      <c r="N131" s="350"/>
      <c r="O131" s="9"/>
      <c r="P131" s="49"/>
      <c r="Q131" s="46"/>
      <c r="R131" s="9"/>
      <c r="S131" s="61"/>
      <c r="T131" s="46"/>
      <c r="U131" s="9"/>
      <c r="V131" s="49"/>
      <c r="W131" s="46"/>
      <c r="X131" s="9"/>
      <c r="Y131" s="49"/>
      <c r="Z131" s="46"/>
      <c r="AA131" s="9"/>
      <c r="AB131" s="49"/>
      <c r="AC131" s="350"/>
      <c r="AD131" s="9"/>
      <c r="AE131" s="49"/>
      <c r="AF131" s="46"/>
      <c r="AG131" s="9"/>
      <c r="AH131" s="49"/>
      <c r="AI131" s="350"/>
      <c r="AJ131" s="9"/>
      <c r="AK131" s="49"/>
      <c r="AL131" s="46"/>
      <c r="AM131" s="9"/>
      <c r="AN131" s="61"/>
    </row>
    <row r="132" spans="1:43" x14ac:dyDescent="0.2">
      <c r="A132" s="633" t="s">
        <v>3062</v>
      </c>
      <c r="B132" s="89">
        <v>501600</v>
      </c>
      <c r="C132" s="9">
        <f>+'Res-Gen'!D219+'Res-Gen'!D229</f>
        <v>-248300</v>
      </c>
      <c r="D132" s="76">
        <f t="shared" ref="D132:D139" si="499">B132+C132</f>
        <v>253300</v>
      </c>
      <c r="E132" s="350">
        <f>D132</f>
        <v>253300</v>
      </c>
      <c r="F132" s="9">
        <f>SUM('Res-Gen'!G218:G223)+'Res-Gen'!G232</f>
        <v>-14300</v>
      </c>
      <c r="G132" s="76">
        <f t="shared" ref="G132:G139" si="500">E132+F132</f>
        <v>239000</v>
      </c>
      <c r="H132" s="350">
        <f t="shared" ref="H132:H139" si="501">G132</f>
        <v>239000</v>
      </c>
      <c r="I132" s="9">
        <f>'Res-Gen'!J221+'Res-Gen'!J219+'Res-Gen'!J222+'Res-Gen'!J220</f>
        <v>-135200</v>
      </c>
      <c r="J132" s="76">
        <f t="shared" ref="J132:J139" si="502">H132+I132</f>
        <v>103800</v>
      </c>
      <c r="K132" s="133">
        <f t="shared" ref="K132:K139" si="503">J132</f>
        <v>103800</v>
      </c>
      <c r="L132" s="9"/>
      <c r="M132" s="49">
        <f t="shared" ref="M132:M139" si="504">K132+L132</f>
        <v>103800</v>
      </c>
      <c r="N132" s="350">
        <f t="shared" ref="N132:N139" si="505">M132</f>
        <v>103800</v>
      </c>
      <c r="O132" s="9"/>
      <c r="P132" s="49">
        <f t="shared" ref="P132:P139" si="506">N132+O132</f>
        <v>103800</v>
      </c>
      <c r="Q132" s="46">
        <f t="shared" ref="Q132:Q139" si="507">P132</f>
        <v>103800</v>
      </c>
      <c r="R132" s="9"/>
      <c r="S132" s="61">
        <f t="shared" ref="S132:S139" si="508">Q132+R132</f>
        <v>103800</v>
      </c>
      <c r="T132" s="46">
        <f t="shared" ref="T132:T139" si="509">S132</f>
        <v>103800</v>
      </c>
      <c r="U132" s="9"/>
      <c r="V132" s="49">
        <f t="shared" ref="V132:V139" si="510">T132+U132</f>
        <v>103800</v>
      </c>
      <c r="W132" s="46">
        <f t="shared" ref="W132:W139" si="511">V132</f>
        <v>103800</v>
      </c>
      <c r="X132" s="9"/>
      <c r="Y132" s="49">
        <f t="shared" ref="Y132:Y139" si="512">W132+X132</f>
        <v>103800</v>
      </c>
      <c r="Z132" s="46">
        <f t="shared" ref="Z132:Z139" si="513">Y132</f>
        <v>103800</v>
      </c>
      <c r="AA132" s="9"/>
      <c r="AB132" s="49">
        <f t="shared" ref="AB132:AB139" si="514">Z132+AA132</f>
        <v>103800</v>
      </c>
      <c r="AC132" s="350">
        <f t="shared" ref="AC132" si="515">AB132</f>
        <v>103800</v>
      </c>
      <c r="AD132" s="9"/>
      <c r="AE132" s="49">
        <f t="shared" ref="AE132" si="516">AC132+AD132</f>
        <v>103800</v>
      </c>
      <c r="AF132" s="46">
        <f t="shared" ref="AF132" si="517">AE132</f>
        <v>103800</v>
      </c>
      <c r="AG132" s="9"/>
      <c r="AH132" s="49">
        <f t="shared" ref="AH132" si="518">AF132+AG132</f>
        <v>103800</v>
      </c>
      <c r="AI132" s="350">
        <f t="shared" ref="AI132" si="519">AH132</f>
        <v>103800</v>
      </c>
      <c r="AJ132" s="9"/>
      <c r="AK132" s="49">
        <f t="shared" ref="AK132" si="520">AI132+AJ132</f>
        <v>103800</v>
      </c>
      <c r="AL132" s="46">
        <f t="shared" ref="AL132" si="521">AK132</f>
        <v>103800</v>
      </c>
      <c r="AM132" s="9"/>
      <c r="AN132" s="61">
        <f t="shared" ref="AN132" si="522">AL132+AM132</f>
        <v>103800</v>
      </c>
    </row>
    <row r="133" spans="1:43" x14ac:dyDescent="0.2">
      <c r="A133" s="408" t="s">
        <v>163</v>
      </c>
      <c r="B133" s="89">
        <v>178000</v>
      </c>
      <c r="C133" s="9">
        <f>'Res-Gen'!D225</f>
        <v>-19100</v>
      </c>
      <c r="D133" s="76">
        <f>B133+C133</f>
        <v>158900</v>
      </c>
      <c r="E133" s="350">
        <f>D133</f>
        <v>158900</v>
      </c>
      <c r="F133" s="9">
        <f>'Res-Gen'!G225+'Res-Gen'!G226</f>
        <v>-27000</v>
      </c>
      <c r="G133" s="76">
        <f>E133+F133</f>
        <v>131900</v>
      </c>
      <c r="H133" s="350">
        <f>G133</f>
        <v>131900</v>
      </c>
      <c r="I133" s="9">
        <f>'Res-Gen'!J225</f>
        <v>-101900</v>
      </c>
      <c r="J133" s="76">
        <f>H133+I133</f>
        <v>30000</v>
      </c>
      <c r="K133" s="133">
        <f>J133</f>
        <v>30000</v>
      </c>
      <c r="L133" s="9">
        <f>'Res-Gen'!M225</f>
        <v>0</v>
      </c>
      <c r="M133" s="49">
        <f>K133+L133</f>
        <v>30000</v>
      </c>
      <c r="N133" s="350">
        <f>M133</f>
        <v>30000</v>
      </c>
      <c r="O133" s="9">
        <f>'Res-Gen'!P225</f>
        <v>0</v>
      </c>
      <c r="P133" s="49">
        <f>N133+O133</f>
        <v>30000</v>
      </c>
      <c r="Q133" s="46">
        <f>P133</f>
        <v>30000</v>
      </c>
      <c r="R133" s="9">
        <f>'Res-Gen'!S225</f>
        <v>0</v>
      </c>
      <c r="S133" s="61">
        <f>Q133+R133</f>
        <v>30000</v>
      </c>
      <c r="T133" s="46">
        <f>S133</f>
        <v>30000</v>
      </c>
      <c r="U133" s="9">
        <f>'Res-Gen'!V225</f>
        <v>0</v>
      </c>
      <c r="V133" s="49">
        <f>T133+U133</f>
        <v>30000</v>
      </c>
      <c r="W133" s="46">
        <f>V133</f>
        <v>30000</v>
      </c>
      <c r="X133" s="9">
        <f>'Res-Gen'!Y225</f>
        <v>0</v>
      </c>
      <c r="Y133" s="49">
        <f>W133+X133</f>
        <v>30000</v>
      </c>
      <c r="Z133" s="46">
        <f>Y133</f>
        <v>30000</v>
      </c>
      <c r="AA133" s="9">
        <f>'Res-Gen'!AB225</f>
        <v>0</v>
      </c>
      <c r="AB133" s="49">
        <f>Z133+AA133</f>
        <v>30000</v>
      </c>
      <c r="AC133" s="350">
        <f>AB133</f>
        <v>30000</v>
      </c>
      <c r="AD133" s="9">
        <f>'Res-Gen'!AE225</f>
        <v>0</v>
      </c>
      <c r="AE133" s="49">
        <f>AC133+AD133</f>
        <v>30000</v>
      </c>
      <c r="AF133" s="46">
        <f>AE133</f>
        <v>30000</v>
      </c>
      <c r="AG133" s="9">
        <f>'Res-Gen'!AH225</f>
        <v>0</v>
      </c>
      <c r="AH133" s="49">
        <f>AF133+AG133</f>
        <v>30000</v>
      </c>
      <c r="AI133" s="350">
        <f>AH133</f>
        <v>30000</v>
      </c>
      <c r="AJ133" s="9">
        <f>'Res-Gen'!AK225</f>
        <v>0</v>
      </c>
      <c r="AK133" s="49">
        <f>AI133+AJ133</f>
        <v>30000</v>
      </c>
      <c r="AL133" s="46">
        <f>AK133</f>
        <v>30000</v>
      </c>
      <c r="AM133" s="9">
        <f>'Res-Gen'!AN225</f>
        <v>0</v>
      </c>
      <c r="AN133" s="61">
        <f>AL133+AM133</f>
        <v>30000</v>
      </c>
    </row>
    <row r="134" spans="1:43" x14ac:dyDescent="0.2">
      <c r="A134" s="408"/>
      <c r="B134" s="89"/>
      <c r="C134" s="9"/>
      <c r="D134" s="76"/>
      <c r="E134" s="350"/>
      <c r="F134" s="9"/>
      <c r="G134" s="76"/>
      <c r="H134" s="350"/>
      <c r="I134" s="9"/>
      <c r="J134" s="76"/>
      <c r="K134" s="133"/>
      <c r="L134" s="9"/>
      <c r="M134" s="49"/>
      <c r="N134" s="350"/>
      <c r="O134" s="9"/>
      <c r="P134" s="49"/>
      <c r="Q134" s="46"/>
      <c r="R134" s="9"/>
      <c r="S134" s="61"/>
      <c r="T134" s="46"/>
      <c r="U134" s="9"/>
      <c r="V134" s="49"/>
      <c r="W134" s="46"/>
      <c r="X134" s="9"/>
      <c r="Y134" s="49"/>
      <c r="Z134" s="46"/>
      <c r="AA134" s="9"/>
      <c r="AB134" s="49"/>
      <c r="AC134" s="350"/>
      <c r="AD134" s="9"/>
      <c r="AE134" s="49"/>
      <c r="AF134" s="46"/>
      <c r="AG134" s="9"/>
      <c r="AH134" s="49"/>
      <c r="AI134" s="350"/>
      <c r="AJ134" s="9"/>
      <c r="AK134" s="49"/>
      <c r="AL134" s="46"/>
      <c r="AM134" s="9"/>
      <c r="AN134" s="61"/>
    </row>
    <row r="135" spans="1:43" x14ac:dyDescent="0.2">
      <c r="A135" s="778" t="s">
        <v>3609</v>
      </c>
      <c r="B135" s="89"/>
      <c r="C135" s="9"/>
      <c r="D135" s="76"/>
      <c r="E135" s="350"/>
      <c r="F135" s="9"/>
      <c r="G135" s="76"/>
      <c r="H135" s="350"/>
      <c r="I135" s="9"/>
      <c r="J135" s="76"/>
      <c r="K135" s="133"/>
      <c r="L135" s="9"/>
      <c r="M135" s="49"/>
      <c r="N135" s="350"/>
      <c r="O135" s="9"/>
      <c r="P135" s="49"/>
      <c r="Q135" s="46"/>
      <c r="R135" s="9"/>
      <c r="S135" s="61"/>
      <c r="T135" s="46"/>
      <c r="U135" s="9"/>
      <c r="V135" s="49"/>
      <c r="W135" s="46"/>
      <c r="X135" s="9"/>
      <c r="Y135" s="49"/>
      <c r="Z135" s="46"/>
      <c r="AA135" s="9"/>
      <c r="AB135" s="49"/>
      <c r="AC135" s="350"/>
      <c r="AD135" s="9"/>
      <c r="AE135" s="49"/>
      <c r="AF135" s="46"/>
      <c r="AG135" s="9"/>
      <c r="AH135" s="49"/>
      <c r="AI135" s="350"/>
      <c r="AJ135" s="9"/>
      <c r="AK135" s="49"/>
      <c r="AL135" s="46"/>
      <c r="AM135" s="9"/>
      <c r="AN135" s="61"/>
    </row>
    <row r="136" spans="1:43" x14ac:dyDescent="0.2">
      <c r="A136" s="633" t="s">
        <v>6619</v>
      </c>
      <c r="B136" s="89">
        <v>2656100</v>
      </c>
      <c r="C136" s="9">
        <f>'Res-Gen'!D233</f>
        <v>-1347000</v>
      </c>
      <c r="D136" s="76">
        <f>B136+C136</f>
        <v>1309100</v>
      </c>
      <c r="E136" s="350">
        <f>D136</f>
        <v>1309100</v>
      </c>
      <c r="F136" s="9">
        <f>'Res-Gen'!G233</f>
        <v>-1309100</v>
      </c>
      <c r="G136" s="76">
        <f>E136+F136</f>
        <v>0</v>
      </c>
      <c r="H136" s="350">
        <f>G136</f>
        <v>0</v>
      </c>
      <c r="I136" s="9"/>
      <c r="J136" s="76">
        <f>H136+I136</f>
        <v>0</v>
      </c>
      <c r="K136" s="133">
        <f>J136</f>
        <v>0</v>
      </c>
      <c r="L136" s="9"/>
      <c r="M136" s="49">
        <f>K136+L136</f>
        <v>0</v>
      </c>
      <c r="N136" s="350">
        <f>M136</f>
        <v>0</v>
      </c>
      <c r="O136" s="9"/>
      <c r="P136" s="49">
        <f>N136+O136</f>
        <v>0</v>
      </c>
      <c r="Q136" s="46">
        <f>P136</f>
        <v>0</v>
      </c>
      <c r="R136" s="9"/>
      <c r="S136" s="61">
        <f>Q136+R136</f>
        <v>0</v>
      </c>
      <c r="T136" s="46">
        <f>S136</f>
        <v>0</v>
      </c>
      <c r="U136" s="9"/>
      <c r="V136" s="49">
        <f>T136+U136</f>
        <v>0</v>
      </c>
      <c r="W136" s="46">
        <f>V136</f>
        <v>0</v>
      </c>
      <c r="X136" s="9"/>
      <c r="Y136" s="49">
        <f>W136+X136</f>
        <v>0</v>
      </c>
      <c r="Z136" s="46">
        <f>Y136</f>
        <v>0</v>
      </c>
      <c r="AA136" s="9"/>
      <c r="AB136" s="49">
        <f>Z136+AA136</f>
        <v>0</v>
      </c>
      <c r="AC136" s="350">
        <f>AB136</f>
        <v>0</v>
      </c>
      <c r="AD136" s="9"/>
      <c r="AE136" s="49">
        <f>AC136+AD136</f>
        <v>0</v>
      </c>
      <c r="AF136" s="46">
        <f>AE136</f>
        <v>0</v>
      </c>
      <c r="AG136" s="9"/>
      <c r="AH136" s="49">
        <f>AF136+AG136</f>
        <v>0</v>
      </c>
      <c r="AI136" s="350">
        <f>AH136</f>
        <v>0</v>
      </c>
      <c r="AJ136" s="9"/>
      <c r="AK136" s="49">
        <f>AI136+AJ136</f>
        <v>0</v>
      </c>
      <c r="AL136" s="46">
        <f>AK136</f>
        <v>0</v>
      </c>
      <c r="AM136" s="9"/>
      <c r="AN136" s="61">
        <f>AL136+AM136</f>
        <v>0</v>
      </c>
      <c r="AO136" s="265"/>
      <c r="AP136" s="265"/>
      <c r="AQ136" s="265"/>
    </row>
    <row r="137" spans="1:43" x14ac:dyDescent="0.2">
      <c r="A137" s="633" t="s">
        <v>6620</v>
      </c>
      <c r="B137" s="89">
        <v>2398600</v>
      </c>
      <c r="C137" s="9">
        <f>'Res-Gen'!D234</f>
        <v>-962500</v>
      </c>
      <c r="D137" s="76">
        <f>B137+C137</f>
        <v>1436100</v>
      </c>
      <c r="E137" s="350">
        <f>D137</f>
        <v>1436100</v>
      </c>
      <c r="F137" s="9">
        <f>'Res-Gen'!G229+'Res-Gen'!G234</f>
        <v>-1125500</v>
      </c>
      <c r="G137" s="76">
        <f>E137+F137</f>
        <v>310600</v>
      </c>
      <c r="H137" s="350">
        <f>G137</f>
        <v>310600</v>
      </c>
      <c r="I137" s="9">
        <f>+'Res-Gen'!J234</f>
        <v>-309000</v>
      </c>
      <c r="J137" s="76">
        <f>H137+I137</f>
        <v>1600</v>
      </c>
      <c r="K137" s="133">
        <f>J137</f>
        <v>1600</v>
      </c>
      <c r="L137" s="9">
        <v>0</v>
      </c>
      <c r="M137" s="49">
        <f>K137+L137</f>
        <v>1600</v>
      </c>
      <c r="N137" s="350">
        <f>M137</f>
        <v>1600</v>
      </c>
      <c r="O137" s="9">
        <v>0</v>
      </c>
      <c r="P137" s="49">
        <f>N137+O137</f>
        <v>1600</v>
      </c>
      <c r="Q137" s="46">
        <f>P137</f>
        <v>1600</v>
      </c>
      <c r="R137" s="9">
        <v>0</v>
      </c>
      <c r="S137" s="61">
        <f>Q137+R137</f>
        <v>1600</v>
      </c>
      <c r="T137" s="46">
        <f>S137</f>
        <v>1600</v>
      </c>
      <c r="U137" s="9">
        <v>0</v>
      </c>
      <c r="V137" s="49">
        <f>T137+U137</f>
        <v>1600</v>
      </c>
      <c r="W137" s="46">
        <f>V137</f>
        <v>1600</v>
      </c>
      <c r="X137" s="9">
        <v>0</v>
      </c>
      <c r="Y137" s="49">
        <f>W137+X137</f>
        <v>1600</v>
      </c>
      <c r="Z137" s="46">
        <f>Y137</f>
        <v>1600</v>
      </c>
      <c r="AA137" s="9">
        <v>0</v>
      </c>
      <c r="AB137" s="49">
        <f>Z137+AA137</f>
        <v>1600</v>
      </c>
      <c r="AC137" s="350">
        <f>AB137</f>
        <v>1600</v>
      </c>
      <c r="AD137" s="9">
        <v>0</v>
      </c>
      <c r="AE137" s="49">
        <f>AC137+AD137</f>
        <v>1600</v>
      </c>
      <c r="AF137" s="46">
        <f>AE137</f>
        <v>1600</v>
      </c>
      <c r="AG137" s="9">
        <v>0</v>
      </c>
      <c r="AH137" s="49">
        <f>AF137+AG137</f>
        <v>1600</v>
      </c>
      <c r="AI137" s="350">
        <f>AH137</f>
        <v>1600</v>
      </c>
      <c r="AJ137" s="9">
        <v>0</v>
      </c>
      <c r="AK137" s="49">
        <f>AI137+AJ137</f>
        <v>1600</v>
      </c>
      <c r="AL137" s="46">
        <f>AK137</f>
        <v>1600</v>
      </c>
      <c r="AM137" s="9">
        <v>0</v>
      </c>
      <c r="AN137" s="61">
        <f>AL137+AM137</f>
        <v>1600</v>
      </c>
    </row>
    <row r="138" spans="1:43" x14ac:dyDescent="0.2">
      <c r="A138" s="633" t="s">
        <v>6522</v>
      </c>
      <c r="B138" s="89">
        <v>0</v>
      </c>
      <c r="C138" s="9">
        <f>'Res-Gen'!D235</f>
        <v>625500</v>
      </c>
      <c r="D138" s="76">
        <f>B138+C138</f>
        <v>625500</v>
      </c>
      <c r="E138" s="350">
        <f t="shared" ref="E138" si="523">D138</f>
        <v>625500</v>
      </c>
      <c r="F138" s="9">
        <f>'Res-Gen'!G235</f>
        <v>-466200</v>
      </c>
      <c r="G138" s="76">
        <f t="shared" ref="G138" si="524">E138+F138</f>
        <v>159300</v>
      </c>
      <c r="H138" s="350">
        <f t="shared" ref="H138" si="525">G138</f>
        <v>159300</v>
      </c>
      <c r="I138" s="9">
        <v>0</v>
      </c>
      <c r="J138" s="76">
        <f t="shared" ref="J138" si="526">H138+I138</f>
        <v>159300</v>
      </c>
      <c r="K138" s="133">
        <f t="shared" ref="K138" si="527">J138</f>
        <v>159300</v>
      </c>
      <c r="L138" s="9">
        <v>0</v>
      </c>
      <c r="M138" s="49">
        <f t="shared" ref="M138" si="528">K138+L138</f>
        <v>159300</v>
      </c>
      <c r="N138" s="350">
        <f t="shared" ref="N138" si="529">M138</f>
        <v>159300</v>
      </c>
      <c r="O138" s="9">
        <v>0</v>
      </c>
      <c r="P138" s="49">
        <f t="shared" ref="P138" si="530">N138+O138</f>
        <v>159300</v>
      </c>
      <c r="Q138" s="46">
        <f t="shared" ref="Q138" si="531">P138</f>
        <v>159300</v>
      </c>
      <c r="R138" s="9">
        <v>0</v>
      </c>
      <c r="S138" s="61">
        <f t="shared" ref="S138" si="532">Q138+R138</f>
        <v>159300</v>
      </c>
      <c r="T138" s="46">
        <f t="shared" ref="T138" si="533">S138</f>
        <v>159300</v>
      </c>
      <c r="U138" s="9">
        <v>0</v>
      </c>
      <c r="V138" s="49">
        <f t="shared" ref="V138" si="534">T138+U138</f>
        <v>159300</v>
      </c>
      <c r="W138" s="46">
        <f t="shared" ref="W138" si="535">V138</f>
        <v>159300</v>
      </c>
      <c r="X138" s="9">
        <v>0</v>
      </c>
      <c r="Y138" s="49">
        <f t="shared" ref="Y138" si="536">W138+X138</f>
        <v>159300</v>
      </c>
      <c r="Z138" s="46">
        <f t="shared" ref="Z138" si="537">Y138</f>
        <v>159300</v>
      </c>
      <c r="AA138" s="9">
        <v>0</v>
      </c>
      <c r="AB138" s="49">
        <f t="shared" ref="AB138" si="538">Z138+AA138</f>
        <v>159300</v>
      </c>
      <c r="AC138" s="350">
        <f t="shared" ref="AC138" si="539">AB138</f>
        <v>159300</v>
      </c>
      <c r="AD138" s="9">
        <v>0</v>
      </c>
      <c r="AE138" s="49">
        <f t="shared" ref="AE138" si="540">AC138+AD138</f>
        <v>159300</v>
      </c>
      <c r="AF138" s="46">
        <f t="shared" ref="AF138" si="541">AE138</f>
        <v>159300</v>
      </c>
      <c r="AG138" s="9">
        <v>0</v>
      </c>
      <c r="AH138" s="49">
        <f t="shared" ref="AH138" si="542">AF138+AG138</f>
        <v>159300</v>
      </c>
      <c r="AI138" s="350">
        <f t="shared" ref="AI138:AI139" si="543">AH138</f>
        <v>159300</v>
      </c>
      <c r="AJ138" s="9">
        <v>0</v>
      </c>
      <c r="AK138" s="49">
        <f t="shared" ref="AK138:AK139" si="544">AI138+AJ138</f>
        <v>159300</v>
      </c>
      <c r="AL138" s="46">
        <f t="shared" ref="AL138:AL139" si="545">AK138</f>
        <v>159300</v>
      </c>
      <c r="AM138" s="9">
        <v>0</v>
      </c>
      <c r="AN138" s="61">
        <f t="shared" ref="AN138:AN139" si="546">AL138+AM138</f>
        <v>159300</v>
      </c>
    </row>
    <row r="139" spans="1:43" x14ac:dyDescent="0.2">
      <c r="A139" s="633" t="s">
        <v>6765</v>
      </c>
      <c r="B139" s="89">
        <v>25000</v>
      </c>
      <c r="C139" s="9">
        <f>'Res-Gen'!D230</f>
        <v>0</v>
      </c>
      <c r="D139" s="76">
        <f t="shared" si="499"/>
        <v>25000</v>
      </c>
      <c r="E139" s="350">
        <f t="shared" ref="E139" si="547">D139</f>
        <v>25000</v>
      </c>
      <c r="F139" s="9">
        <f>'Res-Gen'!G230</f>
        <v>-25000</v>
      </c>
      <c r="G139" s="76">
        <f t="shared" si="500"/>
        <v>0</v>
      </c>
      <c r="H139" s="350">
        <f t="shared" si="501"/>
        <v>0</v>
      </c>
      <c r="I139" s="9"/>
      <c r="J139" s="76">
        <f t="shared" si="502"/>
        <v>0</v>
      </c>
      <c r="K139" s="133">
        <f t="shared" si="503"/>
        <v>0</v>
      </c>
      <c r="L139" s="9"/>
      <c r="M139" s="49">
        <f t="shared" si="504"/>
        <v>0</v>
      </c>
      <c r="N139" s="350">
        <f t="shared" si="505"/>
        <v>0</v>
      </c>
      <c r="O139" s="9"/>
      <c r="P139" s="49">
        <f t="shared" si="506"/>
        <v>0</v>
      </c>
      <c r="Q139" s="46">
        <f t="shared" si="507"/>
        <v>0</v>
      </c>
      <c r="R139" s="9"/>
      <c r="S139" s="61">
        <f t="shared" si="508"/>
        <v>0</v>
      </c>
      <c r="T139" s="46">
        <f t="shared" si="509"/>
        <v>0</v>
      </c>
      <c r="U139" s="9"/>
      <c r="V139" s="49">
        <f t="shared" si="510"/>
        <v>0</v>
      </c>
      <c r="W139" s="46">
        <f t="shared" si="511"/>
        <v>0</v>
      </c>
      <c r="X139" s="9"/>
      <c r="Y139" s="49">
        <f t="shared" si="512"/>
        <v>0</v>
      </c>
      <c r="Z139" s="46">
        <f t="shared" si="513"/>
        <v>0</v>
      </c>
      <c r="AA139" s="9"/>
      <c r="AB139" s="49">
        <f t="shared" si="514"/>
        <v>0</v>
      </c>
      <c r="AC139" s="350">
        <f t="shared" ref="AC139" si="548">AB139</f>
        <v>0</v>
      </c>
      <c r="AD139" s="9"/>
      <c r="AE139" s="49">
        <f t="shared" ref="AE139" si="549">AC139+AD139</f>
        <v>0</v>
      </c>
      <c r="AF139" s="46">
        <f t="shared" ref="AF139" si="550">AE139</f>
        <v>0</v>
      </c>
      <c r="AG139" s="9"/>
      <c r="AH139" s="49">
        <f t="shared" ref="AH139" si="551">AF139+AG139</f>
        <v>0</v>
      </c>
      <c r="AI139" s="350">
        <f t="shared" si="543"/>
        <v>0</v>
      </c>
      <c r="AJ139" s="9"/>
      <c r="AK139" s="49">
        <f t="shared" si="544"/>
        <v>0</v>
      </c>
      <c r="AL139" s="46">
        <f t="shared" si="545"/>
        <v>0</v>
      </c>
      <c r="AM139" s="9"/>
      <c r="AN139" s="61">
        <f t="shared" si="546"/>
        <v>0</v>
      </c>
    </row>
    <row r="140" spans="1:43" x14ac:dyDescent="0.2">
      <c r="A140" s="633" t="s">
        <v>6997</v>
      </c>
      <c r="B140" s="89">
        <v>0</v>
      </c>
      <c r="C140" s="9">
        <f>'Res-Gen'!D236</f>
        <v>6500</v>
      </c>
      <c r="D140" s="76">
        <f>B140+C140</f>
        <v>6500</v>
      </c>
      <c r="E140" s="350">
        <f>D140</f>
        <v>6500</v>
      </c>
      <c r="F140" s="9">
        <f>'Res-Gen'!G236</f>
        <v>6700</v>
      </c>
      <c r="G140" s="76">
        <f>E140+F140</f>
        <v>13200</v>
      </c>
      <c r="H140" s="350">
        <f>G140</f>
        <v>13200</v>
      </c>
      <c r="I140" s="9">
        <f>'Res-Gen'!J236</f>
        <v>6900</v>
      </c>
      <c r="J140" s="76">
        <f>H140+I140</f>
        <v>20100</v>
      </c>
      <c r="K140" s="350">
        <f>J140</f>
        <v>20100</v>
      </c>
      <c r="L140" s="9">
        <f>'Res-Gen'!M236</f>
        <v>7000</v>
      </c>
      <c r="M140" s="76">
        <f>K140+L140</f>
        <v>27100</v>
      </c>
      <c r="N140" s="350">
        <f>M140</f>
        <v>27100</v>
      </c>
      <c r="O140" s="9">
        <f>'Res-Gen'!P236</f>
        <v>7200</v>
      </c>
      <c r="P140" s="76">
        <f>N140+O140</f>
        <v>34300</v>
      </c>
      <c r="Q140" s="46">
        <f>P140</f>
        <v>34300</v>
      </c>
      <c r="R140" s="9">
        <f>'Res-Gen'!S236</f>
        <v>7400</v>
      </c>
      <c r="S140" s="47">
        <f>Q140+R140</f>
        <v>41700</v>
      </c>
      <c r="T140" s="46">
        <f>S140</f>
        <v>41700</v>
      </c>
      <c r="U140" s="9">
        <f>'Res-Gen'!V236</f>
        <v>7600</v>
      </c>
      <c r="V140" s="76">
        <f>T140+U140</f>
        <v>49300</v>
      </c>
      <c r="W140" s="350">
        <f>V140</f>
        <v>49300</v>
      </c>
      <c r="X140" s="9">
        <f>'Res-Gen'!Y236</f>
        <v>7800</v>
      </c>
      <c r="Y140" s="76">
        <f>W140+X140</f>
        <v>57100</v>
      </c>
      <c r="Z140" s="350">
        <f>Y140</f>
        <v>57100</v>
      </c>
      <c r="AA140" s="9">
        <f>'Res-Gen'!AB236</f>
        <v>8000</v>
      </c>
      <c r="AB140" s="76">
        <f>Z140+AA140</f>
        <v>65100</v>
      </c>
      <c r="AC140" s="350">
        <f>AB140</f>
        <v>65100</v>
      </c>
      <c r="AD140" s="9">
        <f>'Res-Gen'!AE236</f>
        <v>8200</v>
      </c>
      <c r="AE140" s="76">
        <f>AC140+AD140</f>
        <v>73300</v>
      </c>
      <c r="AF140" s="46">
        <f>AE140</f>
        <v>73300</v>
      </c>
      <c r="AG140" s="9">
        <f>'Res-Gen'!AH236</f>
        <v>8500</v>
      </c>
      <c r="AH140" s="76">
        <f>AF140+AG140</f>
        <v>81800</v>
      </c>
      <c r="AI140" s="350">
        <f>AH140</f>
        <v>81800</v>
      </c>
      <c r="AJ140" s="9">
        <f>'Res-Gen'!AK236</f>
        <v>8800</v>
      </c>
      <c r="AK140" s="76">
        <f>AI140+AJ140</f>
        <v>90600</v>
      </c>
      <c r="AL140" s="46">
        <f>AK140</f>
        <v>90600</v>
      </c>
      <c r="AM140" s="9">
        <f>'Res-Gen'!AN236</f>
        <v>9100</v>
      </c>
      <c r="AN140" s="47">
        <f>AL140+AM140</f>
        <v>99700</v>
      </c>
    </row>
    <row r="141" spans="1:43" x14ac:dyDescent="0.2">
      <c r="A141" s="633"/>
      <c r="B141" s="89"/>
      <c r="C141" s="9"/>
      <c r="D141" s="76"/>
      <c r="E141" s="350"/>
      <c r="F141" s="9"/>
      <c r="G141" s="76"/>
      <c r="H141" s="350"/>
      <c r="I141" s="9"/>
      <c r="J141" s="76"/>
      <c r="K141" s="350"/>
      <c r="L141" s="9"/>
      <c r="M141" s="49"/>
      <c r="N141" s="350"/>
      <c r="O141" s="9"/>
      <c r="P141" s="49"/>
      <c r="Q141" s="46"/>
      <c r="R141" s="9"/>
      <c r="S141" s="61"/>
      <c r="T141" s="46"/>
      <c r="U141" s="9"/>
      <c r="V141" s="49"/>
      <c r="W141" s="46"/>
      <c r="X141" s="9"/>
      <c r="Y141" s="49"/>
      <c r="Z141" s="46"/>
      <c r="AA141" s="9"/>
      <c r="AB141" s="49"/>
      <c r="AC141" s="350"/>
      <c r="AD141" s="9"/>
      <c r="AE141" s="49"/>
      <c r="AF141" s="46"/>
      <c r="AG141" s="9"/>
      <c r="AH141" s="49"/>
      <c r="AI141" s="350"/>
      <c r="AJ141" s="9"/>
      <c r="AK141" s="49"/>
      <c r="AL141" s="46"/>
      <c r="AM141" s="9"/>
      <c r="AN141" s="61"/>
    </row>
    <row r="142" spans="1:43" x14ac:dyDescent="0.2">
      <c r="A142" s="778" t="s">
        <v>1215</v>
      </c>
      <c r="B142" s="89"/>
      <c r="C142" s="9"/>
      <c r="D142" s="76"/>
      <c r="E142" s="350"/>
      <c r="F142" s="9"/>
      <c r="G142" s="76"/>
      <c r="H142" s="350"/>
      <c r="I142" s="9"/>
      <c r="J142" s="76"/>
      <c r="K142" s="350"/>
      <c r="L142" s="9"/>
      <c r="M142" s="49"/>
      <c r="N142" s="350"/>
      <c r="O142" s="9"/>
      <c r="P142" s="49"/>
      <c r="Q142" s="46"/>
      <c r="R142" s="9"/>
      <c r="S142" s="61"/>
      <c r="T142" s="46"/>
      <c r="U142" s="9"/>
      <c r="V142" s="49"/>
      <c r="W142" s="46"/>
      <c r="X142" s="9"/>
      <c r="Y142" s="49"/>
      <c r="Z142" s="46"/>
      <c r="AA142" s="9"/>
      <c r="AB142" s="49"/>
      <c r="AC142" s="350"/>
      <c r="AD142" s="9"/>
      <c r="AE142" s="49"/>
      <c r="AF142" s="46"/>
      <c r="AG142" s="9"/>
      <c r="AH142" s="49"/>
      <c r="AI142" s="350"/>
      <c r="AJ142" s="9"/>
      <c r="AK142" s="49"/>
      <c r="AL142" s="46"/>
      <c r="AM142" s="9"/>
      <c r="AN142" s="61"/>
    </row>
    <row r="143" spans="1:43" x14ac:dyDescent="0.2">
      <c r="A143" s="633" t="s">
        <v>658</v>
      </c>
      <c r="B143" s="89">
        <v>188300</v>
      </c>
      <c r="C143" s="9">
        <f>'Res-Gen'!D239</f>
        <v>59100</v>
      </c>
      <c r="D143" s="76">
        <f>B143+C143</f>
        <v>247400</v>
      </c>
      <c r="E143" s="350">
        <f>D143</f>
        <v>247400</v>
      </c>
      <c r="F143" s="9">
        <f>'Res-Gen'!G239</f>
        <v>84100</v>
      </c>
      <c r="G143" s="76">
        <f>E143+F143</f>
        <v>331500</v>
      </c>
      <c r="H143" s="350">
        <f>G143</f>
        <v>331500</v>
      </c>
      <c r="I143" s="9">
        <f>'Res-Gen'!J239</f>
        <v>-25000</v>
      </c>
      <c r="J143" s="76">
        <f>H143+I143</f>
        <v>306500</v>
      </c>
      <c r="K143" s="133">
        <f>J143</f>
        <v>306500</v>
      </c>
      <c r="L143" s="9">
        <f>'Res-Gen'!M239</f>
        <v>67900</v>
      </c>
      <c r="M143" s="49">
        <f>K143+L143</f>
        <v>374400</v>
      </c>
      <c r="N143" s="350">
        <f>M143</f>
        <v>374400</v>
      </c>
      <c r="O143" s="9">
        <f>'Res-Gen'!P239</f>
        <v>70500</v>
      </c>
      <c r="P143" s="49">
        <f>N143+O143</f>
        <v>444900</v>
      </c>
      <c r="Q143" s="46">
        <f>P143</f>
        <v>444900</v>
      </c>
      <c r="R143" s="9">
        <f>'Res-Gen'!S239</f>
        <v>73200</v>
      </c>
      <c r="S143" s="61">
        <f>Q143+R143</f>
        <v>518100</v>
      </c>
      <c r="T143" s="46">
        <f>S143</f>
        <v>518100</v>
      </c>
      <c r="U143" s="9">
        <f>'Res-Gen'!V239</f>
        <v>76000</v>
      </c>
      <c r="V143" s="49">
        <f>T143+U143</f>
        <v>594100</v>
      </c>
      <c r="W143" s="46">
        <f>V143</f>
        <v>594100</v>
      </c>
      <c r="X143" s="9">
        <f>'Res-Gen'!Y239</f>
        <v>78800</v>
      </c>
      <c r="Y143" s="49">
        <f>W143+X143</f>
        <v>672900</v>
      </c>
      <c r="Z143" s="46">
        <f>Y143</f>
        <v>672900</v>
      </c>
      <c r="AA143" s="9">
        <f>'Res-Gen'!AB239</f>
        <v>81800</v>
      </c>
      <c r="AB143" s="49">
        <f>Z143+AA143</f>
        <v>754700</v>
      </c>
      <c r="AC143" s="350">
        <f>AB143</f>
        <v>754700</v>
      </c>
      <c r="AD143" s="9">
        <f>'Res-Gen'!AE239</f>
        <v>84800</v>
      </c>
      <c r="AE143" s="49">
        <f>AC143+AD143</f>
        <v>839500</v>
      </c>
      <c r="AF143" s="46">
        <f>AE143</f>
        <v>839500</v>
      </c>
      <c r="AG143" s="9">
        <f>'Res-Gen'!AH239</f>
        <v>87900</v>
      </c>
      <c r="AH143" s="49">
        <f>AF143+AG143</f>
        <v>927400</v>
      </c>
      <c r="AI143" s="350">
        <f>AH143</f>
        <v>927400</v>
      </c>
      <c r="AJ143" s="9">
        <f>'Res-Gen'!AK239</f>
        <v>91000</v>
      </c>
      <c r="AK143" s="49">
        <f>AI143+AJ143</f>
        <v>1018400</v>
      </c>
      <c r="AL143" s="46">
        <f>AK143</f>
        <v>1018400</v>
      </c>
      <c r="AM143" s="9">
        <f>'Res-Gen'!AN239</f>
        <v>94300</v>
      </c>
      <c r="AN143" s="61">
        <f>AL143+AM143</f>
        <v>1112700</v>
      </c>
    </row>
    <row r="144" spans="1:43" x14ac:dyDescent="0.2">
      <c r="A144" s="408"/>
      <c r="B144" s="89"/>
      <c r="C144" s="9"/>
      <c r="D144" s="76"/>
      <c r="E144" s="350">
        <f>D144</f>
        <v>0</v>
      </c>
      <c r="F144" s="9"/>
      <c r="G144" s="76"/>
      <c r="H144" s="350"/>
      <c r="I144" s="9"/>
      <c r="J144" s="76"/>
      <c r="K144" s="133"/>
      <c r="L144" s="9"/>
      <c r="M144" s="49"/>
      <c r="N144" s="350"/>
      <c r="O144" s="9"/>
      <c r="P144" s="49"/>
      <c r="Q144" s="46"/>
      <c r="R144" s="9"/>
      <c r="S144" s="61"/>
      <c r="T144" s="46"/>
      <c r="U144" s="9"/>
      <c r="V144" s="49"/>
      <c r="W144" s="46"/>
      <c r="X144" s="9"/>
      <c r="Y144" s="49"/>
      <c r="Z144" s="46"/>
      <c r="AA144" s="9"/>
      <c r="AB144" s="49"/>
      <c r="AC144" s="350"/>
      <c r="AD144" s="9"/>
      <c r="AE144" s="49"/>
      <c r="AF144" s="46"/>
      <c r="AG144" s="9"/>
      <c r="AH144" s="49"/>
      <c r="AI144" s="350"/>
      <c r="AJ144" s="9"/>
      <c r="AK144" s="49"/>
      <c r="AL144" s="46"/>
      <c r="AM144" s="9"/>
      <c r="AN144" s="61"/>
    </row>
    <row r="145" spans="1:40" x14ac:dyDescent="0.2">
      <c r="A145" s="778" t="s">
        <v>1452</v>
      </c>
      <c r="B145" s="89"/>
      <c r="C145" s="9"/>
      <c r="D145" s="76"/>
      <c r="E145" s="133"/>
      <c r="F145" s="9"/>
      <c r="G145" s="76"/>
      <c r="H145" s="133"/>
      <c r="I145" s="9"/>
      <c r="J145" s="76"/>
      <c r="K145" s="133"/>
      <c r="L145" s="9"/>
      <c r="M145" s="49"/>
      <c r="N145" s="350"/>
      <c r="O145" s="9"/>
      <c r="P145" s="49"/>
      <c r="Q145" s="46"/>
      <c r="R145" s="9"/>
      <c r="S145" s="61"/>
      <c r="T145" s="46"/>
      <c r="U145" s="9"/>
      <c r="V145" s="49"/>
      <c r="W145" s="46"/>
      <c r="X145" s="9"/>
      <c r="Y145" s="49"/>
      <c r="Z145" s="46"/>
      <c r="AA145" s="9"/>
      <c r="AB145" s="49"/>
      <c r="AC145" s="350"/>
      <c r="AD145" s="9"/>
      <c r="AE145" s="49"/>
      <c r="AF145" s="46"/>
      <c r="AG145" s="9"/>
      <c r="AH145" s="49"/>
      <c r="AI145" s="350"/>
      <c r="AJ145" s="9"/>
      <c r="AK145" s="49"/>
      <c r="AL145" s="46"/>
      <c r="AM145" s="9"/>
      <c r="AN145" s="61"/>
    </row>
    <row r="146" spans="1:40" x14ac:dyDescent="0.2">
      <c r="A146" s="633" t="s">
        <v>6764</v>
      </c>
      <c r="B146" s="89">
        <v>965000</v>
      </c>
      <c r="C146" s="9">
        <f>'Res-Gen'!D241</f>
        <v>38700</v>
      </c>
      <c r="D146" s="76">
        <f>B146+C146</f>
        <v>1003700</v>
      </c>
      <c r="E146" s="350">
        <f>D146</f>
        <v>1003700</v>
      </c>
      <c r="F146" s="9">
        <f>'Res-Gen'!G241</f>
        <v>-125100</v>
      </c>
      <c r="G146" s="76">
        <f>E146+F146</f>
        <v>878600</v>
      </c>
      <c r="H146" s="350">
        <f>G146</f>
        <v>878600</v>
      </c>
      <c r="I146" s="9">
        <f>'Res-Gen'!J241</f>
        <v>-1026500</v>
      </c>
      <c r="J146" s="76">
        <f>H146+I146</f>
        <v>-147900</v>
      </c>
      <c r="K146" s="133">
        <f>J146</f>
        <v>-147900</v>
      </c>
      <c r="L146" s="9">
        <f>'Res-Gen'!M241</f>
        <v>148600</v>
      </c>
      <c r="M146" s="49">
        <f>K146+L146</f>
        <v>700</v>
      </c>
      <c r="N146" s="350">
        <f>M146</f>
        <v>700</v>
      </c>
      <c r="O146" s="9">
        <f>'Res-Gen'!P241</f>
        <v>368700</v>
      </c>
      <c r="P146" s="49">
        <f>N146+O146</f>
        <v>369400</v>
      </c>
      <c r="Q146" s="46">
        <f>P146</f>
        <v>369400</v>
      </c>
      <c r="R146" s="9">
        <f>'Res-Gen'!S241</f>
        <v>-213200</v>
      </c>
      <c r="S146" s="61">
        <f>Q146+R146</f>
        <v>156200</v>
      </c>
      <c r="T146" s="46">
        <f>S146</f>
        <v>156200</v>
      </c>
      <c r="U146" s="9">
        <f>'Res-Gen'!V241</f>
        <v>-126300</v>
      </c>
      <c r="V146" s="49">
        <f>T146+U146</f>
        <v>29900</v>
      </c>
      <c r="W146" s="46">
        <f>V146</f>
        <v>29900</v>
      </c>
      <c r="X146" s="9">
        <f>'Res-Gen'!Y241</f>
        <v>-212600</v>
      </c>
      <c r="Y146" s="49">
        <f>W146+X146</f>
        <v>-182700</v>
      </c>
      <c r="Z146" s="46">
        <f>Y146</f>
        <v>-182700</v>
      </c>
      <c r="AA146" s="9">
        <f>'Res-Gen'!AB241</f>
        <v>171100</v>
      </c>
      <c r="AB146" s="49">
        <f>Z146+AA146</f>
        <v>-11600</v>
      </c>
      <c r="AC146" s="350">
        <f>AB146</f>
        <v>-11600</v>
      </c>
      <c r="AD146" s="9">
        <f>'Res-Gen'!AE241</f>
        <v>161900</v>
      </c>
      <c r="AE146" s="49">
        <f>AC146+AD146</f>
        <v>150300</v>
      </c>
      <c r="AF146" s="46">
        <f>AE146</f>
        <v>150300</v>
      </c>
      <c r="AG146" s="9">
        <f>'Res-Gen'!AH241</f>
        <v>482800</v>
      </c>
      <c r="AH146" s="49">
        <f>AF146+AG146</f>
        <v>633100</v>
      </c>
      <c r="AI146" s="350">
        <f>AH146</f>
        <v>633100</v>
      </c>
      <c r="AJ146" s="9">
        <f>'Res-Gen'!AK241</f>
        <v>-7300</v>
      </c>
      <c r="AK146" s="49">
        <f>AI146+AJ146</f>
        <v>625800</v>
      </c>
      <c r="AL146" s="46">
        <f>AK146</f>
        <v>625800</v>
      </c>
      <c r="AM146" s="9">
        <f>'Res-Gen'!AN241</f>
        <v>31300</v>
      </c>
      <c r="AN146" s="61">
        <f>AL146+AM146</f>
        <v>657100</v>
      </c>
    </row>
    <row r="147" spans="1:40" x14ac:dyDescent="0.2">
      <c r="A147" s="408"/>
      <c r="B147" s="89"/>
      <c r="C147" s="9"/>
      <c r="D147" s="76"/>
      <c r="E147" s="350"/>
      <c r="F147" s="9"/>
      <c r="G147" s="76"/>
      <c r="H147" s="350"/>
      <c r="I147" s="9"/>
      <c r="J147" s="76"/>
      <c r="K147" s="133"/>
      <c r="L147" s="9"/>
      <c r="M147" s="49"/>
      <c r="N147" s="350"/>
      <c r="O147" s="9"/>
      <c r="P147" s="49"/>
      <c r="Q147" s="46"/>
      <c r="R147" s="9"/>
      <c r="S147" s="61"/>
      <c r="T147" s="46"/>
      <c r="U147" s="9"/>
      <c r="V147" s="49"/>
      <c r="W147" s="46"/>
      <c r="X147" s="9"/>
      <c r="Y147" s="49"/>
      <c r="Z147" s="46"/>
      <c r="AA147" s="9"/>
      <c r="AB147" s="49"/>
      <c r="AC147" s="350"/>
      <c r="AD147" s="9"/>
      <c r="AE147" s="49"/>
      <c r="AF147" s="46"/>
      <c r="AG147" s="9"/>
      <c r="AH147" s="49"/>
      <c r="AI147" s="350"/>
      <c r="AJ147" s="9"/>
      <c r="AK147" s="49"/>
      <c r="AL147" s="46"/>
      <c r="AM147" s="9"/>
      <c r="AN147" s="61"/>
    </row>
    <row r="148" spans="1:40" x14ac:dyDescent="0.2">
      <c r="A148" s="407" t="s">
        <v>532</v>
      </c>
      <c r="B148" s="89"/>
      <c r="C148" s="9"/>
      <c r="D148" s="76"/>
      <c r="E148" s="350"/>
      <c r="F148" s="9"/>
      <c r="G148" s="76"/>
      <c r="H148" s="350"/>
      <c r="I148" s="9"/>
      <c r="J148" s="76"/>
      <c r="K148" s="133"/>
      <c r="L148" s="9"/>
      <c r="M148" s="49"/>
      <c r="N148" s="350"/>
      <c r="O148" s="9"/>
      <c r="P148" s="49"/>
      <c r="Q148" s="46"/>
      <c r="R148" s="9"/>
      <c r="S148" s="61"/>
      <c r="T148" s="46"/>
      <c r="U148" s="9"/>
      <c r="V148" s="49"/>
      <c r="W148" s="46"/>
      <c r="X148" s="9"/>
      <c r="Y148" s="49"/>
      <c r="Z148" s="46"/>
      <c r="AA148" s="9"/>
      <c r="AB148" s="49"/>
      <c r="AC148" s="350"/>
      <c r="AD148" s="9"/>
      <c r="AE148" s="49"/>
      <c r="AF148" s="46"/>
      <c r="AG148" s="9"/>
      <c r="AH148" s="49"/>
      <c r="AI148" s="350"/>
      <c r="AJ148" s="9"/>
      <c r="AK148" s="49"/>
      <c r="AL148" s="46"/>
      <c r="AM148" s="9"/>
      <c r="AN148" s="61"/>
    </row>
    <row r="149" spans="1:40" x14ac:dyDescent="0.2">
      <c r="A149" s="633" t="s">
        <v>6652</v>
      </c>
      <c r="B149" s="89">
        <v>64800</v>
      </c>
      <c r="C149" s="9">
        <f>'Res-Gen'!D243</f>
        <v>-19000</v>
      </c>
      <c r="D149" s="76">
        <f>B149+C149</f>
        <v>45800</v>
      </c>
      <c r="E149" s="350">
        <f>D149</f>
        <v>45800</v>
      </c>
      <c r="F149" s="9"/>
      <c r="G149" s="76">
        <f>E149+F149</f>
        <v>45800</v>
      </c>
      <c r="H149" s="350">
        <f>G149</f>
        <v>45800</v>
      </c>
      <c r="I149" s="9"/>
      <c r="J149" s="76">
        <f>H149+I149</f>
        <v>45800</v>
      </c>
      <c r="K149" s="133">
        <f>J149</f>
        <v>45800</v>
      </c>
      <c r="L149" s="9"/>
      <c r="M149" s="49">
        <f>K149+L149</f>
        <v>45800</v>
      </c>
      <c r="N149" s="350">
        <f>M149</f>
        <v>45800</v>
      </c>
      <c r="O149" s="9"/>
      <c r="P149" s="49">
        <f>N149+O149</f>
        <v>45800</v>
      </c>
      <c r="Q149" s="46">
        <f>P149</f>
        <v>45800</v>
      </c>
      <c r="R149" s="9"/>
      <c r="S149" s="61">
        <f>Q149+R149</f>
        <v>45800</v>
      </c>
      <c r="T149" s="46">
        <f>S149</f>
        <v>45800</v>
      </c>
      <c r="U149" s="9"/>
      <c r="V149" s="49">
        <f>T149+U149</f>
        <v>45800</v>
      </c>
      <c r="W149" s="46">
        <f>V149</f>
        <v>45800</v>
      </c>
      <c r="X149" s="9"/>
      <c r="Y149" s="49">
        <f>W149+X149</f>
        <v>45800</v>
      </c>
      <c r="Z149" s="46">
        <f>Y149</f>
        <v>45800</v>
      </c>
      <c r="AA149" s="9"/>
      <c r="AB149" s="49">
        <f>Z149+AA149</f>
        <v>45800</v>
      </c>
      <c r="AC149" s="350">
        <f>AB149</f>
        <v>45800</v>
      </c>
      <c r="AD149" s="9"/>
      <c r="AE149" s="49">
        <f>AC149+AD149</f>
        <v>45800</v>
      </c>
      <c r="AF149" s="46">
        <f>AE149</f>
        <v>45800</v>
      </c>
      <c r="AG149" s="9"/>
      <c r="AH149" s="49">
        <f>AF149+AG149</f>
        <v>45800</v>
      </c>
      <c r="AI149" s="350">
        <f>AH149</f>
        <v>45800</v>
      </c>
      <c r="AJ149" s="9"/>
      <c r="AK149" s="49">
        <f>AI149+AJ149</f>
        <v>45800</v>
      </c>
      <c r="AL149" s="46">
        <f>AK149</f>
        <v>45800</v>
      </c>
      <c r="AM149" s="9"/>
      <c r="AN149" s="61">
        <f>AL149+AM149</f>
        <v>45800</v>
      </c>
    </row>
    <row r="150" spans="1:40" x14ac:dyDescent="0.2">
      <c r="A150" s="408"/>
      <c r="B150" s="89"/>
      <c r="C150" s="9"/>
      <c r="D150" s="76"/>
      <c r="E150" s="350"/>
      <c r="F150" s="9"/>
      <c r="G150" s="76"/>
      <c r="H150" s="350"/>
      <c r="I150" s="9"/>
      <c r="J150" s="76"/>
      <c r="K150" s="133"/>
      <c r="L150" s="9"/>
      <c r="M150" s="49"/>
      <c r="N150" s="350"/>
      <c r="O150" s="9"/>
      <c r="P150" s="49"/>
      <c r="Q150" s="46"/>
      <c r="R150" s="9"/>
      <c r="S150" s="61"/>
      <c r="T150" s="46"/>
      <c r="U150" s="9"/>
      <c r="V150" s="49"/>
      <c r="W150" s="46"/>
      <c r="X150" s="9"/>
      <c r="Y150" s="49"/>
      <c r="Z150" s="46"/>
      <c r="AA150" s="9"/>
      <c r="AB150" s="49"/>
      <c r="AC150" s="350"/>
      <c r="AD150" s="9"/>
      <c r="AE150" s="49"/>
      <c r="AF150" s="46"/>
      <c r="AG150" s="9"/>
      <c r="AH150" s="49"/>
      <c r="AI150" s="350"/>
      <c r="AJ150" s="9"/>
      <c r="AK150" s="49"/>
      <c r="AL150" s="46"/>
      <c r="AM150" s="9"/>
      <c r="AN150" s="61"/>
    </row>
    <row r="151" spans="1:40" x14ac:dyDescent="0.2">
      <c r="A151" s="407" t="s">
        <v>1932</v>
      </c>
      <c r="B151" s="89"/>
      <c r="C151" s="9"/>
      <c r="D151" s="76"/>
      <c r="E151" s="133"/>
      <c r="F151" s="9"/>
      <c r="G151" s="76"/>
      <c r="H151" s="133"/>
      <c r="I151" s="9"/>
      <c r="J151" s="76"/>
      <c r="K151" s="133"/>
      <c r="L151" s="9"/>
      <c r="M151" s="49"/>
      <c r="N151" s="350"/>
      <c r="O151" s="9"/>
      <c r="P151" s="49"/>
      <c r="Q151" s="46"/>
      <c r="R151" s="9"/>
      <c r="S151" s="61"/>
      <c r="T151" s="46"/>
      <c r="U151" s="9"/>
      <c r="V151" s="49"/>
      <c r="W151" s="46"/>
      <c r="X151" s="9"/>
      <c r="Y151" s="49"/>
      <c r="Z151" s="46"/>
      <c r="AA151" s="9"/>
      <c r="AB151" s="49"/>
      <c r="AC151" s="350"/>
      <c r="AD151" s="9"/>
      <c r="AE151" s="49"/>
      <c r="AF151" s="46"/>
      <c r="AG151" s="9"/>
      <c r="AH151" s="49"/>
      <c r="AI151" s="350"/>
      <c r="AJ151" s="9"/>
      <c r="AK151" s="49"/>
      <c r="AL151" s="46"/>
      <c r="AM151" s="9"/>
      <c r="AN151" s="61"/>
    </row>
    <row r="152" spans="1:40" x14ac:dyDescent="0.2">
      <c r="A152" s="633" t="s">
        <v>1045</v>
      </c>
      <c r="B152" s="89">
        <v>1263100</v>
      </c>
      <c r="C152" s="9">
        <f>'Res-Gen'!D246</f>
        <v>73000</v>
      </c>
      <c r="D152" s="76">
        <f>B152+C152</f>
        <v>1336100</v>
      </c>
      <c r="E152" s="350">
        <f>D152</f>
        <v>1336100</v>
      </c>
      <c r="F152" s="9">
        <f>'Res-Gen'!G246+'Res-Gen'!G247</f>
        <v>-320500</v>
      </c>
      <c r="G152" s="76">
        <f>E152+F152</f>
        <v>1015600</v>
      </c>
      <c r="H152" s="350">
        <f>G152</f>
        <v>1015600</v>
      </c>
      <c r="I152" s="9">
        <f>'Res-Gen'!J246+'Res-Gen'!J247</f>
        <v>-666400</v>
      </c>
      <c r="J152" s="76">
        <f>H152+I152</f>
        <v>349200</v>
      </c>
      <c r="K152" s="133">
        <f>J152</f>
        <v>349200</v>
      </c>
      <c r="L152" s="9">
        <f>'Res-Gen'!M246</f>
        <v>9200</v>
      </c>
      <c r="M152" s="49">
        <f>K152+L152</f>
        <v>358400</v>
      </c>
      <c r="N152" s="350">
        <f>M152</f>
        <v>358400</v>
      </c>
      <c r="O152" s="9">
        <f>'Res-Gen'!P246</f>
        <v>9500</v>
      </c>
      <c r="P152" s="49">
        <f>N152+O152</f>
        <v>367900</v>
      </c>
      <c r="Q152" s="46">
        <f>P152</f>
        <v>367900</v>
      </c>
      <c r="R152" s="9">
        <f>'Res-Gen'!S246</f>
        <v>9800</v>
      </c>
      <c r="S152" s="61">
        <f>Q152+R152</f>
        <v>377700</v>
      </c>
      <c r="T152" s="46">
        <f>S152</f>
        <v>377700</v>
      </c>
      <c r="U152" s="9">
        <f>'Res-Gen'!V246</f>
        <v>10000</v>
      </c>
      <c r="V152" s="49">
        <f>T152+U152</f>
        <v>387700</v>
      </c>
      <c r="W152" s="46">
        <f>V152</f>
        <v>387700</v>
      </c>
      <c r="X152" s="9">
        <f>'Res-Gen'!Y246</f>
        <v>10300</v>
      </c>
      <c r="Y152" s="49">
        <f>W152+X152</f>
        <v>398000</v>
      </c>
      <c r="Z152" s="46">
        <f>Y152</f>
        <v>398000</v>
      </c>
      <c r="AA152" s="9">
        <f>'Res-Gen'!AB246</f>
        <v>10500</v>
      </c>
      <c r="AB152" s="49">
        <f>Z152+AA152</f>
        <v>408500</v>
      </c>
      <c r="AC152" s="350">
        <f>AB152</f>
        <v>408500</v>
      </c>
      <c r="AD152" s="9">
        <f>'Res-Gen'!AE246</f>
        <v>10800</v>
      </c>
      <c r="AE152" s="49">
        <f>AC152+AD152</f>
        <v>419300</v>
      </c>
      <c r="AF152" s="46">
        <f>AE152</f>
        <v>419300</v>
      </c>
      <c r="AG152" s="9">
        <f>'Res-Gen'!AH246</f>
        <v>11000</v>
      </c>
      <c r="AH152" s="49">
        <f>AF152+AG152</f>
        <v>430300</v>
      </c>
      <c r="AI152" s="350">
        <f>AH152</f>
        <v>430300</v>
      </c>
      <c r="AJ152" s="9">
        <f>'Res-Gen'!AK246</f>
        <v>11200</v>
      </c>
      <c r="AK152" s="49">
        <f>AI152+AJ152</f>
        <v>441500</v>
      </c>
      <c r="AL152" s="46">
        <f>AK152</f>
        <v>441500</v>
      </c>
      <c r="AM152" s="9">
        <f>'Res-Gen'!AN246</f>
        <v>11500</v>
      </c>
      <c r="AN152" s="61">
        <f>AL152+AM152</f>
        <v>453000</v>
      </c>
    </row>
    <row r="153" spans="1:40" x14ac:dyDescent="0.2">
      <c r="A153" s="408"/>
      <c r="B153" s="89"/>
      <c r="C153" s="9"/>
      <c r="D153" s="76"/>
      <c r="E153" s="133"/>
      <c r="F153" s="9"/>
      <c r="G153" s="76"/>
      <c r="H153" s="133"/>
      <c r="I153" s="9"/>
      <c r="J153" s="76"/>
      <c r="K153" s="133"/>
      <c r="L153" s="9"/>
      <c r="M153" s="49"/>
      <c r="N153" s="350"/>
      <c r="O153" s="9"/>
      <c r="P153" s="49"/>
      <c r="Q153" s="46"/>
      <c r="R153" s="9"/>
      <c r="S153" s="61"/>
      <c r="T153" s="46"/>
      <c r="U153" s="9"/>
      <c r="V153" s="49"/>
      <c r="W153" s="46"/>
      <c r="X153" s="9"/>
      <c r="Y153" s="49"/>
      <c r="Z153" s="46"/>
      <c r="AA153" s="9"/>
      <c r="AB153" s="49"/>
      <c r="AC153" s="350"/>
      <c r="AD153" s="9"/>
      <c r="AE153" s="49"/>
      <c r="AF153" s="46"/>
      <c r="AG153" s="9"/>
      <c r="AH153" s="49"/>
      <c r="AI153" s="350"/>
      <c r="AJ153" s="9"/>
      <c r="AK153" s="49"/>
      <c r="AL153" s="46"/>
      <c r="AM153" s="9"/>
      <c r="AN153" s="61"/>
    </row>
    <row r="154" spans="1:40" x14ac:dyDescent="0.2">
      <c r="A154" s="407" t="s">
        <v>1722</v>
      </c>
      <c r="B154" s="89"/>
      <c r="C154" s="9"/>
      <c r="D154" s="76"/>
      <c r="E154" s="133"/>
      <c r="F154" s="9"/>
      <c r="G154" s="76"/>
      <c r="H154" s="133"/>
      <c r="I154" s="9"/>
      <c r="J154" s="76"/>
      <c r="K154" s="133"/>
      <c r="L154" s="9"/>
      <c r="M154" s="49"/>
      <c r="N154" s="350"/>
      <c r="O154" s="9"/>
      <c r="P154" s="49"/>
      <c r="Q154" s="46"/>
      <c r="R154" s="9"/>
      <c r="S154" s="61"/>
      <c r="T154" s="46"/>
      <c r="U154" s="9"/>
      <c r="V154" s="49"/>
      <c r="W154" s="46"/>
      <c r="X154" s="9"/>
      <c r="Y154" s="49"/>
      <c r="Z154" s="46"/>
      <c r="AA154" s="9"/>
      <c r="AB154" s="49"/>
      <c r="AC154" s="350"/>
      <c r="AD154" s="9"/>
      <c r="AE154" s="49"/>
      <c r="AF154" s="46"/>
      <c r="AG154" s="9"/>
      <c r="AH154" s="49"/>
      <c r="AI154" s="350"/>
      <c r="AJ154" s="9"/>
      <c r="AK154" s="49"/>
      <c r="AL154" s="46"/>
      <c r="AM154" s="9"/>
      <c r="AN154" s="61"/>
    </row>
    <row r="155" spans="1:40" x14ac:dyDescent="0.2">
      <c r="A155" s="633" t="s">
        <v>4466</v>
      </c>
      <c r="B155" s="89">
        <v>2878300</v>
      </c>
      <c r="C155" s="9">
        <f>SUM('Res-Gen'!D250:'Res-Gen'!D252)+'Res-Gen'!D255</f>
        <v>648100</v>
      </c>
      <c r="D155" s="76">
        <f>B155+C155</f>
        <v>3526400</v>
      </c>
      <c r="E155" s="350">
        <f>D155</f>
        <v>3526400</v>
      </c>
      <c r="F155" s="9">
        <f>SUM('Res-Gen'!G250:'Res-Gen'!G252)+'Res-Gen'!G254</f>
        <v>-526000</v>
      </c>
      <c r="G155" s="76">
        <f>E155+F155</f>
        <v>3000400</v>
      </c>
      <c r="H155" s="350">
        <f>G155</f>
        <v>3000400</v>
      </c>
      <c r="I155" s="9">
        <f>SUM('Res-Gen'!J250:'Res-Gen'!J252)</f>
        <v>-1305000</v>
      </c>
      <c r="J155" s="76">
        <f>H155+I155</f>
        <v>1695400</v>
      </c>
      <c r="K155" s="133">
        <f>J155</f>
        <v>1695400</v>
      </c>
      <c r="L155" s="9">
        <f>SUM('Res-Gen'!M250:'Res-Gen'!M252)</f>
        <v>-903000</v>
      </c>
      <c r="M155" s="49">
        <f>K155+L155</f>
        <v>792400</v>
      </c>
      <c r="N155" s="350">
        <f>M155</f>
        <v>792400</v>
      </c>
      <c r="O155" s="9">
        <f>SUM('Res-Gen'!P250:'Res-Gen'!P252)</f>
        <v>1161000</v>
      </c>
      <c r="P155" s="49">
        <f>N155+O155</f>
        <v>1953400</v>
      </c>
      <c r="Q155" s="46">
        <f>P155</f>
        <v>1953400</v>
      </c>
      <c r="R155" s="9">
        <f>SUM('Res-Gen'!S250:'Res-Gen'!S252)</f>
        <v>173000</v>
      </c>
      <c r="S155" s="61">
        <f>Q155+R155</f>
        <v>2126400</v>
      </c>
      <c r="T155" s="46">
        <f>S155</f>
        <v>2126400</v>
      </c>
      <c r="U155" s="9">
        <f>SUM('Res-Gen'!V250:'Res-Gen'!V252)</f>
        <v>186000</v>
      </c>
      <c r="V155" s="49">
        <f>T155+U155</f>
        <v>2312400</v>
      </c>
      <c r="W155" s="46">
        <f>V155</f>
        <v>2312400</v>
      </c>
      <c r="X155" s="9">
        <f>SUM('Res-Gen'!Y250:'Res-Gen'!Y252)</f>
        <v>193000</v>
      </c>
      <c r="Y155" s="49">
        <f>W155+X155</f>
        <v>2505400</v>
      </c>
      <c r="Z155" s="46">
        <f>Y155</f>
        <v>2505400</v>
      </c>
      <c r="AA155" s="9">
        <f>SUM('Res-Gen'!AB250:'Res-Gen'!AB252)</f>
        <v>200000</v>
      </c>
      <c r="AB155" s="49">
        <f>Z155+AA155</f>
        <v>2705400</v>
      </c>
      <c r="AC155" s="350">
        <f>AB155</f>
        <v>2705400</v>
      </c>
      <c r="AD155" s="9">
        <f>SUM('Res-Gen'!AE250:'Res-Gen'!AE252)</f>
        <v>-2384000</v>
      </c>
      <c r="AE155" s="49">
        <f>AC155+AD155</f>
        <v>321400</v>
      </c>
      <c r="AF155" s="46">
        <f>AE155</f>
        <v>321400</v>
      </c>
      <c r="AG155" s="9">
        <f>SUM('Res-Gen'!AH250:'Res-Gen'!AH252)</f>
        <v>235000</v>
      </c>
      <c r="AH155" s="49">
        <f>AF155+AG155</f>
        <v>556400</v>
      </c>
      <c r="AI155" s="350">
        <f>AH155</f>
        <v>556400</v>
      </c>
      <c r="AJ155" s="9">
        <f>SUM('Res-Gen'!AK250:'Res-Gen'!AK252)</f>
        <v>-246000</v>
      </c>
      <c r="AK155" s="49">
        <f>AI155+AJ155</f>
        <v>310400</v>
      </c>
      <c r="AL155" s="46">
        <f>AK155</f>
        <v>310400</v>
      </c>
      <c r="AM155" s="9">
        <f>SUM('Res-Gen'!AN250:'Res-Gen'!AN252)</f>
        <v>-228000</v>
      </c>
      <c r="AN155" s="61">
        <f>AL155+AM155</f>
        <v>82400</v>
      </c>
    </row>
    <row r="156" spans="1:40" x14ac:dyDescent="0.2">
      <c r="A156" s="633" t="s">
        <v>5259</v>
      </c>
      <c r="B156" s="89">
        <v>684900</v>
      </c>
      <c r="C156" s="9">
        <f>'Res-Gen'!D253</f>
        <v>-41600</v>
      </c>
      <c r="D156" s="76">
        <f t="shared" ref="D156" si="552">B156+C156</f>
        <v>643300</v>
      </c>
      <c r="E156" s="350">
        <f t="shared" ref="E156" si="553">D156</f>
        <v>643300</v>
      </c>
      <c r="F156" s="9">
        <f>'Res-Gen'!G253</f>
        <v>59200</v>
      </c>
      <c r="G156" s="76">
        <f t="shared" ref="G156" si="554">E156+F156</f>
        <v>702500</v>
      </c>
      <c r="H156" s="350">
        <f t="shared" ref="H156" si="555">G156</f>
        <v>702500</v>
      </c>
      <c r="I156" s="9">
        <f>'Res-Gen'!J253</f>
        <v>22800</v>
      </c>
      <c r="J156" s="76">
        <f t="shared" ref="J156" si="556">H156+I156</f>
        <v>725300</v>
      </c>
      <c r="K156" s="133">
        <f t="shared" ref="K156" si="557">J156</f>
        <v>725300</v>
      </c>
      <c r="L156" s="9">
        <f>'Res-Gen'!M253</f>
        <v>22000</v>
      </c>
      <c r="M156" s="49">
        <f t="shared" ref="M156" si="558">K156+L156</f>
        <v>747300</v>
      </c>
      <c r="N156" s="350">
        <f t="shared" ref="N156" si="559">M156</f>
        <v>747300</v>
      </c>
      <c r="O156" s="9">
        <f>'Res-Gen'!P253</f>
        <v>23000</v>
      </c>
      <c r="P156" s="49">
        <f t="shared" ref="P156" si="560">N156+O156</f>
        <v>770300</v>
      </c>
      <c r="Q156" s="46">
        <f t="shared" ref="Q156" si="561">P156</f>
        <v>770300</v>
      </c>
      <c r="R156" s="9">
        <f>'Res-Gen'!S253</f>
        <v>24000</v>
      </c>
      <c r="S156" s="61">
        <f t="shared" ref="S156" si="562">Q156+R156</f>
        <v>794300</v>
      </c>
      <c r="T156" s="46">
        <f t="shared" ref="T156" si="563">S156</f>
        <v>794300</v>
      </c>
      <c r="U156" s="9">
        <f>'Res-Gen'!V253</f>
        <v>25000</v>
      </c>
      <c r="V156" s="49">
        <f t="shared" ref="V156" si="564">T156+U156</f>
        <v>819300</v>
      </c>
      <c r="W156" s="46">
        <f t="shared" ref="W156" si="565">V156</f>
        <v>819300</v>
      </c>
      <c r="X156" s="9">
        <f>'Res-Gen'!Y253</f>
        <v>26000</v>
      </c>
      <c r="Y156" s="49">
        <f t="shared" ref="Y156" si="566">W156+X156</f>
        <v>845300</v>
      </c>
      <c r="Z156" s="46">
        <f t="shared" ref="Z156" si="567">Y156</f>
        <v>845300</v>
      </c>
      <c r="AA156" s="9">
        <f>'Res-Gen'!AB253</f>
        <v>27000</v>
      </c>
      <c r="AB156" s="49">
        <f t="shared" ref="AB156" si="568">Z156+AA156</f>
        <v>872300</v>
      </c>
      <c r="AC156" s="350">
        <f t="shared" ref="AC156" si="569">AB156</f>
        <v>872300</v>
      </c>
      <c r="AD156" s="9">
        <f>'Res-Gen'!AE253</f>
        <v>28000</v>
      </c>
      <c r="AE156" s="49">
        <f t="shared" ref="AE156" si="570">AC156+AD156</f>
        <v>900300</v>
      </c>
      <c r="AF156" s="46">
        <f t="shared" ref="AF156" si="571">AE156</f>
        <v>900300</v>
      </c>
      <c r="AG156" s="9">
        <f>'Res-Gen'!AH253</f>
        <v>29000</v>
      </c>
      <c r="AH156" s="49">
        <f t="shared" ref="AH156" si="572">AF156+AG156</f>
        <v>929300</v>
      </c>
      <c r="AI156" s="350">
        <f t="shared" ref="AI156" si="573">AH156</f>
        <v>929300</v>
      </c>
      <c r="AJ156" s="9">
        <f>'Res-Gen'!AK253</f>
        <v>30000</v>
      </c>
      <c r="AK156" s="49">
        <f t="shared" ref="AK156" si="574">AI156+AJ156</f>
        <v>959300</v>
      </c>
      <c r="AL156" s="46">
        <f t="shared" ref="AL156" si="575">AK156</f>
        <v>959300</v>
      </c>
      <c r="AM156" s="9">
        <f>'Res-Gen'!AN253</f>
        <v>31000</v>
      </c>
      <c r="AN156" s="61">
        <f t="shared" ref="AN156" si="576">AL156+AM156</f>
        <v>990300</v>
      </c>
    </row>
    <row r="157" spans="1:40" x14ac:dyDescent="0.2">
      <c r="A157" s="408"/>
      <c r="B157" s="89"/>
      <c r="C157" s="9"/>
      <c r="D157" s="76"/>
      <c r="E157" s="133"/>
      <c r="F157" s="9"/>
      <c r="G157" s="76"/>
      <c r="H157" s="133"/>
      <c r="I157" s="9"/>
      <c r="J157" s="76"/>
      <c r="K157" s="133"/>
      <c r="L157" s="9"/>
      <c r="M157" s="49"/>
      <c r="N157" s="350"/>
      <c r="O157" s="9"/>
      <c r="P157" s="49"/>
      <c r="Q157" s="46"/>
      <c r="R157" s="9"/>
      <c r="S157" s="61"/>
      <c r="T157" s="46"/>
      <c r="U157" s="9"/>
      <c r="V157" s="49"/>
      <c r="W157" s="46"/>
      <c r="X157" s="9"/>
      <c r="Y157" s="49"/>
      <c r="Z157" s="46"/>
      <c r="AA157" s="9"/>
      <c r="AB157" s="49"/>
      <c r="AC157" s="350"/>
      <c r="AD157" s="9"/>
      <c r="AE157" s="76"/>
      <c r="AF157" s="46"/>
      <c r="AG157" s="9"/>
      <c r="AH157" s="49"/>
      <c r="AI157" s="350"/>
      <c r="AJ157" s="9"/>
      <c r="AK157" s="49"/>
      <c r="AL157" s="46"/>
      <c r="AM157" s="9"/>
      <c r="AN157" s="61"/>
    </row>
    <row r="158" spans="1:40" x14ac:dyDescent="0.2">
      <c r="A158" s="778" t="s">
        <v>6653</v>
      </c>
      <c r="B158" s="89"/>
      <c r="C158" s="9"/>
      <c r="D158" s="76"/>
      <c r="E158" s="133"/>
      <c r="F158" s="9"/>
      <c r="G158" s="76"/>
      <c r="H158" s="133"/>
      <c r="I158" s="9"/>
      <c r="J158" s="76"/>
      <c r="K158" s="133"/>
      <c r="L158" s="9"/>
      <c r="M158" s="49"/>
      <c r="N158" s="350"/>
      <c r="O158" s="9"/>
      <c r="P158" s="49"/>
      <c r="Q158" s="46"/>
      <c r="R158" s="9"/>
      <c r="S158" s="61"/>
      <c r="T158" s="46"/>
      <c r="U158" s="9"/>
      <c r="V158" s="49"/>
      <c r="W158" s="46"/>
      <c r="X158" s="9"/>
      <c r="Y158" s="49"/>
      <c r="Z158" s="46"/>
      <c r="AA158" s="9"/>
      <c r="AB158" s="49"/>
      <c r="AC158" s="350"/>
      <c r="AD158" s="9"/>
      <c r="AE158" s="76"/>
      <c r="AF158" s="46"/>
      <c r="AG158" s="9"/>
      <c r="AH158" s="49"/>
      <c r="AI158" s="350"/>
      <c r="AJ158" s="9"/>
      <c r="AK158" s="49"/>
      <c r="AL158" s="46"/>
      <c r="AM158" s="9"/>
      <c r="AN158" s="61"/>
    </row>
    <row r="159" spans="1:40" x14ac:dyDescent="0.2">
      <c r="A159" s="633" t="s">
        <v>6763</v>
      </c>
      <c r="B159" s="89">
        <v>1586400</v>
      </c>
      <c r="C159" s="9">
        <f>'Res-Gen'!D257</f>
        <v>-202000</v>
      </c>
      <c r="D159" s="76">
        <f>B159+C159</f>
        <v>1384400</v>
      </c>
      <c r="E159" s="350">
        <f>D159</f>
        <v>1384400</v>
      </c>
      <c r="F159" s="9">
        <f>'Res-Gen'!G257</f>
        <v>478500</v>
      </c>
      <c r="G159" s="76">
        <f>E159+F159</f>
        <v>1862900</v>
      </c>
      <c r="H159" s="350">
        <f>G159</f>
        <v>1862900</v>
      </c>
      <c r="I159" s="9">
        <f>'Res-Gen'!J257</f>
        <v>593200</v>
      </c>
      <c r="J159" s="76">
        <f>H159+I159</f>
        <v>2456100</v>
      </c>
      <c r="K159" s="133">
        <f>J159</f>
        <v>2456100</v>
      </c>
      <c r="L159" s="9">
        <f>'Res-Gen'!M257</f>
        <v>-935000</v>
      </c>
      <c r="M159" s="49">
        <f>K159+L159</f>
        <v>1521100</v>
      </c>
      <c r="N159" s="350">
        <f>M159</f>
        <v>1521100</v>
      </c>
      <c r="O159" s="9">
        <f>'Res-Gen'!P257</f>
        <v>584500</v>
      </c>
      <c r="P159" s="49">
        <f>N159+O159</f>
        <v>2105600</v>
      </c>
      <c r="Q159" s="46">
        <f>P159</f>
        <v>2105600</v>
      </c>
      <c r="R159" s="9">
        <f>'Res-Gen'!S257</f>
        <v>-1189500</v>
      </c>
      <c r="S159" s="61">
        <f>Q159+R159</f>
        <v>916100</v>
      </c>
      <c r="T159" s="46">
        <f>S159</f>
        <v>916100</v>
      </c>
      <c r="U159" s="9">
        <f>'Res-Gen'!V257</f>
        <v>589100</v>
      </c>
      <c r="V159" s="49">
        <f>T159+U159</f>
        <v>1505200</v>
      </c>
      <c r="W159" s="46">
        <f>V159</f>
        <v>1505200</v>
      </c>
      <c r="X159" s="9">
        <f>'Res-Gen'!Y257</f>
        <v>613400</v>
      </c>
      <c r="Y159" s="49">
        <f>W159+X159</f>
        <v>2118600</v>
      </c>
      <c r="Z159" s="46">
        <f>Y159</f>
        <v>2118600</v>
      </c>
      <c r="AA159" s="9">
        <f>'Res-Gen'!AB257</f>
        <v>-1360500</v>
      </c>
      <c r="AB159" s="49">
        <f>Z159+AA159</f>
        <v>758100</v>
      </c>
      <c r="AC159" s="350">
        <f>AB159</f>
        <v>758100</v>
      </c>
      <c r="AD159" s="9">
        <f>'Res-Gen'!AE257</f>
        <v>616600</v>
      </c>
      <c r="AE159" s="76">
        <f>AC159+AD159</f>
        <v>1374700</v>
      </c>
      <c r="AF159" s="46">
        <f>AE159</f>
        <v>1374700</v>
      </c>
      <c r="AG159" s="9">
        <f>'Res-Gen'!AH257</f>
        <v>642700</v>
      </c>
      <c r="AH159" s="49">
        <f>AF159+AG159</f>
        <v>2017400</v>
      </c>
      <c r="AI159" s="350">
        <f>AH159</f>
        <v>2017400</v>
      </c>
      <c r="AJ159" s="9">
        <f>'Res-Gen'!AK257</f>
        <v>-1547200</v>
      </c>
      <c r="AK159" s="49">
        <f>AI159+AJ159</f>
        <v>470200</v>
      </c>
      <c r="AL159" s="46">
        <f>AK159</f>
        <v>470200</v>
      </c>
      <c r="AM159" s="9">
        <f>'Res-Gen'!AN257</f>
        <v>646100</v>
      </c>
      <c r="AN159" s="61">
        <f>AL159+AM159</f>
        <v>1116300</v>
      </c>
    </row>
    <row r="160" spans="1:40" ht="13.5" thickBot="1" x14ac:dyDescent="0.25">
      <c r="A160" s="408"/>
      <c r="B160" s="89"/>
      <c r="C160" s="9"/>
      <c r="D160" s="76"/>
      <c r="E160" s="133"/>
      <c r="F160" s="9"/>
      <c r="G160" s="76"/>
      <c r="H160" s="133"/>
      <c r="I160" s="9"/>
      <c r="J160" s="76"/>
      <c r="K160" s="133"/>
      <c r="L160" s="9"/>
      <c r="M160" s="49"/>
      <c r="N160" s="350"/>
      <c r="O160" s="9"/>
      <c r="P160" s="49"/>
      <c r="Q160" s="46"/>
      <c r="R160" s="9"/>
      <c r="S160" s="61"/>
      <c r="T160" s="46"/>
      <c r="U160" s="9"/>
      <c r="V160" s="49"/>
      <c r="W160" s="46"/>
      <c r="X160" s="9"/>
      <c r="Y160" s="49"/>
      <c r="Z160" s="46"/>
      <c r="AA160" s="9"/>
      <c r="AB160" s="49"/>
      <c r="AC160" s="350"/>
      <c r="AD160" s="9"/>
      <c r="AE160" s="76"/>
      <c r="AF160" s="46"/>
      <c r="AG160" s="9"/>
      <c r="AH160" s="49"/>
      <c r="AI160" s="350"/>
      <c r="AJ160" s="9"/>
      <c r="AK160" s="49"/>
      <c r="AL160" s="46"/>
      <c r="AM160" s="9"/>
      <c r="AN160" s="61"/>
    </row>
    <row r="161" spans="1:40" s="39" customFormat="1" ht="14.25" thickTop="1" thickBot="1" x14ac:dyDescent="0.25">
      <c r="A161" s="797" t="s">
        <v>3300</v>
      </c>
      <c r="B161" s="302">
        <f t="shared" ref="B161:AH161" si="577">SUBTOTAL(9,B87:B160)</f>
        <v>23719900</v>
      </c>
      <c r="C161" s="300">
        <f t="shared" si="577"/>
        <v>-2565600</v>
      </c>
      <c r="D161" s="301">
        <f t="shared" si="577"/>
        <v>21154300</v>
      </c>
      <c r="E161" s="307">
        <f t="shared" si="577"/>
        <v>21154300</v>
      </c>
      <c r="F161" s="300">
        <f t="shared" si="577"/>
        <v>-1058100</v>
      </c>
      <c r="G161" s="301">
        <f t="shared" si="577"/>
        <v>20096200</v>
      </c>
      <c r="H161" s="307">
        <f t="shared" si="577"/>
        <v>20096200</v>
      </c>
      <c r="I161" s="300">
        <f t="shared" si="577"/>
        <v>-1979600</v>
      </c>
      <c r="J161" s="301">
        <f>SUBTOTAL(9,J87:J160)</f>
        <v>18116600</v>
      </c>
      <c r="K161" s="307">
        <f t="shared" si="577"/>
        <v>18116600</v>
      </c>
      <c r="L161" s="300">
        <f t="shared" si="577"/>
        <v>-7398300</v>
      </c>
      <c r="M161" s="305">
        <f t="shared" si="577"/>
        <v>10718300</v>
      </c>
      <c r="N161" s="1041">
        <f t="shared" si="577"/>
        <v>10718300</v>
      </c>
      <c r="O161" s="300">
        <f t="shared" si="577"/>
        <v>2099400</v>
      </c>
      <c r="P161" s="305">
        <f t="shared" si="577"/>
        <v>12817700</v>
      </c>
      <c r="Q161" s="304">
        <f t="shared" si="577"/>
        <v>12817700</v>
      </c>
      <c r="R161" s="300">
        <f t="shared" si="577"/>
        <v>-1320300</v>
      </c>
      <c r="S161" s="958">
        <f t="shared" si="577"/>
        <v>11497400</v>
      </c>
      <c r="T161" s="304">
        <f t="shared" si="577"/>
        <v>11497400</v>
      </c>
      <c r="U161" s="300">
        <f t="shared" si="577"/>
        <v>393400</v>
      </c>
      <c r="V161" s="305">
        <f t="shared" si="577"/>
        <v>11890800</v>
      </c>
      <c r="W161" s="304">
        <f t="shared" si="577"/>
        <v>11890800</v>
      </c>
      <c r="X161" s="300">
        <f t="shared" si="577"/>
        <v>493700</v>
      </c>
      <c r="Y161" s="305">
        <f t="shared" si="577"/>
        <v>12384500</v>
      </c>
      <c r="Z161" s="304">
        <f t="shared" si="577"/>
        <v>12384500</v>
      </c>
      <c r="AA161" s="300">
        <f t="shared" si="577"/>
        <v>-1184100</v>
      </c>
      <c r="AB161" s="305">
        <f t="shared" si="577"/>
        <v>11200400</v>
      </c>
      <c r="AC161" s="1041">
        <f t="shared" si="577"/>
        <v>11200400</v>
      </c>
      <c r="AD161" s="300">
        <f t="shared" si="577"/>
        <v>-1899700</v>
      </c>
      <c r="AE161" s="301">
        <f t="shared" si="577"/>
        <v>9300700</v>
      </c>
      <c r="AF161" s="304">
        <f t="shared" si="577"/>
        <v>9300700</v>
      </c>
      <c r="AG161" s="300">
        <f t="shared" si="577"/>
        <v>1146900</v>
      </c>
      <c r="AH161" s="305">
        <f t="shared" si="577"/>
        <v>10447600</v>
      </c>
      <c r="AI161" s="1041">
        <f t="shared" ref="AI161:AK161" si="578">SUBTOTAL(9,AI87:AI160)</f>
        <v>10447600</v>
      </c>
      <c r="AJ161" s="300">
        <f t="shared" si="578"/>
        <v>-1918500</v>
      </c>
      <c r="AK161" s="305">
        <f t="shared" si="578"/>
        <v>8529100</v>
      </c>
      <c r="AL161" s="304">
        <f t="shared" ref="AL161:AN161" si="579">SUBTOTAL(9,AL87:AL160)</f>
        <v>8529100</v>
      </c>
      <c r="AM161" s="300">
        <f t="shared" si="579"/>
        <v>227300</v>
      </c>
      <c r="AN161" s="958">
        <f t="shared" si="579"/>
        <v>8756400</v>
      </c>
    </row>
    <row r="162" spans="1:40" ht="14.25" thickTop="1" thickBot="1" x14ac:dyDescent="0.25">
      <c r="A162" s="296"/>
      <c r="B162" s="89"/>
      <c r="C162" s="9"/>
      <c r="D162" s="76"/>
      <c r="E162" s="133"/>
      <c r="F162" s="9"/>
      <c r="G162" s="76"/>
      <c r="H162" s="133"/>
      <c r="I162" s="9"/>
      <c r="J162" s="76"/>
      <c r="K162" s="133"/>
      <c r="L162" s="9"/>
      <c r="M162" s="76"/>
      <c r="N162" s="133"/>
      <c r="O162" s="9"/>
      <c r="P162" s="49"/>
      <c r="Q162" s="89"/>
      <c r="R162" s="9"/>
      <c r="S162" s="61"/>
      <c r="T162" s="89"/>
      <c r="U162" s="9"/>
      <c r="V162" s="49"/>
      <c r="W162" s="89"/>
      <c r="X162" s="9"/>
      <c r="Y162" s="49"/>
      <c r="Z162" s="89"/>
      <c r="AA162" s="9"/>
      <c r="AB162" s="49"/>
      <c r="AC162" s="133"/>
      <c r="AD162" s="9"/>
      <c r="AE162" s="76"/>
      <c r="AF162" s="89"/>
      <c r="AG162" s="9"/>
      <c r="AH162" s="49"/>
      <c r="AI162" s="133"/>
      <c r="AJ162" s="9"/>
      <c r="AK162" s="49"/>
      <c r="AL162" s="89"/>
      <c r="AM162" s="9"/>
      <c r="AN162" s="61"/>
    </row>
    <row r="163" spans="1:40" ht="14.25" thickTop="1" thickBot="1" x14ac:dyDescent="0.25">
      <c r="A163" s="522" t="s">
        <v>1401</v>
      </c>
      <c r="B163" s="523">
        <f t="shared" ref="B163:AN163" si="580">SUBTOTAL(9,B4:B162)</f>
        <v>38402600</v>
      </c>
      <c r="C163" s="525">
        <f t="shared" si="580"/>
        <v>-1109300</v>
      </c>
      <c r="D163" s="524">
        <f t="shared" si="580"/>
        <v>37293300</v>
      </c>
      <c r="E163" s="526">
        <f t="shared" si="580"/>
        <v>37293300</v>
      </c>
      <c r="F163" s="525">
        <f t="shared" si="580"/>
        <v>7919600</v>
      </c>
      <c r="G163" s="524">
        <f t="shared" si="580"/>
        <v>45212900</v>
      </c>
      <c r="H163" s="526">
        <f t="shared" si="580"/>
        <v>45216700</v>
      </c>
      <c r="I163" s="525">
        <f t="shared" si="580"/>
        <v>-2853300</v>
      </c>
      <c r="J163" s="524">
        <f t="shared" si="580"/>
        <v>42363400</v>
      </c>
      <c r="K163" s="526">
        <f t="shared" si="580"/>
        <v>54173300</v>
      </c>
      <c r="L163" s="525">
        <f t="shared" si="580"/>
        <v>-5661700</v>
      </c>
      <c r="M163" s="524">
        <f t="shared" si="580"/>
        <v>36701700</v>
      </c>
      <c r="N163" s="526">
        <f t="shared" si="580"/>
        <v>36701700</v>
      </c>
      <c r="O163" s="525">
        <f t="shared" si="580"/>
        <v>-9747100</v>
      </c>
      <c r="P163" s="1639">
        <f t="shared" si="580"/>
        <v>26954600</v>
      </c>
      <c r="Q163" s="523">
        <f t="shared" si="580"/>
        <v>26954600</v>
      </c>
      <c r="R163" s="525">
        <f t="shared" si="580"/>
        <v>-1467200</v>
      </c>
      <c r="S163" s="961">
        <f t="shared" si="580"/>
        <v>25487400</v>
      </c>
      <c r="T163" s="523">
        <f t="shared" si="580"/>
        <v>25487400</v>
      </c>
      <c r="U163" s="525">
        <f t="shared" si="580"/>
        <v>911000</v>
      </c>
      <c r="V163" s="527">
        <f t="shared" si="580"/>
        <v>26398400</v>
      </c>
      <c r="W163" s="523">
        <f t="shared" si="580"/>
        <v>26398400</v>
      </c>
      <c r="X163" s="525">
        <f t="shared" si="580"/>
        <v>6858800</v>
      </c>
      <c r="Y163" s="527">
        <f t="shared" si="580"/>
        <v>33257200</v>
      </c>
      <c r="Z163" s="523">
        <f t="shared" si="580"/>
        <v>33257200</v>
      </c>
      <c r="AA163" s="525">
        <f t="shared" si="580"/>
        <v>3533400</v>
      </c>
      <c r="AB163" s="527">
        <f t="shared" si="580"/>
        <v>36790600</v>
      </c>
      <c r="AC163" s="526">
        <f t="shared" si="580"/>
        <v>36790600</v>
      </c>
      <c r="AD163" s="525">
        <f t="shared" si="580"/>
        <v>3855100</v>
      </c>
      <c r="AE163" s="524">
        <f t="shared" si="580"/>
        <v>40645700</v>
      </c>
      <c r="AF163" s="523">
        <f t="shared" si="580"/>
        <v>40645700</v>
      </c>
      <c r="AG163" s="525">
        <f t="shared" si="580"/>
        <v>8022700</v>
      </c>
      <c r="AH163" s="527">
        <f t="shared" si="580"/>
        <v>48668400</v>
      </c>
      <c r="AI163" s="526">
        <f t="shared" si="580"/>
        <v>48668400</v>
      </c>
      <c r="AJ163" s="525">
        <f t="shared" si="580"/>
        <v>5360500</v>
      </c>
      <c r="AK163" s="527">
        <f t="shared" si="580"/>
        <v>54028900</v>
      </c>
      <c r="AL163" s="523">
        <f t="shared" si="580"/>
        <v>54028900</v>
      </c>
      <c r="AM163" s="525">
        <f t="shared" si="580"/>
        <v>7545900</v>
      </c>
      <c r="AN163" s="961">
        <f t="shared" si="580"/>
        <v>61574800</v>
      </c>
    </row>
    <row r="164" spans="1:40" ht="13.5" thickTop="1" x14ac:dyDescent="0.2">
      <c r="A164" s="413"/>
      <c r="B164" s="75"/>
      <c r="C164" s="21"/>
      <c r="D164" s="283"/>
      <c r="E164" s="132"/>
      <c r="F164" s="21"/>
      <c r="G164" s="283"/>
      <c r="H164" s="132"/>
      <c r="I164" s="21"/>
      <c r="J164" s="283"/>
      <c r="K164" s="132"/>
      <c r="L164" s="21"/>
      <c r="M164" s="283"/>
      <c r="N164" s="132"/>
      <c r="O164" s="21"/>
      <c r="P164" s="1640"/>
      <c r="Q164" s="75"/>
      <c r="R164" s="21"/>
      <c r="S164" s="62"/>
      <c r="T164" s="75"/>
      <c r="U164" s="21"/>
      <c r="V164" s="64"/>
      <c r="W164" s="75"/>
      <c r="X164" s="21"/>
      <c r="Y164" s="64"/>
      <c r="Z164" s="75"/>
      <c r="AA164" s="21"/>
      <c r="AB164" s="64"/>
      <c r="AC164" s="75"/>
      <c r="AD164" s="21"/>
      <c r="AE164" s="283"/>
      <c r="AF164" s="75"/>
      <c r="AG164" s="21"/>
      <c r="AH164" s="64"/>
      <c r="AI164" s="132"/>
      <c r="AJ164" s="21"/>
      <c r="AK164" s="64"/>
      <c r="AL164" s="75"/>
      <c r="AM164" s="21"/>
      <c r="AN164" s="62"/>
    </row>
    <row r="165" spans="1:40" x14ac:dyDescent="0.2">
      <c r="A165" s="413" t="s">
        <v>2741</v>
      </c>
      <c r="B165" s="75"/>
      <c r="C165" s="21"/>
      <c r="D165" s="283"/>
      <c r="E165" s="132"/>
      <c r="F165" s="21"/>
      <c r="G165" s="283"/>
      <c r="H165" s="132"/>
      <c r="I165" s="21"/>
      <c r="J165" s="283"/>
      <c r="K165" s="132"/>
      <c r="L165" s="21"/>
      <c r="M165" s="283"/>
      <c r="N165" s="132"/>
      <c r="O165" s="21"/>
      <c r="P165" s="1640"/>
      <c r="Q165" s="75"/>
      <c r="R165" s="21"/>
      <c r="S165" s="62"/>
      <c r="T165" s="75"/>
      <c r="U165" s="21"/>
      <c r="V165" s="64"/>
      <c r="W165" s="75"/>
      <c r="X165" s="21"/>
      <c r="Y165" s="64"/>
      <c r="Z165" s="75"/>
      <c r="AA165" s="21"/>
      <c r="AB165" s="64"/>
      <c r="AC165" s="75"/>
      <c r="AD165" s="21"/>
      <c r="AE165" s="283"/>
      <c r="AF165" s="75"/>
      <c r="AG165" s="21"/>
      <c r="AH165" s="64"/>
      <c r="AI165" s="132"/>
      <c r="AJ165" s="21"/>
      <c r="AK165" s="64"/>
      <c r="AL165" s="75"/>
      <c r="AM165" s="21"/>
      <c r="AN165" s="62"/>
    </row>
    <row r="166" spans="1:40" x14ac:dyDescent="0.2">
      <c r="A166" s="296" t="s">
        <v>2545</v>
      </c>
      <c r="B166" s="89">
        <f>B163-B167</f>
        <v>27819700</v>
      </c>
      <c r="C166" s="9">
        <f>D166-B166</f>
        <v>521200</v>
      </c>
      <c r="D166" s="76">
        <f t="shared" ref="D166:E166" si="581">D163-D167</f>
        <v>28340900</v>
      </c>
      <c r="E166" s="133">
        <f t="shared" si="581"/>
        <v>28340900</v>
      </c>
      <c r="F166" s="9">
        <f>G166-E166</f>
        <v>7764300</v>
      </c>
      <c r="G166" s="76">
        <f>G163-G167</f>
        <v>36105200</v>
      </c>
      <c r="H166" s="133">
        <f t="shared" ref="H166" si="582">H163-H167</f>
        <v>36109000</v>
      </c>
      <c r="I166" s="9">
        <f t="shared" ref="I166" si="583">J166-H166</f>
        <v>-5021700</v>
      </c>
      <c r="J166" s="76">
        <f t="shared" ref="J166:K166" si="584">J163-J167</f>
        <v>31087300</v>
      </c>
      <c r="K166" s="133">
        <f t="shared" si="584"/>
        <v>42897200</v>
      </c>
      <c r="L166" s="9">
        <f t="shared" ref="L166" si="585">M166-K166</f>
        <v>-23040700</v>
      </c>
      <c r="M166" s="76">
        <f t="shared" ref="M166:N166" si="586">M163-M167</f>
        <v>19856500</v>
      </c>
      <c r="N166" s="133">
        <f t="shared" si="586"/>
        <v>19856500</v>
      </c>
      <c r="O166" s="9">
        <f t="shared" ref="O166" si="587">P166-N166</f>
        <v>15100</v>
      </c>
      <c r="P166" s="237">
        <f t="shared" ref="P166:Q166" si="588">P163-P167</f>
        <v>19871600</v>
      </c>
      <c r="Q166" s="89">
        <f t="shared" si="588"/>
        <v>19871600</v>
      </c>
      <c r="R166" s="9">
        <f t="shared" ref="R166" si="589">S166-Q166</f>
        <v>471700</v>
      </c>
      <c r="S166" s="61">
        <f t="shared" ref="S166:T166" si="590">S163-S167</f>
        <v>20343300</v>
      </c>
      <c r="T166" s="89">
        <f t="shared" si="590"/>
        <v>20343300</v>
      </c>
      <c r="U166" s="9">
        <f t="shared" ref="U166" si="591">V166-T166</f>
        <v>273000</v>
      </c>
      <c r="V166" s="49">
        <f t="shared" ref="V166:W166" si="592">V163-V167</f>
        <v>20616300</v>
      </c>
      <c r="W166" s="89">
        <f t="shared" si="592"/>
        <v>20616300</v>
      </c>
      <c r="X166" s="9">
        <f t="shared" ref="X166" si="593">Y166-W166</f>
        <v>684200</v>
      </c>
      <c r="Y166" s="49">
        <f t="shared" ref="Y166:Z166" si="594">Y163-Y167</f>
        <v>21300500</v>
      </c>
      <c r="Z166" s="89">
        <f t="shared" si="594"/>
        <v>21300500</v>
      </c>
      <c r="AA166" s="9">
        <f t="shared" ref="AA166" si="595">AB166-Z166</f>
        <v>-903000</v>
      </c>
      <c r="AB166" s="49">
        <f t="shared" ref="AB166:AC166" si="596">AB163-AB167</f>
        <v>20397500</v>
      </c>
      <c r="AC166" s="89">
        <f t="shared" si="596"/>
        <v>20397500</v>
      </c>
      <c r="AD166" s="9">
        <f t="shared" ref="AD166" si="597">AE166-AC166</f>
        <v>-2838100</v>
      </c>
      <c r="AE166" s="76">
        <f t="shared" ref="AE166:AF166" si="598">AE163-AE167</f>
        <v>17559400</v>
      </c>
      <c r="AF166" s="89">
        <f t="shared" si="598"/>
        <v>17559400</v>
      </c>
      <c r="AG166" s="9">
        <f t="shared" ref="AG166" si="599">AH166-AF166</f>
        <v>1012700</v>
      </c>
      <c r="AH166" s="49">
        <f t="shared" ref="AH166:AI166" si="600">AH163-AH167</f>
        <v>18572100</v>
      </c>
      <c r="AI166" s="133">
        <f t="shared" si="600"/>
        <v>18572100</v>
      </c>
      <c r="AJ166" s="9">
        <f t="shared" ref="AJ166" si="601">AK166-AI166</f>
        <v>240200</v>
      </c>
      <c r="AK166" s="49">
        <f t="shared" ref="AK166:AL166" si="602">AK163-AK167</f>
        <v>18812300</v>
      </c>
      <c r="AL166" s="89">
        <f t="shared" si="602"/>
        <v>18812300</v>
      </c>
      <c r="AM166" s="9">
        <f t="shared" ref="AM166" si="603">AN166-AL166</f>
        <v>-79300</v>
      </c>
      <c r="AN166" s="61">
        <f t="shared" ref="AN166" si="604">AN163-AN167</f>
        <v>18733000</v>
      </c>
    </row>
    <row r="167" spans="1:40" x14ac:dyDescent="0.2">
      <c r="A167" s="296" t="s">
        <v>1313</v>
      </c>
      <c r="B167" s="89">
        <f t="shared" ref="B167:AN167" si="605">B159+B6+B54+B52+B53++B136</f>
        <v>10582900</v>
      </c>
      <c r="C167" s="9">
        <f t="shared" si="605"/>
        <v>-1630500</v>
      </c>
      <c r="D167" s="76">
        <f t="shared" si="605"/>
        <v>8952400</v>
      </c>
      <c r="E167" s="133">
        <f t="shared" si="605"/>
        <v>8952400</v>
      </c>
      <c r="F167" s="9">
        <f t="shared" si="605"/>
        <v>155300</v>
      </c>
      <c r="G167" s="76">
        <f t="shared" si="605"/>
        <v>9107700</v>
      </c>
      <c r="H167" s="133">
        <f t="shared" si="605"/>
        <v>9107700</v>
      </c>
      <c r="I167" s="9">
        <f t="shared" si="605"/>
        <v>2168400</v>
      </c>
      <c r="J167" s="76">
        <f t="shared" si="605"/>
        <v>11276100</v>
      </c>
      <c r="K167" s="133">
        <f t="shared" si="605"/>
        <v>11276100</v>
      </c>
      <c r="L167" s="9">
        <f t="shared" si="605"/>
        <v>5569100</v>
      </c>
      <c r="M167" s="76">
        <f t="shared" si="605"/>
        <v>16845200</v>
      </c>
      <c r="N167" s="133">
        <f t="shared" si="605"/>
        <v>16845200</v>
      </c>
      <c r="O167" s="9">
        <f t="shared" si="605"/>
        <v>-9762200</v>
      </c>
      <c r="P167" s="237">
        <f t="shared" si="605"/>
        <v>7083000</v>
      </c>
      <c r="Q167" s="89">
        <f t="shared" si="605"/>
        <v>7083000</v>
      </c>
      <c r="R167" s="9">
        <f t="shared" si="605"/>
        <v>-1938900</v>
      </c>
      <c r="S167" s="61">
        <f t="shared" si="605"/>
        <v>5144100</v>
      </c>
      <c r="T167" s="89">
        <f t="shared" si="605"/>
        <v>5144100</v>
      </c>
      <c r="U167" s="9">
        <f t="shared" si="605"/>
        <v>638000</v>
      </c>
      <c r="V167" s="49">
        <f t="shared" si="605"/>
        <v>5782100</v>
      </c>
      <c r="W167" s="89">
        <f t="shared" si="605"/>
        <v>5782100</v>
      </c>
      <c r="X167" s="9">
        <f t="shared" si="605"/>
        <v>6174600</v>
      </c>
      <c r="Y167" s="49">
        <f t="shared" si="605"/>
        <v>11956700</v>
      </c>
      <c r="Z167" s="89">
        <f t="shared" si="605"/>
        <v>11956700</v>
      </c>
      <c r="AA167" s="9">
        <f t="shared" si="605"/>
        <v>4436400</v>
      </c>
      <c r="AB167" s="49">
        <f t="shared" si="605"/>
        <v>16393100</v>
      </c>
      <c r="AC167" s="89">
        <f t="shared" si="605"/>
        <v>16393100</v>
      </c>
      <c r="AD167" s="9">
        <f t="shared" si="605"/>
        <v>6693200</v>
      </c>
      <c r="AE167" s="76">
        <f t="shared" si="605"/>
        <v>23086300</v>
      </c>
      <c r="AF167" s="89">
        <f t="shared" si="605"/>
        <v>23086300</v>
      </c>
      <c r="AG167" s="9">
        <f t="shared" si="605"/>
        <v>7010000</v>
      </c>
      <c r="AH167" s="49">
        <f t="shared" si="605"/>
        <v>30096300</v>
      </c>
      <c r="AI167" s="133">
        <f t="shared" si="605"/>
        <v>30096300</v>
      </c>
      <c r="AJ167" s="9">
        <f t="shared" si="605"/>
        <v>5120300</v>
      </c>
      <c r="AK167" s="49">
        <f t="shared" si="605"/>
        <v>35216600</v>
      </c>
      <c r="AL167" s="89">
        <f t="shared" si="605"/>
        <v>35216600</v>
      </c>
      <c r="AM167" s="9">
        <f t="shared" si="605"/>
        <v>7625200</v>
      </c>
      <c r="AN167" s="61">
        <f t="shared" si="605"/>
        <v>42841800</v>
      </c>
    </row>
    <row r="168" spans="1:40" ht="13.5" thickBot="1" x14ac:dyDescent="0.25">
      <c r="A168" s="297"/>
      <c r="B168" s="113"/>
      <c r="C168" s="23"/>
      <c r="D168" s="83"/>
      <c r="E168" s="158"/>
      <c r="F168" s="23"/>
      <c r="G168" s="83"/>
      <c r="H168" s="158"/>
      <c r="I168" s="23"/>
      <c r="J168" s="83"/>
      <c r="K168" s="158"/>
      <c r="L168" s="23"/>
      <c r="M168" s="83"/>
      <c r="N168" s="158"/>
      <c r="O168" s="23"/>
      <c r="P168" s="1641"/>
      <c r="Q168" s="113"/>
      <c r="R168" s="23"/>
      <c r="S168" s="112"/>
      <c r="T168" s="113"/>
      <c r="U168" s="23"/>
      <c r="V168" s="223"/>
      <c r="W168" s="113"/>
      <c r="X168" s="23"/>
      <c r="Y168" s="223"/>
      <c r="Z168" s="113"/>
      <c r="AA168" s="23"/>
      <c r="AB168" s="223"/>
      <c r="AC168" s="113"/>
      <c r="AD168" s="23"/>
      <c r="AE168" s="83"/>
      <c r="AF168" s="113"/>
      <c r="AG168" s="23"/>
      <c r="AH168" s="223"/>
      <c r="AI168" s="158"/>
      <c r="AJ168" s="23"/>
      <c r="AK168" s="223"/>
      <c r="AL168" s="113"/>
      <c r="AM168" s="23"/>
      <c r="AN168" s="112"/>
    </row>
    <row r="169" spans="1:40" ht="13.5" thickTop="1" x14ac:dyDescent="0.2"/>
    <row r="170" spans="1:40" ht="13.5" thickBot="1" x14ac:dyDescent="0.25">
      <c r="A170" s="39" t="s">
        <v>1901</v>
      </c>
      <c r="D170" s="1542">
        <f>D163-D172+D176</f>
        <v>0</v>
      </c>
      <c r="E170" s="1542">
        <f>E163-E172+E176</f>
        <v>189.49000000208616</v>
      </c>
      <c r="G170" s="1542">
        <f>G163-G172+G176</f>
        <v>199.86393604427576</v>
      </c>
      <c r="J170" s="1542">
        <f>J163-J172+J176</f>
        <v>99.86393603682518</v>
      </c>
    </row>
    <row r="171" spans="1:40" ht="13.5" thickTop="1" x14ac:dyDescent="0.2"/>
    <row r="172" spans="1:40" x14ac:dyDescent="0.2">
      <c r="A172" s="39" t="s">
        <v>2787</v>
      </c>
      <c r="C172" s="1543" t="s">
        <v>6641</v>
      </c>
      <c r="D172" s="34">
        <v>36775150</v>
      </c>
      <c r="E172" s="34">
        <v>36775110.509999998</v>
      </c>
      <c r="F172" s="1617">
        <v>43035</v>
      </c>
      <c r="G172" s="34">
        <v>44844640.136063956</v>
      </c>
      <c r="J172" s="34">
        <v>41995040.136063963</v>
      </c>
    </row>
    <row r="173" spans="1:40" x14ac:dyDescent="0.2">
      <c r="A173" s="34" t="s">
        <v>2788</v>
      </c>
      <c r="G173" s="34">
        <v>44851440.136063956</v>
      </c>
    </row>
    <row r="174" spans="1:40" x14ac:dyDescent="0.2">
      <c r="A174" s="34" t="s">
        <v>1768</v>
      </c>
      <c r="D174" s="34">
        <v>-518000</v>
      </c>
      <c r="E174" s="34">
        <v>-518000</v>
      </c>
      <c r="G174" s="34">
        <v>-368000</v>
      </c>
      <c r="J174" s="34">
        <v>-368000</v>
      </c>
    </row>
    <row r="175" spans="1:40" x14ac:dyDescent="0.2">
      <c r="A175" s="34" t="s">
        <v>1352</v>
      </c>
      <c r="D175" s="386">
        <v>-150</v>
      </c>
      <c r="E175" s="386"/>
      <c r="G175" s="386">
        <v>-60</v>
      </c>
      <c r="J175" s="386">
        <v>-260</v>
      </c>
    </row>
    <row r="176" spans="1:40" s="39" customFormat="1" x14ac:dyDescent="0.2">
      <c r="A176" s="39" t="s">
        <v>826</v>
      </c>
      <c r="D176" s="39">
        <f>SUM(D174:D175)</f>
        <v>-518150</v>
      </c>
      <c r="E176" s="39">
        <f>SUM(E174:E175)</f>
        <v>-518000</v>
      </c>
      <c r="G176" s="39">
        <f>SUM(G174:G175)</f>
        <v>-368060</v>
      </c>
      <c r="J176" s="39">
        <f>SUM(J174:J175)</f>
        <v>-368260</v>
      </c>
    </row>
    <row r="177" spans="1:1" x14ac:dyDescent="0.2">
      <c r="A177" s="80"/>
    </row>
    <row r="179" spans="1:1" x14ac:dyDescent="0.2">
      <c r="A179" s="80"/>
    </row>
    <row r="180" spans="1:1" ht="12" customHeight="1" x14ac:dyDescent="0.2">
      <c r="A180" s="80"/>
    </row>
    <row r="1113" spans="5:5" x14ac:dyDescent="0.2">
      <c r="E1113" s="34" t="s">
        <v>7245</v>
      </c>
    </row>
  </sheetData>
  <mergeCells count="29">
    <mergeCell ref="AC2:AE2"/>
    <mergeCell ref="AC84:AE84"/>
    <mergeCell ref="B2:D2"/>
    <mergeCell ref="T2:V2"/>
    <mergeCell ref="N2:P2"/>
    <mergeCell ref="H2:J2"/>
    <mergeCell ref="W2:Y2"/>
    <mergeCell ref="Z2:AB2"/>
    <mergeCell ref="E2:G2"/>
    <mergeCell ref="K2:M2"/>
    <mergeCell ref="Q2:S2"/>
    <mergeCell ref="A83:S83"/>
    <mergeCell ref="H84:J84"/>
    <mergeCell ref="AL2:AN2"/>
    <mergeCell ref="AL84:AN84"/>
    <mergeCell ref="A1:S1"/>
    <mergeCell ref="AF2:AH2"/>
    <mergeCell ref="AF84:AH84"/>
    <mergeCell ref="B84:D84"/>
    <mergeCell ref="E84:G84"/>
    <mergeCell ref="Z84:AB84"/>
    <mergeCell ref="K84:M84"/>
    <mergeCell ref="T84:V84"/>
    <mergeCell ref="W84:Y84"/>
    <mergeCell ref="N84:P84"/>
    <mergeCell ref="Q84:S84"/>
    <mergeCell ref="AI2:AK2"/>
    <mergeCell ref="AI84:AK84"/>
    <mergeCell ref="A80:M80"/>
  </mergeCells>
  <phoneticPr fontId="9" type="noConversion"/>
  <printOptions horizontalCentered="1"/>
  <pageMargins left="0" right="0" top="0.98425196850393704" bottom="0.39370078740157483" header="0" footer="0"/>
  <pageSetup paperSize="8" scale="75" orientation="landscape" r:id="rId1"/>
  <headerFooter alignWithMargins="0"/>
  <rowBreaks count="2" manualBreakCount="2">
    <brk id="81" max="16383" man="1"/>
    <brk id="168"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sheetPr>
  <dimension ref="A1:BC1129"/>
  <sheetViews>
    <sheetView topLeftCell="F1" workbookViewId="0">
      <selection activeCell="AB89" sqref="AB89"/>
    </sheetView>
  </sheetViews>
  <sheetFormatPr defaultColWidth="9.140625" defaultRowHeight="12.75" x14ac:dyDescent="0.2"/>
  <cols>
    <col min="1" max="1" width="33" style="723" customWidth="1"/>
    <col min="2" max="2" width="14.28515625" style="724" customWidth="1"/>
    <col min="3" max="3" width="9.85546875" style="397" customWidth="1"/>
    <col min="4" max="4" width="11.140625" style="724" bestFit="1" customWidth="1"/>
    <col min="5" max="5" width="9.85546875" style="397" customWidth="1"/>
    <col min="6" max="7" width="10.140625" style="397" customWidth="1"/>
    <col min="8" max="8" width="11.85546875" style="397" bestFit="1" customWidth="1"/>
    <col min="9" max="9" width="12.85546875" style="397" customWidth="1"/>
    <col min="10" max="10" width="11.7109375" style="397" customWidth="1"/>
    <col min="11" max="12" width="10.140625" style="397" customWidth="1"/>
    <col min="13" max="19" width="10.140625" style="397" bestFit="1" customWidth="1"/>
    <col min="20" max="20" width="9.140625" style="351" bestFit="1" customWidth="1"/>
    <col min="21" max="21" width="10.140625" style="351" bestFit="1" customWidth="1"/>
    <col min="22" max="22" width="9.140625" style="351" bestFit="1" customWidth="1"/>
    <col min="23" max="23" width="10.140625" style="351" bestFit="1" customWidth="1"/>
    <col min="24" max="24" width="9.140625" style="397" bestFit="1" customWidth="1"/>
    <col min="25" max="25" width="10.140625" style="397" bestFit="1" customWidth="1"/>
    <col min="26" max="26" width="9.140625" style="351" bestFit="1" customWidth="1"/>
    <col min="27" max="27" width="10.140625" style="351" bestFit="1" customWidth="1"/>
    <col min="28" max="28" width="10.140625" style="397" bestFit="1" customWidth="1"/>
    <col min="29" max="29" width="10.140625" style="351" bestFit="1" customWidth="1"/>
    <col min="30" max="30" width="10.140625" style="397" bestFit="1" customWidth="1"/>
    <col min="31" max="31" width="10.140625" style="351" bestFit="1" customWidth="1"/>
    <col min="32" max="32" width="10.140625" style="397" bestFit="1" customWidth="1"/>
    <col min="33" max="33" width="10.140625" style="351" bestFit="1" customWidth="1"/>
    <col min="34" max="34" width="10.140625" style="397" bestFit="1" customWidth="1"/>
    <col min="35" max="16384" width="9.140625" style="397"/>
  </cols>
  <sheetData>
    <row r="1" spans="1:34" ht="13.5" thickTop="1" x14ac:dyDescent="0.2">
      <c r="A1" s="2383"/>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5"/>
    </row>
    <row r="2" spans="1:34" s="2049" customFormat="1" ht="15.75" x14ac:dyDescent="0.25">
      <c r="A2" s="2671" t="s">
        <v>5042</v>
      </c>
      <c r="B2" s="2672"/>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3"/>
    </row>
    <row r="3" spans="1:34" x14ac:dyDescent="0.2">
      <c r="A3" s="2386"/>
      <c r="B3" s="712" t="s">
        <v>2560</v>
      </c>
      <c r="C3" s="1073" t="s">
        <v>2624</v>
      </c>
      <c r="D3" s="712" t="s">
        <v>4599</v>
      </c>
      <c r="E3" s="2659" t="s">
        <v>929</v>
      </c>
      <c r="F3" s="2660"/>
      <c r="G3" s="2659" t="s">
        <v>883</v>
      </c>
      <c r="H3" s="2660"/>
      <c r="I3" s="2659" t="s">
        <v>2037</v>
      </c>
      <c r="J3" s="2660"/>
      <c r="K3" s="2659" t="s">
        <v>1587</v>
      </c>
      <c r="L3" s="2660"/>
      <c r="M3" s="2659" t="s">
        <v>2144</v>
      </c>
      <c r="N3" s="2660"/>
      <c r="O3" s="2659" t="s">
        <v>2141</v>
      </c>
      <c r="P3" s="2660"/>
      <c r="Q3" s="2659" t="s">
        <v>1521</v>
      </c>
      <c r="R3" s="2660"/>
      <c r="S3" s="2659" t="s">
        <v>1168</v>
      </c>
      <c r="T3" s="2660"/>
      <c r="U3" s="2659" t="s">
        <v>1307</v>
      </c>
      <c r="V3" s="2660"/>
      <c r="W3" s="2659" t="s">
        <v>2894</v>
      </c>
      <c r="X3" s="2660"/>
      <c r="Y3" s="2659" t="s">
        <v>3461</v>
      </c>
      <c r="Z3" s="2660"/>
      <c r="AA3" s="2659" t="s">
        <v>4208</v>
      </c>
      <c r="AB3" s="2660"/>
      <c r="AC3" s="2659" t="s">
        <v>5915</v>
      </c>
      <c r="AD3" s="2660"/>
      <c r="AE3" s="2659" t="s">
        <v>6812</v>
      </c>
      <c r="AF3" s="2660"/>
      <c r="AG3" s="2659" t="s">
        <v>11918</v>
      </c>
      <c r="AH3" s="2670"/>
    </row>
    <row r="4" spans="1:34" x14ac:dyDescent="0.2">
      <c r="A4" s="2387" t="s">
        <v>1897</v>
      </c>
      <c r="B4" s="713" t="s">
        <v>788</v>
      </c>
      <c r="C4" s="1074" t="s">
        <v>2230</v>
      </c>
      <c r="D4" s="713" t="s">
        <v>4600</v>
      </c>
      <c r="E4" s="757" t="s">
        <v>345</v>
      </c>
      <c r="F4" s="758" t="s">
        <v>391</v>
      </c>
      <c r="G4" s="757" t="s">
        <v>345</v>
      </c>
      <c r="H4" s="758" t="s">
        <v>391</v>
      </c>
      <c r="I4" s="757" t="s">
        <v>345</v>
      </c>
      <c r="J4" s="758" t="s">
        <v>391</v>
      </c>
      <c r="K4" s="757" t="s">
        <v>345</v>
      </c>
      <c r="L4" s="758" t="s">
        <v>391</v>
      </c>
      <c r="M4" s="757" t="s">
        <v>345</v>
      </c>
      <c r="N4" s="758" t="s">
        <v>391</v>
      </c>
      <c r="O4" s="757" t="s">
        <v>345</v>
      </c>
      <c r="P4" s="758" t="s">
        <v>391</v>
      </c>
      <c r="Q4" s="757" t="s">
        <v>345</v>
      </c>
      <c r="R4" s="758" t="s">
        <v>391</v>
      </c>
      <c r="S4" s="757" t="s">
        <v>345</v>
      </c>
      <c r="T4" s="758" t="s">
        <v>391</v>
      </c>
      <c r="U4" s="759" t="s">
        <v>345</v>
      </c>
      <c r="V4" s="760" t="s">
        <v>391</v>
      </c>
      <c r="W4" s="759" t="s">
        <v>345</v>
      </c>
      <c r="X4" s="760" t="s">
        <v>391</v>
      </c>
      <c r="Y4" s="759" t="s">
        <v>345</v>
      </c>
      <c r="Z4" s="760" t="s">
        <v>391</v>
      </c>
      <c r="AA4" s="759" t="s">
        <v>345</v>
      </c>
      <c r="AB4" s="760" t="s">
        <v>391</v>
      </c>
      <c r="AC4" s="759" t="s">
        <v>345</v>
      </c>
      <c r="AD4" s="760" t="s">
        <v>391</v>
      </c>
      <c r="AE4" s="760" t="s">
        <v>345</v>
      </c>
      <c r="AF4" s="760" t="s">
        <v>391</v>
      </c>
      <c r="AG4" s="760" t="s">
        <v>345</v>
      </c>
      <c r="AH4" s="2388" t="s">
        <v>391</v>
      </c>
    </row>
    <row r="5" spans="1:34" x14ac:dyDescent="0.2">
      <c r="A5" s="2389"/>
      <c r="B5" s="728"/>
      <c r="C5" s="1075"/>
      <c r="D5" s="714"/>
      <c r="E5" s="642"/>
      <c r="F5" s="642"/>
      <c r="G5" s="649"/>
      <c r="H5" s="650"/>
      <c r="I5" s="649"/>
      <c r="J5" s="650"/>
      <c r="K5" s="649"/>
      <c r="L5" s="650"/>
      <c r="M5" s="649"/>
      <c r="N5" s="650"/>
      <c r="O5" s="649"/>
      <c r="P5" s="650"/>
      <c r="Q5" s="649"/>
      <c r="R5" s="650"/>
      <c r="S5" s="649"/>
      <c r="T5" s="650"/>
      <c r="U5" s="646"/>
      <c r="V5" s="647"/>
      <c r="W5" s="646"/>
      <c r="X5" s="647"/>
      <c r="Y5" s="649"/>
      <c r="Z5" s="650"/>
      <c r="AA5" s="646"/>
      <c r="AB5" s="647"/>
      <c r="AC5" s="646"/>
      <c r="AD5" s="647"/>
      <c r="AE5" s="647"/>
      <c r="AF5" s="647"/>
      <c r="AG5" s="647"/>
      <c r="AH5" s="648"/>
    </row>
    <row r="6" spans="1:34" x14ac:dyDescent="0.2">
      <c r="A6" s="2390" t="s">
        <v>815</v>
      </c>
      <c r="B6" s="729"/>
      <c r="C6" s="1076"/>
      <c r="D6" s="639"/>
      <c r="E6" s="548"/>
      <c r="F6" s="548"/>
      <c r="G6" s="646"/>
      <c r="H6" s="647"/>
      <c r="I6" s="646"/>
      <c r="J6" s="647"/>
      <c r="K6" s="649"/>
      <c r="L6" s="650"/>
      <c r="M6" s="649"/>
      <c r="N6" s="650"/>
      <c r="O6" s="649"/>
      <c r="P6" s="650"/>
      <c r="Q6" s="649"/>
      <c r="R6" s="650"/>
      <c r="S6" s="649"/>
      <c r="T6" s="650"/>
      <c r="U6" s="646"/>
      <c r="V6" s="647"/>
      <c r="W6" s="646"/>
      <c r="X6" s="647"/>
      <c r="Y6" s="649"/>
      <c r="Z6" s="650"/>
      <c r="AA6" s="646"/>
      <c r="AB6" s="647"/>
      <c r="AC6" s="646"/>
      <c r="AD6" s="647"/>
      <c r="AE6" s="647"/>
      <c r="AF6" s="647"/>
      <c r="AG6" s="647"/>
      <c r="AH6" s="648"/>
    </row>
    <row r="7" spans="1:34" x14ac:dyDescent="0.2">
      <c r="A7" s="559" t="s">
        <v>2824</v>
      </c>
      <c r="B7" s="99" t="s">
        <v>2611</v>
      </c>
      <c r="C7" s="1048">
        <v>6.2E-2</v>
      </c>
      <c r="D7" s="639">
        <v>43921</v>
      </c>
      <c r="E7" s="548">
        <v>6107</v>
      </c>
      <c r="F7" s="548">
        <v>3022</v>
      </c>
      <c r="G7" s="646">
        <v>6491</v>
      </c>
      <c r="H7" s="647">
        <v>2637</v>
      </c>
      <c r="I7" s="646">
        <v>6894</v>
      </c>
      <c r="J7" s="647">
        <v>2234</v>
      </c>
      <c r="K7" s="646">
        <v>7334</v>
      </c>
      <c r="L7" s="647">
        <v>1794</v>
      </c>
      <c r="M7" s="646">
        <v>7796</v>
      </c>
      <c r="N7" s="647">
        <v>1333</v>
      </c>
      <c r="O7" s="646">
        <v>8286</v>
      </c>
      <c r="P7" s="647">
        <v>842</v>
      </c>
      <c r="Q7" s="646">
        <v>7324</v>
      </c>
      <c r="R7" s="647">
        <v>320</v>
      </c>
      <c r="S7" s="646"/>
      <c r="T7" s="647"/>
      <c r="U7" s="646"/>
      <c r="V7" s="647"/>
      <c r="W7" s="646"/>
      <c r="X7" s="647"/>
      <c r="Y7" s="646"/>
      <c r="Z7" s="647"/>
      <c r="AA7" s="646"/>
      <c r="AB7" s="647"/>
      <c r="AC7" s="646"/>
      <c r="AD7" s="647"/>
      <c r="AE7" s="647"/>
      <c r="AF7" s="647"/>
      <c r="AG7" s="647"/>
      <c r="AH7" s="648"/>
    </row>
    <row r="8" spans="1:34" x14ac:dyDescent="0.2">
      <c r="A8" s="559"/>
      <c r="B8" s="795"/>
      <c r="C8" s="686"/>
      <c r="D8" s="639"/>
      <c r="E8" s="548"/>
      <c r="F8" s="548"/>
      <c r="G8" s="646"/>
      <c r="H8" s="647"/>
      <c r="I8" s="649"/>
      <c r="J8" s="650"/>
      <c r="K8" s="649"/>
      <c r="L8" s="650"/>
      <c r="M8" s="649"/>
      <c r="N8" s="650"/>
      <c r="O8" s="649"/>
      <c r="P8" s="650"/>
      <c r="Q8" s="649"/>
      <c r="R8" s="650"/>
      <c r="S8" s="646"/>
      <c r="T8" s="647"/>
      <c r="U8" s="646"/>
      <c r="V8" s="647"/>
      <c r="W8" s="649"/>
      <c r="X8" s="650"/>
      <c r="Y8" s="649"/>
      <c r="Z8" s="650"/>
      <c r="AA8" s="649"/>
      <c r="AB8" s="650"/>
      <c r="AC8" s="649"/>
      <c r="AD8" s="650"/>
      <c r="AE8" s="650"/>
      <c r="AF8" s="650"/>
      <c r="AG8" s="650"/>
      <c r="AH8" s="2391"/>
    </row>
    <row r="9" spans="1:34" x14ac:dyDescent="0.2">
      <c r="A9" s="2390" t="s">
        <v>812</v>
      </c>
      <c r="B9" s="1071"/>
      <c r="C9" s="1078"/>
      <c r="D9" s="553"/>
      <c r="E9" s="553"/>
      <c r="F9" s="553"/>
      <c r="G9" s="649"/>
      <c r="H9" s="650"/>
      <c r="I9" s="649"/>
      <c r="J9" s="650"/>
      <c r="K9" s="649"/>
      <c r="L9" s="650"/>
      <c r="M9" s="649"/>
      <c r="N9" s="650"/>
      <c r="O9" s="649"/>
      <c r="P9" s="650"/>
      <c r="Q9" s="649"/>
      <c r="R9" s="650"/>
      <c r="S9" s="646"/>
      <c r="T9" s="647"/>
      <c r="U9" s="646"/>
      <c r="V9" s="647"/>
      <c r="W9" s="649"/>
      <c r="X9" s="650"/>
      <c r="Y9" s="649"/>
      <c r="Z9" s="650"/>
      <c r="AA9" s="649"/>
      <c r="AB9" s="650"/>
      <c r="AC9" s="649"/>
      <c r="AD9" s="650"/>
      <c r="AE9" s="650"/>
      <c r="AF9" s="650"/>
      <c r="AG9" s="650"/>
      <c r="AH9" s="2391"/>
    </row>
    <row r="10" spans="1:34" x14ac:dyDescent="0.2">
      <c r="A10" s="559" t="s">
        <v>2361</v>
      </c>
      <c r="B10" s="679" t="s">
        <v>572</v>
      </c>
      <c r="C10" s="686">
        <v>6.2E-2</v>
      </c>
      <c r="D10" s="639">
        <v>43921</v>
      </c>
      <c r="E10" s="548">
        <v>6038</v>
      </c>
      <c r="F10" s="548">
        <v>2987</v>
      </c>
      <c r="G10" s="646">
        <v>6418</v>
      </c>
      <c r="H10" s="647">
        <v>2607</v>
      </c>
      <c r="I10" s="646">
        <v>6817</v>
      </c>
      <c r="J10" s="647">
        <v>2209</v>
      </c>
      <c r="K10" s="646">
        <v>7252</v>
      </c>
      <c r="L10" s="647">
        <v>1774</v>
      </c>
      <c r="M10" s="646">
        <v>7708</v>
      </c>
      <c r="N10" s="647">
        <v>1318</v>
      </c>
      <c r="O10" s="646">
        <v>8193</v>
      </c>
      <c r="P10" s="647">
        <v>832</v>
      </c>
      <c r="Q10" s="646">
        <v>7242</v>
      </c>
      <c r="R10" s="647">
        <v>317</v>
      </c>
      <c r="S10" s="646"/>
      <c r="T10" s="647"/>
      <c r="U10" s="646"/>
      <c r="V10" s="647"/>
      <c r="W10" s="646"/>
      <c r="X10" s="647"/>
      <c r="Y10" s="646"/>
      <c r="Z10" s="647"/>
      <c r="AA10" s="646"/>
      <c r="AB10" s="647"/>
      <c r="AC10" s="646"/>
      <c r="AD10" s="647"/>
      <c r="AE10" s="647"/>
      <c r="AF10" s="647"/>
      <c r="AG10" s="647"/>
      <c r="AH10" s="648"/>
    </row>
    <row r="11" spans="1:34" x14ac:dyDescent="0.2">
      <c r="A11" s="559"/>
      <c r="B11" s="679"/>
      <c r="C11" s="686"/>
      <c r="D11" s="639"/>
      <c r="E11" s="548"/>
      <c r="F11" s="548"/>
      <c r="G11" s="646"/>
      <c r="H11" s="647"/>
      <c r="I11" s="646"/>
      <c r="J11" s="647"/>
      <c r="K11" s="646"/>
      <c r="L11" s="647"/>
      <c r="M11" s="646"/>
      <c r="N11" s="647"/>
      <c r="O11" s="646"/>
      <c r="P11" s="647"/>
      <c r="Q11" s="646"/>
      <c r="R11" s="647"/>
      <c r="S11" s="646"/>
      <c r="T11" s="647"/>
      <c r="U11" s="646"/>
      <c r="V11" s="647"/>
      <c r="W11" s="646"/>
      <c r="X11" s="647"/>
      <c r="Y11" s="646"/>
      <c r="Z11" s="647"/>
      <c r="AA11" s="646"/>
      <c r="AB11" s="647"/>
      <c r="AC11" s="646"/>
      <c r="AD11" s="647"/>
      <c r="AE11" s="647"/>
      <c r="AF11" s="647"/>
      <c r="AG11" s="647"/>
      <c r="AH11" s="648"/>
    </row>
    <row r="12" spans="1:34" x14ac:dyDescent="0.2">
      <c r="A12" s="2390" t="s">
        <v>1520</v>
      </c>
      <c r="B12" s="679"/>
      <c r="C12" s="686"/>
      <c r="D12" s="639"/>
      <c r="E12" s="548"/>
      <c r="F12" s="548"/>
      <c r="G12" s="646"/>
      <c r="H12" s="647"/>
      <c r="I12" s="646"/>
      <c r="J12" s="647"/>
      <c r="K12" s="646"/>
      <c r="L12" s="647"/>
      <c r="M12" s="646"/>
      <c r="N12" s="647"/>
      <c r="O12" s="646"/>
      <c r="P12" s="647"/>
      <c r="Q12" s="646"/>
      <c r="R12" s="647"/>
      <c r="S12" s="646"/>
      <c r="T12" s="647"/>
      <c r="U12" s="646"/>
      <c r="V12" s="647"/>
      <c r="W12" s="646"/>
      <c r="X12" s="647"/>
      <c r="Y12" s="646"/>
      <c r="Z12" s="647"/>
      <c r="AA12" s="646"/>
      <c r="AB12" s="647"/>
      <c r="AC12" s="646"/>
      <c r="AD12" s="647"/>
      <c r="AE12" s="647"/>
      <c r="AF12" s="647"/>
      <c r="AG12" s="647"/>
      <c r="AH12" s="648"/>
    </row>
    <row r="13" spans="1:34" x14ac:dyDescent="0.2">
      <c r="A13" s="559" t="s">
        <v>2825</v>
      </c>
      <c r="B13" s="679" t="s">
        <v>640</v>
      </c>
      <c r="C13" s="686">
        <v>7.3999999999999996E-2</v>
      </c>
      <c r="D13" s="639">
        <v>45107</v>
      </c>
      <c r="E13" s="549">
        <v>10160</v>
      </c>
      <c r="F13" s="549">
        <v>10409</v>
      </c>
      <c r="G13" s="48">
        <v>10924</v>
      </c>
      <c r="H13" s="161">
        <v>9646</v>
      </c>
      <c r="I13" s="48">
        <v>11696</v>
      </c>
      <c r="J13" s="161">
        <v>8873</v>
      </c>
      <c r="K13" s="48">
        <v>12601</v>
      </c>
      <c r="L13" s="161">
        <v>7969</v>
      </c>
      <c r="M13" s="48">
        <v>13550</v>
      </c>
      <c r="N13" s="161">
        <v>7019</v>
      </c>
      <c r="O13" s="48">
        <v>14536</v>
      </c>
      <c r="P13" s="161">
        <v>6033</v>
      </c>
      <c r="Q13" s="48">
        <v>15582</v>
      </c>
      <c r="R13" s="161">
        <v>4987</v>
      </c>
      <c r="S13" s="646">
        <v>16850</v>
      </c>
      <c r="T13" s="647">
        <v>3720</v>
      </c>
      <c r="U13" s="646">
        <v>18119</v>
      </c>
      <c r="V13" s="647">
        <v>2456</v>
      </c>
      <c r="W13" s="646">
        <v>19495</v>
      </c>
      <c r="X13" s="647">
        <v>1075</v>
      </c>
      <c r="Y13" s="646">
        <v>0</v>
      </c>
      <c r="Z13" s="647">
        <v>0</v>
      </c>
      <c r="AA13" s="646"/>
      <c r="AB13" s="647"/>
      <c r="AC13" s="646"/>
      <c r="AD13" s="647"/>
      <c r="AE13" s="647"/>
      <c r="AF13" s="647"/>
      <c r="AG13" s="647"/>
      <c r="AH13" s="648"/>
    </row>
    <row r="14" spans="1:34" x14ac:dyDescent="0.2">
      <c r="A14" s="559"/>
      <c r="B14" s="795"/>
      <c r="C14" s="686"/>
      <c r="D14" s="639"/>
      <c r="E14" s="549"/>
      <c r="F14" s="549"/>
      <c r="G14" s="48"/>
      <c r="H14" s="647"/>
      <c r="I14" s="650"/>
      <c r="J14" s="649"/>
      <c r="K14" s="650"/>
      <c r="L14" s="649"/>
      <c r="M14" s="650"/>
      <c r="N14" s="650"/>
      <c r="O14" s="650"/>
      <c r="P14" s="650"/>
      <c r="Q14" s="650"/>
      <c r="R14" s="650"/>
      <c r="S14" s="650"/>
      <c r="T14" s="650"/>
      <c r="U14" s="650"/>
      <c r="V14" s="650"/>
      <c r="W14" s="649"/>
      <c r="X14" s="650"/>
      <c r="Y14" s="649"/>
      <c r="Z14" s="650"/>
      <c r="AA14" s="649"/>
      <c r="AB14" s="650"/>
      <c r="AC14" s="649"/>
      <c r="AD14" s="650"/>
      <c r="AE14" s="650"/>
      <c r="AF14" s="650"/>
      <c r="AG14" s="650"/>
      <c r="AH14" s="2391"/>
    </row>
    <row r="15" spans="1:34" x14ac:dyDescent="0.2">
      <c r="A15" s="2390" t="s">
        <v>384</v>
      </c>
      <c r="B15" s="1071"/>
      <c r="C15" s="1078"/>
      <c r="D15" s="639"/>
      <c r="E15" s="548"/>
      <c r="F15" s="548"/>
      <c r="G15" s="646"/>
      <c r="H15" s="647"/>
      <c r="I15" s="649"/>
      <c r="J15" s="650"/>
      <c r="K15" s="649"/>
      <c r="L15" s="650"/>
      <c r="M15" s="649"/>
      <c r="N15" s="650"/>
      <c r="O15" s="649"/>
      <c r="P15" s="650"/>
      <c r="Q15" s="649"/>
      <c r="R15" s="650"/>
      <c r="S15" s="646"/>
      <c r="T15" s="647"/>
      <c r="U15" s="646"/>
      <c r="V15" s="647"/>
      <c r="W15" s="649"/>
      <c r="X15" s="650"/>
      <c r="Y15" s="649"/>
      <c r="Z15" s="650"/>
      <c r="AA15" s="649"/>
      <c r="AB15" s="650"/>
      <c r="AC15" s="649"/>
      <c r="AD15" s="650"/>
      <c r="AE15" s="650"/>
      <c r="AF15" s="650"/>
      <c r="AG15" s="650"/>
      <c r="AH15" s="2391"/>
    </row>
    <row r="16" spans="1:34" x14ac:dyDescent="0.2">
      <c r="A16" s="559" t="s">
        <v>6907</v>
      </c>
      <c r="B16" s="679" t="s">
        <v>1051</v>
      </c>
      <c r="C16" s="686">
        <f>C87</f>
        <v>3.5749999999999997E-2</v>
      </c>
      <c r="D16" s="936" t="s">
        <v>4212</v>
      </c>
      <c r="E16" s="548">
        <v>8054</v>
      </c>
      <c r="F16" s="548">
        <v>394</v>
      </c>
      <c r="G16" s="646"/>
      <c r="H16" s="647"/>
      <c r="I16" s="646">
        <f>F123</f>
        <v>0</v>
      </c>
      <c r="J16" s="647">
        <f>F124</f>
        <v>0</v>
      </c>
      <c r="K16" s="652">
        <f>G123</f>
        <v>0</v>
      </c>
      <c r="L16" s="653">
        <f>7200*(D87/(D87+D88))</f>
        <v>4095.8803283817811</v>
      </c>
      <c r="M16" s="653">
        <v>133534.97701193401</v>
      </c>
      <c r="N16" s="653">
        <v>135314.18191680202</v>
      </c>
      <c r="O16" s="652">
        <v>138351.51610664959</v>
      </c>
      <c r="P16" s="653">
        <v>130497.63713336413</v>
      </c>
      <c r="Q16" s="652">
        <v>143341.78310323763</v>
      </c>
      <c r="R16" s="653">
        <v>125507.3644480534</v>
      </c>
      <c r="S16" s="652">
        <v>148512.0526628127</v>
      </c>
      <c r="T16" s="653">
        <v>120337.09488847834</v>
      </c>
      <c r="U16" s="652">
        <v>153868.80992922804</v>
      </c>
      <c r="V16" s="653">
        <v>114980.33762206296</v>
      </c>
      <c r="W16" s="652">
        <v>159418.79035013483</v>
      </c>
      <c r="X16" s="653">
        <v>109430.36288987886</v>
      </c>
      <c r="Y16" s="652">
        <v>165168.94554464589</v>
      </c>
      <c r="Z16" s="653">
        <v>103680.20769536779</v>
      </c>
      <c r="AA16" s="652">
        <v>171126.50587928543</v>
      </c>
      <c r="AB16" s="653">
        <v>97722.641672005586</v>
      </c>
      <c r="AC16" s="652">
        <v>177298.95771309803</v>
      </c>
      <c r="AD16" s="653">
        <v>91550.189838193008</v>
      </c>
      <c r="AE16" s="652">
        <v>183694.04908637155</v>
      </c>
      <c r="AF16" s="653">
        <v>85155.10415364214</v>
      </c>
      <c r="AG16" s="652">
        <v>190319.80678680513</v>
      </c>
      <c r="AH16" s="2392">
        <v>78529.352141931231</v>
      </c>
    </row>
    <row r="17" spans="1:55" x14ac:dyDescent="0.2">
      <c r="A17" s="559" t="s">
        <v>6909</v>
      </c>
      <c r="B17" s="679"/>
      <c r="C17" s="686">
        <f>+C132</f>
        <v>4.02E-2</v>
      </c>
      <c r="D17" s="936" t="s">
        <v>4212</v>
      </c>
      <c r="E17" s="548"/>
      <c r="F17" s="548"/>
      <c r="G17" s="646"/>
      <c r="H17" s="647"/>
      <c r="I17" s="646">
        <f>F133</f>
        <v>0</v>
      </c>
      <c r="J17" s="647">
        <f>F134</f>
        <v>0</v>
      </c>
      <c r="K17" s="652">
        <f>G133</f>
        <v>0</v>
      </c>
      <c r="L17" s="653">
        <f>G134</f>
        <v>0</v>
      </c>
      <c r="M17" s="652">
        <v>54672.571740655301</v>
      </c>
      <c r="N17" s="652">
        <f>66520.95+((D132-M17)*C17/365*86)</f>
        <v>97349.962013638928</v>
      </c>
      <c r="O17" s="652">
        <v>112663.98782298106</v>
      </c>
      <c r="P17" s="653">
        <v>129723.05565832954</v>
      </c>
      <c r="Q17" s="652">
        <v>117238.59751118525</v>
      </c>
      <c r="R17" s="653">
        <v>125148.44597012535</v>
      </c>
      <c r="S17" s="652">
        <v>121998.95469691537</v>
      </c>
      <c r="T17" s="653">
        <v>120388.08878439522</v>
      </c>
      <c r="U17" s="652">
        <v>126952.60147341849</v>
      </c>
      <c r="V17" s="653">
        <v>115434.4420078921</v>
      </c>
      <c r="W17" s="652">
        <v>132107.38617317119</v>
      </c>
      <c r="X17" s="653">
        <v>110279.6573081394</v>
      </c>
      <c r="Y17" s="652">
        <v>137471.47580242049</v>
      </c>
      <c r="Z17" s="653">
        <v>104915.5676788901</v>
      </c>
      <c r="AA17" s="652">
        <v>143053.36898061674</v>
      </c>
      <c r="AB17" s="653">
        <v>99333.674500693858</v>
      </c>
      <c r="AC17" s="652">
        <v>148861.90940523939</v>
      </c>
      <c r="AD17" s="653">
        <v>93525.134076071234</v>
      </c>
      <c r="AE17" s="652">
        <v>154906.2998633488</v>
      </c>
      <c r="AF17" s="653">
        <v>87480.743617961794</v>
      </c>
      <c r="AG17" s="652">
        <v>161196.11681206321</v>
      </c>
      <c r="AH17" s="2392">
        <v>81190.926669247376</v>
      </c>
    </row>
    <row r="18" spans="1:55" x14ac:dyDescent="0.2">
      <c r="A18" s="559" t="s">
        <v>11887</v>
      </c>
      <c r="B18" s="679"/>
      <c r="C18" s="686">
        <f>+C91</f>
        <v>4.07E-2</v>
      </c>
      <c r="D18" s="936" t="s">
        <v>4212</v>
      </c>
      <c r="E18" s="548"/>
      <c r="F18" s="548"/>
      <c r="G18" s="646"/>
      <c r="H18" s="647"/>
      <c r="I18" s="646">
        <f>F135</f>
        <v>0</v>
      </c>
      <c r="J18" s="647">
        <f>F136</f>
        <v>0</v>
      </c>
      <c r="K18" s="652">
        <f>G135</f>
        <v>0</v>
      </c>
      <c r="L18" s="653">
        <f>G136</f>
        <v>0</v>
      </c>
      <c r="M18" s="652">
        <f>H143</f>
        <v>3800</v>
      </c>
      <c r="N18" s="652">
        <f>+H144</f>
        <v>7000</v>
      </c>
      <c r="O18" s="652">
        <f>I143</f>
        <v>7000</v>
      </c>
      <c r="P18" s="652">
        <f>+I144</f>
        <v>9000</v>
      </c>
      <c r="Q18" s="652">
        <f>J143</f>
        <v>7000</v>
      </c>
      <c r="R18" s="652">
        <f>+J144</f>
        <v>9000</v>
      </c>
      <c r="S18" s="652">
        <f>K143</f>
        <v>8000</v>
      </c>
      <c r="T18" s="652">
        <f>+K144</f>
        <v>8000</v>
      </c>
      <c r="U18" s="652">
        <f>L143</f>
        <v>8000</v>
      </c>
      <c r="V18" s="652">
        <f>+L144</f>
        <v>8000</v>
      </c>
      <c r="W18" s="652">
        <f>M143</f>
        <v>8000</v>
      </c>
      <c r="X18" s="652">
        <f>+M144</f>
        <v>8000</v>
      </c>
      <c r="Y18" s="652">
        <f>N143</f>
        <v>9000</v>
      </c>
      <c r="Z18" s="652">
        <f>+N144</f>
        <v>7000</v>
      </c>
      <c r="AA18" s="652">
        <f>O143</f>
        <v>9000</v>
      </c>
      <c r="AB18" s="652">
        <f>+O144</f>
        <v>7000</v>
      </c>
      <c r="AC18" s="652">
        <f>P143</f>
        <v>9000</v>
      </c>
      <c r="AD18" s="652">
        <f>+P144</f>
        <v>7000</v>
      </c>
      <c r="AE18" s="652">
        <f>Q143</f>
        <v>10000</v>
      </c>
      <c r="AF18" s="652">
        <f>+Q144</f>
        <v>6000</v>
      </c>
      <c r="AG18" s="652">
        <f>R143</f>
        <v>10000</v>
      </c>
      <c r="AH18" s="2393">
        <f>+R144</f>
        <v>6000</v>
      </c>
    </row>
    <row r="19" spans="1:55" x14ac:dyDescent="0.2">
      <c r="A19" s="559" t="s">
        <v>6908</v>
      </c>
      <c r="B19" s="679" t="s">
        <v>1051</v>
      </c>
      <c r="C19" s="686">
        <f>+C127</f>
        <v>3.5749999999999997E-2</v>
      </c>
      <c r="D19" s="936" t="s">
        <v>4212</v>
      </c>
      <c r="E19" s="548"/>
      <c r="F19" s="548"/>
      <c r="G19" s="646"/>
      <c r="H19" s="647"/>
      <c r="I19" s="646">
        <f>F128</f>
        <v>0</v>
      </c>
      <c r="J19" s="647">
        <f>F129</f>
        <v>0</v>
      </c>
      <c r="K19" s="652">
        <f>G128</f>
        <v>0</v>
      </c>
      <c r="L19" s="653">
        <f>7200-L16</f>
        <v>3104.1196716182189</v>
      </c>
      <c r="M19" s="652">
        <v>101201.33298806562</v>
      </c>
      <c r="N19" s="652">
        <v>102549.728083198</v>
      </c>
      <c r="O19" s="652">
        <v>104851.61389335043</v>
      </c>
      <c r="P19" s="653">
        <v>98899.442866635873</v>
      </c>
      <c r="Q19" s="652">
        <v>108633.55689676238</v>
      </c>
      <c r="R19" s="653">
        <v>95117.495551946602</v>
      </c>
      <c r="S19" s="652">
        <v>112551.9173371873</v>
      </c>
      <c r="T19" s="653">
        <v>91199.135111521668</v>
      </c>
      <c r="U19" s="652">
        <v>116611.61007077193</v>
      </c>
      <c r="V19" s="653">
        <v>87139.442377937041</v>
      </c>
      <c r="W19" s="652">
        <v>120817.73964986515</v>
      </c>
      <c r="X19" s="653">
        <v>82933.317110121134</v>
      </c>
      <c r="Y19" s="652">
        <v>125175.57445535409</v>
      </c>
      <c r="Z19" s="653">
        <v>78575.482304632213</v>
      </c>
      <c r="AA19" s="652">
        <v>129690.59412071458</v>
      </c>
      <c r="AB19" s="653">
        <v>74060.458327994391</v>
      </c>
      <c r="AC19" s="652">
        <v>134368.47228690199</v>
      </c>
      <c r="AD19" s="653">
        <v>69382.580161807011</v>
      </c>
      <c r="AE19" s="652">
        <v>139215.08091362845</v>
      </c>
      <c r="AF19" s="653">
        <v>64535.975846357855</v>
      </c>
      <c r="AG19" s="652">
        <v>144236.50321319487</v>
      </c>
      <c r="AH19" s="2392">
        <v>59514.557858068736</v>
      </c>
    </row>
    <row r="20" spans="1:55" x14ac:dyDescent="0.2">
      <c r="A20" s="559" t="s">
        <v>6910</v>
      </c>
      <c r="B20" s="679"/>
      <c r="C20" s="686">
        <f>C90</f>
        <v>4.02E-2</v>
      </c>
      <c r="D20" s="936" t="s">
        <v>4212</v>
      </c>
      <c r="E20" s="548"/>
      <c r="F20" s="548"/>
      <c r="G20" s="646"/>
      <c r="H20" s="647"/>
      <c r="I20" s="646">
        <f>F138</f>
        <v>0</v>
      </c>
      <c r="J20" s="647">
        <f>F139</f>
        <v>0</v>
      </c>
      <c r="K20" s="652">
        <f>G138</f>
        <v>0</v>
      </c>
      <c r="L20" s="653">
        <f>G139</f>
        <v>0</v>
      </c>
      <c r="M20" s="652">
        <v>43254.024652835105</v>
      </c>
      <c r="N20" s="652">
        <f>52627.83+((D137-M20)*C20/365*86)</f>
        <v>77018.101084849914</v>
      </c>
      <c r="O20" s="652">
        <v>89133.742050736153</v>
      </c>
      <c r="P20" s="653">
        <v>102629.96725493405</v>
      </c>
      <c r="Q20" s="652">
        <v>92752.929404301656</v>
      </c>
      <c r="R20" s="653">
        <v>99010.779901368544</v>
      </c>
      <c r="S20" s="652">
        <v>96519.070277363207</v>
      </c>
      <c r="T20" s="653">
        <v>95244.639028306992</v>
      </c>
      <c r="U20" s="652">
        <v>100438.13157209598</v>
      </c>
      <c r="V20" s="652">
        <v>91325.577733574231</v>
      </c>
      <c r="W20" s="652">
        <v>104516.32247083068</v>
      </c>
      <c r="X20" s="653">
        <v>87247.386834839534</v>
      </c>
      <c r="Y20" s="652">
        <v>108760.10427359951</v>
      </c>
      <c r="Z20" s="653">
        <v>83003.605032070685</v>
      </c>
      <c r="AA20" s="652">
        <v>113176.2006351258</v>
      </c>
      <c r="AB20" s="653">
        <v>78587.508670544426</v>
      </c>
      <c r="AC20" s="652">
        <v>117771.60821747643</v>
      </c>
      <c r="AD20" s="653">
        <v>73992.101088193769</v>
      </c>
      <c r="AE20" s="652">
        <v>122553.60777525493</v>
      </c>
      <c r="AF20" s="653">
        <v>69210.101530415297</v>
      </c>
      <c r="AG20" s="652">
        <v>127529.77569089746</v>
      </c>
      <c r="AH20" s="2392">
        <v>64233.933614772744</v>
      </c>
    </row>
    <row r="21" spans="1:55" x14ac:dyDescent="0.2">
      <c r="A21" s="559" t="s">
        <v>11888</v>
      </c>
      <c r="B21" s="679"/>
      <c r="C21" s="686">
        <f>+C92</f>
        <v>4.07E-2</v>
      </c>
      <c r="D21" s="936" t="s">
        <v>4212</v>
      </c>
      <c r="E21" s="548"/>
      <c r="F21" s="548"/>
      <c r="G21" s="646"/>
      <c r="H21" s="647"/>
      <c r="I21" s="646">
        <f>F140</f>
        <v>0</v>
      </c>
      <c r="J21" s="647">
        <f>F151</f>
        <v>0</v>
      </c>
      <c r="K21" s="652">
        <f>G140</f>
        <v>0</v>
      </c>
      <c r="L21" s="653">
        <f>G151</f>
        <v>0</v>
      </c>
      <c r="M21" s="652">
        <f>H148</f>
        <v>2100.3333333333335</v>
      </c>
      <c r="N21" s="652">
        <f>+H149</f>
        <v>11000</v>
      </c>
      <c r="O21" s="652">
        <f>I148</f>
        <v>11000</v>
      </c>
      <c r="P21" s="652">
        <f>+I149</f>
        <v>11000</v>
      </c>
      <c r="Q21" s="652">
        <f>J148</f>
        <v>12000</v>
      </c>
      <c r="R21" s="652">
        <f>+J149</f>
        <v>10000</v>
      </c>
      <c r="S21" s="652">
        <f>K148</f>
        <v>12000</v>
      </c>
      <c r="T21" s="652">
        <f>+K149</f>
        <v>10000</v>
      </c>
      <c r="U21" s="652">
        <f>L148</f>
        <v>13000</v>
      </c>
      <c r="V21" s="652">
        <f>+L149</f>
        <v>9000</v>
      </c>
      <c r="W21" s="652">
        <f>M148</f>
        <v>13000</v>
      </c>
      <c r="X21" s="652">
        <f>+M149</f>
        <v>9000</v>
      </c>
      <c r="Y21" s="652">
        <f>N148</f>
        <v>14000</v>
      </c>
      <c r="Z21" s="652">
        <f>+N149</f>
        <v>8000</v>
      </c>
      <c r="AA21" s="652">
        <f>O148</f>
        <v>14000</v>
      </c>
      <c r="AB21" s="652">
        <f>+O149</f>
        <v>8000</v>
      </c>
      <c r="AC21" s="652">
        <f>P148</f>
        <v>15000</v>
      </c>
      <c r="AD21" s="652">
        <f>+P149</f>
        <v>7000</v>
      </c>
      <c r="AE21" s="652">
        <f>Q148</f>
        <v>15000</v>
      </c>
      <c r="AF21" s="652">
        <f>+Q149</f>
        <v>7000</v>
      </c>
      <c r="AG21" s="652">
        <f>R148</f>
        <v>16000</v>
      </c>
      <c r="AH21" s="2393">
        <f>+R149</f>
        <v>6000</v>
      </c>
    </row>
    <row r="22" spans="1:55" x14ac:dyDescent="0.2">
      <c r="A22" s="559"/>
      <c r="B22" s="795"/>
      <c r="C22" s="686"/>
      <c r="D22" s="639"/>
      <c r="E22" s="549"/>
      <c r="F22" s="549"/>
      <c r="G22" s="48"/>
      <c r="H22" s="161"/>
      <c r="I22" s="48"/>
      <c r="J22" s="161"/>
      <c r="K22" s="48"/>
      <c r="L22" s="161"/>
      <c r="M22" s="48"/>
      <c r="N22" s="161"/>
      <c r="O22" s="48"/>
      <c r="P22" s="161"/>
      <c r="Q22" s="48"/>
      <c r="R22" s="161"/>
      <c r="S22" s="48"/>
      <c r="T22" s="161"/>
      <c r="U22" s="48"/>
      <c r="V22" s="161"/>
      <c r="W22" s="48"/>
      <c r="X22" s="161"/>
      <c r="Y22" s="48"/>
      <c r="Z22" s="161"/>
      <c r="AA22" s="48"/>
      <c r="AB22" s="161"/>
      <c r="AC22" s="48"/>
      <c r="AD22" s="161"/>
      <c r="AE22" s="161"/>
      <c r="AF22" s="161"/>
      <c r="AG22" s="161"/>
      <c r="AH22" s="51"/>
      <c r="AI22" s="245"/>
      <c r="AJ22" s="245"/>
      <c r="AK22" s="245"/>
      <c r="AL22" s="245"/>
      <c r="AM22" s="245"/>
      <c r="AN22" s="245"/>
      <c r="AO22" s="245"/>
      <c r="AP22" s="245"/>
      <c r="AQ22" s="245"/>
      <c r="AR22" s="245"/>
      <c r="AS22" s="245"/>
      <c r="AT22" s="245"/>
      <c r="AU22" s="245"/>
      <c r="AV22" s="245"/>
      <c r="AW22" s="245"/>
      <c r="AX22" s="245"/>
      <c r="AY22" s="245"/>
      <c r="AZ22" s="245"/>
      <c r="BA22" s="245"/>
      <c r="BB22" s="245"/>
      <c r="BC22" s="245"/>
    </row>
    <row r="23" spans="1:55" x14ac:dyDescent="0.2">
      <c r="A23" s="2390" t="s">
        <v>814</v>
      </c>
      <c r="B23" s="1071"/>
      <c r="C23" s="1078"/>
      <c r="D23" s="639"/>
      <c r="E23" s="548"/>
      <c r="F23" s="548"/>
      <c r="G23" s="646"/>
      <c r="H23" s="647"/>
      <c r="I23" s="649"/>
      <c r="J23" s="650"/>
      <c r="K23" s="649"/>
      <c r="L23" s="650"/>
      <c r="M23" s="48"/>
      <c r="N23" s="650"/>
      <c r="O23" s="649"/>
      <c r="P23" s="650"/>
      <c r="Q23" s="649"/>
      <c r="R23" s="650"/>
      <c r="S23" s="646"/>
      <c r="T23" s="647"/>
      <c r="U23" s="646"/>
      <c r="V23" s="647"/>
      <c r="W23" s="649"/>
      <c r="X23" s="650"/>
      <c r="Y23" s="649"/>
      <c r="Z23" s="650"/>
      <c r="AA23" s="649"/>
      <c r="AB23" s="650"/>
      <c r="AC23" s="649"/>
      <c r="AD23" s="650"/>
      <c r="AE23" s="650"/>
      <c r="AF23" s="650"/>
      <c r="AG23" s="650"/>
      <c r="AH23" s="2391"/>
    </row>
    <row r="24" spans="1:55" x14ac:dyDescent="0.2">
      <c r="A24" s="559" t="s">
        <v>4605</v>
      </c>
      <c r="B24" s="1071"/>
      <c r="C24" s="686">
        <v>7.0099999999999996E-2</v>
      </c>
      <c r="D24" s="639">
        <v>42916</v>
      </c>
      <c r="E24" s="548">
        <v>635708</v>
      </c>
      <c r="F24" s="548">
        <f>186523-7100</f>
        <v>179423</v>
      </c>
      <c r="G24" s="646">
        <v>680925</v>
      </c>
      <c r="H24" s="647">
        <v>141306</v>
      </c>
      <c r="I24" s="646">
        <v>728839</v>
      </c>
      <c r="J24" s="647">
        <v>93392</v>
      </c>
      <c r="K24" s="646">
        <v>778847</v>
      </c>
      <c r="L24" s="647">
        <v>43384</v>
      </c>
      <c r="M24" s="48"/>
      <c r="N24" s="647"/>
      <c r="O24" s="646"/>
      <c r="P24" s="647"/>
      <c r="Q24" s="646"/>
      <c r="R24" s="647"/>
      <c r="S24" s="646"/>
      <c r="T24" s="647"/>
      <c r="U24" s="646"/>
      <c r="V24" s="647"/>
      <c r="W24" s="649"/>
      <c r="X24" s="650"/>
      <c r="Y24" s="649"/>
      <c r="Z24" s="650"/>
      <c r="AA24" s="649"/>
      <c r="AB24" s="650"/>
      <c r="AC24" s="649"/>
      <c r="AD24" s="650"/>
      <c r="AE24" s="650"/>
      <c r="AF24" s="650"/>
      <c r="AG24" s="650"/>
      <c r="AH24" s="2391"/>
    </row>
    <row r="25" spans="1:55" x14ac:dyDescent="0.2">
      <c r="A25" s="559" t="s">
        <v>1964</v>
      </c>
      <c r="B25" s="1071"/>
      <c r="C25" s="686">
        <v>6.6799999999999998E-2</v>
      </c>
      <c r="D25" s="639">
        <v>42740</v>
      </c>
      <c r="E25" s="548">
        <v>130261</v>
      </c>
      <c r="F25" s="548">
        <v>36205</v>
      </c>
      <c r="G25" s="646">
        <v>139037</v>
      </c>
      <c r="H25" s="647">
        <v>27428</v>
      </c>
      <c r="I25" s="646">
        <v>148411</v>
      </c>
      <c r="J25" s="647">
        <v>18055</v>
      </c>
      <c r="K25" s="646">
        <v>158476</v>
      </c>
      <c r="L25" s="647">
        <v>7990</v>
      </c>
      <c r="M25" s="48"/>
      <c r="N25" s="647"/>
      <c r="O25" s="646"/>
      <c r="P25" s="647"/>
      <c r="Q25" s="646"/>
      <c r="R25" s="647"/>
      <c r="S25" s="646"/>
      <c r="T25" s="647"/>
      <c r="U25" s="646"/>
      <c r="V25" s="647"/>
      <c r="W25" s="649"/>
      <c r="X25" s="650"/>
      <c r="Y25" s="649"/>
      <c r="Z25" s="650"/>
      <c r="AA25" s="649"/>
      <c r="AB25" s="650"/>
      <c r="AC25" s="649"/>
      <c r="AD25" s="650"/>
      <c r="AE25" s="650"/>
      <c r="AF25" s="650"/>
      <c r="AG25" s="650"/>
      <c r="AH25" s="2391"/>
    </row>
    <row r="26" spans="1:55" x14ac:dyDescent="0.2">
      <c r="A26" s="559" t="s">
        <v>1965</v>
      </c>
      <c r="B26" s="1071"/>
      <c r="C26" s="686"/>
      <c r="D26" s="639">
        <v>43281</v>
      </c>
      <c r="E26" s="548">
        <v>141424</v>
      </c>
      <c r="F26" s="548">
        <v>55605</v>
      </c>
      <c r="G26" s="646">
        <v>159700</v>
      </c>
      <c r="H26" s="647">
        <v>20753</v>
      </c>
      <c r="I26" s="646">
        <v>162600</v>
      </c>
      <c r="J26" s="647">
        <v>34400</v>
      </c>
      <c r="K26" s="646">
        <v>174200</v>
      </c>
      <c r="L26" s="647">
        <v>22800</v>
      </c>
      <c r="M26" s="646">
        <v>193893</v>
      </c>
      <c r="N26" s="647">
        <v>10400</v>
      </c>
      <c r="O26" s="646"/>
      <c r="P26" s="647"/>
      <c r="Q26" s="646"/>
      <c r="R26" s="647"/>
      <c r="S26" s="646"/>
      <c r="T26" s="647"/>
      <c r="U26" s="646"/>
      <c r="V26" s="647"/>
      <c r="W26" s="646"/>
      <c r="X26" s="647"/>
      <c r="Y26" s="649"/>
      <c r="Z26" s="650"/>
      <c r="AA26" s="646"/>
      <c r="AB26" s="647"/>
      <c r="AC26" s="646"/>
      <c r="AD26" s="647"/>
      <c r="AE26" s="647"/>
      <c r="AF26" s="647"/>
      <c r="AG26" s="647"/>
      <c r="AH26" s="648"/>
    </row>
    <row r="27" spans="1:55" x14ac:dyDescent="0.2">
      <c r="A27" s="559" t="s">
        <v>1965</v>
      </c>
      <c r="B27" s="1071"/>
      <c r="C27" s="686">
        <v>6.54E-2</v>
      </c>
      <c r="D27" s="639">
        <v>42550</v>
      </c>
      <c r="E27" s="551">
        <v>145592</v>
      </c>
      <c r="F27" s="552">
        <v>28364</v>
      </c>
      <c r="G27" s="702">
        <v>155442</v>
      </c>
      <c r="H27" s="703">
        <v>18513</v>
      </c>
      <c r="I27" s="702">
        <v>165758</v>
      </c>
      <c r="J27" s="703">
        <v>8197</v>
      </c>
      <c r="K27" s="702"/>
      <c r="L27" s="703"/>
      <c r="M27" s="702"/>
      <c r="N27" s="703"/>
      <c r="O27" s="702"/>
      <c r="P27" s="703"/>
      <c r="Q27" s="702"/>
      <c r="R27" s="703"/>
      <c r="S27" s="702"/>
      <c r="T27" s="703"/>
      <c r="U27" s="702"/>
      <c r="V27" s="703"/>
      <c r="W27" s="756"/>
      <c r="X27" s="844"/>
      <c r="Y27" s="756"/>
      <c r="Z27" s="844"/>
      <c r="AA27" s="756"/>
      <c r="AB27" s="844"/>
      <c r="AC27" s="756"/>
      <c r="AD27" s="844"/>
      <c r="AE27" s="844"/>
      <c r="AF27" s="844"/>
      <c r="AG27" s="844"/>
      <c r="AH27" s="2394"/>
    </row>
    <row r="28" spans="1:55" s="645" customFormat="1" x14ac:dyDescent="0.2">
      <c r="A28" s="564" t="s">
        <v>752</v>
      </c>
      <c r="B28" s="659" t="s">
        <v>1046</v>
      </c>
      <c r="C28" s="686"/>
      <c r="D28" s="643"/>
      <c r="E28" s="644">
        <f>SUBTOTAL(9,E23:E27)</f>
        <v>1052985</v>
      </c>
      <c r="F28" s="644">
        <f t="shared" ref="F28:X28" si="0">SUBTOTAL(9,F23:F27)</f>
        <v>299597</v>
      </c>
      <c r="G28" s="75">
        <f t="shared" si="0"/>
        <v>1135104</v>
      </c>
      <c r="H28" s="75">
        <f t="shared" si="0"/>
        <v>208000</v>
      </c>
      <c r="I28" s="75">
        <f t="shared" si="0"/>
        <v>1205608</v>
      </c>
      <c r="J28" s="75">
        <f>SUBTOTAL(9,J23:J27)</f>
        <v>154044</v>
      </c>
      <c r="K28" s="75">
        <f t="shared" si="0"/>
        <v>1111523</v>
      </c>
      <c r="L28" s="75">
        <f t="shared" si="0"/>
        <v>74174</v>
      </c>
      <c r="M28" s="75">
        <f t="shared" si="0"/>
        <v>193893</v>
      </c>
      <c r="N28" s="75">
        <f t="shared" si="0"/>
        <v>10400</v>
      </c>
      <c r="O28" s="75">
        <f t="shared" si="0"/>
        <v>0</v>
      </c>
      <c r="P28" s="75">
        <f t="shared" si="0"/>
        <v>0</v>
      </c>
      <c r="Q28" s="75">
        <f t="shared" si="0"/>
        <v>0</v>
      </c>
      <c r="R28" s="75">
        <f t="shared" si="0"/>
        <v>0</v>
      </c>
      <c r="S28" s="75">
        <f t="shared" si="0"/>
        <v>0</v>
      </c>
      <c r="T28" s="75">
        <f t="shared" si="0"/>
        <v>0</v>
      </c>
      <c r="U28" s="75">
        <f t="shared" si="0"/>
        <v>0</v>
      </c>
      <c r="V28" s="75">
        <f t="shared" si="0"/>
        <v>0</v>
      </c>
      <c r="W28" s="75">
        <f t="shared" si="0"/>
        <v>0</v>
      </c>
      <c r="X28" s="75">
        <f t="shared" si="0"/>
        <v>0</v>
      </c>
      <c r="Y28" s="75">
        <f t="shared" ref="Y28:AD28" si="1">SUBTOTAL(9,Y23:Y27)</f>
        <v>0</v>
      </c>
      <c r="Z28" s="269">
        <f t="shared" si="1"/>
        <v>0</v>
      </c>
      <c r="AA28" s="21">
        <f t="shared" si="1"/>
        <v>0</v>
      </c>
      <c r="AB28" s="75">
        <f t="shared" si="1"/>
        <v>0</v>
      </c>
      <c r="AC28" s="21">
        <f t="shared" si="1"/>
        <v>0</v>
      </c>
      <c r="AD28" s="75">
        <f t="shared" si="1"/>
        <v>0</v>
      </c>
      <c r="AE28" s="75">
        <f t="shared" ref="AE28:AF28" si="2">SUBTOTAL(9,AE23:AE27)</f>
        <v>0</v>
      </c>
      <c r="AF28" s="75">
        <f t="shared" si="2"/>
        <v>0</v>
      </c>
      <c r="AG28" s="75">
        <f t="shared" ref="AG28:AH28" si="3">SUBTOTAL(9,AG23:AG27)</f>
        <v>0</v>
      </c>
      <c r="AH28" s="62">
        <f t="shared" si="3"/>
        <v>0</v>
      </c>
    </row>
    <row r="29" spans="1:55" ht="12.75" hidden="1" customHeight="1" x14ac:dyDescent="0.2">
      <c r="A29" s="559"/>
      <c r="B29" s="795"/>
      <c r="C29" s="686"/>
      <c r="D29" s="639"/>
      <c r="E29" s="548"/>
      <c r="F29" s="548"/>
      <c r="G29" s="646"/>
      <c r="H29" s="646"/>
      <c r="I29" s="646"/>
      <c r="J29" s="646"/>
      <c r="K29" s="646"/>
      <c r="L29" s="646"/>
      <c r="M29" s="649"/>
      <c r="N29" s="650"/>
      <c r="O29" s="649"/>
      <c r="P29" s="650"/>
      <c r="Q29" s="649"/>
      <c r="R29" s="650"/>
      <c r="S29" s="646"/>
      <c r="T29" s="647"/>
      <c r="U29" s="646"/>
      <c r="V29" s="647"/>
      <c r="W29" s="649"/>
      <c r="X29" s="650"/>
      <c r="Y29" s="649"/>
      <c r="Z29" s="650"/>
      <c r="AA29" s="649"/>
      <c r="AB29" s="650"/>
      <c r="AC29" s="649"/>
      <c r="AD29" s="650"/>
      <c r="AE29" s="650"/>
      <c r="AF29" s="650"/>
      <c r="AG29" s="650"/>
      <c r="AH29" s="2391"/>
    </row>
    <row r="30" spans="1:55" ht="12.75" hidden="1" customHeight="1" x14ac:dyDescent="0.2">
      <c r="A30" s="2390" t="s">
        <v>886</v>
      </c>
      <c r="B30" s="1071"/>
      <c r="C30" s="686"/>
      <c r="D30" s="639"/>
      <c r="E30" s="548"/>
      <c r="F30" s="548"/>
      <c r="G30" s="646"/>
      <c r="H30" s="646"/>
      <c r="I30" s="646"/>
      <c r="J30" s="646"/>
      <c r="K30" s="646"/>
      <c r="L30" s="646"/>
      <c r="M30" s="649"/>
      <c r="N30" s="650"/>
      <c r="O30" s="649"/>
      <c r="P30" s="650"/>
      <c r="Q30" s="649"/>
      <c r="R30" s="650"/>
      <c r="S30" s="646"/>
      <c r="T30" s="647"/>
      <c r="U30" s="646"/>
      <c r="V30" s="647"/>
      <c r="W30" s="649"/>
      <c r="X30" s="650"/>
      <c r="Y30" s="649"/>
      <c r="Z30" s="650"/>
      <c r="AA30" s="649"/>
      <c r="AB30" s="650"/>
      <c r="AC30" s="649"/>
      <c r="AD30" s="650"/>
      <c r="AE30" s="650"/>
      <c r="AF30" s="650"/>
      <c r="AG30" s="650"/>
      <c r="AH30" s="2391"/>
    </row>
    <row r="31" spans="1:55" ht="12.75" hidden="1" customHeight="1" x14ac:dyDescent="0.2">
      <c r="A31" s="559" t="s">
        <v>1965</v>
      </c>
      <c r="B31" s="679" t="s">
        <v>1047</v>
      </c>
      <c r="C31" s="686">
        <v>6.54E-2</v>
      </c>
      <c r="D31" s="639">
        <v>42550</v>
      </c>
      <c r="E31" s="548">
        <v>142822</v>
      </c>
      <c r="F31" s="548">
        <v>27824</v>
      </c>
      <c r="G31" s="646">
        <v>152486</v>
      </c>
      <c r="H31" s="647">
        <v>18161</v>
      </c>
      <c r="I31" s="646">
        <v>162606</v>
      </c>
      <c r="J31" s="647">
        <v>8041</v>
      </c>
      <c r="K31" s="646"/>
      <c r="L31" s="647"/>
      <c r="M31" s="646"/>
      <c r="N31" s="647"/>
      <c r="O31" s="646"/>
      <c r="P31" s="647"/>
      <c r="Q31" s="646"/>
      <c r="R31" s="647"/>
      <c r="S31" s="646"/>
      <c r="T31" s="647"/>
      <c r="U31" s="646"/>
      <c r="V31" s="647"/>
      <c r="W31" s="649"/>
      <c r="X31" s="650"/>
      <c r="Y31" s="649"/>
      <c r="Z31" s="650"/>
      <c r="AA31" s="649"/>
      <c r="AB31" s="650"/>
      <c r="AC31" s="649"/>
      <c r="AD31" s="650"/>
      <c r="AE31" s="650"/>
      <c r="AF31" s="650"/>
      <c r="AG31" s="650"/>
      <c r="AH31" s="2391"/>
    </row>
    <row r="32" spans="1:55" x14ac:dyDescent="0.2">
      <c r="A32" s="559"/>
      <c r="B32" s="795"/>
      <c r="C32" s="686"/>
      <c r="D32" s="639"/>
      <c r="E32" s="548"/>
      <c r="F32" s="548"/>
      <c r="G32" s="646"/>
      <c r="H32" s="647"/>
      <c r="I32" s="649"/>
      <c r="J32" s="650"/>
      <c r="K32" s="649"/>
      <c r="L32" s="650"/>
      <c r="M32" s="649"/>
      <c r="N32" s="650"/>
      <c r="O32" s="649"/>
      <c r="P32" s="650"/>
      <c r="Q32" s="649"/>
      <c r="R32" s="650"/>
      <c r="S32" s="646"/>
      <c r="T32" s="647"/>
      <c r="U32" s="646"/>
      <c r="V32" s="647"/>
      <c r="W32" s="649"/>
      <c r="X32" s="650"/>
      <c r="Y32" s="649"/>
      <c r="Z32" s="650"/>
      <c r="AA32" s="649"/>
      <c r="AB32" s="650"/>
      <c r="AC32" s="649"/>
      <c r="AD32" s="650"/>
      <c r="AE32" s="650"/>
      <c r="AF32" s="650"/>
      <c r="AG32" s="650"/>
      <c r="AH32" s="2391"/>
    </row>
    <row r="33" spans="1:34" x14ac:dyDescent="0.2">
      <c r="A33" s="2390" t="s">
        <v>2288</v>
      </c>
      <c r="B33" s="1071"/>
      <c r="C33" s="686"/>
      <c r="D33" s="639"/>
      <c r="E33" s="548"/>
      <c r="F33" s="548"/>
      <c r="G33" s="646"/>
      <c r="H33" s="647"/>
      <c r="I33" s="649"/>
      <c r="J33" s="650"/>
      <c r="K33" s="649"/>
      <c r="L33" s="650"/>
      <c r="M33" s="649"/>
      <c r="N33" s="650"/>
      <c r="O33" s="649"/>
      <c r="P33" s="650"/>
      <c r="Q33" s="649"/>
      <c r="R33" s="650"/>
      <c r="S33" s="646"/>
      <c r="T33" s="647"/>
      <c r="U33" s="646"/>
      <c r="V33" s="647"/>
      <c r="W33" s="649"/>
      <c r="X33" s="650"/>
      <c r="Y33" s="649"/>
      <c r="Z33" s="650"/>
      <c r="AA33" s="649"/>
      <c r="AB33" s="650"/>
      <c r="AC33" s="649"/>
      <c r="AD33" s="650"/>
      <c r="AE33" s="650"/>
      <c r="AF33" s="650"/>
      <c r="AG33" s="650"/>
      <c r="AH33" s="2391"/>
    </row>
    <row r="34" spans="1:34" x14ac:dyDescent="0.2">
      <c r="A34" s="559" t="s">
        <v>4606</v>
      </c>
      <c r="B34" s="679"/>
      <c r="C34" s="686">
        <v>6.4199999999999993E-2</v>
      </c>
      <c r="D34" s="639">
        <v>41818</v>
      </c>
      <c r="E34" s="548">
        <v>57528</v>
      </c>
      <c r="F34" s="548">
        <v>2813</v>
      </c>
      <c r="G34" s="646"/>
      <c r="H34" s="647"/>
      <c r="I34" s="646"/>
      <c r="J34" s="647"/>
      <c r="K34" s="646"/>
      <c r="L34" s="647"/>
      <c r="M34" s="646"/>
      <c r="N34" s="647"/>
      <c r="O34" s="646"/>
      <c r="P34" s="647"/>
      <c r="Q34" s="646"/>
      <c r="R34" s="647"/>
      <c r="S34" s="646"/>
      <c r="T34" s="647"/>
      <c r="U34" s="646"/>
      <c r="V34" s="647"/>
      <c r="W34" s="649"/>
      <c r="X34" s="650"/>
      <c r="Y34" s="649"/>
      <c r="Z34" s="650"/>
      <c r="AA34" s="649"/>
      <c r="AB34" s="650"/>
      <c r="AC34" s="649"/>
      <c r="AD34" s="650"/>
      <c r="AE34" s="650"/>
      <c r="AF34" s="650"/>
      <c r="AG34" s="650"/>
      <c r="AH34" s="2391"/>
    </row>
    <row r="35" spans="1:34" x14ac:dyDescent="0.2">
      <c r="A35" s="559" t="s">
        <v>4607</v>
      </c>
      <c r="B35" s="679"/>
      <c r="C35" s="686">
        <v>5.6000000000000001E-2</v>
      </c>
      <c r="D35" s="639">
        <v>45105</v>
      </c>
      <c r="E35" s="548">
        <v>63665</v>
      </c>
      <c r="F35" s="548">
        <v>19088</v>
      </c>
      <c r="G35" s="646">
        <v>67188</v>
      </c>
      <c r="H35" s="647">
        <v>15566</v>
      </c>
      <c r="I35" s="646">
        <v>71125</v>
      </c>
      <c r="J35" s="647">
        <v>11629</v>
      </c>
      <c r="K35" s="646">
        <v>75128</v>
      </c>
      <c r="L35" s="647">
        <v>7626</v>
      </c>
      <c r="M35" s="646">
        <v>79401</v>
      </c>
      <c r="N35" s="647">
        <v>3353</v>
      </c>
      <c r="O35" s="646"/>
      <c r="P35" s="647"/>
      <c r="Q35" s="646"/>
      <c r="R35" s="647"/>
      <c r="S35" s="646"/>
      <c r="T35" s="647"/>
      <c r="U35" s="646"/>
      <c r="V35" s="647"/>
      <c r="W35" s="646"/>
      <c r="X35" s="647"/>
      <c r="Y35" s="649"/>
      <c r="Z35" s="650"/>
      <c r="AA35" s="646"/>
      <c r="AB35" s="647"/>
      <c r="AC35" s="646"/>
      <c r="AD35" s="647"/>
      <c r="AE35" s="647"/>
      <c r="AF35" s="647"/>
      <c r="AG35" s="647"/>
      <c r="AH35" s="648"/>
    </row>
    <row r="36" spans="1:34" x14ac:dyDescent="0.2">
      <c r="A36" s="559" t="s">
        <v>4608</v>
      </c>
      <c r="B36" s="795"/>
      <c r="C36" s="686">
        <v>6.4899999999999999E-2</v>
      </c>
      <c r="D36" s="639">
        <v>43644</v>
      </c>
      <c r="E36" s="549">
        <v>224163</v>
      </c>
      <c r="F36" s="549">
        <v>100258</v>
      </c>
      <c r="G36" s="48">
        <v>239782</v>
      </c>
      <c r="H36" s="161">
        <v>84639</v>
      </c>
      <c r="I36" s="646">
        <v>255345</v>
      </c>
      <c r="J36" s="647">
        <v>69078</v>
      </c>
      <c r="K36" s="646">
        <v>272186</v>
      </c>
      <c r="L36" s="647">
        <v>52235</v>
      </c>
      <c r="M36" s="646">
        <v>290138</v>
      </c>
      <c r="N36" s="647">
        <v>34384</v>
      </c>
      <c r="O36" s="646">
        <v>309273</v>
      </c>
      <c r="P36" s="647">
        <v>15148</v>
      </c>
      <c r="Q36" s="646"/>
      <c r="R36" s="647"/>
      <c r="S36" s="646"/>
      <c r="T36" s="647"/>
      <c r="U36" s="646"/>
      <c r="V36" s="647"/>
      <c r="W36" s="646"/>
      <c r="X36" s="647"/>
      <c r="Y36" s="646"/>
      <c r="Z36" s="647"/>
      <c r="AA36" s="646"/>
      <c r="AB36" s="647"/>
      <c r="AC36" s="646"/>
      <c r="AD36" s="647"/>
      <c r="AE36" s="647"/>
      <c r="AF36" s="647"/>
      <c r="AG36" s="647"/>
      <c r="AH36" s="648"/>
    </row>
    <row r="37" spans="1:34" x14ac:dyDescent="0.2">
      <c r="A37" s="559" t="s">
        <v>5892</v>
      </c>
      <c r="B37" s="795"/>
      <c r="C37" s="686"/>
      <c r="D37" s="639"/>
      <c r="E37" s="549"/>
      <c r="F37" s="549"/>
      <c r="G37" s="48"/>
      <c r="H37" s="161"/>
      <c r="I37" s="646"/>
      <c r="J37" s="647"/>
      <c r="K37" s="646"/>
      <c r="L37" s="647"/>
      <c r="M37" s="646"/>
      <c r="N37" s="647"/>
      <c r="O37" s="646"/>
      <c r="P37" s="647"/>
      <c r="Q37" s="646">
        <f>J153</f>
        <v>208000</v>
      </c>
      <c r="R37" s="647">
        <f>J154</f>
        <v>100000</v>
      </c>
      <c r="S37" s="646">
        <f>K153</f>
        <v>216000</v>
      </c>
      <c r="T37" s="647">
        <f>K154</f>
        <v>92000</v>
      </c>
      <c r="U37" s="646">
        <f>L153</f>
        <v>225000</v>
      </c>
      <c r="V37" s="647">
        <f>L154</f>
        <v>83000</v>
      </c>
      <c r="W37" s="646">
        <f>M153</f>
        <v>234000</v>
      </c>
      <c r="X37" s="647">
        <f>M154</f>
        <v>74000</v>
      </c>
      <c r="Y37" s="646">
        <f>N153</f>
        <v>243000</v>
      </c>
      <c r="Z37" s="647">
        <f>N154</f>
        <v>65000</v>
      </c>
      <c r="AA37" s="646">
        <f>O153</f>
        <v>253000</v>
      </c>
      <c r="AB37" s="647">
        <f>O154</f>
        <v>55000</v>
      </c>
      <c r="AC37" s="646">
        <f>P153</f>
        <v>263000</v>
      </c>
      <c r="AD37" s="647">
        <f>P154</f>
        <v>45000</v>
      </c>
      <c r="AE37" s="647">
        <v>274000</v>
      </c>
      <c r="AF37" s="647">
        <v>34000</v>
      </c>
      <c r="AG37" s="647">
        <v>285000</v>
      </c>
      <c r="AH37" s="648">
        <v>23000</v>
      </c>
    </row>
    <row r="38" spans="1:34" x14ac:dyDescent="0.2">
      <c r="A38" s="559" t="s">
        <v>4609</v>
      </c>
      <c r="B38" s="795"/>
      <c r="C38" s="686">
        <v>5.3900000000000003E-2</v>
      </c>
      <c r="D38" s="639">
        <v>44916</v>
      </c>
      <c r="E38" s="845">
        <v>103352</v>
      </c>
      <c r="F38" s="845">
        <v>62100</v>
      </c>
      <c r="G38" s="651">
        <v>109578</v>
      </c>
      <c r="H38" s="651">
        <v>59447</v>
      </c>
      <c r="I38" s="702">
        <v>115447</v>
      </c>
      <c r="J38" s="702">
        <v>53577</v>
      </c>
      <c r="K38" s="702">
        <v>121784</v>
      </c>
      <c r="L38" s="702">
        <v>47240</v>
      </c>
      <c r="M38" s="702">
        <v>128482</v>
      </c>
      <c r="N38" s="702">
        <v>40542</v>
      </c>
      <c r="O38" s="702">
        <v>135548</v>
      </c>
      <c r="P38" s="702">
        <v>33476</v>
      </c>
      <c r="Q38" s="702">
        <v>142833</v>
      </c>
      <c r="R38" s="702">
        <v>26192</v>
      </c>
      <c r="S38" s="702">
        <v>150913</v>
      </c>
      <c r="T38" s="702">
        <v>18111</v>
      </c>
      <c r="U38" s="702">
        <v>159159</v>
      </c>
      <c r="V38" s="702">
        <v>9865</v>
      </c>
      <c r="W38" s="702">
        <v>82987</v>
      </c>
      <c r="X38" s="702">
        <v>1686</v>
      </c>
      <c r="Y38" s="702">
        <v>0</v>
      </c>
      <c r="Z38" s="702">
        <v>0</v>
      </c>
      <c r="AA38" s="702">
        <v>0</v>
      </c>
      <c r="AB38" s="702">
        <v>0</v>
      </c>
      <c r="AC38" s="702">
        <v>0</v>
      </c>
      <c r="AD38" s="702">
        <v>0</v>
      </c>
      <c r="AE38" s="703">
        <v>0</v>
      </c>
      <c r="AF38" s="702">
        <v>0</v>
      </c>
      <c r="AG38" s="703">
        <v>0</v>
      </c>
      <c r="AH38" s="2395">
        <v>0</v>
      </c>
    </row>
    <row r="39" spans="1:34" s="2050" customFormat="1" x14ac:dyDescent="0.2">
      <c r="A39" s="564" t="s">
        <v>752</v>
      </c>
      <c r="B39" s="679" t="s">
        <v>1048</v>
      </c>
      <c r="C39" s="686"/>
      <c r="D39" s="643"/>
      <c r="E39" s="644">
        <f t="shared" ref="E39:X39" si="4">SUBTOTAL(9,E33:E38)</f>
        <v>448708</v>
      </c>
      <c r="F39" s="644">
        <f t="shared" si="4"/>
        <v>184259</v>
      </c>
      <c r="G39" s="75">
        <f t="shared" si="4"/>
        <v>416548</v>
      </c>
      <c r="H39" s="75">
        <f t="shared" si="4"/>
        <v>159652</v>
      </c>
      <c r="I39" s="75">
        <f t="shared" si="4"/>
        <v>441917</v>
      </c>
      <c r="J39" s="75">
        <f t="shared" si="4"/>
        <v>134284</v>
      </c>
      <c r="K39" s="75">
        <f t="shared" si="4"/>
        <v>469098</v>
      </c>
      <c r="L39" s="75">
        <f t="shared" si="4"/>
        <v>107101</v>
      </c>
      <c r="M39" s="75">
        <f t="shared" si="4"/>
        <v>498021</v>
      </c>
      <c r="N39" s="75">
        <f t="shared" si="4"/>
        <v>78279</v>
      </c>
      <c r="O39" s="75">
        <f t="shared" si="4"/>
        <v>444821</v>
      </c>
      <c r="P39" s="75">
        <f t="shared" si="4"/>
        <v>48624</v>
      </c>
      <c r="Q39" s="75">
        <f t="shared" si="4"/>
        <v>350833</v>
      </c>
      <c r="R39" s="75">
        <f t="shared" si="4"/>
        <v>126192</v>
      </c>
      <c r="S39" s="75">
        <f t="shared" si="4"/>
        <v>366913</v>
      </c>
      <c r="T39" s="75">
        <f t="shared" si="4"/>
        <v>110111</v>
      </c>
      <c r="U39" s="75">
        <f t="shared" si="4"/>
        <v>384159</v>
      </c>
      <c r="V39" s="75">
        <f t="shared" si="4"/>
        <v>92865</v>
      </c>
      <c r="W39" s="75">
        <f t="shared" si="4"/>
        <v>316987</v>
      </c>
      <c r="X39" s="75">
        <f t="shared" si="4"/>
        <v>75686</v>
      </c>
      <c r="Y39" s="75">
        <f t="shared" ref="Y39:AD39" si="5">SUBTOTAL(9,Y33:Y38)</f>
        <v>243000</v>
      </c>
      <c r="Z39" s="269">
        <f t="shared" si="5"/>
        <v>65000</v>
      </c>
      <c r="AA39" s="21">
        <f t="shared" si="5"/>
        <v>253000</v>
      </c>
      <c r="AB39" s="75">
        <f t="shared" si="5"/>
        <v>55000</v>
      </c>
      <c r="AC39" s="21">
        <f t="shared" si="5"/>
        <v>263000</v>
      </c>
      <c r="AD39" s="75">
        <f t="shared" si="5"/>
        <v>45000</v>
      </c>
      <c r="AE39" s="75">
        <f t="shared" ref="AE39:AF39" si="6">SUBTOTAL(9,AE33:AE38)</f>
        <v>274000</v>
      </c>
      <c r="AF39" s="75">
        <f t="shared" si="6"/>
        <v>34000</v>
      </c>
      <c r="AG39" s="75">
        <f t="shared" ref="AG39:AH39" si="7">SUBTOTAL(9,AG33:AG38)</f>
        <v>285000</v>
      </c>
      <c r="AH39" s="62">
        <f t="shared" si="7"/>
        <v>23000</v>
      </c>
    </row>
    <row r="40" spans="1:34" x14ac:dyDescent="0.2">
      <c r="A40" s="559"/>
      <c r="B40" s="795"/>
      <c r="C40" s="686"/>
      <c r="D40" s="639"/>
      <c r="E40" s="548"/>
      <c r="F40" s="548"/>
      <c r="G40" s="646"/>
      <c r="H40" s="647"/>
      <c r="I40" s="649"/>
      <c r="J40" s="650"/>
      <c r="K40" s="649"/>
      <c r="L40" s="650"/>
      <c r="M40" s="649"/>
      <c r="N40" s="650"/>
      <c r="O40" s="649"/>
      <c r="P40" s="650"/>
      <c r="Q40" s="649"/>
      <c r="R40" s="650"/>
      <c r="S40" s="649"/>
      <c r="T40" s="650"/>
      <c r="U40" s="649"/>
      <c r="V40" s="650"/>
      <c r="W40" s="649"/>
      <c r="X40" s="650"/>
      <c r="Y40" s="649"/>
      <c r="Z40" s="647"/>
      <c r="AA40" s="649"/>
      <c r="AB40" s="650"/>
      <c r="AC40" s="649"/>
      <c r="AD40" s="650"/>
      <c r="AE40" s="650"/>
      <c r="AF40" s="650"/>
      <c r="AG40" s="650"/>
      <c r="AH40" s="2391"/>
    </row>
    <row r="41" spans="1:34" x14ac:dyDescent="0.2">
      <c r="A41" s="2390" t="s">
        <v>2287</v>
      </c>
      <c r="B41" s="1071"/>
      <c r="C41" s="1078"/>
      <c r="D41" s="639"/>
      <c r="E41" s="548"/>
      <c r="F41" s="548"/>
      <c r="G41" s="646"/>
      <c r="H41" s="647"/>
      <c r="I41" s="649"/>
      <c r="J41" s="650"/>
      <c r="K41" s="649"/>
      <c r="L41" s="650"/>
      <c r="M41" s="649"/>
      <c r="N41" s="650"/>
      <c r="O41" s="649"/>
      <c r="P41" s="650"/>
      <c r="Q41" s="649"/>
      <c r="R41" s="650"/>
      <c r="S41" s="646"/>
      <c r="T41" s="647"/>
      <c r="U41" s="646"/>
      <c r="V41" s="647"/>
      <c r="W41" s="649"/>
      <c r="X41" s="650"/>
      <c r="Y41" s="649"/>
      <c r="Z41" s="650"/>
      <c r="AA41" s="649"/>
      <c r="AB41" s="650"/>
      <c r="AC41" s="649"/>
      <c r="AD41" s="650"/>
      <c r="AE41" s="650"/>
      <c r="AF41" s="650"/>
      <c r="AG41" s="650"/>
      <c r="AH41" s="2391"/>
    </row>
    <row r="42" spans="1:34" x14ac:dyDescent="0.2">
      <c r="A42" s="559" t="s">
        <v>50</v>
      </c>
      <c r="B42" s="1072"/>
      <c r="C42" s="686">
        <v>6.2E-2</v>
      </c>
      <c r="D42" s="639">
        <v>43921</v>
      </c>
      <c r="E42" s="547">
        <v>2950</v>
      </c>
      <c r="F42" s="549">
        <v>1460</v>
      </c>
      <c r="G42" s="549">
        <v>3136</v>
      </c>
      <c r="H42" s="549">
        <v>1274</v>
      </c>
      <c r="I42" s="549">
        <v>3331</v>
      </c>
      <c r="J42" s="549">
        <v>1079</v>
      </c>
      <c r="K42" s="549">
        <v>3543</v>
      </c>
      <c r="L42" s="549">
        <v>867</v>
      </c>
      <c r="M42" s="549">
        <v>3767</v>
      </c>
      <c r="N42" s="549">
        <v>644</v>
      </c>
      <c r="O42" s="549">
        <v>4003</v>
      </c>
      <c r="P42" s="549">
        <v>407</v>
      </c>
      <c r="Q42" s="549">
        <v>3539</v>
      </c>
      <c r="R42" s="549">
        <v>155</v>
      </c>
      <c r="S42" s="549"/>
      <c r="T42" s="549"/>
      <c r="U42" s="549"/>
      <c r="V42" s="549"/>
      <c r="W42" s="549"/>
      <c r="X42" s="549"/>
      <c r="Y42" s="549"/>
      <c r="Z42" s="650"/>
      <c r="AA42" s="547"/>
      <c r="AB42" s="549"/>
      <c r="AC42" s="547"/>
      <c r="AD42" s="549"/>
      <c r="AE42" s="549"/>
      <c r="AF42" s="549"/>
      <c r="AG42" s="549"/>
      <c r="AH42" s="835"/>
    </row>
    <row r="43" spans="1:34" x14ac:dyDescent="0.2">
      <c r="A43" s="559" t="s">
        <v>4610</v>
      </c>
      <c r="B43" s="679"/>
      <c r="C43" s="686">
        <v>5.3900000000000003E-2</v>
      </c>
      <c r="D43" s="639">
        <v>44916</v>
      </c>
      <c r="E43" s="549">
        <v>79537</v>
      </c>
      <c r="F43" s="549">
        <v>50540</v>
      </c>
      <c r="G43" s="48">
        <v>84328</v>
      </c>
      <c r="H43" s="161">
        <v>45748</v>
      </c>
      <c r="I43" s="48">
        <v>88845</v>
      </c>
      <c r="J43" s="161">
        <v>41232</v>
      </c>
      <c r="K43" s="48">
        <v>93722</v>
      </c>
      <c r="L43" s="161">
        <v>36355</v>
      </c>
      <c r="M43" s="48">
        <v>98876</v>
      </c>
      <c r="N43" s="161">
        <v>31200</v>
      </c>
      <c r="O43" s="48">
        <v>104314</v>
      </c>
      <c r="P43" s="161">
        <v>25762</v>
      </c>
      <c r="Q43" s="48">
        <v>109920</v>
      </c>
      <c r="R43" s="161">
        <v>20157</v>
      </c>
      <c r="S43" s="646">
        <v>116139</v>
      </c>
      <c r="T43" s="647">
        <v>13938</v>
      </c>
      <c r="U43" s="646">
        <v>122484</v>
      </c>
      <c r="V43" s="647">
        <v>7592</v>
      </c>
      <c r="W43" s="646">
        <v>63420</v>
      </c>
      <c r="X43" s="647">
        <v>1297</v>
      </c>
      <c r="Y43" s="646"/>
      <c r="Z43" s="647"/>
      <c r="AA43" s="646"/>
      <c r="AB43" s="647"/>
      <c r="AC43" s="646"/>
      <c r="AD43" s="647"/>
      <c r="AE43" s="647"/>
      <c r="AF43" s="647"/>
      <c r="AG43" s="647"/>
      <c r="AH43" s="648"/>
    </row>
    <row r="44" spans="1:34" x14ac:dyDescent="0.2">
      <c r="A44" s="2396" t="s">
        <v>3064</v>
      </c>
      <c r="B44" s="1072"/>
      <c r="C44" s="686"/>
      <c r="D44" s="639"/>
      <c r="E44" s="549"/>
      <c r="F44" s="549"/>
      <c r="G44" s="549"/>
      <c r="H44" s="549"/>
      <c r="I44" s="549"/>
      <c r="J44" s="549"/>
      <c r="K44" s="549"/>
      <c r="L44" s="549"/>
      <c r="M44" s="549"/>
      <c r="N44" s="549"/>
      <c r="O44" s="549"/>
      <c r="P44" s="549"/>
      <c r="Q44" s="549"/>
      <c r="R44" s="549"/>
      <c r="S44" s="549"/>
      <c r="T44" s="549"/>
      <c r="U44" s="549"/>
      <c r="V44" s="549"/>
      <c r="W44" s="549"/>
      <c r="X44" s="549"/>
      <c r="Y44" s="549"/>
      <c r="Z44" s="650"/>
      <c r="AA44" s="547"/>
      <c r="AB44" s="549"/>
      <c r="AC44" s="547"/>
      <c r="AD44" s="549"/>
      <c r="AE44" s="549"/>
      <c r="AF44" s="549"/>
      <c r="AG44" s="549"/>
      <c r="AH44" s="835"/>
    </row>
    <row r="45" spans="1:34" x14ac:dyDescent="0.2">
      <c r="A45" s="559" t="s">
        <v>2359</v>
      </c>
      <c r="B45" s="679"/>
      <c r="C45" s="686">
        <v>0</v>
      </c>
      <c r="D45" s="639">
        <v>43830</v>
      </c>
      <c r="E45" s="549">
        <v>300000</v>
      </c>
      <c r="F45" s="549"/>
      <c r="G45" s="48">
        <v>300000</v>
      </c>
      <c r="H45" s="161"/>
      <c r="I45" s="48">
        <v>350000</v>
      </c>
      <c r="J45" s="161"/>
      <c r="K45" s="48">
        <v>350000</v>
      </c>
      <c r="L45" s="161"/>
      <c r="M45" s="48">
        <v>350000</v>
      </c>
      <c r="N45" s="161"/>
      <c r="O45" s="48">
        <v>350000</v>
      </c>
      <c r="P45" s="161"/>
      <c r="Q45" s="48">
        <v>400000</v>
      </c>
      <c r="R45" s="161"/>
      <c r="S45" s="646"/>
      <c r="T45" s="647"/>
      <c r="U45" s="646"/>
      <c r="V45" s="647"/>
      <c r="W45" s="646"/>
      <c r="X45" s="650"/>
      <c r="Y45" s="646"/>
      <c r="Z45" s="650"/>
      <c r="AA45" s="649"/>
      <c r="AB45" s="650"/>
      <c r="AC45" s="649"/>
      <c r="AD45" s="650"/>
      <c r="AE45" s="650"/>
      <c r="AF45" s="650"/>
      <c r="AG45" s="650"/>
      <c r="AH45" s="2391"/>
    </row>
    <row r="46" spans="1:34" x14ac:dyDescent="0.2">
      <c r="A46" s="559" t="s">
        <v>3934</v>
      </c>
      <c r="B46" s="679"/>
      <c r="C46" s="686"/>
      <c r="D46" s="639">
        <v>45454</v>
      </c>
      <c r="E46" s="549"/>
      <c r="F46" s="549"/>
      <c r="G46" s="48">
        <v>94700</v>
      </c>
      <c r="H46" s="161">
        <v>59000</v>
      </c>
      <c r="I46" s="48">
        <v>99500</v>
      </c>
      <c r="J46" s="161">
        <v>54200</v>
      </c>
      <c r="K46" s="48">
        <v>104400</v>
      </c>
      <c r="L46" s="161">
        <v>49300</v>
      </c>
      <c r="M46" s="48">
        <v>110300</v>
      </c>
      <c r="N46" s="161">
        <v>43400</v>
      </c>
      <c r="O46" s="48">
        <v>115900</v>
      </c>
      <c r="P46" s="161">
        <v>37800</v>
      </c>
      <c r="Q46" s="646">
        <v>121800</v>
      </c>
      <c r="R46" s="647">
        <v>31900</v>
      </c>
      <c r="S46" s="646">
        <v>128100</v>
      </c>
      <c r="T46" s="647">
        <v>25600</v>
      </c>
      <c r="U46" s="646">
        <v>134700</v>
      </c>
      <c r="V46" s="647">
        <v>19000</v>
      </c>
      <c r="W46" s="646">
        <v>141600</v>
      </c>
      <c r="X46" s="647">
        <v>12100</v>
      </c>
      <c r="Y46" s="646">
        <v>149000</v>
      </c>
      <c r="Z46" s="647">
        <v>4700</v>
      </c>
      <c r="AA46" s="646"/>
      <c r="AB46" s="647"/>
      <c r="AC46" s="646"/>
      <c r="AD46" s="647"/>
      <c r="AE46" s="647"/>
      <c r="AF46" s="647"/>
      <c r="AG46" s="647"/>
      <c r="AH46" s="648"/>
    </row>
    <row r="47" spans="1:34" x14ac:dyDescent="0.2">
      <c r="A47" s="559" t="s">
        <v>3417</v>
      </c>
      <c r="B47" s="679"/>
      <c r="C47" s="686">
        <v>5.6099999999999997E-2</v>
      </c>
      <c r="D47" s="639">
        <v>45673</v>
      </c>
      <c r="E47" s="549">
        <v>94814</v>
      </c>
      <c r="F47" s="549">
        <v>87154</v>
      </c>
      <c r="G47" s="48">
        <v>100207</v>
      </c>
      <c r="H47" s="161">
        <v>81352</v>
      </c>
      <c r="I47" s="48">
        <v>105500</v>
      </c>
      <c r="J47" s="161">
        <v>76060</v>
      </c>
      <c r="K47" s="48">
        <v>112082</v>
      </c>
      <c r="L47" s="161">
        <v>69478</v>
      </c>
      <c r="M47" s="48">
        <v>118270</v>
      </c>
      <c r="N47" s="161">
        <v>63290</v>
      </c>
      <c r="O47" s="48">
        <v>125014</v>
      </c>
      <c r="P47" s="161">
        <v>56547</v>
      </c>
      <c r="Q47" s="48">
        <v>132124</v>
      </c>
      <c r="R47" s="161">
        <v>49436</v>
      </c>
      <c r="S47" s="646">
        <v>139300</v>
      </c>
      <c r="T47" s="647">
        <v>46260</v>
      </c>
      <c r="U47" s="646">
        <v>147680</v>
      </c>
      <c r="V47" s="647">
        <v>33880</v>
      </c>
      <c r="W47" s="646">
        <v>156017</v>
      </c>
      <c r="X47" s="647">
        <v>25543</v>
      </c>
      <c r="Y47" s="646">
        <v>164828</v>
      </c>
      <c r="Z47" s="647">
        <v>16731</v>
      </c>
      <c r="AA47" s="646">
        <v>174161</v>
      </c>
      <c r="AB47" s="647">
        <f>Y47+Z47-AA47</f>
        <v>7398</v>
      </c>
      <c r="AC47" s="659">
        <v>0</v>
      </c>
      <c r="AD47" s="679">
        <v>0</v>
      </c>
      <c r="AE47" s="679">
        <v>0</v>
      </c>
      <c r="AF47" s="679">
        <v>0</v>
      </c>
      <c r="AG47" s="679">
        <v>0</v>
      </c>
      <c r="AH47" s="660">
        <v>0</v>
      </c>
    </row>
    <row r="48" spans="1:34" x14ac:dyDescent="0.2">
      <c r="A48" s="559" t="s">
        <v>255</v>
      </c>
      <c r="B48" s="679"/>
      <c r="C48" s="686">
        <v>5.6099999999999997E-2</v>
      </c>
      <c r="D48" s="639">
        <v>45673</v>
      </c>
      <c r="E48" s="549">
        <v>137687</v>
      </c>
      <c r="F48" s="549">
        <f>125564-3000</f>
        <v>122564</v>
      </c>
      <c r="G48" s="48">
        <v>145520</v>
      </c>
      <c r="H48" s="48">
        <v>118140</v>
      </c>
      <c r="I48" s="48">
        <v>153208</v>
      </c>
      <c r="J48" s="48">
        <v>110451</v>
      </c>
      <c r="K48" s="48">
        <v>162764</v>
      </c>
      <c r="L48" s="48">
        <v>100895</v>
      </c>
      <c r="M48" s="48">
        <v>171753</v>
      </c>
      <c r="N48" s="48">
        <v>91906</v>
      </c>
      <c r="O48" s="48">
        <v>181542</v>
      </c>
      <c r="P48" s="48">
        <v>82116</v>
      </c>
      <c r="Q48" s="48">
        <v>191870</v>
      </c>
      <c r="R48" s="48">
        <v>71789</v>
      </c>
      <c r="S48" s="48">
        <v>202286</v>
      </c>
      <c r="T48" s="48">
        <v>57373</v>
      </c>
      <c r="U48" s="48">
        <v>214461</v>
      </c>
      <c r="V48" s="48">
        <v>49198</v>
      </c>
      <c r="W48" s="48">
        <v>226565</v>
      </c>
      <c r="X48" s="48">
        <v>37094</v>
      </c>
      <c r="Y48" s="48">
        <v>239360</v>
      </c>
      <c r="Z48" s="647">
        <v>24300</v>
      </c>
      <c r="AA48" s="48">
        <v>252984</v>
      </c>
      <c r="AB48" s="48">
        <f>Y48+Z48-AA48</f>
        <v>10676</v>
      </c>
      <c r="AC48" s="79">
        <v>0</v>
      </c>
      <c r="AD48" s="79">
        <v>0</v>
      </c>
      <c r="AE48" s="77">
        <v>0</v>
      </c>
      <c r="AF48" s="79">
        <v>0</v>
      </c>
      <c r="AG48" s="77">
        <v>0</v>
      </c>
      <c r="AH48" s="2346">
        <v>0</v>
      </c>
    </row>
    <row r="49" spans="1:52" x14ac:dyDescent="0.2">
      <c r="A49" s="559" t="s">
        <v>2360</v>
      </c>
      <c r="B49" s="679"/>
      <c r="C49" s="686">
        <f>C85</f>
        <v>7.0000000000000007E-2</v>
      </c>
      <c r="D49" s="936" t="s">
        <v>4211</v>
      </c>
      <c r="E49" s="547"/>
      <c r="F49" s="549"/>
      <c r="G49" s="48"/>
      <c r="H49" s="161">
        <v>-6600</v>
      </c>
      <c r="I49" s="48"/>
      <c r="J49" s="161"/>
      <c r="K49" s="48"/>
      <c r="L49" s="161"/>
      <c r="M49" s="48">
        <v>0</v>
      </c>
      <c r="N49" s="161">
        <v>0</v>
      </c>
      <c r="O49" s="48">
        <v>0</v>
      </c>
      <c r="P49" s="161">
        <v>0</v>
      </c>
      <c r="Q49" s="48">
        <f>J113</f>
        <v>0</v>
      </c>
      <c r="R49" s="161">
        <f>J114</f>
        <v>0</v>
      </c>
      <c r="S49" s="48">
        <f>K113</f>
        <v>0</v>
      </c>
      <c r="T49" s="161">
        <f>K114</f>
        <v>0</v>
      </c>
      <c r="U49" s="646">
        <f>L113</f>
        <v>0</v>
      </c>
      <c r="V49" s="647">
        <f>L114</f>
        <v>0</v>
      </c>
      <c r="W49" s="646">
        <f>M113</f>
        <v>0</v>
      </c>
      <c r="X49" s="647">
        <f>M114</f>
        <v>0</v>
      </c>
      <c r="Y49" s="646">
        <f>N113</f>
        <v>0</v>
      </c>
      <c r="Z49" s="647">
        <f>N114</f>
        <v>0</v>
      </c>
      <c r="AA49" s="646">
        <f>O113</f>
        <v>0</v>
      </c>
      <c r="AB49" s="647">
        <f>O114</f>
        <v>0</v>
      </c>
      <c r="AC49" s="646">
        <f>T113</f>
        <v>0</v>
      </c>
      <c r="AD49" s="647">
        <f>T114</f>
        <v>0</v>
      </c>
      <c r="AE49" s="647">
        <f>V113</f>
        <v>0</v>
      </c>
      <c r="AF49" s="647">
        <f>V114</f>
        <v>0</v>
      </c>
      <c r="AG49" s="647">
        <f>X113</f>
        <v>0</v>
      </c>
      <c r="AH49" s="648">
        <f>X114</f>
        <v>0</v>
      </c>
    </row>
    <row r="50" spans="1:52" x14ac:dyDescent="0.2">
      <c r="A50" s="559" t="s">
        <v>5899</v>
      </c>
      <c r="B50" s="679"/>
      <c r="C50" s="686">
        <f>C86</f>
        <v>3.5099999999999999E-2</v>
      </c>
      <c r="D50" s="936" t="s">
        <v>4211</v>
      </c>
      <c r="E50" s="845"/>
      <c r="F50" s="846"/>
      <c r="G50" s="651"/>
      <c r="H50" s="812"/>
      <c r="I50" s="651"/>
      <c r="J50" s="812"/>
      <c r="K50" s="651"/>
      <c r="L50" s="812"/>
      <c r="M50" s="651"/>
      <c r="N50" s="812"/>
      <c r="O50" s="651"/>
      <c r="P50" s="812"/>
      <c r="Q50" s="651"/>
      <c r="R50" s="812"/>
      <c r="S50" s="651">
        <f>K158</f>
        <v>0</v>
      </c>
      <c r="T50" s="812">
        <f>K159</f>
        <v>0</v>
      </c>
      <c r="U50" s="702">
        <f>L158</f>
        <v>416000</v>
      </c>
      <c r="V50" s="703">
        <f>L159</f>
        <v>334000</v>
      </c>
      <c r="W50" s="702">
        <f>M158</f>
        <v>433000</v>
      </c>
      <c r="X50" s="703">
        <f>M159</f>
        <v>317000</v>
      </c>
      <c r="Y50" s="702">
        <f>N158</f>
        <v>450000</v>
      </c>
      <c r="Z50" s="703">
        <f>N159</f>
        <v>300000</v>
      </c>
      <c r="AA50" s="702">
        <f>O158</f>
        <v>468000</v>
      </c>
      <c r="AB50" s="703">
        <f>O159</f>
        <v>282000</v>
      </c>
      <c r="AC50" s="702">
        <f>P158</f>
        <v>487000</v>
      </c>
      <c r="AD50" s="703">
        <f>P159</f>
        <v>263000</v>
      </c>
      <c r="AE50" s="703">
        <f>Q158</f>
        <v>507000</v>
      </c>
      <c r="AF50" s="703">
        <f>Q159</f>
        <v>243000</v>
      </c>
      <c r="AG50" s="703">
        <f>R158</f>
        <v>527000</v>
      </c>
      <c r="AH50" s="2397">
        <f>R159</f>
        <v>223000</v>
      </c>
    </row>
    <row r="51" spans="1:52" s="645" customFormat="1" x14ac:dyDescent="0.2">
      <c r="A51" s="564" t="s">
        <v>752</v>
      </c>
      <c r="B51" s="679" t="s">
        <v>1049</v>
      </c>
      <c r="C51" s="686"/>
      <c r="D51" s="643"/>
      <c r="E51" s="644">
        <f>SUBTOTAL(9,E41:E50)</f>
        <v>614988</v>
      </c>
      <c r="F51" s="644">
        <f t="shared" ref="F51:AB51" si="8">SUBTOTAL(9,F41:F50)</f>
        <v>261718</v>
      </c>
      <c r="G51" s="21">
        <f t="shared" si="8"/>
        <v>727891</v>
      </c>
      <c r="H51" s="75">
        <f t="shared" si="8"/>
        <v>298914</v>
      </c>
      <c r="I51" s="21">
        <f t="shared" si="8"/>
        <v>800384</v>
      </c>
      <c r="J51" s="75">
        <f t="shared" si="8"/>
        <v>283022</v>
      </c>
      <c r="K51" s="21">
        <f t="shared" si="8"/>
        <v>826511</v>
      </c>
      <c r="L51" s="75">
        <f t="shared" si="8"/>
        <v>256895</v>
      </c>
      <c r="M51" s="21">
        <f t="shared" si="8"/>
        <v>852966</v>
      </c>
      <c r="N51" s="75">
        <f t="shared" si="8"/>
        <v>230440</v>
      </c>
      <c r="O51" s="21">
        <f t="shared" si="8"/>
        <v>880773</v>
      </c>
      <c r="P51" s="75">
        <f t="shared" si="8"/>
        <v>202632</v>
      </c>
      <c r="Q51" s="21">
        <f t="shared" si="8"/>
        <v>959253</v>
      </c>
      <c r="R51" s="75">
        <f t="shared" si="8"/>
        <v>173437</v>
      </c>
      <c r="S51" s="21">
        <f t="shared" si="8"/>
        <v>585825</v>
      </c>
      <c r="T51" s="75">
        <f t="shared" si="8"/>
        <v>143171</v>
      </c>
      <c r="U51" s="21">
        <f t="shared" si="8"/>
        <v>1035325</v>
      </c>
      <c r="V51" s="75">
        <f>SUBTOTAL(9,V41:V50)</f>
        <v>443670</v>
      </c>
      <c r="W51" s="21">
        <f t="shared" si="8"/>
        <v>1020602</v>
      </c>
      <c r="X51" s="75">
        <f t="shared" si="8"/>
        <v>393034</v>
      </c>
      <c r="Y51" s="21">
        <f t="shared" si="8"/>
        <v>1003188</v>
      </c>
      <c r="Z51" s="75">
        <f t="shared" si="8"/>
        <v>345731</v>
      </c>
      <c r="AA51" s="21">
        <f t="shared" si="8"/>
        <v>895145</v>
      </c>
      <c r="AB51" s="75">
        <f t="shared" si="8"/>
        <v>300074</v>
      </c>
      <c r="AC51" s="21">
        <f t="shared" ref="AC51:AD51" si="9">SUBTOTAL(9,AC41:AC50)</f>
        <v>487000</v>
      </c>
      <c r="AD51" s="75">
        <f t="shared" si="9"/>
        <v>263000</v>
      </c>
      <c r="AE51" s="75">
        <f t="shared" ref="AE51:AF51" si="10">SUBTOTAL(9,AE41:AE50)</f>
        <v>507000</v>
      </c>
      <c r="AF51" s="75">
        <f t="shared" si="10"/>
        <v>243000</v>
      </c>
      <c r="AG51" s="75">
        <f t="shared" ref="AG51:AH51" si="11">SUBTOTAL(9,AG41:AG50)</f>
        <v>527000</v>
      </c>
      <c r="AH51" s="62">
        <f t="shared" si="11"/>
        <v>223000</v>
      </c>
    </row>
    <row r="52" spans="1:52" x14ac:dyDescent="0.2">
      <c r="A52" s="559"/>
      <c r="B52" s="795"/>
      <c r="C52" s="686"/>
      <c r="D52" s="639"/>
      <c r="E52" s="549"/>
      <c r="F52" s="549"/>
      <c r="G52" s="48"/>
      <c r="H52" s="161"/>
      <c r="I52" s="48"/>
      <c r="J52" s="161"/>
      <c r="K52" s="48"/>
      <c r="L52" s="161"/>
      <c r="M52" s="48"/>
      <c r="N52" s="161"/>
      <c r="O52" s="48"/>
      <c r="P52" s="161"/>
      <c r="Q52" s="48"/>
      <c r="R52" s="161"/>
      <c r="S52" s="646"/>
      <c r="T52" s="647"/>
      <c r="U52" s="646"/>
      <c r="V52" s="647"/>
      <c r="W52" s="649"/>
      <c r="X52" s="650"/>
      <c r="Y52" s="649"/>
      <c r="Z52" s="650"/>
      <c r="AA52" s="649"/>
      <c r="AB52" s="650"/>
      <c r="AC52" s="649"/>
      <c r="AD52" s="650"/>
      <c r="AE52" s="650"/>
      <c r="AF52" s="650"/>
      <c r="AG52" s="650"/>
      <c r="AH52" s="2391"/>
    </row>
    <row r="53" spans="1:52" x14ac:dyDescent="0.2">
      <c r="A53" s="559" t="s">
        <v>5917</v>
      </c>
      <c r="B53" s="679" t="s">
        <v>1049</v>
      </c>
      <c r="C53" s="686">
        <v>3.6799999999999999E-2</v>
      </c>
      <c r="D53" s="936">
        <v>44975</v>
      </c>
      <c r="E53" s="548">
        <v>87583</v>
      </c>
      <c r="F53" s="548">
        <v>166000</v>
      </c>
      <c r="G53" s="48">
        <v>94073</v>
      </c>
      <c r="H53" s="161">
        <v>131400</v>
      </c>
      <c r="I53" s="48">
        <v>182385</v>
      </c>
      <c r="J53" s="161">
        <v>77854</v>
      </c>
      <c r="K53" s="48">
        <v>188576</v>
      </c>
      <c r="L53" s="161">
        <v>71664</v>
      </c>
      <c r="M53" s="48">
        <v>196359</v>
      </c>
      <c r="N53" s="161">
        <v>63880</v>
      </c>
      <c r="O53" s="48">
        <v>203592</v>
      </c>
      <c r="P53" s="161">
        <v>56647</v>
      </c>
      <c r="Q53" s="48">
        <v>211003</v>
      </c>
      <c r="R53" s="161">
        <v>49236</v>
      </c>
      <c r="S53" s="646">
        <v>218731</v>
      </c>
      <c r="T53" s="647">
        <v>41508</v>
      </c>
      <c r="U53" s="646">
        <v>226976</v>
      </c>
      <c r="V53" s="647">
        <v>33263</v>
      </c>
      <c r="W53" s="646">
        <v>235281</v>
      </c>
      <c r="X53" s="647">
        <v>24958</v>
      </c>
      <c r="Y53" s="646">
        <v>244656</v>
      </c>
      <c r="Z53" s="647">
        <v>15583</v>
      </c>
      <c r="AA53" s="646">
        <v>253742</v>
      </c>
      <c r="AB53" s="647">
        <v>6497</v>
      </c>
      <c r="AC53" s="659"/>
      <c r="AD53" s="679"/>
      <c r="AE53" s="679"/>
      <c r="AF53" s="679"/>
      <c r="AG53" s="679"/>
      <c r="AH53" s="660"/>
    </row>
    <row r="54" spans="1:52" x14ac:dyDescent="0.2">
      <c r="A54" s="2389"/>
      <c r="B54" s="795"/>
      <c r="C54" s="686"/>
      <c r="D54" s="553"/>
      <c r="E54" s="642"/>
      <c r="F54" s="553"/>
      <c r="G54" s="649"/>
      <c r="H54" s="650"/>
      <c r="I54" s="649"/>
      <c r="J54" s="650"/>
      <c r="K54" s="649"/>
      <c r="L54" s="650"/>
      <c r="M54" s="649"/>
      <c r="N54" s="650"/>
      <c r="O54" s="649"/>
      <c r="P54" s="650"/>
      <c r="Q54" s="649"/>
      <c r="R54" s="650"/>
      <c r="S54" s="646"/>
      <c r="T54" s="647"/>
      <c r="U54" s="646"/>
      <c r="V54" s="647"/>
      <c r="W54" s="649"/>
      <c r="X54" s="650"/>
      <c r="Y54" s="649"/>
      <c r="Z54" s="650"/>
      <c r="AA54" s="649"/>
      <c r="AB54" s="650"/>
      <c r="AC54" s="649"/>
      <c r="AD54" s="650"/>
      <c r="AE54" s="650"/>
      <c r="AF54" s="650"/>
      <c r="AG54" s="650"/>
      <c r="AH54" s="2391"/>
    </row>
    <row r="55" spans="1:52" x14ac:dyDescent="0.2">
      <c r="A55" s="2390" t="s">
        <v>1393</v>
      </c>
      <c r="B55" s="1071"/>
      <c r="C55" s="1078"/>
      <c r="D55" s="639"/>
      <c r="E55" s="548"/>
      <c r="F55" s="548"/>
      <c r="G55" s="646"/>
      <c r="H55" s="647"/>
      <c r="I55" s="649"/>
      <c r="J55" s="650"/>
      <c r="K55" s="649"/>
      <c r="L55" s="650"/>
      <c r="M55" s="649"/>
      <c r="N55" s="650"/>
      <c r="O55" s="649"/>
      <c r="P55" s="650"/>
      <c r="Q55" s="649"/>
      <c r="R55" s="650"/>
      <c r="S55" s="646"/>
      <c r="T55" s="647"/>
      <c r="U55" s="646"/>
      <c r="V55" s="647"/>
      <c r="W55" s="649"/>
      <c r="X55" s="650"/>
      <c r="Y55" s="649"/>
      <c r="Z55" s="650"/>
      <c r="AA55" s="649"/>
      <c r="AB55" s="650"/>
      <c r="AC55" s="649"/>
      <c r="AD55" s="650"/>
      <c r="AE55" s="650"/>
      <c r="AF55" s="650"/>
      <c r="AG55" s="650"/>
      <c r="AH55" s="2391"/>
    </row>
    <row r="56" spans="1:52" x14ac:dyDescent="0.2">
      <c r="A56" s="559" t="s">
        <v>51</v>
      </c>
      <c r="B56" s="795"/>
      <c r="C56" s="686">
        <v>7.3999999999999996E-2</v>
      </c>
      <c r="D56" s="639">
        <v>45107</v>
      </c>
      <c r="E56" s="548">
        <v>50790</v>
      </c>
      <c r="F56" s="548">
        <v>52033</v>
      </c>
      <c r="G56" s="646">
        <v>54607</v>
      </c>
      <c r="H56" s="647">
        <v>48216</v>
      </c>
      <c r="I56" s="646">
        <v>58464</v>
      </c>
      <c r="J56" s="647">
        <v>44359</v>
      </c>
      <c r="K56" s="646">
        <v>62989</v>
      </c>
      <c r="L56" s="647">
        <v>39834</v>
      </c>
      <c r="M56" s="646">
        <v>67737</v>
      </c>
      <c r="N56" s="647">
        <v>35087</v>
      </c>
      <c r="O56" s="646">
        <v>72664</v>
      </c>
      <c r="P56" s="647">
        <v>30160</v>
      </c>
      <c r="Q56" s="646">
        <v>78492</v>
      </c>
      <c r="R56" s="647">
        <v>24331</v>
      </c>
      <c r="S56" s="646">
        <v>84227</v>
      </c>
      <c r="T56" s="647">
        <v>18597</v>
      </c>
      <c r="U56" s="646">
        <v>90574</v>
      </c>
      <c r="V56" s="647">
        <v>12243</v>
      </c>
      <c r="W56" s="646">
        <v>97045</v>
      </c>
      <c r="X56" s="647">
        <v>5779</v>
      </c>
      <c r="Y56" s="646"/>
      <c r="Z56" s="647"/>
      <c r="AA56" s="646"/>
      <c r="AB56" s="647"/>
      <c r="AC56" s="646"/>
      <c r="AD56" s="647"/>
      <c r="AE56" s="647"/>
      <c r="AF56" s="647"/>
      <c r="AG56" s="647"/>
      <c r="AH56" s="648"/>
    </row>
    <row r="57" spans="1:52" x14ac:dyDescent="0.2">
      <c r="A57" s="559" t="s">
        <v>51</v>
      </c>
      <c r="B57" s="795"/>
      <c r="C57" s="686">
        <v>6.8599999999999994E-2</v>
      </c>
      <c r="D57" s="639">
        <v>45427</v>
      </c>
      <c r="E57" s="548">
        <v>166670</v>
      </c>
      <c r="F57" s="548">
        <v>122931</v>
      </c>
      <c r="G57" s="646">
        <v>131492</v>
      </c>
      <c r="H57" s="647">
        <v>83782</v>
      </c>
      <c r="I57" s="646">
        <v>137890</v>
      </c>
      <c r="J57" s="647">
        <v>77384</v>
      </c>
      <c r="K57" s="646">
        <v>145275</v>
      </c>
      <c r="L57" s="647">
        <v>69999</v>
      </c>
      <c r="M57" s="646">
        <v>152808</v>
      </c>
      <c r="N57" s="647">
        <v>62466</v>
      </c>
      <c r="O57" s="646">
        <v>160491</v>
      </c>
      <c r="P57" s="647">
        <v>54783</v>
      </c>
      <c r="Q57" s="647">
        <v>169300</v>
      </c>
      <c r="R57" s="647">
        <v>45975</v>
      </c>
      <c r="S57" s="647">
        <v>177963</v>
      </c>
      <c r="T57" s="647">
        <v>37311</v>
      </c>
      <c r="U57" s="647">
        <v>187228</v>
      </c>
      <c r="V57" s="647">
        <v>28047</v>
      </c>
      <c r="W57" s="647">
        <v>196975</v>
      </c>
      <c r="X57" s="647">
        <v>18299</v>
      </c>
      <c r="Y57" s="647">
        <v>207229</v>
      </c>
      <c r="Z57" s="647">
        <v>8046</v>
      </c>
      <c r="AA57" s="646"/>
      <c r="AB57" s="647"/>
      <c r="AC57" s="646"/>
      <c r="AD57" s="647"/>
      <c r="AE57" s="647"/>
      <c r="AF57" s="647"/>
      <c r="AG57" s="647"/>
      <c r="AH57" s="648"/>
      <c r="AI57" s="351"/>
      <c r="AJ57" s="351"/>
      <c r="AK57" s="351"/>
      <c r="AL57" s="351"/>
      <c r="AM57" s="351"/>
      <c r="AN57" s="351"/>
      <c r="AO57" s="351"/>
      <c r="AP57" s="351"/>
      <c r="AQ57" s="351"/>
    </row>
    <row r="58" spans="1:52" x14ac:dyDescent="0.2">
      <c r="A58" s="559" t="s">
        <v>51</v>
      </c>
      <c r="B58" s="795"/>
      <c r="C58" s="686">
        <v>2.9000000000000001E-2</v>
      </c>
      <c r="D58" s="639">
        <v>44368</v>
      </c>
      <c r="E58" s="548">
        <v>40864</v>
      </c>
      <c r="F58" s="548">
        <v>29161</v>
      </c>
      <c r="G58" s="646">
        <v>44006</v>
      </c>
      <c r="H58" s="647">
        <v>26018</v>
      </c>
      <c r="I58" s="646">
        <v>47000</v>
      </c>
      <c r="J58" s="647">
        <v>23000</v>
      </c>
      <c r="K58" s="646">
        <v>56600</v>
      </c>
      <c r="L58" s="647">
        <v>8300</v>
      </c>
      <c r="M58" s="646">
        <v>58300</v>
      </c>
      <c r="N58" s="647">
        <v>6600</v>
      </c>
      <c r="O58" s="646">
        <v>60000</v>
      </c>
      <c r="P58" s="647">
        <v>4900</v>
      </c>
      <c r="Q58" s="647">
        <v>61700</v>
      </c>
      <c r="R58" s="647">
        <v>3200</v>
      </c>
      <c r="S58" s="647">
        <v>63400</v>
      </c>
      <c r="T58" s="647">
        <v>1400</v>
      </c>
      <c r="U58" s="647">
        <v>0</v>
      </c>
      <c r="V58" s="647">
        <v>0</v>
      </c>
      <c r="W58" s="647"/>
      <c r="X58" s="647"/>
      <c r="Y58" s="647"/>
      <c r="Z58" s="647"/>
      <c r="AA58" s="646"/>
      <c r="AB58" s="647"/>
      <c r="AC58" s="646"/>
      <c r="AD58" s="647"/>
      <c r="AE58" s="647"/>
      <c r="AF58" s="647"/>
      <c r="AG58" s="647"/>
      <c r="AH58" s="648"/>
      <c r="AI58" s="351"/>
      <c r="AJ58" s="351"/>
      <c r="AK58" s="351"/>
      <c r="AL58" s="351"/>
      <c r="AM58" s="351"/>
      <c r="AN58" s="351"/>
      <c r="AO58" s="351"/>
      <c r="AP58" s="351"/>
      <c r="AQ58" s="351"/>
    </row>
    <row r="59" spans="1:52" x14ac:dyDescent="0.2">
      <c r="A59" s="559" t="s">
        <v>2881</v>
      </c>
      <c r="B59" s="795"/>
      <c r="C59" s="686">
        <v>5.3900000000000003E-2</v>
      </c>
      <c r="D59" s="639">
        <v>44916</v>
      </c>
      <c r="E59" s="548">
        <v>580420</v>
      </c>
      <c r="F59" s="548">
        <f>368813-18813</f>
        <v>350000</v>
      </c>
      <c r="G59" s="646">
        <v>615383</v>
      </c>
      <c r="H59" s="647">
        <v>333850</v>
      </c>
      <c r="I59" s="646">
        <v>648346</v>
      </c>
      <c r="J59" s="647">
        <v>300887</v>
      </c>
      <c r="K59" s="646">
        <v>683933</v>
      </c>
      <c r="L59" s="647">
        <v>265300</v>
      </c>
      <c r="M59" s="646">
        <v>721549</v>
      </c>
      <c r="N59" s="647">
        <v>227684</v>
      </c>
      <c r="O59" s="646">
        <v>761234</v>
      </c>
      <c r="P59" s="647">
        <v>188000</v>
      </c>
      <c r="Q59" s="647">
        <v>802141</v>
      </c>
      <c r="R59" s="647">
        <v>147092</v>
      </c>
      <c r="S59" s="647">
        <v>847522</v>
      </c>
      <c r="T59" s="647">
        <v>101711</v>
      </c>
      <c r="U59" s="647">
        <v>893831</v>
      </c>
      <c r="V59" s="647">
        <v>55402</v>
      </c>
      <c r="W59" s="647">
        <v>465310</v>
      </c>
      <c r="X59" s="647">
        <v>9466</v>
      </c>
      <c r="Y59" s="647"/>
      <c r="Z59" s="647"/>
      <c r="AA59" s="646"/>
      <c r="AB59" s="647"/>
      <c r="AC59" s="646"/>
      <c r="AD59" s="647"/>
      <c r="AE59" s="647"/>
      <c r="AF59" s="647"/>
      <c r="AG59" s="647"/>
      <c r="AH59" s="648"/>
      <c r="AI59" s="351"/>
      <c r="AJ59" s="351"/>
      <c r="AK59" s="351"/>
      <c r="AL59" s="351"/>
      <c r="AM59" s="351"/>
      <c r="AN59" s="351"/>
      <c r="AO59" s="351"/>
      <c r="AP59" s="351"/>
      <c r="AQ59" s="351"/>
    </row>
    <row r="60" spans="1:52" x14ac:dyDescent="0.2">
      <c r="A60" s="559" t="s">
        <v>3638</v>
      </c>
      <c r="B60" s="795"/>
      <c r="C60" s="686">
        <v>3.8899999999999997E-2</v>
      </c>
      <c r="D60" s="936"/>
      <c r="E60" s="548"/>
      <c r="F60" s="548"/>
      <c r="G60" s="646"/>
      <c r="H60" s="647">
        <f>E104</f>
        <v>0</v>
      </c>
      <c r="I60" s="646">
        <f>F103</f>
        <v>78900</v>
      </c>
      <c r="J60" s="647">
        <f>F104</f>
        <v>27400</v>
      </c>
      <c r="K60" s="646">
        <f>G103</f>
        <v>82000</v>
      </c>
      <c r="L60" s="647">
        <f>G104</f>
        <v>24300</v>
      </c>
      <c r="M60" s="646">
        <f>H103</f>
        <v>85300</v>
      </c>
      <c r="N60" s="647">
        <f>H104</f>
        <v>21100</v>
      </c>
      <c r="O60" s="646">
        <f>I103</f>
        <v>88600</v>
      </c>
      <c r="P60" s="647">
        <f>I104</f>
        <v>17800</v>
      </c>
      <c r="Q60" s="647">
        <f>J103</f>
        <v>92100</v>
      </c>
      <c r="R60" s="647">
        <f>J104</f>
        <v>14300</v>
      </c>
      <c r="S60" s="647">
        <f>K103</f>
        <v>95700</v>
      </c>
      <c r="T60" s="647">
        <f>K104</f>
        <v>10700</v>
      </c>
      <c r="U60" s="647">
        <f>L103</f>
        <v>99400</v>
      </c>
      <c r="V60" s="647">
        <f>L104</f>
        <v>6900</v>
      </c>
      <c r="W60" s="647">
        <f>M103</f>
        <v>103000</v>
      </c>
      <c r="X60" s="647">
        <f>M104</f>
        <v>3000</v>
      </c>
      <c r="Y60" s="647">
        <f>N103</f>
        <v>0</v>
      </c>
      <c r="Z60" s="647">
        <f>N104</f>
        <v>0</v>
      </c>
      <c r="AA60" s="646">
        <f>O103</f>
        <v>0</v>
      </c>
      <c r="AB60" s="647">
        <f>O104</f>
        <v>0</v>
      </c>
      <c r="AC60" s="646">
        <f>T103</f>
        <v>0</v>
      </c>
      <c r="AD60" s="647">
        <f>T104</f>
        <v>0</v>
      </c>
      <c r="AE60" s="647">
        <f>V103</f>
        <v>0</v>
      </c>
      <c r="AF60" s="647">
        <f>V104</f>
        <v>0</v>
      </c>
      <c r="AG60" s="647">
        <f>X103</f>
        <v>0</v>
      </c>
      <c r="AH60" s="648">
        <f>X104</f>
        <v>0</v>
      </c>
      <c r="AI60" s="351"/>
      <c r="AJ60" s="351"/>
      <c r="AK60" s="351"/>
      <c r="AL60" s="351"/>
      <c r="AM60" s="351"/>
      <c r="AN60" s="351"/>
      <c r="AO60" s="351"/>
      <c r="AP60" s="351"/>
      <c r="AQ60" s="351"/>
    </row>
    <row r="61" spans="1:52" x14ac:dyDescent="0.2">
      <c r="A61" s="559" t="s">
        <v>5919</v>
      </c>
      <c r="B61" s="795"/>
      <c r="C61" s="686">
        <f>C117</f>
        <v>3.5099999999999999E-2</v>
      </c>
      <c r="D61" s="936">
        <v>46194</v>
      </c>
      <c r="E61" s="1328"/>
      <c r="F61" s="548"/>
      <c r="G61" s="646"/>
      <c r="H61" s="647">
        <f>-491866+502300</f>
        <v>10434</v>
      </c>
      <c r="I61" s="646">
        <v>0</v>
      </c>
      <c r="J61" s="647">
        <v>0</v>
      </c>
      <c r="K61" s="646">
        <v>42500</v>
      </c>
      <c r="L61" s="647">
        <v>17100</v>
      </c>
      <c r="M61" s="646">
        <v>44100</v>
      </c>
      <c r="N61" s="647">
        <v>15600</v>
      </c>
      <c r="O61" s="646">
        <v>45600</v>
      </c>
      <c r="P61" s="647">
        <v>14100</v>
      </c>
      <c r="Q61" s="646">
        <v>47200</v>
      </c>
      <c r="R61" s="647">
        <v>12500</v>
      </c>
      <c r="S61" s="646">
        <v>49200</v>
      </c>
      <c r="T61" s="647">
        <v>10800</v>
      </c>
      <c r="U61" s="646">
        <v>50600</v>
      </c>
      <c r="V61" s="647">
        <v>9100</v>
      </c>
      <c r="W61" s="646">
        <v>52400</v>
      </c>
      <c r="X61" s="647">
        <v>7300</v>
      </c>
      <c r="Y61" s="646">
        <v>54200</v>
      </c>
      <c r="Z61" s="647">
        <v>5500</v>
      </c>
      <c r="AA61" s="646">
        <v>56100</v>
      </c>
      <c r="AB61" s="647">
        <v>3500</v>
      </c>
      <c r="AC61" s="646">
        <v>58100</v>
      </c>
      <c r="AD61" s="647">
        <v>1500</v>
      </c>
      <c r="AE61" s="647">
        <v>0</v>
      </c>
      <c r="AF61" s="647">
        <v>0</v>
      </c>
      <c r="AG61" s="647">
        <v>0</v>
      </c>
      <c r="AH61" s="648">
        <v>0</v>
      </c>
      <c r="AI61" s="351"/>
      <c r="AJ61" s="351"/>
      <c r="AK61" s="351"/>
      <c r="AL61" s="351"/>
      <c r="AM61" s="351"/>
      <c r="AN61" s="351"/>
      <c r="AO61" s="351"/>
      <c r="AP61" s="351"/>
      <c r="AQ61" s="351"/>
      <c r="AR61" s="351"/>
      <c r="AS61" s="351"/>
      <c r="AT61" s="351"/>
      <c r="AU61" s="351"/>
      <c r="AV61" s="351"/>
      <c r="AW61" s="351"/>
      <c r="AX61" s="351"/>
      <c r="AY61" s="351"/>
      <c r="AZ61" s="351"/>
    </row>
    <row r="62" spans="1:52" x14ac:dyDescent="0.2">
      <c r="A62" s="559" t="s">
        <v>6012</v>
      </c>
      <c r="B62" s="795"/>
      <c r="C62" s="686">
        <v>3.8899999999999997E-2</v>
      </c>
      <c r="D62" s="936">
        <v>48385</v>
      </c>
      <c r="E62" s="551"/>
      <c r="F62" s="552"/>
      <c r="G62" s="702"/>
      <c r="H62" s="703"/>
      <c r="I62" s="702"/>
      <c r="J62" s="703"/>
      <c r="K62" s="702"/>
      <c r="L62" s="703"/>
      <c r="M62" s="702">
        <f>H108</f>
        <v>47000</v>
      </c>
      <c r="N62" s="703">
        <f>H109</f>
        <v>60000</v>
      </c>
      <c r="O62" s="702">
        <f>I108</f>
        <v>113000</v>
      </c>
      <c r="P62" s="703">
        <f>I109</f>
        <v>118000</v>
      </c>
      <c r="Q62" s="702">
        <f>J108</f>
        <v>119000</v>
      </c>
      <c r="R62" s="703">
        <f>J109</f>
        <v>112000</v>
      </c>
      <c r="S62" s="702">
        <f>K108</f>
        <v>125000</v>
      </c>
      <c r="T62" s="703">
        <f>K109</f>
        <v>106000</v>
      </c>
      <c r="U62" s="702">
        <f>L108</f>
        <v>131000</v>
      </c>
      <c r="V62" s="703">
        <f>L109</f>
        <v>100000</v>
      </c>
      <c r="W62" s="702">
        <f>M108</f>
        <v>138000</v>
      </c>
      <c r="X62" s="703">
        <f>M109</f>
        <v>93000</v>
      </c>
      <c r="Y62" s="702">
        <f>N108</f>
        <v>145000</v>
      </c>
      <c r="Z62" s="703">
        <f>N109</f>
        <v>86000</v>
      </c>
      <c r="AA62" s="702">
        <f>O108</f>
        <v>152000</v>
      </c>
      <c r="AB62" s="703">
        <f>O109</f>
        <v>79000</v>
      </c>
      <c r="AC62" s="702">
        <f>P108</f>
        <v>159000</v>
      </c>
      <c r="AD62" s="703">
        <f>P109</f>
        <v>72000</v>
      </c>
      <c r="AE62" s="703">
        <f>Q108</f>
        <v>167000</v>
      </c>
      <c r="AF62" s="703">
        <f>Q109</f>
        <v>64000</v>
      </c>
      <c r="AG62" s="703">
        <f>R108</f>
        <v>176000</v>
      </c>
      <c r="AH62" s="2397">
        <f>R109</f>
        <v>55000</v>
      </c>
      <c r="AI62" s="351"/>
      <c r="AJ62" s="351"/>
      <c r="AK62" s="351"/>
      <c r="AL62" s="351"/>
      <c r="AM62" s="351"/>
      <c r="AN62" s="351"/>
      <c r="AO62" s="351"/>
      <c r="AP62" s="351"/>
      <c r="AQ62" s="351"/>
      <c r="AR62" s="351"/>
      <c r="AS62" s="351"/>
      <c r="AT62" s="351"/>
      <c r="AU62" s="351"/>
      <c r="AV62" s="351"/>
      <c r="AW62" s="351"/>
      <c r="AX62" s="351"/>
      <c r="AY62" s="351"/>
      <c r="AZ62" s="351"/>
    </row>
    <row r="63" spans="1:52" s="645" customFormat="1" x14ac:dyDescent="0.2">
      <c r="A63" s="564"/>
      <c r="B63" s="679" t="s">
        <v>1050</v>
      </c>
      <c r="C63" s="686"/>
      <c r="D63" s="643"/>
      <c r="E63" s="644">
        <f>SUBTOTAL(9,E55:E62)</f>
        <v>838744</v>
      </c>
      <c r="F63" s="644">
        <f t="shared" ref="F63:AD63" si="12">SUBTOTAL(9,F55:F62)</f>
        <v>554125</v>
      </c>
      <c r="G63" s="644">
        <f t="shared" si="12"/>
        <v>845488</v>
      </c>
      <c r="H63" s="644">
        <f t="shared" si="12"/>
        <v>502300</v>
      </c>
      <c r="I63" s="644">
        <f>SUBTOTAL(9,I55:I62)</f>
        <v>970600</v>
      </c>
      <c r="J63" s="644">
        <f t="shared" si="12"/>
        <v>473030</v>
      </c>
      <c r="K63" s="644">
        <f t="shared" si="12"/>
        <v>1073297</v>
      </c>
      <c r="L63" s="644">
        <f t="shared" si="12"/>
        <v>424833</v>
      </c>
      <c r="M63" s="644">
        <f>SUBTOTAL(9,M55:M62)</f>
        <v>1176794</v>
      </c>
      <c r="N63" s="644">
        <f t="shared" si="12"/>
        <v>428537</v>
      </c>
      <c r="O63" s="644">
        <f t="shared" si="12"/>
        <v>1301589</v>
      </c>
      <c r="P63" s="644">
        <f t="shared" si="12"/>
        <v>427743</v>
      </c>
      <c r="Q63" s="644">
        <f t="shared" si="12"/>
        <v>1369933</v>
      </c>
      <c r="R63" s="644">
        <f t="shared" si="12"/>
        <v>359398</v>
      </c>
      <c r="S63" s="644">
        <f t="shared" si="12"/>
        <v>1443012</v>
      </c>
      <c r="T63" s="644">
        <f t="shared" si="12"/>
        <v>286519</v>
      </c>
      <c r="U63" s="644">
        <f t="shared" si="12"/>
        <v>1452633</v>
      </c>
      <c r="V63" s="644">
        <f t="shared" si="12"/>
        <v>211692</v>
      </c>
      <c r="W63" s="644">
        <f t="shared" si="12"/>
        <v>1052730</v>
      </c>
      <c r="X63" s="644">
        <f t="shared" si="12"/>
        <v>136844</v>
      </c>
      <c r="Y63" s="644">
        <f t="shared" si="12"/>
        <v>406429</v>
      </c>
      <c r="Z63" s="644">
        <f t="shared" si="12"/>
        <v>99546</v>
      </c>
      <c r="AA63" s="644">
        <f t="shared" si="12"/>
        <v>208100</v>
      </c>
      <c r="AB63" s="644">
        <f t="shared" si="12"/>
        <v>82500</v>
      </c>
      <c r="AC63" s="1561">
        <f t="shared" si="12"/>
        <v>217100</v>
      </c>
      <c r="AD63" s="644">
        <f t="shared" si="12"/>
        <v>73500</v>
      </c>
      <c r="AE63" s="644">
        <f t="shared" ref="AE63:AF63" si="13">SUBTOTAL(9,AE55:AE62)</f>
        <v>167000</v>
      </c>
      <c r="AF63" s="644">
        <f t="shared" si="13"/>
        <v>64000</v>
      </c>
      <c r="AG63" s="644">
        <f t="shared" ref="AG63:AH63" si="14">SUBTOTAL(9,AG55:AG62)</f>
        <v>176000</v>
      </c>
      <c r="AH63" s="2398">
        <f t="shared" si="14"/>
        <v>55000</v>
      </c>
    </row>
    <row r="64" spans="1:52" x14ac:dyDescent="0.2">
      <c r="A64" s="559"/>
      <c r="B64" s="795"/>
      <c r="C64" s="686"/>
      <c r="D64" s="639"/>
      <c r="E64" s="548"/>
      <c r="F64" s="548"/>
      <c r="G64" s="646"/>
      <c r="H64" s="647"/>
      <c r="I64" s="649"/>
      <c r="J64" s="650"/>
      <c r="K64" s="649"/>
      <c r="L64" s="650"/>
      <c r="M64" s="649"/>
      <c r="N64" s="650"/>
      <c r="O64" s="649"/>
      <c r="P64" s="650"/>
      <c r="Q64" s="649"/>
      <c r="R64" s="650"/>
      <c r="S64" s="646"/>
      <c r="T64" s="647"/>
      <c r="U64" s="646"/>
      <c r="V64" s="647"/>
      <c r="W64" s="649"/>
      <c r="X64" s="650"/>
      <c r="Y64" s="649"/>
      <c r="Z64" s="650"/>
      <c r="AA64" s="649"/>
      <c r="AB64" s="650"/>
      <c r="AC64" s="649"/>
      <c r="AD64" s="650"/>
      <c r="AE64" s="650"/>
      <c r="AF64" s="650"/>
      <c r="AG64" s="650"/>
      <c r="AH64" s="2391"/>
    </row>
    <row r="65" spans="1:35" x14ac:dyDescent="0.2">
      <c r="A65" s="2389"/>
      <c r="B65" s="795"/>
      <c r="C65" s="686"/>
      <c r="D65" s="553"/>
      <c r="E65" s="553"/>
      <c r="F65" s="553"/>
      <c r="G65" s="649"/>
      <c r="H65" s="650"/>
      <c r="I65" s="649"/>
      <c r="J65" s="650"/>
      <c r="K65" s="649"/>
      <c r="L65" s="650"/>
      <c r="M65" s="649"/>
      <c r="N65" s="650"/>
      <c r="O65" s="649"/>
      <c r="P65" s="650"/>
      <c r="Q65" s="649"/>
      <c r="R65" s="650"/>
      <c r="S65" s="646"/>
      <c r="T65" s="647"/>
      <c r="U65" s="646"/>
      <c r="V65" s="647"/>
      <c r="W65" s="649"/>
      <c r="X65" s="650"/>
      <c r="Y65" s="649"/>
      <c r="Z65" s="650"/>
      <c r="AA65" s="649"/>
      <c r="AB65" s="650"/>
      <c r="AC65" s="649"/>
      <c r="AD65" s="650"/>
      <c r="AE65" s="650"/>
      <c r="AF65" s="650"/>
      <c r="AG65" s="650"/>
      <c r="AH65" s="2391"/>
    </row>
    <row r="66" spans="1:35" s="645" customFormat="1" ht="13.5" thickBot="1" x14ac:dyDescent="0.25">
      <c r="A66" s="2390" t="s">
        <v>54</v>
      </c>
      <c r="B66" s="1069"/>
      <c r="C66" s="686"/>
      <c r="D66" s="716"/>
      <c r="E66" s="717">
        <f t="shared" ref="E66:AF66" si="15">ROUND(SUBTOTAL(9,(E5:E65)),-2)</f>
        <v>3216200</v>
      </c>
      <c r="F66" s="717">
        <f t="shared" si="15"/>
        <v>1510300</v>
      </c>
      <c r="G66" s="504">
        <f t="shared" si="15"/>
        <v>3395400</v>
      </c>
      <c r="H66" s="718">
        <f t="shared" si="15"/>
        <v>1333300</v>
      </c>
      <c r="I66" s="504">
        <f t="shared" si="15"/>
        <v>3788900</v>
      </c>
      <c r="J66" s="718">
        <f t="shared" si="15"/>
        <v>1143600</v>
      </c>
      <c r="K66" s="504">
        <f t="shared" si="15"/>
        <v>3696200</v>
      </c>
      <c r="L66" s="718">
        <f t="shared" si="15"/>
        <v>953400</v>
      </c>
      <c r="M66" s="504">
        <f t="shared" si="15"/>
        <v>3285700</v>
      </c>
      <c r="N66" s="718">
        <f t="shared" si="15"/>
        <v>1251400</v>
      </c>
      <c r="O66" s="504">
        <f t="shared" si="15"/>
        <v>3324800</v>
      </c>
      <c r="P66" s="718">
        <f t="shared" si="15"/>
        <v>1225100</v>
      </c>
      <c r="Q66" s="504">
        <f t="shared" si="15"/>
        <v>3402100</v>
      </c>
      <c r="R66" s="718">
        <f t="shared" si="15"/>
        <v>1177700</v>
      </c>
      <c r="S66" s="504">
        <f t="shared" si="15"/>
        <v>3130900</v>
      </c>
      <c r="T66" s="718">
        <f t="shared" si="15"/>
        <v>1030200</v>
      </c>
      <c r="U66" s="504">
        <f t="shared" si="15"/>
        <v>3636100</v>
      </c>
      <c r="V66" s="718">
        <f t="shared" si="15"/>
        <v>1209800</v>
      </c>
      <c r="W66" s="504">
        <f t="shared" si="15"/>
        <v>3183000</v>
      </c>
      <c r="X66" s="718">
        <f t="shared" si="15"/>
        <v>1038500</v>
      </c>
      <c r="Y66" s="504">
        <f t="shared" si="15"/>
        <v>2456800</v>
      </c>
      <c r="Z66" s="718">
        <f t="shared" si="15"/>
        <v>911000</v>
      </c>
      <c r="AA66" s="504">
        <f t="shared" si="15"/>
        <v>2190000</v>
      </c>
      <c r="AB66" s="718">
        <f t="shared" si="15"/>
        <v>808800</v>
      </c>
      <c r="AC66" s="504">
        <f t="shared" si="15"/>
        <v>1569400</v>
      </c>
      <c r="AD66" s="718">
        <f t="shared" si="15"/>
        <v>724000</v>
      </c>
      <c r="AE66" s="718">
        <f t="shared" si="15"/>
        <v>1573400</v>
      </c>
      <c r="AF66" s="718">
        <f t="shared" si="15"/>
        <v>660400</v>
      </c>
      <c r="AG66" s="718">
        <f t="shared" ref="AG66:AH66" si="16">ROUND(SUBTOTAL(9,(AG5:AG65)),-2)</f>
        <v>1637300</v>
      </c>
      <c r="AH66" s="2399">
        <f t="shared" si="16"/>
        <v>596500</v>
      </c>
    </row>
    <row r="67" spans="1:35" ht="13.5" thickTop="1" x14ac:dyDescent="0.2">
      <c r="A67" s="2400"/>
      <c r="B67" s="795"/>
      <c r="C67" s="686"/>
      <c r="D67" s="553"/>
      <c r="E67" s="642"/>
      <c r="F67" s="642"/>
      <c r="G67" s="649"/>
      <c r="H67" s="650"/>
      <c r="I67" s="649"/>
      <c r="J67" s="650"/>
      <c r="K67" s="649"/>
      <c r="L67" s="650"/>
      <c r="M67" s="649"/>
      <c r="N67" s="650"/>
      <c r="O67" s="649"/>
      <c r="P67" s="650"/>
      <c r="Q67" s="649"/>
      <c r="R67" s="650"/>
      <c r="S67" s="649"/>
      <c r="T67" s="650"/>
      <c r="U67" s="646"/>
      <c r="V67" s="647"/>
      <c r="W67" s="646"/>
      <c r="X67" s="647"/>
      <c r="Y67" s="646"/>
      <c r="Z67" s="647"/>
      <c r="AA67" s="646"/>
      <c r="AB67" s="647"/>
      <c r="AC67" s="646"/>
      <c r="AD67" s="647"/>
      <c r="AE67" s="647"/>
      <c r="AF67" s="647"/>
      <c r="AG67" s="647"/>
      <c r="AH67" s="648"/>
    </row>
    <row r="68" spans="1:35" x14ac:dyDescent="0.2">
      <c r="A68" s="2400"/>
      <c r="B68" s="795"/>
      <c r="C68" s="686"/>
      <c r="D68" s="716"/>
      <c r="E68" s="440"/>
      <c r="F68" s="440"/>
      <c r="G68" s="126"/>
      <c r="H68" s="1182"/>
      <c r="I68" s="126"/>
      <c r="J68" s="1182"/>
      <c r="K68" s="126"/>
      <c r="L68" s="650"/>
      <c r="M68" s="126"/>
      <c r="N68" s="650"/>
      <c r="O68" s="126"/>
      <c r="P68" s="650"/>
      <c r="Q68" s="126"/>
      <c r="R68" s="650"/>
      <c r="S68" s="126"/>
      <c r="T68" s="650"/>
      <c r="U68" s="646"/>
      <c r="V68" s="647"/>
      <c r="W68" s="646"/>
      <c r="X68" s="647"/>
      <c r="Y68" s="649"/>
      <c r="Z68" s="650"/>
      <c r="AA68" s="646"/>
      <c r="AB68" s="647"/>
      <c r="AC68" s="646"/>
      <c r="AD68" s="647"/>
      <c r="AE68" s="647"/>
      <c r="AF68" s="647"/>
      <c r="AG68" s="647"/>
      <c r="AH68" s="648"/>
    </row>
    <row r="69" spans="1:35" s="645" customFormat="1" ht="13.5" thickBot="1" x14ac:dyDescent="0.25">
      <c r="A69" s="2390" t="s">
        <v>55</v>
      </c>
      <c r="B69" s="795"/>
      <c r="C69" s="686"/>
      <c r="D69" s="716"/>
      <c r="E69" s="717">
        <f>E66</f>
        <v>3216200</v>
      </c>
      <c r="F69" s="717">
        <f t="shared" ref="F69:AB69" si="17">F66</f>
        <v>1510300</v>
      </c>
      <c r="G69" s="504">
        <f t="shared" si="17"/>
        <v>3395400</v>
      </c>
      <c r="H69" s="718">
        <f t="shared" si="17"/>
        <v>1333300</v>
      </c>
      <c r="I69" s="504">
        <f>I66</f>
        <v>3788900</v>
      </c>
      <c r="J69" s="718">
        <f t="shared" si="17"/>
        <v>1143600</v>
      </c>
      <c r="K69" s="504">
        <f t="shared" si="17"/>
        <v>3696200</v>
      </c>
      <c r="L69" s="718">
        <f t="shared" si="17"/>
        <v>953400</v>
      </c>
      <c r="M69" s="504">
        <f t="shared" si="17"/>
        <v>3285700</v>
      </c>
      <c r="N69" s="718">
        <f t="shared" si="17"/>
        <v>1251400</v>
      </c>
      <c r="O69" s="504">
        <f t="shared" si="17"/>
        <v>3324800</v>
      </c>
      <c r="P69" s="718">
        <f t="shared" si="17"/>
        <v>1225100</v>
      </c>
      <c r="Q69" s="504">
        <f t="shared" si="17"/>
        <v>3402100</v>
      </c>
      <c r="R69" s="718">
        <f t="shared" si="17"/>
        <v>1177700</v>
      </c>
      <c r="S69" s="504">
        <f t="shared" si="17"/>
        <v>3130900</v>
      </c>
      <c r="T69" s="718">
        <f t="shared" si="17"/>
        <v>1030200</v>
      </c>
      <c r="U69" s="504">
        <f t="shared" si="17"/>
        <v>3636100</v>
      </c>
      <c r="V69" s="718">
        <f t="shared" si="17"/>
        <v>1209800</v>
      </c>
      <c r="W69" s="504">
        <f t="shared" si="17"/>
        <v>3183000</v>
      </c>
      <c r="X69" s="718">
        <f t="shared" si="17"/>
        <v>1038500</v>
      </c>
      <c r="Y69" s="504">
        <f t="shared" si="17"/>
        <v>2456800</v>
      </c>
      <c r="Z69" s="718">
        <f t="shared" si="17"/>
        <v>911000</v>
      </c>
      <c r="AA69" s="504">
        <f t="shared" si="17"/>
        <v>2190000</v>
      </c>
      <c r="AB69" s="718">
        <f t="shared" si="17"/>
        <v>808800</v>
      </c>
      <c r="AC69" s="504">
        <f t="shared" ref="AC69:AD69" si="18">AC66</f>
        <v>1569400</v>
      </c>
      <c r="AD69" s="718">
        <f t="shared" si="18"/>
        <v>724000</v>
      </c>
      <c r="AE69" s="718">
        <f t="shared" ref="AE69:AF69" si="19">AE66</f>
        <v>1573400</v>
      </c>
      <c r="AF69" s="718">
        <f t="shared" si="19"/>
        <v>660400</v>
      </c>
      <c r="AG69" s="718">
        <f t="shared" ref="AG69:AH69" si="20">AG66</f>
        <v>1637300</v>
      </c>
      <c r="AH69" s="2399">
        <f t="shared" si="20"/>
        <v>596500</v>
      </c>
    </row>
    <row r="70" spans="1:35" ht="13.5" thickTop="1" x14ac:dyDescent="0.2">
      <c r="A70" s="2389"/>
      <c r="B70" s="795"/>
      <c r="C70" s="910"/>
      <c r="D70" s="553"/>
      <c r="E70" s="553"/>
      <c r="F70" s="642"/>
      <c r="G70" s="649"/>
      <c r="H70" s="650"/>
      <c r="I70" s="649"/>
      <c r="J70" s="650"/>
      <c r="K70" s="649"/>
      <c r="L70" s="650"/>
      <c r="M70" s="649"/>
      <c r="N70" s="650"/>
      <c r="O70" s="649"/>
      <c r="P70" s="650"/>
      <c r="Q70" s="649"/>
      <c r="R70" s="650"/>
      <c r="S70" s="649"/>
      <c r="T70" s="650"/>
      <c r="U70" s="646"/>
      <c r="V70" s="647"/>
      <c r="W70" s="646"/>
      <c r="X70" s="647"/>
      <c r="Y70" s="649"/>
      <c r="Z70" s="650"/>
      <c r="AA70" s="646"/>
      <c r="AB70" s="647"/>
      <c r="AC70" s="646"/>
      <c r="AD70" s="647"/>
      <c r="AE70" s="647"/>
      <c r="AF70" s="647"/>
      <c r="AG70" s="647"/>
      <c r="AH70" s="648"/>
    </row>
    <row r="71" spans="1:35" x14ac:dyDescent="0.2">
      <c r="A71" s="2390" t="s">
        <v>2718</v>
      </c>
      <c r="B71" s="795"/>
      <c r="C71" s="910"/>
      <c r="D71" s="553"/>
      <c r="E71" s="553"/>
      <c r="F71" s="553"/>
      <c r="G71" s="649"/>
      <c r="H71" s="650"/>
      <c r="I71" s="649"/>
      <c r="J71" s="650"/>
      <c r="K71" s="649"/>
      <c r="L71" s="650"/>
      <c r="M71" s="649"/>
      <c r="N71" s="650"/>
      <c r="O71" s="649"/>
      <c r="P71" s="650"/>
      <c r="Q71" s="649"/>
      <c r="R71" s="650"/>
      <c r="S71" s="649"/>
      <c r="T71" s="650"/>
      <c r="U71" s="646"/>
      <c r="V71" s="647"/>
      <c r="W71" s="646"/>
      <c r="X71" s="647"/>
      <c r="Y71" s="649"/>
      <c r="Z71" s="650"/>
      <c r="AA71" s="646"/>
      <c r="AB71" s="647"/>
      <c r="AC71" s="646"/>
      <c r="AD71" s="647"/>
      <c r="AE71" s="647"/>
      <c r="AF71" s="647"/>
      <c r="AG71" s="647"/>
      <c r="AH71" s="648"/>
    </row>
    <row r="72" spans="1:35" x14ac:dyDescent="0.2">
      <c r="A72" s="2389" t="s">
        <v>52</v>
      </c>
      <c r="B72" s="795"/>
      <c r="C72" s="910"/>
      <c r="D72" s="553"/>
      <c r="E72" s="550">
        <v>28231200</v>
      </c>
      <c r="F72" s="550"/>
      <c r="G72" s="652">
        <f>E76</f>
        <v>26215000</v>
      </c>
      <c r="H72" s="653"/>
      <c r="I72" s="652">
        <f>G76</f>
        <v>23544600</v>
      </c>
      <c r="J72" s="653"/>
      <c r="K72" s="652">
        <f>I76</f>
        <v>20255700</v>
      </c>
      <c r="L72" s="653"/>
      <c r="M72" s="652">
        <f>K76</f>
        <v>23271200</v>
      </c>
      <c r="N72" s="653"/>
      <c r="O72" s="652">
        <f>M76</f>
        <v>28833300</v>
      </c>
      <c r="P72" s="653"/>
      <c r="Q72" s="652">
        <f>O76</f>
        <v>28008500</v>
      </c>
      <c r="R72" s="653"/>
      <c r="S72" s="652">
        <f>Q76</f>
        <v>24606400</v>
      </c>
      <c r="T72" s="653"/>
      <c r="U72" s="652">
        <f>S76</f>
        <v>29815500</v>
      </c>
      <c r="V72" s="653"/>
      <c r="W72" s="652">
        <f>U76</f>
        <v>26179400</v>
      </c>
      <c r="X72" s="653"/>
      <c r="Y72" s="652">
        <f>W76</f>
        <v>22996400</v>
      </c>
      <c r="Z72" s="653"/>
      <c r="AA72" s="652">
        <f>Y76</f>
        <v>20539600</v>
      </c>
      <c r="AB72" s="653"/>
      <c r="AC72" s="652">
        <f>AA76</f>
        <v>18349600</v>
      </c>
      <c r="AD72" s="653"/>
      <c r="AE72" s="653">
        <f>AC76</f>
        <v>16780200</v>
      </c>
      <c r="AF72" s="653"/>
      <c r="AG72" s="653">
        <f>AE76</f>
        <v>15206800</v>
      </c>
      <c r="AH72" s="2392"/>
    </row>
    <row r="73" spans="1:35" x14ac:dyDescent="0.2">
      <c r="A73" s="2389" t="s">
        <v>741</v>
      </c>
      <c r="B73" s="728"/>
      <c r="C73" s="1077"/>
      <c r="D73" s="553"/>
      <c r="E73" s="550">
        <f t="shared" ref="E73:W73" si="21">ROUND(E69,-2)</f>
        <v>3216200</v>
      </c>
      <c r="F73" s="550"/>
      <c r="G73" s="652">
        <f t="shared" si="21"/>
        <v>3395400</v>
      </c>
      <c r="H73" s="653"/>
      <c r="I73" s="652">
        <f>ROUND(I69,-2)</f>
        <v>3788900</v>
      </c>
      <c r="J73" s="653"/>
      <c r="K73" s="652">
        <f t="shared" si="21"/>
        <v>3696200</v>
      </c>
      <c r="L73" s="653"/>
      <c r="M73" s="652">
        <f t="shared" si="21"/>
        <v>3285700</v>
      </c>
      <c r="N73" s="653"/>
      <c r="O73" s="652">
        <f t="shared" si="21"/>
        <v>3324800</v>
      </c>
      <c r="P73" s="653"/>
      <c r="Q73" s="652">
        <f t="shared" si="21"/>
        <v>3402100</v>
      </c>
      <c r="R73" s="653"/>
      <c r="S73" s="652">
        <f t="shared" si="21"/>
        <v>3130900</v>
      </c>
      <c r="T73" s="653"/>
      <c r="U73" s="652">
        <f t="shared" si="21"/>
        <v>3636100</v>
      </c>
      <c r="V73" s="653"/>
      <c r="W73" s="652">
        <f t="shared" si="21"/>
        <v>3183000</v>
      </c>
      <c r="X73" s="653"/>
      <c r="Y73" s="652">
        <f>ROUND(Y69,-2)</f>
        <v>2456800</v>
      </c>
      <c r="Z73" s="653"/>
      <c r="AA73" s="652">
        <f>ROUND(AA69,-2)</f>
        <v>2190000</v>
      </c>
      <c r="AB73" s="653"/>
      <c r="AC73" s="652">
        <f>ROUND(AC69,-2)</f>
        <v>1569400</v>
      </c>
      <c r="AD73" s="653"/>
      <c r="AE73" s="653">
        <f>ROUND(AE69,-2)</f>
        <v>1573400</v>
      </c>
      <c r="AF73" s="653"/>
      <c r="AG73" s="653">
        <f>ROUND(AG69,-2)</f>
        <v>1637300</v>
      </c>
      <c r="AH73" s="2392"/>
    </row>
    <row r="74" spans="1:35" x14ac:dyDescent="0.2">
      <c r="A74" s="2389" t="s">
        <v>742</v>
      </c>
      <c r="B74" s="728"/>
      <c r="C74" s="1077"/>
      <c r="D74" s="553"/>
      <c r="E74" s="550">
        <v>1200000</v>
      </c>
      <c r="F74" s="550"/>
      <c r="G74" s="652">
        <f>'Cash-Gen'!B75</f>
        <v>725000</v>
      </c>
      <c r="H74" s="653"/>
      <c r="I74" s="652">
        <f>'Cash-Gen'!C75</f>
        <v>500000</v>
      </c>
      <c r="J74" s="653"/>
      <c r="K74" s="652">
        <f>+'Cap Inc'!C165</f>
        <v>6711700</v>
      </c>
      <c r="L74" s="653"/>
      <c r="M74" s="652">
        <f>'Cash-Gen'!F75</f>
        <v>8847800</v>
      </c>
      <c r="N74" s="653"/>
      <c r="O74" s="652">
        <f>'Cash-Gen'!G75</f>
        <v>2500000</v>
      </c>
      <c r="P74" s="653"/>
      <c r="Q74" s="652">
        <f>'Cash-Gen'!H75</f>
        <v>0</v>
      </c>
      <c r="R74" s="653"/>
      <c r="S74" s="652">
        <f>'Cash-Gen'!I75</f>
        <v>8340000</v>
      </c>
      <c r="T74" s="653"/>
      <c r="U74" s="652">
        <f>'Cash-Gen'!J75</f>
        <v>0</v>
      </c>
      <c r="V74" s="653"/>
      <c r="W74" s="652">
        <f>'Cash-Gen'!K75</f>
        <v>0</v>
      </c>
      <c r="X74" s="653"/>
      <c r="Y74" s="652">
        <f>'Cash-Gen'!L75</f>
        <v>0</v>
      </c>
      <c r="Z74" s="653"/>
      <c r="AA74" s="652">
        <f>'Cash-Gen'!M75</f>
        <v>0</v>
      </c>
      <c r="AB74" s="653"/>
      <c r="AC74" s="652">
        <f>'Cash-Gen'!O75</f>
        <v>0</v>
      </c>
      <c r="AD74" s="653"/>
      <c r="AE74" s="653">
        <f>'Cash-Gen'!Q75</f>
        <v>0</v>
      </c>
      <c r="AF74" s="653"/>
      <c r="AG74" s="653">
        <f>'Cash-Gen'!S75</f>
        <v>0</v>
      </c>
      <c r="AH74" s="2392"/>
    </row>
    <row r="75" spans="1:35" x14ac:dyDescent="0.2">
      <c r="A75" s="2389"/>
      <c r="B75" s="728"/>
      <c r="C75" s="1077"/>
      <c r="D75" s="553"/>
      <c r="E75" s="550"/>
      <c r="F75" s="550"/>
      <c r="G75" s="652"/>
      <c r="H75" s="653"/>
      <c r="I75" s="652"/>
      <c r="J75" s="653"/>
      <c r="K75" s="652"/>
      <c r="L75" s="653"/>
      <c r="M75" s="652"/>
      <c r="N75" s="653"/>
      <c r="O75" s="652"/>
      <c r="P75" s="653"/>
      <c r="Q75" s="652"/>
      <c r="R75" s="653"/>
      <c r="S75" s="652"/>
      <c r="T75" s="653"/>
      <c r="U75" s="652"/>
      <c r="V75" s="653"/>
      <c r="W75" s="652"/>
      <c r="X75" s="653"/>
      <c r="Y75" s="652"/>
      <c r="Z75" s="653"/>
      <c r="AA75" s="652"/>
      <c r="AB75" s="653"/>
      <c r="AC75" s="652"/>
      <c r="AD75" s="653"/>
      <c r="AE75" s="653"/>
      <c r="AF75" s="653"/>
      <c r="AG75" s="653"/>
      <c r="AH75" s="2392"/>
    </row>
    <row r="76" spans="1:35" s="645" customFormat="1" ht="13.5" thickBot="1" x14ac:dyDescent="0.25">
      <c r="A76" s="2390" t="s">
        <v>53</v>
      </c>
      <c r="B76" s="440"/>
      <c r="C76" s="911"/>
      <c r="D76" s="716"/>
      <c r="E76" s="719">
        <f>E72-E73+E74</f>
        <v>26215000</v>
      </c>
      <c r="F76" s="719"/>
      <c r="G76" s="720">
        <f t="shared" ref="G76:W76" si="22">G72-G73+G74</f>
        <v>23544600</v>
      </c>
      <c r="H76" s="721"/>
      <c r="I76" s="720">
        <f t="shared" si="22"/>
        <v>20255700</v>
      </c>
      <c r="J76" s="721"/>
      <c r="K76" s="720">
        <f t="shared" si="22"/>
        <v>23271200</v>
      </c>
      <c r="L76" s="721"/>
      <c r="M76" s="720">
        <f t="shared" si="22"/>
        <v>28833300</v>
      </c>
      <c r="N76" s="721"/>
      <c r="O76" s="720">
        <f t="shared" si="22"/>
        <v>28008500</v>
      </c>
      <c r="P76" s="721"/>
      <c r="Q76" s="720">
        <f t="shared" si="22"/>
        <v>24606400</v>
      </c>
      <c r="R76" s="721"/>
      <c r="S76" s="720">
        <f t="shared" si="22"/>
        <v>29815500</v>
      </c>
      <c r="T76" s="721"/>
      <c r="U76" s="720">
        <f t="shared" si="22"/>
        <v>26179400</v>
      </c>
      <c r="V76" s="721"/>
      <c r="W76" s="720">
        <f t="shared" si="22"/>
        <v>22996400</v>
      </c>
      <c r="X76" s="721"/>
      <c r="Y76" s="720">
        <f>Y72-Y73+Y74</f>
        <v>20539600</v>
      </c>
      <c r="Z76" s="721"/>
      <c r="AA76" s="720">
        <f>AA72-AA73+AA74</f>
        <v>18349600</v>
      </c>
      <c r="AB76" s="721"/>
      <c r="AC76" s="720">
        <f>AC72-AC73+AC74</f>
        <v>16780200</v>
      </c>
      <c r="AD76" s="721"/>
      <c r="AE76" s="721">
        <f>AE72-AE73+AE74</f>
        <v>15206800</v>
      </c>
      <c r="AF76" s="721"/>
      <c r="AG76" s="721">
        <f>AG72-AG73+AG74</f>
        <v>13569500</v>
      </c>
      <c r="AH76" s="2401"/>
    </row>
    <row r="77" spans="1:35" ht="13.5" thickBot="1" x14ac:dyDescent="0.25">
      <c r="A77" s="722"/>
      <c r="B77" s="2402"/>
      <c r="C77" s="2402"/>
      <c r="D77" s="2403"/>
      <c r="E77" s="2403"/>
      <c r="F77" s="2403"/>
      <c r="G77" s="2403"/>
      <c r="H77" s="2403"/>
      <c r="I77" s="2403"/>
      <c r="J77" s="2403"/>
      <c r="K77" s="2403"/>
      <c r="L77" s="2403"/>
      <c r="M77" s="2403"/>
      <c r="N77" s="2403"/>
      <c r="O77" s="2403"/>
      <c r="P77" s="2403"/>
      <c r="Q77" s="2403"/>
      <c r="R77" s="2403"/>
      <c r="S77" s="2403"/>
      <c r="T77" s="2403"/>
      <c r="U77" s="2404"/>
      <c r="V77" s="2404"/>
      <c r="W77" s="2404"/>
      <c r="X77" s="2404"/>
      <c r="Y77" s="2403"/>
      <c r="Z77" s="2405"/>
      <c r="AA77" s="2404"/>
      <c r="AB77" s="2406"/>
      <c r="AC77" s="2404"/>
      <c r="AD77" s="2406"/>
      <c r="AE77" s="2404"/>
      <c r="AF77" s="2406"/>
      <c r="AG77" s="2404"/>
      <c r="AH77" s="2407"/>
    </row>
    <row r="78" spans="1:35" ht="13.5" thickTop="1" x14ac:dyDescent="0.2"/>
    <row r="79" spans="1:35" s="723" customFormat="1" ht="13.5" thickBot="1" x14ac:dyDescent="0.25">
      <c r="D79" s="2216"/>
    </row>
    <row r="80" spans="1:35" s="80" customFormat="1" ht="18.75" customHeight="1" thickTop="1" thickBot="1" x14ac:dyDescent="0.25">
      <c r="A80" s="1562" t="s">
        <v>1444</v>
      </c>
      <c r="B80" s="1563"/>
      <c r="C80" s="1563"/>
      <c r="D80" s="1563"/>
      <c r="E80" s="1563"/>
      <c r="F80" s="1563"/>
      <c r="G80" s="1563"/>
      <c r="H80" s="1563"/>
      <c r="I80" s="1563"/>
      <c r="J80" s="1563"/>
      <c r="K80" s="1563"/>
      <c r="L80" s="1563"/>
      <c r="M80" s="1563"/>
      <c r="N80" s="1563"/>
      <c r="O80" s="1563"/>
      <c r="P80" s="1563"/>
      <c r="Q80" s="1563"/>
      <c r="R80" s="1563"/>
      <c r="S80" s="1564"/>
      <c r="AF80" s="2226"/>
      <c r="AG80" s="2226"/>
      <c r="AH80" s="2226"/>
      <c r="AI80" s="2226"/>
    </row>
    <row r="81" spans="1:35" s="80" customFormat="1" ht="14.25" thickTop="1" thickBot="1" x14ac:dyDescent="0.25">
      <c r="A81" s="688" t="s">
        <v>414</v>
      </c>
      <c r="B81" s="689" t="s">
        <v>2229</v>
      </c>
      <c r="C81" s="689" t="s">
        <v>2230</v>
      </c>
      <c r="D81" s="690" t="s">
        <v>2231</v>
      </c>
      <c r="E81" s="697" t="str">
        <f>G3</f>
        <v>2014/15</v>
      </c>
      <c r="F81" s="693" t="str">
        <f>I3</f>
        <v>2015/16</v>
      </c>
      <c r="G81" s="691" t="str">
        <f>K3</f>
        <v>2016/17</v>
      </c>
      <c r="H81" s="691" t="str">
        <f>M3</f>
        <v>2017/18</v>
      </c>
      <c r="I81" s="691" t="str">
        <f>O3</f>
        <v>2018/19</v>
      </c>
      <c r="J81" s="691" t="str">
        <f>Q3</f>
        <v>2019/20</v>
      </c>
      <c r="K81" s="691" t="str">
        <f>S3</f>
        <v>2020/21</v>
      </c>
      <c r="L81" s="691" t="str">
        <f>U3</f>
        <v>2021/22</v>
      </c>
      <c r="M81" s="691" t="str">
        <f>W3</f>
        <v>2022/23</v>
      </c>
      <c r="N81" s="779" t="str">
        <f>Y3</f>
        <v>2023/24</v>
      </c>
      <c r="O81" s="691" t="str">
        <f>AA3</f>
        <v>2024/25</v>
      </c>
      <c r="P81" s="691" t="str">
        <f>AC3</f>
        <v>2025/26</v>
      </c>
      <c r="Q81" s="691" t="str">
        <f>AE3</f>
        <v>2026/27</v>
      </c>
      <c r="R81" s="1249" t="str">
        <f>AG3</f>
        <v>2027/28</v>
      </c>
      <c r="S81" s="692" t="s">
        <v>1504</v>
      </c>
      <c r="AF81" s="2226"/>
      <c r="AG81" s="2226"/>
      <c r="AH81" s="2226"/>
      <c r="AI81" s="2226"/>
    </row>
    <row r="82" spans="1:35" s="80" customFormat="1" x14ac:dyDescent="0.2">
      <c r="A82" s="581"/>
      <c r="B82" s="79"/>
      <c r="C82" s="79"/>
      <c r="D82" s="586"/>
      <c r="E82" s="641"/>
      <c r="F82" s="77"/>
      <c r="G82" s="79"/>
      <c r="H82" s="77"/>
      <c r="I82" s="79"/>
      <c r="J82" s="79"/>
      <c r="K82" s="79"/>
      <c r="L82" s="79"/>
      <c r="M82" s="79"/>
      <c r="N82" s="30"/>
      <c r="O82" s="79"/>
      <c r="P82" s="79"/>
      <c r="Q82" s="79"/>
      <c r="R82" s="587"/>
      <c r="S82" s="78"/>
      <c r="AF82" s="2226"/>
      <c r="AG82" s="2226"/>
      <c r="AH82" s="2226"/>
      <c r="AI82" s="2226"/>
    </row>
    <row r="83" spans="1:35" s="80" customFormat="1" x14ac:dyDescent="0.2">
      <c r="A83" s="699" t="s">
        <v>4209</v>
      </c>
      <c r="B83" s="584">
        <v>8</v>
      </c>
      <c r="C83" s="686">
        <v>3.8899999999999997E-2</v>
      </c>
      <c r="D83" s="586">
        <f>D168</f>
        <v>725000</v>
      </c>
      <c r="E83" s="695"/>
      <c r="F83" s="79">
        <f>IF(E188=0,0,ROUND(-PMT($C83,$B83,$D83),-3))</f>
        <v>107000</v>
      </c>
      <c r="G83" s="77">
        <f>IF(F188=0,0,ROUND(-PMT($C83,$B83,$D83),-3))</f>
        <v>107000</v>
      </c>
      <c r="H83" s="79">
        <f t="shared" ref="H83:R83" si="23">IF(G188=0,0,ROUND(-PMT($C83,$B83,$D83),-3))</f>
        <v>107000</v>
      </c>
      <c r="I83" s="79">
        <f t="shared" si="23"/>
        <v>107000</v>
      </c>
      <c r="J83" s="79">
        <f t="shared" si="23"/>
        <v>107000</v>
      </c>
      <c r="K83" s="79">
        <f t="shared" si="23"/>
        <v>107000</v>
      </c>
      <c r="L83" s="79">
        <f t="shared" si="23"/>
        <v>107000</v>
      </c>
      <c r="M83" s="79">
        <f t="shared" si="23"/>
        <v>107000</v>
      </c>
      <c r="N83" s="30">
        <f t="shared" si="23"/>
        <v>0</v>
      </c>
      <c r="O83" s="79">
        <f t="shared" si="23"/>
        <v>0</v>
      </c>
      <c r="P83" s="79">
        <f t="shared" si="23"/>
        <v>0</v>
      </c>
      <c r="Q83" s="79">
        <f t="shared" si="23"/>
        <v>0</v>
      </c>
      <c r="R83" s="587">
        <f t="shared" si="23"/>
        <v>0</v>
      </c>
      <c r="S83" s="78">
        <f>SUM(E83:R83)</f>
        <v>856000</v>
      </c>
      <c r="AF83" s="2226"/>
      <c r="AG83" s="2226"/>
      <c r="AH83" s="2226"/>
      <c r="AI83" s="2226"/>
    </row>
    <row r="84" spans="1:35" s="80" customFormat="1" x14ac:dyDescent="0.2">
      <c r="A84" s="699" t="s">
        <v>6140</v>
      </c>
      <c r="B84" s="584">
        <v>15</v>
      </c>
      <c r="C84" s="910">
        <v>0.05</v>
      </c>
      <c r="D84" s="586">
        <v>2400000</v>
      </c>
      <c r="E84" s="695"/>
      <c r="F84" s="79">
        <f t="shared" ref="F84:R84" si="24">IF(E189=0,0,ROUND(-PMT($C84,$B84,$D84),-3))</f>
        <v>0</v>
      </c>
      <c r="G84" s="77">
        <f t="shared" si="24"/>
        <v>0</v>
      </c>
      <c r="H84" s="79">
        <f t="shared" si="24"/>
        <v>0</v>
      </c>
      <c r="I84" s="79">
        <f>IF(H189=0,0,ROUND(-PMT($C84,$B84,$D84),-3))</f>
        <v>231000</v>
      </c>
      <c r="J84" s="79">
        <f t="shared" si="24"/>
        <v>231000</v>
      </c>
      <c r="K84" s="79">
        <f t="shared" si="24"/>
        <v>231000</v>
      </c>
      <c r="L84" s="79">
        <f t="shared" si="24"/>
        <v>231000</v>
      </c>
      <c r="M84" s="79">
        <f t="shared" si="24"/>
        <v>231000</v>
      </c>
      <c r="N84" s="30">
        <f t="shared" si="24"/>
        <v>231000</v>
      </c>
      <c r="O84" s="79">
        <f t="shared" si="24"/>
        <v>231000</v>
      </c>
      <c r="P84" s="79">
        <f t="shared" si="24"/>
        <v>231000</v>
      </c>
      <c r="Q84" s="79">
        <f t="shared" si="24"/>
        <v>231000</v>
      </c>
      <c r="R84" s="587">
        <f t="shared" si="24"/>
        <v>231000</v>
      </c>
      <c r="S84" s="78">
        <f t="shared" ref="S84:S94" si="25">SUM(E84:R84)</f>
        <v>2310000</v>
      </c>
      <c r="AF84" s="2226"/>
      <c r="AG84" s="2226"/>
      <c r="AH84" s="2226"/>
      <c r="AI84" s="2226"/>
    </row>
    <row r="85" spans="1:35" s="80" customFormat="1" x14ac:dyDescent="0.2">
      <c r="A85" s="699" t="s">
        <v>1386</v>
      </c>
      <c r="B85" s="584">
        <v>15</v>
      </c>
      <c r="C85" s="910">
        <v>7.0000000000000007E-2</v>
      </c>
      <c r="D85" s="586">
        <f>D170</f>
        <v>0</v>
      </c>
      <c r="E85" s="695"/>
      <c r="F85" s="79">
        <f t="shared" ref="F85:R85" si="26">IF(E190=0,0,ROUND(-PMT($C85,$B85,$D85),-3))</f>
        <v>0</v>
      </c>
      <c r="G85" s="77">
        <f t="shared" si="26"/>
        <v>0</v>
      </c>
      <c r="H85" s="79">
        <f t="shared" si="26"/>
        <v>0</v>
      </c>
      <c r="I85" s="79">
        <f t="shared" si="26"/>
        <v>0</v>
      </c>
      <c r="J85" s="79">
        <f t="shared" si="26"/>
        <v>0</v>
      </c>
      <c r="K85" s="79">
        <f t="shared" si="26"/>
        <v>0</v>
      </c>
      <c r="L85" s="79">
        <f t="shared" si="26"/>
        <v>0</v>
      </c>
      <c r="M85" s="79">
        <f t="shared" si="26"/>
        <v>0</v>
      </c>
      <c r="N85" s="30">
        <f t="shared" si="26"/>
        <v>0</v>
      </c>
      <c r="O85" s="79">
        <f t="shared" si="26"/>
        <v>0</v>
      </c>
      <c r="P85" s="79">
        <f t="shared" si="26"/>
        <v>0</v>
      </c>
      <c r="Q85" s="79">
        <f t="shared" si="26"/>
        <v>0</v>
      </c>
      <c r="R85" s="587">
        <f t="shared" si="26"/>
        <v>0</v>
      </c>
      <c r="S85" s="78">
        <f t="shared" si="25"/>
        <v>0</v>
      </c>
      <c r="AF85" s="2226"/>
      <c r="AG85" s="2226"/>
      <c r="AH85" s="2226"/>
      <c r="AI85" s="2226"/>
    </row>
    <row r="86" spans="1:35" s="80" customFormat="1" x14ac:dyDescent="0.2">
      <c r="A86" s="699" t="s">
        <v>5919</v>
      </c>
      <c r="B86" s="584">
        <v>10</v>
      </c>
      <c r="C86" s="686">
        <v>3.5099999999999999E-2</v>
      </c>
      <c r="D86" s="586">
        <f>D171</f>
        <v>500000</v>
      </c>
      <c r="E86" s="695"/>
      <c r="F86" s="79">
        <f t="shared" ref="F86:R86" si="27">IF(E191=0,0,ROUND(-PMT($C86,$B86,$D86),-3))</f>
        <v>0</v>
      </c>
      <c r="G86" s="77">
        <f t="shared" si="27"/>
        <v>60000</v>
      </c>
      <c r="H86" s="79">
        <f t="shared" si="27"/>
        <v>60000</v>
      </c>
      <c r="I86" s="79">
        <f t="shared" si="27"/>
        <v>60000</v>
      </c>
      <c r="J86" s="79">
        <f t="shared" si="27"/>
        <v>60000</v>
      </c>
      <c r="K86" s="79">
        <f t="shared" si="27"/>
        <v>60000</v>
      </c>
      <c r="L86" s="79">
        <f t="shared" si="27"/>
        <v>60000</v>
      </c>
      <c r="M86" s="79">
        <f t="shared" si="27"/>
        <v>60000</v>
      </c>
      <c r="N86" s="30">
        <f t="shared" si="27"/>
        <v>60000</v>
      </c>
      <c r="O86" s="79">
        <f t="shared" si="27"/>
        <v>60000</v>
      </c>
      <c r="P86" s="79">
        <f t="shared" si="27"/>
        <v>60000</v>
      </c>
      <c r="Q86" s="79">
        <f t="shared" si="27"/>
        <v>0</v>
      </c>
      <c r="R86" s="587">
        <f t="shared" si="27"/>
        <v>0</v>
      </c>
      <c r="S86" s="78">
        <f t="shared" si="25"/>
        <v>600000</v>
      </c>
      <c r="AF86" s="2226"/>
      <c r="AG86" s="2226"/>
      <c r="AH86" s="2226"/>
      <c r="AI86" s="2226"/>
    </row>
    <row r="87" spans="1:35" s="80" customFormat="1" x14ac:dyDescent="0.2">
      <c r="A87" s="699" t="s">
        <v>6903</v>
      </c>
      <c r="B87" s="584">
        <v>20</v>
      </c>
      <c r="C87" s="686">
        <v>3.5749999999999997E-2</v>
      </c>
      <c r="D87" s="586">
        <v>3818100</v>
      </c>
      <c r="E87" s="695"/>
      <c r="F87" s="79">
        <f t="shared" ref="F87:R87" si="28">IF(E192=0,0,ROUND(-PMT($C87,$B87,$D87),-3))</f>
        <v>0</v>
      </c>
      <c r="G87" s="77">
        <f t="shared" si="28"/>
        <v>0</v>
      </c>
      <c r="H87" s="79">
        <f>IF(G192=0,0,ROUND(-PMT($C87,$B87,$D87),-3))</f>
        <v>270000</v>
      </c>
      <c r="I87" s="79">
        <f t="shared" si="28"/>
        <v>270000</v>
      </c>
      <c r="J87" s="79">
        <f t="shared" si="28"/>
        <v>270000</v>
      </c>
      <c r="K87" s="79">
        <f t="shared" si="28"/>
        <v>270000</v>
      </c>
      <c r="L87" s="79">
        <f t="shared" si="28"/>
        <v>270000</v>
      </c>
      <c r="M87" s="79">
        <f t="shared" si="28"/>
        <v>270000</v>
      </c>
      <c r="N87" s="30">
        <f t="shared" si="28"/>
        <v>270000</v>
      </c>
      <c r="O87" s="79">
        <f t="shared" si="28"/>
        <v>270000</v>
      </c>
      <c r="P87" s="79">
        <f t="shared" si="28"/>
        <v>270000</v>
      </c>
      <c r="Q87" s="79">
        <f t="shared" si="28"/>
        <v>270000</v>
      </c>
      <c r="R87" s="587">
        <f t="shared" si="28"/>
        <v>270000</v>
      </c>
      <c r="S87" s="78">
        <f t="shared" si="25"/>
        <v>2970000</v>
      </c>
      <c r="AF87" s="2226"/>
      <c r="AG87" s="2226"/>
      <c r="AH87" s="2226"/>
      <c r="AI87" s="2226"/>
    </row>
    <row r="88" spans="1:35" s="80" customFormat="1" x14ac:dyDescent="0.2">
      <c r="A88" s="699" t="s">
        <v>6905</v>
      </c>
      <c r="B88" s="584">
        <v>20</v>
      </c>
      <c r="C88" s="686">
        <v>3.5749999999999997E-2</v>
      </c>
      <c r="D88" s="586">
        <v>2893600</v>
      </c>
      <c r="E88" s="695"/>
      <c r="F88" s="79">
        <f t="shared" ref="F88:R88" si="29">IF(E193=0,0,ROUND(-PMT($C88,$B88,$D88),-3))</f>
        <v>0</v>
      </c>
      <c r="G88" s="77">
        <f t="shared" si="29"/>
        <v>0</v>
      </c>
      <c r="H88" s="79">
        <f>IF(G193=0,0,ROUND(-PMT($C88,$B88,$D88),-3))</f>
        <v>205000</v>
      </c>
      <c r="I88" s="79">
        <f t="shared" si="29"/>
        <v>205000</v>
      </c>
      <c r="J88" s="79">
        <f t="shared" si="29"/>
        <v>205000</v>
      </c>
      <c r="K88" s="79">
        <f t="shared" si="29"/>
        <v>205000</v>
      </c>
      <c r="L88" s="79">
        <f t="shared" si="29"/>
        <v>205000</v>
      </c>
      <c r="M88" s="79">
        <f t="shared" si="29"/>
        <v>205000</v>
      </c>
      <c r="N88" s="30">
        <f t="shared" si="29"/>
        <v>205000</v>
      </c>
      <c r="O88" s="79">
        <f t="shared" si="29"/>
        <v>205000</v>
      </c>
      <c r="P88" s="79">
        <f t="shared" si="29"/>
        <v>205000</v>
      </c>
      <c r="Q88" s="79">
        <f t="shared" si="29"/>
        <v>205000</v>
      </c>
      <c r="R88" s="587">
        <f t="shared" si="29"/>
        <v>205000</v>
      </c>
      <c r="S88" s="78">
        <f t="shared" si="25"/>
        <v>2255000</v>
      </c>
      <c r="AF88" s="2226"/>
      <c r="AG88" s="2226"/>
      <c r="AH88" s="2226"/>
      <c r="AI88" s="2226"/>
    </row>
    <row r="89" spans="1:35" s="80" customFormat="1" x14ac:dyDescent="0.2">
      <c r="A89" s="699" t="s">
        <v>6906</v>
      </c>
      <c r="B89" s="584">
        <v>20</v>
      </c>
      <c r="C89" s="686">
        <v>4.02E-2</v>
      </c>
      <c r="D89" s="586">
        <f>'Cap Inc'!F162-D91</f>
        <v>3309500</v>
      </c>
      <c r="E89" s="695"/>
      <c r="F89" s="79">
        <f>IF(E194=0,0,ROUND(-PMT($C89,$B89,$D89),-3))</f>
        <v>0</v>
      </c>
      <c r="G89" s="77">
        <f>IF(F194=0,0,ROUND(-PMT($C89,$B89,$D89),-3))</f>
        <v>0</v>
      </c>
      <c r="H89" s="79">
        <f>IF(G194=0,0,ROUND(-PMT($C89,$B89,$D89),-3))</f>
        <v>0</v>
      </c>
      <c r="I89" s="79">
        <f t="shared" ref="I89:R89" si="30">IF(H194=0,0,ROUND(-PMT($C89,$B89,$D89),-3))</f>
        <v>244000</v>
      </c>
      <c r="J89" s="79">
        <f t="shared" si="30"/>
        <v>244000</v>
      </c>
      <c r="K89" s="79">
        <f t="shared" si="30"/>
        <v>244000</v>
      </c>
      <c r="L89" s="79">
        <f t="shared" si="30"/>
        <v>244000</v>
      </c>
      <c r="M89" s="79">
        <f t="shared" si="30"/>
        <v>244000</v>
      </c>
      <c r="N89" s="30">
        <f t="shared" si="30"/>
        <v>244000</v>
      </c>
      <c r="O89" s="79">
        <f t="shared" si="30"/>
        <v>244000</v>
      </c>
      <c r="P89" s="79">
        <f t="shared" si="30"/>
        <v>244000</v>
      </c>
      <c r="Q89" s="79">
        <f t="shared" si="30"/>
        <v>244000</v>
      </c>
      <c r="R89" s="587">
        <f t="shared" si="30"/>
        <v>244000</v>
      </c>
      <c r="S89" s="78">
        <f t="shared" si="25"/>
        <v>2440000</v>
      </c>
      <c r="AF89" s="2226"/>
      <c r="AG89" s="2226"/>
      <c r="AH89" s="2226"/>
      <c r="AI89" s="2226"/>
    </row>
    <row r="90" spans="1:35" s="80" customFormat="1" x14ac:dyDescent="0.2">
      <c r="A90" s="699" t="s">
        <v>6904</v>
      </c>
      <c r="B90" s="584">
        <v>20</v>
      </c>
      <c r="C90" s="686">
        <v>4.02E-2</v>
      </c>
      <c r="D90" s="586">
        <f>'Cap Inc'!F163-D92</f>
        <v>2618300</v>
      </c>
      <c r="E90" s="695"/>
      <c r="F90" s="79">
        <f t="shared" ref="F90:R91" si="31">IF(E195=0,0,ROUND(-PMT($C90,$B90,$D90),-3))</f>
        <v>0</v>
      </c>
      <c r="G90" s="77">
        <f t="shared" si="31"/>
        <v>0</v>
      </c>
      <c r="H90" s="79">
        <f t="shared" si="31"/>
        <v>0</v>
      </c>
      <c r="I90" s="79">
        <f t="shared" si="31"/>
        <v>193000</v>
      </c>
      <c r="J90" s="79">
        <f t="shared" si="31"/>
        <v>193000</v>
      </c>
      <c r="K90" s="79">
        <f t="shared" si="31"/>
        <v>193000</v>
      </c>
      <c r="L90" s="79">
        <f t="shared" si="31"/>
        <v>193000</v>
      </c>
      <c r="M90" s="79">
        <f t="shared" si="31"/>
        <v>193000</v>
      </c>
      <c r="N90" s="30">
        <f t="shared" si="31"/>
        <v>193000</v>
      </c>
      <c r="O90" s="79">
        <f t="shared" si="31"/>
        <v>193000</v>
      </c>
      <c r="P90" s="79">
        <f t="shared" si="31"/>
        <v>193000</v>
      </c>
      <c r="Q90" s="79">
        <f t="shared" si="31"/>
        <v>193000</v>
      </c>
      <c r="R90" s="587">
        <f t="shared" si="31"/>
        <v>193000</v>
      </c>
      <c r="S90" s="78">
        <f t="shared" si="25"/>
        <v>1930000</v>
      </c>
      <c r="AF90" s="2226"/>
      <c r="AG90" s="2226"/>
      <c r="AH90" s="2226"/>
      <c r="AI90" s="2226"/>
    </row>
    <row r="91" spans="1:35" s="2226" customFormat="1" x14ac:dyDescent="0.2">
      <c r="A91" s="699" t="s">
        <v>11891</v>
      </c>
      <c r="B91" s="584">
        <v>20</v>
      </c>
      <c r="C91" s="686">
        <v>4.07E-2</v>
      </c>
      <c r="D91" s="586">
        <v>220000</v>
      </c>
      <c r="E91" s="695"/>
      <c r="F91" s="79">
        <v>0</v>
      </c>
      <c r="G91" s="79">
        <f>IF(F198=0,0,ROUND(-PMT($C91,$B91,$D91),-3))</f>
        <v>0</v>
      </c>
      <c r="H91" s="79">
        <f t="shared" si="31"/>
        <v>0</v>
      </c>
      <c r="I91" s="79">
        <f>IF(H196=0,0,ROUND(-PMT($C91,$B91,$D91),-3))</f>
        <v>16000</v>
      </c>
      <c r="J91" s="79">
        <f t="shared" ref="J91:R91" si="32">IF(I198=0,0,ROUND(-PMT($C91,$B91,$D91),-3))</f>
        <v>16000</v>
      </c>
      <c r="K91" s="79">
        <f t="shared" si="32"/>
        <v>16000</v>
      </c>
      <c r="L91" s="79">
        <f t="shared" si="32"/>
        <v>16000</v>
      </c>
      <c r="M91" s="79">
        <f t="shared" si="32"/>
        <v>16000</v>
      </c>
      <c r="N91" s="30">
        <f t="shared" si="32"/>
        <v>16000</v>
      </c>
      <c r="O91" s="79">
        <f t="shared" si="32"/>
        <v>16000</v>
      </c>
      <c r="P91" s="79">
        <f t="shared" si="32"/>
        <v>16000</v>
      </c>
      <c r="Q91" s="79">
        <f t="shared" si="32"/>
        <v>16000</v>
      </c>
      <c r="R91" s="587">
        <f t="shared" si="32"/>
        <v>16000</v>
      </c>
      <c r="S91" s="78">
        <f t="shared" si="25"/>
        <v>160000</v>
      </c>
    </row>
    <row r="92" spans="1:35" s="2226" customFormat="1" x14ac:dyDescent="0.2">
      <c r="A92" s="699" t="s">
        <v>11890</v>
      </c>
      <c r="B92" s="584">
        <v>20</v>
      </c>
      <c r="C92" s="686">
        <v>4.07E-2</v>
      </c>
      <c r="D92" s="586">
        <v>300000</v>
      </c>
      <c r="E92" s="695"/>
      <c r="F92" s="79">
        <v>0</v>
      </c>
      <c r="G92" s="79">
        <f t="shared" ref="G92:G93" si="33">IF(F199=0,0,ROUND(-PMT($C92,$B92,$D92),-3))</f>
        <v>0</v>
      </c>
      <c r="H92" s="79">
        <f t="shared" ref="H92:H93" si="34">IF(G197=0,0,ROUND(-PMT($C92,$B92,$D92),-3))</f>
        <v>0</v>
      </c>
      <c r="I92" s="79">
        <f>IF(H197=0,0,ROUND(-PMT($C92,$B92,$D92),-3))</f>
        <v>22000</v>
      </c>
      <c r="J92" s="79">
        <f t="shared" ref="J92:K92" si="35">IF(I197=0,0,ROUND(-PMT($C92,$B92,$D92),-3))</f>
        <v>22000</v>
      </c>
      <c r="K92" s="79">
        <f t="shared" si="35"/>
        <v>22000</v>
      </c>
      <c r="L92" s="79">
        <f t="shared" ref="L92:R92" si="36">IF(K199=0,0,ROUND(-PMT($C92,$B92,$D92),-3))</f>
        <v>22000</v>
      </c>
      <c r="M92" s="79">
        <f t="shared" si="36"/>
        <v>22000</v>
      </c>
      <c r="N92" s="30">
        <f t="shared" si="36"/>
        <v>22000</v>
      </c>
      <c r="O92" s="79">
        <f t="shared" si="36"/>
        <v>22000</v>
      </c>
      <c r="P92" s="79">
        <f t="shared" si="36"/>
        <v>22000</v>
      </c>
      <c r="Q92" s="79">
        <f t="shared" si="36"/>
        <v>22000</v>
      </c>
      <c r="R92" s="587">
        <f t="shared" si="36"/>
        <v>22000</v>
      </c>
      <c r="S92" s="78">
        <f t="shared" si="25"/>
        <v>220000</v>
      </c>
    </row>
    <row r="93" spans="1:35" s="80" customFormat="1" x14ac:dyDescent="0.2">
      <c r="A93" s="699" t="s">
        <v>5890</v>
      </c>
      <c r="B93" s="584">
        <v>10</v>
      </c>
      <c r="C93" s="910">
        <v>0.04</v>
      </c>
      <c r="D93" s="586">
        <f>'Cap Inc'!G156</f>
        <v>2500000</v>
      </c>
      <c r="E93" s="695"/>
      <c r="F93" s="79">
        <f t="shared" ref="F93:R93" si="37">IF(E198=0,0,ROUND(-PMT($C93,$B93,$D93),-3))</f>
        <v>0</v>
      </c>
      <c r="G93" s="79">
        <f t="shared" si="33"/>
        <v>0</v>
      </c>
      <c r="H93" s="79">
        <f t="shared" si="34"/>
        <v>0</v>
      </c>
      <c r="I93" s="79">
        <f t="shared" si="37"/>
        <v>0</v>
      </c>
      <c r="J93" s="79">
        <f t="shared" si="37"/>
        <v>308000</v>
      </c>
      <c r="K93" s="79">
        <f t="shared" si="37"/>
        <v>308000</v>
      </c>
      <c r="L93" s="79">
        <f t="shared" si="37"/>
        <v>308000</v>
      </c>
      <c r="M93" s="79">
        <f t="shared" si="37"/>
        <v>308000</v>
      </c>
      <c r="N93" s="30">
        <f t="shared" si="37"/>
        <v>308000</v>
      </c>
      <c r="O93" s="79">
        <f t="shared" si="37"/>
        <v>308000</v>
      </c>
      <c r="P93" s="79">
        <f t="shared" si="37"/>
        <v>308000</v>
      </c>
      <c r="Q93" s="79">
        <f t="shared" si="37"/>
        <v>308000</v>
      </c>
      <c r="R93" s="587">
        <f t="shared" si="37"/>
        <v>308000</v>
      </c>
      <c r="S93" s="78">
        <f t="shared" si="25"/>
        <v>2772000</v>
      </c>
      <c r="AF93" s="2226"/>
      <c r="AG93" s="2226"/>
      <c r="AH93" s="2226"/>
      <c r="AI93" s="2226"/>
    </row>
    <row r="94" spans="1:35" s="80" customFormat="1" x14ac:dyDescent="0.2">
      <c r="A94" s="699" t="s">
        <v>5899</v>
      </c>
      <c r="B94" s="584">
        <v>15</v>
      </c>
      <c r="C94" s="910">
        <v>0.04</v>
      </c>
      <c r="D94" s="586">
        <f>'Cap Inc'!I157+'Cap Inc'!I158+'Cap Inc'!I159</f>
        <v>8340000</v>
      </c>
      <c r="E94" s="695"/>
      <c r="F94" s="79">
        <f t="shared" ref="F94:R94" si="38">IF(E199=0,0,ROUND(-PMT($C94,$B94,$D94),-3))</f>
        <v>0</v>
      </c>
      <c r="G94" s="77">
        <f t="shared" si="38"/>
        <v>0</v>
      </c>
      <c r="H94" s="79">
        <f t="shared" si="38"/>
        <v>0</v>
      </c>
      <c r="I94" s="79">
        <f t="shared" si="38"/>
        <v>0</v>
      </c>
      <c r="J94" s="79">
        <f t="shared" si="38"/>
        <v>0</v>
      </c>
      <c r="K94" s="79">
        <f t="shared" si="38"/>
        <v>0</v>
      </c>
      <c r="L94" s="79">
        <f>IF(K199=0,0,ROUND(-PMT($C94,$B94,$D94),-3))</f>
        <v>750000</v>
      </c>
      <c r="M94" s="79">
        <f t="shared" si="38"/>
        <v>750000</v>
      </c>
      <c r="N94" s="30">
        <f t="shared" si="38"/>
        <v>750000</v>
      </c>
      <c r="O94" s="79">
        <f t="shared" si="38"/>
        <v>750000</v>
      </c>
      <c r="P94" s="79">
        <f t="shared" si="38"/>
        <v>750000</v>
      </c>
      <c r="Q94" s="79">
        <f t="shared" si="38"/>
        <v>750000</v>
      </c>
      <c r="R94" s="587">
        <f t="shared" si="38"/>
        <v>750000</v>
      </c>
      <c r="S94" s="78">
        <f t="shared" si="25"/>
        <v>5250000</v>
      </c>
      <c r="AF94" s="2226"/>
      <c r="AG94" s="2226"/>
      <c r="AH94" s="2226"/>
      <c r="AI94" s="2226"/>
    </row>
    <row r="95" spans="1:35" s="80" customFormat="1" ht="13.5" thickBot="1" x14ac:dyDescent="0.25">
      <c r="A95" s="583"/>
      <c r="B95" s="584"/>
      <c r="C95" s="585"/>
      <c r="D95" s="586"/>
      <c r="E95" s="695"/>
      <c r="F95" s="77"/>
      <c r="G95" s="79"/>
      <c r="H95" s="77"/>
      <c r="I95" s="79"/>
      <c r="J95" s="79"/>
      <c r="K95" s="79"/>
      <c r="L95" s="79"/>
      <c r="M95" s="79"/>
      <c r="N95" s="228"/>
      <c r="O95" s="592"/>
      <c r="P95" s="592"/>
      <c r="Q95" s="592"/>
      <c r="R95" s="603"/>
      <c r="S95" s="78"/>
      <c r="AF95" s="2226"/>
      <c r="AG95" s="2226"/>
      <c r="AH95" s="2226"/>
      <c r="AI95" s="2226"/>
    </row>
    <row r="96" spans="1:35" s="39" customFormat="1" ht="13.5" thickTop="1" x14ac:dyDescent="0.2">
      <c r="A96" s="727" t="s">
        <v>1504</v>
      </c>
      <c r="B96" s="352"/>
      <c r="C96" s="589"/>
      <c r="D96" s="590">
        <f>SUM(D85:D88)</f>
        <v>7211700</v>
      </c>
      <c r="E96" s="927">
        <f t="shared" ref="E96:F96" si="39">SUM(E83:E95)</f>
        <v>0</v>
      </c>
      <c r="F96" s="69">
        <f t="shared" si="39"/>
        <v>107000</v>
      </c>
      <c r="G96" s="109">
        <f>SUM(G83:G95)</f>
        <v>167000</v>
      </c>
      <c r="H96" s="69">
        <f t="shared" ref="H96:S96" si="40">SUM(H83:H95)</f>
        <v>642000</v>
      </c>
      <c r="I96" s="109">
        <f t="shared" si="40"/>
        <v>1348000</v>
      </c>
      <c r="J96" s="109">
        <f t="shared" si="40"/>
        <v>1656000</v>
      </c>
      <c r="K96" s="109">
        <f t="shared" si="40"/>
        <v>1656000</v>
      </c>
      <c r="L96" s="109">
        <f t="shared" si="40"/>
        <v>2406000</v>
      </c>
      <c r="M96" s="109">
        <f t="shared" si="40"/>
        <v>2406000</v>
      </c>
      <c r="N96" s="274">
        <f t="shared" si="40"/>
        <v>2299000</v>
      </c>
      <c r="O96" s="109">
        <f t="shared" si="40"/>
        <v>2299000</v>
      </c>
      <c r="P96" s="109">
        <f t="shared" si="40"/>
        <v>2299000</v>
      </c>
      <c r="Q96" s="109">
        <f t="shared" si="40"/>
        <v>2239000</v>
      </c>
      <c r="R96" s="272">
        <f t="shared" ref="R96" si="41">SUM(R83:R95)</f>
        <v>2239000</v>
      </c>
      <c r="S96" s="73">
        <f t="shared" si="40"/>
        <v>21763000</v>
      </c>
    </row>
    <row r="97" spans="1:35" s="80" customFormat="1" ht="13.5" thickBot="1" x14ac:dyDescent="0.25">
      <c r="A97" s="591"/>
      <c r="B97" s="592"/>
      <c r="C97" s="592"/>
      <c r="D97" s="753"/>
      <c r="E97" s="696"/>
      <c r="F97" s="593"/>
      <c r="G97" s="592"/>
      <c r="H97" s="593"/>
      <c r="I97" s="592"/>
      <c r="J97" s="592"/>
      <c r="K97" s="592"/>
      <c r="L97" s="592"/>
      <c r="M97" s="592"/>
      <c r="N97" s="228"/>
      <c r="O97" s="592"/>
      <c r="P97" s="592"/>
      <c r="Q97" s="592"/>
      <c r="R97" s="603"/>
      <c r="S97" s="594"/>
      <c r="AF97" s="2226"/>
      <c r="AG97" s="2226"/>
      <c r="AH97" s="2226"/>
      <c r="AI97" s="2226"/>
    </row>
    <row r="98" spans="1:35" s="726" customFormat="1" ht="14.25" thickTop="1" thickBot="1" x14ac:dyDescent="0.25">
      <c r="D98" s="761"/>
    </row>
    <row r="99" spans="1:35" s="80" customFormat="1" ht="18" customHeight="1" thickTop="1" thickBot="1" x14ac:dyDescent="0.25">
      <c r="A99" s="1562" t="s">
        <v>479</v>
      </c>
      <c r="B99" s="1563"/>
      <c r="C99" s="1563"/>
      <c r="D99" s="1563"/>
      <c r="E99" s="1563"/>
      <c r="F99" s="1563"/>
      <c r="G99" s="1563"/>
      <c r="H99" s="1563"/>
      <c r="I99" s="1563"/>
      <c r="J99" s="1563"/>
      <c r="K99" s="1563"/>
      <c r="L99" s="1563"/>
      <c r="M99" s="1563"/>
      <c r="N99" s="1563"/>
      <c r="O99" s="1563"/>
      <c r="P99" s="1563"/>
      <c r="Q99" s="1563"/>
      <c r="R99" s="1563"/>
      <c r="S99" s="1564"/>
      <c r="AF99" s="2226"/>
      <c r="AG99" s="2226"/>
      <c r="AH99" s="2226"/>
      <c r="AI99" s="2226"/>
    </row>
    <row r="100" spans="1:35" s="80" customFormat="1" ht="14.25" thickTop="1" thickBot="1" x14ac:dyDescent="0.25">
      <c r="A100" s="688" t="s">
        <v>1252</v>
      </c>
      <c r="B100" s="689" t="str">
        <f>B81</f>
        <v>Term</v>
      </c>
      <c r="C100" s="689" t="str">
        <f>C81</f>
        <v>Rate</v>
      </c>
      <c r="D100" s="690" t="s">
        <v>2444</v>
      </c>
      <c r="E100" s="908" t="s">
        <v>883</v>
      </c>
      <c r="F100" s="693" t="str">
        <f t="shared" ref="F100:N100" si="42">F81</f>
        <v>2015/16</v>
      </c>
      <c r="G100" s="693" t="str">
        <f t="shared" si="42"/>
        <v>2016/17</v>
      </c>
      <c r="H100" s="693" t="str">
        <f t="shared" si="42"/>
        <v>2017/18</v>
      </c>
      <c r="I100" s="693" t="str">
        <f t="shared" si="42"/>
        <v>2018/19</v>
      </c>
      <c r="J100" s="693" t="str">
        <f t="shared" si="42"/>
        <v>2019/20</v>
      </c>
      <c r="K100" s="693" t="str">
        <f t="shared" si="42"/>
        <v>2020/21</v>
      </c>
      <c r="L100" s="693" t="str">
        <f t="shared" si="42"/>
        <v>2021/22</v>
      </c>
      <c r="M100" s="693" t="str">
        <f t="shared" si="42"/>
        <v>2022/23</v>
      </c>
      <c r="N100" s="691" t="str">
        <f t="shared" si="42"/>
        <v>2023/24</v>
      </c>
      <c r="O100" s="1035" t="s">
        <v>4208</v>
      </c>
      <c r="P100" s="1035" t="s">
        <v>5915</v>
      </c>
      <c r="Q100" s="1565" t="s">
        <v>6812</v>
      </c>
      <c r="R100" s="1565" t="str">
        <f>+R81</f>
        <v>2027/28</v>
      </c>
      <c r="S100" s="692" t="str">
        <f>S81</f>
        <v>Total</v>
      </c>
      <c r="AF100" s="2226"/>
      <c r="AG100" s="2226"/>
      <c r="AH100" s="2226"/>
      <c r="AI100" s="2226"/>
    </row>
    <row r="101" spans="1:35" s="80" customFormat="1" x14ac:dyDescent="0.2">
      <c r="A101" s="699"/>
      <c r="B101" s="79"/>
      <c r="C101" s="79"/>
      <c r="D101" s="586"/>
      <c r="E101" s="641"/>
      <c r="F101" s="77"/>
      <c r="G101" s="79"/>
      <c r="H101" s="77"/>
      <c r="I101" s="79"/>
      <c r="J101" s="79"/>
      <c r="K101" s="79"/>
      <c r="L101" s="79"/>
      <c r="M101" s="79"/>
      <c r="N101" s="79"/>
      <c r="O101" s="79"/>
      <c r="P101" s="79"/>
      <c r="Q101" s="2259"/>
      <c r="R101" s="587"/>
      <c r="S101" s="78"/>
      <c r="AF101" s="2226"/>
      <c r="AG101" s="2226"/>
      <c r="AH101" s="2226"/>
      <c r="AI101" s="2226"/>
    </row>
    <row r="102" spans="1:35" s="80" customFormat="1" x14ac:dyDescent="0.2">
      <c r="A102" s="699" t="s">
        <v>4209</v>
      </c>
      <c r="B102" s="584"/>
      <c r="C102" s="686">
        <f>C83</f>
        <v>3.8899999999999997E-2</v>
      </c>
      <c r="D102" s="586">
        <f>D83</f>
        <v>725000</v>
      </c>
      <c r="E102" s="695"/>
      <c r="F102" s="77"/>
      <c r="G102" s="79"/>
      <c r="H102" s="79"/>
      <c r="I102" s="79"/>
      <c r="J102" s="79"/>
      <c r="K102" s="79"/>
      <c r="L102" s="79"/>
      <c r="M102" s="79"/>
      <c r="N102" s="79"/>
      <c r="O102" s="79"/>
      <c r="P102" s="79"/>
      <c r="Q102" s="79"/>
      <c r="R102" s="587"/>
      <c r="S102" s="78"/>
      <c r="AF102" s="2226"/>
      <c r="AG102" s="2226"/>
      <c r="AH102" s="2226"/>
      <c r="AI102" s="2226"/>
    </row>
    <row r="103" spans="1:35" s="80" customFormat="1" x14ac:dyDescent="0.2">
      <c r="A103" s="654"/>
      <c r="B103" s="584"/>
      <c r="C103" s="910"/>
      <c r="D103" s="586" t="s">
        <v>2560</v>
      </c>
      <c r="E103" s="636"/>
      <c r="F103" s="79">
        <v>78900</v>
      </c>
      <c r="G103" s="79">
        <v>82000</v>
      </c>
      <c r="H103" s="79">
        <v>85300</v>
      </c>
      <c r="I103" s="79">
        <v>88600</v>
      </c>
      <c r="J103" s="79">
        <v>92100</v>
      </c>
      <c r="K103" s="79">
        <v>95700</v>
      </c>
      <c r="L103" s="79">
        <v>99400</v>
      </c>
      <c r="M103" s="79">
        <v>103000</v>
      </c>
      <c r="N103" s="79">
        <v>0</v>
      </c>
      <c r="O103" s="79"/>
      <c r="P103" s="79"/>
      <c r="Q103" s="79"/>
      <c r="R103" s="587"/>
      <c r="S103" s="78">
        <f>SUM(E103:R103)</f>
        <v>725000</v>
      </c>
      <c r="AF103" s="2226"/>
      <c r="AG103" s="2226"/>
      <c r="AH103" s="2226"/>
      <c r="AI103" s="2226"/>
    </row>
    <row r="104" spans="1:35" s="80" customFormat="1" x14ac:dyDescent="0.2">
      <c r="A104" s="654"/>
      <c r="B104" s="584"/>
      <c r="C104" s="910"/>
      <c r="D104" s="586" t="s">
        <v>2624</v>
      </c>
      <c r="E104" s="636"/>
      <c r="F104" s="77">
        <v>27400</v>
      </c>
      <c r="G104" s="77">
        <v>24300</v>
      </c>
      <c r="H104" s="77">
        <v>21100</v>
      </c>
      <c r="I104" s="77">
        <v>17800</v>
      </c>
      <c r="J104" s="77">
        <v>14300</v>
      </c>
      <c r="K104" s="77">
        <v>10700</v>
      </c>
      <c r="L104" s="77">
        <v>6900</v>
      </c>
      <c r="M104" s="77">
        <v>3000</v>
      </c>
      <c r="N104" s="77">
        <f t="shared" ref="N104" si="43">IF(N83&gt;0,ROUND(M105*$C$83,-3),0)</f>
        <v>0</v>
      </c>
      <c r="O104" s="79"/>
      <c r="P104" s="79"/>
      <c r="Q104" s="79"/>
      <c r="R104" s="587"/>
      <c r="S104" s="78">
        <f>SUM(E104:R104)</f>
        <v>125500</v>
      </c>
      <c r="AF104" s="2226"/>
      <c r="AG104" s="2226"/>
      <c r="AH104" s="2226"/>
      <c r="AI104" s="2226"/>
    </row>
    <row r="105" spans="1:35" s="39" customFormat="1" x14ac:dyDescent="0.2">
      <c r="A105" s="658"/>
      <c r="B105" s="126"/>
      <c r="C105" s="910"/>
      <c r="D105" s="596" t="s">
        <v>1254</v>
      </c>
      <c r="E105" s="935">
        <f>IF(E188=0,0,$D102-SUM($E103:E103))</f>
        <v>725000</v>
      </c>
      <c r="F105" s="75">
        <f>IF(F188=0,0,$D102-SUM($E103:F103))</f>
        <v>646100</v>
      </c>
      <c r="G105" s="21">
        <f>IF(G188=0,0,$D102-SUM($E103:G103))</f>
        <v>564100</v>
      </c>
      <c r="H105" s="75">
        <f>IF(H188=0,0,$D102-SUM($E103:H103))</f>
        <v>478800</v>
      </c>
      <c r="I105" s="75">
        <f>IF(I188=0,0,$D102-SUM($E103:I103))</f>
        <v>390200</v>
      </c>
      <c r="J105" s="75">
        <f>IF(J188=0,0,$D102-SUM($E103:J103))</f>
        <v>298100</v>
      </c>
      <c r="K105" s="75">
        <f>IF(K188=0,0,$D102-SUM($E103:K103))</f>
        <v>202400</v>
      </c>
      <c r="L105" s="75">
        <f>IF(L188=0,0,$D102-SUM($E103:L103))</f>
        <v>103000</v>
      </c>
      <c r="M105" s="75">
        <f>IF(M188=0,0,$D102-SUM($E103:M103))</f>
        <v>0</v>
      </c>
      <c r="N105" s="21">
        <f>IF(N188=0,0,$D102-SUM($E103:N103))</f>
        <v>0</v>
      </c>
      <c r="O105" s="21">
        <f>IF(O188=0,0,$D102-SUM($E103:O103))</f>
        <v>0</v>
      </c>
      <c r="P105" s="21">
        <f>IF(Q188=0,0,$D102-SUM($E103:P103))</f>
        <v>0</v>
      </c>
      <c r="Q105" s="21">
        <f>IF(R188=0,0,$D102-SUM($E103:Q103))</f>
        <v>0</v>
      </c>
      <c r="R105" s="64">
        <f>IF(S188=0,0,$D102-SUM($E103:R103))</f>
        <v>0</v>
      </c>
      <c r="S105" s="62"/>
    </row>
    <row r="106" spans="1:35" s="39" customFormat="1" x14ac:dyDescent="0.2">
      <c r="A106" s="658"/>
      <c r="B106" s="126"/>
      <c r="C106" s="910"/>
      <c r="D106" s="596"/>
      <c r="E106" s="935"/>
      <c r="F106" s="75"/>
      <c r="G106" s="21"/>
      <c r="H106" s="75"/>
      <c r="I106" s="75"/>
      <c r="J106" s="75"/>
      <c r="K106" s="75"/>
      <c r="L106" s="75"/>
      <c r="M106" s="75"/>
      <c r="N106" s="21"/>
      <c r="O106" s="21"/>
      <c r="P106" s="21"/>
      <c r="Q106" s="21"/>
      <c r="R106" s="64"/>
      <c r="S106" s="62"/>
    </row>
    <row r="107" spans="1:35" s="39" customFormat="1" x14ac:dyDescent="0.2">
      <c r="A107" s="699" t="s">
        <v>6140</v>
      </c>
      <c r="B107" s="584"/>
      <c r="C107" s="686">
        <f>C84</f>
        <v>0.05</v>
      </c>
      <c r="D107" s="586">
        <f>'Cap Inc'!F153</f>
        <v>2400000</v>
      </c>
      <c r="E107" s="695"/>
      <c r="F107" s="77"/>
      <c r="G107" s="79"/>
      <c r="H107" s="79"/>
      <c r="I107" s="79"/>
      <c r="J107" s="79"/>
      <c r="K107" s="79"/>
      <c r="L107" s="79"/>
      <c r="M107" s="79"/>
      <c r="N107" s="79"/>
      <c r="O107" s="79"/>
      <c r="P107" s="79"/>
      <c r="Q107" s="79"/>
      <c r="R107" s="587"/>
      <c r="S107" s="78"/>
    </row>
    <row r="108" spans="1:35" s="39" customFormat="1" x14ac:dyDescent="0.2">
      <c r="A108" s="654"/>
      <c r="B108" s="584"/>
      <c r="C108" s="910"/>
      <c r="D108" s="586" t="s">
        <v>2560</v>
      </c>
      <c r="E108" s="636"/>
      <c r="F108" s="79"/>
      <c r="G108" s="79"/>
      <c r="H108" s="79">
        <f>214000/2-H109</f>
        <v>47000</v>
      </c>
      <c r="I108" s="79">
        <f>IF(I84=0,0,-ROUND(PMT($C$84,$B$84,$D$84),-3)-I109)</f>
        <v>113000</v>
      </c>
      <c r="J108" s="79">
        <f t="shared" ref="J108:Q108" si="44">IF(J84=0,0,-ROUND(PMT($C$84,$B$84,$D$84),-3)-J109)</f>
        <v>119000</v>
      </c>
      <c r="K108" s="79">
        <f t="shared" si="44"/>
        <v>125000</v>
      </c>
      <c r="L108" s="79">
        <f t="shared" si="44"/>
        <v>131000</v>
      </c>
      <c r="M108" s="79">
        <f t="shared" si="44"/>
        <v>138000</v>
      </c>
      <c r="N108" s="79">
        <f t="shared" si="44"/>
        <v>145000</v>
      </c>
      <c r="O108" s="79">
        <f t="shared" si="44"/>
        <v>152000</v>
      </c>
      <c r="P108" s="79">
        <f t="shared" si="44"/>
        <v>159000</v>
      </c>
      <c r="Q108" s="79">
        <f t="shared" si="44"/>
        <v>167000</v>
      </c>
      <c r="R108" s="587">
        <f t="shared" ref="R108" si="45">IF(R84=0,0,-ROUND(PMT($C$84,$B$84,$D$84),-3)-R109)</f>
        <v>176000</v>
      </c>
      <c r="S108" s="78">
        <f>SUM(E108:R108)</f>
        <v>1472000</v>
      </c>
    </row>
    <row r="109" spans="1:35" s="39" customFormat="1" x14ac:dyDescent="0.2">
      <c r="A109" s="654"/>
      <c r="B109" s="584"/>
      <c r="C109" s="910"/>
      <c r="D109" s="586" t="s">
        <v>2624</v>
      </c>
      <c r="E109" s="636"/>
      <c r="F109" s="77"/>
      <c r="G109" s="77"/>
      <c r="H109" s="79">
        <f>ROUND(C107*$D$107,-3)/2</f>
        <v>60000</v>
      </c>
      <c r="I109" s="79">
        <f>IF(I84&gt;0,ROUND(H110*$C$84,-3),0)</f>
        <v>118000</v>
      </c>
      <c r="J109" s="77">
        <f t="shared" ref="J109:R109" si="46">IF(J84&gt;0,ROUND(I110*$C$84,-3),0)</f>
        <v>112000</v>
      </c>
      <c r="K109" s="77">
        <f t="shared" si="46"/>
        <v>106000</v>
      </c>
      <c r="L109" s="77">
        <f t="shared" si="46"/>
        <v>100000</v>
      </c>
      <c r="M109" s="77">
        <f t="shared" si="46"/>
        <v>93000</v>
      </c>
      <c r="N109" s="77">
        <f t="shared" si="46"/>
        <v>86000</v>
      </c>
      <c r="O109" s="79">
        <f t="shared" si="46"/>
        <v>79000</v>
      </c>
      <c r="P109" s="79">
        <f t="shared" si="46"/>
        <v>72000</v>
      </c>
      <c r="Q109" s="79">
        <f t="shared" si="46"/>
        <v>64000</v>
      </c>
      <c r="R109" s="587">
        <f t="shared" si="46"/>
        <v>55000</v>
      </c>
      <c r="S109" s="78">
        <f>SUM(E109:R109)</f>
        <v>945000</v>
      </c>
    </row>
    <row r="110" spans="1:35" s="39" customFormat="1" x14ac:dyDescent="0.2">
      <c r="A110" s="658"/>
      <c r="B110" s="126"/>
      <c r="C110" s="910"/>
      <c r="D110" s="596" t="s">
        <v>1254</v>
      </c>
      <c r="E110" s="935"/>
      <c r="F110" s="75"/>
      <c r="G110" s="21"/>
      <c r="H110" s="75">
        <f>IF(H193=0,0,$D107-SUM($E108:H108))</f>
        <v>2353000</v>
      </c>
      <c r="I110" s="75">
        <f>IF(I193=0,0,$D107-SUM($E108:I108))</f>
        <v>2240000</v>
      </c>
      <c r="J110" s="75">
        <f>IF(J193=0,0,$D107-SUM($E108:J108))</f>
        <v>2121000</v>
      </c>
      <c r="K110" s="75">
        <f>IF(K193=0,0,$D107-SUM($E108:K108))</f>
        <v>1996000</v>
      </c>
      <c r="L110" s="75">
        <f>IF(L193=0,0,$D107-SUM($E108:L108))</f>
        <v>1865000</v>
      </c>
      <c r="M110" s="75">
        <f>IF(M193=0,0,$D107-SUM($E108:M108))</f>
        <v>1727000</v>
      </c>
      <c r="N110" s="21">
        <f>IF(N193=0,0,$D107-SUM($E108:N108))</f>
        <v>1582000</v>
      </c>
      <c r="O110" s="21">
        <f>IF(O193=0,0,$D107-SUM($E108:O108))</f>
        <v>1430000</v>
      </c>
      <c r="P110" s="21">
        <f>IF(P193=0,0,$D107-SUM($E108:P108))</f>
        <v>1271000</v>
      </c>
      <c r="Q110" s="21">
        <f>IF(Q193=0,0,$D107-SUM($E108:Q108))</f>
        <v>1104000</v>
      </c>
      <c r="R110" s="64">
        <f>IF(R193=0,0,$D107-SUM($E108:R108))</f>
        <v>928000</v>
      </c>
      <c r="S110" s="62"/>
    </row>
    <row r="111" spans="1:35" s="39" customFormat="1" x14ac:dyDescent="0.2">
      <c r="A111" s="658"/>
      <c r="B111" s="126"/>
      <c r="C111" s="910"/>
      <c r="D111" s="596"/>
      <c r="E111" s="935"/>
      <c r="F111" s="75"/>
      <c r="G111" s="21"/>
      <c r="H111" s="75"/>
      <c r="I111" s="75"/>
      <c r="J111" s="75"/>
      <c r="K111" s="75"/>
      <c r="L111" s="75"/>
      <c r="M111" s="75"/>
      <c r="N111" s="21"/>
      <c r="O111" s="21"/>
      <c r="P111" s="21"/>
      <c r="Q111" s="21"/>
      <c r="R111" s="64"/>
      <c r="S111" s="62"/>
    </row>
    <row r="112" spans="1:35" s="80" customFormat="1" x14ac:dyDescent="0.2">
      <c r="A112" s="654" t="str">
        <f>A85</f>
        <v>Hutley Drive</v>
      </c>
      <c r="B112" s="584"/>
      <c r="C112" s="910">
        <f>C85</f>
        <v>7.0000000000000007E-2</v>
      </c>
      <c r="D112" s="586">
        <f>D85</f>
        <v>0</v>
      </c>
      <c r="E112" s="695"/>
      <c r="F112" s="77"/>
      <c r="G112" s="79"/>
      <c r="H112" s="79"/>
      <c r="I112" s="79"/>
      <c r="J112" s="79"/>
      <c r="K112" s="79"/>
      <c r="L112" s="79"/>
      <c r="M112" s="79"/>
      <c r="N112" s="79"/>
      <c r="O112" s="79"/>
      <c r="P112" s="79"/>
      <c r="Q112" s="79"/>
      <c r="R112" s="587"/>
      <c r="S112" s="78"/>
      <c r="AF112" s="2226"/>
      <c r="AG112" s="2226"/>
      <c r="AH112" s="2226"/>
      <c r="AI112" s="2226"/>
    </row>
    <row r="113" spans="1:35" s="80" customFormat="1" x14ac:dyDescent="0.2">
      <c r="A113" s="654"/>
      <c r="B113" s="584"/>
      <c r="C113" s="910"/>
      <c r="D113" s="586" t="s">
        <v>2560</v>
      </c>
      <c r="E113" s="695"/>
      <c r="F113" s="79">
        <f t="shared" ref="F113:Q113" si="47">IF(F85=0,0,-ROUND(PMT($C$85,$B$85,$D$85),-3)-F114)</f>
        <v>0</v>
      </c>
      <c r="G113" s="79">
        <f t="shared" si="47"/>
        <v>0</v>
      </c>
      <c r="H113" s="79">
        <f t="shared" si="47"/>
        <v>0</v>
      </c>
      <c r="I113" s="79">
        <f t="shared" si="47"/>
        <v>0</v>
      </c>
      <c r="J113" s="79">
        <f t="shared" si="47"/>
        <v>0</v>
      </c>
      <c r="K113" s="79">
        <f t="shared" si="47"/>
        <v>0</v>
      </c>
      <c r="L113" s="79">
        <f t="shared" si="47"/>
        <v>0</v>
      </c>
      <c r="M113" s="79">
        <f t="shared" si="47"/>
        <v>0</v>
      </c>
      <c r="N113" s="79">
        <f t="shared" si="47"/>
        <v>0</v>
      </c>
      <c r="O113" s="79">
        <f t="shared" si="47"/>
        <v>0</v>
      </c>
      <c r="P113" s="79">
        <f t="shared" si="47"/>
        <v>0</v>
      </c>
      <c r="Q113" s="79">
        <f t="shared" si="47"/>
        <v>0</v>
      </c>
      <c r="R113" s="587">
        <f t="shared" ref="R113" si="48">IF(R85=0,0,-ROUND(PMT($C$85,$B$85,$D$85),-3)-R114)</f>
        <v>0</v>
      </c>
      <c r="S113" s="78">
        <f>SUM(E113:R113)</f>
        <v>0</v>
      </c>
      <c r="AF113" s="2226"/>
      <c r="AG113" s="2226"/>
      <c r="AH113" s="2226"/>
      <c r="AI113" s="2226"/>
    </row>
    <row r="114" spans="1:35" s="80" customFormat="1" x14ac:dyDescent="0.2">
      <c r="A114" s="654"/>
      <c r="B114" s="584"/>
      <c r="C114" s="910"/>
      <c r="D114" s="586" t="s">
        <v>2624</v>
      </c>
      <c r="E114" s="695"/>
      <c r="F114" s="77">
        <f t="shared" ref="F114:R114" si="49">IF(F85&gt;0,ROUND(E115*$C$85,-3),0)</f>
        <v>0</v>
      </c>
      <c r="G114" s="79">
        <f t="shared" si="49"/>
        <v>0</v>
      </c>
      <c r="H114" s="79">
        <f t="shared" si="49"/>
        <v>0</v>
      </c>
      <c r="I114" s="79">
        <f t="shared" si="49"/>
        <v>0</v>
      </c>
      <c r="J114" s="79">
        <f t="shared" si="49"/>
        <v>0</v>
      </c>
      <c r="K114" s="79">
        <f t="shared" si="49"/>
        <v>0</v>
      </c>
      <c r="L114" s="79">
        <f t="shared" si="49"/>
        <v>0</v>
      </c>
      <c r="M114" s="79">
        <f t="shared" si="49"/>
        <v>0</v>
      </c>
      <c r="N114" s="79">
        <f t="shared" si="49"/>
        <v>0</v>
      </c>
      <c r="O114" s="79">
        <f t="shared" si="49"/>
        <v>0</v>
      </c>
      <c r="P114" s="79">
        <f t="shared" si="49"/>
        <v>0</v>
      </c>
      <c r="Q114" s="79">
        <f t="shared" si="49"/>
        <v>0</v>
      </c>
      <c r="R114" s="587">
        <f t="shared" si="49"/>
        <v>0</v>
      </c>
      <c r="S114" s="78">
        <f>SUM(E114:R114)</f>
        <v>0</v>
      </c>
      <c r="AF114" s="2226"/>
      <c r="AG114" s="2226"/>
      <c r="AH114" s="2226"/>
      <c r="AI114" s="2226"/>
    </row>
    <row r="115" spans="1:35" s="39" customFormat="1" x14ac:dyDescent="0.2">
      <c r="A115" s="658"/>
      <c r="B115" s="126"/>
      <c r="C115" s="911"/>
      <c r="D115" s="596" t="s">
        <v>1254</v>
      </c>
      <c r="E115" s="567">
        <f>IF(E210=0,0,$D112-E113)</f>
        <v>0</v>
      </c>
      <c r="F115" s="75">
        <f>IF(F210=0,0,$D112-SUM($E113:F113))</f>
        <v>0</v>
      </c>
      <c r="G115" s="75">
        <f>IF(G210=0,0,$D112-SUM($E113:G113))</f>
        <v>0</v>
      </c>
      <c r="H115" s="75">
        <f>IF(H210=0,0,$D112-SUM($E113:H113))</f>
        <v>0</v>
      </c>
      <c r="I115" s="75">
        <f>IF(I210=0,0,$D112-SUM($E113:I113))</f>
        <v>0</v>
      </c>
      <c r="J115" s="75">
        <f>IF(J210=0,0,$D112-SUM($E113:J113))</f>
        <v>0</v>
      </c>
      <c r="K115" s="75">
        <f>IF(K210=0,0,$D112-SUM($E113:K113))</f>
        <v>0</v>
      </c>
      <c r="L115" s="75">
        <f>IF(L210=0,0,$D112-SUM($E113:L113))</f>
        <v>0</v>
      </c>
      <c r="M115" s="75">
        <f>IF(M210=0,0,$D112-SUM($E113:M113))</f>
        <v>0</v>
      </c>
      <c r="N115" s="21">
        <f>IF(N210=0,0,$D112-SUM($E113:N113))</f>
        <v>0</v>
      </c>
      <c r="O115" s="21">
        <f>IF(O210=0,0,$D112-SUM($E113:O113))</f>
        <v>0</v>
      </c>
      <c r="P115" s="21">
        <f>IF(P210=0,0,$D112-SUM($E113:P113))</f>
        <v>0</v>
      </c>
      <c r="Q115" s="21">
        <f>IF(Q210=0,0,$D112-SUM($E113:Q113))</f>
        <v>0</v>
      </c>
      <c r="R115" s="64">
        <f>IF(R210=0,0,$D112-SUM($E113:R113))</f>
        <v>0</v>
      </c>
      <c r="S115" s="62"/>
    </row>
    <row r="116" spans="1:35" s="80" customFormat="1" x14ac:dyDescent="0.2">
      <c r="A116" s="654"/>
      <c r="B116" s="584"/>
      <c r="C116" s="910"/>
      <c r="D116" s="586"/>
      <c r="E116" s="695"/>
      <c r="F116" s="77"/>
      <c r="G116" s="79"/>
      <c r="H116" s="77"/>
      <c r="I116" s="79"/>
      <c r="J116" s="79"/>
      <c r="K116" s="79"/>
      <c r="L116" s="79"/>
      <c r="M116" s="79"/>
      <c r="N116" s="79"/>
      <c r="O116" s="79"/>
      <c r="P116" s="79"/>
      <c r="Q116" s="79"/>
      <c r="R116" s="587"/>
      <c r="S116" s="78"/>
      <c r="AF116" s="2226"/>
      <c r="AG116" s="2226"/>
      <c r="AH116" s="2226"/>
      <c r="AI116" s="2226"/>
    </row>
    <row r="117" spans="1:35" s="80" customFormat="1" x14ac:dyDescent="0.2">
      <c r="A117" s="699" t="s">
        <v>5919</v>
      </c>
      <c r="B117" s="584"/>
      <c r="C117" s="686">
        <f>C86</f>
        <v>3.5099999999999999E-2</v>
      </c>
      <c r="D117" s="586">
        <f>D86</f>
        <v>500000</v>
      </c>
      <c r="E117" s="695"/>
      <c r="F117" s="77"/>
      <c r="G117" s="79"/>
      <c r="H117" s="79"/>
      <c r="I117" s="79"/>
      <c r="J117" s="79"/>
      <c r="K117" s="79"/>
      <c r="L117" s="79"/>
      <c r="M117" s="79"/>
      <c r="N117" s="79"/>
      <c r="O117" s="79"/>
      <c r="P117" s="79"/>
      <c r="Q117" s="79"/>
      <c r="R117" s="587"/>
      <c r="S117" s="78"/>
      <c r="AF117" s="2226"/>
      <c r="AG117" s="2226"/>
      <c r="AH117" s="2226"/>
      <c r="AI117" s="2226"/>
    </row>
    <row r="118" spans="1:35" s="80" customFormat="1" x14ac:dyDescent="0.2">
      <c r="A118" s="654"/>
      <c r="B118" s="584"/>
      <c r="C118" s="910"/>
      <c r="D118" s="586" t="s">
        <v>2560</v>
      </c>
      <c r="E118" s="695"/>
      <c r="F118" s="79">
        <f>IF(F86=0,0,-ROUND(PMT(#REF!,#REF!,#REF!),-3)-F119)</f>
        <v>0</v>
      </c>
      <c r="G118" s="79">
        <v>42500</v>
      </c>
      <c r="H118" s="79">
        <v>44100</v>
      </c>
      <c r="I118" s="79">
        <v>45600</v>
      </c>
      <c r="J118" s="79">
        <v>47200</v>
      </c>
      <c r="K118" s="79">
        <f>IF(K86=0,0,-ROUND(PMT($C$86,$B$86,$D$86),-3)-K119)</f>
        <v>49200</v>
      </c>
      <c r="L118" s="79">
        <v>50600</v>
      </c>
      <c r="M118" s="79">
        <v>52400</v>
      </c>
      <c r="N118" s="79">
        <v>54200</v>
      </c>
      <c r="O118" s="79">
        <v>56100</v>
      </c>
      <c r="P118" s="79">
        <v>58100</v>
      </c>
      <c r="Q118" s="79">
        <v>0</v>
      </c>
      <c r="R118" s="587">
        <v>0</v>
      </c>
      <c r="S118" s="78">
        <f t="shared" ref="S118:S119" si="50">SUM(E118:R118)</f>
        <v>500000</v>
      </c>
      <c r="AF118" s="2226"/>
      <c r="AG118" s="2226"/>
      <c r="AH118" s="2226"/>
      <c r="AI118" s="2226"/>
    </row>
    <row r="119" spans="1:35" s="80" customFormat="1" x14ac:dyDescent="0.2">
      <c r="A119" s="654"/>
      <c r="B119" s="584"/>
      <c r="C119" s="910"/>
      <c r="D119" s="586" t="s">
        <v>2624</v>
      </c>
      <c r="E119" s="695"/>
      <c r="F119" s="77">
        <f>IF(F86&gt;0,ROUND(E120*#REF!,-3),0)</f>
        <v>0</v>
      </c>
      <c r="G119" s="79">
        <v>17100</v>
      </c>
      <c r="H119" s="79">
        <v>15600</v>
      </c>
      <c r="I119" s="79">
        <v>14100</v>
      </c>
      <c r="J119" s="79">
        <v>12500</v>
      </c>
      <c r="K119" s="79">
        <v>10800</v>
      </c>
      <c r="L119" s="79">
        <v>9100</v>
      </c>
      <c r="M119" s="79">
        <v>7300</v>
      </c>
      <c r="N119" s="79">
        <v>5500</v>
      </c>
      <c r="O119" s="79">
        <v>3500</v>
      </c>
      <c r="P119" s="79">
        <v>1500</v>
      </c>
      <c r="Q119" s="79">
        <v>0</v>
      </c>
      <c r="R119" s="587">
        <v>0</v>
      </c>
      <c r="S119" s="78">
        <f t="shared" si="50"/>
        <v>97000</v>
      </c>
      <c r="AF119" s="2226"/>
      <c r="AG119" s="2226"/>
      <c r="AH119" s="2226"/>
      <c r="AI119" s="2226"/>
    </row>
    <row r="120" spans="1:35" s="39" customFormat="1" x14ac:dyDescent="0.2">
      <c r="A120" s="658"/>
      <c r="B120" s="126"/>
      <c r="C120" s="911"/>
      <c r="D120" s="596" t="s">
        <v>1254</v>
      </c>
      <c r="E120" s="567">
        <f>IF(E211=0,0,$D117-E118)</f>
        <v>0</v>
      </c>
      <c r="F120" s="75">
        <f>IF(F211=0,0,$D117-SUM($E118:F118))</f>
        <v>500000</v>
      </c>
      <c r="G120" s="75">
        <f>IF(G211=0,0,$D117-SUM($E118:G118))</f>
        <v>457500</v>
      </c>
      <c r="H120" s="75">
        <f>IF(H211=0,0,$D117-SUM($E118:H118))</f>
        <v>413400</v>
      </c>
      <c r="I120" s="21">
        <f>IF(I211=0,0,$D117-SUM($E118:I118))</f>
        <v>367800</v>
      </c>
      <c r="J120" s="21">
        <f>IF(J211=0,0,$D117-SUM($E118:J118))</f>
        <v>320600</v>
      </c>
      <c r="K120" s="21">
        <f>IF(K211=0,0,$D117-SUM($E118:K118))</f>
        <v>271400</v>
      </c>
      <c r="L120" s="21">
        <f>IF(L211=0,0,$D117-SUM($E118:L118))</f>
        <v>220800</v>
      </c>
      <c r="M120" s="21">
        <f>IF(M211=0,0,$D117-SUM($E118:M118))</f>
        <v>168400</v>
      </c>
      <c r="N120" s="21">
        <f>IF(N211=0,0,$D117-SUM($E118:N118))</f>
        <v>114200</v>
      </c>
      <c r="O120" s="21">
        <f>IF(O211=0,0,$D117-SUM($E118:O118))</f>
        <v>58100</v>
      </c>
      <c r="P120" s="21">
        <f>IF(P211=0,0,$D117-SUM($E118:P118))</f>
        <v>0</v>
      </c>
      <c r="Q120" s="21">
        <f>IF(Q211=0,0,$D117-SUM($E118:Q118))</f>
        <v>0</v>
      </c>
      <c r="R120" s="64">
        <f>IF(R211=0,0,$D117-SUM($E118:R118))</f>
        <v>0</v>
      </c>
      <c r="S120" s="62"/>
    </row>
    <row r="121" spans="1:35" s="39" customFormat="1" x14ac:dyDescent="0.2">
      <c r="A121" s="658"/>
      <c r="B121" s="126"/>
      <c r="C121" s="911"/>
      <c r="D121" s="596"/>
      <c r="E121" s="567"/>
      <c r="F121" s="75"/>
      <c r="G121" s="21"/>
      <c r="H121" s="75"/>
      <c r="I121" s="21"/>
      <c r="J121" s="21"/>
      <c r="K121" s="21"/>
      <c r="L121" s="21"/>
      <c r="M121" s="21"/>
      <c r="N121" s="21"/>
      <c r="O121" s="21"/>
      <c r="P121" s="21"/>
      <c r="Q121" s="21"/>
      <c r="R121" s="64"/>
      <c r="S121" s="62"/>
    </row>
    <row r="122" spans="1:35" s="80" customFormat="1" x14ac:dyDescent="0.2">
      <c r="A122" s="654" t="str">
        <f>A87</f>
        <v>Ballina Swimming Pool - Stage One</v>
      </c>
      <c r="B122" s="584"/>
      <c r="C122" s="910">
        <f>C87</f>
        <v>3.5749999999999997E-2</v>
      </c>
      <c r="D122" s="586">
        <f>D87</f>
        <v>3818100</v>
      </c>
      <c r="E122" s="695"/>
      <c r="F122" s="77"/>
      <c r="G122" s="79"/>
      <c r="H122" s="79"/>
      <c r="I122" s="79"/>
      <c r="J122" s="79"/>
      <c r="K122" s="79"/>
      <c r="L122" s="79"/>
      <c r="M122" s="79"/>
      <c r="N122" s="79"/>
      <c r="O122" s="79"/>
      <c r="P122" s="79"/>
      <c r="Q122" s="79"/>
      <c r="R122" s="587"/>
      <c r="S122" s="78"/>
      <c r="AF122" s="2226"/>
      <c r="AG122" s="2226"/>
      <c r="AH122" s="2226"/>
      <c r="AI122" s="2226"/>
    </row>
    <row r="123" spans="1:35" s="80" customFormat="1" x14ac:dyDescent="0.2">
      <c r="A123" s="654"/>
      <c r="B123" s="584"/>
      <c r="C123" s="910"/>
      <c r="D123" s="586" t="s">
        <v>2560</v>
      </c>
      <c r="E123" s="695"/>
      <c r="F123" s="79"/>
      <c r="G123" s="79"/>
      <c r="H123" s="79">
        <f>IF(H87=0,0,-ROUND(PMT($C$87,$B$87,$D$87),-3)-H124)</f>
        <v>134000</v>
      </c>
      <c r="I123" s="79">
        <f t="shared" ref="I123:Q123" si="51">IF(I87=0,0,-ROUND(PMT($C$87,$B$87,$D$87),-3)-I124)</f>
        <v>138000</v>
      </c>
      <c r="J123" s="79">
        <f t="shared" si="51"/>
        <v>143000</v>
      </c>
      <c r="K123" s="79">
        <f t="shared" si="51"/>
        <v>148000</v>
      </c>
      <c r="L123" s="79">
        <f t="shared" si="51"/>
        <v>154000</v>
      </c>
      <c r="M123" s="79">
        <f t="shared" si="51"/>
        <v>159000</v>
      </c>
      <c r="N123" s="79">
        <f t="shared" si="51"/>
        <v>165000</v>
      </c>
      <c r="O123" s="79">
        <f t="shared" si="51"/>
        <v>171000</v>
      </c>
      <c r="P123" s="79">
        <f t="shared" si="51"/>
        <v>177000</v>
      </c>
      <c r="Q123" s="79">
        <f t="shared" si="51"/>
        <v>183000</v>
      </c>
      <c r="R123" s="587">
        <f t="shared" ref="R123" si="52">IF(R87=0,0,-ROUND(PMT($C$87,$B$87,$D$87),-3)-R124)</f>
        <v>190000</v>
      </c>
      <c r="S123" s="78">
        <f t="shared" ref="S123:S124" si="53">SUM(E123:R123)</f>
        <v>1762000</v>
      </c>
      <c r="AF123" s="2226"/>
      <c r="AG123" s="2226"/>
      <c r="AH123" s="2226"/>
      <c r="AI123" s="2226"/>
    </row>
    <row r="124" spans="1:35" s="80" customFormat="1" x14ac:dyDescent="0.2">
      <c r="A124" s="654"/>
      <c r="B124" s="584"/>
      <c r="C124" s="910"/>
      <c r="D124" s="586" t="s">
        <v>2624</v>
      </c>
      <c r="E124" s="695"/>
      <c r="F124" s="77"/>
      <c r="G124" s="79">
        <v>0</v>
      </c>
      <c r="H124" s="79">
        <f>IF(H87&gt;0,ROUND(G125*$C$87,-3),0)</f>
        <v>136000</v>
      </c>
      <c r="I124" s="79">
        <f t="shared" ref="I124:N124" si="54">IF(I87&gt;0,ROUND(H125*$C$87,-3),0)</f>
        <v>132000</v>
      </c>
      <c r="J124" s="79">
        <f t="shared" si="54"/>
        <v>127000</v>
      </c>
      <c r="K124" s="79">
        <f t="shared" si="54"/>
        <v>122000</v>
      </c>
      <c r="L124" s="79">
        <f t="shared" si="54"/>
        <v>116000</v>
      </c>
      <c r="M124" s="79">
        <f t="shared" si="54"/>
        <v>111000</v>
      </c>
      <c r="N124" s="79">
        <f t="shared" si="54"/>
        <v>105000</v>
      </c>
      <c r="O124" s="79">
        <f t="shared" ref="O124:R124" si="55">IF(O87&gt;0,ROUND(N125*$C$87,-3),0)</f>
        <v>99000</v>
      </c>
      <c r="P124" s="79">
        <f t="shared" si="55"/>
        <v>93000</v>
      </c>
      <c r="Q124" s="79">
        <f t="shared" si="55"/>
        <v>87000</v>
      </c>
      <c r="R124" s="587">
        <f t="shared" si="55"/>
        <v>80000</v>
      </c>
      <c r="S124" s="78">
        <f t="shared" si="53"/>
        <v>1208000</v>
      </c>
      <c r="AF124" s="2226"/>
      <c r="AG124" s="2226"/>
      <c r="AH124" s="2226"/>
      <c r="AI124" s="2226"/>
    </row>
    <row r="125" spans="1:35" s="39" customFormat="1" x14ac:dyDescent="0.2">
      <c r="A125" s="658"/>
      <c r="B125" s="126"/>
      <c r="C125" s="911"/>
      <c r="D125" s="596" t="s">
        <v>1254</v>
      </c>
      <c r="E125" s="567">
        <v>0</v>
      </c>
      <c r="F125" s="75"/>
      <c r="G125" s="21">
        <f>D122</f>
        <v>3818100</v>
      </c>
      <c r="H125" s="75">
        <f>IF(H212=0,0,$D122-SUM($E123:H123))</f>
        <v>3684100</v>
      </c>
      <c r="I125" s="21">
        <f>IF(I212=0,0,$D122-SUM($E123:I123))</f>
        <v>3546100</v>
      </c>
      <c r="J125" s="21">
        <f>IF(J212=0,0,$D122-SUM($E123:J123))</f>
        <v>3403100</v>
      </c>
      <c r="K125" s="21">
        <f>IF(K212=0,0,$D122-SUM($E123:K123))</f>
        <v>3255100</v>
      </c>
      <c r="L125" s="21">
        <f>IF(L212=0,0,$D122-SUM($E123:L123))</f>
        <v>3101100</v>
      </c>
      <c r="M125" s="21">
        <f>IF(M212=0,0,$D122-SUM($E123:M123))</f>
        <v>2942100</v>
      </c>
      <c r="N125" s="21">
        <f>IF(N212=0,0,$D122-SUM($E123:N123))</f>
        <v>2777100</v>
      </c>
      <c r="O125" s="21">
        <f>IF(O212=0,0,$D122-SUM($E123:O123))</f>
        <v>2606100</v>
      </c>
      <c r="P125" s="21">
        <f>IF(P212=0,0,$D122-SUM($E123:P123))</f>
        <v>2429100</v>
      </c>
      <c r="Q125" s="21">
        <f>IF(Q212=0,0,$D122-SUM($E123:Q123))</f>
        <v>2246100</v>
      </c>
      <c r="R125" s="64">
        <f>IF(R212=0,0,$D122-SUM($E123:R123))</f>
        <v>2056100</v>
      </c>
      <c r="S125" s="62"/>
    </row>
    <row r="126" spans="1:35" s="39" customFormat="1" x14ac:dyDescent="0.2">
      <c r="A126" s="658"/>
      <c r="B126" s="126"/>
      <c r="C126" s="911"/>
      <c r="D126" s="596"/>
      <c r="E126" s="567"/>
      <c r="F126" s="75"/>
      <c r="G126" s="2106"/>
      <c r="H126" s="75"/>
      <c r="I126" s="75"/>
      <c r="J126" s="75"/>
      <c r="K126" s="75"/>
      <c r="L126" s="75"/>
      <c r="M126" s="75"/>
      <c r="N126" s="21"/>
      <c r="O126" s="21"/>
      <c r="P126" s="21"/>
      <c r="Q126" s="21"/>
      <c r="R126" s="64"/>
      <c r="S126" s="62"/>
    </row>
    <row r="127" spans="1:35" s="80" customFormat="1" x14ac:dyDescent="0.2">
      <c r="A127" s="654" t="str">
        <f>A88</f>
        <v>Alstonville Swimming Pool - Stage One</v>
      </c>
      <c r="B127" s="584"/>
      <c r="C127" s="910">
        <f>C88</f>
        <v>3.5749999999999997E-2</v>
      </c>
      <c r="D127" s="586">
        <f>D88</f>
        <v>2893600</v>
      </c>
      <c r="E127" s="695"/>
      <c r="F127" s="77"/>
      <c r="G127" s="79"/>
      <c r="H127" s="79"/>
      <c r="I127" s="79"/>
      <c r="J127" s="79"/>
      <c r="K127" s="79"/>
      <c r="L127" s="79"/>
      <c r="M127" s="79"/>
      <c r="N127" s="79"/>
      <c r="O127" s="79"/>
      <c r="P127" s="79"/>
      <c r="Q127" s="79"/>
      <c r="R127" s="587"/>
      <c r="S127" s="78"/>
      <c r="AF127" s="2226"/>
      <c r="AG127" s="2226"/>
      <c r="AH127" s="2226"/>
      <c r="AI127" s="2226"/>
    </row>
    <row r="128" spans="1:35" s="80" customFormat="1" x14ac:dyDescent="0.2">
      <c r="A128" s="654"/>
      <c r="B128" s="584"/>
      <c r="C128" s="910"/>
      <c r="D128" s="586" t="s">
        <v>2560</v>
      </c>
      <c r="E128" s="695"/>
      <c r="F128" s="79"/>
      <c r="G128" s="79"/>
      <c r="H128" s="79">
        <f t="shared" ref="H128:Q128" si="56">IF(H88=0,0,-ROUND(PMT($C$88,$B$88,$D$88),-3)-H129)</f>
        <v>102000</v>
      </c>
      <c r="I128" s="79">
        <f>IF(I88=0,0,-ROUND(PMT($C$88,$B$88,$D$88),-3)-I129)</f>
        <v>105000</v>
      </c>
      <c r="J128" s="79">
        <f t="shared" si="56"/>
        <v>109000</v>
      </c>
      <c r="K128" s="79">
        <f t="shared" si="56"/>
        <v>113000</v>
      </c>
      <c r="L128" s="79">
        <f t="shared" si="56"/>
        <v>117000</v>
      </c>
      <c r="M128" s="79">
        <f t="shared" si="56"/>
        <v>121000</v>
      </c>
      <c r="N128" s="79">
        <f t="shared" si="56"/>
        <v>125000</v>
      </c>
      <c r="O128" s="79">
        <f t="shared" si="56"/>
        <v>130000</v>
      </c>
      <c r="P128" s="79">
        <f t="shared" si="56"/>
        <v>135000</v>
      </c>
      <c r="Q128" s="79">
        <f t="shared" si="56"/>
        <v>139000</v>
      </c>
      <c r="R128" s="587">
        <f t="shared" ref="R128" si="57">IF(R88=0,0,-ROUND(PMT($C$88,$B$88,$D$88),-3)-R129)</f>
        <v>144000</v>
      </c>
      <c r="S128" s="78">
        <f t="shared" ref="S128:S129" si="58">SUM(E128:R128)</f>
        <v>1340000</v>
      </c>
      <c r="AF128" s="2226"/>
      <c r="AG128" s="2226"/>
      <c r="AH128" s="2226"/>
      <c r="AI128" s="2226"/>
    </row>
    <row r="129" spans="1:35" s="80" customFormat="1" x14ac:dyDescent="0.2">
      <c r="A129" s="654"/>
      <c r="B129" s="584"/>
      <c r="C129" s="910"/>
      <c r="D129" s="586" t="s">
        <v>2624</v>
      </c>
      <c r="E129" s="695"/>
      <c r="F129" s="77"/>
      <c r="G129" s="79">
        <v>0</v>
      </c>
      <c r="H129" s="79">
        <f t="shared" ref="H129:R129" si="59">IF(H88&gt;0,ROUND(G130*$C$88,-3),0)</f>
        <v>103000</v>
      </c>
      <c r="I129" s="79">
        <f t="shared" si="59"/>
        <v>100000</v>
      </c>
      <c r="J129" s="79">
        <f t="shared" si="59"/>
        <v>96000</v>
      </c>
      <c r="K129" s="79">
        <f t="shared" si="59"/>
        <v>92000</v>
      </c>
      <c r="L129" s="79">
        <f t="shared" si="59"/>
        <v>88000</v>
      </c>
      <c r="M129" s="79">
        <f t="shared" si="59"/>
        <v>84000</v>
      </c>
      <c r="N129" s="79">
        <f t="shared" si="59"/>
        <v>80000</v>
      </c>
      <c r="O129" s="79">
        <f t="shared" si="59"/>
        <v>75000</v>
      </c>
      <c r="P129" s="79">
        <f t="shared" si="59"/>
        <v>70000</v>
      </c>
      <c r="Q129" s="79">
        <f t="shared" si="59"/>
        <v>66000</v>
      </c>
      <c r="R129" s="587">
        <f t="shared" si="59"/>
        <v>61000</v>
      </c>
      <c r="S129" s="78">
        <f t="shared" si="58"/>
        <v>915000</v>
      </c>
      <c r="AF129" s="2226"/>
      <c r="AG129" s="2226"/>
      <c r="AH129" s="2226"/>
      <c r="AI129" s="2226"/>
    </row>
    <row r="130" spans="1:35" s="39" customFormat="1" x14ac:dyDescent="0.2">
      <c r="A130" s="658"/>
      <c r="B130" s="126"/>
      <c r="C130" s="911"/>
      <c r="D130" s="596" t="s">
        <v>1254</v>
      </c>
      <c r="E130" s="567">
        <f>IF(E213=0,0,$D127-E128)</f>
        <v>0</v>
      </c>
      <c r="F130" s="75"/>
      <c r="G130" s="21">
        <f>D127</f>
        <v>2893600</v>
      </c>
      <c r="H130" s="75">
        <f>IF(H213=0,0,$D127-SUM($E128:H128))</f>
        <v>2791600</v>
      </c>
      <c r="I130" s="21">
        <f>IF(I213=0,0,$D127-SUM($E128:I128))</f>
        <v>2686600</v>
      </c>
      <c r="J130" s="21">
        <f>IF(J213=0,0,$D127-SUM($E128:J128))</f>
        <v>2577600</v>
      </c>
      <c r="K130" s="21">
        <f>IF(K213=0,0,$D127-SUM($E128:K128))</f>
        <v>2464600</v>
      </c>
      <c r="L130" s="21">
        <f>IF(L213=0,0,$D127-SUM($E128:L128))</f>
        <v>2347600</v>
      </c>
      <c r="M130" s="21">
        <f>IF(M213=0,0,$D127-SUM($E128:M128))</f>
        <v>2226600</v>
      </c>
      <c r="N130" s="21">
        <f>IF(N213=0,0,$D127-SUM($E128:N128))</f>
        <v>2101600</v>
      </c>
      <c r="O130" s="21">
        <f>IF(O213=0,0,$D127-SUM($E128:O128))</f>
        <v>1971600</v>
      </c>
      <c r="P130" s="21">
        <f>IF(P213=0,0,$D127-SUM($E128:P128))</f>
        <v>1836600</v>
      </c>
      <c r="Q130" s="21">
        <f>IF(Q213=0,0,$D127-SUM($E128:Q128))</f>
        <v>1697600</v>
      </c>
      <c r="R130" s="64">
        <f>IF(R213=0,0,$D127-SUM($E128:R128))</f>
        <v>1553600</v>
      </c>
      <c r="S130" s="62"/>
    </row>
    <row r="131" spans="1:35" s="39" customFormat="1" x14ac:dyDescent="0.2">
      <c r="A131" s="658"/>
      <c r="B131" s="126"/>
      <c r="C131" s="911"/>
      <c r="D131" s="596"/>
      <c r="E131" s="567"/>
      <c r="F131" s="75"/>
      <c r="G131" s="1493"/>
      <c r="H131" s="75"/>
      <c r="I131" s="21"/>
      <c r="J131" s="21"/>
      <c r="K131" s="21"/>
      <c r="L131" s="21"/>
      <c r="M131" s="21"/>
      <c r="N131" s="21"/>
      <c r="O131" s="21"/>
      <c r="P131" s="21"/>
      <c r="Q131" s="21"/>
      <c r="R131" s="64"/>
      <c r="S131" s="62"/>
    </row>
    <row r="132" spans="1:35" s="80" customFormat="1" x14ac:dyDescent="0.2">
      <c r="A132" s="699" t="str">
        <f>A89</f>
        <v>Ballina Swimming Pool - Stage Two</v>
      </c>
      <c r="B132" s="584"/>
      <c r="C132" s="910">
        <f>C89</f>
        <v>4.02E-2</v>
      </c>
      <c r="D132" s="586">
        <f>D89</f>
        <v>3309500</v>
      </c>
      <c r="E132" s="695"/>
      <c r="F132" s="77"/>
      <c r="G132" s="79"/>
      <c r="H132" s="79"/>
      <c r="I132" s="79"/>
      <c r="J132" s="79"/>
      <c r="K132" s="79"/>
      <c r="L132" s="79"/>
      <c r="M132" s="79"/>
      <c r="N132" s="79"/>
      <c r="O132" s="79"/>
      <c r="P132" s="79"/>
      <c r="Q132" s="79"/>
      <c r="R132" s="587"/>
      <c r="S132" s="78"/>
      <c r="AF132" s="2226"/>
      <c r="AG132" s="2226"/>
      <c r="AH132" s="2226"/>
      <c r="AI132" s="2226"/>
    </row>
    <row r="133" spans="1:35" s="80" customFormat="1" x14ac:dyDescent="0.2">
      <c r="A133" s="654" t="s">
        <v>6911</v>
      </c>
      <c r="B133" s="584"/>
      <c r="C133" s="910"/>
      <c r="D133" s="586" t="s">
        <v>2560</v>
      </c>
      <c r="E133" s="695"/>
      <c r="F133" s="79"/>
      <c r="G133" s="79"/>
      <c r="H133" s="79">
        <f>(-ROUND(PMT($C$89,$B$89,$D$89),-3)-H134)/2</f>
        <v>72000</v>
      </c>
      <c r="I133" s="79">
        <f>IF(I89=0,0,-ROUND(PMT($C$89,$B$89,$D$89),-3)-I134)</f>
        <v>114000</v>
      </c>
      <c r="J133" s="79">
        <f>IF(J89=0,0,-ROUND(PMT($C$89,$B$89,$D$89),-3)-J134)</f>
        <v>118000</v>
      </c>
      <c r="K133" s="79">
        <f t="shared" ref="K133:O133" si="60">IF(K89=0,0,-ROUND(PMT($C$89,$B$89,$D$89),-3)-K134)</f>
        <v>123000</v>
      </c>
      <c r="L133" s="79">
        <f t="shared" si="60"/>
        <v>128000</v>
      </c>
      <c r="M133" s="79">
        <f t="shared" si="60"/>
        <v>133000</v>
      </c>
      <c r="N133" s="79">
        <f t="shared" si="60"/>
        <v>139000</v>
      </c>
      <c r="O133" s="79">
        <f t="shared" si="60"/>
        <v>144000</v>
      </c>
      <c r="P133" s="79">
        <f>IF(P89=0,0,-ROUND(PMT($C$89,$B$89,$D$89),-3)-P134)</f>
        <v>150000</v>
      </c>
      <c r="Q133" s="79">
        <f>IF(Q89=0,0,-ROUND(PMT($C$89,$B$89,$D$89),-3)-Q134)</f>
        <v>156000</v>
      </c>
      <c r="R133" s="587">
        <f>IF(R89=0,0,-ROUND(PMT($C$89,$B$89,$D$89),-3)-R134)</f>
        <v>162000</v>
      </c>
      <c r="S133" s="78">
        <f t="shared" ref="S133:S134" si="61">SUM(E133:R133)</f>
        <v>1439000</v>
      </c>
      <c r="AF133" s="2226"/>
      <c r="AG133" s="2226"/>
      <c r="AH133" s="2226"/>
      <c r="AI133" s="2226"/>
    </row>
    <row r="134" spans="1:35" s="80" customFormat="1" x14ac:dyDescent="0.2">
      <c r="A134" s="2222"/>
      <c r="B134" s="584"/>
      <c r="C134" s="910"/>
      <c r="D134" s="586" t="s">
        <v>2624</v>
      </c>
      <c r="E134" s="695"/>
      <c r="F134" s="77"/>
      <c r="G134" s="79"/>
      <c r="H134" s="2223">
        <f>ROUND(D132*C132*0.75,-3)</f>
        <v>100000</v>
      </c>
      <c r="I134" s="79">
        <f>IF(I89&gt;0,ROUND(H135*$C$89,-3),0)</f>
        <v>130000</v>
      </c>
      <c r="J134" s="79">
        <f>IF(J89&gt;0,ROUND(I135*$C$89,-3),0)</f>
        <v>126000</v>
      </c>
      <c r="K134" s="79">
        <f t="shared" ref="K134:R134" si="62">IF(K89&gt;0,ROUND(J135*$C$89,-3),0)</f>
        <v>121000</v>
      </c>
      <c r="L134" s="79">
        <f>IF(L89&gt;0,ROUND(K135*$C$89,-3),0)</f>
        <v>116000</v>
      </c>
      <c r="M134" s="79">
        <f t="shared" si="62"/>
        <v>111000</v>
      </c>
      <c r="N134" s="79">
        <f t="shared" si="62"/>
        <v>105000</v>
      </c>
      <c r="O134" s="79">
        <f t="shared" si="62"/>
        <v>100000</v>
      </c>
      <c r="P134" s="79">
        <f t="shared" si="62"/>
        <v>94000</v>
      </c>
      <c r="Q134" s="79">
        <f t="shared" si="62"/>
        <v>88000</v>
      </c>
      <c r="R134" s="587">
        <f t="shared" si="62"/>
        <v>82000</v>
      </c>
      <c r="S134" s="78">
        <f t="shared" si="61"/>
        <v>1173000</v>
      </c>
      <c r="AF134" s="2226"/>
      <c r="AG134" s="2226"/>
      <c r="AH134" s="2226"/>
      <c r="AI134" s="2226"/>
    </row>
    <row r="135" spans="1:35" s="39" customFormat="1" x14ac:dyDescent="0.2">
      <c r="A135" s="658"/>
      <c r="B135" s="126"/>
      <c r="C135" s="911"/>
      <c r="D135" s="596" t="s">
        <v>1254</v>
      </c>
      <c r="E135" s="567">
        <v>0</v>
      </c>
      <c r="F135" s="75"/>
      <c r="G135" s="75"/>
      <c r="H135" s="21">
        <f>IF(H214=0,0,$D132-SUM($E133:H133))</f>
        <v>3237500</v>
      </c>
      <c r="I135" s="21">
        <f>IF(I214=0,0,$D132-SUM($E133:I133))</f>
        <v>3123500</v>
      </c>
      <c r="J135" s="21">
        <f>IF(J214=0,0,$D132-SUM($E133:J133))</f>
        <v>3005500</v>
      </c>
      <c r="K135" s="21">
        <f>IF(K214=0,0,$D132-SUM($E133:K133))</f>
        <v>2882500</v>
      </c>
      <c r="L135" s="21">
        <f>IF(L214=0,0,$D132-SUM($E133:L133))</f>
        <v>2754500</v>
      </c>
      <c r="M135" s="21">
        <f>IF(M214=0,0,$D132-SUM($E133:M133))</f>
        <v>2621500</v>
      </c>
      <c r="N135" s="21">
        <f>IF(N214=0,0,$D132-SUM($E133:N133))</f>
        <v>2482500</v>
      </c>
      <c r="O135" s="21">
        <f>IF(O214=0,0,$D132-SUM($E133:O133))</f>
        <v>2338500</v>
      </c>
      <c r="P135" s="21">
        <f>IF(P214=0,0,$D132-SUM($E133:P133))</f>
        <v>2188500</v>
      </c>
      <c r="Q135" s="21">
        <f>IF(Q214=0,0,$D132-SUM($E133:Q133))</f>
        <v>2032500</v>
      </c>
      <c r="R135" s="64">
        <f>IF(R214=0,0,$D132-SUM($E133:R133))</f>
        <v>1870500</v>
      </c>
      <c r="S135" s="62"/>
    </row>
    <row r="136" spans="1:35" s="39" customFormat="1" x14ac:dyDescent="0.2">
      <c r="A136" s="658"/>
      <c r="B136" s="126"/>
      <c r="C136" s="911"/>
      <c r="D136" s="596"/>
      <c r="E136" s="567"/>
      <c r="F136" s="75"/>
      <c r="G136" s="75"/>
      <c r="H136" s="75"/>
      <c r="I136" s="75"/>
      <c r="J136" s="75"/>
      <c r="K136" s="75"/>
      <c r="L136" s="75"/>
      <c r="M136" s="75"/>
      <c r="N136" s="21"/>
      <c r="O136" s="21"/>
      <c r="P136" s="21"/>
      <c r="Q136" s="21"/>
      <c r="R136" s="64"/>
      <c r="S136" s="62"/>
    </row>
    <row r="137" spans="1:35" s="80" customFormat="1" x14ac:dyDescent="0.2">
      <c r="A137" s="699" t="str">
        <f>A90</f>
        <v>Alstonville Swimming Pool - Stage Two</v>
      </c>
      <c r="B137" s="584"/>
      <c r="C137" s="910">
        <f>C90</f>
        <v>4.02E-2</v>
      </c>
      <c r="D137" s="586">
        <f>D90</f>
        <v>2618300</v>
      </c>
      <c r="E137" s="695"/>
      <c r="F137" s="77"/>
      <c r="G137" s="79"/>
      <c r="H137" s="79"/>
      <c r="I137" s="79"/>
      <c r="J137" s="79"/>
      <c r="K137" s="79"/>
      <c r="L137" s="79"/>
      <c r="M137" s="79"/>
      <c r="N137" s="79"/>
      <c r="O137" s="79"/>
      <c r="P137" s="79"/>
      <c r="Q137" s="79"/>
      <c r="R137" s="587"/>
      <c r="S137" s="78"/>
      <c r="AF137" s="2226"/>
      <c r="AG137" s="2226"/>
      <c r="AH137" s="2226"/>
      <c r="AI137" s="2226"/>
    </row>
    <row r="138" spans="1:35" s="80" customFormat="1" x14ac:dyDescent="0.2">
      <c r="A138" s="654" t="s">
        <v>6911</v>
      </c>
      <c r="B138" s="584"/>
      <c r="C138" s="910"/>
      <c r="D138" s="586" t="s">
        <v>2560</v>
      </c>
      <c r="E138" s="695"/>
      <c r="F138" s="79"/>
      <c r="G138" s="79"/>
      <c r="H138" s="79">
        <f>(-ROUND(PMT($C$90,$B$90,$D$90),-3)-H139)/2</f>
        <v>57000</v>
      </c>
      <c r="I138" s="79">
        <f>IF(I90=0,0,-ROUND(PMT($C$90,$B$90,$D$90),-3)-I139)</f>
        <v>90000</v>
      </c>
      <c r="J138" s="79">
        <f>IF(J90=0,0,-ROUND(PMT($C$90,$B$90,$D$90),-3)-J139)</f>
        <v>94000</v>
      </c>
      <c r="K138" s="79">
        <f t="shared" ref="K138:Q138" si="63">IF(K90=0,0,-ROUND(PMT($C$90,$B$90,$D$90),-3)-K139)</f>
        <v>97000</v>
      </c>
      <c r="L138" s="79">
        <f t="shared" si="63"/>
        <v>101000</v>
      </c>
      <c r="M138" s="79">
        <f t="shared" si="63"/>
        <v>105000</v>
      </c>
      <c r="N138" s="79">
        <f t="shared" si="63"/>
        <v>110000</v>
      </c>
      <c r="O138" s="79">
        <f t="shared" si="63"/>
        <v>114000</v>
      </c>
      <c r="P138" s="79">
        <f t="shared" si="63"/>
        <v>119000</v>
      </c>
      <c r="Q138" s="79">
        <f t="shared" si="63"/>
        <v>123000</v>
      </c>
      <c r="R138" s="587">
        <f t="shared" ref="R138" si="64">IF(R90=0,0,-ROUND(PMT($C$90,$B$90,$D$90),-3)-R139)</f>
        <v>128000</v>
      </c>
      <c r="S138" s="78">
        <f t="shared" ref="S138:S139" si="65">SUM(E138:R138)</f>
        <v>1138000</v>
      </c>
      <c r="AF138" s="2226"/>
      <c r="AG138" s="2226"/>
      <c r="AH138" s="2226"/>
      <c r="AI138" s="2226"/>
    </row>
    <row r="139" spans="1:35" s="80" customFormat="1" x14ac:dyDescent="0.2">
      <c r="A139" s="2222"/>
      <c r="B139" s="584"/>
      <c r="C139" s="910"/>
      <c r="D139" s="586" t="s">
        <v>2624</v>
      </c>
      <c r="E139" s="695"/>
      <c r="F139" s="77"/>
      <c r="G139" s="79"/>
      <c r="H139" s="2223">
        <f>ROUND(D137*C137*0.75,-3)</f>
        <v>79000</v>
      </c>
      <c r="I139" s="79">
        <f>IF(I90&gt;0,ROUND(H140*$C$90,-3),0)</f>
        <v>103000</v>
      </c>
      <c r="J139" s="79">
        <f>IF(J90&gt;0,ROUND(I140*$C$90,-3),0)</f>
        <v>99000</v>
      </c>
      <c r="K139" s="79">
        <f t="shared" ref="K139:R139" si="66">IF(K90&gt;0,ROUND(J140*$C$90,-3),0)</f>
        <v>96000</v>
      </c>
      <c r="L139" s="79">
        <f t="shared" si="66"/>
        <v>92000</v>
      </c>
      <c r="M139" s="79">
        <f t="shared" si="66"/>
        <v>88000</v>
      </c>
      <c r="N139" s="79">
        <f t="shared" si="66"/>
        <v>83000</v>
      </c>
      <c r="O139" s="79">
        <f t="shared" si="66"/>
        <v>79000</v>
      </c>
      <c r="P139" s="79">
        <f t="shared" si="66"/>
        <v>74000</v>
      </c>
      <c r="Q139" s="79">
        <f t="shared" si="66"/>
        <v>70000</v>
      </c>
      <c r="R139" s="587">
        <f t="shared" si="66"/>
        <v>65000</v>
      </c>
      <c r="S139" s="78">
        <f t="shared" si="65"/>
        <v>928000</v>
      </c>
      <c r="AF139" s="2226"/>
      <c r="AG139" s="2226"/>
      <c r="AH139" s="2226"/>
      <c r="AI139" s="2226"/>
    </row>
    <row r="140" spans="1:35" s="39" customFormat="1" x14ac:dyDescent="0.2">
      <c r="A140" s="2222"/>
      <c r="B140" s="126"/>
      <c r="C140" s="911"/>
      <c r="D140" s="596" t="s">
        <v>1254</v>
      </c>
      <c r="E140" s="567">
        <f>IF(E227=0,0,$D137-E138)</f>
        <v>0</v>
      </c>
      <c r="F140" s="75"/>
      <c r="G140" s="75"/>
      <c r="H140" s="21">
        <f>IF(H215=0,0,$D137-SUM($E138:H138))</f>
        <v>2561300</v>
      </c>
      <c r="I140" s="21">
        <f>IF(I215=0,0,$D137-SUM($E138:I138))</f>
        <v>2471300</v>
      </c>
      <c r="J140" s="21">
        <f>IF(J215=0,0,$D137-SUM($E138:J138))</f>
        <v>2377300</v>
      </c>
      <c r="K140" s="21">
        <f>IF(K215=0,0,$D137-SUM($E138:K138))</f>
        <v>2280300</v>
      </c>
      <c r="L140" s="21">
        <f>IF(L215=0,0,$D137-SUM($E138:L138))</f>
        <v>2179300</v>
      </c>
      <c r="M140" s="21">
        <f>IF(M215=0,0,$D137-SUM($E138:M138))</f>
        <v>2074300</v>
      </c>
      <c r="N140" s="21">
        <f>IF(N215=0,0,$D137-SUM($E138:N138))</f>
        <v>1964300</v>
      </c>
      <c r="O140" s="21">
        <f>IF(O215=0,0,$D137-SUM($E138:O138))</f>
        <v>1850300</v>
      </c>
      <c r="P140" s="21">
        <f>IF(P215=0,0,$D137-SUM($E138:P138))</f>
        <v>1731300</v>
      </c>
      <c r="Q140" s="21">
        <f>IF(Q215=0,0,$D137-SUM($E138:Q138))</f>
        <v>1608300</v>
      </c>
      <c r="R140" s="64">
        <f>IF(R215=0,0,$D137-SUM($E138:R138))</f>
        <v>1480300</v>
      </c>
      <c r="S140" s="62"/>
    </row>
    <row r="141" spans="1:35" s="39" customFormat="1" x14ac:dyDescent="0.2">
      <c r="A141" s="658"/>
      <c r="B141" s="126"/>
      <c r="C141" s="911"/>
      <c r="D141" s="596"/>
      <c r="E141" s="567"/>
      <c r="F141" s="75"/>
      <c r="G141" s="21"/>
      <c r="H141" s="75"/>
      <c r="I141" s="21"/>
      <c r="J141" s="21"/>
      <c r="K141" s="21"/>
      <c r="L141" s="21"/>
      <c r="M141" s="21"/>
      <c r="N141" s="21"/>
      <c r="O141" s="21"/>
      <c r="P141" s="21"/>
      <c r="Q141" s="21"/>
      <c r="R141" s="64"/>
      <c r="S141" s="62"/>
    </row>
    <row r="142" spans="1:35" s="2226" customFormat="1" x14ac:dyDescent="0.2">
      <c r="A142" s="699" t="str">
        <f>+A18</f>
        <v>Ballina - Stage Three</v>
      </c>
      <c r="B142" s="584"/>
      <c r="C142" s="910">
        <f>+C91</f>
        <v>4.07E-2</v>
      </c>
      <c r="D142" s="586">
        <f>D91</f>
        <v>220000</v>
      </c>
      <c r="E142" s="695"/>
      <c r="F142" s="77"/>
      <c r="G142" s="79"/>
      <c r="H142" s="79"/>
      <c r="I142" s="79"/>
      <c r="J142" s="79"/>
      <c r="K142" s="79"/>
      <c r="L142" s="79"/>
      <c r="M142" s="79"/>
      <c r="N142" s="79"/>
      <c r="O142" s="79"/>
      <c r="P142" s="79"/>
      <c r="Q142" s="79"/>
      <c r="R142" s="587"/>
      <c r="S142" s="78"/>
    </row>
    <row r="143" spans="1:35" s="2226" customFormat="1" x14ac:dyDescent="0.2">
      <c r="A143" s="654" t="s">
        <v>11889</v>
      </c>
      <c r="B143" s="584"/>
      <c r="C143" s="910"/>
      <c r="D143" s="586" t="s">
        <v>2560</v>
      </c>
      <c r="E143" s="695"/>
      <c r="F143" s="79"/>
      <c r="G143" s="79"/>
      <c r="H143" s="79">
        <f>(-ROUND(PMT($C$91,$B$91,$D$91),-3)-H144)/12*5+50</f>
        <v>3800</v>
      </c>
      <c r="I143" s="79">
        <f t="shared" ref="I143:Q143" si="67">IF(I91=0,0,-ROUND(PMT($C$91,$B$91,$D$91),-3)-I144)</f>
        <v>7000</v>
      </c>
      <c r="J143" s="79">
        <f t="shared" si="67"/>
        <v>7000</v>
      </c>
      <c r="K143" s="79">
        <f t="shared" si="67"/>
        <v>8000</v>
      </c>
      <c r="L143" s="79">
        <f t="shared" si="67"/>
        <v>8000</v>
      </c>
      <c r="M143" s="79">
        <f t="shared" si="67"/>
        <v>8000</v>
      </c>
      <c r="N143" s="79">
        <f t="shared" si="67"/>
        <v>9000</v>
      </c>
      <c r="O143" s="79">
        <f t="shared" si="67"/>
        <v>9000</v>
      </c>
      <c r="P143" s="79">
        <f t="shared" si="67"/>
        <v>9000</v>
      </c>
      <c r="Q143" s="79">
        <f t="shared" si="67"/>
        <v>10000</v>
      </c>
      <c r="R143" s="77">
        <f t="shared" ref="R143" si="68">IF(R91=0,0,-ROUND(PMT($C$91,$B$91,$D$91),-3)-R144)</f>
        <v>10000</v>
      </c>
      <c r="S143" s="78">
        <f t="shared" ref="S143:S144" si="69">SUM(E143:R143)</f>
        <v>88800</v>
      </c>
    </row>
    <row r="144" spans="1:35" s="2226" customFormat="1" x14ac:dyDescent="0.2">
      <c r="A144" s="2222"/>
      <c r="B144" s="584"/>
      <c r="C144" s="910"/>
      <c r="D144" s="586" t="s">
        <v>2624</v>
      </c>
      <c r="E144" s="695"/>
      <c r="F144" s="77"/>
      <c r="G144" s="79">
        <v>0</v>
      </c>
      <c r="H144" s="2223">
        <f>ROUND(D142*C142*0.75,-3)</f>
        <v>7000</v>
      </c>
      <c r="I144" s="79">
        <f>IF(I91&gt;0,ROUND(H145*$C$91,-3),0)</f>
        <v>9000</v>
      </c>
      <c r="J144" s="79">
        <f t="shared" ref="J144:R144" si="70">IF(J91&gt;0,ROUND(I145*$C$91,-3),0)</f>
        <v>9000</v>
      </c>
      <c r="K144" s="79">
        <f t="shared" si="70"/>
        <v>8000</v>
      </c>
      <c r="L144" s="79">
        <f t="shared" si="70"/>
        <v>8000</v>
      </c>
      <c r="M144" s="79">
        <f t="shared" si="70"/>
        <v>8000</v>
      </c>
      <c r="N144" s="79">
        <f t="shared" si="70"/>
        <v>7000</v>
      </c>
      <c r="O144" s="79">
        <f t="shared" si="70"/>
        <v>7000</v>
      </c>
      <c r="P144" s="79">
        <f t="shared" si="70"/>
        <v>7000</v>
      </c>
      <c r="Q144" s="79">
        <f t="shared" si="70"/>
        <v>6000</v>
      </c>
      <c r="R144" s="77">
        <f t="shared" si="70"/>
        <v>6000</v>
      </c>
      <c r="S144" s="78">
        <f t="shared" si="69"/>
        <v>82000</v>
      </c>
    </row>
    <row r="145" spans="1:35" s="39" customFormat="1" x14ac:dyDescent="0.2">
      <c r="A145" s="658"/>
      <c r="B145" s="126"/>
      <c r="C145" s="911"/>
      <c r="D145" s="596" t="s">
        <v>1254</v>
      </c>
      <c r="E145" s="567">
        <v>0</v>
      </c>
      <c r="F145" s="75"/>
      <c r="G145" s="21">
        <f>D142</f>
        <v>220000</v>
      </c>
      <c r="H145" s="75">
        <f>IF(H216=0,0,$D142-SUM($E143:H143))</f>
        <v>216200</v>
      </c>
      <c r="I145" s="75">
        <f>IF(I216=0,0,$D142-SUM($E143:I143))</f>
        <v>209200</v>
      </c>
      <c r="J145" s="75">
        <f>IF(J216=0,0,$D142-SUM($E143:J143))</f>
        <v>202200</v>
      </c>
      <c r="K145" s="75">
        <f>IF(K216=0,0,$D142-SUM($E143:K143))</f>
        <v>194200</v>
      </c>
      <c r="L145" s="75">
        <f>IF(L216=0,0,$D142-SUM($E143:L143))</f>
        <v>186200</v>
      </c>
      <c r="M145" s="75">
        <f>IF(M216=0,0,$D142-SUM($E143:M143))</f>
        <v>178200</v>
      </c>
      <c r="N145" s="75">
        <f>IF(N216=0,0,$D142-SUM($E143:N143))</f>
        <v>169200</v>
      </c>
      <c r="O145" s="75">
        <f>IF(O216=0,0,$D142-SUM($E143:O143))</f>
        <v>160200</v>
      </c>
      <c r="P145" s="75">
        <f>IF(P216=0,0,$D142-SUM($E143:P143))</f>
        <v>151200</v>
      </c>
      <c r="Q145" s="21">
        <f>IF(Q216=0,0,$D142-SUM($E143:Q143))</f>
        <v>141200</v>
      </c>
      <c r="R145" s="75">
        <f>IF(R216=0,0,$D142-SUM($E143:R143))</f>
        <v>131200</v>
      </c>
      <c r="S145" s="62"/>
    </row>
    <row r="146" spans="1:35" s="39" customFormat="1" x14ac:dyDescent="0.2">
      <c r="A146" s="658"/>
      <c r="B146" s="126"/>
      <c r="C146" s="911"/>
      <c r="D146" s="596"/>
      <c r="E146" s="567"/>
      <c r="F146" s="75"/>
      <c r="G146" s="75"/>
      <c r="H146" s="75"/>
      <c r="I146" s="75"/>
      <c r="J146" s="75"/>
      <c r="K146" s="75"/>
      <c r="L146" s="75"/>
      <c r="M146" s="75"/>
      <c r="N146" s="21"/>
      <c r="O146" s="21"/>
      <c r="P146" s="21"/>
      <c r="Q146" s="21"/>
      <c r="R146" s="64"/>
      <c r="S146" s="62"/>
    </row>
    <row r="147" spans="1:35" s="2226" customFormat="1" x14ac:dyDescent="0.2">
      <c r="A147" s="699" t="str">
        <f>+A21</f>
        <v>Alstonville - Stage Three</v>
      </c>
      <c r="B147" s="584"/>
      <c r="C147" s="910">
        <f>+C92</f>
        <v>4.07E-2</v>
      </c>
      <c r="D147" s="586">
        <f>+D92</f>
        <v>300000</v>
      </c>
      <c r="E147" s="695"/>
      <c r="F147" s="77"/>
      <c r="G147" s="79"/>
      <c r="H147" s="79"/>
      <c r="I147" s="79"/>
      <c r="J147" s="79"/>
      <c r="K147" s="79"/>
      <c r="L147" s="79"/>
      <c r="M147" s="79"/>
      <c r="N147" s="79"/>
      <c r="O147" s="79"/>
      <c r="P147" s="79"/>
      <c r="Q147" s="79"/>
      <c r="R147" s="587"/>
      <c r="S147" s="78"/>
    </row>
    <row r="148" spans="1:35" s="2226" customFormat="1" x14ac:dyDescent="0.2">
      <c r="A148" s="654" t="s">
        <v>11889</v>
      </c>
      <c r="B148" s="584"/>
      <c r="C148" s="910"/>
      <c r="D148" s="586" t="s">
        <v>2560</v>
      </c>
      <c r="E148" s="695"/>
      <c r="F148" s="79"/>
      <c r="G148" s="79"/>
      <c r="H148" s="79">
        <f>(-ROUND(PMT($C$91,$B$91,$D$91),-3)-H149)/12*5+17</f>
        <v>2100.3333333333335</v>
      </c>
      <c r="I148" s="79">
        <f>IF(I92=0,0,-ROUND(PMT($C$92,$B$92,$D$92),-3)-I149)</f>
        <v>11000</v>
      </c>
      <c r="J148" s="79">
        <f t="shared" ref="J148:Q148" si="71">IF(J92=0,0,-ROUND(PMT($C$92,$B$92,$D$92),-3)-J149)</f>
        <v>12000</v>
      </c>
      <c r="K148" s="79">
        <f t="shared" si="71"/>
        <v>12000</v>
      </c>
      <c r="L148" s="79">
        <f t="shared" si="71"/>
        <v>13000</v>
      </c>
      <c r="M148" s="79">
        <f t="shared" si="71"/>
        <v>13000</v>
      </c>
      <c r="N148" s="79">
        <f t="shared" si="71"/>
        <v>14000</v>
      </c>
      <c r="O148" s="79">
        <f t="shared" si="71"/>
        <v>14000</v>
      </c>
      <c r="P148" s="79">
        <f t="shared" si="71"/>
        <v>15000</v>
      </c>
      <c r="Q148" s="79">
        <f t="shared" si="71"/>
        <v>15000</v>
      </c>
      <c r="R148" s="77">
        <f t="shared" ref="R148" si="72">IF(R92=0,0,-ROUND(PMT($C$92,$B$92,$D$92),-3)-R149)</f>
        <v>16000</v>
      </c>
      <c r="S148" s="78">
        <f t="shared" ref="S148:S149" si="73">SUM(E148:R148)</f>
        <v>137100.33333333334</v>
      </c>
    </row>
    <row r="149" spans="1:35" s="2226" customFormat="1" x14ac:dyDescent="0.2">
      <c r="A149" s="2222"/>
      <c r="B149" s="584"/>
      <c r="C149" s="910"/>
      <c r="D149" s="586" t="s">
        <v>2624</v>
      </c>
      <c r="E149" s="695"/>
      <c r="F149" s="77"/>
      <c r="G149" s="79">
        <v>0</v>
      </c>
      <c r="H149" s="79">
        <f t="shared" ref="H149" si="74">IF(H108&gt;0,ROUND(G150*$C$88,-3),0)</f>
        <v>11000</v>
      </c>
      <c r="I149" s="79">
        <f t="shared" ref="I149" si="75">IF(I108&gt;0,ROUND(H150*$C$88,-3),0)</f>
        <v>11000</v>
      </c>
      <c r="J149" s="79">
        <f t="shared" ref="J149" si="76">IF(J108&gt;0,ROUND(I150*$C$88,-3),0)</f>
        <v>10000</v>
      </c>
      <c r="K149" s="79">
        <f t="shared" ref="K149" si="77">IF(K108&gt;0,ROUND(J150*$C$88,-3),0)</f>
        <v>10000</v>
      </c>
      <c r="L149" s="79">
        <f t="shared" ref="L149" si="78">IF(L108&gt;0,ROUND(K150*$C$88,-3),0)</f>
        <v>9000</v>
      </c>
      <c r="M149" s="79">
        <f t="shared" ref="M149" si="79">IF(M108&gt;0,ROUND(L150*$C$88,-3),0)</f>
        <v>9000</v>
      </c>
      <c r="N149" s="79">
        <f t="shared" ref="N149" si="80">IF(N108&gt;0,ROUND(M150*$C$88,-3),0)</f>
        <v>8000</v>
      </c>
      <c r="O149" s="79">
        <f t="shared" ref="O149" si="81">IF(O108&gt;0,ROUND(N150*$C$88,-3),0)</f>
        <v>8000</v>
      </c>
      <c r="P149" s="79">
        <f t="shared" ref="P149" si="82">IF(P108&gt;0,ROUND(O150*$C$88,-3),0)</f>
        <v>7000</v>
      </c>
      <c r="Q149" s="79">
        <f t="shared" ref="Q149:R149" si="83">IF(Q108&gt;0,ROUND(P150*$C$88,-3),0)</f>
        <v>7000</v>
      </c>
      <c r="R149" s="77">
        <f t="shared" si="83"/>
        <v>6000</v>
      </c>
      <c r="S149" s="78">
        <f t="shared" si="73"/>
        <v>96000</v>
      </c>
    </row>
    <row r="150" spans="1:35" s="39" customFormat="1" x14ac:dyDescent="0.2">
      <c r="A150" s="2222"/>
      <c r="B150" s="126"/>
      <c r="C150" s="911"/>
      <c r="D150" s="596" t="s">
        <v>1254</v>
      </c>
      <c r="E150" s="567">
        <f>IF(E237=0,0,$D147-E148)</f>
        <v>0</v>
      </c>
      <c r="F150" s="75"/>
      <c r="G150" s="21">
        <f>D147</f>
        <v>300000</v>
      </c>
      <c r="H150" s="75">
        <f>IF(H217=0,0,$D147-SUM($E148:H148))</f>
        <v>297899.66666666669</v>
      </c>
      <c r="I150" s="75">
        <f>IF(I217=0,0,$D147-SUM($E148:I148))</f>
        <v>286899.66666666669</v>
      </c>
      <c r="J150" s="75">
        <f>IF(J217=0,0,$D147-SUM($E148:J148))</f>
        <v>274899.66666666669</v>
      </c>
      <c r="K150" s="75">
        <f>IF(K217=0,0,$D147-SUM($E148:K148))</f>
        <v>262899.66666666669</v>
      </c>
      <c r="L150" s="75">
        <f>IF(L217=0,0,$D147-SUM($E148:L148))</f>
        <v>249899.66666666666</v>
      </c>
      <c r="M150" s="75">
        <f>IF(M217=0,0,$D147-SUM($E148:M148))</f>
        <v>236899.66666666666</v>
      </c>
      <c r="N150" s="75">
        <f>IF(N217=0,0,$D147-SUM($E148:N148))</f>
        <v>222899.66666666666</v>
      </c>
      <c r="O150" s="75">
        <f>IF(O217=0,0,$D147-SUM($E148:O148))</f>
        <v>208899.66666666666</v>
      </c>
      <c r="P150" s="75">
        <f>IF(P217=0,0,$D147-SUM($E148:P148))</f>
        <v>193899.66666666666</v>
      </c>
      <c r="Q150" s="21">
        <f>IF(Q217=0,0,$D147-SUM($E148:Q148))</f>
        <v>178899.66666666666</v>
      </c>
      <c r="R150" s="75">
        <f>IF(R217=0,0,$D147-SUM($E148:R148))</f>
        <v>162899.66666666666</v>
      </c>
      <c r="S150" s="62"/>
    </row>
    <row r="151" spans="1:35" s="80" customFormat="1" x14ac:dyDescent="0.2">
      <c r="A151" s="654"/>
      <c r="B151" s="584"/>
      <c r="C151" s="910"/>
      <c r="D151" s="586"/>
      <c r="E151" s="695"/>
      <c r="F151" s="77"/>
      <c r="G151" s="79"/>
      <c r="H151" s="77"/>
      <c r="I151" s="79"/>
      <c r="J151" s="79"/>
      <c r="K151" s="79"/>
      <c r="L151" s="79"/>
      <c r="M151" s="79"/>
      <c r="N151" s="79"/>
      <c r="O151" s="79"/>
      <c r="P151" s="79"/>
      <c r="Q151" s="79"/>
      <c r="R151" s="587"/>
      <c r="S151" s="78"/>
      <c r="AF151" s="2226"/>
      <c r="AG151" s="2226"/>
      <c r="AH151" s="2226"/>
      <c r="AI151" s="2226"/>
    </row>
    <row r="152" spans="1:35" s="80" customFormat="1" x14ac:dyDescent="0.2">
      <c r="A152" s="699" t="str">
        <f>A93</f>
        <v>River St Upgrade - Moon to Grant</v>
      </c>
      <c r="B152" s="584"/>
      <c r="C152" s="910">
        <f>C93</f>
        <v>0.04</v>
      </c>
      <c r="D152" s="586">
        <f>D93</f>
        <v>2500000</v>
      </c>
      <c r="E152" s="695"/>
      <c r="F152" s="77"/>
      <c r="G152" s="79"/>
      <c r="H152" s="79"/>
      <c r="I152" s="79"/>
      <c r="J152" s="79"/>
      <c r="K152" s="79"/>
      <c r="L152" s="79"/>
      <c r="M152" s="79"/>
      <c r="N152" s="79"/>
      <c r="O152" s="79"/>
      <c r="P152" s="79"/>
      <c r="Q152" s="79"/>
      <c r="R152" s="587"/>
      <c r="S152" s="78"/>
      <c r="AF152" s="2226"/>
      <c r="AG152" s="2226"/>
      <c r="AH152" s="2226"/>
      <c r="AI152" s="2226"/>
    </row>
    <row r="153" spans="1:35" s="80" customFormat="1" x14ac:dyDescent="0.2">
      <c r="A153" s="654"/>
      <c r="B153" s="584"/>
      <c r="C153" s="910"/>
      <c r="D153" s="586" t="s">
        <v>2560</v>
      </c>
      <c r="E153" s="695"/>
      <c r="F153" s="79"/>
      <c r="G153" s="79"/>
      <c r="H153" s="79"/>
      <c r="I153" s="79"/>
      <c r="J153" s="79">
        <f>IF(J93=0,0,-ROUND(PMT($C$93,$B$93,$D$93),-3)-J154)</f>
        <v>208000</v>
      </c>
      <c r="K153" s="79">
        <f t="shared" ref="K153:Q153" si="84">IF(K93=0,0,-ROUND(PMT($C$93,$B$93,$D$93),-3)-K154)</f>
        <v>216000</v>
      </c>
      <c r="L153" s="79">
        <f>IF(L93=0,0,-ROUND(PMT($C$93,$B$93,$D$93),-3)-L154)</f>
        <v>225000</v>
      </c>
      <c r="M153" s="79">
        <f t="shared" si="84"/>
        <v>234000</v>
      </c>
      <c r="N153" s="79">
        <f t="shared" si="84"/>
        <v>243000</v>
      </c>
      <c r="O153" s="79">
        <f t="shared" si="84"/>
        <v>253000</v>
      </c>
      <c r="P153" s="79">
        <f t="shared" si="84"/>
        <v>263000</v>
      </c>
      <c r="Q153" s="79">
        <f t="shared" si="84"/>
        <v>274000</v>
      </c>
      <c r="R153" s="587">
        <f t="shared" ref="R153" si="85">IF(R93=0,0,-ROUND(PMT($C$93,$B$93,$D$93),-3)-R154)</f>
        <v>285000</v>
      </c>
      <c r="S153" s="78">
        <f t="shared" ref="S153:S154" si="86">SUM(E153:R153)</f>
        <v>2201000</v>
      </c>
      <c r="AF153" s="2226"/>
      <c r="AG153" s="2226"/>
      <c r="AH153" s="2226"/>
      <c r="AI153" s="2226"/>
    </row>
    <row r="154" spans="1:35" s="80" customFormat="1" x14ac:dyDescent="0.2">
      <c r="A154" s="654"/>
      <c r="B154" s="584"/>
      <c r="C154" s="910"/>
      <c r="D154" s="586" t="s">
        <v>2624</v>
      </c>
      <c r="E154" s="695"/>
      <c r="F154" s="77"/>
      <c r="G154" s="79"/>
      <c r="H154" s="79"/>
      <c r="I154" s="79"/>
      <c r="J154" s="79">
        <f>IF(J93&gt;0,ROUND(I155*$C$93,-3),0)</f>
        <v>100000</v>
      </c>
      <c r="K154" s="79">
        <f>IF(K93&gt;0,ROUND(J155*$C$93,-3),0)</f>
        <v>92000</v>
      </c>
      <c r="L154" s="79">
        <f>IF(L93&gt;0,ROUND(K155*$C$93,-3),0)</f>
        <v>83000</v>
      </c>
      <c r="M154" s="79">
        <f t="shared" ref="M154:R154" si="87">IF(M93&gt;0,ROUND(L155*$C$93,-3),0)</f>
        <v>74000</v>
      </c>
      <c r="N154" s="79">
        <f t="shared" si="87"/>
        <v>65000</v>
      </c>
      <c r="O154" s="79">
        <f t="shared" si="87"/>
        <v>55000</v>
      </c>
      <c r="P154" s="79">
        <f t="shared" si="87"/>
        <v>45000</v>
      </c>
      <c r="Q154" s="79">
        <f t="shared" si="87"/>
        <v>34000</v>
      </c>
      <c r="R154" s="587">
        <f t="shared" si="87"/>
        <v>23000</v>
      </c>
      <c r="S154" s="78">
        <f t="shared" si="86"/>
        <v>571000</v>
      </c>
      <c r="AF154" s="2226"/>
      <c r="AG154" s="2226"/>
      <c r="AH154" s="2226"/>
      <c r="AI154" s="2226"/>
    </row>
    <row r="155" spans="1:35" s="39" customFormat="1" x14ac:dyDescent="0.2">
      <c r="A155" s="658"/>
      <c r="B155" s="126"/>
      <c r="C155" s="911"/>
      <c r="D155" s="596" t="s">
        <v>1254</v>
      </c>
      <c r="E155" s="567">
        <f>IF(E236=0,0,$D152-E153)</f>
        <v>0</v>
      </c>
      <c r="F155" s="75"/>
      <c r="G155" s="75"/>
      <c r="H155" s="75"/>
      <c r="I155" s="75">
        <f>D152</f>
        <v>2500000</v>
      </c>
      <c r="J155" s="75">
        <f>IF(J218=0,0,$D152-SUM($E153:J153))</f>
        <v>2292000</v>
      </c>
      <c r="K155" s="75">
        <f>IF(K218=0,0,$D152-SUM($E153:K153))</f>
        <v>2076000</v>
      </c>
      <c r="L155" s="75">
        <f>IF(L218=0,0,$D152-SUM($E153:L153))</f>
        <v>1851000</v>
      </c>
      <c r="M155" s="75">
        <f>IF(M218=0,0,$D152-SUM($E153:M153))</f>
        <v>1617000</v>
      </c>
      <c r="N155" s="21">
        <f>IF(N218=0,0,$D152-SUM($E153:N153))</f>
        <v>1374000</v>
      </c>
      <c r="O155" s="21">
        <f>IF(O218=0,0,$D152-SUM($E153:O153))</f>
        <v>1121000</v>
      </c>
      <c r="P155" s="21">
        <f>IF(P218=0,0,$D152-SUM($E153:P153))</f>
        <v>858000</v>
      </c>
      <c r="Q155" s="21">
        <f>IF(Q218=0,0,$D152-SUM($E153:Q153))</f>
        <v>584000</v>
      </c>
      <c r="R155" s="64">
        <f>IF(R218=0,0,$D152-SUM($E153:R153))</f>
        <v>299000</v>
      </c>
      <c r="S155" s="62"/>
    </row>
    <row r="156" spans="1:35" s="80" customFormat="1" x14ac:dyDescent="0.2">
      <c r="A156" s="654"/>
      <c r="B156" s="584"/>
      <c r="C156" s="910"/>
      <c r="D156" s="586"/>
      <c r="E156" s="695"/>
      <c r="F156" s="77"/>
      <c r="G156" s="79"/>
      <c r="H156" s="77"/>
      <c r="I156" s="79"/>
      <c r="J156" s="79"/>
      <c r="K156" s="79"/>
      <c r="L156" s="79"/>
      <c r="M156" s="79"/>
      <c r="N156" s="79"/>
      <c r="O156" s="79"/>
      <c r="P156" s="79"/>
      <c r="Q156" s="79"/>
      <c r="R156" s="587"/>
      <c r="S156" s="78"/>
      <c r="AF156" s="2226"/>
      <c r="AG156" s="2226"/>
      <c r="AH156" s="2226"/>
      <c r="AI156" s="2226"/>
    </row>
    <row r="157" spans="1:35" s="80" customFormat="1" x14ac:dyDescent="0.2">
      <c r="A157" s="699" t="s">
        <v>5899</v>
      </c>
      <c r="B157" s="584"/>
      <c r="C157" s="910">
        <f>C94</f>
        <v>0.04</v>
      </c>
      <c r="D157" s="586">
        <f>D94</f>
        <v>8340000</v>
      </c>
      <c r="E157" s="695"/>
      <c r="F157" s="77"/>
      <c r="G157" s="79"/>
      <c r="H157" s="79"/>
      <c r="I157" s="79"/>
      <c r="J157" s="79"/>
      <c r="K157" s="79"/>
      <c r="L157" s="79"/>
      <c r="M157" s="79"/>
      <c r="N157" s="79"/>
      <c r="O157" s="79"/>
      <c r="P157" s="79"/>
      <c r="Q157" s="79"/>
      <c r="R157" s="587"/>
      <c r="S157" s="78"/>
      <c r="AF157" s="2226"/>
      <c r="AG157" s="2226"/>
      <c r="AH157" s="2226"/>
      <c r="AI157" s="2226"/>
    </row>
    <row r="158" spans="1:35" s="80" customFormat="1" x14ac:dyDescent="0.2">
      <c r="A158" s="654"/>
      <c r="B158" s="584"/>
      <c r="C158" s="910"/>
      <c r="D158" s="586" t="s">
        <v>2560</v>
      </c>
      <c r="E158" s="695"/>
      <c r="F158" s="79"/>
      <c r="G158" s="79"/>
      <c r="H158" s="79"/>
      <c r="I158" s="79"/>
      <c r="J158" s="79"/>
      <c r="K158" s="79"/>
      <c r="L158" s="79">
        <f>IF(L94=0,0,-ROUND(PMT($C$94,$B$94,$D$94),-3)-L159)</f>
        <v>416000</v>
      </c>
      <c r="M158" s="79">
        <f t="shared" ref="M158:Q158" si="88">IF(M94=0,0,-ROUND(PMT($C$94,$B$94,$D$94),-3)-M159)</f>
        <v>433000</v>
      </c>
      <c r="N158" s="79">
        <f t="shared" si="88"/>
        <v>450000</v>
      </c>
      <c r="O158" s="79">
        <f t="shared" si="88"/>
        <v>468000</v>
      </c>
      <c r="P158" s="79">
        <f t="shared" si="88"/>
        <v>487000</v>
      </c>
      <c r="Q158" s="79">
        <f t="shared" si="88"/>
        <v>507000</v>
      </c>
      <c r="R158" s="587">
        <f t="shared" ref="R158" si="89">IF(R94=0,0,-ROUND(PMT($C$94,$B$94,$D$94),-3)-R159)</f>
        <v>527000</v>
      </c>
      <c r="S158" s="78">
        <f t="shared" ref="S158:S159" si="90">SUM(E158:R158)</f>
        <v>3288000</v>
      </c>
      <c r="AF158" s="2226"/>
      <c r="AG158" s="2226"/>
      <c r="AH158" s="2226"/>
      <c r="AI158" s="2226"/>
    </row>
    <row r="159" spans="1:35" s="80" customFormat="1" x14ac:dyDescent="0.2">
      <c r="A159" s="654"/>
      <c r="B159" s="584"/>
      <c r="C159" s="910"/>
      <c r="D159" s="586" t="s">
        <v>2624</v>
      </c>
      <c r="E159" s="695"/>
      <c r="F159" s="77"/>
      <c r="G159" s="79"/>
      <c r="H159" s="79"/>
      <c r="I159" s="79"/>
      <c r="J159" s="79"/>
      <c r="K159" s="79"/>
      <c r="L159" s="79">
        <f>IF(L94&gt;0,ROUND(K160*$C$94,-3),0)</f>
        <v>334000</v>
      </c>
      <c r="M159" s="79">
        <f t="shared" ref="M159:R159" si="91">IF(M94&gt;0,ROUND(L160*$C$94,-3),0)</f>
        <v>317000</v>
      </c>
      <c r="N159" s="79">
        <f t="shared" si="91"/>
        <v>300000</v>
      </c>
      <c r="O159" s="79">
        <f t="shared" si="91"/>
        <v>282000</v>
      </c>
      <c r="P159" s="79">
        <f t="shared" si="91"/>
        <v>263000</v>
      </c>
      <c r="Q159" s="79">
        <f t="shared" si="91"/>
        <v>243000</v>
      </c>
      <c r="R159" s="587">
        <f t="shared" si="91"/>
        <v>223000</v>
      </c>
      <c r="S159" s="78">
        <f t="shared" si="90"/>
        <v>1962000</v>
      </c>
      <c r="AF159" s="2226"/>
      <c r="AG159" s="2226"/>
      <c r="AH159" s="2226"/>
      <c r="AI159" s="2226"/>
    </row>
    <row r="160" spans="1:35" s="39" customFormat="1" x14ac:dyDescent="0.2">
      <c r="A160" s="658"/>
      <c r="B160" s="126"/>
      <c r="C160" s="911"/>
      <c r="D160" s="596" t="s">
        <v>1254</v>
      </c>
      <c r="E160" s="567">
        <f>IF(E241=0,0,$D157-E158)</f>
        <v>0</v>
      </c>
      <c r="F160" s="75"/>
      <c r="G160" s="75"/>
      <c r="H160" s="75"/>
      <c r="I160" s="75"/>
      <c r="J160" s="75"/>
      <c r="K160" s="75">
        <f>D157</f>
        <v>8340000</v>
      </c>
      <c r="L160" s="75">
        <f>IF(L219=0,0,$D157-SUM($E158:L158))</f>
        <v>7924000</v>
      </c>
      <c r="M160" s="75">
        <f>IF(M219=0,0,$D157-SUM($E158:M158))</f>
        <v>7491000</v>
      </c>
      <c r="N160" s="21">
        <f>IF(N219=0,0,$D157-SUM($E158:N158))</f>
        <v>7041000</v>
      </c>
      <c r="O160" s="21">
        <f>IF(O219=0,0,$D157-SUM($E158:O158))</f>
        <v>6573000</v>
      </c>
      <c r="P160" s="21">
        <f>IF(P219=0,0,$D157-SUM($E158:P158))</f>
        <v>6086000</v>
      </c>
      <c r="Q160" s="21">
        <f>IF(Q219=0,0,$D157-SUM($E158:Q158))</f>
        <v>5579000</v>
      </c>
      <c r="R160" s="64">
        <f>IF(R219=0,0,$D157-SUM($E158:R158))</f>
        <v>5052000</v>
      </c>
      <c r="S160" s="62"/>
    </row>
    <row r="161" spans="1:48" s="39" customFormat="1" x14ac:dyDescent="0.2">
      <c r="A161" s="658"/>
      <c r="B161" s="126"/>
      <c r="C161" s="911"/>
      <c r="D161" s="596"/>
      <c r="E161" s="567"/>
      <c r="F161" s="75"/>
      <c r="G161" s="75"/>
      <c r="H161" s="75"/>
      <c r="I161" s="75"/>
      <c r="J161" s="75"/>
      <c r="K161" s="75"/>
      <c r="L161" s="75"/>
      <c r="M161" s="75"/>
      <c r="N161" s="21"/>
      <c r="O161" s="21"/>
      <c r="P161" s="21"/>
      <c r="Q161" s="21"/>
      <c r="R161" s="64"/>
      <c r="S161" s="62"/>
    </row>
    <row r="162" spans="1:48" s="80" customFormat="1" ht="13.5" thickBot="1" x14ac:dyDescent="0.25">
      <c r="A162" s="722"/>
      <c r="B162" s="751"/>
      <c r="C162" s="752"/>
      <c r="D162" s="753"/>
      <c r="E162" s="754"/>
      <c r="F162" s="593"/>
      <c r="G162" s="592"/>
      <c r="H162" s="593"/>
      <c r="I162" s="592"/>
      <c r="J162" s="592"/>
      <c r="K162" s="592"/>
      <c r="L162" s="592"/>
      <c r="M162" s="592"/>
      <c r="N162" s="592"/>
      <c r="O162" s="592"/>
      <c r="P162" s="592"/>
      <c r="Q162" s="592"/>
      <c r="R162" s="603"/>
      <c r="S162" s="594"/>
      <c r="AF162" s="2226"/>
      <c r="AG162" s="2226"/>
      <c r="AH162" s="2226"/>
      <c r="AI162" s="2226"/>
    </row>
    <row r="163" spans="1:48" ht="13.5" thickTop="1" x14ac:dyDescent="0.2">
      <c r="A163" s="397"/>
      <c r="B163" s="397"/>
      <c r="O163" s="396"/>
      <c r="T163" s="397"/>
      <c r="U163" s="397"/>
      <c r="V163" s="397"/>
      <c r="W163" s="397"/>
      <c r="Z163" s="397"/>
      <c r="AA163" s="397"/>
      <c r="AC163" s="397"/>
      <c r="AE163" s="397"/>
      <c r="AG163" s="397"/>
      <c r="AU163" s="2051"/>
      <c r="AV163" s="2051"/>
    </row>
    <row r="164" spans="1:48" s="723" customFormat="1" ht="13.5" thickBot="1" x14ac:dyDescent="0.25">
      <c r="D164" s="761"/>
    </row>
    <row r="165" spans="1:48" s="80" customFormat="1" ht="18.75" customHeight="1" thickBot="1" x14ac:dyDescent="0.25">
      <c r="A165" s="2664" t="s">
        <v>91</v>
      </c>
      <c r="B165" s="2665"/>
      <c r="C165" s="2665"/>
      <c r="D165" s="2665"/>
      <c r="E165" s="2665"/>
      <c r="F165" s="2665"/>
      <c r="G165" s="2665"/>
      <c r="H165" s="2665"/>
      <c r="I165" s="2665"/>
      <c r="J165" s="2665"/>
      <c r="K165" s="2665"/>
      <c r="L165" s="2665"/>
      <c r="M165" s="2665"/>
      <c r="N165" s="2665"/>
      <c r="O165" s="2665"/>
      <c r="P165" s="2665"/>
      <c r="Q165" s="2665"/>
      <c r="R165" s="2665"/>
      <c r="S165" s="2666"/>
      <c r="AE165" s="2226"/>
      <c r="AF165" s="2226"/>
      <c r="AG165" s="2226"/>
      <c r="AH165" s="2226"/>
    </row>
    <row r="166" spans="1:48" s="80" customFormat="1" ht="13.5" thickBot="1" x14ac:dyDescent="0.25">
      <c r="A166" s="2260" t="s">
        <v>414</v>
      </c>
      <c r="B166" s="13"/>
      <c r="C166" s="13"/>
      <c r="D166" s="2261" t="s">
        <v>1504</v>
      </c>
      <c r="E166" s="40" t="str">
        <f t="shared" ref="E166:P166" si="92">E100</f>
        <v>2014/15</v>
      </c>
      <c r="F166" s="40" t="str">
        <f t="shared" si="92"/>
        <v>2015/16</v>
      </c>
      <c r="G166" s="40" t="str">
        <f t="shared" si="92"/>
        <v>2016/17</v>
      </c>
      <c r="H166" s="40" t="str">
        <f t="shared" si="92"/>
        <v>2017/18</v>
      </c>
      <c r="I166" s="40" t="str">
        <f t="shared" si="92"/>
        <v>2018/19</v>
      </c>
      <c r="J166" s="40" t="str">
        <f t="shared" si="92"/>
        <v>2019/20</v>
      </c>
      <c r="K166" s="40" t="str">
        <f t="shared" si="92"/>
        <v>2020/21</v>
      </c>
      <c r="L166" s="40" t="str">
        <f t="shared" si="92"/>
        <v>2021/22</v>
      </c>
      <c r="M166" s="40" t="str">
        <f t="shared" si="92"/>
        <v>2022/23</v>
      </c>
      <c r="N166" s="13" t="str">
        <f t="shared" si="92"/>
        <v>2023/24</v>
      </c>
      <c r="O166" s="13" t="str">
        <f t="shared" si="92"/>
        <v>2024/25</v>
      </c>
      <c r="P166" s="13" t="str">
        <f t="shared" si="92"/>
        <v>2025/26</v>
      </c>
      <c r="Q166" s="13" t="str">
        <f>+Q100</f>
        <v>2026/27</v>
      </c>
      <c r="R166" s="13" t="str">
        <f>+R100</f>
        <v>2027/28</v>
      </c>
      <c r="S166" s="2262" t="str">
        <f>S100</f>
        <v>Total</v>
      </c>
      <c r="AF166" s="2226"/>
      <c r="AG166" s="2226"/>
      <c r="AH166" s="2226"/>
      <c r="AI166" s="2226"/>
    </row>
    <row r="167" spans="1:48" s="80" customFormat="1" x14ac:dyDescent="0.2">
      <c r="A167" s="699"/>
      <c r="B167" s="79"/>
      <c r="C167" s="79"/>
      <c r="D167" s="586"/>
      <c r="E167" s="77"/>
      <c r="F167" s="79"/>
      <c r="G167" s="77"/>
      <c r="H167" s="79"/>
      <c r="I167" s="79"/>
      <c r="J167" s="79"/>
      <c r="K167" s="79"/>
      <c r="L167" s="79"/>
      <c r="M167" s="79"/>
      <c r="N167" s="79"/>
      <c r="O167" s="79"/>
      <c r="P167" s="79"/>
      <c r="Q167" s="79"/>
      <c r="R167" s="79"/>
      <c r="S167" s="78"/>
      <c r="AF167" s="2226"/>
      <c r="AG167" s="2226"/>
      <c r="AH167" s="2226"/>
      <c r="AI167" s="2226"/>
    </row>
    <row r="168" spans="1:48" s="80" customFormat="1" x14ac:dyDescent="0.2">
      <c r="A168" s="699" t="s">
        <v>5891</v>
      </c>
      <c r="B168" s="584"/>
      <c r="C168" s="585"/>
      <c r="D168" s="586">
        <f t="shared" ref="D168:D171" si="93">SUM(E168:N168)</f>
        <v>725000</v>
      </c>
      <c r="E168" s="79">
        <f>'Cap Inc'!A153</f>
        <v>725000</v>
      </c>
      <c r="F168" s="77"/>
      <c r="G168" s="79"/>
      <c r="H168" s="79"/>
      <c r="I168" s="79"/>
      <c r="J168" s="79"/>
      <c r="K168" s="79"/>
      <c r="L168" s="79"/>
      <c r="M168" s="79"/>
      <c r="N168" s="79"/>
      <c r="O168" s="79"/>
      <c r="P168" s="79"/>
      <c r="Q168" s="79"/>
      <c r="R168" s="79"/>
      <c r="S168" s="78"/>
      <c r="AF168" s="2226"/>
      <c r="AG168" s="2226"/>
      <c r="AH168" s="2226"/>
      <c r="AI168" s="2226"/>
    </row>
    <row r="169" spans="1:48" s="80" customFormat="1" x14ac:dyDescent="0.2">
      <c r="A169" s="699" t="s">
        <v>6140</v>
      </c>
      <c r="B169" s="584"/>
      <c r="C169" s="585"/>
      <c r="D169" s="586">
        <f t="shared" si="93"/>
        <v>2400000</v>
      </c>
      <c r="E169" s="79"/>
      <c r="F169" s="77"/>
      <c r="G169" s="79">
        <v>0</v>
      </c>
      <c r="H169" s="79">
        <f>'Cap Inc'!F153</f>
        <v>2400000</v>
      </c>
      <c r="I169" s="79"/>
      <c r="J169" s="79"/>
      <c r="K169" s="79"/>
      <c r="L169" s="79"/>
      <c r="M169" s="79"/>
      <c r="N169" s="79"/>
      <c r="O169" s="79"/>
      <c r="P169" s="79"/>
      <c r="Q169" s="79"/>
      <c r="R169" s="79"/>
      <c r="S169" s="78"/>
      <c r="AF169" s="2226"/>
      <c r="AG169" s="2226"/>
      <c r="AH169" s="2226"/>
      <c r="AI169" s="2226"/>
    </row>
    <row r="170" spans="1:48" s="80" customFormat="1" x14ac:dyDescent="0.2">
      <c r="A170" s="699" t="s">
        <v>1386</v>
      </c>
      <c r="B170" s="584"/>
      <c r="C170" s="585"/>
      <c r="D170" s="586">
        <f t="shared" si="93"/>
        <v>0</v>
      </c>
      <c r="E170" s="79"/>
      <c r="F170" s="77"/>
      <c r="G170" s="79"/>
      <c r="H170" s="79"/>
      <c r="I170" s="79"/>
      <c r="J170" s="79"/>
      <c r="K170" s="79"/>
      <c r="L170" s="79"/>
      <c r="M170" s="79"/>
      <c r="N170" s="79"/>
      <c r="O170" s="79"/>
      <c r="P170" s="79"/>
      <c r="Q170" s="79"/>
      <c r="R170" s="79"/>
      <c r="S170" s="78"/>
      <c r="AF170" s="2226"/>
      <c r="AG170" s="2226"/>
      <c r="AH170" s="2226"/>
      <c r="AI170" s="2226"/>
    </row>
    <row r="171" spans="1:48" s="80" customFormat="1" x14ac:dyDescent="0.2">
      <c r="A171" s="699" t="s">
        <v>5919</v>
      </c>
      <c r="B171" s="584"/>
      <c r="C171" s="585"/>
      <c r="D171" s="586">
        <f t="shared" si="93"/>
        <v>500000</v>
      </c>
      <c r="E171" s="79"/>
      <c r="F171" s="77">
        <v>500000</v>
      </c>
      <c r="G171" s="79"/>
      <c r="H171" s="79"/>
      <c r="I171" s="79"/>
      <c r="J171" s="79"/>
      <c r="K171" s="79"/>
      <c r="L171" s="79"/>
      <c r="M171" s="79"/>
      <c r="N171" s="79"/>
      <c r="O171" s="79"/>
      <c r="P171" s="79"/>
      <c r="Q171" s="79"/>
      <c r="R171" s="79"/>
      <c r="S171" s="78"/>
      <c r="AF171" s="2226"/>
      <c r="AG171" s="2226"/>
      <c r="AH171" s="2226"/>
      <c r="AI171" s="2226"/>
    </row>
    <row r="172" spans="1:48" s="80" customFormat="1" x14ac:dyDescent="0.2">
      <c r="A172" s="699" t="s">
        <v>6903</v>
      </c>
      <c r="B172" s="584"/>
      <c r="C172" s="585"/>
      <c r="D172" s="586">
        <v>3818100</v>
      </c>
      <c r="E172" s="79"/>
      <c r="F172" s="79"/>
      <c r="G172" s="79">
        <v>3818100</v>
      </c>
      <c r="H172" s="79"/>
      <c r="I172" s="31"/>
      <c r="J172" s="79"/>
      <c r="K172" s="79"/>
      <c r="L172" s="79"/>
      <c r="M172" s="79"/>
      <c r="N172" s="79"/>
      <c r="O172" s="79"/>
      <c r="P172" s="79"/>
      <c r="Q172" s="79"/>
      <c r="R172" s="79"/>
      <c r="S172" s="78"/>
      <c r="AF172" s="2226"/>
      <c r="AG172" s="2226"/>
      <c r="AH172" s="2226"/>
      <c r="AI172" s="2226"/>
    </row>
    <row r="173" spans="1:48" s="80" customFormat="1" x14ac:dyDescent="0.2">
      <c r="A173" s="699" t="s">
        <v>6905</v>
      </c>
      <c r="B173" s="584"/>
      <c r="C173" s="585"/>
      <c r="D173" s="586">
        <v>2893600</v>
      </c>
      <c r="E173" s="79"/>
      <c r="F173" s="79"/>
      <c r="G173" s="79">
        <v>2893600</v>
      </c>
      <c r="H173" s="79"/>
      <c r="I173" s="79"/>
      <c r="J173" s="31"/>
      <c r="K173" s="79"/>
      <c r="L173" s="79"/>
      <c r="M173" s="79"/>
      <c r="N173" s="79"/>
      <c r="O173" s="79"/>
      <c r="P173" s="79"/>
      <c r="Q173" s="79"/>
      <c r="R173" s="79"/>
      <c r="S173" s="78"/>
      <c r="AF173" s="2226"/>
      <c r="AG173" s="2226"/>
      <c r="AH173" s="2226"/>
      <c r="AI173" s="2226"/>
    </row>
    <row r="174" spans="1:48" s="80" customFormat="1" x14ac:dyDescent="0.2">
      <c r="A174" s="699" t="s">
        <v>6906</v>
      </c>
      <c r="B174" s="584"/>
      <c r="C174" s="585"/>
      <c r="D174" s="586">
        <f>'Cap Inc'!F162</f>
        <v>3529500</v>
      </c>
      <c r="E174" s="79"/>
      <c r="F174" s="79"/>
      <c r="G174" s="79"/>
      <c r="H174" s="79">
        <f>'Cap Inc'!F162-H176</f>
        <v>3309500</v>
      </c>
      <c r="I174" s="31"/>
      <c r="J174" s="79"/>
      <c r="K174" s="79"/>
      <c r="L174" s="79"/>
      <c r="M174" s="79"/>
      <c r="N174" s="79"/>
      <c r="O174" s="79"/>
      <c r="P174" s="79"/>
      <c r="Q174" s="79"/>
      <c r="R174" s="79"/>
      <c r="S174" s="78"/>
      <c r="AF174" s="2226"/>
      <c r="AG174" s="2226"/>
      <c r="AH174" s="2226"/>
      <c r="AI174" s="2226"/>
    </row>
    <row r="175" spans="1:48" s="80" customFormat="1" x14ac:dyDescent="0.2">
      <c r="A175" s="699" t="s">
        <v>6904</v>
      </c>
      <c r="B175" s="584"/>
      <c r="C175" s="585"/>
      <c r="D175" s="586">
        <f>'Cap Inc'!F163</f>
        <v>2918300</v>
      </c>
      <c r="E175" s="79"/>
      <c r="F175" s="79"/>
      <c r="G175" s="79"/>
      <c r="H175" s="79">
        <f>'Cap Inc'!F163-H177</f>
        <v>2588300</v>
      </c>
      <c r="I175" s="79"/>
      <c r="J175" s="31"/>
      <c r="K175" s="79"/>
      <c r="L175" s="79"/>
      <c r="M175" s="79"/>
      <c r="N175" s="79"/>
      <c r="O175" s="79"/>
      <c r="P175" s="79"/>
      <c r="Q175" s="79"/>
      <c r="R175" s="79"/>
      <c r="S175" s="78"/>
      <c r="AF175" s="2226"/>
      <c r="AG175" s="2226"/>
      <c r="AH175" s="2226"/>
      <c r="AI175" s="2226"/>
    </row>
    <row r="176" spans="1:48" s="2226" customFormat="1" x14ac:dyDescent="0.2">
      <c r="A176" s="699" t="s">
        <v>11891</v>
      </c>
      <c r="B176" s="584"/>
      <c r="C176" s="585"/>
      <c r="D176" s="586">
        <v>220000</v>
      </c>
      <c r="E176" s="79"/>
      <c r="F176" s="79"/>
      <c r="G176" s="79"/>
      <c r="H176" s="79">
        <f>+D176</f>
        <v>220000</v>
      </c>
      <c r="I176" s="79"/>
      <c r="J176" s="31"/>
      <c r="K176" s="79"/>
      <c r="L176" s="79"/>
      <c r="M176" s="79"/>
      <c r="N176" s="79"/>
      <c r="O176" s="79"/>
      <c r="P176" s="79"/>
      <c r="Q176" s="79"/>
      <c r="R176" s="79"/>
      <c r="S176" s="78"/>
    </row>
    <row r="177" spans="1:48" s="2226" customFormat="1" x14ac:dyDescent="0.2">
      <c r="A177" s="699" t="s">
        <v>11890</v>
      </c>
      <c r="B177" s="584"/>
      <c r="C177" s="585"/>
      <c r="D177" s="586">
        <v>330000</v>
      </c>
      <c r="E177" s="79"/>
      <c r="F177" s="79"/>
      <c r="G177" s="79"/>
      <c r="H177" s="79">
        <f>+D177</f>
        <v>330000</v>
      </c>
      <c r="I177" s="79"/>
      <c r="J177" s="31"/>
      <c r="K177" s="79"/>
      <c r="L177" s="79"/>
      <c r="M177" s="79"/>
      <c r="N177" s="79"/>
      <c r="O177" s="79"/>
      <c r="P177" s="79"/>
      <c r="Q177" s="79"/>
      <c r="R177" s="79"/>
      <c r="S177" s="78"/>
    </row>
    <row r="178" spans="1:48" s="80" customFormat="1" x14ac:dyDescent="0.2">
      <c r="A178" s="699" t="s">
        <v>5890</v>
      </c>
      <c r="B178" s="584"/>
      <c r="C178" s="585"/>
      <c r="D178" s="586">
        <f>I178</f>
        <v>2500000</v>
      </c>
      <c r="E178" s="79"/>
      <c r="F178" s="79"/>
      <c r="G178" s="79"/>
      <c r="H178" s="79"/>
      <c r="I178" s="79">
        <f>'Cap-Gen'!H130</f>
        <v>2500000</v>
      </c>
      <c r="J178" s="31"/>
      <c r="K178" s="79"/>
      <c r="L178" s="79"/>
      <c r="M178" s="79"/>
      <c r="N178" s="79"/>
      <c r="O178" s="79"/>
      <c r="P178" s="79"/>
      <c r="Q178" s="79"/>
      <c r="R178" s="79"/>
      <c r="S178" s="78"/>
      <c r="AF178" s="2226"/>
      <c r="AG178" s="2226"/>
      <c r="AH178" s="2226"/>
      <c r="AI178" s="2226"/>
    </row>
    <row r="179" spans="1:48" s="80" customFormat="1" x14ac:dyDescent="0.2">
      <c r="A179" s="699" t="s">
        <v>5899</v>
      </c>
      <c r="B179" s="584"/>
      <c r="C179" s="585"/>
      <c r="D179" s="586">
        <f>K179</f>
        <v>8340000</v>
      </c>
      <c r="E179" s="79"/>
      <c r="F179" s="79"/>
      <c r="G179" s="79"/>
      <c r="H179" s="79"/>
      <c r="I179" s="79"/>
      <c r="J179" s="31"/>
      <c r="K179" s="79">
        <f>'Cap-Gen'!AS134+'Cap-Gen'!AS135+'Cap-Gen'!AS136</f>
        <v>8340000</v>
      </c>
      <c r="L179" s="79"/>
      <c r="M179" s="79"/>
      <c r="N179" s="79"/>
      <c r="O179" s="79"/>
      <c r="P179" s="79"/>
      <c r="Q179" s="79"/>
      <c r="R179" s="79"/>
      <c r="S179" s="78"/>
      <c r="AF179" s="2226"/>
      <c r="AG179" s="2226"/>
      <c r="AH179" s="2226"/>
      <c r="AI179" s="2226"/>
    </row>
    <row r="180" spans="1:48" s="80" customFormat="1" ht="13.5" thickBot="1" x14ac:dyDescent="0.25">
      <c r="A180" s="699"/>
      <c r="B180" s="584"/>
      <c r="C180" s="585"/>
      <c r="D180" s="586"/>
      <c r="E180" s="77"/>
      <c r="F180" s="79"/>
      <c r="G180" s="77"/>
      <c r="H180" s="79"/>
      <c r="I180" s="79"/>
      <c r="J180" s="79"/>
      <c r="K180" s="79"/>
      <c r="L180" s="79"/>
      <c r="M180" s="592"/>
      <c r="N180" s="79"/>
      <c r="O180" s="79"/>
      <c r="P180" s="79"/>
      <c r="Q180" s="79"/>
      <c r="R180" s="79"/>
      <c r="S180" s="78"/>
      <c r="AF180" s="2226"/>
      <c r="AG180" s="2226"/>
      <c r="AH180" s="2226"/>
      <c r="AI180" s="2226"/>
    </row>
    <row r="181" spans="1:48" s="39" customFormat="1" ht="13.5" thickTop="1" x14ac:dyDescent="0.2">
      <c r="A181" s="727" t="s">
        <v>1504</v>
      </c>
      <c r="B181" s="352"/>
      <c r="C181" s="589"/>
      <c r="D181" s="590">
        <f>SUM(D168:D180)</f>
        <v>28174500</v>
      </c>
      <c r="E181" s="69">
        <f>SUM(E168:E180)</f>
        <v>725000</v>
      </c>
      <c r="F181" s="109">
        <f t="shared" ref="F181:O181" si="94">SUM(F168:F180)</f>
        <v>500000</v>
      </c>
      <c r="G181" s="69">
        <f>SUM(G168:G180)</f>
        <v>6711700</v>
      </c>
      <c r="H181" s="109">
        <f t="shared" si="94"/>
        <v>8847800</v>
      </c>
      <c r="I181" s="109">
        <f t="shared" si="94"/>
        <v>2500000</v>
      </c>
      <c r="J181" s="109">
        <f t="shared" si="94"/>
        <v>0</v>
      </c>
      <c r="K181" s="109">
        <f t="shared" si="94"/>
        <v>8340000</v>
      </c>
      <c r="L181" s="109">
        <f t="shared" si="94"/>
        <v>0</v>
      </c>
      <c r="M181" s="109">
        <f t="shared" si="94"/>
        <v>0</v>
      </c>
      <c r="N181" s="109">
        <f t="shared" si="94"/>
        <v>0</v>
      </c>
      <c r="O181" s="109">
        <f t="shared" si="94"/>
        <v>0</v>
      </c>
      <c r="P181" s="109">
        <f t="shared" ref="P181:S181" si="95">SUM(P168:P180)</f>
        <v>0</v>
      </c>
      <c r="Q181" s="109">
        <f t="shared" si="95"/>
        <v>0</v>
      </c>
      <c r="R181" s="109">
        <f t="shared" si="95"/>
        <v>0</v>
      </c>
      <c r="S181" s="73">
        <f t="shared" si="95"/>
        <v>0</v>
      </c>
    </row>
    <row r="182" spans="1:48" s="80" customFormat="1" ht="13.5" thickBot="1" x14ac:dyDescent="0.25">
      <c r="A182" s="591"/>
      <c r="B182" s="592"/>
      <c r="C182" s="592"/>
      <c r="D182" s="753"/>
      <c r="E182" s="593"/>
      <c r="F182" s="592"/>
      <c r="G182" s="593"/>
      <c r="H182" s="592"/>
      <c r="I182" s="592"/>
      <c r="J182" s="592"/>
      <c r="K182" s="592"/>
      <c r="L182" s="592"/>
      <c r="M182" s="592"/>
      <c r="N182" s="592"/>
      <c r="O182" s="592"/>
      <c r="P182" s="592"/>
      <c r="Q182" s="592"/>
      <c r="R182" s="592"/>
      <c r="S182" s="594"/>
      <c r="AF182" s="2226"/>
      <c r="AG182" s="2226"/>
      <c r="AH182" s="2226"/>
      <c r="AI182" s="2226"/>
    </row>
    <row r="183" spans="1:48" ht="13.5" thickTop="1" x14ac:dyDescent="0.2">
      <c r="A183" s="397"/>
      <c r="B183" s="397"/>
      <c r="T183" s="397"/>
      <c r="U183" s="397"/>
      <c r="V183" s="397"/>
      <c r="W183" s="397"/>
      <c r="Z183" s="397"/>
      <c r="AA183" s="397"/>
      <c r="AC183" s="397"/>
      <c r="AE183" s="397"/>
      <c r="AG183" s="397"/>
      <c r="AU183" s="2051"/>
      <c r="AV183" s="2051"/>
    </row>
    <row r="184" spans="1:48" ht="13.5" thickBot="1" x14ac:dyDescent="0.25">
      <c r="A184" s="397"/>
      <c r="B184" s="397"/>
      <c r="T184" s="397"/>
      <c r="U184" s="397"/>
      <c r="V184" s="397"/>
      <c r="W184" s="397"/>
      <c r="Z184" s="397"/>
      <c r="AA184" s="397"/>
      <c r="AC184" s="397"/>
      <c r="AE184" s="397"/>
      <c r="AG184" s="397"/>
      <c r="AU184" s="2051"/>
      <c r="AV184" s="2051"/>
    </row>
    <row r="185" spans="1:48" s="80" customFormat="1" ht="18.75" customHeight="1" thickBot="1" x14ac:dyDescent="0.25">
      <c r="A185" s="2667" t="s">
        <v>4210</v>
      </c>
      <c r="B185" s="2668"/>
      <c r="C185" s="2668"/>
      <c r="D185" s="2668"/>
      <c r="E185" s="2668"/>
      <c r="F185" s="2668"/>
      <c r="G185" s="2668"/>
      <c r="H185" s="2668"/>
      <c r="I185" s="2668"/>
      <c r="J185" s="2668"/>
      <c r="K185" s="2668"/>
      <c r="L185" s="2668"/>
      <c r="M185" s="2668"/>
      <c r="N185" s="2668"/>
      <c r="O185" s="2668"/>
      <c r="P185" s="2668"/>
      <c r="Q185" s="2668"/>
      <c r="R185" s="2669"/>
      <c r="AE185" s="2226"/>
      <c r="AF185" s="2226"/>
      <c r="AG185" s="2226"/>
      <c r="AH185" s="2226"/>
    </row>
    <row r="186" spans="1:48" s="80" customFormat="1" ht="13.5" thickBot="1" x14ac:dyDescent="0.25">
      <c r="A186" s="2263" t="s">
        <v>414</v>
      </c>
      <c r="B186" s="13"/>
      <c r="C186" s="13"/>
      <c r="D186" s="2261" t="s">
        <v>1504</v>
      </c>
      <c r="E186" s="40" t="str">
        <f t="shared" ref="E186:N186" si="96">E166</f>
        <v>2014/15</v>
      </c>
      <c r="F186" s="40" t="str">
        <f t="shared" si="96"/>
        <v>2015/16</v>
      </c>
      <c r="G186" s="40" t="str">
        <f t="shared" si="96"/>
        <v>2016/17</v>
      </c>
      <c r="H186" s="40" t="str">
        <f t="shared" si="96"/>
        <v>2017/18</v>
      </c>
      <c r="I186" s="40" t="str">
        <f t="shared" si="96"/>
        <v>2018/19</v>
      </c>
      <c r="J186" s="40" t="str">
        <f t="shared" si="96"/>
        <v>2019/20</v>
      </c>
      <c r="K186" s="40" t="str">
        <f t="shared" si="96"/>
        <v>2020/21</v>
      </c>
      <c r="L186" s="40" t="str">
        <f t="shared" si="96"/>
        <v>2021/22</v>
      </c>
      <c r="M186" s="40" t="str">
        <f t="shared" si="96"/>
        <v>2022/23</v>
      </c>
      <c r="N186" s="13" t="str">
        <f t="shared" si="96"/>
        <v>2023/24</v>
      </c>
      <c r="O186" s="13" t="str">
        <f>O166</f>
        <v>2024/25</v>
      </c>
      <c r="P186" s="13" t="str">
        <f>P166</f>
        <v>2025/26</v>
      </c>
      <c r="Q186" s="311" t="str">
        <f>Q166</f>
        <v>2026/27</v>
      </c>
      <c r="R186" s="2262" t="str">
        <f>R166</f>
        <v>2027/28</v>
      </c>
      <c r="AE186" s="2226"/>
      <c r="AF186" s="2226"/>
      <c r="AG186" s="2226"/>
      <c r="AH186" s="2226"/>
    </row>
    <row r="187" spans="1:48" s="80" customFormat="1" x14ac:dyDescent="0.2">
      <c r="A187" s="699"/>
      <c r="B187" s="79"/>
      <c r="C187" s="79"/>
      <c r="D187" s="586"/>
      <c r="E187" s="77"/>
      <c r="F187" s="79"/>
      <c r="G187" s="77"/>
      <c r="H187" s="79"/>
      <c r="I187" s="79"/>
      <c r="J187" s="79"/>
      <c r="K187" s="79"/>
      <c r="L187" s="79"/>
      <c r="M187" s="79"/>
      <c r="N187" s="79"/>
      <c r="O187" s="79"/>
      <c r="P187" s="79"/>
      <c r="Q187" s="79"/>
      <c r="R187" s="78"/>
      <c r="AE187" s="2226"/>
      <c r="AF187" s="2226"/>
      <c r="AG187" s="2226"/>
      <c r="AH187" s="2226"/>
    </row>
    <row r="188" spans="1:48" s="80" customFormat="1" x14ac:dyDescent="0.2">
      <c r="A188" s="699" t="str">
        <f>A168</f>
        <v>Airport  - Car Park</v>
      </c>
      <c r="B188" s="584"/>
      <c r="C188" s="585"/>
      <c r="D188" s="586">
        <f t="shared" ref="D188:D195" si="97">D168</f>
        <v>725000</v>
      </c>
      <c r="E188" s="79">
        <f t="shared" ref="E188:E195" si="98">IF(E208&gt;0,$D188,0)</f>
        <v>725000</v>
      </c>
      <c r="F188" s="77">
        <f t="shared" ref="F188:Q188" si="99">IF(F208&gt;0,$D188,0)</f>
        <v>725000</v>
      </c>
      <c r="G188" s="79">
        <f t="shared" si="99"/>
        <v>725000</v>
      </c>
      <c r="H188" s="79">
        <f t="shared" si="99"/>
        <v>725000</v>
      </c>
      <c r="I188" s="79">
        <f t="shared" si="99"/>
        <v>725000</v>
      </c>
      <c r="J188" s="79">
        <f t="shared" si="99"/>
        <v>725000</v>
      </c>
      <c r="K188" s="79">
        <f t="shared" si="99"/>
        <v>725000</v>
      </c>
      <c r="L188" s="79">
        <f t="shared" si="99"/>
        <v>725000</v>
      </c>
      <c r="M188" s="79">
        <f t="shared" si="99"/>
        <v>0</v>
      </c>
      <c r="N188" s="79">
        <f t="shared" si="99"/>
        <v>0</v>
      </c>
      <c r="O188" s="79">
        <f t="shared" si="99"/>
        <v>0</v>
      </c>
      <c r="P188" s="79">
        <f t="shared" si="99"/>
        <v>0</v>
      </c>
      <c r="Q188" s="79">
        <f t="shared" si="99"/>
        <v>0</v>
      </c>
      <c r="R188" s="78">
        <f t="shared" ref="R188" si="100">IF(R208&gt;0,$D188,0)</f>
        <v>0</v>
      </c>
      <c r="AE188" s="2226"/>
      <c r="AF188" s="2226"/>
      <c r="AG188" s="2226"/>
      <c r="AH188" s="2226"/>
    </row>
    <row r="189" spans="1:48" s="80" customFormat="1" x14ac:dyDescent="0.2">
      <c r="A189" s="699" t="s">
        <v>6140</v>
      </c>
      <c r="B189" s="584"/>
      <c r="C189" s="585"/>
      <c r="D189" s="586">
        <f t="shared" si="97"/>
        <v>2400000</v>
      </c>
      <c r="E189" s="79">
        <f t="shared" si="98"/>
        <v>0</v>
      </c>
      <c r="F189" s="77">
        <f t="shared" ref="F189:Q189" si="101">IF(F209&gt;0,$D189,0)</f>
        <v>0</v>
      </c>
      <c r="G189" s="79">
        <f t="shared" si="101"/>
        <v>0</v>
      </c>
      <c r="H189" s="79">
        <f t="shared" si="101"/>
        <v>2400000</v>
      </c>
      <c r="I189" s="79">
        <f t="shared" si="101"/>
        <v>2400000</v>
      </c>
      <c r="J189" s="79">
        <f t="shared" si="101"/>
        <v>2400000</v>
      </c>
      <c r="K189" s="79">
        <f t="shared" si="101"/>
        <v>2400000</v>
      </c>
      <c r="L189" s="79">
        <f t="shared" si="101"/>
        <v>2400000</v>
      </c>
      <c r="M189" s="79">
        <f t="shared" si="101"/>
        <v>2400000</v>
      </c>
      <c r="N189" s="79">
        <f t="shared" si="101"/>
        <v>2400000</v>
      </c>
      <c r="O189" s="79">
        <f t="shared" si="101"/>
        <v>2400000</v>
      </c>
      <c r="P189" s="79">
        <f t="shared" si="101"/>
        <v>2400000</v>
      </c>
      <c r="Q189" s="79">
        <f t="shared" si="101"/>
        <v>2400000</v>
      </c>
      <c r="R189" s="78">
        <f t="shared" ref="R189" si="102">IF(R209&gt;0,$D189,0)</f>
        <v>2400000</v>
      </c>
      <c r="AE189" s="2226"/>
      <c r="AF189" s="2226"/>
      <c r="AG189" s="2226"/>
      <c r="AH189" s="2226"/>
    </row>
    <row r="190" spans="1:48" s="80" customFormat="1" x14ac:dyDescent="0.2">
      <c r="A190" s="699" t="str">
        <f t="shared" ref="A190:A195" si="103">A170</f>
        <v>Hutley Drive</v>
      </c>
      <c r="B190" s="584"/>
      <c r="C190" s="585"/>
      <c r="D190" s="586">
        <f t="shared" si="97"/>
        <v>0</v>
      </c>
      <c r="E190" s="79">
        <f t="shared" si="98"/>
        <v>0</v>
      </c>
      <c r="F190" s="77">
        <f t="shared" ref="F190:Q190" si="104">IF(F210&gt;0,$D190,0)</f>
        <v>0</v>
      </c>
      <c r="G190" s="79">
        <f t="shared" si="104"/>
        <v>0</v>
      </c>
      <c r="H190" s="79">
        <f t="shared" si="104"/>
        <v>0</v>
      </c>
      <c r="I190" s="79">
        <f t="shared" si="104"/>
        <v>0</v>
      </c>
      <c r="J190" s="79">
        <f t="shared" si="104"/>
        <v>0</v>
      </c>
      <c r="K190" s="79">
        <f t="shared" si="104"/>
        <v>0</v>
      </c>
      <c r="L190" s="79">
        <f t="shared" si="104"/>
        <v>0</v>
      </c>
      <c r="M190" s="79">
        <f t="shared" si="104"/>
        <v>0</v>
      </c>
      <c r="N190" s="79">
        <f t="shared" si="104"/>
        <v>0</v>
      </c>
      <c r="O190" s="79">
        <f t="shared" si="104"/>
        <v>0</v>
      </c>
      <c r="P190" s="79">
        <f t="shared" si="104"/>
        <v>0</v>
      </c>
      <c r="Q190" s="79">
        <f t="shared" si="104"/>
        <v>0</v>
      </c>
      <c r="R190" s="78">
        <f t="shared" ref="R190" si="105">IF(R210&gt;0,$D190,0)</f>
        <v>0</v>
      </c>
      <c r="AE190" s="2226"/>
      <c r="AF190" s="2226"/>
      <c r="AG190" s="2226"/>
      <c r="AH190" s="2226"/>
    </row>
    <row r="191" spans="1:48" s="80" customFormat="1" x14ac:dyDescent="0.2">
      <c r="A191" s="699" t="str">
        <f t="shared" si="103"/>
        <v>Airport - Apron</v>
      </c>
      <c r="B191" s="584"/>
      <c r="C191" s="585"/>
      <c r="D191" s="586">
        <f t="shared" si="97"/>
        <v>500000</v>
      </c>
      <c r="E191" s="79">
        <f t="shared" si="98"/>
        <v>0</v>
      </c>
      <c r="F191" s="77">
        <f t="shared" ref="F191:Q191" si="106">IF(F211&gt;0,$D191,0)</f>
        <v>500000</v>
      </c>
      <c r="G191" s="79">
        <f t="shared" si="106"/>
        <v>500000</v>
      </c>
      <c r="H191" s="79">
        <f t="shared" si="106"/>
        <v>500000</v>
      </c>
      <c r="I191" s="79">
        <f t="shared" si="106"/>
        <v>500000</v>
      </c>
      <c r="J191" s="79">
        <f t="shared" si="106"/>
        <v>500000</v>
      </c>
      <c r="K191" s="79">
        <f t="shared" si="106"/>
        <v>500000</v>
      </c>
      <c r="L191" s="79">
        <f t="shared" si="106"/>
        <v>500000</v>
      </c>
      <c r="M191" s="79">
        <f t="shared" si="106"/>
        <v>500000</v>
      </c>
      <c r="N191" s="79">
        <f t="shared" si="106"/>
        <v>500000</v>
      </c>
      <c r="O191" s="79">
        <f t="shared" si="106"/>
        <v>500000</v>
      </c>
      <c r="P191" s="79">
        <f t="shared" si="106"/>
        <v>0</v>
      </c>
      <c r="Q191" s="79">
        <f t="shared" si="106"/>
        <v>0</v>
      </c>
      <c r="R191" s="78">
        <f t="shared" ref="R191" si="107">IF(R211&gt;0,$D191,0)</f>
        <v>0</v>
      </c>
      <c r="AE191" s="2226"/>
      <c r="AF191" s="2226"/>
      <c r="AG191" s="2226"/>
      <c r="AH191" s="2226"/>
    </row>
    <row r="192" spans="1:48" s="80" customFormat="1" x14ac:dyDescent="0.2">
      <c r="A192" s="699" t="str">
        <f t="shared" si="103"/>
        <v>Ballina Swimming Pool - Stage One</v>
      </c>
      <c r="B192" s="584"/>
      <c r="C192" s="585"/>
      <c r="D192" s="586">
        <f t="shared" si="97"/>
        <v>3818100</v>
      </c>
      <c r="E192" s="79">
        <f t="shared" si="98"/>
        <v>0</v>
      </c>
      <c r="F192" s="77">
        <f t="shared" ref="F192:Q192" si="108">IF(F212&gt;0,$D192,0)</f>
        <v>0</v>
      </c>
      <c r="G192" s="79">
        <f t="shared" si="108"/>
        <v>3818100</v>
      </c>
      <c r="H192" s="79">
        <f t="shared" si="108"/>
        <v>3818100</v>
      </c>
      <c r="I192" s="79">
        <f t="shared" si="108"/>
        <v>3818100</v>
      </c>
      <c r="J192" s="79">
        <f t="shared" si="108"/>
        <v>3818100</v>
      </c>
      <c r="K192" s="79">
        <f t="shared" si="108"/>
        <v>3818100</v>
      </c>
      <c r="L192" s="79">
        <f t="shared" si="108"/>
        <v>3818100</v>
      </c>
      <c r="M192" s="79">
        <f t="shared" si="108"/>
        <v>3818100</v>
      </c>
      <c r="N192" s="79">
        <f t="shared" si="108"/>
        <v>3818100</v>
      </c>
      <c r="O192" s="79">
        <f t="shared" si="108"/>
        <v>3818100</v>
      </c>
      <c r="P192" s="79">
        <f t="shared" si="108"/>
        <v>3818100</v>
      </c>
      <c r="Q192" s="79">
        <f t="shared" si="108"/>
        <v>3818100</v>
      </c>
      <c r="R192" s="78">
        <f t="shared" ref="R192" si="109">IF(R212&gt;0,$D192,0)</f>
        <v>3818100</v>
      </c>
      <c r="AE192" s="2226"/>
      <c r="AF192" s="2226"/>
      <c r="AG192" s="2226"/>
      <c r="AH192" s="2226"/>
    </row>
    <row r="193" spans="1:48" s="80" customFormat="1" x14ac:dyDescent="0.2">
      <c r="A193" s="699" t="str">
        <f t="shared" si="103"/>
        <v>Alstonville Swimming Pool - Stage One</v>
      </c>
      <c r="B193" s="584"/>
      <c r="C193" s="585"/>
      <c r="D193" s="586">
        <f t="shared" si="97"/>
        <v>2893600</v>
      </c>
      <c r="E193" s="79">
        <f t="shared" si="98"/>
        <v>0</v>
      </c>
      <c r="F193" s="77">
        <f t="shared" ref="F193:Q193" si="110">IF(F213&gt;0,$D193,0)</f>
        <v>0</v>
      </c>
      <c r="G193" s="79">
        <f t="shared" si="110"/>
        <v>2893600</v>
      </c>
      <c r="H193" s="79">
        <f t="shared" si="110"/>
        <v>2893600</v>
      </c>
      <c r="I193" s="79">
        <f t="shared" si="110"/>
        <v>2893600</v>
      </c>
      <c r="J193" s="79">
        <f t="shared" si="110"/>
        <v>2893600</v>
      </c>
      <c r="K193" s="79">
        <f t="shared" si="110"/>
        <v>2893600</v>
      </c>
      <c r="L193" s="79">
        <f t="shared" si="110"/>
        <v>2893600</v>
      </c>
      <c r="M193" s="79">
        <f t="shared" si="110"/>
        <v>2893600</v>
      </c>
      <c r="N193" s="79">
        <f t="shared" si="110"/>
        <v>2893600</v>
      </c>
      <c r="O193" s="79">
        <f t="shared" si="110"/>
        <v>2893600</v>
      </c>
      <c r="P193" s="79">
        <f t="shared" si="110"/>
        <v>2893600</v>
      </c>
      <c r="Q193" s="79">
        <f t="shared" si="110"/>
        <v>2893600</v>
      </c>
      <c r="R193" s="78">
        <f t="shared" ref="R193" si="111">IF(R213&gt;0,$D193,0)</f>
        <v>2893600</v>
      </c>
      <c r="AE193" s="2226"/>
      <c r="AF193" s="2226"/>
      <c r="AG193" s="2226"/>
      <c r="AH193" s="2226"/>
    </row>
    <row r="194" spans="1:48" s="80" customFormat="1" x14ac:dyDescent="0.2">
      <c r="A194" s="699" t="str">
        <f t="shared" si="103"/>
        <v>Ballina Swimming Pool - Stage Two</v>
      </c>
      <c r="B194" s="584"/>
      <c r="C194" s="585"/>
      <c r="D194" s="586">
        <f t="shared" si="97"/>
        <v>3529500</v>
      </c>
      <c r="E194" s="79">
        <f t="shared" si="98"/>
        <v>0</v>
      </c>
      <c r="F194" s="77">
        <f t="shared" ref="F194:Q194" si="112">IF(F214&gt;0,$D194,0)</f>
        <v>0</v>
      </c>
      <c r="G194" s="79">
        <f t="shared" si="112"/>
        <v>0</v>
      </c>
      <c r="H194" s="79">
        <f t="shared" si="112"/>
        <v>3529500</v>
      </c>
      <c r="I194" s="79">
        <f t="shared" si="112"/>
        <v>3529500</v>
      </c>
      <c r="J194" s="79">
        <f t="shared" si="112"/>
        <v>3529500</v>
      </c>
      <c r="K194" s="79">
        <f t="shared" si="112"/>
        <v>3529500</v>
      </c>
      <c r="L194" s="79">
        <f t="shared" si="112"/>
        <v>3529500</v>
      </c>
      <c r="M194" s="79">
        <f t="shared" si="112"/>
        <v>3529500</v>
      </c>
      <c r="N194" s="79">
        <f t="shared" si="112"/>
        <v>3529500</v>
      </c>
      <c r="O194" s="79">
        <f t="shared" si="112"/>
        <v>3529500</v>
      </c>
      <c r="P194" s="79">
        <f t="shared" si="112"/>
        <v>3529500</v>
      </c>
      <c r="Q194" s="79">
        <f t="shared" si="112"/>
        <v>3529500</v>
      </c>
      <c r="R194" s="78">
        <f t="shared" ref="R194" si="113">IF(R214&gt;0,$D194,0)</f>
        <v>3529500</v>
      </c>
      <c r="AE194" s="2226"/>
      <c r="AF194" s="2226"/>
      <c r="AG194" s="2226"/>
      <c r="AH194" s="2226"/>
    </row>
    <row r="195" spans="1:48" s="80" customFormat="1" x14ac:dyDescent="0.2">
      <c r="A195" s="699" t="str">
        <f t="shared" si="103"/>
        <v>Alstonville Swimming Pool - Stage Two</v>
      </c>
      <c r="B195" s="584"/>
      <c r="C195" s="585"/>
      <c r="D195" s="586">
        <f t="shared" si="97"/>
        <v>2918300</v>
      </c>
      <c r="E195" s="79">
        <f t="shared" si="98"/>
        <v>0</v>
      </c>
      <c r="F195" s="77">
        <f t="shared" ref="F195:Q195" si="114">IF(F215&gt;0,$D195,0)</f>
        <v>0</v>
      </c>
      <c r="G195" s="79">
        <f t="shared" si="114"/>
        <v>0</v>
      </c>
      <c r="H195" s="79">
        <f t="shared" si="114"/>
        <v>2918300</v>
      </c>
      <c r="I195" s="79">
        <f t="shared" si="114"/>
        <v>2918300</v>
      </c>
      <c r="J195" s="79">
        <f t="shared" si="114"/>
        <v>2918300</v>
      </c>
      <c r="K195" s="79">
        <f t="shared" si="114"/>
        <v>2918300</v>
      </c>
      <c r="L195" s="79">
        <f t="shared" si="114"/>
        <v>2918300</v>
      </c>
      <c r="M195" s="79">
        <f t="shared" si="114"/>
        <v>2918300</v>
      </c>
      <c r="N195" s="79">
        <f t="shared" si="114"/>
        <v>2918300</v>
      </c>
      <c r="O195" s="79">
        <f t="shared" si="114"/>
        <v>2918300</v>
      </c>
      <c r="P195" s="79">
        <f t="shared" si="114"/>
        <v>2918300</v>
      </c>
      <c r="Q195" s="79">
        <f t="shared" si="114"/>
        <v>2918300</v>
      </c>
      <c r="R195" s="78">
        <f t="shared" ref="R195" si="115">IF(R215&gt;0,$D195,0)</f>
        <v>2918300</v>
      </c>
      <c r="AE195" s="2226"/>
      <c r="AF195" s="2226"/>
      <c r="AG195" s="2226"/>
      <c r="AH195" s="2226"/>
    </row>
    <row r="196" spans="1:48" s="2226" customFormat="1" x14ac:dyDescent="0.2">
      <c r="A196" s="699" t="s">
        <v>11891</v>
      </c>
      <c r="B196" s="584"/>
      <c r="C196" s="585"/>
      <c r="D196" s="586">
        <v>220000</v>
      </c>
      <c r="E196" s="79">
        <f t="shared" ref="E196:Q196" si="116">IF(E216&gt;0,$D196,0)</f>
        <v>0</v>
      </c>
      <c r="F196" s="77">
        <f t="shared" si="116"/>
        <v>0</v>
      </c>
      <c r="G196" s="79">
        <f t="shared" si="116"/>
        <v>0</v>
      </c>
      <c r="H196" s="79">
        <f t="shared" si="116"/>
        <v>220000</v>
      </c>
      <c r="I196" s="79">
        <f t="shared" si="116"/>
        <v>220000</v>
      </c>
      <c r="J196" s="79">
        <f t="shared" si="116"/>
        <v>220000</v>
      </c>
      <c r="K196" s="79">
        <f t="shared" si="116"/>
        <v>220000</v>
      </c>
      <c r="L196" s="79">
        <f t="shared" si="116"/>
        <v>220000</v>
      </c>
      <c r="M196" s="79">
        <f t="shared" si="116"/>
        <v>220000</v>
      </c>
      <c r="N196" s="79">
        <f t="shared" si="116"/>
        <v>220000</v>
      </c>
      <c r="O196" s="79">
        <f t="shared" si="116"/>
        <v>220000</v>
      </c>
      <c r="P196" s="79">
        <f t="shared" si="116"/>
        <v>220000</v>
      </c>
      <c r="Q196" s="79">
        <f t="shared" si="116"/>
        <v>220000</v>
      </c>
      <c r="R196" s="78">
        <f t="shared" ref="R196" si="117">IF(R216&gt;0,$D196,0)</f>
        <v>220000</v>
      </c>
    </row>
    <row r="197" spans="1:48" s="2226" customFormat="1" x14ac:dyDescent="0.2">
      <c r="A197" s="699" t="s">
        <v>11890</v>
      </c>
      <c r="B197" s="584"/>
      <c r="C197" s="585"/>
      <c r="D197" s="586">
        <v>330000</v>
      </c>
      <c r="E197" s="79">
        <f t="shared" ref="E197:Q197" si="118">IF(E217&gt;0,$D197,0)</f>
        <v>0</v>
      </c>
      <c r="F197" s="77">
        <f t="shared" si="118"/>
        <v>0</v>
      </c>
      <c r="G197" s="79">
        <f t="shared" si="118"/>
        <v>0</v>
      </c>
      <c r="H197" s="79">
        <f t="shared" si="118"/>
        <v>330000</v>
      </c>
      <c r="I197" s="79">
        <f t="shared" si="118"/>
        <v>330000</v>
      </c>
      <c r="J197" s="79">
        <f t="shared" si="118"/>
        <v>330000</v>
      </c>
      <c r="K197" s="79">
        <f t="shared" si="118"/>
        <v>330000</v>
      </c>
      <c r="L197" s="79">
        <f t="shared" si="118"/>
        <v>330000</v>
      </c>
      <c r="M197" s="79">
        <f t="shared" si="118"/>
        <v>330000</v>
      </c>
      <c r="N197" s="79">
        <f t="shared" si="118"/>
        <v>330000</v>
      </c>
      <c r="O197" s="79">
        <f t="shared" si="118"/>
        <v>330000</v>
      </c>
      <c r="P197" s="79">
        <f t="shared" si="118"/>
        <v>330000</v>
      </c>
      <c r="Q197" s="79">
        <f t="shared" si="118"/>
        <v>330000</v>
      </c>
      <c r="R197" s="78">
        <f t="shared" ref="R197" si="119">IF(R217&gt;0,$D197,0)</f>
        <v>330000</v>
      </c>
    </row>
    <row r="198" spans="1:48" s="80" customFormat="1" x14ac:dyDescent="0.2">
      <c r="A198" s="699" t="str">
        <f>A178</f>
        <v>River St Upgrade - Moon to Grant</v>
      </c>
      <c r="B198" s="584"/>
      <c r="C198" s="585"/>
      <c r="D198" s="586">
        <f t="shared" ref="D198" si="120">D178</f>
        <v>2500000</v>
      </c>
      <c r="E198" s="79">
        <f t="shared" ref="E198:Q198" si="121">IF(E218&gt;0,$D198,0)</f>
        <v>0</v>
      </c>
      <c r="F198" s="77">
        <f t="shared" si="121"/>
        <v>0</v>
      </c>
      <c r="G198" s="79">
        <f t="shared" si="121"/>
        <v>0</v>
      </c>
      <c r="H198" s="79">
        <f t="shared" si="121"/>
        <v>0</v>
      </c>
      <c r="I198" s="79">
        <f t="shared" si="121"/>
        <v>2500000</v>
      </c>
      <c r="J198" s="79">
        <f t="shared" si="121"/>
        <v>2500000</v>
      </c>
      <c r="K198" s="79">
        <f t="shared" si="121"/>
        <v>2500000</v>
      </c>
      <c r="L198" s="79">
        <f t="shared" si="121"/>
        <v>2500000</v>
      </c>
      <c r="M198" s="79">
        <f t="shared" si="121"/>
        <v>2500000</v>
      </c>
      <c r="N198" s="79">
        <f t="shared" si="121"/>
        <v>2500000</v>
      </c>
      <c r="O198" s="79">
        <f t="shared" si="121"/>
        <v>2500000</v>
      </c>
      <c r="P198" s="79">
        <f t="shared" si="121"/>
        <v>2500000</v>
      </c>
      <c r="Q198" s="79">
        <f t="shared" si="121"/>
        <v>2500000</v>
      </c>
      <c r="R198" s="78">
        <f t="shared" ref="R198" si="122">IF(R218&gt;0,$D198,0)</f>
        <v>2500000</v>
      </c>
      <c r="AE198" s="2226"/>
      <c r="AF198" s="2226"/>
      <c r="AG198" s="2226"/>
      <c r="AH198" s="2226"/>
    </row>
    <row r="199" spans="1:48" s="80" customFormat="1" x14ac:dyDescent="0.2">
      <c r="A199" s="699" t="str">
        <f>A179</f>
        <v xml:space="preserve">River St - Four Laning - Section 94 </v>
      </c>
      <c r="B199" s="584"/>
      <c r="C199" s="585"/>
      <c r="D199" s="586">
        <f t="shared" ref="D199" si="123">D179</f>
        <v>8340000</v>
      </c>
      <c r="E199" s="79">
        <f t="shared" ref="E199:Q199" si="124">IF(E219&gt;0,$D199,0)</f>
        <v>0</v>
      </c>
      <c r="F199" s="77">
        <f t="shared" si="124"/>
        <v>0</v>
      </c>
      <c r="G199" s="79">
        <f t="shared" si="124"/>
        <v>0</v>
      </c>
      <c r="H199" s="79">
        <f t="shared" si="124"/>
        <v>0</v>
      </c>
      <c r="I199" s="79">
        <f t="shared" si="124"/>
        <v>0</v>
      </c>
      <c r="J199" s="79">
        <f t="shared" si="124"/>
        <v>0</v>
      </c>
      <c r="K199" s="79">
        <f t="shared" si="124"/>
        <v>8340000</v>
      </c>
      <c r="L199" s="79">
        <f t="shared" si="124"/>
        <v>8340000</v>
      </c>
      <c r="M199" s="79">
        <f t="shared" si="124"/>
        <v>8340000</v>
      </c>
      <c r="N199" s="79">
        <f t="shared" si="124"/>
        <v>8340000</v>
      </c>
      <c r="O199" s="79">
        <f t="shared" si="124"/>
        <v>8340000</v>
      </c>
      <c r="P199" s="79">
        <f t="shared" si="124"/>
        <v>8340000</v>
      </c>
      <c r="Q199" s="79">
        <f t="shared" si="124"/>
        <v>8340000</v>
      </c>
      <c r="R199" s="78">
        <f t="shared" ref="R199" si="125">IF(R219&gt;0,$D199,0)</f>
        <v>8340000</v>
      </c>
      <c r="AE199" s="2226"/>
      <c r="AF199" s="2226"/>
      <c r="AG199" s="2226"/>
      <c r="AH199" s="2226"/>
    </row>
    <row r="200" spans="1:48" s="80" customFormat="1" ht="13.5" thickBot="1" x14ac:dyDescent="0.25">
      <c r="A200" s="699"/>
      <c r="B200" s="584"/>
      <c r="C200" s="585"/>
      <c r="D200" s="586"/>
      <c r="E200" s="77"/>
      <c r="F200" s="79"/>
      <c r="G200" s="77"/>
      <c r="H200" s="79"/>
      <c r="I200" s="79"/>
      <c r="J200" s="79"/>
      <c r="K200" s="79"/>
      <c r="L200" s="79"/>
      <c r="M200" s="592"/>
      <c r="N200" s="79"/>
      <c r="O200" s="79"/>
      <c r="P200" s="79"/>
      <c r="Q200" s="79"/>
      <c r="R200" s="78"/>
      <c r="AE200" s="2226"/>
      <c r="AF200" s="2226"/>
      <c r="AG200" s="2226"/>
      <c r="AH200" s="2226"/>
    </row>
    <row r="201" spans="1:48" s="39" customFormat="1" ht="13.5" thickTop="1" x14ac:dyDescent="0.2">
      <c r="A201" s="727" t="s">
        <v>1504</v>
      </c>
      <c r="B201" s="352"/>
      <c r="C201" s="589"/>
      <c r="D201" s="590">
        <f t="shared" ref="D201:Q201" si="126">SUM(D188:D200)</f>
        <v>28174500</v>
      </c>
      <c r="E201" s="69">
        <f t="shared" si="126"/>
        <v>725000</v>
      </c>
      <c r="F201" s="69">
        <f t="shared" si="126"/>
        <v>1225000</v>
      </c>
      <c r="G201" s="69">
        <f t="shared" si="126"/>
        <v>7936700</v>
      </c>
      <c r="H201" s="69">
        <f t="shared" si="126"/>
        <v>17334500</v>
      </c>
      <c r="I201" s="69">
        <f t="shared" si="126"/>
        <v>19834500</v>
      </c>
      <c r="J201" s="69">
        <f t="shared" si="126"/>
        <v>19834500</v>
      </c>
      <c r="K201" s="69">
        <f t="shared" si="126"/>
        <v>28174500</v>
      </c>
      <c r="L201" s="69">
        <f t="shared" si="126"/>
        <v>28174500</v>
      </c>
      <c r="M201" s="69">
        <f t="shared" si="126"/>
        <v>27449500</v>
      </c>
      <c r="N201" s="69">
        <f t="shared" si="126"/>
        <v>27449500</v>
      </c>
      <c r="O201" s="69">
        <f t="shared" si="126"/>
        <v>27449500</v>
      </c>
      <c r="P201" s="109">
        <f t="shared" si="126"/>
        <v>26949500</v>
      </c>
      <c r="Q201" s="109">
        <f t="shared" si="126"/>
        <v>26949500</v>
      </c>
      <c r="R201" s="73">
        <f t="shared" ref="R201" si="127">SUM(R188:R200)</f>
        <v>26949500</v>
      </c>
    </row>
    <row r="202" spans="1:48" s="80" customFormat="1" ht="13.5" thickBot="1" x14ac:dyDescent="0.25">
      <c r="A202" s="591"/>
      <c r="B202" s="592"/>
      <c r="C202" s="592"/>
      <c r="D202" s="753"/>
      <c r="E202" s="593"/>
      <c r="F202" s="592"/>
      <c r="G202" s="593"/>
      <c r="H202" s="592"/>
      <c r="I202" s="592"/>
      <c r="J202" s="592"/>
      <c r="K202" s="592"/>
      <c r="L202" s="592"/>
      <c r="M202" s="592"/>
      <c r="N202" s="592"/>
      <c r="O202" s="592"/>
      <c r="P202" s="592"/>
      <c r="Q202" s="592"/>
      <c r="R202" s="594"/>
      <c r="AE202" s="2226"/>
      <c r="AF202" s="2226"/>
      <c r="AG202" s="2226"/>
      <c r="AH202" s="2226"/>
    </row>
    <row r="203" spans="1:48" ht="13.5" thickTop="1" x14ac:dyDescent="0.2"/>
    <row r="204" spans="1:48" ht="13.5" thickBot="1" x14ac:dyDescent="0.25">
      <c r="A204" s="397"/>
      <c r="B204" s="397"/>
      <c r="T204" s="397"/>
      <c r="U204" s="397"/>
      <c r="V204" s="397"/>
      <c r="W204" s="397"/>
      <c r="Z204" s="397"/>
      <c r="AA204" s="397"/>
      <c r="AC204" s="397"/>
      <c r="AE204" s="397"/>
      <c r="AG204" s="397"/>
      <c r="AU204" s="2051"/>
      <c r="AV204" s="2051"/>
    </row>
    <row r="205" spans="1:48" s="80" customFormat="1" ht="18.75" customHeight="1" thickBot="1" x14ac:dyDescent="0.25">
      <c r="A205" s="2661" t="s">
        <v>92</v>
      </c>
      <c r="B205" s="2662"/>
      <c r="C205" s="2662"/>
      <c r="D205" s="2662"/>
      <c r="E205" s="2662"/>
      <c r="F205" s="2662"/>
      <c r="G205" s="2662"/>
      <c r="H205" s="2662"/>
      <c r="I205" s="2662"/>
      <c r="J205" s="2662"/>
      <c r="K205" s="2662"/>
      <c r="L205" s="2662"/>
      <c r="M205" s="2662"/>
      <c r="N205" s="2662"/>
      <c r="O205" s="2662"/>
      <c r="P205" s="2662"/>
      <c r="Q205" s="2662"/>
      <c r="R205" s="2663"/>
      <c r="AE205" s="2226"/>
      <c r="AF205" s="2226"/>
      <c r="AG205" s="2226"/>
      <c r="AH205" s="2226"/>
    </row>
    <row r="206" spans="1:48" s="80" customFormat="1" ht="14.25" thickTop="1" thickBot="1" x14ac:dyDescent="0.25">
      <c r="A206" s="2233" t="s">
        <v>414</v>
      </c>
      <c r="B206" s="689"/>
      <c r="C206" s="689"/>
      <c r="D206" s="690"/>
      <c r="E206" s="691" t="str">
        <f t="shared" ref="E206:O206" si="128">E166</f>
        <v>2014/15</v>
      </c>
      <c r="F206" s="691" t="str">
        <f t="shared" si="128"/>
        <v>2015/16</v>
      </c>
      <c r="G206" s="691" t="str">
        <f t="shared" si="128"/>
        <v>2016/17</v>
      </c>
      <c r="H206" s="691" t="str">
        <f t="shared" si="128"/>
        <v>2017/18</v>
      </c>
      <c r="I206" s="691" t="str">
        <f t="shared" si="128"/>
        <v>2018/19</v>
      </c>
      <c r="J206" s="691" t="str">
        <f t="shared" si="128"/>
        <v>2019/20</v>
      </c>
      <c r="K206" s="691" t="str">
        <f t="shared" si="128"/>
        <v>2020/21</v>
      </c>
      <c r="L206" s="691" t="str">
        <f t="shared" si="128"/>
        <v>2021/22</v>
      </c>
      <c r="M206" s="691" t="str">
        <f t="shared" si="128"/>
        <v>2022/23</v>
      </c>
      <c r="N206" s="689" t="str">
        <f t="shared" si="128"/>
        <v>2023/24</v>
      </c>
      <c r="O206" s="689" t="str">
        <f t="shared" si="128"/>
        <v>2024/25</v>
      </c>
      <c r="P206" s="689" t="str">
        <f t="shared" ref="P206:R206" si="129">P166</f>
        <v>2025/26</v>
      </c>
      <c r="Q206" s="689" t="str">
        <f t="shared" si="129"/>
        <v>2026/27</v>
      </c>
      <c r="R206" s="690" t="str">
        <f t="shared" si="129"/>
        <v>2027/28</v>
      </c>
      <c r="AE206" s="2226"/>
      <c r="AF206" s="2226"/>
      <c r="AG206" s="2226"/>
      <c r="AH206" s="2226"/>
    </row>
    <row r="207" spans="1:48" s="80" customFormat="1" x14ac:dyDescent="0.2">
      <c r="A207" s="1125"/>
      <c r="B207" s="79"/>
      <c r="C207" s="79"/>
      <c r="D207" s="586"/>
      <c r="E207" s="77"/>
      <c r="F207" s="79"/>
      <c r="G207" s="77"/>
      <c r="H207" s="79"/>
      <c r="I207" s="79"/>
      <c r="J207" s="79"/>
      <c r="K207" s="79"/>
      <c r="L207" s="79"/>
      <c r="M207" s="79"/>
      <c r="N207" s="79"/>
      <c r="O207" s="79"/>
      <c r="P207" s="79"/>
      <c r="Q207" s="79"/>
      <c r="R207" s="587"/>
      <c r="AE207" s="2226"/>
      <c r="AF207" s="2226"/>
      <c r="AG207" s="2226"/>
      <c r="AH207" s="2226"/>
    </row>
    <row r="208" spans="1:48" s="80" customFormat="1" x14ac:dyDescent="0.2">
      <c r="A208" s="1346" t="str">
        <f t="shared" ref="A208:A215" si="130">A188</f>
        <v>Airport  - Car Park</v>
      </c>
      <c r="B208" s="584"/>
      <c r="C208" s="585"/>
      <c r="D208" s="586"/>
      <c r="E208" s="79">
        <f>IF(D208&gt;0,D208-E103,E168)</f>
        <v>725000</v>
      </c>
      <c r="F208" s="77">
        <f t="shared" ref="F208:P208" si="131">IF(E208&gt;0,E208-F103,F168)</f>
        <v>646100</v>
      </c>
      <c r="G208" s="79">
        <f t="shared" si="131"/>
        <v>564100</v>
      </c>
      <c r="H208" s="79">
        <f>IF(G208&gt;0,G208-H103,H168)</f>
        <v>478800</v>
      </c>
      <c r="I208" s="79">
        <f t="shared" si="131"/>
        <v>390200</v>
      </c>
      <c r="J208" s="79">
        <f t="shared" si="131"/>
        <v>298100</v>
      </c>
      <c r="K208" s="79">
        <f t="shared" si="131"/>
        <v>202400</v>
      </c>
      <c r="L208" s="79">
        <f t="shared" si="131"/>
        <v>103000</v>
      </c>
      <c r="M208" s="79">
        <f t="shared" si="131"/>
        <v>0</v>
      </c>
      <c r="N208" s="79">
        <f t="shared" si="131"/>
        <v>0</v>
      </c>
      <c r="O208" s="79">
        <f t="shared" si="131"/>
        <v>0</v>
      </c>
      <c r="P208" s="79">
        <f t="shared" si="131"/>
        <v>0</v>
      </c>
      <c r="Q208" s="79">
        <f>IF(P208&gt;0,P208-Q103,R168)</f>
        <v>0</v>
      </c>
      <c r="R208" s="587">
        <f>IF(Q208&gt;0,Q208-R103,S168)</f>
        <v>0</v>
      </c>
      <c r="AE208" s="2226"/>
      <c r="AF208" s="2226"/>
      <c r="AG208" s="2226"/>
      <c r="AH208" s="2226"/>
    </row>
    <row r="209" spans="1:34" s="80" customFormat="1" x14ac:dyDescent="0.2">
      <c r="A209" s="1346" t="str">
        <f t="shared" si="130"/>
        <v>Airport - Terminal</v>
      </c>
      <c r="B209" s="584"/>
      <c r="C209" s="585"/>
      <c r="D209" s="586"/>
      <c r="E209" s="79">
        <f>IF(D209&gt;0,D209-E108,E169)</f>
        <v>0</v>
      </c>
      <c r="F209" s="77">
        <f t="shared" ref="F209:P209" si="132">IF(E209&gt;0,E209-F108,F169)</f>
        <v>0</v>
      </c>
      <c r="G209" s="79">
        <f t="shared" si="132"/>
        <v>0</v>
      </c>
      <c r="H209" s="79">
        <f t="shared" si="132"/>
        <v>2400000</v>
      </c>
      <c r="I209" s="79">
        <f t="shared" si="132"/>
        <v>2287000</v>
      </c>
      <c r="J209" s="79">
        <f t="shared" si="132"/>
        <v>2168000</v>
      </c>
      <c r="K209" s="79">
        <f t="shared" si="132"/>
        <v>2043000</v>
      </c>
      <c r="L209" s="79">
        <f t="shared" si="132"/>
        <v>1912000</v>
      </c>
      <c r="M209" s="79">
        <f t="shared" si="132"/>
        <v>1774000</v>
      </c>
      <c r="N209" s="79">
        <f t="shared" si="132"/>
        <v>1629000</v>
      </c>
      <c r="O209" s="79">
        <f t="shared" si="132"/>
        <v>1477000</v>
      </c>
      <c r="P209" s="79">
        <f t="shared" si="132"/>
        <v>1318000</v>
      </c>
      <c r="Q209" s="79">
        <f>IF(P209&gt;0,P209-Q108,R169)</f>
        <v>1151000</v>
      </c>
      <c r="R209" s="587">
        <f>IF(Q209&gt;0,Q209-R108,S169)</f>
        <v>975000</v>
      </c>
      <c r="AE209" s="2226"/>
      <c r="AF209" s="2226"/>
      <c r="AG209" s="2226"/>
      <c r="AH209" s="2226"/>
    </row>
    <row r="210" spans="1:34" s="80" customFormat="1" x14ac:dyDescent="0.2">
      <c r="A210" s="1346" t="str">
        <f t="shared" si="130"/>
        <v>Hutley Drive</v>
      </c>
      <c r="B210" s="584"/>
      <c r="C210" s="585"/>
      <c r="D210" s="586"/>
      <c r="E210" s="79">
        <f>IF(D210&gt;0,D210-E113,E170)</f>
        <v>0</v>
      </c>
      <c r="F210" s="77">
        <f t="shared" ref="F210:P210" si="133">IF(E210&gt;0,E210-F113,F170)</f>
        <v>0</v>
      </c>
      <c r="G210" s="79">
        <f t="shared" si="133"/>
        <v>0</v>
      </c>
      <c r="H210" s="79">
        <f t="shared" si="133"/>
        <v>0</v>
      </c>
      <c r="I210" s="79">
        <f t="shared" si="133"/>
        <v>0</v>
      </c>
      <c r="J210" s="79">
        <f t="shared" si="133"/>
        <v>0</v>
      </c>
      <c r="K210" s="79">
        <f t="shared" si="133"/>
        <v>0</v>
      </c>
      <c r="L210" s="79">
        <f t="shared" si="133"/>
        <v>0</v>
      </c>
      <c r="M210" s="79">
        <f t="shared" si="133"/>
        <v>0</v>
      </c>
      <c r="N210" s="79">
        <f t="shared" si="133"/>
        <v>0</v>
      </c>
      <c r="O210" s="79">
        <f t="shared" si="133"/>
        <v>0</v>
      </c>
      <c r="P210" s="79">
        <f t="shared" si="133"/>
        <v>0</v>
      </c>
      <c r="Q210" s="79">
        <f>IF(P210&gt;0,P210-Q113,R170)</f>
        <v>0</v>
      </c>
      <c r="R210" s="587">
        <f>IF(Q210&gt;0,Q210-R113,S170)</f>
        <v>0</v>
      </c>
      <c r="AE210" s="2226"/>
      <c r="AF210" s="2226"/>
      <c r="AG210" s="2226"/>
      <c r="AH210" s="2226"/>
    </row>
    <row r="211" spans="1:34" s="80" customFormat="1" x14ac:dyDescent="0.2">
      <c r="A211" s="1346" t="str">
        <f t="shared" si="130"/>
        <v>Airport - Apron</v>
      </c>
      <c r="B211" s="584"/>
      <c r="C211" s="585"/>
      <c r="D211" s="586"/>
      <c r="E211" s="79">
        <f>IF(D211&gt;0,D211-E118,E171)</f>
        <v>0</v>
      </c>
      <c r="F211" s="77">
        <f t="shared" ref="F211:P211" si="134">IF(E211&gt;0,E211-F118,F171)</f>
        <v>500000</v>
      </c>
      <c r="G211" s="77">
        <f t="shared" si="134"/>
        <v>457500</v>
      </c>
      <c r="H211" s="79">
        <f>IF(G211&gt;0,G211-H118,H171)</f>
        <v>413400</v>
      </c>
      <c r="I211" s="79">
        <f t="shared" si="134"/>
        <v>367800</v>
      </c>
      <c r="J211" s="79">
        <f t="shared" si="134"/>
        <v>320600</v>
      </c>
      <c r="K211" s="79">
        <f t="shared" si="134"/>
        <v>271400</v>
      </c>
      <c r="L211" s="79">
        <f t="shared" si="134"/>
        <v>220800</v>
      </c>
      <c r="M211" s="79">
        <f t="shared" si="134"/>
        <v>168400</v>
      </c>
      <c r="N211" s="79">
        <f t="shared" si="134"/>
        <v>114200</v>
      </c>
      <c r="O211" s="79">
        <f t="shared" si="134"/>
        <v>58100</v>
      </c>
      <c r="P211" s="79">
        <f t="shared" si="134"/>
        <v>0</v>
      </c>
      <c r="Q211" s="79">
        <f>IF(P211&gt;0,P211-Q118,R171)</f>
        <v>0</v>
      </c>
      <c r="R211" s="587">
        <f>IF(Q211&gt;0,Q211-R118,S171)</f>
        <v>0</v>
      </c>
      <c r="AE211" s="2226"/>
      <c r="AF211" s="2226"/>
      <c r="AG211" s="2226"/>
      <c r="AH211" s="2226"/>
    </row>
    <row r="212" spans="1:34" s="80" customFormat="1" x14ac:dyDescent="0.2">
      <c r="A212" s="1346" t="str">
        <f t="shared" si="130"/>
        <v>Ballina Swimming Pool - Stage One</v>
      </c>
      <c r="B212" s="584"/>
      <c r="C212" s="585"/>
      <c r="D212" s="586"/>
      <c r="E212" s="79">
        <f>IF(D212&gt;0,D212-E123,E172)</f>
        <v>0</v>
      </c>
      <c r="F212" s="77">
        <f t="shared" ref="F212:G212" si="135">IF(E212&gt;0,E212-F123,F172)</f>
        <v>0</v>
      </c>
      <c r="G212" s="79">
        <f t="shared" si="135"/>
        <v>3818100</v>
      </c>
      <c r="H212" s="79">
        <f>IF(G212&gt;0,G212-H123,H172)</f>
        <v>3684100</v>
      </c>
      <c r="I212" s="79">
        <f t="shared" ref="I212:P212" si="136">IF(H212&gt;0,H212-I123,I172)</f>
        <v>3546100</v>
      </c>
      <c r="J212" s="79">
        <f t="shared" si="136"/>
        <v>3403100</v>
      </c>
      <c r="K212" s="79">
        <f t="shared" si="136"/>
        <v>3255100</v>
      </c>
      <c r="L212" s="79">
        <f t="shared" si="136"/>
        <v>3101100</v>
      </c>
      <c r="M212" s="79">
        <f t="shared" si="136"/>
        <v>2942100</v>
      </c>
      <c r="N212" s="79">
        <f t="shared" si="136"/>
        <v>2777100</v>
      </c>
      <c r="O212" s="79">
        <f t="shared" si="136"/>
        <v>2606100</v>
      </c>
      <c r="P212" s="79">
        <f t="shared" si="136"/>
        <v>2429100</v>
      </c>
      <c r="Q212" s="79">
        <f>IF(P212&gt;0,P212-Q123,R172)</f>
        <v>2246100</v>
      </c>
      <c r="R212" s="587">
        <f>IF(Q212&gt;0,Q212-R123,S172)</f>
        <v>2056100</v>
      </c>
      <c r="AE212" s="2226"/>
      <c r="AF212" s="2226"/>
      <c r="AG212" s="2226"/>
      <c r="AH212" s="2226"/>
    </row>
    <row r="213" spans="1:34" s="80" customFormat="1" x14ac:dyDescent="0.2">
      <c r="A213" s="1346" t="str">
        <f t="shared" si="130"/>
        <v>Alstonville Swimming Pool - Stage One</v>
      </c>
      <c r="B213" s="584"/>
      <c r="C213" s="585"/>
      <c r="D213" s="586"/>
      <c r="E213" s="79">
        <f>IF(D213&gt;0,D213-E128,E173)</f>
        <v>0</v>
      </c>
      <c r="F213" s="77">
        <f t="shared" ref="F213:O213" si="137">IF(E213&gt;0,E213-F128,F173)</f>
        <v>0</v>
      </c>
      <c r="G213" s="79">
        <f t="shared" si="137"/>
        <v>2893600</v>
      </c>
      <c r="H213" s="79">
        <f>IF(G213&gt;0,G213-H128,H173)</f>
        <v>2791600</v>
      </c>
      <c r="I213" s="79">
        <f t="shared" si="137"/>
        <v>2686600</v>
      </c>
      <c r="J213" s="79">
        <f t="shared" si="137"/>
        <v>2577600</v>
      </c>
      <c r="K213" s="79">
        <f t="shared" si="137"/>
        <v>2464600</v>
      </c>
      <c r="L213" s="79">
        <f t="shared" si="137"/>
        <v>2347600</v>
      </c>
      <c r="M213" s="79">
        <f t="shared" si="137"/>
        <v>2226600</v>
      </c>
      <c r="N213" s="79">
        <f t="shared" si="137"/>
        <v>2101600</v>
      </c>
      <c r="O213" s="79">
        <f t="shared" si="137"/>
        <v>1971600</v>
      </c>
      <c r="P213" s="79">
        <f>IF(O213&gt;0,O213-P128,P173)</f>
        <v>1836600</v>
      </c>
      <c r="Q213" s="79">
        <f>IF(P213&gt;0,P213-Q128,R173)</f>
        <v>1697600</v>
      </c>
      <c r="R213" s="587">
        <f>IF(Q213&gt;0,Q213-R128,S173)</f>
        <v>1553600</v>
      </c>
      <c r="AE213" s="2226"/>
      <c r="AF213" s="2226"/>
      <c r="AG213" s="2226"/>
      <c r="AH213" s="2226"/>
    </row>
    <row r="214" spans="1:34" s="80" customFormat="1" x14ac:dyDescent="0.2">
      <c r="A214" s="1346" t="str">
        <f t="shared" si="130"/>
        <v>Ballina Swimming Pool - Stage Two</v>
      </c>
      <c r="B214" s="584"/>
      <c r="C214" s="585"/>
      <c r="D214" s="586"/>
      <c r="E214" s="79">
        <f>IF(D214&gt;0,D214-E133,E174)</f>
        <v>0</v>
      </c>
      <c r="F214" s="77">
        <f t="shared" ref="F214:P214" si="138">IF(E214&gt;0,E214-F133,F174)</f>
        <v>0</v>
      </c>
      <c r="G214" s="79">
        <f t="shared" si="138"/>
        <v>0</v>
      </c>
      <c r="H214" s="79">
        <f>IF(G214&gt;0,G214-H133,H174)</f>
        <v>3309500</v>
      </c>
      <c r="I214" s="79">
        <f t="shared" si="138"/>
        <v>3195500</v>
      </c>
      <c r="J214" s="79">
        <f t="shared" si="138"/>
        <v>3077500</v>
      </c>
      <c r="K214" s="79">
        <f t="shared" si="138"/>
        <v>2954500</v>
      </c>
      <c r="L214" s="79">
        <f t="shared" si="138"/>
        <v>2826500</v>
      </c>
      <c r="M214" s="79">
        <f t="shared" si="138"/>
        <v>2693500</v>
      </c>
      <c r="N214" s="79">
        <f t="shared" si="138"/>
        <v>2554500</v>
      </c>
      <c r="O214" s="79">
        <f t="shared" si="138"/>
        <v>2410500</v>
      </c>
      <c r="P214" s="79">
        <f t="shared" si="138"/>
        <v>2260500</v>
      </c>
      <c r="Q214" s="79">
        <f>IF(P214&gt;0,P214-Q133,R174)</f>
        <v>2104500</v>
      </c>
      <c r="R214" s="587">
        <f>IF(Q214&gt;0,Q214-R133,S174)</f>
        <v>1942500</v>
      </c>
      <c r="AE214" s="2226"/>
      <c r="AF214" s="2226"/>
      <c r="AG214" s="2226"/>
      <c r="AH214" s="2226"/>
    </row>
    <row r="215" spans="1:34" s="80" customFormat="1" x14ac:dyDescent="0.2">
      <c r="A215" s="1346" t="str">
        <f t="shared" si="130"/>
        <v>Alstonville Swimming Pool - Stage Two</v>
      </c>
      <c r="B215" s="584"/>
      <c r="C215" s="585"/>
      <c r="D215" s="586"/>
      <c r="E215" s="79">
        <f>IF(D215&gt;0,D215-E138,E175)</f>
        <v>0</v>
      </c>
      <c r="F215" s="77">
        <f t="shared" ref="F215:P215" si="139">IF(E215&gt;0,E215-F138,F175)</f>
        <v>0</v>
      </c>
      <c r="G215" s="79">
        <f t="shared" si="139"/>
        <v>0</v>
      </c>
      <c r="H215" s="79">
        <f>IF(G215&gt;0,G215-H138,H175)</f>
        <v>2588300</v>
      </c>
      <c r="I215" s="79">
        <f t="shared" si="139"/>
        <v>2498300</v>
      </c>
      <c r="J215" s="79">
        <f t="shared" si="139"/>
        <v>2404300</v>
      </c>
      <c r="K215" s="79">
        <f t="shared" si="139"/>
        <v>2307300</v>
      </c>
      <c r="L215" s="79">
        <f t="shared" si="139"/>
        <v>2206300</v>
      </c>
      <c r="M215" s="79">
        <f t="shared" si="139"/>
        <v>2101300</v>
      </c>
      <c r="N215" s="79">
        <f t="shared" si="139"/>
        <v>1991300</v>
      </c>
      <c r="O215" s="79">
        <f t="shared" si="139"/>
        <v>1877300</v>
      </c>
      <c r="P215" s="79">
        <f t="shared" si="139"/>
        <v>1758300</v>
      </c>
      <c r="Q215" s="79">
        <f>IF(P215&gt;0,P215-Q138,R175)</f>
        <v>1635300</v>
      </c>
      <c r="R215" s="587">
        <f>IF(Q215&gt;0,Q215-R138,S175)</f>
        <v>1507300</v>
      </c>
      <c r="AE215" s="2226"/>
      <c r="AF215" s="2226"/>
      <c r="AG215" s="2226"/>
      <c r="AH215" s="2226"/>
    </row>
    <row r="216" spans="1:34" s="2226" customFormat="1" x14ac:dyDescent="0.2">
      <c r="A216" s="1346" t="s">
        <v>11891</v>
      </c>
      <c r="B216" s="584"/>
      <c r="C216" s="585"/>
      <c r="D216" s="586"/>
      <c r="E216" s="79">
        <f t="shared" ref="E216:E217" si="140">IF(D216&gt;0,D216-E139,E176)</f>
        <v>0</v>
      </c>
      <c r="F216" s="77">
        <f t="shared" ref="F216:F217" si="141">IF(E216&gt;0,E216-F139,F176)</f>
        <v>0</v>
      </c>
      <c r="G216" s="79">
        <f t="shared" ref="G216:G217" si="142">IF(F216&gt;0,F216-G139,G176)</f>
        <v>0</v>
      </c>
      <c r="H216" s="79">
        <f>IF(G216&gt;0,G216-H143,H176)</f>
        <v>220000</v>
      </c>
      <c r="I216" s="79">
        <f>IF(H216&gt;0,H216-I143,I176)</f>
        <v>213000</v>
      </c>
      <c r="J216" s="79">
        <f t="shared" ref="J216:P216" si="143">IF(I216&gt;0,I216-J143,J176)</f>
        <v>206000</v>
      </c>
      <c r="K216" s="79">
        <f t="shared" si="143"/>
        <v>198000</v>
      </c>
      <c r="L216" s="79">
        <f t="shared" si="143"/>
        <v>190000</v>
      </c>
      <c r="M216" s="79">
        <f t="shared" si="143"/>
        <v>182000</v>
      </c>
      <c r="N216" s="79">
        <f t="shared" si="143"/>
        <v>173000</v>
      </c>
      <c r="O216" s="79">
        <f t="shared" si="143"/>
        <v>164000</v>
      </c>
      <c r="P216" s="79">
        <f t="shared" si="143"/>
        <v>155000</v>
      </c>
      <c r="Q216" s="79">
        <f>IF(P216&gt;0,P216-Q143,R176)</f>
        <v>145000</v>
      </c>
      <c r="R216" s="587">
        <f>IF(Q216&gt;0,Q216-R143,S176)</f>
        <v>135000</v>
      </c>
    </row>
    <row r="217" spans="1:34" s="2226" customFormat="1" x14ac:dyDescent="0.2">
      <c r="A217" s="1346" t="s">
        <v>11890</v>
      </c>
      <c r="B217" s="584"/>
      <c r="C217" s="585"/>
      <c r="D217" s="586"/>
      <c r="E217" s="79">
        <f t="shared" si="140"/>
        <v>0</v>
      </c>
      <c r="F217" s="77">
        <f t="shared" si="141"/>
        <v>0</v>
      </c>
      <c r="G217" s="79">
        <f t="shared" si="142"/>
        <v>0</v>
      </c>
      <c r="H217" s="79">
        <f>IF(G217&gt;0,G217-H148,H177)</f>
        <v>330000</v>
      </c>
      <c r="I217" s="79">
        <f>IF(H217&gt;0,H217-I148,I177)</f>
        <v>319000</v>
      </c>
      <c r="J217" s="79">
        <f t="shared" ref="J217:P217" si="144">IF(I217&gt;0,I217-J148,J177)</f>
        <v>307000</v>
      </c>
      <c r="K217" s="79">
        <f t="shared" si="144"/>
        <v>295000</v>
      </c>
      <c r="L217" s="79">
        <f t="shared" si="144"/>
        <v>282000</v>
      </c>
      <c r="M217" s="79">
        <f t="shared" si="144"/>
        <v>269000</v>
      </c>
      <c r="N217" s="79">
        <f t="shared" si="144"/>
        <v>255000</v>
      </c>
      <c r="O217" s="79">
        <f t="shared" si="144"/>
        <v>241000</v>
      </c>
      <c r="P217" s="79">
        <f t="shared" si="144"/>
        <v>226000</v>
      </c>
      <c r="Q217" s="79">
        <f>IF(P217&gt;0,P217-Q148,R177)</f>
        <v>211000</v>
      </c>
      <c r="R217" s="587">
        <f>IF(Q217&gt;0,Q217-R148,S177)</f>
        <v>195000</v>
      </c>
    </row>
    <row r="218" spans="1:34" s="80" customFormat="1" x14ac:dyDescent="0.2">
      <c r="A218" s="1346" t="str">
        <f>A198</f>
        <v>River St Upgrade - Moon to Grant</v>
      </c>
      <c r="B218" s="584"/>
      <c r="C218" s="585"/>
      <c r="D218" s="586"/>
      <c r="E218" s="79">
        <f>IF(D218&gt;0,D218-E153,E178)</f>
        <v>0</v>
      </c>
      <c r="F218" s="77">
        <f t="shared" ref="F218:P218" si="145">IF(E218&gt;0,E218-F153,F178)</f>
        <v>0</v>
      </c>
      <c r="G218" s="79">
        <f t="shared" si="145"/>
        <v>0</v>
      </c>
      <c r="H218" s="79">
        <f t="shared" si="145"/>
        <v>0</v>
      </c>
      <c r="I218" s="79">
        <f t="shared" si="145"/>
        <v>2500000</v>
      </c>
      <c r="J218" s="79">
        <f t="shared" si="145"/>
        <v>2292000</v>
      </c>
      <c r="K218" s="79">
        <f t="shared" si="145"/>
        <v>2076000</v>
      </c>
      <c r="L218" s="79">
        <f t="shared" si="145"/>
        <v>1851000</v>
      </c>
      <c r="M218" s="79">
        <f t="shared" si="145"/>
        <v>1617000</v>
      </c>
      <c r="N218" s="79">
        <f t="shared" si="145"/>
        <v>1374000</v>
      </c>
      <c r="O218" s="79">
        <f t="shared" si="145"/>
        <v>1121000</v>
      </c>
      <c r="P218" s="79">
        <f t="shared" si="145"/>
        <v>858000</v>
      </c>
      <c r="Q218" s="79">
        <f>IF(P218&gt;0,P218-Q153,R178)</f>
        <v>584000</v>
      </c>
      <c r="R218" s="587">
        <f>IF(Q218&gt;0,Q218-R153,S178)</f>
        <v>299000</v>
      </c>
      <c r="AE218" s="2226"/>
      <c r="AF218" s="2226"/>
      <c r="AG218" s="2226"/>
      <c r="AH218" s="2226"/>
    </row>
    <row r="219" spans="1:34" s="80" customFormat="1" x14ac:dyDescent="0.2">
      <c r="A219" s="1346" t="str">
        <f>A199</f>
        <v xml:space="preserve">River St - Four Laning - Section 94 </v>
      </c>
      <c r="B219" s="584"/>
      <c r="C219" s="585"/>
      <c r="D219" s="586"/>
      <c r="E219" s="79">
        <f>IF(D219&gt;0,D219-E158,E179)</f>
        <v>0</v>
      </c>
      <c r="F219" s="77">
        <f t="shared" ref="F219:P219" si="146">IF(E219&gt;0,E219-F158,F179)</f>
        <v>0</v>
      </c>
      <c r="G219" s="79">
        <f t="shared" si="146"/>
        <v>0</v>
      </c>
      <c r="H219" s="79">
        <f t="shared" si="146"/>
        <v>0</v>
      </c>
      <c r="I219" s="79">
        <f t="shared" si="146"/>
        <v>0</v>
      </c>
      <c r="J219" s="79">
        <f t="shared" si="146"/>
        <v>0</v>
      </c>
      <c r="K219" s="79">
        <f t="shared" si="146"/>
        <v>8340000</v>
      </c>
      <c r="L219" s="79">
        <f t="shared" si="146"/>
        <v>7924000</v>
      </c>
      <c r="M219" s="79">
        <f t="shared" si="146"/>
        <v>7491000</v>
      </c>
      <c r="N219" s="79">
        <f t="shared" si="146"/>
        <v>7041000</v>
      </c>
      <c r="O219" s="79">
        <f t="shared" si="146"/>
        <v>6573000</v>
      </c>
      <c r="P219" s="79">
        <f t="shared" si="146"/>
        <v>6086000</v>
      </c>
      <c r="Q219" s="79">
        <f>IF(P219&gt;0,P219-Q158,R179)</f>
        <v>5579000</v>
      </c>
      <c r="R219" s="587">
        <f>IF(Q219&gt;0,Q219-R158,S179)</f>
        <v>5052000</v>
      </c>
      <c r="AE219" s="2226"/>
      <c r="AF219" s="2226"/>
      <c r="AG219" s="2226"/>
      <c r="AH219" s="2226"/>
    </row>
    <row r="220" spans="1:34" s="80" customFormat="1" ht="13.5" thickBot="1" x14ac:dyDescent="0.25">
      <c r="A220" s="2264"/>
      <c r="B220" s="584"/>
      <c r="C220" s="585"/>
      <c r="D220" s="586"/>
      <c r="E220" s="77"/>
      <c r="F220" s="79"/>
      <c r="G220" s="77"/>
      <c r="H220" s="79"/>
      <c r="I220" s="79"/>
      <c r="J220" s="79"/>
      <c r="K220" s="79"/>
      <c r="L220" s="79"/>
      <c r="M220" s="592"/>
      <c r="N220" s="79"/>
      <c r="O220" s="79"/>
      <c r="P220" s="79"/>
      <c r="Q220" s="79"/>
      <c r="R220" s="587"/>
      <c r="AE220" s="2226"/>
      <c r="AF220" s="2226"/>
      <c r="AG220" s="2226"/>
      <c r="AH220" s="2226"/>
    </row>
    <row r="221" spans="1:34" s="39" customFormat="1" ht="13.5" thickTop="1" x14ac:dyDescent="0.2">
      <c r="A221" s="2265" t="s">
        <v>1504</v>
      </c>
      <c r="B221" s="352"/>
      <c r="C221" s="589"/>
      <c r="D221" s="590"/>
      <c r="E221" s="69">
        <f>SUM(E208:E220)</f>
        <v>725000</v>
      </c>
      <c r="F221" s="109">
        <f>SUM(F208:F220)</f>
        <v>1146100</v>
      </c>
      <c r="G221" s="69">
        <f t="shared" ref="G221:O221" si="147">SUM(G208:G220)</f>
        <v>7733300</v>
      </c>
      <c r="H221" s="109">
        <f t="shared" si="147"/>
        <v>16215700</v>
      </c>
      <c r="I221" s="109">
        <f t="shared" si="147"/>
        <v>18003500</v>
      </c>
      <c r="J221" s="109">
        <f t="shared" si="147"/>
        <v>17054200</v>
      </c>
      <c r="K221" s="109">
        <f t="shared" si="147"/>
        <v>24407300</v>
      </c>
      <c r="L221" s="109">
        <f>SUM(L208:L220)</f>
        <v>22964300</v>
      </c>
      <c r="M221" s="109">
        <f t="shared" si="147"/>
        <v>21464900</v>
      </c>
      <c r="N221" s="109">
        <f t="shared" si="147"/>
        <v>20010700</v>
      </c>
      <c r="O221" s="109">
        <f t="shared" si="147"/>
        <v>18499600</v>
      </c>
      <c r="P221" s="109">
        <f t="shared" ref="P221:Q221" si="148">SUM(P208:P220)</f>
        <v>16927500</v>
      </c>
      <c r="Q221" s="109">
        <f t="shared" si="148"/>
        <v>15353500</v>
      </c>
      <c r="R221" s="272">
        <f t="shared" ref="R221" si="149">SUM(R208:R220)</f>
        <v>13715500</v>
      </c>
    </row>
    <row r="222" spans="1:34" s="80" customFormat="1" ht="13.5" thickBot="1" x14ac:dyDescent="0.25">
      <c r="A222" s="2266"/>
      <c r="B222" s="871"/>
      <c r="C222" s="871"/>
      <c r="D222" s="2267"/>
      <c r="E222" s="870"/>
      <c r="F222" s="871"/>
      <c r="G222" s="870"/>
      <c r="H222" s="871"/>
      <c r="I222" s="871"/>
      <c r="J222" s="871"/>
      <c r="K222" s="871"/>
      <c r="L222" s="871"/>
      <c r="M222" s="871"/>
      <c r="N222" s="871"/>
      <c r="O222" s="871"/>
      <c r="P222" s="871"/>
      <c r="Q222" s="871"/>
      <c r="R222" s="2251"/>
      <c r="AE222" s="2226"/>
      <c r="AF222" s="2226"/>
      <c r="AG222" s="2226"/>
      <c r="AH222" s="2226"/>
    </row>
    <row r="230" spans="9:10" x14ac:dyDescent="0.2">
      <c r="I230" s="1093"/>
      <c r="J230" s="1093"/>
    </row>
    <row r="231" spans="9:10" x14ac:dyDescent="0.2">
      <c r="J231" s="1095"/>
    </row>
    <row r="233" spans="9:10" x14ac:dyDescent="0.2">
      <c r="J233" s="1094"/>
    </row>
    <row r="401" spans="4:4" x14ac:dyDescent="0.2">
      <c r="D401" s="397"/>
    </row>
    <row r="402" spans="4:4" x14ac:dyDescent="0.2">
      <c r="D402" s="397"/>
    </row>
    <row r="1129" spans="5:5" x14ac:dyDescent="0.2">
      <c r="E1129" s="397" t="s">
        <v>7245</v>
      </c>
    </row>
  </sheetData>
  <mergeCells count="19">
    <mergeCell ref="AG3:AH3"/>
    <mergeCell ref="A2:AH2"/>
    <mergeCell ref="AE3:AF3"/>
    <mergeCell ref="O3:P3"/>
    <mergeCell ref="AC3:AD3"/>
    <mergeCell ref="S3:T3"/>
    <mergeCell ref="W3:X3"/>
    <mergeCell ref="E3:F3"/>
    <mergeCell ref="G3:H3"/>
    <mergeCell ref="I3:J3"/>
    <mergeCell ref="U3:V3"/>
    <mergeCell ref="AA3:AB3"/>
    <mergeCell ref="Y3:Z3"/>
    <mergeCell ref="K3:L3"/>
    <mergeCell ref="Q3:R3"/>
    <mergeCell ref="M3:N3"/>
    <mergeCell ref="A205:R205"/>
    <mergeCell ref="A165:S165"/>
    <mergeCell ref="A185:R185"/>
  </mergeCells>
  <phoneticPr fontId="9" type="noConversion"/>
  <printOptions horizontalCentered="1"/>
  <pageMargins left="0.19685039370078741" right="0.15748031496062992" top="0.39370078740157483" bottom="0.39370078740157483" header="0.51181102362204722" footer="0.51181102362204722"/>
  <pageSetup paperSize="8" scale="75" orientation="landscape" blackAndWhite="1" verticalDpi="36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pageSetUpPr fitToPage="1"/>
  </sheetPr>
  <dimension ref="A1:Z1109"/>
  <sheetViews>
    <sheetView workbookViewId="0">
      <selection activeCell="A56" sqref="A56:Q56"/>
    </sheetView>
  </sheetViews>
  <sheetFormatPr defaultColWidth="9.140625" defaultRowHeight="12.75" x14ac:dyDescent="0.2"/>
  <cols>
    <col min="1" max="1" width="14.140625" style="34" customWidth="1"/>
    <col min="2" max="2" width="12.28515625" style="34" bestFit="1" customWidth="1"/>
    <col min="3" max="3" width="12.28515625" style="96" bestFit="1" customWidth="1"/>
    <col min="4" max="4" width="13" style="34" customWidth="1"/>
    <col min="5" max="5" width="33.5703125" style="34" customWidth="1"/>
    <col min="6" max="6" width="11.5703125" style="34" customWidth="1"/>
    <col min="7" max="7" width="12" style="2173" bestFit="1" customWidth="1"/>
    <col min="8" max="8" width="10.5703125" style="34" bestFit="1" customWidth="1"/>
    <col min="9" max="9" width="12" style="34" bestFit="1" customWidth="1"/>
    <col min="10" max="10" width="11.5703125" style="34" customWidth="1"/>
    <col min="11" max="11" width="12" style="34" bestFit="1" customWidth="1"/>
    <col min="12" max="12" width="11.5703125" style="34" customWidth="1"/>
    <col min="13" max="19" width="10.28515625" style="34" customWidth="1"/>
    <col min="20" max="20" width="9.7109375" style="34" customWidth="1"/>
    <col min="21" max="21" width="9.140625" style="34"/>
    <col min="22" max="22" width="10.5703125" style="34" bestFit="1" customWidth="1"/>
    <col min="23" max="23" width="10.140625" style="34" customWidth="1"/>
    <col min="24" max="24" width="10.85546875" style="34" bestFit="1" customWidth="1"/>
    <col min="25" max="16384" width="9.140625" style="34"/>
  </cols>
  <sheetData>
    <row r="1" spans="1:17" ht="18.75" customHeight="1" thickBot="1" x14ac:dyDescent="0.25">
      <c r="A1" s="2675" t="s">
        <v>6801</v>
      </c>
      <c r="B1" s="2676"/>
      <c r="C1" s="2676"/>
      <c r="D1" s="2676"/>
      <c r="E1" s="2676"/>
      <c r="F1" s="2676"/>
      <c r="G1" s="2676"/>
      <c r="H1" s="2676"/>
      <c r="I1" s="2676"/>
      <c r="J1" s="2676"/>
      <c r="K1" s="2676"/>
      <c r="L1" s="2676"/>
      <c r="M1" s="2676"/>
      <c r="N1" s="2676"/>
      <c r="O1" s="2676"/>
      <c r="P1" s="2676"/>
      <c r="Q1" s="2677"/>
    </row>
    <row r="2" spans="1:17" s="39" customFormat="1" x14ac:dyDescent="0.2">
      <c r="A2" s="2674" t="s">
        <v>1824</v>
      </c>
      <c r="B2" s="2621"/>
      <c r="C2" s="2621"/>
      <c r="D2" s="2622"/>
      <c r="E2" s="271" t="s">
        <v>2213</v>
      </c>
      <c r="F2" s="2234"/>
      <c r="G2" s="2617" t="s">
        <v>11919</v>
      </c>
      <c r="H2" s="2618"/>
      <c r="I2" s="2618"/>
      <c r="J2" s="2618"/>
      <c r="K2" s="2618"/>
      <c r="L2" s="2618"/>
      <c r="M2" s="2618"/>
      <c r="N2" s="2618"/>
      <c r="O2" s="2618"/>
      <c r="P2" s="2618"/>
      <c r="Q2" s="2678"/>
    </row>
    <row r="3" spans="1:17" ht="13.5" thickBot="1" x14ac:dyDescent="0.25">
      <c r="A3" s="1526" t="str">
        <f>LTFP!A182</f>
        <v>2013/14</v>
      </c>
      <c r="B3" s="40" t="str">
        <f>LTFP!B182</f>
        <v>2014/15</v>
      </c>
      <c r="C3" s="44" t="str">
        <f>LTFP!C182</f>
        <v>2015/16</v>
      </c>
      <c r="D3" s="44" t="str">
        <f>LTFP!D182</f>
        <v>2016/17</v>
      </c>
      <c r="E3" s="131"/>
      <c r="F3" s="41"/>
      <c r="G3" s="2170" t="str">
        <f>LTFP!F182</f>
        <v>2017/18</v>
      </c>
      <c r="H3" s="44" t="str">
        <f>LTFP!H182</f>
        <v>2018/19</v>
      </c>
      <c r="I3" s="44" t="str">
        <f>LTFP!I182</f>
        <v>2019/20</v>
      </c>
      <c r="J3" s="44" t="str">
        <f>LTFP!J182</f>
        <v>2020/21</v>
      </c>
      <c r="K3" s="44" t="str">
        <f>LTFP!K182</f>
        <v>2021/22</v>
      </c>
      <c r="L3" s="44" t="str">
        <f>LTFP!L182</f>
        <v>2022/23</v>
      </c>
      <c r="M3" s="44" t="str">
        <f>LTFP!M182</f>
        <v>2023/24</v>
      </c>
      <c r="N3" s="44" t="str">
        <f>LTFP!N182</f>
        <v>2024/25</v>
      </c>
      <c r="O3" s="44" t="str">
        <f>LTFP!O182</f>
        <v>2025/26</v>
      </c>
      <c r="P3" s="44" t="str">
        <f>LTFP!P182</f>
        <v>2026/27</v>
      </c>
      <c r="Q3" s="95" t="str">
        <f>LTFP!Q182</f>
        <v>2027/28</v>
      </c>
    </row>
    <row r="4" spans="1:17" x14ac:dyDescent="0.2">
      <c r="A4" s="54"/>
      <c r="B4" s="9"/>
      <c r="C4" s="9"/>
      <c r="D4" s="9"/>
      <c r="E4" s="46"/>
      <c r="F4" s="46"/>
      <c r="G4" s="2165"/>
      <c r="H4" s="9"/>
      <c r="I4" s="9"/>
      <c r="J4" s="9"/>
      <c r="K4" s="9"/>
      <c r="L4" s="9"/>
      <c r="M4" s="9"/>
      <c r="N4" s="9"/>
      <c r="O4" s="9"/>
      <c r="P4" s="9"/>
      <c r="Q4" s="61"/>
    </row>
    <row r="5" spans="1:17" x14ac:dyDescent="0.2">
      <c r="A5" s="54"/>
      <c r="B5" s="9"/>
      <c r="C5" s="9"/>
      <c r="D5" s="9"/>
      <c r="E5" s="117"/>
      <c r="F5" s="46"/>
      <c r="G5" s="2165"/>
      <c r="H5" s="9"/>
      <c r="I5" s="9"/>
      <c r="J5" s="9"/>
      <c r="K5" s="9"/>
      <c r="L5" s="9"/>
      <c r="M5" s="9"/>
      <c r="N5" s="9"/>
      <c r="O5" s="9"/>
      <c r="P5" s="9"/>
      <c r="Q5" s="61"/>
    </row>
    <row r="6" spans="1:17" x14ac:dyDescent="0.2">
      <c r="A6" s="54">
        <f>ROUND('W&amp;W'!B576,-2)</f>
        <v>10689100</v>
      </c>
      <c r="B6" s="9">
        <f>'W&amp;W'!C576</f>
        <v>10892500</v>
      </c>
      <c r="C6" s="9">
        <f>'W&amp;W'!D576</f>
        <v>11199100</v>
      </c>
      <c r="D6" s="9">
        <f>'W&amp;W'!E576</f>
        <v>12409800</v>
      </c>
      <c r="E6" s="58" t="s">
        <v>388</v>
      </c>
      <c r="F6" s="46"/>
      <c r="G6" s="2165">
        <f>'W&amp;W'!H576</f>
        <v>11778400</v>
      </c>
      <c r="H6" s="9">
        <f>'W&amp;W'!J576</f>
        <v>12143700</v>
      </c>
      <c r="I6" s="9">
        <f>'W&amp;W'!K576</f>
        <v>12332100</v>
      </c>
      <c r="J6" s="9">
        <f>'W&amp;W'!L576</f>
        <v>12608400</v>
      </c>
      <c r="K6" s="9">
        <f>'W&amp;W'!M576</f>
        <v>12999400</v>
      </c>
      <c r="L6" s="9">
        <f>'W&amp;W'!N576</f>
        <v>13275300</v>
      </c>
      <c r="M6" s="9">
        <f>'W&amp;W'!O576</f>
        <v>13601000</v>
      </c>
      <c r="N6" s="9">
        <f>'W&amp;W'!P576</f>
        <v>13940900</v>
      </c>
      <c r="O6" s="9">
        <f>'W&amp;W'!Q576</f>
        <v>14301200</v>
      </c>
      <c r="P6" s="9">
        <f>'W&amp;W'!R576</f>
        <v>14763100</v>
      </c>
      <c r="Q6" s="61">
        <f>'W&amp;W'!S576</f>
        <v>15245100</v>
      </c>
    </row>
    <row r="7" spans="1:17" x14ac:dyDescent="0.2">
      <c r="A7" s="54">
        <f>ROUND('W&amp;W'!B14-A10-A11-A12,-2)</f>
        <v>9141100</v>
      </c>
      <c r="B7" s="9">
        <f>'W&amp;W'!C14-B10-B11-B12</f>
        <v>9317700</v>
      </c>
      <c r="C7" s="9">
        <f>'W&amp;W'!D14-C10-C11-C12</f>
        <v>9313000</v>
      </c>
      <c r="D7" s="9">
        <f>'W&amp;W'!E14-D10-D11-D12</f>
        <v>9720700</v>
      </c>
      <c r="E7" s="58" t="s">
        <v>1097</v>
      </c>
      <c r="F7" s="46"/>
      <c r="G7" s="2165">
        <f>'W&amp;W'!H14-G10-G11-G12</f>
        <v>9845400</v>
      </c>
      <c r="H7" s="9">
        <f>'W&amp;W'!J14-H10-H11-H12</f>
        <v>10104400</v>
      </c>
      <c r="I7" s="9">
        <f>'W&amp;W'!K14-I10-I11-I12</f>
        <v>10307500</v>
      </c>
      <c r="J7" s="9">
        <f>'W&amp;W'!L14-J10-J11-J12</f>
        <v>10556200</v>
      </c>
      <c r="K7" s="9">
        <f>'W&amp;W'!M14-K10-K11-K12</f>
        <v>10870700</v>
      </c>
      <c r="L7" s="9">
        <f>'W&amp;W'!N14-L10-L11-L12</f>
        <v>11213700</v>
      </c>
      <c r="M7" s="9">
        <f>'W&amp;W'!O14-M10-M11-M12</f>
        <v>11480200</v>
      </c>
      <c r="N7" s="9">
        <f>'W&amp;W'!P14-N10-N11-N12</f>
        <v>11805400</v>
      </c>
      <c r="O7" s="9">
        <f>'W&amp;W'!Q14-O10-O11-O12</f>
        <v>12139700</v>
      </c>
      <c r="P7" s="9">
        <f>'W&amp;W'!R14-P10-P11-P12</f>
        <v>12466500</v>
      </c>
      <c r="Q7" s="61">
        <f>'W&amp;W'!S14-Q10-Q11-Q12</f>
        <v>12761100</v>
      </c>
    </row>
    <row r="8" spans="1:17" s="65" customFormat="1" x14ac:dyDescent="0.2">
      <c r="A8" s="198">
        <f>A6-A7</f>
        <v>1548000</v>
      </c>
      <c r="B8" s="63">
        <f>B6-B7</f>
        <v>1574800</v>
      </c>
      <c r="C8" s="63">
        <f>C6-C7</f>
        <v>1886100</v>
      </c>
      <c r="D8" s="63">
        <f>D6-D7</f>
        <v>2689100</v>
      </c>
      <c r="E8" s="56" t="s">
        <v>664</v>
      </c>
      <c r="F8" s="92"/>
      <c r="G8" s="2171">
        <f t="shared" ref="G8:K8" si="0">G6-G7</f>
        <v>1933000</v>
      </c>
      <c r="H8" s="63">
        <f t="shared" si="0"/>
        <v>2039300</v>
      </c>
      <c r="I8" s="63">
        <f t="shared" si="0"/>
        <v>2024600</v>
      </c>
      <c r="J8" s="63">
        <f t="shared" si="0"/>
        <v>2052200</v>
      </c>
      <c r="K8" s="63">
        <f t="shared" si="0"/>
        <v>2128700</v>
      </c>
      <c r="L8" s="63">
        <f t="shared" ref="L8:Q8" si="1">L6-L7</f>
        <v>2061600</v>
      </c>
      <c r="M8" s="63">
        <f t="shared" si="1"/>
        <v>2120800</v>
      </c>
      <c r="N8" s="63">
        <f t="shared" si="1"/>
        <v>2135500</v>
      </c>
      <c r="O8" s="63">
        <f t="shared" si="1"/>
        <v>2161500</v>
      </c>
      <c r="P8" s="63">
        <f t="shared" si="1"/>
        <v>2296600</v>
      </c>
      <c r="Q8" s="106">
        <f t="shared" si="1"/>
        <v>2484000</v>
      </c>
    </row>
    <row r="9" spans="1:17" x14ac:dyDescent="0.2">
      <c r="A9" s="54"/>
      <c r="B9" s="9"/>
      <c r="C9" s="9"/>
      <c r="D9" s="9"/>
      <c r="E9" s="58"/>
      <c r="F9" s="46"/>
      <c r="G9" s="2165"/>
      <c r="H9" s="9"/>
      <c r="I9" s="9"/>
      <c r="J9" s="9"/>
      <c r="K9" s="9"/>
      <c r="L9" s="9"/>
      <c r="M9" s="9"/>
      <c r="N9" s="9"/>
      <c r="O9" s="9"/>
      <c r="P9" s="9"/>
      <c r="Q9" s="61"/>
    </row>
    <row r="10" spans="1:17" x14ac:dyDescent="0.2">
      <c r="A10" s="54">
        <f>A25</f>
        <v>1859500</v>
      </c>
      <c r="B10" s="9">
        <f>B25</f>
        <v>1478700</v>
      </c>
      <c r="C10" s="9">
        <f>C25</f>
        <v>1498900</v>
      </c>
      <c r="D10" s="9">
        <f>D25</f>
        <v>1399600</v>
      </c>
      <c r="E10" s="58" t="s">
        <v>1737</v>
      </c>
      <c r="F10" s="46"/>
      <c r="G10" s="2165">
        <f t="shared" ref="G10:N10" si="2">G25</f>
        <v>1380000</v>
      </c>
      <c r="H10" s="9">
        <f t="shared" si="2"/>
        <v>1407600</v>
      </c>
      <c r="I10" s="9">
        <f t="shared" si="2"/>
        <v>1435800</v>
      </c>
      <c r="J10" s="9">
        <f t="shared" si="2"/>
        <v>1464600</v>
      </c>
      <c r="K10" s="9">
        <f t="shared" si="2"/>
        <v>1493900</v>
      </c>
      <c r="L10" s="9">
        <f t="shared" si="2"/>
        <v>1523800</v>
      </c>
      <c r="M10" s="9">
        <f t="shared" si="2"/>
        <v>1554300</v>
      </c>
      <c r="N10" s="9">
        <f t="shared" si="2"/>
        <v>1585400</v>
      </c>
      <c r="O10" s="9">
        <f t="shared" ref="O10:P10" si="3">O25</f>
        <v>1617200</v>
      </c>
      <c r="P10" s="9">
        <f t="shared" si="3"/>
        <v>1649600</v>
      </c>
      <c r="Q10" s="61">
        <f t="shared" ref="Q10" si="4">Q25</f>
        <v>1682600</v>
      </c>
    </row>
    <row r="11" spans="1:17" x14ac:dyDescent="0.2">
      <c r="A11" s="54">
        <f t="shared" ref="A11:B12" si="5">A26</f>
        <v>0</v>
      </c>
      <c r="B11" s="9">
        <f t="shared" si="5"/>
        <v>0</v>
      </c>
      <c r="C11" s="9">
        <f t="shared" ref="C11" si="6">C26</f>
        <v>0</v>
      </c>
      <c r="D11" s="9">
        <f t="shared" ref="D11" si="7">D26</f>
        <v>0</v>
      </c>
      <c r="E11" s="58" t="s">
        <v>4151</v>
      </c>
      <c r="F11" s="46"/>
      <c r="G11" s="2165">
        <f t="shared" ref="G11:N11" si="8">G26</f>
        <v>0</v>
      </c>
      <c r="H11" s="9">
        <f t="shared" si="8"/>
        <v>0</v>
      </c>
      <c r="I11" s="9">
        <f t="shared" si="8"/>
        <v>0</v>
      </c>
      <c r="J11" s="9">
        <f t="shared" si="8"/>
        <v>0</v>
      </c>
      <c r="K11" s="9">
        <f t="shared" si="8"/>
        <v>0</v>
      </c>
      <c r="L11" s="9">
        <f t="shared" si="8"/>
        <v>0</v>
      </c>
      <c r="M11" s="9">
        <f t="shared" si="8"/>
        <v>0</v>
      </c>
      <c r="N11" s="9">
        <f t="shared" si="8"/>
        <v>0</v>
      </c>
      <c r="O11" s="9">
        <f t="shared" ref="O11:P11" si="9">O26</f>
        <v>0</v>
      </c>
      <c r="P11" s="9">
        <f t="shared" si="9"/>
        <v>0</v>
      </c>
      <c r="Q11" s="61">
        <f t="shared" ref="Q11" si="10">Q26</f>
        <v>0</v>
      </c>
    </row>
    <row r="12" spans="1:17" x14ac:dyDescent="0.2">
      <c r="A12" s="54">
        <f t="shared" si="5"/>
        <v>111000</v>
      </c>
      <c r="B12" s="9">
        <f t="shared" si="5"/>
        <v>20600</v>
      </c>
      <c r="C12" s="9">
        <f t="shared" ref="C12" si="11">C27</f>
        <v>38000</v>
      </c>
      <c r="D12" s="9">
        <f t="shared" ref="D12" si="12">D27</f>
        <v>0</v>
      </c>
      <c r="E12" s="58" t="s">
        <v>4453</v>
      </c>
      <c r="F12" s="46"/>
      <c r="G12" s="2165">
        <f t="shared" ref="G12:N12" si="13">G27</f>
        <v>0</v>
      </c>
      <c r="H12" s="9">
        <f t="shared" si="13"/>
        <v>0</v>
      </c>
      <c r="I12" s="9">
        <f t="shared" si="13"/>
        <v>0</v>
      </c>
      <c r="J12" s="9">
        <f t="shared" si="13"/>
        <v>0</v>
      </c>
      <c r="K12" s="9">
        <f t="shared" si="13"/>
        <v>0</v>
      </c>
      <c r="L12" s="9">
        <f t="shared" si="13"/>
        <v>0</v>
      </c>
      <c r="M12" s="9">
        <f t="shared" si="13"/>
        <v>0</v>
      </c>
      <c r="N12" s="9">
        <f t="shared" si="13"/>
        <v>0</v>
      </c>
      <c r="O12" s="9">
        <f t="shared" ref="O12:P12" si="14">O27</f>
        <v>0</v>
      </c>
      <c r="P12" s="9">
        <f t="shared" si="14"/>
        <v>0</v>
      </c>
      <c r="Q12" s="61">
        <f t="shared" ref="Q12" si="15">Q27</f>
        <v>0</v>
      </c>
    </row>
    <row r="13" spans="1:17" s="65" customFormat="1" x14ac:dyDescent="0.2">
      <c r="A13" s="198">
        <f>A8-A10-A11-A12</f>
        <v>-422500</v>
      </c>
      <c r="B13" s="63">
        <f>B8-B10-B11-B12</f>
        <v>75500</v>
      </c>
      <c r="C13" s="63">
        <f>C8-C10-C11-C12</f>
        <v>349200</v>
      </c>
      <c r="D13" s="63">
        <f>D8-D10-D11-D12</f>
        <v>1289500</v>
      </c>
      <c r="E13" s="56" t="s">
        <v>398</v>
      </c>
      <c r="F13" s="92"/>
      <c r="G13" s="2171">
        <f t="shared" ref="G13:N13" si="16">G8-G10-G11-G12</f>
        <v>553000</v>
      </c>
      <c r="H13" s="63">
        <f t="shared" si="16"/>
        <v>631700</v>
      </c>
      <c r="I13" s="63">
        <f t="shared" si="16"/>
        <v>588800</v>
      </c>
      <c r="J13" s="63">
        <f t="shared" si="16"/>
        <v>587600</v>
      </c>
      <c r="K13" s="63">
        <f t="shared" si="16"/>
        <v>634800</v>
      </c>
      <c r="L13" s="63">
        <f t="shared" si="16"/>
        <v>537800</v>
      </c>
      <c r="M13" s="63">
        <f t="shared" si="16"/>
        <v>566500</v>
      </c>
      <c r="N13" s="63">
        <f t="shared" si="16"/>
        <v>550100</v>
      </c>
      <c r="O13" s="63">
        <f t="shared" ref="O13:P13" si="17">O8-O10-O11-O12</f>
        <v>544300</v>
      </c>
      <c r="P13" s="63">
        <f t="shared" si="17"/>
        <v>647000</v>
      </c>
      <c r="Q13" s="106">
        <f t="shared" ref="Q13" si="18">Q8-Q10-Q11-Q12</f>
        <v>801400</v>
      </c>
    </row>
    <row r="14" spans="1:17" x14ac:dyDescent="0.2">
      <c r="A14" s="54"/>
      <c r="B14" s="9"/>
      <c r="C14" s="9"/>
      <c r="D14" s="9"/>
      <c r="E14" s="98"/>
      <c r="F14" s="46"/>
      <c r="G14" s="2165"/>
      <c r="H14" s="9"/>
      <c r="I14" s="9"/>
      <c r="J14" s="9"/>
      <c r="K14" s="9"/>
      <c r="L14" s="9"/>
      <c r="M14" s="9"/>
      <c r="N14" s="9"/>
      <c r="O14" s="9"/>
      <c r="P14" s="9"/>
      <c r="Q14" s="61"/>
    </row>
    <row r="15" spans="1:17" x14ac:dyDescent="0.2">
      <c r="A15" s="54"/>
      <c r="B15" s="9"/>
      <c r="C15" s="9"/>
      <c r="D15" s="9"/>
      <c r="E15" s="92" t="s">
        <v>1432</v>
      </c>
      <c r="F15" s="46"/>
      <c r="G15" s="2165"/>
      <c r="H15" s="9"/>
      <c r="I15" s="9"/>
      <c r="J15" s="9"/>
      <c r="K15" s="9"/>
      <c r="L15" s="9"/>
      <c r="M15" s="9"/>
      <c r="N15" s="9"/>
      <c r="O15" s="9"/>
      <c r="P15" s="9"/>
      <c r="Q15" s="61"/>
    </row>
    <row r="16" spans="1:17" x14ac:dyDescent="0.2">
      <c r="A16" s="25">
        <v>208100</v>
      </c>
      <c r="B16" s="9">
        <v>309400</v>
      </c>
      <c r="C16" s="9">
        <f>1649000-1427000</f>
        <v>222000</v>
      </c>
      <c r="D16" s="9">
        <v>0</v>
      </c>
      <c r="E16" s="31" t="s">
        <v>3</v>
      </c>
      <c r="F16" s="46"/>
      <c r="G16" s="2165">
        <v>200000</v>
      </c>
      <c r="H16" s="9">
        <f t="shared" ref="H16:K16" si="19">G16</f>
        <v>200000</v>
      </c>
      <c r="I16" s="9">
        <f t="shared" si="19"/>
        <v>200000</v>
      </c>
      <c r="J16" s="9">
        <f t="shared" si="19"/>
        <v>200000</v>
      </c>
      <c r="K16" s="9">
        <f t="shared" si="19"/>
        <v>200000</v>
      </c>
      <c r="L16" s="9">
        <f t="shared" ref="L16:Q16" si="20">K16</f>
        <v>200000</v>
      </c>
      <c r="M16" s="9">
        <f t="shared" si="20"/>
        <v>200000</v>
      </c>
      <c r="N16" s="9">
        <f t="shared" si="20"/>
        <v>200000</v>
      </c>
      <c r="O16" s="9">
        <f t="shared" si="20"/>
        <v>200000</v>
      </c>
      <c r="P16" s="9">
        <f t="shared" si="20"/>
        <v>200000</v>
      </c>
      <c r="Q16" s="61">
        <f t="shared" si="20"/>
        <v>200000</v>
      </c>
    </row>
    <row r="17" spans="1:17" x14ac:dyDescent="0.2">
      <c r="A17" s="54">
        <f>ROUND(A64,-2)</f>
        <v>368600</v>
      </c>
      <c r="B17" s="9">
        <f>B64</f>
        <v>336400</v>
      </c>
      <c r="C17" s="9">
        <f>C64</f>
        <v>0</v>
      </c>
      <c r="D17" s="9">
        <f>D64</f>
        <v>0</v>
      </c>
      <c r="E17" s="98" t="s">
        <v>2668</v>
      </c>
      <c r="F17" s="46"/>
      <c r="G17" s="2165">
        <f t="shared" ref="G17:K17" si="21">G64</f>
        <v>0</v>
      </c>
      <c r="H17" s="9">
        <f t="shared" si="21"/>
        <v>0</v>
      </c>
      <c r="I17" s="9">
        <f t="shared" si="21"/>
        <v>0</v>
      </c>
      <c r="J17" s="9">
        <f t="shared" si="21"/>
        <v>0</v>
      </c>
      <c r="K17" s="9">
        <f t="shared" si="21"/>
        <v>0</v>
      </c>
      <c r="L17" s="9">
        <f t="shared" ref="L17:Q17" si="22">L64</f>
        <v>0</v>
      </c>
      <c r="M17" s="9">
        <f t="shared" si="22"/>
        <v>0</v>
      </c>
      <c r="N17" s="9">
        <f t="shared" si="22"/>
        <v>0</v>
      </c>
      <c r="O17" s="9">
        <f t="shared" si="22"/>
        <v>0</v>
      </c>
      <c r="P17" s="9">
        <f t="shared" si="22"/>
        <v>0</v>
      </c>
      <c r="Q17" s="61">
        <f t="shared" si="22"/>
        <v>0</v>
      </c>
    </row>
    <row r="18" spans="1:17" x14ac:dyDescent="0.2">
      <c r="A18" s="54">
        <v>430400</v>
      </c>
      <c r="B18" s="9">
        <v>454900</v>
      </c>
      <c r="C18" s="9">
        <v>837900</v>
      </c>
      <c r="D18" s="9">
        <v>469100</v>
      </c>
      <c r="E18" s="46" t="s">
        <v>2672</v>
      </c>
      <c r="F18" s="46"/>
      <c r="G18" s="2165">
        <v>575000</v>
      </c>
      <c r="H18" s="9">
        <v>600000</v>
      </c>
      <c r="I18" s="9">
        <f>ROUNDUP(H18+(H18*Assumptions!I$5),-4)</f>
        <v>620000</v>
      </c>
      <c r="J18" s="9">
        <f>ROUNDUP(I18+(I18*Assumptions!J$5),-4)</f>
        <v>640000</v>
      </c>
      <c r="K18" s="9">
        <f>ROUNDUP(J18+(J18*Assumptions!K$5),-4)</f>
        <v>660000</v>
      </c>
      <c r="L18" s="9">
        <f>ROUNDUP(K18+(K18*Assumptions!L$5),-4)</f>
        <v>680000</v>
      </c>
      <c r="M18" s="9">
        <f>ROUNDUP(L18+(L18*Assumptions!M$5),-4)</f>
        <v>700000</v>
      </c>
      <c r="N18" s="9">
        <f>ROUNDUP(M18+(M18*Assumptions!N$5),-4)</f>
        <v>720000</v>
      </c>
      <c r="O18" s="9">
        <f>ROUNDUP(N18+(N18*Assumptions!O$5),-4)</f>
        <v>740000</v>
      </c>
      <c r="P18" s="9">
        <f>ROUNDUP(O18+(O18*Assumptions!P$5),-4)</f>
        <v>760000</v>
      </c>
      <c r="Q18" s="61">
        <f>ROUNDUP(P18+(P18*Assumptions!Q$5),-4)</f>
        <v>780000</v>
      </c>
    </row>
    <row r="19" spans="1:17" ht="13.5" thickBot="1" x14ac:dyDescent="0.25">
      <c r="A19" s="54"/>
      <c r="B19" s="9"/>
      <c r="C19" s="9"/>
      <c r="D19" s="9"/>
      <c r="E19" s="46"/>
      <c r="F19" s="46"/>
      <c r="G19" s="2165"/>
      <c r="H19" s="9"/>
      <c r="I19" s="9"/>
      <c r="J19" s="9"/>
      <c r="K19" s="9"/>
      <c r="L19" s="9"/>
      <c r="M19" s="9"/>
      <c r="N19" s="9"/>
      <c r="O19" s="9"/>
      <c r="P19" s="9"/>
      <c r="Q19" s="61"/>
    </row>
    <row r="20" spans="1:17" s="65" customFormat="1" ht="13.5" thickBot="1" x14ac:dyDescent="0.25">
      <c r="A20" s="199">
        <f>SUM(A13:A19)</f>
        <v>584600</v>
      </c>
      <c r="B20" s="202">
        <f>SUM(B13:B19)</f>
        <v>1176200</v>
      </c>
      <c r="C20" s="202">
        <f>SUM(C13:C19)</f>
        <v>1409100</v>
      </c>
      <c r="D20" s="202">
        <f>SUM(D13:D19)</f>
        <v>1758600</v>
      </c>
      <c r="E20" s="200" t="s">
        <v>2722</v>
      </c>
      <c r="F20" s="201"/>
      <c r="G20" s="2182">
        <f t="shared" ref="G20:K20" si="23">SUM(G13:G19)</f>
        <v>1328000</v>
      </c>
      <c r="H20" s="202">
        <f t="shared" si="23"/>
        <v>1431700</v>
      </c>
      <c r="I20" s="202">
        <f t="shared" si="23"/>
        <v>1408800</v>
      </c>
      <c r="J20" s="202">
        <f t="shared" si="23"/>
        <v>1427600</v>
      </c>
      <c r="K20" s="202">
        <f t="shared" si="23"/>
        <v>1494800</v>
      </c>
      <c r="L20" s="202">
        <f t="shared" ref="L20:Q20" si="24">SUM(L13:L19)</f>
        <v>1417800</v>
      </c>
      <c r="M20" s="202">
        <f t="shared" si="24"/>
        <v>1466500</v>
      </c>
      <c r="N20" s="202">
        <f t="shared" si="24"/>
        <v>1470100</v>
      </c>
      <c r="O20" s="202">
        <f t="shared" si="24"/>
        <v>1484300</v>
      </c>
      <c r="P20" s="202">
        <f t="shared" si="24"/>
        <v>1607000</v>
      </c>
      <c r="Q20" s="203">
        <f t="shared" si="24"/>
        <v>1781400</v>
      </c>
    </row>
    <row r="21" spans="1:17" ht="13.5" thickTop="1" x14ac:dyDescent="0.2">
      <c r="A21" s="54"/>
      <c r="B21" s="9"/>
      <c r="C21" s="9"/>
      <c r="D21" s="9"/>
      <c r="E21" s="46"/>
      <c r="F21" s="46"/>
      <c r="G21" s="2165"/>
      <c r="H21" s="9"/>
      <c r="I21" s="9"/>
      <c r="J21" s="9"/>
      <c r="K21" s="9"/>
      <c r="L21" s="9"/>
      <c r="M21" s="9"/>
      <c r="N21" s="9"/>
      <c r="O21" s="9"/>
      <c r="P21" s="9"/>
      <c r="Q21" s="61"/>
    </row>
    <row r="22" spans="1:17" x14ac:dyDescent="0.2">
      <c r="A22" s="54"/>
      <c r="B22" s="9"/>
      <c r="C22" s="9"/>
      <c r="D22" s="9"/>
      <c r="E22" s="92" t="s">
        <v>2723</v>
      </c>
      <c r="F22" s="46"/>
      <c r="G22" s="2165"/>
      <c r="H22" s="9"/>
      <c r="I22" s="9"/>
      <c r="J22" s="9"/>
      <c r="K22" s="9"/>
      <c r="L22" s="9"/>
      <c r="M22" s="9"/>
      <c r="N22" s="9"/>
      <c r="O22" s="9"/>
      <c r="P22" s="9"/>
      <c r="Q22" s="61"/>
    </row>
    <row r="23" spans="1:17" x14ac:dyDescent="0.2">
      <c r="A23" s="54"/>
      <c r="B23" s="9"/>
      <c r="C23" s="9"/>
      <c r="D23" s="9"/>
      <c r="E23" s="46"/>
      <c r="F23" s="46"/>
      <c r="G23" s="2165"/>
      <c r="H23" s="9"/>
      <c r="I23" s="9"/>
      <c r="J23" s="9"/>
      <c r="K23" s="9"/>
      <c r="L23" s="9"/>
      <c r="M23" s="9"/>
      <c r="N23" s="9"/>
      <c r="O23" s="9"/>
      <c r="P23" s="9"/>
      <c r="Q23" s="61"/>
    </row>
    <row r="24" spans="1:17" x14ac:dyDescent="0.2">
      <c r="A24" s="54"/>
      <c r="B24" s="9"/>
      <c r="C24" s="9"/>
      <c r="D24" s="9"/>
      <c r="E24" s="92" t="s">
        <v>2329</v>
      </c>
      <c r="F24" s="46"/>
      <c r="G24" s="2165"/>
      <c r="H24" s="9"/>
      <c r="I24" s="9"/>
      <c r="J24" s="9"/>
      <c r="K24" s="9"/>
      <c r="L24" s="9"/>
      <c r="M24" s="9"/>
      <c r="N24" s="9"/>
      <c r="O24" s="9"/>
      <c r="P24" s="9"/>
      <c r="Q24" s="61"/>
    </row>
    <row r="25" spans="1:17" x14ac:dyDescent="0.2">
      <c r="A25" s="54">
        <f>ROUND('W&amp;W'!B78,-2)</f>
        <v>1859500</v>
      </c>
      <c r="B25" s="9">
        <f>'W&amp;W'!C78</f>
        <v>1478700</v>
      </c>
      <c r="C25" s="9">
        <f>'W&amp;W'!D78</f>
        <v>1498900</v>
      </c>
      <c r="D25" s="9">
        <f>'W&amp;W'!E78</f>
        <v>1399600</v>
      </c>
      <c r="E25" s="46" t="s">
        <v>2035</v>
      </c>
      <c r="F25" s="46"/>
      <c r="G25" s="2165">
        <f>'W&amp;W'!H78</f>
        <v>1380000</v>
      </c>
      <c r="H25" s="9">
        <f>'W&amp;W'!J78</f>
        <v>1407600</v>
      </c>
      <c r="I25" s="9">
        <f>'W&amp;W'!K78</f>
        <v>1435800</v>
      </c>
      <c r="J25" s="9">
        <f>'W&amp;W'!L78</f>
        <v>1464600</v>
      </c>
      <c r="K25" s="9">
        <f>'W&amp;W'!M78</f>
        <v>1493900</v>
      </c>
      <c r="L25" s="9">
        <f>'W&amp;W'!N78</f>
        <v>1523800</v>
      </c>
      <c r="M25" s="9">
        <f>'W&amp;W'!O78</f>
        <v>1554300</v>
      </c>
      <c r="N25" s="9">
        <f>'W&amp;W'!P78</f>
        <v>1585400</v>
      </c>
      <c r="O25" s="9">
        <f>'W&amp;W'!Q78</f>
        <v>1617200</v>
      </c>
      <c r="P25" s="9">
        <f>'W&amp;W'!R78</f>
        <v>1649600</v>
      </c>
      <c r="Q25" s="61">
        <f>'W&amp;W'!S78</f>
        <v>1682600</v>
      </c>
    </row>
    <row r="26" spans="1:17" x14ac:dyDescent="0.2">
      <c r="A26" s="54">
        <v>0</v>
      </c>
      <c r="B26" s="9">
        <v>0</v>
      </c>
      <c r="C26" s="9">
        <v>0</v>
      </c>
      <c r="D26" s="9">
        <v>0</v>
      </c>
      <c r="E26" s="46" t="s">
        <v>1229</v>
      </c>
      <c r="F26" s="46"/>
      <c r="G26" s="2165">
        <v>0</v>
      </c>
      <c r="H26" s="9">
        <v>0</v>
      </c>
      <c r="I26" s="9">
        <v>0</v>
      </c>
      <c r="J26" s="9">
        <v>0</v>
      </c>
      <c r="K26" s="9">
        <v>0</v>
      </c>
      <c r="L26" s="9">
        <v>0</v>
      </c>
      <c r="M26" s="9">
        <v>0</v>
      </c>
      <c r="N26" s="9">
        <v>0</v>
      </c>
      <c r="O26" s="9">
        <v>0</v>
      </c>
      <c r="P26" s="9">
        <v>0</v>
      </c>
      <c r="Q26" s="61">
        <v>0</v>
      </c>
    </row>
    <row r="27" spans="1:17" x14ac:dyDescent="0.2">
      <c r="A27" s="54">
        <f>'W&amp;W'!B331</f>
        <v>111000</v>
      </c>
      <c r="B27" s="9">
        <f>'W&amp;W'!C331</f>
        <v>20600</v>
      </c>
      <c r="C27" s="9">
        <f>'W&amp;W'!D331-'W&amp;W'!D199</f>
        <v>38000</v>
      </c>
      <c r="D27" s="9">
        <f>'W&amp;W'!E331-'W&amp;W'!E199</f>
        <v>0</v>
      </c>
      <c r="E27" s="58" t="s">
        <v>4448</v>
      </c>
      <c r="F27" s="46"/>
      <c r="G27" s="2165">
        <f>'W&amp;W'!H331</f>
        <v>0</v>
      </c>
      <c r="H27" s="9">
        <f>'W&amp;W'!J331</f>
        <v>0</v>
      </c>
      <c r="I27" s="9">
        <f>'W&amp;W'!K331</f>
        <v>0</v>
      </c>
      <c r="J27" s="9">
        <f>'W&amp;W'!L331</f>
        <v>0</v>
      </c>
      <c r="K27" s="9">
        <f>'W&amp;W'!M331</f>
        <v>0</v>
      </c>
      <c r="L27" s="9">
        <f>'W&amp;W'!N331</f>
        <v>0</v>
      </c>
      <c r="M27" s="9">
        <f>'W&amp;W'!O331</f>
        <v>0</v>
      </c>
      <c r="N27" s="9">
        <f>'W&amp;W'!P331</f>
        <v>0</v>
      </c>
      <c r="O27" s="9">
        <f>'W&amp;W'!Q331</f>
        <v>0</v>
      </c>
      <c r="P27" s="9">
        <f>'W&amp;W'!R331</f>
        <v>0</v>
      </c>
      <c r="Q27" s="61">
        <f>'W&amp;W'!S331</f>
        <v>0</v>
      </c>
    </row>
    <row r="28" spans="1:17" x14ac:dyDescent="0.2">
      <c r="A28" s="54">
        <v>0</v>
      </c>
      <c r="B28" s="9">
        <v>0</v>
      </c>
      <c r="C28" s="9">
        <v>0</v>
      </c>
      <c r="D28" s="9">
        <v>0</v>
      </c>
      <c r="E28" s="46" t="s">
        <v>943</v>
      </c>
      <c r="F28" s="46"/>
      <c r="G28" s="2165">
        <v>0</v>
      </c>
      <c r="H28" s="9">
        <v>0</v>
      </c>
      <c r="I28" s="9">
        <v>0</v>
      </c>
      <c r="J28" s="9">
        <v>0</v>
      </c>
      <c r="K28" s="9">
        <v>0</v>
      </c>
      <c r="L28" s="9">
        <v>0</v>
      </c>
      <c r="M28" s="9">
        <v>0</v>
      </c>
      <c r="N28" s="9">
        <v>0</v>
      </c>
      <c r="O28" s="9">
        <v>0</v>
      </c>
      <c r="P28" s="9">
        <v>0</v>
      </c>
      <c r="Q28" s="61">
        <v>0</v>
      </c>
    </row>
    <row r="29" spans="1:17" x14ac:dyDescent="0.2">
      <c r="A29" s="54"/>
      <c r="B29" s="9"/>
      <c r="C29" s="9"/>
      <c r="D29" s="9"/>
      <c r="E29" s="46"/>
      <c r="F29" s="46"/>
      <c r="G29" s="2165"/>
      <c r="H29" s="9"/>
      <c r="I29" s="9"/>
      <c r="J29" s="9"/>
      <c r="K29" s="9"/>
      <c r="L29" s="9"/>
      <c r="M29" s="9"/>
      <c r="N29" s="9"/>
      <c r="O29" s="9"/>
      <c r="P29" s="9"/>
      <c r="Q29" s="61"/>
    </row>
    <row r="30" spans="1:17" x14ac:dyDescent="0.2">
      <c r="A30" s="54"/>
      <c r="B30" s="9"/>
      <c r="C30" s="9"/>
      <c r="D30" s="9"/>
      <c r="E30" s="92" t="s">
        <v>740</v>
      </c>
      <c r="F30" s="46"/>
      <c r="G30" s="2165"/>
      <c r="H30" s="9"/>
      <c r="I30" s="9"/>
      <c r="J30" s="9"/>
      <c r="K30" s="9"/>
      <c r="L30" s="9"/>
      <c r="M30" s="9"/>
      <c r="N30" s="9"/>
      <c r="O30" s="9"/>
      <c r="P30" s="9"/>
      <c r="Q30" s="61"/>
    </row>
    <row r="31" spans="1:17" x14ac:dyDescent="0.2">
      <c r="A31" s="54">
        <f>-A16</f>
        <v>-208100</v>
      </c>
      <c r="B31" s="9">
        <f>-B16</f>
        <v>-309400</v>
      </c>
      <c r="C31" s="9">
        <f>-C16</f>
        <v>-222000</v>
      </c>
      <c r="D31" s="9">
        <f>-D16</f>
        <v>0</v>
      </c>
      <c r="E31" s="46" t="s">
        <v>3</v>
      </c>
      <c r="F31" s="46"/>
      <c r="G31" s="2165">
        <f t="shared" ref="G31:N31" si="25">-G16</f>
        <v>-200000</v>
      </c>
      <c r="H31" s="9">
        <f t="shared" si="25"/>
        <v>-200000</v>
      </c>
      <c r="I31" s="9">
        <f t="shared" si="25"/>
        <v>-200000</v>
      </c>
      <c r="J31" s="9">
        <f t="shared" si="25"/>
        <v>-200000</v>
      </c>
      <c r="K31" s="9">
        <f t="shared" si="25"/>
        <v>-200000</v>
      </c>
      <c r="L31" s="9">
        <f t="shared" si="25"/>
        <v>-200000</v>
      </c>
      <c r="M31" s="9">
        <f t="shared" si="25"/>
        <v>-200000</v>
      </c>
      <c r="N31" s="9">
        <f t="shared" si="25"/>
        <v>-200000</v>
      </c>
      <c r="O31" s="9">
        <f t="shared" ref="O31:P31" si="26">-O16</f>
        <v>-200000</v>
      </c>
      <c r="P31" s="9">
        <f t="shared" si="26"/>
        <v>-200000</v>
      </c>
      <c r="Q31" s="61">
        <f t="shared" ref="Q31" si="27">-Q16</f>
        <v>-200000</v>
      </c>
    </row>
    <row r="32" spans="1:17" x14ac:dyDescent="0.2">
      <c r="A32" s="54"/>
      <c r="B32" s="9"/>
      <c r="C32" s="9"/>
      <c r="D32" s="9"/>
      <c r="E32" s="46"/>
      <c r="F32" s="46"/>
      <c r="G32" s="2165"/>
      <c r="H32" s="9"/>
      <c r="I32" s="9"/>
      <c r="J32" s="9"/>
      <c r="K32" s="9"/>
      <c r="L32" s="9"/>
      <c r="M32" s="9"/>
      <c r="N32" s="9"/>
      <c r="O32" s="9"/>
      <c r="P32" s="9"/>
      <c r="Q32" s="61"/>
    </row>
    <row r="33" spans="1:17" x14ac:dyDescent="0.2">
      <c r="A33" s="54"/>
      <c r="B33" s="9"/>
      <c r="C33" s="9"/>
      <c r="D33" s="9"/>
      <c r="E33" s="92" t="s">
        <v>690</v>
      </c>
      <c r="F33" s="46"/>
      <c r="G33" s="2165"/>
      <c r="H33" s="9"/>
      <c r="I33" s="9"/>
      <c r="J33" s="9"/>
      <c r="K33" s="9"/>
      <c r="L33" s="9"/>
      <c r="M33" s="9"/>
      <c r="N33" s="9"/>
      <c r="O33" s="9"/>
      <c r="P33" s="9"/>
      <c r="Q33" s="61"/>
    </row>
    <row r="34" spans="1:17" x14ac:dyDescent="0.2">
      <c r="A34" s="54">
        <f>ROUND(A90,-2)</f>
        <v>137600</v>
      </c>
      <c r="B34" s="9">
        <f>B90</f>
        <v>136200</v>
      </c>
      <c r="C34" s="9">
        <f>C90</f>
        <v>23000</v>
      </c>
      <c r="D34" s="9">
        <f>D90</f>
        <v>100000</v>
      </c>
      <c r="E34" s="31" t="s">
        <v>3543</v>
      </c>
      <c r="F34" s="46"/>
      <c r="G34" s="2165">
        <f t="shared" ref="G34:M34" si="28">G90</f>
        <v>0</v>
      </c>
      <c r="H34" s="9">
        <f t="shared" si="28"/>
        <v>0</v>
      </c>
      <c r="I34" s="9">
        <f t="shared" si="28"/>
        <v>0</v>
      </c>
      <c r="J34" s="9">
        <f t="shared" si="28"/>
        <v>0</v>
      </c>
      <c r="K34" s="9">
        <f t="shared" si="28"/>
        <v>0</v>
      </c>
      <c r="L34" s="9">
        <f t="shared" si="28"/>
        <v>0</v>
      </c>
      <c r="M34" s="9">
        <f t="shared" si="28"/>
        <v>0</v>
      </c>
      <c r="N34" s="9">
        <f t="shared" ref="N34:O34" si="29">N90</f>
        <v>0</v>
      </c>
      <c r="O34" s="9">
        <f t="shared" si="29"/>
        <v>0</v>
      </c>
      <c r="P34" s="9">
        <f t="shared" ref="P34:Q34" si="30">P90</f>
        <v>0</v>
      </c>
      <c r="Q34" s="61">
        <f t="shared" si="30"/>
        <v>0</v>
      </c>
    </row>
    <row r="35" spans="1:17" x14ac:dyDescent="0.2">
      <c r="A35" s="54">
        <v>0</v>
      </c>
      <c r="B35" s="9">
        <v>0</v>
      </c>
      <c r="C35" s="9">
        <v>0</v>
      </c>
      <c r="D35" s="9">
        <v>0</v>
      </c>
      <c r="E35" s="58" t="s">
        <v>4421</v>
      </c>
      <c r="F35" s="46"/>
      <c r="G35" s="2165">
        <v>0</v>
      </c>
      <c r="H35" s="9">
        <v>0</v>
      </c>
      <c r="I35" s="9">
        <v>0</v>
      </c>
      <c r="J35" s="9">
        <v>0</v>
      </c>
      <c r="K35" s="9">
        <v>0</v>
      </c>
      <c r="L35" s="9">
        <v>0</v>
      </c>
      <c r="M35" s="9">
        <v>0</v>
      </c>
      <c r="N35" s="9">
        <v>0</v>
      </c>
      <c r="O35" s="9">
        <v>0</v>
      </c>
      <c r="P35" s="9">
        <v>0</v>
      </c>
      <c r="Q35" s="61">
        <v>0</v>
      </c>
    </row>
    <row r="36" spans="1:17" x14ac:dyDescent="0.2">
      <c r="A36" s="54">
        <v>0</v>
      </c>
      <c r="B36" s="9">
        <v>0</v>
      </c>
      <c r="C36" s="9">
        <v>0</v>
      </c>
      <c r="D36" s="9">
        <v>0</v>
      </c>
      <c r="E36" s="31" t="s">
        <v>221</v>
      </c>
      <c r="F36" s="46"/>
      <c r="G36" s="2165">
        <v>0</v>
      </c>
      <c r="H36" s="9">
        <v>0</v>
      </c>
      <c r="I36" s="9">
        <v>0</v>
      </c>
      <c r="J36" s="9">
        <v>0</v>
      </c>
      <c r="K36" s="9">
        <v>0</v>
      </c>
      <c r="L36" s="9">
        <v>0</v>
      </c>
      <c r="M36" s="9">
        <v>0</v>
      </c>
      <c r="N36" s="9">
        <v>0</v>
      </c>
      <c r="O36" s="9">
        <v>0</v>
      </c>
      <c r="P36" s="9">
        <v>0</v>
      </c>
      <c r="Q36" s="61">
        <v>0</v>
      </c>
    </row>
    <row r="37" spans="1:17" x14ac:dyDescent="0.2">
      <c r="A37" s="54">
        <v>0</v>
      </c>
      <c r="B37" s="9">
        <v>0</v>
      </c>
      <c r="C37" s="9">
        <v>0</v>
      </c>
      <c r="D37" s="9">
        <v>0</v>
      </c>
      <c r="E37" s="31" t="s">
        <v>3544</v>
      </c>
      <c r="F37" s="46"/>
      <c r="G37" s="2165">
        <f t="shared" ref="G37:M37" si="31">G92</f>
        <v>0</v>
      </c>
      <c r="H37" s="9">
        <f t="shared" si="31"/>
        <v>0</v>
      </c>
      <c r="I37" s="9">
        <f t="shared" si="31"/>
        <v>0</v>
      </c>
      <c r="J37" s="9">
        <f t="shared" si="31"/>
        <v>0</v>
      </c>
      <c r="K37" s="9">
        <f t="shared" si="31"/>
        <v>0</v>
      </c>
      <c r="L37" s="9">
        <f t="shared" si="31"/>
        <v>0</v>
      </c>
      <c r="M37" s="9">
        <f t="shared" si="31"/>
        <v>0</v>
      </c>
      <c r="N37" s="9">
        <f t="shared" ref="N37:O37" si="32">N92</f>
        <v>0</v>
      </c>
      <c r="O37" s="9">
        <f t="shared" si="32"/>
        <v>0</v>
      </c>
      <c r="P37" s="9">
        <f t="shared" ref="P37:Q37" si="33">P92</f>
        <v>0</v>
      </c>
      <c r="Q37" s="61">
        <f t="shared" si="33"/>
        <v>0</v>
      </c>
    </row>
    <row r="38" spans="1:17" x14ac:dyDescent="0.2">
      <c r="A38" s="54"/>
      <c r="B38" s="9"/>
      <c r="C38" s="9"/>
      <c r="D38" s="9"/>
      <c r="E38" s="92"/>
      <c r="F38" s="46"/>
      <c r="G38" s="2165"/>
      <c r="H38" s="9"/>
      <c r="I38" s="9"/>
      <c r="J38" s="9"/>
      <c r="K38" s="9"/>
      <c r="L38" s="9"/>
      <c r="M38" s="9"/>
      <c r="N38" s="9"/>
      <c r="O38" s="9"/>
      <c r="P38" s="9"/>
      <c r="Q38" s="61"/>
    </row>
    <row r="39" spans="1:17" x14ac:dyDescent="0.2">
      <c r="A39" s="54"/>
      <c r="B39" s="9"/>
      <c r="C39" s="9"/>
      <c r="D39" s="9"/>
      <c r="E39" s="92" t="s">
        <v>2853</v>
      </c>
      <c r="F39" s="46"/>
      <c r="G39" s="2165"/>
      <c r="H39" s="9"/>
      <c r="I39" s="9"/>
      <c r="J39" s="9"/>
      <c r="K39" s="9"/>
      <c r="L39" s="9"/>
      <c r="M39" s="9"/>
      <c r="N39" s="9"/>
      <c r="O39" s="9"/>
      <c r="P39" s="9"/>
      <c r="Q39" s="61"/>
    </row>
    <row r="40" spans="1:17" x14ac:dyDescent="0.2">
      <c r="A40" s="54">
        <v>-1827100</v>
      </c>
      <c r="B40" s="9">
        <v>-2821700</v>
      </c>
      <c r="C40" s="9">
        <f>-'Cap-Water'!E73</f>
        <v>-1427000</v>
      </c>
      <c r="D40" s="9">
        <f>-'Cap-Water'!F73</f>
        <v>-1131500</v>
      </c>
      <c r="E40" s="31" t="s">
        <v>1865</v>
      </c>
      <c r="F40" s="46"/>
      <c r="G40" s="2165">
        <f>-'Cap-Water'!G73</f>
        <v>-4000700</v>
      </c>
      <c r="H40" s="9">
        <f>-'Cap-Water'!H73</f>
        <v>-5018000</v>
      </c>
      <c r="I40" s="9">
        <f>-'Cap-Water'!I73</f>
        <v>-3400000</v>
      </c>
      <c r="J40" s="9">
        <f>-'Cap-Water'!J73</f>
        <v>-1990100</v>
      </c>
      <c r="K40" s="9">
        <f>-'Cap-Water'!K73</f>
        <v>-5836000</v>
      </c>
      <c r="L40" s="9">
        <f>-'Cap-Water'!L73</f>
        <v>-4662000</v>
      </c>
      <c r="M40" s="9">
        <f>-'Cap-Water'!M73</f>
        <v>-4630800</v>
      </c>
      <c r="N40" s="9">
        <f>-'Cap-Water'!N73</f>
        <v>-4377000</v>
      </c>
      <c r="O40" s="9">
        <f>-'Cap-Water'!O73</f>
        <v>-1791600</v>
      </c>
      <c r="P40" s="9">
        <f>-'Cap-Water'!P73</f>
        <v>-1751000</v>
      </c>
      <c r="Q40" s="61">
        <f>-'Cap-Water'!R73</f>
        <v>0</v>
      </c>
    </row>
    <row r="41" spans="1:17" x14ac:dyDescent="0.2">
      <c r="A41" s="54">
        <f>'W&amp;W'!B342</f>
        <v>0</v>
      </c>
      <c r="B41" s="9">
        <f>'W&amp;W'!C342</f>
        <v>0</v>
      </c>
      <c r="C41" s="9">
        <f>'W&amp;W'!D342</f>
        <v>0</v>
      </c>
      <c r="D41" s="9">
        <f>'W&amp;W'!E342</f>
        <v>0</v>
      </c>
      <c r="E41" s="31" t="s">
        <v>1400</v>
      </c>
      <c r="F41" s="46"/>
      <c r="G41" s="2165">
        <f>'W&amp;W'!H342</f>
        <v>0</v>
      </c>
      <c r="H41" s="9">
        <f>'W&amp;W'!J342</f>
        <v>0</v>
      </c>
      <c r="I41" s="9">
        <f>'W&amp;W'!K342</f>
        <v>0</v>
      </c>
      <c r="J41" s="9">
        <f>'W&amp;W'!L342</f>
        <v>0</v>
      </c>
      <c r="K41" s="9">
        <f>'W&amp;W'!M342</f>
        <v>0</v>
      </c>
      <c r="L41" s="9">
        <f>'W&amp;W'!N342</f>
        <v>0</v>
      </c>
      <c r="M41" s="9">
        <f>'W&amp;W'!O342</f>
        <v>0</v>
      </c>
      <c r="N41" s="9">
        <f>'W&amp;W'!P342</f>
        <v>0</v>
      </c>
      <c r="O41" s="9">
        <f>'W&amp;W'!Q342</f>
        <v>0</v>
      </c>
      <c r="P41" s="9">
        <f>'W&amp;W'!R342</f>
        <v>0</v>
      </c>
      <c r="Q41" s="61">
        <f>'W&amp;W'!S342</f>
        <v>0</v>
      </c>
    </row>
    <row r="42" spans="1:17" x14ac:dyDescent="0.2">
      <c r="A42" s="54"/>
      <c r="B42" s="9"/>
      <c r="C42" s="9"/>
      <c r="D42" s="9"/>
      <c r="E42" s="46"/>
      <c r="F42" s="46"/>
      <c r="G42" s="2165"/>
      <c r="H42" s="9"/>
      <c r="I42" s="9"/>
      <c r="J42" s="9"/>
      <c r="K42" s="9"/>
      <c r="L42" s="9"/>
      <c r="M42" s="9"/>
      <c r="N42" s="9"/>
      <c r="O42" s="9"/>
      <c r="P42" s="9"/>
      <c r="Q42" s="61"/>
    </row>
    <row r="43" spans="1:17" x14ac:dyDescent="0.2">
      <c r="A43" s="54"/>
      <c r="B43" s="9"/>
      <c r="C43" s="9"/>
      <c r="D43" s="9"/>
      <c r="E43" s="92" t="s">
        <v>2855</v>
      </c>
      <c r="F43" s="46"/>
      <c r="G43" s="2165"/>
      <c r="H43" s="9"/>
      <c r="I43" s="9"/>
      <c r="J43" s="9"/>
      <c r="K43" s="9"/>
      <c r="L43" s="9"/>
      <c r="M43" s="9"/>
      <c r="N43" s="9"/>
      <c r="O43" s="9"/>
      <c r="P43" s="9"/>
      <c r="Q43" s="61"/>
    </row>
    <row r="44" spans="1:17" x14ac:dyDescent="0.2">
      <c r="A44" s="54">
        <v>607900</v>
      </c>
      <c r="B44" s="9">
        <v>1272100</v>
      </c>
      <c r="C44" s="9">
        <f>IF((C75-C18)&gt;0,C75-C18,-(C18-C75))</f>
        <v>-651500</v>
      </c>
      <c r="D44" s="9">
        <f>IF((D75-D18)&gt;0,D75-D18,-(D18-D75))</f>
        <v>-59800</v>
      </c>
      <c r="E44" s="46" t="s">
        <v>920</v>
      </c>
      <c r="F44" s="46"/>
      <c r="G44" s="2165">
        <f>IF((G75-G18)&gt;0,G75-G18,-(G18-G75))</f>
        <v>106000</v>
      </c>
      <c r="H44" s="9">
        <f t="shared" ref="H44:O44" si="34">IF((H75-H18)&gt;0,H75-H18,-(H18-H75))</f>
        <v>2569000</v>
      </c>
      <c r="I44" s="9">
        <f t="shared" si="34"/>
        <v>499000</v>
      </c>
      <c r="J44" s="9">
        <f t="shared" si="34"/>
        <v>-402000</v>
      </c>
      <c r="K44" s="9">
        <f t="shared" si="34"/>
        <v>1003000</v>
      </c>
      <c r="L44" s="9">
        <f t="shared" si="34"/>
        <v>2531000</v>
      </c>
      <c r="M44" s="9">
        <f t="shared" si="34"/>
        <v>333500</v>
      </c>
      <c r="N44" s="9">
        <f t="shared" si="34"/>
        <v>389300</v>
      </c>
      <c r="O44" s="9">
        <f t="shared" si="34"/>
        <v>-740000</v>
      </c>
      <c r="P44" s="9">
        <f t="shared" ref="P44:Q44" si="35">IF((P75-P18)&gt;0,P75-P18,-(P18-P75))</f>
        <v>-760000</v>
      </c>
      <c r="Q44" s="61">
        <f t="shared" si="35"/>
        <v>-780000</v>
      </c>
    </row>
    <row r="45" spans="1:17" x14ac:dyDescent="0.2">
      <c r="A45" s="54">
        <f>ROUND(-'W&amp;W'!B195,-2)</f>
        <v>-286300</v>
      </c>
      <c r="B45" s="9">
        <f>-'W&amp;W'!C195</f>
        <v>-250400</v>
      </c>
      <c r="C45" s="9">
        <f>-'W&amp;W'!D195</f>
        <v>-207500</v>
      </c>
      <c r="D45" s="9">
        <f>-'W&amp;W'!E195</f>
        <v>-215500</v>
      </c>
      <c r="E45" s="46" t="s">
        <v>911</v>
      </c>
      <c r="F45" s="46"/>
      <c r="G45" s="2165">
        <f>-'W&amp;W'!H195</f>
        <v>-212400</v>
      </c>
      <c r="H45" s="9">
        <f>-'W&amp;W'!J195</f>
        <v>-256400</v>
      </c>
      <c r="I45" s="9">
        <f>-'W&amp;W'!K195</f>
        <v>-182100</v>
      </c>
      <c r="J45" s="9">
        <f>-'W&amp;W'!L195</f>
        <v>-171400</v>
      </c>
      <c r="K45" s="9">
        <f>-'W&amp;W'!M195</f>
        <v>-190700</v>
      </c>
      <c r="L45" s="9">
        <f>-'W&amp;W'!N195</f>
        <v>-163300</v>
      </c>
      <c r="M45" s="9">
        <f>-'W&amp;W'!O195</f>
        <v>-83400</v>
      </c>
      <c r="N45" s="9">
        <f>-'W&amp;W'!P195</f>
        <v>-74900</v>
      </c>
      <c r="O45" s="9">
        <f>-'W&amp;W'!Q195</f>
        <v>-64300</v>
      </c>
      <c r="P45" s="9">
        <f>-'W&amp;W'!R195</f>
        <v>-91500</v>
      </c>
      <c r="Q45" s="61">
        <f>-'W&amp;W'!S195</f>
        <v>-120200</v>
      </c>
    </row>
    <row r="46" spans="1:17" ht="13.5" thickBot="1" x14ac:dyDescent="0.25">
      <c r="A46" s="54"/>
      <c r="B46" s="9"/>
      <c r="C46" s="9"/>
      <c r="D46" s="9"/>
      <c r="E46" s="46"/>
      <c r="F46" s="46"/>
      <c r="G46" s="2165"/>
      <c r="H46" s="9"/>
      <c r="I46" s="9"/>
      <c r="J46" s="9"/>
      <c r="K46" s="9"/>
      <c r="L46" s="9"/>
      <c r="M46" s="9"/>
      <c r="N46" s="9"/>
      <c r="O46" s="9"/>
      <c r="P46" s="9"/>
      <c r="Q46" s="61"/>
    </row>
    <row r="47" spans="1:17" s="65" customFormat="1" ht="13.5" thickBot="1" x14ac:dyDescent="0.25">
      <c r="A47" s="199">
        <f>SUM(A20:A46)</f>
        <v>979100</v>
      </c>
      <c r="B47" s="202">
        <f>SUM(B20:B46)</f>
        <v>702300</v>
      </c>
      <c r="C47" s="202">
        <f>SUM(C20:C46)</f>
        <v>461000</v>
      </c>
      <c r="D47" s="202">
        <f>SUM(D20:D46)</f>
        <v>1851400</v>
      </c>
      <c r="E47" s="200" t="s">
        <v>2276</v>
      </c>
      <c r="F47" s="201"/>
      <c r="G47" s="2182">
        <f t="shared" ref="G47:O47" si="36">SUM(G20:G46)</f>
        <v>-1599100</v>
      </c>
      <c r="H47" s="202">
        <f t="shared" si="36"/>
        <v>-66100</v>
      </c>
      <c r="I47" s="202">
        <f t="shared" si="36"/>
        <v>-438500</v>
      </c>
      <c r="J47" s="202">
        <f t="shared" si="36"/>
        <v>128700</v>
      </c>
      <c r="K47" s="202">
        <f t="shared" si="36"/>
        <v>-2235000</v>
      </c>
      <c r="L47" s="202">
        <f t="shared" si="36"/>
        <v>447300</v>
      </c>
      <c r="M47" s="202">
        <f t="shared" si="36"/>
        <v>-1559900</v>
      </c>
      <c r="N47" s="202">
        <f t="shared" si="36"/>
        <v>-1207100</v>
      </c>
      <c r="O47" s="202">
        <f t="shared" si="36"/>
        <v>305600</v>
      </c>
      <c r="P47" s="202">
        <f t="shared" ref="P47:Q47" si="37">SUM(P20:P46)</f>
        <v>454100</v>
      </c>
      <c r="Q47" s="203">
        <f t="shared" si="37"/>
        <v>2363800</v>
      </c>
    </row>
    <row r="48" spans="1:17" ht="13.5" thickTop="1" x14ac:dyDescent="0.2">
      <c r="A48" s="54"/>
      <c r="B48" s="9"/>
      <c r="C48" s="9"/>
      <c r="D48" s="9"/>
      <c r="E48" s="46"/>
      <c r="F48" s="46"/>
      <c r="G48" s="2165"/>
      <c r="H48" s="9"/>
      <c r="I48" s="9"/>
      <c r="J48" s="9"/>
      <c r="K48" s="9"/>
      <c r="L48" s="9"/>
      <c r="M48" s="9"/>
      <c r="N48" s="9"/>
      <c r="O48" s="9"/>
      <c r="P48" s="9"/>
      <c r="Q48" s="61"/>
    </row>
    <row r="49" spans="1:26" x14ac:dyDescent="0.2">
      <c r="A49" s="54"/>
      <c r="B49" s="9"/>
      <c r="C49" s="9"/>
      <c r="D49" s="9"/>
      <c r="E49" s="117" t="s">
        <v>2243</v>
      </c>
      <c r="F49" s="46"/>
      <c r="G49" s="2165"/>
      <c r="H49" s="9"/>
      <c r="I49" s="9"/>
      <c r="J49" s="9"/>
      <c r="K49" s="9"/>
      <c r="L49" s="9"/>
      <c r="M49" s="9"/>
      <c r="N49" s="9"/>
      <c r="O49" s="9"/>
      <c r="P49" s="9"/>
      <c r="Q49" s="61"/>
    </row>
    <row r="50" spans="1:26" x14ac:dyDescent="0.2">
      <c r="A50" s="54"/>
      <c r="B50" s="9"/>
      <c r="C50" s="9"/>
      <c r="D50" s="9"/>
      <c r="E50" s="117"/>
      <c r="F50" s="46"/>
      <c r="G50" s="2165"/>
      <c r="H50" s="9"/>
      <c r="I50" s="9"/>
      <c r="J50" s="9"/>
      <c r="K50" s="9"/>
      <c r="L50" s="9"/>
      <c r="M50" s="9"/>
      <c r="N50" s="9"/>
      <c r="O50" s="9"/>
      <c r="P50" s="9"/>
      <c r="Q50" s="61"/>
    </row>
    <row r="51" spans="1:26" x14ac:dyDescent="0.2">
      <c r="A51" s="54">
        <f>A47</f>
        <v>979100</v>
      </c>
      <c r="B51" s="9">
        <f>B47</f>
        <v>702300</v>
      </c>
      <c r="C51" s="9">
        <f>C47</f>
        <v>461000</v>
      </c>
      <c r="D51" s="9">
        <f>D47</f>
        <v>1851400</v>
      </c>
      <c r="E51" s="58" t="s">
        <v>4420</v>
      </c>
      <c r="F51" s="46"/>
      <c r="G51" s="2165">
        <f t="shared" ref="G51:M51" si="38">G47</f>
        <v>-1599100</v>
      </c>
      <c r="H51" s="9">
        <f t="shared" si="38"/>
        <v>-66100</v>
      </c>
      <c r="I51" s="9">
        <f t="shared" si="38"/>
        <v>-438500</v>
      </c>
      <c r="J51" s="9">
        <f t="shared" si="38"/>
        <v>128700</v>
      </c>
      <c r="K51" s="9">
        <f t="shared" si="38"/>
        <v>-2235000</v>
      </c>
      <c r="L51" s="9">
        <f t="shared" si="38"/>
        <v>447300</v>
      </c>
      <c r="M51" s="9">
        <f t="shared" si="38"/>
        <v>-1559900</v>
      </c>
      <c r="N51" s="9">
        <f t="shared" ref="N51:O51" si="39">N47</f>
        <v>-1207100</v>
      </c>
      <c r="O51" s="9">
        <f t="shared" si="39"/>
        <v>305600</v>
      </c>
      <c r="P51" s="9">
        <f t="shared" ref="P51:Q51" si="40">P47</f>
        <v>454100</v>
      </c>
      <c r="Q51" s="61">
        <f t="shared" si="40"/>
        <v>2363800</v>
      </c>
    </row>
    <row r="52" spans="1:26" ht="13.5" thickBot="1" x14ac:dyDescent="0.25">
      <c r="A52" s="118"/>
      <c r="B52" s="23"/>
      <c r="C52" s="23"/>
      <c r="D52" s="23"/>
      <c r="E52" s="120"/>
      <c r="F52" s="121"/>
      <c r="G52" s="2167"/>
      <c r="H52" s="23"/>
      <c r="I52" s="23"/>
      <c r="J52" s="23"/>
      <c r="K52" s="23"/>
      <c r="L52" s="23"/>
      <c r="M52" s="23"/>
      <c r="N52" s="23"/>
      <c r="O52" s="23"/>
      <c r="P52" s="23"/>
      <c r="Q52" s="112"/>
    </row>
    <row r="53" spans="1:26" s="46" customFormat="1" ht="13.5" thickTop="1" x14ac:dyDescent="0.2">
      <c r="F53" s="55"/>
      <c r="G53" s="2168"/>
    </row>
    <row r="54" spans="1:26" s="46" customFormat="1" x14ac:dyDescent="0.2">
      <c r="F54" s="55"/>
      <c r="G54" s="2168"/>
    </row>
    <row r="55" spans="1:26" s="46" customFormat="1" ht="13.5" thickBot="1" x14ac:dyDescent="0.25">
      <c r="C55" s="70"/>
      <c r="F55" s="27"/>
      <c r="G55" s="2168"/>
    </row>
    <row r="56" spans="1:26" ht="18.75" customHeight="1" thickBot="1" x14ac:dyDescent="0.25">
      <c r="A56" s="2667" t="s">
        <v>4423</v>
      </c>
      <c r="B56" s="2668"/>
      <c r="C56" s="2668"/>
      <c r="D56" s="2668"/>
      <c r="E56" s="2668"/>
      <c r="F56" s="2668"/>
      <c r="G56" s="2668"/>
      <c r="H56" s="2668"/>
      <c r="I56" s="2668"/>
      <c r="J56" s="2668"/>
      <c r="K56" s="2668"/>
      <c r="L56" s="2668"/>
      <c r="M56" s="2668"/>
      <c r="N56" s="2668"/>
      <c r="O56" s="2668"/>
      <c r="P56" s="2668"/>
      <c r="Q56" s="2669"/>
    </row>
    <row r="57" spans="1:26" s="39" customFormat="1" x14ac:dyDescent="0.2">
      <c r="A57" s="2674" t="s">
        <v>1824</v>
      </c>
      <c r="B57" s="2621"/>
      <c r="C57" s="2621"/>
      <c r="D57" s="2622"/>
      <c r="E57" s="271" t="s">
        <v>2213</v>
      </c>
      <c r="F57" s="2234"/>
      <c r="G57" s="2617" t="s">
        <v>11919</v>
      </c>
      <c r="H57" s="2618"/>
      <c r="I57" s="2618"/>
      <c r="J57" s="2618"/>
      <c r="K57" s="2618"/>
      <c r="L57" s="2618"/>
      <c r="M57" s="2618"/>
      <c r="N57" s="2618"/>
      <c r="O57" s="2618"/>
      <c r="P57" s="2618"/>
      <c r="Q57" s="2678"/>
    </row>
    <row r="58" spans="1:26" ht="13.5" thickBot="1" x14ac:dyDescent="0.25">
      <c r="A58" s="1256" t="str">
        <f>$A$3</f>
        <v>2013/14</v>
      </c>
      <c r="B58" s="40" t="str">
        <f>$B$3</f>
        <v>2014/15</v>
      </c>
      <c r="C58" s="1445" t="str">
        <f>C$3</f>
        <v>2015/16</v>
      </c>
      <c r="D58" s="44" t="str">
        <f t="shared" ref="D58" si="41">D$3</f>
        <v>2016/17</v>
      </c>
      <c r="E58" s="205"/>
      <c r="F58" s="41"/>
      <c r="G58" s="2170" t="str">
        <f t="shared" ref="G58:Q58" si="42">G$3</f>
        <v>2017/18</v>
      </c>
      <c r="H58" s="44" t="str">
        <f t="shared" si="42"/>
        <v>2018/19</v>
      </c>
      <c r="I58" s="44" t="str">
        <f t="shared" si="42"/>
        <v>2019/20</v>
      </c>
      <c r="J58" s="44" t="str">
        <f t="shared" si="42"/>
        <v>2020/21</v>
      </c>
      <c r="K58" s="44" t="str">
        <f t="shared" si="42"/>
        <v>2021/22</v>
      </c>
      <c r="L58" s="44" t="str">
        <f t="shared" si="42"/>
        <v>2022/23</v>
      </c>
      <c r="M58" s="44" t="str">
        <f t="shared" si="42"/>
        <v>2023/24</v>
      </c>
      <c r="N58" s="94" t="str">
        <f t="shared" si="42"/>
        <v>2024/25</v>
      </c>
      <c r="O58" s="95" t="str">
        <f t="shared" si="42"/>
        <v>2025/26</v>
      </c>
      <c r="P58" s="95" t="str">
        <f t="shared" si="42"/>
        <v>2026/27</v>
      </c>
      <c r="Q58" s="95" t="str">
        <f t="shared" si="42"/>
        <v>2027/28</v>
      </c>
    </row>
    <row r="59" spans="1:26" x14ac:dyDescent="0.2">
      <c r="A59" s="54"/>
      <c r="B59" s="9"/>
      <c r="C59" s="9"/>
      <c r="D59" s="9"/>
      <c r="E59" s="46"/>
      <c r="F59" s="31"/>
      <c r="G59" s="2165"/>
      <c r="H59" s="9"/>
      <c r="I59" s="9"/>
      <c r="J59" s="9"/>
      <c r="K59" s="9"/>
      <c r="L59" s="9"/>
      <c r="M59" s="9"/>
      <c r="N59" s="9"/>
      <c r="O59" s="61"/>
      <c r="P59" s="61"/>
      <c r="Q59" s="61"/>
    </row>
    <row r="60" spans="1:26" s="80" customFormat="1" x14ac:dyDescent="0.2">
      <c r="A60" s="25">
        <v>0</v>
      </c>
      <c r="B60" s="79">
        <v>178500</v>
      </c>
      <c r="C60" s="79"/>
      <c r="D60" s="79"/>
      <c r="E60" s="31" t="s">
        <v>3541</v>
      </c>
      <c r="F60" s="31"/>
      <c r="G60" s="2169"/>
      <c r="H60" s="79"/>
      <c r="I60" s="79"/>
      <c r="J60" s="79"/>
      <c r="K60" s="79"/>
      <c r="L60" s="79"/>
      <c r="M60" s="79"/>
      <c r="N60" s="79"/>
      <c r="O60" s="78"/>
      <c r="P60" s="78"/>
      <c r="Q60" s="78"/>
    </row>
    <row r="61" spans="1:26" s="80" customFormat="1" x14ac:dyDescent="0.2">
      <c r="A61" s="25">
        <v>368600</v>
      </c>
      <c r="B61" s="79">
        <v>152000</v>
      </c>
      <c r="C61" s="79"/>
      <c r="D61" s="79"/>
      <c r="E61" s="31" t="s">
        <v>4097</v>
      </c>
      <c r="F61" s="31"/>
      <c r="G61" s="2169"/>
      <c r="H61" s="79"/>
      <c r="I61" s="79"/>
      <c r="J61" s="79"/>
      <c r="K61" s="79"/>
      <c r="L61" s="79"/>
      <c r="M61" s="79"/>
      <c r="N61" s="79"/>
      <c r="O61" s="78"/>
      <c r="P61" s="78"/>
      <c r="Q61" s="78"/>
    </row>
    <row r="62" spans="1:26" s="80" customFormat="1" x14ac:dyDescent="0.2">
      <c r="A62" s="25">
        <v>0</v>
      </c>
      <c r="B62" s="79">
        <v>5900</v>
      </c>
      <c r="C62" s="79"/>
      <c r="D62" s="79"/>
      <c r="E62" s="31" t="s">
        <v>5228</v>
      </c>
      <c r="F62" s="31"/>
      <c r="G62" s="2169"/>
      <c r="H62" s="79"/>
      <c r="I62" s="79"/>
      <c r="J62" s="79"/>
      <c r="K62" s="79"/>
      <c r="L62" s="79"/>
      <c r="M62" s="79"/>
      <c r="N62" s="79"/>
      <c r="O62" s="78"/>
      <c r="P62" s="78"/>
      <c r="Q62" s="78"/>
    </row>
    <row r="63" spans="1:26" ht="13.5" thickBot="1" x14ac:dyDescent="0.25">
      <c r="A63" s="54"/>
      <c r="B63" s="9"/>
      <c r="C63" s="9"/>
      <c r="D63" s="9"/>
      <c r="E63" s="46"/>
      <c r="F63" s="55"/>
      <c r="G63" s="2165"/>
      <c r="H63" s="9"/>
      <c r="I63" s="9"/>
      <c r="J63" s="9"/>
      <c r="K63" s="9"/>
      <c r="L63" s="9"/>
      <c r="M63" s="9"/>
      <c r="N63" s="9"/>
      <c r="O63" s="61"/>
      <c r="P63" s="61"/>
      <c r="Q63" s="61"/>
    </row>
    <row r="64" spans="1:26" s="39" customFormat="1" x14ac:dyDescent="0.2">
      <c r="A64" s="52">
        <f>SUM(A60:A63)</f>
        <v>368600</v>
      </c>
      <c r="B64" s="16">
        <f>SUM(B60:B63)</f>
        <v>336400</v>
      </c>
      <c r="C64" s="16">
        <f>SUM(C60:C63)</f>
        <v>0</v>
      </c>
      <c r="D64" s="16">
        <f t="shared" ref="D64" si="43">SUM(D60:D63)</f>
        <v>0</v>
      </c>
      <c r="E64" s="27"/>
      <c r="F64" s="59" t="s">
        <v>2411</v>
      </c>
      <c r="G64" s="2166">
        <f t="shared" ref="G64:N64" si="44">SUM(G60:G63)</f>
        <v>0</v>
      </c>
      <c r="H64" s="16">
        <f t="shared" si="44"/>
        <v>0</v>
      </c>
      <c r="I64" s="16">
        <f t="shared" si="44"/>
        <v>0</v>
      </c>
      <c r="J64" s="16">
        <f t="shared" si="44"/>
        <v>0</v>
      </c>
      <c r="K64" s="16">
        <f t="shared" si="44"/>
        <v>0</v>
      </c>
      <c r="L64" s="16">
        <f t="shared" si="44"/>
        <v>0</v>
      </c>
      <c r="M64" s="16">
        <f t="shared" si="44"/>
        <v>0</v>
      </c>
      <c r="N64" s="16">
        <f t="shared" si="44"/>
        <v>0</v>
      </c>
      <c r="O64" s="60">
        <f t="shared" ref="O64:P64" si="45">SUM(O60:O63)</f>
        <v>0</v>
      </c>
      <c r="P64" s="60">
        <f t="shared" si="45"/>
        <v>0</v>
      </c>
      <c r="Q64" s="60">
        <f t="shared" ref="Q64" si="46">SUM(Q60:Q63)</f>
        <v>0</v>
      </c>
      <c r="R64" s="34"/>
      <c r="S64" s="34"/>
      <c r="T64" s="34"/>
      <c r="U64" s="34"/>
      <c r="V64" s="34"/>
      <c r="W64" s="34"/>
      <c r="X64" s="34"/>
      <c r="Y64" s="34"/>
      <c r="Z64" s="34"/>
    </row>
    <row r="65" spans="1:26" ht="13.5" thickBot="1" x14ac:dyDescent="0.25">
      <c r="A65" s="118"/>
      <c r="B65" s="23"/>
      <c r="C65" s="23"/>
      <c r="D65" s="23"/>
      <c r="E65" s="121"/>
      <c r="F65" s="120"/>
      <c r="G65" s="2167"/>
      <c r="H65" s="23"/>
      <c r="I65" s="23"/>
      <c r="J65" s="23"/>
      <c r="K65" s="23"/>
      <c r="L65" s="23"/>
      <c r="M65" s="23"/>
      <c r="N65" s="23"/>
      <c r="O65" s="112"/>
      <c r="P65" s="112"/>
      <c r="Q65" s="112"/>
    </row>
    <row r="66" spans="1:26" s="46" customFormat="1" ht="13.5" thickTop="1" x14ac:dyDescent="0.2">
      <c r="C66" s="70"/>
      <c r="F66" s="27"/>
      <c r="G66" s="2168"/>
    </row>
    <row r="67" spans="1:26" s="46" customFormat="1" ht="13.5" thickBot="1" x14ac:dyDescent="0.25">
      <c r="C67" s="70"/>
      <c r="F67" s="27"/>
      <c r="G67" s="2168"/>
    </row>
    <row r="68" spans="1:26" ht="18.75" customHeight="1" thickBot="1" x14ac:dyDescent="0.25">
      <c r="A68" s="2667" t="s">
        <v>4413</v>
      </c>
      <c r="B68" s="2668"/>
      <c r="C68" s="2668"/>
      <c r="D68" s="2668"/>
      <c r="E68" s="2668"/>
      <c r="F68" s="2668"/>
      <c r="G68" s="2668"/>
      <c r="H68" s="2668"/>
      <c r="I68" s="2668"/>
      <c r="J68" s="2668"/>
      <c r="K68" s="2668"/>
      <c r="L68" s="2668"/>
      <c r="M68" s="2668"/>
      <c r="N68" s="2668"/>
      <c r="O68" s="2668"/>
      <c r="P68" s="2668"/>
      <c r="Q68" s="2669"/>
    </row>
    <row r="69" spans="1:26" s="39" customFormat="1" x14ac:dyDescent="0.2">
      <c r="A69" s="2679" t="s">
        <v>1824</v>
      </c>
      <c r="B69" s="2599"/>
      <c r="C69" s="2599"/>
      <c r="D69" s="2600"/>
      <c r="E69" s="271" t="s">
        <v>2213</v>
      </c>
      <c r="F69" s="2234"/>
      <c r="G69" s="2617" t="s">
        <v>11919</v>
      </c>
      <c r="H69" s="2618"/>
      <c r="I69" s="2618"/>
      <c r="J69" s="2618"/>
      <c r="K69" s="2618"/>
      <c r="L69" s="2618"/>
      <c r="M69" s="2618"/>
      <c r="N69" s="2618"/>
      <c r="O69" s="2618"/>
      <c r="P69" s="2618"/>
      <c r="Q69" s="2678"/>
    </row>
    <row r="70" spans="1:26" ht="13.5" thickBot="1" x14ac:dyDescent="0.25">
      <c r="A70" s="1008" t="str">
        <f>$A$3</f>
        <v>2013/14</v>
      </c>
      <c r="B70" s="1511" t="str">
        <f>$B$3</f>
        <v>2014/15</v>
      </c>
      <c r="C70" s="2043" t="str">
        <f>C58</f>
        <v>2015/16</v>
      </c>
      <c r="D70" s="44" t="str">
        <f t="shared" ref="D70" si="47">D58</f>
        <v>2016/17</v>
      </c>
      <c r="E70" s="41"/>
      <c r="F70" s="41"/>
      <c r="G70" s="2170" t="str">
        <f t="shared" ref="G70:N70" si="48">G58</f>
        <v>2017/18</v>
      </c>
      <c r="H70" s="44" t="str">
        <f t="shared" si="48"/>
        <v>2018/19</v>
      </c>
      <c r="I70" s="44" t="str">
        <f t="shared" si="48"/>
        <v>2019/20</v>
      </c>
      <c r="J70" s="44" t="str">
        <f t="shared" si="48"/>
        <v>2020/21</v>
      </c>
      <c r="K70" s="44" t="str">
        <f t="shared" si="48"/>
        <v>2021/22</v>
      </c>
      <c r="L70" s="44" t="str">
        <f t="shared" si="48"/>
        <v>2022/23</v>
      </c>
      <c r="M70" s="44" t="str">
        <f t="shared" si="48"/>
        <v>2023/24</v>
      </c>
      <c r="N70" s="94" t="str">
        <f t="shared" si="48"/>
        <v>2024/25</v>
      </c>
      <c r="O70" s="94" t="str">
        <f t="shared" ref="O70:P70" si="49">O58</f>
        <v>2025/26</v>
      </c>
      <c r="P70" s="94" t="str">
        <f t="shared" si="49"/>
        <v>2026/27</v>
      </c>
      <c r="Q70" s="95" t="str">
        <f t="shared" ref="Q70" si="50">Q58</f>
        <v>2027/28</v>
      </c>
    </row>
    <row r="71" spans="1:26" x14ac:dyDescent="0.2">
      <c r="A71" s="45"/>
      <c r="B71" s="29"/>
      <c r="C71" s="9"/>
      <c r="D71" s="9"/>
      <c r="E71" s="46"/>
      <c r="F71" s="46"/>
      <c r="G71" s="2165"/>
      <c r="H71" s="9"/>
      <c r="I71" s="9"/>
      <c r="J71" s="9"/>
      <c r="K71" s="9"/>
      <c r="L71" s="9"/>
      <c r="M71" s="9"/>
      <c r="N71" s="9"/>
      <c r="O71" s="9"/>
      <c r="P71" s="9"/>
      <c r="Q71" s="61"/>
    </row>
    <row r="72" spans="1:26" x14ac:dyDescent="0.2">
      <c r="A72" s="45">
        <v>1038300</v>
      </c>
      <c r="B72" s="29">
        <v>1727000</v>
      </c>
      <c r="C72" s="9">
        <f>'Cap-Water'!S73</f>
        <v>186400</v>
      </c>
      <c r="D72" s="9">
        <f>'Cap-Water'!W73</f>
        <v>409300</v>
      </c>
      <c r="E72" s="46"/>
      <c r="F72" s="91"/>
      <c r="G72" s="2165">
        <f>'Cap-Water'!AA73</f>
        <v>681000</v>
      </c>
      <c r="H72" s="9">
        <f>'Cap-Water'!AE73</f>
        <v>3169000</v>
      </c>
      <c r="I72" s="9">
        <f>'Cap-Water'!AI73</f>
        <v>1119000</v>
      </c>
      <c r="J72" s="9">
        <f>'Cap-Water'!AM73</f>
        <v>238000</v>
      </c>
      <c r="K72" s="9">
        <f>'Cap-Water'!AQ73</f>
        <v>1663000</v>
      </c>
      <c r="L72" s="9">
        <f>'Cap-Water'!AU73</f>
        <v>3211000</v>
      </c>
      <c r="M72" s="9">
        <f>'Cap-Water'!AY73</f>
        <v>1033500</v>
      </c>
      <c r="N72" s="9">
        <f>'Cap-Water'!BC73</f>
        <v>1109300</v>
      </c>
      <c r="O72" s="9">
        <f>'Cap-Water'!BG73</f>
        <v>0</v>
      </c>
      <c r="P72" s="9">
        <f>'Cap-Water'!BK73</f>
        <v>0</v>
      </c>
      <c r="Q72" s="61">
        <f>'Cap-Water'!BL73</f>
        <v>0</v>
      </c>
    </row>
    <row r="73" spans="1:26" x14ac:dyDescent="0.2">
      <c r="A73" s="45"/>
      <c r="B73" s="29"/>
      <c r="C73" s="9"/>
      <c r="D73" s="9"/>
      <c r="E73" s="46"/>
      <c r="F73" s="31"/>
      <c r="G73" s="2165"/>
      <c r="H73" s="9"/>
      <c r="I73" s="9"/>
      <c r="J73" s="9"/>
      <c r="K73" s="9"/>
      <c r="L73" s="9"/>
      <c r="M73" s="9"/>
      <c r="N73" s="9"/>
      <c r="O73" s="9"/>
      <c r="P73" s="9"/>
      <c r="Q73" s="61"/>
    </row>
    <row r="74" spans="1:26" ht="13.5" thickBot="1" x14ac:dyDescent="0.25">
      <c r="A74" s="45"/>
      <c r="B74" s="29"/>
      <c r="C74" s="9"/>
      <c r="D74" s="9"/>
      <c r="E74" s="46"/>
      <c r="F74" s="55"/>
      <c r="G74" s="2165"/>
      <c r="H74" s="9"/>
      <c r="I74" s="9"/>
      <c r="J74" s="9"/>
      <c r="K74" s="9"/>
      <c r="L74" s="9"/>
      <c r="M74" s="9"/>
      <c r="N74" s="9"/>
      <c r="O74" s="9"/>
      <c r="P74" s="9"/>
      <c r="Q74" s="61"/>
    </row>
    <row r="75" spans="1:26" s="39" customFormat="1" x14ac:dyDescent="0.2">
      <c r="A75" s="52">
        <f>SUM(A71:A74)</f>
        <v>1038300</v>
      </c>
      <c r="B75" s="16">
        <f>SUM(B71:B74)</f>
        <v>1727000</v>
      </c>
      <c r="C75" s="16">
        <f>SUM(C71:C74)</f>
        <v>186400</v>
      </c>
      <c r="D75" s="16">
        <f t="shared" ref="D75" si="51">SUM(D71:D74)</f>
        <v>409300</v>
      </c>
      <c r="E75" s="27"/>
      <c r="F75" s="59" t="s">
        <v>2411</v>
      </c>
      <c r="G75" s="2166">
        <f t="shared" ref="G75:K75" si="52">SUM(G71:G74)</f>
        <v>681000</v>
      </c>
      <c r="H75" s="16">
        <f t="shared" si="52"/>
        <v>3169000</v>
      </c>
      <c r="I75" s="16">
        <f t="shared" si="52"/>
        <v>1119000</v>
      </c>
      <c r="J75" s="16">
        <f t="shared" si="52"/>
        <v>238000</v>
      </c>
      <c r="K75" s="16">
        <f t="shared" si="52"/>
        <v>1663000</v>
      </c>
      <c r="L75" s="16">
        <f t="shared" ref="L75:Q75" si="53">SUM(L71:L74)</f>
        <v>3211000</v>
      </c>
      <c r="M75" s="16">
        <f t="shared" si="53"/>
        <v>1033500</v>
      </c>
      <c r="N75" s="16">
        <f t="shared" si="53"/>
        <v>1109300</v>
      </c>
      <c r="O75" s="16">
        <f t="shared" si="53"/>
        <v>0</v>
      </c>
      <c r="P75" s="16">
        <f t="shared" si="53"/>
        <v>0</v>
      </c>
      <c r="Q75" s="60">
        <f t="shared" si="53"/>
        <v>0</v>
      </c>
      <c r="R75" s="34"/>
      <c r="S75" s="34"/>
      <c r="T75" s="34"/>
      <c r="U75" s="34"/>
      <c r="V75" s="34"/>
      <c r="W75" s="34"/>
      <c r="X75" s="34"/>
      <c r="Y75" s="34"/>
      <c r="Z75" s="34"/>
    </row>
    <row r="76" spans="1:26" ht="13.5" thickBot="1" x14ac:dyDescent="0.25">
      <c r="A76" s="1454"/>
      <c r="B76" s="227"/>
      <c r="C76" s="23"/>
      <c r="D76" s="23"/>
      <c r="E76" s="121"/>
      <c r="F76" s="120"/>
      <c r="G76" s="2167"/>
      <c r="H76" s="23"/>
      <c r="I76" s="23"/>
      <c r="J76" s="23"/>
      <c r="K76" s="23"/>
      <c r="L76" s="23"/>
      <c r="M76" s="23"/>
      <c r="N76" s="23"/>
      <c r="O76" s="23"/>
      <c r="P76" s="23"/>
      <c r="Q76" s="112"/>
    </row>
    <row r="77" spans="1:26" ht="13.5" thickTop="1" x14ac:dyDescent="0.2">
      <c r="A77" s="46"/>
      <c r="B77" s="46"/>
      <c r="C77" s="70"/>
      <c r="D77" s="46"/>
      <c r="E77" s="46"/>
      <c r="F77" s="27"/>
      <c r="G77" s="2168"/>
      <c r="H77" s="46"/>
      <c r="I77" s="46"/>
      <c r="J77" s="46"/>
      <c r="K77" s="46"/>
      <c r="L77" s="46"/>
      <c r="M77" s="46"/>
      <c r="N77" s="46"/>
      <c r="O77" s="46"/>
      <c r="P77" s="46"/>
      <c r="Q77" s="46"/>
      <c r="R77" s="46"/>
    </row>
    <row r="78" spans="1:26" ht="13.5" thickBot="1" x14ac:dyDescent="0.25">
      <c r="A78" s="46"/>
      <c r="B78" s="46"/>
      <c r="C78" s="70"/>
      <c r="D78" s="46"/>
      <c r="E78" s="46"/>
      <c r="F78" s="27"/>
      <c r="G78" s="2168"/>
      <c r="H78" s="46"/>
      <c r="I78" s="46"/>
      <c r="J78" s="46"/>
      <c r="K78" s="46"/>
      <c r="L78" s="46"/>
      <c r="M78" s="46"/>
      <c r="N78" s="46"/>
      <c r="O78" s="46"/>
      <c r="P78" s="46"/>
      <c r="Q78" s="46"/>
      <c r="R78" s="46"/>
    </row>
    <row r="79" spans="1:26" ht="18.75" customHeight="1" thickBot="1" x14ac:dyDescent="0.25">
      <c r="A79" s="2667" t="s">
        <v>4414</v>
      </c>
      <c r="B79" s="2668"/>
      <c r="C79" s="2668"/>
      <c r="D79" s="2668"/>
      <c r="E79" s="2668"/>
      <c r="F79" s="2668"/>
      <c r="G79" s="2668"/>
      <c r="H79" s="2668"/>
      <c r="I79" s="2668"/>
      <c r="J79" s="2668"/>
      <c r="K79" s="2668"/>
      <c r="L79" s="2668"/>
      <c r="M79" s="2668"/>
      <c r="N79" s="2668"/>
      <c r="O79" s="2668"/>
      <c r="P79" s="2668"/>
      <c r="Q79" s="2669"/>
    </row>
    <row r="80" spans="1:26" s="39" customFormat="1" x14ac:dyDescent="0.2">
      <c r="A80" s="2679" t="s">
        <v>1824</v>
      </c>
      <c r="B80" s="2599"/>
      <c r="C80" s="2599"/>
      <c r="D80" s="2600"/>
      <c r="E80" s="271" t="s">
        <v>2213</v>
      </c>
      <c r="F80" s="2234"/>
      <c r="G80" s="2617" t="s">
        <v>11919</v>
      </c>
      <c r="H80" s="2618"/>
      <c r="I80" s="2618"/>
      <c r="J80" s="2618"/>
      <c r="K80" s="2618"/>
      <c r="L80" s="2618"/>
      <c r="M80" s="2618"/>
      <c r="N80" s="2618"/>
      <c r="O80" s="2618"/>
      <c r="P80" s="2618"/>
      <c r="Q80" s="2678"/>
    </row>
    <row r="81" spans="1:25" ht="13.5" thickBot="1" x14ac:dyDescent="0.25">
      <c r="A81" s="1008" t="str">
        <f>$A$3</f>
        <v>2013/14</v>
      </c>
      <c r="B81" s="28" t="str">
        <f>$B$3</f>
        <v>2014/15</v>
      </c>
      <c r="C81" s="1445" t="str">
        <f>C$3</f>
        <v>2015/16</v>
      </c>
      <c r="D81" s="44" t="str">
        <f t="shared" ref="D81" si="54">D$3</f>
        <v>2016/17</v>
      </c>
      <c r="E81" s="205"/>
      <c r="F81" s="41"/>
      <c r="G81" s="2170" t="str">
        <f t="shared" ref="G81:Q81" si="55">G$3</f>
        <v>2017/18</v>
      </c>
      <c r="H81" s="44" t="str">
        <f t="shared" si="55"/>
        <v>2018/19</v>
      </c>
      <c r="I81" s="44" t="str">
        <f t="shared" si="55"/>
        <v>2019/20</v>
      </c>
      <c r="J81" s="44" t="str">
        <f t="shared" si="55"/>
        <v>2020/21</v>
      </c>
      <c r="K81" s="44" t="str">
        <f t="shared" si="55"/>
        <v>2021/22</v>
      </c>
      <c r="L81" s="44" t="str">
        <f t="shared" si="55"/>
        <v>2022/23</v>
      </c>
      <c r="M81" s="44" t="str">
        <f t="shared" si="55"/>
        <v>2023/24</v>
      </c>
      <c r="N81" s="94" t="str">
        <f t="shared" si="55"/>
        <v>2024/25</v>
      </c>
      <c r="O81" s="94" t="str">
        <f t="shared" si="55"/>
        <v>2025/26</v>
      </c>
      <c r="P81" s="94" t="str">
        <f t="shared" si="55"/>
        <v>2026/27</v>
      </c>
      <c r="Q81" s="95" t="str">
        <f t="shared" si="55"/>
        <v>2027/28</v>
      </c>
    </row>
    <row r="82" spans="1:25" x14ac:dyDescent="0.2">
      <c r="A82" s="54"/>
      <c r="B82" s="9"/>
      <c r="C82" s="9"/>
      <c r="D82" s="9"/>
      <c r="E82" s="46"/>
      <c r="F82" s="46"/>
      <c r="G82" s="2165"/>
      <c r="H82" s="9"/>
      <c r="I82" s="9"/>
      <c r="J82" s="9"/>
      <c r="K82" s="9"/>
      <c r="L82" s="9"/>
      <c r="M82" s="9"/>
      <c r="N82" s="9"/>
      <c r="O82" s="9"/>
      <c r="P82" s="9"/>
      <c r="Q82" s="61"/>
    </row>
    <row r="83" spans="1:25" x14ac:dyDescent="0.2">
      <c r="A83" s="54">
        <v>542400</v>
      </c>
      <c r="B83" s="9">
        <f>-B47</f>
        <v>-702300</v>
      </c>
      <c r="C83" s="9">
        <f>-C47</f>
        <v>-461000</v>
      </c>
      <c r="D83" s="9">
        <f>-D47</f>
        <v>-1851400</v>
      </c>
      <c r="E83" s="31" t="s">
        <v>4419</v>
      </c>
      <c r="F83" s="31"/>
      <c r="G83" s="2165">
        <f t="shared" ref="G83:N83" si="56">-G47</f>
        <v>1599100</v>
      </c>
      <c r="H83" s="9">
        <f t="shared" si="56"/>
        <v>66100</v>
      </c>
      <c r="I83" s="9">
        <f t="shared" si="56"/>
        <v>438500</v>
      </c>
      <c r="J83" s="9">
        <f t="shared" si="56"/>
        <v>-128700</v>
      </c>
      <c r="K83" s="9">
        <f t="shared" si="56"/>
        <v>2235000</v>
      </c>
      <c r="L83" s="9">
        <f t="shared" si="56"/>
        <v>-447300</v>
      </c>
      <c r="M83" s="9">
        <f t="shared" si="56"/>
        <v>1559900</v>
      </c>
      <c r="N83" s="9">
        <f t="shared" si="56"/>
        <v>1207100</v>
      </c>
      <c r="O83" s="9">
        <f t="shared" ref="O83:P83" si="57">-O47</f>
        <v>-305600</v>
      </c>
      <c r="P83" s="9">
        <f t="shared" si="57"/>
        <v>-454100</v>
      </c>
      <c r="Q83" s="61">
        <f t="shared" ref="Q83" si="58">-Q47</f>
        <v>-2363800</v>
      </c>
    </row>
    <row r="84" spans="1:25" x14ac:dyDescent="0.2">
      <c r="A84" s="415"/>
      <c r="B84" s="322"/>
      <c r="C84" s="322"/>
      <c r="D84" s="322"/>
      <c r="E84" s="386"/>
      <c r="F84" s="2044"/>
      <c r="G84" s="2190"/>
      <c r="H84" s="322"/>
      <c r="I84" s="322"/>
      <c r="J84" s="322"/>
      <c r="K84" s="322"/>
      <c r="L84" s="322"/>
      <c r="M84" s="322"/>
      <c r="N84" s="322"/>
      <c r="O84" s="322"/>
      <c r="P84" s="322"/>
      <c r="Q84" s="546"/>
    </row>
    <row r="85" spans="1:25" x14ac:dyDescent="0.2">
      <c r="A85" s="198">
        <f>A83</f>
        <v>542400</v>
      </c>
      <c r="B85" s="63">
        <f>B83</f>
        <v>-702300</v>
      </c>
      <c r="C85" s="9">
        <f>C83</f>
        <v>-461000</v>
      </c>
      <c r="D85" s="9">
        <f>D83</f>
        <v>-1851400</v>
      </c>
      <c r="E85" s="46"/>
      <c r="F85" s="59" t="s">
        <v>2411</v>
      </c>
      <c r="G85" s="2165">
        <f t="shared" ref="G85:M85" si="59">G83</f>
        <v>1599100</v>
      </c>
      <c r="H85" s="9">
        <f t="shared" si="59"/>
        <v>66100</v>
      </c>
      <c r="I85" s="9">
        <f t="shared" si="59"/>
        <v>438500</v>
      </c>
      <c r="J85" s="9">
        <f t="shared" si="59"/>
        <v>-128700</v>
      </c>
      <c r="K85" s="9">
        <f t="shared" si="59"/>
        <v>2235000</v>
      </c>
      <c r="L85" s="9">
        <f t="shared" si="59"/>
        <v>-447300</v>
      </c>
      <c r="M85" s="9">
        <f t="shared" si="59"/>
        <v>1559900</v>
      </c>
      <c r="N85" s="9">
        <f t="shared" ref="N85:O85" si="60">N83</f>
        <v>1207100</v>
      </c>
      <c r="O85" s="9">
        <f t="shared" si="60"/>
        <v>-305600</v>
      </c>
      <c r="P85" s="9">
        <f t="shared" ref="P85:Q85" si="61">P83</f>
        <v>-454100</v>
      </c>
      <c r="Q85" s="61">
        <f t="shared" si="61"/>
        <v>-2363800</v>
      </c>
    </row>
    <row r="86" spans="1:25" x14ac:dyDescent="0.2">
      <c r="A86" s="54"/>
      <c r="B86" s="9"/>
      <c r="C86" s="9"/>
      <c r="D86" s="9"/>
      <c r="E86" s="46"/>
      <c r="F86" s="31"/>
      <c r="G86" s="2165"/>
      <c r="H86" s="9"/>
      <c r="I86" s="9"/>
      <c r="J86" s="9"/>
      <c r="K86" s="9"/>
      <c r="L86" s="9"/>
      <c r="M86" s="9"/>
      <c r="N86" s="9"/>
      <c r="O86" s="9"/>
      <c r="P86" s="9"/>
      <c r="Q86" s="61"/>
    </row>
    <row r="87" spans="1:25" x14ac:dyDescent="0.2">
      <c r="A87" s="54">
        <f>'W&amp;W'!B218</f>
        <v>37600</v>
      </c>
      <c r="B87" s="9">
        <f>'W&amp;W'!C218</f>
        <v>36200</v>
      </c>
      <c r="C87" s="9">
        <f>'W&amp;W'!D218</f>
        <v>23000</v>
      </c>
      <c r="D87" s="9">
        <f>'W&amp;W'!E218</f>
        <v>0</v>
      </c>
      <c r="E87" s="31" t="s">
        <v>3148</v>
      </c>
      <c r="F87" s="31"/>
      <c r="G87" s="2165">
        <f>'W&amp;W'!H218</f>
        <v>0</v>
      </c>
      <c r="H87" s="9">
        <f>'W&amp;W'!J218</f>
        <v>0</v>
      </c>
      <c r="I87" s="9">
        <f>'W&amp;W'!K218</f>
        <v>0</v>
      </c>
      <c r="J87" s="9">
        <f>'W&amp;W'!L218</f>
        <v>0</v>
      </c>
      <c r="K87" s="9">
        <f>'W&amp;W'!M218</f>
        <v>0</v>
      </c>
      <c r="L87" s="9">
        <f>'W&amp;W'!N218</f>
        <v>0</v>
      </c>
      <c r="M87" s="9">
        <f>'W&amp;W'!O218</f>
        <v>0</v>
      </c>
      <c r="N87" s="9">
        <f>'W&amp;W'!P218</f>
        <v>0</v>
      </c>
      <c r="O87" s="9">
        <f>'W&amp;W'!Q218</f>
        <v>0</v>
      </c>
      <c r="P87" s="9">
        <f>'W&amp;W'!R218</f>
        <v>0</v>
      </c>
      <c r="Q87" s="61">
        <f>'W&amp;W'!S218</f>
        <v>0</v>
      </c>
    </row>
    <row r="88" spans="1:25" x14ac:dyDescent="0.2">
      <c r="A88" s="54">
        <f>'W&amp;W'!B219</f>
        <v>100000</v>
      </c>
      <c r="B88" s="9">
        <f>'W&amp;W'!C219</f>
        <v>100000</v>
      </c>
      <c r="C88" s="9">
        <f>'W&amp;W'!D219</f>
        <v>0</v>
      </c>
      <c r="D88" s="9">
        <f>'W&amp;W'!E219</f>
        <v>100000</v>
      </c>
      <c r="E88" s="31" t="s">
        <v>3149</v>
      </c>
      <c r="F88" s="31"/>
      <c r="G88" s="2165">
        <f>'W&amp;W'!H219</f>
        <v>0</v>
      </c>
      <c r="H88" s="9">
        <f>'W&amp;W'!J219</f>
        <v>0</v>
      </c>
      <c r="I88" s="9">
        <f>'W&amp;W'!K219</f>
        <v>0</v>
      </c>
      <c r="J88" s="9">
        <f>'W&amp;W'!L219</f>
        <v>0</v>
      </c>
      <c r="K88" s="9">
        <f>'W&amp;W'!M219</f>
        <v>0</v>
      </c>
      <c r="L88" s="9">
        <f>'W&amp;W'!N219</f>
        <v>0</v>
      </c>
      <c r="M88" s="9">
        <f>'W&amp;W'!O219</f>
        <v>0</v>
      </c>
      <c r="N88" s="9">
        <f>'W&amp;W'!P219</f>
        <v>0</v>
      </c>
      <c r="O88" s="9">
        <f>'W&amp;W'!Q219</f>
        <v>0</v>
      </c>
      <c r="P88" s="9">
        <f>'W&amp;W'!R219</f>
        <v>0</v>
      </c>
      <c r="Q88" s="61">
        <f>'W&amp;W'!S219</f>
        <v>0</v>
      </c>
    </row>
    <row r="89" spans="1:25" ht="13.5" thickBot="1" x14ac:dyDescent="0.25">
      <c r="A89" s="54"/>
      <c r="B89" s="9"/>
      <c r="C89" s="9"/>
      <c r="D89" s="9"/>
      <c r="E89" s="46"/>
      <c r="F89" s="55"/>
      <c r="G89" s="2165"/>
      <c r="H89" s="9"/>
      <c r="I89" s="9"/>
      <c r="J89" s="9"/>
      <c r="K89" s="9"/>
      <c r="L89" s="9"/>
      <c r="M89" s="9"/>
      <c r="N89" s="9"/>
      <c r="O89" s="9"/>
      <c r="P89" s="9"/>
      <c r="Q89" s="61"/>
    </row>
    <row r="90" spans="1:25" s="39" customFormat="1" x14ac:dyDescent="0.2">
      <c r="A90" s="52">
        <f>SUM(A86:A89)</f>
        <v>137600</v>
      </c>
      <c r="B90" s="16">
        <f>SUM(B86:B89)</f>
        <v>136200</v>
      </c>
      <c r="C90" s="16">
        <f>SUM(C86:C89)</f>
        <v>23000</v>
      </c>
      <c r="D90" s="16">
        <f>SUM(D86:D89)</f>
        <v>100000</v>
      </c>
      <c r="E90" s="27"/>
      <c r="F90" s="59" t="s">
        <v>2411</v>
      </c>
      <c r="G90" s="2166">
        <f t="shared" ref="G90:M90" si="62">SUM(G86:G89)</f>
        <v>0</v>
      </c>
      <c r="H90" s="16">
        <f t="shared" si="62"/>
        <v>0</v>
      </c>
      <c r="I90" s="16">
        <f t="shared" si="62"/>
        <v>0</v>
      </c>
      <c r="J90" s="16">
        <f t="shared" si="62"/>
        <v>0</v>
      </c>
      <c r="K90" s="16">
        <f t="shared" si="62"/>
        <v>0</v>
      </c>
      <c r="L90" s="16">
        <f t="shared" si="62"/>
        <v>0</v>
      </c>
      <c r="M90" s="16">
        <f t="shared" si="62"/>
        <v>0</v>
      </c>
      <c r="N90" s="16">
        <f t="shared" ref="N90:O90" si="63">SUM(N86:N89)</f>
        <v>0</v>
      </c>
      <c r="O90" s="16">
        <f t="shared" si="63"/>
        <v>0</v>
      </c>
      <c r="P90" s="16">
        <f t="shared" ref="P90:Q90" si="64">SUM(P86:P89)</f>
        <v>0</v>
      </c>
      <c r="Q90" s="60">
        <f t="shared" si="64"/>
        <v>0</v>
      </c>
      <c r="R90" s="34"/>
      <c r="S90" s="34"/>
      <c r="T90" s="34"/>
      <c r="U90" s="34"/>
      <c r="V90" s="34"/>
      <c r="W90" s="34"/>
      <c r="X90" s="34"/>
      <c r="Y90" s="34"/>
    </row>
    <row r="91" spans="1:25" ht="13.5" thickBot="1" x14ac:dyDescent="0.25">
      <c r="A91" s="118"/>
      <c r="B91" s="23"/>
      <c r="C91" s="23"/>
      <c r="D91" s="23"/>
      <c r="E91" s="121"/>
      <c r="F91" s="120"/>
      <c r="G91" s="2167"/>
      <c r="H91" s="23"/>
      <c r="I91" s="23"/>
      <c r="J91" s="23"/>
      <c r="K91" s="23"/>
      <c r="L91" s="23"/>
      <c r="M91" s="23"/>
      <c r="N91" s="23"/>
      <c r="O91" s="23"/>
      <c r="P91" s="23"/>
      <c r="Q91" s="112"/>
    </row>
    <row r="92" spans="1:25" ht="14.25" thickTop="1" thickBot="1" x14ac:dyDescent="0.25">
      <c r="A92" s="46"/>
      <c r="B92" s="46"/>
      <c r="C92" s="46"/>
      <c r="D92" s="46"/>
      <c r="E92" s="46"/>
      <c r="F92" s="55"/>
      <c r="G92" s="2168"/>
      <c r="H92" s="46"/>
      <c r="I92" s="46"/>
      <c r="J92" s="46"/>
      <c r="K92" s="46"/>
      <c r="L92" s="46"/>
      <c r="M92" s="46"/>
      <c r="N92" s="46"/>
      <c r="O92" s="46"/>
      <c r="P92" s="46"/>
      <c r="Q92" s="46"/>
    </row>
    <row r="93" spans="1:25" ht="18.75" customHeight="1" thickBot="1" x14ac:dyDescent="0.25">
      <c r="A93" s="2667" t="s">
        <v>6818</v>
      </c>
      <c r="B93" s="2668"/>
      <c r="C93" s="2668"/>
      <c r="D93" s="2668"/>
      <c r="E93" s="2668"/>
      <c r="F93" s="2668"/>
      <c r="G93" s="2668"/>
      <c r="H93" s="2668"/>
      <c r="I93" s="2668"/>
      <c r="J93" s="2668"/>
      <c r="K93" s="2668"/>
      <c r="L93" s="2668"/>
      <c r="M93" s="2668"/>
      <c r="N93" s="2668"/>
      <c r="O93" s="2668"/>
      <c r="P93" s="2668"/>
      <c r="Q93" s="2669"/>
    </row>
    <row r="94" spans="1:25" s="39" customFormat="1" x14ac:dyDescent="0.2">
      <c r="A94" s="2674" t="s">
        <v>1824</v>
      </c>
      <c r="B94" s="2621"/>
      <c r="C94" s="2621"/>
      <c r="D94" s="2622"/>
      <c r="E94" s="271" t="s">
        <v>2213</v>
      </c>
      <c r="F94" s="2234"/>
      <c r="G94" s="2617" t="s">
        <v>11919</v>
      </c>
      <c r="H94" s="2618"/>
      <c r="I94" s="2618"/>
      <c r="J94" s="2618"/>
      <c r="K94" s="2618"/>
      <c r="L94" s="2618"/>
      <c r="M94" s="2618"/>
      <c r="N94" s="2618"/>
      <c r="O94" s="2618"/>
      <c r="P94" s="2618"/>
      <c r="Q94" s="2678"/>
    </row>
    <row r="95" spans="1:25" ht="13.5" thickBot="1" x14ac:dyDescent="0.25">
      <c r="A95" s="1008" t="str">
        <f>$A$3</f>
        <v>2013/14</v>
      </c>
      <c r="B95" s="28" t="str">
        <f>$B$3</f>
        <v>2014/15</v>
      </c>
      <c r="C95" s="1445" t="str">
        <f>C$3</f>
        <v>2015/16</v>
      </c>
      <c r="D95" s="44" t="str">
        <f t="shared" ref="D95" si="65">D$3</f>
        <v>2016/17</v>
      </c>
      <c r="E95" s="205"/>
      <c r="F95" s="41"/>
      <c r="G95" s="2170" t="str">
        <f t="shared" ref="G95:Q95" si="66">G$3</f>
        <v>2017/18</v>
      </c>
      <c r="H95" s="44" t="str">
        <f t="shared" si="66"/>
        <v>2018/19</v>
      </c>
      <c r="I95" s="44" t="str">
        <f t="shared" si="66"/>
        <v>2019/20</v>
      </c>
      <c r="J95" s="44" t="str">
        <f t="shared" si="66"/>
        <v>2020/21</v>
      </c>
      <c r="K95" s="44" t="str">
        <f t="shared" si="66"/>
        <v>2021/22</v>
      </c>
      <c r="L95" s="44" t="str">
        <f t="shared" si="66"/>
        <v>2022/23</v>
      </c>
      <c r="M95" s="44" t="str">
        <f t="shared" si="66"/>
        <v>2023/24</v>
      </c>
      <c r="N95" s="94" t="str">
        <f t="shared" si="66"/>
        <v>2024/25</v>
      </c>
      <c r="O95" s="94" t="str">
        <f t="shared" si="66"/>
        <v>2025/26</v>
      </c>
      <c r="P95" s="94" t="str">
        <f t="shared" si="66"/>
        <v>2026/27</v>
      </c>
      <c r="Q95" s="95" t="str">
        <f t="shared" si="66"/>
        <v>2027/28</v>
      </c>
    </row>
    <row r="96" spans="1:25" x14ac:dyDescent="0.2">
      <c r="A96" s="54"/>
      <c r="B96" s="9"/>
      <c r="C96" s="9"/>
      <c r="D96" s="9"/>
      <c r="E96" s="46"/>
      <c r="F96" s="31"/>
      <c r="G96" s="2165"/>
      <c r="H96" s="9"/>
      <c r="I96" s="9"/>
      <c r="J96" s="9"/>
      <c r="K96" s="9"/>
      <c r="L96" s="9"/>
      <c r="M96" s="9"/>
      <c r="N96" s="9"/>
      <c r="O96" s="9"/>
      <c r="P96" s="9"/>
      <c r="Q96" s="61"/>
    </row>
    <row r="97" spans="1:17" x14ac:dyDescent="0.2">
      <c r="A97" s="54"/>
      <c r="B97" s="9"/>
      <c r="C97" s="9"/>
      <c r="D97" s="9"/>
      <c r="E97" s="92" t="s">
        <v>4415</v>
      </c>
      <c r="F97" s="46"/>
      <c r="G97" s="2165"/>
      <c r="H97" s="9"/>
      <c r="I97" s="9"/>
      <c r="J97" s="9"/>
      <c r="K97" s="9"/>
      <c r="L97" s="9"/>
      <c r="M97" s="9"/>
      <c r="N97" s="9"/>
      <c r="O97" s="9"/>
      <c r="P97" s="9"/>
      <c r="Q97" s="61"/>
    </row>
    <row r="98" spans="1:17" x14ac:dyDescent="0.2">
      <c r="A98" s="54"/>
      <c r="B98" s="9"/>
      <c r="C98" s="9"/>
      <c r="D98" s="9"/>
      <c r="E98" s="31"/>
      <c r="F98" s="46"/>
      <c r="G98" s="2165"/>
      <c r="H98" s="9"/>
      <c r="I98" s="9"/>
      <c r="J98" s="9"/>
      <c r="K98" s="9"/>
      <c r="L98" s="9"/>
      <c r="M98" s="9"/>
      <c r="N98" s="9"/>
      <c r="O98" s="9"/>
      <c r="P98" s="9"/>
      <c r="Q98" s="61"/>
    </row>
    <row r="99" spans="1:17" x14ac:dyDescent="0.2">
      <c r="A99" s="54"/>
      <c r="B99" s="9"/>
      <c r="C99" s="9"/>
      <c r="D99" s="9"/>
      <c r="E99" s="92" t="s">
        <v>687</v>
      </c>
      <c r="F99" s="46"/>
      <c r="G99" s="2165"/>
      <c r="H99" s="9"/>
      <c r="I99" s="9"/>
      <c r="J99" s="9"/>
      <c r="K99" s="9"/>
      <c r="L99" s="9"/>
      <c r="M99" s="9"/>
      <c r="N99" s="9"/>
      <c r="O99" s="9"/>
      <c r="P99" s="9"/>
      <c r="Q99" s="61"/>
    </row>
    <row r="100" spans="1:17" x14ac:dyDescent="0.2">
      <c r="A100" s="54">
        <f>A6</f>
        <v>10689100</v>
      </c>
      <c r="B100" s="9">
        <f>B6</f>
        <v>10892500</v>
      </c>
      <c r="C100" s="9">
        <f>C6</f>
        <v>11199100</v>
      </c>
      <c r="D100" s="9">
        <f>D6</f>
        <v>12409800</v>
      </c>
      <c r="E100" s="115" t="s">
        <v>2226</v>
      </c>
      <c r="F100" s="46"/>
      <c r="G100" s="2165">
        <f t="shared" ref="G100:O100" si="67">G6</f>
        <v>11778400</v>
      </c>
      <c r="H100" s="9">
        <f t="shared" si="67"/>
        <v>12143700</v>
      </c>
      <c r="I100" s="9">
        <f t="shared" si="67"/>
        <v>12332100</v>
      </c>
      <c r="J100" s="9">
        <f t="shared" si="67"/>
        <v>12608400</v>
      </c>
      <c r="K100" s="9">
        <f t="shared" si="67"/>
        <v>12999400</v>
      </c>
      <c r="L100" s="9">
        <f t="shared" si="67"/>
        <v>13275300</v>
      </c>
      <c r="M100" s="9">
        <f t="shared" si="67"/>
        <v>13601000</v>
      </c>
      <c r="N100" s="9">
        <f t="shared" si="67"/>
        <v>13940900</v>
      </c>
      <c r="O100" s="9">
        <f t="shared" si="67"/>
        <v>14301200</v>
      </c>
      <c r="P100" s="9">
        <f t="shared" ref="P100:Q100" si="68">P6</f>
        <v>14763100</v>
      </c>
      <c r="Q100" s="61">
        <f t="shared" si="68"/>
        <v>15245100</v>
      </c>
    </row>
    <row r="101" spans="1:17" x14ac:dyDescent="0.2">
      <c r="A101" s="54">
        <f>A7+A10</f>
        <v>11000600</v>
      </c>
      <c r="B101" s="9">
        <f>B7+B10</f>
        <v>10796400</v>
      </c>
      <c r="C101" s="9">
        <f>C7+C10</f>
        <v>10811900</v>
      </c>
      <c r="D101" s="9">
        <f>D7+D10</f>
        <v>11120300</v>
      </c>
      <c r="E101" s="115" t="s">
        <v>2227</v>
      </c>
      <c r="F101" s="46"/>
      <c r="G101" s="2165">
        <f t="shared" ref="G101:O101" si="69">G7+G10</f>
        <v>11225400</v>
      </c>
      <c r="H101" s="9">
        <f t="shared" si="69"/>
        <v>11512000</v>
      </c>
      <c r="I101" s="9">
        <f t="shared" si="69"/>
        <v>11743300</v>
      </c>
      <c r="J101" s="9">
        <f t="shared" si="69"/>
        <v>12020800</v>
      </c>
      <c r="K101" s="9">
        <f t="shared" si="69"/>
        <v>12364600</v>
      </c>
      <c r="L101" s="9">
        <f t="shared" si="69"/>
        <v>12737500</v>
      </c>
      <c r="M101" s="9">
        <f t="shared" si="69"/>
        <v>13034500</v>
      </c>
      <c r="N101" s="9">
        <f t="shared" si="69"/>
        <v>13390800</v>
      </c>
      <c r="O101" s="9">
        <f t="shared" si="69"/>
        <v>13756900</v>
      </c>
      <c r="P101" s="9">
        <f t="shared" ref="P101:Q101" si="70">P7+P10</f>
        <v>14116100</v>
      </c>
      <c r="Q101" s="61">
        <f t="shared" si="70"/>
        <v>14443700</v>
      </c>
    </row>
    <row r="102" spans="1:17" s="65" customFormat="1" x14ac:dyDescent="0.2">
      <c r="A102" s="198">
        <f>A100-A101</f>
        <v>-311500</v>
      </c>
      <c r="B102" s="63">
        <f>B100-B101</f>
        <v>96100</v>
      </c>
      <c r="C102" s="63">
        <f>C100-C101</f>
        <v>387200</v>
      </c>
      <c r="D102" s="63">
        <f>D100-D101</f>
        <v>1289500</v>
      </c>
      <c r="E102" s="92" t="s">
        <v>2149</v>
      </c>
      <c r="F102" s="92"/>
      <c r="G102" s="2171">
        <f t="shared" ref="G102:K102" si="71">G100-G101</f>
        <v>553000</v>
      </c>
      <c r="H102" s="63">
        <f t="shared" si="71"/>
        <v>631700</v>
      </c>
      <c r="I102" s="63">
        <f t="shared" si="71"/>
        <v>588800</v>
      </c>
      <c r="J102" s="63">
        <f t="shared" si="71"/>
        <v>587600</v>
      </c>
      <c r="K102" s="63">
        <f t="shared" si="71"/>
        <v>634800</v>
      </c>
      <c r="L102" s="63">
        <f t="shared" ref="L102:Q102" si="72">L100-L101</f>
        <v>537800</v>
      </c>
      <c r="M102" s="63">
        <f t="shared" si="72"/>
        <v>566500</v>
      </c>
      <c r="N102" s="63">
        <f t="shared" si="72"/>
        <v>550100</v>
      </c>
      <c r="O102" s="63">
        <f t="shared" si="72"/>
        <v>544300</v>
      </c>
      <c r="P102" s="63">
        <f t="shared" si="72"/>
        <v>647000</v>
      </c>
      <c r="Q102" s="106">
        <f t="shared" si="72"/>
        <v>801400</v>
      </c>
    </row>
    <row r="103" spans="1:17" x14ac:dyDescent="0.2">
      <c r="A103" s="54">
        <v>0</v>
      </c>
      <c r="B103" s="9">
        <v>0</v>
      </c>
      <c r="C103" s="9">
        <v>0</v>
      </c>
      <c r="D103" s="9">
        <v>0</v>
      </c>
      <c r="E103" s="115" t="s">
        <v>2150</v>
      </c>
      <c r="F103" s="46"/>
      <c r="G103" s="2165">
        <v>0</v>
      </c>
      <c r="H103" s="9">
        <v>0</v>
      </c>
      <c r="I103" s="9">
        <v>0</v>
      </c>
      <c r="J103" s="9">
        <v>0</v>
      </c>
      <c r="K103" s="9">
        <v>0</v>
      </c>
      <c r="L103" s="9">
        <v>0</v>
      </c>
      <c r="M103" s="9">
        <v>0</v>
      </c>
      <c r="N103" s="9">
        <v>0</v>
      </c>
      <c r="O103" s="9">
        <v>0</v>
      </c>
      <c r="P103" s="9">
        <v>0</v>
      </c>
      <c r="Q103" s="61">
        <v>0</v>
      </c>
    </row>
    <row r="104" spans="1:17" s="65" customFormat="1" x14ac:dyDescent="0.2">
      <c r="A104" s="198">
        <f>A102+A103</f>
        <v>-311500</v>
      </c>
      <c r="B104" s="63">
        <f>B102+B103</f>
        <v>96100</v>
      </c>
      <c r="C104" s="63">
        <f>C102+C103</f>
        <v>387200</v>
      </c>
      <c r="D104" s="63">
        <f>D102+D103</f>
        <v>1289500</v>
      </c>
      <c r="E104" s="92" t="s">
        <v>1002</v>
      </c>
      <c r="F104" s="92"/>
      <c r="G104" s="2171">
        <f t="shared" ref="G104:K104" si="73">G102+G103</f>
        <v>553000</v>
      </c>
      <c r="H104" s="63">
        <f t="shared" si="73"/>
        <v>631700</v>
      </c>
      <c r="I104" s="63">
        <f t="shared" si="73"/>
        <v>588800</v>
      </c>
      <c r="J104" s="63">
        <f t="shared" si="73"/>
        <v>587600</v>
      </c>
      <c r="K104" s="63">
        <f t="shared" si="73"/>
        <v>634800</v>
      </c>
      <c r="L104" s="63">
        <f t="shared" ref="L104:Q104" si="74">L102+L103</f>
        <v>537800</v>
      </c>
      <c r="M104" s="63">
        <f t="shared" si="74"/>
        <v>566500</v>
      </c>
      <c r="N104" s="63">
        <f t="shared" si="74"/>
        <v>550100</v>
      </c>
      <c r="O104" s="63">
        <f t="shared" si="74"/>
        <v>544300</v>
      </c>
      <c r="P104" s="63">
        <f t="shared" si="74"/>
        <v>647000</v>
      </c>
      <c r="Q104" s="106">
        <f t="shared" si="74"/>
        <v>801400</v>
      </c>
    </row>
    <row r="105" spans="1:17" x14ac:dyDescent="0.2">
      <c r="A105" s="54">
        <f>A10</f>
        <v>1859500</v>
      </c>
      <c r="B105" s="9">
        <f>B10</f>
        <v>1478700</v>
      </c>
      <c r="C105" s="9">
        <f>C10</f>
        <v>1498900</v>
      </c>
      <c r="D105" s="9">
        <f>D10</f>
        <v>1399600</v>
      </c>
      <c r="E105" s="115" t="s">
        <v>2757</v>
      </c>
      <c r="F105" s="46"/>
      <c r="G105" s="2165">
        <f t="shared" ref="G105:O105" si="75">G10</f>
        <v>1380000</v>
      </c>
      <c r="H105" s="9">
        <f t="shared" si="75"/>
        <v>1407600</v>
      </c>
      <c r="I105" s="9">
        <f t="shared" si="75"/>
        <v>1435800</v>
      </c>
      <c r="J105" s="9">
        <f t="shared" si="75"/>
        <v>1464600</v>
      </c>
      <c r="K105" s="9">
        <f t="shared" si="75"/>
        <v>1493900</v>
      </c>
      <c r="L105" s="9">
        <f t="shared" si="75"/>
        <v>1523800</v>
      </c>
      <c r="M105" s="9">
        <f t="shared" si="75"/>
        <v>1554300</v>
      </c>
      <c r="N105" s="9">
        <f t="shared" si="75"/>
        <v>1585400</v>
      </c>
      <c r="O105" s="9">
        <f t="shared" si="75"/>
        <v>1617200</v>
      </c>
      <c r="P105" s="9">
        <f t="shared" ref="P105:Q105" si="76">P10</f>
        <v>1649600</v>
      </c>
      <c r="Q105" s="61">
        <f t="shared" si="76"/>
        <v>1682600</v>
      </c>
    </row>
    <row r="106" spans="1:17" s="65" customFormat="1" x14ac:dyDescent="0.2">
      <c r="A106" s="198">
        <f>A104+A105</f>
        <v>1548000</v>
      </c>
      <c r="B106" s="63">
        <f>B104+B105</f>
        <v>1574800</v>
      </c>
      <c r="C106" s="63">
        <f>C104+C105</f>
        <v>1886100</v>
      </c>
      <c r="D106" s="63">
        <f>D104+D105</f>
        <v>2689100</v>
      </c>
      <c r="E106" s="92" t="s">
        <v>2167</v>
      </c>
      <c r="F106" s="92"/>
      <c r="G106" s="2171">
        <f t="shared" ref="G106:K106" si="77">G104+G105</f>
        <v>1933000</v>
      </c>
      <c r="H106" s="63">
        <f t="shared" si="77"/>
        <v>2039300</v>
      </c>
      <c r="I106" s="63">
        <f t="shared" si="77"/>
        <v>2024600</v>
      </c>
      <c r="J106" s="63">
        <f t="shared" si="77"/>
        <v>2052200</v>
      </c>
      <c r="K106" s="63">
        <f t="shared" si="77"/>
        <v>2128700</v>
      </c>
      <c r="L106" s="63">
        <f t="shared" ref="L106:Q106" si="78">L104+L105</f>
        <v>2061600</v>
      </c>
      <c r="M106" s="63">
        <f t="shared" si="78"/>
        <v>2120800</v>
      </c>
      <c r="N106" s="63">
        <f t="shared" si="78"/>
        <v>2135500</v>
      </c>
      <c r="O106" s="63">
        <f t="shared" si="78"/>
        <v>2161500</v>
      </c>
      <c r="P106" s="63">
        <f t="shared" si="78"/>
        <v>2296600</v>
      </c>
      <c r="Q106" s="106">
        <f t="shared" si="78"/>
        <v>2484000</v>
      </c>
    </row>
    <row r="107" spans="1:17" x14ac:dyDescent="0.2">
      <c r="A107" s="54"/>
      <c r="B107" s="9"/>
      <c r="C107" s="9"/>
      <c r="D107" s="9"/>
      <c r="E107" s="46"/>
      <c r="F107" s="115"/>
      <c r="G107" s="2165"/>
      <c r="H107" s="9"/>
      <c r="I107" s="9"/>
      <c r="J107" s="9"/>
      <c r="K107" s="9"/>
      <c r="L107" s="9"/>
      <c r="M107" s="9"/>
      <c r="N107" s="9"/>
      <c r="O107" s="9"/>
      <c r="P107" s="9"/>
      <c r="Q107" s="61"/>
    </row>
    <row r="108" spans="1:17" x14ac:dyDescent="0.2">
      <c r="A108" s="54"/>
      <c r="B108" s="9"/>
      <c r="C108" s="9"/>
      <c r="D108" s="9"/>
      <c r="E108" s="92" t="s">
        <v>2314</v>
      </c>
      <c r="F108" s="46"/>
      <c r="G108" s="2165"/>
      <c r="H108" s="9"/>
      <c r="I108" s="9"/>
      <c r="J108" s="9"/>
      <c r="K108" s="9"/>
      <c r="L108" s="9"/>
      <c r="M108" s="9"/>
      <c r="N108" s="9"/>
      <c r="O108" s="9"/>
      <c r="P108" s="9"/>
      <c r="Q108" s="61"/>
    </row>
    <row r="109" spans="1:17" x14ac:dyDescent="0.2">
      <c r="A109" s="54"/>
      <c r="B109" s="9"/>
      <c r="C109" s="9"/>
      <c r="D109" s="9"/>
      <c r="E109" s="115"/>
      <c r="F109" s="46"/>
      <c r="G109" s="2165"/>
      <c r="H109" s="9"/>
      <c r="I109" s="9"/>
      <c r="J109" s="9"/>
      <c r="K109" s="9"/>
      <c r="L109" s="9"/>
      <c r="M109" s="9"/>
      <c r="N109" s="9"/>
      <c r="O109" s="9"/>
      <c r="P109" s="9"/>
      <c r="Q109" s="61"/>
    </row>
    <row r="110" spans="1:17" x14ac:dyDescent="0.2">
      <c r="A110" s="54"/>
      <c r="B110" s="9"/>
      <c r="C110" s="9"/>
      <c r="D110" s="9"/>
      <c r="E110" s="92" t="s">
        <v>1865</v>
      </c>
      <c r="F110" s="46"/>
      <c r="G110" s="2165"/>
      <c r="H110" s="9"/>
      <c r="I110" s="9"/>
      <c r="J110" s="9"/>
      <c r="K110" s="9"/>
      <c r="L110" s="9"/>
      <c r="M110" s="9"/>
      <c r="N110" s="9"/>
      <c r="O110" s="9"/>
      <c r="P110" s="9"/>
      <c r="Q110" s="61"/>
    </row>
    <row r="111" spans="1:17" x14ac:dyDescent="0.2">
      <c r="A111" s="54"/>
      <c r="B111" s="9"/>
      <c r="C111" s="9"/>
      <c r="D111" s="9"/>
      <c r="E111" s="115" t="s">
        <v>2886</v>
      </c>
      <c r="F111" s="46"/>
      <c r="G111" s="2165"/>
      <c r="H111" s="9"/>
      <c r="I111" s="9"/>
      <c r="J111" s="9"/>
      <c r="K111" s="9"/>
      <c r="L111" s="9"/>
      <c r="M111" s="9"/>
      <c r="N111" s="9"/>
      <c r="O111" s="9"/>
      <c r="P111" s="9"/>
      <c r="Q111" s="61"/>
    </row>
    <row r="112" spans="1:17" x14ac:dyDescent="0.2">
      <c r="A112" s="54"/>
      <c r="B112" s="9"/>
      <c r="C112" s="9"/>
      <c r="D112" s="9"/>
      <c r="E112" s="115" t="s">
        <v>1351</v>
      </c>
      <c r="F112" s="46"/>
      <c r="G112" s="2165"/>
      <c r="H112" s="9"/>
      <c r="I112" s="9"/>
      <c r="J112" s="9"/>
      <c r="K112" s="9"/>
      <c r="L112" s="9"/>
      <c r="M112" s="9"/>
      <c r="N112" s="9"/>
      <c r="O112" s="9"/>
      <c r="P112" s="9"/>
      <c r="Q112" s="61"/>
    </row>
    <row r="113" spans="1:17" x14ac:dyDescent="0.2">
      <c r="A113" s="54">
        <f t="shared" ref="A113:C114" si="79">-A40</f>
        <v>1827100</v>
      </c>
      <c r="B113" s="9">
        <f t="shared" si="79"/>
        <v>2821700</v>
      </c>
      <c r="C113" s="9">
        <f t="shared" si="79"/>
        <v>1427000</v>
      </c>
      <c r="D113" s="9">
        <f t="shared" ref="D113" si="80">-D40</f>
        <v>1131500</v>
      </c>
      <c r="E113" s="115" t="s">
        <v>1864</v>
      </c>
      <c r="F113" s="46"/>
      <c r="G113" s="2165">
        <f t="shared" ref="G113:O113" si="81">-G40</f>
        <v>4000700</v>
      </c>
      <c r="H113" s="9">
        <f t="shared" si="81"/>
        <v>5018000</v>
      </c>
      <c r="I113" s="9">
        <f t="shared" si="81"/>
        <v>3400000</v>
      </c>
      <c r="J113" s="9">
        <f t="shared" si="81"/>
        <v>1990100</v>
      </c>
      <c r="K113" s="9">
        <f t="shared" si="81"/>
        <v>5836000</v>
      </c>
      <c r="L113" s="9">
        <f t="shared" si="81"/>
        <v>4662000</v>
      </c>
      <c r="M113" s="9">
        <f t="shared" si="81"/>
        <v>4630800</v>
      </c>
      <c r="N113" s="9">
        <f t="shared" si="81"/>
        <v>4377000</v>
      </c>
      <c r="O113" s="9">
        <f t="shared" si="81"/>
        <v>1791600</v>
      </c>
      <c r="P113" s="9">
        <f t="shared" ref="P113:Q113" si="82">-P40</f>
        <v>1751000</v>
      </c>
      <c r="Q113" s="61">
        <f t="shared" si="82"/>
        <v>0</v>
      </c>
    </row>
    <row r="114" spans="1:17" x14ac:dyDescent="0.2">
      <c r="A114" s="54">
        <f t="shared" si="79"/>
        <v>0</v>
      </c>
      <c r="B114" s="9">
        <f t="shared" si="79"/>
        <v>0</v>
      </c>
      <c r="C114" s="9">
        <f t="shared" si="79"/>
        <v>0</v>
      </c>
      <c r="D114" s="9">
        <f t="shared" ref="D114" si="83">-D41</f>
        <v>0</v>
      </c>
      <c r="E114" s="115" t="s">
        <v>1459</v>
      </c>
      <c r="F114" s="46"/>
      <c r="G114" s="2165">
        <f t="shared" ref="G114:O114" si="84">-G41</f>
        <v>0</v>
      </c>
      <c r="H114" s="9">
        <f t="shared" si="84"/>
        <v>0</v>
      </c>
      <c r="I114" s="9">
        <f t="shared" si="84"/>
        <v>0</v>
      </c>
      <c r="J114" s="9">
        <f t="shared" si="84"/>
        <v>0</v>
      </c>
      <c r="K114" s="9">
        <f t="shared" si="84"/>
        <v>0</v>
      </c>
      <c r="L114" s="9">
        <f t="shared" si="84"/>
        <v>0</v>
      </c>
      <c r="M114" s="9">
        <f t="shared" si="84"/>
        <v>0</v>
      </c>
      <c r="N114" s="9">
        <f t="shared" si="84"/>
        <v>0</v>
      </c>
      <c r="O114" s="9">
        <f t="shared" si="84"/>
        <v>0</v>
      </c>
      <c r="P114" s="9">
        <f t="shared" ref="P114:Q114" si="85">-P41</f>
        <v>0</v>
      </c>
      <c r="Q114" s="61">
        <f t="shared" si="85"/>
        <v>0</v>
      </c>
    </row>
    <row r="115" spans="1:17" s="65" customFormat="1" x14ac:dyDescent="0.2">
      <c r="A115" s="198">
        <f>SUM(A110:A114)</f>
        <v>1827100</v>
      </c>
      <c r="B115" s="63">
        <f>SUM(B110:B114)</f>
        <v>2821700</v>
      </c>
      <c r="C115" s="63">
        <f>SUM(C110:C114)</f>
        <v>1427000</v>
      </c>
      <c r="D115" s="63">
        <f>SUM(D110:D114)</f>
        <v>1131500</v>
      </c>
      <c r="E115" s="92" t="s">
        <v>1504</v>
      </c>
      <c r="F115" s="92"/>
      <c r="G115" s="2171">
        <f t="shared" ref="G115:O115" si="86">SUM(G110:G114)</f>
        <v>4000700</v>
      </c>
      <c r="H115" s="63">
        <f t="shared" si="86"/>
        <v>5018000</v>
      </c>
      <c r="I115" s="63">
        <f t="shared" si="86"/>
        <v>3400000</v>
      </c>
      <c r="J115" s="63">
        <f t="shared" si="86"/>
        <v>1990100</v>
      </c>
      <c r="K115" s="63">
        <f t="shared" si="86"/>
        <v>5836000</v>
      </c>
      <c r="L115" s="63">
        <f t="shared" si="86"/>
        <v>4662000</v>
      </c>
      <c r="M115" s="63">
        <f t="shared" si="86"/>
        <v>4630800</v>
      </c>
      <c r="N115" s="63">
        <f t="shared" si="86"/>
        <v>4377000</v>
      </c>
      <c r="O115" s="63">
        <f t="shared" si="86"/>
        <v>1791600</v>
      </c>
      <c r="P115" s="63">
        <f t="shared" ref="P115:Q115" si="87">SUM(P110:P114)</f>
        <v>1751000</v>
      </c>
      <c r="Q115" s="106">
        <f t="shared" si="87"/>
        <v>0</v>
      </c>
    </row>
    <row r="116" spans="1:17" x14ac:dyDescent="0.2">
      <c r="A116" s="54"/>
      <c r="B116" s="9"/>
      <c r="C116" s="9"/>
      <c r="D116" s="9"/>
      <c r="E116" s="46"/>
      <c r="F116" s="115"/>
      <c r="G116" s="2165"/>
      <c r="H116" s="9"/>
      <c r="I116" s="9"/>
      <c r="J116" s="9"/>
      <c r="K116" s="9"/>
      <c r="L116" s="9"/>
      <c r="M116" s="9"/>
      <c r="N116" s="9"/>
      <c r="O116" s="9"/>
      <c r="P116" s="9"/>
      <c r="Q116" s="61"/>
    </row>
    <row r="117" spans="1:17" x14ac:dyDescent="0.2">
      <c r="A117" s="54"/>
      <c r="B117" s="9"/>
      <c r="C117" s="9"/>
      <c r="D117" s="9"/>
      <c r="E117" s="92" t="s">
        <v>877</v>
      </c>
      <c r="F117" s="46"/>
      <c r="G117" s="2165"/>
      <c r="H117" s="9"/>
      <c r="I117" s="9"/>
      <c r="J117" s="9"/>
      <c r="K117" s="9"/>
      <c r="L117" s="9"/>
      <c r="M117" s="9"/>
      <c r="N117" s="9"/>
      <c r="O117" s="9"/>
      <c r="P117" s="9"/>
      <c r="Q117" s="61"/>
    </row>
    <row r="118" spans="1:17" x14ac:dyDescent="0.2">
      <c r="A118" s="54">
        <f>A8</f>
        <v>1548000</v>
      </c>
      <c r="B118" s="9">
        <f>B8</f>
        <v>1574800</v>
      </c>
      <c r="C118" s="9">
        <f>C8</f>
        <v>1886100</v>
      </c>
      <c r="D118" s="9">
        <f>D8</f>
        <v>2689100</v>
      </c>
      <c r="E118" s="115" t="str">
        <f>E106</f>
        <v>Net Increase in Cash from Operations</v>
      </c>
      <c r="F118" s="46"/>
      <c r="G118" s="2165">
        <f t="shared" ref="G118:O118" si="88">G8</f>
        <v>1933000</v>
      </c>
      <c r="H118" s="9">
        <f t="shared" si="88"/>
        <v>2039300</v>
      </c>
      <c r="I118" s="9">
        <f t="shared" si="88"/>
        <v>2024600</v>
      </c>
      <c r="J118" s="9">
        <f t="shared" si="88"/>
        <v>2052200</v>
      </c>
      <c r="K118" s="9">
        <f t="shared" si="88"/>
        <v>2128700</v>
      </c>
      <c r="L118" s="9">
        <f t="shared" si="88"/>
        <v>2061600</v>
      </c>
      <c r="M118" s="9">
        <f t="shared" si="88"/>
        <v>2120800</v>
      </c>
      <c r="N118" s="9">
        <f t="shared" si="88"/>
        <v>2135500</v>
      </c>
      <c r="O118" s="9">
        <f t="shared" si="88"/>
        <v>2161500</v>
      </c>
      <c r="P118" s="9">
        <f t="shared" ref="P118:Q118" si="89">P8</f>
        <v>2296600</v>
      </c>
      <c r="Q118" s="61">
        <f t="shared" si="89"/>
        <v>2484000</v>
      </c>
    </row>
    <row r="119" spans="1:17" x14ac:dyDescent="0.2">
      <c r="A119" s="54">
        <f>A35-A51</f>
        <v>-979100</v>
      </c>
      <c r="B119" s="9">
        <f>-B51+B35</f>
        <v>-702300</v>
      </c>
      <c r="C119" s="9">
        <f>-C51+C35</f>
        <v>-461000</v>
      </c>
      <c r="D119" s="9">
        <f>-D51+D35</f>
        <v>-1851400</v>
      </c>
      <c r="E119" s="31" t="s">
        <v>4422</v>
      </c>
      <c r="F119" s="46"/>
      <c r="G119" s="2165">
        <f t="shared" ref="G119:O119" si="90">-G51+G35</f>
        <v>1599100</v>
      </c>
      <c r="H119" s="9">
        <f t="shared" si="90"/>
        <v>66100</v>
      </c>
      <c r="I119" s="9">
        <f t="shared" si="90"/>
        <v>438500</v>
      </c>
      <c r="J119" s="9">
        <f t="shared" si="90"/>
        <v>-128700</v>
      </c>
      <c r="K119" s="9">
        <f t="shared" si="90"/>
        <v>2235000</v>
      </c>
      <c r="L119" s="9">
        <f t="shared" si="90"/>
        <v>-447300</v>
      </c>
      <c r="M119" s="9">
        <f t="shared" si="90"/>
        <v>1559900</v>
      </c>
      <c r="N119" s="9">
        <f t="shared" si="90"/>
        <v>1207100</v>
      </c>
      <c r="O119" s="9">
        <f t="shared" si="90"/>
        <v>-305600</v>
      </c>
      <c r="P119" s="9">
        <f t="shared" ref="P119:Q119" si="91">-P51+P35</f>
        <v>-454100</v>
      </c>
      <c r="Q119" s="61">
        <f t="shared" si="91"/>
        <v>-2363800</v>
      </c>
    </row>
    <row r="120" spans="1:17" x14ac:dyDescent="0.2">
      <c r="A120" s="54">
        <f>A34+A44+A45</f>
        <v>459200</v>
      </c>
      <c r="B120" s="9">
        <f>B34+B44+B45</f>
        <v>1157900</v>
      </c>
      <c r="C120" s="9">
        <f>C34+C44+C45</f>
        <v>-836000</v>
      </c>
      <c r="D120" s="9">
        <f>D34+D44+D45</f>
        <v>-175300</v>
      </c>
      <c r="E120" s="115" t="s">
        <v>1142</v>
      </c>
      <c r="F120" s="46"/>
      <c r="G120" s="2165">
        <f t="shared" ref="G120:O120" si="92">G34+G44+G45</f>
        <v>-106400</v>
      </c>
      <c r="H120" s="9">
        <f t="shared" si="92"/>
        <v>2312600</v>
      </c>
      <c r="I120" s="9">
        <f t="shared" si="92"/>
        <v>316900</v>
      </c>
      <c r="J120" s="9">
        <f t="shared" si="92"/>
        <v>-573400</v>
      </c>
      <c r="K120" s="9">
        <f t="shared" si="92"/>
        <v>812300</v>
      </c>
      <c r="L120" s="9">
        <f t="shared" si="92"/>
        <v>2367700</v>
      </c>
      <c r="M120" s="9">
        <f t="shared" si="92"/>
        <v>250100</v>
      </c>
      <c r="N120" s="9">
        <f t="shared" si="92"/>
        <v>314400</v>
      </c>
      <c r="O120" s="9">
        <f t="shared" si="92"/>
        <v>-804300</v>
      </c>
      <c r="P120" s="9">
        <f t="shared" ref="P120:Q120" si="93">P34+P44+P45</f>
        <v>-851500</v>
      </c>
      <c r="Q120" s="61">
        <f t="shared" si="93"/>
        <v>-900200</v>
      </c>
    </row>
    <row r="121" spans="1:17" x14ac:dyDescent="0.2">
      <c r="A121" s="54">
        <f>A18+A17</f>
        <v>799000</v>
      </c>
      <c r="B121" s="9">
        <f>B18+B17</f>
        <v>791300</v>
      </c>
      <c r="C121" s="9">
        <f>C18+C17</f>
        <v>837900</v>
      </c>
      <c r="D121" s="9">
        <f>D18+D17</f>
        <v>469100</v>
      </c>
      <c r="E121" s="115" t="s">
        <v>2668</v>
      </c>
      <c r="F121" s="46"/>
      <c r="G121" s="2165">
        <f t="shared" ref="G121:O121" si="94">G18+G17</f>
        <v>575000</v>
      </c>
      <c r="H121" s="9">
        <f t="shared" si="94"/>
        <v>600000</v>
      </c>
      <c r="I121" s="9">
        <f t="shared" si="94"/>
        <v>620000</v>
      </c>
      <c r="J121" s="9">
        <f t="shared" si="94"/>
        <v>640000</v>
      </c>
      <c r="K121" s="9">
        <f t="shared" si="94"/>
        <v>660000</v>
      </c>
      <c r="L121" s="9">
        <f t="shared" si="94"/>
        <v>680000</v>
      </c>
      <c r="M121" s="9">
        <f t="shared" si="94"/>
        <v>700000</v>
      </c>
      <c r="N121" s="9">
        <f t="shared" si="94"/>
        <v>720000</v>
      </c>
      <c r="O121" s="9">
        <f t="shared" si="94"/>
        <v>740000</v>
      </c>
      <c r="P121" s="9">
        <f t="shared" ref="P121:Q121" si="95">P18+P17</f>
        <v>760000</v>
      </c>
      <c r="Q121" s="61">
        <f t="shared" si="95"/>
        <v>780000</v>
      </c>
    </row>
    <row r="122" spans="1:17" x14ac:dyDescent="0.2">
      <c r="A122" s="54">
        <f>A37</f>
        <v>0</v>
      </c>
      <c r="B122" s="9">
        <f>B37</f>
        <v>0</v>
      </c>
      <c r="C122" s="9">
        <f>C37</f>
        <v>0</v>
      </c>
      <c r="D122" s="9">
        <f>D37</f>
        <v>0</v>
      </c>
      <c r="E122" s="115" t="s">
        <v>268</v>
      </c>
      <c r="F122" s="46"/>
      <c r="G122" s="2165">
        <f t="shared" ref="G122:O122" si="96">G37</f>
        <v>0</v>
      </c>
      <c r="H122" s="9">
        <f t="shared" si="96"/>
        <v>0</v>
      </c>
      <c r="I122" s="9">
        <f t="shared" si="96"/>
        <v>0</v>
      </c>
      <c r="J122" s="9">
        <f t="shared" si="96"/>
        <v>0</v>
      </c>
      <c r="K122" s="9">
        <f t="shared" si="96"/>
        <v>0</v>
      </c>
      <c r="L122" s="9">
        <f t="shared" si="96"/>
        <v>0</v>
      </c>
      <c r="M122" s="9">
        <f t="shared" si="96"/>
        <v>0</v>
      </c>
      <c r="N122" s="9">
        <f t="shared" si="96"/>
        <v>0</v>
      </c>
      <c r="O122" s="9">
        <f t="shared" si="96"/>
        <v>0</v>
      </c>
      <c r="P122" s="9">
        <f t="shared" ref="P122:Q122" si="97">P37</f>
        <v>0</v>
      </c>
      <c r="Q122" s="61">
        <f t="shared" si="97"/>
        <v>0</v>
      </c>
    </row>
    <row r="123" spans="1:17" s="65" customFormat="1" x14ac:dyDescent="0.2">
      <c r="A123" s="198">
        <f>SUM(A118:A122)</f>
        <v>1827100</v>
      </c>
      <c r="B123" s="63">
        <f>SUM(B118:B122)</f>
        <v>2821700</v>
      </c>
      <c r="C123" s="63">
        <f>SUM(C118:C122)</f>
        <v>1427000</v>
      </c>
      <c r="D123" s="63">
        <f>SUM(D118:D122)</f>
        <v>1131500</v>
      </c>
      <c r="E123" s="92" t="s">
        <v>1504</v>
      </c>
      <c r="F123" s="92"/>
      <c r="G123" s="2171">
        <f t="shared" ref="G123:M123" si="98">SUM(G118:G122)</f>
        <v>4000700</v>
      </c>
      <c r="H123" s="63">
        <f t="shared" si="98"/>
        <v>5018000</v>
      </c>
      <c r="I123" s="63">
        <f t="shared" si="98"/>
        <v>3400000</v>
      </c>
      <c r="J123" s="63">
        <f t="shared" si="98"/>
        <v>1990100</v>
      </c>
      <c r="K123" s="63">
        <f t="shared" si="98"/>
        <v>5836000</v>
      </c>
      <c r="L123" s="63">
        <f t="shared" si="98"/>
        <v>4662000</v>
      </c>
      <c r="M123" s="63">
        <f t="shared" si="98"/>
        <v>4630800</v>
      </c>
      <c r="N123" s="63">
        <f t="shared" ref="N123:O123" si="99">SUM(N118:N122)</f>
        <v>4377000</v>
      </c>
      <c r="O123" s="63">
        <f t="shared" si="99"/>
        <v>1791600</v>
      </c>
      <c r="P123" s="63">
        <f t="shared" ref="P123:Q123" si="100">SUM(P118:P122)</f>
        <v>1751000</v>
      </c>
      <c r="Q123" s="106">
        <f t="shared" si="100"/>
        <v>0</v>
      </c>
    </row>
    <row r="124" spans="1:17" x14ac:dyDescent="0.2">
      <c r="A124" s="54"/>
      <c r="B124" s="9"/>
      <c r="C124" s="9"/>
      <c r="D124" s="9"/>
      <c r="E124" s="31"/>
      <c r="F124" s="46"/>
      <c r="G124" s="2165"/>
      <c r="H124" s="9"/>
      <c r="I124" s="9"/>
      <c r="J124" s="9"/>
      <c r="K124" s="9"/>
      <c r="L124" s="9"/>
      <c r="M124" s="9"/>
      <c r="N124" s="9"/>
      <c r="O124" s="9"/>
      <c r="P124" s="9"/>
      <c r="Q124" s="61"/>
    </row>
    <row r="125" spans="1:17" x14ac:dyDescent="0.2">
      <c r="A125" s="54">
        <f>A123-A115</f>
        <v>0</v>
      </c>
      <c r="B125" s="9">
        <f>B123-B115</f>
        <v>0</v>
      </c>
      <c r="C125" s="9">
        <f>C123-C115</f>
        <v>0</v>
      </c>
      <c r="D125" s="9">
        <f>D123-D115</f>
        <v>0</v>
      </c>
      <c r="E125" s="31" t="s">
        <v>1169</v>
      </c>
      <c r="F125" s="46"/>
      <c r="G125" s="2165">
        <f t="shared" ref="G125:M125" si="101">G123-G115</f>
        <v>0</v>
      </c>
      <c r="H125" s="9">
        <f t="shared" si="101"/>
        <v>0</v>
      </c>
      <c r="I125" s="9">
        <f t="shared" si="101"/>
        <v>0</v>
      </c>
      <c r="J125" s="9">
        <f t="shared" si="101"/>
        <v>0</v>
      </c>
      <c r="K125" s="9">
        <f t="shared" si="101"/>
        <v>0</v>
      </c>
      <c r="L125" s="9">
        <f t="shared" si="101"/>
        <v>0</v>
      </c>
      <c r="M125" s="9">
        <f t="shared" si="101"/>
        <v>0</v>
      </c>
      <c r="N125" s="9">
        <f t="shared" ref="N125:O125" si="102">N123-N115</f>
        <v>0</v>
      </c>
      <c r="O125" s="9">
        <f t="shared" si="102"/>
        <v>0</v>
      </c>
      <c r="P125" s="9">
        <f t="shared" ref="P125:Q125" si="103">P123-P115</f>
        <v>0</v>
      </c>
      <c r="Q125" s="61">
        <f t="shared" si="103"/>
        <v>0</v>
      </c>
    </row>
    <row r="126" spans="1:17" x14ac:dyDescent="0.2">
      <c r="A126" s="54"/>
      <c r="B126" s="9"/>
      <c r="C126" s="9"/>
      <c r="D126" s="9"/>
      <c r="E126" s="46"/>
      <c r="F126" s="31"/>
      <c r="G126" s="2165"/>
      <c r="H126" s="9"/>
      <c r="I126" s="9"/>
      <c r="J126" s="9"/>
      <c r="K126" s="9"/>
      <c r="L126" s="9"/>
      <c r="M126" s="9"/>
      <c r="N126" s="9"/>
      <c r="O126" s="9"/>
      <c r="P126" s="9"/>
      <c r="Q126" s="61"/>
    </row>
    <row r="127" spans="1:17" ht="13.5" thickBot="1" x14ac:dyDescent="0.25">
      <c r="A127" s="118"/>
      <c r="B127" s="23"/>
      <c r="C127" s="23"/>
      <c r="D127" s="23"/>
      <c r="E127" s="121"/>
      <c r="F127" s="208"/>
      <c r="G127" s="2167"/>
      <c r="H127" s="23"/>
      <c r="I127" s="23"/>
      <c r="J127" s="23"/>
      <c r="K127" s="23"/>
      <c r="L127" s="23"/>
      <c r="M127" s="23"/>
      <c r="N127" s="23"/>
      <c r="O127" s="23"/>
      <c r="P127" s="23"/>
      <c r="Q127" s="112"/>
    </row>
    <row r="128" spans="1:17" ht="13.5" thickTop="1" x14ac:dyDescent="0.2">
      <c r="C128" s="34"/>
    </row>
    <row r="129" spans="3:3" x14ac:dyDescent="0.2">
      <c r="C129" s="34"/>
    </row>
    <row r="130" spans="3:3" x14ac:dyDescent="0.2">
      <c r="C130" s="34"/>
    </row>
    <row r="131" spans="3:3" x14ac:dyDescent="0.2">
      <c r="C131" s="34"/>
    </row>
    <row r="132" spans="3:3" x14ac:dyDescent="0.2">
      <c r="C132" s="34"/>
    </row>
    <row r="133" spans="3:3" x14ac:dyDescent="0.2">
      <c r="C133" s="34"/>
    </row>
    <row r="381" spans="4:4" x14ac:dyDescent="0.2">
      <c r="D381" s="96"/>
    </row>
    <row r="382" spans="4:4" x14ac:dyDescent="0.2">
      <c r="D382" s="96"/>
    </row>
    <row r="1109" spans="6:6" x14ac:dyDescent="0.2">
      <c r="F1109" s="34" t="s">
        <v>7245</v>
      </c>
    </row>
  </sheetData>
  <mergeCells count="15">
    <mergeCell ref="A79:Q79"/>
    <mergeCell ref="A80:D80"/>
    <mergeCell ref="A94:D94"/>
    <mergeCell ref="G94:Q94"/>
    <mergeCell ref="G80:Q80"/>
    <mergeCell ref="A93:Q93"/>
    <mergeCell ref="A2:D2"/>
    <mergeCell ref="A1:Q1"/>
    <mergeCell ref="G2:Q2"/>
    <mergeCell ref="G57:Q57"/>
    <mergeCell ref="G69:Q69"/>
    <mergeCell ref="A68:Q68"/>
    <mergeCell ref="A56:Q56"/>
    <mergeCell ref="A57:D57"/>
    <mergeCell ref="A69:D69"/>
  </mergeCells>
  <phoneticPr fontId="9" type="noConversion"/>
  <printOptions horizontalCentered="1" verticalCentered="1"/>
  <pageMargins left="0" right="0.39370078740157483" top="0" bottom="0" header="0" footer="0"/>
  <pageSetup paperSize="9" orientation="portrait" horizontalDpi="4294967292" verticalDpi="36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CX2138"/>
  <sheetViews>
    <sheetView workbookViewId="0">
      <pane xSplit="1" ySplit="1" topLeftCell="B27" activePane="bottomRight" state="frozen"/>
      <selection activeCell="E788" sqref="E788"/>
      <selection pane="topRight" activeCell="E788" sqref="E788"/>
      <selection pane="bottomLeft" activeCell="E788" sqref="E788"/>
      <selection pane="bottomRight" activeCell="D51" sqref="D51"/>
    </sheetView>
  </sheetViews>
  <sheetFormatPr defaultColWidth="9.140625" defaultRowHeight="12.75" x14ac:dyDescent="0.2"/>
  <cols>
    <col min="1" max="1" width="32.28515625" style="1" customWidth="1"/>
    <col min="2" max="3" width="14.28515625" style="1" customWidth="1"/>
    <col min="4" max="4" width="15.5703125" style="1" customWidth="1"/>
    <col min="5" max="5" width="9.42578125" style="1" customWidth="1"/>
    <col min="6" max="6" width="12.28515625" style="1" customWidth="1"/>
    <col min="7" max="7" width="10.85546875" style="2178" customWidth="1"/>
    <col min="8" max="17" width="9.140625" style="1" customWidth="1"/>
    <col min="18" max="18" width="6.85546875" style="1" customWidth="1"/>
    <col min="19" max="19" width="9.140625" style="1" customWidth="1"/>
    <col min="20" max="20" width="6.42578125" style="1" customWidth="1"/>
    <col min="21" max="21" width="9.140625" style="1" customWidth="1"/>
    <col min="22" max="22" width="6.85546875" style="1" customWidth="1"/>
    <col min="23" max="23" width="9.140625" style="1" customWidth="1"/>
    <col min="24" max="24" width="6.42578125" style="1" customWidth="1"/>
    <col min="25" max="25" width="9.140625" style="1" customWidth="1"/>
    <col min="26" max="26" width="6.85546875" style="1" customWidth="1"/>
    <col min="27" max="27" width="9.140625" style="1" customWidth="1"/>
    <col min="28" max="28" width="6.42578125" style="1" customWidth="1"/>
    <col min="29" max="29" width="9.140625" style="1" customWidth="1"/>
    <col min="30" max="30" width="6.85546875" style="1" customWidth="1"/>
    <col min="31" max="31" width="9.5703125" style="1" customWidth="1"/>
    <col min="32" max="32" width="6.42578125" style="1" customWidth="1"/>
    <col min="33" max="33" width="9.140625" style="1" customWidth="1"/>
    <col min="34" max="34" width="6.85546875" style="1" customWidth="1"/>
    <col min="35" max="35" width="9.140625" style="1" customWidth="1"/>
    <col min="36" max="36" width="6.42578125" style="1" customWidth="1"/>
    <col min="37" max="37" width="9.140625" style="1" customWidth="1"/>
    <col min="38" max="38" width="6.85546875" style="1" customWidth="1"/>
    <col min="39" max="39" width="7.5703125" style="1" customWidth="1"/>
    <col min="40" max="40" width="6.42578125" style="1" customWidth="1"/>
    <col min="41" max="41" width="9.140625" style="1" customWidth="1"/>
    <col min="42" max="42" width="6.85546875" style="1" customWidth="1"/>
    <col min="43" max="43" width="10" style="1" customWidth="1"/>
    <col min="44" max="44" width="6.42578125" style="1" customWidth="1"/>
    <col min="45" max="45" width="9.140625" style="1" customWidth="1"/>
    <col min="46" max="46" width="6.85546875" style="1" customWidth="1"/>
    <col min="47" max="47" width="9.140625" style="1" customWidth="1"/>
    <col min="48" max="48" width="6.42578125" style="1" customWidth="1"/>
    <col min="49" max="49" width="10.28515625" style="1" customWidth="1"/>
    <col min="50" max="50" width="6.85546875" style="1" customWidth="1"/>
    <col min="51" max="51" width="10.140625" style="1" customWidth="1"/>
    <col min="52" max="52" width="6.42578125" style="1" customWidth="1"/>
    <col min="53" max="53" width="9.140625" style="1" customWidth="1"/>
    <col min="54" max="54" width="6.85546875" style="1" customWidth="1"/>
    <col min="55" max="55" width="9.140625" style="1" bestFit="1" customWidth="1"/>
    <col min="56" max="56" width="6.42578125" style="1" customWidth="1"/>
    <col min="57" max="57" width="9.140625" style="1" customWidth="1"/>
    <col min="58" max="58" width="6.85546875" style="1" customWidth="1"/>
    <col min="59" max="59" width="7.5703125" style="1" customWidth="1"/>
    <col min="60" max="60" width="6.42578125" style="1" customWidth="1"/>
    <col min="61" max="61" width="9.140625" style="1" customWidth="1"/>
    <col min="62" max="62" width="6.85546875" style="1" customWidth="1"/>
    <col min="63" max="63" width="7.5703125" style="1" customWidth="1"/>
    <col min="64" max="64" width="6.42578125" style="1" customWidth="1"/>
    <col min="65" max="65" width="9.140625" style="1" customWidth="1"/>
    <col min="66" max="66" width="6.85546875" style="1" customWidth="1"/>
    <col min="67" max="67" width="7.5703125" style="1" customWidth="1"/>
    <col min="68" max="68" width="6.42578125" style="1" customWidth="1"/>
    <col min="69" max="70" width="9.140625" style="1" customWidth="1"/>
    <col min="71" max="87" width="9.140625" style="34" customWidth="1"/>
    <col min="88" max="88" width="10.140625" style="34" customWidth="1"/>
    <col min="89" max="97" width="9.140625" style="34" customWidth="1"/>
    <col min="98" max="16384" width="9.140625" style="1"/>
  </cols>
  <sheetData>
    <row r="1" spans="1:102" s="1292" customFormat="1" ht="21" customHeight="1" thickTop="1" thickBot="1" x14ac:dyDescent="0.35">
      <c r="A1" s="2683" t="s">
        <v>4098</v>
      </c>
      <c r="B1" s="2684"/>
      <c r="C1" s="2684"/>
      <c r="D1" s="2684"/>
      <c r="E1" s="2684"/>
      <c r="F1" s="2684"/>
      <c r="G1" s="2684"/>
      <c r="H1" s="2684"/>
      <c r="I1" s="2684"/>
      <c r="J1" s="2684"/>
      <c r="K1" s="2684"/>
      <c r="L1" s="2684"/>
      <c r="M1" s="2684"/>
      <c r="N1" s="2684"/>
      <c r="O1" s="2684"/>
      <c r="P1" s="2684"/>
      <c r="Q1" s="2684"/>
      <c r="R1" s="2269"/>
      <c r="S1" s="2269"/>
      <c r="T1" s="2269"/>
      <c r="U1" s="2269"/>
      <c r="V1" s="2269"/>
      <c r="W1" s="2269"/>
      <c r="X1" s="2269"/>
      <c r="Y1" s="2269"/>
      <c r="Z1" s="2269"/>
      <c r="AA1" s="2269"/>
      <c r="AB1" s="2269"/>
      <c r="AC1" s="2269"/>
      <c r="AD1" s="2269"/>
      <c r="AE1" s="2269"/>
      <c r="AF1" s="2269"/>
      <c r="AG1" s="2269"/>
      <c r="AH1" s="2269"/>
      <c r="AI1" s="2269"/>
      <c r="AJ1" s="2269"/>
      <c r="AK1" s="2269"/>
      <c r="AL1" s="2269"/>
      <c r="AM1" s="2269"/>
      <c r="AN1" s="2269"/>
      <c r="AO1" s="2270"/>
      <c r="AP1" s="1650"/>
      <c r="AQ1" s="1650"/>
      <c r="AR1" s="1650"/>
      <c r="AS1" s="1650"/>
      <c r="AT1" s="1650"/>
      <c r="AU1" s="1650"/>
      <c r="AV1" s="1650"/>
      <c r="AW1" s="1650"/>
      <c r="AX1" s="1650"/>
      <c r="AY1" s="1650"/>
      <c r="AZ1" s="1650"/>
      <c r="BA1" s="1650"/>
      <c r="BB1" s="1650"/>
      <c r="BC1" s="1650"/>
      <c r="BD1" s="1650"/>
      <c r="BE1" s="1650"/>
      <c r="BF1" s="1650"/>
      <c r="BG1" s="1650"/>
      <c r="BH1" s="1650"/>
      <c r="BI1" s="1651"/>
      <c r="BJ1" s="1585"/>
      <c r="BK1" s="1585"/>
      <c r="BL1" s="1585"/>
      <c r="BM1" s="1586"/>
      <c r="BN1" s="1585"/>
      <c r="BO1" s="1585"/>
      <c r="BP1" s="1585"/>
      <c r="BQ1" s="1586"/>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row>
    <row r="2" spans="1:102" s="246" customFormat="1" ht="21" customHeight="1" thickBot="1" x14ac:dyDescent="0.25">
      <c r="A2" s="1293" t="s">
        <v>1480</v>
      </c>
      <c r="B2" s="1295" t="s">
        <v>3429</v>
      </c>
      <c r="C2" s="1295" t="s">
        <v>3429</v>
      </c>
      <c r="D2" s="1295"/>
      <c r="E2" s="2680" t="s">
        <v>6815</v>
      </c>
      <c r="F2" s="2681"/>
      <c r="G2" s="2681"/>
      <c r="H2" s="2681"/>
      <c r="I2" s="2681"/>
      <c r="J2" s="2681"/>
      <c r="K2" s="2681"/>
      <c r="L2" s="2681"/>
      <c r="M2" s="2681"/>
      <c r="N2" s="2681"/>
      <c r="O2" s="2681"/>
      <c r="P2" s="2681"/>
      <c r="Q2" s="2682"/>
      <c r="R2" s="2686" t="s">
        <v>1959</v>
      </c>
      <c r="S2" s="2687"/>
      <c r="T2" s="2687"/>
      <c r="U2" s="2688"/>
      <c r="V2" s="2686" t="s">
        <v>2895</v>
      </c>
      <c r="W2" s="2687"/>
      <c r="X2" s="2687"/>
      <c r="Y2" s="2688"/>
      <c r="Z2" s="2686" t="s">
        <v>3459</v>
      </c>
      <c r="AA2" s="2687"/>
      <c r="AB2" s="2687"/>
      <c r="AC2" s="2688"/>
      <c r="AD2" s="2686" t="s">
        <v>1475</v>
      </c>
      <c r="AE2" s="2687"/>
      <c r="AF2" s="2687"/>
      <c r="AG2" s="2688"/>
      <c r="AH2" s="2686" t="s">
        <v>1350</v>
      </c>
      <c r="AI2" s="2687"/>
      <c r="AJ2" s="2687"/>
      <c r="AK2" s="2688"/>
      <c r="AL2" s="2689" t="s">
        <v>859</v>
      </c>
      <c r="AM2" s="2687"/>
      <c r="AN2" s="2687"/>
      <c r="AO2" s="2690"/>
      <c r="AP2" s="2689" t="s">
        <v>2725</v>
      </c>
      <c r="AQ2" s="2687"/>
      <c r="AR2" s="2687"/>
      <c r="AS2" s="2688"/>
      <c r="AT2" s="2686" t="s">
        <v>2896</v>
      </c>
      <c r="AU2" s="2687"/>
      <c r="AV2" s="2687"/>
      <c r="AW2" s="2688"/>
      <c r="AX2" s="2686" t="s">
        <v>3460</v>
      </c>
      <c r="AY2" s="2687"/>
      <c r="AZ2" s="2687"/>
      <c r="BA2" s="2688"/>
      <c r="BB2" s="2686" t="s">
        <v>4555</v>
      </c>
      <c r="BC2" s="2687"/>
      <c r="BD2" s="2687"/>
      <c r="BE2" s="2688"/>
      <c r="BF2" s="2686" t="s">
        <v>5918</v>
      </c>
      <c r="BG2" s="2687"/>
      <c r="BH2" s="2687"/>
      <c r="BI2" s="2688"/>
      <c r="BJ2" s="2686" t="s">
        <v>6816</v>
      </c>
      <c r="BK2" s="2687"/>
      <c r="BL2" s="2687"/>
      <c r="BM2" s="2690"/>
      <c r="BN2" s="2686" t="s">
        <v>11920</v>
      </c>
      <c r="BO2" s="2687"/>
      <c r="BP2" s="2687"/>
      <c r="BQ2" s="2690"/>
      <c r="BS2" s="1398" t="s">
        <v>3396</v>
      </c>
      <c r="BT2" s="1398"/>
      <c r="BU2" s="1398"/>
      <c r="BV2" s="1398"/>
      <c r="BW2" s="1398"/>
      <c r="BX2" s="1398"/>
      <c r="BY2" s="1398"/>
      <c r="BZ2" s="1398"/>
      <c r="CA2" s="1398"/>
      <c r="CB2" s="34"/>
      <c r="CC2" s="34"/>
      <c r="CD2" s="34"/>
      <c r="CE2" s="34"/>
      <c r="CF2" s="34"/>
      <c r="CG2" s="2685"/>
      <c r="CH2" s="2685"/>
      <c r="CI2" s="2685"/>
      <c r="CJ2" s="2685"/>
      <c r="CK2" s="2685"/>
      <c r="CL2" s="2685"/>
      <c r="CM2" s="2685"/>
      <c r="CN2" s="2685"/>
      <c r="CO2" s="2685"/>
    </row>
    <row r="3" spans="1:102" s="246" customFormat="1" ht="15" customHeight="1" thickBot="1" x14ac:dyDescent="0.25">
      <c r="A3" s="682"/>
      <c r="B3" s="1296" t="s">
        <v>4957</v>
      </c>
      <c r="C3" s="1296" t="s">
        <v>4958</v>
      </c>
      <c r="D3" s="1297" t="s">
        <v>4021</v>
      </c>
      <c r="E3" s="196" t="str">
        <f>'Cap-Gen'!E3</f>
        <v>2015/16</v>
      </c>
      <c r="F3" s="250" t="str">
        <f>'Cap-Gen'!F3</f>
        <v>2016/17</v>
      </c>
      <c r="G3" s="2183" t="str">
        <f>'Cap-Gen'!G3</f>
        <v>2017/18</v>
      </c>
      <c r="H3" s="510" t="str">
        <f>'Cap-Gen'!H3</f>
        <v>2018/19</v>
      </c>
      <c r="I3" s="510" t="str">
        <f>'Cap-Gen'!I3</f>
        <v>2019/20</v>
      </c>
      <c r="J3" s="510" t="str">
        <f>'Cap-Gen'!J3</f>
        <v>2020/21</v>
      </c>
      <c r="K3" s="510" t="str">
        <f>'Cap-Gen'!K3</f>
        <v>2021/22</v>
      </c>
      <c r="L3" s="510" t="str">
        <f>'Cap-Gen'!L3</f>
        <v>2022/23</v>
      </c>
      <c r="M3" s="510" t="str">
        <f>'Cap-Gen'!M3</f>
        <v>2023/24</v>
      </c>
      <c r="N3" s="510" t="str">
        <f>'Cap-Gen'!N3</f>
        <v>2024/25</v>
      </c>
      <c r="O3" s="510" t="str">
        <f>'Cap-Gen'!O3</f>
        <v>2025/26</v>
      </c>
      <c r="P3" s="510" t="str">
        <f>'Cap-Gen'!P3</f>
        <v>2026/27</v>
      </c>
      <c r="Q3" s="1054" t="str">
        <f>'Cap-Gen'!Q3</f>
        <v>2027/28</v>
      </c>
      <c r="R3" s="244" t="s">
        <v>2251</v>
      </c>
      <c r="S3" s="196" t="s">
        <v>848</v>
      </c>
      <c r="T3" s="196" t="s">
        <v>2042</v>
      </c>
      <c r="U3" s="2144" t="s">
        <v>2290</v>
      </c>
      <c r="V3" s="244" t="str">
        <f t="shared" ref="V3:AG3" si="0">R3</f>
        <v>Grants</v>
      </c>
      <c r="W3" s="250" t="str">
        <f t="shared" si="0"/>
        <v>Sect 64</v>
      </c>
      <c r="X3" s="250" t="str">
        <f t="shared" si="0"/>
        <v>Loans</v>
      </c>
      <c r="Y3" s="2144" t="str">
        <f t="shared" si="0"/>
        <v>Reserves</v>
      </c>
      <c r="Z3" s="244" t="str">
        <f t="shared" si="0"/>
        <v>Grants</v>
      </c>
      <c r="AA3" s="250" t="str">
        <f t="shared" si="0"/>
        <v>Sect 64</v>
      </c>
      <c r="AB3" s="250" t="str">
        <f t="shared" si="0"/>
        <v>Loans</v>
      </c>
      <c r="AC3" s="2144" t="str">
        <f t="shared" si="0"/>
        <v>Reserves</v>
      </c>
      <c r="AD3" s="244" t="str">
        <f t="shared" si="0"/>
        <v>Grants</v>
      </c>
      <c r="AE3" s="196" t="str">
        <f t="shared" si="0"/>
        <v>Sect 64</v>
      </c>
      <c r="AF3" s="196" t="str">
        <f t="shared" si="0"/>
        <v>Loans</v>
      </c>
      <c r="AG3" s="1681" t="str">
        <f t="shared" si="0"/>
        <v>Reserves</v>
      </c>
      <c r="AH3" s="244" t="str">
        <f t="shared" ref="AH3:AS3" si="1">AD3</f>
        <v>Grants</v>
      </c>
      <c r="AI3" s="250" t="str">
        <f t="shared" si="1"/>
        <v>Sect 64</v>
      </c>
      <c r="AJ3" s="250" t="str">
        <f t="shared" si="1"/>
        <v>Loans</v>
      </c>
      <c r="AK3" s="1681" t="str">
        <f t="shared" si="1"/>
        <v>Reserves</v>
      </c>
      <c r="AL3" s="250" t="str">
        <f t="shared" si="1"/>
        <v>Grants</v>
      </c>
      <c r="AM3" s="250" t="str">
        <f t="shared" si="1"/>
        <v>Sect 64</v>
      </c>
      <c r="AN3" s="250" t="str">
        <f t="shared" si="1"/>
        <v>Loans</v>
      </c>
      <c r="AO3" s="197" t="str">
        <f t="shared" si="1"/>
        <v>Reserves</v>
      </c>
      <c r="AP3" s="250" t="str">
        <f t="shared" si="1"/>
        <v>Grants</v>
      </c>
      <c r="AQ3" s="250" t="str">
        <f t="shared" si="1"/>
        <v>Sect 64</v>
      </c>
      <c r="AR3" s="250" t="str">
        <f t="shared" si="1"/>
        <v>Loans</v>
      </c>
      <c r="AS3" s="1681" t="str">
        <f t="shared" si="1"/>
        <v>Reserves</v>
      </c>
      <c r="AT3" s="244" t="str">
        <f t="shared" ref="AT3:BA3" si="2">AP3</f>
        <v>Grants</v>
      </c>
      <c r="AU3" s="250" t="str">
        <f t="shared" si="2"/>
        <v>Sect 64</v>
      </c>
      <c r="AV3" s="250" t="str">
        <f t="shared" si="2"/>
        <v>Loans</v>
      </c>
      <c r="AW3" s="1681" t="str">
        <f t="shared" si="2"/>
        <v>Reserves</v>
      </c>
      <c r="AX3" s="244" t="str">
        <f t="shared" si="2"/>
        <v>Grants</v>
      </c>
      <c r="AY3" s="250" t="str">
        <f t="shared" si="2"/>
        <v>Sect 64</v>
      </c>
      <c r="AZ3" s="250" t="str">
        <f t="shared" si="2"/>
        <v>Loans</v>
      </c>
      <c r="BA3" s="1681" t="str">
        <f t="shared" si="2"/>
        <v>Reserves</v>
      </c>
      <c r="BB3" s="244" t="str">
        <f t="shared" ref="BB3" si="3">AX3</f>
        <v>Grants</v>
      </c>
      <c r="BC3" s="250" t="str">
        <f t="shared" ref="BC3" si="4">AY3</f>
        <v>Sect 64</v>
      </c>
      <c r="BD3" s="250" t="str">
        <f t="shared" ref="BD3" si="5">AZ3</f>
        <v>Loans</v>
      </c>
      <c r="BE3" s="1681" t="str">
        <f t="shared" ref="BE3" si="6">BA3</f>
        <v>Reserves</v>
      </c>
      <c r="BF3" s="244" t="str">
        <f t="shared" ref="BF3" si="7">BB3</f>
        <v>Grants</v>
      </c>
      <c r="BG3" s="250" t="str">
        <f t="shared" ref="BG3" si="8">BC3</f>
        <v>Sect 64</v>
      </c>
      <c r="BH3" s="250" t="str">
        <f t="shared" ref="BH3" si="9">BD3</f>
        <v>Loans</v>
      </c>
      <c r="BI3" s="1681" t="str">
        <f t="shared" ref="BI3" si="10">BE3</f>
        <v>Reserves</v>
      </c>
      <c r="BJ3" s="244" t="str">
        <f t="shared" ref="BJ3" si="11">BF3</f>
        <v>Grants</v>
      </c>
      <c r="BK3" s="250" t="str">
        <f t="shared" ref="BK3" si="12">BG3</f>
        <v>Sect 64</v>
      </c>
      <c r="BL3" s="250" t="str">
        <f t="shared" ref="BL3" si="13">BH3</f>
        <v>Loans</v>
      </c>
      <c r="BM3" s="197" t="str">
        <f t="shared" ref="BM3" si="14">BI3</f>
        <v>Reserves</v>
      </c>
      <c r="BN3" s="244" t="str">
        <f t="shared" ref="BN3" si="15">BJ3</f>
        <v>Grants</v>
      </c>
      <c r="BO3" s="250" t="str">
        <f t="shared" ref="BO3" si="16">BK3</f>
        <v>Sect 64</v>
      </c>
      <c r="BP3" s="250" t="str">
        <f t="shared" ref="BP3" si="17">BL3</f>
        <v>Loans</v>
      </c>
      <c r="BQ3" s="197" t="str">
        <f t="shared" ref="BQ3" si="18">BM3</f>
        <v>Reserves</v>
      </c>
      <c r="BS3" s="1679" t="str">
        <f t="shared" ref="BS3:CE3" si="19">E3</f>
        <v>2015/16</v>
      </c>
      <c r="BT3" s="1679" t="str">
        <f t="shared" si="19"/>
        <v>2016/17</v>
      </c>
      <c r="BU3" s="1679" t="str">
        <f t="shared" si="19"/>
        <v>2017/18</v>
      </c>
      <c r="BV3" s="1679" t="str">
        <f t="shared" si="19"/>
        <v>2018/19</v>
      </c>
      <c r="BW3" s="1679" t="str">
        <f t="shared" si="19"/>
        <v>2019/20</v>
      </c>
      <c r="BX3" s="1679" t="str">
        <f t="shared" si="19"/>
        <v>2020/21</v>
      </c>
      <c r="BY3" s="1679" t="str">
        <f t="shared" si="19"/>
        <v>2021/22</v>
      </c>
      <c r="BZ3" s="1679" t="str">
        <f t="shared" si="19"/>
        <v>2022/23</v>
      </c>
      <c r="CA3" s="1679" t="str">
        <f t="shared" si="19"/>
        <v>2023/24</v>
      </c>
      <c r="CB3" s="1679" t="str">
        <f t="shared" si="19"/>
        <v>2024/25</v>
      </c>
      <c r="CC3" s="1679" t="str">
        <f t="shared" si="19"/>
        <v>2025/26</v>
      </c>
      <c r="CD3" s="1679" t="str">
        <f t="shared" si="19"/>
        <v>2026/27</v>
      </c>
      <c r="CE3" s="2235" t="str">
        <f t="shared" si="19"/>
        <v>2027/28</v>
      </c>
      <c r="CF3" s="1679"/>
      <c r="CG3" s="1679" t="str">
        <f t="shared" ref="CG3:CS3" si="20">BS3</f>
        <v>2015/16</v>
      </c>
      <c r="CH3" s="1679" t="str">
        <f t="shared" si="20"/>
        <v>2016/17</v>
      </c>
      <c r="CI3" s="1679" t="str">
        <f t="shared" si="20"/>
        <v>2017/18</v>
      </c>
      <c r="CJ3" s="1679" t="str">
        <f t="shared" si="20"/>
        <v>2018/19</v>
      </c>
      <c r="CK3" s="1679" t="str">
        <f t="shared" si="20"/>
        <v>2019/20</v>
      </c>
      <c r="CL3" s="1679" t="str">
        <f t="shared" si="20"/>
        <v>2020/21</v>
      </c>
      <c r="CM3" s="1679" t="str">
        <f t="shared" si="20"/>
        <v>2021/22</v>
      </c>
      <c r="CN3" s="1679" t="str">
        <f t="shared" si="20"/>
        <v>2022/23</v>
      </c>
      <c r="CO3" s="1679" t="str">
        <f t="shared" si="20"/>
        <v>2023/24</v>
      </c>
      <c r="CP3" s="1679" t="str">
        <f t="shared" si="20"/>
        <v>2024/25</v>
      </c>
      <c r="CQ3" s="1679" t="str">
        <f t="shared" si="20"/>
        <v>2025/26</v>
      </c>
      <c r="CR3" s="1679" t="str">
        <f t="shared" si="20"/>
        <v>2026/27</v>
      </c>
      <c r="CS3" s="2235" t="str">
        <f t="shared" si="20"/>
        <v>2027/28</v>
      </c>
    </row>
    <row r="4" spans="1:102" s="246" customFormat="1" ht="15" customHeight="1" x14ac:dyDescent="0.2">
      <c r="A4" s="933"/>
      <c r="B4" s="440"/>
      <c r="C4" s="440"/>
      <c r="D4" s="440"/>
      <c r="E4" s="126"/>
      <c r="F4" s="1182"/>
      <c r="G4" s="2164"/>
      <c r="H4" s="150"/>
      <c r="I4" s="152"/>
      <c r="J4" s="152"/>
      <c r="K4" s="152"/>
      <c r="L4" s="152"/>
      <c r="M4" s="150"/>
      <c r="N4" s="150"/>
      <c r="O4" s="150"/>
      <c r="P4" s="150"/>
      <c r="Q4" s="1298"/>
      <c r="R4" s="441"/>
      <c r="S4" s="210"/>
      <c r="T4" s="210"/>
      <c r="U4" s="195"/>
      <c r="V4" s="441"/>
      <c r="W4" s="440"/>
      <c r="X4" s="440"/>
      <c r="Y4" s="195"/>
      <c r="Z4" s="441"/>
      <c r="AA4" s="440"/>
      <c r="AB4" s="440"/>
      <c r="AC4" s="195"/>
      <c r="AD4" s="441"/>
      <c r="AE4" s="210"/>
      <c r="AF4" s="210"/>
      <c r="AG4" s="195"/>
      <c r="AH4" s="441"/>
      <c r="AI4" s="440"/>
      <c r="AJ4" s="440"/>
      <c r="AK4" s="195"/>
      <c r="AL4" s="440"/>
      <c r="AM4" s="440"/>
      <c r="AN4" s="442"/>
      <c r="AO4" s="318"/>
      <c r="AP4" s="440"/>
      <c r="AQ4" s="440"/>
      <c r="AR4" s="440"/>
      <c r="AS4" s="195"/>
      <c r="AT4" s="441"/>
      <c r="AU4" s="440"/>
      <c r="AV4" s="440"/>
      <c r="AW4" s="195"/>
      <c r="AX4" s="441"/>
      <c r="AY4" s="440"/>
      <c r="AZ4" s="440"/>
      <c r="BA4" s="195"/>
      <c r="BB4" s="441"/>
      <c r="BC4" s="440"/>
      <c r="BD4" s="440"/>
      <c r="BE4" s="195"/>
      <c r="BF4" s="441"/>
      <c r="BG4" s="440"/>
      <c r="BH4" s="440"/>
      <c r="BI4" s="195"/>
      <c r="BJ4" s="441"/>
      <c r="BK4" s="440"/>
      <c r="BL4" s="440"/>
      <c r="BM4" s="318"/>
      <c r="BN4" s="441"/>
      <c r="BO4" s="440"/>
      <c r="BP4" s="440"/>
      <c r="BQ4" s="318"/>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row>
    <row r="5" spans="1:102" s="772" customFormat="1" x14ac:dyDescent="0.2">
      <c r="A5" s="666"/>
      <c r="B5" s="371"/>
      <c r="C5" s="371"/>
      <c r="D5" s="371"/>
      <c r="E5" s="1199"/>
      <c r="F5" s="1199"/>
      <c r="G5" s="2184"/>
      <c r="H5" s="1199"/>
      <c r="I5" s="1199"/>
      <c r="J5" s="1199"/>
      <c r="K5" s="1199"/>
      <c r="L5" s="1199"/>
      <c r="M5" s="1200"/>
      <c r="N5" s="1200"/>
      <c r="O5" s="1200"/>
      <c r="P5" s="1200"/>
      <c r="Q5" s="1288"/>
      <c r="R5" s="1286"/>
      <c r="S5" s="434"/>
      <c r="T5" s="434"/>
      <c r="U5" s="609"/>
      <c r="V5" s="1286"/>
      <c r="W5" s="434"/>
      <c r="X5" s="436"/>
      <c r="Y5" s="437"/>
      <c r="Z5" s="1286"/>
      <c r="AA5" s="434"/>
      <c r="AB5" s="436"/>
      <c r="AC5" s="437"/>
      <c r="AD5" s="607"/>
      <c r="AE5" s="434"/>
      <c r="AF5" s="434"/>
      <c r="AG5" s="437"/>
      <c r="AH5" s="1286"/>
      <c r="AI5" s="434"/>
      <c r="AJ5" s="436"/>
      <c r="AK5" s="437"/>
      <c r="AL5" s="436"/>
      <c r="AM5" s="434"/>
      <c r="AN5" s="436"/>
      <c r="AO5" s="1131"/>
      <c r="AP5" s="436"/>
      <c r="AQ5" s="434"/>
      <c r="AR5" s="436"/>
      <c r="AS5" s="437"/>
      <c r="AT5" s="1286"/>
      <c r="AU5" s="434"/>
      <c r="AV5" s="436"/>
      <c r="AW5" s="437"/>
      <c r="AX5" s="1286"/>
      <c r="AY5" s="434"/>
      <c r="AZ5" s="436"/>
      <c r="BA5" s="437"/>
      <c r="BB5" s="1286"/>
      <c r="BC5" s="434"/>
      <c r="BD5" s="436"/>
      <c r="BE5" s="437"/>
      <c r="BF5" s="1286"/>
      <c r="BG5" s="434"/>
      <c r="BH5" s="436"/>
      <c r="BI5" s="437"/>
      <c r="BJ5" s="1286"/>
      <c r="BK5" s="434"/>
      <c r="BL5" s="436"/>
      <c r="BM5" s="1131"/>
      <c r="BN5" s="1286"/>
      <c r="BO5" s="434"/>
      <c r="BP5" s="436"/>
      <c r="BQ5" s="1131"/>
      <c r="BR5" s="1300"/>
      <c r="BS5" s="833"/>
      <c r="BT5" s="833"/>
      <c r="BU5" s="833"/>
      <c r="BV5" s="833"/>
      <c r="BW5" s="833"/>
      <c r="BX5" s="833"/>
      <c r="BY5" s="833"/>
      <c r="BZ5" s="833"/>
      <c r="CA5" s="833"/>
      <c r="CB5" s="833"/>
      <c r="CC5" s="833"/>
      <c r="CD5" s="833"/>
      <c r="CE5" s="833"/>
      <c r="CF5" s="833"/>
      <c r="CG5" s="46"/>
      <c r="CH5" s="46"/>
      <c r="CI5" s="46"/>
      <c r="CJ5" s="46"/>
      <c r="CK5" s="46"/>
      <c r="CL5" s="46"/>
      <c r="CM5" s="46"/>
      <c r="CN5" s="46"/>
      <c r="CO5" s="46"/>
      <c r="CP5" s="46"/>
      <c r="CQ5" s="46"/>
      <c r="CR5" s="46"/>
      <c r="CS5" s="46"/>
      <c r="CT5" s="1300"/>
      <c r="CU5" s="1300"/>
      <c r="CV5" s="1300"/>
      <c r="CW5" s="1300"/>
      <c r="CX5" s="1300"/>
    </row>
    <row r="6" spans="1:102" s="772" customFormat="1" x14ac:dyDescent="0.2">
      <c r="A6" s="776" t="s">
        <v>4585</v>
      </c>
      <c r="B6" s="371"/>
      <c r="C6" s="371"/>
      <c r="D6" s="371"/>
      <c r="E6" s="1199"/>
      <c r="F6" s="1199"/>
      <c r="G6" s="2184"/>
      <c r="H6" s="1199"/>
      <c r="I6" s="1199"/>
      <c r="J6" s="1199"/>
      <c r="K6" s="1199"/>
      <c r="L6" s="1199"/>
      <c r="M6" s="1200"/>
      <c r="N6" s="1200"/>
      <c r="O6" s="1200"/>
      <c r="P6" s="1200"/>
      <c r="Q6" s="1288"/>
      <c r="R6" s="1286"/>
      <c r="S6" s="434"/>
      <c r="T6" s="434"/>
      <c r="U6" s="609"/>
      <c r="V6" s="1286"/>
      <c r="W6" s="434"/>
      <c r="X6" s="436"/>
      <c r="Y6" s="437"/>
      <c r="Z6" s="1286"/>
      <c r="AA6" s="434"/>
      <c r="AB6" s="436"/>
      <c r="AC6" s="437"/>
      <c r="AD6" s="607"/>
      <c r="AE6" s="434"/>
      <c r="AF6" s="434"/>
      <c r="AG6" s="437"/>
      <c r="AH6" s="1286"/>
      <c r="AI6" s="434"/>
      <c r="AJ6" s="436"/>
      <c r="AK6" s="437"/>
      <c r="AL6" s="436"/>
      <c r="AM6" s="434"/>
      <c r="AN6" s="436"/>
      <c r="AO6" s="1131"/>
      <c r="AP6" s="436"/>
      <c r="AQ6" s="434"/>
      <c r="AR6" s="436"/>
      <c r="AS6" s="437"/>
      <c r="AT6" s="1286"/>
      <c r="AU6" s="434"/>
      <c r="AV6" s="436"/>
      <c r="AW6" s="437"/>
      <c r="AX6" s="1286"/>
      <c r="AY6" s="434"/>
      <c r="AZ6" s="436"/>
      <c r="BA6" s="437"/>
      <c r="BB6" s="1286"/>
      <c r="BC6" s="434"/>
      <c r="BD6" s="436"/>
      <c r="BE6" s="437"/>
      <c r="BF6" s="1286"/>
      <c r="BG6" s="434"/>
      <c r="BH6" s="436"/>
      <c r="BI6" s="437"/>
      <c r="BJ6" s="1286"/>
      <c r="BK6" s="434"/>
      <c r="BL6" s="436"/>
      <c r="BM6" s="1131"/>
      <c r="BN6" s="1286"/>
      <c r="BO6" s="434"/>
      <c r="BP6" s="436"/>
      <c r="BQ6" s="1131"/>
      <c r="BR6" s="1300"/>
      <c r="BS6" s="833"/>
      <c r="BT6" s="833"/>
      <c r="BU6" s="833"/>
      <c r="BV6" s="833"/>
      <c r="BW6" s="833"/>
      <c r="BX6" s="833"/>
      <c r="BY6" s="833"/>
      <c r="BZ6" s="833"/>
      <c r="CA6" s="833"/>
      <c r="CB6" s="833"/>
      <c r="CC6" s="833"/>
      <c r="CD6" s="833"/>
      <c r="CE6" s="833"/>
      <c r="CF6" s="833"/>
      <c r="CG6" s="46"/>
      <c r="CH6" s="46"/>
      <c r="CI6" s="46"/>
      <c r="CJ6" s="46"/>
      <c r="CK6" s="46"/>
      <c r="CL6" s="46"/>
      <c r="CM6" s="46"/>
      <c r="CN6" s="46"/>
      <c r="CO6" s="46"/>
      <c r="CP6" s="46"/>
      <c r="CQ6" s="46"/>
      <c r="CR6" s="46"/>
      <c r="CS6" s="46"/>
      <c r="CT6" s="1300"/>
      <c r="CU6" s="1300"/>
      <c r="CV6" s="1300"/>
      <c r="CW6" s="1300"/>
      <c r="CX6" s="1300"/>
    </row>
    <row r="7" spans="1:102" s="247" customFormat="1" hidden="1" x14ac:dyDescent="0.2">
      <c r="A7" s="666" t="s">
        <v>5229</v>
      </c>
      <c r="B7" s="795" t="s">
        <v>4911</v>
      </c>
      <c r="C7" s="795" t="s">
        <v>4959</v>
      </c>
      <c r="D7" s="795"/>
      <c r="E7" s="1198">
        <v>48500</v>
      </c>
      <c r="F7" s="1198"/>
      <c r="G7" s="2192"/>
      <c r="H7" s="1198"/>
      <c r="I7" s="1198"/>
      <c r="J7" s="1198"/>
      <c r="K7" s="1191"/>
      <c r="L7" s="1191"/>
      <c r="M7" s="1198"/>
      <c r="N7" s="1198"/>
      <c r="O7" s="1198"/>
      <c r="P7" s="1198"/>
      <c r="Q7" s="1299"/>
      <c r="R7" s="1286"/>
      <c r="S7" s="434"/>
      <c r="T7" s="434"/>
      <c r="U7" s="609">
        <f t="shared" ref="U7:U11" si="21">$E7-R7-S7-T7</f>
        <v>48500</v>
      </c>
      <c r="V7" s="1286"/>
      <c r="W7" s="434"/>
      <c r="X7" s="436"/>
      <c r="Y7" s="437"/>
      <c r="Z7" s="1286"/>
      <c r="AA7" s="434"/>
      <c r="AB7" s="436"/>
      <c r="AC7" s="437">
        <f t="shared" ref="AC7" si="22">$G7-Z7-AA7-AB7</f>
        <v>0</v>
      </c>
      <c r="AD7" s="1286"/>
      <c r="AE7" s="434"/>
      <c r="AF7" s="434"/>
      <c r="AG7" s="437">
        <f t="shared" ref="AG7" si="23">$H7-AD7-AE7-AF7</f>
        <v>0</v>
      </c>
      <c r="AH7" s="1286"/>
      <c r="AI7" s="434"/>
      <c r="AJ7" s="436"/>
      <c r="AK7" s="437">
        <f t="shared" ref="AK7" si="24">$I7-AH7-AI7-AJ7</f>
        <v>0</v>
      </c>
      <c r="AL7" s="436"/>
      <c r="AM7" s="434"/>
      <c r="AN7" s="436"/>
      <c r="AO7" s="1131">
        <f t="shared" ref="AO7" si="25">$J7-AL7-AM7-AN7</f>
        <v>0</v>
      </c>
      <c r="AP7" s="436"/>
      <c r="AQ7" s="434"/>
      <c r="AR7" s="436"/>
      <c r="AS7" s="437">
        <f t="shared" ref="AS7" si="26">$K7-AP7-AQ7-AR7</f>
        <v>0</v>
      </c>
      <c r="AT7" s="1286"/>
      <c r="AU7" s="434"/>
      <c r="AV7" s="436"/>
      <c r="AW7" s="437">
        <f t="shared" ref="AW7" si="27">$L7-AT7-AU7-AV7</f>
        <v>0</v>
      </c>
      <c r="AX7" s="1286"/>
      <c r="AY7" s="434"/>
      <c r="AZ7" s="436"/>
      <c r="BA7" s="437">
        <f t="shared" ref="BA7" si="28">$M7-AX7-AY7-AZ7</f>
        <v>0</v>
      </c>
      <c r="BB7" s="1286"/>
      <c r="BC7" s="434"/>
      <c r="BD7" s="436"/>
      <c r="BE7" s="437">
        <f t="shared" ref="BE7" si="29">$N7-BB7-BC7-BD7</f>
        <v>0</v>
      </c>
      <c r="BF7" s="1286"/>
      <c r="BG7" s="434"/>
      <c r="BH7" s="436"/>
      <c r="BI7" s="437">
        <f t="shared" ref="BI7" si="30">$O7-BF7-BG7-BH7</f>
        <v>0</v>
      </c>
      <c r="BJ7" s="1286"/>
      <c r="BK7" s="434"/>
      <c r="BL7" s="436"/>
      <c r="BM7" s="1131">
        <f t="shared" ref="BM7" si="31">$P7-BJ7-BK7-BL7</f>
        <v>0</v>
      </c>
      <c r="BN7" s="1286"/>
      <c r="BO7" s="434"/>
      <c r="BP7" s="436"/>
      <c r="BQ7" s="1131">
        <f t="shared" ref="BQ7" si="32">$P7-BN7-BO7-BP7</f>
        <v>0</v>
      </c>
      <c r="BR7" s="1301"/>
      <c r="BS7" s="833">
        <v>1</v>
      </c>
      <c r="BT7" s="833">
        <f t="shared" ref="BT7" si="33">BS7</f>
        <v>1</v>
      </c>
      <c r="BU7" s="833">
        <f t="shared" ref="BU7" si="34">BT7</f>
        <v>1</v>
      </c>
      <c r="BV7" s="833">
        <f t="shared" ref="BV7" si="35">BU7</f>
        <v>1</v>
      </c>
      <c r="BW7" s="833">
        <f t="shared" ref="BW7" si="36">BV7</f>
        <v>1</v>
      </c>
      <c r="BX7" s="833">
        <f t="shared" ref="BX7" si="37">BW7</f>
        <v>1</v>
      </c>
      <c r="BY7" s="833">
        <f t="shared" ref="BY7" si="38">BX7</f>
        <v>1</v>
      </c>
      <c r="BZ7" s="833">
        <f t="shared" ref="BZ7" si="39">BY7</f>
        <v>1</v>
      </c>
      <c r="CA7" s="833">
        <f t="shared" ref="CA7" si="40">BZ7</f>
        <v>1</v>
      </c>
      <c r="CB7" s="833">
        <f t="shared" ref="CB7:CE7" si="41">CA7</f>
        <v>1</v>
      </c>
      <c r="CC7" s="833">
        <f t="shared" si="41"/>
        <v>1</v>
      </c>
      <c r="CD7" s="833">
        <f t="shared" si="41"/>
        <v>1</v>
      </c>
      <c r="CE7" s="833">
        <f t="shared" si="41"/>
        <v>1</v>
      </c>
      <c r="CF7" s="833"/>
      <c r="CG7" s="46">
        <f t="shared" ref="CG7:CS9" si="42">ROUND(BS7*E7,-3)</f>
        <v>49000</v>
      </c>
      <c r="CH7" s="46">
        <f t="shared" si="42"/>
        <v>0</v>
      </c>
      <c r="CI7" s="46">
        <f t="shared" si="42"/>
        <v>0</v>
      </c>
      <c r="CJ7" s="46">
        <f t="shared" si="42"/>
        <v>0</v>
      </c>
      <c r="CK7" s="46">
        <f t="shared" si="42"/>
        <v>0</v>
      </c>
      <c r="CL7" s="46">
        <f t="shared" si="42"/>
        <v>0</v>
      </c>
      <c r="CM7" s="46">
        <f t="shared" si="42"/>
        <v>0</v>
      </c>
      <c r="CN7" s="46">
        <f t="shared" si="42"/>
        <v>0</v>
      </c>
      <c r="CO7" s="46">
        <f t="shared" si="42"/>
        <v>0</v>
      </c>
      <c r="CP7" s="46">
        <f t="shared" si="42"/>
        <v>0</v>
      </c>
      <c r="CQ7" s="46">
        <f t="shared" si="42"/>
        <v>0</v>
      </c>
      <c r="CR7" s="46">
        <f t="shared" si="42"/>
        <v>0</v>
      </c>
      <c r="CS7" s="46">
        <f t="shared" si="42"/>
        <v>0</v>
      </c>
      <c r="CT7" s="1301"/>
      <c r="CU7" s="1301"/>
      <c r="CV7" s="1301"/>
      <c r="CW7" s="1301"/>
      <c r="CX7" s="1301"/>
    </row>
    <row r="8" spans="1:102" s="247" customFormat="1" hidden="1" x14ac:dyDescent="0.2">
      <c r="A8" s="666" t="s">
        <v>4828</v>
      </c>
      <c r="B8" s="795" t="s">
        <v>3928</v>
      </c>
      <c r="C8" s="795" t="s">
        <v>4049</v>
      </c>
      <c r="D8" s="795"/>
      <c r="E8" s="1198">
        <v>606100</v>
      </c>
      <c r="F8" s="1198"/>
      <c r="G8" s="2192"/>
      <c r="H8" s="1198"/>
      <c r="I8" s="1198"/>
      <c r="J8" s="1198"/>
      <c r="K8" s="1191"/>
      <c r="L8" s="1191"/>
      <c r="M8" s="1198"/>
      <c r="N8" s="1198"/>
      <c r="O8" s="1198"/>
      <c r="P8" s="1198"/>
      <c r="Q8" s="1299"/>
      <c r="R8" s="1286"/>
      <c r="S8" s="434"/>
      <c r="T8" s="434"/>
      <c r="U8" s="609">
        <f t="shared" si="21"/>
        <v>606100</v>
      </c>
      <c r="V8" s="1286"/>
      <c r="W8" s="434"/>
      <c r="X8" s="436"/>
      <c r="Y8" s="437">
        <f t="shared" ref="Y8" si="43">$F8-V8-W8-X8</f>
        <v>0</v>
      </c>
      <c r="Z8" s="1286"/>
      <c r="AA8" s="434"/>
      <c r="AB8" s="436"/>
      <c r="AC8" s="437">
        <f t="shared" ref="AC8" si="44">$G8-Z8-AA8-AB8</f>
        <v>0</v>
      </c>
      <c r="AD8" s="1286"/>
      <c r="AE8" s="434"/>
      <c r="AF8" s="434"/>
      <c r="AG8" s="437">
        <f t="shared" ref="AG8" si="45">$H8-AD8-AE8-AF8</f>
        <v>0</v>
      </c>
      <c r="AH8" s="1286"/>
      <c r="AI8" s="434"/>
      <c r="AJ8" s="436"/>
      <c r="AK8" s="437">
        <f t="shared" ref="AK8" si="46">$I8-AH8-AI8-AJ8</f>
        <v>0</v>
      </c>
      <c r="AL8" s="436"/>
      <c r="AM8" s="434"/>
      <c r="AN8" s="436"/>
      <c r="AO8" s="1131">
        <f t="shared" ref="AO8" si="47">$J8-AL8-AM8-AN8</f>
        <v>0</v>
      </c>
      <c r="AP8" s="436"/>
      <c r="AQ8" s="434"/>
      <c r="AR8" s="436"/>
      <c r="AS8" s="437">
        <f t="shared" ref="AS8" si="48">$K8-AP8-AQ8-AR8</f>
        <v>0</v>
      </c>
      <c r="AT8" s="1286"/>
      <c r="AU8" s="434"/>
      <c r="AV8" s="436"/>
      <c r="AW8" s="437">
        <f t="shared" ref="AW8" si="49">$L8-AT8-AU8-AV8</f>
        <v>0</v>
      </c>
      <c r="AX8" s="1286"/>
      <c r="AY8" s="434"/>
      <c r="AZ8" s="436"/>
      <c r="BA8" s="437">
        <f t="shared" ref="BA8" si="50">$M8-AX8-AY8-AZ8</f>
        <v>0</v>
      </c>
      <c r="BB8" s="1286"/>
      <c r="BC8" s="434"/>
      <c r="BD8" s="436"/>
      <c r="BE8" s="437">
        <f t="shared" ref="BE8" si="51">$N8-BB8-BC8-BD8</f>
        <v>0</v>
      </c>
      <c r="BF8" s="1286"/>
      <c r="BG8" s="434"/>
      <c r="BH8" s="436"/>
      <c r="BI8" s="437">
        <f t="shared" ref="BI8" si="52">$O8-BF8-BG8-BH8</f>
        <v>0</v>
      </c>
      <c r="BJ8" s="1286"/>
      <c r="BK8" s="434"/>
      <c r="BL8" s="436"/>
      <c r="BM8" s="1131">
        <f>$P8-BJ8-BK8-BL8</f>
        <v>0</v>
      </c>
      <c r="BN8" s="1286"/>
      <c r="BO8" s="434"/>
      <c r="BP8" s="436"/>
      <c r="BQ8" s="1131">
        <f>$P8-BN8-BO8-BP8</f>
        <v>0</v>
      </c>
      <c r="BR8" s="1301"/>
      <c r="BS8" s="833">
        <v>1</v>
      </c>
      <c r="BT8" s="833">
        <f t="shared" ref="BT8:CE8" si="53">BS8</f>
        <v>1</v>
      </c>
      <c r="BU8" s="833">
        <f t="shared" si="53"/>
        <v>1</v>
      </c>
      <c r="BV8" s="833">
        <f t="shared" si="53"/>
        <v>1</v>
      </c>
      <c r="BW8" s="833">
        <f t="shared" si="53"/>
        <v>1</v>
      </c>
      <c r="BX8" s="833">
        <f t="shared" si="53"/>
        <v>1</v>
      </c>
      <c r="BY8" s="833">
        <f t="shared" si="53"/>
        <v>1</v>
      </c>
      <c r="BZ8" s="833">
        <f t="shared" si="53"/>
        <v>1</v>
      </c>
      <c r="CA8" s="833">
        <f t="shared" si="53"/>
        <v>1</v>
      </c>
      <c r="CB8" s="833">
        <f t="shared" si="53"/>
        <v>1</v>
      </c>
      <c r="CC8" s="833">
        <f t="shared" si="53"/>
        <v>1</v>
      </c>
      <c r="CD8" s="833">
        <f t="shared" si="53"/>
        <v>1</v>
      </c>
      <c r="CE8" s="833">
        <f t="shared" si="53"/>
        <v>1</v>
      </c>
      <c r="CF8" s="833"/>
      <c r="CG8" s="46">
        <f t="shared" si="42"/>
        <v>606000</v>
      </c>
      <c r="CH8" s="46">
        <f t="shared" si="42"/>
        <v>0</v>
      </c>
      <c r="CI8" s="46">
        <f t="shared" si="42"/>
        <v>0</v>
      </c>
      <c r="CJ8" s="46">
        <f t="shared" si="42"/>
        <v>0</v>
      </c>
      <c r="CK8" s="46">
        <f t="shared" si="42"/>
        <v>0</v>
      </c>
      <c r="CL8" s="46">
        <f t="shared" si="42"/>
        <v>0</v>
      </c>
      <c r="CM8" s="46">
        <f t="shared" si="42"/>
        <v>0</v>
      </c>
      <c r="CN8" s="46">
        <f t="shared" si="42"/>
        <v>0</v>
      </c>
      <c r="CO8" s="46">
        <f t="shared" si="42"/>
        <v>0</v>
      </c>
      <c r="CP8" s="46">
        <f t="shared" si="42"/>
        <v>0</v>
      </c>
      <c r="CQ8" s="46">
        <f t="shared" si="42"/>
        <v>0</v>
      </c>
      <c r="CR8" s="46">
        <f t="shared" si="42"/>
        <v>0</v>
      </c>
      <c r="CS8" s="46">
        <f t="shared" si="42"/>
        <v>0</v>
      </c>
      <c r="CT8" s="1301"/>
      <c r="CU8" s="1301"/>
      <c r="CV8" s="1301"/>
      <c r="CW8" s="1301"/>
      <c r="CX8" s="1301"/>
    </row>
    <row r="9" spans="1:102" s="247" customFormat="1" x14ac:dyDescent="0.2">
      <c r="A9" s="1113" t="s">
        <v>4917</v>
      </c>
      <c r="B9" s="795" t="s">
        <v>4994</v>
      </c>
      <c r="C9" s="795" t="s">
        <v>4995</v>
      </c>
      <c r="D9" s="795" t="s">
        <v>4995</v>
      </c>
      <c r="E9" s="1198"/>
      <c r="F9" s="1198">
        <v>218400</v>
      </c>
      <c r="G9" s="2184">
        <f>634000-332400</f>
        <v>301600</v>
      </c>
      <c r="H9" s="1198">
        <v>706000</v>
      </c>
      <c r="I9" s="1198">
        <v>784000</v>
      </c>
      <c r="J9" s="1198">
        <v>937000</v>
      </c>
      <c r="K9" s="1198">
        <v>958000</v>
      </c>
      <c r="L9" s="1198">
        <v>1053000</v>
      </c>
      <c r="M9" s="1198">
        <v>1154000</v>
      </c>
      <c r="N9" s="1198">
        <v>1260000</v>
      </c>
      <c r="O9" s="1198">
        <f>ROUND((N9*Assumptions!P$6+N9),-3)</f>
        <v>1292000</v>
      </c>
      <c r="P9" s="1198">
        <f>ROUND((O9*Assumptions!Q$6+O9),-3)</f>
        <v>1324000</v>
      </c>
      <c r="Q9" s="1191">
        <f>ROUND((P9*Assumptions!R$6+P9),-3)</f>
        <v>1357000</v>
      </c>
      <c r="R9" s="1286"/>
      <c r="S9" s="434"/>
      <c r="T9" s="434"/>
      <c r="U9" s="609">
        <f t="shared" si="21"/>
        <v>0</v>
      </c>
      <c r="V9" s="1286"/>
      <c r="W9" s="434"/>
      <c r="X9" s="436"/>
      <c r="Y9" s="437">
        <f>$F9-V9-W9-X9</f>
        <v>218400</v>
      </c>
      <c r="Z9" s="1286"/>
      <c r="AA9" s="434"/>
      <c r="AB9" s="436"/>
      <c r="AC9" s="437">
        <f t="shared" ref="AC9:AC11" si="54">$G9-Z9-AA9-AB9</f>
        <v>301600</v>
      </c>
      <c r="AD9" s="1286"/>
      <c r="AE9" s="434"/>
      <c r="AF9" s="434"/>
      <c r="AG9" s="437">
        <f t="shared" ref="AG9:AG11" si="55">$H9-AD9-AE9-AF9</f>
        <v>706000</v>
      </c>
      <c r="AH9" s="1286"/>
      <c r="AI9" s="434"/>
      <c r="AJ9" s="436"/>
      <c r="AK9" s="437">
        <f t="shared" ref="AK9:AK11" si="56">$I9-AH9-AI9-AJ9</f>
        <v>784000</v>
      </c>
      <c r="AL9" s="436"/>
      <c r="AM9" s="434"/>
      <c r="AN9" s="436"/>
      <c r="AO9" s="1131">
        <f t="shared" ref="AO9:AO11" si="57">$J9-AL9-AM9-AN9</f>
        <v>937000</v>
      </c>
      <c r="AP9" s="436"/>
      <c r="AQ9" s="434"/>
      <c r="AR9" s="436"/>
      <c r="AS9" s="437">
        <f t="shared" ref="AS9:AS11" si="58">$K9-AP9-AQ9-AR9</f>
        <v>958000</v>
      </c>
      <c r="AT9" s="1286"/>
      <c r="AU9" s="434"/>
      <c r="AV9" s="436"/>
      <c r="AW9" s="437">
        <f t="shared" ref="AW9:AW11" si="59">$L9-AT9-AU9-AV9</f>
        <v>1053000</v>
      </c>
      <c r="AX9" s="1286"/>
      <c r="AY9" s="434"/>
      <c r="AZ9" s="436"/>
      <c r="BA9" s="437">
        <f t="shared" ref="BA9:BA11" si="60">$M9-AX9-AY9-AZ9</f>
        <v>1154000</v>
      </c>
      <c r="BB9" s="1286"/>
      <c r="BC9" s="434"/>
      <c r="BD9" s="436"/>
      <c r="BE9" s="437">
        <f t="shared" ref="BE9:BE11" si="61">$N9-BB9-BC9-BD9</f>
        <v>1260000</v>
      </c>
      <c r="BF9" s="1286"/>
      <c r="BG9" s="434"/>
      <c r="BH9" s="436"/>
      <c r="BI9" s="437">
        <f t="shared" ref="BI9:BI11" si="62">$O9-BF9-BG9-BH9</f>
        <v>1292000</v>
      </c>
      <c r="BJ9" s="1286"/>
      <c r="BK9" s="434"/>
      <c r="BL9" s="436"/>
      <c r="BM9" s="1131">
        <f t="shared" ref="BM9:BM11" si="63">$P9-BJ9-BK9-BL9</f>
        <v>1324000</v>
      </c>
      <c r="BN9" s="1286"/>
      <c r="BO9" s="434"/>
      <c r="BP9" s="436"/>
      <c r="BQ9" s="1131">
        <f>$Q9-BN9-BO9-BP9</f>
        <v>1357000</v>
      </c>
      <c r="BR9" s="1301"/>
      <c r="BS9" s="833">
        <v>1</v>
      </c>
      <c r="BT9" s="833">
        <f t="shared" ref="BT9:CE9" si="64">BS9</f>
        <v>1</v>
      </c>
      <c r="BU9" s="833">
        <f t="shared" si="64"/>
        <v>1</v>
      </c>
      <c r="BV9" s="833">
        <f t="shared" si="64"/>
        <v>1</v>
      </c>
      <c r="BW9" s="833">
        <f t="shared" si="64"/>
        <v>1</v>
      </c>
      <c r="BX9" s="833">
        <f t="shared" si="64"/>
        <v>1</v>
      </c>
      <c r="BY9" s="833">
        <f t="shared" si="64"/>
        <v>1</v>
      </c>
      <c r="BZ9" s="833">
        <f t="shared" si="64"/>
        <v>1</v>
      </c>
      <c r="CA9" s="833">
        <f t="shared" si="64"/>
        <v>1</v>
      </c>
      <c r="CB9" s="833">
        <f t="shared" si="64"/>
        <v>1</v>
      </c>
      <c r="CC9" s="833">
        <f t="shared" si="64"/>
        <v>1</v>
      </c>
      <c r="CD9" s="833">
        <f t="shared" si="64"/>
        <v>1</v>
      </c>
      <c r="CE9" s="833">
        <f t="shared" si="64"/>
        <v>1</v>
      </c>
      <c r="CF9" s="833"/>
      <c r="CG9" s="46">
        <f t="shared" si="42"/>
        <v>0</v>
      </c>
      <c r="CH9" s="46">
        <f t="shared" si="42"/>
        <v>218000</v>
      </c>
      <c r="CI9" s="46">
        <f t="shared" si="42"/>
        <v>302000</v>
      </c>
      <c r="CJ9" s="46">
        <f t="shared" si="42"/>
        <v>706000</v>
      </c>
      <c r="CK9" s="46">
        <f t="shared" si="42"/>
        <v>784000</v>
      </c>
      <c r="CL9" s="46">
        <f t="shared" si="42"/>
        <v>937000</v>
      </c>
      <c r="CM9" s="46">
        <f t="shared" si="42"/>
        <v>958000</v>
      </c>
      <c r="CN9" s="46">
        <f t="shared" si="42"/>
        <v>1053000</v>
      </c>
      <c r="CO9" s="46">
        <f t="shared" si="42"/>
        <v>1154000</v>
      </c>
      <c r="CP9" s="46">
        <f t="shared" si="42"/>
        <v>1260000</v>
      </c>
      <c r="CQ9" s="46">
        <f t="shared" si="42"/>
        <v>1292000</v>
      </c>
      <c r="CR9" s="46">
        <f t="shared" si="42"/>
        <v>1324000</v>
      </c>
      <c r="CS9" s="46">
        <f t="shared" si="42"/>
        <v>1357000</v>
      </c>
      <c r="CT9" s="1301"/>
      <c r="CU9" s="1301"/>
      <c r="CV9" s="1301"/>
      <c r="CW9" s="1301"/>
      <c r="CX9" s="1301"/>
    </row>
    <row r="10" spans="1:102" s="247" customFormat="1" x14ac:dyDescent="0.2">
      <c r="A10" s="1113" t="s">
        <v>6824</v>
      </c>
      <c r="B10" s="795" t="s">
        <v>6436</v>
      </c>
      <c r="C10" s="795" t="s">
        <v>6437</v>
      </c>
      <c r="D10" s="795" t="s">
        <v>6437</v>
      </c>
      <c r="E10" s="1198"/>
      <c r="F10" s="1198"/>
      <c r="G10" s="2184"/>
      <c r="H10" s="1198"/>
      <c r="I10" s="1198"/>
      <c r="J10" s="1198"/>
      <c r="K10" s="1191"/>
      <c r="L10" s="1191"/>
      <c r="M10" s="1198"/>
      <c r="N10" s="1198"/>
      <c r="O10" s="1198"/>
      <c r="P10" s="1198"/>
      <c r="Q10" s="1192"/>
      <c r="R10" s="1286"/>
      <c r="S10" s="434"/>
      <c r="T10" s="434"/>
      <c r="U10" s="609"/>
      <c r="V10" s="1286"/>
      <c r="W10" s="434"/>
      <c r="X10" s="436"/>
      <c r="Y10" s="437">
        <f t="shared" ref="Y10:Y71" si="65">$F10-V10-W10-X10</f>
        <v>0</v>
      </c>
      <c r="Z10" s="1286"/>
      <c r="AA10" s="434"/>
      <c r="AB10" s="436"/>
      <c r="AC10" s="437">
        <f t="shared" si="54"/>
        <v>0</v>
      </c>
      <c r="AD10" s="1286"/>
      <c r="AE10" s="434"/>
      <c r="AF10" s="434"/>
      <c r="AG10" s="437">
        <f t="shared" si="55"/>
        <v>0</v>
      </c>
      <c r="AH10" s="1286"/>
      <c r="AI10" s="434"/>
      <c r="AJ10" s="436"/>
      <c r="AK10" s="437">
        <f t="shared" si="56"/>
        <v>0</v>
      </c>
      <c r="AL10" s="436"/>
      <c r="AM10" s="434"/>
      <c r="AN10" s="436"/>
      <c r="AO10" s="1131">
        <f t="shared" si="57"/>
        <v>0</v>
      </c>
      <c r="AP10" s="436"/>
      <c r="AQ10" s="434"/>
      <c r="AR10" s="436"/>
      <c r="AS10" s="437">
        <f t="shared" si="58"/>
        <v>0</v>
      </c>
      <c r="AT10" s="1286"/>
      <c r="AU10" s="434"/>
      <c r="AV10" s="436"/>
      <c r="AW10" s="437">
        <f t="shared" si="59"/>
        <v>0</v>
      </c>
      <c r="AX10" s="1286"/>
      <c r="AY10" s="434"/>
      <c r="AZ10" s="436"/>
      <c r="BA10" s="437">
        <f t="shared" si="60"/>
        <v>0</v>
      </c>
      <c r="BB10" s="1286"/>
      <c r="BC10" s="434"/>
      <c r="BD10" s="436"/>
      <c r="BE10" s="437">
        <f t="shared" si="61"/>
        <v>0</v>
      </c>
      <c r="BF10" s="1286"/>
      <c r="BG10" s="434"/>
      <c r="BH10" s="436"/>
      <c r="BI10" s="437">
        <f t="shared" si="62"/>
        <v>0</v>
      </c>
      <c r="BJ10" s="1286"/>
      <c r="BK10" s="434"/>
      <c r="BL10" s="436"/>
      <c r="BM10" s="1131">
        <f t="shared" si="63"/>
        <v>0</v>
      </c>
      <c r="BN10" s="1286"/>
      <c r="BO10" s="434"/>
      <c r="BP10" s="436"/>
      <c r="BQ10" s="1131">
        <f t="shared" ref="BQ10:BQ11" si="66">$Q10-BN10-BO10-BP10</f>
        <v>0</v>
      </c>
      <c r="BR10" s="1301"/>
      <c r="BS10" s="833"/>
      <c r="BT10" s="833"/>
      <c r="BU10" s="833"/>
      <c r="BV10" s="833"/>
      <c r="BW10" s="833"/>
      <c r="BX10" s="833"/>
      <c r="BY10" s="833"/>
      <c r="BZ10" s="833"/>
      <c r="CA10" s="833"/>
      <c r="CB10" s="833"/>
      <c r="CC10" s="833"/>
      <c r="CD10" s="833"/>
      <c r="CE10" s="833"/>
      <c r="CF10" s="833"/>
      <c r="CG10" s="46"/>
      <c r="CH10" s="46"/>
      <c r="CI10" s="46"/>
      <c r="CJ10" s="46"/>
      <c r="CK10" s="46"/>
      <c r="CL10" s="46"/>
      <c r="CM10" s="46"/>
      <c r="CN10" s="46"/>
      <c r="CO10" s="46"/>
      <c r="CP10" s="46"/>
      <c r="CQ10" s="46"/>
      <c r="CR10" s="46"/>
      <c r="CS10" s="46"/>
      <c r="CT10" s="1301"/>
      <c r="CU10" s="1301"/>
      <c r="CV10" s="1301"/>
      <c r="CW10" s="1301"/>
      <c r="CX10" s="1301"/>
    </row>
    <row r="11" spans="1:102" s="247" customFormat="1" x14ac:dyDescent="0.2">
      <c r="A11" s="666" t="s">
        <v>4827</v>
      </c>
      <c r="B11" s="795" t="s">
        <v>4960</v>
      </c>
      <c r="C11" s="795" t="s">
        <v>4964</v>
      </c>
      <c r="D11" s="795" t="s">
        <v>4964</v>
      </c>
      <c r="E11" s="1198">
        <v>27800</v>
      </c>
      <c r="F11" s="1198">
        <v>43700</v>
      </c>
      <c r="G11" s="2184"/>
      <c r="H11" s="1198"/>
      <c r="I11" s="1198"/>
      <c r="J11" s="1198"/>
      <c r="K11" s="1191"/>
      <c r="L11" s="1191"/>
      <c r="M11" s="1198"/>
      <c r="N11" s="1198"/>
      <c r="O11" s="1198"/>
      <c r="P11" s="1198"/>
      <c r="Q11" s="1299"/>
      <c r="R11" s="1286"/>
      <c r="S11" s="434">
        <f>E11</f>
        <v>27800</v>
      </c>
      <c r="T11" s="434"/>
      <c r="U11" s="609">
        <f t="shared" si="21"/>
        <v>0</v>
      </c>
      <c r="V11" s="1286"/>
      <c r="W11" s="434">
        <v>24000</v>
      </c>
      <c r="X11" s="436"/>
      <c r="Y11" s="437">
        <f t="shared" si="65"/>
        <v>19700</v>
      </c>
      <c r="Z11" s="1286"/>
      <c r="AA11" s="434"/>
      <c r="AB11" s="436"/>
      <c r="AC11" s="437">
        <f t="shared" si="54"/>
        <v>0</v>
      </c>
      <c r="AD11" s="1286"/>
      <c r="AE11" s="434"/>
      <c r="AF11" s="434"/>
      <c r="AG11" s="437">
        <f t="shared" si="55"/>
        <v>0</v>
      </c>
      <c r="AH11" s="1286"/>
      <c r="AI11" s="434"/>
      <c r="AJ11" s="436"/>
      <c r="AK11" s="437">
        <f t="shared" si="56"/>
        <v>0</v>
      </c>
      <c r="AL11" s="436"/>
      <c r="AM11" s="434"/>
      <c r="AN11" s="436"/>
      <c r="AO11" s="1131">
        <f t="shared" si="57"/>
        <v>0</v>
      </c>
      <c r="AP11" s="436"/>
      <c r="AQ11" s="434"/>
      <c r="AR11" s="436"/>
      <c r="AS11" s="437">
        <f t="shared" si="58"/>
        <v>0</v>
      </c>
      <c r="AT11" s="1286"/>
      <c r="AU11" s="434"/>
      <c r="AV11" s="436"/>
      <c r="AW11" s="437">
        <f t="shared" si="59"/>
        <v>0</v>
      </c>
      <c r="AX11" s="1286"/>
      <c r="AY11" s="434"/>
      <c r="AZ11" s="436"/>
      <c r="BA11" s="437">
        <f t="shared" si="60"/>
        <v>0</v>
      </c>
      <c r="BB11" s="1286"/>
      <c r="BC11" s="434"/>
      <c r="BD11" s="436"/>
      <c r="BE11" s="437">
        <f t="shared" si="61"/>
        <v>0</v>
      </c>
      <c r="BF11" s="1286"/>
      <c r="BG11" s="434"/>
      <c r="BH11" s="436"/>
      <c r="BI11" s="437">
        <f t="shared" si="62"/>
        <v>0</v>
      </c>
      <c r="BJ11" s="1286"/>
      <c r="BK11" s="434"/>
      <c r="BL11" s="436"/>
      <c r="BM11" s="1131">
        <f t="shared" si="63"/>
        <v>0</v>
      </c>
      <c r="BN11" s="1286"/>
      <c r="BO11" s="434"/>
      <c r="BP11" s="436"/>
      <c r="BQ11" s="1131">
        <f t="shared" si="66"/>
        <v>0</v>
      </c>
      <c r="BR11" s="1301"/>
      <c r="BS11" s="833">
        <v>1</v>
      </c>
      <c r="BT11" s="833">
        <f t="shared" ref="BT11" si="67">BS11</f>
        <v>1</v>
      </c>
      <c r="BU11" s="833">
        <f t="shared" ref="BU11" si="68">BT11</f>
        <v>1</v>
      </c>
      <c r="BV11" s="833">
        <f t="shared" ref="BV11" si="69">BU11</f>
        <v>1</v>
      </c>
      <c r="BW11" s="833">
        <f t="shared" ref="BW11" si="70">BV11</f>
        <v>1</v>
      </c>
      <c r="BX11" s="833">
        <f t="shared" ref="BX11" si="71">BW11</f>
        <v>1</v>
      </c>
      <c r="BY11" s="833">
        <f t="shared" ref="BY11" si="72">BX11</f>
        <v>1</v>
      </c>
      <c r="BZ11" s="833">
        <f t="shared" ref="BZ11" si="73">BY11</f>
        <v>1</v>
      </c>
      <c r="CA11" s="833">
        <f t="shared" ref="CA11" si="74">BZ11</f>
        <v>1</v>
      </c>
      <c r="CB11" s="833">
        <f t="shared" ref="CB11:CE11" si="75">CA11</f>
        <v>1</v>
      </c>
      <c r="CC11" s="833">
        <f t="shared" si="75"/>
        <v>1</v>
      </c>
      <c r="CD11" s="833">
        <f t="shared" si="75"/>
        <v>1</v>
      </c>
      <c r="CE11" s="833">
        <f t="shared" si="75"/>
        <v>1</v>
      </c>
      <c r="CF11" s="833"/>
      <c r="CG11" s="46">
        <f t="shared" ref="CG11:CS11" si="76">ROUND(BS11*E11,-3)</f>
        <v>28000</v>
      </c>
      <c r="CH11" s="46">
        <f t="shared" si="76"/>
        <v>44000</v>
      </c>
      <c r="CI11" s="46">
        <f t="shared" si="76"/>
        <v>0</v>
      </c>
      <c r="CJ11" s="46">
        <f t="shared" si="76"/>
        <v>0</v>
      </c>
      <c r="CK11" s="46">
        <f t="shared" si="76"/>
        <v>0</v>
      </c>
      <c r="CL11" s="46">
        <f t="shared" si="76"/>
        <v>0</v>
      </c>
      <c r="CM11" s="46">
        <f t="shared" si="76"/>
        <v>0</v>
      </c>
      <c r="CN11" s="46">
        <f t="shared" si="76"/>
        <v>0</v>
      </c>
      <c r="CO11" s="46">
        <f t="shared" si="76"/>
        <v>0</v>
      </c>
      <c r="CP11" s="46">
        <f t="shared" si="76"/>
        <v>0</v>
      </c>
      <c r="CQ11" s="46">
        <f t="shared" si="76"/>
        <v>0</v>
      </c>
      <c r="CR11" s="46">
        <f t="shared" si="76"/>
        <v>0</v>
      </c>
      <c r="CS11" s="46">
        <f t="shared" si="76"/>
        <v>0</v>
      </c>
      <c r="CT11" s="1301"/>
      <c r="CU11" s="1301"/>
      <c r="CV11" s="1301"/>
      <c r="CW11" s="1301"/>
      <c r="CX11" s="1301"/>
    </row>
    <row r="12" spans="1:102" s="247" customFormat="1" x14ac:dyDescent="0.2">
      <c r="A12" s="666"/>
      <c r="B12" s="795"/>
      <c r="C12" s="795"/>
      <c r="D12" s="795"/>
      <c r="E12" s="1198"/>
      <c r="F12" s="1198"/>
      <c r="G12" s="2184"/>
      <c r="H12" s="1198"/>
      <c r="I12" s="1191"/>
      <c r="J12" s="1191"/>
      <c r="K12" s="1191"/>
      <c r="L12" s="1191"/>
      <c r="M12" s="1198"/>
      <c r="N12" s="1198"/>
      <c r="O12" s="1198"/>
      <c r="P12" s="1198"/>
      <c r="Q12" s="1299"/>
      <c r="R12" s="1286"/>
      <c r="S12" s="434"/>
      <c r="T12" s="434"/>
      <c r="U12" s="609"/>
      <c r="V12" s="1286"/>
      <c r="W12" s="436"/>
      <c r="X12" s="436"/>
      <c r="Y12" s="437">
        <f t="shared" si="65"/>
        <v>0</v>
      </c>
      <c r="Z12" s="1286"/>
      <c r="AA12" s="436"/>
      <c r="AB12" s="436"/>
      <c r="AC12" s="437"/>
      <c r="AD12" s="1286"/>
      <c r="AE12" s="434"/>
      <c r="AF12" s="434"/>
      <c r="AG12" s="437"/>
      <c r="AH12" s="1286"/>
      <c r="AI12" s="436"/>
      <c r="AJ12" s="436"/>
      <c r="AK12" s="437"/>
      <c r="AL12" s="436"/>
      <c r="AM12" s="436"/>
      <c r="AN12" s="436"/>
      <c r="AO12" s="1131"/>
      <c r="AP12" s="436"/>
      <c r="AQ12" s="436"/>
      <c r="AR12" s="436"/>
      <c r="AS12" s="437"/>
      <c r="AT12" s="1286"/>
      <c r="AU12" s="436"/>
      <c r="AV12" s="436"/>
      <c r="AW12" s="437"/>
      <c r="AX12" s="1286"/>
      <c r="AY12" s="436"/>
      <c r="AZ12" s="436"/>
      <c r="BA12" s="437"/>
      <c r="BB12" s="1286"/>
      <c r="BC12" s="436"/>
      <c r="BD12" s="436"/>
      <c r="BE12" s="437"/>
      <c r="BF12" s="1286"/>
      <c r="BG12" s="436"/>
      <c r="BH12" s="436"/>
      <c r="BI12" s="437"/>
      <c r="BJ12" s="1286"/>
      <c r="BK12" s="436"/>
      <c r="BL12" s="436"/>
      <c r="BM12" s="1131"/>
      <c r="BN12" s="1286"/>
      <c r="BO12" s="436"/>
      <c r="BP12" s="436"/>
      <c r="BQ12" s="1131"/>
      <c r="BR12" s="1301"/>
      <c r="BS12" s="833"/>
      <c r="BT12" s="833"/>
      <c r="BU12" s="833"/>
      <c r="BV12" s="833"/>
      <c r="BW12" s="833"/>
      <c r="BX12" s="833"/>
      <c r="BY12" s="833"/>
      <c r="BZ12" s="833"/>
      <c r="CA12" s="833"/>
      <c r="CB12" s="833"/>
      <c r="CC12" s="833"/>
      <c r="CD12" s="833"/>
      <c r="CE12" s="833"/>
      <c r="CF12" s="833"/>
      <c r="CG12" s="46"/>
      <c r="CH12" s="46"/>
      <c r="CI12" s="46"/>
      <c r="CJ12" s="46"/>
      <c r="CK12" s="46"/>
      <c r="CL12" s="46"/>
      <c r="CM12" s="46"/>
      <c r="CN12" s="46"/>
      <c r="CO12" s="46"/>
      <c r="CP12" s="46"/>
      <c r="CQ12" s="46"/>
      <c r="CR12" s="46"/>
      <c r="CS12" s="46"/>
      <c r="CT12" s="1301"/>
      <c r="CU12" s="1301"/>
      <c r="CV12" s="1301"/>
      <c r="CW12" s="1301"/>
      <c r="CX12" s="1301"/>
    </row>
    <row r="13" spans="1:102" s="247" customFormat="1" x14ac:dyDescent="0.2">
      <c r="A13" s="776" t="s">
        <v>4826</v>
      </c>
      <c r="B13" s="371"/>
      <c r="C13" s="371"/>
      <c r="D13" s="371"/>
      <c r="E13" s="1198"/>
      <c r="F13" s="1198"/>
      <c r="G13" s="2184"/>
      <c r="H13" s="1198"/>
      <c r="I13" s="1191"/>
      <c r="J13" s="1191"/>
      <c r="K13" s="1191"/>
      <c r="L13" s="1191"/>
      <c r="M13" s="1198"/>
      <c r="N13" s="1198"/>
      <c r="O13" s="1198"/>
      <c r="P13" s="1198"/>
      <c r="Q13" s="1299"/>
      <c r="R13" s="1286"/>
      <c r="S13" s="434"/>
      <c r="T13" s="434"/>
      <c r="U13" s="437"/>
      <c r="V13" s="1286"/>
      <c r="W13" s="436"/>
      <c r="X13" s="436"/>
      <c r="Y13" s="437">
        <f t="shared" si="65"/>
        <v>0</v>
      </c>
      <c r="Z13" s="1286"/>
      <c r="AA13" s="436"/>
      <c r="AB13" s="436"/>
      <c r="AC13" s="437"/>
      <c r="AD13" s="1286"/>
      <c r="AE13" s="434"/>
      <c r="AF13" s="434"/>
      <c r="AG13" s="437"/>
      <c r="AH13" s="1286"/>
      <c r="AI13" s="436"/>
      <c r="AJ13" s="436"/>
      <c r="AK13" s="437"/>
      <c r="AL13" s="436"/>
      <c r="AM13" s="436"/>
      <c r="AN13" s="436"/>
      <c r="AO13" s="1131"/>
      <c r="AP13" s="436"/>
      <c r="AQ13" s="436"/>
      <c r="AR13" s="436"/>
      <c r="AS13" s="437"/>
      <c r="AT13" s="1286"/>
      <c r="AU13" s="436"/>
      <c r="AV13" s="436"/>
      <c r="AW13" s="437"/>
      <c r="AX13" s="1286"/>
      <c r="AY13" s="436"/>
      <c r="AZ13" s="436"/>
      <c r="BA13" s="437"/>
      <c r="BB13" s="1286"/>
      <c r="BC13" s="436"/>
      <c r="BD13" s="436"/>
      <c r="BE13" s="437"/>
      <c r="BF13" s="1286"/>
      <c r="BG13" s="436"/>
      <c r="BH13" s="436"/>
      <c r="BI13" s="437"/>
      <c r="BJ13" s="1286"/>
      <c r="BK13" s="436"/>
      <c r="BL13" s="436"/>
      <c r="BM13" s="1131"/>
      <c r="BN13" s="1286"/>
      <c r="BO13" s="436"/>
      <c r="BP13" s="436"/>
      <c r="BQ13" s="1131"/>
      <c r="BR13" s="1301"/>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1301"/>
      <c r="CU13" s="1301"/>
      <c r="CV13" s="1301"/>
      <c r="CW13" s="1301"/>
      <c r="CX13" s="1301"/>
    </row>
    <row r="14" spans="1:102" s="247" customFormat="1" hidden="1" x14ac:dyDescent="0.2">
      <c r="A14" s="666" t="s">
        <v>5507</v>
      </c>
      <c r="B14" s="795" t="s">
        <v>4961</v>
      </c>
      <c r="C14" s="795" t="s">
        <v>4959</v>
      </c>
      <c r="D14" s="795"/>
      <c r="E14" s="1198">
        <v>6700</v>
      </c>
      <c r="F14" s="1198"/>
      <c r="G14" s="2184"/>
      <c r="H14" s="1198"/>
      <c r="I14" s="1191"/>
      <c r="J14" s="1191"/>
      <c r="K14" s="1191"/>
      <c r="L14" s="1191"/>
      <c r="M14" s="1198"/>
      <c r="N14" s="1198"/>
      <c r="O14" s="1198"/>
      <c r="P14" s="1198"/>
      <c r="Q14" s="1299"/>
      <c r="R14" s="1286"/>
      <c r="S14" s="434">
        <f>E14</f>
        <v>6700</v>
      </c>
      <c r="T14" s="434"/>
      <c r="U14" s="609">
        <f>$E14-R14-S14-T14</f>
        <v>0</v>
      </c>
      <c r="V14" s="1286"/>
      <c r="W14" s="434">
        <f>F14</f>
        <v>0</v>
      </c>
      <c r="X14" s="436"/>
      <c r="Y14" s="437">
        <f t="shared" si="65"/>
        <v>0</v>
      </c>
      <c r="Z14" s="1286"/>
      <c r="AA14" s="434">
        <f>G14</f>
        <v>0</v>
      </c>
      <c r="AB14" s="436"/>
      <c r="AC14" s="437">
        <f t="shared" ref="AC14" si="77">$G14-Z14-AA14-AB14</f>
        <v>0</v>
      </c>
      <c r="AD14" s="1286"/>
      <c r="AE14" s="434">
        <f>ROUND(H14,-2)</f>
        <v>0</v>
      </c>
      <c r="AF14" s="434"/>
      <c r="AG14" s="437">
        <f t="shared" ref="AG14:AG16" si="78">$H14-AD14-AE14-AF14</f>
        <v>0</v>
      </c>
      <c r="AH14" s="1286"/>
      <c r="AI14" s="434">
        <f>ROUND(I14,-2)</f>
        <v>0</v>
      </c>
      <c r="AJ14" s="436"/>
      <c r="AK14" s="437">
        <f t="shared" ref="AK14:AK16" si="79">$I14-AH14-AI14-AJ14</f>
        <v>0</v>
      </c>
      <c r="AL14" s="436"/>
      <c r="AM14" s="434">
        <f>ROUND(J14,-2)</f>
        <v>0</v>
      </c>
      <c r="AN14" s="436"/>
      <c r="AO14" s="1131">
        <f t="shared" ref="AO14:AO16" si="80">$J14-AL14-AM14-AN14</f>
        <v>0</v>
      </c>
      <c r="AP14" s="436"/>
      <c r="AQ14" s="434">
        <f>ROUND(K14,-2)</f>
        <v>0</v>
      </c>
      <c r="AR14" s="436"/>
      <c r="AS14" s="437">
        <f t="shared" ref="AS14:AS16" si="81">$K14-AP14-AQ14-AR14</f>
        <v>0</v>
      </c>
      <c r="AT14" s="1286"/>
      <c r="AU14" s="434">
        <f>ROUND(L14,-2)</f>
        <v>0</v>
      </c>
      <c r="AV14" s="436"/>
      <c r="AW14" s="437">
        <f t="shared" ref="AW14:AW16" si="82">$L14-AT14-AU14-AV14</f>
        <v>0</v>
      </c>
      <c r="AX14" s="1286"/>
      <c r="AY14" s="434">
        <f>ROUND(M14,-2)</f>
        <v>0</v>
      </c>
      <c r="AZ14" s="436"/>
      <c r="BA14" s="437">
        <f t="shared" ref="BA14:BA16" si="83">$M14-AX14-AY14-AZ14</f>
        <v>0</v>
      </c>
      <c r="BB14" s="1286"/>
      <c r="BC14" s="434">
        <f>ROUND(N14,-2)</f>
        <v>0</v>
      </c>
      <c r="BD14" s="436"/>
      <c r="BE14" s="437">
        <f>$N14-BB14-BC14-BD14</f>
        <v>0</v>
      </c>
      <c r="BF14" s="1286"/>
      <c r="BG14" s="434"/>
      <c r="BH14" s="436"/>
      <c r="BI14" s="437">
        <f t="shared" ref="BI14:BI18" si="84">$O14-BF14-BG14-BH14</f>
        <v>0</v>
      </c>
      <c r="BJ14" s="1286"/>
      <c r="BK14" s="434"/>
      <c r="BL14" s="436"/>
      <c r="BM14" s="1131">
        <f t="shared" ref="BM14:BM18" si="85">$P14-BJ14-BK14-BL14</f>
        <v>0</v>
      </c>
      <c r="BN14" s="1286"/>
      <c r="BO14" s="434"/>
      <c r="BP14" s="436"/>
      <c r="BQ14" s="1131">
        <f t="shared" ref="BQ14" si="86">$P14-BN14-BO14-BP14</f>
        <v>0</v>
      </c>
      <c r="BR14" s="1301"/>
      <c r="BS14" s="833">
        <v>0</v>
      </c>
      <c r="BT14" s="833">
        <f t="shared" ref="BT14:CE14" si="87">BS14</f>
        <v>0</v>
      </c>
      <c r="BU14" s="833">
        <f t="shared" si="87"/>
        <v>0</v>
      </c>
      <c r="BV14" s="833">
        <f t="shared" si="87"/>
        <v>0</v>
      </c>
      <c r="BW14" s="833">
        <f t="shared" si="87"/>
        <v>0</v>
      </c>
      <c r="BX14" s="833">
        <f t="shared" si="87"/>
        <v>0</v>
      </c>
      <c r="BY14" s="833">
        <f t="shared" si="87"/>
        <v>0</v>
      </c>
      <c r="BZ14" s="833">
        <f t="shared" si="87"/>
        <v>0</v>
      </c>
      <c r="CA14" s="833">
        <f t="shared" si="87"/>
        <v>0</v>
      </c>
      <c r="CB14" s="833">
        <f t="shared" si="87"/>
        <v>0</v>
      </c>
      <c r="CC14" s="833">
        <f t="shared" si="87"/>
        <v>0</v>
      </c>
      <c r="CD14" s="833">
        <f t="shared" si="87"/>
        <v>0</v>
      </c>
      <c r="CE14" s="833">
        <f t="shared" si="87"/>
        <v>0</v>
      </c>
      <c r="CF14" s="833"/>
      <c r="CG14" s="46">
        <f t="shared" ref="CG14:CS18" si="88">ROUND(BS14*E14,-3)</f>
        <v>0</v>
      </c>
      <c r="CH14" s="46">
        <f t="shared" si="88"/>
        <v>0</v>
      </c>
      <c r="CI14" s="46">
        <f t="shared" si="88"/>
        <v>0</v>
      </c>
      <c r="CJ14" s="46">
        <f t="shared" si="88"/>
        <v>0</v>
      </c>
      <c r="CK14" s="46">
        <f t="shared" si="88"/>
        <v>0</v>
      </c>
      <c r="CL14" s="46">
        <f t="shared" si="88"/>
        <v>0</v>
      </c>
      <c r="CM14" s="46">
        <f t="shared" si="88"/>
        <v>0</v>
      </c>
      <c r="CN14" s="46">
        <f t="shared" si="88"/>
        <v>0</v>
      </c>
      <c r="CO14" s="46">
        <f t="shared" si="88"/>
        <v>0</v>
      </c>
      <c r="CP14" s="46">
        <f t="shared" si="88"/>
        <v>0</v>
      </c>
      <c r="CQ14" s="46">
        <f t="shared" si="88"/>
        <v>0</v>
      </c>
      <c r="CR14" s="46">
        <f t="shared" si="88"/>
        <v>0</v>
      </c>
      <c r="CS14" s="46">
        <f t="shared" si="88"/>
        <v>0</v>
      </c>
      <c r="CT14" s="1301"/>
      <c r="CU14" s="1301"/>
      <c r="CV14" s="1301"/>
      <c r="CW14" s="1301"/>
      <c r="CX14" s="1301"/>
    </row>
    <row r="15" spans="1:102" s="247" customFormat="1" x14ac:dyDescent="0.2">
      <c r="A15" s="666" t="s">
        <v>2954</v>
      </c>
      <c r="B15" s="795" t="s">
        <v>3927</v>
      </c>
      <c r="C15" s="795" t="s">
        <v>6337</v>
      </c>
      <c r="D15" s="795" t="s">
        <v>6337</v>
      </c>
      <c r="E15" s="1198"/>
      <c r="F15" s="1198"/>
      <c r="G15" s="2184">
        <f>500000-500000</f>
        <v>0</v>
      </c>
      <c r="H15" s="1198">
        <v>500000</v>
      </c>
      <c r="I15" s="1191"/>
      <c r="J15" s="1191"/>
      <c r="K15" s="1191"/>
      <c r="L15" s="1191">
        <v>3211000</v>
      </c>
      <c r="M15" s="1198"/>
      <c r="N15" s="1198"/>
      <c r="O15" s="1198"/>
      <c r="P15" s="1198"/>
      <c r="Q15" s="1299"/>
      <c r="R15" s="1286"/>
      <c r="S15" s="434">
        <f>E15</f>
        <v>0</v>
      </c>
      <c r="T15" s="434"/>
      <c r="U15" s="609">
        <f>$E15-R15-S15-T15</f>
        <v>0</v>
      </c>
      <c r="V15" s="1286"/>
      <c r="W15" s="434"/>
      <c r="X15" s="436"/>
      <c r="Y15" s="437">
        <f t="shared" si="65"/>
        <v>0</v>
      </c>
      <c r="Z15" s="1286"/>
      <c r="AA15" s="434">
        <f>G15</f>
        <v>0</v>
      </c>
      <c r="AB15" s="436"/>
      <c r="AC15" s="437">
        <f>$G15-Z15-AA15-AB15</f>
        <v>0</v>
      </c>
      <c r="AD15" s="1286"/>
      <c r="AE15" s="434">
        <f>ROUND(H15,-2)</f>
        <v>500000</v>
      </c>
      <c r="AF15" s="434"/>
      <c r="AG15" s="437">
        <f>$H15-AD15-AE15-AF15</f>
        <v>0</v>
      </c>
      <c r="AH15" s="1286"/>
      <c r="AI15" s="434">
        <f>ROUND(I15,-2)</f>
        <v>0</v>
      </c>
      <c r="AJ15" s="436"/>
      <c r="AK15" s="437">
        <f>$I15-AH15-AI15-AJ15</f>
        <v>0</v>
      </c>
      <c r="AL15" s="436"/>
      <c r="AM15" s="434">
        <f>ROUND(J15/4,-3)</f>
        <v>0</v>
      </c>
      <c r="AN15" s="436"/>
      <c r="AO15" s="1131">
        <f>$J15-AL15-AM15-AN15</f>
        <v>0</v>
      </c>
      <c r="AP15" s="436"/>
      <c r="AQ15" s="434">
        <f>ROUND(K15,-2)</f>
        <v>0</v>
      </c>
      <c r="AR15" s="436"/>
      <c r="AS15" s="437">
        <f>$K15-AP15-AQ15-AR15</f>
        <v>0</v>
      </c>
      <c r="AT15" s="1286"/>
      <c r="AU15" s="434">
        <f>ROUND(L15,-2)</f>
        <v>3211000</v>
      </c>
      <c r="AV15" s="436"/>
      <c r="AW15" s="437">
        <f>$L15-AT15-AU15-AV15</f>
        <v>0</v>
      </c>
      <c r="AX15" s="1286"/>
      <c r="AY15" s="434">
        <f>ROUND(M15,-2)</f>
        <v>0</v>
      </c>
      <c r="AZ15" s="436"/>
      <c r="BA15" s="437">
        <f>$M15-AX15-AY15-AZ15</f>
        <v>0</v>
      </c>
      <c r="BB15" s="1286"/>
      <c r="BC15" s="434">
        <f>ROUND(N15,-2)</f>
        <v>0</v>
      </c>
      <c r="BD15" s="436"/>
      <c r="BE15" s="437">
        <f>$N15-BB15-BC15-BD15</f>
        <v>0</v>
      </c>
      <c r="BF15" s="1286"/>
      <c r="BG15" s="434"/>
      <c r="BH15" s="436"/>
      <c r="BI15" s="437">
        <f t="shared" si="84"/>
        <v>0</v>
      </c>
      <c r="BJ15" s="1286"/>
      <c r="BK15" s="434"/>
      <c r="BL15" s="436"/>
      <c r="BM15" s="1131">
        <f t="shared" si="85"/>
        <v>0</v>
      </c>
      <c r="BN15" s="1286"/>
      <c r="BO15" s="434"/>
      <c r="BP15" s="436"/>
      <c r="BQ15" s="1131">
        <f t="shared" ref="BQ15:BQ20" si="89">$Q15-BN15-BO15-BP15</f>
        <v>0</v>
      </c>
      <c r="BR15" s="1301"/>
      <c r="BS15" s="833">
        <v>0</v>
      </c>
      <c r="BT15" s="833">
        <f t="shared" ref="BT15:CE15" si="90">BS15</f>
        <v>0</v>
      </c>
      <c r="BU15" s="833">
        <f t="shared" si="90"/>
        <v>0</v>
      </c>
      <c r="BV15" s="833">
        <f t="shared" si="90"/>
        <v>0</v>
      </c>
      <c r="BW15" s="833">
        <f t="shared" si="90"/>
        <v>0</v>
      </c>
      <c r="BX15" s="833">
        <f t="shared" si="90"/>
        <v>0</v>
      </c>
      <c r="BY15" s="833">
        <f t="shared" si="90"/>
        <v>0</v>
      </c>
      <c r="BZ15" s="833">
        <f t="shared" si="90"/>
        <v>0</v>
      </c>
      <c r="CA15" s="833">
        <f t="shared" si="90"/>
        <v>0</v>
      </c>
      <c r="CB15" s="833">
        <f t="shared" si="90"/>
        <v>0</v>
      </c>
      <c r="CC15" s="833">
        <f t="shared" si="90"/>
        <v>0</v>
      </c>
      <c r="CD15" s="833">
        <f t="shared" si="90"/>
        <v>0</v>
      </c>
      <c r="CE15" s="833">
        <f t="shared" si="90"/>
        <v>0</v>
      </c>
      <c r="CF15" s="833"/>
      <c r="CG15" s="46">
        <f t="shared" si="88"/>
        <v>0</v>
      </c>
      <c r="CH15" s="46">
        <f t="shared" si="88"/>
        <v>0</v>
      </c>
      <c r="CI15" s="46">
        <f t="shared" si="88"/>
        <v>0</v>
      </c>
      <c r="CJ15" s="46">
        <f t="shared" si="88"/>
        <v>0</v>
      </c>
      <c r="CK15" s="46">
        <f t="shared" si="88"/>
        <v>0</v>
      </c>
      <c r="CL15" s="46">
        <f t="shared" si="88"/>
        <v>0</v>
      </c>
      <c r="CM15" s="46">
        <f t="shared" si="88"/>
        <v>0</v>
      </c>
      <c r="CN15" s="46">
        <f t="shared" si="88"/>
        <v>0</v>
      </c>
      <c r="CO15" s="46">
        <f t="shared" si="88"/>
        <v>0</v>
      </c>
      <c r="CP15" s="46">
        <f t="shared" si="88"/>
        <v>0</v>
      </c>
      <c r="CQ15" s="46">
        <f t="shared" si="88"/>
        <v>0</v>
      </c>
      <c r="CR15" s="46">
        <f t="shared" si="88"/>
        <v>0</v>
      </c>
      <c r="CS15" s="46">
        <f t="shared" si="88"/>
        <v>0</v>
      </c>
      <c r="CT15" s="1301"/>
      <c r="CU15" s="1301"/>
      <c r="CV15" s="1301"/>
      <c r="CW15" s="1301"/>
      <c r="CX15" s="1301"/>
    </row>
    <row r="16" spans="1:102" s="247" customFormat="1" x14ac:dyDescent="0.2">
      <c r="A16" s="666" t="s">
        <v>2380</v>
      </c>
      <c r="B16" s="795" t="s">
        <v>4962</v>
      </c>
      <c r="C16" s="795" t="s">
        <v>4959</v>
      </c>
      <c r="D16" s="795"/>
      <c r="E16" s="1198"/>
      <c r="F16" s="1198"/>
      <c r="G16" s="2184"/>
      <c r="H16" s="1198"/>
      <c r="I16" s="1191"/>
      <c r="J16" s="1191"/>
      <c r="K16" s="1191">
        <v>1077000</v>
      </c>
      <c r="L16" s="1191"/>
      <c r="M16" s="1198"/>
      <c r="N16" s="1198"/>
      <c r="O16" s="1198"/>
      <c r="P16" s="1198"/>
      <c r="Q16" s="1299"/>
      <c r="R16" s="1286"/>
      <c r="S16" s="434"/>
      <c r="T16" s="434"/>
      <c r="U16" s="609">
        <f t="shared" ref="U16:U56" si="91">$E16-R16-S16-T16</f>
        <v>0</v>
      </c>
      <c r="V16" s="1286"/>
      <c r="W16" s="434"/>
      <c r="X16" s="434"/>
      <c r="Y16" s="437">
        <f t="shared" si="65"/>
        <v>0</v>
      </c>
      <c r="Z16" s="1286"/>
      <c r="AA16" s="434"/>
      <c r="AB16" s="434"/>
      <c r="AC16" s="437">
        <f t="shared" ref="AC16" si="92">$G16-Z16-AA16-AB16</f>
        <v>0</v>
      </c>
      <c r="AD16" s="1286"/>
      <c r="AE16" s="434">
        <f>ROUND(H16,-2)</f>
        <v>0</v>
      </c>
      <c r="AF16" s="434"/>
      <c r="AG16" s="437">
        <f t="shared" si="78"/>
        <v>0</v>
      </c>
      <c r="AH16" s="1286"/>
      <c r="AI16" s="434">
        <f>ROUND(I16/2,-2)</f>
        <v>0</v>
      </c>
      <c r="AJ16" s="436"/>
      <c r="AK16" s="437">
        <f t="shared" si="79"/>
        <v>0</v>
      </c>
      <c r="AL16" s="436"/>
      <c r="AM16" s="434">
        <f>ROUND(J16,-2)</f>
        <v>0</v>
      </c>
      <c r="AN16" s="436"/>
      <c r="AO16" s="1131">
        <f t="shared" si="80"/>
        <v>0</v>
      </c>
      <c r="AP16" s="436"/>
      <c r="AQ16" s="434">
        <f>ROUND(K16,-2)</f>
        <v>1077000</v>
      </c>
      <c r="AR16" s="436"/>
      <c r="AS16" s="437">
        <f t="shared" si="81"/>
        <v>0</v>
      </c>
      <c r="AT16" s="1286"/>
      <c r="AU16" s="434">
        <f>ROUND(L16,-2)</f>
        <v>0</v>
      </c>
      <c r="AV16" s="436"/>
      <c r="AW16" s="437">
        <f t="shared" si="82"/>
        <v>0</v>
      </c>
      <c r="AX16" s="1286"/>
      <c r="AY16" s="434">
        <f>ROUND(M16,-2)</f>
        <v>0</v>
      </c>
      <c r="AZ16" s="436"/>
      <c r="BA16" s="437">
        <f t="shared" si="83"/>
        <v>0</v>
      </c>
      <c r="BB16" s="1286"/>
      <c r="BC16" s="434">
        <f>ROUND(N16,-2)</f>
        <v>0</v>
      </c>
      <c r="BD16" s="436"/>
      <c r="BE16" s="437">
        <f t="shared" ref="BE16" si="93">$N16-BB16-BC16-BD16</f>
        <v>0</v>
      </c>
      <c r="BF16" s="1286"/>
      <c r="BG16" s="434"/>
      <c r="BH16" s="436"/>
      <c r="BI16" s="437">
        <f t="shared" si="84"/>
        <v>0</v>
      </c>
      <c r="BJ16" s="1286"/>
      <c r="BK16" s="434"/>
      <c r="BL16" s="436"/>
      <c r="BM16" s="1131">
        <f t="shared" si="85"/>
        <v>0</v>
      </c>
      <c r="BN16" s="1286"/>
      <c r="BO16" s="434"/>
      <c r="BP16" s="436"/>
      <c r="BQ16" s="1131">
        <f t="shared" si="89"/>
        <v>0</v>
      </c>
      <c r="BR16" s="1301"/>
      <c r="BS16" s="833">
        <v>0</v>
      </c>
      <c r="BT16" s="833">
        <f t="shared" ref="BT16:CE17" si="94">BS16</f>
        <v>0</v>
      </c>
      <c r="BU16" s="833">
        <f t="shared" si="94"/>
        <v>0</v>
      </c>
      <c r="BV16" s="833">
        <f t="shared" si="94"/>
        <v>0</v>
      </c>
      <c r="BW16" s="833">
        <f t="shared" si="94"/>
        <v>0</v>
      </c>
      <c r="BX16" s="833">
        <f t="shared" si="94"/>
        <v>0</v>
      </c>
      <c r="BY16" s="833">
        <f t="shared" si="94"/>
        <v>0</v>
      </c>
      <c r="BZ16" s="833">
        <f t="shared" si="94"/>
        <v>0</v>
      </c>
      <c r="CA16" s="833">
        <f t="shared" si="94"/>
        <v>0</v>
      </c>
      <c r="CB16" s="833">
        <f t="shared" si="94"/>
        <v>0</v>
      </c>
      <c r="CC16" s="833">
        <f t="shared" si="94"/>
        <v>0</v>
      </c>
      <c r="CD16" s="833">
        <f t="shared" si="94"/>
        <v>0</v>
      </c>
      <c r="CE16" s="833">
        <f t="shared" si="94"/>
        <v>0</v>
      </c>
      <c r="CF16" s="833"/>
      <c r="CG16" s="46">
        <f t="shared" si="88"/>
        <v>0</v>
      </c>
      <c r="CH16" s="46">
        <f t="shared" si="88"/>
        <v>0</v>
      </c>
      <c r="CI16" s="46">
        <f t="shared" si="88"/>
        <v>0</v>
      </c>
      <c r="CJ16" s="46">
        <f t="shared" si="88"/>
        <v>0</v>
      </c>
      <c r="CK16" s="46">
        <f t="shared" si="88"/>
        <v>0</v>
      </c>
      <c r="CL16" s="46">
        <f t="shared" si="88"/>
        <v>0</v>
      </c>
      <c r="CM16" s="46">
        <f t="shared" si="88"/>
        <v>0</v>
      </c>
      <c r="CN16" s="46">
        <f t="shared" si="88"/>
        <v>0</v>
      </c>
      <c r="CO16" s="46">
        <f t="shared" si="88"/>
        <v>0</v>
      </c>
      <c r="CP16" s="46">
        <f t="shared" si="88"/>
        <v>0</v>
      </c>
      <c r="CQ16" s="46">
        <f t="shared" si="88"/>
        <v>0</v>
      </c>
      <c r="CR16" s="46">
        <f t="shared" si="88"/>
        <v>0</v>
      </c>
      <c r="CS16" s="46">
        <f t="shared" si="88"/>
        <v>0</v>
      </c>
      <c r="CT16" s="1301"/>
      <c r="CU16" s="1301"/>
      <c r="CV16" s="1301"/>
      <c r="CW16" s="1301"/>
      <c r="CX16" s="1301"/>
    </row>
    <row r="17" spans="1:102" s="247" customFormat="1" x14ac:dyDescent="0.2">
      <c r="A17" s="666" t="s">
        <v>4918</v>
      </c>
      <c r="B17" s="795" t="s">
        <v>4996</v>
      </c>
      <c r="C17" s="795" t="s">
        <v>4997</v>
      </c>
      <c r="D17" s="795" t="s">
        <v>4997</v>
      </c>
      <c r="E17" s="1198">
        <v>400</v>
      </c>
      <c r="F17" s="1198">
        <v>91800</v>
      </c>
      <c r="G17" s="2184">
        <f>400000-200000</f>
        <v>200000</v>
      </c>
      <c r="H17" s="1198"/>
      <c r="I17" s="1191"/>
      <c r="J17" s="1191"/>
      <c r="K17" s="1191"/>
      <c r="L17" s="1191"/>
      <c r="M17" s="1198"/>
      <c r="N17" s="1198"/>
      <c r="O17" s="1198"/>
      <c r="P17" s="1198"/>
      <c r="Q17" s="1299"/>
      <c r="R17" s="1286"/>
      <c r="S17" s="434">
        <f>E17</f>
        <v>400</v>
      </c>
      <c r="T17" s="434"/>
      <c r="U17" s="609">
        <f>$E17-R17-S17-T17</f>
        <v>0</v>
      </c>
      <c r="V17" s="1286"/>
      <c r="W17" s="434"/>
      <c r="X17" s="436"/>
      <c r="Y17" s="437">
        <f t="shared" si="65"/>
        <v>91800</v>
      </c>
      <c r="Z17" s="1286"/>
      <c r="AA17" s="434"/>
      <c r="AB17" s="436"/>
      <c r="AC17" s="437">
        <f>$G17-Z17-AA17-AB17</f>
        <v>200000</v>
      </c>
      <c r="AD17" s="1286"/>
      <c r="AE17" s="434"/>
      <c r="AF17" s="434"/>
      <c r="AG17" s="437">
        <f>$H17-AD17-AE17-AF17</f>
        <v>0</v>
      </c>
      <c r="AH17" s="1286"/>
      <c r="AI17" s="434">
        <f>ROUND(I17,-2)</f>
        <v>0</v>
      </c>
      <c r="AJ17" s="436"/>
      <c r="AK17" s="437">
        <f>$I17-AH17-AI17-AJ17</f>
        <v>0</v>
      </c>
      <c r="AL17" s="436"/>
      <c r="AM17" s="434">
        <v>0</v>
      </c>
      <c r="AN17" s="436"/>
      <c r="AO17" s="1131">
        <f>$J17-AL17-AM17-AN17</f>
        <v>0</v>
      </c>
      <c r="AP17" s="436"/>
      <c r="AQ17" s="434">
        <f>ROUND(K17,-2)</f>
        <v>0</v>
      </c>
      <c r="AR17" s="436"/>
      <c r="AS17" s="437">
        <f>$K17-AP17-AQ17-AR17</f>
        <v>0</v>
      </c>
      <c r="AT17" s="1286"/>
      <c r="AU17" s="434">
        <f>ROUND(L17,-2)</f>
        <v>0</v>
      </c>
      <c r="AV17" s="436"/>
      <c r="AW17" s="437">
        <f>$L17-AT17-AU17-AV17</f>
        <v>0</v>
      </c>
      <c r="AX17" s="1286"/>
      <c r="AY17" s="434">
        <f>ROUND(M17,-2)</f>
        <v>0</v>
      </c>
      <c r="AZ17" s="436"/>
      <c r="BA17" s="437">
        <f>$M17-AX17-AY17-AZ17</f>
        <v>0</v>
      </c>
      <c r="BB17" s="1286"/>
      <c r="BC17" s="434">
        <f>ROUND(N17,-2)</f>
        <v>0</v>
      </c>
      <c r="BD17" s="436"/>
      <c r="BE17" s="437">
        <f>$N17-BB17-BC17-BD17</f>
        <v>0</v>
      </c>
      <c r="BF17" s="1286"/>
      <c r="BG17" s="434"/>
      <c r="BH17" s="436"/>
      <c r="BI17" s="437">
        <f t="shared" si="84"/>
        <v>0</v>
      </c>
      <c r="BJ17" s="1286"/>
      <c r="BK17" s="434"/>
      <c r="BL17" s="436"/>
      <c r="BM17" s="1131">
        <f t="shared" si="85"/>
        <v>0</v>
      </c>
      <c r="BN17" s="1286"/>
      <c r="BO17" s="434"/>
      <c r="BP17" s="436"/>
      <c r="BQ17" s="1131">
        <f t="shared" si="89"/>
        <v>0</v>
      </c>
      <c r="BR17" s="1301"/>
      <c r="BS17" s="833">
        <v>1</v>
      </c>
      <c r="BT17" s="833">
        <f t="shared" si="94"/>
        <v>1</v>
      </c>
      <c r="BU17" s="833">
        <f t="shared" si="94"/>
        <v>1</v>
      </c>
      <c r="BV17" s="833">
        <f t="shared" si="94"/>
        <v>1</v>
      </c>
      <c r="BW17" s="833">
        <f t="shared" si="94"/>
        <v>1</v>
      </c>
      <c r="BX17" s="833">
        <f t="shared" si="94"/>
        <v>1</v>
      </c>
      <c r="BY17" s="833">
        <f t="shared" si="94"/>
        <v>1</v>
      </c>
      <c r="BZ17" s="833">
        <f t="shared" si="94"/>
        <v>1</v>
      </c>
      <c r="CA17" s="833">
        <f t="shared" si="94"/>
        <v>1</v>
      </c>
      <c r="CB17" s="833">
        <f t="shared" si="94"/>
        <v>1</v>
      </c>
      <c r="CC17" s="833">
        <f t="shared" si="94"/>
        <v>1</v>
      </c>
      <c r="CD17" s="833">
        <f t="shared" si="94"/>
        <v>1</v>
      </c>
      <c r="CE17" s="833">
        <f t="shared" si="94"/>
        <v>1</v>
      </c>
      <c r="CF17" s="833"/>
      <c r="CG17" s="46">
        <f t="shared" si="88"/>
        <v>0</v>
      </c>
      <c r="CH17" s="46">
        <f t="shared" si="88"/>
        <v>92000</v>
      </c>
      <c r="CI17" s="46">
        <f t="shared" si="88"/>
        <v>200000</v>
      </c>
      <c r="CJ17" s="46">
        <f t="shared" si="88"/>
        <v>0</v>
      </c>
      <c r="CK17" s="46">
        <f t="shared" si="88"/>
        <v>0</v>
      </c>
      <c r="CL17" s="46">
        <f t="shared" si="88"/>
        <v>0</v>
      </c>
      <c r="CM17" s="46">
        <f t="shared" si="88"/>
        <v>0</v>
      </c>
      <c r="CN17" s="46">
        <f t="shared" si="88"/>
        <v>0</v>
      </c>
      <c r="CO17" s="46">
        <f t="shared" si="88"/>
        <v>0</v>
      </c>
      <c r="CP17" s="46">
        <f t="shared" si="88"/>
        <v>0</v>
      </c>
      <c r="CQ17" s="46">
        <f t="shared" si="88"/>
        <v>0</v>
      </c>
      <c r="CR17" s="46">
        <f t="shared" si="88"/>
        <v>0</v>
      </c>
      <c r="CS17" s="46">
        <f t="shared" si="88"/>
        <v>0</v>
      </c>
      <c r="CT17" s="1301"/>
      <c r="CU17" s="1301"/>
      <c r="CV17" s="1301"/>
      <c r="CW17" s="1301"/>
      <c r="CX17" s="1301"/>
    </row>
    <row r="18" spans="1:102" s="247" customFormat="1" hidden="1" x14ac:dyDescent="0.2">
      <c r="A18" s="666" t="s">
        <v>5508</v>
      </c>
      <c r="B18" s="795" t="s">
        <v>4998</v>
      </c>
      <c r="C18" s="795" t="s">
        <v>4999</v>
      </c>
      <c r="D18" s="795" t="s">
        <v>4999</v>
      </c>
      <c r="E18" s="1198">
        <v>300</v>
      </c>
      <c r="F18" s="1198"/>
      <c r="G18" s="2184"/>
      <c r="H18" s="1198"/>
      <c r="I18" s="1191"/>
      <c r="J18" s="1191"/>
      <c r="K18" s="1191"/>
      <c r="L18" s="1191"/>
      <c r="M18" s="1198"/>
      <c r="N18" s="1198"/>
      <c r="O18" s="1198"/>
      <c r="P18" s="1198"/>
      <c r="Q18" s="1299"/>
      <c r="R18" s="1286"/>
      <c r="S18" s="434">
        <f>E18</f>
        <v>300</v>
      </c>
      <c r="T18" s="434"/>
      <c r="U18" s="609">
        <f t="shared" ref="U18" si="95">$E18-R18-S18-T18</f>
        <v>0</v>
      </c>
      <c r="V18" s="1286"/>
      <c r="W18" s="434"/>
      <c r="X18" s="434"/>
      <c r="Y18" s="437">
        <f t="shared" si="65"/>
        <v>0</v>
      </c>
      <c r="Z18" s="1286"/>
      <c r="AA18" s="434"/>
      <c r="AB18" s="434"/>
      <c r="AC18" s="437">
        <f t="shared" ref="AC18" si="96">$G18-Z18-AA18-AB18</f>
        <v>0</v>
      </c>
      <c r="AD18" s="1286"/>
      <c r="AE18" s="434">
        <f>ROUND(H18,-2)</f>
        <v>0</v>
      </c>
      <c r="AF18" s="434"/>
      <c r="AG18" s="437">
        <f t="shared" ref="AG18" si="97">$H18-AD18-AE18-AF18</f>
        <v>0</v>
      </c>
      <c r="AH18" s="1286"/>
      <c r="AI18" s="434">
        <f>ROUND(I18/2,-2)</f>
        <v>0</v>
      </c>
      <c r="AJ18" s="436"/>
      <c r="AK18" s="437">
        <f t="shared" ref="AK18" si="98">$I18-AH18-AI18-AJ18</f>
        <v>0</v>
      </c>
      <c r="AL18" s="436"/>
      <c r="AM18" s="434">
        <f>ROUND(J18,-2)</f>
        <v>0</v>
      </c>
      <c r="AN18" s="436"/>
      <c r="AO18" s="1131">
        <f t="shared" ref="AO18" si="99">$J18-AL18-AM18-AN18</f>
        <v>0</v>
      </c>
      <c r="AP18" s="436"/>
      <c r="AQ18" s="434">
        <f>ROUND(K18,-2)</f>
        <v>0</v>
      </c>
      <c r="AR18" s="436"/>
      <c r="AS18" s="437">
        <f t="shared" ref="AS18" si="100">$K18-AP18-AQ18-AR18</f>
        <v>0</v>
      </c>
      <c r="AT18" s="1286"/>
      <c r="AU18" s="434">
        <f>ROUND(L18,-2)</f>
        <v>0</v>
      </c>
      <c r="AV18" s="436"/>
      <c r="AW18" s="437">
        <f t="shared" ref="AW18" si="101">$L18-AT18-AU18-AV18</f>
        <v>0</v>
      </c>
      <c r="AX18" s="1286"/>
      <c r="AY18" s="434">
        <f>ROUND(M18,-2)</f>
        <v>0</v>
      </c>
      <c r="AZ18" s="436"/>
      <c r="BA18" s="437">
        <f t="shared" ref="BA18" si="102">$M18-AX18-AY18-AZ18</f>
        <v>0</v>
      </c>
      <c r="BB18" s="1286"/>
      <c r="BC18" s="434">
        <f>ROUND(N18,-2)</f>
        <v>0</v>
      </c>
      <c r="BD18" s="436"/>
      <c r="BE18" s="437">
        <f t="shared" ref="BE18" si="103">$N18-BB18-BC18-BD18</f>
        <v>0</v>
      </c>
      <c r="BF18" s="1286"/>
      <c r="BG18" s="434"/>
      <c r="BH18" s="436"/>
      <c r="BI18" s="437">
        <f t="shared" si="84"/>
        <v>0</v>
      </c>
      <c r="BJ18" s="1286"/>
      <c r="BK18" s="434"/>
      <c r="BL18" s="436"/>
      <c r="BM18" s="1131">
        <f t="shared" si="85"/>
        <v>0</v>
      </c>
      <c r="BN18" s="1286"/>
      <c r="BO18" s="434"/>
      <c r="BP18" s="436"/>
      <c r="BQ18" s="1131">
        <f t="shared" si="89"/>
        <v>0</v>
      </c>
      <c r="BR18" s="1301"/>
      <c r="BS18" s="833">
        <v>1</v>
      </c>
      <c r="BT18" s="833">
        <f t="shared" ref="BT18" si="104">BS18</f>
        <v>1</v>
      </c>
      <c r="BU18" s="833">
        <f t="shared" ref="BU18" si="105">BT18</f>
        <v>1</v>
      </c>
      <c r="BV18" s="833">
        <f t="shared" ref="BV18" si="106">BU18</f>
        <v>1</v>
      </c>
      <c r="BW18" s="833">
        <f t="shared" ref="BW18" si="107">BV18</f>
        <v>1</v>
      </c>
      <c r="BX18" s="833">
        <f t="shared" ref="BX18" si="108">BW18</f>
        <v>1</v>
      </c>
      <c r="BY18" s="833">
        <f t="shared" ref="BY18" si="109">BX18</f>
        <v>1</v>
      </c>
      <c r="BZ18" s="833">
        <f t="shared" ref="BZ18" si="110">BY18</f>
        <v>1</v>
      </c>
      <c r="CA18" s="833">
        <f t="shared" ref="CA18" si="111">BZ18</f>
        <v>1</v>
      </c>
      <c r="CB18" s="833">
        <f t="shared" ref="CB18:CE18" si="112">CA18</f>
        <v>1</v>
      </c>
      <c r="CC18" s="833">
        <f t="shared" si="112"/>
        <v>1</v>
      </c>
      <c r="CD18" s="833">
        <f t="shared" si="112"/>
        <v>1</v>
      </c>
      <c r="CE18" s="833">
        <f t="shared" si="112"/>
        <v>1</v>
      </c>
      <c r="CF18" s="833"/>
      <c r="CG18" s="46">
        <f t="shared" si="88"/>
        <v>0</v>
      </c>
      <c r="CH18" s="46">
        <f t="shared" si="88"/>
        <v>0</v>
      </c>
      <c r="CI18" s="46">
        <f t="shared" si="88"/>
        <v>0</v>
      </c>
      <c r="CJ18" s="46">
        <f t="shared" si="88"/>
        <v>0</v>
      </c>
      <c r="CK18" s="46">
        <f t="shared" si="88"/>
        <v>0</v>
      </c>
      <c r="CL18" s="46">
        <f t="shared" si="88"/>
        <v>0</v>
      </c>
      <c r="CM18" s="46">
        <f t="shared" si="88"/>
        <v>0</v>
      </c>
      <c r="CN18" s="46">
        <f t="shared" si="88"/>
        <v>0</v>
      </c>
      <c r="CO18" s="46">
        <f t="shared" si="88"/>
        <v>0</v>
      </c>
      <c r="CP18" s="46">
        <f t="shared" si="88"/>
        <v>0</v>
      </c>
      <c r="CQ18" s="46">
        <f t="shared" si="88"/>
        <v>0</v>
      </c>
      <c r="CR18" s="46">
        <f t="shared" si="88"/>
        <v>0</v>
      </c>
      <c r="CS18" s="46">
        <f t="shared" si="88"/>
        <v>0</v>
      </c>
      <c r="CT18" s="1301"/>
      <c r="CU18" s="1301"/>
      <c r="CV18" s="1301"/>
      <c r="CW18" s="1301"/>
      <c r="CX18" s="1301"/>
    </row>
    <row r="19" spans="1:102" s="247" customFormat="1" x14ac:dyDescent="0.2">
      <c r="A19" s="666" t="s">
        <v>7003</v>
      </c>
      <c r="B19" s="795" t="s">
        <v>7154</v>
      </c>
      <c r="C19" s="795" t="s">
        <v>7155</v>
      </c>
      <c r="D19" s="795" t="s">
        <v>7155</v>
      </c>
      <c r="E19" s="1198"/>
      <c r="F19" s="1198"/>
      <c r="G19" s="2184">
        <v>50000</v>
      </c>
      <c r="H19" s="1198"/>
      <c r="I19" s="1191"/>
      <c r="J19" s="1191"/>
      <c r="K19" s="1191"/>
      <c r="L19" s="1191"/>
      <c r="M19" s="1198"/>
      <c r="N19" s="1198"/>
      <c r="O19" s="1198"/>
      <c r="P19" s="1198"/>
      <c r="Q19" s="1192"/>
      <c r="R19" s="1286"/>
      <c r="S19" s="434"/>
      <c r="T19" s="434"/>
      <c r="U19" s="609"/>
      <c r="V19" s="1286"/>
      <c r="W19" s="434"/>
      <c r="X19" s="434"/>
      <c r="Y19" s="437">
        <f t="shared" si="65"/>
        <v>0</v>
      </c>
      <c r="Z19" s="1286"/>
      <c r="AA19" s="434"/>
      <c r="AB19" s="434"/>
      <c r="AC19" s="437">
        <f t="shared" ref="AC19:AC20" si="113">$G19-Z19-AA19-AB19</f>
        <v>50000</v>
      </c>
      <c r="AD19" s="1286"/>
      <c r="AE19" s="434">
        <f t="shared" ref="AE19:AE20" si="114">ROUND(H19,-2)</f>
        <v>0</v>
      </c>
      <c r="AF19" s="434"/>
      <c r="AG19" s="437">
        <f t="shared" ref="AG19:AG20" si="115">$H19-AD19-AE19-AF19</f>
        <v>0</v>
      </c>
      <c r="AH19" s="1286"/>
      <c r="AI19" s="434">
        <f t="shared" ref="AI19:AI20" si="116">ROUND(I19/2,-2)</f>
        <v>0</v>
      </c>
      <c r="AJ19" s="436"/>
      <c r="AK19" s="437">
        <f t="shared" ref="AK19:AK20" si="117">$I19-AH19-AI19-AJ19</f>
        <v>0</v>
      </c>
      <c r="AL19" s="436"/>
      <c r="AM19" s="434">
        <f t="shared" ref="AM19:AM20" si="118">ROUND(J19,-2)</f>
        <v>0</v>
      </c>
      <c r="AN19" s="436"/>
      <c r="AO19" s="1131">
        <f t="shared" ref="AO19:AO20" si="119">$J19-AL19-AM19-AN19</f>
        <v>0</v>
      </c>
      <c r="AP19" s="436"/>
      <c r="AQ19" s="434">
        <f t="shared" ref="AQ19:AQ20" si="120">ROUND(K19,-2)</f>
        <v>0</v>
      </c>
      <c r="AR19" s="436"/>
      <c r="AS19" s="437">
        <f t="shared" ref="AS19:AS20" si="121">$K19-AP19-AQ19-AR19</f>
        <v>0</v>
      </c>
      <c r="AT19" s="1286"/>
      <c r="AU19" s="434">
        <f t="shared" ref="AU19:AU20" si="122">ROUND(L19,-2)</f>
        <v>0</v>
      </c>
      <c r="AV19" s="436"/>
      <c r="AW19" s="437">
        <f t="shared" ref="AW19:AW20" si="123">$L19-AT19-AU19-AV19</f>
        <v>0</v>
      </c>
      <c r="AX19" s="1286"/>
      <c r="AY19" s="434">
        <f t="shared" ref="AY19:AY20" si="124">ROUND(M19,-2)</f>
        <v>0</v>
      </c>
      <c r="AZ19" s="436"/>
      <c r="BA19" s="437">
        <f t="shared" ref="BA19:BA20" si="125">$M19-AX19-AY19-AZ19</f>
        <v>0</v>
      </c>
      <c r="BB19" s="1286"/>
      <c r="BC19" s="434">
        <f t="shared" ref="BC19:BC20" si="126">ROUND(N19,-2)</f>
        <v>0</v>
      </c>
      <c r="BD19" s="436"/>
      <c r="BE19" s="437">
        <f t="shared" ref="BE19:BE20" si="127">$N19-BB19-BC19-BD19</f>
        <v>0</v>
      </c>
      <c r="BF19" s="1286"/>
      <c r="BG19" s="434"/>
      <c r="BH19" s="436"/>
      <c r="BI19" s="437">
        <f t="shared" ref="BI19:BI20" si="128">$O19-BF19-BG19-BH19</f>
        <v>0</v>
      </c>
      <c r="BJ19" s="1286"/>
      <c r="BK19" s="434"/>
      <c r="BL19" s="436"/>
      <c r="BM19" s="1131">
        <f t="shared" ref="BM19:BM20" si="129">$P19-BJ19-BK19-BL19</f>
        <v>0</v>
      </c>
      <c r="BN19" s="1286"/>
      <c r="BO19" s="434"/>
      <c r="BP19" s="436"/>
      <c r="BQ19" s="1131">
        <f t="shared" si="89"/>
        <v>0</v>
      </c>
      <c r="BR19" s="1301"/>
      <c r="BS19" s="833">
        <v>1</v>
      </c>
      <c r="BT19" s="833">
        <f t="shared" ref="BT19:BT20" si="130">BS19</f>
        <v>1</v>
      </c>
      <c r="BU19" s="833">
        <f t="shared" ref="BU19:BU20" si="131">BT19</f>
        <v>1</v>
      </c>
      <c r="BV19" s="833">
        <f t="shared" ref="BV19:BV20" si="132">BU19</f>
        <v>1</v>
      </c>
      <c r="BW19" s="833">
        <f t="shared" ref="BW19:BW20" si="133">BV19</f>
        <v>1</v>
      </c>
      <c r="BX19" s="833">
        <f t="shared" ref="BX19:BX20" si="134">BW19</f>
        <v>1</v>
      </c>
      <c r="BY19" s="833">
        <f t="shared" ref="BY19:BY20" si="135">BX19</f>
        <v>1</v>
      </c>
      <c r="BZ19" s="833">
        <f t="shared" ref="BZ19:BZ20" si="136">BY19</f>
        <v>1</v>
      </c>
      <c r="CA19" s="833">
        <f t="shared" ref="CA19:CA20" si="137">BZ19</f>
        <v>1</v>
      </c>
      <c r="CB19" s="833">
        <f t="shared" ref="CB19:CB20" si="138">CA19</f>
        <v>1</v>
      </c>
      <c r="CC19" s="833">
        <f t="shared" ref="CC19:CC20" si="139">CB19</f>
        <v>1</v>
      </c>
      <c r="CD19" s="833">
        <f t="shared" ref="CD19:CE20" si="140">CC19</f>
        <v>1</v>
      </c>
      <c r="CE19" s="833">
        <f t="shared" si="140"/>
        <v>1</v>
      </c>
      <c r="CF19" s="833"/>
      <c r="CG19" s="46"/>
      <c r="CH19" s="46"/>
      <c r="CI19" s="46"/>
      <c r="CJ19" s="46"/>
      <c r="CK19" s="46"/>
      <c r="CL19" s="46"/>
      <c r="CM19" s="46"/>
      <c r="CN19" s="46"/>
      <c r="CO19" s="46"/>
      <c r="CP19" s="46"/>
      <c r="CQ19" s="46"/>
      <c r="CR19" s="46"/>
      <c r="CS19" s="46"/>
      <c r="CT19" s="1301"/>
      <c r="CU19" s="1301"/>
      <c r="CV19" s="1301"/>
      <c r="CW19" s="1301"/>
      <c r="CX19" s="1301"/>
    </row>
    <row r="20" spans="1:102" s="247" customFormat="1" x14ac:dyDescent="0.2">
      <c r="A20" s="666" t="s">
        <v>6985</v>
      </c>
      <c r="B20" s="795" t="s">
        <v>7156</v>
      </c>
      <c r="C20" s="795" t="s">
        <v>7157</v>
      </c>
      <c r="D20" s="795" t="s">
        <v>7157</v>
      </c>
      <c r="E20" s="1198"/>
      <c r="F20" s="1198"/>
      <c r="G20" s="2184">
        <v>25000</v>
      </c>
      <c r="H20" s="1198"/>
      <c r="I20" s="1191"/>
      <c r="J20" s="1191"/>
      <c r="K20" s="1191"/>
      <c r="L20" s="1191"/>
      <c r="M20" s="1198"/>
      <c r="N20" s="1198"/>
      <c r="O20" s="1198"/>
      <c r="P20" s="1198"/>
      <c r="Q20" s="1192"/>
      <c r="R20" s="1286"/>
      <c r="S20" s="434"/>
      <c r="T20" s="434"/>
      <c r="U20" s="609"/>
      <c r="V20" s="1286"/>
      <c r="W20" s="434"/>
      <c r="X20" s="434"/>
      <c r="Y20" s="437">
        <f t="shared" si="65"/>
        <v>0</v>
      </c>
      <c r="Z20" s="1286"/>
      <c r="AA20" s="434"/>
      <c r="AB20" s="434"/>
      <c r="AC20" s="437">
        <f t="shared" si="113"/>
        <v>25000</v>
      </c>
      <c r="AD20" s="1286"/>
      <c r="AE20" s="434">
        <f t="shared" si="114"/>
        <v>0</v>
      </c>
      <c r="AF20" s="434"/>
      <c r="AG20" s="437">
        <f t="shared" si="115"/>
        <v>0</v>
      </c>
      <c r="AH20" s="1286"/>
      <c r="AI20" s="434">
        <f t="shared" si="116"/>
        <v>0</v>
      </c>
      <c r="AJ20" s="436"/>
      <c r="AK20" s="437">
        <f t="shared" si="117"/>
        <v>0</v>
      </c>
      <c r="AL20" s="436"/>
      <c r="AM20" s="434">
        <f t="shared" si="118"/>
        <v>0</v>
      </c>
      <c r="AN20" s="436"/>
      <c r="AO20" s="1131">
        <f t="shared" si="119"/>
        <v>0</v>
      </c>
      <c r="AP20" s="436"/>
      <c r="AQ20" s="434">
        <f t="shared" si="120"/>
        <v>0</v>
      </c>
      <c r="AR20" s="436"/>
      <c r="AS20" s="437">
        <f t="shared" si="121"/>
        <v>0</v>
      </c>
      <c r="AT20" s="1286"/>
      <c r="AU20" s="434">
        <f t="shared" si="122"/>
        <v>0</v>
      </c>
      <c r="AV20" s="436"/>
      <c r="AW20" s="437">
        <f t="shared" si="123"/>
        <v>0</v>
      </c>
      <c r="AX20" s="1286"/>
      <c r="AY20" s="434">
        <f t="shared" si="124"/>
        <v>0</v>
      </c>
      <c r="AZ20" s="436"/>
      <c r="BA20" s="437">
        <f t="shared" si="125"/>
        <v>0</v>
      </c>
      <c r="BB20" s="1286"/>
      <c r="BC20" s="434">
        <f t="shared" si="126"/>
        <v>0</v>
      </c>
      <c r="BD20" s="436"/>
      <c r="BE20" s="437">
        <f t="shared" si="127"/>
        <v>0</v>
      </c>
      <c r="BF20" s="1286"/>
      <c r="BG20" s="434"/>
      <c r="BH20" s="436"/>
      <c r="BI20" s="437">
        <f t="shared" si="128"/>
        <v>0</v>
      </c>
      <c r="BJ20" s="1286"/>
      <c r="BK20" s="434"/>
      <c r="BL20" s="436"/>
      <c r="BM20" s="1131">
        <f t="shared" si="129"/>
        <v>0</v>
      </c>
      <c r="BN20" s="1286"/>
      <c r="BO20" s="434"/>
      <c r="BP20" s="436"/>
      <c r="BQ20" s="1131">
        <f t="shared" si="89"/>
        <v>0</v>
      </c>
      <c r="BR20" s="1301"/>
      <c r="BS20" s="833">
        <v>0</v>
      </c>
      <c r="BT20" s="833">
        <f t="shared" si="130"/>
        <v>0</v>
      </c>
      <c r="BU20" s="833">
        <f t="shared" si="131"/>
        <v>0</v>
      </c>
      <c r="BV20" s="833">
        <f t="shared" si="132"/>
        <v>0</v>
      </c>
      <c r="BW20" s="833">
        <f t="shared" si="133"/>
        <v>0</v>
      </c>
      <c r="BX20" s="833">
        <f t="shared" si="134"/>
        <v>0</v>
      </c>
      <c r="BY20" s="833">
        <f t="shared" si="135"/>
        <v>0</v>
      </c>
      <c r="BZ20" s="833">
        <f t="shared" si="136"/>
        <v>0</v>
      </c>
      <c r="CA20" s="833">
        <f t="shared" si="137"/>
        <v>0</v>
      </c>
      <c r="CB20" s="833">
        <f t="shared" si="138"/>
        <v>0</v>
      </c>
      <c r="CC20" s="833">
        <f t="shared" si="139"/>
        <v>0</v>
      </c>
      <c r="CD20" s="833">
        <f t="shared" si="140"/>
        <v>0</v>
      </c>
      <c r="CE20" s="833">
        <f t="shared" si="140"/>
        <v>0</v>
      </c>
      <c r="CF20" s="833"/>
      <c r="CG20" s="46"/>
      <c r="CH20" s="46"/>
      <c r="CI20" s="46"/>
      <c r="CJ20" s="46"/>
      <c r="CK20" s="46"/>
      <c r="CL20" s="46"/>
      <c r="CM20" s="46"/>
      <c r="CN20" s="46"/>
      <c r="CO20" s="46"/>
      <c r="CP20" s="46"/>
      <c r="CQ20" s="46"/>
      <c r="CR20" s="46"/>
      <c r="CS20" s="46"/>
      <c r="CT20" s="1301"/>
      <c r="CU20" s="1301"/>
      <c r="CV20" s="1301"/>
      <c r="CW20" s="1301"/>
      <c r="CX20" s="1301"/>
    </row>
    <row r="21" spans="1:102" s="247" customFormat="1" x14ac:dyDescent="0.2">
      <c r="A21" s="666"/>
      <c r="B21" s="371"/>
      <c r="C21" s="371"/>
      <c r="D21" s="371"/>
      <c r="E21" s="1198"/>
      <c r="F21" s="1198"/>
      <c r="G21" s="2184"/>
      <c r="H21" s="1198"/>
      <c r="I21" s="1198"/>
      <c r="J21" s="1198"/>
      <c r="K21" s="1191"/>
      <c r="L21" s="1191"/>
      <c r="M21" s="1198"/>
      <c r="N21" s="1198"/>
      <c r="O21" s="1198"/>
      <c r="P21" s="1198"/>
      <c r="Q21" s="1192"/>
      <c r="R21" s="1286"/>
      <c r="S21" s="434"/>
      <c r="T21" s="434"/>
      <c r="U21" s="609"/>
      <c r="V21" s="1286"/>
      <c r="W21" s="434"/>
      <c r="X21" s="436"/>
      <c r="Y21" s="437">
        <f t="shared" si="65"/>
        <v>0</v>
      </c>
      <c r="Z21" s="1286"/>
      <c r="AA21" s="434"/>
      <c r="AB21" s="436"/>
      <c r="AC21" s="437"/>
      <c r="AD21" s="1286"/>
      <c r="AE21" s="434"/>
      <c r="AF21" s="434"/>
      <c r="AG21" s="437"/>
      <c r="AH21" s="1286"/>
      <c r="AI21" s="434"/>
      <c r="AJ21" s="436"/>
      <c r="AK21" s="437"/>
      <c r="AL21" s="436"/>
      <c r="AM21" s="434"/>
      <c r="AN21" s="436"/>
      <c r="AO21" s="1131"/>
      <c r="AP21" s="436"/>
      <c r="AQ21" s="434"/>
      <c r="AR21" s="436"/>
      <c r="AS21" s="437"/>
      <c r="AT21" s="1286"/>
      <c r="AU21" s="434"/>
      <c r="AV21" s="436"/>
      <c r="AW21" s="437"/>
      <c r="AX21" s="1286"/>
      <c r="AY21" s="434"/>
      <c r="AZ21" s="436"/>
      <c r="BA21" s="437"/>
      <c r="BB21" s="1286"/>
      <c r="BC21" s="434"/>
      <c r="BD21" s="436"/>
      <c r="BE21" s="437"/>
      <c r="BF21" s="1286"/>
      <c r="BG21" s="434"/>
      <c r="BH21" s="436"/>
      <c r="BI21" s="437"/>
      <c r="BJ21" s="1286"/>
      <c r="BK21" s="434"/>
      <c r="BL21" s="436"/>
      <c r="BM21" s="1131"/>
      <c r="BN21" s="1286"/>
      <c r="BO21" s="434"/>
      <c r="BP21" s="436"/>
      <c r="BQ21" s="1131"/>
      <c r="BR21" s="1301"/>
      <c r="BS21" s="833"/>
      <c r="BT21" s="833"/>
      <c r="BU21" s="833"/>
      <c r="BV21" s="833"/>
      <c r="BW21" s="833"/>
      <c r="BX21" s="833"/>
      <c r="BY21" s="833"/>
      <c r="BZ21" s="833"/>
      <c r="CA21" s="833"/>
      <c r="CB21" s="833"/>
      <c r="CC21" s="833"/>
      <c r="CD21" s="833"/>
      <c r="CE21" s="833"/>
      <c r="CF21" s="833"/>
      <c r="CG21" s="46"/>
      <c r="CH21" s="46"/>
      <c r="CI21" s="46"/>
      <c r="CJ21" s="46"/>
      <c r="CK21" s="46"/>
      <c r="CL21" s="46"/>
      <c r="CM21" s="46"/>
      <c r="CN21" s="46"/>
      <c r="CO21" s="46"/>
      <c r="CP21" s="46"/>
      <c r="CQ21" s="46"/>
      <c r="CR21" s="46"/>
      <c r="CS21" s="46"/>
      <c r="CT21" s="1301"/>
      <c r="CU21" s="1301"/>
      <c r="CV21" s="1301"/>
      <c r="CW21" s="1301"/>
      <c r="CX21" s="1301"/>
    </row>
    <row r="22" spans="1:102" s="247" customFormat="1" x14ac:dyDescent="0.2">
      <c r="A22" s="776" t="s">
        <v>675</v>
      </c>
      <c r="B22" s="371"/>
      <c r="C22" s="371"/>
      <c r="D22" s="371"/>
      <c r="E22" s="1198"/>
      <c r="F22" s="1198"/>
      <c r="G22" s="2184"/>
      <c r="H22" s="1198"/>
      <c r="I22" s="1198"/>
      <c r="J22" s="1198"/>
      <c r="K22" s="1191"/>
      <c r="L22" s="1191"/>
      <c r="M22" s="1198"/>
      <c r="N22" s="1198"/>
      <c r="O22" s="1198"/>
      <c r="P22" s="1198"/>
      <c r="Q22" s="1192"/>
      <c r="R22" s="1286"/>
      <c r="S22" s="434"/>
      <c r="T22" s="434"/>
      <c r="U22" s="609"/>
      <c r="V22" s="1286"/>
      <c r="W22" s="434"/>
      <c r="X22" s="436"/>
      <c r="Y22" s="437">
        <f t="shared" si="65"/>
        <v>0</v>
      </c>
      <c r="Z22" s="1286"/>
      <c r="AA22" s="434"/>
      <c r="AB22" s="436"/>
      <c r="AC22" s="437"/>
      <c r="AD22" s="1286"/>
      <c r="AE22" s="434"/>
      <c r="AF22" s="434"/>
      <c r="AG22" s="437"/>
      <c r="AH22" s="1286"/>
      <c r="AI22" s="434"/>
      <c r="AJ22" s="436"/>
      <c r="AK22" s="437"/>
      <c r="AL22" s="436"/>
      <c r="AM22" s="434"/>
      <c r="AN22" s="436"/>
      <c r="AO22" s="1131"/>
      <c r="AP22" s="436"/>
      <c r="AQ22" s="434"/>
      <c r="AR22" s="436"/>
      <c r="AS22" s="437"/>
      <c r="AT22" s="1286"/>
      <c r="AU22" s="434"/>
      <c r="AV22" s="436"/>
      <c r="AW22" s="437"/>
      <c r="AX22" s="1286"/>
      <c r="AY22" s="434"/>
      <c r="AZ22" s="436"/>
      <c r="BA22" s="437"/>
      <c r="BB22" s="1286"/>
      <c r="BC22" s="434"/>
      <c r="BD22" s="436"/>
      <c r="BE22" s="437"/>
      <c r="BF22" s="1286"/>
      <c r="BG22" s="434"/>
      <c r="BH22" s="436"/>
      <c r="BI22" s="437"/>
      <c r="BJ22" s="1286"/>
      <c r="BK22" s="434"/>
      <c r="BL22" s="436"/>
      <c r="BM22" s="1131"/>
      <c r="BN22" s="1286"/>
      <c r="BO22" s="434"/>
      <c r="BP22" s="436"/>
      <c r="BQ22" s="1131"/>
      <c r="BR22" s="1301"/>
      <c r="BS22" s="833"/>
      <c r="BT22" s="833"/>
      <c r="BU22" s="833"/>
      <c r="BV22" s="833"/>
      <c r="BW22" s="833"/>
      <c r="BX22" s="833"/>
      <c r="BY22" s="833"/>
      <c r="BZ22" s="833"/>
      <c r="CA22" s="833"/>
      <c r="CB22" s="833"/>
      <c r="CC22" s="833"/>
      <c r="CD22" s="833"/>
      <c r="CE22" s="833"/>
      <c r="CF22" s="833"/>
      <c r="CG22" s="46"/>
      <c r="CH22" s="46"/>
      <c r="CI22" s="46"/>
      <c r="CJ22" s="46"/>
      <c r="CK22" s="46"/>
      <c r="CL22" s="46"/>
      <c r="CM22" s="46"/>
      <c r="CN22" s="46"/>
      <c r="CO22" s="46"/>
      <c r="CP22" s="46"/>
      <c r="CQ22" s="46"/>
      <c r="CR22" s="46"/>
      <c r="CS22" s="46"/>
      <c r="CT22" s="1301"/>
      <c r="CU22" s="1301"/>
      <c r="CV22" s="1301"/>
      <c r="CW22" s="1301"/>
      <c r="CX22" s="1301"/>
    </row>
    <row r="23" spans="1:102" s="247" customFormat="1" x14ac:dyDescent="0.2">
      <c r="A23" s="666" t="s">
        <v>3407</v>
      </c>
      <c r="B23" s="795" t="s">
        <v>4963</v>
      </c>
      <c r="C23" s="795" t="s">
        <v>5000</v>
      </c>
      <c r="D23" s="795" t="s">
        <v>5000</v>
      </c>
      <c r="E23" s="1198">
        <v>500</v>
      </c>
      <c r="F23" s="1198">
        <v>600</v>
      </c>
      <c r="G23" s="2184">
        <v>7000</v>
      </c>
      <c r="H23" s="1198">
        <v>9000</v>
      </c>
      <c r="I23" s="1198">
        <v>10000</v>
      </c>
      <c r="J23" s="1198">
        <v>12000</v>
      </c>
      <c r="K23" s="1198">
        <v>13000</v>
      </c>
      <c r="L23" s="1198">
        <v>15000</v>
      </c>
      <c r="M23" s="1198">
        <v>16000</v>
      </c>
      <c r="N23" s="1198">
        <v>18000</v>
      </c>
      <c r="O23" s="1198">
        <f>ROUND((N23*Assumptions!P$6+N23),-3)</f>
        <v>18000</v>
      </c>
      <c r="P23" s="1198">
        <f>ROUND((O23*Assumptions!Q$6+O23),-3)</f>
        <v>18000</v>
      </c>
      <c r="Q23" s="1191">
        <f>ROUND((P23*Assumptions!R$6+P23),-3)</f>
        <v>18000</v>
      </c>
      <c r="R23" s="1287"/>
      <c r="S23" s="434">
        <f>E23</f>
        <v>500</v>
      </c>
      <c r="T23" s="1198"/>
      <c r="U23" s="1288">
        <f>$E23-R23-S23-T23</f>
        <v>0</v>
      </c>
      <c r="V23" s="1287"/>
      <c r="W23" s="1198"/>
      <c r="X23" s="1191"/>
      <c r="Y23" s="437">
        <f t="shared" si="65"/>
        <v>600</v>
      </c>
      <c r="Z23" s="1287"/>
      <c r="AA23" s="1198"/>
      <c r="AB23" s="1191"/>
      <c r="AC23" s="1299">
        <f>$G23-Z23-AA23-AB23</f>
        <v>7000</v>
      </c>
      <c r="AD23" s="1287"/>
      <c r="AE23" s="1198"/>
      <c r="AF23" s="1198"/>
      <c r="AG23" s="1299">
        <f>$H23-AD23-AE23-AF23</f>
        <v>9000</v>
      </c>
      <c r="AH23" s="1287"/>
      <c r="AI23" s="1198"/>
      <c r="AJ23" s="1191"/>
      <c r="AK23" s="1299">
        <f>$I23-AH23-AI23-AJ23</f>
        <v>10000</v>
      </c>
      <c r="AL23" s="1191"/>
      <c r="AM23" s="1198"/>
      <c r="AN23" s="1191"/>
      <c r="AO23" s="1302">
        <f>$J23-AL23-AM23-AN23</f>
        <v>12000</v>
      </c>
      <c r="AP23" s="1191"/>
      <c r="AQ23" s="1198"/>
      <c r="AR23" s="1191"/>
      <c r="AS23" s="1299">
        <f>$K23-AP23-AQ23-AR23</f>
        <v>13000</v>
      </c>
      <c r="AT23" s="1287"/>
      <c r="AU23" s="1198"/>
      <c r="AV23" s="1191"/>
      <c r="AW23" s="1299">
        <f>$L23-AT23-AU23-AV23</f>
        <v>15000</v>
      </c>
      <c r="AX23" s="1287"/>
      <c r="AY23" s="1198"/>
      <c r="AZ23" s="1191"/>
      <c r="BA23" s="1299">
        <f>$M23-AX23-AY23-AZ23</f>
        <v>16000</v>
      </c>
      <c r="BB23" s="1287"/>
      <c r="BC23" s="1198"/>
      <c r="BD23" s="1191"/>
      <c r="BE23" s="1299">
        <f>$N23-BB23-BC23-BD23</f>
        <v>18000</v>
      </c>
      <c r="BF23" s="1287"/>
      <c r="BG23" s="1198"/>
      <c r="BH23" s="1191"/>
      <c r="BI23" s="437">
        <f t="shared" ref="BI23:BI24" si="141">$O23-BF23-BG23-BH23</f>
        <v>18000</v>
      </c>
      <c r="BJ23" s="1287"/>
      <c r="BK23" s="1198"/>
      <c r="BL23" s="1191"/>
      <c r="BM23" s="1131">
        <f t="shared" ref="BM23:BM24" si="142">$P23-BJ23-BK23-BL23</f>
        <v>18000</v>
      </c>
      <c r="BN23" s="1287"/>
      <c r="BO23" s="1198"/>
      <c r="BP23" s="1191"/>
      <c r="BQ23" s="1131">
        <f t="shared" ref="BQ23:BQ25" si="143">$Q23-BN23-BO23-BP23</f>
        <v>18000</v>
      </c>
      <c r="BR23" s="1301"/>
      <c r="BS23" s="833">
        <v>0</v>
      </c>
      <c r="BT23" s="833">
        <f t="shared" ref="BT23" si="144">BS23</f>
        <v>0</v>
      </c>
      <c r="BU23" s="833">
        <f t="shared" ref="BU23" si="145">BT23</f>
        <v>0</v>
      </c>
      <c r="BV23" s="833">
        <f t="shared" ref="BV23" si="146">BU23</f>
        <v>0</v>
      </c>
      <c r="BW23" s="833">
        <f t="shared" ref="BW23" si="147">BV23</f>
        <v>0</v>
      </c>
      <c r="BX23" s="833">
        <f t="shared" ref="BX23" si="148">BW23</f>
        <v>0</v>
      </c>
      <c r="BY23" s="833">
        <f t="shared" ref="BY23" si="149">BX23</f>
        <v>0</v>
      </c>
      <c r="BZ23" s="833">
        <f t="shared" ref="BZ23" si="150">BY23</f>
        <v>0</v>
      </c>
      <c r="CA23" s="833">
        <f t="shared" ref="CA23:CE23" si="151">BZ23</f>
        <v>0</v>
      </c>
      <c r="CB23" s="833">
        <f t="shared" si="151"/>
        <v>0</v>
      </c>
      <c r="CC23" s="833">
        <f t="shared" si="151"/>
        <v>0</v>
      </c>
      <c r="CD23" s="833">
        <f t="shared" si="151"/>
        <v>0</v>
      </c>
      <c r="CE23" s="833">
        <f t="shared" si="151"/>
        <v>0</v>
      </c>
      <c r="CF23" s="833"/>
      <c r="CG23" s="46">
        <f t="shared" ref="CG23:CS23" si="152">ROUND(BS23*E23,-3)</f>
        <v>0</v>
      </c>
      <c r="CH23" s="46">
        <f t="shared" si="152"/>
        <v>0</v>
      </c>
      <c r="CI23" s="46">
        <f t="shared" si="152"/>
        <v>0</v>
      </c>
      <c r="CJ23" s="46">
        <f t="shared" si="152"/>
        <v>0</v>
      </c>
      <c r="CK23" s="46">
        <f t="shared" si="152"/>
        <v>0</v>
      </c>
      <c r="CL23" s="46">
        <f t="shared" si="152"/>
        <v>0</v>
      </c>
      <c r="CM23" s="46">
        <f t="shared" si="152"/>
        <v>0</v>
      </c>
      <c r="CN23" s="46">
        <f t="shared" si="152"/>
        <v>0</v>
      </c>
      <c r="CO23" s="46">
        <f t="shared" si="152"/>
        <v>0</v>
      </c>
      <c r="CP23" s="46">
        <f t="shared" si="152"/>
        <v>0</v>
      </c>
      <c r="CQ23" s="46">
        <f t="shared" si="152"/>
        <v>0</v>
      </c>
      <c r="CR23" s="46">
        <f t="shared" si="152"/>
        <v>0</v>
      </c>
      <c r="CS23" s="46">
        <f t="shared" si="152"/>
        <v>0</v>
      </c>
      <c r="CT23" s="1301"/>
      <c r="CU23" s="1301"/>
      <c r="CV23" s="1301"/>
      <c r="CW23" s="1301"/>
      <c r="CX23" s="1301"/>
    </row>
    <row r="24" spans="1:102" s="247" customFormat="1" x14ac:dyDescent="0.2">
      <c r="A24" s="666" t="s">
        <v>5947</v>
      </c>
      <c r="B24" s="795" t="s">
        <v>6315</v>
      </c>
      <c r="C24" s="795" t="s">
        <v>6316</v>
      </c>
      <c r="D24" s="795" t="s">
        <v>6316</v>
      </c>
      <c r="E24" s="1198"/>
      <c r="F24" s="1198">
        <v>16900</v>
      </c>
      <c r="G24" s="2184">
        <f>50000+83100</f>
        <v>133100</v>
      </c>
      <c r="H24" s="1198">
        <v>50000</v>
      </c>
      <c r="I24" s="1191">
        <v>50000</v>
      </c>
      <c r="J24" s="1191"/>
      <c r="K24" s="1191"/>
      <c r="L24" s="1191"/>
      <c r="M24" s="1198"/>
      <c r="N24" s="1198"/>
      <c r="O24" s="1198"/>
      <c r="P24" s="1198"/>
      <c r="Q24" s="1192"/>
      <c r="R24" s="1287"/>
      <c r="S24" s="1198"/>
      <c r="T24" s="1198"/>
      <c r="U24" s="1288"/>
      <c r="V24" s="1287"/>
      <c r="W24" s="1198"/>
      <c r="X24" s="1191"/>
      <c r="Y24" s="437">
        <f t="shared" si="65"/>
        <v>16900</v>
      </c>
      <c r="Z24" s="1287"/>
      <c r="AA24" s="1198"/>
      <c r="AB24" s="1191"/>
      <c r="AC24" s="1299">
        <f>$G24-Z24-AA24-AB24</f>
        <v>133100</v>
      </c>
      <c r="AD24" s="1287"/>
      <c r="AE24" s="1198"/>
      <c r="AF24" s="1198"/>
      <c r="AG24" s="1299">
        <f>$H24-AD24-AE24-AF24</f>
        <v>50000</v>
      </c>
      <c r="AH24" s="1287"/>
      <c r="AI24" s="1198"/>
      <c r="AJ24" s="1191"/>
      <c r="AK24" s="1299">
        <f>$I24-AH24-AI24-AJ24</f>
        <v>50000</v>
      </c>
      <c r="AL24" s="1191"/>
      <c r="AM24" s="1198"/>
      <c r="AN24" s="1191"/>
      <c r="AO24" s="1302">
        <f>$J24-AL24-AM24-AN24</f>
        <v>0</v>
      </c>
      <c r="AP24" s="1191"/>
      <c r="AQ24" s="1198"/>
      <c r="AR24" s="1191"/>
      <c r="AS24" s="1299">
        <f>$K24-AP24-AQ24-AR24</f>
        <v>0</v>
      </c>
      <c r="AT24" s="1287"/>
      <c r="AU24" s="1198"/>
      <c r="AV24" s="1191"/>
      <c r="AW24" s="1299">
        <f>$L24-AT24-AU24-AV24</f>
        <v>0</v>
      </c>
      <c r="AX24" s="1287"/>
      <c r="AY24" s="1198"/>
      <c r="AZ24" s="1191"/>
      <c r="BA24" s="1299">
        <f>$M24-AX24-AY24-AZ24</f>
        <v>0</v>
      </c>
      <c r="BB24" s="1287"/>
      <c r="BC24" s="1198"/>
      <c r="BD24" s="1191"/>
      <c r="BE24" s="1299">
        <f>$N24-BB24-BC24-BD24</f>
        <v>0</v>
      </c>
      <c r="BF24" s="1287"/>
      <c r="BG24" s="1198"/>
      <c r="BH24" s="1191"/>
      <c r="BI24" s="437">
        <f t="shared" si="141"/>
        <v>0</v>
      </c>
      <c r="BJ24" s="1287"/>
      <c r="BK24" s="1198"/>
      <c r="BL24" s="1191"/>
      <c r="BM24" s="1131">
        <f t="shared" si="142"/>
        <v>0</v>
      </c>
      <c r="BN24" s="1287"/>
      <c r="BO24" s="1198"/>
      <c r="BP24" s="1191"/>
      <c r="BQ24" s="1131">
        <f t="shared" si="143"/>
        <v>0</v>
      </c>
      <c r="BR24" s="1301"/>
      <c r="BS24" s="833">
        <v>0</v>
      </c>
      <c r="BT24" s="833">
        <f t="shared" ref="BT24" si="153">BS24</f>
        <v>0</v>
      </c>
      <c r="BU24" s="833">
        <f t="shared" ref="BU24" si="154">BT24</f>
        <v>0</v>
      </c>
      <c r="BV24" s="833">
        <f t="shared" ref="BV24" si="155">BU24</f>
        <v>0</v>
      </c>
      <c r="BW24" s="833">
        <f t="shared" ref="BW24" si="156">BV24</f>
        <v>0</v>
      </c>
      <c r="BX24" s="833">
        <f t="shared" ref="BX24" si="157">BW24</f>
        <v>0</v>
      </c>
      <c r="BY24" s="833">
        <f t="shared" ref="BY24" si="158">BX24</f>
        <v>0</v>
      </c>
      <c r="BZ24" s="833">
        <f t="shared" ref="BZ24" si="159">BY24</f>
        <v>0</v>
      </c>
      <c r="CA24" s="833">
        <f t="shared" ref="CA24" si="160">BZ24</f>
        <v>0</v>
      </c>
      <c r="CB24" s="833">
        <f t="shared" ref="CB24" si="161">CA24</f>
        <v>0</v>
      </c>
      <c r="CC24" s="833">
        <f t="shared" ref="CC24:CE24" si="162">CB24</f>
        <v>0</v>
      </c>
      <c r="CD24" s="833">
        <f t="shared" si="162"/>
        <v>0</v>
      </c>
      <c r="CE24" s="833">
        <f t="shared" si="162"/>
        <v>0</v>
      </c>
      <c r="CF24" s="833"/>
      <c r="CG24" s="46"/>
      <c r="CH24" s="46"/>
      <c r="CI24" s="46"/>
      <c r="CJ24" s="46"/>
      <c r="CK24" s="46"/>
      <c r="CL24" s="46"/>
      <c r="CM24" s="46"/>
      <c r="CN24" s="46"/>
      <c r="CO24" s="46"/>
      <c r="CP24" s="46"/>
      <c r="CQ24" s="46"/>
      <c r="CR24" s="46"/>
      <c r="CS24" s="46"/>
      <c r="CT24" s="1301"/>
      <c r="CU24" s="1301"/>
      <c r="CV24" s="1301"/>
      <c r="CW24" s="1301"/>
      <c r="CX24" s="1301"/>
    </row>
    <row r="25" spans="1:102" s="247" customFormat="1" x14ac:dyDescent="0.2">
      <c r="A25" s="666" t="s">
        <v>7158</v>
      </c>
      <c r="B25" s="795" t="s">
        <v>7159</v>
      </c>
      <c r="C25" s="795" t="s">
        <v>7160</v>
      </c>
      <c r="D25" s="795" t="s">
        <v>7160</v>
      </c>
      <c r="E25" s="1198"/>
      <c r="F25" s="1198"/>
      <c r="G25" s="2184">
        <v>10000</v>
      </c>
      <c r="H25" s="1198">
        <v>10000</v>
      </c>
      <c r="I25" s="1191"/>
      <c r="J25" s="1191"/>
      <c r="K25" s="1191"/>
      <c r="L25" s="1191"/>
      <c r="M25" s="1198"/>
      <c r="N25" s="1198"/>
      <c r="O25" s="1198"/>
      <c r="P25" s="1198"/>
      <c r="Q25" s="1192"/>
      <c r="R25" s="1287"/>
      <c r="S25" s="1198"/>
      <c r="T25" s="1198"/>
      <c r="U25" s="1288"/>
      <c r="V25" s="1287"/>
      <c r="W25" s="1198"/>
      <c r="X25" s="1191"/>
      <c r="Y25" s="437">
        <f t="shared" si="65"/>
        <v>0</v>
      </c>
      <c r="Z25" s="1287"/>
      <c r="AA25" s="1198"/>
      <c r="AB25" s="1191"/>
      <c r="AC25" s="1299">
        <f>$G25-Z25-AA25-AB25</f>
        <v>10000</v>
      </c>
      <c r="AD25" s="1287"/>
      <c r="AE25" s="1198"/>
      <c r="AF25" s="1198"/>
      <c r="AG25" s="1299">
        <f>$H25-AD25-AE25-AF25</f>
        <v>10000</v>
      </c>
      <c r="AH25" s="1287"/>
      <c r="AI25" s="1198"/>
      <c r="AJ25" s="1191"/>
      <c r="AK25" s="1299">
        <f>$I25-AH25-AI25-AJ25</f>
        <v>0</v>
      </c>
      <c r="AL25" s="1191"/>
      <c r="AM25" s="1198"/>
      <c r="AN25" s="1191"/>
      <c r="AO25" s="1302">
        <f>$J25-AL25-AM25-AN25</f>
        <v>0</v>
      </c>
      <c r="AP25" s="1191"/>
      <c r="AQ25" s="1198"/>
      <c r="AR25" s="1191"/>
      <c r="AS25" s="1299">
        <f>$K25-AP25-AQ25-AR25</f>
        <v>0</v>
      </c>
      <c r="AT25" s="1287"/>
      <c r="AU25" s="1198"/>
      <c r="AV25" s="1191"/>
      <c r="AW25" s="1299">
        <f>$L25-AT25-AU25-AV25</f>
        <v>0</v>
      </c>
      <c r="AX25" s="1287"/>
      <c r="AY25" s="1198"/>
      <c r="AZ25" s="1191"/>
      <c r="BA25" s="1299">
        <f>$M25-AX25-AY25-AZ25</f>
        <v>0</v>
      </c>
      <c r="BB25" s="1287"/>
      <c r="BC25" s="1198"/>
      <c r="BD25" s="1191"/>
      <c r="BE25" s="1299">
        <f>$N25-BB25-BC25-BD25</f>
        <v>0</v>
      </c>
      <c r="BF25" s="1287"/>
      <c r="BG25" s="1198"/>
      <c r="BH25" s="1191"/>
      <c r="BI25" s="437">
        <f t="shared" ref="BI25" si="163">$O25-BF25-BG25-BH25</f>
        <v>0</v>
      </c>
      <c r="BJ25" s="1287"/>
      <c r="BK25" s="1198"/>
      <c r="BL25" s="1191"/>
      <c r="BM25" s="1131">
        <f t="shared" ref="BM25" si="164">$P25-BJ25-BK25-BL25</f>
        <v>0</v>
      </c>
      <c r="BN25" s="1287"/>
      <c r="BO25" s="1198"/>
      <c r="BP25" s="1191"/>
      <c r="BQ25" s="1131">
        <f t="shared" si="143"/>
        <v>0</v>
      </c>
      <c r="BR25" s="1301"/>
      <c r="BS25" s="833"/>
      <c r="BT25" s="833"/>
      <c r="BU25" s="833"/>
      <c r="BV25" s="833"/>
      <c r="BW25" s="833"/>
      <c r="BX25" s="833"/>
      <c r="BY25" s="833"/>
      <c r="BZ25" s="833"/>
      <c r="CA25" s="833"/>
      <c r="CB25" s="833"/>
      <c r="CC25" s="833"/>
      <c r="CD25" s="833"/>
      <c r="CE25" s="833"/>
      <c r="CF25" s="833"/>
      <c r="CG25" s="46"/>
      <c r="CH25" s="46"/>
      <c r="CI25" s="46"/>
      <c r="CJ25" s="46"/>
      <c r="CK25" s="46"/>
      <c r="CL25" s="46"/>
      <c r="CM25" s="46"/>
      <c r="CN25" s="46"/>
      <c r="CO25" s="46"/>
      <c r="CP25" s="46"/>
      <c r="CQ25" s="46"/>
      <c r="CR25" s="46"/>
      <c r="CS25" s="46"/>
      <c r="CT25" s="1301"/>
      <c r="CU25" s="1301"/>
      <c r="CV25" s="1301"/>
      <c r="CW25" s="1301"/>
      <c r="CX25" s="1301"/>
    </row>
    <row r="26" spans="1:102" s="247" customFormat="1" x14ac:dyDescent="0.2">
      <c r="A26" s="666"/>
      <c r="B26" s="795"/>
      <c r="C26" s="795"/>
      <c r="D26" s="795"/>
      <c r="E26" s="1198"/>
      <c r="F26" s="1198"/>
      <c r="G26" s="2184"/>
      <c r="H26" s="1198"/>
      <c r="I26" s="1191"/>
      <c r="J26" s="1191"/>
      <c r="K26" s="1191"/>
      <c r="L26" s="1191"/>
      <c r="M26" s="1198"/>
      <c r="N26" s="1198"/>
      <c r="O26" s="1198"/>
      <c r="P26" s="1198"/>
      <c r="Q26" s="1299"/>
      <c r="R26" s="1287"/>
      <c r="S26" s="1198"/>
      <c r="T26" s="1198"/>
      <c r="U26" s="1288"/>
      <c r="V26" s="1287"/>
      <c r="W26" s="1198"/>
      <c r="X26" s="1191"/>
      <c r="Y26" s="437">
        <f t="shared" si="65"/>
        <v>0</v>
      </c>
      <c r="Z26" s="1287"/>
      <c r="AA26" s="1198"/>
      <c r="AB26" s="1191"/>
      <c r="AC26" s="1299"/>
      <c r="AD26" s="1287"/>
      <c r="AE26" s="1198"/>
      <c r="AF26" s="1198"/>
      <c r="AG26" s="1299"/>
      <c r="AH26" s="1287"/>
      <c r="AI26" s="1198"/>
      <c r="AJ26" s="1191"/>
      <c r="AK26" s="1299"/>
      <c r="AL26" s="1191"/>
      <c r="AM26" s="1198"/>
      <c r="AN26" s="1191"/>
      <c r="AO26" s="1302"/>
      <c r="AP26" s="1191"/>
      <c r="AQ26" s="1198"/>
      <c r="AR26" s="1191"/>
      <c r="AS26" s="1299"/>
      <c r="AT26" s="1287"/>
      <c r="AU26" s="1198"/>
      <c r="AV26" s="1191"/>
      <c r="AW26" s="1299"/>
      <c r="AX26" s="1287"/>
      <c r="AY26" s="1198"/>
      <c r="AZ26" s="1191"/>
      <c r="BA26" s="1299"/>
      <c r="BB26" s="1287"/>
      <c r="BC26" s="1198"/>
      <c r="BD26" s="1191"/>
      <c r="BE26" s="1299"/>
      <c r="BF26" s="1287"/>
      <c r="BG26" s="1198"/>
      <c r="BH26" s="1191"/>
      <c r="BI26" s="1299"/>
      <c r="BJ26" s="1287"/>
      <c r="BK26" s="1198"/>
      <c r="BL26" s="1191"/>
      <c r="BM26" s="1302"/>
      <c r="BN26" s="1287"/>
      <c r="BO26" s="1198"/>
      <c r="BP26" s="1191"/>
      <c r="BQ26" s="1302"/>
      <c r="BR26" s="1301"/>
      <c r="BS26" s="379"/>
      <c r="BT26" s="379"/>
      <c r="BU26" s="379"/>
      <c r="BV26" s="379"/>
      <c r="BW26" s="379"/>
      <c r="BX26" s="379"/>
      <c r="BY26" s="379"/>
      <c r="BZ26" s="379"/>
      <c r="CA26" s="379"/>
      <c r="CB26" s="379"/>
      <c r="CC26" s="379"/>
      <c r="CD26" s="379"/>
      <c r="CE26" s="379"/>
      <c r="CF26" s="379"/>
      <c r="CG26" s="46"/>
      <c r="CH26" s="46"/>
      <c r="CI26" s="46"/>
      <c r="CJ26" s="46"/>
      <c r="CK26" s="46"/>
      <c r="CL26" s="46"/>
      <c r="CM26" s="46"/>
      <c r="CN26" s="46"/>
      <c r="CO26" s="46"/>
      <c r="CP26" s="46"/>
      <c r="CQ26" s="46"/>
      <c r="CR26" s="46"/>
      <c r="CS26" s="46"/>
      <c r="CT26" s="1301"/>
      <c r="CU26" s="1301"/>
      <c r="CV26" s="1301"/>
      <c r="CW26" s="1301"/>
      <c r="CX26" s="1301"/>
    </row>
    <row r="27" spans="1:102" s="772" customFormat="1" x14ac:dyDescent="0.2">
      <c r="A27" s="776" t="s">
        <v>3774</v>
      </c>
      <c r="B27" s="795"/>
      <c r="C27" s="795"/>
      <c r="D27" s="795"/>
      <c r="E27" s="1198"/>
      <c r="F27" s="1200"/>
      <c r="G27" s="2184"/>
      <c r="H27" s="1200"/>
      <c r="I27" s="1199"/>
      <c r="J27" s="1199"/>
      <c r="K27" s="1199"/>
      <c r="L27" s="1199"/>
      <c r="M27" s="1200"/>
      <c r="N27" s="1200"/>
      <c r="O27" s="1200"/>
      <c r="P27" s="1200"/>
      <c r="Q27" s="1288"/>
      <c r="R27" s="1289"/>
      <c r="S27" s="1200"/>
      <c r="T27" s="1200"/>
      <c r="U27" s="1288"/>
      <c r="V27" s="1289"/>
      <c r="W27" s="1200"/>
      <c r="X27" s="1199"/>
      <c r="Y27" s="437">
        <f t="shared" si="65"/>
        <v>0</v>
      </c>
      <c r="Z27" s="1289"/>
      <c r="AA27" s="1200"/>
      <c r="AB27" s="1199"/>
      <c r="AC27" s="1288"/>
      <c r="AD27" s="1289"/>
      <c r="AE27" s="1200"/>
      <c r="AF27" s="1200"/>
      <c r="AG27" s="1288"/>
      <c r="AH27" s="1289"/>
      <c r="AI27" s="1200"/>
      <c r="AJ27" s="1199"/>
      <c r="AK27" s="1288"/>
      <c r="AL27" s="1199"/>
      <c r="AM27" s="1200"/>
      <c r="AN27" s="1199"/>
      <c r="AO27" s="1303"/>
      <c r="AP27" s="1199"/>
      <c r="AQ27" s="1200"/>
      <c r="AR27" s="1199"/>
      <c r="AS27" s="1288"/>
      <c r="AT27" s="1289"/>
      <c r="AU27" s="1200"/>
      <c r="AV27" s="1199"/>
      <c r="AW27" s="1288"/>
      <c r="AX27" s="1289"/>
      <c r="AY27" s="1200"/>
      <c r="AZ27" s="1199"/>
      <c r="BA27" s="1288"/>
      <c r="BB27" s="1289"/>
      <c r="BC27" s="1200"/>
      <c r="BD27" s="1199"/>
      <c r="BE27" s="1288"/>
      <c r="BF27" s="1289"/>
      <c r="BG27" s="1200"/>
      <c r="BH27" s="1199"/>
      <c r="BI27" s="1288"/>
      <c r="BJ27" s="1289"/>
      <c r="BK27" s="1200"/>
      <c r="BL27" s="1199"/>
      <c r="BM27" s="1303"/>
      <c r="BN27" s="1289"/>
      <c r="BO27" s="1200"/>
      <c r="BP27" s="1199"/>
      <c r="BQ27" s="1303"/>
      <c r="BR27" s="1300"/>
      <c r="BS27" s="379"/>
      <c r="BT27" s="379"/>
      <c r="BU27" s="379"/>
      <c r="BV27" s="379"/>
      <c r="BW27" s="379"/>
      <c r="BX27" s="379"/>
      <c r="BY27" s="379"/>
      <c r="BZ27" s="379"/>
      <c r="CA27" s="379"/>
      <c r="CB27" s="379"/>
      <c r="CC27" s="379"/>
      <c r="CD27" s="379"/>
      <c r="CE27" s="379"/>
      <c r="CF27" s="379"/>
      <c r="CG27" s="46"/>
      <c r="CH27" s="46"/>
      <c r="CI27" s="46"/>
      <c r="CJ27" s="46"/>
      <c r="CK27" s="46"/>
      <c r="CL27" s="46"/>
      <c r="CM27" s="46"/>
      <c r="CN27" s="46"/>
      <c r="CO27" s="46"/>
      <c r="CP27" s="46"/>
      <c r="CQ27" s="46"/>
      <c r="CR27" s="46"/>
      <c r="CS27" s="46"/>
      <c r="CT27" s="1300"/>
      <c r="CU27" s="1300"/>
      <c r="CV27" s="1300"/>
      <c r="CW27" s="1300"/>
      <c r="CX27" s="1300"/>
    </row>
    <row r="28" spans="1:102" s="772" customFormat="1" hidden="1" x14ac:dyDescent="0.2">
      <c r="A28" s="666" t="s">
        <v>2995</v>
      </c>
      <c r="B28" s="795" t="s">
        <v>3128</v>
      </c>
      <c r="C28" s="795" t="s">
        <v>4046</v>
      </c>
      <c r="D28" s="795"/>
      <c r="E28" s="1198">
        <v>69700</v>
      </c>
      <c r="F28" s="1200"/>
      <c r="G28" s="2184"/>
      <c r="H28" s="1200"/>
      <c r="I28" s="1199"/>
      <c r="J28" s="1199"/>
      <c r="K28" s="1199"/>
      <c r="L28" s="1199"/>
      <c r="M28" s="1200"/>
      <c r="N28" s="1200"/>
      <c r="O28" s="1200"/>
      <c r="P28" s="1200"/>
      <c r="Q28" s="1288"/>
      <c r="R28" s="1287"/>
      <c r="S28" s="1198">
        <f>E28-58000</f>
        <v>11700</v>
      </c>
      <c r="T28" s="1198"/>
      <c r="U28" s="1288">
        <f t="shared" ref="U28:U29" si="165">$E28-R28-S28-T28</f>
        <v>58000</v>
      </c>
      <c r="V28" s="1287"/>
      <c r="W28" s="1198">
        <f>F28</f>
        <v>0</v>
      </c>
      <c r="X28" s="1191"/>
      <c r="Y28" s="437">
        <f t="shared" si="65"/>
        <v>0</v>
      </c>
      <c r="Z28" s="1287"/>
      <c r="AA28" s="1198">
        <f>G28</f>
        <v>0</v>
      </c>
      <c r="AB28" s="1191"/>
      <c r="AC28" s="1299">
        <f>$G28-Z28-AA28-AB28</f>
        <v>0</v>
      </c>
      <c r="AD28" s="1289"/>
      <c r="AE28" s="1198">
        <f>ROUND(H28,-2)</f>
        <v>0</v>
      </c>
      <c r="AF28" s="1198"/>
      <c r="AG28" s="1299">
        <f>$H28-AD28-AE28-AF28</f>
        <v>0</v>
      </c>
      <c r="AH28" s="1287"/>
      <c r="AI28" s="1198">
        <f>ROUND(I28,-2)</f>
        <v>0</v>
      </c>
      <c r="AJ28" s="1191"/>
      <c r="AK28" s="1299">
        <f>$I28-AH28-AI28-AJ28</f>
        <v>0</v>
      </c>
      <c r="AL28" s="1191">
        <v>0</v>
      </c>
      <c r="AM28" s="1198">
        <f>ROUND(J28,-2)</f>
        <v>0</v>
      </c>
      <c r="AN28" s="1191"/>
      <c r="AO28" s="1302">
        <f>$J28-AL28-AM28-AN28</f>
        <v>0</v>
      </c>
      <c r="AP28" s="1191"/>
      <c r="AQ28" s="1198">
        <f>ROUND(K28,-2)</f>
        <v>0</v>
      </c>
      <c r="AR28" s="1191"/>
      <c r="AS28" s="1299">
        <f>$K28-AP28-AQ28-AR28</f>
        <v>0</v>
      </c>
      <c r="AT28" s="1287"/>
      <c r="AU28" s="1198">
        <f>ROUND(L28,-2)</f>
        <v>0</v>
      </c>
      <c r="AV28" s="1191"/>
      <c r="AW28" s="1299">
        <f>$L28-AT28-AU28-AV28</f>
        <v>0</v>
      </c>
      <c r="AX28" s="1287"/>
      <c r="AY28" s="1198">
        <f>ROUND(M28,-2)</f>
        <v>0</v>
      </c>
      <c r="AZ28" s="1191"/>
      <c r="BA28" s="1299">
        <f>$M28-AX28-AY28-AZ28</f>
        <v>0</v>
      </c>
      <c r="BB28" s="1287"/>
      <c r="BC28" s="1198">
        <f>ROUND(N28,-2)</f>
        <v>0</v>
      </c>
      <c r="BD28" s="1191"/>
      <c r="BE28" s="1299">
        <f t="shared" ref="BE28:BE30" si="166">$N28-BB28-BC28-BD28</f>
        <v>0</v>
      </c>
      <c r="BF28" s="1287"/>
      <c r="BG28" s="1198"/>
      <c r="BH28" s="1191"/>
      <c r="BI28" s="437">
        <f t="shared" ref="BI28:BI30" si="167">$O28-BF28-BG28-BH28</f>
        <v>0</v>
      </c>
      <c r="BJ28" s="1287"/>
      <c r="BK28" s="1198"/>
      <c r="BL28" s="1191"/>
      <c r="BM28" s="1131">
        <f t="shared" ref="BM28:BM30" si="168">$P28-BJ28-BK28-BL28</f>
        <v>0</v>
      </c>
      <c r="BN28" s="1287"/>
      <c r="BO28" s="1198"/>
      <c r="BP28" s="1191"/>
      <c r="BQ28" s="1131">
        <f t="shared" ref="BQ28" si="169">$P28-BN28-BO28-BP28</f>
        <v>0</v>
      </c>
      <c r="BR28" s="1300"/>
      <c r="BS28" s="833">
        <v>0</v>
      </c>
      <c r="BT28" s="833">
        <f t="shared" ref="BT28:CE28" si="170">BS28</f>
        <v>0</v>
      </c>
      <c r="BU28" s="833">
        <f t="shared" si="170"/>
        <v>0</v>
      </c>
      <c r="BV28" s="833">
        <f t="shared" si="170"/>
        <v>0</v>
      </c>
      <c r="BW28" s="833">
        <f t="shared" si="170"/>
        <v>0</v>
      </c>
      <c r="BX28" s="833">
        <f t="shared" si="170"/>
        <v>0</v>
      </c>
      <c r="BY28" s="833">
        <f t="shared" si="170"/>
        <v>0</v>
      </c>
      <c r="BZ28" s="833">
        <f t="shared" si="170"/>
        <v>0</v>
      </c>
      <c r="CA28" s="833">
        <f t="shared" si="170"/>
        <v>0</v>
      </c>
      <c r="CB28" s="833">
        <f t="shared" si="170"/>
        <v>0</v>
      </c>
      <c r="CC28" s="833">
        <f t="shared" si="170"/>
        <v>0</v>
      </c>
      <c r="CD28" s="833">
        <f t="shared" si="170"/>
        <v>0</v>
      </c>
      <c r="CE28" s="833">
        <f t="shared" si="170"/>
        <v>0</v>
      </c>
      <c r="CF28" s="833"/>
      <c r="CG28" s="46">
        <f t="shared" ref="CG28:CS29" si="171">ROUND(BS28*E28,-3)</f>
        <v>0</v>
      </c>
      <c r="CH28" s="46">
        <f t="shared" si="171"/>
        <v>0</v>
      </c>
      <c r="CI28" s="46">
        <f t="shared" si="171"/>
        <v>0</v>
      </c>
      <c r="CJ28" s="46">
        <f t="shared" si="171"/>
        <v>0</v>
      </c>
      <c r="CK28" s="46">
        <f t="shared" si="171"/>
        <v>0</v>
      </c>
      <c r="CL28" s="46">
        <f t="shared" si="171"/>
        <v>0</v>
      </c>
      <c r="CM28" s="46">
        <f t="shared" si="171"/>
        <v>0</v>
      </c>
      <c r="CN28" s="46">
        <f t="shared" si="171"/>
        <v>0</v>
      </c>
      <c r="CO28" s="46">
        <f t="shared" si="171"/>
        <v>0</v>
      </c>
      <c r="CP28" s="46">
        <f t="shared" si="171"/>
        <v>0</v>
      </c>
      <c r="CQ28" s="46">
        <f t="shared" si="171"/>
        <v>0</v>
      </c>
      <c r="CR28" s="46">
        <f t="shared" si="171"/>
        <v>0</v>
      </c>
      <c r="CS28" s="46">
        <f t="shared" si="171"/>
        <v>0</v>
      </c>
      <c r="CT28" s="1300"/>
      <c r="CU28" s="1300"/>
      <c r="CV28" s="1300"/>
      <c r="CW28" s="1300"/>
      <c r="CX28" s="1300"/>
    </row>
    <row r="29" spans="1:102" s="772" customFormat="1" x14ac:dyDescent="0.2">
      <c r="A29" s="666" t="s">
        <v>4099</v>
      </c>
      <c r="B29" s="795" t="s">
        <v>3129</v>
      </c>
      <c r="C29" s="795" t="s">
        <v>4047</v>
      </c>
      <c r="D29" s="795" t="s">
        <v>4047</v>
      </c>
      <c r="E29" s="1198"/>
      <c r="F29" s="1200"/>
      <c r="G29" s="2184">
        <f>134000-134000</f>
        <v>0</v>
      </c>
      <c r="H29" s="1200"/>
      <c r="I29" s="1199"/>
      <c r="J29" s="1199"/>
      <c r="K29" s="1199"/>
      <c r="L29" s="1199"/>
      <c r="M29" s="1200"/>
      <c r="N29" s="1200"/>
      <c r="O29" s="1200"/>
      <c r="P29" s="1200"/>
      <c r="Q29" s="1288"/>
      <c r="R29" s="1287"/>
      <c r="S29" s="1198">
        <f>E29</f>
        <v>0</v>
      </c>
      <c r="T29" s="1198"/>
      <c r="U29" s="1288">
        <f t="shared" si="165"/>
        <v>0</v>
      </c>
      <c r="V29" s="1287"/>
      <c r="W29" s="1198">
        <f>F29</f>
        <v>0</v>
      </c>
      <c r="X29" s="1191"/>
      <c r="Y29" s="437">
        <f t="shared" si="65"/>
        <v>0</v>
      </c>
      <c r="Z29" s="1287"/>
      <c r="AA29" s="1198">
        <f>G29</f>
        <v>0</v>
      </c>
      <c r="AB29" s="1191"/>
      <c r="AC29" s="1299">
        <f t="shared" ref="AC29:AC30" si="172">$G29-Z29-AA29-AB29</f>
        <v>0</v>
      </c>
      <c r="AD29" s="1289"/>
      <c r="AE29" s="1198">
        <f>ROUND(H29,-2)</f>
        <v>0</v>
      </c>
      <c r="AF29" s="1198"/>
      <c r="AG29" s="1299">
        <f t="shared" ref="AG29:AG30" si="173">$H29-AD29-AE29-AF29</f>
        <v>0</v>
      </c>
      <c r="AH29" s="1287"/>
      <c r="AI29" s="1198">
        <f>ROUND(I29,-2)</f>
        <v>0</v>
      </c>
      <c r="AJ29" s="1191"/>
      <c r="AK29" s="1299">
        <f t="shared" ref="AK29:AK30" si="174">$I29-AH29-AI29-AJ29</f>
        <v>0</v>
      </c>
      <c r="AL29" s="1191">
        <v>0</v>
      </c>
      <c r="AM29" s="1198">
        <f>ROUND(J29,-2)</f>
        <v>0</v>
      </c>
      <c r="AN29" s="1191"/>
      <c r="AO29" s="1302">
        <f t="shared" ref="AO29:AO30" si="175">$J29-AL29-AM29-AN29</f>
        <v>0</v>
      </c>
      <c r="AP29" s="1191"/>
      <c r="AQ29" s="1198">
        <f>ROUND(K29,-2)</f>
        <v>0</v>
      </c>
      <c r="AR29" s="1191"/>
      <c r="AS29" s="1299">
        <f t="shared" ref="AS29:AS30" si="176">$K29-AP29-AQ29-AR29</f>
        <v>0</v>
      </c>
      <c r="AT29" s="1287"/>
      <c r="AU29" s="1198">
        <f>ROUND(L29,-2)</f>
        <v>0</v>
      </c>
      <c r="AV29" s="1191"/>
      <c r="AW29" s="1299">
        <f t="shared" ref="AW29:AW30" si="177">$L29-AT29-AU29-AV29</f>
        <v>0</v>
      </c>
      <c r="AX29" s="1287"/>
      <c r="AY29" s="1198">
        <f>ROUND(M29,-2)</f>
        <v>0</v>
      </c>
      <c r="AZ29" s="1191"/>
      <c r="BA29" s="1299">
        <f t="shared" ref="BA29:BA30" si="178">$M29-AX29-AY29-AZ29</f>
        <v>0</v>
      </c>
      <c r="BB29" s="1287"/>
      <c r="BC29" s="1198">
        <f>ROUND(N29,-2)</f>
        <v>0</v>
      </c>
      <c r="BD29" s="1191"/>
      <c r="BE29" s="1299">
        <f t="shared" si="166"/>
        <v>0</v>
      </c>
      <c r="BF29" s="1287"/>
      <c r="BG29" s="1198"/>
      <c r="BH29" s="1191"/>
      <c r="BI29" s="437">
        <f t="shared" si="167"/>
        <v>0</v>
      </c>
      <c r="BJ29" s="1287"/>
      <c r="BK29" s="1198"/>
      <c r="BL29" s="1191"/>
      <c r="BM29" s="1131">
        <f t="shared" si="168"/>
        <v>0</v>
      </c>
      <c r="BN29" s="1287"/>
      <c r="BO29" s="1198"/>
      <c r="BP29" s="1191"/>
      <c r="BQ29" s="1131">
        <f t="shared" ref="BQ29:BQ30" si="179">$Q29-BN29-BO29-BP29</f>
        <v>0</v>
      </c>
      <c r="BR29" s="1300"/>
      <c r="BS29" s="833">
        <v>0</v>
      </c>
      <c r="BT29" s="833">
        <f t="shared" ref="BT29:CE29" si="180">BS29</f>
        <v>0</v>
      </c>
      <c r="BU29" s="833">
        <f t="shared" si="180"/>
        <v>0</v>
      </c>
      <c r="BV29" s="833">
        <f t="shared" si="180"/>
        <v>0</v>
      </c>
      <c r="BW29" s="833">
        <f t="shared" si="180"/>
        <v>0</v>
      </c>
      <c r="BX29" s="833">
        <f t="shared" si="180"/>
        <v>0</v>
      </c>
      <c r="BY29" s="833">
        <f t="shared" si="180"/>
        <v>0</v>
      </c>
      <c r="BZ29" s="833">
        <f t="shared" si="180"/>
        <v>0</v>
      </c>
      <c r="CA29" s="833">
        <f t="shared" si="180"/>
        <v>0</v>
      </c>
      <c r="CB29" s="833">
        <f t="shared" si="180"/>
        <v>0</v>
      </c>
      <c r="CC29" s="833">
        <f t="shared" si="180"/>
        <v>0</v>
      </c>
      <c r="CD29" s="833">
        <f t="shared" si="180"/>
        <v>0</v>
      </c>
      <c r="CE29" s="833">
        <f t="shared" si="180"/>
        <v>0</v>
      </c>
      <c r="CF29" s="833"/>
      <c r="CG29" s="46">
        <f t="shared" si="171"/>
        <v>0</v>
      </c>
      <c r="CH29" s="46">
        <f t="shared" si="171"/>
        <v>0</v>
      </c>
      <c r="CI29" s="46">
        <f t="shared" si="171"/>
        <v>0</v>
      </c>
      <c r="CJ29" s="46">
        <f t="shared" si="171"/>
        <v>0</v>
      </c>
      <c r="CK29" s="46">
        <f t="shared" si="171"/>
        <v>0</v>
      </c>
      <c r="CL29" s="46">
        <f t="shared" si="171"/>
        <v>0</v>
      </c>
      <c r="CM29" s="46">
        <f t="shared" si="171"/>
        <v>0</v>
      </c>
      <c r="CN29" s="46">
        <f t="shared" si="171"/>
        <v>0</v>
      </c>
      <c r="CO29" s="46">
        <f t="shared" si="171"/>
        <v>0</v>
      </c>
      <c r="CP29" s="46">
        <f t="shared" si="171"/>
        <v>0</v>
      </c>
      <c r="CQ29" s="46">
        <f t="shared" si="171"/>
        <v>0</v>
      </c>
      <c r="CR29" s="46">
        <f t="shared" si="171"/>
        <v>0</v>
      </c>
      <c r="CS29" s="46">
        <f t="shared" si="171"/>
        <v>0</v>
      </c>
      <c r="CT29" s="1300"/>
      <c r="CU29" s="1300"/>
      <c r="CV29" s="1300"/>
      <c r="CW29" s="1300"/>
      <c r="CX29" s="1300"/>
    </row>
    <row r="30" spans="1:102" s="772" customFormat="1" x14ac:dyDescent="0.2">
      <c r="A30" s="666" t="s">
        <v>5952</v>
      </c>
      <c r="B30" s="795" t="s">
        <v>6317</v>
      </c>
      <c r="C30" s="662" t="s">
        <v>6318</v>
      </c>
      <c r="D30" s="662" t="s">
        <v>6318</v>
      </c>
      <c r="E30" s="1198"/>
      <c r="F30" s="1200"/>
      <c r="G30" s="2184">
        <f>500000+100000-550000</f>
        <v>50000</v>
      </c>
      <c r="H30" s="1200"/>
      <c r="I30" s="1199"/>
      <c r="J30" s="1199"/>
      <c r="K30" s="1199"/>
      <c r="L30" s="1199"/>
      <c r="M30" s="1199"/>
      <c r="N30" s="1199"/>
      <c r="O30" s="1200"/>
      <c r="P30" s="1200"/>
      <c r="Q30" s="1288"/>
      <c r="R30" s="1287"/>
      <c r="S30" s="1198"/>
      <c r="T30" s="1198"/>
      <c r="U30" s="1288"/>
      <c r="V30" s="1287"/>
      <c r="W30" s="1198"/>
      <c r="X30" s="1191"/>
      <c r="Y30" s="437">
        <f>$F30-V30-W30-X30</f>
        <v>0</v>
      </c>
      <c r="Z30" s="1287"/>
      <c r="AA30" s="1198">
        <v>50000</v>
      </c>
      <c r="AB30" s="1191"/>
      <c r="AC30" s="1299">
        <f t="shared" si="172"/>
        <v>0</v>
      </c>
      <c r="AD30" s="1289"/>
      <c r="AE30" s="1198"/>
      <c r="AF30" s="1198"/>
      <c r="AG30" s="1299">
        <f t="shared" si="173"/>
        <v>0</v>
      </c>
      <c r="AH30" s="1287"/>
      <c r="AI30" s="1198"/>
      <c r="AJ30" s="1191"/>
      <c r="AK30" s="1299">
        <f t="shared" si="174"/>
        <v>0</v>
      </c>
      <c r="AL30" s="1191"/>
      <c r="AM30" s="1198"/>
      <c r="AN30" s="1191"/>
      <c r="AO30" s="1302">
        <f t="shared" si="175"/>
        <v>0</v>
      </c>
      <c r="AP30" s="1191"/>
      <c r="AQ30" s="1198"/>
      <c r="AR30" s="1191"/>
      <c r="AS30" s="1299">
        <f t="shared" si="176"/>
        <v>0</v>
      </c>
      <c r="AT30" s="1287"/>
      <c r="AU30" s="1198"/>
      <c r="AV30" s="1191"/>
      <c r="AW30" s="1299">
        <f t="shared" si="177"/>
        <v>0</v>
      </c>
      <c r="AX30" s="1287"/>
      <c r="AY30" s="1198"/>
      <c r="AZ30" s="1191"/>
      <c r="BA30" s="1299">
        <f t="shared" si="178"/>
        <v>0</v>
      </c>
      <c r="BB30" s="1287"/>
      <c r="BC30" s="1198"/>
      <c r="BD30" s="1191"/>
      <c r="BE30" s="1299">
        <f t="shared" si="166"/>
        <v>0</v>
      </c>
      <c r="BF30" s="1287"/>
      <c r="BG30" s="1198"/>
      <c r="BH30" s="1191"/>
      <c r="BI30" s="437">
        <f t="shared" si="167"/>
        <v>0</v>
      </c>
      <c r="BJ30" s="1287"/>
      <c r="BK30" s="1198"/>
      <c r="BL30" s="1191"/>
      <c r="BM30" s="1131">
        <f t="shared" si="168"/>
        <v>0</v>
      </c>
      <c r="BN30" s="1287"/>
      <c r="BO30" s="1198"/>
      <c r="BP30" s="1191"/>
      <c r="BQ30" s="1131">
        <f t="shared" si="179"/>
        <v>0</v>
      </c>
      <c r="BR30" s="1300"/>
      <c r="BS30" s="833">
        <v>0</v>
      </c>
      <c r="BT30" s="833">
        <f t="shared" ref="BT30" si="181">BS30</f>
        <v>0</v>
      </c>
      <c r="BU30" s="833">
        <f t="shared" ref="BU30" si="182">BT30</f>
        <v>0</v>
      </c>
      <c r="BV30" s="833">
        <f t="shared" ref="BV30" si="183">BU30</f>
        <v>0</v>
      </c>
      <c r="BW30" s="833">
        <f t="shared" ref="BW30" si="184">BV30</f>
        <v>0</v>
      </c>
      <c r="BX30" s="833">
        <f t="shared" ref="BX30" si="185">BW30</f>
        <v>0</v>
      </c>
      <c r="BY30" s="833">
        <f t="shared" ref="BY30" si="186">BX30</f>
        <v>0</v>
      </c>
      <c r="BZ30" s="833">
        <f t="shared" ref="BZ30" si="187">BY30</f>
        <v>0</v>
      </c>
      <c r="CA30" s="833">
        <f t="shared" ref="CA30" si="188">BZ30</f>
        <v>0</v>
      </c>
      <c r="CB30" s="833">
        <f t="shared" ref="CB30" si="189">CA30</f>
        <v>0</v>
      </c>
      <c r="CC30" s="833">
        <f t="shared" ref="CC30:CE30" si="190">CB30</f>
        <v>0</v>
      </c>
      <c r="CD30" s="833">
        <f t="shared" si="190"/>
        <v>0</v>
      </c>
      <c r="CE30" s="833">
        <f t="shared" si="190"/>
        <v>0</v>
      </c>
      <c r="CF30" s="833"/>
      <c r="CG30" s="46"/>
      <c r="CH30" s="46"/>
      <c r="CI30" s="46"/>
      <c r="CJ30" s="46"/>
      <c r="CK30" s="46"/>
      <c r="CL30" s="46"/>
      <c r="CM30" s="46"/>
      <c r="CN30" s="46"/>
      <c r="CO30" s="46"/>
      <c r="CP30" s="46"/>
      <c r="CQ30" s="46"/>
      <c r="CR30" s="46"/>
      <c r="CS30" s="46"/>
      <c r="CT30" s="1300"/>
      <c r="CU30" s="1300"/>
      <c r="CV30" s="1300"/>
      <c r="CW30" s="1300"/>
      <c r="CX30" s="1300"/>
    </row>
    <row r="31" spans="1:102" s="772" customFormat="1" x14ac:dyDescent="0.2">
      <c r="A31" s="666"/>
      <c r="B31" s="662"/>
      <c r="C31" s="662"/>
      <c r="D31" s="662"/>
      <c r="E31" s="1198"/>
      <c r="F31" s="1200"/>
      <c r="G31" s="2184"/>
      <c r="H31" s="1200"/>
      <c r="I31" s="1199"/>
      <c r="J31" s="1199"/>
      <c r="K31" s="1199"/>
      <c r="L31" s="1199"/>
      <c r="M31" s="1199"/>
      <c r="N31" s="1199"/>
      <c r="O31" s="1200"/>
      <c r="P31" s="1200"/>
      <c r="Q31" s="1288"/>
      <c r="R31" s="1289"/>
      <c r="S31" s="1200"/>
      <c r="T31" s="1200"/>
      <c r="U31" s="1288"/>
      <c r="V31" s="1289"/>
      <c r="W31" s="1200"/>
      <c r="X31" s="1199"/>
      <c r="Y31" s="437">
        <f t="shared" si="65"/>
        <v>0</v>
      </c>
      <c r="Z31" s="1289"/>
      <c r="AA31" s="1200"/>
      <c r="AB31" s="1199"/>
      <c r="AC31" s="1288"/>
      <c r="AD31" s="1289"/>
      <c r="AE31" s="1200"/>
      <c r="AF31" s="1200"/>
      <c r="AG31" s="1288"/>
      <c r="AH31" s="1289"/>
      <c r="AI31" s="1200"/>
      <c r="AJ31" s="1199"/>
      <c r="AK31" s="1288"/>
      <c r="AL31" s="1199"/>
      <c r="AM31" s="1200"/>
      <c r="AN31" s="1199"/>
      <c r="AO31" s="1303"/>
      <c r="AP31" s="1199"/>
      <c r="AQ31" s="1200"/>
      <c r="AR31" s="1199"/>
      <c r="AS31" s="1288"/>
      <c r="AT31" s="1289"/>
      <c r="AU31" s="1200"/>
      <c r="AV31" s="1199"/>
      <c r="AW31" s="1288"/>
      <c r="AX31" s="1289"/>
      <c r="AY31" s="1200"/>
      <c r="AZ31" s="1199"/>
      <c r="BA31" s="1288"/>
      <c r="BB31" s="1289"/>
      <c r="BC31" s="1200"/>
      <c r="BD31" s="1199"/>
      <c r="BE31" s="1288"/>
      <c r="BF31" s="1289"/>
      <c r="BG31" s="1200"/>
      <c r="BH31" s="1199"/>
      <c r="BI31" s="1288"/>
      <c r="BJ31" s="1289"/>
      <c r="BK31" s="1200"/>
      <c r="BL31" s="1199"/>
      <c r="BM31" s="1303"/>
      <c r="BN31" s="1289"/>
      <c r="BO31" s="1200"/>
      <c r="BP31" s="1199"/>
      <c r="BQ31" s="1303"/>
      <c r="BR31" s="1300"/>
      <c r="BS31" s="833"/>
      <c r="BT31" s="833"/>
      <c r="BU31" s="833"/>
      <c r="BV31" s="833"/>
      <c r="BW31" s="833"/>
      <c r="BX31" s="833"/>
      <c r="BY31" s="833"/>
      <c r="BZ31" s="833"/>
      <c r="CA31" s="833"/>
      <c r="CB31" s="833"/>
      <c r="CC31" s="833"/>
      <c r="CD31" s="833"/>
      <c r="CE31" s="833"/>
      <c r="CF31" s="833"/>
      <c r="CG31" s="46"/>
      <c r="CH31" s="46"/>
      <c r="CI31" s="46"/>
      <c r="CJ31" s="46"/>
      <c r="CK31" s="46"/>
      <c r="CL31" s="46"/>
      <c r="CM31" s="46"/>
      <c r="CN31" s="46"/>
      <c r="CO31" s="46"/>
      <c r="CP31" s="46"/>
      <c r="CQ31" s="46"/>
      <c r="CR31" s="46"/>
      <c r="CS31" s="46"/>
      <c r="CT31" s="1300"/>
      <c r="CU31" s="1300"/>
      <c r="CV31" s="1300"/>
      <c r="CW31" s="1300"/>
      <c r="CX31" s="1300"/>
    </row>
    <row r="32" spans="1:102" s="247" customFormat="1" x14ac:dyDescent="0.2">
      <c r="A32" s="776" t="s">
        <v>3542</v>
      </c>
      <c r="B32" s="371"/>
      <c r="C32" s="371"/>
      <c r="D32" s="371"/>
      <c r="E32" s="1198"/>
      <c r="F32" s="1198"/>
      <c r="G32" s="2184"/>
      <c r="H32" s="1198"/>
      <c r="I32" s="1199"/>
      <c r="J32" s="1199"/>
      <c r="K32" s="1199"/>
      <c r="L32" s="1199"/>
      <c r="M32" s="1199"/>
      <c r="N32" s="1199"/>
      <c r="O32" s="1200"/>
      <c r="P32" s="1200"/>
      <c r="Q32" s="1288"/>
      <c r="R32" s="1287"/>
      <c r="S32" s="1198"/>
      <c r="T32" s="1198"/>
      <c r="U32" s="1288"/>
      <c r="V32" s="1287"/>
      <c r="W32" s="1198"/>
      <c r="X32" s="1191"/>
      <c r="Y32" s="437">
        <f t="shared" si="65"/>
        <v>0</v>
      </c>
      <c r="Z32" s="1287"/>
      <c r="AA32" s="1198"/>
      <c r="AB32" s="1191"/>
      <c r="AC32" s="1299"/>
      <c r="AD32" s="1287"/>
      <c r="AE32" s="1198"/>
      <c r="AF32" s="1198"/>
      <c r="AG32" s="1299"/>
      <c r="AH32" s="1287"/>
      <c r="AI32" s="1198"/>
      <c r="AJ32" s="1191"/>
      <c r="AK32" s="1299"/>
      <c r="AL32" s="1191"/>
      <c r="AM32" s="1198"/>
      <c r="AN32" s="1191"/>
      <c r="AO32" s="1302"/>
      <c r="AP32" s="1191"/>
      <c r="AQ32" s="1198"/>
      <c r="AR32" s="1191"/>
      <c r="AS32" s="1299"/>
      <c r="AT32" s="1287"/>
      <c r="AU32" s="1198"/>
      <c r="AV32" s="1191"/>
      <c r="AW32" s="1299"/>
      <c r="AX32" s="1287"/>
      <c r="AY32" s="1198"/>
      <c r="AZ32" s="1191"/>
      <c r="BA32" s="1299"/>
      <c r="BB32" s="1287"/>
      <c r="BC32" s="1198"/>
      <c r="BD32" s="1191"/>
      <c r="BE32" s="1299"/>
      <c r="BF32" s="1287"/>
      <c r="BG32" s="1198"/>
      <c r="BH32" s="1191"/>
      <c r="BI32" s="1299"/>
      <c r="BJ32" s="1287"/>
      <c r="BK32" s="1198"/>
      <c r="BL32" s="1191"/>
      <c r="BM32" s="1302"/>
      <c r="BN32" s="1287"/>
      <c r="BO32" s="1198"/>
      <c r="BP32" s="1191"/>
      <c r="BQ32" s="1302"/>
      <c r="BR32" s="1301"/>
      <c r="BS32" s="833"/>
      <c r="BT32" s="833"/>
      <c r="BU32" s="833"/>
      <c r="BV32" s="833"/>
      <c r="BW32" s="833"/>
      <c r="BX32" s="833"/>
      <c r="BY32" s="833"/>
      <c r="BZ32" s="833"/>
      <c r="CA32" s="833"/>
      <c r="CB32" s="833"/>
      <c r="CC32" s="833"/>
      <c r="CD32" s="833"/>
      <c r="CE32" s="833"/>
      <c r="CF32" s="833"/>
      <c r="CG32" s="46"/>
      <c r="CH32" s="46"/>
      <c r="CI32" s="46"/>
      <c r="CJ32" s="46"/>
      <c r="CK32" s="46"/>
      <c r="CL32" s="46"/>
      <c r="CM32" s="46"/>
      <c r="CN32" s="46"/>
      <c r="CO32" s="46"/>
      <c r="CP32" s="46"/>
      <c r="CQ32" s="46"/>
      <c r="CR32" s="46"/>
      <c r="CS32" s="46"/>
      <c r="CT32" s="1301"/>
      <c r="CU32" s="1301"/>
      <c r="CV32" s="1301"/>
      <c r="CW32" s="1301"/>
      <c r="CX32" s="1301"/>
    </row>
    <row r="33" spans="1:102" s="247" customFormat="1" x14ac:dyDescent="0.2">
      <c r="A33" s="666" t="s">
        <v>3775</v>
      </c>
      <c r="B33" s="662" t="s">
        <v>1499</v>
      </c>
      <c r="C33" s="662" t="s">
        <v>4965</v>
      </c>
      <c r="D33" s="662"/>
      <c r="E33" s="1198">
        <v>139300</v>
      </c>
      <c r="F33" s="1198"/>
      <c r="G33" s="2184"/>
      <c r="H33" s="1198"/>
      <c r="I33" s="1191"/>
      <c r="J33" s="1191"/>
      <c r="K33" s="1191"/>
      <c r="L33" s="1191"/>
      <c r="M33" s="1198"/>
      <c r="N33" s="1198"/>
      <c r="O33" s="1200"/>
      <c r="P33" s="1200"/>
      <c r="Q33" s="1288"/>
      <c r="R33" s="1287"/>
      <c r="S33" s="1198">
        <v>46000</v>
      </c>
      <c r="T33" s="1198"/>
      <c r="U33" s="1288">
        <f t="shared" si="91"/>
        <v>93300</v>
      </c>
      <c r="V33" s="1287"/>
      <c r="W33" s="1198">
        <f>F33</f>
        <v>0</v>
      </c>
      <c r="X33" s="1191"/>
      <c r="Y33" s="437">
        <f t="shared" si="65"/>
        <v>0</v>
      </c>
      <c r="Z33" s="1287"/>
      <c r="AA33" s="1198">
        <f>G33</f>
        <v>0</v>
      </c>
      <c r="AB33" s="1191"/>
      <c r="AC33" s="1299">
        <f t="shared" ref="AC33:AC37" si="191">$G33-Z33-AA33-AB33</f>
        <v>0</v>
      </c>
      <c r="AD33" s="1287"/>
      <c r="AE33" s="1198">
        <f>ROUND(H33,-2)</f>
        <v>0</v>
      </c>
      <c r="AF33" s="1198"/>
      <c r="AG33" s="1299">
        <f t="shared" ref="AG33:AG37" si="192">$H33-AD33-AE33-AF33</f>
        <v>0</v>
      </c>
      <c r="AH33" s="1287"/>
      <c r="AI33" s="1198">
        <f>ROUND(I33,-2)</f>
        <v>0</v>
      </c>
      <c r="AJ33" s="1191"/>
      <c r="AK33" s="1299">
        <f t="shared" ref="AK33:AK37" si="193">$I33-AH33-AI33-AJ33</f>
        <v>0</v>
      </c>
      <c r="AL33" s="1191">
        <v>0</v>
      </c>
      <c r="AM33" s="1198">
        <f>ROUND(J33,-2)</f>
        <v>0</v>
      </c>
      <c r="AN33" s="1191"/>
      <c r="AO33" s="1302">
        <f t="shared" ref="AO33:AO37" si="194">$J33-AL33-AM33-AN33</f>
        <v>0</v>
      </c>
      <c r="AP33" s="1191"/>
      <c r="AQ33" s="1198">
        <f>ROUND(K33,-2)</f>
        <v>0</v>
      </c>
      <c r="AR33" s="1191"/>
      <c r="AS33" s="1299">
        <f t="shared" ref="AS33:AS37" si="195">$K33-AP33-AQ33-AR33</f>
        <v>0</v>
      </c>
      <c r="AT33" s="1287"/>
      <c r="AU33" s="1198">
        <f>ROUND(L33,-2)</f>
        <v>0</v>
      </c>
      <c r="AV33" s="1191"/>
      <c r="AW33" s="1299">
        <f t="shared" ref="AW33:AW37" si="196">$L33-AT33-AU33-AV33</f>
        <v>0</v>
      </c>
      <c r="AX33" s="1287"/>
      <c r="AY33" s="1198">
        <f>ROUND(M33,-2)</f>
        <v>0</v>
      </c>
      <c r="AZ33" s="1191"/>
      <c r="BA33" s="1299">
        <f t="shared" ref="BA33:BA37" si="197">$M33-AX33-AY33-AZ33</f>
        <v>0</v>
      </c>
      <c r="BB33" s="1287"/>
      <c r="BC33" s="1198">
        <f>ROUND(N33,-2)</f>
        <v>0</v>
      </c>
      <c r="BD33" s="1191"/>
      <c r="BE33" s="1299">
        <f t="shared" ref="BE33:BE37" si="198">$N33-BB33-BC33-BD33</f>
        <v>0</v>
      </c>
      <c r="BF33" s="1287"/>
      <c r="BG33" s="1198"/>
      <c r="BH33" s="1191"/>
      <c r="BI33" s="437">
        <f t="shared" ref="BI33:BI37" si="199">$O33-BF33-BG33-BH33</f>
        <v>0</v>
      </c>
      <c r="BJ33" s="1287"/>
      <c r="BK33" s="1198"/>
      <c r="BL33" s="1191"/>
      <c r="BM33" s="1131">
        <f t="shared" ref="BM33:BM37" si="200">$P33-BJ33-BK33-BL33</f>
        <v>0</v>
      </c>
      <c r="BN33" s="1287"/>
      <c r="BO33" s="1198"/>
      <c r="BP33" s="1191"/>
      <c r="BQ33" s="1131">
        <f t="shared" ref="BQ33:BQ37" si="201">$Q33-BN33-BO33-BP33</f>
        <v>0</v>
      </c>
      <c r="BR33" s="1301"/>
      <c r="BS33" s="833">
        <v>1</v>
      </c>
      <c r="BT33" s="833">
        <f t="shared" ref="BT33:CE33" si="202">BS33</f>
        <v>1</v>
      </c>
      <c r="BU33" s="833">
        <f t="shared" si="202"/>
        <v>1</v>
      </c>
      <c r="BV33" s="833">
        <f t="shared" si="202"/>
        <v>1</v>
      </c>
      <c r="BW33" s="833">
        <f t="shared" si="202"/>
        <v>1</v>
      </c>
      <c r="BX33" s="833">
        <f t="shared" si="202"/>
        <v>1</v>
      </c>
      <c r="BY33" s="833">
        <f t="shared" si="202"/>
        <v>1</v>
      </c>
      <c r="BZ33" s="833">
        <f t="shared" si="202"/>
        <v>1</v>
      </c>
      <c r="CA33" s="833">
        <f t="shared" si="202"/>
        <v>1</v>
      </c>
      <c r="CB33" s="833">
        <f t="shared" si="202"/>
        <v>1</v>
      </c>
      <c r="CC33" s="833">
        <f t="shared" si="202"/>
        <v>1</v>
      </c>
      <c r="CD33" s="833">
        <f t="shared" si="202"/>
        <v>1</v>
      </c>
      <c r="CE33" s="833">
        <f t="shared" si="202"/>
        <v>1</v>
      </c>
      <c r="CF33" s="833"/>
      <c r="CG33" s="46">
        <f t="shared" ref="CG33:CS37" si="203">ROUND(BS33*E33,-3)</f>
        <v>139000</v>
      </c>
      <c r="CH33" s="46">
        <f t="shared" si="203"/>
        <v>0</v>
      </c>
      <c r="CI33" s="46">
        <f t="shared" si="203"/>
        <v>0</v>
      </c>
      <c r="CJ33" s="46">
        <f t="shared" si="203"/>
        <v>0</v>
      </c>
      <c r="CK33" s="46">
        <f t="shared" si="203"/>
        <v>0</v>
      </c>
      <c r="CL33" s="46">
        <f t="shared" si="203"/>
        <v>0</v>
      </c>
      <c r="CM33" s="46">
        <f t="shared" si="203"/>
        <v>0</v>
      </c>
      <c r="CN33" s="46">
        <f t="shared" si="203"/>
        <v>0</v>
      </c>
      <c r="CO33" s="46">
        <f t="shared" si="203"/>
        <v>0</v>
      </c>
      <c r="CP33" s="46">
        <f t="shared" si="203"/>
        <v>0</v>
      </c>
      <c r="CQ33" s="46">
        <f t="shared" si="203"/>
        <v>0</v>
      </c>
      <c r="CR33" s="46">
        <f t="shared" si="203"/>
        <v>0</v>
      </c>
      <c r="CS33" s="46">
        <f t="shared" si="203"/>
        <v>0</v>
      </c>
      <c r="CT33" s="1301"/>
      <c r="CU33" s="1301"/>
      <c r="CV33" s="1301"/>
      <c r="CW33" s="1301"/>
      <c r="CX33" s="1301"/>
    </row>
    <row r="34" spans="1:102" s="247" customFormat="1" x14ac:dyDescent="0.2">
      <c r="A34" s="666" t="s">
        <v>3776</v>
      </c>
      <c r="B34" s="795" t="s">
        <v>910</v>
      </c>
      <c r="C34" s="795" t="s">
        <v>4959</v>
      </c>
      <c r="D34" s="795" t="s">
        <v>910</v>
      </c>
      <c r="E34" s="1198">
        <v>10000</v>
      </c>
      <c r="F34" s="1198">
        <v>28500</v>
      </c>
      <c r="G34" s="2184">
        <f>160000+21500</f>
        <v>181500</v>
      </c>
      <c r="H34" s="1198"/>
      <c r="I34" s="1191"/>
      <c r="J34" s="1191"/>
      <c r="K34" s="1191"/>
      <c r="L34" s="1191"/>
      <c r="M34" s="1198"/>
      <c r="N34" s="1198"/>
      <c r="O34" s="1198"/>
      <c r="P34" s="1198"/>
      <c r="Q34" s="1299"/>
      <c r="R34" s="1287"/>
      <c r="S34" s="1198">
        <f>E34</f>
        <v>10000</v>
      </c>
      <c r="T34" s="1198"/>
      <c r="U34" s="1288">
        <f t="shared" si="91"/>
        <v>0</v>
      </c>
      <c r="V34" s="1287"/>
      <c r="W34" s="1198">
        <v>28500</v>
      </c>
      <c r="X34" s="1191"/>
      <c r="Y34" s="437">
        <f t="shared" si="65"/>
        <v>0</v>
      </c>
      <c r="Z34" s="1287"/>
      <c r="AA34" s="1198">
        <f>G34</f>
        <v>181500</v>
      </c>
      <c r="AB34" s="1191"/>
      <c r="AC34" s="1299">
        <f t="shared" si="191"/>
        <v>0</v>
      </c>
      <c r="AD34" s="1287"/>
      <c r="AE34" s="1198">
        <f>ROUND(H34,-2)</f>
        <v>0</v>
      </c>
      <c r="AF34" s="1198"/>
      <c r="AG34" s="1299">
        <f t="shared" si="192"/>
        <v>0</v>
      </c>
      <c r="AH34" s="1287"/>
      <c r="AI34" s="1198">
        <f>ROUND(I34,-2)</f>
        <v>0</v>
      </c>
      <c r="AJ34" s="1191"/>
      <c r="AK34" s="1299">
        <f t="shared" si="193"/>
        <v>0</v>
      </c>
      <c r="AL34" s="1191">
        <v>0</v>
      </c>
      <c r="AM34" s="1198">
        <f>ROUND(J34,-2)</f>
        <v>0</v>
      </c>
      <c r="AN34" s="1191"/>
      <c r="AO34" s="1302">
        <f t="shared" si="194"/>
        <v>0</v>
      </c>
      <c r="AP34" s="1191"/>
      <c r="AQ34" s="1198">
        <f>ROUND(K34,-2)</f>
        <v>0</v>
      </c>
      <c r="AR34" s="1191"/>
      <c r="AS34" s="1299">
        <f t="shared" si="195"/>
        <v>0</v>
      </c>
      <c r="AT34" s="1287"/>
      <c r="AU34" s="1198">
        <f>ROUND(L34,-2)</f>
        <v>0</v>
      </c>
      <c r="AV34" s="1191"/>
      <c r="AW34" s="1299">
        <f t="shared" si="196"/>
        <v>0</v>
      </c>
      <c r="AX34" s="1287"/>
      <c r="AY34" s="1198">
        <f>ROUND(M34,-2)</f>
        <v>0</v>
      </c>
      <c r="AZ34" s="1191"/>
      <c r="BA34" s="1299">
        <f t="shared" si="197"/>
        <v>0</v>
      </c>
      <c r="BB34" s="1287"/>
      <c r="BC34" s="1198">
        <f>ROUND(N34,-2)</f>
        <v>0</v>
      </c>
      <c r="BD34" s="1191"/>
      <c r="BE34" s="1299">
        <f t="shared" si="198"/>
        <v>0</v>
      </c>
      <c r="BF34" s="1287"/>
      <c r="BG34" s="1198"/>
      <c r="BH34" s="1191"/>
      <c r="BI34" s="437">
        <f t="shared" si="199"/>
        <v>0</v>
      </c>
      <c r="BJ34" s="1287"/>
      <c r="BK34" s="1198"/>
      <c r="BL34" s="1191"/>
      <c r="BM34" s="1131">
        <f t="shared" si="200"/>
        <v>0</v>
      </c>
      <c r="BN34" s="1287"/>
      <c r="BO34" s="1198"/>
      <c r="BP34" s="1191"/>
      <c r="BQ34" s="1131">
        <f t="shared" si="201"/>
        <v>0</v>
      </c>
      <c r="BR34" s="1301"/>
      <c r="BS34" s="833">
        <v>1</v>
      </c>
      <c r="BT34" s="833">
        <f t="shared" ref="BT34:CE34" si="204">BS34</f>
        <v>1</v>
      </c>
      <c r="BU34" s="833">
        <f t="shared" si="204"/>
        <v>1</v>
      </c>
      <c r="BV34" s="833">
        <f t="shared" si="204"/>
        <v>1</v>
      </c>
      <c r="BW34" s="833">
        <f t="shared" si="204"/>
        <v>1</v>
      </c>
      <c r="BX34" s="833">
        <f t="shared" si="204"/>
        <v>1</v>
      </c>
      <c r="BY34" s="833">
        <f t="shared" si="204"/>
        <v>1</v>
      </c>
      <c r="BZ34" s="833">
        <f t="shared" si="204"/>
        <v>1</v>
      </c>
      <c r="CA34" s="833">
        <f t="shared" si="204"/>
        <v>1</v>
      </c>
      <c r="CB34" s="833">
        <f t="shared" si="204"/>
        <v>1</v>
      </c>
      <c r="CC34" s="833">
        <f t="shared" si="204"/>
        <v>1</v>
      </c>
      <c r="CD34" s="833">
        <f t="shared" si="204"/>
        <v>1</v>
      </c>
      <c r="CE34" s="833">
        <f t="shared" si="204"/>
        <v>1</v>
      </c>
      <c r="CF34" s="833"/>
      <c r="CG34" s="46">
        <f t="shared" si="203"/>
        <v>10000</v>
      </c>
      <c r="CH34" s="46">
        <f t="shared" si="203"/>
        <v>29000</v>
      </c>
      <c r="CI34" s="46">
        <f t="shared" si="203"/>
        <v>182000</v>
      </c>
      <c r="CJ34" s="46">
        <f t="shared" si="203"/>
        <v>0</v>
      </c>
      <c r="CK34" s="46">
        <f t="shared" si="203"/>
        <v>0</v>
      </c>
      <c r="CL34" s="46">
        <f t="shared" si="203"/>
        <v>0</v>
      </c>
      <c r="CM34" s="46">
        <f t="shared" si="203"/>
        <v>0</v>
      </c>
      <c r="CN34" s="46">
        <f t="shared" si="203"/>
        <v>0</v>
      </c>
      <c r="CO34" s="46">
        <f t="shared" si="203"/>
        <v>0</v>
      </c>
      <c r="CP34" s="46">
        <f t="shared" si="203"/>
        <v>0</v>
      </c>
      <c r="CQ34" s="46">
        <f t="shared" si="203"/>
        <v>0</v>
      </c>
      <c r="CR34" s="46">
        <f t="shared" si="203"/>
        <v>0</v>
      </c>
      <c r="CS34" s="46">
        <f t="shared" si="203"/>
        <v>0</v>
      </c>
      <c r="CT34" s="1301"/>
      <c r="CU34" s="1301"/>
      <c r="CV34" s="1301"/>
      <c r="CW34" s="1301"/>
      <c r="CX34" s="1301"/>
    </row>
    <row r="35" spans="1:102" s="247" customFormat="1" x14ac:dyDescent="0.2">
      <c r="A35" s="666" t="s">
        <v>3777</v>
      </c>
      <c r="B35" s="795" t="s">
        <v>3126</v>
      </c>
      <c r="C35" s="795" t="s">
        <v>4959</v>
      </c>
      <c r="D35" s="795" t="s">
        <v>3126</v>
      </c>
      <c r="E35" s="1198">
        <v>82500</v>
      </c>
      <c r="F35" s="1198">
        <v>104500</v>
      </c>
      <c r="G35" s="2184">
        <v>87500</v>
      </c>
      <c r="H35" s="1198"/>
      <c r="I35" s="1191"/>
      <c r="J35" s="1191"/>
      <c r="K35" s="1191"/>
      <c r="L35" s="1191"/>
      <c r="M35" s="1198"/>
      <c r="N35" s="1198"/>
      <c r="O35" s="1198"/>
      <c r="P35" s="1198"/>
      <c r="Q35" s="1299"/>
      <c r="R35" s="1287"/>
      <c r="S35" s="1198">
        <f>E35</f>
        <v>82500</v>
      </c>
      <c r="T35" s="1198"/>
      <c r="U35" s="1288">
        <f t="shared" si="91"/>
        <v>0</v>
      </c>
      <c r="V35" s="1287"/>
      <c r="W35" s="1198">
        <v>104500</v>
      </c>
      <c r="X35" s="1191"/>
      <c r="Y35" s="437">
        <f t="shared" si="65"/>
        <v>0</v>
      </c>
      <c r="Z35" s="1287"/>
      <c r="AA35" s="1198">
        <v>87500</v>
      </c>
      <c r="AB35" s="1191"/>
      <c r="AC35" s="1299">
        <f t="shared" si="191"/>
        <v>0</v>
      </c>
      <c r="AD35" s="1287"/>
      <c r="AE35" s="1198">
        <f>ROUND(H35,-2)</f>
        <v>0</v>
      </c>
      <c r="AF35" s="1198"/>
      <c r="AG35" s="1299">
        <f t="shared" si="192"/>
        <v>0</v>
      </c>
      <c r="AH35" s="1287"/>
      <c r="AI35" s="1198">
        <f>ROUND(I35,-2)</f>
        <v>0</v>
      </c>
      <c r="AJ35" s="1191"/>
      <c r="AK35" s="1299">
        <f t="shared" si="193"/>
        <v>0</v>
      </c>
      <c r="AL35" s="1191">
        <v>0</v>
      </c>
      <c r="AM35" s="1198">
        <f>ROUND(J35,-2)</f>
        <v>0</v>
      </c>
      <c r="AN35" s="1191"/>
      <c r="AO35" s="1302">
        <f t="shared" si="194"/>
        <v>0</v>
      </c>
      <c r="AP35" s="1191"/>
      <c r="AQ35" s="1198">
        <f>ROUND(K35,-2)</f>
        <v>0</v>
      </c>
      <c r="AR35" s="1191"/>
      <c r="AS35" s="1299">
        <f t="shared" si="195"/>
        <v>0</v>
      </c>
      <c r="AT35" s="1287"/>
      <c r="AU35" s="1198">
        <f>ROUND(L35,-2)</f>
        <v>0</v>
      </c>
      <c r="AV35" s="1191"/>
      <c r="AW35" s="1299">
        <f t="shared" si="196"/>
        <v>0</v>
      </c>
      <c r="AX35" s="1287"/>
      <c r="AY35" s="1198">
        <f>ROUND(M35,-2)</f>
        <v>0</v>
      </c>
      <c r="AZ35" s="1191"/>
      <c r="BA35" s="1299">
        <f t="shared" si="197"/>
        <v>0</v>
      </c>
      <c r="BB35" s="1287"/>
      <c r="BC35" s="1198">
        <f>ROUND(N35,-2)</f>
        <v>0</v>
      </c>
      <c r="BD35" s="1191"/>
      <c r="BE35" s="1299">
        <f t="shared" si="198"/>
        <v>0</v>
      </c>
      <c r="BF35" s="1287"/>
      <c r="BG35" s="1198"/>
      <c r="BH35" s="1191"/>
      <c r="BI35" s="437">
        <f t="shared" si="199"/>
        <v>0</v>
      </c>
      <c r="BJ35" s="1287"/>
      <c r="BK35" s="1198"/>
      <c r="BL35" s="1191"/>
      <c r="BM35" s="1131">
        <f t="shared" si="200"/>
        <v>0</v>
      </c>
      <c r="BN35" s="1287"/>
      <c r="BO35" s="1198"/>
      <c r="BP35" s="1191"/>
      <c r="BQ35" s="1131">
        <f t="shared" si="201"/>
        <v>0</v>
      </c>
      <c r="BR35" s="1301"/>
      <c r="BS35" s="833">
        <v>1</v>
      </c>
      <c r="BT35" s="833">
        <f t="shared" ref="BT35:CE35" si="205">BS35</f>
        <v>1</v>
      </c>
      <c r="BU35" s="833">
        <f t="shared" si="205"/>
        <v>1</v>
      </c>
      <c r="BV35" s="833">
        <f t="shared" si="205"/>
        <v>1</v>
      </c>
      <c r="BW35" s="833">
        <f t="shared" si="205"/>
        <v>1</v>
      </c>
      <c r="BX35" s="833">
        <f t="shared" si="205"/>
        <v>1</v>
      </c>
      <c r="BY35" s="833">
        <f t="shared" si="205"/>
        <v>1</v>
      </c>
      <c r="BZ35" s="833">
        <f t="shared" si="205"/>
        <v>1</v>
      </c>
      <c r="CA35" s="833">
        <f t="shared" si="205"/>
        <v>1</v>
      </c>
      <c r="CB35" s="833">
        <f t="shared" si="205"/>
        <v>1</v>
      </c>
      <c r="CC35" s="833">
        <f t="shared" si="205"/>
        <v>1</v>
      </c>
      <c r="CD35" s="833">
        <f t="shared" si="205"/>
        <v>1</v>
      </c>
      <c r="CE35" s="833">
        <f t="shared" si="205"/>
        <v>1</v>
      </c>
      <c r="CF35" s="833"/>
      <c r="CG35" s="46">
        <f t="shared" si="203"/>
        <v>83000</v>
      </c>
      <c r="CH35" s="46">
        <f t="shared" si="203"/>
        <v>105000</v>
      </c>
      <c r="CI35" s="46">
        <f t="shared" si="203"/>
        <v>88000</v>
      </c>
      <c r="CJ35" s="46">
        <f t="shared" si="203"/>
        <v>0</v>
      </c>
      <c r="CK35" s="46">
        <f t="shared" si="203"/>
        <v>0</v>
      </c>
      <c r="CL35" s="46">
        <f t="shared" si="203"/>
        <v>0</v>
      </c>
      <c r="CM35" s="46">
        <f t="shared" si="203"/>
        <v>0</v>
      </c>
      <c r="CN35" s="46">
        <f t="shared" si="203"/>
        <v>0</v>
      </c>
      <c r="CO35" s="46">
        <f t="shared" si="203"/>
        <v>0</v>
      </c>
      <c r="CP35" s="46">
        <f t="shared" si="203"/>
        <v>0</v>
      </c>
      <c r="CQ35" s="46">
        <f t="shared" si="203"/>
        <v>0</v>
      </c>
      <c r="CR35" s="46">
        <f t="shared" si="203"/>
        <v>0</v>
      </c>
      <c r="CS35" s="46">
        <f t="shared" si="203"/>
        <v>0</v>
      </c>
      <c r="CT35" s="1301"/>
      <c r="CU35" s="1301"/>
      <c r="CV35" s="1301"/>
      <c r="CW35" s="1301"/>
      <c r="CX35" s="1301"/>
    </row>
    <row r="36" spans="1:102" s="247" customFormat="1" x14ac:dyDescent="0.2">
      <c r="A36" s="666" t="s">
        <v>3778</v>
      </c>
      <c r="B36" s="795" t="s">
        <v>3127</v>
      </c>
      <c r="C36" s="795" t="s">
        <v>4959</v>
      </c>
      <c r="D36" s="795"/>
      <c r="E36" s="1198"/>
      <c r="F36" s="1198"/>
      <c r="G36" s="2184"/>
      <c r="H36" s="1198"/>
      <c r="I36" s="1191"/>
      <c r="J36" s="1191"/>
      <c r="K36" s="1191"/>
      <c r="L36" s="1191"/>
      <c r="M36" s="1198">
        <v>446000</v>
      </c>
      <c r="N36" s="1198"/>
      <c r="O36" s="1198"/>
      <c r="P36" s="1198"/>
      <c r="Q36" s="1299"/>
      <c r="R36" s="1287"/>
      <c r="S36" s="1198">
        <f>E36</f>
        <v>0</v>
      </c>
      <c r="T36" s="1198"/>
      <c r="U36" s="1288">
        <f t="shared" si="91"/>
        <v>0</v>
      </c>
      <c r="V36" s="1287"/>
      <c r="W36" s="1198">
        <f>F36</f>
        <v>0</v>
      </c>
      <c r="X36" s="1191"/>
      <c r="Y36" s="437">
        <f t="shared" si="65"/>
        <v>0</v>
      </c>
      <c r="Z36" s="1287"/>
      <c r="AA36" s="1198">
        <f>G36</f>
        <v>0</v>
      </c>
      <c r="AB36" s="1191"/>
      <c r="AC36" s="1299">
        <f t="shared" si="191"/>
        <v>0</v>
      </c>
      <c r="AD36" s="1287"/>
      <c r="AE36" s="1198">
        <f>ROUND(H36,-2)</f>
        <v>0</v>
      </c>
      <c r="AF36" s="1198"/>
      <c r="AG36" s="1299">
        <f t="shared" si="192"/>
        <v>0</v>
      </c>
      <c r="AH36" s="1287"/>
      <c r="AI36" s="1198">
        <f>ROUND(I36,-2)</f>
        <v>0</v>
      </c>
      <c r="AJ36" s="1191"/>
      <c r="AK36" s="1299">
        <f t="shared" si="193"/>
        <v>0</v>
      </c>
      <c r="AL36" s="1191">
        <v>0</v>
      </c>
      <c r="AM36" s="1198">
        <f>ROUND(J36,-2)</f>
        <v>0</v>
      </c>
      <c r="AN36" s="1191"/>
      <c r="AO36" s="1302">
        <f t="shared" si="194"/>
        <v>0</v>
      </c>
      <c r="AP36" s="1191"/>
      <c r="AQ36" s="1198">
        <f>ROUND(K36,-2)</f>
        <v>0</v>
      </c>
      <c r="AR36" s="1191"/>
      <c r="AS36" s="1299">
        <f t="shared" si="195"/>
        <v>0</v>
      </c>
      <c r="AT36" s="1287"/>
      <c r="AU36" s="1198">
        <f>ROUND(L36,-2)</f>
        <v>0</v>
      </c>
      <c r="AV36" s="1191"/>
      <c r="AW36" s="1299">
        <f t="shared" si="196"/>
        <v>0</v>
      </c>
      <c r="AX36" s="1287"/>
      <c r="AY36" s="1198">
        <f>ROUND(M36,-2)</f>
        <v>446000</v>
      </c>
      <c r="AZ36" s="1191"/>
      <c r="BA36" s="1299">
        <f t="shared" si="197"/>
        <v>0</v>
      </c>
      <c r="BB36" s="1287"/>
      <c r="BC36" s="1198">
        <f>ROUND(N36,-2)</f>
        <v>0</v>
      </c>
      <c r="BD36" s="1191"/>
      <c r="BE36" s="1299">
        <f t="shared" si="198"/>
        <v>0</v>
      </c>
      <c r="BF36" s="1287"/>
      <c r="BG36" s="1198"/>
      <c r="BH36" s="1191"/>
      <c r="BI36" s="437">
        <f t="shared" si="199"/>
        <v>0</v>
      </c>
      <c r="BJ36" s="1287"/>
      <c r="BK36" s="1198"/>
      <c r="BL36" s="1191"/>
      <c r="BM36" s="1131">
        <f t="shared" si="200"/>
        <v>0</v>
      </c>
      <c r="BN36" s="1287"/>
      <c r="BO36" s="1198"/>
      <c r="BP36" s="1191"/>
      <c r="BQ36" s="1131">
        <f t="shared" si="201"/>
        <v>0</v>
      </c>
      <c r="BR36" s="1301"/>
      <c r="BS36" s="833">
        <v>1</v>
      </c>
      <c r="BT36" s="833">
        <f t="shared" ref="BT36:CE36" si="206">BS36</f>
        <v>1</v>
      </c>
      <c r="BU36" s="833">
        <f t="shared" si="206"/>
        <v>1</v>
      </c>
      <c r="BV36" s="833">
        <f t="shared" si="206"/>
        <v>1</v>
      </c>
      <c r="BW36" s="833">
        <f t="shared" si="206"/>
        <v>1</v>
      </c>
      <c r="BX36" s="833">
        <f t="shared" si="206"/>
        <v>1</v>
      </c>
      <c r="BY36" s="833">
        <f t="shared" si="206"/>
        <v>1</v>
      </c>
      <c r="BZ36" s="833">
        <f t="shared" si="206"/>
        <v>1</v>
      </c>
      <c r="CA36" s="833">
        <f t="shared" si="206"/>
        <v>1</v>
      </c>
      <c r="CB36" s="833">
        <f t="shared" si="206"/>
        <v>1</v>
      </c>
      <c r="CC36" s="833">
        <f t="shared" si="206"/>
        <v>1</v>
      </c>
      <c r="CD36" s="833">
        <f t="shared" si="206"/>
        <v>1</v>
      </c>
      <c r="CE36" s="833">
        <f t="shared" si="206"/>
        <v>1</v>
      </c>
      <c r="CF36" s="833"/>
      <c r="CG36" s="46">
        <f t="shared" si="203"/>
        <v>0</v>
      </c>
      <c r="CH36" s="46">
        <f t="shared" si="203"/>
        <v>0</v>
      </c>
      <c r="CI36" s="46">
        <f t="shared" si="203"/>
        <v>0</v>
      </c>
      <c r="CJ36" s="46">
        <f t="shared" si="203"/>
        <v>0</v>
      </c>
      <c r="CK36" s="46">
        <f t="shared" si="203"/>
        <v>0</v>
      </c>
      <c r="CL36" s="46">
        <f t="shared" si="203"/>
        <v>0</v>
      </c>
      <c r="CM36" s="46">
        <f t="shared" si="203"/>
        <v>0</v>
      </c>
      <c r="CN36" s="46">
        <f t="shared" si="203"/>
        <v>0</v>
      </c>
      <c r="CO36" s="46">
        <f t="shared" si="203"/>
        <v>446000</v>
      </c>
      <c r="CP36" s="46">
        <f t="shared" si="203"/>
        <v>0</v>
      </c>
      <c r="CQ36" s="46">
        <f t="shared" si="203"/>
        <v>0</v>
      </c>
      <c r="CR36" s="46">
        <f t="shared" si="203"/>
        <v>0</v>
      </c>
      <c r="CS36" s="46">
        <f t="shared" si="203"/>
        <v>0</v>
      </c>
      <c r="CT36" s="1301"/>
      <c r="CU36" s="1301"/>
      <c r="CV36" s="1301"/>
      <c r="CW36" s="1301"/>
      <c r="CX36" s="1301"/>
    </row>
    <row r="37" spans="1:102" s="247" customFormat="1" x14ac:dyDescent="0.2">
      <c r="A37" s="666" t="s">
        <v>3779</v>
      </c>
      <c r="B37" s="795" t="s">
        <v>7161</v>
      </c>
      <c r="C37" s="795" t="s">
        <v>7162</v>
      </c>
      <c r="D37" s="795" t="s">
        <v>7162</v>
      </c>
      <c r="E37" s="1198"/>
      <c r="F37" s="1198"/>
      <c r="G37" s="2184">
        <f>662000-300000</f>
        <v>362000</v>
      </c>
      <c r="H37" s="1198"/>
      <c r="I37" s="1191"/>
      <c r="J37" s="1191"/>
      <c r="K37" s="1191"/>
      <c r="L37" s="1191"/>
      <c r="M37" s="1198"/>
      <c r="N37" s="1198"/>
      <c r="O37" s="1198"/>
      <c r="P37" s="1198"/>
      <c r="Q37" s="1299"/>
      <c r="R37" s="1287"/>
      <c r="S37" s="1198">
        <f>E37</f>
        <v>0</v>
      </c>
      <c r="T37" s="1198"/>
      <c r="U37" s="1288">
        <f t="shared" si="91"/>
        <v>0</v>
      </c>
      <c r="V37" s="1287"/>
      <c r="W37" s="1198">
        <f>F37</f>
        <v>0</v>
      </c>
      <c r="X37" s="1191"/>
      <c r="Y37" s="437">
        <f t="shared" si="65"/>
        <v>0</v>
      </c>
      <c r="Z37" s="1287"/>
      <c r="AA37" s="1198">
        <f>G37</f>
        <v>362000</v>
      </c>
      <c r="AB37" s="1191"/>
      <c r="AC37" s="1299">
        <f t="shared" si="191"/>
        <v>0</v>
      </c>
      <c r="AD37" s="1287"/>
      <c r="AE37" s="1198">
        <f>ROUND(H37,-2)</f>
        <v>0</v>
      </c>
      <c r="AF37" s="1198"/>
      <c r="AG37" s="1299">
        <f t="shared" si="192"/>
        <v>0</v>
      </c>
      <c r="AH37" s="1287"/>
      <c r="AI37" s="1198">
        <f>ROUND(I37,-2)</f>
        <v>0</v>
      </c>
      <c r="AJ37" s="1191"/>
      <c r="AK37" s="1299">
        <f t="shared" si="193"/>
        <v>0</v>
      </c>
      <c r="AL37" s="1191">
        <v>0</v>
      </c>
      <c r="AM37" s="1198">
        <f>ROUND(J37,-2)</f>
        <v>0</v>
      </c>
      <c r="AN37" s="1191"/>
      <c r="AO37" s="1302">
        <f t="shared" si="194"/>
        <v>0</v>
      </c>
      <c r="AP37" s="1191"/>
      <c r="AQ37" s="1198">
        <f>ROUND(K37,-2)</f>
        <v>0</v>
      </c>
      <c r="AR37" s="1191"/>
      <c r="AS37" s="1299">
        <f t="shared" si="195"/>
        <v>0</v>
      </c>
      <c r="AT37" s="1287"/>
      <c r="AU37" s="1198">
        <f>ROUND(L37,-2)</f>
        <v>0</v>
      </c>
      <c r="AV37" s="1191"/>
      <c r="AW37" s="1299">
        <f t="shared" si="196"/>
        <v>0</v>
      </c>
      <c r="AX37" s="1287"/>
      <c r="AY37" s="1198">
        <f>ROUND(M37,-2)</f>
        <v>0</v>
      </c>
      <c r="AZ37" s="1191"/>
      <c r="BA37" s="1299">
        <f t="shared" si="197"/>
        <v>0</v>
      </c>
      <c r="BB37" s="1287"/>
      <c r="BC37" s="1198">
        <f>ROUND(N37,-2)</f>
        <v>0</v>
      </c>
      <c r="BD37" s="1191"/>
      <c r="BE37" s="1299">
        <f t="shared" si="198"/>
        <v>0</v>
      </c>
      <c r="BF37" s="1287"/>
      <c r="BG37" s="1198"/>
      <c r="BH37" s="1191"/>
      <c r="BI37" s="437">
        <f t="shared" si="199"/>
        <v>0</v>
      </c>
      <c r="BJ37" s="1287"/>
      <c r="BK37" s="1198"/>
      <c r="BL37" s="1191"/>
      <c r="BM37" s="1131">
        <f t="shared" si="200"/>
        <v>0</v>
      </c>
      <c r="BN37" s="1287"/>
      <c r="BO37" s="1198"/>
      <c r="BP37" s="1191"/>
      <c r="BQ37" s="1131">
        <f t="shared" si="201"/>
        <v>0</v>
      </c>
      <c r="BR37" s="1301"/>
      <c r="BS37" s="833">
        <v>1</v>
      </c>
      <c r="BT37" s="833">
        <f t="shared" ref="BT37:CE37" si="207">BS37</f>
        <v>1</v>
      </c>
      <c r="BU37" s="833">
        <f t="shared" si="207"/>
        <v>1</v>
      </c>
      <c r="BV37" s="833">
        <f t="shared" si="207"/>
        <v>1</v>
      </c>
      <c r="BW37" s="833">
        <f t="shared" si="207"/>
        <v>1</v>
      </c>
      <c r="BX37" s="833">
        <f t="shared" si="207"/>
        <v>1</v>
      </c>
      <c r="BY37" s="833">
        <f t="shared" si="207"/>
        <v>1</v>
      </c>
      <c r="BZ37" s="833">
        <f t="shared" si="207"/>
        <v>1</v>
      </c>
      <c r="CA37" s="833">
        <f t="shared" si="207"/>
        <v>1</v>
      </c>
      <c r="CB37" s="833">
        <f t="shared" si="207"/>
        <v>1</v>
      </c>
      <c r="CC37" s="833">
        <f t="shared" si="207"/>
        <v>1</v>
      </c>
      <c r="CD37" s="833">
        <f t="shared" si="207"/>
        <v>1</v>
      </c>
      <c r="CE37" s="833">
        <f t="shared" si="207"/>
        <v>1</v>
      </c>
      <c r="CF37" s="833"/>
      <c r="CG37" s="46">
        <f t="shared" si="203"/>
        <v>0</v>
      </c>
      <c r="CH37" s="46">
        <f t="shared" si="203"/>
        <v>0</v>
      </c>
      <c r="CI37" s="46">
        <f t="shared" si="203"/>
        <v>362000</v>
      </c>
      <c r="CJ37" s="46">
        <f t="shared" si="203"/>
        <v>0</v>
      </c>
      <c r="CK37" s="46">
        <f t="shared" si="203"/>
        <v>0</v>
      </c>
      <c r="CL37" s="46">
        <f t="shared" si="203"/>
        <v>0</v>
      </c>
      <c r="CM37" s="46">
        <f t="shared" si="203"/>
        <v>0</v>
      </c>
      <c r="CN37" s="46">
        <f t="shared" si="203"/>
        <v>0</v>
      </c>
      <c r="CO37" s="46">
        <f t="shared" si="203"/>
        <v>0</v>
      </c>
      <c r="CP37" s="46">
        <f t="shared" si="203"/>
        <v>0</v>
      </c>
      <c r="CQ37" s="46">
        <f t="shared" si="203"/>
        <v>0</v>
      </c>
      <c r="CR37" s="46">
        <f t="shared" si="203"/>
        <v>0</v>
      </c>
      <c r="CS37" s="46">
        <f t="shared" si="203"/>
        <v>0</v>
      </c>
      <c r="CT37" s="1301"/>
      <c r="CU37" s="1301"/>
      <c r="CV37" s="1301"/>
      <c r="CW37" s="1301"/>
      <c r="CX37" s="1301"/>
    </row>
    <row r="38" spans="1:102" s="247" customFormat="1" x14ac:dyDescent="0.2">
      <c r="A38" s="666"/>
      <c r="B38" s="730"/>
      <c r="C38" s="730"/>
      <c r="D38" s="730"/>
      <c r="E38" s="1198"/>
      <c r="F38" s="1198"/>
      <c r="G38" s="2184"/>
      <c r="H38" s="1198"/>
      <c r="I38" s="1191"/>
      <c r="J38" s="1191"/>
      <c r="K38" s="1191"/>
      <c r="L38" s="1191"/>
      <c r="M38" s="1191"/>
      <c r="N38" s="1198"/>
      <c r="O38" s="1198"/>
      <c r="P38" s="1198"/>
      <c r="Q38" s="1192"/>
      <c r="R38" s="1287"/>
      <c r="S38" s="1198"/>
      <c r="T38" s="1198"/>
      <c r="U38" s="1288"/>
      <c r="V38" s="1287"/>
      <c r="W38" s="1198"/>
      <c r="X38" s="1191"/>
      <c r="Y38" s="437">
        <f t="shared" si="65"/>
        <v>0</v>
      </c>
      <c r="Z38" s="1287"/>
      <c r="AA38" s="1198"/>
      <c r="AB38" s="1191"/>
      <c r="AC38" s="1299"/>
      <c r="AD38" s="1287"/>
      <c r="AE38" s="1198"/>
      <c r="AF38" s="1198"/>
      <c r="AG38" s="1299"/>
      <c r="AH38" s="1287"/>
      <c r="AI38" s="1198"/>
      <c r="AJ38" s="1191"/>
      <c r="AK38" s="1299"/>
      <c r="AL38" s="1191"/>
      <c r="AM38" s="1198"/>
      <c r="AN38" s="1191"/>
      <c r="AO38" s="1302"/>
      <c r="AP38" s="1191"/>
      <c r="AQ38" s="1198"/>
      <c r="AR38" s="1191"/>
      <c r="AS38" s="1299"/>
      <c r="AT38" s="1287"/>
      <c r="AU38" s="1198"/>
      <c r="AV38" s="1191"/>
      <c r="AW38" s="1299"/>
      <c r="AX38" s="1287"/>
      <c r="AY38" s="1198"/>
      <c r="AZ38" s="1191"/>
      <c r="BA38" s="1299"/>
      <c r="BB38" s="1287"/>
      <c r="BC38" s="1198"/>
      <c r="BD38" s="1191"/>
      <c r="BE38" s="1299"/>
      <c r="BF38" s="1287"/>
      <c r="BG38" s="1198"/>
      <c r="BH38" s="1191"/>
      <c r="BI38" s="1299"/>
      <c r="BJ38" s="1287"/>
      <c r="BK38" s="1198"/>
      <c r="BL38" s="1191"/>
      <c r="BM38" s="1302"/>
      <c r="BN38" s="1287"/>
      <c r="BO38" s="1198"/>
      <c r="BP38" s="1191"/>
      <c r="BQ38" s="1302"/>
      <c r="BR38" s="1301"/>
      <c r="BS38" s="833"/>
      <c r="BT38" s="833"/>
      <c r="BU38" s="833"/>
      <c r="BV38" s="833"/>
      <c r="BW38" s="833"/>
      <c r="BX38" s="833"/>
      <c r="BY38" s="833"/>
      <c r="BZ38" s="833"/>
      <c r="CA38" s="833"/>
      <c r="CB38" s="833"/>
      <c r="CC38" s="833"/>
      <c r="CD38" s="833"/>
      <c r="CE38" s="833"/>
      <c r="CF38" s="833"/>
      <c r="CG38" s="46"/>
      <c r="CH38" s="46"/>
      <c r="CI38" s="46"/>
      <c r="CJ38" s="46"/>
      <c r="CK38" s="46"/>
      <c r="CL38" s="46"/>
      <c r="CM38" s="46"/>
      <c r="CN38" s="46"/>
      <c r="CO38" s="46"/>
      <c r="CP38" s="46"/>
      <c r="CQ38" s="46"/>
      <c r="CR38" s="46"/>
      <c r="CS38" s="46"/>
      <c r="CT38" s="1301"/>
      <c r="CU38" s="1301"/>
      <c r="CV38" s="1301"/>
      <c r="CW38" s="1301"/>
      <c r="CX38" s="1301"/>
    </row>
    <row r="39" spans="1:102" s="247" customFormat="1" x14ac:dyDescent="0.2">
      <c r="A39" s="776" t="s">
        <v>2312</v>
      </c>
      <c r="B39" s="371"/>
      <c r="C39" s="371"/>
      <c r="D39" s="371"/>
      <c r="E39" s="1198"/>
      <c r="F39" s="1198"/>
      <c r="G39" s="2184"/>
      <c r="H39" s="1198"/>
      <c r="I39" s="1191"/>
      <c r="J39" s="1191"/>
      <c r="K39" s="1191"/>
      <c r="L39" s="1191"/>
      <c r="M39" s="1198"/>
      <c r="N39" s="1198"/>
      <c r="O39" s="1198"/>
      <c r="P39" s="1198"/>
      <c r="Q39" s="1299"/>
      <c r="R39" s="1287"/>
      <c r="S39" s="1198"/>
      <c r="T39" s="1198"/>
      <c r="U39" s="1288"/>
      <c r="V39" s="1287"/>
      <c r="W39" s="1198"/>
      <c r="X39" s="1191"/>
      <c r="Y39" s="437">
        <f t="shared" si="65"/>
        <v>0</v>
      </c>
      <c r="Z39" s="1287"/>
      <c r="AA39" s="1198"/>
      <c r="AB39" s="1191"/>
      <c r="AC39" s="1299"/>
      <c r="AD39" s="1287"/>
      <c r="AE39" s="1198"/>
      <c r="AF39" s="1198"/>
      <c r="AG39" s="1299"/>
      <c r="AH39" s="1287"/>
      <c r="AI39" s="1198"/>
      <c r="AJ39" s="1191"/>
      <c r="AK39" s="1299"/>
      <c r="AL39" s="1191"/>
      <c r="AM39" s="1198"/>
      <c r="AN39" s="1191"/>
      <c r="AO39" s="1302"/>
      <c r="AP39" s="1191"/>
      <c r="AQ39" s="1198"/>
      <c r="AR39" s="1191"/>
      <c r="AS39" s="1299"/>
      <c r="AT39" s="1287"/>
      <c r="AU39" s="1198"/>
      <c r="AV39" s="1191"/>
      <c r="AW39" s="1299"/>
      <c r="AX39" s="1287"/>
      <c r="AY39" s="1198"/>
      <c r="AZ39" s="1191"/>
      <c r="BA39" s="1299"/>
      <c r="BB39" s="1287"/>
      <c r="BC39" s="1198"/>
      <c r="BD39" s="1191"/>
      <c r="BE39" s="1299"/>
      <c r="BF39" s="1287"/>
      <c r="BG39" s="1198"/>
      <c r="BH39" s="1191"/>
      <c r="BI39" s="1299"/>
      <c r="BJ39" s="1287"/>
      <c r="BK39" s="1198"/>
      <c r="BL39" s="1191"/>
      <c r="BM39" s="1302"/>
      <c r="BN39" s="1287"/>
      <c r="BO39" s="1198"/>
      <c r="BP39" s="1191"/>
      <c r="BQ39" s="1302"/>
      <c r="BR39" s="1301"/>
      <c r="BS39" s="833"/>
      <c r="BT39" s="833"/>
      <c r="BU39" s="833"/>
      <c r="BV39" s="833"/>
      <c r="BW39" s="833"/>
      <c r="BX39" s="833"/>
      <c r="BY39" s="833"/>
      <c r="BZ39" s="833"/>
      <c r="CA39" s="833"/>
      <c r="CB39" s="833"/>
      <c r="CC39" s="833"/>
      <c r="CD39" s="833"/>
      <c r="CE39" s="833"/>
      <c r="CF39" s="833"/>
      <c r="CG39" s="46"/>
      <c r="CH39" s="46"/>
      <c r="CI39" s="46"/>
      <c r="CJ39" s="46"/>
      <c r="CK39" s="46"/>
      <c r="CL39" s="46"/>
      <c r="CM39" s="46"/>
      <c r="CN39" s="46"/>
      <c r="CO39" s="46"/>
      <c r="CP39" s="46"/>
      <c r="CQ39" s="46"/>
      <c r="CR39" s="46"/>
      <c r="CS39" s="46"/>
      <c r="CT39" s="1301"/>
      <c r="CU39" s="1301"/>
      <c r="CV39" s="1301"/>
      <c r="CW39" s="1301"/>
      <c r="CX39" s="1301"/>
    </row>
    <row r="40" spans="1:102" s="772" customFormat="1" x14ac:dyDescent="0.2">
      <c r="A40" s="666" t="s">
        <v>4829</v>
      </c>
      <c r="B40" s="662" t="s">
        <v>6319</v>
      </c>
      <c r="C40" s="795" t="s">
        <v>6320</v>
      </c>
      <c r="D40" s="795" t="s">
        <v>6320</v>
      </c>
      <c r="E40" s="1199"/>
      <c r="F40" s="1200">
        <v>252200</v>
      </c>
      <c r="G40" s="2184">
        <f>200000+500800+1022400</f>
        <v>1723200</v>
      </c>
      <c r="H40" s="1199"/>
      <c r="I40" s="1199"/>
      <c r="J40" s="1199"/>
      <c r="K40" s="1199"/>
      <c r="L40" s="1199"/>
      <c r="M40" s="1200"/>
      <c r="N40" s="1200"/>
      <c r="O40" s="1200"/>
      <c r="P40" s="1200"/>
      <c r="Q40" s="1288"/>
      <c r="R40" s="1287"/>
      <c r="S40" s="1198">
        <f t="shared" ref="S40:S51" si="208">E40</f>
        <v>0</v>
      </c>
      <c r="T40" s="1198"/>
      <c r="U40" s="1288">
        <f>$E40-R40-S40-T40</f>
        <v>0</v>
      </c>
      <c r="V40" s="1287"/>
      <c r="W40" s="1198">
        <v>252200</v>
      </c>
      <c r="X40" s="1191"/>
      <c r="Y40" s="437">
        <f t="shared" si="65"/>
        <v>0</v>
      </c>
      <c r="Z40" s="1287"/>
      <c r="AA40" s="1198">
        <v>0</v>
      </c>
      <c r="AB40" s="1191"/>
      <c r="AC40" s="1299">
        <f>$G40-Z40-AA40-AB40</f>
        <v>1723200</v>
      </c>
      <c r="AD40" s="1289"/>
      <c r="AE40" s="1198">
        <f t="shared" ref="AE40:AE51" si="209">ROUND(H40/2,-2)</f>
        <v>0</v>
      </c>
      <c r="AF40" s="1198"/>
      <c r="AG40" s="1299">
        <f>$H40-AD40-AE40-AF40</f>
        <v>0</v>
      </c>
      <c r="AH40" s="1287"/>
      <c r="AI40" s="1198">
        <f t="shared" ref="AI40:AI51" si="210">ROUND(I40/2,-2)</f>
        <v>0</v>
      </c>
      <c r="AJ40" s="1191"/>
      <c r="AK40" s="1299">
        <f>$I40-AH40-AI40-AJ40</f>
        <v>0</v>
      </c>
      <c r="AL40" s="1191">
        <v>0</v>
      </c>
      <c r="AM40" s="1198">
        <v>0</v>
      </c>
      <c r="AN40" s="1191"/>
      <c r="AO40" s="1302">
        <f>$J40-AL40-AM40-AN40</f>
        <v>0</v>
      </c>
      <c r="AP40" s="1191"/>
      <c r="AQ40" s="1198">
        <f>ROUND(K40,-2)</f>
        <v>0</v>
      </c>
      <c r="AR40" s="1191"/>
      <c r="AS40" s="1299">
        <f>$K40-AP40-AQ40-AR40</f>
        <v>0</v>
      </c>
      <c r="AT40" s="1287"/>
      <c r="AU40" s="1198">
        <f>ROUND(L40,-2)</f>
        <v>0</v>
      </c>
      <c r="AV40" s="1191"/>
      <c r="AW40" s="1299">
        <f>$L40-AT40-AU40-AV40</f>
        <v>0</v>
      </c>
      <c r="AX40" s="1287"/>
      <c r="AY40" s="1198">
        <f t="shared" ref="AY40:AY51" si="211">ROUND(M40,-2)</f>
        <v>0</v>
      </c>
      <c r="AZ40" s="1191"/>
      <c r="BA40" s="1299">
        <f>$M40-AX40-AY40-AZ40</f>
        <v>0</v>
      </c>
      <c r="BB40" s="1287"/>
      <c r="BC40" s="1198">
        <f t="shared" ref="BC40:BC48" si="212">ROUND(N40,-2)</f>
        <v>0</v>
      </c>
      <c r="BD40" s="1191"/>
      <c r="BE40" s="1299">
        <f>$N40-BB40-BC40-BD40</f>
        <v>0</v>
      </c>
      <c r="BF40" s="1287"/>
      <c r="BG40" s="1198"/>
      <c r="BH40" s="1191"/>
      <c r="BI40" s="437">
        <f t="shared" ref="BI40:BI53" si="213">$O40-BF40-BG40-BH40</f>
        <v>0</v>
      </c>
      <c r="BJ40" s="1287"/>
      <c r="BK40" s="1198"/>
      <c r="BL40" s="1191"/>
      <c r="BM40" s="1131">
        <f t="shared" ref="BM40:BM53" si="214">$P40-BJ40-BK40-BL40</f>
        <v>0</v>
      </c>
      <c r="BN40" s="1287"/>
      <c r="BO40" s="1198"/>
      <c r="BP40" s="1191"/>
      <c r="BQ40" s="1131">
        <f t="shared" ref="BQ40:BQ53" si="215">$Q40-BN40-BO40-BP40</f>
        <v>0</v>
      </c>
      <c r="BR40" s="1300"/>
      <c r="BS40" s="833">
        <v>0</v>
      </c>
      <c r="BT40" s="833">
        <f t="shared" ref="BT40:CE40" si="216">BS40</f>
        <v>0</v>
      </c>
      <c r="BU40" s="833">
        <f t="shared" si="216"/>
        <v>0</v>
      </c>
      <c r="BV40" s="833">
        <f t="shared" si="216"/>
        <v>0</v>
      </c>
      <c r="BW40" s="833">
        <f t="shared" si="216"/>
        <v>0</v>
      </c>
      <c r="BX40" s="833">
        <f t="shared" si="216"/>
        <v>0</v>
      </c>
      <c r="BY40" s="833">
        <f t="shared" si="216"/>
        <v>0</v>
      </c>
      <c r="BZ40" s="833">
        <f t="shared" si="216"/>
        <v>0</v>
      </c>
      <c r="CA40" s="833">
        <f t="shared" si="216"/>
        <v>0</v>
      </c>
      <c r="CB40" s="833">
        <f t="shared" si="216"/>
        <v>0</v>
      </c>
      <c r="CC40" s="833">
        <f t="shared" si="216"/>
        <v>0</v>
      </c>
      <c r="CD40" s="833">
        <f t="shared" si="216"/>
        <v>0</v>
      </c>
      <c r="CE40" s="833">
        <f t="shared" si="216"/>
        <v>0</v>
      </c>
      <c r="CF40" s="833"/>
      <c r="CG40" s="46">
        <f t="shared" ref="CG40:CG51" si="217">ROUND(BS40*E40,-3)</f>
        <v>0</v>
      </c>
      <c r="CH40" s="46">
        <f t="shared" ref="CH40:CH51" si="218">ROUND(BT40*F40,-3)</f>
        <v>0</v>
      </c>
      <c r="CI40" s="46">
        <f t="shared" ref="CI40:CI51" si="219">ROUND(BU40*G40,-3)</f>
        <v>0</v>
      </c>
      <c r="CJ40" s="46">
        <f t="shared" ref="CJ40:CJ51" si="220">ROUND(BV40*H40,-3)</f>
        <v>0</v>
      </c>
      <c r="CK40" s="46">
        <f t="shared" ref="CK40:CK51" si="221">ROUND(BW40*I40,-3)</f>
        <v>0</v>
      </c>
      <c r="CL40" s="46">
        <f t="shared" ref="CL40:CL51" si="222">ROUND(BX40*J40,-3)</f>
        <v>0</v>
      </c>
      <c r="CM40" s="46">
        <f t="shared" ref="CM40:CM51" si="223">ROUND(BY40*K40,-3)</f>
        <v>0</v>
      </c>
      <c r="CN40" s="46">
        <f t="shared" ref="CN40:CN51" si="224">ROUND(BZ40*L40,-3)</f>
        <v>0</v>
      </c>
      <c r="CO40" s="46">
        <f t="shared" ref="CO40:CO51" si="225">ROUND(CA40*M40,-3)</f>
        <v>0</v>
      </c>
      <c r="CP40" s="46">
        <f t="shared" ref="CP40:CP51" si="226">ROUND(CB40*N40,-3)</f>
        <v>0</v>
      </c>
      <c r="CQ40" s="46">
        <f t="shared" ref="CQ40:CQ51" si="227">ROUND(CC40*O40,-3)</f>
        <v>0</v>
      </c>
      <c r="CR40" s="46">
        <f t="shared" ref="CR40:CR51" si="228">ROUND(CD40*P40,-3)</f>
        <v>0</v>
      </c>
      <c r="CS40" s="46">
        <f t="shared" ref="CS40:CS51" si="229">ROUND(CE40*Q40,-3)</f>
        <v>0</v>
      </c>
      <c r="CT40" s="1300"/>
      <c r="CU40" s="1300"/>
      <c r="CV40" s="1300"/>
      <c r="CW40" s="1300"/>
      <c r="CX40" s="1300"/>
    </row>
    <row r="41" spans="1:102" s="772" customFormat="1" x14ac:dyDescent="0.2">
      <c r="A41" s="666" t="s">
        <v>4830</v>
      </c>
      <c r="B41" s="371"/>
      <c r="C41" s="371"/>
      <c r="D41" s="371"/>
      <c r="E41" s="1199"/>
      <c r="F41" s="1200"/>
      <c r="G41" s="2184"/>
      <c r="H41" s="1199"/>
      <c r="I41" s="1199"/>
      <c r="J41" s="1199"/>
      <c r="K41" s="1199"/>
      <c r="L41" s="1199"/>
      <c r="M41" s="1200"/>
      <c r="N41" s="1200">
        <v>282000</v>
      </c>
      <c r="O41" s="1200"/>
      <c r="P41" s="1200"/>
      <c r="Q41" s="1288"/>
      <c r="R41" s="1287"/>
      <c r="S41" s="1198">
        <f t="shared" si="208"/>
        <v>0</v>
      </c>
      <c r="T41" s="1198"/>
      <c r="U41" s="1288">
        <f>$E41-R41-S41-T41</f>
        <v>0</v>
      </c>
      <c r="V41" s="1287"/>
      <c r="W41" s="1198">
        <f>ROUND(F41/2,-2)</f>
        <v>0</v>
      </c>
      <c r="X41" s="1191"/>
      <c r="Y41" s="437">
        <f t="shared" si="65"/>
        <v>0</v>
      </c>
      <c r="Z41" s="1287"/>
      <c r="AA41" s="1198">
        <f t="shared" ref="AA41:AA51" si="230">ROUND(G41/2,-2)</f>
        <v>0</v>
      </c>
      <c r="AB41" s="1191"/>
      <c r="AC41" s="1299">
        <f>$G41-Z41-AA41-AB41</f>
        <v>0</v>
      </c>
      <c r="AD41" s="1289"/>
      <c r="AE41" s="1198">
        <f t="shared" si="209"/>
        <v>0</v>
      </c>
      <c r="AF41" s="1198"/>
      <c r="AG41" s="1299">
        <f>$H41-AD41-AE41-AF41</f>
        <v>0</v>
      </c>
      <c r="AH41" s="1287"/>
      <c r="AI41" s="1198">
        <f t="shared" si="210"/>
        <v>0</v>
      </c>
      <c r="AJ41" s="1191"/>
      <c r="AK41" s="1299">
        <f>$I41-AH41-AI41-AJ41</f>
        <v>0</v>
      </c>
      <c r="AL41" s="1191">
        <v>0</v>
      </c>
      <c r="AM41" s="1198">
        <v>0</v>
      </c>
      <c r="AN41" s="1191"/>
      <c r="AO41" s="1302">
        <f>$J41-AL41-AM41-AN41</f>
        <v>0</v>
      </c>
      <c r="AP41" s="1191"/>
      <c r="AQ41" s="1198">
        <f>ROUND(K41,-2)</f>
        <v>0</v>
      </c>
      <c r="AR41" s="1191"/>
      <c r="AS41" s="1299">
        <f>$K41-AP41-AQ41-AR41</f>
        <v>0</v>
      </c>
      <c r="AT41" s="1287"/>
      <c r="AU41" s="1198">
        <f>ROUND(L41,-2)</f>
        <v>0</v>
      </c>
      <c r="AV41" s="1191"/>
      <c r="AW41" s="1299">
        <f>$L41-AT41-AU41-AV41</f>
        <v>0</v>
      </c>
      <c r="AX41" s="1287"/>
      <c r="AY41" s="1198">
        <f t="shared" si="211"/>
        <v>0</v>
      </c>
      <c r="AZ41" s="1191"/>
      <c r="BA41" s="1299">
        <f>$M41-AX41-AY41-AZ41</f>
        <v>0</v>
      </c>
      <c r="BB41" s="1287"/>
      <c r="BC41" s="1198">
        <v>0</v>
      </c>
      <c r="BD41" s="1191"/>
      <c r="BE41" s="1299">
        <f>$N41-BB41-BC41-BD41</f>
        <v>282000</v>
      </c>
      <c r="BF41" s="1287"/>
      <c r="BG41" s="1198"/>
      <c r="BH41" s="1191"/>
      <c r="BI41" s="437">
        <f t="shared" si="213"/>
        <v>0</v>
      </c>
      <c r="BJ41" s="1287"/>
      <c r="BK41" s="1198"/>
      <c r="BL41" s="1191"/>
      <c r="BM41" s="1131">
        <f t="shared" si="214"/>
        <v>0</v>
      </c>
      <c r="BN41" s="1287"/>
      <c r="BO41" s="1198"/>
      <c r="BP41" s="1191"/>
      <c r="BQ41" s="1131">
        <f t="shared" si="215"/>
        <v>0</v>
      </c>
      <c r="BR41" s="1300"/>
      <c r="BS41" s="833">
        <v>1</v>
      </c>
      <c r="BT41" s="833">
        <f t="shared" ref="BT41:CE41" si="231">BS41</f>
        <v>1</v>
      </c>
      <c r="BU41" s="833">
        <f t="shared" si="231"/>
        <v>1</v>
      </c>
      <c r="BV41" s="833">
        <f t="shared" si="231"/>
        <v>1</v>
      </c>
      <c r="BW41" s="833">
        <f t="shared" si="231"/>
        <v>1</v>
      </c>
      <c r="BX41" s="833">
        <f t="shared" si="231"/>
        <v>1</v>
      </c>
      <c r="BY41" s="833">
        <f t="shared" si="231"/>
        <v>1</v>
      </c>
      <c r="BZ41" s="833">
        <f t="shared" si="231"/>
        <v>1</v>
      </c>
      <c r="CA41" s="833">
        <f t="shared" si="231"/>
        <v>1</v>
      </c>
      <c r="CB41" s="833">
        <f t="shared" si="231"/>
        <v>1</v>
      </c>
      <c r="CC41" s="833">
        <f t="shared" si="231"/>
        <v>1</v>
      </c>
      <c r="CD41" s="833">
        <f t="shared" si="231"/>
        <v>1</v>
      </c>
      <c r="CE41" s="833">
        <f t="shared" si="231"/>
        <v>1</v>
      </c>
      <c r="CF41" s="833"/>
      <c r="CG41" s="46">
        <f t="shared" si="217"/>
        <v>0</v>
      </c>
      <c r="CH41" s="46">
        <f t="shared" si="218"/>
        <v>0</v>
      </c>
      <c r="CI41" s="46">
        <f t="shared" si="219"/>
        <v>0</v>
      </c>
      <c r="CJ41" s="46">
        <f t="shared" si="220"/>
        <v>0</v>
      </c>
      <c r="CK41" s="46">
        <f t="shared" si="221"/>
        <v>0</v>
      </c>
      <c r="CL41" s="46">
        <f t="shared" si="222"/>
        <v>0</v>
      </c>
      <c r="CM41" s="46">
        <f t="shared" si="223"/>
        <v>0</v>
      </c>
      <c r="CN41" s="46">
        <f t="shared" si="224"/>
        <v>0</v>
      </c>
      <c r="CO41" s="46">
        <f t="shared" si="225"/>
        <v>0</v>
      </c>
      <c r="CP41" s="46">
        <f t="shared" si="226"/>
        <v>282000</v>
      </c>
      <c r="CQ41" s="46">
        <f t="shared" si="227"/>
        <v>0</v>
      </c>
      <c r="CR41" s="46">
        <f t="shared" si="228"/>
        <v>0</v>
      </c>
      <c r="CS41" s="46">
        <f t="shared" si="229"/>
        <v>0</v>
      </c>
      <c r="CT41" s="1300"/>
      <c r="CU41" s="1300"/>
      <c r="CV41" s="1300"/>
      <c r="CW41" s="1300"/>
      <c r="CX41" s="1300"/>
    </row>
    <row r="42" spans="1:102" s="772" customFormat="1" x14ac:dyDescent="0.2">
      <c r="A42" s="666" t="s">
        <v>4831</v>
      </c>
      <c r="B42" s="662" t="s">
        <v>3130</v>
      </c>
      <c r="C42" s="662" t="s">
        <v>4048</v>
      </c>
      <c r="D42" s="662"/>
      <c r="E42" s="1199"/>
      <c r="F42" s="1199"/>
      <c r="G42" s="2191"/>
      <c r="H42" s="1199"/>
      <c r="I42" s="1199"/>
      <c r="J42" s="1199"/>
      <c r="K42" s="1199">
        <v>712000</v>
      </c>
      <c r="L42" s="1199"/>
      <c r="M42" s="1200"/>
      <c r="N42" s="1200"/>
      <c r="O42" s="1200"/>
      <c r="P42" s="1200"/>
      <c r="Q42" s="1288"/>
      <c r="R42" s="1287"/>
      <c r="S42" s="1198">
        <f t="shared" si="208"/>
        <v>0</v>
      </c>
      <c r="T42" s="1198"/>
      <c r="U42" s="1288">
        <f>$E42-R42-S42-T42</f>
        <v>0</v>
      </c>
      <c r="V42" s="1287"/>
      <c r="W42" s="1198">
        <f>ROUND(F42/2,-2)</f>
        <v>0</v>
      </c>
      <c r="X42" s="1191"/>
      <c r="Y42" s="437">
        <f t="shared" si="65"/>
        <v>0</v>
      </c>
      <c r="Z42" s="1287"/>
      <c r="AA42" s="1198">
        <f t="shared" si="230"/>
        <v>0</v>
      </c>
      <c r="AB42" s="1191"/>
      <c r="AC42" s="1299">
        <f>$G42-Z42-AA42-AB42</f>
        <v>0</v>
      </c>
      <c r="AD42" s="1289"/>
      <c r="AE42" s="1198">
        <f t="shared" si="209"/>
        <v>0</v>
      </c>
      <c r="AF42" s="1198"/>
      <c r="AG42" s="1299">
        <f>$H42-AD42-AE42-AF42</f>
        <v>0</v>
      </c>
      <c r="AH42" s="1287"/>
      <c r="AI42" s="1198">
        <f t="shared" si="210"/>
        <v>0</v>
      </c>
      <c r="AJ42" s="1191"/>
      <c r="AK42" s="1299">
        <f>$I42-AH42-AI42-AJ42</f>
        <v>0</v>
      </c>
      <c r="AL42" s="1191">
        <v>0</v>
      </c>
      <c r="AM42" s="1198">
        <v>0</v>
      </c>
      <c r="AN42" s="1191"/>
      <c r="AO42" s="1302">
        <f>$J42-AL42-AM42-AN42</f>
        <v>0</v>
      </c>
      <c r="AP42" s="1191"/>
      <c r="AQ42" s="1198">
        <v>0</v>
      </c>
      <c r="AR42" s="1191"/>
      <c r="AS42" s="1299">
        <f>$K42-AP42-AQ42-AR42</f>
        <v>712000</v>
      </c>
      <c r="AT42" s="1287"/>
      <c r="AU42" s="1198">
        <f>ROUND(L42,-2)</f>
        <v>0</v>
      </c>
      <c r="AV42" s="1191"/>
      <c r="AW42" s="1299">
        <f>$L42-AT42-AU42-AV42</f>
        <v>0</v>
      </c>
      <c r="AX42" s="1287"/>
      <c r="AY42" s="1198">
        <f t="shared" si="211"/>
        <v>0</v>
      </c>
      <c r="AZ42" s="1191"/>
      <c r="BA42" s="1299">
        <f>$M42-AX42-AY42-AZ42</f>
        <v>0</v>
      </c>
      <c r="BB42" s="1287"/>
      <c r="BC42" s="1198">
        <f t="shared" si="212"/>
        <v>0</v>
      </c>
      <c r="BD42" s="1191"/>
      <c r="BE42" s="1299">
        <f>$N42-BB42-BC42-BD42</f>
        <v>0</v>
      </c>
      <c r="BF42" s="1287"/>
      <c r="BG42" s="1198"/>
      <c r="BH42" s="1191"/>
      <c r="BI42" s="437">
        <f t="shared" si="213"/>
        <v>0</v>
      </c>
      <c r="BJ42" s="1287"/>
      <c r="BK42" s="1198"/>
      <c r="BL42" s="1191"/>
      <c r="BM42" s="1131">
        <f t="shared" si="214"/>
        <v>0</v>
      </c>
      <c r="BN42" s="1287"/>
      <c r="BO42" s="1198"/>
      <c r="BP42" s="1191"/>
      <c r="BQ42" s="1131">
        <f t="shared" si="215"/>
        <v>0</v>
      </c>
      <c r="BR42" s="1300"/>
      <c r="BS42" s="833">
        <v>1</v>
      </c>
      <c r="BT42" s="833">
        <f t="shared" ref="BT42:CE42" si="232">BS42</f>
        <v>1</v>
      </c>
      <c r="BU42" s="833">
        <f t="shared" si="232"/>
        <v>1</v>
      </c>
      <c r="BV42" s="833">
        <f t="shared" si="232"/>
        <v>1</v>
      </c>
      <c r="BW42" s="833">
        <f t="shared" si="232"/>
        <v>1</v>
      </c>
      <c r="BX42" s="833">
        <f t="shared" si="232"/>
        <v>1</v>
      </c>
      <c r="BY42" s="833">
        <f t="shared" si="232"/>
        <v>1</v>
      </c>
      <c r="BZ42" s="833">
        <f t="shared" si="232"/>
        <v>1</v>
      </c>
      <c r="CA42" s="833">
        <f t="shared" si="232"/>
        <v>1</v>
      </c>
      <c r="CB42" s="833">
        <f t="shared" si="232"/>
        <v>1</v>
      </c>
      <c r="CC42" s="833">
        <f t="shared" si="232"/>
        <v>1</v>
      </c>
      <c r="CD42" s="833">
        <f t="shared" si="232"/>
        <v>1</v>
      </c>
      <c r="CE42" s="833">
        <f t="shared" si="232"/>
        <v>1</v>
      </c>
      <c r="CF42" s="833"/>
      <c r="CG42" s="46">
        <f t="shared" si="217"/>
        <v>0</v>
      </c>
      <c r="CH42" s="46">
        <f t="shared" si="218"/>
        <v>0</v>
      </c>
      <c r="CI42" s="46">
        <f t="shared" si="219"/>
        <v>0</v>
      </c>
      <c r="CJ42" s="46">
        <f t="shared" si="220"/>
        <v>0</v>
      </c>
      <c r="CK42" s="46">
        <f t="shared" si="221"/>
        <v>0</v>
      </c>
      <c r="CL42" s="46">
        <f t="shared" si="222"/>
        <v>0</v>
      </c>
      <c r="CM42" s="46">
        <f t="shared" si="223"/>
        <v>712000</v>
      </c>
      <c r="CN42" s="46">
        <f t="shared" si="224"/>
        <v>0</v>
      </c>
      <c r="CO42" s="46">
        <f t="shared" si="225"/>
        <v>0</v>
      </c>
      <c r="CP42" s="46">
        <f t="shared" si="226"/>
        <v>0</v>
      </c>
      <c r="CQ42" s="46">
        <f t="shared" si="227"/>
        <v>0</v>
      </c>
      <c r="CR42" s="46">
        <f t="shared" si="228"/>
        <v>0</v>
      </c>
      <c r="CS42" s="46">
        <f t="shared" si="229"/>
        <v>0</v>
      </c>
      <c r="CT42" s="1300"/>
      <c r="CU42" s="1300"/>
      <c r="CV42" s="1300"/>
      <c r="CW42" s="1300"/>
      <c r="CX42" s="1300"/>
    </row>
    <row r="43" spans="1:102" s="772" customFormat="1" x14ac:dyDescent="0.2">
      <c r="A43" s="666" t="s">
        <v>4832</v>
      </c>
      <c r="B43" s="662"/>
      <c r="C43" s="662"/>
      <c r="D43" s="662"/>
      <c r="E43" s="1199"/>
      <c r="F43" s="1199"/>
      <c r="G43" s="2191"/>
      <c r="H43" s="1199"/>
      <c r="I43" s="1199">
        <v>2078000</v>
      </c>
      <c r="J43" s="1199"/>
      <c r="K43" s="1199">
        <v>2343000</v>
      </c>
      <c r="L43" s="1199"/>
      <c r="M43" s="1200"/>
      <c r="N43" s="1200"/>
      <c r="O43" s="1200"/>
      <c r="P43" s="1200"/>
      <c r="Q43" s="1288"/>
      <c r="R43" s="1287"/>
      <c r="S43" s="1198">
        <f t="shared" si="208"/>
        <v>0</v>
      </c>
      <c r="T43" s="1198"/>
      <c r="U43" s="1288">
        <f>$E43-R43-S43-T43</f>
        <v>0</v>
      </c>
      <c r="V43" s="1287"/>
      <c r="W43" s="1198">
        <f>ROUND(F43/2,-2)</f>
        <v>0</v>
      </c>
      <c r="X43" s="1191"/>
      <c r="Y43" s="437">
        <f t="shared" si="65"/>
        <v>0</v>
      </c>
      <c r="Z43" s="1287"/>
      <c r="AA43" s="1198">
        <f t="shared" si="230"/>
        <v>0</v>
      </c>
      <c r="AB43" s="1191"/>
      <c r="AC43" s="1299">
        <f>$G43-Z43-AA43-AB43</f>
        <v>0</v>
      </c>
      <c r="AD43" s="1289"/>
      <c r="AE43" s="1198">
        <f t="shared" si="209"/>
        <v>0</v>
      </c>
      <c r="AF43" s="1198"/>
      <c r="AG43" s="1299">
        <f>$H43-AD43-AE43-AF43</f>
        <v>0</v>
      </c>
      <c r="AH43" s="1287"/>
      <c r="AI43" s="1198">
        <f t="shared" si="210"/>
        <v>1039000</v>
      </c>
      <c r="AJ43" s="1191"/>
      <c r="AK43" s="1299">
        <f>$I43-AH43-AI43-AJ43</f>
        <v>1039000</v>
      </c>
      <c r="AL43" s="1191">
        <v>0</v>
      </c>
      <c r="AM43" s="1198">
        <v>0</v>
      </c>
      <c r="AN43" s="1191"/>
      <c r="AO43" s="1302">
        <f>$J43-AL43-AM43-AN43</f>
        <v>0</v>
      </c>
      <c r="AP43" s="1191"/>
      <c r="AQ43" s="1198">
        <f>ROUND(K43/4,-3)</f>
        <v>586000</v>
      </c>
      <c r="AR43" s="1191"/>
      <c r="AS43" s="1299">
        <f>$K43-AP43-AQ43-AR43</f>
        <v>1757000</v>
      </c>
      <c r="AT43" s="1287"/>
      <c r="AU43" s="1198">
        <f>ROUND(L43,-2)</f>
        <v>0</v>
      </c>
      <c r="AV43" s="1191"/>
      <c r="AW43" s="1299">
        <f>$L43-AT43-AU43-AV43</f>
        <v>0</v>
      </c>
      <c r="AX43" s="1287"/>
      <c r="AY43" s="1198">
        <f t="shared" si="211"/>
        <v>0</v>
      </c>
      <c r="AZ43" s="1191"/>
      <c r="BA43" s="1299">
        <f>$M43-AX43-AY43-AZ43</f>
        <v>0</v>
      </c>
      <c r="BB43" s="1287"/>
      <c r="BC43" s="1198">
        <f t="shared" si="212"/>
        <v>0</v>
      </c>
      <c r="BD43" s="1191"/>
      <c r="BE43" s="1299">
        <f>$N43-BB43-BC43-BD43</f>
        <v>0</v>
      </c>
      <c r="BF43" s="1287"/>
      <c r="BG43" s="1198"/>
      <c r="BH43" s="1191"/>
      <c r="BI43" s="437">
        <f t="shared" si="213"/>
        <v>0</v>
      </c>
      <c r="BJ43" s="1287"/>
      <c r="BK43" s="1198"/>
      <c r="BL43" s="1191"/>
      <c r="BM43" s="1131">
        <f t="shared" si="214"/>
        <v>0</v>
      </c>
      <c r="BN43" s="1287"/>
      <c r="BO43" s="1198"/>
      <c r="BP43" s="1191"/>
      <c r="BQ43" s="1131">
        <f t="shared" si="215"/>
        <v>0</v>
      </c>
      <c r="BR43" s="1300"/>
      <c r="BS43" s="833">
        <v>1</v>
      </c>
      <c r="BT43" s="833">
        <f t="shared" ref="BT43" si="233">BS43</f>
        <v>1</v>
      </c>
      <c r="BU43" s="833">
        <f t="shared" ref="BU43" si="234">BT43</f>
        <v>1</v>
      </c>
      <c r="BV43" s="833">
        <f t="shared" ref="BV43" si="235">BU43</f>
        <v>1</v>
      </c>
      <c r="BW43" s="833">
        <f t="shared" ref="BW43" si="236">BV43</f>
        <v>1</v>
      </c>
      <c r="BX43" s="833">
        <f t="shared" ref="BX43" si="237">BW43</f>
        <v>1</v>
      </c>
      <c r="BY43" s="833">
        <f t="shared" ref="BY43" si="238">BX43</f>
        <v>1</v>
      </c>
      <c r="BZ43" s="833">
        <f t="shared" ref="BZ43" si="239">BY43</f>
        <v>1</v>
      </c>
      <c r="CA43" s="833">
        <f t="shared" ref="CA43" si="240">BZ43</f>
        <v>1</v>
      </c>
      <c r="CB43" s="833">
        <f t="shared" ref="CB43:CE43" si="241">CA43</f>
        <v>1</v>
      </c>
      <c r="CC43" s="833">
        <f t="shared" si="241"/>
        <v>1</v>
      </c>
      <c r="CD43" s="833">
        <f t="shared" si="241"/>
        <v>1</v>
      </c>
      <c r="CE43" s="833">
        <f t="shared" si="241"/>
        <v>1</v>
      </c>
      <c r="CF43" s="833"/>
      <c r="CG43" s="46">
        <f t="shared" si="217"/>
        <v>0</v>
      </c>
      <c r="CH43" s="46">
        <f t="shared" si="218"/>
        <v>0</v>
      </c>
      <c r="CI43" s="46">
        <f t="shared" si="219"/>
        <v>0</v>
      </c>
      <c r="CJ43" s="46">
        <f t="shared" si="220"/>
        <v>0</v>
      </c>
      <c r="CK43" s="46">
        <f t="shared" si="221"/>
        <v>2078000</v>
      </c>
      <c r="CL43" s="46">
        <f t="shared" si="222"/>
        <v>0</v>
      </c>
      <c r="CM43" s="46">
        <f t="shared" si="223"/>
        <v>2343000</v>
      </c>
      <c r="CN43" s="46">
        <f t="shared" si="224"/>
        <v>0</v>
      </c>
      <c r="CO43" s="46">
        <f t="shared" si="225"/>
        <v>0</v>
      </c>
      <c r="CP43" s="46">
        <f t="shared" si="226"/>
        <v>0</v>
      </c>
      <c r="CQ43" s="46">
        <f t="shared" si="227"/>
        <v>0</v>
      </c>
      <c r="CR43" s="46">
        <f t="shared" si="228"/>
        <v>0</v>
      </c>
      <c r="CS43" s="46">
        <f t="shared" si="229"/>
        <v>0</v>
      </c>
      <c r="CT43" s="1300"/>
      <c r="CU43" s="1300"/>
      <c r="CV43" s="1300"/>
      <c r="CW43" s="1300"/>
      <c r="CX43" s="1300"/>
    </row>
    <row r="44" spans="1:102" s="772" customFormat="1" x14ac:dyDescent="0.2">
      <c r="A44" s="666" t="s">
        <v>4833</v>
      </c>
      <c r="B44" s="662" t="s">
        <v>4966</v>
      </c>
      <c r="C44" s="662" t="s">
        <v>5001</v>
      </c>
      <c r="D44" s="662"/>
      <c r="E44" s="1199"/>
      <c r="F44" s="1199"/>
      <c r="G44" s="2191">
        <f>25000-25000</f>
        <v>0</v>
      </c>
      <c r="H44" s="1199">
        <v>2589000</v>
      </c>
      <c r="I44" s="1199"/>
      <c r="J44" s="1199"/>
      <c r="K44" s="1199"/>
      <c r="L44" s="1199"/>
      <c r="M44" s="1200"/>
      <c r="N44" s="1200"/>
      <c r="O44" s="1200"/>
      <c r="P44" s="1200"/>
      <c r="Q44" s="1288"/>
      <c r="R44" s="1287"/>
      <c r="S44" s="1198">
        <f t="shared" si="208"/>
        <v>0</v>
      </c>
      <c r="T44" s="1198"/>
      <c r="U44" s="1288">
        <f>$E44-R44-S44-T44</f>
        <v>0</v>
      </c>
      <c r="V44" s="1287"/>
      <c r="W44" s="1198">
        <f>ROUND(F44,-2)</f>
        <v>0</v>
      </c>
      <c r="X44" s="1191"/>
      <c r="Y44" s="437">
        <f t="shared" si="65"/>
        <v>0</v>
      </c>
      <c r="Z44" s="1287"/>
      <c r="AA44" s="1198">
        <f t="shared" si="230"/>
        <v>0</v>
      </c>
      <c r="AB44" s="1191"/>
      <c r="AC44" s="1299">
        <f>$G44-Z44-AA44-AB44</f>
        <v>0</v>
      </c>
      <c r="AD44" s="1289"/>
      <c r="AE44" s="1198">
        <f>ROUND(H44,-2)</f>
        <v>2589000</v>
      </c>
      <c r="AF44" s="1198"/>
      <c r="AG44" s="1299">
        <f>$H44-AD44-AE44-AF44</f>
        <v>0</v>
      </c>
      <c r="AH44" s="1287"/>
      <c r="AI44" s="1198">
        <f t="shared" si="210"/>
        <v>0</v>
      </c>
      <c r="AJ44" s="1191"/>
      <c r="AK44" s="1299">
        <f>$I44-AH44-AI44-AJ44</f>
        <v>0</v>
      </c>
      <c r="AL44" s="1191">
        <v>0</v>
      </c>
      <c r="AM44" s="1198">
        <v>0</v>
      </c>
      <c r="AN44" s="1191"/>
      <c r="AO44" s="1302">
        <f>$J44-AL44-AM44-AN44</f>
        <v>0</v>
      </c>
      <c r="AP44" s="1191"/>
      <c r="AQ44" s="1198">
        <f t="shared" ref="AQ44:AQ49" si="242">ROUND(K44,-2)</f>
        <v>0</v>
      </c>
      <c r="AR44" s="1191"/>
      <c r="AS44" s="1299">
        <f>$K44-AP44-AQ44-AR44</f>
        <v>0</v>
      </c>
      <c r="AT44" s="1287"/>
      <c r="AU44" s="1198">
        <f>ROUND(L44,-2)</f>
        <v>0</v>
      </c>
      <c r="AV44" s="1191"/>
      <c r="AW44" s="1299">
        <f>$L44-AT44-AU44-AV44</f>
        <v>0</v>
      </c>
      <c r="AX44" s="1287"/>
      <c r="AY44" s="1198">
        <f t="shared" si="211"/>
        <v>0</v>
      </c>
      <c r="AZ44" s="1191"/>
      <c r="BA44" s="1299">
        <f>$M44-AX44-AY44-AZ44</f>
        <v>0</v>
      </c>
      <c r="BB44" s="1287"/>
      <c r="BC44" s="1198">
        <f t="shared" si="212"/>
        <v>0</v>
      </c>
      <c r="BD44" s="1191"/>
      <c r="BE44" s="1299">
        <f>$N44-BB44-BC44-BD44</f>
        <v>0</v>
      </c>
      <c r="BF44" s="1287"/>
      <c r="BG44" s="1198"/>
      <c r="BH44" s="1191"/>
      <c r="BI44" s="437">
        <f t="shared" si="213"/>
        <v>0</v>
      </c>
      <c r="BJ44" s="1287"/>
      <c r="BK44" s="1198"/>
      <c r="BL44" s="1191"/>
      <c r="BM44" s="1131">
        <f t="shared" si="214"/>
        <v>0</v>
      </c>
      <c r="BN44" s="1287"/>
      <c r="BO44" s="1198"/>
      <c r="BP44" s="1191"/>
      <c r="BQ44" s="1131">
        <f t="shared" si="215"/>
        <v>0</v>
      </c>
      <c r="BR44" s="1300"/>
      <c r="BS44" s="833">
        <v>1</v>
      </c>
      <c r="BT44" s="833">
        <f t="shared" ref="BT44" si="243">BS44</f>
        <v>1</v>
      </c>
      <c r="BU44" s="833">
        <f t="shared" ref="BU44" si="244">BT44</f>
        <v>1</v>
      </c>
      <c r="BV44" s="833">
        <f t="shared" ref="BV44" si="245">BU44</f>
        <v>1</v>
      </c>
      <c r="BW44" s="833">
        <f t="shared" ref="BW44" si="246">BV44</f>
        <v>1</v>
      </c>
      <c r="BX44" s="833">
        <f t="shared" ref="BX44" si="247">BW44</f>
        <v>1</v>
      </c>
      <c r="BY44" s="833">
        <f t="shared" ref="BY44" si="248">BX44</f>
        <v>1</v>
      </c>
      <c r="BZ44" s="833">
        <f t="shared" ref="BZ44" si="249">BY44</f>
        <v>1</v>
      </c>
      <c r="CA44" s="833">
        <f t="shared" ref="CA44" si="250">BZ44</f>
        <v>1</v>
      </c>
      <c r="CB44" s="833">
        <f t="shared" ref="CB44:CE44" si="251">CA44</f>
        <v>1</v>
      </c>
      <c r="CC44" s="833">
        <f t="shared" si="251"/>
        <v>1</v>
      </c>
      <c r="CD44" s="833">
        <f t="shared" si="251"/>
        <v>1</v>
      </c>
      <c r="CE44" s="833">
        <f t="shared" si="251"/>
        <v>1</v>
      </c>
      <c r="CF44" s="833"/>
      <c r="CG44" s="46">
        <f t="shared" si="217"/>
        <v>0</v>
      </c>
      <c r="CH44" s="46">
        <f t="shared" si="218"/>
        <v>0</v>
      </c>
      <c r="CI44" s="46">
        <f t="shared" si="219"/>
        <v>0</v>
      </c>
      <c r="CJ44" s="46">
        <f t="shared" si="220"/>
        <v>2589000</v>
      </c>
      <c r="CK44" s="46">
        <f t="shared" si="221"/>
        <v>0</v>
      </c>
      <c r="CL44" s="46">
        <f t="shared" si="222"/>
        <v>0</v>
      </c>
      <c r="CM44" s="46">
        <f t="shared" si="223"/>
        <v>0</v>
      </c>
      <c r="CN44" s="46">
        <f t="shared" si="224"/>
        <v>0</v>
      </c>
      <c r="CO44" s="46">
        <f t="shared" si="225"/>
        <v>0</v>
      </c>
      <c r="CP44" s="46">
        <f t="shared" si="226"/>
        <v>0</v>
      </c>
      <c r="CQ44" s="46">
        <f t="shared" si="227"/>
        <v>0</v>
      </c>
      <c r="CR44" s="46">
        <f t="shared" si="228"/>
        <v>0</v>
      </c>
      <c r="CS44" s="46">
        <f t="shared" si="229"/>
        <v>0</v>
      </c>
      <c r="CT44" s="1300"/>
      <c r="CU44" s="1300"/>
      <c r="CV44" s="1300"/>
      <c r="CW44" s="1300"/>
      <c r="CX44" s="1300"/>
    </row>
    <row r="45" spans="1:102" s="772" customFormat="1" x14ac:dyDescent="0.2">
      <c r="A45" s="666" t="s">
        <v>4834</v>
      </c>
      <c r="B45" s="662"/>
      <c r="C45" s="662"/>
      <c r="D45" s="662"/>
      <c r="E45" s="1199"/>
      <c r="F45" s="1199"/>
      <c r="G45" s="2191"/>
      <c r="H45" s="1199"/>
      <c r="I45" s="1199"/>
      <c r="J45" s="1199"/>
      <c r="K45" s="1199"/>
      <c r="L45" s="1199"/>
      <c r="M45" s="1200">
        <v>1175000</v>
      </c>
      <c r="N45" s="1200"/>
      <c r="O45" s="1200"/>
      <c r="P45" s="1200"/>
      <c r="Q45" s="1288"/>
      <c r="R45" s="1287"/>
      <c r="S45" s="1198">
        <f t="shared" si="208"/>
        <v>0</v>
      </c>
      <c r="T45" s="1198"/>
      <c r="U45" s="1288">
        <f t="shared" si="91"/>
        <v>0</v>
      </c>
      <c r="V45" s="1287"/>
      <c r="W45" s="1198">
        <f t="shared" ref="W45:W51" si="252">ROUND(F45/2,-2)</f>
        <v>0</v>
      </c>
      <c r="X45" s="1191"/>
      <c r="Y45" s="437">
        <f t="shared" si="65"/>
        <v>0</v>
      </c>
      <c r="Z45" s="1287"/>
      <c r="AA45" s="1198">
        <f t="shared" si="230"/>
        <v>0</v>
      </c>
      <c r="AB45" s="1191"/>
      <c r="AC45" s="1299">
        <f t="shared" ref="AC45:AC53" si="253">$G45-Z45-AA45-AB45</f>
        <v>0</v>
      </c>
      <c r="AD45" s="1289"/>
      <c r="AE45" s="1198">
        <f t="shared" si="209"/>
        <v>0</v>
      </c>
      <c r="AF45" s="1198"/>
      <c r="AG45" s="1299">
        <f t="shared" ref="AG45:AG53" si="254">$H45-AD45-AE45-AF45</f>
        <v>0</v>
      </c>
      <c r="AH45" s="1287"/>
      <c r="AI45" s="1198">
        <f t="shared" si="210"/>
        <v>0</v>
      </c>
      <c r="AJ45" s="1191"/>
      <c r="AK45" s="1299">
        <f t="shared" ref="AK45:AK53" si="255">$I45-AH45-AI45-AJ45</f>
        <v>0</v>
      </c>
      <c r="AL45" s="1191">
        <v>0</v>
      </c>
      <c r="AM45" s="1198">
        <v>0</v>
      </c>
      <c r="AN45" s="1191"/>
      <c r="AO45" s="1302">
        <f t="shared" ref="AO45:AO53" si="256">$J45-AL45-AM45-AN45</f>
        <v>0</v>
      </c>
      <c r="AP45" s="1191"/>
      <c r="AQ45" s="1198">
        <f t="shared" si="242"/>
        <v>0</v>
      </c>
      <c r="AR45" s="1191"/>
      <c r="AS45" s="1299">
        <f t="shared" ref="AS45:AS53" si="257">$K45-AP45-AQ45-AR45</f>
        <v>0</v>
      </c>
      <c r="AT45" s="1287"/>
      <c r="AU45" s="1198"/>
      <c r="AV45" s="1191"/>
      <c r="AW45" s="1299">
        <f t="shared" ref="AW45:AW53" si="258">$L45-AT45-AU45-AV45</f>
        <v>0</v>
      </c>
      <c r="AX45" s="1287"/>
      <c r="AY45" s="1198">
        <f>ROUND(M45/2,-2)</f>
        <v>587500</v>
      </c>
      <c r="AZ45" s="1191"/>
      <c r="BA45" s="1299">
        <f t="shared" ref="BA45:BA53" si="259">$M45-AX45-AY45-AZ45</f>
        <v>587500</v>
      </c>
      <c r="BB45" s="1287"/>
      <c r="BC45" s="1198">
        <f t="shared" si="212"/>
        <v>0</v>
      </c>
      <c r="BD45" s="1191"/>
      <c r="BE45" s="1299">
        <f t="shared" ref="BE45:BE53" si="260">$N45-BB45-BC45-BD45</f>
        <v>0</v>
      </c>
      <c r="BF45" s="1287"/>
      <c r="BG45" s="1198"/>
      <c r="BH45" s="1191"/>
      <c r="BI45" s="437">
        <f t="shared" si="213"/>
        <v>0</v>
      </c>
      <c r="BJ45" s="1287"/>
      <c r="BK45" s="1198"/>
      <c r="BL45" s="1191"/>
      <c r="BM45" s="1131">
        <f t="shared" si="214"/>
        <v>0</v>
      </c>
      <c r="BN45" s="1287"/>
      <c r="BO45" s="1198"/>
      <c r="BP45" s="1191"/>
      <c r="BQ45" s="1131">
        <f t="shared" si="215"/>
        <v>0</v>
      </c>
      <c r="BR45" s="1300"/>
      <c r="BS45" s="833">
        <v>1</v>
      </c>
      <c r="BT45" s="833">
        <f t="shared" ref="BT45:CE45" si="261">BS45</f>
        <v>1</v>
      </c>
      <c r="BU45" s="833">
        <f t="shared" si="261"/>
        <v>1</v>
      </c>
      <c r="BV45" s="833">
        <f t="shared" si="261"/>
        <v>1</v>
      </c>
      <c r="BW45" s="833">
        <f t="shared" si="261"/>
        <v>1</v>
      </c>
      <c r="BX45" s="833">
        <f t="shared" si="261"/>
        <v>1</v>
      </c>
      <c r="BY45" s="833">
        <f t="shared" si="261"/>
        <v>1</v>
      </c>
      <c r="BZ45" s="833">
        <f t="shared" si="261"/>
        <v>1</v>
      </c>
      <c r="CA45" s="833">
        <f t="shared" si="261"/>
        <v>1</v>
      </c>
      <c r="CB45" s="833">
        <f t="shared" si="261"/>
        <v>1</v>
      </c>
      <c r="CC45" s="833">
        <f t="shared" si="261"/>
        <v>1</v>
      </c>
      <c r="CD45" s="833">
        <f t="shared" si="261"/>
        <v>1</v>
      </c>
      <c r="CE45" s="833">
        <f t="shared" si="261"/>
        <v>1</v>
      </c>
      <c r="CF45" s="833"/>
      <c r="CG45" s="46">
        <f t="shared" si="217"/>
        <v>0</v>
      </c>
      <c r="CH45" s="46">
        <f t="shared" si="218"/>
        <v>0</v>
      </c>
      <c r="CI45" s="46">
        <f t="shared" si="219"/>
        <v>0</v>
      </c>
      <c r="CJ45" s="46">
        <f t="shared" si="220"/>
        <v>0</v>
      </c>
      <c r="CK45" s="46">
        <f t="shared" si="221"/>
        <v>0</v>
      </c>
      <c r="CL45" s="46">
        <f t="shared" si="222"/>
        <v>0</v>
      </c>
      <c r="CM45" s="46">
        <f t="shared" si="223"/>
        <v>0</v>
      </c>
      <c r="CN45" s="46">
        <f t="shared" si="224"/>
        <v>0</v>
      </c>
      <c r="CO45" s="46">
        <f t="shared" si="225"/>
        <v>1175000</v>
      </c>
      <c r="CP45" s="46">
        <f t="shared" si="226"/>
        <v>0</v>
      </c>
      <c r="CQ45" s="46">
        <f t="shared" si="227"/>
        <v>0</v>
      </c>
      <c r="CR45" s="46">
        <f t="shared" si="228"/>
        <v>0</v>
      </c>
      <c r="CS45" s="46">
        <f t="shared" si="229"/>
        <v>0</v>
      </c>
      <c r="CT45" s="1300"/>
      <c r="CU45" s="1300"/>
      <c r="CV45" s="1300"/>
      <c r="CW45" s="1300"/>
      <c r="CX45" s="1300"/>
    </row>
    <row r="46" spans="1:102" s="772" customFormat="1" x14ac:dyDescent="0.2">
      <c r="A46" s="666" t="s">
        <v>4835</v>
      </c>
      <c r="B46" s="662" t="s">
        <v>4967</v>
      </c>
      <c r="C46" s="662" t="s">
        <v>5002</v>
      </c>
      <c r="D46" s="662"/>
      <c r="E46" s="1199"/>
      <c r="F46" s="1200">
        <v>200</v>
      </c>
      <c r="G46" s="2184"/>
      <c r="H46" s="1199"/>
      <c r="I46" s="1199"/>
      <c r="J46" s="1199"/>
      <c r="K46" s="1199"/>
      <c r="L46" s="1199"/>
      <c r="M46" s="1200">
        <v>1274000</v>
      </c>
      <c r="N46" s="1200"/>
      <c r="O46" s="1200"/>
      <c r="P46" s="1200"/>
      <c r="Q46" s="1288"/>
      <c r="R46" s="1287"/>
      <c r="S46" s="1198">
        <f t="shared" si="208"/>
        <v>0</v>
      </c>
      <c r="T46" s="1198"/>
      <c r="U46" s="1288">
        <f>$E46-R46-S46-T46</f>
        <v>0</v>
      </c>
      <c r="V46" s="1287"/>
      <c r="W46" s="1198">
        <f t="shared" si="252"/>
        <v>100</v>
      </c>
      <c r="X46" s="1191"/>
      <c r="Y46" s="437">
        <f t="shared" si="65"/>
        <v>100</v>
      </c>
      <c r="Z46" s="1287"/>
      <c r="AA46" s="1198">
        <f t="shared" si="230"/>
        <v>0</v>
      </c>
      <c r="AB46" s="1191"/>
      <c r="AC46" s="1299">
        <f>$G46-Z46-AA46-AB46</f>
        <v>0</v>
      </c>
      <c r="AD46" s="1289"/>
      <c r="AE46" s="1198">
        <f t="shared" si="209"/>
        <v>0</v>
      </c>
      <c r="AF46" s="1198"/>
      <c r="AG46" s="1299">
        <f>$H46-AD46-AE46-AF46</f>
        <v>0</v>
      </c>
      <c r="AH46" s="1287"/>
      <c r="AI46" s="1198">
        <f t="shared" si="210"/>
        <v>0</v>
      </c>
      <c r="AJ46" s="1191"/>
      <c r="AK46" s="1299">
        <f>$I46-AH46-AI46-AJ46</f>
        <v>0</v>
      </c>
      <c r="AL46" s="1191">
        <v>0</v>
      </c>
      <c r="AM46" s="1198">
        <v>0</v>
      </c>
      <c r="AN46" s="1191"/>
      <c r="AO46" s="1302">
        <f>$J46-AL46-AM46-AN46</f>
        <v>0</v>
      </c>
      <c r="AP46" s="1191"/>
      <c r="AQ46" s="1198">
        <f t="shared" si="242"/>
        <v>0</v>
      </c>
      <c r="AR46" s="1191"/>
      <c r="AS46" s="1299">
        <f>$K46-AP46-AQ46-AR46</f>
        <v>0</v>
      </c>
      <c r="AT46" s="1287"/>
      <c r="AU46" s="1198">
        <f t="shared" ref="AU46:AU51" si="262">ROUND(L46,-2)</f>
        <v>0</v>
      </c>
      <c r="AV46" s="1191"/>
      <c r="AW46" s="1299">
        <f>$L46-AT46-AU46-AV46</f>
        <v>0</v>
      </c>
      <c r="AX46" s="1287"/>
      <c r="AY46" s="1198"/>
      <c r="AZ46" s="1191"/>
      <c r="BA46" s="1299">
        <f>$M46-AX46-AY46-AZ46</f>
        <v>1274000</v>
      </c>
      <c r="BB46" s="1287"/>
      <c r="BC46" s="1198">
        <f t="shared" si="212"/>
        <v>0</v>
      </c>
      <c r="BD46" s="1191"/>
      <c r="BE46" s="1299">
        <f>$N46-BB46-BC46-BD46</f>
        <v>0</v>
      </c>
      <c r="BF46" s="1287"/>
      <c r="BG46" s="1198"/>
      <c r="BH46" s="1191"/>
      <c r="BI46" s="437">
        <f t="shared" si="213"/>
        <v>0</v>
      </c>
      <c r="BJ46" s="1287"/>
      <c r="BK46" s="1198"/>
      <c r="BL46" s="1191"/>
      <c r="BM46" s="1131">
        <f t="shared" si="214"/>
        <v>0</v>
      </c>
      <c r="BN46" s="1287"/>
      <c r="BO46" s="1198"/>
      <c r="BP46" s="1191"/>
      <c r="BQ46" s="1131">
        <f t="shared" si="215"/>
        <v>0</v>
      </c>
      <c r="BR46" s="1300"/>
      <c r="BS46" s="833">
        <v>1</v>
      </c>
      <c r="BT46" s="833">
        <f t="shared" ref="BT46:CE46" si="263">BS46</f>
        <v>1</v>
      </c>
      <c r="BU46" s="833">
        <f t="shared" si="263"/>
        <v>1</v>
      </c>
      <c r="BV46" s="833">
        <f t="shared" si="263"/>
        <v>1</v>
      </c>
      <c r="BW46" s="833">
        <f t="shared" si="263"/>
        <v>1</v>
      </c>
      <c r="BX46" s="833">
        <f t="shared" si="263"/>
        <v>1</v>
      </c>
      <c r="BY46" s="833">
        <f t="shared" si="263"/>
        <v>1</v>
      </c>
      <c r="BZ46" s="833">
        <f t="shared" si="263"/>
        <v>1</v>
      </c>
      <c r="CA46" s="833">
        <f t="shared" si="263"/>
        <v>1</v>
      </c>
      <c r="CB46" s="833">
        <f t="shared" si="263"/>
        <v>1</v>
      </c>
      <c r="CC46" s="833">
        <f t="shared" si="263"/>
        <v>1</v>
      </c>
      <c r="CD46" s="833">
        <f t="shared" si="263"/>
        <v>1</v>
      </c>
      <c r="CE46" s="833">
        <f t="shared" si="263"/>
        <v>1</v>
      </c>
      <c r="CF46" s="833"/>
      <c r="CG46" s="46">
        <f t="shared" si="217"/>
        <v>0</v>
      </c>
      <c r="CH46" s="46">
        <f t="shared" si="218"/>
        <v>0</v>
      </c>
      <c r="CI46" s="46">
        <f t="shared" si="219"/>
        <v>0</v>
      </c>
      <c r="CJ46" s="46">
        <f t="shared" si="220"/>
        <v>0</v>
      </c>
      <c r="CK46" s="46">
        <f t="shared" si="221"/>
        <v>0</v>
      </c>
      <c r="CL46" s="46">
        <f t="shared" si="222"/>
        <v>0</v>
      </c>
      <c r="CM46" s="46">
        <f t="shared" si="223"/>
        <v>0</v>
      </c>
      <c r="CN46" s="46">
        <f t="shared" si="224"/>
        <v>0</v>
      </c>
      <c r="CO46" s="46">
        <f t="shared" si="225"/>
        <v>1274000</v>
      </c>
      <c r="CP46" s="46">
        <f t="shared" si="226"/>
        <v>0</v>
      </c>
      <c r="CQ46" s="46">
        <f t="shared" si="227"/>
        <v>0</v>
      </c>
      <c r="CR46" s="46">
        <f t="shared" si="228"/>
        <v>0</v>
      </c>
      <c r="CS46" s="46">
        <f t="shared" si="229"/>
        <v>0</v>
      </c>
      <c r="CT46" s="1300"/>
      <c r="CU46" s="1300"/>
      <c r="CV46" s="1300"/>
      <c r="CW46" s="1300"/>
      <c r="CX46" s="1300"/>
    </row>
    <row r="47" spans="1:102" s="772" customFormat="1" x14ac:dyDescent="0.2">
      <c r="A47" s="666" t="s">
        <v>4844</v>
      </c>
      <c r="B47" s="662"/>
      <c r="C47" s="662"/>
      <c r="D47" s="662"/>
      <c r="E47" s="1199"/>
      <c r="F47" s="1200"/>
      <c r="G47" s="2184"/>
      <c r="H47" s="1199"/>
      <c r="I47" s="1199"/>
      <c r="J47" s="1199">
        <v>330000</v>
      </c>
      <c r="K47" s="1199"/>
      <c r="L47" s="1199"/>
      <c r="M47" s="1200"/>
      <c r="N47" s="1200"/>
      <c r="O47" s="1200"/>
      <c r="P47" s="1200"/>
      <c r="Q47" s="1288"/>
      <c r="R47" s="1287"/>
      <c r="S47" s="1198">
        <f t="shared" si="208"/>
        <v>0</v>
      </c>
      <c r="T47" s="1198"/>
      <c r="U47" s="1288">
        <f>$E47-R47-S47-T47</f>
        <v>0</v>
      </c>
      <c r="V47" s="1287"/>
      <c r="W47" s="1198">
        <f t="shared" si="252"/>
        <v>0</v>
      </c>
      <c r="X47" s="1191"/>
      <c r="Y47" s="437">
        <f t="shared" si="65"/>
        <v>0</v>
      </c>
      <c r="Z47" s="1287"/>
      <c r="AA47" s="1198">
        <f t="shared" si="230"/>
        <v>0</v>
      </c>
      <c r="AB47" s="1191"/>
      <c r="AC47" s="1299">
        <f>$G47-Z47-AA47-AB47</f>
        <v>0</v>
      </c>
      <c r="AD47" s="1289"/>
      <c r="AE47" s="1198">
        <f t="shared" si="209"/>
        <v>0</v>
      </c>
      <c r="AF47" s="1198"/>
      <c r="AG47" s="1299">
        <f>$H47-AD47-AE47-AF47</f>
        <v>0</v>
      </c>
      <c r="AH47" s="1287"/>
      <c r="AI47" s="1198">
        <f t="shared" si="210"/>
        <v>0</v>
      </c>
      <c r="AJ47" s="1191"/>
      <c r="AK47" s="1299">
        <f>$I47-AH47-AI47-AJ47</f>
        <v>0</v>
      </c>
      <c r="AL47" s="1191">
        <v>0</v>
      </c>
      <c r="AM47" s="1198">
        <v>0</v>
      </c>
      <c r="AN47" s="1191"/>
      <c r="AO47" s="1302">
        <f>$J47-AL47-AM47-AN47</f>
        <v>330000</v>
      </c>
      <c r="AP47" s="1191"/>
      <c r="AQ47" s="1198">
        <f t="shared" si="242"/>
        <v>0</v>
      </c>
      <c r="AR47" s="1191"/>
      <c r="AS47" s="1299">
        <f>$K47-AP47-AQ47-AR47</f>
        <v>0</v>
      </c>
      <c r="AT47" s="1287"/>
      <c r="AU47" s="1198">
        <f t="shared" si="262"/>
        <v>0</v>
      </c>
      <c r="AV47" s="1191"/>
      <c r="AW47" s="1299">
        <f>$L47-AT47-AU47-AV47</f>
        <v>0</v>
      </c>
      <c r="AX47" s="1287"/>
      <c r="AY47" s="1198">
        <f t="shared" si="211"/>
        <v>0</v>
      </c>
      <c r="AZ47" s="1191"/>
      <c r="BA47" s="1299">
        <f>$M47-AX47-AY47-AZ47</f>
        <v>0</v>
      </c>
      <c r="BB47" s="1287"/>
      <c r="BC47" s="1198">
        <f t="shared" si="212"/>
        <v>0</v>
      </c>
      <c r="BD47" s="1191"/>
      <c r="BE47" s="1299">
        <f>$N47-BB47-BC47-BD47</f>
        <v>0</v>
      </c>
      <c r="BF47" s="1287"/>
      <c r="BG47" s="1198"/>
      <c r="BH47" s="1191"/>
      <c r="BI47" s="437">
        <f t="shared" si="213"/>
        <v>0</v>
      </c>
      <c r="BJ47" s="1287"/>
      <c r="BK47" s="1198"/>
      <c r="BL47" s="1191"/>
      <c r="BM47" s="1131">
        <f t="shared" si="214"/>
        <v>0</v>
      </c>
      <c r="BN47" s="1287"/>
      <c r="BO47" s="1198"/>
      <c r="BP47" s="1191"/>
      <c r="BQ47" s="1131">
        <f t="shared" si="215"/>
        <v>0</v>
      </c>
      <c r="BR47" s="1300"/>
      <c r="BS47" s="833">
        <v>1</v>
      </c>
      <c r="BT47" s="833">
        <f t="shared" ref="BT47" si="264">BS47</f>
        <v>1</v>
      </c>
      <c r="BU47" s="833">
        <f t="shared" ref="BU47" si="265">BT47</f>
        <v>1</v>
      </c>
      <c r="BV47" s="833">
        <f t="shared" ref="BV47" si="266">BU47</f>
        <v>1</v>
      </c>
      <c r="BW47" s="833">
        <f t="shared" ref="BW47" si="267">BV47</f>
        <v>1</v>
      </c>
      <c r="BX47" s="833">
        <f t="shared" ref="BX47" si="268">BW47</f>
        <v>1</v>
      </c>
      <c r="BY47" s="833">
        <f t="shared" ref="BY47" si="269">BX47</f>
        <v>1</v>
      </c>
      <c r="BZ47" s="833">
        <f t="shared" ref="BZ47" si="270">BY47</f>
        <v>1</v>
      </c>
      <c r="CA47" s="833">
        <f t="shared" ref="CA47" si="271">BZ47</f>
        <v>1</v>
      </c>
      <c r="CB47" s="833">
        <f t="shared" ref="CB47:CE47" si="272">CA47</f>
        <v>1</v>
      </c>
      <c r="CC47" s="833">
        <f t="shared" si="272"/>
        <v>1</v>
      </c>
      <c r="CD47" s="833">
        <f t="shared" si="272"/>
        <v>1</v>
      </c>
      <c r="CE47" s="833">
        <f t="shared" si="272"/>
        <v>1</v>
      </c>
      <c r="CF47" s="833"/>
      <c r="CG47" s="46">
        <f t="shared" si="217"/>
        <v>0</v>
      </c>
      <c r="CH47" s="46">
        <f t="shared" si="218"/>
        <v>0</v>
      </c>
      <c r="CI47" s="46">
        <f t="shared" si="219"/>
        <v>0</v>
      </c>
      <c r="CJ47" s="46">
        <f t="shared" si="220"/>
        <v>0</v>
      </c>
      <c r="CK47" s="46">
        <f t="shared" si="221"/>
        <v>0</v>
      </c>
      <c r="CL47" s="46">
        <f t="shared" si="222"/>
        <v>330000</v>
      </c>
      <c r="CM47" s="46">
        <f t="shared" si="223"/>
        <v>0</v>
      </c>
      <c r="CN47" s="46">
        <f t="shared" si="224"/>
        <v>0</v>
      </c>
      <c r="CO47" s="46">
        <f t="shared" si="225"/>
        <v>0</v>
      </c>
      <c r="CP47" s="46">
        <f t="shared" si="226"/>
        <v>0</v>
      </c>
      <c r="CQ47" s="46">
        <f t="shared" si="227"/>
        <v>0</v>
      </c>
      <c r="CR47" s="46">
        <f t="shared" si="228"/>
        <v>0</v>
      </c>
      <c r="CS47" s="46">
        <f t="shared" si="229"/>
        <v>0</v>
      </c>
      <c r="CT47" s="1300"/>
      <c r="CU47" s="1300"/>
      <c r="CV47" s="1300"/>
      <c r="CW47" s="1300"/>
      <c r="CX47" s="1300"/>
    </row>
    <row r="48" spans="1:102" s="772" customFormat="1" x14ac:dyDescent="0.2">
      <c r="A48" s="666" t="s">
        <v>4836</v>
      </c>
      <c r="B48" s="371"/>
      <c r="C48" s="371"/>
      <c r="D48" s="371"/>
      <c r="E48" s="1199"/>
      <c r="F48" s="1200"/>
      <c r="G48" s="2184"/>
      <c r="H48" s="1199"/>
      <c r="I48" s="1199">
        <v>160000</v>
      </c>
      <c r="J48" s="1199"/>
      <c r="K48" s="1199"/>
      <c r="L48" s="1199"/>
      <c r="M48" s="1200"/>
      <c r="N48" s="1200"/>
      <c r="O48" s="1200"/>
      <c r="P48" s="1200"/>
      <c r="Q48" s="1288"/>
      <c r="R48" s="1287"/>
      <c r="S48" s="1198">
        <f t="shared" si="208"/>
        <v>0</v>
      </c>
      <c r="T48" s="1198"/>
      <c r="U48" s="1288">
        <f>$E48-R48-S48-T48</f>
        <v>0</v>
      </c>
      <c r="V48" s="1287"/>
      <c r="W48" s="1198">
        <f t="shared" si="252"/>
        <v>0</v>
      </c>
      <c r="X48" s="1191"/>
      <c r="Y48" s="437">
        <f t="shared" si="65"/>
        <v>0</v>
      </c>
      <c r="Z48" s="1287"/>
      <c r="AA48" s="1198">
        <f t="shared" si="230"/>
        <v>0</v>
      </c>
      <c r="AB48" s="1191"/>
      <c r="AC48" s="1299">
        <f>$G48-Z48-AA48-AB48</f>
        <v>0</v>
      </c>
      <c r="AD48" s="1289"/>
      <c r="AE48" s="1198">
        <f t="shared" si="209"/>
        <v>0</v>
      </c>
      <c r="AF48" s="1198"/>
      <c r="AG48" s="1299">
        <f>$H48-AD48-AE48-AF48</f>
        <v>0</v>
      </c>
      <c r="AH48" s="1287"/>
      <c r="AI48" s="1198">
        <f t="shared" si="210"/>
        <v>80000</v>
      </c>
      <c r="AJ48" s="1191"/>
      <c r="AK48" s="1299">
        <f>$I48-AH48-AI48-AJ48</f>
        <v>80000</v>
      </c>
      <c r="AL48" s="1191">
        <v>0</v>
      </c>
      <c r="AM48" s="1198">
        <v>0</v>
      </c>
      <c r="AN48" s="1191"/>
      <c r="AO48" s="1302">
        <f>$J48-AL48-AM48-AN48</f>
        <v>0</v>
      </c>
      <c r="AP48" s="1191"/>
      <c r="AQ48" s="1198">
        <f t="shared" si="242"/>
        <v>0</v>
      </c>
      <c r="AR48" s="1191"/>
      <c r="AS48" s="1299">
        <f>$K48-AP48-AQ48-AR48</f>
        <v>0</v>
      </c>
      <c r="AT48" s="1287"/>
      <c r="AU48" s="1198">
        <f t="shared" si="262"/>
        <v>0</v>
      </c>
      <c r="AV48" s="1191"/>
      <c r="AW48" s="1299">
        <f>$L48-AT48-AU48-AV48</f>
        <v>0</v>
      </c>
      <c r="AX48" s="1287"/>
      <c r="AY48" s="1198">
        <f t="shared" si="211"/>
        <v>0</v>
      </c>
      <c r="AZ48" s="1191"/>
      <c r="BA48" s="1299">
        <f>$M48-AX48-AY48-AZ48</f>
        <v>0</v>
      </c>
      <c r="BB48" s="1287"/>
      <c r="BC48" s="1198">
        <f t="shared" si="212"/>
        <v>0</v>
      </c>
      <c r="BD48" s="1191"/>
      <c r="BE48" s="1299">
        <f>$N48-BB48-BC48-BD48</f>
        <v>0</v>
      </c>
      <c r="BF48" s="1287"/>
      <c r="BG48" s="1198"/>
      <c r="BH48" s="1191"/>
      <c r="BI48" s="437">
        <f t="shared" si="213"/>
        <v>0</v>
      </c>
      <c r="BJ48" s="1287"/>
      <c r="BK48" s="1198"/>
      <c r="BL48" s="1191"/>
      <c r="BM48" s="1131">
        <f t="shared" si="214"/>
        <v>0</v>
      </c>
      <c r="BN48" s="1287"/>
      <c r="BO48" s="1198"/>
      <c r="BP48" s="1191"/>
      <c r="BQ48" s="1131">
        <f t="shared" si="215"/>
        <v>0</v>
      </c>
      <c r="BR48" s="1300"/>
      <c r="BS48" s="833">
        <v>1</v>
      </c>
      <c r="BT48" s="833">
        <f t="shared" ref="BT48:CE48" si="273">BS48</f>
        <v>1</v>
      </c>
      <c r="BU48" s="833">
        <f t="shared" si="273"/>
        <v>1</v>
      </c>
      <c r="BV48" s="833">
        <f t="shared" si="273"/>
        <v>1</v>
      </c>
      <c r="BW48" s="833">
        <f t="shared" si="273"/>
        <v>1</v>
      </c>
      <c r="BX48" s="833">
        <f t="shared" si="273"/>
        <v>1</v>
      </c>
      <c r="BY48" s="833">
        <f t="shared" si="273"/>
        <v>1</v>
      </c>
      <c r="BZ48" s="833">
        <f t="shared" si="273"/>
        <v>1</v>
      </c>
      <c r="CA48" s="833">
        <f t="shared" si="273"/>
        <v>1</v>
      </c>
      <c r="CB48" s="833">
        <f t="shared" si="273"/>
        <v>1</v>
      </c>
      <c r="CC48" s="833">
        <f t="shared" si="273"/>
        <v>1</v>
      </c>
      <c r="CD48" s="833">
        <f t="shared" si="273"/>
        <v>1</v>
      </c>
      <c r="CE48" s="833">
        <f t="shared" si="273"/>
        <v>1</v>
      </c>
      <c r="CF48" s="833"/>
      <c r="CG48" s="46">
        <f t="shared" si="217"/>
        <v>0</v>
      </c>
      <c r="CH48" s="46">
        <f t="shared" si="218"/>
        <v>0</v>
      </c>
      <c r="CI48" s="46">
        <f t="shared" si="219"/>
        <v>0</v>
      </c>
      <c r="CJ48" s="46">
        <f t="shared" si="220"/>
        <v>0</v>
      </c>
      <c r="CK48" s="46">
        <f t="shared" si="221"/>
        <v>160000</v>
      </c>
      <c r="CL48" s="46">
        <f t="shared" si="222"/>
        <v>0</v>
      </c>
      <c r="CM48" s="46">
        <f t="shared" si="223"/>
        <v>0</v>
      </c>
      <c r="CN48" s="46">
        <f t="shared" si="224"/>
        <v>0</v>
      </c>
      <c r="CO48" s="46">
        <f t="shared" si="225"/>
        <v>0</v>
      </c>
      <c r="CP48" s="46">
        <f t="shared" si="226"/>
        <v>0</v>
      </c>
      <c r="CQ48" s="46">
        <f t="shared" si="227"/>
        <v>0</v>
      </c>
      <c r="CR48" s="46">
        <f t="shared" si="228"/>
        <v>0</v>
      </c>
      <c r="CS48" s="46">
        <f t="shared" si="229"/>
        <v>0</v>
      </c>
      <c r="CT48" s="1300"/>
      <c r="CU48" s="1300"/>
      <c r="CV48" s="1300"/>
      <c r="CW48" s="1300"/>
      <c r="CX48" s="1300"/>
    </row>
    <row r="49" spans="1:102" s="772" customFormat="1" x14ac:dyDescent="0.2">
      <c r="A49" s="666" t="s">
        <v>4838</v>
      </c>
      <c r="B49" s="371"/>
      <c r="C49" s="371"/>
      <c r="D49" s="371"/>
      <c r="E49" s="1199"/>
      <c r="F49" s="1199"/>
      <c r="G49" s="2191"/>
      <c r="H49" s="1199"/>
      <c r="I49" s="1199"/>
      <c r="J49" s="1199"/>
      <c r="K49" s="1199"/>
      <c r="L49" s="1199"/>
      <c r="M49" s="1200"/>
      <c r="N49" s="1200">
        <v>2428000</v>
      </c>
      <c r="O49" s="1200"/>
      <c r="P49" s="1200"/>
      <c r="Q49" s="1288"/>
      <c r="R49" s="1287"/>
      <c r="S49" s="1198">
        <f t="shared" si="208"/>
        <v>0</v>
      </c>
      <c r="T49" s="1198"/>
      <c r="U49" s="1288">
        <f t="shared" si="91"/>
        <v>0</v>
      </c>
      <c r="V49" s="1287"/>
      <c r="W49" s="1198">
        <f t="shared" si="252"/>
        <v>0</v>
      </c>
      <c r="X49" s="1191"/>
      <c r="Y49" s="437">
        <f t="shared" si="65"/>
        <v>0</v>
      </c>
      <c r="Z49" s="1287"/>
      <c r="AA49" s="1198">
        <f t="shared" si="230"/>
        <v>0</v>
      </c>
      <c r="AB49" s="1191"/>
      <c r="AC49" s="1299">
        <f t="shared" si="253"/>
        <v>0</v>
      </c>
      <c r="AD49" s="1289"/>
      <c r="AE49" s="1198">
        <f t="shared" si="209"/>
        <v>0</v>
      </c>
      <c r="AF49" s="1198"/>
      <c r="AG49" s="1299">
        <f t="shared" si="254"/>
        <v>0</v>
      </c>
      <c r="AH49" s="1287"/>
      <c r="AI49" s="1198">
        <f t="shared" si="210"/>
        <v>0</v>
      </c>
      <c r="AJ49" s="1191"/>
      <c r="AK49" s="1299">
        <f t="shared" si="255"/>
        <v>0</v>
      </c>
      <c r="AL49" s="1191">
        <v>0</v>
      </c>
      <c r="AM49" s="1198">
        <v>0</v>
      </c>
      <c r="AN49" s="1191"/>
      <c r="AO49" s="1302">
        <f t="shared" si="256"/>
        <v>0</v>
      </c>
      <c r="AP49" s="1191"/>
      <c r="AQ49" s="1198">
        <f t="shared" si="242"/>
        <v>0</v>
      </c>
      <c r="AR49" s="1191"/>
      <c r="AS49" s="1299">
        <f t="shared" si="257"/>
        <v>0</v>
      </c>
      <c r="AT49" s="1287"/>
      <c r="AU49" s="1198">
        <f t="shared" si="262"/>
        <v>0</v>
      </c>
      <c r="AV49" s="1191"/>
      <c r="AW49" s="1299">
        <f t="shared" si="258"/>
        <v>0</v>
      </c>
      <c r="AX49" s="1287"/>
      <c r="AY49" s="1198">
        <f t="shared" si="211"/>
        <v>0</v>
      </c>
      <c r="AZ49" s="1191"/>
      <c r="BA49" s="1299">
        <f t="shared" si="259"/>
        <v>0</v>
      </c>
      <c r="BB49" s="1287"/>
      <c r="BC49" s="1198">
        <f>ROUND(N49/3,-2)+300000</f>
        <v>1109300</v>
      </c>
      <c r="BD49" s="1191"/>
      <c r="BE49" s="1299">
        <f t="shared" si="260"/>
        <v>1318700</v>
      </c>
      <c r="BF49" s="1287"/>
      <c r="BG49" s="1198"/>
      <c r="BH49" s="1191"/>
      <c r="BI49" s="437">
        <f t="shared" si="213"/>
        <v>0</v>
      </c>
      <c r="BJ49" s="1287"/>
      <c r="BK49" s="1198"/>
      <c r="BL49" s="1191"/>
      <c r="BM49" s="1131">
        <f t="shared" si="214"/>
        <v>0</v>
      </c>
      <c r="BN49" s="1287"/>
      <c r="BO49" s="1198"/>
      <c r="BP49" s="1191"/>
      <c r="BQ49" s="1131">
        <f t="shared" si="215"/>
        <v>0</v>
      </c>
      <c r="BR49" s="1300"/>
      <c r="BS49" s="833">
        <v>1</v>
      </c>
      <c r="BT49" s="833">
        <f t="shared" ref="BT49:CE49" si="274">BS49</f>
        <v>1</v>
      </c>
      <c r="BU49" s="833">
        <f t="shared" si="274"/>
        <v>1</v>
      </c>
      <c r="BV49" s="833">
        <f t="shared" si="274"/>
        <v>1</v>
      </c>
      <c r="BW49" s="833">
        <f t="shared" si="274"/>
        <v>1</v>
      </c>
      <c r="BX49" s="833">
        <f t="shared" si="274"/>
        <v>1</v>
      </c>
      <c r="BY49" s="833">
        <f t="shared" si="274"/>
        <v>1</v>
      </c>
      <c r="BZ49" s="833">
        <f t="shared" si="274"/>
        <v>1</v>
      </c>
      <c r="CA49" s="833">
        <f t="shared" si="274"/>
        <v>1</v>
      </c>
      <c r="CB49" s="833">
        <f t="shared" si="274"/>
        <v>1</v>
      </c>
      <c r="CC49" s="833">
        <f t="shared" si="274"/>
        <v>1</v>
      </c>
      <c r="CD49" s="833">
        <f t="shared" si="274"/>
        <v>1</v>
      </c>
      <c r="CE49" s="833">
        <f t="shared" si="274"/>
        <v>1</v>
      </c>
      <c r="CF49" s="833"/>
      <c r="CG49" s="46">
        <f t="shared" si="217"/>
        <v>0</v>
      </c>
      <c r="CH49" s="46">
        <f t="shared" si="218"/>
        <v>0</v>
      </c>
      <c r="CI49" s="46">
        <f t="shared" si="219"/>
        <v>0</v>
      </c>
      <c r="CJ49" s="46">
        <f t="shared" si="220"/>
        <v>0</v>
      </c>
      <c r="CK49" s="46">
        <f t="shared" si="221"/>
        <v>0</v>
      </c>
      <c r="CL49" s="46">
        <f t="shared" si="222"/>
        <v>0</v>
      </c>
      <c r="CM49" s="46">
        <f t="shared" si="223"/>
        <v>0</v>
      </c>
      <c r="CN49" s="46">
        <f t="shared" si="224"/>
        <v>0</v>
      </c>
      <c r="CO49" s="46">
        <f t="shared" si="225"/>
        <v>0</v>
      </c>
      <c r="CP49" s="46">
        <f t="shared" si="226"/>
        <v>2428000</v>
      </c>
      <c r="CQ49" s="46">
        <f t="shared" si="227"/>
        <v>0</v>
      </c>
      <c r="CR49" s="46">
        <f t="shared" si="228"/>
        <v>0</v>
      </c>
      <c r="CS49" s="46">
        <f t="shared" si="229"/>
        <v>0</v>
      </c>
      <c r="CT49" s="1300"/>
      <c r="CU49" s="1300"/>
      <c r="CV49" s="1300"/>
      <c r="CW49" s="1300"/>
      <c r="CX49" s="1300"/>
    </row>
    <row r="50" spans="1:102" s="772" customFormat="1" x14ac:dyDescent="0.2">
      <c r="A50" s="666" t="s">
        <v>4839</v>
      </c>
      <c r="B50" s="371"/>
      <c r="C50" s="371"/>
      <c r="D50" s="371"/>
      <c r="E50" s="1199"/>
      <c r="F50" s="1200"/>
      <c r="G50" s="2184"/>
      <c r="H50" s="1199"/>
      <c r="I50" s="1199"/>
      <c r="J50" s="1199"/>
      <c r="K50" s="1199">
        <v>388000</v>
      </c>
      <c r="L50" s="1199"/>
      <c r="M50" s="1200"/>
      <c r="N50" s="1200"/>
      <c r="O50" s="1200"/>
      <c r="P50" s="1200"/>
      <c r="Q50" s="1288"/>
      <c r="R50" s="1287"/>
      <c r="S50" s="1198">
        <f t="shared" si="208"/>
        <v>0</v>
      </c>
      <c r="T50" s="1198"/>
      <c r="U50" s="1288">
        <f t="shared" si="91"/>
        <v>0</v>
      </c>
      <c r="V50" s="1287"/>
      <c r="W50" s="1198">
        <f t="shared" si="252"/>
        <v>0</v>
      </c>
      <c r="X50" s="1191"/>
      <c r="Y50" s="437">
        <f t="shared" si="65"/>
        <v>0</v>
      </c>
      <c r="Z50" s="1287"/>
      <c r="AA50" s="1198">
        <f t="shared" si="230"/>
        <v>0</v>
      </c>
      <c r="AB50" s="1191"/>
      <c r="AC50" s="1299">
        <f t="shared" si="253"/>
        <v>0</v>
      </c>
      <c r="AD50" s="1289"/>
      <c r="AE50" s="1198">
        <f>ROUND(H50,-2)</f>
        <v>0</v>
      </c>
      <c r="AF50" s="1198"/>
      <c r="AG50" s="1299">
        <f t="shared" si="254"/>
        <v>0</v>
      </c>
      <c r="AH50" s="1287"/>
      <c r="AI50" s="1198">
        <f t="shared" si="210"/>
        <v>0</v>
      </c>
      <c r="AJ50" s="1191"/>
      <c r="AK50" s="1299">
        <f t="shared" si="255"/>
        <v>0</v>
      </c>
      <c r="AL50" s="1191">
        <v>0</v>
      </c>
      <c r="AM50" s="1198">
        <f>ROUND(J50,-2)</f>
        <v>0</v>
      </c>
      <c r="AN50" s="1191"/>
      <c r="AO50" s="1302">
        <f t="shared" si="256"/>
        <v>0</v>
      </c>
      <c r="AP50" s="1191"/>
      <c r="AQ50" s="1198">
        <v>0</v>
      </c>
      <c r="AR50" s="1191"/>
      <c r="AS50" s="1299">
        <f t="shared" si="257"/>
        <v>388000</v>
      </c>
      <c r="AT50" s="1287"/>
      <c r="AU50" s="1198">
        <f t="shared" si="262"/>
        <v>0</v>
      </c>
      <c r="AV50" s="1191"/>
      <c r="AW50" s="1299">
        <f t="shared" si="258"/>
        <v>0</v>
      </c>
      <c r="AX50" s="1287"/>
      <c r="AY50" s="1198">
        <f t="shared" si="211"/>
        <v>0</v>
      </c>
      <c r="AZ50" s="1191"/>
      <c r="BA50" s="1299">
        <f t="shared" si="259"/>
        <v>0</v>
      </c>
      <c r="BB50" s="1287"/>
      <c r="BC50" s="1198">
        <f>ROUND(N50,-2)</f>
        <v>0</v>
      </c>
      <c r="BD50" s="1191"/>
      <c r="BE50" s="1299">
        <f t="shared" si="260"/>
        <v>0</v>
      </c>
      <c r="BF50" s="1287"/>
      <c r="BG50" s="1198"/>
      <c r="BH50" s="1191"/>
      <c r="BI50" s="437">
        <f t="shared" si="213"/>
        <v>0</v>
      </c>
      <c r="BJ50" s="1287"/>
      <c r="BK50" s="1198"/>
      <c r="BL50" s="1191"/>
      <c r="BM50" s="1131">
        <f t="shared" si="214"/>
        <v>0</v>
      </c>
      <c r="BN50" s="1287"/>
      <c r="BO50" s="1198"/>
      <c r="BP50" s="1191"/>
      <c r="BQ50" s="1131">
        <f t="shared" si="215"/>
        <v>0</v>
      </c>
      <c r="BR50" s="1300"/>
      <c r="BS50" s="833">
        <v>1</v>
      </c>
      <c r="BT50" s="833">
        <f t="shared" ref="BT50:CE50" si="275">BS50</f>
        <v>1</v>
      </c>
      <c r="BU50" s="833">
        <f t="shared" si="275"/>
        <v>1</v>
      </c>
      <c r="BV50" s="833">
        <f t="shared" si="275"/>
        <v>1</v>
      </c>
      <c r="BW50" s="833">
        <f t="shared" si="275"/>
        <v>1</v>
      </c>
      <c r="BX50" s="833">
        <f t="shared" si="275"/>
        <v>1</v>
      </c>
      <c r="BY50" s="833">
        <f t="shared" si="275"/>
        <v>1</v>
      </c>
      <c r="BZ50" s="833">
        <f t="shared" si="275"/>
        <v>1</v>
      </c>
      <c r="CA50" s="833">
        <f t="shared" si="275"/>
        <v>1</v>
      </c>
      <c r="CB50" s="833">
        <f t="shared" si="275"/>
        <v>1</v>
      </c>
      <c r="CC50" s="833">
        <f t="shared" si="275"/>
        <v>1</v>
      </c>
      <c r="CD50" s="833">
        <f t="shared" si="275"/>
        <v>1</v>
      </c>
      <c r="CE50" s="833">
        <f t="shared" si="275"/>
        <v>1</v>
      </c>
      <c r="CF50" s="833"/>
      <c r="CG50" s="46">
        <f t="shared" si="217"/>
        <v>0</v>
      </c>
      <c r="CH50" s="46">
        <f t="shared" si="218"/>
        <v>0</v>
      </c>
      <c r="CI50" s="46">
        <f t="shared" si="219"/>
        <v>0</v>
      </c>
      <c r="CJ50" s="46">
        <f t="shared" si="220"/>
        <v>0</v>
      </c>
      <c r="CK50" s="46">
        <f t="shared" si="221"/>
        <v>0</v>
      </c>
      <c r="CL50" s="46">
        <f t="shared" si="222"/>
        <v>0</v>
      </c>
      <c r="CM50" s="46">
        <f t="shared" si="223"/>
        <v>388000</v>
      </c>
      <c r="CN50" s="46">
        <f t="shared" si="224"/>
        <v>0</v>
      </c>
      <c r="CO50" s="46">
        <f t="shared" si="225"/>
        <v>0</v>
      </c>
      <c r="CP50" s="46">
        <f t="shared" si="226"/>
        <v>0</v>
      </c>
      <c r="CQ50" s="46">
        <f t="shared" si="227"/>
        <v>0</v>
      </c>
      <c r="CR50" s="46">
        <f t="shared" si="228"/>
        <v>0</v>
      </c>
      <c r="CS50" s="46">
        <f t="shared" si="229"/>
        <v>0</v>
      </c>
      <c r="CT50" s="1300"/>
      <c r="CU50" s="1300"/>
      <c r="CV50" s="1300"/>
      <c r="CW50" s="1300"/>
      <c r="CX50" s="1300"/>
    </row>
    <row r="51" spans="1:102" s="772" customFormat="1" x14ac:dyDescent="0.2">
      <c r="A51" s="666" t="s">
        <v>4837</v>
      </c>
      <c r="B51" s="371"/>
      <c r="C51" s="371"/>
      <c r="D51" s="371"/>
      <c r="E51" s="1199"/>
      <c r="F51" s="1200"/>
      <c r="G51" s="2184"/>
      <c r="H51" s="1199"/>
      <c r="I51" s="1199"/>
      <c r="J51" s="1199">
        <v>238000</v>
      </c>
      <c r="K51" s="1199"/>
      <c r="L51" s="1199"/>
      <c r="M51" s="1200"/>
      <c r="N51" s="1200"/>
      <c r="O51" s="1200"/>
      <c r="P51" s="1200"/>
      <c r="Q51" s="1288"/>
      <c r="R51" s="1287"/>
      <c r="S51" s="1198">
        <f t="shared" si="208"/>
        <v>0</v>
      </c>
      <c r="T51" s="1198"/>
      <c r="U51" s="1288">
        <f t="shared" si="91"/>
        <v>0</v>
      </c>
      <c r="V51" s="1287"/>
      <c r="W51" s="1198">
        <f t="shared" si="252"/>
        <v>0</v>
      </c>
      <c r="X51" s="1191"/>
      <c r="Y51" s="437">
        <f t="shared" si="65"/>
        <v>0</v>
      </c>
      <c r="Z51" s="1287"/>
      <c r="AA51" s="1198">
        <f t="shared" si="230"/>
        <v>0</v>
      </c>
      <c r="AB51" s="1191"/>
      <c r="AC51" s="1299">
        <f t="shared" si="253"/>
        <v>0</v>
      </c>
      <c r="AD51" s="1289"/>
      <c r="AE51" s="1198">
        <f t="shared" si="209"/>
        <v>0</v>
      </c>
      <c r="AF51" s="1198"/>
      <c r="AG51" s="1299">
        <f t="shared" si="254"/>
        <v>0</v>
      </c>
      <c r="AH51" s="1287"/>
      <c r="AI51" s="1198">
        <f t="shared" si="210"/>
        <v>0</v>
      </c>
      <c r="AJ51" s="1191"/>
      <c r="AK51" s="1299">
        <f t="shared" si="255"/>
        <v>0</v>
      </c>
      <c r="AL51" s="1191">
        <v>0</v>
      </c>
      <c r="AM51" s="1198">
        <f>ROUND(J51,-2)</f>
        <v>238000</v>
      </c>
      <c r="AN51" s="1191"/>
      <c r="AO51" s="1302">
        <f t="shared" si="256"/>
        <v>0</v>
      </c>
      <c r="AP51" s="1191"/>
      <c r="AQ51" s="1198">
        <f>ROUND(K51,-2)</f>
        <v>0</v>
      </c>
      <c r="AR51" s="1191"/>
      <c r="AS51" s="1299">
        <f t="shared" si="257"/>
        <v>0</v>
      </c>
      <c r="AT51" s="1287"/>
      <c r="AU51" s="1198">
        <f t="shared" si="262"/>
        <v>0</v>
      </c>
      <c r="AV51" s="1191"/>
      <c r="AW51" s="1299">
        <f t="shared" si="258"/>
        <v>0</v>
      </c>
      <c r="AX51" s="1287"/>
      <c r="AY51" s="1198">
        <f t="shared" si="211"/>
        <v>0</v>
      </c>
      <c r="AZ51" s="1191"/>
      <c r="BA51" s="1299">
        <f t="shared" si="259"/>
        <v>0</v>
      </c>
      <c r="BB51" s="1287"/>
      <c r="BC51" s="1198">
        <f>ROUND(N51,-2)</f>
        <v>0</v>
      </c>
      <c r="BD51" s="1191"/>
      <c r="BE51" s="1299">
        <f t="shared" si="260"/>
        <v>0</v>
      </c>
      <c r="BF51" s="1287"/>
      <c r="BG51" s="1198"/>
      <c r="BH51" s="1191"/>
      <c r="BI51" s="437">
        <f t="shared" si="213"/>
        <v>0</v>
      </c>
      <c r="BJ51" s="1287"/>
      <c r="BK51" s="1198"/>
      <c r="BL51" s="1191"/>
      <c r="BM51" s="1131">
        <f t="shared" si="214"/>
        <v>0</v>
      </c>
      <c r="BN51" s="1287"/>
      <c r="BO51" s="1198"/>
      <c r="BP51" s="1191"/>
      <c r="BQ51" s="1131">
        <f t="shared" si="215"/>
        <v>0</v>
      </c>
      <c r="BR51" s="1300"/>
      <c r="BS51" s="833">
        <v>1</v>
      </c>
      <c r="BT51" s="833">
        <f t="shared" ref="BT51:CE51" si="276">BS51</f>
        <v>1</v>
      </c>
      <c r="BU51" s="833">
        <f t="shared" si="276"/>
        <v>1</v>
      </c>
      <c r="BV51" s="833">
        <f t="shared" si="276"/>
        <v>1</v>
      </c>
      <c r="BW51" s="833">
        <f t="shared" si="276"/>
        <v>1</v>
      </c>
      <c r="BX51" s="833">
        <f t="shared" si="276"/>
        <v>1</v>
      </c>
      <c r="BY51" s="833">
        <f t="shared" si="276"/>
        <v>1</v>
      </c>
      <c r="BZ51" s="833">
        <f t="shared" si="276"/>
        <v>1</v>
      </c>
      <c r="CA51" s="833">
        <f t="shared" si="276"/>
        <v>1</v>
      </c>
      <c r="CB51" s="833">
        <f t="shared" si="276"/>
        <v>1</v>
      </c>
      <c r="CC51" s="833">
        <f t="shared" si="276"/>
        <v>1</v>
      </c>
      <c r="CD51" s="833">
        <f t="shared" si="276"/>
        <v>1</v>
      </c>
      <c r="CE51" s="833">
        <f t="shared" si="276"/>
        <v>1</v>
      </c>
      <c r="CF51" s="833"/>
      <c r="CG51" s="46">
        <f t="shared" si="217"/>
        <v>0</v>
      </c>
      <c r="CH51" s="46">
        <f t="shared" si="218"/>
        <v>0</v>
      </c>
      <c r="CI51" s="46">
        <f t="shared" si="219"/>
        <v>0</v>
      </c>
      <c r="CJ51" s="46">
        <f t="shared" si="220"/>
        <v>0</v>
      </c>
      <c r="CK51" s="46">
        <f t="shared" si="221"/>
        <v>0</v>
      </c>
      <c r="CL51" s="46">
        <f t="shared" si="222"/>
        <v>238000</v>
      </c>
      <c r="CM51" s="46">
        <f t="shared" si="223"/>
        <v>0</v>
      </c>
      <c r="CN51" s="46">
        <f t="shared" si="224"/>
        <v>0</v>
      </c>
      <c r="CO51" s="46">
        <f t="shared" si="225"/>
        <v>0</v>
      </c>
      <c r="CP51" s="46">
        <f t="shared" si="226"/>
        <v>0</v>
      </c>
      <c r="CQ51" s="46">
        <f t="shared" si="227"/>
        <v>0</v>
      </c>
      <c r="CR51" s="46">
        <f t="shared" si="228"/>
        <v>0</v>
      </c>
      <c r="CS51" s="46">
        <f t="shared" si="229"/>
        <v>0</v>
      </c>
      <c r="CT51" s="1300"/>
      <c r="CU51" s="1300"/>
      <c r="CV51" s="1300"/>
      <c r="CW51" s="1300"/>
      <c r="CX51" s="1300"/>
    </row>
    <row r="52" spans="1:102" s="772" customFormat="1" x14ac:dyDescent="0.2">
      <c r="A52" s="666" t="s">
        <v>6372</v>
      </c>
      <c r="B52" s="371"/>
      <c r="C52" s="371"/>
      <c r="D52" s="371"/>
      <c r="E52" s="1199"/>
      <c r="F52" s="1200"/>
      <c r="G52" s="2184"/>
      <c r="H52" s="1199">
        <v>80000</v>
      </c>
      <c r="I52" s="1199"/>
      <c r="J52" s="1199"/>
      <c r="K52" s="1199"/>
      <c r="L52" s="1199"/>
      <c r="M52" s="1200"/>
      <c r="N52" s="1200"/>
      <c r="O52" s="1200"/>
      <c r="P52" s="1200"/>
      <c r="Q52" s="1288"/>
      <c r="R52" s="1287"/>
      <c r="S52" s="1198"/>
      <c r="T52" s="1198"/>
      <c r="U52" s="1288"/>
      <c r="V52" s="1287"/>
      <c r="W52" s="1198"/>
      <c r="X52" s="1191"/>
      <c r="Y52" s="437">
        <f t="shared" si="65"/>
        <v>0</v>
      </c>
      <c r="Z52" s="1287"/>
      <c r="AA52" s="1198">
        <v>0</v>
      </c>
      <c r="AB52" s="1191"/>
      <c r="AC52" s="1299">
        <f t="shared" si="253"/>
        <v>0</v>
      </c>
      <c r="AD52" s="1289"/>
      <c r="AE52" s="1198">
        <v>80000</v>
      </c>
      <c r="AF52" s="1198"/>
      <c r="AG52" s="1299">
        <f t="shared" si="254"/>
        <v>0</v>
      </c>
      <c r="AH52" s="1287"/>
      <c r="AI52" s="1198"/>
      <c r="AJ52" s="1191"/>
      <c r="AK52" s="1299">
        <f t="shared" si="255"/>
        <v>0</v>
      </c>
      <c r="AL52" s="1191"/>
      <c r="AM52" s="1198"/>
      <c r="AN52" s="1191"/>
      <c r="AO52" s="1302">
        <f t="shared" si="256"/>
        <v>0</v>
      </c>
      <c r="AP52" s="1191"/>
      <c r="AQ52" s="1198"/>
      <c r="AR52" s="1191"/>
      <c r="AS52" s="1299">
        <f t="shared" si="257"/>
        <v>0</v>
      </c>
      <c r="AT52" s="1287"/>
      <c r="AU52" s="1198"/>
      <c r="AV52" s="1191"/>
      <c r="AW52" s="1299">
        <f t="shared" si="258"/>
        <v>0</v>
      </c>
      <c r="AX52" s="1287"/>
      <c r="AY52" s="1198"/>
      <c r="AZ52" s="1191"/>
      <c r="BA52" s="1299">
        <f t="shared" si="259"/>
        <v>0</v>
      </c>
      <c r="BB52" s="1287"/>
      <c r="BC52" s="1198"/>
      <c r="BD52" s="1191"/>
      <c r="BE52" s="1299">
        <f t="shared" si="260"/>
        <v>0</v>
      </c>
      <c r="BF52" s="1287"/>
      <c r="BG52" s="1198"/>
      <c r="BH52" s="1191"/>
      <c r="BI52" s="437">
        <f t="shared" si="213"/>
        <v>0</v>
      </c>
      <c r="BJ52" s="1287"/>
      <c r="BK52" s="1198"/>
      <c r="BL52" s="1191"/>
      <c r="BM52" s="1131">
        <f t="shared" si="214"/>
        <v>0</v>
      </c>
      <c r="BN52" s="1287"/>
      <c r="BO52" s="1198"/>
      <c r="BP52" s="1191"/>
      <c r="BQ52" s="1131">
        <f t="shared" si="215"/>
        <v>0</v>
      </c>
      <c r="BR52" s="1300"/>
      <c r="BS52" s="833">
        <v>1</v>
      </c>
      <c r="BT52" s="833">
        <f t="shared" ref="BT52:BT53" si="277">BS52</f>
        <v>1</v>
      </c>
      <c r="BU52" s="833">
        <f t="shared" ref="BU52:BU53" si="278">BT52</f>
        <v>1</v>
      </c>
      <c r="BV52" s="833">
        <f t="shared" ref="BV52:BV53" si="279">BU52</f>
        <v>1</v>
      </c>
      <c r="BW52" s="833">
        <f t="shared" ref="BW52:BW53" si="280">BV52</f>
        <v>1</v>
      </c>
      <c r="BX52" s="833">
        <f t="shared" ref="BX52:BX53" si="281">BW52</f>
        <v>1</v>
      </c>
      <c r="BY52" s="833">
        <f t="shared" ref="BY52:BY53" si="282">BX52</f>
        <v>1</v>
      </c>
      <c r="BZ52" s="833">
        <f t="shared" ref="BZ52:BZ53" si="283">BY52</f>
        <v>1</v>
      </c>
      <c r="CA52" s="833">
        <f t="shared" ref="CA52:CA53" si="284">BZ52</f>
        <v>1</v>
      </c>
      <c r="CB52" s="833">
        <f t="shared" ref="CB52:CB53" si="285">CA52</f>
        <v>1</v>
      </c>
      <c r="CC52" s="833">
        <f t="shared" ref="CC52:CE53" si="286">CB52</f>
        <v>1</v>
      </c>
      <c r="CD52" s="833">
        <f t="shared" si="286"/>
        <v>1</v>
      </c>
      <c r="CE52" s="833">
        <f t="shared" si="286"/>
        <v>1</v>
      </c>
      <c r="CF52" s="833"/>
      <c r="CG52" s="46"/>
      <c r="CH52" s="46"/>
      <c r="CI52" s="46"/>
      <c r="CJ52" s="46"/>
      <c r="CK52" s="46"/>
      <c r="CL52" s="46"/>
      <c r="CM52" s="46"/>
      <c r="CN52" s="46"/>
      <c r="CO52" s="46"/>
      <c r="CP52" s="46"/>
      <c r="CQ52" s="46"/>
      <c r="CR52" s="46"/>
      <c r="CS52" s="46"/>
      <c r="CT52" s="1300"/>
      <c r="CU52" s="1300"/>
      <c r="CV52" s="1300"/>
      <c r="CW52" s="1300"/>
      <c r="CX52" s="1300"/>
    </row>
    <row r="53" spans="1:102" s="772" customFormat="1" x14ac:dyDescent="0.2">
      <c r="A53" s="666" t="s">
        <v>7163</v>
      </c>
      <c r="B53" s="662" t="s">
        <v>7164</v>
      </c>
      <c r="C53" s="662" t="s">
        <v>7165</v>
      </c>
      <c r="D53" s="662" t="s">
        <v>7165</v>
      </c>
      <c r="E53" s="1199"/>
      <c r="F53" s="1200"/>
      <c r="G53" s="2184">
        <f>150000-130000</f>
        <v>20000</v>
      </c>
      <c r="H53" s="1199">
        <v>130000</v>
      </c>
      <c r="I53" s="1199"/>
      <c r="J53" s="1199"/>
      <c r="K53" s="1199"/>
      <c r="L53" s="1199"/>
      <c r="M53" s="1200"/>
      <c r="N53" s="1200"/>
      <c r="O53" s="1200"/>
      <c r="P53" s="1200"/>
      <c r="Q53" s="1288"/>
      <c r="R53" s="1287"/>
      <c r="S53" s="1198"/>
      <c r="T53" s="1198"/>
      <c r="U53" s="1288"/>
      <c r="V53" s="1287"/>
      <c r="W53" s="1198"/>
      <c r="X53" s="1191"/>
      <c r="Y53" s="437">
        <f t="shared" si="65"/>
        <v>0</v>
      </c>
      <c r="Z53" s="1287"/>
      <c r="AA53" s="1198"/>
      <c r="AB53" s="1191"/>
      <c r="AC53" s="1299">
        <f t="shared" si="253"/>
        <v>20000</v>
      </c>
      <c r="AD53" s="1289"/>
      <c r="AE53" s="1198"/>
      <c r="AF53" s="1198"/>
      <c r="AG53" s="1299">
        <f t="shared" si="254"/>
        <v>130000</v>
      </c>
      <c r="AH53" s="1287"/>
      <c r="AI53" s="1198"/>
      <c r="AJ53" s="1191"/>
      <c r="AK53" s="1299">
        <f t="shared" si="255"/>
        <v>0</v>
      </c>
      <c r="AL53" s="1191"/>
      <c r="AM53" s="1198"/>
      <c r="AN53" s="1191"/>
      <c r="AO53" s="1302">
        <f t="shared" si="256"/>
        <v>0</v>
      </c>
      <c r="AP53" s="1191"/>
      <c r="AQ53" s="1198"/>
      <c r="AR53" s="1191"/>
      <c r="AS53" s="1299">
        <f t="shared" si="257"/>
        <v>0</v>
      </c>
      <c r="AT53" s="1287"/>
      <c r="AU53" s="1198"/>
      <c r="AV53" s="1191"/>
      <c r="AW53" s="1299">
        <f t="shared" si="258"/>
        <v>0</v>
      </c>
      <c r="AX53" s="1287"/>
      <c r="AY53" s="1198"/>
      <c r="AZ53" s="1191"/>
      <c r="BA53" s="1299">
        <f t="shared" si="259"/>
        <v>0</v>
      </c>
      <c r="BB53" s="1287"/>
      <c r="BC53" s="1198"/>
      <c r="BD53" s="1191"/>
      <c r="BE53" s="1299">
        <f t="shared" si="260"/>
        <v>0</v>
      </c>
      <c r="BF53" s="1287"/>
      <c r="BG53" s="1198"/>
      <c r="BH53" s="1191"/>
      <c r="BI53" s="437">
        <f t="shared" si="213"/>
        <v>0</v>
      </c>
      <c r="BJ53" s="1287"/>
      <c r="BK53" s="1198"/>
      <c r="BL53" s="1191"/>
      <c r="BM53" s="1131">
        <f t="shared" si="214"/>
        <v>0</v>
      </c>
      <c r="BN53" s="1287"/>
      <c r="BO53" s="1198"/>
      <c r="BP53" s="1191"/>
      <c r="BQ53" s="1131">
        <f t="shared" si="215"/>
        <v>0</v>
      </c>
      <c r="BR53" s="1300"/>
      <c r="BS53" s="833">
        <v>1</v>
      </c>
      <c r="BT53" s="833">
        <f t="shared" si="277"/>
        <v>1</v>
      </c>
      <c r="BU53" s="833">
        <f t="shared" si="278"/>
        <v>1</v>
      </c>
      <c r="BV53" s="833">
        <f t="shared" si="279"/>
        <v>1</v>
      </c>
      <c r="BW53" s="833">
        <f t="shared" si="280"/>
        <v>1</v>
      </c>
      <c r="BX53" s="833">
        <f t="shared" si="281"/>
        <v>1</v>
      </c>
      <c r="BY53" s="833">
        <f t="shared" si="282"/>
        <v>1</v>
      </c>
      <c r="BZ53" s="833">
        <f t="shared" si="283"/>
        <v>1</v>
      </c>
      <c r="CA53" s="833">
        <f t="shared" si="284"/>
        <v>1</v>
      </c>
      <c r="CB53" s="833">
        <f t="shared" si="285"/>
        <v>1</v>
      </c>
      <c r="CC53" s="833">
        <f t="shared" si="286"/>
        <v>1</v>
      </c>
      <c r="CD53" s="833">
        <f t="shared" si="286"/>
        <v>1</v>
      </c>
      <c r="CE53" s="833">
        <f t="shared" si="286"/>
        <v>1</v>
      </c>
      <c r="CF53" s="833"/>
      <c r="CG53" s="46"/>
      <c r="CH53" s="46"/>
      <c r="CI53" s="46"/>
      <c r="CJ53" s="46"/>
      <c r="CK53" s="46"/>
      <c r="CL53" s="46"/>
      <c r="CM53" s="46"/>
      <c r="CN53" s="46"/>
      <c r="CO53" s="46"/>
      <c r="CP53" s="46"/>
      <c r="CQ53" s="46"/>
      <c r="CR53" s="46"/>
      <c r="CS53" s="46"/>
      <c r="CT53" s="1300"/>
      <c r="CU53" s="1300"/>
      <c r="CV53" s="1300"/>
      <c r="CW53" s="1300"/>
      <c r="CX53" s="1300"/>
    </row>
    <row r="54" spans="1:102" s="772" customFormat="1" x14ac:dyDescent="0.2">
      <c r="A54" s="666"/>
      <c r="B54" s="371"/>
      <c r="C54" s="371"/>
      <c r="D54" s="371"/>
      <c r="E54" s="1199"/>
      <c r="F54" s="1200"/>
      <c r="G54" s="2184"/>
      <c r="H54" s="1199"/>
      <c r="I54" s="1199"/>
      <c r="J54" s="1199"/>
      <c r="K54" s="1199"/>
      <c r="L54" s="1199"/>
      <c r="M54" s="1200"/>
      <c r="N54" s="1200"/>
      <c r="O54" s="1200"/>
      <c r="P54" s="1200"/>
      <c r="Q54" s="1288"/>
      <c r="R54" s="1287"/>
      <c r="S54" s="1198"/>
      <c r="T54" s="1198"/>
      <c r="U54" s="1288"/>
      <c r="V54" s="1287"/>
      <c r="W54" s="1198"/>
      <c r="X54" s="1191"/>
      <c r="Y54" s="437">
        <f t="shared" si="65"/>
        <v>0</v>
      </c>
      <c r="Z54" s="1287"/>
      <c r="AA54" s="1198"/>
      <c r="AB54" s="1191"/>
      <c r="AC54" s="1299"/>
      <c r="AD54" s="1289"/>
      <c r="AE54" s="1198"/>
      <c r="AF54" s="1198"/>
      <c r="AG54" s="1299"/>
      <c r="AH54" s="1287"/>
      <c r="AI54" s="1198"/>
      <c r="AJ54" s="1191"/>
      <c r="AK54" s="1299"/>
      <c r="AL54" s="1191"/>
      <c r="AM54" s="1198"/>
      <c r="AN54" s="1191"/>
      <c r="AO54" s="1302"/>
      <c r="AP54" s="1191"/>
      <c r="AQ54" s="1198"/>
      <c r="AR54" s="1191"/>
      <c r="AS54" s="1299"/>
      <c r="AT54" s="1287"/>
      <c r="AU54" s="1198"/>
      <c r="AV54" s="1191"/>
      <c r="AW54" s="1299"/>
      <c r="AX54" s="1287"/>
      <c r="AY54" s="1198"/>
      <c r="AZ54" s="1191"/>
      <c r="BA54" s="1299"/>
      <c r="BB54" s="1287"/>
      <c r="BC54" s="1198"/>
      <c r="BD54" s="1191"/>
      <c r="BE54" s="1299"/>
      <c r="BF54" s="1287"/>
      <c r="BG54" s="1198"/>
      <c r="BH54" s="1191"/>
      <c r="BI54" s="1299"/>
      <c r="BJ54" s="1287"/>
      <c r="BK54" s="1198"/>
      <c r="BL54" s="1191"/>
      <c r="BM54" s="1302"/>
      <c r="BN54" s="1287"/>
      <c r="BO54" s="1198"/>
      <c r="BP54" s="1191"/>
      <c r="BQ54" s="1302"/>
      <c r="BR54" s="1300"/>
      <c r="BS54" s="833"/>
      <c r="BT54" s="833"/>
      <c r="BU54" s="833"/>
      <c r="BV54" s="833"/>
      <c r="BW54" s="833"/>
      <c r="BX54" s="833"/>
      <c r="BY54" s="833"/>
      <c r="BZ54" s="833"/>
      <c r="CA54" s="833"/>
      <c r="CB54" s="833"/>
      <c r="CC54" s="833"/>
      <c r="CD54" s="833"/>
      <c r="CE54" s="833"/>
      <c r="CF54" s="833"/>
      <c r="CG54" s="46"/>
      <c r="CH54" s="46"/>
      <c r="CI54" s="46"/>
      <c r="CJ54" s="46"/>
      <c r="CK54" s="46"/>
      <c r="CL54" s="46"/>
      <c r="CM54" s="46"/>
      <c r="CN54" s="46"/>
      <c r="CO54" s="46"/>
      <c r="CP54" s="46"/>
      <c r="CQ54" s="46"/>
      <c r="CR54" s="46"/>
      <c r="CS54" s="46"/>
      <c r="CT54" s="1300"/>
      <c r="CU54" s="1300"/>
      <c r="CV54" s="1300"/>
      <c r="CW54" s="1300"/>
      <c r="CX54" s="1300"/>
    </row>
    <row r="55" spans="1:102" s="772" customFormat="1" x14ac:dyDescent="0.2">
      <c r="A55" s="776" t="s">
        <v>4584</v>
      </c>
      <c r="B55" s="371"/>
      <c r="C55" s="371"/>
      <c r="D55" s="371"/>
      <c r="E55" s="1199"/>
      <c r="F55" s="1200"/>
      <c r="G55" s="2184"/>
      <c r="H55" s="1199"/>
      <c r="I55" s="1199"/>
      <c r="J55" s="1199"/>
      <c r="K55" s="1199"/>
      <c r="L55" s="1199"/>
      <c r="M55" s="1200"/>
      <c r="N55" s="1200"/>
      <c r="O55" s="1200"/>
      <c r="P55" s="1200"/>
      <c r="Q55" s="1288"/>
      <c r="R55" s="1287"/>
      <c r="S55" s="1198"/>
      <c r="T55" s="1198"/>
      <c r="U55" s="1288"/>
      <c r="V55" s="1287"/>
      <c r="W55" s="1198"/>
      <c r="X55" s="1191"/>
      <c r="Y55" s="437">
        <f t="shared" si="65"/>
        <v>0</v>
      </c>
      <c r="Z55" s="1287"/>
      <c r="AA55" s="1198"/>
      <c r="AB55" s="1191"/>
      <c r="AC55" s="1299"/>
      <c r="AD55" s="1289"/>
      <c r="AE55" s="1198"/>
      <c r="AF55" s="1198"/>
      <c r="AG55" s="1299"/>
      <c r="AH55" s="1287"/>
      <c r="AI55" s="1198"/>
      <c r="AJ55" s="1191"/>
      <c r="AK55" s="1299"/>
      <c r="AL55" s="1191"/>
      <c r="AM55" s="1198"/>
      <c r="AN55" s="1191"/>
      <c r="AO55" s="1302"/>
      <c r="AP55" s="1191"/>
      <c r="AQ55" s="1198"/>
      <c r="AR55" s="1191"/>
      <c r="AS55" s="1299"/>
      <c r="AT55" s="1287"/>
      <c r="AU55" s="1198"/>
      <c r="AV55" s="1191"/>
      <c r="AW55" s="1299"/>
      <c r="AX55" s="1287"/>
      <c r="AY55" s="1198"/>
      <c r="AZ55" s="1191"/>
      <c r="BA55" s="1299"/>
      <c r="BB55" s="1287"/>
      <c r="BC55" s="1198"/>
      <c r="BD55" s="1191"/>
      <c r="BE55" s="1299"/>
      <c r="BF55" s="1287"/>
      <c r="BG55" s="1198"/>
      <c r="BH55" s="1191"/>
      <c r="BI55" s="1299"/>
      <c r="BJ55" s="1287"/>
      <c r="BK55" s="1198"/>
      <c r="BL55" s="1191"/>
      <c r="BM55" s="1302"/>
      <c r="BN55" s="1287"/>
      <c r="BO55" s="1198"/>
      <c r="BP55" s="1191"/>
      <c r="BQ55" s="1302"/>
      <c r="BR55" s="1300"/>
      <c r="BS55" s="833"/>
      <c r="BT55" s="833"/>
      <c r="BU55" s="833"/>
      <c r="BV55" s="833"/>
      <c r="BW55" s="833"/>
      <c r="BX55" s="833"/>
      <c r="BY55" s="833"/>
      <c r="BZ55" s="833"/>
      <c r="CA55" s="833"/>
      <c r="CB55" s="833"/>
      <c r="CC55" s="833"/>
      <c r="CD55" s="833"/>
      <c r="CE55" s="833"/>
      <c r="CF55" s="833"/>
      <c r="CG55" s="46"/>
      <c r="CH55" s="46"/>
      <c r="CI55" s="46"/>
      <c r="CJ55" s="46"/>
      <c r="CK55" s="46"/>
      <c r="CL55" s="46"/>
      <c r="CM55" s="46"/>
      <c r="CN55" s="46"/>
      <c r="CO55" s="46"/>
      <c r="CP55" s="46"/>
      <c r="CQ55" s="46"/>
      <c r="CR55" s="46"/>
      <c r="CS55" s="46"/>
      <c r="CT55" s="1300"/>
      <c r="CU55" s="1300"/>
      <c r="CV55" s="1300"/>
      <c r="CW55" s="1300"/>
      <c r="CX55" s="1300"/>
    </row>
    <row r="56" spans="1:102" s="772" customFormat="1" hidden="1" x14ac:dyDescent="0.2">
      <c r="A56" s="666" t="s">
        <v>4840</v>
      </c>
      <c r="B56" s="662" t="s">
        <v>5003</v>
      </c>
      <c r="C56" s="662" t="s">
        <v>5004</v>
      </c>
      <c r="D56" s="662"/>
      <c r="E56" s="1199"/>
      <c r="F56" s="1200"/>
      <c r="G56" s="2184"/>
      <c r="H56" s="1199"/>
      <c r="I56" s="1199"/>
      <c r="J56" s="1199"/>
      <c r="K56" s="1199"/>
      <c r="L56" s="1199"/>
      <c r="M56" s="1200"/>
      <c r="N56" s="1200"/>
      <c r="O56" s="1200"/>
      <c r="P56" s="1200"/>
      <c r="Q56" s="1288"/>
      <c r="R56" s="1287"/>
      <c r="S56" s="1198"/>
      <c r="T56" s="1198"/>
      <c r="U56" s="1288">
        <f t="shared" si="91"/>
        <v>0</v>
      </c>
      <c r="V56" s="1287"/>
      <c r="W56" s="1198"/>
      <c r="X56" s="1191"/>
      <c r="Y56" s="437">
        <f t="shared" si="65"/>
        <v>0</v>
      </c>
      <c r="Z56" s="1287"/>
      <c r="AA56" s="1198"/>
      <c r="AB56" s="1191"/>
      <c r="AC56" s="1299">
        <f t="shared" ref="AC56:AC61" si="287">$G56-Z56-AA56-AB56</f>
        <v>0</v>
      </c>
      <c r="AD56" s="1287"/>
      <c r="AE56" s="1198"/>
      <c r="AF56" s="1198"/>
      <c r="AG56" s="1299">
        <f t="shared" ref="AG56:AG61" si="288">$H56-AD56-AE56-AF56</f>
        <v>0</v>
      </c>
      <c r="AH56" s="1287"/>
      <c r="AI56" s="1198"/>
      <c r="AJ56" s="1191"/>
      <c r="AK56" s="1299">
        <f t="shared" ref="AK56:AK61" si="289">$I56-AH56-AI56-AJ56</f>
        <v>0</v>
      </c>
      <c r="AL56" s="1191"/>
      <c r="AM56" s="1198"/>
      <c r="AN56" s="1191"/>
      <c r="AO56" s="1302">
        <f t="shared" ref="AO56:AO61" si="290">$J56-AL56-AM56-AN56</f>
        <v>0</v>
      </c>
      <c r="AP56" s="1191"/>
      <c r="AQ56" s="1198"/>
      <c r="AR56" s="1191"/>
      <c r="AS56" s="1299">
        <f t="shared" ref="AS56:AS61" si="291">$K56-AP56-AQ56-AR56</f>
        <v>0</v>
      </c>
      <c r="AT56" s="1287"/>
      <c r="AU56" s="1198"/>
      <c r="AV56" s="1191"/>
      <c r="AW56" s="1299">
        <f t="shared" ref="AW56:AW61" si="292">$L56-AT56-AU56-AV56</f>
        <v>0</v>
      </c>
      <c r="AX56" s="1287"/>
      <c r="AY56" s="1198"/>
      <c r="AZ56" s="1191"/>
      <c r="BA56" s="1299">
        <f t="shared" ref="BA56:BA61" si="293">$M56-AX56-AY56-AZ56</f>
        <v>0</v>
      </c>
      <c r="BB56" s="1287"/>
      <c r="BC56" s="1198"/>
      <c r="BD56" s="1191"/>
      <c r="BE56" s="1299">
        <f t="shared" ref="BE56:BE61" si="294">$N56-BB56-BC56-BD56</f>
        <v>0</v>
      </c>
      <c r="BF56" s="1287"/>
      <c r="BG56" s="1198"/>
      <c r="BH56" s="1191"/>
      <c r="BI56" s="437">
        <f t="shared" ref="BI56:BI61" si="295">$O56-BF56-BG56-BH56</f>
        <v>0</v>
      </c>
      <c r="BJ56" s="1287"/>
      <c r="BK56" s="1198"/>
      <c r="BL56" s="1191"/>
      <c r="BM56" s="1131">
        <f t="shared" ref="BM56:BM61" si="296">$P56-BJ56-BK56-BL56</f>
        <v>0</v>
      </c>
      <c r="BN56" s="1287"/>
      <c r="BO56" s="1198"/>
      <c r="BP56" s="1191"/>
      <c r="BQ56" s="1131">
        <f t="shared" ref="BQ56:BQ58" si="297">$P56-BN56-BO56-BP56</f>
        <v>0</v>
      </c>
      <c r="BR56" s="1300"/>
      <c r="BS56" s="833">
        <v>1</v>
      </c>
      <c r="BT56" s="833">
        <f t="shared" ref="BT56:BT61" si="298">BS56</f>
        <v>1</v>
      </c>
      <c r="BU56" s="833">
        <f t="shared" ref="BU56:BU61" si="299">BT56</f>
        <v>1</v>
      </c>
      <c r="BV56" s="833">
        <f t="shared" ref="BV56:BV61" si="300">BU56</f>
        <v>1</v>
      </c>
      <c r="BW56" s="833">
        <f t="shared" ref="BW56:BW61" si="301">BV56</f>
        <v>1</v>
      </c>
      <c r="BX56" s="833">
        <f t="shared" ref="BX56:BX61" si="302">BW56</f>
        <v>1</v>
      </c>
      <c r="BY56" s="833">
        <f t="shared" ref="BY56:BY61" si="303">BX56</f>
        <v>1</v>
      </c>
      <c r="BZ56" s="833">
        <f t="shared" ref="BZ56:BZ61" si="304">BY56</f>
        <v>1</v>
      </c>
      <c r="CA56" s="833">
        <f t="shared" ref="CA56:CA61" si="305">BZ56</f>
        <v>1</v>
      </c>
      <c r="CB56" s="833">
        <f t="shared" ref="CB56:CE61" si="306">CA56</f>
        <v>1</v>
      </c>
      <c r="CC56" s="833">
        <f t="shared" si="306"/>
        <v>1</v>
      </c>
      <c r="CD56" s="833">
        <f t="shared" si="306"/>
        <v>1</v>
      </c>
      <c r="CE56" s="833">
        <f t="shared" si="306"/>
        <v>1</v>
      </c>
      <c r="CF56" s="833"/>
      <c r="CG56" s="46">
        <f t="shared" ref="CG56:CS58" si="307">ROUND(BS56*E56,-3)</f>
        <v>0</v>
      </c>
      <c r="CH56" s="46">
        <f t="shared" si="307"/>
        <v>0</v>
      </c>
      <c r="CI56" s="46">
        <f t="shared" si="307"/>
        <v>0</v>
      </c>
      <c r="CJ56" s="46">
        <f t="shared" si="307"/>
        <v>0</v>
      </c>
      <c r="CK56" s="46">
        <f t="shared" si="307"/>
        <v>0</v>
      </c>
      <c r="CL56" s="46">
        <f t="shared" si="307"/>
        <v>0</v>
      </c>
      <c r="CM56" s="46">
        <f t="shared" si="307"/>
        <v>0</v>
      </c>
      <c r="CN56" s="46">
        <f t="shared" si="307"/>
        <v>0</v>
      </c>
      <c r="CO56" s="46">
        <f t="shared" si="307"/>
        <v>0</v>
      </c>
      <c r="CP56" s="46">
        <f t="shared" si="307"/>
        <v>0</v>
      </c>
      <c r="CQ56" s="46">
        <f t="shared" si="307"/>
        <v>0</v>
      </c>
      <c r="CR56" s="46">
        <f t="shared" si="307"/>
        <v>0</v>
      </c>
      <c r="CS56" s="46">
        <f t="shared" si="307"/>
        <v>0</v>
      </c>
      <c r="CT56" s="1300"/>
      <c r="CU56" s="1300"/>
      <c r="CV56" s="1300"/>
      <c r="CW56" s="1300"/>
      <c r="CX56" s="1300"/>
    </row>
    <row r="57" spans="1:102" s="772" customFormat="1" hidden="1" x14ac:dyDescent="0.2">
      <c r="A57" s="666" t="s">
        <v>4841</v>
      </c>
      <c r="B57" s="662" t="s">
        <v>5005</v>
      </c>
      <c r="C57" s="662" t="s">
        <v>5006</v>
      </c>
      <c r="D57" s="662"/>
      <c r="E57" s="1199"/>
      <c r="F57" s="1200"/>
      <c r="G57" s="2184"/>
      <c r="H57" s="1199"/>
      <c r="I57" s="1199"/>
      <c r="J57" s="1199"/>
      <c r="K57" s="1199"/>
      <c r="L57" s="1199"/>
      <c r="M57" s="1200"/>
      <c r="N57" s="1200"/>
      <c r="O57" s="1200"/>
      <c r="P57" s="1200"/>
      <c r="Q57" s="1288"/>
      <c r="R57" s="1287"/>
      <c r="S57" s="1198"/>
      <c r="T57" s="1198"/>
      <c r="U57" s="1288">
        <f t="shared" ref="U57:U60" si="308">$E57-R57-S57-T57</f>
        <v>0</v>
      </c>
      <c r="V57" s="1287"/>
      <c r="W57" s="1198"/>
      <c r="X57" s="1191"/>
      <c r="Y57" s="437">
        <f t="shared" si="65"/>
        <v>0</v>
      </c>
      <c r="Z57" s="1287"/>
      <c r="AA57" s="1198"/>
      <c r="AB57" s="1191"/>
      <c r="AC57" s="1299">
        <f t="shared" si="287"/>
        <v>0</v>
      </c>
      <c r="AD57" s="1287"/>
      <c r="AE57" s="1198"/>
      <c r="AF57" s="1198"/>
      <c r="AG57" s="1299">
        <f t="shared" si="288"/>
        <v>0</v>
      </c>
      <c r="AH57" s="1287"/>
      <c r="AI57" s="1198"/>
      <c r="AJ57" s="1191"/>
      <c r="AK57" s="1299">
        <f t="shared" si="289"/>
        <v>0</v>
      </c>
      <c r="AL57" s="1191"/>
      <c r="AM57" s="1198"/>
      <c r="AN57" s="1191"/>
      <c r="AO57" s="1302">
        <f t="shared" si="290"/>
        <v>0</v>
      </c>
      <c r="AP57" s="1191"/>
      <c r="AQ57" s="1198"/>
      <c r="AR57" s="1191"/>
      <c r="AS57" s="1299">
        <f t="shared" si="291"/>
        <v>0</v>
      </c>
      <c r="AT57" s="1287"/>
      <c r="AU57" s="1198"/>
      <c r="AV57" s="1191"/>
      <c r="AW57" s="1299">
        <f t="shared" si="292"/>
        <v>0</v>
      </c>
      <c r="AX57" s="1287"/>
      <c r="AY57" s="1198"/>
      <c r="AZ57" s="1191"/>
      <c r="BA57" s="1299">
        <f t="shared" si="293"/>
        <v>0</v>
      </c>
      <c r="BB57" s="1287"/>
      <c r="BC57" s="1198"/>
      <c r="BD57" s="1191"/>
      <c r="BE57" s="1299">
        <f t="shared" si="294"/>
        <v>0</v>
      </c>
      <c r="BF57" s="1287"/>
      <c r="BG57" s="1198"/>
      <c r="BH57" s="1191"/>
      <c r="BI57" s="437">
        <f t="shared" si="295"/>
        <v>0</v>
      </c>
      <c r="BJ57" s="1287"/>
      <c r="BK57" s="1198"/>
      <c r="BL57" s="1191"/>
      <c r="BM57" s="1131">
        <f t="shared" si="296"/>
        <v>0</v>
      </c>
      <c r="BN57" s="1287"/>
      <c r="BO57" s="1198"/>
      <c r="BP57" s="1191"/>
      <c r="BQ57" s="1131">
        <f t="shared" si="297"/>
        <v>0</v>
      </c>
      <c r="BR57" s="1300"/>
      <c r="BS57" s="833">
        <v>1</v>
      </c>
      <c r="BT57" s="833">
        <f t="shared" si="298"/>
        <v>1</v>
      </c>
      <c r="BU57" s="833">
        <f t="shared" si="299"/>
        <v>1</v>
      </c>
      <c r="BV57" s="833">
        <f t="shared" si="300"/>
        <v>1</v>
      </c>
      <c r="BW57" s="833">
        <f t="shared" si="301"/>
        <v>1</v>
      </c>
      <c r="BX57" s="833">
        <f t="shared" si="302"/>
        <v>1</v>
      </c>
      <c r="BY57" s="833">
        <f t="shared" si="303"/>
        <v>1</v>
      </c>
      <c r="BZ57" s="833">
        <f t="shared" si="304"/>
        <v>1</v>
      </c>
      <c r="CA57" s="833">
        <f t="shared" si="305"/>
        <v>1</v>
      </c>
      <c r="CB57" s="833">
        <f t="shared" si="306"/>
        <v>1</v>
      </c>
      <c r="CC57" s="833">
        <f t="shared" si="306"/>
        <v>1</v>
      </c>
      <c r="CD57" s="833">
        <f t="shared" si="306"/>
        <v>1</v>
      </c>
      <c r="CE57" s="833">
        <f t="shared" si="306"/>
        <v>1</v>
      </c>
      <c r="CF57" s="833"/>
      <c r="CG57" s="46">
        <f t="shared" si="307"/>
        <v>0</v>
      </c>
      <c r="CH57" s="46">
        <f t="shared" si="307"/>
        <v>0</v>
      </c>
      <c r="CI57" s="46">
        <f t="shared" si="307"/>
        <v>0</v>
      </c>
      <c r="CJ57" s="46">
        <f t="shared" si="307"/>
        <v>0</v>
      </c>
      <c r="CK57" s="46">
        <f t="shared" si="307"/>
        <v>0</v>
      </c>
      <c r="CL57" s="46">
        <f t="shared" si="307"/>
        <v>0</v>
      </c>
      <c r="CM57" s="46">
        <f t="shared" si="307"/>
        <v>0</v>
      </c>
      <c r="CN57" s="46">
        <f t="shared" si="307"/>
        <v>0</v>
      </c>
      <c r="CO57" s="46">
        <f t="shared" si="307"/>
        <v>0</v>
      </c>
      <c r="CP57" s="46">
        <f t="shared" si="307"/>
        <v>0</v>
      </c>
      <c r="CQ57" s="46">
        <f t="shared" si="307"/>
        <v>0</v>
      </c>
      <c r="CR57" s="46">
        <f t="shared" si="307"/>
        <v>0</v>
      </c>
      <c r="CS57" s="46">
        <f t="shared" si="307"/>
        <v>0</v>
      </c>
      <c r="CT57" s="1300"/>
      <c r="CU57" s="1300"/>
      <c r="CV57" s="1300"/>
      <c r="CW57" s="1300"/>
      <c r="CX57" s="1300"/>
    </row>
    <row r="58" spans="1:102" s="772" customFormat="1" hidden="1" x14ac:dyDescent="0.2">
      <c r="A58" s="666" t="s">
        <v>4842</v>
      </c>
      <c r="B58" s="371"/>
      <c r="C58" s="371"/>
      <c r="D58" s="371"/>
      <c r="E58" s="1198"/>
      <c r="F58" s="1198"/>
      <c r="G58" s="2184"/>
      <c r="H58" s="1198"/>
      <c r="I58" s="1198"/>
      <c r="J58" s="1198"/>
      <c r="K58" s="1198"/>
      <c r="L58" s="1198"/>
      <c r="M58" s="1198"/>
      <c r="N58" s="1198"/>
      <c r="O58" s="1198"/>
      <c r="P58" s="1198"/>
      <c r="Q58" s="1191"/>
      <c r="R58" s="1287"/>
      <c r="S58" s="1198"/>
      <c r="T58" s="1198"/>
      <c r="U58" s="1288">
        <f t="shared" si="308"/>
        <v>0</v>
      </c>
      <c r="V58" s="1287"/>
      <c r="W58" s="1198"/>
      <c r="X58" s="1191"/>
      <c r="Y58" s="437">
        <f t="shared" si="65"/>
        <v>0</v>
      </c>
      <c r="Z58" s="1287"/>
      <c r="AA58" s="1198"/>
      <c r="AB58" s="1191"/>
      <c r="AC58" s="1299">
        <f t="shared" si="287"/>
        <v>0</v>
      </c>
      <c r="AD58" s="1287"/>
      <c r="AE58" s="1198"/>
      <c r="AF58" s="1198"/>
      <c r="AG58" s="1299">
        <f t="shared" si="288"/>
        <v>0</v>
      </c>
      <c r="AH58" s="1287"/>
      <c r="AI58" s="1198"/>
      <c r="AJ58" s="1191"/>
      <c r="AK58" s="1299">
        <f t="shared" si="289"/>
        <v>0</v>
      </c>
      <c r="AL58" s="1191"/>
      <c r="AM58" s="1198"/>
      <c r="AN58" s="1191"/>
      <c r="AO58" s="1302">
        <f t="shared" si="290"/>
        <v>0</v>
      </c>
      <c r="AP58" s="1191"/>
      <c r="AQ58" s="1198"/>
      <c r="AR58" s="1191"/>
      <c r="AS58" s="1299">
        <f t="shared" si="291"/>
        <v>0</v>
      </c>
      <c r="AT58" s="1287"/>
      <c r="AU58" s="1198"/>
      <c r="AV58" s="1191"/>
      <c r="AW58" s="1299">
        <f t="shared" si="292"/>
        <v>0</v>
      </c>
      <c r="AX58" s="1287"/>
      <c r="AY58" s="1198"/>
      <c r="AZ58" s="1191"/>
      <c r="BA58" s="1299">
        <f t="shared" si="293"/>
        <v>0</v>
      </c>
      <c r="BB58" s="1287"/>
      <c r="BC58" s="1198"/>
      <c r="BD58" s="1191"/>
      <c r="BE58" s="1299">
        <f t="shared" si="294"/>
        <v>0</v>
      </c>
      <c r="BF58" s="1287"/>
      <c r="BG58" s="1198"/>
      <c r="BH58" s="1191"/>
      <c r="BI58" s="437">
        <f t="shared" si="295"/>
        <v>0</v>
      </c>
      <c r="BJ58" s="1287"/>
      <c r="BK58" s="1198"/>
      <c r="BL58" s="1191"/>
      <c r="BM58" s="1131">
        <f t="shared" si="296"/>
        <v>0</v>
      </c>
      <c r="BN58" s="1287"/>
      <c r="BO58" s="1198"/>
      <c r="BP58" s="1191"/>
      <c r="BQ58" s="1131">
        <f t="shared" si="297"/>
        <v>0</v>
      </c>
      <c r="BR58" s="1300"/>
      <c r="BS58" s="833">
        <v>1</v>
      </c>
      <c r="BT58" s="833">
        <f t="shared" si="298"/>
        <v>1</v>
      </c>
      <c r="BU58" s="833">
        <f t="shared" si="299"/>
        <v>1</v>
      </c>
      <c r="BV58" s="833">
        <f t="shared" si="300"/>
        <v>1</v>
      </c>
      <c r="BW58" s="833">
        <f t="shared" si="301"/>
        <v>1</v>
      </c>
      <c r="BX58" s="833">
        <f t="shared" si="302"/>
        <v>1</v>
      </c>
      <c r="BY58" s="833">
        <f t="shared" si="303"/>
        <v>1</v>
      </c>
      <c r="BZ58" s="833">
        <f t="shared" si="304"/>
        <v>1</v>
      </c>
      <c r="CA58" s="833">
        <f t="shared" si="305"/>
        <v>1</v>
      </c>
      <c r="CB58" s="833">
        <f t="shared" si="306"/>
        <v>1</v>
      </c>
      <c r="CC58" s="833">
        <f t="shared" si="306"/>
        <v>1</v>
      </c>
      <c r="CD58" s="833">
        <f t="shared" si="306"/>
        <v>1</v>
      </c>
      <c r="CE58" s="833">
        <f t="shared" si="306"/>
        <v>1</v>
      </c>
      <c r="CF58" s="833"/>
      <c r="CG58" s="46">
        <f t="shared" si="307"/>
        <v>0</v>
      </c>
      <c r="CH58" s="46">
        <f t="shared" si="307"/>
        <v>0</v>
      </c>
      <c r="CI58" s="46">
        <f t="shared" si="307"/>
        <v>0</v>
      </c>
      <c r="CJ58" s="46">
        <f t="shared" si="307"/>
        <v>0</v>
      </c>
      <c r="CK58" s="46">
        <f t="shared" si="307"/>
        <v>0</v>
      </c>
      <c r="CL58" s="46">
        <f t="shared" si="307"/>
        <v>0</v>
      </c>
      <c r="CM58" s="46">
        <f t="shared" si="307"/>
        <v>0</v>
      </c>
      <c r="CN58" s="46">
        <f t="shared" si="307"/>
        <v>0</v>
      </c>
      <c r="CO58" s="46">
        <f t="shared" si="307"/>
        <v>0</v>
      </c>
      <c r="CP58" s="46">
        <f t="shared" si="307"/>
        <v>0</v>
      </c>
      <c r="CQ58" s="46">
        <f t="shared" si="307"/>
        <v>0</v>
      </c>
      <c r="CR58" s="46">
        <f t="shared" si="307"/>
        <v>0</v>
      </c>
      <c r="CS58" s="46">
        <f t="shared" si="307"/>
        <v>0</v>
      </c>
      <c r="CT58" s="1300"/>
      <c r="CU58" s="1300"/>
      <c r="CV58" s="1300"/>
      <c r="CW58" s="1300"/>
      <c r="CX58" s="1300"/>
    </row>
    <row r="59" spans="1:102" s="772" customFormat="1" x14ac:dyDescent="0.2">
      <c r="A59" s="666" t="s">
        <v>6934</v>
      </c>
      <c r="B59" s="662" t="s">
        <v>7166</v>
      </c>
      <c r="C59" s="662" t="s">
        <v>7167</v>
      </c>
      <c r="D59" s="662" t="s">
        <v>7167</v>
      </c>
      <c r="E59" s="1198"/>
      <c r="F59" s="1198"/>
      <c r="G59" s="2184">
        <f>668000-638000</f>
        <v>30000</v>
      </c>
      <c r="H59" s="1198">
        <v>638000</v>
      </c>
      <c r="I59" s="1198"/>
      <c r="J59" s="1198"/>
      <c r="K59" s="1198"/>
      <c r="L59" s="1198"/>
      <c r="M59" s="1198"/>
      <c r="N59" s="1198"/>
      <c r="O59" s="1198"/>
      <c r="P59" s="1198"/>
      <c r="Q59" s="1191"/>
      <c r="R59" s="1287"/>
      <c r="S59" s="1198"/>
      <c r="T59" s="1198"/>
      <c r="U59" s="1288"/>
      <c r="V59" s="1287"/>
      <c r="W59" s="1198"/>
      <c r="X59" s="1191"/>
      <c r="Y59" s="437">
        <f t="shared" si="65"/>
        <v>0</v>
      </c>
      <c r="Z59" s="1287"/>
      <c r="AA59" s="1198"/>
      <c r="AB59" s="1191"/>
      <c r="AC59" s="1299">
        <f t="shared" ref="AC59" si="309">$G59-Z59-AA59-AB59</f>
        <v>30000</v>
      </c>
      <c r="AD59" s="1287"/>
      <c r="AE59" s="1198"/>
      <c r="AF59" s="1198"/>
      <c r="AG59" s="1299">
        <f t="shared" ref="AG59" si="310">$H59-AD59-AE59-AF59</f>
        <v>638000</v>
      </c>
      <c r="AH59" s="1287"/>
      <c r="AI59" s="1198"/>
      <c r="AJ59" s="1191"/>
      <c r="AK59" s="1299">
        <f t="shared" ref="AK59" si="311">$I59-AH59-AI59-AJ59</f>
        <v>0</v>
      </c>
      <c r="AL59" s="1191"/>
      <c r="AM59" s="1198"/>
      <c r="AN59" s="1191"/>
      <c r="AO59" s="1302">
        <f t="shared" ref="AO59" si="312">$J59-AL59-AM59-AN59</f>
        <v>0</v>
      </c>
      <c r="AP59" s="1191"/>
      <c r="AQ59" s="1198"/>
      <c r="AR59" s="1191"/>
      <c r="AS59" s="1299">
        <f t="shared" ref="AS59" si="313">$K59-AP59-AQ59-AR59</f>
        <v>0</v>
      </c>
      <c r="AT59" s="1287"/>
      <c r="AU59" s="1198"/>
      <c r="AV59" s="1191"/>
      <c r="AW59" s="1299">
        <f t="shared" ref="AW59" si="314">$L59-AT59-AU59-AV59</f>
        <v>0</v>
      </c>
      <c r="AX59" s="1287"/>
      <c r="AY59" s="1198"/>
      <c r="AZ59" s="1191"/>
      <c r="BA59" s="1299">
        <f t="shared" ref="BA59" si="315">$M59-AX59-AY59-AZ59</f>
        <v>0</v>
      </c>
      <c r="BB59" s="1287"/>
      <c r="BC59" s="1198"/>
      <c r="BD59" s="1191"/>
      <c r="BE59" s="1299">
        <f t="shared" ref="BE59" si="316">$N59-BB59-BC59-BD59</f>
        <v>0</v>
      </c>
      <c r="BF59" s="1287"/>
      <c r="BG59" s="1198"/>
      <c r="BH59" s="1191"/>
      <c r="BI59" s="437">
        <f t="shared" ref="BI59" si="317">$O59-BF59-BG59-BH59</f>
        <v>0</v>
      </c>
      <c r="BJ59" s="1287"/>
      <c r="BK59" s="1198"/>
      <c r="BL59" s="1191"/>
      <c r="BM59" s="1131">
        <f t="shared" ref="BM59" si="318">$P59-BJ59-BK59-BL59</f>
        <v>0</v>
      </c>
      <c r="BN59" s="1287"/>
      <c r="BO59" s="1198"/>
      <c r="BP59" s="1191"/>
      <c r="BQ59" s="1131">
        <f t="shared" ref="BQ59:BQ61" si="319">$Q59-BN59-BO59-BP59</f>
        <v>0</v>
      </c>
      <c r="BR59" s="1300"/>
      <c r="BS59" s="833">
        <v>1</v>
      </c>
      <c r="BT59" s="833">
        <f t="shared" ref="BT59" si="320">BS59</f>
        <v>1</v>
      </c>
      <c r="BU59" s="833">
        <f t="shared" ref="BU59" si="321">BT59</f>
        <v>1</v>
      </c>
      <c r="BV59" s="833">
        <f t="shared" ref="BV59" si="322">BU59</f>
        <v>1</v>
      </c>
      <c r="BW59" s="833">
        <f t="shared" ref="BW59" si="323">BV59</f>
        <v>1</v>
      </c>
      <c r="BX59" s="833">
        <f t="shared" ref="BX59" si="324">BW59</f>
        <v>1</v>
      </c>
      <c r="BY59" s="833">
        <f t="shared" ref="BY59" si="325">BX59</f>
        <v>1</v>
      </c>
      <c r="BZ59" s="833">
        <f t="shared" ref="BZ59" si="326">BY59</f>
        <v>1</v>
      </c>
      <c r="CA59" s="833">
        <f t="shared" ref="CA59" si="327">BZ59</f>
        <v>1</v>
      </c>
      <c r="CB59" s="833">
        <f t="shared" ref="CB59" si="328">CA59</f>
        <v>1</v>
      </c>
      <c r="CC59" s="833">
        <f t="shared" ref="CC59" si="329">CB59</f>
        <v>1</v>
      </c>
      <c r="CD59" s="833">
        <f t="shared" ref="CD59:CE59" si="330">CC59</f>
        <v>1</v>
      </c>
      <c r="CE59" s="833">
        <f t="shared" si="330"/>
        <v>1</v>
      </c>
      <c r="CF59" s="833"/>
      <c r="CG59" s="46">
        <f t="shared" ref="CG59" si="331">ROUND(BS59*E59,-3)</f>
        <v>0</v>
      </c>
      <c r="CH59" s="46">
        <f t="shared" ref="CH59" si="332">ROUND(BT59*F59,-3)</f>
        <v>0</v>
      </c>
      <c r="CI59" s="46">
        <f t="shared" ref="CI59" si="333">ROUND(BU59*G59,-3)</f>
        <v>30000</v>
      </c>
      <c r="CJ59" s="46">
        <f t="shared" ref="CJ59" si="334">ROUND(BV59*H59,-3)</f>
        <v>638000</v>
      </c>
      <c r="CK59" s="46">
        <f t="shared" ref="CK59" si="335">ROUND(BW59*I59,-3)</f>
        <v>0</v>
      </c>
      <c r="CL59" s="46">
        <f t="shared" ref="CL59" si="336">ROUND(BX59*J59,-3)</f>
        <v>0</v>
      </c>
      <c r="CM59" s="46">
        <f t="shared" ref="CM59" si="337">ROUND(BY59*K59,-3)</f>
        <v>0</v>
      </c>
      <c r="CN59" s="46">
        <f t="shared" ref="CN59" si="338">ROUND(BZ59*L59,-3)</f>
        <v>0</v>
      </c>
      <c r="CO59" s="46">
        <f t="shared" ref="CO59" si="339">ROUND(CA59*M59,-3)</f>
        <v>0</v>
      </c>
      <c r="CP59" s="46">
        <f t="shared" ref="CP59" si="340">ROUND(CB59*N59,-3)</f>
        <v>0</v>
      </c>
      <c r="CQ59" s="46">
        <f t="shared" ref="CQ59" si="341">ROUND(CC59*O59,-3)</f>
        <v>0</v>
      </c>
      <c r="CR59" s="46">
        <f t="shared" ref="CR59:CS59" si="342">ROUND(CD59*P59,-3)</f>
        <v>0</v>
      </c>
      <c r="CS59" s="46">
        <f t="shared" si="342"/>
        <v>0</v>
      </c>
      <c r="CT59" s="1300"/>
      <c r="CU59" s="1300"/>
      <c r="CV59" s="1300"/>
      <c r="CW59" s="1300"/>
      <c r="CX59" s="1300"/>
    </row>
    <row r="60" spans="1:102" s="772" customFormat="1" x14ac:dyDescent="0.2">
      <c r="A60" s="666" t="s">
        <v>11951</v>
      </c>
      <c r="B60" s="371"/>
      <c r="C60" s="662" t="s">
        <v>6004</v>
      </c>
      <c r="D60" s="662" t="s">
        <v>6004</v>
      </c>
      <c r="E60" s="1198">
        <v>22600</v>
      </c>
      <c r="F60" s="1198">
        <v>22500</v>
      </c>
      <c r="G60" s="2184">
        <f>75000+45400</f>
        <v>120400</v>
      </c>
      <c r="H60" s="1198"/>
      <c r="I60" s="1198"/>
      <c r="J60" s="1198"/>
      <c r="K60" s="1198"/>
      <c r="L60" s="1198"/>
      <c r="M60" s="1198"/>
      <c r="N60" s="1198"/>
      <c r="O60" s="1198"/>
      <c r="P60" s="1198"/>
      <c r="Q60" s="1191"/>
      <c r="R60" s="1287"/>
      <c r="S60" s="1198"/>
      <c r="T60" s="1198"/>
      <c r="U60" s="1288">
        <f t="shared" si="308"/>
        <v>22600</v>
      </c>
      <c r="V60" s="1287"/>
      <c r="W60" s="1198"/>
      <c r="X60" s="1191"/>
      <c r="Y60" s="437">
        <f t="shared" si="65"/>
        <v>22500</v>
      </c>
      <c r="Z60" s="1287"/>
      <c r="AA60" s="1198"/>
      <c r="AB60" s="1191"/>
      <c r="AC60" s="1299">
        <f t="shared" si="287"/>
        <v>120400</v>
      </c>
      <c r="AD60" s="1287"/>
      <c r="AE60" s="1198"/>
      <c r="AF60" s="1198"/>
      <c r="AG60" s="1299">
        <f t="shared" si="288"/>
        <v>0</v>
      </c>
      <c r="AH60" s="1287"/>
      <c r="AI60" s="1198"/>
      <c r="AJ60" s="1191"/>
      <c r="AK60" s="1299">
        <f t="shared" si="289"/>
        <v>0</v>
      </c>
      <c r="AL60" s="1191"/>
      <c r="AM60" s="1198"/>
      <c r="AN60" s="1191"/>
      <c r="AO60" s="1302">
        <f t="shared" si="290"/>
        <v>0</v>
      </c>
      <c r="AP60" s="1191"/>
      <c r="AQ60" s="1198"/>
      <c r="AR60" s="1191"/>
      <c r="AS60" s="1299">
        <f t="shared" si="291"/>
        <v>0</v>
      </c>
      <c r="AT60" s="1287"/>
      <c r="AU60" s="1198"/>
      <c r="AV60" s="1191"/>
      <c r="AW60" s="1299">
        <f t="shared" si="292"/>
        <v>0</v>
      </c>
      <c r="AX60" s="1287"/>
      <c r="AY60" s="1198"/>
      <c r="AZ60" s="1191"/>
      <c r="BA60" s="1299">
        <f t="shared" si="293"/>
        <v>0</v>
      </c>
      <c r="BB60" s="1287"/>
      <c r="BC60" s="1198"/>
      <c r="BD60" s="1191"/>
      <c r="BE60" s="1299">
        <f t="shared" si="294"/>
        <v>0</v>
      </c>
      <c r="BF60" s="1287"/>
      <c r="BG60" s="1198"/>
      <c r="BH60" s="1191"/>
      <c r="BI60" s="437">
        <f t="shared" si="295"/>
        <v>0</v>
      </c>
      <c r="BJ60" s="1287"/>
      <c r="BK60" s="1198"/>
      <c r="BL60" s="1191"/>
      <c r="BM60" s="1131">
        <f t="shared" si="296"/>
        <v>0</v>
      </c>
      <c r="BN60" s="1287"/>
      <c r="BO60" s="1198"/>
      <c r="BP60" s="1191"/>
      <c r="BQ60" s="1131">
        <f t="shared" si="319"/>
        <v>0</v>
      </c>
      <c r="BR60" s="1300"/>
      <c r="BS60" s="833">
        <v>1</v>
      </c>
      <c r="BT60" s="833">
        <f t="shared" ref="BT60" si="343">BS60</f>
        <v>1</v>
      </c>
      <c r="BU60" s="833">
        <f t="shared" ref="BU60" si="344">BT60</f>
        <v>1</v>
      </c>
      <c r="BV60" s="833">
        <f t="shared" ref="BV60" si="345">BU60</f>
        <v>1</v>
      </c>
      <c r="BW60" s="833">
        <f t="shared" ref="BW60" si="346">BV60</f>
        <v>1</v>
      </c>
      <c r="BX60" s="833">
        <f t="shared" ref="BX60" si="347">BW60</f>
        <v>1</v>
      </c>
      <c r="BY60" s="833">
        <f t="shared" ref="BY60" si="348">BX60</f>
        <v>1</v>
      </c>
      <c r="BZ60" s="833">
        <f t="shared" ref="BZ60" si="349">BY60</f>
        <v>1</v>
      </c>
      <c r="CA60" s="833">
        <f t="shared" ref="CA60" si="350">BZ60</f>
        <v>1</v>
      </c>
      <c r="CB60" s="833">
        <f t="shared" ref="CB60" si="351">CA60</f>
        <v>1</v>
      </c>
      <c r="CC60" s="833">
        <f t="shared" ref="CC60:CE60" si="352">CB60</f>
        <v>1</v>
      </c>
      <c r="CD60" s="833">
        <f t="shared" si="352"/>
        <v>1</v>
      </c>
      <c r="CE60" s="833">
        <f t="shared" si="352"/>
        <v>1</v>
      </c>
      <c r="CF60" s="833"/>
      <c r="CG60" s="46"/>
      <c r="CH60" s="46"/>
      <c r="CI60" s="46"/>
      <c r="CJ60" s="46"/>
      <c r="CK60" s="46"/>
      <c r="CL60" s="46"/>
      <c r="CM60" s="46"/>
      <c r="CN60" s="46"/>
      <c r="CO60" s="46"/>
      <c r="CP60" s="46"/>
      <c r="CQ60" s="46"/>
      <c r="CR60" s="46"/>
      <c r="CS60" s="46"/>
      <c r="CT60" s="1300"/>
      <c r="CU60" s="1300"/>
      <c r="CV60" s="1300"/>
      <c r="CW60" s="1300"/>
      <c r="CX60" s="1300"/>
    </row>
    <row r="61" spans="1:102" s="772" customFormat="1" x14ac:dyDescent="0.2">
      <c r="A61" s="666" t="s">
        <v>4843</v>
      </c>
      <c r="B61" s="662" t="s">
        <v>5007</v>
      </c>
      <c r="C61" s="662" t="s">
        <v>5008</v>
      </c>
      <c r="D61" s="662" t="s">
        <v>5008</v>
      </c>
      <c r="E61" s="1198">
        <v>500</v>
      </c>
      <c r="F61" s="1198">
        <v>30100</v>
      </c>
      <c r="G61" s="2184">
        <v>24000</v>
      </c>
      <c r="H61" s="1198">
        <v>26000</v>
      </c>
      <c r="I61" s="1198">
        <v>28000</v>
      </c>
      <c r="J61" s="1198">
        <v>30000</v>
      </c>
      <c r="K61" s="1198">
        <v>32000</v>
      </c>
      <c r="L61" s="1198">
        <v>34000</v>
      </c>
      <c r="M61" s="1198">
        <v>37000</v>
      </c>
      <c r="N61" s="1198">
        <v>39000</v>
      </c>
      <c r="O61" s="1198">
        <f>ROUND((N61*Assumptions!P$6+N61),-3)</f>
        <v>40000</v>
      </c>
      <c r="P61" s="1198">
        <f>ROUND((O61*Assumptions!Q$6+O61),-3)</f>
        <v>41000</v>
      </c>
      <c r="Q61" s="1191">
        <f>ROUND((P61*Assumptions!R$6+P61),-3)</f>
        <v>42000</v>
      </c>
      <c r="R61" s="1287"/>
      <c r="S61" s="1198">
        <f>E61</f>
        <v>500</v>
      </c>
      <c r="T61" s="1198"/>
      <c r="U61" s="1288">
        <f t="shared" ref="U61" si="353">$E61-R61-S61-T61</f>
        <v>0</v>
      </c>
      <c r="V61" s="1287"/>
      <c r="W61" s="1198"/>
      <c r="X61" s="1191"/>
      <c r="Y61" s="437">
        <f t="shared" si="65"/>
        <v>30100</v>
      </c>
      <c r="Z61" s="1287"/>
      <c r="AA61" s="1198"/>
      <c r="AB61" s="1191"/>
      <c r="AC61" s="1299">
        <f t="shared" si="287"/>
        <v>24000</v>
      </c>
      <c r="AD61" s="1287"/>
      <c r="AE61" s="1198"/>
      <c r="AF61" s="1198"/>
      <c r="AG61" s="1299">
        <f t="shared" si="288"/>
        <v>26000</v>
      </c>
      <c r="AH61" s="1287"/>
      <c r="AI61" s="1198"/>
      <c r="AJ61" s="1191"/>
      <c r="AK61" s="1299">
        <f t="shared" si="289"/>
        <v>28000</v>
      </c>
      <c r="AL61" s="1191"/>
      <c r="AM61" s="1198"/>
      <c r="AN61" s="1191"/>
      <c r="AO61" s="1302">
        <f t="shared" si="290"/>
        <v>30000</v>
      </c>
      <c r="AP61" s="1191"/>
      <c r="AQ61" s="1198"/>
      <c r="AR61" s="1191"/>
      <c r="AS61" s="1299">
        <f t="shared" si="291"/>
        <v>32000</v>
      </c>
      <c r="AT61" s="1287"/>
      <c r="AU61" s="1198"/>
      <c r="AV61" s="1191"/>
      <c r="AW61" s="1299">
        <f t="shared" si="292"/>
        <v>34000</v>
      </c>
      <c r="AX61" s="1287"/>
      <c r="AY61" s="1198"/>
      <c r="AZ61" s="1191"/>
      <c r="BA61" s="1299">
        <f t="shared" si="293"/>
        <v>37000</v>
      </c>
      <c r="BB61" s="1287"/>
      <c r="BC61" s="1198"/>
      <c r="BD61" s="1191"/>
      <c r="BE61" s="1299">
        <f t="shared" si="294"/>
        <v>39000</v>
      </c>
      <c r="BF61" s="1287"/>
      <c r="BG61" s="1198"/>
      <c r="BH61" s="1191"/>
      <c r="BI61" s="437">
        <f t="shared" si="295"/>
        <v>40000</v>
      </c>
      <c r="BJ61" s="1287"/>
      <c r="BK61" s="1198"/>
      <c r="BL61" s="1191"/>
      <c r="BM61" s="1131">
        <f t="shared" si="296"/>
        <v>41000</v>
      </c>
      <c r="BN61" s="1287"/>
      <c r="BO61" s="1198"/>
      <c r="BP61" s="1191"/>
      <c r="BQ61" s="1131">
        <f t="shared" si="319"/>
        <v>42000</v>
      </c>
      <c r="BR61" s="1300"/>
      <c r="BS61" s="833">
        <v>1</v>
      </c>
      <c r="BT61" s="833">
        <f t="shared" si="298"/>
        <v>1</v>
      </c>
      <c r="BU61" s="833">
        <f t="shared" si="299"/>
        <v>1</v>
      </c>
      <c r="BV61" s="833">
        <f t="shared" si="300"/>
        <v>1</v>
      </c>
      <c r="BW61" s="833">
        <f t="shared" si="301"/>
        <v>1</v>
      </c>
      <c r="BX61" s="833">
        <f t="shared" si="302"/>
        <v>1</v>
      </c>
      <c r="BY61" s="833">
        <f t="shared" si="303"/>
        <v>1</v>
      </c>
      <c r="BZ61" s="833">
        <f t="shared" si="304"/>
        <v>1</v>
      </c>
      <c r="CA61" s="833">
        <f t="shared" si="305"/>
        <v>1</v>
      </c>
      <c r="CB61" s="833">
        <f t="shared" si="306"/>
        <v>1</v>
      </c>
      <c r="CC61" s="833">
        <f t="shared" si="306"/>
        <v>1</v>
      </c>
      <c r="CD61" s="833">
        <f t="shared" si="306"/>
        <v>1</v>
      </c>
      <c r="CE61" s="833">
        <f t="shared" si="306"/>
        <v>1</v>
      </c>
      <c r="CF61" s="833"/>
      <c r="CG61" s="46">
        <f t="shared" ref="CG61:CS61" si="354">ROUND(BS61*E61,-3)</f>
        <v>1000</v>
      </c>
      <c r="CH61" s="46">
        <f t="shared" si="354"/>
        <v>30000</v>
      </c>
      <c r="CI61" s="46">
        <f t="shared" si="354"/>
        <v>24000</v>
      </c>
      <c r="CJ61" s="46">
        <f t="shared" si="354"/>
        <v>26000</v>
      </c>
      <c r="CK61" s="46">
        <f t="shared" si="354"/>
        <v>28000</v>
      </c>
      <c r="CL61" s="46">
        <f t="shared" si="354"/>
        <v>30000</v>
      </c>
      <c r="CM61" s="46">
        <f t="shared" si="354"/>
        <v>32000</v>
      </c>
      <c r="CN61" s="46">
        <f t="shared" si="354"/>
        <v>34000</v>
      </c>
      <c r="CO61" s="46">
        <f t="shared" si="354"/>
        <v>37000</v>
      </c>
      <c r="CP61" s="46">
        <f t="shared" si="354"/>
        <v>39000</v>
      </c>
      <c r="CQ61" s="46">
        <f t="shared" si="354"/>
        <v>40000</v>
      </c>
      <c r="CR61" s="46">
        <f t="shared" si="354"/>
        <v>41000</v>
      </c>
      <c r="CS61" s="46">
        <f t="shared" si="354"/>
        <v>42000</v>
      </c>
      <c r="CT61" s="1300"/>
      <c r="CU61" s="1300"/>
      <c r="CV61" s="1300"/>
      <c r="CW61" s="1300"/>
      <c r="CX61" s="1300"/>
    </row>
    <row r="62" spans="1:102" s="247" customFormat="1" x14ac:dyDescent="0.2">
      <c r="A62" s="667"/>
      <c r="B62" s="371"/>
      <c r="C62" s="371"/>
      <c r="D62" s="371"/>
      <c r="E62" s="1191"/>
      <c r="F62" s="1198"/>
      <c r="G62" s="2184"/>
      <c r="H62" s="1191"/>
      <c r="I62" s="1191"/>
      <c r="J62" s="1191"/>
      <c r="K62" s="1191"/>
      <c r="L62" s="1191"/>
      <c r="M62" s="9"/>
      <c r="N62" s="9"/>
      <c r="O62" s="9"/>
      <c r="P62" s="9"/>
      <c r="Q62" s="49"/>
      <c r="R62" s="1287"/>
      <c r="S62" s="1198"/>
      <c r="T62" s="1198"/>
      <c r="U62" s="1288"/>
      <c r="V62" s="1287"/>
      <c r="W62" s="1198"/>
      <c r="X62" s="1198"/>
      <c r="Y62" s="437">
        <f t="shared" si="65"/>
        <v>0</v>
      </c>
      <c r="Z62" s="1287"/>
      <c r="AA62" s="1198"/>
      <c r="AB62" s="1198"/>
      <c r="AC62" s="1299"/>
      <c r="AD62" s="1287"/>
      <c r="AE62" s="1198"/>
      <c r="AF62" s="1198"/>
      <c r="AG62" s="1299"/>
      <c r="AH62" s="1287"/>
      <c r="AI62" s="1198"/>
      <c r="AJ62" s="1191"/>
      <c r="AK62" s="1299"/>
      <c r="AL62" s="1191"/>
      <c r="AM62" s="1198"/>
      <c r="AN62" s="1191"/>
      <c r="AO62" s="1302"/>
      <c r="AP62" s="1191"/>
      <c r="AQ62" s="1198"/>
      <c r="AR62" s="1191"/>
      <c r="AS62" s="1299"/>
      <c r="AT62" s="1287"/>
      <c r="AU62" s="1198"/>
      <c r="AV62" s="1191"/>
      <c r="AW62" s="1299"/>
      <c r="AX62" s="1287"/>
      <c r="AY62" s="1198"/>
      <c r="AZ62" s="1191"/>
      <c r="BA62" s="1299"/>
      <c r="BB62" s="1287"/>
      <c r="BC62" s="1198"/>
      <c r="BD62" s="1191"/>
      <c r="BE62" s="1299"/>
      <c r="BF62" s="1287"/>
      <c r="BG62" s="1198"/>
      <c r="BH62" s="1191"/>
      <c r="BI62" s="1299"/>
      <c r="BJ62" s="1287"/>
      <c r="BK62" s="1198"/>
      <c r="BL62" s="1191"/>
      <c r="BM62" s="1302"/>
      <c r="BN62" s="1287"/>
      <c r="BO62" s="1198"/>
      <c r="BP62" s="1191"/>
      <c r="BQ62" s="1302"/>
      <c r="BR62" s="1301"/>
      <c r="BS62" s="833"/>
      <c r="BT62" s="833"/>
      <c r="BU62" s="833"/>
      <c r="BV62" s="833"/>
      <c r="BW62" s="833"/>
      <c r="BX62" s="833"/>
      <c r="BY62" s="833"/>
      <c r="BZ62" s="833"/>
      <c r="CA62" s="833"/>
      <c r="CB62" s="833"/>
      <c r="CC62" s="833"/>
      <c r="CD62" s="833"/>
      <c r="CE62" s="833"/>
      <c r="CF62" s="833"/>
      <c r="CG62" s="46"/>
      <c r="CH62" s="46"/>
      <c r="CI62" s="46"/>
      <c r="CJ62" s="46"/>
      <c r="CK62" s="46"/>
      <c r="CL62" s="46"/>
      <c r="CM62" s="46"/>
      <c r="CN62" s="46"/>
      <c r="CO62" s="46"/>
      <c r="CP62" s="46"/>
      <c r="CQ62" s="46"/>
      <c r="CR62" s="46"/>
      <c r="CS62" s="46"/>
      <c r="CT62" s="1301"/>
      <c r="CU62" s="1301"/>
      <c r="CV62" s="1301"/>
      <c r="CW62" s="1301"/>
      <c r="CX62" s="1301"/>
    </row>
    <row r="63" spans="1:102" s="247" customFormat="1" x14ac:dyDescent="0.2">
      <c r="A63" s="1114" t="s">
        <v>1351</v>
      </c>
      <c r="B63" s="371"/>
      <c r="C63" s="371"/>
      <c r="D63" s="371"/>
      <c r="E63" s="1198"/>
      <c r="F63" s="1198"/>
      <c r="G63" s="2184"/>
      <c r="H63" s="1198"/>
      <c r="I63" s="1191"/>
      <c r="J63" s="1191"/>
      <c r="K63" s="1191"/>
      <c r="L63" s="1191"/>
      <c r="M63" s="1198"/>
      <c r="N63" s="1198"/>
      <c r="O63" s="1198"/>
      <c r="P63" s="1198"/>
      <c r="Q63" s="1299"/>
      <c r="R63" s="1287"/>
      <c r="S63" s="1198"/>
      <c r="T63" s="1198"/>
      <c r="U63" s="1288"/>
      <c r="V63" s="1287"/>
      <c r="W63" s="1198"/>
      <c r="X63" s="1191"/>
      <c r="Y63" s="437">
        <f t="shared" si="65"/>
        <v>0</v>
      </c>
      <c r="Z63" s="1287"/>
      <c r="AA63" s="1198"/>
      <c r="AB63" s="1191"/>
      <c r="AC63" s="1299"/>
      <c r="AD63" s="1287"/>
      <c r="AE63" s="1198"/>
      <c r="AF63" s="1198"/>
      <c r="AG63" s="1299"/>
      <c r="AH63" s="1287"/>
      <c r="AI63" s="1198"/>
      <c r="AJ63" s="1191"/>
      <c r="AK63" s="1299"/>
      <c r="AL63" s="1191"/>
      <c r="AM63" s="1198"/>
      <c r="AN63" s="1191"/>
      <c r="AO63" s="1302"/>
      <c r="AP63" s="1191"/>
      <c r="AQ63" s="1198"/>
      <c r="AR63" s="1191"/>
      <c r="AS63" s="1299"/>
      <c r="AT63" s="1287"/>
      <c r="AU63" s="1198"/>
      <c r="AV63" s="1191"/>
      <c r="AW63" s="1299"/>
      <c r="AX63" s="1287"/>
      <c r="AY63" s="1198"/>
      <c r="AZ63" s="1191"/>
      <c r="BA63" s="1299"/>
      <c r="BB63" s="1287"/>
      <c r="BC63" s="1198"/>
      <c r="BD63" s="1191"/>
      <c r="BE63" s="1299"/>
      <c r="BF63" s="1287"/>
      <c r="BG63" s="1198"/>
      <c r="BH63" s="1191"/>
      <c r="BI63" s="1299"/>
      <c r="BJ63" s="1287"/>
      <c r="BK63" s="1198"/>
      <c r="BL63" s="1191"/>
      <c r="BM63" s="1302"/>
      <c r="BN63" s="1287"/>
      <c r="BO63" s="1198"/>
      <c r="BP63" s="1191"/>
      <c r="BQ63" s="1302"/>
      <c r="BR63" s="1301"/>
      <c r="BS63" s="833"/>
      <c r="BT63" s="833"/>
      <c r="BU63" s="833"/>
      <c r="BV63" s="833"/>
      <c r="BW63" s="833"/>
      <c r="BX63" s="833"/>
      <c r="BY63" s="833"/>
      <c r="BZ63" s="833"/>
      <c r="CA63" s="833"/>
      <c r="CB63" s="833"/>
      <c r="CC63" s="833"/>
      <c r="CD63" s="833"/>
      <c r="CE63" s="833"/>
      <c r="CF63" s="833"/>
      <c r="CG63" s="46"/>
      <c r="CH63" s="46"/>
      <c r="CI63" s="46"/>
      <c r="CJ63" s="46"/>
      <c r="CK63" s="46"/>
      <c r="CL63" s="46"/>
      <c r="CM63" s="46"/>
      <c r="CN63" s="46"/>
      <c r="CO63" s="46"/>
      <c r="CP63" s="46"/>
      <c r="CQ63" s="46"/>
      <c r="CR63" s="46"/>
      <c r="CS63" s="46"/>
      <c r="CT63" s="1301"/>
      <c r="CU63" s="1301"/>
      <c r="CV63" s="1301"/>
      <c r="CW63" s="1301"/>
      <c r="CX63" s="1301"/>
    </row>
    <row r="64" spans="1:102" s="247" customFormat="1" x14ac:dyDescent="0.2">
      <c r="A64" s="666" t="s">
        <v>1548</v>
      </c>
      <c r="B64" s="662" t="s">
        <v>489</v>
      </c>
      <c r="C64" s="795" t="s">
        <v>4959</v>
      </c>
      <c r="D64" s="662" t="s">
        <v>489</v>
      </c>
      <c r="E64" s="1198">
        <v>64800</v>
      </c>
      <c r="F64" s="1198">
        <f>113300-53000</f>
        <v>60300</v>
      </c>
      <c r="G64" s="2184">
        <f>123400+53000</f>
        <v>176400</v>
      </c>
      <c r="H64" s="1198"/>
      <c r="I64" s="1198"/>
      <c r="J64" s="1198">
        <v>141100</v>
      </c>
      <c r="K64" s="1198"/>
      <c r="L64" s="1198">
        <v>24000</v>
      </c>
      <c r="M64" s="1198">
        <v>191800</v>
      </c>
      <c r="N64" s="1198"/>
      <c r="O64" s="1198">
        <v>82600</v>
      </c>
      <c r="P64" s="1198"/>
      <c r="Q64" s="1191"/>
      <c r="R64" s="1287"/>
      <c r="S64" s="1198"/>
      <c r="T64" s="1198"/>
      <c r="U64" s="1288">
        <f>$E64-R64-S64-T64</f>
        <v>64800</v>
      </c>
      <c r="V64" s="1287"/>
      <c r="W64" s="1198"/>
      <c r="X64" s="1191"/>
      <c r="Y64" s="437">
        <f t="shared" si="65"/>
        <v>60300</v>
      </c>
      <c r="Z64" s="1287"/>
      <c r="AA64" s="1198"/>
      <c r="AB64" s="1191"/>
      <c r="AC64" s="1299">
        <f>$G64-Z64-AA64-AB64</f>
        <v>176400</v>
      </c>
      <c r="AD64" s="1287"/>
      <c r="AE64" s="1198"/>
      <c r="AF64" s="1198"/>
      <c r="AG64" s="1299">
        <f>$H64-AD64-AE64-AF64</f>
        <v>0</v>
      </c>
      <c r="AH64" s="1287"/>
      <c r="AI64" s="1198"/>
      <c r="AJ64" s="1191"/>
      <c r="AK64" s="1299">
        <f>$I64-AH64-AI64-AJ64</f>
        <v>0</v>
      </c>
      <c r="AL64" s="1191"/>
      <c r="AM64" s="1198"/>
      <c r="AN64" s="1191"/>
      <c r="AO64" s="1302">
        <f>$J64-AL64-AM64-AN64</f>
        <v>141100</v>
      </c>
      <c r="AP64" s="1191"/>
      <c r="AQ64" s="1198"/>
      <c r="AR64" s="1191"/>
      <c r="AS64" s="1299">
        <f>$K64-AP64-AQ64-AR64</f>
        <v>0</v>
      </c>
      <c r="AT64" s="1287"/>
      <c r="AU64" s="1198"/>
      <c r="AV64" s="1191"/>
      <c r="AW64" s="1299">
        <f>$L64-AT64-AU64-AV64</f>
        <v>24000</v>
      </c>
      <c r="AX64" s="1287"/>
      <c r="AY64" s="1198"/>
      <c r="AZ64" s="1191"/>
      <c r="BA64" s="1299">
        <f>$M64-AX64-AY64-AZ64</f>
        <v>191800</v>
      </c>
      <c r="BB64" s="1287"/>
      <c r="BC64" s="1198"/>
      <c r="BD64" s="1191"/>
      <c r="BE64" s="1299">
        <f>$N64-BB64-BC64-BD64</f>
        <v>0</v>
      </c>
      <c r="BF64" s="1287"/>
      <c r="BG64" s="1198"/>
      <c r="BH64" s="1191"/>
      <c r="BI64" s="437">
        <f t="shared" ref="BI64:BI65" si="355">$O64-BF64-BG64-BH64</f>
        <v>82600</v>
      </c>
      <c r="BJ64" s="1287"/>
      <c r="BK64" s="1198"/>
      <c r="BL64" s="1191"/>
      <c r="BM64" s="1131">
        <f t="shared" ref="BM64:BM65" si="356">$P64-BJ64-BK64-BL64</f>
        <v>0</v>
      </c>
      <c r="BN64" s="1287"/>
      <c r="BO64" s="1198"/>
      <c r="BP64" s="1191"/>
      <c r="BQ64" s="1131">
        <f t="shared" ref="BQ64:BQ65" si="357">$Q64-BN64-BO64-BP64</f>
        <v>0</v>
      </c>
      <c r="BR64" s="1301"/>
      <c r="BS64" s="833">
        <v>0</v>
      </c>
      <c r="BT64" s="833">
        <f t="shared" ref="BT64:CE64" si="358">BS64</f>
        <v>0</v>
      </c>
      <c r="BU64" s="833">
        <f t="shared" si="358"/>
        <v>0</v>
      </c>
      <c r="BV64" s="833">
        <f t="shared" si="358"/>
        <v>0</v>
      </c>
      <c r="BW64" s="833">
        <f t="shared" si="358"/>
        <v>0</v>
      </c>
      <c r="BX64" s="833">
        <f t="shared" si="358"/>
        <v>0</v>
      </c>
      <c r="BY64" s="833">
        <f t="shared" si="358"/>
        <v>0</v>
      </c>
      <c r="BZ64" s="833">
        <f t="shared" si="358"/>
        <v>0</v>
      </c>
      <c r="CA64" s="833">
        <f t="shared" si="358"/>
        <v>0</v>
      </c>
      <c r="CB64" s="833">
        <f t="shared" si="358"/>
        <v>0</v>
      </c>
      <c r="CC64" s="833">
        <f t="shared" si="358"/>
        <v>0</v>
      </c>
      <c r="CD64" s="833">
        <f t="shared" si="358"/>
        <v>0</v>
      </c>
      <c r="CE64" s="833">
        <f t="shared" si="358"/>
        <v>0</v>
      </c>
      <c r="CF64" s="833"/>
      <c r="CG64" s="46">
        <f t="shared" ref="CG64:CS64" si="359">ROUND(BS64*E64,-3)</f>
        <v>0</v>
      </c>
      <c r="CH64" s="46">
        <f t="shared" si="359"/>
        <v>0</v>
      </c>
      <c r="CI64" s="46">
        <f t="shared" si="359"/>
        <v>0</v>
      </c>
      <c r="CJ64" s="46">
        <f t="shared" si="359"/>
        <v>0</v>
      </c>
      <c r="CK64" s="46">
        <f t="shared" si="359"/>
        <v>0</v>
      </c>
      <c r="CL64" s="46">
        <f t="shared" si="359"/>
        <v>0</v>
      </c>
      <c r="CM64" s="46">
        <f t="shared" si="359"/>
        <v>0</v>
      </c>
      <c r="CN64" s="46">
        <f t="shared" si="359"/>
        <v>0</v>
      </c>
      <c r="CO64" s="46">
        <f t="shared" si="359"/>
        <v>0</v>
      </c>
      <c r="CP64" s="46">
        <f t="shared" si="359"/>
        <v>0</v>
      </c>
      <c r="CQ64" s="46">
        <f t="shared" si="359"/>
        <v>0</v>
      </c>
      <c r="CR64" s="46">
        <f t="shared" si="359"/>
        <v>0</v>
      </c>
      <c r="CS64" s="46">
        <f t="shared" si="359"/>
        <v>0</v>
      </c>
      <c r="CT64" s="1301"/>
      <c r="CU64" s="1301"/>
      <c r="CV64" s="1301"/>
      <c r="CW64" s="1301"/>
      <c r="CX64" s="1301"/>
    </row>
    <row r="65" spans="1:102" s="247" customFormat="1" x14ac:dyDescent="0.2">
      <c r="A65" s="666" t="s">
        <v>7002</v>
      </c>
      <c r="B65" s="662" t="s">
        <v>489</v>
      </c>
      <c r="C65" s="795" t="s">
        <v>4959</v>
      </c>
      <c r="D65" s="662" t="s">
        <v>489</v>
      </c>
      <c r="E65" s="1198"/>
      <c r="F65" s="1198"/>
      <c r="G65" s="2184">
        <v>200000</v>
      </c>
      <c r="H65" s="1198"/>
      <c r="I65" s="1198"/>
      <c r="J65" s="1198"/>
      <c r="K65" s="1198"/>
      <c r="L65" s="1198"/>
      <c r="M65" s="1198"/>
      <c r="N65" s="1198"/>
      <c r="O65" s="1198"/>
      <c r="P65" s="1198"/>
      <c r="Q65" s="1191"/>
      <c r="R65" s="1287"/>
      <c r="S65" s="1198"/>
      <c r="T65" s="1198"/>
      <c r="U65" s="1288"/>
      <c r="V65" s="1287"/>
      <c r="W65" s="1198"/>
      <c r="X65" s="1191"/>
      <c r="Y65" s="437">
        <f t="shared" si="65"/>
        <v>0</v>
      </c>
      <c r="Z65" s="1287"/>
      <c r="AA65" s="1198"/>
      <c r="AB65" s="1191"/>
      <c r="AC65" s="1299">
        <f>$G65-Z65-AA65-AB65</f>
        <v>200000</v>
      </c>
      <c r="AD65" s="1287"/>
      <c r="AE65" s="1198"/>
      <c r="AF65" s="1198"/>
      <c r="AG65" s="1299">
        <f>$H65-AD65-AE65-AF65</f>
        <v>0</v>
      </c>
      <c r="AH65" s="1287"/>
      <c r="AI65" s="1198"/>
      <c r="AJ65" s="1191"/>
      <c r="AK65" s="1299">
        <f>$I65-AH65-AI65-AJ65</f>
        <v>0</v>
      </c>
      <c r="AL65" s="1191"/>
      <c r="AM65" s="1198"/>
      <c r="AN65" s="1191"/>
      <c r="AO65" s="1302">
        <f>$J65-AL65-AM65-AN65</f>
        <v>0</v>
      </c>
      <c r="AP65" s="1191"/>
      <c r="AQ65" s="1198"/>
      <c r="AR65" s="1191"/>
      <c r="AS65" s="1299">
        <f>$K65-AP65-AQ65-AR65</f>
        <v>0</v>
      </c>
      <c r="AT65" s="1287"/>
      <c r="AU65" s="1198"/>
      <c r="AV65" s="1191"/>
      <c r="AW65" s="1299">
        <f>$L65-AT65-AU65-AV65</f>
        <v>0</v>
      </c>
      <c r="AX65" s="1287"/>
      <c r="AY65" s="1198"/>
      <c r="AZ65" s="1191"/>
      <c r="BA65" s="1299">
        <f>$M65-AX65-AY65-AZ65</f>
        <v>0</v>
      </c>
      <c r="BB65" s="1287"/>
      <c r="BC65" s="1198"/>
      <c r="BD65" s="1191"/>
      <c r="BE65" s="1299">
        <f>$N65-BB65-BC65-BD65</f>
        <v>0</v>
      </c>
      <c r="BF65" s="1287"/>
      <c r="BG65" s="1198"/>
      <c r="BH65" s="1191"/>
      <c r="BI65" s="437">
        <f t="shared" si="355"/>
        <v>0</v>
      </c>
      <c r="BJ65" s="1287"/>
      <c r="BK65" s="1198"/>
      <c r="BL65" s="1191"/>
      <c r="BM65" s="1131">
        <f t="shared" si="356"/>
        <v>0</v>
      </c>
      <c r="BN65" s="1287"/>
      <c r="BO65" s="1198"/>
      <c r="BP65" s="1191"/>
      <c r="BQ65" s="1131">
        <f t="shared" si="357"/>
        <v>0</v>
      </c>
      <c r="BR65" s="1301"/>
      <c r="BS65" s="833">
        <v>0</v>
      </c>
      <c r="BT65" s="833">
        <f t="shared" ref="BT65" si="360">BS65</f>
        <v>0</v>
      </c>
      <c r="BU65" s="833">
        <f t="shared" ref="BU65" si="361">BT65</f>
        <v>0</v>
      </c>
      <c r="BV65" s="833">
        <f t="shared" ref="BV65" si="362">BU65</f>
        <v>0</v>
      </c>
      <c r="BW65" s="833">
        <f t="shared" ref="BW65" si="363">BV65</f>
        <v>0</v>
      </c>
      <c r="BX65" s="833">
        <f t="shared" ref="BX65" si="364">BW65</f>
        <v>0</v>
      </c>
      <c r="BY65" s="833">
        <f t="shared" ref="BY65" si="365">BX65</f>
        <v>0</v>
      </c>
      <c r="BZ65" s="833">
        <f t="shared" ref="BZ65" si="366">BY65</f>
        <v>0</v>
      </c>
      <c r="CA65" s="833">
        <f t="shared" ref="CA65" si="367">BZ65</f>
        <v>0</v>
      </c>
      <c r="CB65" s="833">
        <f t="shared" ref="CB65" si="368">CA65</f>
        <v>0</v>
      </c>
      <c r="CC65" s="833">
        <f t="shared" ref="CC65:CE65" si="369">CB65</f>
        <v>0</v>
      </c>
      <c r="CD65" s="833">
        <f t="shared" si="369"/>
        <v>0</v>
      </c>
      <c r="CE65" s="833">
        <f t="shared" si="369"/>
        <v>0</v>
      </c>
      <c r="CF65" s="833"/>
      <c r="CG65" s="46"/>
      <c r="CH65" s="46"/>
      <c r="CI65" s="46"/>
      <c r="CJ65" s="46"/>
      <c r="CK65" s="46"/>
      <c r="CL65" s="46"/>
      <c r="CM65" s="46"/>
      <c r="CN65" s="46"/>
      <c r="CO65" s="46"/>
      <c r="CP65" s="46"/>
      <c r="CQ65" s="46"/>
      <c r="CR65" s="46"/>
      <c r="CS65" s="46"/>
      <c r="CT65" s="1301"/>
      <c r="CU65" s="1301"/>
      <c r="CV65" s="1301"/>
      <c r="CW65" s="1301"/>
      <c r="CX65" s="1301"/>
    </row>
    <row r="66" spans="1:102" s="247" customFormat="1" x14ac:dyDescent="0.2">
      <c r="A66" s="666"/>
      <c r="B66" s="662"/>
      <c r="C66" s="795"/>
      <c r="D66" s="662"/>
      <c r="E66" s="1198"/>
      <c r="F66" s="1198"/>
      <c r="G66" s="2184"/>
      <c r="H66" s="1198"/>
      <c r="I66" s="1198"/>
      <c r="J66" s="1198"/>
      <c r="K66" s="1198"/>
      <c r="L66" s="1198"/>
      <c r="M66" s="1198"/>
      <c r="N66" s="1198"/>
      <c r="O66" s="1198"/>
      <c r="P66" s="1198"/>
      <c r="Q66" s="1191"/>
      <c r="R66" s="1287"/>
      <c r="S66" s="1198"/>
      <c r="T66" s="1198"/>
      <c r="U66" s="1288"/>
      <c r="V66" s="1287"/>
      <c r="W66" s="1198"/>
      <c r="X66" s="1191"/>
      <c r="Y66" s="437">
        <f t="shared" si="65"/>
        <v>0</v>
      </c>
      <c r="Z66" s="1287"/>
      <c r="AA66" s="1198"/>
      <c r="AB66" s="1191"/>
      <c r="AC66" s="1299"/>
      <c r="AD66" s="1287"/>
      <c r="AE66" s="1198"/>
      <c r="AF66" s="1198"/>
      <c r="AG66" s="1299"/>
      <c r="AH66" s="1287"/>
      <c r="AI66" s="1198"/>
      <c r="AJ66" s="1191"/>
      <c r="AK66" s="1299"/>
      <c r="AL66" s="1191"/>
      <c r="AM66" s="1198"/>
      <c r="AN66" s="1191"/>
      <c r="AO66" s="1302"/>
      <c r="AP66" s="1191"/>
      <c r="AQ66" s="1198"/>
      <c r="AR66" s="1191"/>
      <c r="AS66" s="1299"/>
      <c r="AT66" s="1287"/>
      <c r="AU66" s="1198"/>
      <c r="AV66" s="1191"/>
      <c r="AW66" s="1299"/>
      <c r="AX66" s="1287"/>
      <c r="AY66" s="1198"/>
      <c r="AZ66" s="1191"/>
      <c r="BA66" s="1299"/>
      <c r="BB66" s="1287"/>
      <c r="BC66" s="1198"/>
      <c r="BD66" s="1191"/>
      <c r="BE66" s="1299"/>
      <c r="BF66" s="1287"/>
      <c r="BG66" s="1198"/>
      <c r="BH66" s="1191"/>
      <c r="BI66" s="1299"/>
      <c r="BJ66" s="1287"/>
      <c r="BK66" s="1198"/>
      <c r="BL66" s="1191"/>
      <c r="BM66" s="1302"/>
      <c r="BN66" s="1287"/>
      <c r="BO66" s="1198"/>
      <c r="BP66" s="1191"/>
      <c r="BQ66" s="1302"/>
      <c r="BR66" s="1301"/>
      <c r="BS66" s="833"/>
      <c r="BT66" s="833"/>
      <c r="BU66" s="833"/>
      <c r="BV66" s="833"/>
      <c r="BW66" s="833"/>
      <c r="BX66" s="833"/>
      <c r="BY66" s="833"/>
      <c r="BZ66" s="833"/>
      <c r="CA66" s="833"/>
      <c r="CB66" s="833"/>
      <c r="CC66" s="833"/>
      <c r="CD66" s="833"/>
      <c r="CE66" s="833"/>
      <c r="CF66" s="833"/>
      <c r="CG66" s="46"/>
      <c r="CH66" s="46"/>
      <c r="CI66" s="46"/>
      <c r="CJ66" s="46"/>
      <c r="CK66" s="46"/>
      <c r="CL66" s="46"/>
      <c r="CM66" s="46"/>
      <c r="CN66" s="46"/>
      <c r="CO66" s="46"/>
      <c r="CP66" s="46"/>
      <c r="CQ66" s="46"/>
      <c r="CR66" s="46"/>
      <c r="CS66" s="46"/>
      <c r="CT66" s="1301"/>
      <c r="CU66" s="1301"/>
      <c r="CV66" s="1301"/>
      <c r="CW66" s="1301"/>
      <c r="CX66" s="1301"/>
    </row>
    <row r="67" spans="1:102" s="247" customFormat="1" x14ac:dyDescent="0.2">
      <c r="A67" s="776" t="s">
        <v>5043</v>
      </c>
      <c r="B67" s="662"/>
      <c r="C67" s="795"/>
      <c r="D67" s="662"/>
      <c r="E67" s="1198"/>
      <c r="F67" s="1198"/>
      <c r="G67" s="2184"/>
      <c r="H67" s="1198"/>
      <c r="I67" s="1198"/>
      <c r="J67" s="1198"/>
      <c r="K67" s="1198"/>
      <c r="L67" s="1198"/>
      <c r="M67" s="1198"/>
      <c r="N67" s="1198"/>
      <c r="O67" s="1198"/>
      <c r="P67" s="1198"/>
      <c r="Q67" s="1191"/>
      <c r="R67" s="1287"/>
      <c r="S67" s="1198"/>
      <c r="T67" s="1198"/>
      <c r="U67" s="1288"/>
      <c r="V67" s="1287"/>
      <c r="W67" s="1198"/>
      <c r="X67" s="1191"/>
      <c r="Y67" s="437">
        <f t="shared" si="65"/>
        <v>0</v>
      </c>
      <c r="Z67" s="1287"/>
      <c r="AA67" s="1198"/>
      <c r="AB67" s="1191"/>
      <c r="AC67" s="1299"/>
      <c r="AD67" s="1287"/>
      <c r="AE67" s="1198"/>
      <c r="AF67" s="1198"/>
      <c r="AG67" s="1299"/>
      <c r="AH67" s="1287"/>
      <c r="AI67" s="1198"/>
      <c r="AJ67" s="1191"/>
      <c r="AK67" s="1299"/>
      <c r="AL67" s="1191"/>
      <c r="AM67" s="1198"/>
      <c r="AN67" s="1191"/>
      <c r="AO67" s="1302"/>
      <c r="AP67" s="1191"/>
      <c r="AQ67" s="1198"/>
      <c r="AR67" s="1191"/>
      <c r="AS67" s="1299"/>
      <c r="AT67" s="1287"/>
      <c r="AU67" s="1198"/>
      <c r="AV67" s="1191"/>
      <c r="AW67" s="1299"/>
      <c r="AX67" s="1287"/>
      <c r="AY67" s="1198"/>
      <c r="AZ67" s="1191"/>
      <c r="BA67" s="1299"/>
      <c r="BB67" s="1287"/>
      <c r="BC67" s="1198"/>
      <c r="BD67" s="1191"/>
      <c r="BE67" s="1299"/>
      <c r="BF67" s="1287"/>
      <c r="BG67" s="1198"/>
      <c r="BH67" s="1191"/>
      <c r="BI67" s="1299"/>
      <c r="BJ67" s="1287"/>
      <c r="BK67" s="1198"/>
      <c r="BL67" s="1191"/>
      <c r="BM67" s="1302"/>
      <c r="BN67" s="1287"/>
      <c r="BO67" s="1198"/>
      <c r="BP67" s="1191"/>
      <c r="BQ67" s="1302"/>
      <c r="BR67" s="1301"/>
      <c r="BS67" s="833"/>
      <c r="BT67" s="833"/>
      <c r="BU67" s="833"/>
      <c r="BV67" s="833"/>
      <c r="BW67" s="833"/>
      <c r="BX67" s="833"/>
      <c r="BY67" s="833"/>
      <c r="BZ67" s="833"/>
      <c r="CA67" s="833"/>
      <c r="CB67" s="833"/>
      <c r="CC67" s="833"/>
      <c r="CD67" s="833"/>
      <c r="CE67" s="833"/>
      <c r="CF67" s="833"/>
      <c r="CG67" s="46"/>
      <c r="CH67" s="46"/>
      <c r="CI67" s="46"/>
      <c r="CJ67" s="46"/>
      <c r="CK67" s="46"/>
      <c r="CL67" s="46"/>
      <c r="CM67" s="46"/>
      <c r="CN67" s="46"/>
      <c r="CO67" s="46"/>
      <c r="CP67" s="46"/>
      <c r="CQ67" s="46"/>
      <c r="CR67" s="46"/>
      <c r="CS67" s="46"/>
      <c r="CT67" s="1301"/>
      <c r="CU67" s="1301"/>
      <c r="CV67" s="1301"/>
      <c r="CW67" s="1301"/>
      <c r="CX67" s="1301"/>
    </row>
    <row r="68" spans="1:102" s="247" customFormat="1" x14ac:dyDescent="0.2">
      <c r="A68" s="666" t="s">
        <v>5009</v>
      </c>
      <c r="B68" s="662" t="s">
        <v>5010</v>
      </c>
      <c r="C68" s="662" t="s">
        <v>5011</v>
      </c>
      <c r="D68" s="662" t="s">
        <v>5011</v>
      </c>
      <c r="E68" s="1198">
        <v>300900</v>
      </c>
      <c r="F68" s="1198">
        <v>260000</v>
      </c>
      <c r="G68" s="2184">
        <v>212000</v>
      </c>
      <c r="H68" s="1198">
        <v>219000</v>
      </c>
      <c r="I68" s="1198">
        <v>225000</v>
      </c>
      <c r="J68" s="29">
        <v>232000</v>
      </c>
      <c r="K68" s="1198">
        <v>239000</v>
      </c>
      <c r="L68" s="1198">
        <v>246000</v>
      </c>
      <c r="M68" s="1198">
        <v>253000</v>
      </c>
      <c r="N68" s="1198">
        <v>261000</v>
      </c>
      <c r="O68" s="1198">
        <f>ROUND((N68*Assumptions!P$6+N68),-3)</f>
        <v>268000</v>
      </c>
      <c r="P68" s="1198">
        <f>ROUND((O68*Assumptions!Q$6+O68),-3)</f>
        <v>275000</v>
      </c>
      <c r="Q68" s="1191">
        <f>ROUND((P68*Assumptions!R$6+P68),-3)</f>
        <v>282000</v>
      </c>
      <c r="R68" s="1287"/>
      <c r="S68" s="1198"/>
      <c r="T68" s="1198"/>
      <c r="U68" s="1288">
        <f>$E68-R68-S68-T68</f>
        <v>300900</v>
      </c>
      <c r="V68" s="1287"/>
      <c r="W68" s="1198"/>
      <c r="X68" s="1191"/>
      <c r="Y68" s="437">
        <f t="shared" si="65"/>
        <v>260000</v>
      </c>
      <c r="Z68" s="1287"/>
      <c r="AA68" s="1198"/>
      <c r="AB68" s="1191"/>
      <c r="AC68" s="1299">
        <f>$G68-Z68-AA68-AB68</f>
        <v>212000</v>
      </c>
      <c r="AD68" s="1287"/>
      <c r="AE68" s="1198"/>
      <c r="AF68" s="1198"/>
      <c r="AG68" s="1299">
        <f>$H68-AD68-AE68-AF68</f>
        <v>219000</v>
      </c>
      <c r="AH68" s="1287"/>
      <c r="AI68" s="1198"/>
      <c r="AJ68" s="1191"/>
      <c r="AK68" s="1299">
        <f>$I68-AH68-AI68-AJ68</f>
        <v>225000</v>
      </c>
      <c r="AL68" s="1191"/>
      <c r="AM68" s="1198"/>
      <c r="AN68" s="1191"/>
      <c r="AO68" s="1302">
        <f>$J68-AL68-AM68-AN68</f>
        <v>232000</v>
      </c>
      <c r="AP68" s="1191"/>
      <c r="AQ68" s="1198"/>
      <c r="AR68" s="1191"/>
      <c r="AS68" s="1299">
        <f>$K68-AP68-AQ68-AR68</f>
        <v>239000</v>
      </c>
      <c r="AT68" s="1287"/>
      <c r="AU68" s="1198"/>
      <c r="AV68" s="1191"/>
      <c r="AW68" s="1299">
        <f>$L68-AT68-AU68-AV68</f>
        <v>246000</v>
      </c>
      <c r="AX68" s="1287"/>
      <c r="AY68" s="1198"/>
      <c r="AZ68" s="1191"/>
      <c r="BA68" s="1299">
        <f>$M68-AX68-AY68-AZ68</f>
        <v>253000</v>
      </c>
      <c r="BB68" s="1287"/>
      <c r="BC68" s="1198"/>
      <c r="BD68" s="1191"/>
      <c r="BE68" s="1299">
        <f>$N68-BB68-BC68-BD68</f>
        <v>261000</v>
      </c>
      <c r="BF68" s="1287"/>
      <c r="BG68" s="1198"/>
      <c r="BH68" s="1191"/>
      <c r="BI68" s="437">
        <f t="shared" ref="BI68:BI70" si="370">$O68-BF68-BG68-BH68</f>
        <v>268000</v>
      </c>
      <c r="BJ68" s="1287"/>
      <c r="BK68" s="1198"/>
      <c r="BL68" s="1191"/>
      <c r="BM68" s="1131">
        <f t="shared" ref="BM68:BM70" si="371">$P68-BJ68-BK68-BL68</f>
        <v>275000</v>
      </c>
      <c r="BN68" s="1287"/>
      <c r="BO68" s="1198"/>
      <c r="BP68" s="1191"/>
      <c r="BQ68" s="1131">
        <f t="shared" ref="BQ68:BQ71" si="372">$Q68-BN68-BO68-BP68</f>
        <v>282000</v>
      </c>
      <c r="BR68" s="1301"/>
      <c r="BS68" s="833">
        <v>0</v>
      </c>
      <c r="BT68" s="833">
        <f t="shared" ref="BT68" si="373">BS68</f>
        <v>0</v>
      </c>
      <c r="BU68" s="833">
        <f t="shared" ref="BU68" si="374">BT68</f>
        <v>0</v>
      </c>
      <c r="BV68" s="833">
        <f t="shared" ref="BV68" si="375">BU68</f>
        <v>0</v>
      </c>
      <c r="BW68" s="833">
        <f t="shared" ref="BW68" si="376">BV68</f>
        <v>0</v>
      </c>
      <c r="BX68" s="833">
        <f t="shared" ref="BX68" si="377">BW68</f>
        <v>0</v>
      </c>
      <c r="BY68" s="833">
        <f t="shared" ref="BY68" si="378">BX68</f>
        <v>0</v>
      </c>
      <c r="BZ68" s="833">
        <f t="shared" ref="BZ68" si="379">BY68</f>
        <v>0</v>
      </c>
      <c r="CA68" s="833">
        <f t="shared" ref="CA68" si="380">BZ68</f>
        <v>0</v>
      </c>
      <c r="CB68" s="833">
        <f t="shared" ref="CB68:CE68" si="381">CA68</f>
        <v>0</v>
      </c>
      <c r="CC68" s="833">
        <f t="shared" si="381"/>
        <v>0</v>
      </c>
      <c r="CD68" s="833">
        <f t="shared" si="381"/>
        <v>0</v>
      </c>
      <c r="CE68" s="833">
        <f t="shared" si="381"/>
        <v>0</v>
      </c>
      <c r="CF68" s="833"/>
      <c r="CG68" s="46">
        <f t="shared" ref="CG68:CS68" si="382">ROUND(BS68*E68,-3)</f>
        <v>0</v>
      </c>
      <c r="CH68" s="46">
        <f t="shared" si="382"/>
        <v>0</v>
      </c>
      <c r="CI68" s="46">
        <f t="shared" si="382"/>
        <v>0</v>
      </c>
      <c r="CJ68" s="46">
        <f t="shared" si="382"/>
        <v>0</v>
      </c>
      <c r="CK68" s="46">
        <f t="shared" si="382"/>
        <v>0</v>
      </c>
      <c r="CL68" s="46">
        <f t="shared" si="382"/>
        <v>0</v>
      </c>
      <c r="CM68" s="46">
        <f t="shared" si="382"/>
        <v>0</v>
      </c>
      <c r="CN68" s="46">
        <f t="shared" si="382"/>
        <v>0</v>
      </c>
      <c r="CO68" s="46">
        <f t="shared" si="382"/>
        <v>0</v>
      </c>
      <c r="CP68" s="46">
        <f t="shared" si="382"/>
        <v>0</v>
      </c>
      <c r="CQ68" s="46">
        <f t="shared" si="382"/>
        <v>0</v>
      </c>
      <c r="CR68" s="46">
        <f t="shared" si="382"/>
        <v>0</v>
      </c>
      <c r="CS68" s="46">
        <f t="shared" si="382"/>
        <v>0</v>
      </c>
      <c r="CT68" s="1301"/>
      <c r="CU68" s="1301"/>
      <c r="CV68" s="1301"/>
      <c r="CW68" s="1301"/>
      <c r="CX68" s="1301"/>
    </row>
    <row r="69" spans="1:102" s="247" customFormat="1" x14ac:dyDescent="0.2">
      <c r="A69" s="666" t="s">
        <v>5012</v>
      </c>
      <c r="B69" s="662" t="s">
        <v>5010</v>
      </c>
      <c r="C69" s="662" t="s">
        <v>5013</v>
      </c>
      <c r="D69" s="662"/>
      <c r="E69" s="1198"/>
      <c r="F69" s="1198"/>
      <c r="G69" s="2184"/>
      <c r="H69" s="1198"/>
      <c r="I69" s="1198">
        <f>ROUND((H69*Assumptions!J$6+H69),-3)</f>
        <v>0</v>
      </c>
      <c r="J69" s="1198">
        <f>ROUND((I69*Assumptions!K$6+I69),-3)</f>
        <v>0</v>
      </c>
      <c r="K69" s="1198">
        <f>ROUND((J69*Assumptions!L$6+J69),-3)</f>
        <v>0</v>
      </c>
      <c r="L69" s="1198">
        <f>ROUND((K69*Assumptions!M$6+K69),-3)</f>
        <v>0</v>
      </c>
      <c r="M69" s="1198">
        <f>ROUND((L69*Assumptions!N$6+L69),-3)</f>
        <v>0</v>
      </c>
      <c r="N69" s="1198">
        <f>ROUND((M69*Assumptions!O$6+M69),-3)</f>
        <v>0</v>
      </c>
      <c r="O69" s="1198">
        <f>ROUND((N69*Assumptions!P$6+N69),-3)</f>
        <v>0</v>
      </c>
      <c r="P69" s="1198">
        <f>ROUND((O69*Assumptions!Q$6+O69),-3)</f>
        <v>0</v>
      </c>
      <c r="Q69" s="1191">
        <f>ROUND((P69*Assumptions!R$6+P69),-3)</f>
        <v>0</v>
      </c>
      <c r="R69" s="1287"/>
      <c r="S69" s="1198"/>
      <c r="T69" s="1198"/>
      <c r="U69" s="1288">
        <f>$E69-R69-S69-T69</f>
        <v>0</v>
      </c>
      <c r="V69" s="1287"/>
      <c r="W69" s="1198"/>
      <c r="X69" s="1191"/>
      <c r="Y69" s="437">
        <f t="shared" si="65"/>
        <v>0</v>
      </c>
      <c r="Z69" s="1287"/>
      <c r="AA69" s="1198"/>
      <c r="AB69" s="1191"/>
      <c r="AC69" s="1299">
        <f t="shared" ref="AC69:AC70" si="383">$G69-Z69-AA69-AB69</f>
        <v>0</v>
      </c>
      <c r="AD69" s="1287"/>
      <c r="AE69" s="1198"/>
      <c r="AF69" s="1198"/>
      <c r="AG69" s="1299">
        <f t="shared" ref="AG69:AG70" si="384">$H69-AD69-AE69-AF69</f>
        <v>0</v>
      </c>
      <c r="AH69" s="1287"/>
      <c r="AI69" s="1198"/>
      <c r="AJ69" s="1191"/>
      <c r="AK69" s="1299">
        <f t="shared" ref="AK69:AK70" si="385">$I69-AH69-AI69-AJ69</f>
        <v>0</v>
      </c>
      <c r="AL69" s="1191"/>
      <c r="AM69" s="1198"/>
      <c r="AN69" s="1191"/>
      <c r="AO69" s="1302">
        <f t="shared" ref="AO69:AO70" si="386">$J69-AL69-AM69-AN69</f>
        <v>0</v>
      </c>
      <c r="AP69" s="1191"/>
      <c r="AQ69" s="1198"/>
      <c r="AR69" s="1191"/>
      <c r="AS69" s="1299">
        <f t="shared" ref="AS69:AS70" si="387">$K69-AP69-AQ69-AR69</f>
        <v>0</v>
      </c>
      <c r="AT69" s="1287"/>
      <c r="AU69" s="1198"/>
      <c r="AV69" s="1191"/>
      <c r="AW69" s="1299">
        <f t="shared" ref="AW69:AW70" si="388">$L69-AT69-AU69-AV69</f>
        <v>0</v>
      </c>
      <c r="AX69" s="1287"/>
      <c r="AY69" s="1198"/>
      <c r="AZ69" s="1191"/>
      <c r="BA69" s="1299">
        <f t="shared" ref="BA69:BA70" si="389">$M69-AX69-AY69-AZ69</f>
        <v>0</v>
      </c>
      <c r="BB69" s="1287"/>
      <c r="BC69" s="1198"/>
      <c r="BD69" s="1191"/>
      <c r="BE69" s="1299">
        <f t="shared" ref="BE69:BE70" si="390">$N69-BB69-BC69-BD69</f>
        <v>0</v>
      </c>
      <c r="BF69" s="1287"/>
      <c r="BG69" s="1198"/>
      <c r="BH69" s="1191"/>
      <c r="BI69" s="437">
        <f t="shared" si="370"/>
        <v>0</v>
      </c>
      <c r="BJ69" s="1287"/>
      <c r="BK69" s="1198"/>
      <c r="BL69" s="1191"/>
      <c r="BM69" s="1131">
        <f t="shared" si="371"/>
        <v>0</v>
      </c>
      <c r="BN69" s="1287"/>
      <c r="BO69" s="1198"/>
      <c r="BP69" s="1191"/>
      <c r="BQ69" s="1131">
        <f t="shared" si="372"/>
        <v>0</v>
      </c>
      <c r="BR69" s="1301"/>
      <c r="BS69" s="833">
        <v>0</v>
      </c>
      <c r="BT69" s="833">
        <f t="shared" ref="BT69" si="391">BS69</f>
        <v>0</v>
      </c>
      <c r="BU69" s="833">
        <f t="shared" ref="BU69" si="392">BT69</f>
        <v>0</v>
      </c>
      <c r="BV69" s="833">
        <f t="shared" ref="BV69" si="393">BU69</f>
        <v>0</v>
      </c>
      <c r="BW69" s="833">
        <f t="shared" ref="BW69" si="394">BV69</f>
        <v>0</v>
      </c>
      <c r="BX69" s="833">
        <f t="shared" ref="BX69" si="395">BW69</f>
        <v>0</v>
      </c>
      <c r="BY69" s="833">
        <f t="shared" ref="BY69" si="396">BX69</f>
        <v>0</v>
      </c>
      <c r="BZ69" s="833">
        <f t="shared" ref="BZ69" si="397">BY69</f>
        <v>0</v>
      </c>
      <c r="CA69" s="833">
        <f t="shared" ref="CA69" si="398">BZ69</f>
        <v>0</v>
      </c>
      <c r="CB69" s="833">
        <f t="shared" ref="CB69:CE69" si="399">CA69</f>
        <v>0</v>
      </c>
      <c r="CC69" s="833">
        <f t="shared" si="399"/>
        <v>0</v>
      </c>
      <c r="CD69" s="833">
        <f t="shared" si="399"/>
        <v>0</v>
      </c>
      <c r="CE69" s="833">
        <f t="shared" si="399"/>
        <v>0</v>
      </c>
      <c r="CF69" s="833"/>
      <c r="CG69" s="46"/>
      <c r="CH69" s="46"/>
      <c r="CI69" s="46"/>
      <c r="CJ69" s="46"/>
      <c r="CK69" s="46"/>
      <c r="CL69" s="46"/>
      <c r="CM69" s="46"/>
      <c r="CN69" s="46"/>
      <c r="CO69" s="46"/>
      <c r="CP69" s="46"/>
      <c r="CQ69" s="46"/>
      <c r="CR69" s="46"/>
      <c r="CS69" s="46"/>
      <c r="CT69" s="1301"/>
      <c r="CU69" s="1301"/>
      <c r="CV69" s="1301"/>
      <c r="CW69" s="1301"/>
      <c r="CX69" s="1301"/>
    </row>
    <row r="70" spans="1:102" s="247" customFormat="1" x14ac:dyDescent="0.2">
      <c r="A70" s="666" t="s">
        <v>4586</v>
      </c>
      <c r="B70" s="662" t="s">
        <v>5014</v>
      </c>
      <c r="C70" s="662" t="s">
        <v>5015</v>
      </c>
      <c r="D70" s="662" t="s">
        <v>5015</v>
      </c>
      <c r="E70" s="1198">
        <v>46400</v>
      </c>
      <c r="F70" s="1198">
        <v>1800</v>
      </c>
      <c r="G70" s="2184">
        <v>57000</v>
      </c>
      <c r="H70" s="1198">
        <v>61000</v>
      </c>
      <c r="I70" s="1198">
        <v>65000</v>
      </c>
      <c r="J70" s="1198">
        <v>70000</v>
      </c>
      <c r="K70" s="1198">
        <v>74000</v>
      </c>
      <c r="L70" s="1198">
        <v>79000</v>
      </c>
      <c r="M70" s="1198">
        <v>84000</v>
      </c>
      <c r="N70" s="1198">
        <v>89000</v>
      </c>
      <c r="O70" s="1198">
        <f>ROUND((N70*Assumptions!P$6+N70),-3)</f>
        <v>91000</v>
      </c>
      <c r="P70" s="1198">
        <f>ROUND((O70*Assumptions!Q$6+O70),-3)</f>
        <v>93000</v>
      </c>
      <c r="Q70" s="1191">
        <f>ROUND((P70*Assumptions!R$6+P70),-3)</f>
        <v>95000</v>
      </c>
      <c r="R70" s="1287"/>
      <c r="S70" s="1198"/>
      <c r="T70" s="1198"/>
      <c r="U70" s="1288">
        <f>$E70-R70-S70-T70</f>
        <v>46400</v>
      </c>
      <c r="V70" s="1287"/>
      <c r="W70" s="1198"/>
      <c r="X70" s="1191"/>
      <c r="Y70" s="437">
        <f t="shared" si="65"/>
        <v>1800</v>
      </c>
      <c r="Z70" s="1287"/>
      <c r="AA70" s="1198"/>
      <c r="AB70" s="1191"/>
      <c r="AC70" s="1299">
        <f t="shared" si="383"/>
        <v>57000</v>
      </c>
      <c r="AD70" s="1287"/>
      <c r="AE70" s="1198"/>
      <c r="AF70" s="1198"/>
      <c r="AG70" s="1299">
        <f t="shared" si="384"/>
        <v>61000</v>
      </c>
      <c r="AH70" s="1287"/>
      <c r="AI70" s="1198"/>
      <c r="AJ70" s="1191"/>
      <c r="AK70" s="1299">
        <f t="shared" si="385"/>
        <v>65000</v>
      </c>
      <c r="AL70" s="1191"/>
      <c r="AM70" s="1198"/>
      <c r="AN70" s="1191"/>
      <c r="AO70" s="1302">
        <f t="shared" si="386"/>
        <v>70000</v>
      </c>
      <c r="AP70" s="1191"/>
      <c r="AQ70" s="1198"/>
      <c r="AR70" s="1191"/>
      <c r="AS70" s="1299">
        <f t="shared" si="387"/>
        <v>74000</v>
      </c>
      <c r="AT70" s="1287"/>
      <c r="AU70" s="1198"/>
      <c r="AV70" s="1191"/>
      <c r="AW70" s="1299">
        <f t="shared" si="388"/>
        <v>79000</v>
      </c>
      <c r="AX70" s="1287"/>
      <c r="AY70" s="1198"/>
      <c r="AZ70" s="1191"/>
      <c r="BA70" s="1299">
        <f t="shared" si="389"/>
        <v>84000</v>
      </c>
      <c r="BB70" s="1287"/>
      <c r="BC70" s="1198"/>
      <c r="BD70" s="1191"/>
      <c r="BE70" s="1299">
        <f t="shared" si="390"/>
        <v>89000</v>
      </c>
      <c r="BF70" s="1287"/>
      <c r="BG70" s="1198"/>
      <c r="BH70" s="1191"/>
      <c r="BI70" s="437">
        <f t="shared" si="370"/>
        <v>91000</v>
      </c>
      <c r="BJ70" s="1287"/>
      <c r="BK70" s="1198"/>
      <c r="BL70" s="1191"/>
      <c r="BM70" s="1131">
        <f t="shared" si="371"/>
        <v>93000</v>
      </c>
      <c r="BN70" s="1287"/>
      <c r="BO70" s="1198"/>
      <c r="BP70" s="1191"/>
      <c r="BQ70" s="1131">
        <f t="shared" si="372"/>
        <v>95000</v>
      </c>
      <c r="BR70" s="1301"/>
      <c r="BS70" s="833">
        <v>1</v>
      </c>
      <c r="BT70" s="833">
        <f t="shared" ref="BT70" si="400">BS70</f>
        <v>1</v>
      </c>
      <c r="BU70" s="833">
        <f t="shared" ref="BU70" si="401">BT70</f>
        <v>1</v>
      </c>
      <c r="BV70" s="833">
        <f t="shared" ref="BV70" si="402">BU70</f>
        <v>1</v>
      </c>
      <c r="BW70" s="833">
        <f t="shared" ref="BW70" si="403">BV70</f>
        <v>1</v>
      </c>
      <c r="BX70" s="833">
        <f t="shared" ref="BX70" si="404">BW70</f>
        <v>1</v>
      </c>
      <c r="BY70" s="833">
        <f t="shared" ref="BY70" si="405">BX70</f>
        <v>1</v>
      </c>
      <c r="BZ70" s="833">
        <f t="shared" ref="BZ70" si="406">BY70</f>
        <v>1</v>
      </c>
      <c r="CA70" s="833">
        <f t="shared" ref="CA70" si="407">BZ70</f>
        <v>1</v>
      </c>
      <c r="CB70" s="833">
        <f t="shared" ref="CB70:CE70" si="408">CA70</f>
        <v>1</v>
      </c>
      <c r="CC70" s="833">
        <f t="shared" si="408"/>
        <v>1</v>
      </c>
      <c r="CD70" s="833">
        <f t="shared" si="408"/>
        <v>1</v>
      </c>
      <c r="CE70" s="833">
        <f t="shared" si="408"/>
        <v>1</v>
      </c>
      <c r="CF70" s="833"/>
      <c r="CG70" s="46">
        <f t="shared" ref="CG70:CS70" si="409">ROUND(BS70*E70,-3)</f>
        <v>46000</v>
      </c>
      <c r="CH70" s="46">
        <f t="shared" si="409"/>
        <v>2000</v>
      </c>
      <c r="CI70" s="46">
        <f t="shared" si="409"/>
        <v>57000</v>
      </c>
      <c r="CJ70" s="46">
        <f t="shared" si="409"/>
        <v>61000</v>
      </c>
      <c r="CK70" s="46">
        <f t="shared" si="409"/>
        <v>65000</v>
      </c>
      <c r="CL70" s="46">
        <f t="shared" si="409"/>
        <v>70000</v>
      </c>
      <c r="CM70" s="46">
        <f t="shared" si="409"/>
        <v>74000</v>
      </c>
      <c r="CN70" s="46">
        <f t="shared" si="409"/>
        <v>79000</v>
      </c>
      <c r="CO70" s="46">
        <f t="shared" si="409"/>
        <v>84000</v>
      </c>
      <c r="CP70" s="46">
        <f t="shared" si="409"/>
        <v>89000</v>
      </c>
      <c r="CQ70" s="46">
        <f t="shared" si="409"/>
        <v>91000</v>
      </c>
      <c r="CR70" s="46">
        <f t="shared" si="409"/>
        <v>93000</v>
      </c>
      <c r="CS70" s="46">
        <f t="shared" si="409"/>
        <v>95000</v>
      </c>
      <c r="CT70" s="1301"/>
      <c r="CU70" s="1301"/>
      <c r="CV70" s="1301"/>
      <c r="CW70" s="1301"/>
      <c r="CX70" s="1301"/>
    </row>
    <row r="71" spans="1:102" s="247" customFormat="1" x14ac:dyDescent="0.2">
      <c r="A71" s="666" t="s">
        <v>6984</v>
      </c>
      <c r="B71" s="662" t="s">
        <v>7192</v>
      </c>
      <c r="C71" s="662" t="s">
        <v>7193</v>
      </c>
      <c r="D71" s="662" t="s">
        <v>7193</v>
      </c>
      <c r="E71" s="1198"/>
      <c r="F71" s="1191"/>
      <c r="G71" s="2184">
        <v>30000</v>
      </c>
      <c r="H71" s="1198"/>
      <c r="I71" s="1191"/>
      <c r="J71" s="1191"/>
      <c r="K71" s="1191"/>
      <c r="L71" s="1191"/>
      <c r="M71" s="1198"/>
      <c r="N71" s="1198"/>
      <c r="O71" s="1198"/>
      <c r="P71" s="1198"/>
      <c r="Q71" s="1192"/>
      <c r="R71" s="1287"/>
      <c r="S71" s="1198"/>
      <c r="T71" s="1198"/>
      <c r="U71" s="1288"/>
      <c r="V71" s="1287"/>
      <c r="W71" s="1198"/>
      <c r="X71" s="1191"/>
      <c r="Y71" s="437">
        <f t="shared" si="65"/>
        <v>0</v>
      </c>
      <c r="Z71" s="1287"/>
      <c r="AA71" s="1198"/>
      <c r="AB71" s="1191"/>
      <c r="AC71" s="1299">
        <f t="shared" ref="AC71" si="410">$G71-Z71-AA71-AB71</f>
        <v>30000</v>
      </c>
      <c r="AD71" s="1287"/>
      <c r="AE71" s="1198"/>
      <c r="AF71" s="1198"/>
      <c r="AG71" s="1299">
        <f t="shared" ref="AG71" si="411">$H71-AD71-AE71-AF71</f>
        <v>0</v>
      </c>
      <c r="AH71" s="1287"/>
      <c r="AI71" s="1198"/>
      <c r="AJ71" s="1191"/>
      <c r="AK71" s="1299">
        <f t="shared" ref="AK71" si="412">$I71-AH71-AI71-AJ71</f>
        <v>0</v>
      </c>
      <c r="AL71" s="1191"/>
      <c r="AM71" s="1198"/>
      <c r="AN71" s="1191"/>
      <c r="AO71" s="1302">
        <f t="shared" ref="AO71" si="413">$J71-AL71-AM71-AN71</f>
        <v>0</v>
      </c>
      <c r="AP71" s="1191"/>
      <c r="AQ71" s="1198"/>
      <c r="AR71" s="1191"/>
      <c r="AS71" s="1299">
        <f t="shared" ref="AS71" si="414">$K71-AP71-AQ71-AR71</f>
        <v>0</v>
      </c>
      <c r="AT71" s="1287"/>
      <c r="AU71" s="1198"/>
      <c r="AV71" s="1191"/>
      <c r="AW71" s="1299">
        <f t="shared" ref="AW71" si="415">$L71-AT71-AU71-AV71</f>
        <v>0</v>
      </c>
      <c r="AX71" s="1287"/>
      <c r="AY71" s="1198"/>
      <c r="AZ71" s="1191"/>
      <c r="BA71" s="1299">
        <f t="shared" ref="BA71" si="416">$M71-AX71-AY71-AZ71</f>
        <v>0</v>
      </c>
      <c r="BB71" s="1287"/>
      <c r="BC71" s="1198"/>
      <c r="BD71" s="1191"/>
      <c r="BE71" s="1299">
        <f t="shared" ref="BE71" si="417">$N71-BB71-BC71-BD71</f>
        <v>0</v>
      </c>
      <c r="BF71" s="1287"/>
      <c r="BG71" s="1198"/>
      <c r="BH71" s="1191"/>
      <c r="BI71" s="437">
        <f t="shared" ref="BI71" si="418">$O71-BF71-BG71-BH71</f>
        <v>0</v>
      </c>
      <c r="BJ71" s="1287"/>
      <c r="BK71" s="1198"/>
      <c r="BL71" s="1191"/>
      <c r="BM71" s="1131">
        <f t="shared" ref="BM71" si="419">$P71-BJ71-BK71-BL71</f>
        <v>0</v>
      </c>
      <c r="BN71" s="1287"/>
      <c r="BO71" s="1198"/>
      <c r="BP71" s="1191"/>
      <c r="BQ71" s="1131">
        <f t="shared" si="372"/>
        <v>0</v>
      </c>
      <c r="BR71" s="1301"/>
      <c r="BS71" s="833">
        <v>1</v>
      </c>
      <c r="BT71" s="833">
        <f t="shared" ref="BT71" si="420">BS71</f>
        <v>1</v>
      </c>
      <c r="BU71" s="833">
        <f t="shared" ref="BU71" si="421">BT71</f>
        <v>1</v>
      </c>
      <c r="BV71" s="833">
        <f t="shared" ref="BV71" si="422">BU71</f>
        <v>1</v>
      </c>
      <c r="BW71" s="833">
        <f t="shared" ref="BW71" si="423">BV71</f>
        <v>1</v>
      </c>
      <c r="BX71" s="833">
        <f t="shared" ref="BX71" si="424">BW71</f>
        <v>1</v>
      </c>
      <c r="BY71" s="833">
        <f t="shared" ref="BY71" si="425">BX71</f>
        <v>1</v>
      </c>
      <c r="BZ71" s="833">
        <f t="shared" ref="BZ71" si="426">BY71</f>
        <v>1</v>
      </c>
      <c r="CA71" s="833">
        <f t="shared" ref="CA71" si="427">BZ71</f>
        <v>1</v>
      </c>
      <c r="CB71" s="833">
        <f t="shared" ref="CB71" si="428">CA71</f>
        <v>1</v>
      </c>
      <c r="CC71" s="833">
        <f t="shared" ref="CC71" si="429">CB71</f>
        <v>1</v>
      </c>
      <c r="CD71" s="833">
        <f t="shared" ref="CD71:CE71" si="430">CC71</f>
        <v>1</v>
      </c>
      <c r="CE71" s="833">
        <f t="shared" si="430"/>
        <v>1</v>
      </c>
      <c r="CF71" s="833"/>
      <c r="CG71" s="46">
        <f t="shared" ref="CG71" si="431">ROUND(BS71*E71,-3)</f>
        <v>0</v>
      </c>
      <c r="CH71" s="46">
        <f t="shared" ref="CH71" si="432">ROUND(BT71*F71,-3)</f>
        <v>0</v>
      </c>
      <c r="CI71" s="46">
        <f t="shared" ref="CI71" si="433">ROUND(BU71*G71,-3)</f>
        <v>30000</v>
      </c>
      <c r="CJ71" s="46">
        <f t="shared" ref="CJ71" si="434">ROUND(BV71*H71,-3)</f>
        <v>0</v>
      </c>
      <c r="CK71" s="46">
        <f t="shared" ref="CK71" si="435">ROUND(BW71*I71,-3)</f>
        <v>0</v>
      </c>
      <c r="CL71" s="46">
        <f t="shared" ref="CL71" si="436">ROUND(BX71*J71,-3)</f>
        <v>0</v>
      </c>
      <c r="CM71" s="46">
        <f t="shared" ref="CM71" si="437">ROUND(BY71*K71,-3)</f>
        <v>0</v>
      </c>
      <c r="CN71" s="46">
        <f t="shared" ref="CN71" si="438">ROUND(BZ71*L71,-3)</f>
        <v>0</v>
      </c>
      <c r="CO71" s="46">
        <f t="shared" ref="CO71" si="439">ROUND(CA71*M71,-3)</f>
        <v>0</v>
      </c>
      <c r="CP71" s="46">
        <f t="shared" ref="CP71" si="440">ROUND(CB71*N71,-3)</f>
        <v>0</v>
      </c>
      <c r="CQ71" s="46">
        <f t="shared" ref="CQ71" si="441">ROUND(CC71*O71,-3)</f>
        <v>0</v>
      </c>
      <c r="CR71" s="46">
        <f t="shared" ref="CR71:CS71" si="442">ROUND(CD71*P71,-3)</f>
        <v>0</v>
      </c>
      <c r="CS71" s="46">
        <f t="shared" si="442"/>
        <v>0</v>
      </c>
      <c r="CT71" s="1301"/>
      <c r="CU71" s="1301"/>
      <c r="CV71" s="1301"/>
      <c r="CW71" s="1301"/>
      <c r="CX71" s="1301"/>
    </row>
    <row r="72" spans="1:102" s="34" customFormat="1" x14ac:dyDescent="0.2">
      <c r="A72" s="1304"/>
      <c r="B72" s="89"/>
      <c r="C72" s="89"/>
      <c r="D72" s="89"/>
      <c r="E72" s="9"/>
      <c r="F72" s="89"/>
      <c r="G72" s="2165"/>
      <c r="H72" s="9"/>
      <c r="I72" s="89"/>
      <c r="J72" s="89"/>
      <c r="K72" s="89"/>
      <c r="L72" s="89"/>
      <c r="M72" s="9"/>
      <c r="N72" s="9"/>
      <c r="O72" s="9"/>
      <c r="P72" s="9"/>
      <c r="Q72" s="49"/>
      <c r="R72" s="133"/>
      <c r="S72" s="322"/>
      <c r="T72" s="9"/>
      <c r="U72" s="49"/>
      <c r="V72" s="1305"/>
      <c r="W72" s="322"/>
      <c r="X72" s="322"/>
      <c r="Y72" s="49"/>
      <c r="Z72" s="133"/>
      <c r="AA72" s="9"/>
      <c r="AB72" s="9"/>
      <c r="AC72" s="49"/>
      <c r="AD72" s="1305"/>
      <c r="AE72" s="322"/>
      <c r="AF72" s="322"/>
      <c r="AG72" s="49"/>
      <c r="AH72" s="133"/>
      <c r="AI72" s="456"/>
      <c r="AJ72" s="89"/>
      <c r="AK72" s="49"/>
      <c r="AL72" s="456"/>
      <c r="AM72" s="456"/>
      <c r="AN72" s="456"/>
      <c r="AO72" s="61"/>
      <c r="AP72" s="456"/>
      <c r="AQ72" s="89"/>
      <c r="AR72" s="456"/>
      <c r="AS72" s="49"/>
      <c r="AT72" s="1305"/>
      <c r="AU72" s="456"/>
      <c r="AV72" s="89"/>
      <c r="AW72" s="49"/>
      <c r="AX72" s="1305"/>
      <c r="AY72" s="456"/>
      <c r="AZ72" s="456"/>
      <c r="BA72" s="49"/>
      <c r="BB72" s="1305"/>
      <c r="BC72" s="456"/>
      <c r="BD72" s="456"/>
      <c r="BE72" s="49"/>
      <c r="BF72" s="1305"/>
      <c r="BG72" s="456"/>
      <c r="BH72" s="456"/>
      <c r="BI72" s="49"/>
      <c r="BJ72" s="1305"/>
      <c r="BK72" s="456"/>
      <c r="BL72" s="456"/>
      <c r="BM72" s="61"/>
      <c r="BN72" s="1305"/>
      <c r="BO72" s="456"/>
      <c r="BP72" s="456"/>
      <c r="BQ72" s="61"/>
      <c r="BR72" s="214"/>
      <c r="BS72" s="379"/>
      <c r="BT72" s="379"/>
      <c r="BU72" s="379"/>
      <c r="BV72" s="379"/>
      <c r="BW72" s="379"/>
      <c r="BX72" s="379"/>
      <c r="BY72" s="379"/>
      <c r="BZ72" s="379"/>
      <c r="CA72" s="379"/>
      <c r="CB72" s="379"/>
      <c r="CC72" s="379"/>
      <c r="CD72" s="379"/>
      <c r="CE72" s="379"/>
      <c r="CF72" s="379"/>
      <c r="CT72" s="214"/>
      <c r="CU72" s="214"/>
      <c r="CV72" s="214"/>
      <c r="CW72" s="214"/>
      <c r="CX72" s="214"/>
    </row>
    <row r="73" spans="1:102" s="34" customFormat="1" x14ac:dyDescent="0.2">
      <c r="A73" s="1306" t="s">
        <v>2563</v>
      </c>
      <c r="B73" s="89"/>
      <c r="C73" s="89"/>
      <c r="D73" s="89"/>
      <c r="E73" s="211">
        <f t="shared" ref="E73:AL73" si="443">SUBTOTAL(9,E6:E72)</f>
        <v>1427000</v>
      </c>
      <c r="F73" s="211">
        <f t="shared" si="443"/>
        <v>1131500</v>
      </c>
      <c r="G73" s="2185">
        <f>SUBTOTAL(9,G6:G72)</f>
        <v>4000700</v>
      </c>
      <c r="H73" s="211">
        <f t="shared" si="443"/>
        <v>5018000</v>
      </c>
      <c r="I73" s="211">
        <f t="shared" si="443"/>
        <v>3400000</v>
      </c>
      <c r="J73" s="211">
        <f t="shared" si="443"/>
        <v>1990100</v>
      </c>
      <c r="K73" s="211">
        <f t="shared" si="443"/>
        <v>5836000</v>
      </c>
      <c r="L73" s="211">
        <f t="shared" si="443"/>
        <v>4662000</v>
      </c>
      <c r="M73" s="1193">
        <f t="shared" si="443"/>
        <v>4630800</v>
      </c>
      <c r="N73" s="1193">
        <f t="shared" si="443"/>
        <v>4377000</v>
      </c>
      <c r="O73" s="1193">
        <f t="shared" si="443"/>
        <v>1791600</v>
      </c>
      <c r="P73" s="1193">
        <f t="shared" ref="P73:Q73" si="444">SUBTOTAL(9,P6:P72)</f>
        <v>1751000</v>
      </c>
      <c r="Q73" s="1196">
        <f t="shared" si="444"/>
        <v>1794000</v>
      </c>
      <c r="R73" s="1195">
        <f t="shared" si="443"/>
        <v>0</v>
      </c>
      <c r="S73" s="1196">
        <f t="shared" si="443"/>
        <v>186400</v>
      </c>
      <c r="T73" s="1193">
        <f t="shared" si="443"/>
        <v>0</v>
      </c>
      <c r="U73" s="1194">
        <f t="shared" si="443"/>
        <v>1240600</v>
      </c>
      <c r="V73" s="1195">
        <f t="shared" si="443"/>
        <v>0</v>
      </c>
      <c r="W73" s="1193">
        <f t="shared" si="443"/>
        <v>409300</v>
      </c>
      <c r="X73" s="1193">
        <f t="shared" si="443"/>
        <v>0</v>
      </c>
      <c r="Y73" s="1197">
        <f t="shared" si="443"/>
        <v>722200</v>
      </c>
      <c r="Z73" s="1195">
        <f t="shared" si="443"/>
        <v>0</v>
      </c>
      <c r="AA73" s="1193">
        <f t="shared" si="443"/>
        <v>681000</v>
      </c>
      <c r="AB73" s="1193">
        <f t="shared" si="443"/>
        <v>0</v>
      </c>
      <c r="AC73" s="1194">
        <f t="shared" si="443"/>
        <v>3319700</v>
      </c>
      <c r="AD73" s="1195">
        <f t="shared" si="443"/>
        <v>0</v>
      </c>
      <c r="AE73" s="1193">
        <f t="shared" si="443"/>
        <v>3169000</v>
      </c>
      <c r="AF73" s="1193">
        <f t="shared" si="443"/>
        <v>0</v>
      </c>
      <c r="AG73" s="1197">
        <f t="shared" si="443"/>
        <v>1849000</v>
      </c>
      <c r="AH73" s="1195">
        <f t="shared" si="443"/>
        <v>0</v>
      </c>
      <c r="AI73" s="1196">
        <f t="shared" si="443"/>
        <v>1119000</v>
      </c>
      <c r="AJ73" s="1193">
        <f t="shared" si="443"/>
        <v>0</v>
      </c>
      <c r="AK73" s="1194">
        <f t="shared" si="443"/>
        <v>2281000</v>
      </c>
      <c r="AL73" s="1196">
        <f t="shared" si="443"/>
        <v>0</v>
      </c>
      <c r="AM73" s="1193">
        <f t="shared" ref="AM73:BI73" si="445">SUBTOTAL(9,AM6:AM72)</f>
        <v>238000</v>
      </c>
      <c r="AN73" s="1193">
        <f t="shared" si="445"/>
        <v>0</v>
      </c>
      <c r="AO73" s="1587">
        <f t="shared" si="445"/>
        <v>1752100</v>
      </c>
      <c r="AP73" s="1196">
        <f t="shared" si="445"/>
        <v>0</v>
      </c>
      <c r="AQ73" s="1193">
        <f t="shared" si="445"/>
        <v>1663000</v>
      </c>
      <c r="AR73" s="1196">
        <f t="shared" si="445"/>
        <v>0</v>
      </c>
      <c r="AS73" s="1197">
        <f t="shared" si="445"/>
        <v>4173000</v>
      </c>
      <c r="AT73" s="1195">
        <f t="shared" si="445"/>
        <v>0</v>
      </c>
      <c r="AU73" s="1193">
        <f t="shared" si="445"/>
        <v>3211000</v>
      </c>
      <c r="AV73" s="1193">
        <f t="shared" si="445"/>
        <v>0</v>
      </c>
      <c r="AW73" s="1194">
        <f t="shared" si="445"/>
        <v>1451000</v>
      </c>
      <c r="AX73" s="1195">
        <f t="shared" si="445"/>
        <v>0</v>
      </c>
      <c r="AY73" s="1193">
        <f t="shared" si="445"/>
        <v>1033500</v>
      </c>
      <c r="AZ73" s="1193">
        <f t="shared" si="445"/>
        <v>0</v>
      </c>
      <c r="BA73" s="1197">
        <f t="shared" si="445"/>
        <v>3597300</v>
      </c>
      <c r="BB73" s="1195">
        <f t="shared" si="445"/>
        <v>0</v>
      </c>
      <c r="BC73" s="1193">
        <f t="shared" si="445"/>
        <v>1109300</v>
      </c>
      <c r="BD73" s="1193">
        <f t="shared" si="445"/>
        <v>0</v>
      </c>
      <c r="BE73" s="1197">
        <f t="shared" si="445"/>
        <v>3267700</v>
      </c>
      <c r="BF73" s="1195">
        <f t="shared" si="445"/>
        <v>0</v>
      </c>
      <c r="BG73" s="1193">
        <f t="shared" si="445"/>
        <v>0</v>
      </c>
      <c r="BH73" s="1193">
        <f t="shared" si="445"/>
        <v>0</v>
      </c>
      <c r="BI73" s="1197">
        <f t="shared" si="445"/>
        <v>1791600</v>
      </c>
      <c r="BJ73" s="1195">
        <f t="shared" ref="BJ73:BM73" si="446">SUBTOTAL(9,BJ6:BJ72)</f>
        <v>0</v>
      </c>
      <c r="BK73" s="1193">
        <f t="shared" si="446"/>
        <v>0</v>
      </c>
      <c r="BL73" s="1193">
        <f t="shared" si="446"/>
        <v>0</v>
      </c>
      <c r="BM73" s="1587">
        <f t="shared" si="446"/>
        <v>1751000</v>
      </c>
      <c r="BN73" s="1195">
        <f t="shared" ref="BN73:BQ73" si="447">SUBTOTAL(9,BN6:BN72)</f>
        <v>0</v>
      </c>
      <c r="BO73" s="1193">
        <f t="shared" si="447"/>
        <v>0</v>
      </c>
      <c r="BP73" s="1193">
        <f t="shared" si="447"/>
        <v>0</v>
      </c>
      <c r="BQ73" s="1587">
        <f t="shared" si="447"/>
        <v>1794000</v>
      </c>
      <c r="BR73" s="214"/>
      <c r="BS73" s="379"/>
      <c r="BT73" s="379"/>
      <c r="BU73" s="379"/>
      <c r="BV73" s="379"/>
      <c r="BW73" s="379"/>
      <c r="BX73" s="379"/>
      <c r="BY73" s="379"/>
      <c r="BZ73" s="379"/>
      <c r="CA73" s="379"/>
      <c r="CB73" s="379"/>
      <c r="CC73" s="379"/>
      <c r="CD73" s="379"/>
      <c r="CE73" s="379"/>
      <c r="CF73" s="901" t="s">
        <v>4599</v>
      </c>
      <c r="CG73" s="80">
        <f t="shared" ref="CG73:CQ73" si="448">SUM(CG6:CG72)</f>
        <v>962000</v>
      </c>
      <c r="CH73" s="80">
        <f t="shared" si="448"/>
        <v>520000</v>
      </c>
      <c r="CI73" s="80">
        <f t="shared" si="448"/>
        <v>1275000</v>
      </c>
      <c r="CJ73" s="80">
        <f t="shared" si="448"/>
        <v>4020000</v>
      </c>
      <c r="CK73" s="80">
        <f t="shared" si="448"/>
        <v>3115000</v>
      </c>
      <c r="CL73" s="80">
        <f t="shared" si="448"/>
        <v>1605000</v>
      </c>
      <c r="CM73" s="80">
        <f t="shared" si="448"/>
        <v>4507000</v>
      </c>
      <c r="CN73" s="80">
        <f t="shared" si="448"/>
        <v>1166000</v>
      </c>
      <c r="CO73" s="80">
        <f t="shared" si="448"/>
        <v>4170000</v>
      </c>
      <c r="CP73" s="80">
        <f t="shared" si="448"/>
        <v>4098000</v>
      </c>
      <c r="CQ73" s="80">
        <f t="shared" si="448"/>
        <v>1423000</v>
      </c>
      <c r="CR73" s="80">
        <f t="shared" ref="CR73:CS73" si="449">SUM(CR6:CR72)</f>
        <v>1458000</v>
      </c>
      <c r="CS73" s="2226">
        <f t="shared" si="449"/>
        <v>1494000</v>
      </c>
      <c r="CT73" s="214"/>
      <c r="CU73" s="214"/>
      <c r="CV73" s="214"/>
      <c r="CW73" s="214"/>
      <c r="CX73" s="214"/>
    </row>
    <row r="74" spans="1:102" s="34" customFormat="1" ht="13.5" thickBot="1" x14ac:dyDescent="0.25">
      <c r="A74" s="1307"/>
      <c r="B74" s="113"/>
      <c r="C74" s="113"/>
      <c r="D74" s="113"/>
      <c r="E74" s="414"/>
      <c r="F74" s="509"/>
      <c r="G74" s="2193"/>
      <c r="H74" s="414"/>
      <c r="I74" s="509"/>
      <c r="J74" s="509"/>
      <c r="K74" s="509"/>
      <c r="L74" s="509"/>
      <c r="M74" s="23"/>
      <c r="N74" s="23"/>
      <c r="O74" s="23"/>
      <c r="P74" s="23"/>
      <c r="Q74" s="223"/>
      <c r="R74" s="1047"/>
      <c r="S74" s="121"/>
      <c r="T74" s="121"/>
      <c r="U74" s="223"/>
      <c r="V74" s="1047"/>
      <c r="W74" s="121"/>
      <c r="X74" s="121"/>
      <c r="Y74" s="223"/>
      <c r="Z74" s="1047"/>
      <c r="AA74" s="121"/>
      <c r="AB74" s="121"/>
      <c r="AC74" s="223"/>
      <c r="AD74" s="1047"/>
      <c r="AE74" s="121"/>
      <c r="AF74" s="121"/>
      <c r="AG74" s="223"/>
      <c r="AH74" s="1047"/>
      <c r="AI74" s="121"/>
      <c r="AJ74" s="121"/>
      <c r="AK74" s="223"/>
      <c r="AL74" s="121"/>
      <c r="AM74" s="121"/>
      <c r="AN74" s="121"/>
      <c r="AO74" s="112"/>
      <c r="AP74" s="121"/>
      <c r="AQ74" s="121"/>
      <c r="AR74" s="121"/>
      <c r="AS74" s="223"/>
      <c r="AT74" s="1047"/>
      <c r="AU74" s="121"/>
      <c r="AV74" s="121"/>
      <c r="AW74" s="223"/>
      <c r="AX74" s="1047"/>
      <c r="AY74" s="121"/>
      <c r="AZ74" s="121"/>
      <c r="BA74" s="223"/>
      <c r="BB74" s="1047"/>
      <c r="BC74" s="121"/>
      <c r="BD74" s="121"/>
      <c r="BE74" s="223"/>
      <c r="BF74" s="1047"/>
      <c r="BG74" s="121"/>
      <c r="BH74" s="121"/>
      <c r="BI74" s="223"/>
      <c r="BJ74" s="1047"/>
      <c r="BK74" s="121"/>
      <c r="BL74" s="121"/>
      <c r="BM74" s="112"/>
      <c r="BN74" s="1047"/>
      <c r="BO74" s="121"/>
      <c r="BP74" s="121"/>
      <c r="BQ74" s="112"/>
      <c r="BR74" s="214"/>
      <c r="BS74" s="379"/>
      <c r="BT74" s="379"/>
      <c r="BU74" s="379"/>
      <c r="BV74" s="379"/>
      <c r="BW74" s="379"/>
      <c r="BX74" s="379"/>
      <c r="BY74" s="379"/>
      <c r="BZ74" s="379"/>
      <c r="CA74" s="379"/>
      <c r="CB74" s="379"/>
      <c r="CC74" s="379"/>
      <c r="CD74" s="379"/>
      <c r="CE74" s="379"/>
      <c r="CF74" s="901" t="s">
        <v>4212</v>
      </c>
      <c r="CG74" s="34">
        <f t="shared" ref="CG74:CS74" si="450">E73-CG73</f>
        <v>465000</v>
      </c>
      <c r="CH74" s="34">
        <f t="shared" si="450"/>
        <v>611500</v>
      </c>
      <c r="CI74" s="34">
        <f t="shared" si="450"/>
        <v>2725700</v>
      </c>
      <c r="CJ74" s="34">
        <f t="shared" si="450"/>
        <v>998000</v>
      </c>
      <c r="CK74" s="34">
        <f t="shared" si="450"/>
        <v>285000</v>
      </c>
      <c r="CL74" s="34">
        <f t="shared" si="450"/>
        <v>385100</v>
      </c>
      <c r="CM74" s="34">
        <f t="shared" si="450"/>
        <v>1329000</v>
      </c>
      <c r="CN74" s="34">
        <f t="shared" si="450"/>
        <v>3496000</v>
      </c>
      <c r="CO74" s="34">
        <f t="shared" si="450"/>
        <v>460800</v>
      </c>
      <c r="CP74" s="34">
        <f t="shared" si="450"/>
        <v>279000</v>
      </c>
      <c r="CQ74" s="34">
        <f t="shared" si="450"/>
        <v>368600</v>
      </c>
      <c r="CR74" s="34">
        <f t="shared" si="450"/>
        <v>293000</v>
      </c>
      <c r="CS74" s="34">
        <f t="shared" si="450"/>
        <v>300000</v>
      </c>
      <c r="CT74" s="214"/>
      <c r="CU74" s="214"/>
      <c r="CV74" s="214"/>
      <c r="CW74" s="214"/>
      <c r="CX74" s="214"/>
    </row>
    <row r="75" spans="1:102" s="246" customFormat="1" ht="13.5" thickTop="1" x14ac:dyDescent="0.2">
      <c r="E75" s="214"/>
      <c r="F75" s="214"/>
      <c r="G75" s="2186"/>
      <c r="H75" s="214"/>
      <c r="I75" s="214"/>
      <c r="J75" s="214"/>
      <c r="K75" s="214"/>
      <c r="L75" s="21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214"/>
      <c r="BS75" s="833"/>
      <c r="BT75" s="833"/>
      <c r="BU75" s="833"/>
      <c r="BV75" s="833"/>
      <c r="BW75" s="833"/>
      <c r="BX75" s="833"/>
      <c r="BY75" s="833"/>
      <c r="BZ75" s="833"/>
      <c r="CA75" s="833"/>
      <c r="CB75" s="833"/>
      <c r="CC75" s="833"/>
      <c r="CD75" s="833"/>
      <c r="CE75" s="833"/>
      <c r="CF75" s="833"/>
      <c r="CG75" s="31"/>
      <c r="CH75" s="31"/>
      <c r="CI75" s="31"/>
      <c r="CJ75" s="31"/>
      <c r="CK75" s="31"/>
      <c r="CL75" s="31"/>
      <c r="CM75" s="31"/>
      <c r="CN75" s="31"/>
      <c r="CO75" s="31"/>
      <c r="CP75" s="31"/>
      <c r="CQ75" s="31"/>
      <c r="CR75" s="31"/>
      <c r="CS75" s="31"/>
      <c r="CT75" s="214"/>
      <c r="CU75" s="214"/>
      <c r="CV75" s="214"/>
      <c r="CW75" s="214"/>
    </row>
    <row r="76" spans="1:102" s="246" customFormat="1" x14ac:dyDescent="0.2">
      <c r="E76" s="214"/>
      <c r="F76" s="214"/>
      <c r="G76" s="2186"/>
      <c r="H76" s="214"/>
      <c r="I76" s="214"/>
      <c r="J76" s="214"/>
      <c r="K76" s="214"/>
      <c r="L76" s="21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214"/>
      <c r="BS76" s="833"/>
      <c r="BT76" s="833"/>
      <c r="BU76" s="833"/>
      <c r="BV76" s="833"/>
      <c r="BW76" s="833"/>
      <c r="BX76" s="833"/>
      <c r="BY76" s="833"/>
      <c r="BZ76" s="833"/>
      <c r="CA76" s="833"/>
      <c r="CB76" s="833"/>
      <c r="CC76" s="833"/>
      <c r="CD76" s="833"/>
      <c r="CE76" s="833"/>
      <c r="CF76" s="833"/>
      <c r="CG76" s="31"/>
      <c r="CH76" s="31"/>
      <c r="CI76" s="31"/>
      <c r="CJ76" s="31"/>
      <c r="CK76" s="31"/>
      <c r="CL76" s="31"/>
      <c r="CM76" s="31"/>
      <c r="CN76" s="31"/>
      <c r="CO76" s="31"/>
      <c r="CP76" s="31"/>
      <c r="CQ76" s="31"/>
      <c r="CR76" s="31"/>
      <c r="CS76" s="31"/>
      <c r="CT76" s="214"/>
      <c r="CU76" s="214"/>
      <c r="CV76" s="214"/>
      <c r="CW76" s="214"/>
    </row>
    <row r="77" spans="1:102" s="34" customFormat="1" x14ac:dyDescent="0.2">
      <c r="A77" s="209" t="s">
        <v>1243</v>
      </c>
      <c r="B77" s="209"/>
      <c r="C77" s="209"/>
      <c r="D77" s="209"/>
      <c r="E77" s="93" t="str">
        <f t="shared" ref="E77:O77" si="451">E3</f>
        <v>2015/16</v>
      </c>
      <c r="F77" s="93" t="str">
        <f t="shared" si="451"/>
        <v>2016/17</v>
      </c>
      <c r="G77" s="2187" t="str">
        <f t="shared" si="451"/>
        <v>2017/18</v>
      </c>
      <c r="H77" s="93" t="str">
        <f t="shared" si="451"/>
        <v>2018/19</v>
      </c>
      <c r="I77" s="93" t="str">
        <f t="shared" si="451"/>
        <v>2019/20</v>
      </c>
      <c r="J77" s="93" t="str">
        <f t="shared" si="451"/>
        <v>2020/21</v>
      </c>
      <c r="K77" s="93" t="str">
        <f t="shared" si="451"/>
        <v>2021/22</v>
      </c>
      <c r="L77" s="93" t="str">
        <f t="shared" si="451"/>
        <v>2022/23</v>
      </c>
      <c r="M77" s="93" t="str">
        <f t="shared" si="451"/>
        <v>2023/24</v>
      </c>
      <c r="N77" s="93" t="str">
        <f t="shared" si="451"/>
        <v>2024/25</v>
      </c>
      <c r="O77" s="93" t="str">
        <f t="shared" si="451"/>
        <v>2025/26</v>
      </c>
      <c r="P77" s="93" t="str">
        <f t="shared" ref="P77:Q77" si="452">P3</f>
        <v>2026/27</v>
      </c>
      <c r="Q77" s="93" t="str">
        <f t="shared" si="452"/>
        <v>2027/28</v>
      </c>
      <c r="BS77" s="379"/>
      <c r="BT77" s="379"/>
      <c r="BU77" s="379"/>
      <c r="BV77" s="379"/>
      <c r="BW77" s="379"/>
      <c r="BX77" s="379"/>
      <c r="BY77" s="379"/>
      <c r="BZ77" s="379"/>
      <c r="CA77" s="379"/>
      <c r="CB77" s="379"/>
      <c r="CC77" s="379"/>
      <c r="CD77" s="379"/>
      <c r="CE77" s="379"/>
      <c r="CF77" s="379"/>
    </row>
    <row r="78" spans="1:102" s="34" customFormat="1" x14ac:dyDescent="0.2">
      <c r="A78" s="214" t="s">
        <v>2251</v>
      </c>
      <c r="B78" s="214"/>
      <c r="C78" s="214"/>
      <c r="D78" s="214"/>
      <c r="E78" s="214">
        <f>R73</f>
        <v>0</v>
      </c>
      <c r="F78" s="214">
        <f>V73</f>
        <v>0</v>
      </c>
      <c r="G78" s="2186">
        <f>Z73</f>
        <v>0</v>
      </c>
      <c r="H78" s="214">
        <f>AD73</f>
        <v>0</v>
      </c>
      <c r="I78" s="214">
        <f>AH73</f>
        <v>0</v>
      </c>
      <c r="J78" s="214">
        <f>AL73</f>
        <v>0</v>
      </c>
      <c r="K78" s="214">
        <f>AP73</f>
        <v>0</v>
      </c>
      <c r="L78" s="214">
        <f>AT73</f>
        <v>0</v>
      </c>
      <c r="M78" s="34">
        <f>AX73</f>
        <v>0</v>
      </c>
      <c r="N78" s="34">
        <f>BB73</f>
        <v>0</v>
      </c>
      <c r="O78" s="34">
        <f>BF73</f>
        <v>0</v>
      </c>
      <c r="P78" s="34">
        <f>BJ73</f>
        <v>0</v>
      </c>
      <c r="Q78" s="34">
        <f>BK73</f>
        <v>0</v>
      </c>
      <c r="BS78" s="379"/>
      <c r="BT78" s="379"/>
      <c r="BU78" s="613"/>
      <c r="BV78" s="613"/>
      <c r="BW78" s="613"/>
      <c r="BX78" s="613"/>
      <c r="BY78" s="613"/>
      <c r="BZ78" s="613"/>
      <c r="CA78" s="613"/>
      <c r="CB78" s="613"/>
      <c r="CC78" s="613"/>
      <c r="CD78" s="613"/>
      <c r="CE78" s="613"/>
      <c r="CF78" s="613"/>
      <c r="CG78" s="39"/>
      <c r="CH78" s="39"/>
      <c r="CI78" s="39"/>
      <c r="CJ78" s="39"/>
      <c r="CK78" s="39"/>
      <c r="CL78" s="39"/>
      <c r="CM78" s="39"/>
      <c r="CN78" s="39"/>
      <c r="CO78" s="39"/>
      <c r="CP78" s="39"/>
      <c r="CQ78" s="39"/>
      <c r="CR78" s="39"/>
      <c r="CS78" s="39"/>
    </row>
    <row r="79" spans="1:102" s="34" customFormat="1" x14ac:dyDescent="0.2">
      <c r="A79" s="214" t="s">
        <v>635</v>
      </c>
      <c r="B79" s="214"/>
      <c r="C79" s="214"/>
      <c r="D79" s="214"/>
      <c r="E79" s="214">
        <f>S73</f>
        <v>186400</v>
      </c>
      <c r="F79" s="214">
        <f>W73</f>
        <v>409300</v>
      </c>
      <c r="G79" s="2186">
        <f>AA73</f>
        <v>681000</v>
      </c>
      <c r="H79" s="214">
        <f>AE73</f>
        <v>3169000</v>
      </c>
      <c r="I79" s="214">
        <f>AI73</f>
        <v>1119000</v>
      </c>
      <c r="J79" s="214">
        <f>AM73</f>
        <v>238000</v>
      </c>
      <c r="K79" s="214">
        <f>AQ73</f>
        <v>1663000</v>
      </c>
      <c r="L79" s="214">
        <f>AU73</f>
        <v>3211000</v>
      </c>
      <c r="M79" s="34">
        <f>AY73</f>
        <v>1033500</v>
      </c>
      <c r="N79" s="34">
        <f>BC73</f>
        <v>1109300</v>
      </c>
      <c r="O79" s="34">
        <f>BG73</f>
        <v>0</v>
      </c>
      <c r="P79" s="34">
        <f>BK73</f>
        <v>0</v>
      </c>
      <c r="Q79" s="34">
        <f>BL73</f>
        <v>0</v>
      </c>
      <c r="BS79" s="379"/>
      <c r="BT79" s="379"/>
      <c r="BU79" s="379"/>
      <c r="BV79" s="379"/>
      <c r="BW79" s="379"/>
      <c r="BX79" s="379"/>
      <c r="BY79" s="379"/>
      <c r="BZ79" s="379"/>
      <c r="CA79" s="379"/>
      <c r="CB79" s="379"/>
      <c r="CC79" s="379"/>
      <c r="CD79" s="379"/>
      <c r="CE79" s="379"/>
      <c r="CF79" s="379"/>
    </row>
    <row r="80" spans="1:102" s="246" customFormat="1" x14ac:dyDescent="0.2">
      <c r="A80" s="214" t="s">
        <v>2042</v>
      </c>
      <c r="B80" s="214"/>
      <c r="C80" s="214"/>
      <c r="D80" s="214"/>
      <c r="E80" s="214">
        <f>T73</f>
        <v>0</v>
      </c>
      <c r="F80" s="214">
        <f>X73</f>
        <v>0</v>
      </c>
      <c r="G80" s="2186">
        <f>AB73</f>
        <v>0</v>
      </c>
      <c r="H80" s="214">
        <f>AF73</f>
        <v>0</v>
      </c>
      <c r="I80" s="214">
        <f>AJ73</f>
        <v>0</v>
      </c>
      <c r="J80" s="214">
        <f>AN73</f>
        <v>0</v>
      </c>
      <c r="K80" s="214">
        <f>AR73</f>
        <v>0</v>
      </c>
      <c r="L80" s="214">
        <f>AV73</f>
        <v>0</v>
      </c>
      <c r="M80" s="34">
        <f>AZ73</f>
        <v>0</v>
      </c>
      <c r="N80" s="34">
        <f>BD73</f>
        <v>0</v>
      </c>
      <c r="O80" s="34">
        <f>BH73</f>
        <v>0</v>
      </c>
      <c r="P80" s="34">
        <f>BL73</f>
        <v>0</v>
      </c>
      <c r="Q80" s="34">
        <f>BP73</f>
        <v>0</v>
      </c>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S80" s="379"/>
      <c r="BT80" s="379"/>
      <c r="BU80" s="538"/>
      <c r="BV80" s="538"/>
      <c r="BW80" s="538"/>
      <c r="BX80" s="538"/>
      <c r="BY80" s="538"/>
      <c r="BZ80" s="538"/>
      <c r="CA80" s="538"/>
      <c r="CB80" s="538"/>
      <c r="CC80" s="538"/>
      <c r="CD80" s="538"/>
      <c r="CE80" s="538"/>
      <c r="CF80" s="538"/>
      <c r="CG80" s="46"/>
      <c r="CH80" s="46"/>
      <c r="CI80" s="46"/>
      <c r="CJ80" s="46"/>
      <c r="CK80" s="46"/>
      <c r="CL80" s="46"/>
      <c r="CM80" s="46"/>
      <c r="CN80" s="46"/>
      <c r="CO80" s="46"/>
      <c r="CP80" s="46"/>
      <c r="CQ80" s="46"/>
      <c r="CR80" s="46"/>
      <c r="CS80" s="46"/>
    </row>
    <row r="81" spans="1:97" s="246" customFormat="1" x14ac:dyDescent="0.2">
      <c r="A81" s="214" t="s">
        <v>2290</v>
      </c>
      <c r="B81" s="214"/>
      <c r="C81" s="214"/>
      <c r="D81" s="214"/>
      <c r="E81" s="214">
        <f>U73</f>
        <v>1240600</v>
      </c>
      <c r="F81" s="214">
        <f>Y73</f>
        <v>722200</v>
      </c>
      <c r="G81" s="2186">
        <f>AC73</f>
        <v>3319700</v>
      </c>
      <c r="H81" s="214">
        <f>AG73</f>
        <v>1849000</v>
      </c>
      <c r="I81" s="214">
        <f>AK73</f>
        <v>2281000</v>
      </c>
      <c r="J81" s="214">
        <f>AO73</f>
        <v>1752100</v>
      </c>
      <c r="K81" s="214">
        <f>AS73</f>
        <v>4173000</v>
      </c>
      <c r="L81" s="214">
        <f>AW73</f>
        <v>1451000</v>
      </c>
      <c r="M81" s="34">
        <f>BA73</f>
        <v>3597300</v>
      </c>
      <c r="N81" s="34">
        <f>BE73</f>
        <v>3267700</v>
      </c>
      <c r="O81" s="34">
        <f>BI73</f>
        <v>1791600</v>
      </c>
      <c r="P81" s="34">
        <f>BM73</f>
        <v>1751000</v>
      </c>
      <c r="Q81" s="34">
        <f>BR73</f>
        <v>0</v>
      </c>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S81" s="379"/>
      <c r="BT81" s="379"/>
      <c r="BU81" s="834"/>
      <c r="BV81" s="834"/>
      <c r="BW81" s="834"/>
      <c r="BX81" s="834"/>
      <c r="BY81" s="834"/>
      <c r="BZ81" s="834"/>
      <c r="CA81" s="834"/>
      <c r="CB81" s="834"/>
      <c r="CC81" s="834"/>
      <c r="CD81" s="834"/>
      <c r="CE81" s="834"/>
      <c r="CF81" s="834"/>
      <c r="CG81" s="317"/>
      <c r="CH81" s="317"/>
      <c r="CI81" s="317"/>
      <c r="CJ81" s="317"/>
      <c r="CK81" s="317"/>
      <c r="CL81" s="317"/>
      <c r="CM81" s="317"/>
      <c r="CN81" s="317"/>
      <c r="CO81" s="317"/>
      <c r="CP81" s="317"/>
      <c r="CQ81" s="317"/>
      <c r="CR81" s="317"/>
      <c r="CS81" s="317"/>
    </row>
    <row r="82" spans="1:97" s="246" customFormat="1" x14ac:dyDescent="0.2">
      <c r="A82" s="214"/>
      <c r="B82" s="214"/>
      <c r="C82" s="214"/>
      <c r="D82" s="214"/>
      <c r="E82" s="214"/>
      <c r="F82" s="214"/>
      <c r="G82" s="2186"/>
      <c r="H82" s="214"/>
      <c r="I82" s="214"/>
      <c r="J82" s="214"/>
      <c r="K82" s="214"/>
      <c r="L82" s="21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S82" s="379"/>
      <c r="BT82" s="379"/>
      <c r="BU82" s="379"/>
      <c r="BV82" s="379"/>
      <c r="BW82" s="379"/>
      <c r="BX82" s="379"/>
      <c r="BY82" s="379"/>
      <c r="BZ82" s="379"/>
      <c r="CA82" s="379"/>
      <c r="CB82" s="379"/>
      <c r="CC82" s="379"/>
      <c r="CD82" s="379"/>
      <c r="CE82" s="379"/>
      <c r="CF82" s="379"/>
      <c r="CG82" s="34"/>
      <c r="CH82" s="34"/>
      <c r="CI82" s="34"/>
      <c r="CJ82" s="34"/>
      <c r="CK82" s="34"/>
      <c r="CL82" s="34"/>
      <c r="CM82" s="34"/>
      <c r="CN82" s="34"/>
      <c r="CO82" s="34"/>
      <c r="CP82" s="34"/>
      <c r="CQ82" s="34"/>
      <c r="CR82" s="34"/>
      <c r="CS82" s="34"/>
    </row>
    <row r="83" spans="1:97" s="573" customFormat="1" x14ac:dyDescent="0.2">
      <c r="A83" s="905" t="s">
        <v>88</v>
      </c>
      <c r="B83" s="905"/>
      <c r="C83" s="905"/>
      <c r="D83" s="905"/>
      <c r="E83" s="905">
        <f>E73-E78-E79-E80-E81</f>
        <v>0</v>
      </c>
      <c r="F83" s="905">
        <f t="shared" ref="F83:M83" si="453">F73-F78-F79-F80-F81</f>
        <v>0</v>
      </c>
      <c r="G83" s="2189">
        <f t="shared" si="453"/>
        <v>0</v>
      </c>
      <c r="H83" s="905">
        <f t="shared" si="453"/>
        <v>0</v>
      </c>
      <c r="I83" s="905">
        <f t="shared" si="453"/>
        <v>0</v>
      </c>
      <c r="J83" s="905">
        <f t="shared" si="453"/>
        <v>0</v>
      </c>
      <c r="K83" s="905">
        <f t="shared" si="453"/>
        <v>0</v>
      </c>
      <c r="L83" s="905">
        <f t="shared" si="453"/>
        <v>0</v>
      </c>
      <c r="M83" s="65">
        <f t="shared" si="453"/>
        <v>0</v>
      </c>
      <c r="N83" s="65">
        <f>N73-N78-N79-N80-N81</f>
        <v>0</v>
      </c>
      <c r="O83" s="65">
        <f>O73-O78-O79-O80-O81</f>
        <v>0</v>
      </c>
      <c r="P83" s="65">
        <f>P73-P78-P79-P80-P81</f>
        <v>0</v>
      </c>
      <c r="Q83" s="65">
        <f>Q73-Q78-Q79-Q80-Q81</f>
        <v>1794000</v>
      </c>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S83" s="901"/>
      <c r="BT83" s="901"/>
      <c r="BU83" s="906"/>
      <c r="BV83" s="906"/>
      <c r="BW83" s="906"/>
      <c r="BX83" s="906"/>
      <c r="BY83" s="906"/>
      <c r="BZ83" s="906"/>
      <c r="CA83" s="906"/>
      <c r="CB83" s="906"/>
      <c r="CC83" s="906"/>
      <c r="CD83" s="906"/>
      <c r="CE83" s="906"/>
      <c r="CF83" s="906"/>
      <c r="CG83" s="92"/>
      <c r="CH83" s="92"/>
      <c r="CI83" s="92"/>
      <c r="CJ83" s="92"/>
      <c r="CK83" s="92"/>
      <c r="CL83" s="92"/>
      <c r="CM83" s="92"/>
      <c r="CN83" s="92"/>
      <c r="CO83" s="92"/>
      <c r="CP83" s="92"/>
      <c r="CQ83" s="92"/>
      <c r="CR83" s="92"/>
      <c r="CS83" s="92"/>
    </row>
    <row r="84" spans="1:97" s="246" customFormat="1" x14ac:dyDescent="0.2">
      <c r="A84" s="214"/>
      <c r="B84" s="214"/>
      <c r="C84" s="214"/>
      <c r="D84" s="214"/>
      <c r="E84" s="214"/>
      <c r="F84" s="214"/>
      <c r="G84" s="2186"/>
      <c r="H84" s="214"/>
      <c r="I84" s="214"/>
      <c r="J84" s="214"/>
      <c r="K84" s="214"/>
      <c r="L84" s="21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S84" s="379"/>
      <c r="BT84" s="379"/>
      <c r="BU84" s="379"/>
      <c r="BV84" s="379"/>
      <c r="BW84" s="379"/>
      <c r="BX84" s="379"/>
      <c r="BY84" s="379"/>
      <c r="BZ84" s="379"/>
      <c r="CA84" s="379"/>
      <c r="CB84" s="379"/>
      <c r="CC84" s="379"/>
      <c r="CD84" s="379"/>
      <c r="CE84" s="379"/>
      <c r="CF84" s="379"/>
      <c r="CG84" s="34"/>
      <c r="CH84" s="34"/>
      <c r="CI84" s="34"/>
      <c r="CJ84" s="34"/>
      <c r="CK84" s="34"/>
      <c r="CL84" s="34"/>
      <c r="CM84" s="34"/>
      <c r="CN84" s="34"/>
      <c r="CO84" s="34"/>
      <c r="CP84" s="34"/>
      <c r="CQ84" s="34"/>
      <c r="CR84" s="34"/>
      <c r="CS84" s="34"/>
    </row>
    <row r="85" spans="1:97" s="246" customFormat="1" x14ac:dyDescent="0.2">
      <c r="E85" s="214"/>
      <c r="F85" s="214"/>
      <c r="G85" s="2186"/>
      <c r="H85" s="214"/>
      <c r="I85" s="214"/>
      <c r="J85" s="214"/>
      <c r="K85" s="214"/>
      <c r="L85" s="214"/>
      <c r="M85" s="214"/>
      <c r="N85" s="214"/>
      <c r="O85" s="214"/>
      <c r="P85" s="214"/>
      <c r="Q85" s="214"/>
      <c r="BS85" s="379"/>
      <c r="BT85" s="379"/>
      <c r="BU85" s="379"/>
      <c r="BV85" s="379"/>
      <c r="BW85" s="379"/>
      <c r="BX85" s="379"/>
      <c r="BY85" s="379"/>
      <c r="BZ85" s="379"/>
      <c r="CA85" s="379"/>
      <c r="CB85" s="379"/>
      <c r="CC85" s="379"/>
      <c r="CD85" s="379"/>
      <c r="CE85" s="379"/>
      <c r="CF85" s="379"/>
      <c r="CG85" s="34"/>
      <c r="CH85" s="34"/>
      <c r="CI85" s="34"/>
      <c r="CJ85" s="34"/>
      <c r="CK85" s="34"/>
      <c r="CL85" s="34"/>
      <c r="CM85" s="34"/>
      <c r="CN85" s="34"/>
      <c r="CO85" s="34"/>
      <c r="CP85" s="34"/>
      <c r="CQ85" s="34"/>
      <c r="CR85" s="34"/>
      <c r="CS85" s="34"/>
    </row>
    <row r="86" spans="1:97" s="246" customFormat="1" x14ac:dyDescent="0.2">
      <c r="A86" s="214" t="str">
        <f>A78</f>
        <v>Grants</v>
      </c>
      <c r="B86" s="214"/>
      <c r="C86" s="214"/>
      <c r="D86" s="214"/>
      <c r="E86" s="214">
        <f>E78-'Cash-W'!G64</f>
        <v>0</v>
      </c>
      <c r="F86" s="214">
        <f>F78-'Cash-W'!H64</f>
        <v>0</v>
      </c>
      <c r="G86" s="2186">
        <f>G78-'Cash-W'!I64</f>
        <v>0</v>
      </c>
      <c r="H86" s="214">
        <f>H78-'Cash-W'!J64</f>
        <v>0</v>
      </c>
      <c r="I86" s="214">
        <f>I78-'Cash-W'!K64</f>
        <v>0</v>
      </c>
      <c r="J86" s="214">
        <f>J78-'Cash-W'!L64</f>
        <v>0</v>
      </c>
      <c r="K86" s="214">
        <f>K78-'Cash-W'!M64</f>
        <v>0</v>
      </c>
      <c r="L86" s="214">
        <f>L78-'Cash-W'!N64</f>
        <v>0</v>
      </c>
      <c r="M86" s="214">
        <f>M78-'Cash-W'!M64</f>
        <v>0</v>
      </c>
      <c r="N86" s="214">
        <f>N78-'Cash-W'!N64</f>
        <v>0</v>
      </c>
      <c r="O86" s="214">
        <f>O78-'Cash-W'!O64</f>
        <v>0</v>
      </c>
      <c r="P86" s="214">
        <f>P78-'Cash-W'!P64</f>
        <v>0</v>
      </c>
      <c r="Q86" s="214">
        <f>Q78-'Cash-W'!Q64</f>
        <v>0</v>
      </c>
      <c r="BS86" s="379"/>
      <c r="BT86" s="379"/>
      <c r="BU86" s="379"/>
      <c r="BV86" s="379"/>
      <c r="BW86" s="379"/>
      <c r="BX86" s="379"/>
      <c r="BY86" s="379"/>
      <c r="BZ86" s="379"/>
      <c r="CA86" s="379"/>
      <c r="CB86" s="379"/>
      <c r="CC86" s="379"/>
      <c r="CD86" s="379"/>
      <c r="CE86" s="379"/>
      <c r="CF86" s="379"/>
      <c r="CG86" s="34"/>
      <c r="CH86" s="34"/>
      <c r="CI86" s="34"/>
      <c r="CJ86" s="34"/>
      <c r="CK86" s="34"/>
      <c r="CL86" s="34"/>
      <c r="CM86" s="34"/>
      <c r="CN86" s="34"/>
      <c r="CO86" s="34"/>
      <c r="CP86" s="34"/>
      <c r="CQ86" s="34"/>
      <c r="CR86" s="34"/>
      <c r="CS86" s="34"/>
    </row>
    <row r="87" spans="1:97" s="246" customFormat="1" x14ac:dyDescent="0.2">
      <c r="A87" s="214" t="str">
        <f>A79</f>
        <v>Section 64</v>
      </c>
      <c r="B87" s="214"/>
      <c r="C87" s="214"/>
      <c r="D87" s="214"/>
      <c r="E87" s="214">
        <f>E79-'Cash-W'!C75</f>
        <v>0</v>
      </c>
      <c r="F87" s="214">
        <f>F79-'Cash-W'!D75</f>
        <v>0</v>
      </c>
      <c r="G87" s="2186">
        <f>G79-'Cash-W'!G75</f>
        <v>0</v>
      </c>
      <c r="H87" s="214">
        <f>H79-'Cash-W'!H75</f>
        <v>0</v>
      </c>
      <c r="I87" s="214">
        <f>I79-'Cash-W'!I75</f>
        <v>0</v>
      </c>
      <c r="J87" s="214">
        <f>J79-'Cash-W'!J75</f>
        <v>0</v>
      </c>
      <c r="K87" s="214">
        <f>K79-'Cash-W'!K75</f>
        <v>0</v>
      </c>
      <c r="L87" s="214">
        <f>L79-'Cash-W'!L75</f>
        <v>0</v>
      </c>
      <c r="M87" s="214">
        <f>M79-'Cash-W'!M75</f>
        <v>0</v>
      </c>
      <c r="N87" s="214">
        <f>N79-'Cash-W'!N75</f>
        <v>0</v>
      </c>
      <c r="O87" s="214">
        <f>O79-'Cash-W'!O75</f>
        <v>0</v>
      </c>
      <c r="P87" s="214">
        <f>P79-'Cash-W'!P75</f>
        <v>0</v>
      </c>
      <c r="Q87" s="214">
        <f>Q79-'Cash-W'!Q75</f>
        <v>0</v>
      </c>
      <c r="BS87" s="379"/>
      <c r="BT87" s="379"/>
      <c r="BU87" s="379"/>
      <c r="BV87" s="379"/>
      <c r="BW87" s="379"/>
      <c r="BX87" s="379"/>
      <c r="BY87" s="379"/>
      <c r="BZ87" s="379"/>
      <c r="CA87" s="379"/>
      <c r="CB87" s="379"/>
      <c r="CC87" s="379"/>
      <c r="CD87" s="379"/>
      <c r="CE87" s="379"/>
      <c r="CF87" s="379"/>
      <c r="CG87" s="34"/>
      <c r="CH87" s="34"/>
      <c r="CI87" s="34"/>
      <c r="CJ87" s="34"/>
      <c r="CK87" s="34"/>
      <c r="CL87" s="34"/>
      <c r="CM87" s="34"/>
      <c r="CN87" s="34"/>
      <c r="CO87" s="34"/>
      <c r="CP87" s="34"/>
      <c r="CQ87" s="34"/>
      <c r="CR87" s="34"/>
      <c r="CS87" s="34"/>
    </row>
    <row r="88" spans="1:97" s="246" customFormat="1" x14ac:dyDescent="0.2">
      <c r="A88" s="214" t="str">
        <f>A80</f>
        <v>Loans</v>
      </c>
      <c r="B88" s="214"/>
      <c r="C88" s="214"/>
      <c r="D88" s="214"/>
      <c r="E88" s="214">
        <f>E80-'Cash-W'!C37</f>
        <v>0</v>
      </c>
      <c r="F88" s="214">
        <f>F80-'Cash-W'!D37</f>
        <v>0</v>
      </c>
      <c r="G88" s="2186">
        <f>G80-'Cash-W'!G37</f>
        <v>0</v>
      </c>
      <c r="H88" s="214">
        <f>H80-'Cash-W'!H37</f>
        <v>0</v>
      </c>
      <c r="I88" s="214">
        <f>I80-'Cash-W'!I37</f>
        <v>0</v>
      </c>
      <c r="J88" s="214">
        <f>J80-'Cash-W'!J37</f>
        <v>0</v>
      </c>
      <c r="K88" s="214">
        <f>K80-'Cash-W'!K37</f>
        <v>0</v>
      </c>
      <c r="L88" s="214">
        <f>L80-'Cash-W'!L37</f>
        <v>0</v>
      </c>
      <c r="M88" s="214">
        <f>M80-'Cash-W'!M37</f>
        <v>0</v>
      </c>
      <c r="N88" s="214">
        <f>N80-'Cash-W'!N37</f>
        <v>0</v>
      </c>
      <c r="O88" s="214">
        <f>O80-'Cash-W'!O37</f>
        <v>0</v>
      </c>
      <c r="P88" s="214">
        <f>P80-'Cash-W'!P37</f>
        <v>0</v>
      </c>
      <c r="Q88" s="214">
        <f>Q80-'Cash-W'!Q37</f>
        <v>0</v>
      </c>
      <c r="BS88" s="833"/>
      <c r="BT88" s="833"/>
      <c r="BU88" s="833"/>
      <c r="BV88" s="833"/>
      <c r="BW88" s="833"/>
      <c r="BX88" s="833"/>
      <c r="BY88" s="833"/>
      <c r="BZ88" s="833"/>
      <c r="CA88" s="833"/>
      <c r="CB88" s="833"/>
      <c r="CC88" s="833"/>
      <c r="CD88" s="833"/>
      <c r="CE88" s="833"/>
      <c r="CF88" s="833"/>
      <c r="CG88" s="31"/>
      <c r="CH88" s="31"/>
      <c r="CI88" s="31"/>
      <c r="CJ88" s="31"/>
      <c r="CK88" s="31"/>
      <c r="CL88" s="31"/>
      <c r="CM88" s="31"/>
      <c r="CN88" s="31"/>
      <c r="CO88" s="31"/>
      <c r="CP88" s="31"/>
      <c r="CQ88" s="31"/>
      <c r="CR88" s="31"/>
      <c r="CS88" s="31"/>
    </row>
    <row r="89" spans="1:97" s="246" customFormat="1" x14ac:dyDescent="0.2">
      <c r="G89" s="2188"/>
      <c r="BS89" s="833"/>
      <c r="BT89" s="833"/>
      <c r="BU89" s="833"/>
      <c r="BV89" s="833"/>
      <c r="BW89" s="833"/>
      <c r="BX89" s="833"/>
      <c r="BY89" s="833"/>
      <c r="BZ89" s="833"/>
      <c r="CA89" s="833"/>
      <c r="CB89" s="833"/>
      <c r="CC89" s="833"/>
      <c r="CD89" s="833"/>
      <c r="CE89" s="833"/>
      <c r="CF89" s="833"/>
      <c r="CG89" s="31"/>
      <c r="CH89" s="31"/>
      <c r="CI89" s="31"/>
      <c r="CJ89" s="31"/>
      <c r="CK89" s="31"/>
      <c r="CL89" s="31"/>
      <c r="CM89" s="31"/>
      <c r="CN89" s="31"/>
      <c r="CO89" s="31"/>
      <c r="CP89" s="31"/>
      <c r="CQ89" s="31"/>
      <c r="CR89" s="31"/>
      <c r="CS89" s="31"/>
    </row>
    <row r="90" spans="1:97" s="246" customFormat="1" x14ac:dyDescent="0.2">
      <c r="A90" s="286" t="s">
        <v>88</v>
      </c>
      <c r="B90" s="286"/>
      <c r="C90" s="286"/>
      <c r="D90" s="286"/>
      <c r="E90" s="286">
        <f t="shared" ref="E90:I90" si="454">SUM(E86:E89)</f>
        <v>0</v>
      </c>
      <c r="F90" s="286">
        <f t="shared" ref="F90" si="455">SUM(F86:F89)</f>
        <v>0</v>
      </c>
      <c r="G90" s="2194">
        <f t="shared" si="454"/>
        <v>0</v>
      </c>
      <c r="H90" s="286">
        <f t="shared" si="454"/>
        <v>0</v>
      </c>
      <c r="I90" s="286">
        <f t="shared" si="454"/>
        <v>0</v>
      </c>
      <c r="J90" s="286">
        <f t="shared" ref="J90:O90" si="456">SUM(J86:J89)</f>
        <v>0</v>
      </c>
      <c r="K90" s="286">
        <f t="shared" si="456"/>
        <v>0</v>
      </c>
      <c r="L90" s="286">
        <f t="shared" si="456"/>
        <v>0</v>
      </c>
      <c r="M90" s="286">
        <f t="shared" si="456"/>
        <v>0</v>
      </c>
      <c r="N90" s="286">
        <f t="shared" si="456"/>
        <v>0</v>
      </c>
      <c r="O90" s="286">
        <f t="shared" si="456"/>
        <v>0</v>
      </c>
      <c r="P90" s="286">
        <f>SUM(P86:P89)</f>
        <v>0</v>
      </c>
      <c r="Q90" s="286">
        <f>SUM(Q86:Q89)</f>
        <v>0</v>
      </c>
      <c r="BS90" s="833"/>
      <c r="BT90" s="833"/>
      <c r="BU90" s="833"/>
      <c r="BV90" s="833"/>
      <c r="BW90" s="833"/>
      <c r="BX90" s="833"/>
      <c r="BY90" s="833"/>
      <c r="BZ90" s="833"/>
      <c r="CA90" s="833"/>
      <c r="CB90" s="833"/>
      <c r="CC90" s="833"/>
      <c r="CD90" s="833"/>
      <c r="CE90" s="833"/>
      <c r="CF90" s="833"/>
      <c r="CG90" s="31"/>
      <c r="CH90" s="31"/>
      <c r="CI90" s="31"/>
      <c r="CJ90" s="31"/>
      <c r="CK90" s="31"/>
      <c r="CL90" s="31"/>
      <c r="CM90" s="31"/>
      <c r="CN90" s="31"/>
      <c r="CO90" s="31"/>
      <c r="CP90" s="31"/>
      <c r="CQ90" s="31"/>
      <c r="CR90" s="31"/>
      <c r="CS90" s="31"/>
    </row>
    <row r="91" spans="1:97" s="246" customFormat="1" x14ac:dyDescent="0.2">
      <c r="G91" s="2188"/>
      <c r="BS91" s="833"/>
      <c r="BT91" s="833"/>
      <c r="BU91" s="833"/>
      <c r="BV91" s="833"/>
      <c r="BW91" s="833"/>
      <c r="BX91" s="833"/>
      <c r="BY91" s="833"/>
      <c r="BZ91" s="833"/>
      <c r="CA91" s="833"/>
      <c r="CB91" s="833"/>
      <c r="CC91" s="833"/>
      <c r="CD91" s="833"/>
      <c r="CE91" s="833"/>
      <c r="CF91" s="833"/>
      <c r="CG91" s="31"/>
      <c r="CH91" s="31"/>
      <c r="CI91" s="31"/>
      <c r="CJ91" s="31"/>
      <c r="CK91" s="31"/>
      <c r="CL91" s="31"/>
      <c r="CM91" s="31"/>
      <c r="CN91" s="31"/>
      <c r="CO91" s="31"/>
      <c r="CP91" s="31"/>
      <c r="CQ91" s="31"/>
      <c r="CR91" s="31"/>
      <c r="CS91" s="31"/>
    </row>
    <row r="92" spans="1:97" s="246" customFormat="1" x14ac:dyDescent="0.2">
      <c r="G92" s="2188"/>
      <c r="BS92" s="833"/>
      <c r="BT92" s="833"/>
      <c r="BU92" s="833"/>
      <c r="BV92" s="833"/>
      <c r="BW92" s="833"/>
      <c r="BX92" s="833"/>
      <c r="BY92" s="833"/>
      <c r="BZ92" s="833"/>
      <c r="CA92" s="833"/>
      <c r="CB92" s="833"/>
      <c r="CC92" s="833"/>
      <c r="CD92" s="833"/>
      <c r="CE92" s="833"/>
      <c r="CF92" s="833"/>
      <c r="CG92" s="31"/>
      <c r="CH92" s="31"/>
      <c r="CI92" s="31"/>
      <c r="CJ92" s="31"/>
      <c r="CK92" s="31"/>
      <c r="CL92" s="31"/>
      <c r="CM92" s="31"/>
      <c r="CN92" s="31"/>
      <c r="CO92" s="31"/>
      <c r="CP92" s="31"/>
      <c r="CQ92" s="31"/>
      <c r="CR92" s="31"/>
      <c r="CS92" s="31"/>
    </row>
    <row r="93" spans="1:97" s="246" customFormat="1" x14ac:dyDescent="0.2">
      <c r="G93" s="2188"/>
      <c r="BS93" s="833"/>
      <c r="BT93" s="833"/>
      <c r="BU93" s="833"/>
      <c r="BV93" s="833"/>
      <c r="BW93" s="833"/>
      <c r="BX93" s="833"/>
      <c r="BY93" s="833"/>
      <c r="BZ93" s="833"/>
      <c r="CA93" s="833"/>
      <c r="CB93" s="833"/>
      <c r="CC93" s="833"/>
      <c r="CD93" s="833"/>
      <c r="CE93" s="833"/>
      <c r="CF93" s="833"/>
      <c r="CG93" s="31"/>
      <c r="CH93" s="31"/>
      <c r="CI93" s="31"/>
      <c r="CJ93" s="31"/>
      <c r="CK93" s="31"/>
      <c r="CL93" s="31"/>
      <c r="CM93" s="31"/>
      <c r="CN93" s="31"/>
      <c r="CO93" s="31"/>
      <c r="CP93" s="31"/>
      <c r="CQ93" s="31"/>
      <c r="CR93" s="31"/>
      <c r="CS93" s="31"/>
    </row>
    <row r="94" spans="1:97" s="246" customFormat="1" x14ac:dyDescent="0.2">
      <c r="G94" s="2188"/>
      <c r="BS94" s="833"/>
      <c r="BT94" s="833"/>
      <c r="BU94" s="833"/>
      <c r="BV94" s="833"/>
      <c r="BW94" s="833"/>
      <c r="BX94" s="833"/>
      <c r="BY94" s="833"/>
      <c r="BZ94" s="833"/>
      <c r="CA94" s="833"/>
      <c r="CB94" s="833"/>
      <c r="CC94" s="833"/>
      <c r="CD94" s="833"/>
      <c r="CE94" s="833"/>
      <c r="CF94" s="833"/>
      <c r="CG94" s="31"/>
      <c r="CH94" s="31"/>
      <c r="CI94" s="31"/>
      <c r="CJ94" s="31"/>
      <c r="CK94" s="31"/>
      <c r="CL94" s="31"/>
      <c r="CM94" s="31"/>
      <c r="CN94" s="31"/>
      <c r="CO94" s="31"/>
      <c r="CP94" s="31"/>
      <c r="CQ94" s="31"/>
      <c r="CR94" s="31"/>
      <c r="CS94" s="31"/>
    </row>
    <row r="95" spans="1:97" s="246" customFormat="1" x14ac:dyDescent="0.2">
      <c r="G95" s="2188"/>
      <c r="BS95" s="833"/>
      <c r="BT95" s="833"/>
      <c r="BU95" s="833"/>
      <c r="BV95" s="833"/>
      <c r="BW95" s="833"/>
      <c r="BX95" s="833"/>
      <c r="BY95" s="833"/>
      <c r="BZ95" s="833"/>
      <c r="CA95" s="833"/>
      <c r="CB95" s="833"/>
      <c r="CC95" s="833"/>
      <c r="CD95" s="833"/>
      <c r="CE95" s="833"/>
      <c r="CF95" s="833"/>
      <c r="CG95" s="31"/>
      <c r="CH95" s="31"/>
      <c r="CI95" s="31"/>
      <c r="CJ95" s="31"/>
      <c r="CK95" s="31"/>
      <c r="CL95" s="31"/>
      <c r="CM95" s="31"/>
      <c r="CN95" s="31"/>
      <c r="CO95" s="31"/>
      <c r="CP95" s="31"/>
      <c r="CQ95" s="31"/>
      <c r="CR95" s="31"/>
      <c r="CS95" s="31"/>
    </row>
    <row r="96" spans="1:97" s="246" customFormat="1" x14ac:dyDescent="0.2">
      <c r="G96" s="2188"/>
      <c r="BS96" s="379"/>
      <c r="BT96" s="379"/>
      <c r="BU96" s="379"/>
      <c r="BV96" s="379"/>
      <c r="BW96" s="379"/>
      <c r="BX96" s="379"/>
      <c r="BY96" s="379"/>
      <c r="BZ96" s="379"/>
      <c r="CA96" s="379"/>
      <c r="CB96" s="379"/>
      <c r="CC96" s="379"/>
      <c r="CD96" s="379"/>
      <c r="CE96" s="379"/>
      <c r="CF96" s="379"/>
      <c r="CG96" s="34"/>
      <c r="CH96" s="34"/>
      <c r="CI96" s="34"/>
      <c r="CJ96" s="34"/>
      <c r="CK96" s="34"/>
      <c r="CL96" s="34"/>
      <c r="CM96" s="34"/>
      <c r="CN96" s="34"/>
      <c r="CO96" s="34"/>
      <c r="CP96" s="34"/>
      <c r="CQ96" s="34"/>
      <c r="CR96" s="34"/>
      <c r="CS96" s="34"/>
    </row>
    <row r="97" spans="5:97" s="246" customFormat="1" x14ac:dyDescent="0.2">
      <c r="G97" s="2188"/>
      <c r="BS97" s="379"/>
      <c r="BT97" s="379"/>
      <c r="BU97" s="379"/>
      <c r="BV97" s="379"/>
      <c r="BW97" s="379"/>
      <c r="BX97" s="379"/>
      <c r="BY97" s="379"/>
      <c r="BZ97" s="379"/>
      <c r="CA97" s="379"/>
      <c r="CB97" s="379"/>
      <c r="CC97" s="379"/>
      <c r="CD97" s="379"/>
      <c r="CE97" s="379"/>
      <c r="CF97" s="379"/>
      <c r="CG97" s="34"/>
      <c r="CH97" s="34"/>
      <c r="CI97" s="34"/>
      <c r="CJ97" s="34"/>
      <c r="CK97" s="34"/>
      <c r="CL97" s="34"/>
      <c r="CM97" s="34"/>
      <c r="CN97" s="34"/>
      <c r="CO97" s="34"/>
      <c r="CP97" s="34"/>
      <c r="CQ97" s="34"/>
      <c r="CR97" s="34"/>
      <c r="CS97" s="34"/>
    </row>
    <row r="98" spans="5:97" s="246" customFormat="1" x14ac:dyDescent="0.2">
      <c r="E98" s="1102"/>
      <c r="F98" s="1102"/>
      <c r="G98" s="2195"/>
      <c r="H98" s="1102"/>
      <c r="I98" s="1102"/>
      <c r="J98" s="1102"/>
      <c r="K98" s="1102"/>
      <c r="L98" s="1102"/>
      <c r="M98" s="1102"/>
      <c r="N98" s="1102"/>
      <c r="O98" s="1102"/>
      <c r="P98" s="1102"/>
      <c r="Q98" s="1102"/>
      <c r="BS98" s="833"/>
      <c r="BT98" s="833"/>
      <c r="BU98" s="833"/>
      <c r="BV98" s="833"/>
      <c r="BW98" s="833"/>
      <c r="BX98" s="833"/>
      <c r="BY98" s="833"/>
      <c r="BZ98" s="833"/>
      <c r="CA98" s="833"/>
      <c r="CB98" s="833"/>
      <c r="CC98" s="833"/>
      <c r="CD98" s="833"/>
      <c r="CE98" s="833"/>
      <c r="CF98" s="833"/>
      <c r="CG98" s="31"/>
      <c r="CH98" s="31"/>
      <c r="CI98" s="31"/>
      <c r="CJ98" s="31"/>
      <c r="CK98" s="31"/>
      <c r="CL98" s="31"/>
      <c r="CM98" s="31"/>
      <c r="CN98" s="31"/>
      <c r="CO98" s="31"/>
      <c r="CP98" s="31"/>
      <c r="CQ98" s="31"/>
      <c r="CR98" s="31"/>
      <c r="CS98" s="31"/>
    </row>
    <row r="99" spans="5:97" s="246" customFormat="1" x14ac:dyDescent="0.2">
      <c r="E99" s="1102"/>
      <c r="F99" s="1102"/>
      <c r="G99" s="2195"/>
      <c r="H99" s="1102"/>
      <c r="I99" s="1102"/>
      <c r="J99" s="1102"/>
      <c r="K99" s="1102"/>
      <c r="L99" s="1102"/>
      <c r="M99" s="1102"/>
      <c r="N99" s="1102"/>
      <c r="O99" s="1102"/>
      <c r="P99" s="1102"/>
      <c r="Q99" s="1102"/>
      <c r="BS99" s="833"/>
      <c r="BT99" s="833"/>
      <c r="BU99" s="833"/>
      <c r="BV99" s="833"/>
      <c r="BW99" s="833"/>
      <c r="BX99" s="833"/>
      <c r="BY99" s="833"/>
      <c r="BZ99" s="833"/>
      <c r="CA99" s="833"/>
      <c r="CB99" s="833"/>
      <c r="CC99" s="833"/>
      <c r="CD99" s="833"/>
      <c r="CE99" s="833"/>
      <c r="CF99" s="833"/>
      <c r="CG99" s="31"/>
      <c r="CH99" s="31"/>
      <c r="CI99" s="31"/>
      <c r="CJ99" s="31"/>
      <c r="CK99" s="31"/>
      <c r="CL99" s="31"/>
      <c r="CM99" s="31"/>
      <c r="CN99" s="31"/>
      <c r="CO99" s="31"/>
      <c r="CP99" s="31"/>
      <c r="CQ99" s="31"/>
      <c r="CR99" s="31"/>
      <c r="CS99" s="31"/>
    </row>
    <row r="100" spans="5:97" s="246" customFormat="1" x14ac:dyDescent="0.2">
      <c r="E100" s="1102"/>
      <c r="F100" s="1102"/>
      <c r="G100" s="2195"/>
      <c r="H100" s="1102"/>
      <c r="I100" s="1102"/>
      <c r="J100" s="1102"/>
      <c r="K100" s="1102"/>
      <c r="L100" s="1102"/>
      <c r="M100" s="1102"/>
      <c r="N100" s="1102"/>
      <c r="O100" s="1102"/>
      <c r="P100" s="1102"/>
      <c r="Q100" s="1102"/>
      <c r="BS100" s="379"/>
      <c r="BT100" s="379"/>
      <c r="BU100" s="379"/>
      <c r="BV100" s="379"/>
      <c r="BW100" s="379"/>
      <c r="BX100" s="379"/>
      <c r="BY100" s="379"/>
      <c r="BZ100" s="379"/>
      <c r="CA100" s="379"/>
      <c r="CB100" s="379"/>
      <c r="CC100" s="379"/>
      <c r="CD100" s="379"/>
      <c r="CE100" s="379"/>
      <c r="CF100" s="379"/>
      <c r="CG100" s="34"/>
      <c r="CH100" s="34"/>
      <c r="CI100" s="34"/>
      <c r="CJ100" s="34"/>
      <c r="CK100" s="34"/>
      <c r="CL100" s="34"/>
      <c r="CM100" s="34"/>
      <c r="CN100" s="34"/>
      <c r="CO100" s="34"/>
      <c r="CP100" s="34"/>
      <c r="CQ100" s="34"/>
      <c r="CR100" s="34"/>
      <c r="CS100" s="34"/>
    </row>
    <row r="101" spans="5:97" s="246" customFormat="1" x14ac:dyDescent="0.2">
      <c r="E101" s="1102"/>
      <c r="F101" s="1102"/>
      <c r="G101" s="2195"/>
      <c r="H101" s="1102"/>
      <c r="I101" s="1102"/>
      <c r="J101" s="1102"/>
      <c r="K101" s="1102"/>
      <c r="L101" s="1102"/>
      <c r="M101" s="1102"/>
      <c r="N101" s="1102"/>
      <c r="O101" s="1102"/>
      <c r="P101" s="1102"/>
      <c r="Q101" s="1102"/>
      <c r="BS101" s="379"/>
      <c r="BT101" s="379"/>
      <c r="BU101" s="379"/>
      <c r="BV101" s="379"/>
      <c r="BW101" s="379"/>
      <c r="BX101" s="379"/>
      <c r="BY101" s="379"/>
      <c r="BZ101" s="379"/>
      <c r="CA101" s="379"/>
      <c r="CB101" s="379"/>
      <c r="CC101" s="379"/>
      <c r="CD101" s="379"/>
      <c r="CE101" s="379"/>
      <c r="CF101" s="379"/>
      <c r="CG101" s="34"/>
      <c r="CH101" s="34"/>
      <c r="CI101" s="34"/>
      <c r="CJ101" s="34"/>
      <c r="CK101" s="34"/>
      <c r="CL101" s="34"/>
      <c r="CM101" s="34"/>
      <c r="CN101" s="34"/>
      <c r="CO101" s="34"/>
      <c r="CP101" s="34"/>
      <c r="CQ101" s="34"/>
      <c r="CR101" s="34"/>
      <c r="CS101" s="34"/>
    </row>
    <row r="102" spans="5:97" s="246" customFormat="1" x14ac:dyDescent="0.2">
      <c r="E102" s="1102"/>
      <c r="F102" s="1102"/>
      <c r="G102" s="2195"/>
      <c r="H102" s="1102"/>
      <c r="I102" s="1102"/>
      <c r="J102" s="1102"/>
      <c r="K102" s="1102"/>
      <c r="L102" s="1102"/>
      <c r="M102" s="1102"/>
      <c r="N102" s="1102"/>
      <c r="O102" s="1102"/>
      <c r="P102" s="1102"/>
      <c r="Q102" s="1102"/>
      <c r="BS102" s="833"/>
      <c r="BT102" s="833"/>
      <c r="BU102" s="833"/>
      <c r="BV102" s="833"/>
      <c r="BW102" s="833"/>
      <c r="BX102" s="833"/>
      <c r="BY102" s="833"/>
      <c r="BZ102" s="833"/>
      <c r="CA102" s="833"/>
      <c r="CB102" s="833"/>
      <c r="CC102" s="833"/>
      <c r="CD102" s="833"/>
      <c r="CE102" s="833"/>
      <c r="CF102" s="833"/>
      <c r="CG102" s="31"/>
      <c r="CH102" s="31"/>
      <c r="CI102" s="31"/>
      <c r="CJ102" s="31"/>
      <c r="CK102" s="31"/>
      <c r="CL102" s="31"/>
      <c r="CM102" s="31"/>
      <c r="CN102" s="31"/>
      <c r="CO102" s="31"/>
      <c r="CP102" s="31"/>
      <c r="CQ102" s="31"/>
      <c r="CR102" s="31"/>
      <c r="CS102" s="31"/>
    </row>
    <row r="103" spans="5:97" s="246" customFormat="1" x14ac:dyDescent="0.2">
      <c r="E103" s="1102"/>
      <c r="F103" s="1102"/>
      <c r="G103" s="2195"/>
      <c r="H103" s="1102"/>
      <c r="I103" s="1102"/>
      <c r="J103" s="1102"/>
      <c r="K103" s="1102"/>
      <c r="L103" s="1102"/>
      <c r="M103" s="1102"/>
      <c r="N103" s="1102"/>
      <c r="O103" s="1102"/>
      <c r="P103" s="1102"/>
      <c r="Q103" s="1102"/>
      <c r="BS103" s="833"/>
      <c r="BT103" s="833"/>
      <c r="BU103" s="833"/>
      <c r="BV103" s="833"/>
      <c r="BW103" s="833"/>
      <c r="BX103" s="833"/>
      <c r="BY103" s="833"/>
      <c r="BZ103" s="833"/>
      <c r="CA103" s="833"/>
      <c r="CB103" s="833"/>
      <c r="CC103" s="833"/>
      <c r="CD103" s="833"/>
      <c r="CE103" s="833"/>
      <c r="CF103" s="833"/>
      <c r="CG103" s="31"/>
      <c r="CH103" s="31"/>
      <c r="CI103" s="31"/>
      <c r="CJ103" s="31"/>
      <c r="CK103" s="31"/>
      <c r="CL103" s="31"/>
      <c r="CM103" s="31"/>
      <c r="CN103" s="31"/>
      <c r="CO103" s="31"/>
      <c r="CP103" s="31"/>
      <c r="CQ103" s="31"/>
      <c r="CR103" s="31"/>
      <c r="CS103" s="31"/>
    </row>
    <row r="104" spans="5:97" s="246" customFormat="1" x14ac:dyDescent="0.2">
      <c r="E104" s="1102"/>
      <c r="F104" s="1102"/>
      <c r="G104" s="2195"/>
      <c r="H104" s="1102"/>
      <c r="I104" s="1102"/>
      <c r="J104" s="1102"/>
      <c r="K104" s="1102"/>
      <c r="L104" s="1102"/>
      <c r="M104" s="1102"/>
      <c r="N104" s="1102"/>
      <c r="O104" s="1102"/>
      <c r="P104" s="1102"/>
      <c r="Q104" s="1102"/>
      <c r="BS104" s="833"/>
      <c r="BT104" s="833"/>
      <c r="BU104" s="833"/>
      <c r="BV104" s="833"/>
      <c r="BW104" s="833"/>
      <c r="BX104" s="833"/>
      <c r="BY104" s="833"/>
      <c r="BZ104" s="833"/>
      <c r="CA104" s="833"/>
      <c r="CB104" s="833"/>
      <c r="CC104" s="833"/>
      <c r="CD104" s="833"/>
      <c r="CE104" s="833"/>
      <c r="CF104" s="833"/>
      <c r="CG104" s="31"/>
      <c r="CH104" s="31"/>
      <c r="CI104" s="31"/>
      <c r="CJ104" s="31"/>
      <c r="CK104" s="31"/>
      <c r="CL104" s="31"/>
      <c r="CM104" s="31"/>
      <c r="CN104" s="31"/>
      <c r="CO104" s="31"/>
      <c r="CP104" s="31"/>
      <c r="CQ104" s="31"/>
      <c r="CR104" s="31"/>
      <c r="CS104" s="31"/>
    </row>
    <row r="105" spans="5:97" s="246" customFormat="1" x14ac:dyDescent="0.2">
      <c r="E105" s="1102"/>
      <c r="F105" s="1102"/>
      <c r="G105" s="2195"/>
      <c r="H105" s="1102"/>
      <c r="I105" s="1102"/>
      <c r="J105" s="1102"/>
      <c r="K105" s="1102"/>
      <c r="L105" s="1102"/>
      <c r="M105" s="1102"/>
      <c r="N105" s="1102"/>
      <c r="O105" s="1102"/>
      <c r="P105" s="1102"/>
      <c r="Q105" s="1102"/>
      <c r="BS105" s="833"/>
      <c r="BT105" s="833"/>
      <c r="BU105" s="833"/>
      <c r="BV105" s="833"/>
      <c r="BW105" s="833"/>
      <c r="BX105" s="833"/>
      <c r="BY105" s="833"/>
      <c r="BZ105" s="833"/>
      <c r="CA105" s="833"/>
      <c r="CB105" s="833"/>
      <c r="CC105" s="833"/>
      <c r="CD105" s="833"/>
      <c r="CE105" s="833"/>
      <c r="CF105" s="833"/>
      <c r="CG105" s="31"/>
      <c r="CH105" s="31"/>
      <c r="CI105" s="31"/>
      <c r="CJ105" s="31"/>
      <c r="CK105" s="31"/>
      <c r="CL105" s="31"/>
      <c r="CM105" s="31"/>
      <c r="CN105" s="31"/>
      <c r="CO105" s="31"/>
      <c r="CP105" s="31"/>
      <c r="CQ105" s="31"/>
      <c r="CR105" s="31"/>
      <c r="CS105" s="31"/>
    </row>
    <row r="106" spans="5:97" s="246" customFormat="1" x14ac:dyDescent="0.2">
      <c r="E106" s="1102"/>
      <c r="F106" s="1102"/>
      <c r="G106" s="2195"/>
      <c r="H106" s="1102"/>
      <c r="I106" s="1102"/>
      <c r="J106" s="1102"/>
      <c r="K106" s="1102"/>
      <c r="L106" s="1102"/>
      <c r="M106" s="1102"/>
      <c r="N106" s="1102"/>
      <c r="O106" s="1102"/>
      <c r="P106" s="1102"/>
      <c r="Q106" s="1102"/>
      <c r="BS106" s="833"/>
      <c r="BT106" s="833"/>
      <c r="BU106" s="833"/>
      <c r="BV106" s="833"/>
      <c r="BW106" s="833"/>
      <c r="BX106" s="833"/>
      <c r="BY106" s="833"/>
      <c r="BZ106" s="833"/>
      <c r="CA106" s="833"/>
      <c r="CB106" s="833"/>
      <c r="CC106" s="833"/>
      <c r="CD106" s="833"/>
      <c r="CE106" s="833"/>
      <c r="CF106" s="833"/>
      <c r="CG106" s="31"/>
      <c r="CH106" s="31"/>
      <c r="CI106" s="31"/>
      <c r="CJ106" s="31"/>
      <c r="CK106" s="31"/>
      <c r="CL106" s="31"/>
      <c r="CM106" s="31"/>
      <c r="CN106" s="31"/>
      <c r="CO106" s="31"/>
      <c r="CP106" s="31"/>
      <c r="CQ106" s="31"/>
      <c r="CR106" s="31"/>
      <c r="CS106" s="31"/>
    </row>
    <row r="107" spans="5:97" s="246" customFormat="1" x14ac:dyDescent="0.2">
      <c r="E107" s="1102"/>
      <c r="F107" s="1102"/>
      <c r="G107" s="2195"/>
      <c r="H107" s="1102"/>
      <c r="I107" s="1102"/>
      <c r="J107" s="1102"/>
      <c r="K107" s="1102"/>
      <c r="L107" s="1102"/>
      <c r="M107" s="1102"/>
      <c r="N107" s="1102"/>
      <c r="O107" s="1102"/>
      <c r="P107" s="1102"/>
      <c r="Q107" s="1102"/>
      <c r="BS107" s="833"/>
      <c r="BT107" s="833"/>
      <c r="BU107" s="833"/>
      <c r="BV107" s="833"/>
      <c r="BW107" s="833"/>
      <c r="BX107" s="833"/>
      <c r="BY107" s="833"/>
      <c r="BZ107" s="833"/>
      <c r="CA107" s="833"/>
      <c r="CB107" s="833"/>
      <c r="CC107" s="833"/>
      <c r="CD107" s="833"/>
      <c r="CE107" s="833"/>
      <c r="CF107" s="833"/>
      <c r="CG107" s="31"/>
      <c r="CH107" s="31"/>
      <c r="CI107" s="31"/>
      <c r="CJ107" s="31"/>
      <c r="CK107" s="31"/>
      <c r="CL107" s="31"/>
      <c r="CM107" s="31"/>
      <c r="CN107" s="31"/>
      <c r="CO107" s="31"/>
      <c r="CP107" s="31"/>
      <c r="CQ107" s="31"/>
      <c r="CR107" s="31"/>
      <c r="CS107" s="31"/>
    </row>
    <row r="108" spans="5:97" s="246" customFormat="1" x14ac:dyDescent="0.2">
      <c r="E108" s="1102"/>
      <c r="F108" s="1102"/>
      <c r="G108" s="2195"/>
      <c r="H108" s="1102"/>
      <c r="I108" s="1102"/>
      <c r="J108" s="1102"/>
      <c r="K108" s="1102"/>
      <c r="L108" s="1102"/>
      <c r="M108" s="1102"/>
      <c r="N108" s="1102"/>
      <c r="O108" s="1102"/>
      <c r="P108" s="1102"/>
      <c r="Q108" s="1102"/>
      <c r="BS108" s="833"/>
      <c r="BT108" s="833"/>
      <c r="BU108" s="833"/>
      <c r="BV108" s="833"/>
      <c r="BW108" s="833"/>
      <c r="BX108" s="833"/>
      <c r="BY108" s="833"/>
      <c r="BZ108" s="833"/>
      <c r="CA108" s="833"/>
      <c r="CB108" s="833"/>
      <c r="CC108" s="833"/>
      <c r="CD108" s="833"/>
      <c r="CE108" s="833"/>
      <c r="CF108" s="833"/>
      <c r="CG108" s="31"/>
      <c r="CH108" s="31"/>
      <c r="CI108" s="31"/>
      <c r="CJ108" s="31"/>
      <c r="CK108" s="31"/>
      <c r="CL108" s="31"/>
      <c r="CM108" s="31"/>
      <c r="CN108" s="31"/>
      <c r="CO108" s="31"/>
      <c r="CP108" s="31"/>
      <c r="CQ108" s="31"/>
      <c r="CR108" s="31"/>
      <c r="CS108" s="31"/>
    </row>
    <row r="109" spans="5:97" s="246" customFormat="1" x14ac:dyDescent="0.2">
      <c r="E109" s="1102"/>
      <c r="F109" s="1102"/>
      <c r="G109" s="2195"/>
      <c r="H109" s="1102"/>
      <c r="I109" s="1102"/>
      <c r="J109" s="1102"/>
      <c r="K109" s="1102"/>
      <c r="L109" s="1102"/>
      <c r="M109" s="1102"/>
      <c r="N109" s="1102"/>
      <c r="O109" s="1102"/>
      <c r="P109" s="1102"/>
      <c r="Q109" s="1102"/>
      <c r="BS109" s="833"/>
      <c r="BT109" s="833"/>
      <c r="BU109" s="833"/>
      <c r="BV109" s="833"/>
      <c r="BW109" s="833"/>
      <c r="BX109" s="833"/>
      <c r="BY109" s="833"/>
      <c r="BZ109" s="833"/>
      <c r="CA109" s="833"/>
      <c r="CB109" s="833"/>
      <c r="CC109" s="833"/>
      <c r="CD109" s="833"/>
      <c r="CE109" s="833"/>
      <c r="CF109" s="833"/>
      <c r="CG109" s="31"/>
      <c r="CH109" s="31"/>
      <c r="CI109" s="31"/>
      <c r="CJ109" s="31"/>
      <c r="CK109" s="31"/>
      <c r="CL109" s="31"/>
      <c r="CM109" s="31"/>
      <c r="CN109" s="31"/>
      <c r="CO109" s="31"/>
      <c r="CP109" s="31"/>
      <c r="CQ109" s="31"/>
      <c r="CR109" s="31"/>
      <c r="CS109" s="31"/>
    </row>
    <row r="110" spans="5:97" s="246" customFormat="1" x14ac:dyDescent="0.2">
      <c r="E110" s="1102"/>
      <c r="F110" s="1102"/>
      <c r="G110" s="2195"/>
      <c r="H110" s="1102"/>
      <c r="I110" s="1102"/>
      <c r="J110" s="1102"/>
      <c r="K110" s="1102"/>
      <c r="L110" s="1102"/>
      <c r="M110" s="1102"/>
      <c r="N110" s="1102"/>
      <c r="O110" s="1102"/>
      <c r="P110" s="1102"/>
      <c r="Q110" s="1102"/>
      <c r="BS110" s="833"/>
      <c r="BT110" s="833"/>
      <c r="BU110" s="833"/>
      <c r="BV110" s="833"/>
      <c r="BW110" s="833"/>
      <c r="BX110" s="833"/>
      <c r="BY110" s="833"/>
      <c r="BZ110" s="833"/>
      <c r="CA110" s="833"/>
      <c r="CB110" s="833"/>
      <c r="CC110" s="833"/>
      <c r="CD110" s="833"/>
      <c r="CE110" s="833"/>
      <c r="CF110" s="833"/>
      <c r="CG110" s="31"/>
      <c r="CH110" s="31"/>
      <c r="CI110" s="31"/>
      <c r="CJ110" s="31"/>
      <c r="CK110" s="31"/>
      <c r="CL110" s="31"/>
      <c r="CM110" s="31"/>
      <c r="CN110" s="31"/>
      <c r="CO110" s="31"/>
      <c r="CP110" s="31"/>
      <c r="CQ110" s="31"/>
      <c r="CR110" s="31"/>
      <c r="CS110" s="31"/>
    </row>
    <row r="111" spans="5:97" s="246" customFormat="1" x14ac:dyDescent="0.2">
      <c r="E111" s="1102"/>
      <c r="F111" s="1102"/>
      <c r="G111" s="2195"/>
      <c r="H111" s="1102"/>
      <c r="I111" s="1102"/>
      <c r="J111" s="1102"/>
      <c r="K111" s="1102"/>
      <c r="L111" s="1102"/>
      <c r="M111" s="1102"/>
      <c r="N111" s="1102"/>
      <c r="O111" s="1102"/>
      <c r="P111" s="1102"/>
      <c r="Q111" s="1102"/>
      <c r="BS111" s="833"/>
      <c r="BT111" s="833"/>
      <c r="BU111" s="833"/>
      <c r="BV111" s="833"/>
      <c r="BW111" s="833"/>
      <c r="BX111" s="833"/>
      <c r="BY111" s="833"/>
      <c r="BZ111" s="833"/>
      <c r="CA111" s="833"/>
      <c r="CB111" s="833"/>
      <c r="CC111" s="833"/>
      <c r="CD111" s="833"/>
      <c r="CE111" s="833"/>
      <c r="CF111" s="833"/>
      <c r="CG111" s="31"/>
      <c r="CH111" s="31"/>
      <c r="CI111" s="31"/>
      <c r="CJ111" s="31"/>
      <c r="CK111" s="31"/>
      <c r="CL111" s="31"/>
      <c r="CM111" s="31"/>
      <c r="CN111" s="31"/>
      <c r="CO111" s="31"/>
      <c r="CP111" s="31"/>
      <c r="CQ111" s="31"/>
      <c r="CR111" s="31"/>
      <c r="CS111" s="31"/>
    </row>
    <row r="112" spans="5:97" s="246" customFormat="1" x14ac:dyDescent="0.2">
      <c r="E112" s="1102"/>
      <c r="F112" s="1102"/>
      <c r="G112" s="2195"/>
      <c r="H112" s="1102"/>
      <c r="I112" s="1102"/>
      <c r="J112" s="1102"/>
      <c r="K112" s="1102"/>
      <c r="L112" s="1102"/>
      <c r="M112" s="1102"/>
      <c r="N112" s="1102"/>
      <c r="O112" s="1102"/>
      <c r="P112" s="1102"/>
      <c r="Q112" s="1102"/>
      <c r="BS112" s="833"/>
      <c r="BT112" s="833"/>
      <c r="BU112" s="833"/>
      <c r="BV112" s="833"/>
      <c r="BW112" s="833"/>
      <c r="BX112" s="833"/>
      <c r="BY112" s="833"/>
      <c r="BZ112" s="833"/>
      <c r="CA112" s="833"/>
      <c r="CB112" s="833"/>
      <c r="CC112" s="833"/>
      <c r="CD112" s="833"/>
      <c r="CE112" s="833"/>
      <c r="CF112" s="833"/>
      <c r="CG112" s="31"/>
      <c r="CH112" s="31"/>
      <c r="CI112" s="31"/>
      <c r="CJ112" s="31"/>
      <c r="CK112" s="31"/>
      <c r="CL112" s="31"/>
      <c r="CM112" s="31"/>
      <c r="CN112" s="31"/>
      <c r="CO112" s="31"/>
      <c r="CP112" s="31"/>
      <c r="CQ112" s="31"/>
      <c r="CR112" s="31"/>
      <c r="CS112" s="31"/>
    </row>
    <row r="113" spans="5:97" s="246" customFormat="1" x14ac:dyDescent="0.2">
      <c r="E113" s="1102"/>
      <c r="F113" s="1102"/>
      <c r="G113" s="2195"/>
      <c r="H113" s="1102"/>
      <c r="I113" s="1102"/>
      <c r="J113" s="1102"/>
      <c r="K113" s="1102"/>
      <c r="L113" s="1102"/>
      <c r="M113" s="1102"/>
      <c r="N113" s="1102"/>
      <c r="O113" s="1102"/>
      <c r="P113" s="1102"/>
      <c r="Q113" s="1102"/>
      <c r="BS113" s="833"/>
      <c r="BT113" s="833"/>
      <c r="BU113" s="833"/>
      <c r="BV113" s="833"/>
      <c r="BW113" s="833"/>
      <c r="BX113" s="833"/>
      <c r="BY113" s="833"/>
      <c r="BZ113" s="833"/>
      <c r="CA113" s="833"/>
      <c r="CB113" s="833"/>
      <c r="CC113" s="833"/>
      <c r="CD113" s="833"/>
      <c r="CE113" s="833"/>
      <c r="CF113" s="833"/>
      <c r="CG113" s="31"/>
      <c r="CH113" s="31"/>
      <c r="CI113" s="31"/>
      <c r="CJ113" s="31"/>
      <c r="CK113" s="31"/>
      <c r="CL113" s="31"/>
      <c r="CM113" s="31"/>
      <c r="CN113" s="31"/>
      <c r="CO113" s="31"/>
      <c r="CP113" s="31"/>
      <c r="CQ113" s="31"/>
      <c r="CR113" s="31"/>
      <c r="CS113" s="31"/>
    </row>
    <row r="114" spans="5:97" s="246" customFormat="1" x14ac:dyDescent="0.2">
      <c r="E114" s="1102"/>
      <c r="F114" s="1102"/>
      <c r="G114" s="2195"/>
      <c r="H114" s="1102"/>
      <c r="I114" s="1102"/>
      <c r="J114" s="1102"/>
      <c r="K114" s="1102"/>
      <c r="L114" s="1102"/>
      <c r="M114" s="1102"/>
      <c r="N114" s="1102"/>
      <c r="O114" s="1102"/>
      <c r="P114" s="1102"/>
      <c r="Q114" s="1102"/>
      <c r="BS114" s="833"/>
      <c r="BT114" s="833"/>
      <c r="BU114" s="833"/>
      <c r="BV114" s="833"/>
      <c r="BW114" s="833"/>
      <c r="BX114" s="833"/>
      <c r="BY114" s="833"/>
      <c r="BZ114" s="833"/>
      <c r="CA114" s="833"/>
      <c r="CB114" s="833"/>
      <c r="CC114" s="833"/>
      <c r="CD114" s="833"/>
      <c r="CE114" s="833"/>
      <c r="CF114" s="833"/>
      <c r="CG114" s="31"/>
      <c r="CH114" s="31"/>
      <c r="CI114" s="31"/>
      <c r="CJ114" s="31"/>
      <c r="CK114" s="31"/>
      <c r="CL114" s="31"/>
      <c r="CM114" s="31"/>
      <c r="CN114" s="31"/>
      <c r="CO114" s="31"/>
      <c r="CP114" s="31"/>
      <c r="CQ114" s="31"/>
      <c r="CR114" s="31"/>
      <c r="CS114" s="31"/>
    </row>
    <row r="115" spans="5:97" s="246" customFormat="1" x14ac:dyDescent="0.2">
      <c r="E115" s="1102"/>
      <c r="F115" s="1102"/>
      <c r="G115" s="2195"/>
      <c r="H115" s="1102"/>
      <c r="I115" s="1102"/>
      <c r="J115" s="1102"/>
      <c r="K115" s="1102"/>
      <c r="L115" s="1102"/>
      <c r="M115" s="1102"/>
      <c r="N115" s="1102"/>
      <c r="O115" s="1102"/>
      <c r="P115" s="1102"/>
      <c r="Q115" s="1102"/>
      <c r="BS115" s="833"/>
      <c r="BT115" s="833"/>
      <c r="BU115" s="833"/>
      <c r="BV115" s="833"/>
      <c r="BW115" s="833"/>
      <c r="BX115" s="833"/>
      <c r="BY115" s="833"/>
      <c r="BZ115" s="833"/>
      <c r="CA115" s="833"/>
      <c r="CB115" s="833"/>
      <c r="CC115" s="833"/>
      <c r="CD115" s="833"/>
      <c r="CE115" s="833"/>
      <c r="CF115" s="833"/>
      <c r="CG115" s="31"/>
      <c r="CH115" s="31"/>
      <c r="CI115" s="31"/>
      <c r="CJ115" s="31"/>
      <c r="CK115" s="31"/>
      <c r="CL115" s="31"/>
      <c r="CM115" s="31"/>
      <c r="CN115" s="31"/>
      <c r="CO115" s="31"/>
      <c r="CP115" s="31"/>
      <c r="CQ115" s="31"/>
      <c r="CR115" s="31"/>
      <c r="CS115" s="31"/>
    </row>
    <row r="116" spans="5:97" s="246" customFormat="1" x14ac:dyDescent="0.2">
      <c r="E116" s="1102"/>
      <c r="F116" s="1102"/>
      <c r="G116" s="2195"/>
      <c r="H116" s="1102"/>
      <c r="I116" s="1102"/>
      <c r="J116" s="1102"/>
      <c r="K116" s="1102"/>
      <c r="L116" s="1102"/>
      <c r="M116" s="1102"/>
      <c r="N116" s="1102"/>
      <c r="O116" s="1102"/>
      <c r="P116" s="1102"/>
      <c r="Q116" s="1102"/>
      <c r="BS116" s="833"/>
      <c r="BT116" s="833"/>
      <c r="BU116" s="833"/>
      <c r="BV116" s="833"/>
      <c r="BW116" s="833"/>
      <c r="BX116" s="833"/>
      <c r="BY116" s="833"/>
      <c r="BZ116" s="833"/>
      <c r="CA116" s="833"/>
      <c r="CB116" s="833"/>
      <c r="CC116" s="833"/>
      <c r="CD116" s="833"/>
      <c r="CE116" s="833"/>
      <c r="CF116" s="833"/>
      <c r="CG116" s="31"/>
      <c r="CH116" s="31"/>
      <c r="CI116" s="31"/>
      <c r="CJ116" s="31"/>
      <c r="CK116" s="31"/>
      <c r="CL116" s="31"/>
      <c r="CM116" s="31"/>
      <c r="CN116" s="31"/>
      <c r="CO116" s="31"/>
      <c r="CP116" s="31"/>
      <c r="CQ116" s="31"/>
      <c r="CR116" s="31"/>
      <c r="CS116" s="31"/>
    </row>
    <row r="117" spans="5:97" s="246" customFormat="1" x14ac:dyDescent="0.2">
      <c r="E117" s="1102"/>
      <c r="F117" s="1102"/>
      <c r="G117" s="2195"/>
      <c r="H117" s="1102"/>
      <c r="I117" s="1102"/>
      <c r="J117" s="1102"/>
      <c r="K117" s="1102"/>
      <c r="L117" s="1102"/>
      <c r="M117" s="1102"/>
      <c r="N117" s="1102"/>
      <c r="O117" s="1102"/>
      <c r="P117" s="1102"/>
      <c r="Q117" s="1102"/>
      <c r="BS117" s="833"/>
      <c r="BT117" s="833"/>
      <c r="BU117" s="833"/>
      <c r="BV117" s="833"/>
      <c r="BW117" s="833"/>
      <c r="BX117" s="833"/>
      <c r="BY117" s="833"/>
      <c r="BZ117" s="833"/>
      <c r="CA117" s="833"/>
      <c r="CB117" s="833"/>
      <c r="CC117" s="833"/>
      <c r="CD117" s="833"/>
      <c r="CE117" s="833"/>
      <c r="CF117" s="833"/>
      <c r="CG117" s="31"/>
      <c r="CH117" s="31"/>
      <c r="CI117" s="31"/>
      <c r="CJ117" s="31"/>
      <c r="CK117" s="31"/>
      <c r="CL117" s="31"/>
      <c r="CM117" s="31"/>
      <c r="CN117" s="31"/>
      <c r="CO117" s="31"/>
      <c r="CP117" s="31"/>
      <c r="CQ117" s="31"/>
      <c r="CR117" s="31"/>
      <c r="CS117" s="31"/>
    </row>
    <row r="118" spans="5:97" s="246" customFormat="1" x14ac:dyDescent="0.2">
      <c r="E118" s="1102"/>
      <c r="F118" s="1102"/>
      <c r="G118" s="2195"/>
      <c r="H118" s="1102"/>
      <c r="I118" s="1102"/>
      <c r="J118" s="1102"/>
      <c r="K118" s="1102"/>
      <c r="L118" s="1102"/>
      <c r="M118" s="1102"/>
      <c r="N118" s="1102"/>
      <c r="O118" s="1102"/>
      <c r="P118" s="1102"/>
      <c r="Q118" s="1102"/>
      <c r="BS118" s="379"/>
      <c r="BT118" s="379"/>
      <c r="BU118" s="379"/>
      <c r="BV118" s="379"/>
      <c r="BW118" s="379"/>
      <c r="BX118" s="379"/>
      <c r="BY118" s="379"/>
      <c r="BZ118" s="379"/>
      <c r="CA118" s="379"/>
      <c r="CB118" s="379"/>
      <c r="CC118" s="379"/>
      <c r="CD118" s="379"/>
      <c r="CE118" s="379"/>
      <c r="CF118" s="379"/>
      <c r="CG118" s="34"/>
      <c r="CH118" s="34"/>
      <c r="CI118" s="34"/>
      <c r="CJ118" s="34"/>
      <c r="CK118" s="34"/>
      <c r="CL118" s="34"/>
      <c r="CM118" s="34"/>
      <c r="CN118" s="34"/>
      <c r="CO118" s="34"/>
      <c r="CP118" s="34"/>
      <c r="CQ118" s="34"/>
      <c r="CR118" s="34"/>
      <c r="CS118" s="34"/>
    </row>
    <row r="119" spans="5:97" s="246" customFormat="1" x14ac:dyDescent="0.2">
      <c r="E119" s="1102"/>
      <c r="F119" s="1102"/>
      <c r="G119" s="2195"/>
      <c r="H119" s="1102"/>
      <c r="I119" s="1102"/>
      <c r="J119" s="1102"/>
      <c r="K119" s="1102"/>
      <c r="L119" s="1102"/>
      <c r="M119" s="1102"/>
      <c r="N119" s="1102"/>
      <c r="O119" s="1102"/>
      <c r="P119" s="1102"/>
      <c r="Q119" s="1102"/>
      <c r="BS119" s="379"/>
      <c r="BT119" s="379"/>
      <c r="BU119" s="613"/>
      <c r="BV119" s="613"/>
      <c r="BW119" s="613"/>
      <c r="BX119" s="613"/>
      <c r="BY119" s="613"/>
      <c r="BZ119" s="613"/>
      <c r="CA119" s="613"/>
      <c r="CB119" s="613"/>
      <c r="CC119" s="613"/>
      <c r="CD119" s="613"/>
      <c r="CE119" s="613"/>
      <c r="CF119" s="613"/>
      <c r="CG119" s="39"/>
      <c r="CH119" s="39"/>
      <c r="CI119" s="39"/>
      <c r="CJ119" s="39"/>
      <c r="CK119" s="39"/>
      <c r="CL119" s="39"/>
      <c r="CM119" s="39"/>
      <c r="CN119" s="39"/>
      <c r="CO119" s="39"/>
      <c r="CP119" s="39"/>
      <c r="CQ119" s="39"/>
      <c r="CR119" s="39"/>
      <c r="CS119" s="39"/>
    </row>
    <row r="120" spans="5:97" s="246" customFormat="1" x14ac:dyDescent="0.2">
      <c r="E120" s="1102"/>
      <c r="F120" s="1102"/>
      <c r="G120" s="2195"/>
      <c r="H120" s="1102"/>
      <c r="I120" s="1102"/>
      <c r="J120" s="1102"/>
      <c r="K120" s="1102"/>
      <c r="L120" s="1102"/>
      <c r="M120" s="1102"/>
      <c r="N120" s="1102"/>
      <c r="O120" s="1102"/>
      <c r="P120" s="1102"/>
      <c r="Q120" s="1102"/>
      <c r="BS120" s="379"/>
      <c r="BT120" s="379"/>
      <c r="BU120" s="613"/>
      <c r="BV120" s="613"/>
      <c r="BW120" s="613"/>
      <c r="BX120" s="613"/>
      <c r="BY120" s="613"/>
      <c r="BZ120" s="613"/>
      <c r="CA120" s="613"/>
      <c r="CB120" s="613"/>
      <c r="CC120" s="613"/>
      <c r="CD120" s="613"/>
      <c r="CE120" s="613"/>
      <c r="CF120" s="613"/>
      <c r="CG120" s="39"/>
      <c r="CH120" s="39"/>
      <c r="CI120" s="39"/>
      <c r="CJ120" s="39"/>
      <c r="CK120" s="39"/>
      <c r="CL120" s="39"/>
      <c r="CM120" s="39"/>
      <c r="CN120" s="39"/>
      <c r="CO120" s="39"/>
      <c r="CP120" s="39"/>
      <c r="CQ120" s="39"/>
      <c r="CR120" s="39"/>
      <c r="CS120" s="39"/>
    </row>
    <row r="121" spans="5:97" s="246" customFormat="1" x14ac:dyDescent="0.2">
      <c r="E121" s="1102"/>
      <c r="F121" s="1102"/>
      <c r="G121" s="2195"/>
      <c r="H121" s="1102"/>
      <c r="I121" s="1102"/>
      <c r="J121" s="1102"/>
      <c r="K121" s="1102"/>
      <c r="L121" s="1102"/>
      <c r="M121" s="1102"/>
      <c r="N121" s="1102"/>
      <c r="O121" s="1102"/>
      <c r="P121" s="1102"/>
      <c r="Q121" s="1102"/>
      <c r="BS121" s="379"/>
      <c r="BT121" s="379"/>
      <c r="BU121" s="379"/>
      <c r="BV121" s="379"/>
      <c r="BW121" s="379"/>
      <c r="BX121" s="379"/>
      <c r="BY121" s="379"/>
      <c r="BZ121" s="379"/>
      <c r="CA121" s="379"/>
      <c r="CB121" s="379"/>
      <c r="CC121" s="379"/>
      <c r="CD121" s="379"/>
      <c r="CE121" s="379"/>
      <c r="CF121" s="379"/>
      <c r="CG121" s="34"/>
      <c r="CH121" s="34"/>
      <c r="CI121" s="34"/>
      <c r="CJ121" s="34"/>
      <c r="CK121" s="34"/>
      <c r="CL121" s="34"/>
      <c r="CM121" s="34"/>
      <c r="CN121" s="34"/>
      <c r="CO121" s="34"/>
      <c r="CP121" s="34"/>
      <c r="CQ121" s="34"/>
      <c r="CR121" s="34"/>
      <c r="CS121" s="34"/>
    </row>
    <row r="122" spans="5:97" s="246" customFormat="1" x14ac:dyDescent="0.2">
      <c r="E122" s="1102"/>
      <c r="F122" s="1102"/>
      <c r="G122" s="2195"/>
      <c r="H122" s="1102"/>
      <c r="I122" s="1102"/>
      <c r="J122" s="1102"/>
      <c r="K122" s="1102"/>
      <c r="L122" s="1102"/>
      <c r="M122" s="1102"/>
      <c r="N122" s="1102"/>
      <c r="O122" s="1102"/>
      <c r="P122" s="1102"/>
      <c r="Q122" s="1102"/>
      <c r="BS122" s="833"/>
      <c r="BT122" s="833"/>
      <c r="BU122" s="833"/>
      <c r="BV122" s="833"/>
      <c r="BW122" s="833"/>
      <c r="BX122" s="833"/>
      <c r="BY122" s="833"/>
      <c r="BZ122" s="833"/>
      <c r="CA122" s="833"/>
      <c r="CB122" s="833"/>
      <c r="CC122" s="833"/>
      <c r="CD122" s="833"/>
      <c r="CE122" s="833"/>
      <c r="CF122" s="833"/>
      <c r="CG122" s="31"/>
      <c r="CH122" s="31"/>
      <c r="CI122" s="31"/>
      <c r="CJ122" s="31"/>
      <c r="CK122" s="31"/>
      <c r="CL122" s="31"/>
      <c r="CM122" s="31"/>
      <c r="CN122" s="31"/>
      <c r="CO122" s="31"/>
      <c r="CP122" s="31"/>
      <c r="CQ122" s="31"/>
      <c r="CR122" s="31"/>
      <c r="CS122" s="31"/>
    </row>
    <row r="123" spans="5:97" s="246" customFormat="1" x14ac:dyDescent="0.2">
      <c r="E123" s="1102"/>
      <c r="F123" s="1102"/>
      <c r="G123" s="2195"/>
      <c r="H123" s="1102"/>
      <c r="I123" s="1102"/>
      <c r="J123" s="1102"/>
      <c r="K123" s="1102"/>
      <c r="L123" s="1102"/>
      <c r="M123" s="1102"/>
      <c r="N123" s="1102"/>
      <c r="O123" s="1102"/>
      <c r="P123" s="1102"/>
      <c r="Q123" s="1102"/>
      <c r="BS123" s="833"/>
      <c r="BT123" s="833"/>
      <c r="BU123" s="833"/>
      <c r="BV123" s="833"/>
      <c r="BW123" s="833"/>
      <c r="BX123" s="833"/>
      <c r="BY123" s="833"/>
      <c r="BZ123" s="833"/>
      <c r="CA123" s="833"/>
      <c r="CB123" s="833"/>
      <c r="CC123" s="833"/>
      <c r="CD123" s="833"/>
      <c r="CE123" s="833"/>
      <c r="CF123" s="833"/>
      <c r="CG123" s="34"/>
      <c r="CH123" s="34"/>
      <c r="CI123" s="34"/>
      <c r="CJ123" s="34"/>
      <c r="CK123" s="34"/>
      <c r="CL123" s="34"/>
      <c r="CM123" s="34"/>
      <c r="CN123" s="34"/>
      <c r="CO123" s="34"/>
      <c r="CP123" s="34"/>
      <c r="CQ123" s="34"/>
      <c r="CR123" s="34"/>
      <c r="CS123" s="34"/>
    </row>
    <row r="124" spans="5:97" s="246" customFormat="1" x14ac:dyDescent="0.2">
      <c r="E124" s="1102"/>
      <c r="F124" s="1102"/>
      <c r="G124" s="2195"/>
      <c r="H124" s="1102"/>
      <c r="I124" s="1102"/>
      <c r="J124" s="1102"/>
      <c r="K124" s="1102"/>
      <c r="L124" s="1102"/>
      <c r="M124" s="1102"/>
      <c r="N124" s="1102"/>
      <c r="O124" s="1102"/>
      <c r="P124" s="1102"/>
      <c r="Q124" s="1102"/>
      <c r="BS124" s="379"/>
      <c r="BT124" s="379"/>
      <c r="BU124" s="379"/>
      <c r="BV124" s="379"/>
      <c r="BW124" s="379"/>
      <c r="BX124" s="379"/>
      <c r="BY124" s="379"/>
      <c r="BZ124" s="379"/>
      <c r="CA124" s="379"/>
      <c r="CB124" s="379"/>
      <c r="CC124" s="379"/>
      <c r="CD124" s="379"/>
      <c r="CE124" s="379"/>
      <c r="CF124" s="379"/>
      <c r="CG124" s="34"/>
      <c r="CH124" s="34"/>
      <c r="CI124" s="34"/>
      <c r="CJ124" s="34"/>
      <c r="CK124" s="34"/>
      <c r="CL124" s="34"/>
      <c r="CM124" s="34"/>
      <c r="CN124" s="34"/>
      <c r="CO124" s="34"/>
      <c r="CP124" s="34"/>
      <c r="CQ124" s="34"/>
      <c r="CR124" s="34"/>
      <c r="CS124" s="34"/>
    </row>
    <row r="125" spans="5:97" s="246" customFormat="1" x14ac:dyDescent="0.2">
      <c r="E125" s="1102"/>
      <c r="F125" s="1102"/>
      <c r="G125" s="2195"/>
      <c r="H125" s="1102"/>
      <c r="I125" s="1102"/>
      <c r="J125" s="1102"/>
      <c r="K125" s="1102"/>
      <c r="L125" s="1102"/>
      <c r="M125" s="1102"/>
      <c r="N125" s="1102"/>
      <c r="O125" s="1102"/>
      <c r="P125" s="1102"/>
      <c r="Q125" s="1102"/>
      <c r="BS125" s="833"/>
      <c r="BT125" s="833"/>
      <c r="BU125" s="833"/>
      <c r="BV125" s="833"/>
      <c r="BW125" s="833"/>
      <c r="BX125" s="833"/>
      <c r="BY125" s="833"/>
      <c r="BZ125" s="833"/>
      <c r="CA125" s="833"/>
      <c r="CB125" s="833"/>
      <c r="CC125" s="833"/>
      <c r="CD125" s="833"/>
      <c r="CE125" s="833"/>
      <c r="CF125" s="833"/>
      <c r="CG125" s="31"/>
      <c r="CH125" s="31"/>
      <c r="CI125" s="31"/>
      <c r="CJ125" s="31"/>
      <c r="CK125" s="31"/>
      <c r="CL125" s="31"/>
      <c r="CM125" s="31"/>
      <c r="CN125" s="31"/>
      <c r="CO125" s="31"/>
      <c r="CP125" s="31"/>
      <c r="CQ125" s="31"/>
      <c r="CR125" s="31"/>
      <c r="CS125" s="31"/>
    </row>
    <row r="126" spans="5:97" s="246" customFormat="1" x14ac:dyDescent="0.2">
      <c r="E126" s="1102"/>
      <c r="F126" s="1102"/>
      <c r="G126" s="2195"/>
      <c r="H126" s="1102"/>
      <c r="I126" s="1102"/>
      <c r="J126" s="1102"/>
      <c r="K126" s="1102"/>
      <c r="L126" s="1102"/>
      <c r="M126" s="1102"/>
      <c r="N126" s="1102"/>
      <c r="O126" s="1102"/>
      <c r="P126" s="1102"/>
      <c r="Q126" s="1102"/>
      <c r="BS126" s="833"/>
      <c r="BT126" s="833"/>
      <c r="BU126" s="833"/>
      <c r="BV126" s="833"/>
      <c r="BW126" s="833"/>
      <c r="BX126" s="833"/>
      <c r="BY126" s="833"/>
      <c r="BZ126" s="833"/>
      <c r="CA126" s="833"/>
      <c r="CB126" s="833"/>
      <c r="CC126" s="833"/>
      <c r="CD126" s="833"/>
      <c r="CE126" s="833"/>
      <c r="CF126" s="833"/>
      <c r="CG126" s="31"/>
      <c r="CH126" s="31"/>
      <c r="CI126" s="31"/>
      <c r="CJ126" s="31"/>
      <c r="CK126" s="31"/>
      <c r="CL126" s="31"/>
      <c r="CM126" s="31"/>
      <c r="CN126" s="31"/>
      <c r="CO126" s="31"/>
      <c r="CP126" s="31"/>
      <c r="CQ126" s="31"/>
      <c r="CR126" s="31"/>
      <c r="CS126" s="31"/>
    </row>
    <row r="127" spans="5:97" s="246" customFormat="1" x14ac:dyDescent="0.2">
      <c r="E127" s="1102"/>
      <c r="F127" s="1102"/>
      <c r="G127" s="2195"/>
      <c r="H127" s="1102"/>
      <c r="I127" s="1102"/>
      <c r="J127" s="1102"/>
      <c r="K127" s="1102"/>
      <c r="L127" s="1102"/>
      <c r="M127" s="1102"/>
      <c r="N127" s="1102"/>
      <c r="O127" s="1102"/>
      <c r="P127" s="1102"/>
      <c r="Q127" s="1102"/>
      <c r="BS127" s="833"/>
      <c r="BT127" s="833"/>
      <c r="BU127" s="833"/>
      <c r="BV127" s="833"/>
      <c r="BW127" s="833"/>
      <c r="BX127" s="833"/>
      <c r="BY127" s="833"/>
      <c r="BZ127" s="833"/>
      <c r="CA127" s="833"/>
      <c r="CB127" s="833"/>
      <c r="CC127" s="833"/>
      <c r="CD127" s="833"/>
      <c r="CE127" s="833"/>
      <c r="CF127" s="833"/>
      <c r="CG127" s="31"/>
      <c r="CH127" s="31"/>
      <c r="CI127" s="31"/>
      <c r="CJ127" s="31"/>
      <c r="CK127" s="31"/>
      <c r="CL127" s="31"/>
      <c r="CM127" s="31"/>
      <c r="CN127" s="31"/>
      <c r="CO127" s="31"/>
      <c r="CP127" s="31"/>
      <c r="CQ127" s="31"/>
      <c r="CR127" s="31"/>
      <c r="CS127" s="31"/>
    </row>
    <row r="128" spans="5:97" s="246" customFormat="1" x14ac:dyDescent="0.2">
      <c r="E128" s="1102"/>
      <c r="F128" s="1102"/>
      <c r="G128" s="2195"/>
      <c r="H128" s="1102"/>
      <c r="I128" s="1102"/>
      <c r="J128" s="1102"/>
      <c r="K128" s="1102"/>
      <c r="L128" s="1102"/>
      <c r="M128" s="1102"/>
      <c r="N128" s="1102"/>
      <c r="O128" s="1102"/>
      <c r="P128" s="1102"/>
      <c r="Q128" s="1102"/>
      <c r="BS128" s="833"/>
      <c r="BT128" s="833"/>
      <c r="BU128" s="833"/>
      <c r="BV128" s="833"/>
      <c r="BW128" s="833"/>
      <c r="BX128" s="833"/>
      <c r="BY128" s="833"/>
      <c r="BZ128" s="833"/>
      <c r="CA128" s="833"/>
      <c r="CB128" s="833"/>
      <c r="CC128" s="833"/>
      <c r="CD128" s="833"/>
      <c r="CE128" s="833"/>
      <c r="CF128" s="833"/>
      <c r="CG128" s="31"/>
      <c r="CH128" s="31"/>
      <c r="CI128" s="31"/>
      <c r="CJ128" s="31"/>
      <c r="CK128" s="31"/>
      <c r="CL128" s="31"/>
      <c r="CM128" s="31"/>
      <c r="CN128" s="31"/>
      <c r="CO128" s="31"/>
      <c r="CP128" s="31"/>
      <c r="CQ128" s="31"/>
      <c r="CR128" s="31"/>
      <c r="CS128" s="31"/>
    </row>
    <row r="129" spans="5:97" s="246" customFormat="1" x14ac:dyDescent="0.2">
      <c r="E129" s="1102"/>
      <c r="F129" s="1102"/>
      <c r="G129" s="2195"/>
      <c r="H129" s="1102"/>
      <c r="I129" s="1102"/>
      <c r="J129" s="1102"/>
      <c r="K129" s="1102"/>
      <c r="L129" s="1102"/>
      <c r="M129" s="1102"/>
      <c r="N129" s="1102"/>
      <c r="O129" s="1102"/>
      <c r="P129" s="1102"/>
      <c r="Q129" s="1102"/>
      <c r="BS129" s="833"/>
      <c r="BT129" s="833"/>
      <c r="BU129" s="833"/>
      <c r="BV129" s="833"/>
      <c r="BW129" s="833"/>
      <c r="BX129" s="833"/>
      <c r="BY129" s="833"/>
      <c r="BZ129" s="833"/>
      <c r="CA129" s="833"/>
      <c r="CB129" s="833"/>
      <c r="CC129" s="833"/>
      <c r="CD129" s="833"/>
      <c r="CE129" s="833"/>
      <c r="CF129" s="833"/>
      <c r="CG129" s="31"/>
      <c r="CH129" s="31"/>
      <c r="CI129" s="31"/>
      <c r="CJ129" s="31"/>
      <c r="CK129" s="31"/>
      <c r="CL129" s="31"/>
      <c r="CM129" s="31"/>
      <c r="CN129" s="31"/>
      <c r="CO129" s="31"/>
      <c r="CP129" s="31"/>
      <c r="CQ129" s="31"/>
      <c r="CR129" s="31"/>
      <c r="CS129" s="31"/>
    </row>
    <row r="130" spans="5:97" s="246" customFormat="1" x14ac:dyDescent="0.2">
      <c r="E130" s="1102"/>
      <c r="F130" s="1102"/>
      <c r="G130" s="2195"/>
      <c r="H130" s="1102"/>
      <c r="I130" s="1102"/>
      <c r="J130" s="1102"/>
      <c r="K130" s="1102"/>
      <c r="L130" s="1102"/>
      <c r="M130" s="1102"/>
      <c r="N130" s="1102"/>
      <c r="O130" s="1102"/>
      <c r="P130" s="1102"/>
      <c r="Q130" s="1102"/>
      <c r="BS130" s="833"/>
      <c r="BT130" s="833"/>
      <c r="BU130" s="833"/>
      <c r="BV130" s="833"/>
      <c r="BW130" s="833"/>
      <c r="BX130" s="833"/>
      <c r="BY130" s="833"/>
      <c r="BZ130" s="833"/>
      <c r="CA130" s="833"/>
      <c r="CB130" s="833"/>
      <c r="CC130" s="833"/>
      <c r="CD130" s="833"/>
      <c r="CE130" s="833"/>
      <c r="CF130" s="833"/>
      <c r="CG130" s="31"/>
      <c r="CH130" s="31"/>
      <c r="CI130" s="31"/>
      <c r="CJ130" s="31"/>
      <c r="CK130" s="31"/>
      <c r="CL130" s="31"/>
      <c r="CM130" s="31"/>
      <c r="CN130" s="31"/>
      <c r="CO130" s="31"/>
      <c r="CP130" s="31"/>
      <c r="CQ130" s="31"/>
      <c r="CR130" s="31"/>
      <c r="CS130" s="31"/>
    </row>
    <row r="131" spans="5:97" s="246" customFormat="1" x14ac:dyDescent="0.2">
      <c r="E131" s="1102"/>
      <c r="F131" s="1102"/>
      <c r="G131" s="2195"/>
      <c r="H131" s="1102"/>
      <c r="I131" s="1102"/>
      <c r="J131" s="1102"/>
      <c r="K131" s="1102"/>
      <c r="L131" s="1102"/>
      <c r="M131" s="1102"/>
      <c r="N131" s="1102"/>
      <c r="O131" s="1102"/>
      <c r="P131" s="1102"/>
      <c r="Q131" s="1102"/>
      <c r="BS131" s="833"/>
      <c r="BT131" s="833"/>
      <c r="BU131" s="833"/>
      <c r="BV131" s="833"/>
      <c r="BW131" s="833"/>
      <c r="BX131" s="833"/>
      <c r="BY131" s="833"/>
      <c r="BZ131" s="833"/>
      <c r="CA131" s="833"/>
      <c r="CB131" s="833"/>
      <c r="CC131" s="833"/>
      <c r="CD131" s="833"/>
      <c r="CE131" s="833"/>
      <c r="CF131" s="833"/>
      <c r="CG131" s="31"/>
      <c r="CH131" s="31"/>
      <c r="CI131" s="31"/>
      <c r="CJ131" s="31"/>
      <c r="CK131" s="31"/>
      <c r="CL131" s="31"/>
      <c r="CM131" s="31"/>
      <c r="CN131" s="31"/>
      <c r="CO131" s="31"/>
      <c r="CP131" s="31"/>
      <c r="CQ131" s="31"/>
      <c r="CR131" s="31"/>
      <c r="CS131" s="31"/>
    </row>
    <row r="132" spans="5:97" s="246" customFormat="1" x14ac:dyDescent="0.2">
      <c r="E132" s="1102"/>
      <c r="F132" s="1102"/>
      <c r="G132" s="2195"/>
      <c r="H132" s="1102"/>
      <c r="I132" s="1102"/>
      <c r="J132" s="1102"/>
      <c r="K132" s="1102"/>
      <c r="L132" s="1102"/>
      <c r="M132" s="1102"/>
      <c r="N132" s="1102"/>
      <c r="O132" s="1102"/>
      <c r="P132" s="1102"/>
      <c r="Q132" s="1102"/>
      <c r="BS132" s="833"/>
      <c r="BT132" s="833"/>
      <c r="BU132" s="833"/>
      <c r="BV132" s="833"/>
      <c r="BW132" s="833"/>
      <c r="BX132" s="833"/>
      <c r="BY132" s="833"/>
      <c r="BZ132" s="833"/>
      <c r="CA132" s="833"/>
      <c r="CB132" s="833"/>
      <c r="CC132" s="833"/>
      <c r="CD132" s="833"/>
      <c r="CE132" s="833"/>
      <c r="CF132" s="833"/>
      <c r="CG132" s="31"/>
      <c r="CH132" s="31"/>
      <c r="CI132" s="31"/>
      <c r="CJ132" s="31"/>
      <c r="CK132" s="31"/>
      <c r="CL132" s="31"/>
      <c r="CM132" s="31"/>
      <c r="CN132" s="31"/>
      <c r="CO132" s="31"/>
      <c r="CP132" s="31"/>
      <c r="CQ132" s="31"/>
      <c r="CR132" s="31"/>
      <c r="CS132" s="31"/>
    </row>
    <row r="133" spans="5:97" s="246" customFormat="1" x14ac:dyDescent="0.2">
      <c r="E133" s="1102"/>
      <c r="F133" s="1102"/>
      <c r="G133" s="2195"/>
      <c r="H133" s="1102"/>
      <c r="I133" s="1102"/>
      <c r="J133" s="1102"/>
      <c r="K133" s="1102"/>
      <c r="L133" s="1102"/>
      <c r="M133" s="1102"/>
      <c r="N133" s="1102"/>
      <c r="O133" s="1102"/>
      <c r="P133" s="1102"/>
      <c r="Q133" s="1102"/>
      <c r="BS133" s="833"/>
      <c r="BT133" s="833"/>
      <c r="BU133" s="833"/>
      <c r="BV133" s="833"/>
      <c r="BW133" s="833"/>
      <c r="BX133" s="833"/>
      <c r="BY133" s="833"/>
      <c r="BZ133" s="833"/>
      <c r="CA133" s="833"/>
      <c r="CB133" s="833"/>
      <c r="CC133" s="833"/>
      <c r="CD133" s="833"/>
      <c r="CE133" s="833"/>
      <c r="CF133" s="833"/>
      <c r="CG133" s="31"/>
      <c r="CH133" s="31"/>
      <c r="CI133" s="31"/>
      <c r="CJ133" s="31"/>
      <c r="CK133" s="31"/>
      <c r="CL133" s="31"/>
      <c r="CM133" s="31"/>
      <c r="CN133" s="31"/>
      <c r="CO133" s="31"/>
      <c r="CP133" s="31"/>
      <c r="CQ133" s="31"/>
      <c r="CR133" s="31"/>
      <c r="CS133" s="31"/>
    </row>
    <row r="134" spans="5:97" s="246" customFormat="1" x14ac:dyDescent="0.2">
      <c r="E134" s="1102"/>
      <c r="F134" s="1102"/>
      <c r="G134" s="2195"/>
      <c r="H134" s="1102"/>
      <c r="I134" s="1102"/>
      <c r="J134" s="1102"/>
      <c r="K134" s="1102"/>
      <c r="L134" s="1102"/>
      <c r="M134" s="1102"/>
      <c r="N134" s="1102"/>
      <c r="O134" s="1102"/>
      <c r="P134" s="1102"/>
      <c r="Q134" s="1102"/>
      <c r="BS134" s="833"/>
      <c r="BT134" s="833"/>
      <c r="BU134" s="833"/>
      <c r="BV134" s="833"/>
      <c r="BW134" s="833"/>
      <c r="BX134" s="833"/>
      <c r="BY134" s="833"/>
      <c r="BZ134" s="833"/>
      <c r="CA134" s="833"/>
      <c r="CB134" s="833"/>
      <c r="CC134" s="833"/>
      <c r="CD134" s="833"/>
      <c r="CE134" s="833"/>
      <c r="CF134" s="833"/>
      <c r="CG134" s="31"/>
      <c r="CH134" s="31"/>
      <c r="CI134" s="31"/>
      <c r="CJ134" s="31"/>
      <c r="CK134" s="31"/>
      <c r="CL134" s="31"/>
      <c r="CM134" s="31"/>
      <c r="CN134" s="31"/>
      <c r="CO134" s="31"/>
      <c r="CP134" s="31"/>
      <c r="CQ134" s="31"/>
      <c r="CR134" s="31"/>
      <c r="CS134" s="31"/>
    </row>
    <row r="135" spans="5:97" s="246" customFormat="1" x14ac:dyDescent="0.2">
      <c r="E135" s="1102"/>
      <c r="F135" s="1102"/>
      <c r="G135" s="2195"/>
      <c r="H135" s="1102"/>
      <c r="I135" s="1102"/>
      <c r="J135" s="1102"/>
      <c r="K135" s="1102"/>
      <c r="L135" s="1102"/>
      <c r="M135" s="1102"/>
      <c r="N135" s="1102"/>
      <c r="O135" s="1102"/>
      <c r="P135" s="1102"/>
      <c r="Q135" s="1102"/>
      <c r="BS135" s="379"/>
      <c r="BT135" s="379"/>
      <c r="BU135" s="379"/>
      <c r="BV135" s="379"/>
      <c r="BW135" s="379"/>
      <c r="BX135" s="379"/>
      <c r="BY135" s="379"/>
      <c r="BZ135" s="379"/>
      <c r="CA135" s="379"/>
      <c r="CB135" s="379"/>
      <c r="CC135" s="379"/>
      <c r="CD135" s="379"/>
      <c r="CE135" s="379"/>
      <c r="CF135" s="379"/>
      <c r="CG135" s="34"/>
      <c r="CH135" s="34"/>
      <c r="CI135" s="34"/>
      <c r="CJ135" s="34"/>
      <c r="CK135" s="34"/>
      <c r="CL135" s="34"/>
      <c r="CM135" s="34"/>
      <c r="CN135" s="34"/>
      <c r="CO135" s="34"/>
      <c r="CP135" s="34"/>
      <c r="CQ135" s="34"/>
      <c r="CR135" s="34"/>
      <c r="CS135" s="34"/>
    </row>
    <row r="136" spans="5:97" s="246" customFormat="1" x14ac:dyDescent="0.2">
      <c r="E136" s="1102"/>
      <c r="F136" s="1102"/>
      <c r="G136" s="2195"/>
      <c r="H136" s="1102"/>
      <c r="I136" s="1102"/>
      <c r="J136" s="1102"/>
      <c r="K136" s="1102"/>
      <c r="L136" s="1102"/>
      <c r="M136" s="1102"/>
      <c r="N136" s="1102"/>
      <c r="O136" s="1102"/>
      <c r="P136" s="1102"/>
      <c r="Q136" s="1102"/>
      <c r="BS136" s="379"/>
      <c r="BT136" s="379"/>
      <c r="BU136" s="379"/>
      <c r="BV136" s="379"/>
      <c r="BW136" s="379"/>
      <c r="BX136" s="379"/>
      <c r="BY136" s="379"/>
      <c r="BZ136" s="379"/>
      <c r="CA136" s="379"/>
      <c r="CB136" s="379"/>
      <c r="CC136" s="379"/>
      <c r="CD136" s="379"/>
      <c r="CE136" s="379"/>
      <c r="CF136" s="379"/>
      <c r="CG136" s="34"/>
      <c r="CH136" s="34"/>
      <c r="CI136" s="34"/>
      <c r="CJ136" s="34"/>
      <c r="CK136" s="34"/>
      <c r="CL136" s="34"/>
      <c r="CM136" s="34"/>
      <c r="CN136" s="34"/>
      <c r="CO136" s="34"/>
      <c r="CP136" s="34"/>
      <c r="CQ136" s="34"/>
      <c r="CR136" s="34"/>
      <c r="CS136" s="34"/>
    </row>
    <row r="137" spans="5:97" s="246" customFormat="1" x14ac:dyDescent="0.2">
      <c r="E137" s="1102"/>
      <c r="F137" s="1102"/>
      <c r="G137" s="2195"/>
      <c r="H137" s="1102"/>
      <c r="I137" s="1102"/>
      <c r="J137" s="1102"/>
      <c r="K137" s="1102"/>
      <c r="L137" s="1102"/>
      <c r="M137" s="1102"/>
      <c r="N137" s="1102"/>
      <c r="O137" s="1102"/>
      <c r="P137" s="1102"/>
      <c r="Q137" s="1102"/>
      <c r="BS137" s="833"/>
      <c r="BT137" s="833"/>
      <c r="BU137" s="833"/>
      <c r="BV137" s="833"/>
      <c r="BW137" s="833"/>
      <c r="BX137" s="833"/>
      <c r="BY137" s="833"/>
      <c r="BZ137" s="833"/>
      <c r="CA137" s="833"/>
      <c r="CB137" s="833"/>
      <c r="CC137" s="833"/>
      <c r="CD137" s="833"/>
      <c r="CE137" s="833"/>
      <c r="CF137" s="833"/>
      <c r="CG137" s="31"/>
      <c r="CH137" s="31"/>
      <c r="CI137" s="31"/>
      <c r="CJ137" s="31"/>
      <c r="CK137" s="31"/>
      <c r="CL137" s="31"/>
      <c r="CM137" s="31"/>
      <c r="CN137" s="31"/>
      <c r="CO137" s="31"/>
      <c r="CP137" s="31"/>
      <c r="CQ137" s="31"/>
      <c r="CR137" s="31"/>
      <c r="CS137" s="31"/>
    </row>
    <row r="138" spans="5:97" s="246" customFormat="1" x14ac:dyDescent="0.2">
      <c r="E138" s="1102"/>
      <c r="F138" s="1102"/>
      <c r="G138" s="2195"/>
      <c r="H138" s="1102"/>
      <c r="I138" s="1102"/>
      <c r="J138" s="1102"/>
      <c r="K138" s="1102"/>
      <c r="L138" s="1102"/>
      <c r="M138" s="1102"/>
      <c r="N138" s="1102"/>
      <c r="O138" s="1102"/>
      <c r="P138" s="1102"/>
      <c r="Q138" s="1102"/>
      <c r="BS138" s="833"/>
      <c r="BT138" s="833"/>
      <c r="BU138" s="833"/>
      <c r="BV138" s="833"/>
      <c r="BW138" s="833"/>
      <c r="BX138" s="833"/>
      <c r="BY138" s="833"/>
      <c r="BZ138" s="833"/>
      <c r="CA138" s="833"/>
      <c r="CB138" s="833"/>
      <c r="CC138" s="833"/>
      <c r="CD138" s="833"/>
      <c r="CE138" s="833"/>
      <c r="CF138" s="833"/>
      <c r="CG138" s="31"/>
      <c r="CH138" s="31"/>
      <c r="CI138" s="31"/>
      <c r="CJ138" s="31"/>
      <c r="CK138" s="31"/>
      <c r="CL138" s="31"/>
      <c r="CM138" s="31"/>
      <c r="CN138" s="31"/>
      <c r="CO138" s="31"/>
      <c r="CP138" s="31"/>
      <c r="CQ138" s="31"/>
      <c r="CR138" s="31"/>
      <c r="CS138" s="31"/>
    </row>
    <row r="139" spans="5:97" s="246" customFormat="1" x14ac:dyDescent="0.2">
      <c r="E139" s="1102"/>
      <c r="F139" s="1102"/>
      <c r="G139" s="2195"/>
      <c r="H139" s="1102"/>
      <c r="I139" s="1102"/>
      <c r="J139" s="1102"/>
      <c r="K139" s="1102"/>
      <c r="L139" s="1102"/>
      <c r="M139" s="1102"/>
      <c r="N139" s="1102"/>
      <c r="O139" s="1102"/>
      <c r="P139" s="1102"/>
      <c r="Q139" s="1102"/>
      <c r="BS139" s="833"/>
      <c r="BT139" s="833"/>
      <c r="BU139" s="833"/>
      <c r="BV139" s="833"/>
      <c r="BW139" s="833"/>
      <c r="BX139" s="833"/>
      <c r="BY139" s="833"/>
      <c r="BZ139" s="833"/>
      <c r="CA139" s="833"/>
      <c r="CB139" s="833"/>
      <c r="CC139" s="833"/>
      <c r="CD139" s="833"/>
      <c r="CE139" s="833"/>
      <c r="CF139" s="833"/>
      <c r="CG139" s="31"/>
      <c r="CH139" s="31"/>
      <c r="CI139" s="31"/>
      <c r="CJ139" s="31"/>
      <c r="CK139" s="31"/>
      <c r="CL139" s="31"/>
      <c r="CM139" s="31"/>
      <c r="CN139" s="31"/>
      <c r="CO139" s="31"/>
      <c r="CP139" s="31"/>
      <c r="CQ139" s="31"/>
      <c r="CR139" s="31"/>
      <c r="CS139" s="31"/>
    </row>
    <row r="140" spans="5:97" s="246" customFormat="1" x14ac:dyDescent="0.2">
      <c r="E140" s="1102"/>
      <c r="F140" s="1102"/>
      <c r="G140" s="2195"/>
      <c r="H140" s="1102"/>
      <c r="I140" s="1102"/>
      <c r="J140" s="1102"/>
      <c r="K140" s="1102"/>
      <c r="L140" s="1102"/>
      <c r="M140" s="1102"/>
      <c r="N140" s="1102"/>
      <c r="O140" s="1102"/>
      <c r="P140" s="1102"/>
      <c r="Q140" s="1102"/>
      <c r="BS140" s="833"/>
      <c r="BT140" s="833"/>
      <c r="BU140" s="833"/>
      <c r="BV140" s="833"/>
      <c r="BW140" s="833"/>
      <c r="BX140" s="833"/>
      <c r="BY140" s="833"/>
      <c r="BZ140" s="833"/>
      <c r="CA140" s="833"/>
      <c r="CB140" s="833"/>
      <c r="CC140" s="833"/>
      <c r="CD140" s="833"/>
      <c r="CE140" s="833"/>
      <c r="CF140" s="833"/>
      <c r="CG140" s="31"/>
      <c r="CH140" s="31"/>
      <c r="CI140" s="31"/>
      <c r="CJ140" s="31"/>
      <c r="CK140" s="31"/>
      <c r="CL140" s="31"/>
      <c r="CM140" s="31"/>
      <c r="CN140" s="31"/>
      <c r="CO140" s="31"/>
      <c r="CP140" s="31"/>
      <c r="CQ140" s="31"/>
      <c r="CR140" s="31"/>
      <c r="CS140" s="31"/>
    </row>
    <row r="141" spans="5:97" s="246" customFormat="1" x14ac:dyDescent="0.2">
      <c r="E141" s="1102"/>
      <c r="F141" s="1102"/>
      <c r="G141" s="2195"/>
      <c r="H141" s="1102"/>
      <c r="I141" s="1102"/>
      <c r="J141" s="1102"/>
      <c r="K141" s="1102"/>
      <c r="L141" s="1102"/>
      <c r="M141" s="1102"/>
      <c r="N141" s="1102"/>
      <c r="O141" s="1102"/>
      <c r="P141" s="1102"/>
      <c r="Q141" s="1102"/>
      <c r="BS141" s="833"/>
      <c r="BT141" s="833"/>
      <c r="BU141" s="833"/>
      <c r="BV141" s="833"/>
      <c r="BW141" s="833"/>
      <c r="BX141" s="833"/>
      <c r="BY141" s="833"/>
      <c r="BZ141" s="833"/>
      <c r="CA141" s="833"/>
      <c r="CB141" s="833"/>
      <c r="CC141" s="833"/>
      <c r="CD141" s="833"/>
      <c r="CE141" s="833"/>
      <c r="CF141" s="833"/>
      <c r="CG141" s="31"/>
      <c r="CH141" s="31"/>
      <c r="CI141" s="31"/>
      <c r="CJ141" s="31"/>
      <c r="CK141" s="31"/>
      <c r="CL141" s="31"/>
      <c r="CM141" s="31"/>
      <c r="CN141" s="31"/>
      <c r="CO141" s="31"/>
      <c r="CP141" s="31"/>
      <c r="CQ141" s="31"/>
      <c r="CR141" s="31"/>
      <c r="CS141" s="31"/>
    </row>
    <row r="142" spans="5:97" s="246" customFormat="1" x14ac:dyDescent="0.2">
      <c r="E142" s="1102"/>
      <c r="F142" s="1102"/>
      <c r="G142" s="2195"/>
      <c r="H142" s="1102"/>
      <c r="I142" s="1102"/>
      <c r="J142" s="1102"/>
      <c r="K142" s="1102"/>
      <c r="L142" s="1102"/>
      <c r="M142" s="1102"/>
      <c r="N142" s="1102"/>
      <c r="O142" s="1102"/>
      <c r="P142" s="1102"/>
      <c r="Q142" s="1102"/>
      <c r="BS142" s="833"/>
      <c r="BT142" s="833"/>
      <c r="BU142" s="833"/>
      <c r="BV142" s="833"/>
      <c r="BW142" s="833"/>
      <c r="BX142" s="833"/>
      <c r="BY142" s="833"/>
      <c r="BZ142" s="833"/>
      <c r="CA142" s="833"/>
      <c r="CB142" s="833"/>
      <c r="CC142" s="833"/>
      <c r="CD142" s="833"/>
      <c r="CE142" s="833"/>
      <c r="CF142" s="833"/>
      <c r="CG142" s="34"/>
      <c r="CH142" s="34"/>
      <c r="CI142" s="34"/>
      <c r="CJ142" s="34"/>
      <c r="CK142" s="34"/>
      <c r="CL142" s="34"/>
      <c r="CM142" s="34"/>
      <c r="CN142" s="34"/>
      <c r="CO142" s="34"/>
      <c r="CP142" s="34"/>
      <c r="CQ142" s="34"/>
      <c r="CR142" s="34"/>
      <c r="CS142" s="34"/>
    </row>
    <row r="143" spans="5:97" s="246" customFormat="1" x14ac:dyDescent="0.2">
      <c r="E143" s="1102"/>
      <c r="F143" s="1102"/>
      <c r="G143" s="2195"/>
      <c r="H143" s="1102"/>
      <c r="I143" s="1102"/>
      <c r="J143" s="1102"/>
      <c r="K143" s="1102"/>
      <c r="L143" s="1102"/>
      <c r="M143" s="1102"/>
      <c r="N143" s="1102"/>
      <c r="O143" s="1102"/>
      <c r="P143" s="1102"/>
      <c r="Q143" s="1102"/>
      <c r="BS143" s="379"/>
      <c r="BT143" s="379"/>
      <c r="BU143" s="379"/>
      <c r="BV143" s="379"/>
      <c r="BW143" s="379"/>
      <c r="BX143" s="379"/>
      <c r="BY143" s="379"/>
      <c r="BZ143" s="379"/>
      <c r="CA143" s="379"/>
      <c r="CB143" s="379"/>
      <c r="CC143" s="379"/>
      <c r="CD143" s="379"/>
      <c r="CE143" s="379"/>
      <c r="CF143" s="379"/>
      <c r="CG143" s="34"/>
      <c r="CH143" s="34"/>
      <c r="CI143" s="34"/>
      <c r="CJ143" s="34"/>
      <c r="CK143" s="34"/>
      <c r="CL143" s="34"/>
      <c r="CM143" s="34"/>
      <c r="CN143" s="34"/>
      <c r="CO143" s="34"/>
      <c r="CP143" s="34"/>
      <c r="CQ143" s="34"/>
      <c r="CR143" s="34"/>
      <c r="CS143" s="34"/>
    </row>
    <row r="144" spans="5:97" s="246" customFormat="1" x14ac:dyDescent="0.2">
      <c r="E144" s="1102"/>
      <c r="F144" s="1102"/>
      <c r="G144" s="2195"/>
      <c r="H144" s="1102"/>
      <c r="I144" s="1102"/>
      <c r="J144" s="1102"/>
      <c r="K144" s="1102"/>
      <c r="L144" s="1102"/>
      <c r="M144" s="1102"/>
      <c r="N144" s="1102"/>
      <c r="O144" s="1102"/>
      <c r="P144" s="1102"/>
      <c r="Q144" s="1102"/>
      <c r="BS144" s="833"/>
      <c r="BT144" s="833"/>
      <c r="BU144" s="833"/>
      <c r="BV144" s="833"/>
      <c r="BW144" s="833"/>
      <c r="BX144" s="833"/>
      <c r="BY144" s="833"/>
      <c r="BZ144" s="833"/>
      <c r="CA144" s="833"/>
      <c r="CB144" s="833"/>
      <c r="CC144" s="833"/>
      <c r="CD144" s="833"/>
      <c r="CE144" s="833"/>
      <c r="CF144" s="833"/>
      <c r="CG144" s="31"/>
      <c r="CH144" s="31"/>
      <c r="CI144" s="31"/>
      <c r="CJ144" s="31"/>
      <c r="CK144" s="31"/>
      <c r="CL144" s="31"/>
      <c r="CM144" s="31"/>
      <c r="CN144" s="31"/>
      <c r="CO144" s="31"/>
      <c r="CP144" s="31"/>
      <c r="CQ144" s="31"/>
      <c r="CR144" s="31"/>
      <c r="CS144" s="31"/>
    </row>
    <row r="145" spans="5:97" s="246" customFormat="1" x14ac:dyDescent="0.2">
      <c r="E145" s="1102"/>
      <c r="F145" s="1102"/>
      <c r="G145" s="2195"/>
      <c r="H145" s="1102"/>
      <c r="I145" s="1102"/>
      <c r="J145" s="1102"/>
      <c r="K145" s="1102"/>
      <c r="L145" s="1102"/>
      <c r="M145" s="1102"/>
      <c r="N145" s="1102"/>
      <c r="O145" s="1102"/>
      <c r="P145" s="1102"/>
      <c r="Q145" s="1102"/>
      <c r="BS145" s="833"/>
      <c r="BT145" s="833"/>
      <c r="BU145" s="833"/>
      <c r="BV145" s="833"/>
      <c r="BW145" s="833"/>
      <c r="BX145" s="833"/>
      <c r="BY145" s="833"/>
      <c r="BZ145" s="833"/>
      <c r="CA145" s="833"/>
      <c r="CB145" s="833"/>
      <c r="CC145" s="833"/>
      <c r="CD145" s="833"/>
      <c r="CE145" s="833"/>
      <c r="CF145" s="833"/>
      <c r="CG145" s="31"/>
      <c r="CH145" s="31"/>
      <c r="CI145" s="31"/>
      <c r="CJ145" s="31"/>
      <c r="CK145" s="31"/>
      <c r="CL145" s="31"/>
      <c r="CM145" s="31"/>
      <c r="CN145" s="31"/>
      <c r="CO145" s="31"/>
      <c r="CP145" s="31"/>
      <c r="CQ145" s="31"/>
      <c r="CR145" s="31"/>
      <c r="CS145" s="31"/>
    </row>
    <row r="146" spans="5:97" s="246" customFormat="1" x14ac:dyDescent="0.2">
      <c r="E146" s="1102"/>
      <c r="F146" s="1102"/>
      <c r="G146" s="2195"/>
      <c r="H146" s="1102"/>
      <c r="I146" s="1102"/>
      <c r="J146" s="1102"/>
      <c r="K146" s="1102"/>
      <c r="L146" s="1102"/>
      <c r="M146" s="1102"/>
      <c r="N146" s="1102"/>
      <c r="O146" s="1102"/>
      <c r="P146" s="1102"/>
      <c r="Q146" s="1102"/>
      <c r="BS146" s="833"/>
      <c r="BT146" s="833"/>
      <c r="BU146" s="833"/>
      <c r="BV146" s="833"/>
      <c r="BW146" s="833"/>
      <c r="BX146" s="833"/>
      <c r="BY146" s="833"/>
      <c r="BZ146" s="833"/>
      <c r="CA146" s="833"/>
      <c r="CB146" s="833"/>
      <c r="CC146" s="833"/>
      <c r="CD146" s="833"/>
      <c r="CE146" s="833"/>
      <c r="CF146" s="833"/>
      <c r="CG146" s="31"/>
      <c r="CH146" s="31"/>
      <c r="CI146" s="31"/>
      <c r="CJ146" s="31"/>
      <c r="CK146" s="31"/>
      <c r="CL146" s="31"/>
      <c r="CM146" s="31"/>
      <c r="CN146" s="31"/>
      <c r="CO146" s="31"/>
      <c r="CP146" s="31"/>
      <c r="CQ146" s="31"/>
      <c r="CR146" s="31"/>
      <c r="CS146" s="31"/>
    </row>
    <row r="147" spans="5:97" s="246" customFormat="1" x14ac:dyDescent="0.2">
      <c r="E147" s="1102"/>
      <c r="F147" s="1102"/>
      <c r="G147" s="2195"/>
      <c r="H147" s="1102"/>
      <c r="I147" s="1102"/>
      <c r="J147" s="1102"/>
      <c r="K147" s="1102"/>
      <c r="L147" s="1102"/>
      <c r="M147" s="1102"/>
      <c r="N147" s="1102"/>
      <c r="O147" s="1102"/>
      <c r="P147" s="1102"/>
      <c r="Q147" s="1102"/>
      <c r="BS147" s="833"/>
      <c r="BT147" s="833"/>
      <c r="BU147" s="833"/>
      <c r="BV147" s="833"/>
      <c r="BW147" s="833"/>
      <c r="BX147" s="833"/>
      <c r="BY147" s="833"/>
      <c r="BZ147" s="833"/>
      <c r="CA147" s="833"/>
      <c r="CB147" s="833"/>
      <c r="CC147" s="833"/>
      <c r="CD147" s="833"/>
      <c r="CE147" s="833"/>
      <c r="CF147" s="833"/>
      <c r="CG147" s="31"/>
      <c r="CH147" s="31"/>
      <c r="CI147" s="31"/>
      <c r="CJ147" s="31"/>
      <c r="CK147" s="31"/>
      <c r="CL147" s="31"/>
      <c r="CM147" s="31"/>
      <c r="CN147" s="31"/>
      <c r="CO147" s="31"/>
      <c r="CP147" s="31"/>
      <c r="CQ147" s="31"/>
      <c r="CR147" s="31"/>
      <c r="CS147" s="31"/>
    </row>
    <row r="148" spans="5:97" s="246" customFormat="1" x14ac:dyDescent="0.2">
      <c r="E148" s="1102"/>
      <c r="F148" s="1102"/>
      <c r="G148" s="2195"/>
      <c r="H148" s="1102"/>
      <c r="I148" s="1102"/>
      <c r="J148" s="1102"/>
      <c r="K148" s="1102"/>
      <c r="L148" s="1102"/>
      <c r="M148" s="1102"/>
      <c r="N148" s="1102"/>
      <c r="O148" s="1102"/>
      <c r="P148" s="1102"/>
      <c r="Q148" s="1102"/>
      <c r="BS148" s="379"/>
      <c r="BT148" s="379"/>
      <c r="BU148" s="379"/>
      <c r="BV148" s="379"/>
      <c r="BW148" s="379"/>
      <c r="BX148" s="379"/>
      <c r="BY148" s="379"/>
      <c r="BZ148" s="379"/>
      <c r="CA148" s="379"/>
      <c r="CB148" s="379"/>
      <c r="CC148" s="379"/>
      <c r="CD148" s="379"/>
      <c r="CE148" s="379"/>
      <c r="CF148" s="379"/>
      <c r="CG148" s="34"/>
      <c r="CH148" s="34"/>
      <c r="CI148" s="34"/>
      <c r="CJ148" s="34"/>
      <c r="CK148" s="34"/>
      <c r="CL148" s="34"/>
      <c r="CM148" s="34"/>
      <c r="CN148" s="34"/>
      <c r="CO148" s="34"/>
      <c r="CP148" s="34"/>
      <c r="CQ148" s="34"/>
      <c r="CR148" s="34"/>
      <c r="CS148" s="34"/>
    </row>
    <row r="149" spans="5:97" s="246" customFormat="1" x14ac:dyDescent="0.2">
      <c r="E149" s="1102"/>
      <c r="F149" s="1102"/>
      <c r="G149" s="2195"/>
      <c r="H149" s="1102"/>
      <c r="I149" s="1102"/>
      <c r="J149" s="1102"/>
      <c r="K149" s="1102"/>
      <c r="L149" s="1102"/>
      <c r="M149" s="1102"/>
      <c r="N149" s="1102"/>
      <c r="O149" s="1102"/>
      <c r="P149" s="1102"/>
      <c r="Q149" s="1102"/>
      <c r="BS149" s="379"/>
      <c r="BT149" s="379"/>
      <c r="BU149" s="379"/>
      <c r="BV149" s="379"/>
      <c r="BW149" s="379"/>
      <c r="BX149" s="379"/>
      <c r="BY149" s="379"/>
      <c r="BZ149" s="379"/>
      <c r="CA149" s="379"/>
      <c r="CB149" s="379"/>
      <c r="CC149" s="379"/>
      <c r="CD149" s="379"/>
      <c r="CE149" s="379"/>
      <c r="CF149" s="379"/>
      <c r="CG149" s="34"/>
      <c r="CH149" s="34"/>
      <c r="CI149" s="34"/>
      <c r="CJ149" s="34"/>
      <c r="CK149" s="34"/>
      <c r="CL149" s="34"/>
      <c r="CM149" s="34"/>
      <c r="CN149" s="34"/>
      <c r="CO149" s="34"/>
      <c r="CP149" s="34"/>
      <c r="CQ149" s="34"/>
      <c r="CR149" s="34"/>
      <c r="CS149" s="34"/>
    </row>
    <row r="150" spans="5:97" s="246" customFormat="1" x14ac:dyDescent="0.2">
      <c r="E150" s="1102"/>
      <c r="F150" s="1102"/>
      <c r="G150" s="2195"/>
      <c r="H150" s="1102"/>
      <c r="I150" s="1102"/>
      <c r="J150" s="1102"/>
      <c r="K150" s="1102"/>
      <c r="L150" s="1102"/>
      <c r="M150" s="1102"/>
      <c r="N150" s="1102"/>
      <c r="O150" s="1102"/>
      <c r="P150" s="1102"/>
      <c r="Q150" s="1102"/>
      <c r="BS150" s="833"/>
      <c r="BT150" s="833"/>
      <c r="BU150" s="833"/>
      <c r="BV150" s="833"/>
      <c r="BW150" s="833"/>
      <c r="BX150" s="833"/>
      <c r="BY150" s="833"/>
      <c r="BZ150" s="833"/>
      <c r="CA150" s="833"/>
      <c r="CB150" s="833"/>
      <c r="CC150" s="833"/>
      <c r="CD150" s="833"/>
      <c r="CE150" s="833"/>
      <c r="CF150" s="833"/>
      <c r="CG150" s="31"/>
      <c r="CH150" s="31"/>
      <c r="CI150" s="31"/>
      <c r="CJ150" s="31"/>
      <c r="CK150" s="31"/>
      <c r="CL150" s="31"/>
      <c r="CM150" s="31"/>
      <c r="CN150" s="31"/>
      <c r="CO150" s="31"/>
      <c r="CP150" s="31"/>
      <c r="CQ150" s="31"/>
      <c r="CR150" s="31"/>
      <c r="CS150" s="31"/>
    </row>
    <row r="151" spans="5:97" s="246" customFormat="1" x14ac:dyDescent="0.2">
      <c r="E151" s="1102"/>
      <c r="F151" s="1102"/>
      <c r="G151" s="2195"/>
      <c r="H151" s="1102"/>
      <c r="I151" s="1102"/>
      <c r="J151" s="1102"/>
      <c r="K151" s="1102"/>
      <c r="L151" s="1102"/>
      <c r="M151" s="1102"/>
      <c r="N151" s="1102"/>
      <c r="O151" s="1102"/>
      <c r="P151" s="1102"/>
      <c r="Q151" s="1102"/>
      <c r="BS151" s="833"/>
      <c r="BT151" s="833"/>
      <c r="BU151" s="833"/>
      <c r="BV151" s="833"/>
      <c r="BW151" s="833"/>
      <c r="BX151" s="833"/>
      <c r="BY151" s="833"/>
      <c r="BZ151" s="833"/>
      <c r="CA151" s="833"/>
      <c r="CB151" s="833"/>
      <c r="CC151" s="833"/>
      <c r="CD151" s="833"/>
      <c r="CE151" s="833"/>
      <c r="CF151" s="833"/>
      <c r="CG151" s="31"/>
      <c r="CH151" s="31"/>
      <c r="CI151" s="31"/>
      <c r="CJ151" s="31"/>
      <c r="CK151" s="31"/>
      <c r="CL151" s="31"/>
      <c r="CM151" s="31"/>
      <c r="CN151" s="31"/>
      <c r="CO151" s="31"/>
      <c r="CP151" s="31"/>
      <c r="CQ151" s="31"/>
      <c r="CR151" s="31"/>
      <c r="CS151" s="31"/>
    </row>
    <row r="152" spans="5:97" s="246" customFormat="1" x14ac:dyDescent="0.2">
      <c r="E152" s="1102"/>
      <c r="F152" s="1102"/>
      <c r="G152" s="2195"/>
      <c r="H152" s="1102"/>
      <c r="I152" s="1102"/>
      <c r="J152" s="1102"/>
      <c r="K152" s="1102"/>
      <c r="L152" s="1102"/>
      <c r="M152" s="1102"/>
      <c r="N152" s="1102"/>
      <c r="O152" s="1102"/>
      <c r="P152" s="1102"/>
      <c r="Q152" s="1102"/>
      <c r="BS152" s="379"/>
      <c r="BT152" s="379"/>
      <c r="BU152" s="379"/>
      <c r="BV152" s="379"/>
      <c r="BW152" s="379"/>
      <c r="BX152" s="379"/>
      <c r="BY152" s="379"/>
      <c r="BZ152" s="379"/>
      <c r="CA152" s="379"/>
      <c r="CB152" s="379"/>
      <c r="CC152" s="379"/>
      <c r="CD152" s="379"/>
      <c r="CE152" s="379"/>
      <c r="CF152" s="379"/>
      <c r="CG152" s="34"/>
      <c r="CH152" s="34"/>
      <c r="CI152" s="34"/>
      <c r="CJ152" s="34"/>
      <c r="CK152" s="34"/>
      <c r="CL152" s="34"/>
      <c r="CM152" s="34"/>
      <c r="CN152" s="34"/>
      <c r="CO152" s="34"/>
      <c r="CP152" s="34"/>
      <c r="CQ152" s="34"/>
      <c r="CR152" s="34"/>
      <c r="CS152" s="34"/>
    </row>
    <row r="153" spans="5:97" s="246" customFormat="1" x14ac:dyDescent="0.2">
      <c r="E153" s="1102"/>
      <c r="F153" s="1102"/>
      <c r="G153" s="2195"/>
      <c r="H153" s="1102"/>
      <c r="I153" s="1102"/>
      <c r="J153" s="1102"/>
      <c r="K153" s="1102"/>
      <c r="L153" s="1102"/>
      <c r="M153" s="1102"/>
      <c r="N153" s="1102"/>
      <c r="O153" s="1102"/>
      <c r="P153" s="1102"/>
      <c r="Q153" s="1102"/>
      <c r="BS153" s="379"/>
      <c r="BT153" s="379"/>
      <c r="BU153" s="379"/>
      <c r="BV153" s="379"/>
      <c r="BW153" s="379"/>
      <c r="BX153" s="379"/>
      <c r="BY153" s="379"/>
      <c r="BZ153" s="379"/>
      <c r="CA153" s="379"/>
      <c r="CB153" s="379"/>
      <c r="CC153" s="379"/>
      <c r="CD153" s="379"/>
      <c r="CE153" s="379"/>
      <c r="CF153" s="379"/>
      <c r="CG153" s="34"/>
      <c r="CH153" s="34"/>
      <c r="CI153" s="34"/>
      <c r="CJ153" s="34"/>
      <c r="CK153" s="34"/>
      <c r="CL153" s="34"/>
      <c r="CM153" s="34"/>
      <c r="CN153" s="34"/>
      <c r="CO153" s="34"/>
      <c r="CP153" s="34"/>
      <c r="CQ153" s="34"/>
      <c r="CR153" s="34"/>
      <c r="CS153" s="34"/>
    </row>
    <row r="154" spans="5:97" s="246" customFormat="1" x14ac:dyDescent="0.2">
      <c r="E154" s="1102"/>
      <c r="F154" s="1102"/>
      <c r="G154" s="2195"/>
      <c r="H154" s="1102"/>
      <c r="I154" s="1102"/>
      <c r="J154" s="1102"/>
      <c r="K154" s="1102"/>
      <c r="L154" s="1102"/>
      <c r="M154" s="1102"/>
      <c r="N154" s="1102"/>
      <c r="O154" s="1102"/>
      <c r="P154" s="1102"/>
      <c r="Q154" s="1102"/>
      <c r="BS154" s="833"/>
      <c r="BT154" s="833"/>
      <c r="BU154" s="833"/>
      <c r="BV154" s="833"/>
      <c r="BW154" s="833"/>
      <c r="BX154" s="833"/>
      <c r="BY154" s="833"/>
      <c r="BZ154" s="833"/>
      <c r="CA154" s="833"/>
      <c r="CB154" s="833"/>
      <c r="CC154" s="833"/>
      <c r="CD154" s="833"/>
      <c r="CE154" s="833"/>
      <c r="CF154" s="833"/>
      <c r="CG154" s="31"/>
      <c r="CH154" s="31"/>
      <c r="CI154" s="31"/>
      <c r="CJ154" s="31"/>
      <c r="CK154" s="31"/>
      <c r="CL154" s="31"/>
      <c r="CM154" s="31"/>
      <c r="CN154" s="31"/>
      <c r="CO154" s="31"/>
      <c r="CP154" s="31"/>
      <c r="CQ154" s="31"/>
      <c r="CR154" s="31"/>
      <c r="CS154" s="31"/>
    </row>
    <row r="155" spans="5:97" s="246" customFormat="1" x14ac:dyDescent="0.2">
      <c r="E155" s="1102"/>
      <c r="F155" s="1102"/>
      <c r="G155" s="2195"/>
      <c r="H155" s="1102"/>
      <c r="I155" s="1102"/>
      <c r="J155" s="1102"/>
      <c r="K155" s="1102"/>
      <c r="L155" s="1102"/>
      <c r="M155" s="1102"/>
      <c r="N155" s="1102"/>
      <c r="O155" s="1102"/>
      <c r="P155" s="1102"/>
      <c r="Q155" s="1102"/>
      <c r="BS155" s="833"/>
      <c r="BT155" s="833"/>
      <c r="BU155" s="833"/>
      <c r="BV155" s="833"/>
      <c r="BW155" s="833"/>
      <c r="BX155" s="833"/>
      <c r="BY155" s="833"/>
      <c r="BZ155" s="833"/>
      <c r="CA155" s="833"/>
      <c r="CB155" s="833"/>
      <c r="CC155" s="833"/>
      <c r="CD155" s="833"/>
      <c r="CE155" s="833"/>
      <c r="CF155" s="833"/>
      <c r="CG155" s="31"/>
      <c r="CH155" s="31"/>
      <c r="CI155" s="31"/>
      <c r="CJ155" s="31"/>
      <c r="CK155" s="31"/>
      <c r="CL155" s="31"/>
      <c r="CM155" s="31"/>
      <c r="CN155" s="31"/>
      <c r="CO155" s="31"/>
      <c r="CP155" s="31"/>
      <c r="CQ155" s="31"/>
      <c r="CR155" s="31"/>
      <c r="CS155" s="31"/>
    </row>
    <row r="156" spans="5:97" s="246" customFormat="1" x14ac:dyDescent="0.2">
      <c r="E156" s="1102"/>
      <c r="F156" s="1102"/>
      <c r="G156" s="2195"/>
      <c r="H156" s="1102"/>
      <c r="I156" s="1102"/>
      <c r="J156" s="1102"/>
      <c r="K156" s="1102"/>
      <c r="L156" s="1102"/>
      <c r="M156" s="1102"/>
      <c r="N156" s="1102"/>
      <c r="O156" s="1102"/>
      <c r="P156" s="1102"/>
      <c r="Q156" s="1102"/>
      <c r="BS156" s="833"/>
      <c r="BT156" s="833"/>
      <c r="BU156" s="833"/>
      <c r="BV156" s="833"/>
      <c r="BW156" s="833"/>
      <c r="BX156" s="833"/>
      <c r="BY156" s="833"/>
      <c r="BZ156" s="833"/>
      <c r="CA156" s="833"/>
      <c r="CB156" s="833"/>
      <c r="CC156" s="833"/>
      <c r="CD156" s="833"/>
      <c r="CE156" s="833"/>
      <c r="CF156" s="833"/>
      <c r="CG156" s="31"/>
      <c r="CH156" s="31"/>
      <c r="CI156" s="31"/>
      <c r="CJ156" s="31"/>
      <c r="CK156" s="31"/>
      <c r="CL156" s="31"/>
      <c r="CM156" s="31"/>
      <c r="CN156" s="31"/>
      <c r="CO156" s="31"/>
      <c r="CP156" s="31"/>
      <c r="CQ156" s="31"/>
      <c r="CR156" s="31"/>
      <c r="CS156" s="31"/>
    </row>
    <row r="157" spans="5:97" s="246" customFormat="1" x14ac:dyDescent="0.2">
      <c r="E157" s="1102"/>
      <c r="F157" s="1102"/>
      <c r="G157" s="2195"/>
      <c r="H157" s="1102"/>
      <c r="I157" s="1102"/>
      <c r="J157" s="1102"/>
      <c r="K157" s="1102"/>
      <c r="L157" s="1102"/>
      <c r="M157" s="1102"/>
      <c r="N157" s="1102"/>
      <c r="O157" s="1102"/>
      <c r="P157" s="1102"/>
      <c r="Q157" s="1102"/>
      <c r="BS157" s="833"/>
      <c r="BT157" s="833"/>
      <c r="BU157" s="833"/>
      <c r="BV157" s="833"/>
      <c r="BW157" s="833"/>
      <c r="BX157" s="833"/>
      <c r="BY157" s="833"/>
      <c r="BZ157" s="833"/>
      <c r="CA157" s="833"/>
      <c r="CB157" s="833"/>
      <c r="CC157" s="833"/>
      <c r="CD157" s="833"/>
      <c r="CE157" s="833"/>
      <c r="CF157" s="833"/>
      <c r="CG157" s="31"/>
      <c r="CH157" s="31"/>
      <c r="CI157" s="31"/>
      <c r="CJ157" s="31"/>
      <c r="CK157" s="31"/>
      <c r="CL157" s="31"/>
      <c r="CM157" s="31"/>
      <c r="CN157" s="31"/>
      <c r="CO157" s="31"/>
      <c r="CP157" s="31"/>
      <c r="CQ157" s="31"/>
      <c r="CR157" s="31"/>
      <c r="CS157" s="31"/>
    </row>
    <row r="158" spans="5:97" s="246" customFormat="1" x14ac:dyDescent="0.2">
      <c r="E158" s="1102"/>
      <c r="F158" s="1102"/>
      <c r="G158" s="2195"/>
      <c r="H158" s="1102"/>
      <c r="I158" s="1102"/>
      <c r="J158" s="1102"/>
      <c r="K158" s="1102"/>
      <c r="L158" s="1102"/>
      <c r="M158" s="1102"/>
      <c r="N158" s="1102"/>
      <c r="O158" s="1102"/>
      <c r="P158" s="1102"/>
      <c r="Q158" s="1102"/>
      <c r="BS158" s="833"/>
      <c r="BT158" s="833"/>
      <c r="BU158" s="833"/>
      <c r="BV158" s="833"/>
      <c r="BW158" s="833"/>
      <c r="BX158" s="833"/>
      <c r="BY158" s="833"/>
      <c r="BZ158" s="833"/>
      <c r="CA158" s="833"/>
      <c r="CB158" s="833"/>
      <c r="CC158" s="833"/>
      <c r="CD158" s="833"/>
      <c r="CE158" s="833"/>
      <c r="CF158" s="833"/>
      <c r="CG158" s="31"/>
      <c r="CH158" s="31"/>
      <c r="CI158" s="31"/>
      <c r="CJ158" s="31"/>
      <c r="CK158" s="31"/>
      <c r="CL158" s="31"/>
      <c r="CM158" s="31"/>
      <c r="CN158" s="31"/>
      <c r="CO158" s="31"/>
      <c r="CP158" s="31"/>
      <c r="CQ158" s="31"/>
      <c r="CR158" s="31"/>
      <c r="CS158" s="31"/>
    </row>
    <row r="159" spans="5:97" s="246" customFormat="1" x14ac:dyDescent="0.2">
      <c r="E159" s="1102"/>
      <c r="F159" s="1102"/>
      <c r="G159" s="2195"/>
      <c r="H159" s="1102"/>
      <c r="I159" s="1102"/>
      <c r="J159" s="1102"/>
      <c r="K159" s="1102"/>
      <c r="L159" s="1102"/>
      <c r="M159" s="1102"/>
      <c r="N159" s="1102"/>
      <c r="O159" s="1102"/>
      <c r="P159" s="1102"/>
      <c r="Q159" s="1102"/>
      <c r="BS159" s="833"/>
      <c r="BT159" s="833"/>
      <c r="BU159" s="833"/>
      <c r="BV159" s="833"/>
      <c r="BW159" s="833"/>
      <c r="BX159" s="833"/>
      <c r="BY159" s="833"/>
      <c r="BZ159" s="833"/>
      <c r="CA159" s="833"/>
      <c r="CB159" s="833"/>
      <c r="CC159" s="833"/>
      <c r="CD159" s="833"/>
      <c r="CE159" s="833"/>
      <c r="CF159" s="833"/>
      <c r="CG159" s="31"/>
      <c r="CH159" s="31"/>
      <c r="CI159" s="31"/>
      <c r="CJ159" s="31"/>
      <c r="CK159" s="31"/>
      <c r="CL159" s="31"/>
      <c r="CM159" s="31"/>
      <c r="CN159" s="31"/>
      <c r="CO159" s="31"/>
      <c r="CP159" s="31"/>
      <c r="CQ159" s="31"/>
      <c r="CR159" s="31"/>
      <c r="CS159" s="31"/>
    </row>
    <row r="160" spans="5:97" s="246" customFormat="1" x14ac:dyDescent="0.2">
      <c r="E160" s="1102"/>
      <c r="F160" s="1102"/>
      <c r="G160" s="2195"/>
      <c r="H160" s="1102"/>
      <c r="I160" s="1102"/>
      <c r="J160" s="1102"/>
      <c r="K160" s="1102"/>
      <c r="L160" s="1102"/>
      <c r="M160" s="1102"/>
      <c r="N160" s="1102"/>
      <c r="O160" s="1102"/>
      <c r="P160" s="1102"/>
      <c r="Q160" s="1102"/>
      <c r="BS160" s="833"/>
      <c r="BT160" s="833"/>
      <c r="BU160" s="833"/>
      <c r="BV160" s="833"/>
      <c r="BW160" s="833"/>
      <c r="BX160" s="833"/>
      <c r="BY160" s="833"/>
      <c r="BZ160" s="833"/>
      <c r="CA160" s="833"/>
      <c r="CB160" s="833"/>
      <c r="CC160" s="833"/>
      <c r="CD160" s="833"/>
      <c r="CE160" s="833"/>
      <c r="CF160" s="833"/>
      <c r="CG160" s="31"/>
      <c r="CH160" s="31"/>
      <c r="CI160" s="31"/>
      <c r="CJ160" s="31"/>
      <c r="CK160" s="31"/>
      <c r="CL160" s="31"/>
      <c r="CM160" s="31"/>
      <c r="CN160" s="31"/>
      <c r="CO160" s="31"/>
      <c r="CP160" s="31"/>
      <c r="CQ160" s="31"/>
      <c r="CR160" s="31"/>
      <c r="CS160" s="31"/>
    </row>
    <row r="161" spans="5:97" s="246" customFormat="1" x14ac:dyDescent="0.2">
      <c r="E161" s="1102"/>
      <c r="F161" s="1102"/>
      <c r="G161" s="2195"/>
      <c r="H161" s="1102"/>
      <c r="I161" s="1102"/>
      <c r="J161" s="1102"/>
      <c r="K161" s="1102"/>
      <c r="L161" s="1102"/>
      <c r="M161" s="1102"/>
      <c r="N161" s="1102"/>
      <c r="O161" s="1102"/>
      <c r="P161" s="1102"/>
      <c r="Q161" s="1102"/>
      <c r="BS161" s="833"/>
      <c r="BT161" s="833"/>
      <c r="BU161" s="833"/>
      <c r="BV161" s="833"/>
      <c r="BW161" s="833"/>
      <c r="BX161" s="833"/>
      <c r="BY161" s="833"/>
      <c r="BZ161" s="833"/>
      <c r="CA161" s="833"/>
      <c r="CB161" s="833"/>
      <c r="CC161" s="833"/>
      <c r="CD161" s="833"/>
      <c r="CE161" s="833"/>
      <c r="CF161" s="833"/>
      <c r="CG161" s="34"/>
      <c r="CH161" s="34"/>
      <c r="CI161" s="34"/>
      <c r="CJ161" s="34"/>
      <c r="CK161" s="34"/>
      <c r="CL161" s="34"/>
      <c r="CM161" s="34"/>
      <c r="CN161" s="34"/>
      <c r="CO161" s="34"/>
      <c r="CP161" s="34"/>
      <c r="CQ161" s="34"/>
      <c r="CR161" s="34"/>
      <c r="CS161" s="34"/>
    </row>
    <row r="162" spans="5:97" s="246" customFormat="1" x14ac:dyDescent="0.2">
      <c r="E162" s="1102"/>
      <c r="F162" s="1102"/>
      <c r="G162" s="2195"/>
      <c r="H162" s="1102"/>
      <c r="I162" s="1102"/>
      <c r="J162" s="1102"/>
      <c r="K162" s="1102"/>
      <c r="L162" s="1102"/>
      <c r="M162" s="1102"/>
      <c r="N162" s="1102"/>
      <c r="O162" s="1102"/>
      <c r="P162" s="1102"/>
      <c r="Q162" s="1102"/>
      <c r="BS162" s="379"/>
      <c r="BT162" s="379"/>
      <c r="BU162" s="379"/>
      <c r="BV162" s="379"/>
      <c r="BW162" s="379"/>
      <c r="BX162" s="379"/>
      <c r="BY162" s="379"/>
      <c r="BZ162" s="379"/>
      <c r="CA162" s="379"/>
      <c r="CB162" s="379"/>
      <c r="CC162" s="379"/>
      <c r="CD162" s="379"/>
      <c r="CE162" s="379"/>
      <c r="CF162" s="379"/>
      <c r="CG162" s="34"/>
      <c r="CH162" s="34"/>
      <c r="CI162" s="34"/>
      <c r="CJ162" s="34"/>
      <c r="CK162" s="34"/>
      <c r="CL162" s="34"/>
      <c r="CM162" s="34"/>
      <c r="CN162" s="34"/>
      <c r="CO162" s="34"/>
      <c r="CP162" s="34"/>
      <c r="CQ162" s="34"/>
      <c r="CR162" s="34"/>
      <c r="CS162" s="34"/>
    </row>
    <row r="163" spans="5:97" s="246" customFormat="1" x14ac:dyDescent="0.2">
      <c r="E163" s="1102"/>
      <c r="F163" s="1102"/>
      <c r="G163" s="2195"/>
      <c r="H163" s="1102"/>
      <c r="I163" s="1102"/>
      <c r="J163" s="1102"/>
      <c r="K163" s="1102"/>
      <c r="L163" s="1102"/>
      <c r="M163" s="1102"/>
      <c r="N163" s="1102"/>
      <c r="O163" s="1102"/>
      <c r="P163" s="1102"/>
      <c r="Q163" s="1102"/>
      <c r="BS163" s="379"/>
      <c r="BT163" s="379"/>
      <c r="BU163" s="379"/>
      <c r="BV163" s="379"/>
      <c r="BW163" s="379"/>
      <c r="BX163" s="379"/>
      <c r="BY163" s="379"/>
      <c r="BZ163" s="379"/>
      <c r="CA163" s="379"/>
      <c r="CB163" s="379"/>
      <c r="CC163" s="379"/>
      <c r="CD163" s="379"/>
      <c r="CE163" s="379"/>
      <c r="CF163" s="379"/>
      <c r="CG163" s="34"/>
      <c r="CH163" s="34"/>
      <c r="CI163" s="34"/>
      <c r="CJ163" s="34"/>
      <c r="CK163" s="34"/>
      <c r="CL163" s="34"/>
      <c r="CM163" s="34"/>
      <c r="CN163" s="34"/>
      <c r="CO163" s="34"/>
      <c r="CP163" s="34"/>
      <c r="CQ163" s="34"/>
      <c r="CR163" s="34"/>
      <c r="CS163" s="34"/>
    </row>
    <row r="164" spans="5:97" s="246" customFormat="1" x14ac:dyDescent="0.2">
      <c r="E164" s="1102"/>
      <c r="F164" s="1102"/>
      <c r="G164" s="2195"/>
      <c r="H164" s="1102"/>
      <c r="I164" s="1102"/>
      <c r="J164" s="1102"/>
      <c r="K164" s="1102"/>
      <c r="L164" s="1102"/>
      <c r="M164" s="1102"/>
      <c r="N164" s="1102"/>
      <c r="O164" s="1102"/>
      <c r="P164" s="1102"/>
      <c r="Q164" s="1102"/>
      <c r="BS164" s="833"/>
      <c r="BT164" s="833"/>
      <c r="BU164" s="833"/>
      <c r="BV164" s="833"/>
      <c r="BW164" s="833"/>
      <c r="BX164" s="833"/>
      <c r="BY164" s="833"/>
      <c r="BZ164" s="833"/>
      <c r="CA164" s="833"/>
      <c r="CB164" s="833"/>
      <c r="CC164" s="833"/>
      <c r="CD164" s="833"/>
      <c r="CE164" s="833"/>
      <c r="CF164" s="833"/>
      <c r="CG164" s="31"/>
      <c r="CH164" s="31"/>
      <c r="CI164" s="31"/>
      <c r="CJ164" s="31"/>
      <c r="CK164" s="31"/>
      <c r="CL164" s="31"/>
      <c r="CM164" s="31"/>
      <c r="CN164" s="31"/>
      <c r="CO164" s="31"/>
      <c r="CP164" s="31"/>
      <c r="CQ164" s="31"/>
      <c r="CR164" s="31"/>
      <c r="CS164" s="31"/>
    </row>
    <row r="165" spans="5:97" s="246" customFormat="1" x14ac:dyDescent="0.2">
      <c r="E165" s="1102"/>
      <c r="F165" s="1102"/>
      <c r="G165" s="2195"/>
      <c r="H165" s="1102"/>
      <c r="I165" s="1102"/>
      <c r="J165" s="1102"/>
      <c r="K165" s="1102"/>
      <c r="L165" s="1102"/>
      <c r="M165" s="1102"/>
      <c r="N165" s="1102"/>
      <c r="O165" s="1102"/>
      <c r="P165" s="1102"/>
      <c r="Q165" s="1102"/>
      <c r="BS165" s="833"/>
      <c r="BT165" s="833"/>
      <c r="BU165" s="833"/>
      <c r="BV165" s="833"/>
      <c r="BW165" s="833"/>
      <c r="BX165" s="833"/>
      <c r="BY165" s="833"/>
      <c r="BZ165" s="833"/>
      <c r="CA165" s="833"/>
      <c r="CB165" s="833"/>
      <c r="CC165" s="833"/>
      <c r="CD165" s="833"/>
      <c r="CE165" s="833"/>
      <c r="CF165" s="833"/>
      <c r="CG165" s="31"/>
      <c r="CH165" s="31"/>
      <c r="CI165" s="31"/>
      <c r="CJ165" s="31"/>
      <c r="CK165" s="31"/>
      <c r="CL165" s="31"/>
      <c r="CM165" s="31"/>
      <c r="CN165" s="31"/>
      <c r="CO165" s="31"/>
      <c r="CP165" s="31"/>
      <c r="CQ165" s="31"/>
      <c r="CR165" s="31"/>
      <c r="CS165" s="31"/>
    </row>
    <row r="166" spans="5:97" s="246" customFormat="1" x14ac:dyDescent="0.2">
      <c r="E166" s="1102"/>
      <c r="F166" s="1102"/>
      <c r="G166" s="2195"/>
      <c r="H166" s="1102"/>
      <c r="I166" s="1102"/>
      <c r="J166" s="1102"/>
      <c r="K166" s="1102"/>
      <c r="L166" s="1102"/>
      <c r="M166" s="1102"/>
      <c r="N166" s="1102"/>
      <c r="O166" s="1102"/>
      <c r="P166" s="1102"/>
      <c r="Q166" s="1102"/>
      <c r="BS166" s="379"/>
      <c r="BT166" s="379"/>
      <c r="BU166" s="379"/>
      <c r="BV166" s="379"/>
      <c r="BW166" s="379"/>
      <c r="BX166" s="379"/>
      <c r="BY166" s="379"/>
      <c r="BZ166" s="379"/>
      <c r="CA166" s="379"/>
      <c r="CB166" s="379"/>
      <c r="CC166" s="379"/>
      <c r="CD166" s="379"/>
      <c r="CE166" s="379"/>
      <c r="CF166" s="379"/>
      <c r="CG166" s="34"/>
      <c r="CH166" s="34"/>
      <c r="CI166" s="34"/>
      <c r="CJ166" s="34"/>
      <c r="CK166" s="34"/>
      <c r="CL166" s="34"/>
      <c r="CM166" s="34"/>
      <c r="CN166" s="34"/>
      <c r="CO166" s="34"/>
      <c r="CP166" s="34"/>
      <c r="CQ166" s="34"/>
      <c r="CR166" s="34"/>
      <c r="CS166" s="34"/>
    </row>
    <row r="167" spans="5:97" s="246" customFormat="1" x14ac:dyDescent="0.2">
      <c r="E167" s="1102"/>
      <c r="F167" s="1102"/>
      <c r="G167" s="2195"/>
      <c r="H167" s="1102"/>
      <c r="I167" s="1102"/>
      <c r="J167" s="1102"/>
      <c r="K167" s="1102"/>
      <c r="L167" s="1102"/>
      <c r="M167" s="1102"/>
      <c r="N167" s="1102"/>
      <c r="O167" s="1102"/>
      <c r="P167" s="1102"/>
      <c r="Q167" s="1102"/>
      <c r="BS167" s="833"/>
      <c r="BT167" s="833"/>
      <c r="BU167" s="833"/>
      <c r="BV167" s="833"/>
      <c r="BW167" s="833"/>
      <c r="BX167" s="833"/>
      <c r="BY167" s="833"/>
      <c r="BZ167" s="833"/>
      <c r="CA167" s="833"/>
      <c r="CB167" s="833"/>
      <c r="CC167" s="833"/>
      <c r="CD167" s="833"/>
      <c r="CE167" s="833"/>
      <c r="CF167" s="833"/>
      <c r="CG167" s="34"/>
      <c r="CH167" s="34"/>
      <c r="CI167" s="34"/>
      <c r="CJ167" s="34"/>
      <c r="CK167" s="34"/>
      <c r="CL167" s="34"/>
      <c r="CM167" s="34"/>
      <c r="CN167" s="34"/>
      <c r="CO167" s="34"/>
      <c r="CP167" s="34"/>
      <c r="CQ167" s="34"/>
      <c r="CR167" s="34"/>
      <c r="CS167" s="34"/>
    </row>
    <row r="168" spans="5:97" s="246" customFormat="1" x14ac:dyDescent="0.2">
      <c r="E168" s="1102"/>
      <c r="F168" s="1102"/>
      <c r="G168" s="2195"/>
      <c r="H168" s="1102"/>
      <c r="I168" s="1102"/>
      <c r="J168" s="1102"/>
      <c r="K168" s="1102"/>
      <c r="L168" s="1102"/>
      <c r="M168" s="1102"/>
      <c r="N168" s="1102"/>
      <c r="O168" s="1102"/>
      <c r="P168" s="1102"/>
      <c r="Q168" s="1102"/>
      <c r="BS168" s="833"/>
      <c r="BT168" s="833"/>
      <c r="BU168" s="833"/>
      <c r="BV168" s="833"/>
      <c r="BW168" s="833"/>
      <c r="BX168" s="833"/>
      <c r="BY168" s="833"/>
      <c r="BZ168" s="833"/>
      <c r="CA168" s="833"/>
      <c r="CB168" s="833"/>
      <c r="CC168" s="833"/>
      <c r="CD168" s="833"/>
      <c r="CE168" s="833"/>
      <c r="CF168" s="833"/>
      <c r="CG168" s="34"/>
      <c r="CH168" s="34"/>
      <c r="CI168" s="34"/>
      <c r="CJ168" s="34"/>
      <c r="CK168" s="34"/>
      <c r="CL168" s="34"/>
      <c r="CM168" s="34"/>
      <c r="CN168" s="34"/>
      <c r="CO168" s="34"/>
      <c r="CP168" s="34"/>
      <c r="CQ168" s="34"/>
      <c r="CR168" s="34"/>
      <c r="CS168" s="34"/>
    </row>
    <row r="169" spans="5:97" s="246" customFormat="1" x14ac:dyDescent="0.2">
      <c r="G169" s="2188"/>
      <c r="BS169" s="379"/>
      <c r="BT169" s="379"/>
      <c r="BU169" s="379"/>
      <c r="BV169" s="379"/>
      <c r="BW169" s="379"/>
      <c r="BX169" s="379"/>
      <c r="BY169" s="379"/>
      <c r="BZ169" s="379"/>
      <c r="CA169" s="379"/>
      <c r="CB169" s="379"/>
      <c r="CC169" s="379"/>
      <c r="CD169" s="379"/>
      <c r="CE169" s="379"/>
      <c r="CF169" s="379"/>
      <c r="CG169" s="34"/>
      <c r="CH169" s="34"/>
      <c r="CI169" s="34"/>
      <c r="CJ169" s="34"/>
      <c r="CK169" s="34"/>
      <c r="CL169" s="34"/>
      <c r="CM169" s="34"/>
      <c r="CN169" s="34"/>
      <c r="CO169" s="34"/>
      <c r="CP169" s="34"/>
      <c r="CQ169" s="34"/>
      <c r="CR169" s="34"/>
      <c r="CS169" s="34"/>
    </row>
    <row r="170" spans="5:97" s="246" customFormat="1" x14ac:dyDescent="0.2">
      <c r="G170" s="2188"/>
      <c r="BS170" s="833"/>
      <c r="BT170" s="833"/>
      <c r="BU170" s="833"/>
      <c r="BV170" s="833"/>
      <c r="BW170" s="833"/>
      <c r="BX170" s="833"/>
      <c r="BY170" s="833"/>
      <c r="BZ170" s="833"/>
      <c r="CA170" s="833"/>
      <c r="CB170" s="833"/>
      <c r="CC170" s="833"/>
      <c r="CD170" s="833"/>
      <c r="CE170" s="833"/>
      <c r="CF170" s="833"/>
      <c r="CG170" s="31"/>
      <c r="CH170" s="31"/>
      <c r="CI170" s="31"/>
      <c r="CJ170" s="31"/>
      <c r="CK170" s="31"/>
      <c r="CL170" s="31"/>
      <c r="CM170" s="31"/>
      <c r="CN170" s="31"/>
      <c r="CO170" s="31"/>
      <c r="CP170" s="31"/>
      <c r="CQ170" s="31"/>
      <c r="CR170" s="31"/>
      <c r="CS170" s="31"/>
    </row>
    <row r="171" spans="5:97" s="246" customFormat="1" x14ac:dyDescent="0.2">
      <c r="E171" s="1290"/>
      <c r="F171" s="1290"/>
      <c r="G171" s="2196"/>
      <c r="H171" s="1290"/>
      <c r="I171" s="1290"/>
      <c r="J171" s="1290"/>
      <c r="K171" s="1290"/>
      <c r="L171" s="1290"/>
      <c r="M171" s="1290"/>
      <c r="N171" s="1290"/>
      <c r="O171" s="1290"/>
      <c r="P171" s="1290"/>
      <c r="Q171" s="1290"/>
      <c r="BS171" s="833"/>
      <c r="BT171" s="833"/>
      <c r="BU171" s="833"/>
      <c r="BV171" s="833"/>
      <c r="BW171" s="833"/>
      <c r="BX171" s="833"/>
      <c r="BY171" s="833"/>
      <c r="BZ171" s="833"/>
      <c r="CA171" s="833"/>
      <c r="CB171" s="833"/>
      <c r="CC171" s="833"/>
      <c r="CD171" s="833"/>
      <c r="CE171" s="833"/>
      <c r="CF171" s="833"/>
      <c r="CG171" s="34"/>
      <c r="CH171" s="34"/>
      <c r="CI171" s="34"/>
      <c r="CJ171" s="34"/>
      <c r="CK171" s="34"/>
      <c r="CL171" s="34"/>
      <c r="CM171" s="34"/>
      <c r="CN171" s="34"/>
      <c r="CO171" s="34"/>
      <c r="CP171" s="34"/>
      <c r="CQ171" s="34"/>
      <c r="CR171" s="34"/>
      <c r="CS171" s="34"/>
    </row>
    <row r="172" spans="5:97" s="246" customFormat="1" x14ac:dyDescent="0.2">
      <c r="G172" s="2188"/>
      <c r="BS172" s="379"/>
      <c r="BT172" s="379"/>
      <c r="BU172" s="379"/>
      <c r="BV172" s="379"/>
      <c r="BW172" s="379"/>
      <c r="BX172" s="379"/>
      <c r="BY172" s="379"/>
      <c r="BZ172" s="379"/>
      <c r="CA172" s="379"/>
      <c r="CB172" s="379"/>
      <c r="CC172" s="379"/>
      <c r="CD172" s="379"/>
      <c r="CE172" s="379"/>
      <c r="CF172" s="379"/>
      <c r="CG172" s="34"/>
      <c r="CH172" s="34"/>
      <c r="CI172" s="34"/>
      <c r="CJ172" s="34"/>
      <c r="CK172" s="34"/>
      <c r="CL172" s="34"/>
      <c r="CM172" s="34"/>
      <c r="CN172" s="34"/>
      <c r="CO172" s="34"/>
      <c r="CP172" s="34"/>
      <c r="CQ172" s="34"/>
      <c r="CR172" s="34"/>
      <c r="CS172" s="34"/>
    </row>
    <row r="173" spans="5:97" s="246" customFormat="1" x14ac:dyDescent="0.2">
      <c r="E173" s="1103"/>
      <c r="F173" s="1103"/>
      <c r="G173" s="2197"/>
      <c r="H173" s="1103"/>
      <c r="I173" s="1103"/>
      <c r="J173" s="1103"/>
      <c r="K173" s="1103"/>
      <c r="L173" s="1103"/>
      <c r="M173" s="1103"/>
      <c r="N173" s="1103"/>
      <c r="O173" s="1103"/>
      <c r="P173" s="1103"/>
      <c r="Q173" s="1103"/>
      <c r="BS173" s="833"/>
      <c r="BT173" s="833"/>
      <c r="BU173" s="833"/>
      <c r="BV173" s="833"/>
      <c r="BW173" s="833"/>
      <c r="BX173" s="833"/>
      <c r="BY173" s="833"/>
      <c r="BZ173" s="833"/>
      <c r="CA173" s="833"/>
      <c r="CB173" s="833"/>
      <c r="CC173" s="833"/>
      <c r="CD173" s="833"/>
      <c r="CE173" s="833"/>
      <c r="CF173" s="833"/>
      <c r="CG173" s="31"/>
      <c r="CH173" s="31"/>
      <c r="CI173" s="31"/>
      <c r="CJ173" s="31"/>
      <c r="CK173" s="31"/>
      <c r="CL173" s="31"/>
      <c r="CM173" s="31"/>
      <c r="CN173" s="31"/>
      <c r="CO173" s="31"/>
      <c r="CP173" s="31"/>
      <c r="CQ173" s="31"/>
      <c r="CR173" s="31"/>
      <c r="CS173" s="31"/>
    </row>
    <row r="174" spans="5:97" s="246" customFormat="1" x14ac:dyDescent="0.2">
      <c r="E174" s="1103"/>
      <c r="F174" s="1103"/>
      <c r="G174" s="2197"/>
      <c r="H174" s="1103"/>
      <c r="I174" s="1103"/>
      <c r="J174" s="1103"/>
      <c r="K174" s="1103"/>
      <c r="L174" s="1103"/>
      <c r="M174" s="1103"/>
      <c r="N174" s="1103"/>
      <c r="O174" s="1103"/>
      <c r="P174" s="1103"/>
      <c r="Q174" s="1103"/>
      <c r="BS174" s="833"/>
      <c r="BT174" s="833"/>
      <c r="BU174" s="833"/>
      <c r="BV174" s="833"/>
      <c r="BW174" s="833"/>
      <c r="BX174" s="833"/>
      <c r="BY174" s="833"/>
      <c r="BZ174" s="833"/>
      <c r="CA174" s="833"/>
      <c r="CB174" s="833"/>
      <c r="CC174" s="833"/>
      <c r="CD174" s="833"/>
      <c r="CE174" s="833"/>
      <c r="CF174" s="833"/>
      <c r="CG174" s="31"/>
      <c r="CH174" s="31"/>
      <c r="CI174" s="31"/>
      <c r="CJ174" s="31"/>
      <c r="CK174" s="31"/>
      <c r="CL174" s="31"/>
      <c r="CM174" s="31"/>
      <c r="CN174" s="31"/>
      <c r="CO174" s="31"/>
      <c r="CP174" s="31"/>
      <c r="CQ174" s="31"/>
      <c r="CR174" s="31"/>
      <c r="CS174" s="31"/>
    </row>
    <row r="175" spans="5:97" s="246" customFormat="1" x14ac:dyDescent="0.2">
      <c r="E175" s="1103"/>
      <c r="F175" s="1103"/>
      <c r="G175" s="2197"/>
      <c r="H175" s="1103"/>
      <c r="I175" s="1103"/>
      <c r="J175" s="1103"/>
      <c r="K175" s="1103"/>
      <c r="L175" s="1103"/>
      <c r="M175" s="1103"/>
      <c r="N175" s="1103"/>
      <c r="O175" s="1103"/>
      <c r="P175" s="1103"/>
      <c r="Q175" s="1103"/>
      <c r="BS175" s="833"/>
      <c r="BT175" s="833"/>
      <c r="BU175" s="833"/>
      <c r="BV175" s="833"/>
      <c r="BW175" s="833"/>
      <c r="BX175" s="833"/>
      <c r="BY175" s="833"/>
      <c r="BZ175" s="833"/>
      <c r="CA175" s="833"/>
      <c r="CB175" s="833"/>
      <c r="CC175" s="833"/>
      <c r="CD175" s="833"/>
      <c r="CE175" s="833"/>
      <c r="CF175" s="833"/>
      <c r="CG175" s="34"/>
      <c r="CH175" s="34"/>
      <c r="CI175" s="34"/>
      <c r="CJ175" s="34"/>
      <c r="CK175" s="34"/>
      <c r="CL175" s="34"/>
      <c r="CM175" s="34"/>
      <c r="CN175" s="34"/>
      <c r="CO175" s="34"/>
      <c r="CP175" s="34"/>
      <c r="CQ175" s="34"/>
      <c r="CR175" s="34"/>
      <c r="CS175" s="34"/>
    </row>
    <row r="176" spans="5:97" s="246" customFormat="1" x14ac:dyDescent="0.2">
      <c r="E176" s="1103"/>
      <c r="F176" s="1103"/>
      <c r="G176" s="2197"/>
      <c r="H176" s="1103"/>
      <c r="I176" s="1103"/>
      <c r="J176" s="1103"/>
      <c r="K176" s="1103"/>
      <c r="L176" s="1103"/>
      <c r="M176" s="1103"/>
      <c r="N176" s="1103"/>
      <c r="O176" s="1103"/>
      <c r="P176" s="1103"/>
      <c r="Q176" s="1103"/>
      <c r="BS176" s="379"/>
      <c r="BT176" s="379"/>
      <c r="BU176" s="379"/>
      <c r="BV176" s="379"/>
      <c r="BW176" s="379"/>
      <c r="BX176" s="379"/>
      <c r="BY176" s="379"/>
      <c r="BZ176" s="379"/>
      <c r="CA176" s="379"/>
      <c r="CB176" s="379"/>
      <c r="CC176" s="379"/>
      <c r="CD176" s="379"/>
      <c r="CE176" s="379"/>
      <c r="CF176" s="379"/>
      <c r="CG176" s="34"/>
      <c r="CH176" s="34"/>
      <c r="CI176" s="34"/>
      <c r="CJ176" s="34"/>
      <c r="CK176" s="34"/>
      <c r="CL176" s="34"/>
      <c r="CM176" s="34"/>
      <c r="CN176" s="34"/>
      <c r="CO176" s="34"/>
      <c r="CP176" s="34"/>
      <c r="CQ176" s="34"/>
      <c r="CR176" s="34"/>
      <c r="CS176" s="34"/>
    </row>
    <row r="177" spans="5:97" s="246" customFormat="1" x14ac:dyDescent="0.2">
      <c r="E177" s="1103"/>
      <c r="F177" s="1103"/>
      <c r="G177" s="2197"/>
      <c r="H177" s="1103"/>
      <c r="I177" s="1103"/>
      <c r="J177" s="1103"/>
      <c r="K177" s="1103"/>
      <c r="L177" s="1103"/>
      <c r="M177" s="1103"/>
      <c r="N177" s="1103"/>
      <c r="O177" s="1103"/>
      <c r="P177" s="1103"/>
      <c r="Q177" s="1103"/>
      <c r="BS177" s="833"/>
      <c r="BT177" s="833"/>
      <c r="BU177" s="833"/>
      <c r="BV177" s="833"/>
      <c r="BW177" s="833"/>
      <c r="BX177" s="833"/>
      <c r="BY177" s="833"/>
      <c r="BZ177" s="833"/>
      <c r="CA177" s="833"/>
      <c r="CB177" s="833"/>
      <c r="CC177" s="833"/>
      <c r="CD177" s="833"/>
      <c r="CE177" s="833"/>
      <c r="CF177" s="833"/>
      <c r="CG177" s="31"/>
      <c r="CH177" s="31"/>
      <c r="CI177" s="31"/>
      <c r="CJ177" s="31"/>
      <c r="CK177" s="31"/>
      <c r="CL177" s="31"/>
      <c r="CM177" s="31"/>
      <c r="CN177" s="31"/>
      <c r="CO177" s="31"/>
      <c r="CP177" s="31"/>
      <c r="CQ177" s="31"/>
      <c r="CR177" s="31"/>
      <c r="CS177" s="31"/>
    </row>
    <row r="178" spans="5:97" s="246" customFormat="1" x14ac:dyDescent="0.2">
      <c r="E178" s="1103"/>
      <c r="F178" s="1103"/>
      <c r="G178" s="2197"/>
      <c r="H178" s="1103"/>
      <c r="I178" s="1103"/>
      <c r="J178" s="1103"/>
      <c r="K178" s="1103"/>
      <c r="L178" s="1103"/>
      <c r="M178" s="1103"/>
      <c r="N178" s="1103"/>
      <c r="O178" s="1103"/>
      <c r="P178" s="1103"/>
      <c r="Q178" s="1103"/>
      <c r="BS178" s="833"/>
      <c r="BT178" s="833"/>
      <c r="BU178" s="833"/>
      <c r="BV178" s="833"/>
      <c r="BW178" s="833"/>
      <c r="BX178" s="833"/>
      <c r="BY178" s="833"/>
      <c r="BZ178" s="833"/>
      <c r="CA178" s="833"/>
      <c r="CB178" s="833"/>
      <c r="CC178" s="833"/>
      <c r="CD178" s="833"/>
      <c r="CE178" s="833"/>
      <c r="CF178" s="833"/>
      <c r="CG178" s="34"/>
      <c r="CH178" s="34"/>
      <c r="CI178" s="34"/>
      <c r="CJ178" s="34"/>
      <c r="CK178" s="34"/>
      <c r="CL178" s="34"/>
      <c r="CM178" s="34"/>
      <c r="CN178" s="34"/>
      <c r="CO178" s="34"/>
      <c r="CP178" s="34"/>
      <c r="CQ178" s="34"/>
      <c r="CR178" s="34"/>
      <c r="CS178" s="34"/>
    </row>
    <row r="179" spans="5:97" s="246" customFormat="1" x14ac:dyDescent="0.2">
      <c r="E179" s="1103"/>
      <c r="F179" s="1103"/>
      <c r="G179" s="2197"/>
      <c r="H179" s="1103"/>
      <c r="I179" s="1103"/>
      <c r="J179" s="1103"/>
      <c r="K179" s="1103"/>
      <c r="L179" s="1103"/>
      <c r="M179" s="1103"/>
      <c r="N179" s="1103"/>
      <c r="O179" s="1103"/>
      <c r="P179" s="1103"/>
      <c r="Q179" s="1103"/>
      <c r="BS179" s="833"/>
      <c r="BT179" s="833"/>
      <c r="BU179" s="833"/>
      <c r="BV179" s="833"/>
      <c r="BW179" s="833"/>
      <c r="BX179" s="833"/>
      <c r="BY179" s="833"/>
      <c r="BZ179" s="833"/>
      <c r="CA179" s="833"/>
      <c r="CB179" s="833"/>
      <c r="CC179" s="833"/>
      <c r="CD179" s="833"/>
      <c r="CE179" s="833"/>
      <c r="CF179" s="833"/>
      <c r="CG179" s="34"/>
      <c r="CH179" s="34"/>
      <c r="CI179" s="34"/>
      <c r="CJ179" s="34"/>
      <c r="CK179" s="34"/>
      <c r="CL179" s="34"/>
      <c r="CM179" s="34"/>
      <c r="CN179" s="34"/>
      <c r="CO179" s="34"/>
      <c r="CP179" s="34"/>
      <c r="CQ179" s="34"/>
      <c r="CR179" s="34"/>
      <c r="CS179" s="34"/>
    </row>
    <row r="180" spans="5:97" s="246" customFormat="1" x14ac:dyDescent="0.2">
      <c r="E180" s="1103"/>
      <c r="F180" s="1103"/>
      <c r="G180" s="2197"/>
      <c r="H180" s="1103"/>
      <c r="I180" s="1103"/>
      <c r="J180" s="1103"/>
      <c r="K180" s="1103"/>
      <c r="L180" s="1103"/>
      <c r="M180" s="1103"/>
      <c r="N180" s="1103"/>
      <c r="O180" s="1103"/>
      <c r="P180" s="1103"/>
      <c r="Q180" s="1103"/>
      <c r="BS180" s="379"/>
      <c r="BT180" s="379"/>
      <c r="BU180" s="379"/>
      <c r="BV180" s="379"/>
      <c r="BW180" s="379"/>
      <c r="BX180" s="379"/>
      <c r="BY180" s="379"/>
      <c r="BZ180" s="379"/>
      <c r="CA180" s="379"/>
      <c r="CB180" s="379"/>
      <c r="CC180" s="379"/>
      <c r="CD180" s="379"/>
      <c r="CE180" s="379"/>
      <c r="CF180" s="379"/>
      <c r="CG180" s="34"/>
      <c r="CH180" s="34"/>
      <c r="CI180" s="34"/>
      <c r="CJ180" s="34"/>
      <c r="CK180" s="34"/>
      <c r="CL180" s="34"/>
      <c r="CM180" s="34"/>
      <c r="CN180" s="34"/>
      <c r="CO180" s="34"/>
      <c r="CP180" s="34"/>
      <c r="CQ180" s="34"/>
      <c r="CR180" s="34"/>
      <c r="CS180" s="34"/>
    </row>
    <row r="181" spans="5:97" s="246" customFormat="1" x14ac:dyDescent="0.2">
      <c r="E181" s="1103"/>
      <c r="F181" s="1103"/>
      <c r="G181" s="2197"/>
      <c r="H181" s="1103"/>
      <c r="I181" s="1103"/>
      <c r="J181" s="1103"/>
      <c r="K181" s="1103"/>
      <c r="L181" s="1103"/>
      <c r="M181" s="1103"/>
      <c r="N181" s="1103"/>
      <c r="O181" s="1103"/>
      <c r="P181" s="1103"/>
      <c r="Q181" s="1103"/>
      <c r="BS181" s="379"/>
      <c r="BT181" s="379"/>
      <c r="BU181" s="613"/>
      <c r="BV181" s="613"/>
      <c r="BW181" s="613"/>
      <c r="BX181" s="613"/>
      <c r="BY181" s="613"/>
      <c r="BZ181" s="613"/>
      <c r="CA181" s="613"/>
      <c r="CB181" s="613"/>
      <c r="CC181" s="613"/>
      <c r="CD181" s="613"/>
      <c r="CE181" s="613"/>
      <c r="CF181" s="613"/>
      <c r="CG181" s="39"/>
      <c r="CH181" s="39"/>
      <c r="CI181" s="39"/>
      <c r="CJ181" s="39"/>
      <c r="CK181" s="39"/>
      <c r="CL181" s="39"/>
      <c r="CM181" s="39"/>
      <c r="CN181" s="39"/>
      <c r="CO181" s="39"/>
      <c r="CP181" s="39"/>
      <c r="CQ181" s="39"/>
      <c r="CR181" s="39"/>
      <c r="CS181" s="39"/>
    </row>
    <row r="182" spans="5:97" s="246" customFormat="1" x14ac:dyDescent="0.2">
      <c r="E182" s="1103"/>
      <c r="F182" s="1103"/>
      <c r="G182" s="2197"/>
      <c r="H182" s="1103"/>
      <c r="I182" s="1103"/>
      <c r="J182" s="1103"/>
      <c r="K182" s="1103"/>
      <c r="L182" s="1103"/>
      <c r="M182" s="1103"/>
      <c r="N182" s="1103"/>
      <c r="O182" s="1103"/>
      <c r="P182" s="1103"/>
      <c r="Q182" s="1103"/>
      <c r="BS182" s="379"/>
      <c r="BT182" s="379"/>
      <c r="BU182" s="379"/>
      <c r="BV182" s="379"/>
      <c r="BW182" s="379"/>
      <c r="BX182" s="379"/>
      <c r="BY182" s="379"/>
      <c r="BZ182" s="379"/>
      <c r="CA182" s="379"/>
      <c r="CB182" s="379"/>
      <c r="CC182" s="379"/>
      <c r="CD182" s="379"/>
      <c r="CE182" s="379"/>
      <c r="CF182" s="379"/>
      <c r="CG182" s="34"/>
      <c r="CH182" s="34"/>
      <c r="CI182" s="34"/>
      <c r="CJ182" s="34"/>
      <c r="CK182" s="34"/>
      <c r="CL182" s="34"/>
      <c r="CM182" s="34"/>
      <c r="CN182" s="34"/>
      <c r="CO182" s="34"/>
      <c r="CP182" s="34"/>
      <c r="CQ182" s="34"/>
      <c r="CR182" s="34"/>
      <c r="CS182" s="34"/>
    </row>
    <row r="183" spans="5:97" s="246" customFormat="1" x14ac:dyDescent="0.2">
      <c r="E183" s="1103"/>
      <c r="F183" s="1103"/>
      <c r="G183" s="2197"/>
      <c r="H183" s="1103"/>
      <c r="I183" s="1103"/>
      <c r="J183" s="1103"/>
      <c r="K183" s="1103"/>
      <c r="L183" s="1103"/>
      <c r="M183" s="1103"/>
      <c r="N183" s="1103"/>
      <c r="O183" s="1103"/>
      <c r="P183" s="1103"/>
      <c r="Q183" s="1103"/>
      <c r="BS183" s="379"/>
      <c r="BT183" s="379"/>
      <c r="BU183" s="613"/>
      <c r="BV183" s="613"/>
      <c r="BW183" s="613"/>
      <c r="BX183" s="613"/>
      <c r="BY183" s="613"/>
      <c r="BZ183" s="613"/>
      <c r="CA183" s="613"/>
      <c r="CB183" s="613"/>
      <c r="CC183" s="613"/>
      <c r="CD183" s="613"/>
      <c r="CE183" s="613"/>
      <c r="CF183" s="613"/>
      <c r="CG183" s="39"/>
      <c r="CH183" s="39"/>
      <c r="CI183" s="39"/>
      <c r="CJ183" s="39"/>
      <c r="CK183" s="39"/>
      <c r="CL183" s="39"/>
      <c r="CM183" s="39"/>
      <c r="CN183" s="39"/>
      <c r="CO183" s="39"/>
      <c r="CP183" s="39"/>
      <c r="CQ183" s="39"/>
      <c r="CR183" s="39"/>
      <c r="CS183" s="39"/>
    </row>
    <row r="184" spans="5:97" s="246" customFormat="1" x14ac:dyDescent="0.2">
      <c r="E184" s="1103"/>
      <c r="F184" s="1103"/>
      <c r="G184" s="2197"/>
      <c r="H184" s="1103"/>
      <c r="I184" s="1103"/>
      <c r="J184" s="1103"/>
      <c r="K184" s="1103"/>
      <c r="L184" s="1103"/>
      <c r="M184" s="1103"/>
      <c r="N184" s="1103"/>
      <c r="O184" s="1103"/>
      <c r="P184" s="1103"/>
      <c r="Q184" s="1103"/>
      <c r="BS184" s="379"/>
      <c r="BT184" s="379"/>
      <c r="BU184" s="379"/>
      <c r="BV184" s="379"/>
      <c r="BW184" s="379"/>
      <c r="BX184" s="379"/>
      <c r="BY184" s="379"/>
      <c r="BZ184" s="379"/>
      <c r="CA184" s="379"/>
      <c r="CB184" s="379"/>
      <c r="CC184" s="379"/>
      <c r="CD184" s="379"/>
      <c r="CE184" s="379"/>
      <c r="CF184" s="379"/>
      <c r="CG184" s="34"/>
      <c r="CH184" s="34"/>
      <c r="CI184" s="34"/>
      <c r="CJ184" s="34"/>
      <c r="CK184" s="34"/>
      <c r="CL184" s="34"/>
      <c r="CM184" s="34"/>
      <c r="CN184" s="34"/>
      <c r="CO184" s="34"/>
      <c r="CP184" s="34"/>
      <c r="CQ184" s="34"/>
      <c r="CR184" s="34"/>
      <c r="CS184" s="34"/>
    </row>
    <row r="185" spans="5:97" s="246" customFormat="1" x14ac:dyDescent="0.2">
      <c r="E185" s="1103"/>
      <c r="F185" s="1103"/>
      <c r="G185" s="2197"/>
      <c r="H185" s="1103"/>
      <c r="I185" s="1103"/>
      <c r="J185" s="1103"/>
      <c r="K185" s="1103"/>
      <c r="L185" s="1103"/>
      <c r="M185" s="1103"/>
      <c r="N185" s="1103"/>
      <c r="O185" s="1103"/>
      <c r="P185" s="1103"/>
      <c r="Q185" s="1103"/>
      <c r="BS185" s="379"/>
      <c r="BT185" s="379"/>
      <c r="BU185" s="379"/>
      <c r="BV185" s="379"/>
      <c r="BW185" s="379"/>
      <c r="BX185" s="379"/>
      <c r="BY185" s="379"/>
      <c r="BZ185" s="379"/>
      <c r="CA185" s="379"/>
      <c r="CB185" s="379"/>
      <c r="CC185" s="379"/>
      <c r="CD185" s="379"/>
      <c r="CE185" s="379"/>
      <c r="CF185" s="379"/>
      <c r="CG185" s="34"/>
      <c r="CH185" s="34"/>
      <c r="CI185" s="34"/>
      <c r="CJ185" s="34"/>
      <c r="CK185" s="34"/>
      <c r="CL185" s="34"/>
      <c r="CM185" s="34"/>
      <c r="CN185" s="34"/>
      <c r="CO185" s="34"/>
      <c r="CP185" s="34"/>
      <c r="CQ185" s="34"/>
      <c r="CR185" s="34"/>
      <c r="CS185" s="34"/>
    </row>
    <row r="186" spans="5:97" s="246" customFormat="1" x14ac:dyDescent="0.2">
      <c r="E186" s="1103"/>
      <c r="F186" s="1103"/>
      <c r="G186" s="2197"/>
      <c r="H186" s="1103"/>
      <c r="I186" s="1103"/>
      <c r="J186" s="1103"/>
      <c r="K186" s="1103"/>
      <c r="L186" s="1103"/>
      <c r="M186" s="1103"/>
      <c r="N186" s="1103"/>
      <c r="O186" s="1103"/>
      <c r="P186" s="1103"/>
      <c r="Q186" s="1103"/>
      <c r="BS186" s="379"/>
      <c r="BT186" s="379"/>
      <c r="BU186" s="379"/>
      <c r="BV186" s="379"/>
      <c r="BW186" s="379"/>
      <c r="BX186" s="379"/>
      <c r="BY186" s="379"/>
      <c r="BZ186" s="379"/>
      <c r="CA186" s="379"/>
      <c r="CB186" s="379"/>
      <c r="CC186" s="379"/>
      <c r="CD186" s="379"/>
      <c r="CE186" s="379"/>
      <c r="CF186" s="379"/>
      <c r="CG186" s="34"/>
      <c r="CH186" s="34"/>
      <c r="CI186" s="34"/>
      <c r="CJ186" s="34"/>
      <c r="CK186" s="34"/>
      <c r="CL186" s="34"/>
      <c r="CM186" s="34"/>
      <c r="CN186" s="34"/>
      <c r="CO186" s="34"/>
      <c r="CP186" s="34"/>
      <c r="CQ186" s="34"/>
      <c r="CR186" s="34"/>
      <c r="CS186" s="34"/>
    </row>
    <row r="187" spans="5:97" s="246" customFormat="1" x14ac:dyDescent="0.2">
      <c r="E187" s="1103"/>
      <c r="F187" s="1103"/>
      <c r="G187" s="2197"/>
      <c r="H187" s="1103"/>
      <c r="I187" s="1103"/>
      <c r="J187" s="1103"/>
      <c r="K187" s="1103"/>
      <c r="L187" s="1103"/>
      <c r="M187" s="1103"/>
      <c r="N187" s="1103"/>
      <c r="O187" s="1103"/>
      <c r="P187" s="1103"/>
      <c r="Q187" s="1103"/>
      <c r="BS187" s="379"/>
      <c r="BT187" s="379"/>
      <c r="BU187" s="379"/>
      <c r="BV187" s="379"/>
      <c r="BW187" s="379"/>
      <c r="BX187" s="379"/>
      <c r="BY187" s="379"/>
      <c r="BZ187" s="379"/>
      <c r="CA187" s="379"/>
      <c r="CB187" s="379"/>
      <c r="CC187" s="379"/>
      <c r="CD187" s="379"/>
      <c r="CE187" s="379"/>
      <c r="CF187" s="379"/>
      <c r="CG187" s="34"/>
      <c r="CH187" s="34"/>
      <c r="CI187" s="34"/>
      <c r="CJ187" s="34"/>
      <c r="CK187" s="34"/>
      <c r="CL187" s="34"/>
      <c r="CM187" s="34"/>
      <c r="CN187" s="34"/>
      <c r="CO187" s="34"/>
      <c r="CP187" s="34"/>
      <c r="CQ187" s="34"/>
      <c r="CR187" s="34"/>
      <c r="CS187" s="34"/>
    </row>
    <row r="188" spans="5:97" s="246" customFormat="1" x14ac:dyDescent="0.2">
      <c r="E188" s="1103"/>
      <c r="F188" s="1103"/>
      <c r="G188" s="2197"/>
      <c r="H188" s="1103"/>
      <c r="I188" s="1103"/>
      <c r="J188" s="1103"/>
      <c r="K188" s="1103"/>
      <c r="L188" s="1103"/>
      <c r="M188" s="1103"/>
      <c r="N188" s="1103"/>
      <c r="O188" s="1103"/>
      <c r="P188" s="1103"/>
      <c r="Q188" s="1103"/>
      <c r="BS188" s="379"/>
      <c r="BT188" s="379"/>
      <c r="BU188" s="379"/>
      <c r="BV188" s="379"/>
      <c r="BW188" s="379"/>
      <c r="BX188" s="379"/>
      <c r="BY188" s="379"/>
      <c r="BZ188" s="379"/>
      <c r="CA188" s="379"/>
      <c r="CB188" s="379"/>
      <c r="CC188" s="379"/>
      <c r="CD188" s="379"/>
      <c r="CE188" s="379"/>
      <c r="CF188" s="379"/>
      <c r="CG188" s="34"/>
      <c r="CH188" s="34"/>
      <c r="CI188" s="34"/>
      <c r="CJ188" s="34"/>
      <c r="CK188" s="34"/>
      <c r="CL188" s="34"/>
      <c r="CM188" s="34"/>
      <c r="CN188" s="34"/>
      <c r="CO188" s="34"/>
      <c r="CP188" s="34"/>
      <c r="CQ188" s="34"/>
      <c r="CR188" s="34"/>
      <c r="CS188" s="34"/>
    </row>
    <row r="189" spans="5:97" s="246" customFormat="1" x14ac:dyDescent="0.2">
      <c r="E189" s="1103"/>
      <c r="F189" s="1103"/>
      <c r="G189" s="2197"/>
      <c r="H189" s="1103"/>
      <c r="I189" s="1103"/>
      <c r="J189" s="1103"/>
      <c r="K189" s="1103"/>
      <c r="L189" s="1103"/>
      <c r="M189" s="1103"/>
      <c r="N189" s="1103"/>
      <c r="O189" s="1103"/>
      <c r="P189" s="1103"/>
      <c r="Q189" s="1103"/>
      <c r="BS189" s="379"/>
      <c r="BT189" s="379"/>
      <c r="BU189" s="379"/>
      <c r="BV189" s="379"/>
      <c r="BW189" s="379"/>
      <c r="BX189" s="379"/>
      <c r="BY189" s="379"/>
      <c r="BZ189" s="379"/>
      <c r="CA189" s="379"/>
      <c r="CB189" s="379"/>
      <c r="CC189" s="379"/>
      <c r="CD189" s="379"/>
      <c r="CE189" s="379"/>
      <c r="CF189" s="379"/>
      <c r="CG189" s="34"/>
      <c r="CH189" s="34"/>
      <c r="CI189" s="34"/>
      <c r="CJ189" s="34"/>
      <c r="CK189" s="34"/>
      <c r="CL189" s="34"/>
      <c r="CM189" s="34"/>
      <c r="CN189" s="34"/>
      <c r="CO189" s="34"/>
      <c r="CP189" s="34"/>
      <c r="CQ189" s="34"/>
      <c r="CR189" s="34"/>
      <c r="CS189" s="34"/>
    </row>
    <row r="190" spans="5:97" s="246" customFormat="1" x14ac:dyDescent="0.2">
      <c r="E190" s="1103"/>
      <c r="F190" s="1103"/>
      <c r="G190" s="2197"/>
      <c r="H190" s="1103"/>
      <c r="I190" s="1103"/>
      <c r="J190" s="1103"/>
      <c r="K190" s="1103"/>
      <c r="L190" s="1103"/>
      <c r="M190" s="1103"/>
      <c r="N190" s="1103"/>
      <c r="O190" s="1103"/>
      <c r="P190" s="1103"/>
      <c r="Q190" s="1103"/>
      <c r="BS190" s="379"/>
      <c r="BT190" s="379"/>
      <c r="BU190" s="379"/>
      <c r="BV190" s="379"/>
      <c r="BW190" s="379"/>
      <c r="BX190" s="379"/>
      <c r="BY190" s="379"/>
      <c r="BZ190" s="379"/>
      <c r="CA190" s="379"/>
      <c r="CB190" s="379"/>
      <c r="CC190" s="379"/>
      <c r="CD190" s="379"/>
      <c r="CE190" s="379"/>
      <c r="CF190" s="379"/>
      <c r="CG190" s="34"/>
      <c r="CH190" s="34"/>
      <c r="CI190" s="34"/>
      <c r="CJ190" s="34"/>
      <c r="CK190" s="34"/>
      <c r="CL190" s="34"/>
      <c r="CM190" s="34"/>
      <c r="CN190" s="34"/>
      <c r="CO190" s="34"/>
      <c r="CP190" s="34"/>
      <c r="CQ190" s="34"/>
      <c r="CR190" s="34"/>
      <c r="CS190" s="34"/>
    </row>
    <row r="191" spans="5:97" s="246" customFormat="1" x14ac:dyDescent="0.2">
      <c r="E191" s="1103"/>
      <c r="F191" s="1103"/>
      <c r="G191" s="2197"/>
      <c r="H191" s="1103"/>
      <c r="I191" s="1103"/>
      <c r="J191" s="1103"/>
      <c r="K191" s="1103"/>
      <c r="L191" s="1103"/>
      <c r="M191" s="1103"/>
      <c r="N191" s="1103"/>
      <c r="O191" s="1103"/>
      <c r="P191" s="1103"/>
      <c r="Q191" s="1103"/>
      <c r="BS191" s="379"/>
      <c r="BT191" s="379"/>
      <c r="BU191" s="379"/>
      <c r="BV191" s="379"/>
      <c r="BW191" s="379"/>
      <c r="BX191" s="379"/>
      <c r="BY191" s="379"/>
      <c r="BZ191" s="379"/>
      <c r="CA191" s="379"/>
      <c r="CB191" s="379"/>
      <c r="CC191" s="379"/>
      <c r="CD191" s="379"/>
      <c r="CE191" s="379"/>
      <c r="CF191" s="379"/>
      <c r="CG191" s="34"/>
      <c r="CH191" s="34"/>
      <c r="CI191" s="34"/>
      <c r="CJ191" s="34"/>
      <c r="CK191" s="34"/>
      <c r="CL191" s="34"/>
      <c r="CM191" s="34"/>
      <c r="CN191" s="34"/>
      <c r="CO191" s="34"/>
      <c r="CP191" s="34"/>
      <c r="CQ191" s="34"/>
      <c r="CR191" s="34"/>
      <c r="CS191" s="34"/>
    </row>
    <row r="192" spans="5:97" s="246" customFormat="1" x14ac:dyDescent="0.2">
      <c r="E192" s="1103"/>
      <c r="F192" s="1103"/>
      <c r="G192" s="2197"/>
      <c r="H192" s="1103"/>
      <c r="I192" s="1103"/>
      <c r="J192" s="1103"/>
      <c r="K192" s="1103"/>
      <c r="L192" s="1103"/>
      <c r="M192" s="1103"/>
      <c r="N192" s="1103"/>
      <c r="O192" s="1103"/>
      <c r="P192" s="1103"/>
      <c r="Q192" s="1103"/>
      <c r="BS192" s="379"/>
      <c r="BT192" s="379"/>
      <c r="BU192" s="379"/>
      <c r="BV192" s="379"/>
      <c r="BW192" s="379"/>
      <c r="BX192" s="379"/>
      <c r="BY192" s="379"/>
      <c r="BZ192" s="379"/>
      <c r="CA192" s="379"/>
      <c r="CB192" s="379"/>
      <c r="CC192" s="379"/>
      <c r="CD192" s="379"/>
      <c r="CE192" s="379"/>
      <c r="CF192" s="379"/>
      <c r="CG192" s="34"/>
      <c r="CH192" s="34"/>
      <c r="CI192" s="34"/>
      <c r="CJ192" s="34"/>
      <c r="CK192" s="34"/>
      <c r="CL192" s="34"/>
      <c r="CM192" s="34"/>
      <c r="CN192" s="34"/>
      <c r="CO192" s="34"/>
      <c r="CP192" s="34"/>
      <c r="CQ192" s="34"/>
      <c r="CR192" s="34"/>
      <c r="CS192" s="34"/>
    </row>
    <row r="193" spans="5:97" s="246" customFormat="1" x14ac:dyDescent="0.2">
      <c r="E193" s="1103"/>
      <c r="F193" s="1103"/>
      <c r="G193" s="2197"/>
      <c r="H193" s="1103"/>
      <c r="I193" s="1103"/>
      <c r="J193" s="1103"/>
      <c r="K193" s="1103"/>
      <c r="L193" s="1103"/>
      <c r="M193" s="1103"/>
      <c r="N193" s="1103"/>
      <c r="O193" s="1103"/>
      <c r="P193" s="1103"/>
      <c r="Q193" s="1103"/>
      <c r="BS193" s="379"/>
      <c r="BT193" s="379"/>
      <c r="BU193" s="379"/>
      <c r="BV193" s="379"/>
      <c r="BW193" s="379"/>
      <c r="BX193" s="379"/>
      <c r="BY193" s="379"/>
      <c r="BZ193" s="379"/>
      <c r="CA193" s="379"/>
      <c r="CB193" s="379"/>
      <c r="CC193" s="379"/>
      <c r="CD193" s="379"/>
      <c r="CE193" s="379"/>
      <c r="CF193" s="379"/>
      <c r="CG193" s="34"/>
      <c r="CH193" s="34"/>
      <c r="CI193" s="34"/>
      <c r="CJ193" s="34"/>
      <c r="CK193" s="34"/>
      <c r="CL193" s="34"/>
      <c r="CM193" s="34"/>
      <c r="CN193" s="34"/>
      <c r="CO193" s="34"/>
      <c r="CP193" s="34"/>
      <c r="CQ193" s="34"/>
      <c r="CR193" s="34"/>
      <c r="CS193" s="34"/>
    </row>
    <row r="194" spans="5:97" s="246" customFormat="1" x14ac:dyDescent="0.2">
      <c r="E194" s="1103"/>
      <c r="F194" s="1103"/>
      <c r="G194" s="2197"/>
      <c r="H194" s="1103"/>
      <c r="I194" s="1103"/>
      <c r="J194" s="1103"/>
      <c r="K194" s="1103"/>
      <c r="L194" s="1103"/>
      <c r="M194" s="1103"/>
      <c r="N194" s="1103"/>
      <c r="O194" s="1103"/>
      <c r="P194" s="1103"/>
      <c r="Q194" s="1103"/>
      <c r="BS194" s="379"/>
      <c r="BT194" s="379"/>
      <c r="BU194" s="379"/>
      <c r="BV194" s="379"/>
      <c r="BW194" s="379"/>
      <c r="BX194" s="379"/>
      <c r="BY194" s="379"/>
      <c r="BZ194" s="379"/>
      <c r="CA194" s="379"/>
      <c r="CB194" s="379"/>
      <c r="CC194" s="379"/>
      <c r="CD194" s="379"/>
      <c r="CE194" s="379"/>
      <c r="CF194" s="379"/>
      <c r="CG194" s="34"/>
      <c r="CH194" s="34"/>
      <c r="CI194" s="34"/>
      <c r="CJ194" s="34"/>
      <c r="CK194" s="34"/>
      <c r="CL194" s="34"/>
      <c r="CM194" s="34"/>
      <c r="CN194" s="34"/>
      <c r="CO194" s="34"/>
      <c r="CP194" s="34"/>
      <c r="CQ194" s="34"/>
      <c r="CR194" s="34"/>
      <c r="CS194" s="34"/>
    </row>
    <row r="195" spans="5:97" s="246" customFormat="1" x14ac:dyDescent="0.2">
      <c r="E195" s="1103"/>
      <c r="F195" s="1103"/>
      <c r="G195" s="2197"/>
      <c r="H195" s="1103"/>
      <c r="I195" s="1103"/>
      <c r="J195" s="1103"/>
      <c r="K195" s="1103"/>
      <c r="L195" s="1103"/>
      <c r="M195" s="1103"/>
      <c r="N195" s="1103"/>
      <c r="O195" s="1103"/>
      <c r="P195" s="1103"/>
      <c r="Q195" s="1103"/>
      <c r="BS195" s="379"/>
      <c r="BT195" s="379"/>
      <c r="BU195" s="379"/>
      <c r="BV195" s="379"/>
      <c r="BW195" s="379"/>
      <c r="BX195" s="379"/>
      <c r="BY195" s="379"/>
      <c r="BZ195" s="379"/>
      <c r="CA195" s="379"/>
      <c r="CB195" s="379"/>
      <c r="CC195" s="379"/>
      <c r="CD195" s="379"/>
      <c r="CE195" s="379"/>
      <c r="CF195" s="379"/>
      <c r="CG195" s="34"/>
      <c r="CH195" s="34"/>
      <c r="CI195" s="34"/>
      <c r="CJ195" s="34"/>
      <c r="CK195" s="34"/>
      <c r="CL195" s="34"/>
      <c r="CM195" s="34"/>
      <c r="CN195" s="34"/>
      <c r="CO195" s="34"/>
      <c r="CP195" s="34"/>
      <c r="CQ195" s="34"/>
      <c r="CR195" s="34"/>
      <c r="CS195" s="34"/>
    </row>
    <row r="196" spans="5:97" s="246" customFormat="1" x14ac:dyDescent="0.2">
      <c r="E196" s="1103"/>
      <c r="F196" s="1103"/>
      <c r="G196" s="2197"/>
      <c r="H196" s="1103"/>
      <c r="I196" s="1103"/>
      <c r="J196" s="1103"/>
      <c r="K196" s="1103"/>
      <c r="L196" s="1103"/>
      <c r="M196" s="1103"/>
      <c r="N196" s="1103"/>
      <c r="O196" s="1103"/>
      <c r="P196" s="1103"/>
      <c r="Q196" s="1103"/>
      <c r="BS196" s="379"/>
      <c r="BT196" s="379"/>
      <c r="BU196" s="379"/>
      <c r="BV196" s="379"/>
      <c r="BW196" s="379"/>
      <c r="BX196" s="379"/>
      <c r="BY196" s="379"/>
      <c r="BZ196" s="379"/>
      <c r="CA196" s="379"/>
      <c r="CB196" s="379"/>
      <c r="CC196" s="379"/>
      <c r="CD196" s="379"/>
      <c r="CE196" s="379"/>
      <c r="CF196" s="379"/>
      <c r="CG196" s="34"/>
      <c r="CH196" s="34"/>
      <c r="CI196" s="34"/>
      <c r="CJ196" s="34"/>
      <c r="CK196" s="34"/>
      <c r="CL196" s="34"/>
      <c r="CM196" s="34"/>
      <c r="CN196" s="34"/>
      <c r="CO196" s="34"/>
      <c r="CP196" s="34"/>
      <c r="CQ196" s="34"/>
      <c r="CR196" s="34"/>
      <c r="CS196" s="34"/>
    </row>
    <row r="197" spans="5:97" s="246" customFormat="1" x14ac:dyDescent="0.2">
      <c r="E197" s="1103"/>
      <c r="F197" s="1103"/>
      <c r="G197" s="2197"/>
      <c r="H197" s="1103"/>
      <c r="I197" s="1103"/>
      <c r="J197" s="1103"/>
      <c r="K197" s="1103"/>
      <c r="L197" s="1103"/>
      <c r="M197" s="1103"/>
      <c r="N197" s="1103"/>
      <c r="O197" s="1103"/>
      <c r="P197" s="1103"/>
      <c r="Q197" s="1103"/>
      <c r="BS197" s="379"/>
      <c r="BT197" s="379"/>
      <c r="BU197" s="379"/>
      <c r="BV197" s="379"/>
      <c r="BW197" s="379"/>
      <c r="BX197" s="379"/>
      <c r="BY197" s="379"/>
      <c r="BZ197" s="379"/>
      <c r="CA197" s="379"/>
      <c r="CB197" s="379"/>
      <c r="CC197" s="379"/>
      <c r="CD197" s="379"/>
      <c r="CE197" s="379"/>
      <c r="CF197" s="379"/>
      <c r="CG197" s="34"/>
      <c r="CH197" s="34"/>
      <c r="CI197" s="34"/>
      <c r="CJ197" s="34"/>
      <c r="CK197" s="34"/>
      <c r="CL197" s="34"/>
      <c r="CM197" s="34"/>
      <c r="CN197" s="34"/>
      <c r="CO197" s="34"/>
      <c r="CP197" s="34"/>
      <c r="CQ197" s="34"/>
      <c r="CR197" s="34"/>
      <c r="CS197" s="34"/>
    </row>
    <row r="198" spans="5:97" s="246" customFormat="1" x14ac:dyDescent="0.2">
      <c r="E198" s="1103"/>
      <c r="F198" s="1103"/>
      <c r="G198" s="2197"/>
      <c r="H198" s="1103"/>
      <c r="I198" s="1103"/>
      <c r="J198" s="1103"/>
      <c r="K198" s="1103"/>
      <c r="L198" s="1103"/>
      <c r="M198" s="1103"/>
      <c r="N198" s="1103"/>
      <c r="O198" s="1103"/>
      <c r="P198" s="1103"/>
      <c r="Q198" s="1103"/>
      <c r="BS198" s="379"/>
      <c r="BT198" s="379"/>
      <c r="BU198" s="379"/>
      <c r="BV198" s="379"/>
      <c r="BW198" s="379"/>
      <c r="BX198" s="379"/>
      <c r="BY198" s="379"/>
      <c r="BZ198" s="379"/>
      <c r="CA198" s="379"/>
      <c r="CB198" s="379"/>
      <c r="CC198" s="379"/>
      <c r="CD198" s="379"/>
      <c r="CE198" s="379"/>
      <c r="CF198" s="379"/>
      <c r="CG198" s="34"/>
      <c r="CH198" s="34"/>
      <c r="CI198" s="34"/>
      <c r="CJ198" s="34"/>
      <c r="CK198" s="34"/>
      <c r="CL198" s="34"/>
      <c r="CM198" s="34"/>
      <c r="CN198" s="34"/>
      <c r="CO198" s="34"/>
      <c r="CP198" s="34"/>
      <c r="CQ198" s="34"/>
      <c r="CR198" s="34"/>
      <c r="CS198" s="34"/>
    </row>
    <row r="199" spans="5:97" s="246" customFormat="1" x14ac:dyDescent="0.2">
      <c r="E199" s="1103"/>
      <c r="F199" s="1103"/>
      <c r="G199" s="2197"/>
      <c r="H199" s="1103"/>
      <c r="I199" s="1103"/>
      <c r="J199" s="1103"/>
      <c r="K199" s="1103"/>
      <c r="L199" s="1103"/>
      <c r="M199" s="1103"/>
      <c r="N199" s="1103"/>
      <c r="O199" s="1103"/>
      <c r="P199" s="1103"/>
      <c r="Q199" s="1103"/>
      <c r="BS199" s="379"/>
      <c r="BT199" s="379"/>
      <c r="BU199" s="379"/>
      <c r="BV199" s="379"/>
      <c r="BW199" s="379"/>
      <c r="BX199" s="379"/>
      <c r="BY199" s="379"/>
      <c r="BZ199" s="379"/>
      <c r="CA199" s="379"/>
      <c r="CB199" s="379"/>
      <c r="CC199" s="379"/>
      <c r="CD199" s="379"/>
      <c r="CE199" s="379"/>
      <c r="CF199" s="379"/>
      <c r="CG199" s="34"/>
      <c r="CH199" s="34"/>
      <c r="CI199" s="34"/>
      <c r="CJ199" s="34"/>
      <c r="CK199" s="34"/>
      <c r="CL199" s="34"/>
      <c r="CM199" s="34"/>
      <c r="CN199" s="34"/>
      <c r="CO199" s="34"/>
      <c r="CP199" s="34"/>
      <c r="CQ199" s="34"/>
      <c r="CR199" s="34"/>
      <c r="CS199" s="34"/>
    </row>
    <row r="200" spans="5:97" s="246" customFormat="1" x14ac:dyDescent="0.2">
      <c r="E200" s="1103"/>
      <c r="F200" s="1103"/>
      <c r="G200" s="2197"/>
      <c r="H200" s="1103"/>
      <c r="I200" s="1103"/>
      <c r="J200" s="1103"/>
      <c r="K200" s="1103"/>
      <c r="L200" s="1103"/>
      <c r="M200" s="1103"/>
      <c r="N200" s="1103"/>
      <c r="O200" s="1103"/>
      <c r="P200" s="1103"/>
      <c r="Q200" s="1103"/>
      <c r="BS200" s="379"/>
      <c r="BT200" s="379"/>
      <c r="BU200" s="379"/>
      <c r="BV200" s="379"/>
      <c r="BW200" s="379"/>
      <c r="BX200" s="379"/>
      <c r="BY200" s="379"/>
      <c r="BZ200" s="379"/>
      <c r="CA200" s="379"/>
      <c r="CB200" s="379"/>
      <c r="CC200" s="379"/>
      <c r="CD200" s="379"/>
      <c r="CE200" s="379"/>
      <c r="CF200" s="379"/>
      <c r="CG200" s="34"/>
      <c r="CH200" s="34"/>
      <c r="CI200" s="34"/>
      <c r="CJ200" s="34"/>
      <c r="CK200" s="34"/>
      <c r="CL200" s="34"/>
      <c r="CM200" s="34"/>
      <c r="CN200" s="34"/>
      <c r="CO200" s="34"/>
      <c r="CP200" s="34"/>
      <c r="CQ200" s="34"/>
      <c r="CR200" s="34"/>
      <c r="CS200" s="34"/>
    </row>
    <row r="201" spans="5:97" s="246" customFormat="1" x14ac:dyDescent="0.2">
      <c r="E201" s="1103"/>
      <c r="F201" s="1103"/>
      <c r="G201" s="2197"/>
      <c r="H201" s="1103"/>
      <c r="I201" s="1103"/>
      <c r="J201" s="1103"/>
      <c r="K201" s="1103"/>
      <c r="L201" s="1103"/>
      <c r="M201" s="1103"/>
      <c r="N201" s="1103"/>
      <c r="O201" s="1103"/>
      <c r="P201" s="1103"/>
      <c r="Q201" s="1103"/>
      <c r="BS201" s="379"/>
      <c r="BT201" s="379"/>
      <c r="BU201" s="379"/>
      <c r="BV201" s="379"/>
      <c r="BW201" s="379"/>
      <c r="BX201" s="379"/>
      <c r="BY201" s="379"/>
      <c r="BZ201" s="379"/>
      <c r="CA201" s="379"/>
      <c r="CB201" s="379"/>
      <c r="CC201" s="379"/>
      <c r="CD201" s="379"/>
      <c r="CE201" s="379"/>
      <c r="CF201" s="379"/>
      <c r="CG201" s="34"/>
      <c r="CH201" s="34"/>
      <c r="CI201" s="34"/>
      <c r="CJ201" s="34"/>
      <c r="CK201" s="34"/>
      <c r="CL201" s="34"/>
      <c r="CM201" s="34"/>
      <c r="CN201" s="34"/>
      <c r="CO201" s="34"/>
      <c r="CP201" s="34"/>
      <c r="CQ201" s="34"/>
      <c r="CR201" s="34"/>
      <c r="CS201" s="34"/>
    </row>
    <row r="202" spans="5:97" s="246" customFormat="1" x14ac:dyDescent="0.2">
      <c r="E202" s="1103"/>
      <c r="F202" s="1103"/>
      <c r="G202" s="2197"/>
      <c r="H202" s="1103"/>
      <c r="I202" s="1103"/>
      <c r="J202" s="1103"/>
      <c r="K202" s="1103"/>
      <c r="L202" s="1103"/>
      <c r="M202" s="1103"/>
      <c r="N202" s="1103"/>
      <c r="O202" s="1103"/>
      <c r="P202" s="1103"/>
      <c r="Q202" s="1103"/>
      <c r="BS202" s="379"/>
      <c r="BT202" s="379"/>
      <c r="BU202" s="379"/>
      <c r="BV202" s="379"/>
      <c r="BW202" s="379"/>
      <c r="BX202" s="379"/>
      <c r="BY202" s="379"/>
      <c r="BZ202" s="379"/>
      <c r="CA202" s="379"/>
      <c r="CB202" s="379"/>
      <c r="CC202" s="379"/>
      <c r="CD202" s="379"/>
      <c r="CE202" s="379"/>
      <c r="CF202" s="379"/>
      <c r="CG202" s="34"/>
      <c r="CH202" s="34"/>
      <c r="CI202" s="34"/>
      <c r="CJ202" s="34"/>
      <c r="CK202" s="34"/>
      <c r="CL202" s="34"/>
      <c r="CM202" s="34"/>
      <c r="CN202" s="34"/>
      <c r="CO202" s="34"/>
      <c r="CP202" s="34"/>
      <c r="CQ202" s="34"/>
      <c r="CR202" s="34"/>
      <c r="CS202" s="34"/>
    </row>
    <row r="203" spans="5:97" s="246" customFormat="1" x14ac:dyDescent="0.2">
      <c r="E203" s="1103"/>
      <c r="F203" s="1103"/>
      <c r="G203" s="2197"/>
      <c r="H203" s="1103"/>
      <c r="I203" s="1103"/>
      <c r="J203" s="1103"/>
      <c r="K203" s="1103"/>
      <c r="L203" s="1103"/>
      <c r="M203" s="1103"/>
      <c r="N203" s="1103"/>
      <c r="O203" s="1103"/>
      <c r="P203" s="1103"/>
      <c r="Q203" s="1103"/>
      <c r="BS203" s="379"/>
      <c r="BT203" s="379"/>
      <c r="BU203" s="379"/>
      <c r="BV203" s="379"/>
      <c r="BW203" s="379"/>
      <c r="BX203" s="379"/>
      <c r="BY203" s="379"/>
      <c r="BZ203" s="379"/>
      <c r="CA203" s="379"/>
      <c r="CB203" s="379"/>
      <c r="CC203" s="379"/>
      <c r="CD203" s="379"/>
      <c r="CE203" s="379"/>
      <c r="CF203" s="379"/>
      <c r="CG203" s="34"/>
      <c r="CH203" s="34"/>
      <c r="CI203" s="34"/>
      <c r="CJ203" s="34"/>
      <c r="CK203" s="34"/>
      <c r="CL203" s="34"/>
      <c r="CM203" s="34"/>
      <c r="CN203" s="34"/>
      <c r="CO203" s="34"/>
      <c r="CP203" s="34"/>
      <c r="CQ203" s="34"/>
      <c r="CR203" s="34"/>
      <c r="CS203" s="34"/>
    </row>
    <row r="204" spans="5:97" s="246" customFormat="1" x14ac:dyDescent="0.2">
      <c r="E204" s="1103"/>
      <c r="F204" s="1103"/>
      <c r="G204" s="2197"/>
      <c r="H204" s="1103"/>
      <c r="I204" s="1103"/>
      <c r="J204" s="1103"/>
      <c r="K204" s="1103"/>
      <c r="L204" s="1103"/>
      <c r="M204" s="1103"/>
      <c r="N204" s="1103"/>
      <c r="O204" s="1103"/>
      <c r="P204" s="1103"/>
      <c r="Q204" s="1103"/>
      <c r="BS204" s="379"/>
      <c r="BT204" s="379"/>
      <c r="BU204" s="379"/>
      <c r="BV204" s="379"/>
      <c r="BW204" s="379"/>
      <c r="BX204" s="379"/>
      <c r="BY204" s="379"/>
      <c r="BZ204" s="379"/>
      <c r="CA204" s="379"/>
      <c r="CB204" s="379"/>
      <c r="CC204" s="379"/>
      <c r="CD204" s="379"/>
      <c r="CE204" s="379"/>
      <c r="CF204" s="379"/>
      <c r="CG204" s="34"/>
      <c r="CH204" s="34"/>
      <c r="CI204" s="34"/>
      <c r="CJ204" s="34"/>
      <c r="CK204" s="34"/>
      <c r="CL204" s="34"/>
      <c r="CM204" s="34"/>
      <c r="CN204" s="34"/>
      <c r="CO204" s="34"/>
      <c r="CP204" s="34"/>
      <c r="CQ204" s="34"/>
      <c r="CR204" s="34"/>
      <c r="CS204" s="34"/>
    </row>
    <row r="205" spans="5:97" s="246" customFormat="1" x14ac:dyDescent="0.2">
      <c r="E205" s="1103"/>
      <c r="F205" s="1103"/>
      <c r="G205" s="2197"/>
      <c r="H205" s="1103"/>
      <c r="I205" s="1103"/>
      <c r="J205" s="1103"/>
      <c r="K205" s="1103"/>
      <c r="L205" s="1103"/>
      <c r="M205" s="1103"/>
      <c r="N205" s="1103"/>
      <c r="O205" s="1103"/>
      <c r="P205" s="1103"/>
      <c r="Q205" s="1103"/>
      <c r="BS205" s="379"/>
      <c r="BT205" s="379"/>
      <c r="BU205" s="379"/>
      <c r="BV205" s="379"/>
      <c r="BW205" s="379"/>
      <c r="BX205" s="379"/>
      <c r="BY205" s="379"/>
      <c r="BZ205" s="379"/>
      <c r="CA205" s="379"/>
      <c r="CB205" s="379"/>
      <c r="CC205" s="379"/>
      <c r="CD205" s="379"/>
      <c r="CE205" s="379"/>
      <c r="CF205" s="379"/>
      <c r="CG205" s="34"/>
      <c r="CH205" s="34"/>
      <c r="CI205" s="34"/>
      <c r="CJ205" s="34"/>
      <c r="CK205" s="34"/>
      <c r="CL205" s="34"/>
      <c r="CM205" s="34"/>
      <c r="CN205" s="34"/>
      <c r="CO205" s="34"/>
      <c r="CP205" s="34"/>
      <c r="CQ205" s="34"/>
      <c r="CR205" s="34"/>
      <c r="CS205" s="34"/>
    </row>
    <row r="206" spans="5:97" s="246" customFormat="1" x14ac:dyDescent="0.2">
      <c r="E206" s="1103"/>
      <c r="F206" s="1103"/>
      <c r="G206" s="2197"/>
      <c r="H206" s="1103"/>
      <c r="I206" s="1103"/>
      <c r="J206" s="1103"/>
      <c r="K206" s="1103"/>
      <c r="L206" s="1103"/>
      <c r="M206" s="1103"/>
      <c r="N206" s="1103"/>
      <c r="O206" s="1103"/>
      <c r="P206" s="1103"/>
      <c r="Q206" s="1103"/>
      <c r="BS206" s="379"/>
      <c r="BT206" s="379"/>
      <c r="BU206" s="379"/>
      <c r="BV206" s="379"/>
      <c r="BW206" s="379"/>
      <c r="BX206" s="379"/>
      <c r="BY206" s="379"/>
      <c r="BZ206" s="379"/>
      <c r="CA206" s="379"/>
      <c r="CB206" s="379"/>
      <c r="CC206" s="379"/>
      <c r="CD206" s="379"/>
      <c r="CE206" s="379"/>
      <c r="CF206" s="379"/>
      <c r="CG206" s="34"/>
      <c r="CH206" s="34"/>
      <c r="CI206" s="34"/>
      <c r="CJ206" s="34"/>
      <c r="CK206" s="34"/>
      <c r="CL206" s="34"/>
      <c r="CM206" s="34"/>
      <c r="CN206" s="34"/>
      <c r="CO206" s="34"/>
      <c r="CP206" s="34"/>
      <c r="CQ206" s="34"/>
      <c r="CR206" s="34"/>
      <c r="CS206" s="34"/>
    </row>
    <row r="207" spans="5:97" s="246" customFormat="1" x14ac:dyDescent="0.2">
      <c r="E207" s="1103"/>
      <c r="F207" s="1103"/>
      <c r="G207" s="2197"/>
      <c r="H207" s="1103"/>
      <c r="I207" s="1103"/>
      <c r="J207" s="1103"/>
      <c r="K207" s="1103"/>
      <c r="L207" s="1103"/>
      <c r="M207" s="1103"/>
      <c r="N207" s="1103"/>
      <c r="O207" s="1103"/>
      <c r="P207" s="1103"/>
      <c r="Q207" s="1103"/>
      <c r="BS207" s="379"/>
      <c r="BT207" s="379"/>
      <c r="BU207" s="379"/>
      <c r="BV207" s="379"/>
      <c r="BW207" s="379"/>
      <c r="BX207" s="379"/>
      <c r="BY207" s="379"/>
      <c r="BZ207" s="379"/>
      <c r="CA207" s="379"/>
      <c r="CB207" s="379"/>
      <c r="CC207" s="379"/>
      <c r="CD207" s="379"/>
      <c r="CE207" s="379"/>
      <c r="CF207" s="379"/>
      <c r="CG207" s="34"/>
      <c r="CH207" s="34"/>
      <c r="CI207" s="34"/>
      <c r="CJ207" s="34"/>
      <c r="CK207" s="34"/>
      <c r="CL207" s="34"/>
      <c r="CM207" s="34"/>
      <c r="CN207" s="34"/>
      <c r="CO207" s="34"/>
      <c r="CP207" s="34"/>
      <c r="CQ207" s="34"/>
      <c r="CR207" s="34"/>
      <c r="CS207" s="34"/>
    </row>
    <row r="208" spans="5:97" s="246" customFormat="1" x14ac:dyDescent="0.2">
      <c r="E208" s="1103"/>
      <c r="F208" s="1103"/>
      <c r="G208" s="2197"/>
      <c r="H208" s="1103"/>
      <c r="I208" s="1103"/>
      <c r="J208" s="1103"/>
      <c r="K208" s="1103"/>
      <c r="L208" s="1103"/>
      <c r="M208" s="1103"/>
      <c r="N208" s="1103"/>
      <c r="O208" s="1103"/>
      <c r="P208" s="1103"/>
      <c r="Q208" s="1103"/>
      <c r="BS208" s="379"/>
      <c r="BT208" s="379"/>
      <c r="BU208" s="379"/>
      <c r="BV208" s="379"/>
      <c r="BW208" s="379"/>
      <c r="BX208" s="379"/>
      <c r="BY208" s="379"/>
      <c r="BZ208" s="379"/>
      <c r="CA208" s="379"/>
      <c r="CB208" s="379"/>
      <c r="CC208" s="379"/>
      <c r="CD208" s="379"/>
      <c r="CE208" s="379"/>
      <c r="CF208" s="379"/>
      <c r="CG208" s="34"/>
      <c r="CH208" s="34"/>
      <c r="CI208" s="34"/>
      <c r="CJ208" s="34"/>
      <c r="CK208" s="34"/>
      <c r="CL208" s="34"/>
      <c r="CM208" s="34"/>
      <c r="CN208" s="34"/>
      <c r="CO208" s="34"/>
      <c r="CP208" s="34"/>
      <c r="CQ208" s="34"/>
      <c r="CR208" s="34"/>
      <c r="CS208" s="34"/>
    </row>
    <row r="209" spans="5:97" s="246" customFormat="1" x14ac:dyDescent="0.2">
      <c r="E209" s="1103"/>
      <c r="F209" s="1103"/>
      <c r="G209" s="2197"/>
      <c r="H209" s="1103"/>
      <c r="I209" s="1103"/>
      <c r="J209" s="1103"/>
      <c r="K209" s="1103"/>
      <c r="L209" s="1103"/>
      <c r="M209" s="1103"/>
      <c r="N209" s="1103"/>
      <c r="O209" s="1103"/>
      <c r="P209" s="1103"/>
      <c r="Q209" s="1103"/>
      <c r="BS209" s="379"/>
      <c r="BT209" s="379"/>
      <c r="BU209" s="379"/>
      <c r="BV209" s="379"/>
      <c r="BW209" s="379"/>
      <c r="BX209" s="379"/>
      <c r="BY209" s="379"/>
      <c r="BZ209" s="379"/>
      <c r="CA209" s="379"/>
      <c r="CB209" s="379"/>
      <c r="CC209" s="379"/>
      <c r="CD209" s="379"/>
      <c r="CE209" s="379"/>
      <c r="CF209" s="379"/>
      <c r="CG209" s="34"/>
      <c r="CH209" s="34"/>
      <c r="CI209" s="34"/>
      <c r="CJ209" s="34"/>
      <c r="CK209" s="34"/>
      <c r="CL209" s="34"/>
      <c r="CM209" s="34"/>
      <c r="CN209" s="34"/>
      <c r="CO209" s="34"/>
      <c r="CP209" s="34"/>
      <c r="CQ209" s="34"/>
      <c r="CR209" s="34"/>
      <c r="CS209" s="34"/>
    </row>
    <row r="210" spans="5:97" s="246" customFormat="1" x14ac:dyDescent="0.2">
      <c r="E210" s="1103"/>
      <c r="F210" s="1103"/>
      <c r="G210" s="2197"/>
      <c r="H210" s="1103"/>
      <c r="I210" s="1103"/>
      <c r="J210" s="1103"/>
      <c r="K210" s="1103"/>
      <c r="L210" s="1103"/>
      <c r="M210" s="1103"/>
      <c r="N210" s="1103"/>
      <c r="O210" s="1103"/>
      <c r="P210" s="1103"/>
      <c r="Q210" s="1103"/>
      <c r="BS210" s="379"/>
      <c r="BT210" s="379"/>
      <c r="BU210" s="379"/>
      <c r="BV210" s="379"/>
      <c r="BW210" s="379"/>
      <c r="BX210" s="379"/>
      <c r="BY210" s="379"/>
      <c r="BZ210" s="379"/>
      <c r="CA210" s="379"/>
      <c r="CB210" s="379"/>
      <c r="CC210" s="379"/>
      <c r="CD210" s="379"/>
      <c r="CE210" s="379"/>
      <c r="CF210" s="379"/>
      <c r="CG210" s="34"/>
      <c r="CH210" s="34"/>
      <c r="CI210" s="34"/>
      <c r="CJ210" s="34"/>
      <c r="CK210" s="34"/>
      <c r="CL210" s="34"/>
      <c r="CM210" s="34"/>
      <c r="CN210" s="34"/>
      <c r="CO210" s="34"/>
      <c r="CP210" s="34"/>
      <c r="CQ210" s="34"/>
      <c r="CR210" s="34"/>
      <c r="CS210" s="34"/>
    </row>
    <row r="211" spans="5:97" s="246" customFormat="1" x14ac:dyDescent="0.2">
      <c r="E211" s="1103"/>
      <c r="F211" s="1103"/>
      <c r="G211" s="2197"/>
      <c r="H211" s="1103"/>
      <c r="I211" s="1103"/>
      <c r="J211" s="1103"/>
      <c r="K211" s="1103"/>
      <c r="L211" s="1103"/>
      <c r="M211" s="1103"/>
      <c r="N211" s="1103"/>
      <c r="O211" s="1103"/>
      <c r="P211" s="1103"/>
      <c r="Q211" s="1103"/>
      <c r="BS211" s="379"/>
      <c r="BT211" s="379"/>
      <c r="BU211" s="379"/>
      <c r="BV211" s="379"/>
      <c r="BW211" s="379"/>
      <c r="BX211" s="379"/>
      <c r="BY211" s="379"/>
      <c r="BZ211" s="379"/>
      <c r="CA211" s="379"/>
      <c r="CB211" s="379"/>
      <c r="CC211" s="379"/>
      <c r="CD211" s="379"/>
      <c r="CE211" s="379"/>
      <c r="CF211" s="379"/>
      <c r="CG211" s="34"/>
      <c r="CH211" s="34"/>
      <c r="CI211" s="34"/>
      <c r="CJ211" s="34"/>
      <c r="CK211" s="34"/>
      <c r="CL211" s="34"/>
      <c r="CM211" s="34"/>
      <c r="CN211" s="34"/>
      <c r="CO211" s="34"/>
      <c r="CP211" s="34"/>
      <c r="CQ211" s="34"/>
      <c r="CR211" s="34"/>
      <c r="CS211" s="34"/>
    </row>
    <row r="212" spans="5:97" s="246" customFormat="1" x14ac:dyDescent="0.2">
      <c r="E212" s="1103"/>
      <c r="F212" s="1103"/>
      <c r="G212" s="2197"/>
      <c r="H212" s="1103"/>
      <c r="I212" s="1103"/>
      <c r="J212" s="1103"/>
      <c r="K212" s="1103"/>
      <c r="L212" s="1103"/>
      <c r="M212" s="1103"/>
      <c r="N212" s="1103"/>
      <c r="O212" s="1103"/>
      <c r="P212" s="1103"/>
      <c r="Q212" s="1103"/>
      <c r="BS212" s="379"/>
      <c r="BT212" s="379"/>
      <c r="BU212" s="379"/>
      <c r="BV212" s="379"/>
      <c r="BW212" s="379"/>
      <c r="BX212" s="379"/>
      <c r="BY212" s="379"/>
      <c r="BZ212" s="379"/>
      <c r="CA212" s="379"/>
      <c r="CB212" s="379"/>
      <c r="CC212" s="379"/>
      <c r="CD212" s="379"/>
      <c r="CE212" s="379"/>
      <c r="CF212" s="379"/>
      <c r="CG212" s="34"/>
      <c r="CH212" s="34"/>
      <c r="CI212" s="34"/>
      <c r="CJ212" s="34"/>
      <c r="CK212" s="34"/>
      <c r="CL212" s="34"/>
      <c r="CM212" s="34"/>
      <c r="CN212" s="34"/>
      <c r="CO212" s="34"/>
      <c r="CP212" s="34"/>
      <c r="CQ212" s="34"/>
      <c r="CR212" s="34"/>
      <c r="CS212" s="34"/>
    </row>
    <row r="213" spans="5:97" s="246" customFormat="1" x14ac:dyDescent="0.2">
      <c r="E213" s="1103"/>
      <c r="F213" s="1103"/>
      <c r="G213" s="2197"/>
      <c r="H213" s="1103"/>
      <c r="I213" s="1103"/>
      <c r="J213" s="1103"/>
      <c r="K213" s="1103"/>
      <c r="L213" s="1103"/>
      <c r="M213" s="1103"/>
      <c r="N213" s="1103"/>
      <c r="O213" s="1103"/>
      <c r="P213" s="1103"/>
      <c r="Q213" s="1103"/>
      <c r="BS213" s="379"/>
      <c r="BT213" s="379"/>
      <c r="BU213" s="379"/>
      <c r="BV213" s="379"/>
      <c r="BW213" s="379"/>
      <c r="BX213" s="379"/>
      <c r="BY213" s="379"/>
      <c r="BZ213" s="379"/>
      <c r="CA213" s="379"/>
      <c r="CB213" s="379"/>
      <c r="CC213" s="379"/>
      <c r="CD213" s="379"/>
      <c r="CE213" s="379"/>
      <c r="CF213" s="379"/>
      <c r="CG213" s="34"/>
      <c r="CH213" s="34"/>
      <c r="CI213" s="34"/>
      <c r="CJ213" s="34"/>
      <c r="CK213" s="34"/>
      <c r="CL213" s="34"/>
      <c r="CM213" s="34"/>
      <c r="CN213" s="34"/>
      <c r="CO213" s="34"/>
      <c r="CP213" s="34"/>
      <c r="CQ213" s="34"/>
      <c r="CR213" s="34"/>
      <c r="CS213" s="34"/>
    </row>
    <row r="214" spans="5:97" s="246" customFormat="1" x14ac:dyDescent="0.2">
      <c r="E214" s="1103"/>
      <c r="F214" s="1103"/>
      <c r="G214" s="2197"/>
      <c r="H214" s="1103"/>
      <c r="I214" s="1103"/>
      <c r="J214" s="1103"/>
      <c r="K214" s="1103"/>
      <c r="L214" s="1103"/>
      <c r="M214" s="1103"/>
      <c r="N214" s="1103"/>
      <c r="O214" s="1103"/>
      <c r="P214" s="1103"/>
      <c r="Q214" s="1103"/>
      <c r="BS214" s="379"/>
      <c r="BT214" s="379"/>
      <c r="BU214" s="379"/>
      <c r="BV214" s="379"/>
      <c r="BW214" s="379"/>
      <c r="BX214" s="379"/>
      <c r="BY214" s="379"/>
      <c r="BZ214" s="379"/>
      <c r="CA214" s="379"/>
      <c r="CB214" s="379"/>
      <c r="CC214" s="379"/>
      <c r="CD214" s="379"/>
      <c r="CE214" s="379"/>
      <c r="CF214" s="379"/>
      <c r="CG214" s="34"/>
      <c r="CH214" s="34"/>
      <c r="CI214" s="34"/>
      <c r="CJ214" s="34"/>
      <c r="CK214" s="34"/>
      <c r="CL214" s="34"/>
      <c r="CM214" s="34"/>
      <c r="CN214" s="34"/>
      <c r="CO214" s="34"/>
      <c r="CP214" s="34"/>
      <c r="CQ214" s="34"/>
      <c r="CR214" s="34"/>
      <c r="CS214" s="34"/>
    </row>
    <row r="215" spans="5:97" s="246" customFormat="1" x14ac:dyDescent="0.2">
      <c r="E215" s="1103"/>
      <c r="F215" s="1103"/>
      <c r="G215" s="2197"/>
      <c r="H215" s="1103"/>
      <c r="I215" s="1103"/>
      <c r="J215" s="1103"/>
      <c r="K215" s="1103"/>
      <c r="L215" s="1103"/>
      <c r="M215" s="1103"/>
      <c r="N215" s="1103"/>
      <c r="O215" s="1103"/>
      <c r="P215" s="1103"/>
      <c r="Q215" s="1103"/>
      <c r="BS215" s="379"/>
      <c r="BT215" s="379"/>
      <c r="BU215" s="379"/>
      <c r="BV215" s="379"/>
      <c r="BW215" s="379"/>
      <c r="BX215" s="379"/>
      <c r="BY215" s="379"/>
      <c r="BZ215" s="379"/>
      <c r="CA215" s="379"/>
      <c r="CB215" s="379"/>
      <c r="CC215" s="379"/>
      <c r="CD215" s="379"/>
      <c r="CE215" s="379"/>
      <c r="CF215" s="379"/>
      <c r="CG215" s="34"/>
      <c r="CH215" s="34"/>
      <c r="CI215" s="34"/>
      <c r="CJ215" s="34"/>
      <c r="CK215" s="34"/>
      <c r="CL215" s="34"/>
      <c r="CM215" s="34"/>
      <c r="CN215" s="34"/>
      <c r="CO215" s="34"/>
      <c r="CP215" s="34"/>
      <c r="CQ215" s="34"/>
      <c r="CR215" s="34"/>
      <c r="CS215" s="34"/>
    </row>
    <row r="216" spans="5:97" s="246" customFormat="1" x14ac:dyDescent="0.2">
      <c r="E216" s="1103"/>
      <c r="F216" s="1103"/>
      <c r="G216" s="2197"/>
      <c r="H216" s="1103"/>
      <c r="I216" s="1103"/>
      <c r="J216" s="1103"/>
      <c r="K216" s="1103"/>
      <c r="L216" s="1103"/>
      <c r="M216" s="1103"/>
      <c r="N216" s="1103"/>
      <c r="O216" s="1103"/>
      <c r="P216" s="1103"/>
      <c r="Q216" s="1103"/>
      <c r="BS216" s="379"/>
      <c r="BT216" s="379"/>
      <c r="BU216" s="379"/>
      <c r="BV216" s="379"/>
      <c r="BW216" s="379"/>
      <c r="BX216" s="379"/>
      <c r="BY216" s="379"/>
      <c r="BZ216" s="379"/>
      <c r="CA216" s="379"/>
      <c r="CB216" s="379"/>
      <c r="CC216" s="379"/>
      <c r="CD216" s="379"/>
      <c r="CE216" s="379"/>
      <c r="CF216" s="379"/>
      <c r="CG216" s="34"/>
      <c r="CH216" s="34"/>
      <c r="CI216" s="34"/>
      <c r="CJ216" s="34"/>
      <c r="CK216" s="34"/>
      <c r="CL216" s="34"/>
      <c r="CM216" s="34"/>
      <c r="CN216" s="34"/>
      <c r="CO216" s="34"/>
      <c r="CP216" s="34"/>
      <c r="CQ216" s="34"/>
      <c r="CR216" s="34"/>
      <c r="CS216" s="34"/>
    </row>
    <row r="217" spans="5:97" s="246" customFormat="1" x14ac:dyDescent="0.2">
      <c r="E217" s="1103"/>
      <c r="F217" s="1103"/>
      <c r="G217" s="2197"/>
      <c r="H217" s="1103"/>
      <c r="I217" s="1103"/>
      <c r="J217" s="1103"/>
      <c r="K217" s="1103"/>
      <c r="L217" s="1103"/>
      <c r="M217" s="1103"/>
      <c r="N217" s="1103"/>
      <c r="O217" s="1103"/>
      <c r="P217" s="1103"/>
      <c r="Q217" s="1103"/>
      <c r="BS217" s="379"/>
      <c r="BT217" s="379"/>
      <c r="BU217" s="379"/>
      <c r="BV217" s="379"/>
      <c r="BW217" s="379"/>
      <c r="BX217" s="379"/>
      <c r="BY217" s="379"/>
      <c r="BZ217" s="379"/>
      <c r="CA217" s="379"/>
      <c r="CB217" s="379"/>
      <c r="CC217" s="379"/>
      <c r="CD217" s="379"/>
      <c r="CE217" s="379"/>
      <c r="CF217" s="379"/>
      <c r="CG217" s="34"/>
      <c r="CH217" s="34"/>
      <c r="CI217" s="34"/>
      <c r="CJ217" s="34"/>
      <c r="CK217" s="34"/>
      <c r="CL217" s="34"/>
      <c r="CM217" s="34"/>
      <c r="CN217" s="34"/>
      <c r="CO217" s="34"/>
      <c r="CP217" s="34"/>
      <c r="CQ217" s="34"/>
      <c r="CR217" s="34"/>
      <c r="CS217" s="34"/>
    </row>
    <row r="218" spans="5:97" s="246" customFormat="1" x14ac:dyDescent="0.2">
      <c r="E218" s="1103"/>
      <c r="F218" s="1103"/>
      <c r="G218" s="2197"/>
      <c r="H218" s="1103"/>
      <c r="I218" s="1103"/>
      <c r="J218" s="1103"/>
      <c r="K218" s="1103"/>
      <c r="L218" s="1103"/>
      <c r="M218" s="1103"/>
      <c r="N218" s="1103"/>
      <c r="O218" s="1103"/>
      <c r="P218" s="1103"/>
      <c r="Q218" s="1103"/>
      <c r="BS218" s="379"/>
      <c r="BT218" s="379"/>
      <c r="BU218" s="379"/>
      <c r="BV218" s="379"/>
      <c r="BW218" s="379"/>
      <c r="BX218" s="379"/>
      <c r="BY218" s="379"/>
      <c r="BZ218" s="379"/>
      <c r="CA218" s="379"/>
      <c r="CB218" s="379"/>
      <c r="CC218" s="379"/>
      <c r="CD218" s="379"/>
      <c r="CE218" s="379"/>
      <c r="CF218" s="379"/>
      <c r="CG218" s="34"/>
      <c r="CH218" s="34"/>
      <c r="CI218" s="34"/>
      <c r="CJ218" s="34"/>
      <c r="CK218" s="34"/>
      <c r="CL218" s="34"/>
      <c r="CM218" s="34"/>
      <c r="CN218" s="34"/>
      <c r="CO218" s="34"/>
      <c r="CP218" s="34"/>
      <c r="CQ218" s="34"/>
      <c r="CR218" s="34"/>
      <c r="CS218" s="34"/>
    </row>
    <row r="219" spans="5:97" s="246" customFormat="1" x14ac:dyDescent="0.2">
      <c r="E219" s="1103"/>
      <c r="F219" s="1103"/>
      <c r="G219" s="2197"/>
      <c r="H219" s="1103"/>
      <c r="I219" s="1103"/>
      <c r="J219" s="1103"/>
      <c r="K219" s="1103"/>
      <c r="L219" s="1103"/>
      <c r="M219" s="1103"/>
      <c r="N219" s="1103"/>
      <c r="O219" s="1103"/>
      <c r="P219" s="1103"/>
      <c r="Q219" s="1103"/>
      <c r="BS219" s="379"/>
      <c r="BT219" s="379"/>
      <c r="BU219" s="379"/>
      <c r="BV219" s="379"/>
      <c r="BW219" s="379"/>
      <c r="BX219" s="379"/>
      <c r="BY219" s="379"/>
      <c r="BZ219" s="379"/>
      <c r="CA219" s="379"/>
      <c r="CB219" s="379"/>
      <c r="CC219" s="379"/>
      <c r="CD219" s="379"/>
      <c r="CE219" s="379"/>
      <c r="CF219" s="379"/>
      <c r="CG219" s="34"/>
      <c r="CH219" s="34"/>
      <c r="CI219" s="34"/>
      <c r="CJ219" s="34"/>
      <c r="CK219" s="34"/>
      <c r="CL219" s="34"/>
      <c r="CM219" s="34"/>
      <c r="CN219" s="34"/>
      <c r="CO219" s="34"/>
      <c r="CP219" s="34"/>
      <c r="CQ219" s="34"/>
      <c r="CR219" s="34"/>
      <c r="CS219" s="34"/>
    </row>
    <row r="220" spans="5:97" s="246" customFormat="1" x14ac:dyDescent="0.2">
      <c r="E220" s="1103"/>
      <c r="F220" s="1103"/>
      <c r="G220" s="2197"/>
      <c r="H220" s="1103"/>
      <c r="I220" s="1103"/>
      <c r="J220" s="1103"/>
      <c r="K220" s="1103"/>
      <c r="L220" s="1103"/>
      <c r="M220" s="1103"/>
      <c r="N220" s="1103"/>
      <c r="O220" s="1103"/>
      <c r="P220" s="1103"/>
      <c r="Q220" s="1103"/>
      <c r="BS220" s="379"/>
      <c r="BT220" s="379"/>
      <c r="BU220" s="379"/>
      <c r="BV220" s="379"/>
      <c r="BW220" s="379"/>
      <c r="BX220" s="379"/>
      <c r="BY220" s="379"/>
      <c r="BZ220" s="379"/>
      <c r="CA220" s="379"/>
      <c r="CB220" s="379"/>
      <c r="CC220" s="379"/>
      <c r="CD220" s="379"/>
      <c r="CE220" s="379"/>
      <c r="CF220" s="379"/>
      <c r="CG220" s="34"/>
      <c r="CH220" s="34"/>
      <c r="CI220" s="34"/>
      <c r="CJ220" s="34"/>
      <c r="CK220" s="34"/>
      <c r="CL220" s="34"/>
      <c r="CM220" s="34"/>
      <c r="CN220" s="34"/>
      <c r="CO220" s="34"/>
      <c r="CP220" s="34"/>
      <c r="CQ220" s="34"/>
      <c r="CR220" s="34"/>
      <c r="CS220" s="34"/>
    </row>
    <row r="221" spans="5:97" s="246" customFormat="1" x14ac:dyDescent="0.2">
      <c r="E221" s="1103"/>
      <c r="F221" s="1103"/>
      <c r="G221" s="2197"/>
      <c r="H221" s="1103"/>
      <c r="I221" s="1103"/>
      <c r="J221" s="1103"/>
      <c r="K221" s="1103"/>
      <c r="L221" s="1103"/>
      <c r="M221" s="1103"/>
      <c r="N221" s="1103"/>
      <c r="O221" s="1103"/>
      <c r="P221" s="1103"/>
      <c r="Q221" s="1103"/>
      <c r="BS221" s="379"/>
      <c r="BT221" s="379"/>
      <c r="BU221" s="379"/>
      <c r="BV221" s="379"/>
      <c r="BW221" s="379"/>
      <c r="BX221" s="379"/>
      <c r="BY221" s="379"/>
      <c r="BZ221" s="379"/>
      <c r="CA221" s="379"/>
      <c r="CB221" s="379"/>
      <c r="CC221" s="379"/>
      <c r="CD221" s="379"/>
      <c r="CE221" s="379"/>
      <c r="CF221" s="379"/>
      <c r="CG221" s="34"/>
      <c r="CH221" s="34"/>
      <c r="CI221" s="34"/>
      <c r="CJ221" s="34"/>
      <c r="CK221" s="34"/>
      <c r="CL221" s="34"/>
      <c r="CM221" s="34"/>
      <c r="CN221" s="34"/>
      <c r="CO221" s="34"/>
      <c r="CP221" s="34"/>
      <c r="CQ221" s="34"/>
      <c r="CR221" s="34"/>
      <c r="CS221" s="34"/>
    </row>
    <row r="222" spans="5:97" s="246" customFormat="1" x14ac:dyDescent="0.2">
      <c r="E222" s="1103"/>
      <c r="F222" s="1103"/>
      <c r="G222" s="2197"/>
      <c r="H222" s="1103"/>
      <c r="I222" s="1103"/>
      <c r="J222" s="1103"/>
      <c r="K222" s="1103"/>
      <c r="L222" s="1103"/>
      <c r="M222" s="1103"/>
      <c r="N222" s="1103"/>
      <c r="O222" s="1103"/>
      <c r="P222" s="1103"/>
      <c r="Q222" s="1103"/>
      <c r="BS222" s="379"/>
      <c r="BT222" s="379"/>
      <c r="BU222" s="379"/>
      <c r="BV222" s="379"/>
      <c r="BW222" s="379"/>
      <c r="BX222" s="379"/>
      <c r="BY222" s="379"/>
      <c r="BZ222" s="379"/>
      <c r="CA222" s="379"/>
      <c r="CB222" s="379"/>
      <c r="CC222" s="379"/>
      <c r="CD222" s="379"/>
      <c r="CE222" s="379"/>
      <c r="CF222" s="379"/>
      <c r="CG222" s="34"/>
      <c r="CH222" s="34"/>
      <c r="CI222" s="34"/>
      <c r="CJ222" s="34"/>
      <c r="CK222" s="34"/>
      <c r="CL222" s="34"/>
      <c r="CM222" s="34"/>
      <c r="CN222" s="34"/>
      <c r="CO222" s="34"/>
      <c r="CP222" s="34"/>
      <c r="CQ222" s="34"/>
      <c r="CR222" s="34"/>
      <c r="CS222" s="34"/>
    </row>
    <row r="223" spans="5:97" s="246" customFormat="1" x14ac:dyDescent="0.2">
      <c r="E223" s="1103"/>
      <c r="F223" s="1103"/>
      <c r="G223" s="2197"/>
      <c r="H223" s="1103"/>
      <c r="I223" s="1103"/>
      <c r="J223" s="1103"/>
      <c r="K223" s="1103"/>
      <c r="L223" s="1103"/>
      <c r="M223" s="1103"/>
      <c r="N223" s="1103"/>
      <c r="O223" s="1103"/>
      <c r="P223" s="1103"/>
      <c r="Q223" s="1103"/>
      <c r="BS223" s="379"/>
      <c r="BT223" s="379"/>
      <c r="BU223" s="379"/>
      <c r="BV223" s="379"/>
      <c r="BW223" s="379"/>
      <c r="BX223" s="379"/>
      <c r="BY223" s="379"/>
      <c r="BZ223" s="379"/>
      <c r="CA223" s="379"/>
      <c r="CB223" s="379"/>
      <c r="CC223" s="379"/>
      <c r="CD223" s="379"/>
      <c r="CE223" s="379"/>
      <c r="CF223" s="379"/>
      <c r="CG223" s="34"/>
      <c r="CH223" s="34"/>
      <c r="CI223" s="34"/>
      <c r="CJ223" s="34"/>
      <c r="CK223" s="34"/>
      <c r="CL223" s="34"/>
      <c r="CM223" s="34"/>
      <c r="CN223" s="34"/>
      <c r="CO223" s="34"/>
      <c r="CP223" s="34"/>
      <c r="CQ223" s="34"/>
      <c r="CR223" s="34"/>
      <c r="CS223" s="34"/>
    </row>
    <row r="224" spans="5:97" s="246" customFormat="1" x14ac:dyDescent="0.2">
      <c r="E224" s="1103"/>
      <c r="F224" s="1103"/>
      <c r="G224" s="2197"/>
      <c r="H224" s="1103"/>
      <c r="I224" s="1103"/>
      <c r="J224" s="1103"/>
      <c r="K224" s="1103"/>
      <c r="L224" s="1103"/>
      <c r="M224" s="1103"/>
      <c r="N224" s="1103"/>
      <c r="O224" s="1103"/>
      <c r="P224" s="1103"/>
      <c r="Q224" s="1103"/>
      <c r="BS224" s="379"/>
      <c r="BT224" s="379"/>
      <c r="BU224" s="379"/>
      <c r="BV224" s="379"/>
      <c r="BW224" s="379"/>
      <c r="BX224" s="379"/>
      <c r="BY224" s="379"/>
      <c r="BZ224" s="379"/>
      <c r="CA224" s="379"/>
      <c r="CB224" s="379"/>
      <c r="CC224" s="379"/>
      <c r="CD224" s="379"/>
      <c r="CE224" s="379"/>
      <c r="CF224" s="379"/>
      <c r="CG224" s="34"/>
      <c r="CH224" s="34"/>
      <c r="CI224" s="34"/>
      <c r="CJ224" s="34"/>
      <c r="CK224" s="34"/>
      <c r="CL224" s="34"/>
      <c r="CM224" s="34"/>
      <c r="CN224" s="34"/>
      <c r="CO224" s="34"/>
      <c r="CP224" s="34"/>
      <c r="CQ224" s="34"/>
      <c r="CR224" s="34"/>
      <c r="CS224" s="34"/>
    </row>
    <row r="225" spans="5:97" s="246" customFormat="1" x14ac:dyDescent="0.2">
      <c r="E225" s="1103"/>
      <c r="F225" s="1103"/>
      <c r="G225" s="2197"/>
      <c r="H225" s="1103"/>
      <c r="I225" s="1103"/>
      <c r="J225" s="1103"/>
      <c r="K225" s="1103"/>
      <c r="L225" s="1103"/>
      <c r="M225" s="1103"/>
      <c r="N225" s="1103"/>
      <c r="O225" s="1103"/>
      <c r="P225" s="1103"/>
      <c r="Q225" s="1103"/>
      <c r="BS225" s="379"/>
      <c r="BT225" s="379"/>
      <c r="BU225" s="379"/>
      <c r="BV225" s="379"/>
      <c r="BW225" s="379"/>
      <c r="BX225" s="379"/>
      <c r="BY225" s="379"/>
      <c r="BZ225" s="379"/>
      <c r="CA225" s="379"/>
      <c r="CB225" s="379"/>
      <c r="CC225" s="379"/>
      <c r="CD225" s="379"/>
      <c r="CE225" s="379"/>
      <c r="CF225" s="379"/>
      <c r="CG225" s="34"/>
      <c r="CH225" s="34"/>
      <c r="CI225" s="34"/>
      <c r="CJ225" s="34"/>
      <c r="CK225" s="34"/>
      <c r="CL225" s="34"/>
      <c r="CM225" s="34"/>
      <c r="CN225" s="34"/>
      <c r="CO225" s="34"/>
      <c r="CP225" s="34"/>
      <c r="CQ225" s="34"/>
      <c r="CR225" s="34"/>
      <c r="CS225" s="34"/>
    </row>
    <row r="226" spans="5:97" s="246" customFormat="1" x14ac:dyDescent="0.2">
      <c r="E226" s="1103"/>
      <c r="F226" s="1103"/>
      <c r="G226" s="2197"/>
      <c r="H226" s="1103"/>
      <c r="I226" s="1103"/>
      <c r="J226" s="1103"/>
      <c r="K226" s="1103"/>
      <c r="L226" s="1103"/>
      <c r="M226" s="1103"/>
      <c r="N226" s="1103"/>
      <c r="O226" s="1103"/>
      <c r="P226" s="1103"/>
      <c r="Q226" s="1103"/>
      <c r="BS226" s="379"/>
      <c r="BT226" s="379"/>
      <c r="BU226" s="379"/>
      <c r="BV226" s="379"/>
      <c r="BW226" s="379"/>
      <c r="BX226" s="379"/>
      <c r="BY226" s="379"/>
      <c r="BZ226" s="379"/>
      <c r="CA226" s="379"/>
      <c r="CB226" s="379"/>
      <c r="CC226" s="379"/>
      <c r="CD226" s="379"/>
      <c r="CE226" s="379"/>
      <c r="CF226" s="379"/>
      <c r="CG226" s="34"/>
      <c r="CH226" s="34"/>
      <c r="CI226" s="34"/>
      <c r="CJ226" s="34"/>
      <c r="CK226" s="34"/>
      <c r="CL226" s="34"/>
      <c r="CM226" s="34"/>
      <c r="CN226" s="34"/>
      <c r="CO226" s="34"/>
      <c r="CP226" s="34"/>
      <c r="CQ226" s="34"/>
      <c r="CR226" s="34"/>
      <c r="CS226" s="34"/>
    </row>
    <row r="227" spans="5:97" s="246" customFormat="1" x14ac:dyDescent="0.2">
      <c r="E227" s="1103"/>
      <c r="F227" s="1103"/>
      <c r="G227" s="2197"/>
      <c r="H227" s="1103"/>
      <c r="I227" s="1103"/>
      <c r="J227" s="1103"/>
      <c r="K227" s="1103"/>
      <c r="L227" s="1103"/>
      <c r="M227" s="1103"/>
      <c r="N227" s="1103"/>
      <c r="O227" s="1103"/>
      <c r="P227" s="1103"/>
      <c r="Q227" s="1103"/>
      <c r="BS227" s="379"/>
      <c r="BT227" s="379"/>
      <c r="BU227" s="379"/>
      <c r="BV227" s="379"/>
      <c r="BW227" s="379"/>
      <c r="BX227" s="379"/>
      <c r="BY227" s="379"/>
      <c r="BZ227" s="379"/>
      <c r="CA227" s="379"/>
      <c r="CB227" s="379"/>
      <c r="CC227" s="379"/>
      <c r="CD227" s="379"/>
      <c r="CE227" s="379"/>
      <c r="CF227" s="379"/>
      <c r="CG227" s="34"/>
      <c r="CH227" s="34"/>
      <c r="CI227" s="34"/>
      <c r="CJ227" s="34"/>
      <c r="CK227" s="34"/>
      <c r="CL227" s="34"/>
      <c r="CM227" s="34"/>
      <c r="CN227" s="34"/>
      <c r="CO227" s="34"/>
      <c r="CP227" s="34"/>
      <c r="CQ227" s="34"/>
      <c r="CR227" s="34"/>
      <c r="CS227" s="34"/>
    </row>
    <row r="228" spans="5:97" s="246" customFormat="1" x14ac:dyDescent="0.2">
      <c r="E228" s="1103"/>
      <c r="F228" s="1103"/>
      <c r="G228" s="2197"/>
      <c r="H228" s="1103"/>
      <c r="I228" s="1103"/>
      <c r="J228" s="1103"/>
      <c r="K228" s="1103"/>
      <c r="L228" s="1103"/>
      <c r="M228" s="1103"/>
      <c r="N228" s="1103"/>
      <c r="O228" s="1103"/>
      <c r="P228" s="1103"/>
      <c r="Q228" s="1103"/>
      <c r="BS228" s="379"/>
      <c r="BT228" s="379"/>
      <c r="BU228" s="379"/>
      <c r="BV228" s="379"/>
      <c r="BW228" s="379"/>
      <c r="BX228" s="379"/>
      <c r="BY228" s="379"/>
      <c r="BZ228" s="379"/>
      <c r="CA228" s="379"/>
      <c r="CB228" s="379"/>
      <c r="CC228" s="379"/>
      <c r="CD228" s="379"/>
      <c r="CE228" s="379"/>
      <c r="CF228" s="379"/>
      <c r="CG228" s="34"/>
      <c r="CH228" s="34"/>
      <c r="CI228" s="34"/>
      <c r="CJ228" s="34"/>
      <c r="CK228" s="34"/>
      <c r="CL228" s="34"/>
      <c r="CM228" s="34"/>
      <c r="CN228" s="34"/>
      <c r="CO228" s="34"/>
      <c r="CP228" s="34"/>
      <c r="CQ228" s="34"/>
      <c r="CR228" s="34"/>
      <c r="CS228" s="34"/>
    </row>
    <row r="229" spans="5:97" s="246" customFormat="1" x14ac:dyDescent="0.2">
      <c r="E229" s="1103"/>
      <c r="F229" s="1103"/>
      <c r="G229" s="2197"/>
      <c r="H229" s="1103"/>
      <c r="I229" s="1103"/>
      <c r="J229" s="1103"/>
      <c r="K229" s="1103"/>
      <c r="L229" s="1103"/>
      <c r="M229" s="1103"/>
      <c r="N229" s="1103"/>
      <c r="O229" s="1103"/>
      <c r="P229" s="1103"/>
      <c r="Q229" s="1103"/>
      <c r="BS229" s="379"/>
      <c r="BT229" s="379"/>
      <c r="BU229" s="379"/>
      <c r="BV229" s="379"/>
      <c r="BW229" s="379"/>
      <c r="BX229" s="379"/>
      <c r="BY229" s="379"/>
      <c r="BZ229" s="379"/>
      <c r="CA229" s="379"/>
      <c r="CB229" s="379"/>
      <c r="CC229" s="379"/>
      <c r="CD229" s="379"/>
      <c r="CE229" s="379"/>
      <c r="CF229" s="379"/>
      <c r="CG229" s="34"/>
      <c r="CH229" s="34"/>
      <c r="CI229" s="34"/>
      <c r="CJ229" s="34"/>
      <c r="CK229" s="34"/>
      <c r="CL229" s="34"/>
      <c r="CM229" s="34"/>
      <c r="CN229" s="34"/>
      <c r="CO229" s="34"/>
      <c r="CP229" s="34"/>
      <c r="CQ229" s="34"/>
      <c r="CR229" s="34"/>
      <c r="CS229" s="34"/>
    </row>
    <row r="230" spans="5:97" s="246" customFormat="1" x14ac:dyDescent="0.2">
      <c r="E230" s="1103"/>
      <c r="F230" s="1103"/>
      <c r="G230" s="2197"/>
      <c r="H230" s="1103"/>
      <c r="I230" s="1103"/>
      <c r="J230" s="1103"/>
      <c r="K230" s="1103"/>
      <c r="L230" s="1103"/>
      <c r="M230" s="1103"/>
      <c r="N230" s="1103"/>
      <c r="O230" s="1103"/>
      <c r="P230" s="1103"/>
      <c r="Q230" s="1103"/>
      <c r="BS230" s="379"/>
      <c r="BT230" s="379"/>
      <c r="BU230" s="379"/>
      <c r="BV230" s="379"/>
      <c r="BW230" s="379"/>
      <c r="BX230" s="379"/>
      <c r="BY230" s="379"/>
      <c r="BZ230" s="379"/>
      <c r="CA230" s="379"/>
      <c r="CB230" s="379"/>
      <c r="CC230" s="379"/>
      <c r="CD230" s="379"/>
      <c r="CE230" s="379"/>
      <c r="CF230" s="379"/>
      <c r="CG230" s="34"/>
      <c r="CH230" s="34"/>
      <c r="CI230" s="34"/>
      <c r="CJ230" s="34"/>
      <c r="CK230" s="34"/>
      <c r="CL230" s="34"/>
      <c r="CM230" s="34"/>
      <c r="CN230" s="34"/>
      <c r="CO230" s="34"/>
      <c r="CP230" s="34"/>
      <c r="CQ230" s="34"/>
      <c r="CR230" s="34"/>
      <c r="CS230" s="34"/>
    </row>
    <row r="231" spans="5:97" s="246" customFormat="1" x14ac:dyDescent="0.2">
      <c r="E231" s="1103"/>
      <c r="F231" s="1103"/>
      <c r="G231" s="2197"/>
      <c r="H231" s="1103"/>
      <c r="I231" s="1103"/>
      <c r="J231" s="1103"/>
      <c r="K231" s="1103"/>
      <c r="L231" s="1103"/>
      <c r="M231" s="1103"/>
      <c r="N231" s="1103"/>
      <c r="O231" s="1103"/>
      <c r="P231" s="1103"/>
      <c r="Q231" s="1103"/>
      <c r="BS231" s="379"/>
      <c r="BT231" s="379"/>
      <c r="BU231" s="379"/>
      <c r="BV231" s="379"/>
      <c r="BW231" s="379"/>
      <c r="BX231" s="379"/>
      <c r="BY231" s="379"/>
      <c r="BZ231" s="379"/>
      <c r="CA231" s="379"/>
      <c r="CB231" s="379"/>
      <c r="CC231" s="379"/>
      <c r="CD231" s="379"/>
      <c r="CE231" s="379"/>
      <c r="CF231" s="379"/>
      <c r="CG231" s="34"/>
      <c r="CH231" s="34"/>
      <c r="CI231" s="34"/>
      <c r="CJ231" s="34"/>
      <c r="CK231" s="34"/>
      <c r="CL231" s="34"/>
      <c r="CM231" s="34"/>
      <c r="CN231" s="34"/>
      <c r="CO231" s="34"/>
      <c r="CP231" s="34"/>
      <c r="CQ231" s="34"/>
      <c r="CR231" s="34"/>
      <c r="CS231" s="34"/>
    </row>
    <row r="232" spans="5:97" s="246" customFormat="1" x14ac:dyDescent="0.2">
      <c r="E232" s="1103"/>
      <c r="F232" s="1103"/>
      <c r="G232" s="2197"/>
      <c r="H232" s="1103"/>
      <c r="I232" s="1103"/>
      <c r="J232" s="1103"/>
      <c r="K232" s="1103"/>
      <c r="L232" s="1103"/>
      <c r="M232" s="1103"/>
      <c r="N232" s="1103"/>
      <c r="O232" s="1103"/>
      <c r="P232" s="1103"/>
      <c r="Q232" s="1103"/>
      <c r="BS232" s="379"/>
      <c r="BT232" s="379"/>
      <c r="BU232" s="379"/>
      <c r="BV232" s="379"/>
      <c r="BW232" s="379"/>
      <c r="BX232" s="379"/>
      <c r="BY232" s="379"/>
      <c r="BZ232" s="379"/>
      <c r="CA232" s="379"/>
      <c r="CB232" s="379"/>
      <c r="CC232" s="379"/>
      <c r="CD232" s="379"/>
      <c r="CE232" s="379"/>
      <c r="CF232" s="379"/>
      <c r="CG232" s="34"/>
      <c r="CH232" s="34"/>
      <c r="CI232" s="34"/>
      <c r="CJ232" s="34"/>
      <c r="CK232" s="34"/>
      <c r="CL232" s="34"/>
      <c r="CM232" s="34"/>
      <c r="CN232" s="34"/>
      <c r="CO232" s="34"/>
      <c r="CP232" s="34"/>
      <c r="CQ232" s="34"/>
      <c r="CR232" s="34"/>
      <c r="CS232" s="34"/>
    </row>
    <row r="233" spans="5:97" s="246" customFormat="1" x14ac:dyDescent="0.2">
      <c r="E233" s="1103"/>
      <c r="F233" s="1103"/>
      <c r="G233" s="2197"/>
      <c r="H233" s="1103"/>
      <c r="I233" s="1103"/>
      <c r="J233" s="1103"/>
      <c r="K233" s="1103"/>
      <c r="L233" s="1103"/>
      <c r="M233" s="1103"/>
      <c r="N233" s="1103"/>
      <c r="O233" s="1103"/>
      <c r="P233" s="1103"/>
      <c r="Q233" s="1103"/>
      <c r="BS233" s="379"/>
      <c r="BT233" s="379"/>
      <c r="BU233" s="379"/>
      <c r="BV233" s="379"/>
      <c r="BW233" s="379"/>
      <c r="BX233" s="379"/>
      <c r="BY233" s="379"/>
      <c r="BZ233" s="379"/>
      <c r="CA233" s="379"/>
      <c r="CB233" s="379"/>
      <c r="CC233" s="379"/>
      <c r="CD233" s="379"/>
      <c r="CE233" s="379"/>
      <c r="CF233" s="379"/>
      <c r="CG233" s="34"/>
      <c r="CH233" s="34"/>
      <c r="CI233" s="34"/>
      <c r="CJ233" s="34"/>
      <c r="CK233" s="34"/>
      <c r="CL233" s="34"/>
      <c r="CM233" s="34"/>
      <c r="CN233" s="34"/>
      <c r="CO233" s="34"/>
      <c r="CP233" s="34"/>
      <c r="CQ233" s="34"/>
      <c r="CR233" s="34"/>
      <c r="CS233" s="34"/>
    </row>
    <row r="234" spans="5:97" s="246" customFormat="1" x14ac:dyDescent="0.2">
      <c r="E234" s="1103"/>
      <c r="F234" s="1103"/>
      <c r="G234" s="2197"/>
      <c r="H234" s="1103"/>
      <c r="I234" s="1103"/>
      <c r="J234" s="1103"/>
      <c r="K234" s="1103"/>
      <c r="L234" s="1103"/>
      <c r="M234" s="1103"/>
      <c r="N234" s="1103"/>
      <c r="O234" s="1103"/>
      <c r="P234" s="1103"/>
      <c r="Q234" s="1103"/>
      <c r="BS234" s="379"/>
      <c r="BT234" s="379"/>
      <c r="BU234" s="379"/>
      <c r="BV234" s="379"/>
      <c r="BW234" s="379"/>
      <c r="BX234" s="379"/>
      <c r="BY234" s="379"/>
      <c r="BZ234" s="379"/>
      <c r="CA234" s="379"/>
      <c r="CB234" s="379"/>
      <c r="CC234" s="379"/>
      <c r="CD234" s="379"/>
      <c r="CE234" s="379"/>
      <c r="CF234" s="379"/>
      <c r="CG234" s="34"/>
      <c r="CH234" s="34"/>
      <c r="CI234" s="34"/>
      <c r="CJ234" s="34"/>
      <c r="CK234" s="34"/>
      <c r="CL234" s="34"/>
      <c r="CM234" s="34"/>
      <c r="CN234" s="34"/>
      <c r="CO234" s="34"/>
      <c r="CP234" s="34"/>
      <c r="CQ234" s="34"/>
      <c r="CR234" s="34"/>
      <c r="CS234" s="34"/>
    </row>
    <row r="235" spans="5:97" s="246" customFormat="1" x14ac:dyDescent="0.2">
      <c r="E235" s="1103"/>
      <c r="F235" s="1103"/>
      <c r="G235" s="2197"/>
      <c r="H235" s="1103"/>
      <c r="I235" s="1103"/>
      <c r="J235" s="1103"/>
      <c r="K235" s="1103"/>
      <c r="L235" s="1103"/>
      <c r="M235" s="1103"/>
      <c r="N235" s="1103"/>
      <c r="O235" s="1103"/>
      <c r="P235" s="1103"/>
      <c r="Q235" s="1103"/>
      <c r="BS235" s="379"/>
      <c r="BT235" s="379"/>
      <c r="BU235" s="379"/>
      <c r="BV235" s="379"/>
      <c r="BW235" s="379"/>
      <c r="BX235" s="379"/>
      <c r="BY235" s="379"/>
      <c r="BZ235" s="379"/>
      <c r="CA235" s="379"/>
      <c r="CB235" s="379"/>
      <c r="CC235" s="379"/>
      <c r="CD235" s="379"/>
      <c r="CE235" s="379"/>
      <c r="CF235" s="379"/>
      <c r="CG235" s="34"/>
      <c r="CH235" s="34"/>
      <c r="CI235" s="34"/>
      <c r="CJ235" s="34"/>
      <c r="CK235" s="34"/>
      <c r="CL235" s="34"/>
      <c r="CM235" s="34"/>
      <c r="CN235" s="34"/>
      <c r="CO235" s="34"/>
      <c r="CP235" s="34"/>
      <c r="CQ235" s="34"/>
      <c r="CR235" s="34"/>
      <c r="CS235" s="34"/>
    </row>
    <row r="236" spans="5:97" s="246" customFormat="1" x14ac:dyDescent="0.2">
      <c r="E236" s="1103"/>
      <c r="F236" s="1103"/>
      <c r="G236" s="2197"/>
      <c r="H236" s="1103"/>
      <c r="I236" s="1103"/>
      <c r="J236" s="1103"/>
      <c r="K236" s="1103"/>
      <c r="L236" s="1103"/>
      <c r="M236" s="1103"/>
      <c r="N236" s="1103"/>
      <c r="O236" s="1103"/>
      <c r="P236" s="1103"/>
      <c r="Q236" s="1103"/>
      <c r="BS236" s="379"/>
      <c r="BT236" s="379"/>
      <c r="BU236" s="379"/>
      <c r="BV236" s="379"/>
      <c r="BW236" s="379"/>
      <c r="BX236" s="379"/>
      <c r="BY236" s="379"/>
      <c r="BZ236" s="379"/>
      <c r="CA236" s="379"/>
      <c r="CB236" s="379"/>
      <c r="CC236" s="379"/>
      <c r="CD236" s="379"/>
      <c r="CE236" s="379"/>
      <c r="CF236" s="379"/>
      <c r="CG236" s="34"/>
      <c r="CH236" s="34"/>
      <c r="CI236" s="34"/>
      <c r="CJ236" s="34"/>
      <c r="CK236" s="34"/>
      <c r="CL236" s="34"/>
      <c r="CM236" s="34"/>
      <c r="CN236" s="34"/>
      <c r="CO236" s="34"/>
      <c r="CP236" s="34"/>
      <c r="CQ236" s="34"/>
      <c r="CR236" s="34"/>
      <c r="CS236" s="34"/>
    </row>
    <row r="237" spans="5:97" s="246" customFormat="1" x14ac:dyDescent="0.2">
      <c r="E237" s="1103"/>
      <c r="F237" s="1103"/>
      <c r="G237" s="2197"/>
      <c r="H237" s="1103"/>
      <c r="I237" s="1103"/>
      <c r="J237" s="1103"/>
      <c r="K237" s="1103"/>
      <c r="L237" s="1103"/>
      <c r="M237" s="1103"/>
      <c r="N237" s="1103"/>
      <c r="O237" s="1103"/>
      <c r="P237" s="1103"/>
      <c r="Q237" s="1103"/>
      <c r="BS237" s="379"/>
      <c r="BT237" s="379"/>
      <c r="BU237" s="379"/>
      <c r="BV237" s="379"/>
      <c r="BW237" s="379"/>
      <c r="BX237" s="379"/>
      <c r="BY237" s="379"/>
      <c r="BZ237" s="379"/>
      <c r="CA237" s="379"/>
      <c r="CB237" s="379"/>
      <c r="CC237" s="379"/>
      <c r="CD237" s="379"/>
      <c r="CE237" s="379"/>
      <c r="CF237" s="379"/>
      <c r="CG237" s="34"/>
      <c r="CH237" s="34"/>
      <c r="CI237" s="34"/>
      <c r="CJ237" s="34"/>
      <c r="CK237" s="34"/>
      <c r="CL237" s="34"/>
      <c r="CM237" s="34"/>
      <c r="CN237" s="34"/>
      <c r="CO237" s="34"/>
      <c r="CP237" s="34"/>
      <c r="CQ237" s="34"/>
      <c r="CR237" s="34"/>
      <c r="CS237" s="34"/>
    </row>
    <row r="238" spans="5:97" s="246" customFormat="1" x14ac:dyDescent="0.2">
      <c r="E238" s="1103"/>
      <c r="F238" s="1103"/>
      <c r="G238" s="2197"/>
      <c r="H238" s="1103"/>
      <c r="I238" s="1103"/>
      <c r="J238" s="1103"/>
      <c r="K238" s="1103"/>
      <c r="L238" s="1103"/>
      <c r="M238" s="1103"/>
      <c r="N238" s="1103"/>
      <c r="O238" s="1103"/>
      <c r="P238" s="1103"/>
      <c r="Q238" s="1103"/>
      <c r="BS238" s="379"/>
      <c r="BT238" s="379"/>
      <c r="BU238" s="379"/>
      <c r="BV238" s="379"/>
      <c r="BW238" s="379"/>
      <c r="BX238" s="379"/>
      <c r="BY238" s="379"/>
      <c r="BZ238" s="379"/>
      <c r="CA238" s="379"/>
      <c r="CB238" s="379"/>
      <c r="CC238" s="379"/>
      <c r="CD238" s="379"/>
      <c r="CE238" s="379"/>
      <c r="CF238" s="379"/>
      <c r="CG238" s="34"/>
      <c r="CH238" s="34"/>
      <c r="CI238" s="34"/>
      <c r="CJ238" s="34"/>
      <c r="CK238" s="34"/>
      <c r="CL238" s="34"/>
      <c r="CM238" s="34"/>
      <c r="CN238" s="34"/>
      <c r="CO238" s="34"/>
      <c r="CP238" s="34"/>
      <c r="CQ238" s="34"/>
      <c r="CR238" s="34"/>
      <c r="CS238" s="34"/>
    </row>
    <row r="239" spans="5:97" s="246" customFormat="1" x14ac:dyDescent="0.2">
      <c r="E239" s="1103"/>
      <c r="F239" s="1103"/>
      <c r="G239" s="2197"/>
      <c r="H239" s="1103"/>
      <c r="I239" s="1103"/>
      <c r="J239" s="1103"/>
      <c r="K239" s="1103"/>
      <c r="L239" s="1103"/>
      <c r="M239" s="1103"/>
      <c r="N239" s="1103"/>
      <c r="O239" s="1103"/>
      <c r="P239" s="1103"/>
      <c r="Q239" s="1103"/>
      <c r="BS239" s="379"/>
      <c r="BT239" s="379"/>
      <c r="BU239" s="379"/>
      <c r="BV239" s="379"/>
      <c r="BW239" s="379"/>
      <c r="BX239" s="379"/>
      <c r="BY239" s="379"/>
      <c r="BZ239" s="379"/>
      <c r="CA239" s="379"/>
      <c r="CB239" s="379"/>
      <c r="CC239" s="379"/>
      <c r="CD239" s="379"/>
      <c r="CE239" s="379"/>
      <c r="CF239" s="379"/>
      <c r="CG239" s="34"/>
      <c r="CH239" s="34"/>
      <c r="CI239" s="34"/>
      <c r="CJ239" s="34"/>
      <c r="CK239" s="34"/>
      <c r="CL239" s="34"/>
      <c r="CM239" s="34"/>
      <c r="CN239" s="34"/>
      <c r="CO239" s="34"/>
      <c r="CP239" s="34"/>
      <c r="CQ239" s="34"/>
      <c r="CR239" s="34"/>
      <c r="CS239" s="34"/>
    </row>
    <row r="240" spans="5:97" s="246" customFormat="1" x14ac:dyDescent="0.2">
      <c r="E240" s="1103"/>
      <c r="F240" s="1103"/>
      <c r="G240" s="2197"/>
      <c r="H240" s="1103"/>
      <c r="I240" s="1103"/>
      <c r="J240" s="1103"/>
      <c r="K240" s="1103"/>
      <c r="L240" s="1103"/>
      <c r="M240" s="1103"/>
      <c r="N240" s="1103"/>
      <c r="O240" s="1103"/>
      <c r="P240" s="1103"/>
      <c r="Q240" s="1103"/>
      <c r="BS240" s="379"/>
      <c r="BT240" s="379"/>
      <c r="BU240" s="379"/>
      <c r="BV240" s="379"/>
      <c r="BW240" s="379"/>
      <c r="BX240" s="379"/>
      <c r="BY240" s="379"/>
      <c r="BZ240" s="379"/>
      <c r="CA240" s="379"/>
      <c r="CB240" s="379"/>
      <c r="CC240" s="379"/>
      <c r="CD240" s="379"/>
      <c r="CE240" s="379"/>
      <c r="CF240" s="379"/>
      <c r="CG240" s="34"/>
      <c r="CH240" s="34"/>
      <c r="CI240" s="34"/>
      <c r="CJ240" s="34"/>
      <c r="CK240" s="34"/>
      <c r="CL240" s="34"/>
      <c r="CM240" s="34"/>
      <c r="CN240" s="34"/>
      <c r="CO240" s="34"/>
      <c r="CP240" s="34"/>
      <c r="CQ240" s="34"/>
      <c r="CR240" s="34"/>
      <c r="CS240" s="34"/>
    </row>
    <row r="241" spans="5:97" s="246" customFormat="1" x14ac:dyDescent="0.2">
      <c r="E241" s="1103"/>
      <c r="F241" s="1103"/>
      <c r="G241" s="2197"/>
      <c r="H241" s="1103"/>
      <c r="I241" s="1103"/>
      <c r="J241" s="1103"/>
      <c r="K241" s="1103"/>
      <c r="L241" s="1103"/>
      <c r="M241" s="1103"/>
      <c r="N241" s="1103"/>
      <c r="O241" s="1103"/>
      <c r="P241" s="1103"/>
      <c r="Q241" s="1103"/>
      <c r="BS241" s="379"/>
      <c r="BT241" s="379"/>
      <c r="BU241" s="379"/>
      <c r="BV241" s="379"/>
      <c r="BW241" s="379"/>
      <c r="BX241" s="379"/>
      <c r="BY241" s="379"/>
      <c r="BZ241" s="379"/>
      <c r="CA241" s="379"/>
      <c r="CB241" s="379"/>
      <c r="CC241" s="379"/>
      <c r="CD241" s="379"/>
      <c r="CE241" s="379"/>
      <c r="CF241" s="379"/>
      <c r="CG241" s="34"/>
      <c r="CH241" s="34"/>
      <c r="CI241" s="34"/>
      <c r="CJ241" s="34"/>
      <c r="CK241" s="34"/>
      <c r="CL241" s="34"/>
      <c r="CM241" s="34"/>
      <c r="CN241" s="34"/>
      <c r="CO241" s="34"/>
      <c r="CP241" s="34"/>
      <c r="CQ241" s="34"/>
      <c r="CR241" s="34"/>
      <c r="CS241" s="34"/>
    </row>
    <row r="242" spans="5:97" s="246" customFormat="1" x14ac:dyDescent="0.2">
      <c r="E242" s="1103"/>
      <c r="F242" s="1103"/>
      <c r="G242" s="2197"/>
      <c r="H242" s="1103"/>
      <c r="I242" s="1103"/>
      <c r="J242" s="1103"/>
      <c r="K242" s="1103"/>
      <c r="L242" s="1103"/>
      <c r="M242" s="1103"/>
      <c r="N242" s="1103"/>
      <c r="O242" s="1103"/>
      <c r="P242" s="1103"/>
      <c r="Q242" s="1103"/>
      <c r="BS242" s="379"/>
      <c r="BT242" s="379"/>
      <c r="BU242" s="379"/>
      <c r="BV242" s="379"/>
      <c r="BW242" s="379"/>
      <c r="BX242" s="379"/>
      <c r="BY242" s="379"/>
      <c r="BZ242" s="379"/>
      <c r="CA242" s="379"/>
      <c r="CB242" s="379"/>
      <c r="CC242" s="379"/>
      <c r="CD242" s="379"/>
      <c r="CE242" s="379"/>
      <c r="CF242" s="379"/>
      <c r="CG242" s="34"/>
      <c r="CH242" s="34"/>
      <c r="CI242" s="34"/>
      <c r="CJ242" s="34"/>
      <c r="CK242" s="34"/>
      <c r="CL242" s="34"/>
      <c r="CM242" s="34"/>
      <c r="CN242" s="34"/>
      <c r="CO242" s="34"/>
      <c r="CP242" s="34"/>
      <c r="CQ242" s="34"/>
      <c r="CR242" s="34"/>
      <c r="CS242" s="34"/>
    </row>
    <row r="243" spans="5:97" s="246" customFormat="1" x14ac:dyDescent="0.2">
      <c r="F243" s="1103"/>
      <c r="G243" s="2197"/>
      <c r="H243" s="1103"/>
      <c r="I243" s="1103"/>
      <c r="J243" s="1103"/>
      <c r="K243" s="1103"/>
      <c r="L243" s="1103"/>
      <c r="M243" s="1103"/>
      <c r="N243" s="1103"/>
      <c r="O243" s="1103"/>
      <c r="P243" s="1103"/>
      <c r="Q243" s="1103"/>
      <c r="BS243" s="379"/>
      <c r="BT243" s="379"/>
      <c r="BU243" s="379"/>
      <c r="BV243" s="379"/>
      <c r="BW243" s="379"/>
      <c r="BX243" s="379"/>
      <c r="BY243" s="379"/>
      <c r="BZ243" s="379"/>
      <c r="CA243" s="379"/>
      <c r="CB243" s="379"/>
      <c r="CC243" s="379"/>
      <c r="CD243" s="379"/>
      <c r="CE243" s="379"/>
      <c r="CF243" s="379"/>
      <c r="CG243" s="34"/>
      <c r="CH243" s="34"/>
      <c r="CI243" s="34"/>
      <c r="CJ243" s="34"/>
      <c r="CK243" s="34"/>
      <c r="CL243" s="34"/>
      <c r="CM243" s="34"/>
      <c r="CN243" s="34"/>
      <c r="CO243" s="34"/>
      <c r="CP243" s="34"/>
      <c r="CQ243" s="34"/>
      <c r="CR243" s="34"/>
      <c r="CS243" s="34"/>
    </row>
    <row r="244" spans="5:97" s="246" customFormat="1" x14ac:dyDescent="0.2">
      <c r="F244" s="1103"/>
      <c r="G244" s="2197"/>
      <c r="H244" s="1103"/>
      <c r="I244" s="1103"/>
      <c r="J244" s="1103"/>
      <c r="K244" s="1103"/>
      <c r="L244" s="1103"/>
      <c r="M244" s="1103"/>
      <c r="N244" s="1103"/>
      <c r="O244" s="1103"/>
      <c r="P244" s="1103"/>
      <c r="Q244" s="1103"/>
      <c r="BS244" s="379"/>
      <c r="BT244" s="379"/>
      <c r="BU244" s="379"/>
      <c r="BV244" s="379"/>
      <c r="BW244" s="379"/>
      <c r="BX244" s="379"/>
      <c r="BY244" s="379"/>
      <c r="BZ244" s="379"/>
      <c r="CA244" s="379"/>
      <c r="CB244" s="379"/>
      <c r="CC244" s="379"/>
      <c r="CD244" s="379"/>
      <c r="CE244" s="379"/>
      <c r="CF244" s="379"/>
      <c r="CG244" s="34"/>
      <c r="CH244" s="34"/>
      <c r="CI244" s="34"/>
      <c r="CJ244" s="34"/>
      <c r="CK244" s="34"/>
      <c r="CL244" s="34"/>
      <c r="CM244" s="34"/>
      <c r="CN244" s="34"/>
      <c r="CO244" s="34"/>
      <c r="CP244" s="34"/>
      <c r="CQ244" s="34"/>
      <c r="CR244" s="34"/>
      <c r="CS244" s="34"/>
    </row>
    <row r="245" spans="5:97" s="246" customFormat="1" x14ac:dyDescent="0.2">
      <c r="F245" s="1103"/>
      <c r="G245" s="2197"/>
      <c r="H245" s="1103"/>
      <c r="I245" s="1103"/>
      <c r="J245" s="1103"/>
      <c r="K245" s="1103"/>
      <c r="L245" s="1103"/>
      <c r="M245" s="1103"/>
      <c r="N245" s="1103"/>
      <c r="O245" s="1103"/>
      <c r="P245" s="1103"/>
      <c r="Q245" s="1103"/>
      <c r="BS245" s="379"/>
      <c r="BT245" s="379"/>
      <c r="BU245" s="379"/>
      <c r="BV245" s="379"/>
      <c r="BW245" s="379"/>
      <c r="BX245" s="379"/>
      <c r="BY245" s="379"/>
      <c r="BZ245" s="379"/>
      <c r="CA245" s="379"/>
      <c r="CB245" s="379"/>
      <c r="CC245" s="379"/>
      <c r="CD245" s="379"/>
      <c r="CE245" s="379"/>
      <c r="CF245" s="379"/>
      <c r="CG245" s="34"/>
      <c r="CH245" s="34"/>
      <c r="CI245" s="34"/>
      <c r="CJ245" s="34"/>
      <c r="CK245" s="34"/>
      <c r="CL245" s="34"/>
      <c r="CM245" s="34"/>
      <c r="CN245" s="34"/>
      <c r="CO245" s="34"/>
      <c r="CP245" s="34"/>
      <c r="CQ245" s="34"/>
      <c r="CR245" s="34"/>
      <c r="CS245" s="34"/>
    </row>
    <row r="246" spans="5:97" s="246" customFormat="1" x14ac:dyDescent="0.2">
      <c r="F246" s="1103"/>
      <c r="G246" s="2197"/>
      <c r="H246" s="1103"/>
      <c r="I246" s="1103"/>
      <c r="J246" s="1103"/>
      <c r="K246" s="1103"/>
      <c r="L246" s="1103"/>
      <c r="M246" s="1103"/>
      <c r="N246" s="1103"/>
      <c r="O246" s="1103"/>
      <c r="P246" s="1103"/>
      <c r="Q246" s="1103"/>
      <c r="BS246" s="379"/>
      <c r="BT246" s="379"/>
      <c r="BU246" s="379"/>
      <c r="BV246" s="379"/>
      <c r="BW246" s="379"/>
      <c r="BX246" s="379"/>
      <c r="BY246" s="379"/>
      <c r="BZ246" s="379"/>
      <c r="CA246" s="379"/>
      <c r="CB246" s="379"/>
      <c r="CC246" s="379"/>
      <c r="CD246" s="379"/>
      <c r="CE246" s="379"/>
      <c r="CF246" s="379"/>
      <c r="CG246" s="34"/>
      <c r="CH246" s="34"/>
      <c r="CI246" s="34"/>
      <c r="CJ246" s="34"/>
      <c r="CK246" s="34"/>
      <c r="CL246" s="34"/>
      <c r="CM246" s="34"/>
      <c r="CN246" s="34"/>
      <c r="CO246" s="34"/>
      <c r="CP246" s="34"/>
      <c r="CQ246" s="34"/>
      <c r="CR246" s="34"/>
      <c r="CS246" s="34"/>
    </row>
    <row r="247" spans="5:97" s="246" customFormat="1" x14ac:dyDescent="0.2">
      <c r="G247" s="2188"/>
      <c r="BS247" s="379"/>
      <c r="BT247" s="379"/>
      <c r="BU247" s="379"/>
      <c r="BV247" s="379"/>
      <c r="BW247" s="379"/>
      <c r="BX247" s="379"/>
      <c r="BY247" s="379"/>
      <c r="BZ247" s="379"/>
      <c r="CA247" s="379"/>
      <c r="CB247" s="379"/>
      <c r="CC247" s="379"/>
      <c r="CD247" s="379"/>
      <c r="CE247" s="379"/>
      <c r="CF247" s="379"/>
      <c r="CG247" s="34"/>
      <c r="CH247" s="34"/>
      <c r="CI247" s="34"/>
      <c r="CJ247" s="34"/>
      <c r="CK247" s="34"/>
      <c r="CL247" s="34"/>
      <c r="CM247" s="34"/>
      <c r="CN247" s="34"/>
      <c r="CO247" s="34"/>
      <c r="CP247" s="34"/>
      <c r="CQ247" s="34"/>
      <c r="CR247" s="34"/>
      <c r="CS247" s="34"/>
    </row>
    <row r="248" spans="5:97" s="246" customFormat="1" x14ac:dyDescent="0.2">
      <c r="G248" s="2188"/>
      <c r="BS248" s="379"/>
      <c r="BT248" s="379"/>
      <c r="BU248" s="379"/>
      <c r="BV248" s="379"/>
      <c r="BW248" s="379"/>
      <c r="BX248" s="379"/>
      <c r="BY248" s="379"/>
      <c r="BZ248" s="379"/>
      <c r="CA248" s="379"/>
      <c r="CB248" s="379"/>
      <c r="CC248" s="379"/>
      <c r="CD248" s="379"/>
      <c r="CE248" s="379"/>
      <c r="CF248" s="379"/>
      <c r="CG248" s="34"/>
      <c r="CH248" s="34"/>
      <c r="CI248" s="34"/>
      <c r="CJ248" s="34"/>
      <c r="CK248" s="34"/>
      <c r="CL248" s="34"/>
      <c r="CM248" s="34"/>
      <c r="CN248" s="34"/>
      <c r="CO248" s="34"/>
      <c r="CP248" s="34"/>
      <c r="CQ248" s="34"/>
      <c r="CR248" s="34"/>
      <c r="CS248" s="34"/>
    </row>
    <row r="249" spans="5:97" s="246" customFormat="1" x14ac:dyDescent="0.2">
      <c r="G249" s="2188"/>
      <c r="BS249" s="379"/>
      <c r="BT249" s="379"/>
      <c r="BU249" s="379"/>
      <c r="BV249" s="379"/>
      <c r="BW249" s="379"/>
      <c r="BX249" s="379"/>
      <c r="BY249" s="379"/>
      <c r="BZ249" s="379"/>
      <c r="CA249" s="379"/>
      <c r="CB249" s="379"/>
      <c r="CC249" s="379"/>
      <c r="CD249" s="379"/>
      <c r="CE249" s="379"/>
      <c r="CF249" s="379"/>
      <c r="CG249" s="34"/>
      <c r="CH249" s="34"/>
      <c r="CI249" s="34"/>
      <c r="CJ249" s="34"/>
      <c r="CK249" s="34"/>
      <c r="CL249" s="34"/>
      <c r="CM249" s="34"/>
      <c r="CN249" s="34"/>
      <c r="CO249" s="34"/>
      <c r="CP249" s="34"/>
      <c r="CQ249" s="34"/>
      <c r="CR249" s="34"/>
      <c r="CS249" s="34"/>
    </row>
    <row r="250" spans="5:97" s="246" customFormat="1" x14ac:dyDescent="0.2">
      <c r="G250" s="2188"/>
      <c r="BS250" s="379"/>
      <c r="BT250" s="379"/>
      <c r="BU250" s="379"/>
      <c r="BV250" s="379"/>
      <c r="BW250" s="379"/>
      <c r="BX250" s="379"/>
      <c r="BY250" s="379"/>
      <c r="BZ250" s="379"/>
      <c r="CA250" s="379"/>
      <c r="CB250" s="379"/>
      <c r="CC250" s="379"/>
      <c r="CD250" s="379"/>
      <c r="CE250" s="379"/>
      <c r="CF250" s="379"/>
      <c r="CG250" s="34"/>
      <c r="CH250" s="34"/>
      <c r="CI250" s="34"/>
      <c r="CJ250" s="34"/>
      <c r="CK250" s="34"/>
      <c r="CL250" s="34"/>
      <c r="CM250" s="34"/>
      <c r="CN250" s="34"/>
      <c r="CO250" s="34"/>
      <c r="CP250" s="34"/>
      <c r="CQ250" s="34"/>
      <c r="CR250" s="34"/>
      <c r="CS250" s="34"/>
    </row>
    <row r="251" spans="5:97" s="246" customFormat="1" x14ac:dyDescent="0.2">
      <c r="G251" s="2188"/>
      <c r="BS251" s="379"/>
      <c r="BT251" s="379"/>
      <c r="BU251" s="379"/>
      <c r="BV251" s="379"/>
      <c r="BW251" s="379"/>
      <c r="BX251" s="379"/>
      <c r="BY251" s="379"/>
      <c r="BZ251" s="379"/>
      <c r="CA251" s="379"/>
      <c r="CB251" s="379"/>
      <c r="CC251" s="379"/>
      <c r="CD251" s="379"/>
      <c r="CE251" s="379"/>
      <c r="CF251" s="379"/>
      <c r="CG251" s="34"/>
      <c r="CH251" s="34"/>
      <c r="CI251" s="34"/>
      <c r="CJ251" s="34"/>
      <c r="CK251" s="34"/>
      <c r="CL251" s="34"/>
      <c r="CM251" s="34"/>
      <c r="CN251" s="34"/>
      <c r="CO251" s="34"/>
      <c r="CP251" s="34"/>
      <c r="CQ251" s="34"/>
      <c r="CR251" s="34"/>
      <c r="CS251" s="34"/>
    </row>
    <row r="252" spans="5:97" s="246" customFormat="1" x14ac:dyDescent="0.2">
      <c r="G252" s="2188"/>
      <c r="BS252" s="379"/>
      <c r="BT252" s="379"/>
      <c r="BU252" s="379"/>
      <c r="BV252" s="379"/>
      <c r="BW252" s="379"/>
      <c r="BX252" s="379"/>
      <c r="BY252" s="379"/>
      <c r="BZ252" s="379"/>
      <c r="CA252" s="379"/>
      <c r="CB252" s="379"/>
      <c r="CC252" s="379"/>
      <c r="CD252" s="379"/>
      <c r="CE252" s="379"/>
      <c r="CF252" s="379"/>
      <c r="CG252" s="34"/>
      <c r="CH252" s="34"/>
      <c r="CI252" s="34"/>
      <c r="CJ252" s="34"/>
      <c r="CK252" s="34"/>
      <c r="CL252" s="34"/>
      <c r="CM252" s="34"/>
      <c r="CN252" s="34"/>
      <c r="CO252" s="34"/>
      <c r="CP252" s="34"/>
      <c r="CQ252" s="34"/>
      <c r="CR252" s="34"/>
      <c r="CS252" s="34"/>
    </row>
    <row r="253" spans="5:97" s="246" customFormat="1" x14ac:dyDescent="0.2">
      <c r="G253" s="2188"/>
      <c r="BS253" s="379"/>
      <c r="BT253" s="379"/>
      <c r="BU253" s="379"/>
      <c r="BV253" s="379"/>
      <c r="BW253" s="379"/>
      <c r="BX253" s="379"/>
      <c r="BY253" s="379"/>
      <c r="BZ253" s="379"/>
      <c r="CA253" s="379"/>
      <c r="CB253" s="379"/>
      <c r="CC253" s="379"/>
      <c r="CD253" s="379"/>
      <c r="CE253" s="379"/>
      <c r="CF253" s="379"/>
      <c r="CG253" s="34"/>
      <c r="CH253" s="34"/>
      <c r="CI253" s="34"/>
      <c r="CJ253" s="34"/>
      <c r="CK253" s="34"/>
      <c r="CL253" s="34"/>
      <c r="CM253" s="34"/>
      <c r="CN253" s="34"/>
      <c r="CO253" s="34"/>
      <c r="CP253" s="34"/>
      <c r="CQ253" s="34"/>
      <c r="CR253" s="34"/>
      <c r="CS253" s="34"/>
    </row>
    <row r="254" spans="5:97" s="246" customFormat="1" x14ac:dyDescent="0.2">
      <c r="G254" s="2188"/>
      <c r="BS254" s="379"/>
      <c r="BT254" s="379"/>
      <c r="BU254" s="379"/>
      <c r="BV254" s="379"/>
      <c r="BW254" s="379"/>
      <c r="BX254" s="379"/>
      <c r="BY254" s="379"/>
      <c r="BZ254" s="379"/>
      <c r="CA254" s="379"/>
      <c r="CB254" s="379"/>
      <c r="CC254" s="379"/>
      <c r="CD254" s="379"/>
      <c r="CE254" s="379"/>
      <c r="CF254" s="379"/>
      <c r="CG254" s="34"/>
      <c r="CH254" s="34"/>
      <c r="CI254" s="34"/>
      <c r="CJ254" s="34"/>
      <c r="CK254" s="34"/>
      <c r="CL254" s="34"/>
      <c r="CM254" s="34"/>
      <c r="CN254" s="34"/>
      <c r="CO254" s="34"/>
      <c r="CP254" s="34"/>
      <c r="CQ254" s="34"/>
      <c r="CR254" s="34"/>
      <c r="CS254" s="34"/>
    </row>
    <row r="255" spans="5:97" s="246" customFormat="1" x14ac:dyDescent="0.2">
      <c r="G255" s="2188"/>
      <c r="BS255" s="379"/>
      <c r="BT255" s="379"/>
      <c r="BU255" s="379"/>
      <c r="BV255" s="379"/>
      <c r="BW255" s="379"/>
      <c r="BX255" s="379"/>
      <c r="BY255" s="379"/>
      <c r="BZ255" s="379"/>
      <c r="CA255" s="379"/>
      <c r="CB255" s="379"/>
      <c r="CC255" s="379"/>
      <c r="CD255" s="379"/>
      <c r="CE255" s="379"/>
      <c r="CF255" s="379"/>
      <c r="CG255" s="34"/>
      <c r="CH255" s="34"/>
      <c r="CI255" s="34"/>
      <c r="CJ255" s="34"/>
      <c r="CK255" s="34"/>
      <c r="CL255" s="34"/>
      <c r="CM255" s="34"/>
      <c r="CN255" s="34"/>
      <c r="CO255" s="34"/>
      <c r="CP255" s="34"/>
      <c r="CQ255" s="34"/>
      <c r="CR255" s="34"/>
      <c r="CS255" s="34"/>
    </row>
    <row r="256" spans="5:97" s="246" customFormat="1" x14ac:dyDescent="0.2">
      <c r="G256" s="2188"/>
      <c r="BS256" s="379"/>
      <c r="BT256" s="379"/>
      <c r="BU256" s="379"/>
      <c r="BV256" s="379"/>
      <c r="BW256" s="379"/>
      <c r="BX256" s="379"/>
      <c r="BY256" s="379"/>
      <c r="BZ256" s="379"/>
      <c r="CA256" s="379"/>
      <c r="CB256" s="379"/>
      <c r="CC256" s="379"/>
      <c r="CD256" s="379"/>
      <c r="CE256" s="379"/>
      <c r="CF256" s="379"/>
      <c r="CG256" s="34"/>
      <c r="CH256" s="34"/>
      <c r="CI256" s="34"/>
      <c r="CJ256" s="34"/>
      <c r="CK256" s="34"/>
      <c r="CL256" s="34"/>
      <c r="CM256" s="34"/>
      <c r="CN256" s="34"/>
      <c r="CO256" s="34"/>
      <c r="CP256" s="34"/>
      <c r="CQ256" s="34"/>
      <c r="CR256" s="34"/>
      <c r="CS256" s="34"/>
    </row>
    <row r="257" spans="7:97" s="246" customFormat="1" x14ac:dyDescent="0.2">
      <c r="G257" s="2188"/>
      <c r="BS257" s="379"/>
      <c r="BT257" s="379"/>
      <c r="BU257" s="379"/>
      <c r="BV257" s="379"/>
      <c r="BW257" s="379"/>
      <c r="BX257" s="379"/>
      <c r="BY257" s="379"/>
      <c r="BZ257" s="379"/>
      <c r="CA257" s="379"/>
      <c r="CB257" s="379"/>
      <c r="CC257" s="379"/>
      <c r="CD257" s="379"/>
      <c r="CE257" s="379"/>
      <c r="CF257" s="379"/>
      <c r="CG257" s="34"/>
      <c r="CH257" s="34"/>
      <c r="CI257" s="34"/>
      <c r="CJ257" s="34"/>
      <c r="CK257" s="34"/>
      <c r="CL257" s="34"/>
      <c r="CM257" s="34"/>
      <c r="CN257" s="34"/>
      <c r="CO257" s="34"/>
      <c r="CP257" s="34"/>
      <c r="CQ257" s="34"/>
      <c r="CR257" s="34"/>
      <c r="CS257" s="34"/>
    </row>
    <row r="258" spans="7:97" s="246" customFormat="1" x14ac:dyDescent="0.2">
      <c r="G258" s="2188"/>
      <c r="BS258" s="379"/>
      <c r="BT258" s="379"/>
      <c r="BU258" s="379"/>
      <c r="BV258" s="379"/>
      <c r="BW258" s="379"/>
      <c r="BX258" s="379"/>
      <c r="BY258" s="379"/>
      <c r="BZ258" s="379"/>
      <c r="CA258" s="379"/>
      <c r="CB258" s="379"/>
      <c r="CC258" s="379"/>
      <c r="CD258" s="379"/>
      <c r="CE258" s="379"/>
      <c r="CF258" s="379"/>
      <c r="CG258" s="34"/>
      <c r="CH258" s="34"/>
      <c r="CI258" s="34"/>
      <c r="CJ258" s="34"/>
      <c r="CK258" s="34"/>
      <c r="CL258" s="34"/>
      <c r="CM258" s="34"/>
      <c r="CN258" s="34"/>
      <c r="CO258" s="34"/>
      <c r="CP258" s="34"/>
      <c r="CQ258" s="34"/>
      <c r="CR258" s="34"/>
      <c r="CS258" s="34"/>
    </row>
    <row r="259" spans="7:97" s="246" customFormat="1" x14ac:dyDescent="0.2">
      <c r="G259" s="2188"/>
      <c r="BS259" s="379"/>
      <c r="BT259" s="379"/>
      <c r="BU259" s="379"/>
      <c r="BV259" s="379"/>
      <c r="BW259" s="379"/>
      <c r="BX259" s="379"/>
      <c r="BY259" s="379"/>
      <c r="BZ259" s="379"/>
      <c r="CA259" s="379"/>
      <c r="CB259" s="379"/>
      <c r="CC259" s="379"/>
      <c r="CD259" s="379"/>
      <c r="CE259" s="379"/>
      <c r="CF259" s="379"/>
      <c r="CG259" s="34"/>
      <c r="CH259" s="34"/>
      <c r="CI259" s="34"/>
      <c r="CJ259" s="34"/>
      <c r="CK259" s="34"/>
      <c r="CL259" s="34"/>
      <c r="CM259" s="34"/>
      <c r="CN259" s="34"/>
      <c r="CO259" s="34"/>
      <c r="CP259" s="34"/>
      <c r="CQ259" s="34"/>
      <c r="CR259" s="34"/>
      <c r="CS259" s="34"/>
    </row>
    <row r="260" spans="7:97" s="246" customFormat="1" x14ac:dyDescent="0.2">
      <c r="G260" s="2188"/>
      <c r="BS260" s="379"/>
      <c r="BT260" s="379"/>
      <c r="BU260" s="379"/>
      <c r="BV260" s="379"/>
      <c r="BW260" s="379"/>
      <c r="BX260" s="379"/>
      <c r="BY260" s="379"/>
      <c r="BZ260" s="379"/>
      <c r="CA260" s="379"/>
      <c r="CB260" s="379"/>
      <c r="CC260" s="379"/>
      <c r="CD260" s="379"/>
      <c r="CE260" s="379"/>
      <c r="CF260" s="379"/>
      <c r="CG260" s="34"/>
      <c r="CH260" s="34"/>
      <c r="CI260" s="34"/>
      <c r="CJ260" s="34"/>
      <c r="CK260" s="34"/>
      <c r="CL260" s="34"/>
      <c r="CM260" s="34"/>
      <c r="CN260" s="34"/>
      <c r="CO260" s="34"/>
      <c r="CP260" s="34"/>
      <c r="CQ260" s="34"/>
      <c r="CR260" s="34"/>
      <c r="CS260" s="34"/>
    </row>
    <row r="261" spans="7:97" s="246" customFormat="1" x14ac:dyDescent="0.2">
      <c r="G261" s="2188"/>
      <c r="BS261" s="379"/>
      <c r="BT261" s="379"/>
      <c r="BU261" s="379"/>
      <c r="BV261" s="379"/>
      <c r="BW261" s="379"/>
      <c r="BX261" s="379"/>
      <c r="BY261" s="379"/>
      <c r="BZ261" s="379"/>
      <c r="CA261" s="379"/>
      <c r="CB261" s="379"/>
      <c r="CC261" s="379"/>
      <c r="CD261" s="379"/>
      <c r="CE261" s="379"/>
      <c r="CF261" s="379"/>
      <c r="CG261" s="34"/>
      <c r="CH261" s="34"/>
      <c r="CI261" s="34"/>
      <c r="CJ261" s="34"/>
      <c r="CK261" s="34"/>
      <c r="CL261" s="34"/>
      <c r="CM261" s="34"/>
      <c r="CN261" s="34"/>
      <c r="CO261" s="34"/>
      <c r="CP261" s="34"/>
      <c r="CQ261" s="34"/>
      <c r="CR261" s="34"/>
      <c r="CS261" s="34"/>
    </row>
    <row r="262" spans="7:97" s="246" customFormat="1" x14ac:dyDescent="0.2">
      <c r="G262" s="2188"/>
      <c r="BS262" s="379"/>
      <c r="BT262" s="379"/>
      <c r="BU262" s="379"/>
      <c r="BV262" s="379"/>
      <c r="BW262" s="379"/>
      <c r="BX262" s="379"/>
      <c r="BY262" s="379"/>
      <c r="BZ262" s="379"/>
      <c r="CA262" s="379"/>
      <c r="CB262" s="379"/>
      <c r="CC262" s="379"/>
      <c r="CD262" s="379"/>
      <c r="CE262" s="379"/>
      <c r="CF262" s="379"/>
      <c r="CG262" s="34"/>
      <c r="CH262" s="34"/>
      <c r="CI262" s="34"/>
      <c r="CJ262" s="34"/>
      <c r="CK262" s="34"/>
      <c r="CL262" s="34"/>
      <c r="CM262" s="34"/>
      <c r="CN262" s="34"/>
      <c r="CO262" s="34"/>
      <c r="CP262" s="34"/>
      <c r="CQ262" s="34"/>
      <c r="CR262" s="34"/>
      <c r="CS262" s="34"/>
    </row>
    <row r="263" spans="7:97" s="246" customFormat="1" x14ac:dyDescent="0.2">
      <c r="G263" s="2188"/>
      <c r="BS263" s="379"/>
      <c r="BT263" s="379"/>
      <c r="BU263" s="379"/>
      <c r="BV263" s="379"/>
      <c r="BW263" s="379"/>
      <c r="BX263" s="379"/>
      <c r="BY263" s="379"/>
      <c r="BZ263" s="379"/>
      <c r="CA263" s="379"/>
      <c r="CB263" s="379"/>
      <c r="CC263" s="379"/>
      <c r="CD263" s="379"/>
      <c r="CE263" s="379"/>
      <c r="CF263" s="379"/>
      <c r="CG263" s="34"/>
      <c r="CH263" s="34"/>
      <c r="CI263" s="34"/>
      <c r="CJ263" s="34"/>
      <c r="CK263" s="34"/>
      <c r="CL263" s="34"/>
      <c r="CM263" s="34"/>
      <c r="CN263" s="34"/>
      <c r="CO263" s="34"/>
      <c r="CP263" s="34"/>
      <c r="CQ263" s="34"/>
      <c r="CR263" s="34"/>
      <c r="CS263" s="34"/>
    </row>
    <row r="264" spans="7:97" s="246" customFormat="1" x14ac:dyDescent="0.2">
      <c r="G264" s="2188"/>
      <c r="BS264" s="379"/>
      <c r="BT264" s="379"/>
      <c r="BU264" s="379"/>
      <c r="BV264" s="379"/>
      <c r="BW264" s="379"/>
      <c r="BX264" s="379"/>
      <c r="BY264" s="379"/>
      <c r="BZ264" s="379"/>
      <c r="CA264" s="379"/>
      <c r="CB264" s="379"/>
      <c r="CC264" s="379"/>
      <c r="CD264" s="379"/>
      <c r="CE264" s="379"/>
      <c r="CF264" s="379"/>
      <c r="CG264" s="34"/>
      <c r="CH264" s="34"/>
      <c r="CI264" s="34"/>
      <c r="CJ264" s="34"/>
      <c r="CK264" s="34"/>
      <c r="CL264" s="34"/>
      <c r="CM264" s="34"/>
      <c r="CN264" s="34"/>
      <c r="CO264" s="34"/>
      <c r="CP264" s="34"/>
      <c r="CQ264" s="34"/>
      <c r="CR264" s="34"/>
      <c r="CS264" s="34"/>
    </row>
    <row r="265" spans="7:97" s="246" customFormat="1" x14ac:dyDescent="0.2">
      <c r="G265" s="2188"/>
      <c r="BS265" s="379"/>
      <c r="BT265" s="379"/>
      <c r="BU265" s="379"/>
      <c r="BV265" s="379"/>
      <c r="BW265" s="379"/>
      <c r="BX265" s="379"/>
      <c r="BY265" s="379"/>
      <c r="BZ265" s="379"/>
      <c r="CA265" s="379"/>
      <c r="CB265" s="379"/>
      <c r="CC265" s="379"/>
      <c r="CD265" s="379"/>
      <c r="CE265" s="379"/>
      <c r="CF265" s="379"/>
      <c r="CG265" s="34"/>
      <c r="CH265" s="34"/>
      <c r="CI265" s="34"/>
      <c r="CJ265" s="34"/>
      <c r="CK265" s="34"/>
      <c r="CL265" s="34"/>
      <c r="CM265" s="34"/>
      <c r="CN265" s="34"/>
      <c r="CO265" s="34"/>
      <c r="CP265" s="34"/>
      <c r="CQ265" s="34"/>
      <c r="CR265" s="34"/>
      <c r="CS265" s="34"/>
    </row>
    <row r="266" spans="7:97" s="246" customFormat="1" x14ac:dyDescent="0.2">
      <c r="G266" s="2188"/>
      <c r="BS266" s="379"/>
      <c r="BT266" s="379"/>
      <c r="BU266" s="379"/>
      <c r="BV266" s="379"/>
      <c r="BW266" s="379"/>
      <c r="BX266" s="379"/>
      <c r="BY266" s="379"/>
      <c r="BZ266" s="379"/>
      <c r="CA266" s="379"/>
      <c r="CB266" s="379"/>
      <c r="CC266" s="379"/>
      <c r="CD266" s="379"/>
      <c r="CE266" s="379"/>
      <c r="CF266" s="379"/>
      <c r="CG266" s="34"/>
      <c r="CH266" s="34"/>
      <c r="CI266" s="34"/>
      <c r="CJ266" s="34"/>
      <c r="CK266" s="34"/>
      <c r="CL266" s="34"/>
      <c r="CM266" s="34"/>
      <c r="CN266" s="34"/>
      <c r="CO266" s="34"/>
      <c r="CP266" s="34"/>
      <c r="CQ266" s="34"/>
      <c r="CR266" s="34"/>
      <c r="CS266" s="34"/>
    </row>
    <row r="267" spans="7:97" s="246" customFormat="1" x14ac:dyDescent="0.2">
      <c r="G267" s="2188"/>
      <c r="BS267" s="379"/>
      <c r="BT267" s="379"/>
      <c r="BU267" s="379"/>
      <c r="BV267" s="379"/>
      <c r="BW267" s="379"/>
      <c r="BX267" s="379"/>
      <c r="BY267" s="379"/>
      <c r="BZ267" s="379"/>
      <c r="CA267" s="379"/>
      <c r="CB267" s="379"/>
      <c r="CC267" s="379"/>
      <c r="CD267" s="379"/>
      <c r="CE267" s="379"/>
      <c r="CF267" s="379"/>
      <c r="CG267" s="34"/>
      <c r="CH267" s="34"/>
      <c r="CI267" s="34"/>
      <c r="CJ267" s="34"/>
      <c r="CK267" s="34"/>
      <c r="CL267" s="34"/>
      <c r="CM267" s="34"/>
      <c r="CN267" s="34"/>
      <c r="CO267" s="34"/>
      <c r="CP267" s="34"/>
      <c r="CQ267" s="34"/>
      <c r="CR267" s="34"/>
      <c r="CS267" s="34"/>
    </row>
    <row r="268" spans="7:97" s="246" customFormat="1" x14ac:dyDescent="0.2">
      <c r="G268" s="2188"/>
      <c r="BS268" s="379"/>
      <c r="BT268" s="379"/>
      <c r="BU268" s="379"/>
      <c r="BV268" s="379"/>
      <c r="BW268" s="379"/>
      <c r="BX268" s="379"/>
      <c r="BY268" s="379"/>
      <c r="BZ268" s="379"/>
      <c r="CA268" s="379"/>
      <c r="CB268" s="379"/>
      <c r="CC268" s="379"/>
      <c r="CD268" s="379"/>
      <c r="CE268" s="379"/>
      <c r="CF268" s="379"/>
      <c r="CG268" s="34"/>
      <c r="CH268" s="34"/>
      <c r="CI268" s="34"/>
      <c r="CJ268" s="34"/>
      <c r="CK268" s="34"/>
      <c r="CL268" s="34"/>
      <c r="CM268" s="34"/>
      <c r="CN268" s="34"/>
      <c r="CO268" s="34"/>
      <c r="CP268" s="34"/>
      <c r="CQ268" s="34"/>
      <c r="CR268" s="34"/>
      <c r="CS268" s="34"/>
    </row>
    <row r="269" spans="7:97" s="246" customFormat="1" x14ac:dyDescent="0.2">
      <c r="G269" s="2188"/>
      <c r="BS269" s="379"/>
      <c r="BT269" s="379"/>
      <c r="BU269" s="379"/>
      <c r="BV269" s="379"/>
      <c r="BW269" s="379"/>
      <c r="BX269" s="379"/>
      <c r="BY269" s="379"/>
      <c r="BZ269" s="379"/>
      <c r="CA269" s="379"/>
      <c r="CB269" s="379"/>
      <c r="CC269" s="379"/>
      <c r="CD269" s="379"/>
      <c r="CE269" s="379"/>
      <c r="CF269" s="379"/>
      <c r="CG269" s="34"/>
      <c r="CH269" s="34"/>
      <c r="CI269" s="34"/>
      <c r="CJ269" s="34"/>
      <c r="CK269" s="34"/>
      <c r="CL269" s="34"/>
      <c r="CM269" s="34"/>
      <c r="CN269" s="34"/>
      <c r="CO269" s="34"/>
      <c r="CP269" s="34"/>
      <c r="CQ269" s="34"/>
      <c r="CR269" s="34"/>
      <c r="CS269" s="34"/>
    </row>
    <row r="270" spans="7:97" s="246" customFormat="1" x14ac:dyDescent="0.2">
      <c r="G270" s="2188"/>
      <c r="BS270" s="379"/>
      <c r="BT270" s="379"/>
      <c r="BU270" s="379"/>
      <c r="BV270" s="379"/>
      <c r="BW270" s="379"/>
      <c r="BX270" s="379"/>
      <c r="BY270" s="379"/>
      <c r="BZ270" s="379"/>
      <c r="CA270" s="379"/>
      <c r="CB270" s="379"/>
      <c r="CC270" s="379"/>
      <c r="CD270" s="379"/>
      <c r="CE270" s="379"/>
      <c r="CF270" s="379"/>
      <c r="CG270" s="34"/>
      <c r="CH270" s="34"/>
      <c r="CI270" s="34"/>
      <c r="CJ270" s="34"/>
      <c r="CK270" s="34"/>
      <c r="CL270" s="34"/>
      <c r="CM270" s="34"/>
      <c r="CN270" s="34"/>
      <c r="CO270" s="34"/>
      <c r="CP270" s="34"/>
      <c r="CQ270" s="34"/>
      <c r="CR270" s="34"/>
      <c r="CS270" s="34"/>
    </row>
    <row r="271" spans="7:97" s="246" customFormat="1" x14ac:dyDescent="0.2">
      <c r="G271" s="2188"/>
      <c r="BS271" s="379"/>
      <c r="BT271" s="379"/>
      <c r="BU271" s="379"/>
      <c r="BV271" s="379"/>
      <c r="BW271" s="379"/>
      <c r="BX271" s="379"/>
      <c r="BY271" s="379"/>
      <c r="BZ271" s="379"/>
      <c r="CA271" s="379"/>
      <c r="CB271" s="379"/>
      <c r="CC271" s="379"/>
      <c r="CD271" s="379"/>
      <c r="CE271" s="379"/>
      <c r="CF271" s="379"/>
      <c r="CG271" s="34"/>
      <c r="CH271" s="34"/>
      <c r="CI271" s="34"/>
      <c r="CJ271" s="34"/>
      <c r="CK271" s="34"/>
      <c r="CL271" s="34"/>
      <c r="CM271" s="34"/>
      <c r="CN271" s="34"/>
      <c r="CO271" s="34"/>
      <c r="CP271" s="34"/>
      <c r="CQ271" s="34"/>
      <c r="CR271" s="34"/>
      <c r="CS271" s="34"/>
    </row>
    <row r="272" spans="7:97" s="246" customFormat="1" x14ac:dyDescent="0.2">
      <c r="G272" s="2188"/>
      <c r="BS272" s="379"/>
      <c r="BT272" s="379"/>
      <c r="BU272" s="379"/>
      <c r="BV272" s="379"/>
      <c r="BW272" s="379"/>
      <c r="BX272" s="379"/>
      <c r="BY272" s="379"/>
      <c r="BZ272" s="379"/>
      <c r="CA272" s="379"/>
      <c r="CB272" s="379"/>
      <c r="CC272" s="379"/>
      <c r="CD272" s="379"/>
      <c r="CE272" s="379"/>
      <c r="CF272" s="379"/>
      <c r="CG272" s="34"/>
      <c r="CH272" s="34"/>
      <c r="CI272" s="34"/>
      <c r="CJ272" s="34"/>
      <c r="CK272" s="34"/>
      <c r="CL272" s="34"/>
      <c r="CM272" s="34"/>
      <c r="CN272" s="34"/>
      <c r="CO272" s="34"/>
      <c r="CP272" s="34"/>
      <c r="CQ272" s="34"/>
      <c r="CR272" s="34"/>
      <c r="CS272" s="34"/>
    </row>
    <row r="273" spans="7:97" s="246" customFormat="1" x14ac:dyDescent="0.2">
      <c r="G273" s="2188"/>
      <c r="BS273" s="379"/>
      <c r="BT273" s="379"/>
      <c r="BU273" s="379"/>
      <c r="BV273" s="379"/>
      <c r="BW273" s="379"/>
      <c r="BX273" s="379"/>
      <c r="BY273" s="379"/>
      <c r="BZ273" s="379"/>
      <c r="CA273" s="379"/>
      <c r="CB273" s="379"/>
      <c r="CC273" s="379"/>
      <c r="CD273" s="379"/>
      <c r="CE273" s="379"/>
      <c r="CF273" s="379"/>
      <c r="CG273" s="34"/>
      <c r="CH273" s="34"/>
      <c r="CI273" s="34"/>
      <c r="CJ273" s="34"/>
      <c r="CK273" s="34"/>
      <c r="CL273" s="34"/>
      <c r="CM273" s="34"/>
      <c r="CN273" s="34"/>
      <c r="CO273" s="34"/>
      <c r="CP273" s="34"/>
      <c r="CQ273" s="34"/>
      <c r="CR273" s="34"/>
      <c r="CS273" s="34"/>
    </row>
    <row r="274" spans="7:97" s="246" customFormat="1" x14ac:dyDescent="0.2">
      <c r="G274" s="2188"/>
      <c r="BS274" s="379"/>
      <c r="BT274" s="379"/>
      <c r="BU274" s="379"/>
      <c r="BV274" s="379"/>
      <c r="BW274" s="379"/>
      <c r="BX274" s="379"/>
      <c r="BY274" s="379"/>
      <c r="BZ274" s="379"/>
      <c r="CA274" s="379"/>
      <c r="CB274" s="379"/>
      <c r="CC274" s="379"/>
      <c r="CD274" s="379"/>
      <c r="CE274" s="379"/>
      <c r="CF274" s="379"/>
      <c r="CG274" s="34"/>
      <c r="CH274" s="34"/>
      <c r="CI274" s="34"/>
      <c r="CJ274" s="34"/>
      <c r="CK274" s="34"/>
      <c r="CL274" s="34"/>
      <c r="CM274" s="34"/>
      <c r="CN274" s="34"/>
      <c r="CO274" s="34"/>
      <c r="CP274" s="34"/>
      <c r="CQ274" s="34"/>
      <c r="CR274" s="34"/>
      <c r="CS274" s="34"/>
    </row>
    <row r="275" spans="7:97" s="246" customFormat="1" x14ac:dyDescent="0.2">
      <c r="G275" s="2188"/>
      <c r="BS275" s="379"/>
      <c r="BT275" s="379"/>
      <c r="BU275" s="379"/>
      <c r="BV275" s="379"/>
      <c r="BW275" s="379"/>
      <c r="BX275" s="379"/>
      <c r="BY275" s="379"/>
      <c r="BZ275" s="379"/>
      <c r="CA275" s="379"/>
      <c r="CB275" s="379"/>
      <c r="CC275" s="379"/>
      <c r="CD275" s="379"/>
      <c r="CE275" s="379"/>
      <c r="CF275" s="379"/>
      <c r="CG275" s="34"/>
      <c r="CH275" s="34"/>
      <c r="CI275" s="34"/>
      <c r="CJ275" s="34"/>
      <c r="CK275" s="34"/>
      <c r="CL275" s="34"/>
      <c r="CM275" s="34"/>
      <c r="CN275" s="34"/>
      <c r="CO275" s="34"/>
      <c r="CP275" s="34"/>
      <c r="CQ275" s="34"/>
      <c r="CR275" s="34"/>
      <c r="CS275" s="34"/>
    </row>
    <row r="276" spans="7:97" s="246" customFormat="1" x14ac:dyDescent="0.2">
      <c r="G276" s="2188"/>
      <c r="BS276" s="379"/>
      <c r="BT276" s="379"/>
      <c r="BU276" s="379"/>
      <c r="BV276" s="379"/>
      <c r="BW276" s="379"/>
      <c r="BX276" s="379"/>
      <c r="BY276" s="379"/>
      <c r="BZ276" s="379"/>
      <c r="CA276" s="379"/>
      <c r="CB276" s="379"/>
      <c r="CC276" s="379"/>
      <c r="CD276" s="379"/>
      <c r="CE276" s="379"/>
      <c r="CF276" s="379"/>
      <c r="CG276" s="34"/>
      <c r="CH276" s="34"/>
      <c r="CI276" s="34"/>
      <c r="CJ276" s="34"/>
      <c r="CK276" s="34"/>
      <c r="CL276" s="34"/>
      <c r="CM276" s="34"/>
      <c r="CN276" s="34"/>
      <c r="CO276" s="34"/>
      <c r="CP276" s="34"/>
      <c r="CQ276" s="34"/>
      <c r="CR276" s="34"/>
      <c r="CS276" s="34"/>
    </row>
    <row r="277" spans="7:97" s="246" customFormat="1" x14ac:dyDescent="0.2">
      <c r="G277" s="2188"/>
      <c r="BS277" s="379"/>
      <c r="BT277" s="379"/>
      <c r="BU277" s="379"/>
      <c r="BV277" s="379"/>
      <c r="BW277" s="379"/>
      <c r="BX277" s="379"/>
      <c r="BY277" s="379"/>
      <c r="BZ277" s="379"/>
      <c r="CA277" s="379"/>
      <c r="CB277" s="379"/>
      <c r="CC277" s="379"/>
      <c r="CD277" s="379"/>
      <c r="CE277" s="379"/>
      <c r="CF277" s="379"/>
      <c r="CG277" s="34"/>
      <c r="CH277" s="34"/>
      <c r="CI277" s="34"/>
      <c r="CJ277" s="34"/>
      <c r="CK277" s="34"/>
      <c r="CL277" s="34"/>
      <c r="CM277" s="34"/>
      <c r="CN277" s="34"/>
      <c r="CO277" s="34"/>
      <c r="CP277" s="34"/>
      <c r="CQ277" s="34"/>
      <c r="CR277" s="34"/>
      <c r="CS277" s="34"/>
    </row>
    <row r="278" spans="7:97" s="246" customFormat="1" x14ac:dyDescent="0.2">
      <c r="G278" s="2188"/>
      <c r="BS278" s="379"/>
      <c r="BT278" s="379"/>
      <c r="BU278" s="379"/>
      <c r="BV278" s="379"/>
      <c r="BW278" s="379"/>
      <c r="BX278" s="379"/>
      <c r="BY278" s="379"/>
      <c r="BZ278" s="379"/>
      <c r="CA278" s="379"/>
      <c r="CB278" s="379"/>
      <c r="CC278" s="379"/>
      <c r="CD278" s="379"/>
      <c r="CE278" s="379"/>
      <c r="CF278" s="379"/>
      <c r="CG278" s="34"/>
      <c r="CH278" s="34"/>
      <c r="CI278" s="34"/>
      <c r="CJ278" s="34"/>
      <c r="CK278" s="34"/>
      <c r="CL278" s="34"/>
      <c r="CM278" s="34"/>
      <c r="CN278" s="34"/>
      <c r="CO278" s="34"/>
      <c r="CP278" s="34"/>
      <c r="CQ278" s="34"/>
      <c r="CR278" s="34"/>
      <c r="CS278" s="34"/>
    </row>
    <row r="279" spans="7:97" s="246" customFormat="1" x14ac:dyDescent="0.2">
      <c r="G279" s="2188"/>
      <c r="BS279" s="379"/>
      <c r="BT279" s="379"/>
      <c r="BU279" s="379"/>
      <c r="BV279" s="379"/>
      <c r="BW279" s="379"/>
      <c r="BX279" s="379"/>
      <c r="BY279" s="379"/>
      <c r="BZ279" s="379"/>
      <c r="CA279" s="379"/>
      <c r="CB279" s="379"/>
      <c r="CC279" s="379"/>
      <c r="CD279" s="379"/>
      <c r="CE279" s="379"/>
      <c r="CF279" s="379"/>
      <c r="CG279" s="34"/>
      <c r="CH279" s="34"/>
      <c r="CI279" s="34"/>
      <c r="CJ279" s="34"/>
      <c r="CK279" s="34"/>
      <c r="CL279" s="34"/>
      <c r="CM279" s="34"/>
      <c r="CN279" s="34"/>
      <c r="CO279" s="34"/>
      <c r="CP279" s="34"/>
      <c r="CQ279" s="34"/>
      <c r="CR279" s="34"/>
      <c r="CS279" s="34"/>
    </row>
    <row r="280" spans="7:97" s="246" customFormat="1" x14ac:dyDescent="0.2">
      <c r="G280" s="2188"/>
      <c r="BS280" s="379"/>
      <c r="BT280" s="379"/>
      <c r="BU280" s="379"/>
      <c r="BV280" s="379"/>
      <c r="BW280" s="379"/>
      <c r="BX280" s="379"/>
      <c r="BY280" s="379"/>
      <c r="BZ280" s="379"/>
      <c r="CA280" s="379"/>
      <c r="CB280" s="379"/>
      <c r="CC280" s="379"/>
      <c r="CD280" s="379"/>
      <c r="CE280" s="379"/>
      <c r="CF280" s="379"/>
      <c r="CG280" s="34"/>
      <c r="CH280" s="34"/>
      <c r="CI280" s="34"/>
      <c r="CJ280" s="34"/>
      <c r="CK280" s="34"/>
      <c r="CL280" s="34"/>
      <c r="CM280" s="34"/>
      <c r="CN280" s="34"/>
      <c r="CO280" s="34"/>
      <c r="CP280" s="34"/>
      <c r="CQ280" s="34"/>
      <c r="CR280" s="34"/>
      <c r="CS280" s="34"/>
    </row>
    <row r="281" spans="7:97" s="246" customFormat="1" x14ac:dyDescent="0.2">
      <c r="G281" s="2188"/>
      <c r="BS281" s="379"/>
      <c r="BT281" s="379"/>
      <c r="BU281" s="379"/>
      <c r="BV281" s="379"/>
      <c r="BW281" s="379"/>
      <c r="BX281" s="379"/>
      <c r="BY281" s="379"/>
      <c r="BZ281" s="379"/>
      <c r="CA281" s="379"/>
      <c r="CB281" s="379"/>
      <c r="CC281" s="379"/>
      <c r="CD281" s="379"/>
      <c r="CE281" s="379"/>
      <c r="CF281" s="379"/>
      <c r="CG281" s="34"/>
      <c r="CH281" s="34"/>
      <c r="CI281" s="34"/>
      <c r="CJ281" s="34"/>
      <c r="CK281" s="34"/>
      <c r="CL281" s="34"/>
      <c r="CM281" s="34"/>
      <c r="CN281" s="34"/>
      <c r="CO281" s="34"/>
      <c r="CP281" s="34"/>
      <c r="CQ281" s="34"/>
      <c r="CR281" s="34"/>
      <c r="CS281" s="34"/>
    </row>
    <row r="282" spans="7:97" s="246" customFormat="1" x14ac:dyDescent="0.2">
      <c r="G282" s="2188"/>
      <c r="BS282" s="379"/>
      <c r="BT282" s="379"/>
      <c r="BU282" s="379"/>
      <c r="BV282" s="379"/>
      <c r="BW282" s="379"/>
      <c r="BX282" s="379"/>
      <c r="BY282" s="379"/>
      <c r="BZ282" s="379"/>
      <c r="CA282" s="379"/>
      <c r="CB282" s="379"/>
      <c r="CC282" s="379"/>
      <c r="CD282" s="379"/>
      <c r="CE282" s="379"/>
      <c r="CF282" s="379"/>
      <c r="CG282" s="34"/>
      <c r="CH282" s="34"/>
      <c r="CI282" s="34"/>
      <c r="CJ282" s="34"/>
      <c r="CK282" s="34"/>
      <c r="CL282" s="34"/>
      <c r="CM282" s="34"/>
      <c r="CN282" s="34"/>
      <c r="CO282" s="34"/>
      <c r="CP282" s="34"/>
      <c r="CQ282" s="34"/>
      <c r="CR282" s="34"/>
      <c r="CS282" s="34"/>
    </row>
    <row r="283" spans="7:97" s="246" customFormat="1" x14ac:dyDescent="0.2">
      <c r="G283" s="2188"/>
      <c r="BS283" s="379"/>
      <c r="BT283" s="379"/>
      <c r="BU283" s="379"/>
      <c r="BV283" s="379"/>
      <c r="BW283" s="379"/>
      <c r="BX283" s="379"/>
      <c r="BY283" s="379"/>
      <c r="BZ283" s="379"/>
      <c r="CA283" s="379"/>
      <c r="CB283" s="379"/>
      <c r="CC283" s="379"/>
      <c r="CD283" s="379"/>
      <c r="CE283" s="379"/>
      <c r="CF283" s="379"/>
      <c r="CG283" s="34"/>
      <c r="CH283" s="34"/>
      <c r="CI283" s="34"/>
      <c r="CJ283" s="34"/>
      <c r="CK283" s="34"/>
      <c r="CL283" s="34"/>
      <c r="CM283" s="34"/>
      <c r="CN283" s="34"/>
      <c r="CO283" s="34"/>
      <c r="CP283" s="34"/>
      <c r="CQ283" s="34"/>
      <c r="CR283" s="34"/>
      <c r="CS283" s="34"/>
    </row>
    <row r="284" spans="7:97" s="246" customFormat="1" x14ac:dyDescent="0.2">
      <c r="G284" s="2188"/>
      <c r="BS284" s="379"/>
      <c r="BT284" s="379"/>
      <c r="BU284" s="379"/>
      <c r="BV284" s="379"/>
      <c r="BW284" s="379"/>
      <c r="BX284" s="379"/>
      <c r="BY284" s="379"/>
      <c r="BZ284" s="379"/>
      <c r="CA284" s="379"/>
      <c r="CB284" s="379"/>
      <c r="CC284" s="379"/>
      <c r="CD284" s="379"/>
      <c r="CE284" s="379"/>
      <c r="CF284" s="379"/>
      <c r="CG284" s="34"/>
      <c r="CH284" s="34"/>
      <c r="CI284" s="34"/>
      <c r="CJ284" s="34"/>
      <c r="CK284" s="34"/>
      <c r="CL284" s="34"/>
      <c r="CM284" s="34"/>
      <c r="CN284" s="34"/>
      <c r="CO284" s="34"/>
      <c r="CP284" s="34"/>
      <c r="CQ284" s="34"/>
      <c r="CR284" s="34"/>
      <c r="CS284" s="34"/>
    </row>
    <row r="285" spans="7:97" s="246" customFormat="1" x14ac:dyDescent="0.2">
      <c r="G285" s="2188"/>
      <c r="BS285" s="379"/>
      <c r="BT285" s="379"/>
      <c r="BU285" s="379"/>
      <c r="BV285" s="379"/>
      <c r="BW285" s="379"/>
      <c r="BX285" s="379"/>
      <c r="BY285" s="379"/>
      <c r="BZ285" s="379"/>
      <c r="CA285" s="379"/>
      <c r="CB285" s="379"/>
      <c r="CC285" s="379"/>
      <c r="CD285" s="379"/>
      <c r="CE285" s="379"/>
      <c r="CF285" s="379"/>
      <c r="CG285" s="34"/>
      <c r="CH285" s="34"/>
      <c r="CI285" s="34"/>
      <c r="CJ285" s="34"/>
      <c r="CK285" s="34"/>
      <c r="CL285" s="34"/>
      <c r="CM285" s="34"/>
      <c r="CN285" s="34"/>
      <c r="CO285" s="34"/>
      <c r="CP285" s="34"/>
      <c r="CQ285" s="34"/>
      <c r="CR285" s="34"/>
      <c r="CS285" s="34"/>
    </row>
    <row r="286" spans="7:97" s="246" customFormat="1" x14ac:dyDescent="0.2">
      <c r="G286" s="2188"/>
      <c r="BS286" s="379"/>
      <c r="BT286" s="379"/>
      <c r="BU286" s="379"/>
      <c r="BV286" s="379"/>
      <c r="BW286" s="379"/>
      <c r="BX286" s="379"/>
      <c r="BY286" s="379"/>
      <c r="BZ286" s="379"/>
      <c r="CA286" s="379"/>
      <c r="CB286" s="379"/>
      <c r="CC286" s="379"/>
      <c r="CD286" s="379"/>
      <c r="CE286" s="379"/>
      <c r="CF286" s="379"/>
      <c r="CG286" s="34"/>
      <c r="CH286" s="34"/>
      <c r="CI286" s="34"/>
      <c r="CJ286" s="34"/>
      <c r="CK286" s="34"/>
      <c r="CL286" s="34"/>
      <c r="CM286" s="34"/>
      <c r="CN286" s="34"/>
      <c r="CO286" s="34"/>
      <c r="CP286" s="34"/>
      <c r="CQ286" s="34"/>
      <c r="CR286" s="34"/>
      <c r="CS286" s="34"/>
    </row>
    <row r="287" spans="7:97" s="246" customFormat="1" x14ac:dyDescent="0.2">
      <c r="G287" s="2188"/>
      <c r="BS287" s="379"/>
      <c r="BT287" s="379"/>
      <c r="BU287" s="379"/>
      <c r="BV287" s="379"/>
      <c r="BW287" s="379"/>
      <c r="BX287" s="379"/>
      <c r="BY287" s="379"/>
      <c r="BZ287" s="379"/>
      <c r="CA287" s="379"/>
      <c r="CB287" s="379"/>
      <c r="CC287" s="379"/>
      <c r="CD287" s="379"/>
      <c r="CE287" s="379"/>
      <c r="CF287" s="379"/>
      <c r="CG287" s="34"/>
      <c r="CH287" s="34"/>
      <c r="CI287" s="34"/>
      <c r="CJ287" s="34"/>
      <c r="CK287" s="34"/>
      <c r="CL287" s="34"/>
      <c r="CM287" s="34"/>
      <c r="CN287" s="34"/>
      <c r="CO287" s="34"/>
      <c r="CP287" s="34"/>
      <c r="CQ287" s="34"/>
      <c r="CR287" s="34"/>
      <c r="CS287" s="34"/>
    </row>
    <row r="288" spans="7:97" s="246" customFormat="1" x14ac:dyDescent="0.2">
      <c r="G288" s="2188"/>
      <c r="BS288" s="379"/>
      <c r="BT288" s="379"/>
      <c r="BU288" s="379"/>
      <c r="BV288" s="379"/>
      <c r="BW288" s="379"/>
      <c r="BX288" s="379"/>
      <c r="BY288" s="379"/>
      <c r="BZ288" s="379"/>
      <c r="CA288" s="379"/>
      <c r="CB288" s="379"/>
      <c r="CC288" s="379"/>
      <c r="CD288" s="379"/>
      <c r="CE288" s="379"/>
      <c r="CF288" s="379"/>
      <c r="CG288" s="34"/>
      <c r="CH288" s="34"/>
      <c r="CI288" s="34"/>
      <c r="CJ288" s="34"/>
      <c r="CK288" s="34"/>
      <c r="CL288" s="34"/>
      <c r="CM288" s="34"/>
      <c r="CN288" s="34"/>
      <c r="CO288" s="34"/>
      <c r="CP288" s="34"/>
      <c r="CQ288" s="34"/>
      <c r="CR288" s="34"/>
      <c r="CS288" s="34"/>
    </row>
    <row r="289" spans="7:97" s="246" customFormat="1" x14ac:dyDescent="0.2">
      <c r="G289" s="2188"/>
      <c r="BS289" s="379"/>
      <c r="BT289" s="379"/>
      <c r="BU289" s="379"/>
      <c r="BV289" s="379"/>
      <c r="BW289" s="379"/>
      <c r="BX289" s="379"/>
      <c r="BY289" s="379"/>
      <c r="BZ289" s="379"/>
      <c r="CA289" s="379"/>
      <c r="CB289" s="379"/>
      <c r="CC289" s="379"/>
      <c r="CD289" s="379"/>
      <c r="CE289" s="379"/>
      <c r="CF289" s="379"/>
      <c r="CG289" s="34"/>
      <c r="CH289" s="34"/>
      <c r="CI289" s="34"/>
      <c r="CJ289" s="34"/>
      <c r="CK289" s="34"/>
      <c r="CL289" s="34"/>
      <c r="CM289" s="34"/>
      <c r="CN289" s="34"/>
      <c r="CO289" s="34"/>
      <c r="CP289" s="34"/>
      <c r="CQ289" s="34"/>
      <c r="CR289" s="34"/>
      <c r="CS289" s="34"/>
    </row>
    <row r="290" spans="7:97" s="246" customFormat="1" x14ac:dyDescent="0.2">
      <c r="G290" s="2188"/>
      <c r="BS290" s="379"/>
      <c r="BT290" s="379"/>
      <c r="BU290" s="379"/>
      <c r="BV290" s="379"/>
      <c r="BW290" s="379"/>
      <c r="BX290" s="379"/>
      <c r="BY290" s="379"/>
      <c r="BZ290" s="379"/>
      <c r="CA290" s="379"/>
      <c r="CB290" s="379"/>
      <c r="CC290" s="379"/>
      <c r="CD290" s="379"/>
      <c r="CE290" s="379"/>
      <c r="CF290" s="379"/>
      <c r="CG290" s="34"/>
      <c r="CH290" s="34"/>
      <c r="CI290" s="34"/>
      <c r="CJ290" s="34"/>
      <c r="CK290" s="34"/>
      <c r="CL290" s="34"/>
      <c r="CM290" s="34"/>
      <c r="CN290" s="34"/>
      <c r="CO290" s="34"/>
      <c r="CP290" s="34"/>
      <c r="CQ290" s="34"/>
      <c r="CR290" s="34"/>
      <c r="CS290" s="34"/>
    </row>
    <row r="291" spans="7:97" s="246" customFormat="1" x14ac:dyDescent="0.2">
      <c r="G291" s="2188"/>
      <c r="BS291" s="379"/>
      <c r="BT291" s="379"/>
      <c r="BU291" s="379"/>
      <c r="BV291" s="379"/>
      <c r="BW291" s="379"/>
      <c r="BX291" s="379"/>
      <c r="BY291" s="379"/>
      <c r="BZ291" s="379"/>
      <c r="CA291" s="379"/>
      <c r="CB291" s="379"/>
      <c r="CC291" s="379"/>
      <c r="CD291" s="379"/>
      <c r="CE291" s="379"/>
      <c r="CF291" s="379"/>
      <c r="CG291" s="34"/>
      <c r="CH291" s="34"/>
      <c r="CI291" s="34"/>
      <c r="CJ291" s="34"/>
      <c r="CK291" s="34"/>
      <c r="CL291" s="34"/>
      <c r="CM291" s="34"/>
      <c r="CN291" s="34"/>
      <c r="CO291" s="34"/>
      <c r="CP291" s="34"/>
      <c r="CQ291" s="34"/>
      <c r="CR291" s="34"/>
      <c r="CS291" s="34"/>
    </row>
    <row r="292" spans="7:97" s="246" customFormat="1" x14ac:dyDescent="0.2">
      <c r="G292" s="2188"/>
      <c r="BS292" s="379"/>
      <c r="BT292" s="379"/>
      <c r="BU292" s="379"/>
      <c r="BV292" s="379"/>
      <c r="BW292" s="379"/>
      <c r="BX292" s="379"/>
      <c r="BY292" s="379"/>
      <c r="BZ292" s="379"/>
      <c r="CA292" s="379"/>
      <c r="CB292" s="379"/>
      <c r="CC292" s="379"/>
      <c r="CD292" s="379"/>
      <c r="CE292" s="379"/>
      <c r="CF292" s="379"/>
      <c r="CG292" s="34"/>
      <c r="CH292" s="34"/>
      <c r="CI292" s="34"/>
      <c r="CJ292" s="34"/>
      <c r="CK292" s="34"/>
      <c r="CL292" s="34"/>
      <c r="CM292" s="34"/>
      <c r="CN292" s="34"/>
      <c r="CO292" s="34"/>
      <c r="CP292" s="34"/>
      <c r="CQ292" s="34"/>
      <c r="CR292" s="34"/>
      <c r="CS292" s="34"/>
    </row>
    <row r="293" spans="7:97" s="246" customFormat="1" x14ac:dyDescent="0.2">
      <c r="G293" s="2188"/>
      <c r="BS293" s="379"/>
      <c r="BT293" s="379"/>
      <c r="BU293" s="379"/>
      <c r="BV293" s="379"/>
      <c r="BW293" s="379"/>
      <c r="BX293" s="379"/>
      <c r="BY293" s="379"/>
      <c r="BZ293" s="379"/>
      <c r="CA293" s="379"/>
      <c r="CB293" s="379"/>
      <c r="CC293" s="379"/>
      <c r="CD293" s="379"/>
      <c r="CE293" s="379"/>
      <c r="CF293" s="379"/>
      <c r="CG293" s="34"/>
      <c r="CH293" s="34"/>
      <c r="CI293" s="34"/>
      <c r="CJ293" s="34"/>
      <c r="CK293" s="34"/>
      <c r="CL293" s="34"/>
      <c r="CM293" s="34"/>
      <c r="CN293" s="34"/>
      <c r="CO293" s="34"/>
      <c r="CP293" s="34"/>
      <c r="CQ293" s="34"/>
      <c r="CR293" s="34"/>
      <c r="CS293" s="34"/>
    </row>
    <row r="294" spans="7:97" s="246" customFormat="1" x14ac:dyDescent="0.2">
      <c r="G294" s="2188"/>
      <c r="BS294" s="379"/>
      <c r="BT294" s="379"/>
      <c r="BU294" s="379"/>
      <c r="BV294" s="379"/>
      <c r="BW294" s="379"/>
      <c r="BX294" s="379"/>
      <c r="BY294" s="379"/>
      <c r="BZ294" s="379"/>
      <c r="CA294" s="379"/>
      <c r="CB294" s="379"/>
      <c r="CC294" s="379"/>
      <c r="CD294" s="379"/>
      <c r="CE294" s="379"/>
      <c r="CF294" s="379"/>
      <c r="CG294" s="34"/>
      <c r="CH294" s="34"/>
      <c r="CI294" s="34"/>
      <c r="CJ294" s="34"/>
      <c r="CK294" s="34"/>
      <c r="CL294" s="34"/>
      <c r="CM294" s="34"/>
      <c r="CN294" s="34"/>
      <c r="CO294" s="34"/>
      <c r="CP294" s="34"/>
      <c r="CQ294" s="34"/>
      <c r="CR294" s="34"/>
      <c r="CS294" s="34"/>
    </row>
    <row r="295" spans="7:97" s="246" customFormat="1" x14ac:dyDescent="0.2">
      <c r="G295" s="2188"/>
      <c r="BS295" s="379"/>
      <c r="BT295" s="379"/>
      <c r="BU295" s="379"/>
      <c r="BV295" s="379"/>
      <c r="BW295" s="379"/>
      <c r="BX295" s="379"/>
      <c r="BY295" s="379"/>
      <c r="BZ295" s="379"/>
      <c r="CA295" s="379"/>
      <c r="CB295" s="379"/>
      <c r="CC295" s="379"/>
      <c r="CD295" s="379"/>
      <c r="CE295" s="379"/>
      <c r="CF295" s="379"/>
      <c r="CG295" s="34"/>
      <c r="CH295" s="34"/>
      <c r="CI295" s="34"/>
      <c r="CJ295" s="34"/>
      <c r="CK295" s="34"/>
      <c r="CL295" s="34"/>
      <c r="CM295" s="34"/>
      <c r="CN295" s="34"/>
      <c r="CO295" s="34"/>
      <c r="CP295" s="34"/>
      <c r="CQ295" s="34"/>
      <c r="CR295" s="34"/>
      <c r="CS295" s="34"/>
    </row>
    <row r="296" spans="7:97" s="246" customFormat="1" x14ac:dyDescent="0.2">
      <c r="G296" s="2188"/>
      <c r="BS296" s="379"/>
      <c r="BT296" s="379"/>
      <c r="BU296" s="379"/>
      <c r="BV296" s="379"/>
      <c r="BW296" s="379"/>
      <c r="BX296" s="379"/>
      <c r="BY296" s="379"/>
      <c r="BZ296" s="379"/>
      <c r="CA296" s="379"/>
      <c r="CB296" s="379"/>
      <c r="CC296" s="379"/>
      <c r="CD296" s="379"/>
      <c r="CE296" s="379"/>
      <c r="CF296" s="379"/>
      <c r="CG296" s="34"/>
      <c r="CH296" s="34"/>
      <c r="CI296" s="34"/>
      <c r="CJ296" s="34"/>
      <c r="CK296" s="34"/>
      <c r="CL296" s="34"/>
      <c r="CM296" s="34"/>
      <c r="CN296" s="34"/>
      <c r="CO296" s="34"/>
      <c r="CP296" s="34"/>
      <c r="CQ296" s="34"/>
      <c r="CR296" s="34"/>
      <c r="CS296" s="34"/>
    </row>
    <row r="297" spans="7:97" s="246" customFormat="1" x14ac:dyDescent="0.2">
      <c r="G297" s="2188"/>
      <c r="BS297" s="379"/>
      <c r="BT297" s="379"/>
      <c r="BU297" s="379"/>
      <c r="BV297" s="379"/>
      <c r="BW297" s="379"/>
      <c r="BX297" s="379"/>
      <c r="BY297" s="379"/>
      <c r="BZ297" s="379"/>
      <c r="CA297" s="379"/>
      <c r="CB297" s="379"/>
      <c r="CC297" s="379"/>
      <c r="CD297" s="379"/>
      <c r="CE297" s="379"/>
      <c r="CF297" s="379"/>
      <c r="CG297" s="34"/>
      <c r="CH297" s="34"/>
      <c r="CI297" s="34"/>
      <c r="CJ297" s="34"/>
      <c r="CK297" s="34"/>
      <c r="CL297" s="34"/>
      <c r="CM297" s="34"/>
      <c r="CN297" s="34"/>
      <c r="CO297" s="34"/>
      <c r="CP297" s="34"/>
      <c r="CQ297" s="34"/>
      <c r="CR297" s="34"/>
      <c r="CS297" s="34"/>
    </row>
    <row r="298" spans="7:97" s="246" customFormat="1" x14ac:dyDescent="0.2">
      <c r="G298" s="2188"/>
      <c r="BS298" s="379"/>
      <c r="BT298" s="379"/>
      <c r="BU298" s="379"/>
      <c r="BV298" s="379"/>
      <c r="BW298" s="379"/>
      <c r="BX298" s="379"/>
      <c r="BY298" s="379"/>
      <c r="BZ298" s="379"/>
      <c r="CA298" s="379"/>
      <c r="CB298" s="379"/>
      <c r="CC298" s="379"/>
      <c r="CD298" s="379"/>
      <c r="CE298" s="379"/>
      <c r="CF298" s="379"/>
      <c r="CG298" s="34"/>
      <c r="CH298" s="34"/>
      <c r="CI298" s="34"/>
      <c r="CJ298" s="34"/>
      <c r="CK298" s="34"/>
      <c r="CL298" s="34"/>
      <c r="CM298" s="34"/>
      <c r="CN298" s="34"/>
      <c r="CO298" s="34"/>
      <c r="CP298" s="34"/>
      <c r="CQ298" s="34"/>
      <c r="CR298" s="34"/>
      <c r="CS298" s="34"/>
    </row>
    <row r="299" spans="7:97" s="246" customFormat="1" x14ac:dyDescent="0.2">
      <c r="G299" s="2188"/>
      <c r="BS299" s="379"/>
      <c r="BT299" s="379"/>
      <c r="BU299" s="379"/>
      <c r="BV299" s="379"/>
      <c r="BW299" s="379"/>
      <c r="BX299" s="379"/>
      <c r="BY299" s="379"/>
      <c r="BZ299" s="379"/>
      <c r="CA299" s="379"/>
      <c r="CB299" s="379"/>
      <c r="CC299" s="379"/>
      <c r="CD299" s="379"/>
      <c r="CE299" s="379"/>
      <c r="CF299" s="379"/>
      <c r="CG299" s="34"/>
      <c r="CH299" s="34"/>
      <c r="CI299" s="34"/>
      <c r="CJ299" s="34"/>
      <c r="CK299" s="34"/>
      <c r="CL299" s="34"/>
      <c r="CM299" s="34"/>
      <c r="CN299" s="34"/>
      <c r="CO299" s="34"/>
      <c r="CP299" s="34"/>
      <c r="CQ299" s="34"/>
      <c r="CR299" s="34"/>
      <c r="CS299" s="34"/>
    </row>
    <row r="300" spans="7:97" s="246" customFormat="1" x14ac:dyDescent="0.2">
      <c r="G300" s="2188"/>
      <c r="BS300" s="379"/>
      <c r="BT300" s="379"/>
      <c r="BU300" s="379"/>
      <c r="BV300" s="379"/>
      <c r="BW300" s="379"/>
      <c r="BX300" s="379"/>
      <c r="BY300" s="379"/>
      <c r="BZ300" s="379"/>
      <c r="CA300" s="379"/>
      <c r="CB300" s="379"/>
      <c r="CC300" s="379"/>
      <c r="CD300" s="379"/>
      <c r="CE300" s="379"/>
      <c r="CF300" s="379"/>
      <c r="CG300" s="34"/>
      <c r="CH300" s="34"/>
      <c r="CI300" s="34"/>
      <c r="CJ300" s="34"/>
      <c r="CK300" s="34"/>
      <c r="CL300" s="34"/>
      <c r="CM300" s="34"/>
      <c r="CN300" s="34"/>
      <c r="CO300" s="34"/>
      <c r="CP300" s="34"/>
      <c r="CQ300" s="34"/>
      <c r="CR300" s="34"/>
      <c r="CS300" s="34"/>
    </row>
    <row r="301" spans="7:97" s="246" customFormat="1" x14ac:dyDescent="0.2">
      <c r="G301" s="2188"/>
      <c r="BS301" s="379"/>
      <c r="BT301" s="379"/>
      <c r="BU301" s="379"/>
      <c r="BV301" s="379"/>
      <c r="BW301" s="379"/>
      <c r="BX301" s="379"/>
      <c r="BY301" s="379"/>
      <c r="BZ301" s="379"/>
      <c r="CA301" s="379"/>
      <c r="CB301" s="379"/>
      <c r="CC301" s="379"/>
      <c r="CD301" s="379"/>
      <c r="CE301" s="379"/>
      <c r="CF301" s="379"/>
      <c r="CG301" s="34"/>
      <c r="CH301" s="34"/>
      <c r="CI301" s="34"/>
      <c r="CJ301" s="34"/>
      <c r="CK301" s="34"/>
      <c r="CL301" s="34"/>
      <c r="CM301" s="34"/>
      <c r="CN301" s="34"/>
      <c r="CO301" s="34"/>
      <c r="CP301" s="34"/>
      <c r="CQ301" s="34"/>
      <c r="CR301" s="34"/>
      <c r="CS301" s="34"/>
    </row>
    <row r="302" spans="7:97" s="246" customFormat="1" x14ac:dyDescent="0.2">
      <c r="G302" s="2188"/>
      <c r="BS302" s="379"/>
      <c r="BT302" s="379"/>
      <c r="BU302" s="379"/>
      <c r="BV302" s="379"/>
      <c r="BW302" s="379"/>
      <c r="BX302" s="379"/>
      <c r="BY302" s="379"/>
      <c r="BZ302" s="379"/>
      <c r="CA302" s="379"/>
      <c r="CB302" s="379"/>
      <c r="CC302" s="379"/>
      <c r="CD302" s="379"/>
      <c r="CE302" s="379"/>
      <c r="CF302" s="379"/>
      <c r="CG302" s="34"/>
      <c r="CH302" s="34"/>
      <c r="CI302" s="34"/>
      <c r="CJ302" s="34"/>
      <c r="CK302" s="34"/>
      <c r="CL302" s="34"/>
      <c r="CM302" s="34"/>
      <c r="CN302" s="34"/>
      <c r="CO302" s="34"/>
      <c r="CP302" s="34"/>
      <c r="CQ302" s="34"/>
      <c r="CR302" s="34"/>
      <c r="CS302" s="34"/>
    </row>
    <row r="303" spans="7:97" s="246" customFormat="1" x14ac:dyDescent="0.2">
      <c r="G303" s="2188"/>
      <c r="BS303" s="379"/>
      <c r="BT303" s="379"/>
      <c r="BU303" s="379"/>
      <c r="BV303" s="379"/>
      <c r="BW303" s="379"/>
      <c r="BX303" s="379"/>
      <c r="BY303" s="379"/>
      <c r="BZ303" s="379"/>
      <c r="CA303" s="379"/>
      <c r="CB303" s="379"/>
      <c r="CC303" s="379"/>
      <c r="CD303" s="379"/>
      <c r="CE303" s="379"/>
      <c r="CF303" s="379"/>
      <c r="CG303" s="34"/>
      <c r="CH303" s="34"/>
      <c r="CI303" s="34"/>
      <c r="CJ303" s="34"/>
      <c r="CK303" s="34"/>
      <c r="CL303" s="34"/>
      <c r="CM303" s="34"/>
      <c r="CN303" s="34"/>
      <c r="CO303" s="34"/>
      <c r="CP303" s="34"/>
      <c r="CQ303" s="34"/>
      <c r="CR303" s="34"/>
      <c r="CS303" s="34"/>
    </row>
    <row r="304" spans="7:97" s="246" customFormat="1" x14ac:dyDescent="0.2">
      <c r="G304" s="2188"/>
      <c r="BS304" s="379"/>
      <c r="BT304" s="379"/>
      <c r="BU304" s="379"/>
      <c r="BV304" s="379"/>
      <c r="BW304" s="379"/>
      <c r="BX304" s="379"/>
      <c r="BY304" s="379"/>
      <c r="BZ304" s="379"/>
      <c r="CA304" s="379"/>
      <c r="CB304" s="379"/>
      <c r="CC304" s="379"/>
      <c r="CD304" s="379"/>
      <c r="CE304" s="379"/>
      <c r="CF304" s="379"/>
      <c r="CG304" s="34"/>
      <c r="CH304" s="34"/>
      <c r="CI304" s="34"/>
      <c r="CJ304" s="34"/>
      <c r="CK304" s="34"/>
      <c r="CL304" s="34"/>
      <c r="CM304" s="34"/>
      <c r="CN304" s="34"/>
      <c r="CO304" s="34"/>
      <c r="CP304" s="34"/>
      <c r="CQ304" s="34"/>
      <c r="CR304" s="34"/>
      <c r="CS304" s="34"/>
    </row>
    <row r="305" spans="7:97" s="246" customFormat="1" x14ac:dyDescent="0.2">
      <c r="G305" s="2188"/>
      <c r="BS305" s="379"/>
      <c r="BT305" s="379"/>
      <c r="BU305" s="379"/>
      <c r="BV305" s="379"/>
      <c r="BW305" s="379"/>
      <c r="BX305" s="379"/>
      <c r="BY305" s="379"/>
      <c r="BZ305" s="379"/>
      <c r="CA305" s="379"/>
      <c r="CB305" s="379"/>
      <c r="CC305" s="379"/>
      <c r="CD305" s="379"/>
      <c r="CE305" s="379"/>
      <c r="CF305" s="379"/>
      <c r="CG305" s="34"/>
      <c r="CH305" s="34"/>
      <c r="CI305" s="34"/>
      <c r="CJ305" s="34"/>
      <c r="CK305" s="34"/>
      <c r="CL305" s="34"/>
      <c r="CM305" s="34"/>
      <c r="CN305" s="34"/>
      <c r="CO305" s="34"/>
      <c r="CP305" s="34"/>
      <c r="CQ305" s="34"/>
      <c r="CR305" s="34"/>
      <c r="CS305" s="34"/>
    </row>
    <row r="306" spans="7:97" s="246" customFormat="1" x14ac:dyDescent="0.2">
      <c r="G306" s="2188"/>
      <c r="BS306" s="379"/>
      <c r="BT306" s="379"/>
      <c r="BU306" s="379"/>
      <c r="BV306" s="379"/>
      <c r="BW306" s="379"/>
      <c r="BX306" s="379"/>
      <c r="BY306" s="379"/>
      <c r="BZ306" s="379"/>
      <c r="CA306" s="379"/>
      <c r="CB306" s="379"/>
      <c r="CC306" s="379"/>
      <c r="CD306" s="379"/>
      <c r="CE306" s="379"/>
      <c r="CF306" s="379"/>
      <c r="CG306" s="34"/>
      <c r="CH306" s="34"/>
      <c r="CI306" s="34"/>
      <c r="CJ306" s="34"/>
      <c r="CK306" s="34"/>
      <c r="CL306" s="34"/>
      <c r="CM306" s="34"/>
      <c r="CN306" s="34"/>
      <c r="CO306" s="34"/>
      <c r="CP306" s="34"/>
      <c r="CQ306" s="34"/>
      <c r="CR306" s="34"/>
      <c r="CS306" s="34"/>
    </row>
    <row r="307" spans="7:97" s="246" customFormat="1" x14ac:dyDescent="0.2">
      <c r="G307" s="2188"/>
      <c r="BS307" s="379"/>
      <c r="BT307" s="379"/>
      <c r="BU307" s="379"/>
      <c r="BV307" s="379"/>
      <c r="BW307" s="379"/>
      <c r="BX307" s="379"/>
      <c r="BY307" s="379"/>
      <c r="BZ307" s="379"/>
      <c r="CA307" s="379"/>
      <c r="CB307" s="379"/>
      <c r="CC307" s="379"/>
      <c r="CD307" s="379"/>
      <c r="CE307" s="379"/>
      <c r="CF307" s="379"/>
      <c r="CG307" s="34"/>
      <c r="CH307" s="34"/>
      <c r="CI307" s="34"/>
      <c r="CJ307" s="34"/>
      <c r="CK307" s="34"/>
      <c r="CL307" s="34"/>
      <c r="CM307" s="34"/>
      <c r="CN307" s="34"/>
      <c r="CO307" s="34"/>
      <c r="CP307" s="34"/>
      <c r="CQ307" s="34"/>
      <c r="CR307" s="34"/>
      <c r="CS307" s="34"/>
    </row>
    <row r="308" spans="7:97" s="246" customFormat="1" x14ac:dyDescent="0.2">
      <c r="G308" s="2188"/>
      <c r="BS308" s="379"/>
      <c r="BT308" s="379"/>
      <c r="BU308" s="379"/>
      <c r="BV308" s="379"/>
      <c r="BW308" s="379"/>
      <c r="BX308" s="379"/>
      <c r="BY308" s="379"/>
      <c r="BZ308" s="379"/>
      <c r="CA308" s="379"/>
      <c r="CB308" s="379"/>
      <c r="CC308" s="379"/>
      <c r="CD308" s="379"/>
      <c r="CE308" s="379"/>
      <c r="CF308" s="379"/>
      <c r="CG308" s="34"/>
      <c r="CH308" s="34"/>
      <c r="CI308" s="34"/>
      <c r="CJ308" s="34"/>
      <c r="CK308" s="34"/>
      <c r="CL308" s="34"/>
      <c r="CM308" s="34"/>
      <c r="CN308" s="34"/>
      <c r="CO308" s="34"/>
      <c r="CP308" s="34"/>
      <c r="CQ308" s="34"/>
      <c r="CR308" s="34"/>
      <c r="CS308" s="34"/>
    </row>
    <row r="309" spans="7:97" s="246" customFormat="1" x14ac:dyDescent="0.2">
      <c r="G309" s="2188"/>
      <c r="BS309" s="379"/>
      <c r="BT309" s="379"/>
      <c r="BU309" s="379"/>
      <c r="BV309" s="379"/>
      <c r="BW309" s="379"/>
      <c r="BX309" s="379"/>
      <c r="BY309" s="379"/>
      <c r="BZ309" s="379"/>
      <c r="CA309" s="379"/>
      <c r="CB309" s="379"/>
      <c r="CC309" s="379"/>
      <c r="CD309" s="379"/>
      <c r="CE309" s="379"/>
      <c r="CF309" s="379"/>
      <c r="CG309" s="34"/>
      <c r="CH309" s="34"/>
      <c r="CI309" s="34"/>
      <c r="CJ309" s="34"/>
      <c r="CK309" s="34"/>
      <c r="CL309" s="34"/>
      <c r="CM309" s="34"/>
      <c r="CN309" s="34"/>
      <c r="CO309" s="34"/>
      <c r="CP309" s="34"/>
      <c r="CQ309" s="34"/>
      <c r="CR309" s="34"/>
      <c r="CS309" s="34"/>
    </row>
    <row r="310" spans="7:97" s="246" customFormat="1" x14ac:dyDescent="0.2">
      <c r="G310" s="2188"/>
      <c r="BS310" s="379"/>
      <c r="BT310" s="379"/>
      <c r="BU310" s="379"/>
      <c r="BV310" s="379"/>
      <c r="BW310" s="379"/>
      <c r="BX310" s="379"/>
      <c r="BY310" s="379"/>
      <c r="BZ310" s="379"/>
      <c r="CA310" s="379"/>
      <c r="CB310" s="379"/>
      <c r="CC310" s="379"/>
      <c r="CD310" s="379"/>
      <c r="CE310" s="379"/>
      <c r="CF310" s="379"/>
      <c r="CG310" s="34"/>
      <c r="CH310" s="34"/>
      <c r="CI310" s="34"/>
      <c r="CJ310" s="34"/>
      <c r="CK310" s="34"/>
      <c r="CL310" s="34"/>
      <c r="CM310" s="34"/>
      <c r="CN310" s="34"/>
      <c r="CO310" s="34"/>
      <c r="CP310" s="34"/>
      <c r="CQ310" s="34"/>
      <c r="CR310" s="34"/>
      <c r="CS310" s="34"/>
    </row>
    <row r="311" spans="7:97" s="246" customFormat="1" x14ac:dyDescent="0.2">
      <c r="G311" s="2188"/>
      <c r="BS311" s="379"/>
      <c r="BT311" s="379"/>
      <c r="BU311" s="379"/>
      <c r="BV311" s="379"/>
      <c r="BW311" s="379"/>
      <c r="BX311" s="379"/>
      <c r="BY311" s="379"/>
      <c r="BZ311" s="379"/>
      <c r="CA311" s="379"/>
      <c r="CB311" s="379"/>
      <c r="CC311" s="379"/>
      <c r="CD311" s="379"/>
      <c r="CE311" s="379"/>
      <c r="CF311" s="379"/>
      <c r="CG311" s="34"/>
      <c r="CH311" s="34"/>
      <c r="CI311" s="34"/>
      <c r="CJ311" s="34"/>
      <c r="CK311" s="34"/>
      <c r="CL311" s="34"/>
      <c r="CM311" s="34"/>
      <c r="CN311" s="34"/>
      <c r="CO311" s="34"/>
      <c r="CP311" s="34"/>
      <c r="CQ311" s="34"/>
      <c r="CR311" s="34"/>
      <c r="CS311" s="34"/>
    </row>
    <row r="312" spans="7:97" s="246" customFormat="1" x14ac:dyDescent="0.2">
      <c r="G312" s="2188"/>
      <c r="BS312" s="379"/>
      <c r="BT312" s="379"/>
      <c r="BU312" s="379"/>
      <c r="BV312" s="379"/>
      <c r="BW312" s="379"/>
      <c r="BX312" s="379"/>
      <c r="BY312" s="379"/>
      <c r="BZ312" s="379"/>
      <c r="CA312" s="379"/>
      <c r="CB312" s="379"/>
      <c r="CC312" s="379"/>
      <c r="CD312" s="379"/>
      <c r="CE312" s="379"/>
      <c r="CF312" s="379"/>
      <c r="CG312" s="34"/>
      <c r="CH312" s="34"/>
      <c r="CI312" s="34"/>
      <c r="CJ312" s="34"/>
      <c r="CK312" s="34"/>
      <c r="CL312" s="34"/>
      <c r="CM312" s="34"/>
      <c r="CN312" s="34"/>
      <c r="CO312" s="34"/>
      <c r="CP312" s="34"/>
      <c r="CQ312" s="34"/>
      <c r="CR312" s="34"/>
      <c r="CS312" s="34"/>
    </row>
    <row r="313" spans="7:97" s="246" customFormat="1" x14ac:dyDescent="0.2">
      <c r="G313" s="2188"/>
      <c r="BS313" s="379"/>
      <c r="BT313" s="379"/>
      <c r="BU313" s="379"/>
      <c r="BV313" s="379"/>
      <c r="BW313" s="379"/>
      <c r="BX313" s="379"/>
      <c r="BY313" s="379"/>
      <c r="BZ313" s="379"/>
      <c r="CA313" s="379"/>
      <c r="CB313" s="379"/>
      <c r="CC313" s="379"/>
      <c r="CD313" s="379"/>
      <c r="CE313" s="379"/>
      <c r="CF313" s="379"/>
      <c r="CG313" s="34"/>
      <c r="CH313" s="34"/>
      <c r="CI313" s="34"/>
      <c r="CJ313" s="34"/>
      <c r="CK313" s="34"/>
      <c r="CL313" s="34"/>
      <c r="CM313" s="34"/>
      <c r="CN313" s="34"/>
      <c r="CO313" s="34"/>
      <c r="CP313" s="34"/>
      <c r="CQ313" s="34"/>
      <c r="CR313" s="34"/>
      <c r="CS313" s="34"/>
    </row>
    <row r="314" spans="7:97" s="246" customFormat="1" x14ac:dyDescent="0.2">
      <c r="G314" s="2188"/>
      <c r="BS314" s="379"/>
      <c r="BT314" s="379"/>
      <c r="BU314" s="379"/>
      <c r="BV314" s="379"/>
      <c r="BW314" s="379"/>
      <c r="BX314" s="379"/>
      <c r="BY314" s="379"/>
      <c r="BZ314" s="379"/>
      <c r="CA314" s="379"/>
      <c r="CB314" s="379"/>
      <c r="CC314" s="379"/>
      <c r="CD314" s="379"/>
      <c r="CE314" s="379"/>
      <c r="CF314" s="379"/>
      <c r="CG314" s="34"/>
      <c r="CH314" s="34"/>
      <c r="CI314" s="34"/>
      <c r="CJ314" s="34"/>
      <c r="CK314" s="34"/>
      <c r="CL314" s="34"/>
      <c r="CM314" s="34"/>
      <c r="CN314" s="34"/>
      <c r="CO314" s="34"/>
      <c r="CP314" s="34"/>
      <c r="CQ314" s="34"/>
      <c r="CR314" s="34"/>
      <c r="CS314" s="34"/>
    </row>
    <row r="315" spans="7:97" s="246" customFormat="1" x14ac:dyDescent="0.2">
      <c r="G315" s="2188"/>
      <c r="BS315" s="379"/>
      <c r="BT315" s="379"/>
      <c r="BU315" s="379"/>
      <c r="BV315" s="379"/>
      <c r="BW315" s="379"/>
      <c r="BX315" s="379"/>
      <c r="BY315" s="379"/>
      <c r="BZ315" s="379"/>
      <c r="CA315" s="379"/>
      <c r="CB315" s="379"/>
      <c r="CC315" s="379"/>
      <c r="CD315" s="379"/>
      <c r="CE315" s="379"/>
      <c r="CF315" s="379"/>
      <c r="CG315" s="34"/>
      <c r="CH315" s="34"/>
      <c r="CI315" s="34"/>
      <c r="CJ315" s="34"/>
      <c r="CK315" s="34"/>
      <c r="CL315" s="34"/>
      <c r="CM315" s="34"/>
      <c r="CN315" s="34"/>
      <c r="CO315" s="34"/>
      <c r="CP315" s="34"/>
      <c r="CQ315" s="34"/>
      <c r="CR315" s="34"/>
      <c r="CS315" s="34"/>
    </row>
    <row r="316" spans="7:97" s="246" customFormat="1" x14ac:dyDescent="0.2">
      <c r="G316" s="2188"/>
      <c r="BS316" s="379"/>
      <c r="BT316" s="379"/>
      <c r="BU316" s="379"/>
      <c r="BV316" s="379"/>
      <c r="BW316" s="379"/>
      <c r="BX316" s="379"/>
      <c r="BY316" s="379"/>
      <c r="BZ316" s="379"/>
      <c r="CA316" s="379"/>
      <c r="CB316" s="379"/>
      <c r="CC316" s="379"/>
      <c r="CD316" s="379"/>
      <c r="CE316" s="379"/>
      <c r="CF316" s="379"/>
      <c r="CG316" s="34"/>
      <c r="CH316" s="34"/>
      <c r="CI316" s="34"/>
      <c r="CJ316" s="34"/>
      <c r="CK316" s="34"/>
      <c r="CL316" s="34"/>
      <c r="CM316" s="34"/>
      <c r="CN316" s="34"/>
      <c r="CO316" s="34"/>
      <c r="CP316" s="34"/>
      <c r="CQ316" s="34"/>
      <c r="CR316" s="34"/>
      <c r="CS316" s="34"/>
    </row>
    <row r="317" spans="7:97" s="246" customFormat="1" x14ac:dyDescent="0.2">
      <c r="G317" s="2188"/>
      <c r="BS317" s="379"/>
      <c r="BT317" s="379"/>
      <c r="BU317" s="379"/>
      <c r="BV317" s="379"/>
      <c r="BW317" s="379"/>
      <c r="BX317" s="379"/>
      <c r="BY317" s="379"/>
      <c r="BZ317" s="379"/>
      <c r="CA317" s="379"/>
      <c r="CB317" s="379"/>
      <c r="CC317" s="379"/>
      <c r="CD317" s="379"/>
      <c r="CE317" s="379"/>
      <c r="CF317" s="379"/>
      <c r="CG317" s="34"/>
      <c r="CH317" s="34"/>
      <c r="CI317" s="34"/>
      <c r="CJ317" s="34"/>
      <c r="CK317" s="34"/>
      <c r="CL317" s="34"/>
      <c r="CM317" s="34"/>
      <c r="CN317" s="34"/>
      <c r="CO317" s="34"/>
      <c r="CP317" s="34"/>
      <c r="CQ317" s="34"/>
      <c r="CR317" s="34"/>
      <c r="CS317" s="34"/>
    </row>
    <row r="318" spans="7:97" s="246" customFormat="1" x14ac:dyDescent="0.2">
      <c r="G318" s="2188"/>
      <c r="BS318" s="379"/>
      <c r="BT318" s="379"/>
      <c r="BU318" s="379"/>
      <c r="BV318" s="379"/>
      <c r="BW318" s="379"/>
      <c r="BX318" s="379"/>
      <c r="BY318" s="379"/>
      <c r="BZ318" s="379"/>
      <c r="CA318" s="379"/>
      <c r="CB318" s="379"/>
      <c r="CC318" s="379"/>
      <c r="CD318" s="379"/>
      <c r="CE318" s="379"/>
      <c r="CF318" s="379"/>
      <c r="CG318" s="34"/>
      <c r="CH318" s="34"/>
      <c r="CI318" s="34"/>
      <c r="CJ318" s="34"/>
      <c r="CK318" s="34"/>
      <c r="CL318" s="34"/>
      <c r="CM318" s="34"/>
      <c r="CN318" s="34"/>
      <c r="CO318" s="34"/>
      <c r="CP318" s="34"/>
      <c r="CQ318" s="34"/>
      <c r="CR318" s="34"/>
      <c r="CS318" s="34"/>
    </row>
    <row r="319" spans="7:97" s="246" customFormat="1" x14ac:dyDescent="0.2">
      <c r="G319" s="2188"/>
      <c r="BS319" s="379"/>
      <c r="BT319" s="379"/>
      <c r="BU319" s="379"/>
      <c r="BV319" s="379"/>
      <c r="BW319" s="379"/>
      <c r="BX319" s="379"/>
      <c r="BY319" s="379"/>
      <c r="BZ319" s="379"/>
      <c r="CA319" s="379"/>
      <c r="CB319" s="379"/>
      <c r="CC319" s="379"/>
      <c r="CD319" s="379"/>
      <c r="CE319" s="379"/>
      <c r="CF319" s="379"/>
      <c r="CG319" s="34"/>
      <c r="CH319" s="34"/>
      <c r="CI319" s="34"/>
      <c r="CJ319" s="34"/>
      <c r="CK319" s="34"/>
      <c r="CL319" s="34"/>
      <c r="CM319" s="34"/>
      <c r="CN319" s="34"/>
      <c r="CO319" s="34"/>
      <c r="CP319" s="34"/>
      <c r="CQ319" s="34"/>
      <c r="CR319" s="34"/>
      <c r="CS319" s="34"/>
    </row>
    <row r="320" spans="7:97" s="246" customFormat="1" x14ac:dyDescent="0.2">
      <c r="G320" s="2188"/>
      <c r="BS320" s="379"/>
      <c r="BT320" s="379"/>
      <c r="BU320" s="379"/>
      <c r="BV320" s="379"/>
      <c r="BW320" s="379"/>
      <c r="BX320" s="379"/>
      <c r="BY320" s="379"/>
      <c r="BZ320" s="379"/>
      <c r="CA320" s="379"/>
      <c r="CB320" s="379"/>
      <c r="CC320" s="379"/>
      <c r="CD320" s="379"/>
      <c r="CE320" s="379"/>
      <c r="CF320" s="379"/>
      <c r="CG320" s="34"/>
      <c r="CH320" s="34"/>
      <c r="CI320" s="34"/>
      <c r="CJ320" s="34"/>
      <c r="CK320" s="34"/>
      <c r="CL320" s="34"/>
      <c r="CM320" s="34"/>
      <c r="CN320" s="34"/>
      <c r="CO320" s="34"/>
      <c r="CP320" s="34"/>
      <c r="CQ320" s="34"/>
      <c r="CR320" s="34"/>
      <c r="CS320" s="34"/>
    </row>
    <row r="321" spans="7:97" s="246" customFormat="1" x14ac:dyDescent="0.2">
      <c r="G321" s="2188"/>
      <c r="BS321" s="379"/>
      <c r="BT321" s="379"/>
      <c r="BU321" s="379"/>
      <c r="BV321" s="379"/>
      <c r="BW321" s="379"/>
      <c r="BX321" s="379"/>
      <c r="BY321" s="379"/>
      <c r="BZ321" s="379"/>
      <c r="CA321" s="379"/>
      <c r="CB321" s="379"/>
      <c r="CC321" s="379"/>
      <c r="CD321" s="379"/>
      <c r="CE321" s="379"/>
      <c r="CF321" s="379"/>
      <c r="CG321" s="34"/>
      <c r="CH321" s="34"/>
      <c r="CI321" s="34"/>
      <c r="CJ321" s="34"/>
      <c r="CK321" s="34"/>
      <c r="CL321" s="34"/>
      <c r="CM321" s="34"/>
      <c r="CN321" s="34"/>
      <c r="CO321" s="34"/>
      <c r="CP321" s="34"/>
      <c r="CQ321" s="34"/>
      <c r="CR321" s="34"/>
      <c r="CS321" s="34"/>
    </row>
    <row r="322" spans="7:97" s="246" customFormat="1" x14ac:dyDescent="0.2">
      <c r="G322" s="2188"/>
      <c r="BS322" s="379"/>
      <c r="BT322" s="379"/>
      <c r="BU322" s="379"/>
      <c r="BV322" s="379"/>
      <c r="BW322" s="379"/>
      <c r="BX322" s="379"/>
      <c r="BY322" s="379"/>
      <c r="BZ322" s="379"/>
      <c r="CA322" s="379"/>
      <c r="CB322" s="379"/>
      <c r="CC322" s="379"/>
      <c r="CD322" s="379"/>
      <c r="CE322" s="379"/>
      <c r="CF322" s="379"/>
      <c r="CG322" s="34"/>
      <c r="CH322" s="34"/>
      <c r="CI322" s="34"/>
      <c r="CJ322" s="34"/>
      <c r="CK322" s="34"/>
      <c r="CL322" s="34"/>
      <c r="CM322" s="34"/>
      <c r="CN322" s="34"/>
      <c r="CO322" s="34"/>
      <c r="CP322" s="34"/>
      <c r="CQ322" s="34"/>
      <c r="CR322" s="34"/>
      <c r="CS322" s="34"/>
    </row>
    <row r="323" spans="7:97" s="246" customFormat="1" x14ac:dyDescent="0.2">
      <c r="G323" s="2188"/>
      <c r="BS323" s="379"/>
      <c r="BT323" s="379"/>
      <c r="BU323" s="379"/>
      <c r="BV323" s="379"/>
      <c r="BW323" s="379"/>
      <c r="BX323" s="379"/>
      <c r="BY323" s="379"/>
      <c r="BZ323" s="379"/>
      <c r="CA323" s="379"/>
      <c r="CB323" s="379"/>
      <c r="CC323" s="379"/>
      <c r="CD323" s="379"/>
      <c r="CE323" s="379"/>
      <c r="CF323" s="379"/>
      <c r="CG323" s="34"/>
      <c r="CH323" s="34"/>
      <c r="CI323" s="34"/>
      <c r="CJ323" s="34"/>
      <c r="CK323" s="34"/>
      <c r="CL323" s="34"/>
      <c r="CM323" s="34"/>
      <c r="CN323" s="34"/>
      <c r="CO323" s="34"/>
      <c r="CP323" s="34"/>
      <c r="CQ323" s="34"/>
      <c r="CR323" s="34"/>
      <c r="CS323" s="34"/>
    </row>
    <row r="324" spans="7:97" s="246" customFormat="1" x14ac:dyDescent="0.2">
      <c r="G324" s="2188"/>
      <c r="BS324" s="379"/>
      <c r="BT324" s="379"/>
      <c r="BU324" s="379"/>
      <c r="BV324" s="379"/>
      <c r="BW324" s="379"/>
      <c r="BX324" s="379"/>
      <c r="BY324" s="379"/>
      <c r="BZ324" s="379"/>
      <c r="CA324" s="379"/>
      <c r="CB324" s="379"/>
      <c r="CC324" s="379"/>
      <c r="CD324" s="379"/>
      <c r="CE324" s="379"/>
      <c r="CF324" s="379"/>
      <c r="CG324" s="34"/>
      <c r="CH324" s="34"/>
      <c r="CI324" s="34"/>
      <c r="CJ324" s="34"/>
      <c r="CK324" s="34"/>
      <c r="CL324" s="34"/>
      <c r="CM324" s="34"/>
      <c r="CN324" s="34"/>
      <c r="CO324" s="34"/>
      <c r="CP324" s="34"/>
      <c r="CQ324" s="34"/>
      <c r="CR324" s="34"/>
      <c r="CS324" s="34"/>
    </row>
    <row r="325" spans="7:97" s="246" customFormat="1" x14ac:dyDescent="0.2">
      <c r="G325" s="2188"/>
      <c r="BS325" s="379"/>
      <c r="BT325" s="379"/>
      <c r="BU325" s="379"/>
      <c r="BV325" s="379"/>
      <c r="BW325" s="379"/>
      <c r="BX325" s="379"/>
      <c r="BY325" s="379"/>
      <c r="BZ325" s="379"/>
      <c r="CA325" s="379"/>
      <c r="CB325" s="379"/>
      <c r="CC325" s="379"/>
      <c r="CD325" s="379"/>
      <c r="CE325" s="379"/>
      <c r="CF325" s="379"/>
      <c r="CG325" s="34"/>
      <c r="CH325" s="34"/>
      <c r="CI325" s="34"/>
      <c r="CJ325" s="34"/>
      <c r="CK325" s="34"/>
      <c r="CL325" s="34"/>
      <c r="CM325" s="34"/>
      <c r="CN325" s="34"/>
      <c r="CO325" s="34"/>
      <c r="CP325" s="34"/>
      <c r="CQ325" s="34"/>
      <c r="CR325" s="34"/>
      <c r="CS325" s="34"/>
    </row>
    <row r="326" spans="7:97" s="246" customFormat="1" x14ac:dyDescent="0.2">
      <c r="G326" s="2188"/>
      <c r="BS326" s="379"/>
      <c r="BT326" s="379"/>
      <c r="BU326" s="379"/>
      <c r="BV326" s="379"/>
      <c r="BW326" s="379"/>
      <c r="BX326" s="379"/>
      <c r="BY326" s="379"/>
      <c r="BZ326" s="379"/>
      <c r="CA326" s="379"/>
      <c r="CB326" s="379"/>
      <c r="CC326" s="379"/>
      <c r="CD326" s="379"/>
      <c r="CE326" s="379"/>
      <c r="CF326" s="379"/>
      <c r="CG326" s="34"/>
      <c r="CH326" s="34"/>
      <c r="CI326" s="34"/>
      <c r="CJ326" s="34"/>
      <c r="CK326" s="34"/>
      <c r="CL326" s="34"/>
      <c r="CM326" s="34"/>
      <c r="CN326" s="34"/>
      <c r="CO326" s="34"/>
      <c r="CP326" s="34"/>
      <c r="CQ326" s="34"/>
      <c r="CR326" s="34"/>
      <c r="CS326" s="34"/>
    </row>
    <row r="327" spans="7:97" s="246" customFormat="1" x14ac:dyDescent="0.2">
      <c r="G327" s="2188"/>
      <c r="BS327" s="379"/>
      <c r="BT327" s="379"/>
      <c r="BU327" s="379"/>
      <c r="BV327" s="379"/>
      <c r="BW327" s="379"/>
      <c r="BX327" s="379"/>
      <c r="BY327" s="379"/>
      <c r="BZ327" s="379"/>
      <c r="CA327" s="379"/>
      <c r="CB327" s="379"/>
      <c r="CC327" s="379"/>
      <c r="CD327" s="379"/>
      <c r="CE327" s="379"/>
      <c r="CF327" s="379"/>
      <c r="CG327" s="34"/>
      <c r="CH327" s="34"/>
      <c r="CI327" s="34"/>
      <c r="CJ327" s="34"/>
      <c r="CK327" s="34"/>
      <c r="CL327" s="34"/>
      <c r="CM327" s="34"/>
      <c r="CN327" s="34"/>
      <c r="CO327" s="34"/>
      <c r="CP327" s="34"/>
      <c r="CQ327" s="34"/>
      <c r="CR327" s="34"/>
      <c r="CS327" s="34"/>
    </row>
    <row r="328" spans="7:97" s="246" customFormat="1" x14ac:dyDescent="0.2">
      <c r="G328" s="2188"/>
      <c r="BS328" s="379"/>
      <c r="BT328" s="379"/>
      <c r="BU328" s="379"/>
      <c r="BV328" s="379"/>
      <c r="BW328" s="379"/>
      <c r="BX328" s="379"/>
      <c r="BY328" s="379"/>
      <c r="BZ328" s="379"/>
      <c r="CA328" s="379"/>
      <c r="CB328" s="379"/>
      <c r="CC328" s="379"/>
      <c r="CD328" s="379"/>
      <c r="CE328" s="379"/>
      <c r="CF328" s="379"/>
      <c r="CG328" s="34"/>
      <c r="CH328" s="34"/>
      <c r="CI328" s="34"/>
      <c r="CJ328" s="34"/>
      <c r="CK328" s="34"/>
      <c r="CL328" s="34"/>
      <c r="CM328" s="34"/>
      <c r="CN328" s="34"/>
      <c r="CO328" s="34"/>
      <c r="CP328" s="34"/>
      <c r="CQ328" s="34"/>
      <c r="CR328" s="34"/>
      <c r="CS328" s="34"/>
    </row>
    <row r="329" spans="7:97" s="246" customFormat="1" x14ac:dyDescent="0.2">
      <c r="G329" s="2188"/>
      <c r="BS329" s="379"/>
      <c r="BT329" s="379"/>
      <c r="BU329" s="379"/>
      <c r="BV329" s="379"/>
      <c r="BW329" s="379"/>
      <c r="BX329" s="379"/>
      <c r="BY329" s="379"/>
      <c r="BZ329" s="379"/>
      <c r="CA329" s="379"/>
      <c r="CB329" s="379"/>
      <c r="CC329" s="379"/>
      <c r="CD329" s="379"/>
      <c r="CE329" s="379"/>
      <c r="CF329" s="379"/>
      <c r="CG329" s="34"/>
      <c r="CH329" s="34"/>
      <c r="CI329" s="34"/>
      <c r="CJ329" s="34"/>
      <c r="CK329" s="34"/>
      <c r="CL329" s="34"/>
      <c r="CM329" s="34"/>
      <c r="CN329" s="34"/>
      <c r="CO329" s="34"/>
      <c r="CP329" s="34"/>
      <c r="CQ329" s="34"/>
      <c r="CR329" s="34"/>
      <c r="CS329" s="34"/>
    </row>
    <row r="330" spans="7:97" s="246" customFormat="1" x14ac:dyDescent="0.2">
      <c r="G330" s="2188"/>
      <c r="BS330" s="379"/>
      <c r="BT330" s="379"/>
      <c r="BU330" s="379"/>
      <c r="BV330" s="379"/>
      <c r="BW330" s="379"/>
      <c r="BX330" s="379"/>
      <c r="BY330" s="379"/>
      <c r="BZ330" s="379"/>
      <c r="CA330" s="379"/>
      <c r="CB330" s="379"/>
      <c r="CC330" s="379"/>
      <c r="CD330" s="379"/>
      <c r="CE330" s="379"/>
      <c r="CF330" s="379"/>
      <c r="CG330" s="34"/>
      <c r="CH330" s="34"/>
      <c r="CI330" s="34"/>
      <c r="CJ330" s="34"/>
      <c r="CK330" s="34"/>
      <c r="CL330" s="34"/>
      <c r="CM330" s="34"/>
      <c r="CN330" s="34"/>
      <c r="CO330" s="34"/>
      <c r="CP330" s="34"/>
      <c r="CQ330" s="34"/>
      <c r="CR330" s="34"/>
      <c r="CS330" s="34"/>
    </row>
    <row r="331" spans="7:97" s="246" customFormat="1" x14ac:dyDescent="0.2">
      <c r="G331" s="2188"/>
      <c r="BS331" s="379"/>
      <c r="BT331" s="379"/>
      <c r="BU331" s="379"/>
      <c r="BV331" s="379"/>
      <c r="BW331" s="379"/>
      <c r="BX331" s="379"/>
      <c r="BY331" s="379"/>
      <c r="BZ331" s="379"/>
      <c r="CA331" s="379"/>
      <c r="CB331" s="379"/>
      <c r="CC331" s="379"/>
      <c r="CD331" s="379"/>
      <c r="CE331" s="379"/>
      <c r="CF331" s="379"/>
      <c r="CG331" s="34"/>
      <c r="CH331" s="34"/>
      <c r="CI331" s="34"/>
      <c r="CJ331" s="34"/>
      <c r="CK331" s="34"/>
      <c r="CL331" s="34"/>
      <c r="CM331" s="34"/>
      <c r="CN331" s="34"/>
      <c r="CO331" s="34"/>
      <c r="CP331" s="34"/>
      <c r="CQ331" s="34"/>
      <c r="CR331" s="34"/>
      <c r="CS331" s="34"/>
    </row>
    <row r="332" spans="7:97" s="246" customFormat="1" x14ac:dyDescent="0.2">
      <c r="G332" s="2188"/>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row>
    <row r="333" spans="7:97" s="246" customFormat="1" x14ac:dyDescent="0.2">
      <c r="G333" s="2188"/>
      <c r="BS333" s="34"/>
      <c r="BT333" s="34"/>
      <c r="BU333" s="34"/>
      <c r="BV333" s="34"/>
      <c r="BW333" s="34"/>
      <c r="BX333" s="34"/>
      <c r="BY333" s="34"/>
      <c r="BZ333" s="34"/>
      <c r="CA333" s="34"/>
      <c r="CB333" s="34"/>
      <c r="CC333" s="34"/>
      <c r="CD333" s="34"/>
      <c r="CE333" s="34"/>
      <c r="CF333" s="34"/>
      <c r="CG333" s="34"/>
      <c r="CH333" s="34"/>
      <c r="CI333" s="34"/>
      <c r="CJ333" s="34"/>
      <c r="CK333" s="34"/>
      <c r="CL333" s="34"/>
      <c r="CM333" s="34"/>
      <c r="CN333" s="34"/>
      <c r="CO333" s="34"/>
      <c r="CP333" s="34"/>
      <c r="CQ333" s="34"/>
      <c r="CR333" s="34"/>
      <c r="CS333" s="34"/>
    </row>
    <row r="334" spans="7:97" s="246" customFormat="1" x14ac:dyDescent="0.2">
      <c r="G334" s="2188"/>
      <c r="BS334" s="34"/>
      <c r="BT334" s="34"/>
      <c r="BU334" s="34"/>
      <c r="BV334" s="34"/>
      <c r="BW334" s="34"/>
      <c r="BX334" s="34"/>
      <c r="BY334" s="34"/>
      <c r="BZ334" s="34"/>
      <c r="CA334" s="34"/>
      <c r="CB334" s="34"/>
      <c r="CC334" s="34"/>
      <c r="CD334" s="34"/>
      <c r="CE334" s="34"/>
      <c r="CF334" s="34"/>
      <c r="CG334" s="34"/>
      <c r="CH334" s="34"/>
      <c r="CI334" s="34"/>
      <c r="CJ334" s="34"/>
      <c r="CK334" s="34"/>
      <c r="CL334" s="34"/>
      <c r="CM334" s="34"/>
      <c r="CN334" s="34"/>
      <c r="CO334" s="34"/>
      <c r="CP334" s="34"/>
      <c r="CQ334" s="34"/>
      <c r="CR334" s="34"/>
      <c r="CS334" s="34"/>
    </row>
    <row r="335" spans="7:97" s="246" customFormat="1" x14ac:dyDescent="0.2">
      <c r="G335" s="2188"/>
      <c r="BS335" s="34"/>
      <c r="BT335" s="34"/>
      <c r="BU335" s="34"/>
      <c r="BV335" s="34"/>
      <c r="BW335" s="34"/>
      <c r="BX335" s="34"/>
      <c r="BY335" s="34"/>
      <c r="BZ335" s="34"/>
      <c r="CA335" s="34"/>
      <c r="CB335" s="34"/>
      <c r="CC335" s="34"/>
      <c r="CD335" s="34"/>
      <c r="CE335" s="34"/>
      <c r="CF335" s="34"/>
      <c r="CG335" s="34"/>
      <c r="CH335" s="34"/>
      <c r="CI335" s="34"/>
      <c r="CJ335" s="34"/>
      <c r="CK335" s="34"/>
      <c r="CL335" s="34"/>
      <c r="CM335" s="34"/>
      <c r="CN335" s="34"/>
      <c r="CO335" s="34"/>
      <c r="CP335" s="34"/>
      <c r="CQ335" s="34"/>
      <c r="CR335" s="34"/>
      <c r="CS335" s="34"/>
    </row>
    <row r="336" spans="7:97" s="246" customFormat="1" x14ac:dyDescent="0.2">
      <c r="G336" s="2188"/>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row>
    <row r="337" spans="7:97" s="246" customFormat="1" x14ac:dyDescent="0.2">
      <c r="G337" s="2188"/>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row>
    <row r="338" spans="7:97" s="246" customFormat="1" x14ac:dyDescent="0.2">
      <c r="G338" s="2188"/>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row>
    <row r="339" spans="7:97" s="246" customFormat="1" x14ac:dyDescent="0.2">
      <c r="G339" s="2188"/>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row>
    <row r="340" spans="7:97" s="246" customFormat="1" x14ac:dyDescent="0.2">
      <c r="G340" s="2188"/>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row>
    <row r="341" spans="7:97" s="246" customFormat="1" x14ac:dyDescent="0.2">
      <c r="G341" s="2188"/>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row>
    <row r="342" spans="7:97" s="246" customFormat="1" x14ac:dyDescent="0.2">
      <c r="G342" s="2188"/>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row>
    <row r="343" spans="7:97" s="246" customFormat="1" x14ac:dyDescent="0.2">
      <c r="G343" s="2188"/>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row>
    <row r="344" spans="7:97" s="246" customFormat="1" x14ac:dyDescent="0.2">
      <c r="G344" s="2188"/>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row>
    <row r="345" spans="7:97" s="246" customFormat="1" x14ac:dyDescent="0.2">
      <c r="G345" s="2188"/>
      <c r="BS345" s="34"/>
      <c r="BT345" s="34"/>
      <c r="BU345" s="34"/>
      <c r="BV345" s="34"/>
      <c r="BW345" s="34"/>
      <c r="BX345" s="34"/>
      <c r="BY345" s="34"/>
      <c r="BZ345" s="34"/>
      <c r="CA345" s="34"/>
      <c r="CB345" s="34"/>
      <c r="CC345" s="34"/>
      <c r="CD345" s="34"/>
      <c r="CE345" s="34"/>
      <c r="CF345" s="34"/>
      <c r="CG345" s="34"/>
      <c r="CH345" s="34"/>
      <c r="CI345" s="34"/>
      <c r="CJ345" s="34"/>
      <c r="CK345" s="34"/>
      <c r="CL345" s="34"/>
      <c r="CM345" s="34"/>
      <c r="CN345" s="34"/>
      <c r="CO345" s="34"/>
      <c r="CP345" s="34"/>
      <c r="CQ345" s="34"/>
      <c r="CR345" s="34"/>
      <c r="CS345" s="34"/>
    </row>
    <row r="346" spans="7:97" s="246" customFormat="1" x14ac:dyDescent="0.2">
      <c r="G346" s="2188"/>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row>
    <row r="347" spans="7:97" s="246" customFormat="1" x14ac:dyDescent="0.2">
      <c r="G347" s="2188"/>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row>
    <row r="348" spans="7:97" s="246" customFormat="1" x14ac:dyDescent="0.2">
      <c r="G348" s="2188"/>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row>
    <row r="349" spans="7:97" s="246" customFormat="1" x14ac:dyDescent="0.2">
      <c r="G349" s="2188"/>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row>
    <row r="350" spans="7:97" s="246" customFormat="1" x14ac:dyDescent="0.2">
      <c r="G350" s="2188"/>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row>
    <row r="351" spans="7:97" s="246" customFormat="1" x14ac:dyDescent="0.2">
      <c r="G351" s="2188"/>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row>
    <row r="352" spans="7:97" s="246" customFormat="1" x14ac:dyDescent="0.2">
      <c r="G352" s="2188"/>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row>
    <row r="353" spans="7:97" s="246" customFormat="1" x14ac:dyDescent="0.2">
      <c r="G353" s="2188"/>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row>
    <row r="354" spans="7:97" s="246" customFormat="1" x14ac:dyDescent="0.2">
      <c r="G354" s="2188"/>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row>
    <row r="355" spans="7:97" s="246" customFormat="1" x14ac:dyDescent="0.2">
      <c r="G355" s="2188"/>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row>
    <row r="356" spans="7:97" s="246" customFormat="1" x14ac:dyDescent="0.2">
      <c r="G356" s="2188"/>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row>
    <row r="357" spans="7:97" s="246" customFormat="1" x14ac:dyDescent="0.2">
      <c r="G357" s="2188"/>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row>
    <row r="358" spans="7:97" s="246" customFormat="1" x14ac:dyDescent="0.2">
      <c r="G358" s="2188"/>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row>
    <row r="359" spans="7:97" s="246" customFormat="1" x14ac:dyDescent="0.2">
      <c r="G359" s="2188"/>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row>
    <row r="360" spans="7:97" s="246" customFormat="1" x14ac:dyDescent="0.2">
      <c r="G360" s="2188"/>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row>
    <row r="361" spans="7:97" s="246" customFormat="1" x14ac:dyDescent="0.2">
      <c r="G361" s="2188"/>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row>
    <row r="362" spans="7:97" s="246" customFormat="1" x14ac:dyDescent="0.2">
      <c r="G362" s="2188"/>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row>
    <row r="363" spans="7:97" s="246" customFormat="1" x14ac:dyDescent="0.2">
      <c r="G363" s="2188"/>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row>
    <row r="364" spans="7:97" s="246" customFormat="1" x14ac:dyDescent="0.2">
      <c r="G364" s="2188"/>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row>
    <row r="365" spans="7:97" s="246" customFormat="1" x14ac:dyDescent="0.2">
      <c r="G365" s="2188"/>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row>
    <row r="366" spans="7:97" s="246" customFormat="1" x14ac:dyDescent="0.2">
      <c r="G366" s="2188"/>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row>
    <row r="367" spans="7:97" s="246" customFormat="1" x14ac:dyDescent="0.2">
      <c r="G367" s="2188"/>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row>
    <row r="368" spans="7:97" s="246" customFormat="1" x14ac:dyDescent="0.2">
      <c r="G368" s="2188"/>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row>
    <row r="369" spans="7:97" s="246" customFormat="1" x14ac:dyDescent="0.2">
      <c r="G369" s="2188"/>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row>
    <row r="370" spans="7:97" s="246" customFormat="1" x14ac:dyDescent="0.2">
      <c r="G370" s="2188"/>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row>
    <row r="371" spans="7:97" s="246" customFormat="1" x14ac:dyDescent="0.2">
      <c r="G371" s="2188"/>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row>
    <row r="372" spans="7:97" s="246" customFormat="1" x14ac:dyDescent="0.2">
      <c r="G372" s="2188"/>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row>
    <row r="373" spans="7:97" s="246" customFormat="1" x14ac:dyDescent="0.2">
      <c r="G373" s="2188"/>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row>
    <row r="374" spans="7:97" s="246" customFormat="1" x14ac:dyDescent="0.2">
      <c r="G374" s="2188"/>
      <c r="BS374" s="34"/>
      <c r="BT374" s="34"/>
      <c r="BU374" s="34"/>
      <c r="BV374" s="34"/>
      <c r="BW374" s="34"/>
      <c r="BX374" s="34"/>
      <c r="BY374" s="34"/>
      <c r="BZ374" s="34"/>
      <c r="CA374" s="34"/>
      <c r="CB374" s="34"/>
      <c r="CC374" s="34"/>
      <c r="CD374" s="34"/>
      <c r="CE374" s="34"/>
      <c r="CF374" s="34"/>
      <c r="CG374" s="34"/>
      <c r="CH374" s="34"/>
      <c r="CI374" s="34"/>
      <c r="CJ374" s="34"/>
      <c r="CK374" s="34"/>
      <c r="CL374" s="34"/>
      <c r="CM374" s="34"/>
      <c r="CN374" s="34"/>
      <c r="CO374" s="34"/>
      <c r="CP374" s="34"/>
      <c r="CQ374" s="34"/>
      <c r="CR374" s="34"/>
      <c r="CS374" s="34"/>
    </row>
    <row r="375" spans="7:97" s="246" customFormat="1" x14ac:dyDescent="0.2">
      <c r="G375" s="2188"/>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row>
    <row r="376" spans="7:97" s="246" customFormat="1" x14ac:dyDescent="0.2">
      <c r="G376" s="2188"/>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row>
    <row r="377" spans="7:97" s="246" customFormat="1" x14ac:dyDescent="0.2">
      <c r="G377" s="2188"/>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row>
    <row r="378" spans="7:97" s="246" customFormat="1" x14ac:dyDescent="0.2">
      <c r="G378" s="2188"/>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row>
    <row r="379" spans="7:97" s="246" customFormat="1" x14ac:dyDescent="0.2">
      <c r="G379" s="2188"/>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row>
    <row r="380" spans="7:97" s="246" customFormat="1" x14ac:dyDescent="0.2">
      <c r="G380" s="2188"/>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row>
    <row r="381" spans="7:97" s="246" customFormat="1" x14ac:dyDescent="0.2">
      <c r="G381" s="2188"/>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row>
    <row r="382" spans="7:97" s="246" customFormat="1" x14ac:dyDescent="0.2">
      <c r="G382" s="2188"/>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row>
    <row r="383" spans="7:97" s="246" customFormat="1" x14ac:dyDescent="0.2">
      <c r="G383" s="2188"/>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row>
    <row r="384" spans="7:97" s="246" customFormat="1" x14ac:dyDescent="0.2">
      <c r="G384" s="2188"/>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row>
    <row r="385" spans="7:97" s="246" customFormat="1" x14ac:dyDescent="0.2">
      <c r="G385" s="2188"/>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row>
    <row r="386" spans="7:97" s="246" customFormat="1" x14ac:dyDescent="0.2">
      <c r="G386" s="2188"/>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row>
    <row r="387" spans="7:97" s="246" customFormat="1" x14ac:dyDescent="0.2">
      <c r="G387" s="2188"/>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row>
    <row r="388" spans="7:97" s="246" customFormat="1" x14ac:dyDescent="0.2">
      <c r="G388" s="2188"/>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row>
    <row r="389" spans="7:97" s="246" customFormat="1" x14ac:dyDescent="0.2">
      <c r="G389" s="2188"/>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row>
    <row r="390" spans="7:97" s="246" customFormat="1" x14ac:dyDescent="0.2">
      <c r="G390" s="2188"/>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row>
    <row r="391" spans="7:97" s="246" customFormat="1" x14ac:dyDescent="0.2">
      <c r="G391" s="2188"/>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row>
    <row r="392" spans="7:97" s="246" customFormat="1" x14ac:dyDescent="0.2">
      <c r="G392" s="2188"/>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row>
    <row r="393" spans="7:97" s="246" customFormat="1" x14ac:dyDescent="0.2">
      <c r="G393" s="2188"/>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row>
    <row r="394" spans="7:97" s="246" customFormat="1" x14ac:dyDescent="0.2">
      <c r="G394" s="2188"/>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row>
    <row r="395" spans="7:97" s="246" customFormat="1" x14ac:dyDescent="0.2">
      <c r="G395" s="2188"/>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row>
    <row r="396" spans="7:97" s="246" customFormat="1" x14ac:dyDescent="0.2">
      <c r="G396" s="2188"/>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row>
    <row r="397" spans="7:97" s="246" customFormat="1" x14ac:dyDescent="0.2">
      <c r="G397" s="2188"/>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row>
    <row r="398" spans="7:97" s="246" customFormat="1" x14ac:dyDescent="0.2">
      <c r="G398" s="2188"/>
      <c r="BS398" s="34"/>
      <c r="BT398" s="34"/>
      <c r="BU398" s="34"/>
      <c r="BV398" s="34"/>
      <c r="BW398" s="34"/>
      <c r="BX398" s="34"/>
      <c r="BY398" s="34"/>
      <c r="BZ398" s="34"/>
      <c r="CA398" s="34"/>
      <c r="CB398" s="34"/>
      <c r="CC398" s="34"/>
      <c r="CD398" s="34"/>
      <c r="CE398" s="34"/>
      <c r="CF398" s="34"/>
      <c r="CG398" s="34"/>
      <c r="CH398" s="34"/>
      <c r="CI398" s="34"/>
      <c r="CJ398" s="34"/>
      <c r="CK398" s="34"/>
      <c r="CL398" s="34"/>
      <c r="CM398" s="34"/>
      <c r="CN398" s="34"/>
      <c r="CO398" s="34"/>
      <c r="CP398" s="34"/>
      <c r="CQ398" s="34"/>
      <c r="CR398" s="34"/>
      <c r="CS398" s="34"/>
    </row>
    <row r="399" spans="7:97" s="246" customFormat="1" x14ac:dyDescent="0.2">
      <c r="G399" s="2188"/>
      <c r="BS399" s="34"/>
      <c r="BT399" s="34"/>
      <c r="BU399" s="34"/>
      <c r="BV399" s="34"/>
      <c r="BW399" s="34"/>
      <c r="BX399" s="34"/>
      <c r="BY399" s="34"/>
      <c r="BZ399" s="34"/>
      <c r="CA399" s="34"/>
      <c r="CB399" s="34"/>
      <c r="CC399" s="34"/>
      <c r="CD399" s="34"/>
      <c r="CE399" s="34"/>
      <c r="CF399" s="34"/>
      <c r="CG399" s="34"/>
      <c r="CH399" s="34"/>
      <c r="CI399" s="34"/>
      <c r="CJ399" s="34"/>
      <c r="CK399" s="34"/>
      <c r="CL399" s="34"/>
      <c r="CM399" s="34"/>
      <c r="CN399" s="34"/>
      <c r="CO399" s="34"/>
      <c r="CP399" s="34"/>
      <c r="CQ399" s="34"/>
      <c r="CR399" s="34"/>
      <c r="CS399" s="34"/>
    </row>
    <row r="400" spans="7:97" s="246" customFormat="1" x14ac:dyDescent="0.2">
      <c r="G400" s="2188"/>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row>
    <row r="401" spans="7:97" s="246" customFormat="1" x14ac:dyDescent="0.2">
      <c r="G401" s="2188"/>
      <c r="BS401" s="34"/>
      <c r="BT401" s="34"/>
      <c r="BU401" s="34"/>
      <c r="BV401" s="34"/>
      <c r="BW401" s="34"/>
      <c r="BX401" s="34"/>
      <c r="BY401" s="34"/>
      <c r="BZ401" s="34"/>
      <c r="CA401" s="34"/>
      <c r="CB401" s="34"/>
      <c r="CC401" s="34"/>
      <c r="CD401" s="34"/>
      <c r="CE401" s="34"/>
      <c r="CF401" s="34"/>
      <c r="CG401" s="34"/>
      <c r="CH401" s="34"/>
      <c r="CI401" s="34"/>
      <c r="CJ401" s="34"/>
      <c r="CK401" s="34"/>
      <c r="CL401" s="34"/>
      <c r="CM401" s="34"/>
      <c r="CN401" s="34"/>
      <c r="CO401" s="34"/>
      <c r="CP401" s="34"/>
      <c r="CQ401" s="34"/>
      <c r="CR401" s="34"/>
      <c r="CS401" s="34"/>
    </row>
    <row r="402" spans="7:97" s="246" customFormat="1" x14ac:dyDescent="0.2">
      <c r="G402" s="2188"/>
      <c r="BS402" s="34"/>
      <c r="BT402" s="34"/>
      <c r="BU402" s="34"/>
      <c r="BV402" s="34"/>
      <c r="BW402" s="34"/>
      <c r="BX402" s="34"/>
      <c r="BY402" s="34"/>
      <c r="BZ402" s="34"/>
      <c r="CA402" s="34"/>
      <c r="CB402" s="34"/>
      <c r="CC402" s="34"/>
      <c r="CD402" s="34"/>
      <c r="CE402" s="34"/>
      <c r="CF402" s="34"/>
      <c r="CG402" s="34"/>
      <c r="CH402" s="34"/>
      <c r="CI402" s="34"/>
      <c r="CJ402" s="34"/>
      <c r="CK402" s="34"/>
      <c r="CL402" s="34"/>
      <c r="CM402" s="34"/>
      <c r="CN402" s="34"/>
      <c r="CO402" s="34"/>
      <c r="CP402" s="34"/>
      <c r="CQ402" s="34"/>
      <c r="CR402" s="34"/>
      <c r="CS402" s="34"/>
    </row>
    <row r="403" spans="7:97" s="246" customFormat="1" x14ac:dyDescent="0.2">
      <c r="G403" s="2188"/>
      <c r="BS403" s="34"/>
      <c r="BT403" s="34"/>
      <c r="BU403" s="34"/>
      <c r="BV403" s="34"/>
      <c r="BW403" s="34"/>
      <c r="BX403" s="34"/>
      <c r="BY403" s="34"/>
      <c r="BZ403" s="34"/>
      <c r="CA403" s="34"/>
      <c r="CB403" s="34"/>
      <c r="CC403" s="34"/>
      <c r="CD403" s="34"/>
      <c r="CE403" s="34"/>
      <c r="CF403" s="34"/>
      <c r="CG403" s="34"/>
      <c r="CH403" s="34"/>
      <c r="CI403" s="34"/>
      <c r="CJ403" s="34"/>
      <c r="CK403" s="34"/>
      <c r="CL403" s="34"/>
      <c r="CM403" s="34"/>
      <c r="CN403" s="34"/>
      <c r="CO403" s="34"/>
      <c r="CP403" s="34"/>
      <c r="CQ403" s="34"/>
      <c r="CR403" s="34"/>
      <c r="CS403" s="34"/>
    </row>
    <row r="404" spans="7:97" s="246" customFormat="1" x14ac:dyDescent="0.2">
      <c r="G404" s="2188"/>
      <c r="BS404" s="34"/>
      <c r="BT404" s="34"/>
      <c r="BU404" s="34"/>
      <c r="BV404" s="34"/>
      <c r="BW404" s="34"/>
      <c r="BX404" s="34"/>
      <c r="BY404" s="34"/>
      <c r="BZ404" s="34"/>
      <c r="CA404" s="34"/>
      <c r="CB404" s="34"/>
      <c r="CC404" s="34"/>
      <c r="CD404" s="34"/>
      <c r="CE404" s="34"/>
      <c r="CF404" s="34"/>
      <c r="CG404" s="34"/>
      <c r="CH404" s="34"/>
      <c r="CI404" s="34"/>
      <c r="CJ404" s="34"/>
      <c r="CK404" s="34"/>
      <c r="CL404" s="34"/>
      <c r="CM404" s="34"/>
      <c r="CN404" s="34"/>
      <c r="CO404" s="34"/>
      <c r="CP404" s="34"/>
      <c r="CQ404" s="34"/>
      <c r="CR404" s="34"/>
      <c r="CS404" s="34"/>
    </row>
    <row r="405" spans="7:97" s="246" customFormat="1" x14ac:dyDescent="0.2">
      <c r="G405" s="2188"/>
      <c r="BS405" s="34"/>
      <c r="BT405" s="34"/>
      <c r="BU405" s="34"/>
      <c r="BV405" s="34"/>
      <c r="BW405" s="34"/>
      <c r="BX405" s="34"/>
      <c r="BY405" s="34"/>
      <c r="BZ405" s="34"/>
      <c r="CA405" s="34"/>
      <c r="CB405" s="34"/>
      <c r="CC405" s="34"/>
      <c r="CD405" s="34"/>
      <c r="CE405" s="34"/>
      <c r="CF405" s="34"/>
      <c r="CG405" s="34"/>
      <c r="CH405" s="34"/>
      <c r="CI405" s="34"/>
      <c r="CJ405" s="34"/>
      <c r="CK405" s="34"/>
      <c r="CL405" s="34"/>
      <c r="CM405" s="34"/>
      <c r="CN405" s="34"/>
      <c r="CO405" s="34"/>
      <c r="CP405" s="34"/>
      <c r="CQ405" s="34"/>
      <c r="CR405" s="34"/>
      <c r="CS405" s="34"/>
    </row>
    <row r="406" spans="7:97" s="246" customFormat="1" x14ac:dyDescent="0.2">
      <c r="G406" s="2188"/>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row>
    <row r="407" spans="7:97" s="246" customFormat="1" x14ac:dyDescent="0.2">
      <c r="G407" s="2188"/>
      <c r="BS407" s="34"/>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row>
    <row r="408" spans="7:97" s="246" customFormat="1" x14ac:dyDescent="0.2">
      <c r="G408" s="2188"/>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row>
    <row r="409" spans="7:97" s="246" customFormat="1" x14ac:dyDescent="0.2">
      <c r="G409" s="2188"/>
      <c r="BS409" s="34"/>
      <c r="BT409" s="34"/>
      <c r="BU409" s="34"/>
      <c r="BV409" s="34"/>
      <c r="BW409" s="34"/>
      <c r="BX409" s="34"/>
      <c r="BY409" s="34"/>
      <c r="BZ409" s="34"/>
      <c r="CA409" s="34"/>
      <c r="CB409" s="34"/>
      <c r="CC409" s="34"/>
      <c r="CD409" s="34"/>
      <c r="CE409" s="34"/>
      <c r="CF409" s="34"/>
      <c r="CG409" s="34"/>
      <c r="CH409" s="34"/>
      <c r="CI409" s="34"/>
      <c r="CJ409" s="34"/>
      <c r="CK409" s="34"/>
      <c r="CL409" s="34"/>
      <c r="CM409" s="34"/>
      <c r="CN409" s="34"/>
      <c r="CO409" s="34"/>
      <c r="CP409" s="34"/>
      <c r="CQ409" s="34"/>
      <c r="CR409" s="34"/>
      <c r="CS409" s="34"/>
    </row>
    <row r="410" spans="7:97" s="246" customFormat="1" x14ac:dyDescent="0.2">
      <c r="G410" s="2188"/>
      <c r="BS410" s="34"/>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row>
    <row r="411" spans="7:97" s="246" customFormat="1" x14ac:dyDescent="0.2">
      <c r="G411" s="2188"/>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row>
    <row r="412" spans="7:97" s="246" customFormat="1" x14ac:dyDescent="0.2">
      <c r="G412" s="2188"/>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row>
    <row r="413" spans="7:97" s="246" customFormat="1" x14ac:dyDescent="0.2">
      <c r="G413" s="2188"/>
      <c r="BS413" s="34"/>
      <c r="BT413" s="34"/>
      <c r="BU413" s="34"/>
      <c r="BV413" s="34"/>
      <c r="BW413" s="34"/>
      <c r="BX413" s="34"/>
      <c r="BY413" s="34"/>
      <c r="BZ413" s="34"/>
      <c r="CA413" s="34"/>
      <c r="CB413" s="34"/>
      <c r="CC413" s="34"/>
      <c r="CD413" s="34"/>
      <c r="CE413" s="34"/>
      <c r="CF413" s="34"/>
      <c r="CG413" s="34"/>
      <c r="CH413" s="34"/>
      <c r="CI413" s="34"/>
      <c r="CJ413" s="34"/>
      <c r="CK413" s="34"/>
      <c r="CL413" s="34"/>
      <c r="CM413" s="34"/>
      <c r="CN413" s="34"/>
      <c r="CO413" s="34"/>
      <c r="CP413" s="34"/>
      <c r="CQ413" s="34"/>
      <c r="CR413" s="34"/>
      <c r="CS413" s="34"/>
    </row>
    <row r="414" spans="7:97" s="246" customFormat="1" x14ac:dyDescent="0.2">
      <c r="G414" s="2188"/>
      <c r="BS414" s="34"/>
      <c r="BT414" s="34"/>
      <c r="BU414" s="34"/>
      <c r="BV414" s="34"/>
      <c r="BW414" s="34"/>
      <c r="BX414" s="34"/>
      <c r="BY414" s="34"/>
      <c r="BZ414" s="34"/>
      <c r="CA414" s="34"/>
      <c r="CB414" s="34"/>
      <c r="CC414" s="34"/>
      <c r="CD414" s="34"/>
      <c r="CE414" s="34"/>
      <c r="CF414" s="34"/>
      <c r="CG414" s="34"/>
      <c r="CH414" s="34"/>
      <c r="CI414" s="34"/>
      <c r="CJ414" s="34"/>
      <c r="CK414" s="34"/>
      <c r="CL414" s="34"/>
      <c r="CM414" s="34"/>
      <c r="CN414" s="34"/>
      <c r="CO414" s="34"/>
      <c r="CP414" s="34"/>
      <c r="CQ414" s="34"/>
      <c r="CR414" s="34"/>
      <c r="CS414" s="34"/>
    </row>
    <row r="415" spans="7:97" s="246" customFormat="1" x14ac:dyDescent="0.2">
      <c r="G415" s="2188"/>
      <c r="BS415" s="34"/>
      <c r="BT415" s="34"/>
      <c r="BU415" s="34"/>
      <c r="BV415" s="34"/>
      <c r="BW415" s="34"/>
      <c r="BX415" s="34"/>
      <c r="BY415" s="34"/>
      <c r="BZ415" s="34"/>
      <c r="CA415" s="34"/>
      <c r="CB415" s="34"/>
      <c r="CC415" s="34"/>
      <c r="CD415" s="34"/>
      <c r="CE415" s="34"/>
      <c r="CF415" s="34"/>
      <c r="CG415" s="34"/>
      <c r="CH415" s="34"/>
      <c r="CI415" s="34"/>
      <c r="CJ415" s="34"/>
      <c r="CK415" s="34"/>
      <c r="CL415" s="34"/>
      <c r="CM415" s="34"/>
      <c r="CN415" s="34"/>
      <c r="CO415" s="34"/>
      <c r="CP415" s="34"/>
      <c r="CQ415" s="34"/>
      <c r="CR415" s="34"/>
      <c r="CS415" s="34"/>
    </row>
    <row r="416" spans="7:97" s="246" customFormat="1" x14ac:dyDescent="0.2">
      <c r="G416" s="2188"/>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row>
    <row r="417" spans="7:97" s="246" customFormat="1" x14ac:dyDescent="0.2">
      <c r="G417" s="2188"/>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row>
    <row r="418" spans="7:97" s="246" customFormat="1" x14ac:dyDescent="0.2">
      <c r="G418" s="2188"/>
      <c r="BS418" s="34"/>
      <c r="BT418" s="34"/>
      <c r="BU418" s="34"/>
      <c r="BV418" s="34"/>
      <c r="BW418" s="34"/>
      <c r="BX418" s="34"/>
      <c r="BY418" s="34"/>
      <c r="BZ418" s="34"/>
      <c r="CA418" s="34"/>
      <c r="CB418" s="34"/>
      <c r="CC418" s="34"/>
      <c r="CD418" s="34"/>
      <c r="CE418" s="34"/>
      <c r="CF418" s="34"/>
      <c r="CG418" s="34"/>
      <c r="CH418" s="34"/>
      <c r="CI418" s="34"/>
      <c r="CJ418" s="34"/>
      <c r="CK418" s="34"/>
      <c r="CL418" s="34"/>
      <c r="CM418" s="34"/>
      <c r="CN418" s="34"/>
      <c r="CO418" s="34"/>
      <c r="CP418" s="34"/>
      <c r="CQ418" s="34"/>
      <c r="CR418" s="34"/>
      <c r="CS418" s="34"/>
    </row>
    <row r="419" spans="7:97" s="246" customFormat="1" x14ac:dyDescent="0.2">
      <c r="G419" s="2188"/>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row>
    <row r="420" spans="7:97" s="246" customFormat="1" x14ac:dyDescent="0.2">
      <c r="G420" s="2188"/>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row>
    <row r="421" spans="7:97" s="246" customFormat="1" x14ac:dyDescent="0.2">
      <c r="G421" s="2188"/>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row>
    <row r="422" spans="7:97" s="246" customFormat="1" x14ac:dyDescent="0.2">
      <c r="G422" s="2188"/>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row>
    <row r="423" spans="7:97" s="246" customFormat="1" x14ac:dyDescent="0.2">
      <c r="G423" s="2188"/>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row>
    <row r="424" spans="7:97" s="246" customFormat="1" x14ac:dyDescent="0.2">
      <c r="G424" s="2188"/>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row>
    <row r="425" spans="7:97" s="246" customFormat="1" x14ac:dyDescent="0.2">
      <c r="G425" s="2188"/>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row>
    <row r="426" spans="7:97" s="246" customFormat="1" x14ac:dyDescent="0.2">
      <c r="G426" s="2188"/>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row>
    <row r="427" spans="7:97" s="246" customFormat="1" x14ac:dyDescent="0.2">
      <c r="G427" s="2188"/>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row>
    <row r="428" spans="7:97" s="246" customFormat="1" x14ac:dyDescent="0.2">
      <c r="G428" s="2188"/>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row>
    <row r="429" spans="7:97" s="246" customFormat="1" x14ac:dyDescent="0.2">
      <c r="G429" s="2188"/>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row>
    <row r="430" spans="7:97" s="246" customFormat="1" x14ac:dyDescent="0.2">
      <c r="G430" s="2188"/>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row>
    <row r="431" spans="7:97" s="246" customFormat="1" x14ac:dyDescent="0.2">
      <c r="G431" s="2188"/>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row>
    <row r="432" spans="7:97" s="246" customFormat="1" x14ac:dyDescent="0.2">
      <c r="G432" s="2188"/>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row>
    <row r="433" spans="7:97" s="246" customFormat="1" x14ac:dyDescent="0.2">
      <c r="G433" s="2188"/>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row>
    <row r="434" spans="7:97" s="246" customFormat="1" x14ac:dyDescent="0.2">
      <c r="G434" s="2188"/>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row>
    <row r="435" spans="7:97" s="246" customFormat="1" x14ac:dyDescent="0.2">
      <c r="G435" s="2188"/>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row>
    <row r="436" spans="7:97" s="246" customFormat="1" x14ac:dyDescent="0.2">
      <c r="G436" s="2188"/>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row>
    <row r="437" spans="7:97" s="246" customFormat="1" x14ac:dyDescent="0.2">
      <c r="G437" s="2188"/>
      <c r="BS437" s="34"/>
      <c r="BT437" s="34"/>
      <c r="BU437" s="34"/>
      <c r="BV437" s="34"/>
      <c r="BW437" s="34"/>
      <c r="BX437" s="34"/>
      <c r="BY437" s="34"/>
      <c r="BZ437" s="34"/>
      <c r="CA437" s="34"/>
      <c r="CB437" s="34"/>
      <c r="CC437" s="34"/>
      <c r="CD437" s="34"/>
      <c r="CE437" s="34"/>
      <c r="CF437" s="34"/>
      <c r="CG437" s="34"/>
      <c r="CH437" s="34"/>
      <c r="CI437" s="34"/>
      <c r="CJ437" s="34"/>
      <c r="CK437" s="34"/>
      <c r="CL437" s="34"/>
      <c r="CM437" s="34"/>
      <c r="CN437" s="34"/>
      <c r="CO437" s="34"/>
      <c r="CP437" s="34"/>
      <c r="CQ437" s="34"/>
      <c r="CR437" s="34"/>
      <c r="CS437" s="34"/>
    </row>
    <row r="438" spans="7:97" s="246" customFormat="1" x14ac:dyDescent="0.2">
      <c r="G438" s="2188"/>
      <c r="BS438" s="34"/>
      <c r="BT438" s="34"/>
      <c r="BU438" s="34"/>
      <c r="BV438" s="34"/>
      <c r="BW438" s="34"/>
      <c r="BX438" s="34"/>
      <c r="BY438" s="34"/>
      <c r="BZ438" s="34"/>
      <c r="CA438" s="34"/>
      <c r="CB438" s="34"/>
      <c r="CC438" s="34"/>
      <c r="CD438" s="34"/>
      <c r="CE438" s="34"/>
      <c r="CF438" s="34"/>
      <c r="CG438" s="34"/>
      <c r="CH438" s="34"/>
      <c r="CI438" s="34"/>
      <c r="CJ438" s="34"/>
      <c r="CK438" s="34"/>
      <c r="CL438" s="34"/>
      <c r="CM438" s="34"/>
      <c r="CN438" s="34"/>
      <c r="CO438" s="34"/>
      <c r="CP438" s="34"/>
      <c r="CQ438" s="34"/>
      <c r="CR438" s="34"/>
      <c r="CS438" s="34"/>
    </row>
    <row r="439" spans="7:97" s="246" customFormat="1" x14ac:dyDescent="0.2">
      <c r="G439" s="2188"/>
      <c r="BS439" s="34"/>
      <c r="BT439" s="34"/>
      <c r="BU439" s="34"/>
      <c r="BV439" s="34"/>
      <c r="BW439" s="34"/>
      <c r="BX439" s="34"/>
      <c r="BY439" s="34"/>
      <c r="BZ439" s="34"/>
      <c r="CA439" s="34"/>
      <c r="CB439" s="34"/>
      <c r="CC439" s="34"/>
      <c r="CD439" s="34"/>
      <c r="CE439" s="34"/>
      <c r="CF439" s="34"/>
      <c r="CG439" s="34"/>
      <c r="CH439" s="34"/>
      <c r="CI439" s="34"/>
      <c r="CJ439" s="34"/>
      <c r="CK439" s="34"/>
      <c r="CL439" s="34"/>
      <c r="CM439" s="34"/>
      <c r="CN439" s="34"/>
      <c r="CO439" s="34"/>
      <c r="CP439" s="34"/>
      <c r="CQ439" s="34"/>
      <c r="CR439" s="34"/>
      <c r="CS439" s="34"/>
    </row>
    <row r="440" spans="7:97" s="246" customFormat="1" x14ac:dyDescent="0.2">
      <c r="G440" s="2188"/>
      <c r="BS440" s="34"/>
      <c r="BT440" s="34"/>
      <c r="BU440" s="34"/>
      <c r="BV440" s="34"/>
      <c r="BW440" s="34"/>
      <c r="BX440" s="34"/>
      <c r="BY440" s="34"/>
      <c r="BZ440" s="34"/>
      <c r="CA440" s="34"/>
      <c r="CB440" s="34"/>
      <c r="CC440" s="34"/>
      <c r="CD440" s="34"/>
      <c r="CE440" s="34"/>
      <c r="CF440" s="34"/>
      <c r="CG440" s="34"/>
      <c r="CH440" s="34"/>
      <c r="CI440" s="34"/>
      <c r="CJ440" s="34"/>
      <c r="CK440" s="34"/>
      <c r="CL440" s="34"/>
      <c r="CM440" s="34"/>
      <c r="CN440" s="34"/>
      <c r="CO440" s="34"/>
      <c r="CP440" s="34"/>
      <c r="CQ440" s="34"/>
      <c r="CR440" s="34"/>
      <c r="CS440" s="34"/>
    </row>
    <row r="441" spans="7:97" s="246" customFormat="1" x14ac:dyDescent="0.2">
      <c r="G441" s="2188"/>
      <c r="BS441" s="34"/>
      <c r="BT441" s="34"/>
      <c r="BU441" s="34"/>
      <c r="BV441" s="34"/>
      <c r="BW441" s="34"/>
      <c r="BX441" s="34"/>
      <c r="BY441" s="34"/>
      <c r="BZ441" s="34"/>
      <c r="CA441" s="34"/>
      <c r="CB441" s="34"/>
      <c r="CC441" s="34"/>
      <c r="CD441" s="34"/>
      <c r="CE441" s="34"/>
      <c r="CF441" s="34"/>
      <c r="CG441" s="34"/>
      <c r="CH441" s="34"/>
      <c r="CI441" s="34"/>
      <c r="CJ441" s="34"/>
      <c r="CK441" s="34"/>
      <c r="CL441" s="34"/>
      <c r="CM441" s="34"/>
      <c r="CN441" s="34"/>
      <c r="CO441" s="34"/>
      <c r="CP441" s="34"/>
      <c r="CQ441" s="34"/>
      <c r="CR441" s="34"/>
      <c r="CS441" s="34"/>
    </row>
    <row r="442" spans="7:97" s="246" customFormat="1" x14ac:dyDescent="0.2">
      <c r="G442" s="2188"/>
      <c r="BS442" s="34"/>
      <c r="BT442" s="34"/>
      <c r="BU442" s="34"/>
      <c r="BV442" s="34"/>
      <c r="BW442" s="34"/>
      <c r="BX442" s="34"/>
      <c r="BY442" s="34"/>
      <c r="BZ442" s="34"/>
      <c r="CA442" s="34"/>
      <c r="CB442" s="34"/>
      <c r="CC442" s="34"/>
      <c r="CD442" s="34"/>
      <c r="CE442" s="34"/>
      <c r="CF442" s="34"/>
      <c r="CG442" s="34"/>
      <c r="CH442" s="34"/>
      <c r="CI442" s="34"/>
      <c r="CJ442" s="34"/>
      <c r="CK442" s="34"/>
      <c r="CL442" s="34"/>
      <c r="CM442" s="34"/>
      <c r="CN442" s="34"/>
      <c r="CO442" s="34"/>
      <c r="CP442" s="34"/>
      <c r="CQ442" s="34"/>
      <c r="CR442" s="34"/>
      <c r="CS442" s="34"/>
    </row>
    <row r="443" spans="7:97" s="246" customFormat="1" x14ac:dyDescent="0.2">
      <c r="G443" s="2188"/>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row>
    <row r="444" spans="7:97" s="246" customFormat="1" x14ac:dyDescent="0.2">
      <c r="G444" s="2188"/>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row>
    <row r="445" spans="7:97" s="246" customFormat="1" x14ac:dyDescent="0.2">
      <c r="G445" s="2188"/>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row>
    <row r="446" spans="7:97" s="246" customFormat="1" x14ac:dyDescent="0.2">
      <c r="G446" s="2188"/>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row>
    <row r="447" spans="7:97" s="246" customFormat="1" x14ac:dyDescent="0.2">
      <c r="G447" s="2188"/>
      <c r="BS447" s="34"/>
      <c r="BT447" s="34"/>
      <c r="BU447" s="34"/>
      <c r="BV447" s="34"/>
      <c r="BW447" s="34"/>
      <c r="BX447" s="34"/>
      <c r="BY447" s="34"/>
      <c r="BZ447" s="34"/>
      <c r="CA447" s="34"/>
      <c r="CB447" s="34"/>
      <c r="CC447" s="34"/>
      <c r="CD447" s="34"/>
      <c r="CE447" s="34"/>
      <c r="CF447" s="34"/>
      <c r="CG447" s="34"/>
      <c r="CH447" s="34"/>
      <c r="CI447" s="34"/>
      <c r="CJ447" s="34"/>
      <c r="CK447" s="34"/>
      <c r="CL447" s="34"/>
      <c r="CM447" s="34"/>
      <c r="CN447" s="34"/>
      <c r="CO447" s="34"/>
      <c r="CP447" s="34"/>
      <c r="CQ447" s="34"/>
      <c r="CR447" s="34"/>
      <c r="CS447" s="34"/>
    </row>
    <row r="448" spans="7:97" s="246" customFormat="1" x14ac:dyDescent="0.2">
      <c r="G448" s="2188"/>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row>
    <row r="449" spans="7:97" s="246" customFormat="1" x14ac:dyDescent="0.2">
      <c r="G449" s="2188"/>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row>
    <row r="450" spans="7:97" s="246" customFormat="1" x14ac:dyDescent="0.2">
      <c r="G450" s="2188"/>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row>
    <row r="451" spans="7:97" s="246" customFormat="1" x14ac:dyDescent="0.2">
      <c r="G451" s="2188"/>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row>
    <row r="452" spans="7:97" s="246" customFormat="1" x14ac:dyDescent="0.2">
      <c r="G452" s="2188"/>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row>
    <row r="453" spans="7:97" s="246" customFormat="1" x14ac:dyDescent="0.2">
      <c r="G453" s="2188"/>
      <c r="BS453" s="34"/>
      <c r="BT453" s="34"/>
      <c r="BU453" s="34"/>
      <c r="BV453" s="34"/>
      <c r="BW453" s="34"/>
      <c r="BX453" s="34"/>
      <c r="BY453" s="34"/>
      <c r="BZ453" s="34"/>
      <c r="CA453" s="34"/>
      <c r="CB453" s="34"/>
      <c r="CC453" s="34"/>
      <c r="CD453" s="34"/>
      <c r="CE453" s="34"/>
      <c r="CF453" s="34"/>
      <c r="CG453" s="34"/>
      <c r="CH453" s="34"/>
      <c r="CI453" s="34"/>
      <c r="CJ453" s="34"/>
      <c r="CK453" s="34"/>
      <c r="CL453" s="34"/>
      <c r="CM453" s="34"/>
      <c r="CN453" s="34"/>
      <c r="CO453" s="34"/>
      <c r="CP453" s="34"/>
      <c r="CQ453" s="34"/>
      <c r="CR453" s="34"/>
      <c r="CS453" s="34"/>
    </row>
    <row r="454" spans="7:97" s="246" customFormat="1" x14ac:dyDescent="0.2">
      <c r="G454" s="2188"/>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row>
    <row r="455" spans="7:97" s="246" customFormat="1" x14ac:dyDescent="0.2">
      <c r="G455" s="2188"/>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row>
    <row r="456" spans="7:97" s="246" customFormat="1" x14ac:dyDescent="0.2">
      <c r="G456" s="2188"/>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row>
    <row r="457" spans="7:97" s="246" customFormat="1" x14ac:dyDescent="0.2">
      <c r="G457" s="2188"/>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row>
    <row r="458" spans="7:97" s="246" customFormat="1" x14ac:dyDescent="0.2">
      <c r="G458" s="2188"/>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row>
    <row r="459" spans="7:97" s="246" customFormat="1" x14ac:dyDescent="0.2">
      <c r="G459" s="2188"/>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row>
    <row r="460" spans="7:97" s="246" customFormat="1" x14ac:dyDescent="0.2">
      <c r="G460" s="2188"/>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row>
    <row r="461" spans="7:97" s="246" customFormat="1" x14ac:dyDescent="0.2">
      <c r="G461" s="2188"/>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row>
    <row r="462" spans="7:97" s="246" customFormat="1" x14ac:dyDescent="0.2">
      <c r="G462" s="2188"/>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row>
    <row r="463" spans="7:97" s="246" customFormat="1" x14ac:dyDescent="0.2">
      <c r="G463" s="2188"/>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row>
    <row r="464" spans="7:97" s="246" customFormat="1" x14ac:dyDescent="0.2">
      <c r="G464" s="2188"/>
      <c r="BS464" s="34"/>
      <c r="BT464" s="34"/>
      <c r="BU464" s="34"/>
      <c r="BV464" s="34"/>
      <c r="BW464" s="34"/>
      <c r="BX464" s="34"/>
      <c r="BY464" s="34"/>
      <c r="BZ464" s="34"/>
      <c r="CA464" s="34"/>
      <c r="CB464" s="34"/>
      <c r="CC464" s="34"/>
      <c r="CD464" s="34"/>
      <c r="CE464" s="34"/>
      <c r="CF464" s="34"/>
      <c r="CG464" s="34"/>
      <c r="CH464" s="34"/>
      <c r="CI464" s="34"/>
      <c r="CJ464" s="34"/>
      <c r="CK464" s="34"/>
      <c r="CL464" s="34"/>
      <c r="CM464" s="34"/>
      <c r="CN464" s="34"/>
      <c r="CO464" s="34"/>
      <c r="CP464" s="34"/>
      <c r="CQ464" s="34"/>
      <c r="CR464" s="34"/>
      <c r="CS464" s="34"/>
    </row>
    <row r="465" spans="7:97" s="246" customFormat="1" x14ac:dyDescent="0.2">
      <c r="G465" s="2188"/>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row>
    <row r="466" spans="7:97" s="246" customFormat="1" x14ac:dyDescent="0.2">
      <c r="G466" s="2188"/>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row>
    <row r="467" spans="7:97" s="246" customFormat="1" x14ac:dyDescent="0.2">
      <c r="G467" s="2188"/>
      <c r="BS467" s="34"/>
      <c r="BT467" s="34"/>
      <c r="BU467" s="34"/>
      <c r="BV467" s="34"/>
      <c r="BW467" s="34"/>
      <c r="BX467" s="34"/>
      <c r="BY467" s="34"/>
      <c r="BZ467" s="34"/>
      <c r="CA467" s="34"/>
      <c r="CB467" s="34"/>
      <c r="CC467" s="34"/>
      <c r="CD467" s="34"/>
      <c r="CE467" s="34"/>
      <c r="CF467" s="34"/>
      <c r="CG467" s="34"/>
      <c r="CH467" s="34"/>
      <c r="CI467" s="34"/>
      <c r="CJ467" s="34"/>
      <c r="CK467" s="34"/>
      <c r="CL467" s="34"/>
      <c r="CM467" s="34"/>
      <c r="CN467" s="34"/>
      <c r="CO467" s="34"/>
      <c r="CP467" s="34"/>
      <c r="CQ467" s="34"/>
      <c r="CR467" s="34"/>
      <c r="CS467" s="34"/>
    </row>
    <row r="468" spans="7:97" s="246" customFormat="1" x14ac:dyDescent="0.2">
      <c r="G468" s="2188"/>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row>
    <row r="469" spans="7:97" s="246" customFormat="1" x14ac:dyDescent="0.2">
      <c r="G469" s="2188"/>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row>
    <row r="470" spans="7:97" s="246" customFormat="1" x14ac:dyDescent="0.2">
      <c r="G470" s="2188"/>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row>
    <row r="471" spans="7:97" s="246" customFormat="1" x14ac:dyDescent="0.2">
      <c r="G471" s="2188"/>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row>
    <row r="472" spans="7:97" s="246" customFormat="1" x14ac:dyDescent="0.2">
      <c r="G472" s="2188"/>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row>
    <row r="473" spans="7:97" s="246" customFormat="1" x14ac:dyDescent="0.2">
      <c r="G473" s="2188"/>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row>
    <row r="474" spans="7:97" s="246" customFormat="1" x14ac:dyDescent="0.2">
      <c r="G474" s="2188"/>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row>
    <row r="475" spans="7:97" s="246" customFormat="1" x14ac:dyDescent="0.2">
      <c r="G475" s="2188"/>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row>
    <row r="476" spans="7:97" s="246" customFormat="1" x14ac:dyDescent="0.2">
      <c r="G476" s="2188"/>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row>
    <row r="477" spans="7:97" s="246" customFormat="1" x14ac:dyDescent="0.2">
      <c r="G477" s="2188"/>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row>
    <row r="478" spans="7:97" s="246" customFormat="1" x14ac:dyDescent="0.2">
      <c r="G478" s="2188"/>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row>
    <row r="479" spans="7:97" s="246" customFormat="1" x14ac:dyDescent="0.2">
      <c r="G479" s="2188"/>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row>
    <row r="480" spans="7:97" s="246" customFormat="1" x14ac:dyDescent="0.2">
      <c r="G480" s="2188"/>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row>
    <row r="481" spans="7:97" s="246" customFormat="1" x14ac:dyDescent="0.2">
      <c r="G481" s="2188"/>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row>
    <row r="482" spans="7:97" s="246" customFormat="1" x14ac:dyDescent="0.2">
      <c r="G482" s="2188"/>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row>
    <row r="483" spans="7:97" s="246" customFormat="1" x14ac:dyDescent="0.2">
      <c r="G483" s="2188"/>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row>
    <row r="484" spans="7:97" s="246" customFormat="1" x14ac:dyDescent="0.2">
      <c r="G484" s="2188"/>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row>
    <row r="485" spans="7:97" s="246" customFormat="1" x14ac:dyDescent="0.2">
      <c r="G485" s="2188"/>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row>
    <row r="486" spans="7:97" s="246" customFormat="1" x14ac:dyDescent="0.2">
      <c r="G486" s="2188"/>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row>
    <row r="487" spans="7:97" s="246" customFormat="1" x14ac:dyDescent="0.2">
      <c r="G487" s="2188"/>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row>
    <row r="488" spans="7:97" s="246" customFormat="1" x14ac:dyDescent="0.2">
      <c r="G488" s="2188"/>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row>
    <row r="489" spans="7:97" s="246" customFormat="1" x14ac:dyDescent="0.2">
      <c r="G489" s="2188"/>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row>
    <row r="490" spans="7:97" s="246" customFormat="1" x14ac:dyDescent="0.2">
      <c r="G490" s="2188"/>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row>
    <row r="491" spans="7:97" s="246" customFormat="1" x14ac:dyDescent="0.2">
      <c r="G491" s="2188"/>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row>
    <row r="492" spans="7:97" s="246" customFormat="1" x14ac:dyDescent="0.2">
      <c r="G492" s="2188"/>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row>
    <row r="493" spans="7:97" s="246" customFormat="1" x14ac:dyDescent="0.2">
      <c r="G493" s="2188"/>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row>
    <row r="494" spans="7:97" s="246" customFormat="1" x14ac:dyDescent="0.2">
      <c r="G494" s="2188"/>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row>
    <row r="495" spans="7:97" s="246" customFormat="1" x14ac:dyDescent="0.2">
      <c r="G495" s="2188"/>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row>
    <row r="496" spans="7:97" s="246" customFormat="1" x14ac:dyDescent="0.2">
      <c r="G496" s="2188"/>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row>
    <row r="497" spans="7:97" s="246" customFormat="1" x14ac:dyDescent="0.2">
      <c r="G497" s="2188"/>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row>
    <row r="498" spans="7:97" s="246" customFormat="1" x14ac:dyDescent="0.2">
      <c r="G498" s="2188"/>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row>
    <row r="499" spans="7:97" s="246" customFormat="1" x14ac:dyDescent="0.2">
      <c r="G499" s="2188"/>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row>
    <row r="500" spans="7:97" s="246" customFormat="1" x14ac:dyDescent="0.2">
      <c r="G500" s="2188"/>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row>
    <row r="501" spans="7:97" s="246" customFormat="1" x14ac:dyDescent="0.2">
      <c r="G501" s="2188"/>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row>
    <row r="502" spans="7:97" s="246" customFormat="1" x14ac:dyDescent="0.2">
      <c r="G502" s="2188"/>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row>
    <row r="503" spans="7:97" s="246" customFormat="1" x14ac:dyDescent="0.2">
      <c r="G503" s="2188"/>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row>
    <row r="504" spans="7:97" s="246" customFormat="1" x14ac:dyDescent="0.2">
      <c r="G504" s="2188"/>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row>
    <row r="505" spans="7:97" s="246" customFormat="1" x14ac:dyDescent="0.2">
      <c r="G505" s="2188"/>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row>
    <row r="506" spans="7:97" s="246" customFormat="1" x14ac:dyDescent="0.2">
      <c r="G506" s="2188"/>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row>
    <row r="507" spans="7:97" s="246" customFormat="1" x14ac:dyDescent="0.2">
      <c r="G507" s="2188"/>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row>
    <row r="508" spans="7:97" s="246" customFormat="1" x14ac:dyDescent="0.2">
      <c r="G508" s="2188"/>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row>
    <row r="509" spans="7:97" s="246" customFormat="1" x14ac:dyDescent="0.2">
      <c r="G509" s="2188"/>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row>
    <row r="510" spans="7:97" s="246" customFormat="1" x14ac:dyDescent="0.2">
      <c r="G510" s="2188"/>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row>
    <row r="511" spans="7:97" s="246" customFormat="1" x14ac:dyDescent="0.2">
      <c r="G511" s="2188"/>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row>
    <row r="512" spans="7:97" s="246" customFormat="1" x14ac:dyDescent="0.2">
      <c r="G512" s="2188"/>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row>
    <row r="513" spans="7:97" s="246" customFormat="1" x14ac:dyDescent="0.2">
      <c r="G513" s="2188"/>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row>
    <row r="514" spans="7:97" s="246" customFormat="1" x14ac:dyDescent="0.2">
      <c r="G514" s="2188"/>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row>
    <row r="515" spans="7:97" s="246" customFormat="1" x14ac:dyDescent="0.2">
      <c r="G515" s="2188"/>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row>
    <row r="516" spans="7:97" s="246" customFormat="1" x14ac:dyDescent="0.2">
      <c r="G516" s="2188"/>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row>
    <row r="517" spans="7:97" s="246" customFormat="1" x14ac:dyDescent="0.2">
      <c r="G517" s="2188"/>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row>
    <row r="518" spans="7:97" s="246" customFormat="1" x14ac:dyDescent="0.2">
      <c r="G518" s="2188"/>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row>
    <row r="519" spans="7:97" s="246" customFormat="1" x14ac:dyDescent="0.2">
      <c r="G519" s="2188"/>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row>
    <row r="520" spans="7:97" s="246" customFormat="1" x14ac:dyDescent="0.2">
      <c r="G520" s="2188"/>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row>
    <row r="521" spans="7:97" s="246" customFormat="1" x14ac:dyDescent="0.2">
      <c r="G521" s="2188"/>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row>
    <row r="522" spans="7:97" s="246" customFormat="1" x14ac:dyDescent="0.2">
      <c r="G522" s="2188"/>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row>
    <row r="523" spans="7:97" s="246" customFormat="1" x14ac:dyDescent="0.2">
      <c r="G523" s="2188"/>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row>
    <row r="524" spans="7:97" s="246" customFormat="1" x14ac:dyDescent="0.2">
      <c r="G524" s="2188"/>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row>
    <row r="525" spans="7:97" s="246" customFormat="1" x14ac:dyDescent="0.2">
      <c r="G525" s="2188"/>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row>
    <row r="526" spans="7:97" s="246" customFormat="1" x14ac:dyDescent="0.2">
      <c r="G526" s="2188"/>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row>
    <row r="527" spans="7:97" s="246" customFormat="1" x14ac:dyDescent="0.2">
      <c r="G527" s="2188"/>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row>
    <row r="528" spans="7:97" s="246" customFormat="1" x14ac:dyDescent="0.2">
      <c r="G528" s="2188"/>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row>
    <row r="529" spans="7:97" s="246" customFormat="1" x14ac:dyDescent="0.2">
      <c r="G529" s="2188"/>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row>
    <row r="530" spans="7:97" s="246" customFormat="1" x14ac:dyDescent="0.2">
      <c r="G530" s="2188"/>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row>
    <row r="531" spans="7:97" s="246" customFormat="1" x14ac:dyDescent="0.2">
      <c r="G531" s="2188"/>
      <c r="BS531" s="34"/>
      <c r="BT531" s="34"/>
      <c r="BU531" s="34"/>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row>
    <row r="532" spans="7:97" s="246" customFormat="1" x14ac:dyDescent="0.2">
      <c r="G532" s="2188"/>
      <c r="BS532" s="34"/>
      <c r="BT532" s="34"/>
      <c r="BU532" s="34"/>
      <c r="BV532" s="34"/>
      <c r="BW532" s="34"/>
      <c r="BX532" s="34"/>
      <c r="BY532" s="34"/>
      <c r="BZ532" s="34"/>
      <c r="CA532" s="34"/>
      <c r="CB532" s="34"/>
      <c r="CC532" s="34"/>
      <c r="CD532" s="34"/>
      <c r="CE532" s="34"/>
      <c r="CF532" s="34"/>
      <c r="CG532" s="34"/>
      <c r="CH532" s="34"/>
      <c r="CI532" s="34"/>
      <c r="CJ532" s="34"/>
      <c r="CK532" s="34"/>
      <c r="CL532" s="34"/>
      <c r="CM532" s="34"/>
      <c r="CN532" s="34"/>
      <c r="CO532" s="34"/>
      <c r="CP532" s="34"/>
      <c r="CQ532" s="34"/>
      <c r="CR532" s="34"/>
      <c r="CS532" s="34"/>
    </row>
    <row r="533" spans="7:97" s="246" customFormat="1" x14ac:dyDescent="0.2">
      <c r="G533" s="2188"/>
      <c r="BS533" s="34"/>
      <c r="BT533" s="34"/>
      <c r="BU533" s="34"/>
      <c r="BV533" s="34"/>
      <c r="BW533" s="34"/>
      <c r="BX533" s="34"/>
      <c r="BY533" s="34"/>
      <c r="BZ533" s="34"/>
      <c r="CA533" s="34"/>
      <c r="CB533" s="34"/>
      <c r="CC533" s="34"/>
      <c r="CD533" s="34"/>
      <c r="CE533" s="34"/>
      <c r="CF533" s="34"/>
      <c r="CG533" s="34"/>
      <c r="CH533" s="34"/>
      <c r="CI533" s="34"/>
      <c r="CJ533" s="34"/>
      <c r="CK533" s="34"/>
      <c r="CL533" s="34"/>
      <c r="CM533" s="34"/>
      <c r="CN533" s="34"/>
      <c r="CO533" s="34"/>
      <c r="CP533" s="34"/>
      <c r="CQ533" s="34"/>
      <c r="CR533" s="34"/>
      <c r="CS533" s="34"/>
    </row>
    <row r="534" spans="7:97" s="246" customFormat="1" x14ac:dyDescent="0.2">
      <c r="G534" s="2188"/>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row>
    <row r="535" spans="7:97" s="246" customFormat="1" x14ac:dyDescent="0.2">
      <c r="G535" s="2188"/>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row>
    <row r="536" spans="7:97" s="246" customFormat="1" x14ac:dyDescent="0.2">
      <c r="G536" s="2188"/>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row>
    <row r="537" spans="7:97" s="246" customFormat="1" x14ac:dyDescent="0.2">
      <c r="G537" s="2188"/>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row>
    <row r="538" spans="7:97" s="246" customFormat="1" x14ac:dyDescent="0.2">
      <c r="G538" s="2188"/>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row>
    <row r="539" spans="7:97" s="246" customFormat="1" x14ac:dyDescent="0.2">
      <c r="G539" s="2188"/>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row>
    <row r="540" spans="7:97" s="246" customFormat="1" x14ac:dyDescent="0.2">
      <c r="G540" s="2188"/>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row>
    <row r="541" spans="7:97" s="246" customFormat="1" x14ac:dyDescent="0.2">
      <c r="G541" s="2188"/>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row>
    <row r="542" spans="7:97" s="246" customFormat="1" x14ac:dyDescent="0.2">
      <c r="G542" s="2188"/>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row>
    <row r="543" spans="7:97" s="246" customFormat="1" x14ac:dyDescent="0.2">
      <c r="G543" s="2188"/>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row>
    <row r="544" spans="7:97" s="246" customFormat="1" x14ac:dyDescent="0.2">
      <c r="G544" s="2188"/>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row>
    <row r="545" spans="7:97" s="246" customFormat="1" x14ac:dyDescent="0.2">
      <c r="G545" s="2188"/>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row>
    <row r="546" spans="7:97" s="246" customFormat="1" x14ac:dyDescent="0.2">
      <c r="G546" s="2188"/>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row>
    <row r="547" spans="7:97" s="246" customFormat="1" x14ac:dyDescent="0.2">
      <c r="G547" s="2188"/>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row>
    <row r="548" spans="7:97" s="246" customFormat="1" x14ac:dyDescent="0.2">
      <c r="G548" s="2188"/>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row>
    <row r="549" spans="7:97" s="246" customFormat="1" x14ac:dyDescent="0.2">
      <c r="G549" s="2188"/>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row>
    <row r="550" spans="7:97" s="246" customFormat="1" x14ac:dyDescent="0.2">
      <c r="G550" s="2188"/>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row>
    <row r="551" spans="7:97" s="246" customFormat="1" x14ac:dyDescent="0.2">
      <c r="G551" s="2188"/>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row>
    <row r="552" spans="7:97" s="246" customFormat="1" x14ac:dyDescent="0.2">
      <c r="G552" s="2188"/>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row>
    <row r="553" spans="7:97" s="246" customFormat="1" x14ac:dyDescent="0.2">
      <c r="G553" s="2188"/>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row>
    <row r="554" spans="7:97" s="246" customFormat="1" x14ac:dyDescent="0.2">
      <c r="G554" s="2188"/>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row>
    <row r="555" spans="7:97" s="246" customFormat="1" x14ac:dyDescent="0.2">
      <c r="G555" s="2188"/>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row>
    <row r="556" spans="7:97" s="246" customFormat="1" x14ac:dyDescent="0.2">
      <c r="G556" s="2188"/>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row>
    <row r="557" spans="7:97" s="246" customFormat="1" x14ac:dyDescent="0.2">
      <c r="G557" s="2188"/>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row>
    <row r="558" spans="7:97" s="246" customFormat="1" x14ac:dyDescent="0.2">
      <c r="G558" s="2188"/>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row>
    <row r="559" spans="7:97" s="246" customFormat="1" x14ac:dyDescent="0.2">
      <c r="G559" s="2188"/>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row>
    <row r="560" spans="7:97" s="246" customFormat="1" x14ac:dyDescent="0.2">
      <c r="G560" s="2188"/>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row>
    <row r="561" spans="7:97" s="246" customFormat="1" x14ac:dyDescent="0.2">
      <c r="G561" s="2188"/>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row>
    <row r="562" spans="7:97" s="246" customFormat="1" x14ac:dyDescent="0.2">
      <c r="G562" s="2188"/>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row>
    <row r="563" spans="7:97" s="246" customFormat="1" x14ac:dyDescent="0.2">
      <c r="G563" s="2188"/>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row>
    <row r="564" spans="7:97" s="246" customFormat="1" x14ac:dyDescent="0.2">
      <c r="G564" s="2188"/>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row>
    <row r="565" spans="7:97" s="246" customFormat="1" x14ac:dyDescent="0.2">
      <c r="G565" s="2188"/>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row>
    <row r="566" spans="7:97" s="246" customFormat="1" x14ac:dyDescent="0.2">
      <c r="G566" s="2188"/>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row>
    <row r="567" spans="7:97" s="246" customFormat="1" x14ac:dyDescent="0.2">
      <c r="G567" s="2188"/>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row>
    <row r="568" spans="7:97" s="246" customFormat="1" x14ac:dyDescent="0.2">
      <c r="G568" s="2188"/>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row>
    <row r="569" spans="7:97" s="246" customFormat="1" x14ac:dyDescent="0.2">
      <c r="G569" s="2188"/>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row>
    <row r="570" spans="7:97" s="246" customFormat="1" x14ac:dyDescent="0.2">
      <c r="G570" s="2188"/>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row>
    <row r="571" spans="7:97" s="246" customFormat="1" x14ac:dyDescent="0.2">
      <c r="G571" s="2188"/>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row>
    <row r="572" spans="7:97" s="246" customFormat="1" x14ac:dyDescent="0.2">
      <c r="G572" s="2188"/>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row>
    <row r="573" spans="7:97" s="246" customFormat="1" x14ac:dyDescent="0.2">
      <c r="G573" s="2188"/>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row>
    <row r="574" spans="7:97" s="246" customFormat="1" x14ac:dyDescent="0.2">
      <c r="G574" s="2188"/>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row>
    <row r="575" spans="7:97" s="246" customFormat="1" x14ac:dyDescent="0.2">
      <c r="G575" s="2188"/>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row>
    <row r="576" spans="7:97" s="246" customFormat="1" x14ac:dyDescent="0.2">
      <c r="G576" s="2188"/>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row>
    <row r="577" spans="7:97" s="246" customFormat="1" x14ac:dyDescent="0.2">
      <c r="G577" s="2188"/>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row>
    <row r="578" spans="7:97" s="246" customFormat="1" x14ac:dyDescent="0.2">
      <c r="G578" s="2188"/>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row>
    <row r="579" spans="7:97" s="246" customFormat="1" x14ac:dyDescent="0.2">
      <c r="G579" s="2188"/>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row>
    <row r="580" spans="7:97" s="246" customFormat="1" x14ac:dyDescent="0.2">
      <c r="G580" s="2188"/>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row>
    <row r="581" spans="7:97" s="246" customFormat="1" x14ac:dyDescent="0.2">
      <c r="G581" s="2188"/>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row>
    <row r="582" spans="7:97" s="246" customFormat="1" x14ac:dyDescent="0.2">
      <c r="G582" s="2188"/>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row>
    <row r="583" spans="7:97" s="246" customFormat="1" x14ac:dyDescent="0.2">
      <c r="G583" s="2188"/>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row>
    <row r="584" spans="7:97" s="246" customFormat="1" x14ac:dyDescent="0.2">
      <c r="G584" s="2188"/>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row>
    <row r="585" spans="7:97" s="246" customFormat="1" x14ac:dyDescent="0.2">
      <c r="G585" s="2188"/>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row>
    <row r="586" spans="7:97" s="246" customFormat="1" x14ac:dyDescent="0.2">
      <c r="G586" s="2188"/>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row>
    <row r="587" spans="7:97" s="246" customFormat="1" x14ac:dyDescent="0.2">
      <c r="G587" s="2188"/>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row>
    <row r="588" spans="7:97" s="246" customFormat="1" x14ac:dyDescent="0.2">
      <c r="G588" s="2188"/>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row>
    <row r="589" spans="7:97" s="246" customFormat="1" x14ac:dyDescent="0.2">
      <c r="G589" s="2188"/>
      <c r="BS589" s="34"/>
      <c r="BT589" s="34"/>
      <c r="BU589" s="34"/>
      <c r="BV589" s="34"/>
      <c r="BW589" s="34"/>
      <c r="BX589" s="34"/>
      <c r="BY589" s="34"/>
      <c r="BZ589" s="34"/>
      <c r="CA589" s="34"/>
      <c r="CB589" s="34"/>
      <c r="CC589" s="34"/>
      <c r="CD589" s="34"/>
      <c r="CE589" s="34"/>
      <c r="CF589" s="34"/>
      <c r="CG589" s="34"/>
      <c r="CH589" s="34"/>
      <c r="CI589" s="34"/>
      <c r="CJ589" s="34"/>
      <c r="CK589" s="34"/>
      <c r="CL589" s="34"/>
      <c r="CM589" s="34"/>
      <c r="CN589" s="34"/>
      <c r="CO589" s="34"/>
      <c r="CP589" s="34"/>
      <c r="CQ589" s="34"/>
      <c r="CR589" s="34"/>
      <c r="CS589" s="34"/>
    </row>
    <row r="590" spans="7:97" s="246" customFormat="1" x14ac:dyDescent="0.2">
      <c r="G590" s="2188"/>
      <c r="BS590" s="34"/>
      <c r="BT590" s="34"/>
      <c r="BU590" s="34"/>
      <c r="BV590" s="34"/>
      <c r="BW590" s="34"/>
      <c r="BX590" s="34"/>
      <c r="BY590" s="34"/>
      <c r="BZ590" s="34"/>
      <c r="CA590" s="34"/>
      <c r="CB590" s="34"/>
      <c r="CC590" s="34"/>
      <c r="CD590" s="34"/>
      <c r="CE590" s="34"/>
      <c r="CF590" s="34"/>
      <c r="CG590" s="34"/>
      <c r="CH590" s="34"/>
      <c r="CI590" s="34"/>
      <c r="CJ590" s="34"/>
      <c r="CK590" s="34"/>
      <c r="CL590" s="34"/>
      <c r="CM590" s="34"/>
      <c r="CN590" s="34"/>
      <c r="CO590" s="34"/>
      <c r="CP590" s="34"/>
      <c r="CQ590" s="34"/>
      <c r="CR590" s="34"/>
      <c r="CS590" s="34"/>
    </row>
    <row r="591" spans="7:97" s="246" customFormat="1" x14ac:dyDescent="0.2">
      <c r="G591" s="2188"/>
      <c r="BS591" s="34"/>
      <c r="BT591" s="34"/>
      <c r="BU591" s="34"/>
      <c r="BV591" s="34"/>
      <c r="BW591" s="34"/>
      <c r="BX591" s="34"/>
      <c r="BY591" s="34"/>
      <c r="BZ591" s="34"/>
      <c r="CA591" s="34"/>
      <c r="CB591" s="34"/>
      <c r="CC591" s="34"/>
      <c r="CD591" s="34"/>
      <c r="CE591" s="34"/>
      <c r="CF591" s="34"/>
      <c r="CG591" s="34"/>
      <c r="CH591" s="34"/>
      <c r="CI591" s="34"/>
      <c r="CJ591" s="34"/>
      <c r="CK591" s="34"/>
      <c r="CL591" s="34"/>
      <c r="CM591" s="34"/>
      <c r="CN591" s="34"/>
      <c r="CO591" s="34"/>
      <c r="CP591" s="34"/>
      <c r="CQ591" s="34"/>
      <c r="CR591" s="34"/>
      <c r="CS591" s="34"/>
    </row>
    <row r="592" spans="7:97" s="246" customFormat="1" x14ac:dyDescent="0.2">
      <c r="G592" s="2188"/>
      <c r="BS592" s="34"/>
      <c r="BT592" s="34"/>
      <c r="BU592" s="34"/>
      <c r="BV592" s="34"/>
      <c r="BW592" s="34"/>
      <c r="BX592" s="34"/>
      <c r="BY592" s="34"/>
      <c r="BZ592" s="34"/>
      <c r="CA592" s="34"/>
      <c r="CB592" s="34"/>
      <c r="CC592" s="34"/>
      <c r="CD592" s="34"/>
      <c r="CE592" s="34"/>
      <c r="CF592" s="34"/>
      <c r="CG592" s="34"/>
      <c r="CH592" s="34"/>
      <c r="CI592" s="34"/>
      <c r="CJ592" s="34"/>
      <c r="CK592" s="34"/>
      <c r="CL592" s="34"/>
      <c r="CM592" s="34"/>
      <c r="CN592" s="34"/>
      <c r="CO592" s="34"/>
      <c r="CP592" s="34"/>
      <c r="CQ592" s="34"/>
      <c r="CR592" s="34"/>
      <c r="CS592" s="34"/>
    </row>
    <row r="593" spans="7:97" s="246" customFormat="1" x14ac:dyDescent="0.2">
      <c r="G593" s="2188"/>
      <c r="BS593" s="34"/>
      <c r="BT593" s="34"/>
      <c r="BU593" s="34"/>
      <c r="BV593" s="34"/>
      <c r="BW593" s="34"/>
      <c r="BX593" s="34"/>
      <c r="BY593" s="34"/>
      <c r="BZ593" s="34"/>
      <c r="CA593" s="34"/>
      <c r="CB593" s="34"/>
      <c r="CC593" s="34"/>
      <c r="CD593" s="34"/>
      <c r="CE593" s="34"/>
      <c r="CF593" s="34"/>
      <c r="CG593" s="34"/>
      <c r="CH593" s="34"/>
      <c r="CI593" s="34"/>
      <c r="CJ593" s="34"/>
      <c r="CK593" s="34"/>
      <c r="CL593" s="34"/>
      <c r="CM593" s="34"/>
      <c r="CN593" s="34"/>
      <c r="CO593" s="34"/>
      <c r="CP593" s="34"/>
      <c r="CQ593" s="34"/>
      <c r="CR593" s="34"/>
      <c r="CS593" s="34"/>
    </row>
    <row r="594" spans="7:97" s="246" customFormat="1" x14ac:dyDescent="0.2">
      <c r="G594" s="2188"/>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row>
    <row r="595" spans="7:97" s="246" customFormat="1" x14ac:dyDescent="0.2">
      <c r="G595" s="2188"/>
      <c r="BS595" s="34"/>
      <c r="BT595" s="34"/>
      <c r="BU595" s="34"/>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row>
    <row r="596" spans="7:97" s="246" customFormat="1" x14ac:dyDescent="0.2">
      <c r="G596" s="2188"/>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row>
    <row r="597" spans="7:97" s="246" customFormat="1" x14ac:dyDescent="0.2">
      <c r="G597" s="2188"/>
      <c r="BS597" s="34"/>
      <c r="BT597" s="34"/>
      <c r="BU597" s="34"/>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row>
    <row r="598" spans="7:97" s="246" customFormat="1" x14ac:dyDescent="0.2">
      <c r="G598" s="2188"/>
      <c r="BS598" s="34"/>
      <c r="BT598" s="34"/>
      <c r="BU598" s="34"/>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row>
    <row r="599" spans="7:97" s="246" customFormat="1" x14ac:dyDescent="0.2">
      <c r="G599" s="2188"/>
      <c r="BS599" s="34"/>
      <c r="BT599" s="34"/>
      <c r="BU599" s="34"/>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row>
    <row r="600" spans="7:97" s="246" customFormat="1" x14ac:dyDescent="0.2">
      <c r="G600" s="2188"/>
      <c r="BS600" s="34"/>
      <c r="BT600" s="34"/>
      <c r="BU600" s="34"/>
      <c r="BV600" s="34"/>
      <c r="BW600" s="34"/>
      <c r="BX600" s="34"/>
      <c r="BY600" s="34"/>
      <c r="BZ600" s="34"/>
      <c r="CA600" s="34"/>
      <c r="CB600" s="34"/>
      <c r="CC600" s="34"/>
      <c r="CD600" s="34"/>
      <c r="CE600" s="34"/>
      <c r="CF600" s="34"/>
      <c r="CG600" s="34"/>
      <c r="CH600" s="34"/>
      <c r="CI600" s="34"/>
      <c r="CJ600" s="34"/>
      <c r="CK600" s="34"/>
      <c r="CL600" s="34"/>
      <c r="CM600" s="34"/>
      <c r="CN600" s="34"/>
      <c r="CO600" s="34"/>
      <c r="CP600" s="34"/>
      <c r="CQ600" s="34"/>
      <c r="CR600" s="34"/>
      <c r="CS600" s="34"/>
    </row>
    <row r="601" spans="7:97" s="246" customFormat="1" x14ac:dyDescent="0.2">
      <c r="G601" s="2188"/>
      <c r="BS601" s="34"/>
      <c r="BT601" s="34"/>
      <c r="BU601" s="34"/>
      <c r="BV601" s="34"/>
      <c r="BW601" s="34"/>
      <c r="BX601" s="34"/>
      <c r="BY601" s="34"/>
      <c r="BZ601" s="34"/>
      <c r="CA601" s="34"/>
      <c r="CB601" s="34"/>
      <c r="CC601" s="34"/>
      <c r="CD601" s="34"/>
      <c r="CE601" s="34"/>
      <c r="CF601" s="34"/>
      <c r="CG601" s="34"/>
      <c r="CH601" s="34"/>
      <c r="CI601" s="34"/>
      <c r="CJ601" s="34"/>
      <c r="CK601" s="34"/>
      <c r="CL601" s="34"/>
      <c r="CM601" s="34"/>
      <c r="CN601" s="34"/>
      <c r="CO601" s="34"/>
      <c r="CP601" s="34"/>
      <c r="CQ601" s="34"/>
      <c r="CR601" s="34"/>
      <c r="CS601" s="34"/>
    </row>
    <row r="602" spans="7:97" s="246" customFormat="1" x14ac:dyDescent="0.2">
      <c r="G602" s="2188"/>
      <c r="BS602" s="34"/>
      <c r="BT602" s="34"/>
      <c r="BU602" s="34"/>
      <c r="BV602" s="34"/>
      <c r="BW602" s="34"/>
      <c r="BX602" s="34"/>
      <c r="BY602" s="34"/>
      <c r="BZ602" s="34"/>
      <c r="CA602" s="34"/>
      <c r="CB602" s="34"/>
      <c r="CC602" s="34"/>
      <c r="CD602" s="34"/>
      <c r="CE602" s="34"/>
      <c r="CF602" s="34"/>
      <c r="CG602" s="34"/>
      <c r="CH602" s="34"/>
      <c r="CI602" s="34"/>
      <c r="CJ602" s="34"/>
      <c r="CK602" s="34"/>
      <c r="CL602" s="34"/>
      <c r="CM602" s="34"/>
      <c r="CN602" s="34"/>
      <c r="CO602" s="34"/>
      <c r="CP602" s="34"/>
      <c r="CQ602" s="34"/>
      <c r="CR602" s="34"/>
      <c r="CS602" s="34"/>
    </row>
    <row r="603" spans="7:97" s="246" customFormat="1" x14ac:dyDescent="0.2">
      <c r="G603" s="2188"/>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row>
    <row r="604" spans="7:97" s="246" customFormat="1" x14ac:dyDescent="0.2">
      <c r="G604" s="2188"/>
      <c r="BS604" s="34"/>
      <c r="BT604" s="34"/>
      <c r="BU604" s="34"/>
      <c r="BV604" s="34"/>
      <c r="BW604" s="34"/>
      <c r="BX604" s="34"/>
      <c r="BY604" s="34"/>
      <c r="BZ604" s="34"/>
      <c r="CA604" s="34"/>
      <c r="CB604" s="34"/>
      <c r="CC604" s="34"/>
      <c r="CD604" s="34"/>
      <c r="CE604" s="34"/>
      <c r="CF604" s="34"/>
      <c r="CG604" s="34"/>
      <c r="CH604" s="34"/>
      <c r="CI604" s="34"/>
      <c r="CJ604" s="34"/>
      <c r="CK604" s="34"/>
      <c r="CL604" s="34"/>
      <c r="CM604" s="34"/>
      <c r="CN604" s="34"/>
      <c r="CO604" s="34"/>
      <c r="CP604" s="34"/>
      <c r="CQ604" s="34"/>
      <c r="CR604" s="34"/>
      <c r="CS604" s="34"/>
    </row>
    <row r="605" spans="7:97" s="246" customFormat="1" x14ac:dyDescent="0.2">
      <c r="G605" s="2188"/>
      <c r="BS605" s="34"/>
      <c r="BT605" s="34"/>
      <c r="BU605" s="34"/>
      <c r="BV605" s="34"/>
      <c r="BW605" s="34"/>
      <c r="BX605" s="34"/>
      <c r="BY605" s="34"/>
      <c r="BZ605" s="34"/>
      <c r="CA605" s="34"/>
      <c r="CB605" s="34"/>
      <c r="CC605" s="34"/>
      <c r="CD605" s="34"/>
      <c r="CE605" s="34"/>
      <c r="CF605" s="34"/>
      <c r="CG605" s="34"/>
      <c r="CH605" s="34"/>
      <c r="CI605" s="34"/>
      <c r="CJ605" s="34"/>
      <c r="CK605" s="34"/>
      <c r="CL605" s="34"/>
      <c r="CM605" s="34"/>
      <c r="CN605" s="34"/>
      <c r="CO605" s="34"/>
      <c r="CP605" s="34"/>
      <c r="CQ605" s="34"/>
      <c r="CR605" s="34"/>
      <c r="CS605" s="34"/>
    </row>
    <row r="606" spans="7:97" s="246" customFormat="1" x14ac:dyDescent="0.2">
      <c r="G606" s="2188"/>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row>
    <row r="607" spans="7:97" s="246" customFormat="1" x14ac:dyDescent="0.2">
      <c r="G607" s="2188"/>
      <c r="BS607" s="34"/>
      <c r="BT607" s="34"/>
      <c r="BU607" s="34"/>
      <c r="BV607" s="34"/>
      <c r="BW607" s="34"/>
      <c r="BX607" s="34"/>
      <c r="BY607" s="34"/>
      <c r="BZ607" s="34"/>
      <c r="CA607" s="34"/>
      <c r="CB607" s="34"/>
      <c r="CC607" s="34"/>
      <c r="CD607" s="34"/>
      <c r="CE607" s="34"/>
      <c r="CF607" s="34"/>
      <c r="CG607" s="34"/>
      <c r="CH607" s="34"/>
      <c r="CI607" s="34"/>
      <c r="CJ607" s="34"/>
      <c r="CK607" s="34"/>
      <c r="CL607" s="34"/>
      <c r="CM607" s="34"/>
      <c r="CN607" s="34"/>
      <c r="CO607" s="34"/>
      <c r="CP607" s="34"/>
      <c r="CQ607" s="34"/>
      <c r="CR607" s="34"/>
      <c r="CS607" s="34"/>
    </row>
    <row r="608" spans="7:97" s="246" customFormat="1" x14ac:dyDescent="0.2">
      <c r="G608" s="2188"/>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row>
    <row r="609" spans="7:97" s="246" customFormat="1" x14ac:dyDescent="0.2">
      <c r="G609" s="2188"/>
      <c r="BS609" s="34"/>
      <c r="BT609" s="34"/>
      <c r="BU609" s="34"/>
      <c r="BV609" s="34"/>
      <c r="BW609" s="34"/>
      <c r="BX609" s="34"/>
      <c r="BY609" s="34"/>
      <c r="BZ609" s="34"/>
      <c r="CA609" s="34"/>
      <c r="CB609" s="34"/>
      <c r="CC609" s="34"/>
      <c r="CD609" s="34"/>
      <c r="CE609" s="34"/>
      <c r="CF609" s="34"/>
      <c r="CG609" s="34"/>
      <c r="CH609" s="34"/>
      <c r="CI609" s="34"/>
      <c r="CJ609" s="34"/>
      <c r="CK609" s="34"/>
      <c r="CL609" s="34"/>
      <c r="CM609" s="34"/>
      <c r="CN609" s="34"/>
      <c r="CO609" s="34"/>
      <c r="CP609" s="34"/>
      <c r="CQ609" s="34"/>
      <c r="CR609" s="34"/>
      <c r="CS609" s="34"/>
    </row>
    <row r="610" spans="7:97" s="246" customFormat="1" x14ac:dyDescent="0.2">
      <c r="G610" s="2188"/>
      <c r="BS610" s="34"/>
      <c r="BT610" s="34"/>
      <c r="BU610" s="34"/>
      <c r="BV610" s="34"/>
      <c r="BW610" s="34"/>
      <c r="BX610" s="34"/>
      <c r="BY610" s="34"/>
      <c r="BZ610" s="34"/>
      <c r="CA610" s="34"/>
      <c r="CB610" s="34"/>
      <c r="CC610" s="34"/>
      <c r="CD610" s="34"/>
      <c r="CE610" s="34"/>
      <c r="CF610" s="34"/>
      <c r="CG610" s="34"/>
      <c r="CH610" s="34"/>
      <c r="CI610" s="34"/>
      <c r="CJ610" s="34"/>
      <c r="CK610" s="34"/>
      <c r="CL610" s="34"/>
      <c r="CM610" s="34"/>
      <c r="CN610" s="34"/>
      <c r="CO610" s="34"/>
      <c r="CP610" s="34"/>
      <c r="CQ610" s="34"/>
      <c r="CR610" s="34"/>
      <c r="CS610" s="34"/>
    </row>
    <row r="611" spans="7:97" s="246" customFormat="1" x14ac:dyDescent="0.2">
      <c r="G611" s="2188"/>
      <c r="BS611" s="34"/>
      <c r="BT611" s="34"/>
      <c r="BU611" s="34"/>
      <c r="BV611" s="34"/>
      <c r="BW611" s="34"/>
      <c r="BX611" s="34"/>
      <c r="BY611" s="34"/>
      <c r="BZ611" s="34"/>
      <c r="CA611" s="34"/>
      <c r="CB611" s="34"/>
      <c r="CC611" s="34"/>
      <c r="CD611" s="34"/>
      <c r="CE611" s="34"/>
      <c r="CF611" s="34"/>
      <c r="CG611" s="34"/>
      <c r="CH611" s="34"/>
      <c r="CI611" s="34"/>
      <c r="CJ611" s="34"/>
      <c r="CK611" s="34"/>
      <c r="CL611" s="34"/>
      <c r="CM611" s="34"/>
      <c r="CN611" s="34"/>
      <c r="CO611" s="34"/>
      <c r="CP611" s="34"/>
      <c r="CQ611" s="34"/>
      <c r="CR611" s="34"/>
      <c r="CS611" s="34"/>
    </row>
    <row r="612" spans="7:97" s="246" customFormat="1" x14ac:dyDescent="0.2">
      <c r="G612" s="2188"/>
      <c r="BS612" s="34"/>
      <c r="BT612" s="34"/>
      <c r="BU612" s="34"/>
      <c r="BV612" s="34"/>
      <c r="BW612" s="34"/>
      <c r="BX612" s="34"/>
      <c r="BY612" s="34"/>
      <c r="BZ612" s="34"/>
      <c r="CA612" s="34"/>
      <c r="CB612" s="34"/>
      <c r="CC612" s="34"/>
      <c r="CD612" s="34"/>
      <c r="CE612" s="34"/>
      <c r="CF612" s="34"/>
      <c r="CG612" s="34"/>
      <c r="CH612" s="34"/>
      <c r="CI612" s="34"/>
      <c r="CJ612" s="34"/>
      <c r="CK612" s="34"/>
      <c r="CL612" s="34"/>
      <c r="CM612" s="34"/>
      <c r="CN612" s="34"/>
      <c r="CO612" s="34"/>
      <c r="CP612" s="34"/>
      <c r="CQ612" s="34"/>
      <c r="CR612" s="34"/>
      <c r="CS612" s="34"/>
    </row>
    <row r="613" spans="7:97" s="246" customFormat="1" x14ac:dyDescent="0.2">
      <c r="G613" s="2188"/>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row>
    <row r="614" spans="7:97" s="246" customFormat="1" x14ac:dyDescent="0.2">
      <c r="G614" s="2188"/>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row>
    <row r="615" spans="7:97" s="246" customFormat="1" x14ac:dyDescent="0.2">
      <c r="G615" s="2188"/>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34"/>
      <c r="CQ615" s="34"/>
      <c r="CR615" s="34"/>
      <c r="CS615" s="34"/>
    </row>
    <row r="616" spans="7:97" s="246" customFormat="1" x14ac:dyDescent="0.2">
      <c r="G616" s="2188"/>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row>
    <row r="617" spans="7:97" s="246" customFormat="1" x14ac:dyDescent="0.2">
      <c r="G617" s="2188"/>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row>
    <row r="618" spans="7:97" s="246" customFormat="1" x14ac:dyDescent="0.2">
      <c r="G618" s="2188"/>
      <c r="BS618" s="34"/>
      <c r="BT618" s="34"/>
      <c r="BU618" s="34"/>
      <c r="BV618" s="34"/>
      <c r="BW618" s="34"/>
      <c r="BX618" s="34"/>
      <c r="BY618" s="34"/>
      <c r="BZ618" s="34"/>
      <c r="CA618" s="34"/>
      <c r="CB618" s="34"/>
      <c r="CC618" s="34"/>
      <c r="CD618" s="34"/>
      <c r="CE618" s="34"/>
      <c r="CF618" s="34"/>
      <c r="CG618" s="34"/>
      <c r="CH618" s="34"/>
      <c r="CI618" s="34"/>
      <c r="CJ618" s="34"/>
      <c r="CK618" s="34"/>
      <c r="CL618" s="34"/>
      <c r="CM618" s="34"/>
      <c r="CN618" s="34"/>
      <c r="CO618" s="34"/>
      <c r="CP618" s="34"/>
      <c r="CQ618" s="34"/>
      <c r="CR618" s="34"/>
      <c r="CS618" s="34"/>
    </row>
    <row r="619" spans="7:97" s="246" customFormat="1" x14ac:dyDescent="0.2">
      <c r="G619" s="2188"/>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row>
    <row r="620" spans="7:97" s="246" customFormat="1" x14ac:dyDescent="0.2">
      <c r="G620" s="2188"/>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row>
    <row r="621" spans="7:97" s="246" customFormat="1" x14ac:dyDescent="0.2">
      <c r="G621" s="2188"/>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row>
    <row r="622" spans="7:97" s="246" customFormat="1" x14ac:dyDescent="0.2">
      <c r="G622" s="2188"/>
      <c r="BS622" s="34"/>
      <c r="BT622" s="34"/>
      <c r="BU622" s="34"/>
      <c r="BV622" s="34"/>
      <c r="BW622" s="34"/>
      <c r="BX622" s="34"/>
      <c r="BY622" s="34"/>
      <c r="BZ622" s="34"/>
      <c r="CA622" s="34"/>
      <c r="CB622" s="34"/>
      <c r="CC622" s="34"/>
      <c r="CD622" s="34"/>
      <c r="CE622" s="34"/>
      <c r="CF622" s="34"/>
      <c r="CG622" s="34"/>
      <c r="CH622" s="34"/>
      <c r="CI622" s="34"/>
      <c r="CJ622" s="34"/>
      <c r="CK622" s="34"/>
      <c r="CL622" s="34"/>
      <c r="CM622" s="34"/>
      <c r="CN622" s="34"/>
      <c r="CO622" s="34"/>
      <c r="CP622" s="34"/>
      <c r="CQ622" s="34"/>
      <c r="CR622" s="34"/>
      <c r="CS622" s="34"/>
    </row>
    <row r="623" spans="7:97" s="246" customFormat="1" x14ac:dyDescent="0.2">
      <c r="G623" s="2188"/>
      <c r="BS623" s="34"/>
      <c r="BT623" s="34"/>
      <c r="BU623" s="34"/>
      <c r="BV623" s="34"/>
      <c r="BW623" s="34"/>
      <c r="BX623" s="34"/>
      <c r="BY623" s="34"/>
      <c r="BZ623" s="34"/>
      <c r="CA623" s="34"/>
      <c r="CB623" s="34"/>
      <c r="CC623" s="34"/>
      <c r="CD623" s="34"/>
      <c r="CE623" s="34"/>
      <c r="CF623" s="34"/>
      <c r="CG623" s="34"/>
      <c r="CH623" s="34"/>
      <c r="CI623" s="34"/>
      <c r="CJ623" s="34"/>
      <c r="CK623" s="34"/>
      <c r="CL623" s="34"/>
      <c r="CM623" s="34"/>
      <c r="CN623" s="34"/>
      <c r="CO623" s="34"/>
      <c r="CP623" s="34"/>
      <c r="CQ623" s="34"/>
      <c r="CR623" s="34"/>
      <c r="CS623" s="34"/>
    </row>
    <row r="624" spans="7:97" s="246" customFormat="1" x14ac:dyDescent="0.2">
      <c r="G624" s="2188"/>
      <c r="BS624" s="34"/>
      <c r="BT624" s="34"/>
      <c r="BU624" s="34"/>
      <c r="BV624" s="34"/>
      <c r="BW624" s="34"/>
      <c r="BX624" s="34"/>
      <c r="BY624" s="34"/>
      <c r="BZ624" s="34"/>
      <c r="CA624" s="34"/>
      <c r="CB624" s="34"/>
      <c r="CC624" s="34"/>
      <c r="CD624" s="34"/>
      <c r="CE624" s="34"/>
      <c r="CF624" s="34"/>
      <c r="CG624" s="34"/>
      <c r="CH624" s="34"/>
      <c r="CI624" s="34"/>
      <c r="CJ624" s="34"/>
      <c r="CK624" s="34"/>
      <c r="CL624" s="34"/>
      <c r="CM624" s="34"/>
      <c r="CN624" s="34"/>
      <c r="CO624" s="34"/>
      <c r="CP624" s="34"/>
      <c r="CQ624" s="34"/>
      <c r="CR624" s="34"/>
      <c r="CS624" s="34"/>
    </row>
    <row r="625" spans="7:97" s="246" customFormat="1" x14ac:dyDescent="0.2">
      <c r="G625" s="2188"/>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row>
    <row r="626" spans="7:97" s="246" customFormat="1" x14ac:dyDescent="0.2">
      <c r="G626" s="2188"/>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row>
    <row r="627" spans="7:97" s="246" customFormat="1" x14ac:dyDescent="0.2">
      <c r="G627" s="2188"/>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row>
    <row r="628" spans="7:97" s="246" customFormat="1" x14ac:dyDescent="0.2">
      <c r="G628" s="2188"/>
      <c r="BS628" s="34"/>
      <c r="BT628" s="34"/>
      <c r="BU628" s="34"/>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row>
    <row r="629" spans="7:97" s="246" customFormat="1" x14ac:dyDescent="0.2">
      <c r="G629" s="2188"/>
      <c r="BS629" s="34"/>
      <c r="BT629" s="34"/>
      <c r="BU629" s="34"/>
      <c r="BV629" s="34"/>
      <c r="BW629" s="34"/>
      <c r="BX629" s="34"/>
      <c r="BY629" s="34"/>
      <c r="BZ629" s="34"/>
      <c r="CA629" s="34"/>
      <c r="CB629" s="34"/>
      <c r="CC629" s="34"/>
      <c r="CD629" s="34"/>
      <c r="CE629" s="34"/>
      <c r="CF629" s="34"/>
      <c r="CG629" s="34"/>
      <c r="CH629" s="34"/>
      <c r="CI629" s="34"/>
      <c r="CJ629" s="34"/>
      <c r="CK629" s="34"/>
      <c r="CL629" s="34"/>
      <c r="CM629" s="34"/>
      <c r="CN629" s="34"/>
      <c r="CO629" s="34"/>
      <c r="CP629" s="34"/>
      <c r="CQ629" s="34"/>
      <c r="CR629" s="34"/>
      <c r="CS629" s="34"/>
    </row>
    <row r="630" spans="7:97" s="246" customFormat="1" x14ac:dyDescent="0.2">
      <c r="G630" s="2188"/>
      <c r="BS630" s="34"/>
      <c r="BT630" s="34"/>
      <c r="BU630" s="34"/>
      <c r="BV630" s="34"/>
      <c r="BW630" s="34"/>
      <c r="BX630" s="34"/>
      <c r="BY630" s="34"/>
      <c r="BZ630" s="34"/>
      <c r="CA630" s="34"/>
      <c r="CB630" s="34"/>
      <c r="CC630" s="34"/>
      <c r="CD630" s="34"/>
      <c r="CE630" s="34"/>
      <c r="CF630" s="34"/>
      <c r="CG630" s="34"/>
      <c r="CH630" s="34"/>
      <c r="CI630" s="34"/>
      <c r="CJ630" s="34"/>
      <c r="CK630" s="34"/>
      <c r="CL630" s="34"/>
      <c r="CM630" s="34"/>
      <c r="CN630" s="34"/>
      <c r="CO630" s="34"/>
      <c r="CP630" s="34"/>
      <c r="CQ630" s="34"/>
      <c r="CR630" s="34"/>
      <c r="CS630" s="34"/>
    </row>
    <row r="631" spans="7:97" s="246" customFormat="1" x14ac:dyDescent="0.2">
      <c r="G631" s="2188"/>
      <c r="BS631" s="34"/>
      <c r="BT631" s="34"/>
      <c r="BU631" s="34"/>
      <c r="BV631" s="34"/>
      <c r="BW631" s="34"/>
      <c r="BX631" s="34"/>
      <c r="BY631" s="34"/>
      <c r="BZ631" s="34"/>
      <c r="CA631" s="34"/>
      <c r="CB631" s="34"/>
      <c r="CC631" s="34"/>
      <c r="CD631" s="34"/>
      <c r="CE631" s="34"/>
      <c r="CF631" s="34"/>
      <c r="CG631" s="34"/>
      <c r="CH631" s="34"/>
      <c r="CI631" s="34"/>
      <c r="CJ631" s="34"/>
      <c r="CK631" s="34"/>
      <c r="CL631" s="34"/>
      <c r="CM631" s="34"/>
      <c r="CN631" s="34"/>
      <c r="CO631" s="34"/>
      <c r="CP631" s="34"/>
      <c r="CQ631" s="34"/>
      <c r="CR631" s="34"/>
      <c r="CS631" s="34"/>
    </row>
    <row r="632" spans="7:97" s="246" customFormat="1" x14ac:dyDescent="0.2">
      <c r="G632" s="2188"/>
      <c r="BS632" s="34"/>
      <c r="BT632" s="34"/>
      <c r="BU632" s="34"/>
      <c r="BV632" s="34"/>
      <c r="BW632" s="34"/>
      <c r="BX632" s="34"/>
      <c r="BY632" s="34"/>
      <c r="BZ632" s="34"/>
      <c r="CA632" s="34"/>
      <c r="CB632" s="34"/>
      <c r="CC632" s="34"/>
      <c r="CD632" s="34"/>
      <c r="CE632" s="34"/>
      <c r="CF632" s="34"/>
      <c r="CG632" s="34"/>
      <c r="CH632" s="34"/>
      <c r="CI632" s="34"/>
      <c r="CJ632" s="34"/>
      <c r="CK632" s="34"/>
      <c r="CL632" s="34"/>
      <c r="CM632" s="34"/>
      <c r="CN632" s="34"/>
      <c r="CO632" s="34"/>
      <c r="CP632" s="34"/>
      <c r="CQ632" s="34"/>
      <c r="CR632" s="34"/>
      <c r="CS632" s="34"/>
    </row>
    <row r="633" spans="7:97" s="246" customFormat="1" x14ac:dyDescent="0.2">
      <c r="G633" s="2188"/>
      <c r="BS633" s="34"/>
      <c r="BT633" s="34"/>
      <c r="BU633" s="34"/>
      <c r="BV633" s="34"/>
      <c r="BW633" s="34"/>
      <c r="BX633" s="34"/>
      <c r="BY633" s="34"/>
      <c r="BZ633" s="34"/>
      <c r="CA633" s="34"/>
      <c r="CB633" s="34"/>
      <c r="CC633" s="34"/>
      <c r="CD633" s="34"/>
      <c r="CE633" s="34"/>
      <c r="CF633" s="34"/>
      <c r="CG633" s="34"/>
      <c r="CH633" s="34"/>
      <c r="CI633" s="34"/>
      <c r="CJ633" s="34"/>
      <c r="CK633" s="34"/>
      <c r="CL633" s="34"/>
      <c r="CM633" s="34"/>
      <c r="CN633" s="34"/>
      <c r="CO633" s="34"/>
      <c r="CP633" s="34"/>
      <c r="CQ633" s="34"/>
      <c r="CR633" s="34"/>
      <c r="CS633" s="34"/>
    </row>
    <row r="634" spans="7:97" s="246" customFormat="1" x14ac:dyDescent="0.2">
      <c r="G634" s="2188"/>
      <c r="BS634" s="34"/>
      <c r="BT634" s="34"/>
      <c r="BU634" s="34"/>
      <c r="BV634" s="34"/>
      <c r="BW634" s="34"/>
      <c r="BX634" s="34"/>
      <c r="BY634" s="34"/>
      <c r="BZ634" s="34"/>
      <c r="CA634" s="34"/>
      <c r="CB634" s="34"/>
      <c r="CC634" s="34"/>
      <c r="CD634" s="34"/>
      <c r="CE634" s="34"/>
      <c r="CF634" s="34"/>
      <c r="CG634" s="34"/>
      <c r="CH634" s="34"/>
      <c r="CI634" s="34"/>
      <c r="CJ634" s="34"/>
      <c r="CK634" s="34"/>
      <c r="CL634" s="34"/>
      <c r="CM634" s="34"/>
      <c r="CN634" s="34"/>
      <c r="CO634" s="34"/>
      <c r="CP634" s="34"/>
      <c r="CQ634" s="34"/>
      <c r="CR634" s="34"/>
      <c r="CS634" s="34"/>
    </row>
    <row r="635" spans="7:97" s="246" customFormat="1" x14ac:dyDescent="0.2">
      <c r="G635" s="2188"/>
      <c r="BS635" s="34"/>
      <c r="BT635" s="34"/>
      <c r="BU635" s="34"/>
      <c r="BV635" s="34"/>
      <c r="BW635" s="34"/>
      <c r="BX635" s="34"/>
      <c r="BY635" s="34"/>
      <c r="BZ635" s="34"/>
      <c r="CA635" s="34"/>
      <c r="CB635" s="34"/>
      <c r="CC635" s="34"/>
      <c r="CD635" s="34"/>
      <c r="CE635" s="34"/>
      <c r="CF635" s="34"/>
      <c r="CG635" s="34"/>
      <c r="CH635" s="34"/>
      <c r="CI635" s="34"/>
      <c r="CJ635" s="34"/>
      <c r="CK635" s="34"/>
      <c r="CL635" s="34"/>
      <c r="CM635" s="34"/>
      <c r="CN635" s="34"/>
      <c r="CO635" s="34"/>
      <c r="CP635" s="34"/>
      <c r="CQ635" s="34"/>
      <c r="CR635" s="34"/>
      <c r="CS635" s="34"/>
    </row>
    <row r="636" spans="7:97" s="246" customFormat="1" x14ac:dyDescent="0.2">
      <c r="G636" s="2188"/>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row>
    <row r="637" spans="7:97" s="246" customFormat="1" x14ac:dyDescent="0.2">
      <c r="G637" s="2188"/>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row>
    <row r="638" spans="7:97" s="246" customFormat="1" x14ac:dyDescent="0.2">
      <c r="G638" s="2188"/>
      <c r="BS638" s="34"/>
      <c r="BT638" s="34"/>
      <c r="BU638" s="34"/>
      <c r="BV638" s="34"/>
      <c r="BW638" s="34"/>
      <c r="BX638" s="34"/>
      <c r="BY638" s="34"/>
      <c r="BZ638" s="34"/>
      <c r="CA638" s="34"/>
      <c r="CB638" s="34"/>
      <c r="CC638" s="34"/>
      <c r="CD638" s="34"/>
      <c r="CE638" s="34"/>
      <c r="CF638" s="34"/>
      <c r="CG638" s="34"/>
      <c r="CH638" s="34"/>
      <c r="CI638" s="34"/>
      <c r="CJ638" s="34"/>
      <c r="CK638" s="34"/>
      <c r="CL638" s="34"/>
      <c r="CM638" s="34"/>
      <c r="CN638" s="34"/>
      <c r="CO638" s="34"/>
      <c r="CP638" s="34"/>
      <c r="CQ638" s="34"/>
      <c r="CR638" s="34"/>
      <c r="CS638" s="34"/>
    </row>
    <row r="639" spans="7:97" s="246" customFormat="1" x14ac:dyDescent="0.2">
      <c r="G639" s="2188"/>
      <c r="BS639" s="34"/>
      <c r="BT639" s="34"/>
      <c r="BU639" s="34"/>
      <c r="BV639" s="34"/>
      <c r="BW639" s="34"/>
      <c r="BX639" s="34"/>
      <c r="BY639" s="34"/>
      <c r="BZ639" s="34"/>
      <c r="CA639" s="34"/>
      <c r="CB639" s="34"/>
      <c r="CC639" s="34"/>
      <c r="CD639" s="34"/>
      <c r="CE639" s="34"/>
      <c r="CF639" s="34"/>
      <c r="CG639" s="34"/>
      <c r="CH639" s="34"/>
      <c r="CI639" s="34"/>
      <c r="CJ639" s="34"/>
      <c r="CK639" s="34"/>
      <c r="CL639" s="34"/>
      <c r="CM639" s="34"/>
      <c r="CN639" s="34"/>
      <c r="CO639" s="34"/>
      <c r="CP639" s="34"/>
      <c r="CQ639" s="34"/>
      <c r="CR639" s="34"/>
      <c r="CS639" s="34"/>
    </row>
    <row r="640" spans="7:97" s="246" customFormat="1" x14ac:dyDescent="0.2">
      <c r="G640" s="2188"/>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row>
    <row r="641" spans="7:97" s="246" customFormat="1" x14ac:dyDescent="0.2">
      <c r="G641" s="2188"/>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row>
    <row r="642" spans="7:97" s="246" customFormat="1" x14ac:dyDescent="0.2">
      <c r="G642" s="2188"/>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row>
    <row r="643" spans="7:97" s="246" customFormat="1" x14ac:dyDescent="0.2">
      <c r="G643" s="2188"/>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row>
    <row r="644" spans="7:97" s="246" customFormat="1" x14ac:dyDescent="0.2">
      <c r="G644" s="2188"/>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row>
    <row r="645" spans="7:97" s="246" customFormat="1" x14ac:dyDescent="0.2">
      <c r="G645" s="2188"/>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row>
    <row r="646" spans="7:97" s="246" customFormat="1" x14ac:dyDescent="0.2">
      <c r="G646" s="2188"/>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row>
    <row r="647" spans="7:97" s="246" customFormat="1" x14ac:dyDescent="0.2">
      <c r="G647" s="2188"/>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row>
    <row r="648" spans="7:97" s="246" customFormat="1" x14ac:dyDescent="0.2">
      <c r="G648" s="2188"/>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row>
    <row r="649" spans="7:97" s="246" customFormat="1" x14ac:dyDescent="0.2">
      <c r="G649" s="2188"/>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row>
    <row r="650" spans="7:97" s="246" customFormat="1" x14ac:dyDescent="0.2">
      <c r="G650" s="2188"/>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row>
    <row r="651" spans="7:97" s="246" customFormat="1" x14ac:dyDescent="0.2">
      <c r="G651" s="2188"/>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row>
    <row r="652" spans="7:97" s="246" customFormat="1" x14ac:dyDescent="0.2">
      <c r="G652" s="2188"/>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row>
    <row r="653" spans="7:97" s="246" customFormat="1" x14ac:dyDescent="0.2">
      <c r="G653" s="2188"/>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row>
    <row r="654" spans="7:97" s="246" customFormat="1" x14ac:dyDescent="0.2">
      <c r="G654" s="2188"/>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row>
    <row r="655" spans="7:97" s="246" customFormat="1" x14ac:dyDescent="0.2">
      <c r="G655" s="2188"/>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row>
    <row r="656" spans="7:97" s="246" customFormat="1" x14ac:dyDescent="0.2">
      <c r="G656" s="2188"/>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row>
    <row r="657" spans="7:97" s="246" customFormat="1" x14ac:dyDescent="0.2">
      <c r="G657" s="2188"/>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row>
    <row r="658" spans="7:97" s="246" customFormat="1" x14ac:dyDescent="0.2">
      <c r="G658" s="2188"/>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row>
    <row r="659" spans="7:97" s="246" customFormat="1" x14ac:dyDescent="0.2">
      <c r="G659" s="2188"/>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row>
    <row r="660" spans="7:97" s="246" customFormat="1" x14ac:dyDescent="0.2">
      <c r="G660" s="2188"/>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row>
    <row r="661" spans="7:97" s="246" customFormat="1" x14ac:dyDescent="0.2">
      <c r="G661" s="2188"/>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row>
    <row r="662" spans="7:97" s="246" customFormat="1" x14ac:dyDescent="0.2">
      <c r="G662" s="2188"/>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row>
    <row r="663" spans="7:97" s="246" customFormat="1" x14ac:dyDescent="0.2">
      <c r="G663" s="2188"/>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row>
    <row r="664" spans="7:97" s="246" customFormat="1" x14ac:dyDescent="0.2">
      <c r="G664" s="2188"/>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row>
    <row r="665" spans="7:97" s="246" customFormat="1" x14ac:dyDescent="0.2">
      <c r="G665" s="2188"/>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row>
    <row r="666" spans="7:97" s="246" customFormat="1" x14ac:dyDescent="0.2">
      <c r="G666" s="2188"/>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row>
    <row r="667" spans="7:97" s="246" customFormat="1" x14ac:dyDescent="0.2">
      <c r="G667" s="2188"/>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row>
    <row r="668" spans="7:97" s="246" customFormat="1" x14ac:dyDescent="0.2">
      <c r="G668" s="2188"/>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row>
    <row r="669" spans="7:97" s="246" customFormat="1" x14ac:dyDescent="0.2">
      <c r="G669" s="2188"/>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row>
    <row r="670" spans="7:97" s="246" customFormat="1" x14ac:dyDescent="0.2">
      <c r="G670" s="2188"/>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row>
    <row r="671" spans="7:97" s="246" customFormat="1" x14ac:dyDescent="0.2">
      <c r="G671" s="2188"/>
      <c r="BS671" s="34"/>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row>
    <row r="672" spans="7:97" s="246" customFormat="1" x14ac:dyDescent="0.2">
      <c r="G672" s="2188"/>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row>
    <row r="673" spans="7:97" s="246" customFormat="1" x14ac:dyDescent="0.2">
      <c r="G673" s="2188"/>
      <c r="BS673" s="34"/>
      <c r="BT673" s="34"/>
      <c r="BU673" s="34"/>
      <c r="BV673" s="34"/>
      <c r="BW673" s="34"/>
      <c r="BX673" s="34"/>
      <c r="BY673" s="34"/>
      <c r="BZ673" s="34"/>
      <c r="CA673" s="34"/>
      <c r="CB673" s="34"/>
      <c r="CC673" s="34"/>
      <c r="CD673" s="34"/>
      <c r="CE673" s="34"/>
      <c r="CF673" s="34"/>
      <c r="CG673" s="34"/>
      <c r="CH673" s="34"/>
      <c r="CI673" s="34"/>
      <c r="CJ673" s="34"/>
      <c r="CK673" s="34"/>
      <c r="CL673" s="34"/>
      <c r="CM673" s="34"/>
      <c r="CN673" s="34"/>
      <c r="CO673" s="34"/>
      <c r="CP673" s="34"/>
      <c r="CQ673" s="34"/>
      <c r="CR673" s="34"/>
      <c r="CS673" s="34"/>
    </row>
    <row r="674" spans="7:97" s="246" customFormat="1" x14ac:dyDescent="0.2">
      <c r="G674" s="2188"/>
      <c r="BS674" s="34"/>
      <c r="BT674" s="34"/>
      <c r="BU674" s="34"/>
      <c r="BV674" s="34"/>
      <c r="BW674" s="34"/>
      <c r="BX674" s="34"/>
      <c r="BY674" s="34"/>
      <c r="BZ674" s="34"/>
      <c r="CA674" s="34"/>
      <c r="CB674" s="34"/>
      <c r="CC674" s="34"/>
      <c r="CD674" s="34"/>
      <c r="CE674" s="34"/>
      <c r="CF674" s="34"/>
      <c r="CG674" s="34"/>
      <c r="CH674" s="34"/>
      <c r="CI674" s="34"/>
      <c r="CJ674" s="34"/>
      <c r="CK674" s="34"/>
      <c r="CL674" s="34"/>
      <c r="CM674" s="34"/>
      <c r="CN674" s="34"/>
      <c r="CO674" s="34"/>
      <c r="CP674" s="34"/>
      <c r="CQ674" s="34"/>
      <c r="CR674" s="34"/>
      <c r="CS674" s="34"/>
    </row>
    <row r="675" spans="7:97" s="246" customFormat="1" x14ac:dyDescent="0.2">
      <c r="G675" s="2188"/>
      <c r="BS675" s="34"/>
      <c r="BT675" s="34"/>
      <c r="BU675" s="34"/>
      <c r="BV675" s="34"/>
      <c r="BW675" s="34"/>
      <c r="BX675" s="34"/>
      <c r="BY675" s="34"/>
      <c r="BZ675" s="34"/>
      <c r="CA675" s="34"/>
      <c r="CB675" s="34"/>
      <c r="CC675" s="34"/>
      <c r="CD675" s="34"/>
      <c r="CE675" s="34"/>
      <c r="CF675" s="34"/>
      <c r="CG675" s="34"/>
      <c r="CH675" s="34"/>
      <c r="CI675" s="34"/>
      <c r="CJ675" s="34"/>
      <c r="CK675" s="34"/>
      <c r="CL675" s="34"/>
      <c r="CM675" s="34"/>
      <c r="CN675" s="34"/>
      <c r="CO675" s="34"/>
      <c r="CP675" s="34"/>
      <c r="CQ675" s="34"/>
      <c r="CR675" s="34"/>
      <c r="CS675" s="34"/>
    </row>
    <row r="676" spans="7:97" s="246" customFormat="1" x14ac:dyDescent="0.2">
      <c r="G676" s="2188"/>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row>
    <row r="677" spans="7:97" s="246" customFormat="1" x14ac:dyDescent="0.2">
      <c r="G677" s="2188"/>
      <c r="BS677" s="34"/>
      <c r="BT677" s="34"/>
      <c r="BU677" s="34"/>
      <c r="BV677" s="34"/>
      <c r="BW677" s="34"/>
      <c r="BX677" s="34"/>
      <c r="BY677" s="34"/>
      <c r="BZ677" s="34"/>
      <c r="CA677" s="34"/>
      <c r="CB677" s="34"/>
      <c r="CC677" s="34"/>
      <c r="CD677" s="34"/>
      <c r="CE677" s="34"/>
      <c r="CF677" s="34"/>
      <c r="CG677" s="34"/>
      <c r="CH677" s="34"/>
      <c r="CI677" s="34"/>
      <c r="CJ677" s="34"/>
      <c r="CK677" s="34"/>
      <c r="CL677" s="34"/>
      <c r="CM677" s="34"/>
      <c r="CN677" s="34"/>
      <c r="CO677" s="34"/>
      <c r="CP677" s="34"/>
      <c r="CQ677" s="34"/>
      <c r="CR677" s="34"/>
      <c r="CS677" s="34"/>
    </row>
    <row r="678" spans="7:97" s="246" customFormat="1" x14ac:dyDescent="0.2">
      <c r="G678" s="2188"/>
      <c r="BS678" s="34"/>
      <c r="BT678" s="34"/>
      <c r="BU678" s="34"/>
      <c r="BV678" s="34"/>
      <c r="BW678" s="34"/>
      <c r="BX678" s="34"/>
      <c r="BY678" s="34"/>
      <c r="BZ678" s="34"/>
      <c r="CA678" s="34"/>
      <c r="CB678" s="34"/>
      <c r="CC678" s="34"/>
      <c r="CD678" s="34"/>
      <c r="CE678" s="34"/>
      <c r="CF678" s="34"/>
      <c r="CG678" s="34"/>
      <c r="CH678" s="34"/>
      <c r="CI678" s="34"/>
      <c r="CJ678" s="34"/>
      <c r="CK678" s="34"/>
      <c r="CL678" s="34"/>
      <c r="CM678" s="34"/>
      <c r="CN678" s="34"/>
      <c r="CO678" s="34"/>
      <c r="CP678" s="34"/>
      <c r="CQ678" s="34"/>
      <c r="CR678" s="34"/>
      <c r="CS678" s="34"/>
    </row>
    <row r="679" spans="7:97" s="246" customFormat="1" x14ac:dyDescent="0.2">
      <c r="G679" s="2188"/>
      <c r="BS679" s="34"/>
      <c r="BT679" s="34"/>
      <c r="BU679" s="34"/>
      <c r="BV679" s="34"/>
      <c r="BW679" s="34"/>
      <c r="BX679" s="34"/>
      <c r="BY679" s="34"/>
      <c r="BZ679" s="34"/>
      <c r="CA679" s="34"/>
      <c r="CB679" s="34"/>
      <c r="CC679" s="34"/>
      <c r="CD679" s="34"/>
      <c r="CE679" s="34"/>
      <c r="CF679" s="34"/>
      <c r="CG679" s="34"/>
      <c r="CH679" s="34"/>
      <c r="CI679" s="34"/>
      <c r="CJ679" s="34"/>
      <c r="CK679" s="34"/>
      <c r="CL679" s="34"/>
      <c r="CM679" s="34"/>
      <c r="CN679" s="34"/>
      <c r="CO679" s="34"/>
      <c r="CP679" s="34"/>
      <c r="CQ679" s="34"/>
      <c r="CR679" s="34"/>
      <c r="CS679" s="34"/>
    </row>
    <row r="680" spans="7:97" s="246" customFormat="1" x14ac:dyDescent="0.2">
      <c r="G680" s="2188"/>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row>
    <row r="681" spans="7:97" s="246" customFormat="1" x14ac:dyDescent="0.2">
      <c r="G681" s="2188"/>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row>
    <row r="682" spans="7:97" s="246" customFormat="1" x14ac:dyDescent="0.2">
      <c r="G682" s="2188"/>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row>
    <row r="683" spans="7:97" s="246" customFormat="1" x14ac:dyDescent="0.2">
      <c r="G683" s="2188"/>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row>
    <row r="684" spans="7:97" s="246" customFormat="1" x14ac:dyDescent="0.2">
      <c r="G684" s="2188"/>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row>
    <row r="685" spans="7:97" s="246" customFormat="1" x14ac:dyDescent="0.2">
      <c r="G685" s="2188"/>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row>
    <row r="686" spans="7:97" s="246" customFormat="1" x14ac:dyDescent="0.2">
      <c r="G686" s="2188"/>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row>
    <row r="687" spans="7:97" s="246" customFormat="1" x14ac:dyDescent="0.2">
      <c r="G687" s="2188"/>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row>
    <row r="688" spans="7:97" s="246" customFormat="1" x14ac:dyDescent="0.2">
      <c r="G688" s="2188"/>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row>
    <row r="689" spans="7:97" s="246" customFormat="1" x14ac:dyDescent="0.2">
      <c r="G689" s="2188"/>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row>
    <row r="690" spans="7:97" s="246" customFormat="1" x14ac:dyDescent="0.2">
      <c r="G690" s="2188"/>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row>
    <row r="691" spans="7:97" s="246" customFormat="1" x14ac:dyDescent="0.2">
      <c r="G691" s="2188"/>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row>
    <row r="692" spans="7:97" s="246" customFormat="1" x14ac:dyDescent="0.2">
      <c r="G692" s="2188"/>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row>
    <row r="693" spans="7:97" s="246" customFormat="1" x14ac:dyDescent="0.2">
      <c r="G693" s="2188"/>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row>
    <row r="694" spans="7:97" s="246" customFormat="1" x14ac:dyDescent="0.2">
      <c r="G694" s="2188"/>
      <c r="BS694" s="34"/>
      <c r="BT694" s="34"/>
      <c r="BU694" s="34"/>
      <c r="BV694" s="34"/>
      <c r="BW694" s="34"/>
      <c r="BX694" s="34"/>
      <c r="BY694" s="34"/>
      <c r="BZ694" s="34"/>
      <c r="CA694" s="34"/>
      <c r="CB694" s="34"/>
      <c r="CC694" s="34"/>
      <c r="CD694" s="34"/>
      <c r="CE694" s="34"/>
      <c r="CF694" s="34"/>
      <c r="CG694" s="34"/>
      <c r="CH694" s="34"/>
      <c r="CI694" s="34"/>
      <c r="CJ694" s="34"/>
      <c r="CK694" s="34"/>
      <c r="CL694" s="34"/>
      <c r="CM694" s="34"/>
      <c r="CN694" s="34"/>
      <c r="CO694" s="34"/>
      <c r="CP694" s="34"/>
      <c r="CQ694" s="34"/>
      <c r="CR694" s="34"/>
      <c r="CS694" s="34"/>
    </row>
    <row r="695" spans="7:97" s="246" customFormat="1" x14ac:dyDescent="0.2">
      <c r="G695" s="2188"/>
      <c r="BS695" s="34"/>
      <c r="BT695" s="34"/>
      <c r="BU695" s="34"/>
      <c r="BV695" s="34"/>
      <c r="BW695" s="34"/>
      <c r="BX695" s="34"/>
      <c r="BY695" s="34"/>
      <c r="BZ695" s="34"/>
      <c r="CA695" s="34"/>
      <c r="CB695" s="34"/>
      <c r="CC695" s="34"/>
      <c r="CD695" s="34"/>
      <c r="CE695" s="34"/>
      <c r="CF695" s="34"/>
      <c r="CG695" s="34"/>
      <c r="CH695" s="34"/>
      <c r="CI695" s="34"/>
      <c r="CJ695" s="34"/>
      <c r="CK695" s="34"/>
      <c r="CL695" s="34"/>
      <c r="CM695" s="34"/>
      <c r="CN695" s="34"/>
      <c r="CO695" s="34"/>
      <c r="CP695" s="34"/>
      <c r="CQ695" s="34"/>
      <c r="CR695" s="34"/>
      <c r="CS695" s="34"/>
    </row>
    <row r="696" spans="7:97" s="246" customFormat="1" x14ac:dyDescent="0.2">
      <c r="G696" s="2188"/>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row>
    <row r="697" spans="7:97" s="246" customFormat="1" x14ac:dyDescent="0.2">
      <c r="G697" s="2188"/>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row>
    <row r="698" spans="7:97" s="246" customFormat="1" x14ac:dyDescent="0.2">
      <c r="G698" s="2188"/>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row>
    <row r="699" spans="7:97" s="246" customFormat="1" x14ac:dyDescent="0.2">
      <c r="G699" s="2188"/>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row>
    <row r="700" spans="7:97" s="246" customFormat="1" x14ac:dyDescent="0.2">
      <c r="G700" s="2188"/>
      <c r="BS700" s="34"/>
      <c r="BT700" s="34"/>
      <c r="BU700" s="34"/>
      <c r="BV700" s="34"/>
      <c r="BW700" s="34"/>
      <c r="BX700" s="34"/>
      <c r="BY700" s="34"/>
      <c r="BZ700" s="34"/>
      <c r="CA700" s="34"/>
      <c r="CB700" s="34"/>
      <c r="CC700" s="34"/>
      <c r="CD700" s="34"/>
      <c r="CE700" s="34"/>
      <c r="CF700" s="34"/>
      <c r="CG700" s="34"/>
      <c r="CH700" s="34"/>
      <c r="CI700" s="34"/>
      <c r="CJ700" s="34"/>
      <c r="CK700" s="34"/>
      <c r="CL700" s="34"/>
      <c r="CM700" s="34"/>
      <c r="CN700" s="34"/>
      <c r="CO700" s="34"/>
      <c r="CP700" s="34"/>
      <c r="CQ700" s="34"/>
      <c r="CR700" s="34"/>
      <c r="CS700" s="34"/>
    </row>
    <row r="701" spans="7:97" s="246" customFormat="1" x14ac:dyDescent="0.2">
      <c r="G701" s="2188"/>
      <c r="BS701" s="34"/>
      <c r="BT701" s="34"/>
      <c r="BU701" s="34"/>
      <c r="BV701" s="34"/>
      <c r="BW701" s="34"/>
      <c r="BX701" s="34"/>
      <c r="BY701" s="34"/>
      <c r="BZ701" s="34"/>
      <c r="CA701" s="34"/>
      <c r="CB701" s="34"/>
      <c r="CC701" s="34"/>
      <c r="CD701" s="34"/>
      <c r="CE701" s="34"/>
      <c r="CF701" s="34"/>
      <c r="CG701" s="34"/>
      <c r="CH701" s="34"/>
      <c r="CI701" s="34"/>
      <c r="CJ701" s="34"/>
      <c r="CK701" s="34"/>
      <c r="CL701" s="34"/>
      <c r="CM701" s="34"/>
      <c r="CN701" s="34"/>
      <c r="CO701" s="34"/>
      <c r="CP701" s="34"/>
      <c r="CQ701" s="34"/>
      <c r="CR701" s="34"/>
      <c r="CS701" s="34"/>
    </row>
    <row r="702" spans="7:97" s="246" customFormat="1" x14ac:dyDescent="0.2">
      <c r="G702" s="2188"/>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row>
    <row r="703" spans="7:97" s="246" customFormat="1" x14ac:dyDescent="0.2">
      <c r="G703" s="2188"/>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row>
    <row r="704" spans="7:97" s="246" customFormat="1" x14ac:dyDescent="0.2">
      <c r="G704" s="2188"/>
      <c r="BS704" s="34"/>
      <c r="BT704" s="34"/>
      <c r="BU704" s="34"/>
      <c r="BV704" s="34"/>
      <c r="BW704" s="34"/>
      <c r="BX704" s="34"/>
      <c r="BY704" s="34"/>
      <c r="BZ704" s="34"/>
      <c r="CA704" s="34"/>
      <c r="CB704" s="34"/>
      <c r="CC704" s="34"/>
      <c r="CD704" s="34"/>
      <c r="CE704" s="34"/>
      <c r="CF704" s="34"/>
      <c r="CG704" s="34"/>
      <c r="CH704" s="34"/>
      <c r="CI704" s="34"/>
      <c r="CJ704" s="34"/>
      <c r="CK704" s="34"/>
      <c r="CL704" s="34"/>
      <c r="CM704" s="34"/>
      <c r="CN704" s="34"/>
      <c r="CO704" s="34"/>
      <c r="CP704" s="34"/>
      <c r="CQ704" s="34"/>
      <c r="CR704" s="34"/>
      <c r="CS704" s="34"/>
    </row>
    <row r="705" spans="7:97" s="246" customFormat="1" x14ac:dyDescent="0.2">
      <c r="G705" s="2188"/>
      <c r="BS705" s="34"/>
      <c r="BT705" s="34"/>
      <c r="BU705" s="34"/>
      <c r="BV705" s="34"/>
      <c r="BW705" s="34"/>
      <c r="BX705" s="34"/>
      <c r="BY705" s="34"/>
      <c r="BZ705" s="34"/>
      <c r="CA705" s="34"/>
      <c r="CB705" s="34"/>
      <c r="CC705" s="34"/>
      <c r="CD705" s="34"/>
      <c r="CE705" s="34"/>
      <c r="CF705" s="34"/>
      <c r="CG705" s="34"/>
      <c r="CH705" s="34"/>
      <c r="CI705" s="34"/>
      <c r="CJ705" s="34"/>
      <c r="CK705" s="34"/>
      <c r="CL705" s="34"/>
      <c r="CM705" s="34"/>
      <c r="CN705" s="34"/>
      <c r="CO705" s="34"/>
      <c r="CP705" s="34"/>
      <c r="CQ705" s="34"/>
      <c r="CR705" s="34"/>
      <c r="CS705" s="34"/>
    </row>
    <row r="706" spans="7:97" s="246" customFormat="1" x14ac:dyDescent="0.2">
      <c r="G706" s="2188"/>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row>
    <row r="707" spans="7:97" s="246" customFormat="1" x14ac:dyDescent="0.2">
      <c r="G707" s="2188"/>
      <c r="BS707" s="34"/>
      <c r="BT707" s="34"/>
      <c r="BU707" s="34"/>
      <c r="BV707" s="34"/>
      <c r="BW707" s="34"/>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row>
    <row r="708" spans="7:97" s="246" customFormat="1" x14ac:dyDescent="0.2">
      <c r="G708" s="2188"/>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row>
    <row r="709" spans="7:97" s="246" customFormat="1" x14ac:dyDescent="0.2">
      <c r="G709" s="2188"/>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row>
    <row r="710" spans="7:97" s="246" customFormat="1" x14ac:dyDescent="0.2">
      <c r="G710" s="2188"/>
      <c r="BS710" s="34"/>
      <c r="BT710" s="34"/>
      <c r="BU710" s="34"/>
      <c r="BV710" s="34"/>
      <c r="BW710" s="34"/>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row>
    <row r="711" spans="7:97" s="246" customFormat="1" x14ac:dyDescent="0.2">
      <c r="G711" s="2188"/>
      <c r="BS711" s="34"/>
      <c r="BT711" s="34"/>
      <c r="BU711" s="34"/>
      <c r="BV711" s="34"/>
      <c r="BW711" s="34"/>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row>
    <row r="712" spans="7:97" s="246" customFormat="1" x14ac:dyDescent="0.2">
      <c r="G712" s="2188"/>
      <c r="BS712" s="34"/>
      <c r="BT712" s="34"/>
      <c r="BU712" s="34"/>
      <c r="BV712" s="34"/>
      <c r="BW712" s="34"/>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row>
    <row r="713" spans="7:97" s="246" customFormat="1" x14ac:dyDescent="0.2">
      <c r="G713" s="2188"/>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row>
    <row r="714" spans="7:97" s="246" customFormat="1" x14ac:dyDescent="0.2">
      <c r="G714" s="2188"/>
      <c r="BS714" s="34"/>
      <c r="BT714" s="34"/>
      <c r="BU714" s="34"/>
      <c r="BV714" s="34"/>
      <c r="BW714" s="34"/>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row>
    <row r="715" spans="7:97" s="246" customFormat="1" x14ac:dyDescent="0.2">
      <c r="G715" s="2188"/>
      <c r="BS715" s="34"/>
      <c r="BT715" s="34"/>
      <c r="BU715" s="34"/>
      <c r="BV715" s="34"/>
      <c r="BW715" s="34"/>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row>
    <row r="716" spans="7:97" s="246" customFormat="1" x14ac:dyDescent="0.2">
      <c r="G716" s="2188"/>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row>
    <row r="717" spans="7:97" s="246" customFormat="1" x14ac:dyDescent="0.2">
      <c r="G717" s="2188"/>
      <c r="BS717" s="34"/>
      <c r="BT717" s="34"/>
      <c r="BU717" s="34"/>
      <c r="BV717" s="34"/>
      <c r="BW717" s="34"/>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row>
    <row r="718" spans="7:97" s="246" customFormat="1" x14ac:dyDescent="0.2">
      <c r="G718" s="2188"/>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row>
    <row r="719" spans="7:97" s="246" customFormat="1" x14ac:dyDescent="0.2">
      <c r="G719" s="2188"/>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row>
    <row r="720" spans="7:97" s="246" customFormat="1" x14ac:dyDescent="0.2">
      <c r="G720" s="2188"/>
      <c r="BS720" s="34"/>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row>
    <row r="721" spans="7:97" s="246" customFormat="1" x14ac:dyDescent="0.2">
      <c r="G721" s="2188"/>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row>
    <row r="722" spans="7:97" s="246" customFormat="1" x14ac:dyDescent="0.2">
      <c r="G722" s="2188"/>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row>
    <row r="723" spans="7:97" s="246" customFormat="1" x14ac:dyDescent="0.2">
      <c r="G723" s="2188"/>
      <c r="BS723" s="34"/>
      <c r="BT723" s="34"/>
      <c r="BU723" s="34"/>
      <c r="BV723" s="34"/>
      <c r="BW723" s="34"/>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row>
    <row r="724" spans="7:97" s="246" customFormat="1" x14ac:dyDescent="0.2">
      <c r="G724" s="2188"/>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row>
    <row r="725" spans="7:97" s="246" customFormat="1" x14ac:dyDescent="0.2">
      <c r="G725" s="2188"/>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row>
    <row r="726" spans="7:97" s="246" customFormat="1" x14ac:dyDescent="0.2">
      <c r="G726" s="2188"/>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row>
    <row r="727" spans="7:97" s="246" customFormat="1" x14ac:dyDescent="0.2">
      <c r="G727" s="2188"/>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row>
    <row r="728" spans="7:97" s="246" customFormat="1" x14ac:dyDescent="0.2">
      <c r="G728" s="2188"/>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row>
    <row r="729" spans="7:97" s="246" customFormat="1" x14ac:dyDescent="0.2">
      <c r="G729" s="2188"/>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row>
    <row r="730" spans="7:97" s="246" customFormat="1" x14ac:dyDescent="0.2">
      <c r="G730" s="2188"/>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row>
    <row r="731" spans="7:97" s="246" customFormat="1" x14ac:dyDescent="0.2">
      <c r="G731" s="2188"/>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row>
    <row r="732" spans="7:97" s="246" customFormat="1" x14ac:dyDescent="0.2">
      <c r="G732" s="2188"/>
      <c r="BS732" s="34"/>
      <c r="BT732" s="34"/>
      <c r="BU732" s="34"/>
      <c r="BV732" s="34"/>
      <c r="BW732" s="34"/>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row>
    <row r="733" spans="7:97" s="246" customFormat="1" x14ac:dyDescent="0.2">
      <c r="G733" s="2188"/>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row>
    <row r="734" spans="7:97" s="246" customFormat="1" x14ac:dyDescent="0.2">
      <c r="G734" s="2188"/>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row>
    <row r="735" spans="7:97" s="246" customFormat="1" x14ac:dyDescent="0.2">
      <c r="G735" s="2188"/>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row>
    <row r="736" spans="7:97" s="246" customFormat="1" x14ac:dyDescent="0.2">
      <c r="G736" s="2188"/>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row>
    <row r="737" spans="7:97" s="246" customFormat="1" x14ac:dyDescent="0.2">
      <c r="G737" s="2188"/>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row>
    <row r="738" spans="7:97" s="246" customFormat="1" x14ac:dyDescent="0.2">
      <c r="G738" s="2188"/>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row>
    <row r="739" spans="7:97" s="246" customFormat="1" x14ac:dyDescent="0.2">
      <c r="G739" s="2188"/>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row>
    <row r="740" spans="7:97" s="246" customFormat="1" x14ac:dyDescent="0.2">
      <c r="G740" s="2188"/>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row>
    <row r="741" spans="7:97" s="246" customFormat="1" x14ac:dyDescent="0.2">
      <c r="G741" s="2188"/>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row>
    <row r="742" spans="7:97" s="246" customFormat="1" x14ac:dyDescent="0.2">
      <c r="G742" s="2188"/>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row>
    <row r="743" spans="7:97" s="246" customFormat="1" x14ac:dyDescent="0.2">
      <c r="G743" s="2188"/>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row>
    <row r="744" spans="7:97" s="246" customFormat="1" x14ac:dyDescent="0.2">
      <c r="G744" s="2188"/>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row>
    <row r="745" spans="7:97" s="246" customFormat="1" x14ac:dyDescent="0.2">
      <c r="G745" s="2188"/>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row>
    <row r="746" spans="7:97" s="246" customFormat="1" x14ac:dyDescent="0.2">
      <c r="G746" s="2188"/>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row>
    <row r="747" spans="7:97" s="246" customFormat="1" x14ac:dyDescent="0.2">
      <c r="G747" s="2188"/>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row>
    <row r="748" spans="7:97" s="246" customFormat="1" x14ac:dyDescent="0.2">
      <c r="G748" s="2188"/>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row>
    <row r="749" spans="7:97" s="246" customFormat="1" x14ac:dyDescent="0.2">
      <c r="G749" s="2188"/>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row>
    <row r="750" spans="7:97" s="246" customFormat="1" x14ac:dyDescent="0.2">
      <c r="G750" s="2188"/>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row>
    <row r="751" spans="7:97" s="246" customFormat="1" x14ac:dyDescent="0.2">
      <c r="G751" s="2188"/>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row>
    <row r="752" spans="7:97" s="246" customFormat="1" x14ac:dyDescent="0.2">
      <c r="G752" s="2188"/>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row>
    <row r="753" spans="7:97" s="246" customFormat="1" x14ac:dyDescent="0.2">
      <c r="G753" s="2188"/>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row>
    <row r="754" spans="7:97" s="246" customFormat="1" x14ac:dyDescent="0.2">
      <c r="G754" s="2188"/>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row>
    <row r="755" spans="7:97" s="246" customFormat="1" x14ac:dyDescent="0.2">
      <c r="G755" s="2188"/>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row>
    <row r="756" spans="7:97" s="246" customFormat="1" x14ac:dyDescent="0.2">
      <c r="G756" s="2188"/>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row>
    <row r="757" spans="7:97" s="246" customFormat="1" x14ac:dyDescent="0.2">
      <c r="G757" s="2188"/>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row>
    <row r="758" spans="7:97" s="246" customFormat="1" x14ac:dyDescent="0.2">
      <c r="G758" s="2188"/>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row>
    <row r="759" spans="7:97" s="246" customFormat="1" x14ac:dyDescent="0.2">
      <c r="G759" s="2188"/>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row>
    <row r="760" spans="7:97" s="246" customFormat="1" x14ac:dyDescent="0.2">
      <c r="G760" s="2188"/>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row>
    <row r="761" spans="7:97" s="246" customFormat="1" x14ac:dyDescent="0.2">
      <c r="G761" s="2188"/>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row>
    <row r="762" spans="7:97" s="246" customFormat="1" x14ac:dyDescent="0.2">
      <c r="G762" s="2188"/>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row>
    <row r="763" spans="7:97" s="246" customFormat="1" x14ac:dyDescent="0.2">
      <c r="G763" s="2188"/>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row>
    <row r="764" spans="7:97" s="246" customFormat="1" x14ac:dyDescent="0.2">
      <c r="G764" s="2188"/>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row>
    <row r="765" spans="7:97" s="246" customFormat="1" x14ac:dyDescent="0.2">
      <c r="G765" s="2188"/>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row>
    <row r="766" spans="7:97" s="246" customFormat="1" x14ac:dyDescent="0.2">
      <c r="G766" s="2188"/>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row>
    <row r="767" spans="7:97" s="246" customFormat="1" x14ac:dyDescent="0.2">
      <c r="G767" s="2188"/>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row>
    <row r="768" spans="7:97" s="246" customFormat="1" x14ac:dyDescent="0.2">
      <c r="G768" s="2188"/>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row>
    <row r="769" spans="7:97" s="246" customFormat="1" x14ac:dyDescent="0.2">
      <c r="G769" s="2188"/>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row>
    <row r="770" spans="7:97" s="246" customFormat="1" x14ac:dyDescent="0.2">
      <c r="G770" s="2188"/>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row>
    <row r="771" spans="7:97" s="246" customFormat="1" x14ac:dyDescent="0.2">
      <c r="G771" s="2188"/>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row>
    <row r="772" spans="7:97" s="246" customFormat="1" x14ac:dyDescent="0.2">
      <c r="G772" s="2188"/>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row>
    <row r="773" spans="7:97" s="246" customFormat="1" x14ac:dyDescent="0.2">
      <c r="G773" s="2188"/>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row>
    <row r="774" spans="7:97" s="246" customFormat="1" x14ac:dyDescent="0.2">
      <c r="G774" s="2188"/>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row>
    <row r="775" spans="7:97" s="246" customFormat="1" x14ac:dyDescent="0.2">
      <c r="G775" s="2188"/>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row>
    <row r="776" spans="7:97" s="246" customFormat="1" x14ac:dyDescent="0.2">
      <c r="G776" s="2188"/>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row>
    <row r="777" spans="7:97" s="246" customFormat="1" x14ac:dyDescent="0.2">
      <c r="G777" s="2188"/>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row>
    <row r="778" spans="7:97" s="246" customFormat="1" x14ac:dyDescent="0.2">
      <c r="G778" s="2188"/>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row>
    <row r="779" spans="7:97" s="246" customFormat="1" x14ac:dyDescent="0.2">
      <c r="G779" s="2188"/>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row>
    <row r="780" spans="7:97" s="246" customFormat="1" x14ac:dyDescent="0.2">
      <c r="G780" s="2188"/>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row>
    <row r="781" spans="7:97" s="246" customFormat="1" x14ac:dyDescent="0.2">
      <c r="G781" s="2188"/>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row>
    <row r="782" spans="7:97" s="246" customFormat="1" x14ac:dyDescent="0.2">
      <c r="G782" s="2188"/>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row>
    <row r="783" spans="7:97" s="246" customFormat="1" x14ac:dyDescent="0.2">
      <c r="G783" s="2188"/>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row>
    <row r="784" spans="7:97" s="246" customFormat="1" x14ac:dyDescent="0.2">
      <c r="G784" s="2188"/>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row>
    <row r="785" spans="7:97" s="246" customFormat="1" x14ac:dyDescent="0.2">
      <c r="G785" s="2188"/>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row>
    <row r="786" spans="7:97" s="246" customFormat="1" x14ac:dyDescent="0.2">
      <c r="G786" s="2188"/>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row>
    <row r="787" spans="7:97" s="246" customFormat="1" x14ac:dyDescent="0.2">
      <c r="G787" s="2188"/>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row>
    <row r="788" spans="7:97" s="246" customFormat="1" x14ac:dyDescent="0.2">
      <c r="G788" s="2188"/>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row>
    <row r="789" spans="7:97" s="246" customFormat="1" x14ac:dyDescent="0.2">
      <c r="G789" s="2188"/>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row>
    <row r="790" spans="7:97" s="246" customFormat="1" x14ac:dyDescent="0.2">
      <c r="G790" s="2188"/>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row>
    <row r="791" spans="7:97" s="246" customFormat="1" x14ac:dyDescent="0.2">
      <c r="G791" s="2188"/>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row>
    <row r="792" spans="7:97" s="246" customFormat="1" x14ac:dyDescent="0.2">
      <c r="G792" s="2188"/>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row>
    <row r="793" spans="7:97" s="246" customFormat="1" x14ac:dyDescent="0.2">
      <c r="G793" s="2188"/>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row>
    <row r="794" spans="7:97" s="246" customFormat="1" x14ac:dyDescent="0.2">
      <c r="G794" s="2188"/>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row>
    <row r="795" spans="7:97" s="246" customFormat="1" x14ac:dyDescent="0.2">
      <c r="G795" s="2188"/>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row>
    <row r="796" spans="7:97" s="246" customFormat="1" x14ac:dyDescent="0.2">
      <c r="G796" s="2188"/>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row>
    <row r="797" spans="7:97" s="246" customFormat="1" x14ac:dyDescent="0.2">
      <c r="G797" s="2188"/>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row>
    <row r="798" spans="7:97" s="246" customFormat="1" x14ac:dyDescent="0.2">
      <c r="G798" s="2188"/>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row>
    <row r="799" spans="7:97" s="246" customFormat="1" x14ac:dyDescent="0.2">
      <c r="G799" s="2188"/>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row>
    <row r="800" spans="7:97" s="246" customFormat="1" x14ac:dyDescent="0.2">
      <c r="G800" s="2188"/>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row>
    <row r="801" spans="7:97" s="246" customFormat="1" x14ac:dyDescent="0.2">
      <c r="G801" s="2188"/>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row>
    <row r="802" spans="7:97" s="246" customFormat="1" x14ac:dyDescent="0.2">
      <c r="G802" s="2188"/>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row>
    <row r="803" spans="7:97" s="246" customFormat="1" x14ac:dyDescent="0.2">
      <c r="G803" s="2188"/>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row>
    <row r="804" spans="7:97" s="246" customFormat="1" x14ac:dyDescent="0.2">
      <c r="G804" s="2188"/>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row>
    <row r="805" spans="7:97" s="246" customFormat="1" x14ac:dyDescent="0.2">
      <c r="G805" s="2188"/>
      <c r="BS805" s="34"/>
      <c r="BT805" s="34"/>
      <c r="BU805" s="34"/>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c r="CS805" s="34"/>
    </row>
    <row r="806" spans="7:97" s="246" customFormat="1" x14ac:dyDescent="0.2">
      <c r="G806" s="2188"/>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row>
    <row r="807" spans="7:97" s="246" customFormat="1" x14ac:dyDescent="0.2">
      <c r="G807" s="2188"/>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row>
    <row r="808" spans="7:97" s="246" customFormat="1" x14ac:dyDescent="0.2">
      <c r="G808" s="2188"/>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c r="CS808" s="34"/>
    </row>
    <row r="809" spans="7:97" s="246" customFormat="1" x14ac:dyDescent="0.2">
      <c r="G809" s="2188"/>
      <c r="BS809" s="34"/>
      <c r="BT809" s="34"/>
      <c r="BU809" s="34"/>
      <c r="BV809" s="34"/>
      <c r="BW809" s="34"/>
      <c r="BX809" s="34"/>
      <c r="BY809" s="34"/>
      <c r="BZ809" s="34"/>
      <c r="CA809" s="34"/>
      <c r="CB809" s="34"/>
      <c r="CC809" s="34"/>
      <c r="CD809" s="34"/>
      <c r="CE809" s="34"/>
      <c r="CF809" s="34"/>
      <c r="CG809" s="34"/>
      <c r="CH809" s="34"/>
      <c r="CI809" s="34"/>
      <c r="CJ809" s="34"/>
      <c r="CK809" s="34"/>
      <c r="CL809" s="34"/>
      <c r="CM809" s="34"/>
      <c r="CN809" s="34"/>
      <c r="CO809" s="34"/>
      <c r="CP809" s="34"/>
      <c r="CQ809" s="34"/>
      <c r="CR809" s="34"/>
      <c r="CS809" s="34"/>
    </row>
    <row r="810" spans="7:97" s="246" customFormat="1" x14ac:dyDescent="0.2">
      <c r="G810" s="2188"/>
      <c r="BS810" s="34"/>
      <c r="BT810" s="34"/>
      <c r="BU810" s="34"/>
      <c r="BV810" s="34"/>
      <c r="BW810" s="34"/>
      <c r="BX810" s="34"/>
      <c r="BY810" s="34"/>
      <c r="BZ810" s="34"/>
      <c r="CA810" s="34"/>
      <c r="CB810" s="34"/>
      <c r="CC810" s="34"/>
      <c r="CD810" s="34"/>
      <c r="CE810" s="34"/>
      <c r="CF810" s="34"/>
      <c r="CG810" s="34"/>
      <c r="CH810" s="34"/>
      <c r="CI810" s="34"/>
      <c r="CJ810" s="34"/>
      <c r="CK810" s="34"/>
      <c r="CL810" s="34"/>
      <c r="CM810" s="34"/>
      <c r="CN810" s="34"/>
      <c r="CO810" s="34"/>
      <c r="CP810" s="34"/>
      <c r="CQ810" s="34"/>
      <c r="CR810" s="34"/>
      <c r="CS810" s="34"/>
    </row>
    <row r="811" spans="7:97" s="246" customFormat="1" x14ac:dyDescent="0.2">
      <c r="G811" s="2188"/>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c r="CS811" s="34"/>
    </row>
    <row r="812" spans="7:97" s="246" customFormat="1" x14ac:dyDescent="0.2">
      <c r="G812" s="2188"/>
      <c r="BS812" s="34"/>
      <c r="BT812" s="34"/>
      <c r="BU812" s="34"/>
      <c r="BV812" s="34"/>
      <c r="BW812" s="34"/>
      <c r="BX812" s="34"/>
      <c r="BY812" s="34"/>
      <c r="BZ812" s="34"/>
      <c r="CA812" s="34"/>
      <c r="CB812" s="34"/>
      <c r="CC812" s="34"/>
      <c r="CD812" s="34"/>
      <c r="CE812" s="34"/>
      <c r="CF812" s="34"/>
      <c r="CG812" s="34"/>
      <c r="CH812" s="34"/>
      <c r="CI812" s="34"/>
      <c r="CJ812" s="34"/>
      <c r="CK812" s="34"/>
      <c r="CL812" s="34"/>
      <c r="CM812" s="34"/>
      <c r="CN812" s="34"/>
      <c r="CO812" s="34"/>
      <c r="CP812" s="34"/>
      <c r="CQ812" s="34"/>
      <c r="CR812" s="34"/>
      <c r="CS812" s="34"/>
    </row>
    <row r="813" spans="7:97" s="246" customFormat="1" x14ac:dyDescent="0.2">
      <c r="G813" s="2188"/>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row>
    <row r="814" spans="7:97" s="246" customFormat="1" x14ac:dyDescent="0.2">
      <c r="G814" s="2188"/>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row>
    <row r="815" spans="7:97" s="246" customFormat="1" x14ac:dyDescent="0.2">
      <c r="G815" s="2188"/>
      <c r="BS815" s="34"/>
      <c r="BT815" s="34"/>
      <c r="BU815" s="34"/>
      <c r="BV815" s="34"/>
      <c r="BW815" s="34"/>
      <c r="BX815" s="34"/>
      <c r="BY815" s="34"/>
      <c r="BZ815" s="34"/>
      <c r="CA815" s="34"/>
      <c r="CB815" s="34"/>
      <c r="CC815" s="34"/>
      <c r="CD815" s="34"/>
      <c r="CE815" s="34"/>
      <c r="CF815" s="34"/>
      <c r="CG815" s="34"/>
      <c r="CH815" s="34"/>
      <c r="CI815" s="34"/>
      <c r="CJ815" s="34"/>
      <c r="CK815" s="34"/>
      <c r="CL815" s="34"/>
      <c r="CM815" s="34"/>
      <c r="CN815" s="34"/>
      <c r="CO815" s="34"/>
      <c r="CP815" s="34"/>
      <c r="CQ815" s="34"/>
      <c r="CR815" s="34"/>
      <c r="CS815" s="34"/>
    </row>
    <row r="816" spans="7:97" s="246" customFormat="1" x14ac:dyDescent="0.2">
      <c r="G816" s="2188"/>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row>
    <row r="817" spans="7:97" s="246" customFormat="1" x14ac:dyDescent="0.2">
      <c r="G817" s="2188"/>
      <c r="BS817" s="34"/>
      <c r="BT817" s="34"/>
      <c r="BU817" s="34"/>
      <c r="BV817" s="34"/>
      <c r="BW817" s="34"/>
      <c r="BX817" s="34"/>
      <c r="BY817" s="34"/>
      <c r="BZ817" s="34"/>
      <c r="CA817" s="34"/>
      <c r="CB817" s="34"/>
      <c r="CC817" s="34"/>
      <c r="CD817" s="34"/>
      <c r="CE817" s="34"/>
      <c r="CF817" s="34"/>
      <c r="CG817" s="34"/>
      <c r="CH817" s="34"/>
      <c r="CI817" s="34"/>
      <c r="CJ817" s="34"/>
      <c r="CK817" s="34"/>
      <c r="CL817" s="34"/>
      <c r="CM817" s="34"/>
      <c r="CN817" s="34"/>
      <c r="CO817" s="34"/>
      <c r="CP817" s="34"/>
      <c r="CQ817" s="34"/>
      <c r="CR817" s="34"/>
      <c r="CS817" s="34"/>
    </row>
    <row r="818" spans="7:97" s="246" customFormat="1" x14ac:dyDescent="0.2">
      <c r="G818" s="2188"/>
      <c r="BS818" s="34"/>
      <c r="BT818" s="34"/>
      <c r="BU818" s="34"/>
      <c r="BV818" s="34"/>
      <c r="BW818" s="34"/>
      <c r="BX818" s="34"/>
      <c r="BY818" s="34"/>
      <c r="BZ818" s="34"/>
      <c r="CA818" s="34"/>
      <c r="CB818" s="34"/>
      <c r="CC818" s="34"/>
      <c r="CD818" s="34"/>
      <c r="CE818" s="34"/>
      <c r="CF818" s="34"/>
      <c r="CG818" s="34"/>
      <c r="CH818" s="34"/>
      <c r="CI818" s="34"/>
      <c r="CJ818" s="34"/>
      <c r="CK818" s="34"/>
      <c r="CL818" s="34"/>
      <c r="CM818" s="34"/>
      <c r="CN818" s="34"/>
      <c r="CO818" s="34"/>
      <c r="CP818" s="34"/>
      <c r="CQ818" s="34"/>
      <c r="CR818" s="34"/>
      <c r="CS818" s="34"/>
    </row>
    <row r="819" spans="7:97" s="246" customFormat="1" x14ac:dyDescent="0.2">
      <c r="G819" s="2188"/>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row>
    <row r="820" spans="7:97" s="246" customFormat="1" x14ac:dyDescent="0.2">
      <c r="G820" s="2188"/>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row>
    <row r="821" spans="7:97" s="246" customFormat="1" x14ac:dyDescent="0.2">
      <c r="G821" s="2188"/>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34"/>
      <c r="CS821" s="34"/>
    </row>
    <row r="822" spans="7:97" s="246" customFormat="1" x14ac:dyDescent="0.2">
      <c r="G822" s="2188"/>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34"/>
      <c r="CS822" s="34"/>
    </row>
    <row r="823" spans="7:97" s="246" customFormat="1" x14ac:dyDescent="0.2">
      <c r="G823" s="2188"/>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row>
    <row r="824" spans="7:97" s="246" customFormat="1" x14ac:dyDescent="0.2">
      <c r="G824" s="2188"/>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row>
    <row r="825" spans="7:97" s="246" customFormat="1" x14ac:dyDescent="0.2">
      <c r="G825" s="2188"/>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34"/>
      <c r="CS825" s="34"/>
    </row>
    <row r="826" spans="7:97" s="246" customFormat="1" x14ac:dyDescent="0.2">
      <c r="G826" s="2188"/>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row>
    <row r="827" spans="7:97" s="246" customFormat="1" x14ac:dyDescent="0.2">
      <c r="G827" s="2188"/>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34"/>
      <c r="CS827" s="34"/>
    </row>
    <row r="828" spans="7:97" s="246" customFormat="1" x14ac:dyDescent="0.2">
      <c r="G828" s="2188"/>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34"/>
      <c r="CS828" s="34"/>
    </row>
    <row r="829" spans="7:97" s="246" customFormat="1" x14ac:dyDescent="0.2">
      <c r="G829" s="2188"/>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34"/>
      <c r="CS829" s="34"/>
    </row>
    <row r="830" spans="7:97" s="246" customFormat="1" x14ac:dyDescent="0.2">
      <c r="G830" s="2188"/>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row>
    <row r="831" spans="7:97" s="246" customFormat="1" x14ac:dyDescent="0.2">
      <c r="G831" s="2188"/>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row>
    <row r="832" spans="7:97" s="246" customFormat="1" x14ac:dyDescent="0.2">
      <c r="G832" s="2188"/>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row>
    <row r="833" spans="7:97" s="246" customFormat="1" x14ac:dyDescent="0.2">
      <c r="G833" s="2188"/>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row>
    <row r="834" spans="7:97" s="246" customFormat="1" x14ac:dyDescent="0.2">
      <c r="G834" s="2188"/>
      <c r="BS834" s="34"/>
      <c r="BT834" s="34"/>
      <c r="BU834" s="34"/>
      <c r="BV834" s="34"/>
      <c r="BW834" s="34"/>
      <c r="BX834" s="34"/>
      <c r="BY834" s="34"/>
      <c r="BZ834" s="34"/>
      <c r="CA834" s="34"/>
      <c r="CB834" s="34"/>
      <c r="CC834" s="34"/>
      <c r="CD834" s="34"/>
      <c r="CE834" s="34"/>
      <c r="CF834" s="34"/>
      <c r="CG834" s="34"/>
      <c r="CH834" s="34"/>
      <c r="CI834" s="34"/>
      <c r="CJ834" s="34"/>
      <c r="CK834" s="34"/>
      <c r="CL834" s="34"/>
      <c r="CM834" s="34"/>
      <c r="CN834" s="34"/>
      <c r="CO834" s="34"/>
      <c r="CP834" s="34"/>
      <c r="CQ834" s="34"/>
      <c r="CR834" s="34"/>
      <c r="CS834" s="34"/>
    </row>
    <row r="835" spans="7:97" s="246" customFormat="1" x14ac:dyDescent="0.2">
      <c r="G835" s="2188"/>
      <c r="BS835" s="34"/>
      <c r="BT835" s="34"/>
      <c r="BU835" s="34"/>
      <c r="BV835" s="34"/>
      <c r="BW835" s="34"/>
      <c r="BX835" s="34"/>
      <c r="BY835" s="34"/>
      <c r="BZ835" s="34"/>
      <c r="CA835" s="34"/>
      <c r="CB835" s="34"/>
      <c r="CC835" s="34"/>
      <c r="CD835" s="34"/>
      <c r="CE835" s="34"/>
      <c r="CF835" s="34"/>
      <c r="CG835" s="34"/>
      <c r="CH835" s="34"/>
      <c r="CI835" s="34"/>
      <c r="CJ835" s="34"/>
      <c r="CK835" s="34"/>
      <c r="CL835" s="34"/>
      <c r="CM835" s="34"/>
      <c r="CN835" s="34"/>
      <c r="CO835" s="34"/>
      <c r="CP835" s="34"/>
      <c r="CQ835" s="34"/>
      <c r="CR835" s="34"/>
      <c r="CS835" s="34"/>
    </row>
    <row r="836" spans="7:97" s="246" customFormat="1" x14ac:dyDescent="0.2">
      <c r="G836" s="2188"/>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row>
    <row r="837" spans="7:97" s="246" customFormat="1" x14ac:dyDescent="0.2">
      <c r="G837" s="2188"/>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row>
    <row r="838" spans="7:97" s="246" customFormat="1" x14ac:dyDescent="0.2">
      <c r="G838" s="2188"/>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row>
    <row r="839" spans="7:97" s="246" customFormat="1" x14ac:dyDescent="0.2">
      <c r="G839" s="2188"/>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row>
    <row r="840" spans="7:97" s="246" customFormat="1" x14ac:dyDescent="0.2">
      <c r="G840" s="2188"/>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row>
    <row r="841" spans="7:97" s="246" customFormat="1" x14ac:dyDescent="0.2">
      <c r="G841" s="2188"/>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row>
    <row r="842" spans="7:97" s="246" customFormat="1" x14ac:dyDescent="0.2">
      <c r="G842" s="2188"/>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row>
    <row r="843" spans="7:97" s="246" customFormat="1" x14ac:dyDescent="0.2">
      <c r="G843" s="2188"/>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c r="CS843" s="34"/>
    </row>
    <row r="844" spans="7:97" s="246" customFormat="1" x14ac:dyDescent="0.2">
      <c r="G844" s="2188"/>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c r="CS844" s="34"/>
    </row>
    <row r="845" spans="7:97" s="246" customFormat="1" x14ac:dyDescent="0.2">
      <c r="G845" s="2188"/>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c r="CS845" s="34"/>
    </row>
    <row r="846" spans="7:97" s="246" customFormat="1" x14ac:dyDescent="0.2">
      <c r="G846" s="2188"/>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row>
    <row r="847" spans="7:97" s="246" customFormat="1" x14ac:dyDescent="0.2">
      <c r="G847" s="2188"/>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c r="CS847" s="34"/>
    </row>
    <row r="848" spans="7:97" s="246" customFormat="1" x14ac:dyDescent="0.2">
      <c r="G848" s="2188"/>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c r="CS848" s="34"/>
    </row>
    <row r="849" spans="7:97" s="246" customFormat="1" x14ac:dyDescent="0.2">
      <c r="G849" s="2188"/>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c r="CS849" s="34"/>
    </row>
    <row r="850" spans="7:97" s="246" customFormat="1" x14ac:dyDescent="0.2">
      <c r="G850" s="2188"/>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row>
    <row r="851" spans="7:97" s="246" customFormat="1" x14ac:dyDescent="0.2">
      <c r="G851" s="2188"/>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row>
    <row r="852" spans="7:97" s="246" customFormat="1" x14ac:dyDescent="0.2">
      <c r="G852" s="2188"/>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row>
    <row r="853" spans="7:97" s="246" customFormat="1" x14ac:dyDescent="0.2">
      <c r="G853" s="2188"/>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row>
    <row r="854" spans="7:97" s="246" customFormat="1" x14ac:dyDescent="0.2">
      <c r="G854" s="2188"/>
      <c r="BS854" s="34"/>
      <c r="BT854" s="34"/>
      <c r="BU854" s="34"/>
      <c r="BV854" s="34"/>
      <c r="BW854" s="34"/>
      <c r="BX854" s="34"/>
      <c r="BY854" s="34"/>
      <c r="BZ854" s="34"/>
      <c r="CA854" s="34"/>
      <c r="CB854" s="34"/>
      <c r="CC854" s="34"/>
      <c r="CD854" s="34"/>
      <c r="CE854" s="34"/>
      <c r="CF854" s="34"/>
      <c r="CG854" s="34"/>
      <c r="CH854" s="34"/>
      <c r="CI854" s="34"/>
      <c r="CJ854" s="34"/>
      <c r="CK854" s="34"/>
      <c r="CL854" s="34"/>
      <c r="CM854" s="34"/>
      <c r="CN854" s="34"/>
      <c r="CO854" s="34"/>
      <c r="CP854" s="34"/>
      <c r="CQ854" s="34"/>
      <c r="CR854" s="34"/>
      <c r="CS854" s="34"/>
    </row>
    <row r="855" spans="7:97" s="246" customFormat="1" x14ac:dyDescent="0.2">
      <c r="G855" s="2188"/>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c r="CS855" s="34"/>
    </row>
    <row r="856" spans="7:97" s="246" customFormat="1" x14ac:dyDescent="0.2">
      <c r="G856" s="2188"/>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row>
    <row r="857" spans="7:97" s="246" customFormat="1" x14ac:dyDescent="0.2">
      <c r="G857" s="2188"/>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c r="CS857" s="34"/>
    </row>
    <row r="858" spans="7:97" s="246" customFormat="1" x14ac:dyDescent="0.2">
      <c r="G858" s="2188"/>
      <c r="BS858" s="34"/>
      <c r="BT858" s="34"/>
      <c r="BU858" s="34"/>
      <c r="BV858" s="34"/>
      <c r="BW858" s="34"/>
      <c r="BX858" s="34"/>
      <c r="BY858" s="34"/>
      <c r="BZ858" s="34"/>
      <c r="CA858" s="34"/>
      <c r="CB858" s="34"/>
      <c r="CC858" s="34"/>
      <c r="CD858" s="34"/>
      <c r="CE858" s="34"/>
      <c r="CF858" s="34"/>
      <c r="CG858" s="34"/>
      <c r="CH858" s="34"/>
      <c r="CI858" s="34"/>
      <c r="CJ858" s="34"/>
      <c r="CK858" s="34"/>
      <c r="CL858" s="34"/>
      <c r="CM858" s="34"/>
      <c r="CN858" s="34"/>
      <c r="CO858" s="34"/>
      <c r="CP858" s="34"/>
      <c r="CQ858" s="34"/>
      <c r="CR858" s="34"/>
      <c r="CS858" s="34"/>
    </row>
    <row r="859" spans="7:97" s="246" customFormat="1" x14ac:dyDescent="0.2">
      <c r="G859" s="2188"/>
      <c r="BS859" s="34"/>
      <c r="BT859" s="34"/>
      <c r="BU859" s="34"/>
      <c r="BV859" s="34"/>
      <c r="BW859" s="34"/>
      <c r="BX859" s="34"/>
      <c r="BY859" s="34"/>
      <c r="BZ859" s="34"/>
      <c r="CA859" s="34"/>
      <c r="CB859" s="34"/>
      <c r="CC859" s="34"/>
      <c r="CD859" s="34"/>
      <c r="CE859" s="34"/>
      <c r="CF859" s="34"/>
      <c r="CG859" s="34"/>
      <c r="CH859" s="34"/>
      <c r="CI859" s="34"/>
      <c r="CJ859" s="34"/>
      <c r="CK859" s="34"/>
      <c r="CL859" s="34"/>
      <c r="CM859" s="34"/>
      <c r="CN859" s="34"/>
      <c r="CO859" s="34"/>
      <c r="CP859" s="34"/>
      <c r="CQ859" s="34"/>
      <c r="CR859" s="34"/>
      <c r="CS859" s="34"/>
    </row>
    <row r="860" spans="7:97" s="246" customFormat="1" x14ac:dyDescent="0.2">
      <c r="G860" s="2188"/>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row>
    <row r="861" spans="7:97" s="246" customFormat="1" x14ac:dyDescent="0.2">
      <c r="G861" s="2188"/>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row>
    <row r="862" spans="7:97" s="246" customFormat="1" x14ac:dyDescent="0.2">
      <c r="G862" s="2188"/>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row>
    <row r="863" spans="7:97" s="246" customFormat="1" x14ac:dyDescent="0.2">
      <c r="G863" s="2188"/>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row>
    <row r="864" spans="7:97" s="246" customFormat="1" x14ac:dyDescent="0.2">
      <c r="G864" s="2188"/>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row>
    <row r="865" spans="7:97" s="246" customFormat="1" x14ac:dyDescent="0.2">
      <c r="G865" s="2188"/>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row>
    <row r="866" spans="7:97" s="246" customFormat="1" x14ac:dyDescent="0.2">
      <c r="G866" s="2188"/>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row>
    <row r="867" spans="7:97" s="246" customFormat="1" x14ac:dyDescent="0.2">
      <c r="G867" s="2188"/>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row>
    <row r="868" spans="7:97" s="246" customFormat="1" x14ac:dyDescent="0.2">
      <c r="G868" s="2188"/>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row>
    <row r="869" spans="7:97" s="246" customFormat="1" x14ac:dyDescent="0.2">
      <c r="G869" s="2188"/>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row>
    <row r="870" spans="7:97" s="246" customFormat="1" x14ac:dyDescent="0.2">
      <c r="G870" s="2188"/>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row>
    <row r="871" spans="7:97" s="246" customFormat="1" x14ac:dyDescent="0.2">
      <c r="G871" s="2188"/>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row>
    <row r="872" spans="7:97" s="246" customFormat="1" x14ac:dyDescent="0.2">
      <c r="G872" s="2188"/>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row>
    <row r="873" spans="7:97" s="246" customFormat="1" x14ac:dyDescent="0.2">
      <c r="G873" s="2188"/>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row>
    <row r="874" spans="7:97" s="246" customFormat="1" x14ac:dyDescent="0.2">
      <c r="G874" s="2188"/>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row>
    <row r="875" spans="7:97" s="246" customFormat="1" x14ac:dyDescent="0.2">
      <c r="G875" s="2188"/>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row>
    <row r="876" spans="7:97" s="246" customFormat="1" x14ac:dyDescent="0.2">
      <c r="G876" s="2188"/>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row>
    <row r="877" spans="7:97" s="246" customFormat="1" x14ac:dyDescent="0.2">
      <c r="G877" s="2188"/>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row>
    <row r="878" spans="7:97" s="246" customFormat="1" x14ac:dyDescent="0.2">
      <c r="G878" s="2188"/>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row>
    <row r="879" spans="7:97" s="246" customFormat="1" x14ac:dyDescent="0.2">
      <c r="G879" s="2188"/>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row>
    <row r="880" spans="7:97" s="246" customFormat="1" x14ac:dyDescent="0.2">
      <c r="G880" s="2188"/>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row>
    <row r="881" spans="7:97" s="246" customFormat="1" x14ac:dyDescent="0.2">
      <c r="G881" s="2188"/>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row>
    <row r="882" spans="7:97" s="246" customFormat="1" x14ac:dyDescent="0.2">
      <c r="G882" s="2188"/>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row>
    <row r="883" spans="7:97" s="246" customFormat="1" x14ac:dyDescent="0.2">
      <c r="G883" s="2188"/>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row>
    <row r="884" spans="7:97" s="246" customFormat="1" x14ac:dyDescent="0.2">
      <c r="G884" s="2188"/>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row>
    <row r="885" spans="7:97" s="246" customFormat="1" x14ac:dyDescent="0.2">
      <c r="G885" s="2188"/>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row>
    <row r="886" spans="7:97" s="246" customFormat="1" x14ac:dyDescent="0.2">
      <c r="G886" s="2188"/>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row>
    <row r="887" spans="7:97" s="246" customFormat="1" x14ac:dyDescent="0.2">
      <c r="G887" s="2188"/>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row>
    <row r="888" spans="7:97" s="246" customFormat="1" x14ac:dyDescent="0.2">
      <c r="G888" s="2188"/>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row>
    <row r="889" spans="7:97" s="246" customFormat="1" x14ac:dyDescent="0.2">
      <c r="G889" s="2188"/>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row>
    <row r="890" spans="7:97" s="246" customFormat="1" x14ac:dyDescent="0.2">
      <c r="G890" s="2188"/>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row>
    <row r="891" spans="7:97" s="246" customFormat="1" x14ac:dyDescent="0.2">
      <c r="G891" s="2188"/>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row>
    <row r="892" spans="7:97" s="246" customFormat="1" x14ac:dyDescent="0.2">
      <c r="G892" s="2188"/>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row>
    <row r="893" spans="7:97" s="246" customFormat="1" x14ac:dyDescent="0.2">
      <c r="G893" s="2188"/>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row>
    <row r="894" spans="7:97" s="246" customFormat="1" x14ac:dyDescent="0.2">
      <c r="G894" s="2188"/>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row>
    <row r="895" spans="7:97" s="246" customFormat="1" x14ac:dyDescent="0.2">
      <c r="G895" s="2188"/>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row>
    <row r="896" spans="7:97" s="246" customFormat="1" x14ac:dyDescent="0.2">
      <c r="G896" s="2188"/>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row>
    <row r="897" spans="7:97" s="246" customFormat="1" x14ac:dyDescent="0.2">
      <c r="G897" s="2188"/>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row>
    <row r="898" spans="7:97" s="246" customFormat="1" x14ac:dyDescent="0.2">
      <c r="G898" s="2188"/>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row>
    <row r="899" spans="7:97" s="246" customFormat="1" x14ac:dyDescent="0.2">
      <c r="G899" s="2188"/>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row>
    <row r="900" spans="7:97" s="246" customFormat="1" x14ac:dyDescent="0.2">
      <c r="G900" s="2188"/>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row>
    <row r="901" spans="7:97" s="246" customFormat="1" x14ac:dyDescent="0.2">
      <c r="G901" s="2188"/>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row>
    <row r="902" spans="7:97" s="246" customFormat="1" x14ac:dyDescent="0.2">
      <c r="G902" s="2188"/>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row>
    <row r="903" spans="7:97" s="246" customFormat="1" x14ac:dyDescent="0.2">
      <c r="G903" s="2188"/>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row>
    <row r="904" spans="7:97" s="246" customFormat="1" x14ac:dyDescent="0.2">
      <c r="G904" s="2188"/>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row>
    <row r="905" spans="7:97" s="246" customFormat="1" x14ac:dyDescent="0.2">
      <c r="G905" s="2188"/>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row>
    <row r="906" spans="7:97" s="246" customFormat="1" x14ac:dyDescent="0.2">
      <c r="G906" s="2188"/>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row>
    <row r="907" spans="7:97" s="246" customFormat="1" x14ac:dyDescent="0.2">
      <c r="G907" s="2188"/>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row>
    <row r="908" spans="7:97" s="246" customFormat="1" x14ac:dyDescent="0.2">
      <c r="G908" s="2188"/>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row>
    <row r="909" spans="7:97" s="246" customFormat="1" x14ac:dyDescent="0.2">
      <c r="G909" s="2188"/>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row>
    <row r="910" spans="7:97" s="246" customFormat="1" x14ac:dyDescent="0.2">
      <c r="G910" s="2188"/>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row>
    <row r="911" spans="7:97" s="246" customFormat="1" x14ac:dyDescent="0.2">
      <c r="G911" s="2188"/>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row>
    <row r="912" spans="7:97" s="246" customFormat="1" x14ac:dyDescent="0.2">
      <c r="G912" s="2188"/>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row>
    <row r="913" spans="7:97" s="246" customFormat="1" x14ac:dyDescent="0.2">
      <c r="G913" s="2188"/>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row>
    <row r="914" spans="7:97" s="246" customFormat="1" x14ac:dyDescent="0.2">
      <c r="G914" s="2188"/>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row>
    <row r="915" spans="7:97" s="246" customFormat="1" x14ac:dyDescent="0.2">
      <c r="G915" s="2188"/>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row>
    <row r="916" spans="7:97" s="246" customFormat="1" x14ac:dyDescent="0.2">
      <c r="G916" s="2188"/>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row>
    <row r="917" spans="7:97" s="246" customFormat="1" x14ac:dyDescent="0.2">
      <c r="G917" s="2188"/>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row>
    <row r="918" spans="7:97" s="246" customFormat="1" x14ac:dyDescent="0.2">
      <c r="G918" s="2188"/>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row>
    <row r="919" spans="7:97" s="246" customFormat="1" x14ac:dyDescent="0.2">
      <c r="G919" s="2188"/>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row>
    <row r="920" spans="7:97" s="246" customFormat="1" x14ac:dyDescent="0.2">
      <c r="G920" s="2188"/>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row>
    <row r="921" spans="7:97" s="246" customFormat="1" x14ac:dyDescent="0.2">
      <c r="G921" s="2188"/>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row>
    <row r="922" spans="7:97" s="246" customFormat="1" x14ac:dyDescent="0.2">
      <c r="G922" s="2188"/>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row>
    <row r="923" spans="7:97" s="246" customFormat="1" x14ac:dyDescent="0.2">
      <c r="G923" s="2188"/>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row>
    <row r="924" spans="7:97" s="246" customFormat="1" x14ac:dyDescent="0.2">
      <c r="G924" s="2188"/>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row>
    <row r="925" spans="7:97" s="246" customFormat="1" x14ac:dyDescent="0.2">
      <c r="G925" s="2188"/>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row>
    <row r="926" spans="7:97" s="246" customFormat="1" x14ac:dyDescent="0.2">
      <c r="G926" s="2188"/>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row>
    <row r="927" spans="7:97" s="246" customFormat="1" x14ac:dyDescent="0.2">
      <c r="G927" s="2188"/>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row>
    <row r="928" spans="7:97" s="246" customFormat="1" x14ac:dyDescent="0.2">
      <c r="G928" s="2188"/>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row>
    <row r="929" spans="7:97" s="246" customFormat="1" x14ac:dyDescent="0.2">
      <c r="G929" s="2188"/>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row>
    <row r="930" spans="7:97" s="246" customFormat="1" x14ac:dyDescent="0.2">
      <c r="G930" s="2188"/>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row>
    <row r="931" spans="7:97" s="246" customFormat="1" x14ac:dyDescent="0.2">
      <c r="G931" s="2188"/>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row>
    <row r="932" spans="7:97" s="246" customFormat="1" x14ac:dyDescent="0.2">
      <c r="G932" s="2188"/>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row>
    <row r="933" spans="7:97" s="246" customFormat="1" x14ac:dyDescent="0.2">
      <c r="G933" s="2188"/>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row>
    <row r="934" spans="7:97" s="246" customFormat="1" x14ac:dyDescent="0.2">
      <c r="G934" s="2188"/>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row>
    <row r="935" spans="7:97" s="246" customFormat="1" x14ac:dyDescent="0.2">
      <c r="G935" s="2188"/>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row>
    <row r="936" spans="7:97" s="246" customFormat="1" x14ac:dyDescent="0.2">
      <c r="G936" s="2188"/>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row>
    <row r="937" spans="7:97" s="246" customFormat="1" x14ac:dyDescent="0.2">
      <c r="G937" s="2188"/>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row>
    <row r="938" spans="7:97" s="246" customFormat="1" x14ac:dyDescent="0.2">
      <c r="G938" s="2188"/>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row>
    <row r="939" spans="7:97" s="246" customFormat="1" x14ac:dyDescent="0.2">
      <c r="G939" s="2188"/>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row>
    <row r="940" spans="7:97" s="246" customFormat="1" x14ac:dyDescent="0.2">
      <c r="G940" s="2188"/>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row>
    <row r="941" spans="7:97" s="246" customFormat="1" x14ac:dyDescent="0.2">
      <c r="G941" s="2188"/>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row>
    <row r="942" spans="7:97" s="246" customFormat="1" x14ac:dyDescent="0.2">
      <c r="G942" s="2188"/>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row>
    <row r="943" spans="7:97" s="246" customFormat="1" x14ac:dyDescent="0.2">
      <c r="G943" s="2188"/>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row>
    <row r="944" spans="7:97" s="246" customFormat="1" x14ac:dyDescent="0.2">
      <c r="G944" s="2188"/>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row>
    <row r="945" spans="7:97" s="246" customFormat="1" x14ac:dyDescent="0.2">
      <c r="G945" s="2188"/>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row>
    <row r="946" spans="7:97" s="246" customFormat="1" x14ac:dyDescent="0.2">
      <c r="G946" s="2188"/>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row>
    <row r="947" spans="7:97" s="246" customFormat="1" x14ac:dyDescent="0.2">
      <c r="G947" s="2188"/>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row>
    <row r="948" spans="7:97" s="246" customFormat="1" x14ac:dyDescent="0.2">
      <c r="G948" s="2188"/>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row>
    <row r="949" spans="7:97" s="246" customFormat="1" x14ac:dyDescent="0.2">
      <c r="G949" s="2188"/>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row>
    <row r="950" spans="7:97" s="246" customFormat="1" x14ac:dyDescent="0.2">
      <c r="G950" s="2188"/>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row>
    <row r="951" spans="7:97" s="246" customFormat="1" x14ac:dyDescent="0.2">
      <c r="G951" s="2188"/>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row>
    <row r="952" spans="7:97" s="246" customFormat="1" x14ac:dyDescent="0.2">
      <c r="G952" s="2188"/>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row>
    <row r="953" spans="7:97" s="246" customFormat="1" x14ac:dyDescent="0.2">
      <c r="G953" s="2188"/>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row>
    <row r="954" spans="7:97" s="246" customFormat="1" x14ac:dyDescent="0.2">
      <c r="G954" s="2188"/>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row>
    <row r="955" spans="7:97" s="246" customFormat="1" x14ac:dyDescent="0.2">
      <c r="G955" s="2188"/>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row>
    <row r="956" spans="7:97" s="246" customFormat="1" x14ac:dyDescent="0.2">
      <c r="G956" s="2188"/>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row>
    <row r="957" spans="7:97" s="246" customFormat="1" x14ac:dyDescent="0.2">
      <c r="G957" s="2188"/>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row>
    <row r="958" spans="7:97" s="246" customFormat="1" x14ac:dyDescent="0.2">
      <c r="G958" s="2188"/>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row>
    <row r="959" spans="7:97" s="246" customFormat="1" x14ac:dyDescent="0.2">
      <c r="G959" s="2188"/>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row>
    <row r="960" spans="7:97" s="246" customFormat="1" x14ac:dyDescent="0.2">
      <c r="G960" s="2188"/>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row>
    <row r="961" spans="7:97" s="246" customFormat="1" x14ac:dyDescent="0.2">
      <c r="G961" s="2188"/>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row>
    <row r="962" spans="7:97" s="246" customFormat="1" x14ac:dyDescent="0.2">
      <c r="G962" s="2188"/>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row>
    <row r="963" spans="7:97" s="246" customFormat="1" x14ac:dyDescent="0.2">
      <c r="G963" s="2188"/>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row>
    <row r="964" spans="7:97" s="246" customFormat="1" x14ac:dyDescent="0.2">
      <c r="G964" s="2188"/>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row>
    <row r="965" spans="7:97" s="246" customFormat="1" x14ac:dyDescent="0.2">
      <c r="G965" s="2188"/>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row>
    <row r="966" spans="7:97" s="246" customFormat="1" x14ac:dyDescent="0.2">
      <c r="G966" s="2188"/>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row>
    <row r="967" spans="7:97" s="246" customFormat="1" x14ac:dyDescent="0.2">
      <c r="G967" s="2188"/>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row>
    <row r="968" spans="7:97" s="246" customFormat="1" x14ac:dyDescent="0.2">
      <c r="G968" s="2188"/>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row>
    <row r="969" spans="7:97" s="246" customFormat="1" x14ac:dyDescent="0.2">
      <c r="G969" s="2188"/>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row>
    <row r="970" spans="7:97" s="246" customFormat="1" x14ac:dyDescent="0.2">
      <c r="G970" s="2188"/>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row>
    <row r="971" spans="7:97" s="246" customFormat="1" x14ac:dyDescent="0.2">
      <c r="G971" s="2188"/>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row>
    <row r="972" spans="7:97" s="246" customFormat="1" x14ac:dyDescent="0.2">
      <c r="G972" s="2188"/>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row>
    <row r="973" spans="7:97" s="246" customFormat="1" x14ac:dyDescent="0.2">
      <c r="G973" s="2188"/>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row>
    <row r="974" spans="7:97" s="246" customFormat="1" x14ac:dyDescent="0.2">
      <c r="G974" s="2188"/>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row>
    <row r="975" spans="7:97" s="246" customFormat="1" x14ac:dyDescent="0.2">
      <c r="G975" s="2188"/>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row>
    <row r="976" spans="7:97" s="246" customFormat="1" x14ac:dyDescent="0.2">
      <c r="G976" s="2188"/>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row>
    <row r="977" spans="7:97" s="246" customFormat="1" x14ac:dyDescent="0.2">
      <c r="G977" s="2188"/>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row>
    <row r="978" spans="7:97" s="246" customFormat="1" x14ac:dyDescent="0.2">
      <c r="G978" s="2188"/>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row>
    <row r="979" spans="7:97" s="246" customFormat="1" x14ac:dyDescent="0.2">
      <c r="G979" s="2188"/>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row>
    <row r="980" spans="7:97" s="246" customFormat="1" x14ac:dyDescent="0.2">
      <c r="G980" s="2188"/>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row>
    <row r="981" spans="7:97" s="246" customFormat="1" x14ac:dyDescent="0.2">
      <c r="G981" s="2188"/>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row>
    <row r="982" spans="7:97" s="246" customFormat="1" x14ac:dyDescent="0.2">
      <c r="G982" s="2188"/>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row>
    <row r="983" spans="7:97" s="246" customFormat="1" x14ac:dyDescent="0.2">
      <c r="G983" s="2188"/>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row>
    <row r="984" spans="7:97" s="246" customFormat="1" x14ac:dyDescent="0.2">
      <c r="G984" s="2188"/>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row>
    <row r="985" spans="7:97" s="246" customFormat="1" x14ac:dyDescent="0.2">
      <c r="G985" s="2188"/>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row>
    <row r="986" spans="7:97" s="246" customFormat="1" x14ac:dyDescent="0.2">
      <c r="G986" s="2188"/>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row>
    <row r="987" spans="7:97" s="246" customFormat="1" x14ac:dyDescent="0.2">
      <c r="G987" s="2188"/>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row>
    <row r="988" spans="7:97" s="246" customFormat="1" x14ac:dyDescent="0.2">
      <c r="G988" s="2188"/>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row>
    <row r="989" spans="7:97" s="246" customFormat="1" x14ac:dyDescent="0.2">
      <c r="G989" s="2188"/>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row>
    <row r="990" spans="7:97" s="246" customFormat="1" x14ac:dyDescent="0.2">
      <c r="G990" s="2188"/>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row>
    <row r="991" spans="7:97" s="246" customFormat="1" x14ac:dyDescent="0.2">
      <c r="G991" s="2188"/>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row>
    <row r="992" spans="7:97" s="246" customFormat="1" x14ac:dyDescent="0.2">
      <c r="G992" s="2188"/>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row>
    <row r="993" spans="7:97" s="246" customFormat="1" x14ac:dyDescent="0.2">
      <c r="G993" s="2188"/>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row>
    <row r="994" spans="7:97" s="246" customFormat="1" x14ac:dyDescent="0.2">
      <c r="G994" s="2188"/>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row>
    <row r="995" spans="7:97" s="246" customFormat="1" x14ac:dyDescent="0.2">
      <c r="G995" s="2188"/>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row>
    <row r="996" spans="7:97" s="246" customFormat="1" x14ac:dyDescent="0.2">
      <c r="G996" s="2188"/>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row>
    <row r="997" spans="7:97" s="246" customFormat="1" x14ac:dyDescent="0.2">
      <c r="G997" s="2188"/>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row>
    <row r="998" spans="7:97" s="246" customFormat="1" x14ac:dyDescent="0.2">
      <c r="G998" s="2188"/>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row>
    <row r="999" spans="7:97" s="246" customFormat="1" x14ac:dyDescent="0.2">
      <c r="G999" s="2188"/>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row>
    <row r="1000" spans="7:97" s="246" customFormat="1" x14ac:dyDescent="0.2">
      <c r="G1000" s="2188"/>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row>
    <row r="1001" spans="7:97" s="246" customFormat="1" x14ac:dyDescent="0.2">
      <c r="G1001" s="2188"/>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row>
    <row r="1002" spans="7:97" s="246" customFormat="1" x14ac:dyDescent="0.2">
      <c r="G1002" s="2188"/>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row>
    <row r="1003" spans="7:97" s="246" customFormat="1" x14ac:dyDescent="0.2">
      <c r="G1003" s="2188"/>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row>
    <row r="1004" spans="7:97" s="246" customFormat="1" x14ac:dyDescent="0.2">
      <c r="G1004" s="2188"/>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row>
    <row r="1005" spans="7:97" s="246" customFormat="1" x14ac:dyDescent="0.2">
      <c r="G1005" s="2188"/>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row>
    <row r="1006" spans="7:97" s="246" customFormat="1" x14ac:dyDescent="0.2">
      <c r="G1006" s="2188"/>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row>
    <row r="1007" spans="7:97" s="246" customFormat="1" x14ac:dyDescent="0.2">
      <c r="G1007" s="2188"/>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row>
    <row r="1008" spans="7:97" s="246" customFormat="1" x14ac:dyDescent="0.2">
      <c r="G1008" s="2188"/>
      <c r="BS1008" s="34"/>
      <c r="BT1008" s="34"/>
      <c r="BU1008" s="34"/>
      <c r="BV1008" s="34"/>
      <c r="BW1008" s="34"/>
      <c r="BX1008" s="34"/>
      <c r="BY1008" s="34"/>
      <c r="BZ1008" s="34"/>
      <c r="CA1008" s="34"/>
      <c r="CB1008" s="34"/>
      <c r="CC1008" s="34"/>
      <c r="CD1008" s="34"/>
      <c r="CE1008" s="34"/>
      <c r="CF1008" s="34"/>
      <c r="CG1008" s="34"/>
      <c r="CH1008" s="34"/>
      <c r="CI1008" s="34"/>
      <c r="CJ1008" s="34"/>
      <c r="CK1008" s="34"/>
      <c r="CL1008" s="34"/>
      <c r="CM1008" s="34"/>
      <c r="CN1008" s="34"/>
      <c r="CO1008" s="34"/>
      <c r="CP1008" s="34"/>
      <c r="CQ1008" s="34"/>
      <c r="CR1008" s="34"/>
      <c r="CS1008" s="34"/>
    </row>
    <row r="1009" spans="7:97" s="246" customFormat="1" x14ac:dyDescent="0.2">
      <c r="G1009" s="2188"/>
      <c r="BS1009" s="34"/>
      <c r="BT1009" s="34"/>
      <c r="BU1009" s="34"/>
      <c r="BV1009" s="34"/>
      <c r="BW1009" s="34"/>
      <c r="BX1009" s="34"/>
      <c r="BY1009" s="34"/>
      <c r="BZ1009" s="34"/>
      <c r="CA1009" s="34"/>
      <c r="CB1009" s="34"/>
      <c r="CC1009" s="34"/>
      <c r="CD1009" s="34"/>
      <c r="CE1009" s="34"/>
      <c r="CF1009" s="34"/>
      <c r="CG1009" s="34"/>
      <c r="CH1009" s="34"/>
      <c r="CI1009" s="34"/>
      <c r="CJ1009" s="34"/>
      <c r="CK1009" s="34"/>
      <c r="CL1009" s="34"/>
      <c r="CM1009" s="34"/>
      <c r="CN1009" s="34"/>
      <c r="CO1009" s="34"/>
      <c r="CP1009" s="34"/>
      <c r="CQ1009" s="34"/>
      <c r="CR1009" s="34"/>
      <c r="CS1009" s="34"/>
    </row>
    <row r="1010" spans="7:97" s="246" customFormat="1" x14ac:dyDescent="0.2">
      <c r="G1010" s="2188"/>
      <c r="BS1010" s="34"/>
      <c r="BT1010" s="34"/>
      <c r="BU1010" s="34"/>
      <c r="BV1010" s="34"/>
      <c r="BW1010" s="34"/>
      <c r="BX1010" s="34"/>
      <c r="BY1010" s="34"/>
      <c r="BZ1010" s="34"/>
      <c r="CA1010" s="34"/>
      <c r="CB1010" s="34"/>
      <c r="CC1010" s="34"/>
      <c r="CD1010" s="34"/>
      <c r="CE1010" s="34"/>
      <c r="CF1010" s="34"/>
      <c r="CG1010" s="34"/>
      <c r="CH1010" s="34"/>
      <c r="CI1010" s="34"/>
      <c r="CJ1010" s="34"/>
      <c r="CK1010" s="34"/>
      <c r="CL1010" s="34"/>
      <c r="CM1010" s="34"/>
      <c r="CN1010" s="34"/>
      <c r="CO1010" s="34"/>
      <c r="CP1010" s="34"/>
      <c r="CQ1010" s="34"/>
      <c r="CR1010" s="34"/>
      <c r="CS1010" s="34"/>
    </row>
    <row r="1011" spans="7:97" s="246" customFormat="1" x14ac:dyDescent="0.2">
      <c r="G1011" s="2188"/>
      <c r="BS1011" s="34"/>
      <c r="BT1011" s="34"/>
      <c r="BU1011" s="34"/>
      <c r="BV1011" s="34"/>
      <c r="BW1011" s="34"/>
      <c r="BX1011" s="34"/>
      <c r="BY1011" s="34"/>
      <c r="BZ1011" s="34"/>
      <c r="CA1011" s="34"/>
      <c r="CB1011" s="34"/>
      <c r="CC1011" s="34"/>
      <c r="CD1011" s="34"/>
      <c r="CE1011" s="34"/>
      <c r="CF1011" s="34"/>
      <c r="CG1011" s="34"/>
      <c r="CH1011" s="34"/>
      <c r="CI1011" s="34"/>
      <c r="CJ1011" s="34"/>
      <c r="CK1011" s="34"/>
      <c r="CL1011" s="34"/>
      <c r="CM1011" s="34"/>
      <c r="CN1011" s="34"/>
      <c r="CO1011" s="34"/>
      <c r="CP1011" s="34"/>
      <c r="CQ1011" s="34"/>
      <c r="CR1011" s="34"/>
      <c r="CS1011" s="34"/>
    </row>
    <row r="1012" spans="7:97" s="246" customFormat="1" x14ac:dyDescent="0.2">
      <c r="G1012" s="2188"/>
      <c r="BS1012" s="34"/>
      <c r="BT1012" s="34"/>
      <c r="BU1012" s="34"/>
      <c r="BV1012" s="34"/>
      <c r="BW1012" s="34"/>
      <c r="BX1012" s="34"/>
      <c r="BY1012" s="34"/>
      <c r="BZ1012" s="34"/>
      <c r="CA1012" s="34"/>
      <c r="CB1012" s="34"/>
      <c r="CC1012" s="34"/>
      <c r="CD1012" s="34"/>
      <c r="CE1012" s="34"/>
      <c r="CF1012" s="34"/>
      <c r="CG1012" s="34"/>
      <c r="CH1012" s="34"/>
      <c r="CI1012" s="34"/>
      <c r="CJ1012" s="34"/>
      <c r="CK1012" s="34"/>
      <c r="CL1012" s="34"/>
      <c r="CM1012" s="34"/>
      <c r="CN1012" s="34"/>
      <c r="CO1012" s="34"/>
      <c r="CP1012" s="34"/>
      <c r="CQ1012" s="34"/>
      <c r="CR1012" s="34"/>
      <c r="CS1012" s="34"/>
    </row>
    <row r="1013" spans="7:97" s="246" customFormat="1" x14ac:dyDescent="0.2">
      <c r="G1013" s="2188"/>
      <c r="BS1013" s="34"/>
      <c r="BT1013" s="34"/>
      <c r="BU1013" s="34"/>
      <c r="BV1013" s="34"/>
      <c r="BW1013" s="34"/>
      <c r="BX1013" s="34"/>
      <c r="BY1013" s="34"/>
      <c r="BZ1013" s="34"/>
      <c r="CA1013" s="34"/>
      <c r="CB1013" s="34"/>
      <c r="CC1013" s="34"/>
      <c r="CD1013" s="34"/>
      <c r="CE1013" s="34"/>
      <c r="CF1013" s="34"/>
      <c r="CG1013" s="34"/>
      <c r="CH1013" s="34"/>
      <c r="CI1013" s="34"/>
      <c r="CJ1013" s="34"/>
      <c r="CK1013" s="34"/>
      <c r="CL1013" s="34"/>
      <c r="CM1013" s="34"/>
      <c r="CN1013" s="34"/>
      <c r="CO1013" s="34"/>
      <c r="CP1013" s="34"/>
      <c r="CQ1013" s="34"/>
      <c r="CR1013" s="34"/>
      <c r="CS1013" s="34"/>
    </row>
    <row r="1014" spans="7:97" s="246" customFormat="1" x14ac:dyDescent="0.2">
      <c r="G1014" s="2188"/>
      <c r="BS1014" s="34"/>
      <c r="BT1014" s="34"/>
      <c r="BU1014" s="34"/>
      <c r="BV1014" s="34"/>
      <c r="BW1014" s="34"/>
      <c r="BX1014" s="34"/>
      <c r="BY1014" s="34"/>
      <c r="BZ1014" s="34"/>
      <c r="CA1014" s="34"/>
      <c r="CB1014" s="34"/>
      <c r="CC1014" s="34"/>
      <c r="CD1014" s="34"/>
      <c r="CE1014" s="34"/>
      <c r="CF1014" s="34"/>
      <c r="CG1014" s="34"/>
      <c r="CH1014" s="34"/>
      <c r="CI1014" s="34"/>
      <c r="CJ1014" s="34"/>
      <c r="CK1014" s="34"/>
      <c r="CL1014" s="34"/>
      <c r="CM1014" s="34"/>
      <c r="CN1014" s="34"/>
      <c r="CO1014" s="34"/>
      <c r="CP1014" s="34"/>
      <c r="CQ1014" s="34"/>
      <c r="CR1014" s="34"/>
      <c r="CS1014" s="34"/>
    </row>
    <row r="1015" spans="7:97" s="246" customFormat="1" x14ac:dyDescent="0.2">
      <c r="G1015" s="2188"/>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row>
    <row r="1016" spans="7:97" s="246" customFormat="1" x14ac:dyDescent="0.2">
      <c r="G1016" s="2188"/>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row>
    <row r="1017" spans="7:97" s="246" customFormat="1" x14ac:dyDescent="0.2">
      <c r="G1017" s="2188"/>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row>
    <row r="1018" spans="7:97" s="246" customFormat="1" x14ac:dyDescent="0.2">
      <c r="G1018" s="2188"/>
      <c r="BS1018" s="34"/>
      <c r="BT1018" s="34"/>
      <c r="BU1018" s="34"/>
      <c r="BV1018" s="34"/>
      <c r="BW1018" s="34"/>
      <c r="BX1018" s="34"/>
      <c r="BY1018" s="34"/>
      <c r="BZ1018" s="34"/>
      <c r="CA1018" s="34"/>
      <c r="CB1018" s="34"/>
      <c r="CC1018" s="34"/>
      <c r="CD1018" s="34"/>
      <c r="CE1018" s="34"/>
      <c r="CF1018" s="34"/>
      <c r="CG1018" s="34"/>
      <c r="CH1018" s="34"/>
      <c r="CI1018" s="34"/>
      <c r="CJ1018" s="34"/>
      <c r="CK1018" s="34"/>
      <c r="CL1018" s="34"/>
      <c r="CM1018" s="34"/>
      <c r="CN1018" s="34"/>
      <c r="CO1018" s="34"/>
      <c r="CP1018" s="34"/>
      <c r="CQ1018" s="34"/>
      <c r="CR1018" s="34"/>
      <c r="CS1018" s="34"/>
    </row>
    <row r="1019" spans="7:97" s="246" customFormat="1" x14ac:dyDescent="0.2">
      <c r="G1019" s="2188"/>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row>
    <row r="1020" spans="7:97" s="246" customFormat="1" x14ac:dyDescent="0.2">
      <c r="G1020" s="2188"/>
      <c r="BS1020" s="34"/>
      <c r="BT1020" s="34"/>
      <c r="BU1020" s="34"/>
      <c r="BV1020" s="34"/>
      <c r="BW1020" s="34"/>
      <c r="BX1020" s="34"/>
      <c r="BY1020" s="34"/>
      <c r="BZ1020" s="34"/>
      <c r="CA1020" s="34"/>
      <c r="CB1020" s="34"/>
      <c r="CC1020" s="34"/>
      <c r="CD1020" s="34"/>
      <c r="CE1020" s="34"/>
      <c r="CF1020" s="34"/>
      <c r="CG1020" s="34"/>
      <c r="CH1020" s="34"/>
      <c r="CI1020" s="34"/>
      <c r="CJ1020" s="34"/>
      <c r="CK1020" s="34"/>
      <c r="CL1020" s="34"/>
      <c r="CM1020" s="34"/>
      <c r="CN1020" s="34"/>
      <c r="CO1020" s="34"/>
      <c r="CP1020" s="34"/>
      <c r="CQ1020" s="34"/>
      <c r="CR1020" s="34"/>
      <c r="CS1020" s="34"/>
    </row>
    <row r="1021" spans="7:97" s="246" customFormat="1" x14ac:dyDescent="0.2">
      <c r="G1021" s="2188"/>
      <c r="BS1021" s="34"/>
      <c r="BT1021" s="34"/>
      <c r="BU1021" s="34"/>
      <c r="BV1021" s="34"/>
      <c r="BW1021" s="34"/>
      <c r="BX1021" s="34"/>
      <c r="BY1021" s="34"/>
      <c r="BZ1021" s="34"/>
      <c r="CA1021" s="34"/>
      <c r="CB1021" s="34"/>
      <c r="CC1021" s="34"/>
      <c r="CD1021" s="34"/>
      <c r="CE1021" s="34"/>
      <c r="CF1021" s="34"/>
      <c r="CG1021" s="34"/>
      <c r="CH1021" s="34"/>
      <c r="CI1021" s="34"/>
      <c r="CJ1021" s="34"/>
      <c r="CK1021" s="34"/>
      <c r="CL1021" s="34"/>
      <c r="CM1021" s="34"/>
      <c r="CN1021" s="34"/>
      <c r="CO1021" s="34"/>
      <c r="CP1021" s="34"/>
      <c r="CQ1021" s="34"/>
      <c r="CR1021" s="34"/>
      <c r="CS1021" s="34"/>
    </row>
    <row r="1022" spans="7:97" s="246" customFormat="1" x14ac:dyDescent="0.2">
      <c r="G1022" s="2188"/>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row>
    <row r="1023" spans="7:97" s="246" customFormat="1" x14ac:dyDescent="0.2">
      <c r="G1023" s="2188"/>
      <c r="BS1023" s="34"/>
      <c r="BT1023" s="34"/>
      <c r="BU1023" s="34"/>
      <c r="BV1023" s="34"/>
      <c r="BW1023" s="34"/>
      <c r="BX1023" s="34"/>
      <c r="BY1023" s="34"/>
      <c r="BZ1023" s="34"/>
      <c r="CA1023" s="34"/>
      <c r="CB1023" s="34"/>
      <c r="CC1023" s="34"/>
      <c r="CD1023" s="34"/>
      <c r="CE1023" s="34"/>
      <c r="CF1023" s="34"/>
      <c r="CG1023" s="34"/>
      <c r="CH1023" s="34"/>
      <c r="CI1023" s="34"/>
      <c r="CJ1023" s="34"/>
      <c r="CK1023" s="34"/>
      <c r="CL1023" s="34"/>
      <c r="CM1023" s="34"/>
      <c r="CN1023" s="34"/>
      <c r="CO1023" s="34"/>
      <c r="CP1023" s="34"/>
      <c r="CQ1023" s="34"/>
      <c r="CR1023" s="34"/>
      <c r="CS1023" s="34"/>
    </row>
    <row r="1024" spans="7:97" s="246" customFormat="1" x14ac:dyDescent="0.2">
      <c r="G1024" s="2188"/>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row>
    <row r="1025" spans="7:97" s="246" customFormat="1" x14ac:dyDescent="0.2">
      <c r="G1025" s="2188"/>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row>
    <row r="1026" spans="7:97" s="246" customFormat="1" x14ac:dyDescent="0.2">
      <c r="G1026" s="2188"/>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row>
    <row r="1027" spans="7:97" s="246" customFormat="1" x14ac:dyDescent="0.2">
      <c r="G1027" s="2188"/>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row>
    <row r="1028" spans="7:97" s="246" customFormat="1" x14ac:dyDescent="0.2">
      <c r="G1028" s="2188"/>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row>
    <row r="1029" spans="7:97" s="246" customFormat="1" x14ac:dyDescent="0.2">
      <c r="G1029" s="2188"/>
      <c r="BS1029" s="34"/>
      <c r="BT1029" s="34"/>
      <c r="BU1029" s="34"/>
      <c r="BV1029" s="34"/>
      <c r="BW1029" s="34"/>
      <c r="BX1029" s="34"/>
      <c r="BY1029" s="34"/>
      <c r="BZ1029" s="34"/>
      <c r="CA1029" s="34"/>
      <c r="CB1029" s="34"/>
      <c r="CC1029" s="34"/>
      <c r="CD1029" s="34"/>
      <c r="CE1029" s="34"/>
      <c r="CF1029" s="34"/>
      <c r="CG1029" s="34"/>
      <c r="CH1029" s="34"/>
      <c r="CI1029" s="34"/>
      <c r="CJ1029" s="34"/>
      <c r="CK1029" s="34"/>
      <c r="CL1029" s="34"/>
      <c r="CM1029" s="34"/>
      <c r="CN1029" s="34"/>
      <c r="CO1029" s="34"/>
      <c r="CP1029" s="34"/>
      <c r="CQ1029" s="34"/>
      <c r="CR1029" s="34"/>
      <c r="CS1029" s="34"/>
    </row>
    <row r="1030" spans="7:97" s="246" customFormat="1" x14ac:dyDescent="0.2">
      <c r="G1030" s="2188"/>
      <c r="BS1030" s="34"/>
      <c r="BT1030" s="34"/>
      <c r="BU1030" s="34"/>
      <c r="BV1030" s="34"/>
      <c r="BW1030" s="34"/>
      <c r="BX1030" s="34"/>
      <c r="BY1030" s="34"/>
      <c r="BZ1030" s="34"/>
      <c r="CA1030" s="34"/>
      <c r="CB1030" s="34"/>
      <c r="CC1030" s="34"/>
      <c r="CD1030" s="34"/>
      <c r="CE1030" s="34"/>
      <c r="CF1030" s="34"/>
      <c r="CG1030" s="34"/>
      <c r="CH1030" s="34"/>
      <c r="CI1030" s="34"/>
      <c r="CJ1030" s="34"/>
      <c r="CK1030" s="34"/>
      <c r="CL1030" s="34"/>
      <c r="CM1030" s="34"/>
      <c r="CN1030" s="34"/>
      <c r="CO1030" s="34"/>
      <c r="CP1030" s="34"/>
      <c r="CQ1030" s="34"/>
      <c r="CR1030" s="34"/>
      <c r="CS1030" s="34"/>
    </row>
    <row r="1031" spans="7:97" s="246" customFormat="1" x14ac:dyDescent="0.2">
      <c r="G1031" s="2188"/>
      <c r="BS1031" s="34"/>
      <c r="BT1031" s="34"/>
      <c r="BU1031" s="34"/>
      <c r="BV1031" s="34"/>
      <c r="BW1031" s="34"/>
      <c r="BX1031" s="34"/>
      <c r="BY1031" s="34"/>
      <c r="BZ1031" s="34"/>
      <c r="CA1031" s="34"/>
      <c r="CB1031" s="34"/>
      <c r="CC1031" s="34"/>
      <c r="CD1031" s="34"/>
      <c r="CE1031" s="34"/>
      <c r="CF1031" s="34"/>
      <c r="CG1031" s="34"/>
      <c r="CH1031" s="34"/>
      <c r="CI1031" s="34"/>
      <c r="CJ1031" s="34"/>
      <c r="CK1031" s="34"/>
      <c r="CL1031" s="34"/>
      <c r="CM1031" s="34"/>
      <c r="CN1031" s="34"/>
      <c r="CO1031" s="34"/>
      <c r="CP1031" s="34"/>
      <c r="CQ1031" s="34"/>
      <c r="CR1031" s="34"/>
      <c r="CS1031" s="34"/>
    </row>
    <row r="1032" spans="7:97" s="246" customFormat="1" x14ac:dyDescent="0.2">
      <c r="G1032" s="2188"/>
      <c r="BS1032" s="34"/>
      <c r="BT1032" s="34"/>
      <c r="BU1032" s="34"/>
      <c r="BV1032" s="34"/>
      <c r="BW1032" s="34"/>
      <c r="BX1032" s="34"/>
      <c r="BY1032" s="34"/>
      <c r="BZ1032" s="34"/>
      <c r="CA1032" s="34"/>
      <c r="CB1032" s="34"/>
      <c r="CC1032" s="34"/>
      <c r="CD1032" s="34"/>
      <c r="CE1032" s="34"/>
      <c r="CF1032" s="34"/>
      <c r="CG1032" s="34"/>
      <c r="CH1032" s="34"/>
      <c r="CI1032" s="34"/>
      <c r="CJ1032" s="34"/>
      <c r="CK1032" s="34"/>
      <c r="CL1032" s="34"/>
      <c r="CM1032" s="34"/>
      <c r="CN1032" s="34"/>
      <c r="CO1032" s="34"/>
      <c r="CP1032" s="34"/>
      <c r="CQ1032" s="34"/>
      <c r="CR1032" s="34"/>
      <c r="CS1032" s="34"/>
    </row>
    <row r="1033" spans="7:97" s="246" customFormat="1" x14ac:dyDescent="0.2">
      <c r="G1033" s="2188"/>
      <c r="BS1033" s="34"/>
      <c r="BT1033" s="34"/>
      <c r="BU1033" s="34"/>
      <c r="BV1033" s="34"/>
      <c r="BW1033" s="34"/>
      <c r="BX1033" s="34"/>
      <c r="BY1033" s="34"/>
      <c r="BZ1033" s="34"/>
      <c r="CA1033" s="34"/>
      <c r="CB1033" s="34"/>
      <c r="CC1033" s="34"/>
      <c r="CD1033" s="34"/>
      <c r="CE1033" s="34"/>
      <c r="CF1033" s="34"/>
      <c r="CG1033" s="34"/>
      <c r="CH1033" s="34"/>
      <c r="CI1033" s="34"/>
      <c r="CJ1033" s="34"/>
      <c r="CK1033" s="34"/>
      <c r="CL1033" s="34"/>
      <c r="CM1033" s="34"/>
      <c r="CN1033" s="34"/>
      <c r="CO1033" s="34"/>
      <c r="CP1033" s="34"/>
      <c r="CQ1033" s="34"/>
      <c r="CR1033" s="34"/>
      <c r="CS1033" s="34"/>
    </row>
    <row r="1034" spans="7:97" s="246" customFormat="1" x14ac:dyDescent="0.2">
      <c r="G1034" s="2188"/>
      <c r="BS1034" s="34"/>
      <c r="BT1034" s="34"/>
      <c r="BU1034" s="34"/>
      <c r="BV1034" s="34"/>
      <c r="BW1034" s="34"/>
      <c r="BX1034" s="34"/>
      <c r="BY1034" s="34"/>
      <c r="BZ1034" s="34"/>
      <c r="CA1034" s="34"/>
      <c r="CB1034" s="34"/>
      <c r="CC1034" s="34"/>
      <c r="CD1034" s="34"/>
      <c r="CE1034" s="34"/>
      <c r="CF1034" s="34"/>
      <c r="CG1034" s="34"/>
      <c r="CH1034" s="34"/>
      <c r="CI1034" s="34"/>
      <c r="CJ1034" s="34"/>
      <c r="CK1034" s="34"/>
      <c r="CL1034" s="34"/>
      <c r="CM1034" s="34"/>
      <c r="CN1034" s="34"/>
      <c r="CO1034" s="34"/>
      <c r="CP1034" s="34"/>
      <c r="CQ1034" s="34"/>
      <c r="CR1034" s="34"/>
      <c r="CS1034" s="34"/>
    </row>
    <row r="1035" spans="7:97" s="246" customFormat="1" x14ac:dyDescent="0.2">
      <c r="G1035" s="2188"/>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row>
    <row r="1036" spans="7:97" s="246" customFormat="1" x14ac:dyDescent="0.2">
      <c r="G1036" s="2188"/>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row>
    <row r="1037" spans="7:97" s="246" customFormat="1" x14ac:dyDescent="0.2">
      <c r="G1037" s="2188"/>
      <c r="BS1037" s="34"/>
      <c r="BT1037" s="34"/>
      <c r="BU1037" s="34"/>
      <c r="BV1037" s="34"/>
      <c r="BW1037" s="34"/>
      <c r="BX1037" s="34"/>
      <c r="BY1037" s="34"/>
      <c r="BZ1037" s="34"/>
      <c r="CA1037" s="34"/>
      <c r="CB1037" s="34"/>
      <c r="CC1037" s="34"/>
      <c r="CD1037" s="34"/>
      <c r="CE1037" s="34"/>
      <c r="CF1037" s="34"/>
      <c r="CG1037" s="34"/>
      <c r="CH1037" s="34"/>
      <c r="CI1037" s="34"/>
      <c r="CJ1037" s="34"/>
      <c r="CK1037" s="34"/>
      <c r="CL1037" s="34"/>
      <c r="CM1037" s="34"/>
      <c r="CN1037" s="34"/>
      <c r="CO1037" s="34"/>
      <c r="CP1037" s="34"/>
      <c r="CQ1037" s="34"/>
      <c r="CR1037" s="34"/>
      <c r="CS1037" s="34"/>
    </row>
    <row r="1038" spans="7:97" s="246" customFormat="1" x14ac:dyDescent="0.2">
      <c r="G1038" s="2188"/>
      <c r="BS1038" s="34"/>
      <c r="BT1038" s="34"/>
      <c r="BU1038" s="34"/>
      <c r="BV1038" s="34"/>
      <c r="BW1038" s="34"/>
      <c r="BX1038" s="34"/>
      <c r="BY1038" s="34"/>
      <c r="BZ1038" s="34"/>
      <c r="CA1038" s="34"/>
      <c r="CB1038" s="34"/>
      <c r="CC1038" s="34"/>
      <c r="CD1038" s="34"/>
      <c r="CE1038" s="34"/>
      <c r="CF1038" s="34"/>
      <c r="CG1038" s="34"/>
      <c r="CH1038" s="34"/>
      <c r="CI1038" s="34"/>
      <c r="CJ1038" s="34"/>
      <c r="CK1038" s="34"/>
      <c r="CL1038" s="34"/>
      <c r="CM1038" s="34"/>
      <c r="CN1038" s="34"/>
      <c r="CO1038" s="34"/>
      <c r="CP1038" s="34"/>
      <c r="CQ1038" s="34"/>
      <c r="CR1038" s="34"/>
      <c r="CS1038" s="34"/>
    </row>
    <row r="1039" spans="7:97" s="246" customFormat="1" x14ac:dyDescent="0.2">
      <c r="G1039" s="2188"/>
      <c r="BS1039" s="34"/>
      <c r="BT1039" s="34"/>
      <c r="BU1039" s="34"/>
      <c r="BV1039" s="34"/>
      <c r="BW1039" s="34"/>
      <c r="BX1039" s="34"/>
      <c r="BY1039" s="34"/>
      <c r="BZ1039" s="34"/>
      <c r="CA1039" s="34"/>
      <c r="CB1039" s="34"/>
      <c r="CC1039" s="34"/>
      <c r="CD1039" s="34"/>
      <c r="CE1039" s="34"/>
      <c r="CF1039" s="34"/>
      <c r="CG1039" s="34"/>
      <c r="CH1039" s="34"/>
      <c r="CI1039" s="34"/>
      <c r="CJ1039" s="34"/>
      <c r="CK1039" s="34"/>
      <c r="CL1039" s="34"/>
      <c r="CM1039" s="34"/>
      <c r="CN1039" s="34"/>
      <c r="CO1039" s="34"/>
      <c r="CP1039" s="34"/>
      <c r="CQ1039" s="34"/>
      <c r="CR1039" s="34"/>
      <c r="CS1039" s="34"/>
    </row>
    <row r="1040" spans="7:97" s="246" customFormat="1" x14ac:dyDescent="0.2">
      <c r="G1040" s="2188"/>
      <c r="BS1040" s="34"/>
      <c r="BT1040" s="34"/>
      <c r="BU1040" s="34"/>
      <c r="BV1040" s="34"/>
      <c r="BW1040" s="34"/>
      <c r="BX1040" s="34"/>
      <c r="BY1040" s="34"/>
      <c r="BZ1040" s="34"/>
      <c r="CA1040" s="34"/>
      <c r="CB1040" s="34"/>
      <c r="CC1040" s="34"/>
      <c r="CD1040" s="34"/>
      <c r="CE1040" s="34"/>
      <c r="CF1040" s="34"/>
      <c r="CG1040" s="34"/>
      <c r="CH1040" s="34"/>
      <c r="CI1040" s="34"/>
      <c r="CJ1040" s="34"/>
      <c r="CK1040" s="34"/>
      <c r="CL1040" s="34"/>
      <c r="CM1040" s="34"/>
      <c r="CN1040" s="34"/>
      <c r="CO1040" s="34"/>
      <c r="CP1040" s="34"/>
      <c r="CQ1040" s="34"/>
      <c r="CR1040" s="34"/>
      <c r="CS1040" s="34"/>
    </row>
    <row r="1041" spans="7:97" s="246" customFormat="1" x14ac:dyDescent="0.2">
      <c r="G1041" s="2188"/>
      <c r="BS1041" s="34"/>
      <c r="BT1041" s="34"/>
      <c r="BU1041" s="34"/>
      <c r="BV1041" s="34"/>
      <c r="BW1041" s="34"/>
      <c r="BX1041" s="34"/>
      <c r="BY1041" s="34"/>
      <c r="BZ1041" s="34"/>
      <c r="CA1041" s="34"/>
      <c r="CB1041" s="34"/>
      <c r="CC1041" s="34"/>
      <c r="CD1041" s="34"/>
      <c r="CE1041" s="34"/>
      <c r="CF1041" s="34"/>
      <c r="CG1041" s="34"/>
      <c r="CH1041" s="34"/>
      <c r="CI1041" s="34"/>
      <c r="CJ1041" s="34"/>
      <c r="CK1041" s="34"/>
      <c r="CL1041" s="34"/>
      <c r="CM1041" s="34"/>
      <c r="CN1041" s="34"/>
      <c r="CO1041" s="34"/>
      <c r="CP1041" s="34"/>
      <c r="CQ1041" s="34"/>
      <c r="CR1041" s="34"/>
      <c r="CS1041" s="34"/>
    </row>
    <row r="1042" spans="7:97" s="246" customFormat="1" x14ac:dyDescent="0.2">
      <c r="G1042" s="2188"/>
      <c r="BS1042" s="34"/>
      <c r="BT1042" s="34"/>
      <c r="BU1042" s="34"/>
      <c r="BV1042" s="34"/>
      <c r="BW1042" s="34"/>
      <c r="BX1042" s="34"/>
      <c r="BY1042" s="34"/>
      <c r="BZ1042" s="34"/>
      <c r="CA1042" s="34"/>
      <c r="CB1042" s="34"/>
      <c r="CC1042" s="34"/>
      <c r="CD1042" s="34"/>
      <c r="CE1042" s="34"/>
      <c r="CF1042" s="34"/>
      <c r="CG1042" s="34"/>
      <c r="CH1042" s="34"/>
      <c r="CI1042" s="34"/>
      <c r="CJ1042" s="34"/>
      <c r="CK1042" s="34"/>
      <c r="CL1042" s="34"/>
      <c r="CM1042" s="34"/>
      <c r="CN1042" s="34"/>
      <c r="CO1042" s="34"/>
      <c r="CP1042" s="34"/>
      <c r="CQ1042" s="34"/>
      <c r="CR1042" s="34"/>
      <c r="CS1042" s="34"/>
    </row>
    <row r="1043" spans="7:97" s="246" customFormat="1" x14ac:dyDescent="0.2">
      <c r="G1043" s="2188"/>
      <c r="BS1043" s="34"/>
      <c r="BT1043" s="34"/>
      <c r="BU1043" s="34"/>
      <c r="BV1043" s="34"/>
      <c r="BW1043" s="34"/>
      <c r="BX1043" s="34"/>
      <c r="BY1043" s="34"/>
      <c r="BZ1043" s="34"/>
      <c r="CA1043" s="34"/>
      <c r="CB1043" s="34"/>
      <c r="CC1043" s="34"/>
      <c r="CD1043" s="34"/>
      <c r="CE1043" s="34"/>
      <c r="CF1043" s="34"/>
      <c r="CG1043" s="34"/>
      <c r="CH1043" s="34"/>
      <c r="CI1043" s="34"/>
      <c r="CJ1043" s="34"/>
      <c r="CK1043" s="34"/>
      <c r="CL1043" s="34"/>
      <c r="CM1043" s="34"/>
      <c r="CN1043" s="34"/>
      <c r="CO1043" s="34"/>
      <c r="CP1043" s="34"/>
      <c r="CQ1043" s="34"/>
      <c r="CR1043" s="34"/>
      <c r="CS1043" s="34"/>
    </row>
    <row r="1044" spans="7:97" s="246" customFormat="1" x14ac:dyDescent="0.2">
      <c r="G1044" s="2188"/>
      <c r="BS1044" s="34"/>
      <c r="BT1044" s="34"/>
      <c r="BU1044" s="34"/>
      <c r="BV1044" s="34"/>
      <c r="BW1044" s="34"/>
      <c r="BX1044" s="34"/>
      <c r="BY1044" s="34"/>
      <c r="BZ1044" s="34"/>
      <c r="CA1044" s="34"/>
      <c r="CB1044" s="34"/>
      <c r="CC1044" s="34"/>
      <c r="CD1044" s="34"/>
      <c r="CE1044" s="34"/>
      <c r="CF1044" s="34"/>
      <c r="CG1044" s="34"/>
      <c r="CH1044" s="34"/>
      <c r="CI1044" s="34"/>
      <c r="CJ1044" s="34"/>
      <c r="CK1044" s="34"/>
      <c r="CL1044" s="34"/>
      <c r="CM1044" s="34"/>
      <c r="CN1044" s="34"/>
      <c r="CO1044" s="34"/>
      <c r="CP1044" s="34"/>
      <c r="CQ1044" s="34"/>
      <c r="CR1044" s="34"/>
      <c r="CS1044" s="34"/>
    </row>
    <row r="1045" spans="7:97" s="246" customFormat="1" x14ac:dyDescent="0.2">
      <c r="G1045" s="2188"/>
      <c r="BS1045" s="34"/>
      <c r="BT1045" s="34"/>
      <c r="BU1045" s="34"/>
      <c r="BV1045" s="34"/>
      <c r="BW1045" s="34"/>
      <c r="BX1045" s="34"/>
      <c r="BY1045" s="34"/>
      <c r="BZ1045" s="34"/>
      <c r="CA1045" s="34"/>
      <c r="CB1045" s="34"/>
      <c r="CC1045" s="34"/>
      <c r="CD1045" s="34"/>
      <c r="CE1045" s="34"/>
      <c r="CF1045" s="34"/>
      <c r="CG1045" s="34"/>
      <c r="CH1045" s="34"/>
      <c r="CI1045" s="34"/>
      <c r="CJ1045" s="34"/>
      <c r="CK1045" s="34"/>
      <c r="CL1045" s="34"/>
      <c r="CM1045" s="34"/>
      <c r="CN1045" s="34"/>
      <c r="CO1045" s="34"/>
      <c r="CP1045" s="34"/>
      <c r="CQ1045" s="34"/>
      <c r="CR1045" s="34"/>
      <c r="CS1045" s="34"/>
    </row>
    <row r="1046" spans="7:97" s="246" customFormat="1" x14ac:dyDescent="0.2">
      <c r="G1046" s="2188"/>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row>
    <row r="1047" spans="7:97" s="246" customFormat="1" x14ac:dyDescent="0.2">
      <c r="G1047" s="2188"/>
      <c r="BS1047" s="34"/>
      <c r="BT1047" s="34"/>
      <c r="BU1047" s="34"/>
      <c r="BV1047" s="34"/>
      <c r="BW1047" s="34"/>
      <c r="BX1047" s="34"/>
      <c r="BY1047" s="34"/>
      <c r="BZ1047" s="34"/>
      <c r="CA1047" s="34"/>
      <c r="CB1047" s="34"/>
      <c r="CC1047" s="34"/>
      <c r="CD1047" s="34"/>
      <c r="CE1047" s="34"/>
      <c r="CF1047" s="34"/>
      <c r="CG1047" s="34"/>
      <c r="CH1047" s="34"/>
      <c r="CI1047" s="34"/>
      <c r="CJ1047" s="34"/>
      <c r="CK1047" s="34"/>
      <c r="CL1047" s="34"/>
      <c r="CM1047" s="34"/>
      <c r="CN1047" s="34"/>
      <c r="CO1047" s="34"/>
      <c r="CP1047" s="34"/>
      <c r="CQ1047" s="34"/>
      <c r="CR1047" s="34"/>
      <c r="CS1047" s="34"/>
    </row>
    <row r="1048" spans="7:97" s="246" customFormat="1" x14ac:dyDescent="0.2">
      <c r="G1048" s="2188"/>
      <c r="BS1048" s="34"/>
      <c r="BT1048" s="34"/>
      <c r="BU1048" s="34"/>
      <c r="BV1048" s="34"/>
      <c r="BW1048" s="34"/>
      <c r="BX1048" s="34"/>
      <c r="BY1048" s="34"/>
      <c r="BZ1048" s="34"/>
      <c r="CA1048" s="34"/>
      <c r="CB1048" s="34"/>
      <c r="CC1048" s="34"/>
      <c r="CD1048" s="34"/>
      <c r="CE1048" s="34"/>
      <c r="CF1048" s="34"/>
      <c r="CG1048" s="34"/>
      <c r="CH1048" s="34"/>
      <c r="CI1048" s="34"/>
      <c r="CJ1048" s="34"/>
      <c r="CK1048" s="34"/>
      <c r="CL1048" s="34"/>
      <c r="CM1048" s="34"/>
      <c r="CN1048" s="34"/>
      <c r="CO1048" s="34"/>
      <c r="CP1048" s="34"/>
      <c r="CQ1048" s="34"/>
      <c r="CR1048" s="34"/>
      <c r="CS1048" s="34"/>
    </row>
    <row r="1049" spans="7:97" s="246" customFormat="1" x14ac:dyDescent="0.2">
      <c r="G1049" s="2188"/>
      <c r="BS1049" s="34"/>
      <c r="BT1049" s="34"/>
      <c r="BU1049" s="34"/>
      <c r="BV1049" s="34"/>
      <c r="BW1049" s="34"/>
      <c r="BX1049" s="34"/>
      <c r="BY1049" s="34"/>
      <c r="BZ1049" s="34"/>
      <c r="CA1049" s="34"/>
      <c r="CB1049" s="34"/>
      <c r="CC1049" s="34"/>
      <c r="CD1049" s="34"/>
      <c r="CE1049" s="34"/>
      <c r="CF1049" s="34"/>
      <c r="CG1049" s="34"/>
      <c r="CH1049" s="34"/>
      <c r="CI1049" s="34"/>
      <c r="CJ1049" s="34"/>
      <c r="CK1049" s="34"/>
      <c r="CL1049" s="34"/>
      <c r="CM1049" s="34"/>
      <c r="CN1049" s="34"/>
      <c r="CO1049" s="34"/>
      <c r="CP1049" s="34"/>
      <c r="CQ1049" s="34"/>
      <c r="CR1049" s="34"/>
      <c r="CS1049" s="34"/>
    </row>
    <row r="1050" spans="7:97" s="246" customFormat="1" x14ac:dyDescent="0.2">
      <c r="G1050" s="2188"/>
      <c r="BS1050" s="34"/>
      <c r="BT1050" s="34"/>
      <c r="BU1050" s="34"/>
      <c r="BV1050" s="34"/>
      <c r="BW1050" s="34"/>
      <c r="BX1050" s="34"/>
      <c r="BY1050" s="34"/>
      <c r="BZ1050" s="34"/>
      <c r="CA1050" s="34"/>
      <c r="CB1050" s="34"/>
      <c r="CC1050" s="34"/>
      <c r="CD1050" s="34"/>
      <c r="CE1050" s="34"/>
      <c r="CF1050" s="34"/>
      <c r="CG1050" s="34"/>
      <c r="CH1050" s="34"/>
      <c r="CI1050" s="34"/>
      <c r="CJ1050" s="34"/>
      <c r="CK1050" s="34"/>
      <c r="CL1050" s="34"/>
      <c r="CM1050" s="34"/>
      <c r="CN1050" s="34"/>
      <c r="CO1050" s="34"/>
      <c r="CP1050" s="34"/>
      <c r="CQ1050" s="34"/>
      <c r="CR1050" s="34"/>
      <c r="CS1050" s="34"/>
    </row>
    <row r="1051" spans="7:97" s="246" customFormat="1" x14ac:dyDescent="0.2">
      <c r="G1051" s="2188"/>
      <c r="BS1051" s="34"/>
      <c r="BT1051" s="34"/>
      <c r="BU1051" s="34"/>
      <c r="BV1051" s="34"/>
      <c r="BW1051" s="34"/>
      <c r="BX1051" s="34"/>
      <c r="BY1051" s="34"/>
      <c r="BZ1051" s="34"/>
      <c r="CA1051" s="34"/>
      <c r="CB1051" s="34"/>
      <c r="CC1051" s="34"/>
      <c r="CD1051" s="34"/>
      <c r="CE1051" s="34"/>
      <c r="CF1051" s="34"/>
      <c r="CG1051" s="34"/>
      <c r="CH1051" s="34"/>
      <c r="CI1051" s="34"/>
      <c r="CJ1051" s="34"/>
      <c r="CK1051" s="34"/>
      <c r="CL1051" s="34"/>
      <c r="CM1051" s="34"/>
      <c r="CN1051" s="34"/>
      <c r="CO1051" s="34"/>
      <c r="CP1051" s="34"/>
      <c r="CQ1051" s="34"/>
      <c r="CR1051" s="34"/>
      <c r="CS1051" s="34"/>
    </row>
    <row r="1052" spans="7:97" s="246" customFormat="1" x14ac:dyDescent="0.2">
      <c r="G1052" s="2188"/>
      <c r="BS1052" s="34"/>
      <c r="BT1052" s="34"/>
      <c r="BU1052" s="34"/>
      <c r="BV1052" s="34"/>
      <c r="BW1052" s="34"/>
      <c r="BX1052" s="34"/>
      <c r="BY1052" s="34"/>
      <c r="BZ1052" s="34"/>
      <c r="CA1052" s="34"/>
      <c r="CB1052" s="34"/>
      <c r="CC1052" s="34"/>
      <c r="CD1052" s="34"/>
      <c r="CE1052" s="34"/>
      <c r="CF1052" s="34"/>
      <c r="CG1052" s="34"/>
      <c r="CH1052" s="34"/>
      <c r="CI1052" s="34"/>
      <c r="CJ1052" s="34"/>
      <c r="CK1052" s="34"/>
      <c r="CL1052" s="34"/>
      <c r="CM1052" s="34"/>
      <c r="CN1052" s="34"/>
      <c r="CO1052" s="34"/>
      <c r="CP1052" s="34"/>
      <c r="CQ1052" s="34"/>
      <c r="CR1052" s="34"/>
      <c r="CS1052" s="34"/>
    </row>
    <row r="1053" spans="7:97" s="246" customFormat="1" x14ac:dyDescent="0.2">
      <c r="G1053" s="2188"/>
      <c r="BS1053" s="34"/>
      <c r="BT1053" s="34"/>
      <c r="BU1053" s="34"/>
      <c r="BV1053" s="34"/>
      <c r="BW1053" s="34"/>
      <c r="BX1053" s="34"/>
      <c r="BY1053" s="34"/>
      <c r="BZ1053" s="34"/>
      <c r="CA1053" s="34"/>
      <c r="CB1053" s="34"/>
      <c r="CC1053" s="34"/>
      <c r="CD1053" s="34"/>
      <c r="CE1053" s="34"/>
      <c r="CF1053" s="34"/>
      <c r="CG1053" s="34"/>
      <c r="CH1053" s="34"/>
      <c r="CI1053" s="34"/>
      <c r="CJ1053" s="34"/>
      <c r="CK1053" s="34"/>
      <c r="CL1053" s="34"/>
      <c r="CM1053" s="34"/>
      <c r="CN1053" s="34"/>
      <c r="CO1053" s="34"/>
      <c r="CP1053" s="34"/>
      <c r="CQ1053" s="34"/>
      <c r="CR1053" s="34"/>
      <c r="CS1053" s="34"/>
    </row>
    <row r="1054" spans="7:97" s="246" customFormat="1" x14ac:dyDescent="0.2">
      <c r="G1054" s="2188"/>
      <c r="BS1054" s="34"/>
      <c r="BT1054" s="34"/>
      <c r="BU1054" s="34"/>
      <c r="BV1054" s="34"/>
      <c r="BW1054" s="34"/>
      <c r="BX1054" s="34"/>
      <c r="BY1054" s="34"/>
      <c r="BZ1054" s="34"/>
      <c r="CA1054" s="34"/>
      <c r="CB1054" s="34"/>
      <c r="CC1054" s="34"/>
      <c r="CD1054" s="34"/>
      <c r="CE1054" s="34"/>
      <c r="CF1054" s="34"/>
      <c r="CG1054" s="34"/>
      <c r="CH1054" s="34"/>
      <c r="CI1054" s="34"/>
      <c r="CJ1054" s="34"/>
      <c r="CK1054" s="34"/>
      <c r="CL1054" s="34"/>
      <c r="CM1054" s="34"/>
      <c r="CN1054" s="34"/>
      <c r="CO1054" s="34"/>
      <c r="CP1054" s="34"/>
      <c r="CQ1054" s="34"/>
      <c r="CR1054" s="34"/>
      <c r="CS1054" s="34"/>
    </row>
    <row r="1055" spans="7:97" s="246" customFormat="1" x14ac:dyDescent="0.2">
      <c r="G1055" s="2188"/>
      <c r="BS1055" s="34"/>
      <c r="BT1055" s="34"/>
      <c r="BU1055" s="34"/>
      <c r="BV1055" s="34"/>
      <c r="BW1055" s="34"/>
      <c r="BX1055" s="34"/>
      <c r="BY1055" s="34"/>
      <c r="BZ1055" s="34"/>
      <c r="CA1055" s="34"/>
      <c r="CB1055" s="34"/>
      <c r="CC1055" s="34"/>
      <c r="CD1055" s="34"/>
      <c r="CE1055" s="34"/>
      <c r="CF1055" s="34"/>
      <c r="CG1055" s="34"/>
      <c r="CH1055" s="34"/>
      <c r="CI1055" s="34"/>
      <c r="CJ1055" s="34"/>
      <c r="CK1055" s="34"/>
      <c r="CL1055" s="34"/>
      <c r="CM1055" s="34"/>
      <c r="CN1055" s="34"/>
      <c r="CO1055" s="34"/>
      <c r="CP1055" s="34"/>
      <c r="CQ1055" s="34"/>
      <c r="CR1055" s="34"/>
      <c r="CS1055" s="34"/>
    </row>
    <row r="1056" spans="7:97" s="246" customFormat="1" x14ac:dyDescent="0.2">
      <c r="G1056" s="2188"/>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row>
    <row r="1057" spans="7:97" s="246" customFormat="1" x14ac:dyDescent="0.2">
      <c r="G1057" s="2188"/>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row>
    <row r="1058" spans="7:97" s="246" customFormat="1" x14ac:dyDescent="0.2">
      <c r="G1058" s="2188"/>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row>
    <row r="1059" spans="7:97" s="246" customFormat="1" x14ac:dyDescent="0.2">
      <c r="G1059" s="2188"/>
      <c r="BS1059" s="34"/>
      <c r="BT1059" s="34"/>
      <c r="BU1059" s="34"/>
      <c r="BV1059" s="34"/>
      <c r="BW1059" s="34"/>
      <c r="BX1059" s="34"/>
      <c r="BY1059" s="34"/>
      <c r="BZ1059" s="34"/>
      <c r="CA1059" s="34"/>
      <c r="CB1059" s="34"/>
      <c r="CC1059" s="34"/>
      <c r="CD1059" s="34"/>
      <c r="CE1059" s="34"/>
      <c r="CF1059" s="34"/>
      <c r="CG1059" s="34"/>
      <c r="CH1059" s="34"/>
      <c r="CI1059" s="34"/>
      <c r="CJ1059" s="34"/>
      <c r="CK1059" s="34"/>
      <c r="CL1059" s="34"/>
      <c r="CM1059" s="34"/>
      <c r="CN1059" s="34"/>
      <c r="CO1059" s="34"/>
      <c r="CP1059" s="34"/>
      <c r="CQ1059" s="34"/>
      <c r="CR1059" s="34"/>
      <c r="CS1059" s="34"/>
    </row>
    <row r="1060" spans="7:97" s="246" customFormat="1" x14ac:dyDescent="0.2">
      <c r="G1060" s="2188"/>
      <c r="BS1060" s="34"/>
      <c r="BT1060" s="34"/>
      <c r="BU1060" s="34"/>
      <c r="BV1060" s="34"/>
      <c r="BW1060" s="34"/>
      <c r="BX1060" s="34"/>
      <c r="BY1060" s="34"/>
      <c r="BZ1060" s="34"/>
      <c r="CA1060" s="34"/>
      <c r="CB1060" s="34"/>
      <c r="CC1060" s="34"/>
      <c r="CD1060" s="34"/>
      <c r="CE1060" s="34"/>
      <c r="CF1060" s="34"/>
      <c r="CG1060" s="34"/>
      <c r="CH1060" s="34"/>
      <c r="CI1060" s="34"/>
      <c r="CJ1060" s="34"/>
      <c r="CK1060" s="34"/>
      <c r="CL1060" s="34"/>
      <c r="CM1060" s="34"/>
      <c r="CN1060" s="34"/>
      <c r="CO1060" s="34"/>
      <c r="CP1060" s="34"/>
      <c r="CQ1060" s="34"/>
      <c r="CR1060" s="34"/>
      <c r="CS1060" s="34"/>
    </row>
    <row r="1061" spans="7:97" s="246" customFormat="1" x14ac:dyDescent="0.2">
      <c r="G1061" s="2188"/>
      <c r="BS1061" s="34"/>
      <c r="BT1061" s="34"/>
      <c r="BU1061" s="34"/>
      <c r="BV1061" s="34"/>
      <c r="BW1061" s="34"/>
      <c r="BX1061" s="34"/>
      <c r="BY1061" s="34"/>
      <c r="BZ1061" s="34"/>
      <c r="CA1061" s="34"/>
      <c r="CB1061" s="34"/>
      <c r="CC1061" s="34"/>
      <c r="CD1061" s="34"/>
      <c r="CE1061" s="34"/>
      <c r="CF1061" s="34"/>
      <c r="CG1061" s="34"/>
      <c r="CH1061" s="34"/>
      <c r="CI1061" s="34"/>
      <c r="CJ1061" s="34"/>
      <c r="CK1061" s="34"/>
      <c r="CL1061" s="34"/>
      <c r="CM1061" s="34"/>
      <c r="CN1061" s="34"/>
      <c r="CO1061" s="34"/>
      <c r="CP1061" s="34"/>
      <c r="CQ1061" s="34"/>
      <c r="CR1061" s="34"/>
      <c r="CS1061" s="34"/>
    </row>
    <row r="1062" spans="7:97" s="246" customFormat="1" x14ac:dyDescent="0.2">
      <c r="G1062" s="2188"/>
      <c r="BS1062" s="34"/>
      <c r="BT1062" s="34"/>
      <c r="BU1062" s="34"/>
      <c r="BV1062" s="34"/>
      <c r="BW1062" s="34"/>
      <c r="BX1062" s="34"/>
      <c r="BY1062" s="34"/>
      <c r="BZ1062" s="34"/>
      <c r="CA1062" s="34"/>
      <c r="CB1062" s="34"/>
      <c r="CC1062" s="34"/>
      <c r="CD1062" s="34"/>
      <c r="CE1062" s="34"/>
      <c r="CF1062" s="34"/>
      <c r="CG1062" s="34"/>
      <c r="CH1062" s="34"/>
      <c r="CI1062" s="34"/>
      <c r="CJ1062" s="34"/>
      <c r="CK1062" s="34"/>
      <c r="CL1062" s="34"/>
      <c r="CM1062" s="34"/>
      <c r="CN1062" s="34"/>
      <c r="CO1062" s="34"/>
      <c r="CP1062" s="34"/>
      <c r="CQ1062" s="34"/>
      <c r="CR1062" s="34"/>
      <c r="CS1062" s="34"/>
    </row>
    <row r="1063" spans="7:97" s="246" customFormat="1" x14ac:dyDescent="0.2">
      <c r="G1063" s="2188"/>
      <c r="BS1063" s="34"/>
      <c r="BT1063" s="34"/>
      <c r="BU1063" s="34"/>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row>
    <row r="1064" spans="7:97" s="246" customFormat="1" x14ac:dyDescent="0.2">
      <c r="G1064" s="2188"/>
      <c r="BS1064" s="34"/>
      <c r="BT1064" s="34"/>
      <c r="BU1064" s="34"/>
      <c r="BV1064" s="34"/>
      <c r="BW1064" s="34"/>
      <c r="BX1064" s="34"/>
      <c r="BY1064" s="34"/>
      <c r="BZ1064" s="34"/>
      <c r="CA1064" s="34"/>
      <c r="CB1064" s="34"/>
      <c r="CC1064" s="34"/>
      <c r="CD1064" s="34"/>
      <c r="CE1064" s="34"/>
      <c r="CF1064" s="34"/>
      <c r="CG1064" s="34"/>
      <c r="CH1064" s="34"/>
      <c r="CI1064" s="34"/>
      <c r="CJ1064" s="34"/>
      <c r="CK1064" s="34"/>
      <c r="CL1064" s="34"/>
      <c r="CM1064" s="34"/>
      <c r="CN1064" s="34"/>
      <c r="CO1064" s="34"/>
      <c r="CP1064" s="34"/>
      <c r="CQ1064" s="34"/>
      <c r="CR1064" s="34"/>
      <c r="CS1064" s="34"/>
    </row>
    <row r="1065" spans="7:97" s="246" customFormat="1" x14ac:dyDescent="0.2">
      <c r="G1065" s="2188"/>
      <c r="BS1065" s="34"/>
      <c r="BT1065" s="34"/>
      <c r="BU1065" s="34"/>
      <c r="BV1065" s="34"/>
      <c r="BW1065" s="34"/>
      <c r="BX1065" s="34"/>
      <c r="BY1065" s="34"/>
      <c r="BZ1065" s="34"/>
      <c r="CA1065" s="34"/>
      <c r="CB1065" s="34"/>
      <c r="CC1065" s="34"/>
      <c r="CD1065" s="34"/>
      <c r="CE1065" s="34"/>
      <c r="CF1065" s="34"/>
      <c r="CG1065" s="34"/>
      <c r="CH1065" s="34"/>
      <c r="CI1065" s="34"/>
      <c r="CJ1065" s="34"/>
      <c r="CK1065" s="34"/>
      <c r="CL1065" s="34"/>
      <c r="CM1065" s="34"/>
      <c r="CN1065" s="34"/>
      <c r="CO1065" s="34"/>
      <c r="CP1065" s="34"/>
      <c r="CQ1065" s="34"/>
      <c r="CR1065" s="34"/>
      <c r="CS1065" s="34"/>
    </row>
    <row r="1066" spans="7:97" s="246" customFormat="1" x14ac:dyDescent="0.2">
      <c r="G1066" s="2188"/>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row>
    <row r="1067" spans="7:97" s="246" customFormat="1" x14ac:dyDescent="0.2">
      <c r="G1067" s="2188"/>
      <c r="BS1067" s="34"/>
      <c r="BT1067" s="34"/>
      <c r="BU1067" s="34"/>
      <c r="BV1067" s="34"/>
      <c r="BW1067" s="34"/>
      <c r="BX1067" s="34"/>
      <c r="BY1067" s="34"/>
      <c r="BZ1067" s="34"/>
      <c r="CA1067" s="34"/>
      <c r="CB1067" s="34"/>
      <c r="CC1067" s="34"/>
      <c r="CD1067" s="34"/>
      <c r="CE1067" s="34"/>
      <c r="CF1067" s="34"/>
      <c r="CG1067" s="34"/>
      <c r="CH1067" s="34"/>
      <c r="CI1067" s="34"/>
      <c r="CJ1067" s="34"/>
      <c r="CK1067" s="34"/>
      <c r="CL1067" s="34"/>
      <c r="CM1067" s="34"/>
      <c r="CN1067" s="34"/>
      <c r="CO1067" s="34"/>
      <c r="CP1067" s="34"/>
      <c r="CQ1067" s="34"/>
      <c r="CR1067" s="34"/>
      <c r="CS1067" s="34"/>
    </row>
    <row r="1068" spans="7:97" s="246" customFormat="1" x14ac:dyDescent="0.2">
      <c r="G1068" s="2188"/>
      <c r="BS1068" s="34"/>
      <c r="BT1068" s="34"/>
      <c r="BU1068" s="34"/>
      <c r="BV1068" s="34"/>
      <c r="BW1068" s="34"/>
      <c r="BX1068" s="34"/>
      <c r="BY1068" s="34"/>
      <c r="BZ1068" s="34"/>
      <c r="CA1068" s="34"/>
      <c r="CB1068" s="34"/>
      <c r="CC1068" s="34"/>
      <c r="CD1068" s="34"/>
      <c r="CE1068" s="34"/>
      <c r="CF1068" s="34"/>
      <c r="CG1068" s="34"/>
      <c r="CH1068" s="34"/>
      <c r="CI1068" s="34"/>
      <c r="CJ1068" s="34"/>
      <c r="CK1068" s="34"/>
      <c r="CL1068" s="34"/>
      <c r="CM1068" s="34"/>
      <c r="CN1068" s="34"/>
      <c r="CO1068" s="34"/>
      <c r="CP1068" s="34"/>
      <c r="CQ1068" s="34"/>
      <c r="CR1068" s="34"/>
      <c r="CS1068" s="34"/>
    </row>
    <row r="1069" spans="7:97" s="246" customFormat="1" x14ac:dyDescent="0.2">
      <c r="G1069" s="2188"/>
      <c r="BS1069" s="34"/>
      <c r="BT1069" s="34"/>
      <c r="BU1069" s="34"/>
      <c r="BV1069" s="34"/>
      <c r="BW1069" s="34"/>
      <c r="BX1069" s="34"/>
      <c r="BY1069" s="34"/>
      <c r="BZ1069" s="34"/>
      <c r="CA1069" s="34"/>
      <c r="CB1069" s="34"/>
      <c r="CC1069" s="34"/>
      <c r="CD1069" s="34"/>
      <c r="CE1069" s="34"/>
      <c r="CF1069" s="34"/>
      <c r="CG1069" s="34"/>
      <c r="CH1069" s="34"/>
      <c r="CI1069" s="34"/>
      <c r="CJ1069" s="34"/>
      <c r="CK1069" s="34"/>
      <c r="CL1069" s="34"/>
      <c r="CM1069" s="34"/>
      <c r="CN1069" s="34"/>
      <c r="CO1069" s="34"/>
      <c r="CP1069" s="34"/>
      <c r="CQ1069" s="34"/>
      <c r="CR1069" s="34"/>
      <c r="CS1069" s="34"/>
    </row>
    <row r="1070" spans="7:97" s="246" customFormat="1" x14ac:dyDescent="0.2">
      <c r="G1070" s="2188"/>
      <c r="BS1070" s="34"/>
      <c r="BT1070" s="34"/>
      <c r="BU1070" s="34"/>
      <c r="BV1070" s="34"/>
      <c r="BW1070" s="34"/>
      <c r="BX1070" s="34"/>
      <c r="BY1070" s="34"/>
      <c r="BZ1070" s="34"/>
      <c r="CA1070" s="34"/>
      <c r="CB1070" s="34"/>
      <c r="CC1070" s="34"/>
      <c r="CD1070" s="34"/>
      <c r="CE1070" s="34"/>
      <c r="CF1070" s="34"/>
      <c r="CG1070" s="34"/>
      <c r="CH1070" s="34"/>
      <c r="CI1070" s="34"/>
      <c r="CJ1070" s="34"/>
      <c r="CK1070" s="34"/>
      <c r="CL1070" s="34"/>
      <c r="CM1070" s="34"/>
      <c r="CN1070" s="34"/>
      <c r="CO1070" s="34"/>
      <c r="CP1070" s="34"/>
      <c r="CQ1070" s="34"/>
      <c r="CR1070" s="34"/>
      <c r="CS1070" s="34"/>
    </row>
    <row r="1071" spans="7:97" s="246" customFormat="1" x14ac:dyDescent="0.2">
      <c r="G1071" s="2188"/>
      <c r="BS1071" s="34"/>
      <c r="BT1071" s="34"/>
      <c r="BU1071" s="34"/>
      <c r="BV1071" s="34"/>
      <c r="BW1071" s="34"/>
      <c r="BX1071" s="34"/>
      <c r="BY1071" s="34"/>
      <c r="BZ1071" s="34"/>
      <c r="CA1071" s="34"/>
      <c r="CB1071" s="34"/>
      <c r="CC1071" s="34"/>
      <c r="CD1071" s="34"/>
      <c r="CE1071" s="34"/>
      <c r="CF1071" s="34"/>
      <c r="CG1071" s="34"/>
      <c r="CH1071" s="34"/>
      <c r="CI1071" s="34"/>
      <c r="CJ1071" s="34"/>
      <c r="CK1071" s="34"/>
      <c r="CL1071" s="34"/>
      <c r="CM1071" s="34"/>
      <c r="CN1071" s="34"/>
      <c r="CO1071" s="34"/>
      <c r="CP1071" s="34"/>
      <c r="CQ1071" s="34"/>
      <c r="CR1071" s="34"/>
      <c r="CS1071" s="34"/>
    </row>
    <row r="1072" spans="7:97" s="246" customFormat="1" x14ac:dyDescent="0.2">
      <c r="G1072" s="2188"/>
      <c r="BS1072" s="34"/>
      <c r="BT1072" s="34"/>
      <c r="BU1072" s="34"/>
      <c r="BV1072" s="34"/>
      <c r="BW1072" s="34"/>
      <c r="BX1072" s="34"/>
      <c r="BY1072" s="34"/>
      <c r="BZ1072" s="34"/>
      <c r="CA1072" s="34"/>
      <c r="CB1072" s="34"/>
      <c r="CC1072" s="34"/>
      <c r="CD1072" s="34"/>
      <c r="CE1072" s="34"/>
      <c r="CF1072" s="34"/>
      <c r="CG1072" s="34"/>
      <c r="CH1072" s="34"/>
      <c r="CI1072" s="34"/>
      <c r="CJ1072" s="34"/>
      <c r="CK1072" s="34"/>
      <c r="CL1072" s="34"/>
      <c r="CM1072" s="34"/>
      <c r="CN1072" s="34"/>
      <c r="CO1072" s="34"/>
      <c r="CP1072" s="34"/>
      <c r="CQ1072" s="34"/>
      <c r="CR1072" s="34"/>
      <c r="CS1072" s="34"/>
    </row>
    <row r="1073" spans="7:97" s="246" customFormat="1" x14ac:dyDescent="0.2">
      <c r="G1073" s="2188"/>
      <c r="BS1073" s="34"/>
      <c r="BT1073" s="34"/>
      <c r="BU1073" s="34"/>
      <c r="BV1073" s="34"/>
      <c r="BW1073" s="34"/>
      <c r="BX1073" s="34"/>
      <c r="BY1073" s="34"/>
      <c r="BZ1073" s="34"/>
      <c r="CA1073" s="34"/>
      <c r="CB1073" s="34"/>
      <c r="CC1073" s="34"/>
      <c r="CD1073" s="34"/>
      <c r="CE1073" s="34"/>
      <c r="CF1073" s="34"/>
      <c r="CG1073" s="34"/>
      <c r="CH1073" s="34"/>
      <c r="CI1073" s="34"/>
      <c r="CJ1073" s="34"/>
      <c r="CK1073" s="34"/>
      <c r="CL1073" s="34"/>
      <c r="CM1073" s="34"/>
      <c r="CN1073" s="34"/>
      <c r="CO1073" s="34"/>
      <c r="CP1073" s="34"/>
      <c r="CQ1073" s="34"/>
      <c r="CR1073" s="34"/>
      <c r="CS1073" s="34"/>
    </row>
    <row r="1074" spans="7:97" s="246" customFormat="1" x14ac:dyDescent="0.2">
      <c r="G1074" s="2188"/>
      <c r="BS1074" s="34"/>
      <c r="BT1074" s="34"/>
      <c r="BU1074" s="34"/>
      <c r="BV1074" s="34"/>
      <c r="BW1074" s="34"/>
      <c r="BX1074" s="34"/>
      <c r="BY1074" s="34"/>
      <c r="BZ1074" s="34"/>
      <c r="CA1074" s="34"/>
      <c r="CB1074" s="34"/>
      <c r="CC1074" s="34"/>
      <c r="CD1074" s="34"/>
      <c r="CE1074" s="34"/>
      <c r="CF1074" s="34"/>
      <c r="CG1074" s="34"/>
      <c r="CH1074" s="34"/>
      <c r="CI1074" s="34"/>
      <c r="CJ1074" s="34"/>
      <c r="CK1074" s="34"/>
      <c r="CL1074" s="34"/>
      <c r="CM1074" s="34"/>
      <c r="CN1074" s="34"/>
      <c r="CO1074" s="34"/>
      <c r="CP1074" s="34"/>
      <c r="CQ1074" s="34"/>
      <c r="CR1074" s="34"/>
      <c r="CS1074" s="34"/>
    </row>
    <row r="1075" spans="7:97" s="246" customFormat="1" x14ac:dyDescent="0.2">
      <c r="G1075" s="2188"/>
      <c r="BS1075" s="34"/>
      <c r="BT1075" s="34"/>
      <c r="BU1075" s="34"/>
      <c r="BV1075" s="34"/>
      <c r="BW1075" s="34"/>
      <c r="BX1075" s="34"/>
      <c r="BY1075" s="34"/>
      <c r="BZ1075" s="34"/>
      <c r="CA1075" s="34"/>
      <c r="CB1075" s="34"/>
      <c r="CC1075" s="34"/>
      <c r="CD1075" s="34"/>
      <c r="CE1075" s="34"/>
      <c r="CF1075" s="34"/>
      <c r="CG1075" s="34"/>
      <c r="CH1075" s="34"/>
      <c r="CI1075" s="34"/>
      <c r="CJ1075" s="34"/>
      <c r="CK1075" s="34"/>
      <c r="CL1075" s="34"/>
      <c r="CM1075" s="34"/>
      <c r="CN1075" s="34"/>
      <c r="CO1075" s="34"/>
      <c r="CP1075" s="34"/>
      <c r="CQ1075" s="34"/>
      <c r="CR1075" s="34"/>
      <c r="CS1075" s="34"/>
    </row>
    <row r="1076" spans="7:97" s="246" customFormat="1" x14ac:dyDescent="0.2">
      <c r="G1076" s="2188"/>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row>
    <row r="1077" spans="7:97" s="246" customFormat="1" x14ac:dyDescent="0.2">
      <c r="G1077" s="2188"/>
      <c r="BS1077" s="34"/>
      <c r="BT1077" s="34"/>
      <c r="BU1077" s="34"/>
      <c r="BV1077" s="34"/>
      <c r="BW1077" s="34"/>
      <c r="BX1077" s="34"/>
      <c r="BY1077" s="34"/>
      <c r="BZ1077" s="34"/>
      <c r="CA1077" s="34"/>
      <c r="CB1077" s="34"/>
      <c r="CC1077" s="34"/>
      <c r="CD1077" s="34"/>
      <c r="CE1077" s="34"/>
      <c r="CF1077" s="34"/>
      <c r="CG1077" s="34"/>
      <c r="CH1077" s="34"/>
      <c r="CI1077" s="34"/>
      <c r="CJ1077" s="34"/>
      <c r="CK1077" s="34"/>
      <c r="CL1077" s="34"/>
      <c r="CM1077" s="34"/>
      <c r="CN1077" s="34"/>
      <c r="CO1077" s="34"/>
      <c r="CP1077" s="34"/>
      <c r="CQ1077" s="34"/>
      <c r="CR1077" s="34"/>
      <c r="CS1077" s="34"/>
    </row>
    <row r="1078" spans="7:97" s="246" customFormat="1" x14ac:dyDescent="0.2">
      <c r="G1078" s="2188"/>
      <c r="BS1078" s="34"/>
      <c r="BT1078" s="34"/>
      <c r="BU1078" s="34"/>
      <c r="BV1078" s="34"/>
      <c r="BW1078" s="34"/>
      <c r="BX1078" s="34"/>
      <c r="BY1078" s="34"/>
      <c r="BZ1078" s="34"/>
      <c r="CA1078" s="34"/>
      <c r="CB1078" s="34"/>
      <c r="CC1078" s="34"/>
      <c r="CD1078" s="34"/>
      <c r="CE1078" s="34"/>
      <c r="CF1078" s="34"/>
      <c r="CG1078" s="34"/>
      <c r="CH1078" s="34"/>
      <c r="CI1078" s="34"/>
      <c r="CJ1078" s="34"/>
      <c r="CK1078" s="34"/>
      <c r="CL1078" s="34"/>
      <c r="CM1078" s="34"/>
      <c r="CN1078" s="34"/>
      <c r="CO1078" s="34"/>
      <c r="CP1078" s="34"/>
      <c r="CQ1078" s="34"/>
      <c r="CR1078" s="34"/>
      <c r="CS1078" s="34"/>
    </row>
    <row r="1079" spans="7:97" s="246" customFormat="1" x14ac:dyDescent="0.2">
      <c r="G1079" s="2188"/>
      <c r="BS1079" s="34"/>
      <c r="BT1079" s="34"/>
      <c r="BU1079" s="34"/>
      <c r="BV1079" s="34"/>
      <c r="BW1079" s="34"/>
      <c r="BX1079" s="34"/>
      <c r="BY1079" s="34"/>
      <c r="BZ1079" s="34"/>
      <c r="CA1079" s="34"/>
      <c r="CB1079" s="34"/>
      <c r="CC1079" s="34"/>
      <c r="CD1079" s="34"/>
      <c r="CE1079" s="34"/>
      <c r="CF1079" s="34"/>
      <c r="CG1079" s="34"/>
      <c r="CH1079" s="34"/>
      <c r="CI1079" s="34"/>
      <c r="CJ1079" s="34"/>
      <c r="CK1079" s="34"/>
      <c r="CL1079" s="34"/>
      <c r="CM1079" s="34"/>
      <c r="CN1079" s="34"/>
      <c r="CO1079" s="34"/>
      <c r="CP1079" s="34"/>
      <c r="CQ1079" s="34"/>
      <c r="CR1079" s="34"/>
      <c r="CS1079" s="34"/>
    </row>
    <row r="1080" spans="7:97" s="246" customFormat="1" x14ac:dyDescent="0.2">
      <c r="G1080" s="2188"/>
      <c r="BS1080" s="34"/>
      <c r="BT1080" s="34"/>
      <c r="BU1080" s="34"/>
      <c r="BV1080" s="34"/>
      <c r="BW1080" s="34"/>
      <c r="BX1080" s="34"/>
      <c r="BY1080" s="34"/>
      <c r="BZ1080" s="34"/>
      <c r="CA1080" s="34"/>
      <c r="CB1080" s="34"/>
      <c r="CC1080" s="34"/>
      <c r="CD1080" s="34"/>
      <c r="CE1080" s="34"/>
      <c r="CF1080" s="34"/>
      <c r="CG1080" s="34"/>
      <c r="CH1080" s="34"/>
      <c r="CI1080" s="34"/>
      <c r="CJ1080" s="34"/>
      <c r="CK1080" s="34"/>
      <c r="CL1080" s="34"/>
      <c r="CM1080" s="34"/>
      <c r="CN1080" s="34"/>
      <c r="CO1080" s="34"/>
      <c r="CP1080" s="34"/>
      <c r="CQ1080" s="34"/>
      <c r="CR1080" s="34"/>
      <c r="CS1080" s="34"/>
    </row>
    <row r="1081" spans="7:97" s="246" customFormat="1" x14ac:dyDescent="0.2">
      <c r="G1081" s="2188"/>
      <c r="BS1081" s="34"/>
      <c r="BT1081" s="34"/>
      <c r="BU1081" s="34"/>
      <c r="BV1081" s="34"/>
      <c r="BW1081" s="34"/>
      <c r="BX1081" s="34"/>
      <c r="BY1081" s="34"/>
      <c r="BZ1081" s="34"/>
      <c r="CA1081" s="34"/>
      <c r="CB1081" s="34"/>
      <c r="CC1081" s="34"/>
      <c r="CD1081" s="34"/>
      <c r="CE1081" s="34"/>
      <c r="CF1081" s="34"/>
      <c r="CG1081" s="34"/>
      <c r="CH1081" s="34"/>
      <c r="CI1081" s="34"/>
      <c r="CJ1081" s="34"/>
      <c r="CK1081" s="34"/>
      <c r="CL1081" s="34"/>
      <c r="CM1081" s="34"/>
      <c r="CN1081" s="34"/>
      <c r="CO1081" s="34"/>
      <c r="CP1081" s="34"/>
      <c r="CQ1081" s="34"/>
      <c r="CR1081" s="34"/>
      <c r="CS1081" s="34"/>
    </row>
    <row r="1082" spans="7:97" s="246" customFormat="1" x14ac:dyDescent="0.2">
      <c r="G1082" s="2188"/>
      <c r="BS1082" s="34"/>
      <c r="BT1082" s="34"/>
      <c r="BU1082" s="34"/>
      <c r="BV1082" s="34"/>
      <c r="BW1082" s="34"/>
      <c r="BX1082" s="34"/>
      <c r="BY1082" s="34"/>
      <c r="BZ1082" s="34"/>
      <c r="CA1082" s="34"/>
      <c r="CB1082" s="34"/>
      <c r="CC1082" s="34"/>
      <c r="CD1082" s="34"/>
      <c r="CE1082" s="34"/>
      <c r="CF1082" s="34"/>
      <c r="CG1082" s="34"/>
      <c r="CH1082" s="34"/>
      <c r="CI1082" s="34"/>
      <c r="CJ1082" s="34"/>
      <c r="CK1082" s="34"/>
      <c r="CL1082" s="34"/>
      <c r="CM1082" s="34"/>
      <c r="CN1082" s="34"/>
      <c r="CO1082" s="34"/>
      <c r="CP1082" s="34"/>
      <c r="CQ1082" s="34"/>
      <c r="CR1082" s="34"/>
      <c r="CS1082" s="34"/>
    </row>
    <row r="1083" spans="7:97" s="246" customFormat="1" x14ac:dyDescent="0.2">
      <c r="G1083" s="2188"/>
      <c r="BS1083" s="34"/>
      <c r="BT1083" s="34"/>
      <c r="BU1083" s="34"/>
      <c r="BV1083" s="34"/>
      <c r="BW1083" s="34"/>
      <c r="BX1083" s="34"/>
      <c r="BY1083" s="34"/>
      <c r="BZ1083" s="34"/>
      <c r="CA1083" s="34"/>
      <c r="CB1083" s="34"/>
      <c r="CC1083" s="34"/>
      <c r="CD1083" s="34"/>
      <c r="CE1083" s="34"/>
      <c r="CF1083" s="34"/>
      <c r="CG1083" s="34"/>
      <c r="CH1083" s="34"/>
      <c r="CI1083" s="34"/>
      <c r="CJ1083" s="34"/>
      <c r="CK1083" s="34"/>
      <c r="CL1083" s="34"/>
      <c r="CM1083" s="34"/>
      <c r="CN1083" s="34"/>
      <c r="CO1083" s="34"/>
      <c r="CP1083" s="34"/>
      <c r="CQ1083" s="34"/>
      <c r="CR1083" s="34"/>
      <c r="CS1083" s="34"/>
    </row>
    <row r="1084" spans="7:97" s="246" customFormat="1" x14ac:dyDescent="0.2">
      <c r="G1084" s="2188"/>
      <c r="BS1084" s="34"/>
      <c r="BT1084" s="34"/>
      <c r="BU1084" s="34"/>
      <c r="BV1084" s="34"/>
      <c r="BW1084" s="34"/>
      <c r="BX1084" s="34"/>
      <c r="BY1084" s="34"/>
      <c r="BZ1084" s="34"/>
      <c r="CA1084" s="34"/>
      <c r="CB1084" s="34"/>
      <c r="CC1084" s="34"/>
      <c r="CD1084" s="34"/>
      <c r="CE1084" s="34"/>
      <c r="CF1084" s="34"/>
      <c r="CG1084" s="34"/>
      <c r="CH1084" s="34"/>
      <c r="CI1084" s="34"/>
      <c r="CJ1084" s="34"/>
      <c r="CK1084" s="34"/>
      <c r="CL1084" s="34"/>
      <c r="CM1084" s="34"/>
      <c r="CN1084" s="34"/>
      <c r="CO1084" s="34"/>
      <c r="CP1084" s="34"/>
      <c r="CQ1084" s="34"/>
      <c r="CR1084" s="34"/>
      <c r="CS1084" s="34"/>
    </row>
    <row r="1085" spans="7:97" s="246" customFormat="1" x14ac:dyDescent="0.2">
      <c r="G1085" s="2188"/>
      <c r="BS1085" s="34"/>
      <c r="BT1085" s="34"/>
      <c r="BU1085" s="34"/>
      <c r="BV1085" s="34"/>
      <c r="BW1085" s="34"/>
      <c r="BX1085" s="34"/>
      <c r="BY1085" s="34"/>
      <c r="BZ1085" s="34"/>
      <c r="CA1085" s="34"/>
      <c r="CB1085" s="34"/>
      <c r="CC1085" s="34"/>
      <c r="CD1085" s="34"/>
      <c r="CE1085" s="34"/>
      <c r="CF1085" s="34"/>
      <c r="CG1085" s="34"/>
      <c r="CH1085" s="34"/>
      <c r="CI1085" s="34"/>
      <c r="CJ1085" s="34"/>
      <c r="CK1085" s="34"/>
      <c r="CL1085" s="34"/>
      <c r="CM1085" s="34"/>
      <c r="CN1085" s="34"/>
      <c r="CO1085" s="34"/>
      <c r="CP1085" s="34"/>
      <c r="CQ1085" s="34"/>
      <c r="CR1085" s="34"/>
      <c r="CS1085" s="34"/>
    </row>
    <row r="1086" spans="7:97" s="246" customFormat="1" x14ac:dyDescent="0.2">
      <c r="G1086" s="2188"/>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row>
    <row r="1087" spans="7:97" s="246" customFormat="1" x14ac:dyDescent="0.2">
      <c r="G1087" s="2188"/>
      <c r="BS1087" s="34"/>
      <c r="BT1087" s="34"/>
      <c r="BU1087" s="34"/>
      <c r="BV1087" s="34"/>
      <c r="BW1087" s="34"/>
      <c r="BX1087" s="34"/>
      <c r="BY1087" s="34"/>
      <c r="BZ1087" s="34"/>
      <c r="CA1087" s="34"/>
      <c r="CB1087" s="34"/>
      <c r="CC1087" s="34"/>
      <c r="CD1087" s="34"/>
      <c r="CE1087" s="34"/>
      <c r="CF1087" s="34"/>
      <c r="CG1087" s="34"/>
      <c r="CH1087" s="34"/>
      <c r="CI1087" s="34"/>
      <c r="CJ1087" s="34"/>
      <c r="CK1087" s="34"/>
      <c r="CL1087" s="34"/>
      <c r="CM1087" s="34"/>
      <c r="CN1087" s="34"/>
      <c r="CO1087" s="34"/>
      <c r="CP1087" s="34"/>
      <c r="CQ1087" s="34"/>
      <c r="CR1087" s="34"/>
      <c r="CS1087" s="34"/>
    </row>
    <row r="1088" spans="7:97" s="246" customFormat="1" x14ac:dyDescent="0.2">
      <c r="G1088" s="2188"/>
      <c r="BS1088" s="34"/>
      <c r="BT1088" s="34"/>
      <c r="BU1088" s="34"/>
      <c r="BV1088" s="34"/>
      <c r="BW1088" s="34"/>
      <c r="BX1088" s="34"/>
      <c r="BY1088" s="34"/>
      <c r="BZ1088" s="34"/>
      <c r="CA1088" s="34"/>
      <c r="CB1088" s="34"/>
      <c r="CC1088" s="34"/>
      <c r="CD1088" s="34"/>
      <c r="CE1088" s="34"/>
      <c r="CF1088" s="34"/>
      <c r="CG1088" s="34"/>
      <c r="CH1088" s="34"/>
      <c r="CI1088" s="34"/>
      <c r="CJ1088" s="34"/>
      <c r="CK1088" s="34"/>
      <c r="CL1088" s="34"/>
      <c r="CM1088" s="34"/>
      <c r="CN1088" s="34"/>
      <c r="CO1088" s="34"/>
      <c r="CP1088" s="34"/>
      <c r="CQ1088" s="34"/>
      <c r="CR1088" s="34"/>
      <c r="CS1088" s="34"/>
    </row>
    <row r="1089" spans="7:97" s="246" customFormat="1" x14ac:dyDescent="0.2">
      <c r="G1089" s="2188"/>
      <c r="BS1089" s="34"/>
      <c r="BT1089" s="34"/>
      <c r="BU1089" s="34"/>
      <c r="BV1089" s="34"/>
      <c r="BW1089" s="34"/>
      <c r="BX1089" s="34"/>
      <c r="BY1089" s="34"/>
      <c r="BZ1089" s="34"/>
      <c r="CA1089" s="34"/>
      <c r="CB1089" s="34"/>
      <c r="CC1089" s="34"/>
      <c r="CD1089" s="34"/>
      <c r="CE1089" s="34"/>
      <c r="CF1089" s="34"/>
      <c r="CG1089" s="34"/>
      <c r="CH1089" s="34"/>
      <c r="CI1089" s="34"/>
      <c r="CJ1089" s="34"/>
      <c r="CK1089" s="34"/>
      <c r="CL1089" s="34"/>
      <c r="CM1089" s="34"/>
      <c r="CN1089" s="34"/>
      <c r="CO1089" s="34"/>
      <c r="CP1089" s="34"/>
      <c r="CQ1089" s="34"/>
      <c r="CR1089" s="34"/>
      <c r="CS1089" s="34"/>
    </row>
    <row r="1090" spans="7:97" s="246" customFormat="1" x14ac:dyDescent="0.2">
      <c r="G1090" s="2188"/>
      <c r="BS1090" s="34"/>
      <c r="BT1090" s="34"/>
      <c r="BU1090" s="34"/>
      <c r="BV1090" s="34"/>
      <c r="BW1090" s="34"/>
      <c r="BX1090" s="34"/>
      <c r="BY1090" s="34"/>
      <c r="BZ1090" s="34"/>
      <c r="CA1090" s="34"/>
      <c r="CB1090" s="34"/>
      <c r="CC1090" s="34"/>
      <c r="CD1090" s="34"/>
      <c r="CE1090" s="34"/>
      <c r="CF1090" s="34"/>
      <c r="CG1090" s="34"/>
      <c r="CH1090" s="34"/>
      <c r="CI1090" s="34"/>
      <c r="CJ1090" s="34"/>
      <c r="CK1090" s="34"/>
      <c r="CL1090" s="34"/>
      <c r="CM1090" s="34"/>
      <c r="CN1090" s="34"/>
      <c r="CO1090" s="34"/>
      <c r="CP1090" s="34"/>
      <c r="CQ1090" s="34"/>
      <c r="CR1090" s="34"/>
      <c r="CS1090" s="34"/>
    </row>
    <row r="1091" spans="7:97" s="246" customFormat="1" x14ac:dyDescent="0.2">
      <c r="G1091" s="2188"/>
      <c r="BS1091" s="34"/>
      <c r="BT1091" s="34"/>
      <c r="BU1091" s="34"/>
      <c r="BV1091" s="34"/>
      <c r="BW1091" s="34"/>
      <c r="BX1091" s="34"/>
      <c r="BY1091" s="34"/>
      <c r="BZ1091" s="34"/>
      <c r="CA1091" s="34"/>
      <c r="CB1091" s="34"/>
      <c r="CC1091" s="34"/>
      <c r="CD1091" s="34"/>
      <c r="CE1091" s="34"/>
      <c r="CF1091" s="34"/>
      <c r="CG1091" s="34"/>
      <c r="CH1091" s="34"/>
      <c r="CI1091" s="34"/>
      <c r="CJ1091" s="34"/>
      <c r="CK1091" s="34"/>
      <c r="CL1091" s="34"/>
      <c r="CM1091" s="34"/>
      <c r="CN1091" s="34"/>
      <c r="CO1091" s="34"/>
      <c r="CP1091" s="34"/>
      <c r="CQ1091" s="34"/>
      <c r="CR1091" s="34"/>
      <c r="CS1091" s="34"/>
    </row>
    <row r="1092" spans="7:97" s="246" customFormat="1" x14ac:dyDescent="0.2">
      <c r="G1092" s="2188"/>
      <c r="BS1092" s="34"/>
      <c r="BT1092" s="34"/>
      <c r="BU1092" s="34"/>
      <c r="BV1092" s="34"/>
      <c r="BW1092" s="34"/>
      <c r="BX1092" s="34"/>
      <c r="BY1092" s="34"/>
      <c r="BZ1092" s="34"/>
      <c r="CA1092" s="34"/>
      <c r="CB1092" s="34"/>
      <c r="CC1092" s="34"/>
      <c r="CD1092" s="34"/>
      <c r="CE1092" s="34"/>
      <c r="CF1092" s="34"/>
      <c r="CG1092" s="34"/>
      <c r="CH1092" s="34"/>
      <c r="CI1092" s="34"/>
      <c r="CJ1092" s="34"/>
      <c r="CK1092" s="34"/>
      <c r="CL1092" s="34"/>
      <c r="CM1092" s="34"/>
      <c r="CN1092" s="34"/>
      <c r="CO1092" s="34"/>
      <c r="CP1092" s="34"/>
      <c r="CQ1092" s="34"/>
      <c r="CR1092" s="34"/>
      <c r="CS1092" s="34"/>
    </row>
    <row r="1093" spans="7:97" s="246" customFormat="1" x14ac:dyDescent="0.2">
      <c r="G1093" s="2188"/>
      <c r="BS1093" s="34"/>
      <c r="BT1093" s="34"/>
      <c r="BU1093" s="34"/>
      <c r="BV1093" s="34"/>
      <c r="BW1093" s="34"/>
      <c r="BX1093" s="34"/>
      <c r="BY1093" s="34"/>
      <c r="BZ1093" s="34"/>
      <c r="CA1093" s="34"/>
      <c r="CB1093" s="34"/>
      <c r="CC1093" s="34"/>
      <c r="CD1093" s="34"/>
      <c r="CE1093" s="34"/>
      <c r="CF1093" s="34"/>
      <c r="CG1093" s="34"/>
      <c r="CH1093" s="34"/>
      <c r="CI1093" s="34"/>
      <c r="CJ1093" s="34"/>
      <c r="CK1093" s="34"/>
      <c r="CL1093" s="34"/>
      <c r="CM1093" s="34"/>
      <c r="CN1093" s="34"/>
      <c r="CO1093" s="34"/>
      <c r="CP1093" s="34"/>
      <c r="CQ1093" s="34"/>
      <c r="CR1093" s="34"/>
      <c r="CS1093" s="34"/>
    </row>
    <row r="1094" spans="7:97" s="246" customFormat="1" x14ac:dyDescent="0.2">
      <c r="G1094" s="2188"/>
      <c r="BS1094" s="34"/>
      <c r="BT1094" s="34"/>
      <c r="BU1094" s="34"/>
      <c r="BV1094" s="34"/>
      <c r="BW1094" s="34"/>
      <c r="BX1094" s="34"/>
      <c r="BY1094" s="34"/>
      <c r="BZ1094" s="34"/>
      <c r="CA1094" s="34"/>
      <c r="CB1094" s="34"/>
      <c r="CC1094" s="34"/>
      <c r="CD1094" s="34"/>
      <c r="CE1094" s="34"/>
      <c r="CF1094" s="34"/>
      <c r="CG1094" s="34"/>
      <c r="CH1094" s="34"/>
      <c r="CI1094" s="34"/>
      <c r="CJ1094" s="34"/>
      <c r="CK1094" s="34"/>
      <c r="CL1094" s="34"/>
      <c r="CM1094" s="34"/>
      <c r="CN1094" s="34"/>
      <c r="CO1094" s="34"/>
      <c r="CP1094" s="34"/>
      <c r="CQ1094" s="34"/>
      <c r="CR1094" s="34"/>
      <c r="CS1094" s="34"/>
    </row>
    <row r="1095" spans="7:97" s="246" customFormat="1" x14ac:dyDescent="0.2">
      <c r="G1095" s="2188"/>
      <c r="BS1095" s="34"/>
      <c r="BT1095" s="34"/>
      <c r="BU1095" s="34"/>
      <c r="BV1095" s="34"/>
      <c r="BW1095" s="34"/>
      <c r="BX1095" s="34"/>
      <c r="BY1095" s="34"/>
      <c r="BZ1095" s="34"/>
      <c r="CA1095" s="34"/>
      <c r="CB1095" s="34"/>
      <c r="CC1095" s="34"/>
      <c r="CD1095" s="34"/>
      <c r="CE1095" s="34"/>
      <c r="CF1095" s="34"/>
      <c r="CG1095" s="34"/>
      <c r="CH1095" s="34"/>
      <c r="CI1095" s="34"/>
      <c r="CJ1095" s="34"/>
      <c r="CK1095" s="34"/>
      <c r="CL1095" s="34"/>
      <c r="CM1095" s="34"/>
      <c r="CN1095" s="34"/>
      <c r="CO1095" s="34"/>
      <c r="CP1095" s="34"/>
      <c r="CQ1095" s="34"/>
      <c r="CR1095" s="34"/>
      <c r="CS1095" s="34"/>
    </row>
    <row r="1096" spans="7:97" s="246" customFormat="1" x14ac:dyDescent="0.2">
      <c r="G1096" s="2188"/>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row>
    <row r="1097" spans="7:97" s="246" customFormat="1" x14ac:dyDescent="0.2">
      <c r="G1097" s="2188"/>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row>
    <row r="1098" spans="7:97" s="246" customFormat="1" x14ac:dyDescent="0.2">
      <c r="G1098" s="2188"/>
      <c r="BS1098" s="34"/>
      <c r="BT1098" s="34"/>
      <c r="BU1098" s="34"/>
      <c r="BV1098" s="34"/>
      <c r="BW1098" s="34"/>
      <c r="BX1098" s="34"/>
      <c r="BY1098" s="34"/>
      <c r="BZ1098" s="34"/>
      <c r="CA1098" s="34"/>
      <c r="CB1098" s="34"/>
      <c r="CC1098" s="34"/>
      <c r="CD1098" s="34"/>
      <c r="CE1098" s="34"/>
      <c r="CF1098" s="34"/>
      <c r="CG1098" s="34"/>
      <c r="CH1098" s="34"/>
      <c r="CI1098" s="34"/>
      <c r="CJ1098" s="34"/>
      <c r="CK1098" s="34"/>
      <c r="CL1098" s="34"/>
      <c r="CM1098" s="34"/>
      <c r="CN1098" s="34"/>
      <c r="CO1098" s="34"/>
      <c r="CP1098" s="34"/>
      <c r="CQ1098" s="34"/>
      <c r="CR1098" s="34"/>
      <c r="CS1098" s="34"/>
    </row>
    <row r="1099" spans="7:97" s="246" customFormat="1" x14ac:dyDescent="0.2">
      <c r="G1099" s="2188"/>
      <c r="BS1099" s="34"/>
      <c r="BT1099" s="34"/>
      <c r="BU1099" s="34"/>
      <c r="BV1099" s="34"/>
      <c r="BW1099" s="34"/>
      <c r="BX1099" s="34"/>
      <c r="BY1099" s="34"/>
      <c r="BZ1099" s="34"/>
      <c r="CA1099" s="34"/>
      <c r="CB1099" s="34"/>
      <c r="CC1099" s="34"/>
      <c r="CD1099" s="34"/>
      <c r="CE1099" s="34"/>
      <c r="CF1099" s="34"/>
      <c r="CG1099" s="34"/>
      <c r="CH1099" s="34"/>
      <c r="CI1099" s="34"/>
      <c r="CJ1099" s="34"/>
      <c r="CK1099" s="34"/>
      <c r="CL1099" s="34"/>
      <c r="CM1099" s="34"/>
      <c r="CN1099" s="34"/>
      <c r="CO1099" s="34"/>
      <c r="CP1099" s="34"/>
      <c r="CQ1099" s="34"/>
      <c r="CR1099" s="34"/>
      <c r="CS1099" s="34"/>
    </row>
    <row r="1100" spans="7:97" s="246" customFormat="1" x14ac:dyDescent="0.2">
      <c r="G1100" s="2188"/>
      <c r="BS1100" s="34"/>
      <c r="BT1100" s="34"/>
      <c r="BU1100" s="34"/>
      <c r="BV1100" s="34"/>
      <c r="BW1100" s="34"/>
      <c r="BX1100" s="34"/>
      <c r="BY1100" s="34"/>
      <c r="BZ1100" s="34"/>
      <c r="CA1100" s="34"/>
      <c r="CB1100" s="34"/>
      <c r="CC1100" s="34"/>
      <c r="CD1100" s="34"/>
      <c r="CE1100" s="34"/>
      <c r="CF1100" s="34"/>
      <c r="CG1100" s="34"/>
      <c r="CH1100" s="34"/>
      <c r="CI1100" s="34"/>
      <c r="CJ1100" s="34"/>
      <c r="CK1100" s="34"/>
      <c r="CL1100" s="34"/>
      <c r="CM1100" s="34"/>
      <c r="CN1100" s="34"/>
      <c r="CO1100" s="34"/>
      <c r="CP1100" s="34"/>
      <c r="CQ1100" s="34"/>
      <c r="CR1100" s="34"/>
      <c r="CS1100" s="34"/>
    </row>
    <row r="1101" spans="7:97" s="246" customFormat="1" x14ac:dyDescent="0.2">
      <c r="G1101" s="2188"/>
      <c r="BS1101" s="34"/>
      <c r="BT1101" s="34"/>
      <c r="BU1101" s="34"/>
      <c r="BV1101" s="34"/>
      <c r="BW1101" s="34"/>
      <c r="BX1101" s="34"/>
      <c r="BY1101" s="34"/>
      <c r="BZ1101" s="34"/>
      <c r="CA1101" s="34"/>
      <c r="CB1101" s="34"/>
      <c r="CC1101" s="34"/>
      <c r="CD1101" s="34"/>
      <c r="CE1101" s="34"/>
      <c r="CF1101" s="34"/>
      <c r="CG1101" s="34"/>
      <c r="CH1101" s="34"/>
      <c r="CI1101" s="34"/>
      <c r="CJ1101" s="34"/>
      <c r="CK1101" s="34"/>
      <c r="CL1101" s="34"/>
      <c r="CM1101" s="34"/>
      <c r="CN1101" s="34"/>
      <c r="CO1101" s="34"/>
      <c r="CP1101" s="34"/>
      <c r="CQ1101" s="34"/>
      <c r="CR1101" s="34"/>
      <c r="CS1101" s="34"/>
    </row>
    <row r="1102" spans="7:97" s="246" customFormat="1" x14ac:dyDescent="0.2">
      <c r="G1102" s="2188"/>
      <c r="BS1102" s="34"/>
      <c r="BT1102" s="34"/>
      <c r="BU1102" s="34"/>
      <c r="BV1102" s="34"/>
      <c r="BW1102" s="34"/>
      <c r="BX1102" s="34"/>
      <c r="BY1102" s="34"/>
      <c r="BZ1102" s="34"/>
      <c r="CA1102" s="34"/>
      <c r="CB1102" s="34"/>
      <c r="CC1102" s="34"/>
      <c r="CD1102" s="34"/>
      <c r="CE1102" s="34"/>
      <c r="CF1102" s="34"/>
      <c r="CG1102" s="34"/>
      <c r="CH1102" s="34"/>
      <c r="CI1102" s="34"/>
      <c r="CJ1102" s="34"/>
      <c r="CK1102" s="34"/>
      <c r="CL1102" s="34"/>
      <c r="CM1102" s="34"/>
      <c r="CN1102" s="34"/>
      <c r="CO1102" s="34"/>
      <c r="CP1102" s="34"/>
      <c r="CQ1102" s="34"/>
      <c r="CR1102" s="34"/>
      <c r="CS1102" s="34"/>
    </row>
    <row r="1103" spans="7:97" s="246" customFormat="1" x14ac:dyDescent="0.2">
      <c r="G1103" s="2188"/>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34"/>
      <c r="CR1103" s="34"/>
      <c r="CS1103" s="34"/>
    </row>
    <row r="1104" spans="7:97" s="246" customFormat="1" x14ac:dyDescent="0.2">
      <c r="G1104" s="2188"/>
      <c r="BS1104" s="34"/>
      <c r="BT1104" s="34"/>
      <c r="BU1104" s="34"/>
      <c r="BV1104" s="34"/>
      <c r="BW1104" s="34"/>
      <c r="BX1104" s="34"/>
      <c r="BY1104" s="34"/>
      <c r="BZ1104" s="34"/>
      <c r="CA1104" s="34"/>
      <c r="CB1104" s="34"/>
      <c r="CC1104" s="34"/>
      <c r="CD1104" s="34"/>
      <c r="CE1104" s="34"/>
      <c r="CF1104" s="34"/>
      <c r="CG1104" s="34"/>
      <c r="CH1104" s="34"/>
      <c r="CI1104" s="34"/>
      <c r="CJ1104" s="34"/>
      <c r="CK1104" s="34"/>
      <c r="CL1104" s="34"/>
      <c r="CM1104" s="34"/>
      <c r="CN1104" s="34"/>
      <c r="CO1104" s="34"/>
      <c r="CP1104" s="34"/>
      <c r="CQ1104" s="34"/>
      <c r="CR1104" s="34"/>
      <c r="CS1104" s="34"/>
    </row>
    <row r="1105" spans="5:97" s="246" customFormat="1" x14ac:dyDescent="0.2">
      <c r="G1105" s="2188"/>
      <c r="BS1105" s="34"/>
      <c r="BT1105" s="34"/>
      <c r="BU1105" s="34"/>
      <c r="BV1105" s="34"/>
      <c r="BW1105" s="34"/>
      <c r="BX1105" s="34"/>
      <c r="BY1105" s="34"/>
      <c r="BZ1105" s="34"/>
      <c r="CA1105" s="34"/>
      <c r="CB1105" s="34"/>
      <c r="CC1105" s="34"/>
      <c r="CD1105" s="34"/>
      <c r="CE1105" s="34"/>
      <c r="CF1105" s="34"/>
      <c r="CG1105" s="34"/>
      <c r="CH1105" s="34"/>
      <c r="CI1105" s="34"/>
      <c r="CJ1105" s="34"/>
      <c r="CK1105" s="34"/>
      <c r="CL1105" s="34"/>
      <c r="CM1105" s="34"/>
      <c r="CN1105" s="34"/>
      <c r="CO1105" s="34"/>
      <c r="CP1105" s="34"/>
      <c r="CQ1105" s="34"/>
      <c r="CR1105" s="34"/>
      <c r="CS1105" s="34"/>
    </row>
    <row r="1106" spans="5:97" s="246" customFormat="1" x14ac:dyDescent="0.2">
      <c r="G1106" s="2188"/>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row>
    <row r="1107" spans="5:97" s="246" customFormat="1" x14ac:dyDescent="0.2">
      <c r="G1107" s="2188"/>
      <c r="BS1107" s="34"/>
      <c r="BT1107" s="34"/>
      <c r="BU1107" s="34"/>
      <c r="BV1107" s="34"/>
      <c r="BW1107" s="34"/>
      <c r="BX1107" s="34"/>
      <c r="BY1107" s="34"/>
      <c r="BZ1107" s="34"/>
      <c r="CA1107" s="34"/>
      <c r="CB1107" s="34"/>
      <c r="CC1107" s="34"/>
      <c r="CD1107" s="34"/>
      <c r="CE1107" s="34"/>
      <c r="CF1107" s="34"/>
      <c r="CG1107" s="34"/>
      <c r="CH1107" s="34"/>
      <c r="CI1107" s="34"/>
      <c r="CJ1107" s="34"/>
      <c r="CK1107" s="34"/>
      <c r="CL1107" s="34"/>
      <c r="CM1107" s="34"/>
      <c r="CN1107" s="34"/>
      <c r="CO1107" s="34"/>
      <c r="CP1107" s="34"/>
      <c r="CQ1107" s="34"/>
      <c r="CR1107" s="34"/>
      <c r="CS1107" s="34"/>
    </row>
    <row r="1108" spans="5:97" s="246" customFormat="1" x14ac:dyDescent="0.2">
      <c r="G1108" s="2188"/>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row>
    <row r="1109" spans="5:97" s="246" customFormat="1" x14ac:dyDescent="0.2">
      <c r="E1109" s="246" t="s">
        <v>7245</v>
      </c>
      <c r="G1109" s="2188"/>
      <c r="BS1109" s="34"/>
      <c r="BT1109" s="34"/>
      <c r="BU1109" s="34"/>
      <c r="BV1109" s="34"/>
      <c r="BW1109" s="34"/>
      <c r="BX1109" s="34"/>
      <c r="BY1109" s="34"/>
      <c r="BZ1109" s="34"/>
      <c r="CA1109" s="34"/>
      <c r="CB1109" s="34"/>
      <c r="CC1109" s="34"/>
      <c r="CD1109" s="34"/>
      <c r="CE1109" s="34"/>
      <c r="CF1109" s="34"/>
      <c r="CG1109" s="34"/>
      <c r="CH1109" s="34"/>
      <c r="CI1109" s="34"/>
      <c r="CJ1109" s="34"/>
      <c r="CK1109" s="34"/>
      <c r="CL1109" s="34"/>
      <c r="CM1109" s="34"/>
      <c r="CN1109" s="34"/>
      <c r="CO1109" s="34"/>
      <c r="CP1109" s="34"/>
      <c r="CQ1109" s="34"/>
      <c r="CR1109" s="34"/>
      <c r="CS1109" s="34"/>
    </row>
    <row r="1110" spans="5:97" s="246" customFormat="1" x14ac:dyDescent="0.2">
      <c r="G1110" s="2188"/>
      <c r="BS1110" s="34"/>
      <c r="BT1110" s="34"/>
      <c r="BU1110" s="34"/>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c r="CQ1110" s="34"/>
      <c r="CR1110" s="34"/>
      <c r="CS1110" s="34"/>
    </row>
    <row r="1111" spans="5:97" s="246" customFormat="1" x14ac:dyDescent="0.2">
      <c r="G1111" s="2188"/>
      <c r="BS1111" s="34"/>
      <c r="BT1111" s="34"/>
      <c r="BU1111" s="34"/>
      <c r="BV1111" s="34"/>
      <c r="BW1111" s="34"/>
      <c r="BX1111" s="34"/>
      <c r="BY1111" s="34"/>
      <c r="BZ1111" s="34"/>
      <c r="CA1111" s="34"/>
      <c r="CB1111" s="34"/>
      <c r="CC1111" s="34"/>
      <c r="CD1111" s="34"/>
      <c r="CE1111" s="34"/>
      <c r="CF1111" s="34"/>
      <c r="CG1111" s="34"/>
      <c r="CH1111" s="34"/>
      <c r="CI1111" s="34"/>
      <c r="CJ1111" s="34"/>
      <c r="CK1111" s="34"/>
      <c r="CL1111" s="34"/>
      <c r="CM1111" s="34"/>
      <c r="CN1111" s="34"/>
      <c r="CO1111" s="34"/>
      <c r="CP1111" s="34"/>
      <c r="CQ1111" s="34"/>
      <c r="CR1111" s="34"/>
      <c r="CS1111" s="34"/>
    </row>
    <row r="1112" spans="5:97" s="246" customFormat="1" x14ac:dyDescent="0.2">
      <c r="G1112" s="2188"/>
      <c r="BS1112" s="34"/>
      <c r="BT1112" s="34"/>
      <c r="BU1112" s="34"/>
      <c r="BV1112" s="34"/>
      <c r="BW1112" s="34"/>
      <c r="BX1112" s="34"/>
      <c r="BY1112" s="34"/>
      <c r="BZ1112" s="34"/>
      <c r="CA1112" s="34"/>
      <c r="CB1112" s="34"/>
      <c r="CC1112" s="34"/>
      <c r="CD1112" s="34"/>
      <c r="CE1112" s="34"/>
      <c r="CF1112" s="34"/>
      <c r="CG1112" s="34"/>
      <c r="CH1112" s="34"/>
      <c r="CI1112" s="34"/>
      <c r="CJ1112" s="34"/>
      <c r="CK1112" s="34"/>
      <c r="CL1112" s="34"/>
      <c r="CM1112" s="34"/>
      <c r="CN1112" s="34"/>
      <c r="CO1112" s="34"/>
      <c r="CP1112" s="34"/>
      <c r="CQ1112" s="34"/>
      <c r="CR1112" s="34"/>
      <c r="CS1112" s="34"/>
    </row>
    <row r="1113" spans="5:97" s="246" customFormat="1" x14ac:dyDescent="0.2">
      <c r="G1113" s="2188"/>
      <c r="BS1113" s="34"/>
      <c r="BT1113" s="34"/>
      <c r="BU1113" s="34"/>
      <c r="BV1113" s="34"/>
      <c r="BW1113" s="34"/>
      <c r="BX1113" s="34"/>
      <c r="BY1113" s="34"/>
      <c r="BZ1113" s="34"/>
      <c r="CA1113" s="34"/>
      <c r="CB1113" s="34"/>
      <c r="CC1113" s="34"/>
      <c r="CD1113" s="34"/>
      <c r="CE1113" s="34"/>
      <c r="CF1113" s="34"/>
      <c r="CG1113" s="34"/>
      <c r="CH1113" s="34"/>
      <c r="CI1113" s="34"/>
      <c r="CJ1113" s="34"/>
      <c r="CK1113" s="34"/>
      <c r="CL1113" s="34"/>
      <c r="CM1113" s="34"/>
      <c r="CN1113" s="34"/>
      <c r="CO1113" s="34"/>
      <c r="CP1113" s="34"/>
      <c r="CQ1113" s="34"/>
      <c r="CR1113" s="34"/>
      <c r="CS1113" s="34"/>
    </row>
    <row r="1114" spans="5:97" s="246" customFormat="1" x14ac:dyDescent="0.2">
      <c r="G1114" s="2188"/>
      <c r="BS1114" s="34"/>
      <c r="BT1114" s="34"/>
      <c r="BU1114" s="34"/>
      <c r="BV1114" s="34"/>
      <c r="BW1114" s="34"/>
      <c r="BX1114" s="34"/>
      <c r="BY1114" s="34"/>
      <c r="BZ1114" s="34"/>
      <c r="CA1114" s="34"/>
      <c r="CB1114" s="34"/>
      <c r="CC1114" s="34"/>
      <c r="CD1114" s="34"/>
      <c r="CE1114" s="34"/>
      <c r="CF1114" s="34"/>
      <c r="CG1114" s="34"/>
      <c r="CH1114" s="34"/>
      <c r="CI1114" s="34"/>
      <c r="CJ1114" s="34"/>
      <c r="CK1114" s="34"/>
      <c r="CL1114" s="34"/>
      <c r="CM1114" s="34"/>
      <c r="CN1114" s="34"/>
      <c r="CO1114" s="34"/>
      <c r="CP1114" s="34"/>
      <c r="CQ1114" s="34"/>
      <c r="CR1114" s="34"/>
      <c r="CS1114" s="34"/>
    </row>
    <row r="1115" spans="5:97" s="246" customFormat="1" x14ac:dyDescent="0.2">
      <c r="G1115" s="2188"/>
      <c r="BS1115" s="34"/>
      <c r="BT1115" s="34"/>
      <c r="BU1115" s="34"/>
      <c r="BV1115" s="34"/>
      <c r="BW1115" s="34"/>
      <c r="BX1115" s="34"/>
      <c r="BY1115" s="34"/>
      <c r="BZ1115" s="34"/>
      <c r="CA1115" s="34"/>
      <c r="CB1115" s="34"/>
      <c r="CC1115" s="34"/>
      <c r="CD1115" s="34"/>
      <c r="CE1115" s="34"/>
      <c r="CF1115" s="34"/>
      <c r="CG1115" s="34"/>
      <c r="CH1115" s="34"/>
      <c r="CI1115" s="34"/>
      <c r="CJ1115" s="34"/>
      <c r="CK1115" s="34"/>
      <c r="CL1115" s="34"/>
      <c r="CM1115" s="34"/>
      <c r="CN1115" s="34"/>
      <c r="CO1115" s="34"/>
      <c r="CP1115" s="34"/>
      <c r="CQ1115" s="34"/>
      <c r="CR1115" s="34"/>
      <c r="CS1115" s="34"/>
    </row>
    <row r="1116" spans="5:97" s="246" customFormat="1" x14ac:dyDescent="0.2">
      <c r="G1116" s="2188"/>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row>
    <row r="1117" spans="5:97" s="246" customFormat="1" x14ac:dyDescent="0.2">
      <c r="G1117" s="2188"/>
      <c r="BS1117" s="34"/>
      <c r="BT1117" s="34"/>
      <c r="BU1117" s="34"/>
      <c r="BV1117" s="34"/>
      <c r="BW1117" s="34"/>
      <c r="BX1117" s="34"/>
      <c r="BY1117" s="34"/>
      <c r="BZ1117" s="34"/>
      <c r="CA1117" s="34"/>
      <c r="CB1117" s="34"/>
      <c r="CC1117" s="34"/>
      <c r="CD1117" s="34"/>
      <c r="CE1117" s="34"/>
      <c r="CF1117" s="34"/>
      <c r="CG1117" s="34"/>
      <c r="CH1117" s="34"/>
      <c r="CI1117" s="34"/>
      <c r="CJ1117" s="34"/>
      <c r="CK1117" s="34"/>
      <c r="CL1117" s="34"/>
      <c r="CM1117" s="34"/>
      <c r="CN1117" s="34"/>
      <c r="CO1117" s="34"/>
      <c r="CP1117" s="34"/>
      <c r="CQ1117" s="34"/>
      <c r="CR1117" s="34"/>
      <c r="CS1117" s="34"/>
    </row>
    <row r="1118" spans="5:97" s="246" customFormat="1" x14ac:dyDescent="0.2">
      <c r="G1118" s="2188"/>
      <c r="BS1118" s="34"/>
      <c r="BT1118" s="34"/>
      <c r="BU1118" s="34"/>
      <c r="BV1118" s="34"/>
      <c r="BW1118" s="34"/>
      <c r="BX1118" s="34"/>
      <c r="BY1118" s="34"/>
      <c r="BZ1118" s="34"/>
      <c r="CA1118" s="34"/>
      <c r="CB1118" s="34"/>
      <c r="CC1118" s="34"/>
      <c r="CD1118" s="34"/>
      <c r="CE1118" s="34"/>
      <c r="CF1118" s="34"/>
      <c r="CG1118" s="34"/>
      <c r="CH1118" s="34"/>
      <c r="CI1118" s="34"/>
      <c r="CJ1118" s="34"/>
      <c r="CK1118" s="34"/>
      <c r="CL1118" s="34"/>
      <c r="CM1118" s="34"/>
      <c r="CN1118" s="34"/>
      <c r="CO1118" s="34"/>
      <c r="CP1118" s="34"/>
      <c r="CQ1118" s="34"/>
      <c r="CR1118" s="34"/>
      <c r="CS1118" s="34"/>
    </row>
    <row r="1119" spans="5:97" s="246" customFormat="1" x14ac:dyDescent="0.2">
      <c r="G1119" s="2188"/>
      <c r="BS1119" s="34"/>
      <c r="BT1119" s="34"/>
      <c r="BU1119" s="34"/>
      <c r="BV1119" s="34"/>
      <c r="BW1119" s="34"/>
      <c r="BX1119" s="34"/>
      <c r="BY1119" s="34"/>
      <c r="BZ1119" s="34"/>
      <c r="CA1119" s="34"/>
      <c r="CB1119" s="34"/>
      <c r="CC1119" s="34"/>
      <c r="CD1119" s="34"/>
      <c r="CE1119" s="34"/>
      <c r="CF1119" s="34"/>
      <c r="CG1119" s="34"/>
      <c r="CH1119" s="34"/>
      <c r="CI1119" s="34"/>
      <c r="CJ1119" s="34"/>
      <c r="CK1119" s="34"/>
      <c r="CL1119" s="34"/>
      <c r="CM1119" s="34"/>
      <c r="CN1119" s="34"/>
      <c r="CO1119" s="34"/>
      <c r="CP1119" s="34"/>
      <c r="CQ1119" s="34"/>
      <c r="CR1119" s="34"/>
      <c r="CS1119" s="34"/>
    </row>
    <row r="1120" spans="5:97" s="246" customFormat="1" x14ac:dyDescent="0.2">
      <c r="G1120" s="2188"/>
      <c r="BS1120" s="34"/>
      <c r="BT1120" s="34"/>
      <c r="BU1120" s="34"/>
      <c r="BV1120" s="34"/>
      <c r="BW1120" s="34"/>
      <c r="BX1120" s="34"/>
      <c r="BY1120" s="34"/>
      <c r="BZ1120" s="34"/>
      <c r="CA1120" s="34"/>
      <c r="CB1120" s="34"/>
      <c r="CC1120" s="34"/>
      <c r="CD1120" s="34"/>
      <c r="CE1120" s="34"/>
      <c r="CF1120" s="34"/>
      <c r="CG1120" s="34"/>
      <c r="CH1120" s="34"/>
      <c r="CI1120" s="34"/>
      <c r="CJ1120" s="34"/>
      <c r="CK1120" s="34"/>
      <c r="CL1120" s="34"/>
      <c r="CM1120" s="34"/>
      <c r="CN1120" s="34"/>
      <c r="CO1120" s="34"/>
      <c r="CP1120" s="34"/>
      <c r="CQ1120" s="34"/>
      <c r="CR1120" s="34"/>
      <c r="CS1120" s="34"/>
    </row>
    <row r="1121" spans="7:97" s="246" customFormat="1" x14ac:dyDescent="0.2">
      <c r="G1121" s="2188"/>
      <c r="BS1121" s="34"/>
      <c r="BT1121" s="34"/>
      <c r="BU1121" s="34"/>
      <c r="BV1121" s="34"/>
      <c r="BW1121" s="34"/>
      <c r="BX1121" s="34"/>
      <c r="BY1121" s="34"/>
      <c r="BZ1121" s="34"/>
      <c r="CA1121" s="34"/>
      <c r="CB1121" s="34"/>
      <c r="CC1121" s="34"/>
      <c r="CD1121" s="34"/>
      <c r="CE1121" s="34"/>
      <c r="CF1121" s="34"/>
      <c r="CG1121" s="34"/>
      <c r="CH1121" s="34"/>
      <c r="CI1121" s="34"/>
      <c r="CJ1121" s="34"/>
      <c r="CK1121" s="34"/>
      <c r="CL1121" s="34"/>
      <c r="CM1121" s="34"/>
      <c r="CN1121" s="34"/>
      <c r="CO1121" s="34"/>
      <c r="CP1121" s="34"/>
      <c r="CQ1121" s="34"/>
      <c r="CR1121" s="34"/>
      <c r="CS1121" s="34"/>
    </row>
    <row r="1122" spans="7:97" s="246" customFormat="1" x14ac:dyDescent="0.2">
      <c r="G1122" s="2188"/>
      <c r="BS1122" s="34"/>
      <c r="BT1122" s="34"/>
      <c r="BU1122" s="34"/>
      <c r="BV1122" s="34"/>
      <c r="BW1122" s="34"/>
      <c r="BX1122" s="34"/>
      <c r="BY1122" s="34"/>
      <c r="BZ1122" s="34"/>
      <c r="CA1122" s="34"/>
      <c r="CB1122" s="34"/>
      <c r="CC1122" s="34"/>
      <c r="CD1122" s="34"/>
      <c r="CE1122" s="34"/>
      <c r="CF1122" s="34"/>
      <c r="CG1122" s="34"/>
      <c r="CH1122" s="34"/>
      <c r="CI1122" s="34"/>
      <c r="CJ1122" s="34"/>
      <c r="CK1122" s="34"/>
      <c r="CL1122" s="34"/>
      <c r="CM1122" s="34"/>
      <c r="CN1122" s="34"/>
      <c r="CO1122" s="34"/>
      <c r="CP1122" s="34"/>
      <c r="CQ1122" s="34"/>
      <c r="CR1122" s="34"/>
      <c r="CS1122" s="34"/>
    </row>
    <row r="1123" spans="7:97" s="246" customFormat="1" x14ac:dyDescent="0.2">
      <c r="G1123" s="2188"/>
      <c r="BS1123" s="34"/>
      <c r="BT1123" s="34"/>
      <c r="BU1123" s="34"/>
      <c r="BV1123" s="34"/>
      <c r="BW1123" s="34"/>
      <c r="BX1123" s="34"/>
      <c r="BY1123" s="34"/>
      <c r="BZ1123" s="34"/>
      <c r="CA1123" s="34"/>
      <c r="CB1123" s="34"/>
      <c r="CC1123" s="34"/>
      <c r="CD1123" s="34"/>
      <c r="CE1123" s="34"/>
      <c r="CF1123" s="34"/>
      <c r="CG1123" s="34"/>
      <c r="CH1123" s="34"/>
      <c r="CI1123" s="34"/>
      <c r="CJ1123" s="34"/>
      <c r="CK1123" s="34"/>
      <c r="CL1123" s="34"/>
      <c r="CM1123" s="34"/>
      <c r="CN1123" s="34"/>
      <c r="CO1123" s="34"/>
      <c r="CP1123" s="34"/>
      <c r="CQ1123" s="34"/>
      <c r="CR1123" s="34"/>
      <c r="CS1123" s="34"/>
    </row>
    <row r="1124" spans="7:97" s="246" customFormat="1" x14ac:dyDescent="0.2">
      <c r="G1124" s="2188"/>
      <c r="BS1124" s="34"/>
      <c r="BT1124" s="34"/>
      <c r="BU1124" s="34"/>
      <c r="BV1124" s="34"/>
      <c r="BW1124" s="34"/>
      <c r="BX1124" s="34"/>
      <c r="BY1124" s="34"/>
      <c r="BZ1124" s="34"/>
      <c r="CA1124" s="34"/>
      <c r="CB1124" s="34"/>
      <c r="CC1124" s="34"/>
      <c r="CD1124" s="34"/>
      <c r="CE1124" s="34"/>
      <c r="CF1124" s="34"/>
      <c r="CG1124" s="34"/>
      <c r="CH1124" s="34"/>
      <c r="CI1124" s="34"/>
      <c r="CJ1124" s="34"/>
      <c r="CK1124" s="34"/>
      <c r="CL1124" s="34"/>
      <c r="CM1124" s="34"/>
      <c r="CN1124" s="34"/>
      <c r="CO1124" s="34"/>
      <c r="CP1124" s="34"/>
      <c r="CQ1124" s="34"/>
      <c r="CR1124" s="34"/>
      <c r="CS1124" s="34"/>
    </row>
    <row r="1125" spans="7:97" s="246" customFormat="1" x14ac:dyDescent="0.2">
      <c r="G1125" s="2188"/>
      <c r="BS1125" s="34"/>
      <c r="BT1125" s="34"/>
      <c r="BU1125" s="34"/>
      <c r="BV1125" s="34"/>
      <c r="BW1125" s="34"/>
      <c r="BX1125" s="34"/>
      <c r="BY1125" s="34"/>
      <c r="BZ1125" s="34"/>
      <c r="CA1125" s="34"/>
      <c r="CB1125" s="34"/>
      <c r="CC1125" s="34"/>
      <c r="CD1125" s="34"/>
      <c r="CE1125" s="34"/>
      <c r="CF1125" s="34"/>
      <c r="CG1125" s="34"/>
      <c r="CH1125" s="34"/>
      <c r="CI1125" s="34"/>
      <c r="CJ1125" s="34"/>
      <c r="CK1125" s="34"/>
      <c r="CL1125" s="34"/>
      <c r="CM1125" s="34"/>
      <c r="CN1125" s="34"/>
      <c r="CO1125" s="34"/>
      <c r="CP1125" s="34"/>
      <c r="CQ1125" s="34"/>
      <c r="CR1125" s="34"/>
      <c r="CS1125" s="34"/>
    </row>
    <row r="1126" spans="7:97" s="246" customFormat="1" x14ac:dyDescent="0.2">
      <c r="G1126" s="2188"/>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row>
    <row r="1127" spans="7:97" s="246" customFormat="1" x14ac:dyDescent="0.2">
      <c r="G1127" s="2188"/>
      <c r="BS1127" s="34"/>
      <c r="BT1127" s="34"/>
      <c r="BU1127" s="34"/>
      <c r="BV1127" s="34"/>
      <c r="BW1127" s="34"/>
      <c r="BX1127" s="34"/>
      <c r="BY1127" s="34"/>
      <c r="BZ1127" s="34"/>
      <c r="CA1127" s="34"/>
      <c r="CB1127" s="34"/>
      <c r="CC1127" s="34"/>
      <c r="CD1127" s="34"/>
      <c r="CE1127" s="34"/>
      <c r="CF1127" s="34"/>
      <c r="CG1127" s="34"/>
      <c r="CH1127" s="34"/>
      <c r="CI1127" s="34"/>
      <c r="CJ1127" s="34"/>
      <c r="CK1127" s="34"/>
      <c r="CL1127" s="34"/>
      <c r="CM1127" s="34"/>
      <c r="CN1127" s="34"/>
      <c r="CO1127" s="34"/>
      <c r="CP1127" s="34"/>
      <c r="CQ1127" s="34"/>
      <c r="CR1127" s="34"/>
      <c r="CS1127" s="34"/>
    </row>
    <row r="1128" spans="7:97" s="246" customFormat="1" x14ac:dyDescent="0.2">
      <c r="G1128" s="2188"/>
      <c r="BS1128" s="34"/>
      <c r="BT1128" s="34"/>
      <c r="BU1128" s="34"/>
      <c r="BV1128" s="34"/>
      <c r="BW1128" s="34"/>
      <c r="BX1128" s="34"/>
      <c r="BY1128" s="34"/>
      <c r="BZ1128" s="34"/>
      <c r="CA1128" s="34"/>
      <c r="CB1128" s="34"/>
      <c r="CC1128" s="34"/>
      <c r="CD1128" s="34"/>
      <c r="CE1128" s="34"/>
      <c r="CF1128" s="34"/>
      <c r="CG1128" s="34"/>
      <c r="CH1128" s="34"/>
      <c r="CI1128" s="34"/>
      <c r="CJ1128" s="34"/>
      <c r="CK1128" s="34"/>
      <c r="CL1128" s="34"/>
      <c r="CM1128" s="34"/>
      <c r="CN1128" s="34"/>
      <c r="CO1128" s="34"/>
      <c r="CP1128" s="34"/>
      <c r="CQ1128" s="34"/>
      <c r="CR1128" s="34"/>
      <c r="CS1128" s="34"/>
    </row>
    <row r="1129" spans="7:97" s="246" customFormat="1" x14ac:dyDescent="0.2">
      <c r="G1129" s="2188"/>
      <c r="BS1129" s="34"/>
      <c r="BT1129" s="34"/>
      <c r="BU1129" s="34"/>
      <c r="BV1129" s="34"/>
      <c r="BW1129" s="34"/>
      <c r="BX1129" s="34"/>
      <c r="BY1129" s="34"/>
      <c r="BZ1129" s="34"/>
      <c r="CA1129" s="34"/>
      <c r="CB1129" s="34"/>
      <c r="CC1129" s="34"/>
      <c r="CD1129" s="34"/>
      <c r="CE1129" s="34"/>
      <c r="CF1129" s="34"/>
      <c r="CG1129" s="34"/>
      <c r="CH1129" s="34"/>
      <c r="CI1129" s="34"/>
      <c r="CJ1129" s="34"/>
      <c r="CK1129" s="34"/>
      <c r="CL1129" s="34"/>
      <c r="CM1129" s="34"/>
      <c r="CN1129" s="34"/>
      <c r="CO1129" s="34"/>
      <c r="CP1129" s="34"/>
      <c r="CQ1129" s="34"/>
      <c r="CR1129" s="34"/>
      <c r="CS1129" s="34"/>
    </row>
    <row r="1130" spans="7:97" s="246" customFormat="1" x14ac:dyDescent="0.2">
      <c r="G1130" s="2188"/>
      <c r="BS1130" s="34"/>
      <c r="BT1130" s="34"/>
      <c r="BU1130" s="34"/>
      <c r="BV1130" s="34"/>
      <c r="BW1130" s="34"/>
      <c r="BX1130" s="34"/>
      <c r="BY1130" s="34"/>
      <c r="BZ1130" s="34"/>
      <c r="CA1130" s="34"/>
      <c r="CB1130" s="34"/>
      <c r="CC1130" s="34"/>
      <c r="CD1130" s="34"/>
      <c r="CE1130" s="34"/>
      <c r="CF1130" s="34"/>
      <c r="CG1130" s="34"/>
      <c r="CH1130" s="34"/>
      <c r="CI1130" s="34"/>
      <c r="CJ1130" s="34"/>
      <c r="CK1130" s="34"/>
      <c r="CL1130" s="34"/>
      <c r="CM1130" s="34"/>
      <c r="CN1130" s="34"/>
      <c r="CO1130" s="34"/>
      <c r="CP1130" s="34"/>
      <c r="CQ1130" s="34"/>
      <c r="CR1130" s="34"/>
      <c r="CS1130" s="34"/>
    </row>
    <row r="1131" spans="7:97" s="246" customFormat="1" x14ac:dyDescent="0.2">
      <c r="G1131" s="2188"/>
      <c r="BS1131" s="34"/>
      <c r="BT1131" s="34"/>
      <c r="BU1131" s="34"/>
      <c r="BV1131" s="34"/>
      <c r="BW1131" s="34"/>
      <c r="BX1131" s="34"/>
      <c r="BY1131" s="34"/>
      <c r="BZ1131" s="34"/>
      <c r="CA1131" s="34"/>
      <c r="CB1131" s="34"/>
      <c r="CC1131" s="34"/>
      <c r="CD1131" s="34"/>
      <c r="CE1131" s="34"/>
      <c r="CF1131" s="34"/>
      <c r="CG1131" s="34"/>
      <c r="CH1131" s="34"/>
      <c r="CI1131" s="34"/>
      <c r="CJ1131" s="34"/>
      <c r="CK1131" s="34"/>
      <c r="CL1131" s="34"/>
      <c r="CM1131" s="34"/>
      <c r="CN1131" s="34"/>
      <c r="CO1131" s="34"/>
      <c r="CP1131" s="34"/>
      <c r="CQ1131" s="34"/>
      <c r="CR1131" s="34"/>
      <c r="CS1131" s="34"/>
    </row>
    <row r="1132" spans="7:97" s="246" customFormat="1" x14ac:dyDescent="0.2">
      <c r="G1132" s="2188"/>
      <c r="BS1132" s="34"/>
      <c r="BT1132" s="34"/>
      <c r="BU1132" s="34"/>
      <c r="BV1132" s="34"/>
      <c r="BW1132" s="34"/>
      <c r="BX1132" s="34"/>
      <c r="BY1132" s="34"/>
      <c r="BZ1132" s="34"/>
      <c r="CA1132" s="34"/>
      <c r="CB1132" s="34"/>
      <c r="CC1132" s="34"/>
      <c r="CD1132" s="34"/>
      <c r="CE1132" s="34"/>
      <c r="CF1132" s="34"/>
      <c r="CG1132" s="34"/>
      <c r="CH1132" s="34"/>
      <c r="CI1132" s="34"/>
      <c r="CJ1132" s="34"/>
      <c r="CK1132" s="34"/>
      <c r="CL1132" s="34"/>
      <c r="CM1132" s="34"/>
      <c r="CN1132" s="34"/>
      <c r="CO1132" s="34"/>
      <c r="CP1132" s="34"/>
      <c r="CQ1132" s="34"/>
      <c r="CR1132" s="34"/>
      <c r="CS1132" s="34"/>
    </row>
    <row r="1133" spans="7:97" s="246" customFormat="1" x14ac:dyDescent="0.2">
      <c r="G1133" s="2188"/>
      <c r="BS1133" s="34"/>
      <c r="BT1133" s="34"/>
      <c r="BU1133" s="34"/>
      <c r="BV1133" s="34"/>
      <c r="BW1133" s="34"/>
      <c r="BX1133" s="34"/>
      <c r="BY1133" s="34"/>
      <c r="BZ1133" s="34"/>
      <c r="CA1133" s="34"/>
      <c r="CB1133" s="34"/>
      <c r="CC1133" s="34"/>
      <c r="CD1133" s="34"/>
      <c r="CE1133" s="34"/>
      <c r="CF1133" s="34"/>
      <c r="CG1133" s="34"/>
      <c r="CH1133" s="34"/>
      <c r="CI1133" s="34"/>
      <c r="CJ1133" s="34"/>
      <c r="CK1133" s="34"/>
      <c r="CL1133" s="34"/>
      <c r="CM1133" s="34"/>
      <c r="CN1133" s="34"/>
      <c r="CO1133" s="34"/>
      <c r="CP1133" s="34"/>
      <c r="CQ1133" s="34"/>
      <c r="CR1133" s="34"/>
      <c r="CS1133" s="34"/>
    </row>
    <row r="1134" spans="7:97" s="246" customFormat="1" x14ac:dyDescent="0.2">
      <c r="G1134" s="2188"/>
      <c r="BS1134" s="34"/>
      <c r="BT1134" s="34"/>
      <c r="BU1134" s="34"/>
      <c r="BV1134" s="34"/>
      <c r="BW1134" s="34"/>
      <c r="BX1134" s="34"/>
      <c r="BY1134" s="34"/>
      <c r="BZ1134" s="34"/>
      <c r="CA1134" s="34"/>
      <c r="CB1134" s="34"/>
      <c r="CC1134" s="34"/>
      <c r="CD1134" s="34"/>
      <c r="CE1134" s="34"/>
      <c r="CF1134" s="34"/>
      <c r="CG1134" s="34"/>
      <c r="CH1134" s="34"/>
      <c r="CI1134" s="34"/>
      <c r="CJ1134" s="34"/>
      <c r="CK1134" s="34"/>
      <c r="CL1134" s="34"/>
      <c r="CM1134" s="34"/>
      <c r="CN1134" s="34"/>
      <c r="CO1134" s="34"/>
      <c r="CP1134" s="34"/>
      <c r="CQ1134" s="34"/>
      <c r="CR1134" s="34"/>
      <c r="CS1134" s="34"/>
    </row>
    <row r="1135" spans="7:97" s="246" customFormat="1" x14ac:dyDescent="0.2">
      <c r="G1135" s="2188"/>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row>
    <row r="1136" spans="7:97" s="246" customFormat="1" x14ac:dyDescent="0.2">
      <c r="G1136" s="2188"/>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row>
    <row r="1137" spans="7:97" s="246" customFormat="1" x14ac:dyDescent="0.2">
      <c r="G1137" s="2188"/>
      <c r="BS1137" s="34"/>
      <c r="BT1137" s="34"/>
      <c r="BU1137" s="34"/>
      <c r="BV1137" s="34"/>
      <c r="BW1137" s="34"/>
      <c r="BX1137" s="34"/>
      <c r="BY1137" s="34"/>
      <c r="BZ1137" s="34"/>
      <c r="CA1137" s="34"/>
      <c r="CB1137" s="34"/>
      <c r="CC1137" s="34"/>
      <c r="CD1137" s="34"/>
      <c r="CE1137" s="34"/>
      <c r="CF1137" s="34"/>
      <c r="CG1137" s="34"/>
      <c r="CH1137" s="34"/>
      <c r="CI1137" s="34"/>
      <c r="CJ1137" s="34"/>
      <c r="CK1137" s="34"/>
      <c r="CL1137" s="34"/>
      <c r="CM1137" s="34"/>
      <c r="CN1137" s="34"/>
      <c r="CO1137" s="34"/>
      <c r="CP1137" s="34"/>
      <c r="CQ1137" s="34"/>
      <c r="CR1137" s="34"/>
      <c r="CS1137" s="34"/>
    </row>
    <row r="1138" spans="7:97" s="246" customFormat="1" x14ac:dyDescent="0.2">
      <c r="G1138" s="2188"/>
      <c r="BS1138" s="34"/>
      <c r="BT1138" s="34"/>
      <c r="BU1138" s="34"/>
      <c r="BV1138" s="34"/>
      <c r="BW1138" s="34"/>
      <c r="BX1138" s="34"/>
      <c r="BY1138" s="34"/>
      <c r="BZ1138" s="34"/>
      <c r="CA1138" s="34"/>
      <c r="CB1138" s="34"/>
      <c r="CC1138" s="34"/>
      <c r="CD1138" s="34"/>
      <c r="CE1138" s="34"/>
      <c r="CF1138" s="34"/>
      <c r="CG1138" s="34"/>
      <c r="CH1138" s="34"/>
      <c r="CI1138" s="34"/>
      <c r="CJ1138" s="34"/>
      <c r="CK1138" s="34"/>
      <c r="CL1138" s="34"/>
      <c r="CM1138" s="34"/>
      <c r="CN1138" s="34"/>
      <c r="CO1138" s="34"/>
      <c r="CP1138" s="34"/>
      <c r="CQ1138" s="34"/>
      <c r="CR1138" s="34"/>
      <c r="CS1138" s="34"/>
    </row>
    <row r="1139" spans="7:97" s="246" customFormat="1" x14ac:dyDescent="0.2">
      <c r="G1139" s="2188"/>
      <c r="BS1139" s="34"/>
      <c r="BT1139" s="34"/>
      <c r="BU1139" s="34"/>
      <c r="BV1139" s="34"/>
      <c r="BW1139" s="34"/>
      <c r="BX1139" s="34"/>
      <c r="BY1139" s="34"/>
      <c r="BZ1139" s="34"/>
      <c r="CA1139" s="34"/>
      <c r="CB1139" s="34"/>
      <c r="CC1139" s="34"/>
      <c r="CD1139" s="34"/>
      <c r="CE1139" s="34"/>
      <c r="CF1139" s="34"/>
      <c r="CG1139" s="34"/>
      <c r="CH1139" s="34"/>
      <c r="CI1139" s="34"/>
      <c r="CJ1139" s="34"/>
      <c r="CK1139" s="34"/>
      <c r="CL1139" s="34"/>
      <c r="CM1139" s="34"/>
      <c r="CN1139" s="34"/>
      <c r="CO1139" s="34"/>
      <c r="CP1139" s="34"/>
      <c r="CQ1139" s="34"/>
      <c r="CR1139" s="34"/>
      <c r="CS1139" s="34"/>
    </row>
    <row r="1140" spans="7:97" s="246" customFormat="1" x14ac:dyDescent="0.2">
      <c r="G1140" s="2188"/>
      <c r="BS1140" s="34"/>
      <c r="BT1140" s="34"/>
      <c r="BU1140" s="34"/>
      <c r="BV1140" s="34"/>
      <c r="BW1140" s="34"/>
      <c r="BX1140" s="34"/>
      <c r="BY1140" s="34"/>
      <c r="BZ1140" s="34"/>
      <c r="CA1140" s="34"/>
      <c r="CB1140" s="34"/>
      <c r="CC1140" s="34"/>
      <c r="CD1140" s="34"/>
      <c r="CE1140" s="34"/>
      <c r="CF1140" s="34"/>
      <c r="CG1140" s="34"/>
      <c r="CH1140" s="34"/>
      <c r="CI1140" s="34"/>
      <c r="CJ1140" s="34"/>
      <c r="CK1140" s="34"/>
      <c r="CL1140" s="34"/>
      <c r="CM1140" s="34"/>
      <c r="CN1140" s="34"/>
      <c r="CO1140" s="34"/>
      <c r="CP1140" s="34"/>
      <c r="CQ1140" s="34"/>
      <c r="CR1140" s="34"/>
      <c r="CS1140" s="34"/>
    </row>
    <row r="1141" spans="7:97" s="246" customFormat="1" x14ac:dyDescent="0.2">
      <c r="G1141" s="2188"/>
      <c r="BS1141" s="34"/>
      <c r="BT1141" s="34"/>
      <c r="BU1141" s="34"/>
      <c r="BV1141" s="34"/>
      <c r="BW1141" s="34"/>
      <c r="BX1141" s="34"/>
      <c r="BY1141" s="34"/>
      <c r="BZ1141" s="34"/>
      <c r="CA1141" s="34"/>
      <c r="CB1141" s="34"/>
      <c r="CC1141" s="34"/>
      <c r="CD1141" s="34"/>
      <c r="CE1141" s="34"/>
      <c r="CF1141" s="34"/>
      <c r="CG1141" s="34"/>
      <c r="CH1141" s="34"/>
      <c r="CI1141" s="34"/>
      <c r="CJ1141" s="34"/>
      <c r="CK1141" s="34"/>
      <c r="CL1141" s="34"/>
      <c r="CM1141" s="34"/>
      <c r="CN1141" s="34"/>
      <c r="CO1141" s="34"/>
      <c r="CP1141" s="34"/>
      <c r="CQ1141" s="34"/>
      <c r="CR1141" s="34"/>
      <c r="CS1141" s="34"/>
    </row>
    <row r="1142" spans="7:97" s="246" customFormat="1" x14ac:dyDescent="0.2">
      <c r="G1142" s="2188"/>
      <c r="BS1142" s="34"/>
      <c r="BT1142" s="34"/>
      <c r="BU1142" s="34"/>
      <c r="BV1142" s="34"/>
      <c r="BW1142" s="34"/>
      <c r="BX1142" s="34"/>
      <c r="BY1142" s="34"/>
      <c r="BZ1142" s="34"/>
      <c r="CA1142" s="34"/>
      <c r="CB1142" s="34"/>
      <c r="CC1142" s="34"/>
      <c r="CD1142" s="34"/>
      <c r="CE1142" s="34"/>
      <c r="CF1142" s="34"/>
      <c r="CG1142" s="34"/>
      <c r="CH1142" s="34"/>
      <c r="CI1142" s="34"/>
      <c r="CJ1142" s="34"/>
      <c r="CK1142" s="34"/>
      <c r="CL1142" s="34"/>
      <c r="CM1142" s="34"/>
      <c r="CN1142" s="34"/>
      <c r="CO1142" s="34"/>
      <c r="CP1142" s="34"/>
      <c r="CQ1142" s="34"/>
      <c r="CR1142" s="34"/>
      <c r="CS1142" s="34"/>
    </row>
    <row r="1143" spans="7:97" s="246" customFormat="1" x14ac:dyDescent="0.2">
      <c r="G1143" s="2188"/>
      <c r="BS1143" s="34"/>
      <c r="BT1143" s="34"/>
      <c r="BU1143" s="34"/>
      <c r="BV1143" s="34"/>
      <c r="BW1143" s="34"/>
      <c r="BX1143" s="34"/>
      <c r="BY1143" s="34"/>
      <c r="BZ1143" s="34"/>
      <c r="CA1143" s="34"/>
      <c r="CB1143" s="34"/>
      <c r="CC1143" s="34"/>
      <c r="CD1143" s="34"/>
      <c r="CE1143" s="34"/>
      <c r="CF1143" s="34"/>
      <c r="CG1143" s="34"/>
      <c r="CH1143" s="34"/>
      <c r="CI1143" s="34"/>
      <c r="CJ1143" s="34"/>
      <c r="CK1143" s="34"/>
      <c r="CL1143" s="34"/>
      <c r="CM1143" s="34"/>
      <c r="CN1143" s="34"/>
      <c r="CO1143" s="34"/>
      <c r="CP1143" s="34"/>
      <c r="CQ1143" s="34"/>
      <c r="CR1143" s="34"/>
      <c r="CS1143" s="34"/>
    </row>
    <row r="1144" spans="7:97" s="246" customFormat="1" x14ac:dyDescent="0.2">
      <c r="G1144" s="2188"/>
      <c r="BS1144" s="34"/>
      <c r="BT1144" s="34"/>
      <c r="BU1144" s="34"/>
      <c r="BV1144" s="34"/>
      <c r="BW1144" s="34"/>
      <c r="BX1144" s="34"/>
      <c r="BY1144" s="34"/>
      <c r="BZ1144" s="34"/>
      <c r="CA1144" s="34"/>
      <c r="CB1144" s="34"/>
      <c r="CC1144" s="34"/>
      <c r="CD1144" s="34"/>
      <c r="CE1144" s="34"/>
      <c r="CF1144" s="34"/>
      <c r="CG1144" s="34"/>
      <c r="CH1144" s="34"/>
      <c r="CI1144" s="34"/>
      <c r="CJ1144" s="34"/>
      <c r="CK1144" s="34"/>
      <c r="CL1144" s="34"/>
      <c r="CM1144" s="34"/>
      <c r="CN1144" s="34"/>
      <c r="CO1144" s="34"/>
      <c r="CP1144" s="34"/>
      <c r="CQ1144" s="34"/>
      <c r="CR1144" s="34"/>
      <c r="CS1144" s="34"/>
    </row>
    <row r="1145" spans="7:97" s="246" customFormat="1" x14ac:dyDescent="0.2">
      <c r="G1145" s="2188"/>
      <c r="BS1145" s="34"/>
      <c r="BT1145" s="34"/>
      <c r="BU1145" s="34"/>
      <c r="BV1145" s="34"/>
      <c r="BW1145" s="34"/>
      <c r="BX1145" s="34"/>
      <c r="BY1145" s="34"/>
      <c r="BZ1145" s="34"/>
      <c r="CA1145" s="34"/>
      <c r="CB1145" s="34"/>
      <c r="CC1145" s="34"/>
      <c r="CD1145" s="34"/>
      <c r="CE1145" s="34"/>
      <c r="CF1145" s="34"/>
      <c r="CG1145" s="34"/>
      <c r="CH1145" s="34"/>
      <c r="CI1145" s="34"/>
      <c r="CJ1145" s="34"/>
      <c r="CK1145" s="34"/>
      <c r="CL1145" s="34"/>
      <c r="CM1145" s="34"/>
      <c r="CN1145" s="34"/>
      <c r="CO1145" s="34"/>
      <c r="CP1145" s="34"/>
      <c r="CQ1145" s="34"/>
      <c r="CR1145" s="34"/>
      <c r="CS1145" s="34"/>
    </row>
    <row r="1146" spans="7:97" s="246" customFormat="1" x14ac:dyDescent="0.2">
      <c r="G1146" s="2188"/>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row>
    <row r="1147" spans="7:97" s="246" customFormat="1" x14ac:dyDescent="0.2">
      <c r="G1147" s="2188"/>
      <c r="BS1147" s="34"/>
      <c r="BT1147" s="34"/>
      <c r="BU1147" s="34"/>
      <c r="BV1147" s="34"/>
      <c r="BW1147" s="34"/>
      <c r="BX1147" s="34"/>
      <c r="BY1147" s="34"/>
      <c r="BZ1147" s="34"/>
      <c r="CA1147" s="34"/>
      <c r="CB1147" s="34"/>
      <c r="CC1147" s="34"/>
      <c r="CD1147" s="34"/>
      <c r="CE1147" s="34"/>
      <c r="CF1147" s="34"/>
      <c r="CG1147" s="34"/>
      <c r="CH1147" s="34"/>
      <c r="CI1147" s="34"/>
      <c r="CJ1147" s="34"/>
      <c r="CK1147" s="34"/>
      <c r="CL1147" s="34"/>
      <c r="CM1147" s="34"/>
      <c r="CN1147" s="34"/>
      <c r="CO1147" s="34"/>
      <c r="CP1147" s="34"/>
      <c r="CQ1147" s="34"/>
      <c r="CR1147" s="34"/>
      <c r="CS1147" s="34"/>
    </row>
    <row r="1148" spans="7:97" s="246" customFormat="1" x14ac:dyDescent="0.2">
      <c r="G1148" s="2188"/>
      <c r="BS1148" s="34"/>
      <c r="BT1148" s="34"/>
      <c r="BU1148" s="34"/>
      <c r="BV1148" s="34"/>
      <c r="BW1148" s="34"/>
      <c r="BX1148" s="34"/>
      <c r="BY1148" s="34"/>
      <c r="BZ1148" s="34"/>
      <c r="CA1148" s="34"/>
      <c r="CB1148" s="34"/>
      <c r="CC1148" s="34"/>
      <c r="CD1148" s="34"/>
      <c r="CE1148" s="34"/>
      <c r="CF1148" s="34"/>
      <c r="CG1148" s="34"/>
      <c r="CH1148" s="34"/>
      <c r="CI1148" s="34"/>
      <c r="CJ1148" s="34"/>
      <c r="CK1148" s="34"/>
      <c r="CL1148" s="34"/>
      <c r="CM1148" s="34"/>
      <c r="CN1148" s="34"/>
      <c r="CO1148" s="34"/>
      <c r="CP1148" s="34"/>
      <c r="CQ1148" s="34"/>
      <c r="CR1148" s="34"/>
      <c r="CS1148" s="34"/>
    </row>
    <row r="1149" spans="7:97" s="246" customFormat="1" x14ac:dyDescent="0.2">
      <c r="G1149" s="2188"/>
      <c r="BS1149" s="34"/>
      <c r="BT1149" s="34"/>
      <c r="BU1149" s="34"/>
      <c r="BV1149" s="34"/>
      <c r="BW1149" s="34"/>
      <c r="BX1149" s="34"/>
      <c r="BY1149" s="34"/>
      <c r="BZ1149" s="34"/>
      <c r="CA1149" s="34"/>
      <c r="CB1149" s="34"/>
      <c r="CC1149" s="34"/>
      <c r="CD1149" s="34"/>
      <c r="CE1149" s="34"/>
      <c r="CF1149" s="34"/>
      <c r="CG1149" s="34"/>
      <c r="CH1149" s="34"/>
      <c r="CI1149" s="34"/>
      <c r="CJ1149" s="34"/>
      <c r="CK1149" s="34"/>
      <c r="CL1149" s="34"/>
      <c r="CM1149" s="34"/>
      <c r="CN1149" s="34"/>
      <c r="CO1149" s="34"/>
      <c r="CP1149" s="34"/>
      <c r="CQ1149" s="34"/>
      <c r="CR1149" s="34"/>
      <c r="CS1149" s="34"/>
    </row>
    <row r="1150" spans="7:97" s="246" customFormat="1" x14ac:dyDescent="0.2">
      <c r="G1150" s="2188"/>
      <c r="BS1150" s="34"/>
      <c r="BT1150" s="34"/>
      <c r="BU1150" s="34"/>
      <c r="BV1150" s="34"/>
      <c r="BW1150" s="34"/>
      <c r="BX1150" s="34"/>
      <c r="BY1150" s="34"/>
      <c r="BZ1150" s="34"/>
      <c r="CA1150" s="34"/>
      <c r="CB1150" s="34"/>
      <c r="CC1150" s="34"/>
      <c r="CD1150" s="34"/>
      <c r="CE1150" s="34"/>
      <c r="CF1150" s="34"/>
      <c r="CG1150" s="34"/>
      <c r="CH1150" s="34"/>
      <c r="CI1150" s="34"/>
      <c r="CJ1150" s="34"/>
      <c r="CK1150" s="34"/>
      <c r="CL1150" s="34"/>
      <c r="CM1150" s="34"/>
      <c r="CN1150" s="34"/>
      <c r="CO1150" s="34"/>
      <c r="CP1150" s="34"/>
      <c r="CQ1150" s="34"/>
      <c r="CR1150" s="34"/>
      <c r="CS1150" s="34"/>
    </row>
    <row r="1151" spans="7:97" s="246" customFormat="1" x14ac:dyDescent="0.2">
      <c r="G1151" s="2188"/>
      <c r="BS1151" s="34"/>
      <c r="BT1151" s="34"/>
      <c r="BU1151" s="34"/>
      <c r="BV1151" s="34"/>
      <c r="BW1151" s="34"/>
      <c r="BX1151" s="34"/>
      <c r="BY1151" s="34"/>
      <c r="BZ1151" s="34"/>
      <c r="CA1151" s="34"/>
      <c r="CB1151" s="34"/>
      <c r="CC1151" s="34"/>
      <c r="CD1151" s="34"/>
      <c r="CE1151" s="34"/>
      <c r="CF1151" s="34"/>
      <c r="CG1151" s="34"/>
      <c r="CH1151" s="34"/>
      <c r="CI1151" s="34"/>
      <c r="CJ1151" s="34"/>
      <c r="CK1151" s="34"/>
      <c r="CL1151" s="34"/>
      <c r="CM1151" s="34"/>
      <c r="CN1151" s="34"/>
      <c r="CO1151" s="34"/>
      <c r="CP1151" s="34"/>
      <c r="CQ1151" s="34"/>
      <c r="CR1151" s="34"/>
      <c r="CS1151" s="34"/>
    </row>
    <row r="1152" spans="7:97" s="246" customFormat="1" x14ac:dyDescent="0.2">
      <c r="G1152" s="2188"/>
      <c r="BS1152" s="34"/>
      <c r="BT1152" s="34"/>
      <c r="BU1152" s="34"/>
      <c r="BV1152" s="34"/>
      <c r="BW1152" s="34"/>
      <c r="BX1152" s="34"/>
      <c r="BY1152" s="34"/>
      <c r="BZ1152" s="34"/>
      <c r="CA1152" s="34"/>
      <c r="CB1152" s="34"/>
      <c r="CC1152" s="34"/>
      <c r="CD1152" s="34"/>
      <c r="CE1152" s="34"/>
      <c r="CF1152" s="34"/>
      <c r="CG1152" s="34"/>
      <c r="CH1152" s="34"/>
      <c r="CI1152" s="34"/>
      <c r="CJ1152" s="34"/>
      <c r="CK1152" s="34"/>
      <c r="CL1152" s="34"/>
      <c r="CM1152" s="34"/>
      <c r="CN1152" s="34"/>
      <c r="CO1152" s="34"/>
      <c r="CP1152" s="34"/>
      <c r="CQ1152" s="34"/>
      <c r="CR1152" s="34"/>
      <c r="CS1152" s="34"/>
    </row>
    <row r="1153" spans="7:97" s="246" customFormat="1" x14ac:dyDescent="0.2">
      <c r="G1153" s="2188"/>
      <c r="BS1153" s="34"/>
      <c r="BT1153" s="34"/>
      <c r="BU1153" s="34"/>
      <c r="BV1153" s="34"/>
      <c r="BW1153" s="34"/>
      <c r="BX1153" s="34"/>
      <c r="BY1153" s="34"/>
      <c r="BZ1153" s="34"/>
      <c r="CA1153" s="34"/>
      <c r="CB1153" s="34"/>
      <c r="CC1153" s="34"/>
      <c r="CD1153" s="34"/>
      <c r="CE1153" s="34"/>
      <c r="CF1153" s="34"/>
      <c r="CG1153" s="34"/>
      <c r="CH1153" s="34"/>
      <c r="CI1153" s="34"/>
      <c r="CJ1153" s="34"/>
      <c r="CK1153" s="34"/>
      <c r="CL1153" s="34"/>
      <c r="CM1153" s="34"/>
      <c r="CN1153" s="34"/>
      <c r="CO1153" s="34"/>
      <c r="CP1153" s="34"/>
      <c r="CQ1153" s="34"/>
      <c r="CR1153" s="34"/>
      <c r="CS1153" s="34"/>
    </row>
    <row r="1154" spans="7:97" s="246" customFormat="1" x14ac:dyDescent="0.2">
      <c r="G1154" s="2188"/>
      <c r="BS1154" s="34"/>
      <c r="BT1154" s="34"/>
      <c r="BU1154" s="34"/>
      <c r="BV1154" s="34"/>
      <c r="BW1154" s="34"/>
      <c r="BX1154" s="34"/>
      <c r="BY1154" s="34"/>
      <c r="BZ1154" s="34"/>
      <c r="CA1154" s="34"/>
      <c r="CB1154" s="34"/>
      <c r="CC1154" s="34"/>
      <c r="CD1154" s="34"/>
      <c r="CE1154" s="34"/>
      <c r="CF1154" s="34"/>
      <c r="CG1154" s="34"/>
      <c r="CH1154" s="34"/>
      <c r="CI1154" s="34"/>
      <c r="CJ1154" s="34"/>
      <c r="CK1154" s="34"/>
      <c r="CL1154" s="34"/>
      <c r="CM1154" s="34"/>
      <c r="CN1154" s="34"/>
      <c r="CO1154" s="34"/>
      <c r="CP1154" s="34"/>
      <c r="CQ1154" s="34"/>
      <c r="CR1154" s="34"/>
      <c r="CS1154" s="34"/>
    </row>
    <row r="1155" spans="7:97" s="246" customFormat="1" x14ac:dyDescent="0.2">
      <c r="G1155" s="2188"/>
      <c r="BS1155" s="34"/>
      <c r="BT1155" s="34"/>
      <c r="BU1155" s="34"/>
      <c r="BV1155" s="34"/>
      <c r="BW1155" s="34"/>
      <c r="BX1155" s="34"/>
      <c r="BY1155" s="34"/>
      <c r="BZ1155" s="34"/>
      <c r="CA1155" s="34"/>
      <c r="CB1155" s="34"/>
      <c r="CC1155" s="34"/>
      <c r="CD1155" s="34"/>
      <c r="CE1155" s="34"/>
      <c r="CF1155" s="34"/>
      <c r="CG1155" s="34"/>
      <c r="CH1155" s="34"/>
      <c r="CI1155" s="34"/>
      <c r="CJ1155" s="34"/>
      <c r="CK1155" s="34"/>
      <c r="CL1155" s="34"/>
      <c r="CM1155" s="34"/>
      <c r="CN1155" s="34"/>
      <c r="CO1155" s="34"/>
      <c r="CP1155" s="34"/>
      <c r="CQ1155" s="34"/>
      <c r="CR1155" s="34"/>
      <c r="CS1155" s="34"/>
    </row>
    <row r="1156" spans="7:97" s="246" customFormat="1" x14ac:dyDescent="0.2">
      <c r="G1156" s="2188"/>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row>
    <row r="1157" spans="7:97" s="246" customFormat="1" x14ac:dyDescent="0.2">
      <c r="G1157" s="2188"/>
      <c r="BS1157" s="34"/>
      <c r="BT1157" s="34"/>
      <c r="BU1157" s="34"/>
      <c r="BV1157" s="34"/>
      <c r="BW1157" s="34"/>
      <c r="BX1157" s="34"/>
      <c r="BY1157" s="34"/>
      <c r="BZ1157" s="34"/>
      <c r="CA1157" s="34"/>
      <c r="CB1157" s="34"/>
      <c r="CC1157" s="34"/>
      <c r="CD1157" s="34"/>
      <c r="CE1157" s="34"/>
      <c r="CF1157" s="34"/>
      <c r="CG1157" s="34"/>
      <c r="CH1157" s="34"/>
      <c r="CI1157" s="34"/>
      <c r="CJ1157" s="34"/>
      <c r="CK1157" s="34"/>
      <c r="CL1157" s="34"/>
      <c r="CM1157" s="34"/>
      <c r="CN1157" s="34"/>
      <c r="CO1157" s="34"/>
      <c r="CP1157" s="34"/>
      <c r="CQ1157" s="34"/>
      <c r="CR1157" s="34"/>
      <c r="CS1157" s="34"/>
    </row>
    <row r="1158" spans="7:97" s="246" customFormat="1" x14ac:dyDescent="0.2">
      <c r="G1158" s="2188"/>
      <c r="BS1158" s="34"/>
      <c r="BT1158" s="34"/>
      <c r="BU1158" s="34"/>
      <c r="BV1158" s="34"/>
      <c r="BW1158" s="34"/>
      <c r="BX1158" s="34"/>
      <c r="BY1158" s="34"/>
      <c r="BZ1158" s="34"/>
      <c r="CA1158" s="34"/>
      <c r="CB1158" s="34"/>
      <c r="CC1158" s="34"/>
      <c r="CD1158" s="34"/>
      <c r="CE1158" s="34"/>
      <c r="CF1158" s="34"/>
      <c r="CG1158" s="34"/>
      <c r="CH1158" s="34"/>
      <c r="CI1158" s="34"/>
      <c r="CJ1158" s="34"/>
      <c r="CK1158" s="34"/>
      <c r="CL1158" s="34"/>
      <c r="CM1158" s="34"/>
      <c r="CN1158" s="34"/>
      <c r="CO1158" s="34"/>
      <c r="CP1158" s="34"/>
      <c r="CQ1158" s="34"/>
      <c r="CR1158" s="34"/>
      <c r="CS1158" s="34"/>
    </row>
    <row r="1159" spans="7:97" s="246" customFormat="1" x14ac:dyDescent="0.2">
      <c r="G1159" s="2188"/>
      <c r="BS1159" s="34"/>
      <c r="BT1159" s="34"/>
      <c r="BU1159" s="34"/>
      <c r="BV1159" s="34"/>
      <c r="BW1159" s="34"/>
      <c r="BX1159" s="34"/>
      <c r="BY1159" s="34"/>
      <c r="BZ1159" s="34"/>
      <c r="CA1159" s="34"/>
      <c r="CB1159" s="34"/>
      <c r="CC1159" s="34"/>
      <c r="CD1159" s="34"/>
      <c r="CE1159" s="34"/>
      <c r="CF1159" s="34"/>
      <c r="CG1159" s="34"/>
      <c r="CH1159" s="34"/>
      <c r="CI1159" s="34"/>
      <c r="CJ1159" s="34"/>
      <c r="CK1159" s="34"/>
      <c r="CL1159" s="34"/>
      <c r="CM1159" s="34"/>
      <c r="CN1159" s="34"/>
      <c r="CO1159" s="34"/>
      <c r="CP1159" s="34"/>
      <c r="CQ1159" s="34"/>
      <c r="CR1159" s="34"/>
      <c r="CS1159" s="34"/>
    </row>
    <row r="1160" spans="7:97" s="246" customFormat="1" x14ac:dyDescent="0.2">
      <c r="G1160" s="2188"/>
      <c r="BS1160" s="34"/>
      <c r="BT1160" s="34"/>
      <c r="BU1160" s="34"/>
      <c r="BV1160" s="34"/>
      <c r="BW1160" s="34"/>
      <c r="BX1160" s="34"/>
      <c r="BY1160" s="34"/>
      <c r="BZ1160" s="34"/>
      <c r="CA1160" s="34"/>
      <c r="CB1160" s="34"/>
      <c r="CC1160" s="34"/>
      <c r="CD1160" s="34"/>
      <c r="CE1160" s="34"/>
      <c r="CF1160" s="34"/>
      <c r="CG1160" s="34"/>
      <c r="CH1160" s="34"/>
      <c r="CI1160" s="34"/>
      <c r="CJ1160" s="34"/>
      <c r="CK1160" s="34"/>
      <c r="CL1160" s="34"/>
      <c r="CM1160" s="34"/>
      <c r="CN1160" s="34"/>
      <c r="CO1160" s="34"/>
      <c r="CP1160" s="34"/>
      <c r="CQ1160" s="34"/>
      <c r="CR1160" s="34"/>
      <c r="CS1160" s="34"/>
    </row>
    <row r="1161" spans="7:97" s="246" customFormat="1" x14ac:dyDescent="0.2">
      <c r="G1161" s="2188"/>
      <c r="BS1161" s="34"/>
      <c r="BT1161" s="34"/>
      <c r="BU1161" s="34"/>
      <c r="BV1161" s="34"/>
      <c r="BW1161" s="34"/>
      <c r="BX1161" s="34"/>
      <c r="BY1161" s="34"/>
      <c r="BZ1161" s="34"/>
      <c r="CA1161" s="34"/>
      <c r="CB1161" s="34"/>
      <c r="CC1161" s="34"/>
      <c r="CD1161" s="34"/>
      <c r="CE1161" s="34"/>
      <c r="CF1161" s="34"/>
      <c r="CG1161" s="34"/>
      <c r="CH1161" s="34"/>
      <c r="CI1161" s="34"/>
      <c r="CJ1161" s="34"/>
      <c r="CK1161" s="34"/>
      <c r="CL1161" s="34"/>
      <c r="CM1161" s="34"/>
      <c r="CN1161" s="34"/>
      <c r="CO1161" s="34"/>
      <c r="CP1161" s="34"/>
      <c r="CQ1161" s="34"/>
      <c r="CR1161" s="34"/>
      <c r="CS1161" s="34"/>
    </row>
    <row r="1162" spans="7:97" s="246" customFormat="1" x14ac:dyDescent="0.2">
      <c r="G1162" s="2188"/>
      <c r="BS1162" s="34"/>
      <c r="BT1162" s="34"/>
      <c r="BU1162" s="34"/>
      <c r="BV1162" s="34"/>
      <c r="BW1162" s="34"/>
      <c r="BX1162" s="34"/>
      <c r="BY1162" s="34"/>
      <c r="BZ1162" s="34"/>
      <c r="CA1162" s="34"/>
      <c r="CB1162" s="34"/>
      <c r="CC1162" s="34"/>
      <c r="CD1162" s="34"/>
      <c r="CE1162" s="34"/>
      <c r="CF1162" s="34"/>
      <c r="CG1162" s="34"/>
      <c r="CH1162" s="34"/>
      <c r="CI1162" s="34"/>
      <c r="CJ1162" s="34"/>
      <c r="CK1162" s="34"/>
      <c r="CL1162" s="34"/>
      <c r="CM1162" s="34"/>
      <c r="CN1162" s="34"/>
      <c r="CO1162" s="34"/>
      <c r="CP1162" s="34"/>
      <c r="CQ1162" s="34"/>
      <c r="CR1162" s="34"/>
      <c r="CS1162" s="34"/>
    </row>
    <row r="1163" spans="7:97" s="246" customFormat="1" x14ac:dyDescent="0.2">
      <c r="G1163" s="2188"/>
      <c r="BS1163" s="34"/>
      <c r="BT1163" s="34"/>
      <c r="BU1163" s="34"/>
      <c r="BV1163" s="34"/>
      <c r="BW1163" s="34"/>
      <c r="BX1163" s="34"/>
      <c r="BY1163" s="34"/>
      <c r="BZ1163" s="34"/>
      <c r="CA1163" s="34"/>
      <c r="CB1163" s="34"/>
      <c r="CC1163" s="34"/>
      <c r="CD1163" s="34"/>
      <c r="CE1163" s="34"/>
      <c r="CF1163" s="34"/>
      <c r="CG1163" s="34"/>
      <c r="CH1163" s="34"/>
      <c r="CI1163" s="34"/>
      <c r="CJ1163" s="34"/>
      <c r="CK1163" s="34"/>
      <c r="CL1163" s="34"/>
      <c r="CM1163" s="34"/>
      <c r="CN1163" s="34"/>
      <c r="CO1163" s="34"/>
      <c r="CP1163" s="34"/>
      <c r="CQ1163" s="34"/>
      <c r="CR1163" s="34"/>
      <c r="CS1163" s="34"/>
    </row>
    <row r="1164" spans="7:97" s="246" customFormat="1" x14ac:dyDescent="0.2">
      <c r="G1164" s="2188"/>
      <c r="BS1164" s="34"/>
      <c r="BT1164" s="34"/>
      <c r="BU1164" s="34"/>
      <c r="BV1164" s="34"/>
      <c r="BW1164" s="34"/>
      <c r="BX1164" s="34"/>
      <c r="BY1164" s="34"/>
      <c r="BZ1164" s="34"/>
      <c r="CA1164" s="34"/>
      <c r="CB1164" s="34"/>
      <c r="CC1164" s="34"/>
      <c r="CD1164" s="34"/>
      <c r="CE1164" s="34"/>
      <c r="CF1164" s="34"/>
      <c r="CG1164" s="34"/>
      <c r="CH1164" s="34"/>
      <c r="CI1164" s="34"/>
      <c r="CJ1164" s="34"/>
      <c r="CK1164" s="34"/>
      <c r="CL1164" s="34"/>
      <c r="CM1164" s="34"/>
      <c r="CN1164" s="34"/>
      <c r="CO1164" s="34"/>
      <c r="CP1164" s="34"/>
      <c r="CQ1164" s="34"/>
      <c r="CR1164" s="34"/>
      <c r="CS1164" s="34"/>
    </row>
    <row r="1165" spans="7:97" s="246" customFormat="1" x14ac:dyDescent="0.2">
      <c r="G1165" s="2188"/>
      <c r="BS1165" s="34"/>
      <c r="BT1165" s="34"/>
      <c r="BU1165" s="34"/>
      <c r="BV1165" s="34"/>
      <c r="BW1165" s="34"/>
      <c r="BX1165" s="34"/>
      <c r="BY1165" s="34"/>
      <c r="BZ1165" s="34"/>
      <c r="CA1165" s="34"/>
      <c r="CB1165" s="34"/>
      <c r="CC1165" s="34"/>
      <c r="CD1165" s="34"/>
      <c r="CE1165" s="34"/>
      <c r="CF1165" s="34"/>
      <c r="CG1165" s="34"/>
      <c r="CH1165" s="34"/>
      <c r="CI1165" s="34"/>
      <c r="CJ1165" s="34"/>
      <c r="CK1165" s="34"/>
      <c r="CL1165" s="34"/>
      <c r="CM1165" s="34"/>
      <c r="CN1165" s="34"/>
      <c r="CO1165" s="34"/>
      <c r="CP1165" s="34"/>
      <c r="CQ1165" s="34"/>
      <c r="CR1165" s="34"/>
      <c r="CS1165" s="34"/>
    </row>
    <row r="1166" spans="7:97" s="246" customFormat="1" x14ac:dyDescent="0.2">
      <c r="G1166" s="2188"/>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row>
    <row r="1167" spans="7:97" s="246" customFormat="1" x14ac:dyDescent="0.2">
      <c r="G1167" s="2188"/>
      <c r="BS1167" s="34"/>
      <c r="BT1167" s="34"/>
      <c r="BU1167" s="34"/>
      <c r="BV1167" s="34"/>
      <c r="BW1167" s="34"/>
      <c r="BX1167" s="34"/>
      <c r="BY1167" s="34"/>
      <c r="BZ1167" s="34"/>
      <c r="CA1167" s="34"/>
      <c r="CB1167" s="34"/>
      <c r="CC1167" s="34"/>
      <c r="CD1167" s="34"/>
      <c r="CE1167" s="34"/>
      <c r="CF1167" s="34"/>
      <c r="CG1167" s="34"/>
      <c r="CH1167" s="34"/>
      <c r="CI1167" s="34"/>
      <c r="CJ1167" s="34"/>
      <c r="CK1167" s="34"/>
      <c r="CL1167" s="34"/>
      <c r="CM1167" s="34"/>
      <c r="CN1167" s="34"/>
      <c r="CO1167" s="34"/>
      <c r="CP1167" s="34"/>
      <c r="CQ1167" s="34"/>
      <c r="CR1167" s="34"/>
      <c r="CS1167" s="34"/>
    </row>
    <row r="1168" spans="7:97" s="246" customFormat="1" x14ac:dyDescent="0.2">
      <c r="G1168" s="2188"/>
      <c r="BS1168" s="34"/>
      <c r="BT1168" s="34"/>
      <c r="BU1168" s="34"/>
      <c r="BV1168" s="34"/>
      <c r="BW1168" s="34"/>
      <c r="BX1168" s="34"/>
      <c r="BY1168" s="34"/>
      <c r="BZ1168" s="34"/>
      <c r="CA1168" s="34"/>
      <c r="CB1168" s="34"/>
      <c r="CC1168" s="34"/>
      <c r="CD1168" s="34"/>
      <c r="CE1168" s="34"/>
      <c r="CF1168" s="34"/>
      <c r="CG1168" s="34"/>
      <c r="CH1168" s="34"/>
      <c r="CI1168" s="34"/>
      <c r="CJ1168" s="34"/>
      <c r="CK1168" s="34"/>
      <c r="CL1168" s="34"/>
      <c r="CM1168" s="34"/>
      <c r="CN1168" s="34"/>
      <c r="CO1168" s="34"/>
      <c r="CP1168" s="34"/>
      <c r="CQ1168" s="34"/>
      <c r="CR1168" s="34"/>
      <c r="CS1168" s="34"/>
    </row>
    <row r="1169" spans="7:97" s="246" customFormat="1" x14ac:dyDescent="0.2">
      <c r="G1169" s="2188"/>
      <c r="BS1169" s="34"/>
      <c r="BT1169" s="34"/>
      <c r="BU1169" s="34"/>
      <c r="BV1169" s="34"/>
      <c r="BW1169" s="34"/>
      <c r="BX1169" s="34"/>
      <c r="BY1169" s="34"/>
      <c r="BZ1169" s="34"/>
      <c r="CA1169" s="34"/>
      <c r="CB1169" s="34"/>
      <c r="CC1169" s="34"/>
      <c r="CD1169" s="34"/>
      <c r="CE1169" s="34"/>
      <c r="CF1169" s="34"/>
      <c r="CG1169" s="34"/>
      <c r="CH1169" s="34"/>
      <c r="CI1169" s="34"/>
      <c r="CJ1169" s="34"/>
      <c r="CK1169" s="34"/>
      <c r="CL1169" s="34"/>
      <c r="CM1169" s="34"/>
      <c r="CN1169" s="34"/>
      <c r="CO1169" s="34"/>
      <c r="CP1169" s="34"/>
      <c r="CQ1169" s="34"/>
      <c r="CR1169" s="34"/>
      <c r="CS1169" s="34"/>
    </row>
    <row r="1170" spans="7:97" s="246" customFormat="1" x14ac:dyDescent="0.2">
      <c r="G1170" s="2188"/>
      <c r="BS1170" s="34"/>
      <c r="BT1170" s="34"/>
      <c r="BU1170" s="34"/>
      <c r="BV1170" s="34"/>
      <c r="BW1170" s="34"/>
      <c r="BX1170" s="34"/>
      <c r="BY1170" s="34"/>
      <c r="BZ1170" s="34"/>
      <c r="CA1170" s="34"/>
      <c r="CB1170" s="34"/>
      <c r="CC1170" s="34"/>
      <c r="CD1170" s="34"/>
      <c r="CE1170" s="34"/>
      <c r="CF1170" s="34"/>
      <c r="CG1170" s="34"/>
      <c r="CH1170" s="34"/>
      <c r="CI1170" s="34"/>
      <c r="CJ1170" s="34"/>
      <c r="CK1170" s="34"/>
      <c r="CL1170" s="34"/>
      <c r="CM1170" s="34"/>
      <c r="CN1170" s="34"/>
      <c r="CO1170" s="34"/>
      <c r="CP1170" s="34"/>
      <c r="CQ1170" s="34"/>
      <c r="CR1170" s="34"/>
      <c r="CS1170" s="34"/>
    </row>
    <row r="1171" spans="7:97" s="246" customFormat="1" x14ac:dyDescent="0.2">
      <c r="G1171" s="2188"/>
      <c r="BS1171" s="34"/>
      <c r="BT1171" s="34"/>
      <c r="BU1171" s="34"/>
      <c r="BV1171" s="34"/>
      <c r="BW1171" s="34"/>
      <c r="BX1171" s="34"/>
      <c r="BY1171" s="34"/>
      <c r="BZ1171" s="34"/>
      <c r="CA1171" s="34"/>
      <c r="CB1171" s="34"/>
      <c r="CC1171" s="34"/>
      <c r="CD1171" s="34"/>
      <c r="CE1171" s="34"/>
      <c r="CF1171" s="34"/>
      <c r="CG1171" s="34"/>
      <c r="CH1171" s="34"/>
      <c r="CI1171" s="34"/>
      <c r="CJ1171" s="34"/>
      <c r="CK1171" s="34"/>
      <c r="CL1171" s="34"/>
      <c r="CM1171" s="34"/>
      <c r="CN1171" s="34"/>
      <c r="CO1171" s="34"/>
      <c r="CP1171" s="34"/>
      <c r="CQ1171" s="34"/>
      <c r="CR1171" s="34"/>
      <c r="CS1171" s="34"/>
    </row>
    <row r="1172" spans="7:97" s="246" customFormat="1" x14ac:dyDescent="0.2">
      <c r="G1172" s="2188"/>
      <c r="BS1172" s="34"/>
      <c r="BT1172" s="34"/>
      <c r="BU1172" s="34"/>
      <c r="BV1172" s="34"/>
      <c r="BW1172" s="34"/>
      <c r="BX1172" s="34"/>
      <c r="BY1172" s="34"/>
      <c r="BZ1172" s="34"/>
      <c r="CA1172" s="34"/>
      <c r="CB1172" s="34"/>
      <c r="CC1172" s="34"/>
      <c r="CD1172" s="34"/>
      <c r="CE1172" s="34"/>
      <c r="CF1172" s="34"/>
      <c r="CG1172" s="34"/>
      <c r="CH1172" s="34"/>
      <c r="CI1172" s="34"/>
      <c r="CJ1172" s="34"/>
      <c r="CK1172" s="34"/>
      <c r="CL1172" s="34"/>
      <c r="CM1172" s="34"/>
      <c r="CN1172" s="34"/>
      <c r="CO1172" s="34"/>
      <c r="CP1172" s="34"/>
      <c r="CQ1172" s="34"/>
      <c r="CR1172" s="34"/>
      <c r="CS1172" s="34"/>
    </row>
    <row r="1173" spans="7:97" s="246" customFormat="1" x14ac:dyDescent="0.2">
      <c r="G1173" s="2188"/>
      <c r="BS1173" s="34"/>
      <c r="BT1173" s="34"/>
      <c r="BU1173" s="34"/>
      <c r="BV1173" s="34"/>
      <c r="BW1173" s="34"/>
      <c r="BX1173" s="34"/>
      <c r="BY1173" s="34"/>
      <c r="BZ1173" s="34"/>
      <c r="CA1173" s="34"/>
      <c r="CB1173" s="34"/>
      <c r="CC1173" s="34"/>
      <c r="CD1173" s="34"/>
      <c r="CE1173" s="34"/>
      <c r="CF1173" s="34"/>
      <c r="CG1173" s="34"/>
      <c r="CH1173" s="34"/>
      <c r="CI1173" s="34"/>
      <c r="CJ1173" s="34"/>
      <c r="CK1173" s="34"/>
      <c r="CL1173" s="34"/>
      <c r="CM1173" s="34"/>
      <c r="CN1173" s="34"/>
      <c r="CO1173" s="34"/>
      <c r="CP1173" s="34"/>
      <c r="CQ1173" s="34"/>
      <c r="CR1173" s="34"/>
      <c r="CS1173" s="34"/>
    </row>
    <row r="1174" spans="7:97" s="246" customFormat="1" x14ac:dyDescent="0.2">
      <c r="G1174" s="2188"/>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row>
    <row r="1175" spans="7:97" s="246" customFormat="1" x14ac:dyDescent="0.2">
      <c r="G1175" s="2188"/>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row>
    <row r="1176" spans="7:97" s="246" customFormat="1" x14ac:dyDescent="0.2">
      <c r="G1176" s="2188"/>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row>
    <row r="1177" spans="7:97" s="246" customFormat="1" x14ac:dyDescent="0.2">
      <c r="G1177" s="2188"/>
      <c r="BS1177" s="34"/>
      <c r="BT1177" s="34"/>
      <c r="BU1177" s="34"/>
      <c r="BV1177" s="34"/>
      <c r="BW1177" s="34"/>
      <c r="BX1177" s="34"/>
      <c r="BY1177" s="34"/>
      <c r="BZ1177" s="34"/>
      <c r="CA1177" s="34"/>
      <c r="CB1177" s="34"/>
      <c r="CC1177" s="34"/>
      <c r="CD1177" s="34"/>
      <c r="CE1177" s="34"/>
      <c r="CF1177" s="34"/>
      <c r="CG1177" s="34"/>
      <c r="CH1177" s="34"/>
      <c r="CI1177" s="34"/>
      <c r="CJ1177" s="34"/>
      <c r="CK1177" s="34"/>
      <c r="CL1177" s="34"/>
      <c r="CM1177" s="34"/>
      <c r="CN1177" s="34"/>
      <c r="CO1177" s="34"/>
      <c r="CP1177" s="34"/>
      <c r="CQ1177" s="34"/>
      <c r="CR1177" s="34"/>
      <c r="CS1177" s="34"/>
    </row>
    <row r="1178" spans="7:97" s="246" customFormat="1" x14ac:dyDescent="0.2">
      <c r="G1178" s="2188"/>
      <c r="BS1178" s="34"/>
      <c r="BT1178" s="34"/>
      <c r="BU1178" s="34"/>
      <c r="BV1178" s="34"/>
      <c r="BW1178" s="34"/>
      <c r="BX1178" s="34"/>
      <c r="BY1178" s="34"/>
      <c r="BZ1178" s="34"/>
      <c r="CA1178" s="34"/>
      <c r="CB1178" s="34"/>
      <c r="CC1178" s="34"/>
      <c r="CD1178" s="34"/>
      <c r="CE1178" s="34"/>
      <c r="CF1178" s="34"/>
      <c r="CG1178" s="34"/>
      <c r="CH1178" s="34"/>
      <c r="CI1178" s="34"/>
      <c r="CJ1178" s="34"/>
      <c r="CK1178" s="34"/>
      <c r="CL1178" s="34"/>
      <c r="CM1178" s="34"/>
      <c r="CN1178" s="34"/>
      <c r="CO1178" s="34"/>
      <c r="CP1178" s="34"/>
      <c r="CQ1178" s="34"/>
      <c r="CR1178" s="34"/>
      <c r="CS1178" s="34"/>
    </row>
    <row r="1179" spans="7:97" s="246" customFormat="1" x14ac:dyDescent="0.2">
      <c r="G1179" s="2188"/>
      <c r="BS1179" s="34"/>
      <c r="BT1179" s="34"/>
      <c r="BU1179" s="34"/>
      <c r="BV1179" s="34"/>
      <c r="BW1179" s="34"/>
      <c r="BX1179" s="34"/>
      <c r="BY1179" s="34"/>
      <c r="BZ1179" s="34"/>
      <c r="CA1179" s="34"/>
      <c r="CB1179" s="34"/>
      <c r="CC1179" s="34"/>
      <c r="CD1179" s="34"/>
      <c r="CE1179" s="34"/>
      <c r="CF1179" s="34"/>
      <c r="CG1179" s="34"/>
      <c r="CH1179" s="34"/>
      <c r="CI1179" s="34"/>
      <c r="CJ1179" s="34"/>
      <c r="CK1179" s="34"/>
      <c r="CL1179" s="34"/>
      <c r="CM1179" s="34"/>
      <c r="CN1179" s="34"/>
      <c r="CO1179" s="34"/>
      <c r="CP1179" s="34"/>
      <c r="CQ1179" s="34"/>
      <c r="CR1179" s="34"/>
      <c r="CS1179" s="34"/>
    </row>
    <row r="1180" spans="7:97" s="246" customFormat="1" x14ac:dyDescent="0.2">
      <c r="G1180" s="2188"/>
      <c r="BS1180" s="34"/>
      <c r="BT1180" s="34"/>
      <c r="BU1180" s="34"/>
      <c r="BV1180" s="34"/>
      <c r="BW1180" s="34"/>
      <c r="BX1180" s="34"/>
      <c r="BY1180" s="34"/>
      <c r="BZ1180" s="34"/>
      <c r="CA1180" s="34"/>
      <c r="CB1180" s="34"/>
      <c r="CC1180" s="34"/>
      <c r="CD1180" s="34"/>
      <c r="CE1180" s="34"/>
      <c r="CF1180" s="34"/>
      <c r="CG1180" s="34"/>
      <c r="CH1180" s="34"/>
      <c r="CI1180" s="34"/>
      <c r="CJ1180" s="34"/>
      <c r="CK1180" s="34"/>
      <c r="CL1180" s="34"/>
      <c r="CM1180" s="34"/>
      <c r="CN1180" s="34"/>
      <c r="CO1180" s="34"/>
      <c r="CP1180" s="34"/>
      <c r="CQ1180" s="34"/>
      <c r="CR1180" s="34"/>
      <c r="CS1180" s="34"/>
    </row>
    <row r="1181" spans="7:97" s="246" customFormat="1" x14ac:dyDescent="0.2">
      <c r="G1181" s="2188"/>
      <c r="BS1181" s="34"/>
      <c r="BT1181" s="34"/>
      <c r="BU1181" s="34"/>
      <c r="BV1181" s="34"/>
      <c r="BW1181" s="34"/>
      <c r="BX1181" s="34"/>
      <c r="BY1181" s="34"/>
      <c r="BZ1181" s="34"/>
      <c r="CA1181" s="34"/>
      <c r="CB1181" s="34"/>
      <c r="CC1181" s="34"/>
      <c r="CD1181" s="34"/>
      <c r="CE1181" s="34"/>
      <c r="CF1181" s="34"/>
      <c r="CG1181" s="34"/>
      <c r="CH1181" s="34"/>
      <c r="CI1181" s="34"/>
      <c r="CJ1181" s="34"/>
      <c r="CK1181" s="34"/>
      <c r="CL1181" s="34"/>
      <c r="CM1181" s="34"/>
      <c r="CN1181" s="34"/>
      <c r="CO1181" s="34"/>
      <c r="CP1181" s="34"/>
      <c r="CQ1181" s="34"/>
      <c r="CR1181" s="34"/>
      <c r="CS1181" s="34"/>
    </row>
    <row r="1182" spans="7:97" s="246" customFormat="1" x14ac:dyDescent="0.2">
      <c r="G1182" s="2188"/>
      <c r="BS1182" s="34"/>
      <c r="BT1182" s="34"/>
      <c r="BU1182" s="34"/>
      <c r="BV1182" s="34"/>
      <c r="BW1182" s="34"/>
      <c r="BX1182" s="34"/>
      <c r="BY1182" s="34"/>
      <c r="BZ1182" s="34"/>
      <c r="CA1182" s="34"/>
      <c r="CB1182" s="34"/>
      <c r="CC1182" s="34"/>
      <c r="CD1182" s="34"/>
      <c r="CE1182" s="34"/>
      <c r="CF1182" s="34"/>
      <c r="CG1182" s="34"/>
      <c r="CH1182" s="34"/>
      <c r="CI1182" s="34"/>
      <c r="CJ1182" s="34"/>
      <c r="CK1182" s="34"/>
      <c r="CL1182" s="34"/>
      <c r="CM1182" s="34"/>
      <c r="CN1182" s="34"/>
      <c r="CO1182" s="34"/>
      <c r="CP1182" s="34"/>
      <c r="CQ1182" s="34"/>
      <c r="CR1182" s="34"/>
      <c r="CS1182" s="34"/>
    </row>
    <row r="1183" spans="7:97" s="246" customFormat="1" x14ac:dyDescent="0.2">
      <c r="G1183" s="2188"/>
      <c r="BS1183" s="34"/>
      <c r="BT1183" s="34"/>
      <c r="BU1183" s="34"/>
      <c r="BV1183" s="34"/>
      <c r="BW1183" s="34"/>
      <c r="BX1183" s="34"/>
      <c r="BY1183" s="34"/>
      <c r="BZ1183" s="34"/>
      <c r="CA1183" s="34"/>
      <c r="CB1183" s="34"/>
      <c r="CC1183" s="34"/>
      <c r="CD1183" s="34"/>
      <c r="CE1183" s="34"/>
      <c r="CF1183" s="34"/>
      <c r="CG1183" s="34"/>
      <c r="CH1183" s="34"/>
      <c r="CI1183" s="34"/>
      <c r="CJ1183" s="34"/>
      <c r="CK1183" s="34"/>
      <c r="CL1183" s="34"/>
      <c r="CM1183" s="34"/>
      <c r="CN1183" s="34"/>
      <c r="CO1183" s="34"/>
      <c r="CP1183" s="34"/>
      <c r="CQ1183" s="34"/>
      <c r="CR1183" s="34"/>
      <c r="CS1183" s="34"/>
    </row>
    <row r="1184" spans="7:97" s="246" customFormat="1" x14ac:dyDescent="0.2">
      <c r="G1184" s="2188"/>
      <c r="BS1184" s="34"/>
      <c r="BT1184" s="34"/>
      <c r="BU1184" s="34"/>
      <c r="BV1184" s="34"/>
      <c r="BW1184" s="34"/>
      <c r="BX1184" s="34"/>
      <c r="BY1184" s="34"/>
      <c r="BZ1184" s="34"/>
      <c r="CA1184" s="34"/>
      <c r="CB1184" s="34"/>
      <c r="CC1184" s="34"/>
      <c r="CD1184" s="34"/>
      <c r="CE1184" s="34"/>
      <c r="CF1184" s="34"/>
      <c r="CG1184" s="34"/>
      <c r="CH1184" s="34"/>
      <c r="CI1184" s="34"/>
      <c r="CJ1184" s="34"/>
      <c r="CK1184" s="34"/>
      <c r="CL1184" s="34"/>
      <c r="CM1184" s="34"/>
      <c r="CN1184" s="34"/>
      <c r="CO1184" s="34"/>
      <c r="CP1184" s="34"/>
      <c r="CQ1184" s="34"/>
      <c r="CR1184" s="34"/>
      <c r="CS1184" s="34"/>
    </row>
    <row r="1185" spans="7:97" s="246" customFormat="1" x14ac:dyDescent="0.2">
      <c r="G1185" s="2188"/>
      <c r="BS1185" s="34"/>
      <c r="BT1185" s="34"/>
      <c r="BU1185" s="34"/>
      <c r="BV1185" s="34"/>
      <c r="BW1185" s="34"/>
      <c r="BX1185" s="34"/>
      <c r="BY1185" s="34"/>
      <c r="BZ1185" s="34"/>
      <c r="CA1185" s="34"/>
      <c r="CB1185" s="34"/>
      <c r="CC1185" s="34"/>
      <c r="CD1185" s="34"/>
      <c r="CE1185" s="34"/>
      <c r="CF1185" s="34"/>
      <c r="CG1185" s="34"/>
      <c r="CH1185" s="34"/>
      <c r="CI1185" s="34"/>
      <c r="CJ1185" s="34"/>
      <c r="CK1185" s="34"/>
      <c r="CL1185" s="34"/>
      <c r="CM1185" s="34"/>
      <c r="CN1185" s="34"/>
      <c r="CO1185" s="34"/>
      <c r="CP1185" s="34"/>
      <c r="CQ1185" s="34"/>
      <c r="CR1185" s="34"/>
      <c r="CS1185" s="34"/>
    </row>
    <row r="1186" spans="7:97" s="246" customFormat="1" x14ac:dyDescent="0.2">
      <c r="G1186" s="2188"/>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row>
    <row r="1187" spans="7:97" s="246" customFormat="1" x14ac:dyDescent="0.2">
      <c r="G1187" s="2188"/>
      <c r="BS1187" s="34"/>
      <c r="BT1187" s="34"/>
      <c r="BU1187" s="34"/>
      <c r="BV1187" s="34"/>
      <c r="BW1187" s="34"/>
      <c r="BX1187" s="34"/>
      <c r="BY1187" s="34"/>
      <c r="BZ1187" s="34"/>
      <c r="CA1187" s="34"/>
      <c r="CB1187" s="34"/>
      <c r="CC1187" s="34"/>
      <c r="CD1187" s="34"/>
      <c r="CE1187" s="34"/>
      <c r="CF1187" s="34"/>
      <c r="CG1187" s="34"/>
      <c r="CH1187" s="34"/>
      <c r="CI1187" s="34"/>
      <c r="CJ1187" s="34"/>
      <c r="CK1187" s="34"/>
      <c r="CL1187" s="34"/>
      <c r="CM1187" s="34"/>
      <c r="CN1187" s="34"/>
      <c r="CO1187" s="34"/>
      <c r="CP1187" s="34"/>
      <c r="CQ1187" s="34"/>
      <c r="CR1187" s="34"/>
      <c r="CS1187" s="34"/>
    </row>
    <row r="1188" spans="7:97" s="246" customFormat="1" x14ac:dyDescent="0.2">
      <c r="G1188" s="2188"/>
      <c r="BS1188" s="34"/>
      <c r="BT1188" s="34"/>
      <c r="BU1188" s="34"/>
      <c r="BV1188" s="34"/>
      <c r="BW1188" s="34"/>
      <c r="BX1188" s="34"/>
      <c r="BY1188" s="34"/>
      <c r="BZ1188" s="34"/>
      <c r="CA1188" s="34"/>
      <c r="CB1188" s="34"/>
      <c r="CC1188" s="34"/>
      <c r="CD1188" s="34"/>
      <c r="CE1188" s="34"/>
      <c r="CF1188" s="34"/>
      <c r="CG1188" s="34"/>
      <c r="CH1188" s="34"/>
      <c r="CI1188" s="34"/>
      <c r="CJ1188" s="34"/>
      <c r="CK1188" s="34"/>
      <c r="CL1188" s="34"/>
      <c r="CM1188" s="34"/>
      <c r="CN1188" s="34"/>
      <c r="CO1188" s="34"/>
      <c r="CP1188" s="34"/>
      <c r="CQ1188" s="34"/>
      <c r="CR1188" s="34"/>
      <c r="CS1188" s="34"/>
    </row>
    <row r="1189" spans="7:97" s="246" customFormat="1" x14ac:dyDescent="0.2">
      <c r="G1189" s="2188"/>
      <c r="BS1189" s="34"/>
      <c r="BT1189" s="34"/>
      <c r="BU1189" s="34"/>
      <c r="BV1189" s="34"/>
      <c r="BW1189" s="34"/>
      <c r="BX1189" s="34"/>
      <c r="BY1189" s="34"/>
      <c r="BZ1189" s="34"/>
      <c r="CA1189" s="34"/>
      <c r="CB1189" s="34"/>
      <c r="CC1189" s="34"/>
      <c r="CD1189" s="34"/>
      <c r="CE1189" s="34"/>
      <c r="CF1189" s="34"/>
      <c r="CG1189" s="34"/>
      <c r="CH1189" s="34"/>
      <c r="CI1189" s="34"/>
      <c r="CJ1189" s="34"/>
      <c r="CK1189" s="34"/>
      <c r="CL1189" s="34"/>
      <c r="CM1189" s="34"/>
      <c r="CN1189" s="34"/>
      <c r="CO1189" s="34"/>
      <c r="CP1189" s="34"/>
      <c r="CQ1189" s="34"/>
      <c r="CR1189" s="34"/>
      <c r="CS1189" s="34"/>
    </row>
    <row r="1190" spans="7:97" s="246" customFormat="1" x14ac:dyDescent="0.2">
      <c r="G1190" s="2188"/>
      <c r="BS1190" s="34"/>
      <c r="BT1190" s="34"/>
      <c r="BU1190" s="34"/>
      <c r="BV1190" s="34"/>
      <c r="BW1190" s="34"/>
      <c r="BX1190" s="34"/>
      <c r="BY1190" s="34"/>
      <c r="BZ1190" s="34"/>
      <c r="CA1190" s="34"/>
      <c r="CB1190" s="34"/>
      <c r="CC1190" s="34"/>
      <c r="CD1190" s="34"/>
      <c r="CE1190" s="34"/>
      <c r="CF1190" s="34"/>
      <c r="CG1190" s="34"/>
      <c r="CH1190" s="34"/>
      <c r="CI1190" s="34"/>
      <c r="CJ1190" s="34"/>
      <c r="CK1190" s="34"/>
      <c r="CL1190" s="34"/>
      <c r="CM1190" s="34"/>
      <c r="CN1190" s="34"/>
      <c r="CO1190" s="34"/>
      <c r="CP1190" s="34"/>
      <c r="CQ1190" s="34"/>
      <c r="CR1190" s="34"/>
      <c r="CS1190" s="34"/>
    </row>
    <row r="1191" spans="7:97" s="246" customFormat="1" x14ac:dyDescent="0.2">
      <c r="G1191" s="2188"/>
      <c r="BS1191" s="34"/>
      <c r="BT1191" s="34"/>
      <c r="BU1191" s="34"/>
      <c r="BV1191" s="34"/>
      <c r="BW1191" s="34"/>
      <c r="BX1191" s="34"/>
      <c r="BY1191" s="34"/>
      <c r="BZ1191" s="34"/>
      <c r="CA1191" s="34"/>
      <c r="CB1191" s="34"/>
      <c r="CC1191" s="34"/>
      <c r="CD1191" s="34"/>
      <c r="CE1191" s="34"/>
      <c r="CF1191" s="34"/>
      <c r="CG1191" s="34"/>
      <c r="CH1191" s="34"/>
      <c r="CI1191" s="34"/>
      <c r="CJ1191" s="34"/>
      <c r="CK1191" s="34"/>
      <c r="CL1191" s="34"/>
      <c r="CM1191" s="34"/>
      <c r="CN1191" s="34"/>
      <c r="CO1191" s="34"/>
      <c r="CP1191" s="34"/>
      <c r="CQ1191" s="34"/>
      <c r="CR1191" s="34"/>
      <c r="CS1191" s="34"/>
    </row>
    <row r="1192" spans="7:97" s="246" customFormat="1" x14ac:dyDescent="0.2">
      <c r="G1192" s="2188"/>
      <c r="BS1192" s="34"/>
      <c r="BT1192" s="34"/>
      <c r="BU1192" s="34"/>
      <c r="BV1192" s="34"/>
      <c r="BW1192" s="34"/>
      <c r="BX1192" s="34"/>
      <c r="BY1192" s="34"/>
      <c r="BZ1192" s="34"/>
      <c r="CA1192" s="34"/>
      <c r="CB1192" s="34"/>
      <c r="CC1192" s="34"/>
      <c r="CD1192" s="34"/>
      <c r="CE1192" s="34"/>
      <c r="CF1192" s="34"/>
      <c r="CG1192" s="34"/>
      <c r="CH1192" s="34"/>
      <c r="CI1192" s="34"/>
      <c r="CJ1192" s="34"/>
      <c r="CK1192" s="34"/>
      <c r="CL1192" s="34"/>
      <c r="CM1192" s="34"/>
      <c r="CN1192" s="34"/>
      <c r="CO1192" s="34"/>
      <c r="CP1192" s="34"/>
      <c r="CQ1192" s="34"/>
      <c r="CR1192" s="34"/>
      <c r="CS1192" s="34"/>
    </row>
    <row r="1193" spans="7:97" s="246" customFormat="1" x14ac:dyDescent="0.2">
      <c r="G1193" s="2188"/>
      <c r="BS1193" s="34"/>
      <c r="BT1193" s="34"/>
      <c r="BU1193" s="34"/>
      <c r="BV1193" s="34"/>
      <c r="BW1193" s="34"/>
      <c r="BX1193" s="34"/>
      <c r="BY1193" s="34"/>
      <c r="BZ1193" s="34"/>
      <c r="CA1193" s="34"/>
      <c r="CB1193" s="34"/>
      <c r="CC1193" s="34"/>
      <c r="CD1193" s="34"/>
      <c r="CE1193" s="34"/>
      <c r="CF1193" s="34"/>
      <c r="CG1193" s="34"/>
      <c r="CH1193" s="34"/>
      <c r="CI1193" s="34"/>
      <c r="CJ1193" s="34"/>
      <c r="CK1193" s="34"/>
      <c r="CL1193" s="34"/>
      <c r="CM1193" s="34"/>
      <c r="CN1193" s="34"/>
      <c r="CO1193" s="34"/>
      <c r="CP1193" s="34"/>
      <c r="CQ1193" s="34"/>
      <c r="CR1193" s="34"/>
      <c r="CS1193" s="34"/>
    </row>
    <row r="1194" spans="7:97" s="246" customFormat="1" x14ac:dyDescent="0.2">
      <c r="G1194" s="2188"/>
      <c r="BS1194" s="34"/>
      <c r="BT1194" s="34"/>
      <c r="BU1194" s="34"/>
      <c r="BV1194" s="34"/>
      <c r="BW1194" s="34"/>
      <c r="BX1194" s="34"/>
      <c r="BY1194" s="34"/>
      <c r="BZ1194" s="34"/>
      <c r="CA1194" s="34"/>
      <c r="CB1194" s="34"/>
      <c r="CC1194" s="34"/>
      <c r="CD1194" s="34"/>
      <c r="CE1194" s="34"/>
      <c r="CF1194" s="34"/>
      <c r="CG1194" s="34"/>
      <c r="CH1194" s="34"/>
      <c r="CI1194" s="34"/>
      <c r="CJ1194" s="34"/>
      <c r="CK1194" s="34"/>
      <c r="CL1194" s="34"/>
      <c r="CM1194" s="34"/>
      <c r="CN1194" s="34"/>
      <c r="CO1194" s="34"/>
      <c r="CP1194" s="34"/>
      <c r="CQ1194" s="34"/>
      <c r="CR1194" s="34"/>
      <c r="CS1194" s="34"/>
    </row>
    <row r="1195" spans="7:97" s="246" customFormat="1" x14ac:dyDescent="0.2">
      <c r="G1195" s="2188"/>
      <c r="BS1195" s="34"/>
      <c r="BT1195" s="34"/>
      <c r="BU1195" s="34"/>
      <c r="BV1195" s="34"/>
      <c r="BW1195" s="34"/>
      <c r="BX1195" s="34"/>
      <c r="BY1195" s="34"/>
      <c r="BZ1195" s="34"/>
      <c r="CA1195" s="34"/>
      <c r="CB1195" s="34"/>
      <c r="CC1195" s="34"/>
      <c r="CD1195" s="34"/>
      <c r="CE1195" s="34"/>
      <c r="CF1195" s="34"/>
      <c r="CG1195" s="34"/>
      <c r="CH1195" s="34"/>
      <c r="CI1195" s="34"/>
      <c r="CJ1195" s="34"/>
      <c r="CK1195" s="34"/>
      <c r="CL1195" s="34"/>
      <c r="CM1195" s="34"/>
      <c r="CN1195" s="34"/>
      <c r="CO1195" s="34"/>
      <c r="CP1195" s="34"/>
      <c r="CQ1195" s="34"/>
      <c r="CR1195" s="34"/>
      <c r="CS1195" s="34"/>
    </row>
    <row r="1196" spans="7:97" s="246" customFormat="1" x14ac:dyDescent="0.2">
      <c r="G1196" s="2188"/>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row>
    <row r="1197" spans="7:97" s="246" customFormat="1" x14ac:dyDescent="0.2">
      <c r="G1197" s="2188"/>
      <c r="BS1197" s="34"/>
      <c r="BT1197" s="34"/>
      <c r="BU1197" s="34"/>
      <c r="BV1197" s="34"/>
      <c r="BW1197" s="34"/>
      <c r="BX1197" s="34"/>
      <c r="BY1197" s="34"/>
      <c r="BZ1197" s="34"/>
      <c r="CA1197" s="34"/>
      <c r="CB1197" s="34"/>
      <c r="CC1197" s="34"/>
      <c r="CD1197" s="34"/>
      <c r="CE1197" s="34"/>
      <c r="CF1197" s="34"/>
      <c r="CG1197" s="34"/>
      <c r="CH1197" s="34"/>
      <c r="CI1197" s="34"/>
      <c r="CJ1197" s="34"/>
      <c r="CK1197" s="34"/>
      <c r="CL1197" s="34"/>
      <c r="CM1197" s="34"/>
      <c r="CN1197" s="34"/>
      <c r="CO1197" s="34"/>
      <c r="CP1197" s="34"/>
      <c r="CQ1197" s="34"/>
      <c r="CR1197" s="34"/>
      <c r="CS1197" s="34"/>
    </row>
    <row r="1198" spans="7:97" s="246" customFormat="1" x14ac:dyDescent="0.2">
      <c r="G1198" s="2188"/>
      <c r="BS1198" s="34"/>
      <c r="BT1198" s="34"/>
      <c r="BU1198" s="34"/>
      <c r="BV1198" s="34"/>
      <c r="BW1198" s="34"/>
      <c r="BX1198" s="34"/>
      <c r="BY1198" s="34"/>
      <c r="BZ1198" s="34"/>
      <c r="CA1198" s="34"/>
      <c r="CB1198" s="34"/>
      <c r="CC1198" s="34"/>
      <c r="CD1198" s="34"/>
      <c r="CE1198" s="34"/>
      <c r="CF1198" s="34"/>
      <c r="CG1198" s="34"/>
      <c r="CH1198" s="34"/>
      <c r="CI1198" s="34"/>
      <c r="CJ1198" s="34"/>
      <c r="CK1198" s="34"/>
      <c r="CL1198" s="34"/>
      <c r="CM1198" s="34"/>
      <c r="CN1198" s="34"/>
      <c r="CO1198" s="34"/>
      <c r="CP1198" s="34"/>
      <c r="CQ1198" s="34"/>
      <c r="CR1198" s="34"/>
      <c r="CS1198" s="34"/>
    </row>
    <row r="1199" spans="7:97" s="246" customFormat="1" x14ac:dyDescent="0.2">
      <c r="G1199" s="2188"/>
      <c r="BS1199" s="34"/>
      <c r="BT1199" s="34"/>
      <c r="BU1199" s="34"/>
      <c r="BV1199" s="34"/>
      <c r="BW1199" s="34"/>
      <c r="BX1199" s="34"/>
      <c r="BY1199" s="34"/>
      <c r="BZ1199" s="34"/>
      <c r="CA1199" s="34"/>
      <c r="CB1199" s="34"/>
      <c r="CC1199" s="34"/>
      <c r="CD1199" s="34"/>
      <c r="CE1199" s="34"/>
      <c r="CF1199" s="34"/>
      <c r="CG1199" s="34"/>
      <c r="CH1199" s="34"/>
      <c r="CI1199" s="34"/>
      <c r="CJ1199" s="34"/>
      <c r="CK1199" s="34"/>
      <c r="CL1199" s="34"/>
      <c r="CM1199" s="34"/>
      <c r="CN1199" s="34"/>
      <c r="CO1199" s="34"/>
      <c r="CP1199" s="34"/>
      <c r="CQ1199" s="34"/>
      <c r="CR1199" s="34"/>
      <c r="CS1199" s="34"/>
    </row>
    <row r="1200" spans="7:97" s="246" customFormat="1" x14ac:dyDescent="0.2">
      <c r="G1200" s="2188"/>
      <c r="BS1200" s="34"/>
      <c r="BT1200" s="34"/>
      <c r="BU1200" s="34"/>
      <c r="BV1200" s="34"/>
      <c r="BW1200" s="34"/>
      <c r="BX1200" s="34"/>
      <c r="BY1200" s="34"/>
      <c r="BZ1200" s="34"/>
      <c r="CA1200" s="34"/>
      <c r="CB1200" s="34"/>
      <c r="CC1200" s="34"/>
      <c r="CD1200" s="34"/>
      <c r="CE1200" s="34"/>
      <c r="CF1200" s="34"/>
      <c r="CG1200" s="34"/>
      <c r="CH1200" s="34"/>
      <c r="CI1200" s="34"/>
      <c r="CJ1200" s="34"/>
      <c r="CK1200" s="34"/>
      <c r="CL1200" s="34"/>
      <c r="CM1200" s="34"/>
      <c r="CN1200" s="34"/>
      <c r="CO1200" s="34"/>
      <c r="CP1200" s="34"/>
      <c r="CQ1200" s="34"/>
      <c r="CR1200" s="34"/>
      <c r="CS1200" s="34"/>
    </row>
    <row r="1201" spans="7:97" s="246" customFormat="1" x14ac:dyDescent="0.2">
      <c r="G1201" s="2188"/>
      <c r="BS1201" s="34"/>
      <c r="BT1201" s="34"/>
      <c r="BU1201" s="34"/>
      <c r="BV1201" s="34"/>
      <c r="BW1201" s="34"/>
      <c r="BX1201" s="34"/>
      <c r="BY1201" s="34"/>
      <c r="BZ1201" s="34"/>
      <c r="CA1201" s="34"/>
      <c r="CB1201" s="34"/>
      <c r="CC1201" s="34"/>
      <c r="CD1201" s="34"/>
      <c r="CE1201" s="34"/>
      <c r="CF1201" s="34"/>
      <c r="CG1201" s="34"/>
      <c r="CH1201" s="34"/>
      <c r="CI1201" s="34"/>
      <c r="CJ1201" s="34"/>
      <c r="CK1201" s="34"/>
      <c r="CL1201" s="34"/>
      <c r="CM1201" s="34"/>
      <c r="CN1201" s="34"/>
      <c r="CO1201" s="34"/>
      <c r="CP1201" s="34"/>
      <c r="CQ1201" s="34"/>
      <c r="CR1201" s="34"/>
      <c r="CS1201" s="34"/>
    </row>
    <row r="1202" spans="7:97" s="246" customFormat="1" x14ac:dyDescent="0.2">
      <c r="G1202" s="2188"/>
      <c r="BS1202" s="34"/>
      <c r="BT1202" s="34"/>
      <c r="BU1202" s="34"/>
      <c r="BV1202" s="34"/>
      <c r="BW1202" s="34"/>
      <c r="BX1202" s="34"/>
      <c r="BY1202" s="34"/>
      <c r="BZ1202" s="34"/>
      <c r="CA1202" s="34"/>
      <c r="CB1202" s="34"/>
      <c r="CC1202" s="34"/>
      <c r="CD1202" s="34"/>
      <c r="CE1202" s="34"/>
      <c r="CF1202" s="34"/>
      <c r="CG1202" s="34"/>
      <c r="CH1202" s="34"/>
      <c r="CI1202" s="34"/>
      <c r="CJ1202" s="34"/>
      <c r="CK1202" s="34"/>
      <c r="CL1202" s="34"/>
      <c r="CM1202" s="34"/>
      <c r="CN1202" s="34"/>
      <c r="CO1202" s="34"/>
      <c r="CP1202" s="34"/>
      <c r="CQ1202" s="34"/>
      <c r="CR1202" s="34"/>
      <c r="CS1202" s="34"/>
    </row>
    <row r="1203" spans="7:97" s="246" customFormat="1" x14ac:dyDescent="0.2">
      <c r="G1203" s="2188"/>
      <c r="BS1203" s="34"/>
      <c r="BT1203" s="34"/>
      <c r="BU1203" s="34"/>
      <c r="BV1203" s="34"/>
      <c r="BW1203" s="34"/>
      <c r="BX1203" s="34"/>
      <c r="BY1203" s="34"/>
      <c r="BZ1203" s="34"/>
      <c r="CA1203" s="34"/>
      <c r="CB1203" s="34"/>
      <c r="CC1203" s="34"/>
      <c r="CD1203" s="34"/>
      <c r="CE1203" s="34"/>
      <c r="CF1203" s="34"/>
      <c r="CG1203" s="34"/>
      <c r="CH1203" s="34"/>
      <c r="CI1203" s="34"/>
      <c r="CJ1203" s="34"/>
      <c r="CK1203" s="34"/>
      <c r="CL1203" s="34"/>
      <c r="CM1203" s="34"/>
      <c r="CN1203" s="34"/>
      <c r="CO1203" s="34"/>
      <c r="CP1203" s="34"/>
      <c r="CQ1203" s="34"/>
      <c r="CR1203" s="34"/>
      <c r="CS1203" s="34"/>
    </row>
    <row r="1204" spans="7:97" s="246" customFormat="1" x14ac:dyDescent="0.2">
      <c r="G1204" s="2188"/>
      <c r="BS1204" s="34"/>
      <c r="BT1204" s="34"/>
      <c r="BU1204" s="34"/>
      <c r="BV1204" s="34"/>
      <c r="BW1204" s="34"/>
      <c r="BX1204" s="34"/>
      <c r="BY1204" s="34"/>
      <c r="BZ1204" s="34"/>
      <c r="CA1204" s="34"/>
      <c r="CB1204" s="34"/>
      <c r="CC1204" s="34"/>
      <c r="CD1204" s="34"/>
      <c r="CE1204" s="34"/>
      <c r="CF1204" s="34"/>
      <c r="CG1204" s="34"/>
      <c r="CH1204" s="34"/>
      <c r="CI1204" s="34"/>
      <c r="CJ1204" s="34"/>
      <c r="CK1204" s="34"/>
      <c r="CL1204" s="34"/>
      <c r="CM1204" s="34"/>
      <c r="CN1204" s="34"/>
      <c r="CO1204" s="34"/>
      <c r="CP1204" s="34"/>
      <c r="CQ1204" s="34"/>
      <c r="CR1204" s="34"/>
      <c r="CS1204" s="34"/>
    </row>
    <row r="1205" spans="7:97" s="246" customFormat="1" x14ac:dyDescent="0.2">
      <c r="G1205" s="2188"/>
      <c r="BS1205" s="34"/>
      <c r="BT1205" s="34"/>
      <c r="BU1205" s="34"/>
      <c r="BV1205" s="34"/>
      <c r="BW1205" s="34"/>
      <c r="BX1205" s="34"/>
      <c r="BY1205" s="34"/>
      <c r="BZ1205" s="34"/>
      <c r="CA1205" s="34"/>
      <c r="CB1205" s="34"/>
      <c r="CC1205" s="34"/>
      <c r="CD1205" s="34"/>
      <c r="CE1205" s="34"/>
      <c r="CF1205" s="34"/>
      <c r="CG1205" s="34"/>
      <c r="CH1205" s="34"/>
      <c r="CI1205" s="34"/>
      <c r="CJ1205" s="34"/>
      <c r="CK1205" s="34"/>
      <c r="CL1205" s="34"/>
      <c r="CM1205" s="34"/>
      <c r="CN1205" s="34"/>
      <c r="CO1205" s="34"/>
      <c r="CP1205" s="34"/>
      <c r="CQ1205" s="34"/>
      <c r="CR1205" s="34"/>
      <c r="CS1205" s="34"/>
    </row>
    <row r="1206" spans="7:97" s="246" customFormat="1" x14ac:dyDescent="0.2">
      <c r="G1206" s="2188"/>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row>
    <row r="1207" spans="7:97" s="246" customFormat="1" x14ac:dyDescent="0.2">
      <c r="G1207" s="2188"/>
      <c r="BS1207" s="34"/>
      <c r="BT1207" s="34"/>
      <c r="BU1207" s="34"/>
      <c r="BV1207" s="34"/>
      <c r="BW1207" s="34"/>
      <c r="BX1207" s="34"/>
      <c r="BY1207" s="34"/>
      <c r="BZ1207" s="34"/>
      <c r="CA1207" s="34"/>
      <c r="CB1207" s="34"/>
      <c r="CC1207" s="34"/>
      <c r="CD1207" s="34"/>
      <c r="CE1207" s="34"/>
      <c r="CF1207" s="34"/>
      <c r="CG1207" s="34"/>
      <c r="CH1207" s="34"/>
      <c r="CI1207" s="34"/>
      <c r="CJ1207" s="34"/>
      <c r="CK1207" s="34"/>
      <c r="CL1207" s="34"/>
      <c r="CM1207" s="34"/>
      <c r="CN1207" s="34"/>
      <c r="CO1207" s="34"/>
      <c r="CP1207" s="34"/>
      <c r="CQ1207" s="34"/>
      <c r="CR1207" s="34"/>
      <c r="CS1207" s="34"/>
    </row>
    <row r="1208" spans="7:97" s="246" customFormat="1" x14ac:dyDescent="0.2">
      <c r="G1208" s="2188"/>
      <c r="BS1208" s="34"/>
      <c r="BT1208" s="34"/>
      <c r="BU1208" s="34"/>
      <c r="BV1208" s="34"/>
      <c r="BW1208" s="34"/>
      <c r="BX1208" s="34"/>
      <c r="BY1208" s="34"/>
      <c r="BZ1208" s="34"/>
      <c r="CA1208" s="34"/>
      <c r="CB1208" s="34"/>
      <c r="CC1208" s="34"/>
      <c r="CD1208" s="34"/>
      <c r="CE1208" s="34"/>
      <c r="CF1208" s="34"/>
      <c r="CG1208" s="34"/>
      <c r="CH1208" s="34"/>
      <c r="CI1208" s="34"/>
      <c r="CJ1208" s="34"/>
      <c r="CK1208" s="34"/>
      <c r="CL1208" s="34"/>
      <c r="CM1208" s="34"/>
      <c r="CN1208" s="34"/>
      <c r="CO1208" s="34"/>
      <c r="CP1208" s="34"/>
      <c r="CQ1208" s="34"/>
      <c r="CR1208" s="34"/>
      <c r="CS1208" s="34"/>
    </row>
    <row r="1209" spans="7:97" s="246" customFormat="1" x14ac:dyDescent="0.2">
      <c r="G1209" s="2188"/>
      <c r="BS1209" s="34"/>
      <c r="BT1209" s="34"/>
      <c r="BU1209" s="34"/>
      <c r="BV1209" s="34"/>
      <c r="BW1209" s="34"/>
      <c r="BX1209" s="34"/>
      <c r="BY1209" s="34"/>
      <c r="BZ1209" s="34"/>
      <c r="CA1209" s="34"/>
      <c r="CB1209" s="34"/>
      <c r="CC1209" s="34"/>
      <c r="CD1209" s="34"/>
      <c r="CE1209" s="34"/>
      <c r="CF1209" s="34"/>
      <c r="CG1209" s="34"/>
      <c r="CH1209" s="34"/>
      <c r="CI1209" s="34"/>
      <c r="CJ1209" s="34"/>
      <c r="CK1209" s="34"/>
      <c r="CL1209" s="34"/>
      <c r="CM1209" s="34"/>
      <c r="CN1209" s="34"/>
      <c r="CO1209" s="34"/>
      <c r="CP1209" s="34"/>
      <c r="CQ1209" s="34"/>
      <c r="CR1209" s="34"/>
      <c r="CS1209" s="34"/>
    </row>
    <row r="1210" spans="7:97" s="246" customFormat="1" x14ac:dyDescent="0.2">
      <c r="G1210" s="2188"/>
      <c r="BS1210" s="34"/>
      <c r="BT1210" s="34"/>
      <c r="BU1210" s="34"/>
      <c r="BV1210" s="34"/>
      <c r="BW1210" s="34"/>
      <c r="BX1210" s="34"/>
      <c r="BY1210" s="34"/>
      <c r="BZ1210" s="34"/>
      <c r="CA1210" s="34"/>
      <c r="CB1210" s="34"/>
      <c r="CC1210" s="34"/>
      <c r="CD1210" s="34"/>
      <c r="CE1210" s="34"/>
      <c r="CF1210" s="34"/>
      <c r="CG1210" s="34"/>
      <c r="CH1210" s="34"/>
      <c r="CI1210" s="34"/>
      <c r="CJ1210" s="34"/>
      <c r="CK1210" s="34"/>
      <c r="CL1210" s="34"/>
      <c r="CM1210" s="34"/>
      <c r="CN1210" s="34"/>
      <c r="CO1210" s="34"/>
      <c r="CP1210" s="34"/>
      <c r="CQ1210" s="34"/>
      <c r="CR1210" s="34"/>
      <c r="CS1210" s="34"/>
    </row>
    <row r="1211" spans="7:97" s="246" customFormat="1" x14ac:dyDescent="0.2">
      <c r="G1211" s="2188"/>
      <c r="BS1211" s="34"/>
      <c r="BT1211" s="34"/>
      <c r="BU1211" s="34"/>
      <c r="BV1211" s="34"/>
      <c r="BW1211" s="34"/>
      <c r="BX1211" s="34"/>
      <c r="BY1211" s="34"/>
      <c r="BZ1211" s="34"/>
      <c r="CA1211" s="34"/>
      <c r="CB1211" s="34"/>
      <c r="CC1211" s="34"/>
      <c r="CD1211" s="34"/>
      <c r="CE1211" s="34"/>
      <c r="CF1211" s="34"/>
      <c r="CG1211" s="34"/>
      <c r="CH1211" s="34"/>
      <c r="CI1211" s="34"/>
      <c r="CJ1211" s="34"/>
      <c r="CK1211" s="34"/>
      <c r="CL1211" s="34"/>
      <c r="CM1211" s="34"/>
      <c r="CN1211" s="34"/>
      <c r="CO1211" s="34"/>
      <c r="CP1211" s="34"/>
      <c r="CQ1211" s="34"/>
      <c r="CR1211" s="34"/>
      <c r="CS1211" s="34"/>
    </row>
    <row r="1212" spans="7:97" s="246" customFormat="1" x14ac:dyDescent="0.2">
      <c r="G1212" s="2188"/>
      <c r="BS1212" s="34"/>
      <c r="BT1212" s="34"/>
      <c r="BU1212" s="34"/>
      <c r="BV1212" s="34"/>
      <c r="BW1212" s="34"/>
      <c r="BX1212" s="34"/>
      <c r="BY1212" s="34"/>
      <c r="BZ1212" s="34"/>
      <c r="CA1212" s="34"/>
      <c r="CB1212" s="34"/>
      <c r="CC1212" s="34"/>
      <c r="CD1212" s="34"/>
      <c r="CE1212" s="34"/>
      <c r="CF1212" s="34"/>
      <c r="CG1212" s="34"/>
      <c r="CH1212" s="34"/>
      <c r="CI1212" s="34"/>
      <c r="CJ1212" s="34"/>
      <c r="CK1212" s="34"/>
      <c r="CL1212" s="34"/>
      <c r="CM1212" s="34"/>
      <c r="CN1212" s="34"/>
      <c r="CO1212" s="34"/>
      <c r="CP1212" s="34"/>
      <c r="CQ1212" s="34"/>
      <c r="CR1212" s="34"/>
      <c r="CS1212" s="34"/>
    </row>
    <row r="1213" spans="7:97" s="246" customFormat="1" x14ac:dyDescent="0.2">
      <c r="G1213" s="2188"/>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row>
    <row r="1214" spans="7:97" s="246" customFormat="1" x14ac:dyDescent="0.2">
      <c r="G1214" s="2188"/>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row>
    <row r="1215" spans="7:97" s="246" customFormat="1" x14ac:dyDescent="0.2">
      <c r="G1215" s="2188"/>
      <c r="BS1215" s="34"/>
      <c r="BT1215" s="34"/>
      <c r="BU1215" s="34"/>
      <c r="BV1215" s="34"/>
      <c r="BW1215" s="34"/>
      <c r="BX1215" s="34"/>
      <c r="BY1215" s="34"/>
      <c r="BZ1215" s="34"/>
      <c r="CA1215" s="34"/>
      <c r="CB1215" s="34"/>
      <c r="CC1215" s="34"/>
      <c r="CD1215" s="34"/>
      <c r="CE1215" s="34"/>
      <c r="CF1215" s="34"/>
      <c r="CG1215" s="34"/>
      <c r="CH1215" s="34"/>
      <c r="CI1215" s="34"/>
      <c r="CJ1215" s="34"/>
      <c r="CK1215" s="34"/>
      <c r="CL1215" s="34"/>
      <c r="CM1215" s="34"/>
      <c r="CN1215" s="34"/>
      <c r="CO1215" s="34"/>
      <c r="CP1215" s="34"/>
      <c r="CQ1215" s="34"/>
      <c r="CR1215" s="34"/>
      <c r="CS1215" s="34"/>
    </row>
    <row r="1216" spans="7:97" s="246" customFormat="1" x14ac:dyDescent="0.2">
      <c r="G1216" s="2188"/>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row>
    <row r="1217" spans="7:97" s="246" customFormat="1" x14ac:dyDescent="0.2">
      <c r="G1217" s="2188"/>
      <c r="BS1217" s="34"/>
      <c r="BT1217" s="34"/>
      <c r="BU1217" s="34"/>
      <c r="BV1217" s="34"/>
      <c r="BW1217" s="34"/>
      <c r="BX1217" s="34"/>
      <c r="BY1217" s="34"/>
      <c r="BZ1217" s="34"/>
      <c r="CA1217" s="34"/>
      <c r="CB1217" s="34"/>
      <c r="CC1217" s="34"/>
      <c r="CD1217" s="34"/>
      <c r="CE1217" s="34"/>
      <c r="CF1217" s="34"/>
      <c r="CG1217" s="34"/>
      <c r="CH1217" s="34"/>
      <c r="CI1217" s="34"/>
      <c r="CJ1217" s="34"/>
      <c r="CK1217" s="34"/>
      <c r="CL1217" s="34"/>
      <c r="CM1217" s="34"/>
      <c r="CN1217" s="34"/>
      <c r="CO1217" s="34"/>
      <c r="CP1217" s="34"/>
      <c r="CQ1217" s="34"/>
      <c r="CR1217" s="34"/>
      <c r="CS1217" s="34"/>
    </row>
    <row r="1218" spans="7:97" s="246" customFormat="1" x14ac:dyDescent="0.2">
      <c r="G1218" s="2188"/>
      <c r="BS1218" s="34"/>
      <c r="BT1218" s="34"/>
      <c r="BU1218" s="34"/>
      <c r="BV1218" s="34"/>
      <c r="BW1218" s="34"/>
      <c r="BX1218" s="34"/>
      <c r="BY1218" s="34"/>
      <c r="BZ1218" s="34"/>
      <c r="CA1218" s="34"/>
      <c r="CB1218" s="34"/>
      <c r="CC1218" s="34"/>
      <c r="CD1218" s="34"/>
      <c r="CE1218" s="34"/>
      <c r="CF1218" s="34"/>
      <c r="CG1218" s="34"/>
      <c r="CH1218" s="34"/>
      <c r="CI1218" s="34"/>
      <c r="CJ1218" s="34"/>
      <c r="CK1218" s="34"/>
      <c r="CL1218" s="34"/>
      <c r="CM1218" s="34"/>
      <c r="CN1218" s="34"/>
      <c r="CO1218" s="34"/>
      <c r="CP1218" s="34"/>
      <c r="CQ1218" s="34"/>
      <c r="CR1218" s="34"/>
      <c r="CS1218" s="34"/>
    </row>
    <row r="1219" spans="7:97" s="246" customFormat="1" x14ac:dyDescent="0.2">
      <c r="G1219" s="2188"/>
      <c r="BS1219" s="34"/>
      <c r="BT1219" s="34"/>
      <c r="BU1219" s="34"/>
      <c r="BV1219" s="34"/>
      <c r="BW1219" s="34"/>
      <c r="BX1219" s="34"/>
      <c r="BY1219" s="34"/>
      <c r="BZ1219" s="34"/>
      <c r="CA1219" s="34"/>
      <c r="CB1219" s="34"/>
      <c r="CC1219" s="34"/>
      <c r="CD1219" s="34"/>
      <c r="CE1219" s="34"/>
      <c r="CF1219" s="34"/>
      <c r="CG1219" s="34"/>
      <c r="CH1219" s="34"/>
      <c r="CI1219" s="34"/>
      <c r="CJ1219" s="34"/>
      <c r="CK1219" s="34"/>
      <c r="CL1219" s="34"/>
      <c r="CM1219" s="34"/>
      <c r="CN1219" s="34"/>
      <c r="CO1219" s="34"/>
      <c r="CP1219" s="34"/>
      <c r="CQ1219" s="34"/>
      <c r="CR1219" s="34"/>
      <c r="CS1219" s="34"/>
    </row>
    <row r="1220" spans="7:97" s="246" customFormat="1" x14ac:dyDescent="0.2">
      <c r="G1220" s="2188"/>
      <c r="BS1220" s="34"/>
      <c r="BT1220" s="34"/>
      <c r="BU1220" s="34"/>
      <c r="BV1220" s="34"/>
      <c r="BW1220" s="34"/>
      <c r="BX1220" s="34"/>
      <c r="BY1220" s="34"/>
      <c r="BZ1220" s="34"/>
      <c r="CA1220" s="34"/>
      <c r="CB1220" s="34"/>
      <c r="CC1220" s="34"/>
      <c r="CD1220" s="34"/>
      <c r="CE1220" s="34"/>
      <c r="CF1220" s="34"/>
      <c r="CG1220" s="34"/>
      <c r="CH1220" s="34"/>
      <c r="CI1220" s="34"/>
      <c r="CJ1220" s="34"/>
      <c r="CK1220" s="34"/>
      <c r="CL1220" s="34"/>
      <c r="CM1220" s="34"/>
      <c r="CN1220" s="34"/>
      <c r="CO1220" s="34"/>
      <c r="CP1220" s="34"/>
      <c r="CQ1220" s="34"/>
      <c r="CR1220" s="34"/>
      <c r="CS1220" s="34"/>
    </row>
    <row r="1221" spans="7:97" s="246" customFormat="1" x14ac:dyDescent="0.2">
      <c r="G1221" s="2188"/>
      <c r="BS1221" s="34"/>
      <c r="BT1221" s="34"/>
      <c r="BU1221" s="34"/>
      <c r="BV1221" s="34"/>
      <c r="BW1221" s="34"/>
      <c r="BX1221" s="34"/>
      <c r="BY1221" s="34"/>
      <c r="BZ1221" s="34"/>
      <c r="CA1221" s="34"/>
      <c r="CB1221" s="34"/>
      <c r="CC1221" s="34"/>
      <c r="CD1221" s="34"/>
      <c r="CE1221" s="34"/>
      <c r="CF1221" s="34"/>
      <c r="CG1221" s="34"/>
      <c r="CH1221" s="34"/>
      <c r="CI1221" s="34"/>
      <c r="CJ1221" s="34"/>
      <c r="CK1221" s="34"/>
      <c r="CL1221" s="34"/>
      <c r="CM1221" s="34"/>
      <c r="CN1221" s="34"/>
      <c r="CO1221" s="34"/>
      <c r="CP1221" s="34"/>
      <c r="CQ1221" s="34"/>
      <c r="CR1221" s="34"/>
      <c r="CS1221" s="34"/>
    </row>
    <row r="1222" spans="7:97" s="246" customFormat="1" x14ac:dyDescent="0.2">
      <c r="G1222" s="2188"/>
      <c r="BS1222" s="34"/>
      <c r="BT1222" s="34"/>
      <c r="BU1222" s="34"/>
      <c r="BV1222" s="34"/>
      <c r="BW1222" s="34"/>
      <c r="BX1222" s="34"/>
      <c r="BY1222" s="34"/>
      <c r="BZ1222" s="34"/>
      <c r="CA1222" s="34"/>
      <c r="CB1222" s="34"/>
      <c r="CC1222" s="34"/>
      <c r="CD1222" s="34"/>
      <c r="CE1222" s="34"/>
      <c r="CF1222" s="34"/>
      <c r="CG1222" s="34"/>
      <c r="CH1222" s="34"/>
      <c r="CI1222" s="34"/>
      <c r="CJ1222" s="34"/>
      <c r="CK1222" s="34"/>
      <c r="CL1222" s="34"/>
      <c r="CM1222" s="34"/>
      <c r="CN1222" s="34"/>
      <c r="CO1222" s="34"/>
      <c r="CP1222" s="34"/>
      <c r="CQ1222" s="34"/>
      <c r="CR1222" s="34"/>
      <c r="CS1222" s="34"/>
    </row>
    <row r="1223" spans="7:97" s="246" customFormat="1" x14ac:dyDescent="0.2">
      <c r="G1223" s="2188"/>
      <c r="BS1223" s="34"/>
      <c r="BT1223" s="34"/>
      <c r="BU1223" s="34"/>
      <c r="BV1223" s="34"/>
      <c r="BW1223" s="34"/>
      <c r="BX1223" s="34"/>
      <c r="BY1223" s="34"/>
      <c r="BZ1223" s="34"/>
      <c r="CA1223" s="34"/>
      <c r="CB1223" s="34"/>
      <c r="CC1223" s="34"/>
      <c r="CD1223" s="34"/>
      <c r="CE1223" s="34"/>
      <c r="CF1223" s="34"/>
      <c r="CG1223" s="34"/>
      <c r="CH1223" s="34"/>
      <c r="CI1223" s="34"/>
      <c r="CJ1223" s="34"/>
      <c r="CK1223" s="34"/>
      <c r="CL1223" s="34"/>
      <c r="CM1223" s="34"/>
      <c r="CN1223" s="34"/>
      <c r="CO1223" s="34"/>
      <c r="CP1223" s="34"/>
      <c r="CQ1223" s="34"/>
      <c r="CR1223" s="34"/>
      <c r="CS1223" s="34"/>
    </row>
    <row r="1224" spans="7:97" s="246" customFormat="1" x14ac:dyDescent="0.2">
      <c r="G1224" s="2188"/>
      <c r="BS1224" s="34"/>
      <c r="BT1224" s="34"/>
      <c r="BU1224" s="34"/>
      <c r="BV1224" s="34"/>
      <c r="BW1224" s="34"/>
      <c r="BX1224" s="34"/>
      <c r="BY1224" s="34"/>
      <c r="BZ1224" s="34"/>
      <c r="CA1224" s="34"/>
      <c r="CB1224" s="34"/>
      <c r="CC1224" s="34"/>
      <c r="CD1224" s="34"/>
      <c r="CE1224" s="34"/>
      <c r="CF1224" s="34"/>
      <c r="CG1224" s="34"/>
      <c r="CH1224" s="34"/>
      <c r="CI1224" s="34"/>
      <c r="CJ1224" s="34"/>
      <c r="CK1224" s="34"/>
      <c r="CL1224" s="34"/>
      <c r="CM1224" s="34"/>
      <c r="CN1224" s="34"/>
      <c r="CO1224" s="34"/>
      <c r="CP1224" s="34"/>
      <c r="CQ1224" s="34"/>
      <c r="CR1224" s="34"/>
      <c r="CS1224" s="34"/>
    </row>
    <row r="1225" spans="7:97" s="246" customFormat="1" x14ac:dyDescent="0.2">
      <c r="G1225" s="2188"/>
      <c r="BS1225" s="34"/>
      <c r="BT1225" s="34"/>
      <c r="BU1225" s="34"/>
      <c r="BV1225" s="34"/>
      <c r="BW1225" s="34"/>
      <c r="BX1225" s="34"/>
      <c r="BY1225" s="34"/>
      <c r="BZ1225" s="34"/>
      <c r="CA1225" s="34"/>
      <c r="CB1225" s="34"/>
      <c r="CC1225" s="34"/>
      <c r="CD1225" s="34"/>
      <c r="CE1225" s="34"/>
      <c r="CF1225" s="34"/>
      <c r="CG1225" s="34"/>
      <c r="CH1225" s="34"/>
      <c r="CI1225" s="34"/>
      <c r="CJ1225" s="34"/>
      <c r="CK1225" s="34"/>
      <c r="CL1225" s="34"/>
      <c r="CM1225" s="34"/>
      <c r="CN1225" s="34"/>
      <c r="CO1225" s="34"/>
      <c r="CP1225" s="34"/>
      <c r="CQ1225" s="34"/>
      <c r="CR1225" s="34"/>
      <c r="CS1225" s="34"/>
    </row>
    <row r="1226" spans="7:97" s="246" customFormat="1" x14ac:dyDescent="0.2">
      <c r="G1226" s="2188"/>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row>
    <row r="1227" spans="7:97" s="246" customFormat="1" x14ac:dyDescent="0.2">
      <c r="G1227" s="2188"/>
      <c r="BS1227" s="34"/>
      <c r="BT1227" s="34"/>
      <c r="BU1227" s="34"/>
      <c r="BV1227" s="34"/>
      <c r="BW1227" s="34"/>
      <c r="BX1227" s="34"/>
      <c r="BY1227" s="34"/>
      <c r="BZ1227" s="34"/>
      <c r="CA1227" s="34"/>
      <c r="CB1227" s="34"/>
      <c r="CC1227" s="34"/>
      <c r="CD1227" s="34"/>
      <c r="CE1227" s="34"/>
      <c r="CF1227" s="34"/>
      <c r="CG1227" s="34"/>
      <c r="CH1227" s="34"/>
      <c r="CI1227" s="34"/>
      <c r="CJ1227" s="34"/>
      <c r="CK1227" s="34"/>
      <c r="CL1227" s="34"/>
      <c r="CM1227" s="34"/>
      <c r="CN1227" s="34"/>
      <c r="CO1227" s="34"/>
      <c r="CP1227" s="34"/>
      <c r="CQ1227" s="34"/>
      <c r="CR1227" s="34"/>
      <c r="CS1227" s="34"/>
    </row>
    <row r="1228" spans="7:97" s="246" customFormat="1" x14ac:dyDescent="0.2">
      <c r="G1228" s="2188"/>
      <c r="BS1228" s="34"/>
      <c r="BT1228" s="34"/>
      <c r="BU1228" s="34"/>
      <c r="BV1228" s="34"/>
      <c r="BW1228" s="34"/>
      <c r="BX1228" s="34"/>
      <c r="BY1228" s="34"/>
      <c r="BZ1228" s="34"/>
      <c r="CA1228" s="34"/>
      <c r="CB1228" s="34"/>
      <c r="CC1228" s="34"/>
      <c r="CD1228" s="34"/>
      <c r="CE1228" s="34"/>
      <c r="CF1228" s="34"/>
      <c r="CG1228" s="34"/>
      <c r="CH1228" s="34"/>
      <c r="CI1228" s="34"/>
      <c r="CJ1228" s="34"/>
      <c r="CK1228" s="34"/>
      <c r="CL1228" s="34"/>
      <c r="CM1228" s="34"/>
      <c r="CN1228" s="34"/>
      <c r="CO1228" s="34"/>
      <c r="CP1228" s="34"/>
      <c r="CQ1228" s="34"/>
      <c r="CR1228" s="34"/>
      <c r="CS1228" s="34"/>
    </row>
    <row r="1229" spans="7:97" s="246" customFormat="1" x14ac:dyDescent="0.2">
      <c r="G1229" s="2188"/>
      <c r="BS1229" s="34"/>
      <c r="BT1229" s="34"/>
      <c r="BU1229" s="34"/>
      <c r="BV1229" s="34"/>
      <c r="BW1229" s="34"/>
      <c r="BX1229" s="34"/>
      <c r="BY1229" s="34"/>
      <c r="BZ1229" s="34"/>
      <c r="CA1229" s="34"/>
      <c r="CB1229" s="34"/>
      <c r="CC1229" s="34"/>
      <c r="CD1229" s="34"/>
      <c r="CE1229" s="34"/>
      <c r="CF1229" s="34"/>
      <c r="CG1229" s="34"/>
      <c r="CH1229" s="34"/>
      <c r="CI1229" s="34"/>
      <c r="CJ1229" s="34"/>
      <c r="CK1229" s="34"/>
      <c r="CL1229" s="34"/>
      <c r="CM1229" s="34"/>
      <c r="CN1229" s="34"/>
      <c r="CO1229" s="34"/>
      <c r="CP1229" s="34"/>
      <c r="CQ1229" s="34"/>
      <c r="CR1229" s="34"/>
      <c r="CS1229" s="34"/>
    </row>
    <row r="1230" spans="7:97" s="246" customFormat="1" x14ac:dyDescent="0.2">
      <c r="G1230" s="2188"/>
      <c r="BS1230" s="34"/>
      <c r="BT1230" s="34"/>
      <c r="BU1230" s="34"/>
      <c r="BV1230" s="34"/>
      <c r="BW1230" s="34"/>
      <c r="BX1230" s="34"/>
      <c r="BY1230" s="34"/>
      <c r="BZ1230" s="34"/>
      <c r="CA1230" s="34"/>
      <c r="CB1230" s="34"/>
      <c r="CC1230" s="34"/>
      <c r="CD1230" s="34"/>
      <c r="CE1230" s="34"/>
      <c r="CF1230" s="34"/>
      <c r="CG1230" s="34"/>
      <c r="CH1230" s="34"/>
      <c r="CI1230" s="34"/>
      <c r="CJ1230" s="34"/>
      <c r="CK1230" s="34"/>
      <c r="CL1230" s="34"/>
      <c r="CM1230" s="34"/>
      <c r="CN1230" s="34"/>
      <c r="CO1230" s="34"/>
      <c r="CP1230" s="34"/>
      <c r="CQ1230" s="34"/>
      <c r="CR1230" s="34"/>
      <c r="CS1230" s="34"/>
    </row>
    <row r="1231" spans="7:97" s="246" customFormat="1" x14ac:dyDescent="0.2">
      <c r="G1231" s="2188"/>
      <c r="BS1231" s="34"/>
      <c r="BT1231" s="34"/>
      <c r="BU1231" s="34"/>
      <c r="BV1231" s="34"/>
      <c r="BW1231" s="34"/>
      <c r="BX1231" s="34"/>
      <c r="BY1231" s="34"/>
      <c r="BZ1231" s="34"/>
      <c r="CA1231" s="34"/>
      <c r="CB1231" s="34"/>
      <c r="CC1231" s="34"/>
      <c r="CD1231" s="34"/>
      <c r="CE1231" s="34"/>
      <c r="CF1231" s="34"/>
      <c r="CG1231" s="34"/>
      <c r="CH1231" s="34"/>
      <c r="CI1231" s="34"/>
      <c r="CJ1231" s="34"/>
      <c r="CK1231" s="34"/>
      <c r="CL1231" s="34"/>
      <c r="CM1231" s="34"/>
      <c r="CN1231" s="34"/>
      <c r="CO1231" s="34"/>
      <c r="CP1231" s="34"/>
      <c r="CQ1231" s="34"/>
      <c r="CR1231" s="34"/>
      <c r="CS1231" s="34"/>
    </row>
    <row r="1232" spans="7:97" s="246" customFormat="1" x14ac:dyDescent="0.2">
      <c r="G1232" s="2188"/>
      <c r="BS1232" s="34"/>
      <c r="BT1232" s="34"/>
      <c r="BU1232" s="34"/>
      <c r="BV1232" s="34"/>
      <c r="BW1232" s="34"/>
      <c r="BX1232" s="34"/>
      <c r="BY1232" s="34"/>
      <c r="BZ1232" s="34"/>
      <c r="CA1232" s="34"/>
      <c r="CB1232" s="34"/>
      <c r="CC1232" s="34"/>
      <c r="CD1232" s="34"/>
      <c r="CE1232" s="34"/>
      <c r="CF1232" s="34"/>
      <c r="CG1232" s="34"/>
      <c r="CH1232" s="34"/>
      <c r="CI1232" s="34"/>
      <c r="CJ1232" s="34"/>
      <c r="CK1232" s="34"/>
      <c r="CL1232" s="34"/>
      <c r="CM1232" s="34"/>
      <c r="CN1232" s="34"/>
      <c r="CO1232" s="34"/>
      <c r="CP1232" s="34"/>
      <c r="CQ1232" s="34"/>
      <c r="CR1232" s="34"/>
      <c r="CS1232" s="34"/>
    </row>
    <row r="1233" spans="7:97" s="246" customFormat="1" x14ac:dyDescent="0.2">
      <c r="G1233" s="2188"/>
      <c r="BS1233" s="34"/>
      <c r="BT1233" s="34"/>
      <c r="BU1233" s="34"/>
      <c r="BV1233" s="34"/>
      <c r="BW1233" s="34"/>
      <c r="BX1233" s="34"/>
      <c r="BY1233" s="34"/>
      <c r="BZ1233" s="34"/>
      <c r="CA1233" s="34"/>
      <c r="CB1233" s="34"/>
      <c r="CC1233" s="34"/>
      <c r="CD1233" s="34"/>
      <c r="CE1233" s="34"/>
      <c r="CF1233" s="34"/>
      <c r="CG1233" s="34"/>
      <c r="CH1233" s="34"/>
      <c r="CI1233" s="34"/>
      <c r="CJ1233" s="34"/>
      <c r="CK1233" s="34"/>
      <c r="CL1233" s="34"/>
      <c r="CM1233" s="34"/>
      <c r="CN1233" s="34"/>
      <c r="CO1233" s="34"/>
      <c r="CP1233" s="34"/>
      <c r="CQ1233" s="34"/>
      <c r="CR1233" s="34"/>
      <c r="CS1233" s="34"/>
    </row>
    <row r="1234" spans="7:97" s="246" customFormat="1" x14ac:dyDescent="0.2">
      <c r="G1234" s="2188"/>
      <c r="BS1234" s="34"/>
      <c r="BT1234" s="34"/>
      <c r="BU1234" s="34"/>
      <c r="BV1234" s="34"/>
      <c r="BW1234" s="34"/>
      <c r="BX1234" s="34"/>
      <c r="BY1234" s="34"/>
      <c r="BZ1234" s="34"/>
      <c r="CA1234" s="34"/>
      <c r="CB1234" s="34"/>
      <c r="CC1234" s="34"/>
      <c r="CD1234" s="34"/>
      <c r="CE1234" s="34"/>
      <c r="CF1234" s="34"/>
      <c r="CG1234" s="34"/>
      <c r="CH1234" s="34"/>
      <c r="CI1234" s="34"/>
      <c r="CJ1234" s="34"/>
      <c r="CK1234" s="34"/>
      <c r="CL1234" s="34"/>
      <c r="CM1234" s="34"/>
      <c r="CN1234" s="34"/>
      <c r="CO1234" s="34"/>
      <c r="CP1234" s="34"/>
      <c r="CQ1234" s="34"/>
      <c r="CR1234" s="34"/>
      <c r="CS1234" s="34"/>
    </row>
    <row r="1235" spans="7:97" s="246" customFormat="1" x14ac:dyDescent="0.2">
      <c r="G1235" s="2188"/>
      <c r="BS1235" s="34"/>
      <c r="BT1235" s="34"/>
      <c r="BU1235" s="34"/>
      <c r="BV1235" s="34"/>
      <c r="BW1235" s="34"/>
      <c r="BX1235" s="34"/>
      <c r="BY1235" s="34"/>
      <c r="BZ1235" s="34"/>
      <c r="CA1235" s="34"/>
      <c r="CB1235" s="34"/>
      <c r="CC1235" s="34"/>
      <c r="CD1235" s="34"/>
      <c r="CE1235" s="34"/>
      <c r="CF1235" s="34"/>
      <c r="CG1235" s="34"/>
      <c r="CH1235" s="34"/>
      <c r="CI1235" s="34"/>
      <c r="CJ1235" s="34"/>
      <c r="CK1235" s="34"/>
      <c r="CL1235" s="34"/>
      <c r="CM1235" s="34"/>
      <c r="CN1235" s="34"/>
      <c r="CO1235" s="34"/>
      <c r="CP1235" s="34"/>
      <c r="CQ1235" s="34"/>
      <c r="CR1235" s="34"/>
      <c r="CS1235" s="34"/>
    </row>
    <row r="1236" spans="7:97" s="246" customFormat="1" x14ac:dyDescent="0.2">
      <c r="G1236" s="2188"/>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row>
    <row r="1237" spans="7:97" s="246" customFormat="1" x14ac:dyDescent="0.2">
      <c r="G1237" s="2188"/>
      <c r="BS1237" s="34"/>
      <c r="BT1237" s="34"/>
      <c r="BU1237" s="34"/>
      <c r="BV1237" s="34"/>
      <c r="BW1237" s="34"/>
      <c r="BX1237" s="34"/>
      <c r="BY1237" s="34"/>
      <c r="BZ1237" s="34"/>
      <c r="CA1237" s="34"/>
      <c r="CB1237" s="34"/>
      <c r="CC1237" s="34"/>
      <c r="CD1237" s="34"/>
      <c r="CE1237" s="34"/>
      <c r="CF1237" s="34"/>
      <c r="CG1237" s="34"/>
      <c r="CH1237" s="34"/>
      <c r="CI1237" s="34"/>
      <c r="CJ1237" s="34"/>
      <c r="CK1237" s="34"/>
      <c r="CL1237" s="34"/>
      <c r="CM1237" s="34"/>
      <c r="CN1237" s="34"/>
      <c r="CO1237" s="34"/>
      <c r="CP1237" s="34"/>
      <c r="CQ1237" s="34"/>
      <c r="CR1237" s="34"/>
      <c r="CS1237" s="34"/>
    </row>
    <row r="1238" spans="7:97" s="246" customFormat="1" x14ac:dyDescent="0.2">
      <c r="G1238" s="2188"/>
      <c r="BS1238" s="34"/>
      <c r="BT1238" s="34"/>
      <c r="BU1238" s="34"/>
      <c r="BV1238" s="34"/>
      <c r="BW1238" s="34"/>
      <c r="BX1238" s="34"/>
      <c r="BY1238" s="34"/>
      <c r="BZ1238" s="34"/>
      <c r="CA1238" s="34"/>
      <c r="CB1238" s="34"/>
      <c r="CC1238" s="34"/>
      <c r="CD1238" s="34"/>
      <c r="CE1238" s="34"/>
      <c r="CF1238" s="34"/>
      <c r="CG1238" s="34"/>
      <c r="CH1238" s="34"/>
      <c r="CI1238" s="34"/>
      <c r="CJ1238" s="34"/>
      <c r="CK1238" s="34"/>
      <c r="CL1238" s="34"/>
      <c r="CM1238" s="34"/>
      <c r="CN1238" s="34"/>
      <c r="CO1238" s="34"/>
      <c r="CP1238" s="34"/>
      <c r="CQ1238" s="34"/>
      <c r="CR1238" s="34"/>
      <c r="CS1238" s="34"/>
    </row>
    <row r="1239" spans="7:97" s="246" customFormat="1" x14ac:dyDescent="0.2">
      <c r="G1239" s="2188"/>
      <c r="BS1239" s="34"/>
      <c r="BT1239" s="34"/>
      <c r="BU1239" s="34"/>
      <c r="BV1239" s="34"/>
      <c r="BW1239" s="34"/>
      <c r="BX1239" s="34"/>
      <c r="BY1239" s="34"/>
      <c r="BZ1239" s="34"/>
      <c r="CA1239" s="34"/>
      <c r="CB1239" s="34"/>
      <c r="CC1239" s="34"/>
      <c r="CD1239" s="34"/>
      <c r="CE1239" s="34"/>
      <c r="CF1239" s="34"/>
      <c r="CG1239" s="34"/>
      <c r="CH1239" s="34"/>
      <c r="CI1239" s="34"/>
      <c r="CJ1239" s="34"/>
      <c r="CK1239" s="34"/>
      <c r="CL1239" s="34"/>
      <c r="CM1239" s="34"/>
      <c r="CN1239" s="34"/>
      <c r="CO1239" s="34"/>
      <c r="CP1239" s="34"/>
      <c r="CQ1239" s="34"/>
      <c r="CR1239" s="34"/>
      <c r="CS1239" s="34"/>
    </row>
    <row r="1240" spans="7:97" s="246" customFormat="1" x14ac:dyDescent="0.2">
      <c r="G1240" s="2188"/>
      <c r="BS1240" s="34"/>
      <c r="BT1240" s="34"/>
      <c r="BU1240" s="34"/>
      <c r="BV1240" s="34"/>
      <c r="BW1240" s="34"/>
      <c r="BX1240" s="34"/>
      <c r="BY1240" s="34"/>
      <c r="BZ1240" s="34"/>
      <c r="CA1240" s="34"/>
      <c r="CB1240" s="34"/>
      <c r="CC1240" s="34"/>
      <c r="CD1240" s="34"/>
      <c r="CE1240" s="34"/>
      <c r="CF1240" s="34"/>
      <c r="CG1240" s="34"/>
      <c r="CH1240" s="34"/>
      <c r="CI1240" s="34"/>
      <c r="CJ1240" s="34"/>
      <c r="CK1240" s="34"/>
      <c r="CL1240" s="34"/>
      <c r="CM1240" s="34"/>
      <c r="CN1240" s="34"/>
      <c r="CO1240" s="34"/>
      <c r="CP1240" s="34"/>
      <c r="CQ1240" s="34"/>
      <c r="CR1240" s="34"/>
      <c r="CS1240" s="34"/>
    </row>
    <row r="1241" spans="7:97" s="246" customFormat="1" x14ac:dyDescent="0.2">
      <c r="G1241" s="2188"/>
      <c r="BS1241" s="34"/>
      <c r="BT1241" s="34"/>
      <c r="BU1241" s="34"/>
      <c r="BV1241" s="34"/>
      <c r="BW1241" s="34"/>
      <c r="BX1241" s="34"/>
      <c r="BY1241" s="34"/>
      <c r="BZ1241" s="34"/>
      <c r="CA1241" s="34"/>
      <c r="CB1241" s="34"/>
      <c r="CC1241" s="34"/>
      <c r="CD1241" s="34"/>
      <c r="CE1241" s="34"/>
      <c r="CF1241" s="34"/>
      <c r="CG1241" s="34"/>
      <c r="CH1241" s="34"/>
      <c r="CI1241" s="34"/>
      <c r="CJ1241" s="34"/>
      <c r="CK1241" s="34"/>
      <c r="CL1241" s="34"/>
      <c r="CM1241" s="34"/>
      <c r="CN1241" s="34"/>
      <c r="CO1241" s="34"/>
      <c r="CP1241" s="34"/>
      <c r="CQ1241" s="34"/>
      <c r="CR1241" s="34"/>
      <c r="CS1241" s="34"/>
    </row>
    <row r="1242" spans="7:97" s="246" customFormat="1" x14ac:dyDescent="0.2">
      <c r="G1242" s="2188"/>
      <c r="BS1242" s="34"/>
      <c r="BT1242" s="34"/>
      <c r="BU1242" s="34"/>
      <c r="BV1242" s="34"/>
      <c r="BW1242" s="34"/>
      <c r="BX1242" s="34"/>
      <c r="BY1242" s="34"/>
      <c r="BZ1242" s="34"/>
      <c r="CA1242" s="34"/>
      <c r="CB1242" s="34"/>
      <c r="CC1242" s="34"/>
      <c r="CD1242" s="34"/>
      <c r="CE1242" s="34"/>
      <c r="CF1242" s="34"/>
      <c r="CG1242" s="34"/>
      <c r="CH1242" s="34"/>
      <c r="CI1242" s="34"/>
      <c r="CJ1242" s="34"/>
      <c r="CK1242" s="34"/>
      <c r="CL1242" s="34"/>
      <c r="CM1242" s="34"/>
      <c r="CN1242" s="34"/>
      <c r="CO1242" s="34"/>
      <c r="CP1242" s="34"/>
      <c r="CQ1242" s="34"/>
      <c r="CR1242" s="34"/>
      <c r="CS1242" s="34"/>
    </row>
    <row r="1243" spans="7:97" s="246" customFormat="1" x14ac:dyDescent="0.2">
      <c r="G1243" s="2188"/>
      <c r="BS1243" s="34"/>
      <c r="BT1243" s="34"/>
      <c r="BU1243" s="34"/>
      <c r="BV1243" s="34"/>
      <c r="BW1243" s="34"/>
      <c r="BX1243" s="34"/>
      <c r="BY1243" s="34"/>
      <c r="BZ1243" s="34"/>
      <c r="CA1243" s="34"/>
      <c r="CB1243" s="34"/>
      <c r="CC1243" s="34"/>
      <c r="CD1243" s="34"/>
      <c r="CE1243" s="34"/>
      <c r="CF1243" s="34"/>
      <c r="CG1243" s="34"/>
      <c r="CH1243" s="34"/>
      <c r="CI1243" s="34"/>
      <c r="CJ1243" s="34"/>
      <c r="CK1243" s="34"/>
      <c r="CL1243" s="34"/>
      <c r="CM1243" s="34"/>
      <c r="CN1243" s="34"/>
      <c r="CO1243" s="34"/>
      <c r="CP1243" s="34"/>
      <c r="CQ1243" s="34"/>
      <c r="CR1243" s="34"/>
      <c r="CS1243" s="34"/>
    </row>
    <row r="1244" spans="7:97" s="246" customFormat="1" x14ac:dyDescent="0.2">
      <c r="G1244" s="2188"/>
      <c r="BS1244" s="34"/>
      <c r="BT1244" s="34"/>
      <c r="BU1244" s="34"/>
      <c r="BV1244" s="34"/>
      <c r="BW1244" s="34"/>
      <c r="BX1244" s="34"/>
      <c r="BY1244" s="34"/>
      <c r="BZ1244" s="34"/>
      <c r="CA1244" s="34"/>
      <c r="CB1244" s="34"/>
      <c r="CC1244" s="34"/>
      <c r="CD1244" s="34"/>
      <c r="CE1244" s="34"/>
      <c r="CF1244" s="34"/>
      <c r="CG1244" s="34"/>
      <c r="CH1244" s="34"/>
      <c r="CI1244" s="34"/>
      <c r="CJ1244" s="34"/>
      <c r="CK1244" s="34"/>
      <c r="CL1244" s="34"/>
      <c r="CM1244" s="34"/>
      <c r="CN1244" s="34"/>
      <c r="CO1244" s="34"/>
      <c r="CP1244" s="34"/>
      <c r="CQ1244" s="34"/>
      <c r="CR1244" s="34"/>
      <c r="CS1244" s="34"/>
    </row>
    <row r="1245" spans="7:97" s="246" customFormat="1" x14ac:dyDescent="0.2">
      <c r="G1245" s="2188"/>
      <c r="BS1245" s="34"/>
      <c r="BT1245" s="34"/>
      <c r="BU1245" s="34"/>
      <c r="BV1245" s="34"/>
      <c r="BW1245" s="34"/>
      <c r="BX1245" s="34"/>
      <c r="BY1245" s="34"/>
      <c r="BZ1245" s="34"/>
      <c r="CA1245" s="34"/>
      <c r="CB1245" s="34"/>
      <c r="CC1245" s="34"/>
      <c r="CD1245" s="34"/>
      <c r="CE1245" s="34"/>
      <c r="CF1245" s="34"/>
      <c r="CG1245" s="34"/>
      <c r="CH1245" s="34"/>
      <c r="CI1245" s="34"/>
      <c r="CJ1245" s="34"/>
      <c r="CK1245" s="34"/>
      <c r="CL1245" s="34"/>
      <c r="CM1245" s="34"/>
      <c r="CN1245" s="34"/>
      <c r="CO1245" s="34"/>
      <c r="CP1245" s="34"/>
      <c r="CQ1245" s="34"/>
      <c r="CR1245" s="34"/>
      <c r="CS1245" s="34"/>
    </row>
    <row r="1246" spans="7:97" s="246" customFormat="1" x14ac:dyDescent="0.2">
      <c r="G1246" s="2188"/>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row>
    <row r="1247" spans="7:97" s="246" customFormat="1" x14ac:dyDescent="0.2">
      <c r="G1247" s="2188"/>
      <c r="BS1247" s="34"/>
      <c r="BT1247" s="34"/>
      <c r="BU1247" s="34"/>
      <c r="BV1247" s="34"/>
      <c r="BW1247" s="34"/>
      <c r="BX1247" s="34"/>
      <c r="BY1247" s="34"/>
      <c r="BZ1247" s="34"/>
      <c r="CA1247" s="34"/>
      <c r="CB1247" s="34"/>
      <c r="CC1247" s="34"/>
      <c r="CD1247" s="34"/>
      <c r="CE1247" s="34"/>
      <c r="CF1247" s="34"/>
      <c r="CG1247" s="34"/>
      <c r="CH1247" s="34"/>
      <c r="CI1247" s="34"/>
      <c r="CJ1247" s="34"/>
      <c r="CK1247" s="34"/>
      <c r="CL1247" s="34"/>
      <c r="CM1247" s="34"/>
      <c r="CN1247" s="34"/>
      <c r="CO1247" s="34"/>
      <c r="CP1247" s="34"/>
      <c r="CQ1247" s="34"/>
      <c r="CR1247" s="34"/>
      <c r="CS1247" s="34"/>
    </row>
    <row r="1248" spans="7:97" s="246" customFormat="1" x14ac:dyDescent="0.2">
      <c r="G1248" s="2188"/>
      <c r="BS1248" s="34"/>
      <c r="BT1248" s="34"/>
      <c r="BU1248" s="34"/>
      <c r="BV1248" s="34"/>
      <c r="BW1248" s="34"/>
      <c r="BX1248" s="34"/>
      <c r="BY1248" s="34"/>
      <c r="BZ1248" s="34"/>
      <c r="CA1248" s="34"/>
      <c r="CB1248" s="34"/>
      <c r="CC1248" s="34"/>
      <c r="CD1248" s="34"/>
      <c r="CE1248" s="34"/>
      <c r="CF1248" s="34"/>
      <c r="CG1248" s="34"/>
      <c r="CH1248" s="34"/>
      <c r="CI1248" s="34"/>
      <c r="CJ1248" s="34"/>
      <c r="CK1248" s="34"/>
      <c r="CL1248" s="34"/>
      <c r="CM1248" s="34"/>
      <c r="CN1248" s="34"/>
      <c r="CO1248" s="34"/>
      <c r="CP1248" s="34"/>
      <c r="CQ1248" s="34"/>
      <c r="CR1248" s="34"/>
      <c r="CS1248" s="34"/>
    </row>
    <row r="1249" spans="7:97" s="246" customFormat="1" x14ac:dyDescent="0.2">
      <c r="G1249" s="2188"/>
      <c r="BS1249" s="34"/>
      <c r="BT1249" s="34"/>
      <c r="BU1249" s="34"/>
      <c r="BV1249" s="34"/>
      <c r="BW1249" s="34"/>
      <c r="BX1249" s="34"/>
      <c r="BY1249" s="34"/>
      <c r="BZ1249" s="34"/>
      <c r="CA1249" s="34"/>
      <c r="CB1249" s="34"/>
      <c r="CC1249" s="34"/>
      <c r="CD1249" s="34"/>
      <c r="CE1249" s="34"/>
      <c r="CF1249" s="34"/>
      <c r="CG1249" s="34"/>
      <c r="CH1249" s="34"/>
      <c r="CI1249" s="34"/>
      <c r="CJ1249" s="34"/>
      <c r="CK1249" s="34"/>
      <c r="CL1249" s="34"/>
      <c r="CM1249" s="34"/>
      <c r="CN1249" s="34"/>
      <c r="CO1249" s="34"/>
      <c r="CP1249" s="34"/>
      <c r="CQ1249" s="34"/>
      <c r="CR1249" s="34"/>
      <c r="CS1249" s="34"/>
    </row>
    <row r="1250" spans="7:97" s="246" customFormat="1" x14ac:dyDescent="0.2">
      <c r="G1250" s="2188"/>
      <c r="BS1250" s="34"/>
      <c r="BT1250" s="34"/>
      <c r="BU1250" s="34"/>
      <c r="BV1250" s="34"/>
      <c r="BW1250" s="34"/>
      <c r="BX1250" s="34"/>
      <c r="BY1250" s="34"/>
      <c r="BZ1250" s="34"/>
      <c r="CA1250" s="34"/>
      <c r="CB1250" s="34"/>
      <c r="CC1250" s="34"/>
      <c r="CD1250" s="34"/>
      <c r="CE1250" s="34"/>
      <c r="CF1250" s="34"/>
      <c r="CG1250" s="34"/>
      <c r="CH1250" s="34"/>
      <c r="CI1250" s="34"/>
      <c r="CJ1250" s="34"/>
      <c r="CK1250" s="34"/>
      <c r="CL1250" s="34"/>
      <c r="CM1250" s="34"/>
      <c r="CN1250" s="34"/>
      <c r="CO1250" s="34"/>
      <c r="CP1250" s="34"/>
      <c r="CQ1250" s="34"/>
      <c r="CR1250" s="34"/>
      <c r="CS1250" s="34"/>
    </row>
    <row r="1251" spans="7:97" s="246" customFormat="1" x14ac:dyDescent="0.2">
      <c r="G1251" s="2188"/>
      <c r="BS1251" s="34"/>
      <c r="BT1251" s="34"/>
      <c r="BU1251" s="34"/>
      <c r="BV1251" s="34"/>
      <c r="BW1251" s="34"/>
      <c r="BX1251" s="34"/>
      <c r="BY1251" s="34"/>
      <c r="BZ1251" s="34"/>
      <c r="CA1251" s="34"/>
      <c r="CB1251" s="34"/>
      <c r="CC1251" s="34"/>
      <c r="CD1251" s="34"/>
      <c r="CE1251" s="34"/>
      <c r="CF1251" s="34"/>
      <c r="CG1251" s="34"/>
      <c r="CH1251" s="34"/>
      <c r="CI1251" s="34"/>
      <c r="CJ1251" s="34"/>
      <c r="CK1251" s="34"/>
      <c r="CL1251" s="34"/>
      <c r="CM1251" s="34"/>
      <c r="CN1251" s="34"/>
      <c r="CO1251" s="34"/>
      <c r="CP1251" s="34"/>
      <c r="CQ1251" s="34"/>
      <c r="CR1251" s="34"/>
      <c r="CS1251" s="34"/>
    </row>
    <row r="1252" spans="7:97" s="246" customFormat="1" x14ac:dyDescent="0.2">
      <c r="G1252" s="2188"/>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row>
    <row r="1253" spans="7:97" s="246" customFormat="1" x14ac:dyDescent="0.2">
      <c r="G1253" s="2188"/>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row>
    <row r="1254" spans="7:97" s="246" customFormat="1" x14ac:dyDescent="0.2">
      <c r="G1254" s="2188"/>
      <c r="BS1254" s="34"/>
      <c r="BT1254" s="34"/>
      <c r="BU1254" s="34"/>
      <c r="BV1254" s="34"/>
      <c r="BW1254" s="34"/>
      <c r="BX1254" s="34"/>
      <c r="BY1254" s="34"/>
      <c r="BZ1254" s="34"/>
      <c r="CA1254" s="34"/>
      <c r="CB1254" s="34"/>
      <c r="CC1254" s="34"/>
      <c r="CD1254" s="34"/>
      <c r="CE1254" s="34"/>
      <c r="CF1254" s="34"/>
      <c r="CG1254" s="34"/>
      <c r="CH1254" s="34"/>
      <c r="CI1254" s="34"/>
      <c r="CJ1254" s="34"/>
      <c r="CK1254" s="34"/>
      <c r="CL1254" s="34"/>
      <c r="CM1254" s="34"/>
      <c r="CN1254" s="34"/>
      <c r="CO1254" s="34"/>
      <c r="CP1254" s="34"/>
      <c r="CQ1254" s="34"/>
      <c r="CR1254" s="34"/>
      <c r="CS1254" s="34"/>
    </row>
    <row r="1255" spans="7:97" s="246" customFormat="1" x14ac:dyDescent="0.2">
      <c r="G1255" s="2188"/>
      <c r="BS1255" s="34"/>
      <c r="BT1255" s="34"/>
      <c r="BU1255" s="34"/>
      <c r="BV1255" s="34"/>
      <c r="BW1255" s="34"/>
      <c r="BX1255" s="34"/>
      <c r="BY1255" s="34"/>
      <c r="BZ1255" s="34"/>
      <c r="CA1255" s="34"/>
      <c r="CB1255" s="34"/>
      <c r="CC1255" s="34"/>
      <c r="CD1255" s="34"/>
      <c r="CE1255" s="34"/>
      <c r="CF1255" s="34"/>
      <c r="CG1255" s="34"/>
      <c r="CH1255" s="34"/>
      <c r="CI1255" s="34"/>
      <c r="CJ1255" s="34"/>
      <c r="CK1255" s="34"/>
      <c r="CL1255" s="34"/>
      <c r="CM1255" s="34"/>
      <c r="CN1255" s="34"/>
      <c r="CO1255" s="34"/>
      <c r="CP1255" s="34"/>
      <c r="CQ1255" s="34"/>
      <c r="CR1255" s="34"/>
      <c r="CS1255" s="34"/>
    </row>
    <row r="1256" spans="7:97" s="246" customFormat="1" x14ac:dyDescent="0.2">
      <c r="G1256" s="2188"/>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row>
    <row r="1257" spans="7:97" s="246" customFormat="1" x14ac:dyDescent="0.2">
      <c r="G1257" s="2188"/>
      <c r="BS1257" s="34"/>
      <c r="BT1257" s="34"/>
      <c r="BU1257" s="34"/>
      <c r="BV1257" s="34"/>
      <c r="BW1257" s="34"/>
      <c r="BX1257" s="34"/>
      <c r="BY1257" s="34"/>
      <c r="BZ1257" s="34"/>
      <c r="CA1257" s="34"/>
      <c r="CB1257" s="34"/>
      <c r="CC1257" s="34"/>
      <c r="CD1257" s="34"/>
      <c r="CE1257" s="34"/>
      <c r="CF1257" s="34"/>
      <c r="CG1257" s="34"/>
      <c r="CH1257" s="34"/>
      <c r="CI1257" s="34"/>
      <c r="CJ1257" s="34"/>
      <c r="CK1257" s="34"/>
      <c r="CL1257" s="34"/>
      <c r="CM1257" s="34"/>
      <c r="CN1257" s="34"/>
      <c r="CO1257" s="34"/>
      <c r="CP1257" s="34"/>
      <c r="CQ1257" s="34"/>
      <c r="CR1257" s="34"/>
      <c r="CS1257" s="34"/>
    </row>
    <row r="1258" spans="7:97" s="246" customFormat="1" x14ac:dyDescent="0.2">
      <c r="G1258" s="2188"/>
      <c r="BS1258" s="34"/>
      <c r="BT1258" s="34"/>
      <c r="BU1258" s="34"/>
      <c r="BV1258" s="34"/>
      <c r="BW1258" s="34"/>
      <c r="BX1258" s="34"/>
      <c r="BY1258" s="34"/>
      <c r="BZ1258" s="34"/>
      <c r="CA1258" s="34"/>
      <c r="CB1258" s="34"/>
      <c r="CC1258" s="34"/>
      <c r="CD1258" s="34"/>
      <c r="CE1258" s="34"/>
      <c r="CF1258" s="34"/>
      <c r="CG1258" s="34"/>
      <c r="CH1258" s="34"/>
      <c r="CI1258" s="34"/>
      <c r="CJ1258" s="34"/>
      <c r="CK1258" s="34"/>
      <c r="CL1258" s="34"/>
      <c r="CM1258" s="34"/>
      <c r="CN1258" s="34"/>
      <c r="CO1258" s="34"/>
      <c r="CP1258" s="34"/>
      <c r="CQ1258" s="34"/>
      <c r="CR1258" s="34"/>
      <c r="CS1258" s="34"/>
    </row>
    <row r="1259" spans="7:97" s="246" customFormat="1" x14ac:dyDescent="0.2">
      <c r="G1259" s="2188"/>
      <c r="BS1259" s="34"/>
      <c r="BT1259" s="34"/>
      <c r="BU1259" s="34"/>
      <c r="BV1259" s="34"/>
      <c r="BW1259" s="34"/>
      <c r="BX1259" s="34"/>
      <c r="BY1259" s="34"/>
      <c r="BZ1259" s="34"/>
      <c r="CA1259" s="34"/>
      <c r="CB1259" s="34"/>
      <c r="CC1259" s="34"/>
      <c r="CD1259" s="34"/>
      <c r="CE1259" s="34"/>
      <c r="CF1259" s="34"/>
      <c r="CG1259" s="34"/>
      <c r="CH1259" s="34"/>
      <c r="CI1259" s="34"/>
      <c r="CJ1259" s="34"/>
      <c r="CK1259" s="34"/>
      <c r="CL1259" s="34"/>
      <c r="CM1259" s="34"/>
      <c r="CN1259" s="34"/>
      <c r="CO1259" s="34"/>
      <c r="CP1259" s="34"/>
      <c r="CQ1259" s="34"/>
      <c r="CR1259" s="34"/>
      <c r="CS1259" s="34"/>
    </row>
    <row r="1260" spans="7:97" s="246" customFormat="1" x14ac:dyDescent="0.2">
      <c r="G1260" s="2188"/>
      <c r="BS1260" s="34"/>
      <c r="BT1260" s="34"/>
      <c r="BU1260" s="34"/>
      <c r="BV1260" s="34"/>
      <c r="BW1260" s="34"/>
      <c r="BX1260" s="34"/>
      <c r="BY1260" s="34"/>
      <c r="BZ1260" s="34"/>
      <c r="CA1260" s="34"/>
      <c r="CB1260" s="34"/>
      <c r="CC1260" s="34"/>
      <c r="CD1260" s="34"/>
      <c r="CE1260" s="34"/>
      <c r="CF1260" s="34"/>
      <c r="CG1260" s="34"/>
      <c r="CH1260" s="34"/>
      <c r="CI1260" s="34"/>
      <c r="CJ1260" s="34"/>
      <c r="CK1260" s="34"/>
      <c r="CL1260" s="34"/>
      <c r="CM1260" s="34"/>
      <c r="CN1260" s="34"/>
      <c r="CO1260" s="34"/>
      <c r="CP1260" s="34"/>
      <c r="CQ1260" s="34"/>
      <c r="CR1260" s="34"/>
      <c r="CS1260" s="34"/>
    </row>
    <row r="1261" spans="7:97" s="246" customFormat="1" x14ac:dyDescent="0.2">
      <c r="G1261" s="2188"/>
      <c r="BS1261" s="34"/>
      <c r="BT1261" s="34"/>
      <c r="BU1261" s="34"/>
      <c r="BV1261" s="34"/>
      <c r="BW1261" s="34"/>
      <c r="BX1261" s="34"/>
      <c r="BY1261" s="34"/>
      <c r="BZ1261" s="34"/>
      <c r="CA1261" s="34"/>
      <c r="CB1261" s="34"/>
      <c r="CC1261" s="34"/>
      <c r="CD1261" s="34"/>
      <c r="CE1261" s="34"/>
      <c r="CF1261" s="34"/>
      <c r="CG1261" s="34"/>
      <c r="CH1261" s="34"/>
      <c r="CI1261" s="34"/>
      <c r="CJ1261" s="34"/>
      <c r="CK1261" s="34"/>
      <c r="CL1261" s="34"/>
      <c r="CM1261" s="34"/>
      <c r="CN1261" s="34"/>
      <c r="CO1261" s="34"/>
      <c r="CP1261" s="34"/>
      <c r="CQ1261" s="34"/>
      <c r="CR1261" s="34"/>
      <c r="CS1261" s="34"/>
    </row>
    <row r="1262" spans="7:97" s="246" customFormat="1" x14ac:dyDescent="0.2">
      <c r="G1262" s="2188"/>
      <c r="BS1262" s="34"/>
      <c r="BT1262" s="34"/>
      <c r="BU1262" s="34"/>
      <c r="BV1262" s="34"/>
      <c r="BW1262" s="34"/>
      <c r="BX1262" s="34"/>
      <c r="BY1262" s="34"/>
      <c r="BZ1262" s="34"/>
      <c r="CA1262" s="34"/>
      <c r="CB1262" s="34"/>
      <c r="CC1262" s="34"/>
      <c r="CD1262" s="34"/>
      <c r="CE1262" s="34"/>
      <c r="CF1262" s="34"/>
      <c r="CG1262" s="34"/>
      <c r="CH1262" s="34"/>
      <c r="CI1262" s="34"/>
      <c r="CJ1262" s="34"/>
      <c r="CK1262" s="34"/>
      <c r="CL1262" s="34"/>
      <c r="CM1262" s="34"/>
      <c r="CN1262" s="34"/>
      <c r="CO1262" s="34"/>
      <c r="CP1262" s="34"/>
      <c r="CQ1262" s="34"/>
      <c r="CR1262" s="34"/>
      <c r="CS1262" s="34"/>
    </row>
    <row r="1263" spans="7:97" s="246" customFormat="1" x14ac:dyDescent="0.2">
      <c r="G1263" s="2188"/>
      <c r="BS1263" s="34"/>
      <c r="BT1263" s="34"/>
      <c r="BU1263" s="34"/>
      <c r="BV1263" s="34"/>
      <c r="BW1263" s="34"/>
      <c r="BX1263" s="34"/>
      <c r="BY1263" s="34"/>
      <c r="BZ1263" s="34"/>
      <c r="CA1263" s="34"/>
      <c r="CB1263" s="34"/>
      <c r="CC1263" s="34"/>
      <c r="CD1263" s="34"/>
      <c r="CE1263" s="34"/>
      <c r="CF1263" s="34"/>
      <c r="CG1263" s="34"/>
      <c r="CH1263" s="34"/>
      <c r="CI1263" s="34"/>
      <c r="CJ1263" s="34"/>
      <c r="CK1263" s="34"/>
      <c r="CL1263" s="34"/>
      <c r="CM1263" s="34"/>
      <c r="CN1263" s="34"/>
      <c r="CO1263" s="34"/>
      <c r="CP1263" s="34"/>
      <c r="CQ1263" s="34"/>
      <c r="CR1263" s="34"/>
      <c r="CS1263" s="34"/>
    </row>
    <row r="1264" spans="7:97" s="246" customFormat="1" x14ac:dyDescent="0.2">
      <c r="G1264" s="2188"/>
      <c r="BS1264" s="34"/>
      <c r="BT1264" s="34"/>
      <c r="BU1264" s="34"/>
      <c r="BV1264" s="34"/>
      <c r="BW1264" s="34"/>
      <c r="BX1264" s="34"/>
      <c r="BY1264" s="34"/>
      <c r="BZ1264" s="34"/>
      <c r="CA1264" s="34"/>
      <c r="CB1264" s="34"/>
      <c r="CC1264" s="34"/>
      <c r="CD1264" s="34"/>
      <c r="CE1264" s="34"/>
      <c r="CF1264" s="34"/>
      <c r="CG1264" s="34"/>
      <c r="CH1264" s="34"/>
      <c r="CI1264" s="34"/>
      <c r="CJ1264" s="34"/>
      <c r="CK1264" s="34"/>
      <c r="CL1264" s="34"/>
      <c r="CM1264" s="34"/>
      <c r="CN1264" s="34"/>
      <c r="CO1264" s="34"/>
      <c r="CP1264" s="34"/>
      <c r="CQ1264" s="34"/>
      <c r="CR1264" s="34"/>
      <c r="CS1264" s="34"/>
    </row>
    <row r="1265" spans="7:97" s="246" customFormat="1" x14ac:dyDescent="0.2">
      <c r="G1265" s="2188"/>
      <c r="BS1265" s="34"/>
      <c r="BT1265" s="34"/>
      <c r="BU1265" s="34"/>
      <c r="BV1265" s="34"/>
      <c r="BW1265" s="34"/>
      <c r="BX1265" s="34"/>
      <c r="BY1265" s="34"/>
      <c r="BZ1265" s="34"/>
      <c r="CA1265" s="34"/>
      <c r="CB1265" s="34"/>
      <c r="CC1265" s="34"/>
      <c r="CD1265" s="34"/>
      <c r="CE1265" s="34"/>
      <c r="CF1265" s="34"/>
      <c r="CG1265" s="34"/>
      <c r="CH1265" s="34"/>
      <c r="CI1265" s="34"/>
      <c r="CJ1265" s="34"/>
      <c r="CK1265" s="34"/>
      <c r="CL1265" s="34"/>
      <c r="CM1265" s="34"/>
      <c r="CN1265" s="34"/>
      <c r="CO1265" s="34"/>
      <c r="CP1265" s="34"/>
      <c r="CQ1265" s="34"/>
      <c r="CR1265" s="34"/>
      <c r="CS1265" s="34"/>
    </row>
    <row r="1266" spans="7:97" s="246" customFormat="1" x14ac:dyDescent="0.2">
      <c r="G1266" s="2188"/>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row>
    <row r="1267" spans="7:97" s="246" customFormat="1" x14ac:dyDescent="0.2">
      <c r="G1267" s="2188"/>
      <c r="BS1267" s="34"/>
      <c r="BT1267" s="34"/>
      <c r="BU1267" s="34"/>
      <c r="BV1267" s="34"/>
      <c r="BW1267" s="34"/>
      <c r="BX1267" s="34"/>
      <c r="BY1267" s="34"/>
      <c r="BZ1267" s="34"/>
      <c r="CA1267" s="34"/>
      <c r="CB1267" s="34"/>
      <c r="CC1267" s="34"/>
      <c r="CD1267" s="34"/>
      <c r="CE1267" s="34"/>
      <c r="CF1267" s="34"/>
      <c r="CG1267" s="34"/>
      <c r="CH1267" s="34"/>
      <c r="CI1267" s="34"/>
      <c r="CJ1267" s="34"/>
      <c r="CK1267" s="34"/>
      <c r="CL1267" s="34"/>
      <c r="CM1267" s="34"/>
      <c r="CN1267" s="34"/>
      <c r="CO1267" s="34"/>
      <c r="CP1267" s="34"/>
      <c r="CQ1267" s="34"/>
      <c r="CR1267" s="34"/>
      <c r="CS1267" s="34"/>
    </row>
    <row r="1268" spans="7:97" s="246" customFormat="1" x14ac:dyDescent="0.2">
      <c r="G1268" s="2188"/>
      <c r="BS1268" s="34"/>
      <c r="BT1268" s="34"/>
      <c r="BU1268" s="34"/>
      <c r="BV1268" s="34"/>
      <c r="BW1268" s="34"/>
      <c r="BX1268" s="34"/>
      <c r="BY1268" s="34"/>
      <c r="BZ1268" s="34"/>
      <c r="CA1268" s="34"/>
      <c r="CB1268" s="34"/>
      <c r="CC1268" s="34"/>
      <c r="CD1268" s="34"/>
      <c r="CE1268" s="34"/>
      <c r="CF1268" s="34"/>
      <c r="CG1268" s="34"/>
      <c r="CH1268" s="34"/>
      <c r="CI1268" s="34"/>
      <c r="CJ1268" s="34"/>
      <c r="CK1268" s="34"/>
      <c r="CL1268" s="34"/>
      <c r="CM1268" s="34"/>
      <c r="CN1268" s="34"/>
      <c r="CO1268" s="34"/>
      <c r="CP1268" s="34"/>
      <c r="CQ1268" s="34"/>
      <c r="CR1268" s="34"/>
      <c r="CS1268" s="34"/>
    </row>
    <row r="1269" spans="7:97" s="246" customFormat="1" x14ac:dyDescent="0.2">
      <c r="G1269" s="2188"/>
      <c r="BS1269" s="34"/>
      <c r="BT1269" s="34"/>
      <c r="BU1269" s="34"/>
      <c r="BV1269" s="34"/>
      <c r="BW1269" s="34"/>
      <c r="BX1269" s="34"/>
      <c r="BY1269" s="34"/>
      <c r="BZ1269" s="34"/>
      <c r="CA1269" s="34"/>
      <c r="CB1269" s="34"/>
      <c r="CC1269" s="34"/>
      <c r="CD1269" s="34"/>
      <c r="CE1269" s="34"/>
      <c r="CF1269" s="34"/>
      <c r="CG1269" s="34"/>
      <c r="CH1269" s="34"/>
      <c r="CI1269" s="34"/>
      <c r="CJ1269" s="34"/>
      <c r="CK1269" s="34"/>
      <c r="CL1269" s="34"/>
      <c r="CM1269" s="34"/>
      <c r="CN1269" s="34"/>
      <c r="CO1269" s="34"/>
      <c r="CP1269" s="34"/>
      <c r="CQ1269" s="34"/>
      <c r="CR1269" s="34"/>
      <c r="CS1269" s="34"/>
    </row>
    <row r="1270" spans="7:97" s="246" customFormat="1" x14ac:dyDescent="0.2">
      <c r="G1270" s="2188"/>
      <c r="BS1270" s="34"/>
      <c r="BT1270" s="34"/>
      <c r="BU1270" s="34"/>
      <c r="BV1270" s="34"/>
      <c r="BW1270" s="34"/>
      <c r="BX1270" s="34"/>
      <c r="BY1270" s="34"/>
      <c r="BZ1270" s="34"/>
      <c r="CA1270" s="34"/>
      <c r="CB1270" s="34"/>
      <c r="CC1270" s="34"/>
      <c r="CD1270" s="34"/>
      <c r="CE1270" s="34"/>
      <c r="CF1270" s="34"/>
      <c r="CG1270" s="34"/>
      <c r="CH1270" s="34"/>
      <c r="CI1270" s="34"/>
      <c r="CJ1270" s="34"/>
      <c r="CK1270" s="34"/>
      <c r="CL1270" s="34"/>
      <c r="CM1270" s="34"/>
      <c r="CN1270" s="34"/>
      <c r="CO1270" s="34"/>
      <c r="CP1270" s="34"/>
      <c r="CQ1270" s="34"/>
      <c r="CR1270" s="34"/>
      <c r="CS1270" s="34"/>
    </row>
    <row r="1271" spans="7:97" s="246" customFormat="1" x14ac:dyDescent="0.2">
      <c r="G1271" s="2188"/>
      <c r="BS1271" s="34"/>
      <c r="BT1271" s="34"/>
      <c r="BU1271" s="34"/>
      <c r="BV1271" s="34"/>
      <c r="BW1271" s="34"/>
      <c r="BX1271" s="34"/>
      <c r="BY1271" s="34"/>
      <c r="BZ1271" s="34"/>
      <c r="CA1271" s="34"/>
      <c r="CB1271" s="34"/>
      <c r="CC1271" s="34"/>
      <c r="CD1271" s="34"/>
      <c r="CE1271" s="34"/>
      <c r="CF1271" s="34"/>
      <c r="CG1271" s="34"/>
      <c r="CH1271" s="34"/>
      <c r="CI1271" s="34"/>
      <c r="CJ1271" s="34"/>
      <c r="CK1271" s="34"/>
      <c r="CL1271" s="34"/>
      <c r="CM1271" s="34"/>
      <c r="CN1271" s="34"/>
      <c r="CO1271" s="34"/>
      <c r="CP1271" s="34"/>
      <c r="CQ1271" s="34"/>
      <c r="CR1271" s="34"/>
      <c r="CS1271" s="34"/>
    </row>
    <row r="1272" spans="7:97" s="246" customFormat="1" x14ac:dyDescent="0.2">
      <c r="G1272" s="2188"/>
      <c r="BS1272" s="34"/>
      <c r="BT1272" s="34"/>
      <c r="BU1272" s="34"/>
      <c r="BV1272" s="34"/>
      <c r="BW1272" s="34"/>
      <c r="BX1272" s="34"/>
      <c r="BY1272" s="34"/>
      <c r="BZ1272" s="34"/>
      <c r="CA1272" s="34"/>
      <c r="CB1272" s="34"/>
      <c r="CC1272" s="34"/>
      <c r="CD1272" s="34"/>
      <c r="CE1272" s="34"/>
      <c r="CF1272" s="34"/>
      <c r="CG1272" s="34"/>
      <c r="CH1272" s="34"/>
      <c r="CI1272" s="34"/>
      <c r="CJ1272" s="34"/>
      <c r="CK1272" s="34"/>
      <c r="CL1272" s="34"/>
      <c r="CM1272" s="34"/>
      <c r="CN1272" s="34"/>
      <c r="CO1272" s="34"/>
      <c r="CP1272" s="34"/>
      <c r="CQ1272" s="34"/>
      <c r="CR1272" s="34"/>
      <c r="CS1272" s="34"/>
    </row>
    <row r="1273" spans="7:97" s="246" customFormat="1" x14ac:dyDescent="0.2">
      <c r="G1273" s="2188"/>
      <c r="BS1273" s="34"/>
      <c r="BT1273" s="34"/>
      <c r="BU1273" s="34"/>
      <c r="BV1273" s="34"/>
      <c r="BW1273" s="34"/>
      <c r="BX1273" s="34"/>
      <c r="BY1273" s="34"/>
      <c r="BZ1273" s="34"/>
      <c r="CA1273" s="34"/>
      <c r="CB1273" s="34"/>
      <c r="CC1273" s="34"/>
      <c r="CD1273" s="34"/>
      <c r="CE1273" s="34"/>
      <c r="CF1273" s="34"/>
      <c r="CG1273" s="34"/>
      <c r="CH1273" s="34"/>
      <c r="CI1273" s="34"/>
      <c r="CJ1273" s="34"/>
      <c r="CK1273" s="34"/>
      <c r="CL1273" s="34"/>
      <c r="CM1273" s="34"/>
      <c r="CN1273" s="34"/>
      <c r="CO1273" s="34"/>
      <c r="CP1273" s="34"/>
      <c r="CQ1273" s="34"/>
      <c r="CR1273" s="34"/>
      <c r="CS1273" s="34"/>
    </row>
    <row r="1274" spans="7:97" s="246" customFormat="1" x14ac:dyDescent="0.2">
      <c r="G1274" s="2188"/>
      <c r="BS1274" s="34"/>
      <c r="BT1274" s="34"/>
      <c r="BU1274" s="34"/>
      <c r="BV1274" s="34"/>
      <c r="BW1274" s="34"/>
      <c r="BX1274" s="34"/>
      <c r="BY1274" s="34"/>
      <c r="BZ1274" s="34"/>
      <c r="CA1274" s="34"/>
      <c r="CB1274" s="34"/>
      <c r="CC1274" s="34"/>
      <c r="CD1274" s="34"/>
      <c r="CE1274" s="34"/>
      <c r="CF1274" s="34"/>
      <c r="CG1274" s="34"/>
      <c r="CH1274" s="34"/>
      <c r="CI1274" s="34"/>
      <c r="CJ1274" s="34"/>
      <c r="CK1274" s="34"/>
      <c r="CL1274" s="34"/>
      <c r="CM1274" s="34"/>
      <c r="CN1274" s="34"/>
      <c r="CO1274" s="34"/>
      <c r="CP1274" s="34"/>
      <c r="CQ1274" s="34"/>
      <c r="CR1274" s="34"/>
      <c r="CS1274" s="34"/>
    </row>
    <row r="1275" spans="7:97" s="246" customFormat="1" x14ac:dyDescent="0.2">
      <c r="G1275" s="2188"/>
      <c r="BS1275" s="34"/>
      <c r="BT1275" s="34"/>
      <c r="BU1275" s="34"/>
      <c r="BV1275" s="34"/>
      <c r="BW1275" s="34"/>
      <c r="BX1275" s="34"/>
      <c r="BY1275" s="34"/>
      <c r="BZ1275" s="34"/>
      <c r="CA1275" s="34"/>
      <c r="CB1275" s="34"/>
      <c r="CC1275" s="34"/>
      <c r="CD1275" s="34"/>
      <c r="CE1275" s="34"/>
      <c r="CF1275" s="34"/>
      <c r="CG1275" s="34"/>
      <c r="CH1275" s="34"/>
      <c r="CI1275" s="34"/>
      <c r="CJ1275" s="34"/>
      <c r="CK1275" s="34"/>
      <c r="CL1275" s="34"/>
      <c r="CM1275" s="34"/>
      <c r="CN1275" s="34"/>
      <c r="CO1275" s="34"/>
      <c r="CP1275" s="34"/>
      <c r="CQ1275" s="34"/>
      <c r="CR1275" s="34"/>
      <c r="CS1275" s="34"/>
    </row>
    <row r="1276" spans="7:97" s="246" customFormat="1" x14ac:dyDescent="0.2">
      <c r="G1276" s="2188"/>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row>
    <row r="1277" spans="7:97" s="246" customFormat="1" x14ac:dyDescent="0.2">
      <c r="G1277" s="2188"/>
      <c r="BS1277" s="34"/>
      <c r="BT1277" s="34"/>
      <c r="BU1277" s="34"/>
      <c r="BV1277" s="34"/>
      <c r="BW1277" s="34"/>
      <c r="BX1277" s="34"/>
      <c r="BY1277" s="34"/>
      <c r="BZ1277" s="34"/>
      <c r="CA1277" s="34"/>
      <c r="CB1277" s="34"/>
      <c r="CC1277" s="34"/>
      <c r="CD1277" s="34"/>
      <c r="CE1277" s="34"/>
      <c r="CF1277" s="34"/>
      <c r="CG1277" s="34"/>
      <c r="CH1277" s="34"/>
      <c r="CI1277" s="34"/>
      <c r="CJ1277" s="34"/>
      <c r="CK1277" s="34"/>
      <c r="CL1277" s="34"/>
      <c r="CM1277" s="34"/>
      <c r="CN1277" s="34"/>
      <c r="CO1277" s="34"/>
      <c r="CP1277" s="34"/>
      <c r="CQ1277" s="34"/>
      <c r="CR1277" s="34"/>
      <c r="CS1277" s="34"/>
    </row>
    <row r="1278" spans="7:97" s="246" customFormat="1" x14ac:dyDescent="0.2">
      <c r="G1278" s="2188"/>
      <c r="BS1278" s="34"/>
      <c r="BT1278" s="34"/>
      <c r="BU1278" s="34"/>
      <c r="BV1278" s="34"/>
      <c r="BW1278" s="34"/>
      <c r="BX1278" s="34"/>
      <c r="BY1278" s="34"/>
      <c r="BZ1278" s="34"/>
      <c r="CA1278" s="34"/>
      <c r="CB1278" s="34"/>
      <c r="CC1278" s="34"/>
      <c r="CD1278" s="34"/>
      <c r="CE1278" s="34"/>
      <c r="CF1278" s="34"/>
      <c r="CG1278" s="34"/>
      <c r="CH1278" s="34"/>
      <c r="CI1278" s="34"/>
      <c r="CJ1278" s="34"/>
      <c r="CK1278" s="34"/>
      <c r="CL1278" s="34"/>
      <c r="CM1278" s="34"/>
      <c r="CN1278" s="34"/>
      <c r="CO1278" s="34"/>
      <c r="CP1278" s="34"/>
      <c r="CQ1278" s="34"/>
      <c r="CR1278" s="34"/>
      <c r="CS1278" s="34"/>
    </row>
    <row r="1279" spans="7:97" s="246" customFormat="1" x14ac:dyDescent="0.2">
      <c r="G1279" s="2188"/>
      <c r="BS1279" s="34"/>
      <c r="BT1279" s="34"/>
      <c r="BU1279" s="34"/>
      <c r="BV1279" s="34"/>
      <c r="BW1279" s="34"/>
      <c r="BX1279" s="34"/>
      <c r="BY1279" s="34"/>
      <c r="BZ1279" s="34"/>
      <c r="CA1279" s="34"/>
      <c r="CB1279" s="34"/>
      <c r="CC1279" s="34"/>
      <c r="CD1279" s="34"/>
      <c r="CE1279" s="34"/>
      <c r="CF1279" s="34"/>
      <c r="CG1279" s="34"/>
      <c r="CH1279" s="34"/>
      <c r="CI1279" s="34"/>
      <c r="CJ1279" s="34"/>
      <c r="CK1279" s="34"/>
      <c r="CL1279" s="34"/>
      <c r="CM1279" s="34"/>
      <c r="CN1279" s="34"/>
      <c r="CO1279" s="34"/>
      <c r="CP1279" s="34"/>
      <c r="CQ1279" s="34"/>
      <c r="CR1279" s="34"/>
      <c r="CS1279" s="34"/>
    </row>
    <row r="1280" spans="7:97" s="246" customFormat="1" x14ac:dyDescent="0.2">
      <c r="G1280" s="2188"/>
      <c r="BS1280" s="34"/>
      <c r="BT1280" s="34"/>
      <c r="BU1280" s="34"/>
      <c r="BV1280" s="34"/>
      <c r="BW1280" s="34"/>
      <c r="BX1280" s="34"/>
      <c r="BY1280" s="34"/>
      <c r="BZ1280" s="34"/>
      <c r="CA1280" s="34"/>
      <c r="CB1280" s="34"/>
      <c r="CC1280" s="34"/>
      <c r="CD1280" s="34"/>
      <c r="CE1280" s="34"/>
      <c r="CF1280" s="34"/>
      <c r="CG1280" s="34"/>
      <c r="CH1280" s="34"/>
      <c r="CI1280" s="34"/>
      <c r="CJ1280" s="34"/>
      <c r="CK1280" s="34"/>
      <c r="CL1280" s="34"/>
      <c r="CM1280" s="34"/>
      <c r="CN1280" s="34"/>
      <c r="CO1280" s="34"/>
      <c r="CP1280" s="34"/>
      <c r="CQ1280" s="34"/>
      <c r="CR1280" s="34"/>
      <c r="CS1280" s="34"/>
    </row>
    <row r="1281" spans="7:97" s="246" customFormat="1" x14ac:dyDescent="0.2">
      <c r="G1281" s="2188"/>
      <c r="BS1281" s="34"/>
      <c r="BT1281" s="34"/>
      <c r="BU1281" s="34"/>
      <c r="BV1281" s="34"/>
      <c r="BW1281" s="34"/>
      <c r="BX1281" s="34"/>
      <c r="BY1281" s="34"/>
      <c r="BZ1281" s="34"/>
      <c r="CA1281" s="34"/>
      <c r="CB1281" s="34"/>
      <c r="CC1281" s="34"/>
      <c r="CD1281" s="34"/>
      <c r="CE1281" s="34"/>
      <c r="CF1281" s="34"/>
      <c r="CG1281" s="34"/>
      <c r="CH1281" s="34"/>
      <c r="CI1281" s="34"/>
      <c r="CJ1281" s="34"/>
      <c r="CK1281" s="34"/>
      <c r="CL1281" s="34"/>
      <c r="CM1281" s="34"/>
      <c r="CN1281" s="34"/>
      <c r="CO1281" s="34"/>
      <c r="CP1281" s="34"/>
      <c r="CQ1281" s="34"/>
      <c r="CR1281" s="34"/>
      <c r="CS1281" s="34"/>
    </row>
    <row r="1282" spans="7:97" s="246" customFormat="1" x14ac:dyDescent="0.2">
      <c r="G1282" s="2188"/>
      <c r="BS1282" s="34"/>
      <c r="BT1282" s="34"/>
      <c r="BU1282" s="34"/>
      <c r="BV1282" s="34"/>
      <c r="BW1282" s="34"/>
      <c r="BX1282" s="34"/>
      <c r="BY1282" s="34"/>
      <c r="BZ1282" s="34"/>
      <c r="CA1282" s="34"/>
      <c r="CB1282" s="34"/>
      <c r="CC1282" s="34"/>
      <c r="CD1282" s="34"/>
      <c r="CE1282" s="34"/>
      <c r="CF1282" s="34"/>
      <c r="CG1282" s="34"/>
      <c r="CH1282" s="34"/>
      <c r="CI1282" s="34"/>
      <c r="CJ1282" s="34"/>
      <c r="CK1282" s="34"/>
      <c r="CL1282" s="34"/>
      <c r="CM1282" s="34"/>
      <c r="CN1282" s="34"/>
      <c r="CO1282" s="34"/>
      <c r="CP1282" s="34"/>
      <c r="CQ1282" s="34"/>
      <c r="CR1282" s="34"/>
      <c r="CS1282" s="34"/>
    </row>
    <row r="1283" spans="7:97" s="246" customFormat="1" x14ac:dyDescent="0.2">
      <c r="G1283" s="2188"/>
      <c r="BS1283" s="34"/>
      <c r="BT1283" s="34"/>
      <c r="BU1283" s="34"/>
      <c r="BV1283" s="34"/>
      <c r="BW1283" s="34"/>
      <c r="BX1283" s="34"/>
      <c r="BY1283" s="34"/>
      <c r="BZ1283" s="34"/>
      <c r="CA1283" s="34"/>
      <c r="CB1283" s="34"/>
      <c r="CC1283" s="34"/>
      <c r="CD1283" s="34"/>
      <c r="CE1283" s="34"/>
      <c r="CF1283" s="34"/>
      <c r="CG1283" s="34"/>
      <c r="CH1283" s="34"/>
      <c r="CI1283" s="34"/>
      <c r="CJ1283" s="34"/>
      <c r="CK1283" s="34"/>
      <c r="CL1283" s="34"/>
      <c r="CM1283" s="34"/>
      <c r="CN1283" s="34"/>
      <c r="CO1283" s="34"/>
      <c r="CP1283" s="34"/>
      <c r="CQ1283" s="34"/>
      <c r="CR1283" s="34"/>
      <c r="CS1283" s="34"/>
    </row>
    <row r="1284" spans="7:97" s="246" customFormat="1" x14ac:dyDescent="0.2">
      <c r="G1284" s="2188"/>
      <c r="BS1284" s="34"/>
      <c r="BT1284" s="34"/>
      <c r="BU1284" s="34"/>
      <c r="BV1284" s="34"/>
      <c r="BW1284" s="34"/>
      <c r="BX1284" s="34"/>
      <c r="BY1284" s="34"/>
      <c r="BZ1284" s="34"/>
      <c r="CA1284" s="34"/>
      <c r="CB1284" s="34"/>
      <c r="CC1284" s="34"/>
      <c r="CD1284" s="34"/>
      <c r="CE1284" s="34"/>
      <c r="CF1284" s="34"/>
      <c r="CG1284" s="34"/>
      <c r="CH1284" s="34"/>
      <c r="CI1284" s="34"/>
      <c r="CJ1284" s="34"/>
      <c r="CK1284" s="34"/>
      <c r="CL1284" s="34"/>
      <c r="CM1284" s="34"/>
      <c r="CN1284" s="34"/>
      <c r="CO1284" s="34"/>
      <c r="CP1284" s="34"/>
      <c r="CQ1284" s="34"/>
      <c r="CR1284" s="34"/>
      <c r="CS1284" s="34"/>
    </row>
    <row r="1285" spans="7:97" s="246" customFormat="1" x14ac:dyDescent="0.2">
      <c r="G1285" s="2188"/>
      <c r="BS1285" s="34"/>
      <c r="BT1285" s="34"/>
      <c r="BU1285" s="34"/>
      <c r="BV1285" s="34"/>
      <c r="BW1285" s="34"/>
      <c r="BX1285" s="34"/>
      <c r="BY1285" s="34"/>
      <c r="BZ1285" s="34"/>
      <c r="CA1285" s="34"/>
      <c r="CB1285" s="34"/>
      <c r="CC1285" s="34"/>
      <c r="CD1285" s="34"/>
      <c r="CE1285" s="34"/>
      <c r="CF1285" s="34"/>
      <c r="CG1285" s="34"/>
      <c r="CH1285" s="34"/>
      <c r="CI1285" s="34"/>
      <c r="CJ1285" s="34"/>
      <c r="CK1285" s="34"/>
      <c r="CL1285" s="34"/>
      <c r="CM1285" s="34"/>
      <c r="CN1285" s="34"/>
      <c r="CO1285" s="34"/>
      <c r="CP1285" s="34"/>
      <c r="CQ1285" s="34"/>
      <c r="CR1285" s="34"/>
      <c r="CS1285" s="34"/>
    </row>
    <row r="1286" spans="7:97" s="246" customFormat="1" x14ac:dyDescent="0.2">
      <c r="G1286" s="2188"/>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row>
    <row r="1287" spans="7:97" s="246" customFormat="1" x14ac:dyDescent="0.2">
      <c r="G1287" s="2188"/>
      <c r="BS1287" s="34"/>
      <c r="BT1287" s="34"/>
      <c r="BU1287" s="34"/>
      <c r="BV1287" s="34"/>
      <c r="BW1287" s="34"/>
      <c r="BX1287" s="34"/>
      <c r="BY1287" s="34"/>
      <c r="BZ1287" s="34"/>
      <c r="CA1287" s="34"/>
      <c r="CB1287" s="34"/>
      <c r="CC1287" s="34"/>
      <c r="CD1287" s="34"/>
      <c r="CE1287" s="34"/>
      <c r="CF1287" s="34"/>
      <c r="CG1287" s="34"/>
      <c r="CH1287" s="34"/>
      <c r="CI1287" s="34"/>
      <c r="CJ1287" s="34"/>
      <c r="CK1287" s="34"/>
      <c r="CL1287" s="34"/>
      <c r="CM1287" s="34"/>
      <c r="CN1287" s="34"/>
      <c r="CO1287" s="34"/>
      <c r="CP1287" s="34"/>
      <c r="CQ1287" s="34"/>
      <c r="CR1287" s="34"/>
      <c r="CS1287" s="34"/>
    </row>
    <row r="1288" spans="7:97" s="246" customFormat="1" x14ac:dyDescent="0.2">
      <c r="G1288" s="2188"/>
      <c r="BS1288" s="34"/>
      <c r="BT1288" s="34"/>
      <c r="BU1288" s="34"/>
      <c r="BV1288" s="34"/>
      <c r="BW1288" s="34"/>
      <c r="BX1288" s="34"/>
      <c r="BY1288" s="34"/>
      <c r="BZ1288" s="34"/>
      <c r="CA1288" s="34"/>
      <c r="CB1288" s="34"/>
      <c r="CC1288" s="34"/>
      <c r="CD1288" s="34"/>
      <c r="CE1288" s="34"/>
      <c r="CF1288" s="34"/>
      <c r="CG1288" s="34"/>
      <c r="CH1288" s="34"/>
      <c r="CI1288" s="34"/>
      <c r="CJ1288" s="34"/>
      <c r="CK1288" s="34"/>
      <c r="CL1288" s="34"/>
      <c r="CM1288" s="34"/>
      <c r="CN1288" s="34"/>
      <c r="CO1288" s="34"/>
      <c r="CP1288" s="34"/>
      <c r="CQ1288" s="34"/>
      <c r="CR1288" s="34"/>
      <c r="CS1288" s="34"/>
    </row>
    <row r="1289" spans="7:97" s="246" customFormat="1" x14ac:dyDescent="0.2">
      <c r="G1289" s="2188"/>
      <c r="BS1289" s="34"/>
      <c r="BT1289" s="34"/>
      <c r="BU1289" s="34"/>
      <c r="BV1289" s="34"/>
      <c r="BW1289" s="34"/>
      <c r="BX1289" s="34"/>
      <c r="BY1289" s="34"/>
      <c r="BZ1289" s="34"/>
      <c r="CA1289" s="34"/>
      <c r="CB1289" s="34"/>
      <c r="CC1289" s="34"/>
      <c r="CD1289" s="34"/>
      <c r="CE1289" s="34"/>
      <c r="CF1289" s="34"/>
      <c r="CG1289" s="34"/>
      <c r="CH1289" s="34"/>
      <c r="CI1289" s="34"/>
      <c r="CJ1289" s="34"/>
      <c r="CK1289" s="34"/>
      <c r="CL1289" s="34"/>
      <c r="CM1289" s="34"/>
      <c r="CN1289" s="34"/>
      <c r="CO1289" s="34"/>
      <c r="CP1289" s="34"/>
      <c r="CQ1289" s="34"/>
      <c r="CR1289" s="34"/>
      <c r="CS1289" s="34"/>
    </row>
    <row r="1290" spans="7:97" s="246" customFormat="1" x14ac:dyDescent="0.2">
      <c r="G1290" s="2188"/>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row>
    <row r="1291" spans="7:97" s="246" customFormat="1" x14ac:dyDescent="0.2">
      <c r="G1291" s="2188"/>
      <c r="BS1291" s="34"/>
      <c r="BT1291" s="34"/>
      <c r="BU1291" s="34"/>
      <c r="BV1291" s="34"/>
      <c r="BW1291" s="34"/>
      <c r="BX1291" s="34"/>
      <c r="BY1291" s="34"/>
      <c r="BZ1291" s="34"/>
      <c r="CA1291" s="34"/>
      <c r="CB1291" s="34"/>
      <c r="CC1291" s="34"/>
      <c r="CD1291" s="34"/>
      <c r="CE1291" s="34"/>
      <c r="CF1291" s="34"/>
      <c r="CG1291" s="34"/>
      <c r="CH1291" s="34"/>
      <c r="CI1291" s="34"/>
      <c r="CJ1291" s="34"/>
      <c r="CK1291" s="34"/>
      <c r="CL1291" s="34"/>
      <c r="CM1291" s="34"/>
      <c r="CN1291" s="34"/>
      <c r="CO1291" s="34"/>
      <c r="CP1291" s="34"/>
      <c r="CQ1291" s="34"/>
      <c r="CR1291" s="34"/>
      <c r="CS1291" s="34"/>
    </row>
    <row r="1292" spans="7:97" s="246" customFormat="1" x14ac:dyDescent="0.2">
      <c r="G1292" s="2188"/>
      <c r="BS1292" s="34"/>
      <c r="BT1292" s="34"/>
      <c r="BU1292" s="34"/>
      <c r="BV1292" s="34"/>
      <c r="BW1292" s="34"/>
      <c r="BX1292" s="34"/>
      <c r="BY1292" s="34"/>
      <c r="BZ1292" s="34"/>
      <c r="CA1292" s="34"/>
      <c r="CB1292" s="34"/>
      <c r="CC1292" s="34"/>
      <c r="CD1292" s="34"/>
      <c r="CE1292" s="34"/>
      <c r="CF1292" s="34"/>
      <c r="CG1292" s="34"/>
      <c r="CH1292" s="34"/>
      <c r="CI1292" s="34"/>
      <c r="CJ1292" s="34"/>
      <c r="CK1292" s="34"/>
      <c r="CL1292" s="34"/>
      <c r="CM1292" s="34"/>
      <c r="CN1292" s="34"/>
      <c r="CO1292" s="34"/>
      <c r="CP1292" s="34"/>
      <c r="CQ1292" s="34"/>
      <c r="CR1292" s="34"/>
      <c r="CS1292" s="34"/>
    </row>
    <row r="1293" spans="7:97" s="246" customFormat="1" x14ac:dyDescent="0.2">
      <c r="G1293" s="2188"/>
      <c r="BS1293" s="34"/>
      <c r="BT1293" s="34"/>
      <c r="BU1293" s="34"/>
      <c r="BV1293" s="34"/>
      <c r="BW1293" s="34"/>
      <c r="BX1293" s="34"/>
      <c r="BY1293" s="34"/>
      <c r="BZ1293" s="34"/>
      <c r="CA1293" s="34"/>
      <c r="CB1293" s="34"/>
      <c r="CC1293" s="34"/>
      <c r="CD1293" s="34"/>
      <c r="CE1293" s="34"/>
      <c r="CF1293" s="34"/>
      <c r="CG1293" s="34"/>
      <c r="CH1293" s="34"/>
      <c r="CI1293" s="34"/>
      <c r="CJ1293" s="34"/>
      <c r="CK1293" s="34"/>
      <c r="CL1293" s="34"/>
      <c r="CM1293" s="34"/>
      <c r="CN1293" s="34"/>
      <c r="CO1293" s="34"/>
      <c r="CP1293" s="34"/>
      <c r="CQ1293" s="34"/>
      <c r="CR1293" s="34"/>
      <c r="CS1293" s="34"/>
    </row>
    <row r="1294" spans="7:97" s="246" customFormat="1" x14ac:dyDescent="0.2">
      <c r="G1294" s="2188"/>
      <c r="BS1294" s="34"/>
      <c r="BT1294" s="34"/>
      <c r="BU1294" s="34"/>
      <c r="BV1294" s="34"/>
      <c r="BW1294" s="34"/>
      <c r="BX1294" s="34"/>
      <c r="BY1294" s="34"/>
      <c r="BZ1294" s="34"/>
      <c r="CA1294" s="34"/>
      <c r="CB1294" s="34"/>
      <c r="CC1294" s="34"/>
      <c r="CD1294" s="34"/>
      <c r="CE1294" s="34"/>
      <c r="CF1294" s="34"/>
      <c r="CG1294" s="34"/>
      <c r="CH1294" s="34"/>
      <c r="CI1294" s="34"/>
      <c r="CJ1294" s="34"/>
      <c r="CK1294" s="34"/>
      <c r="CL1294" s="34"/>
      <c r="CM1294" s="34"/>
      <c r="CN1294" s="34"/>
      <c r="CO1294" s="34"/>
      <c r="CP1294" s="34"/>
      <c r="CQ1294" s="34"/>
      <c r="CR1294" s="34"/>
      <c r="CS1294" s="34"/>
    </row>
    <row r="1295" spans="7:97" s="246" customFormat="1" x14ac:dyDescent="0.2">
      <c r="G1295" s="2188"/>
      <c r="BS1295" s="34"/>
      <c r="BT1295" s="34"/>
      <c r="BU1295" s="34"/>
      <c r="BV1295" s="34"/>
      <c r="BW1295" s="34"/>
      <c r="BX1295" s="34"/>
      <c r="BY1295" s="34"/>
      <c r="BZ1295" s="34"/>
      <c r="CA1295" s="34"/>
      <c r="CB1295" s="34"/>
      <c r="CC1295" s="34"/>
      <c r="CD1295" s="34"/>
      <c r="CE1295" s="34"/>
      <c r="CF1295" s="34"/>
      <c r="CG1295" s="34"/>
      <c r="CH1295" s="34"/>
      <c r="CI1295" s="34"/>
      <c r="CJ1295" s="34"/>
      <c r="CK1295" s="34"/>
      <c r="CL1295" s="34"/>
      <c r="CM1295" s="34"/>
      <c r="CN1295" s="34"/>
      <c r="CO1295" s="34"/>
      <c r="CP1295" s="34"/>
      <c r="CQ1295" s="34"/>
      <c r="CR1295" s="34"/>
      <c r="CS1295" s="34"/>
    </row>
    <row r="1296" spans="7:97" s="246" customFormat="1" x14ac:dyDescent="0.2">
      <c r="G1296" s="2188"/>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row>
    <row r="1297" spans="7:97" s="246" customFormat="1" x14ac:dyDescent="0.2">
      <c r="G1297" s="2188"/>
      <c r="BS1297" s="34"/>
      <c r="BT1297" s="34"/>
      <c r="BU1297" s="34"/>
      <c r="BV1297" s="34"/>
      <c r="BW1297" s="34"/>
      <c r="BX1297" s="34"/>
      <c r="BY1297" s="34"/>
      <c r="BZ1297" s="34"/>
      <c r="CA1297" s="34"/>
      <c r="CB1297" s="34"/>
      <c r="CC1297" s="34"/>
      <c r="CD1297" s="34"/>
      <c r="CE1297" s="34"/>
      <c r="CF1297" s="34"/>
      <c r="CG1297" s="34"/>
      <c r="CH1297" s="34"/>
      <c r="CI1297" s="34"/>
      <c r="CJ1297" s="34"/>
      <c r="CK1297" s="34"/>
      <c r="CL1297" s="34"/>
      <c r="CM1297" s="34"/>
      <c r="CN1297" s="34"/>
      <c r="CO1297" s="34"/>
      <c r="CP1297" s="34"/>
      <c r="CQ1297" s="34"/>
      <c r="CR1297" s="34"/>
      <c r="CS1297" s="34"/>
    </row>
    <row r="1298" spans="7:97" s="246" customFormat="1" x14ac:dyDescent="0.2">
      <c r="G1298" s="2188"/>
      <c r="BS1298" s="34"/>
      <c r="BT1298" s="34"/>
      <c r="BU1298" s="34"/>
      <c r="BV1298" s="34"/>
      <c r="BW1298" s="34"/>
      <c r="BX1298" s="34"/>
      <c r="BY1298" s="34"/>
      <c r="BZ1298" s="34"/>
      <c r="CA1298" s="34"/>
      <c r="CB1298" s="34"/>
      <c r="CC1298" s="34"/>
      <c r="CD1298" s="34"/>
      <c r="CE1298" s="34"/>
      <c r="CF1298" s="34"/>
      <c r="CG1298" s="34"/>
      <c r="CH1298" s="34"/>
      <c r="CI1298" s="34"/>
      <c r="CJ1298" s="34"/>
      <c r="CK1298" s="34"/>
      <c r="CL1298" s="34"/>
      <c r="CM1298" s="34"/>
      <c r="CN1298" s="34"/>
      <c r="CO1298" s="34"/>
      <c r="CP1298" s="34"/>
      <c r="CQ1298" s="34"/>
      <c r="CR1298" s="34"/>
      <c r="CS1298" s="34"/>
    </row>
    <row r="1299" spans="7:97" s="246" customFormat="1" x14ac:dyDescent="0.2">
      <c r="G1299" s="2188"/>
      <c r="BS1299" s="34"/>
      <c r="BT1299" s="34"/>
      <c r="BU1299" s="34"/>
      <c r="BV1299" s="34"/>
      <c r="BW1299" s="34"/>
      <c r="BX1299" s="34"/>
      <c r="BY1299" s="34"/>
      <c r="BZ1299" s="34"/>
      <c r="CA1299" s="34"/>
      <c r="CB1299" s="34"/>
      <c r="CC1299" s="34"/>
      <c r="CD1299" s="34"/>
      <c r="CE1299" s="34"/>
      <c r="CF1299" s="34"/>
      <c r="CG1299" s="34"/>
      <c r="CH1299" s="34"/>
      <c r="CI1299" s="34"/>
      <c r="CJ1299" s="34"/>
      <c r="CK1299" s="34"/>
      <c r="CL1299" s="34"/>
      <c r="CM1299" s="34"/>
      <c r="CN1299" s="34"/>
      <c r="CO1299" s="34"/>
      <c r="CP1299" s="34"/>
      <c r="CQ1299" s="34"/>
      <c r="CR1299" s="34"/>
      <c r="CS1299" s="34"/>
    </row>
    <row r="1300" spans="7:97" s="246" customFormat="1" x14ac:dyDescent="0.2">
      <c r="G1300" s="2188"/>
      <c r="BS1300" s="34"/>
      <c r="BT1300" s="34"/>
      <c r="BU1300" s="34"/>
      <c r="BV1300" s="34"/>
      <c r="BW1300" s="34"/>
      <c r="BX1300" s="34"/>
      <c r="BY1300" s="34"/>
      <c r="BZ1300" s="34"/>
      <c r="CA1300" s="34"/>
      <c r="CB1300" s="34"/>
      <c r="CC1300" s="34"/>
      <c r="CD1300" s="34"/>
      <c r="CE1300" s="34"/>
      <c r="CF1300" s="34"/>
      <c r="CG1300" s="34"/>
      <c r="CH1300" s="34"/>
      <c r="CI1300" s="34"/>
      <c r="CJ1300" s="34"/>
      <c r="CK1300" s="34"/>
      <c r="CL1300" s="34"/>
      <c r="CM1300" s="34"/>
      <c r="CN1300" s="34"/>
      <c r="CO1300" s="34"/>
      <c r="CP1300" s="34"/>
      <c r="CQ1300" s="34"/>
      <c r="CR1300" s="34"/>
      <c r="CS1300" s="34"/>
    </row>
    <row r="1301" spans="7:97" s="246" customFormat="1" x14ac:dyDescent="0.2">
      <c r="G1301" s="2188"/>
      <c r="BS1301" s="34"/>
      <c r="BT1301" s="34"/>
      <c r="BU1301" s="34"/>
      <c r="BV1301" s="34"/>
      <c r="BW1301" s="34"/>
      <c r="BX1301" s="34"/>
      <c r="BY1301" s="34"/>
      <c r="BZ1301" s="34"/>
      <c r="CA1301" s="34"/>
      <c r="CB1301" s="34"/>
      <c r="CC1301" s="34"/>
      <c r="CD1301" s="34"/>
      <c r="CE1301" s="34"/>
      <c r="CF1301" s="34"/>
      <c r="CG1301" s="34"/>
      <c r="CH1301" s="34"/>
      <c r="CI1301" s="34"/>
      <c r="CJ1301" s="34"/>
      <c r="CK1301" s="34"/>
      <c r="CL1301" s="34"/>
      <c r="CM1301" s="34"/>
      <c r="CN1301" s="34"/>
      <c r="CO1301" s="34"/>
      <c r="CP1301" s="34"/>
      <c r="CQ1301" s="34"/>
      <c r="CR1301" s="34"/>
      <c r="CS1301" s="34"/>
    </row>
    <row r="1302" spans="7:97" s="246" customFormat="1" x14ac:dyDescent="0.2">
      <c r="G1302" s="2188"/>
      <c r="BS1302" s="34"/>
      <c r="BT1302" s="34"/>
      <c r="BU1302" s="34"/>
      <c r="BV1302" s="34"/>
      <c r="BW1302" s="34"/>
      <c r="BX1302" s="34"/>
      <c r="BY1302" s="34"/>
      <c r="BZ1302" s="34"/>
      <c r="CA1302" s="34"/>
      <c r="CB1302" s="34"/>
      <c r="CC1302" s="34"/>
      <c r="CD1302" s="34"/>
      <c r="CE1302" s="34"/>
      <c r="CF1302" s="34"/>
      <c r="CG1302" s="34"/>
      <c r="CH1302" s="34"/>
      <c r="CI1302" s="34"/>
      <c r="CJ1302" s="34"/>
      <c r="CK1302" s="34"/>
      <c r="CL1302" s="34"/>
      <c r="CM1302" s="34"/>
      <c r="CN1302" s="34"/>
      <c r="CO1302" s="34"/>
      <c r="CP1302" s="34"/>
      <c r="CQ1302" s="34"/>
      <c r="CR1302" s="34"/>
      <c r="CS1302" s="34"/>
    </row>
    <row r="1303" spans="7:97" s="246" customFormat="1" x14ac:dyDescent="0.2">
      <c r="G1303" s="2188"/>
      <c r="BS1303" s="34"/>
      <c r="BT1303" s="34"/>
      <c r="BU1303" s="34"/>
      <c r="BV1303" s="34"/>
      <c r="BW1303" s="34"/>
      <c r="BX1303" s="34"/>
      <c r="BY1303" s="34"/>
      <c r="BZ1303" s="34"/>
      <c r="CA1303" s="34"/>
      <c r="CB1303" s="34"/>
      <c r="CC1303" s="34"/>
      <c r="CD1303" s="34"/>
      <c r="CE1303" s="34"/>
      <c r="CF1303" s="34"/>
      <c r="CG1303" s="34"/>
      <c r="CH1303" s="34"/>
      <c r="CI1303" s="34"/>
      <c r="CJ1303" s="34"/>
      <c r="CK1303" s="34"/>
      <c r="CL1303" s="34"/>
      <c r="CM1303" s="34"/>
      <c r="CN1303" s="34"/>
      <c r="CO1303" s="34"/>
      <c r="CP1303" s="34"/>
      <c r="CQ1303" s="34"/>
      <c r="CR1303" s="34"/>
      <c r="CS1303" s="34"/>
    </row>
    <row r="1304" spans="7:97" s="246" customFormat="1" x14ac:dyDescent="0.2">
      <c r="G1304" s="2188"/>
      <c r="BS1304" s="34"/>
      <c r="BT1304" s="34"/>
      <c r="BU1304" s="34"/>
      <c r="BV1304" s="34"/>
      <c r="BW1304" s="34"/>
      <c r="BX1304" s="34"/>
      <c r="BY1304" s="34"/>
      <c r="BZ1304" s="34"/>
      <c r="CA1304" s="34"/>
      <c r="CB1304" s="34"/>
      <c r="CC1304" s="34"/>
      <c r="CD1304" s="34"/>
      <c r="CE1304" s="34"/>
      <c r="CF1304" s="34"/>
      <c r="CG1304" s="34"/>
      <c r="CH1304" s="34"/>
      <c r="CI1304" s="34"/>
      <c r="CJ1304" s="34"/>
      <c r="CK1304" s="34"/>
      <c r="CL1304" s="34"/>
      <c r="CM1304" s="34"/>
      <c r="CN1304" s="34"/>
      <c r="CO1304" s="34"/>
      <c r="CP1304" s="34"/>
      <c r="CQ1304" s="34"/>
      <c r="CR1304" s="34"/>
      <c r="CS1304" s="34"/>
    </row>
    <row r="1305" spans="7:97" s="246" customFormat="1" x14ac:dyDescent="0.2">
      <c r="G1305" s="2188"/>
      <c r="BS1305" s="34"/>
      <c r="BT1305" s="34"/>
      <c r="BU1305" s="34"/>
      <c r="BV1305" s="34"/>
      <c r="BW1305" s="34"/>
      <c r="BX1305" s="34"/>
      <c r="BY1305" s="34"/>
      <c r="BZ1305" s="34"/>
      <c r="CA1305" s="34"/>
      <c r="CB1305" s="34"/>
      <c r="CC1305" s="34"/>
      <c r="CD1305" s="34"/>
      <c r="CE1305" s="34"/>
      <c r="CF1305" s="34"/>
      <c r="CG1305" s="34"/>
      <c r="CH1305" s="34"/>
      <c r="CI1305" s="34"/>
      <c r="CJ1305" s="34"/>
      <c r="CK1305" s="34"/>
      <c r="CL1305" s="34"/>
      <c r="CM1305" s="34"/>
      <c r="CN1305" s="34"/>
      <c r="CO1305" s="34"/>
      <c r="CP1305" s="34"/>
      <c r="CQ1305" s="34"/>
      <c r="CR1305" s="34"/>
      <c r="CS1305" s="34"/>
    </row>
    <row r="1306" spans="7:97" s="246" customFormat="1" x14ac:dyDescent="0.2">
      <c r="G1306" s="2188"/>
      <c r="BS1306" s="34"/>
      <c r="BT1306" s="34"/>
      <c r="BU1306" s="34"/>
      <c r="BV1306" s="34"/>
      <c r="BW1306" s="34"/>
      <c r="BX1306" s="34"/>
      <c r="BY1306" s="34"/>
      <c r="BZ1306" s="34"/>
      <c r="CA1306" s="34"/>
      <c r="CB1306" s="34"/>
      <c r="CC1306" s="34"/>
      <c r="CD1306" s="34"/>
      <c r="CE1306" s="34"/>
      <c r="CF1306" s="34"/>
      <c r="CG1306" s="34"/>
      <c r="CH1306" s="34"/>
      <c r="CI1306" s="34"/>
      <c r="CJ1306" s="34"/>
      <c r="CK1306" s="34"/>
      <c r="CL1306" s="34"/>
      <c r="CM1306" s="34"/>
      <c r="CN1306" s="34"/>
      <c r="CO1306" s="34"/>
      <c r="CP1306" s="34"/>
      <c r="CQ1306" s="34"/>
      <c r="CR1306" s="34"/>
      <c r="CS1306" s="34"/>
    </row>
    <row r="1307" spans="7:97" s="246" customFormat="1" x14ac:dyDescent="0.2">
      <c r="G1307" s="2188"/>
      <c r="BS1307" s="34"/>
      <c r="BT1307" s="34"/>
      <c r="BU1307" s="34"/>
      <c r="BV1307" s="34"/>
      <c r="BW1307" s="34"/>
      <c r="BX1307" s="34"/>
      <c r="BY1307" s="34"/>
      <c r="BZ1307" s="34"/>
      <c r="CA1307" s="34"/>
      <c r="CB1307" s="34"/>
      <c r="CC1307" s="34"/>
      <c r="CD1307" s="34"/>
      <c r="CE1307" s="34"/>
      <c r="CF1307" s="34"/>
      <c r="CG1307" s="34"/>
      <c r="CH1307" s="34"/>
      <c r="CI1307" s="34"/>
      <c r="CJ1307" s="34"/>
      <c r="CK1307" s="34"/>
      <c r="CL1307" s="34"/>
      <c r="CM1307" s="34"/>
      <c r="CN1307" s="34"/>
      <c r="CO1307" s="34"/>
      <c r="CP1307" s="34"/>
      <c r="CQ1307" s="34"/>
      <c r="CR1307" s="34"/>
      <c r="CS1307" s="34"/>
    </row>
    <row r="1308" spans="7:97" s="246" customFormat="1" x14ac:dyDescent="0.2">
      <c r="G1308" s="2188"/>
      <c r="BS1308" s="34"/>
      <c r="BT1308" s="34"/>
      <c r="BU1308" s="34"/>
      <c r="BV1308" s="34"/>
      <c r="BW1308" s="34"/>
      <c r="BX1308" s="34"/>
      <c r="BY1308" s="34"/>
      <c r="BZ1308" s="34"/>
      <c r="CA1308" s="34"/>
      <c r="CB1308" s="34"/>
      <c r="CC1308" s="34"/>
      <c r="CD1308" s="34"/>
      <c r="CE1308" s="34"/>
      <c r="CF1308" s="34"/>
      <c r="CG1308" s="34"/>
      <c r="CH1308" s="34"/>
      <c r="CI1308" s="34"/>
      <c r="CJ1308" s="34"/>
      <c r="CK1308" s="34"/>
      <c r="CL1308" s="34"/>
      <c r="CM1308" s="34"/>
      <c r="CN1308" s="34"/>
      <c r="CO1308" s="34"/>
      <c r="CP1308" s="34"/>
      <c r="CQ1308" s="34"/>
      <c r="CR1308" s="34"/>
      <c r="CS1308" s="34"/>
    </row>
    <row r="1309" spans="7:97" s="246" customFormat="1" x14ac:dyDescent="0.2">
      <c r="G1309" s="2188"/>
      <c r="BS1309" s="34"/>
      <c r="BT1309" s="34"/>
      <c r="BU1309" s="34"/>
      <c r="BV1309" s="34"/>
      <c r="BW1309" s="34"/>
      <c r="BX1309" s="34"/>
      <c r="BY1309" s="34"/>
      <c r="BZ1309" s="34"/>
      <c r="CA1309" s="34"/>
      <c r="CB1309" s="34"/>
      <c r="CC1309" s="34"/>
      <c r="CD1309" s="34"/>
      <c r="CE1309" s="34"/>
      <c r="CF1309" s="34"/>
      <c r="CG1309" s="34"/>
      <c r="CH1309" s="34"/>
      <c r="CI1309" s="34"/>
      <c r="CJ1309" s="34"/>
      <c r="CK1309" s="34"/>
      <c r="CL1309" s="34"/>
      <c r="CM1309" s="34"/>
      <c r="CN1309" s="34"/>
      <c r="CO1309" s="34"/>
      <c r="CP1309" s="34"/>
      <c r="CQ1309" s="34"/>
      <c r="CR1309" s="34"/>
      <c r="CS1309" s="34"/>
    </row>
    <row r="1310" spans="7:97" s="246" customFormat="1" x14ac:dyDescent="0.2">
      <c r="G1310" s="2188"/>
      <c r="BS1310" s="34"/>
      <c r="BT1310" s="34"/>
      <c r="BU1310" s="34"/>
      <c r="BV1310" s="34"/>
      <c r="BW1310" s="34"/>
      <c r="BX1310" s="34"/>
      <c r="BY1310" s="34"/>
      <c r="BZ1310" s="34"/>
      <c r="CA1310" s="34"/>
      <c r="CB1310" s="34"/>
      <c r="CC1310" s="34"/>
      <c r="CD1310" s="34"/>
      <c r="CE1310" s="34"/>
      <c r="CF1310" s="34"/>
      <c r="CG1310" s="34"/>
      <c r="CH1310" s="34"/>
      <c r="CI1310" s="34"/>
      <c r="CJ1310" s="34"/>
      <c r="CK1310" s="34"/>
      <c r="CL1310" s="34"/>
      <c r="CM1310" s="34"/>
      <c r="CN1310" s="34"/>
      <c r="CO1310" s="34"/>
      <c r="CP1310" s="34"/>
      <c r="CQ1310" s="34"/>
      <c r="CR1310" s="34"/>
      <c r="CS1310" s="34"/>
    </row>
    <row r="1311" spans="7:97" s="246" customFormat="1" x14ac:dyDescent="0.2">
      <c r="G1311" s="2188"/>
      <c r="BS1311" s="34"/>
      <c r="BT1311" s="34"/>
      <c r="BU1311" s="34"/>
      <c r="BV1311" s="34"/>
      <c r="BW1311" s="34"/>
      <c r="BX1311" s="34"/>
      <c r="BY1311" s="34"/>
      <c r="BZ1311" s="34"/>
      <c r="CA1311" s="34"/>
      <c r="CB1311" s="34"/>
      <c r="CC1311" s="34"/>
      <c r="CD1311" s="34"/>
      <c r="CE1311" s="34"/>
      <c r="CF1311" s="34"/>
      <c r="CG1311" s="34"/>
      <c r="CH1311" s="34"/>
      <c r="CI1311" s="34"/>
      <c r="CJ1311" s="34"/>
      <c r="CK1311" s="34"/>
      <c r="CL1311" s="34"/>
      <c r="CM1311" s="34"/>
      <c r="CN1311" s="34"/>
      <c r="CO1311" s="34"/>
      <c r="CP1311" s="34"/>
      <c r="CQ1311" s="34"/>
      <c r="CR1311" s="34"/>
      <c r="CS1311" s="34"/>
    </row>
    <row r="1312" spans="7:97" s="246" customFormat="1" x14ac:dyDescent="0.2">
      <c r="G1312" s="2188"/>
      <c r="BS1312" s="34"/>
      <c r="BT1312" s="34"/>
      <c r="BU1312" s="34"/>
      <c r="BV1312" s="34"/>
      <c r="BW1312" s="34"/>
      <c r="BX1312" s="34"/>
      <c r="BY1312" s="34"/>
      <c r="BZ1312" s="34"/>
      <c r="CA1312" s="34"/>
      <c r="CB1312" s="34"/>
      <c r="CC1312" s="34"/>
      <c r="CD1312" s="34"/>
      <c r="CE1312" s="34"/>
      <c r="CF1312" s="34"/>
      <c r="CG1312" s="34"/>
      <c r="CH1312" s="34"/>
      <c r="CI1312" s="34"/>
      <c r="CJ1312" s="34"/>
      <c r="CK1312" s="34"/>
      <c r="CL1312" s="34"/>
      <c r="CM1312" s="34"/>
      <c r="CN1312" s="34"/>
      <c r="CO1312" s="34"/>
      <c r="CP1312" s="34"/>
      <c r="CQ1312" s="34"/>
      <c r="CR1312" s="34"/>
      <c r="CS1312" s="34"/>
    </row>
    <row r="1313" spans="7:97" s="246" customFormat="1" x14ac:dyDescent="0.2">
      <c r="G1313" s="2188"/>
      <c r="BS1313" s="34"/>
      <c r="BT1313" s="34"/>
      <c r="BU1313" s="34"/>
      <c r="BV1313" s="34"/>
      <c r="BW1313" s="34"/>
      <c r="BX1313" s="34"/>
      <c r="BY1313" s="34"/>
      <c r="BZ1313" s="34"/>
      <c r="CA1313" s="34"/>
      <c r="CB1313" s="34"/>
      <c r="CC1313" s="34"/>
      <c r="CD1313" s="34"/>
      <c r="CE1313" s="34"/>
      <c r="CF1313" s="34"/>
      <c r="CG1313" s="34"/>
      <c r="CH1313" s="34"/>
      <c r="CI1313" s="34"/>
      <c r="CJ1313" s="34"/>
      <c r="CK1313" s="34"/>
      <c r="CL1313" s="34"/>
      <c r="CM1313" s="34"/>
      <c r="CN1313" s="34"/>
      <c r="CO1313" s="34"/>
      <c r="CP1313" s="34"/>
      <c r="CQ1313" s="34"/>
      <c r="CR1313" s="34"/>
      <c r="CS1313" s="34"/>
    </row>
    <row r="1314" spans="7:97" s="246" customFormat="1" x14ac:dyDescent="0.2">
      <c r="G1314" s="2188"/>
      <c r="BS1314" s="34"/>
      <c r="BT1314" s="34"/>
      <c r="BU1314" s="34"/>
      <c r="BV1314" s="34"/>
      <c r="BW1314" s="34"/>
      <c r="BX1314" s="34"/>
      <c r="BY1314" s="34"/>
      <c r="BZ1314" s="34"/>
      <c r="CA1314" s="34"/>
      <c r="CB1314" s="34"/>
      <c r="CC1314" s="34"/>
      <c r="CD1314" s="34"/>
      <c r="CE1314" s="34"/>
      <c r="CF1314" s="34"/>
      <c r="CG1314" s="34"/>
      <c r="CH1314" s="34"/>
      <c r="CI1314" s="34"/>
      <c r="CJ1314" s="34"/>
      <c r="CK1314" s="34"/>
      <c r="CL1314" s="34"/>
      <c r="CM1314" s="34"/>
      <c r="CN1314" s="34"/>
      <c r="CO1314" s="34"/>
      <c r="CP1314" s="34"/>
      <c r="CQ1314" s="34"/>
      <c r="CR1314" s="34"/>
      <c r="CS1314" s="34"/>
    </row>
    <row r="1315" spans="7:97" s="246" customFormat="1" x14ac:dyDescent="0.2">
      <c r="G1315" s="2188"/>
      <c r="BS1315" s="34"/>
      <c r="BT1315" s="34"/>
      <c r="BU1315" s="34"/>
      <c r="BV1315" s="34"/>
      <c r="BW1315" s="34"/>
      <c r="BX1315" s="34"/>
      <c r="BY1315" s="34"/>
      <c r="BZ1315" s="34"/>
      <c r="CA1315" s="34"/>
      <c r="CB1315" s="34"/>
      <c r="CC1315" s="34"/>
      <c r="CD1315" s="34"/>
      <c r="CE1315" s="34"/>
      <c r="CF1315" s="34"/>
      <c r="CG1315" s="34"/>
      <c r="CH1315" s="34"/>
      <c r="CI1315" s="34"/>
      <c r="CJ1315" s="34"/>
      <c r="CK1315" s="34"/>
      <c r="CL1315" s="34"/>
      <c r="CM1315" s="34"/>
      <c r="CN1315" s="34"/>
      <c r="CO1315" s="34"/>
      <c r="CP1315" s="34"/>
      <c r="CQ1315" s="34"/>
      <c r="CR1315" s="34"/>
      <c r="CS1315" s="34"/>
    </row>
    <row r="1316" spans="7:97" s="246" customFormat="1" x14ac:dyDescent="0.2">
      <c r="G1316" s="2188"/>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row>
    <row r="1317" spans="7:97" s="246" customFormat="1" x14ac:dyDescent="0.2">
      <c r="G1317" s="2188"/>
      <c r="BS1317" s="34"/>
      <c r="BT1317" s="34"/>
      <c r="BU1317" s="34"/>
      <c r="BV1317" s="34"/>
      <c r="BW1317" s="34"/>
      <c r="BX1317" s="34"/>
      <c r="BY1317" s="34"/>
      <c r="BZ1317" s="34"/>
      <c r="CA1317" s="34"/>
      <c r="CB1317" s="34"/>
      <c r="CC1317" s="34"/>
      <c r="CD1317" s="34"/>
      <c r="CE1317" s="34"/>
      <c r="CF1317" s="34"/>
      <c r="CG1317" s="34"/>
      <c r="CH1317" s="34"/>
      <c r="CI1317" s="34"/>
      <c r="CJ1317" s="34"/>
      <c r="CK1317" s="34"/>
      <c r="CL1317" s="34"/>
      <c r="CM1317" s="34"/>
      <c r="CN1317" s="34"/>
      <c r="CO1317" s="34"/>
      <c r="CP1317" s="34"/>
      <c r="CQ1317" s="34"/>
      <c r="CR1317" s="34"/>
      <c r="CS1317" s="34"/>
    </row>
    <row r="1318" spans="7:97" s="246" customFormat="1" x14ac:dyDescent="0.2">
      <c r="G1318" s="2188"/>
      <c r="BS1318" s="34"/>
      <c r="BT1318" s="34"/>
      <c r="BU1318" s="34"/>
      <c r="BV1318" s="34"/>
      <c r="BW1318" s="34"/>
      <c r="BX1318" s="34"/>
      <c r="BY1318" s="34"/>
      <c r="BZ1318" s="34"/>
      <c r="CA1318" s="34"/>
      <c r="CB1318" s="34"/>
      <c r="CC1318" s="34"/>
      <c r="CD1318" s="34"/>
      <c r="CE1318" s="34"/>
      <c r="CF1318" s="34"/>
      <c r="CG1318" s="34"/>
      <c r="CH1318" s="34"/>
      <c r="CI1318" s="34"/>
      <c r="CJ1318" s="34"/>
      <c r="CK1318" s="34"/>
      <c r="CL1318" s="34"/>
      <c r="CM1318" s="34"/>
      <c r="CN1318" s="34"/>
      <c r="CO1318" s="34"/>
      <c r="CP1318" s="34"/>
      <c r="CQ1318" s="34"/>
      <c r="CR1318" s="34"/>
      <c r="CS1318" s="34"/>
    </row>
    <row r="1319" spans="7:97" s="246" customFormat="1" x14ac:dyDescent="0.2">
      <c r="G1319" s="2188"/>
      <c r="BS1319" s="34"/>
      <c r="BT1319" s="34"/>
      <c r="BU1319" s="34"/>
      <c r="BV1319" s="34"/>
      <c r="BW1319" s="34"/>
      <c r="BX1319" s="34"/>
      <c r="BY1319" s="34"/>
      <c r="BZ1319" s="34"/>
      <c r="CA1319" s="34"/>
      <c r="CB1319" s="34"/>
      <c r="CC1319" s="34"/>
      <c r="CD1319" s="34"/>
      <c r="CE1319" s="34"/>
      <c r="CF1319" s="34"/>
      <c r="CG1319" s="34"/>
      <c r="CH1319" s="34"/>
      <c r="CI1319" s="34"/>
      <c r="CJ1319" s="34"/>
      <c r="CK1319" s="34"/>
      <c r="CL1319" s="34"/>
      <c r="CM1319" s="34"/>
      <c r="CN1319" s="34"/>
      <c r="CO1319" s="34"/>
      <c r="CP1319" s="34"/>
      <c r="CQ1319" s="34"/>
      <c r="CR1319" s="34"/>
      <c r="CS1319" s="34"/>
    </row>
    <row r="1320" spans="7:97" s="246" customFormat="1" x14ac:dyDescent="0.2">
      <c r="G1320" s="2188"/>
      <c r="BS1320" s="34"/>
      <c r="BT1320" s="34"/>
      <c r="BU1320" s="34"/>
      <c r="BV1320" s="34"/>
      <c r="BW1320" s="34"/>
      <c r="BX1320" s="34"/>
      <c r="BY1320" s="34"/>
      <c r="BZ1320" s="34"/>
      <c r="CA1320" s="34"/>
      <c r="CB1320" s="34"/>
      <c r="CC1320" s="34"/>
      <c r="CD1320" s="34"/>
      <c r="CE1320" s="34"/>
      <c r="CF1320" s="34"/>
      <c r="CG1320" s="34"/>
      <c r="CH1320" s="34"/>
      <c r="CI1320" s="34"/>
      <c r="CJ1320" s="34"/>
      <c r="CK1320" s="34"/>
      <c r="CL1320" s="34"/>
      <c r="CM1320" s="34"/>
      <c r="CN1320" s="34"/>
      <c r="CO1320" s="34"/>
      <c r="CP1320" s="34"/>
      <c r="CQ1320" s="34"/>
      <c r="CR1320" s="34"/>
      <c r="CS1320" s="34"/>
    </row>
    <row r="1321" spans="7:97" s="246" customFormat="1" x14ac:dyDescent="0.2">
      <c r="G1321" s="2188"/>
      <c r="BS1321" s="34"/>
      <c r="BT1321" s="34"/>
      <c r="BU1321" s="34"/>
      <c r="BV1321" s="34"/>
      <c r="BW1321" s="34"/>
      <c r="BX1321" s="34"/>
      <c r="BY1321" s="34"/>
      <c r="BZ1321" s="34"/>
      <c r="CA1321" s="34"/>
      <c r="CB1321" s="34"/>
      <c r="CC1321" s="34"/>
      <c r="CD1321" s="34"/>
      <c r="CE1321" s="34"/>
      <c r="CF1321" s="34"/>
      <c r="CG1321" s="34"/>
      <c r="CH1321" s="34"/>
      <c r="CI1321" s="34"/>
      <c r="CJ1321" s="34"/>
      <c r="CK1321" s="34"/>
      <c r="CL1321" s="34"/>
      <c r="CM1321" s="34"/>
      <c r="CN1321" s="34"/>
      <c r="CO1321" s="34"/>
      <c r="CP1321" s="34"/>
      <c r="CQ1321" s="34"/>
      <c r="CR1321" s="34"/>
      <c r="CS1321" s="34"/>
    </row>
    <row r="1322" spans="7:97" s="246" customFormat="1" x14ac:dyDescent="0.2">
      <c r="G1322" s="2188"/>
      <c r="BS1322" s="34"/>
      <c r="BT1322" s="34"/>
      <c r="BU1322" s="34"/>
      <c r="BV1322" s="34"/>
      <c r="BW1322" s="34"/>
      <c r="BX1322" s="34"/>
      <c r="BY1322" s="34"/>
      <c r="BZ1322" s="34"/>
      <c r="CA1322" s="34"/>
      <c r="CB1322" s="34"/>
      <c r="CC1322" s="34"/>
      <c r="CD1322" s="34"/>
      <c r="CE1322" s="34"/>
      <c r="CF1322" s="34"/>
      <c r="CG1322" s="34"/>
      <c r="CH1322" s="34"/>
      <c r="CI1322" s="34"/>
      <c r="CJ1322" s="34"/>
      <c r="CK1322" s="34"/>
      <c r="CL1322" s="34"/>
      <c r="CM1322" s="34"/>
      <c r="CN1322" s="34"/>
      <c r="CO1322" s="34"/>
      <c r="CP1322" s="34"/>
      <c r="CQ1322" s="34"/>
      <c r="CR1322" s="34"/>
      <c r="CS1322" s="34"/>
    </row>
    <row r="1323" spans="7:97" s="246" customFormat="1" x14ac:dyDescent="0.2">
      <c r="G1323" s="2188"/>
      <c r="BS1323" s="34"/>
      <c r="BT1323" s="34"/>
      <c r="BU1323" s="34"/>
      <c r="BV1323" s="34"/>
      <c r="BW1323" s="34"/>
      <c r="BX1323" s="34"/>
      <c r="BY1323" s="34"/>
      <c r="BZ1323" s="34"/>
      <c r="CA1323" s="34"/>
      <c r="CB1323" s="34"/>
      <c r="CC1323" s="34"/>
      <c r="CD1323" s="34"/>
      <c r="CE1323" s="34"/>
      <c r="CF1323" s="34"/>
      <c r="CG1323" s="34"/>
      <c r="CH1323" s="34"/>
      <c r="CI1323" s="34"/>
      <c r="CJ1323" s="34"/>
      <c r="CK1323" s="34"/>
      <c r="CL1323" s="34"/>
      <c r="CM1323" s="34"/>
      <c r="CN1323" s="34"/>
      <c r="CO1323" s="34"/>
      <c r="CP1323" s="34"/>
      <c r="CQ1323" s="34"/>
      <c r="CR1323" s="34"/>
      <c r="CS1323" s="34"/>
    </row>
    <row r="1324" spans="7:97" s="246" customFormat="1" x14ac:dyDescent="0.2">
      <c r="G1324" s="2188"/>
      <c r="BS1324" s="34"/>
      <c r="BT1324" s="34"/>
      <c r="BU1324" s="34"/>
      <c r="BV1324" s="34"/>
      <c r="BW1324" s="34"/>
      <c r="BX1324" s="34"/>
      <c r="BY1324" s="34"/>
      <c r="BZ1324" s="34"/>
      <c r="CA1324" s="34"/>
      <c r="CB1324" s="34"/>
      <c r="CC1324" s="34"/>
      <c r="CD1324" s="34"/>
      <c r="CE1324" s="34"/>
      <c r="CF1324" s="34"/>
      <c r="CG1324" s="34"/>
      <c r="CH1324" s="34"/>
      <c r="CI1324" s="34"/>
      <c r="CJ1324" s="34"/>
      <c r="CK1324" s="34"/>
      <c r="CL1324" s="34"/>
      <c r="CM1324" s="34"/>
      <c r="CN1324" s="34"/>
      <c r="CO1324" s="34"/>
      <c r="CP1324" s="34"/>
      <c r="CQ1324" s="34"/>
      <c r="CR1324" s="34"/>
      <c r="CS1324" s="34"/>
    </row>
    <row r="1325" spans="7:97" s="246" customFormat="1" x14ac:dyDescent="0.2">
      <c r="G1325" s="2188"/>
      <c r="BS1325" s="34"/>
      <c r="BT1325" s="34"/>
      <c r="BU1325" s="34"/>
      <c r="BV1325" s="34"/>
      <c r="BW1325" s="34"/>
      <c r="BX1325" s="34"/>
      <c r="BY1325" s="34"/>
      <c r="BZ1325" s="34"/>
      <c r="CA1325" s="34"/>
      <c r="CB1325" s="34"/>
      <c r="CC1325" s="34"/>
      <c r="CD1325" s="34"/>
      <c r="CE1325" s="34"/>
      <c r="CF1325" s="34"/>
      <c r="CG1325" s="34"/>
      <c r="CH1325" s="34"/>
      <c r="CI1325" s="34"/>
      <c r="CJ1325" s="34"/>
      <c r="CK1325" s="34"/>
      <c r="CL1325" s="34"/>
      <c r="CM1325" s="34"/>
      <c r="CN1325" s="34"/>
      <c r="CO1325" s="34"/>
      <c r="CP1325" s="34"/>
      <c r="CQ1325" s="34"/>
      <c r="CR1325" s="34"/>
      <c r="CS1325" s="34"/>
    </row>
    <row r="1326" spans="7:97" s="246" customFormat="1" x14ac:dyDescent="0.2">
      <c r="G1326" s="2188"/>
      <c r="BS1326" s="34"/>
      <c r="BT1326" s="34"/>
      <c r="BU1326" s="34"/>
      <c r="BV1326" s="34"/>
      <c r="BW1326" s="34"/>
      <c r="BX1326" s="34"/>
      <c r="BY1326" s="34"/>
      <c r="BZ1326" s="34"/>
      <c r="CA1326" s="34"/>
      <c r="CB1326" s="34"/>
      <c r="CC1326" s="34"/>
      <c r="CD1326" s="34"/>
      <c r="CE1326" s="34"/>
      <c r="CF1326" s="34"/>
      <c r="CG1326" s="34"/>
      <c r="CH1326" s="34"/>
      <c r="CI1326" s="34"/>
      <c r="CJ1326" s="34"/>
      <c r="CK1326" s="34"/>
      <c r="CL1326" s="34"/>
      <c r="CM1326" s="34"/>
      <c r="CN1326" s="34"/>
      <c r="CO1326" s="34"/>
      <c r="CP1326" s="34"/>
      <c r="CQ1326" s="34"/>
      <c r="CR1326" s="34"/>
      <c r="CS1326" s="34"/>
    </row>
    <row r="1327" spans="7:97" s="246" customFormat="1" x14ac:dyDescent="0.2">
      <c r="G1327" s="2188"/>
      <c r="BS1327" s="34"/>
      <c r="BT1327" s="34"/>
      <c r="BU1327" s="34"/>
      <c r="BV1327" s="34"/>
      <c r="BW1327" s="34"/>
      <c r="BX1327" s="34"/>
      <c r="BY1327" s="34"/>
      <c r="BZ1327" s="34"/>
      <c r="CA1327" s="34"/>
      <c r="CB1327" s="34"/>
      <c r="CC1327" s="34"/>
      <c r="CD1327" s="34"/>
      <c r="CE1327" s="34"/>
      <c r="CF1327" s="34"/>
      <c r="CG1327" s="34"/>
      <c r="CH1327" s="34"/>
      <c r="CI1327" s="34"/>
      <c r="CJ1327" s="34"/>
      <c r="CK1327" s="34"/>
      <c r="CL1327" s="34"/>
      <c r="CM1327" s="34"/>
      <c r="CN1327" s="34"/>
      <c r="CO1327" s="34"/>
      <c r="CP1327" s="34"/>
      <c r="CQ1327" s="34"/>
      <c r="CR1327" s="34"/>
      <c r="CS1327" s="34"/>
    </row>
    <row r="1328" spans="7:97" s="246" customFormat="1" x14ac:dyDescent="0.2">
      <c r="G1328" s="2188"/>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row>
    <row r="1329" spans="7:97" s="246" customFormat="1" x14ac:dyDescent="0.2">
      <c r="G1329" s="2188"/>
      <c r="BS1329" s="34"/>
      <c r="BT1329" s="34"/>
      <c r="BU1329" s="34"/>
      <c r="BV1329" s="34"/>
      <c r="BW1329" s="34"/>
      <c r="BX1329" s="34"/>
      <c r="BY1329" s="34"/>
      <c r="BZ1329" s="34"/>
      <c r="CA1329" s="34"/>
      <c r="CB1329" s="34"/>
      <c r="CC1329" s="34"/>
      <c r="CD1329" s="34"/>
      <c r="CE1329" s="34"/>
      <c r="CF1329" s="34"/>
      <c r="CG1329" s="34"/>
      <c r="CH1329" s="34"/>
      <c r="CI1329" s="34"/>
      <c r="CJ1329" s="34"/>
      <c r="CK1329" s="34"/>
      <c r="CL1329" s="34"/>
      <c r="CM1329" s="34"/>
      <c r="CN1329" s="34"/>
      <c r="CO1329" s="34"/>
      <c r="CP1329" s="34"/>
      <c r="CQ1329" s="34"/>
      <c r="CR1329" s="34"/>
      <c r="CS1329" s="34"/>
    </row>
    <row r="1330" spans="7:97" s="246" customFormat="1" x14ac:dyDescent="0.2">
      <c r="G1330" s="2188"/>
      <c r="BS1330" s="34"/>
      <c r="BT1330" s="34"/>
      <c r="BU1330" s="34"/>
      <c r="BV1330" s="34"/>
      <c r="BW1330" s="34"/>
      <c r="BX1330" s="34"/>
      <c r="BY1330" s="34"/>
      <c r="BZ1330" s="34"/>
      <c r="CA1330" s="34"/>
      <c r="CB1330" s="34"/>
      <c r="CC1330" s="34"/>
      <c r="CD1330" s="34"/>
      <c r="CE1330" s="34"/>
      <c r="CF1330" s="34"/>
      <c r="CG1330" s="34"/>
      <c r="CH1330" s="34"/>
      <c r="CI1330" s="34"/>
      <c r="CJ1330" s="34"/>
      <c r="CK1330" s="34"/>
      <c r="CL1330" s="34"/>
      <c r="CM1330" s="34"/>
      <c r="CN1330" s="34"/>
      <c r="CO1330" s="34"/>
      <c r="CP1330" s="34"/>
      <c r="CQ1330" s="34"/>
      <c r="CR1330" s="34"/>
      <c r="CS1330" s="34"/>
    </row>
    <row r="1331" spans="7:97" s="246" customFormat="1" x14ac:dyDescent="0.2">
      <c r="G1331" s="2188"/>
      <c r="BS1331" s="34"/>
      <c r="BT1331" s="34"/>
      <c r="BU1331" s="34"/>
      <c r="BV1331" s="34"/>
      <c r="BW1331" s="34"/>
      <c r="BX1331" s="34"/>
      <c r="BY1331" s="34"/>
      <c r="BZ1331" s="34"/>
      <c r="CA1331" s="34"/>
      <c r="CB1331" s="34"/>
      <c r="CC1331" s="34"/>
      <c r="CD1331" s="34"/>
      <c r="CE1331" s="34"/>
      <c r="CF1331" s="34"/>
      <c r="CG1331" s="34"/>
      <c r="CH1331" s="34"/>
      <c r="CI1331" s="34"/>
      <c r="CJ1331" s="34"/>
      <c r="CK1331" s="34"/>
      <c r="CL1331" s="34"/>
      <c r="CM1331" s="34"/>
      <c r="CN1331" s="34"/>
      <c r="CO1331" s="34"/>
      <c r="CP1331" s="34"/>
      <c r="CQ1331" s="34"/>
      <c r="CR1331" s="34"/>
      <c r="CS1331" s="34"/>
    </row>
    <row r="1332" spans="7:97" s="246" customFormat="1" x14ac:dyDescent="0.2">
      <c r="G1332" s="2188"/>
      <c r="BS1332" s="34"/>
      <c r="BT1332" s="34"/>
      <c r="BU1332" s="34"/>
      <c r="BV1332" s="34"/>
      <c r="BW1332" s="34"/>
      <c r="BX1332" s="34"/>
      <c r="BY1332" s="34"/>
      <c r="BZ1332" s="34"/>
      <c r="CA1332" s="34"/>
      <c r="CB1332" s="34"/>
      <c r="CC1332" s="34"/>
      <c r="CD1332" s="34"/>
      <c r="CE1332" s="34"/>
      <c r="CF1332" s="34"/>
      <c r="CG1332" s="34"/>
      <c r="CH1332" s="34"/>
      <c r="CI1332" s="34"/>
      <c r="CJ1332" s="34"/>
      <c r="CK1332" s="34"/>
      <c r="CL1332" s="34"/>
      <c r="CM1332" s="34"/>
      <c r="CN1332" s="34"/>
      <c r="CO1332" s="34"/>
      <c r="CP1332" s="34"/>
      <c r="CQ1332" s="34"/>
      <c r="CR1332" s="34"/>
      <c r="CS1332" s="34"/>
    </row>
    <row r="1333" spans="7:97" s="246" customFormat="1" x14ac:dyDescent="0.2">
      <c r="G1333" s="2188"/>
      <c r="BS1333" s="34"/>
      <c r="BT1333" s="34"/>
      <c r="BU1333" s="34"/>
      <c r="BV1333" s="34"/>
      <c r="BW1333" s="34"/>
      <c r="BX1333" s="34"/>
      <c r="BY1333" s="34"/>
      <c r="BZ1333" s="34"/>
      <c r="CA1333" s="34"/>
      <c r="CB1333" s="34"/>
      <c r="CC1333" s="34"/>
      <c r="CD1333" s="34"/>
      <c r="CE1333" s="34"/>
      <c r="CF1333" s="34"/>
      <c r="CG1333" s="34"/>
      <c r="CH1333" s="34"/>
      <c r="CI1333" s="34"/>
      <c r="CJ1333" s="34"/>
      <c r="CK1333" s="34"/>
      <c r="CL1333" s="34"/>
      <c r="CM1333" s="34"/>
      <c r="CN1333" s="34"/>
      <c r="CO1333" s="34"/>
      <c r="CP1333" s="34"/>
      <c r="CQ1333" s="34"/>
      <c r="CR1333" s="34"/>
      <c r="CS1333" s="34"/>
    </row>
    <row r="1334" spans="7:97" s="246" customFormat="1" x14ac:dyDescent="0.2">
      <c r="G1334" s="2188"/>
      <c r="BS1334" s="34"/>
      <c r="BT1334" s="34"/>
      <c r="BU1334" s="34"/>
      <c r="BV1334" s="34"/>
      <c r="BW1334" s="34"/>
      <c r="BX1334" s="34"/>
      <c r="BY1334" s="34"/>
      <c r="BZ1334" s="34"/>
      <c r="CA1334" s="34"/>
      <c r="CB1334" s="34"/>
      <c r="CC1334" s="34"/>
      <c r="CD1334" s="34"/>
      <c r="CE1334" s="34"/>
      <c r="CF1334" s="34"/>
      <c r="CG1334" s="34"/>
      <c r="CH1334" s="34"/>
      <c r="CI1334" s="34"/>
      <c r="CJ1334" s="34"/>
      <c r="CK1334" s="34"/>
      <c r="CL1334" s="34"/>
      <c r="CM1334" s="34"/>
      <c r="CN1334" s="34"/>
      <c r="CO1334" s="34"/>
      <c r="CP1334" s="34"/>
      <c r="CQ1334" s="34"/>
      <c r="CR1334" s="34"/>
      <c r="CS1334" s="34"/>
    </row>
    <row r="1335" spans="7:97" s="246" customFormat="1" x14ac:dyDescent="0.2">
      <c r="G1335" s="2188"/>
      <c r="BS1335" s="34"/>
      <c r="BT1335" s="34"/>
      <c r="BU1335" s="34"/>
      <c r="BV1335" s="34"/>
      <c r="BW1335" s="34"/>
      <c r="BX1335" s="34"/>
      <c r="BY1335" s="34"/>
      <c r="BZ1335" s="34"/>
      <c r="CA1335" s="34"/>
      <c r="CB1335" s="34"/>
      <c r="CC1335" s="34"/>
      <c r="CD1335" s="34"/>
      <c r="CE1335" s="34"/>
      <c r="CF1335" s="34"/>
      <c r="CG1335" s="34"/>
      <c r="CH1335" s="34"/>
      <c r="CI1335" s="34"/>
      <c r="CJ1335" s="34"/>
      <c r="CK1335" s="34"/>
      <c r="CL1335" s="34"/>
      <c r="CM1335" s="34"/>
      <c r="CN1335" s="34"/>
      <c r="CO1335" s="34"/>
      <c r="CP1335" s="34"/>
      <c r="CQ1335" s="34"/>
      <c r="CR1335" s="34"/>
      <c r="CS1335" s="34"/>
    </row>
    <row r="1336" spans="7:97" s="246" customFormat="1" x14ac:dyDescent="0.2">
      <c r="G1336" s="2188"/>
      <c r="BS1336" s="34"/>
      <c r="BT1336" s="34"/>
      <c r="BU1336" s="34"/>
      <c r="BV1336" s="34"/>
      <c r="BW1336" s="34"/>
      <c r="BX1336" s="34"/>
      <c r="BY1336" s="34"/>
      <c r="BZ1336" s="34"/>
      <c r="CA1336" s="34"/>
      <c r="CB1336" s="34"/>
      <c r="CC1336" s="34"/>
      <c r="CD1336" s="34"/>
      <c r="CE1336" s="34"/>
      <c r="CF1336" s="34"/>
      <c r="CG1336" s="34"/>
      <c r="CH1336" s="34"/>
      <c r="CI1336" s="34"/>
      <c r="CJ1336" s="34"/>
      <c r="CK1336" s="34"/>
      <c r="CL1336" s="34"/>
      <c r="CM1336" s="34"/>
      <c r="CN1336" s="34"/>
      <c r="CO1336" s="34"/>
      <c r="CP1336" s="34"/>
      <c r="CQ1336" s="34"/>
      <c r="CR1336" s="34"/>
      <c r="CS1336" s="34"/>
    </row>
    <row r="1337" spans="7:97" s="246" customFormat="1" x14ac:dyDescent="0.2">
      <c r="G1337" s="2188"/>
      <c r="BS1337" s="34"/>
      <c r="BT1337" s="34"/>
      <c r="BU1337" s="34"/>
      <c r="BV1337" s="34"/>
      <c r="BW1337" s="34"/>
      <c r="BX1337" s="34"/>
      <c r="BY1337" s="34"/>
      <c r="BZ1337" s="34"/>
      <c r="CA1337" s="34"/>
      <c r="CB1337" s="34"/>
      <c r="CC1337" s="34"/>
      <c r="CD1337" s="34"/>
      <c r="CE1337" s="34"/>
      <c r="CF1337" s="34"/>
      <c r="CG1337" s="34"/>
      <c r="CH1337" s="34"/>
      <c r="CI1337" s="34"/>
      <c r="CJ1337" s="34"/>
      <c r="CK1337" s="34"/>
      <c r="CL1337" s="34"/>
      <c r="CM1337" s="34"/>
      <c r="CN1337" s="34"/>
      <c r="CO1337" s="34"/>
      <c r="CP1337" s="34"/>
      <c r="CQ1337" s="34"/>
      <c r="CR1337" s="34"/>
      <c r="CS1337" s="34"/>
    </row>
    <row r="1338" spans="7:97" s="246" customFormat="1" x14ac:dyDescent="0.2">
      <c r="G1338" s="2188"/>
      <c r="BS1338" s="34"/>
      <c r="BT1338" s="34"/>
      <c r="BU1338" s="34"/>
      <c r="BV1338" s="34"/>
      <c r="BW1338" s="34"/>
      <c r="BX1338" s="34"/>
      <c r="BY1338" s="34"/>
      <c r="BZ1338" s="34"/>
      <c r="CA1338" s="34"/>
      <c r="CB1338" s="34"/>
      <c r="CC1338" s="34"/>
      <c r="CD1338" s="34"/>
      <c r="CE1338" s="34"/>
      <c r="CF1338" s="34"/>
      <c r="CG1338" s="34"/>
      <c r="CH1338" s="34"/>
      <c r="CI1338" s="34"/>
      <c r="CJ1338" s="34"/>
      <c r="CK1338" s="34"/>
      <c r="CL1338" s="34"/>
      <c r="CM1338" s="34"/>
      <c r="CN1338" s="34"/>
      <c r="CO1338" s="34"/>
      <c r="CP1338" s="34"/>
      <c r="CQ1338" s="34"/>
      <c r="CR1338" s="34"/>
      <c r="CS1338" s="34"/>
    </row>
    <row r="1339" spans="7:97" s="246" customFormat="1" x14ac:dyDescent="0.2">
      <c r="G1339" s="2188"/>
      <c r="BS1339" s="34"/>
      <c r="BT1339" s="34"/>
      <c r="BU1339" s="34"/>
      <c r="BV1339" s="34"/>
      <c r="BW1339" s="34"/>
      <c r="BX1339" s="34"/>
      <c r="BY1339" s="34"/>
      <c r="BZ1339" s="34"/>
      <c r="CA1339" s="34"/>
      <c r="CB1339" s="34"/>
      <c r="CC1339" s="34"/>
      <c r="CD1339" s="34"/>
      <c r="CE1339" s="34"/>
      <c r="CF1339" s="34"/>
      <c r="CG1339" s="34"/>
      <c r="CH1339" s="34"/>
      <c r="CI1339" s="34"/>
      <c r="CJ1339" s="34"/>
      <c r="CK1339" s="34"/>
      <c r="CL1339" s="34"/>
      <c r="CM1339" s="34"/>
      <c r="CN1339" s="34"/>
      <c r="CO1339" s="34"/>
      <c r="CP1339" s="34"/>
      <c r="CQ1339" s="34"/>
      <c r="CR1339" s="34"/>
      <c r="CS1339" s="34"/>
    </row>
    <row r="1340" spans="7:97" s="246" customFormat="1" x14ac:dyDescent="0.2">
      <c r="G1340" s="2188"/>
      <c r="BS1340" s="34"/>
      <c r="BT1340" s="34"/>
      <c r="BU1340" s="34"/>
      <c r="BV1340" s="34"/>
      <c r="BW1340" s="34"/>
      <c r="BX1340" s="34"/>
      <c r="BY1340" s="34"/>
      <c r="BZ1340" s="34"/>
      <c r="CA1340" s="34"/>
      <c r="CB1340" s="34"/>
      <c r="CC1340" s="34"/>
      <c r="CD1340" s="34"/>
      <c r="CE1340" s="34"/>
      <c r="CF1340" s="34"/>
      <c r="CG1340" s="34"/>
      <c r="CH1340" s="34"/>
      <c r="CI1340" s="34"/>
      <c r="CJ1340" s="34"/>
      <c r="CK1340" s="34"/>
      <c r="CL1340" s="34"/>
      <c r="CM1340" s="34"/>
      <c r="CN1340" s="34"/>
      <c r="CO1340" s="34"/>
      <c r="CP1340" s="34"/>
      <c r="CQ1340" s="34"/>
      <c r="CR1340" s="34"/>
      <c r="CS1340" s="34"/>
    </row>
    <row r="1341" spans="7:97" s="246" customFormat="1" x14ac:dyDescent="0.2">
      <c r="G1341" s="2188"/>
      <c r="BS1341" s="34"/>
      <c r="BT1341" s="34"/>
      <c r="BU1341" s="34"/>
      <c r="BV1341" s="34"/>
      <c r="BW1341" s="34"/>
      <c r="BX1341" s="34"/>
      <c r="BY1341" s="34"/>
      <c r="BZ1341" s="34"/>
      <c r="CA1341" s="34"/>
      <c r="CB1341" s="34"/>
      <c r="CC1341" s="34"/>
      <c r="CD1341" s="34"/>
      <c r="CE1341" s="34"/>
      <c r="CF1341" s="34"/>
      <c r="CG1341" s="34"/>
      <c r="CH1341" s="34"/>
      <c r="CI1341" s="34"/>
      <c r="CJ1341" s="34"/>
      <c r="CK1341" s="34"/>
      <c r="CL1341" s="34"/>
      <c r="CM1341" s="34"/>
      <c r="CN1341" s="34"/>
      <c r="CO1341" s="34"/>
      <c r="CP1341" s="34"/>
      <c r="CQ1341" s="34"/>
      <c r="CR1341" s="34"/>
      <c r="CS1341" s="34"/>
    </row>
    <row r="1342" spans="7:97" s="246" customFormat="1" x14ac:dyDescent="0.2">
      <c r="G1342" s="2188"/>
      <c r="BS1342" s="34"/>
      <c r="BT1342" s="34"/>
      <c r="BU1342" s="34"/>
      <c r="BV1342" s="34"/>
      <c r="BW1342" s="34"/>
      <c r="BX1342" s="34"/>
      <c r="BY1342" s="34"/>
      <c r="BZ1342" s="34"/>
      <c r="CA1342" s="34"/>
      <c r="CB1342" s="34"/>
      <c r="CC1342" s="34"/>
      <c r="CD1342" s="34"/>
      <c r="CE1342" s="34"/>
      <c r="CF1342" s="34"/>
      <c r="CG1342" s="34"/>
      <c r="CH1342" s="34"/>
      <c r="CI1342" s="34"/>
      <c r="CJ1342" s="34"/>
      <c r="CK1342" s="34"/>
      <c r="CL1342" s="34"/>
      <c r="CM1342" s="34"/>
      <c r="CN1342" s="34"/>
      <c r="CO1342" s="34"/>
      <c r="CP1342" s="34"/>
      <c r="CQ1342" s="34"/>
      <c r="CR1342" s="34"/>
      <c r="CS1342" s="34"/>
    </row>
    <row r="1343" spans="7:97" s="246" customFormat="1" x14ac:dyDescent="0.2">
      <c r="G1343" s="2188"/>
      <c r="BS1343" s="34"/>
      <c r="BT1343" s="34"/>
      <c r="BU1343" s="34"/>
      <c r="BV1343" s="34"/>
      <c r="BW1343" s="34"/>
      <c r="BX1343" s="34"/>
      <c r="BY1343" s="34"/>
      <c r="BZ1343" s="34"/>
      <c r="CA1343" s="34"/>
      <c r="CB1343" s="34"/>
      <c r="CC1343" s="34"/>
      <c r="CD1343" s="34"/>
      <c r="CE1343" s="34"/>
      <c r="CF1343" s="34"/>
      <c r="CG1343" s="34"/>
      <c r="CH1343" s="34"/>
      <c r="CI1343" s="34"/>
      <c r="CJ1343" s="34"/>
      <c r="CK1343" s="34"/>
      <c r="CL1343" s="34"/>
      <c r="CM1343" s="34"/>
      <c r="CN1343" s="34"/>
      <c r="CO1343" s="34"/>
      <c r="CP1343" s="34"/>
      <c r="CQ1343" s="34"/>
      <c r="CR1343" s="34"/>
      <c r="CS1343" s="34"/>
    </row>
    <row r="1344" spans="7:97" s="246" customFormat="1" x14ac:dyDescent="0.2">
      <c r="G1344" s="2188"/>
      <c r="BS1344" s="34"/>
      <c r="BT1344" s="34"/>
      <c r="BU1344" s="34"/>
      <c r="BV1344" s="34"/>
      <c r="BW1344" s="34"/>
      <c r="BX1344" s="34"/>
      <c r="BY1344" s="34"/>
      <c r="BZ1344" s="34"/>
      <c r="CA1344" s="34"/>
      <c r="CB1344" s="34"/>
      <c r="CC1344" s="34"/>
      <c r="CD1344" s="34"/>
      <c r="CE1344" s="34"/>
      <c r="CF1344" s="34"/>
      <c r="CG1344" s="34"/>
      <c r="CH1344" s="34"/>
      <c r="CI1344" s="34"/>
      <c r="CJ1344" s="34"/>
      <c r="CK1344" s="34"/>
      <c r="CL1344" s="34"/>
      <c r="CM1344" s="34"/>
      <c r="CN1344" s="34"/>
      <c r="CO1344" s="34"/>
      <c r="CP1344" s="34"/>
      <c r="CQ1344" s="34"/>
      <c r="CR1344" s="34"/>
      <c r="CS1344" s="34"/>
    </row>
    <row r="1345" spans="7:97" s="246" customFormat="1" x14ac:dyDescent="0.2">
      <c r="G1345" s="2188"/>
      <c r="BS1345" s="34"/>
      <c r="BT1345" s="34"/>
      <c r="BU1345" s="34"/>
      <c r="BV1345" s="34"/>
      <c r="BW1345" s="34"/>
      <c r="BX1345" s="34"/>
      <c r="BY1345" s="34"/>
      <c r="BZ1345" s="34"/>
      <c r="CA1345" s="34"/>
      <c r="CB1345" s="34"/>
      <c r="CC1345" s="34"/>
      <c r="CD1345" s="34"/>
      <c r="CE1345" s="34"/>
      <c r="CF1345" s="34"/>
      <c r="CG1345" s="34"/>
      <c r="CH1345" s="34"/>
      <c r="CI1345" s="34"/>
      <c r="CJ1345" s="34"/>
      <c r="CK1345" s="34"/>
      <c r="CL1345" s="34"/>
      <c r="CM1345" s="34"/>
      <c r="CN1345" s="34"/>
      <c r="CO1345" s="34"/>
      <c r="CP1345" s="34"/>
      <c r="CQ1345" s="34"/>
      <c r="CR1345" s="34"/>
      <c r="CS1345" s="34"/>
    </row>
    <row r="1346" spans="7:97" s="246" customFormat="1" x14ac:dyDescent="0.2">
      <c r="G1346" s="2188"/>
      <c r="BS1346" s="34"/>
      <c r="BT1346" s="34"/>
      <c r="BU1346" s="34"/>
      <c r="BV1346" s="34"/>
      <c r="BW1346" s="34"/>
      <c r="BX1346" s="34"/>
      <c r="BY1346" s="34"/>
      <c r="BZ1346" s="34"/>
      <c r="CA1346" s="34"/>
      <c r="CB1346" s="34"/>
      <c r="CC1346" s="34"/>
      <c r="CD1346" s="34"/>
      <c r="CE1346" s="34"/>
      <c r="CF1346" s="34"/>
      <c r="CG1346" s="34"/>
      <c r="CH1346" s="34"/>
      <c r="CI1346" s="34"/>
      <c r="CJ1346" s="34"/>
      <c r="CK1346" s="34"/>
      <c r="CL1346" s="34"/>
      <c r="CM1346" s="34"/>
      <c r="CN1346" s="34"/>
      <c r="CO1346" s="34"/>
      <c r="CP1346" s="34"/>
      <c r="CQ1346" s="34"/>
      <c r="CR1346" s="34"/>
      <c r="CS1346" s="34"/>
    </row>
    <row r="1347" spans="7:97" s="246" customFormat="1" x14ac:dyDescent="0.2">
      <c r="G1347" s="2188"/>
      <c r="BS1347" s="34"/>
      <c r="BT1347" s="34"/>
      <c r="BU1347" s="34"/>
      <c r="BV1347" s="34"/>
      <c r="BW1347" s="34"/>
      <c r="BX1347" s="34"/>
      <c r="BY1347" s="34"/>
      <c r="BZ1347" s="34"/>
      <c r="CA1347" s="34"/>
      <c r="CB1347" s="34"/>
      <c r="CC1347" s="34"/>
      <c r="CD1347" s="34"/>
      <c r="CE1347" s="34"/>
      <c r="CF1347" s="34"/>
      <c r="CG1347" s="34"/>
      <c r="CH1347" s="34"/>
      <c r="CI1347" s="34"/>
      <c r="CJ1347" s="34"/>
      <c r="CK1347" s="34"/>
      <c r="CL1347" s="34"/>
      <c r="CM1347" s="34"/>
      <c r="CN1347" s="34"/>
      <c r="CO1347" s="34"/>
      <c r="CP1347" s="34"/>
      <c r="CQ1347" s="34"/>
      <c r="CR1347" s="34"/>
      <c r="CS1347" s="34"/>
    </row>
    <row r="1348" spans="7:97" s="246" customFormat="1" x14ac:dyDescent="0.2">
      <c r="G1348" s="2188"/>
      <c r="BS1348" s="34"/>
      <c r="BT1348" s="34"/>
      <c r="BU1348" s="34"/>
      <c r="BV1348" s="34"/>
      <c r="BW1348" s="34"/>
      <c r="BX1348" s="34"/>
      <c r="BY1348" s="34"/>
      <c r="BZ1348" s="34"/>
      <c r="CA1348" s="34"/>
      <c r="CB1348" s="34"/>
      <c r="CC1348" s="34"/>
      <c r="CD1348" s="34"/>
      <c r="CE1348" s="34"/>
      <c r="CF1348" s="34"/>
      <c r="CG1348" s="34"/>
      <c r="CH1348" s="34"/>
      <c r="CI1348" s="34"/>
      <c r="CJ1348" s="34"/>
      <c r="CK1348" s="34"/>
      <c r="CL1348" s="34"/>
      <c r="CM1348" s="34"/>
      <c r="CN1348" s="34"/>
      <c r="CO1348" s="34"/>
      <c r="CP1348" s="34"/>
      <c r="CQ1348" s="34"/>
      <c r="CR1348" s="34"/>
      <c r="CS1348" s="34"/>
    </row>
    <row r="1349" spans="7:97" s="246" customFormat="1" x14ac:dyDescent="0.2">
      <c r="G1349" s="2188"/>
      <c r="BS1349" s="34"/>
      <c r="BT1349" s="34"/>
      <c r="BU1349" s="34"/>
      <c r="BV1349" s="34"/>
      <c r="BW1349" s="34"/>
      <c r="BX1349" s="34"/>
      <c r="BY1349" s="34"/>
      <c r="BZ1349" s="34"/>
      <c r="CA1349" s="34"/>
      <c r="CB1349" s="34"/>
      <c r="CC1349" s="34"/>
      <c r="CD1349" s="34"/>
      <c r="CE1349" s="34"/>
      <c r="CF1349" s="34"/>
      <c r="CG1349" s="34"/>
      <c r="CH1349" s="34"/>
      <c r="CI1349" s="34"/>
      <c r="CJ1349" s="34"/>
      <c r="CK1349" s="34"/>
      <c r="CL1349" s="34"/>
      <c r="CM1349" s="34"/>
      <c r="CN1349" s="34"/>
      <c r="CO1349" s="34"/>
      <c r="CP1349" s="34"/>
      <c r="CQ1349" s="34"/>
      <c r="CR1349" s="34"/>
      <c r="CS1349" s="34"/>
    </row>
    <row r="1350" spans="7:97" s="246" customFormat="1" x14ac:dyDescent="0.2">
      <c r="G1350" s="2188"/>
      <c r="BS1350" s="34"/>
      <c r="BT1350" s="34"/>
      <c r="BU1350" s="34"/>
      <c r="BV1350" s="34"/>
      <c r="BW1350" s="34"/>
      <c r="BX1350" s="34"/>
      <c r="BY1350" s="34"/>
      <c r="BZ1350" s="34"/>
      <c r="CA1350" s="34"/>
      <c r="CB1350" s="34"/>
      <c r="CC1350" s="34"/>
      <c r="CD1350" s="34"/>
      <c r="CE1350" s="34"/>
      <c r="CF1350" s="34"/>
      <c r="CG1350" s="34"/>
      <c r="CH1350" s="34"/>
      <c r="CI1350" s="34"/>
      <c r="CJ1350" s="34"/>
      <c r="CK1350" s="34"/>
      <c r="CL1350" s="34"/>
      <c r="CM1350" s="34"/>
      <c r="CN1350" s="34"/>
      <c r="CO1350" s="34"/>
      <c r="CP1350" s="34"/>
      <c r="CQ1350" s="34"/>
      <c r="CR1350" s="34"/>
      <c r="CS1350" s="34"/>
    </row>
    <row r="1351" spans="7:97" s="246" customFormat="1" x14ac:dyDescent="0.2">
      <c r="G1351" s="2188"/>
      <c r="BS1351" s="34"/>
      <c r="BT1351" s="34"/>
      <c r="BU1351" s="34"/>
      <c r="BV1351" s="34"/>
      <c r="BW1351" s="34"/>
      <c r="BX1351" s="34"/>
      <c r="BY1351" s="34"/>
      <c r="BZ1351" s="34"/>
      <c r="CA1351" s="34"/>
      <c r="CB1351" s="34"/>
      <c r="CC1351" s="34"/>
      <c r="CD1351" s="34"/>
      <c r="CE1351" s="34"/>
      <c r="CF1351" s="34"/>
      <c r="CG1351" s="34"/>
      <c r="CH1351" s="34"/>
      <c r="CI1351" s="34"/>
      <c r="CJ1351" s="34"/>
      <c r="CK1351" s="34"/>
      <c r="CL1351" s="34"/>
      <c r="CM1351" s="34"/>
      <c r="CN1351" s="34"/>
      <c r="CO1351" s="34"/>
      <c r="CP1351" s="34"/>
      <c r="CQ1351" s="34"/>
      <c r="CR1351" s="34"/>
      <c r="CS1351" s="34"/>
    </row>
    <row r="1352" spans="7:97" s="246" customFormat="1" x14ac:dyDescent="0.2">
      <c r="G1352" s="2188"/>
      <c r="BS1352" s="34"/>
      <c r="BT1352" s="34"/>
      <c r="BU1352" s="34"/>
      <c r="BV1352" s="34"/>
      <c r="BW1352" s="34"/>
      <c r="BX1352" s="34"/>
      <c r="BY1352" s="34"/>
      <c r="BZ1352" s="34"/>
      <c r="CA1352" s="34"/>
      <c r="CB1352" s="34"/>
      <c r="CC1352" s="34"/>
      <c r="CD1352" s="34"/>
      <c r="CE1352" s="34"/>
      <c r="CF1352" s="34"/>
      <c r="CG1352" s="34"/>
      <c r="CH1352" s="34"/>
      <c r="CI1352" s="34"/>
      <c r="CJ1352" s="34"/>
      <c r="CK1352" s="34"/>
      <c r="CL1352" s="34"/>
      <c r="CM1352" s="34"/>
      <c r="CN1352" s="34"/>
      <c r="CO1352" s="34"/>
      <c r="CP1352" s="34"/>
      <c r="CQ1352" s="34"/>
      <c r="CR1352" s="34"/>
      <c r="CS1352" s="34"/>
    </row>
    <row r="1353" spans="7:97" s="246" customFormat="1" x14ac:dyDescent="0.2">
      <c r="G1353" s="2188"/>
      <c r="BS1353" s="34"/>
      <c r="BT1353" s="34"/>
      <c r="BU1353" s="34"/>
      <c r="BV1353" s="34"/>
      <c r="BW1353" s="34"/>
      <c r="BX1353" s="34"/>
      <c r="BY1353" s="34"/>
      <c r="BZ1353" s="34"/>
      <c r="CA1353" s="34"/>
      <c r="CB1353" s="34"/>
      <c r="CC1353" s="34"/>
      <c r="CD1353" s="34"/>
      <c r="CE1353" s="34"/>
      <c r="CF1353" s="34"/>
      <c r="CG1353" s="34"/>
      <c r="CH1353" s="34"/>
      <c r="CI1353" s="34"/>
      <c r="CJ1353" s="34"/>
      <c r="CK1353" s="34"/>
      <c r="CL1353" s="34"/>
      <c r="CM1353" s="34"/>
      <c r="CN1353" s="34"/>
      <c r="CO1353" s="34"/>
      <c r="CP1353" s="34"/>
      <c r="CQ1353" s="34"/>
      <c r="CR1353" s="34"/>
      <c r="CS1353" s="34"/>
    </row>
    <row r="1354" spans="7:97" s="246" customFormat="1" x14ac:dyDescent="0.2">
      <c r="G1354" s="2188"/>
      <c r="BS1354" s="34"/>
      <c r="BT1354" s="34"/>
      <c r="BU1354" s="34"/>
      <c r="BV1354" s="34"/>
      <c r="BW1354" s="34"/>
      <c r="BX1354" s="34"/>
      <c r="BY1354" s="34"/>
      <c r="BZ1354" s="34"/>
      <c r="CA1354" s="34"/>
      <c r="CB1354" s="34"/>
      <c r="CC1354" s="34"/>
      <c r="CD1354" s="34"/>
      <c r="CE1354" s="34"/>
      <c r="CF1354" s="34"/>
      <c r="CG1354" s="34"/>
      <c r="CH1354" s="34"/>
      <c r="CI1354" s="34"/>
      <c r="CJ1354" s="34"/>
      <c r="CK1354" s="34"/>
      <c r="CL1354" s="34"/>
      <c r="CM1354" s="34"/>
      <c r="CN1354" s="34"/>
      <c r="CO1354" s="34"/>
      <c r="CP1354" s="34"/>
      <c r="CQ1354" s="34"/>
      <c r="CR1354" s="34"/>
      <c r="CS1354" s="34"/>
    </row>
    <row r="1355" spans="7:97" s="246" customFormat="1" x14ac:dyDescent="0.2">
      <c r="G1355" s="2188"/>
      <c r="BS1355" s="34"/>
      <c r="BT1355" s="34"/>
      <c r="BU1355" s="34"/>
      <c r="BV1355" s="34"/>
      <c r="BW1355" s="34"/>
      <c r="BX1355" s="34"/>
      <c r="BY1355" s="34"/>
      <c r="BZ1355" s="34"/>
      <c r="CA1355" s="34"/>
      <c r="CB1355" s="34"/>
      <c r="CC1355" s="34"/>
      <c r="CD1355" s="34"/>
      <c r="CE1355" s="34"/>
      <c r="CF1355" s="34"/>
      <c r="CG1355" s="34"/>
      <c r="CH1355" s="34"/>
      <c r="CI1355" s="34"/>
      <c r="CJ1355" s="34"/>
      <c r="CK1355" s="34"/>
      <c r="CL1355" s="34"/>
      <c r="CM1355" s="34"/>
      <c r="CN1355" s="34"/>
      <c r="CO1355" s="34"/>
      <c r="CP1355" s="34"/>
      <c r="CQ1355" s="34"/>
      <c r="CR1355" s="34"/>
      <c r="CS1355" s="34"/>
    </row>
    <row r="1356" spans="7:97" s="246" customFormat="1" x14ac:dyDescent="0.2">
      <c r="G1356" s="2188"/>
      <c r="BS1356" s="34"/>
      <c r="BT1356" s="34"/>
      <c r="BU1356" s="34"/>
      <c r="BV1356" s="34"/>
      <c r="BW1356" s="34"/>
      <c r="BX1356" s="34"/>
      <c r="BY1356" s="34"/>
      <c r="BZ1356" s="34"/>
      <c r="CA1356" s="34"/>
      <c r="CB1356" s="34"/>
      <c r="CC1356" s="34"/>
      <c r="CD1356" s="34"/>
      <c r="CE1356" s="34"/>
      <c r="CF1356" s="34"/>
      <c r="CG1356" s="34"/>
      <c r="CH1356" s="34"/>
      <c r="CI1356" s="34"/>
      <c r="CJ1356" s="34"/>
      <c r="CK1356" s="34"/>
      <c r="CL1356" s="34"/>
      <c r="CM1356" s="34"/>
      <c r="CN1356" s="34"/>
      <c r="CO1356" s="34"/>
      <c r="CP1356" s="34"/>
      <c r="CQ1356" s="34"/>
      <c r="CR1356" s="34"/>
      <c r="CS1356" s="34"/>
    </row>
    <row r="1357" spans="7:97" s="246" customFormat="1" x14ac:dyDescent="0.2">
      <c r="G1357" s="2188"/>
      <c r="BS1357" s="34"/>
      <c r="BT1357" s="34"/>
      <c r="BU1357" s="34"/>
      <c r="BV1357" s="34"/>
      <c r="BW1357" s="34"/>
      <c r="BX1357" s="34"/>
      <c r="BY1357" s="34"/>
      <c r="BZ1357" s="34"/>
      <c r="CA1357" s="34"/>
      <c r="CB1357" s="34"/>
      <c r="CC1357" s="34"/>
      <c r="CD1357" s="34"/>
      <c r="CE1357" s="34"/>
      <c r="CF1357" s="34"/>
      <c r="CG1357" s="34"/>
      <c r="CH1357" s="34"/>
      <c r="CI1357" s="34"/>
      <c r="CJ1357" s="34"/>
      <c r="CK1357" s="34"/>
      <c r="CL1357" s="34"/>
      <c r="CM1357" s="34"/>
      <c r="CN1357" s="34"/>
      <c r="CO1357" s="34"/>
      <c r="CP1357" s="34"/>
      <c r="CQ1357" s="34"/>
      <c r="CR1357" s="34"/>
      <c r="CS1357" s="34"/>
    </row>
    <row r="1358" spans="7:97" s="246" customFormat="1" x14ac:dyDescent="0.2">
      <c r="G1358" s="2188"/>
      <c r="BS1358" s="34"/>
      <c r="BT1358" s="34"/>
      <c r="BU1358" s="34"/>
      <c r="BV1358" s="34"/>
      <c r="BW1358" s="34"/>
      <c r="BX1358" s="34"/>
      <c r="BY1358" s="34"/>
      <c r="BZ1358" s="34"/>
      <c r="CA1358" s="34"/>
      <c r="CB1358" s="34"/>
      <c r="CC1358" s="34"/>
      <c r="CD1358" s="34"/>
      <c r="CE1358" s="34"/>
      <c r="CF1358" s="34"/>
      <c r="CG1358" s="34"/>
      <c r="CH1358" s="34"/>
      <c r="CI1358" s="34"/>
      <c r="CJ1358" s="34"/>
      <c r="CK1358" s="34"/>
      <c r="CL1358" s="34"/>
      <c r="CM1358" s="34"/>
      <c r="CN1358" s="34"/>
      <c r="CO1358" s="34"/>
      <c r="CP1358" s="34"/>
      <c r="CQ1358" s="34"/>
      <c r="CR1358" s="34"/>
      <c r="CS1358" s="34"/>
    </row>
    <row r="1359" spans="7:97" s="246" customFormat="1" x14ac:dyDescent="0.2">
      <c r="G1359" s="2188"/>
      <c r="BS1359" s="34"/>
      <c r="BT1359" s="34"/>
      <c r="BU1359" s="34"/>
      <c r="BV1359" s="34"/>
      <c r="BW1359" s="34"/>
      <c r="BX1359" s="34"/>
      <c r="BY1359" s="34"/>
      <c r="BZ1359" s="34"/>
      <c r="CA1359" s="34"/>
      <c r="CB1359" s="34"/>
      <c r="CC1359" s="34"/>
      <c r="CD1359" s="34"/>
      <c r="CE1359" s="34"/>
      <c r="CF1359" s="34"/>
      <c r="CG1359" s="34"/>
      <c r="CH1359" s="34"/>
      <c r="CI1359" s="34"/>
      <c r="CJ1359" s="34"/>
      <c r="CK1359" s="34"/>
      <c r="CL1359" s="34"/>
      <c r="CM1359" s="34"/>
      <c r="CN1359" s="34"/>
      <c r="CO1359" s="34"/>
      <c r="CP1359" s="34"/>
      <c r="CQ1359" s="34"/>
      <c r="CR1359" s="34"/>
      <c r="CS1359" s="34"/>
    </row>
    <row r="1360" spans="7:97" s="246" customFormat="1" x14ac:dyDescent="0.2">
      <c r="G1360" s="2188"/>
      <c r="BS1360" s="34"/>
      <c r="BT1360" s="34"/>
      <c r="BU1360" s="34"/>
      <c r="BV1360" s="34"/>
      <c r="BW1360" s="34"/>
      <c r="BX1360" s="34"/>
      <c r="BY1360" s="34"/>
      <c r="BZ1360" s="34"/>
      <c r="CA1360" s="34"/>
      <c r="CB1360" s="34"/>
      <c r="CC1360" s="34"/>
      <c r="CD1360" s="34"/>
      <c r="CE1360" s="34"/>
      <c r="CF1360" s="34"/>
      <c r="CG1360" s="34"/>
      <c r="CH1360" s="34"/>
      <c r="CI1360" s="34"/>
      <c r="CJ1360" s="34"/>
      <c r="CK1360" s="34"/>
      <c r="CL1360" s="34"/>
      <c r="CM1360" s="34"/>
      <c r="CN1360" s="34"/>
      <c r="CO1360" s="34"/>
      <c r="CP1360" s="34"/>
      <c r="CQ1360" s="34"/>
      <c r="CR1360" s="34"/>
      <c r="CS1360" s="34"/>
    </row>
    <row r="1361" spans="7:97" s="246" customFormat="1" x14ac:dyDescent="0.2">
      <c r="G1361" s="2188"/>
      <c r="BS1361" s="34"/>
      <c r="BT1361" s="34"/>
      <c r="BU1361" s="34"/>
      <c r="BV1361" s="34"/>
      <c r="BW1361" s="34"/>
      <c r="BX1361" s="34"/>
      <c r="BY1361" s="34"/>
      <c r="BZ1361" s="34"/>
      <c r="CA1361" s="34"/>
      <c r="CB1361" s="34"/>
      <c r="CC1361" s="34"/>
      <c r="CD1361" s="34"/>
      <c r="CE1361" s="34"/>
      <c r="CF1361" s="34"/>
      <c r="CG1361" s="34"/>
      <c r="CH1361" s="34"/>
      <c r="CI1361" s="34"/>
      <c r="CJ1361" s="34"/>
      <c r="CK1361" s="34"/>
      <c r="CL1361" s="34"/>
      <c r="CM1361" s="34"/>
      <c r="CN1361" s="34"/>
      <c r="CO1361" s="34"/>
      <c r="CP1361" s="34"/>
      <c r="CQ1361" s="34"/>
      <c r="CR1361" s="34"/>
      <c r="CS1361" s="34"/>
    </row>
    <row r="1362" spans="7:97" s="246" customFormat="1" x14ac:dyDescent="0.2">
      <c r="G1362" s="2188"/>
      <c r="BS1362" s="34"/>
      <c r="BT1362" s="34"/>
      <c r="BU1362" s="34"/>
      <c r="BV1362" s="34"/>
      <c r="BW1362" s="34"/>
      <c r="BX1362" s="34"/>
      <c r="BY1362" s="34"/>
      <c r="BZ1362" s="34"/>
      <c r="CA1362" s="34"/>
      <c r="CB1362" s="34"/>
      <c r="CC1362" s="34"/>
      <c r="CD1362" s="34"/>
      <c r="CE1362" s="34"/>
      <c r="CF1362" s="34"/>
      <c r="CG1362" s="34"/>
      <c r="CH1362" s="34"/>
      <c r="CI1362" s="34"/>
      <c r="CJ1362" s="34"/>
      <c r="CK1362" s="34"/>
      <c r="CL1362" s="34"/>
      <c r="CM1362" s="34"/>
      <c r="CN1362" s="34"/>
      <c r="CO1362" s="34"/>
      <c r="CP1362" s="34"/>
      <c r="CQ1362" s="34"/>
      <c r="CR1362" s="34"/>
      <c r="CS1362" s="34"/>
    </row>
    <row r="1363" spans="7:97" s="246" customFormat="1" x14ac:dyDescent="0.2">
      <c r="G1363" s="2188"/>
      <c r="BS1363" s="34"/>
      <c r="BT1363" s="34"/>
      <c r="BU1363" s="34"/>
      <c r="BV1363" s="34"/>
      <c r="BW1363" s="34"/>
      <c r="BX1363" s="34"/>
      <c r="BY1363" s="34"/>
      <c r="BZ1363" s="34"/>
      <c r="CA1363" s="34"/>
      <c r="CB1363" s="34"/>
      <c r="CC1363" s="34"/>
      <c r="CD1363" s="34"/>
      <c r="CE1363" s="34"/>
      <c r="CF1363" s="34"/>
      <c r="CG1363" s="34"/>
      <c r="CH1363" s="34"/>
      <c r="CI1363" s="34"/>
      <c r="CJ1363" s="34"/>
      <c r="CK1363" s="34"/>
      <c r="CL1363" s="34"/>
      <c r="CM1363" s="34"/>
      <c r="CN1363" s="34"/>
      <c r="CO1363" s="34"/>
      <c r="CP1363" s="34"/>
      <c r="CQ1363" s="34"/>
      <c r="CR1363" s="34"/>
      <c r="CS1363" s="34"/>
    </row>
    <row r="1364" spans="7:97" s="246" customFormat="1" x14ac:dyDescent="0.2">
      <c r="G1364" s="2188"/>
      <c r="BS1364" s="34"/>
      <c r="BT1364" s="34"/>
      <c r="BU1364" s="34"/>
      <c r="BV1364" s="34"/>
      <c r="BW1364" s="34"/>
      <c r="BX1364" s="34"/>
      <c r="BY1364" s="34"/>
      <c r="BZ1364" s="34"/>
      <c r="CA1364" s="34"/>
      <c r="CB1364" s="34"/>
      <c r="CC1364" s="34"/>
      <c r="CD1364" s="34"/>
      <c r="CE1364" s="34"/>
      <c r="CF1364" s="34"/>
      <c r="CG1364" s="34"/>
      <c r="CH1364" s="34"/>
      <c r="CI1364" s="34"/>
      <c r="CJ1364" s="34"/>
      <c r="CK1364" s="34"/>
      <c r="CL1364" s="34"/>
      <c r="CM1364" s="34"/>
      <c r="CN1364" s="34"/>
      <c r="CO1364" s="34"/>
      <c r="CP1364" s="34"/>
      <c r="CQ1364" s="34"/>
      <c r="CR1364" s="34"/>
      <c r="CS1364" s="34"/>
    </row>
    <row r="1365" spans="7:97" s="246" customFormat="1" x14ac:dyDescent="0.2">
      <c r="G1365" s="2188"/>
      <c r="BS1365" s="34"/>
      <c r="BT1365" s="34"/>
      <c r="BU1365" s="34"/>
      <c r="BV1365" s="34"/>
      <c r="BW1365" s="34"/>
      <c r="BX1365" s="34"/>
      <c r="BY1365" s="34"/>
      <c r="BZ1365" s="34"/>
      <c r="CA1365" s="34"/>
      <c r="CB1365" s="34"/>
      <c r="CC1365" s="34"/>
      <c r="CD1365" s="34"/>
      <c r="CE1365" s="34"/>
      <c r="CF1365" s="34"/>
      <c r="CG1365" s="34"/>
      <c r="CH1365" s="34"/>
      <c r="CI1365" s="34"/>
      <c r="CJ1365" s="34"/>
      <c r="CK1365" s="34"/>
      <c r="CL1365" s="34"/>
      <c r="CM1365" s="34"/>
      <c r="CN1365" s="34"/>
      <c r="CO1365" s="34"/>
      <c r="CP1365" s="34"/>
      <c r="CQ1365" s="34"/>
      <c r="CR1365" s="34"/>
      <c r="CS1365" s="34"/>
    </row>
    <row r="1366" spans="7:97" s="246" customFormat="1" x14ac:dyDescent="0.2">
      <c r="G1366" s="2188"/>
      <c r="BS1366" s="34"/>
      <c r="BT1366" s="34"/>
      <c r="BU1366" s="34"/>
      <c r="BV1366" s="34"/>
      <c r="BW1366" s="34"/>
      <c r="BX1366" s="34"/>
      <c r="BY1366" s="34"/>
      <c r="BZ1366" s="34"/>
      <c r="CA1366" s="34"/>
      <c r="CB1366" s="34"/>
      <c r="CC1366" s="34"/>
      <c r="CD1366" s="34"/>
      <c r="CE1366" s="34"/>
      <c r="CF1366" s="34"/>
      <c r="CG1366" s="34"/>
      <c r="CH1366" s="34"/>
      <c r="CI1366" s="34"/>
      <c r="CJ1366" s="34"/>
      <c r="CK1366" s="34"/>
      <c r="CL1366" s="34"/>
      <c r="CM1366" s="34"/>
      <c r="CN1366" s="34"/>
      <c r="CO1366" s="34"/>
      <c r="CP1366" s="34"/>
      <c r="CQ1366" s="34"/>
      <c r="CR1366" s="34"/>
      <c r="CS1366" s="34"/>
    </row>
    <row r="1367" spans="7:97" s="246" customFormat="1" x14ac:dyDescent="0.2">
      <c r="G1367" s="2188"/>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row>
    <row r="1368" spans="7:97" s="246" customFormat="1" x14ac:dyDescent="0.2">
      <c r="G1368" s="2188"/>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row>
    <row r="1369" spans="7:97" s="246" customFormat="1" x14ac:dyDescent="0.2">
      <c r="G1369" s="2188"/>
      <c r="BS1369" s="34"/>
      <c r="BT1369" s="34"/>
      <c r="BU1369" s="34"/>
      <c r="BV1369" s="34"/>
      <c r="BW1369" s="34"/>
      <c r="BX1369" s="34"/>
      <c r="BY1369" s="34"/>
      <c r="BZ1369" s="34"/>
      <c r="CA1369" s="34"/>
      <c r="CB1369" s="34"/>
      <c r="CC1369" s="34"/>
      <c r="CD1369" s="34"/>
      <c r="CE1369" s="34"/>
      <c r="CF1369" s="34"/>
      <c r="CG1369" s="34"/>
      <c r="CH1369" s="34"/>
      <c r="CI1369" s="34"/>
      <c r="CJ1369" s="34"/>
      <c r="CK1369" s="34"/>
      <c r="CL1369" s="34"/>
      <c r="CM1369" s="34"/>
      <c r="CN1369" s="34"/>
      <c r="CO1369" s="34"/>
      <c r="CP1369" s="34"/>
      <c r="CQ1369" s="34"/>
      <c r="CR1369" s="34"/>
      <c r="CS1369" s="34"/>
    </row>
    <row r="1370" spans="7:97" s="246" customFormat="1" x14ac:dyDescent="0.2">
      <c r="G1370" s="2188"/>
      <c r="BS1370" s="34"/>
      <c r="BT1370" s="34"/>
      <c r="BU1370" s="34"/>
      <c r="BV1370" s="34"/>
      <c r="BW1370" s="34"/>
      <c r="BX1370" s="34"/>
      <c r="BY1370" s="34"/>
      <c r="BZ1370" s="34"/>
      <c r="CA1370" s="34"/>
      <c r="CB1370" s="34"/>
      <c r="CC1370" s="34"/>
      <c r="CD1370" s="34"/>
      <c r="CE1370" s="34"/>
      <c r="CF1370" s="34"/>
      <c r="CG1370" s="34"/>
      <c r="CH1370" s="34"/>
      <c r="CI1370" s="34"/>
      <c r="CJ1370" s="34"/>
      <c r="CK1370" s="34"/>
      <c r="CL1370" s="34"/>
      <c r="CM1370" s="34"/>
      <c r="CN1370" s="34"/>
      <c r="CO1370" s="34"/>
      <c r="CP1370" s="34"/>
      <c r="CQ1370" s="34"/>
      <c r="CR1370" s="34"/>
      <c r="CS1370" s="34"/>
    </row>
    <row r="1371" spans="7:97" s="246" customFormat="1" x14ac:dyDescent="0.2">
      <c r="G1371" s="2188"/>
      <c r="BS1371" s="34"/>
      <c r="BT1371" s="34"/>
      <c r="BU1371" s="34"/>
      <c r="BV1371" s="34"/>
      <c r="BW1371" s="34"/>
      <c r="BX1371" s="34"/>
      <c r="BY1371" s="34"/>
      <c r="BZ1371" s="34"/>
      <c r="CA1371" s="34"/>
      <c r="CB1371" s="34"/>
      <c r="CC1371" s="34"/>
      <c r="CD1371" s="34"/>
      <c r="CE1371" s="34"/>
      <c r="CF1371" s="34"/>
      <c r="CG1371" s="34"/>
      <c r="CH1371" s="34"/>
      <c r="CI1371" s="34"/>
      <c r="CJ1371" s="34"/>
      <c r="CK1371" s="34"/>
      <c r="CL1371" s="34"/>
      <c r="CM1371" s="34"/>
      <c r="CN1371" s="34"/>
      <c r="CO1371" s="34"/>
      <c r="CP1371" s="34"/>
      <c r="CQ1371" s="34"/>
      <c r="CR1371" s="34"/>
      <c r="CS1371" s="34"/>
    </row>
    <row r="1372" spans="7:97" s="246" customFormat="1" x14ac:dyDescent="0.2">
      <c r="G1372" s="2188"/>
      <c r="BS1372" s="34"/>
      <c r="BT1372" s="34"/>
      <c r="BU1372" s="34"/>
      <c r="BV1372" s="34"/>
      <c r="BW1372" s="34"/>
      <c r="BX1372" s="34"/>
      <c r="BY1372" s="34"/>
      <c r="BZ1372" s="34"/>
      <c r="CA1372" s="34"/>
      <c r="CB1372" s="34"/>
      <c r="CC1372" s="34"/>
      <c r="CD1372" s="34"/>
      <c r="CE1372" s="34"/>
      <c r="CF1372" s="34"/>
      <c r="CG1372" s="34"/>
      <c r="CH1372" s="34"/>
      <c r="CI1372" s="34"/>
      <c r="CJ1372" s="34"/>
      <c r="CK1372" s="34"/>
      <c r="CL1372" s="34"/>
      <c r="CM1372" s="34"/>
      <c r="CN1372" s="34"/>
      <c r="CO1372" s="34"/>
      <c r="CP1372" s="34"/>
      <c r="CQ1372" s="34"/>
      <c r="CR1372" s="34"/>
      <c r="CS1372" s="34"/>
    </row>
    <row r="1373" spans="7:97" s="246" customFormat="1" x14ac:dyDescent="0.2">
      <c r="G1373" s="2188"/>
      <c r="BS1373" s="34"/>
      <c r="BT1373" s="34"/>
      <c r="BU1373" s="34"/>
      <c r="BV1373" s="34"/>
      <c r="BW1373" s="34"/>
      <c r="BX1373" s="34"/>
      <c r="BY1373" s="34"/>
      <c r="BZ1373" s="34"/>
      <c r="CA1373" s="34"/>
      <c r="CB1373" s="34"/>
      <c r="CC1373" s="34"/>
      <c r="CD1373" s="34"/>
      <c r="CE1373" s="34"/>
      <c r="CF1373" s="34"/>
      <c r="CG1373" s="34"/>
      <c r="CH1373" s="34"/>
      <c r="CI1373" s="34"/>
      <c r="CJ1373" s="34"/>
      <c r="CK1373" s="34"/>
      <c r="CL1373" s="34"/>
      <c r="CM1373" s="34"/>
      <c r="CN1373" s="34"/>
      <c r="CO1373" s="34"/>
      <c r="CP1373" s="34"/>
      <c r="CQ1373" s="34"/>
      <c r="CR1373" s="34"/>
      <c r="CS1373" s="34"/>
    </row>
    <row r="1374" spans="7:97" s="246" customFormat="1" x14ac:dyDescent="0.2">
      <c r="G1374" s="2188"/>
      <c r="BS1374" s="34"/>
      <c r="BT1374" s="34"/>
      <c r="BU1374" s="34"/>
      <c r="BV1374" s="34"/>
      <c r="BW1374" s="34"/>
      <c r="BX1374" s="34"/>
      <c r="BY1374" s="34"/>
      <c r="BZ1374" s="34"/>
      <c r="CA1374" s="34"/>
      <c r="CB1374" s="34"/>
      <c r="CC1374" s="34"/>
      <c r="CD1374" s="34"/>
      <c r="CE1374" s="34"/>
      <c r="CF1374" s="34"/>
      <c r="CG1374" s="34"/>
      <c r="CH1374" s="34"/>
      <c r="CI1374" s="34"/>
      <c r="CJ1374" s="34"/>
      <c r="CK1374" s="34"/>
      <c r="CL1374" s="34"/>
      <c r="CM1374" s="34"/>
      <c r="CN1374" s="34"/>
      <c r="CO1374" s="34"/>
      <c r="CP1374" s="34"/>
      <c r="CQ1374" s="34"/>
      <c r="CR1374" s="34"/>
      <c r="CS1374" s="34"/>
    </row>
    <row r="1375" spans="7:97" s="246" customFormat="1" x14ac:dyDescent="0.2">
      <c r="G1375" s="2188"/>
      <c r="BS1375" s="34"/>
      <c r="BT1375" s="34"/>
      <c r="BU1375" s="34"/>
      <c r="BV1375" s="34"/>
      <c r="BW1375" s="34"/>
      <c r="BX1375" s="34"/>
      <c r="BY1375" s="34"/>
      <c r="BZ1375" s="34"/>
      <c r="CA1375" s="34"/>
      <c r="CB1375" s="34"/>
      <c r="CC1375" s="34"/>
      <c r="CD1375" s="34"/>
      <c r="CE1375" s="34"/>
      <c r="CF1375" s="34"/>
      <c r="CG1375" s="34"/>
      <c r="CH1375" s="34"/>
      <c r="CI1375" s="34"/>
      <c r="CJ1375" s="34"/>
      <c r="CK1375" s="34"/>
      <c r="CL1375" s="34"/>
      <c r="CM1375" s="34"/>
      <c r="CN1375" s="34"/>
      <c r="CO1375" s="34"/>
      <c r="CP1375" s="34"/>
      <c r="CQ1375" s="34"/>
      <c r="CR1375" s="34"/>
      <c r="CS1375" s="34"/>
    </row>
    <row r="1376" spans="7:97" s="246" customFormat="1" x14ac:dyDescent="0.2">
      <c r="G1376" s="2188"/>
      <c r="BS1376" s="34"/>
      <c r="BT1376" s="34"/>
      <c r="BU1376" s="34"/>
      <c r="BV1376" s="34"/>
      <c r="BW1376" s="34"/>
      <c r="BX1376" s="34"/>
      <c r="BY1376" s="34"/>
      <c r="BZ1376" s="34"/>
      <c r="CA1376" s="34"/>
      <c r="CB1376" s="34"/>
      <c r="CC1376" s="34"/>
      <c r="CD1376" s="34"/>
      <c r="CE1376" s="34"/>
      <c r="CF1376" s="34"/>
      <c r="CG1376" s="34"/>
      <c r="CH1376" s="34"/>
      <c r="CI1376" s="34"/>
      <c r="CJ1376" s="34"/>
      <c r="CK1376" s="34"/>
      <c r="CL1376" s="34"/>
      <c r="CM1376" s="34"/>
      <c r="CN1376" s="34"/>
      <c r="CO1376" s="34"/>
      <c r="CP1376" s="34"/>
      <c r="CQ1376" s="34"/>
      <c r="CR1376" s="34"/>
      <c r="CS1376" s="34"/>
    </row>
    <row r="1377" spans="7:97" s="246" customFormat="1" x14ac:dyDescent="0.2">
      <c r="G1377" s="2188"/>
      <c r="BS1377" s="34"/>
      <c r="BT1377" s="34"/>
      <c r="BU1377" s="34"/>
      <c r="BV1377" s="34"/>
      <c r="BW1377" s="34"/>
      <c r="BX1377" s="34"/>
      <c r="BY1377" s="34"/>
      <c r="BZ1377" s="34"/>
      <c r="CA1377" s="34"/>
      <c r="CB1377" s="34"/>
      <c r="CC1377" s="34"/>
      <c r="CD1377" s="34"/>
      <c r="CE1377" s="34"/>
      <c r="CF1377" s="34"/>
      <c r="CG1377" s="34"/>
      <c r="CH1377" s="34"/>
      <c r="CI1377" s="34"/>
      <c r="CJ1377" s="34"/>
      <c r="CK1377" s="34"/>
      <c r="CL1377" s="34"/>
      <c r="CM1377" s="34"/>
      <c r="CN1377" s="34"/>
      <c r="CO1377" s="34"/>
      <c r="CP1377" s="34"/>
      <c r="CQ1377" s="34"/>
      <c r="CR1377" s="34"/>
      <c r="CS1377" s="34"/>
    </row>
    <row r="1378" spans="7:97" s="246" customFormat="1" x14ac:dyDescent="0.2">
      <c r="G1378" s="2188"/>
      <c r="BS1378" s="34"/>
      <c r="BT1378" s="34"/>
      <c r="BU1378" s="34"/>
      <c r="BV1378" s="34"/>
      <c r="BW1378" s="34"/>
      <c r="BX1378" s="34"/>
      <c r="BY1378" s="34"/>
      <c r="BZ1378" s="34"/>
      <c r="CA1378" s="34"/>
      <c r="CB1378" s="34"/>
      <c r="CC1378" s="34"/>
      <c r="CD1378" s="34"/>
      <c r="CE1378" s="34"/>
      <c r="CF1378" s="34"/>
      <c r="CG1378" s="34"/>
      <c r="CH1378" s="34"/>
      <c r="CI1378" s="34"/>
      <c r="CJ1378" s="34"/>
      <c r="CK1378" s="34"/>
      <c r="CL1378" s="34"/>
      <c r="CM1378" s="34"/>
      <c r="CN1378" s="34"/>
      <c r="CO1378" s="34"/>
      <c r="CP1378" s="34"/>
      <c r="CQ1378" s="34"/>
      <c r="CR1378" s="34"/>
      <c r="CS1378" s="34"/>
    </row>
    <row r="1379" spans="7:97" s="246" customFormat="1" x14ac:dyDescent="0.2">
      <c r="G1379" s="2188"/>
      <c r="BS1379" s="34"/>
      <c r="BT1379" s="34"/>
      <c r="BU1379" s="34"/>
      <c r="BV1379" s="34"/>
      <c r="BW1379" s="34"/>
      <c r="BX1379" s="34"/>
      <c r="BY1379" s="34"/>
      <c r="BZ1379" s="34"/>
      <c r="CA1379" s="34"/>
      <c r="CB1379" s="34"/>
      <c r="CC1379" s="34"/>
      <c r="CD1379" s="34"/>
      <c r="CE1379" s="34"/>
      <c r="CF1379" s="34"/>
      <c r="CG1379" s="34"/>
      <c r="CH1379" s="34"/>
      <c r="CI1379" s="34"/>
      <c r="CJ1379" s="34"/>
      <c r="CK1379" s="34"/>
      <c r="CL1379" s="34"/>
      <c r="CM1379" s="34"/>
      <c r="CN1379" s="34"/>
      <c r="CO1379" s="34"/>
      <c r="CP1379" s="34"/>
      <c r="CQ1379" s="34"/>
      <c r="CR1379" s="34"/>
      <c r="CS1379" s="34"/>
    </row>
    <row r="1380" spans="7:97" s="246" customFormat="1" x14ac:dyDescent="0.2">
      <c r="G1380" s="2188"/>
      <c r="BS1380" s="34"/>
      <c r="BT1380" s="34"/>
      <c r="BU1380" s="34"/>
      <c r="BV1380" s="34"/>
      <c r="BW1380" s="34"/>
      <c r="BX1380" s="34"/>
      <c r="BY1380" s="34"/>
      <c r="BZ1380" s="34"/>
      <c r="CA1380" s="34"/>
      <c r="CB1380" s="34"/>
      <c r="CC1380" s="34"/>
      <c r="CD1380" s="34"/>
      <c r="CE1380" s="34"/>
      <c r="CF1380" s="34"/>
      <c r="CG1380" s="34"/>
      <c r="CH1380" s="34"/>
      <c r="CI1380" s="34"/>
      <c r="CJ1380" s="34"/>
      <c r="CK1380" s="34"/>
      <c r="CL1380" s="34"/>
      <c r="CM1380" s="34"/>
      <c r="CN1380" s="34"/>
      <c r="CO1380" s="34"/>
      <c r="CP1380" s="34"/>
      <c r="CQ1380" s="34"/>
      <c r="CR1380" s="34"/>
      <c r="CS1380" s="34"/>
    </row>
    <row r="1381" spans="7:97" s="246" customFormat="1" x14ac:dyDescent="0.2">
      <c r="G1381" s="2188"/>
      <c r="BS1381" s="34"/>
      <c r="BT1381" s="34"/>
      <c r="BU1381" s="34"/>
      <c r="BV1381" s="34"/>
      <c r="BW1381" s="34"/>
      <c r="BX1381" s="34"/>
      <c r="BY1381" s="34"/>
      <c r="BZ1381" s="34"/>
      <c r="CA1381" s="34"/>
      <c r="CB1381" s="34"/>
      <c r="CC1381" s="34"/>
      <c r="CD1381" s="34"/>
      <c r="CE1381" s="34"/>
      <c r="CF1381" s="34"/>
      <c r="CG1381" s="34"/>
      <c r="CH1381" s="34"/>
      <c r="CI1381" s="34"/>
      <c r="CJ1381" s="34"/>
      <c r="CK1381" s="34"/>
      <c r="CL1381" s="34"/>
      <c r="CM1381" s="34"/>
      <c r="CN1381" s="34"/>
      <c r="CO1381" s="34"/>
      <c r="CP1381" s="34"/>
      <c r="CQ1381" s="34"/>
      <c r="CR1381" s="34"/>
      <c r="CS1381" s="34"/>
    </row>
    <row r="1382" spans="7:97" s="246" customFormat="1" x14ac:dyDescent="0.2">
      <c r="G1382" s="2188"/>
      <c r="BS1382" s="34"/>
      <c r="BT1382" s="34"/>
      <c r="BU1382" s="34"/>
      <c r="BV1382" s="34"/>
      <c r="BW1382" s="34"/>
      <c r="BX1382" s="34"/>
      <c r="BY1382" s="34"/>
      <c r="BZ1382" s="34"/>
      <c r="CA1382" s="34"/>
      <c r="CB1382" s="34"/>
      <c r="CC1382" s="34"/>
      <c r="CD1382" s="34"/>
      <c r="CE1382" s="34"/>
      <c r="CF1382" s="34"/>
      <c r="CG1382" s="34"/>
      <c r="CH1382" s="34"/>
      <c r="CI1382" s="34"/>
      <c r="CJ1382" s="34"/>
      <c r="CK1382" s="34"/>
      <c r="CL1382" s="34"/>
      <c r="CM1382" s="34"/>
      <c r="CN1382" s="34"/>
      <c r="CO1382" s="34"/>
      <c r="CP1382" s="34"/>
      <c r="CQ1382" s="34"/>
      <c r="CR1382" s="34"/>
      <c r="CS1382" s="34"/>
    </row>
    <row r="1383" spans="7:97" s="246" customFormat="1" x14ac:dyDescent="0.2">
      <c r="G1383" s="2188"/>
      <c r="BS1383" s="34"/>
      <c r="BT1383" s="34"/>
      <c r="BU1383" s="34"/>
      <c r="BV1383" s="34"/>
      <c r="BW1383" s="34"/>
      <c r="BX1383" s="34"/>
      <c r="BY1383" s="34"/>
      <c r="BZ1383" s="34"/>
      <c r="CA1383" s="34"/>
      <c r="CB1383" s="34"/>
      <c r="CC1383" s="34"/>
      <c r="CD1383" s="34"/>
      <c r="CE1383" s="34"/>
      <c r="CF1383" s="34"/>
      <c r="CG1383" s="34"/>
      <c r="CH1383" s="34"/>
      <c r="CI1383" s="34"/>
      <c r="CJ1383" s="34"/>
      <c r="CK1383" s="34"/>
      <c r="CL1383" s="34"/>
      <c r="CM1383" s="34"/>
      <c r="CN1383" s="34"/>
      <c r="CO1383" s="34"/>
      <c r="CP1383" s="34"/>
      <c r="CQ1383" s="34"/>
      <c r="CR1383" s="34"/>
      <c r="CS1383" s="34"/>
    </row>
    <row r="1384" spans="7:97" s="246" customFormat="1" x14ac:dyDescent="0.2">
      <c r="G1384" s="2188"/>
      <c r="BS1384" s="34"/>
      <c r="BT1384" s="34"/>
      <c r="BU1384" s="34"/>
      <c r="BV1384" s="34"/>
      <c r="BW1384" s="34"/>
      <c r="BX1384" s="34"/>
      <c r="BY1384" s="34"/>
      <c r="BZ1384" s="34"/>
      <c r="CA1384" s="34"/>
      <c r="CB1384" s="34"/>
      <c r="CC1384" s="34"/>
      <c r="CD1384" s="34"/>
      <c r="CE1384" s="34"/>
      <c r="CF1384" s="34"/>
      <c r="CG1384" s="34"/>
      <c r="CH1384" s="34"/>
      <c r="CI1384" s="34"/>
      <c r="CJ1384" s="34"/>
      <c r="CK1384" s="34"/>
      <c r="CL1384" s="34"/>
      <c r="CM1384" s="34"/>
      <c r="CN1384" s="34"/>
      <c r="CO1384" s="34"/>
      <c r="CP1384" s="34"/>
      <c r="CQ1384" s="34"/>
      <c r="CR1384" s="34"/>
      <c r="CS1384" s="34"/>
    </row>
    <row r="1385" spans="7:97" s="246" customFormat="1" x14ac:dyDescent="0.2">
      <c r="G1385" s="2188"/>
      <c r="BS1385" s="34"/>
      <c r="BT1385" s="34"/>
      <c r="BU1385" s="34"/>
      <c r="BV1385" s="34"/>
      <c r="BW1385" s="34"/>
      <c r="BX1385" s="34"/>
      <c r="BY1385" s="34"/>
      <c r="BZ1385" s="34"/>
      <c r="CA1385" s="34"/>
      <c r="CB1385" s="34"/>
      <c r="CC1385" s="34"/>
      <c r="CD1385" s="34"/>
      <c r="CE1385" s="34"/>
      <c r="CF1385" s="34"/>
      <c r="CG1385" s="34"/>
      <c r="CH1385" s="34"/>
      <c r="CI1385" s="34"/>
      <c r="CJ1385" s="34"/>
      <c r="CK1385" s="34"/>
      <c r="CL1385" s="34"/>
      <c r="CM1385" s="34"/>
      <c r="CN1385" s="34"/>
      <c r="CO1385" s="34"/>
      <c r="CP1385" s="34"/>
      <c r="CQ1385" s="34"/>
      <c r="CR1385" s="34"/>
      <c r="CS1385" s="34"/>
    </row>
    <row r="1386" spans="7:97" s="246" customFormat="1" x14ac:dyDescent="0.2">
      <c r="G1386" s="2188"/>
      <c r="BS1386" s="34"/>
      <c r="BT1386" s="34"/>
      <c r="BU1386" s="34"/>
      <c r="BV1386" s="34"/>
      <c r="BW1386" s="34"/>
      <c r="BX1386" s="34"/>
      <c r="BY1386" s="34"/>
      <c r="BZ1386" s="34"/>
      <c r="CA1386" s="34"/>
      <c r="CB1386" s="34"/>
      <c r="CC1386" s="34"/>
      <c r="CD1386" s="34"/>
      <c r="CE1386" s="34"/>
      <c r="CF1386" s="34"/>
      <c r="CG1386" s="34"/>
      <c r="CH1386" s="34"/>
      <c r="CI1386" s="34"/>
      <c r="CJ1386" s="34"/>
      <c r="CK1386" s="34"/>
      <c r="CL1386" s="34"/>
      <c r="CM1386" s="34"/>
      <c r="CN1386" s="34"/>
      <c r="CO1386" s="34"/>
      <c r="CP1386" s="34"/>
      <c r="CQ1386" s="34"/>
      <c r="CR1386" s="34"/>
      <c r="CS1386" s="34"/>
    </row>
    <row r="1387" spans="7:97" s="246" customFormat="1" x14ac:dyDescent="0.2">
      <c r="G1387" s="2188"/>
      <c r="BS1387" s="34"/>
      <c r="BT1387" s="34"/>
      <c r="BU1387" s="34"/>
      <c r="BV1387" s="34"/>
      <c r="BW1387" s="34"/>
      <c r="BX1387" s="34"/>
      <c r="BY1387" s="34"/>
      <c r="BZ1387" s="34"/>
      <c r="CA1387" s="34"/>
      <c r="CB1387" s="34"/>
      <c r="CC1387" s="34"/>
      <c r="CD1387" s="34"/>
      <c r="CE1387" s="34"/>
      <c r="CF1387" s="34"/>
      <c r="CG1387" s="34"/>
      <c r="CH1387" s="34"/>
      <c r="CI1387" s="34"/>
      <c r="CJ1387" s="34"/>
      <c r="CK1387" s="34"/>
      <c r="CL1387" s="34"/>
      <c r="CM1387" s="34"/>
      <c r="CN1387" s="34"/>
      <c r="CO1387" s="34"/>
      <c r="CP1387" s="34"/>
      <c r="CQ1387" s="34"/>
      <c r="CR1387" s="34"/>
      <c r="CS1387" s="34"/>
    </row>
    <row r="1388" spans="7:97" s="246" customFormat="1" x14ac:dyDescent="0.2">
      <c r="G1388" s="2188"/>
      <c r="BS1388" s="34"/>
      <c r="BT1388" s="34"/>
      <c r="BU1388" s="34"/>
      <c r="BV1388" s="34"/>
      <c r="BW1388" s="34"/>
      <c r="BX1388" s="34"/>
      <c r="BY1388" s="34"/>
      <c r="BZ1388" s="34"/>
      <c r="CA1388" s="34"/>
      <c r="CB1388" s="34"/>
      <c r="CC1388" s="34"/>
      <c r="CD1388" s="34"/>
      <c r="CE1388" s="34"/>
      <c r="CF1388" s="34"/>
      <c r="CG1388" s="34"/>
      <c r="CH1388" s="34"/>
      <c r="CI1388" s="34"/>
      <c r="CJ1388" s="34"/>
      <c r="CK1388" s="34"/>
      <c r="CL1388" s="34"/>
      <c r="CM1388" s="34"/>
      <c r="CN1388" s="34"/>
      <c r="CO1388" s="34"/>
      <c r="CP1388" s="34"/>
      <c r="CQ1388" s="34"/>
      <c r="CR1388" s="34"/>
      <c r="CS1388" s="34"/>
    </row>
    <row r="1389" spans="7:97" s="246" customFormat="1" x14ac:dyDescent="0.2">
      <c r="G1389" s="2188"/>
      <c r="BS1389" s="34"/>
      <c r="BT1389" s="34"/>
      <c r="BU1389" s="34"/>
      <c r="BV1389" s="34"/>
      <c r="BW1389" s="34"/>
      <c r="BX1389" s="34"/>
      <c r="BY1389" s="34"/>
      <c r="BZ1389" s="34"/>
      <c r="CA1389" s="34"/>
      <c r="CB1389" s="34"/>
      <c r="CC1389" s="34"/>
      <c r="CD1389" s="34"/>
      <c r="CE1389" s="34"/>
      <c r="CF1389" s="34"/>
      <c r="CG1389" s="34"/>
      <c r="CH1389" s="34"/>
      <c r="CI1389" s="34"/>
      <c r="CJ1389" s="34"/>
      <c r="CK1389" s="34"/>
      <c r="CL1389" s="34"/>
      <c r="CM1389" s="34"/>
      <c r="CN1389" s="34"/>
      <c r="CO1389" s="34"/>
      <c r="CP1389" s="34"/>
      <c r="CQ1389" s="34"/>
      <c r="CR1389" s="34"/>
      <c r="CS1389" s="34"/>
    </row>
    <row r="1390" spans="7:97" s="246" customFormat="1" x14ac:dyDescent="0.2">
      <c r="G1390" s="2188"/>
      <c r="BS1390" s="34"/>
      <c r="BT1390" s="34"/>
      <c r="BU1390" s="34"/>
      <c r="BV1390" s="34"/>
      <c r="BW1390" s="34"/>
      <c r="BX1390" s="34"/>
      <c r="BY1390" s="34"/>
      <c r="BZ1390" s="34"/>
      <c r="CA1390" s="34"/>
      <c r="CB1390" s="34"/>
      <c r="CC1390" s="34"/>
      <c r="CD1390" s="34"/>
      <c r="CE1390" s="34"/>
      <c r="CF1390" s="34"/>
      <c r="CG1390" s="34"/>
      <c r="CH1390" s="34"/>
      <c r="CI1390" s="34"/>
      <c r="CJ1390" s="34"/>
      <c r="CK1390" s="34"/>
      <c r="CL1390" s="34"/>
      <c r="CM1390" s="34"/>
      <c r="CN1390" s="34"/>
      <c r="CO1390" s="34"/>
      <c r="CP1390" s="34"/>
      <c r="CQ1390" s="34"/>
      <c r="CR1390" s="34"/>
      <c r="CS1390" s="34"/>
    </row>
    <row r="1391" spans="7:97" s="246" customFormat="1" x14ac:dyDescent="0.2">
      <c r="G1391" s="2188"/>
      <c r="BS1391" s="34"/>
      <c r="BT1391" s="34"/>
      <c r="BU1391" s="34"/>
      <c r="BV1391" s="34"/>
      <c r="BW1391" s="34"/>
      <c r="BX1391" s="34"/>
      <c r="BY1391" s="34"/>
      <c r="BZ1391" s="34"/>
      <c r="CA1391" s="34"/>
      <c r="CB1391" s="34"/>
      <c r="CC1391" s="34"/>
      <c r="CD1391" s="34"/>
      <c r="CE1391" s="34"/>
      <c r="CF1391" s="34"/>
      <c r="CG1391" s="34"/>
      <c r="CH1391" s="34"/>
      <c r="CI1391" s="34"/>
      <c r="CJ1391" s="34"/>
      <c r="CK1391" s="34"/>
      <c r="CL1391" s="34"/>
      <c r="CM1391" s="34"/>
      <c r="CN1391" s="34"/>
      <c r="CO1391" s="34"/>
      <c r="CP1391" s="34"/>
      <c r="CQ1391" s="34"/>
      <c r="CR1391" s="34"/>
      <c r="CS1391" s="34"/>
    </row>
    <row r="1392" spans="7:97" s="246" customFormat="1" x14ac:dyDescent="0.2">
      <c r="G1392" s="2188"/>
      <c r="BS1392" s="34"/>
      <c r="BT1392" s="34"/>
      <c r="BU1392" s="34"/>
      <c r="BV1392" s="34"/>
      <c r="BW1392" s="34"/>
      <c r="BX1392" s="34"/>
      <c r="BY1392" s="34"/>
      <c r="BZ1392" s="34"/>
      <c r="CA1392" s="34"/>
      <c r="CB1392" s="34"/>
      <c r="CC1392" s="34"/>
      <c r="CD1392" s="34"/>
      <c r="CE1392" s="34"/>
      <c r="CF1392" s="34"/>
      <c r="CG1392" s="34"/>
      <c r="CH1392" s="34"/>
      <c r="CI1392" s="34"/>
      <c r="CJ1392" s="34"/>
      <c r="CK1392" s="34"/>
      <c r="CL1392" s="34"/>
      <c r="CM1392" s="34"/>
      <c r="CN1392" s="34"/>
      <c r="CO1392" s="34"/>
      <c r="CP1392" s="34"/>
      <c r="CQ1392" s="34"/>
      <c r="CR1392" s="34"/>
      <c r="CS1392" s="34"/>
    </row>
    <row r="1393" spans="7:97" s="246" customFormat="1" x14ac:dyDescent="0.2">
      <c r="G1393" s="2188"/>
      <c r="BS1393" s="34"/>
      <c r="BT1393" s="34"/>
      <c r="BU1393" s="34"/>
      <c r="BV1393" s="34"/>
      <c r="BW1393" s="34"/>
      <c r="BX1393" s="34"/>
      <c r="BY1393" s="34"/>
      <c r="BZ1393" s="34"/>
      <c r="CA1393" s="34"/>
      <c r="CB1393" s="34"/>
      <c r="CC1393" s="34"/>
      <c r="CD1393" s="34"/>
      <c r="CE1393" s="34"/>
      <c r="CF1393" s="34"/>
      <c r="CG1393" s="34"/>
      <c r="CH1393" s="34"/>
      <c r="CI1393" s="34"/>
      <c r="CJ1393" s="34"/>
      <c r="CK1393" s="34"/>
      <c r="CL1393" s="34"/>
      <c r="CM1393" s="34"/>
      <c r="CN1393" s="34"/>
      <c r="CO1393" s="34"/>
      <c r="CP1393" s="34"/>
      <c r="CQ1393" s="34"/>
      <c r="CR1393" s="34"/>
      <c r="CS1393" s="34"/>
    </row>
    <row r="1394" spans="7:97" s="246" customFormat="1" x14ac:dyDescent="0.2">
      <c r="G1394" s="2188"/>
      <c r="BS1394" s="34"/>
      <c r="BT1394" s="34"/>
      <c r="BU1394" s="34"/>
      <c r="BV1394" s="34"/>
      <c r="BW1394" s="34"/>
      <c r="BX1394" s="34"/>
      <c r="BY1394" s="34"/>
      <c r="BZ1394" s="34"/>
      <c r="CA1394" s="34"/>
      <c r="CB1394" s="34"/>
      <c r="CC1394" s="34"/>
      <c r="CD1394" s="34"/>
      <c r="CE1394" s="34"/>
      <c r="CF1394" s="34"/>
      <c r="CG1394" s="34"/>
      <c r="CH1394" s="34"/>
      <c r="CI1394" s="34"/>
      <c r="CJ1394" s="34"/>
      <c r="CK1394" s="34"/>
      <c r="CL1394" s="34"/>
      <c r="CM1394" s="34"/>
      <c r="CN1394" s="34"/>
      <c r="CO1394" s="34"/>
      <c r="CP1394" s="34"/>
      <c r="CQ1394" s="34"/>
      <c r="CR1394" s="34"/>
      <c r="CS1394" s="34"/>
    </row>
    <row r="1395" spans="7:97" s="246" customFormat="1" x14ac:dyDescent="0.2">
      <c r="G1395" s="2188"/>
      <c r="BS1395" s="34"/>
      <c r="BT1395" s="34"/>
      <c r="BU1395" s="34"/>
      <c r="BV1395" s="34"/>
      <c r="BW1395" s="34"/>
      <c r="BX1395" s="34"/>
      <c r="BY1395" s="34"/>
      <c r="BZ1395" s="34"/>
      <c r="CA1395" s="34"/>
      <c r="CB1395" s="34"/>
      <c r="CC1395" s="34"/>
      <c r="CD1395" s="34"/>
      <c r="CE1395" s="34"/>
      <c r="CF1395" s="34"/>
      <c r="CG1395" s="34"/>
      <c r="CH1395" s="34"/>
      <c r="CI1395" s="34"/>
      <c r="CJ1395" s="34"/>
      <c r="CK1395" s="34"/>
      <c r="CL1395" s="34"/>
      <c r="CM1395" s="34"/>
      <c r="CN1395" s="34"/>
      <c r="CO1395" s="34"/>
      <c r="CP1395" s="34"/>
      <c r="CQ1395" s="34"/>
      <c r="CR1395" s="34"/>
      <c r="CS1395" s="34"/>
    </row>
    <row r="1396" spans="7:97" s="246" customFormat="1" x14ac:dyDescent="0.2">
      <c r="G1396" s="2188"/>
      <c r="BS1396" s="34"/>
      <c r="BT1396" s="34"/>
      <c r="BU1396" s="34"/>
      <c r="BV1396" s="34"/>
      <c r="BW1396" s="34"/>
      <c r="BX1396" s="34"/>
      <c r="BY1396" s="34"/>
      <c r="BZ1396" s="34"/>
      <c r="CA1396" s="34"/>
      <c r="CB1396" s="34"/>
      <c r="CC1396" s="34"/>
      <c r="CD1396" s="34"/>
      <c r="CE1396" s="34"/>
      <c r="CF1396" s="34"/>
      <c r="CG1396" s="34"/>
      <c r="CH1396" s="34"/>
      <c r="CI1396" s="34"/>
      <c r="CJ1396" s="34"/>
      <c r="CK1396" s="34"/>
      <c r="CL1396" s="34"/>
      <c r="CM1396" s="34"/>
      <c r="CN1396" s="34"/>
      <c r="CO1396" s="34"/>
      <c r="CP1396" s="34"/>
      <c r="CQ1396" s="34"/>
      <c r="CR1396" s="34"/>
      <c r="CS1396" s="34"/>
    </row>
    <row r="1397" spans="7:97" s="246" customFormat="1" x14ac:dyDescent="0.2">
      <c r="G1397" s="2188"/>
      <c r="BS1397" s="34"/>
      <c r="BT1397" s="34"/>
      <c r="BU1397" s="34"/>
      <c r="BV1397" s="34"/>
      <c r="BW1397" s="34"/>
      <c r="BX1397" s="34"/>
      <c r="BY1397" s="34"/>
      <c r="BZ1397" s="34"/>
      <c r="CA1397" s="34"/>
      <c r="CB1397" s="34"/>
      <c r="CC1397" s="34"/>
      <c r="CD1397" s="34"/>
      <c r="CE1397" s="34"/>
      <c r="CF1397" s="34"/>
      <c r="CG1397" s="34"/>
      <c r="CH1397" s="34"/>
      <c r="CI1397" s="34"/>
      <c r="CJ1397" s="34"/>
      <c r="CK1397" s="34"/>
      <c r="CL1397" s="34"/>
      <c r="CM1397" s="34"/>
      <c r="CN1397" s="34"/>
      <c r="CO1397" s="34"/>
      <c r="CP1397" s="34"/>
      <c r="CQ1397" s="34"/>
      <c r="CR1397" s="34"/>
      <c r="CS1397" s="34"/>
    </row>
    <row r="1398" spans="7:97" s="246" customFormat="1" x14ac:dyDescent="0.2">
      <c r="G1398" s="2188"/>
      <c r="BS1398" s="34"/>
      <c r="BT1398" s="34"/>
      <c r="BU1398" s="34"/>
      <c r="BV1398" s="34"/>
      <c r="BW1398" s="34"/>
      <c r="BX1398" s="34"/>
      <c r="BY1398" s="34"/>
      <c r="BZ1398" s="34"/>
      <c r="CA1398" s="34"/>
      <c r="CB1398" s="34"/>
      <c r="CC1398" s="34"/>
      <c r="CD1398" s="34"/>
      <c r="CE1398" s="34"/>
      <c r="CF1398" s="34"/>
      <c r="CG1398" s="34"/>
      <c r="CH1398" s="34"/>
      <c r="CI1398" s="34"/>
      <c r="CJ1398" s="34"/>
      <c r="CK1398" s="34"/>
      <c r="CL1398" s="34"/>
      <c r="CM1398" s="34"/>
      <c r="CN1398" s="34"/>
      <c r="CO1398" s="34"/>
      <c r="CP1398" s="34"/>
      <c r="CQ1398" s="34"/>
      <c r="CR1398" s="34"/>
      <c r="CS1398" s="34"/>
    </row>
    <row r="1399" spans="7:97" s="246" customFormat="1" x14ac:dyDescent="0.2">
      <c r="G1399" s="2188"/>
      <c r="BS1399" s="34"/>
      <c r="BT1399" s="34"/>
      <c r="BU1399" s="34"/>
      <c r="BV1399" s="34"/>
      <c r="BW1399" s="34"/>
      <c r="BX1399" s="34"/>
      <c r="BY1399" s="34"/>
      <c r="BZ1399" s="34"/>
      <c r="CA1399" s="34"/>
      <c r="CB1399" s="34"/>
      <c r="CC1399" s="34"/>
      <c r="CD1399" s="34"/>
      <c r="CE1399" s="34"/>
      <c r="CF1399" s="34"/>
      <c r="CG1399" s="34"/>
      <c r="CH1399" s="34"/>
      <c r="CI1399" s="34"/>
      <c r="CJ1399" s="34"/>
      <c r="CK1399" s="34"/>
      <c r="CL1399" s="34"/>
      <c r="CM1399" s="34"/>
      <c r="CN1399" s="34"/>
      <c r="CO1399" s="34"/>
      <c r="CP1399" s="34"/>
      <c r="CQ1399" s="34"/>
      <c r="CR1399" s="34"/>
      <c r="CS1399" s="34"/>
    </row>
    <row r="1400" spans="7:97" s="246" customFormat="1" x14ac:dyDescent="0.2">
      <c r="G1400" s="2188"/>
      <c r="BS1400" s="34"/>
      <c r="BT1400" s="34"/>
      <c r="BU1400" s="34"/>
      <c r="BV1400" s="34"/>
      <c r="BW1400" s="34"/>
      <c r="BX1400" s="34"/>
      <c r="BY1400" s="34"/>
      <c r="BZ1400" s="34"/>
      <c r="CA1400" s="34"/>
      <c r="CB1400" s="34"/>
      <c r="CC1400" s="34"/>
      <c r="CD1400" s="34"/>
      <c r="CE1400" s="34"/>
      <c r="CF1400" s="34"/>
      <c r="CG1400" s="34"/>
      <c r="CH1400" s="34"/>
      <c r="CI1400" s="34"/>
      <c r="CJ1400" s="34"/>
      <c r="CK1400" s="34"/>
      <c r="CL1400" s="34"/>
      <c r="CM1400" s="34"/>
      <c r="CN1400" s="34"/>
      <c r="CO1400" s="34"/>
      <c r="CP1400" s="34"/>
      <c r="CQ1400" s="34"/>
      <c r="CR1400" s="34"/>
      <c r="CS1400" s="34"/>
    </row>
    <row r="1401" spans="7:97" s="246" customFormat="1" x14ac:dyDescent="0.2">
      <c r="G1401" s="2188"/>
      <c r="BS1401" s="34"/>
      <c r="BT1401" s="34"/>
      <c r="BU1401" s="34"/>
      <c r="BV1401" s="34"/>
      <c r="BW1401" s="34"/>
      <c r="BX1401" s="34"/>
      <c r="BY1401" s="34"/>
      <c r="BZ1401" s="34"/>
      <c r="CA1401" s="34"/>
      <c r="CB1401" s="34"/>
      <c r="CC1401" s="34"/>
      <c r="CD1401" s="34"/>
      <c r="CE1401" s="34"/>
      <c r="CF1401" s="34"/>
      <c r="CG1401" s="34"/>
      <c r="CH1401" s="34"/>
      <c r="CI1401" s="34"/>
      <c r="CJ1401" s="34"/>
      <c r="CK1401" s="34"/>
      <c r="CL1401" s="34"/>
      <c r="CM1401" s="34"/>
      <c r="CN1401" s="34"/>
      <c r="CO1401" s="34"/>
      <c r="CP1401" s="34"/>
      <c r="CQ1401" s="34"/>
      <c r="CR1401" s="34"/>
      <c r="CS1401" s="34"/>
    </row>
    <row r="1402" spans="7:97" s="246" customFormat="1" x14ac:dyDescent="0.2">
      <c r="G1402" s="2188"/>
      <c r="BS1402" s="34"/>
      <c r="BT1402" s="34"/>
      <c r="BU1402" s="34"/>
      <c r="BV1402" s="34"/>
      <c r="BW1402" s="34"/>
      <c r="BX1402" s="34"/>
      <c r="BY1402" s="34"/>
      <c r="BZ1402" s="34"/>
      <c r="CA1402" s="34"/>
      <c r="CB1402" s="34"/>
      <c r="CC1402" s="34"/>
      <c r="CD1402" s="34"/>
      <c r="CE1402" s="34"/>
      <c r="CF1402" s="34"/>
      <c r="CG1402" s="34"/>
      <c r="CH1402" s="34"/>
      <c r="CI1402" s="34"/>
      <c r="CJ1402" s="34"/>
      <c r="CK1402" s="34"/>
      <c r="CL1402" s="34"/>
      <c r="CM1402" s="34"/>
      <c r="CN1402" s="34"/>
      <c r="CO1402" s="34"/>
      <c r="CP1402" s="34"/>
      <c r="CQ1402" s="34"/>
      <c r="CR1402" s="34"/>
      <c r="CS1402" s="34"/>
    </row>
    <row r="1403" spans="7:97" s="246" customFormat="1" x14ac:dyDescent="0.2">
      <c r="G1403" s="2188"/>
      <c r="BS1403" s="34"/>
      <c r="BT1403" s="34"/>
      <c r="BU1403" s="34"/>
      <c r="BV1403" s="34"/>
      <c r="BW1403" s="34"/>
      <c r="BX1403" s="34"/>
      <c r="BY1403" s="34"/>
      <c r="BZ1403" s="34"/>
      <c r="CA1403" s="34"/>
      <c r="CB1403" s="34"/>
      <c r="CC1403" s="34"/>
      <c r="CD1403" s="34"/>
      <c r="CE1403" s="34"/>
      <c r="CF1403" s="34"/>
      <c r="CG1403" s="34"/>
      <c r="CH1403" s="34"/>
      <c r="CI1403" s="34"/>
      <c r="CJ1403" s="34"/>
      <c r="CK1403" s="34"/>
      <c r="CL1403" s="34"/>
      <c r="CM1403" s="34"/>
      <c r="CN1403" s="34"/>
      <c r="CO1403" s="34"/>
      <c r="CP1403" s="34"/>
      <c r="CQ1403" s="34"/>
      <c r="CR1403" s="34"/>
      <c r="CS1403" s="34"/>
    </row>
    <row r="1404" spans="7:97" s="246" customFormat="1" x14ac:dyDescent="0.2">
      <c r="G1404" s="2188"/>
      <c r="BS1404" s="34"/>
      <c r="BT1404" s="34"/>
      <c r="BU1404" s="34"/>
      <c r="BV1404" s="34"/>
      <c r="BW1404" s="34"/>
      <c r="BX1404" s="34"/>
      <c r="BY1404" s="34"/>
      <c r="BZ1404" s="34"/>
      <c r="CA1404" s="34"/>
      <c r="CB1404" s="34"/>
      <c r="CC1404" s="34"/>
      <c r="CD1404" s="34"/>
      <c r="CE1404" s="34"/>
      <c r="CF1404" s="34"/>
      <c r="CG1404" s="34"/>
      <c r="CH1404" s="34"/>
      <c r="CI1404" s="34"/>
      <c r="CJ1404" s="34"/>
      <c r="CK1404" s="34"/>
      <c r="CL1404" s="34"/>
      <c r="CM1404" s="34"/>
      <c r="CN1404" s="34"/>
      <c r="CO1404" s="34"/>
      <c r="CP1404" s="34"/>
      <c r="CQ1404" s="34"/>
      <c r="CR1404" s="34"/>
      <c r="CS1404" s="34"/>
    </row>
    <row r="1405" spans="7:97" s="246" customFormat="1" x14ac:dyDescent="0.2">
      <c r="G1405" s="2188"/>
      <c r="BS1405" s="34"/>
      <c r="BT1405" s="34"/>
      <c r="BU1405" s="34"/>
      <c r="BV1405" s="34"/>
      <c r="BW1405" s="34"/>
      <c r="BX1405" s="34"/>
      <c r="BY1405" s="34"/>
      <c r="BZ1405" s="34"/>
      <c r="CA1405" s="34"/>
      <c r="CB1405" s="34"/>
      <c r="CC1405" s="34"/>
      <c r="CD1405" s="34"/>
      <c r="CE1405" s="34"/>
      <c r="CF1405" s="34"/>
      <c r="CG1405" s="34"/>
      <c r="CH1405" s="34"/>
      <c r="CI1405" s="34"/>
      <c r="CJ1405" s="34"/>
      <c r="CK1405" s="34"/>
      <c r="CL1405" s="34"/>
      <c r="CM1405" s="34"/>
      <c r="CN1405" s="34"/>
      <c r="CO1405" s="34"/>
      <c r="CP1405" s="34"/>
      <c r="CQ1405" s="34"/>
      <c r="CR1405" s="34"/>
      <c r="CS1405" s="34"/>
    </row>
    <row r="1406" spans="7:97" s="246" customFormat="1" x14ac:dyDescent="0.2">
      <c r="G1406" s="2188"/>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row>
    <row r="1407" spans="7:97" s="246" customFormat="1" x14ac:dyDescent="0.2">
      <c r="G1407" s="2188"/>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row>
    <row r="1408" spans="7:97" s="246" customFormat="1" x14ac:dyDescent="0.2">
      <c r="G1408" s="2188"/>
      <c r="BS1408" s="34"/>
      <c r="BT1408" s="34"/>
      <c r="BU1408" s="34"/>
      <c r="BV1408" s="34"/>
      <c r="BW1408" s="34"/>
      <c r="BX1408" s="34"/>
      <c r="BY1408" s="34"/>
      <c r="BZ1408" s="34"/>
      <c r="CA1408" s="34"/>
      <c r="CB1408" s="34"/>
      <c r="CC1408" s="34"/>
      <c r="CD1408" s="34"/>
      <c r="CE1408" s="34"/>
      <c r="CF1408" s="34"/>
      <c r="CG1408" s="34"/>
      <c r="CH1408" s="34"/>
      <c r="CI1408" s="34"/>
      <c r="CJ1408" s="34"/>
      <c r="CK1408" s="34"/>
      <c r="CL1408" s="34"/>
      <c r="CM1408" s="34"/>
      <c r="CN1408" s="34"/>
      <c r="CO1408" s="34"/>
      <c r="CP1408" s="34"/>
      <c r="CQ1408" s="34"/>
      <c r="CR1408" s="34"/>
      <c r="CS1408" s="34"/>
    </row>
    <row r="1409" spans="7:97" s="246" customFormat="1" x14ac:dyDescent="0.2">
      <c r="G1409" s="2188"/>
      <c r="BS1409" s="34"/>
      <c r="BT1409" s="34"/>
      <c r="BU1409" s="34"/>
      <c r="BV1409" s="34"/>
      <c r="BW1409" s="34"/>
      <c r="BX1409" s="34"/>
      <c r="BY1409" s="34"/>
      <c r="BZ1409" s="34"/>
      <c r="CA1409" s="34"/>
      <c r="CB1409" s="34"/>
      <c r="CC1409" s="34"/>
      <c r="CD1409" s="34"/>
      <c r="CE1409" s="34"/>
      <c r="CF1409" s="34"/>
      <c r="CG1409" s="34"/>
      <c r="CH1409" s="34"/>
      <c r="CI1409" s="34"/>
      <c r="CJ1409" s="34"/>
      <c r="CK1409" s="34"/>
      <c r="CL1409" s="34"/>
      <c r="CM1409" s="34"/>
      <c r="CN1409" s="34"/>
      <c r="CO1409" s="34"/>
      <c r="CP1409" s="34"/>
      <c r="CQ1409" s="34"/>
      <c r="CR1409" s="34"/>
      <c r="CS1409" s="34"/>
    </row>
    <row r="1410" spans="7:97" s="246" customFormat="1" x14ac:dyDescent="0.2">
      <c r="G1410" s="2188"/>
      <c r="BS1410" s="34"/>
      <c r="BT1410" s="34"/>
      <c r="BU1410" s="34"/>
      <c r="BV1410" s="34"/>
      <c r="BW1410" s="34"/>
      <c r="BX1410" s="34"/>
      <c r="BY1410" s="34"/>
      <c r="BZ1410" s="34"/>
      <c r="CA1410" s="34"/>
      <c r="CB1410" s="34"/>
      <c r="CC1410" s="34"/>
      <c r="CD1410" s="34"/>
      <c r="CE1410" s="34"/>
      <c r="CF1410" s="34"/>
      <c r="CG1410" s="34"/>
      <c r="CH1410" s="34"/>
      <c r="CI1410" s="34"/>
      <c r="CJ1410" s="34"/>
      <c r="CK1410" s="34"/>
      <c r="CL1410" s="34"/>
      <c r="CM1410" s="34"/>
      <c r="CN1410" s="34"/>
      <c r="CO1410" s="34"/>
      <c r="CP1410" s="34"/>
      <c r="CQ1410" s="34"/>
      <c r="CR1410" s="34"/>
      <c r="CS1410" s="34"/>
    </row>
    <row r="1411" spans="7:97" s="246" customFormat="1" x14ac:dyDescent="0.2">
      <c r="G1411" s="2188"/>
      <c r="BS1411" s="34"/>
      <c r="BT1411" s="34"/>
      <c r="BU1411" s="34"/>
      <c r="BV1411" s="34"/>
      <c r="BW1411" s="34"/>
      <c r="BX1411" s="34"/>
      <c r="BY1411" s="34"/>
      <c r="BZ1411" s="34"/>
      <c r="CA1411" s="34"/>
      <c r="CB1411" s="34"/>
      <c r="CC1411" s="34"/>
      <c r="CD1411" s="34"/>
      <c r="CE1411" s="34"/>
      <c r="CF1411" s="34"/>
      <c r="CG1411" s="34"/>
      <c r="CH1411" s="34"/>
      <c r="CI1411" s="34"/>
      <c r="CJ1411" s="34"/>
      <c r="CK1411" s="34"/>
      <c r="CL1411" s="34"/>
      <c r="CM1411" s="34"/>
      <c r="CN1411" s="34"/>
      <c r="CO1411" s="34"/>
      <c r="CP1411" s="34"/>
      <c r="CQ1411" s="34"/>
      <c r="CR1411" s="34"/>
      <c r="CS1411" s="34"/>
    </row>
    <row r="1412" spans="7:97" s="246" customFormat="1" x14ac:dyDescent="0.2">
      <c r="G1412" s="2188"/>
      <c r="BS1412" s="34"/>
      <c r="BT1412" s="34"/>
      <c r="BU1412" s="34"/>
      <c r="BV1412" s="34"/>
      <c r="BW1412" s="34"/>
      <c r="BX1412" s="34"/>
      <c r="BY1412" s="34"/>
      <c r="BZ1412" s="34"/>
      <c r="CA1412" s="34"/>
      <c r="CB1412" s="34"/>
      <c r="CC1412" s="34"/>
      <c r="CD1412" s="34"/>
      <c r="CE1412" s="34"/>
      <c r="CF1412" s="34"/>
      <c r="CG1412" s="34"/>
      <c r="CH1412" s="34"/>
      <c r="CI1412" s="34"/>
      <c r="CJ1412" s="34"/>
      <c r="CK1412" s="34"/>
      <c r="CL1412" s="34"/>
      <c r="CM1412" s="34"/>
      <c r="CN1412" s="34"/>
      <c r="CO1412" s="34"/>
      <c r="CP1412" s="34"/>
      <c r="CQ1412" s="34"/>
      <c r="CR1412" s="34"/>
      <c r="CS1412" s="34"/>
    </row>
    <row r="1413" spans="7:97" s="246" customFormat="1" x14ac:dyDescent="0.2">
      <c r="G1413" s="2188"/>
      <c r="BS1413" s="34"/>
      <c r="BT1413" s="34"/>
      <c r="BU1413" s="34"/>
      <c r="BV1413" s="34"/>
      <c r="BW1413" s="34"/>
      <c r="BX1413" s="34"/>
      <c r="BY1413" s="34"/>
      <c r="BZ1413" s="34"/>
      <c r="CA1413" s="34"/>
      <c r="CB1413" s="34"/>
      <c r="CC1413" s="34"/>
      <c r="CD1413" s="34"/>
      <c r="CE1413" s="34"/>
      <c r="CF1413" s="34"/>
      <c r="CG1413" s="34"/>
      <c r="CH1413" s="34"/>
      <c r="CI1413" s="34"/>
      <c r="CJ1413" s="34"/>
      <c r="CK1413" s="34"/>
      <c r="CL1413" s="34"/>
      <c r="CM1413" s="34"/>
      <c r="CN1413" s="34"/>
      <c r="CO1413" s="34"/>
      <c r="CP1413" s="34"/>
      <c r="CQ1413" s="34"/>
      <c r="CR1413" s="34"/>
      <c r="CS1413" s="34"/>
    </row>
    <row r="1414" spans="7:97" s="246" customFormat="1" x14ac:dyDescent="0.2">
      <c r="G1414" s="2188"/>
      <c r="BS1414" s="34"/>
      <c r="BT1414" s="34"/>
      <c r="BU1414" s="34"/>
      <c r="BV1414" s="34"/>
      <c r="BW1414" s="34"/>
      <c r="BX1414" s="34"/>
      <c r="BY1414" s="34"/>
      <c r="BZ1414" s="34"/>
      <c r="CA1414" s="34"/>
      <c r="CB1414" s="34"/>
      <c r="CC1414" s="34"/>
      <c r="CD1414" s="34"/>
      <c r="CE1414" s="34"/>
      <c r="CF1414" s="34"/>
      <c r="CG1414" s="34"/>
      <c r="CH1414" s="34"/>
      <c r="CI1414" s="34"/>
      <c r="CJ1414" s="34"/>
      <c r="CK1414" s="34"/>
      <c r="CL1414" s="34"/>
      <c r="CM1414" s="34"/>
      <c r="CN1414" s="34"/>
      <c r="CO1414" s="34"/>
      <c r="CP1414" s="34"/>
      <c r="CQ1414" s="34"/>
      <c r="CR1414" s="34"/>
      <c r="CS1414" s="34"/>
    </row>
    <row r="1415" spans="7:97" s="246" customFormat="1" x14ac:dyDescent="0.2">
      <c r="G1415" s="2188"/>
      <c r="BS1415" s="34"/>
      <c r="BT1415" s="34"/>
      <c r="BU1415" s="34"/>
      <c r="BV1415" s="34"/>
      <c r="BW1415" s="34"/>
      <c r="BX1415" s="34"/>
      <c r="BY1415" s="34"/>
      <c r="BZ1415" s="34"/>
      <c r="CA1415" s="34"/>
      <c r="CB1415" s="34"/>
      <c r="CC1415" s="34"/>
      <c r="CD1415" s="34"/>
      <c r="CE1415" s="34"/>
      <c r="CF1415" s="34"/>
      <c r="CG1415" s="34"/>
      <c r="CH1415" s="34"/>
      <c r="CI1415" s="34"/>
      <c r="CJ1415" s="34"/>
      <c r="CK1415" s="34"/>
      <c r="CL1415" s="34"/>
      <c r="CM1415" s="34"/>
      <c r="CN1415" s="34"/>
      <c r="CO1415" s="34"/>
      <c r="CP1415" s="34"/>
      <c r="CQ1415" s="34"/>
      <c r="CR1415" s="34"/>
      <c r="CS1415" s="34"/>
    </row>
    <row r="1416" spans="7:97" s="246" customFormat="1" x14ac:dyDescent="0.2">
      <c r="G1416" s="2188"/>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row>
    <row r="1417" spans="7:97" s="246" customFormat="1" x14ac:dyDescent="0.2">
      <c r="G1417" s="2188"/>
      <c r="BS1417" s="34"/>
      <c r="BT1417" s="34"/>
      <c r="BU1417" s="34"/>
      <c r="BV1417" s="34"/>
      <c r="BW1417" s="34"/>
      <c r="BX1417" s="34"/>
      <c r="BY1417" s="34"/>
      <c r="BZ1417" s="34"/>
      <c r="CA1417" s="34"/>
      <c r="CB1417" s="34"/>
      <c r="CC1417" s="34"/>
      <c r="CD1417" s="34"/>
      <c r="CE1417" s="34"/>
      <c r="CF1417" s="34"/>
      <c r="CG1417" s="34"/>
      <c r="CH1417" s="34"/>
      <c r="CI1417" s="34"/>
      <c r="CJ1417" s="34"/>
      <c r="CK1417" s="34"/>
      <c r="CL1417" s="34"/>
      <c r="CM1417" s="34"/>
      <c r="CN1417" s="34"/>
      <c r="CO1417" s="34"/>
      <c r="CP1417" s="34"/>
      <c r="CQ1417" s="34"/>
      <c r="CR1417" s="34"/>
      <c r="CS1417" s="34"/>
    </row>
    <row r="1418" spans="7:97" s="246" customFormat="1" x14ac:dyDescent="0.2">
      <c r="G1418" s="2188"/>
      <c r="BS1418" s="34"/>
      <c r="BT1418" s="34"/>
      <c r="BU1418" s="34"/>
      <c r="BV1418" s="34"/>
      <c r="BW1418" s="34"/>
      <c r="BX1418" s="34"/>
      <c r="BY1418" s="34"/>
      <c r="BZ1418" s="34"/>
      <c r="CA1418" s="34"/>
      <c r="CB1418" s="34"/>
      <c r="CC1418" s="34"/>
      <c r="CD1418" s="34"/>
      <c r="CE1418" s="34"/>
      <c r="CF1418" s="34"/>
      <c r="CG1418" s="34"/>
      <c r="CH1418" s="34"/>
      <c r="CI1418" s="34"/>
      <c r="CJ1418" s="34"/>
      <c r="CK1418" s="34"/>
      <c r="CL1418" s="34"/>
      <c r="CM1418" s="34"/>
      <c r="CN1418" s="34"/>
      <c r="CO1418" s="34"/>
      <c r="CP1418" s="34"/>
      <c r="CQ1418" s="34"/>
      <c r="CR1418" s="34"/>
      <c r="CS1418" s="34"/>
    </row>
    <row r="1419" spans="7:97" s="246" customFormat="1" x14ac:dyDescent="0.2">
      <c r="G1419" s="2188"/>
      <c r="BS1419" s="34"/>
      <c r="BT1419" s="34"/>
      <c r="BU1419" s="34"/>
      <c r="BV1419" s="34"/>
      <c r="BW1419" s="34"/>
      <c r="BX1419" s="34"/>
      <c r="BY1419" s="34"/>
      <c r="BZ1419" s="34"/>
      <c r="CA1419" s="34"/>
      <c r="CB1419" s="34"/>
      <c r="CC1419" s="34"/>
      <c r="CD1419" s="34"/>
      <c r="CE1419" s="34"/>
      <c r="CF1419" s="34"/>
      <c r="CG1419" s="34"/>
      <c r="CH1419" s="34"/>
      <c r="CI1419" s="34"/>
      <c r="CJ1419" s="34"/>
      <c r="CK1419" s="34"/>
      <c r="CL1419" s="34"/>
      <c r="CM1419" s="34"/>
      <c r="CN1419" s="34"/>
      <c r="CO1419" s="34"/>
      <c r="CP1419" s="34"/>
      <c r="CQ1419" s="34"/>
      <c r="CR1419" s="34"/>
      <c r="CS1419" s="34"/>
    </row>
    <row r="1420" spans="7:97" s="246" customFormat="1" x14ac:dyDescent="0.2">
      <c r="G1420" s="2188"/>
      <c r="BS1420" s="34"/>
      <c r="BT1420" s="34"/>
      <c r="BU1420" s="34"/>
      <c r="BV1420" s="34"/>
      <c r="BW1420" s="34"/>
      <c r="BX1420" s="34"/>
      <c r="BY1420" s="34"/>
      <c r="BZ1420" s="34"/>
      <c r="CA1420" s="34"/>
      <c r="CB1420" s="34"/>
      <c r="CC1420" s="34"/>
      <c r="CD1420" s="34"/>
      <c r="CE1420" s="34"/>
      <c r="CF1420" s="34"/>
      <c r="CG1420" s="34"/>
      <c r="CH1420" s="34"/>
      <c r="CI1420" s="34"/>
      <c r="CJ1420" s="34"/>
      <c r="CK1420" s="34"/>
      <c r="CL1420" s="34"/>
      <c r="CM1420" s="34"/>
      <c r="CN1420" s="34"/>
      <c r="CO1420" s="34"/>
      <c r="CP1420" s="34"/>
      <c r="CQ1420" s="34"/>
      <c r="CR1420" s="34"/>
      <c r="CS1420" s="34"/>
    </row>
    <row r="1421" spans="7:97" s="246" customFormat="1" x14ac:dyDescent="0.2">
      <c r="G1421" s="2188"/>
      <c r="BS1421" s="34"/>
      <c r="BT1421" s="34"/>
      <c r="BU1421" s="34"/>
      <c r="BV1421" s="34"/>
      <c r="BW1421" s="34"/>
      <c r="BX1421" s="34"/>
      <c r="BY1421" s="34"/>
      <c r="BZ1421" s="34"/>
      <c r="CA1421" s="34"/>
      <c r="CB1421" s="34"/>
      <c r="CC1421" s="34"/>
      <c r="CD1421" s="34"/>
      <c r="CE1421" s="34"/>
      <c r="CF1421" s="34"/>
      <c r="CG1421" s="34"/>
      <c r="CH1421" s="34"/>
      <c r="CI1421" s="34"/>
      <c r="CJ1421" s="34"/>
      <c r="CK1421" s="34"/>
      <c r="CL1421" s="34"/>
      <c r="CM1421" s="34"/>
      <c r="CN1421" s="34"/>
      <c r="CO1421" s="34"/>
      <c r="CP1421" s="34"/>
      <c r="CQ1421" s="34"/>
      <c r="CR1421" s="34"/>
      <c r="CS1421" s="34"/>
    </row>
    <row r="1422" spans="7:97" s="246" customFormat="1" x14ac:dyDescent="0.2">
      <c r="G1422" s="2188"/>
      <c r="BS1422" s="34"/>
      <c r="BT1422" s="34"/>
      <c r="BU1422" s="34"/>
      <c r="BV1422" s="34"/>
      <c r="BW1422" s="34"/>
      <c r="BX1422" s="34"/>
      <c r="BY1422" s="34"/>
      <c r="BZ1422" s="34"/>
      <c r="CA1422" s="34"/>
      <c r="CB1422" s="34"/>
      <c r="CC1422" s="34"/>
      <c r="CD1422" s="34"/>
      <c r="CE1422" s="34"/>
      <c r="CF1422" s="34"/>
      <c r="CG1422" s="34"/>
      <c r="CH1422" s="34"/>
      <c r="CI1422" s="34"/>
      <c r="CJ1422" s="34"/>
      <c r="CK1422" s="34"/>
      <c r="CL1422" s="34"/>
      <c r="CM1422" s="34"/>
      <c r="CN1422" s="34"/>
      <c r="CO1422" s="34"/>
      <c r="CP1422" s="34"/>
      <c r="CQ1422" s="34"/>
      <c r="CR1422" s="34"/>
      <c r="CS1422" s="34"/>
    </row>
    <row r="1423" spans="7:97" s="246" customFormat="1" x14ac:dyDescent="0.2">
      <c r="G1423" s="2188"/>
      <c r="BS1423" s="34"/>
      <c r="BT1423" s="34"/>
      <c r="BU1423" s="34"/>
      <c r="BV1423" s="34"/>
      <c r="BW1423" s="34"/>
      <c r="BX1423" s="34"/>
      <c r="BY1423" s="34"/>
      <c r="BZ1423" s="34"/>
      <c r="CA1423" s="34"/>
      <c r="CB1423" s="34"/>
      <c r="CC1423" s="34"/>
      <c r="CD1423" s="34"/>
      <c r="CE1423" s="34"/>
      <c r="CF1423" s="34"/>
      <c r="CG1423" s="34"/>
      <c r="CH1423" s="34"/>
      <c r="CI1423" s="34"/>
      <c r="CJ1423" s="34"/>
      <c r="CK1423" s="34"/>
      <c r="CL1423" s="34"/>
      <c r="CM1423" s="34"/>
      <c r="CN1423" s="34"/>
      <c r="CO1423" s="34"/>
      <c r="CP1423" s="34"/>
      <c r="CQ1423" s="34"/>
      <c r="CR1423" s="34"/>
      <c r="CS1423" s="34"/>
    </row>
    <row r="1424" spans="7:97" s="246" customFormat="1" x14ac:dyDescent="0.2">
      <c r="G1424" s="2188"/>
      <c r="BS1424" s="34"/>
      <c r="BT1424" s="34"/>
      <c r="BU1424" s="34"/>
      <c r="BV1424" s="34"/>
      <c r="BW1424" s="34"/>
      <c r="BX1424" s="34"/>
      <c r="BY1424" s="34"/>
      <c r="BZ1424" s="34"/>
      <c r="CA1424" s="34"/>
      <c r="CB1424" s="34"/>
      <c r="CC1424" s="34"/>
      <c r="CD1424" s="34"/>
      <c r="CE1424" s="34"/>
      <c r="CF1424" s="34"/>
      <c r="CG1424" s="34"/>
      <c r="CH1424" s="34"/>
      <c r="CI1424" s="34"/>
      <c r="CJ1424" s="34"/>
      <c r="CK1424" s="34"/>
      <c r="CL1424" s="34"/>
      <c r="CM1424" s="34"/>
      <c r="CN1424" s="34"/>
      <c r="CO1424" s="34"/>
      <c r="CP1424" s="34"/>
      <c r="CQ1424" s="34"/>
      <c r="CR1424" s="34"/>
      <c r="CS1424" s="34"/>
    </row>
    <row r="1425" spans="7:97" s="246" customFormat="1" x14ac:dyDescent="0.2">
      <c r="G1425" s="2188"/>
      <c r="BS1425" s="34"/>
      <c r="BT1425" s="34"/>
      <c r="BU1425" s="34"/>
      <c r="BV1425" s="34"/>
      <c r="BW1425" s="34"/>
      <c r="BX1425" s="34"/>
      <c r="BY1425" s="34"/>
      <c r="BZ1425" s="34"/>
      <c r="CA1425" s="34"/>
      <c r="CB1425" s="34"/>
      <c r="CC1425" s="34"/>
      <c r="CD1425" s="34"/>
      <c r="CE1425" s="34"/>
      <c r="CF1425" s="34"/>
      <c r="CG1425" s="34"/>
      <c r="CH1425" s="34"/>
      <c r="CI1425" s="34"/>
      <c r="CJ1425" s="34"/>
      <c r="CK1425" s="34"/>
      <c r="CL1425" s="34"/>
      <c r="CM1425" s="34"/>
      <c r="CN1425" s="34"/>
      <c r="CO1425" s="34"/>
      <c r="CP1425" s="34"/>
      <c r="CQ1425" s="34"/>
      <c r="CR1425" s="34"/>
      <c r="CS1425" s="34"/>
    </row>
    <row r="1426" spans="7:97" s="246" customFormat="1" x14ac:dyDescent="0.2">
      <c r="G1426" s="2188"/>
      <c r="BS1426" s="34"/>
      <c r="BT1426" s="34"/>
      <c r="BU1426" s="34"/>
      <c r="BV1426" s="34"/>
      <c r="BW1426" s="34"/>
      <c r="BX1426" s="34"/>
      <c r="BY1426" s="34"/>
      <c r="BZ1426" s="34"/>
      <c r="CA1426" s="34"/>
      <c r="CB1426" s="34"/>
      <c r="CC1426" s="34"/>
      <c r="CD1426" s="34"/>
      <c r="CE1426" s="34"/>
      <c r="CF1426" s="34"/>
      <c r="CG1426" s="34"/>
      <c r="CH1426" s="34"/>
      <c r="CI1426" s="34"/>
      <c r="CJ1426" s="34"/>
      <c r="CK1426" s="34"/>
      <c r="CL1426" s="34"/>
      <c r="CM1426" s="34"/>
      <c r="CN1426" s="34"/>
      <c r="CO1426" s="34"/>
      <c r="CP1426" s="34"/>
      <c r="CQ1426" s="34"/>
      <c r="CR1426" s="34"/>
      <c r="CS1426" s="34"/>
    </row>
    <row r="1427" spans="7:97" s="246" customFormat="1" x14ac:dyDescent="0.2">
      <c r="G1427" s="2188"/>
      <c r="BS1427" s="34"/>
      <c r="BT1427" s="34"/>
      <c r="BU1427" s="34"/>
      <c r="BV1427" s="34"/>
      <c r="BW1427" s="34"/>
      <c r="BX1427" s="34"/>
      <c r="BY1427" s="34"/>
      <c r="BZ1427" s="34"/>
      <c r="CA1427" s="34"/>
      <c r="CB1427" s="34"/>
      <c r="CC1427" s="34"/>
      <c r="CD1427" s="34"/>
      <c r="CE1427" s="34"/>
      <c r="CF1427" s="34"/>
      <c r="CG1427" s="34"/>
      <c r="CH1427" s="34"/>
      <c r="CI1427" s="34"/>
      <c r="CJ1427" s="34"/>
      <c r="CK1427" s="34"/>
      <c r="CL1427" s="34"/>
      <c r="CM1427" s="34"/>
      <c r="CN1427" s="34"/>
      <c r="CO1427" s="34"/>
      <c r="CP1427" s="34"/>
      <c r="CQ1427" s="34"/>
      <c r="CR1427" s="34"/>
      <c r="CS1427" s="34"/>
    </row>
    <row r="1428" spans="7:97" s="246" customFormat="1" x14ac:dyDescent="0.2">
      <c r="G1428" s="2188"/>
      <c r="BS1428" s="34"/>
      <c r="BT1428" s="34"/>
      <c r="BU1428" s="34"/>
      <c r="BV1428" s="34"/>
      <c r="BW1428" s="34"/>
      <c r="BX1428" s="34"/>
      <c r="BY1428" s="34"/>
      <c r="BZ1428" s="34"/>
      <c r="CA1428" s="34"/>
      <c r="CB1428" s="34"/>
      <c r="CC1428" s="34"/>
      <c r="CD1428" s="34"/>
      <c r="CE1428" s="34"/>
      <c r="CF1428" s="34"/>
      <c r="CG1428" s="34"/>
      <c r="CH1428" s="34"/>
      <c r="CI1428" s="34"/>
      <c r="CJ1428" s="34"/>
      <c r="CK1428" s="34"/>
      <c r="CL1428" s="34"/>
      <c r="CM1428" s="34"/>
      <c r="CN1428" s="34"/>
      <c r="CO1428" s="34"/>
      <c r="CP1428" s="34"/>
      <c r="CQ1428" s="34"/>
      <c r="CR1428" s="34"/>
      <c r="CS1428" s="34"/>
    </row>
    <row r="1429" spans="7:97" s="246" customFormat="1" x14ac:dyDescent="0.2">
      <c r="G1429" s="2188"/>
      <c r="BS1429" s="34"/>
      <c r="BT1429" s="34"/>
      <c r="BU1429" s="34"/>
      <c r="BV1429" s="34"/>
      <c r="BW1429" s="34"/>
      <c r="BX1429" s="34"/>
      <c r="BY1429" s="34"/>
      <c r="BZ1429" s="34"/>
      <c r="CA1429" s="34"/>
      <c r="CB1429" s="34"/>
      <c r="CC1429" s="34"/>
      <c r="CD1429" s="34"/>
      <c r="CE1429" s="34"/>
      <c r="CF1429" s="34"/>
      <c r="CG1429" s="34"/>
      <c r="CH1429" s="34"/>
      <c r="CI1429" s="34"/>
      <c r="CJ1429" s="34"/>
      <c r="CK1429" s="34"/>
      <c r="CL1429" s="34"/>
      <c r="CM1429" s="34"/>
      <c r="CN1429" s="34"/>
      <c r="CO1429" s="34"/>
      <c r="CP1429" s="34"/>
      <c r="CQ1429" s="34"/>
      <c r="CR1429" s="34"/>
      <c r="CS1429" s="34"/>
    </row>
    <row r="1430" spans="7:97" s="246" customFormat="1" x14ac:dyDescent="0.2">
      <c r="G1430" s="2188"/>
      <c r="BS1430" s="34"/>
      <c r="BT1430" s="34"/>
      <c r="BU1430" s="34"/>
      <c r="BV1430" s="34"/>
      <c r="BW1430" s="34"/>
      <c r="BX1430" s="34"/>
      <c r="BY1430" s="34"/>
      <c r="BZ1430" s="34"/>
      <c r="CA1430" s="34"/>
      <c r="CB1430" s="34"/>
      <c r="CC1430" s="34"/>
      <c r="CD1430" s="34"/>
      <c r="CE1430" s="34"/>
      <c r="CF1430" s="34"/>
      <c r="CG1430" s="34"/>
      <c r="CH1430" s="34"/>
      <c r="CI1430" s="34"/>
      <c r="CJ1430" s="34"/>
      <c r="CK1430" s="34"/>
      <c r="CL1430" s="34"/>
      <c r="CM1430" s="34"/>
      <c r="CN1430" s="34"/>
      <c r="CO1430" s="34"/>
      <c r="CP1430" s="34"/>
      <c r="CQ1430" s="34"/>
      <c r="CR1430" s="34"/>
      <c r="CS1430" s="34"/>
    </row>
    <row r="1431" spans="7:97" s="246" customFormat="1" x14ac:dyDescent="0.2">
      <c r="G1431" s="2188"/>
      <c r="BS1431" s="34"/>
      <c r="BT1431" s="34"/>
      <c r="BU1431" s="34"/>
      <c r="BV1431" s="34"/>
      <c r="BW1431" s="34"/>
      <c r="BX1431" s="34"/>
      <c r="BY1431" s="34"/>
      <c r="BZ1431" s="34"/>
      <c r="CA1431" s="34"/>
      <c r="CB1431" s="34"/>
      <c r="CC1431" s="34"/>
      <c r="CD1431" s="34"/>
      <c r="CE1431" s="34"/>
      <c r="CF1431" s="34"/>
      <c r="CG1431" s="34"/>
      <c r="CH1431" s="34"/>
      <c r="CI1431" s="34"/>
      <c r="CJ1431" s="34"/>
      <c r="CK1431" s="34"/>
      <c r="CL1431" s="34"/>
      <c r="CM1431" s="34"/>
      <c r="CN1431" s="34"/>
      <c r="CO1431" s="34"/>
      <c r="CP1431" s="34"/>
      <c r="CQ1431" s="34"/>
      <c r="CR1431" s="34"/>
      <c r="CS1431" s="34"/>
    </row>
    <row r="1432" spans="7:97" s="246" customFormat="1" x14ac:dyDescent="0.2">
      <c r="G1432" s="2188"/>
      <c r="BS1432" s="34"/>
      <c r="BT1432" s="34"/>
      <c r="BU1432" s="34"/>
      <c r="BV1432" s="34"/>
      <c r="BW1432" s="34"/>
      <c r="BX1432" s="34"/>
      <c r="BY1432" s="34"/>
      <c r="BZ1432" s="34"/>
      <c r="CA1432" s="34"/>
      <c r="CB1432" s="34"/>
      <c r="CC1432" s="34"/>
      <c r="CD1432" s="34"/>
      <c r="CE1432" s="34"/>
      <c r="CF1432" s="34"/>
      <c r="CG1432" s="34"/>
      <c r="CH1432" s="34"/>
      <c r="CI1432" s="34"/>
      <c r="CJ1432" s="34"/>
      <c r="CK1432" s="34"/>
      <c r="CL1432" s="34"/>
      <c r="CM1432" s="34"/>
      <c r="CN1432" s="34"/>
      <c r="CO1432" s="34"/>
      <c r="CP1432" s="34"/>
      <c r="CQ1432" s="34"/>
      <c r="CR1432" s="34"/>
      <c r="CS1432" s="34"/>
    </row>
    <row r="1433" spans="7:97" s="246" customFormat="1" x14ac:dyDescent="0.2">
      <c r="G1433" s="2188"/>
      <c r="BS1433" s="34"/>
      <c r="BT1433" s="34"/>
      <c r="BU1433" s="34"/>
      <c r="BV1433" s="34"/>
      <c r="BW1433" s="34"/>
      <c r="BX1433" s="34"/>
      <c r="BY1433" s="34"/>
      <c r="BZ1433" s="34"/>
      <c r="CA1433" s="34"/>
      <c r="CB1433" s="34"/>
      <c r="CC1433" s="34"/>
      <c r="CD1433" s="34"/>
      <c r="CE1433" s="34"/>
      <c r="CF1433" s="34"/>
      <c r="CG1433" s="34"/>
      <c r="CH1433" s="34"/>
      <c r="CI1433" s="34"/>
      <c r="CJ1433" s="34"/>
      <c r="CK1433" s="34"/>
      <c r="CL1433" s="34"/>
      <c r="CM1433" s="34"/>
      <c r="CN1433" s="34"/>
      <c r="CO1433" s="34"/>
      <c r="CP1433" s="34"/>
      <c r="CQ1433" s="34"/>
      <c r="CR1433" s="34"/>
      <c r="CS1433" s="34"/>
    </row>
    <row r="1434" spans="7:97" s="246" customFormat="1" x14ac:dyDescent="0.2">
      <c r="G1434" s="2188"/>
      <c r="BS1434" s="34"/>
      <c r="BT1434" s="34"/>
      <c r="BU1434" s="34"/>
      <c r="BV1434" s="34"/>
      <c r="BW1434" s="34"/>
      <c r="BX1434" s="34"/>
      <c r="BY1434" s="34"/>
      <c r="BZ1434" s="34"/>
      <c r="CA1434" s="34"/>
      <c r="CB1434" s="34"/>
      <c r="CC1434" s="34"/>
      <c r="CD1434" s="34"/>
      <c r="CE1434" s="34"/>
      <c r="CF1434" s="34"/>
      <c r="CG1434" s="34"/>
      <c r="CH1434" s="34"/>
      <c r="CI1434" s="34"/>
      <c r="CJ1434" s="34"/>
      <c r="CK1434" s="34"/>
      <c r="CL1434" s="34"/>
      <c r="CM1434" s="34"/>
      <c r="CN1434" s="34"/>
      <c r="CO1434" s="34"/>
      <c r="CP1434" s="34"/>
      <c r="CQ1434" s="34"/>
      <c r="CR1434" s="34"/>
      <c r="CS1434" s="34"/>
    </row>
    <row r="1435" spans="7:97" s="246" customFormat="1" x14ac:dyDescent="0.2">
      <c r="G1435" s="2188"/>
      <c r="BS1435" s="34"/>
      <c r="BT1435" s="34"/>
      <c r="BU1435" s="34"/>
      <c r="BV1435" s="34"/>
      <c r="BW1435" s="34"/>
      <c r="BX1435" s="34"/>
      <c r="BY1435" s="34"/>
      <c r="BZ1435" s="34"/>
      <c r="CA1435" s="34"/>
      <c r="CB1435" s="34"/>
      <c r="CC1435" s="34"/>
      <c r="CD1435" s="34"/>
      <c r="CE1435" s="34"/>
      <c r="CF1435" s="34"/>
      <c r="CG1435" s="34"/>
      <c r="CH1435" s="34"/>
      <c r="CI1435" s="34"/>
      <c r="CJ1435" s="34"/>
      <c r="CK1435" s="34"/>
      <c r="CL1435" s="34"/>
      <c r="CM1435" s="34"/>
      <c r="CN1435" s="34"/>
      <c r="CO1435" s="34"/>
      <c r="CP1435" s="34"/>
      <c r="CQ1435" s="34"/>
      <c r="CR1435" s="34"/>
      <c r="CS1435" s="34"/>
    </row>
    <row r="1436" spans="7:97" s="246" customFormat="1" x14ac:dyDescent="0.2">
      <c r="G1436" s="2188"/>
      <c r="BS1436" s="34"/>
      <c r="BT1436" s="34"/>
      <c r="BU1436" s="34"/>
      <c r="BV1436" s="34"/>
      <c r="BW1436" s="34"/>
      <c r="BX1436" s="34"/>
      <c r="BY1436" s="34"/>
      <c r="BZ1436" s="34"/>
      <c r="CA1436" s="34"/>
      <c r="CB1436" s="34"/>
      <c r="CC1436" s="34"/>
      <c r="CD1436" s="34"/>
      <c r="CE1436" s="34"/>
      <c r="CF1436" s="34"/>
      <c r="CG1436" s="34"/>
      <c r="CH1436" s="34"/>
      <c r="CI1436" s="34"/>
      <c r="CJ1436" s="34"/>
      <c r="CK1436" s="34"/>
      <c r="CL1436" s="34"/>
      <c r="CM1436" s="34"/>
      <c r="CN1436" s="34"/>
      <c r="CO1436" s="34"/>
      <c r="CP1436" s="34"/>
      <c r="CQ1436" s="34"/>
      <c r="CR1436" s="34"/>
      <c r="CS1436" s="34"/>
    </row>
    <row r="1437" spans="7:97" s="246" customFormat="1" x14ac:dyDescent="0.2">
      <c r="G1437" s="2188"/>
      <c r="BS1437" s="34"/>
      <c r="BT1437" s="34"/>
      <c r="BU1437" s="34"/>
      <c r="BV1437" s="34"/>
      <c r="BW1437" s="34"/>
      <c r="BX1437" s="34"/>
      <c r="BY1437" s="34"/>
      <c r="BZ1437" s="34"/>
      <c r="CA1437" s="34"/>
      <c r="CB1437" s="34"/>
      <c r="CC1437" s="34"/>
      <c r="CD1437" s="34"/>
      <c r="CE1437" s="34"/>
      <c r="CF1437" s="34"/>
      <c r="CG1437" s="34"/>
      <c r="CH1437" s="34"/>
      <c r="CI1437" s="34"/>
      <c r="CJ1437" s="34"/>
      <c r="CK1437" s="34"/>
      <c r="CL1437" s="34"/>
      <c r="CM1437" s="34"/>
      <c r="CN1437" s="34"/>
      <c r="CO1437" s="34"/>
      <c r="CP1437" s="34"/>
      <c r="CQ1437" s="34"/>
      <c r="CR1437" s="34"/>
      <c r="CS1437" s="34"/>
    </row>
    <row r="1438" spans="7:97" s="246" customFormat="1" x14ac:dyDescent="0.2">
      <c r="G1438" s="2188"/>
      <c r="BS1438" s="34"/>
      <c r="BT1438" s="34"/>
      <c r="BU1438" s="34"/>
      <c r="BV1438" s="34"/>
      <c r="BW1438" s="34"/>
      <c r="BX1438" s="34"/>
      <c r="BY1438" s="34"/>
      <c r="BZ1438" s="34"/>
      <c r="CA1438" s="34"/>
      <c r="CB1438" s="34"/>
      <c r="CC1438" s="34"/>
      <c r="CD1438" s="34"/>
      <c r="CE1438" s="34"/>
      <c r="CF1438" s="34"/>
      <c r="CG1438" s="34"/>
      <c r="CH1438" s="34"/>
      <c r="CI1438" s="34"/>
      <c r="CJ1438" s="34"/>
      <c r="CK1438" s="34"/>
      <c r="CL1438" s="34"/>
      <c r="CM1438" s="34"/>
      <c r="CN1438" s="34"/>
      <c r="CO1438" s="34"/>
      <c r="CP1438" s="34"/>
      <c r="CQ1438" s="34"/>
      <c r="CR1438" s="34"/>
      <c r="CS1438" s="34"/>
    </row>
    <row r="1439" spans="7:97" s="246" customFormat="1" x14ac:dyDescent="0.2">
      <c r="G1439" s="2188"/>
      <c r="BS1439" s="34"/>
      <c r="BT1439" s="34"/>
      <c r="BU1439" s="34"/>
      <c r="BV1439" s="34"/>
      <c r="BW1439" s="34"/>
      <c r="BX1439" s="34"/>
      <c r="BY1439" s="34"/>
      <c r="BZ1439" s="34"/>
      <c r="CA1439" s="34"/>
      <c r="CB1439" s="34"/>
      <c r="CC1439" s="34"/>
      <c r="CD1439" s="34"/>
      <c r="CE1439" s="34"/>
      <c r="CF1439" s="34"/>
      <c r="CG1439" s="34"/>
      <c r="CH1439" s="34"/>
      <c r="CI1439" s="34"/>
      <c r="CJ1439" s="34"/>
      <c r="CK1439" s="34"/>
      <c r="CL1439" s="34"/>
      <c r="CM1439" s="34"/>
      <c r="CN1439" s="34"/>
      <c r="CO1439" s="34"/>
      <c r="CP1439" s="34"/>
      <c r="CQ1439" s="34"/>
      <c r="CR1439" s="34"/>
      <c r="CS1439" s="34"/>
    </row>
    <row r="1440" spans="7:97" s="246" customFormat="1" x14ac:dyDescent="0.2">
      <c r="G1440" s="2188"/>
      <c r="BS1440" s="34"/>
      <c r="BT1440" s="34"/>
      <c r="BU1440" s="34"/>
      <c r="BV1440" s="34"/>
      <c r="BW1440" s="34"/>
      <c r="BX1440" s="34"/>
      <c r="BY1440" s="34"/>
      <c r="BZ1440" s="34"/>
      <c r="CA1440" s="34"/>
      <c r="CB1440" s="34"/>
      <c r="CC1440" s="34"/>
      <c r="CD1440" s="34"/>
      <c r="CE1440" s="34"/>
      <c r="CF1440" s="34"/>
      <c r="CG1440" s="34"/>
      <c r="CH1440" s="34"/>
      <c r="CI1440" s="34"/>
      <c r="CJ1440" s="34"/>
      <c r="CK1440" s="34"/>
      <c r="CL1440" s="34"/>
      <c r="CM1440" s="34"/>
      <c r="CN1440" s="34"/>
      <c r="CO1440" s="34"/>
      <c r="CP1440" s="34"/>
      <c r="CQ1440" s="34"/>
      <c r="CR1440" s="34"/>
      <c r="CS1440" s="34"/>
    </row>
    <row r="1441" spans="7:97" s="246" customFormat="1" x14ac:dyDescent="0.2">
      <c r="G1441" s="2188"/>
      <c r="BS1441" s="34"/>
      <c r="BT1441" s="34"/>
      <c r="BU1441" s="34"/>
      <c r="BV1441" s="34"/>
      <c r="BW1441" s="34"/>
      <c r="BX1441" s="34"/>
      <c r="BY1441" s="34"/>
      <c r="BZ1441" s="34"/>
      <c r="CA1441" s="34"/>
      <c r="CB1441" s="34"/>
      <c r="CC1441" s="34"/>
      <c r="CD1441" s="34"/>
      <c r="CE1441" s="34"/>
      <c r="CF1441" s="34"/>
      <c r="CG1441" s="34"/>
      <c r="CH1441" s="34"/>
      <c r="CI1441" s="34"/>
      <c r="CJ1441" s="34"/>
      <c r="CK1441" s="34"/>
      <c r="CL1441" s="34"/>
      <c r="CM1441" s="34"/>
      <c r="CN1441" s="34"/>
      <c r="CO1441" s="34"/>
      <c r="CP1441" s="34"/>
      <c r="CQ1441" s="34"/>
      <c r="CR1441" s="34"/>
      <c r="CS1441" s="34"/>
    </row>
    <row r="1442" spans="7:97" s="246" customFormat="1" x14ac:dyDescent="0.2">
      <c r="G1442" s="2188"/>
      <c r="BS1442" s="34"/>
      <c r="BT1442" s="34"/>
      <c r="BU1442" s="34"/>
      <c r="BV1442" s="34"/>
      <c r="BW1442" s="34"/>
      <c r="BX1442" s="34"/>
      <c r="BY1442" s="34"/>
      <c r="BZ1442" s="34"/>
      <c r="CA1442" s="34"/>
      <c r="CB1442" s="34"/>
      <c r="CC1442" s="34"/>
      <c r="CD1442" s="34"/>
      <c r="CE1442" s="34"/>
      <c r="CF1442" s="34"/>
      <c r="CG1442" s="34"/>
      <c r="CH1442" s="34"/>
      <c r="CI1442" s="34"/>
      <c r="CJ1442" s="34"/>
      <c r="CK1442" s="34"/>
      <c r="CL1442" s="34"/>
      <c r="CM1442" s="34"/>
      <c r="CN1442" s="34"/>
      <c r="CO1442" s="34"/>
      <c r="CP1442" s="34"/>
      <c r="CQ1442" s="34"/>
      <c r="CR1442" s="34"/>
      <c r="CS1442" s="34"/>
    </row>
    <row r="1443" spans="7:97" s="246" customFormat="1" x14ac:dyDescent="0.2">
      <c r="G1443" s="2188"/>
      <c r="BS1443" s="34"/>
      <c r="BT1443" s="34"/>
      <c r="BU1443" s="34"/>
      <c r="BV1443" s="34"/>
      <c r="BW1443" s="34"/>
      <c r="BX1443" s="34"/>
      <c r="BY1443" s="34"/>
      <c r="BZ1443" s="34"/>
      <c r="CA1443" s="34"/>
      <c r="CB1443" s="34"/>
      <c r="CC1443" s="34"/>
      <c r="CD1443" s="34"/>
      <c r="CE1443" s="34"/>
      <c r="CF1443" s="34"/>
      <c r="CG1443" s="34"/>
      <c r="CH1443" s="34"/>
      <c r="CI1443" s="34"/>
      <c r="CJ1443" s="34"/>
      <c r="CK1443" s="34"/>
      <c r="CL1443" s="34"/>
      <c r="CM1443" s="34"/>
      <c r="CN1443" s="34"/>
      <c r="CO1443" s="34"/>
      <c r="CP1443" s="34"/>
      <c r="CQ1443" s="34"/>
      <c r="CR1443" s="34"/>
      <c r="CS1443" s="34"/>
    </row>
    <row r="1444" spans="7:97" s="246" customFormat="1" x14ac:dyDescent="0.2">
      <c r="G1444" s="2188"/>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row>
    <row r="1445" spans="7:97" s="246" customFormat="1" x14ac:dyDescent="0.2">
      <c r="G1445" s="2188"/>
      <c r="BS1445" s="34"/>
      <c r="BT1445" s="34"/>
      <c r="BU1445" s="34"/>
      <c r="BV1445" s="34"/>
      <c r="BW1445" s="34"/>
      <c r="BX1445" s="34"/>
      <c r="BY1445" s="34"/>
      <c r="BZ1445" s="34"/>
      <c r="CA1445" s="34"/>
      <c r="CB1445" s="34"/>
      <c r="CC1445" s="34"/>
      <c r="CD1445" s="34"/>
      <c r="CE1445" s="34"/>
      <c r="CF1445" s="34"/>
      <c r="CG1445" s="34"/>
      <c r="CH1445" s="34"/>
      <c r="CI1445" s="34"/>
      <c r="CJ1445" s="34"/>
      <c r="CK1445" s="34"/>
      <c r="CL1445" s="34"/>
      <c r="CM1445" s="34"/>
      <c r="CN1445" s="34"/>
      <c r="CO1445" s="34"/>
      <c r="CP1445" s="34"/>
      <c r="CQ1445" s="34"/>
      <c r="CR1445" s="34"/>
      <c r="CS1445" s="34"/>
    </row>
    <row r="1446" spans="7:97" s="246" customFormat="1" x14ac:dyDescent="0.2">
      <c r="G1446" s="2188"/>
      <c r="BS1446" s="34"/>
      <c r="BT1446" s="34"/>
      <c r="BU1446" s="34"/>
      <c r="BV1446" s="34"/>
      <c r="BW1446" s="34"/>
      <c r="BX1446" s="34"/>
      <c r="BY1446" s="34"/>
      <c r="BZ1446" s="34"/>
      <c r="CA1446" s="34"/>
      <c r="CB1446" s="34"/>
      <c r="CC1446" s="34"/>
      <c r="CD1446" s="34"/>
      <c r="CE1446" s="34"/>
      <c r="CF1446" s="34"/>
      <c r="CG1446" s="34"/>
      <c r="CH1446" s="34"/>
      <c r="CI1446" s="34"/>
      <c r="CJ1446" s="34"/>
      <c r="CK1446" s="34"/>
      <c r="CL1446" s="34"/>
      <c r="CM1446" s="34"/>
      <c r="CN1446" s="34"/>
      <c r="CO1446" s="34"/>
      <c r="CP1446" s="34"/>
      <c r="CQ1446" s="34"/>
      <c r="CR1446" s="34"/>
      <c r="CS1446" s="34"/>
    </row>
    <row r="1447" spans="7:97" s="246" customFormat="1" x14ac:dyDescent="0.2">
      <c r="G1447" s="2188"/>
      <c r="BS1447" s="34"/>
      <c r="BT1447" s="34"/>
      <c r="BU1447" s="34"/>
      <c r="BV1447" s="34"/>
      <c r="BW1447" s="34"/>
      <c r="BX1447" s="34"/>
      <c r="BY1447" s="34"/>
      <c r="BZ1447" s="34"/>
      <c r="CA1447" s="34"/>
      <c r="CB1447" s="34"/>
      <c r="CC1447" s="34"/>
      <c r="CD1447" s="34"/>
      <c r="CE1447" s="34"/>
      <c r="CF1447" s="34"/>
      <c r="CG1447" s="34"/>
      <c r="CH1447" s="34"/>
      <c r="CI1447" s="34"/>
      <c r="CJ1447" s="34"/>
      <c r="CK1447" s="34"/>
      <c r="CL1447" s="34"/>
      <c r="CM1447" s="34"/>
      <c r="CN1447" s="34"/>
      <c r="CO1447" s="34"/>
      <c r="CP1447" s="34"/>
      <c r="CQ1447" s="34"/>
      <c r="CR1447" s="34"/>
      <c r="CS1447" s="34"/>
    </row>
    <row r="1448" spans="7:97" s="246" customFormat="1" x14ac:dyDescent="0.2">
      <c r="G1448" s="2188"/>
      <c r="BS1448" s="34"/>
      <c r="BT1448" s="34"/>
      <c r="BU1448" s="34"/>
      <c r="BV1448" s="34"/>
      <c r="BW1448" s="34"/>
      <c r="BX1448" s="34"/>
      <c r="BY1448" s="34"/>
      <c r="BZ1448" s="34"/>
      <c r="CA1448" s="34"/>
      <c r="CB1448" s="34"/>
      <c r="CC1448" s="34"/>
      <c r="CD1448" s="34"/>
      <c r="CE1448" s="34"/>
      <c r="CF1448" s="34"/>
      <c r="CG1448" s="34"/>
      <c r="CH1448" s="34"/>
      <c r="CI1448" s="34"/>
      <c r="CJ1448" s="34"/>
      <c r="CK1448" s="34"/>
      <c r="CL1448" s="34"/>
      <c r="CM1448" s="34"/>
      <c r="CN1448" s="34"/>
      <c r="CO1448" s="34"/>
      <c r="CP1448" s="34"/>
      <c r="CQ1448" s="34"/>
      <c r="CR1448" s="34"/>
      <c r="CS1448" s="34"/>
    </row>
    <row r="1449" spans="7:97" s="246" customFormat="1" x14ac:dyDescent="0.2">
      <c r="G1449" s="2188"/>
      <c r="BS1449" s="34"/>
      <c r="BT1449" s="34"/>
      <c r="BU1449" s="34"/>
      <c r="BV1449" s="34"/>
      <c r="BW1449" s="34"/>
      <c r="BX1449" s="34"/>
      <c r="BY1449" s="34"/>
      <c r="BZ1449" s="34"/>
      <c r="CA1449" s="34"/>
      <c r="CB1449" s="34"/>
      <c r="CC1449" s="34"/>
      <c r="CD1449" s="34"/>
      <c r="CE1449" s="34"/>
      <c r="CF1449" s="34"/>
      <c r="CG1449" s="34"/>
      <c r="CH1449" s="34"/>
      <c r="CI1449" s="34"/>
      <c r="CJ1449" s="34"/>
      <c r="CK1449" s="34"/>
      <c r="CL1449" s="34"/>
      <c r="CM1449" s="34"/>
      <c r="CN1449" s="34"/>
      <c r="CO1449" s="34"/>
      <c r="CP1449" s="34"/>
      <c r="CQ1449" s="34"/>
      <c r="CR1449" s="34"/>
      <c r="CS1449" s="34"/>
    </row>
    <row r="1450" spans="7:97" s="246" customFormat="1" x14ac:dyDescent="0.2">
      <c r="G1450" s="2188"/>
      <c r="BS1450" s="34"/>
      <c r="BT1450" s="34"/>
      <c r="BU1450" s="34"/>
      <c r="BV1450" s="34"/>
      <c r="BW1450" s="34"/>
      <c r="BX1450" s="34"/>
      <c r="BY1450" s="34"/>
      <c r="BZ1450" s="34"/>
      <c r="CA1450" s="34"/>
      <c r="CB1450" s="34"/>
      <c r="CC1450" s="34"/>
      <c r="CD1450" s="34"/>
      <c r="CE1450" s="34"/>
      <c r="CF1450" s="34"/>
      <c r="CG1450" s="34"/>
      <c r="CH1450" s="34"/>
      <c r="CI1450" s="34"/>
      <c r="CJ1450" s="34"/>
      <c r="CK1450" s="34"/>
      <c r="CL1450" s="34"/>
      <c r="CM1450" s="34"/>
      <c r="CN1450" s="34"/>
      <c r="CO1450" s="34"/>
      <c r="CP1450" s="34"/>
      <c r="CQ1450" s="34"/>
      <c r="CR1450" s="34"/>
      <c r="CS1450" s="34"/>
    </row>
    <row r="1451" spans="7:97" s="246" customFormat="1" x14ac:dyDescent="0.2">
      <c r="G1451" s="2188"/>
      <c r="BS1451" s="34"/>
      <c r="BT1451" s="34"/>
      <c r="BU1451" s="34"/>
      <c r="BV1451" s="34"/>
      <c r="BW1451" s="34"/>
      <c r="BX1451" s="34"/>
      <c r="BY1451" s="34"/>
      <c r="BZ1451" s="34"/>
      <c r="CA1451" s="34"/>
      <c r="CB1451" s="34"/>
      <c r="CC1451" s="34"/>
      <c r="CD1451" s="34"/>
      <c r="CE1451" s="34"/>
      <c r="CF1451" s="34"/>
      <c r="CG1451" s="34"/>
      <c r="CH1451" s="34"/>
      <c r="CI1451" s="34"/>
      <c r="CJ1451" s="34"/>
      <c r="CK1451" s="34"/>
      <c r="CL1451" s="34"/>
      <c r="CM1451" s="34"/>
      <c r="CN1451" s="34"/>
      <c r="CO1451" s="34"/>
      <c r="CP1451" s="34"/>
      <c r="CQ1451" s="34"/>
      <c r="CR1451" s="34"/>
      <c r="CS1451" s="34"/>
    </row>
    <row r="1452" spans="7:97" s="246" customFormat="1" x14ac:dyDescent="0.2">
      <c r="G1452" s="2188"/>
      <c r="BS1452" s="34"/>
      <c r="BT1452" s="34"/>
      <c r="BU1452" s="34"/>
      <c r="BV1452" s="34"/>
      <c r="BW1452" s="34"/>
      <c r="BX1452" s="34"/>
      <c r="BY1452" s="34"/>
      <c r="BZ1452" s="34"/>
      <c r="CA1452" s="34"/>
      <c r="CB1452" s="34"/>
      <c r="CC1452" s="34"/>
      <c r="CD1452" s="34"/>
      <c r="CE1452" s="34"/>
      <c r="CF1452" s="34"/>
      <c r="CG1452" s="34"/>
      <c r="CH1452" s="34"/>
      <c r="CI1452" s="34"/>
      <c r="CJ1452" s="34"/>
      <c r="CK1452" s="34"/>
      <c r="CL1452" s="34"/>
      <c r="CM1452" s="34"/>
      <c r="CN1452" s="34"/>
      <c r="CO1452" s="34"/>
      <c r="CP1452" s="34"/>
      <c r="CQ1452" s="34"/>
      <c r="CR1452" s="34"/>
      <c r="CS1452" s="34"/>
    </row>
    <row r="1453" spans="7:97" s="246" customFormat="1" x14ac:dyDescent="0.2">
      <c r="G1453" s="2188"/>
      <c r="BS1453" s="34"/>
      <c r="BT1453" s="34"/>
      <c r="BU1453" s="34"/>
      <c r="BV1453" s="34"/>
      <c r="BW1453" s="34"/>
      <c r="BX1453" s="34"/>
      <c r="BY1453" s="34"/>
      <c r="BZ1453" s="34"/>
      <c r="CA1453" s="34"/>
      <c r="CB1453" s="34"/>
      <c r="CC1453" s="34"/>
      <c r="CD1453" s="34"/>
      <c r="CE1453" s="34"/>
      <c r="CF1453" s="34"/>
      <c r="CG1453" s="34"/>
      <c r="CH1453" s="34"/>
      <c r="CI1453" s="34"/>
      <c r="CJ1453" s="34"/>
      <c r="CK1453" s="34"/>
      <c r="CL1453" s="34"/>
      <c r="CM1453" s="34"/>
      <c r="CN1453" s="34"/>
      <c r="CO1453" s="34"/>
      <c r="CP1453" s="34"/>
      <c r="CQ1453" s="34"/>
      <c r="CR1453" s="34"/>
      <c r="CS1453" s="34"/>
    </row>
    <row r="1454" spans="7:97" s="246" customFormat="1" x14ac:dyDescent="0.2">
      <c r="G1454" s="2188"/>
      <c r="BS1454" s="34"/>
      <c r="BT1454" s="34"/>
      <c r="BU1454" s="34"/>
      <c r="BV1454" s="34"/>
      <c r="BW1454" s="34"/>
      <c r="BX1454" s="34"/>
      <c r="BY1454" s="34"/>
      <c r="BZ1454" s="34"/>
      <c r="CA1454" s="34"/>
      <c r="CB1454" s="34"/>
      <c r="CC1454" s="34"/>
      <c r="CD1454" s="34"/>
      <c r="CE1454" s="34"/>
      <c r="CF1454" s="34"/>
      <c r="CG1454" s="34"/>
      <c r="CH1454" s="34"/>
      <c r="CI1454" s="34"/>
      <c r="CJ1454" s="34"/>
      <c r="CK1454" s="34"/>
      <c r="CL1454" s="34"/>
      <c r="CM1454" s="34"/>
      <c r="CN1454" s="34"/>
      <c r="CO1454" s="34"/>
      <c r="CP1454" s="34"/>
      <c r="CQ1454" s="34"/>
      <c r="CR1454" s="34"/>
      <c r="CS1454" s="34"/>
    </row>
    <row r="1455" spans="7:97" s="246" customFormat="1" x14ac:dyDescent="0.2">
      <c r="G1455" s="2188"/>
      <c r="BS1455" s="34"/>
      <c r="BT1455" s="34"/>
      <c r="BU1455" s="34"/>
      <c r="BV1455" s="34"/>
      <c r="BW1455" s="34"/>
      <c r="BX1455" s="34"/>
      <c r="BY1455" s="34"/>
      <c r="BZ1455" s="34"/>
      <c r="CA1455" s="34"/>
      <c r="CB1455" s="34"/>
      <c r="CC1455" s="34"/>
      <c r="CD1455" s="34"/>
      <c r="CE1455" s="34"/>
      <c r="CF1455" s="34"/>
      <c r="CG1455" s="34"/>
      <c r="CH1455" s="34"/>
      <c r="CI1455" s="34"/>
      <c r="CJ1455" s="34"/>
      <c r="CK1455" s="34"/>
      <c r="CL1455" s="34"/>
      <c r="CM1455" s="34"/>
      <c r="CN1455" s="34"/>
      <c r="CO1455" s="34"/>
      <c r="CP1455" s="34"/>
      <c r="CQ1455" s="34"/>
      <c r="CR1455" s="34"/>
      <c r="CS1455" s="34"/>
    </row>
    <row r="1456" spans="7:97" s="246" customFormat="1" x14ac:dyDescent="0.2">
      <c r="G1456" s="2188"/>
      <c r="BS1456" s="34"/>
      <c r="BT1456" s="34"/>
      <c r="BU1456" s="34"/>
      <c r="BV1456" s="34"/>
      <c r="BW1456" s="34"/>
      <c r="BX1456" s="34"/>
      <c r="BY1456" s="34"/>
      <c r="BZ1456" s="34"/>
      <c r="CA1456" s="34"/>
      <c r="CB1456" s="34"/>
      <c r="CC1456" s="34"/>
      <c r="CD1456" s="34"/>
      <c r="CE1456" s="34"/>
      <c r="CF1456" s="34"/>
      <c r="CG1456" s="34"/>
      <c r="CH1456" s="34"/>
      <c r="CI1456" s="34"/>
      <c r="CJ1456" s="34"/>
      <c r="CK1456" s="34"/>
      <c r="CL1456" s="34"/>
      <c r="CM1456" s="34"/>
      <c r="CN1456" s="34"/>
      <c r="CO1456" s="34"/>
      <c r="CP1456" s="34"/>
      <c r="CQ1456" s="34"/>
      <c r="CR1456" s="34"/>
      <c r="CS1456" s="34"/>
    </row>
    <row r="1457" spans="7:97" s="246" customFormat="1" x14ac:dyDescent="0.2">
      <c r="G1457" s="2188"/>
      <c r="BS1457" s="34"/>
      <c r="BT1457" s="34"/>
      <c r="BU1457" s="34"/>
      <c r="BV1457" s="34"/>
      <c r="BW1457" s="34"/>
      <c r="BX1457" s="34"/>
      <c r="BY1457" s="34"/>
      <c r="BZ1457" s="34"/>
      <c r="CA1457" s="34"/>
      <c r="CB1457" s="34"/>
      <c r="CC1457" s="34"/>
      <c r="CD1457" s="34"/>
      <c r="CE1457" s="34"/>
      <c r="CF1457" s="34"/>
      <c r="CG1457" s="34"/>
      <c r="CH1457" s="34"/>
      <c r="CI1457" s="34"/>
      <c r="CJ1457" s="34"/>
      <c r="CK1457" s="34"/>
      <c r="CL1457" s="34"/>
      <c r="CM1457" s="34"/>
      <c r="CN1457" s="34"/>
      <c r="CO1457" s="34"/>
      <c r="CP1457" s="34"/>
      <c r="CQ1457" s="34"/>
      <c r="CR1457" s="34"/>
      <c r="CS1457" s="34"/>
    </row>
    <row r="1458" spans="7:97" s="246" customFormat="1" x14ac:dyDescent="0.2">
      <c r="G1458" s="2188"/>
      <c r="BS1458" s="34"/>
      <c r="BT1458" s="34"/>
      <c r="BU1458" s="34"/>
      <c r="BV1458" s="34"/>
      <c r="BW1458" s="34"/>
      <c r="BX1458" s="34"/>
      <c r="BY1458" s="34"/>
      <c r="BZ1458" s="34"/>
      <c r="CA1458" s="34"/>
      <c r="CB1458" s="34"/>
      <c r="CC1458" s="34"/>
      <c r="CD1458" s="34"/>
      <c r="CE1458" s="34"/>
      <c r="CF1458" s="34"/>
      <c r="CG1458" s="34"/>
      <c r="CH1458" s="34"/>
      <c r="CI1458" s="34"/>
      <c r="CJ1458" s="34"/>
      <c r="CK1458" s="34"/>
      <c r="CL1458" s="34"/>
      <c r="CM1458" s="34"/>
      <c r="CN1458" s="34"/>
      <c r="CO1458" s="34"/>
      <c r="CP1458" s="34"/>
      <c r="CQ1458" s="34"/>
      <c r="CR1458" s="34"/>
      <c r="CS1458" s="34"/>
    </row>
    <row r="1459" spans="7:97" s="246" customFormat="1" x14ac:dyDescent="0.2">
      <c r="G1459" s="2188"/>
      <c r="BS1459" s="34"/>
      <c r="BT1459" s="34"/>
      <c r="BU1459" s="34"/>
      <c r="BV1459" s="34"/>
      <c r="BW1459" s="34"/>
      <c r="BX1459" s="34"/>
      <c r="BY1459" s="34"/>
      <c r="BZ1459" s="34"/>
      <c r="CA1459" s="34"/>
      <c r="CB1459" s="34"/>
      <c r="CC1459" s="34"/>
      <c r="CD1459" s="34"/>
      <c r="CE1459" s="34"/>
      <c r="CF1459" s="34"/>
      <c r="CG1459" s="34"/>
      <c r="CH1459" s="34"/>
      <c r="CI1459" s="34"/>
      <c r="CJ1459" s="34"/>
      <c r="CK1459" s="34"/>
      <c r="CL1459" s="34"/>
      <c r="CM1459" s="34"/>
      <c r="CN1459" s="34"/>
      <c r="CO1459" s="34"/>
      <c r="CP1459" s="34"/>
      <c r="CQ1459" s="34"/>
      <c r="CR1459" s="34"/>
      <c r="CS1459" s="34"/>
    </row>
    <row r="1460" spans="7:97" s="246" customFormat="1" x14ac:dyDescent="0.2">
      <c r="G1460" s="2188"/>
      <c r="BS1460" s="34"/>
      <c r="BT1460" s="34"/>
      <c r="BU1460" s="34"/>
      <c r="BV1460" s="34"/>
      <c r="BW1460" s="34"/>
      <c r="BX1460" s="34"/>
      <c r="BY1460" s="34"/>
      <c r="BZ1460" s="34"/>
      <c r="CA1460" s="34"/>
      <c r="CB1460" s="34"/>
      <c r="CC1460" s="34"/>
      <c r="CD1460" s="34"/>
      <c r="CE1460" s="34"/>
      <c r="CF1460" s="34"/>
      <c r="CG1460" s="34"/>
      <c r="CH1460" s="34"/>
      <c r="CI1460" s="34"/>
      <c r="CJ1460" s="34"/>
      <c r="CK1460" s="34"/>
      <c r="CL1460" s="34"/>
      <c r="CM1460" s="34"/>
      <c r="CN1460" s="34"/>
      <c r="CO1460" s="34"/>
      <c r="CP1460" s="34"/>
      <c r="CQ1460" s="34"/>
      <c r="CR1460" s="34"/>
      <c r="CS1460" s="34"/>
    </row>
    <row r="1461" spans="7:97" s="246" customFormat="1" x14ac:dyDescent="0.2">
      <c r="G1461" s="2188"/>
      <c r="BS1461" s="34"/>
      <c r="BT1461" s="34"/>
      <c r="BU1461" s="34"/>
      <c r="BV1461" s="34"/>
      <c r="BW1461" s="34"/>
      <c r="BX1461" s="34"/>
      <c r="BY1461" s="34"/>
      <c r="BZ1461" s="34"/>
      <c r="CA1461" s="34"/>
      <c r="CB1461" s="34"/>
      <c r="CC1461" s="34"/>
      <c r="CD1461" s="34"/>
      <c r="CE1461" s="34"/>
      <c r="CF1461" s="34"/>
      <c r="CG1461" s="34"/>
      <c r="CH1461" s="34"/>
      <c r="CI1461" s="34"/>
      <c r="CJ1461" s="34"/>
      <c r="CK1461" s="34"/>
      <c r="CL1461" s="34"/>
      <c r="CM1461" s="34"/>
      <c r="CN1461" s="34"/>
      <c r="CO1461" s="34"/>
      <c r="CP1461" s="34"/>
      <c r="CQ1461" s="34"/>
      <c r="CR1461" s="34"/>
      <c r="CS1461" s="34"/>
    </row>
    <row r="1462" spans="7:97" s="246" customFormat="1" x14ac:dyDescent="0.2">
      <c r="G1462" s="2188"/>
      <c r="BS1462" s="34"/>
      <c r="BT1462" s="34"/>
      <c r="BU1462" s="34"/>
      <c r="BV1462" s="34"/>
      <c r="BW1462" s="34"/>
      <c r="BX1462" s="34"/>
      <c r="BY1462" s="34"/>
      <c r="BZ1462" s="34"/>
      <c r="CA1462" s="34"/>
      <c r="CB1462" s="34"/>
      <c r="CC1462" s="34"/>
      <c r="CD1462" s="34"/>
      <c r="CE1462" s="34"/>
      <c r="CF1462" s="34"/>
      <c r="CG1462" s="34"/>
      <c r="CH1462" s="34"/>
      <c r="CI1462" s="34"/>
      <c r="CJ1462" s="34"/>
      <c r="CK1462" s="34"/>
      <c r="CL1462" s="34"/>
      <c r="CM1462" s="34"/>
      <c r="CN1462" s="34"/>
      <c r="CO1462" s="34"/>
      <c r="CP1462" s="34"/>
      <c r="CQ1462" s="34"/>
      <c r="CR1462" s="34"/>
      <c r="CS1462" s="34"/>
    </row>
    <row r="1463" spans="7:97" s="246" customFormat="1" x14ac:dyDescent="0.2">
      <c r="G1463" s="2188"/>
      <c r="BS1463" s="34"/>
      <c r="BT1463" s="34"/>
      <c r="BU1463" s="34"/>
      <c r="BV1463" s="34"/>
      <c r="BW1463" s="34"/>
      <c r="BX1463" s="34"/>
      <c r="BY1463" s="34"/>
      <c r="BZ1463" s="34"/>
      <c r="CA1463" s="34"/>
      <c r="CB1463" s="34"/>
      <c r="CC1463" s="34"/>
      <c r="CD1463" s="34"/>
      <c r="CE1463" s="34"/>
      <c r="CF1463" s="34"/>
      <c r="CG1463" s="34"/>
      <c r="CH1463" s="34"/>
      <c r="CI1463" s="34"/>
      <c r="CJ1463" s="34"/>
      <c r="CK1463" s="34"/>
      <c r="CL1463" s="34"/>
      <c r="CM1463" s="34"/>
      <c r="CN1463" s="34"/>
      <c r="CO1463" s="34"/>
      <c r="CP1463" s="34"/>
      <c r="CQ1463" s="34"/>
      <c r="CR1463" s="34"/>
      <c r="CS1463" s="34"/>
    </row>
    <row r="1464" spans="7:97" s="246" customFormat="1" x14ac:dyDescent="0.2">
      <c r="G1464" s="2188"/>
      <c r="BS1464" s="34"/>
      <c r="BT1464" s="34"/>
      <c r="BU1464" s="34"/>
      <c r="BV1464" s="34"/>
      <c r="BW1464" s="34"/>
      <c r="BX1464" s="34"/>
      <c r="BY1464" s="34"/>
      <c r="BZ1464" s="34"/>
      <c r="CA1464" s="34"/>
      <c r="CB1464" s="34"/>
      <c r="CC1464" s="34"/>
      <c r="CD1464" s="34"/>
      <c r="CE1464" s="34"/>
      <c r="CF1464" s="34"/>
      <c r="CG1464" s="34"/>
      <c r="CH1464" s="34"/>
      <c r="CI1464" s="34"/>
      <c r="CJ1464" s="34"/>
      <c r="CK1464" s="34"/>
      <c r="CL1464" s="34"/>
      <c r="CM1464" s="34"/>
      <c r="CN1464" s="34"/>
      <c r="CO1464" s="34"/>
      <c r="CP1464" s="34"/>
      <c r="CQ1464" s="34"/>
      <c r="CR1464" s="34"/>
      <c r="CS1464" s="34"/>
    </row>
    <row r="1465" spans="7:97" s="246" customFormat="1" x14ac:dyDescent="0.2">
      <c r="G1465" s="2188"/>
      <c r="BS1465" s="34"/>
      <c r="BT1465" s="34"/>
      <c r="BU1465" s="34"/>
      <c r="BV1465" s="34"/>
      <c r="BW1465" s="34"/>
      <c r="BX1465" s="34"/>
      <c r="BY1465" s="34"/>
      <c r="BZ1465" s="34"/>
      <c r="CA1465" s="34"/>
      <c r="CB1465" s="34"/>
      <c r="CC1465" s="34"/>
      <c r="CD1465" s="34"/>
      <c r="CE1465" s="34"/>
      <c r="CF1465" s="34"/>
      <c r="CG1465" s="34"/>
      <c r="CH1465" s="34"/>
      <c r="CI1465" s="34"/>
      <c r="CJ1465" s="34"/>
      <c r="CK1465" s="34"/>
      <c r="CL1465" s="34"/>
      <c r="CM1465" s="34"/>
      <c r="CN1465" s="34"/>
      <c r="CO1465" s="34"/>
      <c r="CP1465" s="34"/>
      <c r="CQ1465" s="34"/>
      <c r="CR1465" s="34"/>
      <c r="CS1465" s="34"/>
    </row>
    <row r="1466" spans="7:97" s="246" customFormat="1" x14ac:dyDescent="0.2">
      <c r="G1466" s="2188"/>
      <c r="BS1466" s="34"/>
      <c r="BT1466" s="34"/>
      <c r="BU1466" s="34"/>
      <c r="BV1466" s="34"/>
      <c r="BW1466" s="34"/>
      <c r="BX1466" s="34"/>
      <c r="BY1466" s="34"/>
      <c r="BZ1466" s="34"/>
      <c r="CA1466" s="34"/>
      <c r="CB1466" s="34"/>
      <c r="CC1466" s="34"/>
      <c r="CD1466" s="34"/>
      <c r="CE1466" s="34"/>
      <c r="CF1466" s="34"/>
      <c r="CG1466" s="34"/>
      <c r="CH1466" s="34"/>
      <c r="CI1466" s="34"/>
      <c r="CJ1466" s="34"/>
      <c r="CK1466" s="34"/>
      <c r="CL1466" s="34"/>
      <c r="CM1466" s="34"/>
      <c r="CN1466" s="34"/>
      <c r="CO1466" s="34"/>
      <c r="CP1466" s="34"/>
      <c r="CQ1466" s="34"/>
      <c r="CR1466" s="34"/>
      <c r="CS1466" s="34"/>
    </row>
    <row r="1467" spans="7:97" s="246" customFormat="1" x14ac:dyDescent="0.2">
      <c r="G1467" s="2188"/>
      <c r="BS1467" s="34"/>
      <c r="BT1467" s="34"/>
      <c r="BU1467" s="34"/>
      <c r="BV1467" s="34"/>
      <c r="BW1467" s="34"/>
      <c r="BX1467" s="34"/>
      <c r="BY1467" s="34"/>
      <c r="BZ1467" s="34"/>
      <c r="CA1467" s="34"/>
      <c r="CB1467" s="34"/>
      <c r="CC1467" s="34"/>
      <c r="CD1467" s="34"/>
      <c r="CE1467" s="34"/>
      <c r="CF1467" s="34"/>
      <c r="CG1467" s="34"/>
      <c r="CH1467" s="34"/>
      <c r="CI1467" s="34"/>
      <c r="CJ1467" s="34"/>
      <c r="CK1467" s="34"/>
      <c r="CL1467" s="34"/>
      <c r="CM1467" s="34"/>
      <c r="CN1467" s="34"/>
      <c r="CO1467" s="34"/>
      <c r="CP1467" s="34"/>
      <c r="CQ1467" s="34"/>
      <c r="CR1467" s="34"/>
      <c r="CS1467" s="34"/>
    </row>
    <row r="1468" spans="7:97" s="246" customFormat="1" x14ac:dyDescent="0.2">
      <c r="G1468" s="2188"/>
      <c r="BS1468" s="34"/>
      <c r="BT1468" s="34"/>
      <c r="BU1468" s="34"/>
      <c r="BV1468" s="34"/>
      <c r="BW1468" s="34"/>
      <c r="BX1468" s="34"/>
      <c r="BY1468" s="34"/>
      <c r="BZ1468" s="34"/>
      <c r="CA1468" s="34"/>
      <c r="CB1468" s="34"/>
      <c r="CC1468" s="34"/>
      <c r="CD1468" s="34"/>
      <c r="CE1468" s="34"/>
      <c r="CF1468" s="34"/>
      <c r="CG1468" s="34"/>
      <c r="CH1468" s="34"/>
      <c r="CI1468" s="34"/>
      <c r="CJ1468" s="34"/>
      <c r="CK1468" s="34"/>
      <c r="CL1468" s="34"/>
      <c r="CM1468" s="34"/>
      <c r="CN1468" s="34"/>
      <c r="CO1468" s="34"/>
      <c r="CP1468" s="34"/>
      <c r="CQ1468" s="34"/>
      <c r="CR1468" s="34"/>
      <c r="CS1468" s="34"/>
    </row>
    <row r="1469" spans="7:97" s="246" customFormat="1" x14ac:dyDescent="0.2">
      <c r="G1469" s="2188"/>
      <c r="BS1469" s="34"/>
      <c r="BT1469" s="34"/>
      <c r="BU1469" s="34"/>
      <c r="BV1469" s="34"/>
      <c r="BW1469" s="34"/>
      <c r="BX1469" s="34"/>
      <c r="BY1469" s="34"/>
      <c r="BZ1469" s="34"/>
      <c r="CA1469" s="34"/>
      <c r="CB1469" s="34"/>
      <c r="CC1469" s="34"/>
      <c r="CD1469" s="34"/>
      <c r="CE1469" s="34"/>
      <c r="CF1469" s="34"/>
      <c r="CG1469" s="34"/>
      <c r="CH1469" s="34"/>
      <c r="CI1469" s="34"/>
      <c r="CJ1469" s="34"/>
      <c r="CK1469" s="34"/>
      <c r="CL1469" s="34"/>
      <c r="CM1469" s="34"/>
      <c r="CN1469" s="34"/>
      <c r="CO1469" s="34"/>
      <c r="CP1469" s="34"/>
      <c r="CQ1469" s="34"/>
      <c r="CR1469" s="34"/>
      <c r="CS1469" s="34"/>
    </row>
    <row r="1470" spans="7:97" s="246" customFormat="1" x14ac:dyDescent="0.2">
      <c r="G1470" s="2188"/>
      <c r="BS1470" s="34"/>
      <c r="BT1470" s="34"/>
      <c r="BU1470" s="34"/>
      <c r="BV1470" s="34"/>
      <c r="BW1470" s="34"/>
      <c r="BX1470" s="34"/>
      <c r="BY1470" s="34"/>
      <c r="BZ1470" s="34"/>
      <c r="CA1470" s="34"/>
      <c r="CB1470" s="34"/>
      <c r="CC1470" s="34"/>
      <c r="CD1470" s="34"/>
      <c r="CE1470" s="34"/>
      <c r="CF1470" s="34"/>
      <c r="CG1470" s="34"/>
      <c r="CH1470" s="34"/>
      <c r="CI1470" s="34"/>
      <c r="CJ1470" s="34"/>
      <c r="CK1470" s="34"/>
      <c r="CL1470" s="34"/>
      <c r="CM1470" s="34"/>
      <c r="CN1470" s="34"/>
      <c r="CO1470" s="34"/>
      <c r="CP1470" s="34"/>
      <c r="CQ1470" s="34"/>
      <c r="CR1470" s="34"/>
      <c r="CS1470" s="34"/>
    </row>
    <row r="1471" spans="7:97" s="246" customFormat="1" x14ac:dyDescent="0.2">
      <c r="G1471" s="2188"/>
      <c r="BS1471" s="34"/>
      <c r="BT1471" s="34"/>
      <c r="BU1471" s="34"/>
      <c r="BV1471" s="34"/>
      <c r="BW1471" s="34"/>
      <c r="BX1471" s="34"/>
      <c r="BY1471" s="34"/>
      <c r="BZ1471" s="34"/>
      <c r="CA1471" s="34"/>
      <c r="CB1471" s="34"/>
      <c r="CC1471" s="34"/>
      <c r="CD1471" s="34"/>
      <c r="CE1471" s="34"/>
      <c r="CF1471" s="34"/>
      <c r="CG1471" s="34"/>
      <c r="CH1471" s="34"/>
      <c r="CI1471" s="34"/>
      <c r="CJ1471" s="34"/>
      <c r="CK1471" s="34"/>
      <c r="CL1471" s="34"/>
      <c r="CM1471" s="34"/>
      <c r="CN1471" s="34"/>
      <c r="CO1471" s="34"/>
      <c r="CP1471" s="34"/>
      <c r="CQ1471" s="34"/>
      <c r="CR1471" s="34"/>
      <c r="CS1471" s="34"/>
    </row>
    <row r="1472" spans="7:97" s="246" customFormat="1" x14ac:dyDescent="0.2">
      <c r="G1472" s="2188"/>
      <c r="BS1472" s="34"/>
      <c r="BT1472" s="34"/>
      <c r="BU1472" s="34"/>
      <c r="BV1472" s="34"/>
      <c r="BW1472" s="34"/>
      <c r="BX1472" s="34"/>
      <c r="BY1472" s="34"/>
      <c r="BZ1472" s="34"/>
      <c r="CA1472" s="34"/>
      <c r="CB1472" s="34"/>
      <c r="CC1472" s="34"/>
      <c r="CD1472" s="34"/>
      <c r="CE1472" s="34"/>
      <c r="CF1472" s="34"/>
      <c r="CG1472" s="34"/>
      <c r="CH1472" s="34"/>
      <c r="CI1472" s="34"/>
      <c r="CJ1472" s="34"/>
      <c r="CK1472" s="34"/>
      <c r="CL1472" s="34"/>
      <c r="CM1472" s="34"/>
      <c r="CN1472" s="34"/>
      <c r="CO1472" s="34"/>
      <c r="CP1472" s="34"/>
      <c r="CQ1472" s="34"/>
      <c r="CR1472" s="34"/>
      <c r="CS1472" s="34"/>
    </row>
    <row r="1473" spans="7:97" s="246" customFormat="1" x14ac:dyDescent="0.2">
      <c r="G1473" s="2188"/>
      <c r="BS1473" s="34"/>
      <c r="BT1473" s="34"/>
      <c r="BU1473" s="34"/>
      <c r="BV1473" s="34"/>
      <c r="BW1473" s="34"/>
      <c r="BX1473" s="34"/>
      <c r="BY1473" s="34"/>
      <c r="BZ1473" s="34"/>
      <c r="CA1473" s="34"/>
      <c r="CB1473" s="34"/>
      <c r="CC1473" s="34"/>
      <c r="CD1473" s="34"/>
      <c r="CE1473" s="34"/>
      <c r="CF1473" s="34"/>
      <c r="CG1473" s="34"/>
      <c r="CH1473" s="34"/>
      <c r="CI1473" s="34"/>
      <c r="CJ1473" s="34"/>
      <c r="CK1473" s="34"/>
      <c r="CL1473" s="34"/>
      <c r="CM1473" s="34"/>
      <c r="CN1473" s="34"/>
      <c r="CO1473" s="34"/>
      <c r="CP1473" s="34"/>
      <c r="CQ1473" s="34"/>
      <c r="CR1473" s="34"/>
      <c r="CS1473" s="34"/>
    </row>
    <row r="1474" spans="7:97" s="246" customFormat="1" x14ac:dyDescent="0.2">
      <c r="G1474" s="2188"/>
      <c r="BS1474" s="34"/>
      <c r="BT1474" s="34"/>
      <c r="BU1474" s="34"/>
      <c r="BV1474" s="34"/>
      <c r="BW1474" s="34"/>
      <c r="BX1474" s="34"/>
      <c r="BY1474" s="34"/>
      <c r="BZ1474" s="34"/>
      <c r="CA1474" s="34"/>
      <c r="CB1474" s="34"/>
      <c r="CC1474" s="34"/>
      <c r="CD1474" s="34"/>
      <c r="CE1474" s="34"/>
      <c r="CF1474" s="34"/>
      <c r="CG1474" s="34"/>
      <c r="CH1474" s="34"/>
      <c r="CI1474" s="34"/>
      <c r="CJ1474" s="34"/>
      <c r="CK1474" s="34"/>
      <c r="CL1474" s="34"/>
      <c r="CM1474" s="34"/>
      <c r="CN1474" s="34"/>
      <c r="CO1474" s="34"/>
      <c r="CP1474" s="34"/>
      <c r="CQ1474" s="34"/>
      <c r="CR1474" s="34"/>
      <c r="CS1474" s="34"/>
    </row>
    <row r="1475" spans="7:97" s="246" customFormat="1" x14ac:dyDescent="0.2">
      <c r="G1475" s="2188"/>
      <c r="BS1475" s="34"/>
      <c r="BT1475" s="34"/>
      <c r="BU1475" s="34"/>
      <c r="BV1475" s="34"/>
      <c r="BW1475" s="34"/>
      <c r="BX1475" s="34"/>
      <c r="BY1475" s="34"/>
      <c r="BZ1475" s="34"/>
      <c r="CA1475" s="34"/>
      <c r="CB1475" s="34"/>
      <c r="CC1475" s="34"/>
      <c r="CD1475" s="34"/>
      <c r="CE1475" s="34"/>
      <c r="CF1475" s="34"/>
      <c r="CG1475" s="34"/>
      <c r="CH1475" s="34"/>
      <c r="CI1475" s="34"/>
      <c r="CJ1475" s="34"/>
      <c r="CK1475" s="34"/>
      <c r="CL1475" s="34"/>
      <c r="CM1475" s="34"/>
      <c r="CN1475" s="34"/>
      <c r="CO1475" s="34"/>
      <c r="CP1475" s="34"/>
      <c r="CQ1475" s="34"/>
      <c r="CR1475" s="34"/>
      <c r="CS1475" s="34"/>
    </row>
    <row r="1476" spans="7:97" s="246" customFormat="1" x14ac:dyDescent="0.2">
      <c r="G1476" s="2188"/>
      <c r="BS1476" s="34"/>
      <c r="BT1476" s="34"/>
      <c r="BU1476" s="34"/>
      <c r="BV1476" s="34"/>
      <c r="BW1476" s="34"/>
      <c r="BX1476" s="34"/>
      <c r="BY1476" s="34"/>
      <c r="BZ1476" s="34"/>
      <c r="CA1476" s="34"/>
      <c r="CB1476" s="34"/>
      <c r="CC1476" s="34"/>
      <c r="CD1476" s="34"/>
      <c r="CE1476" s="34"/>
      <c r="CF1476" s="34"/>
      <c r="CG1476" s="34"/>
      <c r="CH1476" s="34"/>
      <c r="CI1476" s="34"/>
      <c r="CJ1476" s="34"/>
      <c r="CK1476" s="34"/>
      <c r="CL1476" s="34"/>
      <c r="CM1476" s="34"/>
      <c r="CN1476" s="34"/>
      <c r="CO1476" s="34"/>
      <c r="CP1476" s="34"/>
      <c r="CQ1476" s="34"/>
      <c r="CR1476" s="34"/>
      <c r="CS1476" s="34"/>
    </row>
    <row r="1477" spans="7:97" s="246" customFormat="1" x14ac:dyDescent="0.2">
      <c r="G1477" s="2188"/>
      <c r="BS1477" s="34"/>
      <c r="BT1477" s="34"/>
      <c r="BU1477" s="34"/>
      <c r="BV1477" s="34"/>
      <c r="BW1477" s="34"/>
      <c r="BX1477" s="34"/>
      <c r="BY1477" s="34"/>
      <c r="BZ1477" s="34"/>
      <c r="CA1477" s="34"/>
      <c r="CB1477" s="34"/>
      <c r="CC1477" s="34"/>
      <c r="CD1477" s="34"/>
      <c r="CE1477" s="34"/>
      <c r="CF1477" s="34"/>
      <c r="CG1477" s="34"/>
      <c r="CH1477" s="34"/>
      <c r="CI1477" s="34"/>
      <c r="CJ1477" s="34"/>
      <c r="CK1477" s="34"/>
      <c r="CL1477" s="34"/>
      <c r="CM1477" s="34"/>
      <c r="CN1477" s="34"/>
      <c r="CO1477" s="34"/>
      <c r="CP1477" s="34"/>
      <c r="CQ1477" s="34"/>
      <c r="CR1477" s="34"/>
      <c r="CS1477" s="34"/>
    </row>
    <row r="1478" spans="7:97" s="246" customFormat="1" x14ac:dyDescent="0.2">
      <c r="G1478" s="2188"/>
      <c r="BS1478" s="34"/>
      <c r="BT1478" s="34"/>
      <c r="BU1478" s="34"/>
      <c r="BV1478" s="34"/>
      <c r="BW1478" s="34"/>
      <c r="BX1478" s="34"/>
      <c r="BY1478" s="34"/>
      <c r="BZ1478" s="34"/>
      <c r="CA1478" s="34"/>
      <c r="CB1478" s="34"/>
      <c r="CC1478" s="34"/>
      <c r="CD1478" s="34"/>
      <c r="CE1478" s="34"/>
      <c r="CF1478" s="34"/>
      <c r="CG1478" s="34"/>
      <c r="CH1478" s="34"/>
      <c r="CI1478" s="34"/>
      <c r="CJ1478" s="34"/>
      <c r="CK1478" s="34"/>
      <c r="CL1478" s="34"/>
      <c r="CM1478" s="34"/>
      <c r="CN1478" s="34"/>
      <c r="CO1478" s="34"/>
      <c r="CP1478" s="34"/>
      <c r="CQ1478" s="34"/>
      <c r="CR1478" s="34"/>
      <c r="CS1478" s="34"/>
    </row>
    <row r="1479" spans="7:97" s="246" customFormat="1" x14ac:dyDescent="0.2">
      <c r="G1479" s="2188"/>
      <c r="BS1479" s="34"/>
      <c r="BT1479" s="34"/>
      <c r="BU1479" s="34"/>
      <c r="BV1479" s="34"/>
      <c r="BW1479" s="34"/>
      <c r="BX1479" s="34"/>
      <c r="BY1479" s="34"/>
      <c r="BZ1479" s="34"/>
      <c r="CA1479" s="34"/>
      <c r="CB1479" s="34"/>
      <c r="CC1479" s="34"/>
      <c r="CD1479" s="34"/>
      <c r="CE1479" s="34"/>
      <c r="CF1479" s="34"/>
      <c r="CG1479" s="34"/>
      <c r="CH1479" s="34"/>
      <c r="CI1479" s="34"/>
      <c r="CJ1479" s="34"/>
      <c r="CK1479" s="34"/>
      <c r="CL1479" s="34"/>
      <c r="CM1479" s="34"/>
      <c r="CN1479" s="34"/>
      <c r="CO1479" s="34"/>
      <c r="CP1479" s="34"/>
      <c r="CQ1479" s="34"/>
      <c r="CR1479" s="34"/>
      <c r="CS1479" s="34"/>
    </row>
    <row r="1480" spans="7:97" s="246" customFormat="1" x14ac:dyDescent="0.2">
      <c r="G1480" s="2188"/>
      <c r="BS1480" s="34"/>
      <c r="BT1480" s="34"/>
      <c r="BU1480" s="34"/>
      <c r="BV1480" s="34"/>
      <c r="BW1480" s="34"/>
      <c r="BX1480" s="34"/>
      <c r="BY1480" s="34"/>
      <c r="BZ1480" s="34"/>
      <c r="CA1480" s="34"/>
      <c r="CB1480" s="34"/>
      <c r="CC1480" s="34"/>
      <c r="CD1480" s="34"/>
      <c r="CE1480" s="34"/>
      <c r="CF1480" s="34"/>
      <c r="CG1480" s="34"/>
      <c r="CH1480" s="34"/>
      <c r="CI1480" s="34"/>
      <c r="CJ1480" s="34"/>
      <c r="CK1480" s="34"/>
      <c r="CL1480" s="34"/>
      <c r="CM1480" s="34"/>
      <c r="CN1480" s="34"/>
      <c r="CO1480" s="34"/>
      <c r="CP1480" s="34"/>
      <c r="CQ1480" s="34"/>
      <c r="CR1480" s="34"/>
      <c r="CS1480" s="34"/>
    </row>
    <row r="1481" spans="7:97" s="246" customFormat="1" x14ac:dyDescent="0.2">
      <c r="G1481" s="2188"/>
      <c r="BS1481" s="34"/>
      <c r="BT1481" s="34"/>
      <c r="BU1481" s="34"/>
      <c r="BV1481" s="34"/>
      <c r="BW1481" s="34"/>
      <c r="BX1481" s="34"/>
      <c r="BY1481" s="34"/>
      <c r="BZ1481" s="34"/>
      <c r="CA1481" s="34"/>
      <c r="CB1481" s="34"/>
      <c r="CC1481" s="34"/>
      <c r="CD1481" s="34"/>
      <c r="CE1481" s="34"/>
      <c r="CF1481" s="34"/>
      <c r="CG1481" s="34"/>
      <c r="CH1481" s="34"/>
      <c r="CI1481" s="34"/>
      <c r="CJ1481" s="34"/>
      <c r="CK1481" s="34"/>
      <c r="CL1481" s="34"/>
      <c r="CM1481" s="34"/>
      <c r="CN1481" s="34"/>
      <c r="CO1481" s="34"/>
      <c r="CP1481" s="34"/>
      <c r="CQ1481" s="34"/>
      <c r="CR1481" s="34"/>
      <c r="CS1481" s="34"/>
    </row>
    <row r="1482" spans="7:97" s="246" customFormat="1" x14ac:dyDescent="0.2">
      <c r="G1482" s="2188"/>
      <c r="BS1482" s="34"/>
      <c r="BT1482" s="34"/>
      <c r="BU1482" s="34"/>
      <c r="BV1482" s="34"/>
      <c r="BW1482" s="34"/>
      <c r="BX1482" s="34"/>
      <c r="BY1482" s="34"/>
      <c r="BZ1482" s="34"/>
      <c r="CA1482" s="34"/>
      <c r="CB1482" s="34"/>
      <c r="CC1482" s="34"/>
      <c r="CD1482" s="34"/>
      <c r="CE1482" s="34"/>
      <c r="CF1482" s="34"/>
      <c r="CG1482" s="34"/>
      <c r="CH1482" s="34"/>
      <c r="CI1482" s="34"/>
      <c r="CJ1482" s="34"/>
      <c r="CK1482" s="34"/>
      <c r="CL1482" s="34"/>
      <c r="CM1482" s="34"/>
      <c r="CN1482" s="34"/>
      <c r="CO1482" s="34"/>
      <c r="CP1482" s="34"/>
      <c r="CQ1482" s="34"/>
      <c r="CR1482" s="34"/>
      <c r="CS1482" s="34"/>
    </row>
    <row r="1483" spans="7:97" s="246" customFormat="1" x14ac:dyDescent="0.2">
      <c r="G1483" s="2188"/>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row>
    <row r="1484" spans="7:97" s="246" customFormat="1" x14ac:dyDescent="0.2">
      <c r="G1484" s="2188"/>
      <c r="BS1484" s="34"/>
      <c r="BT1484" s="34"/>
      <c r="BU1484" s="34"/>
      <c r="BV1484" s="34"/>
      <c r="BW1484" s="34"/>
      <c r="BX1484" s="34"/>
      <c r="BY1484" s="34"/>
      <c r="BZ1484" s="34"/>
      <c r="CA1484" s="34"/>
      <c r="CB1484" s="34"/>
      <c r="CC1484" s="34"/>
      <c r="CD1484" s="34"/>
      <c r="CE1484" s="34"/>
      <c r="CF1484" s="34"/>
      <c r="CG1484" s="34"/>
      <c r="CH1484" s="34"/>
      <c r="CI1484" s="34"/>
      <c r="CJ1484" s="34"/>
      <c r="CK1484" s="34"/>
      <c r="CL1484" s="34"/>
      <c r="CM1484" s="34"/>
      <c r="CN1484" s="34"/>
      <c r="CO1484" s="34"/>
      <c r="CP1484" s="34"/>
      <c r="CQ1484" s="34"/>
      <c r="CR1484" s="34"/>
      <c r="CS1484" s="34"/>
    </row>
    <row r="1485" spans="7:97" s="246" customFormat="1" x14ac:dyDescent="0.2">
      <c r="G1485" s="2188"/>
      <c r="BS1485" s="34"/>
      <c r="BT1485" s="34"/>
      <c r="BU1485" s="34"/>
      <c r="BV1485" s="34"/>
      <c r="BW1485" s="34"/>
      <c r="BX1485" s="34"/>
      <c r="BY1485" s="34"/>
      <c r="BZ1485" s="34"/>
      <c r="CA1485" s="34"/>
      <c r="CB1485" s="34"/>
      <c r="CC1485" s="34"/>
      <c r="CD1485" s="34"/>
      <c r="CE1485" s="34"/>
      <c r="CF1485" s="34"/>
      <c r="CG1485" s="34"/>
      <c r="CH1485" s="34"/>
      <c r="CI1485" s="34"/>
      <c r="CJ1485" s="34"/>
      <c r="CK1485" s="34"/>
      <c r="CL1485" s="34"/>
      <c r="CM1485" s="34"/>
      <c r="CN1485" s="34"/>
      <c r="CO1485" s="34"/>
      <c r="CP1485" s="34"/>
      <c r="CQ1485" s="34"/>
      <c r="CR1485" s="34"/>
      <c r="CS1485" s="34"/>
    </row>
    <row r="1486" spans="7:97" s="246" customFormat="1" x14ac:dyDescent="0.2">
      <c r="G1486" s="2188"/>
      <c r="BS1486" s="34"/>
      <c r="BT1486" s="34"/>
      <c r="BU1486" s="34"/>
      <c r="BV1486" s="34"/>
      <c r="BW1486" s="34"/>
      <c r="BX1486" s="34"/>
      <c r="BY1486" s="34"/>
      <c r="BZ1486" s="34"/>
      <c r="CA1486" s="34"/>
      <c r="CB1486" s="34"/>
      <c r="CC1486" s="34"/>
      <c r="CD1486" s="34"/>
      <c r="CE1486" s="34"/>
      <c r="CF1486" s="34"/>
      <c r="CG1486" s="34"/>
      <c r="CH1486" s="34"/>
      <c r="CI1486" s="34"/>
      <c r="CJ1486" s="34"/>
      <c r="CK1486" s="34"/>
      <c r="CL1486" s="34"/>
      <c r="CM1486" s="34"/>
      <c r="CN1486" s="34"/>
      <c r="CO1486" s="34"/>
      <c r="CP1486" s="34"/>
      <c r="CQ1486" s="34"/>
      <c r="CR1486" s="34"/>
      <c r="CS1486" s="34"/>
    </row>
    <row r="1487" spans="7:97" s="246" customFormat="1" x14ac:dyDescent="0.2">
      <c r="G1487" s="2188"/>
      <c r="BS1487" s="34"/>
      <c r="BT1487" s="34"/>
      <c r="BU1487" s="34"/>
      <c r="BV1487" s="34"/>
      <c r="BW1487" s="34"/>
      <c r="BX1487" s="34"/>
      <c r="BY1487" s="34"/>
      <c r="BZ1487" s="34"/>
      <c r="CA1487" s="34"/>
      <c r="CB1487" s="34"/>
      <c r="CC1487" s="34"/>
      <c r="CD1487" s="34"/>
      <c r="CE1487" s="34"/>
      <c r="CF1487" s="34"/>
      <c r="CG1487" s="34"/>
      <c r="CH1487" s="34"/>
      <c r="CI1487" s="34"/>
      <c r="CJ1487" s="34"/>
      <c r="CK1487" s="34"/>
      <c r="CL1487" s="34"/>
      <c r="CM1487" s="34"/>
      <c r="CN1487" s="34"/>
      <c r="CO1487" s="34"/>
      <c r="CP1487" s="34"/>
      <c r="CQ1487" s="34"/>
      <c r="CR1487" s="34"/>
      <c r="CS1487" s="34"/>
    </row>
    <row r="1488" spans="7:97" s="246" customFormat="1" x14ac:dyDescent="0.2">
      <c r="G1488" s="2188"/>
      <c r="BS1488" s="34"/>
      <c r="BT1488" s="34"/>
      <c r="BU1488" s="34"/>
      <c r="BV1488" s="34"/>
      <c r="BW1488" s="34"/>
      <c r="BX1488" s="34"/>
      <c r="BY1488" s="34"/>
      <c r="BZ1488" s="34"/>
      <c r="CA1488" s="34"/>
      <c r="CB1488" s="34"/>
      <c r="CC1488" s="34"/>
      <c r="CD1488" s="34"/>
      <c r="CE1488" s="34"/>
      <c r="CF1488" s="34"/>
      <c r="CG1488" s="34"/>
      <c r="CH1488" s="34"/>
      <c r="CI1488" s="34"/>
      <c r="CJ1488" s="34"/>
      <c r="CK1488" s="34"/>
      <c r="CL1488" s="34"/>
      <c r="CM1488" s="34"/>
      <c r="CN1488" s="34"/>
      <c r="CO1488" s="34"/>
      <c r="CP1488" s="34"/>
      <c r="CQ1488" s="34"/>
      <c r="CR1488" s="34"/>
      <c r="CS1488" s="34"/>
    </row>
    <row r="1489" spans="7:97" s="246" customFormat="1" x14ac:dyDescent="0.2">
      <c r="G1489" s="2188"/>
      <c r="BS1489" s="34"/>
      <c r="BT1489" s="34"/>
      <c r="BU1489" s="34"/>
      <c r="BV1489" s="34"/>
      <c r="BW1489" s="34"/>
      <c r="BX1489" s="34"/>
      <c r="BY1489" s="34"/>
      <c r="BZ1489" s="34"/>
      <c r="CA1489" s="34"/>
      <c r="CB1489" s="34"/>
      <c r="CC1489" s="34"/>
      <c r="CD1489" s="34"/>
      <c r="CE1489" s="34"/>
      <c r="CF1489" s="34"/>
      <c r="CG1489" s="34"/>
      <c r="CH1489" s="34"/>
      <c r="CI1489" s="34"/>
      <c r="CJ1489" s="34"/>
      <c r="CK1489" s="34"/>
      <c r="CL1489" s="34"/>
      <c r="CM1489" s="34"/>
      <c r="CN1489" s="34"/>
      <c r="CO1489" s="34"/>
      <c r="CP1489" s="34"/>
      <c r="CQ1489" s="34"/>
      <c r="CR1489" s="34"/>
      <c r="CS1489" s="34"/>
    </row>
    <row r="1490" spans="7:97" s="246" customFormat="1" x14ac:dyDescent="0.2">
      <c r="G1490" s="2188"/>
      <c r="BS1490" s="34"/>
      <c r="BT1490" s="34"/>
      <c r="BU1490" s="34"/>
      <c r="BV1490" s="34"/>
      <c r="BW1490" s="34"/>
      <c r="BX1490" s="34"/>
      <c r="BY1490" s="34"/>
      <c r="BZ1490" s="34"/>
      <c r="CA1490" s="34"/>
      <c r="CB1490" s="34"/>
      <c r="CC1490" s="34"/>
      <c r="CD1490" s="34"/>
      <c r="CE1490" s="34"/>
      <c r="CF1490" s="34"/>
      <c r="CG1490" s="34"/>
      <c r="CH1490" s="34"/>
      <c r="CI1490" s="34"/>
      <c r="CJ1490" s="34"/>
      <c r="CK1490" s="34"/>
      <c r="CL1490" s="34"/>
      <c r="CM1490" s="34"/>
      <c r="CN1490" s="34"/>
      <c r="CO1490" s="34"/>
      <c r="CP1490" s="34"/>
      <c r="CQ1490" s="34"/>
      <c r="CR1490" s="34"/>
      <c r="CS1490" s="34"/>
    </row>
    <row r="1491" spans="7:97" s="246" customFormat="1" x14ac:dyDescent="0.2">
      <c r="G1491" s="2188"/>
      <c r="BS1491" s="34"/>
      <c r="BT1491" s="34"/>
      <c r="BU1491" s="34"/>
      <c r="BV1491" s="34"/>
      <c r="BW1491" s="34"/>
      <c r="BX1491" s="34"/>
      <c r="BY1491" s="34"/>
      <c r="BZ1491" s="34"/>
      <c r="CA1491" s="34"/>
      <c r="CB1491" s="34"/>
      <c r="CC1491" s="34"/>
      <c r="CD1491" s="34"/>
      <c r="CE1491" s="34"/>
      <c r="CF1491" s="34"/>
      <c r="CG1491" s="34"/>
      <c r="CH1491" s="34"/>
      <c r="CI1491" s="34"/>
      <c r="CJ1491" s="34"/>
      <c r="CK1491" s="34"/>
      <c r="CL1491" s="34"/>
      <c r="CM1491" s="34"/>
      <c r="CN1491" s="34"/>
      <c r="CO1491" s="34"/>
      <c r="CP1491" s="34"/>
      <c r="CQ1491" s="34"/>
      <c r="CR1491" s="34"/>
      <c r="CS1491" s="34"/>
    </row>
    <row r="1492" spans="7:97" s="246" customFormat="1" x14ac:dyDescent="0.2">
      <c r="G1492" s="2188"/>
      <c r="BS1492" s="34"/>
      <c r="BT1492" s="34"/>
      <c r="BU1492" s="34"/>
      <c r="BV1492" s="34"/>
      <c r="BW1492" s="34"/>
      <c r="BX1492" s="34"/>
      <c r="BY1492" s="34"/>
      <c r="BZ1492" s="34"/>
      <c r="CA1492" s="34"/>
      <c r="CB1492" s="34"/>
      <c r="CC1492" s="34"/>
      <c r="CD1492" s="34"/>
      <c r="CE1492" s="34"/>
      <c r="CF1492" s="34"/>
      <c r="CG1492" s="34"/>
      <c r="CH1492" s="34"/>
      <c r="CI1492" s="34"/>
      <c r="CJ1492" s="34"/>
      <c r="CK1492" s="34"/>
      <c r="CL1492" s="34"/>
      <c r="CM1492" s="34"/>
      <c r="CN1492" s="34"/>
      <c r="CO1492" s="34"/>
      <c r="CP1492" s="34"/>
      <c r="CQ1492" s="34"/>
      <c r="CR1492" s="34"/>
      <c r="CS1492" s="34"/>
    </row>
    <row r="1493" spans="7:97" s="246" customFormat="1" x14ac:dyDescent="0.2">
      <c r="G1493" s="2188"/>
      <c r="BS1493" s="34"/>
      <c r="BT1493" s="34"/>
      <c r="BU1493" s="34"/>
      <c r="BV1493" s="34"/>
      <c r="BW1493" s="34"/>
      <c r="BX1493" s="34"/>
      <c r="BY1493" s="34"/>
      <c r="BZ1493" s="34"/>
      <c r="CA1493" s="34"/>
      <c r="CB1493" s="34"/>
      <c r="CC1493" s="34"/>
      <c r="CD1493" s="34"/>
      <c r="CE1493" s="34"/>
      <c r="CF1493" s="34"/>
      <c r="CG1493" s="34"/>
      <c r="CH1493" s="34"/>
      <c r="CI1493" s="34"/>
      <c r="CJ1493" s="34"/>
      <c r="CK1493" s="34"/>
      <c r="CL1493" s="34"/>
      <c r="CM1493" s="34"/>
      <c r="CN1493" s="34"/>
      <c r="CO1493" s="34"/>
      <c r="CP1493" s="34"/>
      <c r="CQ1493" s="34"/>
      <c r="CR1493" s="34"/>
      <c r="CS1493" s="34"/>
    </row>
    <row r="1494" spans="7:97" s="246" customFormat="1" x14ac:dyDescent="0.2">
      <c r="G1494" s="2188"/>
      <c r="BS1494" s="34"/>
      <c r="BT1494" s="34"/>
      <c r="BU1494" s="34"/>
      <c r="BV1494" s="34"/>
      <c r="BW1494" s="34"/>
      <c r="BX1494" s="34"/>
      <c r="BY1494" s="34"/>
      <c r="BZ1494" s="34"/>
      <c r="CA1494" s="34"/>
      <c r="CB1494" s="34"/>
      <c r="CC1494" s="34"/>
      <c r="CD1494" s="34"/>
      <c r="CE1494" s="34"/>
      <c r="CF1494" s="34"/>
      <c r="CG1494" s="34"/>
      <c r="CH1494" s="34"/>
      <c r="CI1494" s="34"/>
      <c r="CJ1494" s="34"/>
      <c r="CK1494" s="34"/>
      <c r="CL1494" s="34"/>
      <c r="CM1494" s="34"/>
      <c r="CN1494" s="34"/>
      <c r="CO1494" s="34"/>
      <c r="CP1494" s="34"/>
      <c r="CQ1494" s="34"/>
      <c r="CR1494" s="34"/>
      <c r="CS1494" s="34"/>
    </row>
    <row r="1495" spans="7:97" s="246" customFormat="1" x14ac:dyDescent="0.2">
      <c r="G1495" s="2188"/>
      <c r="BS1495" s="34"/>
      <c r="BT1495" s="34"/>
      <c r="BU1495" s="34"/>
      <c r="BV1495" s="34"/>
      <c r="BW1495" s="34"/>
      <c r="BX1495" s="34"/>
      <c r="BY1495" s="34"/>
      <c r="BZ1495" s="34"/>
      <c r="CA1495" s="34"/>
      <c r="CB1495" s="34"/>
      <c r="CC1495" s="34"/>
      <c r="CD1495" s="34"/>
      <c r="CE1495" s="34"/>
      <c r="CF1495" s="34"/>
      <c r="CG1495" s="34"/>
      <c r="CH1495" s="34"/>
      <c r="CI1495" s="34"/>
      <c r="CJ1495" s="34"/>
      <c r="CK1495" s="34"/>
      <c r="CL1495" s="34"/>
      <c r="CM1495" s="34"/>
      <c r="CN1495" s="34"/>
      <c r="CO1495" s="34"/>
      <c r="CP1495" s="34"/>
      <c r="CQ1495" s="34"/>
      <c r="CR1495" s="34"/>
      <c r="CS1495" s="34"/>
    </row>
    <row r="1496" spans="7:97" s="246" customFormat="1" x14ac:dyDescent="0.2">
      <c r="G1496" s="2188"/>
      <c r="BS1496" s="34"/>
      <c r="BT1496" s="34"/>
      <c r="BU1496" s="34"/>
      <c r="BV1496" s="34"/>
      <c r="BW1496" s="34"/>
      <c r="BX1496" s="34"/>
      <c r="BY1496" s="34"/>
      <c r="BZ1496" s="34"/>
      <c r="CA1496" s="34"/>
      <c r="CB1496" s="34"/>
      <c r="CC1496" s="34"/>
      <c r="CD1496" s="34"/>
      <c r="CE1496" s="34"/>
      <c r="CF1496" s="34"/>
      <c r="CG1496" s="34"/>
      <c r="CH1496" s="34"/>
      <c r="CI1496" s="34"/>
      <c r="CJ1496" s="34"/>
      <c r="CK1496" s="34"/>
      <c r="CL1496" s="34"/>
      <c r="CM1496" s="34"/>
      <c r="CN1496" s="34"/>
      <c r="CO1496" s="34"/>
      <c r="CP1496" s="34"/>
      <c r="CQ1496" s="34"/>
      <c r="CR1496" s="34"/>
      <c r="CS1496" s="34"/>
    </row>
    <row r="1497" spans="7:97" s="246" customFormat="1" x14ac:dyDescent="0.2">
      <c r="G1497" s="2188"/>
      <c r="BS1497" s="34"/>
      <c r="BT1497" s="34"/>
      <c r="BU1497" s="34"/>
      <c r="BV1497" s="34"/>
      <c r="BW1497" s="34"/>
      <c r="BX1497" s="34"/>
      <c r="BY1497" s="34"/>
      <c r="BZ1497" s="34"/>
      <c r="CA1497" s="34"/>
      <c r="CB1497" s="34"/>
      <c r="CC1497" s="34"/>
      <c r="CD1497" s="34"/>
      <c r="CE1497" s="34"/>
      <c r="CF1497" s="34"/>
      <c r="CG1497" s="34"/>
      <c r="CH1497" s="34"/>
      <c r="CI1497" s="34"/>
      <c r="CJ1497" s="34"/>
      <c r="CK1497" s="34"/>
      <c r="CL1497" s="34"/>
      <c r="CM1497" s="34"/>
      <c r="CN1497" s="34"/>
      <c r="CO1497" s="34"/>
      <c r="CP1497" s="34"/>
      <c r="CQ1497" s="34"/>
      <c r="CR1497" s="34"/>
      <c r="CS1497" s="34"/>
    </row>
    <row r="1498" spans="7:97" s="246" customFormat="1" x14ac:dyDescent="0.2">
      <c r="G1498" s="2188"/>
      <c r="BS1498" s="34"/>
      <c r="BT1498" s="34"/>
      <c r="BU1498" s="34"/>
      <c r="BV1498" s="34"/>
      <c r="BW1498" s="34"/>
      <c r="BX1498" s="34"/>
      <c r="BY1498" s="34"/>
      <c r="BZ1498" s="34"/>
      <c r="CA1498" s="34"/>
      <c r="CB1498" s="34"/>
      <c r="CC1498" s="34"/>
      <c r="CD1498" s="34"/>
      <c r="CE1498" s="34"/>
      <c r="CF1498" s="34"/>
      <c r="CG1498" s="34"/>
      <c r="CH1498" s="34"/>
      <c r="CI1498" s="34"/>
      <c r="CJ1498" s="34"/>
      <c r="CK1498" s="34"/>
      <c r="CL1498" s="34"/>
      <c r="CM1498" s="34"/>
      <c r="CN1498" s="34"/>
      <c r="CO1498" s="34"/>
      <c r="CP1498" s="34"/>
      <c r="CQ1498" s="34"/>
      <c r="CR1498" s="34"/>
      <c r="CS1498" s="34"/>
    </row>
    <row r="1499" spans="7:97" s="246" customFormat="1" x14ac:dyDescent="0.2">
      <c r="G1499" s="2188"/>
      <c r="BS1499" s="34"/>
      <c r="BT1499" s="34"/>
      <c r="BU1499" s="34"/>
      <c r="BV1499" s="34"/>
      <c r="BW1499" s="34"/>
      <c r="BX1499" s="34"/>
      <c r="BY1499" s="34"/>
      <c r="BZ1499" s="34"/>
      <c r="CA1499" s="34"/>
      <c r="CB1499" s="34"/>
      <c r="CC1499" s="34"/>
      <c r="CD1499" s="34"/>
      <c r="CE1499" s="34"/>
      <c r="CF1499" s="34"/>
      <c r="CG1499" s="34"/>
      <c r="CH1499" s="34"/>
      <c r="CI1499" s="34"/>
      <c r="CJ1499" s="34"/>
      <c r="CK1499" s="34"/>
      <c r="CL1499" s="34"/>
      <c r="CM1499" s="34"/>
      <c r="CN1499" s="34"/>
      <c r="CO1499" s="34"/>
      <c r="CP1499" s="34"/>
      <c r="CQ1499" s="34"/>
      <c r="CR1499" s="34"/>
      <c r="CS1499" s="34"/>
    </row>
    <row r="1500" spans="7:97" s="246" customFormat="1" x14ac:dyDescent="0.2">
      <c r="G1500" s="2188"/>
      <c r="BS1500" s="34"/>
      <c r="BT1500" s="34"/>
      <c r="BU1500" s="34"/>
      <c r="BV1500" s="34"/>
      <c r="BW1500" s="34"/>
      <c r="BX1500" s="34"/>
      <c r="BY1500" s="34"/>
      <c r="BZ1500" s="34"/>
      <c r="CA1500" s="34"/>
      <c r="CB1500" s="34"/>
      <c r="CC1500" s="34"/>
      <c r="CD1500" s="34"/>
      <c r="CE1500" s="34"/>
      <c r="CF1500" s="34"/>
      <c r="CG1500" s="34"/>
      <c r="CH1500" s="34"/>
      <c r="CI1500" s="34"/>
      <c r="CJ1500" s="34"/>
      <c r="CK1500" s="34"/>
      <c r="CL1500" s="34"/>
      <c r="CM1500" s="34"/>
      <c r="CN1500" s="34"/>
      <c r="CO1500" s="34"/>
      <c r="CP1500" s="34"/>
      <c r="CQ1500" s="34"/>
      <c r="CR1500" s="34"/>
      <c r="CS1500" s="34"/>
    </row>
    <row r="1501" spans="7:97" s="246" customFormat="1" x14ac:dyDescent="0.2">
      <c r="G1501" s="2188"/>
      <c r="BS1501" s="34"/>
      <c r="BT1501" s="34"/>
      <c r="BU1501" s="34"/>
      <c r="BV1501" s="34"/>
      <c r="BW1501" s="34"/>
      <c r="BX1501" s="34"/>
      <c r="BY1501" s="34"/>
      <c r="BZ1501" s="34"/>
      <c r="CA1501" s="34"/>
      <c r="CB1501" s="34"/>
      <c r="CC1501" s="34"/>
      <c r="CD1501" s="34"/>
      <c r="CE1501" s="34"/>
      <c r="CF1501" s="34"/>
      <c r="CG1501" s="34"/>
      <c r="CH1501" s="34"/>
      <c r="CI1501" s="34"/>
      <c r="CJ1501" s="34"/>
      <c r="CK1501" s="34"/>
      <c r="CL1501" s="34"/>
      <c r="CM1501" s="34"/>
      <c r="CN1501" s="34"/>
      <c r="CO1501" s="34"/>
      <c r="CP1501" s="34"/>
      <c r="CQ1501" s="34"/>
      <c r="CR1501" s="34"/>
      <c r="CS1501" s="34"/>
    </row>
    <row r="1502" spans="7:97" s="246" customFormat="1" x14ac:dyDescent="0.2">
      <c r="G1502" s="2188"/>
      <c r="BS1502" s="34"/>
      <c r="BT1502" s="34"/>
      <c r="BU1502" s="34"/>
      <c r="BV1502" s="34"/>
      <c r="BW1502" s="34"/>
      <c r="BX1502" s="34"/>
      <c r="BY1502" s="34"/>
      <c r="BZ1502" s="34"/>
      <c r="CA1502" s="34"/>
      <c r="CB1502" s="34"/>
      <c r="CC1502" s="34"/>
      <c r="CD1502" s="34"/>
      <c r="CE1502" s="34"/>
      <c r="CF1502" s="34"/>
      <c r="CG1502" s="34"/>
      <c r="CH1502" s="34"/>
      <c r="CI1502" s="34"/>
      <c r="CJ1502" s="34"/>
      <c r="CK1502" s="34"/>
      <c r="CL1502" s="34"/>
      <c r="CM1502" s="34"/>
      <c r="CN1502" s="34"/>
      <c r="CO1502" s="34"/>
      <c r="CP1502" s="34"/>
      <c r="CQ1502" s="34"/>
      <c r="CR1502" s="34"/>
      <c r="CS1502" s="34"/>
    </row>
    <row r="1503" spans="7:97" s="246" customFormat="1" x14ac:dyDescent="0.2">
      <c r="G1503" s="2188"/>
      <c r="BS1503" s="34"/>
      <c r="BT1503" s="34"/>
      <c r="BU1503" s="34"/>
      <c r="BV1503" s="34"/>
      <c r="BW1503" s="34"/>
      <c r="BX1503" s="34"/>
      <c r="BY1503" s="34"/>
      <c r="BZ1503" s="34"/>
      <c r="CA1503" s="34"/>
      <c r="CB1503" s="34"/>
      <c r="CC1503" s="34"/>
      <c r="CD1503" s="34"/>
      <c r="CE1503" s="34"/>
      <c r="CF1503" s="34"/>
      <c r="CG1503" s="34"/>
      <c r="CH1503" s="34"/>
      <c r="CI1503" s="34"/>
      <c r="CJ1503" s="34"/>
      <c r="CK1503" s="34"/>
      <c r="CL1503" s="34"/>
      <c r="CM1503" s="34"/>
      <c r="CN1503" s="34"/>
      <c r="CO1503" s="34"/>
      <c r="CP1503" s="34"/>
      <c r="CQ1503" s="34"/>
      <c r="CR1503" s="34"/>
      <c r="CS1503" s="34"/>
    </row>
    <row r="1504" spans="7:97" s="246" customFormat="1" x14ac:dyDescent="0.2">
      <c r="G1504" s="2188"/>
      <c r="BS1504" s="34"/>
      <c r="BT1504" s="34"/>
      <c r="BU1504" s="34"/>
      <c r="BV1504" s="34"/>
      <c r="BW1504" s="34"/>
      <c r="BX1504" s="34"/>
      <c r="BY1504" s="34"/>
      <c r="BZ1504" s="34"/>
      <c r="CA1504" s="34"/>
      <c r="CB1504" s="34"/>
      <c r="CC1504" s="34"/>
      <c r="CD1504" s="34"/>
      <c r="CE1504" s="34"/>
      <c r="CF1504" s="34"/>
      <c r="CG1504" s="34"/>
      <c r="CH1504" s="34"/>
      <c r="CI1504" s="34"/>
      <c r="CJ1504" s="34"/>
      <c r="CK1504" s="34"/>
      <c r="CL1504" s="34"/>
      <c r="CM1504" s="34"/>
      <c r="CN1504" s="34"/>
      <c r="CO1504" s="34"/>
      <c r="CP1504" s="34"/>
      <c r="CQ1504" s="34"/>
      <c r="CR1504" s="34"/>
      <c r="CS1504" s="34"/>
    </row>
    <row r="1505" spans="7:97" s="246" customFormat="1" x14ac:dyDescent="0.2">
      <c r="G1505" s="2188"/>
      <c r="BS1505" s="34"/>
      <c r="BT1505" s="34"/>
      <c r="BU1505" s="34"/>
      <c r="BV1505" s="34"/>
      <c r="BW1505" s="34"/>
      <c r="BX1505" s="34"/>
      <c r="BY1505" s="34"/>
      <c r="BZ1505" s="34"/>
      <c r="CA1505" s="34"/>
      <c r="CB1505" s="34"/>
      <c r="CC1505" s="34"/>
      <c r="CD1505" s="34"/>
      <c r="CE1505" s="34"/>
      <c r="CF1505" s="34"/>
      <c r="CG1505" s="34"/>
      <c r="CH1505" s="34"/>
      <c r="CI1505" s="34"/>
      <c r="CJ1505" s="34"/>
      <c r="CK1505" s="34"/>
      <c r="CL1505" s="34"/>
      <c r="CM1505" s="34"/>
      <c r="CN1505" s="34"/>
      <c r="CO1505" s="34"/>
      <c r="CP1505" s="34"/>
      <c r="CQ1505" s="34"/>
      <c r="CR1505" s="34"/>
      <c r="CS1505" s="34"/>
    </row>
    <row r="1506" spans="7:97" s="246" customFormat="1" x14ac:dyDescent="0.2">
      <c r="G1506" s="2188"/>
      <c r="BS1506" s="34"/>
      <c r="BT1506" s="34"/>
      <c r="BU1506" s="34"/>
      <c r="BV1506" s="34"/>
      <c r="BW1506" s="34"/>
      <c r="BX1506" s="34"/>
      <c r="BY1506" s="34"/>
      <c r="BZ1506" s="34"/>
      <c r="CA1506" s="34"/>
      <c r="CB1506" s="34"/>
      <c r="CC1506" s="34"/>
      <c r="CD1506" s="34"/>
      <c r="CE1506" s="34"/>
      <c r="CF1506" s="34"/>
      <c r="CG1506" s="34"/>
      <c r="CH1506" s="34"/>
      <c r="CI1506" s="34"/>
      <c r="CJ1506" s="34"/>
      <c r="CK1506" s="34"/>
      <c r="CL1506" s="34"/>
      <c r="CM1506" s="34"/>
      <c r="CN1506" s="34"/>
      <c r="CO1506" s="34"/>
      <c r="CP1506" s="34"/>
      <c r="CQ1506" s="34"/>
      <c r="CR1506" s="34"/>
      <c r="CS1506" s="34"/>
    </row>
    <row r="1507" spans="7:97" s="246" customFormat="1" x14ac:dyDescent="0.2">
      <c r="G1507" s="2188"/>
      <c r="BS1507" s="34"/>
      <c r="BT1507" s="34"/>
      <c r="BU1507" s="34"/>
      <c r="BV1507" s="34"/>
      <c r="BW1507" s="34"/>
      <c r="BX1507" s="34"/>
      <c r="BY1507" s="34"/>
      <c r="BZ1507" s="34"/>
      <c r="CA1507" s="34"/>
      <c r="CB1507" s="34"/>
      <c r="CC1507" s="34"/>
      <c r="CD1507" s="34"/>
      <c r="CE1507" s="34"/>
      <c r="CF1507" s="34"/>
      <c r="CG1507" s="34"/>
      <c r="CH1507" s="34"/>
      <c r="CI1507" s="34"/>
      <c r="CJ1507" s="34"/>
      <c r="CK1507" s="34"/>
      <c r="CL1507" s="34"/>
      <c r="CM1507" s="34"/>
      <c r="CN1507" s="34"/>
      <c r="CO1507" s="34"/>
      <c r="CP1507" s="34"/>
      <c r="CQ1507" s="34"/>
      <c r="CR1507" s="34"/>
      <c r="CS1507" s="34"/>
    </row>
    <row r="1508" spans="7:97" s="246" customFormat="1" x14ac:dyDescent="0.2">
      <c r="G1508" s="2188"/>
      <c r="BS1508" s="34"/>
      <c r="BT1508" s="34"/>
      <c r="BU1508" s="34"/>
      <c r="BV1508" s="34"/>
      <c r="BW1508" s="34"/>
      <c r="BX1508" s="34"/>
      <c r="BY1508" s="34"/>
      <c r="BZ1508" s="34"/>
      <c r="CA1508" s="34"/>
      <c r="CB1508" s="34"/>
      <c r="CC1508" s="34"/>
      <c r="CD1508" s="34"/>
      <c r="CE1508" s="34"/>
      <c r="CF1508" s="34"/>
      <c r="CG1508" s="34"/>
      <c r="CH1508" s="34"/>
      <c r="CI1508" s="34"/>
      <c r="CJ1508" s="34"/>
      <c r="CK1508" s="34"/>
      <c r="CL1508" s="34"/>
      <c r="CM1508" s="34"/>
      <c r="CN1508" s="34"/>
      <c r="CO1508" s="34"/>
      <c r="CP1508" s="34"/>
      <c r="CQ1508" s="34"/>
      <c r="CR1508" s="34"/>
      <c r="CS1508" s="34"/>
    </row>
    <row r="1509" spans="7:97" s="246" customFormat="1" x14ac:dyDescent="0.2">
      <c r="G1509" s="2188"/>
      <c r="BS1509" s="34"/>
      <c r="BT1509" s="34"/>
      <c r="BU1509" s="34"/>
      <c r="BV1509" s="34"/>
      <c r="BW1509" s="34"/>
      <c r="BX1509" s="34"/>
      <c r="BY1509" s="34"/>
      <c r="BZ1509" s="34"/>
      <c r="CA1509" s="34"/>
      <c r="CB1509" s="34"/>
      <c r="CC1509" s="34"/>
      <c r="CD1509" s="34"/>
      <c r="CE1509" s="34"/>
      <c r="CF1509" s="34"/>
      <c r="CG1509" s="34"/>
      <c r="CH1509" s="34"/>
      <c r="CI1509" s="34"/>
      <c r="CJ1509" s="34"/>
      <c r="CK1509" s="34"/>
      <c r="CL1509" s="34"/>
      <c r="CM1509" s="34"/>
      <c r="CN1509" s="34"/>
      <c r="CO1509" s="34"/>
      <c r="CP1509" s="34"/>
      <c r="CQ1509" s="34"/>
      <c r="CR1509" s="34"/>
      <c r="CS1509" s="34"/>
    </row>
    <row r="1510" spans="7:97" s="246" customFormat="1" x14ac:dyDescent="0.2">
      <c r="G1510" s="2188"/>
      <c r="BS1510" s="34"/>
      <c r="BT1510" s="34"/>
      <c r="BU1510" s="34"/>
      <c r="BV1510" s="34"/>
      <c r="BW1510" s="34"/>
      <c r="BX1510" s="34"/>
      <c r="BY1510" s="34"/>
      <c r="BZ1510" s="34"/>
      <c r="CA1510" s="34"/>
      <c r="CB1510" s="34"/>
      <c r="CC1510" s="34"/>
      <c r="CD1510" s="34"/>
      <c r="CE1510" s="34"/>
      <c r="CF1510" s="34"/>
      <c r="CG1510" s="34"/>
      <c r="CH1510" s="34"/>
      <c r="CI1510" s="34"/>
      <c r="CJ1510" s="34"/>
      <c r="CK1510" s="34"/>
      <c r="CL1510" s="34"/>
      <c r="CM1510" s="34"/>
      <c r="CN1510" s="34"/>
      <c r="CO1510" s="34"/>
      <c r="CP1510" s="34"/>
      <c r="CQ1510" s="34"/>
      <c r="CR1510" s="34"/>
      <c r="CS1510" s="34"/>
    </row>
    <row r="1511" spans="7:97" s="246" customFormat="1" x14ac:dyDescent="0.2">
      <c r="G1511" s="2188"/>
      <c r="BS1511" s="34"/>
      <c r="BT1511" s="34"/>
      <c r="BU1511" s="34"/>
      <c r="BV1511" s="34"/>
      <c r="BW1511" s="34"/>
      <c r="BX1511" s="34"/>
      <c r="BY1511" s="34"/>
      <c r="BZ1511" s="34"/>
      <c r="CA1511" s="34"/>
      <c r="CB1511" s="34"/>
      <c r="CC1511" s="34"/>
      <c r="CD1511" s="34"/>
      <c r="CE1511" s="34"/>
      <c r="CF1511" s="34"/>
      <c r="CG1511" s="34"/>
      <c r="CH1511" s="34"/>
      <c r="CI1511" s="34"/>
      <c r="CJ1511" s="34"/>
      <c r="CK1511" s="34"/>
      <c r="CL1511" s="34"/>
      <c r="CM1511" s="34"/>
      <c r="CN1511" s="34"/>
      <c r="CO1511" s="34"/>
      <c r="CP1511" s="34"/>
      <c r="CQ1511" s="34"/>
      <c r="CR1511" s="34"/>
      <c r="CS1511" s="34"/>
    </row>
    <row r="1512" spans="7:97" s="246" customFormat="1" x14ac:dyDescent="0.2">
      <c r="G1512" s="2188"/>
      <c r="BS1512" s="34"/>
      <c r="BT1512" s="34"/>
      <c r="BU1512" s="34"/>
      <c r="BV1512" s="34"/>
      <c r="BW1512" s="34"/>
      <c r="BX1512" s="34"/>
      <c r="BY1512" s="34"/>
      <c r="BZ1512" s="34"/>
      <c r="CA1512" s="34"/>
      <c r="CB1512" s="34"/>
      <c r="CC1512" s="34"/>
      <c r="CD1512" s="34"/>
      <c r="CE1512" s="34"/>
      <c r="CF1512" s="34"/>
      <c r="CG1512" s="34"/>
      <c r="CH1512" s="34"/>
      <c r="CI1512" s="34"/>
      <c r="CJ1512" s="34"/>
      <c r="CK1512" s="34"/>
      <c r="CL1512" s="34"/>
      <c r="CM1512" s="34"/>
      <c r="CN1512" s="34"/>
      <c r="CO1512" s="34"/>
      <c r="CP1512" s="34"/>
      <c r="CQ1512" s="34"/>
      <c r="CR1512" s="34"/>
      <c r="CS1512" s="34"/>
    </row>
    <row r="1513" spans="7:97" s="246" customFormat="1" x14ac:dyDescent="0.2">
      <c r="G1513" s="2188"/>
      <c r="BS1513" s="34"/>
      <c r="BT1513" s="34"/>
      <c r="BU1513" s="34"/>
      <c r="BV1513" s="34"/>
      <c r="BW1513" s="34"/>
      <c r="BX1513" s="34"/>
      <c r="BY1513" s="34"/>
      <c r="BZ1513" s="34"/>
      <c r="CA1513" s="34"/>
      <c r="CB1513" s="34"/>
      <c r="CC1513" s="34"/>
      <c r="CD1513" s="34"/>
      <c r="CE1513" s="34"/>
      <c r="CF1513" s="34"/>
      <c r="CG1513" s="34"/>
      <c r="CH1513" s="34"/>
      <c r="CI1513" s="34"/>
      <c r="CJ1513" s="34"/>
      <c r="CK1513" s="34"/>
      <c r="CL1513" s="34"/>
      <c r="CM1513" s="34"/>
      <c r="CN1513" s="34"/>
      <c r="CO1513" s="34"/>
      <c r="CP1513" s="34"/>
      <c r="CQ1513" s="34"/>
      <c r="CR1513" s="34"/>
      <c r="CS1513" s="34"/>
    </row>
    <row r="1514" spans="7:97" s="246" customFormat="1" x14ac:dyDescent="0.2">
      <c r="G1514" s="2188"/>
      <c r="BS1514" s="34"/>
      <c r="BT1514" s="34"/>
      <c r="BU1514" s="34"/>
      <c r="BV1514" s="34"/>
      <c r="BW1514" s="34"/>
      <c r="BX1514" s="34"/>
      <c r="BY1514" s="34"/>
      <c r="BZ1514" s="34"/>
      <c r="CA1514" s="34"/>
      <c r="CB1514" s="34"/>
      <c r="CC1514" s="34"/>
      <c r="CD1514" s="34"/>
      <c r="CE1514" s="34"/>
      <c r="CF1514" s="34"/>
      <c r="CG1514" s="34"/>
      <c r="CH1514" s="34"/>
      <c r="CI1514" s="34"/>
      <c r="CJ1514" s="34"/>
      <c r="CK1514" s="34"/>
      <c r="CL1514" s="34"/>
      <c r="CM1514" s="34"/>
      <c r="CN1514" s="34"/>
      <c r="CO1514" s="34"/>
      <c r="CP1514" s="34"/>
      <c r="CQ1514" s="34"/>
      <c r="CR1514" s="34"/>
      <c r="CS1514" s="34"/>
    </row>
    <row r="1515" spans="7:97" s="246" customFormat="1" x14ac:dyDescent="0.2">
      <c r="G1515" s="2188"/>
      <c r="BS1515" s="34"/>
      <c r="BT1515" s="34"/>
      <c r="BU1515" s="34"/>
      <c r="BV1515" s="34"/>
      <c r="BW1515" s="34"/>
      <c r="BX1515" s="34"/>
      <c r="BY1515" s="34"/>
      <c r="BZ1515" s="34"/>
      <c r="CA1515" s="34"/>
      <c r="CB1515" s="34"/>
      <c r="CC1515" s="34"/>
      <c r="CD1515" s="34"/>
      <c r="CE1515" s="34"/>
      <c r="CF1515" s="34"/>
      <c r="CG1515" s="34"/>
      <c r="CH1515" s="34"/>
      <c r="CI1515" s="34"/>
      <c r="CJ1515" s="34"/>
      <c r="CK1515" s="34"/>
      <c r="CL1515" s="34"/>
      <c r="CM1515" s="34"/>
      <c r="CN1515" s="34"/>
      <c r="CO1515" s="34"/>
      <c r="CP1515" s="34"/>
      <c r="CQ1515" s="34"/>
      <c r="CR1515" s="34"/>
      <c r="CS1515" s="34"/>
    </row>
    <row r="1516" spans="7:97" s="246" customFormat="1" x14ac:dyDescent="0.2">
      <c r="G1516" s="2188"/>
      <c r="BS1516" s="34"/>
      <c r="BT1516" s="34"/>
      <c r="BU1516" s="34"/>
      <c r="BV1516" s="34"/>
      <c r="BW1516" s="34"/>
      <c r="BX1516" s="34"/>
      <c r="BY1516" s="34"/>
      <c r="BZ1516" s="34"/>
      <c r="CA1516" s="34"/>
      <c r="CB1516" s="34"/>
      <c r="CC1516" s="34"/>
      <c r="CD1516" s="34"/>
      <c r="CE1516" s="34"/>
      <c r="CF1516" s="34"/>
      <c r="CG1516" s="34"/>
      <c r="CH1516" s="34"/>
      <c r="CI1516" s="34"/>
      <c r="CJ1516" s="34"/>
      <c r="CK1516" s="34"/>
      <c r="CL1516" s="34"/>
      <c r="CM1516" s="34"/>
      <c r="CN1516" s="34"/>
      <c r="CO1516" s="34"/>
      <c r="CP1516" s="34"/>
      <c r="CQ1516" s="34"/>
      <c r="CR1516" s="34"/>
      <c r="CS1516" s="34"/>
    </row>
    <row r="1517" spans="7:97" s="246" customFormat="1" x14ac:dyDescent="0.2">
      <c r="G1517" s="2188"/>
      <c r="BS1517" s="34"/>
      <c r="BT1517" s="34"/>
      <c r="BU1517" s="34"/>
      <c r="BV1517" s="34"/>
      <c r="BW1517" s="34"/>
      <c r="BX1517" s="34"/>
      <c r="BY1517" s="34"/>
      <c r="BZ1517" s="34"/>
      <c r="CA1517" s="34"/>
      <c r="CB1517" s="34"/>
      <c r="CC1517" s="34"/>
      <c r="CD1517" s="34"/>
      <c r="CE1517" s="34"/>
      <c r="CF1517" s="34"/>
      <c r="CG1517" s="34"/>
      <c r="CH1517" s="34"/>
      <c r="CI1517" s="34"/>
      <c r="CJ1517" s="34"/>
      <c r="CK1517" s="34"/>
      <c r="CL1517" s="34"/>
      <c r="CM1517" s="34"/>
      <c r="CN1517" s="34"/>
      <c r="CO1517" s="34"/>
      <c r="CP1517" s="34"/>
      <c r="CQ1517" s="34"/>
      <c r="CR1517" s="34"/>
      <c r="CS1517" s="34"/>
    </row>
    <row r="1518" spans="7:97" s="246" customFormat="1" x14ac:dyDescent="0.2">
      <c r="G1518" s="2188"/>
      <c r="BS1518" s="34"/>
      <c r="BT1518" s="34"/>
      <c r="BU1518" s="34"/>
      <c r="BV1518" s="34"/>
      <c r="BW1518" s="34"/>
      <c r="BX1518" s="34"/>
      <c r="BY1518" s="34"/>
      <c r="BZ1518" s="34"/>
      <c r="CA1518" s="34"/>
      <c r="CB1518" s="34"/>
      <c r="CC1518" s="34"/>
      <c r="CD1518" s="34"/>
      <c r="CE1518" s="34"/>
      <c r="CF1518" s="34"/>
      <c r="CG1518" s="34"/>
      <c r="CH1518" s="34"/>
      <c r="CI1518" s="34"/>
      <c r="CJ1518" s="34"/>
      <c r="CK1518" s="34"/>
      <c r="CL1518" s="34"/>
      <c r="CM1518" s="34"/>
      <c r="CN1518" s="34"/>
      <c r="CO1518" s="34"/>
      <c r="CP1518" s="34"/>
      <c r="CQ1518" s="34"/>
      <c r="CR1518" s="34"/>
      <c r="CS1518" s="34"/>
    </row>
    <row r="1519" spans="7:97" s="246" customFormat="1" x14ac:dyDescent="0.2">
      <c r="G1519" s="2188"/>
      <c r="BS1519" s="34"/>
      <c r="BT1519" s="34"/>
      <c r="BU1519" s="34"/>
      <c r="BV1519" s="34"/>
      <c r="BW1519" s="34"/>
      <c r="BX1519" s="34"/>
      <c r="BY1519" s="34"/>
      <c r="BZ1519" s="34"/>
      <c r="CA1519" s="34"/>
      <c r="CB1519" s="34"/>
      <c r="CC1519" s="34"/>
      <c r="CD1519" s="34"/>
      <c r="CE1519" s="34"/>
      <c r="CF1519" s="34"/>
      <c r="CG1519" s="34"/>
      <c r="CH1519" s="34"/>
      <c r="CI1519" s="34"/>
      <c r="CJ1519" s="34"/>
      <c r="CK1519" s="34"/>
      <c r="CL1519" s="34"/>
      <c r="CM1519" s="34"/>
      <c r="CN1519" s="34"/>
      <c r="CO1519" s="34"/>
      <c r="CP1519" s="34"/>
      <c r="CQ1519" s="34"/>
      <c r="CR1519" s="34"/>
      <c r="CS1519" s="34"/>
    </row>
    <row r="1520" spans="7:97" s="246" customFormat="1" x14ac:dyDescent="0.2">
      <c r="G1520" s="2188"/>
      <c r="BS1520" s="34"/>
      <c r="BT1520" s="34"/>
      <c r="BU1520" s="34"/>
      <c r="BV1520" s="34"/>
      <c r="BW1520" s="34"/>
      <c r="BX1520" s="34"/>
      <c r="BY1520" s="34"/>
      <c r="BZ1520" s="34"/>
      <c r="CA1520" s="34"/>
      <c r="CB1520" s="34"/>
      <c r="CC1520" s="34"/>
      <c r="CD1520" s="34"/>
      <c r="CE1520" s="34"/>
      <c r="CF1520" s="34"/>
      <c r="CG1520" s="34"/>
      <c r="CH1520" s="34"/>
      <c r="CI1520" s="34"/>
      <c r="CJ1520" s="34"/>
      <c r="CK1520" s="34"/>
      <c r="CL1520" s="34"/>
      <c r="CM1520" s="34"/>
      <c r="CN1520" s="34"/>
      <c r="CO1520" s="34"/>
      <c r="CP1520" s="34"/>
      <c r="CQ1520" s="34"/>
      <c r="CR1520" s="34"/>
      <c r="CS1520" s="34"/>
    </row>
    <row r="1521" spans="7:97" s="246" customFormat="1" x14ac:dyDescent="0.2">
      <c r="G1521" s="2188"/>
      <c r="BS1521" s="34"/>
      <c r="BT1521" s="34"/>
      <c r="BU1521" s="34"/>
      <c r="BV1521" s="34"/>
      <c r="BW1521" s="34"/>
      <c r="BX1521" s="34"/>
      <c r="BY1521" s="34"/>
      <c r="BZ1521" s="34"/>
      <c r="CA1521" s="34"/>
      <c r="CB1521" s="34"/>
      <c r="CC1521" s="34"/>
      <c r="CD1521" s="34"/>
      <c r="CE1521" s="34"/>
      <c r="CF1521" s="34"/>
      <c r="CG1521" s="34"/>
      <c r="CH1521" s="34"/>
      <c r="CI1521" s="34"/>
      <c r="CJ1521" s="34"/>
      <c r="CK1521" s="34"/>
      <c r="CL1521" s="34"/>
      <c r="CM1521" s="34"/>
      <c r="CN1521" s="34"/>
      <c r="CO1521" s="34"/>
      <c r="CP1521" s="34"/>
      <c r="CQ1521" s="34"/>
      <c r="CR1521" s="34"/>
      <c r="CS1521" s="34"/>
    </row>
    <row r="1522" spans="7:97" s="246" customFormat="1" x14ac:dyDescent="0.2">
      <c r="G1522" s="2188"/>
      <c r="BS1522" s="34"/>
      <c r="BT1522" s="34"/>
      <c r="BU1522" s="34"/>
      <c r="BV1522" s="34"/>
      <c r="BW1522" s="34"/>
      <c r="BX1522" s="34"/>
      <c r="BY1522" s="34"/>
      <c r="BZ1522" s="34"/>
      <c r="CA1522" s="34"/>
      <c r="CB1522" s="34"/>
      <c r="CC1522" s="34"/>
      <c r="CD1522" s="34"/>
      <c r="CE1522" s="34"/>
      <c r="CF1522" s="34"/>
      <c r="CG1522" s="34"/>
      <c r="CH1522" s="34"/>
      <c r="CI1522" s="34"/>
      <c r="CJ1522" s="34"/>
      <c r="CK1522" s="34"/>
      <c r="CL1522" s="34"/>
      <c r="CM1522" s="34"/>
      <c r="CN1522" s="34"/>
      <c r="CO1522" s="34"/>
      <c r="CP1522" s="34"/>
      <c r="CQ1522" s="34"/>
      <c r="CR1522" s="34"/>
      <c r="CS1522" s="34"/>
    </row>
    <row r="1523" spans="7:97" s="246" customFormat="1" x14ac:dyDescent="0.2">
      <c r="G1523" s="2188"/>
      <c r="BS1523" s="34"/>
      <c r="BT1523" s="34"/>
      <c r="BU1523" s="34"/>
      <c r="BV1523" s="34"/>
      <c r="BW1523" s="34"/>
      <c r="BX1523" s="34"/>
      <c r="BY1523" s="34"/>
      <c r="BZ1523" s="34"/>
      <c r="CA1523" s="34"/>
      <c r="CB1523" s="34"/>
      <c r="CC1523" s="34"/>
      <c r="CD1523" s="34"/>
      <c r="CE1523" s="34"/>
      <c r="CF1523" s="34"/>
      <c r="CG1523" s="34"/>
      <c r="CH1523" s="34"/>
      <c r="CI1523" s="34"/>
      <c r="CJ1523" s="34"/>
      <c r="CK1523" s="34"/>
      <c r="CL1523" s="34"/>
      <c r="CM1523" s="34"/>
      <c r="CN1523" s="34"/>
      <c r="CO1523" s="34"/>
      <c r="CP1523" s="34"/>
      <c r="CQ1523" s="34"/>
      <c r="CR1523" s="34"/>
      <c r="CS1523" s="34"/>
    </row>
    <row r="1524" spans="7:97" s="246" customFormat="1" x14ac:dyDescent="0.2">
      <c r="G1524" s="2188"/>
      <c r="BS1524" s="34"/>
      <c r="BT1524" s="34"/>
      <c r="BU1524" s="34"/>
      <c r="BV1524" s="34"/>
      <c r="BW1524" s="34"/>
      <c r="BX1524" s="34"/>
      <c r="BY1524" s="34"/>
      <c r="BZ1524" s="34"/>
      <c r="CA1524" s="34"/>
      <c r="CB1524" s="34"/>
      <c r="CC1524" s="34"/>
      <c r="CD1524" s="34"/>
      <c r="CE1524" s="34"/>
      <c r="CF1524" s="34"/>
      <c r="CG1524" s="34"/>
      <c r="CH1524" s="34"/>
      <c r="CI1524" s="34"/>
      <c r="CJ1524" s="34"/>
      <c r="CK1524" s="34"/>
      <c r="CL1524" s="34"/>
      <c r="CM1524" s="34"/>
      <c r="CN1524" s="34"/>
      <c r="CO1524" s="34"/>
      <c r="CP1524" s="34"/>
      <c r="CQ1524" s="34"/>
      <c r="CR1524" s="34"/>
      <c r="CS1524" s="34"/>
    </row>
    <row r="1525" spans="7:97" s="246" customFormat="1" x14ac:dyDescent="0.2">
      <c r="G1525" s="2188"/>
      <c r="BS1525" s="34"/>
      <c r="BT1525" s="34"/>
      <c r="BU1525" s="34"/>
      <c r="BV1525" s="34"/>
      <c r="BW1525" s="34"/>
      <c r="BX1525" s="34"/>
      <c r="BY1525" s="34"/>
      <c r="BZ1525" s="34"/>
      <c r="CA1525" s="34"/>
      <c r="CB1525" s="34"/>
      <c r="CC1525" s="34"/>
      <c r="CD1525" s="34"/>
      <c r="CE1525" s="34"/>
      <c r="CF1525" s="34"/>
      <c r="CG1525" s="34"/>
      <c r="CH1525" s="34"/>
      <c r="CI1525" s="34"/>
      <c r="CJ1525" s="34"/>
      <c r="CK1525" s="34"/>
      <c r="CL1525" s="34"/>
      <c r="CM1525" s="34"/>
      <c r="CN1525" s="34"/>
      <c r="CO1525" s="34"/>
      <c r="CP1525" s="34"/>
      <c r="CQ1525" s="34"/>
      <c r="CR1525" s="34"/>
      <c r="CS1525" s="34"/>
    </row>
    <row r="1526" spans="7:97" s="246" customFormat="1" x14ac:dyDescent="0.2">
      <c r="G1526" s="2188"/>
      <c r="BS1526" s="34"/>
      <c r="BT1526" s="34"/>
      <c r="BU1526" s="34"/>
      <c r="BV1526" s="34"/>
      <c r="BW1526" s="34"/>
      <c r="BX1526" s="34"/>
      <c r="BY1526" s="34"/>
      <c r="BZ1526" s="34"/>
      <c r="CA1526" s="34"/>
      <c r="CB1526" s="34"/>
      <c r="CC1526" s="34"/>
      <c r="CD1526" s="34"/>
      <c r="CE1526" s="34"/>
      <c r="CF1526" s="34"/>
      <c r="CG1526" s="34"/>
      <c r="CH1526" s="34"/>
      <c r="CI1526" s="34"/>
      <c r="CJ1526" s="34"/>
      <c r="CK1526" s="34"/>
      <c r="CL1526" s="34"/>
      <c r="CM1526" s="34"/>
      <c r="CN1526" s="34"/>
      <c r="CO1526" s="34"/>
      <c r="CP1526" s="34"/>
      <c r="CQ1526" s="34"/>
      <c r="CR1526" s="34"/>
      <c r="CS1526" s="34"/>
    </row>
    <row r="1527" spans="7:97" s="246" customFormat="1" x14ac:dyDescent="0.2">
      <c r="G1527" s="2188"/>
      <c r="BS1527" s="34"/>
      <c r="BT1527" s="34"/>
      <c r="BU1527" s="34"/>
      <c r="BV1527" s="34"/>
      <c r="BW1527" s="34"/>
      <c r="BX1527" s="34"/>
      <c r="BY1527" s="34"/>
      <c r="BZ1527" s="34"/>
      <c r="CA1527" s="34"/>
      <c r="CB1527" s="34"/>
      <c r="CC1527" s="34"/>
      <c r="CD1527" s="34"/>
      <c r="CE1527" s="34"/>
      <c r="CF1527" s="34"/>
      <c r="CG1527" s="34"/>
      <c r="CH1527" s="34"/>
      <c r="CI1527" s="34"/>
      <c r="CJ1527" s="34"/>
      <c r="CK1527" s="34"/>
      <c r="CL1527" s="34"/>
      <c r="CM1527" s="34"/>
      <c r="CN1527" s="34"/>
      <c r="CO1527" s="34"/>
      <c r="CP1527" s="34"/>
      <c r="CQ1527" s="34"/>
      <c r="CR1527" s="34"/>
      <c r="CS1527" s="34"/>
    </row>
    <row r="1528" spans="7:97" s="246" customFormat="1" x14ac:dyDescent="0.2">
      <c r="G1528" s="2188"/>
      <c r="BS1528" s="34"/>
      <c r="BT1528" s="34"/>
      <c r="BU1528" s="34"/>
      <c r="BV1528" s="34"/>
      <c r="BW1528" s="34"/>
      <c r="BX1528" s="34"/>
      <c r="BY1528" s="34"/>
      <c r="BZ1528" s="34"/>
      <c r="CA1528" s="34"/>
      <c r="CB1528" s="34"/>
      <c r="CC1528" s="34"/>
      <c r="CD1528" s="34"/>
      <c r="CE1528" s="34"/>
      <c r="CF1528" s="34"/>
      <c r="CG1528" s="34"/>
      <c r="CH1528" s="34"/>
      <c r="CI1528" s="34"/>
      <c r="CJ1528" s="34"/>
      <c r="CK1528" s="34"/>
      <c r="CL1528" s="34"/>
      <c r="CM1528" s="34"/>
      <c r="CN1528" s="34"/>
      <c r="CO1528" s="34"/>
      <c r="CP1528" s="34"/>
      <c r="CQ1528" s="34"/>
      <c r="CR1528" s="34"/>
      <c r="CS1528" s="34"/>
    </row>
    <row r="1529" spans="7:97" s="246" customFormat="1" x14ac:dyDescent="0.2">
      <c r="G1529" s="2188"/>
      <c r="BS1529" s="34"/>
      <c r="BT1529" s="34"/>
      <c r="BU1529" s="34"/>
      <c r="BV1529" s="34"/>
      <c r="BW1529" s="34"/>
      <c r="BX1529" s="34"/>
      <c r="BY1529" s="34"/>
      <c r="BZ1529" s="34"/>
      <c r="CA1529" s="34"/>
      <c r="CB1529" s="34"/>
      <c r="CC1529" s="34"/>
      <c r="CD1529" s="34"/>
      <c r="CE1529" s="34"/>
      <c r="CF1529" s="34"/>
      <c r="CG1529" s="34"/>
      <c r="CH1529" s="34"/>
      <c r="CI1529" s="34"/>
      <c r="CJ1529" s="34"/>
      <c r="CK1529" s="34"/>
      <c r="CL1529" s="34"/>
      <c r="CM1529" s="34"/>
      <c r="CN1529" s="34"/>
      <c r="CO1529" s="34"/>
      <c r="CP1529" s="34"/>
      <c r="CQ1529" s="34"/>
      <c r="CR1529" s="34"/>
      <c r="CS1529" s="34"/>
    </row>
    <row r="1530" spans="7:97" s="246" customFormat="1" x14ac:dyDescent="0.2">
      <c r="G1530" s="2188"/>
      <c r="BS1530" s="34"/>
      <c r="BT1530" s="34"/>
      <c r="BU1530" s="34"/>
      <c r="BV1530" s="34"/>
      <c r="BW1530" s="34"/>
      <c r="BX1530" s="34"/>
      <c r="BY1530" s="34"/>
      <c r="BZ1530" s="34"/>
      <c r="CA1530" s="34"/>
      <c r="CB1530" s="34"/>
      <c r="CC1530" s="34"/>
      <c r="CD1530" s="34"/>
      <c r="CE1530" s="34"/>
      <c r="CF1530" s="34"/>
      <c r="CG1530" s="34"/>
      <c r="CH1530" s="34"/>
      <c r="CI1530" s="34"/>
      <c r="CJ1530" s="34"/>
      <c r="CK1530" s="34"/>
      <c r="CL1530" s="34"/>
      <c r="CM1530" s="34"/>
      <c r="CN1530" s="34"/>
      <c r="CO1530" s="34"/>
      <c r="CP1530" s="34"/>
      <c r="CQ1530" s="34"/>
      <c r="CR1530" s="34"/>
      <c r="CS1530" s="34"/>
    </row>
    <row r="1531" spans="7:97" s="246" customFormat="1" x14ac:dyDescent="0.2">
      <c r="G1531" s="2188"/>
      <c r="BS1531" s="34"/>
      <c r="BT1531" s="34"/>
      <c r="BU1531" s="34"/>
      <c r="BV1531" s="34"/>
      <c r="BW1531" s="34"/>
      <c r="BX1531" s="34"/>
      <c r="BY1531" s="34"/>
      <c r="BZ1531" s="34"/>
      <c r="CA1531" s="34"/>
      <c r="CB1531" s="34"/>
      <c r="CC1531" s="34"/>
      <c r="CD1531" s="34"/>
      <c r="CE1531" s="34"/>
      <c r="CF1531" s="34"/>
      <c r="CG1531" s="34"/>
      <c r="CH1531" s="34"/>
      <c r="CI1531" s="34"/>
      <c r="CJ1531" s="34"/>
      <c r="CK1531" s="34"/>
      <c r="CL1531" s="34"/>
      <c r="CM1531" s="34"/>
      <c r="CN1531" s="34"/>
      <c r="CO1531" s="34"/>
      <c r="CP1531" s="34"/>
      <c r="CQ1531" s="34"/>
      <c r="CR1531" s="34"/>
      <c r="CS1531" s="34"/>
    </row>
    <row r="1532" spans="7:97" s="246" customFormat="1" x14ac:dyDescent="0.2">
      <c r="G1532" s="2188"/>
      <c r="BS1532" s="34"/>
      <c r="BT1532" s="34"/>
      <c r="BU1532" s="34"/>
      <c r="BV1532" s="34"/>
      <c r="BW1532" s="34"/>
      <c r="BX1532" s="34"/>
      <c r="BY1532" s="34"/>
      <c r="BZ1532" s="34"/>
      <c r="CA1532" s="34"/>
      <c r="CB1532" s="34"/>
      <c r="CC1532" s="34"/>
      <c r="CD1532" s="34"/>
      <c r="CE1532" s="34"/>
      <c r="CF1532" s="34"/>
      <c r="CG1532" s="34"/>
      <c r="CH1532" s="34"/>
      <c r="CI1532" s="34"/>
      <c r="CJ1532" s="34"/>
      <c r="CK1532" s="34"/>
      <c r="CL1532" s="34"/>
      <c r="CM1532" s="34"/>
      <c r="CN1532" s="34"/>
      <c r="CO1532" s="34"/>
      <c r="CP1532" s="34"/>
      <c r="CQ1532" s="34"/>
      <c r="CR1532" s="34"/>
      <c r="CS1532" s="34"/>
    </row>
    <row r="1533" spans="7:97" s="246" customFormat="1" x14ac:dyDescent="0.2">
      <c r="G1533" s="2188"/>
      <c r="BS1533" s="34"/>
      <c r="BT1533" s="34"/>
      <c r="BU1533" s="34"/>
      <c r="BV1533" s="34"/>
      <c r="BW1533" s="34"/>
      <c r="BX1533" s="34"/>
      <c r="BY1533" s="34"/>
      <c r="BZ1533" s="34"/>
      <c r="CA1533" s="34"/>
      <c r="CB1533" s="34"/>
      <c r="CC1533" s="34"/>
      <c r="CD1533" s="34"/>
      <c r="CE1533" s="34"/>
      <c r="CF1533" s="34"/>
      <c r="CG1533" s="34"/>
      <c r="CH1533" s="34"/>
      <c r="CI1533" s="34"/>
      <c r="CJ1533" s="34"/>
      <c r="CK1533" s="34"/>
      <c r="CL1533" s="34"/>
      <c r="CM1533" s="34"/>
      <c r="CN1533" s="34"/>
      <c r="CO1533" s="34"/>
      <c r="CP1533" s="34"/>
      <c r="CQ1533" s="34"/>
      <c r="CR1533" s="34"/>
      <c r="CS1533" s="34"/>
    </row>
    <row r="1534" spans="7:97" s="246" customFormat="1" x14ac:dyDescent="0.2">
      <c r="G1534" s="2188"/>
      <c r="BS1534" s="34"/>
      <c r="BT1534" s="34"/>
      <c r="BU1534" s="34"/>
      <c r="BV1534" s="34"/>
      <c r="BW1534" s="34"/>
      <c r="BX1534" s="34"/>
      <c r="BY1534" s="34"/>
      <c r="BZ1534" s="34"/>
      <c r="CA1534" s="34"/>
      <c r="CB1534" s="34"/>
      <c r="CC1534" s="34"/>
      <c r="CD1534" s="34"/>
      <c r="CE1534" s="34"/>
      <c r="CF1534" s="34"/>
      <c r="CG1534" s="34"/>
      <c r="CH1534" s="34"/>
      <c r="CI1534" s="34"/>
      <c r="CJ1534" s="34"/>
      <c r="CK1534" s="34"/>
      <c r="CL1534" s="34"/>
      <c r="CM1534" s="34"/>
      <c r="CN1534" s="34"/>
      <c r="CO1534" s="34"/>
      <c r="CP1534" s="34"/>
      <c r="CQ1534" s="34"/>
      <c r="CR1534" s="34"/>
      <c r="CS1534" s="34"/>
    </row>
    <row r="1535" spans="7:97" s="246" customFormat="1" x14ac:dyDescent="0.2">
      <c r="G1535" s="2188"/>
      <c r="BS1535" s="34"/>
      <c r="BT1535" s="34"/>
      <c r="BU1535" s="34"/>
      <c r="BV1535" s="34"/>
      <c r="BW1535" s="34"/>
      <c r="BX1535" s="34"/>
      <c r="BY1535" s="34"/>
      <c r="BZ1535" s="34"/>
      <c r="CA1535" s="34"/>
      <c r="CB1535" s="34"/>
      <c r="CC1535" s="34"/>
      <c r="CD1535" s="34"/>
      <c r="CE1535" s="34"/>
      <c r="CF1535" s="34"/>
      <c r="CG1535" s="34"/>
      <c r="CH1535" s="34"/>
      <c r="CI1535" s="34"/>
      <c r="CJ1535" s="34"/>
      <c r="CK1535" s="34"/>
      <c r="CL1535" s="34"/>
      <c r="CM1535" s="34"/>
      <c r="CN1535" s="34"/>
      <c r="CO1535" s="34"/>
      <c r="CP1535" s="34"/>
      <c r="CQ1535" s="34"/>
      <c r="CR1535" s="34"/>
      <c r="CS1535" s="34"/>
    </row>
    <row r="1536" spans="7:97" s="246" customFormat="1" x14ac:dyDescent="0.2">
      <c r="G1536" s="2188"/>
      <c r="BS1536" s="34"/>
      <c r="BT1536" s="34"/>
      <c r="BU1536" s="34"/>
      <c r="BV1536" s="34"/>
      <c r="BW1536" s="34"/>
      <c r="BX1536" s="34"/>
      <c r="BY1536" s="34"/>
      <c r="BZ1536" s="34"/>
      <c r="CA1536" s="34"/>
      <c r="CB1536" s="34"/>
      <c r="CC1536" s="34"/>
      <c r="CD1536" s="34"/>
      <c r="CE1536" s="34"/>
      <c r="CF1536" s="34"/>
      <c r="CG1536" s="34"/>
      <c r="CH1536" s="34"/>
      <c r="CI1536" s="34"/>
      <c r="CJ1536" s="34"/>
      <c r="CK1536" s="34"/>
      <c r="CL1536" s="34"/>
      <c r="CM1536" s="34"/>
      <c r="CN1536" s="34"/>
      <c r="CO1536" s="34"/>
      <c r="CP1536" s="34"/>
      <c r="CQ1536" s="34"/>
      <c r="CR1536" s="34"/>
      <c r="CS1536" s="34"/>
    </row>
    <row r="1537" spans="7:97" s="246" customFormat="1" x14ac:dyDescent="0.2">
      <c r="G1537" s="2188"/>
      <c r="BS1537" s="34"/>
      <c r="BT1537" s="34"/>
      <c r="BU1537" s="34"/>
      <c r="BV1537" s="34"/>
      <c r="BW1537" s="34"/>
      <c r="BX1537" s="34"/>
      <c r="BY1537" s="34"/>
      <c r="BZ1537" s="34"/>
      <c r="CA1537" s="34"/>
      <c r="CB1537" s="34"/>
      <c r="CC1537" s="34"/>
      <c r="CD1537" s="34"/>
      <c r="CE1537" s="34"/>
      <c r="CF1537" s="34"/>
      <c r="CG1537" s="34"/>
      <c r="CH1537" s="34"/>
      <c r="CI1537" s="34"/>
      <c r="CJ1537" s="34"/>
      <c r="CK1537" s="34"/>
      <c r="CL1537" s="34"/>
      <c r="CM1537" s="34"/>
      <c r="CN1537" s="34"/>
      <c r="CO1537" s="34"/>
      <c r="CP1537" s="34"/>
      <c r="CQ1537" s="34"/>
      <c r="CR1537" s="34"/>
      <c r="CS1537" s="34"/>
    </row>
    <row r="1538" spans="7:97" s="246" customFormat="1" x14ac:dyDescent="0.2">
      <c r="G1538" s="2188"/>
      <c r="BS1538" s="34"/>
      <c r="BT1538" s="34"/>
      <c r="BU1538" s="34"/>
      <c r="BV1538" s="34"/>
      <c r="BW1538" s="34"/>
      <c r="BX1538" s="34"/>
      <c r="BY1538" s="34"/>
      <c r="BZ1538" s="34"/>
      <c r="CA1538" s="34"/>
      <c r="CB1538" s="34"/>
      <c r="CC1538" s="34"/>
      <c r="CD1538" s="34"/>
      <c r="CE1538" s="34"/>
      <c r="CF1538" s="34"/>
      <c r="CG1538" s="34"/>
      <c r="CH1538" s="34"/>
      <c r="CI1538" s="34"/>
      <c r="CJ1538" s="34"/>
      <c r="CK1538" s="34"/>
      <c r="CL1538" s="34"/>
      <c r="CM1538" s="34"/>
      <c r="CN1538" s="34"/>
      <c r="CO1538" s="34"/>
      <c r="CP1538" s="34"/>
      <c r="CQ1538" s="34"/>
      <c r="CR1538" s="34"/>
      <c r="CS1538" s="34"/>
    </row>
    <row r="1539" spans="7:97" s="246" customFormat="1" x14ac:dyDescent="0.2">
      <c r="G1539" s="2188"/>
      <c r="BS1539" s="34"/>
      <c r="BT1539" s="34"/>
      <c r="BU1539" s="34"/>
      <c r="BV1539" s="34"/>
      <c r="BW1539" s="34"/>
      <c r="BX1539" s="34"/>
      <c r="BY1539" s="34"/>
      <c r="BZ1539" s="34"/>
      <c r="CA1539" s="34"/>
      <c r="CB1539" s="34"/>
      <c r="CC1539" s="34"/>
      <c r="CD1539" s="34"/>
      <c r="CE1539" s="34"/>
      <c r="CF1539" s="34"/>
      <c r="CG1539" s="34"/>
      <c r="CH1539" s="34"/>
      <c r="CI1539" s="34"/>
      <c r="CJ1539" s="34"/>
      <c r="CK1539" s="34"/>
      <c r="CL1539" s="34"/>
      <c r="CM1539" s="34"/>
      <c r="CN1539" s="34"/>
      <c r="CO1539" s="34"/>
      <c r="CP1539" s="34"/>
      <c r="CQ1539" s="34"/>
      <c r="CR1539" s="34"/>
      <c r="CS1539" s="34"/>
    </row>
    <row r="1540" spans="7:97" s="246" customFormat="1" x14ac:dyDescent="0.2">
      <c r="G1540" s="2188"/>
      <c r="BS1540" s="34"/>
      <c r="BT1540" s="34"/>
      <c r="BU1540" s="34"/>
      <c r="BV1540" s="34"/>
      <c r="BW1540" s="34"/>
      <c r="BX1540" s="34"/>
      <c r="BY1540" s="34"/>
      <c r="BZ1540" s="34"/>
      <c r="CA1540" s="34"/>
      <c r="CB1540" s="34"/>
      <c r="CC1540" s="34"/>
      <c r="CD1540" s="34"/>
      <c r="CE1540" s="34"/>
      <c r="CF1540" s="34"/>
      <c r="CG1540" s="34"/>
      <c r="CH1540" s="34"/>
      <c r="CI1540" s="34"/>
      <c r="CJ1540" s="34"/>
      <c r="CK1540" s="34"/>
      <c r="CL1540" s="34"/>
      <c r="CM1540" s="34"/>
      <c r="CN1540" s="34"/>
      <c r="CO1540" s="34"/>
      <c r="CP1540" s="34"/>
      <c r="CQ1540" s="34"/>
      <c r="CR1540" s="34"/>
      <c r="CS1540" s="34"/>
    </row>
    <row r="1541" spans="7:97" s="246" customFormat="1" x14ac:dyDescent="0.2">
      <c r="G1541" s="2188"/>
      <c r="BS1541" s="34"/>
      <c r="BT1541" s="34"/>
      <c r="BU1541" s="34"/>
      <c r="BV1541" s="34"/>
      <c r="BW1541" s="34"/>
      <c r="BX1541" s="34"/>
      <c r="BY1541" s="34"/>
      <c r="BZ1541" s="34"/>
      <c r="CA1541" s="34"/>
      <c r="CB1541" s="34"/>
      <c r="CC1541" s="34"/>
      <c r="CD1541" s="34"/>
      <c r="CE1541" s="34"/>
      <c r="CF1541" s="34"/>
      <c r="CG1541" s="34"/>
      <c r="CH1541" s="34"/>
      <c r="CI1541" s="34"/>
      <c r="CJ1541" s="34"/>
      <c r="CK1541" s="34"/>
      <c r="CL1541" s="34"/>
      <c r="CM1541" s="34"/>
      <c r="CN1541" s="34"/>
      <c r="CO1541" s="34"/>
      <c r="CP1541" s="34"/>
      <c r="CQ1541" s="34"/>
      <c r="CR1541" s="34"/>
      <c r="CS1541" s="34"/>
    </row>
    <row r="1542" spans="7:97" s="246" customFormat="1" x14ac:dyDescent="0.2">
      <c r="G1542" s="2188"/>
      <c r="BS1542" s="34"/>
      <c r="BT1542" s="34"/>
      <c r="BU1542" s="34"/>
      <c r="BV1542" s="34"/>
      <c r="BW1542" s="34"/>
      <c r="BX1542" s="34"/>
      <c r="BY1542" s="34"/>
      <c r="BZ1542" s="34"/>
      <c r="CA1542" s="34"/>
      <c r="CB1542" s="34"/>
      <c r="CC1542" s="34"/>
      <c r="CD1542" s="34"/>
      <c r="CE1542" s="34"/>
      <c r="CF1542" s="34"/>
      <c r="CG1542" s="34"/>
      <c r="CH1542" s="34"/>
      <c r="CI1542" s="34"/>
      <c r="CJ1542" s="34"/>
      <c r="CK1542" s="34"/>
      <c r="CL1542" s="34"/>
      <c r="CM1542" s="34"/>
      <c r="CN1542" s="34"/>
      <c r="CO1542" s="34"/>
      <c r="CP1542" s="34"/>
      <c r="CQ1542" s="34"/>
      <c r="CR1542" s="34"/>
      <c r="CS1542" s="34"/>
    </row>
    <row r="1543" spans="7:97" s="246" customFormat="1" x14ac:dyDescent="0.2">
      <c r="G1543" s="2188"/>
      <c r="BS1543" s="34"/>
      <c r="BT1543" s="34"/>
      <c r="BU1543" s="34"/>
      <c r="BV1543" s="34"/>
      <c r="BW1543" s="34"/>
      <c r="BX1543" s="34"/>
      <c r="BY1543" s="34"/>
      <c r="BZ1543" s="34"/>
      <c r="CA1543" s="34"/>
      <c r="CB1543" s="34"/>
      <c r="CC1543" s="34"/>
      <c r="CD1543" s="34"/>
      <c r="CE1543" s="34"/>
      <c r="CF1543" s="34"/>
      <c r="CG1543" s="34"/>
      <c r="CH1543" s="34"/>
      <c r="CI1543" s="34"/>
      <c r="CJ1543" s="34"/>
      <c r="CK1543" s="34"/>
      <c r="CL1543" s="34"/>
      <c r="CM1543" s="34"/>
      <c r="CN1543" s="34"/>
      <c r="CO1543" s="34"/>
      <c r="CP1543" s="34"/>
      <c r="CQ1543" s="34"/>
      <c r="CR1543" s="34"/>
      <c r="CS1543" s="34"/>
    </row>
    <row r="1544" spans="7:97" s="246" customFormat="1" x14ac:dyDescent="0.2">
      <c r="G1544" s="2188"/>
      <c r="BS1544" s="34"/>
      <c r="BT1544" s="34"/>
      <c r="BU1544" s="34"/>
      <c r="BV1544" s="34"/>
      <c r="BW1544" s="34"/>
      <c r="BX1544" s="34"/>
      <c r="BY1544" s="34"/>
      <c r="BZ1544" s="34"/>
      <c r="CA1544" s="34"/>
      <c r="CB1544" s="34"/>
      <c r="CC1544" s="34"/>
      <c r="CD1544" s="34"/>
      <c r="CE1544" s="34"/>
      <c r="CF1544" s="34"/>
      <c r="CG1544" s="34"/>
      <c r="CH1544" s="34"/>
      <c r="CI1544" s="34"/>
      <c r="CJ1544" s="34"/>
      <c r="CK1544" s="34"/>
      <c r="CL1544" s="34"/>
      <c r="CM1544" s="34"/>
      <c r="CN1544" s="34"/>
      <c r="CO1544" s="34"/>
      <c r="CP1544" s="34"/>
      <c r="CQ1544" s="34"/>
      <c r="CR1544" s="34"/>
      <c r="CS1544" s="34"/>
    </row>
    <row r="1545" spans="7:97" s="246" customFormat="1" x14ac:dyDescent="0.2">
      <c r="G1545" s="2188"/>
      <c r="BS1545" s="34"/>
      <c r="BT1545" s="34"/>
      <c r="BU1545" s="34"/>
      <c r="BV1545" s="34"/>
      <c r="BW1545" s="34"/>
      <c r="BX1545" s="34"/>
      <c r="BY1545" s="34"/>
      <c r="BZ1545" s="34"/>
      <c r="CA1545" s="34"/>
      <c r="CB1545" s="34"/>
      <c r="CC1545" s="34"/>
      <c r="CD1545" s="34"/>
      <c r="CE1545" s="34"/>
      <c r="CF1545" s="34"/>
      <c r="CG1545" s="34"/>
      <c r="CH1545" s="34"/>
      <c r="CI1545" s="34"/>
      <c r="CJ1545" s="34"/>
      <c r="CK1545" s="34"/>
      <c r="CL1545" s="34"/>
      <c r="CM1545" s="34"/>
      <c r="CN1545" s="34"/>
      <c r="CO1545" s="34"/>
      <c r="CP1545" s="34"/>
      <c r="CQ1545" s="34"/>
      <c r="CR1545" s="34"/>
      <c r="CS1545" s="34"/>
    </row>
    <row r="1546" spans="7:97" s="246" customFormat="1" x14ac:dyDescent="0.2">
      <c r="G1546" s="2188"/>
      <c r="BS1546" s="34"/>
      <c r="BT1546" s="34"/>
      <c r="BU1546" s="34"/>
      <c r="BV1546" s="34"/>
      <c r="BW1546" s="34"/>
      <c r="BX1546" s="34"/>
      <c r="BY1546" s="34"/>
      <c r="BZ1546" s="34"/>
      <c r="CA1546" s="34"/>
      <c r="CB1546" s="34"/>
      <c r="CC1546" s="34"/>
      <c r="CD1546" s="34"/>
      <c r="CE1546" s="34"/>
      <c r="CF1546" s="34"/>
      <c r="CG1546" s="34"/>
      <c r="CH1546" s="34"/>
      <c r="CI1546" s="34"/>
      <c r="CJ1546" s="34"/>
      <c r="CK1546" s="34"/>
      <c r="CL1546" s="34"/>
      <c r="CM1546" s="34"/>
      <c r="CN1546" s="34"/>
      <c r="CO1546" s="34"/>
      <c r="CP1546" s="34"/>
      <c r="CQ1546" s="34"/>
      <c r="CR1546" s="34"/>
      <c r="CS1546" s="34"/>
    </row>
    <row r="1547" spans="7:97" s="246" customFormat="1" x14ac:dyDescent="0.2">
      <c r="G1547" s="2188"/>
      <c r="BS1547" s="34"/>
      <c r="BT1547" s="34"/>
      <c r="BU1547" s="34"/>
      <c r="BV1547" s="34"/>
      <c r="BW1547" s="34"/>
      <c r="BX1547" s="34"/>
      <c r="BY1547" s="34"/>
      <c r="BZ1547" s="34"/>
      <c r="CA1547" s="34"/>
      <c r="CB1547" s="34"/>
      <c r="CC1547" s="34"/>
      <c r="CD1547" s="34"/>
      <c r="CE1547" s="34"/>
      <c r="CF1547" s="34"/>
      <c r="CG1547" s="34"/>
      <c r="CH1547" s="34"/>
      <c r="CI1547" s="34"/>
      <c r="CJ1547" s="34"/>
      <c r="CK1547" s="34"/>
      <c r="CL1547" s="34"/>
      <c r="CM1547" s="34"/>
      <c r="CN1547" s="34"/>
      <c r="CO1547" s="34"/>
      <c r="CP1547" s="34"/>
      <c r="CQ1547" s="34"/>
      <c r="CR1547" s="34"/>
      <c r="CS1547" s="34"/>
    </row>
    <row r="1548" spans="7:97" s="246" customFormat="1" x14ac:dyDescent="0.2">
      <c r="G1548" s="2188"/>
      <c r="BS1548" s="34"/>
      <c r="BT1548" s="34"/>
      <c r="BU1548" s="34"/>
      <c r="BV1548" s="34"/>
      <c r="BW1548" s="34"/>
      <c r="BX1548" s="34"/>
      <c r="BY1548" s="34"/>
      <c r="BZ1548" s="34"/>
      <c r="CA1548" s="34"/>
      <c r="CB1548" s="34"/>
      <c r="CC1548" s="34"/>
      <c r="CD1548" s="34"/>
      <c r="CE1548" s="34"/>
      <c r="CF1548" s="34"/>
      <c r="CG1548" s="34"/>
      <c r="CH1548" s="34"/>
      <c r="CI1548" s="34"/>
      <c r="CJ1548" s="34"/>
      <c r="CK1548" s="34"/>
      <c r="CL1548" s="34"/>
      <c r="CM1548" s="34"/>
      <c r="CN1548" s="34"/>
      <c r="CO1548" s="34"/>
      <c r="CP1548" s="34"/>
      <c r="CQ1548" s="34"/>
      <c r="CR1548" s="34"/>
      <c r="CS1548" s="34"/>
    </row>
    <row r="1549" spans="7:97" s="246" customFormat="1" x14ac:dyDescent="0.2">
      <c r="G1549" s="2188"/>
      <c r="BS1549" s="34"/>
      <c r="BT1549" s="34"/>
      <c r="BU1549" s="34"/>
      <c r="BV1549" s="34"/>
      <c r="BW1549" s="34"/>
      <c r="BX1549" s="34"/>
      <c r="BY1549" s="34"/>
      <c r="BZ1549" s="34"/>
      <c r="CA1549" s="34"/>
      <c r="CB1549" s="34"/>
      <c r="CC1549" s="34"/>
      <c r="CD1549" s="34"/>
      <c r="CE1549" s="34"/>
      <c r="CF1549" s="34"/>
      <c r="CG1549" s="34"/>
      <c r="CH1549" s="34"/>
      <c r="CI1549" s="34"/>
      <c r="CJ1549" s="34"/>
      <c r="CK1549" s="34"/>
      <c r="CL1549" s="34"/>
      <c r="CM1549" s="34"/>
      <c r="CN1549" s="34"/>
      <c r="CO1549" s="34"/>
      <c r="CP1549" s="34"/>
      <c r="CQ1549" s="34"/>
      <c r="CR1549" s="34"/>
      <c r="CS1549" s="34"/>
    </row>
    <row r="1550" spans="7:97" s="246" customFormat="1" x14ac:dyDescent="0.2">
      <c r="G1550" s="2188"/>
      <c r="BS1550" s="34"/>
      <c r="BT1550" s="34"/>
      <c r="BU1550" s="34"/>
      <c r="BV1550" s="34"/>
      <c r="BW1550" s="34"/>
      <c r="BX1550" s="34"/>
      <c r="BY1550" s="34"/>
      <c r="BZ1550" s="34"/>
      <c r="CA1550" s="34"/>
      <c r="CB1550" s="34"/>
      <c r="CC1550" s="34"/>
      <c r="CD1550" s="34"/>
      <c r="CE1550" s="34"/>
      <c r="CF1550" s="34"/>
      <c r="CG1550" s="34"/>
      <c r="CH1550" s="34"/>
      <c r="CI1550" s="34"/>
      <c r="CJ1550" s="34"/>
      <c r="CK1550" s="34"/>
      <c r="CL1550" s="34"/>
      <c r="CM1550" s="34"/>
      <c r="CN1550" s="34"/>
      <c r="CO1550" s="34"/>
      <c r="CP1550" s="34"/>
      <c r="CQ1550" s="34"/>
      <c r="CR1550" s="34"/>
      <c r="CS1550" s="34"/>
    </row>
    <row r="1551" spans="7:97" s="246" customFormat="1" x14ac:dyDescent="0.2">
      <c r="G1551" s="2188"/>
      <c r="BS1551" s="34"/>
      <c r="BT1551" s="34"/>
      <c r="BU1551" s="34"/>
      <c r="BV1551" s="34"/>
      <c r="BW1551" s="34"/>
      <c r="BX1551" s="34"/>
      <c r="BY1551" s="34"/>
      <c r="BZ1551" s="34"/>
      <c r="CA1551" s="34"/>
      <c r="CB1551" s="34"/>
      <c r="CC1551" s="34"/>
      <c r="CD1551" s="34"/>
      <c r="CE1551" s="34"/>
      <c r="CF1551" s="34"/>
      <c r="CG1551" s="34"/>
      <c r="CH1551" s="34"/>
      <c r="CI1551" s="34"/>
      <c r="CJ1551" s="34"/>
      <c r="CK1551" s="34"/>
      <c r="CL1551" s="34"/>
      <c r="CM1551" s="34"/>
      <c r="CN1551" s="34"/>
      <c r="CO1551" s="34"/>
      <c r="CP1551" s="34"/>
      <c r="CQ1551" s="34"/>
      <c r="CR1551" s="34"/>
      <c r="CS1551" s="34"/>
    </row>
    <row r="1552" spans="7:97" s="246" customFormat="1" x14ac:dyDescent="0.2">
      <c r="G1552" s="2188"/>
      <c r="BS1552" s="34"/>
      <c r="BT1552" s="34"/>
      <c r="BU1552" s="34"/>
      <c r="BV1552" s="34"/>
      <c r="BW1552" s="34"/>
      <c r="BX1552" s="34"/>
      <c r="BY1552" s="34"/>
      <c r="BZ1552" s="34"/>
      <c r="CA1552" s="34"/>
      <c r="CB1552" s="34"/>
      <c r="CC1552" s="34"/>
      <c r="CD1552" s="34"/>
      <c r="CE1552" s="34"/>
      <c r="CF1552" s="34"/>
      <c r="CG1552" s="34"/>
      <c r="CH1552" s="34"/>
      <c r="CI1552" s="34"/>
      <c r="CJ1552" s="34"/>
      <c r="CK1552" s="34"/>
      <c r="CL1552" s="34"/>
      <c r="CM1552" s="34"/>
      <c r="CN1552" s="34"/>
      <c r="CO1552" s="34"/>
      <c r="CP1552" s="34"/>
      <c r="CQ1552" s="34"/>
      <c r="CR1552" s="34"/>
      <c r="CS1552" s="34"/>
    </row>
    <row r="1553" spans="7:97" s="246" customFormat="1" x14ac:dyDescent="0.2">
      <c r="G1553" s="2188"/>
      <c r="BS1553" s="34"/>
      <c r="BT1553" s="34"/>
      <c r="BU1553" s="34"/>
      <c r="BV1553" s="34"/>
      <c r="BW1553" s="34"/>
      <c r="BX1553" s="34"/>
      <c r="BY1553" s="34"/>
      <c r="BZ1553" s="34"/>
      <c r="CA1553" s="34"/>
      <c r="CB1553" s="34"/>
      <c r="CC1553" s="34"/>
      <c r="CD1553" s="34"/>
      <c r="CE1553" s="34"/>
      <c r="CF1553" s="34"/>
      <c r="CG1553" s="34"/>
      <c r="CH1553" s="34"/>
      <c r="CI1553" s="34"/>
      <c r="CJ1553" s="34"/>
      <c r="CK1553" s="34"/>
      <c r="CL1553" s="34"/>
      <c r="CM1553" s="34"/>
      <c r="CN1553" s="34"/>
      <c r="CO1553" s="34"/>
      <c r="CP1553" s="34"/>
      <c r="CQ1553" s="34"/>
      <c r="CR1553" s="34"/>
      <c r="CS1553" s="34"/>
    </row>
    <row r="1554" spans="7:97" s="246" customFormat="1" x14ac:dyDescent="0.2">
      <c r="G1554" s="2188"/>
      <c r="BS1554" s="34"/>
      <c r="BT1554" s="34"/>
      <c r="BU1554" s="34"/>
      <c r="BV1554" s="34"/>
      <c r="BW1554" s="34"/>
      <c r="BX1554" s="34"/>
      <c r="BY1554" s="34"/>
      <c r="BZ1554" s="34"/>
      <c r="CA1554" s="34"/>
      <c r="CB1554" s="34"/>
      <c r="CC1554" s="34"/>
      <c r="CD1554" s="34"/>
      <c r="CE1554" s="34"/>
      <c r="CF1554" s="34"/>
      <c r="CG1554" s="34"/>
      <c r="CH1554" s="34"/>
      <c r="CI1554" s="34"/>
      <c r="CJ1554" s="34"/>
      <c r="CK1554" s="34"/>
      <c r="CL1554" s="34"/>
      <c r="CM1554" s="34"/>
      <c r="CN1554" s="34"/>
      <c r="CO1554" s="34"/>
      <c r="CP1554" s="34"/>
      <c r="CQ1554" s="34"/>
      <c r="CR1554" s="34"/>
      <c r="CS1554" s="34"/>
    </row>
    <row r="1555" spans="7:97" s="246" customFormat="1" x14ac:dyDescent="0.2">
      <c r="G1555" s="2188"/>
      <c r="BS1555" s="34"/>
      <c r="BT1555" s="34"/>
      <c r="BU1555" s="34"/>
      <c r="BV1555" s="34"/>
      <c r="BW1555" s="34"/>
      <c r="BX1555" s="34"/>
      <c r="BY1555" s="34"/>
      <c r="BZ1555" s="34"/>
      <c r="CA1555" s="34"/>
      <c r="CB1555" s="34"/>
      <c r="CC1555" s="34"/>
      <c r="CD1555" s="34"/>
      <c r="CE1555" s="34"/>
      <c r="CF1555" s="34"/>
      <c r="CG1555" s="34"/>
      <c r="CH1555" s="34"/>
      <c r="CI1555" s="34"/>
      <c r="CJ1555" s="34"/>
      <c r="CK1555" s="34"/>
      <c r="CL1555" s="34"/>
      <c r="CM1555" s="34"/>
      <c r="CN1555" s="34"/>
      <c r="CO1555" s="34"/>
      <c r="CP1555" s="34"/>
      <c r="CQ1555" s="34"/>
      <c r="CR1555" s="34"/>
      <c r="CS1555" s="34"/>
    </row>
    <row r="1556" spans="7:97" s="246" customFormat="1" x14ac:dyDescent="0.2">
      <c r="G1556" s="2188"/>
      <c r="BS1556" s="34"/>
      <c r="BT1556" s="34"/>
      <c r="BU1556" s="34"/>
      <c r="BV1556" s="34"/>
      <c r="BW1556" s="34"/>
      <c r="BX1556" s="34"/>
      <c r="BY1556" s="34"/>
      <c r="BZ1556" s="34"/>
      <c r="CA1556" s="34"/>
      <c r="CB1556" s="34"/>
      <c r="CC1556" s="34"/>
      <c r="CD1556" s="34"/>
      <c r="CE1556" s="34"/>
      <c r="CF1556" s="34"/>
      <c r="CG1556" s="34"/>
      <c r="CH1556" s="34"/>
      <c r="CI1556" s="34"/>
      <c r="CJ1556" s="34"/>
      <c r="CK1556" s="34"/>
      <c r="CL1556" s="34"/>
      <c r="CM1556" s="34"/>
      <c r="CN1556" s="34"/>
      <c r="CO1556" s="34"/>
      <c r="CP1556" s="34"/>
      <c r="CQ1556" s="34"/>
      <c r="CR1556" s="34"/>
      <c r="CS1556" s="34"/>
    </row>
    <row r="1557" spans="7:97" s="246" customFormat="1" x14ac:dyDescent="0.2">
      <c r="G1557" s="2188"/>
      <c r="BS1557" s="34"/>
      <c r="BT1557" s="34"/>
      <c r="BU1557" s="34"/>
      <c r="BV1557" s="34"/>
      <c r="BW1557" s="34"/>
      <c r="BX1557" s="34"/>
      <c r="BY1557" s="34"/>
      <c r="BZ1557" s="34"/>
      <c r="CA1557" s="34"/>
      <c r="CB1557" s="34"/>
      <c r="CC1557" s="34"/>
      <c r="CD1557" s="34"/>
      <c r="CE1557" s="34"/>
      <c r="CF1557" s="34"/>
      <c r="CG1557" s="34"/>
      <c r="CH1557" s="34"/>
      <c r="CI1557" s="34"/>
      <c r="CJ1557" s="34"/>
      <c r="CK1557" s="34"/>
      <c r="CL1557" s="34"/>
      <c r="CM1557" s="34"/>
      <c r="CN1557" s="34"/>
      <c r="CO1557" s="34"/>
      <c r="CP1557" s="34"/>
      <c r="CQ1557" s="34"/>
      <c r="CR1557" s="34"/>
      <c r="CS1557" s="34"/>
    </row>
    <row r="1558" spans="7:97" s="246" customFormat="1" x14ac:dyDescent="0.2">
      <c r="G1558" s="2188"/>
      <c r="BS1558" s="34"/>
      <c r="BT1558" s="34"/>
      <c r="BU1558" s="34"/>
      <c r="BV1558" s="34"/>
      <c r="BW1558" s="34"/>
      <c r="BX1558" s="34"/>
      <c r="BY1558" s="34"/>
      <c r="BZ1558" s="34"/>
      <c r="CA1558" s="34"/>
      <c r="CB1558" s="34"/>
      <c r="CC1558" s="34"/>
      <c r="CD1558" s="34"/>
      <c r="CE1558" s="34"/>
      <c r="CF1558" s="34"/>
      <c r="CG1558" s="34"/>
      <c r="CH1558" s="34"/>
      <c r="CI1558" s="34"/>
      <c r="CJ1558" s="34"/>
      <c r="CK1558" s="34"/>
      <c r="CL1558" s="34"/>
      <c r="CM1558" s="34"/>
      <c r="CN1558" s="34"/>
      <c r="CO1558" s="34"/>
      <c r="CP1558" s="34"/>
      <c r="CQ1558" s="34"/>
      <c r="CR1558" s="34"/>
      <c r="CS1558" s="34"/>
    </row>
    <row r="1559" spans="7:97" s="246" customFormat="1" x14ac:dyDescent="0.2">
      <c r="G1559" s="2188"/>
      <c r="BS1559" s="34"/>
      <c r="BT1559" s="34"/>
      <c r="BU1559" s="34"/>
      <c r="BV1559" s="34"/>
      <c r="BW1559" s="34"/>
      <c r="BX1559" s="34"/>
      <c r="BY1559" s="34"/>
      <c r="BZ1559" s="34"/>
      <c r="CA1559" s="34"/>
      <c r="CB1559" s="34"/>
      <c r="CC1559" s="34"/>
      <c r="CD1559" s="34"/>
      <c r="CE1559" s="34"/>
      <c r="CF1559" s="34"/>
      <c r="CG1559" s="34"/>
      <c r="CH1559" s="34"/>
      <c r="CI1559" s="34"/>
      <c r="CJ1559" s="34"/>
      <c r="CK1559" s="34"/>
      <c r="CL1559" s="34"/>
      <c r="CM1559" s="34"/>
      <c r="CN1559" s="34"/>
      <c r="CO1559" s="34"/>
      <c r="CP1559" s="34"/>
      <c r="CQ1559" s="34"/>
      <c r="CR1559" s="34"/>
      <c r="CS1559" s="34"/>
    </row>
    <row r="1560" spans="7:97" s="246" customFormat="1" x14ac:dyDescent="0.2">
      <c r="G1560" s="2188"/>
      <c r="BS1560" s="34"/>
      <c r="BT1560" s="34"/>
      <c r="BU1560" s="34"/>
      <c r="BV1560" s="34"/>
      <c r="BW1560" s="34"/>
      <c r="BX1560" s="34"/>
      <c r="BY1560" s="34"/>
      <c r="BZ1560" s="34"/>
      <c r="CA1560" s="34"/>
      <c r="CB1560" s="34"/>
      <c r="CC1560" s="34"/>
      <c r="CD1560" s="34"/>
      <c r="CE1560" s="34"/>
      <c r="CF1560" s="34"/>
      <c r="CG1560" s="34"/>
      <c r="CH1560" s="34"/>
      <c r="CI1560" s="34"/>
      <c r="CJ1560" s="34"/>
      <c r="CK1560" s="34"/>
      <c r="CL1560" s="34"/>
      <c r="CM1560" s="34"/>
      <c r="CN1560" s="34"/>
      <c r="CO1560" s="34"/>
      <c r="CP1560" s="34"/>
      <c r="CQ1560" s="34"/>
      <c r="CR1560" s="34"/>
      <c r="CS1560" s="34"/>
    </row>
    <row r="1561" spans="7:97" s="246" customFormat="1" x14ac:dyDescent="0.2">
      <c r="G1561" s="2188"/>
      <c r="BS1561" s="34"/>
      <c r="BT1561" s="34"/>
      <c r="BU1561" s="34"/>
      <c r="BV1561" s="34"/>
      <c r="BW1561" s="34"/>
      <c r="BX1561" s="34"/>
      <c r="BY1561" s="34"/>
      <c r="BZ1561" s="34"/>
      <c r="CA1561" s="34"/>
      <c r="CB1561" s="34"/>
      <c r="CC1561" s="34"/>
      <c r="CD1561" s="34"/>
      <c r="CE1561" s="34"/>
      <c r="CF1561" s="34"/>
      <c r="CG1561" s="34"/>
      <c r="CH1561" s="34"/>
      <c r="CI1561" s="34"/>
      <c r="CJ1561" s="34"/>
      <c r="CK1561" s="34"/>
      <c r="CL1561" s="34"/>
      <c r="CM1561" s="34"/>
      <c r="CN1561" s="34"/>
      <c r="CO1561" s="34"/>
      <c r="CP1561" s="34"/>
      <c r="CQ1561" s="34"/>
      <c r="CR1561" s="34"/>
      <c r="CS1561" s="34"/>
    </row>
    <row r="1562" spans="7:97" s="246" customFormat="1" x14ac:dyDescent="0.2">
      <c r="G1562" s="2188"/>
      <c r="BS1562" s="34"/>
      <c r="BT1562" s="34"/>
      <c r="BU1562" s="34"/>
      <c r="BV1562" s="34"/>
      <c r="BW1562" s="34"/>
      <c r="BX1562" s="34"/>
      <c r="BY1562" s="34"/>
      <c r="BZ1562" s="34"/>
      <c r="CA1562" s="34"/>
      <c r="CB1562" s="34"/>
      <c r="CC1562" s="34"/>
      <c r="CD1562" s="34"/>
      <c r="CE1562" s="34"/>
      <c r="CF1562" s="34"/>
      <c r="CG1562" s="34"/>
      <c r="CH1562" s="34"/>
      <c r="CI1562" s="34"/>
      <c r="CJ1562" s="34"/>
      <c r="CK1562" s="34"/>
      <c r="CL1562" s="34"/>
      <c r="CM1562" s="34"/>
      <c r="CN1562" s="34"/>
      <c r="CO1562" s="34"/>
      <c r="CP1562" s="34"/>
      <c r="CQ1562" s="34"/>
      <c r="CR1562" s="34"/>
      <c r="CS1562" s="34"/>
    </row>
    <row r="1563" spans="7:97" s="246" customFormat="1" x14ac:dyDescent="0.2">
      <c r="G1563" s="2188"/>
      <c r="BS1563" s="34"/>
      <c r="BT1563" s="34"/>
      <c r="BU1563" s="34"/>
      <c r="BV1563" s="34"/>
      <c r="BW1563" s="34"/>
      <c r="BX1563" s="34"/>
      <c r="BY1563" s="34"/>
      <c r="BZ1563" s="34"/>
      <c r="CA1563" s="34"/>
      <c r="CB1563" s="34"/>
      <c r="CC1563" s="34"/>
      <c r="CD1563" s="34"/>
      <c r="CE1563" s="34"/>
      <c r="CF1563" s="34"/>
      <c r="CG1563" s="34"/>
      <c r="CH1563" s="34"/>
      <c r="CI1563" s="34"/>
      <c r="CJ1563" s="34"/>
      <c r="CK1563" s="34"/>
      <c r="CL1563" s="34"/>
      <c r="CM1563" s="34"/>
      <c r="CN1563" s="34"/>
      <c r="CO1563" s="34"/>
      <c r="CP1563" s="34"/>
      <c r="CQ1563" s="34"/>
      <c r="CR1563" s="34"/>
      <c r="CS1563" s="34"/>
    </row>
    <row r="1564" spans="7:97" s="246" customFormat="1" x14ac:dyDescent="0.2">
      <c r="G1564" s="2188"/>
      <c r="BS1564" s="34"/>
      <c r="BT1564" s="34"/>
      <c r="BU1564" s="34"/>
      <c r="BV1564" s="34"/>
      <c r="BW1564" s="34"/>
      <c r="BX1564" s="34"/>
      <c r="BY1564" s="34"/>
      <c r="BZ1564" s="34"/>
      <c r="CA1564" s="34"/>
      <c r="CB1564" s="34"/>
      <c r="CC1564" s="34"/>
      <c r="CD1564" s="34"/>
      <c r="CE1564" s="34"/>
      <c r="CF1564" s="34"/>
      <c r="CG1564" s="34"/>
      <c r="CH1564" s="34"/>
      <c r="CI1564" s="34"/>
      <c r="CJ1564" s="34"/>
      <c r="CK1564" s="34"/>
      <c r="CL1564" s="34"/>
      <c r="CM1564" s="34"/>
      <c r="CN1564" s="34"/>
      <c r="CO1564" s="34"/>
      <c r="CP1564" s="34"/>
      <c r="CQ1564" s="34"/>
      <c r="CR1564" s="34"/>
      <c r="CS1564" s="34"/>
    </row>
    <row r="1565" spans="7:97" s="246" customFormat="1" x14ac:dyDescent="0.2">
      <c r="G1565" s="2188"/>
      <c r="BS1565" s="34"/>
      <c r="BT1565" s="34"/>
      <c r="BU1565" s="34"/>
      <c r="BV1565" s="34"/>
      <c r="BW1565" s="34"/>
      <c r="BX1565" s="34"/>
      <c r="BY1565" s="34"/>
      <c r="BZ1565" s="34"/>
      <c r="CA1565" s="34"/>
      <c r="CB1565" s="34"/>
      <c r="CC1565" s="34"/>
      <c r="CD1565" s="34"/>
      <c r="CE1565" s="34"/>
      <c r="CF1565" s="34"/>
      <c r="CG1565" s="34"/>
      <c r="CH1565" s="34"/>
      <c r="CI1565" s="34"/>
      <c r="CJ1565" s="34"/>
      <c r="CK1565" s="34"/>
      <c r="CL1565" s="34"/>
      <c r="CM1565" s="34"/>
      <c r="CN1565" s="34"/>
      <c r="CO1565" s="34"/>
      <c r="CP1565" s="34"/>
      <c r="CQ1565" s="34"/>
      <c r="CR1565" s="34"/>
      <c r="CS1565" s="34"/>
    </row>
    <row r="1566" spans="7:97" s="246" customFormat="1" x14ac:dyDescent="0.2">
      <c r="G1566" s="2188"/>
      <c r="BS1566" s="34"/>
      <c r="BT1566" s="34"/>
      <c r="BU1566" s="34"/>
      <c r="BV1566" s="34"/>
      <c r="BW1566" s="34"/>
      <c r="BX1566" s="34"/>
      <c r="BY1566" s="34"/>
      <c r="BZ1566" s="34"/>
      <c r="CA1566" s="34"/>
      <c r="CB1566" s="34"/>
      <c r="CC1566" s="34"/>
      <c r="CD1566" s="34"/>
      <c r="CE1566" s="34"/>
      <c r="CF1566" s="34"/>
      <c r="CG1566" s="34"/>
      <c r="CH1566" s="34"/>
      <c r="CI1566" s="34"/>
      <c r="CJ1566" s="34"/>
      <c r="CK1566" s="34"/>
      <c r="CL1566" s="34"/>
      <c r="CM1566" s="34"/>
      <c r="CN1566" s="34"/>
      <c r="CO1566" s="34"/>
      <c r="CP1566" s="34"/>
      <c r="CQ1566" s="34"/>
      <c r="CR1566" s="34"/>
      <c r="CS1566" s="34"/>
    </row>
    <row r="1567" spans="7:97" s="246" customFormat="1" x14ac:dyDescent="0.2">
      <c r="G1567" s="2188"/>
      <c r="BS1567" s="34"/>
      <c r="BT1567" s="34"/>
      <c r="BU1567" s="34"/>
      <c r="BV1567" s="34"/>
      <c r="BW1567" s="34"/>
      <c r="BX1567" s="34"/>
      <c r="BY1567" s="34"/>
      <c r="BZ1567" s="34"/>
      <c r="CA1567" s="34"/>
      <c r="CB1567" s="34"/>
      <c r="CC1567" s="34"/>
      <c r="CD1567" s="34"/>
      <c r="CE1567" s="34"/>
      <c r="CF1567" s="34"/>
      <c r="CG1567" s="34"/>
      <c r="CH1567" s="34"/>
      <c r="CI1567" s="34"/>
      <c r="CJ1567" s="34"/>
      <c r="CK1567" s="34"/>
      <c r="CL1567" s="34"/>
      <c r="CM1567" s="34"/>
      <c r="CN1567" s="34"/>
      <c r="CO1567" s="34"/>
      <c r="CP1567" s="34"/>
      <c r="CQ1567" s="34"/>
      <c r="CR1567" s="34"/>
      <c r="CS1567" s="34"/>
    </row>
    <row r="1568" spans="7:97" s="246" customFormat="1" x14ac:dyDescent="0.2">
      <c r="G1568" s="2188"/>
      <c r="BS1568" s="34"/>
      <c r="BT1568" s="34"/>
      <c r="BU1568" s="34"/>
      <c r="BV1568" s="34"/>
      <c r="BW1568" s="34"/>
      <c r="BX1568" s="34"/>
      <c r="BY1568" s="34"/>
      <c r="BZ1568" s="34"/>
      <c r="CA1568" s="34"/>
      <c r="CB1568" s="34"/>
      <c r="CC1568" s="34"/>
      <c r="CD1568" s="34"/>
      <c r="CE1568" s="34"/>
      <c r="CF1568" s="34"/>
      <c r="CG1568" s="34"/>
      <c r="CH1568" s="34"/>
      <c r="CI1568" s="34"/>
      <c r="CJ1568" s="34"/>
      <c r="CK1568" s="34"/>
      <c r="CL1568" s="34"/>
      <c r="CM1568" s="34"/>
      <c r="CN1568" s="34"/>
      <c r="CO1568" s="34"/>
      <c r="CP1568" s="34"/>
      <c r="CQ1568" s="34"/>
      <c r="CR1568" s="34"/>
      <c r="CS1568" s="34"/>
    </row>
    <row r="1569" spans="7:97" s="246" customFormat="1" x14ac:dyDescent="0.2">
      <c r="G1569" s="2188"/>
      <c r="BS1569" s="34"/>
      <c r="BT1569" s="34"/>
      <c r="BU1569" s="34"/>
      <c r="BV1569" s="34"/>
      <c r="BW1569" s="34"/>
      <c r="BX1569" s="34"/>
      <c r="BY1569" s="34"/>
      <c r="BZ1569" s="34"/>
      <c r="CA1569" s="34"/>
      <c r="CB1569" s="34"/>
      <c r="CC1569" s="34"/>
      <c r="CD1569" s="34"/>
      <c r="CE1569" s="34"/>
      <c r="CF1569" s="34"/>
      <c r="CG1569" s="34"/>
      <c r="CH1569" s="34"/>
      <c r="CI1569" s="34"/>
      <c r="CJ1569" s="34"/>
      <c r="CK1569" s="34"/>
      <c r="CL1569" s="34"/>
      <c r="CM1569" s="34"/>
      <c r="CN1569" s="34"/>
      <c r="CO1569" s="34"/>
      <c r="CP1569" s="34"/>
      <c r="CQ1569" s="34"/>
      <c r="CR1569" s="34"/>
      <c r="CS1569" s="34"/>
    </row>
    <row r="1570" spans="7:97" s="246" customFormat="1" x14ac:dyDescent="0.2">
      <c r="G1570" s="2188"/>
      <c r="BS1570" s="34"/>
      <c r="BT1570" s="34"/>
      <c r="BU1570" s="34"/>
      <c r="BV1570" s="34"/>
      <c r="BW1570" s="34"/>
      <c r="BX1570" s="34"/>
      <c r="BY1570" s="34"/>
      <c r="BZ1570" s="34"/>
      <c r="CA1570" s="34"/>
      <c r="CB1570" s="34"/>
      <c r="CC1570" s="34"/>
      <c r="CD1570" s="34"/>
      <c r="CE1570" s="34"/>
      <c r="CF1570" s="34"/>
      <c r="CG1570" s="34"/>
      <c r="CH1570" s="34"/>
      <c r="CI1570" s="34"/>
      <c r="CJ1570" s="34"/>
      <c r="CK1570" s="34"/>
      <c r="CL1570" s="34"/>
      <c r="CM1570" s="34"/>
      <c r="CN1570" s="34"/>
      <c r="CO1570" s="34"/>
      <c r="CP1570" s="34"/>
      <c r="CQ1570" s="34"/>
      <c r="CR1570" s="34"/>
      <c r="CS1570" s="34"/>
    </row>
    <row r="1571" spans="7:97" s="246" customFormat="1" x14ac:dyDescent="0.2">
      <c r="G1571" s="2188"/>
      <c r="BS1571" s="34"/>
      <c r="BT1571" s="34"/>
      <c r="BU1571" s="34"/>
      <c r="BV1571" s="34"/>
      <c r="BW1571" s="34"/>
      <c r="BX1571" s="34"/>
      <c r="BY1571" s="34"/>
      <c r="BZ1571" s="34"/>
      <c r="CA1571" s="34"/>
      <c r="CB1571" s="34"/>
      <c r="CC1571" s="34"/>
      <c r="CD1571" s="34"/>
      <c r="CE1571" s="34"/>
      <c r="CF1571" s="34"/>
      <c r="CG1571" s="34"/>
      <c r="CH1571" s="34"/>
      <c r="CI1571" s="34"/>
      <c r="CJ1571" s="34"/>
      <c r="CK1571" s="34"/>
      <c r="CL1571" s="34"/>
      <c r="CM1571" s="34"/>
      <c r="CN1571" s="34"/>
      <c r="CO1571" s="34"/>
      <c r="CP1571" s="34"/>
      <c r="CQ1571" s="34"/>
      <c r="CR1571" s="34"/>
      <c r="CS1571" s="34"/>
    </row>
    <row r="1572" spans="7:97" s="246" customFormat="1" x14ac:dyDescent="0.2">
      <c r="G1572" s="2188"/>
      <c r="BS1572" s="34"/>
      <c r="BT1572" s="34"/>
      <c r="BU1572" s="34"/>
      <c r="BV1572" s="34"/>
      <c r="BW1572" s="34"/>
      <c r="BX1572" s="34"/>
      <c r="BY1572" s="34"/>
      <c r="BZ1572" s="34"/>
      <c r="CA1572" s="34"/>
      <c r="CB1572" s="34"/>
      <c r="CC1572" s="34"/>
      <c r="CD1572" s="34"/>
      <c r="CE1572" s="34"/>
      <c r="CF1572" s="34"/>
      <c r="CG1572" s="34"/>
      <c r="CH1572" s="34"/>
      <c r="CI1572" s="34"/>
      <c r="CJ1572" s="34"/>
      <c r="CK1572" s="34"/>
      <c r="CL1572" s="34"/>
      <c r="CM1572" s="34"/>
      <c r="CN1572" s="34"/>
      <c r="CO1572" s="34"/>
      <c r="CP1572" s="34"/>
      <c r="CQ1572" s="34"/>
      <c r="CR1572" s="34"/>
      <c r="CS1572" s="34"/>
    </row>
    <row r="1573" spans="7:97" s="246" customFormat="1" x14ac:dyDescent="0.2">
      <c r="G1573" s="2188"/>
      <c r="BS1573" s="34"/>
      <c r="BT1573" s="34"/>
      <c r="BU1573" s="34"/>
      <c r="BV1573" s="34"/>
      <c r="BW1573" s="34"/>
      <c r="BX1573" s="34"/>
      <c r="BY1573" s="34"/>
      <c r="BZ1573" s="34"/>
      <c r="CA1573" s="34"/>
      <c r="CB1573" s="34"/>
      <c r="CC1573" s="34"/>
      <c r="CD1573" s="34"/>
      <c r="CE1573" s="34"/>
      <c r="CF1573" s="34"/>
      <c r="CG1573" s="34"/>
      <c r="CH1573" s="34"/>
      <c r="CI1573" s="34"/>
      <c r="CJ1573" s="34"/>
      <c r="CK1573" s="34"/>
      <c r="CL1573" s="34"/>
      <c r="CM1573" s="34"/>
      <c r="CN1573" s="34"/>
      <c r="CO1573" s="34"/>
      <c r="CP1573" s="34"/>
      <c r="CQ1573" s="34"/>
      <c r="CR1573" s="34"/>
      <c r="CS1573" s="34"/>
    </row>
    <row r="1574" spans="7:97" s="246" customFormat="1" x14ac:dyDescent="0.2">
      <c r="G1574" s="2188"/>
      <c r="BS1574" s="34"/>
      <c r="BT1574" s="34"/>
      <c r="BU1574" s="34"/>
      <c r="BV1574" s="34"/>
      <c r="BW1574" s="34"/>
      <c r="BX1574" s="34"/>
      <c r="BY1574" s="34"/>
      <c r="BZ1574" s="34"/>
      <c r="CA1574" s="34"/>
      <c r="CB1574" s="34"/>
      <c r="CC1574" s="34"/>
      <c r="CD1574" s="34"/>
      <c r="CE1574" s="34"/>
      <c r="CF1574" s="34"/>
      <c r="CG1574" s="34"/>
      <c r="CH1574" s="34"/>
      <c r="CI1574" s="34"/>
      <c r="CJ1574" s="34"/>
      <c r="CK1574" s="34"/>
      <c r="CL1574" s="34"/>
      <c r="CM1574" s="34"/>
      <c r="CN1574" s="34"/>
      <c r="CO1574" s="34"/>
      <c r="CP1574" s="34"/>
      <c r="CQ1574" s="34"/>
      <c r="CR1574" s="34"/>
      <c r="CS1574" s="34"/>
    </row>
    <row r="1575" spans="7:97" s="246" customFormat="1" x14ac:dyDescent="0.2">
      <c r="G1575" s="2188"/>
      <c r="BS1575" s="34"/>
      <c r="BT1575" s="34"/>
      <c r="BU1575" s="34"/>
      <c r="BV1575" s="34"/>
      <c r="BW1575" s="34"/>
      <c r="BX1575" s="34"/>
      <c r="BY1575" s="34"/>
      <c r="BZ1575" s="34"/>
      <c r="CA1575" s="34"/>
      <c r="CB1575" s="34"/>
      <c r="CC1575" s="34"/>
      <c r="CD1575" s="34"/>
      <c r="CE1575" s="34"/>
      <c r="CF1575" s="34"/>
      <c r="CG1575" s="34"/>
      <c r="CH1575" s="34"/>
      <c r="CI1575" s="34"/>
      <c r="CJ1575" s="34"/>
      <c r="CK1575" s="34"/>
      <c r="CL1575" s="34"/>
      <c r="CM1575" s="34"/>
      <c r="CN1575" s="34"/>
      <c r="CO1575" s="34"/>
      <c r="CP1575" s="34"/>
      <c r="CQ1575" s="34"/>
      <c r="CR1575" s="34"/>
      <c r="CS1575" s="34"/>
    </row>
    <row r="1576" spans="7:97" s="246" customFormat="1" x14ac:dyDescent="0.2">
      <c r="G1576" s="2188"/>
      <c r="BS1576" s="34"/>
      <c r="BT1576" s="34"/>
      <c r="BU1576" s="34"/>
      <c r="BV1576" s="34"/>
      <c r="BW1576" s="34"/>
      <c r="BX1576" s="34"/>
      <c r="BY1576" s="34"/>
      <c r="BZ1576" s="34"/>
      <c r="CA1576" s="34"/>
      <c r="CB1576" s="34"/>
      <c r="CC1576" s="34"/>
      <c r="CD1576" s="34"/>
      <c r="CE1576" s="34"/>
      <c r="CF1576" s="34"/>
      <c r="CG1576" s="34"/>
      <c r="CH1576" s="34"/>
      <c r="CI1576" s="34"/>
      <c r="CJ1576" s="34"/>
      <c r="CK1576" s="34"/>
      <c r="CL1576" s="34"/>
      <c r="CM1576" s="34"/>
      <c r="CN1576" s="34"/>
      <c r="CO1576" s="34"/>
      <c r="CP1576" s="34"/>
      <c r="CQ1576" s="34"/>
      <c r="CR1576" s="34"/>
      <c r="CS1576" s="34"/>
    </row>
    <row r="1577" spans="7:97" s="246" customFormat="1" x14ac:dyDescent="0.2">
      <c r="G1577" s="2188"/>
      <c r="BS1577" s="34"/>
      <c r="BT1577" s="34"/>
      <c r="BU1577" s="34"/>
      <c r="BV1577" s="34"/>
      <c r="BW1577" s="34"/>
      <c r="BX1577" s="34"/>
      <c r="BY1577" s="34"/>
      <c r="BZ1577" s="34"/>
      <c r="CA1577" s="34"/>
      <c r="CB1577" s="34"/>
      <c r="CC1577" s="34"/>
      <c r="CD1577" s="34"/>
      <c r="CE1577" s="34"/>
      <c r="CF1577" s="34"/>
      <c r="CG1577" s="34"/>
      <c r="CH1577" s="34"/>
      <c r="CI1577" s="34"/>
      <c r="CJ1577" s="34"/>
      <c r="CK1577" s="34"/>
      <c r="CL1577" s="34"/>
      <c r="CM1577" s="34"/>
      <c r="CN1577" s="34"/>
      <c r="CO1577" s="34"/>
      <c r="CP1577" s="34"/>
      <c r="CQ1577" s="34"/>
      <c r="CR1577" s="34"/>
      <c r="CS1577" s="34"/>
    </row>
    <row r="1578" spans="7:97" s="246" customFormat="1" x14ac:dyDescent="0.2">
      <c r="G1578" s="2188"/>
      <c r="BS1578" s="34"/>
      <c r="BT1578" s="34"/>
      <c r="BU1578" s="34"/>
      <c r="BV1578" s="34"/>
      <c r="BW1578" s="34"/>
      <c r="BX1578" s="34"/>
      <c r="BY1578" s="34"/>
      <c r="BZ1578" s="34"/>
      <c r="CA1578" s="34"/>
      <c r="CB1578" s="34"/>
      <c r="CC1578" s="34"/>
      <c r="CD1578" s="34"/>
      <c r="CE1578" s="34"/>
      <c r="CF1578" s="34"/>
      <c r="CG1578" s="34"/>
      <c r="CH1578" s="34"/>
      <c r="CI1578" s="34"/>
      <c r="CJ1578" s="34"/>
      <c r="CK1578" s="34"/>
      <c r="CL1578" s="34"/>
      <c r="CM1578" s="34"/>
      <c r="CN1578" s="34"/>
      <c r="CO1578" s="34"/>
      <c r="CP1578" s="34"/>
      <c r="CQ1578" s="34"/>
      <c r="CR1578" s="34"/>
      <c r="CS1578" s="34"/>
    </row>
    <row r="1579" spans="7:97" s="246" customFormat="1" x14ac:dyDescent="0.2">
      <c r="G1579" s="2188"/>
      <c r="BS1579" s="34"/>
      <c r="BT1579" s="34"/>
      <c r="BU1579" s="34"/>
      <c r="BV1579" s="34"/>
      <c r="BW1579" s="34"/>
      <c r="BX1579" s="34"/>
      <c r="BY1579" s="34"/>
      <c r="BZ1579" s="34"/>
      <c r="CA1579" s="34"/>
      <c r="CB1579" s="34"/>
      <c r="CC1579" s="34"/>
      <c r="CD1579" s="34"/>
      <c r="CE1579" s="34"/>
      <c r="CF1579" s="34"/>
      <c r="CG1579" s="34"/>
      <c r="CH1579" s="34"/>
      <c r="CI1579" s="34"/>
      <c r="CJ1579" s="34"/>
      <c r="CK1579" s="34"/>
      <c r="CL1579" s="34"/>
      <c r="CM1579" s="34"/>
      <c r="CN1579" s="34"/>
      <c r="CO1579" s="34"/>
      <c r="CP1579" s="34"/>
      <c r="CQ1579" s="34"/>
      <c r="CR1579" s="34"/>
      <c r="CS1579" s="34"/>
    </row>
    <row r="1580" spans="7:97" s="246" customFormat="1" x14ac:dyDescent="0.2">
      <c r="G1580" s="2188"/>
      <c r="BS1580" s="34"/>
      <c r="BT1580" s="34"/>
      <c r="BU1580" s="34"/>
      <c r="BV1580" s="34"/>
      <c r="BW1580" s="34"/>
      <c r="BX1580" s="34"/>
      <c r="BY1580" s="34"/>
      <c r="BZ1580" s="34"/>
      <c r="CA1580" s="34"/>
      <c r="CB1580" s="34"/>
      <c r="CC1580" s="34"/>
      <c r="CD1580" s="34"/>
      <c r="CE1580" s="34"/>
      <c r="CF1580" s="34"/>
      <c r="CG1580" s="34"/>
      <c r="CH1580" s="34"/>
      <c r="CI1580" s="34"/>
      <c r="CJ1580" s="34"/>
      <c r="CK1580" s="34"/>
      <c r="CL1580" s="34"/>
      <c r="CM1580" s="34"/>
      <c r="CN1580" s="34"/>
      <c r="CO1580" s="34"/>
      <c r="CP1580" s="34"/>
      <c r="CQ1580" s="34"/>
      <c r="CR1580" s="34"/>
      <c r="CS1580" s="34"/>
    </row>
    <row r="1581" spans="7:97" s="246" customFormat="1" x14ac:dyDescent="0.2">
      <c r="G1581" s="2188"/>
      <c r="BS1581" s="34"/>
      <c r="BT1581" s="34"/>
      <c r="BU1581" s="34"/>
      <c r="BV1581" s="34"/>
      <c r="BW1581" s="34"/>
      <c r="BX1581" s="34"/>
      <c r="BY1581" s="34"/>
      <c r="BZ1581" s="34"/>
      <c r="CA1581" s="34"/>
      <c r="CB1581" s="34"/>
      <c r="CC1581" s="34"/>
      <c r="CD1581" s="34"/>
      <c r="CE1581" s="34"/>
      <c r="CF1581" s="34"/>
      <c r="CG1581" s="34"/>
      <c r="CH1581" s="34"/>
      <c r="CI1581" s="34"/>
      <c r="CJ1581" s="34"/>
      <c r="CK1581" s="34"/>
      <c r="CL1581" s="34"/>
      <c r="CM1581" s="34"/>
      <c r="CN1581" s="34"/>
      <c r="CO1581" s="34"/>
      <c r="CP1581" s="34"/>
      <c r="CQ1581" s="34"/>
      <c r="CR1581" s="34"/>
      <c r="CS1581" s="34"/>
    </row>
    <row r="1582" spans="7:97" s="246" customFormat="1" x14ac:dyDescent="0.2">
      <c r="G1582" s="2188"/>
      <c r="BS1582" s="34"/>
      <c r="BT1582" s="34"/>
      <c r="BU1582" s="34"/>
      <c r="BV1582" s="34"/>
      <c r="BW1582" s="34"/>
      <c r="BX1582" s="34"/>
      <c r="BY1582" s="34"/>
      <c r="BZ1582" s="34"/>
      <c r="CA1582" s="34"/>
      <c r="CB1582" s="34"/>
      <c r="CC1582" s="34"/>
      <c r="CD1582" s="34"/>
      <c r="CE1582" s="34"/>
      <c r="CF1582" s="34"/>
      <c r="CG1582" s="34"/>
      <c r="CH1582" s="34"/>
      <c r="CI1582" s="34"/>
      <c r="CJ1582" s="34"/>
      <c r="CK1582" s="34"/>
      <c r="CL1582" s="34"/>
      <c r="CM1582" s="34"/>
      <c r="CN1582" s="34"/>
      <c r="CO1582" s="34"/>
      <c r="CP1582" s="34"/>
      <c r="CQ1582" s="34"/>
      <c r="CR1582" s="34"/>
      <c r="CS1582" s="34"/>
    </row>
    <row r="1583" spans="7:97" s="246" customFormat="1" x14ac:dyDescent="0.2">
      <c r="G1583" s="2188"/>
      <c r="BS1583" s="34"/>
      <c r="BT1583" s="34"/>
      <c r="BU1583" s="34"/>
      <c r="BV1583" s="34"/>
      <c r="BW1583" s="34"/>
      <c r="BX1583" s="34"/>
      <c r="BY1583" s="34"/>
      <c r="BZ1583" s="34"/>
      <c r="CA1583" s="34"/>
      <c r="CB1583" s="34"/>
      <c r="CC1583" s="34"/>
      <c r="CD1583" s="34"/>
      <c r="CE1583" s="34"/>
      <c r="CF1583" s="34"/>
      <c r="CG1583" s="34"/>
      <c r="CH1583" s="34"/>
      <c r="CI1583" s="34"/>
      <c r="CJ1583" s="34"/>
      <c r="CK1583" s="34"/>
      <c r="CL1583" s="34"/>
      <c r="CM1583" s="34"/>
      <c r="CN1583" s="34"/>
      <c r="CO1583" s="34"/>
      <c r="CP1583" s="34"/>
      <c r="CQ1583" s="34"/>
      <c r="CR1583" s="34"/>
      <c r="CS1583" s="34"/>
    </row>
    <row r="1584" spans="7:97" s="246" customFormat="1" x14ac:dyDescent="0.2">
      <c r="G1584" s="2188"/>
      <c r="BS1584" s="34"/>
      <c r="BT1584" s="34"/>
      <c r="BU1584" s="34"/>
      <c r="BV1584" s="34"/>
      <c r="BW1584" s="34"/>
      <c r="BX1584" s="34"/>
      <c r="BY1584" s="34"/>
      <c r="BZ1584" s="34"/>
      <c r="CA1584" s="34"/>
      <c r="CB1584" s="34"/>
      <c r="CC1584" s="34"/>
      <c r="CD1584" s="34"/>
      <c r="CE1584" s="34"/>
      <c r="CF1584" s="34"/>
      <c r="CG1584" s="34"/>
      <c r="CH1584" s="34"/>
      <c r="CI1584" s="34"/>
      <c r="CJ1584" s="34"/>
      <c r="CK1584" s="34"/>
      <c r="CL1584" s="34"/>
      <c r="CM1584" s="34"/>
      <c r="CN1584" s="34"/>
      <c r="CO1584" s="34"/>
      <c r="CP1584" s="34"/>
      <c r="CQ1584" s="34"/>
      <c r="CR1584" s="34"/>
      <c r="CS1584" s="34"/>
    </row>
    <row r="1585" spans="7:97" s="246" customFormat="1" x14ac:dyDescent="0.2">
      <c r="G1585" s="2188"/>
      <c r="BS1585" s="34"/>
      <c r="BT1585" s="34"/>
      <c r="BU1585" s="34"/>
      <c r="BV1585" s="34"/>
      <c r="BW1585" s="34"/>
      <c r="BX1585" s="34"/>
      <c r="BY1585" s="34"/>
      <c r="BZ1585" s="34"/>
      <c r="CA1585" s="34"/>
      <c r="CB1585" s="34"/>
      <c r="CC1585" s="34"/>
      <c r="CD1585" s="34"/>
      <c r="CE1585" s="34"/>
      <c r="CF1585" s="34"/>
      <c r="CG1585" s="34"/>
      <c r="CH1585" s="34"/>
      <c r="CI1585" s="34"/>
      <c r="CJ1585" s="34"/>
      <c r="CK1585" s="34"/>
      <c r="CL1585" s="34"/>
      <c r="CM1585" s="34"/>
      <c r="CN1585" s="34"/>
      <c r="CO1585" s="34"/>
      <c r="CP1585" s="34"/>
      <c r="CQ1585" s="34"/>
      <c r="CR1585" s="34"/>
      <c r="CS1585" s="34"/>
    </row>
    <row r="1586" spans="7:97" s="246" customFormat="1" x14ac:dyDescent="0.2">
      <c r="G1586" s="2188"/>
      <c r="BS1586" s="34"/>
      <c r="BT1586" s="34"/>
      <c r="BU1586" s="34"/>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row>
    <row r="1587" spans="7:97" s="246" customFormat="1" x14ac:dyDescent="0.2">
      <c r="G1587" s="2188"/>
      <c r="BS1587" s="34"/>
      <c r="BT1587" s="34"/>
      <c r="BU1587" s="34"/>
      <c r="BV1587" s="34"/>
      <c r="BW1587" s="34"/>
      <c r="BX1587" s="34"/>
      <c r="BY1587" s="34"/>
      <c r="BZ1587" s="34"/>
      <c r="CA1587" s="34"/>
      <c r="CB1587" s="34"/>
      <c r="CC1587" s="34"/>
      <c r="CD1587" s="34"/>
      <c r="CE1587" s="34"/>
      <c r="CF1587" s="34"/>
      <c r="CG1587" s="34"/>
      <c r="CH1587" s="34"/>
      <c r="CI1587" s="34"/>
      <c r="CJ1587" s="34"/>
      <c r="CK1587" s="34"/>
      <c r="CL1587" s="34"/>
      <c r="CM1587" s="34"/>
      <c r="CN1587" s="34"/>
      <c r="CO1587" s="34"/>
      <c r="CP1587" s="34"/>
      <c r="CQ1587" s="34"/>
      <c r="CR1587" s="34"/>
      <c r="CS1587" s="34"/>
    </row>
    <row r="1588" spans="7:97" s="246" customFormat="1" x14ac:dyDescent="0.2">
      <c r="G1588" s="2188"/>
      <c r="BS1588" s="34"/>
      <c r="BT1588" s="34"/>
      <c r="BU1588" s="34"/>
      <c r="BV1588" s="34"/>
      <c r="BW1588" s="34"/>
      <c r="BX1588" s="34"/>
      <c r="BY1588" s="34"/>
      <c r="BZ1588" s="34"/>
      <c r="CA1588" s="34"/>
      <c r="CB1588" s="34"/>
      <c r="CC1588" s="34"/>
      <c r="CD1588" s="34"/>
      <c r="CE1588" s="34"/>
      <c r="CF1588" s="34"/>
      <c r="CG1588" s="34"/>
      <c r="CH1588" s="34"/>
      <c r="CI1588" s="34"/>
      <c r="CJ1588" s="34"/>
      <c r="CK1588" s="34"/>
      <c r="CL1588" s="34"/>
      <c r="CM1588" s="34"/>
      <c r="CN1588" s="34"/>
      <c r="CO1588" s="34"/>
      <c r="CP1588" s="34"/>
      <c r="CQ1588" s="34"/>
      <c r="CR1588" s="34"/>
      <c r="CS1588" s="34"/>
    </row>
    <row r="1589" spans="7:97" s="246" customFormat="1" x14ac:dyDescent="0.2">
      <c r="G1589" s="2188"/>
      <c r="BS1589" s="34"/>
      <c r="BT1589" s="34"/>
      <c r="BU1589" s="34"/>
      <c r="BV1589" s="34"/>
      <c r="BW1589" s="34"/>
      <c r="BX1589" s="34"/>
      <c r="BY1589" s="34"/>
      <c r="BZ1589" s="34"/>
      <c r="CA1589" s="34"/>
      <c r="CB1589" s="34"/>
      <c r="CC1589" s="34"/>
      <c r="CD1589" s="34"/>
      <c r="CE1589" s="34"/>
      <c r="CF1589" s="34"/>
      <c r="CG1589" s="34"/>
      <c r="CH1589" s="34"/>
      <c r="CI1589" s="34"/>
      <c r="CJ1589" s="34"/>
      <c r="CK1589" s="34"/>
      <c r="CL1589" s="34"/>
      <c r="CM1589" s="34"/>
      <c r="CN1589" s="34"/>
      <c r="CO1589" s="34"/>
      <c r="CP1589" s="34"/>
      <c r="CQ1589" s="34"/>
      <c r="CR1589" s="34"/>
      <c r="CS1589" s="34"/>
    </row>
    <row r="1590" spans="7:97" s="246" customFormat="1" x14ac:dyDescent="0.2">
      <c r="G1590" s="2188"/>
      <c r="BS1590" s="34"/>
      <c r="BT1590" s="34"/>
      <c r="BU1590" s="34"/>
      <c r="BV1590" s="34"/>
      <c r="BW1590" s="34"/>
      <c r="BX1590" s="34"/>
      <c r="BY1590" s="34"/>
      <c r="BZ1590" s="34"/>
      <c r="CA1590" s="34"/>
      <c r="CB1590" s="34"/>
      <c r="CC1590" s="34"/>
      <c r="CD1590" s="34"/>
      <c r="CE1590" s="34"/>
      <c r="CF1590" s="34"/>
      <c r="CG1590" s="34"/>
      <c r="CH1590" s="34"/>
      <c r="CI1590" s="34"/>
      <c r="CJ1590" s="34"/>
      <c r="CK1590" s="34"/>
      <c r="CL1590" s="34"/>
      <c r="CM1590" s="34"/>
      <c r="CN1590" s="34"/>
      <c r="CO1590" s="34"/>
      <c r="CP1590" s="34"/>
      <c r="CQ1590" s="34"/>
      <c r="CR1590" s="34"/>
      <c r="CS1590" s="34"/>
    </row>
    <row r="1591" spans="7:97" s="246" customFormat="1" x14ac:dyDescent="0.2">
      <c r="G1591" s="2188"/>
      <c r="BS1591" s="34"/>
      <c r="BT1591" s="34"/>
      <c r="BU1591" s="34"/>
      <c r="BV1591" s="34"/>
      <c r="BW1591" s="34"/>
      <c r="BX1591" s="34"/>
      <c r="BY1591" s="34"/>
      <c r="BZ1591" s="34"/>
      <c r="CA1591" s="34"/>
      <c r="CB1591" s="34"/>
      <c r="CC1591" s="34"/>
      <c r="CD1591" s="34"/>
      <c r="CE1591" s="34"/>
      <c r="CF1591" s="34"/>
      <c r="CG1591" s="34"/>
      <c r="CH1591" s="34"/>
      <c r="CI1591" s="34"/>
      <c r="CJ1591" s="34"/>
      <c r="CK1591" s="34"/>
      <c r="CL1591" s="34"/>
      <c r="CM1591" s="34"/>
      <c r="CN1591" s="34"/>
      <c r="CO1591" s="34"/>
      <c r="CP1591" s="34"/>
      <c r="CQ1591" s="34"/>
      <c r="CR1591" s="34"/>
      <c r="CS1591" s="34"/>
    </row>
    <row r="1592" spans="7:97" s="246" customFormat="1" x14ac:dyDescent="0.2">
      <c r="G1592" s="2188"/>
      <c r="BS1592" s="34"/>
      <c r="BT1592" s="34"/>
      <c r="BU1592" s="34"/>
      <c r="BV1592" s="34"/>
      <c r="BW1592" s="34"/>
      <c r="BX1592" s="34"/>
      <c r="BY1592" s="34"/>
      <c r="BZ1592" s="34"/>
      <c r="CA1592" s="34"/>
      <c r="CB1592" s="34"/>
      <c r="CC1592" s="34"/>
      <c r="CD1592" s="34"/>
      <c r="CE1592" s="34"/>
      <c r="CF1592" s="34"/>
      <c r="CG1592" s="34"/>
      <c r="CH1592" s="34"/>
      <c r="CI1592" s="34"/>
      <c r="CJ1592" s="34"/>
      <c r="CK1592" s="34"/>
      <c r="CL1592" s="34"/>
      <c r="CM1592" s="34"/>
      <c r="CN1592" s="34"/>
      <c r="CO1592" s="34"/>
      <c r="CP1592" s="34"/>
      <c r="CQ1592" s="34"/>
      <c r="CR1592" s="34"/>
      <c r="CS1592" s="34"/>
    </row>
    <row r="1593" spans="7:97" s="246" customFormat="1" x14ac:dyDescent="0.2">
      <c r="G1593" s="2188"/>
      <c r="BS1593" s="34"/>
      <c r="BT1593" s="34"/>
      <c r="BU1593" s="34"/>
      <c r="BV1593" s="34"/>
      <c r="BW1593" s="34"/>
      <c r="BX1593" s="34"/>
      <c r="BY1593" s="34"/>
      <c r="BZ1593" s="34"/>
      <c r="CA1593" s="34"/>
      <c r="CB1593" s="34"/>
      <c r="CC1593" s="34"/>
      <c r="CD1593" s="34"/>
      <c r="CE1593" s="34"/>
      <c r="CF1593" s="34"/>
      <c r="CG1593" s="34"/>
      <c r="CH1593" s="34"/>
      <c r="CI1593" s="34"/>
      <c r="CJ1593" s="34"/>
      <c r="CK1593" s="34"/>
      <c r="CL1593" s="34"/>
      <c r="CM1593" s="34"/>
      <c r="CN1593" s="34"/>
      <c r="CO1593" s="34"/>
      <c r="CP1593" s="34"/>
      <c r="CQ1593" s="34"/>
      <c r="CR1593" s="34"/>
      <c r="CS1593" s="34"/>
    </row>
    <row r="1594" spans="7:97" s="246" customFormat="1" x14ac:dyDescent="0.2">
      <c r="G1594" s="2188"/>
      <c r="BS1594" s="34"/>
      <c r="BT1594" s="34"/>
      <c r="BU1594" s="34"/>
      <c r="BV1594" s="34"/>
      <c r="BW1594" s="34"/>
      <c r="BX1594" s="34"/>
      <c r="BY1594" s="34"/>
      <c r="BZ1594" s="34"/>
      <c r="CA1594" s="34"/>
      <c r="CB1594" s="34"/>
      <c r="CC1594" s="34"/>
      <c r="CD1594" s="34"/>
      <c r="CE1594" s="34"/>
      <c r="CF1594" s="34"/>
      <c r="CG1594" s="34"/>
      <c r="CH1594" s="34"/>
      <c r="CI1594" s="34"/>
      <c r="CJ1594" s="34"/>
      <c r="CK1594" s="34"/>
      <c r="CL1594" s="34"/>
      <c r="CM1594" s="34"/>
      <c r="CN1594" s="34"/>
      <c r="CO1594" s="34"/>
      <c r="CP1594" s="34"/>
      <c r="CQ1594" s="34"/>
      <c r="CR1594" s="34"/>
      <c r="CS1594" s="34"/>
    </row>
    <row r="1595" spans="7:97" s="246" customFormat="1" x14ac:dyDescent="0.2">
      <c r="G1595" s="2188"/>
      <c r="BS1595" s="34"/>
      <c r="BT1595" s="34"/>
      <c r="BU1595" s="34"/>
      <c r="BV1595" s="34"/>
      <c r="BW1595" s="34"/>
      <c r="BX1595" s="34"/>
      <c r="BY1595" s="34"/>
      <c r="BZ1595" s="34"/>
      <c r="CA1595" s="34"/>
      <c r="CB1595" s="34"/>
      <c r="CC1595" s="34"/>
      <c r="CD1595" s="34"/>
      <c r="CE1595" s="34"/>
      <c r="CF1595" s="34"/>
      <c r="CG1595" s="34"/>
      <c r="CH1595" s="34"/>
      <c r="CI1595" s="34"/>
      <c r="CJ1595" s="34"/>
      <c r="CK1595" s="34"/>
      <c r="CL1595" s="34"/>
      <c r="CM1595" s="34"/>
      <c r="CN1595" s="34"/>
      <c r="CO1595" s="34"/>
      <c r="CP1595" s="34"/>
      <c r="CQ1595" s="34"/>
      <c r="CR1595" s="34"/>
      <c r="CS1595" s="34"/>
    </row>
    <row r="1596" spans="7:97" s="246" customFormat="1" x14ac:dyDescent="0.2">
      <c r="G1596" s="2188"/>
      <c r="BS1596" s="34"/>
      <c r="BT1596" s="34"/>
      <c r="BU1596" s="34"/>
      <c r="BV1596" s="34"/>
      <c r="BW1596" s="34"/>
      <c r="BX1596" s="34"/>
      <c r="BY1596" s="34"/>
      <c r="BZ1596" s="34"/>
      <c r="CA1596" s="34"/>
      <c r="CB1596" s="34"/>
      <c r="CC1596" s="34"/>
      <c r="CD1596" s="34"/>
      <c r="CE1596" s="34"/>
      <c r="CF1596" s="34"/>
      <c r="CG1596" s="34"/>
      <c r="CH1596" s="34"/>
      <c r="CI1596" s="34"/>
      <c r="CJ1596" s="34"/>
      <c r="CK1596" s="34"/>
      <c r="CL1596" s="34"/>
      <c r="CM1596" s="34"/>
      <c r="CN1596" s="34"/>
      <c r="CO1596" s="34"/>
      <c r="CP1596" s="34"/>
      <c r="CQ1596" s="34"/>
      <c r="CR1596" s="34"/>
      <c r="CS1596" s="34"/>
    </row>
    <row r="1597" spans="7:97" s="246" customFormat="1" x14ac:dyDescent="0.2">
      <c r="G1597" s="2188"/>
      <c r="BS1597" s="34"/>
      <c r="BT1597" s="34"/>
      <c r="BU1597" s="34"/>
      <c r="BV1597" s="34"/>
      <c r="BW1597" s="34"/>
      <c r="BX1597" s="34"/>
      <c r="BY1597" s="34"/>
      <c r="BZ1597" s="34"/>
      <c r="CA1597" s="34"/>
      <c r="CB1597" s="34"/>
      <c r="CC1597" s="34"/>
      <c r="CD1597" s="34"/>
      <c r="CE1597" s="34"/>
      <c r="CF1597" s="34"/>
      <c r="CG1597" s="34"/>
      <c r="CH1597" s="34"/>
      <c r="CI1597" s="34"/>
      <c r="CJ1597" s="34"/>
      <c r="CK1597" s="34"/>
      <c r="CL1597" s="34"/>
      <c r="CM1597" s="34"/>
      <c r="CN1597" s="34"/>
      <c r="CO1597" s="34"/>
      <c r="CP1597" s="34"/>
      <c r="CQ1597" s="34"/>
      <c r="CR1597" s="34"/>
      <c r="CS1597" s="34"/>
    </row>
    <row r="1598" spans="7:97" s="246" customFormat="1" x14ac:dyDescent="0.2">
      <c r="G1598" s="2188"/>
      <c r="BS1598" s="34"/>
      <c r="BT1598" s="34"/>
      <c r="BU1598" s="34"/>
      <c r="BV1598" s="34"/>
      <c r="BW1598" s="34"/>
      <c r="BX1598" s="34"/>
      <c r="BY1598" s="34"/>
      <c r="BZ1598" s="34"/>
      <c r="CA1598" s="34"/>
      <c r="CB1598" s="34"/>
      <c r="CC1598" s="34"/>
      <c r="CD1598" s="34"/>
      <c r="CE1598" s="34"/>
      <c r="CF1598" s="34"/>
      <c r="CG1598" s="34"/>
      <c r="CH1598" s="34"/>
      <c r="CI1598" s="34"/>
      <c r="CJ1598" s="34"/>
      <c r="CK1598" s="34"/>
      <c r="CL1598" s="34"/>
      <c r="CM1598" s="34"/>
      <c r="CN1598" s="34"/>
      <c r="CO1598" s="34"/>
      <c r="CP1598" s="34"/>
      <c r="CQ1598" s="34"/>
      <c r="CR1598" s="34"/>
      <c r="CS1598" s="34"/>
    </row>
    <row r="1599" spans="7:97" s="246" customFormat="1" x14ac:dyDescent="0.2">
      <c r="G1599" s="2188"/>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row>
    <row r="1600" spans="7:97" s="246" customFormat="1" x14ac:dyDescent="0.2">
      <c r="G1600" s="2188"/>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row>
    <row r="1601" spans="7:97" s="246" customFormat="1" x14ac:dyDescent="0.2">
      <c r="G1601" s="2188"/>
      <c r="BS1601" s="34"/>
      <c r="BT1601" s="34"/>
      <c r="BU1601" s="34"/>
      <c r="BV1601" s="34"/>
      <c r="BW1601" s="34"/>
      <c r="BX1601" s="34"/>
      <c r="BY1601" s="34"/>
      <c r="BZ1601" s="34"/>
      <c r="CA1601" s="34"/>
      <c r="CB1601" s="34"/>
      <c r="CC1601" s="34"/>
      <c r="CD1601" s="34"/>
      <c r="CE1601" s="34"/>
      <c r="CF1601" s="34"/>
      <c r="CG1601" s="34"/>
      <c r="CH1601" s="34"/>
      <c r="CI1601" s="34"/>
      <c r="CJ1601" s="34"/>
      <c r="CK1601" s="34"/>
      <c r="CL1601" s="34"/>
      <c r="CM1601" s="34"/>
      <c r="CN1601" s="34"/>
      <c r="CO1601" s="34"/>
      <c r="CP1601" s="34"/>
      <c r="CQ1601" s="34"/>
      <c r="CR1601" s="34"/>
      <c r="CS1601" s="34"/>
    </row>
    <row r="1602" spans="7:97" s="246" customFormat="1" x14ac:dyDescent="0.2">
      <c r="G1602" s="2188"/>
      <c r="BS1602" s="34"/>
      <c r="BT1602" s="34"/>
      <c r="BU1602" s="34"/>
      <c r="BV1602" s="34"/>
      <c r="BW1602" s="34"/>
      <c r="BX1602" s="34"/>
      <c r="BY1602" s="34"/>
      <c r="BZ1602" s="34"/>
      <c r="CA1602" s="34"/>
      <c r="CB1602" s="34"/>
      <c r="CC1602" s="34"/>
      <c r="CD1602" s="34"/>
      <c r="CE1602" s="34"/>
      <c r="CF1602" s="34"/>
      <c r="CG1602" s="34"/>
      <c r="CH1602" s="34"/>
      <c r="CI1602" s="34"/>
      <c r="CJ1602" s="34"/>
      <c r="CK1602" s="34"/>
      <c r="CL1602" s="34"/>
      <c r="CM1602" s="34"/>
      <c r="CN1602" s="34"/>
      <c r="CO1602" s="34"/>
      <c r="CP1602" s="34"/>
      <c r="CQ1602" s="34"/>
      <c r="CR1602" s="34"/>
      <c r="CS1602" s="34"/>
    </row>
    <row r="1603" spans="7:97" s="246" customFormat="1" x14ac:dyDescent="0.2">
      <c r="G1603" s="2188"/>
      <c r="BS1603" s="34"/>
      <c r="BT1603" s="34"/>
      <c r="BU1603" s="34"/>
      <c r="BV1603" s="34"/>
      <c r="BW1603" s="34"/>
      <c r="BX1603" s="34"/>
      <c r="BY1603" s="34"/>
      <c r="BZ1603" s="34"/>
      <c r="CA1603" s="34"/>
      <c r="CB1603" s="34"/>
      <c r="CC1603" s="34"/>
      <c r="CD1603" s="34"/>
      <c r="CE1603" s="34"/>
      <c r="CF1603" s="34"/>
      <c r="CG1603" s="34"/>
      <c r="CH1603" s="34"/>
      <c r="CI1603" s="34"/>
      <c r="CJ1603" s="34"/>
      <c r="CK1603" s="34"/>
      <c r="CL1603" s="34"/>
      <c r="CM1603" s="34"/>
      <c r="CN1603" s="34"/>
      <c r="CO1603" s="34"/>
      <c r="CP1603" s="34"/>
      <c r="CQ1603" s="34"/>
      <c r="CR1603" s="34"/>
      <c r="CS1603" s="34"/>
    </row>
    <row r="1604" spans="7:97" s="246" customFormat="1" x14ac:dyDescent="0.2">
      <c r="G1604" s="2188"/>
      <c r="BS1604" s="34"/>
      <c r="BT1604" s="34"/>
      <c r="BU1604" s="34"/>
      <c r="BV1604" s="34"/>
      <c r="BW1604" s="34"/>
      <c r="BX1604" s="34"/>
      <c r="BY1604" s="34"/>
      <c r="BZ1604" s="34"/>
      <c r="CA1604" s="34"/>
      <c r="CB1604" s="34"/>
      <c r="CC1604" s="34"/>
      <c r="CD1604" s="34"/>
      <c r="CE1604" s="34"/>
      <c r="CF1604" s="34"/>
      <c r="CG1604" s="34"/>
      <c r="CH1604" s="34"/>
      <c r="CI1604" s="34"/>
      <c r="CJ1604" s="34"/>
      <c r="CK1604" s="34"/>
      <c r="CL1604" s="34"/>
      <c r="CM1604" s="34"/>
      <c r="CN1604" s="34"/>
      <c r="CO1604" s="34"/>
      <c r="CP1604" s="34"/>
      <c r="CQ1604" s="34"/>
      <c r="CR1604" s="34"/>
      <c r="CS1604" s="34"/>
    </row>
    <row r="1605" spans="7:97" s="246" customFormat="1" x14ac:dyDescent="0.2">
      <c r="G1605" s="2188"/>
      <c r="BS1605" s="34"/>
      <c r="BT1605" s="34"/>
      <c r="BU1605" s="34"/>
      <c r="BV1605" s="34"/>
      <c r="BW1605" s="34"/>
      <c r="BX1605" s="34"/>
      <c r="BY1605" s="34"/>
      <c r="BZ1605" s="34"/>
      <c r="CA1605" s="34"/>
      <c r="CB1605" s="34"/>
      <c r="CC1605" s="34"/>
      <c r="CD1605" s="34"/>
      <c r="CE1605" s="34"/>
      <c r="CF1605" s="34"/>
      <c r="CG1605" s="34"/>
      <c r="CH1605" s="34"/>
      <c r="CI1605" s="34"/>
      <c r="CJ1605" s="34"/>
      <c r="CK1605" s="34"/>
      <c r="CL1605" s="34"/>
      <c r="CM1605" s="34"/>
      <c r="CN1605" s="34"/>
      <c r="CO1605" s="34"/>
      <c r="CP1605" s="34"/>
      <c r="CQ1605" s="34"/>
      <c r="CR1605" s="34"/>
      <c r="CS1605" s="34"/>
    </row>
    <row r="1606" spans="7:97" s="246" customFormat="1" x14ac:dyDescent="0.2">
      <c r="G1606" s="2188"/>
      <c r="BS1606" s="34"/>
      <c r="BT1606" s="34"/>
      <c r="BU1606" s="34"/>
      <c r="BV1606" s="34"/>
      <c r="BW1606" s="34"/>
      <c r="BX1606" s="34"/>
      <c r="BY1606" s="34"/>
      <c r="BZ1606" s="34"/>
      <c r="CA1606" s="34"/>
      <c r="CB1606" s="34"/>
      <c r="CC1606" s="34"/>
      <c r="CD1606" s="34"/>
      <c r="CE1606" s="34"/>
      <c r="CF1606" s="34"/>
      <c r="CG1606" s="34"/>
      <c r="CH1606" s="34"/>
      <c r="CI1606" s="34"/>
      <c r="CJ1606" s="34"/>
      <c r="CK1606" s="34"/>
      <c r="CL1606" s="34"/>
      <c r="CM1606" s="34"/>
      <c r="CN1606" s="34"/>
      <c r="CO1606" s="34"/>
      <c r="CP1606" s="34"/>
      <c r="CQ1606" s="34"/>
      <c r="CR1606" s="34"/>
      <c r="CS1606" s="34"/>
    </row>
    <row r="1607" spans="7:97" s="246" customFormat="1" x14ac:dyDescent="0.2">
      <c r="G1607" s="2188"/>
      <c r="BS1607" s="34"/>
      <c r="BT1607" s="34"/>
      <c r="BU1607" s="34"/>
      <c r="BV1607" s="34"/>
      <c r="BW1607" s="34"/>
      <c r="BX1607" s="34"/>
      <c r="BY1607" s="34"/>
      <c r="BZ1607" s="34"/>
      <c r="CA1607" s="34"/>
      <c r="CB1607" s="34"/>
      <c r="CC1607" s="34"/>
      <c r="CD1607" s="34"/>
      <c r="CE1607" s="34"/>
      <c r="CF1607" s="34"/>
      <c r="CG1607" s="34"/>
      <c r="CH1607" s="34"/>
      <c r="CI1607" s="34"/>
      <c r="CJ1607" s="34"/>
      <c r="CK1607" s="34"/>
      <c r="CL1607" s="34"/>
      <c r="CM1607" s="34"/>
      <c r="CN1607" s="34"/>
      <c r="CO1607" s="34"/>
      <c r="CP1607" s="34"/>
      <c r="CQ1607" s="34"/>
      <c r="CR1607" s="34"/>
      <c r="CS1607" s="34"/>
    </row>
    <row r="1608" spans="7:97" s="246" customFormat="1" x14ac:dyDescent="0.2">
      <c r="G1608" s="2188"/>
      <c r="BS1608" s="34"/>
      <c r="BT1608" s="34"/>
      <c r="BU1608" s="34"/>
      <c r="BV1608" s="34"/>
      <c r="BW1608" s="34"/>
      <c r="BX1608" s="34"/>
      <c r="BY1608" s="34"/>
      <c r="BZ1608" s="34"/>
      <c r="CA1608" s="34"/>
      <c r="CB1608" s="34"/>
      <c r="CC1608" s="34"/>
      <c r="CD1608" s="34"/>
      <c r="CE1608" s="34"/>
      <c r="CF1608" s="34"/>
      <c r="CG1608" s="34"/>
      <c r="CH1608" s="34"/>
      <c r="CI1608" s="34"/>
      <c r="CJ1608" s="34"/>
      <c r="CK1608" s="34"/>
      <c r="CL1608" s="34"/>
      <c r="CM1608" s="34"/>
      <c r="CN1608" s="34"/>
      <c r="CO1608" s="34"/>
      <c r="CP1608" s="34"/>
      <c r="CQ1608" s="34"/>
      <c r="CR1608" s="34"/>
      <c r="CS1608" s="34"/>
    </row>
    <row r="1609" spans="7:97" s="246" customFormat="1" x14ac:dyDescent="0.2">
      <c r="G1609" s="2188"/>
      <c r="BS1609" s="34"/>
      <c r="BT1609" s="34"/>
      <c r="BU1609" s="34"/>
      <c r="BV1609" s="34"/>
      <c r="BW1609" s="34"/>
      <c r="BX1609" s="34"/>
      <c r="BY1609" s="34"/>
      <c r="BZ1609" s="34"/>
      <c r="CA1609" s="34"/>
      <c r="CB1609" s="34"/>
      <c r="CC1609" s="34"/>
      <c r="CD1609" s="34"/>
      <c r="CE1609" s="34"/>
      <c r="CF1609" s="34"/>
      <c r="CG1609" s="34"/>
      <c r="CH1609" s="34"/>
      <c r="CI1609" s="34"/>
      <c r="CJ1609" s="34"/>
      <c r="CK1609" s="34"/>
      <c r="CL1609" s="34"/>
      <c r="CM1609" s="34"/>
      <c r="CN1609" s="34"/>
      <c r="CO1609" s="34"/>
      <c r="CP1609" s="34"/>
      <c r="CQ1609" s="34"/>
      <c r="CR1609" s="34"/>
      <c r="CS1609" s="34"/>
    </row>
    <row r="1610" spans="7:97" s="246" customFormat="1" x14ac:dyDescent="0.2">
      <c r="G1610" s="2188"/>
      <c r="BS1610" s="34"/>
      <c r="BT1610" s="34"/>
      <c r="BU1610" s="34"/>
      <c r="BV1610" s="34"/>
      <c r="BW1610" s="34"/>
      <c r="BX1610" s="34"/>
      <c r="BY1610" s="34"/>
      <c r="BZ1610" s="34"/>
      <c r="CA1610" s="34"/>
      <c r="CB1610" s="34"/>
      <c r="CC1610" s="34"/>
      <c r="CD1610" s="34"/>
      <c r="CE1610" s="34"/>
      <c r="CF1610" s="34"/>
      <c r="CG1610" s="34"/>
      <c r="CH1610" s="34"/>
      <c r="CI1610" s="34"/>
      <c r="CJ1610" s="34"/>
      <c r="CK1610" s="34"/>
      <c r="CL1610" s="34"/>
      <c r="CM1610" s="34"/>
      <c r="CN1610" s="34"/>
      <c r="CO1610" s="34"/>
      <c r="CP1610" s="34"/>
      <c r="CQ1610" s="34"/>
      <c r="CR1610" s="34"/>
      <c r="CS1610" s="34"/>
    </row>
    <row r="1611" spans="7:97" s="246" customFormat="1" x14ac:dyDescent="0.2">
      <c r="G1611" s="2188"/>
      <c r="BS1611" s="34"/>
      <c r="BT1611" s="34"/>
      <c r="BU1611" s="34"/>
      <c r="BV1611" s="34"/>
      <c r="BW1611" s="34"/>
      <c r="BX1611" s="34"/>
      <c r="BY1611" s="34"/>
      <c r="BZ1611" s="34"/>
      <c r="CA1611" s="34"/>
      <c r="CB1611" s="34"/>
      <c r="CC1611" s="34"/>
      <c r="CD1611" s="34"/>
      <c r="CE1611" s="34"/>
      <c r="CF1611" s="34"/>
      <c r="CG1611" s="34"/>
      <c r="CH1611" s="34"/>
      <c r="CI1611" s="34"/>
      <c r="CJ1611" s="34"/>
      <c r="CK1611" s="34"/>
      <c r="CL1611" s="34"/>
      <c r="CM1611" s="34"/>
      <c r="CN1611" s="34"/>
      <c r="CO1611" s="34"/>
      <c r="CP1611" s="34"/>
      <c r="CQ1611" s="34"/>
      <c r="CR1611" s="34"/>
      <c r="CS1611" s="34"/>
    </row>
    <row r="1612" spans="7:97" s="246" customFormat="1" x14ac:dyDescent="0.2">
      <c r="G1612" s="2188"/>
      <c r="BS1612" s="34"/>
      <c r="BT1612" s="34"/>
      <c r="BU1612" s="34"/>
      <c r="BV1612" s="34"/>
      <c r="BW1612" s="34"/>
      <c r="BX1612" s="34"/>
      <c r="BY1612" s="34"/>
      <c r="BZ1612" s="34"/>
      <c r="CA1612" s="34"/>
      <c r="CB1612" s="34"/>
      <c r="CC1612" s="34"/>
      <c r="CD1612" s="34"/>
      <c r="CE1612" s="34"/>
      <c r="CF1612" s="34"/>
      <c r="CG1612" s="34"/>
      <c r="CH1612" s="34"/>
      <c r="CI1612" s="34"/>
      <c r="CJ1612" s="34"/>
      <c r="CK1612" s="34"/>
      <c r="CL1612" s="34"/>
      <c r="CM1612" s="34"/>
      <c r="CN1612" s="34"/>
      <c r="CO1612" s="34"/>
      <c r="CP1612" s="34"/>
      <c r="CQ1612" s="34"/>
      <c r="CR1612" s="34"/>
      <c r="CS1612" s="34"/>
    </row>
    <row r="1613" spans="7:97" s="246" customFormat="1" x14ac:dyDescent="0.2">
      <c r="G1613" s="2188"/>
      <c r="BS1613" s="34"/>
      <c r="BT1613" s="34"/>
      <c r="BU1613" s="34"/>
      <c r="BV1613" s="34"/>
      <c r="BW1613" s="34"/>
      <c r="BX1613" s="34"/>
      <c r="BY1613" s="34"/>
      <c r="BZ1613" s="34"/>
      <c r="CA1613" s="34"/>
      <c r="CB1613" s="34"/>
      <c r="CC1613" s="34"/>
      <c r="CD1613" s="34"/>
      <c r="CE1613" s="34"/>
      <c r="CF1613" s="34"/>
      <c r="CG1613" s="34"/>
      <c r="CH1613" s="34"/>
      <c r="CI1613" s="34"/>
      <c r="CJ1613" s="34"/>
      <c r="CK1613" s="34"/>
      <c r="CL1613" s="34"/>
      <c r="CM1613" s="34"/>
      <c r="CN1613" s="34"/>
      <c r="CO1613" s="34"/>
      <c r="CP1613" s="34"/>
      <c r="CQ1613" s="34"/>
      <c r="CR1613" s="34"/>
      <c r="CS1613" s="34"/>
    </row>
    <row r="1614" spans="7:97" s="246" customFormat="1" x14ac:dyDescent="0.2">
      <c r="G1614" s="2188"/>
      <c r="BS1614" s="34"/>
      <c r="BT1614" s="34"/>
      <c r="BU1614" s="34"/>
      <c r="BV1614" s="34"/>
      <c r="BW1614" s="34"/>
      <c r="BX1614" s="34"/>
      <c r="BY1614" s="34"/>
      <c r="BZ1614" s="34"/>
      <c r="CA1614" s="34"/>
      <c r="CB1614" s="34"/>
      <c r="CC1614" s="34"/>
      <c r="CD1614" s="34"/>
      <c r="CE1614" s="34"/>
      <c r="CF1614" s="34"/>
      <c r="CG1614" s="34"/>
      <c r="CH1614" s="34"/>
      <c r="CI1614" s="34"/>
      <c r="CJ1614" s="34"/>
      <c r="CK1614" s="34"/>
      <c r="CL1614" s="34"/>
      <c r="CM1614" s="34"/>
      <c r="CN1614" s="34"/>
      <c r="CO1614" s="34"/>
      <c r="CP1614" s="34"/>
      <c r="CQ1614" s="34"/>
      <c r="CR1614" s="34"/>
      <c r="CS1614" s="34"/>
    </row>
    <row r="1615" spans="7:97" s="246" customFormat="1" x14ac:dyDescent="0.2">
      <c r="G1615" s="2188"/>
      <c r="BS1615" s="34"/>
      <c r="BT1615" s="34"/>
      <c r="BU1615" s="34"/>
      <c r="BV1615" s="34"/>
      <c r="BW1615" s="34"/>
      <c r="BX1615" s="34"/>
      <c r="BY1615" s="34"/>
      <c r="BZ1615" s="34"/>
      <c r="CA1615" s="34"/>
      <c r="CB1615" s="34"/>
      <c r="CC1615" s="34"/>
      <c r="CD1615" s="34"/>
      <c r="CE1615" s="34"/>
      <c r="CF1615" s="34"/>
      <c r="CG1615" s="34"/>
      <c r="CH1615" s="34"/>
      <c r="CI1615" s="34"/>
      <c r="CJ1615" s="34"/>
      <c r="CK1615" s="34"/>
      <c r="CL1615" s="34"/>
      <c r="CM1615" s="34"/>
      <c r="CN1615" s="34"/>
      <c r="CO1615" s="34"/>
      <c r="CP1615" s="34"/>
      <c r="CQ1615" s="34"/>
      <c r="CR1615" s="34"/>
      <c r="CS1615" s="34"/>
    </row>
    <row r="1616" spans="7:97" s="246" customFormat="1" x14ac:dyDescent="0.2">
      <c r="G1616" s="2188"/>
      <c r="BS1616" s="34"/>
      <c r="BT1616" s="34"/>
      <c r="BU1616" s="34"/>
      <c r="BV1616" s="34"/>
      <c r="BW1616" s="34"/>
      <c r="BX1616" s="34"/>
      <c r="BY1616" s="34"/>
      <c r="BZ1616" s="34"/>
      <c r="CA1616" s="34"/>
      <c r="CB1616" s="34"/>
      <c r="CC1616" s="34"/>
      <c r="CD1616" s="34"/>
      <c r="CE1616" s="34"/>
      <c r="CF1616" s="34"/>
      <c r="CG1616" s="34"/>
      <c r="CH1616" s="34"/>
      <c r="CI1616" s="34"/>
      <c r="CJ1616" s="34"/>
      <c r="CK1616" s="34"/>
      <c r="CL1616" s="34"/>
      <c r="CM1616" s="34"/>
      <c r="CN1616" s="34"/>
      <c r="CO1616" s="34"/>
      <c r="CP1616" s="34"/>
      <c r="CQ1616" s="34"/>
      <c r="CR1616" s="34"/>
      <c r="CS1616" s="34"/>
    </row>
    <row r="1617" spans="7:97" s="246" customFormat="1" x14ac:dyDescent="0.2">
      <c r="G1617" s="2188"/>
      <c r="BS1617" s="34"/>
      <c r="BT1617" s="34"/>
      <c r="BU1617" s="34"/>
      <c r="BV1617" s="34"/>
      <c r="BW1617" s="34"/>
      <c r="BX1617" s="34"/>
      <c r="BY1617" s="34"/>
      <c r="BZ1617" s="34"/>
      <c r="CA1617" s="34"/>
      <c r="CB1617" s="34"/>
      <c r="CC1617" s="34"/>
      <c r="CD1617" s="34"/>
      <c r="CE1617" s="34"/>
      <c r="CF1617" s="34"/>
      <c r="CG1617" s="34"/>
      <c r="CH1617" s="34"/>
      <c r="CI1617" s="34"/>
      <c r="CJ1617" s="34"/>
      <c r="CK1617" s="34"/>
      <c r="CL1617" s="34"/>
      <c r="CM1617" s="34"/>
      <c r="CN1617" s="34"/>
      <c r="CO1617" s="34"/>
      <c r="CP1617" s="34"/>
      <c r="CQ1617" s="34"/>
      <c r="CR1617" s="34"/>
      <c r="CS1617" s="34"/>
    </row>
    <row r="1618" spans="7:97" s="246" customFormat="1" x14ac:dyDescent="0.2">
      <c r="G1618" s="2188"/>
      <c r="BS1618" s="34"/>
      <c r="BT1618" s="34"/>
      <c r="BU1618" s="34"/>
      <c r="BV1618" s="34"/>
      <c r="BW1618" s="34"/>
      <c r="BX1618" s="34"/>
      <c r="BY1618" s="34"/>
      <c r="BZ1618" s="34"/>
      <c r="CA1618" s="34"/>
      <c r="CB1618" s="34"/>
      <c r="CC1618" s="34"/>
      <c r="CD1618" s="34"/>
      <c r="CE1618" s="34"/>
      <c r="CF1618" s="34"/>
      <c r="CG1618" s="34"/>
      <c r="CH1618" s="34"/>
      <c r="CI1618" s="34"/>
      <c r="CJ1618" s="34"/>
      <c r="CK1618" s="34"/>
      <c r="CL1618" s="34"/>
      <c r="CM1618" s="34"/>
      <c r="CN1618" s="34"/>
      <c r="CO1618" s="34"/>
      <c r="CP1618" s="34"/>
      <c r="CQ1618" s="34"/>
      <c r="CR1618" s="34"/>
      <c r="CS1618" s="34"/>
    </row>
    <row r="1619" spans="7:97" s="246" customFormat="1" x14ac:dyDescent="0.2">
      <c r="G1619" s="2188"/>
      <c r="BS1619" s="34"/>
      <c r="BT1619" s="34"/>
      <c r="BU1619" s="34"/>
      <c r="BV1619" s="34"/>
      <c r="BW1619" s="34"/>
      <c r="BX1619" s="34"/>
      <c r="BY1619" s="34"/>
      <c r="BZ1619" s="34"/>
      <c r="CA1619" s="34"/>
      <c r="CB1619" s="34"/>
      <c r="CC1619" s="34"/>
      <c r="CD1619" s="34"/>
      <c r="CE1619" s="34"/>
      <c r="CF1619" s="34"/>
      <c r="CG1619" s="34"/>
      <c r="CH1619" s="34"/>
      <c r="CI1619" s="34"/>
      <c r="CJ1619" s="34"/>
      <c r="CK1619" s="34"/>
      <c r="CL1619" s="34"/>
      <c r="CM1619" s="34"/>
      <c r="CN1619" s="34"/>
      <c r="CO1619" s="34"/>
      <c r="CP1619" s="34"/>
      <c r="CQ1619" s="34"/>
      <c r="CR1619" s="34"/>
      <c r="CS1619" s="34"/>
    </row>
    <row r="1620" spans="7:97" s="246" customFormat="1" x14ac:dyDescent="0.2">
      <c r="G1620" s="2188"/>
      <c r="BS1620" s="34"/>
      <c r="BT1620" s="34"/>
      <c r="BU1620" s="34"/>
      <c r="BV1620" s="34"/>
      <c r="BW1620" s="34"/>
      <c r="BX1620" s="34"/>
      <c r="BY1620" s="34"/>
      <c r="BZ1620" s="34"/>
      <c r="CA1620" s="34"/>
      <c r="CB1620" s="34"/>
      <c r="CC1620" s="34"/>
      <c r="CD1620" s="34"/>
      <c r="CE1620" s="34"/>
      <c r="CF1620" s="34"/>
      <c r="CG1620" s="34"/>
      <c r="CH1620" s="34"/>
      <c r="CI1620" s="34"/>
      <c r="CJ1620" s="34"/>
      <c r="CK1620" s="34"/>
      <c r="CL1620" s="34"/>
      <c r="CM1620" s="34"/>
      <c r="CN1620" s="34"/>
      <c r="CO1620" s="34"/>
      <c r="CP1620" s="34"/>
      <c r="CQ1620" s="34"/>
      <c r="CR1620" s="34"/>
      <c r="CS1620" s="34"/>
    </row>
    <row r="1621" spans="7:97" s="246" customFormat="1" x14ac:dyDescent="0.2">
      <c r="G1621" s="2188"/>
      <c r="BS1621" s="34"/>
      <c r="BT1621" s="34"/>
      <c r="BU1621" s="34"/>
      <c r="BV1621" s="34"/>
      <c r="BW1621" s="34"/>
      <c r="BX1621" s="34"/>
      <c r="BY1621" s="34"/>
      <c r="BZ1621" s="34"/>
      <c r="CA1621" s="34"/>
      <c r="CB1621" s="34"/>
      <c r="CC1621" s="34"/>
      <c r="CD1621" s="34"/>
      <c r="CE1621" s="34"/>
      <c r="CF1621" s="34"/>
      <c r="CG1621" s="34"/>
      <c r="CH1621" s="34"/>
      <c r="CI1621" s="34"/>
      <c r="CJ1621" s="34"/>
      <c r="CK1621" s="34"/>
      <c r="CL1621" s="34"/>
      <c r="CM1621" s="34"/>
      <c r="CN1621" s="34"/>
      <c r="CO1621" s="34"/>
      <c r="CP1621" s="34"/>
      <c r="CQ1621" s="34"/>
      <c r="CR1621" s="34"/>
      <c r="CS1621" s="34"/>
    </row>
    <row r="1622" spans="7:97" s="246" customFormat="1" x14ac:dyDescent="0.2">
      <c r="G1622" s="2188"/>
      <c r="BS1622" s="34"/>
      <c r="BT1622" s="34"/>
      <c r="BU1622" s="34"/>
      <c r="BV1622" s="34"/>
      <c r="BW1622" s="34"/>
      <c r="BX1622" s="34"/>
      <c r="BY1622" s="34"/>
      <c r="BZ1622" s="34"/>
      <c r="CA1622" s="34"/>
      <c r="CB1622" s="34"/>
      <c r="CC1622" s="34"/>
      <c r="CD1622" s="34"/>
      <c r="CE1622" s="34"/>
      <c r="CF1622" s="34"/>
      <c r="CG1622" s="34"/>
      <c r="CH1622" s="34"/>
      <c r="CI1622" s="34"/>
      <c r="CJ1622" s="34"/>
      <c r="CK1622" s="34"/>
      <c r="CL1622" s="34"/>
      <c r="CM1622" s="34"/>
      <c r="CN1622" s="34"/>
      <c r="CO1622" s="34"/>
      <c r="CP1622" s="34"/>
      <c r="CQ1622" s="34"/>
      <c r="CR1622" s="34"/>
      <c r="CS1622" s="34"/>
    </row>
    <row r="1623" spans="7:97" s="246" customFormat="1" x14ac:dyDescent="0.2">
      <c r="G1623" s="2188"/>
      <c r="BS1623" s="34"/>
      <c r="BT1623" s="34"/>
      <c r="BU1623" s="34"/>
      <c r="BV1623" s="34"/>
      <c r="BW1623" s="34"/>
      <c r="BX1623" s="34"/>
      <c r="BY1623" s="34"/>
      <c r="BZ1623" s="34"/>
      <c r="CA1623" s="34"/>
      <c r="CB1623" s="34"/>
      <c r="CC1623" s="34"/>
      <c r="CD1623" s="34"/>
      <c r="CE1623" s="34"/>
      <c r="CF1623" s="34"/>
      <c r="CG1623" s="34"/>
      <c r="CH1623" s="34"/>
      <c r="CI1623" s="34"/>
      <c r="CJ1623" s="34"/>
      <c r="CK1623" s="34"/>
      <c r="CL1623" s="34"/>
      <c r="CM1623" s="34"/>
      <c r="CN1623" s="34"/>
      <c r="CO1623" s="34"/>
      <c r="CP1623" s="34"/>
      <c r="CQ1623" s="34"/>
      <c r="CR1623" s="34"/>
      <c r="CS1623" s="34"/>
    </row>
    <row r="1624" spans="7:97" s="246" customFormat="1" x14ac:dyDescent="0.2">
      <c r="G1624" s="2188"/>
      <c r="BS1624" s="34"/>
      <c r="BT1624" s="34"/>
      <c r="BU1624" s="34"/>
      <c r="BV1624" s="34"/>
      <c r="BW1624" s="34"/>
      <c r="BX1624" s="34"/>
      <c r="BY1624" s="34"/>
      <c r="BZ1624" s="34"/>
      <c r="CA1624" s="34"/>
      <c r="CB1624" s="34"/>
      <c r="CC1624" s="34"/>
      <c r="CD1624" s="34"/>
      <c r="CE1624" s="34"/>
      <c r="CF1624" s="34"/>
      <c r="CG1624" s="34"/>
      <c r="CH1624" s="34"/>
      <c r="CI1624" s="34"/>
      <c r="CJ1624" s="34"/>
      <c r="CK1624" s="34"/>
      <c r="CL1624" s="34"/>
      <c r="CM1624" s="34"/>
      <c r="CN1624" s="34"/>
      <c r="CO1624" s="34"/>
      <c r="CP1624" s="34"/>
      <c r="CQ1624" s="34"/>
      <c r="CR1624" s="34"/>
      <c r="CS1624" s="34"/>
    </row>
    <row r="1625" spans="7:97" s="246" customFormat="1" x14ac:dyDescent="0.2">
      <c r="G1625" s="2188"/>
      <c r="BS1625" s="34"/>
      <c r="BT1625" s="34"/>
      <c r="BU1625" s="34"/>
      <c r="BV1625" s="34"/>
      <c r="BW1625" s="34"/>
      <c r="BX1625" s="34"/>
      <c r="BY1625" s="34"/>
      <c r="BZ1625" s="34"/>
      <c r="CA1625" s="34"/>
      <c r="CB1625" s="34"/>
      <c r="CC1625" s="34"/>
      <c r="CD1625" s="34"/>
      <c r="CE1625" s="34"/>
      <c r="CF1625" s="34"/>
      <c r="CG1625" s="34"/>
      <c r="CH1625" s="34"/>
      <c r="CI1625" s="34"/>
      <c r="CJ1625" s="34"/>
      <c r="CK1625" s="34"/>
      <c r="CL1625" s="34"/>
      <c r="CM1625" s="34"/>
      <c r="CN1625" s="34"/>
      <c r="CO1625" s="34"/>
      <c r="CP1625" s="34"/>
      <c r="CQ1625" s="34"/>
      <c r="CR1625" s="34"/>
      <c r="CS1625" s="34"/>
    </row>
    <row r="1626" spans="7:97" s="246" customFormat="1" x14ac:dyDescent="0.2">
      <c r="G1626" s="2188"/>
      <c r="BS1626" s="34"/>
      <c r="BT1626" s="34"/>
      <c r="BU1626" s="34"/>
      <c r="BV1626" s="34"/>
      <c r="BW1626" s="34"/>
      <c r="BX1626" s="34"/>
      <c r="BY1626" s="34"/>
      <c r="BZ1626" s="34"/>
      <c r="CA1626" s="34"/>
      <c r="CB1626" s="34"/>
      <c r="CC1626" s="34"/>
      <c r="CD1626" s="34"/>
      <c r="CE1626" s="34"/>
      <c r="CF1626" s="34"/>
      <c r="CG1626" s="34"/>
      <c r="CH1626" s="34"/>
      <c r="CI1626" s="34"/>
      <c r="CJ1626" s="34"/>
      <c r="CK1626" s="34"/>
      <c r="CL1626" s="34"/>
      <c r="CM1626" s="34"/>
      <c r="CN1626" s="34"/>
      <c r="CO1626" s="34"/>
      <c r="CP1626" s="34"/>
      <c r="CQ1626" s="34"/>
      <c r="CR1626" s="34"/>
      <c r="CS1626" s="34"/>
    </row>
    <row r="1627" spans="7:97" s="246" customFormat="1" x14ac:dyDescent="0.2">
      <c r="G1627" s="2188"/>
      <c r="BS1627" s="34"/>
      <c r="BT1627" s="34"/>
      <c r="BU1627" s="34"/>
      <c r="BV1627" s="34"/>
      <c r="BW1627" s="34"/>
      <c r="BX1627" s="34"/>
      <c r="BY1627" s="34"/>
      <c r="BZ1627" s="34"/>
      <c r="CA1627" s="34"/>
      <c r="CB1627" s="34"/>
      <c r="CC1627" s="34"/>
      <c r="CD1627" s="34"/>
      <c r="CE1627" s="34"/>
      <c r="CF1627" s="34"/>
      <c r="CG1627" s="34"/>
      <c r="CH1627" s="34"/>
      <c r="CI1627" s="34"/>
      <c r="CJ1627" s="34"/>
      <c r="CK1627" s="34"/>
      <c r="CL1627" s="34"/>
      <c r="CM1627" s="34"/>
      <c r="CN1627" s="34"/>
      <c r="CO1627" s="34"/>
      <c r="CP1627" s="34"/>
      <c r="CQ1627" s="34"/>
      <c r="CR1627" s="34"/>
      <c r="CS1627" s="34"/>
    </row>
    <row r="1628" spans="7:97" s="246" customFormat="1" x14ac:dyDescent="0.2">
      <c r="G1628" s="2188"/>
      <c r="BS1628" s="34"/>
      <c r="BT1628" s="34"/>
      <c r="BU1628" s="34"/>
      <c r="BV1628" s="34"/>
      <c r="BW1628" s="34"/>
      <c r="BX1628" s="34"/>
      <c r="BY1628" s="34"/>
      <c r="BZ1628" s="34"/>
      <c r="CA1628" s="34"/>
      <c r="CB1628" s="34"/>
      <c r="CC1628" s="34"/>
      <c r="CD1628" s="34"/>
      <c r="CE1628" s="34"/>
      <c r="CF1628" s="34"/>
      <c r="CG1628" s="34"/>
      <c r="CH1628" s="34"/>
      <c r="CI1628" s="34"/>
      <c r="CJ1628" s="34"/>
      <c r="CK1628" s="34"/>
      <c r="CL1628" s="34"/>
      <c r="CM1628" s="34"/>
      <c r="CN1628" s="34"/>
      <c r="CO1628" s="34"/>
      <c r="CP1628" s="34"/>
      <c r="CQ1628" s="34"/>
      <c r="CR1628" s="34"/>
      <c r="CS1628" s="34"/>
    </row>
    <row r="1629" spans="7:97" s="246" customFormat="1" x14ac:dyDescent="0.2">
      <c r="G1629" s="2188"/>
      <c r="BS1629" s="34"/>
      <c r="BT1629" s="34"/>
      <c r="BU1629" s="34"/>
      <c r="BV1629" s="34"/>
      <c r="BW1629" s="34"/>
      <c r="BX1629" s="34"/>
      <c r="BY1629" s="34"/>
      <c r="BZ1629" s="34"/>
      <c r="CA1629" s="34"/>
      <c r="CB1629" s="34"/>
      <c r="CC1629" s="34"/>
      <c r="CD1629" s="34"/>
      <c r="CE1629" s="34"/>
      <c r="CF1629" s="34"/>
      <c r="CG1629" s="34"/>
      <c r="CH1629" s="34"/>
      <c r="CI1629" s="34"/>
      <c r="CJ1629" s="34"/>
      <c r="CK1629" s="34"/>
      <c r="CL1629" s="34"/>
      <c r="CM1629" s="34"/>
      <c r="CN1629" s="34"/>
      <c r="CO1629" s="34"/>
      <c r="CP1629" s="34"/>
      <c r="CQ1629" s="34"/>
      <c r="CR1629" s="34"/>
      <c r="CS1629" s="34"/>
    </row>
    <row r="1630" spans="7:97" s="246" customFormat="1" x14ac:dyDescent="0.2">
      <c r="G1630" s="2188"/>
      <c r="BS1630" s="34"/>
      <c r="BT1630" s="34"/>
      <c r="BU1630" s="34"/>
      <c r="BV1630" s="34"/>
      <c r="BW1630" s="34"/>
      <c r="BX1630" s="34"/>
      <c r="BY1630" s="34"/>
      <c r="BZ1630" s="34"/>
      <c r="CA1630" s="34"/>
      <c r="CB1630" s="34"/>
      <c r="CC1630" s="34"/>
      <c r="CD1630" s="34"/>
      <c r="CE1630" s="34"/>
      <c r="CF1630" s="34"/>
      <c r="CG1630" s="34"/>
      <c r="CH1630" s="34"/>
      <c r="CI1630" s="34"/>
      <c r="CJ1630" s="34"/>
      <c r="CK1630" s="34"/>
      <c r="CL1630" s="34"/>
      <c r="CM1630" s="34"/>
      <c r="CN1630" s="34"/>
      <c r="CO1630" s="34"/>
      <c r="CP1630" s="34"/>
      <c r="CQ1630" s="34"/>
      <c r="CR1630" s="34"/>
      <c r="CS1630" s="34"/>
    </row>
    <row r="1631" spans="7:97" s="246" customFormat="1" x14ac:dyDescent="0.2">
      <c r="G1631" s="2188"/>
      <c r="BS1631" s="34"/>
      <c r="BT1631" s="34"/>
      <c r="BU1631" s="34"/>
      <c r="BV1631" s="34"/>
      <c r="BW1631" s="34"/>
      <c r="BX1631" s="34"/>
      <c r="BY1631" s="34"/>
      <c r="BZ1631" s="34"/>
      <c r="CA1631" s="34"/>
      <c r="CB1631" s="34"/>
      <c r="CC1631" s="34"/>
      <c r="CD1631" s="34"/>
      <c r="CE1631" s="34"/>
      <c r="CF1631" s="34"/>
      <c r="CG1631" s="34"/>
      <c r="CH1631" s="34"/>
      <c r="CI1631" s="34"/>
      <c r="CJ1631" s="34"/>
      <c r="CK1631" s="34"/>
      <c r="CL1631" s="34"/>
      <c r="CM1631" s="34"/>
      <c r="CN1631" s="34"/>
      <c r="CO1631" s="34"/>
      <c r="CP1631" s="34"/>
      <c r="CQ1631" s="34"/>
      <c r="CR1631" s="34"/>
      <c r="CS1631" s="34"/>
    </row>
    <row r="1632" spans="7:97" s="246" customFormat="1" x14ac:dyDescent="0.2">
      <c r="G1632" s="2188"/>
      <c r="BS1632" s="34"/>
      <c r="BT1632" s="34"/>
      <c r="BU1632" s="34"/>
      <c r="BV1632" s="34"/>
      <c r="BW1632" s="34"/>
      <c r="BX1632" s="34"/>
      <c r="BY1632" s="34"/>
      <c r="BZ1632" s="34"/>
      <c r="CA1632" s="34"/>
      <c r="CB1632" s="34"/>
      <c r="CC1632" s="34"/>
      <c r="CD1632" s="34"/>
      <c r="CE1632" s="34"/>
      <c r="CF1632" s="34"/>
      <c r="CG1632" s="34"/>
      <c r="CH1632" s="34"/>
      <c r="CI1632" s="34"/>
      <c r="CJ1632" s="34"/>
      <c r="CK1632" s="34"/>
      <c r="CL1632" s="34"/>
      <c r="CM1632" s="34"/>
      <c r="CN1632" s="34"/>
      <c r="CO1632" s="34"/>
      <c r="CP1632" s="34"/>
      <c r="CQ1632" s="34"/>
      <c r="CR1632" s="34"/>
      <c r="CS1632" s="34"/>
    </row>
    <row r="1633" spans="7:97" s="246" customFormat="1" x14ac:dyDescent="0.2">
      <c r="G1633" s="2188"/>
      <c r="BS1633" s="34"/>
      <c r="BT1633" s="34"/>
      <c r="BU1633" s="34"/>
      <c r="BV1633" s="34"/>
      <c r="BW1633" s="34"/>
      <c r="BX1633" s="34"/>
      <c r="BY1633" s="34"/>
      <c r="BZ1633" s="34"/>
      <c r="CA1633" s="34"/>
      <c r="CB1633" s="34"/>
      <c r="CC1633" s="34"/>
      <c r="CD1633" s="34"/>
      <c r="CE1633" s="34"/>
      <c r="CF1633" s="34"/>
      <c r="CG1633" s="34"/>
      <c r="CH1633" s="34"/>
      <c r="CI1633" s="34"/>
      <c r="CJ1633" s="34"/>
      <c r="CK1633" s="34"/>
      <c r="CL1633" s="34"/>
      <c r="CM1633" s="34"/>
      <c r="CN1633" s="34"/>
      <c r="CO1633" s="34"/>
      <c r="CP1633" s="34"/>
      <c r="CQ1633" s="34"/>
      <c r="CR1633" s="34"/>
      <c r="CS1633" s="34"/>
    </row>
    <row r="1634" spans="7:97" s="246" customFormat="1" x14ac:dyDescent="0.2">
      <c r="G1634" s="2188"/>
      <c r="BS1634" s="34"/>
      <c r="BT1634" s="34"/>
      <c r="BU1634" s="34"/>
      <c r="BV1634" s="34"/>
      <c r="BW1634" s="34"/>
      <c r="BX1634" s="34"/>
      <c r="BY1634" s="34"/>
      <c r="BZ1634" s="34"/>
      <c r="CA1634" s="34"/>
      <c r="CB1634" s="34"/>
      <c r="CC1634" s="34"/>
      <c r="CD1634" s="34"/>
      <c r="CE1634" s="34"/>
      <c r="CF1634" s="34"/>
      <c r="CG1634" s="34"/>
      <c r="CH1634" s="34"/>
      <c r="CI1634" s="34"/>
      <c r="CJ1634" s="34"/>
      <c r="CK1634" s="34"/>
      <c r="CL1634" s="34"/>
      <c r="CM1634" s="34"/>
      <c r="CN1634" s="34"/>
      <c r="CO1634" s="34"/>
      <c r="CP1634" s="34"/>
      <c r="CQ1634" s="34"/>
      <c r="CR1634" s="34"/>
      <c r="CS1634" s="34"/>
    </row>
    <row r="1635" spans="7:97" s="246" customFormat="1" x14ac:dyDescent="0.2">
      <c r="G1635" s="2188"/>
      <c r="BS1635" s="34"/>
      <c r="BT1635" s="34"/>
      <c r="BU1635" s="34"/>
      <c r="BV1635" s="34"/>
      <c r="BW1635" s="34"/>
      <c r="BX1635" s="34"/>
      <c r="BY1635" s="34"/>
      <c r="BZ1635" s="34"/>
      <c r="CA1635" s="34"/>
      <c r="CB1635" s="34"/>
      <c r="CC1635" s="34"/>
      <c r="CD1635" s="34"/>
      <c r="CE1635" s="34"/>
      <c r="CF1635" s="34"/>
      <c r="CG1635" s="34"/>
      <c r="CH1635" s="34"/>
      <c r="CI1635" s="34"/>
      <c r="CJ1635" s="34"/>
      <c r="CK1635" s="34"/>
      <c r="CL1635" s="34"/>
      <c r="CM1635" s="34"/>
      <c r="CN1635" s="34"/>
      <c r="CO1635" s="34"/>
      <c r="CP1635" s="34"/>
      <c r="CQ1635" s="34"/>
      <c r="CR1635" s="34"/>
      <c r="CS1635" s="34"/>
    </row>
    <row r="1636" spans="7:97" s="246" customFormat="1" x14ac:dyDescent="0.2">
      <c r="G1636" s="2188"/>
      <c r="BS1636" s="34"/>
      <c r="BT1636" s="34"/>
      <c r="BU1636" s="34"/>
      <c r="BV1636" s="34"/>
      <c r="BW1636" s="34"/>
      <c r="BX1636" s="34"/>
      <c r="BY1636" s="34"/>
      <c r="BZ1636" s="34"/>
      <c r="CA1636" s="34"/>
      <c r="CB1636" s="34"/>
      <c r="CC1636" s="34"/>
      <c r="CD1636" s="34"/>
      <c r="CE1636" s="34"/>
      <c r="CF1636" s="34"/>
      <c r="CG1636" s="34"/>
      <c r="CH1636" s="34"/>
      <c r="CI1636" s="34"/>
      <c r="CJ1636" s="34"/>
      <c r="CK1636" s="34"/>
      <c r="CL1636" s="34"/>
      <c r="CM1636" s="34"/>
      <c r="CN1636" s="34"/>
      <c r="CO1636" s="34"/>
      <c r="CP1636" s="34"/>
      <c r="CQ1636" s="34"/>
      <c r="CR1636" s="34"/>
      <c r="CS1636" s="34"/>
    </row>
    <row r="1637" spans="7:97" s="246" customFormat="1" x14ac:dyDescent="0.2">
      <c r="G1637" s="2188"/>
      <c r="BS1637" s="34"/>
      <c r="BT1637" s="34"/>
      <c r="BU1637" s="34"/>
      <c r="BV1637" s="34"/>
      <c r="BW1637" s="34"/>
      <c r="BX1637" s="34"/>
      <c r="BY1637" s="34"/>
      <c r="BZ1637" s="34"/>
      <c r="CA1637" s="34"/>
      <c r="CB1637" s="34"/>
      <c r="CC1637" s="34"/>
      <c r="CD1637" s="34"/>
      <c r="CE1637" s="34"/>
      <c r="CF1637" s="34"/>
      <c r="CG1637" s="34"/>
      <c r="CH1637" s="34"/>
      <c r="CI1637" s="34"/>
      <c r="CJ1637" s="34"/>
      <c r="CK1637" s="34"/>
      <c r="CL1637" s="34"/>
      <c r="CM1637" s="34"/>
      <c r="CN1637" s="34"/>
      <c r="CO1637" s="34"/>
      <c r="CP1637" s="34"/>
      <c r="CQ1637" s="34"/>
      <c r="CR1637" s="34"/>
      <c r="CS1637" s="34"/>
    </row>
    <row r="1638" spans="7:97" s="246" customFormat="1" x14ac:dyDescent="0.2">
      <c r="G1638" s="2188"/>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row>
    <row r="1639" spans="7:97" s="246" customFormat="1" x14ac:dyDescent="0.2">
      <c r="G1639" s="2188"/>
      <c r="BS1639" s="34"/>
      <c r="BT1639" s="34"/>
      <c r="BU1639" s="34"/>
      <c r="BV1639" s="34"/>
      <c r="BW1639" s="34"/>
      <c r="BX1639" s="34"/>
      <c r="BY1639" s="34"/>
      <c r="BZ1639" s="34"/>
      <c r="CA1639" s="34"/>
      <c r="CB1639" s="34"/>
      <c r="CC1639" s="34"/>
      <c r="CD1639" s="34"/>
      <c r="CE1639" s="34"/>
      <c r="CF1639" s="34"/>
      <c r="CG1639" s="34"/>
      <c r="CH1639" s="34"/>
      <c r="CI1639" s="34"/>
      <c r="CJ1639" s="34"/>
      <c r="CK1639" s="34"/>
      <c r="CL1639" s="34"/>
      <c r="CM1639" s="34"/>
      <c r="CN1639" s="34"/>
      <c r="CO1639" s="34"/>
      <c r="CP1639" s="34"/>
      <c r="CQ1639" s="34"/>
      <c r="CR1639" s="34"/>
      <c r="CS1639" s="34"/>
    </row>
    <row r="1640" spans="7:97" s="246" customFormat="1" x14ac:dyDescent="0.2">
      <c r="G1640" s="2188"/>
      <c r="BS1640" s="34"/>
      <c r="BT1640" s="34"/>
      <c r="BU1640" s="34"/>
      <c r="BV1640" s="34"/>
      <c r="BW1640" s="34"/>
      <c r="BX1640" s="34"/>
      <c r="BY1640" s="34"/>
      <c r="BZ1640" s="34"/>
      <c r="CA1640" s="34"/>
      <c r="CB1640" s="34"/>
      <c r="CC1640" s="34"/>
      <c r="CD1640" s="34"/>
      <c r="CE1640" s="34"/>
      <c r="CF1640" s="34"/>
      <c r="CG1640" s="34"/>
      <c r="CH1640" s="34"/>
      <c r="CI1640" s="34"/>
      <c r="CJ1640" s="34"/>
      <c r="CK1640" s="34"/>
      <c r="CL1640" s="34"/>
      <c r="CM1640" s="34"/>
      <c r="CN1640" s="34"/>
      <c r="CO1640" s="34"/>
      <c r="CP1640" s="34"/>
      <c r="CQ1640" s="34"/>
      <c r="CR1640" s="34"/>
      <c r="CS1640" s="34"/>
    </row>
    <row r="1641" spans="7:97" s="246" customFormat="1" x14ac:dyDescent="0.2">
      <c r="G1641" s="2188"/>
      <c r="BS1641" s="34"/>
      <c r="BT1641" s="34"/>
      <c r="BU1641" s="34"/>
      <c r="BV1641" s="34"/>
      <c r="BW1641" s="34"/>
      <c r="BX1641" s="34"/>
      <c r="BY1641" s="34"/>
      <c r="BZ1641" s="34"/>
      <c r="CA1641" s="34"/>
      <c r="CB1641" s="34"/>
      <c r="CC1641" s="34"/>
      <c r="CD1641" s="34"/>
      <c r="CE1641" s="34"/>
      <c r="CF1641" s="34"/>
      <c r="CG1641" s="34"/>
      <c r="CH1641" s="34"/>
      <c r="CI1641" s="34"/>
      <c r="CJ1641" s="34"/>
      <c r="CK1641" s="34"/>
      <c r="CL1641" s="34"/>
      <c r="CM1641" s="34"/>
      <c r="CN1641" s="34"/>
      <c r="CO1641" s="34"/>
      <c r="CP1641" s="34"/>
      <c r="CQ1641" s="34"/>
      <c r="CR1641" s="34"/>
      <c r="CS1641" s="34"/>
    </row>
    <row r="1642" spans="7:97" s="246" customFormat="1" x14ac:dyDescent="0.2">
      <c r="G1642" s="2188"/>
      <c r="BS1642" s="34"/>
      <c r="BT1642" s="34"/>
      <c r="BU1642" s="34"/>
      <c r="BV1642" s="34"/>
      <c r="BW1642" s="34"/>
      <c r="BX1642" s="34"/>
      <c r="BY1642" s="34"/>
      <c r="BZ1642" s="34"/>
      <c r="CA1642" s="34"/>
      <c r="CB1642" s="34"/>
      <c r="CC1642" s="34"/>
      <c r="CD1642" s="34"/>
      <c r="CE1642" s="34"/>
      <c r="CF1642" s="34"/>
      <c r="CG1642" s="34"/>
      <c r="CH1642" s="34"/>
      <c r="CI1642" s="34"/>
      <c r="CJ1642" s="34"/>
      <c r="CK1642" s="34"/>
      <c r="CL1642" s="34"/>
      <c r="CM1642" s="34"/>
      <c r="CN1642" s="34"/>
      <c r="CO1642" s="34"/>
      <c r="CP1642" s="34"/>
      <c r="CQ1642" s="34"/>
      <c r="CR1642" s="34"/>
      <c r="CS1642" s="34"/>
    </row>
    <row r="1643" spans="7:97" s="246" customFormat="1" x14ac:dyDescent="0.2">
      <c r="G1643" s="2188"/>
      <c r="BS1643" s="34"/>
      <c r="BT1643" s="34"/>
      <c r="BU1643" s="34"/>
      <c r="BV1643" s="34"/>
      <c r="BW1643" s="34"/>
      <c r="BX1643" s="34"/>
      <c r="BY1643" s="34"/>
      <c r="BZ1643" s="34"/>
      <c r="CA1643" s="34"/>
      <c r="CB1643" s="34"/>
      <c r="CC1643" s="34"/>
      <c r="CD1643" s="34"/>
      <c r="CE1643" s="34"/>
      <c r="CF1643" s="34"/>
      <c r="CG1643" s="34"/>
      <c r="CH1643" s="34"/>
      <c r="CI1643" s="34"/>
      <c r="CJ1643" s="34"/>
      <c r="CK1643" s="34"/>
      <c r="CL1643" s="34"/>
      <c r="CM1643" s="34"/>
      <c r="CN1643" s="34"/>
      <c r="CO1643" s="34"/>
      <c r="CP1643" s="34"/>
      <c r="CQ1643" s="34"/>
      <c r="CR1643" s="34"/>
      <c r="CS1643" s="34"/>
    </row>
    <row r="1644" spans="7:97" s="246" customFormat="1" x14ac:dyDescent="0.2">
      <c r="G1644" s="2188"/>
      <c r="BS1644" s="34"/>
      <c r="BT1644" s="34"/>
      <c r="BU1644" s="34"/>
      <c r="BV1644" s="34"/>
      <c r="BW1644" s="34"/>
      <c r="BX1644" s="34"/>
      <c r="BY1644" s="34"/>
      <c r="BZ1644" s="34"/>
      <c r="CA1644" s="34"/>
      <c r="CB1644" s="34"/>
      <c r="CC1644" s="34"/>
      <c r="CD1644" s="34"/>
      <c r="CE1644" s="34"/>
      <c r="CF1644" s="34"/>
      <c r="CG1644" s="34"/>
      <c r="CH1644" s="34"/>
      <c r="CI1644" s="34"/>
      <c r="CJ1644" s="34"/>
      <c r="CK1644" s="34"/>
      <c r="CL1644" s="34"/>
      <c r="CM1644" s="34"/>
      <c r="CN1644" s="34"/>
      <c r="CO1644" s="34"/>
      <c r="CP1644" s="34"/>
      <c r="CQ1644" s="34"/>
      <c r="CR1644" s="34"/>
      <c r="CS1644" s="34"/>
    </row>
    <row r="1645" spans="7:97" s="246" customFormat="1" x14ac:dyDescent="0.2">
      <c r="G1645" s="2188"/>
      <c r="BS1645" s="34"/>
      <c r="BT1645" s="34"/>
      <c r="BU1645" s="34"/>
      <c r="BV1645" s="34"/>
      <c r="BW1645" s="34"/>
      <c r="BX1645" s="34"/>
      <c r="BY1645" s="34"/>
      <c r="BZ1645" s="34"/>
      <c r="CA1645" s="34"/>
      <c r="CB1645" s="34"/>
      <c r="CC1645" s="34"/>
      <c r="CD1645" s="34"/>
      <c r="CE1645" s="34"/>
      <c r="CF1645" s="34"/>
      <c r="CG1645" s="34"/>
      <c r="CH1645" s="34"/>
      <c r="CI1645" s="34"/>
      <c r="CJ1645" s="34"/>
      <c r="CK1645" s="34"/>
      <c r="CL1645" s="34"/>
      <c r="CM1645" s="34"/>
      <c r="CN1645" s="34"/>
      <c r="CO1645" s="34"/>
      <c r="CP1645" s="34"/>
      <c r="CQ1645" s="34"/>
      <c r="CR1645" s="34"/>
      <c r="CS1645" s="34"/>
    </row>
    <row r="1646" spans="7:97" s="246" customFormat="1" x14ac:dyDescent="0.2">
      <c r="G1646" s="2188"/>
      <c r="BS1646" s="34"/>
      <c r="BT1646" s="34"/>
      <c r="BU1646" s="34"/>
      <c r="BV1646" s="34"/>
      <c r="BW1646" s="34"/>
      <c r="BX1646" s="34"/>
      <c r="BY1646" s="34"/>
      <c r="BZ1646" s="34"/>
      <c r="CA1646" s="34"/>
      <c r="CB1646" s="34"/>
      <c r="CC1646" s="34"/>
      <c r="CD1646" s="34"/>
      <c r="CE1646" s="34"/>
      <c r="CF1646" s="34"/>
      <c r="CG1646" s="34"/>
      <c r="CH1646" s="34"/>
      <c r="CI1646" s="34"/>
      <c r="CJ1646" s="34"/>
      <c r="CK1646" s="34"/>
      <c r="CL1646" s="34"/>
      <c r="CM1646" s="34"/>
      <c r="CN1646" s="34"/>
      <c r="CO1646" s="34"/>
      <c r="CP1646" s="34"/>
      <c r="CQ1646" s="34"/>
      <c r="CR1646" s="34"/>
      <c r="CS1646" s="34"/>
    </row>
    <row r="1647" spans="7:97" s="246" customFormat="1" x14ac:dyDescent="0.2">
      <c r="G1647" s="2188"/>
      <c r="BS1647" s="34"/>
      <c r="BT1647" s="34"/>
      <c r="BU1647" s="34"/>
      <c r="BV1647" s="34"/>
      <c r="BW1647" s="34"/>
      <c r="BX1647" s="34"/>
      <c r="BY1647" s="34"/>
      <c r="BZ1647" s="34"/>
      <c r="CA1647" s="34"/>
      <c r="CB1647" s="34"/>
      <c r="CC1647" s="34"/>
      <c r="CD1647" s="34"/>
      <c r="CE1647" s="34"/>
      <c r="CF1647" s="34"/>
      <c r="CG1647" s="34"/>
      <c r="CH1647" s="34"/>
      <c r="CI1647" s="34"/>
      <c r="CJ1647" s="34"/>
      <c r="CK1647" s="34"/>
      <c r="CL1647" s="34"/>
      <c r="CM1647" s="34"/>
      <c r="CN1647" s="34"/>
      <c r="CO1647" s="34"/>
      <c r="CP1647" s="34"/>
      <c r="CQ1647" s="34"/>
      <c r="CR1647" s="34"/>
      <c r="CS1647" s="34"/>
    </row>
    <row r="1648" spans="7:97" s="246" customFormat="1" x14ac:dyDescent="0.2">
      <c r="G1648" s="2188"/>
      <c r="BS1648" s="34"/>
      <c r="BT1648" s="34"/>
      <c r="BU1648" s="34"/>
      <c r="BV1648" s="34"/>
      <c r="BW1648" s="34"/>
      <c r="BX1648" s="34"/>
      <c r="BY1648" s="34"/>
      <c r="BZ1648" s="34"/>
      <c r="CA1648" s="34"/>
      <c r="CB1648" s="34"/>
      <c r="CC1648" s="34"/>
      <c r="CD1648" s="34"/>
      <c r="CE1648" s="34"/>
      <c r="CF1648" s="34"/>
      <c r="CG1648" s="34"/>
      <c r="CH1648" s="34"/>
      <c r="CI1648" s="34"/>
      <c r="CJ1648" s="34"/>
      <c r="CK1648" s="34"/>
      <c r="CL1648" s="34"/>
      <c r="CM1648" s="34"/>
      <c r="CN1648" s="34"/>
      <c r="CO1648" s="34"/>
      <c r="CP1648" s="34"/>
      <c r="CQ1648" s="34"/>
      <c r="CR1648" s="34"/>
      <c r="CS1648" s="34"/>
    </row>
    <row r="1649" spans="7:97" s="246" customFormat="1" x14ac:dyDescent="0.2">
      <c r="G1649" s="2188"/>
      <c r="BS1649" s="34"/>
      <c r="BT1649" s="34"/>
      <c r="BU1649" s="34"/>
      <c r="BV1649" s="34"/>
      <c r="BW1649" s="34"/>
      <c r="BX1649" s="34"/>
      <c r="BY1649" s="34"/>
      <c r="BZ1649" s="34"/>
      <c r="CA1649" s="34"/>
      <c r="CB1649" s="34"/>
      <c r="CC1649" s="34"/>
      <c r="CD1649" s="34"/>
      <c r="CE1649" s="34"/>
      <c r="CF1649" s="34"/>
      <c r="CG1649" s="34"/>
      <c r="CH1649" s="34"/>
      <c r="CI1649" s="34"/>
      <c r="CJ1649" s="34"/>
      <c r="CK1649" s="34"/>
      <c r="CL1649" s="34"/>
      <c r="CM1649" s="34"/>
      <c r="CN1649" s="34"/>
      <c r="CO1649" s="34"/>
      <c r="CP1649" s="34"/>
      <c r="CQ1649" s="34"/>
      <c r="CR1649" s="34"/>
      <c r="CS1649" s="34"/>
    </row>
    <row r="1650" spans="7:97" s="246" customFormat="1" x14ac:dyDescent="0.2">
      <c r="G1650" s="2188"/>
      <c r="BS1650" s="34"/>
      <c r="BT1650" s="34"/>
      <c r="BU1650" s="34"/>
      <c r="BV1650" s="34"/>
      <c r="BW1650" s="34"/>
      <c r="BX1650" s="34"/>
      <c r="BY1650" s="34"/>
      <c r="BZ1650" s="34"/>
      <c r="CA1650" s="34"/>
      <c r="CB1650" s="34"/>
      <c r="CC1650" s="34"/>
      <c r="CD1650" s="34"/>
      <c r="CE1650" s="34"/>
      <c r="CF1650" s="34"/>
      <c r="CG1650" s="34"/>
      <c r="CH1650" s="34"/>
      <c r="CI1650" s="34"/>
      <c r="CJ1650" s="34"/>
      <c r="CK1650" s="34"/>
      <c r="CL1650" s="34"/>
      <c r="CM1650" s="34"/>
      <c r="CN1650" s="34"/>
      <c r="CO1650" s="34"/>
      <c r="CP1650" s="34"/>
      <c r="CQ1650" s="34"/>
      <c r="CR1650" s="34"/>
      <c r="CS1650" s="34"/>
    </row>
    <row r="1651" spans="7:97" s="246" customFormat="1" x14ac:dyDescent="0.2">
      <c r="G1651" s="2188"/>
      <c r="BS1651" s="34"/>
      <c r="BT1651" s="34"/>
      <c r="BU1651" s="34"/>
      <c r="BV1651" s="34"/>
      <c r="BW1651" s="34"/>
      <c r="BX1651" s="34"/>
      <c r="BY1651" s="34"/>
      <c r="BZ1651" s="34"/>
      <c r="CA1651" s="34"/>
      <c r="CB1651" s="34"/>
      <c r="CC1651" s="34"/>
      <c r="CD1651" s="34"/>
      <c r="CE1651" s="34"/>
      <c r="CF1651" s="34"/>
      <c r="CG1651" s="34"/>
      <c r="CH1651" s="34"/>
      <c r="CI1651" s="34"/>
      <c r="CJ1651" s="34"/>
      <c r="CK1651" s="34"/>
      <c r="CL1651" s="34"/>
      <c r="CM1651" s="34"/>
      <c r="CN1651" s="34"/>
      <c r="CO1651" s="34"/>
      <c r="CP1651" s="34"/>
      <c r="CQ1651" s="34"/>
      <c r="CR1651" s="34"/>
      <c r="CS1651" s="34"/>
    </row>
    <row r="1652" spans="7:97" s="246" customFormat="1" x14ac:dyDescent="0.2">
      <c r="G1652" s="2188"/>
      <c r="BS1652" s="34"/>
      <c r="BT1652" s="34"/>
      <c r="BU1652" s="34"/>
      <c r="BV1652" s="34"/>
      <c r="BW1652" s="34"/>
      <c r="BX1652" s="34"/>
      <c r="BY1652" s="34"/>
      <c r="BZ1652" s="34"/>
      <c r="CA1652" s="34"/>
      <c r="CB1652" s="34"/>
      <c r="CC1652" s="34"/>
      <c r="CD1652" s="34"/>
      <c r="CE1652" s="34"/>
      <c r="CF1652" s="34"/>
      <c r="CG1652" s="34"/>
      <c r="CH1652" s="34"/>
      <c r="CI1652" s="34"/>
      <c r="CJ1652" s="34"/>
      <c r="CK1652" s="34"/>
      <c r="CL1652" s="34"/>
      <c r="CM1652" s="34"/>
      <c r="CN1652" s="34"/>
      <c r="CO1652" s="34"/>
      <c r="CP1652" s="34"/>
      <c r="CQ1652" s="34"/>
      <c r="CR1652" s="34"/>
      <c r="CS1652" s="34"/>
    </row>
    <row r="1653" spans="7:97" s="246" customFormat="1" x14ac:dyDescent="0.2">
      <c r="G1653" s="2188"/>
      <c r="BS1653" s="34"/>
      <c r="BT1653" s="34"/>
      <c r="BU1653" s="34"/>
      <c r="BV1653" s="34"/>
      <c r="BW1653" s="34"/>
      <c r="BX1653" s="34"/>
      <c r="BY1653" s="34"/>
      <c r="BZ1653" s="34"/>
      <c r="CA1653" s="34"/>
      <c r="CB1653" s="34"/>
      <c r="CC1653" s="34"/>
      <c r="CD1653" s="34"/>
      <c r="CE1653" s="34"/>
      <c r="CF1653" s="34"/>
      <c r="CG1653" s="34"/>
      <c r="CH1653" s="34"/>
      <c r="CI1653" s="34"/>
      <c r="CJ1653" s="34"/>
      <c r="CK1653" s="34"/>
      <c r="CL1653" s="34"/>
      <c r="CM1653" s="34"/>
      <c r="CN1653" s="34"/>
      <c r="CO1653" s="34"/>
      <c r="CP1653" s="34"/>
      <c r="CQ1653" s="34"/>
      <c r="CR1653" s="34"/>
      <c r="CS1653" s="34"/>
    </row>
    <row r="1654" spans="7:97" s="246" customFormat="1" x14ac:dyDescent="0.2">
      <c r="G1654" s="2188"/>
      <c r="BS1654" s="34"/>
      <c r="BT1654" s="34"/>
      <c r="BU1654" s="34"/>
      <c r="BV1654" s="34"/>
      <c r="BW1654" s="34"/>
      <c r="BX1654" s="34"/>
      <c r="BY1654" s="34"/>
      <c r="BZ1654" s="34"/>
      <c r="CA1654" s="34"/>
      <c r="CB1654" s="34"/>
      <c r="CC1654" s="34"/>
      <c r="CD1654" s="34"/>
      <c r="CE1654" s="34"/>
      <c r="CF1654" s="34"/>
      <c r="CG1654" s="34"/>
      <c r="CH1654" s="34"/>
      <c r="CI1654" s="34"/>
      <c r="CJ1654" s="34"/>
      <c r="CK1654" s="34"/>
      <c r="CL1654" s="34"/>
      <c r="CM1654" s="34"/>
      <c r="CN1654" s="34"/>
      <c r="CO1654" s="34"/>
      <c r="CP1654" s="34"/>
      <c r="CQ1654" s="34"/>
      <c r="CR1654" s="34"/>
      <c r="CS1654" s="34"/>
    </row>
    <row r="1655" spans="7:97" s="246" customFormat="1" x14ac:dyDescent="0.2">
      <c r="G1655" s="2188"/>
      <c r="BS1655" s="34"/>
      <c r="BT1655" s="34"/>
      <c r="BU1655" s="34"/>
      <c r="BV1655" s="34"/>
      <c r="BW1655" s="34"/>
      <c r="BX1655" s="34"/>
      <c r="BY1655" s="34"/>
      <c r="BZ1655" s="34"/>
      <c r="CA1655" s="34"/>
      <c r="CB1655" s="34"/>
      <c r="CC1655" s="34"/>
      <c r="CD1655" s="34"/>
      <c r="CE1655" s="34"/>
      <c r="CF1655" s="34"/>
      <c r="CG1655" s="34"/>
      <c r="CH1655" s="34"/>
      <c r="CI1655" s="34"/>
      <c r="CJ1655" s="34"/>
      <c r="CK1655" s="34"/>
      <c r="CL1655" s="34"/>
      <c r="CM1655" s="34"/>
      <c r="CN1655" s="34"/>
      <c r="CO1655" s="34"/>
      <c r="CP1655" s="34"/>
      <c r="CQ1655" s="34"/>
      <c r="CR1655" s="34"/>
      <c r="CS1655" s="34"/>
    </row>
    <row r="1656" spans="7:97" s="246" customFormat="1" x14ac:dyDescent="0.2">
      <c r="G1656" s="2188"/>
      <c r="BS1656" s="34"/>
      <c r="BT1656" s="34"/>
      <c r="BU1656" s="34"/>
      <c r="BV1656" s="34"/>
      <c r="BW1656" s="34"/>
      <c r="BX1656" s="34"/>
      <c r="BY1656" s="34"/>
      <c r="BZ1656" s="34"/>
      <c r="CA1656" s="34"/>
      <c r="CB1656" s="34"/>
      <c r="CC1656" s="34"/>
      <c r="CD1656" s="34"/>
      <c r="CE1656" s="34"/>
      <c r="CF1656" s="34"/>
      <c r="CG1656" s="34"/>
      <c r="CH1656" s="34"/>
      <c r="CI1656" s="34"/>
      <c r="CJ1656" s="34"/>
      <c r="CK1656" s="34"/>
      <c r="CL1656" s="34"/>
      <c r="CM1656" s="34"/>
      <c r="CN1656" s="34"/>
      <c r="CO1656" s="34"/>
      <c r="CP1656" s="34"/>
      <c r="CQ1656" s="34"/>
      <c r="CR1656" s="34"/>
      <c r="CS1656" s="34"/>
    </row>
    <row r="1657" spans="7:97" s="246" customFormat="1" x14ac:dyDescent="0.2">
      <c r="G1657" s="2188"/>
      <c r="BS1657" s="34"/>
      <c r="BT1657" s="34"/>
      <c r="BU1657" s="34"/>
      <c r="BV1657" s="34"/>
      <c r="BW1657" s="34"/>
      <c r="BX1657" s="34"/>
      <c r="BY1657" s="34"/>
      <c r="BZ1657" s="34"/>
      <c r="CA1657" s="34"/>
      <c r="CB1657" s="34"/>
      <c r="CC1657" s="34"/>
      <c r="CD1657" s="34"/>
      <c r="CE1657" s="34"/>
      <c r="CF1657" s="34"/>
      <c r="CG1657" s="34"/>
      <c r="CH1657" s="34"/>
      <c r="CI1657" s="34"/>
      <c r="CJ1657" s="34"/>
      <c r="CK1657" s="34"/>
      <c r="CL1657" s="34"/>
      <c r="CM1657" s="34"/>
      <c r="CN1657" s="34"/>
      <c r="CO1657" s="34"/>
      <c r="CP1657" s="34"/>
      <c r="CQ1657" s="34"/>
      <c r="CR1657" s="34"/>
      <c r="CS1657" s="34"/>
    </row>
    <row r="1658" spans="7:97" s="246" customFormat="1" x14ac:dyDescent="0.2">
      <c r="G1658" s="2188"/>
      <c r="BS1658" s="34"/>
      <c r="BT1658" s="34"/>
      <c r="BU1658" s="34"/>
      <c r="BV1658" s="34"/>
      <c r="BW1658" s="34"/>
      <c r="BX1658" s="34"/>
      <c r="BY1658" s="34"/>
      <c r="BZ1658" s="34"/>
      <c r="CA1658" s="34"/>
      <c r="CB1658" s="34"/>
      <c r="CC1658" s="34"/>
      <c r="CD1658" s="34"/>
      <c r="CE1658" s="34"/>
      <c r="CF1658" s="34"/>
      <c r="CG1658" s="34"/>
      <c r="CH1658" s="34"/>
      <c r="CI1658" s="34"/>
      <c r="CJ1658" s="34"/>
      <c r="CK1658" s="34"/>
      <c r="CL1658" s="34"/>
      <c r="CM1658" s="34"/>
      <c r="CN1658" s="34"/>
      <c r="CO1658" s="34"/>
      <c r="CP1658" s="34"/>
      <c r="CQ1658" s="34"/>
      <c r="CR1658" s="34"/>
      <c r="CS1658" s="34"/>
    </row>
    <row r="1659" spans="7:97" s="246" customFormat="1" x14ac:dyDescent="0.2">
      <c r="G1659" s="2188"/>
      <c r="BS1659" s="34"/>
      <c r="BT1659" s="34"/>
      <c r="BU1659" s="34"/>
      <c r="BV1659" s="34"/>
      <c r="BW1659" s="34"/>
      <c r="BX1659" s="34"/>
      <c r="BY1659" s="34"/>
      <c r="BZ1659" s="34"/>
      <c r="CA1659" s="34"/>
      <c r="CB1659" s="34"/>
      <c r="CC1659" s="34"/>
      <c r="CD1659" s="34"/>
      <c r="CE1659" s="34"/>
      <c r="CF1659" s="34"/>
      <c r="CG1659" s="34"/>
      <c r="CH1659" s="34"/>
      <c r="CI1659" s="34"/>
      <c r="CJ1659" s="34"/>
      <c r="CK1659" s="34"/>
      <c r="CL1659" s="34"/>
      <c r="CM1659" s="34"/>
      <c r="CN1659" s="34"/>
      <c r="CO1659" s="34"/>
      <c r="CP1659" s="34"/>
      <c r="CQ1659" s="34"/>
      <c r="CR1659" s="34"/>
      <c r="CS1659" s="34"/>
    </row>
    <row r="1660" spans="7:97" s="246" customFormat="1" x14ac:dyDescent="0.2">
      <c r="G1660" s="2188"/>
      <c r="BS1660" s="34"/>
      <c r="BT1660" s="34"/>
      <c r="BU1660" s="34"/>
      <c r="BV1660" s="34"/>
      <c r="BW1660" s="34"/>
      <c r="BX1660" s="34"/>
      <c r="BY1660" s="34"/>
      <c r="BZ1660" s="34"/>
      <c r="CA1660" s="34"/>
      <c r="CB1660" s="34"/>
      <c r="CC1660" s="34"/>
      <c r="CD1660" s="34"/>
      <c r="CE1660" s="34"/>
      <c r="CF1660" s="34"/>
      <c r="CG1660" s="34"/>
      <c r="CH1660" s="34"/>
      <c r="CI1660" s="34"/>
      <c r="CJ1660" s="34"/>
      <c r="CK1660" s="34"/>
      <c r="CL1660" s="34"/>
      <c r="CM1660" s="34"/>
      <c r="CN1660" s="34"/>
      <c r="CO1660" s="34"/>
      <c r="CP1660" s="34"/>
      <c r="CQ1660" s="34"/>
      <c r="CR1660" s="34"/>
      <c r="CS1660" s="34"/>
    </row>
    <row r="1661" spans="7:97" s="246" customFormat="1" x14ac:dyDescent="0.2">
      <c r="G1661" s="2188"/>
      <c r="BS1661" s="34"/>
      <c r="BT1661" s="34"/>
      <c r="BU1661" s="34"/>
      <c r="BV1661" s="34"/>
      <c r="BW1661" s="34"/>
      <c r="BX1661" s="34"/>
      <c r="BY1661" s="34"/>
      <c r="BZ1661" s="34"/>
      <c r="CA1661" s="34"/>
      <c r="CB1661" s="34"/>
      <c r="CC1661" s="34"/>
      <c r="CD1661" s="34"/>
      <c r="CE1661" s="34"/>
      <c r="CF1661" s="34"/>
      <c r="CG1661" s="34"/>
      <c r="CH1661" s="34"/>
      <c r="CI1661" s="34"/>
      <c r="CJ1661" s="34"/>
      <c r="CK1661" s="34"/>
      <c r="CL1661" s="34"/>
      <c r="CM1661" s="34"/>
      <c r="CN1661" s="34"/>
      <c r="CO1661" s="34"/>
      <c r="CP1661" s="34"/>
      <c r="CQ1661" s="34"/>
      <c r="CR1661" s="34"/>
      <c r="CS1661" s="34"/>
    </row>
    <row r="1662" spans="7:97" s="246" customFormat="1" x14ac:dyDescent="0.2">
      <c r="G1662" s="2188"/>
      <c r="BS1662" s="34"/>
      <c r="BT1662" s="34"/>
      <c r="BU1662" s="34"/>
      <c r="BV1662" s="34"/>
      <c r="BW1662" s="34"/>
      <c r="BX1662" s="34"/>
      <c r="BY1662" s="34"/>
      <c r="BZ1662" s="34"/>
      <c r="CA1662" s="34"/>
      <c r="CB1662" s="34"/>
      <c r="CC1662" s="34"/>
      <c r="CD1662" s="34"/>
      <c r="CE1662" s="34"/>
      <c r="CF1662" s="34"/>
      <c r="CG1662" s="34"/>
      <c r="CH1662" s="34"/>
      <c r="CI1662" s="34"/>
      <c r="CJ1662" s="34"/>
      <c r="CK1662" s="34"/>
      <c r="CL1662" s="34"/>
      <c r="CM1662" s="34"/>
      <c r="CN1662" s="34"/>
      <c r="CO1662" s="34"/>
      <c r="CP1662" s="34"/>
      <c r="CQ1662" s="34"/>
      <c r="CR1662" s="34"/>
      <c r="CS1662" s="34"/>
    </row>
    <row r="1663" spans="7:97" s="246" customFormat="1" x14ac:dyDescent="0.2">
      <c r="G1663" s="2188"/>
      <c r="BS1663" s="34"/>
      <c r="BT1663" s="34"/>
      <c r="BU1663" s="34"/>
      <c r="BV1663" s="34"/>
      <c r="BW1663" s="34"/>
      <c r="BX1663" s="34"/>
      <c r="BY1663" s="34"/>
      <c r="BZ1663" s="34"/>
      <c r="CA1663" s="34"/>
      <c r="CB1663" s="34"/>
      <c r="CC1663" s="34"/>
      <c r="CD1663" s="34"/>
      <c r="CE1663" s="34"/>
      <c r="CF1663" s="34"/>
      <c r="CG1663" s="34"/>
      <c r="CH1663" s="34"/>
      <c r="CI1663" s="34"/>
      <c r="CJ1663" s="34"/>
      <c r="CK1663" s="34"/>
      <c r="CL1663" s="34"/>
      <c r="CM1663" s="34"/>
      <c r="CN1663" s="34"/>
      <c r="CO1663" s="34"/>
      <c r="CP1663" s="34"/>
      <c r="CQ1663" s="34"/>
      <c r="CR1663" s="34"/>
      <c r="CS1663" s="34"/>
    </row>
    <row r="1664" spans="7:97" s="246" customFormat="1" x14ac:dyDescent="0.2">
      <c r="G1664" s="2188"/>
      <c r="BS1664" s="34"/>
      <c r="BT1664" s="34"/>
      <c r="BU1664" s="34"/>
      <c r="BV1664" s="34"/>
      <c r="BW1664" s="34"/>
      <c r="BX1664" s="34"/>
      <c r="BY1664" s="34"/>
      <c r="BZ1664" s="34"/>
      <c r="CA1664" s="34"/>
      <c r="CB1664" s="34"/>
      <c r="CC1664" s="34"/>
      <c r="CD1664" s="34"/>
      <c r="CE1664" s="34"/>
      <c r="CF1664" s="34"/>
      <c r="CG1664" s="34"/>
      <c r="CH1664" s="34"/>
      <c r="CI1664" s="34"/>
      <c r="CJ1664" s="34"/>
      <c r="CK1664" s="34"/>
      <c r="CL1664" s="34"/>
      <c r="CM1664" s="34"/>
      <c r="CN1664" s="34"/>
      <c r="CO1664" s="34"/>
      <c r="CP1664" s="34"/>
      <c r="CQ1664" s="34"/>
      <c r="CR1664" s="34"/>
      <c r="CS1664" s="34"/>
    </row>
    <row r="1665" spans="7:97" s="246" customFormat="1" x14ac:dyDescent="0.2">
      <c r="G1665" s="2188"/>
      <c r="BS1665" s="34"/>
      <c r="BT1665" s="34"/>
      <c r="BU1665" s="34"/>
      <c r="BV1665" s="34"/>
      <c r="BW1665" s="34"/>
      <c r="BX1665" s="34"/>
      <c r="BY1665" s="34"/>
      <c r="BZ1665" s="34"/>
      <c r="CA1665" s="34"/>
      <c r="CB1665" s="34"/>
      <c r="CC1665" s="34"/>
      <c r="CD1665" s="34"/>
      <c r="CE1665" s="34"/>
      <c r="CF1665" s="34"/>
      <c r="CG1665" s="34"/>
      <c r="CH1665" s="34"/>
      <c r="CI1665" s="34"/>
      <c r="CJ1665" s="34"/>
      <c r="CK1665" s="34"/>
      <c r="CL1665" s="34"/>
      <c r="CM1665" s="34"/>
      <c r="CN1665" s="34"/>
      <c r="CO1665" s="34"/>
      <c r="CP1665" s="34"/>
      <c r="CQ1665" s="34"/>
      <c r="CR1665" s="34"/>
      <c r="CS1665" s="34"/>
    </row>
    <row r="1666" spans="7:97" s="246" customFormat="1" x14ac:dyDescent="0.2">
      <c r="G1666" s="2188"/>
      <c r="BS1666" s="34"/>
      <c r="BT1666" s="34"/>
      <c r="BU1666" s="34"/>
      <c r="BV1666" s="34"/>
      <c r="BW1666" s="34"/>
      <c r="BX1666" s="34"/>
      <c r="BY1666" s="34"/>
      <c r="BZ1666" s="34"/>
      <c r="CA1666" s="34"/>
      <c r="CB1666" s="34"/>
      <c r="CC1666" s="34"/>
      <c r="CD1666" s="34"/>
      <c r="CE1666" s="34"/>
      <c r="CF1666" s="34"/>
      <c r="CG1666" s="34"/>
      <c r="CH1666" s="34"/>
      <c r="CI1666" s="34"/>
      <c r="CJ1666" s="34"/>
      <c r="CK1666" s="34"/>
      <c r="CL1666" s="34"/>
      <c r="CM1666" s="34"/>
      <c r="CN1666" s="34"/>
      <c r="CO1666" s="34"/>
      <c r="CP1666" s="34"/>
      <c r="CQ1666" s="34"/>
      <c r="CR1666" s="34"/>
      <c r="CS1666" s="34"/>
    </row>
    <row r="1667" spans="7:97" s="246" customFormat="1" x14ac:dyDescent="0.2">
      <c r="G1667" s="2188"/>
      <c r="BS1667" s="34"/>
      <c r="BT1667" s="34"/>
      <c r="BU1667" s="34"/>
      <c r="BV1667" s="34"/>
      <c r="BW1667" s="34"/>
      <c r="BX1667" s="34"/>
      <c r="BY1667" s="34"/>
      <c r="BZ1667" s="34"/>
      <c r="CA1667" s="34"/>
      <c r="CB1667" s="34"/>
      <c r="CC1667" s="34"/>
      <c r="CD1667" s="34"/>
      <c r="CE1667" s="34"/>
      <c r="CF1667" s="34"/>
      <c r="CG1667" s="34"/>
      <c r="CH1667" s="34"/>
      <c r="CI1667" s="34"/>
      <c r="CJ1667" s="34"/>
      <c r="CK1667" s="34"/>
      <c r="CL1667" s="34"/>
      <c r="CM1667" s="34"/>
      <c r="CN1667" s="34"/>
      <c r="CO1667" s="34"/>
      <c r="CP1667" s="34"/>
      <c r="CQ1667" s="34"/>
      <c r="CR1667" s="34"/>
      <c r="CS1667" s="34"/>
    </row>
    <row r="1668" spans="7:97" s="246" customFormat="1" x14ac:dyDescent="0.2">
      <c r="G1668" s="2188"/>
      <c r="BS1668" s="34"/>
      <c r="BT1668" s="34"/>
      <c r="BU1668" s="34"/>
      <c r="BV1668" s="34"/>
      <c r="BW1668" s="34"/>
      <c r="BX1668" s="34"/>
      <c r="BY1668" s="34"/>
      <c r="BZ1668" s="34"/>
      <c r="CA1668" s="34"/>
      <c r="CB1668" s="34"/>
      <c r="CC1668" s="34"/>
      <c r="CD1668" s="34"/>
      <c r="CE1668" s="34"/>
      <c r="CF1668" s="34"/>
      <c r="CG1668" s="34"/>
      <c r="CH1668" s="34"/>
      <c r="CI1668" s="34"/>
      <c r="CJ1668" s="34"/>
      <c r="CK1668" s="34"/>
      <c r="CL1668" s="34"/>
      <c r="CM1668" s="34"/>
      <c r="CN1668" s="34"/>
      <c r="CO1668" s="34"/>
      <c r="CP1668" s="34"/>
      <c r="CQ1668" s="34"/>
      <c r="CR1668" s="34"/>
      <c r="CS1668" s="34"/>
    </row>
    <row r="1669" spans="7:97" s="246" customFormat="1" x14ac:dyDescent="0.2">
      <c r="G1669" s="2188"/>
      <c r="BS1669" s="34"/>
      <c r="BT1669" s="34"/>
      <c r="BU1669" s="34"/>
      <c r="BV1669" s="34"/>
      <c r="BW1669" s="34"/>
      <c r="BX1669" s="34"/>
      <c r="BY1669" s="34"/>
      <c r="BZ1669" s="34"/>
      <c r="CA1669" s="34"/>
      <c r="CB1669" s="34"/>
      <c r="CC1669" s="34"/>
      <c r="CD1669" s="34"/>
      <c r="CE1669" s="34"/>
      <c r="CF1669" s="34"/>
      <c r="CG1669" s="34"/>
      <c r="CH1669" s="34"/>
      <c r="CI1669" s="34"/>
      <c r="CJ1669" s="34"/>
      <c r="CK1669" s="34"/>
      <c r="CL1669" s="34"/>
      <c r="CM1669" s="34"/>
      <c r="CN1669" s="34"/>
      <c r="CO1669" s="34"/>
      <c r="CP1669" s="34"/>
      <c r="CQ1669" s="34"/>
      <c r="CR1669" s="34"/>
      <c r="CS1669" s="34"/>
    </row>
    <row r="1670" spans="7:97" s="246" customFormat="1" x14ac:dyDescent="0.2">
      <c r="G1670" s="2188"/>
      <c r="BS1670" s="34"/>
      <c r="BT1670" s="34"/>
      <c r="BU1670" s="34"/>
      <c r="BV1670" s="34"/>
      <c r="BW1670" s="34"/>
      <c r="BX1670" s="34"/>
      <c r="BY1670" s="34"/>
      <c r="BZ1670" s="34"/>
      <c r="CA1670" s="34"/>
      <c r="CB1670" s="34"/>
      <c r="CC1670" s="34"/>
      <c r="CD1670" s="34"/>
      <c r="CE1670" s="34"/>
      <c r="CF1670" s="34"/>
      <c r="CG1670" s="34"/>
      <c r="CH1670" s="34"/>
      <c r="CI1670" s="34"/>
      <c r="CJ1670" s="34"/>
      <c r="CK1670" s="34"/>
      <c r="CL1670" s="34"/>
      <c r="CM1670" s="34"/>
      <c r="CN1670" s="34"/>
      <c r="CO1670" s="34"/>
      <c r="CP1670" s="34"/>
      <c r="CQ1670" s="34"/>
      <c r="CR1670" s="34"/>
      <c r="CS1670" s="34"/>
    </row>
    <row r="1671" spans="7:97" s="246" customFormat="1" x14ac:dyDescent="0.2">
      <c r="G1671" s="2188"/>
      <c r="BS1671" s="34"/>
      <c r="BT1671" s="34"/>
      <c r="BU1671" s="34"/>
      <c r="BV1671" s="34"/>
      <c r="BW1671" s="34"/>
      <c r="BX1671" s="34"/>
      <c r="BY1671" s="34"/>
      <c r="BZ1671" s="34"/>
      <c r="CA1671" s="34"/>
      <c r="CB1671" s="34"/>
      <c r="CC1671" s="34"/>
      <c r="CD1671" s="34"/>
      <c r="CE1671" s="34"/>
      <c r="CF1671" s="34"/>
      <c r="CG1671" s="34"/>
      <c r="CH1671" s="34"/>
      <c r="CI1671" s="34"/>
      <c r="CJ1671" s="34"/>
      <c r="CK1671" s="34"/>
      <c r="CL1671" s="34"/>
      <c r="CM1671" s="34"/>
      <c r="CN1671" s="34"/>
      <c r="CO1671" s="34"/>
      <c r="CP1671" s="34"/>
      <c r="CQ1671" s="34"/>
      <c r="CR1671" s="34"/>
      <c r="CS1671" s="34"/>
    </row>
    <row r="1672" spans="7:97" s="246" customFormat="1" x14ac:dyDescent="0.2">
      <c r="G1672" s="2188"/>
      <c r="BS1672" s="34"/>
      <c r="BT1672" s="34"/>
      <c r="BU1672" s="34"/>
      <c r="BV1672" s="34"/>
      <c r="BW1672" s="34"/>
      <c r="BX1672" s="34"/>
      <c r="BY1672" s="34"/>
      <c r="BZ1672" s="34"/>
      <c r="CA1672" s="34"/>
      <c r="CB1672" s="34"/>
      <c r="CC1672" s="34"/>
      <c r="CD1672" s="34"/>
      <c r="CE1672" s="34"/>
      <c r="CF1672" s="34"/>
      <c r="CG1672" s="34"/>
      <c r="CH1672" s="34"/>
      <c r="CI1672" s="34"/>
      <c r="CJ1672" s="34"/>
      <c r="CK1672" s="34"/>
      <c r="CL1672" s="34"/>
      <c r="CM1672" s="34"/>
      <c r="CN1672" s="34"/>
      <c r="CO1672" s="34"/>
      <c r="CP1672" s="34"/>
      <c r="CQ1672" s="34"/>
      <c r="CR1672" s="34"/>
      <c r="CS1672" s="34"/>
    </row>
    <row r="1673" spans="7:97" s="246" customFormat="1" x14ac:dyDescent="0.2">
      <c r="G1673" s="2188"/>
      <c r="BS1673" s="34"/>
      <c r="BT1673" s="34"/>
      <c r="BU1673" s="34"/>
      <c r="BV1673" s="34"/>
      <c r="BW1673" s="34"/>
      <c r="BX1673" s="34"/>
      <c r="BY1673" s="34"/>
      <c r="BZ1673" s="34"/>
      <c r="CA1673" s="34"/>
      <c r="CB1673" s="34"/>
      <c r="CC1673" s="34"/>
      <c r="CD1673" s="34"/>
      <c r="CE1673" s="34"/>
      <c r="CF1673" s="34"/>
      <c r="CG1673" s="34"/>
      <c r="CH1673" s="34"/>
      <c r="CI1673" s="34"/>
      <c r="CJ1673" s="34"/>
      <c r="CK1673" s="34"/>
      <c r="CL1673" s="34"/>
      <c r="CM1673" s="34"/>
      <c r="CN1673" s="34"/>
      <c r="CO1673" s="34"/>
      <c r="CP1673" s="34"/>
      <c r="CQ1673" s="34"/>
      <c r="CR1673" s="34"/>
      <c r="CS1673" s="34"/>
    </row>
    <row r="1674" spans="7:97" s="246" customFormat="1" x14ac:dyDescent="0.2">
      <c r="G1674" s="2188"/>
      <c r="BS1674" s="34"/>
      <c r="BT1674" s="34"/>
      <c r="BU1674" s="34"/>
      <c r="BV1674" s="34"/>
      <c r="BW1674" s="34"/>
      <c r="BX1674" s="34"/>
      <c r="BY1674" s="34"/>
      <c r="BZ1674" s="34"/>
      <c r="CA1674" s="34"/>
      <c r="CB1674" s="34"/>
      <c r="CC1674" s="34"/>
      <c r="CD1674" s="34"/>
      <c r="CE1674" s="34"/>
      <c r="CF1674" s="34"/>
      <c r="CG1674" s="34"/>
      <c r="CH1674" s="34"/>
      <c r="CI1674" s="34"/>
      <c r="CJ1674" s="34"/>
      <c r="CK1674" s="34"/>
      <c r="CL1674" s="34"/>
      <c r="CM1674" s="34"/>
      <c r="CN1674" s="34"/>
      <c r="CO1674" s="34"/>
      <c r="CP1674" s="34"/>
      <c r="CQ1674" s="34"/>
      <c r="CR1674" s="34"/>
      <c r="CS1674" s="34"/>
    </row>
    <row r="1675" spans="7:97" s="246" customFormat="1" x14ac:dyDescent="0.2">
      <c r="G1675" s="2188"/>
      <c r="BS1675" s="34"/>
      <c r="BT1675" s="34"/>
      <c r="BU1675" s="34"/>
      <c r="BV1675" s="34"/>
      <c r="BW1675" s="34"/>
      <c r="BX1675" s="34"/>
      <c r="BY1675" s="34"/>
      <c r="BZ1675" s="34"/>
      <c r="CA1675" s="34"/>
      <c r="CB1675" s="34"/>
      <c r="CC1675" s="34"/>
      <c r="CD1675" s="34"/>
      <c r="CE1675" s="34"/>
      <c r="CF1675" s="34"/>
      <c r="CG1675" s="34"/>
      <c r="CH1675" s="34"/>
      <c r="CI1675" s="34"/>
      <c r="CJ1675" s="34"/>
      <c r="CK1675" s="34"/>
      <c r="CL1675" s="34"/>
      <c r="CM1675" s="34"/>
      <c r="CN1675" s="34"/>
      <c r="CO1675" s="34"/>
      <c r="CP1675" s="34"/>
      <c r="CQ1675" s="34"/>
      <c r="CR1675" s="34"/>
      <c r="CS1675" s="34"/>
    </row>
    <row r="1676" spans="7:97" s="246" customFormat="1" x14ac:dyDescent="0.2">
      <c r="G1676" s="2188"/>
      <c r="BS1676" s="34"/>
      <c r="BT1676" s="34"/>
      <c r="BU1676" s="34"/>
      <c r="BV1676" s="34"/>
      <c r="BW1676" s="34"/>
      <c r="BX1676" s="34"/>
      <c r="BY1676" s="34"/>
      <c r="BZ1676" s="34"/>
      <c r="CA1676" s="34"/>
      <c r="CB1676" s="34"/>
      <c r="CC1676" s="34"/>
      <c r="CD1676" s="34"/>
      <c r="CE1676" s="34"/>
      <c r="CF1676" s="34"/>
      <c r="CG1676" s="34"/>
      <c r="CH1676" s="34"/>
      <c r="CI1676" s="34"/>
      <c r="CJ1676" s="34"/>
      <c r="CK1676" s="34"/>
      <c r="CL1676" s="34"/>
      <c r="CM1676" s="34"/>
      <c r="CN1676" s="34"/>
      <c r="CO1676" s="34"/>
      <c r="CP1676" s="34"/>
      <c r="CQ1676" s="34"/>
      <c r="CR1676" s="34"/>
      <c r="CS1676" s="34"/>
    </row>
    <row r="1677" spans="7:97" s="246" customFormat="1" x14ac:dyDescent="0.2">
      <c r="G1677" s="2188"/>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row>
    <row r="1678" spans="7:97" s="246" customFormat="1" x14ac:dyDescent="0.2">
      <c r="G1678" s="2188"/>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row>
    <row r="1679" spans="7:97" s="246" customFormat="1" x14ac:dyDescent="0.2">
      <c r="G1679" s="2188"/>
      <c r="BS1679" s="34"/>
      <c r="BT1679" s="34"/>
      <c r="BU1679" s="34"/>
      <c r="BV1679" s="34"/>
      <c r="BW1679" s="34"/>
      <c r="BX1679" s="34"/>
      <c r="BY1679" s="34"/>
      <c r="BZ1679" s="34"/>
      <c r="CA1679" s="34"/>
      <c r="CB1679" s="34"/>
      <c r="CC1679" s="34"/>
      <c r="CD1679" s="34"/>
      <c r="CE1679" s="34"/>
      <c r="CF1679" s="34"/>
      <c r="CG1679" s="34"/>
      <c r="CH1679" s="34"/>
      <c r="CI1679" s="34"/>
      <c r="CJ1679" s="34"/>
      <c r="CK1679" s="34"/>
      <c r="CL1679" s="34"/>
      <c r="CM1679" s="34"/>
      <c r="CN1679" s="34"/>
      <c r="CO1679" s="34"/>
      <c r="CP1679" s="34"/>
      <c r="CQ1679" s="34"/>
      <c r="CR1679" s="34"/>
      <c r="CS1679" s="34"/>
    </row>
    <row r="1680" spans="7:97" s="246" customFormat="1" x14ac:dyDescent="0.2">
      <c r="G1680" s="2188"/>
      <c r="BS1680" s="34"/>
      <c r="BT1680" s="34"/>
      <c r="BU1680" s="34"/>
      <c r="BV1680" s="34"/>
      <c r="BW1680" s="34"/>
      <c r="BX1680" s="34"/>
      <c r="BY1680" s="34"/>
      <c r="BZ1680" s="34"/>
      <c r="CA1680" s="34"/>
      <c r="CB1680" s="34"/>
      <c r="CC1680" s="34"/>
      <c r="CD1680" s="34"/>
      <c r="CE1680" s="34"/>
      <c r="CF1680" s="34"/>
      <c r="CG1680" s="34"/>
      <c r="CH1680" s="34"/>
      <c r="CI1680" s="34"/>
      <c r="CJ1680" s="34"/>
      <c r="CK1680" s="34"/>
      <c r="CL1680" s="34"/>
      <c r="CM1680" s="34"/>
      <c r="CN1680" s="34"/>
      <c r="CO1680" s="34"/>
      <c r="CP1680" s="34"/>
      <c r="CQ1680" s="34"/>
      <c r="CR1680" s="34"/>
      <c r="CS1680" s="34"/>
    </row>
    <row r="1681" spans="7:97" s="246" customFormat="1" x14ac:dyDescent="0.2">
      <c r="G1681" s="2188"/>
      <c r="BS1681" s="34"/>
      <c r="BT1681" s="34"/>
      <c r="BU1681" s="34"/>
      <c r="BV1681" s="34"/>
      <c r="BW1681" s="34"/>
      <c r="BX1681" s="34"/>
      <c r="BY1681" s="34"/>
      <c r="BZ1681" s="34"/>
      <c r="CA1681" s="34"/>
      <c r="CB1681" s="34"/>
      <c r="CC1681" s="34"/>
      <c r="CD1681" s="34"/>
      <c r="CE1681" s="34"/>
      <c r="CF1681" s="34"/>
      <c r="CG1681" s="34"/>
      <c r="CH1681" s="34"/>
      <c r="CI1681" s="34"/>
      <c r="CJ1681" s="34"/>
      <c r="CK1681" s="34"/>
      <c r="CL1681" s="34"/>
      <c r="CM1681" s="34"/>
      <c r="CN1681" s="34"/>
      <c r="CO1681" s="34"/>
      <c r="CP1681" s="34"/>
      <c r="CQ1681" s="34"/>
      <c r="CR1681" s="34"/>
      <c r="CS1681" s="34"/>
    </row>
    <row r="1682" spans="7:97" s="246" customFormat="1" x14ac:dyDescent="0.2">
      <c r="G1682" s="2188"/>
      <c r="BS1682" s="34"/>
      <c r="BT1682" s="34"/>
      <c r="BU1682" s="34"/>
      <c r="BV1682" s="34"/>
      <c r="BW1682" s="34"/>
      <c r="BX1682" s="34"/>
      <c r="BY1682" s="34"/>
      <c r="BZ1682" s="34"/>
      <c r="CA1682" s="34"/>
      <c r="CB1682" s="34"/>
      <c r="CC1682" s="34"/>
      <c r="CD1682" s="34"/>
      <c r="CE1682" s="34"/>
      <c r="CF1682" s="34"/>
      <c r="CG1682" s="34"/>
      <c r="CH1682" s="34"/>
      <c r="CI1682" s="34"/>
      <c r="CJ1682" s="34"/>
      <c r="CK1682" s="34"/>
      <c r="CL1682" s="34"/>
      <c r="CM1682" s="34"/>
      <c r="CN1682" s="34"/>
      <c r="CO1682" s="34"/>
      <c r="CP1682" s="34"/>
      <c r="CQ1682" s="34"/>
      <c r="CR1682" s="34"/>
      <c r="CS1682" s="34"/>
    </row>
    <row r="1683" spans="7:97" s="246" customFormat="1" x14ac:dyDescent="0.2">
      <c r="G1683" s="2188"/>
      <c r="BS1683" s="34"/>
      <c r="BT1683" s="34"/>
      <c r="BU1683" s="34"/>
      <c r="BV1683" s="34"/>
      <c r="BW1683" s="34"/>
      <c r="BX1683" s="34"/>
      <c r="BY1683" s="34"/>
      <c r="BZ1683" s="34"/>
      <c r="CA1683" s="34"/>
      <c r="CB1683" s="34"/>
      <c r="CC1683" s="34"/>
      <c r="CD1683" s="34"/>
      <c r="CE1683" s="34"/>
      <c r="CF1683" s="34"/>
      <c r="CG1683" s="34"/>
      <c r="CH1683" s="34"/>
      <c r="CI1683" s="34"/>
      <c r="CJ1683" s="34"/>
      <c r="CK1683" s="34"/>
      <c r="CL1683" s="34"/>
      <c r="CM1683" s="34"/>
      <c r="CN1683" s="34"/>
      <c r="CO1683" s="34"/>
      <c r="CP1683" s="34"/>
      <c r="CQ1683" s="34"/>
      <c r="CR1683" s="34"/>
      <c r="CS1683" s="34"/>
    </row>
    <row r="1684" spans="7:97" s="246" customFormat="1" x14ac:dyDescent="0.2">
      <c r="G1684" s="2188"/>
      <c r="BS1684" s="34"/>
      <c r="BT1684" s="34"/>
      <c r="BU1684" s="34"/>
      <c r="BV1684" s="34"/>
      <c r="BW1684" s="34"/>
      <c r="BX1684" s="34"/>
      <c r="BY1684" s="34"/>
      <c r="BZ1684" s="34"/>
      <c r="CA1684" s="34"/>
      <c r="CB1684" s="34"/>
      <c r="CC1684" s="34"/>
      <c r="CD1684" s="34"/>
      <c r="CE1684" s="34"/>
      <c r="CF1684" s="34"/>
      <c r="CG1684" s="34"/>
      <c r="CH1684" s="34"/>
      <c r="CI1684" s="34"/>
      <c r="CJ1684" s="34"/>
      <c r="CK1684" s="34"/>
      <c r="CL1684" s="34"/>
      <c r="CM1684" s="34"/>
      <c r="CN1684" s="34"/>
      <c r="CO1684" s="34"/>
      <c r="CP1684" s="34"/>
      <c r="CQ1684" s="34"/>
      <c r="CR1684" s="34"/>
      <c r="CS1684" s="34"/>
    </row>
    <row r="1685" spans="7:97" s="246" customFormat="1" x14ac:dyDescent="0.2">
      <c r="G1685" s="2188"/>
      <c r="BS1685" s="34"/>
      <c r="BT1685" s="34"/>
      <c r="BU1685" s="34"/>
      <c r="BV1685" s="34"/>
      <c r="BW1685" s="34"/>
      <c r="BX1685" s="34"/>
      <c r="BY1685" s="34"/>
      <c r="BZ1685" s="34"/>
      <c r="CA1685" s="34"/>
      <c r="CB1685" s="34"/>
      <c r="CC1685" s="34"/>
      <c r="CD1685" s="34"/>
      <c r="CE1685" s="34"/>
      <c r="CF1685" s="34"/>
      <c r="CG1685" s="34"/>
      <c r="CH1685" s="34"/>
      <c r="CI1685" s="34"/>
      <c r="CJ1685" s="34"/>
      <c r="CK1685" s="34"/>
      <c r="CL1685" s="34"/>
      <c r="CM1685" s="34"/>
      <c r="CN1685" s="34"/>
      <c r="CO1685" s="34"/>
      <c r="CP1685" s="34"/>
      <c r="CQ1685" s="34"/>
      <c r="CR1685" s="34"/>
      <c r="CS1685" s="34"/>
    </row>
    <row r="1686" spans="7:97" s="246" customFormat="1" x14ac:dyDescent="0.2">
      <c r="G1686" s="2188"/>
      <c r="BS1686" s="34"/>
      <c r="BT1686" s="34"/>
      <c r="BU1686" s="34"/>
      <c r="BV1686" s="34"/>
      <c r="BW1686" s="34"/>
      <c r="BX1686" s="34"/>
      <c r="BY1686" s="34"/>
      <c r="BZ1686" s="34"/>
      <c r="CA1686" s="34"/>
      <c r="CB1686" s="34"/>
      <c r="CC1686" s="34"/>
      <c r="CD1686" s="34"/>
      <c r="CE1686" s="34"/>
      <c r="CF1686" s="34"/>
      <c r="CG1686" s="34"/>
      <c r="CH1686" s="34"/>
      <c r="CI1686" s="34"/>
      <c r="CJ1686" s="34"/>
      <c r="CK1686" s="34"/>
      <c r="CL1686" s="34"/>
      <c r="CM1686" s="34"/>
      <c r="CN1686" s="34"/>
      <c r="CO1686" s="34"/>
      <c r="CP1686" s="34"/>
      <c r="CQ1686" s="34"/>
      <c r="CR1686" s="34"/>
      <c r="CS1686" s="34"/>
    </row>
    <row r="1687" spans="7:97" s="246" customFormat="1" x14ac:dyDescent="0.2">
      <c r="G1687" s="2188"/>
      <c r="BS1687" s="34"/>
      <c r="BT1687" s="34"/>
      <c r="BU1687" s="34"/>
      <c r="BV1687" s="34"/>
      <c r="BW1687" s="34"/>
      <c r="BX1687" s="34"/>
      <c r="BY1687" s="34"/>
      <c r="BZ1687" s="34"/>
      <c r="CA1687" s="34"/>
      <c r="CB1687" s="34"/>
      <c r="CC1687" s="34"/>
      <c r="CD1687" s="34"/>
      <c r="CE1687" s="34"/>
      <c r="CF1687" s="34"/>
      <c r="CG1687" s="34"/>
      <c r="CH1687" s="34"/>
      <c r="CI1687" s="34"/>
      <c r="CJ1687" s="34"/>
      <c r="CK1687" s="34"/>
      <c r="CL1687" s="34"/>
      <c r="CM1687" s="34"/>
      <c r="CN1687" s="34"/>
      <c r="CO1687" s="34"/>
      <c r="CP1687" s="34"/>
      <c r="CQ1687" s="34"/>
      <c r="CR1687" s="34"/>
      <c r="CS1687" s="34"/>
    </row>
    <row r="1688" spans="7:97" s="246" customFormat="1" x14ac:dyDescent="0.2">
      <c r="G1688" s="2188"/>
      <c r="BS1688" s="34"/>
      <c r="BT1688" s="34"/>
      <c r="BU1688" s="34"/>
      <c r="BV1688" s="34"/>
      <c r="BW1688" s="34"/>
      <c r="BX1688" s="34"/>
      <c r="BY1688" s="34"/>
      <c r="BZ1688" s="34"/>
      <c r="CA1688" s="34"/>
      <c r="CB1688" s="34"/>
      <c r="CC1688" s="34"/>
      <c r="CD1688" s="34"/>
      <c r="CE1688" s="34"/>
      <c r="CF1688" s="34"/>
      <c r="CG1688" s="34"/>
      <c r="CH1688" s="34"/>
      <c r="CI1688" s="34"/>
      <c r="CJ1688" s="34"/>
      <c r="CK1688" s="34"/>
      <c r="CL1688" s="34"/>
      <c r="CM1688" s="34"/>
      <c r="CN1688" s="34"/>
      <c r="CO1688" s="34"/>
      <c r="CP1688" s="34"/>
      <c r="CQ1688" s="34"/>
      <c r="CR1688" s="34"/>
      <c r="CS1688" s="34"/>
    </row>
    <row r="1689" spans="7:97" s="246" customFormat="1" x14ac:dyDescent="0.2">
      <c r="G1689" s="2188"/>
      <c r="BS1689" s="34"/>
      <c r="BT1689" s="34"/>
      <c r="BU1689" s="34"/>
      <c r="BV1689" s="34"/>
      <c r="BW1689" s="34"/>
      <c r="BX1689" s="34"/>
      <c r="BY1689" s="34"/>
      <c r="BZ1689" s="34"/>
      <c r="CA1689" s="34"/>
      <c r="CB1689" s="34"/>
      <c r="CC1689" s="34"/>
      <c r="CD1689" s="34"/>
      <c r="CE1689" s="34"/>
      <c r="CF1689" s="34"/>
      <c r="CG1689" s="34"/>
      <c r="CH1689" s="34"/>
      <c r="CI1689" s="34"/>
      <c r="CJ1689" s="34"/>
      <c r="CK1689" s="34"/>
      <c r="CL1689" s="34"/>
      <c r="CM1689" s="34"/>
      <c r="CN1689" s="34"/>
      <c r="CO1689" s="34"/>
      <c r="CP1689" s="34"/>
      <c r="CQ1689" s="34"/>
      <c r="CR1689" s="34"/>
      <c r="CS1689" s="34"/>
    </row>
    <row r="1690" spans="7:97" s="246" customFormat="1" x14ac:dyDescent="0.2">
      <c r="G1690" s="2188"/>
      <c r="BS1690" s="34"/>
      <c r="BT1690" s="34"/>
      <c r="BU1690" s="34"/>
      <c r="BV1690" s="34"/>
      <c r="BW1690" s="34"/>
      <c r="BX1690" s="34"/>
      <c r="BY1690" s="34"/>
      <c r="BZ1690" s="34"/>
      <c r="CA1690" s="34"/>
      <c r="CB1690" s="34"/>
      <c r="CC1690" s="34"/>
      <c r="CD1690" s="34"/>
      <c r="CE1690" s="34"/>
      <c r="CF1690" s="34"/>
      <c r="CG1690" s="34"/>
      <c r="CH1690" s="34"/>
      <c r="CI1690" s="34"/>
      <c r="CJ1690" s="34"/>
      <c r="CK1690" s="34"/>
      <c r="CL1690" s="34"/>
      <c r="CM1690" s="34"/>
      <c r="CN1690" s="34"/>
      <c r="CO1690" s="34"/>
      <c r="CP1690" s="34"/>
      <c r="CQ1690" s="34"/>
      <c r="CR1690" s="34"/>
      <c r="CS1690" s="34"/>
    </row>
    <row r="1691" spans="7:97" s="246" customFormat="1" x14ac:dyDescent="0.2">
      <c r="G1691" s="2188"/>
      <c r="BS1691" s="34"/>
      <c r="BT1691" s="34"/>
      <c r="BU1691" s="34"/>
      <c r="BV1691" s="34"/>
      <c r="BW1691" s="34"/>
      <c r="BX1691" s="34"/>
      <c r="BY1691" s="34"/>
      <c r="BZ1691" s="34"/>
      <c r="CA1691" s="34"/>
      <c r="CB1691" s="34"/>
      <c r="CC1691" s="34"/>
      <c r="CD1691" s="34"/>
      <c r="CE1691" s="34"/>
      <c r="CF1691" s="34"/>
      <c r="CG1691" s="34"/>
      <c r="CH1691" s="34"/>
      <c r="CI1691" s="34"/>
      <c r="CJ1691" s="34"/>
      <c r="CK1691" s="34"/>
      <c r="CL1691" s="34"/>
      <c r="CM1691" s="34"/>
      <c r="CN1691" s="34"/>
      <c r="CO1691" s="34"/>
      <c r="CP1691" s="34"/>
      <c r="CQ1691" s="34"/>
      <c r="CR1691" s="34"/>
      <c r="CS1691" s="34"/>
    </row>
    <row r="1692" spans="7:97" s="246" customFormat="1" x14ac:dyDescent="0.2">
      <c r="G1692" s="2188"/>
      <c r="BS1692" s="34"/>
      <c r="BT1692" s="34"/>
      <c r="BU1692" s="34"/>
      <c r="BV1692" s="34"/>
      <c r="BW1692" s="34"/>
      <c r="BX1692" s="34"/>
      <c r="BY1692" s="34"/>
      <c r="BZ1692" s="34"/>
      <c r="CA1692" s="34"/>
      <c r="CB1692" s="34"/>
      <c r="CC1692" s="34"/>
      <c r="CD1692" s="34"/>
      <c r="CE1692" s="34"/>
      <c r="CF1692" s="34"/>
      <c r="CG1692" s="34"/>
      <c r="CH1692" s="34"/>
      <c r="CI1692" s="34"/>
      <c r="CJ1692" s="34"/>
      <c r="CK1692" s="34"/>
      <c r="CL1692" s="34"/>
      <c r="CM1692" s="34"/>
      <c r="CN1692" s="34"/>
      <c r="CO1692" s="34"/>
      <c r="CP1692" s="34"/>
      <c r="CQ1692" s="34"/>
      <c r="CR1692" s="34"/>
      <c r="CS1692" s="34"/>
    </row>
    <row r="1693" spans="7:97" s="246" customFormat="1" x14ac:dyDescent="0.2">
      <c r="G1693" s="2188"/>
      <c r="BS1693" s="34"/>
      <c r="BT1693" s="34"/>
      <c r="BU1693" s="34"/>
      <c r="BV1693" s="34"/>
      <c r="BW1693" s="34"/>
      <c r="BX1693" s="34"/>
      <c r="BY1693" s="34"/>
      <c r="BZ1693" s="34"/>
      <c r="CA1693" s="34"/>
      <c r="CB1693" s="34"/>
      <c r="CC1693" s="34"/>
      <c r="CD1693" s="34"/>
      <c r="CE1693" s="34"/>
      <c r="CF1693" s="34"/>
      <c r="CG1693" s="34"/>
      <c r="CH1693" s="34"/>
      <c r="CI1693" s="34"/>
      <c r="CJ1693" s="34"/>
      <c r="CK1693" s="34"/>
      <c r="CL1693" s="34"/>
      <c r="CM1693" s="34"/>
      <c r="CN1693" s="34"/>
      <c r="CO1693" s="34"/>
      <c r="CP1693" s="34"/>
      <c r="CQ1693" s="34"/>
      <c r="CR1693" s="34"/>
      <c r="CS1693" s="34"/>
    </row>
    <row r="1694" spans="7:97" s="246" customFormat="1" x14ac:dyDescent="0.2">
      <c r="G1694" s="2188"/>
      <c r="BS1694" s="34"/>
      <c r="BT1694" s="34"/>
      <c r="BU1694" s="34"/>
      <c r="BV1694" s="34"/>
      <c r="BW1694" s="34"/>
      <c r="BX1694" s="34"/>
      <c r="BY1694" s="34"/>
      <c r="BZ1694" s="34"/>
      <c r="CA1694" s="34"/>
      <c r="CB1694" s="34"/>
      <c r="CC1694" s="34"/>
      <c r="CD1694" s="34"/>
      <c r="CE1694" s="34"/>
      <c r="CF1694" s="34"/>
      <c r="CG1694" s="34"/>
      <c r="CH1694" s="34"/>
      <c r="CI1694" s="34"/>
      <c r="CJ1694" s="34"/>
      <c r="CK1694" s="34"/>
      <c r="CL1694" s="34"/>
      <c r="CM1694" s="34"/>
      <c r="CN1694" s="34"/>
      <c r="CO1694" s="34"/>
      <c r="CP1694" s="34"/>
      <c r="CQ1694" s="34"/>
      <c r="CR1694" s="34"/>
      <c r="CS1694" s="34"/>
    </row>
    <row r="1695" spans="7:97" s="246" customFormat="1" x14ac:dyDescent="0.2">
      <c r="G1695" s="2188"/>
      <c r="BS1695" s="34"/>
      <c r="BT1695" s="34"/>
      <c r="BU1695" s="34"/>
      <c r="BV1695" s="34"/>
      <c r="BW1695" s="34"/>
      <c r="BX1695" s="34"/>
      <c r="BY1695" s="34"/>
      <c r="BZ1695" s="34"/>
      <c r="CA1695" s="34"/>
      <c r="CB1695" s="34"/>
      <c r="CC1695" s="34"/>
      <c r="CD1695" s="34"/>
      <c r="CE1695" s="34"/>
      <c r="CF1695" s="34"/>
      <c r="CG1695" s="34"/>
      <c r="CH1695" s="34"/>
      <c r="CI1695" s="34"/>
      <c r="CJ1695" s="34"/>
      <c r="CK1695" s="34"/>
      <c r="CL1695" s="34"/>
      <c r="CM1695" s="34"/>
      <c r="CN1695" s="34"/>
      <c r="CO1695" s="34"/>
      <c r="CP1695" s="34"/>
      <c r="CQ1695" s="34"/>
      <c r="CR1695" s="34"/>
      <c r="CS1695" s="34"/>
    </row>
    <row r="1696" spans="7:97" s="246" customFormat="1" x14ac:dyDescent="0.2">
      <c r="G1696" s="2188"/>
      <c r="BS1696" s="34"/>
      <c r="BT1696" s="34"/>
      <c r="BU1696" s="34"/>
      <c r="BV1696" s="34"/>
      <c r="BW1696" s="34"/>
      <c r="BX1696" s="34"/>
      <c r="BY1696" s="34"/>
      <c r="BZ1696" s="34"/>
      <c r="CA1696" s="34"/>
      <c r="CB1696" s="34"/>
      <c r="CC1696" s="34"/>
      <c r="CD1696" s="34"/>
      <c r="CE1696" s="34"/>
      <c r="CF1696" s="34"/>
      <c r="CG1696" s="34"/>
      <c r="CH1696" s="34"/>
      <c r="CI1696" s="34"/>
      <c r="CJ1696" s="34"/>
      <c r="CK1696" s="34"/>
      <c r="CL1696" s="34"/>
      <c r="CM1696" s="34"/>
      <c r="CN1696" s="34"/>
      <c r="CO1696" s="34"/>
      <c r="CP1696" s="34"/>
      <c r="CQ1696" s="34"/>
      <c r="CR1696" s="34"/>
      <c r="CS1696" s="34"/>
    </row>
    <row r="1697" spans="7:97" s="246" customFormat="1" x14ac:dyDescent="0.2">
      <c r="G1697" s="2188"/>
      <c r="BS1697" s="34"/>
      <c r="BT1697" s="34"/>
      <c r="BU1697" s="34"/>
      <c r="BV1697" s="34"/>
      <c r="BW1697" s="34"/>
      <c r="BX1697" s="34"/>
      <c r="BY1697" s="34"/>
      <c r="BZ1697" s="34"/>
      <c r="CA1697" s="34"/>
      <c r="CB1697" s="34"/>
      <c r="CC1697" s="34"/>
      <c r="CD1697" s="34"/>
      <c r="CE1697" s="34"/>
      <c r="CF1697" s="34"/>
      <c r="CG1697" s="34"/>
      <c r="CH1697" s="34"/>
      <c r="CI1697" s="34"/>
      <c r="CJ1697" s="34"/>
      <c r="CK1697" s="34"/>
      <c r="CL1697" s="34"/>
      <c r="CM1697" s="34"/>
      <c r="CN1697" s="34"/>
      <c r="CO1697" s="34"/>
      <c r="CP1697" s="34"/>
      <c r="CQ1697" s="34"/>
      <c r="CR1697" s="34"/>
      <c r="CS1697" s="34"/>
    </row>
    <row r="1698" spans="7:97" s="246" customFormat="1" x14ac:dyDescent="0.2">
      <c r="G1698" s="2188"/>
      <c r="BS1698" s="34"/>
      <c r="BT1698" s="34"/>
      <c r="BU1698" s="34"/>
      <c r="BV1698" s="34"/>
      <c r="BW1698" s="34"/>
      <c r="BX1698" s="34"/>
      <c r="BY1698" s="34"/>
      <c r="BZ1698" s="34"/>
      <c r="CA1698" s="34"/>
      <c r="CB1698" s="34"/>
      <c r="CC1698" s="34"/>
      <c r="CD1698" s="34"/>
      <c r="CE1698" s="34"/>
      <c r="CF1698" s="34"/>
      <c r="CG1698" s="34"/>
      <c r="CH1698" s="34"/>
      <c r="CI1698" s="34"/>
      <c r="CJ1698" s="34"/>
      <c r="CK1698" s="34"/>
      <c r="CL1698" s="34"/>
      <c r="CM1698" s="34"/>
      <c r="CN1698" s="34"/>
      <c r="CO1698" s="34"/>
      <c r="CP1698" s="34"/>
      <c r="CQ1698" s="34"/>
      <c r="CR1698" s="34"/>
      <c r="CS1698" s="34"/>
    </row>
    <row r="1699" spans="7:97" s="246" customFormat="1" x14ac:dyDescent="0.2">
      <c r="G1699" s="2188"/>
      <c r="BS1699" s="34"/>
      <c r="BT1699" s="34"/>
      <c r="BU1699" s="34"/>
      <c r="BV1699" s="34"/>
      <c r="BW1699" s="34"/>
      <c r="BX1699" s="34"/>
      <c r="BY1699" s="34"/>
      <c r="BZ1699" s="34"/>
      <c r="CA1699" s="34"/>
      <c r="CB1699" s="34"/>
      <c r="CC1699" s="34"/>
      <c r="CD1699" s="34"/>
      <c r="CE1699" s="34"/>
      <c r="CF1699" s="34"/>
      <c r="CG1699" s="34"/>
      <c r="CH1699" s="34"/>
      <c r="CI1699" s="34"/>
      <c r="CJ1699" s="34"/>
      <c r="CK1699" s="34"/>
      <c r="CL1699" s="34"/>
      <c r="CM1699" s="34"/>
      <c r="CN1699" s="34"/>
      <c r="CO1699" s="34"/>
      <c r="CP1699" s="34"/>
      <c r="CQ1699" s="34"/>
      <c r="CR1699" s="34"/>
      <c r="CS1699" s="34"/>
    </row>
    <row r="1700" spans="7:97" s="246" customFormat="1" x14ac:dyDescent="0.2">
      <c r="G1700" s="2188"/>
      <c r="BS1700" s="34"/>
      <c r="BT1700" s="34"/>
      <c r="BU1700" s="34"/>
      <c r="BV1700" s="34"/>
      <c r="BW1700" s="34"/>
      <c r="BX1700" s="34"/>
      <c r="BY1700" s="34"/>
      <c r="BZ1700" s="34"/>
      <c r="CA1700" s="34"/>
      <c r="CB1700" s="34"/>
      <c r="CC1700" s="34"/>
      <c r="CD1700" s="34"/>
      <c r="CE1700" s="34"/>
      <c r="CF1700" s="34"/>
      <c r="CG1700" s="34"/>
      <c r="CH1700" s="34"/>
      <c r="CI1700" s="34"/>
      <c r="CJ1700" s="34"/>
      <c r="CK1700" s="34"/>
      <c r="CL1700" s="34"/>
      <c r="CM1700" s="34"/>
      <c r="CN1700" s="34"/>
      <c r="CO1700" s="34"/>
      <c r="CP1700" s="34"/>
      <c r="CQ1700" s="34"/>
      <c r="CR1700" s="34"/>
      <c r="CS1700" s="34"/>
    </row>
    <row r="1701" spans="7:97" s="246" customFormat="1" x14ac:dyDescent="0.2">
      <c r="G1701" s="2188"/>
      <c r="BS1701" s="34"/>
      <c r="BT1701" s="34"/>
      <c r="BU1701" s="34"/>
      <c r="BV1701" s="34"/>
      <c r="BW1701" s="34"/>
      <c r="BX1701" s="34"/>
      <c r="BY1701" s="34"/>
      <c r="BZ1701" s="34"/>
      <c r="CA1701" s="34"/>
      <c r="CB1701" s="34"/>
      <c r="CC1701" s="34"/>
      <c r="CD1701" s="34"/>
      <c r="CE1701" s="34"/>
      <c r="CF1701" s="34"/>
      <c r="CG1701" s="34"/>
      <c r="CH1701" s="34"/>
      <c r="CI1701" s="34"/>
      <c r="CJ1701" s="34"/>
      <c r="CK1701" s="34"/>
      <c r="CL1701" s="34"/>
      <c r="CM1701" s="34"/>
      <c r="CN1701" s="34"/>
      <c r="CO1701" s="34"/>
      <c r="CP1701" s="34"/>
      <c r="CQ1701" s="34"/>
      <c r="CR1701" s="34"/>
      <c r="CS1701" s="34"/>
    </row>
    <row r="1702" spans="7:97" s="246" customFormat="1" x14ac:dyDescent="0.2">
      <c r="G1702" s="2188"/>
      <c r="BS1702" s="34"/>
      <c r="BT1702" s="34"/>
      <c r="BU1702" s="34"/>
      <c r="BV1702" s="34"/>
      <c r="BW1702" s="34"/>
      <c r="BX1702" s="34"/>
      <c r="BY1702" s="34"/>
      <c r="BZ1702" s="34"/>
      <c r="CA1702" s="34"/>
      <c r="CB1702" s="34"/>
      <c r="CC1702" s="34"/>
      <c r="CD1702" s="34"/>
      <c r="CE1702" s="34"/>
      <c r="CF1702" s="34"/>
      <c r="CG1702" s="34"/>
      <c r="CH1702" s="34"/>
      <c r="CI1702" s="34"/>
      <c r="CJ1702" s="34"/>
      <c r="CK1702" s="34"/>
      <c r="CL1702" s="34"/>
      <c r="CM1702" s="34"/>
      <c r="CN1702" s="34"/>
      <c r="CO1702" s="34"/>
      <c r="CP1702" s="34"/>
      <c r="CQ1702" s="34"/>
      <c r="CR1702" s="34"/>
      <c r="CS1702" s="34"/>
    </row>
    <row r="1703" spans="7:97" s="246" customFormat="1" x14ac:dyDescent="0.2">
      <c r="G1703" s="2188"/>
      <c r="BS1703" s="34"/>
      <c r="BT1703" s="34"/>
      <c r="BU1703" s="34"/>
      <c r="BV1703" s="34"/>
      <c r="BW1703" s="34"/>
      <c r="BX1703" s="34"/>
      <c r="BY1703" s="34"/>
      <c r="BZ1703" s="34"/>
      <c r="CA1703" s="34"/>
      <c r="CB1703" s="34"/>
      <c r="CC1703" s="34"/>
      <c r="CD1703" s="34"/>
      <c r="CE1703" s="34"/>
      <c r="CF1703" s="34"/>
      <c r="CG1703" s="34"/>
      <c r="CH1703" s="34"/>
      <c r="CI1703" s="34"/>
      <c r="CJ1703" s="34"/>
      <c r="CK1703" s="34"/>
      <c r="CL1703" s="34"/>
      <c r="CM1703" s="34"/>
      <c r="CN1703" s="34"/>
      <c r="CO1703" s="34"/>
      <c r="CP1703" s="34"/>
      <c r="CQ1703" s="34"/>
      <c r="CR1703" s="34"/>
      <c r="CS1703" s="34"/>
    </row>
    <row r="1704" spans="7:97" s="246" customFormat="1" x14ac:dyDescent="0.2">
      <c r="G1704" s="2188"/>
      <c r="BS1704" s="34"/>
      <c r="BT1704" s="34"/>
      <c r="BU1704" s="34"/>
      <c r="BV1704" s="34"/>
      <c r="BW1704" s="34"/>
      <c r="BX1704" s="34"/>
      <c r="BY1704" s="34"/>
      <c r="BZ1704" s="34"/>
      <c r="CA1704" s="34"/>
      <c r="CB1704" s="34"/>
      <c r="CC1704" s="34"/>
      <c r="CD1704" s="34"/>
      <c r="CE1704" s="34"/>
      <c r="CF1704" s="34"/>
      <c r="CG1704" s="34"/>
      <c r="CH1704" s="34"/>
      <c r="CI1704" s="34"/>
      <c r="CJ1704" s="34"/>
      <c r="CK1704" s="34"/>
      <c r="CL1704" s="34"/>
      <c r="CM1704" s="34"/>
      <c r="CN1704" s="34"/>
      <c r="CO1704" s="34"/>
      <c r="CP1704" s="34"/>
      <c r="CQ1704" s="34"/>
      <c r="CR1704" s="34"/>
      <c r="CS1704" s="34"/>
    </row>
    <row r="1705" spans="7:97" s="246" customFormat="1" x14ac:dyDescent="0.2">
      <c r="G1705" s="2188"/>
      <c r="BS1705" s="34"/>
      <c r="BT1705" s="34"/>
      <c r="BU1705" s="34"/>
      <c r="BV1705" s="34"/>
      <c r="BW1705" s="34"/>
      <c r="BX1705" s="34"/>
      <c r="BY1705" s="34"/>
      <c r="BZ1705" s="34"/>
      <c r="CA1705" s="34"/>
      <c r="CB1705" s="34"/>
      <c r="CC1705" s="34"/>
      <c r="CD1705" s="34"/>
      <c r="CE1705" s="34"/>
      <c r="CF1705" s="34"/>
      <c r="CG1705" s="34"/>
      <c r="CH1705" s="34"/>
      <c r="CI1705" s="34"/>
      <c r="CJ1705" s="34"/>
      <c r="CK1705" s="34"/>
      <c r="CL1705" s="34"/>
      <c r="CM1705" s="34"/>
      <c r="CN1705" s="34"/>
      <c r="CO1705" s="34"/>
      <c r="CP1705" s="34"/>
      <c r="CQ1705" s="34"/>
      <c r="CR1705" s="34"/>
      <c r="CS1705" s="34"/>
    </row>
    <row r="1706" spans="7:97" s="246" customFormat="1" x14ac:dyDescent="0.2">
      <c r="G1706" s="2188"/>
      <c r="BS1706" s="34"/>
      <c r="BT1706" s="34"/>
      <c r="BU1706" s="34"/>
      <c r="BV1706" s="34"/>
      <c r="BW1706" s="34"/>
      <c r="BX1706" s="34"/>
      <c r="BY1706" s="34"/>
      <c r="BZ1706" s="34"/>
      <c r="CA1706" s="34"/>
      <c r="CB1706" s="34"/>
      <c r="CC1706" s="34"/>
      <c r="CD1706" s="34"/>
      <c r="CE1706" s="34"/>
      <c r="CF1706" s="34"/>
      <c r="CG1706" s="34"/>
      <c r="CH1706" s="34"/>
      <c r="CI1706" s="34"/>
      <c r="CJ1706" s="34"/>
      <c r="CK1706" s="34"/>
      <c r="CL1706" s="34"/>
      <c r="CM1706" s="34"/>
      <c r="CN1706" s="34"/>
      <c r="CO1706" s="34"/>
      <c r="CP1706" s="34"/>
      <c r="CQ1706" s="34"/>
      <c r="CR1706" s="34"/>
      <c r="CS1706" s="34"/>
    </row>
    <row r="1707" spans="7:97" s="246" customFormat="1" x14ac:dyDescent="0.2">
      <c r="G1707" s="2188"/>
      <c r="BS1707" s="34"/>
      <c r="BT1707" s="34"/>
      <c r="BU1707" s="34"/>
      <c r="BV1707" s="34"/>
      <c r="BW1707" s="34"/>
      <c r="BX1707" s="34"/>
      <c r="BY1707" s="34"/>
      <c r="BZ1707" s="34"/>
      <c r="CA1707" s="34"/>
      <c r="CB1707" s="34"/>
      <c r="CC1707" s="34"/>
      <c r="CD1707" s="34"/>
      <c r="CE1707" s="34"/>
      <c r="CF1707" s="34"/>
      <c r="CG1707" s="34"/>
      <c r="CH1707" s="34"/>
      <c r="CI1707" s="34"/>
      <c r="CJ1707" s="34"/>
      <c r="CK1707" s="34"/>
      <c r="CL1707" s="34"/>
      <c r="CM1707" s="34"/>
      <c r="CN1707" s="34"/>
      <c r="CO1707" s="34"/>
      <c r="CP1707" s="34"/>
      <c r="CQ1707" s="34"/>
      <c r="CR1707" s="34"/>
      <c r="CS1707" s="34"/>
    </row>
    <row r="1708" spans="7:97" s="246" customFormat="1" x14ac:dyDescent="0.2">
      <c r="G1708" s="2188"/>
      <c r="BS1708" s="34"/>
      <c r="BT1708" s="34"/>
      <c r="BU1708" s="34"/>
      <c r="BV1708" s="34"/>
      <c r="BW1708" s="34"/>
      <c r="BX1708" s="34"/>
      <c r="BY1708" s="34"/>
      <c r="BZ1708" s="34"/>
      <c r="CA1708" s="34"/>
      <c r="CB1708" s="34"/>
      <c r="CC1708" s="34"/>
      <c r="CD1708" s="34"/>
      <c r="CE1708" s="34"/>
      <c r="CF1708" s="34"/>
      <c r="CG1708" s="34"/>
      <c r="CH1708" s="34"/>
      <c r="CI1708" s="34"/>
      <c r="CJ1708" s="34"/>
      <c r="CK1708" s="34"/>
      <c r="CL1708" s="34"/>
      <c r="CM1708" s="34"/>
      <c r="CN1708" s="34"/>
      <c r="CO1708" s="34"/>
      <c r="CP1708" s="34"/>
      <c r="CQ1708" s="34"/>
      <c r="CR1708" s="34"/>
      <c r="CS1708" s="34"/>
    </row>
    <row r="1709" spans="7:97" s="246" customFormat="1" x14ac:dyDescent="0.2">
      <c r="G1709" s="2188"/>
      <c r="BS1709" s="34"/>
      <c r="BT1709" s="34"/>
      <c r="BU1709" s="34"/>
      <c r="BV1709" s="34"/>
      <c r="BW1709" s="34"/>
      <c r="BX1709" s="34"/>
      <c r="BY1709" s="34"/>
      <c r="BZ1709" s="34"/>
      <c r="CA1709" s="34"/>
      <c r="CB1709" s="34"/>
      <c r="CC1709" s="34"/>
      <c r="CD1709" s="34"/>
      <c r="CE1709" s="34"/>
      <c r="CF1709" s="34"/>
      <c r="CG1709" s="34"/>
      <c r="CH1709" s="34"/>
      <c r="CI1709" s="34"/>
      <c r="CJ1709" s="34"/>
      <c r="CK1709" s="34"/>
      <c r="CL1709" s="34"/>
      <c r="CM1709" s="34"/>
      <c r="CN1709" s="34"/>
      <c r="CO1709" s="34"/>
      <c r="CP1709" s="34"/>
      <c r="CQ1709" s="34"/>
      <c r="CR1709" s="34"/>
      <c r="CS1709" s="34"/>
    </row>
    <row r="1710" spans="7:97" s="246" customFormat="1" x14ac:dyDescent="0.2">
      <c r="G1710" s="2188"/>
      <c r="BS1710" s="34"/>
      <c r="BT1710" s="34"/>
      <c r="BU1710" s="34"/>
      <c r="BV1710" s="34"/>
      <c r="BW1710" s="34"/>
      <c r="BX1710" s="34"/>
      <c r="BY1710" s="34"/>
      <c r="BZ1710" s="34"/>
      <c r="CA1710" s="34"/>
      <c r="CB1710" s="34"/>
      <c r="CC1710" s="34"/>
      <c r="CD1710" s="34"/>
      <c r="CE1710" s="34"/>
      <c r="CF1710" s="34"/>
      <c r="CG1710" s="34"/>
      <c r="CH1710" s="34"/>
      <c r="CI1710" s="34"/>
      <c r="CJ1710" s="34"/>
      <c r="CK1710" s="34"/>
      <c r="CL1710" s="34"/>
      <c r="CM1710" s="34"/>
      <c r="CN1710" s="34"/>
      <c r="CO1710" s="34"/>
      <c r="CP1710" s="34"/>
      <c r="CQ1710" s="34"/>
      <c r="CR1710" s="34"/>
      <c r="CS1710" s="34"/>
    </row>
    <row r="1711" spans="7:97" s="246" customFormat="1" x14ac:dyDescent="0.2">
      <c r="G1711" s="2188"/>
      <c r="BS1711" s="34"/>
      <c r="BT1711" s="34"/>
      <c r="BU1711" s="34"/>
      <c r="BV1711" s="34"/>
      <c r="BW1711" s="34"/>
      <c r="BX1711" s="34"/>
      <c r="BY1711" s="34"/>
      <c r="BZ1711" s="34"/>
      <c r="CA1711" s="34"/>
      <c r="CB1711" s="34"/>
      <c r="CC1711" s="34"/>
      <c r="CD1711" s="34"/>
      <c r="CE1711" s="34"/>
      <c r="CF1711" s="34"/>
      <c r="CG1711" s="34"/>
      <c r="CH1711" s="34"/>
      <c r="CI1711" s="34"/>
      <c r="CJ1711" s="34"/>
      <c r="CK1711" s="34"/>
      <c r="CL1711" s="34"/>
      <c r="CM1711" s="34"/>
      <c r="CN1711" s="34"/>
      <c r="CO1711" s="34"/>
      <c r="CP1711" s="34"/>
      <c r="CQ1711" s="34"/>
      <c r="CR1711" s="34"/>
      <c r="CS1711" s="34"/>
    </row>
    <row r="1712" spans="7:97" s="246" customFormat="1" x14ac:dyDescent="0.2">
      <c r="G1712" s="2188"/>
      <c r="BS1712" s="34"/>
      <c r="BT1712" s="34"/>
      <c r="BU1712" s="34"/>
      <c r="BV1712" s="34"/>
      <c r="BW1712" s="34"/>
      <c r="BX1712" s="34"/>
      <c r="BY1712" s="34"/>
      <c r="BZ1712" s="34"/>
      <c r="CA1712" s="34"/>
      <c r="CB1712" s="34"/>
      <c r="CC1712" s="34"/>
      <c r="CD1712" s="34"/>
      <c r="CE1712" s="34"/>
      <c r="CF1712" s="34"/>
      <c r="CG1712" s="34"/>
      <c r="CH1712" s="34"/>
      <c r="CI1712" s="34"/>
      <c r="CJ1712" s="34"/>
      <c r="CK1712" s="34"/>
      <c r="CL1712" s="34"/>
      <c r="CM1712" s="34"/>
      <c r="CN1712" s="34"/>
      <c r="CO1712" s="34"/>
      <c r="CP1712" s="34"/>
      <c r="CQ1712" s="34"/>
      <c r="CR1712" s="34"/>
      <c r="CS1712" s="34"/>
    </row>
    <row r="1713" spans="7:97" s="246" customFormat="1" x14ac:dyDescent="0.2">
      <c r="G1713" s="2188"/>
      <c r="BS1713" s="34"/>
      <c r="BT1713" s="34"/>
      <c r="BU1713" s="34"/>
      <c r="BV1713" s="34"/>
      <c r="BW1713" s="34"/>
      <c r="BX1713" s="34"/>
      <c r="BY1713" s="34"/>
      <c r="BZ1713" s="34"/>
      <c r="CA1713" s="34"/>
      <c r="CB1713" s="34"/>
      <c r="CC1713" s="34"/>
      <c r="CD1713" s="34"/>
      <c r="CE1713" s="34"/>
      <c r="CF1713" s="34"/>
      <c r="CG1713" s="34"/>
      <c r="CH1713" s="34"/>
      <c r="CI1713" s="34"/>
      <c r="CJ1713" s="34"/>
      <c r="CK1713" s="34"/>
      <c r="CL1713" s="34"/>
      <c r="CM1713" s="34"/>
      <c r="CN1713" s="34"/>
      <c r="CO1713" s="34"/>
      <c r="CP1713" s="34"/>
      <c r="CQ1713" s="34"/>
      <c r="CR1713" s="34"/>
      <c r="CS1713" s="34"/>
    </row>
    <row r="1714" spans="7:97" s="246" customFormat="1" x14ac:dyDescent="0.2">
      <c r="G1714" s="2188"/>
      <c r="BS1714" s="34"/>
      <c r="BT1714" s="34"/>
      <c r="BU1714" s="34"/>
      <c r="BV1714" s="34"/>
      <c r="BW1714" s="34"/>
      <c r="BX1714" s="34"/>
      <c r="BY1714" s="34"/>
      <c r="BZ1714" s="34"/>
      <c r="CA1714" s="34"/>
      <c r="CB1714" s="34"/>
      <c r="CC1714" s="34"/>
      <c r="CD1714" s="34"/>
      <c r="CE1714" s="34"/>
      <c r="CF1714" s="34"/>
      <c r="CG1714" s="34"/>
      <c r="CH1714" s="34"/>
      <c r="CI1714" s="34"/>
      <c r="CJ1714" s="34"/>
      <c r="CK1714" s="34"/>
      <c r="CL1714" s="34"/>
      <c r="CM1714" s="34"/>
      <c r="CN1714" s="34"/>
      <c r="CO1714" s="34"/>
      <c r="CP1714" s="34"/>
      <c r="CQ1714" s="34"/>
      <c r="CR1714" s="34"/>
      <c r="CS1714" s="34"/>
    </row>
    <row r="1715" spans="7:97" s="246" customFormat="1" x14ac:dyDescent="0.2">
      <c r="G1715" s="2188"/>
      <c r="BS1715" s="34"/>
      <c r="BT1715" s="34"/>
      <c r="BU1715" s="34"/>
      <c r="BV1715" s="34"/>
      <c r="BW1715" s="34"/>
      <c r="BX1715" s="34"/>
      <c r="BY1715" s="34"/>
      <c r="BZ1715" s="34"/>
      <c r="CA1715" s="34"/>
      <c r="CB1715" s="34"/>
      <c r="CC1715" s="34"/>
      <c r="CD1715" s="34"/>
      <c r="CE1715" s="34"/>
      <c r="CF1715" s="34"/>
      <c r="CG1715" s="34"/>
      <c r="CH1715" s="34"/>
      <c r="CI1715" s="34"/>
      <c r="CJ1715" s="34"/>
      <c r="CK1715" s="34"/>
      <c r="CL1715" s="34"/>
      <c r="CM1715" s="34"/>
      <c r="CN1715" s="34"/>
      <c r="CO1715" s="34"/>
      <c r="CP1715" s="34"/>
      <c r="CQ1715" s="34"/>
      <c r="CR1715" s="34"/>
      <c r="CS1715" s="34"/>
    </row>
    <row r="1716" spans="7:97" s="246" customFormat="1" x14ac:dyDescent="0.2">
      <c r="G1716" s="2188"/>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row>
    <row r="1717" spans="7:97" s="246" customFormat="1" x14ac:dyDescent="0.2">
      <c r="G1717" s="2188"/>
      <c r="BS1717" s="34"/>
      <c r="BT1717" s="34"/>
      <c r="BU1717" s="34"/>
      <c r="BV1717" s="34"/>
      <c r="BW1717" s="34"/>
      <c r="BX1717" s="34"/>
      <c r="BY1717" s="34"/>
      <c r="BZ1717" s="34"/>
      <c r="CA1717" s="34"/>
      <c r="CB1717" s="34"/>
      <c r="CC1717" s="34"/>
      <c r="CD1717" s="34"/>
      <c r="CE1717" s="34"/>
      <c r="CF1717" s="34"/>
      <c r="CG1717" s="34"/>
      <c r="CH1717" s="34"/>
      <c r="CI1717" s="34"/>
      <c r="CJ1717" s="34"/>
      <c r="CK1717" s="34"/>
      <c r="CL1717" s="34"/>
      <c r="CM1717" s="34"/>
      <c r="CN1717" s="34"/>
      <c r="CO1717" s="34"/>
      <c r="CP1717" s="34"/>
      <c r="CQ1717" s="34"/>
      <c r="CR1717" s="34"/>
      <c r="CS1717" s="34"/>
    </row>
    <row r="1718" spans="7:97" s="246" customFormat="1" x14ac:dyDescent="0.2">
      <c r="G1718" s="2188"/>
      <c r="BS1718" s="34"/>
      <c r="BT1718" s="34"/>
      <c r="BU1718" s="34"/>
      <c r="BV1718" s="34"/>
      <c r="BW1718" s="34"/>
      <c r="BX1718" s="34"/>
      <c r="BY1718" s="34"/>
      <c r="BZ1718" s="34"/>
      <c r="CA1718" s="34"/>
      <c r="CB1718" s="34"/>
      <c r="CC1718" s="34"/>
      <c r="CD1718" s="34"/>
      <c r="CE1718" s="34"/>
      <c r="CF1718" s="34"/>
      <c r="CG1718" s="34"/>
      <c r="CH1718" s="34"/>
      <c r="CI1718" s="34"/>
      <c r="CJ1718" s="34"/>
      <c r="CK1718" s="34"/>
      <c r="CL1718" s="34"/>
      <c r="CM1718" s="34"/>
      <c r="CN1718" s="34"/>
      <c r="CO1718" s="34"/>
      <c r="CP1718" s="34"/>
      <c r="CQ1718" s="34"/>
      <c r="CR1718" s="34"/>
      <c r="CS1718" s="34"/>
    </row>
    <row r="1719" spans="7:97" s="246" customFormat="1" x14ac:dyDescent="0.2">
      <c r="G1719" s="2188"/>
      <c r="BS1719" s="34"/>
      <c r="BT1719" s="34"/>
      <c r="BU1719" s="34"/>
      <c r="BV1719" s="34"/>
      <c r="BW1719" s="34"/>
      <c r="BX1719" s="34"/>
      <c r="BY1719" s="34"/>
      <c r="BZ1719" s="34"/>
      <c r="CA1719" s="34"/>
      <c r="CB1719" s="34"/>
      <c r="CC1719" s="34"/>
      <c r="CD1719" s="34"/>
      <c r="CE1719" s="34"/>
      <c r="CF1719" s="34"/>
      <c r="CG1719" s="34"/>
      <c r="CH1719" s="34"/>
      <c r="CI1719" s="34"/>
      <c r="CJ1719" s="34"/>
      <c r="CK1719" s="34"/>
      <c r="CL1719" s="34"/>
      <c r="CM1719" s="34"/>
      <c r="CN1719" s="34"/>
      <c r="CO1719" s="34"/>
      <c r="CP1719" s="34"/>
      <c r="CQ1719" s="34"/>
      <c r="CR1719" s="34"/>
      <c r="CS1719" s="34"/>
    </row>
    <row r="1720" spans="7:97" s="246" customFormat="1" x14ac:dyDescent="0.2">
      <c r="G1720" s="2188"/>
      <c r="BS1720" s="34"/>
      <c r="BT1720" s="34"/>
      <c r="BU1720" s="34"/>
      <c r="BV1720" s="34"/>
      <c r="BW1720" s="34"/>
      <c r="BX1720" s="34"/>
      <c r="BY1720" s="34"/>
      <c r="BZ1720" s="34"/>
      <c r="CA1720" s="34"/>
      <c r="CB1720" s="34"/>
      <c r="CC1720" s="34"/>
      <c r="CD1720" s="34"/>
      <c r="CE1720" s="34"/>
      <c r="CF1720" s="34"/>
      <c r="CG1720" s="34"/>
      <c r="CH1720" s="34"/>
      <c r="CI1720" s="34"/>
      <c r="CJ1720" s="34"/>
      <c r="CK1720" s="34"/>
      <c r="CL1720" s="34"/>
      <c r="CM1720" s="34"/>
      <c r="CN1720" s="34"/>
      <c r="CO1720" s="34"/>
      <c r="CP1720" s="34"/>
      <c r="CQ1720" s="34"/>
      <c r="CR1720" s="34"/>
      <c r="CS1720" s="34"/>
    </row>
    <row r="1721" spans="7:97" s="246" customFormat="1" x14ac:dyDescent="0.2">
      <c r="G1721" s="2188"/>
      <c r="BS1721" s="34"/>
      <c r="BT1721" s="34"/>
      <c r="BU1721" s="34"/>
      <c r="BV1721" s="34"/>
      <c r="BW1721" s="34"/>
      <c r="BX1721" s="34"/>
      <c r="BY1721" s="34"/>
      <c r="BZ1721" s="34"/>
      <c r="CA1721" s="34"/>
      <c r="CB1721" s="34"/>
      <c r="CC1721" s="34"/>
      <c r="CD1721" s="34"/>
      <c r="CE1721" s="34"/>
      <c r="CF1721" s="34"/>
      <c r="CG1721" s="34"/>
      <c r="CH1721" s="34"/>
      <c r="CI1721" s="34"/>
      <c r="CJ1721" s="34"/>
      <c r="CK1721" s="34"/>
      <c r="CL1721" s="34"/>
      <c r="CM1721" s="34"/>
      <c r="CN1721" s="34"/>
      <c r="CO1721" s="34"/>
      <c r="CP1721" s="34"/>
      <c r="CQ1721" s="34"/>
      <c r="CR1721" s="34"/>
      <c r="CS1721" s="34"/>
    </row>
    <row r="1722" spans="7:97" s="246" customFormat="1" x14ac:dyDescent="0.2">
      <c r="G1722" s="2188"/>
      <c r="BS1722" s="34"/>
      <c r="BT1722" s="34"/>
      <c r="BU1722" s="34"/>
      <c r="BV1722" s="34"/>
      <c r="BW1722" s="34"/>
      <c r="BX1722" s="34"/>
      <c r="BY1722" s="34"/>
      <c r="BZ1722" s="34"/>
      <c r="CA1722" s="34"/>
      <c r="CB1722" s="34"/>
      <c r="CC1722" s="34"/>
      <c r="CD1722" s="34"/>
      <c r="CE1722" s="34"/>
      <c r="CF1722" s="34"/>
      <c r="CG1722" s="34"/>
      <c r="CH1722" s="34"/>
      <c r="CI1722" s="34"/>
      <c r="CJ1722" s="34"/>
      <c r="CK1722" s="34"/>
      <c r="CL1722" s="34"/>
      <c r="CM1722" s="34"/>
      <c r="CN1722" s="34"/>
      <c r="CO1722" s="34"/>
      <c r="CP1722" s="34"/>
      <c r="CQ1722" s="34"/>
      <c r="CR1722" s="34"/>
      <c r="CS1722" s="34"/>
    </row>
    <row r="1723" spans="7:97" s="246" customFormat="1" x14ac:dyDescent="0.2">
      <c r="G1723" s="2188"/>
      <c r="BS1723" s="34"/>
      <c r="BT1723" s="34"/>
      <c r="BU1723" s="34"/>
      <c r="BV1723" s="34"/>
      <c r="BW1723" s="34"/>
      <c r="BX1723" s="34"/>
      <c r="BY1723" s="34"/>
      <c r="BZ1723" s="34"/>
      <c r="CA1723" s="34"/>
      <c r="CB1723" s="34"/>
      <c r="CC1723" s="34"/>
      <c r="CD1723" s="34"/>
      <c r="CE1723" s="34"/>
      <c r="CF1723" s="34"/>
      <c r="CG1723" s="34"/>
      <c r="CH1723" s="34"/>
      <c r="CI1723" s="34"/>
      <c r="CJ1723" s="34"/>
      <c r="CK1723" s="34"/>
      <c r="CL1723" s="34"/>
      <c r="CM1723" s="34"/>
      <c r="CN1723" s="34"/>
      <c r="CO1723" s="34"/>
      <c r="CP1723" s="34"/>
      <c r="CQ1723" s="34"/>
      <c r="CR1723" s="34"/>
      <c r="CS1723" s="34"/>
    </row>
    <row r="1724" spans="7:97" s="246" customFormat="1" x14ac:dyDescent="0.2">
      <c r="G1724" s="2188"/>
      <c r="BS1724" s="34"/>
      <c r="BT1724" s="34"/>
      <c r="BU1724" s="34"/>
      <c r="BV1724" s="34"/>
      <c r="BW1724" s="34"/>
      <c r="BX1724" s="34"/>
      <c r="BY1724" s="34"/>
      <c r="BZ1724" s="34"/>
      <c r="CA1724" s="34"/>
      <c r="CB1724" s="34"/>
      <c r="CC1724" s="34"/>
      <c r="CD1724" s="34"/>
      <c r="CE1724" s="34"/>
      <c r="CF1724" s="34"/>
      <c r="CG1724" s="34"/>
      <c r="CH1724" s="34"/>
      <c r="CI1724" s="34"/>
      <c r="CJ1724" s="34"/>
      <c r="CK1724" s="34"/>
      <c r="CL1724" s="34"/>
      <c r="CM1724" s="34"/>
      <c r="CN1724" s="34"/>
      <c r="CO1724" s="34"/>
      <c r="CP1724" s="34"/>
      <c r="CQ1724" s="34"/>
      <c r="CR1724" s="34"/>
      <c r="CS1724" s="34"/>
    </row>
    <row r="1725" spans="7:97" s="246" customFormat="1" x14ac:dyDescent="0.2">
      <c r="G1725" s="2188"/>
      <c r="BS1725" s="34"/>
      <c r="BT1725" s="34"/>
      <c r="BU1725" s="34"/>
      <c r="BV1725" s="34"/>
      <c r="BW1725" s="34"/>
      <c r="BX1725" s="34"/>
      <c r="BY1725" s="34"/>
      <c r="BZ1725" s="34"/>
      <c r="CA1725" s="34"/>
      <c r="CB1725" s="34"/>
      <c r="CC1725" s="34"/>
      <c r="CD1725" s="34"/>
      <c r="CE1725" s="34"/>
      <c r="CF1725" s="34"/>
      <c r="CG1725" s="34"/>
      <c r="CH1725" s="34"/>
      <c r="CI1725" s="34"/>
      <c r="CJ1725" s="34"/>
      <c r="CK1725" s="34"/>
      <c r="CL1725" s="34"/>
      <c r="CM1725" s="34"/>
      <c r="CN1725" s="34"/>
      <c r="CO1725" s="34"/>
      <c r="CP1725" s="34"/>
      <c r="CQ1725" s="34"/>
      <c r="CR1725" s="34"/>
      <c r="CS1725" s="34"/>
    </row>
    <row r="1726" spans="7:97" s="246" customFormat="1" x14ac:dyDescent="0.2">
      <c r="G1726" s="2188"/>
      <c r="BS1726" s="34"/>
      <c r="BT1726" s="34"/>
      <c r="BU1726" s="34"/>
      <c r="BV1726" s="34"/>
      <c r="BW1726" s="34"/>
      <c r="BX1726" s="34"/>
      <c r="BY1726" s="34"/>
      <c r="BZ1726" s="34"/>
      <c r="CA1726" s="34"/>
      <c r="CB1726" s="34"/>
      <c r="CC1726" s="34"/>
      <c r="CD1726" s="34"/>
      <c r="CE1726" s="34"/>
      <c r="CF1726" s="34"/>
      <c r="CG1726" s="34"/>
      <c r="CH1726" s="34"/>
      <c r="CI1726" s="34"/>
      <c r="CJ1726" s="34"/>
      <c r="CK1726" s="34"/>
      <c r="CL1726" s="34"/>
      <c r="CM1726" s="34"/>
      <c r="CN1726" s="34"/>
      <c r="CO1726" s="34"/>
      <c r="CP1726" s="34"/>
      <c r="CQ1726" s="34"/>
      <c r="CR1726" s="34"/>
      <c r="CS1726" s="34"/>
    </row>
    <row r="1727" spans="7:97" s="246" customFormat="1" x14ac:dyDescent="0.2">
      <c r="G1727" s="2188"/>
      <c r="BS1727" s="34"/>
      <c r="BT1727" s="34"/>
      <c r="BU1727" s="34"/>
      <c r="BV1727" s="34"/>
      <c r="BW1727" s="34"/>
      <c r="BX1727" s="34"/>
      <c r="BY1727" s="34"/>
      <c r="BZ1727" s="34"/>
      <c r="CA1727" s="34"/>
      <c r="CB1727" s="34"/>
      <c r="CC1727" s="34"/>
      <c r="CD1727" s="34"/>
      <c r="CE1727" s="34"/>
      <c r="CF1727" s="34"/>
      <c r="CG1727" s="34"/>
      <c r="CH1727" s="34"/>
      <c r="CI1727" s="34"/>
      <c r="CJ1727" s="34"/>
      <c r="CK1727" s="34"/>
      <c r="CL1727" s="34"/>
      <c r="CM1727" s="34"/>
      <c r="CN1727" s="34"/>
      <c r="CO1727" s="34"/>
      <c r="CP1727" s="34"/>
      <c r="CQ1727" s="34"/>
      <c r="CR1727" s="34"/>
      <c r="CS1727" s="34"/>
    </row>
    <row r="1728" spans="7:97" s="246" customFormat="1" x14ac:dyDescent="0.2">
      <c r="G1728" s="2188"/>
      <c r="BS1728" s="34"/>
      <c r="BT1728" s="34"/>
      <c r="BU1728" s="34"/>
      <c r="BV1728" s="34"/>
      <c r="BW1728" s="34"/>
      <c r="BX1728" s="34"/>
      <c r="BY1728" s="34"/>
      <c r="BZ1728" s="34"/>
      <c r="CA1728" s="34"/>
      <c r="CB1728" s="34"/>
      <c r="CC1728" s="34"/>
      <c r="CD1728" s="34"/>
      <c r="CE1728" s="34"/>
      <c r="CF1728" s="34"/>
      <c r="CG1728" s="34"/>
      <c r="CH1728" s="34"/>
      <c r="CI1728" s="34"/>
      <c r="CJ1728" s="34"/>
      <c r="CK1728" s="34"/>
      <c r="CL1728" s="34"/>
      <c r="CM1728" s="34"/>
      <c r="CN1728" s="34"/>
      <c r="CO1728" s="34"/>
      <c r="CP1728" s="34"/>
      <c r="CQ1728" s="34"/>
      <c r="CR1728" s="34"/>
      <c r="CS1728" s="34"/>
    </row>
    <row r="1729" spans="7:97" s="246" customFormat="1" x14ac:dyDescent="0.2">
      <c r="G1729" s="2188"/>
      <c r="BS1729" s="34"/>
      <c r="BT1729" s="34"/>
      <c r="BU1729" s="34"/>
      <c r="BV1729" s="34"/>
      <c r="BW1729" s="34"/>
      <c r="BX1729" s="34"/>
      <c r="BY1729" s="34"/>
      <c r="BZ1729" s="34"/>
      <c r="CA1729" s="34"/>
      <c r="CB1729" s="34"/>
      <c r="CC1729" s="34"/>
      <c r="CD1729" s="34"/>
      <c r="CE1729" s="34"/>
      <c r="CF1729" s="34"/>
      <c r="CG1729" s="34"/>
      <c r="CH1729" s="34"/>
      <c r="CI1729" s="34"/>
      <c r="CJ1729" s="34"/>
      <c r="CK1729" s="34"/>
      <c r="CL1729" s="34"/>
      <c r="CM1729" s="34"/>
      <c r="CN1729" s="34"/>
      <c r="CO1729" s="34"/>
      <c r="CP1729" s="34"/>
      <c r="CQ1729" s="34"/>
      <c r="CR1729" s="34"/>
      <c r="CS1729" s="34"/>
    </row>
    <row r="1730" spans="7:97" s="246" customFormat="1" x14ac:dyDescent="0.2">
      <c r="G1730" s="2188"/>
      <c r="BS1730" s="34"/>
      <c r="BT1730" s="34"/>
      <c r="BU1730" s="34"/>
      <c r="BV1730" s="34"/>
      <c r="BW1730" s="34"/>
      <c r="BX1730" s="34"/>
      <c r="BY1730" s="34"/>
      <c r="BZ1730" s="34"/>
      <c r="CA1730" s="34"/>
      <c r="CB1730" s="34"/>
      <c r="CC1730" s="34"/>
      <c r="CD1730" s="34"/>
      <c r="CE1730" s="34"/>
      <c r="CF1730" s="34"/>
      <c r="CG1730" s="34"/>
      <c r="CH1730" s="34"/>
      <c r="CI1730" s="34"/>
      <c r="CJ1730" s="34"/>
      <c r="CK1730" s="34"/>
      <c r="CL1730" s="34"/>
      <c r="CM1730" s="34"/>
      <c r="CN1730" s="34"/>
      <c r="CO1730" s="34"/>
      <c r="CP1730" s="34"/>
      <c r="CQ1730" s="34"/>
      <c r="CR1730" s="34"/>
      <c r="CS1730" s="34"/>
    </row>
    <row r="1731" spans="7:97" s="246" customFormat="1" x14ac:dyDescent="0.2">
      <c r="G1731" s="2188"/>
      <c r="BS1731" s="34"/>
      <c r="BT1731" s="34"/>
      <c r="BU1731" s="34"/>
      <c r="BV1731" s="34"/>
      <c r="BW1731" s="34"/>
      <c r="BX1731" s="34"/>
      <c r="BY1731" s="34"/>
      <c r="BZ1731" s="34"/>
      <c r="CA1731" s="34"/>
      <c r="CB1731" s="34"/>
      <c r="CC1731" s="34"/>
      <c r="CD1731" s="34"/>
      <c r="CE1731" s="34"/>
      <c r="CF1731" s="34"/>
      <c r="CG1731" s="34"/>
      <c r="CH1731" s="34"/>
      <c r="CI1731" s="34"/>
      <c r="CJ1731" s="34"/>
      <c r="CK1731" s="34"/>
      <c r="CL1731" s="34"/>
      <c r="CM1731" s="34"/>
      <c r="CN1731" s="34"/>
      <c r="CO1731" s="34"/>
      <c r="CP1731" s="34"/>
      <c r="CQ1731" s="34"/>
      <c r="CR1731" s="34"/>
      <c r="CS1731" s="34"/>
    </row>
    <row r="1732" spans="7:97" s="246" customFormat="1" x14ac:dyDescent="0.2">
      <c r="G1732" s="2188"/>
      <c r="BS1732" s="34"/>
      <c r="BT1732" s="34"/>
      <c r="BU1732" s="34"/>
      <c r="BV1732" s="34"/>
      <c r="BW1732" s="34"/>
      <c r="BX1732" s="34"/>
      <c r="BY1732" s="34"/>
      <c r="BZ1732" s="34"/>
      <c r="CA1732" s="34"/>
      <c r="CB1732" s="34"/>
      <c r="CC1732" s="34"/>
      <c r="CD1732" s="34"/>
      <c r="CE1732" s="34"/>
      <c r="CF1732" s="34"/>
      <c r="CG1732" s="34"/>
      <c r="CH1732" s="34"/>
      <c r="CI1732" s="34"/>
      <c r="CJ1732" s="34"/>
      <c r="CK1732" s="34"/>
      <c r="CL1732" s="34"/>
      <c r="CM1732" s="34"/>
      <c r="CN1732" s="34"/>
      <c r="CO1732" s="34"/>
      <c r="CP1732" s="34"/>
      <c r="CQ1732" s="34"/>
      <c r="CR1732" s="34"/>
      <c r="CS1732" s="34"/>
    </row>
    <row r="1733" spans="7:97" s="246" customFormat="1" x14ac:dyDescent="0.2">
      <c r="G1733" s="2188"/>
      <c r="BS1733" s="34"/>
      <c r="BT1733" s="34"/>
      <c r="BU1733" s="34"/>
      <c r="BV1733" s="34"/>
      <c r="BW1733" s="34"/>
      <c r="BX1733" s="34"/>
      <c r="BY1733" s="34"/>
      <c r="BZ1733" s="34"/>
      <c r="CA1733" s="34"/>
      <c r="CB1733" s="34"/>
      <c r="CC1733" s="34"/>
      <c r="CD1733" s="34"/>
      <c r="CE1733" s="34"/>
      <c r="CF1733" s="34"/>
      <c r="CG1733" s="34"/>
      <c r="CH1733" s="34"/>
      <c r="CI1733" s="34"/>
      <c r="CJ1733" s="34"/>
      <c r="CK1733" s="34"/>
      <c r="CL1733" s="34"/>
      <c r="CM1733" s="34"/>
      <c r="CN1733" s="34"/>
      <c r="CO1733" s="34"/>
      <c r="CP1733" s="34"/>
      <c r="CQ1733" s="34"/>
      <c r="CR1733" s="34"/>
      <c r="CS1733" s="34"/>
    </row>
    <row r="1734" spans="7:97" s="246" customFormat="1" x14ac:dyDescent="0.2">
      <c r="G1734" s="2188"/>
      <c r="BS1734" s="34"/>
      <c r="BT1734" s="34"/>
      <c r="BU1734" s="34"/>
      <c r="BV1734" s="34"/>
      <c r="BW1734" s="34"/>
      <c r="BX1734" s="34"/>
      <c r="BY1734" s="34"/>
      <c r="BZ1734" s="34"/>
      <c r="CA1734" s="34"/>
      <c r="CB1734" s="34"/>
      <c r="CC1734" s="34"/>
      <c r="CD1734" s="34"/>
      <c r="CE1734" s="34"/>
      <c r="CF1734" s="34"/>
      <c r="CG1734" s="34"/>
      <c r="CH1734" s="34"/>
      <c r="CI1734" s="34"/>
      <c r="CJ1734" s="34"/>
      <c r="CK1734" s="34"/>
      <c r="CL1734" s="34"/>
      <c r="CM1734" s="34"/>
      <c r="CN1734" s="34"/>
      <c r="CO1734" s="34"/>
      <c r="CP1734" s="34"/>
      <c r="CQ1734" s="34"/>
      <c r="CR1734" s="34"/>
      <c r="CS1734" s="34"/>
    </row>
    <row r="1735" spans="7:97" s="246" customFormat="1" x14ac:dyDescent="0.2">
      <c r="G1735" s="2188"/>
      <c r="BS1735" s="34"/>
      <c r="BT1735" s="34"/>
      <c r="BU1735" s="34"/>
      <c r="BV1735" s="34"/>
      <c r="BW1735" s="34"/>
      <c r="BX1735" s="34"/>
      <c r="BY1735" s="34"/>
      <c r="BZ1735" s="34"/>
      <c r="CA1735" s="34"/>
      <c r="CB1735" s="34"/>
      <c r="CC1735" s="34"/>
      <c r="CD1735" s="34"/>
      <c r="CE1735" s="34"/>
      <c r="CF1735" s="34"/>
      <c r="CG1735" s="34"/>
      <c r="CH1735" s="34"/>
      <c r="CI1735" s="34"/>
      <c r="CJ1735" s="34"/>
      <c r="CK1735" s="34"/>
      <c r="CL1735" s="34"/>
      <c r="CM1735" s="34"/>
      <c r="CN1735" s="34"/>
      <c r="CO1735" s="34"/>
      <c r="CP1735" s="34"/>
      <c r="CQ1735" s="34"/>
      <c r="CR1735" s="34"/>
      <c r="CS1735" s="34"/>
    </row>
    <row r="1736" spans="7:97" s="246" customFormat="1" x14ac:dyDescent="0.2">
      <c r="G1736" s="2188"/>
      <c r="BS1736" s="34"/>
      <c r="BT1736" s="34"/>
      <c r="BU1736" s="34"/>
      <c r="BV1736" s="34"/>
      <c r="BW1736" s="34"/>
      <c r="BX1736" s="34"/>
      <c r="BY1736" s="34"/>
      <c r="BZ1736" s="34"/>
      <c r="CA1736" s="34"/>
      <c r="CB1736" s="34"/>
      <c r="CC1736" s="34"/>
      <c r="CD1736" s="34"/>
      <c r="CE1736" s="34"/>
      <c r="CF1736" s="34"/>
      <c r="CG1736" s="34"/>
      <c r="CH1736" s="34"/>
      <c r="CI1736" s="34"/>
      <c r="CJ1736" s="34"/>
      <c r="CK1736" s="34"/>
      <c r="CL1736" s="34"/>
      <c r="CM1736" s="34"/>
      <c r="CN1736" s="34"/>
      <c r="CO1736" s="34"/>
      <c r="CP1736" s="34"/>
      <c r="CQ1736" s="34"/>
      <c r="CR1736" s="34"/>
      <c r="CS1736" s="34"/>
    </row>
    <row r="1737" spans="7:97" s="246" customFormat="1" x14ac:dyDescent="0.2">
      <c r="G1737" s="2188"/>
      <c r="BS1737" s="34"/>
      <c r="BT1737" s="34"/>
      <c r="BU1737" s="34"/>
      <c r="BV1737" s="34"/>
      <c r="BW1737" s="34"/>
      <c r="BX1737" s="34"/>
      <c r="BY1737" s="34"/>
      <c r="BZ1737" s="34"/>
      <c r="CA1737" s="34"/>
      <c r="CB1737" s="34"/>
      <c r="CC1737" s="34"/>
      <c r="CD1737" s="34"/>
      <c r="CE1737" s="34"/>
      <c r="CF1737" s="34"/>
      <c r="CG1737" s="34"/>
      <c r="CH1737" s="34"/>
      <c r="CI1737" s="34"/>
      <c r="CJ1737" s="34"/>
      <c r="CK1737" s="34"/>
      <c r="CL1737" s="34"/>
      <c r="CM1737" s="34"/>
      <c r="CN1737" s="34"/>
      <c r="CO1737" s="34"/>
      <c r="CP1737" s="34"/>
      <c r="CQ1737" s="34"/>
      <c r="CR1737" s="34"/>
      <c r="CS1737" s="34"/>
    </row>
    <row r="1738" spans="7:97" s="246" customFormat="1" x14ac:dyDescent="0.2">
      <c r="G1738" s="2188"/>
      <c r="BS1738" s="34"/>
      <c r="BT1738" s="34"/>
      <c r="BU1738" s="34"/>
      <c r="BV1738" s="34"/>
      <c r="BW1738" s="34"/>
      <c r="BX1738" s="34"/>
      <c r="BY1738" s="34"/>
      <c r="BZ1738" s="34"/>
      <c r="CA1738" s="34"/>
      <c r="CB1738" s="34"/>
      <c r="CC1738" s="34"/>
      <c r="CD1738" s="34"/>
      <c r="CE1738" s="34"/>
      <c r="CF1738" s="34"/>
      <c r="CG1738" s="34"/>
      <c r="CH1738" s="34"/>
      <c r="CI1738" s="34"/>
      <c r="CJ1738" s="34"/>
      <c r="CK1738" s="34"/>
      <c r="CL1738" s="34"/>
      <c r="CM1738" s="34"/>
      <c r="CN1738" s="34"/>
      <c r="CO1738" s="34"/>
      <c r="CP1738" s="34"/>
      <c r="CQ1738" s="34"/>
      <c r="CR1738" s="34"/>
      <c r="CS1738" s="34"/>
    </row>
    <row r="1739" spans="7:97" s="246" customFormat="1" x14ac:dyDescent="0.2">
      <c r="G1739" s="2188"/>
      <c r="BS1739" s="34"/>
      <c r="BT1739" s="34"/>
      <c r="BU1739" s="34"/>
      <c r="BV1739" s="34"/>
      <c r="BW1739" s="34"/>
      <c r="BX1739" s="34"/>
      <c r="BY1739" s="34"/>
      <c r="BZ1739" s="34"/>
      <c r="CA1739" s="34"/>
      <c r="CB1739" s="34"/>
      <c r="CC1739" s="34"/>
      <c r="CD1739" s="34"/>
      <c r="CE1739" s="34"/>
      <c r="CF1739" s="34"/>
      <c r="CG1739" s="34"/>
      <c r="CH1739" s="34"/>
      <c r="CI1739" s="34"/>
      <c r="CJ1739" s="34"/>
      <c r="CK1739" s="34"/>
      <c r="CL1739" s="34"/>
      <c r="CM1739" s="34"/>
      <c r="CN1739" s="34"/>
      <c r="CO1739" s="34"/>
      <c r="CP1739" s="34"/>
      <c r="CQ1739" s="34"/>
      <c r="CR1739" s="34"/>
      <c r="CS1739" s="34"/>
    </row>
    <row r="1740" spans="7:97" s="246" customFormat="1" x14ac:dyDescent="0.2">
      <c r="G1740" s="2188"/>
      <c r="BS1740" s="34"/>
      <c r="BT1740" s="34"/>
      <c r="BU1740" s="34"/>
      <c r="BV1740" s="34"/>
      <c r="BW1740" s="34"/>
      <c r="BX1740" s="34"/>
      <c r="BY1740" s="34"/>
      <c r="BZ1740" s="34"/>
      <c r="CA1740" s="34"/>
      <c r="CB1740" s="34"/>
      <c r="CC1740" s="34"/>
      <c r="CD1740" s="34"/>
      <c r="CE1740" s="34"/>
      <c r="CF1740" s="34"/>
      <c r="CG1740" s="34"/>
      <c r="CH1740" s="34"/>
      <c r="CI1740" s="34"/>
      <c r="CJ1740" s="34"/>
      <c r="CK1740" s="34"/>
      <c r="CL1740" s="34"/>
      <c r="CM1740" s="34"/>
      <c r="CN1740" s="34"/>
      <c r="CO1740" s="34"/>
      <c r="CP1740" s="34"/>
      <c r="CQ1740" s="34"/>
      <c r="CR1740" s="34"/>
      <c r="CS1740" s="34"/>
    </row>
    <row r="1741" spans="7:97" s="246" customFormat="1" x14ac:dyDescent="0.2">
      <c r="G1741" s="2188"/>
      <c r="BS1741" s="34"/>
      <c r="BT1741" s="34"/>
      <c r="BU1741" s="34"/>
      <c r="BV1741" s="34"/>
      <c r="BW1741" s="34"/>
      <c r="BX1741" s="34"/>
      <c r="BY1741" s="34"/>
      <c r="BZ1741" s="34"/>
      <c r="CA1741" s="34"/>
      <c r="CB1741" s="34"/>
      <c r="CC1741" s="34"/>
      <c r="CD1741" s="34"/>
      <c r="CE1741" s="34"/>
      <c r="CF1741" s="34"/>
      <c r="CG1741" s="34"/>
      <c r="CH1741" s="34"/>
      <c r="CI1741" s="34"/>
      <c r="CJ1741" s="34"/>
      <c r="CK1741" s="34"/>
      <c r="CL1741" s="34"/>
      <c r="CM1741" s="34"/>
      <c r="CN1741" s="34"/>
      <c r="CO1741" s="34"/>
      <c r="CP1741" s="34"/>
      <c r="CQ1741" s="34"/>
      <c r="CR1741" s="34"/>
      <c r="CS1741" s="34"/>
    </row>
    <row r="1742" spans="7:97" s="246" customFormat="1" x14ac:dyDescent="0.2">
      <c r="G1742" s="2188"/>
      <c r="BS1742" s="34"/>
      <c r="BT1742" s="34"/>
      <c r="BU1742" s="34"/>
      <c r="BV1742" s="34"/>
      <c r="BW1742" s="34"/>
      <c r="BX1742" s="34"/>
      <c r="BY1742" s="34"/>
      <c r="BZ1742" s="34"/>
      <c r="CA1742" s="34"/>
      <c r="CB1742" s="34"/>
      <c r="CC1742" s="34"/>
      <c r="CD1742" s="34"/>
      <c r="CE1742" s="34"/>
      <c r="CF1742" s="34"/>
      <c r="CG1742" s="34"/>
      <c r="CH1742" s="34"/>
      <c r="CI1742" s="34"/>
      <c r="CJ1742" s="34"/>
      <c r="CK1742" s="34"/>
      <c r="CL1742" s="34"/>
      <c r="CM1742" s="34"/>
      <c r="CN1742" s="34"/>
      <c r="CO1742" s="34"/>
      <c r="CP1742" s="34"/>
      <c r="CQ1742" s="34"/>
      <c r="CR1742" s="34"/>
      <c r="CS1742" s="34"/>
    </row>
    <row r="1743" spans="7:97" s="246" customFormat="1" x14ac:dyDescent="0.2">
      <c r="G1743" s="2188"/>
      <c r="BS1743" s="34"/>
      <c r="BT1743" s="34"/>
      <c r="BU1743" s="34"/>
      <c r="BV1743" s="34"/>
      <c r="BW1743" s="34"/>
      <c r="BX1743" s="34"/>
      <c r="BY1743" s="34"/>
      <c r="BZ1743" s="34"/>
      <c r="CA1743" s="34"/>
      <c r="CB1743" s="34"/>
      <c r="CC1743" s="34"/>
      <c r="CD1743" s="34"/>
      <c r="CE1743" s="34"/>
      <c r="CF1743" s="34"/>
      <c r="CG1743" s="34"/>
      <c r="CH1743" s="34"/>
      <c r="CI1743" s="34"/>
      <c r="CJ1743" s="34"/>
      <c r="CK1743" s="34"/>
      <c r="CL1743" s="34"/>
      <c r="CM1743" s="34"/>
      <c r="CN1743" s="34"/>
      <c r="CO1743" s="34"/>
      <c r="CP1743" s="34"/>
      <c r="CQ1743" s="34"/>
      <c r="CR1743" s="34"/>
      <c r="CS1743" s="34"/>
    </row>
    <row r="1744" spans="7:97" s="246" customFormat="1" x14ac:dyDescent="0.2">
      <c r="G1744" s="2188"/>
      <c r="BS1744" s="34"/>
      <c r="BT1744" s="34"/>
      <c r="BU1744" s="34"/>
      <c r="BV1744" s="34"/>
      <c r="BW1744" s="34"/>
      <c r="BX1744" s="34"/>
      <c r="BY1744" s="34"/>
      <c r="BZ1744" s="34"/>
      <c r="CA1744" s="34"/>
      <c r="CB1744" s="34"/>
      <c r="CC1744" s="34"/>
      <c r="CD1744" s="34"/>
      <c r="CE1744" s="34"/>
      <c r="CF1744" s="34"/>
      <c r="CG1744" s="34"/>
      <c r="CH1744" s="34"/>
      <c r="CI1744" s="34"/>
      <c r="CJ1744" s="34"/>
      <c r="CK1744" s="34"/>
      <c r="CL1744" s="34"/>
      <c r="CM1744" s="34"/>
      <c r="CN1744" s="34"/>
      <c r="CO1744" s="34"/>
      <c r="CP1744" s="34"/>
      <c r="CQ1744" s="34"/>
      <c r="CR1744" s="34"/>
      <c r="CS1744" s="34"/>
    </row>
    <row r="1745" spans="7:97" s="246" customFormat="1" x14ac:dyDescent="0.2">
      <c r="G1745" s="2188"/>
      <c r="BS1745" s="34"/>
      <c r="BT1745" s="34"/>
      <c r="BU1745" s="34"/>
      <c r="BV1745" s="34"/>
      <c r="BW1745" s="34"/>
      <c r="BX1745" s="34"/>
      <c r="BY1745" s="34"/>
      <c r="BZ1745" s="34"/>
      <c r="CA1745" s="34"/>
      <c r="CB1745" s="34"/>
      <c r="CC1745" s="34"/>
      <c r="CD1745" s="34"/>
      <c r="CE1745" s="34"/>
      <c r="CF1745" s="34"/>
      <c r="CG1745" s="34"/>
      <c r="CH1745" s="34"/>
      <c r="CI1745" s="34"/>
      <c r="CJ1745" s="34"/>
      <c r="CK1745" s="34"/>
      <c r="CL1745" s="34"/>
      <c r="CM1745" s="34"/>
      <c r="CN1745" s="34"/>
      <c r="CO1745" s="34"/>
      <c r="CP1745" s="34"/>
      <c r="CQ1745" s="34"/>
      <c r="CR1745" s="34"/>
      <c r="CS1745" s="34"/>
    </row>
    <row r="1746" spans="7:97" s="246" customFormat="1" x14ac:dyDescent="0.2">
      <c r="G1746" s="2188"/>
      <c r="BS1746" s="34"/>
      <c r="BT1746" s="34"/>
      <c r="BU1746" s="34"/>
      <c r="BV1746" s="34"/>
      <c r="BW1746" s="34"/>
      <c r="BX1746" s="34"/>
      <c r="BY1746" s="34"/>
      <c r="BZ1746" s="34"/>
      <c r="CA1746" s="34"/>
      <c r="CB1746" s="34"/>
      <c r="CC1746" s="34"/>
      <c r="CD1746" s="34"/>
      <c r="CE1746" s="34"/>
      <c r="CF1746" s="34"/>
      <c r="CG1746" s="34"/>
      <c r="CH1746" s="34"/>
      <c r="CI1746" s="34"/>
      <c r="CJ1746" s="34"/>
      <c r="CK1746" s="34"/>
      <c r="CL1746" s="34"/>
      <c r="CM1746" s="34"/>
      <c r="CN1746" s="34"/>
      <c r="CO1746" s="34"/>
      <c r="CP1746" s="34"/>
      <c r="CQ1746" s="34"/>
      <c r="CR1746" s="34"/>
      <c r="CS1746" s="34"/>
    </row>
    <row r="1747" spans="7:97" s="246" customFormat="1" x14ac:dyDescent="0.2">
      <c r="G1747" s="2188"/>
      <c r="BS1747" s="34"/>
      <c r="BT1747" s="34"/>
      <c r="BU1747" s="34"/>
      <c r="BV1747" s="34"/>
      <c r="BW1747" s="34"/>
      <c r="BX1747" s="34"/>
      <c r="BY1747" s="34"/>
      <c r="BZ1747" s="34"/>
      <c r="CA1747" s="34"/>
      <c r="CB1747" s="34"/>
      <c r="CC1747" s="34"/>
      <c r="CD1747" s="34"/>
      <c r="CE1747" s="34"/>
      <c r="CF1747" s="34"/>
      <c r="CG1747" s="34"/>
      <c r="CH1747" s="34"/>
      <c r="CI1747" s="34"/>
      <c r="CJ1747" s="34"/>
      <c r="CK1747" s="34"/>
      <c r="CL1747" s="34"/>
      <c r="CM1747" s="34"/>
      <c r="CN1747" s="34"/>
      <c r="CO1747" s="34"/>
      <c r="CP1747" s="34"/>
      <c r="CQ1747" s="34"/>
      <c r="CR1747" s="34"/>
      <c r="CS1747" s="34"/>
    </row>
    <row r="1748" spans="7:97" s="246" customFormat="1" x14ac:dyDescent="0.2">
      <c r="G1748" s="2188"/>
      <c r="BS1748" s="34"/>
      <c r="BT1748" s="34"/>
      <c r="BU1748" s="34"/>
      <c r="BV1748" s="34"/>
      <c r="BW1748" s="34"/>
      <c r="BX1748" s="34"/>
      <c r="BY1748" s="34"/>
      <c r="BZ1748" s="34"/>
      <c r="CA1748" s="34"/>
      <c r="CB1748" s="34"/>
      <c r="CC1748" s="34"/>
      <c r="CD1748" s="34"/>
      <c r="CE1748" s="34"/>
      <c r="CF1748" s="34"/>
      <c r="CG1748" s="34"/>
      <c r="CH1748" s="34"/>
      <c r="CI1748" s="34"/>
      <c r="CJ1748" s="34"/>
      <c r="CK1748" s="34"/>
      <c r="CL1748" s="34"/>
      <c r="CM1748" s="34"/>
      <c r="CN1748" s="34"/>
      <c r="CO1748" s="34"/>
      <c r="CP1748" s="34"/>
      <c r="CQ1748" s="34"/>
      <c r="CR1748" s="34"/>
      <c r="CS1748" s="34"/>
    </row>
    <row r="1749" spans="7:97" s="246" customFormat="1" x14ac:dyDescent="0.2">
      <c r="G1749" s="2188"/>
      <c r="BS1749" s="34"/>
      <c r="BT1749" s="34"/>
      <c r="BU1749" s="34"/>
      <c r="BV1749" s="34"/>
      <c r="BW1749" s="34"/>
      <c r="BX1749" s="34"/>
      <c r="BY1749" s="34"/>
      <c r="BZ1749" s="34"/>
      <c r="CA1749" s="34"/>
      <c r="CB1749" s="34"/>
      <c r="CC1749" s="34"/>
      <c r="CD1749" s="34"/>
      <c r="CE1749" s="34"/>
      <c r="CF1749" s="34"/>
      <c r="CG1749" s="34"/>
      <c r="CH1749" s="34"/>
      <c r="CI1749" s="34"/>
      <c r="CJ1749" s="34"/>
      <c r="CK1749" s="34"/>
      <c r="CL1749" s="34"/>
      <c r="CM1749" s="34"/>
      <c r="CN1749" s="34"/>
      <c r="CO1749" s="34"/>
      <c r="CP1749" s="34"/>
      <c r="CQ1749" s="34"/>
      <c r="CR1749" s="34"/>
      <c r="CS1749" s="34"/>
    </row>
    <row r="1750" spans="7:97" s="246" customFormat="1" x14ac:dyDescent="0.2">
      <c r="G1750" s="2188"/>
      <c r="BS1750" s="34"/>
      <c r="BT1750" s="34"/>
      <c r="BU1750" s="34"/>
      <c r="BV1750" s="34"/>
      <c r="BW1750" s="34"/>
      <c r="BX1750" s="34"/>
      <c r="BY1750" s="34"/>
      <c r="BZ1750" s="34"/>
      <c r="CA1750" s="34"/>
      <c r="CB1750" s="34"/>
      <c r="CC1750" s="34"/>
      <c r="CD1750" s="34"/>
      <c r="CE1750" s="34"/>
      <c r="CF1750" s="34"/>
      <c r="CG1750" s="34"/>
      <c r="CH1750" s="34"/>
      <c r="CI1750" s="34"/>
      <c r="CJ1750" s="34"/>
      <c r="CK1750" s="34"/>
      <c r="CL1750" s="34"/>
      <c r="CM1750" s="34"/>
      <c r="CN1750" s="34"/>
      <c r="CO1750" s="34"/>
      <c r="CP1750" s="34"/>
      <c r="CQ1750" s="34"/>
      <c r="CR1750" s="34"/>
      <c r="CS1750" s="34"/>
    </row>
    <row r="1751" spans="7:97" s="246" customFormat="1" x14ac:dyDescent="0.2">
      <c r="G1751" s="2188"/>
      <c r="BS1751" s="34"/>
      <c r="BT1751" s="34"/>
      <c r="BU1751" s="34"/>
      <c r="BV1751" s="34"/>
      <c r="BW1751" s="34"/>
      <c r="BX1751" s="34"/>
      <c r="BY1751" s="34"/>
      <c r="BZ1751" s="34"/>
      <c r="CA1751" s="34"/>
      <c r="CB1751" s="34"/>
      <c r="CC1751" s="34"/>
      <c r="CD1751" s="34"/>
      <c r="CE1751" s="34"/>
      <c r="CF1751" s="34"/>
      <c r="CG1751" s="34"/>
      <c r="CH1751" s="34"/>
      <c r="CI1751" s="34"/>
      <c r="CJ1751" s="34"/>
      <c r="CK1751" s="34"/>
      <c r="CL1751" s="34"/>
      <c r="CM1751" s="34"/>
      <c r="CN1751" s="34"/>
      <c r="CO1751" s="34"/>
      <c r="CP1751" s="34"/>
      <c r="CQ1751" s="34"/>
      <c r="CR1751" s="34"/>
      <c r="CS1751" s="34"/>
    </row>
    <row r="1752" spans="7:97" s="246" customFormat="1" x14ac:dyDescent="0.2">
      <c r="G1752" s="2188"/>
      <c r="BS1752" s="34"/>
      <c r="BT1752" s="34"/>
      <c r="BU1752" s="34"/>
      <c r="BV1752" s="34"/>
      <c r="BW1752" s="34"/>
      <c r="BX1752" s="34"/>
      <c r="BY1752" s="34"/>
      <c r="BZ1752" s="34"/>
      <c r="CA1752" s="34"/>
      <c r="CB1752" s="34"/>
      <c r="CC1752" s="34"/>
      <c r="CD1752" s="34"/>
      <c r="CE1752" s="34"/>
      <c r="CF1752" s="34"/>
      <c r="CG1752" s="34"/>
      <c r="CH1752" s="34"/>
      <c r="CI1752" s="34"/>
      <c r="CJ1752" s="34"/>
      <c r="CK1752" s="34"/>
      <c r="CL1752" s="34"/>
      <c r="CM1752" s="34"/>
      <c r="CN1752" s="34"/>
      <c r="CO1752" s="34"/>
      <c r="CP1752" s="34"/>
      <c r="CQ1752" s="34"/>
      <c r="CR1752" s="34"/>
      <c r="CS1752" s="34"/>
    </row>
    <row r="1753" spans="7:97" s="246" customFormat="1" x14ac:dyDescent="0.2">
      <c r="G1753" s="2188"/>
      <c r="BS1753" s="34"/>
      <c r="BT1753" s="34"/>
      <c r="BU1753" s="34"/>
      <c r="BV1753" s="34"/>
      <c r="BW1753" s="34"/>
      <c r="BX1753" s="34"/>
      <c r="BY1753" s="34"/>
      <c r="BZ1753" s="34"/>
      <c r="CA1753" s="34"/>
      <c r="CB1753" s="34"/>
      <c r="CC1753" s="34"/>
      <c r="CD1753" s="34"/>
      <c r="CE1753" s="34"/>
      <c r="CF1753" s="34"/>
      <c r="CG1753" s="34"/>
      <c r="CH1753" s="34"/>
      <c r="CI1753" s="34"/>
      <c r="CJ1753" s="34"/>
      <c r="CK1753" s="34"/>
      <c r="CL1753" s="34"/>
      <c r="CM1753" s="34"/>
      <c r="CN1753" s="34"/>
      <c r="CO1753" s="34"/>
      <c r="CP1753" s="34"/>
      <c r="CQ1753" s="34"/>
      <c r="CR1753" s="34"/>
      <c r="CS1753" s="34"/>
    </row>
    <row r="1754" spans="7:97" s="246" customFormat="1" x14ac:dyDescent="0.2">
      <c r="G1754" s="2188"/>
      <c r="BS1754" s="34"/>
      <c r="BT1754" s="34"/>
      <c r="BU1754" s="34"/>
      <c r="BV1754" s="34"/>
      <c r="BW1754" s="34"/>
      <c r="BX1754" s="34"/>
      <c r="BY1754" s="34"/>
      <c r="BZ1754" s="34"/>
      <c r="CA1754" s="34"/>
      <c r="CB1754" s="34"/>
      <c r="CC1754" s="34"/>
      <c r="CD1754" s="34"/>
      <c r="CE1754" s="34"/>
      <c r="CF1754" s="34"/>
      <c r="CG1754" s="34"/>
      <c r="CH1754" s="34"/>
      <c r="CI1754" s="34"/>
      <c r="CJ1754" s="34"/>
      <c r="CK1754" s="34"/>
      <c r="CL1754" s="34"/>
      <c r="CM1754" s="34"/>
      <c r="CN1754" s="34"/>
      <c r="CO1754" s="34"/>
      <c r="CP1754" s="34"/>
      <c r="CQ1754" s="34"/>
      <c r="CR1754" s="34"/>
      <c r="CS1754" s="34"/>
    </row>
    <row r="1755" spans="7:97" s="246" customFormat="1" x14ac:dyDescent="0.2">
      <c r="G1755" s="2188"/>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row>
    <row r="1756" spans="7:97" s="246" customFormat="1" x14ac:dyDescent="0.2">
      <c r="G1756" s="2188"/>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row>
    <row r="1757" spans="7:97" s="246" customFormat="1" x14ac:dyDescent="0.2">
      <c r="G1757" s="2188"/>
      <c r="BS1757" s="34"/>
      <c r="BT1757" s="34"/>
      <c r="BU1757" s="34"/>
      <c r="BV1757" s="34"/>
      <c r="BW1757" s="34"/>
      <c r="BX1757" s="34"/>
      <c r="BY1757" s="34"/>
      <c r="BZ1757" s="34"/>
      <c r="CA1757" s="34"/>
      <c r="CB1757" s="34"/>
      <c r="CC1757" s="34"/>
      <c r="CD1757" s="34"/>
      <c r="CE1757" s="34"/>
      <c r="CF1757" s="34"/>
      <c r="CG1757" s="34"/>
      <c r="CH1757" s="34"/>
      <c r="CI1757" s="34"/>
      <c r="CJ1757" s="34"/>
      <c r="CK1757" s="34"/>
      <c r="CL1757" s="34"/>
      <c r="CM1757" s="34"/>
      <c r="CN1757" s="34"/>
      <c r="CO1757" s="34"/>
      <c r="CP1757" s="34"/>
      <c r="CQ1757" s="34"/>
      <c r="CR1757" s="34"/>
      <c r="CS1757" s="34"/>
    </row>
    <row r="1758" spans="7:97" s="246" customFormat="1" x14ac:dyDescent="0.2">
      <c r="G1758" s="2188"/>
      <c r="BS1758" s="34"/>
      <c r="BT1758" s="34"/>
      <c r="BU1758" s="34"/>
      <c r="BV1758" s="34"/>
      <c r="BW1758" s="34"/>
      <c r="BX1758" s="34"/>
      <c r="BY1758" s="34"/>
      <c r="BZ1758" s="34"/>
      <c r="CA1758" s="34"/>
      <c r="CB1758" s="34"/>
      <c r="CC1758" s="34"/>
      <c r="CD1758" s="34"/>
      <c r="CE1758" s="34"/>
      <c r="CF1758" s="34"/>
      <c r="CG1758" s="34"/>
      <c r="CH1758" s="34"/>
      <c r="CI1758" s="34"/>
      <c r="CJ1758" s="34"/>
      <c r="CK1758" s="34"/>
      <c r="CL1758" s="34"/>
      <c r="CM1758" s="34"/>
      <c r="CN1758" s="34"/>
      <c r="CO1758" s="34"/>
      <c r="CP1758" s="34"/>
      <c r="CQ1758" s="34"/>
      <c r="CR1758" s="34"/>
      <c r="CS1758" s="34"/>
    </row>
    <row r="1759" spans="7:97" s="246" customFormat="1" x14ac:dyDescent="0.2">
      <c r="G1759" s="2188"/>
      <c r="BS1759" s="34"/>
      <c r="BT1759" s="34"/>
      <c r="BU1759" s="34"/>
      <c r="BV1759" s="34"/>
      <c r="BW1759" s="34"/>
      <c r="BX1759" s="34"/>
      <c r="BY1759" s="34"/>
      <c r="BZ1759" s="34"/>
      <c r="CA1759" s="34"/>
      <c r="CB1759" s="34"/>
      <c r="CC1759" s="34"/>
      <c r="CD1759" s="34"/>
      <c r="CE1759" s="34"/>
      <c r="CF1759" s="34"/>
      <c r="CG1759" s="34"/>
      <c r="CH1759" s="34"/>
      <c r="CI1759" s="34"/>
      <c r="CJ1759" s="34"/>
      <c r="CK1759" s="34"/>
      <c r="CL1759" s="34"/>
      <c r="CM1759" s="34"/>
      <c r="CN1759" s="34"/>
      <c r="CO1759" s="34"/>
      <c r="CP1759" s="34"/>
      <c r="CQ1759" s="34"/>
      <c r="CR1759" s="34"/>
      <c r="CS1759" s="34"/>
    </row>
    <row r="1760" spans="7:97" s="246" customFormat="1" x14ac:dyDescent="0.2">
      <c r="G1760" s="2188"/>
      <c r="BS1760" s="34"/>
      <c r="BT1760" s="34"/>
      <c r="BU1760" s="34"/>
      <c r="BV1760" s="34"/>
      <c r="BW1760" s="34"/>
      <c r="BX1760" s="34"/>
      <c r="BY1760" s="34"/>
      <c r="BZ1760" s="34"/>
      <c r="CA1760" s="34"/>
      <c r="CB1760" s="34"/>
      <c r="CC1760" s="34"/>
      <c r="CD1760" s="34"/>
      <c r="CE1760" s="34"/>
      <c r="CF1760" s="34"/>
      <c r="CG1760" s="34"/>
      <c r="CH1760" s="34"/>
      <c r="CI1760" s="34"/>
      <c r="CJ1760" s="34"/>
      <c r="CK1760" s="34"/>
      <c r="CL1760" s="34"/>
      <c r="CM1760" s="34"/>
      <c r="CN1760" s="34"/>
      <c r="CO1760" s="34"/>
      <c r="CP1760" s="34"/>
      <c r="CQ1760" s="34"/>
      <c r="CR1760" s="34"/>
      <c r="CS1760" s="34"/>
    </row>
    <row r="1761" spans="7:97" s="246" customFormat="1" x14ac:dyDescent="0.2">
      <c r="G1761" s="2188"/>
      <c r="BS1761" s="34"/>
      <c r="BT1761" s="34"/>
      <c r="BU1761" s="34"/>
      <c r="BV1761" s="34"/>
      <c r="BW1761" s="34"/>
      <c r="BX1761" s="34"/>
      <c r="BY1761" s="34"/>
      <c r="BZ1761" s="34"/>
      <c r="CA1761" s="34"/>
      <c r="CB1761" s="34"/>
      <c r="CC1761" s="34"/>
      <c r="CD1761" s="34"/>
      <c r="CE1761" s="34"/>
      <c r="CF1761" s="34"/>
      <c r="CG1761" s="34"/>
      <c r="CH1761" s="34"/>
      <c r="CI1761" s="34"/>
      <c r="CJ1761" s="34"/>
      <c r="CK1761" s="34"/>
      <c r="CL1761" s="34"/>
      <c r="CM1761" s="34"/>
      <c r="CN1761" s="34"/>
      <c r="CO1761" s="34"/>
      <c r="CP1761" s="34"/>
      <c r="CQ1761" s="34"/>
      <c r="CR1761" s="34"/>
      <c r="CS1761" s="34"/>
    </row>
    <row r="1762" spans="7:97" s="246" customFormat="1" x14ac:dyDescent="0.2">
      <c r="G1762" s="2188"/>
      <c r="BS1762" s="34"/>
      <c r="BT1762" s="34"/>
      <c r="BU1762" s="34"/>
      <c r="BV1762" s="34"/>
      <c r="BW1762" s="34"/>
      <c r="BX1762" s="34"/>
      <c r="BY1762" s="34"/>
      <c r="BZ1762" s="34"/>
      <c r="CA1762" s="34"/>
      <c r="CB1762" s="34"/>
      <c r="CC1762" s="34"/>
      <c r="CD1762" s="34"/>
      <c r="CE1762" s="34"/>
      <c r="CF1762" s="34"/>
      <c r="CG1762" s="34"/>
      <c r="CH1762" s="34"/>
      <c r="CI1762" s="34"/>
      <c r="CJ1762" s="34"/>
      <c r="CK1762" s="34"/>
      <c r="CL1762" s="34"/>
      <c r="CM1762" s="34"/>
      <c r="CN1762" s="34"/>
      <c r="CO1762" s="34"/>
      <c r="CP1762" s="34"/>
      <c r="CQ1762" s="34"/>
      <c r="CR1762" s="34"/>
      <c r="CS1762" s="34"/>
    </row>
    <row r="1763" spans="7:97" s="246" customFormat="1" x14ac:dyDescent="0.2">
      <c r="G1763" s="2188"/>
      <c r="BS1763" s="34"/>
      <c r="BT1763" s="34"/>
      <c r="BU1763" s="34"/>
      <c r="BV1763" s="34"/>
      <c r="BW1763" s="34"/>
      <c r="BX1763" s="34"/>
      <c r="BY1763" s="34"/>
      <c r="BZ1763" s="34"/>
      <c r="CA1763" s="34"/>
      <c r="CB1763" s="34"/>
      <c r="CC1763" s="34"/>
      <c r="CD1763" s="34"/>
      <c r="CE1763" s="34"/>
      <c r="CF1763" s="34"/>
      <c r="CG1763" s="34"/>
      <c r="CH1763" s="34"/>
      <c r="CI1763" s="34"/>
      <c r="CJ1763" s="34"/>
      <c r="CK1763" s="34"/>
      <c r="CL1763" s="34"/>
      <c r="CM1763" s="34"/>
      <c r="CN1763" s="34"/>
      <c r="CO1763" s="34"/>
      <c r="CP1763" s="34"/>
      <c r="CQ1763" s="34"/>
      <c r="CR1763" s="34"/>
      <c r="CS1763" s="34"/>
    </row>
    <row r="1764" spans="7:97" s="246" customFormat="1" x14ac:dyDescent="0.2">
      <c r="G1764" s="2188"/>
      <c r="BS1764" s="34"/>
      <c r="BT1764" s="34"/>
      <c r="BU1764" s="34"/>
      <c r="BV1764" s="34"/>
      <c r="BW1764" s="34"/>
      <c r="BX1764" s="34"/>
      <c r="BY1764" s="34"/>
      <c r="BZ1764" s="34"/>
      <c r="CA1764" s="34"/>
      <c r="CB1764" s="34"/>
      <c r="CC1764" s="34"/>
      <c r="CD1764" s="34"/>
      <c r="CE1764" s="34"/>
      <c r="CF1764" s="34"/>
      <c r="CG1764" s="34"/>
      <c r="CH1764" s="34"/>
      <c r="CI1764" s="34"/>
      <c r="CJ1764" s="34"/>
      <c r="CK1764" s="34"/>
      <c r="CL1764" s="34"/>
      <c r="CM1764" s="34"/>
      <c r="CN1764" s="34"/>
      <c r="CO1764" s="34"/>
      <c r="CP1764" s="34"/>
      <c r="CQ1764" s="34"/>
      <c r="CR1764" s="34"/>
      <c r="CS1764" s="34"/>
    </row>
    <row r="1765" spans="7:97" s="246" customFormat="1" x14ac:dyDescent="0.2">
      <c r="G1765" s="2188"/>
      <c r="BS1765" s="34"/>
      <c r="BT1765" s="34"/>
      <c r="BU1765" s="34"/>
      <c r="BV1765" s="34"/>
      <c r="BW1765" s="34"/>
      <c r="BX1765" s="34"/>
      <c r="BY1765" s="34"/>
      <c r="BZ1765" s="34"/>
      <c r="CA1765" s="34"/>
      <c r="CB1765" s="34"/>
      <c r="CC1765" s="34"/>
      <c r="CD1765" s="34"/>
      <c r="CE1765" s="34"/>
      <c r="CF1765" s="34"/>
      <c r="CG1765" s="34"/>
      <c r="CH1765" s="34"/>
      <c r="CI1765" s="34"/>
      <c r="CJ1765" s="34"/>
      <c r="CK1765" s="34"/>
      <c r="CL1765" s="34"/>
      <c r="CM1765" s="34"/>
      <c r="CN1765" s="34"/>
      <c r="CO1765" s="34"/>
      <c r="CP1765" s="34"/>
      <c r="CQ1765" s="34"/>
      <c r="CR1765" s="34"/>
      <c r="CS1765" s="34"/>
    </row>
    <row r="1766" spans="7:97" s="246" customFormat="1" x14ac:dyDescent="0.2">
      <c r="G1766" s="2188"/>
      <c r="BS1766" s="34"/>
      <c r="BT1766" s="34"/>
      <c r="BU1766" s="34"/>
      <c r="BV1766" s="34"/>
      <c r="BW1766" s="34"/>
      <c r="BX1766" s="34"/>
      <c r="BY1766" s="34"/>
      <c r="BZ1766" s="34"/>
      <c r="CA1766" s="34"/>
      <c r="CB1766" s="34"/>
      <c r="CC1766" s="34"/>
      <c r="CD1766" s="34"/>
      <c r="CE1766" s="34"/>
      <c r="CF1766" s="34"/>
      <c r="CG1766" s="34"/>
      <c r="CH1766" s="34"/>
      <c r="CI1766" s="34"/>
      <c r="CJ1766" s="34"/>
      <c r="CK1766" s="34"/>
      <c r="CL1766" s="34"/>
      <c r="CM1766" s="34"/>
      <c r="CN1766" s="34"/>
      <c r="CO1766" s="34"/>
      <c r="CP1766" s="34"/>
      <c r="CQ1766" s="34"/>
      <c r="CR1766" s="34"/>
      <c r="CS1766" s="34"/>
    </row>
    <row r="1767" spans="7:97" s="246" customFormat="1" x14ac:dyDescent="0.2">
      <c r="G1767" s="2188"/>
      <c r="BS1767" s="34"/>
      <c r="BT1767" s="34"/>
      <c r="BU1767" s="34"/>
      <c r="BV1767" s="34"/>
      <c r="BW1767" s="34"/>
      <c r="BX1767" s="34"/>
      <c r="BY1767" s="34"/>
      <c r="BZ1767" s="34"/>
      <c r="CA1767" s="34"/>
      <c r="CB1767" s="34"/>
      <c r="CC1767" s="34"/>
      <c r="CD1767" s="34"/>
      <c r="CE1767" s="34"/>
      <c r="CF1767" s="34"/>
      <c r="CG1767" s="34"/>
      <c r="CH1767" s="34"/>
      <c r="CI1767" s="34"/>
      <c r="CJ1767" s="34"/>
      <c r="CK1767" s="34"/>
      <c r="CL1767" s="34"/>
      <c r="CM1767" s="34"/>
      <c r="CN1767" s="34"/>
      <c r="CO1767" s="34"/>
      <c r="CP1767" s="34"/>
      <c r="CQ1767" s="34"/>
      <c r="CR1767" s="34"/>
      <c r="CS1767" s="34"/>
    </row>
    <row r="1768" spans="7:97" s="246" customFormat="1" x14ac:dyDescent="0.2">
      <c r="G1768" s="2188"/>
      <c r="BS1768" s="34"/>
      <c r="BT1768" s="34"/>
      <c r="BU1768" s="34"/>
      <c r="BV1768" s="34"/>
      <c r="BW1768" s="34"/>
      <c r="BX1768" s="34"/>
      <c r="BY1768" s="34"/>
      <c r="BZ1768" s="34"/>
      <c r="CA1768" s="34"/>
      <c r="CB1768" s="34"/>
      <c r="CC1768" s="34"/>
      <c r="CD1768" s="34"/>
      <c r="CE1768" s="34"/>
      <c r="CF1768" s="34"/>
      <c r="CG1768" s="34"/>
      <c r="CH1768" s="34"/>
      <c r="CI1768" s="34"/>
      <c r="CJ1768" s="34"/>
      <c r="CK1768" s="34"/>
      <c r="CL1768" s="34"/>
      <c r="CM1768" s="34"/>
      <c r="CN1768" s="34"/>
      <c r="CO1768" s="34"/>
      <c r="CP1768" s="34"/>
      <c r="CQ1768" s="34"/>
      <c r="CR1768" s="34"/>
      <c r="CS1768" s="34"/>
    </row>
    <row r="1769" spans="7:97" s="246" customFormat="1" x14ac:dyDescent="0.2">
      <c r="G1769" s="2188"/>
      <c r="BS1769" s="34"/>
      <c r="BT1769" s="34"/>
      <c r="BU1769" s="34"/>
      <c r="BV1769" s="34"/>
      <c r="BW1769" s="34"/>
      <c r="BX1769" s="34"/>
      <c r="BY1769" s="34"/>
      <c r="BZ1769" s="34"/>
      <c r="CA1769" s="34"/>
      <c r="CB1769" s="34"/>
      <c r="CC1769" s="34"/>
      <c r="CD1769" s="34"/>
      <c r="CE1769" s="34"/>
      <c r="CF1769" s="34"/>
      <c r="CG1769" s="34"/>
      <c r="CH1769" s="34"/>
      <c r="CI1769" s="34"/>
      <c r="CJ1769" s="34"/>
      <c r="CK1769" s="34"/>
      <c r="CL1769" s="34"/>
      <c r="CM1769" s="34"/>
      <c r="CN1769" s="34"/>
      <c r="CO1769" s="34"/>
      <c r="CP1769" s="34"/>
      <c r="CQ1769" s="34"/>
      <c r="CR1769" s="34"/>
      <c r="CS1769" s="34"/>
    </row>
    <row r="1770" spans="7:97" s="246" customFormat="1" x14ac:dyDescent="0.2">
      <c r="G1770" s="2188"/>
      <c r="BS1770" s="34"/>
      <c r="BT1770" s="34"/>
      <c r="BU1770" s="34"/>
      <c r="BV1770" s="34"/>
      <c r="BW1770" s="34"/>
      <c r="BX1770" s="34"/>
      <c r="BY1770" s="34"/>
      <c r="BZ1770" s="34"/>
      <c r="CA1770" s="34"/>
      <c r="CB1770" s="34"/>
      <c r="CC1770" s="34"/>
      <c r="CD1770" s="34"/>
      <c r="CE1770" s="34"/>
      <c r="CF1770" s="34"/>
      <c r="CG1770" s="34"/>
      <c r="CH1770" s="34"/>
      <c r="CI1770" s="34"/>
      <c r="CJ1770" s="34"/>
      <c r="CK1770" s="34"/>
      <c r="CL1770" s="34"/>
      <c r="CM1770" s="34"/>
      <c r="CN1770" s="34"/>
      <c r="CO1770" s="34"/>
      <c r="CP1770" s="34"/>
      <c r="CQ1770" s="34"/>
      <c r="CR1770" s="34"/>
      <c r="CS1770" s="34"/>
    </row>
    <row r="1771" spans="7:97" s="246" customFormat="1" x14ac:dyDescent="0.2">
      <c r="G1771" s="2188"/>
      <c r="BS1771" s="34"/>
      <c r="BT1771" s="34"/>
      <c r="BU1771" s="34"/>
      <c r="BV1771" s="34"/>
      <c r="BW1771" s="34"/>
      <c r="BX1771" s="34"/>
      <c r="BY1771" s="34"/>
      <c r="BZ1771" s="34"/>
      <c r="CA1771" s="34"/>
      <c r="CB1771" s="34"/>
      <c r="CC1771" s="34"/>
      <c r="CD1771" s="34"/>
      <c r="CE1771" s="34"/>
      <c r="CF1771" s="34"/>
      <c r="CG1771" s="34"/>
      <c r="CH1771" s="34"/>
      <c r="CI1771" s="34"/>
      <c r="CJ1771" s="34"/>
      <c r="CK1771" s="34"/>
      <c r="CL1771" s="34"/>
      <c r="CM1771" s="34"/>
      <c r="CN1771" s="34"/>
      <c r="CO1771" s="34"/>
      <c r="CP1771" s="34"/>
      <c r="CQ1771" s="34"/>
      <c r="CR1771" s="34"/>
      <c r="CS1771" s="34"/>
    </row>
    <row r="1772" spans="7:97" s="246" customFormat="1" x14ac:dyDescent="0.2">
      <c r="G1772" s="2188"/>
      <c r="BS1772" s="34"/>
      <c r="BT1772" s="34"/>
      <c r="BU1772" s="34"/>
      <c r="BV1772" s="34"/>
      <c r="BW1772" s="34"/>
      <c r="BX1772" s="34"/>
      <c r="BY1772" s="34"/>
      <c r="BZ1772" s="34"/>
      <c r="CA1772" s="34"/>
      <c r="CB1772" s="34"/>
      <c r="CC1772" s="34"/>
      <c r="CD1772" s="34"/>
      <c r="CE1772" s="34"/>
      <c r="CF1772" s="34"/>
      <c r="CG1772" s="34"/>
      <c r="CH1772" s="34"/>
      <c r="CI1772" s="34"/>
      <c r="CJ1772" s="34"/>
      <c r="CK1772" s="34"/>
      <c r="CL1772" s="34"/>
      <c r="CM1772" s="34"/>
      <c r="CN1772" s="34"/>
      <c r="CO1772" s="34"/>
      <c r="CP1772" s="34"/>
      <c r="CQ1772" s="34"/>
      <c r="CR1772" s="34"/>
      <c r="CS1772" s="34"/>
    </row>
    <row r="1773" spans="7:97" s="246" customFormat="1" x14ac:dyDescent="0.2">
      <c r="G1773" s="2188"/>
      <c r="BS1773" s="34"/>
      <c r="BT1773" s="34"/>
      <c r="BU1773" s="34"/>
      <c r="BV1773" s="34"/>
      <c r="BW1773" s="34"/>
      <c r="BX1773" s="34"/>
      <c r="BY1773" s="34"/>
      <c r="BZ1773" s="34"/>
      <c r="CA1773" s="34"/>
      <c r="CB1773" s="34"/>
      <c r="CC1773" s="34"/>
      <c r="CD1773" s="34"/>
      <c r="CE1773" s="34"/>
      <c r="CF1773" s="34"/>
      <c r="CG1773" s="34"/>
      <c r="CH1773" s="34"/>
      <c r="CI1773" s="34"/>
      <c r="CJ1773" s="34"/>
      <c r="CK1773" s="34"/>
      <c r="CL1773" s="34"/>
      <c r="CM1773" s="34"/>
      <c r="CN1773" s="34"/>
      <c r="CO1773" s="34"/>
      <c r="CP1773" s="34"/>
      <c r="CQ1773" s="34"/>
      <c r="CR1773" s="34"/>
      <c r="CS1773" s="34"/>
    </row>
    <row r="1774" spans="7:97" s="246" customFormat="1" x14ac:dyDescent="0.2">
      <c r="G1774" s="2188"/>
      <c r="BS1774" s="34"/>
      <c r="BT1774" s="34"/>
      <c r="BU1774" s="34"/>
      <c r="BV1774" s="34"/>
      <c r="BW1774" s="34"/>
      <c r="BX1774" s="34"/>
      <c r="BY1774" s="34"/>
      <c r="BZ1774" s="34"/>
      <c r="CA1774" s="34"/>
      <c r="CB1774" s="34"/>
      <c r="CC1774" s="34"/>
      <c r="CD1774" s="34"/>
      <c r="CE1774" s="34"/>
      <c r="CF1774" s="34"/>
      <c r="CG1774" s="34"/>
      <c r="CH1774" s="34"/>
      <c r="CI1774" s="34"/>
      <c r="CJ1774" s="34"/>
      <c r="CK1774" s="34"/>
      <c r="CL1774" s="34"/>
      <c r="CM1774" s="34"/>
      <c r="CN1774" s="34"/>
      <c r="CO1774" s="34"/>
      <c r="CP1774" s="34"/>
      <c r="CQ1774" s="34"/>
      <c r="CR1774" s="34"/>
      <c r="CS1774" s="34"/>
    </row>
    <row r="1775" spans="7:97" s="246" customFormat="1" x14ac:dyDescent="0.2">
      <c r="G1775" s="2188"/>
      <c r="BS1775" s="34"/>
      <c r="BT1775" s="34"/>
      <c r="BU1775" s="34"/>
      <c r="BV1775" s="34"/>
      <c r="BW1775" s="34"/>
      <c r="BX1775" s="34"/>
      <c r="BY1775" s="34"/>
      <c r="BZ1775" s="34"/>
      <c r="CA1775" s="34"/>
      <c r="CB1775" s="34"/>
      <c r="CC1775" s="34"/>
      <c r="CD1775" s="34"/>
      <c r="CE1775" s="34"/>
      <c r="CF1775" s="34"/>
      <c r="CG1775" s="34"/>
      <c r="CH1775" s="34"/>
      <c r="CI1775" s="34"/>
      <c r="CJ1775" s="34"/>
      <c r="CK1775" s="34"/>
      <c r="CL1775" s="34"/>
      <c r="CM1775" s="34"/>
      <c r="CN1775" s="34"/>
      <c r="CO1775" s="34"/>
      <c r="CP1775" s="34"/>
      <c r="CQ1775" s="34"/>
      <c r="CR1775" s="34"/>
      <c r="CS1775" s="34"/>
    </row>
    <row r="1776" spans="7:97" s="246" customFormat="1" x14ac:dyDescent="0.2">
      <c r="G1776" s="2188"/>
      <c r="BS1776" s="34"/>
      <c r="BT1776" s="34"/>
      <c r="BU1776" s="34"/>
      <c r="BV1776" s="34"/>
      <c r="BW1776" s="34"/>
      <c r="BX1776" s="34"/>
      <c r="BY1776" s="34"/>
      <c r="BZ1776" s="34"/>
      <c r="CA1776" s="34"/>
      <c r="CB1776" s="34"/>
      <c r="CC1776" s="34"/>
      <c r="CD1776" s="34"/>
      <c r="CE1776" s="34"/>
      <c r="CF1776" s="34"/>
      <c r="CG1776" s="34"/>
      <c r="CH1776" s="34"/>
      <c r="CI1776" s="34"/>
      <c r="CJ1776" s="34"/>
      <c r="CK1776" s="34"/>
      <c r="CL1776" s="34"/>
      <c r="CM1776" s="34"/>
      <c r="CN1776" s="34"/>
      <c r="CO1776" s="34"/>
      <c r="CP1776" s="34"/>
      <c r="CQ1776" s="34"/>
      <c r="CR1776" s="34"/>
      <c r="CS1776" s="34"/>
    </row>
    <row r="1777" spans="7:97" s="246" customFormat="1" x14ac:dyDescent="0.2">
      <c r="G1777" s="2188"/>
      <c r="BS1777" s="34"/>
      <c r="BT1777" s="34"/>
      <c r="BU1777" s="34"/>
      <c r="BV1777" s="34"/>
      <c r="BW1777" s="34"/>
      <c r="BX1777" s="34"/>
      <c r="BY1777" s="34"/>
      <c r="BZ1777" s="34"/>
      <c r="CA1777" s="34"/>
      <c r="CB1777" s="34"/>
      <c r="CC1777" s="34"/>
      <c r="CD1777" s="34"/>
      <c r="CE1777" s="34"/>
      <c r="CF1777" s="34"/>
      <c r="CG1777" s="34"/>
      <c r="CH1777" s="34"/>
      <c r="CI1777" s="34"/>
      <c r="CJ1777" s="34"/>
      <c r="CK1777" s="34"/>
      <c r="CL1777" s="34"/>
      <c r="CM1777" s="34"/>
      <c r="CN1777" s="34"/>
      <c r="CO1777" s="34"/>
      <c r="CP1777" s="34"/>
      <c r="CQ1777" s="34"/>
      <c r="CR1777" s="34"/>
      <c r="CS1777" s="34"/>
    </row>
    <row r="1778" spans="7:97" s="246" customFormat="1" x14ac:dyDescent="0.2">
      <c r="G1778" s="2188"/>
      <c r="BS1778" s="34"/>
      <c r="BT1778" s="34"/>
      <c r="BU1778" s="34"/>
      <c r="BV1778" s="34"/>
      <c r="BW1778" s="34"/>
      <c r="BX1778" s="34"/>
      <c r="BY1778" s="34"/>
      <c r="BZ1778" s="34"/>
      <c r="CA1778" s="34"/>
      <c r="CB1778" s="34"/>
      <c r="CC1778" s="34"/>
      <c r="CD1778" s="34"/>
      <c r="CE1778" s="34"/>
      <c r="CF1778" s="34"/>
      <c r="CG1778" s="34"/>
      <c r="CH1778" s="34"/>
      <c r="CI1778" s="34"/>
      <c r="CJ1778" s="34"/>
      <c r="CK1778" s="34"/>
      <c r="CL1778" s="34"/>
      <c r="CM1778" s="34"/>
      <c r="CN1778" s="34"/>
      <c r="CO1778" s="34"/>
      <c r="CP1778" s="34"/>
      <c r="CQ1778" s="34"/>
      <c r="CR1778" s="34"/>
      <c r="CS1778" s="34"/>
    </row>
    <row r="1779" spans="7:97" s="246" customFormat="1" x14ac:dyDescent="0.2">
      <c r="G1779" s="2188"/>
      <c r="BS1779" s="34"/>
      <c r="BT1779" s="34"/>
      <c r="BU1779" s="34"/>
      <c r="BV1779" s="34"/>
      <c r="BW1779" s="34"/>
      <c r="BX1779" s="34"/>
      <c r="BY1779" s="34"/>
      <c r="BZ1779" s="34"/>
      <c r="CA1779" s="34"/>
      <c r="CB1779" s="34"/>
      <c r="CC1779" s="34"/>
      <c r="CD1779" s="34"/>
      <c r="CE1779" s="34"/>
      <c r="CF1779" s="34"/>
      <c r="CG1779" s="34"/>
      <c r="CH1779" s="34"/>
      <c r="CI1779" s="34"/>
      <c r="CJ1779" s="34"/>
      <c r="CK1779" s="34"/>
      <c r="CL1779" s="34"/>
      <c r="CM1779" s="34"/>
      <c r="CN1779" s="34"/>
      <c r="CO1779" s="34"/>
      <c r="CP1779" s="34"/>
      <c r="CQ1779" s="34"/>
      <c r="CR1779" s="34"/>
      <c r="CS1779" s="34"/>
    </row>
    <row r="1780" spans="7:97" s="246" customFormat="1" x14ac:dyDescent="0.2">
      <c r="G1780" s="2188"/>
      <c r="BS1780" s="34"/>
      <c r="BT1780" s="34"/>
      <c r="BU1780" s="34"/>
      <c r="BV1780" s="34"/>
      <c r="BW1780" s="34"/>
      <c r="BX1780" s="34"/>
      <c r="BY1780" s="34"/>
      <c r="BZ1780" s="34"/>
      <c r="CA1780" s="34"/>
      <c r="CB1780" s="34"/>
      <c r="CC1780" s="34"/>
      <c r="CD1780" s="34"/>
      <c r="CE1780" s="34"/>
      <c r="CF1780" s="34"/>
      <c r="CG1780" s="34"/>
      <c r="CH1780" s="34"/>
      <c r="CI1780" s="34"/>
      <c r="CJ1780" s="34"/>
      <c r="CK1780" s="34"/>
      <c r="CL1780" s="34"/>
      <c r="CM1780" s="34"/>
      <c r="CN1780" s="34"/>
      <c r="CO1780" s="34"/>
      <c r="CP1780" s="34"/>
      <c r="CQ1780" s="34"/>
      <c r="CR1780" s="34"/>
      <c r="CS1780" s="34"/>
    </row>
    <row r="1781" spans="7:97" s="246" customFormat="1" x14ac:dyDescent="0.2">
      <c r="G1781" s="2188"/>
      <c r="BS1781" s="34"/>
      <c r="BT1781" s="34"/>
      <c r="BU1781" s="34"/>
      <c r="BV1781" s="34"/>
      <c r="BW1781" s="34"/>
      <c r="BX1781" s="34"/>
      <c r="BY1781" s="34"/>
      <c r="BZ1781" s="34"/>
      <c r="CA1781" s="34"/>
      <c r="CB1781" s="34"/>
      <c r="CC1781" s="34"/>
      <c r="CD1781" s="34"/>
      <c r="CE1781" s="34"/>
      <c r="CF1781" s="34"/>
      <c r="CG1781" s="34"/>
      <c r="CH1781" s="34"/>
      <c r="CI1781" s="34"/>
      <c r="CJ1781" s="34"/>
      <c r="CK1781" s="34"/>
      <c r="CL1781" s="34"/>
      <c r="CM1781" s="34"/>
      <c r="CN1781" s="34"/>
      <c r="CO1781" s="34"/>
      <c r="CP1781" s="34"/>
      <c r="CQ1781" s="34"/>
      <c r="CR1781" s="34"/>
      <c r="CS1781" s="34"/>
    </row>
    <row r="1782" spans="7:97" s="246" customFormat="1" x14ac:dyDescent="0.2">
      <c r="G1782" s="2188"/>
      <c r="BS1782" s="34"/>
      <c r="BT1782" s="34"/>
      <c r="BU1782" s="34"/>
      <c r="BV1782" s="34"/>
      <c r="BW1782" s="34"/>
      <c r="BX1782" s="34"/>
      <c r="BY1782" s="34"/>
      <c r="BZ1782" s="34"/>
      <c r="CA1782" s="34"/>
      <c r="CB1782" s="34"/>
      <c r="CC1782" s="34"/>
      <c r="CD1782" s="34"/>
      <c r="CE1782" s="34"/>
      <c r="CF1782" s="34"/>
      <c r="CG1782" s="34"/>
      <c r="CH1782" s="34"/>
      <c r="CI1782" s="34"/>
      <c r="CJ1782" s="34"/>
      <c r="CK1782" s="34"/>
      <c r="CL1782" s="34"/>
      <c r="CM1782" s="34"/>
      <c r="CN1782" s="34"/>
      <c r="CO1782" s="34"/>
      <c r="CP1782" s="34"/>
      <c r="CQ1782" s="34"/>
      <c r="CR1782" s="34"/>
      <c r="CS1782" s="34"/>
    </row>
    <row r="1783" spans="7:97" s="246" customFormat="1" x14ac:dyDescent="0.2">
      <c r="G1783" s="2188"/>
      <c r="BS1783" s="34"/>
      <c r="BT1783" s="34"/>
      <c r="BU1783" s="34"/>
      <c r="BV1783" s="34"/>
      <c r="BW1783" s="34"/>
      <c r="BX1783" s="34"/>
      <c r="BY1783" s="34"/>
      <c r="BZ1783" s="34"/>
      <c r="CA1783" s="34"/>
      <c r="CB1783" s="34"/>
      <c r="CC1783" s="34"/>
      <c r="CD1783" s="34"/>
      <c r="CE1783" s="34"/>
      <c r="CF1783" s="34"/>
      <c r="CG1783" s="34"/>
      <c r="CH1783" s="34"/>
      <c r="CI1783" s="34"/>
      <c r="CJ1783" s="34"/>
      <c r="CK1783" s="34"/>
      <c r="CL1783" s="34"/>
      <c r="CM1783" s="34"/>
      <c r="CN1783" s="34"/>
      <c r="CO1783" s="34"/>
      <c r="CP1783" s="34"/>
      <c r="CQ1783" s="34"/>
      <c r="CR1783" s="34"/>
      <c r="CS1783" s="34"/>
    </row>
    <row r="1784" spans="7:97" s="246" customFormat="1" x14ac:dyDescent="0.2">
      <c r="G1784" s="2188"/>
      <c r="BS1784" s="34"/>
      <c r="BT1784" s="34"/>
      <c r="BU1784" s="34"/>
      <c r="BV1784" s="34"/>
      <c r="BW1784" s="34"/>
      <c r="BX1784" s="34"/>
      <c r="BY1784" s="34"/>
      <c r="BZ1784" s="34"/>
      <c r="CA1784" s="34"/>
      <c r="CB1784" s="34"/>
      <c r="CC1784" s="34"/>
      <c r="CD1784" s="34"/>
      <c r="CE1784" s="34"/>
      <c r="CF1784" s="34"/>
      <c r="CG1784" s="34"/>
      <c r="CH1784" s="34"/>
      <c r="CI1784" s="34"/>
      <c r="CJ1784" s="34"/>
      <c r="CK1784" s="34"/>
      <c r="CL1784" s="34"/>
      <c r="CM1784" s="34"/>
      <c r="CN1784" s="34"/>
      <c r="CO1784" s="34"/>
      <c r="CP1784" s="34"/>
      <c r="CQ1784" s="34"/>
      <c r="CR1784" s="34"/>
      <c r="CS1784" s="34"/>
    </row>
    <row r="1785" spans="7:97" s="246" customFormat="1" x14ac:dyDescent="0.2">
      <c r="G1785" s="2188"/>
      <c r="BS1785" s="34"/>
      <c r="BT1785" s="34"/>
      <c r="BU1785" s="34"/>
      <c r="BV1785" s="34"/>
      <c r="BW1785" s="34"/>
      <c r="BX1785" s="34"/>
      <c r="BY1785" s="34"/>
      <c r="BZ1785" s="34"/>
      <c r="CA1785" s="34"/>
      <c r="CB1785" s="34"/>
      <c r="CC1785" s="34"/>
      <c r="CD1785" s="34"/>
      <c r="CE1785" s="34"/>
      <c r="CF1785" s="34"/>
      <c r="CG1785" s="34"/>
      <c r="CH1785" s="34"/>
      <c r="CI1785" s="34"/>
      <c r="CJ1785" s="34"/>
      <c r="CK1785" s="34"/>
      <c r="CL1785" s="34"/>
      <c r="CM1785" s="34"/>
      <c r="CN1785" s="34"/>
      <c r="CO1785" s="34"/>
      <c r="CP1785" s="34"/>
      <c r="CQ1785" s="34"/>
      <c r="CR1785" s="34"/>
      <c r="CS1785" s="34"/>
    </row>
    <row r="1786" spans="7:97" s="246" customFormat="1" x14ac:dyDescent="0.2">
      <c r="G1786" s="2188"/>
      <c r="BS1786" s="34"/>
      <c r="BT1786" s="34"/>
      <c r="BU1786" s="34"/>
      <c r="BV1786" s="34"/>
      <c r="BW1786" s="34"/>
      <c r="BX1786" s="34"/>
      <c r="BY1786" s="34"/>
      <c r="BZ1786" s="34"/>
      <c r="CA1786" s="34"/>
      <c r="CB1786" s="34"/>
      <c r="CC1786" s="34"/>
      <c r="CD1786" s="34"/>
      <c r="CE1786" s="34"/>
      <c r="CF1786" s="34"/>
      <c r="CG1786" s="34"/>
      <c r="CH1786" s="34"/>
      <c r="CI1786" s="34"/>
      <c r="CJ1786" s="34"/>
      <c r="CK1786" s="34"/>
      <c r="CL1786" s="34"/>
      <c r="CM1786" s="34"/>
      <c r="CN1786" s="34"/>
      <c r="CO1786" s="34"/>
      <c r="CP1786" s="34"/>
      <c r="CQ1786" s="34"/>
      <c r="CR1786" s="34"/>
      <c r="CS1786" s="34"/>
    </row>
    <row r="1787" spans="7:97" s="246" customFormat="1" x14ac:dyDescent="0.2">
      <c r="G1787" s="2188"/>
      <c r="BS1787" s="34"/>
      <c r="BT1787" s="34"/>
      <c r="BU1787" s="34"/>
      <c r="BV1787" s="34"/>
      <c r="BW1787" s="34"/>
      <c r="BX1787" s="34"/>
      <c r="BY1787" s="34"/>
      <c r="BZ1787" s="34"/>
      <c r="CA1787" s="34"/>
      <c r="CB1787" s="34"/>
      <c r="CC1787" s="34"/>
      <c r="CD1787" s="34"/>
      <c r="CE1787" s="34"/>
      <c r="CF1787" s="34"/>
      <c r="CG1787" s="34"/>
      <c r="CH1787" s="34"/>
      <c r="CI1787" s="34"/>
      <c r="CJ1787" s="34"/>
      <c r="CK1787" s="34"/>
      <c r="CL1787" s="34"/>
      <c r="CM1787" s="34"/>
      <c r="CN1787" s="34"/>
      <c r="CO1787" s="34"/>
      <c r="CP1787" s="34"/>
      <c r="CQ1787" s="34"/>
      <c r="CR1787" s="34"/>
      <c r="CS1787" s="34"/>
    </row>
    <row r="1788" spans="7:97" s="246" customFormat="1" x14ac:dyDescent="0.2">
      <c r="G1788" s="2188"/>
      <c r="BS1788" s="34"/>
      <c r="BT1788" s="34"/>
      <c r="BU1788" s="34"/>
      <c r="BV1788" s="34"/>
      <c r="BW1788" s="34"/>
      <c r="BX1788" s="34"/>
      <c r="BY1788" s="34"/>
      <c r="BZ1788" s="34"/>
      <c r="CA1788" s="34"/>
      <c r="CB1788" s="34"/>
      <c r="CC1788" s="34"/>
      <c r="CD1788" s="34"/>
      <c r="CE1788" s="34"/>
      <c r="CF1788" s="34"/>
      <c r="CG1788" s="34"/>
      <c r="CH1788" s="34"/>
      <c r="CI1788" s="34"/>
      <c r="CJ1788" s="34"/>
      <c r="CK1788" s="34"/>
      <c r="CL1788" s="34"/>
      <c r="CM1788" s="34"/>
      <c r="CN1788" s="34"/>
      <c r="CO1788" s="34"/>
      <c r="CP1788" s="34"/>
      <c r="CQ1788" s="34"/>
      <c r="CR1788" s="34"/>
      <c r="CS1788" s="34"/>
    </row>
    <row r="1789" spans="7:97" s="246" customFormat="1" x14ac:dyDescent="0.2">
      <c r="G1789" s="2188"/>
      <c r="BS1789" s="34"/>
      <c r="BT1789" s="34"/>
      <c r="BU1789" s="34"/>
      <c r="BV1789" s="34"/>
      <c r="BW1789" s="34"/>
      <c r="BX1789" s="34"/>
      <c r="BY1789" s="34"/>
      <c r="BZ1789" s="34"/>
      <c r="CA1789" s="34"/>
      <c r="CB1789" s="34"/>
      <c r="CC1789" s="34"/>
      <c r="CD1789" s="34"/>
      <c r="CE1789" s="34"/>
      <c r="CF1789" s="34"/>
      <c r="CG1789" s="34"/>
      <c r="CH1789" s="34"/>
      <c r="CI1789" s="34"/>
      <c r="CJ1789" s="34"/>
      <c r="CK1789" s="34"/>
      <c r="CL1789" s="34"/>
      <c r="CM1789" s="34"/>
      <c r="CN1789" s="34"/>
      <c r="CO1789" s="34"/>
      <c r="CP1789" s="34"/>
      <c r="CQ1789" s="34"/>
      <c r="CR1789" s="34"/>
      <c r="CS1789" s="34"/>
    </row>
    <row r="1790" spans="7:97" s="246" customFormat="1" x14ac:dyDescent="0.2">
      <c r="G1790" s="2188"/>
      <c r="BS1790" s="34"/>
      <c r="BT1790" s="34"/>
      <c r="BU1790" s="34"/>
      <c r="BV1790" s="34"/>
      <c r="BW1790" s="34"/>
      <c r="BX1790" s="34"/>
      <c r="BY1790" s="34"/>
      <c r="BZ1790" s="34"/>
      <c r="CA1790" s="34"/>
      <c r="CB1790" s="34"/>
      <c r="CC1790" s="34"/>
      <c r="CD1790" s="34"/>
      <c r="CE1790" s="34"/>
      <c r="CF1790" s="34"/>
      <c r="CG1790" s="34"/>
      <c r="CH1790" s="34"/>
      <c r="CI1790" s="34"/>
      <c r="CJ1790" s="34"/>
      <c r="CK1790" s="34"/>
      <c r="CL1790" s="34"/>
      <c r="CM1790" s="34"/>
      <c r="CN1790" s="34"/>
      <c r="CO1790" s="34"/>
      <c r="CP1790" s="34"/>
      <c r="CQ1790" s="34"/>
      <c r="CR1790" s="34"/>
      <c r="CS1790" s="34"/>
    </row>
    <row r="1791" spans="7:97" s="246" customFormat="1" x14ac:dyDescent="0.2">
      <c r="G1791" s="2188"/>
      <c r="BS1791" s="34"/>
      <c r="BT1791" s="34"/>
      <c r="BU1791" s="34"/>
      <c r="BV1791" s="34"/>
      <c r="BW1791" s="34"/>
      <c r="BX1791" s="34"/>
      <c r="BY1791" s="34"/>
      <c r="BZ1791" s="34"/>
      <c r="CA1791" s="34"/>
      <c r="CB1791" s="34"/>
      <c r="CC1791" s="34"/>
      <c r="CD1791" s="34"/>
      <c r="CE1791" s="34"/>
      <c r="CF1791" s="34"/>
      <c r="CG1791" s="34"/>
      <c r="CH1791" s="34"/>
      <c r="CI1791" s="34"/>
      <c r="CJ1791" s="34"/>
      <c r="CK1791" s="34"/>
      <c r="CL1791" s="34"/>
      <c r="CM1791" s="34"/>
      <c r="CN1791" s="34"/>
      <c r="CO1791" s="34"/>
      <c r="CP1791" s="34"/>
      <c r="CQ1791" s="34"/>
      <c r="CR1791" s="34"/>
      <c r="CS1791" s="34"/>
    </row>
    <row r="1792" spans="7:97" s="246" customFormat="1" x14ac:dyDescent="0.2">
      <c r="G1792" s="2188"/>
      <c r="BS1792" s="34"/>
      <c r="BT1792" s="34"/>
      <c r="BU1792" s="34"/>
      <c r="BV1792" s="34"/>
      <c r="BW1792" s="34"/>
      <c r="BX1792" s="34"/>
      <c r="BY1792" s="34"/>
      <c r="BZ1792" s="34"/>
      <c r="CA1792" s="34"/>
      <c r="CB1792" s="34"/>
      <c r="CC1792" s="34"/>
      <c r="CD1792" s="34"/>
      <c r="CE1792" s="34"/>
      <c r="CF1792" s="34"/>
      <c r="CG1792" s="34"/>
      <c r="CH1792" s="34"/>
      <c r="CI1792" s="34"/>
      <c r="CJ1792" s="34"/>
      <c r="CK1792" s="34"/>
      <c r="CL1792" s="34"/>
      <c r="CM1792" s="34"/>
      <c r="CN1792" s="34"/>
      <c r="CO1792" s="34"/>
      <c r="CP1792" s="34"/>
      <c r="CQ1792" s="34"/>
      <c r="CR1792" s="34"/>
      <c r="CS1792" s="34"/>
    </row>
    <row r="1793" spans="7:97" s="246" customFormat="1" x14ac:dyDescent="0.2">
      <c r="G1793" s="2188"/>
      <c r="BS1793" s="34"/>
      <c r="BT1793" s="34"/>
      <c r="BU1793" s="34"/>
      <c r="BV1793" s="34"/>
      <c r="BW1793" s="34"/>
      <c r="BX1793" s="34"/>
      <c r="BY1793" s="34"/>
      <c r="BZ1793" s="34"/>
      <c r="CA1793" s="34"/>
      <c r="CB1793" s="34"/>
      <c r="CC1793" s="34"/>
      <c r="CD1793" s="34"/>
      <c r="CE1793" s="34"/>
      <c r="CF1793" s="34"/>
      <c r="CG1793" s="34"/>
      <c r="CH1793" s="34"/>
      <c r="CI1793" s="34"/>
      <c r="CJ1793" s="34"/>
      <c r="CK1793" s="34"/>
      <c r="CL1793" s="34"/>
      <c r="CM1793" s="34"/>
      <c r="CN1793" s="34"/>
      <c r="CO1793" s="34"/>
      <c r="CP1793" s="34"/>
      <c r="CQ1793" s="34"/>
      <c r="CR1793" s="34"/>
      <c r="CS1793" s="34"/>
    </row>
    <row r="1794" spans="7:97" s="246" customFormat="1" x14ac:dyDescent="0.2">
      <c r="G1794" s="2188"/>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row>
    <row r="1795" spans="7:97" s="246" customFormat="1" x14ac:dyDescent="0.2">
      <c r="G1795" s="2188"/>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row>
    <row r="1796" spans="7:97" s="246" customFormat="1" x14ac:dyDescent="0.2">
      <c r="G1796" s="2188"/>
      <c r="BS1796" s="34"/>
      <c r="BT1796" s="34"/>
      <c r="BU1796" s="34"/>
      <c r="BV1796" s="34"/>
      <c r="BW1796" s="34"/>
      <c r="BX1796" s="34"/>
      <c r="BY1796" s="34"/>
      <c r="BZ1796" s="34"/>
      <c r="CA1796" s="34"/>
      <c r="CB1796" s="34"/>
      <c r="CC1796" s="34"/>
      <c r="CD1796" s="34"/>
      <c r="CE1796" s="34"/>
      <c r="CF1796" s="34"/>
      <c r="CG1796" s="34"/>
      <c r="CH1796" s="34"/>
      <c r="CI1796" s="34"/>
      <c r="CJ1796" s="34"/>
      <c r="CK1796" s="34"/>
      <c r="CL1796" s="34"/>
      <c r="CM1796" s="34"/>
      <c r="CN1796" s="34"/>
      <c r="CO1796" s="34"/>
      <c r="CP1796" s="34"/>
      <c r="CQ1796" s="34"/>
      <c r="CR1796" s="34"/>
      <c r="CS1796" s="34"/>
    </row>
    <row r="1797" spans="7:97" s="246" customFormat="1" x14ac:dyDescent="0.2">
      <c r="G1797" s="2188"/>
      <c r="BS1797" s="34"/>
      <c r="BT1797" s="34"/>
      <c r="BU1797" s="34"/>
      <c r="BV1797" s="34"/>
      <c r="BW1797" s="34"/>
      <c r="BX1797" s="34"/>
      <c r="BY1797" s="34"/>
      <c r="BZ1797" s="34"/>
      <c r="CA1797" s="34"/>
      <c r="CB1797" s="34"/>
      <c r="CC1797" s="34"/>
      <c r="CD1797" s="34"/>
      <c r="CE1797" s="34"/>
      <c r="CF1797" s="34"/>
      <c r="CG1797" s="34"/>
      <c r="CH1797" s="34"/>
      <c r="CI1797" s="34"/>
      <c r="CJ1797" s="34"/>
      <c r="CK1797" s="34"/>
      <c r="CL1797" s="34"/>
      <c r="CM1797" s="34"/>
      <c r="CN1797" s="34"/>
      <c r="CO1797" s="34"/>
      <c r="CP1797" s="34"/>
      <c r="CQ1797" s="34"/>
      <c r="CR1797" s="34"/>
      <c r="CS1797" s="34"/>
    </row>
    <row r="1798" spans="7:97" s="246" customFormat="1" x14ac:dyDescent="0.2">
      <c r="G1798" s="2188"/>
      <c r="BS1798" s="34"/>
      <c r="BT1798" s="34"/>
      <c r="BU1798" s="34"/>
      <c r="BV1798" s="34"/>
      <c r="BW1798" s="34"/>
      <c r="BX1798" s="34"/>
      <c r="BY1798" s="34"/>
      <c r="BZ1798" s="34"/>
      <c r="CA1798" s="34"/>
      <c r="CB1798" s="34"/>
      <c r="CC1798" s="34"/>
      <c r="CD1798" s="34"/>
      <c r="CE1798" s="34"/>
      <c r="CF1798" s="34"/>
      <c r="CG1798" s="34"/>
      <c r="CH1798" s="34"/>
      <c r="CI1798" s="34"/>
      <c r="CJ1798" s="34"/>
      <c r="CK1798" s="34"/>
      <c r="CL1798" s="34"/>
      <c r="CM1798" s="34"/>
      <c r="CN1798" s="34"/>
      <c r="CO1798" s="34"/>
      <c r="CP1798" s="34"/>
      <c r="CQ1798" s="34"/>
      <c r="CR1798" s="34"/>
      <c r="CS1798" s="34"/>
    </row>
    <row r="1799" spans="7:97" s="246" customFormat="1" x14ac:dyDescent="0.2">
      <c r="G1799" s="2188"/>
      <c r="BS1799" s="34"/>
      <c r="BT1799" s="34"/>
      <c r="BU1799" s="34"/>
      <c r="BV1799" s="34"/>
      <c r="BW1799" s="34"/>
      <c r="BX1799" s="34"/>
      <c r="BY1799" s="34"/>
      <c r="BZ1799" s="34"/>
      <c r="CA1799" s="34"/>
      <c r="CB1799" s="34"/>
      <c r="CC1799" s="34"/>
      <c r="CD1799" s="34"/>
      <c r="CE1799" s="34"/>
      <c r="CF1799" s="34"/>
      <c r="CG1799" s="34"/>
      <c r="CH1799" s="34"/>
      <c r="CI1799" s="34"/>
      <c r="CJ1799" s="34"/>
      <c r="CK1799" s="34"/>
      <c r="CL1799" s="34"/>
      <c r="CM1799" s="34"/>
      <c r="CN1799" s="34"/>
      <c r="CO1799" s="34"/>
      <c r="CP1799" s="34"/>
      <c r="CQ1799" s="34"/>
      <c r="CR1799" s="34"/>
      <c r="CS1799" s="34"/>
    </row>
    <row r="1800" spans="7:97" s="246" customFormat="1" x14ac:dyDescent="0.2">
      <c r="G1800" s="2188"/>
      <c r="BS1800" s="34"/>
      <c r="BT1800" s="34"/>
      <c r="BU1800" s="34"/>
      <c r="BV1800" s="34"/>
      <c r="BW1800" s="34"/>
      <c r="BX1800" s="34"/>
      <c r="BY1800" s="34"/>
      <c r="BZ1800" s="34"/>
      <c r="CA1800" s="34"/>
      <c r="CB1800" s="34"/>
      <c r="CC1800" s="34"/>
      <c r="CD1800" s="34"/>
      <c r="CE1800" s="34"/>
      <c r="CF1800" s="34"/>
      <c r="CG1800" s="34"/>
      <c r="CH1800" s="34"/>
      <c r="CI1800" s="34"/>
      <c r="CJ1800" s="34"/>
      <c r="CK1800" s="34"/>
      <c r="CL1800" s="34"/>
      <c r="CM1800" s="34"/>
      <c r="CN1800" s="34"/>
      <c r="CO1800" s="34"/>
      <c r="CP1800" s="34"/>
      <c r="CQ1800" s="34"/>
      <c r="CR1800" s="34"/>
      <c r="CS1800" s="34"/>
    </row>
    <row r="1801" spans="7:97" s="246" customFormat="1" x14ac:dyDescent="0.2">
      <c r="G1801" s="2188"/>
      <c r="BS1801" s="34"/>
      <c r="BT1801" s="34"/>
      <c r="BU1801" s="34"/>
      <c r="BV1801" s="34"/>
      <c r="BW1801" s="34"/>
      <c r="BX1801" s="34"/>
      <c r="BY1801" s="34"/>
      <c r="BZ1801" s="34"/>
      <c r="CA1801" s="34"/>
      <c r="CB1801" s="34"/>
      <c r="CC1801" s="34"/>
      <c r="CD1801" s="34"/>
      <c r="CE1801" s="34"/>
      <c r="CF1801" s="34"/>
      <c r="CG1801" s="34"/>
      <c r="CH1801" s="34"/>
      <c r="CI1801" s="34"/>
      <c r="CJ1801" s="34"/>
      <c r="CK1801" s="34"/>
      <c r="CL1801" s="34"/>
      <c r="CM1801" s="34"/>
      <c r="CN1801" s="34"/>
      <c r="CO1801" s="34"/>
      <c r="CP1801" s="34"/>
      <c r="CQ1801" s="34"/>
      <c r="CR1801" s="34"/>
      <c r="CS1801" s="34"/>
    </row>
    <row r="1802" spans="7:97" s="246" customFormat="1" x14ac:dyDescent="0.2">
      <c r="G1802" s="2188"/>
      <c r="BS1802" s="34"/>
      <c r="BT1802" s="34"/>
      <c r="BU1802" s="34"/>
      <c r="BV1802" s="34"/>
      <c r="BW1802" s="34"/>
      <c r="BX1802" s="34"/>
      <c r="BY1802" s="34"/>
      <c r="BZ1802" s="34"/>
      <c r="CA1802" s="34"/>
      <c r="CB1802" s="34"/>
      <c r="CC1802" s="34"/>
      <c r="CD1802" s="34"/>
      <c r="CE1802" s="34"/>
      <c r="CF1802" s="34"/>
      <c r="CG1802" s="34"/>
      <c r="CH1802" s="34"/>
      <c r="CI1802" s="34"/>
      <c r="CJ1802" s="34"/>
      <c r="CK1802" s="34"/>
      <c r="CL1802" s="34"/>
      <c r="CM1802" s="34"/>
      <c r="CN1802" s="34"/>
      <c r="CO1802" s="34"/>
      <c r="CP1802" s="34"/>
      <c r="CQ1802" s="34"/>
      <c r="CR1802" s="34"/>
      <c r="CS1802" s="34"/>
    </row>
    <row r="1803" spans="7:97" s="246" customFormat="1" x14ac:dyDescent="0.2">
      <c r="G1803" s="2188"/>
      <c r="BS1803" s="34"/>
      <c r="BT1803" s="34"/>
      <c r="BU1803" s="34"/>
      <c r="BV1803" s="34"/>
      <c r="BW1803" s="34"/>
      <c r="BX1803" s="34"/>
      <c r="BY1803" s="34"/>
      <c r="BZ1803" s="34"/>
      <c r="CA1803" s="34"/>
      <c r="CB1803" s="34"/>
      <c r="CC1803" s="34"/>
      <c r="CD1803" s="34"/>
      <c r="CE1803" s="34"/>
      <c r="CF1803" s="34"/>
      <c r="CG1803" s="34"/>
      <c r="CH1803" s="34"/>
      <c r="CI1803" s="34"/>
      <c r="CJ1803" s="34"/>
      <c r="CK1803" s="34"/>
      <c r="CL1803" s="34"/>
      <c r="CM1803" s="34"/>
      <c r="CN1803" s="34"/>
      <c r="CO1803" s="34"/>
      <c r="CP1803" s="34"/>
      <c r="CQ1803" s="34"/>
      <c r="CR1803" s="34"/>
      <c r="CS1803" s="34"/>
    </row>
    <row r="1804" spans="7:97" s="246" customFormat="1" x14ac:dyDescent="0.2">
      <c r="G1804" s="2188"/>
      <c r="BS1804" s="34"/>
      <c r="BT1804" s="34"/>
      <c r="BU1804" s="34"/>
      <c r="BV1804" s="34"/>
      <c r="BW1804" s="34"/>
      <c r="BX1804" s="34"/>
      <c r="BY1804" s="34"/>
      <c r="BZ1804" s="34"/>
      <c r="CA1804" s="34"/>
      <c r="CB1804" s="34"/>
      <c r="CC1804" s="34"/>
      <c r="CD1804" s="34"/>
      <c r="CE1804" s="34"/>
      <c r="CF1804" s="34"/>
      <c r="CG1804" s="34"/>
      <c r="CH1804" s="34"/>
      <c r="CI1804" s="34"/>
      <c r="CJ1804" s="34"/>
      <c r="CK1804" s="34"/>
      <c r="CL1804" s="34"/>
      <c r="CM1804" s="34"/>
      <c r="CN1804" s="34"/>
      <c r="CO1804" s="34"/>
      <c r="CP1804" s="34"/>
      <c r="CQ1804" s="34"/>
      <c r="CR1804" s="34"/>
      <c r="CS1804" s="34"/>
    </row>
    <row r="1805" spans="7:97" s="246" customFormat="1" x14ac:dyDescent="0.2">
      <c r="G1805" s="2188"/>
      <c r="BS1805" s="34"/>
      <c r="BT1805" s="34"/>
      <c r="BU1805" s="34"/>
      <c r="BV1805" s="34"/>
      <c r="BW1805" s="34"/>
      <c r="BX1805" s="34"/>
      <c r="BY1805" s="34"/>
      <c r="BZ1805" s="34"/>
      <c r="CA1805" s="34"/>
      <c r="CB1805" s="34"/>
      <c r="CC1805" s="34"/>
      <c r="CD1805" s="34"/>
      <c r="CE1805" s="34"/>
      <c r="CF1805" s="34"/>
      <c r="CG1805" s="34"/>
      <c r="CH1805" s="34"/>
      <c r="CI1805" s="34"/>
      <c r="CJ1805" s="34"/>
      <c r="CK1805" s="34"/>
      <c r="CL1805" s="34"/>
      <c r="CM1805" s="34"/>
      <c r="CN1805" s="34"/>
      <c r="CO1805" s="34"/>
      <c r="CP1805" s="34"/>
      <c r="CQ1805" s="34"/>
      <c r="CR1805" s="34"/>
      <c r="CS1805" s="34"/>
    </row>
    <row r="1806" spans="7:97" s="246" customFormat="1" x14ac:dyDescent="0.2">
      <c r="G1806" s="2188"/>
      <c r="BS1806" s="34"/>
      <c r="BT1806" s="34"/>
      <c r="BU1806" s="34"/>
      <c r="BV1806" s="34"/>
      <c r="BW1806" s="34"/>
      <c r="BX1806" s="34"/>
      <c r="BY1806" s="34"/>
      <c r="BZ1806" s="34"/>
      <c r="CA1806" s="34"/>
      <c r="CB1806" s="34"/>
      <c r="CC1806" s="34"/>
      <c r="CD1806" s="34"/>
      <c r="CE1806" s="34"/>
      <c r="CF1806" s="34"/>
      <c r="CG1806" s="34"/>
      <c r="CH1806" s="34"/>
      <c r="CI1806" s="34"/>
      <c r="CJ1806" s="34"/>
      <c r="CK1806" s="34"/>
      <c r="CL1806" s="34"/>
      <c r="CM1806" s="34"/>
      <c r="CN1806" s="34"/>
      <c r="CO1806" s="34"/>
      <c r="CP1806" s="34"/>
      <c r="CQ1806" s="34"/>
      <c r="CR1806" s="34"/>
      <c r="CS1806" s="34"/>
    </row>
    <row r="1807" spans="7:97" s="246" customFormat="1" x14ac:dyDescent="0.2">
      <c r="G1807" s="2188"/>
      <c r="BS1807" s="34"/>
      <c r="BT1807" s="34"/>
      <c r="BU1807" s="34"/>
      <c r="BV1807" s="34"/>
      <c r="BW1807" s="34"/>
      <c r="BX1807" s="34"/>
      <c r="BY1807" s="34"/>
      <c r="BZ1807" s="34"/>
      <c r="CA1807" s="34"/>
      <c r="CB1807" s="34"/>
      <c r="CC1807" s="34"/>
      <c r="CD1807" s="34"/>
      <c r="CE1807" s="34"/>
      <c r="CF1807" s="34"/>
      <c r="CG1807" s="34"/>
      <c r="CH1807" s="34"/>
      <c r="CI1807" s="34"/>
      <c r="CJ1807" s="34"/>
      <c r="CK1807" s="34"/>
      <c r="CL1807" s="34"/>
      <c r="CM1807" s="34"/>
      <c r="CN1807" s="34"/>
      <c r="CO1807" s="34"/>
      <c r="CP1807" s="34"/>
      <c r="CQ1807" s="34"/>
      <c r="CR1807" s="34"/>
      <c r="CS1807" s="34"/>
    </row>
    <row r="1808" spans="7:97" s="246" customFormat="1" x14ac:dyDescent="0.2">
      <c r="G1808" s="2188"/>
      <c r="BS1808" s="34"/>
      <c r="BT1808" s="34"/>
      <c r="BU1808" s="34"/>
      <c r="BV1808" s="34"/>
      <c r="BW1808" s="34"/>
      <c r="BX1808" s="34"/>
      <c r="BY1808" s="34"/>
      <c r="BZ1808" s="34"/>
      <c r="CA1808" s="34"/>
      <c r="CB1808" s="34"/>
      <c r="CC1808" s="34"/>
      <c r="CD1808" s="34"/>
      <c r="CE1808" s="34"/>
      <c r="CF1808" s="34"/>
      <c r="CG1808" s="34"/>
      <c r="CH1808" s="34"/>
      <c r="CI1808" s="34"/>
      <c r="CJ1808" s="34"/>
      <c r="CK1808" s="34"/>
      <c r="CL1808" s="34"/>
      <c r="CM1808" s="34"/>
      <c r="CN1808" s="34"/>
      <c r="CO1808" s="34"/>
      <c r="CP1808" s="34"/>
      <c r="CQ1808" s="34"/>
      <c r="CR1808" s="34"/>
      <c r="CS1808" s="34"/>
    </row>
    <row r="1809" spans="7:97" s="246" customFormat="1" x14ac:dyDescent="0.2">
      <c r="G1809" s="2188"/>
      <c r="BS1809" s="34"/>
      <c r="BT1809" s="34"/>
      <c r="BU1809" s="34"/>
      <c r="BV1809" s="34"/>
      <c r="BW1809" s="34"/>
      <c r="BX1809" s="34"/>
      <c r="BY1809" s="34"/>
      <c r="BZ1809" s="34"/>
      <c r="CA1809" s="34"/>
      <c r="CB1809" s="34"/>
      <c r="CC1809" s="34"/>
      <c r="CD1809" s="34"/>
      <c r="CE1809" s="34"/>
      <c r="CF1809" s="34"/>
      <c r="CG1809" s="34"/>
      <c r="CH1809" s="34"/>
      <c r="CI1809" s="34"/>
      <c r="CJ1809" s="34"/>
      <c r="CK1809" s="34"/>
      <c r="CL1809" s="34"/>
      <c r="CM1809" s="34"/>
      <c r="CN1809" s="34"/>
      <c r="CO1809" s="34"/>
      <c r="CP1809" s="34"/>
      <c r="CQ1809" s="34"/>
      <c r="CR1809" s="34"/>
      <c r="CS1809" s="34"/>
    </row>
    <row r="1810" spans="7:97" s="246" customFormat="1" x14ac:dyDescent="0.2">
      <c r="G1810" s="2188"/>
      <c r="BS1810" s="34"/>
      <c r="BT1810" s="34"/>
      <c r="BU1810" s="34"/>
      <c r="BV1810" s="34"/>
      <c r="BW1810" s="34"/>
      <c r="BX1810" s="34"/>
      <c r="BY1810" s="34"/>
      <c r="BZ1810" s="34"/>
      <c r="CA1810" s="34"/>
      <c r="CB1810" s="34"/>
      <c r="CC1810" s="34"/>
      <c r="CD1810" s="34"/>
      <c r="CE1810" s="34"/>
      <c r="CF1810" s="34"/>
      <c r="CG1810" s="34"/>
      <c r="CH1810" s="34"/>
      <c r="CI1810" s="34"/>
      <c r="CJ1810" s="34"/>
      <c r="CK1810" s="34"/>
      <c r="CL1810" s="34"/>
      <c r="CM1810" s="34"/>
      <c r="CN1810" s="34"/>
      <c r="CO1810" s="34"/>
      <c r="CP1810" s="34"/>
      <c r="CQ1810" s="34"/>
      <c r="CR1810" s="34"/>
      <c r="CS1810" s="34"/>
    </row>
    <row r="1811" spans="7:97" s="246" customFormat="1" x14ac:dyDescent="0.2">
      <c r="G1811" s="2188"/>
      <c r="BS1811" s="34"/>
      <c r="BT1811" s="34"/>
      <c r="BU1811" s="34"/>
      <c r="BV1811" s="34"/>
      <c r="BW1811" s="34"/>
      <c r="BX1811" s="34"/>
      <c r="BY1811" s="34"/>
      <c r="BZ1811" s="34"/>
      <c r="CA1811" s="34"/>
      <c r="CB1811" s="34"/>
      <c r="CC1811" s="34"/>
      <c r="CD1811" s="34"/>
      <c r="CE1811" s="34"/>
      <c r="CF1811" s="34"/>
      <c r="CG1811" s="34"/>
      <c r="CH1811" s="34"/>
      <c r="CI1811" s="34"/>
      <c r="CJ1811" s="34"/>
      <c r="CK1811" s="34"/>
      <c r="CL1811" s="34"/>
      <c r="CM1811" s="34"/>
      <c r="CN1811" s="34"/>
      <c r="CO1811" s="34"/>
      <c r="CP1811" s="34"/>
      <c r="CQ1811" s="34"/>
      <c r="CR1811" s="34"/>
      <c r="CS1811" s="34"/>
    </row>
    <row r="1812" spans="7:97" s="246" customFormat="1" x14ac:dyDescent="0.2">
      <c r="G1812" s="2188"/>
      <c r="BS1812" s="34"/>
      <c r="BT1812" s="34"/>
      <c r="BU1812" s="34"/>
      <c r="BV1812" s="34"/>
      <c r="BW1812" s="34"/>
      <c r="BX1812" s="34"/>
      <c r="BY1812" s="34"/>
      <c r="BZ1812" s="34"/>
      <c r="CA1812" s="34"/>
      <c r="CB1812" s="34"/>
      <c r="CC1812" s="34"/>
      <c r="CD1812" s="34"/>
      <c r="CE1812" s="34"/>
      <c r="CF1812" s="34"/>
      <c r="CG1812" s="34"/>
      <c r="CH1812" s="34"/>
      <c r="CI1812" s="34"/>
      <c r="CJ1812" s="34"/>
      <c r="CK1812" s="34"/>
      <c r="CL1812" s="34"/>
      <c r="CM1812" s="34"/>
      <c r="CN1812" s="34"/>
      <c r="CO1812" s="34"/>
      <c r="CP1812" s="34"/>
      <c r="CQ1812" s="34"/>
      <c r="CR1812" s="34"/>
      <c r="CS1812" s="34"/>
    </row>
    <row r="1813" spans="7:97" s="246" customFormat="1" x14ac:dyDescent="0.2">
      <c r="G1813" s="2188"/>
      <c r="BS1813" s="34"/>
      <c r="BT1813" s="34"/>
      <c r="BU1813" s="34"/>
      <c r="BV1813" s="34"/>
      <c r="BW1813" s="34"/>
      <c r="BX1813" s="34"/>
      <c r="BY1813" s="34"/>
      <c r="BZ1813" s="34"/>
      <c r="CA1813" s="34"/>
      <c r="CB1813" s="34"/>
      <c r="CC1813" s="34"/>
      <c r="CD1813" s="34"/>
      <c r="CE1813" s="34"/>
      <c r="CF1813" s="34"/>
      <c r="CG1813" s="34"/>
      <c r="CH1813" s="34"/>
      <c r="CI1813" s="34"/>
      <c r="CJ1813" s="34"/>
      <c r="CK1813" s="34"/>
      <c r="CL1813" s="34"/>
      <c r="CM1813" s="34"/>
      <c r="CN1813" s="34"/>
      <c r="CO1813" s="34"/>
      <c r="CP1813" s="34"/>
      <c r="CQ1813" s="34"/>
      <c r="CR1813" s="34"/>
      <c r="CS1813" s="34"/>
    </row>
    <row r="1814" spans="7:97" s="246" customFormat="1" x14ac:dyDescent="0.2">
      <c r="G1814" s="2188"/>
      <c r="BS1814" s="34"/>
      <c r="BT1814" s="34"/>
      <c r="BU1814" s="34"/>
      <c r="BV1814" s="34"/>
      <c r="BW1814" s="34"/>
      <c r="BX1814" s="34"/>
      <c r="BY1814" s="34"/>
      <c r="BZ1814" s="34"/>
      <c r="CA1814" s="34"/>
      <c r="CB1814" s="34"/>
      <c r="CC1814" s="34"/>
      <c r="CD1814" s="34"/>
      <c r="CE1814" s="34"/>
      <c r="CF1814" s="34"/>
      <c r="CG1814" s="34"/>
      <c r="CH1814" s="34"/>
      <c r="CI1814" s="34"/>
      <c r="CJ1814" s="34"/>
      <c r="CK1814" s="34"/>
      <c r="CL1814" s="34"/>
      <c r="CM1814" s="34"/>
      <c r="CN1814" s="34"/>
      <c r="CO1814" s="34"/>
      <c r="CP1814" s="34"/>
      <c r="CQ1814" s="34"/>
      <c r="CR1814" s="34"/>
      <c r="CS1814" s="34"/>
    </row>
    <row r="1815" spans="7:97" s="246" customFormat="1" x14ac:dyDescent="0.2">
      <c r="G1815" s="2188"/>
      <c r="BS1815" s="34"/>
      <c r="BT1815" s="34"/>
      <c r="BU1815" s="34"/>
      <c r="BV1815" s="34"/>
      <c r="BW1815" s="34"/>
      <c r="BX1815" s="34"/>
      <c r="BY1815" s="34"/>
      <c r="BZ1815" s="34"/>
      <c r="CA1815" s="34"/>
      <c r="CB1815" s="34"/>
      <c r="CC1815" s="34"/>
      <c r="CD1815" s="34"/>
      <c r="CE1815" s="34"/>
      <c r="CF1815" s="34"/>
      <c r="CG1815" s="34"/>
      <c r="CH1815" s="34"/>
      <c r="CI1815" s="34"/>
      <c r="CJ1815" s="34"/>
      <c r="CK1815" s="34"/>
      <c r="CL1815" s="34"/>
      <c r="CM1815" s="34"/>
      <c r="CN1815" s="34"/>
      <c r="CO1815" s="34"/>
      <c r="CP1815" s="34"/>
      <c r="CQ1815" s="34"/>
      <c r="CR1815" s="34"/>
      <c r="CS1815" s="34"/>
    </row>
    <row r="1816" spans="7:97" s="246" customFormat="1" x14ac:dyDescent="0.2">
      <c r="G1816" s="2188"/>
      <c r="BS1816" s="34"/>
      <c r="BT1816" s="34"/>
      <c r="BU1816" s="34"/>
      <c r="BV1816" s="34"/>
      <c r="BW1816" s="34"/>
      <c r="BX1816" s="34"/>
      <c r="BY1816" s="34"/>
      <c r="BZ1816" s="34"/>
      <c r="CA1816" s="34"/>
      <c r="CB1816" s="34"/>
      <c r="CC1816" s="34"/>
      <c r="CD1816" s="34"/>
      <c r="CE1816" s="34"/>
      <c r="CF1816" s="34"/>
      <c r="CG1816" s="34"/>
      <c r="CH1816" s="34"/>
      <c r="CI1816" s="34"/>
      <c r="CJ1816" s="34"/>
      <c r="CK1816" s="34"/>
      <c r="CL1816" s="34"/>
      <c r="CM1816" s="34"/>
      <c r="CN1816" s="34"/>
      <c r="CO1816" s="34"/>
      <c r="CP1816" s="34"/>
      <c r="CQ1816" s="34"/>
      <c r="CR1816" s="34"/>
      <c r="CS1816" s="34"/>
    </row>
    <row r="1817" spans="7:97" s="246" customFormat="1" x14ac:dyDescent="0.2">
      <c r="G1817" s="2188"/>
      <c r="BS1817" s="34"/>
      <c r="BT1817" s="34"/>
      <c r="BU1817" s="34"/>
      <c r="BV1817" s="34"/>
      <c r="BW1817" s="34"/>
      <c r="BX1817" s="34"/>
      <c r="BY1817" s="34"/>
      <c r="BZ1817" s="34"/>
      <c r="CA1817" s="34"/>
      <c r="CB1817" s="34"/>
      <c r="CC1817" s="34"/>
      <c r="CD1817" s="34"/>
      <c r="CE1817" s="34"/>
      <c r="CF1817" s="34"/>
      <c r="CG1817" s="34"/>
      <c r="CH1817" s="34"/>
      <c r="CI1817" s="34"/>
      <c r="CJ1817" s="34"/>
      <c r="CK1817" s="34"/>
      <c r="CL1817" s="34"/>
      <c r="CM1817" s="34"/>
      <c r="CN1817" s="34"/>
      <c r="CO1817" s="34"/>
      <c r="CP1817" s="34"/>
      <c r="CQ1817" s="34"/>
      <c r="CR1817" s="34"/>
      <c r="CS1817" s="34"/>
    </row>
    <row r="1818" spans="7:97" s="246" customFormat="1" x14ac:dyDescent="0.2">
      <c r="G1818" s="2188"/>
      <c r="BS1818" s="34"/>
      <c r="BT1818" s="34"/>
      <c r="BU1818" s="34"/>
      <c r="BV1818" s="34"/>
      <c r="BW1818" s="34"/>
      <c r="BX1818" s="34"/>
      <c r="BY1818" s="34"/>
      <c r="BZ1818" s="34"/>
      <c r="CA1818" s="34"/>
      <c r="CB1818" s="34"/>
      <c r="CC1818" s="34"/>
      <c r="CD1818" s="34"/>
      <c r="CE1818" s="34"/>
      <c r="CF1818" s="34"/>
      <c r="CG1818" s="34"/>
      <c r="CH1818" s="34"/>
      <c r="CI1818" s="34"/>
      <c r="CJ1818" s="34"/>
      <c r="CK1818" s="34"/>
      <c r="CL1818" s="34"/>
      <c r="CM1818" s="34"/>
      <c r="CN1818" s="34"/>
      <c r="CO1818" s="34"/>
      <c r="CP1818" s="34"/>
      <c r="CQ1818" s="34"/>
      <c r="CR1818" s="34"/>
      <c r="CS1818" s="34"/>
    </row>
    <row r="1819" spans="7:97" s="246" customFormat="1" x14ac:dyDescent="0.2">
      <c r="G1819" s="2188"/>
      <c r="BS1819" s="34"/>
      <c r="BT1819" s="34"/>
      <c r="BU1819" s="34"/>
      <c r="BV1819" s="34"/>
      <c r="BW1819" s="34"/>
      <c r="BX1819" s="34"/>
      <c r="BY1819" s="34"/>
      <c r="BZ1819" s="34"/>
      <c r="CA1819" s="34"/>
      <c r="CB1819" s="34"/>
      <c r="CC1819" s="34"/>
      <c r="CD1819" s="34"/>
      <c r="CE1819" s="34"/>
      <c r="CF1819" s="34"/>
      <c r="CG1819" s="34"/>
      <c r="CH1819" s="34"/>
      <c r="CI1819" s="34"/>
      <c r="CJ1819" s="34"/>
      <c r="CK1819" s="34"/>
      <c r="CL1819" s="34"/>
      <c r="CM1819" s="34"/>
      <c r="CN1819" s="34"/>
      <c r="CO1819" s="34"/>
      <c r="CP1819" s="34"/>
      <c r="CQ1819" s="34"/>
      <c r="CR1819" s="34"/>
      <c r="CS1819" s="34"/>
    </row>
    <row r="1820" spans="7:97" s="246" customFormat="1" x14ac:dyDescent="0.2">
      <c r="G1820" s="2188"/>
      <c r="BS1820" s="34"/>
      <c r="BT1820" s="34"/>
      <c r="BU1820" s="34"/>
      <c r="BV1820" s="34"/>
      <c r="BW1820" s="34"/>
      <c r="BX1820" s="34"/>
      <c r="BY1820" s="34"/>
      <c r="BZ1820" s="34"/>
      <c r="CA1820" s="34"/>
      <c r="CB1820" s="34"/>
      <c r="CC1820" s="34"/>
      <c r="CD1820" s="34"/>
      <c r="CE1820" s="34"/>
      <c r="CF1820" s="34"/>
      <c r="CG1820" s="34"/>
      <c r="CH1820" s="34"/>
      <c r="CI1820" s="34"/>
      <c r="CJ1820" s="34"/>
      <c r="CK1820" s="34"/>
      <c r="CL1820" s="34"/>
      <c r="CM1820" s="34"/>
      <c r="CN1820" s="34"/>
      <c r="CO1820" s="34"/>
      <c r="CP1820" s="34"/>
      <c r="CQ1820" s="34"/>
      <c r="CR1820" s="34"/>
      <c r="CS1820" s="34"/>
    </row>
    <row r="1821" spans="7:97" s="246" customFormat="1" x14ac:dyDescent="0.2">
      <c r="G1821" s="2188"/>
      <c r="BS1821" s="34"/>
      <c r="BT1821" s="34"/>
      <c r="BU1821" s="34"/>
      <c r="BV1821" s="34"/>
      <c r="BW1821" s="34"/>
      <c r="BX1821" s="34"/>
      <c r="BY1821" s="34"/>
      <c r="BZ1821" s="34"/>
      <c r="CA1821" s="34"/>
      <c r="CB1821" s="34"/>
      <c r="CC1821" s="34"/>
      <c r="CD1821" s="34"/>
      <c r="CE1821" s="34"/>
      <c r="CF1821" s="34"/>
      <c r="CG1821" s="34"/>
      <c r="CH1821" s="34"/>
      <c r="CI1821" s="34"/>
      <c r="CJ1821" s="34"/>
      <c r="CK1821" s="34"/>
      <c r="CL1821" s="34"/>
      <c r="CM1821" s="34"/>
      <c r="CN1821" s="34"/>
      <c r="CO1821" s="34"/>
      <c r="CP1821" s="34"/>
      <c r="CQ1821" s="34"/>
      <c r="CR1821" s="34"/>
      <c r="CS1821" s="34"/>
    </row>
    <row r="1822" spans="7:97" s="246" customFormat="1" x14ac:dyDescent="0.2">
      <c r="G1822" s="2188"/>
      <c r="BS1822" s="34"/>
      <c r="BT1822" s="34"/>
      <c r="BU1822" s="34"/>
      <c r="BV1822" s="34"/>
      <c r="BW1822" s="34"/>
      <c r="BX1822" s="34"/>
      <c r="BY1822" s="34"/>
      <c r="BZ1822" s="34"/>
      <c r="CA1822" s="34"/>
      <c r="CB1822" s="34"/>
      <c r="CC1822" s="34"/>
      <c r="CD1822" s="34"/>
      <c r="CE1822" s="34"/>
      <c r="CF1822" s="34"/>
      <c r="CG1822" s="34"/>
      <c r="CH1822" s="34"/>
      <c r="CI1822" s="34"/>
      <c r="CJ1822" s="34"/>
      <c r="CK1822" s="34"/>
      <c r="CL1822" s="34"/>
      <c r="CM1822" s="34"/>
      <c r="CN1822" s="34"/>
      <c r="CO1822" s="34"/>
      <c r="CP1822" s="34"/>
      <c r="CQ1822" s="34"/>
      <c r="CR1822" s="34"/>
      <c r="CS1822" s="34"/>
    </row>
    <row r="1823" spans="7:97" s="246" customFormat="1" x14ac:dyDescent="0.2">
      <c r="G1823" s="2188"/>
      <c r="BS1823" s="34"/>
      <c r="BT1823" s="34"/>
      <c r="BU1823" s="34"/>
      <c r="BV1823" s="34"/>
      <c r="BW1823" s="34"/>
      <c r="BX1823" s="34"/>
      <c r="BY1823" s="34"/>
      <c r="BZ1823" s="34"/>
      <c r="CA1823" s="34"/>
      <c r="CB1823" s="34"/>
      <c r="CC1823" s="34"/>
      <c r="CD1823" s="34"/>
      <c r="CE1823" s="34"/>
      <c r="CF1823" s="34"/>
      <c r="CG1823" s="34"/>
      <c r="CH1823" s="34"/>
      <c r="CI1823" s="34"/>
      <c r="CJ1823" s="34"/>
      <c r="CK1823" s="34"/>
      <c r="CL1823" s="34"/>
      <c r="CM1823" s="34"/>
      <c r="CN1823" s="34"/>
      <c r="CO1823" s="34"/>
      <c r="CP1823" s="34"/>
      <c r="CQ1823" s="34"/>
      <c r="CR1823" s="34"/>
      <c r="CS1823" s="34"/>
    </row>
    <row r="1824" spans="7:97" s="246" customFormat="1" x14ac:dyDescent="0.2">
      <c r="G1824" s="2188"/>
      <c r="BS1824" s="34"/>
      <c r="BT1824" s="34"/>
      <c r="BU1824" s="34"/>
      <c r="BV1824" s="34"/>
      <c r="BW1824" s="34"/>
      <c r="BX1824" s="34"/>
      <c r="BY1824" s="34"/>
      <c r="BZ1824" s="34"/>
      <c r="CA1824" s="34"/>
      <c r="CB1824" s="34"/>
      <c r="CC1824" s="34"/>
      <c r="CD1824" s="34"/>
      <c r="CE1824" s="34"/>
      <c r="CF1824" s="34"/>
      <c r="CG1824" s="34"/>
      <c r="CH1824" s="34"/>
      <c r="CI1824" s="34"/>
      <c r="CJ1824" s="34"/>
      <c r="CK1824" s="34"/>
      <c r="CL1824" s="34"/>
      <c r="CM1824" s="34"/>
      <c r="CN1824" s="34"/>
      <c r="CO1824" s="34"/>
      <c r="CP1824" s="34"/>
      <c r="CQ1824" s="34"/>
      <c r="CR1824" s="34"/>
      <c r="CS1824" s="34"/>
    </row>
    <row r="1825" spans="7:97" s="246" customFormat="1" x14ac:dyDescent="0.2">
      <c r="G1825" s="2188"/>
      <c r="BS1825" s="34"/>
      <c r="BT1825" s="34"/>
      <c r="BU1825" s="34"/>
      <c r="BV1825" s="34"/>
      <c r="BW1825" s="34"/>
      <c r="BX1825" s="34"/>
      <c r="BY1825" s="34"/>
      <c r="BZ1825" s="34"/>
      <c r="CA1825" s="34"/>
      <c r="CB1825" s="34"/>
      <c r="CC1825" s="34"/>
      <c r="CD1825" s="34"/>
      <c r="CE1825" s="34"/>
      <c r="CF1825" s="34"/>
      <c r="CG1825" s="34"/>
      <c r="CH1825" s="34"/>
      <c r="CI1825" s="34"/>
      <c r="CJ1825" s="34"/>
      <c r="CK1825" s="34"/>
      <c r="CL1825" s="34"/>
      <c r="CM1825" s="34"/>
      <c r="CN1825" s="34"/>
      <c r="CO1825" s="34"/>
      <c r="CP1825" s="34"/>
      <c r="CQ1825" s="34"/>
      <c r="CR1825" s="34"/>
      <c r="CS1825" s="34"/>
    </row>
    <row r="1826" spans="7:97" s="246" customFormat="1" x14ac:dyDescent="0.2">
      <c r="G1826" s="2188"/>
      <c r="BS1826" s="34"/>
      <c r="BT1826" s="34"/>
      <c r="BU1826" s="34"/>
      <c r="BV1826" s="34"/>
      <c r="BW1826" s="34"/>
      <c r="BX1826" s="34"/>
      <c r="BY1826" s="34"/>
      <c r="BZ1826" s="34"/>
      <c r="CA1826" s="34"/>
      <c r="CB1826" s="34"/>
      <c r="CC1826" s="34"/>
      <c r="CD1826" s="34"/>
      <c r="CE1826" s="34"/>
      <c r="CF1826" s="34"/>
      <c r="CG1826" s="34"/>
      <c r="CH1826" s="34"/>
      <c r="CI1826" s="34"/>
      <c r="CJ1826" s="34"/>
      <c r="CK1826" s="34"/>
      <c r="CL1826" s="34"/>
      <c r="CM1826" s="34"/>
      <c r="CN1826" s="34"/>
      <c r="CO1826" s="34"/>
      <c r="CP1826" s="34"/>
      <c r="CQ1826" s="34"/>
      <c r="CR1826" s="34"/>
      <c r="CS1826" s="34"/>
    </row>
    <row r="1827" spans="7:97" s="246" customFormat="1" x14ac:dyDescent="0.2">
      <c r="G1827" s="2188"/>
      <c r="BS1827" s="34"/>
      <c r="BT1827" s="34"/>
      <c r="BU1827" s="34"/>
      <c r="BV1827" s="34"/>
      <c r="BW1827" s="34"/>
      <c r="BX1827" s="34"/>
      <c r="BY1827" s="34"/>
      <c r="BZ1827" s="34"/>
      <c r="CA1827" s="34"/>
      <c r="CB1827" s="34"/>
      <c r="CC1827" s="34"/>
      <c r="CD1827" s="34"/>
      <c r="CE1827" s="34"/>
      <c r="CF1827" s="34"/>
      <c r="CG1827" s="34"/>
      <c r="CH1827" s="34"/>
      <c r="CI1827" s="34"/>
      <c r="CJ1827" s="34"/>
      <c r="CK1827" s="34"/>
      <c r="CL1827" s="34"/>
      <c r="CM1827" s="34"/>
      <c r="CN1827" s="34"/>
      <c r="CO1827" s="34"/>
      <c r="CP1827" s="34"/>
      <c r="CQ1827" s="34"/>
      <c r="CR1827" s="34"/>
      <c r="CS1827" s="34"/>
    </row>
    <row r="1828" spans="7:97" s="246" customFormat="1" x14ac:dyDescent="0.2">
      <c r="G1828" s="2188"/>
      <c r="BS1828" s="34"/>
      <c r="BT1828" s="34"/>
      <c r="BU1828" s="34"/>
      <c r="BV1828" s="34"/>
      <c r="BW1828" s="34"/>
      <c r="BX1828" s="34"/>
      <c r="BY1828" s="34"/>
      <c r="BZ1828" s="34"/>
      <c r="CA1828" s="34"/>
      <c r="CB1828" s="34"/>
      <c r="CC1828" s="34"/>
      <c r="CD1828" s="34"/>
      <c r="CE1828" s="34"/>
      <c r="CF1828" s="34"/>
      <c r="CG1828" s="34"/>
      <c r="CH1828" s="34"/>
      <c r="CI1828" s="34"/>
      <c r="CJ1828" s="34"/>
      <c r="CK1828" s="34"/>
      <c r="CL1828" s="34"/>
      <c r="CM1828" s="34"/>
      <c r="CN1828" s="34"/>
      <c r="CO1828" s="34"/>
      <c r="CP1828" s="34"/>
      <c r="CQ1828" s="34"/>
      <c r="CR1828" s="34"/>
      <c r="CS1828" s="34"/>
    </row>
    <row r="1829" spans="7:97" s="246" customFormat="1" x14ac:dyDescent="0.2">
      <c r="G1829" s="2188"/>
      <c r="BS1829" s="34"/>
      <c r="BT1829" s="34"/>
      <c r="BU1829" s="34"/>
      <c r="BV1829" s="34"/>
      <c r="BW1829" s="34"/>
      <c r="BX1829" s="34"/>
      <c r="BY1829" s="34"/>
      <c r="BZ1829" s="34"/>
      <c r="CA1829" s="34"/>
      <c r="CB1829" s="34"/>
      <c r="CC1829" s="34"/>
      <c r="CD1829" s="34"/>
      <c r="CE1829" s="34"/>
      <c r="CF1829" s="34"/>
      <c r="CG1829" s="34"/>
      <c r="CH1829" s="34"/>
      <c r="CI1829" s="34"/>
      <c r="CJ1829" s="34"/>
      <c r="CK1829" s="34"/>
      <c r="CL1829" s="34"/>
      <c r="CM1829" s="34"/>
      <c r="CN1829" s="34"/>
      <c r="CO1829" s="34"/>
      <c r="CP1829" s="34"/>
      <c r="CQ1829" s="34"/>
      <c r="CR1829" s="34"/>
      <c r="CS1829" s="34"/>
    </row>
    <row r="1830" spans="7:97" s="246" customFormat="1" x14ac:dyDescent="0.2">
      <c r="G1830" s="2188"/>
      <c r="BS1830" s="34"/>
      <c r="BT1830" s="34"/>
      <c r="BU1830" s="34"/>
      <c r="BV1830" s="34"/>
      <c r="BW1830" s="34"/>
      <c r="BX1830" s="34"/>
      <c r="BY1830" s="34"/>
      <c r="BZ1830" s="34"/>
      <c r="CA1830" s="34"/>
      <c r="CB1830" s="34"/>
      <c r="CC1830" s="34"/>
      <c r="CD1830" s="34"/>
      <c r="CE1830" s="34"/>
      <c r="CF1830" s="34"/>
      <c r="CG1830" s="34"/>
      <c r="CH1830" s="34"/>
      <c r="CI1830" s="34"/>
      <c r="CJ1830" s="34"/>
      <c r="CK1830" s="34"/>
      <c r="CL1830" s="34"/>
      <c r="CM1830" s="34"/>
      <c r="CN1830" s="34"/>
      <c r="CO1830" s="34"/>
      <c r="CP1830" s="34"/>
      <c r="CQ1830" s="34"/>
      <c r="CR1830" s="34"/>
      <c r="CS1830" s="34"/>
    </row>
    <row r="1831" spans="7:97" s="246" customFormat="1" x14ac:dyDescent="0.2">
      <c r="G1831" s="2188"/>
      <c r="BS1831" s="34"/>
      <c r="BT1831" s="34"/>
      <c r="BU1831" s="34"/>
      <c r="BV1831" s="34"/>
      <c r="BW1831" s="34"/>
      <c r="BX1831" s="34"/>
      <c r="BY1831" s="34"/>
      <c r="BZ1831" s="34"/>
      <c r="CA1831" s="34"/>
      <c r="CB1831" s="34"/>
      <c r="CC1831" s="34"/>
      <c r="CD1831" s="34"/>
      <c r="CE1831" s="34"/>
      <c r="CF1831" s="34"/>
      <c r="CG1831" s="34"/>
      <c r="CH1831" s="34"/>
      <c r="CI1831" s="34"/>
      <c r="CJ1831" s="34"/>
      <c r="CK1831" s="34"/>
      <c r="CL1831" s="34"/>
      <c r="CM1831" s="34"/>
      <c r="CN1831" s="34"/>
      <c r="CO1831" s="34"/>
      <c r="CP1831" s="34"/>
      <c r="CQ1831" s="34"/>
      <c r="CR1831" s="34"/>
      <c r="CS1831" s="34"/>
    </row>
    <row r="1832" spans="7:97" s="246" customFormat="1" x14ac:dyDescent="0.2">
      <c r="G1832" s="2188"/>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row>
    <row r="1833" spans="7:97" s="246" customFormat="1" x14ac:dyDescent="0.2">
      <c r="G1833" s="2188"/>
      <c r="BS1833" s="34"/>
      <c r="BT1833" s="34"/>
      <c r="BU1833" s="34"/>
      <c r="BV1833" s="34"/>
      <c r="BW1833" s="34"/>
      <c r="BX1833" s="34"/>
      <c r="BY1833" s="34"/>
      <c r="BZ1833" s="34"/>
      <c r="CA1833" s="34"/>
      <c r="CB1833" s="34"/>
      <c r="CC1833" s="34"/>
      <c r="CD1833" s="34"/>
      <c r="CE1833" s="34"/>
      <c r="CF1833" s="34"/>
      <c r="CG1833" s="34"/>
      <c r="CH1833" s="34"/>
      <c r="CI1833" s="34"/>
      <c r="CJ1833" s="34"/>
      <c r="CK1833" s="34"/>
      <c r="CL1833" s="34"/>
      <c r="CM1833" s="34"/>
      <c r="CN1833" s="34"/>
      <c r="CO1833" s="34"/>
      <c r="CP1833" s="34"/>
      <c r="CQ1833" s="34"/>
      <c r="CR1833" s="34"/>
      <c r="CS1833" s="34"/>
    </row>
    <row r="1834" spans="7:97" s="246" customFormat="1" x14ac:dyDescent="0.2">
      <c r="G1834" s="2188"/>
      <c r="BS1834" s="34"/>
      <c r="BT1834" s="34"/>
      <c r="BU1834" s="34"/>
      <c r="BV1834" s="34"/>
      <c r="BW1834" s="34"/>
      <c r="BX1834" s="34"/>
      <c r="BY1834" s="34"/>
      <c r="BZ1834" s="34"/>
      <c r="CA1834" s="34"/>
      <c r="CB1834" s="34"/>
      <c r="CC1834" s="34"/>
      <c r="CD1834" s="34"/>
      <c r="CE1834" s="34"/>
      <c r="CF1834" s="34"/>
      <c r="CG1834" s="34"/>
      <c r="CH1834" s="34"/>
      <c r="CI1834" s="34"/>
      <c r="CJ1834" s="34"/>
      <c r="CK1834" s="34"/>
      <c r="CL1834" s="34"/>
      <c r="CM1834" s="34"/>
      <c r="CN1834" s="34"/>
      <c r="CO1834" s="34"/>
      <c r="CP1834" s="34"/>
      <c r="CQ1834" s="34"/>
      <c r="CR1834" s="34"/>
      <c r="CS1834" s="34"/>
    </row>
    <row r="1835" spans="7:97" s="246" customFormat="1" x14ac:dyDescent="0.2">
      <c r="G1835" s="2188"/>
      <c r="BS1835" s="34"/>
      <c r="BT1835" s="34"/>
      <c r="BU1835" s="34"/>
      <c r="BV1835" s="34"/>
      <c r="BW1835" s="34"/>
      <c r="BX1835" s="34"/>
      <c r="BY1835" s="34"/>
      <c r="BZ1835" s="34"/>
      <c r="CA1835" s="34"/>
      <c r="CB1835" s="34"/>
      <c r="CC1835" s="34"/>
      <c r="CD1835" s="34"/>
      <c r="CE1835" s="34"/>
      <c r="CF1835" s="34"/>
      <c r="CG1835" s="34"/>
      <c r="CH1835" s="34"/>
      <c r="CI1835" s="34"/>
      <c r="CJ1835" s="34"/>
      <c r="CK1835" s="34"/>
      <c r="CL1835" s="34"/>
      <c r="CM1835" s="34"/>
      <c r="CN1835" s="34"/>
      <c r="CO1835" s="34"/>
      <c r="CP1835" s="34"/>
      <c r="CQ1835" s="34"/>
      <c r="CR1835" s="34"/>
      <c r="CS1835" s="34"/>
    </row>
    <row r="1836" spans="7:97" s="246" customFormat="1" x14ac:dyDescent="0.2">
      <c r="G1836" s="2188"/>
      <c r="BS1836" s="34"/>
      <c r="BT1836" s="34"/>
      <c r="BU1836" s="34"/>
      <c r="BV1836" s="34"/>
      <c r="BW1836" s="34"/>
      <c r="BX1836" s="34"/>
      <c r="BY1836" s="34"/>
      <c r="BZ1836" s="34"/>
      <c r="CA1836" s="34"/>
      <c r="CB1836" s="34"/>
      <c r="CC1836" s="34"/>
      <c r="CD1836" s="34"/>
      <c r="CE1836" s="34"/>
      <c r="CF1836" s="34"/>
      <c r="CG1836" s="34"/>
      <c r="CH1836" s="34"/>
      <c r="CI1836" s="34"/>
      <c r="CJ1836" s="34"/>
      <c r="CK1836" s="34"/>
      <c r="CL1836" s="34"/>
      <c r="CM1836" s="34"/>
      <c r="CN1836" s="34"/>
      <c r="CO1836" s="34"/>
      <c r="CP1836" s="34"/>
      <c r="CQ1836" s="34"/>
      <c r="CR1836" s="34"/>
      <c r="CS1836" s="34"/>
    </row>
    <row r="1837" spans="7:97" s="246" customFormat="1" x14ac:dyDescent="0.2">
      <c r="G1837" s="2188"/>
      <c r="BS1837" s="34"/>
      <c r="BT1837" s="34"/>
      <c r="BU1837" s="34"/>
      <c r="BV1837" s="34"/>
      <c r="BW1837" s="34"/>
      <c r="BX1837" s="34"/>
      <c r="BY1837" s="34"/>
      <c r="BZ1837" s="34"/>
      <c r="CA1837" s="34"/>
      <c r="CB1837" s="34"/>
      <c r="CC1837" s="34"/>
      <c r="CD1837" s="34"/>
      <c r="CE1837" s="34"/>
      <c r="CF1837" s="34"/>
      <c r="CG1837" s="34"/>
      <c r="CH1837" s="34"/>
      <c r="CI1837" s="34"/>
      <c r="CJ1837" s="34"/>
      <c r="CK1837" s="34"/>
      <c r="CL1837" s="34"/>
      <c r="CM1837" s="34"/>
      <c r="CN1837" s="34"/>
      <c r="CO1837" s="34"/>
      <c r="CP1837" s="34"/>
      <c r="CQ1837" s="34"/>
      <c r="CR1837" s="34"/>
      <c r="CS1837" s="34"/>
    </row>
    <row r="1838" spans="7:97" s="246" customFormat="1" x14ac:dyDescent="0.2">
      <c r="G1838" s="2188"/>
      <c r="BS1838" s="34"/>
      <c r="BT1838" s="34"/>
      <c r="BU1838" s="34"/>
      <c r="BV1838" s="34"/>
      <c r="BW1838" s="34"/>
      <c r="BX1838" s="34"/>
      <c r="BY1838" s="34"/>
      <c r="BZ1838" s="34"/>
      <c r="CA1838" s="34"/>
      <c r="CB1838" s="34"/>
      <c r="CC1838" s="34"/>
      <c r="CD1838" s="34"/>
      <c r="CE1838" s="34"/>
      <c r="CF1838" s="34"/>
      <c r="CG1838" s="34"/>
      <c r="CH1838" s="34"/>
      <c r="CI1838" s="34"/>
      <c r="CJ1838" s="34"/>
      <c r="CK1838" s="34"/>
      <c r="CL1838" s="34"/>
      <c r="CM1838" s="34"/>
      <c r="CN1838" s="34"/>
      <c r="CO1838" s="34"/>
      <c r="CP1838" s="34"/>
      <c r="CQ1838" s="34"/>
      <c r="CR1838" s="34"/>
      <c r="CS1838" s="34"/>
    </row>
    <row r="1839" spans="7:97" s="246" customFormat="1" x14ac:dyDescent="0.2">
      <c r="G1839" s="2188"/>
      <c r="BS1839" s="34"/>
      <c r="BT1839" s="34"/>
      <c r="BU1839" s="34"/>
      <c r="BV1839" s="34"/>
      <c r="BW1839" s="34"/>
      <c r="BX1839" s="34"/>
      <c r="BY1839" s="34"/>
      <c r="BZ1839" s="34"/>
      <c r="CA1839" s="34"/>
      <c r="CB1839" s="34"/>
      <c r="CC1839" s="34"/>
      <c r="CD1839" s="34"/>
      <c r="CE1839" s="34"/>
      <c r="CF1839" s="34"/>
      <c r="CG1839" s="34"/>
      <c r="CH1839" s="34"/>
      <c r="CI1839" s="34"/>
      <c r="CJ1839" s="34"/>
      <c r="CK1839" s="34"/>
      <c r="CL1839" s="34"/>
      <c r="CM1839" s="34"/>
      <c r="CN1839" s="34"/>
      <c r="CO1839" s="34"/>
      <c r="CP1839" s="34"/>
      <c r="CQ1839" s="34"/>
      <c r="CR1839" s="34"/>
      <c r="CS1839" s="34"/>
    </row>
    <row r="1840" spans="7:97" s="246" customFormat="1" x14ac:dyDescent="0.2">
      <c r="G1840" s="2188"/>
      <c r="BS1840" s="34"/>
      <c r="BT1840" s="34"/>
      <c r="BU1840" s="34"/>
      <c r="BV1840" s="34"/>
      <c r="BW1840" s="34"/>
      <c r="BX1840" s="34"/>
      <c r="BY1840" s="34"/>
      <c r="BZ1840" s="34"/>
      <c r="CA1840" s="34"/>
      <c r="CB1840" s="34"/>
      <c r="CC1840" s="34"/>
      <c r="CD1840" s="34"/>
      <c r="CE1840" s="34"/>
      <c r="CF1840" s="34"/>
      <c r="CG1840" s="34"/>
      <c r="CH1840" s="34"/>
      <c r="CI1840" s="34"/>
      <c r="CJ1840" s="34"/>
      <c r="CK1840" s="34"/>
      <c r="CL1840" s="34"/>
      <c r="CM1840" s="34"/>
      <c r="CN1840" s="34"/>
      <c r="CO1840" s="34"/>
      <c r="CP1840" s="34"/>
      <c r="CQ1840" s="34"/>
      <c r="CR1840" s="34"/>
      <c r="CS1840" s="34"/>
    </row>
    <row r="1841" spans="7:97" s="246" customFormat="1" x14ac:dyDescent="0.2">
      <c r="G1841" s="2188"/>
      <c r="BS1841" s="34"/>
      <c r="BT1841" s="34"/>
      <c r="BU1841" s="34"/>
      <c r="BV1841" s="34"/>
      <c r="BW1841" s="34"/>
      <c r="BX1841" s="34"/>
      <c r="BY1841" s="34"/>
      <c r="BZ1841" s="34"/>
      <c r="CA1841" s="34"/>
      <c r="CB1841" s="34"/>
      <c r="CC1841" s="34"/>
      <c r="CD1841" s="34"/>
      <c r="CE1841" s="34"/>
      <c r="CF1841" s="34"/>
      <c r="CG1841" s="34"/>
      <c r="CH1841" s="34"/>
      <c r="CI1841" s="34"/>
      <c r="CJ1841" s="34"/>
      <c r="CK1841" s="34"/>
      <c r="CL1841" s="34"/>
      <c r="CM1841" s="34"/>
      <c r="CN1841" s="34"/>
      <c r="CO1841" s="34"/>
      <c r="CP1841" s="34"/>
      <c r="CQ1841" s="34"/>
      <c r="CR1841" s="34"/>
      <c r="CS1841" s="34"/>
    </row>
    <row r="1842" spans="7:97" s="246" customFormat="1" x14ac:dyDescent="0.2">
      <c r="G1842" s="2188"/>
      <c r="BS1842" s="34"/>
      <c r="BT1842" s="34"/>
      <c r="BU1842" s="34"/>
      <c r="BV1842" s="34"/>
      <c r="BW1842" s="34"/>
      <c r="BX1842" s="34"/>
      <c r="BY1842" s="34"/>
      <c r="BZ1842" s="34"/>
      <c r="CA1842" s="34"/>
      <c r="CB1842" s="34"/>
      <c r="CC1842" s="34"/>
      <c r="CD1842" s="34"/>
      <c r="CE1842" s="34"/>
      <c r="CF1842" s="34"/>
      <c r="CG1842" s="34"/>
      <c r="CH1842" s="34"/>
      <c r="CI1842" s="34"/>
      <c r="CJ1842" s="34"/>
      <c r="CK1842" s="34"/>
      <c r="CL1842" s="34"/>
      <c r="CM1842" s="34"/>
      <c r="CN1842" s="34"/>
      <c r="CO1842" s="34"/>
      <c r="CP1842" s="34"/>
      <c r="CQ1842" s="34"/>
      <c r="CR1842" s="34"/>
      <c r="CS1842" s="34"/>
    </row>
    <row r="1843" spans="7:97" s="246" customFormat="1" x14ac:dyDescent="0.2">
      <c r="G1843" s="2188"/>
      <c r="BS1843" s="34"/>
      <c r="BT1843" s="34"/>
      <c r="BU1843" s="34"/>
      <c r="BV1843" s="34"/>
      <c r="BW1843" s="34"/>
      <c r="BX1843" s="34"/>
      <c r="BY1843" s="34"/>
      <c r="BZ1843" s="34"/>
      <c r="CA1843" s="34"/>
      <c r="CB1843" s="34"/>
      <c r="CC1843" s="34"/>
      <c r="CD1843" s="34"/>
      <c r="CE1843" s="34"/>
      <c r="CF1843" s="34"/>
      <c r="CG1843" s="34"/>
      <c r="CH1843" s="34"/>
      <c r="CI1843" s="34"/>
      <c r="CJ1843" s="34"/>
      <c r="CK1843" s="34"/>
      <c r="CL1843" s="34"/>
      <c r="CM1843" s="34"/>
      <c r="CN1843" s="34"/>
      <c r="CO1843" s="34"/>
      <c r="CP1843" s="34"/>
      <c r="CQ1843" s="34"/>
      <c r="CR1843" s="34"/>
      <c r="CS1843" s="34"/>
    </row>
    <row r="1844" spans="7:97" s="246" customFormat="1" x14ac:dyDescent="0.2">
      <c r="G1844" s="2188"/>
      <c r="BS1844" s="34"/>
      <c r="BT1844" s="34"/>
      <c r="BU1844" s="34"/>
      <c r="BV1844" s="34"/>
      <c r="BW1844" s="34"/>
      <c r="BX1844" s="34"/>
      <c r="BY1844" s="34"/>
      <c r="BZ1844" s="34"/>
      <c r="CA1844" s="34"/>
      <c r="CB1844" s="34"/>
      <c r="CC1844" s="34"/>
      <c r="CD1844" s="34"/>
      <c r="CE1844" s="34"/>
      <c r="CF1844" s="34"/>
      <c r="CG1844" s="34"/>
      <c r="CH1844" s="34"/>
      <c r="CI1844" s="34"/>
      <c r="CJ1844" s="34"/>
      <c r="CK1844" s="34"/>
      <c r="CL1844" s="34"/>
      <c r="CM1844" s="34"/>
      <c r="CN1844" s="34"/>
      <c r="CO1844" s="34"/>
      <c r="CP1844" s="34"/>
      <c r="CQ1844" s="34"/>
      <c r="CR1844" s="34"/>
      <c r="CS1844" s="34"/>
    </row>
    <row r="1845" spans="7:97" s="246" customFormat="1" x14ac:dyDescent="0.2">
      <c r="G1845" s="2188"/>
      <c r="BS1845" s="34"/>
      <c r="BT1845" s="34"/>
      <c r="BU1845" s="34"/>
      <c r="BV1845" s="34"/>
      <c r="BW1845" s="34"/>
      <c r="BX1845" s="34"/>
      <c r="BY1845" s="34"/>
      <c r="BZ1845" s="34"/>
      <c r="CA1845" s="34"/>
      <c r="CB1845" s="34"/>
      <c r="CC1845" s="34"/>
      <c r="CD1845" s="34"/>
      <c r="CE1845" s="34"/>
      <c r="CF1845" s="34"/>
      <c r="CG1845" s="34"/>
      <c r="CH1845" s="34"/>
      <c r="CI1845" s="34"/>
      <c r="CJ1845" s="34"/>
      <c r="CK1845" s="34"/>
      <c r="CL1845" s="34"/>
      <c r="CM1845" s="34"/>
      <c r="CN1845" s="34"/>
      <c r="CO1845" s="34"/>
      <c r="CP1845" s="34"/>
      <c r="CQ1845" s="34"/>
      <c r="CR1845" s="34"/>
      <c r="CS1845" s="34"/>
    </row>
    <row r="1846" spans="7:97" s="246" customFormat="1" x14ac:dyDescent="0.2">
      <c r="G1846" s="2188"/>
      <c r="BS1846" s="34"/>
      <c r="BT1846" s="34"/>
      <c r="BU1846" s="34"/>
      <c r="BV1846" s="34"/>
      <c r="BW1846" s="34"/>
      <c r="BX1846" s="34"/>
      <c r="BY1846" s="34"/>
      <c r="BZ1846" s="34"/>
      <c r="CA1846" s="34"/>
      <c r="CB1846" s="34"/>
      <c r="CC1846" s="34"/>
      <c r="CD1846" s="34"/>
      <c r="CE1846" s="34"/>
      <c r="CF1846" s="34"/>
      <c r="CG1846" s="34"/>
      <c r="CH1846" s="34"/>
      <c r="CI1846" s="34"/>
      <c r="CJ1846" s="34"/>
      <c r="CK1846" s="34"/>
      <c r="CL1846" s="34"/>
      <c r="CM1846" s="34"/>
      <c r="CN1846" s="34"/>
      <c r="CO1846" s="34"/>
      <c r="CP1846" s="34"/>
      <c r="CQ1846" s="34"/>
      <c r="CR1846" s="34"/>
      <c r="CS1846" s="34"/>
    </row>
    <row r="1847" spans="7:97" s="246" customFormat="1" x14ac:dyDescent="0.2">
      <c r="G1847" s="2188"/>
      <c r="BS1847" s="34"/>
      <c r="BT1847" s="34"/>
      <c r="BU1847" s="34"/>
      <c r="BV1847" s="34"/>
      <c r="BW1847" s="34"/>
      <c r="BX1847" s="34"/>
      <c r="BY1847" s="34"/>
      <c r="BZ1847" s="34"/>
      <c r="CA1847" s="34"/>
      <c r="CB1847" s="34"/>
      <c r="CC1847" s="34"/>
      <c r="CD1847" s="34"/>
      <c r="CE1847" s="34"/>
      <c r="CF1847" s="34"/>
      <c r="CG1847" s="34"/>
      <c r="CH1847" s="34"/>
      <c r="CI1847" s="34"/>
      <c r="CJ1847" s="34"/>
      <c r="CK1847" s="34"/>
      <c r="CL1847" s="34"/>
      <c r="CM1847" s="34"/>
      <c r="CN1847" s="34"/>
      <c r="CO1847" s="34"/>
      <c r="CP1847" s="34"/>
      <c r="CQ1847" s="34"/>
      <c r="CR1847" s="34"/>
      <c r="CS1847" s="34"/>
    </row>
    <row r="1848" spans="7:97" s="246" customFormat="1" x14ac:dyDescent="0.2">
      <c r="G1848" s="2188"/>
      <c r="BS1848" s="34"/>
      <c r="BT1848" s="34"/>
      <c r="BU1848" s="34"/>
      <c r="BV1848" s="34"/>
      <c r="BW1848" s="34"/>
      <c r="BX1848" s="34"/>
      <c r="BY1848" s="34"/>
      <c r="BZ1848" s="34"/>
      <c r="CA1848" s="34"/>
      <c r="CB1848" s="34"/>
      <c r="CC1848" s="34"/>
      <c r="CD1848" s="34"/>
      <c r="CE1848" s="34"/>
      <c r="CF1848" s="34"/>
      <c r="CG1848" s="34"/>
      <c r="CH1848" s="34"/>
      <c r="CI1848" s="34"/>
      <c r="CJ1848" s="34"/>
      <c r="CK1848" s="34"/>
      <c r="CL1848" s="34"/>
      <c r="CM1848" s="34"/>
      <c r="CN1848" s="34"/>
      <c r="CO1848" s="34"/>
      <c r="CP1848" s="34"/>
      <c r="CQ1848" s="34"/>
      <c r="CR1848" s="34"/>
      <c r="CS1848" s="34"/>
    </row>
    <row r="1849" spans="7:97" s="246" customFormat="1" x14ac:dyDescent="0.2">
      <c r="G1849" s="2188"/>
      <c r="BS1849" s="34"/>
      <c r="BT1849" s="34"/>
      <c r="BU1849" s="34"/>
      <c r="BV1849" s="34"/>
      <c r="BW1849" s="34"/>
      <c r="BX1849" s="34"/>
      <c r="BY1849" s="34"/>
      <c r="BZ1849" s="34"/>
      <c r="CA1849" s="34"/>
      <c r="CB1849" s="34"/>
      <c r="CC1849" s="34"/>
      <c r="CD1849" s="34"/>
      <c r="CE1849" s="34"/>
      <c r="CF1849" s="34"/>
      <c r="CG1849" s="34"/>
      <c r="CH1849" s="34"/>
      <c r="CI1849" s="34"/>
      <c r="CJ1849" s="34"/>
      <c r="CK1849" s="34"/>
      <c r="CL1849" s="34"/>
      <c r="CM1849" s="34"/>
      <c r="CN1849" s="34"/>
      <c r="CO1849" s="34"/>
      <c r="CP1849" s="34"/>
      <c r="CQ1849" s="34"/>
      <c r="CR1849" s="34"/>
      <c r="CS1849" s="34"/>
    </row>
    <row r="1850" spans="7:97" s="246" customFormat="1" x14ac:dyDescent="0.2">
      <c r="G1850" s="2188"/>
      <c r="BS1850" s="34"/>
      <c r="BT1850" s="34"/>
      <c r="BU1850" s="34"/>
      <c r="BV1850" s="34"/>
      <c r="BW1850" s="34"/>
      <c r="BX1850" s="34"/>
      <c r="BY1850" s="34"/>
      <c r="BZ1850" s="34"/>
      <c r="CA1850" s="34"/>
      <c r="CB1850" s="34"/>
      <c r="CC1850" s="34"/>
      <c r="CD1850" s="34"/>
      <c r="CE1850" s="34"/>
      <c r="CF1850" s="34"/>
      <c r="CG1850" s="34"/>
      <c r="CH1850" s="34"/>
      <c r="CI1850" s="34"/>
      <c r="CJ1850" s="34"/>
      <c r="CK1850" s="34"/>
      <c r="CL1850" s="34"/>
      <c r="CM1850" s="34"/>
      <c r="CN1850" s="34"/>
      <c r="CO1850" s="34"/>
      <c r="CP1850" s="34"/>
      <c r="CQ1850" s="34"/>
      <c r="CR1850" s="34"/>
      <c r="CS1850" s="34"/>
    </row>
    <row r="1851" spans="7:97" s="246" customFormat="1" x14ac:dyDescent="0.2">
      <c r="G1851" s="2188"/>
      <c r="BS1851" s="34"/>
      <c r="BT1851" s="34"/>
      <c r="BU1851" s="34"/>
      <c r="BV1851" s="34"/>
      <c r="BW1851" s="34"/>
      <c r="BX1851" s="34"/>
      <c r="BY1851" s="34"/>
      <c r="BZ1851" s="34"/>
      <c r="CA1851" s="34"/>
      <c r="CB1851" s="34"/>
      <c r="CC1851" s="34"/>
      <c r="CD1851" s="34"/>
      <c r="CE1851" s="34"/>
      <c r="CF1851" s="34"/>
      <c r="CG1851" s="34"/>
      <c r="CH1851" s="34"/>
      <c r="CI1851" s="34"/>
      <c r="CJ1851" s="34"/>
      <c r="CK1851" s="34"/>
      <c r="CL1851" s="34"/>
      <c r="CM1851" s="34"/>
      <c r="CN1851" s="34"/>
      <c r="CO1851" s="34"/>
      <c r="CP1851" s="34"/>
      <c r="CQ1851" s="34"/>
      <c r="CR1851" s="34"/>
      <c r="CS1851" s="34"/>
    </row>
    <row r="1852" spans="7:97" s="246" customFormat="1" x14ac:dyDescent="0.2">
      <c r="G1852" s="2188"/>
      <c r="BS1852" s="34"/>
      <c r="BT1852" s="34"/>
      <c r="BU1852" s="34"/>
      <c r="BV1852" s="34"/>
      <c r="BW1852" s="34"/>
      <c r="BX1852" s="34"/>
      <c r="BY1852" s="34"/>
      <c r="BZ1852" s="34"/>
      <c r="CA1852" s="34"/>
      <c r="CB1852" s="34"/>
      <c r="CC1852" s="34"/>
      <c r="CD1852" s="34"/>
      <c r="CE1852" s="34"/>
      <c r="CF1852" s="34"/>
      <c r="CG1852" s="34"/>
      <c r="CH1852" s="34"/>
      <c r="CI1852" s="34"/>
      <c r="CJ1852" s="34"/>
      <c r="CK1852" s="34"/>
      <c r="CL1852" s="34"/>
      <c r="CM1852" s="34"/>
      <c r="CN1852" s="34"/>
      <c r="CO1852" s="34"/>
      <c r="CP1852" s="34"/>
      <c r="CQ1852" s="34"/>
      <c r="CR1852" s="34"/>
      <c r="CS1852" s="34"/>
    </row>
    <row r="1853" spans="7:97" s="246" customFormat="1" x14ac:dyDescent="0.2">
      <c r="G1853" s="2188"/>
      <c r="BS1853" s="34"/>
      <c r="BT1853" s="34"/>
      <c r="BU1853" s="34"/>
      <c r="BV1853" s="34"/>
      <c r="BW1853" s="34"/>
      <c r="BX1853" s="34"/>
      <c r="BY1853" s="34"/>
      <c r="BZ1853" s="34"/>
      <c r="CA1853" s="34"/>
      <c r="CB1853" s="34"/>
      <c r="CC1853" s="34"/>
      <c r="CD1853" s="34"/>
      <c r="CE1853" s="34"/>
      <c r="CF1853" s="34"/>
      <c r="CG1853" s="34"/>
      <c r="CH1853" s="34"/>
      <c r="CI1853" s="34"/>
      <c r="CJ1853" s="34"/>
      <c r="CK1853" s="34"/>
      <c r="CL1853" s="34"/>
      <c r="CM1853" s="34"/>
      <c r="CN1853" s="34"/>
      <c r="CO1853" s="34"/>
      <c r="CP1853" s="34"/>
      <c r="CQ1853" s="34"/>
      <c r="CR1853" s="34"/>
      <c r="CS1853" s="34"/>
    </row>
    <row r="1854" spans="7:97" s="246" customFormat="1" x14ac:dyDescent="0.2">
      <c r="G1854" s="2188"/>
      <c r="BS1854" s="34"/>
      <c r="BT1854" s="34"/>
      <c r="BU1854" s="34"/>
      <c r="BV1854" s="34"/>
      <c r="BW1854" s="34"/>
      <c r="BX1854" s="34"/>
      <c r="BY1854" s="34"/>
      <c r="BZ1854" s="34"/>
      <c r="CA1854" s="34"/>
      <c r="CB1854" s="34"/>
      <c r="CC1854" s="34"/>
      <c r="CD1854" s="34"/>
      <c r="CE1854" s="34"/>
      <c r="CF1854" s="34"/>
      <c r="CG1854" s="34"/>
      <c r="CH1854" s="34"/>
      <c r="CI1854" s="34"/>
      <c r="CJ1854" s="34"/>
      <c r="CK1854" s="34"/>
      <c r="CL1854" s="34"/>
      <c r="CM1854" s="34"/>
      <c r="CN1854" s="34"/>
      <c r="CO1854" s="34"/>
      <c r="CP1854" s="34"/>
      <c r="CQ1854" s="34"/>
      <c r="CR1854" s="34"/>
      <c r="CS1854" s="34"/>
    </row>
    <row r="1855" spans="7:97" s="246" customFormat="1" x14ac:dyDescent="0.2">
      <c r="G1855" s="2188"/>
      <c r="BS1855" s="34"/>
      <c r="BT1855" s="34"/>
      <c r="BU1855" s="34"/>
      <c r="BV1855" s="34"/>
      <c r="BW1855" s="34"/>
      <c r="BX1855" s="34"/>
      <c r="BY1855" s="34"/>
      <c r="BZ1855" s="34"/>
      <c r="CA1855" s="34"/>
      <c r="CB1855" s="34"/>
      <c r="CC1855" s="34"/>
      <c r="CD1855" s="34"/>
      <c r="CE1855" s="34"/>
      <c r="CF1855" s="34"/>
      <c r="CG1855" s="34"/>
      <c r="CH1855" s="34"/>
      <c r="CI1855" s="34"/>
      <c r="CJ1855" s="34"/>
      <c r="CK1855" s="34"/>
      <c r="CL1855" s="34"/>
      <c r="CM1855" s="34"/>
      <c r="CN1855" s="34"/>
      <c r="CO1855" s="34"/>
      <c r="CP1855" s="34"/>
      <c r="CQ1855" s="34"/>
      <c r="CR1855" s="34"/>
      <c r="CS1855" s="34"/>
    </row>
    <row r="1856" spans="7:97" s="246" customFormat="1" x14ac:dyDescent="0.2">
      <c r="G1856" s="2188"/>
      <c r="BS1856" s="34"/>
      <c r="BT1856" s="34"/>
      <c r="BU1856" s="34"/>
      <c r="BV1856" s="34"/>
      <c r="BW1856" s="34"/>
      <c r="BX1856" s="34"/>
      <c r="BY1856" s="34"/>
      <c r="BZ1856" s="34"/>
      <c r="CA1856" s="34"/>
      <c r="CB1856" s="34"/>
      <c r="CC1856" s="34"/>
      <c r="CD1856" s="34"/>
      <c r="CE1856" s="34"/>
      <c r="CF1856" s="34"/>
      <c r="CG1856" s="34"/>
      <c r="CH1856" s="34"/>
      <c r="CI1856" s="34"/>
      <c r="CJ1856" s="34"/>
      <c r="CK1856" s="34"/>
      <c r="CL1856" s="34"/>
      <c r="CM1856" s="34"/>
      <c r="CN1856" s="34"/>
      <c r="CO1856" s="34"/>
      <c r="CP1856" s="34"/>
      <c r="CQ1856" s="34"/>
      <c r="CR1856" s="34"/>
      <c r="CS1856" s="34"/>
    </row>
    <row r="1857" spans="7:97" s="246" customFormat="1" x14ac:dyDescent="0.2">
      <c r="G1857" s="2188"/>
      <c r="BS1857" s="34"/>
      <c r="BT1857" s="34"/>
      <c r="BU1857" s="34"/>
      <c r="BV1857" s="34"/>
      <c r="BW1857" s="34"/>
      <c r="BX1857" s="34"/>
      <c r="BY1857" s="34"/>
      <c r="BZ1857" s="34"/>
      <c r="CA1857" s="34"/>
      <c r="CB1857" s="34"/>
      <c r="CC1857" s="34"/>
      <c r="CD1857" s="34"/>
      <c r="CE1857" s="34"/>
      <c r="CF1857" s="34"/>
      <c r="CG1857" s="34"/>
      <c r="CH1857" s="34"/>
      <c r="CI1857" s="34"/>
      <c r="CJ1857" s="34"/>
      <c r="CK1857" s="34"/>
      <c r="CL1857" s="34"/>
      <c r="CM1857" s="34"/>
      <c r="CN1857" s="34"/>
      <c r="CO1857" s="34"/>
      <c r="CP1857" s="34"/>
      <c r="CQ1857" s="34"/>
      <c r="CR1857" s="34"/>
      <c r="CS1857" s="34"/>
    </row>
    <row r="1858" spans="7:97" s="246" customFormat="1" x14ac:dyDescent="0.2">
      <c r="G1858" s="2188"/>
      <c r="BS1858" s="34"/>
      <c r="BT1858" s="34"/>
      <c r="BU1858" s="34"/>
      <c r="BV1858" s="34"/>
      <c r="BW1858" s="34"/>
      <c r="BX1858" s="34"/>
      <c r="BY1858" s="34"/>
      <c r="BZ1858" s="34"/>
      <c r="CA1858" s="34"/>
      <c r="CB1858" s="34"/>
      <c r="CC1858" s="34"/>
      <c r="CD1858" s="34"/>
      <c r="CE1858" s="34"/>
      <c r="CF1858" s="34"/>
      <c r="CG1858" s="34"/>
      <c r="CH1858" s="34"/>
      <c r="CI1858" s="34"/>
      <c r="CJ1858" s="34"/>
      <c r="CK1858" s="34"/>
      <c r="CL1858" s="34"/>
      <c r="CM1858" s="34"/>
      <c r="CN1858" s="34"/>
      <c r="CO1858" s="34"/>
      <c r="CP1858" s="34"/>
      <c r="CQ1858" s="34"/>
      <c r="CR1858" s="34"/>
      <c r="CS1858" s="34"/>
    </row>
    <row r="1859" spans="7:97" s="246" customFormat="1" x14ac:dyDescent="0.2">
      <c r="G1859" s="2188"/>
      <c r="BS1859" s="34"/>
      <c r="BT1859" s="34"/>
      <c r="BU1859" s="34"/>
      <c r="BV1859" s="34"/>
      <c r="BW1859" s="34"/>
      <c r="BX1859" s="34"/>
      <c r="BY1859" s="34"/>
      <c r="BZ1859" s="34"/>
      <c r="CA1859" s="34"/>
      <c r="CB1859" s="34"/>
      <c r="CC1859" s="34"/>
      <c r="CD1859" s="34"/>
      <c r="CE1859" s="34"/>
      <c r="CF1859" s="34"/>
      <c r="CG1859" s="34"/>
      <c r="CH1859" s="34"/>
      <c r="CI1859" s="34"/>
      <c r="CJ1859" s="34"/>
      <c r="CK1859" s="34"/>
      <c r="CL1859" s="34"/>
      <c r="CM1859" s="34"/>
      <c r="CN1859" s="34"/>
      <c r="CO1859" s="34"/>
      <c r="CP1859" s="34"/>
      <c r="CQ1859" s="34"/>
      <c r="CR1859" s="34"/>
      <c r="CS1859" s="34"/>
    </row>
    <row r="1860" spans="7:97" s="246" customFormat="1" x14ac:dyDescent="0.2">
      <c r="G1860" s="2188"/>
      <c r="BS1860" s="34"/>
      <c r="BT1860" s="34"/>
      <c r="BU1860" s="34"/>
      <c r="BV1860" s="34"/>
      <c r="BW1860" s="34"/>
      <c r="BX1860" s="34"/>
      <c r="BY1860" s="34"/>
      <c r="BZ1860" s="34"/>
      <c r="CA1860" s="34"/>
      <c r="CB1860" s="34"/>
      <c r="CC1860" s="34"/>
      <c r="CD1860" s="34"/>
      <c r="CE1860" s="34"/>
      <c r="CF1860" s="34"/>
      <c r="CG1860" s="34"/>
      <c r="CH1860" s="34"/>
      <c r="CI1860" s="34"/>
      <c r="CJ1860" s="34"/>
      <c r="CK1860" s="34"/>
      <c r="CL1860" s="34"/>
      <c r="CM1860" s="34"/>
      <c r="CN1860" s="34"/>
      <c r="CO1860" s="34"/>
      <c r="CP1860" s="34"/>
      <c r="CQ1860" s="34"/>
      <c r="CR1860" s="34"/>
      <c r="CS1860" s="34"/>
    </row>
    <row r="1861" spans="7:97" s="246" customFormat="1" x14ac:dyDescent="0.2">
      <c r="G1861" s="2188"/>
      <c r="BS1861" s="34"/>
      <c r="BT1861" s="34"/>
      <c r="BU1861" s="34"/>
      <c r="BV1861" s="34"/>
      <c r="BW1861" s="34"/>
      <c r="BX1861" s="34"/>
      <c r="BY1861" s="34"/>
      <c r="BZ1861" s="34"/>
      <c r="CA1861" s="34"/>
      <c r="CB1861" s="34"/>
      <c r="CC1861" s="34"/>
      <c r="CD1861" s="34"/>
      <c r="CE1861" s="34"/>
      <c r="CF1861" s="34"/>
      <c r="CG1861" s="34"/>
      <c r="CH1861" s="34"/>
      <c r="CI1861" s="34"/>
      <c r="CJ1861" s="34"/>
      <c r="CK1861" s="34"/>
      <c r="CL1861" s="34"/>
      <c r="CM1861" s="34"/>
      <c r="CN1861" s="34"/>
      <c r="CO1861" s="34"/>
      <c r="CP1861" s="34"/>
      <c r="CQ1861" s="34"/>
      <c r="CR1861" s="34"/>
      <c r="CS1861" s="34"/>
    </row>
    <row r="1862" spans="7:97" s="246" customFormat="1" x14ac:dyDescent="0.2">
      <c r="G1862" s="2188"/>
      <c r="BS1862" s="34"/>
      <c r="BT1862" s="34"/>
      <c r="BU1862" s="34"/>
      <c r="BV1862" s="34"/>
      <c r="BW1862" s="34"/>
      <c r="BX1862" s="34"/>
      <c r="BY1862" s="34"/>
      <c r="BZ1862" s="34"/>
      <c r="CA1862" s="34"/>
      <c r="CB1862" s="34"/>
      <c r="CC1862" s="34"/>
      <c r="CD1862" s="34"/>
      <c r="CE1862" s="34"/>
      <c r="CF1862" s="34"/>
      <c r="CG1862" s="34"/>
      <c r="CH1862" s="34"/>
      <c r="CI1862" s="34"/>
      <c r="CJ1862" s="34"/>
      <c r="CK1862" s="34"/>
      <c r="CL1862" s="34"/>
      <c r="CM1862" s="34"/>
      <c r="CN1862" s="34"/>
      <c r="CO1862" s="34"/>
      <c r="CP1862" s="34"/>
      <c r="CQ1862" s="34"/>
      <c r="CR1862" s="34"/>
      <c r="CS1862" s="34"/>
    </row>
    <row r="1863" spans="7:97" s="246" customFormat="1" x14ac:dyDescent="0.2">
      <c r="G1863" s="2188"/>
      <c r="BS1863" s="34"/>
      <c r="BT1863" s="34"/>
      <c r="BU1863" s="34"/>
      <c r="BV1863" s="34"/>
      <c r="BW1863" s="34"/>
      <c r="BX1863" s="34"/>
      <c r="BY1863" s="34"/>
      <c r="BZ1863" s="34"/>
      <c r="CA1863" s="34"/>
      <c r="CB1863" s="34"/>
      <c r="CC1863" s="34"/>
      <c r="CD1863" s="34"/>
      <c r="CE1863" s="34"/>
      <c r="CF1863" s="34"/>
      <c r="CG1863" s="34"/>
      <c r="CH1863" s="34"/>
      <c r="CI1863" s="34"/>
      <c r="CJ1863" s="34"/>
      <c r="CK1863" s="34"/>
      <c r="CL1863" s="34"/>
      <c r="CM1863" s="34"/>
      <c r="CN1863" s="34"/>
      <c r="CO1863" s="34"/>
      <c r="CP1863" s="34"/>
      <c r="CQ1863" s="34"/>
      <c r="CR1863" s="34"/>
      <c r="CS1863" s="34"/>
    </row>
    <row r="1864" spans="7:97" s="246" customFormat="1" x14ac:dyDescent="0.2">
      <c r="G1864" s="2188"/>
      <c r="BS1864" s="34"/>
      <c r="BT1864" s="34"/>
      <c r="BU1864" s="34"/>
      <c r="BV1864" s="34"/>
      <c r="BW1864" s="34"/>
      <c r="BX1864" s="34"/>
      <c r="BY1864" s="34"/>
      <c r="BZ1864" s="34"/>
      <c r="CA1864" s="34"/>
      <c r="CB1864" s="34"/>
      <c r="CC1864" s="34"/>
      <c r="CD1864" s="34"/>
      <c r="CE1864" s="34"/>
      <c r="CF1864" s="34"/>
      <c r="CG1864" s="34"/>
      <c r="CH1864" s="34"/>
      <c r="CI1864" s="34"/>
      <c r="CJ1864" s="34"/>
      <c r="CK1864" s="34"/>
      <c r="CL1864" s="34"/>
      <c r="CM1864" s="34"/>
      <c r="CN1864" s="34"/>
      <c r="CO1864" s="34"/>
      <c r="CP1864" s="34"/>
      <c r="CQ1864" s="34"/>
      <c r="CR1864" s="34"/>
      <c r="CS1864" s="34"/>
    </row>
    <row r="1865" spans="7:97" s="246" customFormat="1" x14ac:dyDescent="0.2">
      <c r="G1865" s="2188"/>
      <c r="BS1865" s="34"/>
      <c r="BT1865" s="34"/>
      <c r="BU1865" s="34"/>
      <c r="BV1865" s="34"/>
      <c r="BW1865" s="34"/>
      <c r="BX1865" s="34"/>
      <c r="BY1865" s="34"/>
      <c r="BZ1865" s="34"/>
      <c r="CA1865" s="34"/>
      <c r="CB1865" s="34"/>
      <c r="CC1865" s="34"/>
      <c r="CD1865" s="34"/>
      <c r="CE1865" s="34"/>
      <c r="CF1865" s="34"/>
      <c r="CG1865" s="34"/>
      <c r="CH1865" s="34"/>
      <c r="CI1865" s="34"/>
      <c r="CJ1865" s="34"/>
      <c r="CK1865" s="34"/>
      <c r="CL1865" s="34"/>
      <c r="CM1865" s="34"/>
      <c r="CN1865" s="34"/>
      <c r="CO1865" s="34"/>
      <c r="CP1865" s="34"/>
      <c r="CQ1865" s="34"/>
      <c r="CR1865" s="34"/>
      <c r="CS1865" s="34"/>
    </row>
    <row r="1866" spans="7:97" s="246" customFormat="1" x14ac:dyDescent="0.2">
      <c r="G1866" s="2188"/>
      <c r="BS1866" s="34"/>
      <c r="BT1866" s="34"/>
      <c r="BU1866" s="34"/>
      <c r="BV1866" s="34"/>
      <c r="BW1866" s="34"/>
      <c r="BX1866" s="34"/>
      <c r="BY1866" s="34"/>
      <c r="BZ1866" s="34"/>
      <c r="CA1866" s="34"/>
      <c r="CB1866" s="34"/>
      <c r="CC1866" s="34"/>
      <c r="CD1866" s="34"/>
      <c r="CE1866" s="34"/>
      <c r="CF1866" s="34"/>
      <c r="CG1866" s="34"/>
      <c r="CH1866" s="34"/>
      <c r="CI1866" s="34"/>
      <c r="CJ1866" s="34"/>
      <c r="CK1866" s="34"/>
      <c r="CL1866" s="34"/>
      <c r="CM1866" s="34"/>
      <c r="CN1866" s="34"/>
      <c r="CO1866" s="34"/>
      <c r="CP1866" s="34"/>
      <c r="CQ1866" s="34"/>
      <c r="CR1866" s="34"/>
      <c r="CS1866" s="34"/>
    </row>
    <row r="1867" spans="7:97" s="246" customFormat="1" x14ac:dyDescent="0.2">
      <c r="G1867" s="2188"/>
      <c r="BS1867" s="34"/>
      <c r="BT1867" s="34"/>
      <c r="BU1867" s="34"/>
      <c r="BV1867" s="34"/>
      <c r="BW1867" s="34"/>
      <c r="BX1867" s="34"/>
      <c r="BY1867" s="34"/>
      <c r="BZ1867" s="34"/>
      <c r="CA1867" s="34"/>
      <c r="CB1867" s="34"/>
      <c r="CC1867" s="34"/>
      <c r="CD1867" s="34"/>
      <c r="CE1867" s="34"/>
      <c r="CF1867" s="34"/>
      <c r="CG1867" s="34"/>
      <c r="CH1867" s="34"/>
      <c r="CI1867" s="34"/>
      <c r="CJ1867" s="34"/>
      <c r="CK1867" s="34"/>
      <c r="CL1867" s="34"/>
      <c r="CM1867" s="34"/>
      <c r="CN1867" s="34"/>
      <c r="CO1867" s="34"/>
      <c r="CP1867" s="34"/>
      <c r="CQ1867" s="34"/>
      <c r="CR1867" s="34"/>
      <c r="CS1867" s="34"/>
    </row>
    <row r="1868" spans="7:97" s="246" customFormat="1" x14ac:dyDescent="0.2">
      <c r="G1868" s="2188"/>
      <c r="BS1868" s="34"/>
      <c r="BT1868" s="34"/>
      <c r="BU1868" s="34"/>
      <c r="BV1868" s="34"/>
      <c r="BW1868" s="34"/>
      <c r="BX1868" s="34"/>
      <c r="BY1868" s="34"/>
      <c r="BZ1868" s="34"/>
      <c r="CA1868" s="34"/>
      <c r="CB1868" s="34"/>
      <c r="CC1868" s="34"/>
      <c r="CD1868" s="34"/>
      <c r="CE1868" s="34"/>
      <c r="CF1868" s="34"/>
      <c r="CG1868" s="34"/>
      <c r="CH1868" s="34"/>
      <c r="CI1868" s="34"/>
      <c r="CJ1868" s="34"/>
      <c r="CK1868" s="34"/>
      <c r="CL1868" s="34"/>
      <c r="CM1868" s="34"/>
      <c r="CN1868" s="34"/>
      <c r="CO1868" s="34"/>
      <c r="CP1868" s="34"/>
      <c r="CQ1868" s="34"/>
      <c r="CR1868" s="34"/>
      <c r="CS1868" s="34"/>
    </row>
    <row r="1869" spans="7:97" s="246" customFormat="1" x14ac:dyDescent="0.2">
      <c r="G1869" s="2188"/>
      <c r="BS1869" s="34"/>
      <c r="BT1869" s="34"/>
      <c r="BU1869" s="34"/>
      <c r="BV1869" s="34"/>
      <c r="BW1869" s="34"/>
      <c r="BX1869" s="34"/>
      <c r="BY1869" s="34"/>
      <c r="BZ1869" s="34"/>
      <c r="CA1869" s="34"/>
      <c r="CB1869" s="34"/>
      <c r="CC1869" s="34"/>
      <c r="CD1869" s="34"/>
      <c r="CE1869" s="34"/>
      <c r="CF1869" s="34"/>
      <c r="CG1869" s="34"/>
      <c r="CH1869" s="34"/>
      <c r="CI1869" s="34"/>
      <c r="CJ1869" s="34"/>
      <c r="CK1869" s="34"/>
      <c r="CL1869" s="34"/>
      <c r="CM1869" s="34"/>
      <c r="CN1869" s="34"/>
      <c r="CO1869" s="34"/>
      <c r="CP1869" s="34"/>
      <c r="CQ1869" s="34"/>
      <c r="CR1869" s="34"/>
      <c r="CS1869" s="34"/>
    </row>
    <row r="1870" spans="7:97" s="246" customFormat="1" x14ac:dyDescent="0.2">
      <c r="G1870" s="2188"/>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row>
    <row r="1871" spans="7:97" s="246" customFormat="1" x14ac:dyDescent="0.2">
      <c r="G1871" s="2188"/>
      <c r="BS1871" s="34"/>
      <c r="BT1871" s="34"/>
      <c r="BU1871" s="34"/>
      <c r="BV1871" s="34"/>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row>
    <row r="1872" spans="7:97" s="246" customFormat="1" x14ac:dyDescent="0.2">
      <c r="G1872" s="2188"/>
      <c r="BS1872" s="34"/>
      <c r="BT1872" s="34"/>
      <c r="BU1872" s="34"/>
      <c r="BV1872" s="34"/>
      <c r="BW1872" s="34"/>
      <c r="BX1872" s="34"/>
      <c r="BY1872" s="34"/>
      <c r="BZ1872" s="34"/>
      <c r="CA1872" s="34"/>
      <c r="CB1872" s="34"/>
      <c r="CC1872" s="34"/>
      <c r="CD1872" s="34"/>
      <c r="CE1872" s="34"/>
      <c r="CF1872" s="34"/>
      <c r="CG1872" s="34"/>
      <c r="CH1872" s="34"/>
      <c r="CI1872" s="34"/>
      <c r="CJ1872" s="34"/>
      <c r="CK1872" s="34"/>
      <c r="CL1872" s="34"/>
      <c r="CM1872" s="34"/>
      <c r="CN1872" s="34"/>
      <c r="CO1872" s="34"/>
      <c r="CP1872" s="34"/>
      <c r="CQ1872" s="34"/>
      <c r="CR1872" s="34"/>
      <c r="CS1872" s="34"/>
    </row>
    <row r="1873" spans="7:97" s="246" customFormat="1" x14ac:dyDescent="0.2">
      <c r="G1873" s="2188"/>
      <c r="BS1873" s="34"/>
      <c r="BT1873" s="34"/>
      <c r="BU1873" s="34"/>
      <c r="BV1873" s="34"/>
      <c r="BW1873" s="34"/>
      <c r="BX1873" s="34"/>
      <c r="BY1873" s="34"/>
      <c r="BZ1873" s="34"/>
      <c r="CA1873" s="34"/>
      <c r="CB1873" s="34"/>
      <c r="CC1873" s="34"/>
      <c r="CD1873" s="34"/>
      <c r="CE1873" s="34"/>
      <c r="CF1873" s="34"/>
      <c r="CG1873" s="34"/>
      <c r="CH1873" s="34"/>
      <c r="CI1873" s="34"/>
      <c r="CJ1873" s="34"/>
      <c r="CK1873" s="34"/>
      <c r="CL1873" s="34"/>
      <c r="CM1873" s="34"/>
      <c r="CN1873" s="34"/>
      <c r="CO1873" s="34"/>
      <c r="CP1873" s="34"/>
      <c r="CQ1873" s="34"/>
      <c r="CR1873" s="34"/>
      <c r="CS1873" s="34"/>
    </row>
    <row r="1874" spans="7:97" s="246" customFormat="1" x14ac:dyDescent="0.2">
      <c r="G1874" s="2188"/>
      <c r="BS1874" s="34"/>
      <c r="BT1874" s="34"/>
      <c r="BU1874" s="34"/>
      <c r="BV1874" s="34"/>
      <c r="BW1874" s="34"/>
      <c r="BX1874" s="34"/>
      <c r="BY1874" s="34"/>
      <c r="BZ1874" s="34"/>
      <c r="CA1874" s="34"/>
      <c r="CB1874" s="34"/>
      <c r="CC1874" s="34"/>
      <c r="CD1874" s="34"/>
      <c r="CE1874" s="34"/>
      <c r="CF1874" s="34"/>
      <c r="CG1874" s="34"/>
      <c r="CH1874" s="34"/>
      <c r="CI1874" s="34"/>
      <c r="CJ1874" s="34"/>
      <c r="CK1874" s="34"/>
      <c r="CL1874" s="34"/>
      <c r="CM1874" s="34"/>
      <c r="CN1874" s="34"/>
      <c r="CO1874" s="34"/>
      <c r="CP1874" s="34"/>
      <c r="CQ1874" s="34"/>
      <c r="CR1874" s="34"/>
      <c r="CS1874" s="34"/>
    </row>
    <row r="1875" spans="7:97" s="246" customFormat="1" x14ac:dyDescent="0.2">
      <c r="G1875" s="2188"/>
      <c r="BS1875" s="34"/>
      <c r="BT1875" s="34"/>
      <c r="BU1875" s="34"/>
      <c r="BV1875" s="34"/>
      <c r="BW1875" s="34"/>
      <c r="BX1875" s="34"/>
      <c r="BY1875" s="34"/>
      <c r="BZ1875" s="34"/>
      <c r="CA1875" s="34"/>
      <c r="CB1875" s="34"/>
      <c r="CC1875" s="34"/>
      <c r="CD1875" s="34"/>
      <c r="CE1875" s="34"/>
      <c r="CF1875" s="34"/>
      <c r="CG1875" s="34"/>
      <c r="CH1875" s="34"/>
      <c r="CI1875" s="34"/>
      <c r="CJ1875" s="34"/>
      <c r="CK1875" s="34"/>
      <c r="CL1875" s="34"/>
      <c r="CM1875" s="34"/>
      <c r="CN1875" s="34"/>
      <c r="CO1875" s="34"/>
      <c r="CP1875" s="34"/>
      <c r="CQ1875" s="34"/>
      <c r="CR1875" s="34"/>
      <c r="CS1875" s="34"/>
    </row>
    <row r="1876" spans="7:97" s="246" customFormat="1" x14ac:dyDescent="0.2">
      <c r="G1876" s="2188"/>
      <c r="BS1876" s="34"/>
      <c r="BT1876" s="34"/>
      <c r="BU1876" s="34"/>
      <c r="BV1876" s="34"/>
      <c r="BW1876" s="34"/>
      <c r="BX1876" s="34"/>
      <c r="BY1876" s="34"/>
      <c r="BZ1876" s="34"/>
      <c r="CA1876" s="34"/>
      <c r="CB1876" s="34"/>
      <c r="CC1876" s="34"/>
      <c r="CD1876" s="34"/>
      <c r="CE1876" s="34"/>
      <c r="CF1876" s="34"/>
      <c r="CG1876" s="34"/>
      <c r="CH1876" s="34"/>
      <c r="CI1876" s="34"/>
      <c r="CJ1876" s="34"/>
      <c r="CK1876" s="34"/>
      <c r="CL1876" s="34"/>
      <c r="CM1876" s="34"/>
      <c r="CN1876" s="34"/>
      <c r="CO1876" s="34"/>
      <c r="CP1876" s="34"/>
      <c r="CQ1876" s="34"/>
      <c r="CR1876" s="34"/>
      <c r="CS1876" s="34"/>
    </row>
    <row r="1877" spans="7:97" s="246" customFormat="1" x14ac:dyDescent="0.2">
      <c r="G1877" s="2188"/>
      <c r="BS1877" s="34"/>
      <c r="BT1877" s="34"/>
      <c r="BU1877" s="34"/>
      <c r="BV1877" s="34"/>
      <c r="BW1877" s="34"/>
      <c r="BX1877" s="34"/>
      <c r="BY1877" s="34"/>
      <c r="BZ1877" s="34"/>
      <c r="CA1877" s="34"/>
      <c r="CB1877" s="34"/>
      <c r="CC1877" s="34"/>
      <c r="CD1877" s="34"/>
      <c r="CE1877" s="34"/>
      <c r="CF1877" s="34"/>
      <c r="CG1877" s="34"/>
      <c r="CH1877" s="34"/>
      <c r="CI1877" s="34"/>
      <c r="CJ1877" s="34"/>
      <c r="CK1877" s="34"/>
      <c r="CL1877" s="34"/>
      <c r="CM1877" s="34"/>
      <c r="CN1877" s="34"/>
      <c r="CO1877" s="34"/>
      <c r="CP1877" s="34"/>
      <c r="CQ1877" s="34"/>
      <c r="CR1877" s="34"/>
      <c r="CS1877" s="34"/>
    </row>
    <row r="1878" spans="7:97" s="246" customFormat="1" x14ac:dyDescent="0.2">
      <c r="G1878" s="2188"/>
      <c r="BS1878" s="34"/>
      <c r="BT1878" s="34"/>
      <c r="BU1878" s="34"/>
      <c r="BV1878" s="34"/>
      <c r="BW1878" s="34"/>
      <c r="BX1878" s="34"/>
      <c r="BY1878" s="34"/>
      <c r="BZ1878" s="34"/>
      <c r="CA1878" s="34"/>
      <c r="CB1878" s="34"/>
      <c r="CC1878" s="34"/>
      <c r="CD1878" s="34"/>
      <c r="CE1878" s="34"/>
      <c r="CF1878" s="34"/>
      <c r="CG1878" s="34"/>
      <c r="CH1878" s="34"/>
      <c r="CI1878" s="34"/>
      <c r="CJ1878" s="34"/>
      <c r="CK1878" s="34"/>
      <c r="CL1878" s="34"/>
      <c r="CM1878" s="34"/>
      <c r="CN1878" s="34"/>
      <c r="CO1878" s="34"/>
      <c r="CP1878" s="34"/>
      <c r="CQ1878" s="34"/>
      <c r="CR1878" s="34"/>
      <c r="CS1878" s="34"/>
    </row>
    <row r="1879" spans="7:97" s="246" customFormat="1" x14ac:dyDescent="0.2">
      <c r="G1879" s="2188"/>
      <c r="BS1879" s="34"/>
      <c r="BT1879" s="34"/>
      <c r="BU1879" s="34"/>
      <c r="BV1879" s="34"/>
      <c r="BW1879" s="34"/>
      <c r="BX1879" s="34"/>
      <c r="BY1879" s="34"/>
      <c r="BZ1879" s="34"/>
      <c r="CA1879" s="34"/>
      <c r="CB1879" s="34"/>
      <c r="CC1879" s="34"/>
      <c r="CD1879" s="34"/>
      <c r="CE1879" s="34"/>
      <c r="CF1879" s="34"/>
      <c r="CG1879" s="34"/>
      <c r="CH1879" s="34"/>
      <c r="CI1879" s="34"/>
      <c r="CJ1879" s="34"/>
      <c r="CK1879" s="34"/>
      <c r="CL1879" s="34"/>
      <c r="CM1879" s="34"/>
      <c r="CN1879" s="34"/>
      <c r="CO1879" s="34"/>
      <c r="CP1879" s="34"/>
      <c r="CQ1879" s="34"/>
      <c r="CR1879" s="34"/>
      <c r="CS1879" s="34"/>
    </row>
    <row r="1880" spans="7:97" s="246" customFormat="1" x14ac:dyDescent="0.2">
      <c r="G1880" s="2188"/>
      <c r="BS1880" s="34"/>
      <c r="BT1880" s="34"/>
      <c r="BU1880" s="34"/>
      <c r="BV1880" s="34"/>
      <c r="BW1880" s="34"/>
      <c r="BX1880" s="34"/>
      <c r="BY1880" s="34"/>
      <c r="BZ1880" s="34"/>
      <c r="CA1880" s="34"/>
      <c r="CB1880" s="34"/>
      <c r="CC1880" s="34"/>
      <c r="CD1880" s="34"/>
      <c r="CE1880" s="34"/>
      <c r="CF1880" s="34"/>
      <c r="CG1880" s="34"/>
      <c r="CH1880" s="34"/>
      <c r="CI1880" s="34"/>
      <c r="CJ1880" s="34"/>
      <c r="CK1880" s="34"/>
      <c r="CL1880" s="34"/>
      <c r="CM1880" s="34"/>
      <c r="CN1880" s="34"/>
      <c r="CO1880" s="34"/>
      <c r="CP1880" s="34"/>
      <c r="CQ1880" s="34"/>
      <c r="CR1880" s="34"/>
      <c r="CS1880" s="34"/>
    </row>
    <row r="1881" spans="7:97" s="246" customFormat="1" x14ac:dyDescent="0.2">
      <c r="G1881" s="2188"/>
      <c r="BS1881" s="34"/>
      <c r="BT1881" s="34"/>
      <c r="BU1881" s="34"/>
      <c r="BV1881" s="34"/>
      <c r="BW1881" s="34"/>
      <c r="BX1881" s="34"/>
      <c r="BY1881" s="34"/>
      <c r="BZ1881" s="34"/>
      <c r="CA1881" s="34"/>
      <c r="CB1881" s="34"/>
      <c r="CC1881" s="34"/>
      <c r="CD1881" s="34"/>
      <c r="CE1881" s="34"/>
      <c r="CF1881" s="34"/>
      <c r="CG1881" s="34"/>
      <c r="CH1881" s="34"/>
      <c r="CI1881" s="34"/>
      <c r="CJ1881" s="34"/>
      <c r="CK1881" s="34"/>
      <c r="CL1881" s="34"/>
      <c r="CM1881" s="34"/>
      <c r="CN1881" s="34"/>
      <c r="CO1881" s="34"/>
      <c r="CP1881" s="34"/>
      <c r="CQ1881" s="34"/>
      <c r="CR1881" s="34"/>
      <c r="CS1881" s="34"/>
    </row>
    <row r="1882" spans="7:97" s="246" customFormat="1" x14ac:dyDescent="0.2">
      <c r="G1882" s="2188"/>
      <c r="BS1882" s="34"/>
      <c r="BT1882" s="34"/>
      <c r="BU1882" s="34"/>
      <c r="BV1882" s="34"/>
      <c r="BW1882" s="34"/>
      <c r="BX1882" s="34"/>
      <c r="BY1882" s="34"/>
      <c r="BZ1882" s="34"/>
      <c r="CA1882" s="34"/>
      <c r="CB1882" s="34"/>
      <c r="CC1882" s="34"/>
      <c r="CD1882" s="34"/>
      <c r="CE1882" s="34"/>
      <c r="CF1882" s="34"/>
      <c r="CG1882" s="34"/>
      <c r="CH1882" s="34"/>
      <c r="CI1882" s="34"/>
      <c r="CJ1882" s="34"/>
      <c r="CK1882" s="34"/>
      <c r="CL1882" s="34"/>
      <c r="CM1882" s="34"/>
      <c r="CN1882" s="34"/>
      <c r="CO1882" s="34"/>
      <c r="CP1882" s="34"/>
      <c r="CQ1882" s="34"/>
      <c r="CR1882" s="34"/>
      <c r="CS1882" s="34"/>
    </row>
    <row r="1883" spans="7:97" s="246" customFormat="1" x14ac:dyDescent="0.2">
      <c r="G1883" s="2188"/>
      <c r="BS1883" s="34"/>
      <c r="BT1883" s="34"/>
      <c r="BU1883" s="34"/>
      <c r="BV1883" s="34"/>
      <c r="BW1883" s="34"/>
      <c r="BX1883" s="34"/>
      <c r="BY1883" s="34"/>
      <c r="BZ1883" s="34"/>
      <c r="CA1883" s="34"/>
      <c r="CB1883" s="34"/>
      <c r="CC1883" s="34"/>
      <c r="CD1883" s="34"/>
      <c r="CE1883" s="34"/>
      <c r="CF1883" s="34"/>
      <c r="CG1883" s="34"/>
      <c r="CH1883" s="34"/>
      <c r="CI1883" s="34"/>
      <c r="CJ1883" s="34"/>
      <c r="CK1883" s="34"/>
      <c r="CL1883" s="34"/>
      <c r="CM1883" s="34"/>
      <c r="CN1883" s="34"/>
      <c r="CO1883" s="34"/>
      <c r="CP1883" s="34"/>
      <c r="CQ1883" s="34"/>
      <c r="CR1883" s="34"/>
      <c r="CS1883" s="34"/>
    </row>
    <row r="1884" spans="7:97" s="246" customFormat="1" x14ac:dyDescent="0.2">
      <c r="G1884" s="2188"/>
      <c r="BS1884" s="34"/>
      <c r="BT1884" s="34"/>
      <c r="BU1884" s="34"/>
      <c r="BV1884" s="34"/>
      <c r="BW1884" s="34"/>
      <c r="BX1884" s="34"/>
      <c r="BY1884" s="34"/>
      <c r="BZ1884" s="34"/>
      <c r="CA1884" s="34"/>
      <c r="CB1884" s="34"/>
      <c r="CC1884" s="34"/>
      <c r="CD1884" s="34"/>
      <c r="CE1884" s="34"/>
      <c r="CF1884" s="34"/>
      <c r="CG1884" s="34"/>
      <c r="CH1884" s="34"/>
      <c r="CI1884" s="34"/>
      <c r="CJ1884" s="34"/>
      <c r="CK1884" s="34"/>
      <c r="CL1884" s="34"/>
      <c r="CM1884" s="34"/>
      <c r="CN1884" s="34"/>
      <c r="CO1884" s="34"/>
      <c r="CP1884" s="34"/>
      <c r="CQ1884" s="34"/>
      <c r="CR1884" s="34"/>
      <c r="CS1884" s="34"/>
    </row>
    <row r="1885" spans="7:97" s="246" customFormat="1" x14ac:dyDescent="0.2">
      <c r="G1885" s="2188"/>
      <c r="BS1885" s="34"/>
      <c r="BT1885" s="34"/>
      <c r="BU1885" s="34"/>
      <c r="BV1885" s="34"/>
      <c r="BW1885" s="34"/>
      <c r="BX1885" s="34"/>
      <c r="BY1885" s="34"/>
      <c r="BZ1885" s="34"/>
      <c r="CA1885" s="34"/>
      <c r="CB1885" s="34"/>
      <c r="CC1885" s="34"/>
      <c r="CD1885" s="34"/>
      <c r="CE1885" s="34"/>
      <c r="CF1885" s="34"/>
      <c r="CG1885" s="34"/>
      <c r="CH1885" s="34"/>
      <c r="CI1885" s="34"/>
      <c r="CJ1885" s="34"/>
      <c r="CK1885" s="34"/>
      <c r="CL1885" s="34"/>
      <c r="CM1885" s="34"/>
      <c r="CN1885" s="34"/>
      <c r="CO1885" s="34"/>
      <c r="CP1885" s="34"/>
      <c r="CQ1885" s="34"/>
      <c r="CR1885" s="34"/>
      <c r="CS1885" s="34"/>
    </row>
    <row r="1886" spans="7:97" s="246" customFormat="1" x14ac:dyDescent="0.2">
      <c r="G1886" s="2188"/>
      <c r="BS1886" s="34"/>
      <c r="BT1886" s="34"/>
      <c r="BU1886" s="34"/>
      <c r="BV1886" s="34"/>
      <c r="BW1886" s="34"/>
      <c r="BX1886" s="34"/>
      <c r="BY1886" s="34"/>
      <c r="BZ1886" s="34"/>
      <c r="CA1886" s="34"/>
      <c r="CB1886" s="34"/>
      <c r="CC1886" s="34"/>
      <c r="CD1886" s="34"/>
      <c r="CE1886" s="34"/>
      <c r="CF1886" s="34"/>
      <c r="CG1886" s="34"/>
      <c r="CH1886" s="34"/>
      <c r="CI1886" s="34"/>
      <c r="CJ1886" s="34"/>
      <c r="CK1886" s="34"/>
      <c r="CL1886" s="34"/>
      <c r="CM1886" s="34"/>
      <c r="CN1886" s="34"/>
      <c r="CO1886" s="34"/>
      <c r="CP1886" s="34"/>
      <c r="CQ1886" s="34"/>
      <c r="CR1886" s="34"/>
      <c r="CS1886" s="34"/>
    </row>
    <row r="1887" spans="7:97" s="246" customFormat="1" x14ac:dyDescent="0.2">
      <c r="G1887" s="2188"/>
      <c r="BS1887" s="34"/>
      <c r="BT1887" s="34"/>
      <c r="BU1887" s="34"/>
      <c r="BV1887" s="34"/>
      <c r="BW1887" s="34"/>
      <c r="BX1887" s="34"/>
      <c r="BY1887" s="34"/>
      <c r="BZ1887" s="34"/>
      <c r="CA1887" s="34"/>
      <c r="CB1887" s="34"/>
      <c r="CC1887" s="34"/>
      <c r="CD1887" s="34"/>
      <c r="CE1887" s="34"/>
      <c r="CF1887" s="34"/>
      <c r="CG1887" s="34"/>
      <c r="CH1887" s="34"/>
      <c r="CI1887" s="34"/>
      <c r="CJ1887" s="34"/>
      <c r="CK1887" s="34"/>
      <c r="CL1887" s="34"/>
      <c r="CM1887" s="34"/>
      <c r="CN1887" s="34"/>
      <c r="CO1887" s="34"/>
      <c r="CP1887" s="34"/>
      <c r="CQ1887" s="34"/>
      <c r="CR1887" s="34"/>
      <c r="CS1887" s="34"/>
    </row>
    <row r="1888" spans="7:97" s="246" customFormat="1" x14ac:dyDescent="0.2">
      <c r="G1888" s="2188"/>
      <c r="BS1888" s="34"/>
      <c r="BT1888" s="34"/>
      <c r="BU1888" s="34"/>
      <c r="BV1888" s="34"/>
      <c r="BW1888" s="34"/>
      <c r="BX1888" s="34"/>
      <c r="BY1888" s="34"/>
      <c r="BZ1888" s="34"/>
      <c r="CA1888" s="34"/>
      <c r="CB1888" s="34"/>
      <c r="CC1888" s="34"/>
      <c r="CD1888" s="34"/>
      <c r="CE1888" s="34"/>
      <c r="CF1888" s="34"/>
      <c r="CG1888" s="34"/>
      <c r="CH1888" s="34"/>
      <c r="CI1888" s="34"/>
      <c r="CJ1888" s="34"/>
      <c r="CK1888" s="34"/>
      <c r="CL1888" s="34"/>
      <c r="CM1888" s="34"/>
      <c r="CN1888" s="34"/>
      <c r="CO1888" s="34"/>
      <c r="CP1888" s="34"/>
      <c r="CQ1888" s="34"/>
      <c r="CR1888" s="34"/>
      <c r="CS1888" s="34"/>
    </row>
    <row r="1889" spans="7:97" s="246" customFormat="1" x14ac:dyDescent="0.2">
      <c r="G1889" s="2188"/>
      <c r="BS1889" s="34"/>
      <c r="BT1889" s="34"/>
      <c r="BU1889" s="34"/>
      <c r="BV1889" s="34"/>
      <c r="BW1889" s="34"/>
      <c r="BX1889" s="34"/>
      <c r="BY1889" s="34"/>
      <c r="BZ1889" s="34"/>
      <c r="CA1889" s="34"/>
      <c r="CB1889" s="34"/>
      <c r="CC1889" s="34"/>
      <c r="CD1889" s="34"/>
      <c r="CE1889" s="34"/>
      <c r="CF1889" s="34"/>
      <c r="CG1889" s="34"/>
      <c r="CH1889" s="34"/>
      <c r="CI1889" s="34"/>
      <c r="CJ1889" s="34"/>
      <c r="CK1889" s="34"/>
      <c r="CL1889" s="34"/>
      <c r="CM1889" s="34"/>
      <c r="CN1889" s="34"/>
      <c r="CO1889" s="34"/>
      <c r="CP1889" s="34"/>
      <c r="CQ1889" s="34"/>
      <c r="CR1889" s="34"/>
      <c r="CS1889" s="34"/>
    </row>
    <row r="1890" spans="7:97" s="246" customFormat="1" x14ac:dyDescent="0.2">
      <c r="G1890" s="2188"/>
      <c r="BS1890" s="34"/>
      <c r="BT1890" s="34"/>
      <c r="BU1890" s="34"/>
      <c r="BV1890" s="34"/>
      <c r="BW1890" s="34"/>
      <c r="BX1890" s="34"/>
      <c r="BY1890" s="34"/>
      <c r="BZ1890" s="34"/>
      <c r="CA1890" s="34"/>
      <c r="CB1890" s="34"/>
      <c r="CC1890" s="34"/>
      <c r="CD1890" s="34"/>
      <c r="CE1890" s="34"/>
      <c r="CF1890" s="34"/>
      <c r="CG1890" s="34"/>
      <c r="CH1890" s="34"/>
      <c r="CI1890" s="34"/>
      <c r="CJ1890" s="34"/>
      <c r="CK1890" s="34"/>
      <c r="CL1890" s="34"/>
      <c r="CM1890" s="34"/>
      <c r="CN1890" s="34"/>
      <c r="CO1890" s="34"/>
      <c r="CP1890" s="34"/>
      <c r="CQ1890" s="34"/>
      <c r="CR1890" s="34"/>
      <c r="CS1890" s="34"/>
    </row>
    <row r="1891" spans="7:97" s="246" customFormat="1" x14ac:dyDescent="0.2">
      <c r="G1891" s="2188"/>
      <c r="BS1891" s="34"/>
      <c r="BT1891" s="34"/>
      <c r="BU1891" s="34"/>
      <c r="BV1891" s="34"/>
      <c r="BW1891" s="34"/>
      <c r="BX1891" s="34"/>
      <c r="BY1891" s="34"/>
      <c r="BZ1891" s="34"/>
      <c r="CA1891" s="34"/>
      <c r="CB1891" s="34"/>
      <c r="CC1891" s="34"/>
      <c r="CD1891" s="34"/>
      <c r="CE1891" s="34"/>
      <c r="CF1891" s="34"/>
      <c r="CG1891" s="34"/>
      <c r="CH1891" s="34"/>
      <c r="CI1891" s="34"/>
      <c r="CJ1891" s="34"/>
      <c r="CK1891" s="34"/>
      <c r="CL1891" s="34"/>
      <c r="CM1891" s="34"/>
      <c r="CN1891" s="34"/>
      <c r="CO1891" s="34"/>
      <c r="CP1891" s="34"/>
      <c r="CQ1891" s="34"/>
      <c r="CR1891" s="34"/>
      <c r="CS1891" s="34"/>
    </row>
    <row r="1892" spans="7:97" s="246" customFormat="1" x14ac:dyDescent="0.2">
      <c r="G1892" s="2188"/>
      <c r="BS1892" s="34"/>
      <c r="BT1892" s="34"/>
      <c r="BU1892" s="34"/>
      <c r="BV1892" s="34"/>
      <c r="BW1892" s="34"/>
      <c r="BX1892" s="34"/>
      <c r="BY1892" s="34"/>
      <c r="BZ1892" s="34"/>
      <c r="CA1892" s="34"/>
      <c r="CB1892" s="34"/>
      <c r="CC1892" s="34"/>
      <c r="CD1892" s="34"/>
      <c r="CE1892" s="34"/>
      <c r="CF1892" s="34"/>
      <c r="CG1892" s="34"/>
      <c r="CH1892" s="34"/>
      <c r="CI1892" s="34"/>
      <c r="CJ1892" s="34"/>
      <c r="CK1892" s="34"/>
      <c r="CL1892" s="34"/>
      <c r="CM1892" s="34"/>
      <c r="CN1892" s="34"/>
      <c r="CO1892" s="34"/>
      <c r="CP1892" s="34"/>
      <c r="CQ1892" s="34"/>
      <c r="CR1892" s="34"/>
      <c r="CS1892" s="34"/>
    </row>
    <row r="1893" spans="7:97" s="246" customFormat="1" x14ac:dyDescent="0.2">
      <c r="G1893" s="2188"/>
      <c r="BS1893" s="34"/>
      <c r="BT1893" s="34"/>
      <c r="BU1893" s="34"/>
      <c r="BV1893" s="34"/>
      <c r="BW1893" s="34"/>
      <c r="BX1893" s="34"/>
      <c r="BY1893" s="34"/>
      <c r="BZ1893" s="34"/>
      <c r="CA1893" s="34"/>
      <c r="CB1893" s="34"/>
      <c r="CC1893" s="34"/>
      <c r="CD1893" s="34"/>
      <c r="CE1893" s="34"/>
      <c r="CF1893" s="34"/>
      <c r="CG1893" s="34"/>
      <c r="CH1893" s="34"/>
      <c r="CI1893" s="34"/>
      <c r="CJ1893" s="34"/>
      <c r="CK1893" s="34"/>
      <c r="CL1893" s="34"/>
      <c r="CM1893" s="34"/>
      <c r="CN1893" s="34"/>
      <c r="CO1893" s="34"/>
      <c r="CP1893" s="34"/>
      <c r="CQ1893" s="34"/>
      <c r="CR1893" s="34"/>
      <c r="CS1893" s="34"/>
    </row>
    <row r="1894" spans="7:97" s="246" customFormat="1" x14ac:dyDescent="0.2">
      <c r="G1894" s="2188"/>
      <c r="BS1894" s="34"/>
      <c r="BT1894" s="34"/>
      <c r="BU1894" s="34"/>
      <c r="BV1894" s="34"/>
      <c r="BW1894" s="34"/>
      <c r="BX1894" s="34"/>
      <c r="BY1894" s="34"/>
      <c r="BZ1894" s="34"/>
      <c r="CA1894" s="34"/>
      <c r="CB1894" s="34"/>
      <c r="CC1894" s="34"/>
      <c r="CD1894" s="34"/>
      <c r="CE1894" s="34"/>
      <c r="CF1894" s="34"/>
      <c r="CG1894" s="34"/>
      <c r="CH1894" s="34"/>
      <c r="CI1894" s="34"/>
      <c r="CJ1894" s="34"/>
      <c r="CK1894" s="34"/>
      <c r="CL1894" s="34"/>
      <c r="CM1894" s="34"/>
      <c r="CN1894" s="34"/>
      <c r="CO1894" s="34"/>
      <c r="CP1894" s="34"/>
      <c r="CQ1894" s="34"/>
      <c r="CR1894" s="34"/>
      <c r="CS1894" s="34"/>
    </row>
    <row r="1895" spans="7:97" s="246" customFormat="1" x14ac:dyDescent="0.2">
      <c r="G1895" s="2188"/>
      <c r="BS1895" s="34"/>
      <c r="BT1895" s="34"/>
      <c r="BU1895" s="34"/>
      <c r="BV1895" s="34"/>
      <c r="BW1895" s="34"/>
      <c r="BX1895" s="34"/>
      <c r="BY1895" s="34"/>
      <c r="BZ1895" s="34"/>
      <c r="CA1895" s="34"/>
      <c r="CB1895" s="34"/>
      <c r="CC1895" s="34"/>
      <c r="CD1895" s="34"/>
      <c r="CE1895" s="34"/>
      <c r="CF1895" s="34"/>
      <c r="CG1895" s="34"/>
      <c r="CH1895" s="34"/>
      <c r="CI1895" s="34"/>
      <c r="CJ1895" s="34"/>
      <c r="CK1895" s="34"/>
      <c r="CL1895" s="34"/>
      <c r="CM1895" s="34"/>
      <c r="CN1895" s="34"/>
      <c r="CO1895" s="34"/>
      <c r="CP1895" s="34"/>
      <c r="CQ1895" s="34"/>
      <c r="CR1895" s="34"/>
      <c r="CS1895" s="34"/>
    </row>
    <row r="1896" spans="7:97" s="246" customFormat="1" x14ac:dyDescent="0.2">
      <c r="G1896" s="2188"/>
      <c r="BS1896" s="34"/>
      <c r="BT1896" s="34"/>
      <c r="BU1896" s="34"/>
      <c r="BV1896" s="34"/>
      <c r="BW1896" s="34"/>
      <c r="BX1896" s="34"/>
      <c r="BY1896" s="34"/>
      <c r="BZ1896" s="34"/>
      <c r="CA1896" s="34"/>
      <c r="CB1896" s="34"/>
      <c r="CC1896" s="34"/>
      <c r="CD1896" s="34"/>
      <c r="CE1896" s="34"/>
      <c r="CF1896" s="34"/>
      <c r="CG1896" s="34"/>
      <c r="CH1896" s="34"/>
      <c r="CI1896" s="34"/>
      <c r="CJ1896" s="34"/>
      <c r="CK1896" s="34"/>
      <c r="CL1896" s="34"/>
      <c r="CM1896" s="34"/>
      <c r="CN1896" s="34"/>
      <c r="CO1896" s="34"/>
      <c r="CP1896" s="34"/>
      <c r="CQ1896" s="34"/>
      <c r="CR1896" s="34"/>
      <c r="CS1896" s="34"/>
    </row>
    <row r="1897" spans="7:97" s="246" customFormat="1" x14ac:dyDescent="0.2">
      <c r="G1897" s="2188"/>
      <c r="BS1897" s="34"/>
      <c r="BT1897" s="34"/>
      <c r="BU1897" s="34"/>
      <c r="BV1897" s="34"/>
      <c r="BW1897" s="34"/>
      <c r="BX1897" s="34"/>
      <c r="BY1897" s="34"/>
      <c r="BZ1897" s="34"/>
      <c r="CA1897" s="34"/>
      <c r="CB1897" s="34"/>
      <c r="CC1897" s="34"/>
      <c r="CD1897" s="34"/>
      <c r="CE1897" s="34"/>
      <c r="CF1897" s="34"/>
      <c r="CG1897" s="34"/>
      <c r="CH1897" s="34"/>
      <c r="CI1897" s="34"/>
      <c r="CJ1897" s="34"/>
      <c r="CK1897" s="34"/>
      <c r="CL1897" s="34"/>
      <c r="CM1897" s="34"/>
      <c r="CN1897" s="34"/>
      <c r="CO1897" s="34"/>
      <c r="CP1897" s="34"/>
      <c r="CQ1897" s="34"/>
      <c r="CR1897" s="34"/>
      <c r="CS1897" s="34"/>
    </row>
    <row r="1898" spans="7:97" s="246" customFormat="1" x14ac:dyDescent="0.2">
      <c r="G1898" s="2188"/>
      <c r="BS1898" s="34"/>
      <c r="BT1898" s="34"/>
      <c r="BU1898" s="34"/>
      <c r="BV1898" s="34"/>
      <c r="BW1898" s="34"/>
      <c r="BX1898" s="34"/>
      <c r="BY1898" s="34"/>
      <c r="BZ1898" s="34"/>
      <c r="CA1898" s="34"/>
      <c r="CB1898" s="34"/>
      <c r="CC1898" s="34"/>
      <c r="CD1898" s="34"/>
      <c r="CE1898" s="34"/>
      <c r="CF1898" s="34"/>
      <c r="CG1898" s="34"/>
      <c r="CH1898" s="34"/>
      <c r="CI1898" s="34"/>
      <c r="CJ1898" s="34"/>
      <c r="CK1898" s="34"/>
      <c r="CL1898" s="34"/>
      <c r="CM1898" s="34"/>
      <c r="CN1898" s="34"/>
      <c r="CO1898" s="34"/>
      <c r="CP1898" s="34"/>
      <c r="CQ1898" s="34"/>
      <c r="CR1898" s="34"/>
      <c r="CS1898" s="34"/>
    </row>
    <row r="1899" spans="7:97" s="246" customFormat="1" x14ac:dyDescent="0.2">
      <c r="G1899" s="2188"/>
      <c r="BS1899" s="34"/>
      <c r="BT1899" s="34"/>
      <c r="BU1899" s="34"/>
      <c r="BV1899" s="34"/>
      <c r="BW1899" s="34"/>
      <c r="BX1899" s="34"/>
      <c r="BY1899" s="34"/>
      <c r="BZ1899" s="34"/>
      <c r="CA1899" s="34"/>
      <c r="CB1899" s="34"/>
      <c r="CC1899" s="34"/>
      <c r="CD1899" s="34"/>
      <c r="CE1899" s="34"/>
      <c r="CF1899" s="34"/>
      <c r="CG1899" s="34"/>
      <c r="CH1899" s="34"/>
      <c r="CI1899" s="34"/>
      <c r="CJ1899" s="34"/>
      <c r="CK1899" s="34"/>
      <c r="CL1899" s="34"/>
      <c r="CM1899" s="34"/>
      <c r="CN1899" s="34"/>
      <c r="CO1899" s="34"/>
      <c r="CP1899" s="34"/>
      <c r="CQ1899" s="34"/>
      <c r="CR1899" s="34"/>
      <c r="CS1899" s="34"/>
    </row>
    <row r="1900" spans="7:97" s="246" customFormat="1" x14ac:dyDescent="0.2">
      <c r="G1900" s="2188"/>
      <c r="BS1900" s="34"/>
      <c r="BT1900" s="34"/>
      <c r="BU1900" s="34"/>
      <c r="BV1900" s="34"/>
      <c r="BW1900" s="34"/>
      <c r="BX1900" s="34"/>
      <c r="BY1900" s="34"/>
      <c r="BZ1900" s="34"/>
      <c r="CA1900" s="34"/>
      <c r="CB1900" s="34"/>
      <c r="CC1900" s="34"/>
      <c r="CD1900" s="34"/>
      <c r="CE1900" s="34"/>
      <c r="CF1900" s="34"/>
      <c r="CG1900" s="34"/>
      <c r="CH1900" s="34"/>
      <c r="CI1900" s="34"/>
      <c r="CJ1900" s="34"/>
      <c r="CK1900" s="34"/>
      <c r="CL1900" s="34"/>
      <c r="CM1900" s="34"/>
      <c r="CN1900" s="34"/>
      <c r="CO1900" s="34"/>
      <c r="CP1900" s="34"/>
      <c r="CQ1900" s="34"/>
      <c r="CR1900" s="34"/>
      <c r="CS1900" s="34"/>
    </row>
    <row r="1901" spans="7:97" s="246" customFormat="1" x14ac:dyDescent="0.2">
      <c r="G1901" s="2188"/>
      <c r="BS1901" s="34"/>
      <c r="BT1901" s="34"/>
      <c r="BU1901" s="34"/>
      <c r="BV1901" s="34"/>
      <c r="BW1901" s="34"/>
      <c r="BX1901" s="34"/>
      <c r="BY1901" s="34"/>
      <c r="BZ1901" s="34"/>
      <c r="CA1901" s="34"/>
      <c r="CB1901" s="34"/>
      <c r="CC1901" s="34"/>
      <c r="CD1901" s="34"/>
      <c r="CE1901" s="34"/>
      <c r="CF1901" s="34"/>
      <c r="CG1901" s="34"/>
      <c r="CH1901" s="34"/>
      <c r="CI1901" s="34"/>
      <c r="CJ1901" s="34"/>
      <c r="CK1901" s="34"/>
      <c r="CL1901" s="34"/>
      <c r="CM1901" s="34"/>
      <c r="CN1901" s="34"/>
      <c r="CO1901" s="34"/>
      <c r="CP1901" s="34"/>
      <c r="CQ1901" s="34"/>
      <c r="CR1901" s="34"/>
      <c r="CS1901" s="34"/>
    </row>
    <row r="1902" spans="7:97" s="246" customFormat="1" x14ac:dyDescent="0.2">
      <c r="G1902" s="2188"/>
      <c r="BS1902" s="34"/>
      <c r="BT1902" s="34"/>
      <c r="BU1902" s="34"/>
      <c r="BV1902" s="34"/>
      <c r="BW1902" s="34"/>
      <c r="BX1902" s="34"/>
      <c r="BY1902" s="34"/>
      <c r="BZ1902" s="34"/>
      <c r="CA1902" s="34"/>
      <c r="CB1902" s="34"/>
      <c r="CC1902" s="34"/>
      <c r="CD1902" s="34"/>
      <c r="CE1902" s="34"/>
      <c r="CF1902" s="34"/>
      <c r="CG1902" s="34"/>
      <c r="CH1902" s="34"/>
      <c r="CI1902" s="34"/>
      <c r="CJ1902" s="34"/>
      <c r="CK1902" s="34"/>
      <c r="CL1902" s="34"/>
      <c r="CM1902" s="34"/>
      <c r="CN1902" s="34"/>
      <c r="CO1902" s="34"/>
      <c r="CP1902" s="34"/>
      <c r="CQ1902" s="34"/>
      <c r="CR1902" s="34"/>
      <c r="CS1902" s="34"/>
    </row>
    <row r="1903" spans="7:97" s="246" customFormat="1" x14ac:dyDescent="0.2">
      <c r="G1903" s="2188"/>
      <c r="BS1903" s="34"/>
      <c r="BT1903" s="34"/>
      <c r="BU1903" s="34"/>
      <c r="BV1903" s="34"/>
      <c r="BW1903" s="34"/>
      <c r="BX1903" s="34"/>
      <c r="BY1903" s="34"/>
      <c r="BZ1903" s="34"/>
      <c r="CA1903" s="34"/>
      <c r="CB1903" s="34"/>
      <c r="CC1903" s="34"/>
      <c r="CD1903" s="34"/>
      <c r="CE1903" s="34"/>
      <c r="CF1903" s="34"/>
      <c r="CG1903" s="34"/>
      <c r="CH1903" s="34"/>
      <c r="CI1903" s="34"/>
      <c r="CJ1903" s="34"/>
      <c r="CK1903" s="34"/>
      <c r="CL1903" s="34"/>
      <c r="CM1903" s="34"/>
      <c r="CN1903" s="34"/>
      <c r="CO1903" s="34"/>
      <c r="CP1903" s="34"/>
      <c r="CQ1903" s="34"/>
      <c r="CR1903" s="34"/>
      <c r="CS1903" s="34"/>
    </row>
    <row r="1904" spans="7:97" s="246" customFormat="1" x14ac:dyDescent="0.2">
      <c r="G1904" s="2188"/>
      <c r="BS1904" s="34"/>
      <c r="BT1904" s="34"/>
      <c r="BU1904" s="34"/>
      <c r="BV1904" s="34"/>
      <c r="BW1904" s="34"/>
      <c r="BX1904" s="34"/>
      <c r="BY1904" s="34"/>
      <c r="BZ1904" s="34"/>
      <c r="CA1904" s="34"/>
      <c r="CB1904" s="34"/>
      <c r="CC1904" s="34"/>
      <c r="CD1904" s="34"/>
      <c r="CE1904" s="34"/>
      <c r="CF1904" s="34"/>
      <c r="CG1904" s="34"/>
      <c r="CH1904" s="34"/>
      <c r="CI1904" s="34"/>
      <c r="CJ1904" s="34"/>
      <c r="CK1904" s="34"/>
      <c r="CL1904" s="34"/>
      <c r="CM1904" s="34"/>
      <c r="CN1904" s="34"/>
      <c r="CO1904" s="34"/>
      <c r="CP1904" s="34"/>
      <c r="CQ1904" s="34"/>
      <c r="CR1904" s="34"/>
      <c r="CS1904" s="34"/>
    </row>
    <row r="1905" spans="7:97" s="246" customFormat="1" x14ac:dyDescent="0.2">
      <c r="G1905" s="2188"/>
      <c r="BS1905" s="34"/>
      <c r="BT1905" s="34"/>
      <c r="BU1905" s="34"/>
      <c r="BV1905" s="34"/>
      <c r="BW1905" s="34"/>
      <c r="BX1905" s="34"/>
      <c r="BY1905" s="34"/>
      <c r="BZ1905" s="34"/>
      <c r="CA1905" s="34"/>
      <c r="CB1905" s="34"/>
      <c r="CC1905" s="34"/>
      <c r="CD1905" s="34"/>
      <c r="CE1905" s="34"/>
      <c r="CF1905" s="34"/>
      <c r="CG1905" s="34"/>
      <c r="CH1905" s="34"/>
      <c r="CI1905" s="34"/>
      <c r="CJ1905" s="34"/>
      <c r="CK1905" s="34"/>
      <c r="CL1905" s="34"/>
      <c r="CM1905" s="34"/>
      <c r="CN1905" s="34"/>
      <c r="CO1905" s="34"/>
      <c r="CP1905" s="34"/>
      <c r="CQ1905" s="34"/>
      <c r="CR1905" s="34"/>
      <c r="CS1905" s="34"/>
    </row>
    <row r="1906" spans="7:97" s="246" customFormat="1" x14ac:dyDescent="0.2">
      <c r="G1906" s="2188"/>
      <c r="BS1906" s="34"/>
      <c r="BT1906" s="34"/>
      <c r="BU1906" s="34"/>
      <c r="BV1906" s="34"/>
      <c r="BW1906" s="34"/>
      <c r="BX1906" s="34"/>
      <c r="BY1906" s="34"/>
      <c r="BZ1906" s="34"/>
      <c r="CA1906" s="34"/>
      <c r="CB1906" s="34"/>
      <c r="CC1906" s="34"/>
      <c r="CD1906" s="34"/>
      <c r="CE1906" s="34"/>
      <c r="CF1906" s="34"/>
      <c r="CG1906" s="34"/>
      <c r="CH1906" s="34"/>
      <c r="CI1906" s="34"/>
      <c r="CJ1906" s="34"/>
      <c r="CK1906" s="34"/>
      <c r="CL1906" s="34"/>
      <c r="CM1906" s="34"/>
      <c r="CN1906" s="34"/>
      <c r="CO1906" s="34"/>
      <c r="CP1906" s="34"/>
      <c r="CQ1906" s="34"/>
      <c r="CR1906" s="34"/>
      <c r="CS1906" s="34"/>
    </row>
    <row r="1907" spans="7:97" s="246" customFormat="1" x14ac:dyDescent="0.2">
      <c r="G1907" s="2188"/>
      <c r="BS1907" s="34"/>
      <c r="BT1907" s="34"/>
      <c r="BU1907" s="34"/>
      <c r="BV1907" s="34"/>
      <c r="BW1907" s="34"/>
      <c r="BX1907" s="34"/>
      <c r="BY1907" s="34"/>
      <c r="BZ1907" s="34"/>
      <c r="CA1907" s="34"/>
      <c r="CB1907" s="34"/>
      <c r="CC1907" s="34"/>
      <c r="CD1907" s="34"/>
      <c r="CE1907" s="34"/>
      <c r="CF1907" s="34"/>
      <c r="CG1907" s="34"/>
      <c r="CH1907" s="34"/>
      <c r="CI1907" s="34"/>
      <c r="CJ1907" s="34"/>
      <c r="CK1907" s="34"/>
      <c r="CL1907" s="34"/>
      <c r="CM1907" s="34"/>
      <c r="CN1907" s="34"/>
      <c r="CO1907" s="34"/>
      <c r="CP1907" s="34"/>
      <c r="CQ1907" s="34"/>
      <c r="CR1907" s="34"/>
      <c r="CS1907" s="34"/>
    </row>
    <row r="1908" spans="7:97" s="246" customFormat="1" x14ac:dyDescent="0.2">
      <c r="G1908" s="2188"/>
      <c r="BS1908" s="34"/>
      <c r="BT1908" s="34"/>
      <c r="BU1908" s="34"/>
      <c r="BV1908" s="34"/>
      <c r="BW1908" s="34"/>
      <c r="BX1908" s="34"/>
      <c r="BY1908" s="34"/>
      <c r="BZ1908" s="34"/>
      <c r="CA1908" s="34"/>
      <c r="CB1908" s="34"/>
      <c r="CC1908" s="34"/>
      <c r="CD1908" s="34"/>
      <c r="CE1908" s="34"/>
      <c r="CF1908" s="34"/>
      <c r="CG1908" s="34"/>
      <c r="CH1908" s="34"/>
      <c r="CI1908" s="34"/>
      <c r="CJ1908" s="34"/>
      <c r="CK1908" s="34"/>
      <c r="CL1908" s="34"/>
      <c r="CM1908" s="34"/>
      <c r="CN1908" s="34"/>
      <c r="CO1908" s="34"/>
      <c r="CP1908" s="34"/>
      <c r="CQ1908" s="34"/>
      <c r="CR1908" s="34"/>
      <c r="CS1908" s="34"/>
    </row>
    <row r="1909" spans="7:97" s="246" customFormat="1" x14ac:dyDescent="0.2">
      <c r="G1909" s="2188"/>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row>
    <row r="1910" spans="7:97" s="246" customFormat="1" x14ac:dyDescent="0.2">
      <c r="G1910" s="2188"/>
      <c r="BS1910" s="34"/>
      <c r="BT1910" s="34"/>
      <c r="BU1910" s="34"/>
      <c r="BV1910" s="34"/>
      <c r="BW1910" s="34"/>
      <c r="BX1910" s="34"/>
      <c r="BY1910" s="34"/>
      <c r="BZ1910" s="34"/>
      <c r="CA1910" s="34"/>
      <c r="CB1910" s="34"/>
      <c r="CC1910" s="34"/>
      <c r="CD1910" s="34"/>
      <c r="CE1910" s="34"/>
      <c r="CF1910" s="34"/>
      <c r="CG1910" s="34"/>
      <c r="CH1910" s="34"/>
      <c r="CI1910" s="34"/>
      <c r="CJ1910" s="34"/>
      <c r="CK1910" s="34"/>
      <c r="CL1910" s="34"/>
      <c r="CM1910" s="34"/>
      <c r="CN1910" s="34"/>
      <c r="CO1910" s="34"/>
      <c r="CP1910" s="34"/>
      <c r="CQ1910" s="34"/>
      <c r="CR1910" s="34"/>
      <c r="CS1910" s="34"/>
    </row>
    <row r="1911" spans="7:97" s="246" customFormat="1" x14ac:dyDescent="0.2">
      <c r="G1911" s="2188"/>
      <c r="BS1911" s="34"/>
      <c r="BT1911" s="34"/>
      <c r="BU1911" s="34"/>
      <c r="BV1911" s="34"/>
      <c r="BW1911" s="34"/>
      <c r="BX1911" s="34"/>
      <c r="BY1911" s="34"/>
      <c r="BZ1911" s="34"/>
      <c r="CA1911" s="34"/>
      <c r="CB1911" s="34"/>
      <c r="CC1911" s="34"/>
      <c r="CD1911" s="34"/>
      <c r="CE1911" s="34"/>
      <c r="CF1911" s="34"/>
      <c r="CG1911" s="34"/>
      <c r="CH1911" s="34"/>
      <c r="CI1911" s="34"/>
      <c r="CJ1911" s="34"/>
      <c r="CK1911" s="34"/>
      <c r="CL1911" s="34"/>
      <c r="CM1911" s="34"/>
      <c r="CN1911" s="34"/>
      <c r="CO1911" s="34"/>
      <c r="CP1911" s="34"/>
      <c r="CQ1911" s="34"/>
      <c r="CR1911" s="34"/>
      <c r="CS1911" s="34"/>
    </row>
    <row r="1912" spans="7:97" s="246" customFormat="1" x14ac:dyDescent="0.2">
      <c r="G1912" s="2188"/>
      <c r="BS1912" s="34"/>
      <c r="BT1912" s="34"/>
      <c r="BU1912" s="34"/>
      <c r="BV1912" s="34"/>
      <c r="BW1912" s="34"/>
      <c r="BX1912" s="34"/>
      <c r="BY1912" s="34"/>
      <c r="BZ1912" s="34"/>
      <c r="CA1912" s="34"/>
      <c r="CB1912" s="34"/>
      <c r="CC1912" s="34"/>
      <c r="CD1912" s="34"/>
      <c r="CE1912" s="34"/>
      <c r="CF1912" s="34"/>
      <c r="CG1912" s="34"/>
      <c r="CH1912" s="34"/>
      <c r="CI1912" s="34"/>
      <c r="CJ1912" s="34"/>
      <c r="CK1912" s="34"/>
      <c r="CL1912" s="34"/>
      <c r="CM1912" s="34"/>
      <c r="CN1912" s="34"/>
      <c r="CO1912" s="34"/>
      <c r="CP1912" s="34"/>
      <c r="CQ1912" s="34"/>
      <c r="CR1912" s="34"/>
      <c r="CS1912" s="34"/>
    </row>
    <row r="1913" spans="7:97" s="246" customFormat="1" x14ac:dyDescent="0.2">
      <c r="G1913" s="2188"/>
      <c r="BS1913" s="34"/>
      <c r="BT1913" s="34"/>
      <c r="BU1913" s="34"/>
      <c r="BV1913" s="34"/>
      <c r="BW1913" s="34"/>
      <c r="BX1913" s="34"/>
      <c r="BY1913" s="34"/>
      <c r="BZ1913" s="34"/>
      <c r="CA1913" s="34"/>
      <c r="CB1913" s="34"/>
      <c r="CC1913" s="34"/>
      <c r="CD1913" s="34"/>
      <c r="CE1913" s="34"/>
      <c r="CF1913" s="34"/>
      <c r="CG1913" s="34"/>
      <c r="CH1913" s="34"/>
      <c r="CI1913" s="34"/>
      <c r="CJ1913" s="34"/>
      <c r="CK1913" s="34"/>
      <c r="CL1913" s="34"/>
      <c r="CM1913" s="34"/>
      <c r="CN1913" s="34"/>
      <c r="CO1913" s="34"/>
      <c r="CP1913" s="34"/>
      <c r="CQ1913" s="34"/>
      <c r="CR1913" s="34"/>
      <c r="CS1913" s="34"/>
    </row>
    <row r="1914" spans="7:97" s="246" customFormat="1" x14ac:dyDescent="0.2">
      <c r="G1914" s="2188"/>
      <c r="BS1914" s="34"/>
      <c r="BT1914" s="34"/>
      <c r="BU1914" s="34"/>
      <c r="BV1914" s="34"/>
      <c r="BW1914" s="34"/>
      <c r="BX1914" s="34"/>
      <c r="BY1914" s="34"/>
      <c r="BZ1914" s="34"/>
      <c r="CA1914" s="34"/>
      <c r="CB1914" s="34"/>
      <c r="CC1914" s="34"/>
      <c r="CD1914" s="34"/>
      <c r="CE1914" s="34"/>
      <c r="CF1914" s="34"/>
      <c r="CG1914" s="34"/>
      <c r="CH1914" s="34"/>
      <c r="CI1914" s="34"/>
      <c r="CJ1914" s="34"/>
      <c r="CK1914" s="34"/>
      <c r="CL1914" s="34"/>
      <c r="CM1914" s="34"/>
      <c r="CN1914" s="34"/>
      <c r="CO1914" s="34"/>
      <c r="CP1914" s="34"/>
      <c r="CQ1914" s="34"/>
      <c r="CR1914" s="34"/>
      <c r="CS1914" s="34"/>
    </row>
    <row r="1915" spans="7:97" s="246" customFormat="1" x14ac:dyDescent="0.2">
      <c r="G1915" s="2188"/>
      <c r="BS1915" s="34"/>
      <c r="BT1915" s="34"/>
      <c r="BU1915" s="34"/>
      <c r="BV1915" s="34"/>
      <c r="BW1915" s="34"/>
      <c r="BX1915" s="34"/>
      <c r="BY1915" s="34"/>
      <c r="BZ1915" s="34"/>
      <c r="CA1915" s="34"/>
      <c r="CB1915" s="34"/>
      <c r="CC1915" s="34"/>
      <c r="CD1915" s="34"/>
      <c r="CE1915" s="34"/>
      <c r="CF1915" s="34"/>
      <c r="CG1915" s="34"/>
      <c r="CH1915" s="34"/>
      <c r="CI1915" s="34"/>
      <c r="CJ1915" s="34"/>
      <c r="CK1915" s="34"/>
      <c r="CL1915" s="34"/>
      <c r="CM1915" s="34"/>
      <c r="CN1915" s="34"/>
      <c r="CO1915" s="34"/>
      <c r="CP1915" s="34"/>
      <c r="CQ1915" s="34"/>
      <c r="CR1915" s="34"/>
      <c r="CS1915" s="34"/>
    </row>
    <row r="1916" spans="7:97" s="246" customFormat="1" x14ac:dyDescent="0.2">
      <c r="G1916" s="2188"/>
      <c r="BS1916" s="34"/>
      <c r="BT1916" s="34"/>
      <c r="BU1916" s="34"/>
      <c r="BV1916" s="34"/>
      <c r="BW1916" s="34"/>
      <c r="BX1916" s="34"/>
      <c r="BY1916" s="34"/>
      <c r="BZ1916" s="34"/>
      <c r="CA1916" s="34"/>
      <c r="CB1916" s="34"/>
      <c r="CC1916" s="34"/>
      <c r="CD1916" s="34"/>
      <c r="CE1916" s="34"/>
      <c r="CF1916" s="34"/>
      <c r="CG1916" s="34"/>
      <c r="CH1916" s="34"/>
      <c r="CI1916" s="34"/>
      <c r="CJ1916" s="34"/>
      <c r="CK1916" s="34"/>
      <c r="CL1916" s="34"/>
      <c r="CM1916" s="34"/>
      <c r="CN1916" s="34"/>
      <c r="CO1916" s="34"/>
      <c r="CP1916" s="34"/>
      <c r="CQ1916" s="34"/>
      <c r="CR1916" s="34"/>
      <c r="CS1916" s="34"/>
    </row>
    <row r="1917" spans="7:97" s="246" customFormat="1" x14ac:dyDescent="0.2">
      <c r="G1917" s="2188"/>
      <c r="BS1917" s="34"/>
      <c r="BT1917" s="34"/>
      <c r="BU1917" s="34"/>
      <c r="BV1917" s="34"/>
      <c r="BW1917" s="34"/>
      <c r="BX1917" s="34"/>
      <c r="BY1917" s="34"/>
      <c r="BZ1917" s="34"/>
      <c r="CA1917" s="34"/>
      <c r="CB1917" s="34"/>
      <c r="CC1917" s="34"/>
      <c r="CD1917" s="34"/>
      <c r="CE1917" s="34"/>
      <c r="CF1917" s="34"/>
      <c r="CG1917" s="34"/>
      <c r="CH1917" s="34"/>
      <c r="CI1917" s="34"/>
      <c r="CJ1917" s="34"/>
      <c r="CK1917" s="34"/>
      <c r="CL1917" s="34"/>
      <c r="CM1917" s="34"/>
      <c r="CN1917" s="34"/>
      <c r="CO1917" s="34"/>
      <c r="CP1917" s="34"/>
      <c r="CQ1917" s="34"/>
      <c r="CR1917" s="34"/>
      <c r="CS1917" s="34"/>
    </row>
    <row r="1918" spans="7:97" s="246" customFormat="1" x14ac:dyDescent="0.2">
      <c r="G1918" s="2188"/>
      <c r="BS1918" s="34"/>
      <c r="BT1918" s="34"/>
      <c r="BU1918" s="34"/>
      <c r="BV1918" s="34"/>
      <c r="BW1918" s="34"/>
      <c r="BX1918" s="34"/>
      <c r="BY1918" s="34"/>
      <c r="BZ1918" s="34"/>
      <c r="CA1918" s="34"/>
      <c r="CB1918" s="34"/>
      <c r="CC1918" s="34"/>
      <c r="CD1918" s="34"/>
      <c r="CE1918" s="34"/>
      <c r="CF1918" s="34"/>
      <c r="CG1918" s="34"/>
      <c r="CH1918" s="34"/>
      <c r="CI1918" s="34"/>
      <c r="CJ1918" s="34"/>
      <c r="CK1918" s="34"/>
      <c r="CL1918" s="34"/>
      <c r="CM1918" s="34"/>
      <c r="CN1918" s="34"/>
      <c r="CO1918" s="34"/>
      <c r="CP1918" s="34"/>
      <c r="CQ1918" s="34"/>
      <c r="CR1918" s="34"/>
      <c r="CS1918" s="34"/>
    </row>
    <row r="1919" spans="7:97" s="246" customFormat="1" x14ac:dyDescent="0.2">
      <c r="G1919" s="2188"/>
      <c r="BS1919" s="34"/>
      <c r="BT1919" s="34"/>
      <c r="BU1919" s="34"/>
      <c r="BV1919" s="34"/>
      <c r="BW1919" s="34"/>
      <c r="BX1919" s="34"/>
      <c r="BY1919" s="34"/>
      <c r="BZ1919" s="34"/>
      <c r="CA1919" s="34"/>
      <c r="CB1919" s="34"/>
      <c r="CC1919" s="34"/>
      <c r="CD1919" s="34"/>
      <c r="CE1919" s="34"/>
      <c r="CF1919" s="34"/>
      <c r="CG1919" s="34"/>
      <c r="CH1919" s="34"/>
      <c r="CI1919" s="34"/>
      <c r="CJ1919" s="34"/>
      <c r="CK1919" s="34"/>
      <c r="CL1919" s="34"/>
      <c r="CM1919" s="34"/>
      <c r="CN1919" s="34"/>
      <c r="CO1919" s="34"/>
      <c r="CP1919" s="34"/>
      <c r="CQ1919" s="34"/>
      <c r="CR1919" s="34"/>
      <c r="CS1919" s="34"/>
    </row>
    <row r="1920" spans="7:97" s="246" customFormat="1" x14ac:dyDescent="0.2">
      <c r="G1920" s="2188"/>
      <c r="BS1920" s="34"/>
      <c r="BT1920" s="34"/>
      <c r="BU1920" s="34"/>
      <c r="BV1920" s="34"/>
      <c r="BW1920" s="34"/>
      <c r="BX1920" s="34"/>
      <c r="BY1920" s="34"/>
      <c r="BZ1920" s="34"/>
      <c r="CA1920" s="34"/>
      <c r="CB1920" s="34"/>
      <c r="CC1920" s="34"/>
      <c r="CD1920" s="34"/>
      <c r="CE1920" s="34"/>
      <c r="CF1920" s="34"/>
      <c r="CG1920" s="34"/>
      <c r="CH1920" s="34"/>
      <c r="CI1920" s="34"/>
      <c r="CJ1920" s="34"/>
      <c r="CK1920" s="34"/>
      <c r="CL1920" s="34"/>
      <c r="CM1920" s="34"/>
      <c r="CN1920" s="34"/>
      <c r="CO1920" s="34"/>
      <c r="CP1920" s="34"/>
      <c r="CQ1920" s="34"/>
      <c r="CR1920" s="34"/>
      <c r="CS1920" s="34"/>
    </row>
    <row r="1921" spans="7:97" s="246" customFormat="1" x14ac:dyDescent="0.2">
      <c r="G1921" s="2188"/>
      <c r="BS1921" s="34"/>
      <c r="BT1921" s="34"/>
      <c r="BU1921" s="34"/>
      <c r="BV1921" s="34"/>
      <c r="BW1921" s="34"/>
      <c r="BX1921" s="34"/>
      <c r="BY1921" s="34"/>
      <c r="BZ1921" s="34"/>
      <c r="CA1921" s="34"/>
      <c r="CB1921" s="34"/>
      <c r="CC1921" s="34"/>
      <c r="CD1921" s="34"/>
      <c r="CE1921" s="34"/>
      <c r="CF1921" s="34"/>
      <c r="CG1921" s="34"/>
      <c r="CH1921" s="34"/>
      <c r="CI1921" s="34"/>
      <c r="CJ1921" s="34"/>
      <c r="CK1921" s="34"/>
      <c r="CL1921" s="34"/>
      <c r="CM1921" s="34"/>
      <c r="CN1921" s="34"/>
      <c r="CO1921" s="34"/>
      <c r="CP1921" s="34"/>
      <c r="CQ1921" s="34"/>
      <c r="CR1921" s="34"/>
      <c r="CS1921" s="34"/>
    </row>
    <row r="1922" spans="7:97" s="246" customFormat="1" x14ac:dyDescent="0.2">
      <c r="G1922" s="2188"/>
      <c r="BS1922" s="34"/>
      <c r="BT1922" s="34"/>
      <c r="BU1922" s="34"/>
      <c r="BV1922" s="34"/>
      <c r="BW1922" s="34"/>
      <c r="BX1922" s="34"/>
      <c r="BY1922" s="34"/>
      <c r="BZ1922" s="34"/>
      <c r="CA1922" s="34"/>
      <c r="CB1922" s="34"/>
      <c r="CC1922" s="34"/>
      <c r="CD1922" s="34"/>
      <c r="CE1922" s="34"/>
      <c r="CF1922" s="34"/>
      <c r="CG1922" s="34"/>
      <c r="CH1922" s="34"/>
      <c r="CI1922" s="34"/>
      <c r="CJ1922" s="34"/>
      <c r="CK1922" s="34"/>
      <c r="CL1922" s="34"/>
      <c r="CM1922" s="34"/>
      <c r="CN1922" s="34"/>
      <c r="CO1922" s="34"/>
      <c r="CP1922" s="34"/>
      <c r="CQ1922" s="34"/>
      <c r="CR1922" s="34"/>
      <c r="CS1922" s="34"/>
    </row>
    <row r="1923" spans="7:97" s="246" customFormat="1" x14ac:dyDescent="0.2">
      <c r="G1923" s="2188"/>
      <c r="BS1923" s="34"/>
      <c r="BT1923" s="34"/>
      <c r="BU1923" s="34"/>
      <c r="BV1923" s="34"/>
      <c r="BW1923" s="34"/>
      <c r="BX1923" s="34"/>
      <c r="BY1923" s="34"/>
      <c r="BZ1923" s="34"/>
      <c r="CA1923" s="34"/>
      <c r="CB1923" s="34"/>
      <c r="CC1923" s="34"/>
      <c r="CD1923" s="34"/>
      <c r="CE1923" s="34"/>
      <c r="CF1923" s="34"/>
      <c r="CG1923" s="34"/>
      <c r="CH1923" s="34"/>
      <c r="CI1923" s="34"/>
      <c r="CJ1923" s="34"/>
      <c r="CK1923" s="34"/>
      <c r="CL1923" s="34"/>
      <c r="CM1923" s="34"/>
      <c r="CN1923" s="34"/>
      <c r="CO1923" s="34"/>
      <c r="CP1923" s="34"/>
      <c r="CQ1923" s="34"/>
      <c r="CR1923" s="34"/>
      <c r="CS1923" s="34"/>
    </row>
    <row r="1924" spans="7:97" s="246" customFormat="1" x14ac:dyDescent="0.2">
      <c r="G1924" s="2188"/>
      <c r="BS1924" s="34"/>
      <c r="BT1924" s="34"/>
      <c r="BU1924" s="34"/>
      <c r="BV1924" s="34"/>
      <c r="BW1924" s="34"/>
      <c r="BX1924" s="34"/>
      <c r="BY1924" s="34"/>
      <c r="BZ1924" s="34"/>
      <c r="CA1924" s="34"/>
      <c r="CB1924" s="34"/>
      <c r="CC1924" s="34"/>
      <c r="CD1924" s="34"/>
      <c r="CE1924" s="34"/>
      <c r="CF1924" s="34"/>
      <c r="CG1924" s="34"/>
      <c r="CH1924" s="34"/>
      <c r="CI1924" s="34"/>
      <c r="CJ1924" s="34"/>
      <c r="CK1924" s="34"/>
      <c r="CL1924" s="34"/>
      <c r="CM1924" s="34"/>
      <c r="CN1924" s="34"/>
      <c r="CO1924" s="34"/>
      <c r="CP1924" s="34"/>
      <c r="CQ1924" s="34"/>
      <c r="CR1924" s="34"/>
      <c r="CS1924" s="34"/>
    </row>
    <row r="1925" spans="7:97" s="246" customFormat="1" x14ac:dyDescent="0.2">
      <c r="G1925" s="2188"/>
      <c r="BS1925" s="34"/>
      <c r="BT1925" s="34"/>
      <c r="BU1925" s="34"/>
      <c r="BV1925" s="34"/>
      <c r="BW1925" s="34"/>
      <c r="BX1925" s="34"/>
      <c r="BY1925" s="34"/>
      <c r="BZ1925" s="34"/>
      <c r="CA1925" s="34"/>
      <c r="CB1925" s="34"/>
      <c r="CC1925" s="34"/>
      <c r="CD1925" s="34"/>
      <c r="CE1925" s="34"/>
      <c r="CF1925" s="34"/>
      <c r="CG1925" s="34"/>
      <c r="CH1925" s="34"/>
      <c r="CI1925" s="34"/>
      <c r="CJ1925" s="34"/>
      <c r="CK1925" s="34"/>
      <c r="CL1925" s="34"/>
      <c r="CM1925" s="34"/>
      <c r="CN1925" s="34"/>
      <c r="CO1925" s="34"/>
      <c r="CP1925" s="34"/>
      <c r="CQ1925" s="34"/>
      <c r="CR1925" s="34"/>
      <c r="CS1925" s="34"/>
    </row>
    <row r="1926" spans="7:97" s="246" customFormat="1" x14ac:dyDescent="0.2">
      <c r="G1926" s="2188"/>
      <c r="BS1926" s="34"/>
      <c r="BT1926" s="34"/>
      <c r="BU1926" s="34"/>
      <c r="BV1926" s="34"/>
      <c r="BW1926" s="34"/>
      <c r="BX1926" s="34"/>
      <c r="BY1926" s="34"/>
      <c r="BZ1926" s="34"/>
      <c r="CA1926" s="34"/>
      <c r="CB1926" s="34"/>
      <c r="CC1926" s="34"/>
      <c r="CD1926" s="34"/>
      <c r="CE1926" s="34"/>
      <c r="CF1926" s="34"/>
      <c r="CG1926" s="34"/>
      <c r="CH1926" s="34"/>
      <c r="CI1926" s="34"/>
      <c r="CJ1926" s="34"/>
      <c r="CK1926" s="34"/>
      <c r="CL1926" s="34"/>
      <c r="CM1926" s="34"/>
      <c r="CN1926" s="34"/>
      <c r="CO1926" s="34"/>
      <c r="CP1926" s="34"/>
      <c r="CQ1926" s="34"/>
      <c r="CR1926" s="34"/>
      <c r="CS1926" s="34"/>
    </row>
    <row r="1927" spans="7:97" s="246" customFormat="1" x14ac:dyDescent="0.2">
      <c r="G1927" s="2188"/>
      <c r="BS1927" s="34"/>
      <c r="BT1927" s="34"/>
      <c r="BU1927" s="34"/>
      <c r="BV1927" s="34"/>
      <c r="BW1927" s="34"/>
      <c r="BX1927" s="34"/>
      <c r="BY1927" s="34"/>
      <c r="BZ1927" s="34"/>
      <c r="CA1927" s="34"/>
      <c r="CB1927" s="34"/>
      <c r="CC1927" s="34"/>
      <c r="CD1927" s="34"/>
      <c r="CE1927" s="34"/>
      <c r="CF1927" s="34"/>
      <c r="CG1927" s="34"/>
      <c r="CH1927" s="34"/>
      <c r="CI1927" s="34"/>
      <c r="CJ1927" s="34"/>
      <c r="CK1927" s="34"/>
      <c r="CL1927" s="34"/>
      <c r="CM1927" s="34"/>
      <c r="CN1927" s="34"/>
      <c r="CO1927" s="34"/>
      <c r="CP1927" s="34"/>
      <c r="CQ1927" s="34"/>
      <c r="CR1927" s="34"/>
      <c r="CS1927" s="34"/>
    </row>
    <row r="1928" spans="7:97" s="246" customFormat="1" x14ac:dyDescent="0.2">
      <c r="G1928" s="2188"/>
      <c r="BS1928" s="34"/>
      <c r="BT1928" s="34"/>
      <c r="BU1928" s="34"/>
      <c r="BV1928" s="34"/>
      <c r="BW1928" s="34"/>
      <c r="BX1928" s="34"/>
      <c r="BY1928" s="34"/>
      <c r="BZ1928" s="34"/>
      <c r="CA1928" s="34"/>
      <c r="CB1928" s="34"/>
      <c r="CC1928" s="34"/>
      <c r="CD1928" s="34"/>
      <c r="CE1928" s="34"/>
      <c r="CF1928" s="34"/>
      <c r="CG1928" s="34"/>
      <c r="CH1928" s="34"/>
      <c r="CI1928" s="34"/>
      <c r="CJ1928" s="34"/>
      <c r="CK1928" s="34"/>
      <c r="CL1928" s="34"/>
      <c r="CM1928" s="34"/>
      <c r="CN1928" s="34"/>
      <c r="CO1928" s="34"/>
      <c r="CP1928" s="34"/>
      <c r="CQ1928" s="34"/>
      <c r="CR1928" s="34"/>
      <c r="CS1928" s="34"/>
    </row>
    <row r="1929" spans="7:97" s="246" customFormat="1" x14ac:dyDescent="0.2">
      <c r="G1929" s="2188"/>
      <c r="BS1929" s="34"/>
      <c r="BT1929" s="34"/>
      <c r="BU1929" s="34"/>
      <c r="BV1929" s="34"/>
      <c r="BW1929" s="34"/>
      <c r="BX1929" s="34"/>
      <c r="BY1929" s="34"/>
      <c r="BZ1929" s="34"/>
      <c r="CA1929" s="34"/>
      <c r="CB1929" s="34"/>
      <c r="CC1929" s="34"/>
      <c r="CD1929" s="34"/>
      <c r="CE1929" s="34"/>
      <c r="CF1929" s="34"/>
      <c r="CG1929" s="34"/>
      <c r="CH1929" s="34"/>
      <c r="CI1929" s="34"/>
      <c r="CJ1929" s="34"/>
      <c r="CK1929" s="34"/>
      <c r="CL1929" s="34"/>
      <c r="CM1929" s="34"/>
      <c r="CN1929" s="34"/>
      <c r="CO1929" s="34"/>
      <c r="CP1929" s="34"/>
      <c r="CQ1929" s="34"/>
      <c r="CR1929" s="34"/>
      <c r="CS1929" s="34"/>
    </row>
    <row r="1930" spans="7:97" s="246" customFormat="1" x14ac:dyDescent="0.2">
      <c r="G1930" s="2188"/>
      <c r="BS1930" s="34"/>
      <c r="BT1930" s="34"/>
      <c r="BU1930" s="34"/>
      <c r="BV1930" s="34"/>
      <c r="BW1930" s="34"/>
      <c r="BX1930" s="34"/>
      <c r="BY1930" s="34"/>
      <c r="BZ1930" s="34"/>
      <c r="CA1930" s="34"/>
      <c r="CB1930" s="34"/>
      <c r="CC1930" s="34"/>
      <c r="CD1930" s="34"/>
      <c r="CE1930" s="34"/>
      <c r="CF1930" s="34"/>
      <c r="CG1930" s="34"/>
      <c r="CH1930" s="34"/>
      <c r="CI1930" s="34"/>
      <c r="CJ1930" s="34"/>
      <c r="CK1930" s="34"/>
      <c r="CL1930" s="34"/>
      <c r="CM1930" s="34"/>
      <c r="CN1930" s="34"/>
      <c r="CO1930" s="34"/>
      <c r="CP1930" s="34"/>
      <c r="CQ1930" s="34"/>
      <c r="CR1930" s="34"/>
      <c r="CS1930" s="34"/>
    </row>
    <row r="1931" spans="7:97" s="246" customFormat="1" x14ac:dyDescent="0.2">
      <c r="G1931" s="2188"/>
      <c r="BS1931" s="34"/>
      <c r="BT1931" s="34"/>
      <c r="BU1931" s="34"/>
      <c r="BV1931" s="34"/>
      <c r="BW1931" s="34"/>
      <c r="BX1931" s="34"/>
      <c r="BY1931" s="34"/>
      <c r="BZ1931" s="34"/>
      <c r="CA1931" s="34"/>
      <c r="CB1931" s="34"/>
      <c r="CC1931" s="34"/>
      <c r="CD1931" s="34"/>
      <c r="CE1931" s="34"/>
      <c r="CF1931" s="34"/>
      <c r="CG1931" s="34"/>
      <c r="CH1931" s="34"/>
      <c r="CI1931" s="34"/>
      <c r="CJ1931" s="34"/>
      <c r="CK1931" s="34"/>
      <c r="CL1931" s="34"/>
      <c r="CM1931" s="34"/>
      <c r="CN1931" s="34"/>
      <c r="CO1931" s="34"/>
      <c r="CP1931" s="34"/>
      <c r="CQ1931" s="34"/>
      <c r="CR1931" s="34"/>
      <c r="CS1931" s="34"/>
    </row>
    <row r="1932" spans="7:97" s="246" customFormat="1" x14ac:dyDescent="0.2">
      <c r="G1932" s="2188"/>
      <c r="BS1932" s="34"/>
      <c r="BT1932" s="34"/>
      <c r="BU1932" s="34"/>
      <c r="BV1932" s="34"/>
      <c r="BW1932" s="34"/>
      <c r="BX1932" s="34"/>
      <c r="BY1932" s="34"/>
      <c r="BZ1932" s="34"/>
      <c r="CA1932" s="34"/>
      <c r="CB1932" s="34"/>
      <c r="CC1932" s="34"/>
      <c r="CD1932" s="34"/>
      <c r="CE1932" s="34"/>
      <c r="CF1932" s="34"/>
      <c r="CG1932" s="34"/>
      <c r="CH1932" s="34"/>
      <c r="CI1932" s="34"/>
      <c r="CJ1932" s="34"/>
      <c r="CK1932" s="34"/>
      <c r="CL1932" s="34"/>
      <c r="CM1932" s="34"/>
      <c r="CN1932" s="34"/>
      <c r="CO1932" s="34"/>
      <c r="CP1932" s="34"/>
      <c r="CQ1932" s="34"/>
      <c r="CR1932" s="34"/>
      <c r="CS1932" s="34"/>
    </row>
    <row r="1933" spans="7:97" s="246" customFormat="1" x14ac:dyDescent="0.2">
      <c r="G1933" s="2188"/>
      <c r="BS1933" s="34"/>
      <c r="BT1933" s="34"/>
      <c r="BU1933" s="34"/>
      <c r="BV1933" s="34"/>
      <c r="BW1933" s="34"/>
      <c r="BX1933" s="34"/>
      <c r="BY1933" s="34"/>
      <c r="BZ1933" s="34"/>
      <c r="CA1933" s="34"/>
      <c r="CB1933" s="34"/>
      <c r="CC1933" s="34"/>
      <c r="CD1933" s="34"/>
      <c r="CE1933" s="34"/>
      <c r="CF1933" s="34"/>
      <c r="CG1933" s="34"/>
      <c r="CH1933" s="34"/>
      <c r="CI1933" s="34"/>
      <c r="CJ1933" s="34"/>
      <c r="CK1933" s="34"/>
      <c r="CL1933" s="34"/>
      <c r="CM1933" s="34"/>
      <c r="CN1933" s="34"/>
      <c r="CO1933" s="34"/>
      <c r="CP1933" s="34"/>
      <c r="CQ1933" s="34"/>
      <c r="CR1933" s="34"/>
      <c r="CS1933" s="34"/>
    </row>
    <row r="1934" spans="7:97" s="246" customFormat="1" x14ac:dyDescent="0.2">
      <c r="G1934" s="2188"/>
      <c r="BS1934" s="34"/>
      <c r="BT1934" s="34"/>
      <c r="BU1934" s="34"/>
      <c r="BV1934" s="34"/>
      <c r="BW1934" s="34"/>
      <c r="BX1934" s="34"/>
      <c r="BY1934" s="34"/>
      <c r="BZ1934" s="34"/>
      <c r="CA1934" s="34"/>
      <c r="CB1934" s="34"/>
      <c r="CC1934" s="34"/>
      <c r="CD1934" s="34"/>
      <c r="CE1934" s="34"/>
      <c r="CF1934" s="34"/>
      <c r="CG1934" s="34"/>
      <c r="CH1934" s="34"/>
      <c r="CI1934" s="34"/>
      <c r="CJ1934" s="34"/>
      <c r="CK1934" s="34"/>
      <c r="CL1934" s="34"/>
      <c r="CM1934" s="34"/>
      <c r="CN1934" s="34"/>
      <c r="CO1934" s="34"/>
      <c r="CP1934" s="34"/>
      <c r="CQ1934" s="34"/>
      <c r="CR1934" s="34"/>
      <c r="CS1934" s="34"/>
    </row>
    <row r="1935" spans="7:97" s="246" customFormat="1" x14ac:dyDescent="0.2">
      <c r="G1935" s="2188"/>
      <c r="BS1935" s="34"/>
      <c r="BT1935" s="34"/>
      <c r="BU1935" s="34"/>
      <c r="BV1935" s="34"/>
      <c r="BW1935" s="34"/>
      <c r="BX1935" s="34"/>
      <c r="BY1935" s="34"/>
      <c r="BZ1935" s="34"/>
      <c r="CA1935" s="34"/>
      <c r="CB1935" s="34"/>
      <c r="CC1935" s="34"/>
      <c r="CD1935" s="34"/>
      <c r="CE1935" s="34"/>
      <c r="CF1935" s="34"/>
      <c r="CG1935" s="34"/>
      <c r="CH1935" s="34"/>
      <c r="CI1935" s="34"/>
      <c r="CJ1935" s="34"/>
      <c r="CK1935" s="34"/>
      <c r="CL1935" s="34"/>
      <c r="CM1935" s="34"/>
      <c r="CN1935" s="34"/>
      <c r="CO1935" s="34"/>
      <c r="CP1935" s="34"/>
      <c r="CQ1935" s="34"/>
      <c r="CR1935" s="34"/>
      <c r="CS1935" s="34"/>
    </row>
    <row r="1936" spans="7:97" s="246" customFormat="1" x14ac:dyDescent="0.2">
      <c r="G1936" s="2188"/>
      <c r="BS1936" s="34"/>
      <c r="BT1936" s="34"/>
      <c r="BU1936" s="34"/>
      <c r="BV1936" s="34"/>
      <c r="BW1936" s="34"/>
      <c r="BX1936" s="34"/>
      <c r="BY1936" s="34"/>
      <c r="BZ1936" s="34"/>
      <c r="CA1936" s="34"/>
      <c r="CB1936" s="34"/>
      <c r="CC1936" s="34"/>
      <c r="CD1936" s="34"/>
      <c r="CE1936" s="34"/>
      <c r="CF1936" s="34"/>
      <c r="CG1936" s="34"/>
      <c r="CH1936" s="34"/>
      <c r="CI1936" s="34"/>
      <c r="CJ1936" s="34"/>
      <c r="CK1936" s="34"/>
      <c r="CL1936" s="34"/>
      <c r="CM1936" s="34"/>
      <c r="CN1936" s="34"/>
      <c r="CO1936" s="34"/>
      <c r="CP1936" s="34"/>
      <c r="CQ1936" s="34"/>
      <c r="CR1936" s="34"/>
      <c r="CS1936" s="34"/>
    </row>
    <row r="1937" spans="7:97" s="246" customFormat="1" x14ac:dyDescent="0.2">
      <c r="G1937" s="2188"/>
      <c r="BS1937" s="34"/>
      <c r="BT1937" s="34"/>
      <c r="BU1937" s="34"/>
      <c r="BV1937" s="34"/>
      <c r="BW1937" s="34"/>
      <c r="BX1937" s="34"/>
      <c r="BY1937" s="34"/>
      <c r="BZ1937" s="34"/>
      <c r="CA1937" s="34"/>
      <c r="CB1937" s="34"/>
      <c r="CC1937" s="34"/>
      <c r="CD1937" s="34"/>
      <c r="CE1937" s="34"/>
      <c r="CF1937" s="34"/>
      <c r="CG1937" s="34"/>
      <c r="CH1937" s="34"/>
      <c r="CI1937" s="34"/>
      <c r="CJ1937" s="34"/>
      <c r="CK1937" s="34"/>
      <c r="CL1937" s="34"/>
      <c r="CM1937" s="34"/>
      <c r="CN1937" s="34"/>
      <c r="CO1937" s="34"/>
      <c r="CP1937" s="34"/>
      <c r="CQ1937" s="34"/>
      <c r="CR1937" s="34"/>
      <c r="CS1937" s="34"/>
    </row>
    <row r="1938" spans="7:97" s="246" customFormat="1" x14ac:dyDescent="0.2">
      <c r="G1938" s="2188"/>
      <c r="BS1938" s="34"/>
      <c r="BT1938" s="34"/>
      <c r="BU1938" s="34"/>
      <c r="BV1938" s="34"/>
      <c r="BW1938" s="34"/>
      <c r="BX1938" s="34"/>
      <c r="BY1938" s="34"/>
      <c r="BZ1938" s="34"/>
      <c r="CA1938" s="34"/>
      <c r="CB1938" s="34"/>
      <c r="CC1938" s="34"/>
      <c r="CD1938" s="34"/>
      <c r="CE1938" s="34"/>
      <c r="CF1938" s="34"/>
      <c r="CG1938" s="34"/>
      <c r="CH1938" s="34"/>
      <c r="CI1938" s="34"/>
      <c r="CJ1938" s="34"/>
      <c r="CK1938" s="34"/>
      <c r="CL1938" s="34"/>
      <c r="CM1938" s="34"/>
      <c r="CN1938" s="34"/>
      <c r="CO1938" s="34"/>
      <c r="CP1938" s="34"/>
      <c r="CQ1938" s="34"/>
      <c r="CR1938" s="34"/>
      <c r="CS1938" s="34"/>
    </row>
    <row r="1939" spans="7:97" s="246" customFormat="1" x14ac:dyDescent="0.2">
      <c r="G1939" s="2188"/>
      <c r="BS1939" s="34"/>
      <c r="BT1939" s="34"/>
      <c r="BU1939" s="34"/>
      <c r="BV1939" s="34"/>
      <c r="BW1939" s="34"/>
      <c r="BX1939" s="34"/>
      <c r="BY1939" s="34"/>
      <c r="BZ1939" s="34"/>
      <c r="CA1939" s="34"/>
      <c r="CB1939" s="34"/>
      <c r="CC1939" s="34"/>
      <c r="CD1939" s="34"/>
      <c r="CE1939" s="34"/>
      <c r="CF1939" s="34"/>
      <c r="CG1939" s="34"/>
      <c r="CH1939" s="34"/>
      <c r="CI1939" s="34"/>
      <c r="CJ1939" s="34"/>
      <c r="CK1939" s="34"/>
      <c r="CL1939" s="34"/>
      <c r="CM1939" s="34"/>
      <c r="CN1939" s="34"/>
      <c r="CO1939" s="34"/>
      <c r="CP1939" s="34"/>
      <c r="CQ1939" s="34"/>
      <c r="CR1939" s="34"/>
      <c r="CS1939" s="34"/>
    </row>
    <row r="1940" spans="7:97" s="246" customFormat="1" x14ac:dyDescent="0.2">
      <c r="G1940" s="2188"/>
      <c r="BS1940" s="34"/>
      <c r="BT1940" s="34"/>
      <c r="BU1940" s="34"/>
      <c r="BV1940" s="34"/>
      <c r="BW1940" s="34"/>
      <c r="BX1940" s="34"/>
      <c r="BY1940" s="34"/>
      <c r="BZ1940" s="34"/>
      <c r="CA1940" s="34"/>
      <c r="CB1940" s="34"/>
      <c r="CC1940" s="34"/>
      <c r="CD1940" s="34"/>
      <c r="CE1940" s="34"/>
      <c r="CF1940" s="34"/>
      <c r="CG1940" s="34"/>
      <c r="CH1940" s="34"/>
      <c r="CI1940" s="34"/>
      <c r="CJ1940" s="34"/>
      <c r="CK1940" s="34"/>
      <c r="CL1940" s="34"/>
      <c r="CM1940" s="34"/>
      <c r="CN1940" s="34"/>
      <c r="CO1940" s="34"/>
      <c r="CP1940" s="34"/>
      <c r="CQ1940" s="34"/>
      <c r="CR1940" s="34"/>
      <c r="CS1940" s="34"/>
    </row>
    <row r="1941" spans="7:97" s="246" customFormat="1" x14ac:dyDescent="0.2">
      <c r="G1941" s="2188"/>
      <c r="BS1941" s="34"/>
      <c r="BT1941" s="34"/>
      <c r="BU1941" s="34"/>
      <c r="BV1941" s="34"/>
      <c r="BW1941" s="34"/>
      <c r="BX1941" s="34"/>
      <c r="BY1941" s="34"/>
      <c r="BZ1941" s="34"/>
      <c r="CA1941" s="34"/>
      <c r="CB1941" s="34"/>
      <c r="CC1941" s="34"/>
      <c r="CD1941" s="34"/>
      <c r="CE1941" s="34"/>
      <c r="CF1941" s="34"/>
      <c r="CG1941" s="34"/>
      <c r="CH1941" s="34"/>
      <c r="CI1941" s="34"/>
      <c r="CJ1941" s="34"/>
      <c r="CK1941" s="34"/>
      <c r="CL1941" s="34"/>
      <c r="CM1941" s="34"/>
      <c r="CN1941" s="34"/>
      <c r="CO1941" s="34"/>
      <c r="CP1941" s="34"/>
      <c r="CQ1941" s="34"/>
      <c r="CR1941" s="34"/>
      <c r="CS1941" s="34"/>
    </row>
    <row r="1942" spans="7:97" s="246" customFormat="1" x14ac:dyDescent="0.2">
      <c r="G1942" s="2188"/>
      <c r="BS1942" s="34"/>
      <c r="BT1942" s="34"/>
      <c r="BU1942" s="34"/>
      <c r="BV1942" s="34"/>
      <c r="BW1942" s="34"/>
      <c r="BX1942" s="34"/>
      <c r="BY1942" s="34"/>
      <c r="BZ1942" s="34"/>
      <c r="CA1942" s="34"/>
      <c r="CB1942" s="34"/>
      <c r="CC1942" s="34"/>
      <c r="CD1942" s="34"/>
      <c r="CE1942" s="34"/>
      <c r="CF1942" s="34"/>
      <c r="CG1942" s="34"/>
      <c r="CH1942" s="34"/>
      <c r="CI1942" s="34"/>
      <c r="CJ1942" s="34"/>
      <c r="CK1942" s="34"/>
      <c r="CL1942" s="34"/>
      <c r="CM1942" s="34"/>
      <c r="CN1942" s="34"/>
      <c r="CO1942" s="34"/>
      <c r="CP1942" s="34"/>
      <c r="CQ1942" s="34"/>
      <c r="CR1942" s="34"/>
      <c r="CS1942" s="34"/>
    </row>
    <row r="1943" spans="7:97" s="246" customFormat="1" x14ac:dyDescent="0.2">
      <c r="G1943" s="2188"/>
      <c r="BS1943" s="34"/>
      <c r="BT1943" s="34"/>
      <c r="BU1943" s="34"/>
      <c r="BV1943" s="34"/>
      <c r="BW1943" s="34"/>
      <c r="BX1943" s="34"/>
      <c r="BY1943" s="34"/>
      <c r="BZ1943" s="34"/>
      <c r="CA1943" s="34"/>
      <c r="CB1943" s="34"/>
      <c r="CC1943" s="34"/>
      <c r="CD1943" s="34"/>
      <c r="CE1943" s="34"/>
      <c r="CF1943" s="34"/>
      <c r="CG1943" s="34"/>
      <c r="CH1943" s="34"/>
      <c r="CI1943" s="34"/>
      <c r="CJ1943" s="34"/>
      <c r="CK1943" s="34"/>
      <c r="CL1943" s="34"/>
      <c r="CM1943" s="34"/>
      <c r="CN1943" s="34"/>
      <c r="CO1943" s="34"/>
      <c r="CP1943" s="34"/>
      <c r="CQ1943" s="34"/>
      <c r="CR1943" s="34"/>
      <c r="CS1943" s="34"/>
    </row>
    <row r="1944" spans="7:97" s="246" customFormat="1" x14ac:dyDescent="0.2">
      <c r="G1944" s="2188"/>
      <c r="BS1944" s="34"/>
      <c r="BT1944" s="34"/>
      <c r="BU1944" s="34"/>
      <c r="BV1944" s="34"/>
      <c r="BW1944" s="34"/>
      <c r="BX1944" s="34"/>
      <c r="BY1944" s="34"/>
      <c r="BZ1944" s="34"/>
      <c r="CA1944" s="34"/>
      <c r="CB1944" s="34"/>
      <c r="CC1944" s="34"/>
      <c r="CD1944" s="34"/>
      <c r="CE1944" s="34"/>
      <c r="CF1944" s="34"/>
      <c r="CG1944" s="34"/>
      <c r="CH1944" s="34"/>
      <c r="CI1944" s="34"/>
      <c r="CJ1944" s="34"/>
      <c r="CK1944" s="34"/>
      <c r="CL1944" s="34"/>
      <c r="CM1944" s="34"/>
      <c r="CN1944" s="34"/>
      <c r="CO1944" s="34"/>
      <c r="CP1944" s="34"/>
      <c r="CQ1944" s="34"/>
      <c r="CR1944" s="34"/>
      <c r="CS1944" s="34"/>
    </row>
    <row r="1945" spans="7:97" s="246" customFormat="1" x14ac:dyDescent="0.2">
      <c r="G1945" s="2188"/>
      <c r="BS1945" s="34"/>
      <c r="BT1945" s="34"/>
      <c r="BU1945" s="34"/>
      <c r="BV1945" s="34"/>
      <c r="BW1945" s="34"/>
      <c r="BX1945" s="34"/>
      <c r="BY1945" s="34"/>
      <c r="BZ1945" s="34"/>
      <c r="CA1945" s="34"/>
      <c r="CB1945" s="34"/>
      <c r="CC1945" s="34"/>
      <c r="CD1945" s="34"/>
      <c r="CE1945" s="34"/>
      <c r="CF1945" s="34"/>
      <c r="CG1945" s="34"/>
      <c r="CH1945" s="34"/>
      <c r="CI1945" s="34"/>
      <c r="CJ1945" s="34"/>
      <c r="CK1945" s="34"/>
      <c r="CL1945" s="34"/>
      <c r="CM1945" s="34"/>
      <c r="CN1945" s="34"/>
      <c r="CO1945" s="34"/>
      <c r="CP1945" s="34"/>
      <c r="CQ1945" s="34"/>
      <c r="CR1945" s="34"/>
      <c r="CS1945" s="34"/>
    </row>
    <row r="1946" spans="7:97" s="246" customFormat="1" x14ac:dyDescent="0.2">
      <c r="G1946" s="2188"/>
      <c r="BS1946" s="34"/>
      <c r="BT1946" s="34"/>
      <c r="BU1946" s="34"/>
      <c r="BV1946" s="34"/>
      <c r="BW1946" s="34"/>
      <c r="BX1946" s="34"/>
      <c r="BY1946" s="34"/>
      <c r="BZ1946" s="34"/>
      <c r="CA1946" s="34"/>
      <c r="CB1946" s="34"/>
      <c r="CC1946" s="34"/>
      <c r="CD1946" s="34"/>
      <c r="CE1946" s="34"/>
      <c r="CF1946" s="34"/>
      <c r="CG1946" s="34"/>
      <c r="CH1946" s="34"/>
      <c r="CI1946" s="34"/>
      <c r="CJ1946" s="34"/>
      <c r="CK1946" s="34"/>
      <c r="CL1946" s="34"/>
      <c r="CM1946" s="34"/>
      <c r="CN1946" s="34"/>
      <c r="CO1946" s="34"/>
      <c r="CP1946" s="34"/>
      <c r="CQ1946" s="34"/>
      <c r="CR1946" s="34"/>
      <c r="CS1946" s="34"/>
    </row>
    <row r="1947" spans="7:97" s="246" customFormat="1" x14ac:dyDescent="0.2">
      <c r="G1947" s="2188"/>
      <c r="BS1947" s="34"/>
      <c r="BT1947" s="34"/>
      <c r="BU1947" s="34"/>
      <c r="BV1947" s="34"/>
      <c r="BW1947" s="34"/>
      <c r="BX1947" s="34"/>
      <c r="BY1947" s="34"/>
      <c r="BZ1947" s="34"/>
      <c r="CA1947" s="34"/>
      <c r="CB1947" s="34"/>
      <c r="CC1947" s="34"/>
      <c r="CD1947" s="34"/>
      <c r="CE1947" s="34"/>
      <c r="CF1947" s="34"/>
      <c r="CG1947" s="34"/>
      <c r="CH1947" s="34"/>
      <c r="CI1947" s="34"/>
      <c r="CJ1947" s="34"/>
      <c r="CK1947" s="34"/>
      <c r="CL1947" s="34"/>
      <c r="CM1947" s="34"/>
      <c r="CN1947" s="34"/>
      <c r="CO1947" s="34"/>
      <c r="CP1947" s="34"/>
      <c r="CQ1947" s="34"/>
      <c r="CR1947" s="34"/>
      <c r="CS1947" s="34"/>
    </row>
    <row r="1948" spans="7:97" s="246" customFormat="1" x14ac:dyDescent="0.2">
      <c r="G1948" s="2188"/>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row>
    <row r="1949" spans="7:97" s="246" customFormat="1" x14ac:dyDescent="0.2">
      <c r="G1949" s="2188"/>
      <c r="BS1949" s="34"/>
      <c r="BT1949" s="34"/>
      <c r="BU1949" s="34"/>
      <c r="BV1949" s="34"/>
      <c r="BW1949" s="34"/>
      <c r="BX1949" s="34"/>
      <c r="BY1949" s="34"/>
      <c r="BZ1949" s="34"/>
      <c r="CA1949" s="34"/>
      <c r="CB1949" s="34"/>
      <c r="CC1949" s="34"/>
      <c r="CD1949" s="34"/>
      <c r="CE1949" s="34"/>
      <c r="CF1949" s="34"/>
      <c r="CG1949" s="34"/>
      <c r="CH1949" s="34"/>
      <c r="CI1949" s="34"/>
      <c r="CJ1949" s="34"/>
      <c r="CK1949" s="34"/>
      <c r="CL1949" s="34"/>
      <c r="CM1949" s="34"/>
      <c r="CN1949" s="34"/>
      <c r="CO1949" s="34"/>
      <c r="CP1949" s="34"/>
      <c r="CQ1949" s="34"/>
      <c r="CR1949" s="34"/>
      <c r="CS1949" s="34"/>
    </row>
    <row r="1950" spans="7:97" s="246" customFormat="1" x14ac:dyDescent="0.2">
      <c r="G1950" s="2188"/>
      <c r="BS1950" s="34"/>
      <c r="BT1950" s="34"/>
      <c r="BU1950" s="34"/>
      <c r="BV1950" s="34"/>
      <c r="BW1950" s="34"/>
      <c r="BX1950" s="34"/>
      <c r="BY1950" s="34"/>
      <c r="BZ1950" s="34"/>
      <c r="CA1950" s="34"/>
      <c r="CB1950" s="34"/>
      <c r="CC1950" s="34"/>
      <c r="CD1950" s="34"/>
      <c r="CE1950" s="34"/>
      <c r="CF1950" s="34"/>
      <c r="CG1950" s="34"/>
      <c r="CH1950" s="34"/>
      <c r="CI1950" s="34"/>
      <c r="CJ1950" s="34"/>
      <c r="CK1950" s="34"/>
      <c r="CL1950" s="34"/>
      <c r="CM1950" s="34"/>
      <c r="CN1950" s="34"/>
      <c r="CO1950" s="34"/>
      <c r="CP1950" s="34"/>
      <c r="CQ1950" s="34"/>
      <c r="CR1950" s="34"/>
      <c r="CS1950" s="34"/>
    </row>
    <row r="1951" spans="7:97" s="246" customFormat="1" x14ac:dyDescent="0.2">
      <c r="G1951" s="2188"/>
      <c r="BS1951" s="34"/>
      <c r="BT1951" s="34"/>
      <c r="BU1951" s="34"/>
      <c r="BV1951" s="34"/>
      <c r="BW1951" s="34"/>
      <c r="BX1951" s="34"/>
      <c r="BY1951" s="34"/>
      <c r="BZ1951" s="34"/>
      <c r="CA1951" s="34"/>
      <c r="CB1951" s="34"/>
      <c r="CC1951" s="34"/>
      <c r="CD1951" s="34"/>
      <c r="CE1951" s="34"/>
      <c r="CF1951" s="34"/>
      <c r="CG1951" s="34"/>
      <c r="CH1951" s="34"/>
      <c r="CI1951" s="34"/>
      <c r="CJ1951" s="34"/>
      <c r="CK1951" s="34"/>
      <c r="CL1951" s="34"/>
      <c r="CM1951" s="34"/>
      <c r="CN1951" s="34"/>
      <c r="CO1951" s="34"/>
      <c r="CP1951" s="34"/>
      <c r="CQ1951" s="34"/>
      <c r="CR1951" s="34"/>
      <c r="CS1951" s="34"/>
    </row>
    <row r="1952" spans="7:97" s="246" customFormat="1" x14ac:dyDescent="0.2">
      <c r="G1952" s="2188"/>
      <c r="BS1952" s="34"/>
      <c r="BT1952" s="34"/>
      <c r="BU1952" s="34"/>
      <c r="BV1952" s="34"/>
      <c r="BW1952" s="34"/>
      <c r="BX1952" s="34"/>
      <c r="BY1952" s="34"/>
      <c r="BZ1952" s="34"/>
      <c r="CA1952" s="34"/>
      <c r="CB1952" s="34"/>
      <c r="CC1952" s="34"/>
      <c r="CD1952" s="34"/>
      <c r="CE1952" s="34"/>
      <c r="CF1952" s="34"/>
      <c r="CG1952" s="34"/>
      <c r="CH1952" s="34"/>
      <c r="CI1952" s="34"/>
      <c r="CJ1952" s="34"/>
      <c r="CK1952" s="34"/>
      <c r="CL1952" s="34"/>
      <c r="CM1952" s="34"/>
      <c r="CN1952" s="34"/>
      <c r="CO1952" s="34"/>
      <c r="CP1952" s="34"/>
      <c r="CQ1952" s="34"/>
      <c r="CR1952" s="34"/>
      <c r="CS1952" s="34"/>
    </row>
    <row r="1953" spans="7:97" s="246" customFormat="1" x14ac:dyDescent="0.2">
      <c r="G1953" s="2188"/>
      <c r="BS1953" s="34"/>
      <c r="BT1953" s="34"/>
      <c r="BU1953" s="34"/>
      <c r="BV1953" s="34"/>
      <c r="BW1953" s="34"/>
      <c r="BX1953" s="34"/>
      <c r="BY1953" s="34"/>
      <c r="BZ1953" s="34"/>
      <c r="CA1953" s="34"/>
      <c r="CB1953" s="34"/>
      <c r="CC1953" s="34"/>
      <c r="CD1953" s="34"/>
      <c r="CE1953" s="34"/>
      <c r="CF1953" s="34"/>
      <c r="CG1953" s="34"/>
      <c r="CH1953" s="34"/>
      <c r="CI1953" s="34"/>
      <c r="CJ1953" s="34"/>
      <c r="CK1953" s="34"/>
      <c r="CL1953" s="34"/>
      <c r="CM1953" s="34"/>
      <c r="CN1953" s="34"/>
      <c r="CO1953" s="34"/>
      <c r="CP1953" s="34"/>
      <c r="CQ1953" s="34"/>
      <c r="CR1953" s="34"/>
      <c r="CS1953" s="34"/>
    </row>
    <row r="1954" spans="7:97" s="246" customFormat="1" x14ac:dyDescent="0.2">
      <c r="G1954" s="2188"/>
      <c r="BS1954" s="34"/>
      <c r="BT1954" s="34"/>
      <c r="BU1954" s="34"/>
      <c r="BV1954" s="34"/>
      <c r="BW1954" s="34"/>
      <c r="BX1954" s="34"/>
      <c r="BY1954" s="34"/>
      <c r="BZ1954" s="34"/>
      <c r="CA1954" s="34"/>
      <c r="CB1954" s="34"/>
      <c r="CC1954" s="34"/>
      <c r="CD1954" s="34"/>
      <c r="CE1954" s="34"/>
      <c r="CF1954" s="34"/>
      <c r="CG1954" s="34"/>
      <c r="CH1954" s="34"/>
      <c r="CI1954" s="34"/>
      <c r="CJ1954" s="34"/>
      <c r="CK1954" s="34"/>
      <c r="CL1954" s="34"/>
      <c r="CM1954" s="34"/>
      <c r="CN1954" s="34"/>
      <c r="CO1954" s="34"/>
      <c r="CP1954" s="34"/>
      <c r="CQ1954" s="34"/>
      <c r="CR1954" s="34"/>
      <c r="CS1954" s="34"/>
    </row>
    <row r="1955" spans="7:97" s="246" customFormat="1" x14ac:dyDescent="0.2">
      <c r="G1955" s="2188"/>
      <c r="BS1955" s="34"/>
      <c r="BT1955" s="34"/>
      <c r="BU1955" s="34"/>
      <c r="BV1955" s="34"/>
      <c r="BW1955" s="34"/>
      <c r="BX1955" s="34"/>
      <c r="BY1955" s="34"/>
      <c r="BZ1955" s="34"/>
      <c r="CA1955" s="34"/>
      <c r="CB1955" s="34"/>
      <c r="CC1955" s="34"/>
      <c r="CD1955" s="34"/>
      <c r="CE1955" s="34"/>
      <c r="CF1955" s="34"/>
      <c r="CG1955" s="34"/>
      <c r="CH1955" s="34"/>
      <c r="CI1955" s="34"/>
      <c r="CJ1955" s="34"/>
      <c r="CK1955" s="34"/>
      <c r="CL1955" s="34"/>
      <c r="CM1955" s="34"/>
      <c r="CN1955" s="34"/>
      <c r="CO1955" s="34"/>
      <c r="CP1955" s="34"/>
      <c r="CQ1955" s="34"/>
      <c r="CR1955" s="34"/>
      <c r="CS1955" s="34"/>
    </row>
    <row r="1956" spans="7:97" s="246" customFormat="1" x14ac:dyDescent="0.2">
      <c r="G1956" s="2188"/>
      <c r="BS1956" s="34"/>
      <c r="BT1956" s="34"/>
      <c r="BU1956" s="34"/>
      <c r="BV1956" s="34"/>
      <c r="BW1956" s="34"/>
      <c r="BX1956" s="34"/>
      <c r="BY1956" s="34"/>
      <c r="BZ1956" s="34"/>
      <c r="CA1956" s="34"/>
      <c r="CB1956" s="34"/>
      <c r="CC1956" s="34"/>
      <c r="CD1956" s="34"/>
      <c r="CE1956" s="34"/>
      <c r="CF1956" s="34"/>
      <c r="CG1956" s="34"/>
      <c r="CH1956" s="34"/>
      <c r="CI1956" s="34"/>
      <c r="CJ1956" s="34"/>
      <c r="CK1956" s="34"/>
      <c r="CL1956" s="34"/>
      <c r="CM1956" s="34"/>
      <c r="CN1956" s="34"/>
      <c r="CO1956" s="34"/>
      <c r="CP1956" s="34"/>
      <c r="CQ1956" s="34"/>
      <c r="CR1956" s="34"/>
      <c r="CS1956" s="34"/>
    </row>
    <row r="1957" spans="7:97" s="246" customFormat="1" x14ac:dyDescent="0.2">
      <c r="G1957" s="2188"/>
      <c r="BS1957" s="34"/>
      <c r="BT1957" s="34"/>
      <c r="BU1957" s="34"/>
      <c r="BV1957" s="34"/>
      <c r="BW1957" s="34"/>
      <c r="BX1957" s="34"/>
      <c r="BY1957" s="34"/>
      <c r="BZ1957" s="34"/>
      <c r="CA1957" s="34"/>
      <c r="CB1957" s="34"/>
      <c r="CC1957" s="34"/>
      <c r="CD1957" s="34"/>
      <c r="CE1957" s="34"/>
      <c r="CF1957" s="34"/>
      <c r="CG1957" s="34"/>
      <c r="CH1957" s="34"/>
      <c r="CI1957" s="34"/>
      <c r="CJ1957" s="34"/>
      <c r="CK1957" s="34"/>
      <c r="CL1957" s="34"/>
      <c r="CM1957" s="34"/>
      <c r="CN1957" s="34"/>
      <c r="CO1957" s="34"/>
      <c r="CP1957" s="34"/>
      <c r="CQ1957" s="34"/>
      <c r="CR1957" s="34"/>
      <c r="CS1957" s="34"/>
    </row>
    <row r="1958" spans="7:97" s="246" customFormat="1" x14ac:dyDescent="0.2">
      <c r="G1958" s="2188"/>
      <c r="BS1958" s="34"/>
      <c r="BT1958" s="34"/>
      <c r="BU1958" s="34"/>
      <c r="BV1958" s="34"/>
      <c r="BW1958" s="34"/>
      <c r="BX1958" s="34"/>
      <c r="BY1958" s="34"/>
      <c r="BZ1958" s="34"/>
      <c r="CA1958" s="34"/>
      <c r="CB1958" s="34"/>
      <c r="CC1958" s="34"/>
      <c r="CD1958" s="34"/>
      <c r="CE1958" s="34"/>
      <c r="CF1958" s="34"/>
      <c r="CG1958" s="34"/>
      <c r="CH1958" s="34"/>
      <c r="CI1958" s="34"/>
      <c r="CJ1958" s="34"/>
      <c r="CK1958" s="34"/>
      <c r="CL1958" s="34"/>
      <c r="CM1958" s="34"/>
      <c r="CN1958" s="34"/>
      <c r="CO1958" s="34"/>
      <c r="CP1958" s="34"/>
      <c r="CQ1958" s="34"/>
      <c r="CR1958" s="34"/>
      <c r="CS1958" s="34"/>
    </row>
    <row r="1959" spans="7:97" s="246" customFormat="1" x14ac:dyDescent="0.2">
      <c r="G1959" s="2188"/>
      <c r="BS1959" s="34"/>
      <c r="BT1959" s="34"/>
      <c r="BU1959" s="34"/>
      <c r="BV1959" s="34"/>
      <c r="BW1959" s="34"/>
      <c r="BX1959" s="34"/>
      <c r="BY1959" s="34"/>
      <c r="BZ1959" s="34"/>
      <c r="CA1959" s="34"/>
      <c r="CB1959" s="34"/>
      <c r="CC1959" s="34"/>
      <c r="CD1959" s="34"/>
      <c r="CE1959" s="34"/>
      <c r="CF1959" s="34"/>
      <c r="CG1959" s="34"/>
      <c r="CH1959" s="34"/>
      <c r="CI1959" s="34"/>
      <c r="CJ1959" s="34"/>
      <c r="CK1959" s="34"/>
      <c r="CL1959" s="34"/>
      <c r="CM1959" s="34"/>
      <c r="CN1959" s="34"/>
      <c r="CO1959" s="34"/>
      <c r="CP1959" s="34"/>
      <c r="CQ1959" s="34"/>
      <c r="CR1959" s="34"/>
      <c r="CS1959" s="34"/>
    </row>
    <row r="1960" spans="7:97" s="246" customFormat="1" x14ac:dyDescent="0.2">
      <c r="G1960" s="2188"/>
      <c r="BS1960" s="34"/>
      <c r="BT1960" s="34"/>
      <c r="BU1960" s="34"/>
      <c r="BV1960" s="34"/>
      <c r="BW1960" s="34"/>
      <c r="BX1960" s="34"/>
      <c r="BY1960" s="34"/>
      <c r="BZ1960" s="34"/>
      <c r="CA1960" s="34"/>
      <c r="CB1960" s="34"/>
      <c r="CC1960" s="34"/>
      <c r="CD1960" s="34"/>
      <c r="CE1960" s="34"/>
      <c r="CF1960" s="34"/>
      <c r="CG1960" s="34"/>
      <c r="CH1960" s="34"/>
      <c r="CI1960" s="34"/>
      <c r="CJ1960" s="34"/>
      <c r="CK1960" s="34"/>
      <c r="CL1960" s="34"/>
      <c r="CM1960" s="34"/>
      <c r="CN1960" s="34"/>
      <c r="CO1960" s="34"/>
      <c r="CP1960" s="34"/>
      <c r="CQ1960" s="34"/>
      <c r="CR1960" s="34"/>
      <c r="CS1960" s="34"/>
    </row>
    <row r="1961" spans="7:97" s="246" customFormat="1" x14ac:dyDescent="0.2">
      <c r="G1961" s="2188"/>
      <c r="BS1961" s="34"/>
      <c r="BT1961" s="34"/>
      <c r="BU1961" s="34"/>
      <c r="BV1961" s="34"/>
      <c r="BW1961" s="34"/>
      <c r="BX1961" s="34"/>
      <c r="BY1961" s="34"/>
      <c r="BZ1961" s="34"/>
      <c r="CA1961" s="34"/>
      <c r="CB1961" s="34"/>
      <c r="CC1961" s="34"/>
      <c r="CD1961" s="34"/>
      <c r="CE1961" s="34"/>
      <c r="CF1961" s="34"/>
      <c r="CG1961" s="34"/>
      <c r="CH1961" s="34"/>
      <c r="CI1961" s="34"/>
      <c r="CJ1961" s="34"/>
      <c r="CK1961" s="34"/>
      <c r="CL1961" s="34"/>
      <c r="CM1961" s="34"/>
      <c r="CN1961" s="34"/>
      <c r="CO1961" s="34"/>
      <c r="CP1961" s="34"/>
      <c r="CQ1961" s="34"/>
      <c r="CR1961" s="34"/>
      <c r="CS1961" s="34"/>
    </row>
    <row r="1962" spans="7:97" s="246" customFormat="1" x14ac:dyDescent="0.2">
      <c r="G1962" s="2188"/>
      <c r="BS1962" s="34"/>
      <c r="BT1962" s="34"/>
      <c r="BU1962" s="34"/>
      <c r="BV1962" s="34"/>
      <c r="BW1962" s="34"/>
      <c r="BX1962" s="34"/>
      <c r="BY1962" s="34"/>
      <c r="BZ1962" s="34"/>
      <c r="CA1962" s="34"/>
      <c r="CB1962" s="34"/>
      <c r="CC1962" s="34"/>
      <c r="CD1962" s="34"/>
      <c r="CE1962" s="34"/>
      <c r="CF1962" s="34"/>
      <c r="CG1962" s="34"/>
      <c r="CH1962" s="34"/>
      <c r="CI1962" s="34"/>
      <c r="CJ1962" s="34"/>
      <c r="CK1962" s="34"/>
      <c r="CL1962" s="34"/>
      <c r="CM1962" s="34"/>
      <c r="CN1962" s="34"/>
      <c r="CO1962" s="34"/>
      <c r="CP1962" s="34"/>
      <c r="CQ1962" s="34"/>
      <c r="CR1962" s="34"/>
      <c r="CS1962" s="34"/>
    </row>
    <row r="1963" spans="7:97" s="246" customFormat="1" x14ac:dyDescent="0.2">
      <c r="G1963" s="2188"/>
      <c r="BS1963" s="34"/>
      <c r="BT1963" s="34"/>
      <c r="BU1963" s="34"/>
      <c r="BV1963" s="34"/>
      <c r="BW1963" s="34"/>
      <c r="BX1963" s="34"/>
      <c r="BY1963" s="34"/>
      <c r="BZ1963" s="34"/>
      <c r="CA1963" s="34"/>
      <c r="CB1963" s="34"/>
      <c r="CC1963" s="34"/>
      <c r="CD1963" s="34"/>
      <c r="CE1963" s="34"/>
      <c r="CF1963" s="34"/>
      <c r="CG1963" s="34"/>
      <c r="CH1963" s="34"/>
      <c r="CI1963" s="34"/>
      <c r="CJ1963" s="34"/>
      <c r="CK1963" s="34"/>
      <c r="CL1963" s="34"/>
      <c r="CM1963" s="34"/>
      <c r="CN1963" s="34"/>
      <c r="CO1963" s="34"/>
      <c r="CP1963" s="34"/>
      <c r="CQ1963" s="34"/>
      <c r="CR1963" s="34"/>
      <c r="CS1963" s="34"/>
    </row>
    <row r="1964" spans="7:97" s="246" customFormat="1" x14ac:dyDescent="0.2">
      <c r="G1964" s="2188"/>
      <c r="BS1964" s="34"/>
      <c r="BT1964" s="34"/>
      <c r="BU1964" s="34"/>
      <c r="BV1964" s="34"/>
      <c r="BW1964" s="34"/>
      <c r="BX1964" s="34"/>
      <c r="BY1964" s="34"/>
      <c r="BZ1964" s="34"/>
      <c r="CA1964" s="34"/>
      <c r="CB1964" s="34"/>
      <c r="CC1964" s="34"/>
      <c r="CD1964" s="34"/>
      <c r="CE1964" s="34"/>
      <c r="CF1964" s="34"/>
      <c r="CG1964" s="34"/>
      <c r="CH1964" s="34"/>
      <c r="CI1964" s="34"/>
      <c r="CJ1964" s="34"/>
      <c r="CK1964" s="34"/>
      <c r="CL1964" s="34"/>
      <c r="CM1964" s="34"/>
      <c r="CN1964" s="34"/>
      <c r="CO1964" s="34"/>
      <c r="CP1964" s="34"/>
      <c r="CQ1964" s="34"/>
      <c r="CR1964" s="34"/>
      <c r="CS1964" s="34"/>
    </row>
    <row r="1965" spans="7:97" s="246" customFormat="1" x14ac:dyDescent="0.2">
      <c r="G1965" s="2188"/>
      <c r="BS1965" s="34"/>
      <c r="BT1965" s="34"/>
      <c r="BU1965" s="34"/>
      <c r="BV1965" s="34"/>
      <c r="BW1965" s="34"/>
      <c r="BX1965" s="34"/>
      <c r="BY1965" s="34"/>
      <c r="BZ1965" s="34"/>
      <c r="CA1965" s="34"/>
      <c r="CB1965" s="34"/>
      <c r="CC1965" s="34"/>
      <c r="CD1965" s="34"/>
      <c r="CE1965" s="34"/>
      <c r="CF1965" s="34"/>
      <c r="CG1965" s="34"/>
      <c r="CH1965" s="34"/>
      <c r="CI1965" s="34"/>
      <c r="CJ1965" s="34"/>
      <c r="CK1965" s="34"/>
      <c r="CL1965" s="34"/>
      <c r="CM1965" s="34"/>
      <c r="CN1965" s="34"/>
      <c r="CO1965" s="34"/>
      <c r="CP1965" s="34"/>
      <c r="CQ1965" s="34"/>
      <c r="CR1965" s="34"/>
      <c r="CS1965" s="34"/>
    </row>
    <row r="1966" spans="7:97" s="246" customFormat="1" x14ac:dyDescent="0.2">
      <c r="G1966" s="2188"/>
      <c r="BS1966" s="34"/>
      <c r="BT1966" s="34"/>
      <c r="BU1966" s="34"/>
      <c r="BV1966" s="34"/>
      <c r="BW1966" s="34"/>
      <c r="BX1966" s="34"/>
      <c r="BY1966" s="34"/>
      <c r="BZ1966" s="34"/>
      <c r="CA1966" s="34"/>
      <c r="CB1966" s="34"/>
      <c r="CC1966" s="34"/>
      <c r="CD1966" s="34"/>
      <c r="CE1966" s="34"/>
      <c r="CF1966" s="34"/>
      <c r="CG1966" s="34"/>
      <c r="CH1966" s="34"/>
      <c r="CI1966" s="34"/>
      <c r="CJ1966" s="34"/>
      <c r="CK1966" s="34"/>
      <c r="CL1966" s="34"/>
      <c r="CM1966" s="34"/>
      <c r="CN1966" s="34"/>
      <c r="CO1966" s="34"/>
      <c r="CP1966" s="34"/>
      <c r="CQ1966" s="34"/>
      <c r="CR1966" s="34"/>
      <c r="CS1966" s="34"/>
    </row>
    <row r="1967" spans="7:97" s="246" customFormat="1" x14ac:dyDescent="0.2">
      <c r="G1967" s="2188"/>
      <c r="BS1967" s="34"/>
      <c r="BT1967" s="34"/>
      <c r="BU1967" s="34"/>
      <c r="BV1967" s="34"/>
      <c r="BW1967" s="34"/>
      <c r="BX1967" s="34"/>
      <c r="BY1967" s="34"/>
      <c r="BZ1967" s="34"/>
      <c r="CA1967" s="34"/>
      <c r="CB1967" s="34"/>
      <c r="CC1967" s="34"/>
      <c r="CD1967" s="34"/>
      <c r="CE1967" s="34"/>
      <c r="CF1967" s="34"/>
      <c r="CG1967" s="34"/>
      <c r="CH1967" s="34"/>
      <c r="CI1967" s="34"/>
      <c r="CJ1967" s="34"/>
      <c r="CK1967" s="34"/>
      <c r="CL1967" s="34"/>
      <c r="CM1967" s="34"/>
      <c r="CN1967" s="34"/>
      <c r="CO1967" s="34"/>
      <c r="CP1967" s="34"/>
      <c r="CQ1967" s="34"/>
      <c r="CR1967" s="34"/>
      <c r="CS1967" s="34"/>
    </row>
    <row r="1968" spans="7:97" s="246" customFormat="1" x14ac:dyDescent="0.2">
      <c r="G1968" s="2188"/>
      <c r="BS1968" s="34"/>
      <c r="BT1968" s="34"/>
      <c r="BU1968" s="34"/>
      <c r="BV1968" s="34"/>
      <c r="BW1968" s="34"/>
      <c r="BX1968" s="34"/>
      <c r="BY1968" s="34"/>
      <c r="BZ1968" s="34"/>
      <c r="CA1968" s="34"/>
      <c r="CB1968" s="34"/>
      <c r="CC1968" s="34"/>
      <c r="CD1968" s="34"/>
      <c r="CE1968" s="34"/>
      <c r="CF1968" s="34"/>
      <c r="CG1968" s="34"/>
      <c r="CH1968" s="34"/>
      <c r="CI1968" s="34"/>
      <c r="CJ1968" s="34"/>
      <c r="CK1968" s="34"/>
      <c r="CL1968" s="34"/>
      <c r="CM1968" s="34"/>
      <c r="CN1968" s="34"/>
      <c r="CO1968" s="34"/>
      <c r="CP1968" s="34"/>
      <c r="CQ1968" s="34"/>
      <c r="CR1968" s="34"/>
      <c r="CS1968" s="34"/>
    </row>
    <row r="1969" spans="7:97" s="246" customFormat="1" x14ac:dyDescent="0.2">
      <c r="G1969" s="2188"/>
      <c r="BS1969" s="34"/>
      <c r="BT1969" s="34"/>
      <c r="BU1969" s="34"/>
      <c r="BV1969" s="34"/>
      <c r="BW1969" s="34"/>
      <c r="BX1969" s="34"/>
      <c r="BY1969" s="34"/>
      <c r="BZ1969" s="34"/>
      <c r="CA1969" s="34"/>
      <c r="CB1969" s="34"/>
      <c r="CC1969" s="34"/>
      <c r="CD1969" s="34"/>
      <c r="CE1969" s="34"/>
      <c r="CF1969" s="34"/>
      <c r="CG1969" s="34"/>
      <c r="CH1969" s="34"/>
      <c r="CI1969" s="34"/>
      <c r="CJ1969" s="34"/>
      <c r="CK1969" s="34"/>
      <c r="CL1969" s="34"/>
      <c r="CM1969" s="34"/>
      <c r="CN1969" s="34"/>
      <c r="CO1969" s="34"/>
      <c r="CP1969" s="34"/>
      <c r="CQ1969" s="34"/>
      <c r="CR1969" s="34"/>
      <c r="CS1969" s="34"/>
    </row>
    <row r="1970" spans="7:97" s="246" customFormat="1" x14ac:dyDescent="0.2">
      <c r="G1970" s="2188"/>
      <c r="BS1970" s="34"/>
      <c r="BT1970" s="34"/>
      <c r="BU1970" s="34"/>
      <c r="BV1970" s="34"/>
      <c r="BW1970" s="34"/>
      <c r="BX1970" s="34"/>
      <c r="BY1970" s="34"/>
      <c r="BZ1970" s="34"/>
      <c r="CA1970" s="34"/>
      <c r="CB1970" s="34"/>
      <c r="CC1970" s="34"/>
      <c r="CD1970" s="34"/>
      <c r="CE1970" s="34"/>
      <c r="CF1970" s="34"/>
      <c r="CG1970" s="34"/>
      <c r="CH1970" s="34"/>
      <c r="CI1970" s="34"/>
      <c r="CJ1970" s="34"/>
      <c r="CK1970" s="34"/>
      <c r="CL1970" s="34"/>
      <c r="CM1970" s="34"/>
      <c r="CN1970" s="34"/>
      <c r="CO1970" s="34"/>
      <c r="CP1970" s="34"/>
      <c r="CQ1970" s="34"/>
      <c r="CR1970" s="34"/>
      <c r="CS1970" s="34"/>
    </row>
    <row r="1971" spans="7:97" s="246" customFormat="1" x14ac:dyDescent="0.2">
      <c r="G1971" s="2188"/>
      <c r="BS1971" s="34"/>
      <c r="BT1971" s="34"/>
      <c r="BU1971" s="34"/>
      <c r="BV1971" s="34"/>
      <c r="BW1971" s="34"/>
      <c r="BX1971" s="34"/>
      <c r="BY1971" s="34"/>
      <c r="BZ1971" s="34"/>
      <c r="CA1971" s="34"/>
      <c r="CB1971" s="34"/>
      <c r="CC1971" s="34"/>
      <c r="CD1971" s="34"/>
      <c r="CE1971" s="34"/>
      <c r="CF1971" s="34"/>
      <c r="CG1971" s="34"/>
      <c r="CH1971" s="34"/>
      <c r="CI1971" s="34"/>
      <c r="CJ1971" s="34"/>
      <c r="CK1971" s="34"/>
      <c r="CL1971" s="34"/>
      <c r="CM1971" s="34"/>
      <c r="CN1971" s="34"/>
      <c r="CO1971" s="34"/>
      <c r="CP1971" s="34"/>
      <c r="CQ1971" s="34"/>
      <c r="CR1971" s="34"/>
      <c r="CS1971" s="34"/>
    </row>
    <row r="1972" spans="7:97" s="246" customFormat="1" x14ac:dyDescent="0.2">
      <c r="G1972" s="2188"/>
      <c r="BS1972" s="34"/>
      <c r="BT1972" s="34"/>
      <c r="BU1972" s="34"/>
      <c r="BV1972" s="34"/>
      <c r="BW1972" s="34"/>
      <c r="BX1972" s="34"/>
      <c r="BY1972" s="34"/>
      <c r="BZ1972" s="34"/>
      <c r="CA1972" s="34"/>
      <c r="CB1972" s="34"/>
      <c r="CC1972" s="34"/>
      <c r="CD1972" s="34"/>
      <c r="CE1972" s="34"/>
      <c r="CF1972" s="34"/>
      <c r="CG1972" s="34"/>
      <c r="CH1972" s="34"/>
      <c r="CI1972" s="34"/>
      <c r="CJ1972" s="34"/>
      <c r="CK1972" s="34"/>
      <c r="CL1972" s="34"/>
      <c r="CM1972" s="34"/>
      <c r="CN1972" s="34"/>
      <c r="CO1972" s="34"/>
      <c r="CP1972" s="34"/>
      <c r="CQ1972" s="34"/>
      <c r="CR1972" s="34"/>
      <c r="CS1972" s="34"/>
    </row>
    <row r="1973" spans="7:97" s="246" customFormat="1" x14ac:dyDescent="0.2">
      <c r="G1973" s="2188"/>
      <c r="BS1973" s="34"/>
      <c r="BT1973" s="34"/>
      <c r="BU1973" s="34"/>
      <c r="BV1973" s="34"/>
      <c r="BW1973" s="34"/>
      <c r="BX1973" s="34"/>
      <c r="BY1973" s="34"/>
      <c r="BZ1973" s="34"/>
      <c r="CA1973" s="34"/>
      <c r="CB1973" s="34"/>
      <c r="CC1973" s="34"/>
      <c r="CD1973" s="34"/>
      <c r="CE1973" s="34"/>
      <c r="CF1973" s="34"/>
      <c r="CG1973" s="34"/>
      <c r="CH1973" s="34"/>
      <c r="CI1973" s="34"/>
      <c r="CJ1973" s="34"/>
      <c r="CK1973" s="34"/>
      <c r="CL1973" s="34"/>
      <c r="CM1973" s="34"/>
      <c r="CN1973" s="34"/>
      <c r="CO1973" s="34"/>
      <c r="CP1973" s="34"/>
      <c r="CQ1973" s="34"/>
      <c r="CR1973" s="34"/>
      <c r="CS1973" s="34"/>
    </row>
    <row r="1974" spans="7:97" s="246" customFormat="1" x14ac:dyDescent="0.2">
      <c r="G1974" s="2188"/>
      <c r="BS1974" s="34"/>
      <c r="BT1974" s="34"/>
      <c r="BU1974" s="34"/>
      <c r="BV1974" s="34"/>
      <c r="BW1974" s="34"/>
      <c r="BX1974" s="34"/>
      <c r="BY1974" s="34"/>
      <c r="BZ1974" s="34"/>
      <c r="CA1974" s="34"/>
      <c r="CB1974" s="34"/>
      <c r="CC1974" s="34"/>
      <c r="CD1974" s="34"/>
      <c r="CE1974" s="34"/>
      <c r="CF1974" s="34"/>
      <c r="CG1974" s="34"/>
      <c r="CH1974" s="34"/>
      <c r="CI1974" s="34"/>
      <c r="CJ1974" s="34"/>
      <c r="CK1974" s="34"/>
      <c r="CL1974" s="34"/>
      <c r="CM1974" s="34"/>
      <c r="CN1974" s="34"/>
      <c r="CO1974" s="34"/>
      <c r="CP1974" s="34"/>
      <c r="CQ1974" s="34"/>
      <c r="CR1974" s="34"/>
      <c r="CS1974" s="34"/>
    </row>
    <row r="1975" spans="7:97" s="246" customFormat="1" x14ac:dyDescent="0.2">
      <c r="G1975" s="2188"/>
      <c r="BS1975" s="34"/>
      <c r="BT1975" s="34"/>
      <c r="BU1975" s="34"/>
      <c r="BV1975" s="34"/>
      <c r="BW1975" s="34"/>
      <c r="BX1975" s="34"/>
      <c r="BY1975" s="34"/>
      <c r="BZ1975" s="34"/>
      <c r="CA1975" s="34"/>
      <c r="CB1975" s="34"/>
      <c r="CC1975" s="34"/>
      <c r="CD1975" s="34"/>
      <c r="CE1975" s="34"/>
      <c r="CF1975" s="34"/>
      <c r="CG1975" s="34"/>
      <c r="CH1975" s="34"/>
      <c r="CI1975" s="34"/>
      <c r="CJ1975" s="34"/>
      <c r="CK1975" s="34"/>
      <c r="CL1975" s="34"/>
      <c r="CM1975" s="34"/>
      <c r="CN1975" s="34"/>
      <c r="CO1975" s="34"/>
      <c r="CP1975" s="34"/>
      <c r="CQ1975" s="34"/>
      <c r="CR1975" s="34"/>
      <c r="CS1975" s="34"/>
    </row>
    <row r="1976" spans="7:97" s="246" customFormat="1" x14ac:dyDescent="0.2">
      <c r="G1976" s="2188"/>
      <c r="BS1976" s="34"/>
      <c r="BT1976" s="34"/>
      <c r="BU1976" s="34"/>
      <c r="BV1976" s="34"/>
      <c r="BW1976" s="34"/>
      <c r="BX1976" s="34"/>
      <c r="BY1976" s="34"/>
      <c r="BZ1976" s="34"/>
      <c r="CA1976" s="34"/>
      <c r="CB1976" s="34"/>
      <c r="CC1976" s="34"/>
      <c r="CD1976" s="34"/>
      <c r="CE1976" s="34"/>
      <c r="CF1976" s="34"/>
      <c r="CG1976" s="34"/>
      <c r="CH1976" s="34"/>
      <c r="CI1976" s="34"/>
      <c r="CJ1976" s="34"/>
      <c r="CK1976" s="34"/>
      <c r="CL1976" s="34"/>
      <c r="CM1976" s="34"/>
      <c r="CN1976" s="34"/>
      <c r="CO1976" s="34"/>
      <c r="CP1976" s="34"/>
      <c r="CQ1976" s="34"/>
      <c r="CR1976" s="34"/>
      <c r="CS1976" s="34"/>
    </row>
    <row r="1977" spans="7:97" s="246" customFormat="1" x14ac:dyDescent="0.2">
      <c r="G1977" s="2188"/>
      <c r="BS1977" s="34"/>
      <c r="BT1977" s="34"/>
      <c r="BU1977" s="34"/>
      <c r="BV1977" s="34"/>
      <c r="BW1977" s="34"/>
      <c r="BX1977" s="34"/>
      <c r="BY1977" s="34"/>
      <c r="BZ1977" s="34"/>
      <c r="CA1977" s="34"/>
      <c r="CB1977" s="34"/>
      <c r="CC1977" s="34"/>
      <c r="CD1977" s="34"/>
      <c r="CE1977" s="34"/>
      <c r="CF1977" s="34"/>
      <c r="CG1977" s="34"/>
      <c r="CH1977" s="34"/>
      <c r="CI1977" s="34"/>
      <c r="CJ1977" s="34"/>
      <c r="CK1977" s="34"/>
      <c r="CL1977" s="34"/>
      <c r="CM1977" s="34"/>
      <c r="CN1977" s="34"/>
      <c r="CO1977" s="34"/>
      <c r="CP1977" s="34"/>
      <c r="CQ1977" s="34"/>
      <c r="CR1977" s="34"/>
      <c r="CS1977" s="34"/>
    </row>
    <row r="1978" spans="7:97" s="246" customFormat="1" x14ac:dyDescent="0.2">
      <c r="G1978" s="2188"/>
      <c r="BS1978" s="34"/>
      <c r="BT1978" s="34"/>
      <c r="BU1978" s="34"/>
      <c r="BV1978" s="34"/>
      <c r="BW1978" s="34"/>
      <c r="BX1978" s="34"/>
      <c r="BY1978" s="34"/>
      <c r="BZ1978" s="34"/>
      <c r="CA1978" s="34"/>
      <c r="CB1978" s="34"/>
      <c r="CC1978" s="34"/>
      <c r="CD1978" s="34"/>
      <c r="CE1978" s="34"/>
      <c r="CF1978" s="34"/>
      <c r="CG1978" s="34"/>
      <c r="CH1978" s="34"/>
      <c r="CI1978" s="34"/>
      <c r="CJ1978" s="34"/>
      <c r="CK1978" s="34"/>
      <c r="CL1978" s="34"/>
      <c r="CM1978" s="34"/>
      <c r="CN1978" s="34"/>
      <c r="CO1978" s="34"/>
      <c r="CP1978" s="34"/>
      <c r="CQ1978" s="34"/>
      <c r="CR1978" s="34"/>
      <c r="CS1978" s="34"/>
    </row>
    <row r="1979" spans="7:97" s="246" customFormat="1" x14ac:dyDescent="0.2">
      <c r="G1979" s="2188"/>
      <c r="BS1979" s="34"/>
      <c r="BT1979" s="34"/>
      <c r="BU1979" s="34"/>
      <c r="BV1979" s="34"/>
      <c r="BW1979" s="34"/>
      <c r="BX1979" s="34"/>
      <c r="BY1979" s="34"/>
      <c r="BZ1979" s="34"/>
      <c r="CA1979" s="34"/>
      <c r="CB1979" s="34"/>
      <c r="CC1979" s="34"/>
      <c r="CD1979" s="34"/>
      <c r="CE1979" s="34"/>
      <c r="CF1979" s="34"/>
      <c r="CG1979" s="34"/>
      <c r="CH1979" s="34"/>
      <c r="CI1979" s="34"/>
      <c r="CJ1979" s="34"/>
      <c r="CK1979" s="34"/>
      <c r="CL1979" s="34"/>
      <c r="CM1979" s="34"/>
      <c r="CN1979" s="34"/>
      <c r="CO1979" s="34"/>
      <c r="CP1979" s="34"/>
      <c r="CQ1979" s="34"/>
      <c r="CR1979" s="34"/>
      <c r="CS1979" s="34"/>
    </row>
    <row r="1980" spans="7:97" s="246" customFormat="1" x14ac:dyDescent="0.2">
      <c r="G1980" s="2188"/>
      <c r="BS1980" s="34"/>
      <c r="BT1980" s="34"/>
      <c r="BU1980" s="34"/>
      <c r="BV1980" s="34"/>
      <c r="BW1980" s="34"/>
      <c r="BX1980" s="34"/>
      <c r="BY1980" s="34"/>
      <c r="BZ1980" s="34"/>
      <c r="CA1980" s="34"/>
      <c r="CB1980" s="34"/>
      <c r="CC1980" s="34"/>
      <c r="CD1980" s="34"/>
      <c r="CE1980" s="34"/>
      <c r="CF1980" s="34"/>
      <c r="CG1980" s="34"/>
      <c r="CH1980" s="34"/>
      <c r="CI1980" s="34"/>
      <c r="CJ1980" s="34"/>
      <c r="CK1980" s="34"/>
      <c r="CL1980" s="34"/>
      <c r="CM1980" s="34"/>
      <c r="CN1980" s="34"/>
      <c r="CO1980" s="34"/>
      <c r="CP1980" s="34"/>
      <c r="CQ1980" s="34"/>
      <c r="CR1980" s="34"/>
      <c r="CS1980" s="34"/>
    </row>
    <row r="1981" spans="7:97" s="246" customFormat="1" x14ac:dyDescent="0.2">
      <c r="G1981" s="2188"/>
      <c r="BS1981" s="34"/>
      <c r="BT1981" s="34"/>
      <c r="BU1981" s="34"/>
      <c r="BV1981" s="34"/>
      <c r="BW1981" s="34"/>
      <c r="BX1981" s="34"/>
      <c r="BY1981" s="34"/>
      <c r="BZ1981" s="34"/>
      <c r="CA1981" s="34"/>
      <c r="CB1981" s="34"/>
      <c r="CC1981" s="34"/>
      <c r="CD1981" s="34"/>
      <c r="CE1981" s="34"/>
      <c r="CF1981" s="34"/>
      <c r="CG1981" s="34"/>
      <c r="CH1981" s="34"/>
      <c r="CI1981" s="34"/>
      <c r="CJ1981" s="34"/>
      <c r="CK1981" s="34"/>
      <c r="CL1981" s="34"/>
      <c r="CM1981" s="34"/>
      <c r="CN1981" s="34"/>
      <c r="CO1981" s="34"/>
      <c r="CP1981" s="34"/>
      <c r="CQ1981" s="34"/>
      <c r="CR1981" s="34"/>
      <c r="CS1981" s="34"/>
    </row>
    <row r="1982" spans="7:97" s="246" customFormat="1" x14ac:dyDescent="0.2">
      <c r="G1982" s="2188"/>
      <c r="BS1982" s="34"/>
      <c r="BT1982" s="34"/>
      <c r="BU1982" s="34"/>
      <c r="BV1982" s="34"/>
      <c r="BW1982" s="34"/>
      <c r="BX1982" s="34"/>
      <c r="BY1982" s="34"/>
      <c r="BZ1982" s="34"/>
      <c r="CA1982" s="34"/>
      <c r="CB1982" s="34"/>
      <c r="CC1982" s="34"/>
      <c r="CD1982" s="34"/>
      <c r="CE1982" s="34"/>
      <c r="CF1982" s="34"/>
      <c r="CG1982" s="34"/>
      <c r="CH1982" s="34"/>
      <c r="CI1982" s="34"/>
      <c r="CJ1982" s="34"/>
      <c r="CK1982" s="34"/>
      <c r="CL1982" s="34"/>
      <c r="CM1982" s="34"/>
      <c r="CN1982" s="34"/>
      <c r="CO1982" s="34"/>
      <c r="CP1982" s="34"/>
      <c r="CQ1982" s="34"/>
      <c r="CR1982" s="34"/>
      <c r="CS1982" s="34"/>
    </row>
    <row r="1983" spans="7:97" s="246" customFormat="1" x14ac:dyDescent="0.2">
      <c r="G1983" s="2188"/>
      <c r="BS1983" s="34"/>
      <c r="BT1983" s="34"/>
      <c r="BU1983" s="34"/>
      <c r="BV1983" s="34"/>
      <c r="BW1983" s="34"/>
      <c r="BX1983" s="34"/>
      <c r="BY1983" s="34"/>
      <c r="BZ1983" s="34"/>
      <c r="CA1983" s="34"/>
      <c r="CB1983" s="34"/>
      <c r="CC1983" s="34"/>
      <c r="CD1983" s="34"/>
      <c r="CE1983" s="34"/>
      <c r="CF1983" s="34"/>
      <c r="CG1983" s="34"/>
      <c r="CH1983" s="34"/>
      <c r="CI1983" s="34"/>
      <c r="CJ1983" s="34"/>
      <c r="CK1983" s="34"/>
      <c r="CL1983" s="34"/>
      <c r="CM1983" s="34"/>
      <c r="CN1983" s="34"/>
      <c r="CO1983" s="34"/>
      <c r="CP1983" s="34"/>
      <c r="CQ1983" s="34"/>
      <c r="CR1983" s="34"/>
      <c r="CS1983" s="34"/>
    </row>
    <row r="1984" spans="7:97" s="246" customFormat="1" x14ac:dyDescent="0.2">
      <c r="G1984" s="2188"/>
      <c r="BS1984" s="34"/>
      <c r="BT1984" s="34"/>
      <c r="BU1984" s="34"/>
      <c r="BV1984" s="34"/>
      <c r="BW1984" s="34"/>
      <c r="BX1984" s="34"/>
      <c r="BY1984" s="34"/>
      <c r="BZ1984" s="34"/>
      <c r="CA1984" s="34"/>
      <c r="CB1984" s="34"/>
      <c r="CC1984" s="34"/>
      <c r="CD1984" s="34"/>
      <c r="CE1984" s="34"/>
      <c r="CF1984" s="34"/>
      <c r="CG1984" s="34"/>
      <c r="CH1984" s="34"/>
      <c r="CI1984" s="34"/>
      <c r="CJ1984" s="34"/>
      <c r="CK1984" s="34"/>
      <c r="CL1984" s="34"/>
      <c r="CM1984" s="34"/>
      <c r="CN1984" s="34"/>
      <c r="CO1984" s="34"/>
      <c r="CP1984" s="34"/>
      <c r="CQ1984" s="34"/>
      <c r="CR1984" s="34"/>
      <c r="CS1984" s="34"/>
    </row>
    <row r="1985" spans="7:97" s="246" customFormat="1" x14ac:dyDescent="0.2">
      <c r="G1985" s="2188"/>
      <c r="BS1985" s="34"/>
      <c r="BT1985" s="34"/>
      <c r="BU1985" s="34"/>
      <c r="BV1985" s="34"/>
      <c r="BW1985" s="34"/>
      <c r="BX1985" s="34"/>
      <c r="BY1985" s="34"/>
      <c r="BZ1985" s="34"/>
      <c r="CA1985" s="34"/>
      <c r="CB1985" s="34"/>
      <c r="CC1985" s="34"/>
      <c r="CD1985" s="34"/>
      <c r="CE1985" s="34"/>
      <c r="CF1985" s="34"/>
      <c r="CG1985" s="34"/>
      <c r="CH1985" s="34"/>
      <c r="CI1985" s="34"/>
      <c r="CJ1985" s="34"/>
      <c r="CK1985" s="34"/>
      <c r="CL1985" s="34"/>
      <c r="CM1985" s="34"/>
      <c r="CN1985" s="34"/>
      <c r="CO1985" s="34"/>
      <c r="CP1985" s="34"/>
      <c r="CQ1985" s="34"/>
      <c r="CR1985" s="34"/>
      <c r="CS1985" s="34"/>
    </row>
    <row r="1986" spans="7:97" s="246" customFormat="1" x14ac:dyDescent="0.2">
      <c r="G1986" s="2188"/>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row>
    <row r="1987" spans="7:97" s="246" customFormat="1" x14ac:dyDescent="0.2">
      <c r="G1987" s="2188"/>
      <c r="BS1987" s="34"/>
      <c r="BT1987" s="34"/>
      <c r="BU1987" s="34"/>
      <c r="BV1987" s="34"/>
      <c r="BW1987" s="34"/>
      <c r="BX1987" s="34"/>
      <c r="BY1987" s="34"/>
      <c r="BZ1987" s="34"/>
      <c r="CA1987" s="34"/>
      <c r="CB1987" s="34"/>
      <c r="CC1987" s="34"/>
      <c r="CD1987" s="34"/>
      <c r="CE1987" s="34"/>
      <c r="CF1987" s="34"/>
      <c r="CG1987" s="34"/>
      <c r="CH1987" s="34"/>
      <c r="CI1987" s="34"/>
      <c r="CJ1987" s="34"/>
      <c r="CK1987" s="34"/>
      <c r="CL1987" s="34"/>
      <c r="CM1987" s="34"/>
      <c r="CN1987" s="34"/>
      <c r="CO1987" s="34"/>
      <c r="CP1987" s="34"/>
      <c r="CQ1987" s="34"/>
      <c r="CR1987" s="34"/>
      <c r="CS1987" s="34"/>
    </row>
    <row r="1988" spans="7:97" s="246" customFormat="1" x14ac:dyDescent="0.2">
      <c r="G1988" s="2188"/>
      <c r="BS1988" s="34"/>
      <c r="BT1988" s="34"/>
      <c r="BU1988" s="34"/>
      <c r="BV1988" s="34"/>
      <c r="BW1988" s="34"/>
      <c r="BX1988" s="34"/>
      <c r="BY1988" s="34"/>
      <c r="BZ1988" s="34"/>
      <c r="CA1988" s="34"/>
      <c r="CB1988" s="34"/>
      <c r="CC1988" s="34"/>
      <c r="CD1988" s="34"/>
      <c r="CE1988" s="34"/>
      <c r="CF1988" s="34"/>
      <c r="CG1988" s="34"/>
      <c r="CH1988" s="34"/>
      <c r="CI1988" s="34"/>
      <c r="CJ1988" s="34"/>
      <c r="CK1988" s="34"/>
      <c r="CL1988" s="34"/>
      <c r="CM1988" s="34"/>
      <c r="CN1988" s="34"/>
      <c r="CO1988" s="34"/>
      <c r="CP1988" s="34"/>
      <c r="CQ1988" s="34"/>
      <c r="CR1988" s="34"/>
      <c r="CS1988" s="34"/>
    </row>
    <row r="1989" spans="7:97" s="246" customFormat="1" x14ac:dyDescent="0.2">
      <c r="G1989" s="2188"/>
      <c r="BS1989" s="34"/>
      <c r="BT1989" s="34"/>
      <c r="BU1989" s="34"/>
      <c r="BV1989" s="34"/>
      <c r="BW1989" s="34"/>
      <c r="BX1989" s="34"/>
      <c r="BY1989" s="34"/>
      <c r="BZ1989" s="34"/>
      <c r="CA1989" s="34"/>
      <c r="CB1989" s="34"/>
      <c r="CC1989" s="34"/>
      <c r="CD1989" s="34"/>
      <c r="CE1989" s="34"/>
      <c r="CF1989" s="34"/>
      <c r="CG1989" s="34"/>
      <c r="CH1989" s="34"/>
      <c r="CI1989" s="34"/>
      <c r="CJ1989" s="34"/>
      <c r="CK1989" s="34"/>
      <c r="CL1989" s="34"/>
      <c r="CM1989" s="34"/>
      <c r="CN1989" s="34"/>
      <c r="CO1989" s="34"/>
      <c r="CP1989" s="34"/>
      <c r="CQ1989" s="34"/>
      <c r="CR1989" s="34"/>
      <c r="CS1989" s="34"/>
    </row>
    <row r="1990" spans="7:97" s="246" customFormat="1" x14ac:dyDescent="0.2">
      <c r="G1990" s="2188"/>
      <c r="BS1990" s="34"/>
      <c r="BT1990" s="34"/>
      <c r="BU1990" s="34"/>
      <c r="BV1990" s="34"/>
      <c r="BW1990" s="34"/>
      <c r="BX1990" s="34"/>
      <c r="BY1990" s="34"/>
      <c r="BZ1990" s="34"/>
      <c r="CA1990" s="34"/>
      <c r="CB1990" s="34"/>
      <c r="CC1990" s="34"/>
      <c r="CD1990" s="34"/>
      <c r="CE1990" s="34"/>
      <c r="CF1990" s="34"/>
      <c r="CG1990" s="34"/>
      <c r="CH1990" s="34"/>
      <c r="CI1990" s="34"/>
      <c r="CJ1990" s="34"/>
      <c r="CK1990" s="34"/>
      <c r="CL1990" s="34"/>
      <c r="CM1990" s="34"/>
      <c r="CN1990" s="34"/>
      <c r="CO1990" s="34"/>
      <c r="CP1990" s="34"/>
      <c r="CQ1990" s="34"/>
      <c r="CR1990" s="34"/>
      <c r="CS1990" s="34"/>
    </row>
    <row r="1991" spans="7:97" s="246" customFormat="1" x14ac:dyDescent="0.2">
      <c r="G1991" s="2188"/>
      <c r="BS1991" s="34"/>
      <c r="BT1991" s="34"/>
      <c r="BU1991" s="34"/>
      <c r="BV1991" s="34"/>
      <c r="BW1991" s="34"/>
      <c r="BX1991" s="34"/>
      <c r="BY1991" s="34"/>
      <c r="BZ1991" s="34"/>
      <c r="CA1991" s="34"/>
      <c r="CB1991" s="34"/>
      <c r="CC1991" s="34"/>
      <c r="CD1991" s="34"/>
      <c r="CE1991" s="34"/>
      <c r="CF1991" s="34"/>
      <c r="CG1991" s="34"/>
      <c r="CH1991" s="34"/>
      <c r="CI1991" s="34"/>
      <c r="CJ1991" s="34"/>
      <c r="CK1991" s="34"/>
      <c r="CL1991" s="34"/>
      <c r="CM1991" s="34"/>
      <c r="CN1991" s="34"/>
      <c r="CO1991" s="34"/>
      <c r="CP1991" s="34"/>
      <c r="CQ1991" s="34"/>
      <c r="CR1991" s="34"/>
      <c r="CS1991" s="34"/>
    </row>
    <row r="1992" spans="7:97" s="246" customFormat="1" x14ac:dyDescent="0.2">
      <c r="G1992" s="2188"/>
      <c r="BS1992" s="34"/>
      <c r="BT1992" s="34"/>
      <c r="BU1992" s="34"/>
      <c r="BV1992" s="34"/>
      <c r="BW1992" s="34"/>
      <c r="BX1992" s="34"/>
      <c r="BY1992" s="34"/>
      <c r="BZ1992" s="34"/>
      <c r="CA1992" s="34"/>
      <c r="CB1992" s="34"/>
      <c r="CC1992" s="34"/>
      <c r="CD1992" s="34"/>
      <c r="CE1992" s="34"/>
      <c r="CF1992" s="34"/>
      <c r="CG1992" s="34"/>
      <c r="CH1992" s="34"/>
      <c r="CI1992" s="34"/>
      <c r="CJ1992" s="34"/>
      <c r="CK1992" s="34"/>
      <c r="CL1992" s="34"/>
      <c r="CM1992" s="34"/>
      <c r="CN1992" s="34"/>
      <c r="CO1992" s="34"/>
      <c r="CP1992" s="34"/>
      <c r="CQ1992" s="34"/>
      <c r="CR1992" s="34"/>
      <c r="CS1992" s="34"/>
    </row>
    <row r="1993" spans="7:97" s="246" customFormat="1" x14ac:dyDescent="0.2">
      <c r="G1993" s="2188"/>
      <c r="BS1993" s="34"/>
      <c r="BT1993" s="34"/>
      <c r="BU1993" s="34"/>
      <c r="BV1993" s="34"/>
      <c r="BW1993" s="34"/>
      <c r="BX1993" s="34"/>
      <c r="BY1993" s="34"/>
      <c r="BZ1993" s="34"/>
      <c r="CA1993" s="34"/>
      <c r="CB1993" s="34"/>
      <c r="CC1993" s="34"/>
      <c r="CD1993" s="34"/>
      <c r="CE1993" s="34"/>
      <c r="CF1993" s="34"/>
      <c r="CG1993" s="34"/>
      <c r="CH1993" s="34"/>
      <c r="CI1993" s="34"/>
      <c r="CJ1993" s="34"/>
      <c r="CK1993" s="34"/>
      <c r="CL1993" s="34"/>
      <c r="CM1993" s="34"/>
      <c r="CN1993" s="34"/>
      <c r="CO1993" s="34"/>
      <c r="CP1993" s="34"/>
      <c r="CQ1993" s="34"/>
      <c r="CR1993" s="34"/>
      <c r="CS1993" s="34"/>
    </row>
    <row r="1994" spans="7:97" s="246" customFormat="1" x14ac:dyDescent="0.2">
      <c r="G1994" s="2188"/>
      <c r="BS1994" s="34"/>
      <c r="BT1994" s="34"/>
      <c r="BU1994" s="34"/>
      <c r="BV1994" s="34"/>
      <c r="BW1994" s="34"/>
      <c r="BX1994" s="34"/>
      <c r="BY1994" s="34"/>
      <c r="BZ1994" s="34"/>
      <c r="CA1994" s="34"/>
      <c r="CB1994" s="34"/>
      <c r="CC1994" s="34"/>
      <c r="CD1994" s="34"/>
      <c r="CE1994" s="34"/>
      <c r="CF1994" s="34"/>
      <c r="CG1994" s="34"/>
      <c r="CH1994" s="34"/>
      <c r="CI1994" s="34"/>
      <c r="CJ1994" s="34"/>
      <c r="CK1994" s="34"/>
      <c r="CL1994" s="34"/>
      <c r="CM1994" s="34"/>
      <c r="CN1994" s="34"/>
      <c r="CO1994" s="34"/>
      <c r="CP1994" s="34"/>
      <c r="CQ1994" s="34"/>
      <c r="CR1994" s="34"/>
      <c r="CS1994" s="34"/>
    </row>
    <row r="1995" spans="7:97" s="246" customFormat="1" x14ac:dyDescent="0.2">
      <c r="G1995" s="2188"/>
      <c r="BS1995" s="34"/>
      <c r="BT1995" s="34"/>
      <c r="BU1995" s="34"/>
      <c r="BV1995" s="34"/>
      <c r="BW1995" s="34"/>
      <c r="BX1995" s="34"/>
      <c r="BY1995" s="34"/>
      <c r="BZ1995" s="34"/>
      <c r="CA1995" s="34"/>
      <c r="CB1995" s="34"/>
      <c r="CC1995" s="34"/>
      <c r="CD1995" s="34"/>
      <c r="CE1995" s="34"/>
      <c r="CF1995" s="34"/>
      <c r="CG1995" s="34"/>
      <c r="CH1995" s="34"/>
      <c r="CI1995" s="34"/>
      <c r="CJ1995" s="34"/>
      <c r="CK1995" s="34"/>
      <c r="CL1995" s="34"/>
      <c r="CM1995" s="34"/>
      <c r="CN1995" s="34"/>
      <c r="CO1995" s="34"/>
      <c r="CP1995" s="34"/>
      <c r="CQ1995" s="34"/>
      <c r="CR1995" s="34"/>
      <c r="CS1995" s="34"/>
    </row>
    <row r="1996" spans="7:97" s="246" customFormat="1" x14ac:dyDescent="0.2">
      <c r="G1996" s="2188"/>
      <c r="BS1996" s="34"/>
      <c r="BT1996" s="34"/>
      <c r="BU1996" s="34"/>
      <c r="BV1996" s="34"/>
      <c r="BW1996" s="34"/>
      <c r="BX1996" s="34"/>
      <c r="BY1996" s="34"/>
      <c r="BZ1996" s="34"/>
      <c r="CA1996" s="34"/>
      <c r="CB1996" s="34"/>
      <c r="CC1996" s="34"/>
      <c r="CD1996" s="34"/>
      <c r="CE1996" s="34"/>
      <c r="CF1996" s="34"/>
      <c r="CG1996" s="34"/>
      <c r="CH1996" s="34"/>
      <c r="CI1996" s="34"/>
      <c r="CJ1996" s="34"/>
      <c r="CK1996" s="34"/>
      <c r="CL1996" s="34"/>
      <c r="CM1996" s="34"/>
      <c r="CN1996" s="34"/>
      <c r="CO1996" s="34"/>
      <c r="CP1996" s="34"/>
      <c r="CQ1996" s="34"/>
      <c r="CR1996" s="34"/>
      <c r="CS1996" s="34"/>
    </row>
    <row r="1997" spans="7:97" s="246" customFormat="1" x14ac:dyDescent="0.2">
      <c r="G1997" s="2188"/>
      <c r="BS1997" s="34"/>
      <c r="BT1997" s="34"/>
      <c r="BU1997" s="34"/>
      <c r="BV1997" s="34"/>
      <c r="BW1997" s="34"/>
      <c r="BX1997" s="34"/>
      <c r="BY1997" s="34"/>
      <c r="BZ1997" s="34"/>
      <c r="CA1997" s="34"/>
      <c r="CB1997" s="34"/>
      <c r="CC1997" s="34"/>
      <c r="CD1997" s="34"/>
      <c r="CE1997" s="34"/>
      <c r="CF1997" s="34"/>
      <c r="CG1997" s="34"/>
      <c r="CH1997" s="34"/>
      <c r="CI1997" s="34"/>
      <c r="CJ1997" s="34"/>
      <c r="CK1997" s="34"/>
      <c r="CL1997" s="34"/>
      <c r="CM1997" s="34"/>
      <c r="CN1997" s="34"/>
      <c r="CO1997" s="34"/>
      <c r="CP1997" s="34"/>
      <c r="CQ1997" s="34"/>
      <c r="CR1997" s="34"/>
      <c r="CS1997" s="34"/>
    </row>
    <row r="1998" spans="7:97" s="246" customFormat="1" x14ac:dyDescent="0.2">
      <c r="G1998" s="2188"/>
      <c r="BS1998" s="34"/>
      <c r="BT1998" s="34"/>
      <c r="BU1998" s="34"/>
      <c r="BV1998" s="34"/>
      <c r="BW1998" s="34"/>
      <c r="BX1998" s="34"/>
      <c r="BY1998" s="34"/>
      <c r="BZ1998" s="34"/>
      <c r="CA1998" s="34"/>
      <c r="CB1998" s="34"/>
      <c r="CC1998" s="34"/>
      <c r="CD1998" s="34"/>
      <c r="CE1998" s="34"/>
      <c r="CF1998" s="34"/>
      <c r="CG1998" s="34"/>
      <c r="CH1998" s="34"/>
      <c r="CI1998" s="34"/>
      <c r="CJ1998" s="34"/>
      <c r="CK1998" s="34"/>
      <c r="CL1998" s="34"/>
      <c r="CM1998" s="34"/>
      <c r="CN1998" s="34"/>
      <c r="CO1998" s="34"/>
      <c r="CP1998" s="34"/>
      <c r="CQ1998" s="34"/>
      <c r="CR1998" s="34"/>
      <c r="CS1998" s="34"/>
    </row>
    <row r="1999" spans="7:97" s="246" customFormat="1" x14ac:dyDescent="0.2">
      <c r="G1999" s="2188"/>
      <c r="BS1999" s="34"/>
      <c r="BT1999" s="34"/>
      <c r="BU1999" s="34"/>
      <c r="BV1999" s="34"/>
      <c r="BW1999" s="34"/>
      <c r="BX1999" s="34"/>
      <c r="BY1999" s="34"/>
      <c r="BZ1999" s="34"/>
      <c r="CA1999" s="34"/>
      <c r="CB1999" s="34"/>
      <c r="CC1999" s="34"/>
      <c r="CD1999" s="34"/>
      <c r="CE1999" s="34"/>
      <c r="CF1999" s="34"/>
      <c r="CG1999" s="34"/>
      <c r="CH1999" s="34"/>
      <c r="CI1999" s="34"/>
      <c r="CJ1999" s="34"/>
      <c r="CK1999" s="34"/>
      <c r="CL1999" s="34"/>
      <c r="CM1999" s="34"/>
      <c r="CN1999" s="34"/>
      <c r="CO1999" s="34"/>
      <c r="CP1999" s="34"/>
      <c r="CQ1999" s="34"/>
      <c r="CR1999" s="34"/>
      <c r="CS1999" s="34"/>
    </row>
    <row r="2000" spans="7:97" s="246" customFormat="1" x14ac:dyDescent="0.2">
      <c r="G2000" s="2188"/>
      <c r="BS2000" s="34"/>
      <c r="BT2000" s="34"/>
      <c r="BU2000" s="34"/>
      <c r="BV2000" s="34"/>
      <c r="BW2000" s="34"/>
      <c r="BX2000" s="34"/>
      <c r="BY2000" s="34"/>
      <c r="BZ2000" s="34"/>
      <c r="CA2000" s="34"/>
      <c r="CB2000" s="34"/>
      <c r="CC2000" s="34"/>
      <c r="CD2000" s="34"/>
      <c r="CE2000" s="34"/>
      <c r="CF2000" s="34"/>
      <c r="CG2000" s="34"/>
      <c r="CH2000" s="34"/>
      <c r="CI2000" s="34"/>
      <c r="CJ2000" s="34"/>
      <c r="CK2000" s="34"/>
      <c r="CL2000" s="34"/>
      <c r="CM2000" s="34"/>
      <c r="CN2000" s="34"/>
      <c r="CO2000" s="34"/>
      <c r="CP2000" s="34"/>
      <c r="CQ2000" s="34"/>
      <c r="CR2000" s="34"/>
      <c r="CS2000" s="34"/>
    </row>
    <row r="2001" spans="7:97" s="246" customFormat="1" x14ac:dyDescent="0.2">
      <c r="G2001" s="2188"/>
      <c r="BS2001" s="34"/>
      <c r="BT2001" s="34"/>
      <c r="BU2001" s="34"/>
      <c r="BV2001" s="34"/>
      <c r="BW2001" s="34"/>
      <c r="BX2001" s="34"/>
      <c r="BY2001" s="34"/>
      <c r="BZ2001" s="34"/>
      <c r="CA2001" s="34"/>
      <c r="CB2001" s="34"/>
      <c r="CC2001" s="34"/>
      <c r="CD2001" s="34"/>
      <c r="CE2001" s="34"/>
      <c r="CF2001" s="34"/>
      <c r="CG2001" s="34"/>
      <c r="CH2001" s="34"/>
      <c r="CI2001" s="34"/>
      <c r="CJ2001" s="34"/>
      <c r="CK2001" s="34"/>
      <c r="CL2001" s="34"/>
      <c r="CM2001" s="34"/>
      <c r="CN2001" s="34"/>
      <c r="CO2001" s="34"/>
      <c r="CP2001" s="34"/>
      <c r="CQ2001" s="34"/>
      <c r="CR2001" s="34"/>
      <c r="CS2001" s="34"/>
    </row>
    <row r="2002" spans="7:97" s="246" customFormat="1" x14ac:dyDescent="0.2">
      <c r="G2002" s="2188"/>
      <c r="BS2002" s="34"/>
      <c r="BT2002" s="34"/>
      <c r="BU2002" s="34"/>
      <c r="BV2002" s="34"/>
      <c r="BW2002" s="34"/>
      <c r="BX2002" s="34"/>
      <c r="BY2002" s="34"/>
      <c r="BZ2002" s="34"/>
      <c r="CA2002" s="34"/>
      <c r="CB2002" s="34"/>
      <c r="CC2002" s="34"/>
      <c r="CD2002" s="34"/>
      <c r="CE2002" s="34"/>
      <c r="CF2002" s="34"/>
      <c r="CG2002" s="34"/>
      <c r="CH2002" s="34"/>
      <c r="CI2002" s="34"/>
      <c r="CJ2002" s="34"/>
      <c r="CK2002" s="34"/>
      <c r="CL2002" s="34"/>
      <c r="CM2002" s="34"/>
      <c r="CN2002" s="34"/>
      <c r="CO2002" s="34"/>
      <c r="CP2002" s="34"/>
      <c r="CQ2002" s="34"/>
      <c r="CR2002" s="34"/>
      <c r="CS2002" s="34"/>
    </row>
    <row r="2003" spans="7:97" s="246" customFormat="1" x14ac:dyDescent="0.2">
      <c r="G2003" s="2188"/>
      <c r="BS2003" s="34"/>
      <c r="BT2003" s="34"/>
      <c r="BU2003" s="34"/>
      <c r="BV2003" s="34"/>
      <c r="BW2003" s="34"/>
      <c r="BX2003" s="34"/>
      <c r="BY2003" s="34"/>
      <c r="BZ2003" s="34"/>
      <c r="CA2003" s="34"/>
      <c r="CB2003" s="34"/>
      <c r="CC2003" s="34"/>
      <c r="CD2003" s="34"/>
      <c r="CE2003" s="34"/>
      <c r="CF2003" s="34"/>
      <c r="CG2003" s="34"/>
      <c r="CH2003" s="34"/>
      <c r="CI2003" s="34"/>
      <c r="CJ2003" s="34"/>
      <c r="CK2003" s="34"/>
      <c r="CL2003" s="34"/>
      <c r="CM2003" s="34"/>
      <c r="CN2003" s="34"/>
      <c r="CO2003" s="34"/>
      <c r="CP2003" s="34"/>
      <c r="CQ2003" s="34"/>
      <c r="CR2003" s="34"/>
      <c r="CS2003" s="34"/>
    </row>
    <row r="2004" spans="7:97" s="246" customFormat="1" x14ac:dyDescent="0.2">
      <c r="G2004" s="2188"/>
      <c r="BS2004" s="34"/>
      <c r="BT2004" s="34"/>
      <c r="BU2004" s="34"/>
      <c r="BV2004" s="34"/>
      <c r="BW2004" s="34"/>
      <c r="BX2004" s="34"/>
      <c r="BY2004" s="34"/>
      <c r="BZ2004" s="34"/>
      <c r="CA2004" s="34"/>
      <c r="CB2004" s="34"/>
      <c r="CC2004" s="34"/>
      <c r="CD2004" s="34"/>
      <c r="CE2004" s="34"/>
      <c r="CF2004" s="34"/>
      <c r="CG2004" s="34"/>
      <c r="CH2004" s="34"/>
      <c r="CI2004" s="34"/>
      <c r="CJ2004" s="34"/>
      <c r="CK2004" s="34"/>
      <c r="CL2004" s="34"/>
      <c r="CM2004" s="34"/>
      <c r="CN2004" s="34"/>
      <c r="CO2004" s="34"/>
      <c r="CP2004" s="34"/>
      <c r="CQ2004" s="34"/>
      <c r="CR2004" s="34"/>
      <c r="CS2004" s="34"/>
    </row>
    <row r="2005" spans="7:97" s="246" customFormat="1" x14ac:dyDescent="0.2">
      <c r="G2005" s="2188"/>
      <c r="BS2005" s="34"/>
      <c r="BT2005" s="34"/>
      <c r="BU2005" s="34"/>
      <c r="BV2005" s="34"/>
      <c r="BW2005" s="34"/>
      <c r="BX2005" s="34"/>
      <c r="BY2005" s="34"/>
      <c r="BZ2005" s="34"/>
      <c r="CA2005" s="34"/>
      <c r="CB2005" s="34"/>
      <c r="CC2005" s="34"/>
      <c r="CD2005" s="34"/>
      <c r="CE2005" s="34"/>
      <c r="CF2005" s="34"/>
      <c r="CG2005" s="34"/>
      <c r="CH2005" s="34"/>
      <c r="CI2005" s="34"/>
      <c r="CJ2005" s="34"/>
      <c r="CK2005" s="34"/>
      <c r="CL2005" s="34"/>
      <c r="CM2005" s="34"/>
      <c r="CN2005" s="34"/>
      <c r="CO2005" s="34"/>
      <c r="CP2005" s="34"/>
      <c r="CQ2005" s="34"/>
      <c r="CR2005" s="34"/>
      <c r="CS2005" s="34"/>
    </row>
    <row r="2006" spans="7:97" s="246" customFormat="1" x14ac:dyDescent="0.2">
      <c r="G2006" s="2188"/>
      <c r="BS2006" s="34"/>
      <c r="BT2006" s="34"/>
      <c r="BU2006" s="34"/>
      <c r="BV2006" s="34"/>
      <c r="BW2006" s="34"/>
      <c r="BX2006" s="34"/>
      <c r="BY2006" s="34"/>
      <c r="BZ2006" s="34"/>
      <c r="CA2006" s="34"/>
      <c r="CB2006" s="34"/>
      <c r="CC2006" s="34"/>
      <c r="CD2006" s="34"/>
      <c r="CE2006" s="34"/>
      <c r="CF2006" s="34"/>
      <c r="CG2006" s="34"/>
      <c r="CH2006" s="34"/>
      <c r="CI2006" s="34"/>
      <c r="CJ2006" s="34"/>
      <c r="CK2006" s="34"/>
      <c r="CL2006" s="34"/>
      <c r="CM2006" s="34"/>
      <c r="CN2006" s="34"/>
      <c r="CO2006" s="34"/>
      <c r="CP2006" s="34"/>
      <c r="CQ2006" s="34"/>
      <c r="CR2006" s="34"/>
      <c r="CS2006" s="34"/>
    </row>
    <row r="2007" spans="7:97" s="246" customFormat="1" x14ac:dyDescent="0.2">
      <c r="G2007" s="2188"/>
      <c r="BS2007" s="34"/>
      <c r="BT2007" s="34"/>
      <c r="BU2007" s="34"/>
      <c r="BV2007" s="34"/>
      <c r="BW2007" s="34"/>
      <c r="BX2007" s="34"/>
      <c r="BY2007" s="34"/>
      <c r="BZ2007" s="34"/>
      <c r="CA2007" s="34"/>
      <c r="CB2007" s="34"/>
      <c r="CC2007" s="34"/>
      <c r="CD2007" s="34"/>
      <c r="CE2007" s="34"/>
      <c r="CF2007" s="34"/>
      <c r="CG2007" s="34"/>
      <c r="CH2007" s="34"/>
      <c r="CI2007" s="34"/>
      <c r="CJ2007" s="34"/>
      <c r="CK2007" s="34"/>
      <c r="CL2007" s="34"/>
      <c r="CM2007" s="34"/>
      <c r="CN2007" s="34"/>
      <c r="CO2007" s="34"/>
      <c r="CP2007" s="34"/>
      <c r="CQ2007" s="34"/>
      <c r="CR2007" s="34"/>
      <c r="CS2007" s="34"/>
    </row>
    <row r="2008" spans="7:97" s="246" customFormat="1" x14ac:dyDescent="0.2">
      <c r="G2008" s="2188"/>
      <c r="BS2008" s="34"/>
      <c r="BT2008" s="34"/>
      <c r="BU2008" s="34"/>
      <c r="BV2008" s="34"/>
      <c r="BW2008" s="34"/>
      <c r="BX2008" s="34"/>
      <c r="BY2008" s="34"/>
      <c r="BZ2008" s="34"/>
      <c r="CA2008" s="34"/>
      <c r="CB2008" s="34"/>
      <c r="CC2008" s="34"/>
      <c r="CD2008" s="34"/>
      <c r="CE2008" s="34"/>
      <c r="CF2008" s="34"/>
      <c r="CG2008" s="34"/>
      <c r="CH2008" s="34"/>
      <c r="CI2008" s="34"/>
      <c r="CJ2008" s="34"/>
      <c r="CK2008" s="34"/>
      <c r="CL2008" s="34"/>
      <c r="CM2008" s="34"/>
      <c r="CN2008" s="34"/>
      <c r="CO2008" s="34"/>
      <c r="CP2008" s="34"/>
      <c r="CQ2008" s="34"/>
      <c r="CR2008" s="34"/>
      <c r="CS2008" s="34"/>
    </row>
    <row r="2009" spans="7:97" s="246" customFormat="1" x14ac:dyDescent="0.2">
      <c r="G2009" s="2188"/>
      <c r="BS2009" s="34"/>
      <c r="BT2009" s="34"/>
      <c r="BU2009" s="34"/>
      <c r="BV2009" s="34"/>
      <c r="BW2009" s="34"/>
      <c r="BX2009" s="34"/>
      <c r="BY2009" s="34"/>
      <c r="BZ2009" s="34"/>
      <c r="CA2009" s="34"/>
      <c r="CB2009" s="34"/>
      <c r="CC2009" s="34"/>
      <c r="CD2009" s="34"/>
      <c r="CE2009" s="34"/>
      <c r="CF2009" s="34"/>
      <c r="CG2009" s="34"/>
      <c r="CH2009" s="34"/>
      <c r="CI2009" s="34"/>
      <c r="CJ2009" s="34"/>
      <c r="CK2009" s="34"/>
      <c r="CL2009" s="34"/>
      <c r="CM2009" s="34"/>
      <c r="CN2009" s="34"/>
      <c r="CO2009" s="34"/>
      <c r="CP2009" s="34"/>
      <c r="CQ2009" s="34"/>
      <c r="CR2009" s="34"/>
      <c r="CS2009" s="34"/>
    </row>
    <row r="2010" spans="7:97" s="246" customFormat="1" x14ac:dyDescent="0.2">
      <c r="G2010" s="2188"/>
      <c r="BS2010" s="34"/>
      <c r="BT2010" s="34"/>
      <c r="BU2010" s="34"/>
      <c r="BV2010" s="34"/>
      <c r="BW2010" s="34"/>
      <c r="BX2010" s="34"/>
      <c r="BY2010" s="34"/>
      <c r="BZ2010" s="34"/>
      <c r="CA2010" s="34"/>
      <c r="CB2010" s="34"/>
      <c r="CC2010" s="34"/>
      <c r="CD2010" s="34"/>
      <c r="CE2010" s="34"/>
      <c r="CF2010" s="34"/>
      <c r="CG2010" s="34"/>
      <c r="CH2010" s="34"/>
      <c r="CI2010" s="34"/>
      <c r="CJ2010" s="34"/>
      <c r="CK2010" s="34"/>
      <c r="CL2010" s="34"/>
      <c r="CM2010" s="34"/>
      <c r="CN2010" s="34"/>
      <c r="CO2010" s="34"/>
      <c r="CP2010" s="34"/>
      <c r="CQ2010" s="34"/>
      <c r="CR2010" s="34"/>
      <c r="CS2010" s="34"/>
    </row>
    <row r="2011" spans="7:97" s="246" customFormat="1" x14ac:dyDescent="0.2">
      <c r="G2011" s="2188"/>
      <c r="BS2011" s="34"/>
      <c r="BT2011" s="34"/>
      <c r="BU2011" s="34"/>
      <c r="BV2011" s="34"/>
      <c r="BW2011" s="34"/>
      <c r="BX2011" s="34"/>
      <c r="BY2011" s="34"/>
      <c r="BZ2011" s="34"/>
      <c r="CA2011" s="34"/>
      <c r="CB2011" s="34"/>
      <c r="CC2011" s="34"/>
      <c r="CD2011" s="34"/>
      <c r="CE2011" s="34"/>
      <c r="CF2011" s="34"/>
      <c r="CG2011" s="34"/>
      <c r="CH2011" s="34"/>
      <c r="CI2011" s="34"/>
      <c r="CJ2011" s="34"/>
      <c r="CK2011" s="34"/>
      <c r="CL2011" s="34"/>
      <c r="CM2011" s="34"/>
      <c r="CN2011" s="34"/>
      <c r="CO2011" s="34"/>
      <c r="CP2011" s="34"/>
      <c r="CQ2011" s="34"/>
      <c r="CR2011" s="34"/>
      <c r="CS2011" s="34"/>
    </row>
    <row r="2012" spans="7:97" s="246" customFormat="1" x14ac:dyDescent="0.2">
      <c r="G2012" s="2188"/>
      <c r="BS2012" s="34"/>
      <c r="BT2012" s="34"/>
      <c r="BU2012" s="34"/>
      <c r="BV2012" s="34"/>
      <c r="BW2012" s="34"/>
      <c r="BX2012" s="34"/>
      <c r="BY2012" s="34"/>
      <c r="BZ2012" s="34"/>
      <c r="CA2012" s="34"/>
      <c r="CB2012" s="34"/>
      <c r="CC2012" s="34"/>
      <c r="CD2012" s="34"/>
      <c r="CE2012" s="34"/>
      <c r="CF2012" s="34"/>
      <c r="CG2012" s="34"/>
      <c r="CH2012" s="34"/>
      <c r="CI2012" s="34"/>
      <c r="CJ2012" s="34"/>
      <c r="CK2012" s="34"/>
      <c r="CL2012" s="34"/>
      <c r="CM2012" s="34"/>
      <c r="CN2012" s="34"/>
      <c r="CO2012" s="34"/>
      <c r="CP2012" s="34"/>
      <c r="CQ2012" s="34"/>
      <c r="CR2012" s="34"/>
      <c r="CS2012" s="34"/>
    </row>
    <row r="2013" spans="7:97" s="246" customFormat="1" x14ac:dyDescent="0.2">
      <c r="G2013" s="2188"/>
      <c r="BS2013" s="34"/>
      <c r="BT2013" s="34"/>
      <c r="BU2013" s="34"/>
      <c r="BV2013" s="34"/>
      <c r="BW2013" s="34"/>
      <c r="BX2013" s="34"/>
      <c r="BY2013" s="34"/>
      <c r="BZ2013" s="34"/>
      <c r="CA2013" s="34"/>
      <c r="CB2013" s="34"/>
      <c r="CC2013" s="34"/>
      <c r="CD2013" s="34"/>
      <c r="CE2013" s="34"/>
      <c r="CF2013" s="34"/>
      <c r="CG2013" s="34"/>
      <c r="CH2013" s="34"/>
      <c r="CI2013" s="34"/>
      <c r="CJ2013" s="34"/>
      <c r="CK2013" s="34"/>
      <c r="CL2013" s="34"/>
      <c r="CM2013" s="34"/>
      <c r="CN2013" s="34"/>
      <c r="CO2013" s="34"/>
      <c r="CP2013" s="34"/>
      <c r="CQ2013" s="34"/>
      <c r="CR2013" s="34"/>
      <c r="CS2013" s="34"/>
    </row>
    <row r="2014" spans="7:97" s="246" customFormat="1" x14ac:dyDescent="0.2">
      <c r="G2014" s="2188"/>
      <c r="BS2014" s="34"/>
      <c r="BT2014" s="34"/>
      <c r="BU2014" s="34"/>
      <c r="BV2014" s="34"/>
      <c r="BW2014" s="34"/>
      <c r="BX2014" s="34"/>
      <c r="BY2014" s="34"/>
      <c r="BZ2014" s="34"/>
      <c r="CA2014" s="34"/>
      <c r="CB2014" s="34"/>
      <c r="CC2014" s="34"/>
      <c r="CD2014" s="34"/>
      <c r="CE2014" s="34"/>
      <c r="CF2014" s="34"/>
      <c r="CG2014" s="34"/>
      <c r="CH2014" s="34"/>
      <c r="CI2014" s="34"/>
      <c r="CJ2014" s="34"/>
      <c r="CK2014" s="34"/>
      <c r="CL2014" s="34"/>
      <c r="CM2014" s="34"/>
      <c r="CN2014" s="34"/>
      <c r="CO2014" s="34"/>
      <c r="CP2014" s="34"/>
      <c r="CQ2014" s="34"/>
      <c r="CR2014" s="34"/>
      <c r="CS2014" s="34"/>
    </row>
    <row r="2015" spans="7:97" s="246" customFormat="1" x14ac:dyDescent="0.2">
      <c r="G2015" s="2188"/>
      <c r="BS2015" s="34"/>
      <c r="BT2015" s="34"/>
      <c r="BU2015" s="34"/>
      <c r="BV2015" s="34"/>
      <c r="BW2015" s="34"/>
      <c r="BX2015" s="34"/>
      <c r="BY2015" s="34"/>
      <c r="BZ2015" s="34"/>
      <c r="CA2015" s="34"/>
      <c r="CB2015" s="34"/>
      <c r="CC2015" s="34"/>
      <c r="CD2015" s="34"/>
      <c r="CE2015" s="34"/>
      <c r="CF2015" s="34"/>
      <c r="CG2015" s="34"/>
      <c r="CH2015" s="34"/>
      <c r="CI2015" s="34"/>
      <c r="CJ2015" s="34"/>
      <c r="CK2015" s="34"/>
      <c r="CL2015" s="34"/>
      <c r="CM2015" s="34"/>
      <c r="CN2015" s="34"/>
      <c r="CO2015" s="34"/>
      <c r="CP2015" s="34"/>
      <c r="CQ2015" s="34"/>
      <c r="CR2015" s="34"/>
      <c r="CS2015" s="34"/>
    </row>
    <row r="2016" spans="7:97" s="246" customFormat="1" x14ac:dyDescent="0.2">
      <c r="G2016" s="2188"/>
      <c r="BS2016" s="34"/>
      <c r="BT2016" s="34"/>
      <c r="BU2016" s="34"/>
      <c r="BV2016" s="34"/>
      <c r="BW2016" s="34"/>
      <c r="BX2016" s="34"/>
      <c r="BY2016" s="34"/>
      <c r="BZ2016" s="34"/>
      <c r="CA2016" s="34"/>
      <c r="CB2016" s="34"/>
      <c r="CC2016" s="34"/>
      <c r="CD2016" s="34"/>
      <c r="CE2016" s="34"/>
      <c r="CF2016" s="34"/>
      <c r="CG2016" s="34"/>
      <c r="CH2016" s="34"/>
      <c r="CI2016" s="34"/>
      <c r="CJ2016" s="34"/>
      <c r="CK2016" s="34"/>
      <c r="CL2016" s="34"/>
      <c r="CM2016" s="34"/>
      <c r="CN2016" s="34"/>
      <c r="CO2016" s="34"/>
      <c r="CP2016" s="34"/>
      <c r="CQ2016" s="34"/>
      <c r="CR2016" s="34"/>
      <c r="CS2016" s="34"/>
    </row>
    <row r="2017" spans="7:97" s="246" customFormat="1" x14ac:dyDescent="0.2">
      <c r="G2017" s="2188"/>
      <c r="BS2017" s="34"/>
      <c r="BT2017" s="34"/>
      <c r="BU2017" s="34"/>
      <c r="BV2017" s="34"/>
      <c r="BW2017" s="34"/>
      <c r="BX2017" s="34"/>
      <c r="BY2017" s="34"/>
      <c r="BZ2017" s="34"/>
      <c r="CA2017" s="34"/>
      <c r="CB2017" s="34"/>
      <c r="CC2017" s="34"/>
      <c r="CD2017" s="34"/>
      <c r="CE2017" s="34"/>
      <c r="CF2017" s="34"/>
      <c r="CG2017" s="34"/>
      <c r="CH2017" s="34"/>
      <c r="CI2017" s="34"/>
      <c r="CJ2017" s="34"/>
      <c r="CK2017" s="34"/>
      <c r="CL2017" s="34"/>
      <c r="CM2017" s="34"/>
      <c r="CN2017" s="34"/>
      <c r="CO2017" s="34"/>
      <c r="CP2017" s="34"/>
      <c r="CQ2017" s="34"/>
      <c r="CR2017" s="34"/>
      <c r="CS2017" s="34"/>
    </row>
    <row r="2018" spans="7:97" s="246" customFormat="1" x14ac:dyDescent="0.2">
      <c r="G2018" s="2188"/>
      <c r="BS2018" s="34"/>
      <c r="BT2018" s="34"/>
      <c r="BU2018" s="34"/>
      <c r="BV2018" s="34"/>
      <c r="BW2018" s="34"/>
      <c r="BX2018" s="34"/>
      <c r="BY2018" s="34"/>
      <c r="BZ2018" s="34"/>
      <c r="CA2018" s="34"/>
      <c r="CB2018" s="34"/>
      <c r="CC2018" s="34"/>
      <c r="CD2018" s="34"/>
      <c r="CE2018" s="34"/>
      <c r="CF2018" s="34"/>
      <c r="CG2018" s="34"/>
      <c r="CH2018" s="34"/>
      <c r="CI2018" s="34"/>
      <c r="CJ2018" s="34"/>
      <c r="CK2018" s="34"/>
      <c r="CL2018" s="34"/>
      <c r="CM2018" s="34"/>
      <c r="CN2018" s="34"/>
      <c r="CO2018" s="34"/>
      <c r="CP2018" s="34"/>
      <c r="CQ2018" s="34"/>
      <c r="CR2018" s="34"/>
      <c r="CS2018" s="34"/>
    </row>
    <row r="2019" spans="7:97" s="246" customFormat="1" x14ac:dyDescent="0.2">
      <c r="G2019" s="2188"/>
      <c r="BS2019" s="34"/>
      <c r="BT2019" s="34"/>
      <c r="BU2019" s="34"/>
      <c r="BV2019" s="34"/>
      <c r="BW2019" s="34"/>
      <c r="BX2019" s="34"/>
      <c r="BY2019" s="34"/>
      <c r="BZ2019" s="34"/>
      <c r="CA2019" s="34"/>
      <c r="CB2019" s="34"/>
      <c r="CC2019" s="34"/>
      <c r="CD2019" s="34"/>
      <c r="CE2019" s="34"/>
      <c r="CF2019" s="34"/>
      <c r="CG2019" s="34"/>
      <c r="CH2019" s="34"/>
      <c r="CI2019" s="34"/>
      <c r="CJ2019" s="34"/>
      <c r="CK2019" s="34"/>
      <c r="CL2019" s="34"/>
      <c r="CM2019" s="34"/>
      <c r="CN2019" s="34"/>
      <c r="CO2019" s="34"/>
      <c r="CP2019" s="34"/>
      <c r="CQ2019" s="34"/>
      <c r="CR2019" s="34"/>
      <c r="CS2019" s="34"/>
    </row>
    <row r="2020" spans="7:97" s="246" customFormat="1" x14ac:dyDescent="0.2">
      <c r="G2020" s="2188"/>
      <c r="BS2020" s="34"/>
      <c r="BT2020" s="34"/>
      <c r="BU2020" s="34"/>
      <c r="BV2020" s="34"/>
      <c r="BW2020" s="34"/>
      <c r="BX2020" s="34"/>
      <c r="BY2020" s="34"/>
      <c r="BZ2020" s="34"/>
      <c r="CA2020" s="34"/>
      <c r="CB2020" s="34"/>
      <c r="CC2020" s="34"/>
      <c r="CD2020" s="34"/>
      <c r="CE2020" s="34"/>
      <c r="CF2020" s="34"/>
      <c r="CG2020" s="34"/>
      <c r="CH2020" s="34"/>
      <c r="CI2020" s="34"/>
      <c r="CJ2020" s="34"/>
      <c r="CK2020" s="34"/>
      <c r="CL2020" s="34"/>
      <c r="CM2020" s="34"/>
      <c r="CN2020" s="34"/>
      <c r="CO2020" s="34"/>
      <c r="CP2020" s="34"/>
      <c r="CQ2020" s="34"/>
      <c r="CR2020" s="34"/>
      <c r="CS2020" s="34"/>
    </row>
    <row r="2021" spans="7:97" s="246" customFormat="1" x14ac:dyDescent="0.2">
      <c r="G2021" s="2188"/>
      <c r="BS2021" s="34"/>
      <c r="BT2021" s="34"/>
      <c r="BU2021" s="34"/>
      <c r="BV2021" s="34"/>
      <c r="BW2021" s="34"/>
      <c r="BX2021" s="34"/>
      <c r="BY2021" s="34"/>
      <c r="BZ2021" s="34"/>
      <c r="CA2021" s="34"/>
      <c r="CB2021" s="34"/>
      <c r="CC2021" s="34"/>
      <c r="CD2021" s="34"/>
      <c r="CE2021" s="34"/>
      <c r="CF2021" s="34"/>
      <c r="CG2021" s="34"/>
      <c r="CH2021" s="34"/>
      <c r="CI2021" s="34"/>
      <c r="CJ2021" s="34"/>
      <c r="CK2021" s="34"/>
      <c r="CL2021" s="34"/>
      <c r="CM2021" s="34"/>
      <c r="CN2021" s="34"/>
      <c r="CO2021" s="34"/>
      <c r="CP2021" s="34"/>
      <c r="CQ2021" s="34"/>
      <c r="CR2021" s="34"/>
      <c r="CS2021" s="34"/>
    </row>
    <row r="2022" spans="7:97" s="246" customFormat="1" x14ac:dyDescent="0.2">
      <c r="G2022" s="2188"/>
      <c r="BS2022" s="34"/>
      <c r="BT2022" s="34"/>
      <c r="BU2022" s="34"/>
      <c r="BV2022" s="34"/>
      <c r="BW2022" s="34"/>
      <c r="BX2022" s="34"/>
      <c r="BY2022" s="34"/>
      <c r="BZ2022" s="34"/>
      <c r="CA2022" s="34"/>
      <c r="CB2022" s="34"/>
      <c r="CC2022" s="34"/>
      <c r="CD2022" s="34"/>
      <c r="CE2022" s="34"/>
      <c r="CF2022" s="34"/>
      <c r="CG2022" s="34"/>
      <c r="CH2022" s="34"/>
      <c r="CI2022" s="34"/>
      <c r="CJ2022" s="34"/>
      <c r="CK2022" s="34"/>
      <c r="CL2022" s="34"/>
      <c r="CM2022" s="34"/>
      <c r="CN2022" s="34"/>
      <c r="CO2022" s="34"/>
      <c r="CP2022" s="34"/>
      <c r="CQ2022" s="34"/>
      <c r="CR2022" s="34"/>
      <c r="CS2022" s="34"/>
    </row>
    <row r="2023" spans="7:97" s="246" customFormat="1" x14ac:dyDescent="0.2">
      <c r="G2023" s="2188"/>
      <c r="BS2023" s="34"/>
      <c r="BT2023" s="34"/>
      <c r="BU2023" s="34"/>
      <c r="BV2023" s="34"/>
      <c r="BW2023" s="34"/>
      <c r="BX2023" s="34"/>
      <c r="BY2023" s="34"/>
      <c r="BZ2023" s="34"/>
      <c r="CA2023" s="34"/>
      <c r="CB2023" s="34"/>
      <c r="CC2023" s="34"/>
      <c r="CD2023" s="34"/>
      <c r="CE2023" s="34"/>
      <c r="CF2023" s="34"/>
      <c r="CG2023" s="34"/>
      <c r="CH2023" s="34"/>
      <c r="CI2023" s="34"/>
      <c r="CJ2023" s="34"/>
      <c r="CK2023" s="34"/>
      <c r="CL2023" s="34"/>
      <c r="CM2023" s="34"/>
      <c r="CN2023" s="34"/>
      <c r="CO2023" s="34"/>
      <c r="CP2023" s="34"/>
      <c r="CQ2023" s="34"/>
      <c r="CR2023" s="34"/>
      <c r="CS2023" s="34"/>
    </row>
    <row r="2024" spans="7:97" s="246" customFormat="1" x14ac:dyDescent="0.2">
      <c r="G2024" s="2188"/>
      <c r="BS2024" s="34"/>
      <c r="BT2024" s="34"/>
      <c r="BU2024" s="34"/>
      <c r="BV2024" s="34"/>
      <c r="BW2024" s="34"/>
      <c r="BX2024" s="34"/>
      <c r="BY2024" s="34"/>
      <c r="BZ2024" s="34"/>
      <c r="CA2024" s="34"/>
      <c r="CB2024" s="34"/>
      <c r="CC2024" s="34"/>
      <c r="CD2024" s="34"/>
      <c r="CE2024" s="34"/>
      <c r="CF2024" s="34"/>
      <c r="CG2024" s="34"/>
      <c r="CH2024" s="34"/>
      <c r="CI2024" s="34"/>
      <c r="CJ2024" s="34"/>
      <c r="CK2024" s="34"/>
      <c r="CL2024" s="34"/>
      <c r="CM2024" s="34"/>
      <c r="CN2024" s="34"/>
      <c r="CO2024" s="34"/>
      <c r="CP2024" s="34"/>
      <c r="CQ2024" s="34"/>
      <c r="CR2024" s="34"/>
      <c r="CS2024" s="34"/>
    </row>
    <row r="2025" spans="7:97" s="246" customFormat="1" x14ac:dyDescent="0.2">
      <c r="G2025" s="2188"/>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row>
    <row r="2026" spans="7:97" s="246" customFormat="1" x14ac:dyDescent="0.2">
      <c r="G2026" s="2188"/>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row>
    <row r="2027" spans="7:97" s="246" customFormat="1" x14ac:dyDescent="0.2">
      <c r="G2027" s="2188"/>
      <c r="BS2027" s="34"/>
      <c r="BT2027" s="34"/>
      <c r="BU2027" s="34"/>
      <c r="BV2027" s="34"/>
      <c r="BW2027" s="34"/>
      <c r="BX2027" s="34"/>
      <c r="BY2027" s="34"/>
      <c r="BZ2027" s="34"/>
      <c r="CA2027" s="34"/>
      <c r="CB2027" s="34"/>
      <c r="CC2027" s="34"/>
      <c r="CD2027" s="34"/>
      <c r="CE2027" s="34"/>
      <c r="CF2027" s="34"/>
      <c r="CG2027" s="34"/>
      <c r="CH2027" s="34"/>
      <c r="CI2027" s="34"/>
      <c r="CJ2027" s="34"/>
      <c r="CK2027" s="34"/>
      <c r="CL2027" s="34"/>
      <c r="CM2027" s="34"/>
      <c r="CN2027" s="34"/>
      <c r="CO2027" s="34"/>
      <c r="CP2027" s="34"/>
      <c r="CQ2027" s="34"/>
      <c r="CR2027" s="34"/>
      <c r="CS2027" s="34"/>
    </row>
    <row r="2028" spans="7:97" s="246" customFormat="1" x14ac:dyDescent="0.2">
      <c r="G2028" s="2188"/>
      <c r="BS2028" s="34"/>
      <c r="BT2028" s="34"/>
      <c r="BU2028" s="34"/>
      <c r="BV2028" s="34"/>
      <c r="BW2028" s="34"/>
      <c r="BX2028" s="34"/>
      <c r="BY2028" s="34"/>
      <c r="BZ2028" s="34"/>
      <c r="CA2028" s="34"/>
      <c r="CB2028" s="34"/>
      <c r="CC2028" s="34"/>
      <c r="CD2028" s="34"/>
      <c r="CE2028" s="34"/>
      <c r="CF2028" s="34"/>
      <c r="CG2028" s="34"/>
      <c r="CH2028" s="34"/>
      <c r="CI2028" s="34"/>
      <c r="CJ2028" s="34"/>
      <c r="CK2028" s="34"/>
      <c r="CL2028" s="34"/>
      <c r="CM2028" s="34"/>
      <c r="CN2028" s="34"/>
      <c r="CO2028" s="34"/>
      <c r="CP2028" s="34"/>
      <c r="CQ2028" s="34"/>
      <c r="CR2028" s="34"/>
      <c r="CS2028" s="34"/>
    </row>
    <row r="2029" spans="7:97" s="246" customFormat="1" x14ac:dyDescent="0.2">
      <c r="G2029" s="2188"/>
      <c r="BS2029" s="34"/>
      <c r="BT2029" s="34"/>
      <c r="BU2029" s="34"/>
      <c r="BV2029" s="34"/>
      <c r="BW2029" s="34"/>
      <c r="BX2029" s="34"/>
      <c r="BY2029" s="34"/>
      <c r="BZ2029" s="34"/>
      <c r="CA2029" s="34"/>
      <c r="CB2029" s="34"/>
      <c r="CC2029" s="34"/>
      <c r="CD2029" s="34"/>
      <c r="CE2029" s="34"/>
      <c r="CF2029" s="34"/>
      <c r="CG2029" s="34"/>
      <c r="CH2029" s="34"/>
      <c r="CI2029" s="34"/>
      <c r="CJ2029" s="34"/>
      <c r="CK2029" s="34"/>
      <c r="CL2029" s="34"/>
      <c r="CM2029" s="34"/>
      <c r="CN2029" s="34"/>
      <c r="CO2029" s="34"/>
      <c r="CP2029" s="34"/>
      <c r="CQ2029" s="34"/>
      <c r="CR2029" s="34"/>
      <c r="CS2029" s="34"/>
    </row>
    <row r="2030" spans="7:97" s="246" customFormat="1" x14ac:dyDescent="0.2">
      <c r="G2030" s="2188"/>
      <c r="BS2030" s="34"/>
      <c r="BT2030" s="34"/>
      <c r="BU2030" s="34"/>
      <c r="BV2030" s="34"/>
      <c r="BW2030" s="34"/>
      <c r="BX2030" s="34"/>
      <c r="BY2030" s="34"/>
      <c r="BZ2030" s="34"/>
      <c r="CA2030" s="34"/>
      <c r="CB2030" s="34"/>
      <c r="CC2030" s="34"/>
      <c r="CD2030" s="34"/>
      <c r="CE2030" s="34"/>
      <c r="CF2030" s="34"/>
      <c r="CG2030" s="34"/>
      <c r="CH2030" s="34"/>
      <c r="CI2030" s="34"/>
      <c r="CJ2030" s="34"/>
      <c r="CK2030" s="34"/>
      <c r="CL2030" s="34"/>
      <c r="CM2030" s="34"/>
      <c r="CN2030" s="34"/>
      <c r="CO2030" s="34"/>
      <c r="CP2030" s="34"/>
      <c r="CQ2030" s="34"/>
      <c r="CR2030" s="34"/>
      <c r="CS2030" s="34"/>
    </row>
    <row r="2031" spans="7:97" s="246" customFormat="1" x14ac:dyDescent="0.2">
      <c r="G2031" s="2188"/>
      <c r="BS2031" s="34"/>
      <c r="BT2031" s="34"/>
      <c r="BU2031" s="34"/>
      <c r="BV2031" s="34"/>
      <c r="BW2031" s="34"/>
      <c r="BX2031" s="34"/>
      <c r="BY2031" s="34"/>
      <c r="BZ2031" s="34"/>
      <c r="CA2031" s="34"/>
      <c r="CB2031" s="34"/>
      <c r="CC2031" s="34"/>
      <c r="CD2031" s="34"/>
      <c r="CE2031" s="34"/>
      <c r="CF2031" s="34"/>
      <c r="CG2031" s="34"/>
      <c r="CH2031" s="34"/>
      <c r="CI2031" s="34"/>
      <c r="CJ2031" s="34"/>
      <c r="CK2031" s="34"/>
      <c r="CL2031" s="34"/>
      <c r="CM2031" s="34"/>
      <c r="CN2031" s="34"/>
      <c r="CO2031" s="34"/>
      <c r="CP2031" s="34"/>
      <c r="CQ2031" s="34"/>
      <c r="CR2031" s="34"/>
      <c r="CS2031" s="34"/>
    </row>
    <row r="2032" spans="7:97" s="246" customFormat="1" x14ac:dyDescent="0.2">
      <c r="G2032" s="2188"/>
      <c r="BS2032" s="34"/>
      <c r="BT2032" s="34"/>
      <c r="BU2032" s="34"/>
      <c r="BV2032" s="34"/>
      <c r="BW2032" s="34"/>
      <c r="BX2032" s="34"/>
      <c r="BY2032" s="34"/>
      <c r="BZ2032" s="34"/>
      <c r="CA2032" s="34"/>
      <c r="CB2032" s="34"/>
      <c r="CC2032" s="34"/>
      <c r="CD2032" s="34"/>
      <c r="CE2032" s="34"/>
      <c r="CF2032" s="34"/>
      <c r="CG2032" s="34"/>
      <c r="CH2032" s="34"/>
      <c r="CI2032" s="34"/>
      <c r="CJ2032" s="34"/>
      <c r="CK2032" s="34"/>
      <c r="CL2032" s="34"/>
      <c r="CM2032" s="34"/>
      <c r="CN2032" s="34"/>
      <c r="CO2032" s="34"/>
      <c r="CP2032" s="34"/>
      <c r="CQ2032" s="34"/>
      <c r="CR2032" s="34"/>
      <c r="CS2032" s="34"/>
    </row>
    <row r="2033" spans="7:97" s="246" customFormat="1" x14ac:dyDescent="0.2">
      <c r="G2033" s="2188"/>
      <c r="BS2033" s="34"/>
      <c r="BT2033" s="34"/>
      <c r="BU2033" s="34"/>
      <c r="BV2033" s="34"/>
      <c r="BW2033" s="34"/>
      <c r="BX2033" s="34"/>
      <c r="BY2033" s="34"/>
      <c r="BZ2033" s="34"/>
      <c r="CA2033" s="34"/>
      <c r="CB2033" s="34"/>
      <c r="CC2033" s="34"/>
      <c r="CD2033" s="34"/>
      <c r="CE2033" s="34"/>
      <c r="CF2033" s="34"/>
      <c r="CG2033" s="34"/>
      <c r="CH2033" s="34"/>
      <c r="CI2033" s="34"/>
      <c r="CJ2033" s="34"/>
      <c r="CK2033" s="34"/>
      <c r="CL2033" s="34"/>
      <c r="CM2033" s="34"/>
      <c r="CN2033" s="34"/>
      <c r="CO2033" s="34"/>
      <c r="CP2033" s="34"/>
      <c r="CQ2033" s="34"/>
      <c r="CR2033" s="34"/>
      <c r="CS2033" s="34"/>
    </row>
    <row r="2034" spans="7:97" s="246" customFormat="1" x14ac:dyDescent="0.2">
      <c r="G2034" s="2188"/>
      <c r="BS2034" s="34"/>
      <c r="BT2034" s="34"/>
      <c r="BU2034" s="34"/>
      <c r="BV2034" s="34"/>
      <c r="BW2034" s="34"/>
      <c r="BX2034" s="34"/>
      <c r="BY2034" s="34"/>
      <c r="BZ2034" s="34"/>
      <c r="CA2034" s="34"/>
      <c r="CB2034" s="34"/>
      <c r="CC2034" s="34"/>
      <c r="CD2034" s="34"/>
      <c r="CE2034" s="34"/>
      <c r="CF2034" s="34"/>
      <c r="CG2034" s="34"/>
      <c r="CH2034" s="34"/>
      <c r="CI2034" s="34"/>
      <c r="CJ2034" s="34"/>
      <c r="CK2034" s="34"/>
      <c r="CL2034" s="34"/>
      <c r="CM2034" s="34"/>
      <c r="CN2034" s="34"/>
      <c r="CO2034" s="34"/>
      <c r="CP2034" s="34"/>
      <c r="CQ2034" s="34"/>
      <c r="CR2034" s="34"/>
      <c r="CS2034" s="34"/>
    </row>
    <row r="2035" spans="7:97" s="246" customFormat="1" x14ac:dyDescent="0.2">
      <c r="G2035" s="2188"/>
      <c r="BS2035" s="34"/>
      <c r="BT2035" s="34"/>
      <c r="BU2035" s="34"/>
      <c r="BV2035" s="34"/>
      <c r="BW2035" s="34"/>
      <c r="BX2035" s="34"/>
      <c r="BY2035" s="34"/>
      <c r="BZ2035" s="34"/>
      <c r="CA2035" s="34"/>
      <c r="CB2035" s="34"/>
      <c r="CC2035" s="34"/>
      <c r="CD2035" s="34"/>
      <c r="CE2035" s="34"/>
      <c r="CF2035" s="34"/>
      <c r="CG2035" s="34"/>
      <c r="CH2035" s="34"/>
      <c r="CI2035" s="34"/>
      <c r="CJ2035" s="34"/>
      <c r="CK2035" s="34"/>
      <c r="CL2035" s="34"/>
      <c r="CM2035" s="34"/>
      <c r="CN2035" s="34"/>
      <c r="CO2035" s="34"/>
      <c r="CP2035" s="34"/>
      <c r="CQ2035" s="34"/>
      <c r="CR2035" s="34"/>
      <c r="CS2035" s="34"/>
    </row>
    <row r="2036" spans="7:97" s="246" customFormat="1" x14ac:dyDescent="0.2">
      <c r="G2036" s="2188"/>
      <c r="BS2036" s="34"/>
      <c r="BT2036" s="34"/>
      <c r="BU2036" s="34"/>
      <c r="BV2036" s="34"/>
      <c r="BW2036" s="34"/>
      <c r="BX2036" s="34"/>
      <c r="BY2036" s="34"/>
      <c r="BZ2036" s="34"/>
      <c r="CA2036" s="34"/>
      <c r="CB2036" s="34"/>
      <c r="CC2036" s="34"/>
      <c r="CD2036" s="34"/>
      <c r="CE2036" s="34"/>
      <c r="CF2036" s="34"/>
      <c r="CG2036" s="34"/>
      <c r="CH2036" s="34"/>
      <c r="CI2036" s="34"/>
      <c r="CJ2036" s="34"/>
      <c r="CK2036" s="34"/>
      <c r="CL2036" s="34"/>
      <c r="CM2036" s="34"/>
      <c r="CN2036" s="34"/>
      <c r="CO2036" s="34"/>
      <c r="CP2036" s="34"/>
      <c r="CQ2036" s="34"/>
      <c r="CR2036" s="34"/>
      <c r="CS2036" s="34"/>
    </row>
    <row r="2037" spans="7:97" s="246" customFormat="1" x14ac:dyDescent="0.2">
      <c r="G2037" s="2188"/>
      <c r="BS2037" s="34"/>
      <c r="BT2037" s="34"/>
      <c r="BU2037" s="34"/>
      <c r="BV2037" s="34"/>
      <c r="BW2037" s="34"/>
      <c r="BX2037" s="34"/>
      <c r="BY2037" s="34"/>
      <c r="BZ2037" s="34"/>
      <c r="CA2037" s="34"/>
      <c r="CB2037" s="34"/>
      <c r="CC2037" s="34"/>
      <c r="CD2037" s="34"/>
      <c r="CE2037" s="34"/>
      <c r="CF2037" s="34"/>
      <c r="CG2037" s="34"/>
      <c r="CH2037" s="34"/>
      <c r="CI2037" s="34"/>
      <c r="CJ2037" s="34"/>
      <c r="CK2037" s="34"/>
      <c r="CL2037" s="34"/>
      <c r="CM2037" s="34"/>
      <c r="CN2037" s="34"/>
      <c r="CO2037" s="34"/>
      <c r="CP2037" s="34"/>
      <c r="CQ2037" s="34"/>
      <c r="CR2037" s="34"/>
      <c r="CS2037" s="34"/>
    </row>
    <row r="2038" spans="7:97" s="246" customFormat="1" x14ac:dyDescent="0.2">
      <c r="G2038" s="2188"/>
      <c r="BS2038" s="34"/>
      <c r="BT2038" s="34"/>
      <c r="BU2038" s="34"/>
      <c r="BV2038" s="34"/>
      <c r="BW2038" s="34"/>
      <c r="BX2038" s="34"/>
      <c r="BY2038" s="34"/>
      <c r="BZ2038" s="34"/>
      <c r="CA2038" s="34"/>
      <c r="CB2038" s="34"/>
      <c r="CC2038" s="34"/>
      <c r="CD2038" s="34"/>
      <c r="CE2038" s="34"/>
      <c r="CF2038" s="34"/>
      <c r="CG2038" s="34"/>
      <c r="CH2038" s="34"/>
      <c r="CI2038" s="34"/>
      <c r="CJ2038" s="34"/>
      <c r="CK2038" s="34"/>
      <c r="CL2038" s="34"/>
      <c r="CM2038" s="34"/>
      <c r="CN2038" s="34"/>
      <c r="CO2038" s="34"/>
      <c r="CP2038" s="34"/>
      <c r="CQ2038" s="34"/>
      <c r="CR2038" s="34"/>
      <c r="CS2038" s="34"/>
    </row>
    <row r="2039" spans="7:97" s="246" customFormat="1" x14ac:dyDescent="0.2">
      <c r="G2039" s="2188"/>
      <c r="BS2039" s="34"/>
      <c r="BT2039" s="34"/>
      <c r="BU2039" s="34"/>
      <c r="BV2039" s="34"/>
      <c r="BW2039" s="34"/>
      <c r="BX2039" s="34"/>
      <c r="BY2039" s="34"/>
      <c r="BZ2039" s="34"/>
      <c r="CA2039" s="34"/>
      <c r="CB2039" s="34"/>
      <c r="CC2039" s="34"/>
      <c r="CD2039" s="34"/>
      <c r="CE2039" s="34"/>
      <c r="CF2039" s="34"/>
      <c r="CG2039" s="34"/>
      <c r="CH2039" s="34"/>
      <c r="CI2039" s="34"/>
      <c r="CJ2039" s="34"/>
      <c r="CK2039" s="34"/>
      <c r="CL2039" s="34"/>
      <c r="CM2039" s="34"/>
      <c r="CN2039" s="34"/>
      <c r="CO2039" s="34"/>
      <c r="CP2039" s="34"/>
      <c r="CQ2039" s="34"/>
      <c r="CR2039" s="34"/>
      <c r="CS2039" s="34"/>
    </row>
    <row r="2040" spans="7:97" s="246" customFormat="1" x14ac:dyDescent="0.2">
      <c r="G2040" s="2188"/>
      <c r="BS2040" s="34"/>
      <c r="BT2040" s="34"/>
      <c r="BU2040" s="34"/>
      <c r="BV2040" s="34"/>
      <c r="BW2040" s="34"/>
      <c r="BX2040" s="34"/>
      <c r="BY2040" s="34"/>
      <c r="BZ2040" s="34"/>
      <c r="CA2040" s="34"/>
      <c r="CB2040" s="34"/>
      <c r="CC2040" s="34"/>
      <c r="CD2040" s="34"/>
      <c r="CE2040" s="34"/>
      <c r="CF2040" s="34"/>
      <c r="CG2040" s="34"/>
      <c r="CH2040" s="34"/>
      <c r="CI2040" s="34"/>
      <c r="CJ2040" s="34"/>
      <c r="CK2040" s="34"/>
      <c r="CL2040" s="34"/>
      <c r="CM2040" s="34"/>
      <c r="CN2040" s="34"/>
      <c r="CO2040" s="34"/>
      <c r="CP2040" s="34"/>
      <c r="CQ2040" s="34"/>
      <c r="CR2040" s="34"/>
      <c r="CS2040" s="34"/>
    </row>
    <row r="2041" spans="7:97" s="246" customFormat="1" x14ac:dyDescent="0.2">
      <c r="G2041" s="2188"/>
      <c r="BS2041" s="34"/>
      <c r="BT2041" s="34"/>
      <c r="BU2041" s="34"/>
      <c r="BV2041" s="34"/>
      <c r="BW2041" s="34"/>
      <c r="BX2041" s="34"/>
      <c r="BY2041" s="34"/>
      <c r="BZ2041" s="34"/>
      <c r="CA2041" s="34"/>
      <c r="CB2041" s="34"/>
      <c r="CC2041" s="34"/>
      <c r="CD2041" s="34"/>
      <c r="CE2041" s="34"/>
      <c r="CF2041" s="34"/>
      <c r="CG2041" s="34"/>
      <c r="CH2041" s="34"/>
      <c r="CI2041" s="34"/>
      <c r="CJ2041" s="34"/>
      <c r="CK2041" s="34"/>
      <c r="CL2041" s="34"/>
      <c r="CM2041" s="34"/>
      <c r="CN2041" s="34"/>
      <c r="CO2041" s="34"/>
      <c r="CP2041" s="34"/>
      <c r="CQ2041" s="34"/>
      <c r="CR2041" s="34"/>
      <c r="CS2041" s="34"/>
    </row>
    <row r="2042" spans="7:97" s="246" customFormat="1" x14ac:dyDescent="0.2">
      <c r="G2042" s="2188"/>
      <c r="BS2042" s="34"/>
      <c r="BT2042" s="34"/>
      <c r="BU2042" s="34"/>
      <c r="BV2042" s="34"/>
      <c r="BW2042" s="34"/>
      <c r="BX2042" s="34"/>
      <c r="BY2042" s="34"/>
      <c r="BZ2042" s="34"/>
      <c r="CA2042" s="34"/>
      <c r="CB2042" s="34"/>
      <c r="CC2042" s="34"/>
      <c r="CD2042" s="34"/>
      <c r="CE2042" s="34"/>
      <c r="CF2042" s="34"/>
      <c r="CG2042" s="34"/>
      <c r="CH2042" s="34"/>
      <c r="CI2042" s="34"/>
      <c r="CJ2042" s="34"/>
      <c r="CK2042" s="34"/>
      <c r="CL2042" s="34"/>
      <c r="CM2042" s="34"/>
      <c r="CN2042" s="34"/>
      <c r="CO2042" s="34"/>
      <c r="CP2042" s="34"/>
      <c r="CQ2042" s="34"/>
      <c r="CR2042" s="34"/>
      <c r="CS2042" s="34"/>
    </row>
    <row r="2043" spans="7:97" s="246" customFormat="1" x14ac:dyDescent="0.2">
      <c r="G2043" s="2188"/>
      <c r="BS2043" s="34"/>
      <c r="BT2043" s="34"/>
      <c r="BU2043" s="34"/>
      <c r="BV2043" s="34"/>
      <c r="BW2043" s="34"/>
      <c r="BX2043" s="34"/>
      <c r="BY2043" s="34"/>
      <c r="BZ2043" s="34"/>
      <c r="CA2043" s="34"/>
      <c r="CB2043" s="34"/>
      <c r="CC2043" s="34"/>
      <c r="CD2043" s="34"/>
      <c r="CE2043" s="34"/>
      <c r="CF2043" s="34"/>
      <c r="CG2043" s="34"/>
      <c r="CH2043" s="34"/>
      <c r="CI2043" s="34"/>
      <c r="CJ2043" s="34"/>
      <c r="CK2043" s="34"/>
      <c r="CL2043" s="34"/>
      <c r="CM2043" s="34"/>
      <c r="CN2043" s="34"/>
      <c r="CO2043" s="34"/>
      <c r="CP2043" s="34"/>
      <c r="CQ2043" s="34"/>
      <c r="CR2043" s="34"/>
      <c r="CS2043" s="34"/>
    </row>
    <row r="2044" spans="7:97" s="246" customFormat="1" x14ac:dyDescent="0.2">
      <c r="G2044" s="2188"/>
      <c r="BS2044" s="34"/>
      <c r="BT2044" s="34"/>
      <c r="BU2044" s="34"/>
      <c r="BV2044" s="34"/>
      <c r="BW2044" s="34"/>
      <c r="BX2044" s="34"/>
      <c r="BY2044" s="34"/>
      <c r="BZ2044" s="34"/>
      <c r="CA2044" s="34"/>
      <c r="CB2044" s="34"/>
      <c r="CC2044" s="34"/>
      <c r="CD2044" s="34"/>
      <c r="CE2044" s="34"/>
      <c r="CF2044" s="34"/>
      <c r="CG2044" s="34"/>
      <c r="CH2044" s="34"/>
      <c r="CI2044" s="34"/>
      <c r="CJ2044" s="34"/>
      <c r="CK2044" s="34"/>
      <c r="CL2044" s="34"/>
      <c r="CM2044" s="34"/>
      <c r="CN2044" s="34"/>
      <c r="CO2044" s="34"/>
      <c r="CP2044" s="34"/>
      <c r="CQ2044" s="34"/>
      <c r="CR2044" s="34"/>
      <c r="CS2044" s="34"/>
    </row>
    <row r="2045" spans="7:97" s="246" customFormat="1" x14ac:dyDescent="0.2">
      <c r="G2045" s="2188"/>
      <c r="BS2045" s="34"/>
      <c r="BT2045" s="34"/>
      <c r="BU2045" s="34"/>
      <c r="BV2045" s="34"/>
      <c r="BW2045" s="34"/>
      <c r="BX2045" s="34"/>
      <c r="BY2045" s="34"/>
      <c r="BZ2045" s="34"/>
      <c r="CA2045" s="34"/>
      <c r="CB2045" s="34"/>
      <c r="CC2045" s="34"/>
      <c r="CD2045" s="34"/>
      <c r="CE2045" s="34"/>
      <c r="CF2045" s="34"/>
      <c r="CG2045" s="34"/>
      <c r="CH2045" s="34"/>
      <c r="CI2045" s="34"/>
      <c r="CJ2045" s="34"/>
      <c r="CK2045" s="34"/>
      <c r="CL2045" s="34"/>
      <c r="CM2045" s="34"/>
      <c r="CN2045" s="34"/>
      <c r="CO2045" s="34"/>
      <c r="CP2045" s="34"/>
      <c r="CQ2045" s="34"/>
      <c r="CR2045" s="34"/>
      <c r="CS2045" s="34"/>
    </row>
    <row r="2046" spans="7:97" s="246" customFormat="1" x14ac:dyDescent="0.2">
      <c r="G2046" s="2188"/>
      <c r="BS2046" s="34"/>
      <c r="BT2046" s="34"/>
      <c r="BU2046" s="34"/>
      <c r="BV2046" s="34"/>
      <c r="BW2046" s="34"/>
      <c r="BX2046" s="34"/>
      <c r="BY2046" s="34"/>
      <c r="BZ2046" s="34"/>
      <c r="CA2046" s="34"/>
      <c r="CB2046" s="34"/>
      <c r="CC2046" s="34"/>
      <c r="CD2046" s="34"/>
      <c r="CE2046" s="34"/>
      <c r="CF2046" s="34"/>
      <c r="CG2046" s="34"/>
      <c r="CH2046" s="34"/>
      <c r="CI2046" s="34"/>
      <c r="CJ2046" s="34"/>
      <c r="CK2046" s="34"/>
      <c r="CL2046" s="34"/>
      <c r="CM2046" s="34"/>
      <c r="CN2046" s="34"/>
      <c r="CO2046" s="34"/>
      <c r="CP2046" s="34"/>
      <c r="CQ2046" s="34"/>
      <c r="CR2046" s="34"/>
      <c r="CS2046" s="34"/>
    </row>
    <row r="2047" spans="7:97" s="246" customFormat="1" x14ac:dyDescent="0.2">
      <c r="G2047" s="2188"/>
      <c r="BS2047" s="34"/>
      <c r="BT2047" s="34"/>
      <c r="BU2047" s="34"/>
      <c r="BV2047" s="34"/>
      <c r="BW2047" s="34"/>
      <c r="BX2047" s="34"/>
      <c r="BY2047" s="34"/>
      <c r="BZ2047" s="34"/>
      <c r="CA2047" s="34"/>
      <c r="CB2047" s="34"/>
      <c r="CC2047" s="34"/>
      <c r="CD2047" s="34"/>
      <c r="CE2047" s="34"/>
      <c r="CF2047" s="34"/>
      <c r="CG2047" s="34"/>
      <c r="CH2047" s="34"/>
      <c r="CI2047" s="34"/>
      <c r="CJ2047" s="34"/>
      <c r="CK2047" s="34"/>
      <c r="CL2047" s="34"/>
      <c r="CM2047" s="34"/>
      <c r="CN2047" s="34"/>
      <c r="CO2047" s="34"/>
      <c r="CP2047" s="34"/>
      <c r="CQ2047" s="34"/>
      <c r="CR2047" s="34"/>
      <c r="CS2047" s="34"/>
    </row>
    <row r="2048" spans="7:97" s="246" customFormat="1" x14ac:dyDescent="0.2">
      <c r="G2048" s="2188"/>
      <c r="BS2048" s="34"/>
      <c r="BT2048" s="34"/>
      <c r="BU2048" s="34"/>
      <c r="BV2048" s="34"/>
      <c r="BW2048" s="34"/>
      <c r="BX2048" s="34"/>
      <c r="BY2048" s="34"/>
      <c r="BZ2048" s="34"/>
      <c r="CA2048" s="34"/>
      <c r="CB2048" s="34"/>
      <c r="CC2048" s="34"/>
      <c r="CD2048" s="34"/>
      <c r="CE2048" s="34"/>
      <c r="CF2048" s="34"/>
      <c r="CG2048" s="34"/>
      <c r="CH2048" s="34"/>
      <c r="CI2048" s="34"/>
      <c r="CJ2048" s="34"/>
      <c r="CK2048" s="34"/>
      <c r="CL2048" s="34"/>
      <c r="CM2048" s="34"/>
      <c r="CN2048" s="34"/>
      <c r="CO2048" s="34"/>
      <c r="CP2048" s="34"/>
      <c r="CQ2048" s="34"/>
      <c r="CR2048" s="34"/>
      <c r="CS2048" s="34"/>
    </row>
    <row r="2049" spans="7:97" s="246" customFormat="1" x14ac:dyDescent="0.2">
      <c r="G2049" s="2188"/>
      <c r="BS2049" s="34"/>
      <c r="BT2049" s="34"/>
      <c r="BU2049" s="34"/>
      <c r="BV2049" s="34"/>
      <c r="BW2049" s="34"/>
      <c r="BX2049" s="34"/>
      <c r="BY2049" s="34"/>
      <c r="BZ2049" s="34"/>
      <c r="CA2049" s="34"/>
      <c r="CB2049" s="34"/>
      <c r="CC2049" s="34"/>
      <c r="CD2049" s="34"/>
      <c r="CE2049" s="34"/>
      <c r="CF2049" s="34"/>
      <c r="CG2049" s="34"/>
      <c r="CH2049" s="34"/>
      <c r="CI2049" s="34"/>
      <c r="CJ2049" s="34"/>
      <c r="CK2049" s="34"/>
      <c r="CL2049" s="34"/>
      <c r="CM2049" s="34"/>
      <c r="CN2049" s="34"/>
      <c r="CO2049" s="34"/>
      <c r="CP2049" s="34"/>
      <c r="CQ2049" s="34"/>
      <c r="CR2049" s="34"/>
      <c r="CS2049" s="34"/>
    </row>
    <row r="2050" spans="7:97" s="246" customFormat="1" x14ac:dyDescent="0.2">
      <c r="G2050" s="2188"/>
      <c r="BS2050" s="34"/>
      <c r="BT2050" s="34"/>
      <c r="BU2050" s="34"/>
      <c r="BV2050" s="34"/>
      <c r="BW2050" s="34"/>
      <c r="BX2050" s="34"/>
      <c r="BY2050" s="34"/>
      <c r="BZ2050" s="34"/>
      <c r="CA2050" s="34"/>
      <c r="CB2050" s="34"/>
      <c r="CC2050" s="34"/>
      <c r="CD2050" s="34"/>
      <c r="CE2050" s="34"/>
      <c r="CF2050" s="34"/>
      <c r="CG2050" s="34"/>
      <c r="CH2050" s="34"/>
      <c r="CI2050" s="34"/>
      <c r="CJ2050" s="34"/>
      <c r="CK2050" s="34"/>
      <c r="CL2050" s="34"/>
      <c r="CM2050" s="34"/>
      <c r="CN2050" s="34"/>
      <c r="CO2050" s="34"/>
      <c r="CP2050" s="34"/>
      <c r="CQ2050" s="34"/>
      <c r="CR2050" s="34"/>
      <c r="CS2050" s="34"/>
    </row>
    <row r="2051" spans="7:97" s="246" customFormat="1" x14ac:dyDescent="0.2">
      <c r="G2051" s="2188"/>
      <c r="BS2051" s="34"/>
      <c r="BT2051" s="34"/>
      <c r="BU2051" s="34"/>
      <c r="BV2051" s="34"/>
      <c r="BW2051" s="34"/>
      <c r="BX2051" s="34"/>
      <c r="BY2051" s="34"/>
      <c r="BZ2051" s="34"/>
      <c r="CA2051" s="34"/>
      <c r="CB2051" s="34"/>
      <c r="CC2051" s="34"/>
      <c r="CD2051" s="34"/>
      <c r="CE2051" s="34"/>
      <c r="CF2051" s="34"/>
      <c r="CG2051" s="34"/>
      <c r="CH2051" s="34"/>
      <c r="CI2051" s="34"/>
      <c r="CJ2051" s="34"/>
      <c r="CK2051" s="34"/>
      <c r="CL2051" s="34"/>
      <c r="CM2051" s="34"/>
      <c r="CN2051" s="34"/>
      <c r="CO2051" s="34"/>
      <c r="CP2051" s="34"/>
      <c r="CQ2051" s="34"/>
      <c r="CR2051" s="34"/>
      <c r="CS2051" s="34"/>
    </row>
    <row r="2052" spans="7:97" s="246" customFormat="1" x14ac:dyDescent="0.2">
      <c r="G2052" s="2188"/>
      <c r="BS2052" s="34"/>
      <c r="BT2052" s="34"/>
      <c r="BU2052" s="34"/>
      <c r="BV2052" s="34"/>
      <c r="BW2052" s="34"/>
      <c r="BX2052" s="34"/>
      <c r="BY2052" s="34"/>
      <c r="BZ2052" s="34"/>
      <c r="CA2052" s="34"/>
      <c r="CB2052" s="34"/>
      <c r="CC2052" s="34"/>
      <c r="CD2052" s="34"/>
      <c r="CE2052" s="34"/>
      <c r="CF2052" s="34"/>
      <c r="CG2052" s="34"/>
      <c r="CH2052" s="34"/>
      <c r="CI2052" s="34"/>
      <c r="CJ2052" s="34"/>
      <c r="CK2052" s="34"/>
      <c r="CL2052" s="34"/>
      <c r="CM2052" s="34"/>
      <c r="CN2052" s="34"/>
      <c r="CO2052" s="34"/>
      <c r="CP2052" s="34"/>
      <c r="CQ2052" s="34"/>
      <c r="CR2052" s="34"/>
      <c r="CS2052" s="34"/>
    </row>
    <row r="2053" spans="7:97" s="246" customFormat="1" x14ac:dyDescent="0.2">
      <c r="G2053" s="2188"/>
      <c r="BS2053" s="34"/>
      <c r="BT2053" s="34"/>
      <c r="BU2053" s="34"/>
      <c r="BV2053" s="34"/>
      <c r="BW2053" s="34"/>
      <c r="BX2053" s="34"/>
      <c r="BY2053" s="34"/>
      <c r="BZ2053" s="34"/>
      <c r="CA2053" s="34"/>
      <c r="CB2053" s="34"/>
      <c r="CC2053" s="34"/>
      <c r="CD2053" s="34"/>
      <c r="CE2053" s="34"/>
      <c r="CF2053" s="34"/>
      <c r="CG2053" s="34"/>
      <c r="CH2053" s="34"/>
      <c r="CI2053" s="34"/>
      <c r="CJ2053" s="34"/>
      <c r="CK2053" s="34"/>
      <c r="CL2053" s="34"/>
      <c r="CM2053" s="34"/>
      <c r="CN2053" s="34"/>
      <c r="CO2053" s="34"/>
      <c r="CP2053" s="34"/>
      <c r="CQ2053" s="34"/>
      <c r="CR2053" s="34"/>
      <c r="CS2053" s="34"/>
    </row>
    <row r="2054" spans="7:97" s="246" customFormat="1" x14ac:dyDescent="0.2">
      <c r="G2054" s="2188"/>
      <c r="BS2054" s="34"/>
      <c r="BT2054" s="34"/>
      <c r="BU2054" s="34"/>
      <c r="BV2054" s="34"/>
      <c r="BW2054" s="34"/>
      <c r="BX2054" s="34"/>
      <c r="BY2054" s="34"/>
      <c r="BZ2054" s="34"/>
      <c r="CA2054" s="34"/>
      <c r="CB2054" s="34"/>
      <c r="CC2054" s="34"/>
      <c r="CD2054" s="34"/>
      <c r="CE2054" s="34"/>
      <c r="CF2054" s="34"/>
      <c r="CG2054" s="34"/>
      <c r="CH2054" s="34"/>
      <c r="CI2054" s="34"/>
      <c r="CJ2054" s="34"/>
      <c r="CK2054" s="34"/>
      <c r="CL2054" s="34"/>
      <c r="CM2054" s="34"/>
      <c r="CN2054" s="34"/>
      <c r="CO2054" s="34"/>
      <c r="CP2054" s="34"/>
      <c r="CQ2054" s="34"/>
      <c r="CR2054" s="34"/>
      <c r="CS2054" s="34"/>
    </row>
    <row r="2055" spans="7:97" s="246" customFormat="1" x14ac:dyDescent="0.2">
      <c r="G2055" s="2188"/>
      <c r="BS2055" s="34"/>
      <c r="BT2055" s="34"/>
      <c r="BU2055" s="34"/>
      <c r="BV2055" s="34"/>
      <c r="BW2055" s="34"/>
      <c r="BX2055" s="34"/>
      <c r="BY2055" s="34"/>
      <c r="BZ2055" s="34"/>
      <c r="CA2055" s="34"/>
      <c r="CB2055" s="34"/>
      <c r="CC2055" s="34"/>
      <c r="CD2055" s="34"/>
      <c r="CE2055" s="34"/>
      <c r="CF2055" s="34"/>
      <c r="CG2055" s="34"/>
      <c r="CH2055" s="34"/>
      <c r="CI2055" s="34"/>
      <c r="CJ2055" s="34"/>
      <c r="CK2055" s="34"/>
      <c r="CL2055" s="34"/>
      <c r="CM2055" s="34"/>
      <c r="CN2055" s="34"/>
      <c r="CO2055" s="34"/>
      <c r="CP2055" s="34"/>
      <c r="CQ2055" s="34"/>
      <c r="CR2055" s="34"/>
      <c r="CS2055" s="34"/>
    </row>
    <row r="2056" spans="7:97" s="246" customFormat="1" x14ac:dyDescent="0.2">
      <c r="G2056" s="2188"/>
      <c r="BS2056" s="34"/>
      <c r="BT2056" s="34"/>
      <c r="BU2056" s="34"/>
      <c r="BV2056" s="34"/>
      <c r="BW2056" s="34"/>
      <c r="BX2056" s="34"/>
      <c r="BY2056" s="34"/>
      <c r="BZ2056" s="34"/>
      <c r="CA2056" s="34"/>
      <c r="CB2056" s="34"/>
      <c r="CC2056" s="34"/>
      <c r="CD2056" s="34"/>
      <c r="CE2056" s="34"/>
      <c r="CF2056" s="34"/>
      <c r="CG2056" s="34"/>
      <c r="CH2056" s="34"/>
      <c r="CI2056" s="34"/>
      <c r="CJ2056" s="34"/>
      <c r="CK2056" s="34"/>
      <c r="CL2056" s="34"/>
      <c r="CM2056" s="34"/>
      <c r="CN2056" s="34"/>
      <c r="CO2056" s="34"/>
      <c r="CP2056" s="34"/>
      <c r="CQ2056" s="34"/>
      <c r="CR2056" s="34"/>
      <c r="CS2056" s="34"/>
    </row>
    <row r="2057" spans="7:97" s="246" customFormat="1" x14ac:dyDescent="0.2">
      <c r="G2057" s="2188"/>
      <c r="BS2057" s="34"/>
      <c r="BT2057" s="34"/>
      <c r="BU2057" s="34"/>
      <c r="BV2057" s="34"/>
      <c r="BW2057" s="34"/>
      <c r="BX2057" s="34"/>
      <c r="BY2057" s="34"/>
      <c r="BZ2057" s="34"/>
      <c r="CA2057" s="34"/>
      <c r="CB2057" s="34"/>
      <c r="CC2057" s="34"/>
      <c r="CD2057" s="34"/>
      <c r="CE2057" s="34"/>
      <c r="CF2057" s="34"/>
      <c r="CG2057" s="34"/>
      <c r="CH2057" s="34"/>
      <c r="CI2057" s="34"/>
      <c r="CJ2057" s="34"/>
      <c r="CK2057" s="34"/>
      <c r="CL2057" s="34"/>
      <c r="CM2057" s="34"/>
      <c r="CN2057" s="34"/>
      <c r="CO2057" s="34"/>
      <c r="CP2057" s="34"/>
      <c r="CQ2057" s="34"/>
      <c r="CR2057" s="34"/>
      <c r="CS2057" s="34"/>
    </row>
    <row r="2058" spans="7:97" s="246" customFormat="1" x14ac:dyDescent="0.2">
      <c r="G2058" s="2188"/>
      <c r="BS2058" s="34"/>
      <c r="BT2058" s="34"/>
      <c r="BU2058" s="34"/>
      <c r="BV2058" s="34"/>
      <c r="BW2058" s="34"/>
      <c r="BX2058" s="34"/>
      <c r="BY2058" s="34"/>
      <c r="BZ2058" s="34"/>
      <c r="CA2058" s="34"/>
      <c r="CB2058" s="34"/>
      <c r="CC2058" s="34"/>
      <c r="CD2058" s="34"/>
      <c r="CE2058" s="34"/>
      <c r="CF2058" s="34"/>
      <c r="CG2058" s="34"/>
      <c r="CH2058" s="34"/>
      <c r="CI2058" s="34"/>
      <c r="CJ2058" s="34"/>
      <c r="CK2058" s="34"/>
      <c r="CL2058" s="34"/>
      <c r="CM2058" s="34"/>
      <c r="CN2058" s="34"/>
      <c r="CO2058" s="34"/>
      <c r="CP2058" s="34"/>
      <c r="CQ2058" s="34"/>
      <c r="CR2058" s="34"/>
      <c r="CS2058" s="34"/>
    </row>
    <row r="2059" spans="7:97" s="246" customFormat="1" x14ac:dyDescent="0.2">
      <c r="G2059" s="2188"/>
      <c r="BS2059" s="34"/>
      <c r="BT2059" s="34"/>
      <c r="BU2059" s="34"/>
      <c r="BV2059" s="34"/>
      <c r="BW2059" s="34"/>
      <c r="BX2059" s="34"/>
      <c r="BY2059" s="34"/>
      <c r="BZ2059" s="34"/>
      <c r="CA2059" s="34"/>
      <c r="CB2059" s="34"/>
      <c r="CC2059" s="34"/>
      <c r="CD2059" s="34"/>
      <c r="CE2059" s="34"/>
      <c r="CF2059" s="34"/>
      <c r="CG2059" s="34"/>
      <c r="CH2059" s="34"/>
      <c r="CI2059" s="34"/>
      <c r="CJ2059" s="34"/>
      <c r="CK2059" s="34"/>
      <c r="CL2059" s="34"/>
      <c r="CM2059" s="34"/>
      <c r="CN2059" s="34"/>
      <c r="CO2059" s="34"/>
      <c r="CP2059" s="34"/>
      <c r="CQ2059" s="34"/>
      <c r="CR2059" s="34"/>
      <c r="CS2059" s="34"/>
    </row>
    <row r="2060" spans="7:97" s="246" customFormat="1" x14ac:dyDescent="0.2">
      <c r="G2060" s="2188"/>
      <c r="BS2060" s="34"/>
      <c r="BT2060" s="34"/>
      <c r="BU2060" s="34"/>
      <c r="BV2060" s="34"/>
      <c r="BW2060" s="34"/>
      <c r="BX2060" s="34"/>
      <c r="BY2060" s="34"/>
      <c r="BZ2060" s="34"/>
      <c r="CA2060" s="34"/>
      <c r="CB2060" s="34"/>
      <c r="CC2060" s="34"/>
      <c r="CD2060" s="34"/>
      <c r="CE2060" s="34"/>
      <c r="CF2060" s="34"/>
      <c r="CG2060" s="34"/>
      <c r="CH2060" s="34"/>
      <c r="CI2060" s="34"/>
      <c r="CJ2060" s="34"/>
      <c r="CK2060" s="34"/>
      <c r="CL2060" s="34"/>
      <c r="CM2060" s="34"/>
      <c r="CN2060" s="34"/>
      <c r="CO2060" s="34"/>
      <c r="CP2060" s="34"/>
      <c r="CQ2060" s="34"/>
      <c r="CR2060" s="34"/>
      <c r="CS2060" s="34"/>
    </row>
    <row r="2061" spans="7:97" s="246" customFormat="1" x14ac:dyDescent="0.2">
      <c r="G2061" s="2188"/>
      <c r="BS2061" s="34"/>
      <c r="BT2061" s="34"/>
      <c r="BU2061" s="34"/>
      <c r="BV2061" s="34"/>
      <c r="BW2061" s="34"/>
      <c r="BX2061" s="34"/>
      <c r="BY2061" s="34"/>
      <c r="BZ2061" s="34"/>
      <c r="CA2061" s="34"/>
      <c r="CB2061" s="34"/>
      <c r="CC2061" s="34"/>
      <c r="CD2061" s="34"/>
      <c r="CE2061" s="34"/>
      <c r="CF2061" s="34"/>
      <c r="CG2061" s="34"/>
      <c r="CH2061" s="34"/>
      <c r="CI2061" s="34"/>
      <c r="CJ2061" s="34"/>
      <c r="CK2061" s="34"/>
      <c r="CL2061" s="34"/>
      <c r="CM2061" s="34"/>
      <c r="CN2061" s="34"/>
      <c r="CO2061" s="34"/>
      <c r="CP2061" s="34"/>
      <c r="CQ2061" s="34"/>
      <c r="CR2061" s="34"/>
      <c r="CS2061" s="34"/>
    </row>
    <row r="2062" spans="7:97" s="246" customFormat="1" x14ac:dyDescent="0.2">
      <c r="G2062" s="2188"/>
      <c r="BS2062" s="34"/>
      <c r="BT2062" s="34"/>
      <c r="BU2062" s="34"/>
      <c r="BV2062" s="34"/>
      <c r="BW2062" s="34"/>
      <c r="BX2062" s="34"/>
      <c r="BY2062" s="34"/>
      <c r="BZ2062" s="34"/>
      <c r="CA2062" s="34"/>
      <c r="CB2062" s="34"/>
      <c r="CC2062" s="34"/>
      <c r="CD2062" s="34"/>
      <c r="CE2062" s="34"/>
      <c r="CF2062" s="34"/>
      <c r="CG2062" s="34"/>
      <c r="CH2062" s="34"/>
      <c r="CI2062" s="34"/>
      <c r="CJ2062" s="34"/>
      <c r="CK2062" s="34"/>
      <c r="CL2062" s="34"/>
      <c r="CM2062" s="34"/>
      <c r="CN2062" s="34"/>
      <c r="CO2062" s="34"/>
      <c r="CP2062" s="34"/>
      <c r="CQ2062" s="34"/>
      <c r="CR2062" s="34"/>
      <c r="CS2062" s="34"/>
    </row>
    <row r="2063" spans="7:97" s="246" customFormat="1" x14ac:dyDescent="0.2">
      <c r="G2063" s="2188"/>
      <c r="BS2063" s="34"/>
      <c r="BT2063" s="34"/>
      <c r="BU2063" s="34"/>
      <c r="BV2063" s="34"/>
      <c r="BW2063" s="34"/>
      <c r="BX2063" s="34"/>
      <c r="BY2063" s="34"/>
      <c r="BZ2063" s="34"/>
      <c r="CA2063" s="34"/>
      <c r="CB2063" s="34"/>
      <c r="CC2063" s="34"/>
      <c r="CD2063" s="34"/>
      <c r="CE2063" s="34"/>
      <c r="CF2063" s="34"/>
      <c r="CG2063" s="34"/>
      <c r="CH2063" s="34"/>
      <c r="CI2063" s="34"/>
      <c r="CJ2063" s="34"/>
      <c r="CK2063" s="34"/>
      <c r="CL2063" s="34"/>
      <c r="CM2063" s="34"/>
      <c r="CN2063" s="34"/>
      <c r="CO2063" s="34"/>
      <c r="CP2063" s="34"/>
      <c r="CQ2063" s="34"/>
      <c r="CR2063" s="34"/>
      <c r="CS2063" s="34"/>
    </row>
    <row r="2064" spans="7:97" s="246" customFormat="1" x14ac:dyDescent="0.2">
      <c r="G2064" s="2188"/>
      <c r="BS2064" s="34"/>
      <c r="BT2064" s="34"/>
      <c r="BU2064" s="34"/>
      <c r="BV2064" s="34"/>
      <c r="BW2064" s="34"/>
      <c r="BX2064" s="34"/>
      <c r="BY2064" s="34"/>
      <c r="BZ2064" s="34"/>
      <c r="CA2064" s="34"/>
      <c r="CB2064" s="34"/>
      <c r="CC2064" s="34"/>
      <c r="CD2064" s="34"/>
      <c r="CE2064" s="34"/>
      <c r="CF2064" s="34"/>
      <c r="CG2064" s="34"/>
      <c r="CH2064" s="34"/>
      <c r="CI2064" s="34"/>
      <c r="CJ2064" s="34"/>
      <c r="CK2064" s="34"/>
      <c r="CL2064" s="34"/>
      <c r="CM2064" s="34"/>
      <c r="CN2064" s="34"/>
      <c r="CO2064" s="34"/>
      <c r="CP2064" s="34"/>
      <c r="CQ2064" s="34"/>
      <c r="CR2064" s="34"/>
      <c r="CS2064" s="34"/>
    </row>
    <row r="2065" spans="7:97" s="246" customFormat="1" x14ac:dyDescent="0.2">
      <c r="G2065" s="2188"/>
      <c r="BS2065" s="34"/>
      <c r="BT2065" s="34"/>
      <c r="BU2065" s="34"/>
      <c r="BV2065" s="34"/>
      <c r="BW2065" s="34"/>
      <c r="BX2065" s="34"/>
      <c r="BY2065" s="34"/>
      <c r="BZ2065" s="34"/>
      <c r="CA2065" s="34"/>
      <c r="CB2065" s="34"/>
      <c r="CC2065" s="34"/>
      <c r="CD2065" s="34"/>
      <c r="CE2065" s="34"/>
      <c r="CF2065" s="34"/>
      <c r="CG2065" s="34"/>
      <c r="CH2065" s="34"/>
      <c r="CI2065" s="34"/>
      <c r="CJ2065" s="34"/>
      <c r="CK2065" s="34"/>
      <c r="CL2065" s="34"/>
      <c r="CM2065" s="34"/>
      <c r="CN2065" s="34"/>
      <c r="CO2065" s="34"/>
      <c r="CP2065" s="34"/>
      <c r="CQ2065" s="34"/>
      <c r="CR2065" s="34"/>
      <c r="CS2065" s="34"/>
    </row>
    <row r="2066" spans="7:97" s="246" customFormat="1" x14ac:dyDescent="0.2">
      <c r="G2066" s="2188"/>
      <c r="BS2066" s="34"/>
      <c r="BT2066" s="34"/>
      <c r="BU2066" s="34"/>
      <c r="BV2066" s="34"/>
      <c r="BW2066" s="34"/>
      <c r="BX2066" s="34"/>
      <c r="BY2066" s="34"/>
      <c r="BZ2066" s="34"/>
      <c r="CA2066" s="34"/>
      <c r="CB2066" s="34"/>
      <c r="CC2066" s="34"/>
      <c r="CD2066" s="34"/>
      <c r="CE2066" s="34"/>
      <c r="CF2066" s="34"/>
      <c r="CG2066" s="34"/>
      <c r="CH2066" s="34"/>
      <c r="CI2066" s="34"/>
      <c r="CJ2066" s="34"/>
      <c r="CK2066" s="34"/>
      <c r="CL2066" s="34"/>
      <c r="CM2066" s="34"/>
      <c r="CN2066" s="34"/>
      <c r="CO2066" s="34"/>
      <c r="CP2066" s="34"/>
      <c r="CQ2066" s="34"/>
      <c r="CR2066" s="34"/>
      <c r="CS2066" s="34"/>
    </row>
    <row r="2067" spans="7:97" s="246" customFormat="1" x14ac:dyDescent="0.2">
      <c r="G2067" s="2188"/>
      <c r="BS2067" s="34"/>
      <c r="BT2067" s="34"/>
      <c r="BU2067" s="34"/>
      <c r="BV2067" s="34"/>
      <c r="BW2067" s="34"/>
      <c r="BX2067" s="34"/>
      <c r="BY2067" s="34"/>
      <c r="BZ2067" s="34"/>
      <c r="CA2067" s="34"/>
      <c r="CB2067" s="34"/>
      <c r="CC2067" s="34"/>
      <c r="CD2067" s="34"/>
      <c r="CE2067" s="34"/>
      <c r="CF2067" s="34"/>
      <c r="CG2067" s="34"/>
      <c r="CH2067" s="34"/>
      <c r="CI2067" s="34"/>
      <c r="CJ2067" s="34"/>
      <c r="CK2067" s="34"/>
      <c r="CL2067" s="34"/>
      <c r="CM2067" s="34"/>
      <c r="CN2067" s="34"/>
      <c r="CO2067" s="34"/>
      <c r="CP2067" s="34"/>
      <c r="CQ2067" s="34"/>
      <c r="CR2067" s="34"/>
      <c r="CS2067" s="34"/>
    </row>
    <row r="2068" spans="7:97" s="246" customFormat="1" x14ac:dyDescent="0.2">
      <c r="G2068" s="2188"/>
      <c r="BS2068" s="34"/>
      <c r="BT2068" s="34"/>
      <c r="BU2068" s="34"/>
      <c r="BV2068" s="34"/>
      <c r="BW2068" s="34"/>
      <c r="BX2068" s="34"/>
      <c r="BY2068" s="34"/>
      <c r="BZ2068" s="34"/>
      <c r="CA2068" s="34"/>
      <c r="CB2068" s="34"/>
      <c r="CC2068" s="34"/>
      <c r="CD2068" s="34"/>
      <c r="CE2068" s="34"/>
      <c r="CF2068" s="34"/>
      <c r="CG2068" s="34"/>
      <c r="CH2068" s="34"/>
      <c r="CI2068" s="34"/>
      <c r="CJ2068" s="34"/>
      <c r="CK2068" s="34"/>
      <c r="CL2068" s="34"/>
      <c r="CM2068" s="34"/>
      <c r="CN2068" s="34"/>
      <c r="CO2068" s="34"/>
      <c r="CP2068" s="34"/>
      <c r="CQ2068" s="34"/>
      <c r="CR2068" s="34"/>
      <c r="CS2068" s="34"/>
    </row>
    <row r="2069" spans="7:97" s="246" customFormat="1" x14ac:dyDescent="0.2">
      <c r="G2069" s="2188"/>
      <c r="BS2069" s="34"/>
      <c r="BT2069" s="34"/>
      <c r="BU2069" s="34"/>
      <c r="BV2069" s="34"/>
      <c r="BW2069" s="34"/>
      <c r="BX2069" s="34"/>
      <c r="BY2069" s="34"/>
      <c r="BZ2069" s="34"/>
      <c r="CA2069" s="34"/>
      <c r="CB2069" s="34"/>
      <c r="CC2069" s="34"/>
      <c r="CD2069" s="34"/>
      <c r="CE2069" s="34"/>
      <c r="CF2069" s="34"/>
      <c r="CG2069" s="34"/>
      <c r="CH2069" s="34"/>
      <c r="CI2069" s="34"/>
      <c r="CJ2069" s="34"/>
      <c r="CK2069" s="34"/>
      <c r="CL2069" s="34"/>
      <c r="CM2069" s="34"/>
      <c r="CN2069" s="34"/>
      <c r="CO2069" s="34"/>
      <c r="CP2069" s="34"/>
      <c r="CQ2069" s="34"/>
      <c r="CR2069" s="34"/>
      <c r="CS2069" s="34"/>
    </row>
    <row r="2070" spans="7:97" s="246" customFormat="1" x14ac:dyDescent="0.2">
      <c r="G2070" s="2188"/>
      <c r="BS2070" s="34"/>
      <c r="BT2070" s="34"/>
      <c r="BU2070" s="34"/>
      <c r="BV2070" s="34"/>
      <c r="BW2070" s="34"/>
      <c r="BX2070" s="34"/>
      <c r="BY2070" s="34"/>
      <c r="BZ2070" s="34"/>
      <c r="CA2070" s="34"/>
      <c r="CB2070" s="34"/>
      <c r="CC2070" s="34"/>
      <c r="CD2070" s="34"/>
      <c r="CE2070" s="34"/>
      <c r="CF2070" s="34"/>
      <c r="CG2070" s="34"/>
      <c r="CH2070" s="34"/>
      <c r="CI2070" s="34"/>
      <c r="CJ2070" s="34"/>
      <c r="CK2070" s="34"/>
      <c r="CL2070" s="34"/>
      <c r="CM2070" s="34"/>
      <c r="CN2070" s="34"/>
      <c r="CO2070" s="34"/>
      <c r="CP2070" s="34"/>
      <c r="CQ2070" s="34"/>
      <c r="CR2070" s="34"/>
      <c r="CS2070" s="34"/>
    </row>
    <row r="2071" spans="7:97" s="246" customFormat="1" x14ac:dyDescent="0.2">
      <c r="G2071" s="2188"/>
      <c r="BS2071" s="34"/>
      <c r="BT2071" s="34"/>
      <c r="BU2071" s="34"/>
      <c r="BV2071" s="34"/>
      <c r="BW2071" s="34"/>
      <c r="BX2071" s="34"/>
      <c r="BY2071" s="34"/>
      <c r="BZ2071" s="34"/>
      <c r="CA2071" s="34"/>
      <c r="CB2071" s="34"/>
      <c r="CC2071" s="34"/>
      <c r="CD2071" s="34"/>
      <c r="CE2071" s="34"/>
      <c r="CF2071" s="34"/>
      <c r="CG2071" s="34"/>
      <c r="CH2071" s="34"/>
      <c r="CI2071" s="34"/>
      <c r="CJ2071" s="34"/>
      <c r="CK2071" s="34"/>
      <c r="CL2071" s="34"/>
      <c r="CM2071" s="34"/>
      <c r="CN2071" s="34"/>
      <c r="CO2071" s="34"/>
      <c r="CP2071" s="34"/>
      <c r="CQ2071" s="34"/>
      <c r="CR2071" s="34"/>
      <c r="CS2071" s="34"/>
    </row>
    <row r="2072" spans="7:97" s="246" customFormat="1" x14ac:dyDescent="0.2">
      <c r="G2072" s="2188"/>
      <c r="BS2072" s="34"/>
      <c r="BT2072" s="34"/>
      <c r="BU2072" s="34"/>
      <c r="BV2072" s="34"/>
      <c r="BW2072" s="34"/>
      <c r="BX2072" s="34"/>
      <c r="BY2072" s="34"/>
      <c r="BZ2072" s="34"/>
      <c r="CA2072" s="34"/>
      <c r="CB2072" s="34"/>
      <c r="CC2072" s="34"/>
      <c r="CD2072" s="34"/>
      <c r="CE2072" s="34"/>
      <c r="CF2072" s="34"/>
      <c r="CG2072" s="34"/>
      <c r="CH2072" s="34"/>
      <c r="CI2072" s="34"/>
      <c r="CJ2072" s="34"/>
      <c r="CK2072" s="34"/>
      <c r="CL2072" s="34"/>
      <c r="CM2072" s="34"/>
      <c r="CN2072" s="34"/>
      <c r="CO2072" s="34"/>
      <c r="CP2072" s="34"/>
      <c r="CQ2072" s="34"/>
      <c r="CR2072" s="34"/>
      <c r="CS2072" s="34"/>
    </row>
    <row r="2073" spans="7:97" s="246" customFormat="1" x14ac:dyDescent="0.2">
      <c r="G2073" s="2188"/>
      <c r="BS2073" s="34"/>
      <c r="BT2073" s="34"/>
      <c r="BU2073" s="34"/>
      <c r="BV2073" s="34"/>
      <c r="BW2073" s="34"/>
      <c r="BX2073" s="34"/>
      <c r="BY2073" s="34"/>
      <c r="BZ2073" s="34"/>
      <c r="CA2073" s="34"/>
      <c r="CB2073" s="34"/>
      <c r="CC2073" s="34"/>
      <c r="CD2073" s="34"/>
      <c r="CE2073" s="34"/>
      <c r="CF2073" s="34"/>
      <c r="CG2073" s="34"/>
      <c r="CH2073" s="34"/>
      <c r="CI2073" s="34"/>
      <c r="CJ2073" s="34"/>
      <c r="CK2073" s="34"/>
      <c r="CL2073" s="34"/>
      <c r="CM2073" s="34"/>
      <c r="CN2073" s="34"/>
      <c r="CO2073" s="34"/>
      <c r="CP2073" s="34"/>
      <c r="CQ2073" s="34"/>
      <c r="CR2073" s="34"/>
      <c r="CS2073" s="34"/>
    </row>
    <row r="2074" spans="7:97" s="246" customFormat="1" x14ac:dyDescent="0.2">
      <c r="G2074" s="2188"/>
      <c r="BS2074" s="34"/>
      <c r="BT2074" s="34"/>
      <c r="BU2074" s="34"/>
      <c r="BV2074" s="34"/>
      <c r="BW2074" s="34"/>
      <c r="BX2074" s="34"/>
      <c r="BY2074" s="34"/>
      <c r="BZ2074" s="34"/>
      <c r="CA2074" s="34"/>
      <c r="CB2074" s="34"/>
      <c r="CC2074" s="34"/>
      <c r="CD2074" s="34"/>
      <c r="CE2074" s="34"/>
      <c r="CF2074" s="34"/>
      <c r="CG2074" s="34"/>
      <c r="CH2074" s="34"/>
      <c r="CI2074" s="34"/>
      <c r="CJ2074" s="34"/>
      <c r="CK2074" s="34"/>
      <c r="CL2074" s="34"/>
      <c r="CM2074" s="34"/>
      <c r="CN2074" s="34"/>
      <c r="CO2074" s="34"/>
      <c r="CP2074" s="34"/>
      <c r="CQ2074" s="34"/>
      <c r="CR2074" s="34"/>
      <c r="CS2074" s="34"/>
    </row>
    <row r="2075" spans="7:97" s="246" customFormat="1" x14ac:dyDescent="0.2">
      <c r="G2075" s="2188"/>
      <c r="BS2075" s="34"/>
      <c r="BT2075" s="34"/>
      <c r="BU2075" s="34"/>
      <c r="BV2075" s="34"/>
      <c r="BW2075" s="34"/>
      <c r="BX2075" s="34"/>
      <c r="BY2075" s="34"/>
      <c r="BZ2075" s="34"/>
      <c r="CA2075" s="34"/>
      <c r="CB2075" s="34"/>
      <c r="CC2075" s="34"/>
      <c r="CD2075" s="34"/>
      <c r="CE2075" s="34"/>
      <c r="CF2075" s="34"/>
      <c r="CG2075" s="34"/>
      <c r="CH2075" s="34"/>
      <c r="CI2075" s="34"/>
      <c r="CJ2075" s="34"/>
      <c r="CK2075" s="34"/>
      <c r="CL2075" s="34"/>
      <c r="CM2075" s="34"/>
      <c r="CN2075" s="34"/>
      <c r="CO2075" s="34"/>
      <c r="CP2075" s="34"/>
      <c r="CQ2075" s="34"/>
      <c r="CR2075" s="34"/>
      <c r="CS2075" s="34"/>
    </row>
    <row r="2076" spans="7:97" s="246" customFormat="1" x14ac:dyDescent="0.2">
      <c r="G2076" s="2188"/>
      <c r="BS2076" s="34"/>
      <c r="BT2076" s="34"/>
      <c r="BU2076" s="34"/>
      <c r="BV2076" s="34"/>
      <c r="BW2076" s="34"/>
      <c r="BX2076" s="34"/>
      <c r="BY2076" s="34"/>
      <c r="BZ2076" s="34"/>
      <c r="CA2076" s="34"/>
      <c r="CB2076" s="34"/>
      <c r="CC2076" s="34"/>
      <c r="CD2076" s="34"/>
      <c r="CE2076" s="34"/>
      <c r="CF2076" s="34"/>
      <c r="CG2076" s="34"/>
      <c r="CH2076" s="34"/>
      <c r="CI2076" s="34"/>
      <c r="CJ2076" s="34"/>
      <c r="CK2076" s="34"/>
      <c r="CL2076" s="34"/>
      <c r="CM2076" s="34"/>
      <c r="CN2076" s="34"/>
      <c r="CO2076" s="34"/>
      <c r="CP2076" s="34"/>
      <c r="CQ2076" s="34"/>
      <c r="CR2076" s="34"/>
      <c r="CS2076" s="34"/>
    </row>
    <row r="2077" spans="7:97" s="246" customFormat="1" x14ac:dyDescent="0.2">
      <c r="G2077" s="2188"/>
      <c r="BS2077" s="34"/>
      <c r="BT2077" s="34"/>
      <c r="BU2077" s="34"/>
      <c r="BV2077" s="34"/>
      <c r="BW2077" s="34"/>
      <c r="BX2077" s="34"/>
      <c r="BY2077" s="34"/>
      <c r="BZ2077" s="34"/>
      <c r="CA2077" s="34"/>
      <c r="CB2077" s="34"/>
      <c r="CC2077" s="34"/>
      <c r="CD2077" s="34"/>
      <c r="CE2077" s="34"/>
      <c r="CF2077" s="34"/>
      <c r="CG2077" s="34"/>
      <c r="CH2077" s="34"/>
      <c r="CI2077" s="34"/>
      <c r="CJ2077" s="34"/>
      <c r="CK2077" s="34"/>
      <c r="CL2077" s="34"/>
      <c r="CM2077" s="34"/>
      <c r="CN2077" s="34"/>
      <c r="CO2077" s="34"/>
      <c r="CP2077" s="34"/>
      <c r="CQ2077" s="34"/>
      <c r="CR2077" s="34"/>
      <c r="CS2077" s="34"/>
    </row>
    <row r="2078" spans="7:97" s="246" customFormat="1" x14ac:dyDescent="0.2">
      <c r="G2078" s="2188"/>
      <c r="BS2078" s="34"/>
      <c r="BT2078" s="34"/>
      <c r="BU2078" s="34"/>
      <c r="BV2078" s="34"/>
      <c r="BW2078" s="34"/>
      <c r="BX2078" s="34"/>
      <c r="BY2078" s="34"/>
      <c r="BZ2078" s="34"/>
      <c r="CA2078" s="34"/>
      <c r="CB2078" s="34"/>
      <c r="CC2078" s="34"/>
      <c r="CD2078" s="34"/>
      <c r="CE2078" s="34"/>
      <c r="CF2078" s="34"/>
      <c r="CG2078" s="34"/>
      <c r="CH2078" s="34"/>
      <c r="CI2078" s="34"/>
      <c r="CJ2078" s="34"/>
      <c r="CK2078" s="34"/>
      <c r="CL2078" s="34"/>
      <c r="CM2078" s="34"/>
      <c r="CN2078" s="34"/>
      <c r="CO2078" s="34"/>
      <c r="CP2078" s="34"/>
      <c r="CQ2078" s="34"/>
      <c r="CR2078" s="34"/>
      <c r="CS2078" s="34"/>
    </row>
    <row r="2079" spans="7:97" s="246" customFormat="1" x14ac:dyDescent="0.2">
      <c r="G2079" s="2188"/>
      <c r="BS2079" s="34"/>
      <c r="BT2079" s="34"/>
      <c r="BU2079" s="34"/>
      <c r="BV2079" s="34"/>
      <c r="BW2079" s="34"/>
      <c r="BX2079" s="34"/>
      <c r="BY2079" s="34"/>
      <c r="BZ2079" s="34"/>
      <c r="CA2079" s="34"/>
      <c r="CB2079" s="34"/>
      <c r="CC2079" s="34"/>
      <c r="CD2079" s="34"/>
      <c r="CE2079" s="34"/>
      <c r="CF2079" s="34"/>
      <c r="CG2079" s="34"/>
      <c r="CH2079" s="34"/>
      <c r="CI2079" s="34"/>
      <c r="CJ2079" s="34"/>
      <c r="CK2079" s="34"/>
      <c r="CL2079" s="34"/>
      <c r="CM2079" s="34"/>
      <c r="CN2079" s="34"/>
      <c r="CO2079" s="34"/>
      <c r="CP2079" s="34"/>
      <c r="CQ2079" s="34"/>
      <c r="CR2079" s="34"/>
      <c r="CS2079" s="34"/>
    </row>
    <row r="2080" spans="7:97" s="246" customFormat="1" x14ac:dyDescent="0.2">
      <c r="G2080" s="2188"/>
      <c r="BS2080" s="34"/>
      <c r="BT2080" s="34"/>
      <c r="BU2080" s="34"/>
      <c r="BV2080" s="34"/>
      <c r="BW2080" s="34"/>
      <c r="BX2080" s="34"/>
      <c r="BY2080" s="34"/>
      <c r="BZ2080" s="34"/>
      <c r="CA2080" s="34"/>
      <c r="CB2080" s="34"/>
      <c r="CC2080" s="34"/>
      <c r="CD2080" s="34"/>
      <c r="CE2080" s="34"/>
      <c r="CF2080" s="34"/>
      <c r="CG2080" s="34"/>
      <c r="CH2080" s="34"/>
      <c r="CI2080" s="34"/>
      <c r="CJ2080" s="34"/>
      <c r="CK2080" s="34"/>
      <c r="CL2080" s="34"/>
      <c r="CM2080" s="34"/>
      <c r="CN2080" s="34"/>
      <c r="CO2080" s="34"/>
      <c r="CP2080" s="34"/>
      <c r="CQ2080" s="34"/>
      <c r="CR2080" s="34"/>
      <c r="CS2080" s="34"/>
    </row>
    <row r="2081" spans="7:97" s="246" customFormat="1" x14ac:dyDescent="0.2">
      <c r="G2081" s="2188"/>
      <c r="BS2081" s="34"/>
      <c r="BT2081" s="34"/>
      <c r="BU2081" s="34"/>
      <c r="BV2081" s="34"/>
      <c r="BW2081" s="34"/>
      <c r="BX2081" s="34"/>
      <c r="BY2081" s="34"/>
      <c r="BZ2081" s="34"/>
      <c r="CA2081" s="34"/>
      <c r="CB2081" s="34"/>
      <c r="CC2081" s="34"/>
      <c r="CD2081" s="34"/>
      <c r="CE2081" s="34"/>
      <c r="CF2081" s="34"/>
      <c r="CG2081" s="34"/>
      <c r="CH2081" s="34"/>
      <c r="CI2081" s="34"/>
      <c r="CJ2081" s="34"/>
      <c r="CK2081" s="34"/>
      <c r="CL2081" s="34"/>
      <c r="CM2081" s="34"/>
      <c r="CN2081" s="34"/>
      <c r="CO2081" s="34"/>
      <c r="CP2081" s="34"/>
      <c r="CQ2081" s="34"/>
      <c r="CR2081" s="34"/>
      <c r="CS2081" s="34"/>
    </row>
    <row r="2082" spans="7:97" s="246" customFormat="1" x14ac:dyDescent="0.2">
      <c r="G2082" s="2188"/>
      <c r="BS2082" s="34"/>
      <c r="BT2082" s="34"/>
      <c r="BU2082" s="34"/>
      <c r="BV2082" s="34"/>
      <c r="BW2082" s="34"/>
      <c r="BX2082" s="34"/>
      <c r="BY2082" s="34"/>
      <c r="BZ2082" s="34"/>
      <c r="CA2082" s="34"/>
      <c r="CB2082" s="34"/>
      <c r="CC2082" s="34"/>
      <c r="CD2082" s="34"/>
      <c r="CE2082" s="34"/>
      <c r="CF2082" s="34"/>
      <c r="CG2082" s="34"/>
      <c r="CH2082" s="34"/>
      <c r="CI2082" s="34"/>
      <c r="CJ2082" s="34"/>
      <c r="CK2082" s="34"/>
      <c r="CL2082" s="34"/>
      <c r="CM2082" s="34"/>
      <c r="CN2082" s="34"/>
      <c r="CO2082" s="34"/>
      <c r="CP2082" s="34"/>
      <c r="CQ2082" s="34"/>
      <c r="CR2082" s="34"/>
      <c r="CS2082" s="34"/>
    </row>
    <row r="2083" spans="7:97" s="246" customFormat="1" x14ac:dyDescent="0.2">
      <c r="G2083" s="2188"/>
      <c r="BS2083" s="34"/>
      <c r="BT2083" s="34"/>
      <c r="BU2083" s="34"/>
      <c r="BV2083" s="34"/>
      <c r="BW2083" s="34"/>
      <c r="BX2083" s="34"/>
      <c r="BY2083" s="34"/>
      <c r="BZ2083" s="34"/>
      <c r="CA2083" s="34"/>
      <c r="CB2083" s="34"/>
      <c r="CC2083" s="34"/>
      <c r="CD2083" s="34"/>
      <c r="CE2083" s="34"/>
      <c r="CF2083" s="34"/>
      <c r="CG2083" s="34"/>
      <c r="CH2083" s="34"/>
      <c r="CI2083" s="34"/>
      <c r="CJ2083" s="34"/>
      <c r="CK2083" s="34"/>
      <c r="CL2083" s="34"/>
      <c r="CM2083" s="34"/>
      <c r="CN2083" s="34"/>
      <c r="CO2083" s="34"/>
      <c r="CP2083" s="34"/>
      <c r="CQ2083" s="34"/>
      <c r="CR2083" s="34"/>
      <c r="CS2083" s="34"/>
    </row>
    <row r="2084" spans="7:97" s="246" customFormat="1" x14ac:dyDescent="0.2">
      <c r="G2084" s="2188"/>
      <c r="BS2084" s="34"/>
      <c r="BT2084" s="34"/>
      <c r="BU2084" s="34"/>
      <c r="BV2084" s="34"/>
      <c r="BW2084" s="34"/>
      <c r="BX2084" s="34"/>
      <c r="BY2084" s="34"/>
      <c r="BZ2084" s="34"/>
      <c r="CA2084" s="34"/>
      <c r="CB2084" s="34"/>
      <c r="CC2084" s="34"/>
      <c r="CD2084" s="34"/>
      <c r="CE2084" s="34"/>
      <c r="CF2084" s="34"/>
      <c r="CG2084" s="34"/>
      <c r="CH2084" s="34"/>
      <c r="CI2084" s="34"/>
      <c r="CJ2084" s="34"/>
      <c r="CK2084" s="34"/>
      <c r="CL2084" s="34"/>
      <c r="CM2084" s="34"/>
      <c r="CN2084" s="34"/>
      <c r="CO2084" s="34"/>
      <c r="CP2084" s="34"/>
      <c r="CQ2084" s="34"/>
      <c r="CR2084" s="34"/>
      <c r="CS2084" s="34"/>
    </row>
    <row r="2085" spans="7:97" s="246" customFormat="1" x14ac:dyDescent="0.2">
      <c r="G2085" s="2188"/>
      <c r="BS2085" s="34"/>
      <c r="BT2085" s="34"/>
      <c r="BU2085" s="34"/>
      <c r="BV2085" s="34"/>
      <c r="BW2085" s="34"/>
      <c r="BX2085" s="34"/>
      <c r="BY2085" s="34"/>
      <c r="BZ2085" s="34"/>
      <c r="CA2085" s="34"/>
      <c r="CB2085" s="34"/>
      <c r="CC2085" s="34"/>
      <c r="CD2085" s="34"/>
      <c r="CE2085" s="34"/>
      <c r="CF2085" s="34"/>
      <c r="CG2085" s="34"/>
      <c r="CH2085" s="34"/>
      <c r="CI2085" s="34"/>
      <c r="CJ2085" s="34"/>
      <c r="CK2085" s="34"/>
      <c r="CL2085" s="34"/>
      <c r="CM2085" s="34"/>
      <c r="CN2085" s="34"/>
      <c r="CO2085" s="34"/>
      <c r="CP2085" s="34"/>
      <c r="CQ2085" s="34"/>
      <c r="CR2085" s="34"/>
      <c r="CS2085" s="34"/>
    </row>
    <row r="2086" spans="7:97" s="246" customFormat="1" x14ac:dyDescent="0.2">
      <c r="G2086" s="2188"/>
      <c r="BS2086" s="34"/>
      <c r="BT2086" s="34"/>
      <c r="BU2086" s="34"/>
      <c r="BV2086" s="34"/>
      <c r="BW2086" s="34"/>
      <c r="BX2086" s="34"/>
      <c r="BY2086" s="34"/>
      <c r="BZ2086" s="34"/>
      <c r="CA2086" s="34"/>
      <c r="CB2086" s="34"/>
      <c r="CC2086" s="34"/>
      <c r="CD2086" s="34"/>
      <c r="CE2086" s="34"/>
      <c r="CF2086" s="34"/>
      <c r="CG2086" s="34"/>
      <c r="CH2086" s="34"/>
      <c r="CI2086" s="34"/>
      <c r="CJ2086" s="34"/>
      <c r="CK2086" s="34"/>
      <c r="CL2086" s="34"/>
      <c r="CM2086" s="34"/>
      <c r="CN2086" s="34"/>
      <c r="CO2086" s="34"/>
      <c r="CP2086" s="34"/>
      <c r="CQ2086" s="34"/>
      <c r="CR2086" s="34"/>
      <c r="CS2086" s="34"/>
    </row>
    <row r="2087" spans="7:97" s="246" customFormat="1" x14ac:dyDescent="0.2">
      <c r="G2087" s="2188"/>
      <c r="BS2087" s="34"/>
      <c r="BT2087" s="34"/>
      <c r="BU2087" s="34"/>
      <c r="BV2087" s="34"/>
      <c r="BW2087" s="34"/>
      <c r="BX2087" s="34"/>
      <c r="BY2087" s="34"/>
      <c r="BZ2087" s="34"/>
      <c r="CA2087" s="34"/>
      <c r="CB2087" s="34"/>
      <c r="CC2087" s="34"/>
      <c r="CD2087" s="34"/>
      <c r="CE2087" s="34"/>
      <c r="CF2087" s="34"/>
      <c r="CG2087" s="34"/>
      <c r="CH2087" s="34"/>
      <c r="CI2087" s="34"/>
      <c r="CJ2087" s="34"/>
      <c r="CK2087" s="34"/>
      <c r="CL2087" s="34"/>
      <c r="CM2087" s="34"/>
      <c r="CN2087" s="34"/>
      <c r="CO2087" s="34"/>
      <c r="CP2087" s="34"/>
      <c r="CQ2087" s="34"/>
      <c r="CR2087" s="34"/>
      <c r="CS2087" s="34"/>
    </row>
    <row r="2088" spans="7:97" s="246" customFormat="1" x14ac:dyDescent="0.2">
      <c r="G2088" s="2188"/>
      <c r="BS2088" s="34"/>
      <c r="BT2088" s="34"/>
      <c r="BU2088" s="34"/>
      <c r="BV2088" s="34"/>
      <c r="BW2088" s="34"/>
      <c r="BX2088" s="34"/>
      <c r="BY2088" s="34"/>
      <c r="BZ2088" s="34"/>
      <c r="CA2088" s="34"/>
      <c r="CB2088" s="34"/>
      <c r="CC2088" s="34"/>
      <c r="CD2088" s="34"/>
      <c r="CE2088" s="34"/>
      <c r="CF2088" s="34"/>
      <c r="CG2088" s="34"/>
      <c r="CH2088" s="34"/>
      <c r="CI2088" s="34"/>
      <c r="CJ2088" s="34"/>
      <c r="CK2088" s="34"/>
      <c r="CL2088" s="34"/>
      <c r="CM2088" s="34"/>
      <c r="CN2088" s="34"/>
      <c r="CO2088" s="34"/>
      <c r="CP2088" s="34"/>
      <c r="CQ2088" s="34"/>
      <c r="CR2088" s="34"/>
      <c r="CS2088" s="34"/>
    </row>
    <row r="2089" spans="7:97" s="246" customFormat="1" x14ac:dyDescent="0.2">
      <c r="G2089" s="2188"/>
      <c r="BS2089" s="34"/>
      <c r="BT2089" s="34"/>
      <c r="BU2089" s="34"/>
      <c r="BV2089" s="34"/>
      <c r="BW2089" s="34"/>
      <c r="BX2089" s="34"/>
      <c r="BY2089" s="34"/>
      <c r="BZ2089" s="34"/>
      <c r="CA2089" s="34"/>
      <c r="CB2089" s="34"/>
      <c r="CC2089" s="34"/>
      <c r="CD2089" s="34"/>
      <c r="CE2089" s="34"/>
      <c r="CF2089" s="34"/>
      <c r="CG2089" s="34"/>
      <c r="CH2089" s="34"/>
      <c r="CI2089" s="34"/>
      <c r="CJ2089" s="34"/>
      <c r="CK2089" s="34"/>
      <c r="CL2089" s="34"/>
      <c r="CM2089" s="34"/>
      <c r="CN2089" s="34"/>
      <c r="CO2089" s="34"/>
      <c r="CP2089" s="34"/>
      <c r="CQ2089" s="34"/>
      <c r="CR2089" s="34"/>
      <c r="CS2089" s="34"/>
    </row>
    <row r="2090" spans="7:97" s="246" customFormat="1" x14ac:dyDescent="0.2">
      <c r="G2090" s="2188"/>
      <c r="BS2090" s="34"/>
      <c r="BT2090" s="34"/>
      <c r="BU2090" s="34"/>
      <c r="BV2090" s="34"/>
      <c r="BW2090" s="34"/>
      <c r="BX2090" s="34"/>
      <c r="BY2090" s="34"/>
      <c r="BZ2090" s="34"/>
      <c r="CA2090" s="34"/>
      <c r="CB2090" s="34"/>
      <c r="CC2090" s="34"/>
      <c r="CD2090" s="34"/>
      <c r="CE2090" s="34"/>
      <c r="CF2090" s="34"/>
      <c r="CG2090" s="34"/>
      <c r="CH2090" s="34"/>
      <c r="CI2090" s="34"/>
      <c r="CJ2090" s="34"/>
      <c r="CK2090" s="34"/>
      <c r="CL2090" s="34"/>
      <c r="CM2090" s="34"/>
      <c r="CN2090" s="34"/>
      <c r="CO2090" s="34"/>
      <c r="CP2090" s="34"/>
      <c r="CQ2090" s="34"/>
      <c r="CR2090" s="34"/>
      <c r="CS2090" s="34"/>
    </row>
    <row r="2091" spans="7:97" s="246" customFormat="1" x14ac:dyDescent="0.2">
      <c r="G2091" s="2188"/>
      <c r="BS2091" s="34"/>
      <c r="BT2091" s="34"/>
      <c r="BU2091" s="34"/>
      <c r="BV2091" s="34"/>
      <c r="BW2091" s="34"/>
      <c r="BX2091" s="34"/>
      <c r="BY2091" s="34"/>
      <c r="BZ2091" s="34"/>
      <c r="CA2091" s="34"/>
      <c r="CB2091" s="34"/>
      <c r="CC2091" s="34"/>
      <c r="CD2091" s="34"/>
      <c r="CE2091" s="34"/>
      <c r="CF2091" s="34"/>
      <c r="CG2091" s="34"/>
      <c r="CH2091" s="34"/>
      <c r="CI2091" s="34"/>
      <c r="CJ2091" s="34"/>
      <c r="CK2091" s="34"/>
      <c r="CL2091" s="34"/>
      <c r="CM2091" s="34"/>
      <c r="CN2091" s="34"/>
      <c r="CO2091" s="34"/>
      <c r="CP2091" s="34"/>
      <c r="CQ2091" s="34"/>
      <c r="CR2091" s="34"/>
      <c r="CS2091" s="34"/>
    </row>
    <row r="2092" spans="7:97" s="246" customFormat="1" x14ac:dyDescent="0.2">
      <c r="G2092" s="2188"/>
      <c r="BS2092" s="34"/>
      <c r="BT2092" s="34"/>
      <c r="BU2092" s="34"/>
      <c r="BV2092" s="34"/>
      <c r="BW2092" s="34"/>
      <c r="BX2092" s="34"/>
      <c r="BY2092" s="34"/>
      <c r="BZ2092" s="34"/>
      <c r="CA2092" s="34"/>
      <c r="CB2092" s="34"/>
      <c r="CC2092" s="34"/>
      <c r="CD2092" s="34"/>
      <c r="CE2092" s="34"/>
      <c r="CF2092" s="34"/>
      <c r="CG2092" s="34"/>
      <c r="CH2092" s="34"/>
      <c r="CI2092" s="34"/>
      <c r="CJ2092" s="34"/>
      <c r="CK2092" s="34"/>
      <c r="CL2092" s="34"/>
      <c r="CM2092" s="34"/>
      <c r="CN2092" s="34"/>
      <c r="CO2092" s="34"/>
      <c r="CP2092" s="34"/>
      <c r="CQ2092" s="34"/>
      <c r="CR2092" s="34"/>
      <c r="CS2092" s="34"/>
    </row>
    <row r="2093" spans="7:97" s="246" customFormat="1" x14ac:dyDescent="0.2">
      <c r="G2093" s="2188"/>
      <c r="BS2093" s="34"/>
      <c r="BT2093" s="34"/>
      <c r="BU2093" s="34"/>
      <c r="BV2093" s="34"/>
      <c r="BW2093" s="34"/>
      <c r="BX2093" s="34"/>
      <c r="BY2093" s="34"/>
      <c r="BZ2093" s="34"/>
      <c r="CA2093" s="34"/>
      <c r="CB2093" s="34"/>
      <c r="CC2093" s="34"/>
      <c r="CD2093" s="34"/>
      <c r="CE2093" s="34"/>
      <c r="CF2093" s="34"/>
      <c r="CG2093" s="34"/>
      <c r="CH2093" s="34"/>
      <c r="CI2093" s="34"/>
      <c r="CJ2093" s="34"/>
      <c r="CK2093" s="34"/>
      <c r="CL2093" s="34"/>
      <c r="CM2093" s="34"/>
      <c r="CN2093" s="34"/>
      <c r="CO2093" s="34"/>
      <c r="CP2093" s="34"/>
      <c r="CQ2093" s="34"/>
      <c r="CR2093" s="34"/>
      <c r="CS2093" s="34"/>
    </row>
    <row r="2094" spans="7:97" s="246" customFormat="1" x14ac:dyDescent="0.2">
      <c r="G2094" s="2188"/>
      <c r="BS2094" s="34"/>
      <c r="BT2094" s="34"/>
      <c r="BU2094" s="34"/>
      <c r="BV2094" s="34"/>
      <c r="BW2094" s="34"/>
      <c r="BX2094" s="34"/>
      <c r="BY2094" s="34"/>
      <c r="BZ2094" s="34"/>
      <c r="CA2094" s="34"/>
      <c r="CB2094" s="34"/>
      <c r="CC2094" s="34"/>
      <c r="CD2094" s="34"/>
      <c r="CE2094" s="34"/>
      <c r="CF2094" s="34"/>
      <c r="CG2094" s="34"/>
      <c r="CH2094" s="34"/>
      <c r="CI2094" s="34"/>
      <c r="CJ2094" s="34"/>
      <c r="CK2094" s="34"/>
      <c r="CL2094" s="34"/>
      <c r="CM2094" s="34"/>
      <c r="CN2094" s="34"/>
      <c r="CO2094" s="34"/>
      <c r="CP2094" s="34"/>
      <c r="CQ2094" s="34"/>
      <c r="CR2094" s="34"/>
      <c r="CS2094" s="34"/>
    </row>
    <row r="2095" spans="7:97" s="246" customFormat="1" x14ac:dyDescent="0.2">
      <c r="G2095" s="2188"/>
      <c r="BS2095" s="34"/>
      <c r="BT2095" s="34"/>
      <c r="BU2095" s="34"/>
      <c r="BV2095" s="34"/>
      <c r="BW2095" s="34"/>
      <c r="BX2095" s="34"/>
      <c r="BY2095" s="34"/>
      <c r="BZ2095" s="34"/>
      <c r="CA2095" s="34"/>
      <c r="CB2095" s="34"/>
      <c r="CC2095" s="34"/>
      <c r="CD2095" s="34"/>
      <c r="CE2095" s="34"/>
      <c r="CF2095" s="34"/>
      <c r="CG2095" s="34"/>
      <c r="CH2095" s="34"/>
      <c r="CI2095" s="34"/>
      <c r="CJ2095" s="34"/>
      <c r="CK2095" s="34"/>
      <c r="CL2095" s="34"/>
      <c r="CM2095" s="34"/>
      <c r="CN2095" s="34"/>
      <c r="CO2095" s="34"/>
      <c r="CP2095" s="34"/>
      <c r="CQ2095" s="34"/>
      <c r="CR2095" s="34"/>
      <c r="CS2095" s="34"/>
    </row>
    <row r="2096" spans="7:97" s="246" customFormat="1" x14ac:dyDescent="0.2">
      <c r="G2096" s="2188"/>
      <c r="BS2096" s="34"/>
      <c r="BT2096" s="34"/>
      <c r="BU2096" s="34"/>
      <c r="BV2096" s="34"/>
      <c r="BW2096" s="34"/>
      <c r="BX2096" s="34"/>
      <c r="BY2096" s="34"/>
      <c r="BZ2096" s="34"/>
      <c r="CA2096" s="34"/>
      <c r="CB2096" s="34"/>
      <c r="CC2096" s="34"/>
      <c r="CD2096" s="34"/>
      <c r="CE2096" s="34"/>
      <c r="CF2096" s="34"/>
      <c r="CG2096" s="34"/>
      <c r="CH2096" s="34"/>
      <c r="CI2096" s="34"/>
      <c r="CJ2096" s="34"/>
      <c r="CK2096" s="34"/>
      <c r="CL2096" s="34"/>
      <c r="CM2096" s="34"/>
      <c r="CN2096" s="34"/>
      <c r="CO2096" s="34"/>
      <c r="CP2096" s="34"/>
      <c r="CQ2096" s="34"/>
      <c r="CR2096" s="34"/>
      <c r="CS2096" s="34"/>
    </row>
    <row r="2097" spans="7:97" s="246" customFormat="1" x14ac:dyDescent="0.2">
      <c r="G2097" s="2188"/>
      <c r="BS2097" s="34"/>
      <c r="BT2097" s="34"/>
      <c r="BU2097" s="34"/>
      <c r="BV2097" s="34"/>
      <c r="BW2097" s="34"/>
      <c r="BX2097" s="34"/>
      <c r="BY2097" s="34"/>
      <c r="BZ2097" s="34"/>
      <c r="CA2097" s="34"/>
      <c r="CB2097" s="34"/>
      <c r="CC2097" s="34"/>
      <c r="CD2097" s="34"/>
      <c r="CE2097" s="34"/>
      <c r="CF2097" s="34"/>
      <c r="CG2097" s="34"/>
      <c r="CH2097" s="34"/>
      <c r="CI2097" s="34"/>
      <c r="CJ2097" s="34"/>
      <c r="CK2097" s="34"/>
      <c r="CL2097" s="34"/>
      <c r="CM2097" s="34"/>
      <c r="CN2097" s="34"/>
      <c r="CO2097" s="34"/>
      <c r="CP2097" s="34"/>
      <c r="CQ2097" s="34"/>
      <c r="CR2097" s="34"/>
      <c r="CS2097" s="34"/>
    </row>
    <row r="2098" spans="7:97" s="246" customFormat="1" x14ac:dyDescent="0.2">
      <c r="G2098" s="2188"/>
      <c r="BS2098" s="34"/>
      <c r="BT2098" s="34"/>
      <c r="BU2098" s="34"/>
      <c r="BV2098" s="34"/>
      <c r="BW2098" s="34"/>
      <c r="BX2098" s="34"/>
      <c r="BY2098" s="34"/>
      <c r="BZ2098" s="34"/>
      <c r="CA2098" s="34"/>
      <c r="CB2098" s="34"/>
      <c r="CC2098" s="34"/>
      <c r="CD2098" s="34"/>
      <c r="CE2098" s="34"/>
      <c r="CF2098" s="34"/>
      <c r="CG2098" s="34"/>
      <c r="CH2098" s="34"/>
      <c r="CI2098" s="34"/>
      <c r="CJ2098" s="34"/>
      <c r="CK2098" s="34"/>
      <c r="CL2098" s="34"/>
      <c r="CM2098" s="34"/>
      <c r="CN2098" s="34"/>
      <c r="CO2098" s="34"/>
      <c r="CP2098" s="34"/>
      <c r="CQ2098" s="34"/>
      <c r="CR2098" s="34"/>
      <c r="CS2098" s="34"/>
    </row>
    <row r="2099" spans="7:97" s="246" customFormat="1" x14ac:dyDescent="0.2">
      <c r="G2099" s="2188"/>
      <c r="BS2099" s="34"/>
      <c r="BT2099" s="34"/>
      <c r="BU2099" s="34"/>
      <c r="BV2099" s="34"/>
      <c r="BW2099" s="34"/>
      <c r="BX2099" s="34"/>
      <c r="BY2099" s="34"/>
      <c r="BZ2099" s="34"/>
      <c r="CA2099" s="34"/>
      <c r="CB2099" s="34"/>
      <c r="CC2099" s="34"/>
      <c r="CD2099" s="34"/>
      <c r="CE2099" s="34"/>
      <c r="CF2099" s="34"/>
      <c r="CG2099" s="34"/>
      <c r="CH2099" s="34"/>
      <c r="CI2099" s="34"/>
      <c r="CJ2099" s="34"/>
      <c r="CK2099" s="34"/>
      <c r="CL2099" s="34"/>
      <c r="CM2099" s="34"/>
      <c r="CN2099" s="34"/>
      <c r="CO2099" s="34"/>
      <c r="CP2099" s="34"/>
      <c r="CQ2099" s="34"/>
      <c r="CR2099" s="34"/>
      <c r="CS2099" s="34"/>
    </row>
    <row r="2100" spans="7:97" s="246" customFormat="1" x14ac:dyDescent="0.2">
      <c r="G2100" s="2188"/>
      <c r="BS2100" s="34"/>
      <c r="BT2100" s="34"/>
      <c r="BU2100" s="34"/>
      <c r="BV2100" s="34"/>
      <c r="BW2100" s="34"/>
      <c r="BX2100" s="34"/>
      <c r="BY2100" s="34"/>
      <c r="BZ2100" s="34"/>
      <c r="CA2100" s="34"/>
      <c r="CB2100" s="34"/>
      <c r="CC2100" s="34"/>
      <c r="CD2100" s="34"/>
      <c r="CE2100" s="34"/>
      <c r="CF2100" s="34"/>
      <c r="CG2100" s="34"/>
      <c r="CH2100" s="34"/>
      <c r="CI2100" s="34"/>
      <c r="CJ2100" s="34"/>
      <c r="CK2100" s="34"/>
      <c r="CL2100" s="34"/>
      <c r="CM2100" s="34"/>
      <c r="CN2100" s="34"/>
      <c r="CO2100" s="34"/>
      <c r="CP2100" s="34"/>
      <c r="CQ2100" s="34"/>
      <c r="CR2100" s="34"/>
      <c r="CS2100" s="34"/>
    </row>
    <row r="2101" spans="7:97" s="246" customFormat="1" x14ac:dyDescent="0.2">
      <c r="G2101" s="2188"/>
      <c r="BS2101" s="34"/>
      <c r="BT2101" s="34"/>
      <c r="BU2101" s="34"/>
      <c r="BV2101" s="34"/>
      <c r="BW2101" s="34"/>
      <c r="BX2101" s="34"/>
      <c r="BY2101" s="34"/>
      <c r="BZ2101" s="34"/>
      <c r="CA2101" s="34"/>
      <c r="CB2101" s="34"/>
      <c r="CC2101" s="34"/>
      <c r="CD2101" s="34"/>
      <c r="CE2101" s="34"/>
      <c r="CF2101" s="34"/>
      <c r="CG2101" s="34"/>
      <c r="CH2101" s="34"/>
      <c r="CI2101" s="34"/>
      <c r="CJ2101" s="34"/>
      <c r="CK2101" s="34"/>
      <c r="CL2101" s="34"/>
      <c r="CM2101" s="34"/>
      <c r="CN2101" s="34"/>
      <c r="CO2101" s="34"/>
      <c r="CP2101" s="34"/>
      <c r="CQ2101" s="34"/>
      <c r="CR2101" s="34"/>
      <c r="CS2101" s="34"/>
    </row>
    <row r="2102" spans="7:97" s="246" customFormat="1" x14ac:dyDescent="0.2">
      <c r="G2102" s="2188"/>
      <c r="BS2102" s="34"/>
      <c r="BT2102" s="34"/>
      <c r="BU2102" s="34"/>
      <c r="BV2102" s="34"/>
      <c r="BW2102" s="34"/>
      <c r="BX2102" s="34"/>
      <c r="BY2102" s="34"/>
      <c r="BZ2102" s="34"/>
      <c r="CA2102" s="34"/>
      <c r="CB2102" s="34"/>
      <c r="CC2102" s="34"/>
      <c r="CD2102" s="34"/>
      <c r="CE2102" s="34"/>
      <c r="CF2102" s="34"/>
      <c r="CG2102" s="34"/>
      <c r="CH2102" s="34"/>
      <c r="CI2102" s="34"/>
      <c r="CJ2102" s="34"/>
      <c r="CK2102" s="34"/>
      <c r="CL2102" s="34"/>
      <c r="CM2102" s="34"/>
      <c r="CN2102" s="34"/>
      <c r="CO2102" s="34"/>
      <c r="CP2102" s="34"/>
      <c r="CQ2102" s="34"/>
      <c r="CR2102" s="34"/>
      <c r="CS2102" s="34"/>
    </row>
    <row r="2103" spans="7:97" s="246" customFormat="1" x14ac:dyDescent="0.2">
      <c r="G2103" s="2188"/>
      <c r="BS2103" s="34"/>
      <c r="BT2103" s="34"/>
      <c r="BU2103" s="34"/>
      <c r="BV2103" s="34"/>
      <c r="BW2103" s="34"/>
      <c r="BX2103" s="34"/>
      <c r="BY2103" s="34"/>
      <c r="BZ2103" s="34"/>
      <c r="CA2103" s="34"/>
      <c r="CB2103" s="34"/>
      <c r="CC2103" s="34"/>
      <c r="CD2103" s="34"/>
      <c r="CE2103" s="34"/>
      <c r="CF2103" s="34"/>
      <c r="CG2103" s="34"/>
      <c r="CH2103" s="34"/>
      <c r="CI2103" s="34"/>
      <c r="CJ2103" s="34"/>
      <c r="CK2103" s="34"/>
      <c r="CL2103" s="34"/>
      <c r="CM2103" s="34"/>
      <c r="CN2103" s="34"/>
      <c r="CO2103" s="34"/>
      <c r="CP2103" s="34"/>
      <c r="CQ2103" s="34"/>
      <c r="CR2103" s="34"/>
      <c r="CS2103" s="34"/>
    </row>
    <row r="2104" spans="7:97" s="246" customFormat="1" x14ac:dyDescent="0.2">
      <c r="G2104" s="2188"/>
      <c r="BS2104" s="34"/>
      <c r="BT2104" s="34"/>
      <c r="BU2104" s="34"/>
      <c r="BV2104" s="34"/>
      <c r="BW2104" s="34"/>
      <c r="BX2104" s="34"/>
      <c r="BY2104" s="34"/>
      <c r="BZ2104" s="34"/>
      <c r="CA2104" s="34"/>
      <c r="CB2104" s="34"/>
      <c r="CC2104" s="34"/>
      <c r="CD2104" s="34"/>
      <c r="CE2104" s="34"/>
      <c r="CF2104" s="34"/>
      <c r="CG2104" s="34"/>
      <c r="CH2104" s="34"/>
      <c r="CI2104" s="34"/>
      <c r="CJ2104" s="34"/>
      <c r="CK2104" s="34"/>
      <c r="CL2104" s="34"/>
      <c r="CM2104" s="34"/>
      <c r="CN2104" s="34"/>
      <c r="CO2104" s="34"/>
      <c r="CP2104" s="34"/>
      <c r="CQ2104" s="34"/>
      <c r="CR2104" s="34"/>
      <c r="CS2104" s="34"/>
    </row>
    <row r="2105" spans="7:97" s="246" customFormat="1" x14ac:dyDescent="0.2">
      <c r="G2105" s="2188"/>
      <c r="BS2105" s="34"/>
      <c r="BT2105" s="34"/>
      <c r="BU2105" s="34"/>
      <c r="BV2105" s="34"/>
      <c r="BW2105" s="34"/>
      <c r="BX2105" s="34"/>
      <c r="BY2105" s="34"/>
      <c r="BZ2105" s="34"/>
      <c r="CA2105" s="34"/>
      <c r="CB2105" s="34"/>
      <c r="CC2105" s="34"/>
      <c r="CD2105" s="34"/>
      <c r="CE2105" s="34"/>
      <c r="CF2105" s="34"/>
      <c r="CG2105" s="34"/>
      <c r="CH2105" s="34"/>
      <c r="CI2105" s="34"/>
      <c r="CJ2105" s="34"/>
      <c r="CK2105" s="34"/>
      <c r="CL2105" s="34"/>
      <c r="CM2105" s="34"/>
      <c r="CN2105" s="34"/>
      <c r="CO2105" s="34"/>
      <c r="CP2105" s="34"/>
      <c r="CQ2105" s="34"/>
      <c r="CR2105" s="34"/>
      <c r="CS2105" s="34"/>
    </row>
    <row r="2106" spans="7:97" s="246" customFormat="1" x14ac:dyDescent="0.2">
      <c r="G2106" s="2188"/>
      <c r="BS2106" s="34"/>
      <c r="BT2106" s="34"/>
      <c r="BU2106" s="34"/>
      <c r="BV2106" s="34"/>
      <c r="BW2106" s="34"/>
      <c r="BX2106" s="34"/>
      <c r="BY2106" s="34"/>
      <c r="BZ2106" s="34"/>
      <c r="CA2106" s="34"/>
      <c r="CB2106" s="34"/>
      <c r="CC2106" s="34"/>
      <c r="CD2106" s="34"/>
      <c r="CE2106" s="34"/>
      <c r="CF2106" s="34"/>
      <c r="CG2106" s="34"/>
      <c r="CH2106" s="34"/>
      <c r="CI2106" s="34"/>
      <c r="CJ2106" s="34"/>
      <c r="CK2106" s="34"/>
      <c r="CL2106" s="34"/>
      <c r="CM2106" s="34"/>
      <c r="CN2106" s="34"/>
      <c r="CO2106" s="34"/>
      <c r="CP2106" s="34"/>
      <c r="CQ2106" s="34"/>
      <c r="CR2106" s="34"/>
      <c r="CS2106" s="34"/>
    </row>
    <row r="2107" spans="7:97" s="246" customFormat="1" x14ac:dyDescent="0.2">
      <c r="G2107" s="2188"/>
      <c r="BS2107" s="34"/>
      <c r="BT2107" s="34"/>
      <c r="BU2107" s="34"/>
      <c r="BV2107" s="34"/>
      <c r="BW2107" s="34"/>
      <c r="BX2107" s="34"/>
      <c r="BY2107" s="34"/>
      <c r="BZ2107" s="34"/>
      <c r="CA2107" s="34"/>
      <c r="CB2107" s="34"/>
      <c r="CC2107" s="34"/>
      <c r="CD2107" s="34"/>
      <c r="CE2107" s="34"/>
      <c r="CF2107" s="34"/>
      <c r="CG2107" s="34"/>
      <c r="CH2107" s="34"/>
      <c r="CI2107" s="34"/>
      <c r="CJ2107" s="34"/>
      <c r="CK2107" s="34"/>
      <c r="CL2107" s="34"/>
      <c r="CM2107" s="34"/>
      <c r="CN2107" s="34"/>
      <c r="CO2107" s="34"/>
      <c r="CP2107" s="34"/>
      <c r="CQ2107" s="34"/>
      <c r="CR2107" s="34"/>
      <c r="CS2107" s="34"/>
    </row>
    <row r="2108" spans="7:97" s="246" customFormat="1" x14ac:dyDescent="0.2">
      <c r="G2108" s="2188"/>
      <c r="BS2108" s="34"/>
      <c r="BT2108" s="34"/>
      <c r="BU2108" s="34"/>
      <c r="BV2108" s="34"/>
      <c r="BW2108" s="34"/>
      <c r="BX2108" s="34"/>
      <c r="BY2108" s="34"/>
      <c r="BZ2108" s="34"/>
      <c r="CA2108" s="34"/>
      <c r="CB2108" s="34"/>
      <c r="CC2108" s="34"/>
      <c r="CD2108" s="34"/>
      <c r="CE2108" s="34"/>
      <c r="CF2108" s="34"/>
      <c r="CG2108" s="34"/>
      <c r="CH2108" s="34"/>
      <c r="CI2108" s="34"/>
      <c r="CJ2108" s="34"/>
      <c r="CK2108" s="34"/>
      <c r="CL2108" s="34"/>
      <c r="CM2108" s="34"/>
      <c r="CN2108" s="34"/>
      <c r="CO2108" s="34"/>
      <c r="CP2108" s="34"/>
      <c r="CQ2108" s="34"/>
      <c r="CR2108" s="34"/>
      <c r="CS2108" s="34"/>
    </row>
    <row r="2109" spans="7:97" s="246" customFormat="1" x14ac:dyDescent="0.2">
      <c r="G2109" s="2188"/>
      <c r="BS2109" s="34"/>
      <c r="BT2109" s="34"/>
      <c r="BU2109" s="34"/>
      <c r="BV2109" s="34"/>
      <c r="BW2109" s="34"/>
      <c r="BX2109" s="34"/>
      <c r="BY2109" s="34"/>
      <c r="BZ2109" s="34"/>
      <c r="CA2109" s="34"/>
      <c r="CB2109" s="34"/>
      <c r="CC2109" s="34"/>
      <c r="CD2109" s="34"/>
      <c r="CE2109" s="34"/>
      <c r="CF2109" s="34"/>
      <c r="CG2109" s="34"/>
      <c r="CH2109" s="34"/>
      <c r="CI2109" s="34"/>
      <c r="CJ2109" s="34"/>
      <c r="CK2109" s="34"/>
      <c r="CL2109" s="34"/>
      <c r="CM2109" s="34"/>
      <c r="CN2109" s="34"/>
      <c r="CO2109" s="34"/>
      <c r="CP2109" s="34"/>
      <c r="CQ2109" s="34"/>
      <c r="CR2109" s="34"/>
      <c r="CS2109" s="34"/>
    </row>
    <row r="2110" spans="7:97" s="246" customFormat="1" x14ac:dyDescent="0.2">
      <c r="G2110" s="2188"/>
      <c r="BS2110" s="34"/>
      <c r="BT2110" s="34"/>
      <c r="BU2110" s="34"/>
      <c r="BV2110" s="34"/>
      <c r="BW2110" s="34"/>
      <c r="BX2110" s="34"/>
      <c r="BY2110" s="34"/>
      <c r="BZ2110" s="34"/>
      <c r="CA2110" s="34"/>
      <c r="CB2110" s="34"/>
      <c r="CC2110" s="34"/>
      <c r="CD2110" s="34"/>
      <c r="CE2110" s="34"/>
      <c r="CF2110" s="34"/>
      <c r="CG2110" s="34"/>
      <c r="CH2110" s="34"/>
      <c r="CI2110" s="34"/>
      <c r="CJ2110" s="34"/>
      <c r="CK2110" s="34"/>
      <c r="CL2110" s="34"/>
      <c r="CM2110" s="34"/>
      <c r="CN2110" s="34"/>
      <c r="CO2110" s="34"/>
      <c r="CP2110" s="34"/>
      <c r="CQ2110" s="34"/>
      <c r="CR2110" s="34"/>
      <c r="CS2110" s="34"/>
    </row>
    <row r="2111" spans="7:97" s="246" customFormat="1" x14ac:dyDescent="0.2">
      <c r="G2111" s="2188"/>
      <c r="BS2111" s="34"/>
      <c r="BT2111" s="34"/>
      <c r="BU2111" s="34"/>
      <c r="BV2111" s="34"/>
      <c r="BW2111" s="34"/>
      <c r="BX2111" s="34"/>
      <c r="BY2111" s="34"/>
      <c r="BZ2111" s="34"/>
      <c r="CA2111" s="34"/>
      <c r="CB2111" s="34"/>
      <c r="CC2111" s="34"/>
      <c r="CD2111" s="34"/>
      <c r="CE2111" s="34"/>
      <c r="CF2111" s="34"/>
      <c r="CG2111" s="34"/>
      <c r="CH2111" s="34"/>
      <c r="CI2111" s="34"/>
      <c r="CJ2111" s="34"/>
      <c r="CK2111" s="34"/>
      <c r="CL2111" s="34"/>
      <c r="CM2111" s="34"/>
      <c r="CN2111" s="34"/>
      <c r="CO2111" s="34"/>
      <c r="CP2111" s="34"/>
      <c r="CQ2111" s="34"/>
      <c r="CR2111" s="34"/>
      <c r="CS2111" s="34"/>
    </row>
    <row r="2112" spans="7:97" s="246" customFormat="1" x14ac:dyDescent="0.2">
      <c r="G2112" s="2188"/>
      <c r="BS2112" s="34"/>
      <c r="BT2112" s="34"/>
      <c r="BU2112" s="34"/>
      <c r="BV2112" s="34"/>
      <c r="BW2112" s="34"/>
      <c r="BX2112" s="34"/>
      <c r="BY2112" s="34"/>
      <c r="BZ2112" s="34"/>
      <c r="CA2112" s="34"/>
      <c r="CB2112" s="34"/>
      <c r="CC2112" s="34"/>
      <c r="CD2112" s="34"/>
      <c r="CE2112" s="34"/>
      <c r="CF2112" s="34"/>
      <c r="CG2112" s="34"/>
      <c r="CH2112" s="34"/>
      <c r="CI2112" s="34"/>
      <c r="CJ2112" s="34"/>
      <c r="CK2112" s="34"/>
      <c r="CL2112" s="34"/>
      <c r="CM2112" s="34"/>
      <c r="CN2112" s="34"/>
      <c r="CO2112" s="34"/>
      <c r="CP2112" s="34"/>
      <c r="CQ2112" s="34"/>
      <c r="CR2112" s="34"/>
      <c r="CS2112" s="34"/>
    </row>
    <row r="2113" spans="7:97" s="246" customFormat="1" x14ac:dyDescent="0.2">
      <c r="G2113" s="2188"/>
      <c r="BS2113" s="34"/>
      <c r="BT2113" s="34"/>
      <c r="BU2113" s="34"/>
      <c r="BV2113" s="34"/>
      <c r="BW2113" s="34"/>
      <c r="BX2113" s="34"/>
      <c r="BY2113" s="34"/>
      <c r="BZ2113" s="34"/>
      <c r="CA2113" s="34"/>
      <c r="CB2113" s="34"/>
      <c r="CC2113" s="34"/>
      <c r="CD2113" s="34"/>
      <c r="CE2113" s="34"/>
      <c r="CF2113" s="34"/>
      <c r="CG2113" s="34"/>
      <c r="CH2113" s="34"/>
      <c r="CI2113" s="34"/>
      <c r="CJ2113" s="34"/>
      <c r="CK2113" s="34"/>
      <c r="CL2113" s="34"/>
      <c r="CM2113" s="34"/>
      <c r="CN2113" s="34"/>
      <c r="CO2113" s="34"/>
      <c r="CP2113" s="34"/>
      <c r="CQ2113" s="34"/>
      <c r="CR2113" s="34"/>
      <c r="CS2113" s="34"/>
    </row>
    <row r="2114" spans="7:97" s="246" customFormat="1" x14ac:dyDescent="0.2">
      <c r="G2114" s="2188"/>
      <c r="BS2114" s="34"/>
      <c r="BT2114" s="34"/>
      <c r="BU2114" s="34"/>
      <c r="BV2114" s="34"/>
      <c r="BW2114" s="34"/>
      <c r="BX2114" s="34"/>
      <c r="BY2114" s="34"/>
      <c r="BZ2114" s="34"/>
      <c r="CA2114" s="34"/>
      <c r="CB2114" s="34"/>
      <c r="CC2114" s="34"/>
      <c r="CD2114" s="34"/>
      <c r="CE2114" s="34"/>
      <c r="CF2114" s="34"/>
      <c r="CG2114" s="34"/>
      <c r="CH2114" s="34"/>
      <c r="CI2114" s="34"/>
      <c r="CJ2114" s="34"/>
      <c r="CK2114" s="34"/>
      <c r="CL2114" s="34"/>
      <c r="CM2114" s="34"/>
      <c r="CN2114" s="34"/>
      <c r="CO2114" s="34"/>
      <c r="CP2114" s="34"/>
      <c r="CQ2114" s="34"/>
      <c r="CR2114" s="34"/>
      <c r="CS2114" s="34"/>
    </row>
    <row r="2115" spans="7:97" s="246" customFormat="1" x14ac:dyDescent="0.2">
      <c r="G2115" s="2188"/>
      <c r="BS2115" s="34"/>
      <c r="BT2115" s="34"/>
      <c r="BU2115" s="34"/>
      <c r="BV2115" s="34"/>
      <c r="BW2115" s="34"/>
      <c r="BX2115" s="34"/>
      <c r="BY2115" s="34"/>
      <c r="BZ2115" s="34"/>
      <c r="CA2115" s="34"/>
      <c r="CB2115" s="34"/>
      <c r="CC2115" s="34"/>
      <c r="CD2115" s="34"/>
      <c r="CE2115" s="34"/>
      <c r="CF2115" s="34"/>
      <c r="CG2115" s="34"/>
      <c r="CH2115" s="34"/>
      <c r="CI2115" s="34"/>
      <c r="CJ2115" s="34"/>
      <c r="CK2115" s="34"/>
      <c r="CL2115" s="34"/>
      <c r="CM2115" s="34"/>
      <c r="CN2115" s="34"/>
      <c r="CO2115" s="34"/>
      <c r="CP2115" s="34"/>
      <c r="CQ2115" s="34"/>
      <c r="CR2115" s="34"/>
      <c r="CS2115" s="34"/>
    </row>
    <row r="2116" spans="7:97" s="246" customFormat="1" x14ac:dyDescent="0.2">
      <c r="G2116" s="2188"/>
      <c r="BS2116" s="34"/>
      <c r="BT2116" s="34"/>
      <c r="BU2116" s="34"/>
      <c r="BV2116" s="34"/>
      <c r="BW2116" s="34"/>
      <c r="BX2116" s="34"/>
      <c r="BY2116" s="34"/>
      <c r="BZ2116" s="34"/>
      <c r="CA2116" s="34"/>
      <c r="CB2116" s="34"/>
      <c r="CC2116" s="34"/>
      <c r="CD2116" s="34"/>
      <c r="CE2116" s="34"/>
      <c r="CF2116" s="34"/>
      <c r="CG2116" s="34"/>
      <c r="CH2116" s="34"/>
      <c r="CI2116" s="34"/>
      <c r="CJ2116" s="34"/>
      <c r="CK2116" s="34"/>
      <c r="CL2116" s="34"/>
      <c r="CM2116" s="34"/>
      <c r="CN2116" s="34"/>
      <c r="CO2116" s="34"/>
      <c r="CP2116" s="34"/>
      <c r="CQ2116" s="34"/>
      <c r="CR2116" s="34"/>
      <c r="CS2116" s="34"/>
    </row>
    <row r="2117" spans="7:97" s="246" customFormat="1" x14ac:dyDescent="0.2">
      <c r="G2117" s="2188"/>
      <c r="BS2117" s="34"/>
      <c r="BT2117" s="34"/>
      <c r="BU2117" s="34"/>
      <c r="BV2117" s="34"/>
      <c r="BW2117" s="34"/>
      <c r="BX2117" s="34"/>
      <c r="BY2117" s="34"/>
      <c r="BZ2117" s="34"/>
      <c r="CA2117" s="34"/>
      <c r="CB2117" s="34"/>
      <c r="CC2117" s="34"/>
      <c r="CD2117" s="34"/>
      <c r="CE2117" s="34"/>
      <c r="CF2117" s="34"/>
      <c r="CG2117" s="34"/>
      <c r="CH2117" s="34"/>
      <c r="CI2117" s="34"/>
      <c r="CJ2117" s="34"/>
      <c r="CK2117" s="34"/>
      <c r="CL2117" s="34"/>
      <c r="CM2117" s="34"/>
      <c r="CN2117" s="34"/>
      <c r="CO2117" s="34"/>
      <c r="CP2117" s="34"/>
      <c r="CQ2117" s="34"/>
      <c r="CR2117" s="34"/>
      <c r="CS2117" s="34"/>
    </row>
    <row r="2118" spans="7:97" s="246" customFormat="1" x14ac:dyDescent="0.2">
      <c r="G2118" s="2188"/>
      <c r="BS2118" s="34"/>
      <c r="BT2118" s="34"/>
      <c r="BU2118" s="34"/>
      <c r="BV2118" s="34"/>
      <c r="BW2118" s="34"/>
      <c r="BX2118" s="34"/>
      <c r="BY2118" s="34"/>
      <c r="BZ2118" s="34"/>
      <c r="CA2118" s="34"/>
      <c r="CB2118" s="34"/>
      <c r="CC2118" s="34"/>
      <c r="CD2118" s="34"/>
      <c r="CE2118" s="34"/>
      <c r="CF2118" s="34"/>
      <c r="CG2118" s="34"/>
      <c r="CH2118" s="34"/>
      <c r="CI2118" s="34"/>
      <c r="CJ2118" s="34"/>
      <c r="CK2118" s="34"/>
      <c r="CL2118" s="34"/>
      <c r="CM2118" s="34"/>
      <c r="CN2118" s="34"/>
      <c r="CO2118" s="34"/>
      <c r="CP2118" s="34"/>
      <c r="CQ2118" s="34"/>
      <c r="CR2118" s="34"/>
      <c r="CS2118" s="34"/>
    </row>
    <row r="2119" spans="7:97" s="246" customFormat="1" x14ac:dyDescent="0.2">
      <c r="G2119" s="2188"/>
      <c r="BS2119" s="34"/>
      <c r="BT2119" s="34"/>
      <c r="BU2119" s="34"/>
      <c r="BV2119" s="34"/>
      <c r="BW2119" s="34"/>
      <c r="BX2119" s="34"/>
      <c r="BY2119" s="34"/>
      <c r="BZ2119" s="34"/>
      <c r="CA2119" s="34"/>
      <c r="CB2119" s="34"/>
      <c r="CC2119" s="34"/>
      <c r="CD2119" s="34"/>
      <c r="CE2119" s="34"/>
      <c r="CF2119" s="34"/>
      <c r="CG2119" s="34"/>
      <c r="CH2119" s="34"/>
      <c r="CI2119" s="34"/>
      <c r="CJ2119" s="34"/>
      <c r="CK2119" s="34"/>
      <c r="CL2119" s="34"/>
      <c r="CM2119" s="34"/>
      <c r="CN2119" s="34"/>
      <c r="CO2119" s="34"/>
      <c r="CP2119" s="34"/>
      <c r="CQ2119" s="34"/>
      <c r="CR2119" s="34"/>
      <c r="CS2119" s="34"/>
    </row>
    <row r="2120" spans="7:97" s="246" customFormat="1" x14ac:dyDescent="0.2">
      <c r="G2120" s="2188"/>
      <c r="BS2120" s="34"/>
      <c r="BT2120" s="34"/>
      <c r="BU2120" s="34"/>
      <c r="BV2120" s="34"/>
      <c r="BW2120" s="34"/>
      <c r="BX2120" s="34"/>
      <c r="BY2120" s="34"/>
      <c r="BZ2120" s="34"/>
      <c r="CA2120" s="34"/>
      <c r="CB2120" s="34"/>
      <c r="CC2120" s="34"/>
      <c r="CD2120" s="34"/>
      <c r="CE2120" s="34"/>
      <c r="CF2120" s="34"/>
      <c r="CG2120" s="34"/>
      <c r="CH2120" s="34"/>
      <c r="CI2120" s="34"/>
      <c r="CJ2120" s="34"/>
      <c r="CK2120" s="34"/>
      <c r="CL2120" s="34"/>
      <c r="CM2120" s="34"/>
      <c r="CN2120" s="34"/>
      <c r="CO2120" s="34"/>
      <c r="CP2120" s="34"/>
      <c r="CQ2120" s="34"/>
      <c r="CR2120" s="34"/>
      <c r="CS2120" s="34"/>
    </row>
    <row r="2121" spans="7:97" s="246" customFormat="1" x14ac:dyDescent="0.2">
      <c r="G2121" s="2188"/>
      <c r="BS2121" s="34"/>
      <c r="BT2121" s="34"/>
      <c r="BU2121" s="34"/>
      <c r="BV2121" s="34"/>
      <c r="BW2121" s="34"/>
      <c r="BX2121" s="34"/>
      <c r="BY2121" s="34"/>
      <c r="BZ2121" s="34"/>
      <c r="CA2121" s="34"/>
      <c r="CB2121" s="34"/>
      <c r="CC2121" s="34"/>
      <c r="CD2121" s="34"/>
      <c r="CE2121" s="34"/>
      <c r="CF2121" s="34"/>
      <c r="CG2121" s="34"/>
      <c r="CH2121" s="34"/>
      <c r="CI2121" s="34"/>
      <c r="CJ2121" s="34"/>
      <c r="CK2121" s="34"/>
      <c r="CL2121" s="34"/>
      <c r="CM2121" s="34"/>
      <c r="CN2121" s="34"/>
      <c r="CO2121" s="34"/>
      <c r="CP2121" s="34"/>
      <c r="CQ2121" s="34"/>
      <c r="CR2121" s="34"/>
      <c r="CS2121" s="34"/>
    </row>
    <row r="2122" spans="7:97" s="246" customFormat="1" x14ac:dyDescent="0.2">
      <c r="G2122" s="2188"/>
      <c r="BS2122" s="34"/>
      <c r="BT2122" s="34"/>
      <c r="BU2122" s="34"/>
      <c r="BV2122" s="34"/>
      <c r="BW2122" s="34"/>
      <c r="BX2122" s="34"/>
      <c r="BY2122" s="34"/>
      <c r="BZ2122" s="34"/>
      <c r="CA2122" s="34"/>
      <c r="CB2122" s="34"/>
      <c r="CC2122" s="34"/>
      <c r="CD2122" s="34"/>
      <c r="CE2122" s="34"/>
      <c r="CF2122" s="34"/>
      <c r="CG2122" s="34"/>
      <c r="CH2122" s="34"/>
      <c r="CI2122" s="34"/>
      <c r="CJ2122" s="34"/>
      <c r="CK2122" s="34"/>
      <c r="CL2122" s="34"/>
      <c r="CM2122" s="34"/>
      <c r="CN2122" s="34"/>
      <c r="CO2122" s="34"/>
      <c r="CP2122" s="34"/>
      <c r="CQ2122" s="34"/>
      <c r="CR2122" s="34"/>
      <c r="CS2122" s="34"/>
    </row>
    <row r="2123" spans="7:97" s="246" customFormat="1" x14ac:dyDescent="0.2">
      <c r="G2123" s="2188"/>
      <c r="BS2123" s="34"/>
      <c r="BT2123" s="34"/>
      <c r="BU2123" s="34"/>
      <c r="BV2123" s="34"/>
      <c r="BW2123" s="34"/>
      <c r="BX2123" s="34"/>
      <c r="BY2123" s="34"/>
      <c r="BZ2123" s="34"/>
      <c r="CA2123" s="34"/>
      <c r="CB2123" s="34"/>
      <c r="CC2123" s="34"/>
      <c r="CD2123" s="34"/>
      <c r="CE2123" s="34"/>
      <c r="CF2123" s="34"/>
      <c r="CG2123" s="34"/>
      <c r="CH2123" s="34"/>
      <c r="CI2123" s="34"/>
      <c r="CJ2123" s="34"/>
      <c r="CK2123" s="34"/>
      <c r="CL2123" s="34"/>
      <c r="CM2123" s="34"/>
      <c r="CN2123" s="34"/>
      <c r="CO2123" s="34"/>
      <c r="CP2123" s="34"/>
      <c r="CQ2123" s="34"/>
      <c r="CR2123" s="34"/>
      <c r="CS2123" s="34"/>
    </row>
    <row r="2124" spans="7:97" s="246" customFormat="1" x14ac:dyDescent="0.2">
      <c r="G2124" s="2188"/>
      <c r="BS2124" s="34"/>
      <c r="BT2124" s="34"/>
      <c r="BU2124" s="34"/>
      <c r="BV2124" s="34"/>
      <c r="BW2124" s="34"/>
      <c r="BX2124" s="34"/>
      <c r="BY2124" s="34"/>
      <c r="BZ2124" s="34"/>
      <c r="CA2124" s="34"/>
      <c r="CB2124" s="34"/>
      <c r="CC2124" s="34"/>
      <c r="CD2124" s="34"/>
      <c r="CE2124" s="34"/>
      <c r="CF2124" s="34"/>
      <c r="CG2124" s="34"/>
      <c r="CH2124" s="34"/>
      <c r="CI2124" s="34"/>
      <c r="CJ2124" s="34"/>
      <c r="CK2124" s="34"/>
      <c r="CL2124" s="34"/>
      <c r="CM2124" s="34"/>
      <c r="CN2124" s="34"/>
      <c r="CO2124" s="34"/>
      <c r="CP2124" s="34"/>
      <c r="CQ2124" s="34"/>
      <c r="CR2124" s="34"/>
      <c r="CS2124" s="34"/>
    </row>
    <row r="2125" spans="7:97" s="246" customFormat="1" x14ac:dyDescent="0.2">
      <c r="G2125" s="2188"/>
      <c r="BS2125" s="34"/>
      <c r="BT2125" s="34"/>
      <c r="BU2125" s="34"/>
      <c r="BV2125" s="34"/>
      <c r="BW2125" s="34"/>
      <c r="BX2125" s="34"/>
      <c r="BY2125" s="34"/>
      <c r="BZ2125" s="34"/>
      <c r="CA2125" s="34"/>
      <c r="CB2125" s="34"/>
      <c r="CC2125" s="34"/>
      <c r="CD2125" s="34"/>
      <c r="CE2125" s="34"/>
      <c r="CF2125" s="34"/>
      <c r="CG2125" s="34"/>
      <c r="CH2125" s="34"/>
      <c r="CI2125" s="34"/>
      <c r="CJ2125" s="34"/>
      <c r="CK2125" s="34"/>
      <c r="CL2125" s="34"/>
      <c r="CM2125" s="34"/>
      <c r="CN2125" s="34"/>
      <c r="CO2125" s="34"/>
      <c r="CP2125" s="34"/>
      <c r="CQ2125" s="34"/>
      <c r="CR2125" s="34"/>
      <c r="CS2125" s="34"/>
    </row>
    <row r="2126" spans="7:97" s="246" customFormat="1" x14ac:dyDescent="0.2">
      <c r="G2126" s="2188"/>
      <c r="BS2126" s="34"/>
      <c r="BT2126" s="34"/>
      <c r="BU2126" s="34"/>
      <c r="BV2126" s="34"/>
      <c r="BW2126" s="34"/>
      <c r="BX2126" s="34"/>
      <c r="BY2126" s="34"/>
      <c r="BZ2126" s="34"/>
      <c r="CA2126" s="34"/>
      <c r="CB2126" s="34"/>
      <c r="CC2126" s="34"/>
      <c r="CD2126" s="34"/>
      <c r="CE2126" s="34"/>
      <c r="CF2126" s="34"/>
      <c r="CG2126" s="34"/>
      <c r="CH2126" s="34"/>
      <c r="CI2126" s="34"/>
      <c r="CJ2126" s="34"/>
      <c r="CK2126" s="34"/>
      <c r="CL2126" s="34"/>
      <c r="CM2126" s="34"/>
      <c r="CN2126" s="34"/>
      <c r="CO2126" s="34"/>
      <c r="CP2126" s="34"/>
      <c r="CQ2126" s="34"/>
      <c r="CR2126" s="34"/>
      <c r="CS2126" s="34"/>
    </row>
    <row r="2127" spans="7:97" s="246" customFormat="1" x14ac:dyDescent="0.2">
      <c r="G2127" s="2188"/>
      <c r="BS2127" s="34"/>
      <c r="BT2127" s="34"/>
      <c r="BU2127" s="34"/>
      <c r="BV2127" s="34"/>
      <c r="BW2127" s="34"/>
      <c r="BX2127" s="34"/>
      <c r="BY2127" s="34"/>
      <c r="BZ2127" s="34"/>
      <c r="CA2127" s="34"/>
      <c r="CB2127" s="34"/>
      <c r="CC2127" s="34"/>
      <c r="CD2127" s="34"/>
      <c r="CE2127" s="34"/>
      <c r="CF2127" s="34"/>
      <c r="CG2127" s="34"/>
      <c r="CH2127" s="34"/>
      <c r="CI2127" s="34"/>
      <c r="CJ2127" s="34"/>
      <c r="CK2127" s="34"/>
      <c r="CL2127" s="34"/>
      <c r="CM2127" s="34"/>
      <c r="CN2127" s="34"/>
      <c r="CO2127" s="34"/>
      <c r="CP2127" s="34"/>
      <c r="CQ2127" s="34"/>
      <c r="CR2127" s="34"/>
      <c r="CS2127" s="34"/>
    </row>
    <row r="2128" spans="7:97" s="246" customFormat="1" x14ac:dyDescent="0.2">
      <c r="G2128" s="2188"/>
      <c r="BS2128" s="34"/>
      <c r="BT2128" s="34"/>
      <c r="BU2128" s="34"/>
      <c r="BV2128" s="34"/>
      <c r="BW2128" s="34"/>
      <c r="BX2128" s="34"/>
      <c r="BY2128" s="34"/>
      <c r="BZ2128" s="34"/>
      <c r="CA2128" s="34"/>
      <c r="CB2128" s="34"/>
      <c r="CC2128" s="34"/>
      <c r="CD2128" s="34"/>
      <c r="CE2128" s="34"/>
      <c r="CF2128" s="34"/>
      <c r="CG2128" s="34"/>
      <c r="CH2128" s="34"/>
      <c r="CI2128" s="34"/>
      <c r="CJ2128" s="34"/>
      <c r="CK2128" s="34"/>
      <c r="CL2128" s="34"/>
      <c r="CM2128" s="34"/>
      <c r="CN2128" s="34"/>
      <c r="CO2128" s="34"/>
      <c r="CP2128" s="34"/>
      <c r="CQ2128" s="34"/>
      <c r="CR2128" s="34"/>
      <c r="CS2128" s="34"/>
    </row>
    <row r="2129" spans="7:97" s="246" customFormat="1" x14ac:dyDescent="0.2">
      <c r="G2129" s="2188"/>
      <c r="BS2129" s="34"/>
      <c r="BT2129" s="34"/>
      <c r="BU2129" s="34"/>
      <c r="BV2129" s="34"/>
      <c r="BW2129" s="34"/>
      <c r="BX2129" s="34"/>
      <c r="BY2129" s="34"/>
      <c r="BZ2129" s="34"/>
      <c r="CA2129" s="34"/>
      <c r="CB2129" s="34"/>
      <c r="CC2129" s="34"/>
      <c r="CD2129" s="34"/>
      <c r="CE2129" s="34"/>
      <c r="CF2129" s="34"/>
      <c r="CG2129" s="34"/>
      <c r="CH2129" s="34"/>
      <c r="CI2129" s="34"/>
      <c r="CJ2129" s="34"/>
      <c r="CK2129" s="34"/>
      <c r="CL2129" s="34"/>
      <c r="CM2129" s="34"/>
      <c r="CN2129" s="34"/>
      <c r="CO2129" s="34"/>
      <c r="CP2129" s="34"/>
      <c r="CQ2129" s="34"/>
      <c r="CR2129" s="34"/>
      <c r="CS2129" s="34"/>
    </row>
    <row r="2130" spans="7:97" s="246" customFormat="1" x14ac:dyDescent="0.2">
      <c r="G2130" s="2188"/>
      <c r="BS2130" s="34"/>
      <c r="BT2130" s="34"/>
      <c r="BU2130" s="34"/>
      <c r="BV2130" s="34"/>
      <c r="BW2130" s="34"/>
      <c r="BX2130" s="34"/>
      <c r="BY2130" s="34"/>
      <c r="BZ2130" s="34"/>
      <c r="CA2130" s="34"/>
      <c r="CB2130" s="34"/>
      <c r="CC2130" s="34"/>
      <c r="CD2130" s="34"/>
      <c r="CE2130" s="34"/>
      <c r="CF2130" s="34"/>
      <c r="CG2130" s="34"/>
      <c r="CH2130" s="34"/>
      <c r="CI2130" s="34"/>
      <c r="CJ2130" s="34"/>
      <c r="CK2130" s="34"/>
      <c r="CL2130" s="34"/>
      <c r="CM2130" s="34"/>
      <c r="CN2130" s="34"/>
      <c r="CO2130" s="34"/>
      <c r="CP2130" s="34"/>
      <c r="CQ2130" s="34"/>
      <c r="CR2130" s="34"/>
      <c r="CS2130" s="34"/>
    </row>
    <row r="2131" spans="7:97" s="246" customFormat="1" x14ac:dyDescent="0.2">
      <c r="G2131" s="2188"/>
      <c r="BS2131" s="34"/>
      <c r="BT2131" s="34"/>
      <c r="BU2131" s="34"/>
      <c r="BV2131" s="34"/>
      <c r="BW2131" s="34"/>
      <c r="BX2131" s="34"/>
      <c r="BY2131" s="34"/>
      <c r="BZ2131" s="34"/>
      <c r="CA2131" s="34"/>
      <c r="CB2131" s="34"/>
      <c r="CC2131" s="34"/>
      <c r="CD2131" s="34"/>
      <c r="CE2131" s="34"/>
      <c r="CF2131" s="34"/>
      <c r="CG2131" s="34"/>
      <c r="CH2131" s="34"/>
      <c r="CI2131" s="34"/>
      <c r="CJ2131" s="34"/>
      <c r="CK2131" s="34"/>
      <c r="CL2131" s="34"/>
      <c r="CM2131" s="34"/>
      <c r="CN2131" s="34"/>
      <c r="CO2131" s="34"/>
      <c r="CP2131" s="34"/>
      <c r="CQ2131" s="34"/>
      <c r="CR2131" s="34"/>
      <c r="CS2131" s="34"/>
    </row>
    <row r="2132" spans="7:97" s="246" customFormat="1" x14ac:dyDescent="0.2">
      <c r="G2132" s="2188"/>
      <c r="BS2132" s="34"/>
      <c r="BT2132" s="34"/>
      <c r="BU2132" s="34"/>
      <c r="BV2132" s="34"/>
      <c r="BW2132" s="34"/>
      <c r="BX2132" s="34"/>
      <c r="BY2132" s="34"/>
      <c r="BZ2132" s="34"/>
      <c r="CA2132" s="34"/>
      <c r="CB2132" s="34"/>
      <c r="CC2132" s="34"/>
      <c r="CD2132" s="34"/>
      <c r="CE2132" s="34"/>
      <c r="CF2132" s="34"/>
      <c r="CG2132" s="34"/>
      <c r="CH2132" s="34"/>
      <c r="CI2132" s="34"/>
      <c r="CJ2132" s="34"/>
      <c r="CK2132" s="34"/>
      <c r="CL2132" s="34"/>
      <c r="CM2132" s="34"/>
      <c r="CN2132" s="34"/>
      <c r="CO2132" s="34"/>
      <c r="CP2132" s="34"/>
      <c r="CQ2132" s="34"/>
      <c r="CR2132" s="34"/>
      <c r="CS2132" s="34"/>
    </row>
    <row r="2133" spans="7:97" s="246" customFormat="1" x14ac:dyDescent="0.2">
      <c r="G2133" s="2188"/>
      <c r="BS2133" s="34"/>
      <c r="BT2133" s="34"/>
      <c r="BU2133" s="34"/>
      <c r="BV2133" s="34"/>
      <c r="BW2133" s="34"/>
      <c r="BX2133" s="34"/>
      <c r="BY2133" s="34"/>
      <c r="BZ2133" s="34"/>
      <c r="CA2133" s="34"/>
      <c r="CB2133" s="34"/>
      <c r="CC2133" s="34"/>
      <c r="CD2133" s="34"/>
      <c r="CE2133" s="34"/>
      <c r="CF2133" s="34"/>
      <c r="CG2133" s="34"/>
      <c r="CH2133" s="34"/>
      <c r="CI2133" s="34"/>
      <c r="CJ2133" s="34"/>
      <c r="CK2133" s="34"/>
      <c r="CL2133" s="34"/>
      <c r="CM2133" s="34"/>
      <c r="CN2133" s="34"/>
      <c r="CO2133" s="34"/>
      <c r="CP2133" s="34"/>
      <c r="CQ2133" s="34"/>
      <c r="CR2133" s="34"/>
      <c r="CS2133" s="34"/>
    </row>
    <row r="2134" spans="7:97" s="246" customFormat="1" x14ac:dyDescent="0.2">
      <c r="G2134" s="2188"/>
      <c r="BS2134" s="34"/>
      <c r="BT2134" s="34"/>
      <c r="BU2134" s="34"/>
      <c r="BV2134" s="34"/>
      <c r="BW2134" s="34"/>
      <c r="BX2134" s="34"/>
      <c r="BY2134" s="34"/>
      <c r="BZ2134" s="34"/>
      <c r="CA2134" s="34"/>
      <c r="CB2134" s="34"/>
      <c r="CC2134" s="34"/>
      <c r="CD2134" s="34"/>
      <c r="CE2134" s="34"/>
      <c r="CF2134" s="34"/>
      <c r="CG2134" s="34"/>
      <c r="CH2134" s="34"/>
      <c r="CI2134" s="34"/>
      <c r="CJ2134" s="34"/>
      <c r="CK2134" s="34"/>
      <c r="CL2134" s="34"/>
      <c r="CM2134" s="34"/>
      <c r="CN2134" s="34"/>
      <c r="CO2134" s="34"/>
      <c r="CP2134" s="34"/>
      <c r="CQ2134" s="34"/>
      <c r="CR2134" s="34"/>
      <c r="CS2134" s="34"/>
    </row>
    <row r="2135" spans="7:97" s="246" customFormat="1" x14ac:dyDescent="0.2">
      <c r="G2135" s="2188"/>
      <c r="BS2135" s="34"/>
      <c r="BT2135" s="34"/>
      <c r="BU2135" s="34"/>
      <c r="BV2135" s="34"/>
      <c r="BW2135" s="34"/>
      <c r="BX2135" s="34"/>
      <c r="BY2135" s="34"/>
      <c r="BZ2135" s="34"/>
      <c r="CA2135" s="34"/>
      <c r="CB2135" s="34"/>
      <c r="CC2135" s="34"/>
      <c r="CD2135" s="34"/>
      <c r="CE2135" s="34"/>
      <c r="CF2135" s="34"/>
      <c r="CG2135" s="34"/>
      <c r="CH2135" s="34"/>
      <c r="CI2135" s="34"/>
      <c r="CJ2135" s="34"/>
      <c r="CK2135" s="34"/>
      <c r="CL2135" s="34"/>
      <c r="CM2135" s="34"/>
      <c r="CN2135" s="34"/>
      <c r="CO2135" s="34"/>
      <c r="CP2135" s="34"/>
      <c r="CQ2135" s="34"/>
      <c r="CR2135" s="34"/>
      <c r="CS2135" s="34"/>
    </row>
    <row r="2136" spans="7:97" s="246" customFormat="1" x14ac:dyDescent="0.2">
      <c r="G2136" s="2188"/>
      <c r="BS2136" s="34"/>
      <c r="BT2136" s="34"/>
      <c r="BU2136" s="34"/>
      <c r="BV2136" s="34"/>
      <c r="BW2136" s="34"/>
      <c r="BX2136" s="34"/>
      <c r="BY2136" s="34"/>
      <c r="BZ2136" s="34"/>
      <c r="CA2136" s="34"/>
      <c r="CB2136" s="34"/>
      <c r="CC2136" s="34"/>
      <c r="CD2136" s="34"/>
      <c r="CE2136" s="34"/>
      <c r="CF2136" s="34"/>
      <c r="CG2136" s="34"/>
      <c r="CH2136" s="34"/>
      <c r="CI2136" s="34"/>
      <c r="CJ2136" s="34"/>
      <c r="CK2136" s="34"/>
      <c r="CL2136" s="34"/>
      <c r="CM2136" s="34"/>
      <c r="CN2136" s="34"/>
      <c r="CO2136" s="34"/>
      <c r="CP2136" s="34"/>
      <c r="CQ2136" s="34"/>
      <c r="CR2136" s="34"/>
      <c r="CS2136" s="34"/>
    </row>
    <row r="2137" spans="7:97" s="246" customFormat="1" x14ac:dyDescent="0.2">
      <c r="G2137" s="2188"/>
      <c r="BS2137" s="34"/>
      <c r="BT2137" s="34"/>
      <c r="BU2137" s="34"/>
      <c r="BV2137" s="34"/>
      <c r="BW2137" s="34"/>
      <c r="BX2137" s="34"/>
      <c r="BY2137" s="34"/>
      <c r="BZ2137" s="34"/>
      <c r="CA2137" s="34"/>
      <c r="CB2137" s="34"/>
      <c r="CC2137" s="34"/>
      <c r="CD2137" s="34"/>
      <c r="CE2137" s="34"/>
      <c r="CF2137" s="34"/>
      <c r="CG2137" s="34"/>
      <c r="CH2137" s="34"/>
      <c r="CI2137" s="34"/>
      <c r="CJ2137" s="34"/>
      <c r="CK2137" s="34"/>
      <c r="CL2137" s="34"/>
      <c r="CM2137" s="34"/>
      <c r="CN2137" s="34"/>
      <c r="CO2137" s="34"/>
      <c r="CP2137" s="34"/>
      <c r="CQ2137" s="34"/>
      <c r="CR2137" s="34"/>
      <c r="CS2137" s="34"/>
    </row>
    <row r="2138" spans="7:97" s="246" customFormat="1" x14ac:dyDescent="0.2">
      <c r="G2138" s="2188"/>
      <c r="BS2138" s="34"/>
      <c r="BT2138" s="34"/>
      <c r="BU2138" s="34"/>
      <c r="BV2138" s="34"/>
      <c r="BW2138" s="34"/>
      <c r="BX2138" s="34"/>
      <c r="BY2138" s="34"/>
      <c r="BZ2138" s="34"/>
      <c r="CA2138" s="34"/>
      <c r="CB2138" s="34"/>
      <c r="CC2138" s="34"/>
      <c r="CD2138" s="34"/>
      <c r="CE2138" s="34"/>
      <c r="CF2138" s="34"/>
      <c r="CG2138" s="34"/>
      <c r="CH2138" s="34"/>
      <c r="CI2138" s="34"/>
      <c r="CJ2138" s="34"/>
      <c r="CK2138" s="34"/>
      <c r="CL2138" s="34"/>
      <c r="CM2138" s="34"/>
      <c r="CN2138" s="34"/>
      <c r="CO2138" s="34"/>
      <c r="CP2138" s="34"/>
      <c r="CQ2138" s="34"/>
      <c r="CR2138" s="34"/>
      <c r="CS2138" s="34"/>
    </row>
  </sheetData>
  <autoFilter ref="A3:CX204"/>
  <mergeCells count="16">
    <mergeCell ref="E2:Q2"/>
    <mergeCell ref="A1:Q1"/>
    <mergeCell ref="CG2:CO2"/>
    <mergeCell ref="R2:U2"/>
    <mergeCell ref="V2:Y2"/>
    <mergeCell ref="Z2:AC2"/>
    <mergeCell ref="AX2:BA2"/>
    <mergeCell ref="AP2:AS2"/>
    <mergeCell ref="AD2:AG2"/>
    <mergeCell ref="AL2:AO2"/>
    <mergeCell ref="BF2:BI2"/>
    <mergeCell ref="BJ2:BM2"/>
    <mergeCell ref="BB2:BE2"/>
    <mergeCell ref="AH2:AK2"/>
    <mergeCell ref="AT2:AW2"/>
    <mergeCell ref="BN2:BQ2"/>
  </mergeCells>
  <phoneticPr fontId="9" type="noConversion"/>
  <printOptions horizontalCentered="1" verticalCentered="1"/>
  <pageMargins left="0.19685039370078741" right="0.19685039370078741" top="0.19685039370078741" bottom="0.19685039370078741" header="0.39370078740157483" footer="0.19685039370078741"/>
  <pageSetup paperSize="8" scale="7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A1:Z1109"/>
  <sheetViews>
    <sheetView topLeftCell="A26" workbookViewId="0">
      <selection activeCell="D35" sqref="D35"/>
    </sheetView>
  </sheetViews>
  <sheetFormatPr defaultColWidth="9.140625" defaultRowHeight="12.75" x14ac:dyDescent="0.2"/>
  <cols>
    <col min="1" max="2" width="13.28515625" style="34" customWidth="1"/>
    <col min="3" max="3" width="12.85546875" style="96" customWidth="1"/>
    <col min="4" max="4" width="12.140625" style="34" customWidth="1"/>
    <col min="5" max="5" width="13.85546875" style="34" customWidth="1"/>
    <col min="6" max="6" width="28.85546875" style="34" customWidth="1"/>
    <col min="7" max="7" width="13.140625" style="2173" customWidth="1"/>
    <col min="8" max="8" width="11.140625" style="34" customWidth="1"/>
    <col min="9" max="9" width="13.5703125" style="34" customWidth="1"/>
    <col min="10" max="12" width="12.140625" style="34" customWidth="1"/>
    <col min="13" max="17" width="10.28515625" style="34" customWidth="1"/>
    <col min="18" max="18" width="12" style="34" customWidth="1"/>
    <col min="19" max="19" width="12.28515625" style="34" bestFit="1" customWidth="1"/>
    <col min="20" max="20" width="9.7109375" style="34" customWidth="1"/>
    <col min="21" max="21" width="12.28515625" style="34" bestFit="1" customWidth="1"/>
    <col min="22" max="22" width="10.42578125" style="34" customWidth="1"/>
    <col min="23" max="24" width="12.28515625" style="34" bestFit="1" customWidth="1"/>
    <col min="25" max="25" width="10.28515625" style="34" bestFit="1" customWidth="1"/>
    <col min="26" max="16384" width="9.140625" style="34"/>
  </cols>
  <sheetData>
    <row r="1" spans="1:17" ht="18.75" customHeight="1" thickBot="1" x14ac:dyDescent="0.25">
      <c r="A1" s="2675" t="s">
        <v>6817</v>
      </c>
      <c r="B1" s="2676"/>
      <c r="C1" s="2676"/>
      <c r="D1" s="2676"/>
      <c r="E1" s="2676"/>
      <c r="F1" s="2676"/>
      <c r="G1" s="2691"/>
      <c r="H1" s="2691"/>
      <c r="I1" s="2691"/>
      <c r="J1" s="2691"/>
      <c r="K1" s="2691"/>
      <c r="L1" s="2691"/>
      <c r="M1" s="2691"/>
      <c r="N1" s="2691"/>
      <c r="O1" s="2691"/>
      <c r="P1" s="2691"/>
      <c r="Q1" s="2692"/>
    </row>
    <row r="2" spans="1:17" s="39" customFormat="1" x14ac:dyDescent="0.2">
      <c r="A2" s="2620" t="s">
        <v>1824</v>
      </c>
      <c r="B2" s="2621"/>
      <c r="C2" s="2621"/>
      <c r="D2" s="2622"/>
      <c r="E2" s="271" t="s">
        <v>2213</v>
      </c>
      <c r="F2" s="2271"/>
      <c r="G2" s="2693" t="s">
        <v>2215</v>
      </c>
      <c r="H2" s="2694"/>
      <c r="I2" s="2694"/>
      <c r="J2" s="2694"/>
      <c r="K2" s="2694"/>
      <c r="L2" s="2694"/>
      <c r="M2" s="2694"/>
      <c r="N2" s="2694"/>
      <c r="O2" s="2694"/>
      <c r="P2" s="2694"/>
      <c r="Q2" s="2695"/>
    </row>
    <row r="3" spans="1:17" ht="13.5" thickBot="1" x14ac:dyDescent="0.25">
      <c r="A3" s="1526" t="str">
        <f>LTFP!A182</f>
        <v>2013/14</v>
      </c>
      <c r="B3" s="40" t="str">
        <f>LTFP!B182</f>
        <v>2014/15</v>
      </c>
      <c r="C3" s="44" t="str">
        <f>LTFP!C182</f>
        <v>2015/16</v>
      </c>
      <c r="D3" s="44" t="str">
        <f>LTFP!D182</f>
        <v>2016/17</v>
      </c>
      <c r="E3" s="131"/>
      <c r="F3" s="41"/>
      <c r="G3" s="2170" t="str">
        <f>LTFP!F182</f>
        <v>2017/18</v>
      </c>
      <c r="H3" s="44" t="str">
        <f>LTFP!H182</f>
        <v>2018/19</v>
      </c>
      <c r="I3" s="44" t="str">
        <f>LTFP!I182</f>
        <v>2019/20</v>
      </c>
      <c r="J3" s="44" t="str">
        <f>LTFP!J182</f>
        <v>2020/21</v>
      </c>
      <c r="K3" s="44" t="str">
        <f>LTFP!K182</f>
        <v>2021/22</v>
      </c>
      <c r="L3" s="44" t="str">
        <f>LTFP!L182</f>
        <v>2022/23</v>
      </c>
      <c r="M3" s="44" t="str">
        <f>LTFP!M182</f>
        <v>2023/24</v>
      </c>
      <c r="N3" s="2272" t="str">
        <f>LTFP!N182</f>
        <v>2024/25</v>
      </c>
      <c r="O3" s="44" t="str">
        <f>LTFP!O182</f>
        <v>2025/26</v>
      </c>
      <c r="P3" s="44" t="str">
        <f>LTFP!P182</f>
        <v>2026/27</v>
      </c>
      <c r="Q3" s="95" t="str">
        <f>LTFP!Q182</f>
        <v>2027/28</v>
      </c>
    </row>
    <row r="4" spans="1:17" x14ac:dyDescent="0.2">
      <c r="A4" s="54"/>
      <c r="B4" s="9"/>
      <c r="C4" s="9"/>
      <c r="D4" s="9"/>
      <c r="E4" s="46"/>
      <c r="F4" s="46"/>
      <c r="G4" s="2165"/>
      <c r="H4" s="9"/>
      <c r="I4" s="9"/>
      <c r="J4" s="9"/>
      <c r="K4" s="9"/>
      <c r="L4" s="9"/>
      <c r="M4" s="9"/>
      <c r="N4" s="89"/>
      <c r="O4" s="9"/>
      <c r="P4" s="9"/>
      <c r="Q4" s="61"/>
    </row>
    <row r="5" spans="1:17" x14ac:dyDescent="0.2">
      <c r="A5" s="54"/>
      <c r="B5" s="9"/>
      <c r="C5" s="9"/>
      <c r="D5" s="9"/>
      <c r="E5" s="117"/>
      <c r="F5" s="46"/>
      <c r="G5" s="2165"/>
      <c r="H5" s="9"/>
      <c r="I5" s="9"/>
      <c r="J5" s="9"/>
      <c r="K5" s="9"/>
      <c r="L5" s="9"/>
      <c r="M5" s="9"/>
      <c r="N5" s="89"/>
      <c r="O5" s="9"/>
      <c r="P5" s="9"/>
      <c r="Q5" s="61"/>
    </row>
    <row r="6" spans="1:17" x14ac:dyDescent="0.2">
      <c r="A6" s="54">
        <f>ROUND('W&amp;W'!B8,-2)</f>
        <v>14462800</v>
      </c>
      <c r="B6" s="9">
        <f>'W&amp;W'!C8</f>
        <v>15355900</v>
      </c>
      <c r="C6" s="9">
        <f>'W&amp;W'!D8</f>
        <v>16349100</v>
      </c>
      <c r="D6" s="9">
        <f>'W&amp;W'!E8</f>
        <v>17887500</v>
      </c>
      <c r="E6" s="58" t="s">
        <v>388</v>
      </c>
      <c r="F6" s="46"/>
      <c r="G6" s="2165">
        <f>'W&amp;W'!H8</f>
        <v>18218400</v>
      </c>
      <c r="H6" s="9">
        <f>'W&amp;W'!J8</f>
        <v>18670200</v>
      </c>
      <c r="I6" s="9">
        <f>'W&amp;W'!K8</f>
        <v>19117700</v>
      </c>
      <c r="J6" s="9">
        <f>'W&amp;W'!L8</f>
        <v>19601300</v>
      </c>
      <c r="K6" s="9">
        <f>'W&amp;W'!M8</f>
        <v>20141000</v>
      </c>
      <c r="L6" s="9">
        <f>'W&amp;W'!N8</f>
        <v>20644300</v>
      </c>
      <c r="M6" s="9">
        <f>'W&amp;W'!O8</f>
        <v>21144000</v>
      </c>
      <c r="N6" s="89">
        <f>'W&amp;W'!P8</f>
        <v>21719800</v>
      </c>
      <c r="O6" s="9">
        <f>'W&amp;W'!Q8</f>
        <v>22283100</v>
      </c>
      <c r="P6" s="9">
        <f>'W&amp;W'!R8</f>
        <v>22955100</v>
      </c>
      <c r="Q6" s="61">
        <f>'W&amp;W'!S8</f>
        <v>23651300</v>
      </c>
    </row>
    <row r="7" spans="1:17" x14ac:dyDescent="0.2">
      <c r="A7" s="54">
        <f>'W&amp;W'!B15-A10-A11-A12</f>
        <v>13987000</v>
      </c>
      <c r="B7" s="9">
        <f>'W&amp;W'!C15-B10-B11-B12</f>
        <v>13866900</v>
      </c>
      <c r="C7" s="9">
        <f>'W&amp;W'!D15-C10-C11-C12</f>
        <v>13468900</v>
      </c>
      <c r="D7" s="9">
        <f>'W&amp;W'!E15-D10-D11-D12</f>
        <v>13894500</v>
      </c>
      <c r="E7" s="58" t="s">
        <v>1097</v>
      </c>
      <c r="F7" s="46"/>
      <c r="G7" s="2165">
        <f>'W&amp;W'!H15-G10-G11-G12</f>
        <v>13828300</v>
      </c>
      <c r="H7" s="9">
        <f>'W&amp;W'!J15-H10-H11-H12</f>
        <v>13668400</v>
      </c>
      <c r="I7" s="9">
        <f>'W&amp;W'!K15-I10-I11-I12</f>
        <v>13772900</v>
      </c>
      <c r="J7" s="9">
        <f>'W&amp;W'!L15-J10-J11-J12</f>
        <v>13871100</v>
      </c>
      <c r="K7" s="9">
        <f>'W&amp;W'!M15-K10-K11-K12</f>
        <v>13948400</v>
      </c>
      <c r="L7" s="9">
        <f>'W&amp;W'!N15-L10-L11-L12</f>
        <v>14063100</v>
      </c>
      <c r="M7" s="9">
        <f>'W&amp;W'!O15-M10-M11-M12</f>
        <v>14096000</v>
      </c>
      <c r="N7" s="89">
        <f>'W&amp;W'!P15-N10-N11-N12</f>
        <v>14180300</v>
      </c>
      <c r="O7" s="9">
        <f>'W&amp;W'!Q15-O10-O11-O12</f>
        <v>14207100</v>
      </c>
      <c r="P7" s="9">
        <f>'W&amp;W'!R15-P10-P11-P12</f>
        <v>14320800</v>
      </c>
      <c r="Q7" s="61">
        <f>'W&amp;W'!S15-Q10-Q11-Q12</f>
        <v>14450200</v>
      </c>
    </row>
    <row r="8" spans="1:17" s="65" customFormat="1" x14ac:dyDescent="0.2">
      <c r="A8" s="198">
        <f>A6-A7</f>
        <v>475800</v>
      </c>
      <c r="B8" s="63">
        <f>B6-B7</f>
        <v>1489000</v>
      </c>
      <c r="C8" s="63">
        <f>C6-C7</f>
        <v>2880200</v>
      </c>
      <c r="D8" s="63">
        <f>D6-D7</f>
        <v>3993000</v>
      </c>
      <c r="E8" s="56" t="s">
        <v>664</v>
      </c>
      <c r="F8" s="92"/>
      <c r="G8" s="2171">
        <f t="shared" ref="G8:K8" si="0">G6-G7</f>
        <v>4390100</v>
      </c>
      <c r="H8" s="63">
        <f t="shared" si="0"/>
        <v>5001800</v>
      </c>
      <c r="I8" s="63">
        <f t="shared" si="0"/>
        <v>5344800</v>
      </c>
      <c r="J8" s="63">
        <f t="shared" si="0"/>
        <v>5730200</v>
      </c>
      <c r="K8" s="63">
        <f t="shared" si="0"/>
        <v>6192600</v>
      </c>
      <c r="L8" s="63">
        <f t="shared" ref="L8:Q8" si="1">L6-L7</f>
        <v>6581200</v>
      </c>
      <c r="M8" s="63">
        <f t="shared" si="1"/>
        <v>7048000</v>
      </c>
      <c r="N8" s="107">
        <f t="shared" si="1"/>
        <v>7539500</v>
      </c>
      <c r="O8" s="63">
        <f t="shared" si="1"/>
        <v>8076000</v>
      </c>
      <c r="P8" s="63">
        <f t="shared" si="1"/>
        <v>8634300</v>
      </c>
      <c r="Q8" s="106">
        <f t="shared" si="1"/>
        <v>9201100</v>
      </c>
    </row>
    <row r="9" spans="1:17" x14ac:dyDescent="0.2">
      <c r="A9" s="54"/>
      <c r="B9" s="9"/>
      <c r="C9" s="9"/>
      <c r="D9" s="9"/>
      <c r="E9" s="58"/>
      <c r="F9" s="46"/>
      <c r="G9" s="2165"/>
      <c r="H9" s="9"/>
      <c r="I9" s="9"/>
      <c r="J9" s="9"/>
      <c r="K9" s="9"/>
      <c r="L9" s="9"/>
      <c r="M9" s="9"/>
      <c r="N9" s="89"/>
      <c r="O9" s="9"/>
      <c r="P9" s="9"/>
      <c r="Q9" s="61"/>
    </row>
    <row r="10" spans="1:17" x14ac:dyDescent="0.2">
      <c r="A10" s="54">
        <f t="shared" ref="A10:B12" si="2">A25</f>
        <v>2643100</v>
      </c>
      <c r="B10" s="9">
        <f t="shared" si="2"/>
        <v>2314300</v>
      </c>
      <c r="C10" s="9">
        <f t="shared" ref="C10:D12" si="3">C25</f>
        <v>3531900</v>
      </c>
      <c r="D10" s="9">
        <f t="shared" si="3"/>
        <v>3573300</v>
      </c>
      <c r="E10" s="58" t="s">
        <v>1737</v>
      </c>
      <c r="F10" s="46"/>
      <c r="G10" s="2165">
        <f t="shared" ref="G10:M12" si="4">G25</f>
        <v>3775000</v>
      </c>
      <c r="H10" s="9">
        <f t="shared" si="4"/>
        <v>3851000</v>
      </c>
      <c r="I10" s="9">
        <f t="shared" si="4"/>
        <v>3928000</v>
      </c>
      <c r="J10" s="9">
        <f t="shared" si="4"/>
        <v>4007000</v>
      </c>
      <c r="K10" s="9">
        <f t="shared" si="4"/>
        <v>4087000</v>
      </c>
      <c r="L10" s="9">
        <f t="shared" si="4"/>
        <v>4169000</v>
      </c>
      <c r="M10" s="9">
        <f t="shared" si="4"/>
        <v>4252000</v>
      </c>
      <c r="N10" s="89">
        <f t="shared" ref="N10:O12" si="5">N25</f>
        <v>4337000</v>
      </c>
      <c r="O10" s="9">
        <f t="shared" si="5"/>
        <v>4424000</v>
      </c>
      <c r="P10" s="9">
        <f t="shared" ref="P10:Q10" si="6">P25</f>
        <v>4512000</v>
      </c>
      <c r="Q10" s="61">
        <f t="shared" si="6"/>
        <v>4602000</v>
      </c>
    </row>
    <row r="11" spans="1:17" x14ac:dyDescent="0.2">
      <c r="A11" s="54">
        <f t="shared" si="2"/>
        <v>394000</v>
      </c>
      <c r="B11" s="9">
        <f t="shared" si="2"/>
        <v>349200</v>
      </c>
      <c r="C11" s="9">
        <f t="shared" si="3"/>
        <v>301100</v>
      </c>
      <c r="D11" s="9">
        <f t="shared" si="3"/>
        <v>249300</v>
      </c>
      <c r="E11" s="58" t="s">
        <v>4151</v>
      </c>
      <c r="F11" s="46"/>
      <c r="G11" s="2165">
        <f t="shared" si="4"/>
        <v>194000</v>
      </c>
      <c r="H11" s="9">
        <f t="shared" si="4"/>
        <v>134000</v>
      </c>
      <c r="I11" s="9">
        <f t="shared" si="4"/>
        <v>69000</v>
      </c>
      <c r="J11" s="9">
        <f t="shared" si="4"/>
        <v>0</v>
      </c>
      <c r="K11" s="9">
        <f t="shared" si="4"/>
        <v>0</v>
      </c>
      <c r="L11" s="9">
        <f t="shared" si="4"/>
        <v>0</v>
      </c>
      <c r="M11" s="9">
        <f t="shared" si="4"/>
        <v>0</v>
      </c>
      <c r="N11" s="89">
        <f t="shared" si="5"/>
        <v>0</v>
      </c>
      <c r="O11" s="9">
        <f t="shared" si="5"/>
        <v>0</v>
      </c>
      <c r="P11" s="9">
        <f t="shared" ref="P11:Q11" si="7">P26</f>
        <v>0</v>
      </c>
      <c r="Q11" s="61">
        <f t="shared" si="7"/>
        <v>0</v>
      </c>
    </row>
    <row r="12" spans="1:17" x14ac:dyDescent="0.2">
      <c r="A12" s="54">
        <f t="shared" si="2"/>
        <v>20300</v>
      </c>
      <c r="B12" s="9">
        <f t="shared" si="2"/>
        <v>12216800</v>
      </c>
      <c r="C12" s="9">
        <f t="shared" si="3"/>
        <v>10800</v>
      </c>
      <c r="D12" s="9">
        <f t="shared" si="3"/>
        <v>416400</v>
      </c>
      <c r="E12" s="58" t="s">
        <v>4453</v>
      </c>
      <c r="F12" s="46"/>
      <c r="G12" s="2165">
        <f t="shared" si="4"/>
        <v>0</v>
      </c>
      <c r="H12" s="9">
        <f t="shared" si="4"/>
        <v>0</v>
      </c>
      <c r="I12" s="9">
        <f t="shared" si="4"/>
        <v>0</v>
      </c>
      <c r="J12" s="9">
        <f t="shared" si="4"/>
        <v>0</v>
      </c>
      <c r="K12" s="9">
        <f t="shared" si="4"/>
        <v>0</v>
      </c>
      <c r="L12" s="9">
        <f t="shared" si="4"/>
        <v>0</v>
      </c>
      <c r="M12" s="9">
        <f t="shared" si="4"/>
        <v>0</v>
      </c>
      <c r="N12" s="89">
        <f t="shared" si="5"/>
        <v>0</v>
      </c>
      <c r="O12" s="9">
        <f t="shared" si="5"/>
        <v>0</v>
      </c>
      <c r="P12" s="9">
        <f t="shared" ref="P12:Q12" si="8">P27</f>
        <v>0</v>
      </c>
      <c r="Q12" s="61">
        <f t="shared" si="8"/>
        <v>0</v>
      </c>
    </row>
    <row r="13" spans="1:17" s="65" customFormat="1" x14ac:dyDescent="0.2">
      <c r="A13" s="198">
        <f>A8-A10-A11-A12</f>
        <v>-2581600</v>
      </c>
      <c r="B13" s="63">
        <f>B8-B10-B11-B12</f>
        <v>-13391300</v>
      </c>
      <c r="C13" s="63">
        <f>C8-C10-C11-C12</f>
        <v>-963600</v>
      </c>
      <c r="D13" s="63">
        <f>D8-D10-D11-D12</f>
        <v>-246000</v>
      </c>
      <c r="E13" s="56" t="s">
        <v>398</v>
      </c>
      <c r="F13" s="92"/>
      <c r="G13" s="2171">
        <f t="shared" ref="G13:N13" si="9">G8-G10-G11-G12</f>
        <v>421100</v>
      </c>
      <c r="H13" s="63">
        <f t="shared" si="9"/>
        <v>1016800</v>
      </c>
      <c r="I13" s="63">
        <f t="shared" si="9"/>
        <v>1347800</v>
      </c>
      <c r="J13" s="63">
        <f t="shared" si="9"/>
        <v>1723200</v>
      </c>
      <c r="K13" s="63">
        <f t="shared" si="9"/>
        <v>2105600</v>
      </c>
      <c r="L13" s="63">
        <f t="shared" si="9"/>
        <v>2412200</v>
      </c>
      <c r="M13" s="63">
        <f t="shared" si="9"/>
        <v>2796000</v>
      </c>
      <c r="N13" s="107">
        <f t="shared" si="9"/>
        <v>3202500</v>
      </c>
      <c r="O13" s="63">
        <f t="shared" ref="O13:P13" si="10">O8-O10-O11-O12</f>
        <v>3652000</v>
      </c>
      <c r="P13" s="63">
        <f t="shared" si="10"/>
        <v>4122300</v>
      </c>
      <c r="Q13" s="106">
        <f t="shared" ref="Q13" si="11">Q8-Q10-Q11-Q12</f>
        <v>4599100</v>
      </c>
    </row>
    <row r="14" spans="1:17" x14ac:dyDescent="0.2">
      <c r="A14" s="54"/>
      <c r="B14" s="9"/>
      <c r="C14" s="9"/>
      <c r="D14" s="9"/>
      <c r="E14" s="98"/>
      <c r="F14" s="46"/>
      <c r="G14" s="2165"/>
      <c r="H14" s="9"/>
      <c r="I14" s="9"/>
      <c r="J14" s="9"/>
      <c r="K14" s="9"/>
      <c r="L14" s="9"/>
      <c r="M14" s="9"/>
      <c r="N14" s="89"/>
      <c r="O14" s="9"/>
      <c r="P14" s="9"/>
      <c r="Q14" s="61"/>
    </row>
    <row r="15" spans="1:17" x14ac:dyDescent="0.2">
      <c r="A15" s="54"/>
      <c r="B15" s="9"/>
      <c r="C15" s="9"/>
      <c r="D15" s="9"/>
      <c r="E15" s="92" t="s">
        <v>1432</v>
      </c>
      <c r="F15" s="46"/>
      <c r="G15" s="2165"/>
      <c r="H15" s="9"/>
      <c r="I15" s="9"/>
      <c r="J15" s="9"/>
      <c r="K15" s="9"/>
      <c r="L15" s="9"/>
      <c r="M15" s="9"/>
      <c r="N15" s="89"/>
      <c r="O15" s="9"/>
      <c r="P15" s="9"/>
      <c r="Q15" s="61"/>
    </row>
    <row r="16" spans="1:17" x14ac:dyDescent="0.2">
      <c r="A16" s="54">
        <v>662300</v>
      </c>
      <c r="B16" s="9">
        <v>745500</v>
      </c>
      <c r="C16" s="9">
        <f>B16</f>
        <v>745500</v>
      </c>
      <c r="D16" s="9">
        <v>0</v>
      </c>
      <c r="E16" s="31" t="s">
        <v>3</v>
      </c>
      <c r="F16" s="46"/>
      <c r="G16" s="2165">
        <v>745500</v>
      </c>
      <c r="H16" s="9">
        <f t="shared" ref="H16:K16" si="12">G16</f>
        <v>745500</v>
      </c>
      <c r="I16" s="9">
        <f t="shared" si="12"/>
        <v>745500</v>
      </c>
      <c r="J16" s="9">
        <f t="shared" si="12"/>
        <v>745500</v>
      </c>
      <c r="K16" s="9">
        <f t="shared" si="12"/>
        <v>745500</v>
      </c>
      <c r="L16" s="9">
        <f t="shared" ref="L16:Q16" si="13">K16</f>
        <v>745500</v>
      </c>
      <c r="M16" s="9">
        <f t="shared" si="13"/>
        <v>745500</v>
      </c>
      <c r="N16" s="89">
        <f t="shared" si="13"/>
        <v>745500</v>
      </c>
      <c r="O16" s="9">
        <f t="shared" si="13"/>
        <v>745500</v>
      </c>
      <c r="P16" s="9">
        <f t="shared" si="13"/>
        <v>745500</v>
      </c>
      <c r="Q16" s="61">
        <f t="shared" si="13"/>
        <v>745500</v>
      </c>
    </row>
    <row r="17" spans="1:17" x14ac:dyDescent="0.2">
      <c r="A17" s="54">
        <f>ROUND(A60,-2)</f>
        <v>0</v>
      </c>
      <c r="B17" s="9">
        <f>B60</f>
        <v>0</v>
      </c>
      <c r="C17" s="9">
        <f>C60</f>
        <v>0</v>
      </c>
      <c r="D17" s="9">
        <f>D60</f>
        <v>27000</v>
      </c>
      <c r="E17" s="98" t="s">
        <v>2668</v>
      </c>
      <c r="F17" s="46"/>
      <c r="G17" s="2165">
        <f t="shared" ref="G17:N17" si="14">G60</f>
        <v>0</v>
      </c>
      <c r="H17" s="9">
        <f t="shared" si="14"/>
        <v>0</v>
      </c>
      <c r="I17" s="9">
        <f t="shared" si="14"/>
        <v>0</v>
      </c>
      <c r="J17" s="9">
        <f t="shared" si="14"/>
        <v>0</v>
      </c>
      <c r="K17" s="9">
        <f t="shared" si="14"/>
        <v>0</v>
      </c>
      <c r="L17" s="9">
        <f t="shared" si="14"/>
        <v>0</v>
      </c>
      <c r="M17" s="9">
        <f t="shared" si="14"/>
        <v>0</v>
      </c>
      <c r="N17" s="89">
        <f t="shared" si="14"/>
        <v>0</v>
      </c>
      <c r="O17" s="9">
        <f t="shared" ref="O17:P17" si="15">O60</f>
        <v>0</v>
      </c>
      <c r="P17" s="9">
        <f t="shared" si="15"/>
        <v>0</v>
      </c>
      <c r="Q17" s="61">
        <f t="shared" ref="Q17" si="16">Q60</f>
        <v>0</v>
      </c>
    </row>
    <row r="18" spans="1:17" x14ac:dyDescent="0.2">
      <c r="A18" s="54">
        <v>1351900</v>
      </c>
      <c r="B18" s="9">
        <v>1385900</v>
      </c>
      <c r="C18" s="9">
        <v>1724500</v>
      </c>
      <c r="D18" s="9">
        <v>736500</v>
      </c>
      <c r="E18" s="46" t="str">
        <f>'Cash-W'!E18</f>
        <v xml:space="preserve">Section 64 Contributions </v>
      </c>
      <c r="F18" s="46"/>
      <c r="G18" s="2165">
        <v>1400000</v>
      </c>
      <c r="H18" s="9">
        <f>ROUNDUP(G18+(G18*Assumptions!H$5),-4)</f>
        <v>1430000</v>
      </c>
      <c r="I18" s="9">
        <f>ROUNDUP(H18+(H18*Assumptions!I$5),-4)</f>
        <v>1470000</v>
      </c>
      <c r="J18" s="9">
        <f>ROUNDUP(I18+(I18*Assumptions!J$5),-4)</f>
        <v>1510000</v>
      </c>
      <c r="K18" s="9">
        <f>ROUNDUP(J18+(J18*Assumptions!K$5),-4)</f>
        <v>1550000</v>
      </c>
      <c r="L18" s="9">
        <f>ROUNDUP(K18+(K18*Assumptions!L$5),-4)</f>
        <v>1590000</v>
      </c>
      <c r="M18" s="9">
        <f>ROUNDUP(L18+(L18*Assumptions!M$5),-4)</f>
        <v>1630000</v>
      </c>
      <c r="N18" s="89">
        <f>ROUNDUP(M18+(M18*Assumptions!N$5),-4)</f>
        <v>1680000</v>
      </c>
      <c r="O18" s="9">
        <f>ROUNDUP(N18+(N18*Assumptions!O$5),-4)</f>
        <v>1730000</v>
      </c>
      <c r="P18" s="9">
        <f>ROUNDUP(O18+(O18*Assumptions!P$5),-4)</f>
        <v>1780000</v>
      </c>
      <c r="Q18" s="61">
        <f>ROUNDUP(P18+(P18*Assumptions!Q$5),-4)</f>
        <v>1830000</v>
      </c>
    </row>
    <row r="19" spans="1:17" ht="13.5" thickBot="1" x14ac:dyDescent="0.25">
      <c r="A19" s="54"/>
      <c r="B19" s="9"/>
      <c r="C19" s="9"/>
      <c r="D19" s="9"/>
      <c r="E19" s="46"/>
      <c r="F19" s="46"/>
      <c r="G19" s="2165"/>
      <c r="H19" s="9"/>
      <c r="I19" s="9"/>
      <c r="J19" s="9"/>
      <c r="K19" s="9"/>
      <c r="L19" s="9"/>
      <c r="M19" s="9"/>
      <c r="N19" s="89"/>
      <c r="O19" s="9"/>
      <c r="P19" s="9"/>
      <c r="Q19" s="61"/>
    </row>
    <row r="20" spans="1:17" s="65" customFormat="1" ht="13.5" thickBot="1" x14ac:dyDescent="0.25">
      <c r="A20" s="199">
        <f>A18+SUM(A13:A17)</f>
        <v>-567400</v>
      </c>
      <c r="B20" s="202">
        <f>B18+SUM(B13:B17)</f>
        <v>-11259900</v>
      </c>
      <c r="C20" s="202">
        <f>C18+SUM(C13:C17)</f>
        <v>1506400</v>
      </c>
      <c r="D20" s="202">
        <f>D18+SUM(D13:D17)</f>
        <v>517500</v>
      </c>
      <c r="E20" s="200" t="s">
        <v>2722</v>
      </c>
      <c r="F20" s="201"/>
      <c r="G20" s="2182">
        <f t="shared" ref="G20:K20" si="17">G18+SUM(G13:G17)</f>
        <v>2566600</v>
      </c>
      <c r="H20" s="202">
        <f t="shared" si="17"/>
        <v>3192300</v>
      </c>
      <c r="I20" s="202">
        <f t="shared" si="17"/>
        <v>3563300</v>
      </c>
      <c r="J20" s="202">
        <f t="shared" si="17"/>
        <v>3978700</v>
      </c>
      <c r="K20" s="202">
        <f t="shared" si="17"/>
        <v>4401100</v>
      </c>
      <c r="L20" s="202">
        <f t="shared" ref="L20:Q20" si="18">L18+SUM(L13:L17)</f>
        <v>4747700</v>
      </c>
      <c r="M20" s="202">
        <f t="shared" si="18"/>
        <v>5171500</v>
      </c>
      <c r="N20" s="204">
        <f t="shared" si="18"/>
        <v>5628000</v>
      </c>
      <c r="O20" s="202">
        <f t="shared" si="18"/>
        <v>6127500</v>
      </c>
      <c r="P20" s="202">
        <f t="shared" si="18"/>
        <v>6647800</v>
      </c>
      <c r="Q20" s="203">
        <f t="shared" si="18"/>
        <v>7174600</v>
      </c>
    </row>
    <row r="21" spans="1:17" ht="13.5" thickTop="1" x14ac:dyDescent="0.2">
      <c r="A21" s="54"/>
      <c r="B21" s="9"/>
      <c r="C21" s="9"/>
      <c r="D21" s="9"/>
      <c r="E21" s="46"/>
      <c r="F21" s="46"/>
      <c r="G21" s="2165"/>
      <c r="H21" s="9"/>
      <c r="I21" s="9"/>
      <c r="J21" s="9"/>
      <c r="K21" s="9"/>
      <c r="L21" s="9"/>
      <c r="M21" s="9"/>
      <c r="N21" s="89"/>
      <c r="O21" s="9"/>
      <c r="P21" s="9"/>
      <c r="Q21" s="61"/>
    </row>
    <row r="22" spans="1:17" x14ac:dyDescent="0.2">
      <c r="A22" s="54"/>
      <c r="B22" s="9"/>
      <c r="C22" s="9"/>
      <c r="D22" s="9"/>
      <c r="E22" s="92" t="s">
        <v>2723</v>
      </c>
      <c r="F22" s="46"/>
      <c r="G22" s="2165"/>
      <c r="H22" s="9"/>
      <c r="I22" s="9"/>
      <c r="J22" s="9"/>
      <c r="K22" s="9"/>
      <c r="L22" s="9"/>
      <c r="M22" s="9"/>
      <c r="N22" s="89"/>
      <c r="O22" s="9"/>
      <c r="P22" s="9"/>
      <c r="Q22" s="61"/>
    </row>
    <row r="23" spans="1:17" x14ac:dyDescent="0.2">
      <c r="A23" s="54"/>
      <c r="B23" s="9"/>
      <c r="C23" s="9"/>
      <c r="D23" s="9"/>
      <c r="E23" s="46"/>
      <c r="F23" s="46"/>
      <c r="G23" s="2165"/>
      <c r="H23" s="9"/>
      <c r="I23" s="9"/>
      <c r="J23" s="9"/>
      <c r="K23" s="9"/>
      <c r="L23" s="9"/>
      <c r="M23" s="9"/>
      <c r="N23" s="89"/>
      <c r="O23" s="9"/>
      <c r="P23" s="9"/>
      <c r="Q23" s="61"/>
    </row>
    <row r="24" spans="1:17" x14ac:dyDescent="0.2">
      <c r="A24" s="54"/>
      <c r="B24" s="9"/>
      <c r="C24" s="9"/>
      <c r="D24" s="9"/>
      <c r="E24" s="92" t="s">
        <v>2329</v>
      </c>
      <c r="F24" s="46"/>
      <c r="G24" s="2165"/>
      <c r="H24" s="9"/>
      <c r="I24" s="9"/>
      <c r="J24" s="9"/>
      <c r="K24" s="9"/>
      <c r="L24" s="9"/>
      <c r="M24" s="9"/>
      <c r="N24" s="89"/>
      <c r="O24" s="9"/>
      <c r="P24" s="9"/>
      <c r="Q24" s="61"/>
    </row>
    <row r="25" spans="1:17" x14ac:dyDescent="0.2">
      <c r="A25" s="54">
        <f>'W&amp;W'!B141</f>
        <v>2643100</v>
      </c>
      <c r="B25" s="9">
        <f>'W&amp;W'!C141</f>
        <v>2314300</v>
      </c>
      <c r="C25" s="9">
        <f>'W&amp;W'!D141</f>
        <v>3531900</v>
      </c>
      <c r="D25" s="9">
        <f>'W&amp;W'!E141</f>
        <v>3573300</v>
      </c>
      <c r="E25" s="46" t="s">
        <v>2035</v>
      </c>
      <c r="F25" s="46"/>
      <c r="G25" s="2165">
        <f>'W&amp;W'!H141</f>
        <v>3775000</v>
      </c>
      <c r="H25" s="9">
        <f>'W&amp;W'!J141</f>
        <v>3851000</v>
      </c>
      <c r="I25" s="9">
        <f>'W&amp;W'!K141</f>
        <v>3928000</v>
      </c>
      <c r="J25" s="9">
        <f>'W&amp;W'!L141</f>
        <v>4007000</v>
      </c>
      <c r="K25" s="9">
        <f>'W&amp;W'!M141</f>
        <v>4087000</v>
      </c>
      <c r="L25" s="9">
        <f>'W&amp;W'!N141</f>
        <v>4169000</v>
      </c>
      <c r="M25" s="9">
        <f>'W&amp;W'!O141</f>
        <v>4252000</v>
      </c>
      <c r="N25" s="89">
        <f>'W&amp;W'!P141</f>
        <v>4337000</v>
      </c>
      <c r="O25" s="9">
        <f>'W&amp;W'!Q141</f>
        <v>4424000</v>
      </c>
      <c r="P25" s="9">
        <f>'W&amp;W'!R141</f>
        <v>4512000</v>
      </c>
      <c r="Q25" s="61">
        <f>'W&amp;W'!S141</f>
        <v>4602000</v>
      </c>
    </row>
    <row r="26" spans="1:17" x14ac:dyDescent="0.2">
      <c r="A26" s="54">
        <f>'W&amp;W'!B524</f>
        <v>394000</v>
      </c>
      <c r="B26" s="9">
        <f>'W&amp;W'!C524</f>
        <v>349200</v>
      </c>
      <c r="C26" s="9">
        <f>'W&amp;W'!D524</f>
        <v>301100</v>
      </c>
      <c r="D26" s="9">
        <f>'W&amp;W'!E524</f>
        <v>249300</v>
      </c>
      <c r="E26" s="46" t="s">
        <v>1229</v>
      </c>
      <c r="F26" s="46"/>
      <c r="G26" s="2165">
        <f>'W&amp;W'!H524</f>
        <v>194000</v>
      </c>
      <c r="H26" s="9">
        <f>'W&amp;W'!J524</f>
        <v>134000</v>
      </c>
      <c r="I26" s="9">
        <f>'W&amp;W'!K524</f>
        <v>69000</v>
      </c>
      <c r="J26" s="9">
        <f>'W&amp;W'!L524</f>
        <v>0</v>
      </c>
      <c r="K26" s="9">
        <f>'W&amp;W'!M524</f>
        <v>0</v>
      </c>
      <c r="L26" s="9">
        <f>'W&amp;W'!N524</f>
        <v>0</v>
      </c>
      <c r="M26" s="9">
        <f>'W&amp;W'!O524</f>
        <v>0</v>
      </c>
      <c r="N26" s="89">
        <f>'W&amp;W'!P524</f>
        <v>0</v>
      </c>
      <c r="O26" s="9">
        <f>'W&amp;W'!Q524</f>
        <v>0</v>
      </c>
      <c r="P26" s="9">
        <f>'W&amp;W'!R524</f>
        <v>0</v>
      </c>
      <c r="Q26" s="61">
        <f>'W&amp;W'!S524</f>
        <v>0</v>
      </c>
    </row>
    <row r="27" spans="1:17" x14ac:dyDescent="0.2">
      <c r="A27" s="54">
        <f>'W&amp;W'!B523</f>
        <v>20300</v>
      </c>
      <c r="B27" s="9">
        <f>'W&amp;W'!C523</f>
        <v>12216800</v>
      </c>
      <c r="C27" s="9">
        <f>'W&amp;W'!D523</f>
        <v>10800</v>
      </c>
      <c r="D27" s="9">
        <f>'W&amp;W'!E523</f>
        <v>416400</v>
      </c>
      <c r="E27" s="58" t="s">
        <v>4448</v>
      </c>
      <c r="F27" s="46"/>
      <c r="G27" s="2165">
        <f>'W&amp;W'!H523</f>
        <v>0</v>
      </c>
      <c r="H27" s="9">
        <f>'W&amp;W'!J523</f>
        <v>0</v>
      </c>
      <c r="I27" s="9">
        <f>'W&amp;W'!K523</f>
        <v>0</v>
      </c>
      <c r="J27" s="9">
        <f>'W&amp;W'!L523</f>
        <v>0</v>
      </c>
      <c r="K27" s="9">
        <f>'W&amp;W'!M523</f>
        <v>0</v>
      </c>
      <c r="L27" s="9">
        <f>'W&amp;W'!N523</f>
        <v>0</v>
      </c>
      <c r="M27" s="9">
        <f>'W&amp;W'!O523</f>
        <v>0</v>
      </c>
      <c r="N27" s="89">
        <f>'W&amp;W'!P523</f>
        <v>0</v>
      </c>
      <c r="O27" s="9">
        <f>'W&amp;W'!Q523</f>
        <v>0</v>
      </c>
      <c r="P27" s="9">
        <f>'W&amp;W'!R523</f>
        <v>0</v>
      </c>
      <c r="Q27" s="61">
        <f>'W&amp;W'!S523</f>
        <v>0</v>
      </c>
    </row>
    <row r="28" spans="1:17" x14ac:dyDescent="0.2">
      <c r="A28" s="54">
        <v>0</v>
      </c>
      <c r="B28" s="9">
        <v>0</v>
      </c>
      <c r="C28" s="9">
        <v>0</v>
      </c>
      <c r="D28" s="9">
        <v>0</v>
      </c>
      <c r="E28" s="46" t="s">
        <v>943</v>
      </c>
      <c r="F28" s="46"/>
      <c r="G28" s="2165">
        <v>0</v>
      </c>
      <c r="H28" s="9">
        <v>0</v>
      </c>
      <c r="I28" s="9">
        <v>0</v>
      </c>
      <c r="J28" s="9">
        <v>0</v>
      </c>
      <c r="K28" s="9">
        <v>0</v>
      </c>
      <c r="L28" s="9">
        <v>0</v>
      </c>
      <c r="M28" s="9">
        <v>0</v>
      </c>
      <c r="N28" s="89">
        <v>0</v>
      </c>
      <c r="O28" s="9">
        <v>0</v>
      </c>
      <c r="P28" s="9">
        <v>0</v>
      </c>
      <c r="Q28" s="61">
        <v>0</v>
      </c>
    </row>
    <row r="29" spans="1:17" x14ac:dyDescent="0.2">
      <c r="A29" s="54"/>
      <c r="B29" s="9"/>
      <c r="C29" s="9"/>
      <c r="D29" s="9"/>
      <c r="E29" s="46"/>
      <c r="F29" s="46"/>
      <c r="G29" s="2165"/>
      <c r="H29" s="9"/>
      <c r="I29" s="9"/>
      <c r="J29" s="9"/>
      <c r="K29" s="9"/>
      <c r="L29" s="9"/>
      <c r="M29" s="9"/>
      <c r="N29" s="89"/>
      <c r="O29" s="9"/>
      <c r="P29" s="9"/>
      <c r="Q29" s="61"/>
    </row>
    <row r="30" spans="1:17" x14ac:dyDescent="0.2">
      <c r="A30" s="54"/>
      <c r="B30" s="9"/>
      <c r="C30" s="9"/>
      <c r="D30" s="9"/>
      <c r="E30" s="92" t="s">
        <v>740</v>
      </c>
      <c r="F30" s="46"/>
      <c r="G30" s="2165"/>
      <c r="H30" s="9"/>
      <c r="I30" s="9"/>
      <c r="J30" s="9"/>
      <c r="K30" s="9"/>
      <c r="L30" s="9"/>
      <c r="M30" s="9"/>
      <c r="N30" s="89"/>
      <c r="O30" s="9"/>
      <c r="P30" s="9"/>
      <c r="Q30" s="61"/>
    </row>
    <row r="31" spans="1:17" x14ac:dyDescent="0.2">
      <c r="A31" s="54">
        <f>-A16</f>
        <v>-662300</v>
      </c>
      <c r="B31" s="9">
        <f>-B16</f>
        <v>-745500</v>
      </c>
      <c r="C31" s="9">
        <f>-C16</f>
        <v>-745500</v>
      </c>
      <c r="D31" s="9">
        <f>-D16</f>
        <v>0</v>
      </c>
      <c r="E31" s="46" t="s">
        <v>3</v>
      </c>
      <c r="F31" s="46"/>
      <c r="G31" s="2165">
        <f t="shared" ref="G31:M31" si="19">-G16</f>
        <v>-745500</v>
      </c>
      <c r="H31" s="9">
        <f t="shared" si="19"/>
        <v>-745500</v>
      </c>
      <c r="I31" s="9">
        <f t="shared" si="19"/>
        <v>-745500</v>
      </c>
      <c r="J31" s="9">
        <f t="shared" si="19"/>
        <v>-745500</v>
      </c>
      <c r="K31" s="9">
        <f t="shared" si="19"/>
        <v>-745500</v>
      </c>
      <c r="L31" s="9">
        <f t="shared" si="19"/>
        <v>-745500</v>
      </c>
      <c r="M31" s="9">
        <f t="shared" si="19"/>
        <v>-745500</v>
      </c>
      <c r="N31" s="89">
        <f t="shared" ref="N31:O31" si="20">-N16</f>
        <v>-745500</v>
      </c>
      <c r="O31" s="9">
        <f t="shared" si="20"/>
        <v>-745500</v>
      </c>
      <c r="P31" s="9">
        <f t="shared" ref="P31:Q31" si="21">-P16</f>
        <v>-745500</v>
      </c>
      <c r="Q31" s="61">
        <f t="shared" si="21"/>
        <v>-745500</v>
      </c>
    </row>
    <row r="32" spans="1:17" x14ac:dyDescent="0.2">
      <c r="A32" s="54"/>
      <c r="B32" s="9"/>
      <c r="C32" s="9"/>
      <c r="D32" s="9"/>
      <c r="E32" s="46"/>
      <c r="F32" s="46"/>
      <c r="G32" s="2165"/>
      <c r="H32" s="9"/>
      <c r="I32" s="9"/>
      <c r="J32" s="9"/>
      <c r="K32" s="9"/>
      <c r="L32" s="9"/>
      <c r="M32" s="9"/>
      <c r="N32" s="89"/>
      <c r="O32" s="9"/>
      <c r="P32" s="9"/>
      <c r="Q32" s="61"/>
    </row>
    <row r="33" spans="1:17" x14ac:dyDescent="0.2">
      <c r="A33" s="54"/>
      <c r="B33" s="9"/>
      <c r="C33" s="9"/>
      <c r="D33" s="9"/>
      <c r="E33" s="92" t="s">
        <v>690</v>
      </c>
      <c r="F33" s="46"/>
      <c r="G33" s="2165"/>
      <c r="H33" s="9"/>
      <c r="I33" s="9"/>
      <c r="J33" s="9"/>
      <c r="K33" s="9"/>
      <c r="L33" s="9"/>
      <c r="M33" s="9"/>
      <c r="N33" s="89"/>
      <c r="O33" s="9"/>
      <c r="P33" s="9"/>
      <c r="Q33" s="61"/>
    </row>
    <row r="34" spans="1:17" x14ac:dyDescent="0.2">
      <c r="A34" s="54">
        <f>ROUND(A89,-2)</f>
        <v>559600</v>
      </c>
      <c r="B34" s="9">
        <f>B89</f>
        <v>409000</v>
      </c>
      <c r="C34" s="9">
        <f>C89</f>
        <v>69000</v>
      </c>
      <c r="D34" s="9">
        <f>D89</f>
        <v>340000</v>
      </c>
      <c r="E34" s="31" t="s">
        <v>3545</v>
      </c>
      <c r="F34" s="46"/>
      <c r="G34" s="2165">
        <f t="shared" ref="G34:N34" si="22">G89</f>
        <v>0</v>
      </c>
      <c r="H34" s="9">
        <f t="shared" si="22"/>
        <v>0</v>
      </c>
      <c r="I34" s="9">
        <f t="shared" si="22"/>
        <v>0</v>
      </c>
      <c r="J34" s="9">
        <f t="shared" si="22"/>
        <v>0</v>
      </c>
      <c r="K34" s="9">
        <f t="shared" si="22"/>
        <v>0</v>
      </c>
      <c r="L34" s="9">
        <f t="shared" si="22"/>
        <v>0</v>
      </c>
      <c r="M34" s="9">
        <f t="shared" si="22"/>
        <v>0</v>
      </c>
      <c r="N34" s="89">
        <f t="shared" si="22"/>
        <v>0</v>
      </c>
      <c r="O34" s="9">
        <f t="shared" ref="O34:P34" si="23">O89</f>
        <v>0</v>
      </c>
      <c r="P34" s="9">
        <f t="shared" si="23"/>
        <v>0</v>
      </c>
      <c r="Q34" s="61">
        <f t="shared" ref="Q34" si="24">Q89</f>
        <v>0</v>
      </c>
    </row>
    <row r="35" spans="1:17" x14ac:dyDescent="0.2">
      <c r="A35" s="54">
        <f>448200+20300</f>
        <v>468500</v>
      </c>
      <c r="B35" s="9">
        <v>0</v>
      </c>
      <c r="C35" s="9">
        <v>-305500</v>
      </c>
      <c r="D35" s="9">
        <v>-305500</v>
      </c>
      <c r="E35" s="58" t="s">
        <v>4421</v>
      </c>
      <c r="F35" s="46"/>
      <c r="G35" s="2165">
        <v>0</v>
      </c>
      <c r="H35" s="9">
        <v>0</v>
      </c>
      <c r="I35" s="9">
        <v>0</v>
      </c>
      <c r="J35" s="9">
        <v>0</v>
      </c>
      <c r="K35" s="9">
        <v>0</v>
      </c>
      <c r="L35" s="9">
        <v>0</v>
      </c>
      <c r="M35" s="9">
        <v>0</v>
      </c>
      <c r="N35" s="89">
        <v>0</v>
      </c>
      <c r="O35" s="9">
        <v>0</v>
      </c>
      <c r="P35" s="9">
        <v>0</v>
      </c>
      <c r="Q35" s="61">
        <v>0</v>
      </c>
    </row>
    <row r="36" spans="1:17" x14ac:dyDescent="0.2">
      <c r="A36" s="54">
        <f>ROUND(A77,-2)</f>
        <v>690000</v>
      </c>
      <c r="B36" s="9">
        <f>ROUND(B77,-2)</f>
        <v>0</v>
      </c>
      <c r="C36" s="9">
        <f>'Cap-WW'!U142</f>
        <v>0</v>
      </c>
      <c r="D36" s="9">
        <f>'Cap-WW'!V142</f>
        <v>2092700</v>
      </c>
      <c r="E36" s="31" t="s">
        <v>3544</v>
      </c>
      <c r="F36" s="46"/>
      <c r="G36" s="2165">
        <f>'Cap-WW'!AC142</f>
        <v>0</v>
      </c>
      <c r="H36" s="9">
        <f>'Cap-WW'!AG142</f>
        <v>0</v>
      </c>
      <c r="I36" s="9">
        <f>'Cap-WW'!AK142</f>
        <v>0</v>
      </c>
      <c r="J36" s="9">
        <f>'Cap-WW'!AO142</f>
        <v>0</v>
      </c>
      <c r="K36" s="9">
        <f>'Cap-WW'!AS142</f>
        <v>0</v>
      </c>
      <c r="L36" s="9">
        <f>'Cap-WW'!AW142</f>
        <v>0</v>
      </c>
      <c r="M36" s="9">
        <f>'Cap-WW'!BA142</f>
        <v>0</v>
      </c>
      <c r="N36" s="89">
        <f>'Cap-WW'!BE142</f>
        <v>0</v>
      </c>
      <c r="O36" s="9">
        <f>'Cap-WW'!BI142</f>
        <v>0</v>
      </c>
      <c r="P36" s="9">
        <f>'Cap-WW'!BM142</f>
        <v>0</v>
      </c>
      <c r="Q36" s="61">
        <f>'Cap-WW'!BN142</f>
        <v>1130700</v>
      </c>
    </row>
    <row r="37" spans="1:17" x14ac:dyDescent="0.2">
      <c r="A37" s="54"/>
      <c r="B37" s="9"/>
      <c r="C37" s="9"/>
      <c r="D37" s="9"/>
      <c r="E37" s="92"/>
      <c r="F37" s="46"/>
      <c r="G37" s="2165"/>
      <c r="H37" s="9"/>
      <c r="I37" s="9"/>
      <c r="J37" s="9"/>
      <c r="K37" s="9"/>
      <c r="L37" s="9"/>
      <c r="M37" s="9"/>
      <c r="N37" s="89"/>
      <c r="O37" s="9"/>
      <c r="P37" s="9"/>
      <c r="Q37" s="61"/>
    </row>
    <row r="38" spans="1:17" x14ac:dyDescent="0.2">
      <c r="A38" s="54"/>
      <c r="B38" s="9"/>
      <c r="C38" s="9"/>
      <c r="D38" s="9"/>
      <c r="E38" s="92" t="s">
        <v>2853</v>
      </c>
      <c r="F38" s="46"/>
      <c r="G38" s="2165"/>
      <c r="H38" s="9"/>
      <c r="I38" s="9"/>
      <c r="J38" s="9"/>
      <c r="K38" s="9"/>
      <c r="L38" s="9"/>
      <c r="M38" s="9"/>
      <c r="N38" s="89"/>
      <c r="O38" s="9"/>
      <c r="P38" s="9"/>
      <c r="Q38" s="61"/>
    </row>
    <row r="39" spans="1:17" x14ac:dyDescent="0.2">
      <c r="A39" s="54">
        <v>-8112100</v>
      </c>
      <c r="B39" s="9">
        <v>-4320400</v>
      </c>
      <c r="C39" s="9">
        <f>-'Cap-WW'!F142</f>
        <v>-2267300</v>
      </c>
      <c r="D39" s="9">
        <f>-'Cap-WW'!G142</f>
        <v>-2560500</v>
      </c>
      <c r="E39" s="31" t="s">
        <v>273</v>
      </c>
      <c r="F39" s="46"/>
      <c r="G39" s="2165">
        <f>-'Cap-WW'!H142</f>
        <v>-8745100</v>
      </c>
      <c r="H39" s="9">
        <f>-'Cap-WW'!I142</f>
        <v>-7734900</v>
      </c>
      <c r="I39" s="9">
        <f>-'Cap-WW'!J142</f>
        <v>-5076700</v>
      </c>
      <c r="J39" s="9">
        <f>-'Cap-WW'!K142</f>
        <v>-2695400</v>
      </c>
      <c r="K39" s="9">
        <f>-'Cap-WW'!L142</f>
        <v>-5105100</v>
      </c>
      <c r="L39" s="9">
        <f>-'Cap-WW'!M142</f>
        <v>-4455100</v>
      </c>
      <c r="M39" s="9">
        <f>-'Cap-WW'!N142</f>
        <v>-1014500</v>
      </c>
      <c r="N39" s="89">
        <f>-'Cap-WW'!O142</f>
        <v>-5316400</v>
      </c>
      <c r="O39" s="9">
        <f>-'Cap-WW'!P142</f>
        <v>-1186000</v>
      </c>
      <c r="P39" s="9">
        <f>-'Cap-WW'!Q142</f>
        <v>-1130700</v>
      </c>
      <c r="Q39" s="9">
        <f>-'Cap-WW'!R142</f>
        <v>-1130700</v>
      </c>
    </row>
    <row r="40" spans="1:17" x14ac:dyDescent="0.2">
      <c r="A40" s="54">
        <f>-'W&amp;W'!B536</f>
        <v>-2384800</v>
      </c>
      <c r="B40" s="9">
        <f>-'W&amp;W'!C536</f>
        <v>-2187900</v>
      </c>
      <c r="C40" s="9">
        <f>-'W&amp;W'!D536</f>
        <v>-2793300</v>
      </c>
      <c r="D40" s="9">
        <f>-'W&amp;W'!E536</f>
        <v>-2957900</v>
      </c>
      <c r="E40" s="31" t="s">
        <v>1400</v>
      </c>
      <c r="F40" s="46"/>
      <c r="G40" s="2165">
        <f>-'W&amp;W'!H536</f>
        <v>-3095600</v>
      </c>
      <c r="H40" s="9">
        <f>-'W&amp;W'!J536</f>
        <v>-3134000</v>
      </c>
      <c r="I40" s="9">
        <f>-'W&amp;W'!K536</f>
        <v>-3280300</v>
      </c>
      <c r="J40" s="9">
        <f>-'W&amp;W'!L536</f>
        <v>-2453500</v>
      </c>
      <c r="K40" s="9">
        <f>-'W&amp;W'!M536</f>
        <v>-2654100</v>
      </c>
      <c r="L40" s="9">
        <f>-'W&amp;W'!N536</f>
        <v>-2844100</v>
      </c>
      <c r="M40" s="9">
        <f>-'W&amp;W'!O536</f>
        <v>-3037000</v>
      </c>
      <c r="N40" s="89">
        <f>-'W&amp;W'!P536</f>
        <v>-3235000</v>
      </c>
      <c r="O40" s="9">
        <f>-'W&amp;W'!Q536</f>
        <v>-3430000</v>
      </c>
      <c r="P40" s="9">
        <f>-'W&amp;W'!R536</f>
        <v>-3627000</v>
      </c>
      <c r="Q40" s="9">
        <f>-'W&amp;W'!S536</f>
        <v>-3825000</v>
      </c>
    </row>
    <row r="41" spans="1:17" x14ac:dyDescent="0.2">
      <c r="A41" s="54"/>
      <c r="B41" s="9"/>
      <c r="C41" s="9"/>
      <c r="D41" s="9"/>
      <c r="E41" s="46"/>
      <c r="F41" s="46"/>
      <c r="G41" s="2165"/>
      <c r="H41" s="9"/>
      <c r="I41" s="9"/>
      <c r="J41" s="9"/>
      <c r="K41" s="9"/>
      <c r="L41" s="9"/>
      <c r="M41" s="9"/>
      <c r="N41" s="89"/>
      <c r="O41" s="9"/>
      <c r="P41" s="9"/>
      <c r="Q41" s="61"/>
    </row>
    <row r="42" spans="1:17" x14ac:dyDescent="0.2">
      <c r="A42" s="54"/>
      <c r="B42" s="9"/>
      <c r="C42" s="9"/>
      <c r="D42" s="9"/>
      <c r="E42" s="92" t="s">
        <v>2855</v>
      </c>
      <c r="F42" s="46"/>
      <c r="G42" s="2165"/>
      <c r="H42" s="9"/>
      <c r="I42" s="9"/>
      <c r="J42" s="9"/>
      <c r="K42" s="9"/>
      <c r="L42" s="9"/>
      <c r="M42" s="9"/>
      <c r="N42" s="89"/>
      <c r="O42" s="9"/>
      <c r="P42" s="9"/>
      <c r="Q42" s="61"/>
    </row>
    <row r="43" spans="1:17" x14ac:dyDescent="0.2">
      <c r="A43" s="54">
        <f>ROUND(0,-2)</f>
        <v>0</v>
      </c>
      <c r="B43" s="9">
        <v>0</v>
      </c>
      <c r="C43" s="9">
        <v>0</v>
      </c>
      <c r="D43" s="9">
        <v>0</v>
      </c>
      <c r="E43" s="46" t="s">
        <v>2643</v>
      </c>
      <c r="F43" s="46"/>
      <c r="G43" s="2165">
        <v>0</v>
      </c>
      <c r="H43" s="9">
        <v>0</v>
      </c>
      <c r="I43" s="9">
        <v>0</v>
      </c>
      <c r="J43" s="9">
        <v>0</v>
      </c>
      <c r="K43" s="9">
        <v>0</v>
      </c>
      <c r="L43" s="9">
        <v>0</v>
      </c>
      <c r="M43" s="9">
        <v>0</v>
      </c>
      <c r="N43" s="89">
        <v>0</v>
      </c>
      <c r="O43" s="9">
        <v>0</v>
      </c>
      <c r="P43" s="9">
        <v>0</v>
      </c>
      <c r="Q43" s="61">
        <v>0</v>
      </c>
    </row>
    <row r="44" spans="1:17" x14ac:dyDescent="0.2">
      <c r="A44" s="54">
        <f>ROUND(IF((A70-A18)&gt;0,A70-A18,-(A18-A70)),-2)</f>
        <v>-1138200</v>
      </c>
      <c r="B44" s="9">
        <f>IF((B70-B18)&gt;0,B70-B18,-(B18-B70))</f>
        <v>-1385900</v>
      </c>
      <c r="C44" s="9">
        <f>IF((C70-C18)&gt;0,C70-C18,-(C18-C70))</f>
        <v>-1549900</v>
      </c>
      <c r="D44" s="9">
        <f>IF((D70-D18)&gt;0,D70-D18,-(D18-D70))</f>
        <v>-370000</v>
      </c>
      <c r="E44" s="46" t="s">
        <v>920</v>
      </c>
      <c r="F44" s="46"/>
      <c r="G44" s="2165">
        <f t="shared" ref="G44:O44" si="25">IF((G70-G18)&gt;0,G70-G18,-(G18-G70))</f>
        <v>1295000</v>
      </c>
      <c r="H44" s="9">
        <f t="shared" si="25"/>
        <v>2704000</v>
      </c>
      <c r="I44" s="9">
        <f t="shared" si="25"/>
        <v>2078000</v>
      </c>
      <c r="J44" s="9">
        <f t="shared" si="25"/>
        <v>-283000</v>
      </c>
      <c r="K44" s="9">
        <f t="shared" si="25"/>
        <v>-223000</v>
      </c>
      <c r="L44" s="9">
        <f t="shared" si="25"/>
        <v>267000</v>
      </c>
      <c r="M44" s="9">
        <f t="shared" si="25"/>
        <v>-111000</v>
      </c>
      <c r="N44" s="89">
        <f t="shared" si="25"/>
        <v>-62000</v>
      </c>
      <c r="O44" s="9">
        <f t="shared" si="25"/>
        <v>-15000</v>
      </c>
      <c r="P44" s="9">
        <f t="shared" ref="P44:Q44" si="26">IF((P70-P18)&gt;0,P70-P18,-(P18-P70))</f>
        <v>34000</v>
      </c>
      <c r="Q44" s="61">
        <f t="shared" si="26"/>
        <v>83000</v>
      </c>
    </row>
    <row r="45" spans="1:17" x14ac:dyDescent="0.2">
      <c r="A45" s="54">
        <f>ROUND(-'W&amp;W'!B381,-2)</f>
        <v>-104300</v>
      </c>
      <c r="B45" s="9">
        <f>-'W&amp;W'!C381</f>
        <v>-143000</v>
      </c>
      <c r="C45" s="9">
        <f>-'W&amp;W'!D381</f>
        <v>-160400</v>
      </c>
      <c r="D45" s="9">
        <f>-'W&amp;W'!E381</f>
        <v>-183300</v>
      </c>
      <c r="E45" s="46" t="s">
        <v>911</v>
      </c>
      <c r="F45" s="46"/>
      <c r="G45" s="2165">
        <f>-'W&amp;W'!H381</f>
        <v>-112600</v>
      </c>
      <c r="H45" s="9">
        <f>-'W&amp;W'!J381</f>
        <v>-117300</v>
      </c>
      <c r="I45" s="9">
        <f>-'W&amp;W'!K381</f>
        <v>-59100</v>
      </c>
      <c r="J45" s="9">
        <f>-'W&amp;W'!L381</f>
        <v>-13700</v>
      </c>
      <c r="K45" s="9">
        <f>-'W&amp;W'!M381</f>
        <v>-20300</v>
      </c>
      <c r="L45" s="9">
        <f>-'W&amp;W'!N381</f>
        <v>-25800</v>
      </c>
      <c r="M45" s="9">
        <f>-'W&amp;W'!O381</f>
        <v>-20400</v>
      </c>
      <c r="N45" s="89">
        <f>-'W&amp;W'!P381</f>
        <v>-23300</v>
      </c>
      <c r="O45" s="9">
        <f>-'W&amp;W'!Q381</f>
        <v>-25300</v>
      </c>
      <c r="P45" s="9">
        <f>-'W&amp;W'!R381</f>
        <v>-26200</v>
      </c>
      <c r="Q45" s="61">
        <f>-'W&amp;W'!S381</f>
        <v>-26000</v>
      </c>
    </row>
    <row r="46" spans="1:17" ht="13.5" thickBot="1" x14ac:dyDescent="0.25">
      <c r="A46" s="54"/>
      <c r="B46" s="9"/>
      <c r="C46" s="9"/>
      <c r="D46" s="9"/>
      <c r="E46" s="46"/>
      <c r="F46" s="46"/>
      <c r="G46" s="2165"/>
      <c r="H46" s="9"/>
      <c r="I46" s="9"/>
      <c r="J46" s="9"/>
      <c r="K46" s="9"/>
      <c r="L46" s="9"/>
      <c r="M46" s="9"/>
      <c r="N46" s="89"/>
      <c r="O46" s="9"/>
      <c r="P46" s="9"/>
      <c r="Q46" s="61"/>
    </row>
    <row r="47" spans="1:17" s="65" customFormat="1" ht="13.5" thickBot="1" x14ac:dyDescent="0.25">
      <c r="A47" s="199">
        <f>SUM(A20:A46)</f>
        <v>-8193600</v>
      </c>
      <c r="B47" s="202">
        <f>SUM(B20:B46)</f>
        <v>-4753300</v>
      </c>
      <c r="C47" s="202">
        <f>SUM(C20:C46)</f>
        <v>-2402700</v>
      </c>
      <c r="D47" s="202">
        <f>SUM(D20:D46)</f>
        <v>812000</v>
      </c>
      <c r="E47" s="200" t="s">
        <v>2276</v>
      </c>
      <c r="F47" s="201"/>
      <c r="G47" s="2182">
        <f t="shared" ref="G47:O47" si="27">SUM(G20:G46)</f>
        <v>-4868200</v>
      </c>
      <c r="H47" s="202">
        <f t="shared" si="27"/>
        <v>-1850400</v>
      </c>
      <c r="I47" s="202">
        <f t="shared" si="27"/>
        <v>476700</v>
      </c>
      <c r="J47" s="202">
        <f t="shared" si="27"/>
        <v>1794600</v>
      </c>
      <c r="K47" s="202">
        <f t="shared" si="27"/>
        <v>-259900</v>
      </c>
      <c r="L47" s="202">
        <f t="shared" si="27"/>
        <v>1113200</v>
      </c>
      <c r="M47" s="202">
        <f t="shared" si="27"/>
        <v>4495100</v>
      </c>
      <c r="N47" s="204">
        <f t="shared" si="27"/>
        <v>582800</v>
      </c>
      <c r="O47" s="202">
        <f t="shared" si="27"/>
        <v>5149700</v>
      </c>
      <c r="P47" s="202">
        <f t="shared" ref="P47:Q47" si="28">SUM(P20:P46)</f>
        <v>5664400</v>
      </c>
      <c r="Q47" s="203">
        <f t="shared" si="28"/>
        <v>7263100</v>
      </c>
    </row>
    <row r="48" spans="1:17" ht="13.5" thickTop="1" x14ac:dyDescent="0.2">
      <c r="A48" s="54"/>
      <c r="B48" s="9"/>
      <c r="C48" s="9"/>
      <c r="D48" s="9"/>
      <c r="E48" s="46"/>
      <c r="F48" s="46"/>
      <c r="G48" s="2165"/>
      <c r="H48" s="9"/>
      <c r="I48" s="9"/>
      <c r="J48" s="9"/>
      <c r="K48" s="9"/>
      <c r="L48" s="9"/>
      <c r="M48" s="9"/>
      <c r="N48" s="89"/>
      <c r="O48" s="9"/>
      <c r="P48" s="9"/>
      <c r="Q48" s="61"/>
    </row>
    <row r="49" spans="1:26" x14ac:dyDescent="0.2">
      <c r="A49" s="54"/>
      <c r="B49" s="9"/>
      <c r="C49" s="9"/>
      <c r="D49" s="9"/>
      <c r="E49" s="117" t="s">
        <v>2243</v>
      </c>
      <c r="F49" s="46"/>
      <c r="G49" s="2165"/>
      <c r="H49" s="9"/>
      <c r="I49" s="9"/>
      <c r="J49" s="9"/>
      <c r="K49" s="9"/>
      <c r="L49" s="9"/>
      <c r="M49" s="9"/>
      <c r="N49" s="89"/>
      <c r="O49" s="9"/>
      <c r="P49" s="9"/>
      <c r="Q49" s="61"/>
    </row>
    <row r="50" spans="1:26" x14ac:dyDescent="0.2">
      <c r="A50" s="54"/>
      <c r="B50" s="9"/>
      <c r="C50" s="9"/>
      <c r="D50" s="9"/>
      <c r="E50" s="117"/>
      <c r="F50" s="46"/>
      <c r="G50" s="2165"/>
      <c r="H50" s="9"/>
      <c r="I50" s="9"/>
      <c r="J50" s="9"/>
      <c r="K50" s="9"/>
      <c r="L50" s="9"/>
      <c r="M50" s="9"/>
      <c r="N50" s="89"/>
      <c r="O50" s="9"/>
      <c r="P50" s="9"/>
      <c r="Q50" s="61"/>
    </row>
    <row r="51" spans="1:26" x14ac:dyDescent="0.2">
      <c r="A51" s="54">
        <f>A47</f>
        <v>-8193600</v>
      </c>
      <c r="B51" s="9">
        <f>B47</f>
        <v>-4753300</v>
      </c>
      <c r="C51" s="9">
        <f>C47</f>
        <v>-2402700</v>
      </c>
      <c r="D51" s="9">
        <f>D47</f>
        <v>812000</v>
      </c>
      <c r="E51" s="98" t="str">
        <f>'Cash-W'!E51</f>
        <v>Refurbishment / Working Cap - Increase / (Decrease)</v>
      </c>
      <c r="F51" s="46"/>
      <c r="G51" s="2165">
        <f t="shared" ref="G51:M51" si="29">G47</f>
        <v>-4868200</v>
      </c>
      <c r="H51" s="9">
        <f t="shared" si="29"/>
        <v>-1850400</v>
      </c>
      <c r="I51" s="9">
        <f t="shared" si="29"/>
        <v>476700</v>
      </c>
      <c r="J51" s="9">
        <f t="shared" si="29"/>
        <v>1794600</v>
      </c>
      <c r="K51" s="9">
        <f t="shared" si="29"/>
        <v>-259900</v>
      </c>
      <c r="L51" s="9">
        <f t="shared" si="29"/>
        <v>1113200</v>
      </c>
      <c r="M51" s="9">
        <f t="shared" si="29"/>
        <v>4495100</v>
      </c>
      <c r="N51" s="89">
        <f t="shared" ref="N51:O51" si="30">N47</f>
        <v>582800</v>
      </c>
      <c r="O51" s="9">
        <f t="shared" si="30"/>
        <v>5149700</v>
      </c>
      <c r="P51" s="9">
        <f t="shared" ref="P51:Q51" si="31">P47</f>
        <v>5664400</v>
      </c>
      <c r="Q51" s="61">
        <f t="shared" si="31"/>
        <v>7263100</v>
      </c>
    </row>
    <row r="52" spans="1:26" ht="13.5" thickBot="1" x14ac:dyDescent="0.25">
      <c r="A52" s="118"/>
      <c r="B52" s="23"/>
      <c r="C52" s="23"/>
      <c r="D52" s="23"/>
      <c r="E52" s="120"/>
      <c r="F52" s="121"/>
      <c r="G52" s="2167"/>
      <c r="H52" s="23"/>
      <c r="I52" s="23"/>
      <c r="J52" s="23"/>
      <c r="K52" s="23"/>
      <c r="L52" s="23"/>
      <c r="M52" s="23"/>
      <c r="N52" s="113"/>
      <c r="O52" s="23"/>
      <c r="P52" s="23"/>
      <c r="Q52" s="112"/>
    </row>
    <row r="53" spans="1:26" ht="14.25" thickTop="1" thickBot="1" x14ac:dyDescent="0.25">
      <c r="A53" s="46"/>
      <c r="B53" s="46"/>
      <c r="C53" s="70"/>
      <c r="D53" s="46"/>
      <c r="E53" s="46"/>
      <c r="G53" s="2168"/>
      <c r="H53" s="46"/>
      <c r="I53" s="46"/>
      <c r="J53" s="46"/>
      <c r="K53" s="46"/>
      <c r="L53" s="46"/>
      <c r="M53" s="46"/>
      <c r="N53" s="46"/>
      <c r="O53" s="46"/>
      <c r="P53" s="46"/>
      <c r="Q53" s="46"/>
    </row>
    <row r="54" spans="1:26" ht="18.75" customHeight="1" thickBot="1" x14ac:dyDescent="0.25">
      <c r="A54" s="2667" t="s">
        <v>4558</v>
      </c>
      <c r="B54" s="2668"/>
      <c r="C54" s="2668"/>
      <c r="D54" s="2668"/>
      <c r="E54" s="2668"/>
      <c r="F54" s="2668"/>
      <c r="G54" s="2668"/>
      <c r="H54" s="2668"/>
      <c r="I54" s="2668"/>
      <c r="J54" s="2668"/>
      <c r="K54" s="2668"/>
      <c r="L54" s="2668"/>
      <c r="M54" s="2668"/>
      <c r="N54" s="2668"/>
      <c r="O54" s="2668"/>
      <c r="P54" s="2668"/>
      <c r="Q54" s="2669"/>
    </row>
    <row r="55" spans="1:26" s="39" customFormat="1" x14ac:dyDescent="0.2">
      <c r="A55" s="2620" t="s">
        <v>1824</v>
      </c>
      <c r="B55" s="2621"/>
      <c r="C55" s="2621"/>
      <c r="D55" s="2622"/>
      <c r="E55" s="1444" t="s">
        <v>2213</v>
      </c>
      <c r="F55" s="139"/>
      <c r="G55" s="2617" t="s">
        <v>2215</v>
      </c>
      <c r="H55" s="2618"/>
      <c r="I55" s="2618"/>
      <c r="J55" s="2618"/>
      <c r="K55" s="2618"/>
      <c r="L55" s="2618"/>
      <c r="M55" s="2618"/>
      <c r="N55" s="2618"/>
      <c r="O55" s="2618"/>
      <c r="P55" s="2618"/>
      <c r="Q55" s="2678"/>
    </row>
    <row r="56" spans="1:26" ht="13.5" thickBot="1" x14ac:dyDescent="0.25">
      <c r="A56" s="1526" t="str">
        <f>A3</f>
        <v>2013/14</v>
      </c>
      <c r="B56" s="40" t="str">
        <f>B3</f>
        <v>2014/15</v>
      </c>
      <c r="C56" s="44" t="str">
        <f>C3</f>
        <v>2015/16</v>
      </c>
      <c r="D56" s="44" t="str">
        <f t="shared" ref="D56" si="32">D3</f>
        <v>2016/17</v>
      </c>
      <c r="E56" s="131"/>
      <c r="F56" s="41"/>
      <c r="G56" s="2170" t="str">
        <f t="shared" ref="G56:O56" si="33">G3</f>
        <v>2017/18</v>
      </c>
      <c r="H56" s="44" t="str">
        <f t="shared" si="33"/>
        <v>2018/19</v>
      </c>
      <c r="I56" s="44" t="str">
        <f t="shared" si="33"/>
        <v>2019/20</v>
      </c>
      <c r="J56" s="44" t="str">
        <f t="shared" si="33"/>
        <v>2020/21</v>
      </c>
      <c r="K56" s="44" t="str">
        <f t="shared" si="33"/>
        <v>2021/22</v>
      </c>
      <c r="L56" s="44" t="str">
        <f t="shared" si="33"/>
        <v>2022/23</v>
      </c>
      <c r="M56" s="44" t="str">
        <f t="shared" si="33"/>
        <v>2023/24</v>
      </c>
      <c r="N56" s="94" t="str">
        <f t="shared" si="33"/>
        <v>2024/25</v>
      </c>
      <c r="O56" s="94" t="str">
        <f t="shared" si="33"/>
        <v>2025/26</v>
      </c>
      <c r="P56" s="94" t="str">
        <f t="shared" ref="P56:Q56" si="34">P3</f>
        <v>2026/27</v>
      </c>
      <c r="Q56" s="95" t="str">
        <f t="shared" si="34"/>
        <v>2027/28</v>
      </c>
    </row>
    <row r="57" spans="1:26" x14ac:dyDescent="0.2">
      <c r="A57" s="54"/>
      <c r="B57" s="9"/>
      <c r="C57" s="116"/>
      <c r="D57" s="9"/>
      <c r="E57" s="46"/>
      <c r="F57" s="31"/>
      <c r="G57" s="2165"/>
      <c r="H57" s="9"/>
      <c r="I57" s="9"/>
      <c r="J57" s="9"/>
      <c r="K57" s="9"/>
      <c r="L57" s="9"/>
      <c r="M57" s="9"/>
      <c r="N57" s="9"/>
      <c r="O57" s="9"/>
      <c r="P57" s="9"/>
      <c r="Q57" s="61"/>
    </row>
    <row r="58" spans="1:26" x14ac:dyDescent="0.2">
      <c r="A58" s="54">
        <v>0</v>
      </c>
      <c r="B58" s="9">
        <v>0</v>
      </c>
      <c r="C58" s="9">
        <f>'Cap-WW'!S142</f>
        <v>0</v>
      </c>
      <c r="D58" s="9">
        <v>27000</v>
      </c>
      <c r="E58" s="46"/>
      <c r="F58" s="31"/>
      <c r="G58" s="2165"/>
      <c r="H58" s="9"/>
      <c r="I58" s="9"/>
      <c r="J58" s="9"/>
      <c r="K58" s="9"/>
      <c r="L58" s="9"/>
      <c r="M58" s="9"/>
      <c r="N58" s="9"/>
      <c r="O58" s="9"/>
      <c r="P58" s="9"/>
      <c r="Q58" s="61"/>
    </row>
    <row r="59" spans="1:26" ht="13.5" thickBot="1" x14ac:dyDescent="0.25">
      <c r="A59" s="54"/>
      <c r="B59" s="9"/>
      <c r="C59" s="9"/>
      <c r="D59" s="9"/>
      <c r="E59" s="46"/>
      <c r="F59" s="55"/>
      <c r="G59" s="2165"/>
      <c r="H59" s="9"/>
      <c r="I59" s="9"/>
      <c r="J59" s="9"/>
      <c r="K59" s="9"/>
      <c r="L59" s="9"/>
      <c r="M59" s="9"/>
      <c r="N59" s="9"/>
      <c r="O59" s="9"/>
      <c r="P59" s="9"/>
      <c r="Q59" s="61"/>
    </row>
    <row r="60" spans="1:26" s="39" customFormat="1" x14ac:dyDescent="0.2">
      <c r="A60" s="52">
        <f>SUM(A58:A59)</f>
        <v>0</v>
      </c>
      <c r="B60" s="16">
        <f>SUM(B58:B59)</f>
        <v>0</v>
      </c>
      <c r="C60" s="16">
        <f>SUM(C58:C59)</f>
        <v>0</v>
      </c>
      <c r="D60" s="16">
        <f>SUM(D58:D59)</f>
        <v>27000</v>
      </c>
      <c r="E60" s="27"/>
      <c r="F60" s="59" t="s">
        <v>2411</v>
      </c>
      <c r="G60" s="2166">
        <f t="shared" ref="G60:M60" si="35">SUM(G59:G59)</f>
        <v>0</v>
      </c>
      <c r="H60" s="16">
        <f t="shared" si="35"/>
        <v>0</v>
      </c>
      <c r="I60" s="16">
        <f t="shared" si="35"/>
        <v>0</v>
      </c>
      <c r="J60" s="16">
        <f t="shared" si="35"/>
        <v>0</v>
      </c>
      <c r="K60" s="16">
        <f t="shared" si="35"/>
        <v>0</v>
      </c>
      <c r="L60" s="16">
        <f t="shared" si="35"/>
        <v>0</v>
      </c>
      <c r="M60" s="16">
        <f t="shared" si="35"/>
        <v>0</v>
      </c>
      <c r="N60" s="16">
        <f t="shared" ref="N60:O60" si="36">SUM(N59:N59)</f>
        <v>0</v>
      </c>
      <c r="O60" s="16">
        <f t="shared" si="36"/>
        <v>0</v>
      </c>
      <c r="P60" s="16">
        <f t="shared" ref="P60:Q60" si="37">SUM(P59:P59)</f>
        <v>0</v>
      </c>
      <c r="Q60" s="60">
        <f t="shared" si="37"/>
        <v>0</v>
      </c>
      <c r="R60" s="34"/>
      <c r="S60" s="34"/>
      <c r="T60" s="34"/>
      <c r="U60" s="34"/>
      <c r="V60" s="34"/>
      <c r="W60" s="34"/>
      <c r="X60" s="34"/>
      <c r="Y60" s="34"/>
      <c r="Z60" s="34"/>
    </row>
    <row r="61" spans="1:26" ht="13.5" thickBot="1" x14ac:dyDescent="0.25">
      <c r="A61" s="118"/>
      <c r="B61" s="23"/>
      <c r="C61" s="23"/>
      <c r="D61" s="23"/>
      <c r="E61" s="121"/>
      <c r="F61" s="120"/>
      <c r="G61" s="2167"/>
      <c r="H61" s="23"/>
      <c r="I61" s="23"/>
      <c r="J61" s="23"/>
      <c r="K61" s="23"/>
      <c r="L61" s="23"/>
      <c r="M61" s="23"/>
      <c r="N61" s="23"/>
      <c r="O61" s="23"/>
      <c r="P61" s="23"/>
      <c r="Q61" s="112"/>
    </row>
    <row r="62" spans="1:26" ht="14.25" thickTop="1" thickBot="1" x14ac:dyDescent="0.25">
      <c r="A62" s="46"/>
      <c r="B62" s="46"/>
      <c r="C62" s="70"/>
      <c r="D62" s="46"/>
      <c r="E62" s="46"/>
      <c r="G62" s="2168"/>
      <c r="H62" s="46"/>
      <c r="I62" s="46"/>
      <c r="J62" s="46"/>
      <c r="K62" s="46"/>
      <c r="L62" s="46"/>
      <c r="M62" s="46"/>
      <c r="N62" s="46"/>
      <c r="O62" s="46"/>
      <c r="P62" s="46"/>
      <c r="Q62" s="46"/>
    </row>
    <row r="63" spans="1:26" ht="18.75" customHeight="1" thickBot="1" x14ac:dyDescent="0.25">
      <c r="A63" s="2667" t="s">
        <v>4558</v>
      </c>
      <c r="B63" s="2668"/>
      <c r="C63" s="2668"/>
      <c r="D63" s="2668"/>
      <c r="E63" s="2668"/>
      <c r="F63" s="2668"/>
      <c r="G63" s="2668"/>
      <c r="H63" s="2668"/>
      <c r="I63" s="2668"/>
      <c r="J63" s="2668"/>
      <c r="K63" s="2668"/>
      <c r="L63" s="2668"/>
      <c r="M63" s="2668"/>
      <c r="N63" s="2668"/>
      <c r="O63" s="2668"/>
      <c r="P63" s="2668"/>
      <c r="Q63" s="2669"/>
    </row>
    <row r="64" spans="1:26" s="39" customFormat="1" x14ac:dyDescent="0.2">
      <c r="A64" s="2598" t="s">
        <v>1824</v>
      </c>
      <c r="B64" s="2599"/>
      <c r="C64" s="2599"/>
      <c r="D64" s="2600"/>
      <c r="E64" s="1443" t="s">
        <v>2213</v>
      </c>
      <c r="F64" s="137"/>
      <c r="G64" s="2693" t="s">
        <v>2215</v>
      </c>
      <c r="H64" s="2694"/>
      <c r="I64" s="2694"/>
      <c r="J64" s="2694"/>
      <c r="K64" s="2694"/>
      <c r="L64" s="2694"/>
      <c r="M64" s="2694"/>
      <c r="N64" s="2694"/>
      <c r="O64" s="2694"/>
      <c r="P64" s="2694"/>
      <c r="Q64" s="2695"/>
    </row>
    <row r="65" spans="1:26" ht="13.5" thickBot="1" x14ac:dyDescent="0.25">
      <c r="A65" s="541" t="str">
        <f>A$3</f>
        <v>2013/14</v>
      </c>
      <c r="B65" s="28" t="str">
        <f>$B$3</f>
        <v>2014/15</v>
      </c>
      <c r="C65" s="94" t="str">
        <f>$C$3</f>
        <v>2015/16</v>
      </c>
      <c r="D65" s="94" t="str">
        <f>+D56</f>
        <v>2016/17</v>
      </c>
      <c r="E65" s="205"/>
      <c r="F65" s="41"/>
      <c r="G65" s="2179" t="str">
        <f>$G$3</f>
        <v>2017/18</v>
      </c>
      <c r="H65" s="94" t="str">
        <f>$H$3</f>
        <v>2018/19</v>
      </c>
      <c r="I65" s="94" t="str">
        <f>$I$3</f>
        <v>2019/20</v>
      </c>
      <c r="J65" s="94" t="str">
        <f>$J$3</f>
        <v>2020/21</v>
      </c>
      <c r="K65" s="94" t="str">
        <f t="shared" ref="K65:Q65" si="38">K$3</f>
        <v>2021/22</v>
      </c>
      <c r="L65" s="94" t="str">
        <f t="shared" si="38"/>
        <v>2022/23</v>
      </c>
      <c r="M65" s="94" t="str">
        <f t="shared" si="38"/>
        <v>2023/24</v>
      </c>
      <c r="N65" s="94" t="str">
        <f t="shared" si="38"/>
        <v>2024/25</v>
      </c>
      <c r="O65" s="94" t="str">
        <f t="shared" si="38"/>
        <v>2025/26</v>
      </c>
      <c r="P65" s="94" t="str">
        <f t="shared" si="38"/>
        <v>2026/27</v>
      </c>
      <c r="Q65" s="95" t="str">
        <f t="shared" si="38"/>
        <v>2027/28</v>
      </c>
    </row>
    <row r="66" spans="1:26" x14ac:dyDescent="0.2">
      <c r="A66" s="54"/>
      <c r="B66" s="9"/>
      <c r="C66" s="9"/>
      <c r="D66" s="116"/>
      <c r="E66" s="46"/>
      <c r="F66" s="46"/>
      <c r="G66" s="2165"/>
      <c r="H66" s="9"/>
      <c r="I66" s="9"/>
      <c r="J66" s="9"/>
      <c r="K66" s="9"/>
      <c r="L66" s="9"/>
      <c r="M66" s="9"/>
      <c r="N66" s="9"/>
      <c r="O66" s="9"/>
      <c r="P66" s="9"/>
      <c r="Q66" s="61"/>
    </row>
    <row r="67" spans="1:26" x14ac:dyDescent="0.2">
      <c r="A67" s="54">
        <v>213700</v>
      </c>
      <c r="B67" s="9">
        <v>0</v>
      </c>
      <c r="C67" s="9">
        <f>'Cap-WW'!T142</f>
        <v>174600</v>
      </c>
      <c r="D67" s="9">
        <f>'Cap-WW'!X142</f>
        <v>366500</v>
      </c>
      <c r="E67" s="31" t="s">
        <v>6704</v>
      </c>
      <c r="F67" s="31"/>
      <c r="G67" s="2165">
        <f>'Cap-WW'!AB142</f>
        <v>1147000</v>
      </c>
      <c r="H67" s="9">
        <f>'Cap-WW'!AF142</f>
        <v>1000000</v>
      </c>
      <c r="I67" s="9">
        <f>'Cap-WW'!AJ142</f>
        <v>268000</v>
      </c>
      <c r="J67" s="9">
        <f>'Cap-WW'!AN142</f>
        <v>0</v>
      </c>
      <c r="K67" s="9">
        <f>'Cap-WW'!AR142</f>
        <v>0</v>
      </c>
      <c r="L67" s="9">
        <f>'Cap-WW'!AV142</f>
        <v>435000</v>
      </c>
      <c r="M67" s="9">
        <f>'Cap-WW'!AZ142</f>
        <v>0</v>
      </c>
      <c r="N67" s="9">
        <f>'Cap-WW'!BD142</f>
        <v>0</v>
      </c>
      <c r="O67" s="9">
        <f>'Cap-WW'!BH142</f>
        <v>0</v>
      </c>
      <c r="P67" s="9">
        <f>'Cap-WW'!BL142</f>
        <v>0</v>
      </c>
      <c r="Q67" s="61">
        <f>'Cap-WW'!BM142</f>
        <v>0</v>
      </c>
    </row>
    <row r="68" spans="1:26" x14ac:dyDescent="0.2">
      <c r="A68" s="54">
        <v>0</v>
      </c>
      <c r="B68" s="9">
        <v>0</v>
      </c>
      <c r="C68" s="9">
        <v>0</v>
      </c>
      <c r="D68" s="9">
        <v>0</v>
      </c>
      <c r="E68" s="31" t="s">
        <v>6705</v>
      </c>
      <c r="F68" s="31"/>
      <c r="G68" s="2165">
        <f>ROUND(-G40/2,-3)</f>
        <v>1548000</v>
      </c>
      <c r="H68" s="9">
        <f>ROUND(-H40,-3)</f>
        <v>3134000</v>
      </c>
      <c r="I68" s="9">
        <f>ROUND(-I40,-3)</f>
        <v>3280000</v>
      </c>
      <c r="J68" s="9">
        <f t="shared" ref="J68:O68" si="39">ROUND(-J40/2,-3)</f>
        <v>1227000</v>
      </c>
      <c r="K68" s="9">
        <f t="shared" si="39"/>
        <v>1327000</v>
      </c>
      <c r="L68" s="9">
        <f t="shared" si="39"/>
        <v>1422000</v>
      </c>
      <c r="M68" s="9">
        <f t="shared" si="39"/>
        <v>1519000</v>
      </c>
      <c r="N68" s="9">
        <f t="shared" si="39"/>
        <v>1618000</v>
      </c>
      <c r="O68" s="9">
        <f t="shared" si="39"/>
        <v>1715000</v>
      </c>
      <c r="P68" s="9">
        <f t="shared" ref="P68:Q68" si="40">ROUND(-P40/2,-3)</f>
        <v>1814000</v>
      </c>
      <c r="Q68" s="61">
        <f t="shared" si="40"/>
        <v>1913000</v>
      </c>
    </row>
    <row r="69" spans="1:26" ht="13.5" thickBot="1" x14ac:dyDescent="0.25">
      <c r="A69" s="54"/>
      <c r="B69" s="9"/>
      <c r="C69" s="9"/>
      <c r="D69" s="9"/>
      <c r="E69" s="46"/>
      <c r="F69" s="55"/>
      <c r="G69" s="2165"/>
      <c r="H69" s="9"/>
      <c r="I69" s="9"/>
      <c r="J69" s="9"/>
      <c r="K69" s="9"/>
      <c r="L69" s="9"/>
      <c r="M69" s="9"/>
      <c r="N69" s="9"/>
      <c r="O69" s="9"/>
      <c r="P69" s="9"/>
      <c r="Q69" s="61"/>
    </row>
    <row r="70" spans="1:26" s="39" customFormat="1" x14ac:dyDescent="0.2">
      <c r="A70" s="52">
        <f>SUM(A67:A69)</f>
        <v>213700</v>
      </c>
      <c r="B70" s="16">
        <f>SUM(B67:B69)</f>
        <v>0</v>
      </c>
      <c r="C70" s="16">
        <f>SUM(C67:C69)</f>
        <v>174600</v>
      </c>
      <c r="D70" s="16">
        <f>SUM(D67:D69)</f>
        <v>366500</v>
      </c>
      <c r="E70" s="27"/>
      <c r="F70" s="59" t="s">
        <v>2411</v>
      </c>
      <c r="G70" s="2166">
        <f t="shared" ref="G70:N70" si="41">SUM(G67:G69)</f>
        <v>2695000</v>
      </c>
      <c r="H70" s="16">
        <f t="shared" si="41"/>
        <v>4134000</v>
      </c>
      <c r="I70" s="16">
        <f t="shared" si="41"/>
        <v>3548000</v>
      </c>
      <c r="J70" s="16">
        <f t="shared" si="41"/>
        <v>1227000</v>
      </c>
      <c r="K70" s="16">
        <f t="shared" si="41"/>
        <v>1327000</v>
      </c>
      <c r="L70" s="16">
        <f t="shared" si="41"/>
        <v>1857000</v>
      </c>
      <c r="M70" s="16">
        <f t="shared" si="41"/>
        <v>1519000</v>
      </c>
      <c r="N70" s="16">
        <f t="shared" si="41"/>
        <v>1618000</v>
      </c>
      <c r="O70" s="16">
        <f t="shared" ref="O70:P70" si="42">SUM(O67:O69)</f>
        <v>1715000</v>
      </c>
      <c r="P70" s="16">
        <f t="shared" si="42"/>
        <v>1814000</v>
      </c>
      <c r="Q70" s="60">
        <f t="shared" ref="Q70" si="43">SUM(Q67:Q69)</f>
        <v>1913000</v>
      </c>
      <c r="R70" s="34"/>
      <c r="S70" s="34"/>
      <c r="T70" s="34"/>
      <c r="U70" s="34"/>
      <c r="V70" s="34"/>
      <c r="W70" s="34"/>
      <c r="X70" s="34"/>
      <c r="Y70" s="34"/>
      <c r="Z70" s="34"/>
    </row>
    <row r="71" spans="1:26" ht="13.5" thickBot="1" x14ac:dyDescent="0.25">
      <c r="A71" s="118"/>
      <c r="B71" s="23"/>
      <c r="C71" s="23"/>
      <c r="D71" s="23"/>
      <c r="E71" s="121"/>
      <c r="F71" s="120"/>
      <c r="G71" s="2167"/>
      <c r="H71" s="23"/>
      <c r="I71" s="23"/>
      <c r="J71" s="23"/>
      <c r="K71" s="23"/>
      <c r="L71" s="23"/>
      <c r="M71" s="23"/>
      <c r="N71" s="23"/>
      <c r="O71" s="23"/>
      <c r="P71" s="23"/>
      <c r="Q71" s="112"/>
    </row>
    <row r="72" spans="1:26" ht="14.25" thickTop="1" thickBot="1" x14ac:dyDescent="0.25">
      <c r="A72" s="46"/>
      <c r="B72" s="46"/>
      <c r="C72" s="70"/>
      <c r="D72" s="46"/>
      <c r="E72" s="46"/>
      <c r="F72" s="27"/>
      <c r="G72" s="2168"/>
      <c r="H72" s="46"/>
      <c r="I72" s="46"/>
      <c r="J72" s="46"/>
      <c r="K72" s="46"/>
      <c r="L72" s="46"/>
      <c r="M72" s="46"/>
      <c r="N72" s="46"/>
      <c r="O72" s="46"/>
      <c r="P72" s="46"/>
      <c r="Q72" s="46"/>
      <c r="R72" s="46"/>
    </row>
    <row r="73" spans="1:26" ht="18.75" customHeight="1" thickBot="1" x14ac:dyDescent="0.25">
      <c r="A73" s="2667" t="s">
        <v>4558</v>
      </c>
      <c r="B73" s="2668"/>
      <c r="C73" s="2668"/>
      <c r="D73" s="2668"/>
      <c r="E73" s="2668"/>
      <c r="F73" s="2668"/>
      <c r="G73" s="2668"/>
      <c r="H73" s="2668"/>
      <c r="I73" s="2668"/>
      <c r="J73" s="2668"/>
      <c r="K73" s="2668"/>
      <c r="L73" s="2668"/>
      <c r="M73" s="2668"/>
      <c r="N73" s="2668"/>
      <c r="O73" s="2668"/>
      <c r="P73" s="2668"/>
      <c r="Q73" s="2669"/>
    </row>
    <row r="74" spans="1:26" s="39" customFormat="1" x14ac:dyDescent="0.2">
      <c r="A74" s="2598" t="s">
        <v>1824</v>
      </c>
      <c r="B74" s="2599"/>
      <c r="C74" s="2599"/>
      <c r="D74" s="2600"/>
      <c r="E74" s="1443" t="s">
        <v>2213</v>
      </c>
      <c r="F74" s="137"/>
      <c r="G74" s="2693" t="s">
        <v>2215</v>
      </c>
      <c r="H74" s="2694"/>
      <c r="I74" s="2694"/>
      <c r="J74" s="2694"/>
      <c r="K74" s="2694"/>
      <c r="L74" s="2694"/>
      <c r="M74" s="2694"/>
      <c r="N74" s="2694"/>
      <c r="O74" s="2694"/>
      <c r="P74" s="2694"/>
      <c r="Q74" s="2695"/>
    </row>
    <row r="75" spans="1:26" ht="13.5" thickBot="1" x14ac:dyDescent="0.25">
      <c r="A75" s="541" t="str">
        <f>A$3</f>
        <v>2013/14</v>
      </c>
      <c r="B75" s="28" t="str">
        <f>$B$3</f>
        <v>2014/15</v>
      </c>
      <c r="C75" s="94" t="str">
        <f>$C$3</f>
        <v>2015/16</v>
      </c>
      <c r="D75" s="94" t="str">
        <f>+D65</f>
        <v>2016/17</v>
      </c>
      <c r="E75" s="205"/>
      <c r="F75" s="41"/>
      <c r="G75" s="2179" t="str">
        <f>$G$3</f>
        <v>2017/18</v>
      </c>
      <c r="H75" s="94" t="str">
        <f>$H$3</f>
        <v>2018/19</v>
      </c>
      <c r="I75" s="94" t="str">
        <f>$I$3</f>
        <v>2019/20</v>
      </c>
      <c r="J75" s="94" t="str">
        <f>$J$3</f>
        <v>2020/21</v>
      </c>
      <c r="K75" s="94" t="str">
        <f t="shared" ref="K75:Q75" si="44">K$3</f>
        <v>2021/22</v>
      </c>
      <c r="L75" s="94" t="str">
        <f t="shared" si="44"/>
        <v>2022/23</v>
      </c>
      <c r="M75" s="94" t="str">
        <f t="shared" si="44"/>
        <v>2023/24</v>
      </c>
      <c r="N75" s="94" t="str">
        <f t="shared" si="44"/>
        <v>2024/25</v>
      </c>
      <c r="O75" s="94" t="str">
        <f t="shared" si="44"/>
        <v>2025/26</v>
      </c>
      <c r="P75" s="94" t="str">
        <f t="shared" si="44"/>
        <v>2026/27</v>
      </c>
      <c r="Q75" s="95" t="str">
        <f t="shared" si="44"/>
        <v>2027/28</v>
      </c>
    </row>
    <row r="76" spans="1:26" x14ac:dyDescent="0.2">
      <c r="A76" s="54"/>
      <c r="B76" s="9"/>
      <c r="C76" s="116"/>
      <c r="D76" s="9"/>
      <c r="E76" s="46"/>
      <c r="F76" s="206"/>
      <c r="G76" s="2165"/>
      <c r="H76" s="9"/>
      <c r="I76" s="9"/>
      <c r="J76" s="9"/>
      <c r="K76" s="9"/>
      <c r="L76" s="9"/>
      <c r="M76" s="9"/>
      <c r="N76" s="9"/>
      <c r="O76" s="9"/>
      <c r="P76" s="9"/>
      <c r="Q76" s="61"/>
    </row>
    <row r="77" spans="1:26" x14ac:dyDescent="0.2">
      <c r="A77" s="54">
        <v>690000</v>
      </c>
      <c r="B77" s="9">
        <v>0</v>
      </c>
      <c r="C77" s="9">
        <f>C36</f>
        <v>0</v>
      </c>
      <c r="D77" s="9">
        <f>D36</f>
        <v>2092700</v>
      </c>
      <c r="E77" s="46" t="s">
        <v>169</v>
      </c>
      <c r="F77" s="31"/>
      <c r="G77" s="2165"/>
      <c r="H77" s="9"/>
      <c r="I77" s="9"/>
      <c r="J77" s="9"/>
      <c r="K77" s="9"/>
      <c r="L77" s="9"/>
      <c r="M77" s="9"/>
      <c r="N77" s="9"/>
      <c r="O77" s="9"/>
      <c r="P77" s="9"/>
      <c r="Q77" s="61"/>
    </row>
    <row r="78" spans="1:26" ht="13.5" thickBot="1" x14ac:dyDescent="0.25">
      <c r="A78" s="54"/>
      <c r="B78" s="9"/>
      <c r="C78" s="68"/>
      <c r="D78" s="68"/>
      <c r="E78" s="46"/>
      <c r="F78" s="55"/>
      <c r="G78" s="2165"/>
      <c r="H78" s="9"/>
      <c r="I78" s="9"/>
      <c r="J78" s="9"/>
      <c r="K78" s="9"/>
      <c r="L78" s="9"/>
      <c r="M78" s="9"/>
      <c r="N78" s="9"/>
      <c r="O78" s="9"/>
      <c r="P78" s="9"/>
      <c r="Q78" s="61"/>
    </row>
    <row r="79" spans="1:26" s="39" customFormat="1" x14ac:dyDescent="0.2">
      <c r="A79" s="52">
        <f>SUM(A77:A77)</f>
        <v>690000</v>
      </c>
      <c r="B79" s="16">
        <f>SUM(B77:B77)</f>
        <v>0</v>
      </c>
      <c r="C79" s="16">
        <f>SUM(C77:C77)</f>
        <v>0</v>
      </c>
      <c r="D79" s="16">
        <f>SUM(D77:D77)</f>
        <v>2092700</v>
      </c>
      <c r="E79" s="27"/>
      <c r="F79" s="59" t="s">
        <v>2411</v>
      </c>
      <c r="G79" s="2166">
        <f t="shared" ref="G79:N79" si="45">SUM(G77:G77)</f>
        <v>0</v>
      </c>
      <c r="H79" s="16">
        <f t="shared" si="45"/>
        <v>0</v>
      </c>
      <c r="I79" s="16">
        <f t="shared" si="45"/>
        <v>0</v>
      </c>
      <c r="J79" s="16">
        <f t="shared" si="45"/>
        <v>0</v>
      </c>
      <c r="K79" s="16">
        <f t="shared" si="45"/>
        <v>0</v>
      </c>
      <c r="L79" s="16">
        <f t="shared" si="45"/>
        <v>0</v>
      </c>
      <c r="M79" s="16">
        <f t="shared" si="45"/>
        <v>0</v>
      </c>
      <c r="N79" s="16">
        <f t="shared" si="45"/>
        <v>0</v>
      </c>
      <c r="O79" s="16">
        <f t="shared" ref="O79:P79" si="46">SUM(O77:O77)</f>
        <v>0</v>
      </c>
      <c r="P79" s="16">
        <f t="shared" si="46"/>
        <v>0</v>
      </c>
      <c r="Q79" s="60">
        <f t="shared" ref="Q79" si="47">SUM(Q77:Q77)</f>
        <v>0</v>
      </c>
      <c r="R79" s="34"/>
      <c r="S79" s="34"/>
      <c r="T79" s="34"/>
      <c r="U79" s="34"/>
      <c r="V79" s="34"/>
      <c r="W79" s="34"/>
      <c r="X79" s="34"/>
      <c r="Y79" s="34"/>
      <c r="Z79" s="34"/>
    </row>
    <row r="80" spans="1:26" ht="13.5" thickBot="1" x14ac:dyDescent="0.25">
      <c r="A80" s="118"/>
      <c r="B80" s="23"/>
      <c r="C80" s="23"/>
      <c r="D80" s="23"/>
      <c r="E80" s="121"/>
      <c r="F80" s="120"/>
      <c r="G80" s="2167"/>
      <c r="H80" s="23"/>
      <c r="I80" s="23"/>
      <c r="J80" s="23"/>
      <c r="K80" s="23"/>
      <c r="L80" s="23"/>
      <c r="M80" s="23"/>
      <c r="N80" s="23"/>
      <c r="O80" s="23"/>
      <c r="P80" s="23"/>
      <c r="Q80" s="112"/>
    </row>
    <row r="81" spans="1:26" ht="14.25" thickTop="1" thickBot="1" x14ac:dyDescent="0.25">
      <c r="A81" s="46"/>
      <c r="B81" s="46"/>
      <c r="C81" s="70"/>
      <c r="D81" s="46"/>
      <c r="E81" s="46"/>
      <c r="F81" s="27"/>
      <c r="G81" s="2168"/>
      <c r="H81" s="46"/>
      <c r="I81" s="46"/>
      <c r="J81" s="46"/>
      <c r="K81" s="46"/>
      <c r="L81" s="46"/>
      <c r="M81" s="46"/>
      <c r="N81" s="46"/>
      <c r="O81" s="46"/>
      <c r="P81" s="46"/>
      <c r="Q81" s="46"/>
      <c r="R81" s="46"/>
      <c r="S81" s="46"/>
    </row>
    <row r="82" spans="1:26" ht="18.75" customHeight="1" thickBot="1" x14ac:dyDescent="0.25">
      <c r="A82" s="2667" t="s">
        <v>4558</v>
      </c>
      <c r="B82" s="2668"/>
      <c r="C82" s="2668"/>
      <c r="D82" s="2668"/>
      <c r="E82" s="2668"/>
      <c r="F82" s="2668"/>
      <c r="G82" s="2668"/>
      <c r="H82" s="2668"/>
      <c r="I82" s="2668"/>
      <c r="J82" s="2668"/>
      <c r="K82" s="2668"/>
      <c r="L82" s="2668"/>
      <c r="M82" s="2668"/>
      <c r="N82" s="2668"/>
      <c r="O82" s="2668"/>
      <c r="P82" s="2668"/>
      <c r="Q82" s="2669"/>
    </row>
    <row r="83" spans="1:26" s="39" customFormat="1" x14ac:dyDescent="0.2">
      <c r="A83" s="2598" t="s">
        <v>1824</v>
      </c>
      <c r="B83" s="2599"/>
      <c r="C83" s="2599"/>
      <c r="D83" s="2600"/>
      <c r="E83" s="1443" t="s">
        <v>2213</v>
      </c>
      <c r="F83" s="137"/>
      <c r="G83" s="2693" t="s">
        <v>2215</v>
      </c>
      <c r="H83" s="2694"/>
      <c r="I83" s="2694"/>
      <c r="J83" s="2694"/>
      <c r="K83" s="2694"/>
      <c r="L83" s="2694"/>
      <c r="M83" s="2694"/>
      <c r="N83" s="2694"/>
      <c r="O83" s="2694"/>
      <c r="P83" s="2694"/>
      <c r="Q83" s="2695"/>
    </row>
    <row r="84" spans="1:26" ht="13.5" thickBot="1" x14ac:dyDescent="0.25">
      <c r="A84" s="541" t="str">
        <f>A$3</f>
        <v>2013/14</v>
      </c>
      <c r="B84" s="28" t="str">
        <f>$B$3</f>
        <v>2014/15</v>
      </c>
      <c r="C84" s="94" t="str">
        <f>$C$3</f>
        <v>2015/16</v>
      </c>
      <c r="D84" s="94" t="str">
        <f>+D75</f>
        <v>2016/17</v>
      </c>
      <c r="E84" s="205"/>
      <c r="F84" s="41"/>
      <c r="G84" s="2179" t="str">
        <f>$G$3</f>
        <v>2017/18</v>
      </c>
      <c r="H84" s="94" t="str">
        <f>$H$3</f>
        <v>2018/19</v>
      </c>
      <c r="I84" s="94" t="str">
        <f>$I$3</f>
        <v>2019/20</v>
      </c>
      <c r="J84" s="94" t="str">
        <f>$J$3</f>
        <v>2020/21</v>
      </c>
      <c r="K84" s="94" t="str">
        <f t="shared" ref="K84:Q84" si="48">K$3</f>
        <v>2021/22</v>
      </c>
      <c r="L84" s="94" t="str">
        <f t="shared" si="48"/>
        <v>2022/23</v>
      </c>
      <c r="M84" s="94" t="str">
        <f t="shared" si="48"/>
        <v>2023/24</v>
      </c>
      <c r="N84" s="94" t="str">
        <f t="shared" si="48"/>
        <v>2024/25</v>
      </c>
      <c r="O84" s="94" t="str">
        <f t="shared" si="48"/>
        <v>2025/26</v>
      </c>
      <c r="P84" s="94" t="str">
        <f t="shared" si="48"/>
        <v>2026/27</v>
      </c>
      <c r="Q84" s="95" t="str">
        <f t="shared" si="48"/>
        <v>2027/28</v>
      </c>
    </row>
    <row r="85" spans="1:26" x14ac:dyDescent="0.2">
      <c r="A85" s="54"/>
      <c r="B85" s="9"/>
      <c r="C85" s="9"/>
      <c r="D85" s="9"/>
      <c r="E85" s="31"/>
      <c r="F85" s="31"/>
      <c r="G85" s="2165"/>
      <c r="H85" s="9"/>
      <c r="I85" s="9"/>
      <c r="J85" s="9"/>
      <c r="K85" s="9"/>
      <c r="L85" s="9"/>
      <c r="M85" s="9"/>
      <c r="N85" s="9"/>
      <c r="O85" s="9"/>
      <c r="P85" s="9"/>
      <c r="Q85" s="61"/>
    </row>
    <row r="86" spans="1:26" x14ac:dyDescent="0.2">
      <c r="A86" s="54">
        <f>'W&amp;W'!B402</f>
        <v>219600</v>
      </c>
      <c r="B86" s="9">
        <f>'W&amp;W'!C402</f>
        <v>69000</v>
      </c>
      <c r="C86" s="9">
        <f>'W&amp;W'!D402</f>
        <v>69000</v>
      </c>
      <c r="D86" s="9">
        <f>'W&amp;W'!E402</f>
        <v>0</v>
      </c>
      <c r="E86" s="31" t="s">
        <v>3148</v>
      </c>
      <c r="F86" s="31"/>
      <c r="G86" s="2165">
        <f>'W&amp;W'!H402</f>
        <v>0</v>
      </c>
      <c r="H86" s="9">
        <f>'W&amp;W'!J402</f>
        <v>0</v>
      </c>
      <c r="I86" s="9">
        <f>'W&amp;W'!K402</f>
        <v>0</v>
      </c>
      <c r="J86" s="9">
        <f>'W&amp;W'!L402</f>
        <v>0</v>
      </c>
      <c r="K86" s="9">
        <f>'W&amp;W'!M402</f>
        <v>0</v>
      </c>
      <c r="L86" s="9">
        <f>'W&amp;W'!N402</f>
        <v>0</v>
      </c>
      <c r="M86" s="9">
        <f>'W&amp;W'!O402</f>
        <v>0</v>
      </c>
      <c r="N86" s="9">
        <f>'W&amp;W'!P402</f>
        <v>0</v>
      </c>
      <c r="O86" s="9">
        <f>'W&amp;W'!Q402</f>
        <v>0</v>
      </c>
      <c r="P86" s="9">
        <f>'W&amp;W'!R402</f>
        <v>0</v>
      </c>
      <c r="Q86" s="61">
        <f>'W&amp;W'!S402</f>
        <v>0</v>
      </c>
    </row>
    <row r="87" spans="1:26" x14ac:dyDescent="0.2">
      <c r="A87" s="54">
        <f>'W&amp;W'!B403</f>
        <v>340000</v>
      </c>
      <c r="B87" s="9">
        <f>'W&amp;W'!C403</f>
        <v>340000</v>
      </c>
      <c r="C87" s="9">
        <f>'W&amp;W'!D403</f>
        <v>0</v>
      </c>
      <c r="D87" s="9">
        <f>'W&amp;W'!E403</f>
        <v>340000</v>
      </c>
      <c r="E87" s="31" t="s">
        <v>3149</v>
      </c>
      <c r="F87" s="31"/>
      <c r="G87" s="2165">
        <f>'W&amp;W'!H403</f>
        <v>0</v>
      </c>
      <c r="H87" s="9">
        <f>'W&amp;W'!J403</f>
        <v>0</v>
      </c>
      <c r="I87" s="9">
        <f>'W&amp;W'!K403</f>
        <v>0</v>
      </c>
      <c r="J87" s="9">
        <f>'W&amp;W'!L403</f>
        <v>0</v>
      </c>
      <c r="K87" s="9">
        <f>'W&amp;W'!M403</f>
        <v>0</v>
      </c>
      <c r="L87" s="9">
        <f>'W&amp;W'!N403</f>
        <v>0</v>
      </c>
      <c r="M87" s="9">
        <f>'W&amp;W'!O403</f>
        <v>0</v>
      </c>
      <c r="N87" s="9">
        <f>'W&amp;W'!P403</f>
        <v>0</v>
      </c>
      <c r="O87" s="9">
        <f>'W&amp;W'!Q403</f>
        <v>0</v>
      </c>
      <c r="P87" s="9">
        <f>'W&amp;W'!R403</f>
        <v>0</v>
      </c>
      <c r="Q87" s="61">
        <f>'W&amp;W'!S403</f>
        <v>0</v>
      </c>
    </row>
    <row r="88" spans="1:26" ht="13.5" thickBot="1" x14ac:dyDescent="0.25">
      <c r="A88" s="54"/>
      <c r="B88" s="9"/>
      <c r="C88" s="9"/>
      <c r="D88" s="9"/>
      <c r="E88" s="46"/>
      <c r="F88" s="55"/>
      <c r="G88" s="2165"/>
      <c r="H88" s="9"/>
      <c r="I88" s="9"/>
      <c r="J88" s="9"/>
      <c r="K88" s="9"/>
      <c r="L88" s="9"/>
      <c r="M88" s="9"/>
      <c r="N88" s="9"/>
      <c r="O88" s="9"/>
      <c r="P88" s="9"/>
      <c r="Q88" s="61"/>
    </row>
    <row r="89" spans="1:26" s="39" customFormat="1" x14ac:dyDescent="0.2">
      <c r="A89" s="52">
        <f>SUM(A85:A88)</f>
        <v>559600</v>
      </c>
      <c r="B89" s="16">
        <f>SUM(B85:B88)</f>
        <v>409000</v>
      </c>
      <c r="C89" s="16">
        <f>SUM(C85:C88)</f>
        <v>69000</v>
      </c>
      <c r="D89" s="16">
        <f>SUM(D85:D88)</f>
        <v>340000</v>
      </c>
      <c r="E89" s="27"/>
      <c r="F89" s="59" t="s">
        <v>2411</v>
      </c>
      <c r="G89" s="2166">
        <f t="shared" ref="G89:M89" si="49">SUM(G85:G88)</f>
        <v>0</v>
      </c>
      <c r="H89" s="16">
        <f t="shared" si="49"/>
        <v>0</v>
      </c>
      <c r="I89" s="16">
        <f t="shared" si="49"/>
        <v>0</v>
      </c>
      <c r="J89" s="16">
        <f t="shared" si="49"/>
        <v>0</v>
      </c>
      <c r="K89" s="16">
        <f t="shared" si="49"/>
        <v>0</v>
      </c>
      <c r="L89" s="16">
        <f t="shared" si="49"/>
        <v>0</v>
      </c>
      <c r="M89" s="16">
        <f t="shared" si="49"/>
        <v>0</v>
      </c>
      <c r="N89" s="16">
        <f t="shared" ref="N89:O89" si="50">SUM(N85:N88)</f>
        <v>0</v>
      </c>
      <c r="O89" s="16">
        <f t="shared" si="50"/>
        <v>0</v>
      </c>
      <c r="P89" s="16">
        <f t="shared" ref="P89:Q89" si="51">SUM(P85:P88)</f>
        <v>0</v>
      </c>
      <c r="Q89" s="60">
        <f t="shared" si="51"/>
        <v>0</v>
      </c>
      <c r="R89" s="34"/>
      <c r="S89" s="34"/>
      <c r="T89" s="34"/>
      <c r="U89" s="34"/>
      <c r="V89" s="34"/>
      <c r="W89" s="34"/>
      <c r="X89" s="34"/>
      <c r="Y89" s="34"/>
      <c r="Z89" s="34"/>
    </row>
    <row r="90" spans="1:26" ht="13.5" thickBot="1" x14ac:dyDescent="0.25">
      <c r="A90" s="118"/>
      <c r="B90" s="23"/>
      <c r="C90" s="23"/>
      <c r="D90" s="23"/>
      <c r="E90" s="121"/>
      <c r="F90" s="120"/>
      <c r="G90" s="2167"/>
      <c r="H90" s="23"/>
      <c r="I90" s="23"/>
      <c r="J90" s="23"/>
      <c r="K90" s="23"/>
      <c r="L90" s="23"/>
      <c r="M90" s="23"/>
      <c r="N90" s="23"/>
      <c r="O90" s="23"/>
      <c r="P90" s="23"/>
      <c r="Q90" s="112"/>
    </row>
    <row r="91" spans="1:26" ht="14.25" thickTop="1" thickBot="1" x14ac:dyDescent="0.25">
      <c r="C91" s="34"/>
    </row>
    <row r="92" spans="1:26" ht="18.75" customHeight="1" thickBot="1" x14ac:dyDescent="0.25">
      <c r="A92" s="2667" t="s">
        <v>4558</v>
      </c>
      <c r="B92" s="2668"/>
      <c r="C92" s="2668"/>
      <c r="D92" s="2668"/>
      <c r="E92" s="2668"/>
      <c r="F92" s="2668"/>
      <c r="G92" s="2668"/>
      <c r="H92" s="2668"/>
      <c r="I92" s="2668"/>
      <c r="J92" s="2668"/>
      <c r="K92" s="2668"/>
      <c r="L92" s="2668"/>
      <c r="M92" s="2668"/>
      <c r="N92" s="2668"/>
      <c r="O92" s="2668"/>
      <c r="P92" s="2668"/>
      <c r="Q92" s="2669"/>
    </row>
    <row r="93" spans="1:26" ht="13.5" thickBot="1" x14ac:dyDescent="0.25">
      <c r="A93" s="1256" t="str">
        <f>A3</f>
        <v>2013/14</v>
      </c>
      <c r="B93" s="1257" t="str">
        <f>B3</f>
        <v>2014/15</v>
      </c>
      <c r="C93" s="44" t="str">
        <f>C3</f>
        <v>2015/16</v>
      </c>
      <c r="D93" s="44" t="str">
        <f t="shared" ref="D93" si="52">D3</f>
        <v>2016/17</v>
      </c>
      <c r="E93" s="205"/>
      <c r="F93" s="41"/>
      <c r="G93" s="2170" t="str">
        <f t="shared" ref="G93:O93" si="53">G3</f>
        <v>2017/18</v>
      </c>
      <c r="H93" s="44" t="str">
        <f t="shared" si="53"/>
        <v>2018/19</v>
      </c>
      <c r="I93" s="44" t="str">
        <f t="shared" si="53"/>
        <v>2019/20</v>
      </c>
      <c r="J93" s="44" t="str">
        <f t="shared" si="53"/>
        <v>2020/21</v>
      </c>
      <c r="K93" s="44" t="str">
        <f t="shared" si="53"/>
        <v>2021/22</v>
      </c>
      <c r="L93" s="44" t="str">
        <f t="shared" si="53"/>
        <v>2022/23</v>
      </c>
      <c r="M93" s="44" t="str">
        <f t="shared" si="53"/>
        <v>2023/24</v>
      </c>
      <c r="N93" s="94" t="str">
        <f t="shared" si="53"/>
        <v>2024/25</v>
      </c>
      <c r="O93" s="94" t="str">
        <f t="shared" si="53"/>
        <v>2025/26</v>
      </c>
      <c r="P93" s="94" t="str">
        <f t="shared" ref="P93:Q93" si="54">P3</f>
        <v>2026/27</v>
      </c>
      <c r="Q93" s="95" t="str">
        <f t="shared" si="54"/>
        <v>2027/28</v>
      </c>
    </row>
    <row r="94" spans="1:26" x14ac:dyDescent="0.2">
      <c r="A94" s="54"/>
      <c r="B94" s="9"/>
      <c r="C94" s="116"/>
      <c r="D94" s="9"/>
      <c r="E94" s="46"/>
      <c r="F94" s="31"/>
      <c r="G94" s="2165"/>
      <c r="H94" s="9"/>
      <c r="I94" s="9"/>
      <c r="J94" s="9"/>
      <c r="K94" s="9"/>
      <c r="L94" s="9"/>
      <c r="M94" s="9"/>
      <c r="N94" s="9"/>
      <c r="O94" s="9"/>
      <c r="P94" s="9"/>
      <c r="Q94" s="61"/>
    </row>
    <row r="95" spans="1:26" x14ac:dyDescent="0.2">
      <c r="A95" s="54"/>
      <c r="B95" s="9"/>
      <c r="C95" s="9"/>
      <c r="D95" s="9"/>
      <c r="E95" s="92" t="s">
        <v>2225</v>
      </c>
      <c r="F95" s="92"/>
      <c r="G95" s="2165"/>
      <c r="H95" s="9"/>
      <c r="I95" s="9"/>
      <c r="J95" s="9"/>
      <c r="K95" s="9"/>
      <c r="L95" s="9"/>
      <c r="M95" s="9"/>
      <c r="N95" s="9"/>
      <c r="O95" s="9"/>
      <c r="P95" s="9"/>
      <c r="Q95" s="61"/>
    </row>
    <row r="96" spans="1:26" x14ac:dyDescent="0.2">
      <c r="A96" s="54"/>
      <c r="B96" s="9"/>
      <c r="C96" s="9"/>
      <c r="D96" s="9"/>
      <c r="E96" s="46"/>
      <c r="F96" s="31"/>
      <c r="G96" s="2165"/>
      <c r="H96" s="9"/>
      <c r="I96" s="9"/>
      <c r="J96" s="9"/>
      <c r="K96" s="9"/>
      <c r="L96" s="9"/>
      <c r="M96" s="9"/>
      <c r="N96" s="9"/>
      <c r="O96" s="9"/>
      <c r="P96" s="9"/>
      <c r="Q96" s="61"/>
    </row>
    <row r="97" spans="1:17" x14ac:dyDescent="0.2">
      <c r="A97" s="54"/>
      <c r="B97" s="9"/>
      <c r="C97" s="9"/>
      <c r="D97" s="9"/>
      <c r="E97" s="92" t="s">
        <v>687</v>
      </c>
      <c r="F97" s="92"/>
      <c r="G97" s="2165"/>
      <c r="H97" s="9"/>
      <c r="I97" s="9"/>
      <c r="J97" s="9"/>
      <c r="K97" s="9"/>
      <c r="L97" s="9"/>
      <c r="M97" s="9"/>
      <c r="N97" s="9"/>
      <c r="O97" s="9"/>
      <c r="P97" s="9"/>
      <c r="Q97" s="61"/>
    </row>
    <row r="98" spans="1:17" x14ac:dyDescent="0.2">
      <c r="A98" s="54">
        <f>A6</f>
        <v>14462800</v>
      </c>
      <c r="B98" s="9">
        <f>B6</f>
        <v>15355900</v>
      </c>
      <c r="C98" s="9">
        <f>C6</f>
        <v>16349100</v>
      </c>
      <c r="D98" s="9">
        <f>D6</f>
        <v>17887500</v>
      </c>
      <c r="E98" s="46" t="s">
        <v>2226</v>
      </c>
      <c r="F98" s="115"/>
      <c r="G98" s="2165">
        <f t="shared" ref="G98:O98" si="55">G6</f>
        <v>18218400</v>
      </c>
      <c r="H98" s="9">
        <f t="shared" si="55"/>
        <v>18670200</v>
      </c>
      <c r="I98" s="9">
        <f t="shared" si="55"/>
        <v>19117700</v>
      </c>
      <c r="J98" s="9">
        <f t="shared" si="55"/>
        <v>19601300</v>
      </c>
      <c r="K98" s="9">
        <f t="shared" si="55"/>
        <v>20141000</v>
      </c>
      <c r="L98" s="9">
        <f t="shared" si="55"/>
        <v>20644300</v>
      </c>
      <c r="M98" s="9">
        <f t="shared" si="55"/>
        <v>21144000</v>
      </c>
      <c r="N98" s="9">
        <f t="shared" si="55"/>
        <v>21719800</v>
      </c>
      <c r="O98" s="9">
        <f t="shared" si="55"/>
        <v>22283100</v>
      </c>
      <c r="P98" s="9">
        <f t="shared" ref="P98:Q98" si="56">P6</f>
        <v>22955100</v>
      </c>
      <c r="Q98" s="61">
        <f t="shared" si="56"/>
        <v>23651300</v>
      </c>
    </row>
    <row r="99" spans="1:17" x14ac:dyDescent="0.2">
      <c r="A99" s="54">
        <f>A7+A10</f>
        <v>16630100</v>
      </c>
      <c r="B99" s="9">
        <f>B7+B10</f>
        <v>16181200</v>
      </c>
      <c r="C99" s="9">
        <f>C7+C10</f>
        <v>17000800</v>
      </c>
      <c r="D99" s="9">
        <f>D7+D10</f>
        <v>17467800</v>
      </c>
      <c r="E99" s="46" t="s">
        <v>2227</v>
      </c>
      <c r="F99" s="115"/>
      <c r="G99" s="2165">
        <f t="shared" ref="G99:O99" si="57">G7+G10</f>
        <v>17603300</v>
      </c>
      <c r="H99" s="9">
        <f t="shared" si="57"/>
        <v>17519400</v>
      </c>
      <c r="I99" s="9">
        <f t="shared" si="57"/>
        <v>17700900</v>
      </c>
      <c r="J99" s="9">
        <f t="shared" si="57"/>
        <v>17878100</v>
      </c>
      <c r="K99" s="9">
        <f t="shared" si="57"/>
        <v>18035400</v>
      </c>
      <c r="L99" s="9">
        <f t="shared" si="57"/>
        <v>18232100</v>
      </c>
      <c r="M99" s="9">
        <f t="shared" si="57"/>
        <v>18348000</v>
      </c>
      <c r="N99" s="9">
        <f t="shared" si="57"/>
        <v>18517300</v>
      </c>
      <c r="O99" s="9">
        <f t="shared" si="57"/>
        <v>18631100</v>
      </c>
      <c r="P99" s="9">
        <f t="shared" ref="P99:Q99" si="58">P7+P10</f>
        <v>18832800</v>
      </c>
      <c r="Q99" s="61">
        <f t="shared" si="58"/>
        <v>19052200</v>
      </c>
    </row>
    <row r="100" spans="1:17" s="65" customFormat="1" x14ac:dyDescent="0.2">
      <c r="A100" s="198">
        <f>A98-A99</f>
        <v>-2167300</v>
      </c>
      <c r="B100" s="63">
        <f>B98-B99</f>
        <v>-825300</v>
      </c>
      <c r="C100" s="63">
        <f>C98-C99</f>
        <v>-651700</v>
      </c>
      <c r="D100" s="63">
        <f>D98-D99</f>
        <v>419700</v>
      </c>
      <c r="E100" s="92" t="s">
        <v>2149</v>
      </c>
      <c r="F100" s="92"/>
      <c r="G100" s="2171">
        <f t="shared" ref="G100:K100" si="59">G98-G99</f>
        <v>615100</v>
      </c>
      <c r="H100" s="63">
        <f t="shared" si="59"/>
        <v>1150800</v>
      </c>
      <c r="I100" s="63">
        <f t="shared" si="59"/>
        <v>1416800</v>
      </c>
      <c r="J100" s="63">
        <f t="shared" si="59"/>
        <v>1723200</v>
      </c>
      <c r="K100" s="63">
        <f t="shared" si="59"/>
        <v>2105600</v>
      </c>
      <c r="L100" s="63">
        <f t="shared" ref="L100:Q100" si="60">L98-L99</f>
        <v>2412200</v>
      </c>
      <c r="M100" s="63">
        <f t="shared" si="60"/>
        <v>2796000</v>
      </c>
      <c r="N100" s="63">
        <f t="shared" si="60"/>
        <v>3202500</v>
      </c>
      <c r="O100" s="63">
        <f t="shared" si="60"/>
        <v>3652000</v>
      </c>
      <c r="P100" s="63">
        <f t="shared" si="60"/>
        <v>4122300</v>
      </c>
      <c r="Q100" s="106">
        <f t="shared" si="60"/>
        <v>4599100</v>
      </c>
    </row>
    <row r="101" spans="1:17" x14ac:dyDescent="0.2">
      <c r="A101" s="54">
        <v>0</v>
      </c>
      <c r="B101" s="9">
        <v>0</v>
      </c>
      <c r="C101" s="9">
        <v>0</v>
      </c>
      <c r="D101" s="9">
        <v>0</v>
      </c>
      <c r="E101" s="115" t="s">
        <v>2150</v>
      </c>
      <c r="F101" s="115"/>
      <c r="G101" s="2165">
        <v>0</v>
      </c>
      <c r="H101" s="9">
        <v>0</v>
      </c>
      <c r="I101" s="9">
        <v>0</v>
      </c>
      <c r="J101" s="9">
        <v>0</v>
      </c>
      <c r="K101" s="9">
        <v>0</v>
      </c>
      <c r="L101" s="9">
        <v>0</v>
      </c>
      <c r="M101" s="9">
        <v>0</v>
      </c>
      <c r="N101" s="9">
        <v>0</v>
      </c>
      <c r="O101" s="9">
        <v>0</v>
      </c>
      <c r="P101" s="9">
        <v>0</v>
      </c>
      <c r="Q101" s="61">
        <v>0</v>
      </c>
    </row>
    <row r="102" spans="1:17" s="65" customFormat="1" x14ac:dyDescent="0.2">
      <c r="A102" s="198">
        <f>A100+A101</f>
        <v>-2167300</v>
      </c>
      <c r="B102" s="63">
        <f>B100+B101</f>
        <v>-825300</v>
      </c>
      <c r="C102" s="63">
        <f>C100+C101</f>
        <v>-651700</v>
      </c>
      <c r="D102" s="63">
        <f>D100+D101</f>
        <v>419700</v>
      </c>
      <c r="E102" s="92" t="s">
        <v>1002</v>
      </c>
      <c r="F102" s="92"/>
      <c r="G102" s="2171">
        <f t="shared" ref="G102:K102" si="61">G100+G101</f>
        <v>615100</v>
      </c>
      <c r="H102" s="63">
        <f t="shared" si="61"/>
        <v>1150800</v>
      </c>
      <c r="I102" s="63">
        <f t="shared" si="61"/>
        <v>1416800</v>
      </c>
      <c r="J102" s="63">
        <f t="shared" si="61"/>
        <v>1723200</v>
      </c>
      <c r="K102" s="63">
        <f t="shared" si="61"/>
        <v>2105600</v>
      </c>
      <c r="L102" s="63">
        <f t="shared" ref="L102:Q102" si="62">L100+L101</f>
        <v>2412200</v>
      </c>
      <c r="M102" s="63">
        <f t="shared" si="62"/>
        <v>2796000</v>
      </c>
      <c r="N102" s="63">
        <f t="shared" si="62"/>
        <v>3202500</v>
      </c>
      <c r="O102" s="63">
        <f t="shared" si="62"/>
        <v>3652000</v>
      </c>
      <c r="P102" s="63">
        <f t="shared" si="62"/>
        <v>4122300</v>
      </c>
      <c r="Q102" s="106">
        <f t="shared" si="62"/>
        <v>4599100</v>
      </c>
    </row>
    <row r="103" spans="1:17" x14ac:dyDescent="0.2">
      <c r="A103" s="54">
        <f>A10</f>
        <v>2643100</v>
      </c>
      <c r="B103" s="9">
        <f>B10</f>
        <v>2314300</v>
      </c>
      <c r="C103" s="9">
        <f>C10</f>
        <v>3531900</v>
      </c>
      <c r="D103" s="9">
        <f>D10</f>
        <v>3573300</v>
      </c>
      <c r="E103" s="115" t="s">
        <v>2757</v>
      </c>
      <c r="F103" s="115"/>
      <c r="G103" s="2165">
        <f t="shared" ref="G103:O103" si="63">G10</f>
        <v>3775000</v>
      </c>
      <c r="H103" s="9">
        <f t="shared" si="63"/>
        <v>3851000</v>
      </c>
      <c r="I103" s="9">
        <f t="shared" si="63"/>
        <v>3928000</v>
      </c>
      <c r="J103" s="9">
        <f t="shared" si="63"/>
        <v>4007000</v>
      </c>
      <c r="K103" s="9">
        <f t="shared" si="63"/>
        <v>4087000</v>
      </c>
      <c r="L103" s="9">
        <f t="shared" si="63"/>
        <v>4169000</v>
      </c>
      <c r="M103" s="9">
        <f t="shared" si="63"/>
        <v>4252000</v>
      </c>
      <c r="N103" s="9">
        <f t="shared" si="63"/>
        <v>4337000</v>
      </c>
      <c r="O103" s="9">
        <f t="shared" si="63"/>
        <v>4424000</v>
      </c>
      <c r="P103" s="9">
        <f t="shared" ref="P103:Q103" si="64">P10</f>
        <v>4512000</v>
      </c>
      <c r="Q103" s="61">
        <f t="shared" si="64"/>
        <v>4602000</v>
      </c>
    </row>
    <row r="104" spans="1:17" s="65" customFormat="1" x14ac:dyDescent="0.2">
      <c r="A104" s="198">
        <f>A102+A103</f>
        <v>475800</v>
      </c>
      <c r="B104" s="63">
        <f>B102+B103</f>
        <v>1489000</v>
      </c>
      <c r="C104" s="63">
        <f>C102+C103</f>
        <v>2880200</v>
      </c>
      <c r="D104" s="63">
        <f>D102+D103</f>
        <v>3993000</v>
      </c>
      <c r="E104" s="92" t="s">
        <v>2167</v>
      </c>
      <c r="F104" s="92"/>
      <c r="G104" s="2171">
        <f t="shared" ref="G104:M104" si="65">G102+G103</f>
        <v>4390100</v>
      </c>
      <c r="H104" s="63">
        <f t="shared" si="65"/>
        <v>5001800</v>
      </c>
      <c r="I104" s="63">
        <f t="shared" si="65"/>
        <v>5344800</v>
      </c>
      <c r="J104" s="63">
        <f t="shared" si="65"/>
        <v>5730200</v>
      </c>
      <c r="K104" s="63">
        <f t="shared" si="65"/>
        <v>6192600</v>
      </c>
      <c r="L104" s="63">
        <f t="shared" si="65"/>
        <v>6581200</v>
      </c>
      <c r="M104" s="63">
        <f t="shared" si="65"/>
        <v>7048000</v>
      </c>
      <c r="N104" s="63">
        <f t="shared" ref="N104:O104" si="66">N102+N103</f>
        <v>7539500</v>
      </c>
      <c r="O104" s="63">
        <f t="shared" si="66"/>
        <v>8076000</v>
      </c>
      <c r="P104" s="63">
        <f t="shared" ref="P104:Q104" si="67">P102+P103</f>
        <v>8634300</v>
      </c>
      <c r="Q104" s="106">
        <f t="shared" si="67"/>
        <v>9201100</v>
      </c>
    </row>
    <row r="105" spans="1:17" x14ac:dyDescent="0.2">
      <c r="A105" s="54"/>
      <c r="B105" s="9"/>
      <c r="C105" s="9"/>
      <c r="D105" s="9"/>
      <c r="E105" s="46"/>
      <c r="F105" s="115"/>
      <c r="G105" s="2165"/>
      <c r="H105" s="9"/>
      <c r="I105" s="9"/>
      <c r="J105" s="9"/>
      <c r="K105" s="9"/>
      <c r="L105" s="9"/>
      <c r="M105" s="9"/>
      <c r="N105" s="9"/>
      <c r="O105" s="9"/>
      <c r="P105" s="9"/>
      <c r="Q105" s="61"/>
    </row>
    <row r="106" spans="1:17" x14ac:dyDescent="0.2">
      <c r="A106" s="54"/>
      <c r="B106" s="9"/>
      <c r="C106" s="9"/>
      <c r="D106" s="9"/>
      <c r="E106" s="46" t="s">
        <v>2314</v>
      </c>
      <c r="F106" s="92"/>
      <c r="G106" s="2165"/>
      <c r="H106" s="9"/>
      <c r="I106" s="9"/>
      <c r="J106" s="9"/>
      <c r="K106" s="9"/>
      <c r="L106" s="9"/>
      <c r="M106" s="9"/>
      <c r="N106" s="9"/>
      <c r="O106" s="9"/>
      <c r="P106" s="9"/>
      <c r="Q106" s="61"/>
    </row>
    <row r="107" spans="1:17" x14ac:dyDescent="0.2">
      <c r="A107" s="54"/>
      <c r="B107" s="9"/>
      <c r="C107" s="9"/>
      <c r="D107" s="9"/>
      <c r="E107" s="46"/>
      <c r="F107" s="115"/>
      <c r="G107" s="2165"/>
      <c r="H107" s="9"/>
      <c r="I107" s="9"/>
      <c r="J107" s="9"/>
      <c r="K107" s="9"/>
      <c r="L107" s="9"/>
      <c r="M107" s="9"/>
      <c r="N107" s="9"/>
      <c r="O107" s="9"/>
      <c r="P107" s="9"/>
      <c r="Q107" s="61"/>
    </row>
    <row r="108" spans="1:17" x14ac:dyDescent="0.2">
      <c r="A108" s="54"/>
      <c r="B108" s="9"/>
      <c r="C108" s="9"/>
      <c r="D108" s="9"/>
      <c r="E108" s="46" t="s">
        <v>1865</v>
      </c>
      <c r="F108" s="92"/>
      <c r="G108" s="2165"/>
      <c r="H108" s="9"/>
      <c r="I108" s="9"/>
      <c r="J108" s="9"/>
      <c r="K108" s="9"/>
      <c r="L108" s="9"/>
      <c r="M108" s="9"/>
      <c r="N108" s="9"/>
      <c r="O108" s="9"/>
      <c r="P108" s="9"/>
      <c r="Q108" s="61"/>
    </row>
    <row r="109" spans="1:17" x14ac:dyDescent="0.2">
      <c r="A109" s="54">
        <v>0</v>
      </c>
      <c r="B109" s="9">
        <v>0</v>
      </c>
      <c r="C109" s="9">
        <v>0</v>
      </c>
      <c r="D109" s="9">
        <v>0</v>
      </c>
      <c r="E109" s="46" t="s">
        <v>2886</v>
      </c>
      <c r="F109" s="115"/>
      <c r="G109" s="2165">
        <v>0</v>
      </c>
      <c r="H109" s="9">
        <v>0</v>
      </c>
      <c r="I109" s="9">
        <v>0</v>
      </c>
      <c r="J109" s="9">
        <v>0</v>
      </c>
      <c r="K109" s="9">
        <v>0</v>
      </c>
      <c r="L109" s="9">
        <v>0</v>
      </c>
      <c r="M109" s="9">
        <v>0</v>
      </c>
      <c r="N109" s="9">
        <v>0</v>
      </c>
      <c r="O109" s="9">
        <v>0</v>
      </c>
      <c r="P109" s="9">
        <v>0</v>
      </c>
      <c r="Q109" s="61">
        <v>0</v>
      </c>
    </row>
    <row r="110" spans="1:17" x14ac:dyDescent="0.2">
      <c r="A110" s="54"/>
      <c r="B110" s="9"/>
      <c r="C110" s="9"/>
      <c r="D110" s="9"/>
      <c r="E110" s="46" t="s">
        <v>1351</v>
      </c>
      <c r="F110" s="115"/>
      <c r="G110" s="2165"/>
      <c r="H110" s="9"/>
      <c r="I110" s="9"/>
      <c r="J110" s="9"/>
      <c r="K110" s="9"/>
      <c r="L110" s="9"/>
      <c r="M110" s="9"/>
      <c r="N110" s="9"/>
      <c r="O110" s="9"/>
      <c r="P110" s="9"/>
      <c r="Q110" s="61"/>
    </row>
    <row r="111" spans="1:17" x14ac:dyDescent="0.2">
      <c r="A111" s="54">
        <f t="shared" ref="A111:C112" si="68">-A39</f>
        <v>8112100</v>
      </c>
      <c r="B111" s="9">
        <f t="shared" si="68"/>
        <v>4320400</v>
      </c>
      <c r="C111" s="9">
        <f t="shared" si="68"/>
        <v>2267300</v>
      </c>
      <c r="D111" s="9">
        <f t="shared" ref="D111" si="69">-D39</f>
        <v>2560500</v>
      </c>
      <c r="E111" s="46" t="s">
        <v>1864</v>
      </c>
      <c r="F111" s="115"/>
      <c r="G111" s="2165">
        <f t="shared" ref="G111:O111" si="70">-G39</f>
        <v>8745100</v>
      </c>
      <c r="H111" s="9">
        <f t="shared" si="70"/>
        <v>7734900</v>
      </c>
      <c r="I111" s="9">
        <f t="shared" si="70"/>
        <v>5076700</v>
      </c>
      <c r="J111" s="9">
        <f t="shared" si="70"/>
        <v>2695400</v>
      </c>
      <c r="K111" s="9">
        <f t="shared" si="70"/>
        <v>5105100</v>
      </c>
      <c r="L111" s="9">
        <f t="shared" si="70"/>
        <v>4455100</v>
      </c>
      <c r="M111" s="9">
        <f t="shared" si="70"/>
        <v>1014500</v>
      </c>
      <c r="N111" s="9">
        <f t="shared" si="70"/>
        <v>5316400</v>
      </c>
      <c r="O111" s="9">
        <f t="shared" si="70"/>
        <v>1186000</v>
      </c>
      <c r="P111" s="9">
        <f t="shared" ref="P111:Q111" si="71">-P39</f>
        <v>1130700</v>
      </c>
      <c r="Q111" s="61">
        <f t="shared" si="71"/>
        <v>1130700</v>
      </c>
    </row>
    <row r="112" spans="1:17" x14ac:dyDescent="0.2">
      <c r="A112" s="54">
        <f t="shared" si="68"/>
        <v>2384800</v>
      </c>
      <c r="B112" s="9">
        <f t="shared" si="68"/>
        <v>2187900</v>
      </c>
      <c r="C112" s="9">
        <f t="shared" si="68"/>
        <v>2793300</v>
      </c>
      <c r="D112" s="9">
        <f t="shared" ref="D112" si="72">-D40</f>
        <v>2957900</v>
      </c>
      <c r="E112" s="46" t="s">
        <v>1459</v>
      </c>
      <c r="F112" s="115"/>
      <c r="G112" s="2165">
        <f t="shared" ref="G112:O112" si="73">-G40</f>
        <v>3095600</v>
      </c>
      <c r="H112" s="9">
        <f t="shared" si="73"/>
        <v>3134000</v>
      </c>
      <c r="I112" s="9">
        <f t="shared" si="73"/>
        <v>3280300</v>
      </c>
      <c r="J112" s="9">
        <f t="shared" si="73"/>
        <v>2453500</v>
      </c>
      <c r="K112" s="9">
        <f t="shared" si="73"/>
        <v>2654100</v>
      </c>
      <c r="L112" s="9">
        <f t="shared" si="73"/>
        <v>2844100</v>
      </c>
      <c r="M112" s="9">
        <f t="shared" si="73"/>
        <v>3037000</v>
      </c>
      <c r="N112" s="9">
        <f t="shared" si="73"/>
        <v>3235000</v>
      </c>
      <c r="O112" s="9">
        <f t="shared" si="73"/>
        <v>3430000</v>
      </c>
      <c r="P112" s="9">
        <f t="shared" ref="P112:Q112" si="74">-P40</f>
        <v>3627000</v>
      </c>
      <c r="Q112" s="61">
        <f t="shared" si="74"/>
        <v>3825000</v>
      </c>
    </row>
    <row r="113" spans="1:17" s="65" customFormat="1" x14ac:dyDescent="0.2">
      <c r="A113" s="198">
        <f>SUM(A108:A112)</f>
        <v>10496900</v>
      </c>
      <c r="B113" s="63">
        <f>SUM(B108:B112)</f>
        <v>6508300</v>
      </c>
      <c r="C113" s="63">
        <f>SUM(C108:C112)</f>
        <v>5060600</v>
      </c>
      <c r="D113" s="63">
        <f>SUM(D108:D112)</f>
        <v>5518400</v>
      </c>
      <c r="E113" s="92" t="s">
        <v>1504</v>
      </c>
      <c r="F113" s="92"/>
      <c r="G113" s="2171">
        <f t="shared" ref="G113:O113" si="75">SUM(G108:G112)</f>
        <v>11840700</v>
      </c>
      <c r="H113" s="63">
        <f t="shared" si="75"/>
        <v>10868900</v>
      </c>
      <c r="I113" s="63">
        <f t="shared" si="75"/>
        <v>8357000</v>
      </c>
      <c r="J113" s="63">
        <f t="shared" si="75"/>
        <v>5148900</v>
      </c>
      <c r="K113" s="63">
        <f t="shared" si="75"/>
        <v>7759200</v>
      </c>
      <c r="L113" s="63">
        <f t="shared" si="75"/>
        <v>7299200</v>
      </c>
      <c r="M113" s="63">
        <f t="shared" si="75"/>
        <v>4051500</v>
      </c>
      <c r="N113" s="63">
        <f t="shared" si="75"/>
        <v>8551400</v>
      </c>
      <c r="O113" s="63">
        <f t="shared" si="75"/>
        <v>4616000</v>
      </c>
      <c r="P113" s="63">
        <f t="shared" ref="P113:Q113" si="76">SUM(P108:P112)</f>
        <v>4757700</v>
      </c>
      <c r="Q113" s="106">
        <f t="shared" si="76"/>
        <v>4955700</v>
      </c>
    </row>
    <row r="114" spans="1:17" x14ac:dyDescent="0.2">
      <c r="A114" s="54"/>
      <c r="B114" s="9"/>
      <c r="C114" s="9"/>
      <c r="D114" s="9"/>
      <c r="E114" s="46"/>
      <c r="F114" s="115"/>
      <c r="G114" s="2165"/>
      <c r="H114" s="9"/>
      <c r="I114" s="9"/>
      <c r="J114" s="9"/>
      <c r="K114" s="9"/>
      <c r="L114" s="9"/>
      <c r="M114" s="9"/>
      <c r="N114" s="9"/>
      <c r="O114" s="9"/>
      <c r="P114" s="9"/>
      <c r="Q114" s="61"/>
    </row>
    <row r="115" spans="1:17" x14ac:dyDescent="0.2">
      <c r="A115" s="54"/>
      <c r="B115" s="9"/>
      <c r="C115" s="9"/>
      <c r="D115" s="9"/>
      <c r="E115" s="92" t="s">
        <v>877</v>
      </c>
      <c r="F115" s="92"/>
      <c r="G115" s="2165"/>
      <c r="H115" s="9"/>
      <c r="I115" s="9"/>
      <c r="J115" s="9"/>
      <c r="K115" s="9"/>
      <c r="L115" s="9"/>
      <c r="M115" s="9"/>
      <c r="N115" s="9"/>
      <c r="O115" s="9"/>
      <c r="P115" s="9"/>
      <c r="Q115" s="61"/>
    </row>
    <row r="116" spans="1:17" x14ac:dyDescent="0.2">
      <c r="A116" s="54">
        <f>A104</f>
        <v>475800</v>
      </c>
      <c r="B116" s="9">
        <f>B104</f>
        <v>1489000</v>
      </c>
      <c r="C116" s="9">
        <f>C104</f>
        <v>2880200</v>
      </c>
      <c r="D116" s="9">
        <f>D104</f>
        <v>3993000</v>
      </c>
      <c r="E116" s="46" t="s">
        <v>2167</v>
      </c>
      <c r="F116" s="115"/>
      <c r="G116" s="2165">
        <f t="shared" ref="G116:O116" si="77">G104</f>
        <v>4390100</v>
      </c>
      <c r="H116" s="9">
        <f t="shared" si="77"/>
        <v>5001800</v>
      </c>
      <c r="I116" s="9">
        <f t="shared" si="77"/>
        <v>5344800</v>
      </c>
      <c r="J116" s="9">
        <f t="shared" si="77"/>
        <v>5730200</v>
      </c>
      <c r="K116" s="9">
        <f t="shared" si="77"/>
        <v>6192600</v>
      </c>
      <c r="L116" s="9">
        <f t="shared" si="77"/>
        <v>6581200</v>
      </c>
      <c r="M116" s="9">
        <f t="shared" si="77"/>
        <v>7048000</v>
      </c>
      <c r="N116" s="9">
        <f t="shared" si="77"/>
        <v>7539500</v>
      </c>
      <c r="O116" s="9">
        <f t="shared" si="77"/>
        <v>8076000</v>
      </c>
      <c r="P116" s="9">
        <f t="shared" ref="P116:Q116" si="78">P104</f>
        <v>8634300</v>
      </c>
      <c r="Q116" s="61">
        <f t="shared" si="78"/>
        <v>9201100</v>
      </c>
    </row>
    <row r="117" spans="1:17" x14ac:dyDescent="0.2">
      <c r="A117" s="54">
        <f>-A51+A35</f>
        <v>8662100</v>
      </c>
      <c r="B117" s="9">
        <f>-B51+B35</f>
        <v>4753300</v>
      </c>
      <c r="C117" s="9">
        <f>-C51+C35</f>
        <v>2097200</v>
      </c>
      <c r="D117" s="9">
        <f>-D51+D35</f>
        <v>-1117500</v>
      </c>
      <c r="E117" s="31" t="s">
        <v>4422</v>
      </c>
      <c r="F117" s="115"/>
      <c r="G117" s="2165">
        <f t="shared" ref="G117:O117" si="79">-G51+G35</f>
        <v>4868200</v>
      </c>
      <c r="H117" s="9">
        <f t="shared" si="79"/>
        <v>1850400</v>
      </c>
      <c r="I117" s="9">
        <f t="shared" si="79"/>
        <v>-476700</v>
      </c>
      <c r="J117" s="9">
        <f t="shared" si="79"/>
        <v>-1794600</v>
      </c>
      <c r="K117" s="9">
        <f t="shared" si="79"/>
        <v>259900</v>
      </c>
      <c r="L117" s="9">
        <f t="shared" si="79"/>
        <v>-1113200</v>
      </c>
      <c r="M117" s="9">
        <f t="shared" si="79"/>
        <v>-4495100</v>
      </c>
      <c r="N117" s="9">
        <f t="shared" si="79"/>
        <v>-582800</v>
      </c>
      <c r="O117" s="9">
        <f t="shared" si="79"/>
        <v>-5149700</v>
      </c>
      <c r="P117" s="9">
        <f t="shared" ref="P117:Q117" si="80">-P51+P35</f>
        <v>-5664400</v>
      </c>
      <c r="Q117" s="61">
        <f t="shared" si="80"/>
        <v>-7263100</v>
      </c>
    </row>
    <row r="118" spans="1:17" x14ac:dyDescent="0.2">
      <c r="A118" s="54">
        <f>A44+A45+A34</f>
        <v>-682900</v>
      </c>
      <c r="B118" s="9">
        <f>B44+B45+B34</f>
        <v>-1119900</v>
      </c>
      <c r="C118" s="9">
        <f>C44+C45+C34</f>
        <v>-1641300</v>
      </c>
      <c r="D118" s="9">
        <f>D44+D45+D34</f>
        <v>-213300</v>
      </c>
      <c r="E118" s="46" t="s">
        <v>1142</v>
      </c>
      <c r="F118" s="115"/>
      <c r="G118" s="2165">
        <f t="shared" ref="G118:O118" si="81">G44+G45+G34</f>
        <v>1182400</v>
      </c>
      <c r="H118" s="9">
        <f t="shared" si="81"/>
        <v>2586700</v>
      </c>
      <c r="I118" s="9">
        <f t="shared" si="81"/>
        <v>2018900</v>
      </c>
      <c r="J118" s="9">
        <f t="shared" si="81"/>
        <v>-296700</v>
      </c>
      <c r="K118" s="9">
        <f t="shared" si="81"/>
        <v>-243300</v>
      </c>
      <c r="L118" s="9">
        <f t="shared" si="81"/>
        <v>241200</v>
      </c>
      <c r="M118" s="9">
        <f t="shared" si="81"/>
        <v>-131400</v>
      </c>
      <c r="N118" s="9">
        <f t="shared" si="81"/>
        <v>-85300</v>
      </c>
      <c r="O118" s="9">
        <f t="shared" si="81"/>
        <v>-40300</v>
      </c>
      <c r="P118" s="9">
        <f t="shared" ref="P118:Q118" si="82">P44+P45+P34</f>
        <v>7800</v>
      </c>
      <c r="Q118" s="61">
        <f t="shared" si="82"/>
        <v>57000</v>
      </c>
    </row>
    <row r="119" spans="1:17" x14ac:dyDescent="0.2">
      <c r="A119" s="54">
        <f>A17+A18</f>
        <v>1351900</v>
      </c>
      <c r="B119" s="9">
        <f>B17+B18</f>
        <v>1385900</v>
      </c>
      <c r="C119" s="9">
        <f>C17+C18</f>
        <v>1724500</v>
      </c>
      <c r="D119" s="9">
        <f>D17+D18</f>
        <v>763500</v>
      </c>
      <c r="E119" s="46" t="s">
        <v>2668</v>
      </c>
      <c r="F119" s="115"/>
      <c r="G119" s="2165">
        <f t="shared" ref="G119:O119" si="83">G17+G18</f>
        <v>1400000</v>
      </c>
      <c r="H119" s="9">
        <f t="shared" si="83"/>
        <v>1430000</v>
      </c>
      <c r="I119" s="9">
        <f t="shared" si="83"/>
        <v>1470000</v>
      </c>
      <c r="J119" s="9">
        <f t="shared" si="83"/>
        <v>1510000</v>
      </c>
      <c r="K119" s="9">
        <f t="shared" si="83"/>
        <v>1550000</v>
      </c>
      <c r="L119" s="9">
        <f t="shared" si="83"/>
        <v>1590000</v>
      </c>
      <c r="M119" s="9">
        <f t="shared" si="83"/>
        <v>1630000</v>
      </c>
      <c r="N119" s="9">
        <f t="shared" si="83"/>
        <v>1680000</v>
      </c>
      <c r="O119" s="9">
        <f t="shared" si="83"/>
        <v>1730000</v>
      </c>
      <c r="P119" s="9">
        <f t="shared" ref="P119:Q119" si="84">P17+P18</f>
        <v>1780000</v>
      </c>
      <c r="Q119" s="61">
        <f t="shared" si="84"/>
        <v>1830000</v>
      </c>
    </row>
    <row r="120" spans="1:17" x14ac:dyDescent="0.2">
      <c r="A120" s="54">
        <f>A36</f>
        <v>690000</v>
      </c>
      <c r="B120" s="9">
        <f>B36</f>
        <v>0</v>
      </c>
      <c r="C120" s="9">
        <f>C36</f>
        <v>0</v>
      </c>
      <c r="D120" s="9">
        <f>D36</f>
        <v>2092700</v>
      </c>
      <c r="E120" s="46" t="s">
        <v>268</v>
      </c>
      <c r="F120" s="115"/>
      <c r="G120" s="2165">
        <f t="shared" ref="G120:O120" si="85">G36</f>
        <v>0</v>
      </c>
      <c r="H120" s="9">
        <f t="shared" si="85"/>
        <v>0</v>
      </c>
      <c r="I120" s="9">
        <f t="shared" si="85"/>
        <v>0</v>
      </c>
      <c r="J120" s="9">
        <f t="shared" si="85"/>
        <v>0</v>
      </c>
      <c r="K120" s="9">
        <f t="shared" si="85"/>
        <v>0</v>
      </c>
      <c r="L120" s="9">
        <f t="shared" si="85"/>
        <v>0</v>
      </c>
      <c r="M120" s="9">
        <f t="shared" si="85"/>
        <v>0</v>
      </c>
      <c r="N120" s="9">
        <f t="shared" si="85"/>
        <v>0</v>
      </c>
      <c r="O120" s="9">
        <f t="shared" si="85"/>
        <v>0</v>
      </c>
      <c r="P120" s="9">
        <f t="shared" ref="P120:Q120" si="86">P36</f>
        <v>0</v>
      </c>
      <c r="Q120" s="61">
        <f t="shared" si="86"/>
        <v>1130700</v>
      </c>
    </row>
    <row r="121" spans="1:17" s="65" customFormat="1" x14ac:dyDescent="0.2">
      <c r="A121" s="198">
        <f>SUM(A116:A120)</f>
        <v>10496900</v>
      </c>
      <c r="B121" s="63">
        <f>SUM(B116:B120)</f>
        <v>6508300</v>
      </c>
      <c r="C121" s="63">
        <f>SUM(C116:C120)</f>
        <v>5060600</v>
      </c>
      <c r="D121" s="63">
        <f>SUM(D116:D120)</f>
        <v>5518400</v>
      </c>
      <c r="E121" s="92" t="s">
        <v>1504</v>
      </c>
      <c r="F121" s="92"/>
      <c r="G121" s="2171">
        <f t="shared" ref="G121:M121" si="87">SUM(G116:G120)</f>
        <v>11840700</v>
      </c>
      <c r="H121" s="63">
        <f t="shared" si="87"/>
        <v>10868900</v>
      </c>
      <c r="I121" s="63">
        <f t="shared" si="87"/>
        <v>8357000</v>
      </c>
      <c r="J121" s="63">
        <f t="shared" si="87"/>
        <v>5148900</v>
      </c>
      <c r="K121" s="63">
        <f t="shared" si="87"/>
        <v>7759200</v>
      </c>
      <c r="L121" s="63">
        <f t="shared" si="87"/>
        <v>7299200</v>
      </c>
      <c r="M121" s="63">
        <f t="shared" si="87"/>
        <v>4051500</v>
      </c>
      <c r="N121" s="63">
        <f t="shared" ref="N121:O121" si="88">SUM(N116:N120)</f>
        <v>8551400</v>
      </c>
      <c r="O121" s="63">
        <f t="shared" si="88"/>
        <v>4616000</v>
      </c>
      <c r="P121" s="63">
        <f t="shared" ref="P121:Q121" si="89">SUM(P116:P120)</f>
        <v>4757700</v>
      </c>
      <c r="Q121" s="106">
        <f t="shared" si="89"/>
        <v>4955700</v>
      </c>
    </row>
    <row r="122" spans="1:17" x14ac:dyDescent="0.2">
      <c r="A122" s="54"/>
      <c r="B122" s="9"/>
      <c r="C122" s="9"/>
      <c r="D122" s="9"/>
      <c r="E122" s="46"/>
      <c r="F122" s="31"/>
      <c r="G122" s="2165"/>
      <c r="H122" s="9"/>
      <c r="I122" s="9"/>
      <c r="J122" s="9"/>
      <c r="K122" s="9"/>
      <c r="L122" s="9"/>
      <c r="M122" s="9"/>
      <c r="N122" s="9"/>
      <c r="O122" s="9"/>
      <c r="P122" s="9"/>
      <c r="Q122" s="61"/>
    </row>
    <row r="123" spans="1:17" x14ac:dyDescent="0.2">
      <c r="A123" s="54">
        <f>A121-A113+A122</f>
        <v>0</v>
      </c>
      <c r="B123" s="9">
        <f>B121-B113+B122</f>
        <v>0</v>
      </c>
      <c r="C123" s="9">
        <f>C121-C113+C122</f>
        <v>0</v>
      </c>
      <c r="D123" s="9">
        <f>D121-D113+D122</f>
        <v>0</v>
      </c>
      <c r="E123" s="46" t="s">
        <v>1169</v>
      </c>
      <c r="F123" s="31"/>
      <c r="G123" s="2165">
        <f t="shared" ref="G123:M123" si="90">G121-G113+G122</f>
        <v>0</v>
      </c>
      <c r="H123" s="9">
        <f t="shared" si="90"/>
        <v>0</v>
      </c>
      <c r="I123" s="9">
        <f t="shared" si="90"/>
        <v>0</v>
      </c>
      <c r="J123" s="9">
        <f t="shared" si="90"/>
        <v>0</v>
      </c>
      <c r="K123" s="9">
        <f t="shared" si="90"/>
        <v>0</v>
      </c>
      <c r="L123" s="9">
        <f t="shared" si="90"/>
        <v>0</v>
      </c>
      <c r="M123" s="9">
        <f t="shared" si="90"/>
        <v>0</v>
      </c>
      <c r="N123" s="9">
        <f t="shared" ref="N123:O123" si="91">N121-N113+N122</f>
        <v>0</v>
      </c>
      <c r="O123" s="9">
        <f t="shared" si="91"/>
        <v>0</v>
      </c>
      <c r="P123" s="9">
        <f t="shared" ref="P123:Q123" si="92">P121-P113+P122</f>
        <v>0</v>
      </c>
      <c r="Q123" s="61">
        <f t="shared" si="92"/>
        <v>0</v>
      </c>
    </row>
    <row r="124" spans="1:17" x14ac:dyDescent="0.2">
      <c r="A124" s="54"/>
      <c r="B124" s="9"/>
      <c r="C124" s="9"/>
      <c r="D124" s="9"/>
      <c r="E124" s="46"/>
      <c r="F124" s="31"/>
      <c r="G124" s="2165"/>
      <c r="H124" s="9"/>
      <c r="I124" s="9"/>
      <c r="J124" s="9"/>
      <c r="K124" s="9"/>
      <c r="L124" s="9"/>
      <c r="M124" s="9"/>
      <c r="N124" s="9"/>
      <c r="O124" s="9"/>
      <c r="P124" s="9"/>
      <c r="Q124" s="61"/>
    </row>
    <row r="125" spans="1:17" ht="13.5" thickBot="1" x14ac:dyDescent="0.25">
      <c r="A125" s="118"/>
      <c r="B125" s="23"/>
      <c r="C125" s="23"/>
      <c r="D125" s="23"/>
      <c r="E125" s="121"/>
      <c r="F125" s="208"/>
      <c r="G125" s="2167"/>
      <c r="H125" s="23"/>
      <c r="I125" s="23"/>
      <c r="J125" s="23"/>
      <c r="K125" s="23"/>
      <c r="L125" s="23"/>
      <c r="M125" s="23"/>
      <c r="N125" s="23"/>
      <c r="O125" s="23"/>
      <c r="P125" s="23"/>
      <c r="Q125" s="112"/>
    </row>
    <row r="126" spans="1:17" ht="13.5" thickTop="1" x14ac:dyDescent="0.2">
      <c r="C126" s="34"/>
    </row>
    <row r="127" spans="1:17" x14ac:dyDescent="0.2">
      <c r="C127" s="34"/>
    </row>
    <row r="128" spans="1:17" x14ac:dyDescent="0.2">
      <c r="C128" s="34"/>
    </row>
    <row r="129" spans="3:3" x14ac:dyDescent="0.2">
      <c r="C129" s="34"/>
    </row>
    <row r="301" spans="3:3" x14ac:dyDescent="0.2">
      <c r="C301" s="34"/>
    </row>
    <row r="302" spans="3:3" x14ac:dyDescent="0.2">
      <c r="C302" s="34"/>
    </row>
    <row r="381" spans="4:4" x14ac:dyDescent="0.2">
      <c r="D381" s="96"/>
    </row>
    <row r="382" spans="4:4" x14ac:dyDescent="0.2">
      <c r="D382" s="96"/>
    </row>
    <row r="1109" spans="6:6" x14ac:dyDescent="0.2">
      <c r="F1109" s="34" t="s">
        <v>7245</v>
      </c>
    </row>
  </sheetData>
  <mergeCells count="16">
    <mergeCell ref="A83:D83"/>
    <mergeCell ref="G83:Q83"/>
    <mergeCell ref="A82:Q82"/>
    <mergeCell ref="A92:Q92"/>
    <mergeCell ref="A2:D2"/>
    <mergeCell ref="A55:D55"/>
    <mergeCell ref="A64:D64"/>
    <mergeCell ref="A74:D74"/>
    <mergeCell ref="A1:Q1"/>
    <mergeCell ref="G2:Q2"/>
    <mergeCell ref="G55:Q55"/>
    <mergeCell ref="G64:Q64"/>
    <mergeCell ref="G74:Q74"/>
    <mergeCell ref="A54:Q54"/>
    <mergeCell ref="A63:Q63"/>
    <mergeCell ref="A73:Q73"/>
  </mergeCells>
  <phoneticPr fontId="9" type="noConversion"/>
  <printOptions horizontalCentered="1" verticalCentered="1"/>
  <pageMargins left="0" right="0.39370078740157483" top="0" bottom="0" header="0" footer="0"/>
  <pageSetup paperSize="9" orientation="portrait" horizontalDpi="4294967292" verticalDpi="3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C000"/>
  </sheetPr>
  <dimension ref="A1:V1109"/>
  <sheetViews>
    <sheetView workbookViewId="0">
      <pane xSplit="5" topLeftCell="F1" activePane="topRight" state="frozen"/>
      <selection activeCell="E788" sqref="E788"/>
      <selection pane="topRight" activeCell="D30" sqref="D30"/>
    </sheetView>
  </sheetViews>
  <sheetFormatPr defaultColWidth="9.140625" defaultRowHeight="12.75" outlineLevelRow="1" x14ac:dyDescent="0.2"/>
  <cols>
    <col min="1" max="3" width="11.28515625" style="34" bestFit="1" customWidth="1"/>
    <col min="4" max="4" width="11.7109375" style="34" customWidth="1"/>
    <col min="5" max="5" width="62.5703125" style="34" bestFit="1" customWidth="1"/>
    <col min="6" max="6" width="12.7109375" style="34" customWidth="1"/>
    <col min="7" max="7" width="12.5703125" style="34" customWidth="1"/>
    <col min="8" max="20" width="12.7109375" style="34" customWidth="1"/>
    <col min="21" max="21" width="9.140625" style="34"/>
    <col min="22" max="23" width="12.7109375" style="34" customWidth="1"/>
    <col min="24" max="16384" width="9.140625" style="34"/>
  </cols>
  <sheetData>
    <row r="1" spans="1:16" ht="18.75" customHeight="1" thickBot="1" x14ac:dyDescent="0.25">
      <c r="A1" s="2566" t="s">
        <v>6800</v>
      </c>
      <c r="B1" s="2567"/>
      <c r="C1" s="2567"/>
      <c r="D1" s="2567"/>
      <c r="E1" s="2567"/>
      <c r="F1" s="2567"/>
      <c r="G1" s="2567"/>
      <c r="H1" s="2567"/>
      <c r="I1" s="2567"/>
      <c r="J1" s="2567"/>
      <c r="K1" s="2567"/>
      <c r="L1" s="2567"/>
      <c r="M1" s="2567"/>
      <c r="N1" s="2567"/>
      <c r="O1" s="2567"/>
      <c r="P1" s="2567"/>
    </row>
    <row r="2" spans="1:16" s="39" customFormat="1" ht="13.5" thickBot="1" x14ac:dyDescent="0.25">
      <c r="A2" s="2563" t="s">
        <v>1824</v>
      </c>
      <c r="B2" s="2564"/>
      <c r="C2" s="2564"/>
      <c r="D2" s="2565"/>
      <c r="E2" s="127" t="s">
        <v>2213</v>
      </c>
      <c r="F2" s="2568" t="s">
        <v>2215</v>
      </c>
      <c r="G2" s="2568"/>
      <c r="H2" s="2568"/>
      <c r="I2" s="2568"/>
      <c r="J2" s="2568"/>
      <c r="K2" s="2568"/>
      <c r="L2" s="2568"/>
      <c r="M2" s="2568"/>
      <c r="N2" s="2568"/>
      <c r="O2" s="2568"/>
      <c r="P2" s="2569"/>
    </row>
    <row r="3" spans="1:16" ht="13.5" thickBot="1" x14ac:dyDescent="0.25">
      <c r="A3" s="541" t="str">
        <f>GM!B3</f>
        <v>2013/14</v>
      </c>
      <c r="B3" s="28" t="str">
        <f>GM!C3</f>
        <v>2014/15</v>
      </c>
      <c r="C3" s="94" t="str">
        <f>GM!D3</f>
        <v>2015/16</v>
      </c>
      <c r="D3" s="94" t="str">
        <f>GM!E3</f>
        <v>2016/17</v>
      </c>
      <c r="E3" s="41"/>
      <c r="F3" s="44" t="str">
        <f>GM!H3</f>
        <v>2017/18</v>
      </c>
      <c r="G3" s="44" t="str">
        <f>GM!J3</f>
        <v>2018/19</v>
      </c>
      <c r="H3" s="44" t="str">
        <f>GM!K3</f>
        <v>2019/20</v>
      </c>
      <c r="I3" s="44" t="str">
        <f>GM!L3</f>
        <v>2020/21</v>
      </c>
      <c r="J3" s="44" t="str">
        <f>GM!M3</f>
        <v>2021/22</v>
      </c>
      <c r="K3" s="44" t="str">
        <f>GM!N3</f>
        <v>2022/23</v>
      </c>
      <c r="L3" s="44" t="str">
        <f>GM!O3</f>
        <v>2023/24</v>
      </c>
      <c r="M3" s="44" t="str">
        <f>GM!P3</f>
        <v>2024/25</v>
      </c>
      <c r="N3" s="44" t="str">
        <f>GM!Q3</f>
        <v>2025/26</v>
      </c>
      <c r="O3" s="44" t="str">
        <f>GM!R3</f>
        <v>2026/27</v>
      </c>
      <c r="P3" s="95" t="str">
        <f>GM!S3</f>
        <v>2027/28</v>
      </c>
    </row>
    <row r="4" spans="1:16" x14ac:dyDescent="0.2">
      <c r="A4" s="54"/>
      <c r="B4" s="9"/>
      <c r="C4" s="89"/>
      <c r="D4" s="89"/>
      <c r="E4" s="46"/>
      <c r="F4" s="9"/>
      <c r="G4" s="9"/>
      <c r="H4" s="9"/>
      <c r="I4" s="9"/>
      <c r="J4" s="9"/>
      <c r="K4" s="9"/>
      <c r="L4" s="9"/>
      <c r="M4" s="9"/>
      <c r="N4" s="9"/>
      <c r="O4" s="9"/>
      <c r="P4" s="61"/>
    </row>
    <row r="5" spans="1:16" x14ac:dyDescent="0.2">
      <c r="A5" s="54"/>
      <c r="B5" s="9"/>
      <c r="C5" s="89"/>
      <c r="D5" s="89"/>
      <c r="E5" s="92" t="s">
        <v>2552</v>
      </c>
      <c r="F5" s="9"/>
      <c r="G5" s="9"/>
      <c r="H5" s="9"/>
      <c r="I5" s="9"/>
      <c r="J5" s="9"/>
      <c r="K5" s="9"/>
      <c r="L5" s="9"/>
      <c r="M5" s="9"/>
      <c r="N5" s="9"/>
      <c r="O5" s="9"/>
      <c r="P5" s="61"/>
    </row>
    <row r="6" spans="1:16" x14ac:dyDescent="0.2">
      <c r="A6" s="54"/>
      <c r="B6" s="9"/>
      <c r="C6" s="89"/>
      <c r="D6" s="89"/>
      <c r="E6" s="92"/>
      <c r="F6" s="9"/>
      <c r="G6" s="9"/>
      <c r="H6" s="9"/>
      <c r="I6" s="9"/>
      <c r="J6" s="9"/>
      <c r="K6" s="9"/>
      <c r="L6" s="9"/>
      <c r="M6" s="9"/>
      <c r="N6" s="9"/>
      <c r="O6" s="9"/>
      <c r="P6" s="61"/>
    </row>
    <row r="7" spans="1:16" ht="12.75" customHeight="1" outlineLevel="1" x14ac:dyDescent="0.2">
      <c r="A7" s="54"/>
      <c r="B7" s="9"/>
      <c r="C7" s="89"/>
      <c r="D7" s="89"/>
      <c r="E7" s="92" t="s">
        <v>3190</v>
      </c>
      <c r="F7" s="9"/>
      <c r="G7" s="9"/>
      <c r="H7" s="9"/>
      <c r="I7" s="9"/>
      <c r="J7" s="9"/>
      <c r="K7" s="9"/>
      <c r="L7" s="9"/>
      <c r="M7" s="9"/>
      <c r="N7" s="9"/>
      <c r="O7" s="9"/>
      <c r="P7" s="61"/>
    </row>
    <row r="8" spans="1:16" ht="12.75" customHeight="1" outlineLevel="1" x14ac:dyDescent="0.2">
      <c r="A8" s="54">
        <f>GM!B15</f>
        <v>28712700</v>
      </c>
      <c r="B8" s="9">
        <f>GM!C15</f>
        <v>31000000</v>
      </c>
      <c r="C8" s="89">
        <f>GM!D15</f>
        <v>31613400</v>
      </c>
      <c r="D8" s="89">
        <f>GM!E15</f>
        <v>36682100</v>
      </c>
      <c r="E8" s="58" t="s">
        <v>388</v>
      </c>
      <c r="F8" s="89">
        <f>GM!H15</f>
        <v>35317800</v>
      </c>
      <c r="G8" s="89">
        <f>GM!J15</f>
        <v>35522600</v>
      </c>
      <c r="H8" s="89">
        <f>GM!K15</f>
        <v>36439300</v>
      </c>
      <c r="I8" s="89">
        <f>GM!L15</f>
        <v>37339600</v>
      </c>
      <c r="J8" s="89">
        <f>GM!M15</f>
        <v>38295600</v>
      </c>
      <c r="K8" s="89">
        <f>GM!N15</f>
        <v>39269800</v>
      </c>
      <c r="L8" s="89">
        <f>GM!O15</f>
        <v>40300900</v>
      </c>
      <c r="M8" s="9">
        <f>GM!P15</f>
        <v>41357200</v>
      </c>
      <c r="N8" s="9">
        <f>GM!Q15</f>
        <v>42448400</v>
      </c>
      <c r="O8" s="9">
        <f>GM!R15</f>
        <v>43572200</v>
      </c>
      <c r="P8" s="61">
        <f>GM!S15</f>
        <v>44711800</v>
      </c>
    </row>
    <row r="9" spans="1:16" ht="12.75" customHeight="1" outlineLevel="1" x14ac:dyDescent="0.2">
      <c r="A9" s="54">
        <f>GM!B26-A12-A14-A13</f>
        <v>7328600</v>
      </c>
      <c r="B9" s="9">
        <f>GM!C26-B12-B14-B13</f>
        <v>6216100</v>
      </c>
      <c r="C9" s="89">
        <f>GM!D26-C12-C14-C13</f>
        <v>8094800</v>
      </c>
      <c r="D9" s="89">
        <f>GM!E26-D12-D14-D13</f>
        <v>6694400</v>
      </c>
      <c r="E9" s="58" t="s">
        <v>2018</v>
      </c>
      <c r="F9" s="9">
        <f>GM!H26-F12-F14-F13</f>
        <v>8581800</v>
      </c>
      <c r="G9" s="9">
        <f>GM!J26-G12-G14-G13</f>
        <v>7633900</v>
      </c>
      <c r="H9" s="9">
        <f>GM!K26-H12-H14-H13</f>
        <v>7747800</v>
      </c>
      <c r="I9" s="9">
        <f>GM!L26-I12-I14-I13</f>
        <v>8137800</v>
      </c>
      <c r="J9" s="9">
        <f>GM!M26-J12-J14-J13</f>
        <v>7973400</v>
      </c>
      <c r="K9" s="9">
        <f>GM!N26-K12-K14-K13</f>
        <v>8046000</v>
      </c>
      <c r="L9" s="9">
        <f>GM!O26-L12-L14-L13</f>
        <v>8215300</v>
      </c>
      <c r="M9" s="9">
        <f>GM!P26-M12-M14-M13</f>
        <v>8712800</v>
      </c>
      <c r="N9" s="9">
        <f>GM!Q26-N12-N14-N13</f>
        <v>8623100</v>
      </c>
      <c r="O9" s="9">
        <f>GM!R26-O12-O14-O13</f>
        <v>8820600</v>
      </c>
      <c r="P9" s="61">
        <f>GM!S26-P12-P14-P13</f>
        <v>9028000</v>
      </c>
    </row>
    <row r="10" spans="1:16" s="65" customFormat="1" ht="12.75" customHeight="1" outlineLevel="1" x14ac:dyDescent="0.2">
      <c r="A10" s="198">
        <f>A8-A9</f>
        <v>21384100</v>
      </c>
      <c r="B10" s="63">
        <f>B8-B9</f>
        <v>24783900</v>
      </c>
      <c r="C10" s="107">
        <f>C8-C9</f>
        <v>23518600</v>
      </c>
      <c r="D10" s="107">
        <f>D8-D9</f>
        <v>29987700</v>
      </c>
      <c r="E10" s="56" t="s">
        <v>664</v>
      </c>
      <c r="F10" s="63">
        <f t="shared" ref="F10:J10" si="0">F8-F9</f>
        <v>26736000</v>
      </c>
      <c r="G10" s="63">
        <f t="shared" si="0"/>
        <v>27888700</v>
      </c>
      <c r="H10" s="63">
        <f t="shared" si="0"/>
        <v>28691500</v>
      </c>
      <c r="I10" s="63">
        <f t="shared" si="0"/>
        <v>29201800</v>
      </c>
      <c r="J10" s="63">
        <f t="shared" si="0"/>
        <v>30322200</v>
      </c>
      <c r="K10" s="63">
        <f t="shared" ref="K10:P10" si="1">K8-K9</f>
        <v>31223800</v>
      </c>
      <c r="L10" s="63">
        <f t="shared" si="1"/>
        <v>32085600</v>
      </c>
      <c r="M10" s="63">
        <f t="shared" si="1"/>
        <v>32644400</v>
      </c>
      <c r="N10" s="63">
        <f t="shared" si="1"/>
        <v>33825300</v>
      </c>
      <c r="O10" s="63">
        <f t="shared" si="1"/>
        <v>34751600</v>
      </c>
      <c r="P10" s="106">
        <f t="shared" si="1"/>
        <v>35683800</v>
      </c>
    </row>
    <row r="11" spans="1:16" ht="12.75" customHeight="1" outlineLevel="1" x14ac:dyDescent="0.2">
      <c r="A11" s="54"/>
      <c r="B11" s="9"/>
      <c r="C11" s="89"/>
      <c r="D11" s="89"/>
      <c r="E11" s="58"/>
      <c r="F11" s="9"/>
      <c r="G11" s="9"/>
      <c r="H11" s="9"/>
      <c r="I11" s="9"/>
      <c r="J11" s="9"/>
      <c r="K11" s="9"/>
      <c r="L11" s="9"/>
      <c r="M11" s="9"/>
      <c r="N11" s="9"/>
      <c r="O11" s="9"/>
      <c r="P11" s="61"/>
    </row>
    <row r="12" spans="1:16" ht="12.75" customHeight="1" outlineLevel="1" x14ac:dyDescent="0.2">
      <c r="A12" s="54">
        <f>ROUND(GM!B38,-2)</f>
        <v>1384100</v>
      </c>
      <c r="B12" s="9">
        <f>ROUND(GM!C38,-2)</f>
        <v>879400</v>
      </c>
      <c r="C12" s="89">
        <f>GM!D38</f>
        <v>942200</v>
      </c>
      <c r="D12" s="89">
        <f>GM!E38</f>
        <v>334500</v>
      </c>
      <c r="E12" s="58" t="s">
        <v>2035</v>
      </c>
      <c r="F12" s="9">
        <f>GM!H38</f>
        <v>1110200</v>
      </c>
      <c r="G12" s="9">
        <f>GM!J38</f>
        <v>1147000</v>
      </c>
      <c r="H12" s="9">
        <f>GM!K38</f>
        <v>1181400</v>
      </c>
      <c r="I12" s="9">
        <f>GM!L38</f>
        <v>1205100</v>
      </c>
      <c r="J12" s="9">
        <f>GM!M38</f>
        <v>1229400</v>
      </c>
      <c r="K12" s="9">
        <f>GM!N38</f>
        <v>1254100</v>
      </c>
      <c r="L12" s="9">
        <f>GM!O38</f>
        <v>1279300</v>
      </c>
      <c r="M12" s="9">
        <f>GM!P38</f>
        <v>1305000</v>
      </c>
      <c r="N12" s="9">
        <f>GM!Q38</f>
        <v>1331300</v>
      </c>
      <c r="O12" s="9">
        <f>GM!R38</f>
        <v>1358000</v>
      </c>
      <c r="P12" s="61">
        <f>GM!S38</f>
        <v>1385200</v>
      </c>
    </row>
    <row r="13" spans="1:16" ht="12.75" customHeight="1" outlineLevel="1" x14ac:dyDescent="0.2">
      <c r="A13" s="54">
        <f>-ROUND(GM!B40,-2)</f>
        <v>289900</v>
      </c>
      <c r="B13" s="9">
        <f>-ROUND(GM!C40,-2)</f>
        <v>725700</v>
      </c>
      <c r="C13" s="89">
        <f>-GM!D40</f>
        <v>-319800</v>
      </c>
      <c r="D13" s="89">
        <f>-GM!E40</f>
        <v>403100</v>
      </c>
      <c r="E13" s="58" t="s">
        <v>5288</v>
      </c>
      <c r="F13" s="9">
        <f>-GM!H40</f>
        <v>0</v>
      </c>
      <c r="G13" s="9">
        <f>-GM!J40</f>
        <v>0</v>
      </c>
      <c r="H13" s="9">
        <f>-GM!K40</f>
        <v>0</v>
      </c>
      <c r="I13" s="9">
        <f>-GM!L40</f>
        <v>0</v>
      </c>
      <c r="J13" s="9">
        <f>-GM!M40</f>
        <v>0</v>
      </c>
      <c r="K13" s="9">
        <f>-GM!N40</f>
        <v>0</v>
      </c>
      <c r="L13" s="9">
        <f>-GM!O40</f>
        <v>0</v>
      </c>
      <c r="M13" s="9">
        <f>-GM!P40</f>
        <v>0</v>
      </c>
      <c r="N13" s="9">
        <f>-GM!Q40</f>
        <v>0</v>
      </c>
      <c r="O13" s="9">
        <f>-GM!R40</f>
        <v>0</v>
      </c>
      <c r="P13" s="61">
        <f>-GM!S40</f>
        <v>0</v>
      </c>
    </row>
    <row r="14" spans="1:16" ht="12.75" customHeight="1" outlineLevel="1" x14ac:dyDescent="0.2">
      <c r="A14" s="54">
        <f>ROUND(GM!B42,-2)</f>
        <v>2075400</v>
      </c>
      <c r="B14" s="9">
        <f>ROUND(GM!C42,-2)</f>
        <v>0</v>
      </c>
      <c r="C14" s="89">
        <f>GM!D42</f>
        <v>0</v>
      </c>
      <c r="D14" s="89">
        <f>GM!E42</f>
        <v>0</v>
      </c>
      <c r="E14" s="58" t="s">
        <v>4448</v>
      </c>
      <c r="F14" s="9">
        <f>GM!H42</f>
        <v>0</v>
      </c>
      <c r="G14" s="9">
        <f>GM!J42</f>
        <v>0</v>
      </c>
      <c r="H14" s="9">
        <f>GM!K42</f>
        <v>0</v>
      </c>
      <c r="I14" s="9">
        <f>GM!L42</f>
        <v>0</v>
      </c>
      <c r="J14" s="9">
        <f>GM!M42</f>
        <v>0</v>
      </c>
      <c r="K14" s="9">
        <f>GM!N42</f>
        <v>0</v>
      </c>
      <c r="L14" s="9">
        <f>GM!O42</f>
        <v>0</v>
      </c>
      <c r="M14" s="9">
        <f>GM!P42</f>
        <v>0</v>
      </c>
      <c r="N14" s="9">
        <f>GM!Q42</f>
        <v>0</v>
      </c>
      <c r="O14" s="9">
        <f>GM!R42</f>
        <v>0</v>
      </c>
      <c r="P14" s="61">
        <f>GM!S42</f>
        <v>0</v>
      </c>
    </row>
    <row r="15" spans="1:16" s="65" customFormat="1" ht="12.75" customHeight="1" outlineLevel="1" x14ac:dyDescent="0.2">
      <c r="A15" s="198">
        <f>A10-SUM(A12:A14)</f>
        <v>17634700</v>
      </c>
      <c r="B15" s="63">
        <f>B10-SUM(B12:B14)</f>
        <v>23178800</v>
      </c>
      <c r="C15" s="107">
        <f>C10-SUM(C12:C14)</f>
        <v>22896200</v>
      </c>
      <c r="D15" s="107">
        <f>D10-SUM(D12:D14)</f>
        <v>29250100</v>
      </c>
      <c r="E15" s="56" t="s">
        <v>398</v>
      </c>
      <c r="F15" s="63">
        <f t="shared" ref="F15:M15" si="2">F10-SUM(F12:F14)</f>
        <v>25625800</v>
      </c>
      <c r="G15" s="63">
        <f t="shared" si="2"/>
        <v>26741700</v>
      </c>
      <c r="H15" s="63">
        <f t="shared" si="2"/>
        <v>27510100</v>
      </c>
      <c r="I15" s="63">
        <f t="shared" si="2"/>
        <v>27996700</v>
      </c>
      <c r="J15" s="63">
        <f t="shared" si="2"/>
        <v>29092800</v>
      </c>
      <c r="K15" s="63">
        <f t="shared" si="2"/>
        <v>29969700</v>
      </c>
      <c r="L15" s="63">
        <f t="shared" si="2"/>
        <v>30806300</v>
      </c>
      <c r="M15" s="63">
        <f t="shared" si="2"/>
        <v>31339400</v>
      </c>
      <c r="N15" s="63">
        <f t="shared" ref="N15" si="3">N10-SUM(N12:N14)</f>
        <v>32494000</v>
      </c>
      <c r="O15" s="63">
        <f t="shared" ref="O15:P15" si="4">O10-SUM(O12:O14)</f>
        <v>33393600</v>
      </c>
      <c r="P15" s="106">
        <f t="shared" si="4"/>
        <v>34298600</v>
      </c>
    </row>
    <row r="16" spans="1:16" ht="12.75" customHeight="1" outlineLevel="1" x14ac:dyDescent="0.2">
      <c r="A16" s="54"/>
      <c r="B16" s="9"/>
      <c r="C16" s="89"/>
      <c r="D16" s="89"/>
      <c r="E16" s="31"/>
      <c r="F16" s="9"/>
      <c r="G16" s="9"/>
      <c r="H16" s="9"/>
      <c r="I16" s="9"/>
      <c r="J16" s="9"/>
      <c r="K16" s="9"/>
      <c r="L16" s="9"/>
      <c r="M16" s="9"/>
      <c r="N16" s="9"/>
      <c r="O16" s="9"/>
      <c r="P16" s="61"/>
    </row>
    <row r="17" spans="1:16" ht="12.75" customHeight="1" outlineLevel="1" x14ac:dyDescent="0.2">
      <c r="A17" s="54"/>
      <c r="B17" s="9"/>
      <c r="C17" s="89"/>
      <c r="D17" s="89"/>
      <c r="E17" s="92" t="s">
        <v>3191</v>
      </c>
      <c r="F17" s="9"/>
      <c r="G17" s="9"/>
      <c r="H17" s="9"/>
      <c r="I17" s="9"/>
      <c r="J17" s="9"/>
      <c r="K17" s="9"/>
      <c r="L17" s="9"/>
      <c r="M17" s="9"/>
      <c r="N17" s="9"/>
      <c r="O17" s="9"/>
      <c r="P17" s="61"/>
    </row>
    <row r="18" spans="1:16" ht="12.75" customHeight="1" outlineLevel="1" x14ac:dyDescent="0.2">
      <c r="A18" s="54">
        <f>ROUND(DEH!B12,-2)</f>
        <v>1613500</v>
      </c>
      <c r="B18" s="9">
        <f>DEH!C12</f>
        <v>2038800</v>
      </c>
      <c r="C18" s="89">
        <f>DEH!D12</f>
        <v>2524900</v>
      </c>
      <c r="D18" s="89">
        <f>DEH!E12</f>
        <v>2736900</v>
      </c>
      <c r="E18" s="58" t="s">
        <v>388</v>
      </c>
      <c r="F18" s="9">
        <f>DEH!H12</f>
        <v>2783000</v>
      </c>
      <c r="G18" s="9">
        <f>DEH!J12</f>
        <v>2592900</v>
      </c>
      <c r="H18" s="9">
        <f>DEH!K12</f>
        <v>2660100</v>
      </c>
      <c r="I18" s="9">
        <f>DEH!L12</f>
        <v>2729800</v>
      </c>
      <c r="J18" s="9">
        <f>DEH!M12</f>
        <v>2800900</v>
      </c>
      <c r="K18" s="9">
        <f>DEH!N12</f>
        <v>2873900</v>
      </c>
      <c r="L18" s="9">
        <f>DEH!O12</f>
        <v>2948300</v>
      </c>
      <c r="M18" s="9">
        <f>DEH!P12</f>
        <v>3024600</v>
      </c>
      <c r="N18" s="9">
        <f>DEH!Q12</f>
        <v>3102900</v>
      </c>
      <c r="O18" s="9">
        <f>DEH!R12</f>
        <v>3183200</v>
      </c>
      <c r="P18" s="61">
        <f>DEH!S12</f>
        <v>3265400</v>
      </c>
    </row>
    <row r="19" spans="1:16" ht="12.75" customHeight="1" outlineLevel="1" x14ac:dyDescent="0.2">
      <c r="A19" s="54">
        <f>ROUND(DEH!B21-A22,-2)</f>
        <v>3558800</v>
      </c>
      <c r="B19" s="9">
        <f>DEH!C21-B22</f>
        <v>3487900</v>
      </c>
      <c r="C19" s="89">
        <f>DEH!D21-C22</f>
        <v>3873300</v>
      </c>
      <c r="D19" s="89">
        <f>DEH!E21-D22</f>
        <v>4682000</v>
      </c>
      <c r="E19" s="58" t="s">
        <v>2018</v>
      </c>
      <c r="F19" s="9">
        <f>DEH!H21-F22</f>
        <v>5146600</v>
      </c>
      <c r="G19" s="9">
        <f>DEH!J21-G22</f>
        <v>4681500</v>
      </c>
      <c r="H19" s="9">
        <f>DEH!K21-H22</f>
        <v>4792000</v>
      </c>
      <c r="I19" s="9">
        <f>DEH!L21-I22</f>
        <v>4905600</v>
      </c>
      <c r="J19" s="9">
        <f>DEH!M21-J22</f>
        <v>5022100</v>
      </c>
      <c r="K19" s="9">
        <f>DEH!N21-K22</f>
        <v>5141400</v>
      </c>
      <c r="L19" s="9">
        <f>DEH!O21-L22</f>
        <v>5263400</v>
      </c>
      <c r="M19" s="9">
        <f>DEH!P21-M22</f>
        <v>5388200</v>
      </c>
      <c r="N19" s="9">
        <f>DEH!Q21-N22</f>
        <v>5515900</v>
      </c>
      <c r="O19" s="9">
        <f>DEH!R21-O22</f>
        <v>5646700</v>
      </c>
      <c r="P19" s="61">
        <f>DEH!S21-P22</f>
        <v>5780300</v>
      </c>
    </row>
    <row r="20" spans="1:16" s="65" customFormat="1" ht="12.75" customHeight="1" outlineLevel="1" x14ac:dyDescent="0.2">
      <c r="A20" s="198">
        <f>A18-A19</f>
        <v>-1945300</v>
      </c>
      <c r="B20" s="63">
        <f>B18-B19</f>
        <v>-1449100</v>
      </c>
      <c r="C20" s="107">
        <f>C18-C19</f>
        <v>-1348400</v>
      </c>
      <c r="D20" s="107">
        <f>D18-D19</f>
        <v>-1945100</v>
      </c>
      <c r="E20" s="56" t="s">
        <v>664</v>
      </c>
      <c r="F20" s="63">
        <f t="shared" ref="F20:J20" si="5">F18-F19</f>
        <v>-2363600</v>
      </c>
      <c r="G20" s="63">
        <f t="shared" si="5"/>
        <v>-2088600</v>
      </c>
      <c r="H20" s="63">
        <f t="shared" si="5"/>
        <v>-2131900</v>
      </c>
      <c r="I20" s="63">
        <f t="shared" si="5"/>
        <v>-2175800</v>
      </c>
      <c r="J20" s="63">
        <f t="shared" si="5"/>
        <v>-2221200</v>
      </c>
      <c r="K20" s="63">
        <f t="shared" ref="K20:P20" si="6">K18-K19</f>
        <v>-2267500</v>
      </c>
      <c r="L20" s="63">
        <f t="shared" si="6"/>
        <v>-2315100</v>
      </c>
      <c r="M20" s="63">
        <f t="shared" si="6"/>
        <v>-2363600</v>
      </c>
      <c r="N20" s="63">
        <f t="shared" si="6"/>
        <v>-2413000</v>
      </c>
      <c r="O20" s="63">
        <f t="shared" si="6"/>
        <v>-2463500</v>
      </c>
      <c r="P20" s="106">
        <f t="shared" si="6"/>
        <v>-2514900</v>
      </c>
    </row>
    <row r="21" spans="1:16" ht="12.75" customHeight="1" outlineLevel="1" x14ac:dyDescent="0.2">
      <c r="A21" s="54"/>
      <c r="B21" s="9"/>
      <c r="C21" s="89"/>
      <c r="D21" s="89"/>
      <c r="E21" s="58"/>
      <c r="F21" s="9"/>
      <c r="G21" s="9"/>
      <c r="H21" s="9"/>
      <c r="I21" s="9"/>
      <c r="J21" s="9"/>
      <c r="K21" s="9"/>
      <c r="L21" s="9"/>
      <c r="M21" s="9"/>
      <c r="N21" s="9"/>
      <c r="O21" s="9"/>
      <c r="P21" s="61"/>
    </row>
    <row r="22" spans="1:16" ht="12.75" customHeight="1" outlineLevel="1" x14ac:dyDescent="0.2">
      <c r="A22" s="54">
        <f>ROUND(DEH!B31,-2)</f>
        <v>9800</v>
      </c>
      <c r="B22" s="9">
        <f>DEH!C31</f>
        <v>4400</v>
      </c>
      <c r="C22" s="89">
        <f>DEH!D31</f>
        <v>4500</v>
      </c>
      <c r="D22" s="89">
        <f>DEH!E31</f>
        <v>5300</v>
      </c>
      <c r="E22" s="58" t="s">
        <v>2035</v>
      </c>
      <c r="F22" s="9">
        <f>DEH!H31</f>
        <v>4500</v>
      </c>
      <c r="G22" s="9">
        <f>DEH!J31</f>
        <v>5500</v>
      </c>
      <c r="H22" s="9">
        <f>DEH!K31</f>
        <v>5700</v>
      </c>
      <c r="I22" s="9">
        <f>DEH!L31</f>
        <v>5900</v>
      </c>
      <c r="J22" s="9">
        <f>DEH!M31</f>
        <v>6100</v>
      </c>
      <c r="K22" s="9">
        <f>DEH!N31</f>
        <v>6300</v>
      </c>
      <c r="L22" s="9">
        <f>DEH!O31</f>
        <v>6500</v>
      </c>
      <c r="M22" s="9">
        <f>DEH!P31</f>
        <v>6700</v>
      </c>
      <c r="N22" s="9">
        <f>DEH!Q31</f>
        <v>6900</v>
      </c>
      <c r="O22" s="9">
        <f>DEH!R31</f>
        <v>7100</v>
      </c>
      <c r="P22" s="61">
        <f>DEH!S31</f>
        <v>7300</v>
      </c>
    </row>
    <row r="23" spans="1:16" s="65" customFormat="1" ht="12.75" customHeight="1" outlineLevel="1" x14ac:dyDescent="0.2">
      <c r="A23" s="198">
        <f>A20-A22</f>
        <v>-1955100</v>
      </c>
      <c r="B23" s="63">
        <f>B20-B22</f>
        <v>-1453500</v>
      </c>
      <c r="C23" s="107">
        <f>C20-C22</f>
        <v>-1352900</v>
      </c>
      <c r="D23" s="107">
        <f>D20-D22</f>
        <v>-1950400</v>
      </c>
      <c r="E23" s="56" t="s">
        <v>398</v>
      </c>
      <c r="F23" s="63">
        <f t="shared" ref="F23:J23" si="7">F20-F22</f>
        <v>-2368100</v>
      </c>
      <c r="G23" s="63">
        <f t="shared" si="7"/>
        <v>-2094100</v>
      </c>
      <c r="H23" s="63">
        <f t="shared" si="7"/>
        <v>-2137600</v>
      </c>
      <c r="I23" s="63">
        <f t="shared" si="7"/>
        <v>-2181700</v>
      </c>
      <c r="J23" s="63">
        <f t="shared" si="7"/>
        <v>-2227300</v>
      </c>
      <c r="K23" s="63">
        <f t="shared" ref="K23:P23" si="8">K20-K22</f>
        <v>-2273800</v>
      </c>
      <c r="L23" s="63">
        <f t="shared" si="8"/>
        <v>-2321600</v>
      </c>
      <c r="M23" s="63">
        <f t="shared" si="8"/>
        <v>-2370300</v>
      </c>
      <c r="N23" s="63">
        <f t="shared" si="8"/>
        <v>-2419900</v>
      </c>
      <c r="O23" s="63">
        <f t="shared" si="8"/>
        <v>-2470600</v>
      </c>
      <c r="P23" s="106">
        <f t="shared" si="8"/>
        <v>-2522200</v>
      </c>
    </row>
    <row r="24" spans="1:16" ht="12.75" customHeight="1" outlineLevel="1" x14ac:dyDescent="0.2">
      <c r="A24" s="54"/>
      <c r="B24" s="9"/>
      <c r="C24" s="89"/>
      <c r="D24" s="89"/>
      <c r="E24" s="31"/>
      <c r="F24" s="9"/>
      <c r="G24" s="9"/>
      <c r="H24" s="9"/>
      <c r="I24" s="9"/>
      <c r="J24" s="9"/>
      <c r="K24" s="9"/>
      <c r="L24" s="9"/>
      <c r="M24" s="9"/>
      <c r="N24" s="9"/>
      <c r="O24" s="9"/>
      <c r="P24" s="61"/>
    </row>
    <row r="25" spans="1:16" ht="12.75" customHeight="1" outlineLevel="1" x14ac:dyDescent="0.2">
      <c r="A25" s="54"/>
      <c r="B25" s="9"/>
      <c r="C25" s="89"/>
      <c r="D25" s="89"/>
      <c r="E25" s="92" t="s">
        <v>2632</v>
      </c>
      <c r="F25" s="9"/>
      <c r="G25" s="9"/>
      <c r="H25" s="9"/>
      <c r="I25" s="9"/>
      <c r="J25" s="9"/>
      <c r="K25" s="9"/>
      <c r="L25" s="9"/>
      <c r="M25" s="9"/>
      <c r="N25" s="9"/>
      <c r="O25" s="9"/>
      <c r="P25" s="61"/>
    </row>
    <row r="26" spans="1:16" ht="12.75" customHeight="1" outlineLevel="1" x14ac:dyDescent="0.2">
      <c r="A26" s="54">
        <f>ROUND(CIV!B19,-2)</f>
        <v>14424300</v>
      </c>
      <c r="B26" s="9">
        <f>CIV!C19</f>
        <v>14561300</v>
      </c>
      <c r="C26" s="89">
        <f>CIV!D19</f>
        <v>15037800</v>
      </c>
      <c r="D26" s="89">
        <f>CIV!E19</f>
        <v>15642100</v>
      </c>
      <c r="E26" s="58" t="s">
        <v>388</v>
      </c>
      <c r="F26" s="9">
        <f>CIV!H19</f>
        <v>13294400</v>
      </c>
      <c r="G26" s="9">
        <f>CIV!J19</f>
        <v>12958200</v>
      </c>
      <c r="H26" s="9">
        <f>CIV!K19</f>
        <v>13366800</v>
      </c>
      <c r="I26" s="9">
        <f>CIV!L19</f>
        <v>13572900</v>
      </c>
      <c r="J26" s="9">
        <f>CIV!M19</f>
        <v>13826100</v>
      </c>
      <c r="K26" s="9">
        <f>CIV!N19</f>
        <v>14130600</v>
      </c>
      <c r="L26" s="9">
        <f>CIV!O19</f>
        <v>14447600</v>
      </c>
      <c r="M26" s="9">
        <f>CIV!P19</f>
        <v>14740300</v>
      </c>
      <c r="N26" s="9">
        <f>CIV!Q19</f>
        <v>15100800</v>
      </c>
      <c r="O26" s="9">
        <f>CIV!R19</f>
        <v>15442300</v>
      </c>
      <c r="P26" s="61">
        <f>CIV!S19</f>
        <v>15778300</v>
      </c>
    </row>
    <row r="27" spans="1:16" ht="12.75" customHeight="1" outlineLevel="1" x14ac:dyDescent="0.2">
      <c r="A27" s="54">
        <f>ROUND(CIV!B35-A30-A31-A32,-2)</f>
        <v>20556500</v>
      </c>
      <c r="B27" s="9">
        <f>CIV!C35-B30-B31-B32</f>
        <v>21153000</v>
      </c>
      <c r="C27" s="89">
        <f>CIV!D35-C30-C31-C32</f>
        <v>23172000</v>
      </c>
      <c r="D27" s="89">
        <f>CIV!E35-D30-D31-D32</f>
        <v>21787700</v>
      </c>
      <c r="E27" s="58" t="s">
        <v>2018</v>
      </c>
      <c r="F27" s="9">
        <f>CIV!H35-F30-F31-F32</f>
        <v>22638600</v>
      </c>
      <c r="G27" s="9">
        <f>CIV!J35-G30-G31-G32</f>
        <v>21890400</v>
      </c>
      <c r="H27" s="9">
        <f>CIV!K35-H30-H31-H32</f>
        <v>22686100</v>
      </c>
      <c r="I27" s="9">
        <f>CIV!L35-I30-I31-I32</f>
        <v>22844500</v>
      </c>
      <c r="J27" s="9">
        <f>CIV!M35-J30-J31-J32</f>
        <v>23787100</v>
      </c>
      <c r="K27" s="9">
        <f>CIV!N35-K30-K31-K32</f>
        <v>24191800</v>
      </c>
      <c r="L27" s="9">
        <f>CIV!O35-L30-L31-L32</f>
        <v>24822400</v>
      </c>
      <c r="M27" s="9">
        <f>CIV!P35-M30-M31-M32</f>
        <v>25438600</v>
      </c>
      <c r="N27" s="9">
        <f>CIV!Q35-N30-N31-N32</f>
        <v>25934200</v>
      </c>
      <c r="O27" s="9">
        <f>CIV!R35-O30-O31-O32</f>
        <v>26442700</v>
      </c>
      <c r="P27" s="61">
        <f>CIV!S35-P30-P31-P32</f>
        <v>27041200</v>
      </c>
    </row>
    <row r="28" spans="1:16" s="65" customFormat="1" ht="12.75" customHeight="1" outlineLevel="1" x14ac:dyDescent="0.2">
      <c r="A28" s="198">
        <f>A26-A27</f>
        <v>-6132200</v>
      </c>
      <c r="B28" s="63">
        <f>B26-B27</f>
        <v>-6591700</v>
      </c>
      <c r="C28" s="107">
        <f>C26-C27</f>
        <v>-8134200</v>
      </c>
      <c r="D28" s="107">
        <f>D26-D27</f>
        <v>-6145600</v>
      </c>
      <c r="E28" s="56" t="s">
        <v>664</v>
      </c>
      <c r="F28" s="63">
        <f t="shared" ref="F28:J28" si="9">F26-F27</f>
        <v>-9344200</v>
      </c>
      <c r="G28" s="63">
        <f t="shared" si="9"/>
        <v>-8932200</v>
      </c>
      <c r="H28" s="63">
        <f t="shared" si="9"/>
        <v>-9319300</v>
      </c>
      <c r="I28" s="63">
        <f t="shared" si="9"/>
        <v>-9271600</v>
      </c>
      <c r="J28" s="63">
        <f t="shared" si="9"/>
        <v>-9961000</v>
      </c>
      <c r="K28" s="63">
        <f t="shared" ref="K28:P28" si="10">K26-K27</f>
        <v>-10061200</v>
      </c>
      <c r="L28" s="63">
        <f t="shared" si="10"/>
        <v>-10374800</v>
      </c>
      <c r="M28" s="63">
        <f t="shared" si="10"/>
        <v>-10698300</v>
      </c>
      <c r="N28" s="63">
        <f t="shared" si="10"/>
        <v>-10833400</v>
      </c>
      <c r="O28" s="63">
        <f t="shared" si="10"/>
        <v>-11000400</v>
      </c>
      <c r="P28" s="106">
        <f t="shared" si="10"/>
        <v>-11262900</v>
      </c>
    </row>
    <row r="29" spans="1:16" ht="12.75" customHeight="1" outlineLevel="1" x14ac:dyDescent="0.2">
      <c r="A29" s="54"/>
      <c r="B29" s="9"/>
      <c r="C29" s="89"/>
      <c r="D29" s="89"/>
      <c r="E29" s="58"/>
      <c r="F29" s="9"/>
      <c r="G29" s="9"/>
      <c r="H29" s="9"/>
      <c r="I29" s="9"/>
      <c r="J29" s="9"/>
      <c r="K29" s="9"/>
      <c r="L29" s="9"/>
      <c r="M29" s="9"/>
      <c r="N29" s="9"/>
      <c r="O29" s="9"/>
      <c r="P29" s="61"/>
    </row>
    <row r="30" spans="1:16" ht="12.75" customHeight="1" outlineLevel="1" x14ac:dyDescent="0.2">
      <c r="A30" s="54">
        <f>ROUND(CIV!B2090,-1)</f>
        <v>13367400</v>
      </c>
      <c r="B30" s="9">
        <f>CIV!C2090</f>
        <v>12100500</v>
      </c>
      <c r="C30" s="89">
        <f>CIV!D2090</f>
        <v>12031000</v>
      </c>
      <c r="D30" s="89">
        <f>CIV!E2090</f>
        <v>9486100</v>
      </c>
      <c r="E30" s="58" t="s">
        <v>2035</v>
      </c>
      <c r="F30" s="9">
        <f>CIV!H2090</f>
        <v>11003200</v>
      </c>
      <c r="G30" s="9">
        <f>CIV!J2090</f>
        <v>11224400</v>
      </c>
      <c r="H30" s="9">
        <f>CIV!K2090</f>
        <v>11449700</v>
      </c>
      <c r="I30" s="9">
        <f>CIV!L2090</f>
        <v>11679500</v>
      </c>
      <c r="J30" s="9">
        <f>CIV!M2090</f>
        <v>11913900</v>
      </c>
      <c r="K30" s="9">
        <f>CIV!N2090</f>
        <v>12153100</v>
      </c>
      <c r="L30" s="9">
        <f>CIV!O2090</f>
        <v>12397000</v>
      </c>
      <c r="M30" s="9">
        <f>CIV!P2090</f>
        <v>12645800</v>
      </c>
      <c r="N30" s="9">
        <f>CIV!Q2090</f>
        <v>12899600</v>
      </c>
      <c r="O30" s="9">
        <f>CIV!R2090</f>
        <v>13158400</v>
      </c>
      <c r="P30" s="61">
        <f>CIV!S2090</f>
        <v>13422300</v>
      </c>
    </row>
    <row r="31" spans="1:16" ht="12.75" customHeight="1" outlineLevel="1" x14ac:dyDescent="0.2">
      <c r="A31" s="54">
        <f>CIV!B2092</f>
        <v>169300</v>
      </c>
      <c r="B31" s="9">
        <f>CIV!C2092</f>
        <v>231300</v>
      </c>
      <c r="C31" s="89">
        <f>CIV!D2092</f>
        <v>190800</v>
      </c>
      <c r="D31" s="89">
        <f>CIV!E2092</f>
        <v>152000</v>
      </c>
      <c r="E31" s="58" t="s">
        <v>2732</v>
      </c>
      <c r="F31" s="9">
        <f>CIV!H2092</f>
        <v>119100</v>
      </c>
      <c r="G31" s="9">
        <f>CIV!J2092</f>
        <v>70200</v>
      </c>
      <c r="H31" s="9">
        <f>CIV!K2092</f>
        <v>48000</v>
      </c>
      <c r="I31" s="9">
        <f>CIV!L2092</f>
        <v>20600</v>
      </c>
      <c r="J31" s="9">
        <f>CIV!M2092</f>
        <v>21400</v>
      </c>
      <c r="K31" s="9">
        <f>CIV!N2092</f>
        <v>22100</v>
      </c>
      <c r="L31" s="9">
        <f>CIV!O2092</f>
        <v>22900</v>
      </c>
      <c r="M31" s="9">
        <f>CIV!P2092</f>
        <v>23800</v>
      </c>
      <c r="N31" s="9">
        <f>CIV!Q2092</f>
        <v>24700</v>
      </c>
      <c r="O31" s="9">
        <f>CIV!R2092</f>
        <v>25600</v>
      </c>
      <c r="P31" s="61">
        <f>CIV!S2092</f>
        <v>25600</v>
      </c>
    </row>
    <row r="32" spans="1:16" ht="12.75" customHeight="1" outlineLevel="1" x14ac:dyDescent="0.2">
      <c r="A32" s="54">
        <f>ROUND(CIV!B2093,-1)</f>
        <v>1892000</v>
      </c>
      <c r="B32" s="9">
        <f>CIV!C2093</f>
        <v>3347700</v>
      </c>
      <c r="C32" s="89">
        <f>CIV!D2093</f>
        <v>0</v>
      </c>
      <c r="D32" s="89">
        <f>CIV!E2093</f>
        <v>5241100</v>
      </c>
      <c r="E32" s="58" t="s">
        <v>4448</v>
      </c>
      <c r="F32" s="9">
        <f>CIV!H2093</f>
        <v>0</v>
      </c>
      <c r="G32" s="9">
        <f>CIV!J2093</f>
        <v>0</v>
      </c>
      <c r="H32" s="9">
        <f>CIV!K2093</f>
        <v>0</v>
      </c>
      <c r="I32" s="9">
        <f>CIV!L2093</f>
        <v>0</v>
      </c>
      <c r="J32" s="9">
        <f>CIV!M2093</f>
        <v>0</v>
      </c>
      <c r="K32" s="9">
        <f>CIV!N2093</f>
        <v>0</v>
      </c>
      <c r="L32" s="9">
        <f>CIV!O2093</f>
        <v>0</v>
      </c>
      <c r="M32" s="9">
        <f>CIV!P2093</f>
        <v>0</v>
      </c>
      <c r="N32" s="9">
        <f>CIV!Q2093</f>
        <v>0</v>
      </c>
      <c r="O32" s="9">
        <f>CIV!R2093</f>
        <v>0</v>
      </c>
      <c r="P32" s="61">
        <f>CIV!S2093</f>
        <v>0</v>
      </c>
    </row>
    <row r="33" spans="1:16" s="65" customFormat="1" ht="12.75" customHeight="1" outlineLevel="1" x14ac:dyDescent="0.2">
      <c r="A33" s="198">
        <f>A28-SUM(A30:A32)</f>
        <v>-21560900</v>
      </c>
      <c r="B33" s="63">
        <f>B28-SUM(B30:B32)</f>
        <v>-22271200</v>
      </c>
      <c r="C33" s="107">
        <f>C28-SUM(C30:C32)</f>
        <v>-20356000</v>
      </c>
      <c r="D33" s="107">
        <f>D28-SUM(D30:D32)</f>
        <v>-21024800</v>
      </c>
      <c r="E33" s="56" t="s">
        <v>398</v>
      </c>
      <c r="F33" s="63">
        <f t="shared" ref="F33:M33" si="11">F28-SUM(F30:F32)</f>
        <v>-20466500</v>
      </c>
      <c r="G33" s="63">
        <f t="shared" si="11"/>
        <v>-20226800</v>
      </c>
      <c r="H33" s="63">
        <f t="shared" si="11"/>
        <v>-20817000</v>
      </c>
      <c r="I33" s="63">
        <f t="shared" si="11"/>
        <v>-20971700</v>
      </c>
      <c r="J33" s="63">
        <f t="shared" si="11"/>
        <v>-21896300</v>
      </c>
      <c r="K33" s="63">
        <f t="shared" si="11"/>
        <v>-22236400</v>
      </c>
      <c r="L33" s="63">
        <f t="shared" si="11"/>
        <v>-22794700</v>
      </c>
      <c r="M33" s="63">
        <f t="shared" si="11"/>
        <v>-23367900</v>
      </c>
      <c r="N33" s="63">
        <f t="shared" ref="N33" si="12">N28-SUM(N30:N32)</f>
        <v>-23757700</v>
      </c>
      <c r="O33" s="63">
        <f t="shared" ref="O33:P33" si="13">O28-SUM(O30:O32)</f>
        <v>-24184400</v>
      </c>
      <c r="P33" s="106">
        <f t="shared" si="13"/>
        <v>-24710800</v>
      </c>
    </row>
    <row r="34" spans="1:16" ht="12.75" customHeight="1" outlineLevel="1" x14ac:dyDescent="0.2">
      <c r="A34" s="54"/>
      <c r="B34" s="9"/>
      <c r="C34" s="89"/>
      <c r="D34" s="89"/>
      <c r="E34" s="31"/>
      <c r="F34" s="9"/>
      <c r="G34" s="9"/>
      <c r="H34" s="9"/>
      <c r="I34" s="9"/>
      <c r="J34" s="9"/>
      <c r="K34" s="9"/>
      <c r="L34" s="9"/>
      <c r="M34" s="9"/>
      <c r="N34" s="9"/>
      <c r="O34" s="9"/>
      <c r="P34" s="61"/>
    </row>
    <row r="35" spans="1:16" ht="12.75" customHeight="1" outlineLevel="1" x14ac:dyDescent="0.2">
      <c r="A35" s="54"/>
      <c r="B35" s="9"/>
      <c r="C35" s="89"/>
      <c r="D35" s="89"/>
      <c r="E35" s="56" t="s">
        <v>3192</v>
      </c>
      <c r="F35" s="9"/>
      <c r="G35" s="9"/>
      <c r="H35" s="9"/>
      <c r="I35" s="9"/>
      <c r="J35" s="9"/>
      <c r="K35" s="9"/>
      <c r="L35" s="9"/>
      <c r="M35" s="9"/>
      <c r="N35" s="9"/>
      <c r="O35" s="9"/>
      <c r="P35" s="61"/>
    </row>
    <row r="36" spans="1:16" ht="12.75" customHeight="1" outlineLevel="1" x14ac:dyDescent="0.2">
      <c r="A36" s="54">
        <f>ROUND(SP!B883,-2)</f>
        <v>1354300</v>
      </c>
      <c r="B36" s="9">
        <f>SP!C883</f>
        <v>1569700</v>
      </c>
      <c r="C36" s="89">
        <f>SP!D883</f>
        <v>1539900</v>
      </c>
      <c r="D36" s="89">
        <f>SP!E883</f>
        <v>1516500</v>
      </c>
      <c r="E36" s="58" t="s">
        <v>388</v>
      </c>
      <c r="F36" s="9">
        <f>SP!H883</f>
        <v>1303200</v>
      </c>
      <c r="G36" s="9">
        <f>SP!J883</f>
        <v>1688200</v>
      </c>
      <c r="H36" s="9">
        <f>SP!K883</f>
        <v>1899000</v>
      </c>
      <c r="I36" s="9">
        <f>SP!L883</f>
        <v>1707200</v>
      </c>
      <c r="J36" s="9">
        <f>SP!M883</f>
        <v>1746400</v>
      </c>
      <c r="K36" s="9">
        <f>SP!N883</f>
        <v>1812500</v>
      </c>
      <c r="L36" s="9">
        <f>SP!O883</f>
        <v>2036300</v>
      </c>
      <c r="M36" s="9">
        <f>SP!P883</f>
        <v>2122200</v>
      </c>
      <c r="N36" s="9">
        <f>SP!Q883</f>
        <v>2306400</v>
      </c>
      <c r="O36" s="9">
        <f>SP!R883</f>
        <v>2497000</v>
      </c>
      <c r="P36" s="61">
        <f>SP!S883</f>
        <v>2696400</v>
      </c>
    </row>
    <row r="37" spans="1:16" ht="12.75" customHeight="1" outlineLevel="1" x14ac:dyDescent="0.2">
      <c r="A37" s="54">
        <f>ROUND(SP!B889-A40,-2)</f>
        <v>4917200</v>
      </c>
      <c r="B37" s="9">
        <f>SP!C889-B40</f>
        <v>5001700</v>
      </c>
      <c r="C37" s="89">
        <f>SP!D889-C40</f>
        <v>5148200</v>
      </c>
      <c r="D37" s="89">
        <f>SP!E889-D40</f>
        <v>5368600</v>
      </c>
      <c r="E37" s="58" t="s">
        <v>2018</v>
      </c>
      <c r="F37" s="9">
        <f>SP!H889-F40</f>
        <v>5964000</v>
      </c>
      <c r="G37" s="9">
        <f>SP!J889-G40</f>
        <v>6224000</v>
      </c>
      <c r="H37" s="9">
        <f>SP!K889-H40</f>
        <v>6470600</v>
      </c>
      <c r="I37" s="9">
        <f>SP!L889-I40</f>
        <v>6603600</v>
      </c>
      <c r="J37" s="9">
        <f>SP!M889-J40</f>
        <v>6741100</v>
      </c>
      <c r="K37" s="9">
        <f>SP!N889-K40</f>
        <v>6881600</v>
      </c>
      <c r="L37" s="9">
        <f>SP!O889-L40</f>
        <v>7115000</v>
      </c>
      <c r="M37" s="9">
        <f>SP!P889-M40</f>
        <v>7173000</v>
      </c>
      <c r="N37" s="9">
        <f>SP!Q889-N40</f>
        <v>7324400</v>
      </c>
      <c r="O37" s="9">
        <f>SP!R889-O40</f>
        <v>7478200</v>
      </c>
      <c r="P37" s="61">
        <f>SP!S889-P40</f>
        <v>7637200</v>
      </c>
    </row>
    <row r="38" spans="1:16" s="65" customFormat="1" ht="12.75" customHeight="1" outlineLevel="1" x14ac:dyDescent="0.2">
      <c r="A38" s="198">
        <f>A36-A37</f>
        <v>-3562900</v>
      </c>
      <c r="B38" s="63">
        <f>B36-B37</f>
        <v>-3432000</v>
      </c>
      <c r="C38" s="107">
        <f>C36-C37</f>
        <v>-3608300</v>
      </c>
      <c r="D38" s="107">
        <f>D36-D37</f>
        <v>-3852100</v>
      </c>
      <c r="E38" s="56" t="s">
        <v>664</v>
      </c>
      <c r="F38" s="63">
        <f t="shared" ref="F38:J38" si="14">F36-F37</f>
        <v>-4660800</v>
      </c>
      <c r="G38" s="63">
        <f t="shared" si="14"/>
        <v>-4535800</v>
      </c>
      <c r="H38" s="63">
        <f t="shared" si="14"/>
        <v>-4571600</v>
      </c>
      <c r="I38" s="63">
        <f t="shared" si="14"/>
        <v>-4896400</v>
      </c>
      <c r="J38" s="63">
        <f t="shared" si="14"/>
        <v>-4994700</v>
      </c>
      <c r="K38" s="63">
        <f t="shared" ref="K38:P38" si="15">K36-K37</f>
        <v>-5069100</v>
      </c>
      <c r="L38" s="63">
        <f t="shared" si="15"/>
        <v>-5078700</v>
      </c>
      <c r="M38" s="63">
        <f t="shared" si="15"/>
        <v>-5050800</v>
      </c>
      <c r="N38" s="63">
        <f t="shared" si="15"/>
        <v>-5018000</v>
      </c>
      <c r="O38" s="63">
        <f t="shared" si="15"/>
        <v>-4981200</v>
      </c>
      <c r="P38" s="106">
        <f t="shared" si="15"/>
        <v>-4940800</v>
      </c>
    </row>
    <row r="39" spans="1:16" ht="12.75" customHeight="1" outlineLevel="1" x14ac:dyDescent="0.2">
      <c r="A39" s="54"/>
      <c r="B39" s="9"/>
      <c r="C39" s="89"/>
      <c r="D39" s="89"/>
      <c r="E39" s="58"/>
      <c r="F39" s="9"/>
      <c r="G39" s="9"/>
      <c r="H39" s="9"/>
      <c r="I39" s="9"/>
      <c r="J39" s="9"/>
      <c r="K39" s="9"/>
      <c r="L39" s="9"/>
      <c r="M39" s="9"/>
      <c r="N39" s="9"/>
      <c r="O39" s="9"/>
      <c r="P39" s="61"/>
    </row>
    <row r="40" spans="1:16" ht="12.75" customHeight="1" outlineLevel="1" x14ac:dyDescent="0.2">
      <c r="A40" s="54">
        <f>ROUND(SP!B871,-2)</f>
        <v>1104400</v>
      </c>
      <c r="B40" s="9">
        <f>SP!C871</f>
        <v>1160000</v>
      </c>
      <c r="C40" s="89">
        <f>SP!D871</f>
        <v>1189100</v>
      </c>
      <c r="D40" s="89">
        <f>SP!E871</f>
        <v>1179800</v>
      </c>
      <c r="E40" s="58" t="s">
        <v>2035</v>
      </c>
      <c r="F40" s="9">
        <f>SP!H871</f>
        <v>1266000</v>
      </c>
      <c r="G40" s="9">
        <f>SP!J871</f>
        <v>1377900</v>
      </c>
      <c r="H40" s="9">
        <f>SP!K871</f>
        <v>1485600</v>
      </c>
      <c r="I40" s="9">
        <f>SP!L871</f>
        <v>1515700</v>
      </c>
      <c r="J40" s="9">
        <f>SP!M871</f>
        <v>1546400</v>
      </c>
      <c r="K40" s="9">
        <f>SP!N871</f>
        <v>1577700</v>
      </c>
      <c r="L40" s="9">
        <f>SP!O871</f>
        <v>1609500</v>
      </c>
      <c r="M40" s="9">
        <f>SP!P871</f>
        <v>1642100</v>
      </c>
      <c r="N40" s="9">
        <f>SP!Q871</f>
        <v>1675300</v>
      </c>
      <c r="O40" s="9">
        <f>SP!R871</f>
        <v>1709200</v>
      </c>
      <c r="P40" s="61">
        <f>SP!S871</f>
        <v>1743600</v>
      </c>
    </row>
    <row r="41" spans="1:16" s="65" customFormat="1" ht="12.75" customHeight="1" outlineLevel="1" x14ac:dyDescent="0.2">
      <c r="A41" s="198">
        <f>A38-A40</f>
        <v>-4667300</v>
      </c>
      <c r="B41" s="63">
        <f>B38-B40</f>
        <v>-4592000</v>
      </c>
      <c r="C41" s="107">
        <f>C38-C40</f>
        <v>-4797400</v>
      </c>
      <c r="D41" s="107">
        <f>D38-D40</f>
        <v>-5031900</v>
      </c>
      <c r="E41" s="56" t="s">
        <v>398</v>
      </c>
      <c r="F41" s="63">
        <f t="shared" ref="F41:J41" si="16">F38-F40</f>
        <v>-5926800</v>
      </c>
      <c r="G41" s="63">
        <f t="shared" si="16"/>
        <v>-5913700</v>
      </c>
      <c r="H41" s="63">
        <f t="shared" si="16"/>
        <v>-6057200</v>
      </c>
      <c r="I41" s="63">
        <f t="shared" si="16"/>
        <v>-6412100</v>
      </c>
      <c r="J41" s="63">
        <f t="shared" si="16"/>
        <v>-6541100</v>
      </c>
      <c r="K41" s="63">
        <f t="shared" ref="K41:P41" si="17">K38-K40</f>
        <v>-6646800</v>
      </c>
      <c r="L41" s="63">
        <f t="shared" si="17"/>
        <v>-6688200</v>
      </c>
      <c r="M41" s="63">
        <f t="shared" si="17"/>
        <v>-6692900</v>
      </c>
      <c r="N41" s="63">
        <f t="shared" si="17"/>
        <v>-6693300</v>
      </c>
      <c r="O41" s="63">
        <f t="shared" si="17"/>
        <v>-6690400</v>
      </c>
      <c r="P41" s="106">
        <f t="shared" si="17"/>
        <v>-6684400</v>
      </c>
    </row>
    <row r="42" spans="1:16" ht="12.75" customHeight="1" outlineLevel="1" x14ac:dyDescent="0.2">
      <c r="A42" s="54"/>
      <c r="B42" s="9"/>
      <c r="C42" s="89"/>
      <c r="D42" s="89"/>
      <c r="E42" s="84"/>
      <c r="F42" s="9"/>
      <c r="G42" s="9"/>
      <c r="H42" s="9"/>
      <c r="I42" s="9"/>
      <c r="J42" s="9"/>
      <c r="K42" s="9"/>
      <c r="L42" s="9"/>
      <c r="M42" s="9"/>
      <c r="N42" s="9"/>
      <c r="O42" s="9"/>
      <c r="P42" s="61"/>
    </row>
    <row r="43" spans="1:16" x14ac:dyDescent="0.2">
      <c r="A43" s="54"/>
      <c r="B43" s="9"/>
      <c r="C43" s="89"/>
      <c r="D43" s="89"/>
      <c r="E43" s="117" t="s">
        <v>1749</v>
      </c>
      <c r="F43" s="9"/>
      <c r="G43" s="9"/>
      <c r="H43" s="9"/>
      <c r="I43" s="9"/>
      <c r="J43" s="9"/>
      <c r="K43" s="9"/>
      <c r="L43" s="9"/>
      <c r="M43" s="9"/>
      <c r="N43" s="9"/>
      <c r="O43" s="9"/>
      <c r="P43" s="61"/>
    </row>
    <row r="44" spans="1:16" x14ac:dyDescent="0.2">
      <c r="A44" s="54">
        <f t="shared" ref="A44:C45" si="18">A8+A18+A26+A36</f>
        <v>46104800</v>
      </c>
      <c r="B44" s="9">
        <f t="shared" si="18"/>
        <v>49169800</v>
      </c>
      <c r="C44" s="9">
        <f t="shared" si="18"/>
        <v>50716000</v>
      </c>
      <c r="D44" s="9">
        <f t="shared" ref="D44" si="19">D8+D18+D26+D36</f>
        <v>56577600</v>
      </c>
      <c r="E44" s="58" t="s">
        <v>388</v>
      </c>
      <c r="F44" s="9">
        <f t="shared" ref="F44:M44" si="20">F8+F18+F26+F36</f>
        <v>52698400</v>
      </c>
      <c r="G44" s="9">
        <f t="shared" si="20"/>
        <v>52761900</v>
      </c>
      <c r="H44" s="9">
        <f t="shared" si="20"/>
        <v>54365200</v>
      </c>
      <c r="I44" s="9">
        <f t="shared" si="20"/>
        <v>55349500</v>
      </c>
      <c r="J44" s="9">
        <f t="shared" si="20"/>
        <v>56669000</v>
      </c>
      <c r="K44" s="9">
        <f t="shared" si="20"/>
        <v>58086800</v>
      </c>
      <c r="L44" s="9">
        <f t="shared" si="20"/>
        <v>59733100</v>
      </c>
      <c r="M44" s="9">
        <f t="shared" si="20"/>
        <v>61244300</v>
      </c>
      <c r="N44" s="9">
        <f t="shared" ref="N44" si="21">N8+N18+N26+N36</f>
        <v>62958500</v>
      </c>
      <c r="O44" s="9">
        <f t="shared" ref="O44:P44" si="22">O8+O18+O26+O36</f>
        <v>64694700</v>
      </c>
      <c r="P44" s="61">
        <f t="shared" si="22"/>
        <v>66451900</v>
      </c>
    </row>
    <row r="45" spans="1:16" x14ac:dyDescent="0.2">
      <c r="A45" s="54">
        <f t="shared" si="18"/>
        <v>36361100</v>
      </c>
      <c r="B45" s="9">
        <f t="shared" si="18"/>
        <v>35858700</v>
      </c>
      <c r="C45" s="9">
        <f t="shared" si="18"/>
        <v>40288300</v>
      </c>
      <c r="D45" s="9">
        <f t="shared" ref="D45" si="23">D9+D19+D27+D37</f>
        <v>38532700</v>
      </c>
      <c r="E45" s="58" t="s">
        <v>1097</v>
      </c>
      <c r="F45" s="9">
        <f t="shared" ref="F45:M45" si="24">F9+F19+F27+F37</f>
        <v>42331000</v>
      </c>
      <c r="G45" s="9">
        <f t="shared" si="24"/>
        <v>40429800</v>
      </c>
      <c r="H45" s="9">
        <f t="shared" si="24"/>
        <v>41696500</v>
      </c>
      <c r="I45" s="9">
        <f t="shared" si="24"/>
        <v>42491500</v>
      </c>
      <c r="J45" s="9">
        <f t="shared" si="24"/>
        <v>43523700</v>
      </c>
      <c r="K45" s="9">
        <f t="shared" si="24"/>
        <v>44260800</v>
      </c>
      <c r="L45" s="9">
        <f t="shared" si="24"/>
        <v>45416100</v>
      </c>
      <c r="M45" s="9">
        <f t="shared" si="24"/>
        <v>46712600</v>
      </c>
      <c r="N45" s="9">
        <f t="shared" ref="N45" si="25">N9+N19+N27+N37</f>
        <v>47397600</v>
      </c>
      <c r="O45" s="9">
        <f t="shared" ref="O45:P45" si="26">O9+O19+O27+O37</f>
        <v>48388200</v>
      </c>
      <c r="P45" s="61">
        <f t="shared" si="26"/>
        <v>49486700</v>
      </c>
    </row>
    <row r="46" spans="1:16" s="39" customFormat="1" x14ac:dyDescent="0.2">
      <c r="A46" s="24">
        <f>A44-A45</f>
        <v>9743700</v>
      </c>
      <c r="B46" s="21">
        <f>B44-B45</f>
        <v>13311100</v>
      </c>
      <c r="C46" s="21">
        <f>C44-C45</f>
        <v>10427700</v>
      </c>
      <c r="D46" s="21">
        <f>D44-D45</f>
        <v>18044900</v>
      </c>
      <c r="E46" s="56" t="s">
        <v>4152</v>
      </c>
      <c r="F46" s="21">
        <f t="shared" ref="F46:J46" si="27">F44-F45</f>
        <v>10367400</v>
      </c>
      <c r="G46" s="21">
        <f t="shared" si="27"/>
        <v>12332100</v>
      </c>
      <c r="H46" s="21">
        <f t="shared" si="27"/>
        <v>12668700</v>
      </c>
      <c r="I46" s="21">
        <f t="shared" si="27"/>
        <v>12858000</v>
      </c>
      <c r="J46" s="21">
        <f t="shared" si="27"/>
        <v>13145300</v>
      </c>
      <c r="K46" s="21">
        <f t="shared" ref="K46:P46" si="28">K44-K45</f>
        <v>13826000</v>
      </c>
      <c r="L46" s="21">
        <f t="shared" si="28"/>
        <v>14317000</v>
      </c>
      <c r="M46" s="21">
        <f t="shared" si="28"/>
        <v>14531700</v>
      </c>
      <c r="N46" s="21">
        <f t="shared" si="28"/>
        <v>15560900</v>
      </c>
      <c r="O46" s="21">
        <f t="shared" si="28"/>
        <v>16306500</v>
      </c>
      <c r="P46" s="62">
        <f t="shared" si="28"/>
        <v>16965200</v>
      </c>
    </row>
    <row r="47" spans="1:16" x14ac:dyDescent="0.2">
      <c r="A47" s="54"/>
      <c r="B47" s="9"/>
      <c r="C47" s="9"/>
      <c r="D47" s="9"/>
      <c r="E47" s="58"/>
      <c r="F47" s="9"/>
      <c r="G47" s="9"/>
      <c r="H47" s="9"/>
      <c r="I47" s="9"/>
      <c r="J47" s="9"/>
      <c r="K47" s="9"/>
      <c r="L47" s="9"/>
      <c r="M47" s="9"/>
      <c r="N47" s="9"/>
      <c r="O47" s="9"/>
      <c r="P47" s="61"/>
    </row>
    <row r="48" spans="1:16" x14ac:dyDescent="0.2">
      <c r="A48" s="54">
        <f>+A12+A22+A30+A40</f>
        <v>15865700</v>
      </c>
      <c r="B48" s="9">
        <f>+B12+B22+B30+B40</f>
        <v>14144300</v>
      </c>
      <c r="C48" s="9">
        <f>+C12+C22+C30+C40</f>
        <v>14166800</v>
      </c>
      <c r="D48" s="9">
        <f>+D12+D22+D30+D40</f>
        <v>11005700</v>
      </c>
      <c r="E48" s="58" t="s">
        <v>1737</v>
      </c>
      <c r="F48" s="9">
        <f t="shared" ref="F48:M48" si="29">+F12+F22+F30+F40</f>
        <v>13383900</v>
      </c>
      <c r="G48" s="9">
        <f t="shared" si="29"/>
        <v>13754800</v>
      </c>
      <c r="H48" s="9">
        <f t="shared" si="29"/>
        <v>14122400</v>
      </c>
      <c r="I48" s="9">
        <f t="shared" si="29"/>
        <v>14406200</v>
      </c>
      <c r="J48" s="9">
        <f t="shared" si="29"/>
        <v>14695800</v>
      </c>
      <c r="K48" s="9">
        <f t="shared" si="29"/>
        <v>14991200</v>
      </c>
      <c r="L48" s="9">
        <f t="shared" si="29"/>
        <v>15292300</v>
      </c>
      <c r="M48" s="9">
        <f t="shared" si="29"/>
        <v>15599600</v>
      </c>
      <c r="N48" s="9">
        <f t="shared" ref="N48" si="30">+N12+N22+N30+N40</f>
        <v>15913100</v>
      </c>
      <c r="O48" s="9">
        <f t="shared" ref="O48:P48" si="31">+O12+O22+O30+O40</f>
        <v>16232700</v>
      </c>
      <c r="P48" s="61">
        <f t="shared" si="31"/>
        <v>16558400</v>
      </c>
    </row>
    <row r="49" spans="1:16" x14ac:dyDescent="0.2">
      <c r="A49" s="54">
        <f>A13</f>
        <v>289900</v>
      </c>
      <c r="B49" s="9">
        <f>B13</f>
        <v>725700</v>
      </c>
      <c r="C49" s="9">
        <f>C13</f>
        <v>-319800</v>
      </c>
      <c r="D49" s="9">
        <f>D13</f>
        <v>403100</v>
      </c>
      <c r="E49" s="58" t="s">
        <v>5289</v>
      </c>
      <c r="F49" s="9">
        <f t="shared" ref="F49:M49" si="32">F13</f>
        <v>0</v>
      </c>
      <c r="G49" s="9">
        <f t="shared" si="32"/>
        <v>0</v>
      </c>
      <c r="H49" s="9">
        <f t="shared" si="32"/>
        <v>0</v>
      </c>
      <c r="I49" s="9">
        <f t="shared" si="32"/>
        <v>0</v>
      </c>
      <c r="J49" s="9">
        <f t="shared" si="32"/>
        <v>0</v>
      </c>
      <c r="K49" s="9">
        <f t="shared" si="32"/>
        <v>0</v>
      </c>
      <c r="L49" s="9">
        <f t="shared" si="32"/>
        <v>0</v>
      </c>
      <c r="M49" s="9">
        <f t="shared" si="32"/>
        <v>0</v>
      </c>
      <c r="N49" s="9">
        <f t="shared" ref="N49" si="33">N13</f>
        <v>0</v>
      </c>
      <c r="O49" s="9">
        <f t="shared" ref="O49:P49" si="34">O13</f>
        <v>0</v>
      </c>
      <c r="P49" s="61">
        <f t="shared" si="34"/>
        <v>0</v>
      </c>
    </row>
    <row r="50" spans="1:16" x14ac:dyDescent="0.2">
      <c r="A50" s="54">
        <f>A31</f>
        <v>169300</v>
      </c>
      <c r="B50" s="9">
        <f>B31</f>
        <v>231300</v>
      </c>
      <c r="C50" s="89">
        <f>C31</f>
        <v>190800</v>
      </c>
      <c r="D50" s="89">
        <f>D31</f>
        <v>152000</v>
      </c>
      <c r="E50" s="58" t="s">
        <v>4151</v>
      </c>
      <c r="F50" s="9">
        <f t="shared" ref="F50:M50" si="35">F31</f>
        <v>119100</v>
      </c>
      <c r="G50" s="9">
        <f t="shared" si="35"/>
        <v>70200</v>
      </c>
      <c r="H50" s="9">
        <f>H31</f>
        <v>48000</v>
      </c>
      <c r="I50" s="9">
        <f t="shared" si="35"/>
        <v>20600</v>
      </c>
      <c r="J50" s="9">
        <f t="shared" si="35"/>
        <v>21400</v>
      </c>
      <c r="K50" s="9">
        <f t="shared" si="35"/>
        <v>22100</v>
      </c>
      <c r="L50" s="9">
        <f t="shared" si="35"/>
        <v>22900</v>
      </c>
      <c r="M50" s="9">
        <f t="shared" si="35"/>
        <v>23800</v>
      </c>
      <c r="N50" s="9">
        <f t="shared" ref="N50" si="36">N31</f>
        <v>24700</v>
      </c>
      <c r="O50" s="9">
        <f t="shared" ref="O50:P50" si="37">O31</f>
        <v>25600</v>
      </c>
      <c r="P50" s="61">
        <f t="shared" si="37"/>
        <v>25600</v>
      </c>
    </row>
    <row r="51" spans="1:16" ht="13.5" thickBot="1" x14ac:dyDescent="0.25">
      <c r="A51" s="54">
        <f>A32+A14</f>
        <v>3967400</v>
      </c>
      <c r="B51" s="9">
        <f>B32+B14</f>
        <v>3347700</v>
      </c>
      <c r="C51" s="89">
        <f>C32+C14</f>
        <v>0</v>
      </c>
      <c r="D51" s="89">
        <f>D32+D14</f>
        <v>5241100</v>
      </c>
      <c r="E51" s="58" t="s">
        <v>4453</v>
      </c>
      <c r="F51" s="9">
        <f t="shared" ref="F51:M51" si="38">F32+F14</f>
        <v>0</v>
      </c>
      <c r="G51" s="9">
        <f t="shared" si="38"/>
        <v>0</v>
      </c>
      <c r="H51" s="9">
        <f t="shared" si="38"/>
        <v>0</v>
      </c>
      <c r="I51" s="9">
        <f t="shared" si="38"/>
        <v>0</v>
      </c>
      <c r="J51" s="9">
        <f t="shared" si="38"/>
        <v>0</v>
      </c>
      <c r="K51" s="9">
        <f t="shared" si="38"/>
        <v>0</v>
      </c>
      <c r="L51" s="9">
        <f t="shared" si="38"/>
        <v>0</v>
      </c>
      <c r="M51" s="9">
        <f t="shared" si="38"/>
        <v>0</v>
      </c>
      <c r="N51" s="9">
        <f t="shared" ref="N51" si="39">N32+N14</f>
        <v>0</v>
      </c>
      <c r="O51" s="9">
        <f t="shared" ref="O51:P51" si="40">O32+O14</f>
        <v>0</v>
      </c>
      <c r="P51" s="61">
        <f t="shared" si="40"/>
        <v>0</v>
      </c>
    </row>
    <row r="52" spans="1:16" s="65" customFormat="1" x14ac:dyDescent="0.2">
      <c r="A52" s="125">
        <f>A46-SUM(A47:A51)</f>
        <v>-10548600</v>
      </c>
      <c r="B52" s="53">
        <f>B46-SUM(B47:B51)</f>
        <v>-5137900</v>
      </c>
      <c r="C52" s="105">
        <f>C46-SUM(C47:C51)</f>
        <v>-3610100</v>
      </c>
      <c r="D52" s="105">
        <f>D46-SUM(D47:D51)</f>
        <v>1243000</v>
      </c>
      <c r="E52" s="225" t="s">
        <v>398</v>
      </c>
      <c r="F52" s="53">
        <f t="shared" ref="F52:M52" si="41">F46-SUM(F47:F51)</f>
        <v>-3135600</v>
      </c>
      <c r="G52" s="53">
        <f t="shared" si="41"/>
        <v>-1492900</v>
      </c>
      <c r="H52" s="53">
        <f t="shared" si="41"/>
        <v>-1501700</v>
      </c>
      <c r="I52" s="53">
        <f t="shared" si="41"/>
        <v>-1568800</v>
      </c>
      <c r="J52" s="53">
        <f t="shared" si="41"/>
        <v>-1571900</v>
      </c>
      <c r="K52" s="53">
        <f t="shared" si="41"/>
        <v>-1187300</v>
      </c>
      <c r="L52" s="53">
        <f t="shared" si="41"/>
        <v>-998200</v>
      </c>
      <c r="M52" s="53">
        <f t="shared" si="41"/>
        <v>-1091700</v>
      </c>
      <c r="N52" s="53">
        <f t="shared" ref="N52" si="42">N46-SUM(N47:N51)</f>
        <v>-376900</v>
      </c>
      <c r="O52" s="53">
        <f t="shared" ref="O52:P52" si="43">O46-SUM(O47:O51)</f>
        <v>48200</v>
      </c>
      <c r="P52" s="104">
        <f t="shared" si="43"/>
        <v>381200</v>
      </c>
    </row>
    <row r="53" spans="1:16" x14ac:dyDescent="0.2">
      <c r="A53" s="54"/>
      <c r="B53" s="9"/>
      <c r="C53" s="89"/>
      <c r="D53" s="89"/>
      <c r="E53" s="58"/>
      <c r="F53" s="9"/>
      <c r="G53" s="9"/>
      <c r="H53" s="9"/>
      <c r="I53" s="9"/>
      <c r="J53" s="9"/>
      <c r="K53" s="9"/>
      <c r="L53" s="9"/>
      <c r="M53" s="9"/>
      <c r="N53" s="9"/>
      <c r="O53" s="9"/>
      <c r="P53" s="61"/>
    </row>
    <row r="54" spans="1:16" x14ac:dyDescent="0.2">
      <c r="A54" s="54"/>
      <c r="B54" s="9"/>
      <c r="C54" s="89"/>
      <c r="D54" s="89"/>
      <c r="E54" s="92" t="s">
        <v>1432</v>
      </c>
      <c r="F54" s="9"/>
      <c r="G54" s="9"/>
      <c r="H54" s="9"/>
      <c r="I54" s="9"/>
      <c r="J54" s="9"/>
      <c r="K54" s="9"/>
      <c r="L54" s="9"/>
      <c r="M54" s="9"/>
      <c r="N54" s="9"/>
      <c r="O54" s="9"/>
      <c r="P54" s="61"/>
    </row>
    <row r="55" spans="1:16" x14ac:dyDescent="0.2">
      <c r="A55" s="54">
        <f>A97</f>
        <v>1784300</v>
      </c>
      <c r="B55" s="9">
        <f>B97</f>
        <v>5663100</v>
      </c>
      <c r="C55" s="89">
        <f>C97</f>
        <v>1000000</v>
      </c>
      <c r="D55" s="89">
        <f>D97</f>
        <v>1443000</v>
      </c>
      <c r="E55" s="31" t="s">
        <v>3</v>
      </c>
      <c r="F55" s="9">
        <f t="shared" ref="F55:J55" si="44">F97</f>
        <v>1035300</v>
      </c>
      <c r="G55" s="9">
        <f t="shared" si="44"/>
        <v>1059200</v>
      </c>
      <c r="H55" s="9">
        <f t="shared" si="44"/>
        <v>1085700</v>
      </c>
      <c r="I55" s="9">
        <f t="shared" si="44"/>
        <v>1112900</v>
      </c>
      <c r="J55" s="9">
        <f t="shared" si="44"/>
        <v>1140800</v>
      </c>
      <c r="K55" s="9">
        <f t="shared" ref="K55:O55" si="45">K97</f>
        <v>1169400</v>
      </c>
      <c r="L55" s="9">
        <f t="shared" si="45"/>
        <v>1198700</v>
      </c>
      <c r="M55" s="9">
        <f t="shared" si="45"/>
        <v>1228700</v>
      </c>
      <c r="N55" s="9">
        <f t="shared" si="45"/>
        <v>1259500</v>
      </c>
      <c r="O55" s="9">
        <f t="shared" si="45"/>
        <v>1291000</v>
      </c>
      <c r="P55" s="61">
        <f>P97</f>
        <v>1323300</v>
      </c>
    </row>
    <row r="56" spans="1:16" x14ac:dyDescent="0.2">
      <c r="A56" s="54">
        <v>6861200</v>
      </c>
      <c r="B56" s="9">
        <v>4752500</v>
      </c>
      <c r="C56" s="89">
        <f>'Cap-Gen'!R221+'Cap Inc'!B14+'Cap Inc'!B19</f>
        <v>8258000</v>
      </c>
      <c r="D56" s="89">
        <f>+'Cap Inc'!C116</f>
        <v>7315700</v>
      </c>
      <c r="E56" s="98" t="s">
        <v>2668</v>
      </c>
      <c r="F56" s="9">
        <f>'Cap-Gen'!AB221-CIV!H1030+'Cap Inc'!F25+'Cap Inc'!F104+'Cap Inc'!F17+'Cap Inc'!F107</f>
        <v>10925500</v>
      </c>
      <c r="G56" s="9">
        <f>'Cap-Gen'!AG221-CIV!J1030</f>
        <v>3716900</v>
      </c>
      <c r="H56" s="9">
        <f>'Cap-Gen'!AL221-CIV!K1030</f>
        <v>297100</v>
      </c>
      <c r="I56" s="9">
        <f>'Cap-Gen'!AQ221-CIV!L1030</f>
        <v>303100</v>
      </c>
      <c r="J56" s="9">
        <f>'Cap-Gen'!AV221-CIV!M1030</f>
        <v>309300</v>
      </c>
      <c r="K56" s="9">
        <f>'Cap-Gen'!BA221-CIV!N1030</f>
        <v>315600</v>
      </c>
      <c r="L56" s="9">
        <f>'Cap-Gen'!BF221-CIV!O1030</f>
        <v>322000</v>
      </c>
      <c r="M56" s="9">
        <f>'Cap-Gen'!BK221-CIV!P1030</f>
        <v>328700</v>
      </c>
      <c r="N56" s="9">
        <f>'Cap-Gen'!BP221-CIV!Q1030</f>
        <v>335400</v>
      </c>
      <c r="O56" s="9">
        <f>'Cap-Gen'!BU221-CIV!R1030</f>
        <v>342200</v>
      </c>
      <c r="P56" s="61">
        <f>'Cap-Gen'!BZ221-CIV!S1030</f>
        <v>349300</v>
      </c>
    </row>
    <row r="57" spans="1:16" x14ac:dyDescent="0.2">
      <c r="A57" s="54">
        <f>'Sec 94'!A28</f>
        <v>2268800</v>
      </c>
      <c r="B57" s="9">
        <f>'Sec 94'!C28</f>
        <v>2924000</v>
      </c>
      <c r="C57" s="89">
        <f>'Sec 94'!E28</f>
        <v>2226100</v>
      </c>
      <c r="D57" s="89">
        <f>'Sec 94'!F28</f>
        <v>2348300</v>
      </c>
      <c r="E57" s="46" t="s">
        <v>1463</v>
      </c>
      <c r="F57" s="9">
        <f>'Sec 94'!G28</f>
        <v>4049000</v>
      </c>
      <c r="G57" s="9">
        <f>'Sec 94'!H28</f>
        <v>7192000</v>
      </c>
      <c r="H57" s="9">
        <f>'Sec 94'!I28</f>
        <v>7372000</v>
      </c>
      <c r="I57" s="9">
        <f>'Sec 94'!J28</f>
        <v>13556000</v>
      </c>
      <c r="J57" s="9">
        <f>'Sec 94'!K28</f>
        <v>13894000</v>
      </c>
      <c r="K57" s="9">
        <f>'Sec 94'!L28</f>
        <v>6241000</v>
      </c>
      <c r="L57" s="9">
        <f>'Sec 94'!M28</f>
        <v>6397000</v>
      </c>
      <c r="M57" s="9">
        <f>'Sec 94'!N28</f>
        <v>6556000</v>
      </c>
      <c r="N57" s="9">
        <f>'Sec 94'!O28</f>
        <v>6719000</v>
      </c>
      <c r="O57" s="9">
        <f>'Sec 94'!P28</f>
        <v>6887000</v>
      </c>
      <c r="P57" s="61">
        <f>'Sec 94'!Q28</f>
        <v>7059000</v>
      </c>
    </row>
    <row r="58" spans="1:16" ht="13.5" thickBot="1" x14ac:dyDescent="0.25">
      <c r="A58" s="54"/>
      <c r="B58" s="9"/>
      <c r="C58" s="89"/>
      <c r="D58" s="89"/>
      <c r="E58" s="46"/>
      <c r="F58" s="9"/>
      <c r="G58" s="9"/>
      <c r="H58" s="9"/>
      <c r="I58" s="9"/>
      <c r="J58" s="9"/>
      <c r="K58" s="9"/>
      <c r="L58" s="9"/>
      <c r="M58" s="9"/>
      <c r="N58" s="9"/>
      <c r="O58" s="9"/>
      <c r="P58" s="61"/>
    </row>
    <row r="59" spans="1:16" s="65" customFormat="1" ht="13.5" thickBot="1" x14ac:dyDescent="0.25">
      <c r="A59" s="199">
        <f>SUM(A52:A58)</f>
        <v>365700</v>
      </c>
      <c r="B59" s="202">
        <f>SUM(B52:B58)</f>
        <v>8201700</v>
      </c>
      <c r="C59" s="204">
        <f>SUM(C52:C58)</f>
        <v>7874000</v>
      </c>
      <c r="D59" s="204">
        <f>SUM(D52:D58)</f>
        <v>12350000</v>
      </c>
      <c r="E59" s="200" t="s">
        <v>2722</v>
      </c>
      <c r="F59" s="202">
        <f t="shared" ref="F59:N59" si="46">SUM(F52:F58)</f>
        <v>12874200</v>
      </c>
      <c r="G59" s="202">
        <f t="shared" si="46"/>
        <v>10475200</v>
      </c>
      <c r="H59" s="202">
        <f t="shared" si="46"/>
        <v>7253100</v>
      </c>
      <c r="I59" s="202">
        <f t="shared" si="46"/>
        <v>13403200</v>
      </c>
      <c r="J59" s="202">
        <f t="shared" si="46"/>
        <v>13772200</v>
      </c>
      <c r="K59" s="202">
        <f t="shared" si="46"/>
        <v>6538700</v>
      </c>
      <c r="L59" s="202">
        <f t="shared" si="46"/>
        <v>6919500</v>
      </c>
      <c r="M59" s="202">
        <f t="shared" si="46"/>
        <v>7021700</v>
      </c>
      <c r="N59" s="202">
        <f t="shared" si="46"/>
        <v>7937000</v>
      </c>
      <c r="O59" s="202">
        <f t="shared" ref="O59:P59" si="47">SUM(O52:O58)</f>
        <v>8568400</v>
      </c>
      <c r="P59" s="203">
        <f t="shared" si="47"/>
        <v>9112800</v>
      </c>
    </row>
    <row r="60" spans="1:16" s="65" customFormat="1" ht="13.5" thickTop="1" x14ac:dyDescent="0.2">
      <c r="A60" s="198"/>
      <c r="B60" s="63"/>
      <c r="C60" s="107"/>
      <c r="D60" s="107"/>
      <c r="E60" s="92"/>
      <c r="F60" s="63"/>
      <c r="G60" s="63"/>
      <c r="H60" s="63"/>
      <c r="I60" s="63"/>
      <c r="J60" s="63"/>
      <c r="K60" s="63"/>
      <c r="L60" s="63"/>
      <c r="M60" s="63"/>
      <c r="N60" s="63"/>
      <c r="O60" s="63"/>
      <c r="P60" s="106"/>
    </row>
    <row r="61" spans="1:16" s="65" customFormat="1" x14ac:dyDescent="0.2">
      <c r="A61" s="198"/>
      <c r="B61" s="63"/>
      <c r="C61" s="107"/>
      <c r="D61" s="107"/>
      <c r="E61" s="92" t="s">
        <v>2723</v>
      </c>
      <c r="F61" s="63"/>
      <c r="G61" s="63"/>
      <c r="H61" s="63"/>
      <c r="I61" s="63"/>
      <c r="J61" s="63"/>
      <c r="K61" s="63"/>
      <c r="L61" s="63"/>
      <c r="M61" s="63"/>
      <c r="N61" s="63"/>
      <c r="O61" s="63"/>
      <c r="P61" s="106"/>
    </row>
    <row r="62" spans="1:16" s="65" customFormat="1" x14ac:dyDescent="0.2">
      <c r="A62" s="198"/>
      <c r="B62" s="63"/>
      <c r="C62" s="107"/>
      <c r="D62" s="107"/>
      <c r="E62" s="92"/>
      <c r="F62" s="63"/>
      <c r="G62" s="63"/>
      <c r="H62" s="63"/>
      <c r="I62" s="63"/>
      <c r="J62" s="63"/>
      <c r="K62" s="63"/>
      <c r="L62" s="63"/>
      <c r="M62" s="63"/>
      <c r="N62" s="63"/>
      <c r="O62" s="63"/>
      <c r="P62" s="106"/>
    </row>
    <row r="63" spans="1:16" x14ac:dyDescent="0.2">
      <c r="A63" s="54"/>
      <c r="B63" s="9"/>
      <c r="C63" s="89"/>
      <c r="D63" s="89"/>
      <c r="E63" s="92" t="s">
        <v>2329</v>
      </c>
      <c r="F63" s="9"/>
      <c r="G63" s="9"/>
      <c r="H63" s="9"/>
      <c r="I63" s="9"/>
      <c r="J63" s="9"/>
      <c r="K63" s="9"/>
      <c r="L63" s="9"/>
      <c r="M63" s="9"/>
      <c r="N63" s="9"/>
      <c r="O63" s="9"/>
      <c r="P63" s="61"/>
    </row>
    <row r="64" spans="1:16" x14ac:dyDescent="0.2">
      <c r="A64" s="54">
        <f>ROUND(A107,-1)</f>
        <v>15865700</v>
      </c>
      <c r="B64" s="9">
        <f>B107</f>
        <v>14144300</v>
      </c>
      <c r="C64" s="89">
        <f>C107</f>
        <v>14166800</v>
      </c>
      <c r="D64" s="89">
        <f>D107</f>
        <v>11005700</v>
      </c>
      <c r="E64" s="46" t="s">
        <v>2035</v>
      </c>
      <c r="F64" s="9">
        <f t="shared" ref="F64:J64" si="48">F107</f>
        <v>13383900</v>
      </c>
      <c r="G64" s="9">
        <f t="shared" si="48"/>
        <v>13754800</v>
      </c>
      <c r="H64" s="9">
        <f t="shared" si="48"/>
        <v>14122400</v>
      </c>
      <c r="I64" s="9">
        <f t="shared" si="48"/>
        <v>14406200</v>
      </c>
      <c r="J64" s="9">
        <f t="shared" si="48"/>
        <v>14695800</v>
      </c>
      <c r="K64" s="9">
        <f t="shared" ref="K64:P64" si="49">K107</f>
        <v>14991200</v>
      </c>
      <c r="L64" s="9">
        <f t="shared" si="49"/>
        <v>15292300</v>
      </c>
      <c r="M64" s="9">
        <f t="shared" si="49"/>
        <v>15599600</v>
      </c>
      <c r="N64" s="9">
        <f t="shared" si="49"/>
        <v>15913100</v>
      </c>
      <c r="O64" s="9">
        <f t="shared" si="49"/>
        <v>16232700</v>
      </c>
      <c r="P64" s="61">
        <f t="shared" si="49"/>
        <v>16558400</v>
      </c>
    </row>
    <row r="65" spans="1:16" x14ac:dyDescent="0.2">
      <c r="A65" s="54">
        <f>A49</f>
        <v>289900</v>
      </c>
      <c r="B65" s="9">
        <f>B49</f>
        <v>725700</v>
      </c>
      <c r="C65" s="9">
        <f>C49</f>
        <v>-319800</v>
      </c>
      <c r="D65" s="9">
        <f>D49</f>
        <v>403100</v>
      </c>
      <c r="E65" s="58" t="s">
        <v>5288</v>
      </c>
      <c r="F65" s="9">
        <f t="shared" ref="F65:N65" si="50">F49</f>
        <v>0</v>
      </c>
      <c r="G65" s="9">
        <f t="shared" si="50"/>
        <v>0</v>
      </c>
      <c r="H65" s="9">
        <f t="shared" si="50"/>
        <v>0</v>
      </c>
      <c r="I65" s="9">
        <f t="shared" si="50"/>
        <v>0</v>
      </c>
      <c r="J65" s="9">
        <f t="shared" si="50"/>
        <v>0</v>
      </c>
      <c r="K65" s="9">
        <f t="shared" si="50"/>
        <v>0</v>
      </c>
      <c r="L65" s="9">
        <f t="shared" si="50"/>
        <v>0</v>
      </c>
      <c r="M65" s="9">
        <f t="shared" si="50"/>
        <v>0</v>
      </c>
      <c r="N65" s="9">
        <f t="shared" si="50"/>
        <v>0</v>
      </c>
      <c r="O65" s="9">
        <f t="shared" ref="O65:P65" si="51">O49</f>
        <v>0</v>
      </c>
      <c r="P65" s="61">
        <f t="shared" si="51"/>
        <v>0</v>
      </c>
    </row>
    <row r="66" spans="1:16" x14ac:dyDescent="0.2">
      <c r="A66" s="54">
        <f>-GM!B39</f>
        <v>333000</v>
      </c>
      <c r="B66" s="9">
        <f>-GM!C39</f>
        <v>-30000</v>
      </c>
      <c r="C66" s="9">
        <f>-GM!D39</f>
        <v>-163000</v>
      </c>
      <c r="D66" s="9">
        <f>-GM!E39</f>
        <v>150000</v>
      </c>
      <c r="E66" s="58" t="s">
        <v>5279</v>
      </c>
      <c r="F66" s="9">
        <v>0</v>
      </c>
      <c r="G66" s="9">
        <f>-GM!H39</f>
        <v>0</v>
      </c>
      <c r="H66" s="9">
        <f>-GM!J39</f>
        <v>0</v>
      </c>
      <c r="I66" s="9">
        <f>-GM!K39</f>
        <v>0</v>
      </c>
      <c r="J66" s="9">
        <f>-GM!L39</f>
        <v>0</v>
      </c>
      <c r="K66" s="9">
        <f>-GM!M39</f>
        <v>0</v>
      </c>
      <c r="L66" s="9">
        <f>-GM!N39</f>
        <v>0</v>
      </c>
      <c r="M66" s="9">
        <f>-GM!O39</f>
        <v>0</v>
      </c>
      <c r="N66" s="9">
        <f>-GM!P39</f>
        <v>0</v>
      </c>
      <c r="O66" s="9">
        <f>-GM!Q39</f>
        <v>0</v>
      </c>
      <c r="P66" s="61">
        <f>-GM!R39</f>
        <v>0</v>
      </c>
    </row>
    <row r="67" spans="1:16" x14ac:dyDescent="0.2">
      <c r="A67" s="54">
        <f>-GM!B862</f>
        <v>0</v>
      </c>
      <c r="B67" s="9">
        <f>-GM!C862</f>
        <v>-460100</v>
      </c>
      <c r="C67" s="9">
        <f>GM!D862</f>
        <v>0</v>
      </c>
      <c r="D67" s="9">
        <f>GM!E862</f>
        <v>-360400</v>
      </c>
      <c r="E67" s="58" t="s">
        <v>5317</v>
      </c>
      <c r="F67" s="9">
        <f>GM!H862</f>
        <v>0</v>
      </c>
      <c r="G67" s="9">
        <f>GM!J862</f>
        <v>0</v>
      </c>
      <c r="H67" s="9">
        <f>GM!K862</f>
        <v>0</v>
      </c>
      <c r="I67" s="9">
        <f>GM!L862</f>
        <v>0</v>
      </c>
      <c r="J67" s="9">
        <f>GM!M862</f>
        <v>0</v>
      </c>
      <c r="K67" s="9">
        <f>GM!N862</f>
        <v>0</v>
      </c>
      <c r="L67" s="9">
        <f>GM!O862</f>
        <v>0</v>
      </c>
      <c r="M67" s="9">
        <f>GM!P862</f>
        <v>0</v>
      </c>
      <c r="N67" s="9">
        <f>GM!Q862</f>
        <v>0</v>
      </c>
      <c r="O67" s="9">
        <f>GM!R862</f>
        <v>0</v>
      </c>
      <c r="P67" s="61">
        <f>GM!S862</f>
        <v>0</v>
      </c>
    </row>
    <row r="68" spans="1:16" x14ac:dyDescent="0.2">
      <c r="A68" s="54">
        <f t="shared" ref="A68:C69" si="52">A50</f>
        <v>169300</v>
      </c>
      <c r="B68" s="9">
        <f t="shared" si="52"/>
        <v>231300</v>
      </c>
      <c r="C68" s="9">
        <f t="shared" si="52"/>
        <v>190800</v>
      </c>
      <c r="D68" s="9">
        <f t="shared" ref="D68" si="53">D50</f>
        <v>152000</v>
      </c>
      <c r="E68" s="31" t="s">
        <v>5354</v>
      </c>
      <c r="F68" s="9">
        <f t="shared" ref="F68:N68" si="54">F50</f>
        <v>119100</v>
      </c>
      <c r="G68" s="9">
        <f t="shared" si="54"/>
        <v>70200</v>
      </c>
      <c r="H68" s="9">
        <f t="shared" si="54"/>
        <v>48000</v>
      </c>
      <c r="I68" s="9">
        <f t="shared" si="54"/>
        <v>20600</v>
      </c>
      <c r="J68" s="9">
        <f t="shared" si="54"/>
        <v>21400</v>
      </c>
      <c r="K68" s="9">
        <f t="shared" si="54"/>
        <v>22100</v>
      </c>
      <c r="L68" s="9">
        <f t="shared" si="54"/>
        <v>22900</v>
      </c>
      <c r="M68" s="9">
        <f t="shared" si="54"/>
        <v>23800</v>
      </c>
      <c r="N68" s="9">
        <f t="shared" si="54"/>
        <v>24700</v>
      </c>
      <c r="O68" s="9">
        <f t="shared" ref="O68:P68" si="55">O50</f>
        <v>25600</v>
      </c>
      <c r="P68" s="61">
        <f t="shared" si="55"/>
        <v>25600</v>
      </c>
    </row>
    <row r="69" spans="1:16" x14ac:dyDescent="0.2">
      <c r="A69" s="54">
        <f t="shared" si="52"/>
        <v>3967400</v>
      </c>
      <c r="B69" s="9">
        <f t="shared" si="52"/>
        <v>3347700</v>
      </c>
      <c r="C69" s="9">
        <f t="shared" si="52"/>
        <v>0</v>
      </c>
      <c r="D69" s="9">
        <f t="shared" ref="D69" si="56">D51</f>
        <v>5241100</v>
      </c>
      <c r="E69" s="31" t="s">
        <v>4448</v>
      </c>
      <c r="F69" s="9">
        <f t="shared" ref="F69:N69" si="57">F51</f>
        <v>0</v>
      </c>
      <c r="G69" s="9">
        <f t="shared" si="57"/>
        <v>0</v>
      </c>
      <c r="H69" s="9">
        <f t="shared" si="57"/>
        <v>0</v>
      </c>
      <c r="I69" s="9">
        <f t="shared" si="57"/>
        <v>0</v>
      </c>
      <c r="J69" s="9">
        <f t="shared" si="57"/>
        <v>0</v>
      </c>
      <c r="K69" s="9">
        <f t="shared" si="57"/>
        <v>0</v>
      </c>
      <c r="L69" s="9">
        <f t="shared" si="57"/>
        <v>0</v>
      </c>
      <c r="M69" s="9">
        <f t="shared" si="57"/>
        <v>0</v>
      </c>
      <c r="N69" s="9">
        <f t="shared" si="57"/>
        <v>0</v>
      </c>
      <c r="O69" s="9">
        <f t="shared" ref="O69:P69" si="58">O51</f>
        <v>0</v>
      </c>
      <c r="P69" s="61">
        <f t="shared" si="58"/>
        <v>0</v>
      </c>
    </row>
    <row r="70" spans="1:16" x14ac:dyDescent="0.2">
      <c r="A70" s="54"/>
      <c r="B70" s="9"/>
      <c r="C70" s="89"/>
      <c r="D70" s="89"/>
      <c r="E70" s="46"/>
      <c r="F70" s="9"/>
      <c r="G70" s="9"/>
      <c r="H70" s="9"/>
      <c r="I70" s="9"/>
      <c r="J70" s="9"/>
      <c r="K70" s="9"/>
      <c r="L70" s="9"/>
      <c r="M70" s="9"/>
      <c r="N70" s="9"/>
      <c r="O70" s="9"/>
      <c r="P70" s="61"/>
    </row>
    <row r="71" spans="1:16" x14ac:dyDescent="0.2">
      <c r="A71" s="54"/>
      <c r="B71" s="403"/>
      <c r="C71" s="89"/>
      <c r="D71" s="89"/>
      <c r="E71" s="92" t="s">
        <v>740</v>
      </c>
      <c r="F71" s="9"/>
      <c r="G71" s="9"/>
      <c r="H71" s="9"/>
      <c r="I71" s="9"/>
      <c r="J71" s="9"/>
      <c r="K71" s="9"/>
      <c r="L71" s="9"/>
      <c r="M71" s="9"/>
      <c r="N71" s="9"/>
      <c r="O71" s="9"/>
      <c r="P71" s="61"/>
    </row>
    <row r="72" spans="1:16" x14ac:dyDescent="0.2">
      <c r="A72" s="54">
        <f>-A97</f>
        <v>-1784300</v>
      </c>
      <c r="B72" s="9">
        <f>-B97</f>
        <v>-5663100</v>
      </c>
      <c r="C72" s="89">
        <f>-C97</f>
        <v>-1000000</v>
      </c>
      <c r="D72" s="89">
        <f>-D97</f>
        <v>-1443000</v>
      </c>
      <c r="E72" s="57" t="s">
        <v>3</v>
      </c>
      <c r="F72" s="9">
        <f t="shared" ref="F72:J72" si="59">-F97</f>
        <v>-1035300</v>
      </c>
      <c r="G72" s="9">
        <f t="shared" si="59"/>
        <v>-1059200</v>
      </c>
      <c r="H72" s="9">
        <f t="shared" si="59"/>
        <v>-1085700</v>
      </c>
      <c r="I72" s="9">
        <f t="shared" si="59"/>
        <v>-1112900</v>
      </c>
      <c r="J72" s="9">
        <f t="shared" si="59"/>
        <v>-1140800</v>
      </c>
      <c r="K72" s="9">
        <f t="shared" ref="K72:P72" si="60">-K97</f>
        <v>-1169400</v>
      </c>
      <c r="L72" s="9">
        <f t="shared" si="60"/>
        <v>-1198700</v>
      </c>
      <c r="M72" s="9">
        <f t="shared" si="60"/>
        <v>-1228700</v>
      </c>
      <c r="N72" s="9">
        <f t="shared" si="60"/>
        <v>-1259500</v>
      </c>
      <c r="O72" s="9">
        <f t="shared" si="60"/>
        <v>-1291000</v>
      </c>
      <c r="P72" s="61">
        <f t="shared" si="60"/>
        <v>-1323300</v>
      </c>
    </row>
    <row r="73" spans="1:16" x14ac:dyDescent="0.2">
      <c r="A73" s="54"/>
      <c r="B73" s="9"/>
      <c r="C73" s="89"/>
      <c r="D73" s="89"/>
      <c r="E73" s="46"/>
      <c r="F73" s="9"/>
      <c r="G73" s="9"/>
      <c r="H73" s="9"/>
      <c r="I73" s="9"/>
      <c r="J73" s="9"/>
      <c r="K73" s="9"/>
      <c r="L73" s="9"/>
      <c r="M73" s="9"/>
      <c r="N73" s="9"/>
      <c r="O73" s="9"/>
      <c r="P73" s="61"/>
    </row>
    <row r="74" spans="1:16" x14ac:dyDescent="0.2">
      <c r="A74" s="54"/>
      <c r="B74" s="9"/>
      <c r="C74" s="89"/>
      <c r="D74" s="89"/>
      <c r="E74" s="92" t="s">
        <v>690</v>
      </c>
      <c r="F74" s="9"/>
      <c r="G74" s="9"/>
      <c r="H74" s="9"/>
      <c r="I74" s="9"/>
      <c r="J74" s="9"/>
      <c r="K74" s="9"/>
      <c r="L74" s="9"/>
      <c r="M74" s="9"/>
      <c r="N74" s="9"/>
      <c r="O74" s="9"/>
      <c r="P74" s="61"/>
    </row>
    <row r="75" spans="1:16" x14ac:dyDescent="0.2">
      <c r="A75" s="54">
        <v>1200000</v>
      </c>
      <c r="B75" s="9">
        <v>725000</v>
      </c>
      <c r="C75" s="89">
        <f>'Cap-Gen'!T221</f>
        <v>500000</v>
      </c>
      <c r="D75" s="89">
        <f>'Cap-Gen'!Y221</f>
        <v>3076900</v>
      </c>
      <c r="E75" s="31" t="s">
        <v>2160</v>
      </c>
      <c r="F75" s="9">
        <f>'Cap-Gen'!AD221</f>
        <v>8847800</v>
      </c>
      <c r="G75" s="9">
        <f>'Cap-Gen'!AI221</f>
        <v>2500000</v>
      </c>
      <c r="H75" s="9">
        <f>'Cap-Gen'!AN221</f>
        <v>0</v>
      </c>
      <c r="I75" s="9">
        <f>'Cap-Gen'!AS221</f>
        <v>8340000</v>
      </c>
      <c r="J75" s="9">
        <f>'Cap-Gen'!AX221</f>
        <v>0</v>
      </c>
      <c r="K75" s="9">
        <f>'Cap-Gen'!BC221</f>
        <v>0</v>
      </c>
      <c r="L75" s="9">
        <f>'Cap-Gen'!BH221</f>
        <v>0</v>
      </c>
      <c r="M75" s="9">
        <f>'Cap-Gen'!BM221</f>
        <v>0</v>
      </c>
      <c r="N75" s="9">
        <f>'Cap-Gen'!BR221</f>
        <v>0</v>
      </c>
      <c r="O75" s="9">
        <f>'Cap-Gen'!BW221</f>
        <v>0</v>
      </c>
      <c r="P75" s="61">
        <f>'Cap-Gen'!CB221</f>
        <v>0</v>
      </c>
    </row>
    <row r="76" spans="1:16" x14ac:dyDescent="0.2">
      <c r="A76" s="54">
        <f>-733700+353800-707600+14900+77300-77300-14900+289900-100-153200+50000+103200+200-400+25900-34100+666000-1332000+500000-579800-377800-6200-21900</f>
        <v>-1957800</v>
      </c>
      <c r="B76" s="9">
        <f>-500100-7000+8600</f>
        <v>-498500</v>
      </c>
      <c r="C76" s="77">
        <f>2054600-18600</f>
        <v>2036000</v>
      </c>
      <c r="D76" s="2213">
        <f>615700+5139900-230900</f>
        <v>5524700</v>
      </c>
      <c r="E76" s="58" t="s">
        <v>4578</v>
      </c>
      <c r="F76" s="9">
        <v>200000</v>
      </c>
      <c r="G76" s="9">
        <f t="shared" ref="G76:P76" si="61">F76</f>
        <v>200000</v>
      </c>
      <c r="H76" s="9">
        <f t="shared" si="61"/>
        <v>200000</v>
      </c>
      <c r="I76" s="9">
        <f t="shared" si="61"/>
        <v>200000</v>
      </c>
      <c r="J76" s="9">
        <f t="shared" si="61"/>
        <v>200000</v>
      </c>
      <c r="K76" s="9">
        <f t="shared" si="61"/>
        <v>200000</v>
      </c>
      <c r="L76" s="9">
        <f t="shared" si="61"/>
        <v>200000</v>
      </c>
      <c r="M76" s="9">
        <f t="shared" si="61"/>
        <v>200000</v>
      </c>
      <c r="N76" s="9">
        <f t="shared" si="61"/>
        <v>200000</v>
      </c>
      <c r="O76" s="9">
        <f t="shared" si="61"/>
        <v>200000</v>
      </c>
      <c r="P76" s="61">
        <f t="shared" si="61"/>
        <v>200000</v>
      </c>
    </row>
    <row r="77" spans="1:16" x14ac:dyDescent="0.2">
      <c r="A77" s="54">
        <v>1805200</v>
      </c>
      <c r="B77" s="9">
        <v>2809800</v>
      </c>
      <c r="C77" s="89">
        <f>'Cap Inc'!B145</f>
        <v>2286400</v>
      </c>
      <c r="D77" s="89">
        <f>'Cap Inc'!C145</f>
        <v>1310300</v>
      </c>
      <c r="E77" s="31" t="s">
        <v>221</v>
      </c>
      <c r="F77" s="9">
        <f>'Cap Inc'!F145</f>
        <v>8105000</v>
      </c>
      <c r="G77" s="9">
        <f>'Cap Inc'!G145</f>
        <v>7655000</v>
      </c>
      <c r="H77" s="9">
        <f>'Cap Inc'!H145</f>
        <v>4655000</v>
      </c>
      <c r="I77" s="9">
        <f>'Cap Inc'!I145</f>
        <v>2940000</v>
      </c>
      <c r="J77" s="9">
        <f>'Cap Inc'!J145</f>
        <v>1400000</v>
      </c>
      <c r="K77" s="9">
        <f>'Cap Inc'!K145</f>
        <v>960000</v>
      </c>
      <c r="L77" s="9">
        <f>'Cap Inc'!L145</f>
        <v>960000</v>
      </c>
      <c r="M77" s="9">
        <f>'Cap Inc'!M145</f>
        <v>960000</v>
      </c>
      <c r="N77" s="9">
        <f>'Cap Inc'!N145</f>
        <v>960000</v>
      </c>
      <c r="O77" s="9">
        <f>'Cap Inc'!O145</f>
        <v>960000</v>
      </c>
      <c r="P77" s="61">
        <f>'Cap Inc'!P145</f>
        <v>960000</v>
      </c>
    </row>
    <row r="78" spans="1:16" x14ac:dyDescent="0.2">
      <c r="A78" s="54"/>
      <c r="B78" s="9"/>
      <c r="C78" s="89"/>
      <c r="D78" s="89"/>
      <c r="E78" s="92"/>
      <c r="F78" s="9"/>
      <c r="G78" s="9"/>
      <c r="H78" s="9"/>
      <c r="I78" s="9"/>
      <c r="J78" s="9"/>
      <c r="K78" s="9"/>
      <c r="L78" s="9"/>
      <c r="M78" s="9"/>
      <c r="N78" s="9"/>
      <c r="O78" s="9"/>
      <c r="P78" s="61"/>
    </row>
    <row r="79" spans="1:16" x14ac:dyDescent="0.2">
      <c r="A79" s="54"/>
      <c r="B79" s="9"/>
      <c r="C79" s="89"/>
      <c r="D79" s="89"/>
      <c r="E79" s="92" t="s">
        <v>2853</v>
      </c>
      <c r="F79" s="9"/>
      <c r="G79" s="9"/>
      <c r="H79" s="9"/>
      <c r="I79" s="9"/>
      <c r="J79" s="9"/>
      <c r="K79" s="9"/>
      <c r="L79" s="9"/>
      <c r="M79" s="9"/>
      <c r="N79" s="9"/>
      <c r="O79" s="9"/>
      <c r="P79" s="61"/>
    </row>
    <row r="80" spans="1:16" x14ac:dyDescent="0.2">
      <c r="A80" s="54">
        <f>-26989700-483900-404300</f>
        <v>-27877900</v>
      </c>
      <c r="B80" s="9">
        <v>-18233400</v>
      </c>
      <c r="C80" s="9">
        <f>-'Cap-Gen'!E221</f>
        <v>-22896800</v>
      </c>
      <c r="D80" s="9">
        <f>-'Cap-Gen'!F221</f>
        <v>-23684300</v>
      </c>
      <c r="E80" s="31" t="s">
        <v>273</v>
      </c>
      <c r="F80" s="9">
        <f>-'Cap-Gen'!G221</f>
        <v>-42002300</v>
      </c>
      <c r="G80" s="9">
        <f>-'Cap-Gen'!H221</f>
        <v>-36305200</v>
      </c>
      <c r="H80" s="9">
        <f>-'Cap-Gen'!I221</f>
        <v>-32038200</v>
      </c>
      <c r="I80" s="9">
        <f>-'Cap-Gen'!J221</f>
        <v>-37085900</v>
      </c>
      <c r="J80" s="9">
        <f>-'Cap-Gen'!K221</f>
        <v>-24834300</v>
      </c>
      <c r="K80" s="9">
        <f>-'Cap-Gen'!L221</f>
        <v>-11890500</v>
      </c>
      <c r="L80" s="9">
        <f>-'Cap-Gen'!M221</f>
        <v>-16437400</v>
      </c>
      <c r="M80" s="9">
        <f>-'Cap-Gen'!N221</f>
        <v>-16744800</v>
      </c>
      <c r="N80" s="9">
        <f>-'Cap-Gen'!O221</f>
        <v>-14464500</v>
      </c>
      <c r="O80" s="9">
        <f>-'Cap-Gen'!P221</f>
        <v>-17918100</v>
      </c>
      <c r="P80" s="61">
        <f>-'Cap-Gen'!Q221</f>
        <v>-16162000</v>
      </c>
    </row>
    <row r="81" spans="1:16" x14ac:dyDescent="0.2">
      <c r="A81" s="54">
        <f>ROUND(-(SP!B40+GM!B48+DEH!B37+CIV!B61),-2)</f>
        <v>-3216200</v>
      </c>
      <c r="B81" s="9">
        <f>-(SP!C40+GM!C48+DEH!C37+CIV!C61)</f>
        <v>-3395400</v>
      </c>
      <c r="C81" s="89">
        <f>-(SP!D40+GM!D48+DEH!D37+CIV!D61)</f>
        <v>-3788900</v>
      </c>
      <c r="D81" s="89">
        <f>-(SP!E40+GM!E48+DEH!E37+CIV!E61)</f>
        <v>-3696200</v>
      </c>
      <c r="E81" s="98" t="s">
        <v>1400</v>
      </c>
      <c r="F81" s="9">
        <f>-(SP!H40+GM!H48+DEH!H37+CIV!H61)</f>
        <v>-3285700</v>
      </c>
      <c r="G81" s="9">
        <f>-(SP!J40+GM!J48+DEH!J37+CIV!J61)</f>
        <v>-3324800</v>
      </c>
      <c r="H81" s="9">
        <f>-(SP!K40+GM!K48+DEH!K37+CIV!K61)</f>
        <v>-3402100</v>
      </c>
      <c r="I81" s="9">
        <f>-(SP!L40+GM!L48+DEH!L37+CIV!L61)</f>
        <v>-3131000</v>
      </c>
      <c r="J81" s="9">
        <f>-(SP!M40+GM!M48+DEH!M37+CIV!M61)</f>
        <v>-3636100</v>
      </c>
      <c r="K81" s="9">
        <f>-(SP!N40+GM!N48+DEH!N37+CIV!N61)</f>
        <v>-3183000</v>
      </c>
      <c r="L81" s="9">
        <f>-(SP!O40+GM!O48+DEH!O37+CIV!O61)</f>
        <v>-2456800</v>
      </c>
      <c r="M81" s="9">
        <f>-(SP!P40+GM!P48+DEH!P37+CIV!P61)</f>
        <v>-2190000</v>
      </c>
      <c r="N81" s="9">
        <f>-(SP!Q40+GM!Q48+DEH!Q37+CIV!Q61)</f>
        <v>-1569400</v>
      </c>
      <c r="O81" s="9">
        <f>-(SP!R40+GM!R48+DEH!R37+CIV!R61)</f>
        <v>-1573400</v>
      </c>
      <c r="P81" s="61">
        <f>-(SP!S40+GM!S48+DEH!S37+CIV!S61)</f>
        <v>-1637300</v>
      </c>
    </row>
    <row r="82" spans="1:16" ht="13.5" thickBot="1" x14ac:dyDescent="0.25">
      <c r="A82" s="54"/>
      <c r="B82" s="9"/>
      <c r="C82" s="89"/>
      <c r="D82" s="89"/>
      <c r="E82" s="57"/>
      <c r="F82" s="9"/>
      <c r="G82" s="9"/>
      <c r="H82" s="9"/>
      <c r="I82" s="9"/>
      <c r="J82" s="9"/>
      <c r="K82" s="9"/>
      <c r="L82" s="9"/>
      <c r="M82" s="9"/>
      <c r="N82" s="9"/>
      <c r="O82" s="9"/>
      <c r="P82" s="61"/>
    </row>
    <row r="83" spans="1:16" s="65" customFormat="1" ht="13.5" thickBot="1" x14ac:dyDescent="0.25">
      <c r="A83" s="199">
        <f>A59+SUM(A60:A82)</f>
        <v>-10840000</v>
      </c>
      <c r="B83" s="202">
        <f>B59+SUM(B60:B82)</f>
        <v>1905000</v>
      </c>
      <c r="C83" s="204">
        <f>C59+SUM(C60:C82)</f>
        <v>-1114500</v>
      </c>
      <c r="D83" s="204">
        <f>D59+SUM(D60:D82)</f>
        <v>10029900</v>
      </c>
      <c r="E83" s="200" t="s">
        <v>2276</v>
      </c>
      <c r="F83" s="202">
        <f t="shared" ref="F83:M83" si="62">F59+SUM(F60:F82)</f>
        <v>-2793300</v>
      </c>
      <c r="G83" s="202">
        <f t="shared" si="62"/>
        <v>-6034000</v>
      </c>
      <c r="H83" s="202">
        <f t="shared" si="62"/>
        <v>-10247500</v>
      </c>
      <c r="I83" s="202">
        <f t="shared" si="62"/>
        <v>-2019800</v>
      </c>
      <c r="J83" s="202">
        <f t="shared" si="62"/>
        <v>478200</v>
      </c>
      <c r="K83" s="202">
        <f t="shared" si="62"/>
        <v>6469100</v>
      </c>
      <c r="L83" s="202">
        <f t="shared" si="62"/>
        <v>3301800</v>
      </c>
      <c r="M83" s="202">
        <f t="shared" si="62"/>
        <v>3641600</v>
      </c>
      <c r="N83" s="202">
        <f t="shared" ref="N83" si="63">N59+SUM(N60:N82)</f>
        <v>7741400</v>
      </c>
      <c r="O83" s="202">
        <f t="shared" ref="O83:P83" si="64">O59+SUM(O60:O82)</f>
        <v>5204200</v>
      </c>
      <c r="P83" s="203">
        <f t="shared" si="64"/>
        <v>7734200</v>
      </c>
    </row>
    <row r="84" spans="1:16" ht="13.5" thickTop="1" x14ac:dyDescent="0.2">
      <c r="A84" s="54"/>
      <c r="B84" s="9"/>
      <c r="C84" s="89"/>
      <c r="D84" s="89"/>
      <c r="E84" s="46"/>
      <c r="F84" s="9"/>
      <c r="G84" s="9"/>
      <c r="H84" s="9"/>
      <c r="I84" s="9"/>
      <c r="J84" s="9"/>
      <c r="K84" s="9"/>
      <c r="L84" s="9"/>
      <c r="M84" s="9"/>
      <c r="N84" s="9"/>
      <c r="O84" s="9"/>
      <c r="P84" s="61"/>
    </row>
    <row r="85" spans="1:16" x14ac:dyDescent="0.2">
      <c r="A85" s="54"/>
      <c r="B85" s="9"/>
      <c r="C85" s="89"/>
      <c r="D85" s="89"/>
      <c r="E85" s="56" t="s">
        <v>2243</v>
      </c>
      <c r="F85" s="9"/>
      <c r="G85" s="9"/>
      <c r="H85" s="9"/>
      <c r="I85" s="9"/>
      <c r="J85" s="9"/>
      <c r="K85" s="9"/>
      <c r="L85" s="9"/>
      <c r="M85" s="9"/>
      <c r="N85" s="9"/>
      <c r="O85" s="9"/>
      <c r="P85" s="61"/>
    </row>
    <row r="86" spans="1:16" s="80" customFormat="1" x14ac:dyDescent="0.2">
      <c r="A86" s="25">
        <v>-11293400</v>
      </c>
      <c r="B86" s="79">
        <v>2180200</v>
      </c>
      <c r="C86" s="77">
        <f>'Res-Gen'!D261-'Cash-Gen'!C87</f>
        <v>521200</v>
      </c>
      <c r="D86" s="77">
        <f>'Res-Gen'!G261-'Cash-Gen'!D87</f>
        <v>7764300</v>
      </c>
      <c r="E86" s="58" t="s">
        <v>961</v>
      </c>
      <c r="F86" s="79">
        <f>'Res-Gen'!J261-'Cash-Gen'!F87</f>
        <v>-5021700</v>
      </c>
      <c r="G86" s="79">
        <f>'Res-Gen'!M261-'Cash-Gen'!G87</f>
        <v>-11230800</v>
      </c>
      <c r="H86" s="79">
        <f>'Res-Gen'!P261-'Cash-Gen'!H87</f>
        <v>15100</v>
      </c>
      <c r="I86" s="79">
        <f>'Res-Gen'!S261-'Cash-Gen'!I87</f>
        <v>471700</v>
      </c>
      <c r="J86" s="79">
        <f>'Res-Gen'!V261-'Cash-Gen'!J87</f>
        <v>273000</v>
      </c>
      <c r="K86" s="79">
        <f>'Res-Gen'!Y261-'Cash-Gen'!K87</f>
        <v>684200</v>
      </c>
      <c r="L86" s="79">
        <f>'Res-Gen'!AB261-'Cash-Gen'!L87</f>
        <v>-903000</v>
      </c>
      <c r="M86" s="79">
        <f>'Res-Gen'!AE261-'Cash-Gen'!M87</f>
        <v>-2838100</v>
      </c>
      <c r="N86" s="79">
        <f>'Res-Gen'!AH261-'Cash-Gen'!N87</f>
        <v>1012700</v>
      </c>
      <c r="O86" s="79">
        <f>'Res-Gen'!AK261-'Cash-Gen'!O87</f>
        <v>240200</v>
      </c>
      <c r="P86" s="78">
        <f>'Res-Gen'!AN261-'Cash-Gen'!P87</f>
        <v>-79300</v>
      </c>
    </row>
    <row r="87" spans="1:16" s="80" customFormat="1" x14ac:dyDescent="0.2">
      <c r="A87" s="25">
        <v>453400</v>
      </c>
      <c r="B87" s="79">
        <v>-275200</v>
      </c>
      <c r="C87" s="77">
        <f>'Res-Bal'!C167</f>
        <v>-1630500</v>
      </c>
      <c r="D87" s="77">
        <f>'Res-Bal'!F167</f>
        <v>155300</v>
      </c>
      <c r="E87" s="58" t="s">
        <v>2036</v>
      </c>
      <c r="F87" s="79">
        <f>'Res-Bal'!I167</f>
        <v>2168400</v>
      </c>
      <c r="G87" s="79">
        <f>'Res-Bal'!L167</f>
        <v>5569100</v>
      </c>
      <c r="H87" s="79">
        <f>'Res-Bal'!O167</f>
        <v>-9762200</v>
      </c>
      <c r="I87" s="79">
        <f>'Res-Bal'!R167</f>
        <v>-1938900</v>
      </c>
      <c r="J87" s="79">
        <f>'Res-Bal'!U167</f>
        <v>638000</v>
      </c>
      <c r="K87" s="79">
        <f>'Res-Bal'!X167</f>
        <v>6174600</v>
      </c>
      <c r="L87" s="79">
        <f>'Res-Bal'!AA167</f>
        <v>4436400</v>
      </c>
      <c r="M87" s="79">
        <f>'Res-Bal'!AD167</f>
        <v>6693200</v>
      </c>
      <c r="N87" s="79">
        <f>'Res-Bal'!AG167</f>
        <v>7010000</v>
      </c>
      <c r="O87" s="79">
        <f>'Res-Bal'!AJ167</f>
        <v>5120300</v>
      </c>
      <c r="P87" s="78">
        <f>'Res-Bal'!AM167</f>
        <v>7625200</v>
      </c>
    </row>
    <row r="88" spans="1:16" s="80" customFormat="1" x14ac:dyDescent="0.2">
      <c r="A88" s="25">
        <f>A83-A86-A87</f>
        <v>0</v>
      </c>
      <c r="B88" s="79">
        <f>B83-B86-B87</f>
        <v>0</v>
      </c>
      <c r="C88" s="77">
        <f>C83-C86-C87</f>
        <v>-5200</v>
      </c>
      <c r="D88" s="77">
        <f>D83-D86-D87</f>
        <v>2110300</v>
      </c>
      <c r="E88" s="58" t="s">
        <v>912</v>
      </c>
      <c r="F88" s="79">
        <f t="shared" ref="F88:L88" si="65">F83-F86-F87</f>
        <v>60000</v>
      </c>
      <c r="G88" s="79">
        <f t="shared" si="65"/>
        <v>-372300</v>
      </c>
      <c r="H88" s="79">
        <f t="shared" si="65"/>
        <v>-500400</v>
      </c>
      <c r="I88" s="79">
        <f t="shared" si="65"/>
        <v>-552600</v>
      </c>
      <c r="J88" s="79">
        <f t="shared" si="65"/>
        <v>-432800</v>
      </c>
      <c r="K88" s="79">
        <f t="shared" si="65"/>
        <v>-389700</v>
      </c>
      <c r="L88" s="79">
        <f t="shared" si="65"/>
        <v>-231600</v>
      </c>
      <c r="M88" s="79">
        <f t="shared" ref="M88:N88" si="66">M83-M86-M87</f>
        <v>-213500</v>
      </c>
      <c r="N88" s="79">
        <f t="shared" si="66"/>
        <v>-281300</v>
      </c>
      <c r="O88" s="79">
        <f t="shared" ref="O88:P88" si="67">O83-O86-O87</f>
        <v>-156300</v>
      </c>
      <c r="P88" s="78">
        <f t="shared" si="67"/>
        <v>188300</v>
      </c>
    </row>
    <row r="89" spans="1:16" ht="13.5" thickBot="1" x14ac:dyDescent="0.25">
      <c r="A89" s="118"/>
      <c r="B89" s="23"/>
      <c r="C89" s="113"/>
      <c r="D89" s="113"/>
      <c r="E89" s="465"/>
      <c r="F89" s="23"/>
      <c r="G89" s="23"/>
      <c r="H89" s="23"/>
      <c r="I89" s="23"/>
      <c r="J89" s="23"/>
      <c r="K89" s="23"/>
      <c r="L89" s="23"/>
      <c r="M89" s="23"/>
      <c r="N89" s="23"/>
      <c r="O89" s="23"/>
      <c r="P89" s="112"/>
    </row>
    <row r="90" spans="1:16" ht="13.5" thickTop="1" x14ac:dyDescent="0.2">
      <c r="A90" s="46">
        <v>0</v>
      </c>
      <c r="B90" s="46">
        <v>0</v>
      </c>
      <c r="C90" s="46"/>
      <c r="D90" s="46"/>
      <c r="E90" s="451"/>
      <c r="F90" s="46"/>
      <c r="G90" s="46"/>
      <c r="H90" s="46"/>
      <c r="I90" s="46"/>
      <c r="J90" s="46"/>
      <c r="K90" s="46"/>
      <c r="L90" s="46"/>
      <c r="M90" s="46"/>
      <c r="N90" s="46"/>
      <c r="O90" s="46"/>
      <c r="P90" s="46"/>
    </row>
    <row r="91" spans="1:16" s="65" customFormat="1" x14ac:dyDescent="0.2">
      <c r="A91" s="92">
        <f>A90-A88</f>
        <v>0</v>
      </c>
      <c r="B91" s="92">
        <f>B90-B88</f>
        <v>0</v>
      </c>
      <c r="C91" s="92">
        <f>-C88+C88</f>
        <v>0</v>
      </c>
      <c r="D91" s="92">
        <f>-D88+D88</f>
        <v>0</v>
      </c>
      <c r="E91" s="117" t="s">
        <v>1866</v>
      </c>
      <c r="F91" s="92">
        <f>-101200-F88+11000+6500+10000+1000+2000+1000-68000-10000-11000-6500-2000+2000-1500+10000+3000+5000+3000+2000+4000+3000-500-3000-500+3000+3000-6000-3000-2000-1500-1000+1500+2000+500+500-500+5000-16000-1000+2000-3000-2000+1000-7000-1000-2000-1000-12000+20000+18000+8000+13000+3000+20000-16000-55000+3000+12000+98500+93000-60000-98500-106000+472000-366000+10000+10000+15000-3000+13100+3600-5000-1700+116000-11000-11000-1000-2000+11000+3000-6000-6000-5000+2000+36000+2000-2500+1500+1500+3000+10000-10000+6500+24000-24000+2500+1500+3000+1500-3000-1000-2000+2500+16000+500-2500-5000-18000+11000-50000-112000+5000+80000+20000-2000-23900+68000-68000-55300-10500-5000-3900-2500+50000+116000+2000+12200-1500-4000-6000-13100-200</f>
        <v>100</v>
      </c>
      <c r="G91" s="92"/>
      <c r="H91" s="92"/>
      <c r="I91" s="92"/>
      <c r="J91" s="92"/>
      <c r="K91" s="92"/>
      <c r="L91" s="92"/>
      <c r="M91" s="92"/>
      <c r="N91" s="92"/>
      <c r="O91" s="92"/>
      <c r="P91" s="92"/>
    </row>
    <row r="92" spans="1:16" ht="13.5" thickBot="1" x14ac:dyDescent="0.25">
      <c r="A92" s="27"/>
      <c r="B92" s="27"/>
      <c r="C92" s="27"/>
      <c r="D92" s="27"/>
      <c r="E92" s="27"/>
      <c r="F92" s="27"/>
      <c r="G92" s="27"/>
      <c r="H92" s="27"/>
      <c r="I92" s="27"/>
      <c r="J92" s="27"/>
      <c r="K92" s="27"/>
      <c r="L92" s="27"/>
      <c r="M92" s="27"/>
      <c r="N92" s="27"/>
      <c r="O92" s="27"/>
      <c r="P92" s="27"/>
    </row>
    <row r="93" spans="1:16" ht="14.25" thickTop="1" thickBot="1" x14ac:dyDescent="0.25">
      <c r="A93" s="1032" t="str">
        <f>A100</f>
        <v>2013/14</v>
      </c>
      <c r="B93" s="1034" t="str">
        <f>B100</f>
        <v>2014/15</v>
      </c>
      <c r="C93" s="1035" t="str">
        <f>C100</f>
        <v>2015/16</v>
      </c>
      <c r="D93" s="1035" t="str">
        <f>D100</f>
        <v>2016/17</v>
      </c>
      <c r="E93" s="1033" t="s">
        <v>2121</v>
      </c>
      <c r="F93" s="1035" t="str">
        <f t="shared" ref="F93:J93" si="68">F100</f>
        <v>2017/18</v>
      </c>
      <c r="G93" s="1035" t="str">
        <f t="shared" si="68"/>
        <v>2018/19</v>
      </c>
      <c r="H93" s="1035" t="str">
        <f t="shared" si="68"/>
        <v>2019/20</v>
      </c>
      <c r="I93" s="1035" t="str">
        <f t="shared" si="68"/>
        <v>2020/21</v>
      </c>
      <c r="J93" s="1035" t="str">
        <f t="shared" si="68"/>
        <v>2021/22</v>
      </c>
      <c r="K93" s="1035" t="str">
        <f t="shared" ref="K93:P93" si="69">K100</f>
        <v>2022/23</v>
      </c>
      <c r="L93" s="1035" t="str">
        <f t="shared" si="69"/>
        <v>2023/24</v>
      </c>
      <c r="M93" s="1035" t="str">
        <f t="shared" si="69"/>
        <v>2024/25</v>
      </c>
      <c r="N93" s="1035" t="str">
        <f t="shared" si="69"/>
        <v>2025/26</v>
      </c>
      <c r="O93" s="1035" t="str">
        <f t="shared" si="69"/>
        <v>2026/27</v>
      </c>
      <c r="P93" s="1036" t="str">
        <f t="shared" si="69"/>
        <v>2027/28</v>
      </c>
    </row>
    <row r="94" spans="1:16" x14ac:dyDescent="0.2">
      <c r="A94" s="54"/>
      <c r="B94" s="9"/>
      <c r="C94" s="9"/>
      <c r="D94" s="9"/>
      <c r="E94" s="1157"/>
      <c r="F94" s="9"/>
      <c r="G94" s="9"/>
      <c r="H94" s="9"/>
      <c r="I94" s="9"/>
      <c r="J94" s="9"/>
      <c r="K94" s="9"/>
      <c r="L94" s="9"/>
      <c r="M94" s="9"/>
      <c r="N94" s="9"/>
      <c r="O94" s="9"/>
      <c r="P94" s="61"/>
    </row>
    <row r="95" spans="1:16" x14ac:dyDescent="0.2">
      <c r="A95" s="54">
        <f>1784300</f>
        <v>1784300</v>
      </c>
      <c r="B95" s="9">
        <v>5663100</v>
      </c>
      <c r="C95" s="9">
        <v>1000000</v>
      </c>
      <c r="D95" s="9">
        <v>1443000</v>
      </c>
      <c r="E95" s="89" t="s">
        <v>2500</v>
      </c>
      <c r="F95" s="9">
        <v>1035300</v>
      </c>
      <c r="G95" s="9">
        <f>ROUNDUP(F95+(F95*Assumptions!I$5),-2)</f>
        <v>1059200</v>
      </c>
      <c r="H95" s="9">
        <f>ROUNDUP(G95+(G95*Assumptions!J$5),-2)</f>
        <v>1085700</v>
      </c>
      <c r="I95" s="9">
        <f>ROUNDUP(H95+(H95*Assumptions!K$5),-2)</f>
        <v>1112900</v>
      </c>
      <c r="J95" s="9">
        <f>ROUNDUP(I95+(I95*Assumptions!L$5),-2)</f>
        <v>1140800</v>
      </c>
      <c r="K95" s="9">
        <f>ROUNDUP(J95+(J95*Assumptions!M$5),-2)</f>
        <v>1169400</v>
      </c>
      <c r="L95" s="9">
        <f>ROUNDUP(K95+(K95*Assumptions!N$5),-2)</f>
        <v>1198700</v>
      </c>
      <c r="M95" s="9">
        <f>ROUNDUP(L95+(L95*Assumptions!O$5),-2)</f>
        <v>1228700</v>
      </c>
      <c r="N95" s="9">
        <f>ROUNDUP(M95+(M95*Assumptions!P$5),-2)</f>
        <v>1259500</v>
      </c>
      <c r="O95" s="9">
        <f>ROUNDUP(N95+(N95*Assumptions!Q$5),-2)</f>
        <v>1291000</v>
      </c>
      <c r="P95" s="61">
        <f>ROUNDUP(O95+(O95*Assumptions!R$5),-2)</f>
        <v>1323300</v>
      </c>
    </row>
    <row r="96" spans="1:16" ht="13.5" thickBot="1" x14ac:dyDescent="0.25">
      <c r="A96" s="54"/>
      <c r="B96" s="9"/>
      <c r="C96" s="9"/>
      <c r="D96" s="9"/>
      <c r="E96" s="1157"/>
      <c r="F96" s="9"/>
      <c r="G96" s="9"/>
      <c r="H96" s="9"/>
      <c r="I96" s="9"/>
      <c r="J96" s="9"/>
      <c r="K96" s="9"/>
      <c r="L96" s="9"/>
      <c r="M96" s="9"/>
      <c r="N96" s="9"/>
      <c r="O96" s="9"/>
      <c r="P96" s="61"/>
    </row>
    <row r="97" spans="1:22" s="39" customFormat="1" x14ac:dyDescent="0.2">
      <c r="A97" s="52">
        <f>SUM(A94:A96)</f>
        <v>1784300</v>
      </c>
      <c r="B97" s="16">
        <f>SUM(B94:B96)</f>
        <v>5663100</v>
      </c>
      <c r="C97" s="16">
        <f>SUM(C94:C96)</f>
        <v>1000000</v>
      </c>
      <c r="D97" s="16">
        <f>SUM(D94:D96)</f>
        <v>1443000</v>
      </c>
      <c r="E97" s="700" t="s">
        <v>2410</v>
      </c>
      <c r="F97" s="16">
        <f t="shared" ref="F97:L97" si="70">SUM(F94:F96)</f>
        <v>1035300</v>
      </c>
      <c r="G97" s="16">
        <f t="shared" si="70"/>
        <v>1059200</v>
      </c>
      <c r="H97" s="16">
        <f t="shared" si="70"/>
        <v>1085700</v>
      </c>
      <c r="I97" s="16">
        <f t="shared" si="70"/>
        <v>1112900</v>
      </c>
      <c r="J97" s="16">
        <f t="shared" si="70"/>
        <v>1140800</v>
      </c>
      <c r="K97" s="16">
        <f t="shared" si="70"/>
        <v>1169400</v>
      </c>
      <c r="L97" s="16">
        <f t="shared" si="70"/>
        <v>1198700</v>
      </c>
      <c r="M97" s="16">
        <f t="shared" ref="M97:N97" si="71">SUM(M94:M96)</f>
        <v>1228700</v>
      </c>
      <c r="N97" s="16">
        <f t="shared" si="71"/>
        <v>1259500</v>
      </c>
      <c r="O97" s="16">
        <f t="shared" ref="O97:P97" si="72">SUM(O94:O96)</f>
        <v>1291000</v>
      </c>
      <c r="P97" s="60">
        <f t="shared" si="72"/>
        <v>1323300</v>
      </c>
    </row>
    <row r="98" spans="1:22" ht="13.5" thickBot="1" x14ac:dyDescent="0.25">
      <c r="A98" s="118"/>
      <c r="B98" s="23"/>
      <c r="C98" s="23"/>
      <c r="D98" s="23"/>
      <c r="E98" s="119"/>
      <c r="F98" s="23"/>
      <c r="G98" s="23"/>
      <c r="H98" s="23"/>
      <c r="I98" s="23"/>
      <c r="J98" s="23"/>
      <c r="K98" s="23"/>
      <c r="L98" s="23"/>
      <c r="M98" s="23"/>
      <c r="N98" s="23"/>
      <c r="O98" s="23"/>
      <c r="P98" s="112"/>
    </row>
    <row r="99" spans="1:22" ht="14.25" thickTop="1" thickBot="1" x14ac:dyDescent="0.25">
      <c r="A99" s="46"/>
      <c r="B99" s="46"/>
      <c r="C99" s="46"/>
      <c r="D99" s="46"/>
      <c r="E99" s="46"/>
      <c r="F99" s="46"/>
      <c r="G99" s="46"/>
      <c r="H99" s="46"/>
      <c r="I99" s="46"/>
      <c r="J99" s="46"/>
      <c r="K99" s="46"/>
      <c r="L99" s="46"/>
      <c r="M99" s="46"/>
      <c r="N99" s="46"/>
      <c r="O99" s="46"/>
      <c r="P99" s="46"/>
    </row>
    <row r="100" spans="1:22" ht="14.25" thickTop="1" thickBot="1" x14ac:dyDescent="0.25">
      <c r="A100" s="1037" t="str">
        <f>DEH!B48</f>
        <v>2013/14</v>
      </c>
      <c r="B100" s="1034" t="str">
        <f>DEH!C48</f>
        <v>2014/15</v>
      </c>
      <c r="C100" s="1035" t="str">
        <f>DEH!D48</f>
        <v>2015/16</v>
      </c>
      <c r="D100" s="1035" t="str">
        <f>DEH!E48</f>
        <v>2016/17</v>
      </c>
      <c r="E100" s="1038" t="s">
        <v>1545</v>
      </c>
      <c r="F100" s="1035" t="str">
        <f>DEH!H48</f>
        <v>2017/18</v>
      </c>
      <c r="G100" s="1035" t="str">
        <f>DEH!J48</f>
        <v>2018/19</v>
      </c>
      <c r="H100" s="1035" t="str">
        <f>DEH!K48</f>
        <v>2019/20</v>
      </c>
      <c r="I100" s="1035" t="str">
        <f>DEH!L48</f>
        <v>2020/21</v>
      </c>
      <c r="J100" s="1035" t="str">
        <f>DEH!M48</f>
        <v>2021/22</v>
      </c>
      <c r="K100" s="1035" t="str">
        <f>DEH!N48</f>
        <v>2022/23</v>
      </c>
      <c r="L100" s="1035" t="str">
        <f>DEH!O48</f>
        <v>2023/24</v>
      </c>
      <c r="M100" s="1035" t="str">
        <f>DEH!P48</f>
        <v>2024/25</v>
      </c>
      <c r="N100" s="1035" t="str">
        <f>DEH!Q48</f>
        <v>2025/26</v>
      </c>
      <c r="O100" s="1035" t="str">
        <f>DEH!R48</f>
        <v>2026/27</v>
      </c>
      <c r="P100" s="1036" t="str">
        <f>DEH!S48</f>
        <v>2027/28</v>
      </c>
    </row>
    <row r="101" spans="1:22" x14ac:dyDescent="0.2">
      <c r="A101" s="54"/>
      <c r="B101" s="89"/>
      <c r="C101" s="9"/>
      <c r="D101" s="9"/>
      <c r="E101" s="70"/>
      <c r="F101" s="9"/>
      <c r="G101" s="9"/>
      <c r="H101" s="9"/>
      <c r="I101" s="9"/>
      <c r="J101" s="9"/>
      <c r="K101" s="9"/>
      <c r="L101" s="9"/>
      <c r="M101" s="9"/>
      <c r="N101" s="9"/>
      <c r="O101" s="9"/>
      <c r="P101" s="61"/>
    </row>
    <row r="102" spans="1:22" x14ac:dyDescent="0.2">
      <c r="A102" s="54">
        <f>GM!B38</f>
        <v>1384100</v>
      </c>
      <c r="B102" s="89">
        <f>GM!C38</f>
        <v>879400</v>
      </c>
      <c r="C102" s="89">
        <f>GM!D38</f>
        <v>942200</v>
      </c>
      <c r="D102" s="89">
        <f>GM!E38</f>
        <v>334500</v>
      </c>
      <c r="E102" s="31" t="str">
        <f>Checks!E5</f>
        <v>General Manager's Group</v>
      </c>
      <c r="F102" s="9">
        <f>GM!H38</f>
        <v>1110200</v>
      </c>
      <c r="G102" s="9">
        <f>GM!J38</f>
        <v>1147000</v>
      </c>
      <c r="H102" s="9">
        <f>GM!K38</f>
        <v>1181400</v>
      </c>
      <c r="I102" s="9">
        <f>GM!L38</f>
        <v>1205100</v>
      </c>
      <c r="J102" s="9">
        <f>GM!M38</f>
        <v>1229400</v>
      </c>
      <c r="K102" s="9">
        <f>GM!N38</f>
        <v>1254100</v>
      </c>
      <c r="L102" s="9">
        <f>GM!O38</f>
        <v>1279300</v>
      </c>
      <c r="M102" s="9">
        <f>GM!P38</f>
        <v>1305000</v>
      </c>
      <c r="N102" s="9">
        <f>GM!Q38</f>
        <v>1331300</v>
      </c>
      <c r="O102" s="9">
        <f>GM!R38</f>
        <v>1358000</v>
      </c>
      <c r="P102" s="61">
        <f>GM!S38</f>
        <v>1385200</v>
      </c>
    </row>
    <row r="103" spans="1:22" x14ac:dyDescent="0.2">
      <c r="A103" s="54">
        <f>DEH!B31</f>
        <v>9800</v>
      </c>
      <c r="B103" s="89">
        <f>DEH!C31</f>
        <v>4400</v>
      </c>
      <c r="C103" s="9">
        <f>DEH!D31</f>
        <v>4500</v>
      </c>
      <c r="D103" s="9">
        <f>DEH!E31</f>
        <v>5300</v>
      </c>
      <c r="E103" s="31" t="s">
        <v>3299</v>
      </c>
      <c r="F103" s="9">
        <f>DEH!H31</f>
        <v>4500</v>
      </c>
      <c r="G103" s="9">
        <f>DEH!J31</f>
        <v>5500</v>
      </c>
      <c r="H103" s="9">
        <f>DEH!K31</f>
        <v>5700</v>
      </c>
      <c r="I103" s="9">
        <f>DEH!L31</f>
        <v>5900</v>
      </c>
      <c r="J103" s="9">
        <f>DEH!M31</f>
        <v>6100</v>
      </c>
      <c r="K103" s="9">
        <f>DEH!N31</f>
        <v>6300</v>
      </c>
      <c r="L103" s="9">
        <f>DEH!O31</f>
        <v>6500</v>
      </c>
      <c r="M103" s="9">
        <f>DEH!P31</f>
        <v>6700</v>
      </c>
      <c r="N103" s="9">
        <f>DEH!Q31</f>
        <v>6900</v>
      </c>
      <c r="O103" s="9">
        <f>DEH!R31</f>
        <v>7100</v>
      </c>
      <c r="P103" s="61">
        <f>DEH!S31</f>
        <v>7300</v>
      </c>
    </row>
    <row r="104" spans="1:22" x14ac:dyDescent="0.2">
      <c r="A104" s="54">
        <f>CIV!B52</f>
        <v>13367400</v>
      </c>
      <c r="B104" s="89">
        <f>CIV!C52</f>
        <v>12100500</v>
      </c>
      <c r="C104" s="9">
        <f>CIV!D52</f>
        <v>12031000</v>
      </c>
      <c r="D104" s="9">
        <f>CIV!E52</f>
        <v>9486100</v>
      </c>
      <c r="E104" s="31" t="str">
        <f>Checks!E7</f>
        <v>Civil Services</v>
      </c>
      <c r="F104" s="9">
        <f>CIV!H52</f>
        <v>11003200</v>
      </c>
      <c r="G104" s="9">
        <f>CIV!J52</f>
        <v>11224400</v>
      </c>
      <c r="H104" s="9">
        <f>CIV!K52</f>
        <v>11449700</v>
      </c>
      <c r="I104" s="9">
        <f>CIV!L52</f>
        <v>11679500</v>
      </c>
      <c r="J104" s="9">
        <f>CIV!M52</f>
        <v>11913900</v>
      </c>
      <c r="K104" s="9">
        <f>CIV!N52</f>
        <v>12153100</v>
      </c>
      <c r="L104" s="9">
        <f>CIV!O52</f>
        <v>12397000</v>
      </c>
      <c r="M104" s="9">
        <f>CIV!P52</f>
        <v>12645800</v>
      </c>
      <c r="N104" s="9">
        <f>CIV!Q52</f>
        <v>12899600</v>
      </c>
      <c r="O104" s="9">
        <f>CIV!R52</f>
        <v>13158400</v>
      </c>
      <c r="P104" s="61">
        <f>CIV!S52</f>
        <v>13422300</v>
      </c>
    </row>
    <row r="105" spans="1:22" x14ac:dyDescent="0.2">
      <c r="A105" s="54">
        <f>SP!B34</f>
        <v>1104400</v>
      </c>
      <c r="B105" s="89">
        <f>SP!C34</f>
        <v>1160000</v>
      </c>
      <c r="C105" s="9">
        <f>SP!D34</f>
        <v>1189100</v>
      </c>
      <c r="D105" s="9">
        <f>SP!E34</f>
        <v>1179800</v>
      </c>
      <c r="E105" s="31" t="s">
        <v>3194</v>
      </c>
      <c r="F105" s="9">
        <f>SP!H34</f>
        <v>1266000</v>
      </c>
      <c r="G105" s="9">
        <f>SP!J34</f>
        <v>1377900</v>
      </c>
      <c r="H105" s="9">
        <f>SP!K34</f>
        <v>1485600</v>
      </c>
      <c r="I105" s="9">
        <f>SP!L34</f>
        <v>1515700</v>
      </c>
      <c r="J105" s="9">
        <f>SP!M34</f>
        <v>1546400</v>
      </c>
      <c r="K105" s="9">
        <f>SP!N34</f>
        <v>1577700</v>
      </c>
      <c r="L105" s="9">
        <f>SP!O34</f>
        <v>1609500</v>
      </c>
      <c r="M105" s="9">
        <f>SP!P34</f>
        <v>1642100</v>
      </c>
      <c r="N105" s="9">
        <f>SP!Q34</f>
        <v>1675300</v>
      </c>
      <c r="O105" s="9">
        <f>SP!R34</f>
        <v>1709200</v>
      </c>
      <c r="P105" s="61">
        <f>SP!S34</f>
        <v>1743600</v>
      </c>
    </row>
    <row r="106" spans="1:22" ht="13.5" thickBot="1" x14ac:dyDescent="0.25">
      <c r="A106" s="54"/>
      <c r="B106" s="89"/>
      <c r="C106" s="9"/>
      <c r="D106" s="9"/>
      <c r="E106" s="59" t="s">
        <v>556</v>
      </c>
      <c r="F106" s="9"/>
      <c r="G106" s="9"/>
      <c r="H106" s="9"/>
      <c r="I106" s="9"/>
      <c r="J106" s="9"/>
      <c r="K106" s="9"/>
      <c r="L106" s="9"/>
      <c r="M106" s="9"/>
      <c r="N106" s="9"/>
      <c r="O106" s="9"/>
      <c r="P106" s="61"/>
    </row>
    <row r="107" spans="1:22" s="39" customFormat="1" x14ac:dyDescent="0.2">
      <c r="A107" s="52">
        <f>SUM(A102:A106)</f>
        <v>15865700</v>
      </c>
      <c r="B107" s="102">
        <f>SUM(B102:B106)</f>
        <v>14144300</v>
      </c>
      <c r="C107" s="16">
        <f>SUM(C102:C106)</f>
        <v>14166800</v>
      </c>
      <c r="D107" s="16">
        <f>SUM(D102:D106)</f>
        <v>11005700</v>
      </c>
      <c r="E107" s="1678"/>
      <c r="F107" s="16">
        <f t="shared" ref="F107:L107" si="73">SUM(F102:F106)</f>
        <v>13383900</v>
      </c>
      <c r="G107" s="16">
        <f t="shared" si="73"/>
        <v>13754800</v>
      </c>
      <c r="H107" s="16">
        <f t="shared" si="73"/>
        <v>14122400</v>
      </c>
      <c r="I107" s="16">
        <f t="shared" si="73"/>
        <v>14406200</v>
      </c>
      <c r="J107" s="16">
        <f t="shared" si="73"/>
        <v>14695800</v>
      </c>
      <c r="K107" s="16">
        <f t="shared" si="73"/>
        <v>14991200</v>
      </c>
      <c r="L107" s="16">
        <f t="shared" si="73"/>
        <v>15292300</v>
      </c>
      <c r="M107" s="16">
        <f t="shared" ref="M107:N107" si="74">SUM(M102:M106)</f>
        <v>15599600</v>
      </c>
      <c r="N107" s="16">
        <f t="shared" si="74"/>
        <v>15913100</v>
      </c>
      <c r="O107" s="16">
        <f t="shared" ref="O107:P107" si="75">SUM(O102:O106)</f>
        <v>16232700</v>
      </c>
      <c r="P107" s="60">
        <f t="shared" si="75"/>
        <v>16558400</v>
      </c>
      <c r="Q107" s="34"/>
      <c r="R107" s="34"/>
      <c r="S107" s="34"/>
      <c r="T107" s="34"/>
      <c r="U107" s="34"/>
      <c r="V107" s="34"/>
    </row>
    <row r="108" spans="1:22" ht="13.5" thickBot="1" x14ac:dyDescent="0.25">
      <c r="A108" s="118"/>
      <c r="B108" s="113"/>
      <c r="C108" s="23"/>
      <c r="D108" s="23"/>
      <c r="E108" s="226"/>
      <c r="F108" s="23"/>
      <c r="G108" s="23"/>
      <c r="H108" s="23"/>
      <c r="I108" s="23"/>
      <c r="J108" s="23"/>
      <c r="K108" s="23"/>
      <c r="L108" s="23"/>
      <c r="M108" s="23"/>
      <c r="N108" s="23"/>
      <c r="O108" s="23"/>
      <c r="P108" s="112"/>
    </row>
    <row r="109" spans="1:22" ht="13.5" thickTop="1" x14ac:dyDescent="0.2">
      <c r="A109" s="46"/>
      <c r="B109" s="46"/>
      <c r="C109" s="46"/>
      <c r="D109" s="46"/>
      <c r="E109" s="46"/>
      <c r="F109" s="46"/>
      <c r="G109" s="46"/>
      <c r="H109" s="46"/>
      <c r="I109" s="46"/>
      <c r="J109" s="46"/>
      <c r="K109" s="46"/>
      <c r="L109" s="46"/>
      <c r="M109" s="46"/>
      <c r="N109" s="46"/>
      <c r="O109" s="46"/>
      <c r="P109" s="46"/>
    </row>
    <row r="110" spans="1:22" ht="13.5" thickBot="1" x14ac:dyDescent="0.25"/>
    <row r="111" spans="1:22" ht="14.25" thickTop="1" thickBot="1" x14ac:dyDescent="0.25">
      <c r="A111" s="1032" t="str">
        <f>A100</f>
        <v>2013/14</v>
      </c>
      <c r="B111" s="691" t="str">
        <f>B100</f>
        <v>2014/15</v>
      </c>
      <c r="C111" s="1035" t="str">
        <f>C100</f>
        <v>2015/16</v>
      </c>
      <c r="D111" s="1035" t="str">
        <f t="shared" ref="D111" si="76">D100</f>
        <v>2016/17</v>
      </c>
      <c r="E111" s="1038" t="s">
        <v>1546</v>
      </c>
      <c r="F111" s="1035" t="str">
        <f t="shared" ref="F111:M111" si="77">F100</f>
        <v>2017/18</v>
      </c>
      <c r="G111" s="1035" t="str">
        <f t="shared" si="77"/>
        <v>2018/19</v>
      </c>
      <c r="H111" s="1035" t="str">
        <f t="shared" si="77"/>
        <v>2019/20</v>
      </c>
      <c r="I111" s="1035" t="str">
        <f t="shared" si="77"/>
        <v>2020/21</v>
      </c>
      <c r="J111" s="1035" t="str">
        <f t="shared" si="77"/>
        <v>2021/22</v>
      </c>
      <c r="K111" s="1035" t="str">
        <f t="shared" si="77"/>
        <v>2022/23</v>
      </c>
      <c r="L111" s="1035" t="str">
        <f t="shared" si="77"/>
        <v>2023/24</v>
      </c>
      <c r="M111" s="1035" t="str">
        <f t="shared" si="77"/>
        <v>2024/25</v>
      </c>
      <c r="N111" s="1035" t="str">
        <f t="shared" ref="N111" si="78">N100</f>
        <v>2025/26</v>
      </c>
      <c r="O111" s="1035" t="str">
        <f t="shared" ref="O111:P111" si="79">O100</f>
        <v>2026/27</v>
      </c>
      <c r="P111" s="1036" t="str">
        <f t="shared" si="79"/>
        <v>2027/28</v>
      </c>
    </row>
    <row r="112" spans="1:22" x14ac:dyDescent="0.2">
      <c r="A112" s="54"/>
      <c r="B112" s="9"/>
      <c r="C112" s="9"/>
      <c r="D112" s="9"/>
      <c r="E112" s="79"/>
      <c r="F112" s="9"/>
      <c r="G112" s="9"/>
      <c r="H112" s="9"/>
      <c r="I112" s="9"/>
      <c r="J112" s="9"/>
      <c r="K112" s="9"/>
      <c r="L112" s="9"/>
      <c r="M112" s="9"/>
      <c r="N112" s="9"/>
      <c r="O112" s="9"/>
      <c r="P112" s="61"/>
    </row>
    <row r="113" spans="1:16" x14ac:dyDescent="0.2">
      <c r="A113" s="54"/>
      <c r="B113" s="9"/>
      <c r="C113" s="9"/>
      <c r="D113" s="9"/>
      <c r="E113" s="63" t="s">
        <v>2225</v>
      </c>
      <c r="F113" s="9"/>
      <c r="G113" s="9"/>
      <c r="H113" s="9"/>
      <c r="I113" s="9"/>
      <c r="J113" s="9"/>
      <c r="K113" s="9"/>
      <c r="L113" s="9"/>
      <c r="M113" s="9"/>
      <c r="N113" s="9"/>
      <c r="O113" s="9"/>
      <c r="P113" s="61"/>
    </row>
    <row r="114" spans="1:16" x14ac:dyDescent="0.2">
      <c r="A114" s="54"/>
      <c r="B114" s="9"/>
      <c r="C114" s="9"/>
      <c r="D114" s="9"/>
      <c r="E114" s="79"/>
      <c r="F114" s="9"/>
      <c r="G114" s="9"/>
      <c r="H114" s="9"/>
      <c r="I114" s="9"/>
      <c r="J114" s="9"/>
      <c r="K114" s="9"/>
      <c r="L114" s="9"/>
      <c r="M114" s="9"/>
      <c r="N114" s="9"/>
      <c r="O114" s="9"/>
      <c r="P114" s="61"/>
    </row>
    <row r="115" spans="1:16" x14ac:dyDescent="0.2">
      <c r="A115" s="54"/>
      <c r="B115" s="9"/>
      <c r="C115" s="9"/>
      <c r="D115" s="9"/>
      <c r="E115" s="63" t="s">
        <v>687</v>
      </c>
      <c r="F115" s="9"/>
      <c r="G115" s="9"/>
      <c r="H115" s="9"/>
      <c r="I115" s="9"/>
      <c r="J115" s="9"/>
      <c r="K115" s="9"/>
      <c r="L115" s="9"/>
      <c r="M115" s="9"/>
      <c r="N115" s="9"/>
      <c r="O115" s="9"/>
      <c r="P115" s="61"/>
    </row>
    <row r="116" spans="1:16" x14ac:dyDescent="0.2">
      <c r="A116" s="54">
        <f>A44</f>
        <v>46104800</v>
      </c>
      <c r="B116" s="9">
        <f>B44</f>
        <v>49169800</v>
      </c>
      <c r="C116" s="9">
        <f>C44</f>
        <v>50716000</v>
      </c>
      <c r="D116" s="9">
        <f>D44</f>
        <v>56577600</v>
      </c>
      <c r="E116" s="48" t="s">
        <v>2226</v>
      </c>
      <c r="F116" s="9">
        <f t="shared" ref="F116:N116" si="80">F44</f>
        <v>52698400</v>
      </c>
      <c r="G116" s="9">
        <f t="shared" si="80"/>
        <v>52761900</v>
      </c>
      <c r="H116" s="9">
        <f t="shared" si="80"/>
        <v>54365200</v>
      </c>
      <c r="I116" s="9">
        <f t="shared" si="80"/>
        <v>55349500</v>
      </c>
      <c r="J116" s="9">
        <f t="shared" si="80"/>
        <v>56669000</v>
      </c>
      <c r="K116" s="9">
        <f t="shared" si="80"/>
        <v>58086800</v>
      </c>
      <c r="L116" s="9">
        <f t="shared" si="80"/>
        <v>59733100</v>
      </c>
      <c r="M116" s="9">
        <f t="shared" si="80"/>
        <v>61244300</v>
      </c>
      <c r="N116" s="9">
        <f t="shared" si="80"/>
        <v>62958500</v>
      </c>
      <c r="O116" s="9">
        <f t="shared" ref="O116:P116" si="81">O44</f>
        <v>64694700</v>
      </c>
      <c r="P116" s="61">
        <f t="shared" si="81"/>
        <v>66451900</v>
      </c>
    </row>
    <row r="117" spans="1:16" x14ac:dyDescent="0.2">
      <c r="A117" s="54">
        <f>A45+A48+A50</f>
        <v>52396100</v>
      </c>
      <c r="B117" s="9">
        <f>B45+B48+B50</f>
        <v>50234300</v>
      </c>
      <c r="C117" s="9">
        <f>C45+C48+C50</f>
        <v>54645900</v>
      </c>
      <c r="D117" s="9">
        <f>D45+D48+D50</f>
        <v>49690400</v>
      </c>
      <c r="E117" s="48" t="s">
        <v>2227</v>
      </c>
      <c r="F117" s="9">
        <f t="shared" ref="F117:N117" si="82">F45+F48+F50</f>
        <v>55834000</v>
      </c>
      <c r="G117" s="9">
        <f t="shared" si="82"/>
        <v>54254800</v>
      </c>
      <c r="H117" s="9">
        <f t="shared" si="82"/>
        <v>55866900</v>
      </c>
      <c r="I117" s="9">
        <f t="shared" si="82"/>
        <v>56918300</v>
      </c>
      <c r="J117" s="9">
        <f t="shared" si="82"/>
        <v>58240900</v>
      </c>
      <c r="K117" s="9">
        <f t="shared" si="82"/>
        <v>59274100</v>
      </c>
      <c r="L117" s="9">
        <f t="shared" si="82"/>
        <v>60731300</v>
      </c>
      <c r="M117" s="9">
        <f t="shared" si="82"/>
        <v>62336000</v>
      </c>
      <c r="N117" s="9">
        <f t="shared" si="82"/>
        <v>63335400</v>
      </c>
      <c r="O117" s="9">
        <f t="shared" ref="O117:P117" si="83">O45+O48+O50</f>
        <v>64646500</v>
      </c>
      <c r="P117" s="61">
        <f t="shared" si="83"/>
        <v>66070700</v>
      </c>
    </row>
    <row r="118" spans="1:16" s="65" customFormat="1" x14ac:dyDescent="0.2">
      <c r="A118" s="198">
        <f>A116-A117</f>
        <v>-6291300</v>
      </c>
      <c r="B118" s="63">
        <f>B116-B117</f>
        <v>-1064500</v>
      </c>
      <c r="C118" s="63">
        <f>C116-C117</f>
        <v>-3929900</v>
      </c>
      <c r="D118" s="63">
        <f>D116-D117</f>
        <v>6887200</v>
      </c>
      <c r="E118" s="63" t="s">
        <v>2149</v>
      </c>
      <c r="F118" s="63">
        <f t="shared" ref="F118:J118" si="84">F116-F117</f>
        <v>-3135600</v>
      </c>
      <c r="G118" s="63">
        <f t="shared" si="84"/>
        <v>-1492900</v>
      </c>
      <c r="H118" s="63">
        <f t="shared" si="84"/>
        <v>-1501700</v>
      </c>
      <c r="I118" s="63">
        <f t="shared" si="84"/>
        <v>-1568800</v>
      </c>
      <c r="J118" s="63">
        <f t="shared" si="84"/>
        <v>-1571900</v>
      </c>
      <c r="K118" s="63">
        <f t="shared" ref="K118:P118" si="85">K116-K117</f>
        <v>-1187300</v>
      </c>
      <c r="L118" s="63">
        <f t="shared" si="85"/>
        <v>-998200</v>
      </c>
      <c r="M118" s="63">
        <f t="shared" si="85"/>
        <v>-1091700</v>
      </c>
      <c r="N118" s="63">
        <f t="shared" si="85"/>
        <v>-376900</v>
      </c>
      <c r="O118" s="63">
        <f t="shared" si="85"/>
        <v>48200</v>
      </c>
      <c r="P118" s="106">
        <f t="shared" si="85"/>
        <v>381200</v>
      </c>
    </row>
    <row r="119" spans="1:16" x14ac:dyDescent="0.2">
      <c r="A119" s="54">
        <f>A77</f>
        <v>1805200</v>
      </c>
      <c r="B119" s="9">
        <f>B77</f>
        <v>2809800</v>
      </c>
      <c r="C119" s="9">
        <f>C77</f>
        <v>2286400</v>
      </c>
      <c r="D119" s="9">
        <f>D77</f>
        <v>1310300</v>
      </c>
      <c r="E119" s="48" t="s">
        <v>2150</v>
      </c>
      <c r="F119" s="9">
        <f t="shared" ref="F119:M119" si="86">F77</f>
        <v>8105000</v>
      </c>
      <c r="G119" s="9">
        <f t="shared" si="86"/>
        <v>7655000</v>
      </c>
      <c r="H119" s="9">
        <f t="shared" si="86"/>
        <v>4655000</v>
      </c>
      <c r="I119" s="9">
        <f t="shared" si="86"/>
        <v>2940000</v>
      </c>
      <c r="J119" s="9">
        <f t="shared" si="86"/>
        <v>1400000</v>
      </c>
      <c r="K119" s="9">
        <f t="shared" si="86"/>
        <v>960000</v>
      </c>
      <c r="L119" s="9">
        <f t="shared" si="86"/>
        <v>960000</v>
      </c>
      <c r="M119" s="9">
        <f t="shared" si="86"/>
        <v>960000</v>
      </c>
      <c r="N119" s="9">
        <f t="shared" ref="N119" si="87">N77</f>
        <v>960000</v>
      </c>
      <c r="O119" s="9">
        <f t="shared" ref="O119:P119" si="88">O77</f>
        <v>960000</v>
      </c>
      <c r="P119" s="61">
        <f t="shared" si="88"/>
        <v>960000</v>
      </c>
    </row>
    <row r="120" spans="1:16" s="65" customFormat="1" x14ac:dyDescent="0.2">
      <c r="A120" s="198">
        <f>A118+A119</f>
        <v>-4486100</v>
      </c>
      <c r="B120" s="63">
        <f>B118+B119</f>
        <v>1745300</v>
      </c>
      <c r="C120" s="63">
        <f>C118+C119</f>
        <v>-1643500</v>
      </c>
      <c r="D120" s="63">
        <f>D118+D119</f>
        <v>8197500</v>
      </c>
      <c r="E120" s="63" t="s">
        <v>1002</v>
      </c>
      <c r="F120" s="63">
        <f t="shared" ref="F120:J120" si="89">F118+F119</f>
        <v>4969400</v>
      </c>
      <c r="G120" s="63">
        <f t="shared" si="89"/>
        <v>6162100</v>
      </c>
      <c r="H120" s="63">
        <f t="shared" si="89"/>
        <v>3153300</v>
      </c>
      <c r="I120" s="63">
        <f t="shared" si="89"/>
        <v>1371200</v>
      </c>
      <c r="J120" s="63">
        <f t="shared" si="89"/>
        <v>-171900</v>
      </c>
      <c r="K120" s="63">
        <f t="shared" ref="K120:P120" si="90">K118+K119</f>
        <v>-227300</v>
      </c>
      <c r="L120" s="63">
        <f t="shared" si="90"/>
        <v>-38200</v>
      </c>
      <c r="M120" s="63">
        <f t="shared" si="90"/>
        <v>-131700</v>
      </c>
      <c r="N120" s="63">
        <f t="shared" si="90"/>
        <v>583100</v>
      </c>
      <c r="O120" s="63">
        <f t="shared" si="90"/>
        <v>1008200</v>
      </c>
      <c r="P120" s="106">
        <f t="shared" si="90"/>
        <v>1341200</v>
      </c>
    </row>
    <row r="121" spans="1:16" x14ac:dyDescent="0.2">
      <c r="A121" s="54">
        <f>A64</f>
        <v>15865700</v>
      </c>
      <c r="B121" s="9">
        <f>B64</f>
        <v>14144300</v>
      </c>
      <c r="C121" s="9">
        <f>C64</f>
        <v>14166800</v>
      </c>
      <c r="D121" s="9">
        <f>D64</f>
        <v>11005700</v>
      </c>
      <c r="E121" s="48" t="s">
        <v>2757</v>
      </c>
      <c r="F121" s="9">
        <f t="shared" ref="F121:M121" si="91">F64</f>
        <v>13383900</v>
      </c>
      <c r="G121" s="9">
        <f t="shared" si="91"/>
        <v>13754800</v>
      </c>
      <c r="H121" s="9">
        <f t="shared" si="91"/>
        <v>14122400</v>
      </c>
      <c r="I121" s="9">
        <f t="shared" si="91"/>
        <v>14406200</v>
      </c>
      <c r="J121" s="9">
        <f t="shared" si="91"/>
        <v>14695800</v>
      </c>
      <c r="K121" s="9">
        <f t="shared" si="91"/>
        <v>14991200</v>
      </c>
      <c r="L121" s="9">
        <f t="shared" si="91"/>
        <v>15292300</v>
      </c>
      <c r="M121" s="9">
        <f t="shared" si="91"/>
        <v>15599600</v>
      </c>
      <c r="N121" s="9">
        <f t="shared" ref="N121" si="92">N64</f>
        <v>15913100</v>
      </c>
      <c r="O121" s="9">
        <f t="shared" ref="O121:P121" si="93">O64</f>
        <v>16232700</v>
      </c>
      <c r="P121" s="61">
        <f t="shared" si="93"/>
        <v>16558400</v>
      </c>
    </row>
    <row r="122" spans="1:16" x14ac:dyDescent="0.2">
      <c r="A122" s="54">
        <f t="shared" ref="A122:B124" si="94">A66</f>
        <v>333000</v>
      </c>
      <c r="B122" s="9">
        <f t="shared" si="94"/>
        <v>-30000</v>
      </c>
      <c r="C122" s="9">
        <f t="shared" ref="C122:C124" si="95">C66</f>
        <v>-163000</v>
      </c>
      <c r="D122" s="9">
        <f t="shared" ref="D122" si="96">D66</f>
        <v>150000</v>
      </c>
      <c r="E122" s="79" t="s">
        <v>5358</v>
      </c>
      <c r="F122" s="9">
        <f t="shared" ref="F122:M122" si="97">F66</f>
        <v>0</v>
      </c>
      <c r="G122" s="9">
        <f t="shared" si="97"/>
        <v>0</v>
      </c>
      <c r="H122" s="9">
        <f t="shared" si="97"/>
        <v>0</v>
      </c>
      <c r="I122" s="9">
        <f t="shared" si="97"/>
        <v>0</v>
      </c>
      <c r="J122" s="9">
        <f t="shared" si="97"/>
        <v>0</v>
      </c>
      <c r="K122" s="9">
        <f t="shared" si="97"/>
        <v>0</v>
      </c>
      <c r="L122" s="9">
        <f t="shared" si="97"/>
        <v>0</v>
      </c>
      <c r="M122" s="9">
        <f t="shared" si="97"/>
        <v>0</v>
      </c>
      <c r="N122" s="9">
        <f t="shared" ref="N122" si="98">N66</f>
        <v>0</v>
      </c>
      <c r="O122" s="9">
        <f t="shared" ref="O122:P122" si="99">O66</f>
        <v>0</v>
      </c>
      <c r="P122" s="61">
        <f t="shared" si="99"/>
        <v>0</v>
      </c>
    </row>
    <row r="123" spans="1:16" x14ac:dyDescent="0.2">
      <c r="A123" s="54">
        <f t="shared" si="94"/>
        <v>0</v>
      </c>
      <c r="B123" s="9">
        <f t="shared" si="94"/>
        <v>-460100</v>
      </c>
      <c r="C123" s="9">
        <f t="shared" si="95"/>
        <v>0</v>
      </c>
      <c r="D123" s="9">
        <f t="shared" ref="D123" si="100">D67</f>
        <v>-360400</v>
      </c>
      <c r="E123" s="79" t="s">
        <v>5355</v>
      </c>
      <c r="F123" s="9">
        <f t="shared" ref="F123:M123" si="101">F67</f>
        <v>0</v>
      </c>
      <c r="G123" s="9">
        <f t="shared" si="101"/>
        <v>0</v>
      </c>
      <c r="H123" s="9">
        <f t="shared" si="101"/>
        <v>0</v>
      </c>
      <c r="I123" s="9">
        <f t="shared" si="101"/>
        <v>0</v>
      </c>
      <c r="J123" s="9">
        <f t="shared" si="101"/>
        <v>0</v>
      </c>
      <c r="K123" s="9">
        <f t="shared" si="101"/>
        <v>0</v>
      </c>
      <c r="L123" s="9">
        <f t="shared" si="101"/>
        <v>0</v>
      </c>
      <c r="M123" s="9">
        <f t="shared" si="101"/>
        <v>0</v>
      </c>
      <c r="N123" s="9">
        <f t="shared" ref="N123" si="102">N67</f>
        <v>0</v>
      </c>
      <c r="O123" s="9">
        <f t="shared" ref="O123:P123" si="103">O67</f>
        <v>0</v>
      </c>
      <c r="P123" s="61">
        <f t="shared" si="103"/>
        <v>0</v>
      </c>
    </row>
    <row r="124" spans="1:16" x14ac:dyDescent="0.2">
      <c r="A124" s="54">
        <f t="shared" si="94"/>
        <v>169300</v>
      </c>
      <c r="B124" s="9">
        <f t="shared" si="94"/>
        <v>231300</v>
      </c>
      <c r="C124" s="9">
        <f t="shared" si="95"/>
        <v>190800</v>
      </c>
      <c r="D124" s="9">
        <f t="shared" ref="D124" si="104">D68</f>
        <v>152000</v>
      </c>
      <c r="E124" s="48" t="s">
        <v>2007</v>
      </c>
      <c r="F124" s="9">
        <f t="shared" ref="F124:M124" si="105">F68</f>
        <v>119100</v>
      </c>
      <c r="G124" s="9">
        <f t="shared" si="105"/>
        <v>70200</v>
      </c>
      <c r="H124" s="9">
        <f t="shared" si="105"/>
        <v>48000</v>
      </c>
      <c r="I124" s="9">
        <f t="shared" si="105"/>
        <v>20600</v>
      </c>
      <c r="J124" s="9">
        <f t="shared" si="105"/>
        <v>21400</v>
      </c>
      <c r="K124" s="9">
        <f t="shared" si="105"/>
        <v>22100</v>
      </c>
      <c r="L124" s="9">
        <f t="shared" si="105"/>
        <v>22900</v>
      </c>
      <c r="M124" s="9">
        <f t="shared" si="105"/>
        <v>23800</v>
      </c>
      <c r="N124" s="9">
        <f t="shared" ref="N124" si="106">N68</f>
        <v>24700</v>
      </c>
      <c r="O124" s="9">
        <f t="shared" ref="O124:P124" si="107">O68</f>
        <v>25600</v>
      </c>
      <c r="P124" s="61">
        <f t="shared" si="107"/>
        <v>25600</v>
      </c>
    </row>
    <row r="125" spans="1:16" x14ac:dyDescent="0.2">
      <c r="A125" s="54">
        <f>A76</f>
        <v>-1957800</v>
      </c>
      <c r="B125" s="9">
        <f>B76</f>
        <v>-498500</v>
      </c>
      <c r="C125" s="9">
        <f>C76</f>
        <v>2036000</v>
      </c>
      <c r="D125" s="9">
        <f>D76</f>
        <v>5524700</v>
      </c>
      <c r="E125" s="48" t="s">
        <v>73</v>
      </c>
      <c r="F125" s="9">
        <f t="shared" ref="F125:M125" si="108">F76</f>
        <v>200000</v>
      </c>
      <c r="G125" s="9">
        <f t="shared" si="108"/>
        <v>200000</v>
      </c>
      <c r="H125" s="9">
        <f t="shared" si="108"/>
        <v>200000</v>
      </c>
      <c r="I125" s="9">
        <f t="shared" si="108"/>
        <v>200000</v>
      </c>
      <c r="J125" s="9">
        <f t="shared" si="108"/>
        <v>200000</v>
      </c>
      <c r="K125" s="9">
        <f t="shared" si="108"/>
        <v>200000</v>
      </c>
      <c r="L125" s="9">
        <f t="shared" si="108"/>
        <v>200000</v>
      </c>
      <c r="M125" s="9">
        <f t="shared" si="108"/>
        <v>200000</v>
      </c>
      <c r="N125" s="9">
        <f t="shared" ref="N125" si="109">N76</f>
        <v>200000</v>
      </c>
      <c r="O125" s="9">
        <f t="shared" ref="O125:P125" si="110">O76</f>
        <v>200000</v>
      </c>
      <c r="P125" s="61">
        <f t="shared" si="110"/>
        <v>200000</v>
      </c>
    </row>
    <row r="126" spans="1:16" s="65" customFormat="1" x14ac:dyDescent="0.2">
      <c r="A126" s="198">
        <f>SUM(A120:A125)</f>
        <v>9924100</v>
      </c>
      <c r="B126" s="63">
        <f>SUM(B120:B125)</f>
        <v>15132300</v>
      </c>
      <c r="C126" s="63">
        <f>SUM(C120:C125)</f>
        <v>14587100</v>
      </c>
      <c r="D126" s="63">
        <f>SUM(D120:D125)</f>
        <v>24669500</v>
      </c>
      <c r="E126" s="63" t="s">
        <v>2167</v>
      </c>
      <c r="F126" s="63">
        <f t="shared" ref="F126:M126" si="111">SUM(F120:F125)</f>
        <v>18672400</v>
      </c>
      <c r="G126" s="63">
        <f t="shared" si="111"/>
        <v>20187100</v>
      </c>
      <c r="H126" s="63">
        <f t="shared" si="111"/>
        <v>17523700</v>
      </c>
      <c r="I126" s="63">
        <f t="shared" si="111"/>
        <v>15998000</v>
      </c>
      <c r="J126" s="63">
        <f t="shared" si="111"/>
        <v>14745300</v>
      </c>
      <c r="K126" s="63">
        <f t="shared" si="111"/>
        <v>14986000</v>
      </c>
      <c r="L126" s="63">
        <f t="shared" si="111"/>
        <v>15477000</v>
      </c>
      <c r="M126" s="63">
        <f t="shared" si="111"/>
        <v>15691700</v>
      </c>
      <c r="N126" s="63">
        <f t="shared" ref="N126" si="112">SUM(N120:N125)</f>
        <v>16720900</v>
      </c>
      <c r="O126" s="63">
        <f t="shared" ref="O126:P126" si="113">SUM(O120:O125)</f>
        <v>17466500</v>
      </c>
      <c r="P126" s="106">
        <f t="shared" si="113"/>
        <v>18125200</v>
      </c>
    </row>
    <row r="127" spans="1:16" x14ac:dyDescent="0.2">
      <c r="A127" s="54"/>
      <c r="B127" s="9"/>
      <c r="C127" s="9"/>
      <c r="D127" s="9"/>
      <c r="E127" s="48"/>
      <c r="F127" s="9"/>
      <c r="G127" s="9"/>
      <c r="H127" s="9"/>
      <c r="I127" s="9"/>
      <c r="J127" s="9"/>
      <c r="K127" s="9"/>
      <c r="L127" s="9"/>
      <c r="M127" s="9"/>
      <c r="N127" s="9"/>
      <c r="O127" s="9"/>
      <c r="P127" s="61"/>
    </row>
    <row r="128" spans="1:16" x14ac:dyDescent="0.2">
      <c r="A128" s="54"/>
      <c r="B128" s="9"/>
      <c r="C128" s="9"/>
      <c r="D128" s="9"/>
      <c r="E128" s="63" t="s">
        <v>2314</v>
      </c>
      <c r="F128" s="9"/>
      <c r="G128" s="9"/>
      <c r="H128" s="9"/>
      <c r="I128" s="9"/>
      <c r="J128" s="9"/>
      <c r="K128" s="9"/>
      <c r="L128" s="9"/>
      <c r="M128" s="9"/>
      <c r="N128" s="9"/>
      <c r="O128" s="9"/>
      <c r="P128" s="61"/>
    </row>
    <row r="129" spans="1:16" x14ac:dyDescent="0.2">
      <c r="A129" s="54"/>
      <c r="B129" s="9"/>
      <c r="C129" s="9"/>
      <c r="D129" s="9"/>
      <c r="E129" s="48"/>
      <c r="F129" s="9"/>
      <c r="G129" s="9"/>
      <c r="H129" s="9"/>
      <c r="I129" s="9"/>
      <c r="J129" s="9"/>
      <c r="K129" s="9"/>
      <c r="L129" s="9"/>
      <c r="M129" s="9"/>
      <c r="N129" s="9"/>
      <c r="O129" s="9"/>
      <c r="P129" s="61"/>
    </row>
    <row r="130" spans="1:16" x14ac:dyDescent="0.2">
      <c r="A130" s="54"/>
      <c r="B130" s="9"/>
      <c r="C130" s="9"/>
      <c r="D130" s="9"/>
      <c r="E130" s="63" t="s">
        <v>1865</v>
      </c>
      <c r="F130" s="9"/>
      <c r="G130" s="9"/>
      <c r="H130" s="9"/>
      <c r="I130" s="9"/>
      <c r="J130" s="9"/>
      <c r="K130" s="9"/>
      <c r="L130" s="9"/>
      <c r="M130" s="9"/>
      <c r="N130" s="9"/>
      <c r="O130" s="9"/>
      <c r="P130" s="61"/>
    </row>
    <row r="131" spans="1:16" x14ac:dyDescent="0.2">
      <c r="A131" s="54">
        <v>0</v>
      </c>
      <c r="B131" s="9">
        <v>0</v>
      </c>
      <c r="C131" s="9">
        <v>0</v>
      </c>
      <c r="D131" s="9">
        <v>0</v>
      </c>
      <c r="E131" s="48" t="s">
        <v>2886</v>
      </c>
      <c r="F131" s="9">
        <v>0</v>
      </c>
      <c r="G131" s="9">
        <v>0</v>
      </c>
      <c r="H131" s="9">
        <v>0</v>
      </c>
      <c r="I131" s="9">
        <v>0</v>
      </c>
      <c r="J131" s="9">
        <v>0</v>
      </c>
      <c r="K131" s="9">
        <v>0</v>
      </c>
      <c r="L131" s="9">
        <v>0</v>
      </c>
      <c r="M131" s="9">
        <v>0</v>
      </c>
      <c r="N131" s="9">
        <v>0</v>
      </c>
      <c r="O131" s="9">
        <v>0</v>
      </c>
      <c r="P131" s="61">
        <v>0</v>
      </c>
    </row>
    <row r="132" spans="1:16" x14ac:dyDescent="0.2">
      <c r="A132" s="54">
        <v>1981400</v>
      </c>
      <c r="B132" s="9">
        <v>1341500</v>
      </c>
      <c r="C132" s="9">
        <f>'Cap-Gen'!E30+++++'Cap-Gen'!E73+'Cap-Gen'!E203</f>
        <v>1407000</v>
      </c>
      <c r="D132" s="9">
        <f>'Cap-Gen'!F30+++++'Cap-Gen'!F73+'Cap-Gen'!F203</f>
        <v>1403700</v>
      </c>
      <c r="E132" s="48" t="s">
        <v>1351</v>
      </c>
      <c r="F132" s="9">
        <f>'Cap-Gen'!G30+++++'Cap-Gen'!G73+'Cap-Gen'!G203</f>
        <v>2086100</v>
      </c>
      <c r="G132" s="9">
        <f>'Cap-Gen'!H30+++++'Cap-Gen'!H73+'Cap-Gen'!H203</f>
        <v>1139100</v>
      </c>
      <c r="H132" s="9">
        <f>'Cap-Gen'!I30+++++'Cap-Gen'!I73+'Cap-Gen'!I203</f>
        <v>955200</v>
      </c>
      <c r="I132" s="9">
        <f>'Cap-Gen'!J30+++++'Cap-Gen'!J73+'Cap-Gen'!J203</f>
        <v>1578500</v>
      </c>
      <c r="J132" s="9">
        <f>'Cap-Gen'!K30+++++'Cap-Gen'!K73+'Cap-Gen'!K203</f>
        <v>1521900</v>
      </c>
      <c r="K132" s="9">
        <f>'Cap-Gen'!L30+++++'Cap-Gen'!L73+'Cap-Gen'!L203</f>
        <v>1640200</v>
      </c>
      <c r="L132" s="9">
        <f>'Cap-Gen'!M30+++++'Cap-Gen'!M73+'Cap-Gen'!M203</f>
        <v>1287500</v>
      </c>
      <c r="M132" s="9">
        <f>'Cap-Gen'!N30+++++'Cap-Gen'!N73+'Cap-Gen'!N203</f>
        <v>1333600</v>
      </c>
      <c r="N132" s="9">
        <f>'Cap-Gen'!O30+++++'Cap-Gen'!O73+'Cap-Gen'!O203</f>
        <v>1058400</v>
      </c>
      <c r="O132" s="9">
        <f>'Cap-Gen'!R30+++++'Cap-Gen'!R73+'Cap-Gen'!R203</f>
        <v>0</v>
      </c>
      <c r="P132" s="61">
        <f>'Cap-Gen'!S30+++++'Cap-Gen'!S73+'Cap-Gen'!S203</f>
        <v>0</v>
      </c>
    </row>
    <row r="133" spans="1:16" x14ac:dyDescent="0.2">
      <c r="A133" s="54">
        <f>25008300+888900+700-1400</f>
        <v>25896500</v>
      </c>
      <c r="B133" s="9">
        <f>-B80-B132-B131</f>
        <v>16891900</v>
      </c>
      <c r="C133" s="9">
        <f>-C80-C132-C131</f>
        <v>21489800</v>
      </c>
      <c r="D133" s="9">
        <f>-D80-D132-D131</f>
        <v>22280600</v>
      </c>
      <c r="E133" s="48" t="s">
        <v>1864</v>
      </c>
      <c r="F133" s="9">
        <f t="shared" ref="F133:L133" si="114">-F80-F132-F131</f>
        <v>39916200</v>
      </c>
      <c r="G133" s="9">
        <f t="shared" si="114"/>
        <v>35166100</v>
      </c>
      <c r="H133" s="9">
        <f t="shared" si="114"/>
        <v>31083000</v>
      </c>
      <c r="I133" s="9">
        <f t="shared" si="114"/>
        <v>35507400</v>
      </c>
      <c r="J133" s="9">
        <f t="shared" si="114"/>
        <v>23312400</v>
      </c>
      <c r="K133" s="9">
        <f t="shared" si="114"/>
        <v>10250300</v>
      </c>
      <c r="L133" s="9">
        <f t="shared" si="114"/>
        <v>15149900</v>
      </c>
      <c r="M133" s="9">
        <f t="shared" ref="M133:N133" si="115">-M80-M132-M131</f>
        <v>15411200</v>
      </c>
      <c r="N133" s="9">
        <f t="shared" si="115"/>
        <v>13406100</v>
      </c>
      <c r="O133" s="9">
        <f t="shared" ref="O133:P133" si="116">-O80-O132-O131</f>
        <v>17918100</v>
      </c>
      <c r="P133" s="61">
        <f t="shared" si="116"/>
        <v>16162000</v>
      </c>
    </row>
    <row r="134" spans="1:16" x14ac:dyDescent="0.2">
      <c r="A134" s="54">
        <f>-A81</f>
        <v>3216200</v>
      </c>
      <c r="B134" s="9">
        <f>-B81</f>
        <v>3395400</v>
      </c>
      <c r="C134" s="9">
        <f>-C81</f>
        <v>3788900</v>
      </c>
      <c r="D134" s="9">
        <f>-D81</f>
        <v>3696200</v>
      </c>
      <c r="E134" s="48" t="s">
        <v>1692</v>
      </c>
      <c r="F134" s="9">
        <f t="shared" ref="F134:M134" si="117">-F81</f>
        <v>3285700</v>
      </c>
      <c r="G134" s="9">
        <f t="shared" si="117"/>
        <v>3324800</v>
      </c>
      <c r="H134" s="9">
        <f t="shared" si="117"/>
        <v>3402100</v>
      </c>
      <c r="I134" s="9">
        <f t="shared" si="117"/>
        <v>3131000</v>
      </c>
      <c r="J134" s="9">
        <f t="shared" si="117"/>
        <v>3636100</v>
      </c>
      <c r="K134" s="9">
        <f t="shared" si="117"/>
        <v>3183000</v>
      </c>
      <c r="L134" s="9">
        <f t="shared" si="117"/>
        <v>2456800</v>
      </c>
      <c r="M134" s="9">
        <f t="shared" si="117"/>
        <v>2190000</v>
      </c>
      <c r="N134" s="9">
        <f t="shared" ref="N134" si="118">-N81</f>
        <v>1569400</v>
      </c>
      <c r="O134" s="9">
        <f t="shared" ref="O134:P134" si="119">-O81</f>
        <v>1573400</v>
      </c>
      <c r="P134" s="61">
        <f t="shared" si="119"/>
        <v>1637300</v>
      </c>
    </row>
    <row r="135" spans="1:16" s="65" customFormat="1" x14ac:dyDescent="0.2">
      <c r="A135" s="198">
        <f>SUM(A130:A134)</f>
        <v>31094100</v>
      </c>
      <c r="B135" s="63">
        <f>SUM(B130:B134)</f>
        <v>21628800</v>
      </c>
      <c r="C135" s="63">
        <f>SUM(C130:C134)</f>
        <v>26685700</v>
      </c>
      <c r="D135" s="63">
        <f>SUM(D130:D134)</f>
        <v>27380500</v>
      </c>
      <c r="E135" s="63" t="s">
        <v>1504</v>
      </c>
      <c r="F135" s="63">
        <f t="shared" ref="F135:J135" si="120">SUM(F130:F134)</f>
        <v>45288000</v>
      </c>
      <c r="G135" s="63">
        <f t="shared" si="120"/>
        <v>39630000</v>
      </c>
      <c r="H135" s="63">
        <f t="shared" si="120"/>
        <v>35440300</v>
      </c>
      <c r="I135" s="63">
        <f t="shared" si="120"/>
        <v>40216900</v>
      </c>
      <c r="J135" s="63">
        <f t="shared" si="120"/>
        <v>28470400</v>
      </c>
      <c r="K135" s="63">
        <f t="shared" ref="K135:P135" si="121">SUM(K130:K134)</f>
        <v>15073500</v>
      </c>
      <c r="L135" s="63">
        <f t="shared" si="121"/>
        <v>18894200</v>
      </c>
      <c r="M135" s="63">
        <f t="shared" si="121"/>
        <v>18934800</v>
      </c>
      <c r="N135" s="63">
        <f t="shared" si="121"/>
        <v>16033900</v>
      </c>
      <c r="O135" s="63">
        <f t="shared" si="121"/>
        <v>19491500</v>
      </c>
      <c r="P135" s="106">
        <f t="shared" si="121"/>
        <v>17799300</v>
      </c>
    </row>
    <row r="136" spans="1:16" x14ac:dyDescent="0.2">
      <c r="A136" s="54"/>
      <c r="B136" s="9"/>
      <c r="C136" s="9"/>
      <c r="D136" s="9"/>
      <c r="E136" s="48"/>
      <c r="F136" s="9"/>
      <c r="G136" s="9"/>
      <c r="H136" s="9"/>
      <c r="I136" s="9"/>
      <c r="J136" s="9"/>
      <c r="K136" s="9"/>
      <c r="L136" s="9"/>
      <c r="M136" s="9"/>
      <c r="N136" s="9"/>
      <c r="O136" s="9"/>
      <c r="P136" s="61"/>
    </row>
    <row r="137" spans="1:16" x14ac:dyDescent="0.2">
      <c r="A137" s="54"/>
      <c r="B137" s="9"/>
      <c r="C137" s="9"/>
      <c r="D137" s="9"/>
      <c r="E137" s="63" t="s">
        <v>877</v>
      </c>
      <c r="F137" s="9"/>
      <c r="G137" s="9"/>
      <c r="H137" s="9"/>
      <c r="I137" s="9"/>
      <c r="J137" s="9"/>
      <c r="K137" s="9"/>
      <c r="L137" s="9"/>
      <c r="M137" s="9"/>
      <c r="N137" s="9"/>
      <c r="O137" s="9"/>
      <c r="P137" s="61"/>
    </row>
    <row r="138" spans="1:16" x14ac:dyDescent="0.2">
      <c r="A138" s="54">
        <f>A126</f>
        <v>9924100</v>
      </c>
      <c r="B138" s="9">
        <f>B126</f>
        <v>15132300</v>
      </c>
      <c r="C138" s="9">
        <f>C126</f>
        <v>14587100</v>
      </c>
      <c r="D138" s="9">
        <f>D126</f>
        <v>24669500</v>
      </c>
      <c r="E138" s="48" t="str">
        <f>E126</f>
        <v>Net Increase in Cash from Operations</v>
      </c>
      <c r="F138" s="9">
        <f t="shared" ref="F138:J138" si="122">F126</f>
        <v>18672400</v>
      </c>
      <c r="G138" s="9">
        <f t="shared" si="122"/>
        <v>20187100</v>
      </c>
      <c r="H138" s="9">
        <f t="shared" si="122"/>
        <v>17523700</v>
      </c>
      <c r="I138" s="9">
        <f t="shared" si="122"/>
        <v>15998000</v>
      </c>
      <c r="J138" s="9">
        <f t="shared" si="122"/>
        <v>14745300</v>
      </c>
      <c r="K138" s="9">
        <f t="shared" ref="K138:P138" si="123">K126</f>
        <v>14986000</v>
      </c>
      <c r="L138" s="9">
        <f t="shared" si="123"/>
        <v>15477000</v>
      </c>
      <c r="M138" s="9">
        <f t="shared" si="123"/>
        <v>15691700</v>
      </c>
      <c r="N138" s="9">
        <f t="shared" si="123"/>
        <v>16720900</v>
      </c>
      <c r="O138" s="9">
        <f t="shared" si="123"/>
        <v>17466500</v>
      </c>
      <c r="P138" s="61">
        <f t="shared" si="123"/>
        <v>18125200</v>
      </c>
    </row>
    <row r="139" spans="1:16" x14ac:dyDescent="0.2">
      <c r="A139" s="54">
        <f>-A86</f>
        <v>11293400</v>
      </c>
      <c r="B139" s="9">
        <f>-B86</f>
        <v>-2180200</v>
      </c>
      <c r="C139" s="9">
        <f>-C86</f>
        <v>-521200</v>
      </c>
      <c r="D139" s="9">
        <f>-D86</f>
        <v>-7764300</v>
      </c>
      <c r="E139" s="48" t="s">
        <v>140</v>
      </c>
      <c r="F139" s="9">
        <f t="shared" ref="F139:N139" si="124">-F86</f>
        <v>5021700</v>
      </c>
      <c r="G139" s="9">
        <f t="shared" si="124"/>
        <v>11230800</v>
      </c>
      <c r="H139" s="9">
        <f t="shared" si="124"/>
        <v>-15100</v>
      </c>
      <c r="I139" s="9">
        <f t="shared" si="124"/>
        <v>-471700</v>
      </c>
      <c r="J139" s="9">
        <f t="shared" si="124"/>
        <v>-273000</v>
      </c>
      <c r="K139" s="9">
        <f t="shared" si="124"/>
        <v>-684200</v>
      </c>
      <c r="L139" s="9">
        <f t="shared" si="124"/>
        <v>903000</v>
      </c>
      <c r="M139" s="9">
        <f t="shared" si="124"/>
        <v>2838100</v>
      </c>
      <c r="N139" s="9">
        <f t="shared" si="124"/>
        <v>-1012700</v>
      </c>
      <c r="O139" s="9">
        <f t="shared" ref="O139:P139" si="125">-O86</f>
        <v>-240200</v>
      </c>
      <c r="P139" s="61">
        <f t="shared" si="125"/>
        <v>79300</v>
      </c>
    </row>
    <row r="140" spans="1:16" x14ac:dyDescent="0.2">
      <c r="A140" s="54">
        <f>-A87++A57</f>
        <v>1815400</v>
      </c>
      <c r="B140" s="9">
        <f>-B87++B57</f>
        <v>3199200</v>
      </c>
      <c r="C140" s="9">
        <f>-C87++C57</f>
        <v>3856600</v>
      </c>
      <c r="D140" s="9">
        <f>-D87++D57</f>
        <v>2193000</v>
      </c>
      <c r="E140" s="48" t="s">
        <v>1142</v>
      </c>
      <c r="F140" s="9">
        <f t="shared" ref="F140:M140" si="126">-F87++F57</f>
        <v>1880600</v>
      </c>
      <c r="G140" s="9">
        <f t="shared" si="126"/>
        <v>1622900</v>
      </c>
      <c r="H140" s="9">
        <f t="shared" si="126"/>
        <v>17134200</v>
      </c>
      <c r="I140" s="9">
        <f t="shared" si="126"/>
        <v>15494900</v>
      </c>
      <c r="J140" s="9">
        <f t="shared" si="126"/>
        <v>13256000</v>
      </c>
      <c r="K140" s="9">
        <f t="shared" si="126"/>
        <v>66400</v>
      </c>
      <c r="L140" s="9">
        <f t="shared" si="126"/>
        <v>1960600</v>
      </c>
      <c r="M140" s="9">
        <f t="shared" si="126"/>
        <v>-137200</v>
      </c>
      <c r="N140" s="9">
        <f t="shared" ref="N140" si="127">-N87++N57</f>
        <v>-291000</v>
      </c>
      <c r="O140" s="9">
        <f t="shared" ref="O140:P140" si="128">-O87++O57</f>
        <v>1766700</v>
      </c>
      <c r="P140" s="61">
        <f t="shared" si="128"/>
        <v>-566200</v>
      </c>
    </row>
    <row r="141" spans="1:16" x14ac:dyDescent="0.2">
      <c r="A141" s="54">
        <f>-A88</f>
        <v>0</v>
      </c>
      <c r="B141" s="9">
        <f>-B88</f>
        <v>0</v>
      </c>
      <c r="C141" s="9">
        <f>-C88</f>
        <v>5200</v>
      </c>
      <c r="D141" s="9">
        <f>-D88</f>
        <v>-2110300</v>
      </c>
      <c r="E141" s="48" t="s">
        <v>267</v>
      </c>
      <c r="F141" s="9">
        <f t="shared" ref="F141:M141" si="129">-F88</f>
        <v>-60000</v>
      </c>
      <c r="G141" s="9">
        <f t="shared" si="129"/>
        <v>372300</v>
      </c>
      <c r="H141" s="9">
        <f t="shared" si="129"/>
        <v>500400</v>
      </c>
      <c r="I141" s="9">
        <f t="shared" si="129"/>
        <v>552600</v>
      </c>
      <c r="J141" s="9">
        <f t="shared" si="129"/>
        <v>432800</v>
      </c>
      <c r="K141" s="9">
        <f t="shared" si="129"/>
        <v>389700</v>
      </c>
      <c r="L141" s="9">
        <f t="shared" si="129"/>
        <v>231600</v>
      </c>
      <c r="M141" s="9">
        <f t="shared" si="129"/>
        <v>213500</v>
      </c>
      <c r="N141" s="9">
        <f t="shared" ref="N141" si="130">-N88</f>
        <v>281300</v>
      </c>
      <c r="O141" s="9">
        <f t="shared" ref="O141:P141" si="131">-O88</f>
        <v>156300</v>
      </c>
      <c r="P141" s="61">
        <f t="shared" si="131"/>
        <v>-188300</v>
      </c>
    </row>
    <row r="142" spans="1:16" x14ac:dyDescent="0.2">
      <c r="A142" s="54">
        <f>A56</f>
        <v>6861200</v>
      </c>
      <c r="B142" s="9">
        <f>B56</f>
        <v>4752500</v>
      </c>
      <c r="C142" s="9">
        <f>C56</f>
        <v>8258000</v>
      </c>
      <c r="D142" s="9">
        <f>D56</f>
        <v>7315700</v>
      </c>
      <c r="E142" s="48" t="s">
        <v>2668</v>
      </c>
      <c r="F142" s="9">
        <f t="shared" ref="F142:N142" si="132">F56</f>
        <v>10925500</v>
      </c>
      <c r="G142" s="9">
        <f t="shared" si="132"/>
        <v>3716900</v>
      </c>
      <c r="H142" s="9">
        <f t="shared" si="132"/>
        <v>297100</v>
      </c>
      <c r="I142" s="9">
        <f t="shared" si="132"/>
        <v>303100</v>
      </c>
      <c r="J142" s="9">
        <f t="shared" si="132"/>
        <v>309300</v>
      </c>
      <c r="K142" s="9">
        <f t="shared" si="132"/>
        <v>315600</v>
      </c>
      <c r="L142" s="9">
        <f t="shared" si="132"/>
        <v>322000</v>
      </c>
      <c r="M142" s="9">
        <f t="shared" si="132"/>
        <v>328700</v>
      </c>
      <c r="N142" s="9">
        <f t="shared" si="132"/>
        <v>335400</v>
      </c>
      <c r="O142" s="9">
        <f t="shared" ref="O142:P142" si="133">O56</f>
        <v>342200</v>
      </c>
      <c r="P142" s="61">
        <f t="shared" si="133"/>
        <v>349300</v>
      </c>
    </row>
    <row r="143" spans="1:16" x14ac:dyDescent="0.2">
      <c r="A143" s="54">
        <f>A75+A62</f>
        <v>1200000</v>
      </c>
      <c r="B143" s="9">
        <f>B75+B62</f>
        <v>725000</v>
      </c>
      <c r="C143" s="9">
        <f>C75+C62</f>
        <v>500000</v>
      </c>
      <c r="D143" s="9">
        <f>D75+D62</f>
        <v>3076900</v>
      </c>
      <c r="E143" s="48" t="s">
        <v>737</v>
      </c>
      <c r="F143" s="9">
        <f t="shared" ref="F143:M143" si="134">F75+F62</f>
        <v>8847800</v>
      </c>
      <c r="G143" s="9">
        <f t="shared" si="134"/>
        <v>2500000</v>
      </c>
      <c r="H143" s="9">
        <f t="shared" si="134"/>
        <v>0</v>
      </c>
      <c r="I143" s="9">
        <f t="shared" si="134"/>
        <v>8340000</v>
      </c>
      <c r="J143" s="9">
        <f t="shared" si="134"/>
        <v>0</v>
      </c>
      <c r="K143" s="9">
        <f t="shared" si="134"/>
        <v>0</v>
      </c>
      <c r="L143" s="9">
        <f t="shared" si="134"/>
        <v>0</v>
      </c>
      <c r="M143" s="9">
        <f t="shared" si="134"/>
        <v>0</v>
      </c>
      <c r="N143" s="9">
        <f t="shared" ref="N143" si="135">N75+N62</f>
        <v>0</v>
      </c>
      <c r="O143" s="9">
        <f t="shared" ref="O143:P143" si="136">O75+O62</f>
        <v>0</v>
      </c>
      <c r="P143" s="61">
        <f t="shared" si="136"/>
        <v>0</v>
      </c>
    </row>
    <row r="144" spans="1:16" s="65" customFormat="1" x14ac:dyDescent="0.2">
      <c r="A144" s="198">
        <f>SUM(A138:A143)</f>
        <v>31094100</v>
      </c>
      <c r="B144" s="63">
        <f>SUM(B138:B143)</f>
        <v>21628800</v>
      </c>
      <c r="C144" s="63">
        <f>SUM(C138:C143)</f>
        <v>26685700</v>
      </c>
      <c r="D144" s="63">
        <f>SUM(D138:D143)</f>
        <v>27380500</v>
      </c>
      <c r="E144" s="63" t="s">
        <v>1504</v>
      </c>
      <c r="F144" s="63">
        <f t="shared" ref="F144:J144" si="137">SUM(F138:F143)</f>
        <v>45288000</v>
      </c>
      <c r="G144" s="63">
        <f t="shared" si="137"/>
        <v>39630000</v>
      </c>
      <c r="H144" s="63">
        <f t="shared" si="137"/>
        <v>35440300</v>
      </c>
      <c r="I144" s="63">
        <f t="shared" si="137"/>
        <v>40216900</v>
      </c>
      <c r="J144" s="63">
        <f t="shared" si="137"/>
        <v>28470400</v>
      </c>
      <c r="K144" s="63">
        <f t="shared" ref="K144:P144" si="138">SUM(K138:K143)</f>
        <v>15073500</v>
      </c>
      <c r="L144" s="63">
        <f t="shared" si="138"/>
        <v>18894200</v>
      </c>
      <c r="M144" s="63">
        <f t="shared" si="138"/>
        <v>18934800</v>
      </c>
      <c r="N144" s="63">
        <f t="shared" si="138"/>
        <v>16033900</v>
      </c>
      <c r="O144" s="63">
        <f t="shared" si="138"/>
        <v>19491500</v>
      </c>
      <c r="P144" s="106">
        <f t="shared" si="138"/>
        <v>17799300</v>
      </c>
    </row>
    <row r="145" spans="1:16" x14ac:dyDescent="0.2">
      <c r="A145" s="54"/>
      <c r="B145" s="9"/>
      <c r="C145" s="9"/>
      <c r="D145" s="9"/>
      <c r="E145" s="79"/>
      <c r="F145" s="9"/>
      <c r="G145" s="9"/>
      <c r="H145" s="9"/>
      <c r="I145" s="9"/>
      <c r="J145" s="9"/>
      <c r="K145" s="9"/>
      <c r="L145" s="9"/>
      <c r="M145" s="9"/>
      <c r="N145" s="9"/>
      <c r="O145" s="9"/>
      <c r="P145" s="61"/>
    </row>
    <row r="146" spans="1:16" x14ac:dyDescent="0.2">
      <c r="A146" s="54">
        <f>A144-A135</f>
        <v>0</v>
      </c>
      <c r="B146" s="9">
        <f>B144-B135</f>
        <v>0</v>
      </c>
      <c r="C146" s="9">
        <f>C144-C135</f>
        <v>0</v>
      </c>
      <c r="D146" s="9">
        <f>D144-D135</f>
        <v>0</v>
      </c>
      <c r="E146" s="79" t="s">
        <v>1169</v>
      </c>
      <c r="F146" s="9">
        <f t="shared" ref="F146:J146" si="139">F144-F135</f>
        <v>0</v>
      </c>
      <c r="G146" s="9">
        <f t="shared" si="139"/>
        <v>0</v>
      </c>
      <c r="H146" s="9">
        <f t="shared" si="139"/>
        <v>0</v>
      </c>
      <c r="I146" s="9">
        <f t="shared" si="139"/>
        <v>0</v>
      </c>
      <c r="J146" s="9">
        <f t="shared" si="139"/>
        <v>0</v>
      </c>
      <c r="K146" s="9">
        <f t="shared" ref="K146:P146" si="140">K144-K135</f>
        <v>0</v>
      </c>
      <c r="L146" s="9">
        <f t="shared" si="140"/>
        <v>0</v>
      </c>
      <c r="M146" s="9">
        <f t="shared" si="140"/>
        <v>0</v>
      </c>
      <c r="N146" s="9">
        <f t="shared" si="140"/>
        <v>0</v>
      </c>
      <c r="O146" s="9">
        <f t="shared" si="140"/>
        <v>0</v>
      </c>
      <c r="P146" s="61">
        <f t="shared" si="140"/>
        <v>0</v>
      </c>
    </row>
    <row r="147" spans="1:16" ht="13.5" thickBot="1" x14ac:dyDescent="0.25">
      <c r="A147" s="118"/>
      <c r="B147" s="23"/>
      <c r="C147" s="23"/>
      <c r="D147" s="23"/>
      <c r="E147" s="592"/>
      <c r="F147" s="23"/>
      <c r="G147" s="23"/>
      <c r="H147" s="23"/>
      <c r="I147" s="23"/>
      <c r="J147" s="23"/>
      <c r="K147" s="23"/>
      <c r="L147" s="23"/>
      <c r="M147" s="23"/>
      <c r="N147" s="23"/>
      <c r="O147" s="23"/>
      <c r="P147" s="112"/>
    </row>
    <row r="148" spans="1:16" ht="13.5" thickTop="1" x14ac:dyDescent="0.2"/>
    <row r="149" spans="1:16" x14ac:dyDescent="0.2">
      <c r="E149" s="96"/>
    </row>
    <row r="150" spans="1:16" x14ac:dyDescent="0.2">
      <c r="E150" s="96"/>
    </row>
    <row r="151" spans="1:16" x14ac:dyDescent="0.2">
      <c r="E151" s="96"/>
    </row>
    <row r="152" spans="1:16" x14ac:dyDescent="0.2">
      <c r="E152" s="96"/>
    </row>
    <row r="153" spans="1:16" x14ac:dyDescent="0.2">
      <c r="E153" s="96"/>
    </row>
    <row r="154" spans="1:16" x14ac:dyDescent="0.2">
      <c r="E154" s="96"/>
    </row>
    <row r="155" spans="1:16" x14ac:dyDescent="0.2">
      <c r="E155" s="96"/>
    </row>
    <row r="156" spans="1:16" x14ac:dyDescent="0.2">
      <c r="E156" s="96"/>
    </row>
    <row r="157" spans="1:16" x14ac:dyDescent="0.2">
      <c r="E157" s="96"/>
    </row>
    <row r="158" spans="1:16" x14ac:dyDescent="0.2">
      <c r="E158" s="96"/>
    </row>
    <row r="159" spans="1:16" x14ac:dyDescent="0.2">
      <c r="E159" s="96"/>
    </row>
    <row r="160" spans="1:16" x14ac:dyDescent="0.2">
      <c r="E160" s="96"/>
    </row>
    <row r="161" spans="5:5" x14ac:dyDescent="0.2">
      <c r="E161" s="96"/>
    </row>
    <row r="162" spans="5:5" x14ac:dyDescent="0.2">
      <c r="E162" s="96"/>
    </row>
    <row r="163" spans="5:5" x14ac:dyDescent="0.2">
      <c r="E163" s="96"/>
    </row>
    <row r="164" spans="5:5" x14ac:dyDescent="0.2">
      <c r="E164" s="96"/>
    </row>
    <row r="165" spans="5:5" x14ac:dyDescent="0.2">
      <c r="E165" s="96"/>
    </row>
    <row r="166" spans="5:5" x14ac:dyDescent="0.2">
      <c r="E166" s="96"/>
    </row>
    <row r="167" spans="5:5" x14ac:dyDescent="0.2">
      <c r="E167" s="96"/>
    </row>
    <row r="168" spans="5:5" x14ac:dyDescent="0.2">
      <c r="E168" s="96"/>
    </row>
    <row r="169" spans="5:5" x14ac:dyDescent="0.2">
      <c r="E169" s="96"/>
    </row>
    <row r="170" spans="5:5" x14ac:dyDescent="0.2">
      <c r="E170" s="96"/>
    </row>
    <row r="171" spans="5:5" x14ac:dyDescent="0.2">
      <c r="E171" s="96"/>
    </row>
    <row r="172" spans="5:5" x14ac:dyDescent="0.2">
      <c r="E172" s="96"/>
    </row>
    <row r="173" spans="5:5" x14ac:dyDescent="0.2">
      <c r="E173" s="96"/>
    </row>
    <row r="174" spans="5:5" x14ac:dyDescent="0.2">
      <c r="E174" s="96"/>
    </row>
    <row r="175" spans="5:5" x14ac:dyDescent="0.2">
      <c r="E175" s="96"/>
    </row>
    <row r="176" spans="5:5" x14ac:dyDescent="0.2">
      <c r="E176" s="96"/>
    </row>
    <row r="177" spans="5:5" x14ac:dyDescent="0.2">
      <c r="E177" s="96"/>
    </row>
    <row r="178" spans="5:5" x14ac:dyDescent="0.2">
      <c r="E178" s="96"/>
    </row>
    <row r="179" spans="5:5" x14ac:dyDescent="0.2">
      <c r="E179" s="96"/>
    </row>
    <row r="180" spans="5:5" x14ac:dyDescent="0.2">
      <c r="E180" s="96"/>
    </row>
    <row r="181" spans="5:5" x14ac:dyDescent="0.2">
      <c r="E181" s="96"/>
    </row>
    <row r="182" spans="5:5" x14ac:dyDescent="0.2">
      <c r="E182" s="96"/>
    </row>
    <row r="183" spans="5:5" x14ac:dyDescent="0.2">
      <c r="E183" s="96"/>
    </row>
    <row r="184" spans="5:5" x14ac:dyDescent="0.2">
      <c r="E184" s="96"/>
    </row>
    <row r="185" spans="5:5" x14ac:dyDescent="0.2">
      <c r="E185" s="96"/>
    </row>
    <row r="186" spans="5:5" x14ac:dyDescent="0.2">
      <c r="E186" s="96"/>
    </row>
    <row r="187" spans="5:5" x14ac:dyDescent="0.2">
      <c r="E187" s="96"/>
    </row>
    <row r="188" spans="5:5" x14ac:dyDescent="0.2">
      <c r="E188" s="96"/>
    </row>
    <row r="189" spans="5:5" x14ac:dyDescent="0.2">
      <c r="E189" s="96"/>
    </row>
    <row r="190" spans="5:5" x14ac:dyDescent="0.2">
      <c r="E190" s="96"/>
    </row>
    <row r="191" spans="5:5" x14ac:dyDescent="0.2">
      <c r="E191" s="96"/>
    </row>
    <row r="1109" spans="4:4" x14ac:dyDescent="0.2">
      <c r="D1109" s="34" t="s">
        <v>7245</v>
      </c>
    </row>
  </sheetData>
  <mergeCells count="3">
    <mergeCell ref="A2:D2"/>
    <mergeCell ref="A1:P1"/>
    <mergeCell ref="F2:P2"/>
  </mergeCells>
  <phoneticPr fontId="9" type="noConversion"/>
  <printOptions horizontalCentered="1"/>
  <pageMargins left="0.39370078740157483" right="0.39370078740157483" top="0.39370078740157483" bottom="0.39370078740157483" header="0.39370078740157483" footer="0.39370078740157483"/>
  <pageSetup paperSize="9" scale="65" orientation="landscape" blackAndWhite="1" horizontalDpi="4294967292" verticalDpi="300" r:id="rId1"/>
  <headerFooter alignWithMargins="0"/>
  <rowBreaks count="1" manualBreakCount="1">
    <brk id="90" max="16383"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C000"/>
  </sheetPr>
  <dimension ref="A1:DF1115"/>
  <sheetViews>
    <sheetView topLeftCell="AA41" zoomScaleNormal="100" workbookViewId="0">
      <selection activeCell="AF74" sqref="AF74"/>
    </sheetView>
  </sheetViews>
  <sheetFormatPr defaultColWidth="9.140625" defaultRowHeight="12.75" x14ac:dyDescent="0.2"/>
  <cols>
    <col min="1" max="1" width="40.7109375" style="1" customWidth="1"/>
    <col min="2" max="4" width="19.85546875" style="1" customWidth="1"/>
    <col min="5" max="5" width="7.28515625" style="614" customWidth="1"/>
    <col min="6" max="6" width="13.28515625" style="1" hidden="1" customWidth="1"/>
    <col min="7" max="18" width="10" style="1" customWidth="1"/>
    <col min="19" max="19" width="7.28515625" style="1" customWidth="1"/>
    <col min="20" max="20" width="8.42578125" style="1" customWidth="1"/>
    <col min="21" max="21" width="6.85546875" style="1" customWidth="1"/>
    <col min="22" max="22" width="10" style="1" customWidth="1"/>
    <col min="23" max="23" width="7.28515625" style="1" customWidth="1"/>
    <col min="24" max="24" width="10" style="1" customWidth="1"/>
    <col min="25" max="25" width="6.85546875" style="1" customWidth="1"/>
    <col min="26" max="26" width="10" style="1" customWidth="1"/>
    <col min="27" max="27" width="7.28515625" style="1" customWidth="1"/>
    <col min="28" max="28" width="10" style="1" customWidth="1"/>
    <col min="29" max="29" width="6.85546875" style="1" customWidth="1"/>
    <col min="30" max="30" width="10" style="1" customWidth="1"/>
    <col min="31" max="31" width="9.140625" style="1" customWidth="1"/>
    <col min="32" max="32" width="10.28515625" style="1" customWidth="1"/>
    <col min="33" max="34" width="10.140625" style="1" customWidth="1"/>
    <col min="35" max="35" width="9.140625" style="1" customWidth="1"/>
    <col min="36" max="36" width="10.28515625" style="1" customWidth="1"/>
    <col min="37" max="37" width="6.85546875" style="1" customWidth="1"/>
    <col min="38" max="38" width="10" style="1" customWidth="1"/>
    <col min="39" max="39" width="7.28515625" style="1" customWidth="1"/>
    <col min="40" max="40" width="10" style="1" customWidth="1"/>
    <col min="41" max="41" width="6.85546875" style="1" customWidth="1"/>
    <col min="42" max="42" width="10" style="1" customWidth="1"/>
    <col min="43" max="43" width="7.28515625" style="1" customWidth="1"/>
    <col min="44" max="44" width="8.140625" style="1" customWidth="1"/>
    <col min="45" max="45" width="6.85546875" style="1" customWidth="1"/>
    <col min="46" max="46" width="10" style="1" customWidth="1"/>
    <col min="47" max="47" width="7.28515625" style="1" customWidth="1"/>
    <col min="48" max="48" width="9.140625" style="1" bestFit="1" customWidth="1"/>
    <col min="49" max="49" width="6.85546875" style="1" customWidth="1"/>
    <col min="50" max="50" width="10" style="1" customWidth="1"/>
    <col min="51" max="51" width="7.28515625" style="1" customWidth="1"/>
    <col min="52" max="52" width="8.140625" style="1" customWidth="1"/>
    <col min="53" max="53" width="6.85546875" style="1" customWidth="1"/>
    <col min="54" max="54" width="10" style="1" customWidth="1"/>
    <col min="55" max="55" width="7.28515625" style="1" customWidth="1"/>
    <col min="56" max="56" width="8.140625" style="1" customWidth="1"/>
    <col min="57" max="57" width="6.85546875" style="1" customWidth="1"/>
    <col min="58" max="58" width="10" style="1" customWidth="1"/>
    <col min="59" max="59" width="7.28515625" style="1" customWidth="1"/>
    <col min="60" max="60" width="8.140625" style="1" customWidth="1"/>
    <col min="61" max="61" width="6.85546875" style="1" customWidth="1"/>
    <col min="62" max="62" width="10" style="1" customWidth="1"/>
    <col min="63" max="63" width="7.28515625" style="1" customWidth="1"/>
    <col min="64" max="64" width="8.140625" style="1" customWidth="1"/>
    <col min="65" max="65" width="6.85546875" style="1" customWidth="1"/>
    <col min="66" max="66" width="10" style="1" customWidth="1"/>
    <col min="67" max="67" width="7.28515625" style="1" customWidth="1"/>
    <col min="68" max="68" width="8.140625" style="1" customWidth="1"/>
    <col min="69" max="69" width="6.85546875" style="1" customWidth="1"/>
    <col min="70" max="71" width="10" style="1" customWidth="1"/>
    <col min="72" max="85" width="9.140625" style="34" customWidth="1"/>
    <col min="86" max="98" width="10" style="34" bestFit="1" customWidth="1"/>
    <col min="99" max="16384" width="9.140625" style="1"/>
  </cols>
  <sheetData>
    <row r="1" spans="1:98" s="1292" customFormat="1" ht="21" customHeight="1" thickTop="1" thickBot="1" x14ac:dyDescent="0.35">
      <c r="A1" s="2683" t="s">
        <v>4556</v>
      </c>
      <c r="B1" s="2684"/>
      <c r="C1" s="2684"/>
      <c r="D1" s="2684"/>
      <c r="E1" s="2684"/>
      <c r="F1" s="2684"/>
      <c r="G1" s="2684"/>
      <c r="H1" s="2684"/>
      <c r="I1" s="2684"/>
      <c r="J1" s="2684"/>
      <c r="K1" s="2684"/>
      <c r="L1" s="2684"/>
      <c r="M1" s="2684"/>
      <c r="N1" s="2684"/>
      <c r="O1" s="2684"/>
      <c r="P1" s="2684"/>
      <c r="Q1" s="2684"/>
      <c r="R1" s="2684"/>
      <c r="S1" s="2684"/>
      <c r="T1" s="2684"/>
      <c r="U1" s="2684"/>
      <c r="V1" s="2684"/>
      <c r="W1" s="2684"/>
      <c r="X1" s="2684"/>
      <c r="Y1" s="2684"/>
      <c r="Z1" s="2684"/>
      <c r="AA1" s="2684"/>
      <c r="AB1" s="2684"/>
      <c r="AC1" s="2684"/>
      <c r="AD1" s="2684"/>
      <c r="AE1" s="2684"/>
      <c r="AF1" s="2684"/>
      <c r="AG1" s="2684"/>
      <c r="AH1" s="2684"/>
      <c r="AI1" s="2684"/>
      <c r="AJ1" s="2684"/>
      <c r="AK1" s="2684"/>
      <c r="AL1" s="2684"/>
      <c r="AM1" s="2684"/>
      <c r="AN1" s="2684"/>
      <c r="AO1" s="2684"/>
      <c r="AP1" s="2698"/>
      <c r="AQ1" s="1650"/>
      <c r="AR1" s="1650"/>
      <c r="AS1" s="1650"/>
      <c r="AT1" s="1650"/>
      <c r="AU1" s="1650"/>
      <c r="AV1" s="1650"/>
      <c r="AW1" s="1650"/>
      <c r="AX1" s="1650"/>
      <c r="AY1" s="1650"/>
      <c r="AZ1" s="1650"/>
      <c r="BA1" s="1650"/>
      <c r="BB1" s="1650"/>
      <c r="BC1" s="1650"/>
      <c r="BD1" s="1650"/>
      <c r="BE1" s="1650"/>
      <c r="BF1" s="1650"/>
      <c r="BG1" s="1650"/>
      <c r="BH1" s="1650"/>
      <c r="BI1" s="1650"/>
      <c r="BJ1" s="1650"/>
      <c r="BK1" s="1650"/>
      <c r="BL1" s="1650"/>
      <c r="BM1" s="1650"/>
      <c r="BN1" s="1668"/>
      <c r="BO1" s="1650"/>
      <c r="BP1" s="1650"/>
      <c r="BQ1" s="1650"/>
      <c r="BR1" s="1668"/>
      <c r="BS1" s="1050"/>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row>
    <row r="2" spans="1:98" s="246" customFormat="1" ht="20.25" customHeight="1" thickBot="1" x14ac:dyDescent="0.25">
      <c r="A2" s="532" t="s">
        <v>1189</v>
      </c>
      <c r="B2" s="1294" t="s">
        <v>3429</v>
      </c>
      <c r="C2" s="1294" t="s">
        <v>3429</v>
      </c>
      <c r="D2" s="2286"/>
      <c r="E2" s="610" t="s">
        <v>2168</v>
      </c>
      <c r="F2" s="2292" t="s">
        <v>6815</v>
      </c>
      <c r="G2" s="2293"/>
      <c r="H2" s="2293"/>
      <c r="I2" s="2293"/>
      <c r="J2" s="2293"/>
      <c r="K2" s="2293"/>
      <c r="L2" s="2293"/>
      <c r="M2" s="2293"/>
      <c r="N2" s="2293"/>
      <c r="O2" s="2293"/>
      <c r="P2" s="2293"/>
      <c r="Q2" s="2293"/>
      <c r="R2" s="2278"/>
      <c r="S2" s="2689" t="s">
        <v>1959</v>
      </c>
      <c r="T2" s="2689"/>
      <c r="U2" s="2689"/>
      <c r="V2" s="2696"/>
      <c r="W2" s="2689" t="s">
        <v>2895</v>
      </c>
      <c r="X2" s="2689"/>
      <c r="Y2" s="2689"/>
      <c r="Z2" s="2696"/>
      <c r="AA2" s="2689" t="s">
        <v>3459</v>
      </c>
      <c r="AB2" s="2689"/>
      <c r="AC2" s="2689"/>
      <c r="AD2" s="2696"/>
      <c r="AE2" s="2689" t="s">
        <v>1475</v>
      </c>
      <c r="AF2" s="2689"/>
      <c r="AG2" s="2689"/>
      <c r="AH2" s="2696"/>
      <c r="AI2" s="2689" t="s">
        <v>1350</v>
      </c>
      <c r="AJ2" s="2689"/>
      <c r="AK2" s="2689"/>
      <c r="AL2" s="2696"/>
      <c r="AM2" s="2689" t="s">
        <v>859</v>
      </c>
      <c r="AN2" s="2689"/>
      <c r="AO2" s="2689"/>
      <c r="AP2" s="2696"/>
      <c r="AQ2" s="2689" t="s">
        <v>2725</v>
      </c>
      <c r="AR2" s="2689"/>
      <c r="AS2" s="2689"/>
      <c r="AT2" s="2696"/>
      <c r="AU2" s="2689" t="s">
        <v>2896</v>
      </c>
      <c r="AV2" s="2689"/>
      <c r="AW2" s="2689"/>
      <c r="AX2" s="2696"/>
      <c r="AY2" s="2689" t="s">
        <v>3460</v>
      </c>
      <c r="AZ2" s="2689"/>
      <c r="BA2" s="2689"/>
      <c r="BB2" s="2696"/>
      <c r="BC2" s="2689" t="s">
        <v>4555</v>
      </c>
      <c r="BD2" s="2689"/>
      <c r="BE2" s="2689"/>
      <c r="BF2" s="2696"/>
      <c r="BG2" s="2689" t="s">
        <v>5918</v>
      </c>
      <c r="BH2" s="2689"/>
      <c r="BI2" s="2689"/>
      <c r="BJ2" s="2696"/>
      <c r="BK2" s="2689" t="s">
        <v>6816</v>
      </c>
      <c r="BL2" s="2689"/>
      <c r="BM2" s="2689"/>
      <c r="BN2" s="2696"/>
      <c r="BO2" s="2689" t="s">
        <v>11920</v>
      </c>
      <c r="BP2" s="2689"/>
      <c r="BQ2" s="2689"/>
      <c r="BR2" s="2696"/>
      <c r="BS2" s="1051"/>
      <c r="BT2" s="2685" t="s">
        <v>3396</v>
      </c>
      <c r="BU2" s="2685"/>
      <c r="BV2" s="2685"/>
      <c r="BW2" s="2685"/>
      <c r="BX2" s="2685"/>
      <c r="BY2" s="2685"/>
      <c r="BZ2" s="2685"/>
      <c r="CA2" s="2685"/>
      <c r="CB2" s="2685"/>
      <c r="CC2" s="2685"/>
      <c r="CD2" s="2685"/>
      <c r="CE2" s="2685"/>
      <c r="CF2" s="2275"/>
      <c r="CG2" s="34"/>
      <c r="CH2" s="2685"/>
      <c r="CI2" s="2685"/>
      <c r="CJ2" s="2685"/>
      <c r="CK2" s="2685"/>
      <c r="CL2" s="2685"/>
      <c r="CM2" s="2685"/>
      <c r="CN2" s="2685"/>
      <c r="CO2" s="2685"/>
      <c r="CP2" s="2685"/>
    </row>
    <row r="3" spans="1:98" s="246" customFormat="1" ht="13.5" thickBot="1" x14ac:dyDescent="0.25">
      <c r="A3" s="814"/>
      <c r="B3" s="1296" t="s">
        <v>4957</v>
      </c>
      <c r="C3" s="1296" t="s">
        <v>4958</v>
      </c>
      <c r="D3" s="2285" t="s">
        <v>4021</v>
      </c>
      <c r="E3" s="1100" t="s">
        <v>492</v>
      </c>
      <c r="F3" s="244" t="str">
        <f>'Cap-Water'!E3</f>
        <v>2015/16</v>
      </c>
      <c r="G3" s="250" t="str">
        <f>'Cap-Water'!F3</f>
        <v>2016/17</v>
      </c>
      <c r="H3" s="196" t="str">
        <f>'Cap-Water'!G3</f>
        <v>2017/18</v>
      </c>
      <c r="I3" s="250" t="str">
        <f>'Cap-Water'!H3</f>
        <v>2018/19</v>
      </c>
      <c r="J3" s="250" t="str">
        <f>'Cap-Water'!I3</f>
        <v>2019/20</v>
      </c>
      <c r="K3" s="196" t="str">
        <f>'Cap-Water'!J3</f>
        <v>2020/21</v>
      </c>
      <c r="L3" s="196" t="str">
        <f>'Cap-Water'!K3</f>
        <v>2021/22</v>
      </c>
      <c r="M3" s="196" t="str">
        <f>'Cap-Water'!L3</f>
        <v>2022/23</v>
      </c>
      <c r="N3" s="196" t="str">
        <f>'Cap-Water'!M3</f>
        <v>2023/24</v>
      </c>
      <c r="O3" s="196" t="str">
        <f>'Cap-Water'!N3</f>
        <v>2024/25</v>
      </c>
      <c r="P3" s="196" t="str">
        <f>'Cap-Water'!O3</f>
        <v>2025/26</v>
      </c>
      <c r="Q3" s="196" t="str">
        <f>'Cap-Water'!P3</f>
        <v>2026/27</v>
      </c>
      <c r="R3" s="1126" t="str">
        <f>'Cap-Water'!Q3</f>
        <v>2027/28</v>
      </c>
      <c r="S3" s="2143" t="str">
        <f>'Cap-Water'!R3</f>
        <v>Grants</v>
      </c>
      <c r="T3" s="196" t="str">
        <f>'Cap-Water'!S3</f>
        <v>Sect 64</v>
      </c>
      <c r="U3" s="196" t="str">
        <f>'Cap-Water'!T3</f>
        <v>Loans</v>
      </c>
      <c r="V3" s="2143" t="str">
        <f>'Cap-Water'!U3</f>
        <v>Reserves</v>
      </c>
      <c r="W3" s="1291" t="str">
        <f>'Cap-Water'!V3</f>
        <v>Grants</v>
      </c>
      <c r="X3" s="196" t="str">
        <f>'Cap-Water'!W3</f>
        <v>Sect 64</v>
      </c>
      <c r="Y3" s="196" t="str">
        <f>'Cap-Water'!X3</f>
        <v>Loans</v>
      </c>
      <c r="Z3" s="2144" t="str">
        <f>'Cap-Water'!Y3</f>
        <v>Reserves</v>
      </c>
      <c r="AA3" s="1291" t="str">
        <f>'Cap-Water'!Z3</f>
        <v>Grants</v>
      </c>
      <c r="AB3" s="196" t="str">
        <f>'Cap-Water'!AA3</f>
        <v>Sect 64</v>
      </c>
      <c r="AC3" s="196" t="str">
        <f>'Cap-Water'!AB3</f>
        <v>Loans</v>
      </c>
      <c r="AD3" s="2144" t="str">
        <f>'Cap-Water'!AC3</f>
        <v>Reserves</v>
      </c>
      <c r="AE3" s="1291" t="str">
        <f>'Cap-Water'!AD3</f>
        <v>Grants</v>
      </c>
      <c r="AF3" s="196" t="str">
        <f>'Cap-Water'!AE3</f>
        <v>Sect 64</v>
      </c>
      <c r="AG3" s="196" t="str">
        <f>'Cap-Water'!AF3</f>
        <v>Loans</v>
      </c>
      <c r="AH3" s="1672" t="str">
        <f>'Cap-Water'!AG3</f>
        <v>Reserves</v>
      </c>
      <c r="AI3" s="2143" t="str">
        <f>'Cap-Water'!AH3</f>
        <v>Grants</v>
      </c>
      <c r="AJ3" s="196" t="str">
        <f>'Cap-Water'!AI3</f>
        <v>Sect 64</v>
      </c>
      <c r="AK3" s="196" t="str">
        <f>'Cap-Water'!AJ3</f>
        <v>Loans</v>
      </c>
      <c r="AL3" s="2144" t="str">
        <f>'Cap-Water'!AK3</f>
        <v>Reserves</v>
      </c>
      <c r="AM3" s="2143" t="str">
        <f>'Cap-Water'!AL3</f>
        <v>Grants</v>
      </c>
      <c r="AN3" s="196" t="str">
        <f>'Cap-Water'!AM3</f>
        <v>Sect 64</v>
      </c>
      <c r="AO3" s="196" t="str">
        <f>'Cap-Water'!AN3</f>
        <v>Loans</v>
      </c>
      <c r="AP3" s="197" t="str">
        <f>'Cap-Water'!AO3</f>
        <v>Reserves</v>
      </c>
      <c r="AQ3" s="1680" t="str">
        <f>'Cap-Water'!AP3</f>
        <v>Grants</v>
      </c>
      <c r="AR3" s="196" t="str">
        <f>'Cap-Water'!AQ3</f>
        <v>Sect 64</v>
      </c>
      <c r="AS3" s="196" t="str">
        <f>'Cap-Water'!AR3</f>
        <v>Loans</v>
      </c>
      <c r="AT3" s="1681" t="str">
        <f>'Cap-Water'!AS3</f>
        <v>Reserves</v>
      </c>
      <c r="AU3" s="1680" t="str">
        <f>'Cap-Water'!AT3</f>
        <v>Grants</v>
      </c>
      <c r="AV3" s="196" t="str">
        <f>'Cap-Water'!AU3</f>
        <v>Sect 64</v>
      </c>
      <c r="AW3" s="196" t="str">
        <f>'Cap-Water'!AV3</f>
        <v>Loans</v>
      </c>
      <c r="AX3" s="1681" t="str">
        <f>'Cap-Water'!AW3</f>
        <v>Reserves</v>
      </c>
      <c r="AY3" s="1680" t="str">
        <f>'Cap-Water'!AX3</f>
        <v>Grants</v>
      </c>
      <c r="AZ3" s="196" t="str">
        <f>'Cap-Water'!AY3</f>
        <v>Sect 64</v>
      </c>
      <c r="BA3" s="196" t="str">
        <f>'Cap-Water'!AZ3</f>
        <v>Loans</v>
      </c>
      <c r="BB3" s="1681" t="str">
        <f>'Cap-Water'!BA3</f>
        <v>Reserves</v>
      </c>
      <c r="BC3" s="1680" t="str">
        <f>'Cap-Water'!BB3</f>
        <v>Grants</v>
      </c>
      <c r="BD3" s="196" t="str">
        <f>'Cap-Water'!BC3</f>
        <v>Sect 64</v>
      </c>
      <c r="BE3" s="196" t="str">
        <f>'Cap-Water'!BD3</f>
        <v>Loans</v>
      </c>
      <c r="BF3" s="197" t="str">
        <f>'Cap-Water'!BE3</f>
        <v>Reserves</v>
      </c>
      <c r="BG3" s="1680" t="str">
        <f>'Cap-Water'!BF3</f>
        <v>Grants</v>
      </c>
      <c r="BH3" s="196" t="str">
        <f>'Cap-Water'!BG3</f>
        <v>Sect 64</v>
      </c>
      <c r="BI3" s="196" t="str">
        <f>'Cap-Water'!BH3</f>
        <v>Loans</v>
      </c>
      <c r="BJ3" s="197" t="str">
        <f>'Cap-Water'!BI3</f>
        <v>Reserves</v>
      </c>
      <c r="BK3" s="1680" t="str">
        <f>'Cap-Water'!BJ3</f>
        <v>Grants</v>
      </c>
      <c r="BL3" s="196" t="str">
        <f>'Cap-Water'!BK3</f>
        <v>Sect 64</v>
      </c>
      <c r="BM3" s="196" t="str">
        <f>'Cap-Water'!BL3</f>
        <v>Loans</v>
      </c>
      <c r="BN3" s="197" t="str">
        <f>'Cap-Water'!BM3</f>
        <v>Reserves</v>
      </c>
      <c r="BO3" s="2143" t="str">
        <f>'Cap-Water'!BN3</f>
        <v>Grants</v>
      </c>
      <c r="BP3" s="196" t="str">
        <f>'Cap-Water'!BO3</f>
        <v>Sect 64</v>
      </c>
      <c r="BQ3" s="196" t="str">
        <f>'Cap-Water'!BP3</f>
        <v>Loans</v>
      </c>
      <c r="BR3" s="197" t="str">
        <f>'Cap-Water'!BQ3</f>
        <v>Reserves</v>
      </c>
      <c r="BS3" s="194"/>
      <c r="BT3" s="1679" t="str">
        <f t="shared" ref="BT3:CF3" si="0">F3</f>
        <v>2015/16</v>
      </c>
      <c r="BU3" s="1679" t="str">
        <f t="shared" si="0"/>
        <v>2016/17</v>
      </c>
      <c r="BV3" s="1679" t="str">
        <f t="shared" si="0"/>
        <v>2017/18</v>
      </c>
      <c r="BW3" s="1679" t="str">
        <f t="shared" si="0"/>
        <v>2018/19</v>
      </c>
      <c r="BX3" s="1679" t="str">
        <f t="shared" si="0"/>
        <v>2019/20</v>
      </c>
      <c r="BY3" s="1679" t="str">
        <f t="shared" si="0"/>
        <v>2020/21</v>
      </c>
      <c r="BZ3" s="1679" t="str">
        <f t="shared" si="0"/>
        <v>2021/22</v>
      </c>
      <c r="CA3" s="1679" t="str">
        <f t="shared" si="0"/>
        <v>2022/23</v>
      </c>
      <c r="CB3" s="1679" t="str">
        <f t="shared" si="0"/>
        <v>2023/24</v>
      </c>
      <c r="CC3" s="1679" t="str">
        <f t="shared" si="0"/>
        <v>2024/25</v>
      </c>
      <c r="CD3" s="1679" t="str">
        <f t="shared" si="0"/>
        <v>2025/26</v>
      </c>
      <c r="CE3" s="1679" t="str">
        <f t="shared" si="0"/>
        <v>2026/27</v>
      </c>
      <c r="CF3" s="2275" t="str">
        <f t="shared" si="0"/>
        <v>2027/28</v>
      </c>
      <c r="CG3" s="1679"/>
      <c r="CH3" s="1679" t="str">
        <f t="shared" ref="CH3:CT3" si="1">BT3</f>
        <v>2015/16</v>
      </c>
      <c r="CI3" s="1679" t="str">
        <f t="shared" si="1"/>
        <v>2016/17</v>
      </c>
      <c r="CJ3" s="1679" t="str">
        <f t="shared" si="1"/>
        <v>2017/18</v>
      </c>
      <c r="CK3" s="1679" t="str">
        <f t="shared" si="1"/>
        <v>2018/19</v>
      </c>
      <c r="CL3" s="1679" t="str">
        <f t="shared" si="1"/>
        <v>2019/20</v>
      </c>
      <c r="CM3" s="1679" t="str">
        <f t="shared" si="1"/>
        <v>2020/21</v>
      </c>
      <c r="CN3" s="1679" t="str">
        <f t="shared" si="1"/>
        <v>2021/22</v>
      </c>
      <c r="CO3" s="1679" t="str">
        <f t="shared" si="1"/>
        <v>2022/23</v>
      </c>
      <c r="CP3" s="1679" t="str">
        <f t="shared" si="1"/>
        <v>2023/24</v>
      </c>
      <c r="CQ3" s="1679" t="str">
        <f t="shared" si="1"/>
        <v>2024/25</v>
      </c>
      <c r="CR3" s="1679" t="str">
        <f t="shared" si="1"/>
        <v>2025/26</v>
      </c>
      <c r="CS3" s="1679" t="str">
        <f t="shared" si="1"/>
        <v>2026/27</v>
      </c>
      <c r="CT3" s="2275" t="str">
        <f t="shared" si="1"/>
        <v>2027/28</v>
      </c>
    </row>
    <row r="4" spans="1:98" s="247" customFormat="1" ht="14.25" customHeight="1" x14ac:dyDescent="0.2">
      <c r="A4" s="674"/>
      <c r="B4" s="919"/>
      <c r="C4" s="919"/>
      <c r="D4" s="919"/>
      <c r="E4" s="611"/>
      <c r="F4" s="607"/>
      <c r="G4" s="668"/>
      <c r="H4" s="608"/>
      <c r="I4" s="668"/>
      <c r="J4" s="608"/>
      <c r="K4" s="608"/>
      <c r="L4" s="668"/>
      <c r="M4" s="669"/>
      <c r="N4" s="608"/>
      <c r="O4" s="608"/>
      <c r="P4" s="608"/>
      <c r="Q4" s="608"/>
      <c r="R4" s="1129"/>
      <c r="S4" s="438"/>
      <c r="T4" s="434"/>
      <c r="U4" s="434"/>
      <c r="V4" s="438"/>
      <c r="W4" s="439"/>
      <c r="X4" s="434"/>
      <c r="Y4" s="434"/>
      <c r="Z4" s="437"/>
      <c r="AA4" s="439"/>
      <c r="AB4" s="434"/>
      <c r="AC4" s="434"/>
      <c r="AD4" s="437"/>
      <c r="AE4" s="439"/>
      <c r="AF4" s="434"/>
      <c r="AG4" s="434"/>
      <c r="AH4" s="675"/>
      <c r="AI4" s="438"/>
      <c r="AJ4" s="434"/>
      <c r="AK4" s="434"/>
      <c r="AL4" s="437"/>
      <c r="AM4" s="438"/>
      <c r="AN4" s="434"/>
      <c r="AO4" s="434"/>
      <c r="AP4" s="1127"/>
      <c r="AQ4" s="438"/>
      <c r="AR4" s="434"/>
      <c r="AS4" s="434"/>
      <c r="AT4" s="675"/>
      <c r="AU4" s="438"/>
      <c r="AV4" s="434"/>
      <c r="AW4" s="434"/>
      <c r="AX4" s="437"/>
      <c r="AY4" s="438"/>
      <c r="AZ4" s="434"/>
      <c r="BA4" s="434"/>
      <c r="BB4" s="437"/>
      <c r="BC4" s="438"/>
      <c r="BD4" s="434"/>
      <c r="BE4" s="434"/>
      <c r="BF4" s="1131"/>
      <c r="BG4" s="438"/>
      <c r="BH4" s="434"/>
      <c r="BI4" s="434"/>
      <c r="BJ4" s="1131"/>
      <c r="BK4" s="438"/>
      <c r="BL4" s="434"/>
      <c r="BM4" s="434"/>
      <c r="BN4" s="1131"/>
      <c r="BO4" s="438"/>
      <c r="BP4" s="434"/>
      <c r="BQ4" s="434"/>
      <c r="BR4" s="1131"/>
      <c r="BS4" s="438"/>
      <c r="BT4" s="833"/>
      <c r="BU4" s="833"/>
      <c r="BV4" s="833"/>
      <c r="BW4" s="833"/>
      <c r="BX4" s="833"/>
      <c r="BY4" s="833"/>
      <c r="BZ4" s="833"/>
      <c r="CA4" s="833"/>
      <c r="CB4" s="833"/>
      <c r="CC4" s="833"/>
      <c r="CD4" s="833"/>
      <c r="CE4" s="833"/>
      <c r="CF4" s="833"/>
      <c r="CG4" s="833"/>
      <c r="CH4" s="46"/>
      <c r="CI4" s="46"/>
      <c r="CJ4" s="46"/>
      <c r="CK4" s="46"/>
      <c r="CL4" s="46"/>
      <c r="CM4" s="46"/>
      <c r="CN4" s="46"/>
      <c r="CO4" s="46"/>
      <c r="CP4" s="46"/>
      <c r="CQ4" s="46"/>
      <c r="CR4" s="46"/>
      <c r="CS4" s="46"/>
      <c r="CT4" s="46"/>
    </row>
    <row r="5" spans="1:98" s="247" customFormat="1" ht="14.25" customHeight="1" x14ac:dyDescent="0.2">
      <c r="A5" s="534" t="s">
        <v>2208</v>
      </c>
      <c r="B5" s="919"/>
      <c r="C5" s="919"/>
      <c r="D5" s="919"/>
      <c r="E5" s="611"/>
      <c r="F5" s="607"/>
      <c r="G5" s="608"/>
      <c r="H5" s="608"/>
      <c r="I5" s="668"/>
      <c r="J5" s="608"/>
      <c r="K5" s="608"/>
      <c r="L5" s="608"/>
      <c r="M5" s="608"/>
      <c r="N5" s="668"/>
      <c r="O5" s="608"/>
      <c r="P5" s="608"/>
      <c r="Q5" s="608"/>
      <c r="R5" s="1129"/>
      <c r="S5" s="438"/>
      <c r="T5" s="434"/>
      <c r="U5" s="434"/>
      <c r="V5" s="438"/>
      <c r="W5" s="439"/>
      <c r="X5" s="434"/>
      <c r="Y5" s="434"/>
      <c r="Z5" s="437"/>
      <c r="AA5" s="439"/>
      <c r="AB5" s="434"/>
      <c r="AC5" s="434"/>
      <c r="AD5" s="437"/>
      <c r="AE5" s="439"/>
      <c r="AF5" s="434"/>
      <c r="AG5" s="434"/>
      <c r="AH5" s="435"/>
      <c r="AI5" s="438"/>
      <c r="AJ5" s="434"/>
      <c r="AK5" s="434"/>
      <c r="AL5" s="437"/>
      <c r="AM5" s="438"/>
      <c r="AN5" s="434"/>
      <c r="AO5" s="434"/>
      <c r="AP5" s="1128"/>
      <c r="AQ5" s="438"/>
      <c r="AR5" s="434"/>
      <c r="AS5" s="434"/>
      <c r="AT5" s="435"/>
      <c r="AU5" s="438"/>
      <c r="AV5" s="434"/>
      <c r="AW5" s="434"/>
      <c r="AX5" s="437"/>
      <c r="AY5" s="438"/>
      <c r="AZ5" s="434"/>
      <c r="BA5" s="434"/>
      <c r="BB5" s="437"/>
      <c r="BC5" s="438"/>
      <c r="BD5" s="434"/>
      <c r="BE5" s="434"/>
      <c r="BF5" s="1131"/>
      <c r="BG5" s="438"/>
      <c r="BH5" s="434"/>
      <c r="BI5" s="434"/>
      <c r="BJ5" s="1131"/>
      <c r="BK5" s="438"/>
      <c r="BL5" s="434"/>
      <c r="BM5" s="434"/>
      <c r="BN5" s="1131"/>
      <c r="BO5" s="438"/>
      <c r="BP5" s="434"/>
      <c r="BQ5" s="434"/>
      <c r="BR5" s="1131"/>
      <c r="BS5" s="438"/>
      <c r="BT5" s="833"/>
      <c r="BU5" s="833"/>
      <c r="BV5" s="833"/>
      <c r="BW5" s="833"/>
      <c r="BX5" s="833"/>
      <c r="BY5" s="833"/>
      <c r="BZ5" s="833"/>
      <c r="CA5" s="833"/>
      <c r="CB5" s="833"/>
      <c r="CC5" s="833"/>
      <c r="CD5" s="833"/>
      <c r="CE5" s="833"/>
      <c r="CF5" s="833"/>
      <c r="CG5" s="833"/>
      <c r="CH5" s="46"/>
      <c r="CI5" s="46"/>
      <c r="CJ5" s="46"/>
      <c r="CK5" s="46"/>
      <c r="CL5" s="46"/>
      <c r="CM5" s="46"/>
      <c r="CN5" s="46"/>
      <c r="CO5" s="46"/>
      <c r="CP5" s="46"/>
      <c r="CQ5" s="46"/>
      <c r="CR5" s="46"/>
      <c r="CS5" s="46"/>
      <c r="CT5" s="46"/>
    </row>
    <row r="6" spans="1:98" s="247" customFormat="1" ht="14.25" customHeight="1" x14ac:dyDescent="0.2">
      <c r="A6" s="673" t="s">
        <v>4076</v>
      </c>
      <c r="B6" s="920" t="s">
        <v>4968</v>
      </c>
      <c r="C6" s="920" t="s">
        <v>4969</v>
      </c>
      <c r="D6" s="920" t="s">
        <v>4969</v>
      </c>
      <c r="E6" s="611"/>
      <c r="F6" s="607">
        <f>4600+496000</f>
        <v>500600</v>
      </c>
      <c r="G6" s="608">
        <v>133300</v>
      </c>
      <c r="H6" s="608">
        <v>66700</v>
      </c>
      <c r="I6" s="668"/>
      <c r="J6" s="608"/>
      <c r="K6" s="608"/>
      <c r="L6" s="608"/>
      <c r="M6" s="608"/>
      <c r="N6" s="668"/>
      <c r="O6" s="608"/>
      <c r="P6" s="608"/>
      <c r="Q6" s="608"/>
      <c r="R6" s="1129"/>
      <c r="S6" s="438"/>
      <c r="T6" s="434"/>
      <c r="U6" s="434"/>
      <c r="V6" s="438">
        <f t="shared" ref="V6:V14" si="2">$F6-S6-T6-U6</f>
        <v>500600</v>
      </c>
      <c r="W6" s="439"/>
      <c r="X6" s="434"/>
      <c r="Y6" s="434"/>
      <c r="Z6" s="437">
        <f t="shared" ref="Z6:Z69" si="3">$G6-W6-X6-Y6</f>
        <v>133300</v>
      </c>
      <c r="AA6" s="439"/>
      <c r="AB6" s="434"/>
      <c r="AC6" s="434"/>
      <c r="AD6" s="437">
        <f>$H6-AA6-AB6-AC6</f>
        <v>66700</v>
      </c>
      <c r="AE6" s="439"/>
      <c r="AF6" s="434"/>
      <c r="AG6" s="434"/>
      <c r="AH6" s="435">
        <f t="shared" ref="AH6:AH19" si="4">$I6-AE6-AF6-AG6</f>
        <v>0</v>
      </c>
      <c r="AI6" s="438"/>
      <c r="AJ6" s="434"/>
      <c r="AK6" s="434"/>
      <c r="AL6" s="437">
        <f t="shared" ref="AL6:AL19" si="5">$J6-AI6-AJ6-AK6</f>
        <v>0</v>
      </c>
      <c r="AM6" s="438"/>
      <c r="AN6" s="434"/>
      <c r="AO6" s="434"/>
      <c r="AP6" s="1128">
        <f t="shared" ref="AP6:AP19" si="6">$K6-AM6-AN6-AO6</f>
        <v>0</v>
      </c>
      <c r="AQ6" s="438"/>
      <c r="AR6" s="434"/>
      <c r="AS6" s="434"/>
      <c r="AT6" s="435">
        <f t="shared" ref="AT6:AT13" si="7">$L6-AQ6-AR6-AS6</f>
        <v>0</v>
      </c>
      <c r="AU6" s="438"/>
      <c r="AV6" s="434"/>
      <c r="AW6" s="434"/>
      <c r="AX6" s="437">
        <f t="shared" ref="AX6:AX13" si="8">$M6-AU6-AV6-AW6</f>
        <v>0</v>
      </c>
      <c r="AY6" s="438"/>
      <c r="AZ6" s="434"/>
      <c r="BA6" s="434"/>
      <c r="BB6" s="437">
        <f t="shared" ref="BB6:BB13" si="9">$N6-AY6-AZ6-BA6</f>
        <v>0</v>
      </c>
      <c r="BC6" s="438"/>
      <c r="BD6" s="434"/>
      <c r="BE6" s="434"/>
      <c r="BF6" s="1131">
        <f t="shared" ref="BF6:BF19" si="10">$O6-BC6-BD6-BE6</f>
        <v>0</v>
      </c>
      <c r="BG6" s="438"/>
      <c r="BH6" s="434"/>
      <c r="BI6" s="434"/>
      <c r="BJ6" s="1131">
        <f t="shared" ref="BJ6:BJ19" si="11">$P6-BG6-BH6-BI6</f>
        <v>0</v>
      </c>
      <c r="BK6" s="438"/>
      <c r="BL6" s="434"/>
      <c r="BM6" s="434"/>
      <c r="BN6" s="1131">
        <f>$Q6-BK6-BL6-BM6</f>
        <v>0</v>
      </c>
      <c r="BO6" s="438"/>
      <c r="BP6" s="434"/>
      <c r="BQ6" s="434"/>
      <c r="BR6" s="1131">
        <f>$R6-BO6-BP6-BQ6</f>
        <v>0</v>
      </c>
      <c r="BS6" s="438"/>
      <c r="BT6" s="833">
        <v>1</v>
      </c>
      <c r="BU6" s="833">
        <f t="shared" ref="BU6:CF6" si="12">BT6</f>
        <v>1</v>
      </c>
      <c r="BV6" s="833">
        <f t="shared" si="12"/>
        <v>1</v>
      </c>
      <c r="BW6" s="833">
        <f t="shared" si="12"/>
        <v>1</v>
      </c>
      <c r="BX6" s="833">
        <f t="shared" si="12"/>
        <v>1</v>
      </c>
      <c r="BY6" s="833">
        <f t="shared" si="12"/>
        <v>1</v>
      </c>
      <c r="BZ6" s="833">
        <f t="shared" si="12"/>
        <v>1</v>
      </c>
      <c r="CA6" s="833">
        <f t="shared" si="12"/>
        <v>1</v>
      </c>
      <c r="CB6" s="833">
        <f t="shared" si="12"/>
        <v>1</v>
      </c>
      <c r="CC6" s="833">
        <f t="shared" si="12"/>
        <v>1</v>
      </c>
      <c r="CD6" s="833">
        <f t="shared" si="12"/>
        <v>1</v>
      </c>
      <c r="CE6" s="833">
        <f t="shared" si="12"/>
        <v>1</v>
      </c>
      <c r="CF6" s="833">
        <f t="shared" si="12"/>
        <v>1</v>
      </c>
      <c r="CG6" s="833"/>
      <c r="CH6" s="46">
        <f t="shared" ref="CH6:CH19" si="13">ROUND(BT6*F6,-3)</f>
        <v>501000</v>
      </c>
      <c r="CI6" s="46">
        <f t="shared" ref="CI6:CI19" si="14">ROUND(BU6*G6,-3)</f>
        <v>133000</v>
      </c>
      <c r="CJ6" s="46">
        <f t="shared" ref="CJ6:CJ19" si="15">ROUND(BV6*H6,-3)</f>
        <v>67000</v>
      </c>
      <c r="CK6" s="46">
        <f t="shared" ref="CK6:CK19" si="16">ROUND(BW6*I6,-3)</f>
        <v>0</v>
      </c>
      <c r="CL6" s="46">
        <f t="shared" ref="CL6:CL19" si="17">ROUND(BX6*J6,-3)</f>
        <v>0</v>
      </c>
      <c r="CM6" s="46">
        <f t="shared" ref="CM6:CM19" si="18">ROUND(BY6*K6,-3)</f>
        <v>0</v>
      </c>
      <c r="CN6" s="46">
        <f t="shared" ref="CN6:CN19" si="19">ROUND(BZ6*L6,-3)</f>
        <v>0</v>
      </c>
      <c r="CO6" s="46">
        <f t="shared" ref="CO6:CO19" si="20">ROUND(CA6*M6,-3)</f>
        <v>0</v>
      </c>
      <c r="CP6" s="46">
        <f t="shared" ref="CP6:CP19" si="21">ROUND(CB6*N6,-3)</f>
        <v>0</v>
      </c>
      <c r="CQ6" s="46">
        <f t="shared" ref="CQ6:CQ19" si="22">ROUND(CC6*O6,-3)</f>
        <v>0</v>
      </c>
      <c r="CR6" s="46">
        <f t="shared" ref="CR6:CR19" si="23">ROUND(CD6*P6,-3)</f>
        <v>0</v>
      </c>
      <c r="CS6" s="46">
        <f t="shared" ref="CS6:CS17" si="24">ROUND(CE6*Q6,-3)</f>
        <v>0</v>
      </c>
      <c r="CT6" s="46">
        <f t="shared" ref="CT6:CT17" si="25">ROUND(CF6*R6,-3)</f>
        <v>0</v>
      </c>
    </row>
    <row r="7" spans="1:98" s="247" customFormat="1" ht="14.25" customHeight="1" x14ac:dyDescent="0.2">
      <c r="A7" s="673" t="s">
        <v>6373</v>
      </c>
      <c r="B7" s="920" t="s">
        <v>4970</v>
      </c>
      <c r="C7" s="920" t="s">
        <v>6005</v>
      </c>
      <c r="D7" s="920" t="s">
        <v>6005</v>
      </c>
      <c r="E7" s="611">
        <v>0.5</v>
      </c>
      <c r="F7" s="607">
        <v>102000</v>
      </c>
      <c r="G7" s="668"/>
      <c r="H7" s="608">
        <v>50000</v>
      </c>
      <c r="I7" s="668">
        <v>350000</v>
      </c>
      <c r="J7" s="668">
        <v>200000</v>
      </c>
      <c r="K7" s="668"/>
      <c r="L7" s="668"/>
      <c r="M7" s="608"/>
      <c r="N7" s="668"/>
      <c r="O7" s="608"/>
      <c r="P7" s="608"/>
      <c r="Q7" s="608"/>
      <c r="R7" s="1129"/>
      <c r="S7" s="438"/>
      <c r="T7" s="434">
        <f>F7*0.5</f>
        <v>51000</v>
      </c>
      <c r="U7" s="434"/>
      <c r="V7" s="438">
        <f t="shared" si="2"/>
        <v>51000</v>
      </c>
      <c r="W7" s="439"/>
      <c r="X7" s="434"/>
      <c r="Y7" s="434"/>
      <c r="Z7" s="437">
        <f t="shared" si="3"/>
        <v>0</v>
      </c>
      <c r="AA7" s="439"/>
      <c r="AB7" s="434"/>
      <c r="AC7" s="434"/>
      <c r="AD7" s="437">
        <f t="shared" ref="AD7:AD19" si="26">$H7-AA7-AB7-AC7</f>
        <v>50000</v>
      </c>
      <c r="AE7" s="439"/>
      <c r="AF7" s="434"/>
      <c r="AG7" s="434"/>
      <c r="AH7" s="435">
        <f t="shared" si="4"/>
        <v>350000</v>
      </c>
      <c r="AI7" s="438"/>
      <c r="AJ7" s="434"/>
      <c r="AK7" s="434"/>
      <c r="AL7" s="437">
        <f t="shared" si="5"/>
        <v>200000</v>
      </c>
      <c r="AM7" s="438"/>
      <c r="AN7" s="434"/>
      <c r="AO7" s="434"/>
      <c r="AP7" s="1128">
        <f t="shared" si="6"/>
        <v>0</v>
      </c>
      <c r="AQ7" s="438"/>
      <c r="AR7" s="434"/>
      <c r="AS7" s="434"/>
      <c r="AT7" s="435">
        <f t="shared" si="7"/>
        <v>0</v>
      </c>
      <c r="AU7" s="438"/>
      <c r="AV7" s="434"/>
      <c r="AW7" s="434"/>
      <c r="AX7" s="437">
        <f t="shared" si="8"/>
        <v>0</v>
      </c>
      <c r="AY7" s="438"/>
      <c r="AZ7" s="434"/>
      <c r="BA7" s="434"/>
      <c r="BB7" s="437">
        <f t="shared" si="9"/>
        <v>0</v>
      </c>
      <c r="BC7" s="438"/>
      <c r="BD7" s="434"/>
      <c r="BE7" s="434"/>
      <c r="BF7" s="1131">
        <f t="shared" si="10"/>
        <v>0</v>
      </c>
      <c r="BG7" s="438"/>
      <c r="BH7" s="434"/>
      <c r="BI7" s="434"/>
      <c r="BJ7" s="1131">
        <f t="shared" si="11"/>
        <v>0</v>
      </c>
      <c r="BK7" s="438"/>
      <c r="BL7" s="434"/>
      <c r="BM7" s="434"/>
      <c r="BN7" s="1131">
        <f t="shared" ref="BN7:BN19" si="27">$Q7-BK7-BL7-BM7</f>
        <v>0</v>
      </c>
      <c r="BO7" s="438"/>
      <c r="BP7" s="434"/>
      <c r="BQ7" s="434"/>
      <c r="BR7" s="1131">
        <f t="shared" ref="BR7:BR23" si="28">$R7-BO7-BP7-BQ7</f>
        <v>0</v>
      </c>
      <c r="BS7" s="438"/>
      <c r="BT7" s="833">
        <v>1</v>
      </c>
      <c r="BU7" s="833">
        <f t="shared" ref="BU7:CF7" si="29">BT7</f>
        <v>1</v>
      </c>
      <c r="BV7" s="833">
        <f t="shared" si="29"/>
        <v>1</v>
      </c>
      <c r="BW7" s="833">
        <f t="shared" si="29"/>
        <v>1</v>
      </c>
      <c r="BX7" s="833">
        <f t="shared" si="29"/>
        <v>1</v>
      </c>
      <c r="BY7" s="833">
        <f t="shared" si="29"/>
        <v>1</v>
      </c>
      <c r="BZ7" s="833">
        <f t="shared" si="29"/>
        <v>1</v>
      </c>
      <c r="CA7" s="833">
        <f t="shared" si="29"/>
        <v>1</v>
      </c>
      <c r="CB7" s="833">
        <f t="shared" si="29"/>
        <v>1</v>
      </c>
      <c r="CC7" s="833">
        <f t="shared" si="29"/>
        <v>1</v>
      </c>
      <c r="CD7" s="833">
        <f t="shared" si="29"/>
        <v>1</v>
      </c>
      <c r="CE7" s="833">
        <f t="shared" si="29"/>
        <v>1</v>
      </c>
      <c r="CF7" s="833">
        <f t="shared" si="29"/>
        <v>1</v>
      </c>
      <c r="CG7" s="833"/>
      <c r="CH7" s="46">
        <f t="shared" si="13"/>
        <v>102000</v>
      </c>
      <c r="CI7" s="46">
        <f t="shared" si="14"/>
        <v>0</v>
      </c>
      <c r="CJ7" s="46">
        <f t="shared" si="15"/>
        <v>50000</v>
      </c>
      <c r="CK7" s="46">
        <f t="shared" si="16"/>
        <v>350000</v>
      </c>
      <c r="CL7" s="46">
        <f t="shared" si="17"/>
        <v>200000</v>
      </c>
      <c r="CM7" s="46">
        <f t="shared" si="18"/>
        <v>0</v>
      </c>
      <c r="CN7" s="46">
        <f t="shared" si="19"/>
        <v>0</v>
      </c>
      <c r="CO7" s="46">
        <f t="shared" si="20"/>
        <v>0</v>
      </c>
      <c r="CP7" s="46">
        <f t="shared" si="21"/>
        <v>0</v>
      </c>
      <c r="CQ7" s="46">
        <f t="shared" si="22"/>
        <v>0</v>
      </c>
      <c r="CR7" s="46">
        <f t="shared" si="23"/>
        <v>0</v>
      </c>
      <c r="CS7" s="46">
        <f t="shared" si="24"/>
        <v>0</v>
      </c>
      <c r="CT7" s="46">
        <f t="shared" si="25"/>
        <v>0</v>
      </c>
    </row>
    <row r="8" spans="1:98" s="247" customFormat="1" ht="14.25" customHeight="1" x14ac:dyDescent="0.2">
      <c r="A8" s="674" t="s">
        <v>4848</v>
      </c>
      <c r="B8" s="920" t="s">
        <v>2872</v>
      </c>
      <c r="C8" s="920" t="s">
        <v>4959</v>
      </c>
      <c r="D8" s="920" t="s">
        <v>2872</v>
      </c>
      <c r="E8" s="611">
        <v>0.5</v>
      </c>
      <c r="F8" s="607">
        <v>116700</v>
      </c>
      <c r="G8" s="668">
        <v>408700</v>
      </c>
      <c r="H8" s="608">
        <f>400000+600000+273000+522300</f>
        <v>1795300</v>
      </c>
      <c r="I8" s="668"/>
      <c r="J8" s="608"/>
      <c r="K8" s="608"/>
      <c r="L8" s="668"/>
      <c r="M8" s="608"/>
      <c r="N8" s="668"/>
      <c r="O8" s="608"/>
      <c r="P8" s="608"/>
      <c r="Q8" s="608"/>
      <c r="R8" s="1129"/>
      <c r="S8" s="438"/>
      <c r="T8" s="434">
        <f>58000-1600</f>
        <v>56400</v>
      </c>
      <c r="U8" s="434"/>
      <c r="V8" s="438">
        <f t="shared" si="2"/>
        <v>60300</v>
      </c>
      <c r="W8" s="439"/>
      <c r="X8" s="434">
        <v>300000</v>
      </c>
      <c r="Y8" s="434"/>
      <c r="Z8" s="437">
        <f t="shared" si="3"/>
        <v>108700</v>
      </c>
      <c r="AA8" s="439"/>
      <c r="AB8" s="434"/>
      <c r="AC8" s="434"/>
      <c r="AD8" s="437">
        <f t="shared" si="26"/>
        <v>1795300</v>
      </c>
      <c r="AE8" s="439"/>
      <c r="AF8" s="434"/>
      <c r="AG8" s="434"/>
      <c r="AH8" s="435">
        <f t="shared" si="4"/>
        <v>0</v>
      </c>
      <c r="AI8" s="438"/>
      <c r="AJ8" s="434"/>
      <c r="AK8" s="434"/>
      <c r="AL8" s="437">
        <f t="shared" si="5"/>
        <v>0</v>
      </c>
      <c r="AM8" s="438"/>
      <c r="AN8" s="434"/>
      <c r="AO8" s="434"/>
      <c r="AP8" s="1128">
        <f t="shared" si="6"/>
        <v>0</v>
      </c>
      <c r="AQ8" s="438"/>
      <c r="AR8" s="434"/>
      <c r="AS8" s="434"/>
      <c r="AT8" s="435">
        <f t="shared" si="7"/>
        <v>0</v>
      </c>
      <c r="AU8" s="438"/>
      <c r="AV8" s="434"/>
      <c r="AW8" s="434"/>
      <c r="AX8" s="437">
        <f t="shared" si="8"/>
        <v>0</v>
      </c>
      <c r="AY8" s="438"/>
      <c r="AZ8" s="434"/>
      <c r="BA8" s="434"/>
      <c r="BB8" s="437">
        <f t="shared" si="9"/>
        <v>0</v>
      </c>
      <c r="BC8" s="438"/>
      <c r="BD8" s="434"/>
      <c r="BE8" s="434"/>
      <c r="BF8" s="1131">
        <f t="shared" si="10"/>
        <v>0</v>
      </c>
      <c r="BG8" s="438"/>
      <c r="BH8" s="434"/>
      <c r="BI8" s="434"/>
      <c r="BJ8" s="1131">
        <f t="shared" si="11"/>
        <v>0</v>
      </c>
      <c r="BK8" s="438"/>
      <c r="BL8" s="434"/>
      <c r="BM8" s="434"/>
      <c r="BN8" s="1131">
        <f t="shared" si="27"/>
        <v>0</v>
      </c>
      <c r="BO8" s="438"/>
      <c r="BP8" s="434"/>
      <c r="BQ8" s="434"/>
      <c r="BR8" s="1131">
        <f t="shared" si="28"/>
        <v>0</v>
      </c>
      <c r="BS8" s="438"/>
      <c r="BT8" s="833">
        <v>1</v>
      </c>
      <c r="BU8" s="833">
        <f t="shared" ref="BU8:CF8" si="30">BT8</f>
        <v>1</v>
      </c>
      <c r="BV8" s="833">
        <f t="shared" si="30"/>
        <v>1</v>
      </c>
      <c r="BW8" s="833">
        <f t="shared" si="30"/>
        <v>1</v>
      </c>
      <c r="BX8" s="833">
        <f t="shared" si="30"/>
        <v>1</v>
      </c>
      <c r="BY8" s="833">
        <f t="shared" si="30"/>
        <v>1</v>
      </c>
      <c r="BZ8" s="833">
        <f t="shared" si="30"/>
        <v>1</v>
      </c>
      <c r="CA8" s="833">
        <f t="shared" si="30"/>
        <v>1</v>
      </c>
      <c r="CB8" s="833">
        <f t="shared" si="30"/>
        <v>1</v>
      </c>
      <c r="CC8" s="833">
        <f t="shared" si="30"/>
        <v>1</v>
      </c>
      <c r="CD8" s="833">
        <f t="shared" si="30"/>
        <v>1</v>
      </c>
      <c r="CE8" s="833">
        <f t="shared" si="30"/>
        <v>1</v>
      </c>
      <c r="CF8" s="833">
        <f t="shared" si="30"/>
        <v>1</v>
      </c>
      <c r="CG8" s="833"/>
      <c r="CH8" s="46">
        <f t="shared" si="13"/>
        <v>117000</v>
      </c>
      <c r="CI8" s="46">
        <f t="shared" si="14"/>
        <v>409000</v>
      </c>
      <c r="CJ8" s="46">
        <f t="shared" si="15"/>
        <v>1795000</v>
      </c>
      <c r="CK8" s="46">
        <f t="shared" si="16"/>
        <v>0</v>
      </c>
      <c r="CL8" s="46">
        <f t="shared" si="17"/>
        <v>0</v>
      </c>
      <c r="CM8" s="46">
        <f t="shared" si="18"/>
        <v>0</v>
      </c>
      <c r="CN8" s="46">
        <f t="shared" si="19"/>
        <v>0</v>
      </c>
      <c r="CO8" s="46">
        <f t="shared" si="20"/>
        <v>0</v>
      </c>
      <c r="CP8" s="46">
        <f t="shared" si="21"/>
        <v>0</v>
      </c>
      <c r="CQ8" s="46">
        <f t="shared" si="22"/>
        <v>0</v>
      </c>
      <c r="CR8" s="46">
        <f t="shared" si="23"/>
        <v>0</v>
      </c>
      <c r="CS8" s="46">
        <f t="shared" si="24"/>
        <v>0</v>
      </c>
      <c r="CT8" s="46">
        <f t="shared" si="25"/>
        <v>0</v>
      </c>
    </row>
    <row r="9" spans="1:98" s="247" customFormat="1" ht="14.25" customHeight="1" x14ac:dyDescent="0.2">
      <c r="A9" s="674" t="s">
        <v>4849</v>
      </c>
      <c r="B9" s="920" t="s">
        <v>4971</v>
      </c>
      <c r="C9" s="920" t="s">
        <v>4052</v>
      </c>
      <c r="D9" s="919"/>
      <c r="E9" s="611"/>
      <c r="F9" s="607"/>
      <c r="G9" s="608">
        <v>12100</v>
      </c>
      <c r="H9" s="608"/>
      <c r="I9" s="668"/>
      <c r="J9" s="668">
        <v>700000</v>
      </c>
      <c r="K9" s="668"/>
      <c r="L9" s="668"/>
      <c r="M9" s="608"/>
      <c r="N9" s="668"/>
      <c r="O9" s="608"/>
      <c r="P9" s="608"/>
      <c r="Q9" s="608"/>
      <c r="R9" s="1129"/>
      <c r="S9" s="438"/>
      <c r="T9" s="434"/>
      <c r="U9" s="434"/>
      <c r="V9" s="438">
        <f t="shared" si="2"/>
        <v>0</v>
      </c>
      <c r="W9" s="439"/>
      <c r="X9" s="434"/>
      <c r="Y9" s="434"/>
      <c r="Z9" s="437">
        <f t="shared" si="3"/>
        <v>12100</v>
      </c>
      <c r="AA9" s="439"/>
      <c r="AB9" s="434"/>
      <c r="AC9" s="434"/>
      <c r="AD9" s="437">
        <f t="shared" si="26"/>
        <v>0</v>
      </c>
      <c r="AE9" s="439"/>
      <c r="AF9" s="434"/>
      <c r="AG9" s="434"/>
      <c r="AH9" s="435">
        <f t="shared" si="4"/>
        <v>0</v>
      </c>
      <c r="AI9" s="438"/>
      <c r="AJ9" s="434"/>
      <c r="AK9" s="434"/>
      <c r="AL9" s="437">
        <f t="shared" si="5"/>
        <v>700000</v>
      </c>
      <c r="AM9" s="438"/>
      <c r="AN9" s="434"/>
      <c r="AO9" s="434"/>
      <c r="AP9" s="1128">
        <f t="shared" si="6"/>
        <v>0</v>
      </c>
      <c r="AQ9" s="438"/>
      <c r="AR9" s="434"/>
      <c r="AS9" s="434"/>
      <c r="AT9" s="435">
        <f t="shared" si="7"/>
        <v>0</v>
      </c>
      <c r="AU9" s="438"/>
      <c r="AV9" s="434"/>
      <c r="AW9" s="434"/>
      <c r="AX9" s="437">
        <f t="shared" si="8"/>
        <v>0</v>
      </c>
      <c r="AY9" s="438"/>
      <c r="AZ9" s="434"/>
      <c r="BA9" s="434"/>
      <c r="BB9" s="437">
        <f t="shared" si="9"/>
        <v>0</v>
      </c>
      <c r="BC9" s="438"/>
      <c r="BD9" s="434"/>
      <c r="BE9" s="434"/>
      <c r="BF9" s="1131">
        <f t="shared" si="10"/>
        <v>0</v>
      </c>
      <c r="BG9" s="438"/>
      <c r="BH9" s="434"/>
      <c r="BI9" s="434"/>
      <c r="BJ9" s="1131">
        <f t="shared" si="11"/>
        <v>0</v>
      </c>
      <c r="BK9" s="438"/>
      <c r="BL9" s="434"/>
      <c r="BM9" s="434"/>
      <c r="BN9" s="1131">
        <f t="shared" si="27"/>
        <v>0</v>
      </c>
      <c r="BO9" s="438"/>
      <c r="BP9" s="434"/>
      <c r="BQ9" s="434"/>
      <c r="BR9" s="1131">
        <f t="shared" si="28"/>
        <v>0</v>
      </c>
      <c r="BS9" s="438"/>
      <c r="BT9" s="833">
        <v>1</v>
      </c>
      <c r="BU9" s="833">
        <f t="shared" ref="BU9:CF9" si="31">BT9</f>
        <v>1</v>
      </c>
      <c r="BV9" s="833">
        <f t="shared" si="31"/>
        <v>1</v>
      </c>
      <c r="BW9" s="833">
        <f t="shared" si="31"/>
        <v>1</v>
      </c>
      <c r="BX9" s="833">
        <f t="shared" si="31"/>
        <v>1</v>
      </c>
      <c r="BY9" s="833">
        <f t="shared" si="31"/>
        <v>1</v>
      </c>
      <c r="BZ9" s="833">
        <f t="shared" si="31"/>
        <v>1</v>
      </c>
      <c r="CA9" s="833">
        <f t="shared" si="31"/>
        <v>1</v>
      </c>
      <c r="CB9" s="833">
        <f t="shared" si="31"/>
        <v>1</v>
      </c>
      <c r="CC9" s="833">
        <f t="shared" si="31"/>
        <v>1</v>
      </c>
      <c r="CD9" s="833">
        <f t="shared" si="31"/>
        <v>1</v>
      </c>
      <c r="CE9" s="833">
        <f t="shared" si="31"/>
        <v>1</v>
      </c>
      <c r="CF9" s="833">
        <f t="shared" si="31"/>
        <v>1</v>
      </c>
      <c r="CG9" s="833"/>
      <c r="CH9" s="46">
        <f t="shared" si="13"/>
        <v>0</v>
      </c>
      <c r="CI9" s="46">
        <f t="shared" si="14"/>
        <v>12000</v>
      </c>
      <c r="CJ9" s="46">
        <f t="shared" si="15"/>
        <v>0</v>
      </c>
      <c r="CK9" s="46">
        <f t="shared" si="16"/>
        <v>0</v>
      </c>
      <c r="CL9" s="46">
        <f t="shared" si="17"/>
        <v>700000</v>
      </c>
      <c r="CM9" s="46">
        <f t="shared" si="18"/>
        <v>0</v>
      </c>
      <c r="CN9" s="46">
        <f t="shared" si="19"/>
        <v>0</v>
      </c>
      <c r="CO9" s="46">
        <f t="shared" si="20"/>
        <v>0</v>
      </c>
      <c r="CP9" s="46">
        <f t="shared" si="21"/>
        <v>0</v>
      </c>
      <c r="CQ9" s="46">
        <f t="shared" si="22"/>
        <v>0</v>
      </c>
      <c r="CR9" s="46">
        <f t="shared" si="23"/>
        <v>0</v>
      </c>
      <c r="CS9" s="46">
        <f t="shared" si="24"/>
        <v>0</v>
      </c>
      <c r="CT9" s="46">
        <f t="shared" si="25"/>
        <v>0</v>
      </c>
    </row>
    <row r="10" spans="1:98" s="247" customFormat="1" ht="14.25" customHeight="1" x14ac:dyDescent="0.2">
      <c r="A10" s="674" t="s">
        <v>6374</v>
      </c>
      <c r="B10" s="919"/>
      <c r="C10" s="919"/>
      <c r="D10" s="919"/>
      <c r="E10" s="611"/>
      <c r="F10" s="607"/>
      <c r="G10" s="608"/>
      <c r="H10" s="608"/>
      <c r="I10" s="668"/>
      <c r="J10" s="668"/>
      <c r="K10" s="668"/>
      <c r="L10" s="668"/>
      <c r="M10" s="608"/>
      <c r="N10" s="668"/>
      <c r="O10" s="608"/>
      <c r="P10" s="608"/>
      <c r="Q10" s="608"/>
      <c r="R10" s="1129"/>
      <c r="S10" s="438"/>
      <c r="T10" s="434"/>
      <c r="U10" s="434"/>
      <c r="V10" s="438">
        <f t="shared" si="2"/>
        <v>0</v>
      </c>
      <c r="W10" s="439"/>
      <c r="X10" s="434"/>
      <c r="Y10" s="434"/>
      <c r="Z10" s="437">
        <f t="shared" si="3"/>
        <v>0</v>
      </c>
      <c r="AA10" s="439"/>
      <c r="AB10" s="434"/>
      <c r="AC10" s="434"/>
      <c r="AD10" s="437">
        <f t="shared" si="26"/>
        <v>0</v>
      </c>
      <c r="AE10" s="439"/>
      <c r="AF10" s="434"/>
      <c r="AG10" s="434"/>
      <c r="AH10" s="435">
        <f t="shared" si="4"/>
        <v>0</v>
      </c>
      <c r="AI10" s="438"/>
      <c r="AJ10" s="434"/>
      <c r="AK10" s="434"/>
      <c r="AL10" s="437">
        <f t="shared" si="5"/>
        <v>0</v>
      </c>
      <c r="AM10" s="438"/>
      <c r="AN10" s="434"/>
      <c r="AO10" s="434"/>
      <c r="AP10" s="1128">
        <f t="shared" si="6"/>
        <v>0</v>
      </c>
      <c r="AQ10" s="438"/>
      <c r="AR10" s="434"/>
      <c r="AS10" s="434"/>
      <c r="AT10" s="435">
        <f t="shared" si="7"/>
        <v>0</v>
      </c>
      <c r="AU10" s="438"/>
      <c r="AV10" s="434"/>
      <c r="AW10" s="434"/>
      <c r="AX10" s="437">
        <f t="shared" si="8"/>
        <v>0</v>
      </c>
      <c r="AY10" s="438"/>
      <c r="AZ10" s="434"/>
      <c r="BA10" s="434"/>
      <c r="BB10" s="437">
        <f t="shared" si="9"/>
        <v>0</v>
      </c>
      <c r="BC10" s="438"/>
      <c r="BD10" s="434"/>
      <c r="BE10" s="434"/>
      <c r="BF10" s="1131">
        <f t="shared" si="10"/>
        <v>0</v>
      </c>
      <c r="BG10" s="438"/>
      <c r="BH10" s="434"/>
      <c r="BI10" s="434"/>
      <c r="BJ10" s="1131">
        <f t="shared" si="11"/>
        <v>0</v>
      </c>
      <c r="BK10" s="438"/>
      <c r="BL10" s="434"/>
      <c r="BM10" s="434"/>
      <c r="BN10" s="1131">
        <f t="shared" si="27"/>
        <v>0</v>
      </c>
      <c r="BO10" s="438"/>
      <c r="BP10" s="434"/>
      <c r="BQ10" s="434"/>
      <c r="BR10" s="1131">
        <f t="shared" si="28"/>
        <v>0</v>
      </c>
      <c r="BS10" s="438"/>
      <c r="BT10" s="833">
        <v>1</v>
      </c>
      <c r="BU10" s="833">
        <f t="shared" ref="BU10" si="32">BT10</f>
        <v>1</v>
      </c>
      <c r="BV10" s="833">
        <f t="shared" ref="BV10" si="33">BU10</f>
        <v>1</v>
      </c>
      <c r="BW10" s="833">
        <f t="shared" ref="BW10" si="34">BV10</f>
        <v>1</v>
      </c>
      <c r="BX10" s="833">
        <f t="shared" ref="BX10" si="35">BW10</f>
        <v>1</v>
      </c>
      <c r="BY10" s="833">
        <f t="shared" ref="BY10" si="36">BX10</f>
        <v>1</v>
      </c>
      <c r="BZ10" s="833">
        <f t="shared" ref="BZ10" si="37">BY10</f>
        <v>1</v>
      </c>
      <c r="CA10" s="833">
        <f t="shared" ref="CA10" si="38">BZ10</f>
        <v>1</v>
      </c>
      <c r="CB10" s="833">
        <f t="shared" ref="CB10" si="39">CA10</f>
        <v>1</v>
      </c>
      <c r="CC10" s="833">
        <f t="shared" ref="CC10:CF10" si="40">CB10</f>
        <v>1</v>
      </c>
      <c r="CD10" s="833">
        <f t="shared" si="40"/>
        <v>1</v>
      </c>
      <c r="CE10" s="833">
        <f t="shared" si="40"/>
        <v>1</v>
      </c>
      <c r="CF10" s="833">
        <f t="shared" si="40"/>
        <v>1</v>
      </c>
      <c r="CG10" s="833"/>
      <c r="CH10" s="46">
        <f t="shared" si="13"/>
        <v>0</v>
      </c>
      <c r="CI10" s="46">
        <f t="shared" si="14"/>
        <v>0</v>
      </c>
      <c r="CJ10" s="46">
        <f t="shared" si="15"/>
        <v>0</v>
      </c>
      <c r="CK10" s="46">
        <f t="shared" si="16"/>
        <v>0</v>
      </c>
      <c r="CL10" s="46">
        <f t="shared" si="17"/>
        <v>0</v>
      </c>
      <c r="CM10" s="46">
        <f t="shared" si="18"/>
        <v>0</v>
      </c>
      <c r="CN10" s="46">
        <f t="shared" si="19"/>
        <v>0</v>
      </c>
      <c r="CO10" s="46">
        <f t="shared" si="20"/>
        <v>0</v>
      </c>
      <c r="CP10" s="46">
        <f t="shared" si="21"/>
        <v>0</v>
      </c>
      <c r="CQ10" s="46">
        <f t="shared" si="22"/>
        <v>0</v>
      </c>
      <c r="CR10" s="46">
        <f t="shared" si="23"/>
        <v>0</v>
      </c>
      <c r="CS10" s="46">
        <f t="shared" si="24"/>
        <v>0</v>
      </c>
      <c r="CT10" s="46">
        <f t="shared" si="25"/>
        <v>0</v>
      </c>
    </row>
    <row r="11" spans="1:98" s="247" customFormat="1" ht="14.25" customHeight="1" x14ac:dyDescent="0.2">
      <c r="A11" s="674" t="s">
        <v>5490</v>
      </c>
      <c r="B11" s="920" t="s">
        <v>4971</v>
      </c>
      <c r="C11" s="920" t="s">
        <v>4052</v>
      </c>
      <c r="D11" s="920" t="s">
        <v>4052</v>
      </c>
      <c r="E11" s="611"/>
      <c r="F11" s="607">
        <v>58000</v>
      </c>
      <c r="G11" s="668"/>
      <c r="H11" s="608">
        <v>87900</v>
      </c>
      <c r="I11" s="668">
        <f>735000+104000</f>
        <v>839000</v>
      </c>
      <c r="J11" s="608"/>
      <c r="K11" s="608"/>
      <c r="L11" s="668"/>
      <c r="M11" s="608"/>
      <c r="N11" s="668"/>
      <c r="O11" s="608"/>
      <c r="P11" s="608"/>
      <c r="Q11" s="608"/>
      <c r="R11" s="1129"/>
      <c r="S11" s="438">
        <v>0</v>
      </c>
      <c r="T11" s="434">
        <v>58000</v>
      </c>
      <c r="U11" s="434">
        <v>0</v>
      </c>
      <c r="V11" s="438">
        <f t="shared" si="2"/>
        <v>0</v>
      </c>
      <c r="W11" s="439"/>
      <c r="X11" s="434"/>
      <c r="Y11" s="434"/>
      <c r="Z11" s="437">
        <f t="shared" si="3"/>
        <v>0</v>
      </c>
      <c r="AA11" s="439"/>
      <c r="AB11" s="434"/>
      <c r="AC11" s="434"/>
      <c r="AD11" s="437">
        <f t="shared" si="26"/>
        <v>87900</v>
      </c>
      <c r="AE11" s="439"/>
      <c r="AF11" s="434"/>
      <c r="AG11" s="434"/>
      <c r="AH11" s="435">
        <f t="shared" si="4"/>
        <v>839000</v>
      </c>
      <c r="AI11" s="438"/>
      <c r="AJ11" s="434"/>
      <c r="AK11" s="434"/>
      <c r="AL11" s="437">
        <f t="shared" si="5"/>
        <v>0</v>
      </c>
      <c r="AM11" s="438"/>
      <c r="AN11" s="434"/>
      <c r="AO11" s="434"/>
      <c r="AP11" s="1128">
        <f t="shared" si="6"/>
        <v>0</v>
      </c>
      <c r="AQ11" s="438"/>
      <c r="AR11" s="434"/>
      <c r="AS11" s="434"/>
      <c r="AT11" s="435">
        <f t="shared" si="7"/>
        <v>0</v>
      </c>
      <c r="AU11" s="438"/>
      <c r="AV11" s="434"/>
      <c r="AW11" s="434"/>
      <c r="AX11" s="437">
        <f t="shared" si="8"/>
        <v>0</v>
      </c>
      <c r="AY11" s="438"/>
      <c r="AZ11" s="434"/>
      <c r="BA11" s="434"/>
      <c r="BB11" s="437">
        <f t="shared" si="9"/>
        <v>0</v>
      </c>
      <c r="BC11" s="438"/>
      <c r="BD11" s="434"/>
      <c r="BE11" s="434"/>
      <c r="BF11" s="1131">
        <f t="shared" si="10"/>
        <v>0</v>
      </c>
      <c r="BG11" s="438"/>
      <c r="BH11" s="434"/>
      <c r="BI11" s="434"/>
      <c r="BJ11" s="1131">
        <f t="shared" si="11"/>
        <v>0</v>
      </c>
      <c r="BK11" s="438"/>
      <c r="BL11" s="434"/>
      <c r="BM11" s="434"/>
      <c r="BN11" s="1131">
        <f t="shared" si="27"/>
        <v>0</v>
      </c>
      <c r="BO11" s="438"/>
      <c r="BP11" s="434"/>
      <c r="BQ11" s="434"/>
      <c r="BR11" s="1131">
        <f t="shared" si="28"/>
        <v>0</v>
      </c>
      <c r="BS11" s="438"/>
      <c r="BT11" s="833">
        <v>1</v>
      </c>
      <c r="BU11" s="833">
        <f t="shared" ref="BU11:CF11" si="41">BT11</f>
        <v>1</v>
      </c>
      <c r="BV11" s="833">
        <f t="shared" si="41"/>
        <v>1</v>
      </c>
      <c r="BW11" s="833">
        <f t="shared" si="41"/>
        <v>1</v>
      </c>
      <c r="BX11" s="833">
        <f t="shared" si="41"/>
        <v>1</v>
      </c>
      <c r="BY11" s="833">
        <f t="shared" si="41"/>
        <v>1</v>
      </c>
      <c r="BZ11" s="833">
        <f t="shared" si="41"/>
        <v>1</v>
      </c>
      <c r="CA11" s="833">
        <f t="shared" si="41"/>
        <v>1</v>
      </c>
      <c r="CB11" s="833">
        <f t="shared" si="41"/>
        <v>1</v>
      </c>
      <c r="CC11" s="833">
        <f t="shared" si="41"/>
        <v>1</v>
      </c>
      <c r="CD11" s="833">
        <f t="shared" si="41"/>
        <v>1</v>
      </c>
      <c r="CE11" s="833">
        <f t="shared" si="41"/>
        <v>1</v>
      </c>
      <c r="CF11" s="833">
        <f t="shared" si="41"/>
        <v>1</v>
      </c>
      <c r="CG11" s="833"/>
      <c r="CH11" s="46">
        <f t="shared" si="13"/>
        <v>58000</v>
      </c>
      <c r="CI11" s="46">
        <f t="shared" si="14"/>
        <v>0</v>
      </c>
      <c r="CJ11" s="46">
        <f t="shared" si="15"/>
        <v>88000</v>
      </c>
      <c r="CK11" s="46">
        <f t="shared" si="16"/>
        <v>839000</v>
      </c>
      <c r="CL11" s="46">
        <f t="shared" si="17"/>
        <v>0</v>
      </c>
      <c r="CM11" s="46">
        <f t="shared" si="18"/>
        <v>0</v>
      </c>
      <c r="CN11" s="46">
        <f t="shared" si="19"/>
        <v>0</v>
      </c>
      <c r="CO11" s="46">
        <f t="shared" si="20"/>
        <v>0</v>
      </c>
      <c r="CP11" s="46">
        <f t="shared" si="21"/>
        <v>0</v>
      </c>
      <c r="CQ11" s="46">
        <f t="shared" si="22"/>
        <v>0</v>
      </c>
      <c r="CR11" s="46">
        <f t="shared" si="23"/>
        <v>0</v>
      </c>
      <c r="CS11" s="46">
        <f t="shared" si="24"/>
        <v>0</v>
      </c>
      <c r="CT11" s="46">
        <f t="shared" si="25"/>
        <v>0</v>
      </c>
    </row>
    <row r="12" spans="1:98" s="247" customFormat="1" ht="14.25" customHeight="1" x14ac:dyDescent="0.2">
      <c r="A12" s="673" t="s">
        <v>996</v>
      </c>
      <c r="B12" s="919"/>
      <c r="C12" s="919"/>
      <c r="D12" s="919"/>
      <c r="E12" s="611"/>
      <c r="F12" s="607"/>
      <c r="G12" s="608"/>
      <c r="H12" s="608"/>
      <c r="I12" s="668">
        <v>106000</v>
      </c>
      <c r="J12" s="668">
        <v>1364000</v>
      </c>
      <c r="K12" s="668"/>
      <c r="L12" s="668"/>
      <c r="M12" s="608"/>
      <c r="N12" s="668"/>
      <c r="O12" s="608"/>
      <c r="P12" s="608"/>
      <c r="Q12" s="608"/>
      <c r="R12" s="1129"/>
      <c r="S12" s="438"/>
      <c r="T12" s="434"/>
      <c r="U12" s="434"/>
      <c r="V12" s="438">
        <f t="shared" si="2"/>
        <v>0</v>
      </c>
      <c r="W12" s="439"/>
      <c r="X12" s="434"/>
      <c r="Y12" s="434"/>
      <c r="Z12" s="437">
        <f t="shared" si="3"/>
        <v>0</v>
      </c>
      <c r="AA12" s="439"/>
      <c r="AB12" s="434"/>
      <c r="AC12" s="434"/>
      <c r="AD12" s="437">
        <f t="shared" si="26"/>
        <v>0</v>
      </c>
      <c r="AE12" s="439"/>
      <c r="AF12" s="434"/>
      <c r="AG12" s="434"/>
      <c r="AH12" s="435">
        <f t="shared" si="4"/>
        <v>106000</v>
      </c>
      <c r="AI12" s="438"/>
      <c r="AJ12" s="434"/>
      <c r="AK12" s="434"/>
      <c r="AL12" s="437">
        <f t="shared" si="5"/>
        <v>1364000</v>
      </c>
      <c r="AM12" s="438"/>
      <c r="AN12" s="434"/>
      <c r="AO12" s="434"/>
      <c r="AP12" s="1128">
        <f t="shared" si="6"/>
        <v>0</v>
      </c>
      <c r="AQ12" s="438"/>
      <c r="AR12" s="434"/>
      <c r="AS12" s="434"/>
      <c r="AT12" s="435">
        <f t="shared" si="7"/>
        <v>0</v>
      </c>
      <c r="AU12" s="438"/>
      <c r="AV12" s="434"/>
      <c r="AW12" s="434"/>
      <c r="AX12" s="437">
        <f t="shared" si="8"/>
        <v>0</v>
      </c>
      <c r="AY12" s="438"/>
      <c r="AZ12" s="434"/>
      <c r="BA12" s="434"/>
      <c r="BB12" s="437">
        <f t="shared" si="9"/>
        <v>0</v>
      </c>
      <c r="BC12" s="438"/>
      <c r="BD12" s="434"/>
      <c r="BE12" s="434"/>
      <c r="BF12" s="1131">
        <f t="shared" si="10"/>
        <v>0</v>
      </c>
      <c r="BG12" s="438"/>
      <c r="BH12" s="434"/>
      <c r="BI12" s="434"/>
      <c r="BJ12" s="1131">
        <f t="shared" si="11"/>
        <v>0</v>
      </c>
      <c r="BK12" s="438"/>
      <c r="BL12" s="434"/>
      <c r="BM12" s="434"/>
      <c r="BN12" s="1131">
        <f t="shared" si="27"/>
        <v>0</v>
      </c>
      <c r="BO12" s="438"/>
      <c r="BP12" s="434"/>
      <c r="BQ12" s="434"/>
      <c r="BR12" s="1131">
        <f t="shared" si="28"/>
        <v>0</v>
      </c>
      <c r="BS12" s="438"/>
      <c r="BT12" s="833">
        <v>1</v>
      </c>
      <c r="BU12" s="833">
        <f t="shared" ref="BU12:CF12" si="42">BT12</f>
        <v>1</v>
      </c>
      <c r="BV12" s="833">
        <f t="shared" si="42"/>
        <v>1</v>
      </c>
      <c r="BW12" s="833">
        <f t="shared" si="42"/>
        <v>1</v>
      </c>
      <c r="BX12" s="833">
        <f t="shared" si="42"/>
        <v>1</v>
      </c>
      <c r="BY12" s="833">
        <f t="shared" si="42"/>
        <v>1</v>
      </c>
      <c r="BZ12" s="833">
        <f t="shared" si="42"/>
        <v>1</v>
      </c>
      <c r="CA12" s="833">
        <f t="shared" si="42"/>
        <v>1</v>
      </c>
      <c r="CB12" s="833">
        <f t="shared" si="42"/>
        <v>1</v>
      </c>
      <c r="CC12" s="833">
        <f t="shared" si="42"/>
        <v>1</v>
      </c>
      <c r="CD12" s="833">
        <f t="shared" si="42"/>
        <v>1</v>
      </c>
      <c r="CE12" s="833">
        <f t="shared" si="42"/>
        <v>1</v>
      </c>
      <c r="CF12" s="833">
        <f t="shared" si="42"/>
        <v>1</v>
      </c>
      <c r="CG12" s="833"/>
      <c r="CH12" s="46">
        <f t="shared" si="13"/>
        <v>0</v>
      </c>
      <c r="CI12" s="46">
        <f t="shared" si="14"/>
        <v>0</v>
      </c>
      <c r="CJ12" s="46">
        <f t="shared" si="15"/>
        <v>0</v>
      </c>
      <c r="CK12" s="46">
        <f t="shared" si="16"/>
        <v>106000</v>
      </c>
      <c r="CL12" s="46">
        <f t="shared" si="17"/>
        <v>1364000</v>
      </c>
      <c r="CM12" s="46">
        <f t="shared" si="18"/>
        <v>0</v>
      </c>
      <c r="CN12" s="46">
        <f t="shared" si="19"/>
        <v>0</v>
      </c>
      <c r="CO12" s="46">
        <f t="shared" si="20"/>
        <v>0</v>
      </c>
      <c r="CP12" s="46">
        <f t="shared" si="21"/>
        <v>0</v>
      </c>
      <c r="CQ12" s="46">
        <f t="shared" si="22"/>
        <v>0</v>
      </c>
      <c r="CR12" s="46">
        <f t="shared" si="23"/>
        <v>0</v>
      </c>
      <c r="CS12" s="46">
        <f t="shared" si="24"/>
        <v>0</v>
      </c>
      <c r="CT12" s="46">
        <f t="shared" si="25"/>
        <v>0</v>
      </c>
    </row>
    <row r="13" spans="1:98" s="247" customFormat="1" ht="14.25" customHeight="1" x14ac:dyDescent="0.2">
      <c r="A13" s="673" t="s">
        <v>4850</v>
      </c>
      <c r="B13" s="919"/>
      <c r="C13" s="919"/>
      <c r="D13" s="919"/>
      <c r="E13" s="611"/>
      <c r="F13" s="607"/>
      <c r="G13" s="608"/>
      <c r="H13" s="608"/>
      <c r="I13" s="668"/>
      <c r="J13" s="668"/>
      <c r="K13" s="668">
        <v>182000</v>
      </c>
      <c r="L13" s="668"/>
      <c r="M13" s="608"/>
      <c r="N13" s="668"/>
      <c r="O13" s="608"/>
      <c r="P13" s="608"/>
      <c r="Q13" s="608"/>
      <c r="R13" s="1129"/>
      <c r="S13" s="438"/>
      <c r="T13" s="434"/>
      <c r="U13" s="434"/>
      <c r="V13" s="438">
        <f t="shared" si="2"/>
        <v>0</v>
      </c>
      <c r="W13" s="439"/>
      <c r="X13" s="434"/>
      <c r="Y13" s="434"/>
      <c r="Z13" s="437">
        <f t="shared" si="3"/>
        <v>0</v>
      </c>
      <c r="AA13" s="439"/>
      <c r="AB13" s="434"/>
      <c r="AC13" s="434"/>
      <c r="AD13" s="437">
        <f t="shared" si="26"/>
        <v>0</v>
      </c>
      <c r="AE13" s="439"/>
      <c r="AF13" s="434"/>
      <c r="AG13" s="434"/>
      <c r="AH13" s="435">
        <f t="shared" si="4"/>
        <v>0</v>
      </c>
      <c r="AI13" s="438"/>
      <c r="AJ13" s="434"/>
      <c r="AK13" s="434"/>
      <c r="AL13" s="437">
        <f t="shared" si="5"/>
        <v>0</v>
      </c>
      <c r="AM13" s="438"/>
      <c r="AN13" s="434"/>
      <c r="AO13" s="434"/>
      <c r="AP13" s="1128">
        <f t="shared" si="6"/>
        <v>182000</v>
      </c>
      <c r="AQ13" s="438"/>
      <c r="AR13" s="434"/>
      <c r="AS13" s="434"/>
      <c r="AT13" s="435">
        <f t="shared" si="7"/>
        <v>0</v>
      </c>
      <c r="AU13" s="438"/>
      <c r="AV13" s="434"/>
      <c r="AW13" s="434"/>
      <c r="AX13" s="437">
        <f t="shared" si="8"/>
        <v>0</v>
      </c>
      <c r="AY13" s="438"/>
      <c r="AZ13" s="434"/>
      <c r="BA13" s="434"/>
      <c r="BB13" s="437">
        <f t="shared" si="9"/>
        <v>0</v>
      </c>
      <c r="BC13" s="438"/>
      <c r="BD13" s="434"/>
      <c r="BE13" s="434"/>
      <c r="BF13" s="1131">
        <f t="shared" si="10"/>
        <v>0</v>
      </c>
      <c r="BG13" s="438"/>
      <c r="BH13" s="434"/>
      <c r="BI13" s="434"/>
      <c r="BJ13" s="1131">
        <f t="shared" si="11"/>
        <v>0</v>
      </c>
      <c r="BK13" s="438"/>
      <c r="BL13" s="434"/>
      <c r="BM13" s="434"/>
      <c r="BN13" s="1131">
        <f t="shared" si="27"/>
        <v>0</v>
      </c>
      <c r="BO13" s="438"/>
      <c r="BP13" s="434"/>
      <c r="BQ13" s="434"/>
      <c r="BR13" s="1131">
        <f t="shared" si="28"/>
        <v>0</v>
      </c>
      <c r="BS13" s="438"/>
      <c r="BT13" s="833">
        <v>1</v>
      </c>
      <c r="BU13" s="833">
        <f t="shared" ref="BU13" si="43">BT13</f>
        <v>1</v>
      </c>
      <c r="BV13" s="833">
        <f t="shared" ref="BV13" si="44">BU13</f>
        <v>1</v>
      </c>
      <c r="BW13" s="833">
        <f t="shared" ref="BW13" si="45">BV13</f>
        <v>1</v>
      </c>
      <c r="BX13" s="833">
        <f t="shared" ref="BX13" si="46">BW13</f>
        <v>1</v>
      </c>
      <c r="BY13" s="833">
        <f t="shared" ref="BY13" si="47">BX13</f>
        <v>1</v>
      </c>
      <c r="BZ13" s="833">
        <f t="shared" ref="BZ13" si="48">BY13</f>
        <v>1</v>
      </c>
      <c r="CA13" s="833">
        <f t="shared" ref="CA13" si="49">BZ13</f>
        <v>1</v>
      </c>
      <c r="CB13" s="833">
        <f t="shared" ref="CB13" si="50">CA13</f>
        <v>1</v>
      </c>
      <c r="CC13" s="833">
        <f t="shared" ref="CC13:CF13" si="51">CB13</f>
        <v>1</v>
      </c>
      <c r="CD13" s="833">
        <f t="shared" si="51"/>
        <v>1</v>
      </c>
      <c r="CE13" s="833">
        <f t="shared" si="51"/>
        <v>1</v>
      </c>
      <c r="CF13" s="833">
        <f t="shared" si="51"/>
        <v>1</v>
      </c>
      <c r="CG13" s="833"/>
      <c r="CH13" s="46">
        <f t="shared" si="13"/>
        <v>0</v>
      </c>
      <c r="CI13" s="46">
        <f t="shared" si="14"/>
        <v>0</v>
      </c>
      <c r="CJ13" s="46">
        <f t="shared" si="15"/>
        <v>0</v>
      </c>
      <c r="CK13" s="46">
        <f t="shared" si="16"/>
        <v>0</v>
      </c>
      <c r="CL13" s="46">
        <f t="shared" si="17"/>
        <v>0</v>
      </c>
      <c r="CM13" s="46">
        <f t="shared" si="18"/>
        <v>182000</v>
      </c>
      <c r="CN13" s="46">
        <f t="shared" si="19"/>
        <v>0</v>
      </c>
      <c r="CO13" s="46">
        <f t="shared" si="20"/>
        <v>0</v>
      </c>
      <c r="CP13" s="46">
        <f t="shared" si="21"/>
        <v>0</v>
      </c>
      <c r="CQ13" s="46">
        <f t="shared" si="22"/>
        <v>0</v>
      </c>
      <c r="CR13" s="46">
        <f t="shared" si="23"/>
        <v>0</v>
      </c>
      <c r="CS13" s="46">
        <f t="shared" si="24"/>
        <v>0</v>
      </c>
      <c r="CT13" s="46">
        <f t="shared" si="25"/>
        <v>0</v>
      </c>
    </row>
    <row r="14" spans="1:98" s="247" customFormat="1" ht="14.25" customHeight="1" x14ac:dyDescent="0.2">
      <c r="A14" s="673" t="s">
        <v>4851</v>
      </c>
      <c r="B14" s="919"/>
      <c r="C14" s="919"/>
      <c r="D14" s="919"/>
      <c r="E14" s="611"/>
      <c r="F14" s="607"/>
      <c r="G14" s="668"/>
      <c r="H14" s="608"/>
      <c r="I14" s="668"/>
      <c r="J14" s="668"/>
      <c r="K14" s="668">
        <v>106000</v>
      </c>
      <c r="L14" s="668"/>
      <c r="M14" s="608"/>
      <c r="N14" s="668"/>
      <c r="O14" s="608"/>
      <c r="P14" s="608"/>
      <c r="Q14" s="608"/>
      <c r="R14" s="1129"/>
      <c r="S14" s="438"/>
      <c r="T14" s="434"/>
      <c r="U14" s="434"/>
      <c r="V14" s="438">
        <f t="shared" si="2"/>
        <v>0</v>
      </c>
      <c r="W14" s="439"/>
      <c r="X14" s="434"/>
      <c r="Y14" s="434"/>
      <c r="Z14" s="437">
        <f t="shared" si="3"/>
        <v>0</v>
      </c>
      <c r="AA14" s="439"/>
      <c r="AB14" s="434"/>
      <c r="AC14" s="434"/>
      <c r="AD14" s="437">
        <f t="shared" si="26"/>
        <v>0</v>
      </c>
      <c r="AE14" s="439"/>
      <c r="AF14" s="434"/>
      <c r="AG14" s="434"/>
      <c r="AH14" s="435">
        <f t="shared" si="4"/>
        <v>0</v>
      </c>
      <c r="AI14" s="438"/>
      <c r="AJ14" s="434"/>
      <c r="AK14" s="434"/>
      <c r="AL14" s="437">
        <f t="shared" si="5"/>
        <v>0</v>
      </c>
      <c r="AM14" s="438"/>
      <c r="AN14" s="434"/>
      <c r="AO14" s="434"/>
      <c r="AP14" s="1128">
        <f t="shared" si="6"/>
        <v>106000</v>
      </c>
      <c r="AQ14" s="438"/>
      <c r="AR14" s="434"/>
      <c r="AS14" s="434"/>
      <c r="AT14" s="437">
        <v>0</v>
      </c>
      <c r="AU14" s="438"/>
      <c r="AV14" s="434"/>
      <c r="AW14" s="434"/>
      <c r="AX14" s="437">
        <v>0</v>
      </c>
      <c r="AY14" s="438"/>
      <c r="AZ14" s="434"/>
      <c r="BA14" s="434"/>
      <c r="BB14" s="437">
        <v>0</v>
      </c>
      <c r="BC14" s="438"/>
      <c r="BD14" s="434"/>
      <c r="BE14" s="434"/>
      <c r="BF14" s="1131">
        <f t="shared" si="10"/>
        <v>0</v>
      </c>
      <c r="BG14" s="438"/>
      <c r="BH14" s="434"/>
      <c r="BI14" s="434"/>
      <c r="BJ14" s="1131">
        <f t="shared" si="11"/>
        <v>0</v>
      </c>
      <c r="BK14" s="438"/>
      <c r="BL14" s="434"/>
      <c r="BM14" s="434"/>
      <c r="BN14" s="1131">
        <f t="shared" si="27"/>
        <v>0</v>
      </c>
      <c r="BO14" s="438"/>
      <c r="BP14" s="434"/>
      <c r="BQ14" s="434"/>
      <c r="BR14" s="1131">
        <f t="shared" si="28"/>
        <v>0</v>
      </c>
      <c r="BS14" s="438"/>
      <c r="BT14" s="833">
        <v>1</v>
      </c>
      <c r="BU14" s="833">
        <f t="shared" ref="BU14:CF14" si="52">BT14</f>
        <v>1</v>
      </c>
      <c r="BV14" s="833">
        <f t="shared" si="52"/>
        <v>1</v>
      </c>
      <c r="BW14" s="833">
        <f t="shared" si="52"/>
        <v>1</v>
      </c>
      <c r="BX14" s="833">
        <f t="shared" si="52"/>
        <v>1</v>
      </c>
      <c r="BY14" s="833">
        <f t="shared" si="52"/>
        <v>1</v>
      </c>
      <c r="BZ14" s="833">
        <f t="shared" si="52"/>
        <v>1</v>
      </c>
      <c r="CA14" s="833">
        <f t="shared" si="52"/>
        <v>1</v>
      </c>
      <c r="CB14" s="833">
        <f t="shared" si="52"/>
        <v>1</v>
      </c>
      <c r="CC14" s="833">
        <f t="shared" si="52"/>
        <v>1</v>
      </c>
      <c r="CD14" s="833">
        <f t="shared" si="52"/>
        <v>1</v>
      </c>
      <c r="CE14" s="833">
        <f t="shared" si="52"/>
        <v>1</v>
      </c>
      <c r="CF14" s="833">
        <f t="shared" si="52"/>
        <v>1</v>
      </c>
      <c r="CG14" s="833"/>
      <c r="CH14" s="46">
        <f t="shared" si="13"/>
        <v>0</v>
      </c>
      <c r="CI14" s="46">
        <f t="shared" si="14"/>
        <v>0</v>
      </c>
      <c r="CJ14" s="46">
        <f t="shared" si="15"/>
        <v>0</v>
      </c>
      <c r="CK14" s="46">
        <f t="shared" si="16"/>
        <v>0</v>
      </c>
      <c r="CL14" s="46">
        <f t="shared" si="17"/>
        <v>0</v>
      </c>
      <c r="CM14" s="46">
        <f t="shared" si="18"/>
        <v>106000</v>
      </c>
      <c r="CN14" s="46">
        <f t="shared" si="19"/>
        <v>0</v>
      </c>
      <c r="CO14" s="46">
        <f t="shared" si="20"/>
        <v>0</v>
      </c>
      <c r="CP14" s="46">
        <f t="shared" si="21"/>
        <v>0</v>
      </c>
      <c r="CQ14" s="46">
        <f t="shared" si="22"/>
        <v>0</v>
      </c>
      <c r="CR14" s="46">
        <f t="shared" si="23"/>
        <v>0</v>
      </c>
      <c r="CS14" s="46">
        <f t="shared" si="24"/>
        <v>0</v>
      </c>
      <c r="CT14" s="46">
        <f t="shared" si="25"/>
        <v>0</v>
      </c>
    </row>
    <row r="15" spans="1:98" s="247" customFormat="1" ht="14.25" customHeight="1" x14ac:dyDescent="0.2">
      <c r="A15" s="673" t="s">
        <v>6986</v>
      </c>
      <c r="B15" s="919"/>
      <c r="C15" s="919"/>
      <c r="D15" s="919"/>
      <c r="E15" s="611"/>
      <c r="F15" s="607"/>
      <c r="G15" s="608"/>
      <c r="H15" s="608"/>
      <c r="I15" s="668"/>
      <c r="J15" s="668"/>
      <c r="K15" s="668">
        <v>62300</v>
      </c>
      <c r="L15" s="668"/>
      <c r="M15" s="608"/>
      <c r="N15" s="668"/>
      <c r="O15" s="608"/>
      <c r="P15" s="608"/>
      <c r="Q15" s="608"/>
      <c r="R15" s="1129"/>
      <c r="S15" s="438"/>
      <c r="T15" s="434"/>
      <c r="U15" s="434"/>
      <c r="V15" s="438"/>
      <c r="W15" s="439"/>
      <c r="X15" s="434"/>
      <c r="Y15" s="434"/>
      <c r="Z15" s="437">
        <f t="shared" si="3"/>
        <v>0</v>
      </c>
      <c r="AA15" s="439"/>
      <c r="AB15" s="434"/>
      <c r="AC15" s="434"/>
      <c r="AD15" s="437">
        <f t="shared" si="26"/>
        <v>0</v>
      </c>
      <c r="AE15" s="439"/>
      <c r="AF15" s="434"/>
      <c r="AG15" s="434"/>
      <c r="AH15" s="435">
        <f t="shared" si="4"/>
        <v>0</v>
      </c>
      <c r="AI15" s="438"/>
      <c r="AJ15" s="434"/>
      <c r="AK15" s="434"/>
      <c r="AL15" s="437">
        <f t="shared" si="5"/>
        <v>0</v>
      </c>
      <c r="AM15" s="438"/>
      <c r="AN15" s="434"/>
      <c r="AO15" s="434"/>
      <c r="AP15" s="1128">
        <f t="shared" si="6"/>
        <v>62300</v>
      </c>
      <c r="AQ15" s="438"/>
      <c r="AR15" s="434"/>
      <c r="AS15" s="434"/>
      <c r="AT15" s="435">
        <f>$L15-AQ15-AR15-AS15</f>
        <v>0</v>
      </c>
      <c r="AU15" s="438"/>
      <c r="AV15" s="434"/>
      <c r="AW15" s="434"/>
      <c r="AX15" s="437">
        <f>$M15-AU15-AV15-AW15</f>
        <v>0</v>
      </c>
      <c r="AY15" s="438"/>
      <c r="AZ15" s="434"/>
      <c r="BA15" s="434"/>
      <c r="BB15" s="437">
        <f>$N15-AY15-AZ15-BA15</f>
        <v>0</v>
      </c>
      <c r="BC15" s="438"/>
      <c r="BD15" s="434"/>
      <c r="BE15" s="434"/>
      <c r="BF15" s="1131">
        <f t="shared" si="10"/>
        <v>0</v>
      </c>
      <c r="BG15" s="438"/>
      <c r="BH15" s="434"/>
      <c r="BI15" s="434"/>
      <c r="BJ15" s="1131">
        <f t="shared" si="11"/>
        <v>0</v>
      </c>
      <c r="BK15" s="438"/>
      <c r="BL15" s="434"/>
      <c r="BM15" s="434"/>
      <c r="BN15" s="1131">
        <f t="shared" si="27"/>
        <v>0</v>
      </c>
      <c r="BO15" s="438"/>
      <c r="BP15" s="434"/>
      <c r="BQ15" s="434"/>
      <c r="BR15" s="1131">
        <f t="shared" si="28"/>
        <v>0</v>
      </c>
      <c r="BS15" s="438"/>
      <c r="BT15" s="833">
        <v>1</v>
      </c>
      <c r="BU15" s="833">
        <f t="shared" ref="BU15" si="53">BT15</f>
        <v>1</v>
      </c>
      <c r="BV15" s="833">
        <f t="shared" ref="BV15" si="54">BU15</f>
        <v>1</v>
      </c>
      <c r="BW15" s="833">
        <f t="shared" ref="BW15" si="55">BV15</f>
        <v>1</v>
      </c>
      <c r="BX15" s="833">
        <f t="shared" ref="BX15" si="56">BW15</f>
        <v>1</v>
      </c>
      <c r="BY15" s="833">
        <f t="shared" ref="BY15" si="57">BX15</f>
        <v>1</v>
      </c>
      <c r="BZ15" s="833">
        <f t="shared" ref="BZ15" si="58">BY15</f>
        <v>1</v>
      </c>
      <c r="CA15" s="833">
        <f t="shared" ref="CA15" si="59">BZ15</f>
        <v>1</v>
      </c>
      <c r="CB15" s="833">
        <f t="shared" ref="CB15" si="60">CA15</f>
        <v>1</v>
      </c>
      <c r="CC15" s="833">
        <f t="shared" ref="CC15" si="61">CB15</f>
        <v>1</v>
      </c>
      <c r="CD15" s="833">
        <f t="shared" ref="CD15:CF15" si="62">CC15</f>
        <v>1</v>
      </c>
      <c r="CE15" s="833">
        <f t="shared" si="62"/>
        <v>1</v>
      </c>
      <c r="CF15" s="833">
        <f t="shared" si="62"/>
        <v>1</v>
      </c>
      <c r="CG15" s="833"/>
      <c r="CH15" s="46">
        <f t="shared" si="13"/>
        <v>0</v>
      </c>
      <c r="CI15" s="46">
        <f t="shared" si="14"/>
        <v>0</v>
      </c>
      <c r="CJ15" s="46">
        <f t="shared" si="15"/>
        <v>0</v>
      </c>
      <c r="CK15" s="46">
        <f t="shared" si="16"/>
        <v>0</v>
      </c>
      <c r="CL15" s="46">
        <f t="shared" si="17"/>
        <v>0</v>
      </c>
      <c r="CM15" s="46">
        <f t="shared" si="18"/>
        <v>62000</v>
      </c>
      <c r="CN15" s="46">
        <f t="shared" si="19"/>
        <v>0</v>
      </c>
      <c r="CO15" s="46">
        <f t="shared" si="20"/>
        <v>0</v>
      </c>
      <c r="CP15" s="46">
        <f t="shared" si="21"/>
        <v>0</v>
      </c>
      <c r="CQ15" s="46">
        <f t="shared" si="22"/>
        <v>0</v>
      </c>
      <c r="CR15" s="46">
        <f t="shared" si="23"/>
        <v>0</v>
      </c>
      <c r="CS15" s="46">
        <f t="shared" si="24"/>
        <v>0</v>
      </c>
      <c r="CT15" s="46">
        <f t="shared" si="25"/>
        <v>0</v>
      </c>
    </row>
    <row r="16" spans="1:98" s="247" customFormat="1" ht="14.25" customHeight="1" x14ac:dyDescent="0.2">
      <c r="A16" s="673" t="s">
        <v>6558</v>
      </c>
      <c r="B16" s="920" t="s">
        <v>4972</v>
      </c>
      <c r="C16" s="920" t="s">
        <v>4051</v>
      </c>
      <c r="D16" s="920" t="s">
        <v>4051</v>
      </c>
      <c r="E16" s="611"/>
      <c r="F16" s="607">
        <v>134900</v>
      </c>
      <c r="G16" s="608">
        <v>304900</v>
      </c>
      <c r="H16" s="608">
        <f>250000+45100</f>
        <v>295100</v>
      </c>
      <c r="I16" s="668">
        <v>259000</v>
      </c>
      <c r="J16" s="608">
        <v>268000</v>
      </c>
      <c r="K16" s="608"/>
      <c r="L16" s="608"/>
      <c r="M16" s="608"/>
      <c r="N16" s="668"/>
      <c r="O16" s="608"/>
      <c r="P16" s="608"/>
      <c r="Q16" s="608"/>
      <c r="R16" s="1129"/>
      <c r="S16" s="438">
        <v>0</v>
      </c>
      <c r="T16" s="434">
        <v>0</v>
      </c>
      <c r="U16" s="434">
        <v>0</v>
      </c>
      <c r="V16" s="438">
        <f>$F16-S16-T16-U16</f>
        <v>134900</v>
      </c>
      <c r="W16" s="439"/>
      <c r="X16" s="434"/>
      <c r="Y16" s="434"/>
      <c r="Z16" s="437">
        <f t="shared" si="3"/>
        <v>304900</v>
      </c>
      <c r="AA16" s="439"/>
      <c r="AB16" s="434"/>
      <c r="AC16" s="434"/>
      <c r="AD16" s="437">
        <f t="shared" si="26"/>
        <v>295100</v>
      </c>
      <c r="AE16" s="439"/>
      <c r="AF16" s="434"/>
      <c r="AG16" s="434"/>
      <c r="AH16" s="435">
        <f t="shared" si="4"/>
        <v>259000</v>
      </c>
      <c r="AI16" s="438"/>
      <c r="AJ16" s="434">
        <f>J16</f>
        <v>268000</v>
      </c>
      <c r="AK16" s="434"/>
      <c r="AL16" s="437">
        <f t="shared" si="5"/>
        <v>0</v>
      </c>
      <c r="AM16" s="438"/>
      <c r="AN16" s="434"/>
      <c r="AO16" s="434"/>
      <c r="AP16" s="1128">
        <f t="shared" si="6"/>
        <v>0</v>
      </c>
      <c r="AQ16" s="438"/>
      <c r="AR16" s="434"/>
      <c r="AS16" s="434"/>
      <c r="AT16" s="435">
        <f>$L16-AQ16-AR16-AS16</f>
        <v>0</v>
      </c>
      <c r="AU16" s="438"/>
      <c r="AV16" s="434"/>
      <c r="AW16" s="434"/>
      <c r="AX16" s="437">
        <f>$M16-AU16-AV16-AW16</f>
        <v>0</v>
      </c>
      <c r="AY16" s="438"/>
      <c r="AZ16" s="434"/>
      <c r="BA16" s="434"/>
      <c r="BB16" s="437">
        <f>$N16-AY16-AZ16-BA16</f>
        <v>0</v>
      </c>
      <c r="BC16" s="438"/>
      <c r="BD16" s="434"/>
      <c r="BE16" s="434"/>
      <c r="BF16" s="1131">
        <f t="shared" si="10"/>
        <v>0</v>
      </c>
      <c r="BG16" s="438"/>
      <c r="BH16" s="434"/>
      <c r="BI16" s="434"/>
      <c r="BJ16" s="1131">
        <f t="shared" si="11"/>
        <v>0</v>
      </c>
      <c r="BK16" s="438"/>
      <c r="BL16" s="434"/>
      <c r="BM16" s="434"/>
      <c r="BN16" s="1131">
        <f t="shared" si="27"/>
        <v>0</v>
      </c>
      <c r="BO16" s="438"/>
      <c r="BP16" s="434"/>
      <c r="BQ16" s="434"/>
      <c r="BR16" s="1131">
        <f t="shared" si="28"/>
        <v>0</v>
      </c>
      <c r="BS16" s="438"/>
      <c r="BT16" s="833">
        <v>1</v>
      </c>
      <c r="BU16" s="833">
        <f t="shared" ref="BU16:CF16" si="63">BT16</f>
        <v>1</v>
      </c>
      <c r="BV16" s="833">
        <f t="shared" si="63"/>
        <v>1</v>
      </c>
      <c r="BW16" s="833">
        <f t="shared" si="63"/>
        <v>1</v>
      </c>
      <c r="BX16" s="833">
        <f t="shared" si="63"/>
        <v>1</v>
      </c>
      <c r="BY16" s="833">
        <f t="shared" si="63"/>
        <v>1</v>
      </c>
      <c r="BZ16" s="833">
        <f t="shared" si="63"/>
        <v>1</v>
      </c>
      <c r="CA16" s="833">
        <f t="shared" si="63"/>
        <v>1</v>
      </c>
      <c r="CB16" s="833">
        <f t="shared" si="63"/>
        <v>1</v>
      </c>
      <c r="CC16" s="833">
        <f t="shared" si="63"/>
        <v>1</v>
      </c>
      <c r="CD16" s="833">
        <f t="shared" si="63"/>
        <v>1</v>
      </c>
      <c r="CE16" s="833">
        <f t="shared" si="63"/>
        <v>1</v>
      </c>
      <c r="CF16" s="833">
        <f t="shared" si="63"/>
        <v>1</v>
      </c>
      <c r="CG16" s="833"/>
      <c r="CH16" s="46">
        <f t="shared" si="13"/>
        <v>135000</v>
      </c>
      <c r="CI16" s="46">
        <f t="shared" si="14"/>
        <v>305000</v>
      </c>
      <c r="CJ16" s="46">
        <f t="shared" si="15"/>
        <v>295000</v>
      </c>
      <c r="CK16" s="46">
        <f t="shared" si="16"/>
        <v>259000</v>
      </c>
      <c r="CL16" s="46">
        <f t="shared" si="17"/>
        <v>268000</v>
      </c>
      <c r="CM16" s="46">
        <f t="shared" si="18"/>
        <v>0</v>
      </c>
      <c r="CN16" s="46">
        <f t="shared" si="19"/>
        <v>0</v>
      </c>
      <c r="CO16" s="46">
        <f t="shared" si="20"/>
        <v>0</v>
      </c>
      <c r="CP16" s="46">
        <f t="shared" si="21"/>
        <v>0</v>
      </c>
      <c r="CQ16" s="46">
        <f t="shared" si="22"/>
        <v>0</v>
      </c>
      <c r="CR16" s="46">
        <f t="shared" si="23"/>
        <v>0</v>
      </c>
      <c r="CS16" s="46">
        <f t="shared" si="24"/>
        <v>0</v>
      </c>
      <c r="CT16" s="46">
        <f t="shared" si="25"/>
        <v>0</v>
      </c>
    </row>
    <row r="17" spans="1:98" s="247" customFormat="1" ht="14.25" customHeight="1" x14ac:dyDescent="0.2">
      <c r="A17" s="673" t="s">
        <v>6557</v>
      </c>
      <c r="B17" s="920"/>
      <c r="C17" s="920"/>
      <c r="D17" s="920"/>
      <c r="E17" s="611"/>
      <c r="F17" s="607"/>
      <c r="G17" s="608"/>
      <c r="H17" s="608"/>
      <c r="I17" s="668"/>
      <c r="J17" s="608">
        <v>338000</v>
      </c>
      <c r="K17" s="608">
        <v>348000</v>
      </c>
      <c r="L17" s="608">
        <v>358000</v>
      </c>
      <c r="M17" s="608">
        <v>369000</v>
      </c>
      <c r="N17" s="668">
        <v>380000</v>
      </c>
      <c r="O17" s="608">
        <v>391000</v>
      </c>
      <c r="P17" s="608">
        <v>400000</v>
      </c>
      <c r="Q17" s="608">
        <v>410000</v>
      </c>
      <c r="R17" s="1129">
        <v>410000</v>
      </c>
      <c r="S17" s="438">
        <v>0</v>
      </c>
      <c r="T17" s="434">
        <v>0</v>
      </c>
      <c r="U17" s="434">
        <v>0</v>
      </c>
      <c r="V17" s="438">
        <f>$F17-S17-T17-U17</f>
        <v>0</v>
      </c>
      <c r="W17" s="439"/>
      <c r="X17" s="434"/>
      <c r="Y17" s="434"/>
      <c r="Z17" s="437">
        <f t="shared" si="3"/>
        <v>0</v>
      </c>
      <c r="AA17" s="439"/>
      <c r="AB17" s="434"/>
      <c r="AC17" s="434"/>
      <c r="AD17" s="437">
        <f t="shared" si="26"/>
        <v>0</v>
      </c>
      <c r="AE17" s="439"/>
      <c r="AF17" s="434"/>
      <c r="AG17" s="434"/>
      <c r="AH17" s="435">
        <f t="shared" si="4"/>
        <v>0</v>
      </c>
      <c r="AI17" s="438"/>
      <c r="AJ17" s="434"/>
      <c r="AK17" s="434"/>
      <c r="AL17" s="437">
        <f t="shared" si="5"/>
        <v>338000</v>
      </c>
      <c r="AM17" s="438"/>
      <c r="AN17" s="434"/>
      <c r="AO17" s="434"/>
      <c r="AP17" s="1128">
        <f t="shared" si="6"/>
        <v>348000</v>
      </c>
      <c r="AQ17" s="438"/>
      <c r="AR17" s="434"/>
      <c r="AS17" s="434"/>
      <c r="AT17" s="435">
        <f>$L17-AQ17-AR17-AS17</f>
        <v>358000</v>
      </c>
      <c r="AU17" s="438"/>
      <c r="AV17" s="434"/>
      <c r="AW17" s="434"/>
      <c r="AX17" s="437">
        <f>$M17-AU17-AV17-AW17</f>
        <v>369000</v>
      </c>
      <c r="AY17" s="438"/>
      <c r="AZ17" s="434"/>
      <c r="BA17" s="434"/>
      <c r="BB17" s="437">
        <f>$N17-AY17-AZ17-BA17</f>
        <v>380000</v>
      </c>
      <c r="BC17" s="438"/>
      <c r="BD17" s="434"/>
      <c r="BE17" s="434"/>
      <c r="BF17" s="1131">
        <f t="shared" si="10"/>
        <v>391000</v>
      </c>
      <c r="BG17" s="438"/>
      <c r="BH17" s="434"/>
      <c r="BI17" s="434"/>
      <c r="BJ17" s="1131">
        <f t="shared" si="11"/>
        <v>400000</v>
      </c>
      <c r="BK17" s="438"/>
      <c r="BL17" s="434"/>
      <c r="BM17" s="434"/>
      <c r="BN17" s="1131">
        <f t="shared" si="27"/>
        <v>410000</v>
      </c>
      <c r="BO17" s="438"/>
      <c r="BP17" s="434"/>
      <c r="BQ17" s="434"/>
      <c r="BR17" s="1131">
        <f t="shared" si="28"/>
        <v>410000</v>
      </c>
      <c r="BS17" s="438"/>
      <c r="BT17" s="833">
        <v>1</v>
      </c>
      <c r="BU17" s="833">
        <f t="shared" ref="BU17" si="64">BT17</f>
        <v>1</v>
      </c>
      <c r="BV17" s="833">
        <f t="shared" ref="BV17" si="65">BU17</f>
        <v>1</v>
      </c>
      <c r="BW17" s="833">
        <f t="shared" ref="BW17" si="66">BV17</f>
        <v>1</v>
      </c>
      <c r="BX17" s="833">
        <f t="shared" ref="BX17" si="67">BW17</f>
        <v>1</v>
      </c>
      <c r="BY17" s="833">
        <f t="shared" ref="BY17" si="68">BX17</f>
        <v>1</v>
      </c>
      <c r="BZ17" s="833">
        <f t="shared" ref="BZ17" si="69">BY17</f>
        <v>1</v>
      </c>
      <c r="CA17" s="833">
        <f t="shared" ref="CA17" si="70">BZ17</f>
        <v>1</v>
      </c>
      <c r="CB17" s="833">
        <f t="shared" ref="CB17" si="71">CA17</f>
        <v>1</v>
      </c>
      <c r="CC17" s="833">
        <f t="shared" ref="CC17:CF17" si="72">CB17</f>
        <v>1</v>
      </c>
      <c r="CD17" s="833">
        <f t="shared" si="72"/>
        <v>1</v>
      </c>
      <c r="CE17" s="833">
        <f t="shared" si="72"/>
        <v>1</v>
      </c>
      <c r="CF17" s="833">
        <f t="shared" si="72"/>
        <v>1</v>
      </c>
      <c r="CG17" s="833"/>
      <c r="CH17" s="46">
        <f t="shared" si="13"/>
        <v>0</v>
      </c>
      <c r="CI17" s="46">
        <f t="shared" si="14"/>
        <v>0</v>
      </c>
      <c r="CJ17" s="46">
        <f t="shared" si="15"/>
        <v>0</v>
      </c>
      <c r="CK17" s="46">
        <f t="shared" si="16"/>
        <v>0</v>
      </c>
      <c r="CL17" s="46">
        <f t="shared" si="17"/>
        <v>338000</v>
      </c>
      <c r="CM17" s="46">
        <f t="shared" si="18"/>
        <v>348000</v>
      </c>
      <c r="CN17" s="46">
        <f t="shared" si="19"/>
        <v>358000</v>
      </c>
      <c r="CO17" s="46">
        <f t="shared" si="20"/>
        <v>369000</v>
      </c>
      <c r="CP17" s="46">
        <f t="shared" si="21"/>
        <v>380000</v>
      </c>
      <c r="CQ17" s="46">
        <f t="shared" si="22"/>
        <v>391000</v>
      </c>
      <c r="CR17" s="46">
        <f t="shared" si="23"/>
        <v>400000</v>
      </c>
      <c r="CS17" s="46">
        <f t="shared" si="24"/>
        <v>410000</v>
      </c>
      <c r="CT17" s="46">
        <f t="shared" si="25"/>
        <v>410000</v>
      </c>
    </row>
    <row r="18" spans="1:98" s="247" customFormat="1" ht="14.25" customHeight="1" x14ac:dyDescent="0.2">
      <c r="A18" s="673" t="s">
        <v>11820</v>
      </c>
      <c r="B18" s="920" t="s">
        <v>11821</v>
      </c>
      <c r="C18" s="920" t="s">
        <v>11822</v>
      </c>
      <c r="D18" s="920" t="s">
        <v>11822</v>
      </c>
      <c r="E18" s="611"/>
      <c r="F18" s="607"/>
      <c r="G18" s="668">
        <v>100</v>
      </c>
      <c r="H18" s="668"/>
      <c r="I18" s="668"/>
      <c r="J18" s="668"/>
      <c r="K18" s="668"/>
      <c r="L18" s="668"/>
      <c r="M18" s="668"/>
      <c r="N18" s="668"/>
      <c r="O18" s="608"/>
      <c r="P18" s="608"/>
      <c r="Q18" s="608"/>
      <c r="R18" s="1129"/>
      <c r="S18" s="438"/>
      <c r="T18" s="434"/>
      <c r="U18" s="434"/>
      <c r="V18" s="438"/>
      <c r="W18" s="439"/>
      <c r="X18" s="434"/>
      <c r="Y18" s="434"/>
      <c r="Z18" s="437">
        <f t="shared" si="3"/>
        <v>100</v>
      </c>
      <c r="AA18" s="439"/>
      <c r="AB18" s="434"/>
      <c r="AC18" s="434"/>
      <c r="AD18" s="437"/>
      <c r="AE18" s="439"/>
      <c r="AF18" s="434"/>
      <c r="AG18" s="434"/>
      <c r="AH18" s="435"/>
      <c r="AI18" s="438"/>
      <c r="AJ18" s="434"/>
      <c r="AK18" s="434"/>
      <c r="AL18" s="437"/>
      <c r="AM18" s="438"/>
      <c r="AN18" s="434"/>
      <c r="AO18" s="434"/>
      <c r="AP18" s="1128"/>
      <c r="AQ18" s="438"/>
      <c r="AR18" s="434"/>
      <c r="AS18" s="434"/>
      <c r="AT18" s="435"/>
      <c r="AU18" s="438"/>
      <c r="AV18" s="434"/>
      <c r="AW18" s="434"/>
      <c r="AX18" s="437"/>
      <c r="AY18" s="438"/>
      <c r="AZ18" s="434"/>
      <c r="BA18" s="434"/>
      <c r="BB18" s="437"/>
      <c r="BC18" s="438"/>
      <c r="BD18" s="434"/>
      <c r="BE18" s="434"/>
      <c r="BF18" s="1131"/>
      <c r="BG18" s="438"/>
      <c r="BH18" s="434"/>
      <c r="BI18" s="434"/>
      <c r="BJ18" s="1131"/>
      <c r="BK18" s="438"/>
      <c r="BL18" s="434"/>
      <c r="BM18" s="434"/>
      <c r="BN18" s="1131"/>
      <c r="BO18" s="438"/>
      <c r="BP18" s="434"/>
      <c r="BQ18" s="434"/>
      <c r="BR18" s="1131"/>
      <c r="BS18" s="438"/>
      <c r="BT18" s="833"/>
      <c r="BU18" s="833"/>
      <c r="BV18" s="833"/>
      <c r="BW18" s="833"/>
      <c r="BX18" s="833"/>
      <c r="BY18" s="833"/>
      <c r="BZ18" s="833"/>
      <c r="CA18" s="833"/>
      <c r="CB18" s="833"/>
      <c r="CC18" s="833"/>
      <c r="CD18" s="833"/>
      <c r="CE18" s="833"/>
      <c r="CF18" s="833"/>
      <c r="CG18" s="833"/>
      <c r="CH18" s="46"/>
      <c r="CI18" s="46"/>
      <c r="CJ18" s="46"/>
      <c r="CK18" s="46"/>
      <c r="CL18" s="46"/>
      <c r="CM18" s="46"/>
      <c r="CN18" s="46"/>
      <c r="CO18" s="46"/>
      <c r="CP18" s="46"/>
      <c r="CQ18" s="46"/>
      <c r="CR18" s="46"/>
      <c r="CS18" s="46"/>
      <c r="CT18" s="46"/>
    </row>
    <row r="19" spans="1:98" s="247" customFormat="1" ht="14.25" customHeight="1" x14ac:dyDescent="0.2">
      <c r="A19" s="673" t="s">
        <v>5981</v>
      </c>
      <c r="B19" s="920" t="s">
        <v>7168</v>
      </c>
      <c r="C19" s="920" t="s">
        <v>7169</v>
      </c>
      <c r="D19" s="920" t="s">
        <v>7169</v>
      </c>
      <c r="E19" s="611"/>
      <c r="F19" s="607"/>
      <c r="G19" s="668"/>
      <c r="H19" s="668">
        <v>20000</v>
      </c>
      <c r="I19" s="668"/>
      <c r="J19" s="668"/>
      <c r="K19" s="668"/>
      <c r="L19" s="668"/>
      <c r="M19" s="668"/>
      <c r="N19" s="668"/>
      <c r="O19" s="608"/>
      <c r="P19" s="608"/>
      <c r="Q19" s="608"/>
      <c r="R19" s="1129"/>
      <c r="S19" s="438"/>
      <c r="T19" s="434"/>
      <c r="U19" s="434"/>
      <c r="V19" s="438"/>
      <c r="W19" s="439"/>
      <c r="X19" s="434"/>
      <c r="Y19" s="434"/>
      <c r="Z19" s="437">
        <f t="shared" si="3"/>
        <v>0</v>
      </c>
      <c r="AA19" s="439"/>
      <c r="AB19" s="434"/>
      <c r="AC19" s="434"/>
      <c r="AD19" s="437">
        <f t="shared" si="26"/>
        <v>20000</v>
      </c>
      <c r="AE19" s="439"/>
      <c r="AF19" s="434"/>
      <c r="AG19" s="434"/>
      <c r="AH19" s="435">
        <f t="shared" si="4"/>
        <v>0</v>
      </c>
      <c r="AI19" s="438"/>
      <c r="AJ19" s="434"/>
      <c r="AK19" s="434"/>
      <c r="AL19" s="437">
        <f t="shared" si="5"/>
        <v>0</v>
      </c>
      <c r="AM19" s="438"/>
      <c r="AN19" s="434"/>
      <c r="AO19" s="434"/>
      <c r="AP19" s="1128">
        <f t="shared" si="6"/>
        <v>0</v>
      </c>
      <c r="AQ19" s="438"/>
      <c r="AR19" s="434"/>
      <c r="AS19" s="434"/>
      <c r="AT19" s="435">
        <f>$L19-AQ19-AR19-AS19</f>
        <v>0</v>
      </c>
      <c r="AU19" s="438"/>
      <c r="AV19" s="434"/>
      <c r="AW19" s="434"/>
      <c r="AX19" s="437">
        <f>$M19-AU19-AV19-AW19</f>
        <v>0</v>
      </c>
      <c r="AY19" s="438"/>
      <c r="AZ19" s="434"/>
      <c r="BA19" s="434"/>
      <c r="BB19" s="437">
        <f>$N19-AY19-AZ19-BA19</f>
        <v>0</v>
      </c>
      <c r="BC19" s="438"/>
      <c r="BD19" s="434"/>
      <c r="BE19" s="434"/>
      <c r="BF19" s="1131">
        <f t="shared" si="10"/>
        <v>0</v>
      </c>
      <c r="BG19" s="438"/>
      <c r="BH19" s="434"/>
      <c r="BI19" s="434"/>
      <c r="BJ19" s="1131">
        <f t="shared" si="11"/>
        <v>0</v>
      </c>
      <c r="BK19" s="438"/>
      <c r="BL19" s="434"/>
      <c r="BM19" s="434"/>
      <c r="BN19" s="1131">
        <f t="shared" si="27"/>
        <v>0</v>
      </c>
      <c r="BO19" s="438"/>
      <c r="BP19" s="434"/>
      <c r="BQ19" s="434"/>
      <c r="BR19" s="1131">
        <f t="shared" si="28"/>
        <v>0</v>
      </c>
      <c r="BS19" s="438"/>
      <c r="BT19" s="833">
        <v>1</v>
      </c>
      <c r="BU19" s="833">
        <f t="shared" ref="BU19" si="73">BT19</f>
        <v>1</v>
      </c>
      <c r="BV19" s="833">
        <f t="shared" ref="BV19" si="74">BU19</f>
        <v>1</v>
      </c>
      <c r="BW19" s="833">
        <f t="shared" ref="BW19" si="75">BV19</f>
        <v>1</v>
      </c>
      <c r="BX19" s="833">
        <f t="shared" ref="BX19" si="76">BW19</f>
        <v>1</v>
      </c>
      <c r="BY19" s="833">
        <f t="shared" ref="BY19" si="77">BX19</f>
        <v>1</v>
      </c>
      <c r="BZ19" s="833">
        <f t="shared" ref="BZ19" si="78">BY19</f>
        <v>1</v>
      </c>
      <c r="CA19" s="833">
        <f t="shared" ref="CA19" si="79">BZ19</f>
        <v>1</v>
      </c>
      <c r="CB19" s="833">
        <f t="shared" ref="CB19" si="80">CA19</f>
        <v>1</v>
      </c>
      <c r="CC19" s="833">
        <f t="shared" ref="CC19" si="81">CB19</f>
        <v>1</v>
      </c>
      <c r="CD19" s="833">
        <f t="shared" ref="CD19:CF19" si="82">CC19</f>
        <v>1</v>
      </c>
      <c r="CE19" s="833">
        <f t="shared" si="82"/>
        <v>1</v>
      </c>
      <c r="CF19" s="833">
        <f t="shared" si="82"/>
        <v>1</v>
      </c>
      <c r="CG19" s="833"/>
      <c r="CH19" s="46">
        <f t="shared" si="13"/>
        <v>0</v>
      </c>
      <c r="CI19" s="46">
        <f t="shared" si="14"/>
        <v>0</v>
      </c>
      <c r="CJ19" s="46">
        <f t="shared" si="15"/>
        <v>20000</v>
      </c>
      <c r="CK19" s="46">
        <f t="shared" si="16"/>
        <v>0</v>
      </c>
      <c r="CL19" s="46">
        <f t="shared" si="17"/>
        <v>0</v>
      </c>
      <c r="CM19" s="46">
        <f t="shared" si="18"/>
        <v>0</v>
      </c>
      <c r="CN19" s="46">
        <f t="shared" si="19"/>
        <v>0</v>
      </c>
      <c r="CO19" s="46">
        <f t="shared" si="20"/>
        <v>0</v>
      </c>
      <c r="CP19" s="46">
        <f t="shared" si="21"/>
        <v>0</v>
      </c>
      <c r="CQ19" s="46">
        <f t="shared" si="22"/>
        <v>0</v>
      </c>
      <c r="CR19" s="46">
        <f t="shared" si="23"/>
        <v>0</v>
      </c>
      <c r="CS19" s="46">
        <f t="shared" ref="CS19:CT23" si="83">ROUND(CE19*Q19,-3)</f>
        <v>0</v>
      </c>
      <c r="CT19" s="46">
        <f t="shared" si="83"/>
        <v>0</v>
      </c>
    </row>
    <row r="20" spans="1:98" s="247" customFormat="1" ht="14.25" customHeight="1" x14ac:dyDescent="0.2">
      <c r="A20" s="673" t="s">
        <v>7005</v>
      </c>
      <c r="B20" s="920" t="s">
        <v>7170</v>
      </c>
      <c r="C20" s="920" t="s">
        <v>7171</v>
      </c>
      <c r="D20" s="920" t="s">
        <v>7171</v>
      </c>
      <c r="E20" s="611"/>
      <c r="F20" s="607"/>
      <c r="G20" s="668"/>
      <c r="H20" s="668">
        <v>200000</v>
      </c>
      <c r="I20" s="668"/>
      <c r="J20" s="668"/>
      <c r="K20" s="668"/>
      <c r="L20" s="668"/>
      <c r="M20" s="668"/>
      <c r="N20" s="668"/>
      <c r="O20" s="608"/>
      <c r="P20" s="608"/>
      <c r="Q20" s="608"/>
      <c r="R20" s="1129"/>
      <c r="S20" s="438"/>
      <c r="T20" s="434"/>
      <c r="U20" s="434"/>
      <c r="V20" s="438"/>
      <c r="W20" s="439"/>
      <c r="X20" s="434"/>
      <c r="Y20" s="434"/>
      <c r="Z20" s="437">
        <f t="shared" si="3"/>
        <v>0</v>
      </c>
      <c r="AA20" s="439"/>
      <c r="AB20" s="434"/>
      <c r="AC20" s="434"/>
      <c r="AD20" s="437">
        <f t="shared" ref="AD20:AD23" si="84">$H20-AA20-AB20-AC20</f>
        <v>200000</v>
      </c>
      <c r="AE20" s="439"/>
      <c r="AF20" s="434"/>
      <c r="AG20" s="434"/>
      <c r="AH20" s="435">
        <f t="shared" ref="AH20:AH23" si="85">$I20-AE20-AF20-AG20</f>
        <v>0</v>
      </c>
      <c r="AI20" s="438"/>
      <c r="AJ20" s="434"/>
      <c r="AK20" s="434"/>
      <c r="AL20" s="437">
        <f t="shared" ref="AL20:AL23" si="86">$J20-AI20-AJ20-AK20</f>
        <v>0</v>
      </c>
      <c r="AM20" s="438"/>
      <c r="AN20" s="434"/>
      <c r="AO20" s="434"/>
      <c r="AP20" s="1128">
        <f t="shared" ref="AP20:AP23" si="87">$K20-AM20-AN20-AO20</f>
        <v>0</v>
      </c>
      <c r="AQ20" s="438"/>
      <c r="AR20" s="434"/>
      <c r="AS20" s="434"/>
      <c r="AT20" s="435">
        <f t="shared" ref="AT20:AT23" si="88">$L20-AQ20-AR20-AS20</f>
        <v>0</v>
      </c>
      <c r="AU20" s="438"/>
      <c r="AV20" s="434"/>
      <c r="AW20" s="434"/>
      <c r="AX20" s="437">
        <f t="shared" ref="AX20:AX23" si="89">$M20-AU20-AV20-AW20</f>
        <v>0</v>
      </c>
      <c r="AY20" s="438"/>
      <c r="AZ20" s="434"/>
      <c r="BA20" s="434"/>
      <c r="BB20" s="437">
        <f t="shared" ref="BB20:BB23" si="90">$N20-AY20-AZ20-BA20</f>
        <v>0</v>
      </c>
      <c r="BC20" s="438"/>
      <c r="BD20" s="434"/>
      <c r="BE20" s="434"/>
      <c r="BF20" s="1131">
        <f t="shared" ref="BF20:BF23" si="91">$O20-BC20-BD20-BE20</f>
        <v>0</v>
      </c>
      <c r="BG20" s="438"/>
      <c r="BH20" s="434"/>
      <c r="BI20" s="434"/>
      <c r="BJ20" s="1131">
        <f t="shared" ref="BJ20:BJ23" si="92">$P20-BG20-BH20-BI20</f>
        <v>0</v>
      </c>
      <c r="BK20" s="438"/>
      <c r="BL20" s="434"/>
      <c r="BM20" s="434"/>
      <c r="BN20" s="1131">
        <f t="shared" ref="BN20:BN23" si="93">$Q20-BK20-BL20-BM20</f>
        <v>0</v>
      </c>
      <c r="BO20" s="438"/>
      <c r="BP20" s="434"/>
      <c r="BQ20" s="434"/>
      <c r="BR20" s="1131">
        <f t="shared" si="28"/>
        <v>0</v>
      </c>
      <c r="BS20" s="438"/>
      <c r="BT20" s="833">
        <v>1</v>
      </c>
      <c r="BU20" s="833">
        <f t="shared" ref="BU20:BU23" si="94">BT20</f>
        <v>1</v>
      </c>
      <c r="BV20" s="833">
        <f t="shared" ref="BV20:BV23" si="95">BU20</f>
        <v>1</v>
      </c>
      <c r="BW20" s="833">
        <f t="shared" ref="BW20:BW23" si="96">BV20</f>
        <v>1</v>
      </c>
      <c r="BX20" s="833">
        <f t="shared" ref="BX20:BX23" si="97">BW20</f>
        <v>1</v>
      </c>
      <c r="BY20" s="833">
        <f t="shared" ref="BY20:BY23" si="98">BX20</f>
        <v>1</v>
      </c>
      <c r="BZ20" s="833">
        <f t="shared" ref="BZ20:BZ23" si="99">BY20</f>
        <v>1</v>
      </c>
      <c r="CA20" s="833">
        <f t="shared" ref="CA20:CA23" si="100">BZ20</f>
        <v>1</v>
      </c>
      <c r="CB20" s="833">
        <f t="shared" ref="CB20:CB23" si="101">CA20</f>
        <v>1</v>
      </c>
      <c r="CC20" s="833">
        <f t="shared" ref="CC20:CC23" si="102">CB20</f>
        <v>1</v>
      </c>
      <c r="CD20" s="833">
        <f t="shared" ref="CD20:CD23" si="103">CC20</f>
        <v>1</v>
      </c>
      <c r="CE20" s="833">
        <f t="shared" ref="CE20:CF23" si="104">CD20</f>
        <v>1</v>
      </c>
      <c r="CF20" s="833">
        <f t="shared" si="104"/>
        <v>1</v>
      </c>
      <c r="CG20" s="833"/>
      <c r="CH20" s="46">
        <f t="shared" ref="CH20:CH23" si="105">ROUND(BT20*F20,-3)</f>
        <v>0</v>
      </c>
      <c r="CI20" s="46">
        <f t="shared" ref="CI20:CI23" si="106">ROUND(BU20*G20,-3)</f>
        <v>0</v>
      </c>
      <c r="CJ20" s="46">
        <f t="shared" ref="CJ20:CJ23" si="107">ROUND(BV20*H20,-3)</f>
        <v>200000</v>
      </c>
      <c r="CK20" s="46">
        <f t="shared" ref="CK20:CK23" si="108">ROUND(BW20*I20,-3)</f>
        <v>0</v>
      </c>
      <c r="CL20" s="46">
        <f t="shared" ref="CL20:CL23" si="109">ROUND(BX20*J20,-3)</f>
        <v>0</v>
      </c>
      <c r="CM20" s="46">
        <f t="shared" ref="CM20:CM23" si="110">ROUND(BY20*K20,-3)</f>
        <v>0</v>
      </c>
      <c r="CN20" s="46">
        <f t="shared" ref="CN20:CN23" si="111">ROUND(BZ20*L20,-3)</f>
        <v>0</v>
      </c>
      <c r="CO20" s="46">
        <f t="shared" ref="CO20:CO23" si="112">ROUND(CA20*M20,-3)</f>
        <v>0</v>
      </c>
      <c r="CP20" s="46">
        <f t="shared" ref="CP20:CP23" si="113">ROUND(CB20*N20,-3)</f>
        <v>0</v>
      </c>
      <c r="CQ20" s="46">
        <f t="shared" ref="CQ20:CQ23" si="114">ROUND(CC20*O20,-3)</f>
        <v>0</v>
      </c>
      <c r="CR20" s="46">
        <f t="shared" ref="CR20:CR23" si="115">ROUND(CD20*P20,-3)</f>
        <v>0</v>
      </c>
      <c r="CS20" s="46">
        <f t="shared" si="83"/>
        <v>0</v>
      </c>
      <c r="CT20" s="46">
        <f t="shared" si="83"/>
        <v>0</v>
      </c>
    </row>
    <row r="21" spans="1:98" s="247" customFormat="1" ht="14.25" customHeight="1" x14ac:dyDescent="0.2">
      <c r="A21" s="673" t="s">
        <v>6987</v>
      </c>
      <c r="B21" s="920" t="s">
        <v>7172</v>
      </c>
      <c r="C21" s="920" t="s">
        <v>7173</v>
      </c>
      <c r="D21" s="920" t="s">
        <v>7173</v>
      </c>
      <c r="E21" s="611"/>
      <c r="F21" s="607"/>
      <c r="G21" s="668"/>
      <c r="H21" s="668">
        <f>500000+187000</f>
        <v>687000</v>
      </c>
      <c r="I21" s="668"/>
      <c r="J21" s="668"/>
      <c r="K21" s="668"/>
      <c r="L21" s="668"/>
      <c r="M21" s="668"/>
      <c r="N21" s="668"/>
      <c r="O21" s="608"/>
      <c r="P21" s="608"/>
      <c r="Q21" s="608"/>
      <c r="R21" s="1129"/>
      <c r="S21" s="438"/>
      <c r="T21" s="434"/>
      <c r="U21" s="434"/>
      <c r="V21" s="438"/>
      <c r="W21" s="439"/>
      <c r="X21" s="434"/>
      <c r="Y21" s="434"/>
      <c r="Z21" s="437">
        <f t="shared" si="3"/>
        <v>0</v>
      </c>
      <c r="AA21" s="439"/>
      <c r="AB21" s="434"/>
      <c r="AC21" s="434"/>
      <c r="AD21" s="437">
        <f t="shared" si="84"/>
        <v>687000</v>
      </c>
      <c r="AE21" s="439"/>
      <c r="AF21" s="434"/>
      <c r="AG21" s="434"/>
      <c r="AH21" s="435">
        <f t="shared" si="85"/>
        <v>0</v>
      </c>
      <c r="AI21" s="438"/>
      <c r="AJ21" s="434"/>
      <c r="AK21" s="434"/>
      <c r="AL21" s="437">
        <f t="shared" si="86"/>
        <v>0</v>
      </c>
      <c r="AM21" s="438"/>
      <c r="AN21" s="434"/>
      <c r="AO21" s="434"/>
      <c r="AP21" s="1128">
        <f t="shared" si="87"/>
        <v>0</v>
      </c>
      <c r="AQ21" s="438"/>
      <c r="AR21" s="434"/>
      <c r="AS21" s="434"/>
      <c r="AT21" s="435">
        <f t="shared" si="88"/>
        <v>0</v>
      </c>
      <c r="AU21" s="438"/>
      <c r="AV21" s="434"/>
      <c r="AW21" s="434"/>
      <c r="AX21" s="437">
        <f t="shared" si="89"/>
        <v>0</v>
      </c>
      <c r="AY21" s="438"/>
      <c r="AZ21" s="434"/>
      <c r="BA21" s="434"/>
      <c r="BB21" s="437">
        <f t="shared" si="90"/>
        <v>0</v>
      </c>
      <c r="BC21" s="438"/>
      <c r="BD21" s="434"/>
      <c r="BE21" s="434"/>
      <c r="BF21" s="1131">
        <f t="shared" si="91"/>
        <v>0</v>
      </c>
      <c r="BG21" s="438"/>
      <c r="BH21" s="434"/>
      <c r="BI21" s="434"/>
      <c r="BJ21" s="1131">
        <f t="shared" si="92"/>
        <v>0</v>
      </c>
      <c r="BK21" s="438"/>
      <c r="BL21" s="434"/>
      <c r="BM21" s="434"/>
      <c r="BN21" s="1131">
        <f t="shared" si="93"/>
        <v>0</v>
      </c>
      <c r="BO21" s="438"/>
      <c r="BP21" s="434"/>
      <c r="BQ21" s="434"/>
      <c r="BR21" s="1131">
        <f t="shared" si="28"/>
        <v>0</v>
      </c>
      <c r="BS21" s="438"/>
      <c r="BT21" s="833">
        <v>1</v>
      </c>
      <c r="BU21" s="833">
        <f t="shared" si="94"/>
        <v>1</v>
      </c>
      <c r="BV21" s="833">
        <f t="shared" si="95"/>
        <v>1</v>
      </c>
      <c r="BW21" s="833">
        <f t="shared" si="96"/>
        <v>1</v>
      </c>
      <c r="BX21" s="833">
        <f t="shared" si="97"/>
        <v>1</v>
      </c>
      <c r="BY21" s="833">
        <f t="shared" si="98"/>
        <v>1</v>
      </c>
      <c r="BZ21" s="833">
        <f t="shared" si="99"/>
        <v>1</v>
      </c>
      <c r="CA21" s="833">
        <f t="shared" si="100"/>
        <v>1</v>
      </c>
      <c r="CB21" s="833">
        <f t="shared" si="101"/>
        <v>1</v>
      </c>
      <c r="CC21" s="833">
        <f t="shared" si="102"/>
        <v>1</v>
      </c>
      <c r="CD21" s="833">
        <f t="shared" si="103"/>
        <v>1</v>
      </c>
      <c r="CE21" s="833">
        <f t="shared" si="104"/>
        <v>1</v>
      </c>
      <c r="CF21" s="833">
        <f t="shared" si="104"/>
        <v>1</v>
      </c>
      <c r="CG21" s="833"/>
      <c r="CH21" s="46">
        <f t="shared" si="105"/>
        <v>0</v>
      </c>
      <c r="CI21" s="46">
        <f t="shared" si="106"/>
        <v>0</v>
      </c>
      <c r="CJ21" s="46">
        <f t="shared" si="107"/>
        <v>687000</v>
      </c>
      <c r="CK21" s="46">
        <f t="shared" si="108"/>
        <v>0</v>
      </c>
      <c r="CL21" s="46">
        <f t="shared" si="109"/>
        <v>0</v>
      </c>
      <c r="CM21" s="46">
        <f t="shared" si="110"/>
        <v>0</v>
      </c>
      <c r="CN21" s="46">
        <f t="shared" si="111"/>
        <v>0</v>
      </c>
      <c r="CO21" s="46">
        <f t="shared" si="112"/>
        <v>0</v>
      </c>
      <c r="CP21" s="46">
        <f t="shared" si="113"/>
        <v>0</v>
      </c>
      <c r="CQ21" s="46">
        <f t="shared" si="114"/>
        <v>0</v>
      </c>
      <c r="CR21" s="46">
        <f t="shared" si="115"/>
        <v>0</v>
      </c>
      <c r="CS21" s="46">
        <f t="shared" si="83"/>
        <v>0</v>
      </c>
      <c r="CT21" s="46">
        <f t="shared" si="83"/>
        <v>0</v>
      </c>
    </row>
    <row r="22" spans="1:98" s="247" customFormat="1" ht="14.25" customHeight="1" x14ac:dyDescent="0.2">
      <c r="A22" s="673" t="s">
        <v>6935</v>
      </c>
      <c r="B22" s="920" t="s">
        <v>7175</v>
      </c>
      <c r="C22" s="920" t="s">
        <v>7174</v>
      </c>
      <c r="D22" s="920" t="s">
        <v>7174</v>
      </c>
      <c r="E22" s="611"/>
      <c r="F22" s="607"/>
      <c r="G22" s="668"/>
      <c r="H22" s="668">
        <v>195000</v>
      </c>
      <c r="I22" s="668"/>
      <c r="J22" s="668"/>
      <c r="K22" s="668"/>
      <c r="L22" s="668"/>
      <c r="M22" s="668"/>
      <c r="N22" s="668"/>
      <c r="O22" s="608"/>
      <c r="P22" s="608"/>
      <c r="Q22" s="608"/>
      <c r="R22" s="1129"/>
      <c r="S22" s="438"/>
      <c r="T22" s="434"/>
      <c r="U22" s="434"/>
      <c r="V22" s="438"/>
      <c r="W22" s="439"/>
      <c r="X22" s="434"/>
      <c r="Y22" s="434"/>
      <c r="Z22" s="437">
        <f t="shared" si="3"/>
        <v>0</v>
      </c>
      <c r="AA22" s="439"/>
      <c r="AB22" s="434"/>
      <c r="AC22" s="434"/>
      <c r="AD22" s="437">
        <f t="shared" si="84"/>
        <v>195000</v>
      </c>
      <c r="AE22" s="439"/>
      <c r="AF22" s="434"/>
      <c r="AG22" s="434"/>
      <c r="AH22" s="435">
        <f t="shared" si="85"/>
        <v>0</v>
      </c>
      <c r="AI22" s="438"/>
      <c r="AJ22" s="434"/>
      <c r="AK22" s="434"/>
      <c r="AL22" s="437">
        <f t="shared" si="86"/>
        <v>0</v>
      </c>
      <c r="AM22" s="438"/>
      <c r="AN22" s="434"/>
      <c r="AO22" s="434"/>
      <c r="AP22" s="1128">
        <f t="shared" si="87"/>
        <v>0</v>
      </c>
      <c r="AQ22" s="438"/>
      <c r="AR22" s="434"/>
      <c r="AS22" s="434"/>
      <c r="AT22" s="435">
        <f t="shared" si="88"/>
        <v>0</v>
      </c>
      <c r="AU22" s="438"/>
      <c r="AV22" s="434"/>
      <c r="AW22" s="434"/>
      <c r="AX22" s="437">
        <f t="shared" si="89"/>
        <v>0</v>
      </c>
      <c r="AY22" s="438"/>
      <c r="AZ22" s="434"/>
      <c r="BA22" s="434"/>
      <c r="BB22" s="437">
        <f t="shared" si="90"/>
        <v>0</v>
      </c>
      <c r="BC22" s="438"/>
      <c r="BD22" s="434"/>
      <c r="BE22" s="434"/>
      <c r="BF22" s="1131">
        <f t="shared" si="91"/>
        <v>0</v>
      </c>
      <c r="BG22" s="438"/>
      <c r="BH22" s="434"/>
      <c r="BI22" s="434"/>
      <c r="BJ22" s="1131">
        <f t="shared" si="92"/>
        <v>0</v>
      </c>
      <c r="BK22" s="438"/>
      <c r="BL22" s="434"/>
      <c r="BM22" s="434"/>
      <c r="BN22" s="1131">
        <f t="shared" si="93"/>
        <v>0</v>
      </c>
      <c r="BO22" s="438"/>
      <c r="BP22" s="434"/>
      <c r="BQ22" s="434"/>
      <c r="BR22" s="1131">
        <f t="shared" si="28"/>
        <v>0</v>
      </c>
      <c r="BS22" s="438"/>
      <c r="BT22" s="833">
        <v>1</v>
      </c>
      <c r="BU22" s="833">
        <f t="shared" si="94"/>
        <v>1</v>
      </c>
      <c r="BV22" s="833">
        <f t="shared" si="95"/>
        <v>1</v>
      </c>
      <c r="BW22" s="833">
        <f t="shared" si="96"/>
        <v>1</v>
      </c>
      <c r="BX22" s="833">
        <f t="shared" si="97"/>
        <v>1</v>
      </c>
      <c r="BY22" s="833">
        <f t="shared" si="98"/>
        <v>1</v>
      </c>
      <c r="BZ22" s="833">
        <f t="shared" si="99"/>
        <v>1</v>
      </c>
      <c r="CA22" s="833">
        <f t="shared" si="100"/>
        <v>1</v>
      </c>
      <c r="CB22" s="833">
        <f t="shared" si="101"/>
        <v>1</v>
      </c>
      <c r="CC22" s="833">
        <f t="shared" si="102"/>
        <v>1</v>
      </c>
      <c r="CD22" s="833">
        <f t="shared" si="103"/>
        <v>1</v>
      </c>
      <c r="CE22" s="833">
        <f t="shared" si="104"/>
        <v>1</v>
      </c>
      <c r="CF22" s="833">
        <f t="shared" si="104"/>
        <v>1</v>
      </c>
      <c r="CG22" s="833"/>
      <c r="CH22" s="46">
        <f t="shared" si="105"/>
        <v>0</v>
      </c>
      <c r="CI22" s="46">
        <f t="shared" si="106"/>
        <v>0</v>
      </c>
      <c r="CJ22" s="46">
        <f t="shared" si="107"/>
        <v>195000</v>
      </c>
      <c r="CK22" s="46">
        <f t="shared" si="108"/>
        <v>0</v>
      </c>
      <c r="CL22" s="46">
        <f t="shared" si="109"/>
        <v>0</v>
      </c>
      <c r="CM22" s="46">
        <f t="shared" si="110"/>
        <v>0</v>
      </c>
      <c r="CN22" s="46">
        <f t="shared" si="111"/>
        <v>0</v>
      </c>
      <c r="CO22" s="46">
        <f t="shared" si="112"/>
        <v>0</v>
      </c>
      <c r="CP22" s="46">
        <f t="shared" si="113"/>
        <v>0</v>
      </c>
      <c r="CQ22" s="46">
        <f t="shared" si="114"/>
        <v>0</v>
      </c>
      <c r="CR22" s="46">
        <f t="shared" si="115"/>
        <v>0</v>
      </c>
      <c r="CS22" s="46">
        <f t="shared" si="83"/>
        <v>0</v>
      </c>
      <c r="CT22" s="46">
        <f t="shared" si="83"/>
        <v>0</v>
      </c>
    </row>
    <row r="23" spans="1:98" s="247" customFormat="1" ht="14.25" customHeight="1" x14ac:dyDescent="0.2">
      <c r="A23" s="673" t="s">
        <v>6936</v>
      </c>
      <c r="B23" s="920" t="s">
        <v>7176</v>
      </c>
      <c r="C23" s="920" t="s">
        <v>7177</v>
      </c>
      <c r="D23" s="920" t="s">
        <v>7177</v>
      </c>
      <c r="E23" s="611"/>
      <c r="F23" s="607"/>
      <c r="G23" s="668"/>
      <c r="H23" s="668">
        <v>100000</v>
      </c>
      <c r="I23" s="668"/>
      <c r="J23" s="668"/>
      <c r="K23" s="668"/>
      <c r="L23" s="668"/>
      <c r="M23" s="668"/>
      <c r="N23" s="668"/>
      <c r="O23" s="608"/>
      <c r="P23" s="608"/>
      <c r="Q23" s="608"/>
      <c r="R23" s="1129"/>
      <c r="S23" s="438"/>
      <c r="T23" s="434"/>
      <c r="U23" s="434"/>
      <c r="V23" s="438"/>
      <c r="W23" s="439"/>
      <c r="X23" s="434"/>
      <c r="Y23" s="434"/>
      <c r="Z23" s="437">
        <f t="shared" si="3"/>
        <v>0</v>
      </c>
      <c r="AA23" s="439"/>
      <c r="AB23" s="434"/>
      <c r="AC23" s="434"/>
      <c r="AD23" s="437">
        <f t="shared" si="84"/>
        <v>100000</v>
      </c>
      <c r="AE23" s="439"/>
      <c r="AF23" s="434"/>
      <c r="AG23" s="434"/>
      <c r="AH23" s="435">
        <f t="shared" si="85"/>
        <v>0</v>
      </c>
      <c r="AI23" s="438"/>
      <c r="AJ23" s="434"/>
      <c r="AK23" s="434"/>
      <c r="AL23" s="437">
        <f t="shared" si="86"/>
        <v>0</v>
      </c>
      <c r="AM23" s="438"/>
      <c r="AN23" s="434"/>
      <c r="AO23" s="434"/>
      <c r="AP23" s="1128">
        <f t="shared" si="87"/>
        <v>0</v>
      </c>
      <c r="AQ23" s="438"/>
      <c r="AR23" s="434"/>
      <c r="AS23" s="434"/>
      <c r="AT23" s="435">
        <f t="shared" si="88"/>
        <v>0</v>
      </c>
      <c r="AU23" s="438"/>
      <c r="AV23" s="434"/>
      <c r="AW23" s="434"/>
      <c r="AX23" s="437">
        <f t="shared" si="89"/>
        <v>0</v>
      </c>
      <c r="AY23" s="438"/>
      <c r="AZ23" s="434"/>
      <c r="BA23" s="434"/>
      <c r="BB23" s="437">
        <f t="shared" si="90"/>
        <v>0</v>
      </c>
      <c r="BC23" s="438"/>
      <c r="BD23" s="434"/>
      <c r="BE23" s="434"/>
      <c r="BF23" s="1131">
        <f t="shared" si="91"/>
        <v>0</v>
      </c>
      <c r="BG23" s="438"/>
      <c r="BH23" s="434"/>
      <c r="BI23" s="434"/>
      <c r="BJ23" s="1131">
        <f t="shared" si="92"/>
        <v>0</v>
      </c>
      <c r="BK23" s="438"/>
      <c r="BL23" s="434"/>
      <c r="BM23" s="434"/>
      <c r="BN23" s="1131">
        <f t="shared" si="93"/>
        <v>0</v>
      </c>
      <c r="BO23" s="438"/>
      <c r="BP23" s="434"/>
      <c r="BQ23" s="434"/>
      <c r="BR23" s="1131">
        <f t="shared" si="28"/>
        <v>0</v>
      </c>
      <c r="BS23" s="438"/>
      <c r="BT23" s="833">
        <v>1</v>
      </c>
      <c r="BU23" s="833">
        <f t="shared" si="94"/>
        <v>1</v>
      </c>
      <c r="BV23" s="833">
        <f t="shared" si="95"/>
        <v>1</v>
      </c>
      <c r="BW23" s="833">
        <f t="shared" si="96"/>
        <v>1</v>
      </c>
      <c r="BX23" s="833">
        <f t="shared" si="97"/>
        <v>1</v>
      </c>
      <c r="BY23" s="833">
        <f t="shared" si="98"/>
        <v>1</v>
      </c>
      <c r="BZ23" s="833">
        <f t="shared" si="99"/>
        <v>1</v>
      </c>
      <c r="CA23" s="833">
        <f t="shared" si="100"/>
        <v>1</v>
      </c>
      <c r="CB23" s="833">
        <f t="shared" si="101"/>
        <v>1</v>
      </c>
      <c r="CC23" s="833">
        <f t="shared" si="102"/>
        <v>1</v>
      </c>
      <c r="CD23" s="833">
        <f t="shared" si="103"/>
        <v>1</v>
      </c>
      <c r="CE23" s="833">
        <f t="shared" si="104"/>
        <v>1</v>
      </c>
      <c r="CF23" s="833">
        <f t="shared" si="104"/>
        <v>1</v>
      </c>
      <c r="CG23" s="833"/>
      <c r="CH23" s="46">
        <f t="shared" si="105"/>
        <v>0</v>
      </c>
      <c r="CI23" s="46">
        <f t="shared" si="106"/>
        <v>0</v>
      </c>
      <c r="CJ23" s="46">
        <f t="shared" si="107"/>
        <v>100000</v>
      </c>
      <c r="CK23" s="46">
        <f t="shared" si="108"/>
        <v>0</v>
      </c>
      <c r="CL23" s="46">
        <f t="shared" si="109"/>
        <v>0</v>
      </c>
      <c r="CM23" s="46">
        <f t="shared" si="110"/>
        <v>0</v>
      </c>
      <c r="CN23" s="46">
        <f t="shared" si="111"/>
        <v>0</v>
      </c>
      <c r="CO23" s="46">
        <f t="shared" si="112"/>
        <v>0</v>
      </c>
      <c r="CP23" s="46">
        <f t="shared" si="113"/>
        <v>0</v>
      </c>
      <c r="CQ23" s="46">
        <f t="shared" si="114"/>
        <v>0</v>
      </c>
      <c r="CR23" s="46">
        <f t="shared" si="115"/>
        <v>0</v>
      </c>
      <c r="CS23" s="46">
        <f t="shared" si="83"/>
        <v>0</v>
      </c>
      <c r="CT23" s="46">
        <f t="shared" si="83"/>
        <v>0</v>
      </c>
    </row>
    <row r="24" spans="1:98" s="246" customFormat="1" ht="15" customHeight="1" x14ac:dyDescent="0.2">
      <c r="A24" s="933"/>
      <c r="B24" s="194"/>
      <c r="C24" s="194"/>
      <c r="D24" s="194"/>
      <c r="E24" s="1100"/>
      <c r="F24" s="1584"/>
      <c r="G24" s="1101"/>
      <c r="H24" s="1101"/>
      <c r="I24" s="1101"/>
      <c r="J24" s="1101"/>
      <c r="K24" s="1101"/>
      <c r="L24" s="1101"/>
      <c r="M24" s="1101"/>
      <c r="N24" s="1101"/>
      <c r="O24" s="1259"/>
      <c r="P24" s="1259"/>
      <c r="Q24" s="1259"/>
      <c r="R24" s="1656"/>
      <c r="S24" s="194"/>
      <c r="T24" s="210"/>
      <c r="U24" s="210"/>
      <c r="V24" s="194"/>
      <c r="W24" s="1659"/>
      <c r="X24" s="210"/>
      <c r="Y24" s="210"/>
      <c r="Z24" s="437">
        <f t="shared" si="3"/>
        <v>0</v>
      </c>
      <c r="AA24" s="1659"/>
      <c r="AB24" s="210"/>
      <c r="AC24" s="210"/>
      <c r="AD24" s="195"/>
      <c r="AE24" s="1659"/>
      <c r="AF24" s="210"/>
      <c r="AG24" s="210"/>
      <c r="AH24" s="195"/>
      <c r="AI24" s="194"/>
      <c r="AJ24" s="210"/>
      <c r="AK24" s="210"/>
      <c r="AL24" s="195"/>
      <c r="AM24" s="194"/>
      <c r="AN24" s="210"/>
      <c r="AO24" s="210"/>
      <c r="AP24" s="318"/>
      <c r="AQ24" s="194"/>
      <c r="AR24" s="210"/>
      <c r="AS24" s="210"/>
      <c r="AT24" s="195"/>
      <c r="AU24" s="194"/>
      <c r="AV24" s="210"/>
      <c r="AW24" s="210"/>
      <c r="AX24" s="195"/>
      <c r="AY24" s="194"/>
      <c r="AZ24" s="210"/>
      <c r="BA24" s="210"/>
      <c r="BB24" s="195"/>
      <c r="BC24" s="194"/>
      <c r="BD24" s="210"/>
      <c r="BE24" s="210"/>
      <c r="BF24" s="318"/>
      <c r="BG24" s="194"/>
      <c r="BH24" s="210"/>
      <c r="BI24" s="210"/>
      <c r="BJ24" s="318"/>
      <c r="BK24" s="194"/>
      <c r="BL24" s="210"/>
      <c r="BM24" s="210"/>
      <c r="BN24" s="318"/>
      <c r="BO24" s="194"/>
      <c r="BP24" s="210"/>
      <c r="BQ24" s="210"/>
      <c r="BR24" s="318"/>
      <c r="BS24" s="194"/>
      <c r="BT24" s="379"/>
      <c r="BU24" s="379"/>
      <c r="BV24" s="379"/>
      <c r="BW24" s="379"/>
      <c r="BX24" s="379"/>
      <c r="BY24" s="379"/>
      <c r="BZ24" s="379"/>
      <c r="CA24" s="379"/>
      <c r="CB24" s="379"/>
      <c r="CC24" s="379"/>
      <c r="CD24" s="379"/>
      <c r="CE24" s="379"/>
      <c r="CF24" s="379"/>
      <c r="CG24" s="379"/>
      <c r="CH24" s="34"/>
      <c r="CI24" s="34"/>
      <c r="CJ24" s="34"/>
      <c r="CK24" s="34"/>
      <c r="CL24" s="34"/>
      <c r="CM24" s="34"/>
      <c r="CN24" s="34"/>
      <c r="CO24" s="34"/>
      <c r="CP24" s="34"/>
      <c r="CQ24" s="34"/>
      <c r="CR24" s="34"/>
      <c r="CS24" s="34"/>
      <c r="CT24" s="34"/>
    </row>
    <row r="25" spans="1:98" s="247" customFormat="1" ht="14.25" customHeight="1" x14ac:dyDescent="0.2">
      <c r="A25" s="934" t="s">
        <v>4856</v>
      </c>
      <c r="B25" s="919"/>
      <c r="C25" s="919"/>
      <c r="D25" s="919"/>
      <c r="E25" s="611"/>
      <c r="F25" s="607"/>
      <c r="G25" s="668"/>
      <c r="H25" s="608"/>
      <c r="I25" s="668"/>
      <c r="J25" s="608"/>
      <c r="K25" s="608"/>
      <c r="L25" s="668"/>
      <c r="M25" s="608"/>
      <c r="N25" s="608"/>
      <c r="O25" s="608"/>
      <c r="P25" s="608"/>
      <c r="Q25" s="608"/>
      <c r="R25" s="1129"/>
      <c r="S25" s="438"/>
      <c r="T25" s="434"/>
      <c r="U25" s="434"/>
      <c r="V25" s="438"/>
      <c r="W25" s="439"/>
      <c r="X25" s="434"/>
      <c r="Y25" s="434"/>
      <c r="Z25" s="437">
        <f t="shared" si="3"/>
        <v>0</v>
      </c>
      <c r="AA25" s="439"/>
      <c r="AB25" s="434"/>
      <c r="AC25" s="434"/>
      <c r="AD25" s="437"/>
      <c r="AE25" s="439"/>
      <c r="AF25" s="434"/>
      <c r="AG25" s="434"/>
      <c r="AH25" s="435"/>
      <c r="AI25" s="438"/>
      <c r="AJ25" s="434"/>
      <c r="AK25" s="434"/>
      <c r="AL25" s="437"/>
      <c r="AM25" s="438"/>
      <c r="AN25" s="434"/>
      <c r="AO25" s="434"/>
      <c r="AP25" s="1128"/>
      <c r="AQ25" s="438"/>
      <c r="AR25" s="434"/>
      <c r="AS25" s="434"/>
      <c r="AT25" s="435"/>
      <c r="AU25" s="438"/>
      <c r="AV25" s="434"/>
      <c r="AW25" s="434"/>
      <c r="AX25" s="437"/>
      <c r="AY25" s="438"/>
      <c r="AZ25" s="434"/>
      <c r="BA25" s="434"/>
      <c r="BB25" s="437"/>
      <c r="BC25" s="438"/>
      <c r="BD25" s="434"/>
      <c r="BE25" s="434"/>
      <c r="BF25" s="1131"/>
      <c r="BG25" s="438"/>
      <c r="BH25" s="434"/>
      <c r="BI25" s="434"/>
      <c r="BJ25" s="1131"/>
      <c r="BK25" s="438"/>
      <c r="BL25" s="434"/>
      <c r="BM25" s="434"/>
      <c r="BN25" s="1131"/>
      <c r="BO25" s="438"/>
      <c r="BP25" s="434"/>
      <c r="BQ25" s="434"/>
      <c r="BR25" s="1131"/>
      <c r="BS25" s="438"/>
      <c r="BT25" s="379"/>
      <c r="BU25" s="379"/>
      <c r="BV25" s="613"/>
      <c r="BW25" s="613"/>
      <c r="BX25" s="613"/>
      <c r="BY25" s="613"/>
      <c r="BZ25" s="613"/>
      <c r="CA25" s="613"/>
      <c r="CB25" s="613"/>
      <c r="CC25" s="613"/>
      <c r="CD25" s="613"/>
      <c r="CE25" s="613"/>
      <c r="CF25" s="613"/>
      <c r="CG25" s="613"/>
      <c r="CH25" s="39"/>
      <c r="CI25" s="39"/>
      <c r="CJ25" s="39"/>
      <c r="CK25" s="39"/>
      <c r="CL25" s="39"/>
      <c r="CM25" s="39"/>
      <c r="CN25" s="39"/>
      <c r="CO25" s="39"/>
      <c r="CP25" s="39"/>
      <c r="CQ25" s="39"/>
      <c r="CR25" s="39"/>
      <c r="CS25" s="39"/>
      <c r="CT25" s="39"/>
    </row>
    <row r="26" spans="1:98" s="247" customFormat="1" ht="14.25" customHeight="1" x14ac:dyDescent="0.2">
      <c r="A26" s="674" t="s">
        <v>4202</v>
      </c>
      <c r="B26" s="920" t="s">
        <v>5016</v>
      </c>
      <c r="C26" s="920" t="s">
        <v>5017</v>
      </c>
      <c r="D26" s="920" t="s">
        <v>5017</v>
      </c>
      <c r="E26" s="611"/>
      <c r="F26" s="607">
        <v>67100</v>
      </c>
      <c r="G26" s="668">
        <v>10100</v>
      </c>
      <c r="H26" s="608">
        <v>21000</v>
      </c>
      <c r="I26" s="668">
        <v>22000</v>
      </c>
      <c r="J26" s="608">
        <v>23000</v>
      </c>
      <c r="K26" s="608">
        <v>23000</v>
      </c>
      <c r="L26" s="668">
        <v>24000</v>
      </c>
      <c r="M26" s="608">
        <v>25000</v>
      </c>
      <c r="N26" s="608">
        <v>25000</v>
      </c>
      <c r="O26" s="608">
        <v>26000</v>
      </c>
      <c r="P26" s="608">
        <v>27000</v>
      </c>
      <c r="Q26" s="608">
        <v>28000</v>
      </c>
      <c r="R26" s="1129">
        <v>28000</v>
      </c>
      <c r="S26" s="438"/>
      <c r="T26" s="434"/>
      <c r="U26" s="434"/>
      <c r="V26" s="438">
        <f t="shared" ref="V26:V29" si="116">$F26-S26-T26-U26</f>
        <v>67100</v>
      </c>
      <c r="W26" s="439"/>
      <c r="X26" s="434"/>
      <c r="Y26" s="434"/>
      <c r="Z26" s="437">
        <f t="shared" si="3"/>
        <v>10100</v>
      </c>
      <c r="AA26" s="439"/>
      <c r="AB26" s="434"/>
      <c r="AC26" s="434"/>
      <c r="AD26" s="437">
        <f t="shared" ref="AD26:AD31" si="117">$H26-AA26-AB26-AC26</f>
        <v>21000</v>
      </c>
      <c r="AE26" s="439"/>
      <c r="AF26" s="434"/>
      <c r="AG26" s="434"/>
      <c r="AH26" s="435">
        <f t="shared" ref="AH26:AH31" si="118">$I26-AE26-AF26-AG26</f>
        <v>22000</v>
      </c>
      <c r="AI26" s="438"/>
      <c r="AJ26" s="434"/>
      <c r="AK26" s="434"/>
      <c r="AL26" s="437">
        <f t="shared" ref="AL26:AL31" si="119">$J26-AI26-AJ26-AK26</f>
        <v>23000</v>
      </c>
      <c r="AM26" s="438"/>
      <c r="AN26" s="434"/>
      <c r="AO26" s="434"/>
      <c r="AP26" s="1128">
        <f t="shared" ref="AP26:AP31" si="120">$K26-AM26-AN26-AO26</f>
        <v>23000</v>
      </c>
      <c r="AQ26" s="438"/>
      <c r="AR26" s="434"/>
      <c r="AS26" s="434"/>
      <c r="AT26" s="435">
        <f t="shared" ref="AT26:AT31" si="121">$L26-AQ26-AR26-AS26</f>
        <v>24000</v>
      </c>
      <c r="AU26" s="438"/>
      <c r="AV26" s="434"/>
      <c r="AW26" s="434"/>
      <c r="AX26" s="437">
        <f t="shared" ref="AX26:AX31" si="122">$M26-AU26-AV26-AW26</f>
        <v>25000</v>
      </c>
      <c r="AY26" s="438"/>
      <c r="AZ26" s="434"/>
      <c r="BA26" s="434"/>
      <c r="BB26" s="437">
        <f t="shared" ref="BB26:BB31" si="123">$N26-AY26-AZ26-BA26</f>
        <v>25000</v>
      </c>
      <c r="BC26" s="438"/>
      <c r="BD26" s="434"/>
      <c r="BE26" s="434"/>
      <c r="BF26" s="1131">
        <f t="shared" ref="BF26:BF31" si="124">$O26-BC26-BD26-BE26</f>
        <v>26000</v>
      </c>
      <c r="BG26" s="438"/>
      <c r="BH26" s="434"/>
      <c r="BI26" s="434"/>
      <c r="BJ26" s="1131">
        <f t="shared" ref="BJ26:BJ29" si="125">$P26-BG26-BH26-BI26</f>
        <v>27000</v>
      </c>
      <c r="BK26" s="438"/>
      <c r="BL26" s="434"/>
      <c r="BM26" s="434"/>
      <c r="BN26" s="1131">
        <f t="shared" ref="BN26:BN84" si="126">$Q26-BK26-BL26-BM26</f>
        <v>28000</v>
      </c>
      <c r="BO26" s="438"/>
      <c r="BP26" s="434"/>
      <c r="BQ26" s="434"/>
      <c r="BR26" s="1131">
        <f t="shared" ref="BR26:BR33" si="127">$R26-BO26-BP26-BQ26</f>
        <v>28000</v>
      </c>
      <c r="BS26" s="438"/>
      <c r="BT26" s="833">
        <v>1</v>
      </c>
      <c r="BU26" s="833">
        <f t="shared" ref="BU26:BU29" si="128">BT26</f>
        <v>1</v>
      </c>
      <c r="BV26" s="833">
        <f t="shared" ref="BV26:BV29" si="129">BU26</f>
        <v>1</v>
      </c>
      <c r="BW26" s="833">
        <f t="shared" ref="BW26:BW29" si="130">BV26</f>
        <v>1</v>
      </c>
      <c r="BX26" s="833">
        <f t="shared" ref="BX26:BX29" si="131">BW26</f>
        <v>1</v>
      </c>
      <c r="BY26" s="833">
        <f t="shared" ref="BY26:BY29" si="132">BX26</f>
        <v>1</v>
      </c>
      <c r="BZ26" s="833">
        <f t="shared" ref="BZ26:BZ29" si="133">BY26</f>
        <v>1</v>
      </c>
      <c r="CA26" s="833">
        <f t="shared" ref="CA26:CA29" si="134">BZ26</f>
        <v>1</v>
      </c>
      <c r="CB26" s="833">
        <f t="shared" ref="CB26:CF29" si="135">CA26</f>
        <v>1</v>
      </c>
      <c r="CC26" s="833">
        <f t="shared" si="135"/>
        <v>1</v>
      </c>
      <c r="CD26" s="833">
        <f t="shared" si="135"/>
        <v>1</v>
      </c>
      <c r="CE26" s="833">
        <f t="shared" si="135"/>
        <v>1</v>
      </c>
      <c r="CF26" s="833">
        <f t="shared" si="135"/>
        <v>1</v>
      </c>
      <c r="CG26" s="833"/>
      <c r="CH26" s="46">
        <f t="shared" ref="CH26:CT31" si="136">ROUND(BT26*F26,-3)</f>
        <v>67000</v>
      </c>
      <c r="CI26" s="46">
        <f t="shared" si="136"/>
        <v>10000</v>
      </c>
      <c r="CJ26" s="46">
        <f t="shared" si="136"/>
        <v>21000</v>
      </c>
      <c r="CK26" s="46">
        <f t="shared" si="136"/>
        <v>22000</v>
      </c>
      <c r="CL26" s="46">
        <f t="shared" si="136"/>
        <v>23000</v>
      </c>
      <c r="CM26" s="46">
        <f t="shared" si="136"/>
        <v>23000</v>
      </c>
      <c r="CN26" s="46">
        <f t="shared" si="136"/>
        <v>24000</v>
      </c>
      <c r="CO26" s="46">
        <f t="shared" si="136"/>
        <v>25000</v>
      </c>
      <c r="CP26" s="46">
        <f t="shared" si="136"/>
        <v>25000</v>
      </c>
      <c r="CQ26" s="46">
        <f t="shared" si="136"/>
        <v>26000</v>
      </c>
      <c r="CR26" s="46">
        <f t="shared" si="136"/>
        <v>27000</v>
      </c>
      <c r="CS26" s="46">
        <f t="shared" si="136"/>
        <v>28000</v>
      </c>
      <c r="CT26" s="46">
        <f t="shared" si="136"/>
        <v>28000</v>
      </c>
    </row>
    <row r="27" spans="1:98" s="247" customFormat="1" ht="14.25" customHeight="1" x14ac:dyDescent="0.2">
      <c r="A27" s="674" t="s">
        <v>4203</v>
      </c>
      <c r="B27" s="920" t="s">
        <v>5018</v>
      </c>
      <c r="C27" s="920" t="s">
        <v>5019</v>
      </c>
      <c r="D27" s="920" t="s">
        <v>5019</v>
      </c>
      <c r="E27" s="611"/>
      <c r="F27" s="607">
        <v>11900</v>
      </c>
      <c r="G27" s="668">
        <v>25400</v>
      </c>
      <c r="H27" s="608">
        <v>21000</v>
      </c>
      <c r="I27" s="668">
        <v>22000</v>
      </c>
      <c r="J27" s="608">
        <v>23000</v>
      </c>
      <c r="K27" s="608">
        <v>23000</v>
      </c>
      <c r="L27" s="668">
        <v>24000</v>
      </c>
      <c r="M27" s="608">
        <v>25000</v>
      </c>
      <c r="N27" s="608">
        <v>25000</v>
      </c>
      <c r="O27" s="608">
        <v>26000</v>
      </c>
      <c r="P27" s="608">
        <v>27000</v>
      </c>
      <c r="Q27" s="608">
        <v>28000</v>
      </c>
      <c r="R27" s="1129">
        <v>28000</v>
      </c>
      <c r="S27" s="438"/>
      <c r="T27" s="434"/>
      <c r="U27" s="434"/>
      <c r="V27" s="438">
        <f t="shared" si="116"/>
        <v>11900</v>
      </c>
      <c r="W27" s="439"/>
      <c r="X27" s="434"/>
      <c r="Y27" s="434"/>
      <c r="Z27" s="437">
        <f t="shared" si="3"/>
        <v>25400</v>
      </c>
      <c r="AA27" s="439"/>
      <c r="AB27" s="434"/>
      <c r="AC27" s="434"/>
      <c r="AD27" s="437">
        <f t="shared" si="117"/>
        <v>21000</v>
      </c>
      <c r="AE27" s="439"/>
      <c r="AF27" s="434"/>
      <c r="AG27" s="434"/>
      <c r="AH27" s="435">
        <f t="shared" si="118"/>
        <v>22000</v>
      </c>
      <c r="AI27" s="438"/>
      <c r="AJ27" s="434"/>
      <c r="AK27" s="434"/>
      <c r="AL27" s="437">
        <f t="shared" si="119"/>
        <v>23000</v>
      </c>
      <c r="AM27" s="438"/>
      <c r="AN27" s="434"/>
      <c r="AO27" s="434"/>
      <c r="AP27" s="1128">
        <f t="shared" si="120"/>
        <v>23000</v>
      </c>
      <c r="AQ27" s="438"/>
      <c r="AR27" s="434"/>
      <c r="AS27" s="434"/>
      <c r="AT27" s="435">
        <f t="shared" si="121"/>
        <v>24000</v>
      </c>
      <c r="AU27" s="438"/>
      <c r="AV27" s="434"/>
      <c r="AW27" s="434"/>
      <c r="AX27" s="437">
        <f t="shared" si="122"/>
        <v>25000</v>
      </c>
      <c r="AY27" s="438"/>
      <c r="AZ27" s="434"/>
      <c r="BA27" s="434"/>
      <c r="BB27" s="437">
        <f t="shared" si="123"/>
        <v>25000</v>
      </c>
      <c r="BC27" s="438"/>
      <c r="BD27" s="434"/>
      <c r="BE27" s="434"/>
      <c r="BF27" s="1131">
        <f t="shared" si="124"/>
        <v>26000</v>
      </c>
      <c r="BG27" s="438"/>
      <c r="BH27" s="434"/>
      <c r="BI27" s="434"/>
      <c r="BJ27" s="1131">
        <f t="shared" si="125"/>
        <v>27000</v>
      </c>
      <c r="BK27" s="438"/>
      <c r="BL27" s="434"/>
      <c r="BM27" s="434"/>
      <c r="BN27" s="1131">
        <f t="shared" si="126"/>
        <v>28000</v>
      </c>
      <c r="BO27" s="438"/>
      <c r="BP27" s="434"/>
      <c r="BQ27" s="434"/>
      <c r="BR27" s="1131">
        <f t="shared" si="127"/>
        <v>28000</v>
      </c>
      <c r="BS27" s="438"/>
      <c r="BT27" s="833">
        <v>1</v>
      </c>
      <c r="BU27" s="833">
        <f t="shared" si="128"/>
        <v>1</v>
      </c>
      <c r="BV27" s="833">
        <f t="shared" si="129"/>
        <v>1</v>
      </c>
      <c r="BW27" s="833">
        <f t="shared" si="130"/>
        <v>1</v>
      </c>
      <c r="BX27" s="833">
        <f t="shared" si="131"/>
        <v>1</v>
      </c>
      <c r="BY27" s="833">
        <f t="shared" si="132"/>
        <v>1</v>
      </c>
      <c r="BZ27" s="833">
        <f t="shared" si="133"/>
        <v>1</v>
      </c>
      <c r="CA27" s="833">
        <f t="shared" si="134"/>
        <v>1</v>
      </c>
      <c r="CB27" s="833">
        <f t="shared" si="135"/>
        <v>1</v>
      </c>
      <c r="CC27" s="833">
        <f t="shared" si="135"/>
        <v>1</v>
      </c>
      <c r="CD27" s="833">
        <f t="shared" si="135"/>
        <v>1</v>
      </c>
      <c r="CE27" s="833">
        <f t="shared" si="135"/>
        <v>1</v>
      </c>
      <c r="CF27" s="833">
        <f t="shared" si="135"/>
        <v>1</v>
      </c>
      <c r="CG27" s="833"/>
      <c r="CH27" s="46">
        <f t="shared" si="136"/>
        <v>12000</v>
      </c>
      <c r="CI27" s="46">
        <f t="shared" si="136"/>
        <v>25000</v>
      </c>
      <c r="CJ27" s="46">
        <f t="shared" si="136"/>
        <v>21000</v>
      </c>
      <c r="CK27" s="46">
        <f t="shared" si="136"/>
        <v>22000</v>
      </c>
      <c r="CL27" s="46">
        <f t="shared" si="136"/>
        <v>23000</v>
      </c>
      <c r="CM27" s="46">
        <f t="shared" si="136"/>
        <v>23000</v>
      </c>
      <c r="CN27" s="46">
        <f t="shared" si="136"/>
        <v>24000</v>
      </c>
      <c r="CO27" s="46">
        <f t="shared" si="136"/>
        <v>25000</v>
      </c>
      <c r="CP27" s="46">
        <f t="shared" si="136"/>
        <v>25000</v>
      </c>
      <c r="CQ27" s="46">
        <f t="shared" si="136"/>
        <v>26000</v>
      </c>
      <c r="CR27" s="46">
        <f t="shared" si="136"/>
        <v>27000</v>
      </c>
      <c r="CS27" s="46">
        <f t="shared" si="136"/>
        <v>28000</v>
      </c>
      <c r="CT27" s="46">
        <f t="shared" si="136"/>
        <v>28000</v>
      </c>
    </row>
    <row r="28" spans="1:98" s="247" customFormat="1" ht="14.25" customHeight="1" x14ac:dyDescent="0.2">
      <c r="A28" s="674" t="s">
        <v>4204</v>
      </c>
      <c r="B28" s="920" t="s">
        <v>5020</v>
      </c>
      <c r="C28" s="920" t="s">
        <v>5021</v>
      </c>
      <c r="D28" s="920" t="s">
        <v>5021</v>
      </c>
      <c r="E28" s="611"/>
      <c r="F28" s="607">
        <v>12500</v>
      </c>
      <c r="G28" s="668">
        <v>26900</v>
      </c>
      <c r="H28" s="608">
        <v>21000</v>
      </c>
      <c r="I28" s="668">
        <v>11000</v>
      </c>
      <c r="J28" s="608">
        <v>11000</v>
      </c>
      <c r="K28" s="608">
        <v>12000</v>
      </c>
      <c r="L28" s="668">
        <v>12000</v>
      </c>
      <c r="M28" s="608">
        <v>12000</v>
      </c>
      <c r="N28" s="608">
        <v>13000</v>
      </c>
      <c r="O28" s="608">
        <v>13000</v>
      </c>
      <c r="P28" s="608">
        <v>14000</v>
      </c>
      <c r="Q28" s="608">
        <v>15000</v>
      </c>
      <c r="R28" s="1129">
        <v>15000</v>
      </c>
      <c r="S28" s="438"/>
      <c r="T28" s="434"/>
      <c r="U28" s="434"/>
      <c r="V28" s="438">
        <f t="shared" si="116"/>
        <v>12500</v>
      </c>
      <c r="W28" s="439"/>
      <c r="X28" s="434"/>
      <c r="Y28" s="434"/>
      <c r="Z28" s="437">
        <f t="shared" si="3"/>
        <v>26900</v>
      </c>
      <c r="AA28" s="439"/>
      <c r="AB28" s="434"/>
      <c r="AC28" s="434"/>
      <c r="AD28" s="437">
        <f t="shared" si="117"/>
        <v>21000</v>
      </c>
      <c r="AE28" s="439"/>
      <c r="AF28" s="434"/>
      <c r="AG28" s="434"/>
      <c r="AH28" s="435">
        <f t="shared" si="118"/>
        <v>11000</v>
      </c>
      <c r="AI28" s="438"/>
      <c r="AJ28" s="434"/>
      <c r="AK28" s="434"/>
      <c r="AL28" s="437">
        <f t="shared" si="119"/>
        <v>11000</v>
      </c>
      <c r="AM28" s="438"/>
      <c r="AN28" s="434"/>
      <c r="AO28" s="434"/>
      <c r="AP28" s="1128">
        <f t="shared" si="120"/>
        <v>12000</v>
      </c>
      <c r="AQ28" s="438"/>
      <c r="AR28" s="434"/>
      <c r="AS28" s="434"/>
      <c r="AT28" s="435">
        <f t="shared" si="121"/>
        <v>12000</v>
      </c>
      <c r="AU28" s="438"/>
      <c r="AV28" s="434"/>
      <c r="AW28" s="434"/>
      <c r="AX28" s="437">
        <f t="shared" si="122"/>
        <v>12000</v>
      </c>
      <c r="AY28" s="438"/>
      <c r="AZ28" s="434"/>
      <c r="BA28" s="434"/>
      <c r="BB28" s="437">
        <f t="shared" si="123"/>
        <v>13000</v>
      </c>
      <c r="BC28" s="438"/>
      <c r="BD28" s="434"/>
      <c r="BE28" s="434"/>
      <c r="BF28" s="1131">
        <f t="shared" si="124"/>
        <v>13000</v>
      </c>
      <c r="BG28" s="438"/>
      <c r="BH28" s="434"/>
      <c r="BI28" s="434"/>
      <c r="BJ28" s="1131">
        <f t="shared" si="125"/>
        <v>14000</v>
      </c>
      <c r="BK28" s="438"/>
      <c r="BL28" s="434"/>
      <c r="BM28" s="434"/>
      <c r="BN28" s="1131">
        <f t="shared" si="126"/>
        <v>15000</v>
      </c>
      <c r="BO28" s="438"/>
      <c r="BP28" s="434"/>
      <c r="BQ28" s="434"/>
      <c r="BR28" s="1131">
        <f t="shared" si="127"/>
        <v>15000</v>
      </c>
      <c r="BS28" s="438"/>
      <c r="BT28" s="833">
        <v>1</v>
      </c>
      <c r="BU28" s="833">
        <f t="shared" si="128"/>
        <v>1</v>
      </c>
      <c r="BV28" s="833">
        <f t="shared" si="129"/>
        <v>1</v>
      </c>
      <c r="BW28" s="833">
        <f t="shared" si="130"/>
        <v>1</v>
      </c>
      <c r="BX28" s="833">
        <f t="shared" si="131"/>
        <v>1</v>
      </c>
      <c r="BY28" s="833">
        <f t="shared" si="132"/>
        <v>1</v>
      </c>
      <c r="BZ28" s="833">
        <f t="shared" si="133"/>
        <v>1</v>
      </c>
      <c r="CA28" s="833">
        <f t="shared" si="134"/>
        <v>1</v>
      </c>
      <c r="CB28" s="833">
        <f t="shared" si="135"/>
        <v>1</v>
      </c>
      <c r="CC28" s="833">
        <f t="shared" si="135"/>
        <v>1</v>
      </c>
      <c r="CD28" s="833">
        <f t="shared" si="135"/>
        <v>1</v>
      </c>
      <c r="CE28" s="833">
        <f t="shared" si="135"/>
        <v>1</v>
      </c>
      <c r="CF28" s="833">
        <f t="shared" si="135"/>
        <v>1</v>
      </c>
      <c r="CG28" s="833"/>
      <c r="CH28" s="46">
        <f t="shared" si="136"/>
        <v>13000</v>
      </c>
      <c r="CI28" s="46">
        <f t="shared" si="136"/>
        <v>27000</v>
      </c>
      <c r="CJ28" s="46">
        <f t="shared" si="136"/>
        <v>21000</v>
      </c>
      <c r="CK28" s="46">
        <f t="shared" si="136"/>
        <v>11000</v>
      </c>
      <c r="CL28" s="46">
        <f t="shared" si="136"/>
        <v>11000</v>
      </c>
      <c r="CM28" s="46">
        <f t="shared" si="136"/>
        <v>12000</v>
      </c>
      <c r="CN28" s="46">
        <f t="shared" si="136"/>
        <v>12000</v>
      </c>
      <c r="CO28" s="46">
        <f t="shared" si="136"/>
        <v>12000</v>
      </c>
      <c r="CP28" s="46">
        <f t="shared" si="136"/>
        <v>13000</v>
      </c>
      <c r="CQ28" s="46">
        <f t="shared" si="136"/>
        <v>13000</v>
      </c>
      <c r="CR28" s="46">
        <f t="shared" si="136"/>
        <v>14000</v>
      </c>
      <c r="CS28" s="46">
        <f t="shared" si="136"/>
        <v>15000</v>
      </c>
      <c r="CT28" s="46">
        <f t="shared" si="136"/>
        <v>15000</v>
      </c>
    </row>
    <row r="29" spans="1:98" s="247" customFormat="1" ht="14.25" customHeight="1" x14ac:dyDescent="0.2">
      <c r="A29" s="674" t="s">
        <v>4205</v>
      </c>
      <c r="B29" s="920" t="s">
        <v>5022</v>
      </c>
      <c r="C29" s="920" t="s">
        <v>5023</v>
      </c>
      <c r="D29" s="920" t="s">
        <v>5023</v>
      </c>
      <c r="E29" s="611"/>
      <c r="F29" s="607">
        <v>400</v>
      </c>
      <c r="G29" s="668">
        <v>400</v>
      </c>
      <c r="H29" s="608">
        <v>11000</v>
      </c>
      <c r="I29" s="668">
        <v>11000</v>
      </c>
      <c r="J29" s="608">
        <v>11000</v>
      </c>
      <c r="K29" s="608">
        <v>12000</v>
      </c>
      <c r="L29" s="668">
        <v>12000</v>
      </c>
      <c r="M29" s="608">
        <v>12000</v>
      </c>
      <c r="N29" s="608">
        <v>13000</v>
      </c>
      <c r="O29" s="608">
        <v>13000</v>
      </c>
      <c r="P29" s="608">
        <v>14000</v>
      </c>
      <c r="Q29" s="608">
        <v>15000</v>
      </c>
      <c r="R29" s="1129">
        <v>15000</v>
      </c>
      <c r="S29" s="438"/>
      <c r="T29" s="434"/>
      <c r="U29" s="434"/>
      <c r="V29" s="438">
        <f t="shared" si="116"/>
        <v>400</v>
      </c>
      <c r="W29" s="439"/>
      <c r="X29" s="434"/>
      <c r="Y29" s="434"/>
      <c r="Z29" s="437">
        <f t="shared" si="3"/>
        <v>400</v>
      </c>
      <c r="AA29" s="439"/>
      <c r="AB29" s="434"/>
      <c r="AC29" s="434"/>
      <c r="AD29" s="437">
        <f t="shared" si="117"/>
        <v>11000</v>
      </c>
      <c r="AE29" s="439"/>
      <c r="AF29" s="434"/>
      <c r="AG29" s="434"/>
      <c r="AH29" s="435">
        <f t="shared" si="118"/>
        <v>11000</v>
      </c>
      <c r="AI29" s="438"/>
      <c r="AJ29" s="434"/>
      <c r="AK29" s="434"/>
      <c r="AL29" s="437">
        <f t="shared" si="119"/>
        <v>11000</v>
      </c>
      <c r="AM29" s="438"/>
      <c r="AN29" s="434"/>
      <c r="AO29" s="434"/>
      <c r="AP29" s="1128">
        <f t="shared" si="120"/>
        <v>12000</v>
      </c>
      <c r="AQ29" s="438"/>
      <c r="AR29" s="434"/>
      <c r="AS29" s="434"/>
      <c r="AT29" s="435">
        <f t="shared" si="121"/>
        <v>12000</v>
      </c>
      <c r="AU29" s="438"/>
      <c r="AV29" s="434"/>
      <c r="AW29" s="434"/>
      <c r="AX29" s="437">
        <f t="shared" si="122"/>
        <v>12000</v>
      </c>
      <c r="AY29" s="438"/>
      <c r="AZ29" s="434"/>
      <c r="BA29" s="434"/>
      <c r="BB29" s="437">
        <f t="shared" si="123"/>
        <v>13000</v>
      </c>
      <c r="BC29" s="438"/>
      <c r="BD29" s="434"/>
      <c r="BE29" s="434"/>
      <c r="BF29" s="1131">
        <f t="shared" si="124"/>
        <v>13000</v>
      </c>
      <c r="BG29" s="438"/>
      <c r="BH29" s="434"/>
      <c r="BI29" s="434"/>
      <c r="BJ29" s="1131">
        <f t="shared" si="125"/>
        <v>14000</v>
      </c>
      <c r="BK29" s="438"/>
      <c r="BL29" s="434"/>
      <c r="BM29" s="434"/>
      <c r="BN29" s="1131">
        <f t="shared" si="126"/>
        <v>15000</v>
      </c>
      <c r="BO29" s="438"/>
      <c r="BP29" s="434"/>
      <c r="BQ29" s="434"/>
      <c r="BR29" s="1131">
        <f t="shared" si="127"/>
        <v>15000</v>
      </c>
      <c r="BS29" s="438"/>
      <c r="BT29" s="833">
        <v>1</v>
      </c>
      <c r="BU29" s="833">
        <f t="shared" si="128"/>
        <v>1</v>
      </c>
      <c r="BV29" s="833">
        <f t="shared" si="129"/>
        <v>1</v>
      </c>
      <c r="BW29" s="833">
        <f t="shared" si="130"/>
        <v>1</v>
      </c>
      <c r="BX29" s="833">
        <f t="shared" si="131"/>
        <v>1</v>
      </c>
      <c r="BY29" s="833">
        <f t="shared" si="132"/>
        <v>1</v>
      </c>
      <c r="BZ29" s="833">
        <f t="shared" si="133"/>
        <v>1</v>
      </c>
      <c r="CA29" s="833">
        <f t="shared" si="134"/>
        <v>1</v>
      </c>
      <c r="CB29" s="833">
        <f t="shared" si="135"/>
        <v>1</v>
      </c>
      <c r="CC29" s="833">
        <f t="shared" si="135"/>
        <v>1</v>
      </c>
      <c r="CD29" s="833">
        <f t="shared" si="135"/>
        <v>1</v>
      </c>
      <c r="CE29" s="833">
        <f t="shared" si="135"/>
        <v>1</v>
      </c>
      <c r="CF29" s="833">
        <f t="shared" si="135"/>
        <v>1</v>
      </c>
      <c r="CG29" s="833"/>
      <c r="CH29" s="46">
        <f t="shared" si="136"/>
        <v>0</v>
      </c>
      <c r="CI29" s="46">
        <f t="shared" si="136"/>
        <v>0</v>
      </c>
      <c r="CJ29" s="46">
        <f t="shared" si="136"/>
        <v>11000</v>
      </c>
      <c r="CK29" s="46">
        <f t="shared" si="136"/>
        <v>11000</v>
      </c>
      <c r="CL29" s="46">
        <f t="shared" si="136"/>
        <v>11000</v>
      </c>
      <c r="CM29" s="46">
        <f t="shared" si="136"/>
        <v>12000</v>
      </c>
      <c r="CN29" s="46">
        <f t="shared" si="136"/>
        <v>12000</v>
      </c>
      <c r="CO29" s="46">
        <f t="shared" si="136"/>
        <v>12000</v>
      </c>
      <c r="CP29" s="46">
        <f t="shared" si="136"/>
        <v>13000</v>
      </c>
      <c r="CQ29" s="46">
        <f t="shared" si="136"/>
        <v>13000</v>
      </c>
      <c r="CR29" s="46">
        <f t="shared" si="136"/>
        <v>14000</v>
      </c>
      <c r="CS29" s="46">
        <f t="shared" si="136"/>
        <v>15000</v>
      </c>
      <c r="CT29" s="46">
        <f t="shared" si="136"/>
        <v>15000</v>
      </c>
    </row>
    <row r="30" spans="1:98" s="247" customFormat="1" ht="14.25" customHeight="1" x14ac:dyDescent="0.2">
      <c r="A30" s="674" t="s">
        <v>6375</v>
      </c>
      <c r="B30" s="920" t="s">
        <v>5534</v>
      </c>
      <c r="C30" s="920" t="s">
        <v>5535</v>
      </c>
      <c r="D30" s="920" t="s">
        <v>5535</v>
      </c>
      <c r="E30" s="611"/>
      <c r="F30" s="607">
        <v>55400</v>
      </c>
      <c r="G30" s="668">
        <v>299600</v>
      </c>
      <c r="H30" s="608">
        <v>200000</v>
      </c>
      <c r="I30" s="668"/>
      <c r="J30" s="668"/>
      <c r="K30" s="668"/>
      <c r="L30" s="668"/>
      <c r="M30" s="669"/>
      <c r="N30" s="608"/>
      <c r="O30" s="608"/>
      <c r="P30" s="608"/>
      <c r="Q30" s="608"/>
      <c r="R30" s="1129"/>
      <c r="S30" s="438"/>
      <c r="T30" s="434"/>
      <c r="U30" s="434"/>
      <c r="V30" s="438">
        <f t="shared" ref="V30:V31" si="137">$F30-S30-T30-U30</f>
        <v>55400</v>
      </c>
      <c r="W30" s="439"/>
      <c r="X30" s="434"/>
      <c r="Y30" s="434"/>
      <c r="Z30" s="437">
        <f t="shared" si="3"/>
        <v>299600</v>
      </c>
      <c r="AA30" s="439"/>
      <c r="AB30" s="434"/>
      <c r="AC30" s="434"/>
      <c r="AD30" s="437">
        <f t="shared" si="117"/>
        <v>200000</v>
      </c>
      <c r="AE30" s="439"/>
      <c r="AF30" s="434"/>
      <c r="AG30" s="434"/>
      <c r="AH30" s="435">
        <f t="shared" si="118"/>
        <v>0</v>
      </c>
      <c r="AI30" s="438"/>
      <c r="AJ30" s="434"/>
      <c r="AK30" s="434"/>
      <c r="AL30" s="437">
        <f t="shared" si="119"/>
        <v>0</v>
      </c>
      <c r="AM30" s="438"/>
      <c r="AN30" s="434"/>
      <c r="AO30" s="434"/>
      <c r="AP30" s="1128">
        <f t="shared" si="120"/>
        <v>0</v>
      </c>
      <c r="AQ30" s="438"/>
      <c r="AR30" s="434"/>
      <c r="AS30" s="434"/>
      <c r="AT30" s="435">
        <f t="shared" si="121"/>
        <v>0</v>
      </c>
      <c r="AU30" s="438"/>
      <c r="AV30" s="434"/>
      <c r="AW30" s="434"/>
      <c r="AX30" s="437">
        <f t="shared" si="122"/>
        <v>0</v>
      </c>
      <c r="AY30" s="438"/>
      <c r="AZ30" s="434"/>
      <c r="BA30" s="434"/>
      <c r="BB30" s="437">
        <f t="shared" si="123"/>
        <v>0</v>
      </c>
      <c r="BC30" s="438"/>
      <c r="BD30" s="434"/>
      <c r="BE30" s="434"/>
      <c r="BF30" s="1131">
        <f t="shared" si="124"/>
        <v>0</v>
      </c>
      <c r="BG30" s="438"/>
      <c r="BH30" s="434"/>
      <c r="BI30" s="434"/>
      <c r="BJ30" s="1131">
        <f t="shared" ref="BJ30:BJ31" si="138">$P30-BG30-BH30-BI30</f>
        <v>0</v>
      </c>
      <c r="BK30" s="438"/>
      <c r="BL30" s="434"/>
      <c r="BM30" s="434"/>
      <c r="BN30" s="1131">
        <f t="shared" si="126"/>
        <v>0</v>
      </c>
      <c r="BO30" s="438"/>
      <c r="BP30" s="434"/>
      <c r="BQ30" s="434"/>
      <c r="BR30" s="1131">
        <f t="shared" si="127"/>
        <v>0</v>
      </c>
      <c r="BS30" s="438"/>
      <c r="BT30" s="833">
        <v>1</v>
      </c>
      <c r="BU30" s="833">
        <f t="shared" ref="BU30" si="139">BT30</f>
        <v>1</v>
      </c>
      <c r="BV30" s="833">
        <f t="shared" ref="BV30" si="140">BU30</f>
        <v>1</v>
      </c>
      <c r="BW30" s="833">
        <f t="shared" ref="BW30" si="141">BV30</f>
        <v>1</v>
      </c>
      <c r="BX30" s="833">
        <f t="shared" ref="BX30" si="142">BW30</f>
        <v>1</v>
      </c>
      <c r="BY30" s="833">
        <f t="shared" ref="BY30" si="143">BX30</f>
        <v>1</v>
      </c>
      <c r="BZ30" s="833">
        <f t="shared" ref="BZ30" si="144">BY30</f>
        <v>1</v>
      </c>
      <c r="CA30" s="833">
        <f t="shared" ref="CA30" si="145">BZ30</f>
        <v>1</v>
      </c>
      <c r="CB30" s="833">
        <f t="shared" ref="CB30" si="146">CA30</f>
        <v>1</v>
      </c>
      <c r="CC30" s="833">
        <f t="shared" ref="CC30" si="147">CB30</f>
        <v>1</v>
      </c>
      <c r="CD30" s="833">
        <f t="shared" ref="CD30:CF30" si="148">CC30</f>
        <v>1</v>
      </c>
      <c r="CE30" s="833">
        <f t="shared" si="148"/>
        <v>1</v>
      </c>
      <c r="CF30" s="833">
        <f t="shared" si="148"/>
        <v>1</v>
      </c>
      <c r="CG30" s="833"/>
      <c r="CH30" s="46">
        <f t="shared" si="136"/>
        <v>55000</v>
      </c>
      <c r="CI30" s="46">
        <f t="shared" si="136"/>
        <v>300000</v>
      </c>
      <c r="CJ30" s="46">
        <f t="shared" si="136"/>
        <v>200000</v>
      </c>
      <c r="CK30" s="46">
        <f t="shared" si="136"/>
        <v>0</v>
      </c>
      <c r="CL30" s="46">
        <f t="shared" si="136"/>
        <v>0</v>
      </c>
      <c r="CM30" s="46">
        <f t="shared" si="136"/>
        <v>0</v>
      </c>
      <c r="CN30" s="46">
        <f t="shared" si="136"/>
        <v>0</v>
      </c>
      <c r="CO30" s="46">
        <f t="shared" si="136"/>
        <v>0</v>
      </c>
      <c r="CP30" s="46">
        <f t="shared" si="136"/>
        <v>0</v>
      </c>
      <c r="CQ30" s="46">
        <f t="shared" si="136"/>
        <v>0</v>
      </c>
      <c r="CR30" s="46">
        <f t="shared" si="136"/>
        <v>0</v>
      </c>
      <c r="CS30" s="46">
        <f t="shared" si="136"/>
        <v>0</v>
      </c>
      <c r="CT30" s="46">
        <f t="shared" si="136"/>
        <v>0</v>
      </c>
    </row>
    <row r="31" spans="1:98" s="247" customFormat="1" ht="14.25" customHeight="1" x14ac:dyDescent="0.2">
      <c r="A31" s="674" t="s">
        <v>5965</v>
      </c>
      <c r="B31" s="922" t="s">
        <v>5963</v>
      </c>
      <c r="C31" s="920" t="s">
        <v>5964</v>
      </c>
      <c r="D31" s="920"/>
      <c r="E31" s="611"/>
      <c r="F31" s="607">
        <v>63800</v>
      </c>
      <c r="G31" s="668"/>
      <c r="H31" s="608"/>
      <c r="I31" s="668"/>
      <c r="J31" s="668"/>
      <c r="K31" s="668"/>
      <c r="L31" s="668"/>
      <c r="M31" s="669"/>
      <c r="N31" s="608"/>
      <c r="O31" s="608"/>
      <c r="P31" s="608"/>
      <c r="Q31" s="608"/>
      <c r="R31" s="1129"/>
      <c r="S31" s="438"/>
      <c r="T31" s="434"/>
      <c r="U31" s="434"/>
      <c r="V31" s="438">
        <f t="shared" si="137"/>
        <v>63800</v>
      </c>
      <c r="W31" s="439"/>
      <c r="X31" s="434"/>
      <c r="Y31" s="434"/>
      <c r="Z31" s="437">
        <f t="shared" si="3"/>
        <v>0</v>
      </c>
      <c r="AA31" s="439"/>
      <c r="AB31" s="434"/>
      <c r="AC31" s="434"/>
      <c r="AD31" s="437">
        <f t="shared" si="117"/>
        <v>0</v>
      </c>
      <c r="AE31" s="439"/>
      <c r="AF31" s="434"/>
      <c r="AG31" s="434"/>
      <c r="AH31" s="435">
        <f t="shared" si="118"/>
        <v>0</v>
      </c>
      <c r="AI31" s="438"/>
      <c r="AJ31" s="434"/>
      <c r="AK31" s="434"/>
      <c r="AL31" s="437">
        <f t="shared" si="119"/>
        <v>0</v>
      </c>
      <c r="AM31" s="438"/>
      <c r="AN31" s="434"/>
      <c r="AO31" s="434"/>
      <c r="AP31" s="1128">
        <f t="shared" si="120"/>
        <v>0</v>
      </c>
      <c r="AQ31" s="438"/>
      <c r="AR31" s="434"/>
      <c r="AS31" s="434"/>
      <c r="AT31" s="435">
        <f t="shared" si="121"/>
        <v>0</v>
      </c>
      <c r="AU31" s="438"/>
      <c r="AV31" s="434"/>
      <c r="AW31" s="434"/>
      <c r="AX31" s="437">
        <f t="shared" si="122"/>
        <v>0</v>
      </c>
      <c r="AY31" s="438"/>
      <c r="AZ31" s="434"/>
      <c r="BA31" s="434"/>
      <c r="BB31" s="437">
        <f t="shared" si="123"/>
        <v>0</v>
      </c>
      <c r="BC31" s="438"/>
      <c r="BD31" s="434"/>
      <c r="BE31" s="434"/>
      <c r="BF31" s="1131">
        <f t="shared" si="124"/>
        <v>0</v>
      </c>
      <c r="BG31" s="438"/>
      <c r="BH31" s="434"/>
      <c r="BI31" s="434"/>
      <c r="BJ31" s="1131">
        <f t="shared" si="138"/>
        <v>0</v>
      </c>
      <c r="BK31" s="438"/>
      <c r="BL31" s="434"/>
      <c r="BM31" s="434"/>
      <c r="BN31" s="1131">
        <f t="shared" si="126"/>
        <v>0</v>
      </c>
      <c r="BO31" s="438"/>
      <c r="BP31" s="434"/>
      <c r="BQ31" s="434"/>
      <c r="BR31" s="1131">
        <f t="shared" si="127"/>
        <v>0</v>
      </c>
      <c r="BS31" s="438"/>
      <c r="BT31" s="833">
        <v>1</v>
      </c>
      <c r="BU31" s="833">
        <f t="shared" ref="BU31" si="149">BT31</f>
        <v>1</v>
      </c>
      <c r="BV31" s="833">
        <f t="shared" ref="BV31" si="150">BU31</f>
        <v>1</v>
      </c>
      <c r="BW31" s="833">
        <f t="shared" ref="BW31" si="151">BV31</f>
        <v>1</v>
      </c>
      <c r="BX31" s="833">
        <f t="shared" ref="BX31" si="152">BW31</f>
        <v>1</v>
      </c>
      <c r="BY31" s="833">
        <f t="shared" ref="BY31" si="153">BX31</f>
        <v>1</v>
      </c>
      <c r="BZ31" s="833">
        <f t="shared" ref="BZ31" si="154">BY31</f>
        <v>1</v>
      </c>
      <c r="CA31" s="833">
        <f t="shared" ref="CA31" si="155">BZ31</f>
        <v>1</v>
      </c>
      <c r="CB31" s="833">
        <f t="shared" ref="CB31" si="156">CA31</f>
        <v>1</v>
      </c>
      <c r="CC31" s="833">
        <f t="shared" ref="CC31" si="157">CB31</f>
        <v>1</v>
      </c>
      <c r="CD31" s="833">
        <f t="shared" ref="CD31:CF31" si="158">CC31</f>
        <v>1</v>
      </c>
      <c r="CE31" s="833">
        <f t="shared" si="158"/>
        <v>1</v>
      </c>
      <c r="CF31" s="833">
        <f t="shared" si="158"/>
        <v>1</v>
      </c>
      <c r="CG31" s="833"/>
      <c r="CH31" s="46">
        <f t="shared" si="136"/>
        <v>64000</v>
      </c>
      <c r="CI31" s="46">
        <f t="shared" si="136"/>
        <v>0</v>
      </c>
      <c r="CJ31" s="46">
        <f t="shared" si="136"/>
        <v>0</v>
      </c>
      <c r="CK31" s="46">
        <f t="shared" si="136"/>
        <v>0</v>
      </c>
      <c r="CL31" s="46">
        <f t="shared" si="136"/>
        <v>0</v>
      </c>
      <c r="CM31" s="46">
        <f t="shared" si="136"/>
        <v>0</v>
      </c>
      <c r="CN31" s="46">
        <f t="shared" si="136"/>
        <v>0</v>
      </c>
      <c r="CO31" s="46">
        <f t="shared" si="136"/>
        <v>0</v>
      </c>
      <c r="CP31" s="46">
        <f t="shared" si="136"/>
        <v>0</v>
      </c>
      <c r="CQ31" s="46">
        <f t="shared" si="136"/>
        <v>0</v>
      </c>
      <c r="CR31" s="46">
        <f t="shared" si="136"/>
        <v>0</v>
      </c>
      <c r="CS31" s="46">
        <f t="shared" si="136"/>
        <v>0</v>
      </c>
      <c r="CT31" s="46">
        <f t="shared" si="136"/>
        <v>0</v>
      </c>
    </row>
    <row r="32" spans="1:98" s="247" customFormat="1" ht="14.25" customHeight="1" x14ac:dyDescent="0.2">
      <c r="A32" s="674" t="s">
        <v>7006</v>
      </c>
      <c r="B32" s="920" t="s">
        <v>7178</v>
      </c>
      <c r="C32" s="920" t="s">
        <v>7179</v>
      </c>
      <c r="D32" s="920" t="s">
        <v>7179</v>
      </c>
      <c r="E32" s="611"/>
      <c r="F32" s="607"/>
      <c r="G32" s="668"/>
      <c r="H32" s="608">
        <f>10000-10000</f>
        <v>0</v>
      </c>
      <c r="I32" s="668">
        <f>65000+10000</f>
        <v>75000</v>
      </c>
      <c r="J32" s="668"/>
      <c r="K32" s="668"/>
      <c r="L32" s="668"/>
      <c r="M32" s="669"/>
      <c r="N32" s="608"/>
      <c r="O32" s="608"/>
      <c r="P32" s="608"/>
      <c r="Q32" s="608"/>
      <c r="R32" s="1129"/>
      <c r="S32" s="438"/>
      <c r="T32" s="434"/>
      <c r="U32" s="434"/>
      <c r="V32" s="438"/>
      <c r="W32" s="439"/>
      <c r="X32" s="434"/>
      <c r="Y32" s="434"/>
      <c r="Z32" s="437">
        <f t="shared" si="3"/>
        <v>0</v>
      </c>
      <c r="AA32" s="439"/>
      <c r="AB32" s="434"/>
      <c r="AC32" s="434"/>
      <c r="AD32" s="437">
        <f t="shared" ref="AD32:AD33" si="159">$H32-AA32-AB32-AC32</f>
        <v>0</v>
      </c>
      <c r="AE32" s="439"/>
      <c r="AF32" s="434"/>
      <c r="AG32" s="434"/>
      <c r="AH32" s="435">
        <f t="shared" ref="AH32:AH33" si="160">$I32-AE32-AF32-AG32</f>
        <v>75000</v>
      </c>
      <c r="AI32" s="438"/>
      <c r="AJ32" s="434"/>
      <c r="AK32" s="434"/>
      <c r="AL32" s="437">
        <f t="shared" ref="AL32:AL33" si="161">$J32-AI32-AJ32-AK32</f>
        <v>0</v>
      </c>
      <c r="AM32" s="438"/>
      <c r="AN32" s="434"/>
      <c r="AO32" s="434"/>
      <c r="AP32" s="1128">
        <f t="shared" ref="AP32:AP33" si="162">$K32-AM32-AN32-AO32</f>
        <v>0</v>
      </c>
      <c r="AQ32" s="438"/>
      <c r="AR32" s="434"/>
      <c r="AS32" s="434"/>
      <c r="AT32" s="435">
        <f t="shared" ref="AT32:AT33" si="163">$L32-AQ32-AR32-AS32</f>
        <v>0</v>
      </c>
      <c r="AU32" s="438"/>
      <c r="AV32" s="434"/>
      <c r="AW32" s="434"/>
      <c r="AX32" s="437">
        <f t="shared" ref="AX32:AX33" si="164">$M32-AU32-AV32-AW32</f>
        <v>0</v>
      </c>
      <c r="AY32" s="438"/>
      <c r="AZ32" s="434"/>
      <c r="BA32" s="434"/>
      <c r="BB32" s="437">
        <f t="shared" ref="BB32:BB33" si="165">$N32-AY32-AZ32-BA32</f>
        <v>0</v>
      </c>
      <c r="BC32" s="438"/>
      <c r="BD32" s="434"/>
      <c r="BE32" s="434"/>
      <c r="BF32" s="1131">
        <f t="shared" ref="BF32:BF33" si="166">$O32-BC32-BD32-BE32</f>
        <v>0</v>
      </c>
      <c r="BG32" s="438"/>
      <c r="BH32" s="434"/>
      <c r="BI32" s="434"/>
      <c r="BJ32" s="1131">
        <f t="shared" ref="BJ32:BJ33" si="167">$P32-BG32-BH32-BI32</f>
        <v>0</v>
      </c>
      <c r="BK32" s="438"/>
      <c r="BL32" s="434"/>
      <c r="BM32" s="434"/>
      <c r="BN32" s="1131">
        <f t="shared" ref="BN32:BN33" si="168">$Q32-BK32-BL32-BM32</f>
        <v>0</v>
      </c>
      <c r="BO32" s="438"/>
      <c r="BP32" s="434"/>
      <c r="BQ32" s="434"/>
      <c r="BR32" s="1131">
        <f t="shared" si="127"/>
        <v>0</v>
      </c>
      <c r="BS32" s="438"/>
      <c r="BT32" s="833">
        <v>1</v>
      </c>
      <c r="BU32" s="833">
        <f t="shared" ref="BU32:BU33" si="169">BT32</f>
        <v>1</v>
      </c>
      <c r="BV32" s="833">
        <f t="shared" ref="BV32:BV33" si="170">BU32</f>
        <v>1</v>
      </c>
      <c r="BW32" s="833">
        <f t="shared" ref="BW32:BW33" si="171">BV32</f>
        <v>1</v>
      </c>
      <c r="BX32" s="833">
        <f t="shared" ref="BX32:BX33" si="172">BW32</f>
        <v>1</v>
      </c>
      <c r="BY32" s="833">
        <f t="shared" ref="BY32:BY33" si="173">BX32</f>
        <v>1</v>
      </c>
      <c r="BZ32" s="833">
        <f t="shared" ref="BZ32:BZ33" si="174">BY32</f>
        <v>1</v>
      </c>
      <c r="CA32" s="833">
        <f t="shared" ref="CA32:CA33" si="175">BZ32</f>
        <v>1</v>
      </c>
      <c r="CB32" s="833">
        <f t="shared" ref="CB32:CB33" si="176">CA32</f>
        <v>1</v>
      </c>
      <c r="CC32" s="833">
        <f t="shared" ref="CC32:CC33" si="177">CB32</f>
        <v>1</v>
      </c>
      <c r="CD32" s="833">
        <f t="shared" ref="CD32:CD33" si="178">CC32</f>
        <v>1</v>
      </c>
      <c r="CE32" s="833">
        <f t="shared" ref="CE32:CF33" si="179">CD32</f>
        <v>1</v>
      </c>
      <c r="CF32" s="833">
        <f t="shared" si="179"/>
        <v>1</v>
      </c>
      <c r="CG32" s="833"/>
      <c r="CH32" s="46">
        <f t="shared" ref="CH32:CH33" si="180">ROUND(BT32*F32,-3)</f>
        <v>0</v>
      </c>
      <c r="CI32" s="46">
        <f t="shared" ref="CI32:CI33" si="181">ROUND(BU32*G32,-3)</f>
        <v>0</v>
      </c>
      <c r="CJ32" s="46">
        <f t="shared" ref="CJ32:CJ33" si="182">ROUND(BV32*H32,-3)</f>
        <v>0</v>
      </c>
      <c r="CK32" s="46">
        <f t="shared" ref="CK32:CK33" si="183">ROUND(BW32*I32,-3)</f>
        <v>75000</v>
      </c>
      <c r="CL32" s="46">
        <f t="shared" ref="CL32:CL33" si="184">ROUND(BX32*J32,-3)</f>
        <v>0</v>
      </c>
      <c r="CM32" s="46">
        <f t="shared" ref="CM32:CM33" si="185">ROUND(BY32*K32,-3)</f>
        <v>0</v>
      </c>
      <c r="CN32" s="46">
        <f t="shared" ref="CN32:CN33" si="186">ROUND(BZ32*L32,-3)</f>
        <v>0</v>
      </c>
      <c r="CO32" s="46">
        <f t="shared" ref="CO32:CO33" si="187">ROUND(CA32*M32,-3)</f>
        <v>0</v>
      </c>
      <c r="CP32" s="46">
        <f t="shared" ref="CP32:CP33" si="188">ROUND(CB32*N32,-3)</f>
        <v>0</v>
      </c>
      <c r="CQ32" s="46">
        <f t="shared" ref="CQ32:CQ33" si="189">ROUND(CC32*O32,-3)</f>
        <v>0</v>
      </c>
      <c r="CR32" s="46">
        <f t="shared" ref="CR32:CR33" si="190">ROUND(CD32*P32,-3)</f>
        <v>0</v>
      </c>
      <c r="CS32" s="46">
        <f>ROUND(CE32*Q32,-3)</f>
        <v>0</v>
      </c>
      <c r="CT32" s="46">
        <f>ROUND(CF32*R32,-3)</f>
        <v>0</v>
      </c>
    </row>
    <row r="33" spans="1:98" s="247" customFormat="1" ht="14.25" customHeight="1" x14ac:dyDescent="0.2">
      <c r="A33" s="674" t="s">
        <v>6937</v>
      </c>
      <c r="B33" s="920" t="s">
        <v>7180</v>
      </c>
      <c r="C33" s="920" t="s">
        <v>7181</v>
      </c>
      <c r="D33" s="920" t="s">
        <v>7181</v>
      </c>
      <c r="E33" s="611"/>
      <c r="F33" s="607"/>
      <c r="G33" s="668"/>
      <c r="H33" s="608">
        <v>20000</v>
      </c>
      <c r="I33" s="668"/>
      <c r="J33" s="668"/>
      <c r="K33" s="668"/>
      <c r="L33" s="668"/>
      <c r="M33" s="669"/>
      <c r="N33" s="608"/>
      <c r="O33" s="608"/>
      <c r="P33" s="608"/>
      <c r="Q33" s="608"/>
      <c r="R33" s="1129"/>
      <c r="S33" s="438"/>
      <c r="T33" s="434"/>
      <c r="U33" s="434"/>
      <c r="V33" s="438"/>
      <c r="W33" s="439"/>
      <c r="X33" s="434"/>
      <c r="Y33" s="434"/>
      <c r="Z33" s="437">
        <f t="shared" si="3"/>
        <v>0</v>
      </c>
      <c r="AA33" s="439"/>
      <c r="AB33" s="434"/>
      <c r="AC33" s="434"/>
      <c r="AD33" s="437">
        <f t="shared" si="159"/>
        <v>20000</v>
      </c>
      <c r="AE33" s="439"/>
      <c r="AF33" s="434"/>
      <c r="AG33" s="434"/>
      <c r="AH33" s="435">
        <f t="shared" si="160"/>
        <v>0</v>
      </c>
      <c r="AI33" s="438"/>
      <c r="AJ33" s="434"/>
      <c r="AK33" s="434"/>
      <c r="AL33" s="437">
        <f t="shared" si="161"/>
        <v>0</v>
      </c>
      <c r="AM33" s="438"/>
      <c r="AN33" s="434"/>
      <c r="AO33" s="434"/>
      <c r="AP33" s="1128">
        <f t="shared" si="162"/>
        <v>0</v>
      </c>
      <c r="AQ33" s="438"/>
      <c r="AR33" s="434"/>
      <c r="AS33" s="434"/>
      <c r="AT33" s="435">
        <f t="shared" si="163"/>
        <v>0</v>
      </c>
      <c r="AU33" s="438"/>
      <c r="AV33" s="434"/>
      <c r="AW33" s="434"/>
      <c r="AX33" s="437">
        <f t="shared" si="164"/>
        <v>0</v>
      </c>
      <c r="AY33" s="438"/>
      <c r="AZ33" s="434"/>
      <c r="BA33" s="434"/>
      <c r="BB33" s="437">
        <f t="shared" si="165"/>
        <v>0</v>
      </c>
      <c r="BC33" s="438"/>
      <c r="BD33" s="434"/>
      <c r="BE33" s="434"/>
      <c r="BF33" s="1131">
        <f t="shared" si="166"/>
        <v>0</v>
      </c>
      <c r="BG33" s="438"/>
      <c r="BH33" s="434"/>
      <c r="BI33" s="434"/>
      <c r="BJ33" s="1131">
        <f t="shared" si="167"/>
        <v>0</v>
      </c>
      <c r="BK33" s="438"/>
      <c r="BL33" s="434"/>
      <c r="BM33" s="434"/>
      <c r="BN33" s="1131">
        <f t="shared" si="168"/>
        <v>0</v>
      </c>
      <c r="BO33" s="438"/>
      <c r="BP33" s="434"/>
      <c r="BQ33" s="434"/>
      <c r="BR33" s="1131">
        <f t="shared" si="127"/>
        <v>0</v>
      </c>
      <c r="BS33" s="438"/>
      <c r="BT33" s="833">
        <v>1</v>
      </c>
      <c r="BU33" s="833">
        <f t="shared" si="169"/>
        <v>1</v>
      </c>
      <c r="BV33" s="833">
        <f t="shared" si="170"/>
        <v>1</v>
      </c>
      <c r="BW33" s="833">
        <f t="shared" si="171"/>
        <v>1</v>
      </c>
      <c r="BX33" s="833">
        <f t="shared" si="172"/>
        <v>1</v>
      </c>
      <c r="BY33" s="833">
        <f t="shared" si="173"/>
        <v>1</v>
      </c>
      <c r="BZ33" s="833">
        <f t="shared" si="174"/>
        <v>1</v>
      </c>
      <c r="CA33" s="833">
        <f t="shared" si="175"/>
        <v>1</v>
      </c>
      <c r="CB33" s="833">
        <f t="shared" si="176"/>
        <v>1</v>
      </c>
      <c r="CC33" s="833">
        <f t="shared" si="177"/>
        <v>1</v>
      </c>
      <c r="CD33" s="833">
        <f t="shared" si="178"/>
        <v>1</v>
      </c>
      <c r="CE33" s="833">
        <f t="shared" si="179"/>
        <v>1</v>
      </c>
      <c r="CF33" s="833">
        <f t="shared" si="179"/>
        <v>1</v>
      </c>
      <c r="CG33" s="833"/>
      <c r="CH33" s="46">
        <f t="shared" si="180"/>
        <v>0</v>
      </c>
      <c r="CI33" s="46">
        <f t="shared" si="181"/>
        <v>0</v>
      </c>
      <c r="CJ33" s="46">
        <f t="shared" si="182"/>
        <v>20000</v>
      </c>
      <c r="CK33" s="46">
        <f t="shared" si="183"/>
        <v>0</v>
      </c>
      <c r="CL33" s="46">
        <f t="shared" si="184"/>
        <v>0</v>
      </c>
      <c r="CM33" s="46">
        <f t="shared" si="185"/>
        <v>0</v>
      </c>
      <c r="CN33" s="46">
        <f t="shared" si="186"/>
        <v>0</v>
      </c>
      <c r="CO33" s="46">
        <f t="shared" si="187"/>
        <v>0</v>
      </c>
      <c r="CP33" s="46">
        <f t="shared" si="188"/>
        <v>0</v>
      </c>
      <c r="CQ33" s="46">
        <f t="shared" si="189"/>
        <v>0</v>
      </c>
      <c r="CR33" s="46">
        <f t="shared" si="190"/>
        <v>0</v>
      </c>
      <c r="CS33" s="46">
        <f>ROUND(CE33*Q33,-3)</f>
        <v>0</v>
      </c>
      <c r="CT33" s="46">
        <f>ROUND(CF33*R33,-3)</f>
        <v>0</v>
      </c>
    </row>
    <row r="34" spans="1:98" s="247" customFormat="1" ht="14.25" customHeight="1" x14ac:dyDescent="0.2">
      <c r="A34" s="671"/>
      <c r="B34" s="919"/>
      <c r="C34" s="919"/>
      <c r="D34" s="919"/>
      <c r="E34" s="611"/>
      <c r="F34" s="607"/>
      <c r="G34" s="668"/>
      <c r="H34" s="608"/>
      <c r="I34" s="668"/>
      <c r="J34" s="668"/>
      <c r="K34" s="668"/>
      <c r="L34" s="668"/>
      <c r="M34" s="669"/>
      <c r="N34" s="608"/>
      <c r="O34" s="608"/>
      <c r="P34" s="608"/>
      <c r="Q34" s="608"/>
      <c r="R34" s="1129"/>
      <c r="S34" s="438"/>
      <c r="T34" s="434"/>
      <c r="U34" s="434"/>
      <c r="V34" s="438"/>
      <c r="W34" s="439"/>
      <c r="X34" s="434"/>
      <c r="Y34" s="434"/>
      <c r="Z34" s="437">
        <f t="shared" si="3"/>
        <v>0</v>
      </c>
      <c r="AA34" s="439"/>
      <c r="AB34" s="434"/>
      <c r="AC34" s="434"/>
      <c r="AD34" s="437"/>
      <c r="AE34" s="439"/>
      <c r="AF34" s="434"/>
      <c r="AG34" s="434"/>
      <c r="AH34" s="435"/>
      <c r="AI34" s="438"/>
      <c r="AJ34" s="434"/>
      <c r="AK34" s="434"/>
      <c r="AL34" s="437"/>
      <c r="AM34" s="438"/>
      <c r="AN34" s="434"/>
      <c r="AO34" s="434"/>
      <c r="AP34" s="1131"/>
      <c r="AQ34" s="438"/>
      <c r="AR34" s="434"/>
      <c r="AS34" s="434"/>
      <c r="AT34" s="437"/>
      <c r="AU34" s="438"/>
      <c r="AV34" s="434"/>
      <c r="AW34" s="434"/>
      <c r="AX34" s="437"/>
      <c r="AY34" s="438"/>
      <c r="AZ34" s="434"/>
      <c r="BA34" s="434"/>
      <c r="BB34" s="437"/>
      <c r="BC34" s="438"/>
      <c r="BD34" s="434"/>
      <c r="BE34" s="434"/>
      <c r="BF34" s="1131"/>
      <c r="BG34" s="438"/>
      <c r="BH34" s="434"/>
      <c r="BI34" s="434"/>
      <c r="BJ34" s="1131"/>
      <c r="BK34" s="438"/>
      <c r="BL34" s="434"/>
      <c r="BM34" s="434"/>
      <c r="BN34" s="1131"/>
      <c r="BO34" s="438"/>
      <c r="BP34" s="434"/>
      <c r="BQ34" s="434"/>
      <c r="BR34" s="1131"/>
      <c r="BS34" s="438"/>
      <c r="BT34" s="833"/>
      <c r="BU34" s="833"/>
      <c r="BV34" s="833"/>
      <c r="BW34" s="833"/>
      <c r="BX34" s="833"/>
      <c r="BY34" s="833"/>
      <c r="BZ34" s="833"/>
      <c r="CA34" s="833"/>
      <c r="CB34" s="833"/>
      <c r="CC34" s="833"/>
      <c r="CD34" s="833"/>
      <c r="CE34" s="833"/>
      <c r="CF34" s="833"/>
      <c r="CG34" s="833"/>
      <c r="CH34" s="46"/>
      <c r="CI34" s="46"/>
      <c r="CJ34" s="46"/>
      <c r="CK34" s="46"/>
      <c r="CL34" s="46"/>
      <c r="CM34" s="46"/>
      <c r="CN34" s="46"/>
      <c r="CO34" s="46"/>
      <c r="CP34" s="46"/>
      <c r="CQ34" s="46"/>
      <c r="CR34" s="46"/>
      <c r="CS34" s="46"/>
      <c r="CT34" s="46"/>
    </row>
    <row r="35" spans="1:98" s="247" customFormat="1" ht="14.25" customHeight="1" x14ac:dyDescent="0.2">
      <c r="A35" s="904" t="s">
        <v>4853</v>
      </c>
      <c r="B35" s="919"/>
      <c r="C35" s="919"/>
      <c r="D35" s="919"/>
      <c r="E35" s="611"/>
      <c r="F35" s="607"/>
      <c r="G35" s="1544"/>
      <c r="H35" s="608"/>
      <c r="I35" s="668"/>
      <c r="J35" s="668"/>
      <c r="K35" s="608"/>
      <c r="L35" s="668"/>
      <c r="M35" s="669"/>
      <c r="N35" s="608"/>
      <c r="O35" s="608"/>
      <c r="P35" s="608"/>
      <c r="Q35" s="608"/>
      <c r="R35" s="1129"/>
      <c r="S35" s="438"/>
      <c r="T35" s="434"/>
      <c r="U35" s="434"/>
      <c r="V35" s="438"/>
      <c r="W35" s="439"/>
      <c r="X35" s="434"/>
      <c r="Y35" s="434"/>
      <c r="Z35" s="437">
        <f t="shared" si="3"/>
        <v>0</v>
      </c>
      <c r="AA35" s="439"/>
      <c r="AB35" s="434"/>
      <c r="AC35" s="434"/>
      <c r="AD35" s="437"/>
      <c r="AE35" s="439"/>
      <c r="AF35" s="434"/>
      <c r="AG35" s="434"/>
      <c r="AH35" s="435"/>
      <c r="AI35" s="438"/>
      <c r="AJ35" s="434"/>
      <c r="AK35" s="434"/>
      <c r="AL35" s="437"/>
      <c r="AM35" s="438"/>
      <c r="AN35" s="434"/>
      <c r="AO35" s="434"/>
      <c r="AP35" s="1131"/>
      <c r="AQ35" s="438"/>
      <c r="AR35" s="434"/>
      <c r="AS35" s="434"/>
      <c r="AT35" s="437"/>
      <c r="AU35" s="438"/>
      <c r="AV35" s="434"/>
      <c r="AW35" s="434"/>
      <c r="AX35" s="437"/>
      <c r="AY35" s="438"/>
      <c r="AZ35" s="434"/>
      <c r="BA35" s="434"/>
      <c r="BB35" s="437"/>
      <c r="BC35" s="438"/>
      <c r="BD35" s="434"/>
      <c r="BE35" s="434"/>
      <c r="BF35" s="1131"/>
      <c r="BG35" s="438"/>
      <c r="BH35" s="434"/>
      <c r="BI35" s="434"/>
      <c r="BJ35" s="1131"/>
      <c r="BK35" s="438"/>
      <c r="BL35" s="434"/>
      <c r="BM35" s="434"/>
      <c r="BN35" s="1131"/>
      <c r="BO35" s="438"/>
      <c r="BP35" s="434"/>
      <c r="BQ35" s="434"/>
      <c r="BR35" s="1131"/>
      <c r="BS35" s="438"/>
      <c r="BT35" s="833"/>
      <c r="BU35" s="833"/>
      <c r="BV35" s="833"/>
      <c r="BW35" s="833"/>
      <c r="BX35" s="833"/>
      <c r="BY35" s="833"/>
      <c r="BZ35" s="833"/>
      <c r="CA35" s="833"/>
      <c r="CB35" s="833"/>
      <c r="CC35" s="833"/>
      <c r="CD35" s="833"/>
      <c r="CE35" s="833"/>
      <c r="CF35" s="833"/>
      <c r="CG35" s="833"/>
      <c r="CH35" s="46"/>
      <c r="CI35" s="46"/>
      <c r="CJ35" s="46"/>
      <c r="CK35" s="46"/>
      <c r="CL35" s="46"/>
      <c r="CM35" s="46"/>
      <c r="CN35" s="46"/>
      <c r="CO35" s="46"/>
      <c r="CP35" s="46"/>
      <c r="CQ35" s="46"/>
      <c r="CR35" s="46"/>
      <c r="CS35" s="46"/>
      <c r="CT35" s="46"/>
    </row>
    <row r="36" spans="1:98" s="247" customFormat="1" ht="14.25" customHeight="1" x14ac:dyDescent="0.2">
      <c r="A36" s="673" t="s">
        <v>3784</v>
      </c>
      <c r="B36" s="920" t="s">
        <v>2124</v>
      </c>
      <c r="C36" s="920" t="s">
        <v>4959</v>
      </c>
      <c r="D36" s="920" t="s">
        <v>2124</v>
      </c>
      <c r="E36" s="611">
        <v>0.75</v>
      </c>
      <c r="F36" s="607">
        <v>195000</v>
      </c>
      <c r="G36" s="668">
        <v>23800</v>
      </c>
      <c r="H36" s="608">
        <v>27200</v>
      </c>
      <c r="I36" s="668"/>
      <c r="J36" s="668"/>
      <c r="K36" s="608"/>
      <c r="L36" s="668"/>
      <c r="M36" s="669"/>
      <c r="N36" s="608"/>
      <c r="O36" s="608"/>
      <c r="P36" s="608"/>
      <c r="Q36" s="608"/>
      <c r="R36" s="1129"/>
      <c r="S36" s="438"/>
      <c r="T36" s="434"/>
      <c r="U36" s="434"/>
      <c r="V36" s="438">
        <f t="shared" ref="V36" si="191">$F36-S36-T36-U36</f>
        <v>195000</v>
      </c>
      <c r="W36" s="439"/>
      <c r="X36" s="434"/>
      <c r="Y36" s="434"/>
      <c r="Z36" s="437">
        <f t="shared" si="3"/>
        <v>23800</v>
      </c>
      <c r="AA36" s="439"/>
      <c r="AB36" s="434"/>
      <c r="AC36" s="434"/>
      <c r="AD36" s="437">
        <f t="shared" ref="AD36" si="192">$H36-AA36-AB36-AC36</f>
        <v>27200</v>
      </c>
      <c r="AE36" s="439"/>
      <c r="AF36" s="434"/>
      <c r="AG36" s="434"/>
      <c r="AH36" s="435">
        <f t="shared" ref="AH36" si="193">$I36-AE36-AF36-AG36</f>
        <v>0</v>
      </c>
      <c r="AI36" s="438"/>
      <c r="AJ36" s="434"/>
      <c r="AK36" s="434"/>
      <c r="AL36" s="437">
        <f t="shared" ref="AL36" si="194">$J36-AI36-AJ36-AK36</f>
        <v>0</v>
      </c>
      <c r="AM36" s="438"/>
      <c r="AN36" s="434"/>
      <c r="AO36" s="434"/>
      <c r="AP36" s="1131">
        <f t="shared" ref="AP36" si="195">$K36-AM36-AN36-AO36</f>
        <v>0</v>
      </c>
      <c r="AQ36" s="438"/>
      <c r="AR36" s="434"/>
      <c r="AS36" s="434"/>
      <c r="AT36" s="437">
        <f t="shared" ref="AT36" si="196">$L36-AQ36-AR36-AS36</f>
        <v>0</v>
      </c>
      <c r="AU36" s="438"/>
      <c r="AV36" s="434"/>
      <c r="AW36" s="434"/>
      <c r="AX36" s="437">
        <f t="shared" ref="AX36" si="197">$M36-AU36-AV36-AW36</f>
        <v>0</v>
      </c>
      <c r="AY36" s="438"/>
      <c r="AZ36" s="434"/>
      <c r="BA36" s="434"/>
      <c r="BB36" s="437">
        <f t="shared" ref="BB36" si="198">$N36-AY36-AZ36-BA36</f>
        <v>0</v>
      </c>
      <c r="BC36" s="438"/>
      <c r="BD36" s="434"/>
      <c r="BE36" s="434"/>
      <c r="BF36" s="1131">
        <f t="shared" ref="BF36" si="199">$O36-BC36-BD36-BE36</f>
        <v>0</v>
      </c>
      <c r="BG36" s="438"/>
      <c r="BH36" s="434"/>
      <c r="BI36" s="434"/>
      <c r="BJ36" s="1131">
        <f t="shared" ref="BJ36" si="200">$P36-BG36-BH36-BI36</f>
        <v>0</v>
      </c>
      <c r="BK36" s="438"/>
      <c r="BL36" s="434"/>
      <c r="BM36" s="434"/>
      <c r="BN36" s="1131">
        <f t="shared" si="126"/>
        <v>0</v>
      </c>
      <c r="BO36" s="438"/>
      <c r="BP36" s="434"/>
      <c r="BQ36" s="434"/>
      <c r="BR36" s="1131">
        <f t="shared" ref="BR36:BR37" si="201">$R36-BO36-BP36-BQ36</f>
        <v>0</v>
      </c>
      <c r="BS36" s="438"/>
      <c r="BT36" s="833">
        <v>0.75</v>
      </c>
      <c r="BU36" s="833">
        <f t="shared" ref="BU36:CF36" si="202">BT36</f>
        <v>0.75</v>
      </c>
      <c r="BV36" s="833">
        <f t="shared" si="202"/>
        <v>0.75</v>
      </c>
      <c r="BW36" s="833">
        <f t="shared" si="202"/>
        <v>0.75</v>
      </c>
      <c r="BX36" s="833">
        <f t="shared" si="202"/>
        <v>0.75</v>
      </c>
      <c r="BY36" s="833">
        <f t="shared" si="202"/>
        <v>0.75</v>
      </c>
      <c r="BZ36" s="833">
        <f t="shared" si="202"/>
        <v>0.75</v>
      </c>
      <c r="CA36" s="833">
        <f t="shared" si="202"/>
        <v>0.75</v>
      </c>
      <c r="CB36" s="833">
        <f t="shared" si="202"/>
        <v>0.75</v>
      </c>
      <c r="CC36" s="833">
        <f t="shared" si="202"/>
        <v>0.75</v>
      </c>
      <c r="CD36" s="833">
        <f t="shared" si="202"/>
        <v>0.75</v>
      </c>
      <c r="CE36" s="833">
        <f t="shared" si="202"/>
        <v>0.75</v>
      </c>
      <c r="CF36" s="833">
        <f t="shared" si="202"/>
        <v>0.75</v>
      </c>
      <c r="CG36" s="833"/>
      <c r="CH36" s="46">
        <f t="shared" ref="CH36:CH47" si="203">ROUND(BT36*F36,-3)</f>
        <v>146000</v>
      </c>
      <c r="CI36" s="46">
        <f t="shared" ref="CI36:CI47" si="204">ROUND(BU36*G36,-3)</f>
        <v>18000</v>
      </c>
      <c r="CJ36" s="46">
        <f t="shared" ref="CJ36:CJ47" si="205">ROUND(BV36*H36,-3)</f>
        <v>20000</v>
      </c>
      <c r="CK36" s="46">
        <f t="shared" ref="CK36:CK47" si="206">ROUND(BW36*I36,-3)</f>
        <v>0</v>
      </c>
      <c r="CL36" s="46">
        <f t="shared" ref="CL36:CL47" si="207">ROUND(BX36*J36,-3)</f>
        <v>0</v>
      </c>
      <c r="CM36" s="46">
        <f t="shared" ref="CM36:CM47" si="208">ROUND(BY36*K36,-3)</f>
        <v>0</v>
      </c>
      <c r="CN36" s="46">
        <f t="shared" ref="CN36:CN47" si="209">ROUND(BZ36*L36,-3)</f>
        <v>0</v>
      </c>
      <c r="CO36" s="46">
        <f t="shared" ref="CO36:CO47" si="210">ROUND(CA36*M36,-3)</f>
        <v>0</v>
      </c>
      <c r="CP36" s="46">
        <f t="shared" ref="CP36:CP47" si="211">ROUND(CB36*N36,-3)</f>
        <v>0</v>
      </c>
      <c r="CQ36" s="46">
        <f t="shared" ref="CQ36:CQ47" si="212">ROUND(CC36*O36,-3)</f>
        <v>0</v>
      </c>
      <c r="CR36" s="46">
        <f t="shared" ref="CR36:CR47" si="213">ROUND(CD36*P36,-3)</f>
        <v>0</v>
      </c>
      <c r="CS36" s="46">
        <f>ROUND(CE36*Q36,-3)</f>
        <v>0</v>
      </c>
      <c r="CT36" s="46">
        <f>ROUND(CF36*R36,-3)</f>
        <v>0</v>
      </c>
    </row>
    <row r="37" spans="1:98" s="247" customFormat="1" ht="14.25" customHeight="1" x14ac:dyDescent="0.2">
      <c r="A37" s="673" t="s">
        <v>1080</v>
      </c>
      <c r="B37" s="920" t="s">
        <v>5024</v>
      </c>
      <c r="C37" s="920" t="s">
        <v>5025</v>
      </c>
      <c r="D37" s="920" t="s">
        <v>5025</v>
      </c>
      <c r="E37" s="611">
        <v>0.75</v>
      </c>
      <c r="F37" s="607">
        <v>55600</v>
      </c>
      <c r="G37" s="668"/>
      <c r="H37" s="608"/>
      <c r="I37" s="668"/>
      <c r="J37" s="668"/>
      <c r="K37" s="608"/>
      <c r="L37" s="668"/>
      <c r="M37" s="669"/>
      <c r="N37" s="608"/>
      <c r="O37" s="608"/>
      <c r="P37" s="608"/>
      <c r="Q37" s="608"/>
      <c r="R37" s="1129"/>
      <c r="S37" s="438"/>
      <c r="T37" s="434"/>
      <c r="U37" s="434"/>
      <c r="V37" s="438">
        <f t="shared" ref="V37:V43" si="214">$F37-S37-T37-U37</f>
        <v>55600</v>
      </c>
      <c r="W37" s="439"/>
      <c r="X37" s="434"/>
      <c r="Y37" s="434"/>
      <c r="Z37" s="437">
        <f t="shared" si="3"/>
        <v>0</v>
      </c>
      <c r="AA37" s="439"/>
      <c r="AB37" s="434"/>
      <c r="AC37" s="434"/>
      <c r="AD37" s="437">
        <f t="shared" ref="AD37:AD46" si="215">$H37-AA37-AB37-AC37</f>
        <v>0</v>
      </c>
      <c r="AE37" s="439"/>
      <c r="AF37" s="434"/>
      <c r="AG37" s="434"/>
      <c r="AH37" s="435">
        <f t="shared" ref="AH37:AH46" si="216">$I37-AE37-AF37-AG37</f>
        <v>0</v>
      </c>
      <c r="AI37" s="438"/>
      <c r="AJ37" s="434"/>
      <c r="AK37" s="434"/>
      <c r="AL37" s="437">
        <f t="shared" ref="AL37:AL46" si="217">$J37-AI37-AJ37-AK37</f>
        <v>0</v>
      </c>
      <c r="AM37" s="438"/>
      <c r="AN37" s="434"/>
      <c r="AO37" s="434"/>
      <c r="AP37" s="1131">
        <f t="shared" ref="AP37:AP46" si="218">$K37-AM37-AN37-AO37</f>
        <v>0</v>
      </c>
      <c r="AQ37" s="438"/>
      <c r="AR37" s="434"/>
      <c r="AS37" s="434"/>
      <c r="AT37" s="437">
        <f t="shared" ref="AT37:AT46" si="219">$L37-AQ37-AR37-AS37</f>
        <v>0</v>
      </c>
      <c r="AU37" s="438"/>
      <c r="AV37" s="434"/>
      <c r="AW37" s="434"/>
      <c r="AX37" s="437">
        <f t="shared" ref="AX37:AX46" si="220">$M37-AU37-AV37-AW37</f>
        <v>0</v>
      </c>
      <c r="AY37" s="438"/>
      <c r="AZ37" s="434"/>
      <c r="BA37" s="434"/>
      <c r="BB37" s="437">
        <f t="shared" ref="BB37:BB46" si="221">$N37-AY37-AZ37-BA37</f>
        <v>0</v>
      </c>
      <c r="BC37" s="438"/>
      <c r="BD37" s="434"/>
      <c r="BE37" s="434"/>
      <c r="BF37" s="1131">
        <f t="shared" ref="BF37:BF46" si="222">$O37-BC37-BD37-BE37</f>
        <v>0</v>
      </c>
      <c r="BG37" s="438"/>
      <c r="BH37" s="434"/>
      <c r="BI37" s="434"/>
      <c r="BJ37" s="1131">
        <f t="shared" ref="BJ37:BJ46" si="223">$P37-BG37-BH37-BI37</f>
        <v>0</v>
      </c>
      <c r="BK37" s="438"/>
      <c r="BL37" s="434"/>
      <c r="BM37" s="434"/>
      <c r="BN37" s="1131">
        <f t="shared" si="126"/>
        <v>0</v>
      </c>
      <c r="BO37" s="438"/>
      <c r="BP37" s="434"/>
      <c r="BQ37" s="434"/>
      <c r="BR37" s="1131">
        <f t="shared" si="201"/>
        <v>0</v>
      </c>
      <c r="BS37" s="438"/>
      <c r="BT37" s="833">
        <v>0.75</v>
      </c>
      <c r="BU37" s="833">
        <f t="shared" ref="BU37:BU43" si="224">BT37</f>
        <v>0.75</v>
      </c>
      <c r="BV37" s="833">
        <f t="shared" ref="BV37:BV43" si="225">BU37</f>
        <v>0.75</v>
      </c>
      <c r="BW37" s="833">
        <f t="shared" ref="BW37:BW43" si="226">BV37</f>
        <v>0.75</v>
      </c>
      <c r="BX37" s="833">
        <f t="shared" ref="BX37:BX43" si="227">BW37</f>
        <v>0.75</v>
      </c>
      <c r="BY37" s="833">
        <f t="shared" ref="BY37:BY43" si="228">BX37</f>
        <v>0.75</v>
      </c>
      <c r="BZ37" s="833">
        <f t="shared" ref="BZ37:BZ43" si="229">BY37</f>
        <v>0.75</v>
      </c>
      <c r="CA37" s="833">
        <f t="shared" ref="CA37:CA43" si="230">BZ37</f>
        <v>0.75</v>
      </c>
      <c r="CB37" s="833">
        <f t="shared" ref="CB37:CB43" si="231">CA37</f>
        <v>0.75</v>
      </c>
      <c r="CC37" s="833">
        <f t="shared" ref="CC37:CC43" si="232">CB37</f>
        <v>0.75</v>
      </c>
      <c r="CD37" s="833">
        <f t="shared" ref="CD37:CF43" si="233">CC37</f>
        <v>0.75</v>
      </c>
      <c r="CE37" s="833">
        <f t="shared" si="233"/>
        <v>0.75</v>
      </c>
      <c r="CF37" s="833">
        <f t="shared" si="233"/>
        <v>0.75</v>
      </c>
      <c r="CG37" s="833"/>
      <c r="CH37" s="46">
        <f t="shared" si="203"/>
        <v>42000</v>
      </c>
      <c r="CI37" s="46">
        <f t="shared" si="204"/>
        <v>0</v>
      </c>
      <c r="CJ37" s="46">
        <f t="shared" si="205"/>
        <v>0</v>
      </c>
      <c r="CK37" s="46">
        <f t="shared" si="206"/>
        <v>0</v>
      </c>
      <c r="CL37" s="46">
        <f t="shared" si="207"/>
        <v>0</v>
      </c>
      <c r="CM37" s="46">
        <f t="shared" si="208"/>
        <v>0</v>
      </c>
      <c r="CN37" s="46">
        <f t="shared" si="209"/>
        <v>0</v>
      </c>
      <c r="CO37" s="46">
        <f t="shared" si="210"/>
        <v>0</v>
      </c>
      <c r="CP37" s="46">
        <f t="shared" si="211"/>
        <v>0</v>
      </c>
      <c r="CQ37" s="46">
        <f t="shared" si="212"/>
        <v>0</v>
      </c>
      <c r="CR37" s="46">
        <f t="shared" si="213"/>
        <v>0</v>
      </c>
      <c r="CS37" s="46">
        <f>ROUND(CE37*Q37,-3)</f>
        <v>0</v>
      </c>
      <c r="CT37" s="46">
        <f>ROUND(CF37*R37,-3)</f>
        <v>0</v>
      </c>
    </row>
    <row r="38" spans="1:98" s="247" customFormat="1" ht="14.25" customHeight="1" x14ac:dyDescent="0.2">
      <c r="A38" s="673" t="s">
        <v>11827</v>
      </c>
      <c r="B38" s="920" t="s">
        <v>11828</v>
      </c>
      <c r="C38" s="920"/>
      <c r="D38" s="920"/>
      <c r="E38" s="611"/>
      <c r="F38" s="607"/>
      <c r="G38" s="668">
        <v>73700</v>
      </c>
      <c r="H38" s="608"/>
      <c r="I38" s="668"/>
      <c r="J38" s="668"/>
      <c r="K38" s="608"/>
      <c r="L38" s="668"/>
      <c r="M38" s="669"/>
      <c r="N38" s="608"/>
      <c r="O38" s="608"/>
      <c r="P38" s="608"/>
      <c r="Q38" s="608"/>
      <c r="R38" s="1129"/>
      <c r="S38" s="438"/>
      <c r="T38" s="434"/>
      <c r="U38" s="434"/>
      <c r="V38" s="438"/>
      <c r="W38" s="439"/>
      <c r="X38" s="434"/>
      <c r="Y38" s="434"/>
      <c r="Z38" s="437">
        <f t="shared" si="3"/>
        <v>73700</v>
      </c>
      <c r="AA38" s="439"/>
      <c r="AB38" s="434"/>
      <c r="AC38" s="434"/>
      <c r="AD38" s="437"/>
      <c r="AE38" s="439"/>
      <c r="AF38" s="434"/>
      <c r="AG38" s="434"/>
      <c r="AH38" s="435"/>
      <c r="AI38" s="438"/>
      <c r="AJ38" s="434"/>
      <c r="AK38" s="434"/>
      <c r="AL38" s="437"/>
      <c r="AM38" s="438"/>
      <c r="AN38" s="434"/>
      <c r="AO38" s="434"/>
      <c r="AP38" s="1131"/>
      <c r="AQ38" s="438"/>
      <c r="AR38" s="434"/>
      <c r="AS38" s="434"/>
      <c r="AT38" s="437"/>
      <c r="AU38" s="438"/>
      <c r="AV38" s="434"/>
      <c r="AW38" s="434"/>
      <c r="AX38" s="437"/>
      <c r="AY38" s="438"/>
      <c r="AZ38" s="434"/>
      <c r="BA38" s="434"/>
      <c r="BB38" s="437"/>
      <c r="BC38" s="438"/>
      <c r="BD38" s="434"/>
      <c r="BE38" s="434"/>
      <c r="BF38" s="1131"/>
      <c r="BG38" s="438"/>
      <c r="BH38" s="434"/>
      <c r="BI38" s="434"/>
      <c r="BJ38" s="1131"/>
      <c r="BK38" s="438"/>
      <c r="BL38" s="434"/>
      <c r="BM38" s="434"/>
      <c r="BN38" s="1131"/>
      <c r="BO38" s="438"/>
      <c r="BP38" s="434"/>
      <c r="BQ38" s="434"/>
      <c r="BR38" s="1131"/>
      <c r="BS38" s="438"/>
      <c r="BT38" s="833"/>
      <c r="BU38" s="833"/>
      <c r="BV38" s="833"/>
      <c r="BW38" s="833"/>
      <c r="BX38" s="833"/>
      <c r="BY38" s="833"/>
      <c r="BZ38" s="833"/>
      <c r="CA38" s="833"/>
      <c r="CB38" s="833"/>
      <c r="CC38" s="833"/>
      <c r="CD38" s="833"/>
      <c r="CE38" s="833"/>
      <c r="CF38" s="833"/>
      <c r="CG38" s="833"/>
      <c r="CH38" s="46"/>
      <c r="CI38" s="46"/>
      <c r="CJ38" s="46"/>
      <c r="CK38" s="46"/>
      <c r="CL38" s="46"/>
      <c r="CM38" s="46"/>
      <c r="CN38" s="46"/>
      <c r="CO38" s="46"/>
      <c r="CP38" s="46"/>
      <c r="CQ38" s="46"/>
      <c r="CR38" s="46"/>
      <c r="CS38" s="46"/>
      <c r="CT38" s="46"/>
    </row>
    <row r="39" spans="1:98" s="247" customFormat="1" ht="14.25" customHeight="1" x14ac:dyDescent="0.2">
      <c r="A39" s="673" t="s">
        <v>4852</v>
      </c>
      <c r="B39" s="920" t="s">
        <v>568</v>
      </c>
      <c r="C39" s="920" t="s">
        <v>4973</v>
      </c>
      <c r="D39" s="920" t="s">
        <v>4973</v>
      </c>
      <c r="E39" s="611">
        <v>0.75</v>
      </c>
      <c r="F39" s="607">
        <v>127600</v>
      </c>
      <c r="G39" s="668"/>
      <c r="H39" s="608"/>
      <c r="I39" s="668"/>
      <c r="J39" s="668"/>
      <c r="K39" s="608"/>
      <c r="L39" s="668"/>
      <c r="M39" s="669"/>
      <c r="N39" s="608"/>
      <c r="O39" s="608"/>
      <c r="P39" s="608"/>
      <c r="Q39" s="608"/>
      <c r="R39" s="1129"/>
      <c r="S39" s="438"/>
      <c r="T39" s="434"/>
      <c r="U39" s="434"/>
      <c r="V39" s="438">
        <f t="shared" si="214"/>
        <v>127600</v>
      </c>
      <c r="W39" s="439"/>
      <c r="X39" s="434"/>
      <c r="Y39" s="434"/>
      <c r="Z39" s="437">
        <f t="shared" si="3"/>
        <v>0</v>
      </c>
      <c r="AA39" s="439"/>
      <c r="AB39" s="434"/>
      <c r="AC39" s="434"/>
      <c r="AD39" s="437">
        <f t="shared" si="215"/>
        <v>0</v>
      </c>
      <c r="AE39" s="439"/>
      <c r="AF39" s="434"/>
      <c r="AG39" s="434"/>
      <c r="AH39" s="435">
        <f t="shared" si="216"/>
        <v>0</v>
      </c>
      <c r="AI39" s="438"/>
      <c r="AJ39" s="434"/>
      <c r="AK39" s="434"/>
      <c r="AL39" s="437">
        <f t="shared" si="217"/>
        <v>0</v>
      </c>
      <c r="AM39" s="438"/>
      <c r="AN39" s="434"/>
      <c r="AO39" s="434"/>
      <c r="AP39" s="1131">
        <f t="shared" si="218"/>
        <v>0</v>
      </c>
      <c r="AQ39" s="438"/>
      <c r="AR39" s="434"/>
      <c r="AS39" s="434"/>
      <c r="AT39" s="437">
        <f t="shared" si="219"/>
        <v>0</v>
      </c>
      <c r="AU39" s="438"/>
      <c r="AV39" s="434"/>
      <c r="AW39" s="434"/>
      <c r="AX39" s="437">
        <f t="shared" si="220"/>
        <v>0</v>
      </c>
      <c r="AY39" s="438"/>
      <c r="AZ39" s="434"/>
      <c r="BA39" s="434"/>
      <c r="BB39" s="437">
        <f t="shared" si="221"/>
        <v>0</v>
      </c>
      <c r="BC39" s="438"/>
      <c r="BD39" s="434"/>
      <c r="BE39" s="434"/>
      <c r="BF39" s="1131">
        <f t="shared" si="222"/>
        <v>0</v>
      </c>
      <c r="BG39" s="438"/>
      <c r="BH39" s="434"/>
      <c r="BI39" s="434"/>
      <c r="BJ39" s="1131">
        <f t="shared" si="223"/>
        <v>0</v>
      </c>
      <c r="BK39" s="438"/>
      <c r="BL39" s="434"/>
      <c r="BM39" s="434"/>
      <c r="BN39" s="1131">
        <f t="shared" si="126"/>
        <v>0</v>
      </c>
      <c r="BO39" s="438"/>
      <c r="BP39" s="434"/>
      <c r="BQ39" s="434"/>
      <c r="BR39" s="1131">
        <f t="shared" ref="BR39:BR48" si="234">$R39-BO39-BP39-BQ39</f>
        <v>0</v>
      </c>
      <c r="BS39" s="438"/>
      <c r="BT39" s="833">
        <v>0.75</v>
      </c>
      <c r="BU39" s="833">
        <f t="shared" si="224"/>
        <v>0.75</v>
      </c>
      <c r="BV39" s="833">
        <f t="shared" si="225"/>
        <v>0.75</v>
      </c>
      <c r="BW39" s="833">
        <f t="shared" si="226"/>
        <v>0.75</v>
      </c>
      <c r="BX39" s="833">
        <f t="shared" si="227"/>
        <v>0.75</v>
      </c>
      <c r="BY39" s="833">
        <f t="shared" si="228"/>
        <v>0.75</v>
      </c>
      <c r="BZ39" s="833">
        <f t="shared" si="229"/>
        <v>0.75</v>
      </c>
      <c r="CA39" s="833">
        <f t="shared" si="230"/>
        <v>0.75</v>
      </c>
      <c r="CB39" s="833">
        <f t="shared" si="231"/>
        <v>0.75</v>
      </c>
      <c r="CC39" s="833">
        <f t="shared" si="232"/>
        <v>0.75</v>
      </c>
      <c r="CD39" s="833">
        <f t="shared" si="233"/>
        <v>0.75</v>
      </c>
      <c r="CE39" s="833">
        <f t="shared" si="233"/>
        <v>0.75</v>
      </c>
      <c r="CF39" s="833">
        <f t="shared" si="233"/>
        <v>0.75</v>
      </c>
      <c r="CG39" s="833"/>
      <c r="CH39" s="46">
        <f t="shared" si="203"/>
        <v>96000</v>
      </c>
      <c r="CI39" s="46">
        <f t="shared" si="204"/>
        <v>0</v>
      </c>
      <c r="CJ39" s="46">
        <f t="shared" si="205"/>
        <v>0</v>
      </c>
      <c r="CK39" s="46">
        <f t="shared" si="206"/>
        <v>0</v>
      </c>
      <c r="CL39" s="46">
        <f t="shared" si="207"/>
        <v>0</v>
      </c>
      <c r="CM39" s="46">
        <f t="shared" si="208"/>
        <v>0</v>
      </c>
      <c r="CN39" s="46">
        <f t="shared" si="209"/>
        <v>0</v>
      </c>
      <c r="CO39" s="46">
        <f t="shared" si="210"/>
        <v>0</v>
      </c>
      <c r="CP39" s="46">
        <f t="shared" si="211"/>
        <v>0</v>
      </c>
      <c r="CQ39" s="46">
        <f t="shared" si="212"/>
        <v>0</v>
      </c>
      <c r="CR39" s="46">
        <f t="shared" si="213"/>
        <v>0</v>
      </c>
      <c r="CS39" s="46">
        <f t="shared" ref="CS39:CS48" si="235">ROUND(CE39*Q39,-3)</f>
        <v>0</v>
      </c>
      <c r="CT39" s="46">
        <f t="shared" ref="CT39:CT48" si="236">ROUND(CF39*R39,-3)</f>
        <v>0</v>
      </c>
    </row>
    <row r="40" spans="1:98" s="247" customFormat="1" ht="14.25" customHeight="1" x14ac:dyDescent="0.2">
      <c r="A40" s="674" t="s">
        <v>4857</v>
      </c>
      <c r="B40" s="920" t="s">
        <v>4974</v>
      </c>
      <c r="C40" s="920" t="s">
        <v>4959</v>
      </c>
      <c r="D40" s="920"/>
      <c r="E40" s="611"/>
      <c r="F40" s="607">
        <v>16400</v>
      </c>
      <c r="G40" s="668"/>
      <c r="H40" s="608"/>
      <c r="I40" s="668"/>
      <c r="J40" s="608"/>
      <c r="K40" s="608"/>
      <c r="L40" s="668"/>
      <c r="M40" s="608"/>
      <c r="N40" s="608"/>
      <c r="O40" s="608"/>
      <c r="P40" s="608"/>
      <c r="Q40" s="608"/>
      <c r="R40" s="1129"/>
      <c r="S40" s="438"/>
      <c r="T40" s="434"/>
      <c r="U40" s="434"/>
      <c r="V40" s="438">
        <f t="shared" si="214"/>
        <v>16400</v>
      </c>
      <c r="W40" s="439"/>
      <c r="X40" s="434"/>
      <c r="Y40" s="434"/>
      <c r="Z40" s="437">
        <f t="shared" si="3"/>
        <v>0</v>
      </c>
      <c r="AA40" s="439"/>
      <c r="AB40" s="434"/>
      <c r="AC40" s="434"/>
      <c r="AD40" s="437">
        <f t="shared" si="215"/>
        <v>0</v>
      </c>
      <c r="AE40" s="439"/>
      <c r="AF40" s="434"/>
      <c r="AG40" s="434"/>
      <c r="AH40" s="435">
        <f t="shared" si="216"/>
        <v>0</v>
      </c>
      <c r="AI40" s="438"/>
      <c r="AJ40" s="434"/>
      <c r="AK40" s="434"/>
      <c r="AL40" s="437">
        <f t="shared" si="217"/>
        <v>0</v>
      </c>
      <c r="AM40" s="438"/>
      <c r="AN40" s="434"/>
      <c r="AO40" s="434"/>
      <c r="AP40" s="1131">
        <f t="shared" si="218"/>
        <v>0</v>
      </c>
      <c r="AQ40" s="438"/>
      <c r="AR40" s="434"/>
      <c r="AS40" s="434"/>
      <c r="AT40" s="437">
        <f t="shared" si="219"/>
        <v>0</v>
      </c>
      <c r="AU40" s="438"/>
      <c r="AV40" s="434"/>
      <c r="AW40" s="434"/>
      <c r="AX40" s="437">
        <f t="shared" si="220"/>
        <v>0</v>
      </c>
      <c r="AY40" s="438"/>
      <c r="AZ40" s="434"/>
      <c r="BA40" s="434"/>
      <c r="BB40" s="437">
        <f t="shared" si="221"/>
        <v>0</v>
      </c>
      <c r="BC40" s="438"/>
      <c r="BD40" s="434"/>
      <c r="BE40" s="434"/>
      <c r="BF40" s="1131">
        <f t="shared" si="222"/>
        <v>0</v>
      </c>
      <c r="BG40" s="438"/>
      <c r="BH40" s="434"/>
      <c r="BI40" s="434"/>
      <c r="BJ40" s="1131">
        <f t="shared" si="223"/>
        <v>0</v>
      </c>
      <c r="BK40" s="438"/>
      <c r="BL40" s="434"/>
      <c r="BM40" s="434"/>
      <c r="BN40" s="1131">
        <f t="shared" si="126"/>
        <v>0</v>
      </c>
      <c r="BO40" s="438"/>
      <c r="BP40" s="434"/>
      <c r="BQ40" s="434"/>
      <c r="BR40" s="1131">
        <f t="shared" si="234"/>
        <v>0</v>
      </c>
      <c r="BS40" s="438"/>
      <c r="BT40" s="833">
        <v>0.75</v>
      </c>
      <c r="BU40" s="833">
        <f t="shared" si="224"/>
        <v>0.75</v>
      </c>
      <c r="BV40" s="833">
        <f t="shared" si="225"/>
        <v>0.75</v>
      </c>
      <c r="BW40" s="833">
        <f t="shared" si="226"/>
        <v>0.75</v>
      </c>
      <c r="BX40" s="833">
        <f t="shared" si="227"/>
        <v>0.75</v>
      </c>
      <c r="BY40" s="833">
        <f t="shared" si="228"/>
        <v>0.75</v>
      </c>
      <c r="BZ40" s="833">
        <f t="shared" si="229"/>
        <v>0.75</v>
      </c>
      <c r="CA40" s="833">
        <f t="shared" si="230"/>
        <v>0.75</v>
      </c>
      <c r="CB40" s="833">
        <f t="shared" si="231"/>
        <v>0.75</v>
      </c>
      <c r="CC40" s="833">
        <f t="shared" si="232"/>
        <v>0.75</v>
      </c>
      <c r="CD40" s="833">
        <f t="shared" si="233"/>
        <v>0.75</v>
      </c>
      <c r="CE40" s="833">
        <f t="shared" si="233"/>
        <v>0.75</v>
      </c>
      <c r="CF40" s="833">
        <f t="shared" si="233"/>
        <v>0.75</v>
      </c>
      <c r="CG40" s="833"/>
      <c r="CH40" s="46">
        <f t="shared" si="203"/>
        <v>12000</v>
      </c>
      <c r="CI40" s="46">
        <f t="shared" si="204"/>
        <v>0</v>
      </c>
      <c r="CJ40" s="46">
        <f t="shared" si="205"/>
        <v>0</v>
      </c>
      <c r="CK40" s="46">
        <f t="shared" si="206"/>
        <v>0</v>
      </c>
      <c r="CL40" s="46">
        <f t="shared" si="207"/>
        <v>0</v>
      </c>
      <c r="CM40" s="46">
        <f t="shared" si="208"/>
        <v>0</v>
      </c>
      <c r="CN40" s="46">
        <f t="shared" si="209"/>
        <v>0</v>
      </c>
      <c r="CO40" s="46">
        <f t="shared" si="210"/>
        <v>0</v>
      </c>
      <c r="CP40" s="46">
        <f t="shared" si="211"/>
        <v>0</v>
      </c>
      <c r="CQ40" s="46">
        <f t="shared" si="212"/>
        <v>0</v>
      </c>
      <c r="CR40" s="46">
        <f t="shared" si="213"/>
        <v>0</v>
      </c>
      <c r="CS40" s="46">
        <f t="shared" si="235"/>
        <v>0</v>
      </c>
      <c r="CT40" s="46">
        <f t="shared" si="236"/>
        <v>0</v>
      </c>
    </row>
    <row r="41" spans="1:98" s="247" customFormat="1" ht="14.25" customHeight="1" x14ac:dyDescent="0.2">
      <c r="A41" s="672" t="s">
        <v>5982</v>
      </c>
      <c r="B41" s="920" t="s">
        <v>4975</v>
      </c>
      <c r="C41" s="920" t="s">
        <v>4057</v>
      </c>
      <c r="D41" s="920" t="s">
        <v>4057</v>
      </c>
      <c r="E41" s="611"/>
      <c r="F41" s="607"/>
      <c r="G41" s="608">
        <v>361500</v>
      </c>
      <c r="H41" s="608">
        <v>50000</v>
      </c>
      <c r="I41" s="668"/>
      <c r="J41" s="608"/>
      <c r="K41" s="608"/>
      <c r="L41" s="608"/>
      <c r="M41" s="608"/>
      <c r="N41" s="608"/>
      <c r="O41" s="608"/>
      <c r="P41" s="608"/>
      <c r="Q41" s="608"/>
      <c r="R41" s="1129"/>
      <c r="S41" s="438"/>
      <c r="T41" s="434"/>
      <c r="U41" s="434"/>
      <c r="V41" s="438">
        <f t="shared" si="214"/>
        <v>0</v>
      </c>
      <c r="W41" s="439"/>
      <c r="X41" s="434"/>
      <c r="Y41" s="434"/>
      <c r="Z41" s="437">
        <f t="shared" si="3"/>
        <v>361500</v>
      </c>
      <c r="AA41" s="439"/>
      <c r="AB41" s="434"/>
      <c r="AC41" s="434"/>
      <c r="AD41" s="437">
        <f t="shared" si="215"/>
        <v>50000</v>
      </c>
      <c r="AE41" s="439"/>
      <c r="AF41" s="434"/>
      <c r="AG41" s="434"/>
      <c r="AH41" s="435">
        <f t="shared" si="216"/>
        <v>0</v>
      </c>
      <c r="AI41" s="438"/>
      <c r="AJ41" s="434"/>
      <c r="AK41" s="434"/>
      <c r="AL41" s="437">
        <f t="shared" si="217"/>
        <v>0</v>
      </c>
      <c r="AM41" s="438"/>
      <c r="AN41" s="434"/>
      <c r="AO41" s="434"/>
      <c r="AP41" s="1131">
        <f t="shared" si="218"/>
        <v>0</v>
      </c>
      <c r="AQ41" s="438"/>
      <c r="AR41" s="434"/>
      <c r="AS41" s="434"/>
      <c r="AT41" s="437">
        <f t="shared" si="219"/>
        <v>0</v>
      </c>
      <c r="AU41" s="438"/>
      <c r="AV41" s="434"/>
      <c r="AW41" s="434"/>
      <c r="AX41" s="437">
        <f t="shared" si="220"/>
        <v>0</v>
      </c>
      <c r="AY41" s="438"/>
      <c r="AZ41" s="434"/>
      <c r="BA41" s="434"/>
      <c r="BB41" s="437">
        <f t="shared" si="221"/>
        <v>0</v>
      </c>
      <c r="BC41" s="438"/>
      <c r="BD41" s="434"/>
      <c r="BE41" s="434"/>
      <c r="BF41" s="1131">
        <f t="shared" si="222"/>
        <v>0</v>
      </c>
      <c r="BG41" s="438"/>
      <c r="BH41" s="434"/>
      <c r="BI41" s="434"/>
      <c r="BJ41" s="1131">
        <f t="shared" si="223"/>
        <v>0</v>
      </c>
      <c r="BK41" s="438"/>
      <c r="BL41" s="434"/>
      <c r="BM41" s="434"/>
      <c r="BN41" s="1131">
        <f t="shared" si="126"/>
        <v>0</v>
      </c>
      <c r="BO41" s="438"/>
      <c r="BP41" s="434"/>
      <c r="BQ41" s="434"/>
      <c r="BR41" s="1131">
        <f t="shared" si="234"/>
        <v>0</v>
      </c>
      <c r="BS41" s="438"/>
      <c r="BT41" s="833">
        <v>0.75</v>
      </c>
      <c r="BU41" s="833">
        <f t="shared" si="224"/>
        <v>0.75</v>
      </c>
      <c r="BV41" s="833">
        <f t="shared" si="225"/>
        <v>0.75</v>
      </c>
      <c r="BW41" s="833">
        <f t="shared" si="226"/>
        <v>0.75</v>
      </c>
      <c r="BX41" s="833">
        <f t="shared" si="227"/>
        <v>0.75</v>
      </c>
      <c r="BY41" s="833">
        <f t="shared" si="228"/>
        <v>0.75</v>
      </c>
      <c r="BZ41" s="833">
        <f t="shared" si="229"/>
        <v>0.75</v>
      </c>
      <c r="CA41" s="833">
        <f t="shared" si="230"/>
        <v>0.75</v>
      </c>
      <c r="CB41" s="833">
        <f t="shared" si="231"/>
        <v>0.75</v>
      </c>
      <c r="CC41" s="833">
        <f t="shared" si="232"/>
        <v>0.75</v>
      </c>
      <c r="CD41" s="833">
        <f t="shared" si="233"/>
        <v>0.75</v>
      </c>
      <c r="CE41" s="833">
        <f t="shared" si="233"/>
        <v>0.75</v>
      </c>
      <c r="CF41" s="833">
        <f t="shared" si="233"/>
        <v>0.75</v>
      </c>
      <c r="CG41" s="833"/>
      <c r="CH41" s="46">
        <f t="shared" si="203"/>
        <v>0</v>
      </c>
      <c r="CI41" s="46">
        <f t="shared" si="204"/>
        <v>271000</v>
      </c>
      <c r="CJ41" s="46">
        <f t="shared" si="205"/>
        <v>38000</v>
      </c>
      <c r="CK41" s="46">
        <f t="shared" si="206"/>
        <v>0</v>
      </c>
      <c r="CL41" s="46">
        <f t="shared" si="207"/>
        <v>0</v>
      </c>
      <c r="CM41" s="46">
        <f t="shared" si="208"/>
        <v>0</v>
      </c>
      <c r="CN41" s="46">
        <f t="shared" si="209"/>
        <v>0</v>
      </c>
      <c r="CO41" s="46">
        <f t="shared" si="210"/>
        <v>0</v>
      </c>
      <c r="CP41" s="46">
        <f t="shared" si="211"/>
        <v>0</v>
      </c>
      <c r="CQ41" s="46">
        <f t="shared" si="212"/>
        <v>0</v>
      </c>
      <c r="CR41" s="46">
        <f t="shared" si="213"/>
        <v>0</v>
      </c>
      <c r="CS41" s="46">
        <f t="shared" si="235"/>
        <v>0</v>
      </c>
      <c r="CT41" s="46">
        <f t="shared" si="236"/>
        <v>0</v>
      </c>
    </row>
    <row r="42" spans="1:98" s="247" customFormat="1" ht="14.25" customHeight="1" x14ac:dyDescent="0.2">
      <c r="A42" s="672" t="s">
        <v>6559</v>
      </c>
      <c r="B42" s="920"/>
      <c r="C42" s="920"/>
      <c r="D42" s="920"/>
      <c r="E42" s="611"/>
      <c r="F42" s="607">
        <v>11500</v>
      </c>
      <c r="G42" s="668"/>
      <c r="H42" s="608"/>
      <c r="I42" s="668"/>
      <c r="J42" s="668"/>
      <c r="K42" s="608"/>
      <c r="L42" s="668"/>
      <c r="M42" s="669"/>
      <c r="N42" s="608"/>
      <c r="O42" s="608"/>
      <c r="P42" s="608"/>
      <c r="Q42" s="608"/>
      <c r="R42" s="1129"/>
      <c r="S42" s="438"/>
      <c r="T42" s="434"/>
      <c r="U42" s="434"/>
      <c r="V42" s="438">
        <f t="shared" si="214"/>
        <v>11500</v>
      </c>
      <c r="W42" s="439"/>
      <c r="X42" s="434"/>
      <c r="Y42" s="434"/>
      <c r="Z42" s="437">
        <f t="shared" si="3"/>
        <v>0</v>
      </c>
      <c r="AA42" s="439"/>
      <c r="AB42" s="434"/>
      <c r="AC42" s="434"/>
      <c r="AD42" s="437">
        <f t="shared" si="215"/>
        <v>0</v>
      </c>
      <c r="AE42" s="439"/>
      <c r="AF42" s="434"/>
      <c r="AG42" s="434"/>
      <c r="AH42" s="435">
        <f t="shared" si="216"/>
        <v>0</v>
      </c>
      <c r="AI42" s="438"/>
      <c r="AJ42" s="434"/>
      <c r="AK42" s="434"/>
      <c r="AL42" s="437">
        <f t="shared" si="217"/>
        <v>0</v>
      </c>
      <c r="AM42" s="438"/>
      <c r="AN42" s="434"/>
      <c r="AO42" s="434"/>
      <c r="AP42" s="1131">
        <f t="shared" si="218"/>
        <v>0</v>
      </c>
      <c r="AQ42" s="438"/>
      <c r="AR42" s="434"/>
      <c r="AS42" s="434"/>
      <c r="AT42" s="437">
        <f t="shared" si="219"/>
        <v>0</v>
      </c>
      <c r="AU42" s="438"/>
      <c r="AV42" s="434"/>
      <c r="AW42" s="434"/>
      <c r="AX42" s="437">
        <f t="shared" si="220"/>
        <v>0</v>
      </c>
      <c r="AY42" s="438"/>
      <c r="AZ42" s="434"/>
      <c r="BA42" s="434"/>
      <c r="BB42" s="437">
        <f t="shared" si="221"/>
        <v>0</v>
      </c>
      <c r="BC42" s="438"/>
      <c r="BD42" s="434"/>
      <c r="BE42" s="434"/>
      <c r="BF42" s="1131">
        <f t="shared" si="222"/>
        <v>0</v>
      </c>
      <c r="BG42" s="438"/>
      <c r="BH42" s="434"/>
      <c r="BI42" s="434"/>
      <c r="BJ42" s="1131">
        <f t="shared" si="223"/>
        <v>0</v>
      </c>
      <c r="BK42" s="438"/>
      <c r="BL42" s="434"/>
      <c r="BM42" s="434"/>
      <c r="BN42" s="1131">
        <f t="shared" si="126"/>
        <v>0</v>
      </c>
      <c r="BO42" s="438"/>
      <c r="BP42" s="434"/>
      <c r="BQ42" s="434"/>
      <c r="BR42" s="1131">
        <f t="shared" si="234"/>
        <v>0</v>
      </c>
      <c r="BS42" s="438"/>
      <c r="BT42" s="833">
        <v>0.75</v>
      </c>
      <c r="BU42" s="833">
        <f t="shared" si="224"/>
        <v>0.75</v>
      </c>
      <c r="BV42" s="833">
        <f t="shared" si="225"/>
        <v>0.75</v>
      </c>
      <c r="BW42" s="833">
        <f t="shared" si="226"/>
        <v>0.75</v>
      </c>
      <c r="BX42" s="833">
        <f t="shared" si="227"/>
        <v>0.75</v>
      </c>
      <c r="BY42" s="833">
        <f t="shared" si="228"/>
        <v>0.75</v>
      </c>
      <c r="BZ42" s="833">
        <f t="shared" si="229"/>
        <v>0.75</v>
      </c>
      <c r="CA42" s="833">
        <f t="shared" si="230"/>
        <v>0.75</v>
      </c>
      <c r="CB42" s="833">
        <f t="shared" si="231"/>
        <v>0.75</v>
      </c>
      <c r="CC42" s="833">
        <f t="shared" si="232"/>
        <v>0.75</v>
      </c>
      <c r="CD42" s="833">
        <f t="shared" si="233"/>
        <v>0.75</v>
      </c>
      <c r="CE42" s="833">
        <f t="shared" si="233"/>
        <v>0.75</v>
      </c>
      <c r="CF42" s="833">
        <f t="shared" si="233"/>
        <v>0.75</v>
      </c>
      <c r="CG42" s="833"/>
      <c r="CH42" s="46">
        <f t="shared" si="203"/>
        <v>9000</v>
      </c>
      <c r="CI42" s="46">
        <f t="shared" si="204"/>
        <v>0</v>
      </c>
      <c r="CJ42" s="46">
        <f t="shared" si="205"/>
        <v>0</v>
      </c>
      <c r="CK42" s="46">
        <f t="shared" si="206"/>
        <v>0</v>
      </c>
      <c r="CL42" s="46">
        <f t="shared" si="207"/>
        <v>0</v>
      </c>
      <c r="CM42" s="46">
        <f t="shared" si="208"/>
        <v>0</v>
      </c>
      <c r="CN42" s="46">
        <f t="shared" si="209"/>
        <v>0</v>
      </c>
      <c r="CO42" s="46">
        <f t="shared" si="210"/>
        <v>0</v>
      </c>
      <c r="CP42" s="46">
        <f t="shared" si="211"/>
        <v>0</v>
      </c>
      <c r="CQ42" s="46">
        <f t="shared" si="212"/>
        <v>0</v>
      </c>
      <c r="CR42" s="46">
        <f t="shared" si="213"/>
        <v>0</v>
      </c>
      <c r="CS42" s="46">
        <f t="shared" si="235"/>
        <v>0</v>
      </c>
      <c r="CT42" s="46">
        <f t="shared" si="236"/>
        <v>0</v>
      </c>
    </row>
    <row r="43" spans="1:98" s="247" customFormat="1" ht="14.25" customHeight="1" x14ac:dyDescent="0.2">
      <c r="A43" s="672" t="s">
        <v>6560</v>
      </c>
      <c r="B43" s="920" t="s">
        <v>5480</v>
      </c>
      <c r="C43" s="920" t="s">
        <v>5479</v>
      </c>
      <c r="D43" s="920"/>
      <c r="E43" s="611"/>
      <c r="F43" s="607">
        <v>3600</v>
      </c>
      <c r="G43" s="668">
        <v>500</v>
      </c>
      <c r="H43" s="608">
        <v>4500</v>
      </c>
      <c r="I43" s="668"/>
      <c r="J43" s="668"/>
      <c r="K43" s="608"/>
      <c r="L43" s="668"/>
      <c r="M43" s="669"/>
      <c r="N43" s="608"/>
      <c r="O43" s="608"/>
      <c r="P43" s="608"/>
      <c r="Q43" s="608"/>
      <c r="R43" s="1129"/>
      <c r="S43" s="438"/>
      <c r="T43" s="434"/>
      <c r="U43" s="434"/>
      <c r="V43" s="438">
        <f t="shared" si="214"/>
        <v>3600</v>
      </c>
      <c r="W43" s="439"/>
      <c r="X43" s="434"/>
      <c r="Y43" s="434"/>
      <c r="Z43" s="437">
        <f t="shared" si="3"/>
        <v>500</v>
      </c>
      <c r="AA43" s="439"/>
      <c r="AB43" s="434"/>
      <c r="AC43" s="434"/>
      <c r="AD43" s="437">
        <f t="shared" si="215"/>
        <v>4500</v>
      </c>
      <c r="AE43" s="439"/>
      <c r="AF43" s="434"/>
      <c r="AG43" s="434"/>
      <c r="AH43" s="435">
        <f t="shared" si="216"/>
        <v>0</v>
      </c>
      <c r="AI43" s="438"/>
      <c r="AJ43" s="434"/>
      <c r="AK43" s="434"/>
      <c r="AL43" s="437">
        <f t="shared" si="217"/>
        <v>0</v>
      </c>
      <c r="AM43" s="438"/>
      <c r="AN43" s="434"/>
      <c r="AO43" s="434"/>
      <c r="AP43" s="1131">
        <f t="shared" si="218"/>
        <v>0</v>
      </c>
      <c r="AQ43" s="438"/>
      <c r="AR43" s="434"/>
      <c r="AS43" s="434"/>
      <c r="AT43" s="437">
        <f t="shared" si="219"/>
        <v>0</v>
      </c>
      <c r="AU43" s="438"/>
      <c r="AV43" s="434"/>
      <c r="AW43" s="434"/>
      <c r="AX43" s="437">
        <f t="shared" si="220"/>
        <v>0</v>
      </c>
      <c r="AY43" s="438"/>
      <c r="AZ43" s="434"/>
      <c r="BA43" s="434"/>
      <c r="BB43" s="437">
        <f t="shared" si="221"/>
        <v>0</v>
      </c>
      <c r="BC43" s="438"/>
      <c r="BD43" s="434"/>
      <c r="BE43" s="434"/>
      <c r="BF43" s="1131">
        <f t="shared" si="222"/>
        <v>0</v>
      </c>
      <c r="BG43" s="438"/>
      <c r="BH43" s="434"/>
      <c r="BI43" s="434"/>
      <c r="BJ43" s="1131">
        <f t="shared" si="223"/>
        <v>0</v>
      </c>
      <c r="BK43" s="438"/>
      <c r="BL43" s="434"/>
      <c r="BM43" s="434"/>
      <c r="BN43" s="1131">
        <f t="shared" si="126"/>
        <v>0</v>
      </c>
      <c r="BO43" s="438"/>
      <c r="BP43" s="434"/>
      <c r="BQ43" s="434"/>
      <c r="BR43" s="1131">
        <f t="shared" si="234"/>
        <v>0</v>
      </c>
      <c r="BS43" s="438"/>
      <c r="BT43" s="833">
        <v>0.75</v>
      </c>
      <c r="BU43" s="833">
        <f t="shared" si="224"/>
        <v>0.75</v>
      </c>
      <c r="BV43" s="833">
        <f t="shared" si="225"/>
        <v>0.75</v>
      </c>
      <c r="BW43" s="833">
        <f t="shared" si="226"/>
        <v>0.75</v>
      </c>
      <c r="BX43" s="833">
        <f t="shared" si="227"/>
        <v>0.75</v>
      </c>
      <c r="BY43" s="833">
        <f t="shared" si="228"/>
        <v>0.75</v>
      </c>
      <c r="BZ43" s="833">
        <f t="shared" si="229"/>
        <v>0.75</v>
      </c>
      <c r="CA43" s="833">
        <f t="shared" si="230"/>
        <v>0.75</v>
      </c>
      <c r="CB43" s="833">
        <f t="shared" si="231"/>
        <v>0.75</v>
      </c>
      <c r="CC43" s="833">
        <f t="shared" si="232"/>
        <v>0.75</v>
      </c>
      <c r="CD43" s="833">
        <f t="shared" si="233"/>
        <v>0.75</v>
      </c>
      <c r="CE43" s="833">
        <f t="shared" si="233"/>
        <v>0.75</v>
      </c>
      <c r="CF43" s="833">
        <f t="shared" si="233"/>
        <v>0.75</v>
      </c>
      <c r="CG43" s="833"/>
      <c r="CH43" s="46">
        <f t="shared" si="203"/>
        <v>3000</v>
      </c>
      <c r="CI43" s="46">
        <f t="shared" si="204"/>
        <v>0</v>
      </c>
      <c r="CJ43" s="46">
        <f t="shared" si="205"/>
        <v>3000</v>
      </c>
      <c r="CK43" s="46">
        <f t="shared" si="206"/>
        <v>0</v>
      </c>
      <c r="CL43" s="46">
        <f t="shared" si="207"/>
        <v>0</v>
      </c>
      <c r="CM43" s="46">
        <f t="shared" si="208"/>
        <v>0</v>
      </c>
      <c r="CN43" s="46">
        <f t="shared" si="209"/>
        <v>0</v>
      </c>
      <c r="CO43" s="46">
        <f t="shared" si="210"/>
        <v>0</v>
      </c>
      <c r="CP43" s="46">
        <f t="shared" si="211"/>
        <v>0</v>
      </c>
      <c r="CQ43" s="46">
        <f t="shared" si="212"/>
        <v>0</v>
      </c>
      <c r="CR43" s="46">
        <f t="shared" si="213"/>
        <v>0</v>
      </c>
      <c r="CS43" s="46">
        <f t="shared" si="235"/>
        <v>0</v>
      </c>
      <c r="CT43" s="46">
        <f t="shared" si="236"/>
        <v>0</v>
      </c>
    </row>
    <row r="44" spans="1:98" s="247" customFormat="1" ht="14.25" customHeight="1" x14ac:dyDescent="0.2">
      <c r="A44" s="672" t="s">
        <v>6561</v>
      </c>
      <c r="B44" s="920" t="s">
        <v>7182</v>
      </c>
      <c r="C44" s="920" t="s">
        <v>7183</v>
      </c>
      <c r="D44" s="920" t="s">
        <v>7183</v>
      </c>
      <c r="E44" s="611"/>
      <c r="F44" s="607"/>
      <c r="G44" s="668"/>
      <c r="H44" s="608">
        <f>50000-50000</f>
        <v>0</v>
      </c>
      <c r="I44" s="668"/>
      <c r="J44" s="668"/>
      <c r="K44" s="608"/>
      <c r="L44" s="668"/>
      <c r="M44" s="669"/>
      <c r="N44" s="608"/>
      <c r="O44" s="608"/>
      <c r="P44" s="608"/>
      <c r="Q44" s="608"/>
      <c r="R44" s="1129"/>
      <c r="S44" s="438"/>
      <c r="T44" s="434"/>
      <c r="U44" s="434"/>
      <c r="V44" s="438"/>
      <c r="W44" s="439"/>
      <c r="X44" s="434"/>
      <c r="Y44" s="434"/>
      <c r="Z44" s="437">
        <f t="shared" si="3"/>
        <v>0</v>
      </c>
      <c r="AA44" s="439"/>
      <c r="AB44" s="434"/>
      <c r="AC44" s="434"/>
      <c r="AD44" s="437">
        <f t="shared" si="215"/>
        <v>0</v>
      </c>
      <c r="AE44" s="439"/>
      <c r="AF44" s="434"/>
      <c r="AG44" s="434"/>
      <c r="AH44" s="435">
        <f t="shared" si="216"/>
        <v>0</v>
      </c>
      <c r="AI44" s="438"/>
      <c r="AJ44" s="434"/>
      <c r="AK44" s="434"/>
      <c r="AL44" s="437">
        <f t="shared" si="217"/>
        <v>0</v>
      </c>
      <c r="AM44" s="438"/>
      <c r="AN44" s="434"/>
      <c r="AO44" s="434"/>
      <c r="AP44" s="1131">
        <f t="shared" si="218"/>
        <v>0</v>
      </c>
      <c r="AQ44" s="438"/>
      <c r="AR44" s="434"/>
      <c r="AS44" s="434"/>
      <c r="AT44" s="437">
        <f t="shared" si="219"/>
        <v>0</v>
      </c>
      <c r="AU44" s="438"/>
      <c r="AV44" s="434"/>
      <c r="AW44" s="434"/>
      <c r="AX44" s="437">
        <f t="shared" si="220"/>
        <v>0</v>
      </c>
      <c r="AY44" s="438"/>
      <c r="AZ44" s="434"/>
      <c r="BA44" s="434"/>
      <c r="BB44" s="437">
        <f t="shared" si="221"/>
        <v>0</v>
      </c>
      <c r="BC44" s="438"/>
      <c r="BD44" s="434"/>
      <c r="BE44" s="434"/>
      <c r="BF44" s="1131">
        <f t="shared" si="222"/>
        <v>0</v>
      </c>
      <c r="BG44" s="438"/>
      <c r="BH44" s="434"/>
      <c r="BI44" s="434"/>
      <c r="BJ44" s="1131">
        <f t="shared" si="223"/>
        <v>0</v>
      </c>
      <c r="BK44" s="438"/>
      <c r="BL44" s="434"/>
      <c r="BM44" s="434"/>
      <c r="BN44" s="1131">
        <f t="shared" si="126"/>
        <v>0</v>
      </c>
      <c r="BO44" s="438"/>
      <c r="BP44" s="434"/>
      <c r="BQ44" s="434"/>
      <c r="BR44" s="1131">
        <f t="shared" si="234"/>
        <v>0</v>
      </c>
      <c r="BS44" s="438"/>
      <c r="BT44" s="833">
        <v>0.75</v>
      </c>
      <c r="BU44" s="833">
        <f t="shared" ref="BU44:BU46" si="237">BT44</f>
        <v>0.75</v>
      </c>
      <c r="BV44" s="833">
        <f t="shared" ref="BV44:BV46" si="238">BU44</f>
        <v>0.75</v>
      </c>
      <c r="BW44" s="833">
        <f t="shared" ref="BW44:BW46" si="239">BV44</f>
        <v>0.75</v>
      </c>
      <c r="BX44" s="833">
        <f t="shared" ref="BX44:BX46" si="240">BW44</f>
        <v>0.75</v>
      </c>
      <c r="BY44" s="833">
        <f t="shared" ref="BY44:BY46" si="241">BX44</f>
        <v>0.75</v>
      </c>
      <c r="BZ44" s="833">
        <f t="shared" ref="BZ44:BZ46" si="242">BY44</f>
        <v>0.75</v>
      </c>
      <c r="CA44" s="833">
        <f t="shared" ref="CA44:CA46" si="243">BZ44</f>
        <v>0.75</v>
      </c>
      <c r="CB44" s="833">
        <f t="shared" ref="CB44:CB46" si="244">CA44</f>
        <v>0.75</v>
      </c>
      <c r="CC44" s="833">
        <f t="shared" ref="CC44:CC46" si="245">CB44</f>
        <v>0.75</v>
      </c>
      <c r="CD44" s="833">
        <f t="shared" ref="CD44:CF46" si="246">CC44</f>
        <v>0.75</v>
      </c>
      <c r="CE44" s="833">
        <f t="shared" si="246"/>
        <v>0.75</v>
      </c>
      <c r="CF44" s="833">
        <f t="shared" si="246"/>
        <v>0.75</v>
      </c>
      <c r="CG44" s="833"/>
      <c r="CH44" s="46">
        <f t="shared" si="203"/>
        <v>0</v>
      </c>
      <c r="CI44" s="46">
        <f t="shared" si="204"/>
        <v>0</v>
      </c>
      <c r="CJ44" s="46">
        <f t="shared" si="205"/>
        <v>0</v>
      </c>
      <c r="CK44" s="46">
        <f t="shared" si="206"/>
        <v>0</v>
      </c>
      <c r="CL44" s="46">
        <f t="shared" si="207"/>
        <v>0</v>
      </c>
      <c r="CM44" s="46">
        <f t="shared" si="208"/>
        <v>0</v>
      </c>
      <c r="CN44" s="46">
        <f t="shared" si="209"/>
        <v>0</v>
      </c>
      <c r="CO44" s="46">
        <f t="shared" si="210"/>
        <v>0</v>
      </c>
      <c r="CP44" s="46">
        <f t="shared" si="211"/>
        <v>0</v>
      </c>
      <c r="CQ44" s="46">
        <f t="shared" si="212"/>
        <v>0</v>
      </c>
      <c r="CR44" s="46">
        <f t="shared" si="213"/>
        <v>0</v>
      </c>
      <c r="CS44" s="46">
        <f t="shared" si="235"/>
        <v>0</v>
      </c>
      <c r="CT44" s="46">
        <f t="shared" si="236"/>
        <v>0</v>
      </c>
    </row>
    <row r="45" spans="1:98" s="247" customFormat="1" ht="14.25" customHeight="1" x14ac:dyDescent="0.2">
      <c r="A45" s="672" t="s">
        <v>6562</v>
      </c>
      <c r="B45" s="920"/>
      <c r="C45" s="920"/>
      <c r="D45" s="920"/>
      <c r="E45" s="611"/>
      <c r="F45" s="607"/>
      <c r="G45" s="668"/>
      <c r="H45" s="608"/>
      <c r="I45" s="668">
        <v>500000</v>
      </c>
      <c r="J45" s="668"/>
      <c r="K45" s="608"/>
      <c r="L45" s="668"/>
      <c r="M45" s="669"/>
      <c r="N45" s="608"/>
      <c r="O45" s="608"/>
      <c r="P45" s="608"/>
      <c r="Q45" s="608"/>
      <c r="R45" s="1129"/>
      <c r="S45" s="438"/>
      <c r="T45" s="434"/>
      <c r="U45" s="434"/>
      <c r="V45" s="438"/>
      <c r="W45" s="439"/>
      <c r="X45" s="434"/>
      <c r="Y45" s="434"/>
      <c r="Z45" s="437">
        <f t="shared" si="3"/>
        <v>0</v>
      </c>
      <c r="AA45" s="439"/>
      <c r="AB45" s="434"/>
      <c r="AC45" s="434"/>
      <c r="AD45" s="437">
        <f t="shared" si="215"/>
        <v>0</v>
      </c>
      <c r="AE45" s="439"/>
      <c r="AF45" s="434">
        <f>I45</f>
        <v>500000</v>
      </c>
      <c r="AG45" s="434"/>
      <c r="AH45" s="435">
        <f t="shared" si="216"/>
        <v>0</v>
      </c>
      <c r="AI45" s="438"/>
      <c r="AJ45" s="434"/>
      <c r="AK45" s="434"/>
      <c r="AL45" s="437">
        <f t="shared" si="217"/>
        <v>0</v>
      </c>
      <c r="AM45" s="438"/>
      <c r="AN45" s="434"/>
      <c r="AO45" s="434"/>
      <c r="AP45" s="1131">
        <f t="shared" si="218"/>
        <v>0</v>
      </c>
      <c r="AQ45" s="438"/>
      <c r="AR45" s="434"/>
      <c r="AS45" s="434"/>
      <c r="AT45" s="437">
        <f t="shared" si="219"/>
        <v>0</v>
      </c>
      <c r="AU45" s="438"/>
      <c r="AV45" s="434"/>
      <c r="AW45" s="434"/>
      <c r="AX45" s="437">
        <f t="shared" si="220"/>
        <v>0</v>
      </c>
      <c r="AY45" s="438"/>
      <c r="AZ45" s="434"/>
      <c r="BA45" s="434"/>
      <c r="BB45" s="437">
        <f t="shared" si="221"/>
        <v>0</v>
      </c>
      <c r="BC45" s="438"/>
      <c r="BD45" s="434"/>
      <c r="BE45" s="434"/>
      <c r="BF45" s="1131">
        <f t="shared" si="222"/>
        <v>0</v>
      </c>
      <c r="BG45" s="438"/>
      <c r="BH45" s="434"/>
      <c r="BI45" s="434"/>
      <c r="BJ45" s="1131">
        <f t="shared" si="223"/>
        <v>0</v>
      </c>
      <c r="BK45" s="438"/>
      <c r="BL45" s="434"/>
      <c r="BM45" s="434"/>
      <c r="BN45" s="1131">
        <f t="shared" si="126"/>
        <v>0</v>
      </c>
      <c r="BO45" s="438"/>
      <c r="BP45" s="434"/>
      <c r="BQ45" s="434"/>
      <c r="BR45" s="1131">
        <f t="shared" si="234"/>
        <v>0</v>
      </c>
      <c r="BS45" s="438"/>
      <c r="BT45" s="833">
        <v>0.75</v>
      </c>
      <c r="BU45" s="833">
        <f t="shared" si="237"/>
        <v>0.75</v>
      </c>
      <c r="BV45" s="833">
        <f t="shared" si="238"/>
        <v>0.75</v>
      </c>
      <c r="BW45" s="833">
        <f t="shared" si="239"/>
        <v>0.75</v>
      </c>
      <c r="BX45" s="833">
        <f t="shared" si="240"/>
        <v>0.75</v>
      </c>
      <c r="BY45" s="833">
        <f t="shared" si="241"/>
        <v>0.75</v>
      </c>
      <c r="BZ45" s="833">
        <f t="shared" si="242"/>
        <v>0.75</v>
      </c>
      <c r="CA45" s="833">
        <f t="shared" si="243"/>
        <v>0.75</v>
      </c>
      <c r="CB45" s="833">
        <f t="shared" si="244"/>
        <v>0.75</v>
      </c>
      <c r="CC45" s="833">
        <f t="shared" si="245"/>
        <v>0.75</v>
      </c>
      <c r="CD45" s="833">
        <f t="shared" si="246"/>
        <v>0.75</v>
      </c>
      <c r="CE45" s="833">
        <f t="shared" si="246"/>
        <v>0.75</v>
      </c>
      <c r="CF45" s="833">
        <f t="shared" si="246"/>
        <v>0.75</v>
      </c>
      <c r="CG45" s="833"/>
      <c r="CH45" s="46">
        <f t="shared" si="203"/>
        <v>0</v>
      </c>
      <c r="CI45" s="46">
        <f t="shared" si="204"/>
        <v>0</v>
      </c>
      <c r="CJ45" s="46">
        <f t="shared" si="205"/>
        <v>0</v>
      </c>
      <c r="CK45" s="46">
        <f t="shared" si="206"/>
        <v>375000</v>
      </c>
      <c r="CL45" s="46">
        <f t="shared" si="207"/>
        <v>0</v>
      </c>
      <c r="CM45" s="46">
        <f t="shared" si="208"/>
        <v>0</v>
      </c>
      <c r="CN45" s="46">
        <f t="shared" si="209"/>
        <v>0</v>
      </c>
      <c r="CO45" s="46">
        <f t="shared" si="210"/>
        <v>0</v>
      </c>
      <c r="CP45" s="46">
        <f t="shared" si="211"/>
        <v>0</v>
      </c>
      <c r="CQ45" s="46">
        <f t="shared" si="212"/>
        <v>0</v>
      </c>
      <c r="CR45" s="46">
        <f t="shared" si="213"/>
        <v>0</v>
      </c>
      <c r="CS45" s="46">
        <f t="shared" si="235"/>
        <v>0</v>
      </c>
      <c r="CT45" s="46">
        <f t="shared" si="236"/>
        <v>0</v>
      </c>
    </row>
    <row r="46" spans="1:98" s="247" customFormat="1" ht="14.25" customHeight="1" x14ac:dyDescent="0.2">
      <c r="A46" s="672" t="s">
        <v>7007</v>
      </c>
      <c r="B46" s="920"/>
      <c r="C46" s="920"/>
      <c r="D46" s="920"/>
      <c r="E46" s="611"/>
      <c r="F46" s="607"/>
      <c r="G46" s="668"/>
      <c r="H46" s="608"/>
      <c r="I46" s="668">
        <v>500000</v>
      </c>
      <c r="J46" s="668">
        <v>500000</v>
      </c>
      <c r="K46" s="608">
        <v>500000</v>
      </c>
      <c r="L46" s="668">
        <v>500000</v>
      </c>
      <c r="M46" s="669"/>
      <c r="N46" s="608"/>
      <c r="O46" s="608"/>
      <c r="P46" s="608"/>
      <c r="Q46" s="608"/>
      <c r="R46" s="1129"/>
      <c r="S46" s="438"/>
      <c r="T46" s="434"/>
      <c r="U46" s="434"/>
      <c r="V46" s="438"/>
      <c r="W46" s="439"/>
      <c r="X46" s="434"/>
      <c r="Y46" s="434"/>
      <c r="Z46" s="437">
        <f t="shared" si="3"/>
        <v>0</v>
      </c>
      <c r="AA46" s="439"/>
      <c r="AB46" s="434"/>
      <c r="AC46" s="434"/>
      <c r="AD46" s="437">
        <f t="shared" si="215"/>
        <v>0</v>
      </c>
      <c r="AE46" s="439"/>
      <c r="AF46" s="434">
        <f>I46</f>
        <v>500000</v>
      </c>
      <c r="AG46" s="434"/>
      <c r="AH46" s="435">
        <f t="shared" si="216"/>
        <v>0</v>
      </c>
      <c r="AI46" s="438"/>
      <c r="AJ46" s="434"/>
      <c r="AK46" s="434"/>
      <c r="AL46" s="437">
        <f t="shared" si="217"/>
        <v>500000</v>
      </c>
      <c r="AM46" s="438"/>
      <c r="AN46" s="434"/>
      <c r="AO46" s="434"/>
      <c r="AP46" s="1131">
        <f t="shared" si="218"/>
        <v>500000</v>
      </c>
      <c r="AQ46" s="438"/>
      <c r="AR46" s="434"/>
      <c r="AS46" s="434"/>
      <c r="AT46" s="437">
        <f t="shared" si="219"/>
        <v>500000</v>
      </c>
      <c r="AU46" s="438"/>
      <c r="AV46" s="434"/>
      <c r="AW46" s="434"/>
      <c r="AX46" s="437">
        <f t="shared" si="220"/>
        <v>0</v>
      </c>
      <c r="AY46" s="438"/>
      <c r="AZ46" s="434"/>
      <c r="BA46" s="434"/>
      <c r="BB46" s="437">
        <f t="shared" si="221"/>
        <v>0</v>
      </c>
      <c r="BC46" s="438"/>
      <c r="BD46" s="434"/>
      <c r="BE46" s="434"/>
      <c r="BF46" s="1131">
        <f t="shared" si="222"/>
        <v>0</v>
      </c>
      <c r="BG46" s="438"/>
      <c r="BH46" s="434"/>
      <c r="BI46" s="434"/>
      <c r="BJ46" s="1131">
        <f t="shared" si="223"/>
        <v>0</v>
      </c>
      <c r="BK46" s="438"/>
      <c r="BL46" s="434"/>
      <c r="BM46" s="434"/>
      <c r="BN46" s="1131">
        <f t="shared" si="126"/>
        <v>0</v>
      </c>
      <c r="BO46" s="438"/>
      <c r="BP46" s="434"/>
      <c r="BQ46" s="434"/>
      <c r="BR46" s="1131">
        <f t="shared" si="234"/>
        <v>0</v>
      </c>
      <c r="BS46" s="438"/>
      <c r="BT46" s="833">
        <v>0.75</v>
      </c>
      <c r="BU46" s="833">
        <f t="shared" si="237"/>
        <v>0.75</v>
      </c>
      <c r="BV46" s="833">
        <f t="shared" si="238"/>
        <v>0.75</v>
      </c>
      <c r="BW46" s="833">
        <f t="shared" si="239"/>
        <v>0.75</v>
      </c>
      <c r="BX46" s="833">
        <f t="shared" si="240"/>
        <v>0.75</v>
      </c>
      <c r="BY46" s="833">
        <f t="shared" si="241"/>
        <v>0.75</v>
      </c>
      <c r="BZ46" s="833">
        <f t="shared" si="242"/>
        <v>0.75</v>
      </c>
      <c r="CA46" s="833">
        <f t="shared" si="243"/>
        <v>0.75</v>
      </c>
      <c r="CB46" s="833">
        <f t="shared" si="244"/>
        <v>0.75</v>
      </c>
      <c r="CC46" s="833">
        <f t="shared" si="245"/>
        <v>0.75</v>
      </c>
      <c r="CD46" s="833">
        <f t="shared" si="246"/>
        <v>0.75</v>
      </c>
      <c r="CE46" s="833">
        <f t="shared" si="246"/>
        <v>0.75</v>
      </c>
      <c r="CF46" s="833">
        <f t="shared" si="246"/>
        <v>0.75</v>
      </c>
      <c r="CG46" s="833"/>
      <c r="CH46" s="46">
        <f t="shared" si="203"/>
        <v>0</v>
      </c>
      <c r="CI46" s="46">
        <f t="shared" si="204"/>
        <v>0</v>
      </c>
      <c r="CJ46" s="46">
        <f t="shared" si="205"/>
        <v>0</v>
      </c>
      <c r="CK46" s="46">
        <f t="shared" si="206"/>
        <v>375000</v>
      </c>
      <c r="CL46" s="46">
        <f t="shared" si="207"/>
        <v>375000</v>
      </c>
      <c r="CM46" s="46">
        <f t="shared" si="208"/>
        <v>375000</v>
      </c>
      <c r="CN46" s="46">
        <f t="shared" si="209"/>
        <v>375000</v>
      </c>
      <c r="CO46" s="46">
        <f t="shared" si="210"/>
        <v>0</v>
      </c>
      <c r="CP46" s="46">
        <f t="shared" si="211"/>
        <v>0</v>
      </c>
      <c r="CQ46" s="46">
        <f t="shared" si="212"/>
        <v>0</v>
      </c>
      <c r="CR46" s="46">
        <f t="shared" si="213"/>
        <v>0</v>
      </c>
      <c r="CS46" s="46">
        <f t="shared" si="235"/>
        <v>0</v>
      </c>
      <c r="CT46" s="46">
        <f t="shared" si="236"/>
        <v>0</v>
      </c>
    </row>
    <row r="47" spans="1:98" s="247" customFormat="1" ht="14.25" customHeight="1" x14ac:dyDescent="0.2">
      <c r="A47" s="672" t="s">
        <v>6563</v>
      </c>
      <c r="B47" s="920"/>
      <c r="C47" s="920" t="s">
        <v>5906</v>
      </c>
      <c r="D47" s="920"/>
      <c r="E47" s="611"/>
      <c r="F47" s="607">
        <v>60000</v>
      </c>
      <c r="G47" s="668">
        <v>25800</v>
      </c>
      <c r="H47" s="608">
        <v>34200</v>
      </c>
      <c r="I47" s="668"/>
      <c r="J47" s="668"/>
      <c r="K47" s="608"/>
      <c r="L47" s="668"/>
      <c r="M47" s="669"/>
      <c r="N47" s="608"/>
      <c r="O47" s="608"/>
      <c r="P47" s="608"/>
      <c r="Q47" s="608"/>
      <c r="R47" s="1129"/>
      <c r="S47" s="438"/>
      <c r="T47" s="434"/>
      <c r="U47" s="434"/>
      <c r="V47" s="438">
        <f t="shared" ref="V47" si="247">$F47-S47-T47-U47</f>
        <v>60000</v>
      </c>
      <c r="W47" s="439"/>
      <c r="X47" s="434"/>
      <c r="Y47" s="434"/>
      <c r="Z47" s="437">
        <f t="shared" si="3"/>
        <v>25800</v>
      </c>
      <c r="AA47" s="439"/>
      <c r="AB47" s="434"/>
      <c r="AC47" s="434"/>
      <c r="AD47" s="437">
        <f t="shared" ref="AD47" si="248">$H47-AA47-AB47-AC47</f>
        <v>34200</v>
      </c>
      <c r="AE47" s="439"/>
      <c r="AF47" s="434"/>
      <c r="AG47" s="434"/>
      <c r="AH47" s="435">
        <f t="shared" ref="AH47" si="249">$I47-AE47-AF47-AG47</f>
        <v>0</v>
      </c>
      <c r="AI47" s="438"/>
      <c r="AJ47" s="434"/>
      <c r="AK47" s="434"/>
      <c r="AL47" s="437">
        <f t="shared" ref="AL47" si="250">$J47-AI47-AJ47-AK47</f>
        <v>0</v>
      </c>
      <c r="AM47" s="438"/>
      <c r="AN47" s="434"/>
      <c r="AO47" s="434"/>
      <c r="AP47" s="1131">
        <f t="shared" ref="AP47" si="251">$K47-AM47-AN47-AO47</f>
        <v>0</v>
      </c>
      <c r="AQ47" s="438"/>
      <c r="AR47" s="434"/>
      <c r="AS47" s="434"/>
      <c r="AT47" s="437">
        <f t="shared" ref="AT47" si="252">$L47-AQ47-AR47-AS47</f>
        <v>0</v>
      </c>
      <c r="AU47" s="438"/>
      <c r="AV47" s="434"/>
      <c r="AW47" s="434"/>
      <c r="AX47" s="437">
        <f t="shared" ref="AX47" si="253">$M47-AU47-AV47-AW47</f>
        <v>0</v>
      </c>
      <c r="AY47" s="438"/>
      <c r="AZ47" s="434"/>
      <c r="BA47" s="434"/>
      <c r="BB47" s="437">
        <f t="shared" ref="BB47" si="254">$N47-AY47-AZ47-BA47</f>
        <v>0</v>
      </c>
      <c r="BC47" s="438"/>
      <c r="BD47" s="434"/>
      <c r="BE47" s="434"/>
      <c r="BF47" s="1131">
        <f t="shared" ref="BF47" si="255">$O47-BC47-BD47-BE47</f>
        <v>0</v>
      </c>
      <c r="BG47" s="438"/>
      <c r="BH47" s="434"/>
      <c r="BI47" s="434"/>
      <c r="BJ47" s="1131">
        <f t="shared" ref="BJ47" si="256">$P47-BG47-BH47-BI47</f>
        <v>0</v>
      </c>
      <c r="BK47" s="438"/>
      <c r="BL47" s="434"/>
      <c r="BM47" s="434"/>
      <c r="BN47" s="1131">
        <f t="shared" si="126"/>
        <v>0</v>
      </c>
      <c r="BO47" s="438"/>
      <c r="BP47" s="434"/>
      <c r="BQ47" s="434"/>
      <c r="BR47" s="1131">
        <f t="shared" si="234"/>
        <v>0</v>
      </c>
      <c r="BS47" s="438"/>
      <c r="BT47" s="833">
        <v>0.75</v>
      </c>
      <c r="BU47" s="833">
        <f t="shared" ref="BU47" si="257">BT47</f>
        <v>0.75</v>
      </c>
      <c r="BV47" s="833">
        <f t="shared" ref="BV47" si="258">BU47</f>
        <v>0.75</v>
      </c>
      <c r="BW47" s="833">
        <f t="shared" ref="BW47" si="259">BV47</f>
        <v>0.75</v>
      </c>
      <c r="BX47" s="833">
        <f t="shared" ref="BX47" si="260">BW47</f>
        <v>0.75</v>
      </c>
      <c r="BY47" s="833">
        <f t="shared" ref="BY47" si="261">BX47</f>
        <v>0.75</v>
      </c>
      <c r="BZ47" s="833">
        <f t="shared" ref="BZ47" si="262">BY47</f>
        <v>0.75</v>
      </c>
      <c r="CA47" s="833">
        <f t="shared" ref="CA47" si="263">BZ47</f>
        <v>0.75</v>
      </c>
      <c r="CB47" s="833">
        <f t="shared" ref="CB47" si="264">CA47</f>
        <v>0.75</v>
      </c>
      <c r="CC47" s="833">
        <f t="shared" ref="CC47" si="265">CB47</f>
        <v>0.75</v>
      </c>
      <c r="CD47" s="833">
        <f t="shared" ref="CD47:CF47" si="266">CC47</f>
        <v>0.75</v>
      </c>
      <c r="CE47" s="833">
        <f t="shared" si="266"/>
        <v>0.75</v>
      </c>
      <c r="CF47" s="833">
        <f t="shared" si="266"/>
        <v>0.75</v>
      </c>
      <c r="CG47" s="833"/>
      <c r="CH47" s="46">
        <f t="shared" si="203"/>
        <v>45000</v>
      </c>
      <c r="CI47" s="46">
        <f t="shared" si="204"/>
        <v>19000</v>
      </c>
      <c r="CJ47" s="46">
        <f t="shared" si="205"/>
        <v>26000</v>
      </c>
      <c r="CK47" s="46">
        <f t="shared" si="206"/>
        <v>0</v>
      </c>
      <c r="CL47" s="46">
        <f t="shared" si="207"/>
        <v>0</v>
      </c>
      <c r="CM47" s="46">
        <f t="shared" si="208"/>
        <v>0</v>
      </c>
      <c r="CN47" s="46">
        <f t="shared" si="209"/>
        <v>0</v>
      </c>
      <c r="CO47" s="46">
        <f t="shared" si="210"/>
        <v>0</v>
      </c>
      <c r="CP47" s="46">
        <f t="shared" si="211"/>
        <v>0</v>
      </c>
      <c r="CQ47" s="46">
        <f t="shared" si="212"/>
        <v>0</v>
      </c>
      <c r="CR47" s="46">
        <f t="shared" si="213"/>
        <v>0</v>
      </c>
      <c r="CS47" s="46">
        <f t="shared" si="235"/>
        <v>0</v>
      </c>
      <c r="CT47" s="46">
        <f t="shared" si="236"/>
        <v>0</v>
      </c>
    </row>
    <row r="48" spans="1:98" s="247" customFormat="1" ht="14.25" customHeight="1" x14ac:dyDescent="0.2">
      <c r="A48" s="672" t="s">
        <v>6938</v>
      </c>
      <c r="B48" s="920" t="s">
        <v>7185</v>
      </c>
      <c r="C48" s="920" t="s">
        <v>7184</v>
      </c>
      <c r="D48" s="920" t="s">
        <v>7184</v>
      </c>
      <c r="E48" s="611"/>
      <c r="F48" s="607"/>
      <c r="G48" s="668"/>
      <c r="H48" s="608">
        <f>50000-50000</f>
        <v>0</v>
      </c>
      <c r="I48" s="668"/>
      <c r="J48" s="668"/>
      <c r="K48" s="608"/>
      <c r="L48" s="668"/>
      <c r="M48" s="669"/>
      <c r="N48" s="608"/>
      <c r="O48" s="608"/>
      <c r="P48" s="608"/>
      <c r="Q48" s="608"/>
      <c r="R48" s="1129"/>
      <c r="S48" s="438"/>
      <c r="T48" s="434"/>
      <c r="U48" s="434"/>
      <c r="V48" s="438"/>
      <c r="W48" s="439"/>
      <c r="X48" s="434"/>
      <c r="Y48" s="434"/>
      <c r="Z48" s="437">
        <f t="shared" si="3"/>
        <v>0</v>
      </c>
      <c r="AA48" s="439"/>
      <c r="AB48" s="434"/>
      <c r="AC48" s="434"/>
      <c r="AD48" s="437">
        <f t="shared" ref="AD48" si="267">$H48-AA48-AB48-AC48</f>
        <v>0</v>
      </c>
      <c r="AE48" s="439"/>
      <c r="AF48" s="434"/>
      <c r="AG48" s="434"/>
      <c r="AH48" s="435">
        <f t="shared" ref="AH48" si="268">$I48-AE48-AF48-AG48</f>
        <v>0</v>
      </c>
      <c r="AI48" s="438"/>
      <c r="AJ48" s="434"/>
      <c r="AK48" s="434"/>
      <c r="AL48" s="437">
        <f t="shared" ref="AL48" si="269">$J48-AI48-AJ48-AK48</f>
        <v>0</v>
      </c>
      <c r="AM48" s="438"/>
      <c r="AN48" s="434"/>
      <c r="AO48" s="434"/>
      <c r="AP48" s="1131">
        <f t="shared" ref="AP48" si="270">$K48-AM48-AN48-AO48</f>
        <v>0</v>
      </c>
      <c r="AQ48" s="438"/>
      <c r="AR48" s="434"/>
      <c r="AS48" s="434"/>
      <c r="AT48" s="437">
        <f t="shared" ref="AT48" si="271">$L48-AQ48-AR48-AS48</f>
        <v>0</v>
      </c>
      <c r="AU48" s="438"/>
      <c r="AV48" s="434"/>
      <c r="AW48" s="434"/>
      <c r="AX48" s="437">
        <f t="shared" ref="AX48" si="272">$M48-AU48-AV48-AW48</f>
        <v>0</v>
      </c>
      <c r="AY48" s="438"/>
      <c r="AZ48" s="434"/>
      <c r="BA48" s="434"/>
      <c r="BB48" s="437">
        <f t="shared" ref="BB48" si="273">$N48-AY48-AZ48-BA48</f>
        <v>0</v>
      </c>
      <c r="BC48" s="438"/>
      <c r="BD48" s="434"/>
      <c r="BE48" s="434"/>
      <c r="BF48" s="1131">
        <f t="shared" ref="BF48" si="274">$O48-BC48-BD48-BE48</f>
        <v>0</v>
      </c>
      <c r="BG48" s="438"/>
      <c r="BH48" s="434"/>
      <c r="BI48" s="434"/>
      <c r="BJ48" s="1131">
        <f t="shared" ref="BJ48" si="275">$P48-BG48-BH48-BI48</f>
        <v>0</v>
      </c>
      <c r="BK48" s="438"/>
      <c r="BL48" s="434"/>
      <c r="BM48" s="434"/>
      <c r="BN48" s="1131">
        <f t="shared" ref="BN48" si="276">$Q48-BK48-BL48-BM48</f>
        <v>0</v>
      </c>
      <c r="BO48" s="438"/>
      <c r="BP48" s="434"/>
      <c r="BQ48" s="434"/>
      <c r="BR48" s="1131">
        <f t="shared" si="234"/>
        <v>0</v>
      </c>
      <c r="BS48" s="438"/>
      <c r="BT48" s="833">
        <v>0.75</v>
      </c>
      <c r="BU48" s="833">
        <f t="shared" ref="BU48" si="277">BT48</f>
        <v>0.75</v>
      </c>
      <c r="BV48" s="833">
        <f t="shared" ref="BV48" si="278">BU48</f>
        <v>0.75</v>
      </c>
      <c r="BW48" s="833">
        <f t="shared" ref="BW48" si="279">BV48</f>
        <v>0.75</v>
      </c>
      <c r="BX48" s="833">
        <f t="shared" ref="BX48" si="280">BW48</f>
        <v>0.75</v>
      </c>
      <c r="BY48" s="833">
        <f t="shared" ref="BY48" si="281">BX48</f>
        <v>0.75</v>
      </c>
      <c r="BZ48" s="833">
        <f t="shared" ref="BZ48" si="282">BY48</f>
        <v>0.75</v>
      </c>
      <c r="CA48" s="833">
        <f t="shared" ref="CA48" si="283">BZ48</f>
        <v>0.75</v>
      </c>
      <c r="CB48" s="833">
        <f t="shared" ref="CB48" si="284">CA48</f>
        <v>0.75</v>
      </c>
      <c r="CC48" s="833">
        <f t="shared" ref="CC48" si="285">CB48</f>
        <v>0.75</v>
      </c>
      <c r="CD48" s="833">
        <f t="shared" ref="CD48" si="286">CC48</f>
        <v>0.75</v>
      </c>
      <c r="CE48" s="833">
        <f t="shared" ref="CE48:CF48" si="287">CD48</f>
        <v>0.75</v>
      </c>
      <c r="CF48" s="833">
        <f t="shared" si="287"/>
        <v>0.75</v>
      </c>
      <c r="CG48" s="833"/>
      <c r="CH48" s="46">
        <f t="shared" ref="CH48" si="288">ROUND(BT48*F48,-3)</f>
        <v>0</v>
      </c>
      <c r="CI48" s="46">
        <f t="shared" ref="CI48" si="289">ROUND(BU48*G48,-3)</f>
        <v>0</v>
      </c>
      <c r="CJ48" s="46">
        <f t="shared" ref="CJ48" si="290">ROUND(BV48*H48,-3)</f>
        <v>0</v>
      </c>
      <c r="CK48" s="46">
        <f t="shared" ref="CK48" si="291">ROUND(BW48*I48,-3)</f>
        <v>0</v>
      </c>
      <c r="CL48" s="46">
        <f t="shared" ref="CL48" si="292">ROUND(BX48*J48,-3)</f>
        <v>0</v>
      </c>
      <c r="CM48" s="46">
        <f t="shared" ref="CM48" si="293">ROUND(BY48*K48,-3)</f>
        <v>0</v>
      </c>
      <c r="CN48" s="46">
        <f t="shared" ref="CN48" si="294">ROUND(BZ48*L48,-3)</f>
        <v>0</v>
      </c>
      <c r="CO48" s="46">
        <f t="shared" ref="CO48" si="295">ROUND(CA48*M48,-3)</f>
        <v>0</v>
      </c>
      <c r="CP48" s="46">
        <f t="shared" ref="CP48" si="296">ROUND(CB48*N48,-3)</f>
        <v>0</v>
      </c>
      <c r="CQ48" s="46">
        <f t="shared" ref="CQ48" si="297">ROUND(CC48*O48,-3)</f>
        <v>0</v>
      </c>
      <c r="CR48" s="46">
        <f t="shared" ref="CR48" si="298">ROUND(CD48*P48,-3)</f>
        <v>0</v>
      </c>
      <c r="CS48" s="46">
        <f t="shared" si="235"/>
        <v>0</v>
      </c>
      <c r="CT48" s="46">
        <f t="shared" si="236"/>
        <v>0</v>
      </c>
    </row>
    <row r="49" spans="1:98" s="247" customFormat="1" ht="14.25" customHeight="1" x14ac:dyDescent="0.2">
      <c r="A49" s="673"/>
      <c r="B49" s="919"/>
      <c r="C49" s="919"/>
      <c r="D49" s="919"/>
      <c r="E49" s="611"/>
      <c r="F49" s="607"/>
      <c r="G49" s="668"/>
      <c r="H49" s="608"/>
      <c r="I49" s="668"/>
      <c r="J49" s="668"/>
      <c r="K49" s="608"/>
      <c r="L49" s="668"/>
      <c r="M49" s="669"/>
      <c r="N49" s="608"/>
      <c r="O49" s="608"/>
      <c r="P49" s="608"/>
      <c r="Q49" s="608"/>
      <c r="R49" s="1129"/>
      <c r="S49" s="438"/>
      <c r="T49" s="434"/>
      <c r="U49" s="434"/>
      <c r="V49" s="438"/>
      <c r="W49" s="439"/>
      <c r="X49" s="434"/>
      <c r="Y49" s="434"/>
      <c r="Z49" s="437">
        <f t="shared" si="3"/>
        <v>0</v>
      </c>
      <c r="AA49" s="439"/>
      <c r="AB49" s="434"/>
      <c r="AC49" s="434"/>
      <c r="AD49" s="437"/>
      <c r="AE49" s="439"/>
      <c r="AF49" s="434"/>
      <c r="AG49" s="434"/>
      <c r="AH49" s="435"/>
      <c r="AI49" s="438"/>
      <c r="AJ49" s="434"/>
      <c r="AK49" s="434"/>
      <c r="AL49" s="437"/>
      <c r="AM49" s="438"/>
      <c r="AN49" s="434"/>
      <c r="AO49" s="434"/>
      <c r="AP49" s="1131"/>
      <c r="AQ49" s="438"/>
      <c r="AR49" s="434"/>
      <c r="AS49" s="434"/>
      <c r="AT49" s="437"/>
      <c r="AU49" s="438"/>
      <c r="AV49" s="434"/>
      <c r="AW49" s="434"/>
      <c r="AX49" s="437"/>
      <c r="AY49" s="438"/>
      <c r="AZ49" s="434"/>
      <c r="BA49" s="434"/>
      <c r="BB49" s="437"/>
      <c r="BC49" s="438"/>
      <c r="BD49" s="434"/>
      <c r="BE49" s="434"/>
      <c r="BF49" s="1131"/>
      <c r="BG49" s="438"/>
      <c r="BH49" s="434"/>
      <c r="BI49" s="434"/>
      <c r="BJ49" s="1131"/>
      <c r="BK49" s="438"/>
      <c r="BL49" s="434"/>
      <c r="BM49" s="434"/>
      <c r="BN49" s="1131"/>
      <c r="BO49" s="438"/>
      <c r="BP49" s="434"/>
      <c r="BQ49" s="434"/>
      <c r="BR49" s="1131"/>
      <c r="BS49" s="438"/>
      <c r="BT49" s="833"/>
      <c r="BU49" s="833"/>
      <c r="BV49" s="833"/>
      <c r="BW49" s="833"/>
      <c r="BX49" s="833"/>
      <c r="BY49" s="833"/>
      <c r="BZ49" s="833"/>
      <c r="CA49" s="833"/>
      <c r="CB49" s="833"/>
      <c r="CC49" s="833"/>
      <c r="CD49" s="833"/>
      <c r="CE49" s="833"/>
      <c r="CF49" s="833"/>
      <c r="CG49" s="833"/>
      <c r="CH49" s="46"/>
      <c r="CI49" s="46"/>
      <c r="CJ49" s="46"/>
      <c r="CK49" s="46"/>
      <c r="CL49" s="46"/>
      <c r="CM49" s="46"/>
      <c r="CN49" s="46"/>
      <c r="CO49" s="46"/>
      <c r="CP49" s="46"/>
      <c r="CQ49" s="46"/>
      <c r="CR49" s="46"/>
      <c r="CS49" s="46"/>
      <c r="CT49" s="46"/>
    </row>
    <row r="50" spans="1:98" s="247" customFormat="1" ht="14.25" customHeight="1" x14ac:dyDescent="0.2">
      <c r="A50" s="904" t="s">
        <v>4854</v>
      </c>
      <c r="B50" s="919"/>
      <c r="C50" s="919"/>
      <c r="D50" s="919"/>
      <c r="E50" s="611"/>
      <c r="F50" s="607"/>
      <c r="G50" s="668"/>
      <c r="H50" s="608"/>
      <c r="I50" s="668"/>
      <c r="J50" s="668"/>
      <c r="K50" s="668"/>
      <c r="L50" s="668"/>
      <c r="M50" s="669"/>
      <c r="N50" s="608"/>
      <c r="O50" s="608"/>
      <c r="P50" s="608"/>
      <c r="Q50" s="608"/>
      <c r="R50" s="1129"/>
      <c r="S50" s="438"/>
      <c r="T50" s="434"/>
      <c r="U50" s="434"/>
      <c r="V50" s="438"/>
      <c r="W50" s="439"/>
      <c r="X50" s="434"/>
      <c r="Y50" s="434"/>
      <c r="Z50" s="437">
        <f t="shared" si="3"/>
        <v>0</v>
      </c>
      <c r="AA50" s="439"/>
      <c r="AB50" s="434"/>
      <c r="AC50" s="434"/>
      <c r="AD50" s="437"/>
      <c r="AE50" s="439"/>
      <c r="AF50" s="434"/>
      <c r="AG50" s="434"/>
      <c r="AH50" s="435"/>
      <c r="AI50" s="438"/>
      <c r="AJ50" s="434"/>
      <c r="AK50" s="434"/>
      <c r="AL50" s="437"/>
      <c r="AM50" s="438"/>
      <c r="AN50" s="434"/>
      <c r="AO50" s="434"/>
      <c r="AP50" s="1131"/>
      <c r="AQ50" s="438"/>
      <c r="AR50" s="434"/>
      <c r="AS50" s="434"/>
      <c r="AT50" s="437"/>
      <c r="AU50" s="438"/>
      <c r="AV50" s="434"/>
      <c r="AW50" s="434"/>
      <c r="AX50" s="437"/>
      <c r="AY50" s="438"/>
      <c r="AZ50" s="434"/>
      <c r="BA50" s="434"/>
      <c r="BB50" s="437"/>
      <c r="BC50" s="438"/>
      <c r="BD50" s="434"/>
      <c r="BE50" s="434"/>
      <c r="BF50" s="1131"/>
      <c r="BG50" s="438"/>
      <c r="BH50" s="434"/>
      <c r="BI50" s="434"/>
      <c r="BJ50" s="1131"/>
      <c r="BK50" s="438"/>
      <c r="BL50" s="434"/>
      <c r="BM50" s="434"/>
      <c r="BN50" s="1131"/>
      <c r="BO50" s="438"/>
      <c r="BP50" s="434"/>
      <c r="BQ50" s="434"/>
      <c r="BR50" s="1131"/>
      <c r="BS50" s="438"/>
      <c r="BT50" s="833"/>
      <c r="BU50" s="833"/>
      <c r="BV50" s="833"/>
      <c r="BW50" s="833"/>
      <c r="BX50" s="833"/>
      <c r="BY50" s="833"/>
      <c r="BZ50" s="833"/>
      <c r="CA50" s="833"/>
      <c r="CB50" s="833"/>
      <c r="CC50" s="833"/>
      <c r="CD50" s="833"/>
      <c r="CE50" s="833"/>
      <c r="CF50" s="833"/>
      <c r="CG50" s="833"/>
      <c r="CH50" s="46"/>
      <c r="CI50" s="46"/>
      <c r="CJ50" s="46"/>
      <c r="CK50" s="46"/>
      <c r="CL50" s="46"/>
      <c r="CM50" s="46"/>
      <c r="CN50" s="46"/>
      <c r="CO50" s="46"/>
      <c r="CP50" s="46"/>
      <c r="CQ50" s="46"/>
      <c r="CR50" s="46"/>
      <c r="CS50" s="46"/>
      <c r="CT50" s="46"/>
    </row>
    <row r="51" spans="1:98" s="247" customFormat="1" ht="14.25" customHeight="1" x14ac:dyDescent="0.2">
      <c r="A51" s="673" t="s">
        <v>4877</v>
      </c>
      <c r="B51" s="920" t="s">
        <v>4976</v>
      </c>
      <c r="C51" s="920" t="s">
        <v>4977</v>
      </c>
      <c r="D51" s="920" t="s">
        <v>4977</v>
      </c>
      <c r="E51" s="611">
        <v>1</v>
      </c>
      <c r="F51" s="607">
        <f>22700+13900</f>
        <v>36600</v>
      </c>
      <c r="G51" s="668">
        <v>28100</v>
      </c>
      <c r="H51" s="608"/>
      <c r="I51" s="668"/>
      <c r="J51" s="668"/>
      <c r="K51" s="608"/>
      <c r="L51" s="668"/>
      <c r="M51" s="669"/>
      <c r="N51" s="608"/>
      <c r="O51" s="608"/>
      <c r="P51" s="608"/>
      <c r="Q51" s="608"/>
      <c r="R51" s="1129"/>
      <c r="S51" s="438"/>
      <c r="T51" s="434"/>
      <c r="U51" s="434"/>
      <c r="V51" s="438">
        <f>$F51-S51-T51-U51</f>
        <v>36600</v>
      </c>
      <c r="W51" s="439"/>
      <c r="X51" s="434"/>
      <c r="Y51" s="434"/>
      <c r="Z51" s="437">
        <f t="shared" si="3"/>
        <v>28100</v>
      </c>
      <c r="AA51" s="439"/>
      <c r="AB51" s="434"/>
      <c r="AC51" s="434"/>
      <c r="AD51" s="437">
        <f>$H51-AA51-AB51-AC51</f>
        <v>0</v>
      </c>
      <c r="AE51" s="439"/>
      <c r="AF51" s="434"/>
      <c r="AG51" s="434"/>
      <c r="AH51" s="435">
        <f>$I51-AE51-AF51-AG51</f>
        <v>0</v>
      </c>
      <c r="AI51" s="438"/>
      <c r="AJ51" s="434"/>
      <c r="AK51" s="434"/>
      <c r="AL51" s="437">
        <f>$J51-AI51-AJ51-AK51</f>
        <v>0</v>
      </c>
      <c r="AM51" s="438"/>
      <c r="AN51" s="434"/>
      <c r="AO51" s="434"/>
      <c r="AP51" s="1131">
        <f>$K51-AM51-AN51-AO51</f>
        <v>0</v>
      </c>
      <c r="AQ51" s="438"/>
      <c r="AR51" s="434"/>
      <c r="AS51" s="434"/>
      <c r="AT51" s="437">
        <f>$L51-AQ51-AR51-AS51</f>
        <v>0</v>
      </c>
      <c r="AU51" s="438"/>
      <c r="AV51" s="434"/>
      <c r="AW51" s="434"/>
      <c r="AX51" s="437">
        <f>$M51-AU51-AV51-AW51</f>
        <v>0</v>
      </c>
      <c r="AY51" s="438"/>
      <c r="AZ51" s="434"/>
      <c r="BA51" s="434"/>
      <c r="BB51" s="437">
        <f>$N51-AY51-AZ51-BA51</f>
        <v>0</v>
      </c>
      <c r="BC51" s="438"/>
      <c r="BD51" s="434"/>
      <c r="BE51" s="434"/>
      <c r="BF51" s="1131">
        <f>$O51-BC51-BD51-BE51</f>
        <v>0</v>
      </c>
      <c r="BG51" s="438"/>
      <c r="BH51" s="434"/>
      <c r="BI51" s="434"/>
      <c r="BJ51" s="1131">
        <f t="shared" ref="BJ51" si="299">$P51-BG51-BH51-BI51</f>
        <v>0</v>
      </c>
      <c r="BK51" s="438"/>
      <c r="BL51" s="434"/>
      <c r="BM51" s="434"/>
      <c r="BN51" s="1131">
        <f t="shared" si="126"/>
        <v>0</v>
      </c>
      <c r="BO51" s="438"/>
      <c r="BP51" s="434"/>
      <c r="BQ51" s="434"/>
      <c r="BR51" s="1131">
        <f t="shared" ref="BR51:BR55" si="300">$R51-BO51-BP51-BQ51</f>
        <v>0</v>
      </c>
      <c r="BS51" s="438"/>
      <c r="BT51" s="833">
        <v>0.75</v>
      </c>
      <c r="BU51" s="833">
        <f t="shared" ref="BU51:CF51" si="301">BT51</f>
        <v>0.75</v>
      </c>
      <c r="BV51" s="833">
        <f t="shared" si="301"/>
        <v>0.75</v>
      </c>
      <c r="BW51" s="833">
        <f t="shared" si="301"/>
        <v>0.75</v>
      </c>
      <c r="BX51" s="833">
        <f t="shared" si="301"/>
        <v>0.75</v>
      </c>
      <c r="BY51" s="833">
        <f t="shared" si="301"/>
        <v>0.75</v>
      </c>
      <c r="BZ51" s="833">
        <f t="shared" si="301"/>
        <v>0.75</v>
      </c>
      <c r="CA51" s="833">
        <f t="shared" si="301"/>
        <v>0.75</v>
      </c>
      <c r="CB51" s="833">
        <f t="shared" si="301"/>
        <v>0.75</v>
      </c>
      <c r="CC51" s="833">
        <f t="shared" si="301"/>
        <v>0.75</v>
      </c>
      <c r="CD51" s="833">
        <f t="shared" si="301"/>
        <v>0.75</v>
      </c>
      <c r="CE51" s="833">
        <f t="shared" si="301"/>
        <v>0.75</v>
      </c>
      <c r="CF51" s="833">
        <f t="shared" si="301"/>
        <v>0.75</v>
      </c>
      <c r="CG51" s="833"/>
      <c r="CH51" s="46">
        <f t="shared" ref="CH51:CT53" si="302">ROUND(BT51*F51,-3)</f>
        <v>27000</v>
      </c>
      <c r="CI51" s="46">
        <f t="shared" si="302"/>
        <v>21000</v>
      </c>
      <c r="CJ51" s="46">
        <f t="shared" si="302"/>
        <v>0</v>
      </c>
      <c r="CK51" s="46">
        <f t="shared" si="302"/>
        <v>0</v>
      </c>
      <c r="CL51" s="46">
        <f t="shared" si="302"/>
        <v>0</v>
      </c>
      <c r="CM51" s="46">
        <f t="shared" si="302"/>
        <v>0</v>
      </c>
      <c r="CN51" s="46">
        <f t="shared" si="302"/>
        <v>0</v>
      </c>
      <c r="CO51" s="46">
        <f t="shared" si="302"/>
        <v>0</v>
      </c>
      <c r="CP51" s="46">
        <f t="shared" si="302"/>
        <v>0</v>
      </c>
      <c r="CQ51" s="46">
        <f t="shared" si="302"/>
        <v>0</v>
      </c>
      <c r="CR51" s="46">
        <f t="shared" si="302"/>
        <v>0</v>
      </c>
      <c r="CS51" s="46">
        <f t="shared" si="302"/>
        <v>0</v>
      </c>
      <c r="CT51" s="46">
        <f t="shared" si="302"/>
        <v>0</v>
      </c>
    </row>
    <row r="52" spans="1:98" s="247" customFormat="1" ht="14.25" customHeight="1" x14ac:dyDescent="0.2">
      <c r="A52" s="673" t="s">
        <v>6827</v>
      </c>
      <c r="B52" s="920" t="s">
        <v>6439</v>
      </c>
      <c r="C52" s="920" t="s">
        <v>6438</v>
      </c>
      <c r="D52" s="920" t="s">
        <v>6438</v>
      </c>
      <c r="E52" s="611"/>
      <c r="F52" s="607"/>
      <c r="G52" s="668">
        <v>36200</v>
      </c>
      <c r="H52" s="608"/>
      <c r="I52" s="668"/>
      <c r="J52" s="668"/>
      <c r="K52" s="608"/>
      <c r="L52" s="668"/>
      <c r="M52" s="669"/>
      <c r="N52" s="608"/>
      <c r="O52" s="608"/>
      <c r="P52" s="608"/>
      <c r="Q52" s="608"/>
      <c r="R52" s="1129"/>
      <c r="S52" s="438"/>
      <c r="T52" s="434"/>
      <c r="U52" s="434"/>
      <c r="V52" s="438"/>
      <c r="W52" s="439"/>
      <c r="X52" s="434"/>
      <c r="Y52" s="434"/>
      <c r="Z52" s="437">
        <f t="shared" si="3"/>
        <v>36200</v>
      </c>
      <c r="AA52" s="439"/>
      <c r="AB52" s="434"/>
      <c r="AC52" s="434"/>
      <c r="AD52" s="437">
        <f t="shared" ref="AD52:AD53" si="303">$H52-AA52-AB52-AC52</f>
        <v>0</v>
      </c>
      <c r="AE52" s="439"/>
      <c r="AF52" s="434"/>
      <c r="AG52" s="434"/>
      <c r="AH52" s="435">
        <f t="shared" ref="AH52:AH53" si="304">$I52-AE52-AF52-AG52</f>
        <v>0</v>
      </c>
      <c r="AI52" s="438"/>
      <c r="AJ52" s="434"/>
      <c r="AK52" s="434"/>
      <c r="AL52" s="437">
        <f t="shared" ref="AL52:AL53" si="305">$J52-AI52-AJ52-AK52</f>
        <v>0</v>
      </c>
      <c r="AM52" s="438"/>
      <c r="AN52" s="434"/>
      <c r="AO52" s="434"/>
      <c r="AP52" s="1131">
        <f t="shared" ref="AP52:AP53" si="306">$K52-AM52-AN52-AO52</f>
        <v>0</v>
      </c>
      <c r="AQ52" s="438"/>
      <c r="AR52" s="434"/>
      <c r="AS52" s="434"/>
      <c r="AT52" s="437">
        <f t="shared" ref="AT52:AT53" si="307">$L52-AQ52-AR52-AS52</f>
        <v>0</v>
      </c>
      <c r="AU52" s="438"/>
      <c r="AV52" s="434"/>
      <c r="AW52" s="434"/>
      <c r="AX52" s="437">
        <f t="shared" ref="AX52:AX53" si="308">$M52-AU52-AV52-AW52</f>
        <v>0</v>
      </c>
      <c r="AY52" s="438"/>
      <c r="AZ52" s="434"/>
      <c r="BA52" s="434"/>
      <c r="BB52" s="437">
        <f t="shared" ref="BB52:BB53" si="309">$N52-AY52-AZ52-BA52</f>
        <v>0</v>
      </c>
      <c r="BC52" s="438"/>
      <c r="BD52" s="434"/>
      <c r="BE52" s="434"/>
      <c r="BF52" s="1131">
        <f t="shared" ref="BF52:BF53" si="310">$O52-BC52-BD52-BE52</f>
        <v>0</v>
      </c>
      <c r="BG52" s="438"/>
      <c r="BH52" s="434"/>
      <c r="BI52" s="434"/>
      <c r="BJ52" s="1131">
        <f t="shared" ref="BJ52:BJ53" si="311">$P52-BG52-BH52-BI52</f>
        <v>0</v>
      </c>
      <c r="BK52" s="438"/>
      <c r="BL52" s="434"/>
      <c r="BM52" s="434"/>
      <c r="BN52" s="1131">
        <f t="shared" ref="BN52:BN53" si="312">$Q52-BK52-BL52-BM52</f>
        <v>0</v>
      </c>
      <c r="BO52" s="438"/>
      <c r="BP52" s="434"/>
      <c r="BQ52" s="434"/>
      <c r="BR52" s="1131">
        <f t="shared" si="300"/>
        <v>0</v>
      </c>
      <c r="BS52" s="438"/>
      <c r="BT52" s="833">
        <v>0.75</v>
      </c>
      <c r="BU52" s="833">
        <f t="shared" ref="BU52:BU53" si="313">BT52</f>
        <v>0.75</v>
      </c>
      <c r="BV52" s="833">
        <f t="shared" ref="BV52:BV53" si="314">BU52</f>
        <v>0.75</v>
      </c>
      <c r="BW52" s="833">
        <f t="shared" ref="BW52:BW53" si="315">BV52</f>
        <v>0.75</v>
      </c>
      <c r="BX52" s="833">
        <f t="shared" ref="BX52:BX53" si="316">BW52</f>
        <v>0.75</v>
      </c>
      <c r="BY52" s="833">
        <f t="shared" ref="BY52:BY53" si="317">BX52</f>
        <v>0.75</v>
      </c>
      <c r="BZ52" s="833">
        <f t="shared" ref="BZ52:BZ53" si="318">BY52</f>
        <v>0.75</v>
      </c>
      <c r="CA52" s="833">
        <f t="shared" ref="CA52:CA53" si="319">BZ52</f>
        <v>0.75</v>
      </c>
      <c r="CB52" s="833">
        <f t="shared" ref="CB52:CB53" si="320">CA52</f>
        <v>0.75</v>
      </c>
      <c r="CC52" s="833">
        <f t="shared" ref="CC52:CC53" si="321">CB52</f>
        <v>0.75</v>
      </c>
      <c r="CD52" s="833">
        <f t="shared" ref="CD52:CF53" si="322">CC52</f>
        <v>0.75</v>
      </c>
      <c r="CE52" s="833">
        <f t="shared" si="322"/>
        <v>0.75</v>
      </c>
      <c r="CF52" s="833">
        <f t="shared" si="322"/>
        <v>0.75</v>
      </c>
      <c r="CG52" s="833"/>
      <c r="CH52" s="46">
        <f t="shared" si="302"/>
        <v>0</v>
      </c>
      <c r="CI52" s="46">
        <f t="shared" si="302"/>
        <v>27000</v>
      </c>
      <c r="CJ52" s="46">
        <f t="shared" si="302"/>
        <v>0</v>
      </c>
      <c r="CK52" s="46">
        <f t="shared" si="302"/>
        <v>0</v>
      </c>
      <c r="CL52" s="46">
        <f t="shared" si="302"/>
        <v>0</v>
      </c>
      <c r="CM52" s="46">
        <f t="shared" si="302"/>
        <v>0</v>
      </c>
      <c r="CN52" s="46">
        <f t="shared" si="302"/>
        <v>0</v>
      </c>
      <c r="CO52" s="46">
        <f t="shared" si="302"/>
        <v>0</v>
      </c>
      <c r="CP52" s="46">
        <f t="shared" si="302"/>
        <v>0</v>
      </c>
      <c r="CQ52" s="46">
        <f t="shared" si="302"/>
        <v>0</v>
      </c>
      <c r="CR52" s="46">
        <f t="shared" si="302"/>
        <v>0</v>
      </c>
      <c r="CS52" s="46">
        <f t="shared" si="302"/>
        <v>0</v>
      </c>
      <c r="CT52" s="46">
        <f t="shared" si="302"/>
        <v>0</v>
      </c>
    </row>
    <row r="53" spans="1:98" s="247" customFormat="1" ht="14.25" customHeight="1" x14ac:dyDescent="0.2">
      <c r="A53" s="673" t="s">
        <v>6564</v>
      </c>
      <c r="B53" s="920" t="s">
        <v>6321</v>
      </c>
      <c r="C53" s="920" t="s">
        <v>6322</v>
      </c>
      <c r="D53" s="920" t="s">
        <v>6322</v>
      </c>
      <c r="E53" s="611"/>
      <c r="F53" s="607"/>
      <c r="G53" s="668"/>
      <c r="H53" s="608">
        <f>100000-100000</f>
        <v>0</v>
      </c>
      <c r="I53" s="668">
        <v>100000</v>
      </c>
      <c r="J53" s="668"/>
      <c r="K53" s="608"/>
      <c r="L53" s="668"/>
      <c r="M53" s="669"/>
      <c r="N53" s="608"/>
      <c r="O53" s="608"/>
      <c r="P53" s="608"/>
      <c r="Q53" s="608"/>
      <c r="R53" s="1129"/>
      <c r="S53" s="438"/>
      <c r="T53" s="434"/>
      <c r="U53" s="434"/>
      <c r="V53" s="438"/>
      <c r="W53" s="439"/>
      <c r="X53" s="434"/>
      <c r="Y53" s="434"/>
      <c r="Z53" s="437">
        <f t="shared" si="3"/>
        <v>0</v>
      </c>
      <c r="AA53" s="439"/>
      <c r="AB53" s="434"/>
      <c r="AC53" s="434"/>
      <c r="AD53" s="437">
        <f t="shared" si="303"/>
        <v>0</v>
      </c>
      <c r="AE53" s="439"/>
      <c r="AF53" s="434"/>
      <c r="AG53" s="434"/>
      <c r="AH53" s="435">
        <f t="shared" si="304"/>
        <v>100000</v>
      </c>
      <c r="AI53" s="438"/>
      <c r="AJ53" s="434"/>
      <c r="AK53" s="434"/>
      <c r="AL53" s="437">
        <f t="shared" si="305"/>
        <v>0</v>
      </c>
      <c r="AM53" s="438"/>
      <c r="AN53" s="434"/>
      <c r="AO53" s="434"/>
      <c r="AP53" s="1131">
        <f t="shared" si="306"/>
        <v>0</v>
      </c>
      <c r="AQ53" s="438"/>
      <c r="AR53" s="434"/>
      <c r="AS53" s="434"/>
      <c r="AT53" s="437">
        <f t="shared" si="307"/>
        <v>0</v>
      </c>
      <c r="AU53" s="438"/>
      <c r="AV53" s="434"/>
      <c r="AW53" s="434"/>
      <c r="AX53" s="437">
        <f t="shared" si="308"/>
        <v>0</v>
      </c>
      <c r="AY53" s="438"/>
      <c r="AZ53" s="434"/>
      <c r="BA53" s="434"/>
      <c r="BB53" s="437">
        <f t="shared" si="309"/>
        <v>0</v>
      </c>
      <c r="BC53" s="438"/>
      <c r="BD53" s="434"/>
      <c r="BE53" s="434"/>
      <c r="BF53" s="1131">
        <f t="shared" si="310"/>
        <v>0</v>
      </c>
      <c r="BG53" s="438"/>
      <c r="BH53" s="434"/>
      <c r="BI53" s="434"/>
      <c r="BJ53" s="1131">
        <f t="shared" si="311"/>
        <v>0</v>
      </c>
      <c r="BK53" s="438"/>
      <c r="BL53" s="434"/>
      <c r="BM53" s="434"/>
      <c r="BN53" s="1131">
        <f t="shared" si="312"/>
        <v>0</v>
      </c>
      <c r="BO53" s="438"/>
      <c r="BP53" s="434"/>
      <c r="BQ53" s="434"/>
      <c r="BR53" s="1131">
        <f t="shared" si="300"/>
        <v>0</v>
      </c>
      <c r="BS53" s="438"/>
      <c r="BT53" s="833">
        <v>0.75</v>
      </c>
      <c r="BU53" s="833">
        <f t="shared" si="313"/>
        <v>0.75</v>
      </c>
      <c r="BV53" s="833">
        <f t="shared" si="314"/>
        <v>0.75</v>
      </c>
      <c r="BW53" s="833">
        <f t="shared" si="315"/>
        <v>0.75</v>
      </c>
      <c r="BX53" s="833">
        <f t="shared" si="316"/>
        <v>0.75</v>
      </c>
      <c r="BY53" s="833">
        <f t="shared" si="317"/>
        <v>0.75</v>
      </c>
      <c r="BZ53" s="833">
        <f t="shared" si="318"/>
        <v>0.75</v>
      </c>
      <c r="CA53" s="833">
        <f t="shared" si="319"/>
        <v>0.75</v>
      </c>
      <c r="CB53" s="833">
        <f t="shared" si="320"/>
        <v>0.75</v>
      </c>
      <c r="CC53" s="833">
        <f t="shared" si="321"/>
        <v>0.75</v>
      </c>
      <c r="CD53" s="833">
        <f t="shared" si="322"/>
        <v>0.75</v>
      </c>
      <c r="CE53" s="833">
        <f t="shared" si="322"/>
        <v>0.75</v>
      </c>
      <c r="CF53" s="833">
        <f t="shared" si="322"/>
        <v>0.75</v>
      </c>
      <c r="CG53" s="833"/>
      <c r="CH53" s="46">
        <f t="shared" si="302"/>
        <v>0</v>
      </c>
      <c r="CI53" s="46">
        <f t="shared" si="302"/>
        <v>0</v>
      </c>
      <c r="CJ53" s="46">
        <f t="shared" si="302"/>
        <v>0</v>
      </c>
      <c r="CK53" s="46">
        <f t="shared" si="302"/>
        <v>75000</v>
      </c>
      <c r="CL53" s="46">
        <f t="shared" si="302"/>
        <v>0</v>
      </c>
      <c r="CM53" s="46">
        <f t="shared" si="302"/>
        <v>0</v>
      </c>
      <c r="CN53" s="46">
        <f t="shared" si="302"/>
        <v>0</v>
      </c>
      <c r="CO53" s="46">
        <f t="shared" si="302"/>
        <v>0</v>
      </c>
      <c r="CP53" s="46">
        <f t="shared" si="302"/>
        <v>0</v>
      </c>
      <c r="CQ53" s="46">
        <f t="shared" si="302"/>
        <v>0</v>
      </c>
      <c r="CR53" s="46">
        <f t="shared" si="302"/>
        <v>0</v>
      </c>
      <c r="CS53" s="46">
        <f t="shared" si="302"/>
        <v>0</v>
      </c>
      <c r="CT53" s="46">
        <f t="shared" si="302"/>
        <v>0</v>
      </c>
    </row>
    <row r="54" spans="1:98" s="247" customFormat="1" ht="14.25" customHeight="1" x14ac:dyDescent="0.2">
      <c r="A54" s="673" t="s">
        <v>6939</v>
      </c>
      <c r="B54" s="920"/>
      <c r="C54" s="920"/>
      <c r="D54" s="920"/>
      <c r="E54" s="611"/>
      <c r="F54" s="607"/>
      <c r="G54" s="668"/>
      <c r="H54" s="608"/>
      <c r="I54" s="668">
        <v>200000</v>
      </c>
      <c r="J54" s="668"/>
      <c r="K54" s="608"/>
      <c r="L54" s="668"/>
      <c r="M54" s="669"/>
      <c r="N54" s="608"/>
      <c r="O54" s="608"/>
      <c r="P54" s="608"/>
      <c r="Q54" s="608"/>
      <c r="R54" s="1129"/>
      <c r="S54" s="438"/>
      <c r="T54" s="434"/>
      <c r="U54" s="434"/>
      <c r="V54" s="438"/>
      <c r="W54" s="439"/>
      <c r="X54" s="434"/>
      <c r="Y54" s="434"/>
      <c r="Z54" s="437">
        <f t="shared" si="3"/>
        <v>0</v>
      </c>
      <c r="AA54" s="439"/>
      <c r="AB54" s="434"/>
      <c r="AC54" s="434"/>
      <c r="AD54" s="437">
        <f t="shared" ref="AD54:AD55" si="323">$H54-AA54-AB54-AC54</f>
        <v>0</v>
      </c>
      <c r="AE54" s="439"/>
      <c r="AF54" s="434"/>
      <c r="AG54" s="434"/>
      <c r="AH54" s="435">
        <f t="shared" ref="AH54:AH55" si="324">$I54-AE54-AF54-AG54</f>
        <v>200000</v>
      </c>
      <c r="AI54" s="438"/>
      <c r="AJ54" s="434"/>
      <c r="AK54" s="434"/>
      <c r="AL54" s="437">
        <f t="shared" ref="AL54:AL55" si="325">$J54-AI54-AJ54-AK54</f>
        <v>0</v>
      </c>
      <c r="AM54" s="438"/>
      <c r="AN54" s="434"/>
      <c r="AO54" s="434"/>
      <c r="AP54" s="1131">
        <f t="shared" ref="AP54:AP55" si="326">$K54-AM54-AN54-AO54</f>
        <v>0</v>
      </c>
      <c r="AQ54" s="438"/>
      <c r="AR54" s="434"/>
      <c r="AS54" s="434"/>
      <c r="AT54" s="437">
        <f t="shared" ref="AT54:AT55" si="327">$L54-AQ54-AR54-AS54</f>
        <v>0</v>
      </c>
      <c r="AU54" s="438"/>
      <c r="AV54" s="434"/>
      <c r="AW54" s="434"/>
      <c r="AX54" s="437">
        <f t="shared" ref="AX54:AX55" si="328">$M54-AU54-AV54-AW54</f>
        <v>0</v>
      </c>
      <c r="AY54" s="438"/>
      <c r="AZ54" s="434"/>
      <c r="BA54" s="434"/>
      <c r="BB54" s="437">
        <f t="shared" ref="BB54:BB55" si="329">$N54-AY54-AZ54-BA54</f>
        <v>0</v>
      </c>
      <c r="BC54" s="438"/>
      <c r="BD54" s="434"/>
      <c r="BE54" s="434"/>
      <c r="BF54" s="1131">
        <f t="shared" ref="BF54:BF55" si="330">$O54-BC54-BD54-BE54</f>
        <v>0</v>
      </c>
      <c r="BG54" s="438"/>
      <c r="BH54" s="434"/>
      <c r="BI54" s="434"/>
      <c r="BJ54" s="1131">
        <f t="shared" ref="BJ54:BJ55" si="331">$P54-BG54-BH54-BI54</f>
        <v>0</v>
      </c>
      <c r="BK54" s="438"/>
      <c r="BL54" s="434"/>
      <c r="BM54" s="434"/>
      <c r="BN54" s="1131">
        <f t="shared" ref="BN54:BN55" si="332">$Q54-BK54-BL54-BM54</f>
        <v>0</v>
      </c>
      <c r="BO54" s="438"/>
      <c r="BP54" s="434"/>
      <c r="BQ54" s="434"/>
      <c r="BR54" s="1131">
        <f t="shared" si="300"/>
        <v>0</v>
      </c>
      <c r="BS54" s="438"/>
      <c r="BT54" s="833">
        <v>0.75</v>
      </c>
      <c r="BU54" s="833">
        <f t="shared" ref="BU54:BU55" si="333">BT54</f>
        <v>0.75</v>
      </c>
      <c r="BV54" s="833">
        <f t="shared" ref="BV54:BV55" si="334">BU54</f>
        <v>0.75</v>
      </c>
      <c r="BW54" s="833">
        <f t="shared" ref="BW54:BW55" si="335">BV54</f>
        <v>0.75</v>
      </c>
      <c r="BX54" s="833">
        <f t="shared" ref="BX54:BX55" si="336">BW54</f>
        <v>0.75</v>
      </c>
      <c r="BY54" s="833">
        <f t="shared" ref="BY54:BY55" si="337">BX54</f>
        <v>0.75</v>
      </c>
      <c r="BZ54" s="833">
        <f t="shared" ref="BZ54:BZ55" si="338">BY54</f>
        <v>0.75</v>
      </c>
      <c r="CA54" s="833">
        <f t="shared" ref="CA54:CA55" si="339">BZ54</f>
        <v>0.75</v>
      </c>
      <c r="CB54" s="833">
        <f t="shared" ref="CB54:CB55" si="340">CA54</f>
        <v>0.75</v>
      </c>
      <c r="CC54" s="833">
        <f t="shared" ref="CC54:CC55" si="341">CB54</f>
        <v>0.75</v>
      </c>
      <c r="CD54" s="833">
        <f t="shared" ref="CD54:CD55" si="342">CC54</f>
        <v>0.75</v>
      </c>
      <c r="CE54" s="833">
        <f t="shared" ref="CE54:CF55" si="343">CD54</f>
        <v>0.75</v>
      </c>
      <c r="CF54" s="833">
        <f t="shared" si="343"/>
        <v>0.75</v>
      </c>
      <c r="CG54" s="833"/>
      <c r="CH54" s="46">
        <f t="shared" ref="CH54:CH55" si="344">ROUND(BT54*F54,-3)</f>
        <v>0</v>
      </c>
      <c r="CI54" s="46">
        <f t="shared" ref="CI54:CI55" si="345">ROUND(BU54*G54,-3)</f>
        <v>0</v>
      </c>
      <c r="CJ54" s="46">
        <f t="shared" ref="CJ54:CJ55" si="346">ROUND(BV54*H54,-3)</f>
        <v>0</v>
      </c>
      <c r="CK54" s="46">
        <f t="shared" ref="CK54:CK55" si="347">ROUND(BW54*I54,-3)</f>
        <v>150000</v>
      </c>
      <c r="CL54" s="46">
        <f t="shared" ref="CL54:CL55" si="348">ROUND(BX54*J54,-3)</f>
        <v>0</v>
      </c>
      <c r="CM54" s="46">
        <f t="shared" ref="CM54:CM55" si="349">ROUND(BY54*K54,-3)</f>
        <v>0</v>
      </c>
      <c r="CN54" s="46">
        <f t="shared" ref="CN54:CN55" si="350">ROUND(BZ54*L54,-3)</f>
        <v>0</v>
      </c>
      <c r="CO54" s="46">
        <f t="shared" ref="CO54:CO55" si="351">ROUND(CA54*M54,-3)</f>
        <v>0</v>
      </c>
      <c r="CP54" s="46">
        <f t="shared" ref="CP54:CP55" si="352">ROUND(CB54*N54,-3)</f>
        <v>0</v>
      </c>
      <c r="CQ54" s="46">
        <f t="shared" ref="CQ54:CQ55" si="353">ROUND(CC54*O54,-3)</f>
        <v>0</v>
      </c>
      <c r="CR54" s="46">
        <f t="shared" ref="CR54:CR55" si="354">ROUND(CD54*P54,-3)</f>
        <v>0</v>
      </c>
      <c r="CS54" s="46">
        <f>ROUND(CE54*Q54,-3)</f>
        <v>0</v>
      </c>
      <c r="CT54" s="46">
        <f>ROUND(CF54*R54,-3)</f>
        <v>0</v>
      </c>
    </row>
    <row r="55" spans="1:98" s="247" customFormat="1" ht="14.25" customHeight="1" x14ac:dyDescent="0.2">
      <c r="A55" s="673" t="s">
        <v>6940</v>
      </c>
      <c r="B55" s="920"/>
      <c r="C55" s="920"/>
      <c r="D55" s="920"/>
      <c r="E55" s="611"/>
      <c r="F55" s="607"/>
      <c r="G55" s="668"/>
      <c r="H55" s="608"/>
      <c r="I55" s="668"/>
      <c r="J55" s="668"/>
      <c r="K55" s="608">
        <v>300000</v>
      </c>
      <c r="L55" s="668"/>
      <c r="M55" s="669"/>
      <c r="N55" s="608"/>
      <c r="O55" s="608"/>
      <c r="P55" s="608"/>
      <c r="Q55" s="608"/>
      <c r="R55" s="1129"/>
      <c r="S55" s="438"/>
      <c r="T55" s="434"/>
      <c r="U55" s="434"/>
      <c r="V55" s="438"/>
      <c r="W55" s="439"/>
      <c r="X55" s="434"/>
      <c r="Y55" s="434"/>
      <c r="Z55" s="437">
        <f t="shared" si="3"/>
        <v>0</v>
      </c>
      <c r="AA55" s="439"/>
      <c r="AB55" s="434"/>
      <c r="AC55" s="434"/>
      <c r="AD55" s="437">
        <f t="shared" si="323"/>
        <v>0</v>
      </c>
      <c r="AE55" s="439"/>
      <c r="AF55" s="434"/>
      <c r="AG55" s="434"/>
      <c r="AH55" s="435">
        <f t="shared" si="324"/>
        <v>0</v>
      </c>
      <c r="AI55" s="438"/>
      <c r="AJ55" s="434"/>
      <c r="AK55" s="434"/>
      <c r="AL55" s="437">
        <f t="shared" si="325"/>
        <v>0</v>
      </c>
      <c r="AM55" s="438"/>
      <c r="AN55" s="434"/>
      <c r="AO55" s="434"/>
      <c r="AP55" s="1131">
        <f t="shared" si="326"/>
        <v>300000</v>
      </c>
      <c r="AQ55" s="438"/>
      <c r="AR55" s="434"/>
      <c r="AS55" s="434"/>
      <c r="AT55" s="437">
        <f t="shared" si="327"/>
        <v>0</v>
      </c>
      <c r="AU55" s="438"/>
      <c r="AV55" s="434"/>
      <c r="AW55" s="434"/>
      <c r="AX55" s="437">
        <f t="shared" si="328"/>
        <v>0</v>
      </c>
      <c r="AY55" s="438"/>
      <c r="AZ55" s="434"/>
      <c r="BA55" s="434"/>
      <c r="BB55" s="437">
        <f t="shared" si="329"/>
        <v>0</v>
      </c>
      <c r="BC55" s="438"/>
      <c r="BD55" s="434"/>
      <c r="BE55" s="434"/>
      <c r="BF55" s="1131">
        <f t="shared" si="330"/>
        <v>0</v>
      </c>
      <c r="BG55" s="438"/>
      <c r="BH55" s="434"/>
      <c r="BI55" s="434"/>
      <c r="BJ55" s="1131">
        <f t="shared" si="331"/>
        <v>0</v>
      </c>
      <c r="BK55" s="438"/>
      <c r="BL55" s="434"/>
      <c r="BM55" s="434"/>
      <c r="BN55" s="1131">
        <f t="shared" si="332"/>
        <v>0</v>
      </c>
      <c r="BO55" s="438"/>
      <c r="BP55" s="434"/>
      <c r="BQ55" s="434"/>
      <c r="BR55" s="1131">
        <f t="shared" si="300"/>
        <v>0</v>
      </c>
      <c r="BS55" s="438"/>
      <c r="BT55" s="833">
        <v>0.75</v>
      </c>
      <c r="BU55" s="833">
        <f t="shared" si="333"/>
        <v>0.75</v>
      </c>
      <c r="BV55" s="833">
        <f t="shared" si="334"/>
        <v>0.75</v>
      </c>
      <c r="BW55" s="833">
        <f t="shared" si="335"/>
        <v>0.75</v>
      </c>
      <c r="BX55" s="833">
        <f t="shared" si="336"/>
        <v>0.75</v>
      </c>
      <c r="BY55" s="833">
        <f t="shared" si="337"/>
        <v>0.75</v>
      </c>
      <c r="BZ55" s="833">
        <f t="shared" si="338"/>
        <v>0.75</v>
      </c>
      <c r="CA55" s="833">
        <f t="shared" si="339"/>
        <v>0.75</v>
      </c>
      <c r="CB55" s="833">
        <f t="shared" si="340"/>
        <v>0.75</v>
      </c>
      <c r="CC55" s="833">
        <f t="shared" si="341"/>
        <v>0.75</v>
      </c>
      <c r="CD55" s="833">
        <f t="shared" si="342"/>
        <v>0.75</v>
      </c>
      <c r="CE55" s="833">
        <f t="shared" si="343"/>
        <v>0.75</v>
      </c>
      <c r="CF55" s="833">
        <f t="shared" si="343"/>
        <v>0.75</v>
      </c>
      <c r="CG55" s="833"/>
      <c r="CH55" s="46">
        <f t="shared" si="344"/>
        <v>0</v>
      </c>
      <c r="CI55" s="46">
        <f t="shared" si="345"/>
        <v>0</v>
      </c>
      <c r="CJ55" s="46">
        <f t="shared" si="346"/>
        <v>0</v>
      </c>
      <c r="CK55" s="46">
        <f t="shared" si="347"/>
        <v>0</v>
      </c>
      <c r="CL55" s="46">
        <f t="shared" si="348"/>
        <v>0</v>
      </c>
      <c r="CM55" s="46">
        <f t="shared" si="349"/>
        <v>225000</v>
      </c>
      <c r="CN55" s="46">
        <f t="shared" si="350"/>
        <v>0</v>
      </c>
      <c r="CO55" s="46">
        <f t="shared" si="351"/>
        <v>0</v>
      </c>
      <c r="CP55" s="46">
        <f t="shared" si="352"/>
        <v>0</v>
      </c>
      <c r="CQ55" s="46">
        <f t="shared" si="353"/>
        <v>0</v>
      </c>
      <c r="CR55" s="46">
        <f t="shared" si="354"/>
        <v>0</v>
      </c>
      <c r="CS55" s="46">
        <f>ROUND(CE55*Q55,-3)</f>
        <v>0</v>
      </c>
      <c r="CT55" s="46">
        <f>ROUND(CF55*R55,-3)</f>
        <v>0</v>
      </c>
    </row>
    <row r="56" spans="1:98" s="247" customFormat="1" ht="14.25" customHeight="1" x14ac:dyDescent="0.2">
      <c r="A56" s="673"/>
      <c r="B56" s="919"/>
      <c r="C56" s="919"/>
      <c r="D56" s="919"/>
      <c r="E56" s="611"/>
      <c r="F56" s="607"/>
      <c r="G56" s="668"/>
      <c r="H56" s="608"/>
      <c r="I56" s="668"/>
      <c r="J56" s="668"/>
      <c r="K56" s="608"/>
      <c r="L56" s="668"/>
      <c r="M56" s="669"/>
      <c r="N56" s="608"/>
      <c r="O56" s="608"/>
      <c r="P56" s="608"/>
      <c r="Q56" s="608"/>
      <c r="R56" s="1129"/>
      <c r="S56" s="438"/>
      <c r="T56" s="434"/>
      <c r="U56" s="434"/>
      <c r="V56" s="438"/>
      <c r="W56" s="439"/>
      <c r="X56" s="434"/>
      <c r="Y56" s="434"/>
      <c r="Z56" s="437">
        <f t="shared" si="3"/>
        <v>0</v>
      </c>
      <c r="AA56" s="439"/>
      <c r="AB56" s="434"/>
      <c r="AC56" s="434"/>
      <c r="AD56" s="437"/>
      <c r="AE56" s="439"/>
      <c r="AF56" s="434"/>
      <c r="AG56" s="434"/>
      <c r="AH56" s="435"/>
      <c r="AI56" s="438"/>
      <c r="AJ56" s="434"/>
      <c r="AK56" s="434"/>
      <c r="AL56" s="437"/>
      <c r="AM56" s="438"/>
      <c r="AN56" s="434"/>
      <c r="AO56" s="434"/>
      <c r="AP56" s="1131"/>
      <c r="AQ56" s="438"/>
      <c r="AR56" s="434"/>
      <c r="AS56" s="434"/>
      <c r="AT56" s="437"/>
      <c r="AU56" s="438"/>
      <c r="AV56" s="434"/>
      <c r="AW56" s="434"/>
      <c r="AX56" s="437"/>
      <c r="AY56" s="438"/>
      <c r="AZ56" s="434"/>
      <c r="BA56" s="434"/>
      <c r="BB56" s="437"/>
      <c r="BC56" s="438"/>
      <c r="BD56" s="434"/>
      <c r="BE56" s="434"/>
      <c r="BF56" s="1131"/>
      <c r="BG56" s="438"/>
      <c r="BH56" s="434"/>
      <c r="BI56" s="434"/>
      <c r="BJ56" s="1131"/>
      <c r="BK56" s="438"/>
      <c r="BL56" s="434"/>
      <c r="BM56" s="434"/>
      <c r="BN56" s="1131"/>
      <c r="BO56" s="438"/>
      <c r="BP56" s="434"/>
      <c r="BQ56" s="434"/>
      <c r="BR56" s="1131"/>
      <c r="BS56" s="438"/>
      <c r="BT56" s="833"/>
      <c r="BU56" s="833"/>
      <c r="BV56" s="833"/>
      <c r="BW56" s="833"/>
      <c r="BX56" s="833"/>
      <c r="BY56" s="833"/>
      <c r="BZ56" s="833"/>
      <c r="CA56" s="833"/>
      <c r="CB56" s="833"/>
      <c r="CC56" s="833"/>
      <c r="CD56" s="833"/>
      <c r="CE56" s="833"/>
      <c r="CF56" s="833"/>
      <c r="CG56" s="833"/>
      <c r="CH56" s="46"/>
      <c r="CI56" s="46"/>
      <c r="CJ56" s="46"/>
      <c r="CK56" s="46"/>
      <c r="CL56" s="46"/>
      <c r="CM56" s="46"/>
      <c r="CN56" s="46"/>
      <c r="CO56" s="46"/>
      <c r="CP56" s="46"/>
      <c r="CQ56" s="46"/>
      <c r="CR56" s="46"/>
      <c r="CS56" s="46"/>
      <c r="CT56" s="46"/>
    </row>
    <row r="57" spans="1:98" s="247" customFormat="1" ht="14.25" customHeight="1" x14ac:dyDescent="0.2">
      <c r="A57" s="904" t="s">
        <v>4855</v>
      </c>
      <c r="B57" s="919"/>
      <c r="C57" s="919"/>
      <c r="D57" s="919"/>
      <c r="E57" s="611"/>
      <c r="F57" s="607"/>
      <c r="G57" s="668"/>
      <c r="H57" s="608"/>
      <c r="I57" s="668"/>
      <c r="J57" s="668"/>
      <c r="K57" s="608"/>
      <c r="L57" s="668"/>
      <c r="M57" s="669"/>
      <c r="N57" s="608"/>
      <c r="O57" s="608"/>
      <c r="P57" s="608"/>
      <c r="Q57" s="608"/>
      <c r="R57" s="1129"/>
      <c r="S57" s="438"/>
      <c r="T57" s="434"/>
      <c r="U57" s="434"/>
      <c r="V57" s="438"/>
      <c r="W57" s="439"/>
      <c r="X57" s="434"/>
      <c r="Y57" s="434"/>
      <c r="Z57" s="437">
        <f t="shared" si="3"/>
        <v>0</v>
      </c>
      <c r="AA57" s="439"/>
      <c r="AB57" s="434"/>
      <c r="AC57" s="434"/>
      <c r="AD57" s="437"/>
      <c r="AE57" s="439"/>
      <c r="AF57" s="434"/>
      <c r="AG57" s="434"/>
      <c r="AH57" s="435"/>
      <c r="AI57" s="438"/>
      <c r="AJ57" s="434"/>
      <c r="AK57" s="434"/>
      <c r="AL57" s="437"/>
      <c r="AM57" s="438"/>
      <c r="AN57" s="434"/>
      <c r="AO57" s="434"/>
      <c r="AP57" s="1131"/>
      <c r="AQ57" s="438"/>
      <c r="AR57" s="434"/>
      <c r="AS57" s="434"/>
      <c r="AT57" s="437"/>
      <c r="AU57" s="438"/>
      <c r="AV57" s="434"/>
      <c r="AW57" s="434"/>
      <c r="AX57" s="437"/>
      <c r="AY57" s="438"/>
      <c r="AZ57" s="434"/>
      <c r="BA57" s="434"/>
      <c r="BB57" s="437"/>
      <c r="BC57" s="438"/>
      <c r="BD57" s="434"/>
      <c r="BE57" s="434"/>
      <c r="BF57" s="1131"/>
      <c r="BG57" s="438"/>
      <c r="BH57" s="434"/>
      <c r="BI57" s="434"/>
      <c r="BJ57" s="1131"/>
      <c r="BK57" s="438"/>
      <c r="BL57" s="434"/>
      <c r="BM57" s="434"/>
      <c r="BN57" s="1131"/>
      <c r="BO57" s="438"/>
      <c r="BP57" s="434"/>
      <c r="BQ57" s="434"/>
      <c r="BR57" s="1131"/>
      <c r="BS57" s="438"/>
      <c r="BT57" s="833"/>
      <c r="BU57" s="833"/>
      <c r="BV57" s="833"/>
      <c r="BW57" s="833"/>
      <c r="BX57" s="833"/>
      <c r="BY57" s="833"/>
      <c r="BZ57" s="833"/>
      <c r="CA57" s="833"/>
      <c r="CB57" s="833"/>
      <c r="CC57" s="833"/>
      <c r="CD57" s="833"/>
      <c r="CE57" s="833"/>
      <c r="CF57" s="833"/>
      <c r="CG57" s="833"/>
      <c r="CH57" s="46"/>
      <c r="CI57" s="46"/>
      <c r="CJ57" s="46"/>
      <c r="CK57" s="46"/>
      <c r="CL57" s="46"/>
      <c r="CM57" s="46"/>
      <c r="CN57" s="46"/>
      <c r="CO57" s="46"/>
      <c r="CP57" s="46"/>
      <c r="CQ57" s="46"/>
      <c r="CR57" s="46"/>
      <c r="CS57" s="46"/>
      <c r="CT57" s="46"/>
    </row>
    <row r="58" spans="1:98" s="247" customFormat="1" ht="14.25" customHeight="1" x14ac:dyDescent="0.2">
      <c r="A58" s="673" t="s">
        <v>7008</v>
      </c>
      <c r="B58" s="920"/>
      <c r="C58" s="920"/>
      <c r="D58" s="920"/>
      <c r="E58" s="611"/>
      <c r="F58" s="607"/>
      <c r="G58" s="668"/>
      <c r="H58" s="608"/>
      <c r="I58" s="668">
        <v>200000</v>
      </c>
      <c r="J58" s="668"/>
      <c r="K58" s="608"/>
      <c r="L58" s="668"/>
      <c r="M58" s="669"/>
      <c r="N58" s="608"/>
      <c r="O58" s="608"/>
      <c r="P58" s="608"/>
      <c r="Q58" s="608"/>
      <c r="R58" s="1129"/>
      <c r="S58" s="438"/>
      <c r="T58" s="434"/>
      <c r="U58" s="434"/>
      <c r="V58" s="438">
        <f>$F58-S58-T58-U58</f>
        <v>0</v>
      </c>
      <c r="W58" s="439"/>
      <c r="X58" s="434"/>
      <c r="Y58" s="434"/>
      <c r="Z58" s="437">
        <f t="shared" si="3"/>
        <v>0</v>
      </c>
      <c r="AA58" s="439"/>
      <c r="AB58" s="434"/>
      <c r="AC58" s="434"/>
      <c r="AD58" s="437">
        <f>$H58-AA58-AB58-AC58</f>
        <v>0</v>
      </c>
      <c r="AE58" s="439"/>
      <c r="AF58" s="434"/>
      <c r="AG58" s="434"/>
      <c r="AH58" s="435">
        <f>$I58-AE58-AF58-AG58</f>
        <v>200000</v>
      </c>
      <c r="AI58" s="438"/>
      <c r="AJ58" s="434"/>
      <c r="AK58" s="434"/>
      <c r="AL58" s="437">
        <f>$J58-AI58-AJ58-AK58</f>
        <v>0</v>
      </c>
      <c r="AM58" s="438"/>
      <c r="AN58" s="434"/>
      <c r="AO58" s="434"/>
      <c r="AP58" s="1131">
        <f>$K58-AM58-AN58-AO58</f>
        <v>0</v>
      </c>
      <c r="AQ58" s="438"/>
      <c r="AR58" s="434"/>
      <c r="AS58" s="434"/>
      <c r="AT58" s="437">
        <f>$L58-AQ58-AR58-AS58</f>
        <v>0</v>
      </c>
      <c r="AU58" s="438"/>
      <c r="AV58" s="434"/>
      <c r="AW58" s="434"/>
      <c r="AX58" s="437">
        <f>$M58-AU58-AV58-AW58</f>
        <v>0</v>
      </c>
      <c r="AY58" s="438"/>
      <c r="AZ58" s="434"/>
      <c r="BA58" s="434"/>
      <c r="BB58" s="437">
        <f>$N58-AY58-AZ58-BA58</f>
        <v>0</v>
      </c>
      <c r="BC58" s="438"/>
      <c r="BD58" s="434"/>
      <c r="BE58" s="434"/>
      <c r="BF58" s="1131">
        <f>$O58-BC58-BD58-BE58</f>
        <v>0</v>
      </c>
      <c r="BG58" s="438"/>
      <c r="BH58" s="434"/>
      <c r="BI58" s="434"/>
      <c r="BJ58" s="1131">
        <f t="shared" ref="BJ58:BJ61" si="355">$P58-BG58-BH58-BI58</f>
        <v>0</v>
      </c>
      <c r="BK58" s="438"/>
      <c r="BL58" s="434"/>
      <c r="BM58" s="434"/>
      <c r="BN58" s="1131">
        <f t="shared" si="126"/>
        <v>0</v>
      </c>
      <c r="BO58" s="438"/>
      <c r="BP58" s="434"/>
      <c r="BQ58" s="434"/>
      <c r="BR58" s="1131">
        <f t="shared" ref="BR58:BR62" si="356">$R58-BO58-BP58-BQ58</f>
        <v>0</v>
      </c>
      <c r="BS58" s="438"/>
      <c r="BT58" s="833">
        <v>0.75</v>
      </c>
      <c r="BU58" s="833">
        <f t="shared" ref="BU58:BU59" si="357">BT58</f>
        <v>0.75</v>
      </c>
      <c r="BV58" s="833">
        <f t="shared" ref="BV58:BV59" si="358">BU58</f>
        <v>0.75</v>
      </c>
      <c r="BW58" s="833">
        <f t="shared" ref="BW58:BW59" si="359">BV58</f>
        <v>0.75</v>
      </c>
      <c r="BX58" s="833">
        <f t="shared" ref="BX58:BX59" si="360">BW58</f>
        <v>0.75</v>
      </c>
      <c r="BY58" s="833">
        <f t="shared" ref="BY58:BY59" si="361">BX58</f>
        <v>0.75</v>
      </c>
      <c r="BZ58" s="833">
        <f t="shared" ref="BZ58:BZ59" si="362">BY58</f>
        <v>0.75</v>
      </c>
      <c r="CA58" s="833">
        <f t="shared" ref="CA58:CA59" si="363">BZ58</f>
        <v>0.75</v>
      </c>
      <c r="CB58" s="833">
        <f t="shared" ref="CB58:CF59" si="364">CA58</f>
        <v>0.75</v>
      </c>
      <c r="CC58" s="833">
        <f t="shared" si="364"/>
        <v>0.75</v>
      </c>
      <c r="CD58" s="833">
        <f t="shared" si="364"/>
        <v>0.75</v>
      </c>
      <c r="CE58" s="833">
        <f t="shared" si="364"/>
        <v>0.75</v>
      </c>
      <c r="CF58" s="833">
        <f t="shared" si="364"/>
        <v>0.75</v>
      </c>
      <c r="CG58" s="833"/>
      <c r="CH58" s="46">
        <f t="shared" ref="CH58:CT61" si="365">ROUND(BT58*F58,-3)</f>
        <v>0</v>
      </c>
      <c r="CI58" s="46">
        <f t="shared" si="365"/>
        <v>0</v>
      </c>
      <c r="CJ58" s="46">
        <f t="shared" si="365"/>
        <v>0</v>
      </c>
      <c r="CK58" s="46">
        <f t="shared" si="365"/>
        <v>150000</v>
      </c>
      <c r="CL58" s="46">
        <f t="shared" si="365"/>
        <v>0</v>
      </c>
      <c r="CM58" s="46">
        <f t="shared" si="365"/>
        <v>0</v>
      </c>
      <c r="CN58" s="46">
        <f t="shared" si="365"/>
        <v>0</v>
      </c>
      <c r="CO58" s="46">
        <f t="shared" si="365"/>
        <v>0</v>
      </c>
      <c r="CP58" s="46">
        <f t="shared" si="365"/>
        <v>0</v>
      </c>
      <c r="CQ58" s="46">
        <f t="shared" si="365"/>
        <v>0</v>
      </c>
      <c r="CR58" s="46">
        <f t="shared" si="365"/>
        <v>0</v>
      </c>
      <c r="CS58" s="46">
        <f t="shared" si="365"/>
        <v>0</v>
      </c>
      <c r="CT58" s="46">
        <f t="shared" si="365"/>
        <v>0</v>
      </c>
    </row>
    <row r="59" spans="1:98" s="247" customFormat="1" ht="14.25" customHeight="1" x14ac:dyDescent="0.2">
      <c r="A59" s="673" t="s">
        <v>6565</v>
      </c>
      <c r="B59" s="920" t="s">
        <v>4978</v>
      </c>
      <c r="C59" s="920" t="s">
        <v>4050</v>
      </c>
      <c r="D59" s="920" t="s">
        <v>4050</v>
      </c>
      <c r="E59" s="611"/>
      <c r="F59" s="607">
        <v>3200</v>
      </c>
      <c r="G59" s="668"/>
      <c r="H59" s="608">
        <f>115000-115000</f>
        <v>0</v>
      </c>
      <c r="I59" s="668"/>
      <c r="J59" s="668"/>
      <c r="K59" s="608"/>
      <c r="L59" s="668"/>
      <c r="M59" s="669"/>
      <c r="N59" s="608"/>
      <c r="O59" s="608"/>
      <c r="P59" s="608"/>
      <c r="Q59" s="608"/>
      <c r="R59" s="1129"/>
      <c r="S59" s="438"/>
      <c r="T59" s="434"/>
      <c r="U59" s="434"/>
      <c r="V59" s="438">
        <f>$F59-S59-T59-U59</f>
        <v>3200</v>
      </c>
      <c r="W59" s="439"/>
      <c r="X59" s="434"/>
      <c r="Y59" s="434"/>
      <c r="Z59" s="437">
        <f t="shared" si="3"/>
        <v>0</v>
      </c>
      <c r="AA59" s="439"/>
      <c r="AB59" s="434"/>
      <c r="AC59" s="434"/>
      <c r="AD59" s="437">
        <f>$H59-AA59-AB59-AC59</f>
        <v>0</v>
      </c>
      <c r="AE59" s="439"/>
      <c r="AF59" s="434"/>
      <c r="AG59" s="434"/>
      <c r="AH59" s="435">
        <f>$I59-AE59-AF59-AG59</f>
        <v>0</v>
      </c>
      <c r="AI59" s="438"/>
      <c r="AJ59" s="434"/>
      <c r="AK59" s="434"/>
      <c r="AL59" s="437">
        <f>$J59-AI59-AJ59-AK59</f>
        <v>0</v>
      </c>
      <c r="AM59" s="438"/>
      <c r="AN59" s="434"/>
      <c r="AO59" s="434"/>
      <c r="AP59" s="1131">
        <f>$K59-AM59-AN59-AO59</f>
        <v>0</v>
      </c>
      <c r="AQ59" s="438"/>
      <c r="AR59" s="434"/>
      <c r="AS59" s="434"/>
      <c r="AT59" s="437">
        <f>$L59-AQ59-AR59-AS59</f>
        <v>0</v>
      </c>
      <c r="AU59" s="438"/>
      <c r="AV59" s="434"/>
      <c r="AW59" s="434"/>
      <c r="AX59" s="437">
        <f>$M59-AU59-AV59-AW59</f>
        <v>0</v>
      </c>
      <c r="AY59" s="438"/>
      <c r="AZ59" s="434"/>
      <c r="BA59" s="434"/>
      <c r="BB59" s="437">
        <f>$N59-AY59-AZ59-BA59</f>
        <v>0</v>
      </c>
      <c r="BC59" s="438"/>
      <c r="BD59" s="434"/>
      <c r="BE59" s="434"/>
      <c r="BF59" s="1131">
        <f>$O59-BC59-BD59-BE59</f>
        <v>0</v>
      </c>
      <c r="BG59" s="438"/>
      <c r="BH59" s="434"/>
      <c r="BI59" s="434"/>
      <c r="BJ59" s="1131">
        <f t="shared" si="355"/>
        <v>0</v>
      </c>
      <c r="BK59" s="438"/>
      <c r="BL59" s="434"/>
      <c r="BM59" s="434"/>
      <c r="BN59" s="1131">
        <f t="shared" si="126"/>
        <v>0</v>
      </c>
      <c r="BO59" s="438"/>
      <c r="BP59" s="434"/>
      <c r="BQ59" s="434"/>
      <c r="BR59" s="1131">
        <f t="shared" si="356"/>
        <v>0</v>
      </c>
      <c r="BS59" s="438"/>
      <c r="BT59" s="833">
        <v>0.75</v>
      </c>
      <c r="BU59" s="833">
        <f t="shared" si="357"/>
        <v>0.75</v>
      </c>
      <c r="BV59" s="833">
        <f t="shared" si="358"/>
        <v>0.75</v>
      </c>
      <c r="BW59" s="833">
        <f t="shared" si="359"/>
        <v>0.75</v>
      </c>
      <c r="BX59" s="833">
        <f t="shared" si="360"/>
        <v>0.75</v>
      </c>
      <c r="BY59" s="833">
        <f t="shared" si="361"/>
        <v>0.75</v>
      </c>
      <c r="BZ59" s="833">
        <f t="shared" si="362"/>
        <v>0.75</v>
      </c>
      <c r="CA59" s="833">
        <f t="shared" si="363"/>
        <v>0.75</v>
      </c>
      <c r="CB59" s="833">
        <f t="shared" si="364"/>
        <v>0.75</v>
      </c>
      <c r="CC59" s="833">
        <f t="shared" si="364"/>
        <v>0.75</v>
      </c>
      <c r="CD59" s="833">
        <f t="shared" si="364"/>
        <v>0.75</v>
      </c>
      <c r="CE59" s="833">
        <f t="shared" si="364"/>
        <v>0.75</v>
      </c>
      <c r="CF59" s="833">
        <f t="shared" si="364"/>
        <v>0.75</v>
      </c>
      <c r="CG59" s="833"/>
      <c r="CH59" s="46">
        <f t="shared" si="365"/>
        <v>2000</v>
      </c>
      <c r="CI59" s="46">
        <f t="shared" si="365"/>
        <v>0</v>
      </c>
      <c r="CJ59" s="46">
        <f t="shared" si="365"/>
        <v>0</v>
      </c>
      <c r="CK59" s="46">
        <f t="shared" si="365"/>
        <v>0</v>
      </c>
      <c r="CL59" s="46">
        <f t="shared" si="365"/>
        <v>0</v>
      </c>
      <c r="CM59" s="46">
        <f t="shared" si="365"/>
        <v>0</v>
      </c>
      <c r="CN59" s="46">
        <f t="shared" si="365"/>
        <v>0</v>
      </c>
      <c r="CO59" s="46">
        <f t="shared" si="365"/>
        <v>0</v>
      </c>
      <c r="CP59" s="46">
        <f t="shared" si="365"/>
        <v>0</v>
      </c>
      <c r="CQ59" s="46">
        <f t="shared" si="365"/>
        <v>0</v>
      </c>
      <c r="CR59" s="46">
        <f t="shared" si="365"/>
        <v>0</v>
      </c>
      <c r="CS59" s="46">
        <f t="shared" si="365"/>
        <v>0</v>
      </c>
      <c r="CT59" s="46">
        <f t="shared" si="365"/>
        <v>0</v>
      </c>
    </row>
    <row r="60" spans="1:98" s="247" customFormat="1" ht="14.25" customHeight="1" x14ac:dyDescent="0.2">
      <c r="A60" s="673" t="s">
        <v>7009</v>
      </c>
      <c r="B60" s="920" t="s">
        <v>6323</v>
      </c>
      <c r="C60" s="920" t="s">
        <v>6324</v>
      </c>
      <c r="D60" s="920" t="s">
        <v>6324</v>
      </c>
      <c r="E60" s="611"/>
      <c r="F60" s="607"/>
      <c r="G60" s="668">
        <v>6200</v>
      </c>
      <c r="H60" s="608">
        <f>219000+579100</f>
        <v>798100</v>
      </c>
      <c r="I60" s="668"/>
      <c r="J60" s="668"/>
      <c r="K60" s="608"/>
      <c r="L60" s="668"/>
      <c r="M60" s="669"/>
      <c r="N60" s="608"/>
      <c r="O60" s="608"/>
      <c r="P60" s="608"/>
      <c r="Q60" s="608"/>
      <c r="R60" s="1129"/>
      <c r="S60" s="438"/>
      <c r="T60" s="434"/>
      <c r="U60" s="434"/>
      <c r="V60" s="438">
        <f>$F60-S60-T60-U60</f>
        <v>0</v>
      </c>
      <c r="W60" s="439"/>
      <c r="X60" s="434"/>
      <c r="Y60" s="434"/>
      <c r="Z60" s="437">
        <f t="shared" si="3"/>
        <v>6200</v>
      </c>
      <c r="AA60" s="439"/>
      <c r="AB60" s="434"/>
      <c r="AC60" s="434"/>
      <c r="AD60" s="437">
        <f>$H60-AA60-AB60-AC60</f>
        <v>798100</v>
      </c>
      <c r="AE60" s="439"/>
      <c r="AF60" s="434"/>
      <c r="AG60" s="434"/>
      <c r="AH60" s="435">
        <f>$I60-AE60-AF60-AG60</f>
        <v>0</v>
      </c>
      <c r="AI60" s="438"/>
      <c r="AJ60" s="434"/>
      <c r="AK60" s="434"/>
      <c r="AL60" s="437">
        <f>$J60-AI60-AJ60-AK60</f>
        <v>0</v>
      </c>
      <c r="AM60" s="438"/>
      <c r="AN60" s="434"/>
      <c r="AO60" s="434"/>
      <c r="AP60" s="1131">
        <f>$K60-AM60-AN60-AO60</f>
        <v>0</v>
      </c>
      <c r="AQ60" s="438"/>
      <c r="AR60" s="434"/>
      <c r="AS60" s="434"/>
      <c r="AT60" s="437">
        <f>$L60-AQ60-AR60-AS60</f>
        <v>0</v>
      </c>
      <c r="AU60" s="438"/>
      <c r="AV60" s="434"/>
      <c r="AW60" s="434"/>
      <c r="AX60" s="437">
        <f>$M60-AU60-AV60-AW60</f>
        <v>0</v>
      </c>
      <c r="AY60" s="438"/>
      <c r="AZ60" s="434"/>
      <c r="BA60" s="434"/>
      <c r="BB60" s="437">
        <f>$N60-AY60-AZ60-BA60</f>
        <v>0</v>
      </c>
      <c r="BC60" s="438"/>
      <c r="BD60" s="434"/>
      <c r="BE60" s="434"/>
      <c r="BF60" s="1131">
        <f>$O60-BC60-BD60-BE60</f>
        <v>0</v>
      </c>
      <c r="BG60" s="438"/>
      <c r="BH60" s="434"/>
      <c r="BI60" s="434"/>
      <c r="BJ60" s="1131">
        <f t="shared" si="355"/>
        <v>0</v>
      </c>
      <c r="BK60" s="438"/>
      <c r="BL60" s="434"/>
      <c r="BM60" s="434"/>
      <c r="BN60" s="1131">
        <f t="shared" si="126"/>
        <v>0</v>
      </c>
      <c r="BO60" s="438"/>
      <c r="BP60" s="434"/>
      <c r="BQ60" s="434"/>
      <c r="BR60" s="1131">
        <f t="shared" si="356"/>
        <v>0</v>
      </c>
      <c r="BS60" s="438"/>
      <c r="BT60" s="833">
        <v>0.75</v>
      </c>
      <c r="BU60" s="833">
        <f t="shared" ref="BU60" si="366">BT60</f>
        <v>0.75</v>
      </c>
      <c r="BV60" s="833">
        <f t="shared" ref="BV60" si="367">BU60</f>
        <v>0.75</v>
      </c>
      <c r="BW60" s="833">
        <f t="shared" ref="BW60" si="368">BV60</f>
        <v>0.75</v>
      </c>
      <c r="BX60" s="833">
        <f t="shared" ref="BX60" si="369">BW60</f>
        <v>0.75</v>
      </c>
      <c r="BY60" s="833">
        <f t="shared" ref="BY60" si="370">BX60</f>
        <v>0.75</v>
      </c>
      <c r="BZ60" s="833">
        <f t="shared" ref="BZ60" si="371">BY60</f>
        <v>0.75</v>
      </c>
      <c r="CA60" s="833">
        <f t="shared" ref="CA60" si="372">BZ60</f>
        <v>0.75</v>
      </c>
      <c r="CB60" s="833">
        <f t="shared" ref="CB60" si="373">CA60</f>
        <v>0.75</v>
      </c>
      <c r="CC60" s="833">
        <f t="shared" ref="CC60:CF60" si="374">CB60</f>
        <v>0.75</v>
      </c>
      <c r="CD60" s="833">
        <f t="shared" si="374"/>
        <v>0.75</v>
      </c>
      <c r="CE60" s="833">
        <f t="shared" si="374"/>
        <v>0.75</v>
      </c>
      <c r="CF60" s="833">
        <f t="shared" si="374"/>
        <v>0.75</v>
      </c>
      <c r="CG60" s="833"/>
      <c r="CH60" s="46">
        <f t="shared" si="365"/>
        <v>0</v>
      </c>
      <c r="CI60" s="46">
        <f t="shared" si="365"/>
        <v>5000</v>
      </c>
      <c r="CJ60" s="46">
        <f t="shared" si="365"/>
        <v>599000</v>
      </c>
      <c r="CK60" s="46">
        <f t="shared" si="365"/>
        <v>0</v>
      </c>
      <c r="CL60" s="46">
        <f t="shared" si="365"/>
        <v>0</v>
      </c>
      <c r="CM60" s="46">
        <f t="shared" si="365"/>
        <v>0</v>
      </c>
      <c r="CN60" s="46">
        <f t="shared" si="365"/>
        <v>0</v>
      </c>
      <c r="CO60" s="46">
        <f t="shared" si="365"/>
        <v>0</v>
      </c>
      <c r="CP60" s="46">
        <f t="shared" si="365"/>
        <v>0</v>
      </c>
      <c r="CQ60" s="46">
        <f t="shared" si="365"/>
        <v>0</v>
      </c>
      <c r="CR60" s="46">
        <f t="shared" si="365"/>
        <v>0</v>
      </c>
      <c r="CS60" s="46">
        <f t="shared" si="365"/>
        <v>0</v>
      </c>
      <c r="CT60" s="46">
        <f t="shared" si="365"/>
        <v>0</v>
      </c>
    </row>
    <row r="61" spans="1:98" s="247" customFormat="1" ht="14.25" customHeight="1" x14ac:dyDescent="0.2">
      <c r="A61" s="673" t="s">
        <v>6566</v>
      </c>
      <c r="B61" s="920"/>
      <c r="C61" s="920"/>
      <c r="D61" s="920"/>
      <c r="E61" s="611"/>
      <c r="F61" s="607"/>
      <c r="G61" s="668"/>
      <c r="H61" s="608"/>
      <c r="I61" s="668">
        <v>200000</v>
      </c>
      <c r="J61" s="668"/>
      <c r="K61" s="608"/>
      <c r="L61" s="668"/>
      <c r="M61" s="669"/>
      <c r="N61" s="608"/>
      <c r="O61" s="608"/>
      <c r="P61" s="608"/>
      <c r="Q61" s="608"/>
      <c r="R61" s="1129"/>
      <c r="S61" s="438"/>
      <c r="T61" s="434"/>
      <c r="U61" s="434"/>
      <c r="V61" s="438"/>
      <c r="W61" s="439"/>
      <c r="X61" s="434"/>
      <c r="Y61" s="434"/>
      <c r="Z61" s="437">
        <f t="shared" si="3"/>
        <v>0</v>
      </c>
      <c r="AA61" s="439"/>
      <c r="AB61" s="434"/>
      <c r="AC61" s="434"/>
      <c r="AD61" s="437">
        <f>$H61-AA61-AB61-AC61</f>
        <v>0</v>
      </c>
      <c r="AE61" s="439"/>
      <c r="AF61" s="434"/>
      <c r="AG61" s="434"/>
      <c r="AH61" s="435">
        <f>$I61-AE61-AF61-AG61</f>
        <v>200000</v>
      </c>
      <c r="AI61" s="438"/>
      <c r="AJ61" s="434"/>
      <c r="AK61" s="434"/>
      <c r="AL61" s="437">
        <f>$J61-AI61-AJ61-AK61</f>
        <v>0</v>
      </c>
      <c r="AM61" s="438"/>
      <c r="AN61" s="434"/>
      <c r="AO61" s="434"/>
      <c r="AP61" s="1131">
        <f>$K61-AM61-AN61-AO61</f>
        <v>0</v>
      </c>
      <c r="AQ61" s="438"/>
      <c r="AR61" s="434"/>
      <c r="AS61" s="434"/>
      <c r="AT61" s="437">
        <f>$L61-AQ61-AR61-AS61</f>
        <v>0</v>
      </c>
      <c r="AU61" s="438"/>
      <c r="AV61" s="434"/>
      <c r="AW61" s="434"/>
      <c r="AX61" s="437">
        <f>$M61-AU61-AV61-AW61</f>
        <v>0</v>
      </c>
      <c r="AY61" s="438"/>
      <c r="AZ61" s="434"/>
      <c r="BA61" s="434"/>
      <c r="BB61" s="437">
        <f>$N61-AY61-AZ61-BA61</f>
        <v>0</v>
      </c>
      <c r="BC61" s="438"/>
      <c r="BD61" s="434"/>
      <c r="BE61" s="434"/>
      <c r="BF61" s="1131">
        <f>$O61-BC61-BD61-BE61</f>
        <v>0</v>
      </c>
      <c r="BG61" s="438"/>
      <c r="BH61" s="434"/>
      <c r="BI61" s="434"/>
      <c r="BJ61" s="1131">
        <f t="shared" si="355"/>
        <v>0</v>
      </c>
      <c r="BK61" s="438"/>
      <c r="BL61" s="434"/>
      <c r="BM61" s="434"/>
      <c r="BN61" s="1131">
        <f t="shared" si="126"/>
        <v>0</v>
      </c>
      <c r="BO61" s="438"/>
      <c r="BP61" s="434"/>
      <c r="BQ61" s="434"/>
      <c r="BR61" s="1131">
        <f t="shared" si="356"/>
        <v>0</v>
      </c>
      <c r="BS61" s="438"/>
      <c r="BT61" s="833">
        <v>0.75</v>
      </c>
      <c r="BU61" s="833">
        <f t="shared" ref="BU61" si="375">BT61</f>
        <v>0.75</v>
      </c>
      <c r="BV61" s="833">
        <f t="shared" ref="BV61" si="376">BU61</f>
        <v>0.75</v>
      </c>
      <c r="BW61" s="833">
        <f t="shared" ref="BW61" si="377">BV61</f>
        <v>0.75</v>
      </c>
      <c r="BX61" s="833">
        <f t="shared" ref="BX61" si="378">BW61</f>
        <v>0.75</v>
      </c>
      <c r="BY61" s="833">
        <f t="shared" ref="BY61" si="379">BX61</f>
        <v>0.75</v>
      </c>
      <c r="BZ61" s="833">
        <f t="shared" ref="BZ61" si="380">BY61</f>
        <v>0.75</v>
      </c>
      <c r="CA61" s="833">
        <f t="shared" ref="CA61" si="381">BZ61</f>
        <v>0.75</v>
      </c>
      <c r="CB61" s="833">
        <f t="shared" ref="CB61" si="382">CA61</f>
        <v>0.75</v>
      </c>
      <c r="CC61" s="833">
        <f t="shared" ref="CC61" si="383">CB61</f>
        <v>0.75</v>
      </c>
      <c r="CD61" s="833">
        <f t="shared" ref="CD61:CF61" si="384">CC61</f>
        <v>0.75</v>
      </c>
      <c r="CE61" s="833">
        <f t="shared" si="384"/>
        <v>0.75</v>
      </c>
      <c r="CF61" s="833">
        <f t="shared" si="384"/>
        <v>0.75</v>
      </c>
      <c r="CG61" s="833"/>
      <c r="CH61" s="46">
        <f t="shared" si="365"/>
        <v>0</v>
      </c>
      <c r="CI61" s="46">
        <f t="shared" si="365"/>
        <v>0</v>
      </c>
      <c r="CJ61" s="46">
        <f t="shared" si="365"/>
        <v>0</v>
      </c>
      <c r="CK61" s="46">
        <f t="shared" si="365"/>
        <v>150000</v>
      </c>
      <c r="CL61" s="46">
        <f t="shared" si="365"/>
        <v>0</v>
      </c>
      <c r="CM61" s="46">
        <f t="shared" si="365"/>
        <v>0</v>
      </c>
      <c r="CN61" s="46">
        <f t="shared" si="365"/>
        <v>0</v>
      </c>
      <c r="CO61" s="46">
        <f t="shared" si="365"/>
        <v>0</v>
      </c>
      <c r="CP61" s="46">
        <f t="shared" si="365"/>
        <v>0</v>
      </c>
      <c r="CQ61" s="46">
        <f t="shared" si="365"/>
        <v>0</v>
      </c>
      <c r="CR61" s="46">
        <f t="shared" si="365"/>
        <v>0</v>
      </c>
      <c r="CS61" s="46">
        <f t="shared" si="365"/>
        <v>0</v>
      </c>
      <c r="CT61" s="46">
        <f t="shared" si="365"/>
        <v>0</v>
      </c>
    </row>
    <row r="62" spans="1:98" s="247" customFormat="1" ht="14.25" customHeight="1" x14ac:dyDescent="0.2">
      <c r="A62" s="673" t="s">
        <v>6939</v>
      </c>
      <c r="B62" s="920" t="s">
        <v>7194</v>
      </c>
      <c r="C62" s="920" t="s">
        <v>7195</v>
      </c>
      <c r="D62" s="920" t="s">
        <v>7195</v>
      </c>
      <c r="E62" s="611"/>
      <c r="F62" s="607"/>
      <c r="G62" s="668"/>
      <c r="H62" s="608">
        <f>200000-150000</f>
        <v>50000</v>
      </c>
      <c r="I62" s="668"/>
      <c r="J62" s="668"/>
      <c r="K62" s="608"/>
      <c r="L62" s="668"/>
      <c r="M62" s="669"/>
      <c r="N62" s="608"/>
      <c r="O62" s="608"/>
      <c r="P62" s="608"/>
      <c r="Q62" s="608"/>
      <c r="R62" s="1129"/>
      <c r="S62" s="438"/>
      <c r="T62" s="434"/>
      <c r="U62" s="434"/>
      <c r="V62" s="438"/>
      <c r="W62" s="439"/>
      <c r="X62" s="434"/>
      <c r="Y62" s="434"/>
      <c r="Z62" s="437">
        <f t="shared" si="3"/>
        <v>0</v>
      </c>
      <c r="AA62" s="439"/>
      <c r="AB62" s="434"/>
      <c r="AC62" s="434"/>
      <c r="AD62" s="437">
        <f>$H62-AA62-AB62-AC62</f>
        <v>50000</v>
      </c>
      <c r="AE62" s="439"/>
      <c r="AF62" s="434"/>
      <c r="AG62" s="434"/>
      <c r="AH62" s="435">
        <f>$I62-AE62-AF62-AG62</f>
        <v>0</v>
      </c>
      <c r="AI62" s="438"/>
      <c r="AJ62" s="434"/>
      <c r="AK62" s="434"/>
      <c r="AL62" s="437">
        <f>$J62-AI62-AJ62-AK62</f>
        <v>0</v>
      </c>
      <c r="AM62" s="438"/>
      <c r="AN62" s="434"/>
      <c r="AO62" s="434"/>
      <c r="AP62" s="1131">
        <f>$K62-AM62-AN62-AO62</f>
        <v>0</v>
      </c>
      <c r="AQ62" s="438"/>
      <c r="AR62" s="434"/>
      <c r="AS62" s="434"/>
      <c r="AT62" s="437">
        <f>$L62-AQ62-AR62-AS62</f>
        <v>0</v>
      </c>
      <c r="AU62" s="438"/>
      <c r="AV62" s="434"/>
      <c r="AW62" s="434"/>
      <c r="AX62" s="437">
        <f>$M62-AU62-AV62-AW62</f>
        <v>0</v>
      </c>
      <c r="AY62" s="438"/>
      <c r="AZ62" s="434"/>
      <c r="BA62" s="434"/>
      <c r="BB62" s="437">
        <f>$N62-AY62-AZ62-BA62</f>
        <v>0</v>
      </c>
      <c r="BC62" s="438"/>
      <c r="BD62" s="434"/>
      <c r="BE62" s="434"/>
      <c r="BF62" s="1131">
        <f>$O62-BC62-BD62-BE62</f>
        <v>0</v>
      </c>
      <c r="BG62" s="438"/>
      <c r="BH62" s="434"/>
      <c r="BI62" s="434"/>
      <c r="BJ62" s="1131">
        <f t="shared" ref="BJ62" si="385">$P62-BG62-BH62-BI62</f>
        <v>0</v>
      </c>
      <c r="BK62" s="438"/>
      <c r="BL62" s="434"/>
      <c r="BM62" s="434"/>
      <c r="BN62" s="1131">
        <f t="shared" ref="BN62" si="386">$Q62-BK62-BL62-BM62</f>
        <v>0</v>
      </c>
      <c r="BO62" s="438"/>
      <c r="BP62" s="434"/>
      <c r="BQ62" s="434"/>
      <c r="BR62" s="1131">
        <f t="shared" si="356"/>
        <v>0</v>
      </c>
      <c r="BS62" s="438"/>
      <c r="BT62" s="833">
        <v>0.75</v>
      </c>
      <c r="BU62" s="833">
        <f t="shared" ref="BU62" si="387">BT62</f>
        <v>0.75</v>
      </c>
      <c r="BV62" s="833">
        <f t="shared" ref="BV62" si="388">BU62</f>
        <v>0.75</v>
      </c>
      <c r="BW62" s="833">
        <f t="shared" ref="BW62" si="389">BV62</f>
        <v>0.75</v>
      </c>
      <c r="BX62" s="833">
        <f t="shared" ref="BX62" si="390">BW62</f>
        <v>0.75</v>
      </c>
      <c r="BY62" s="833">
        <f t="shared" ref="BY62" si="391">BX62</f>
        <v>0.75</v>
      </c>
      <c r="BZ62" s="833">
        <f t="shared" ref="BZ62" si="392">BY62</f>
        <v>0.75</v>
      </c>
      <c r="CA62" s="833">
        <f t="shared" ref="CA62" si="393">BZ62</f>
        <v>0.75</v>
      </c>
      <c r="CB62" s="833">
        <f t="shared" ref="CB62" si="394">CA62</f>
        <v>0.75</v>
      </c>
      <c r="CC62" s="833">
        <f t="shared" ref="CC62" si="395">CB62</f>
        <v>0.75</v>
      </c>
      <c r="CD62" s="833">
        <f t="shared" ref="CD62" si="396">CC62</f>
        <v>0.75</v>
      </c>
      <c r="CE62" s="833">
        <f t="shared" ref="CE62:CF62" si="397">CD62</f>
        <v>0.75</v>
      </c>
      <c r="CF62" s="833">
        <f t="shared" si="397"/>
        <v>0.75</v>
      </c>
      <c r="CG62" s="833"/>
      <c r="CH62" s="46">
        <f t="shared" ref="CH62" si="398">ROUND(BT62*F62,-3)</f>
        <v>0</v>
      </c>
      <c r="CI62" s="46">
        <f t="shared" ref="CI62" si="399">ROUND(BU62*G62,-3)</f>
        <v>0</v>
      </c>
      <c r="CJ62" s="46">
        <f t="shared" ref="CJ62" si="400">ROUND(BV62*H62,-3)</f>
        <v>38000</v>
      </c>
      <c r="CK62" s="46">
        <f t="shared" ref="CK62" si="401">ROUND(BW62*I62,-3)</f>
        <v>0</v>
      </c>
      <c r="CL62" s="46">
        <f t="shared" ref="CL62" si="402">ROUND(BX62*J62,-3)</f>
        <v>0</v>
      </c>
      <c r="CM62" s="46">
        <f t="shared" ref="CM62" si="403">ROUND(BY62*K62,-3)</f>
        <v>0</v>
      </c>
      <c r="CN62" s="46">
        <f t="shared" ref="CN62" si="404">ROUND(BZ62*L62,-3)</f>
        <v>0</v>
      </c>
      <c r="CO62" s="46">
        <f t="shared" ref="CO62" si="405">ROUND(CA62*M62,-3)</f>
        <v>0</v>
      </c>
      <c r="CP62" s="46">
        <f t="shared" ref="CP62" si="406">ROUND(CB62*N62,-3)</f>
        <v>0</v>
      </c>
      <c r="CQ62" s="46">
        <f t="shared" ref="CQ62" si="407">ROUND(CC62*O62,-3)</f>
        <v>0</v>
      </c>
      <c r="CR62" s="46">
        <f t="shared" ref="CR62" si="408">ROUND(CD62*P62,-3)</f>
        <v>0</v>
      </c>
      <c r="CS62" s="46">
        <f>ROUND(CE62*Q62,-3)</f>
        <v>0</v>
      </c>
      <c r="CT62" s="46">
        <f>ROUND(CF62*R62,-3)</f>
        <v>0</v>
      </c>
    </row>
    <row r="63" spans="1:98" s="247" customFormat="1" ht="14.25" customHeight="1" x14ac:dyDescent="0.2">
      <c r="A63" s="673"/>
      <c r="B63" s="919"/>
      <c r="C63" s="919"/>
      <c r="D63" s="919"/>
      <c r="E63" s="611"/>
      <c r="F63" s="607"/>
      <c r="G63" s="668"/>
      <c r="H63" s="608"/>
      <c r="I63" s="668"/>
      <c r="J63" s="668"/>
      <c r="K63" s="608"/>
      <c r="L63" s="668"/>
      <c r="M63" s="669"/>
      <c r="N63" s="608"/>
      <c r="O63" s="608"/>
      <c r="P63" s="608"/>
      <c r="Q63" s="608"/>
      <c r="R63" s="1129"/>
      <c r="S63" s="438"/>
      <c r="T63" s="434"/>
      <c r="U63" s="434"/>
      <c r="V63" s="438"/>
      <c r="W63" s="439"/>
      <c r="X63" s="434"/>
      <c r="Y63" s="434"/>
      <c r="Z63" s="437">
        <f t="shared" si="3"/>
        <v>0</v>
      </c>
      <c r="AA63" s="439"/>
      <c r="AB63" s="434"/>
      <c r="AC63" s="434"/>
      <c r="AD63" s="437"/>
      <c r="AE63" s="439"/>
      <c r="AF63" s="434"/>
      <c r="AG63" s="434"/>
      <c r="AH63" s="435"/>
      <c r="AI63" s="438"/>
      <c r="AJ63" s="434"/>
      <c r="AK63" s="434"/>
      <c r="AL63" s="437"/>
      <c r="AM63" s="438"/>
      <c r="AN63" s="434"/>
      <c r="AO63" s="434"/>
      <c r="AP63" s="1131"/>
      <c r="AQ63" s="438"/>
      <c r="AR63" s="434"/>
      <c r="AS63" s="434"/>
      <c r="AT63" s="437"/>
      <c r="AU63" s="438"/>
      <c r="AV63" s="434"/>
      <c r="AW63" s="434"/>
      <c r="AX63" s="437"/>
      <c r="AY63" s="438"/>
      <c r="AZ63" s="434"/>
      <c r="BA63" s="434"/>
      <c r="BB63" s="437"/>
      <c r="BC63" s="438"/>
      <c r="BD63" s="434"/>
      <c r="BE63" s="434"/>
      <c r="BF63" s="1131"/>
      <c r="BG63" s="438"/>
      <c r="BH63" s="434"/>
      <c r="BI63" s="434"/>
      <c r="BJ63" s="1131"/>
      <c r="BK63" s="438"/>
      <c r="BL63" s="434"/>
      <c r="BM63" s="434"/>
      <c r="BN63" s="1131"/>
      <c r="BO63" s="438"/>
      <c r="BP63" s="434"/>
      <c r="BQ63" s="434"/>
      <c r="BR63" s="1131"/>
      <c r="BS63" s="438"/>
      <c r="BT63" s="833"/>
      <c r="BU63" s="833"/>
      <c r="BV63" s="833"/>
      <c r="BW63" s="833"/>
      <c r="BX63" s="833"/>
      <c r="BY63" s="833"/>
      <c r="BZ63" s="833"/>
      <c r="CA63" s="833"/>
      <c r="CB63" s="833"/>
      <c r="CC63" s="833"/>
      <c r="CD63" s="833"/>
      <c r="CE63" s="833"/>
      <c r="CF63" s="833"/>
      <c r="CG63" s="833"/>
      <c r="CH63" s="46"/>
      <c r="CI63" s="46"/>
      <c r="CJ63" s="46"/>
      <c r="CK63" s="46"/>
      <c r="CL63" s="46"/>
      <c r="CM63" s="46"/>
      <c r="CN63" s="46"/>
      <c r="CO63" s="46"/>
      <c r="CP63" s="46"/>
      <c r="CQ63" s="46"/>
      <c r="CR63" s="46"/>
      <c r="CS63" s="46"/>
      <c r="CT63" s="46"/>
    </row>
    <row r="64" spans="1:98" s="247" customFormat="1" ht="14.25" customHeight="1" x14ac:dyDescent="0.2">
      <c r="A64" s="904" t="s">
        <v>4858</v>
      </c>
      <c r="B64" s="919"/>
      <c r="C64" s="919"/>
      <c r="D64" s="919"/>
      <c r="E64" s="611"/>
      <c r="F64" s="607"/>
      <c r="G64" s="668"/>
      <c r="H64" s="608"/>
      <c r="I64" s="668"/>
      <c r="J64" s="668"/>
      <c r="K64" s="608"/>
      <c r="L64" s="668"/>
      <c r="M64" s="669"/>
      <c r="N64" s="608"/>
      <c r="O64" s="608"/>
      <c r="P64" s="608"/>
      <c r="Q64" s="608"/>
      <c r="R64" s="1129"/>
      <c r="S64" s="438"/>
      <c r="T64" s="434"/>
      <c r="U64" s="434"/>
      <c r="V64" s="438"/>
      <c r="W64" s="439"/>
      <c r="X64" s="434"/>
      <c r="Y64" s="434"/>
      <c r="Z64" s="437">
        <f t="shared" si="3"/>
        <v>0</v>
      </c>
      <c r="AA64" s="439"/>
      <c r="AB64" s="434"/>
      <c r="AC64" s="434"/>
      <c r="AD64" s="437"/>
      <c r="AE64" s="439"/>
      <c r="AF64" s="434"/>
      <c r="AG64" s="434"/>
      <c r="AH64" s="435"/>
      <c r="AI64" s="438"/>
      <c r="AJ64" s="434"/>
      <c r="AK64" s="434"/>
      <c r="AL64" s="437"/>
      <c r="AM64" s="438"/>
      <c r="AN64" s="434"/>
      <c r="AO64" s="434"/>
      <c r="AP64" s="1131"/>
      <c r="AQ64" s="438"/>
      <c r="AR64" s="434"/>
      <c r="AS64" s="434"/>
      <c r="AT64" s="437"/>
      <c r="AU64" s="438"/>
      <c r="AV64" s="434"/>
      <c r="AW64" s="434"/>
      <c r="AX64" s="437"/>
      <c r="AY64" s="438"/>
      <c r="AZ64" s="434"/>
      <c r="BA64" s="434"/>
      <c r="BB64" s="437"/>
      <c r="BC64" s="438"/>
      <c r="BD64" s="434"/>
      <c r="BE64" s="434"/>
      <c r="BF64" s="1131"/>
      <c r="BG64" s="438"/>
      <c r="BH64" s="434"/>
      <c r="BI64" s="434"/>
      <c r="BJ64" s="1131"/>
      <c r="BK64" s="438"/>
      <c r="BL64" s="434"/>
      <c r="BM64" s="434"/>
      <c r="BN64" s="1131"/>
      <c r="BO64" s="438"/>
      <c r="BP64" s="434"/>
      <c r="BQ64" s="434"/>
      <c r="BR64" s="1131"/>
      <c r="BS64" s="438"/>
      <c r="BT64" s="833"/>
      <c r="BU64" s="833"/>
      <c r="BV64" s="833"/>
      <c r="BW64" s="833"/>
      <c r="BX64" s="833"/>
      <c r="BY64" s="833"/>
      <c r="BZ64" s="833"/>
      <c r="CA64" s="833"/>
      <c r="CB64" s="833"/>
      <c r="CC64" s="833"/>
      <c r="CD64" s="833"/>
      <c r="CE64" s="833"/>
      <c r="CF64" s="833"/>
      <c r="CG64" s="833"/>
      <c r="CH64" s="46"/>
      <c r="CI64" s="46"/>
      <c r="CJ64" s="46"/>
      <c r="CK64" s="46"/>
      <c r="CL64" s="46"/>
      <c r="CM64" s="46"/>
      <c r="CN64" s="46"/>
      <c r="CO64" s="46"/>
      <c r="CP64" s="46"/>
      <c r="CQ64" s="46"/>
      <c r="CR64" s="46"/>
      <c r="CS64" s="46"/>
      <c r="CT64" s="46"/>
    </row>
    <row r="65" spans="1:98" s="247" customFormat="1" ht="14.25" customHeight="1" x14ac:dyDescent="0.2">
      <c r="A65" s="673" t="s">
        <v>6567</v>
      </c>
      <c r="B65" s="920" t="s">
        <v>6325</v>
      </c>
      <c r="C65" s="920" t="s">
        <v>6326</v>
      </c>
      <c r="D65" s="920" t="s">
        <v>6326</v>
      </c>
      <c r="E65" s="611"/>
      <c r="F65" s="607"/>
      <c r="G65" s="668">
        <v>5300</v>
      </c>
      <c r="H65" s="608">
        <f>109000+40400</f>
        <v>149400</v>
      </c>
      <c r="I65" s="668"/>
      <c r="J65" s="668"/>
      <c r="K65" s="608"/>
      <c r="L65" s="668"/>
      <c r="M65" s="669"/>
      <c r="N65" s="608"/>
      <c r="O65" s="608"/>
      <c r="P65" s="608"/>
      <c r="Q65" s="608"/>
      <c r="R65" s="1129"/>
      <c r="S65" s="438"/>
      <c r="T65" s="434"/>
      <c r="U65" s="434"/>
      <c r="V65" s="438">
        <f>$F65-S65-T65-U65</f>
        <v>0</v>
      </c>
      <c r="W65" s="439"/>
      <c r="X65" s="434"/>
      <c r="Y65" s="434"/>
      <c r="Z65" s="437">
        <f t="shared" si="3"/>
        <v>5300</v>
      </c>
      <c r="AA65" s="439"/>
      <c r="AB65" s="434"/>
      <c r="AC65" s="434"/>
      <c r="AD65" s="437">
        <f>$H65-AA65-AB65-AC65</f>
        <v>149400</v>
      </c>
      <c r="AE65" s="439"/>
      <c r="AF65" s="434"/>
      <c r="AG65" s="434"/>
      <c r="AH65" s="435">
        <f>$I65-AE65-AF65-AG65</f>
        <v>0</v>
      </c>
      <c r="AI65" s="438"/>
      <c r="AJ65" s="434"/>
      <c r="AK65" s="434"/>
      <c r="AL65" s="437">
        <f>$J65-AI65-AJ65-AK65</f>
        <v>0</v>
      </c>
      <c r="AM65" s="438"/>
      <c r="AN65" s="434"/>
      <c r="AO65" s="434"/>
      <c r="AP65" s="1131">
        <f>$K65-AM65-AN65-AO65</f>
        <v>0</v>
      </c>
      <c r="AQ65" s="438"/>
      <c r="AR65" s="434"/>
      <c r="AS65" s="434"/>
      <c r="AT65" s="437">
        <f>$L65-AQ65-AR65-AS65</f>
        <v>0</v>
      </c>
      <c r="AU65" s="438"/>
      <c r="AV65" s="434"/>
      <c r="AW65" s="434"/>
      <c r="AX65" s="437">
        <f>$M65-AU65-AV65-AW65</f>
        <v>0</v>
      </c>
      <c r="AY65" s="438"/>
      <c r="AZ65" s="434"/>
      <c r="BA65" s="434"/>
      <c r="BB65" s="437">
        <f>$N65-AY65-AZ65-BA65</f>
        <v>0</v>
      </c>
      <c r="BC65" s="438"/>
      <c r="BD65" s="434"/>
      <c r="BE65" s="434"/>
      <c r="BF65" s="1131">
        <f>$O65-BC65-BD65-BE65</f>
        <v>0</v>
      </c>
      <c r="BG65" s="438"/>
      <c r="BH65" s="434"/>
      <c r="BI65" s="434"/>
      <c r="BJ65" s="1131">
        <f t="shared" ref="BJ65" si="409">$P65-BG65-BH65-BI65</f>
        <v>0</v>
      </c>
      <c r="BK65" s="438"/>
      <c r="BL65" s="434"/>
      <c r="BM65" s="434"/>
      <c r="BN65" s="1131">
        <f t="shared" si="126"/>
        <v>0</v>
      </c>
      <c r="BO65" s="438"/>
      <c r="BP65" s="434"/>
      <c r="BQ65" s="434"/>
      <c r="BR65" s="1131">
        <f t="shared" ref="BR65:BR66" si="410">$R65-BO65-BP65-BQ65</f>
        <v>0</v>
      </c>
      <c r="BS65" s="438"/>
      <c r="BT65" s="833">
        <v>0.75</v>
      </c>
      <c r="BU65" s="833">
        <f t="shared" ref="BU65" si="411">BT65</f>
        <v>0.75</v>
      </c>
      <c r="BV65" s="833">
        <f t="shared" ref="BV65" si="412">BU65</f>
        <v>0.75</v>
      </c>
      <c r="BW65" s="833">
        <f t="shared" ref="BW65" si="413">BV65</f>
        <v>0.75</v>
      </c>
      <c r="BX65" s="833">
        <f t="shared" ref="BX65" si="414">BW65</f>
        <v>0.75</v>
      </c>
      <c r="BY65" s="833">
        <f t="shared" ref="BY65" si="415">BX65</f>
        <v>0.75</v>
      </c>
      <c r="BZ65" s="833">
        <f t="shared" ref="BZ65" si="416">BY65</f>
        <v>0.75</v>
      </c>
      <c r="CA65" s="833">
        <f t="shared" ref="CA65" si="417">BZ65</f>
        <v>0.75</v>
      </c>
      <c r="CB65" s="833">
        <f t="shared" ref="CB65" si="418">CA65</f>
        <v>0.75</v>
      </c>
      <c r="CC65" s="833">
        <f t="shared" ref="CC65:CF65" si="419">CB65</f>
        <v>0.75</v>
      </c>
      <c r="CD65" s="833">
        <f t="shared" si="419"/>
        <v>0.75</v>
      </c>
      <c r="CE65" s="833">
        <f t="shared" si="419"/>
        <v>0.75</v>
      </c>
      <c r="CF65" s="833">
        <f t="shared" si="419"/>
        <v>0.75</v>
      </c>
      <c r="CG65" s="833"/>
      <c r="CH65" s="46">
        <f t="shared" ref="CH65:CT65" si="420">ROUND(BT65*F65,-3)</f>
        <v>0</v>
      </c>
      <c r="CI65" s="46">
        <f t="shared" si="420"/>
        <v>4000</v>
      </c>
      <c r="CJ65" s="46">
        <f t="shared" si="420"/>
        <v>112000</v>
      </c>
      <c r="CK65" s="46">
        <f t="shared" si="420"/>
        <v>0</v>
      </c>
      <c r="CL65" s="46">
        <f t="shared" si="420"/>
        <v>0</v>
      </c>
      <c r="CM65" s="46">
        <f t="shared" si="420"/>
        <v>0</v>
      </c>
      <c r="CN65" s="46">
        <f t="shared" si="420"/>
        <v>0</v>
      </c>
      <c r="CO65" s="46">
        <f t="shared" si="420"/>
        <v>0</v>
      </c>
      <c r="CP65" s="46">
        <f t="shared" si="420"/>
        <v>0</v>
      </c>
      <c r="CQ65" s="46">
        <f t="shared" si="420"/>
        <v>0</v>
      </c>
      <c r="CR65" s="46">
        <f t="shared" si="420"/>
        <v>0</v>
      </c>
      <c r="CS65" s="46">
        <f t="shared" si="420"/>
        <v>0</v>
      </c>
      <c r="CT65" s="46">
        <f t="shared" si="420"/>
        <v>0</v>
      </c>
    </row>
    <row r="66" spans="1:98" s="247" customFormat="1" ht="14.25" customHeight="1" x14ac:dyDescent="0.2">
      <c r="A66" s="673" t="s">
        <v>6939</v>
      </c>
      <c r="B66" s="920"/>
      <c r="C66" s="920"/>
      <c r="D66" s="920"/>
      <c r="E66" s="611"/>
      <c r="F66" s="607"/>
      <c r="G66" s="668"/>
      <c r="H66" s="608"/>
      <c r="I66" s="668">
        <v>100000</v>
      </c>
      <c r="J66" s="668"/>
      <c r="K66" s="608"/>
      <c r="L66" s="668"/>
      <c r="M66" s="669"/>
      <c r="N66" s="608"/>
      <c r="O66" s="608"/>
      <c r="P66" s="608"/>
      <c r="Q66" s="608"/>
      <c r="R66" s="1129"/>
      <c r="S66" s="438"/>
      <c r="T66" s="434"/>
      <c r="U66" s="434"/>
      <c r="V66" s="438"/>
      <c r="W66" s="439"/>
      <c r="X66" s="434"/>
      <c r="Y66" s="434"/>
      <c r="Z66" s="437">
        <f t="shared" si="3"/>
        <v>0</v>
      </c>
      <c r="AA66" s="439"/>
      <c r="AB66" s="434"/>
      <c r="AC66" s="434"/>
      <c r="AD66" s="437">
        <f>$H66-AA66-AB66-AC66</f>
        <v>0</v>
      </c>
      <c r="AE66" s="439"/>
      <c r="AF66" s="434"/>
      <c r="AG66" s="434"/>
      <c r="AH66" s="435">
        <f>$I66-AE66-AF66-AG66</f>
        <v>100000</v>
      </c>
      <c r="AI66" s="438"/>
      <c r="AJ66" s="434"/>
      <c r="AK66" s="434"/>
      <c r="AL66" s="437">
        <f>$J66-AI66-AJ66-AK66</f>
        <v>0</v>
      </c>
      <c r="AM66" s="438"/>
      <c r="AN66" s="434"/>
      <c r="AO66" s="434"/>
      <c r="AP66" s="1131">
        <f>$K66-AM66-AN66-AO66</f>
        <v>0</v>
      </c>
      <c r="AQ66" s="438"/>
      <c r="AR66" s="434"/>
      <c r="AS66" s="434"/>
      <c r="AT66" s="437">
        <f>$L66-AQ66-AR66-AS66</f>
        <v>0</v>
      </c>
      <c r="AU66" s="438"/>
      <c r="AV66" s="434"/>
      <c r="AW66" s="434"/>
      <c r="AX66" s="437">
        <f>$M66-AU66-AV66-AW66</f>
        <v>0</v>
      </c>
      <c r="AY66" s="438"/>
      <c r="AZ66" s="434"/>
      <c r="BA66" s="434"/>
      <c r="BB66" s="437">
        <f>$N66-AY66-AZ66-BA66</f>
        <v>0</v>
      </c>
      <c r="BC66" s="438"/>
      <c r="BD66" s="434"/>
      <c r="BE66" s="434"/>
      <c r="BF66" s="1131">
        <f>$O66-BC66-BD66-BE66</f>
        <v>0</v>
      </c>
      <c r="BG66" s="438"/>
      <c r="BH66" s="434"/>
      <c r="BI66" s="434"/>
      <c r="BJ66" s="1131">
        <f t="shared" ref="BJ66" si="421">$P66-BG66-BH66-BI66</f>
        <v>0</v>
      </c>
      <c r="BK66" s="438"/>
      <c r="BL66" s="434"/>
      <c r="BM66" s="434"/>
      <c r="BN66" s="1131">
        <f t="shared" ref="BN66" si="422">$Q66-BK66-BL66-BM66</f>
        <v>0</v>
      </c>
      <c r="BO66" s="438"/>
      <c r="BP66" s="434"/>
      <c r="BQ66" s="434"/>
      <c r="BR66" s="1131">
        <f t="shared" si="410"/>
        <v>0</v>
      </c>
      <c r="BS66" s="438"/>
      <c r="BT66" s="833">
        <v>0.75</v>
      </c>
      <c r="BU66" s="833">
        <f t="shared" ref="BU66" si="423">BT66</f>
        <v>0.75</v>
      </c>
      <c r="BV66" s="833">
        <f t="shared" ref="BV66" si="424">BU66</f>
        <v>0.75</v>
      </c>
      <c r="BW66" s="833">
        <f t="shared" ref="BW66" si="425">BV66</f>
        <v>0.75</v>
      </c>
      <c r="BX66" s="833">
        <f t="shared" ref="BX66" si="426">BW66</f>
        <v>0.75</v>
      </c>
      <c r="BY66" s="833">
        <f t="shared" ref="BY66" si="427">BX66</f>
        <v>0.75</v>
      </c>
      <c r="BZ66" s="833">
        <f t="shared" ref="BZ66" si="428">BY66</f>
        <v>0.75</v>
      </c>
      <c r="CA66" s="833">
        <f t="shared" ref="CA66" si="429">BZ66</f>
        <v>0.75</v>
      </c>
      <c r="CB66" s="833">
        <f t="shared" ref="CB66" si="430">CA66</f>
        <v>0.75</v>
      </c>
      <c r="CC66" s="833">
        <f t="shared" ref="CC66" si="431">CB66</f>
        <v>0.75</v>
      </c>
      <c r="CD66" s="833">
        <f t="shared" ref="CD66" si="432">CC66</f>
        <v>0.75</v>
      </c>
      <c r="CE66" s="833">
        <f t="shared" ref="CE66:CF66" si="433">CD66</f>
        <v>0.75</v>
      </c>
      <c r="CF66" s="833">
        <f t="shared" si="433"/>
        <v>0.75</v>
      </c>
      <c r="CG66" s="833"/>
      <c r="CH66" s="46">
        <f t="shared" ref="CH66" si="434">ROUND(BT66*F66,-3)</f>
        <v>0</v>
      </c>
      <c r="CI66" s="46">
        <f t="shared" ref="CI66" si="435">ROUND(BU66*G66,-3)</f>
        <v>0</v>
      </c>
      <c r="CJ66" s="46">
        <f t="shared" ref="CJ66" si="436">ROUND(BV66*H66,-3)</f>
        <v>0</v>
      </c>
      <c r="CK66" s="46">
        <f t="shared" ref="CK66" si="437">ROUND(BW66*I66,-3)</f>
        <v>75000</v>
      </c>
      <c r="CL66" s="46">
        <f t="shared" ref="CL66" si="438">ROUND(BX66*J66,-3)</f>
        <v>0</v>
      </c>
      <c r="CM66" s="46">
        <f t="shared" ref="CM66" si="439">ROUND(BY66*K66,-3)</f>
        <v>0</v>
      </c>
      <c r="CN66" s="46">
        <f t="shared" ref="CN66" si="440">ROUND(BZ66*L66,-3)</f>
        <v>0</v>
      </c>
      <c r="CO66" s="46">
        <f t="shared" ref="CO66" si="441">ROUND(CA66*M66,-3)</f>
        <v>0</v>
      </c>
      <c r="CP66" s="46">
        <f t="shared" ref="CP66" si="442">ROUND(CB66*N66,-3)</f>
        <v>0</v>
      </c>
      <c r="CQ66" s="46">
        <f t="shared" ref="CQ66" si="443">ROUND(CC66*O66,-3)</f>
        <v>0</v>
      </c>
      <c r="CR66" s="46">
        <f t="shared" ref="CR66" si="444">ROUND(CD66*P66,-3)</f>
        <v>0</v>
      </c>
      <c r="CS66" s="46">
        <f>ROUND(CE66*Q66,-3)</f>
        <v>0</v>
      </c>
      <c r="CT66" s="46">
        <f>ROUND(CF66*R66,-3)</f>
        <v>0</v>
      </c>
    </row>
    <row r="67" spans="1:98" s="247" customFormat="1" ht="14.25" customHeight="1" x14ac:dyDescent="0.2">
      <c r="A67" s="674"/>
      <c r="B67" s="919"/>
      <c r="C67" s="919"/>
      <c r="D67" s="919"/>
      <c r="E67" s="611"/>
      <c r="F67" s="607"/>
      <c r="G67" s="668"/>
      <c r="H67" s="608"/>
      <c r="I67" s="668"/>
      <c r="J67" s="608"/>
      <c r="K67" s="608"/>
      <c r="L67" s="668"/>
      <c r="M67" s="608"/>
      <c r="N67" s="608"/>
      <c r="O67" s="608"/>
      <c r="P67" s="608"/>
      <c r="Q67" s="608"/>
      <c r="R67" s="1129"/>
      <c r="S67" s="438"/>
      <c r="T67" s="434"/>
      <c r="U67" s="434"/>
      <c r="V67" s="438"/>
      <c r="W67" s="439"/>
      <c r="X67" s="434"/>
      <c r="Y67" s="434"/>
      <c r="Z67" s="437">
        <f t="shared" si="3"/>
        <v>0</v>
      </c>
      <c r="AA67" s="439"/>
      <c r="AB67" s="434"/>
      <c r="AC67" s="434"/>
      <c r="AD67" s="437"/>
      <c r="AE67" s="439"/>
      <c r="AF67" s="434"/>
      <c r="AG67" s="434"/>
      <c r="AH67" s="435"/>
      <c r="AI67" s="438"/>
      <c r="AJ67" s="434"/>
      <c r="AK67" s="434"/>
      <c r="AL67" s="437"/>
      <c r="AM67" s="438"/>
      <c r="AN67" s="434"/>
      <c r="AO67" s="434"/>
      <c r="AP67" s="1128"/>
      <c r="AQ67" s="438"/>
      <c r="AR67" s="434"/>
      <c r="AS67" s="434"/>
      <c r="AT67" s="435"/>
      <c r="AU67" s="438"/>
      <c r="AV67" s="434"/>
      <c r="AW67" s="434"/>
      <c r="AX67" s="437"/>
      <c r="AY67" s="438"/>
      <c r="AZ67" s="434"/>
      <c r="BA67" s="434"/>
      <c r="BB67" s="437"/>
      <c r="BC67" s="438"/>
      <c r="BD67" s="434"/>
      <c r="BE67" s="434"/>
      <c r="BF67" s="1131"/>
      <c r="BG67" s="438"/>
      <c r="BH67" s="434"/>
      <c r="BI67" s="434"/>
      <c r="BJ67" s="1131"/>
      <c r="BK67" s="438"/>
      <c r="BL67" s="434"/>
      <c r="BM67" s="434"/>
      <c r="BN67" s="1131"/>
      <c r="BO67" s="438"/>
      <c r="BP67" s="434"/>
      <c r="BQ67" s="434"/>
      <c r="BR67" s="1131"/>
      <c r="BS67" s="438"/>
      <c r="BT67" s="379"/>
      <c r="BU67" s="379"/>
      <c r="BV67" s="613"/>
      <c r="BW67" s="613"/>
      <c r="BX67" s="613"/>
      <c r="BY67" s="613"/>
      <c r="BZ67" s="613"/>
      <c r="CA67" s="613"/>
      <c r="CB67" s="613"/>
      <c r="CC67" s="613"/>
      <c r="CD67" s="613"/>
      <c r="CE67" s="613"/>
      <c r="CF67" s="613"/>
      <c r="CG67" s="613"/>
      <c r="CH67" s="39"/>
      <c r="CI67" s="39"/>
      <c r="CJ67" s="39"/>
      <c r="CK67" s="39"/>
      <c r="CL67" s="39"/>
      <c r="CM67" s="39"/>
      <c r="CN67" s="39"/>
      <c r="CO67" s="39"/>
      <c r="CP67" s="39"/>
      <c r="CQ67" s="39"/>
      <c r="CR67" s="39"/>
      <c r="CS67" s="39"/>
      <c r="CT67" s="39"/>
    </row>
    <row r="68" spans="1:98" s="247" customFormat="1" ht="14.25" customHeight="1" x14ac:dyDescent="0.2">
      <c r="A68" s="534" t="s">
        <v>2312</v>
      </c>
      <c r="B68" s="919"/>
      <c r="C68" s="919"/>
      <c r="D68" s="919"/>
      <c r="E68" s="611"/>
      <c r="F68" s="607"/>
      <c r="G68" s="608"/>
      <c r="H68" s="608"/>
      <c r="I68" s="668"/>
      <c r="J68" s="608"/>
      <c r="K68" s="608"/>
      <c r="L68" s="608"/>
      <c r="M68" s="608"/>
      <c r="N68" s="608"/>
      <c r="O68" s="608"/>
      <c r="P68" s="608"/>
      <c r="Q68" s="608"/>
      <c r="R68" s="1129"/>
      <c r="S68" s="438"/>
      <c r="T68" s="434"/>
      <c r="U68" s="434"/>
      <c r="V68" s="438"/>
      <c r="W68" s="439"/>
      <c r="X68" s="434"/>
      <c r="Y68" s="434"/>
      <c r="Z68" s="437">
        <f t="shared" si="3"/>
        <v>0</v>
      </c>
      <c r="AA68" s="439"/>
      <c r="AB68" s="434"/>
      <c r="AC68" s="434"/>
      <c r="AD68" s="437"/>
      <c r="AE68" s="439"/>
      <c r="AF68" s="434"/>
      <c r="AG68" s="434"/>
      <c r="AH68" s="435"/>
      <c r="AI68" s="438"/>
      <c r="AJ68" s="434"/>
      <c r="AK68" s="434"/>
      <c r="AL68" s="437"/>
      <c r="AM68" s="438"/>
      <c r="AN68" s="434"/>
      <c r="AO68" s="434"/>
      <c r="AP68" s="1128"/>
      <c r="AQ68" s="438"/>
      <c r="AR68" s="434"/>
      <c r="AS68" s="434"/>
      <c r="AT68" s="435"/>
      <c r="AU68" s="438"/>
      <c r="AV68" s="434"/>
      <c r="AW68" s="434"/>
      <c r="AX68" s="437"/>
      <c r="AY68" s="438"/>
      <c r="AZ68" s="434"/>
      <c r="BA68" s="434"/>
      <c r="BB68" s="437"/>
      <c r="BC68" s="438"/>
      <c r="BD68" s="434"/>
      <c r="BE68" s="434"/>
      <c r="BF68" s="1131"/>
      <c r="BG68" s="438"/>
      <c r="BH68" s="434"/>
      <c r="BI68" s="434"/>
      <c r="BJ68" s="1131"/>
      <c r="BK68" s="438"/>
      <c r="BL68" s="434"/>
      <c r="BM68" s="434"/>
      <c r="BN68" s="1131"/>
      <c r="BO68" s="438"/>
      <c r="BP68" s="434"/>
      <c r="BQ68" s="434"/>
      <c r="BR68" s="1131"/>
      <c r="BS68" s="438"/>
      <c r="BT68" s="379"/>
      <c r="BU68" s="379"/>
      <c r="BV68" s="613"/>
      <c r="BW68" s="613"/>
      <c r="BX68" s="613"/>
      <c r="BY68" s="613"/>
      <c r="BZ68" s="613"/>
      <c r="CA68" s="613"/>
      <c r="CB68" s="613"/>
      <c r="CC68" s="613"/>
      <c r="CD68" s="613"/>
      <c r="CE68" s="613"/>
      <c r="CF68" s="613"/>
      <c r="CG68" s="613"/>
      <c r="CH68" s="39"/>
      <c r="CI68" s="39"/>
      <c r="CJ68" s="39"/>
      <c r="CK68" s="39"/>
      <c r="CL68" s="39"/>
      <c r="CM68" s="39"/>
      <c r="CN68" s="39"/>
      <c r="CO68" s="39"/>
      <c r="CP68" s="39"/>
      <c r="CQ68" s="39"/>
      <c r="CR68" s="39"/>
      <c r="CS68" s="39"/>
      <c r="CT68" s="39"/>
    </row>
    <row r="69" spans="1:98" s="247" customFormat="1" ht="14.25" customHeight="1" x14ac:dyDescent="0.2">
      <c r="A69" s="673" t="s">
        <v>6376</v>
      </c>
      <c r="B69" s="920" t="s">
        <v>533</v>
      </c>
      <c r="C69" s="920" t="s">
        <v>4959</v>
      </c>
      <c r="D69" s="920"/>
      <c r="E69" s="611">
        <v>0</v>
      </c>
      <c r="F69" s="607"/>
      <c r="G69" s="668"/>
      <c r="H69" s="608"/>
      <c r="I69" s="668">
        <v>60000</v>
      </c>
      <c r="J69" s="668"/>
      <c r="K69" s="668"/>
      <c r="L69" s="668"/>
      <c r="M69" s="608"/>
      <c r="N69" s="608"/>
      <c r="O69" s="608"/>
      <c r="P69" s="608"/>
      <c r="Q69" s="608"/>
      <c r="R69" s="1129"/>
      <c r="S69" s="438"/>
      <c r="T69" s="434"/>
      <c r="U69" s="434"/>
      <c r="V69" s="438">
        <f t="shared" ref="V69:V86" si="445">$F69-S69-T69-U69</f>
        <v>0</v>
      </c>
      <c r="W69" s="439"/>
      <c r="X69" s="434"/>
      <c r="Y69" s="434"/>
      <c r="Z69" s="437">
        <f t="shared" si="3"/>
        <v>0</v>
      </c>
      <c r="AA69" s="439"/>
      <c r="AB69" s="434"/>
      <c r="AC69" s="434"/>
      <c r="AD69" s="437">
        <f t="shared" ref="AD69:AD84" si="446">$H69-AA69-AB69-AC69</f>
        <v>0</v>
      </c>
      <c r="AE69" s="439"/>
      <c r="AF69" s="434"/>
      <c r="AG69" s="434"/>
      <c r="AH69" s="435">
        <f t="shared" ref="AH69:AH84" si="447">$I69-AE69-AF69-AG69</f>
        <v>60000</v>
      </c>
      <c r="AI69" s="438"/>
      <c r="AJ69" s="434"/>
      <c r="AK69" s="434"/>
      <c r="AL69" s="437">
        <f t="shared" ref="AL69:AL84" si="448">$J69-AI69-AJ69-AK69</f>
        <v>0</v>
      </c>
      <c r="AM69" s="438"/>
      <c r="AN69" s="434"/>
      <c r="AO69" s="434"/>
      <c r="AP69" s="1128">
        <f t="shared" ref="AP69:AP84" si="449">$K69-AM69-AN69-AO69</f>
        <v>0</v>
      </c>
      <c r="AQ69" s="438"/>
      <c r="AR69" s="434"/>
      <c r="AS69" s="434"/>
      <c r="AT69" s="435">
        <f t="shared" ref="AT69:AT84" si="450">$L69-AQ69-AR69-AS69</f>
        <v>0</v>
      </c>
      <c r="AU69" s="438"/>
      <c r="AV69" s="434"/>
      <c r="AW69" s="434"/>
      <c r="AX69" s="437">
        <f t="shared" ref="AX69:AX84" si="451">$M69-AU69-AV69-AW69</f>
        <v>0</v>
      </c>
      <c r="AY69" s="438"/>
      <c r="AZ69" s="434"/>
      <c r="BA69" s="434"/>
      <c r="BB69" s="437">
        <f t="shared" ref="BB69:BB84" si="452">$N69-AY69-AZ69-BA69</f>
        <v>0</v>
      </c>
      <c r="BC69" s="438"/>
      <c r="BD69" s="434"/>
      <c r="BE69" s="434"/>
      <c r="BF69" s="1131">
        <f t="shared" ref="BF69:BF84" si="453">$O69-BC69-BD69-BE69</f>
        <v>0</v>
      </c>
      <c r="BG69" s="438"/>
      <c r="BH69" s="434"/>
      <c r="BI69" s="434"/>
      <c r="BJ69" s="1131">
        <f t="shared" ref="BJ69:BJ84" si="454">$P69-BG69-BH69-BI69</f>
        <v>0</v>
      </c>
      <c r="BK69" s="438"/>
      <c r="BL69" s="434"/>
      <c r="BM69" s="434"/>
      <c r="BN69" s="1131">
        <f t="shared" si="126"/>
        <v>0</v>
      </c>
      <c r="BO69" s="438"/>
      <c r="BP69" s="434"/>
      <c r="BQ69" s="434"/>
      <c r="BR69" s="1131">
        <f t="shared" ref="BR69:BR84" si="455">$R69-BO69-BP69-BQ69</f>
        <v>0</v>
      </c>
      <c r="BS69" s="438"/>
      <c r="BT69" s="833">
        <v>1</v>
      </c>
      <c r="BU69" s="833">
        <f t="shared" ref="BU69:CF69" si="456">BT69</f>
        <v>1</v>
      </c>
      <c r="BV69" s="833">
        <f t="shared" si="456"/>
        <v>1</v>
      </c>
      <c r="BW69" s="833">
        <f t="shared" si="456"/>
        <v>1</v>
      </c>
      <c r="BX69" s="833">
        <f t="shared" si="456"/>
        <v>1</v>
      </c>
      <c r="BY69" s="833">
        <f t="shared" si="456"/>
        <v>1</v>
      </c>
      <c r="BZ69" s="833">
        <f t="shared" si="456"/>
        <v>1</v>
      </c>
      <c r="CA69" s="833">
        <f t="shared" si="456"/>
        <v>1</v>
      </c>
      <c r="CB69" s="833">
        <f t="shared" si="456"/>
        <v>1</v>
      </c>
      <c r="CC69" s="833">
        <f t="shared" si="456"/>
        <v>1</v>
      </c>
      <c r="CD69" s="833">
        <f t="shared" si="456"/>
        <v>1</v>
      </c>
      <c r="CE69" s="833">
        <f t="shared" si="456"/>
        <v>1</v>
      </c>
      <c r="CF69" s="833">
        <f t="shared" si="456"/>
        <v>1</v>
      </c>
      <c r="CG69" s="833"/>
      <c r="CH69" s="46">
        <f t="shared" ref="CH69:CH86" si="457">ROUND(BT69*F69,-3)</f>
        <v>0</v>
      </c>
      <c r="CI69" s="46">
        <f t="shared" ref="CI69:CI86" si="458">ROUND(BU69*G69,-3)</f>
        <v>0</v>
      </c>
      <c r="CJ69" s="46">
        <f t="shared" ref="CJ69:CJ86" si="459">ROUND(BV69*H69,-3)</f>
        <v>0</v>
      </c>
      <c r="CK69" s="46">
        <f t="shared" ref="CK69:CK86" si="460">ROUND(BW69*I69,-3)</f>
        <v>60000</v>
      </c>
      <c r="CL69" s="46">
        <f t="shared" ref="CL69:CL86" si="461">ROUND(BX69*J69,-3)</f>
        <v>0</v>
      </c>
      <c r="CM69" s="46">
        <f t="shared" ref="CM69:CM86" si="462">ROUND(BY69*K69,-3)</f>
        <v>0</v>
      </c>
      <c r="CN69" s="46">
        <f t="shared" ref="CN69:CN86" si="463">ROUND(BZ69*L69,-3)</f>
        <v>0</v>
      </c>
      <c r="CO69" s="46">
        <f t="shared" ref="CO69:CO86" si="464">ROUND(CA69*M69,-3)</f>
        <v>0</v>
      </c>
      <c r="CP69" s="46">
        <f t="shared" ref="CP69:CP86" si="465">ROUND(CB69*N69,-3)</f>
        <v>0</v>
      </c>
      <c r="CQ69" s="46">
        <f t="shared" ref="CQ69:CQ86" si="466">ROUND(CC69*O69,-3)</f>
        <v>0</v>
      </c>
      <c r="CR69" s="46">
        <f t="shared" ref="CR69:CR86" si="467">ROUND(CD69*P69,-3)</f>
        <v>0</v>
      </c>
      <c r="CS69" s="46">
        <f t="shared" ref="CS69:CS84" si="468">ROUND(CE69*Q69,-3)</f>
        <v>0</v>
      </c>
      <c r="CT69" s="46">
        <f t="shared" ref="CT69:CT84" si="469">ROUND(CF69*R69,-3)</f>
        <v>0</v>
      </c>
    </row>
    <row r="70" spans="1:98" s="772" customFormat="1" ht="14.25" customHeight="1" x14ac:dyDescent="0.2">
      <c r="A70" s="674" t="s">
        <v>6377</v>
      </c>
      <c r="B70" s="920"/>
      <c r="C70" s="920"/>
      <c r="D70" s="920"/>
      <c r="E70" s="921"/>
      <c r="F70" s="607"/>
      <c r="G70" s="668"/>
      <c r="H70" s="608"/>
      <c r="I70" s="668"/>
      <c r="J70" s="668"/>
      <c r="K70" s="668"/>
      <c r="L70" s="668">
        <v>546000</v>
      </c>
      <c r="M70" s="608"/>
      <c r="N70" s="608"/>
      <c r="O70" s="608"/>
      <c r="P70" s="608"/>
      <c r="Q70" s="608"/>
      <c r="R70" s="1129"/>
      <c r="S70" s="669"/>
      <c r="T70" s="608"/>
      <c r="U70" s="608"/>
      <c r="V70" s="669">
        <f t="shared" si="445"/>
        <v>0</v>
      </c>
      <c r="W70" s="1660"/>
      <c r="X70" s="608"/>
      <c r="Y70" s="608"/>
      <c r="Z70" s="437">
        <f t="shared" ref="Z70:Z87" si="470">$G70-W70-X70-Y70</f>
        <v>0</v>
      </c>
      <c r="AA70" s="1660"/>
      <c r="AB70" s="608"/>
      <c r="AC70" s="608"/>
      <c r="AD70" s="609">
        <f t="shared" si="446"/>
        <v>0</v>
      </c>
      <c r="AE70" s="1660"/>
      <c r="AF70" s="608"/>
      <c r="AG70" s="608"/>
      <c r="AH70" s="670">
        <f t="shared" si="447"/>
        <v>0</v>
      </c>
      <c r="AI70" s="669"/>
      <c r="AJ70" s="608"/>
      <c r="AK70" s="608"/>
      <c r="AL70" s="609">
        <f t="shared" si="448"/>
        <v>0</v>
      </c>
      <c r="AM70" s="669"/>
      <c r="AN70" s="608"/>
      <c r="AO70" s="608"/>
      <c r="AP70" s="1129">
        <f t="shared" si="449"/>
        <v>0</v>
      </c>
      <c r="AQ70" s="669"/>
      <c r="AR70" s="608"/>
      <c r="AS70" s="608"/>
      <c r="AT70" s="670">
        <f t="shared" si="450"/>
        <v>546000</v>
      </c>
      <c r="AU70" s="669"/>
      <c r="AV70" s="608"/>
      <c r="AW70" s="608"/>
      <c r="AX70" s="609">
        <f t="shared" si="451"/>
        <v>0</v>
      </c>
      <c r="AY70" s="669"/>
      <c r="AZ70" s="608"/>
      <c r="BA70" s="608"/>
      <c r="BB70" s="609">
        <f t="shared" si="452"/>
        <v>0</v>
      </c>
      <c r="BC70" s="669"/>
      <c r="BD70" s="608"/>
      <c r="BE70" s="608"/>
      <c r="BF70" s="1131">
        <f t="shared" si="453"/>
        <v>0</v>
      </c>
      <c r="BG70" s="669"/>
      <c r="BH70" s="608"/>
      <c r="BI70" s="608"/>
      <c r="BJ70" s="1131">
        <f t="shared" si="454"/>
        <v>0</v>
      </c>
      <c r="BK70" s="669"/>
      <c r="BL70" s="608"/>
      <c r="BM70" s="608"/>
      <c r="BN70" s="1131">
        <f t="shared" si="126"/>
        <v>0</v>
      </c>
      <c r="BO70" s="669"/>
      <c r="BP70" s="608"/>
      <c r="BQ70" s="608"/>
      <c r="BR70" s="1131">
        <f t="shared" si="455"/>
        <v>0</v>
      </c>
      <c r="BS70" s="669"/>
      <c r="BT70" s="833">
        <v>1</v>
      </c>
      <c r="BU70" s="833">
        <f t="shared" ref="BU70:CF70" si="471">BT70</f>
        <v>1</v>
      </c>
      <c r="BV70" s="833">
        <f t="shared" si="471"/>
        <v>1</v>
      </c>
      <c r="BW70" s="833">
        <f t="shared" si="471"/>
        <v>1</v>
      </c>
      <c r="BX70" s="833">
        <f t="shared" si="471"/>
        <v>1</v>
      </c>
      <c r="BY70" s="833">
        <f t="shared" si="471"/>
        <v>1</v>
      </c>
      <c r="BZ70" s="833">
        <f t="shared" si="471"/>
        <v>1</v>
      </c>
      <c r="CA70" s="833">
        <f t="shared" si="471"/>
        <v>1</v>
      </c>
      <c r="CB70" s="833">
        <f t="shared" si="471"/>
        <v>1</v>
      </c>
      <c r="CC70" s="833">
        <f t="shared" si="471"/>
        <v>1</v>
      </c>
      <c r="CD70" s="833">
        <f t="shared" si="471"/>
        <v>1</v>
      </c>
      <c r="CE70" s="833">
        <f t="shared" si="471"/>
        <v>1</v>
      </c>
      <c r="CF70" s="833">
        <f t="shared" si="471"/>
        <v>1</v>
      </c>
      <c r="CG70" s="833"/>
      <c r="CH70" s="46">
        <f t="shared" si="457"/>
        <v>0</v>
      </c>
      <c r="CI70" s="46">
        <f t="shared" si="458"/>
        <v>0</v>
      </c>
      <c r="CJ70" s="46">
        <f t="shared" si="459"/>
        <v>0</v>
      </c>
      <c r="CK70" s="46">
        <f t="shared" si="460"/>
        <v>0</v>
      </c>
      <c r="CL70" s="46">
        <f t="shared" si="461"/>
        <v>0</v>
      </c>
      <c r="CM70" s="46">
        <f t="shared" si="462"/>
        <v>0</v>
      </c>
      <c r="CN70" s="46">
        <f t="shared" si="463"/>
        <v>546000</v>
      </c>
      <c r="CO70" s="46">
        <f t="shared" si="464"/>
        <v>0</v>
      </c>
      <c r="CP70" s="46">
        <f t="shared" si="465"/>
        <v>0</v>
      </c>
      <c r="CQ70" s="46">
        <f t="shared" si="466"/>
        <v>0</v>
      </c>
      <c r="CR70" s="46">
        <f t="shared" si="467"/>
        <v>0</v>
      </c>
      <c r="CS70" s="46">
        <f t="shared" si="468"/>
        <v>0</v>
      </c>
      <c r="CT70" s="46">
        <f t="shared" si="469"/>
        <v>0</v>
      </c>
    </row>
    <row r="71" spans="1:98" s="247" customFormat="1" ht="14.25" customHeight="1" x14ac:dyDescent="0.2">
      <c r="A71" s="673" t="s">
        <v>4859</v>
      </c>
      <c r="B71" s="920" t="s">
        <v>4979</v>
      </c>
      <c r="C71" s="920" t="s">
        <v>4053</v>
      </c>
      <c r="D71" s="920"/>
      <c r="E71" s="611"/>
      <c r="F71" s="607"/>
      <c r="G71" s="668"/>
      <c r="H71" s="608"/>
      <c r="I71" s="668"/>
      <c r="J71" s="608"/>
      <c r="K71" s="608">
        <v>342000</v>
      </c>
      <c r="L71" s="608"/>
      <c r="M71" s="608"/>
      <c r="N71" s="608"/>
      <c r="O71" s="608"/>
      <c r="P71" s="608"/>
      <c r="Q71" s="608"/>
      <c r="R71" s="1129"/>
      <c r="S71" s="438"/>
      <c r="T71" s="434"/>
      <c r="U71" s="434"/>
      <c r="V71" s="438">
        <f t="shared" si="445"/>
        <v>0</v>
      </c>
      <c r="W71" s="439"/>
      <c r="X71" s="434"/>
      <c r="Y71" s="434"/>
      <c r="Z71" s="437">
        <f t="shared" si="470"/>
        <v>0</v>
      </c>
      <c r="AA71" s="439"/>
      <c r="AB71" s="434"/>
      <c r="AC71" s="434"/>
      <c r="AD71" s="437">
        <f t="shared" si="446"/>
        <v>0</v>
      </c>
      <c r="AE71" s="439"/>
      <c r="AF71" s="434"/>
      <c r="AG71" s="434"/>
      <c r="AH71" s="435">
        <f t="shared" si="447"/>
        <v>0</v>
      </c>
      <c r="AI71" s="438"/>
      <c r="AJ71" s="434"/>
      <c r="AK71" s="434"/>
      <c r="AL71" s="437">
        <f t="shared" si="448"/>
        <v>0</v>
      </c>
      <c r="AM71" s="438"/>
      <c r="AN71" s="608"/>
      <c r="AO71" s="434"/>
      <c r="AP71" s="1128">
        <f t="shared" si="449"/>
        <v>342000</v>
      </c>
      <c r="AQ71" s="438"/>
      <c r="AR71" s="434"/>
      <c r="AS71" s="434"/>
      <c r="AT71" s="435">
        <f t="shared" si="450"/>
        <v>0</v>
      </c>
      <c r="AU71" s="438"/>
      <c r="AV71" s="434"/>
      <c r="AW71" s="434"/>
      <c r="AX71" s="437">
        <f t="shared" si="451"/>
        <v>0</v>
      </c>
      <c r="AY71" s="438"/>
      <c r="AZ71" s="434"/>
      <c r="BA71" s="434"/>
      <c r="BB71" s="437">
        <f t="shared" si="452"/>
        <v>0</v>
      </c>
      <c r="BC71" s="438"/>
      <c r="BD71" s="434"/>
      <c r="BE71" s="434"/>
      <c r="BF71" s="1131">
        <f t="shared" si="453"/>
        <v>0</v>
      </c>
      <c r="BG71" s="438"/>
      <c r="BH71" s="434"/>
      <c r="BI71" s="434"/>
      <c r="BJ71" s="1131">
        <f t="shared" si="454"/>
        <v>0</v>
      </c>
      <c r="BK71" s="438"/>
      <c r="BL71" s="434"/>
      <c r="BM71" s="434"/>
      <c r="BN71" s="1131">
        <f t="shared" si="126"/>
        <v>0</v>
      </c>
      <c r="BO71" s="438"/>
      <c r="BP71" s="434"/>
      <c r="BQ71" s="434"/>
      <c r="BR71" s="1131">
        <f t="shared" si="455"/>
        <v>0</v>
      </c>
      <c r="BS71" s="438"/>
      <c r="BT71" s="833">
        <v>1</v>
      </c>
      <c r="BU71" s="833">
        <f t="shared" ref="BU71:CF71" si="472">BT71</f>
        <v>1</v>
      </c>
      <c r="BV71" s="833">
        <f t="shared" si="472"/>
        <v>1</v>
      </c>
      <c r="BW71" s="833">
        <f t="shared" si="472"/>
        <v>1</v>
      </c>
      <c r="BX71" s="833">
        <f t="shared" si="472"/>
        <v>1</v>
      </c>
      <c r="BY71" s="833">
        <f t="shared" si="472"/>
        <v>1</v>
      </c>
      <c r="BZ71" s="833">
        <f t="shared" si="472"/>
        <v>1</v>
      </c>
      <c r="CA71" s="833">
        <f t="shared" si="472"/>
        <v>1</v>
      </c>
      <c r="CB71" s="833">
        <f t="shared" si="472"/>
        <v>1</v>
      </c>
      <c r="CC71" s="833">
        <f t="shared" si="472"/>
        <v>1</v>
      </c>
      <c r="CD71" s="833">
        <f t="shared" si="472"/>
        <v>1</v>
      </c>
      <c r="CE71" s="833">
        <f t="shared" si="472"/>
        <v>1</v>
      </c>
      <c r="CF71" s="833">
        <f t="shared" si="472"/>
        <v>1</v>
      </c>
      <c r="CG71" s="833"/>
      <c r="CH71" s="46">
        <f t="shared" si="457"/>
        <v>0</v>
      </c>
      <c r="CI71" s="46">
        <f t="shared" si="458"/>
        <v>0</v>
      </c>
      <c r="CJ71" s="46">
        <f t="shared" si="459"/>
        <v>0</v>
      </c>
      <c r="CK71" s="46">
        <f t="shared" si="460"/>
        <v>0</v>
      </c>
      <c r="CL71" s="46">
        <f t="shared" si="461"/>
        <v>0</v>
      </c>
      <c r="CM71" s="46">
        <f t="shared" si="462"/>
        <v>342000</v>
      </c>
      <c r="CN71" s="46">
        <f t="shared" si="463"/>
        <v>0</v>
      </c>
      <c r="CO71" s="46">
        <f t="shared" si="464"/>
        <v>0</v>
      </c>
      <c r="CP71" s="46">
        <f t="shared" si="465"/>
        <v>0</v>
      </c>
      <c r="CQ71" s="46">
        <f t="shared" si="466"/>
        <v>0</v>
      </c>
      <c r="CR71" s="46">
        <f t="shared" si="467"/>
        <v>0</v>
      </c>
      <c r="CS71" s="46">
        <f t="shared" si="468"/>
        <v>0</v>
      </c>
      <c r="CT71" s="46">
        <f t="shared" si="469"/>
        <v>0</v>
      </c>
    </row>
    <row r="72" spans="1:98" s="772" customFormat="1" ht="14.25" customHeight="1" x14ac:dyDescent="0.2">
      <c r="A72" s="674" t="s">
        <v>4860</v>
      </c>
      <c r="B72" s="920" t="s">
        <v>6327</v>
      </c>
      <c r="C72" s="920" t="s">
        <v>6328</v>
      </c>
      <c r="D72" s="920" t="s">
        <v>6328</v>
      </c>
      <c r="E72" s="921"/>
      <c r="F72" s="607"/>
      <c r="G72" s="668">
        <v>36900</v>
      </c>
      <c r="H72" s="608">
        <v>1137000</v>
      </c>
      <c r="I72" s="668"/>
      <c r="J72" s="668"/>
      <c r="K72" s="668"/>
      <c r="L72" s="668"/>
      <c r="M72" s="608"/>
      <c r="N72" s="608"/>
      <c r="O72" s="608"/>
      <c r="P72" s="608"/>
      <c r="Q72" s="608"/>
      <c r="R72" s="1129"/>
      <c r="S72" s="669"/>
      <c r="T72" s="608"/>
      <c r="U72" s="608"/>
      <c r="V72" s="669">
        <f t="shared" si="445"/>
        <v>0</v>
      </c>
      <c r="W72" s="1660"/>
      <c r="X72" s="434">
        <f>G72</f>
        <v>36900</v>
      </c>
      <c r="Y72" s="608"/>
      <c r="Z72" s="437">
        <f t="shared" si="470"/>
        <v>0</v>
      </c>
      <c r="AA72" s="1660"/>
      <c r="AB72" s="434">
        <f>H72</f>
        <v>1137000</v>
      </c>
      <c r="AC72" s="608"/>
      <c r="AD72" s="609">
        <f t="shared" si="446"/>
        <v>0</v>
      </c>
      <c r="AE72" s="1660"/>
      <c r="AF72" s="608"/>
      <c r="AG72" s="608"/>
      <c r="AH72" s="670">
        <f t="shared" si="447"/>
        <v>0</v>
      </c>
      <c r="AI72" s="669"/>
      <c r="AJ72" s="608"/>
      <c r="AK72" s="608"/>
      <c r="AL72" s="609">
        <f t="shared" si="448"/>
        <v>0</v>
      </c>
      <c r="AM72" s="669"/>
      <c r="AN72" s="608"/>
      <c r="AO72" s="608"/>
      <c r="AP72" s="1129">
        <f t="shared" si="449"/>
        <v>0</v>
      </c>
      <c r="AQ72" s="669"/>
      <c r="AR72" s="608"/>
      <c r="AS72" s="608"/>
      <c r="AT72" s="670">
        <f t="shared" si="450"/>
        <v>0</v>
      </c>
      <c r="AU72" s="669"/>
      <c r="AV72" s="608"/>
      <c r="AW72" s="608"/>
      <c r="AX72" s="609">
        <f t="shared" si="451"/>
        <v>0</v>
      </c>
      <c r="AY72" s="669"/>
      <c r="AZ72" s="608"/>
      <c r="BA72" s="608"/>
      <c r="BB72" s="609">
        <f t="shared" si="452"/>
        <v>0</v>
      </c>
      <c r="BC72" s="669"/>
      <c r="BD72" s="608"/>
      <c r="BE72" s="608"/>
      <c r="BF72" s="1131">
        <f t="shared" si="453"/>
        <v>0</v>
      </c>
      <c r="BG72" s="669"/>
      <c r="BH72" s="608"/>
      <c r="BI72" s="608"/>
      <c r="BJ72" s="1131">
        <f t="shared" si="454"/>
        <v>0</v>
      </c>
      <c r="BK72" s="669"/>
      <c r="BL72" s="608"/>
      <c r="BM72" s="608"/>
      <c r="BN72" s="1131">
        <f t="shared" si="126"/>
        <v>0</v>
      </c>
      <c r="BO72" s="669"/>
      <c r="BP72" s="608"/>
      <c r="BQ72" s="608"/>
      <c r="BR72" s="1131">
        <f t="shared" si="455"/>
        <v>0</v>
      </c>
      <c r="BS72" s="669"/>
      <c r="BT72" s="833">
        <v>1</v>
      </c>
      <c r="BU72" s="833">
        <f t="shared" ref="BU72:CF72" si="473">BT72</f>
        <v>1</v>
      </c>
      <c r="BV72" s="833">
        <f t="shared" si="473"/>
        <v>1</v>
      </c>
      <c r="BW72" s="833">
        <f t="shared" si="473"/>
        <v>1</v>
      </c>
      <c r="BX72" s="833">
        <f t="shared" si="473"/>
        <v>1</v>
      </c>
      <c r="BY72" s="833">
        <f t="shared" si="473"/>
        <v>1</v>
      </c>
      <c r="BZ72" s="833">
        <f t="shared" si="473"/>
        <v>1</v>
      </c>
      <c r="CA72" s="833">
        <f t="shared" si="473"/>
        <v>1</v>
      </c>
      <c r="CB72" s="833">
        <f t="shared" si="473"/>
        <v>1</v>
      </c>
      <c r="CC72" s="833">
        <f t="shared" si="473"/>
        <v>1</v>
      </c>
      <c r="CD72" s="833">
        <f t="shared" si="473"/>
        <v>1</v>
      </c>
      <c r="CE72" s="833">
        <f t="shared" si="473"/>
        <v>1</v>
      </c>
      <c r="CF72" s="833">
        <f t="shared" si="473"/>
        <v>1</v>
      </c>
      <c r="CG72" s="833"/>
      <c r="CH72" s="46">
        <f t="shared" si="457"/>
        <v>0</v>
      </c>
      <c r="CI72" s="46">
        <f t="shared" si="458"/>
        <v>37000</v>
      </c>
      <c r="CJ72" s="46">
        <f t="shared" si="459"/>
        <v>1137000</v>
      </c>
      <c r="CK72" s="46">
        <f t="shared" si="460"/>
        <v>0</v>
      </c>
      <c r="CL72" s="46">
        <f t="shared" si="461"/>
        <v>0</v>
      </c>
      <c r="CM72" s="46">
        <f t="shared" si="462"/>
        <v>0</v>
      </c>
      <c r="CN72" s="46">
        <f t="shared" si="463"/>
        <v>0</v>
      </c>
      <c r="CO72" s="46">
        <f t="shared" si="464"/>
        <v>0</v>
      </c>
      <c r="CP72" s="46">
        <f t="shared" si="465"/>
        <v>0</v>
      </c>
      <c r="CQ72" s="46">
        <f t="shared" si="466"/>
        <v>0</v>
      </c>
      <c r="CR72" s="46">
        <f t="shared" si="467"/>
        <v>0</v>
      </c>
      <c r="CS72" s="46">
        <f t="shared" si="468"/>
        <v>0</v>
      </c>
      <c r="CT72" s="46">
        <f t="shared" si="469"/>
        <v>0</v>
      </c>
    </row>
    <row r="73" spans="1:98" s="772" customFormat="1" ht="14.25" customHeight="1" x14ac:dyDescent="0.2">
      <c r="A73" s="674" t="s">
        <v>4861</v>
      </c>
      <c r="B73" s="920" t="s">
        <v>5026</v>
      </c>
      <c r="C73" s="920" t="s">
        <v>5027</v>
      </c>
      <c r="D73" s="920" t="s">
        <v>5027</v>
      </c>
      <c r="E73" s="921"/>
      <c r="F73" s="607"/>
      <c r="G73" s="668">
        <v>5400</v>
      </c>
      <c r="H73" s="608">
        <f>1169000-273000-187000</f>
        <v>709000</v>
      </c>
      <c r="I73" s="668">
        <f>678000+273000+187000</f>
        <v>1138000</v>
      </c>
      <c r="J73" s="668"/>
      <c r="K73" s="668"/>
      <c r="L73" s="668"/>
      <c r="M73" s="608"/>
      <c r="N73" s="608"/>
      <c r="O73" s="608"/>
      <c r="P73" s="608"/>
      <c r="Q73" s="608"/>
      <c r="R73" s="1129"/>
      <c r="S73" s="669"/>
      <c r="T73" s="608"/>
      <c r="U73" s="608"/>
      <c r="V73" s="669">
        <f t="shared" si="445"/>
        <v>0</v>
      </c>
      <c r="W73" s="1660"/>
      <c r="X73" s="434">
        <v>0</v>
      </c>
      <c r="Y73" s="608"/>
      <c r="Z73" s="437">
        <f t="shared" si="470"/>
        <v>5400</v>
      </c>
      <c r="AA73" s="1660"/>
      <c r="AB73" s="434"/>
      <c r="AC73" s="608"/>
      <c r="AD73" s="609">
        <f t="shared" si="446"/>
        <v>709000</v>
      </c>
      <c r="AE73" s="1660"/>
      <c r="AF73" s="608"/>
      <c r="AG73" s="608"/>
      <c r="AH73" s="670">
        <f t="shared" si="447"/>
        <v>1138000</v>
      </c>
      <c r="AI73" s="669"/>
      <c r="AJ73" s="608"/>
      <c r="AK73" s="608"/>
      <c r="AL73" s="609">
        <f t="shared" si="448"/>
        <v>0</v>
      </c>
      <c r="AM73" s="669"/>
      <c r="AN73" s="608"/>
      <c r="AO73" s="608"/>
      <c r="AP73" s="1129">
        <f t="shared" si="449"/>
        <v>0</v>
      </c>
      <c r="AQ73" s="669"/>
      <c r="AR73" s="608"/>
      <c r="AS73" s="608"/>
      <c r="AT73" s="670">
        <f t="shared" si="450"/>
        <v>0</v>
      </c>
      <c r="AU73" s="669"/>
      <c r="AV73" s="608"/>
      <c r="AW73" s="608"/>
      <c r="AX73" s="609">
        <f t="shared" si="451"/>
        <v>0</v>
      </c>
      <c r="AY73" s="669"/>
      <c r="AZ73" s="608"/>
      <c r="BA73" s="608"/>
      <c r="BB73" s="609">
        <f t="shared" si="452"/>
        <v>0</v>
      </c>
      <c r="BC73" s="669"/>
      <c r="BD73" s="608"/>
      <c r="BE73" s="608"/>
      <c r="BF73" s="1131">
        <f t="shared" si="453"/>
        <v>0</v>
      </c>
      <c r="BG73" s="669"/>
      <c r="BH73" s="608"/>
      <c r="BI73" s="608"/>
      <c r="BJ73" s="1131">
        <f t="shared" si="454"/>
        <v>0</v>
      </c>
      <c r="BK73" s="669"/>
      <c r="BL73" s="608"/>
      <c r="BM73" s="608"/>
      <c r="BN73" s="1131">
        <f t="shared" si="126"/>
        <v>0</v>
      </c>
      <c r="BO73" s="669"/>
      <c r="BP73" s="608"/>
      <c r="BQ73" s="608"/>
      <c r="BR73" s="1131">
        <f t="shared" si="455"/>
        <v>0</v>
      </c>
      <c r="BS73" s="669"/>
      <c r="BT73" s="833">
        <v>1</v>
      </c>
      <c r="BU73" s="833">
        <f t="shared" ref="BU73" si="474">BT73</f>
        <v>1</v>
      </c>
      <c r="BV73" s="833">
        <f t="shared" ref="BV73" si="475">BU73</f>
        <v>1</v>
      </c>
      <c r="BW73" s="833">
        <f t="shared" ref="BW73" si="476">BV73</f>
        <v>1</v>
      </c>
      <c r="BX73" s="833">
        <f t="shared" ref="BX73" si="477">BW73</f>
        <v>1</v>
      </c>
      <c r="BY73" s="833">
        <f t="shared" ref="BY73" si="478">BX73</f>
        <v>1</v>
      </c>
      <c r="BZ73" s="833">
        <f t="shared" ref="BZ73" si="479">BY73</f>
        <v>1</v>
      </c>
      <c r="CA73" s="833">
        <f t="shared" ref="CA73" si="480">BZ73</f>
        <v>1</v>
      </c>
      <c r="CB73" s="833">
        <f t="shared" ref="CB73" si="481">CA73</f>
        <v>1</v>
      </c>
      <c r="CC73" s="833">
        <f t="shared" ref="CC73:CF73" si="482">CB73</f>
        <v>1</v>
      </c>
      <c r="CD73" s="833">
        <f t="shared" si="482"/>
        <v>1</v>
      </c>
      <c r="CE73" s="833">
        <f t="shared" si="482"/>
        <v>1</v>
      </c>
      <c r="CF73" s="833">
        <f t="shared" si="482"/>
        <v>1</v>
      </c>
      <c r="CG73" s="833"/>
      <c r="CH73" s="46">
        <f t="shared" si="457"/>
        <v>0</v>
      </c>
      <c r="CI73" s="46">
        <f t="shared" si="458"/>
        <v>5000</v>
      </c>
      <c r="CJ73" s="46">
        <f t="shared" si="459"/>
        <v>709000</v>
      </c>
      <c r="CK73" s="46">
        <f t="shared" si="460"/>
        <v>1138000</v>
      </c>
      <c r="CL73" s="46">
        <f t="shared" si="461"/>
        <v>0</v>
      </c>
      <c r="CM73" s="46">
        <f t="shared" si="462"/>
        <v>0</v>
      </c>
      <c r="CN73" s="46">
        <f t="shared" si="463"/>
        <v>0</v>
      </c>
      <c r="CO73" s="46">
        <f t="shared" si="464"/>
        <v>0</v>
      </c>
      <c r="CP73" s="46">
        <f t="shared" si="465"/>
        <v>0</v>
      </c>
      <c r="CQ73" s="46">
        <f t="shared" si="466"/>
        <v>0</v>
      </c>
      <c r="CR73" s="46">
        <f t="shared" si="467"/>
        <v>0</v>
      </c>
      <c r="CS73" s="46">
        <f t="shared" si="468"/>
        <v>0</v>
      </c>
      <c r="CT73" s="46">
        <f t="shared" si="469"/>
        <v>0</v>
      </c>
    </row>
    <row r="74" spans="1:98" s="247" customFormat="1" ht="14.25" customHeight="1" x14ac:dyDescent="0.2">
      <c r="A74" s="673" t="s">
        <v>4862</v>
      </c>
      <c r="B74" s="920" t="s">
        <v>4980</v>
      </c>
      <c r="C74" s="920" t="s">
        <v>4054</v>
      </c>
      <c r="D74" s="920" t="s">
        <v>4054</v>
      </c>
      <c r="E74" s="611">
        <v>1</v>
      </c>
      <c r="F74" s="607"/>
      <c r="G74" s="668">
        <v>29400</v>
      </c>
      <c r="H74" s="608">
        <f>110000-100000</f>
        <v>10000</v>
      </c>
      <c r="I74" s="668">
        <v>1498000</v>
      </c>
      <c r="J74" s="608"/>
      <c r="K74" s="608"/>
      <c r="L74" s="608"/>
      <c r="M74" s="608"/>
      <c r="N74" s="608"/>
      <c r="O74" s="608"/>
      <c r="P74" s="608"/>
      <c r="Q74" s="608"/>
      <c r="R74" s="1129"/>
      <c r="S74" s="438"/>
      <c r="T74" s="434"/>
      <c r="U74" s="434"/>
      <c r="V74" s="438">
        <f t="shared" si="445"/>
        <v>0</v>
      </c>
      <c r="W74" s="439"/>
      <c r="X74" s="434">
        <f>G74</f>
        <v>29400</v>
      </c>
      <c r="Y74" s="434"/>
      <c r="Z74" s="437">
        <f t="shared" si="470"/>
        <v>0</v>
      </c>
      <c r="AA74" s="439"/>
      <c r="AB74" s="434">
        <f>H74</f>
        <v>10000</v>
      </c>
      <c r="AC74" s="434"/>
      <c r="AD74" s="437">
        <f t="shared" si="446"/>
        <v>0</v>
      </c>
      <c r="AE74" s="439"/>
      <c r="AF74" s="434"/>
      <c r="AG74" s="434"/>
      <c r="AH74" s="435">
        <f t="shared" si="447"/>
        <v>1498000</v>
      </c>
      <c r="AI74" s="438"/>
      <c r="AJ74" s="434"/>
      <c r="AK74" s="434"/>
      <c r="AL74" s="437">
        <f t="shared" si="448"/>
        <v>0</v>
      </c>
      <c r="AM74" s="438"/>
      <c r="AN74" s="434"/>
      <c r="AO74" s="434"/>
      <c r="AP74" s="1128">
        <f t="shared" si="449"/>
        <v>0</v>
      </c>
      <c r="AQ74" s="438"/>
      <c r="AR74" s="434"/>
      <c r="AS74" s="434"/>
      <c r="AT74" s="435">
        <f t="shared" si="450"/>
        <v>0</v>
      </c>
      <c r="AU74" s="438"/>
      <c r="AV74" s="434"/>
      <c r="AW74" s="434"/>
      <c r="AX74" s="437">
        <f t="shared" si="451"/>
        <v>0</v>
      </c>
      <c r="AY74" s="438"/>
      <c r="AZ74" s="434"/>
      <c r="BA74" s="434"/>
      <c r="BB74" s="437">
        <f t="shared" si="452"/>
        <v>0</v>
      </c>
      <c r="BC74" s="438"/>
      <c r="BD74" s="434"/>
      <c r="BE74" s="434"/>
      <c r="BF74" s="1131">
        <f t="shared" si="453"/>
        <v>0</v>
      </c>
      <c r="BG74" s="438"/>
      <c r="BH74" s="434"/>
      <c r="BI74" s="434"/>
      <c r="BJ74" s="1131">
        <f t="shared" si="454"/>
        <v>0</v>
      </c>
      <c r="BK74" s="438"/>
      <c r="BL74" s="434"/>
      <c r="BM74" s="434"/>
      <c r="BN74" s="1131">
        <f t="shared" si="126"/>
        <v>0</v>
      </c>
      <c r="BO74" s="438"/>
      <c r="BP74" s="434"/>
      <c r="BQ74" s="434"/>
      <c r="BR74" s="1131">
        <f t="shared" si="455"/>
        <v>0</v>
      </c>
      <c r="BS74" s="438"/>
      <c r="BT74" s="833">
        <v>1</v>
      </c>
      <c r="BU74" s="833">
        <f t="shared" ref="BU74:CF74" si="483">BT74</f>
        <v>1</v>
      </c>
      <c r="BV74" s="833">
        <f t="shared" si="483"/>
        <v>1</v>
      </c>
      <c r="BW74" s="833">
        <f t="shared" si="483"/>
        <v>1</v>
      </c>
      <c r="BX74" s="833">
        <f t="shared" si="483"/>
        <v>1</v>
      </c>
      <c r="BY74" s="833">
        <f t="shared" si="483"/>
        <v>1</v>
      </c>
      <c r="BZ74" s="833">
        <f t="shared" si="483"/>
        <v>1</v>
      </c>
      <c r="CA74" s="833">
        <f t="shared" si="483"/>
        <v>1</v>
      </c>
      <c r="CB74" s="833">
        <f t="shared" si="483"/>
        <v>1</v>
      </c>
      <c r="CC74" s="833">
        <f t="shared" si="483"/>
        <v>1</v>
      </c>
      <c r="CD74" s="833">
        <f t="shared" si="483"/>
        <v>1</v>
      </c>
      <c r="CE74" s="833">
        <f t="shared" si="483"/>
        <v>1</v>
      </c>
      <c r="CF74" s="833">
        <f t="shared" si="483"/>
        <v>1</v>
      </c>
      <c r="CG74" s="833"/>
      <c r="CH74" s="46">
        <f t="shared" si="457"/>
        <v>0</v>
      </c>
      <c r="CI74" s="46">
        <f t="shared" si="458"/>
        <v>29000</v>
      </c>
      <c r="CJ74" s="46">
        <f t="shared" si="459"/>
        <v>10000</v>
      </c>
      <c r="CK74" s="46">
        <f t="shared" si="460"/>
        <v>1498000</v>
      </c>
      <c r="CL74" s="46">
        <f t="shared" si="461"/>
        <v>0</v>
      </c>
      <c r="CM74" s="46">
        <f t="shared" si="462"/>
        <v>0</v>
      </c>
      <c r="CN74" s="46">
        <f t="shared" si="463"/>
        <v>0</v>
      </c>
      <c r="CO74" s="46">
        <f t="shared" si="464"/>
        <v>0</v>
      </c>
      <c r="CP74" s="46">
        <f t="shared" si="465"/>
        <v>0</v>
      </c>
      <c r="CQ74" s="46">
        <f t="shared" si="466"/>
        <v>0</v>
      </c>
      <c r="CR74" s="46">
        <f t="shared" si="467"/>
        <v>0</v>
      </c>
      <c r="CS74" s="46">
        <f t="shared" si="468"/>
        <v>0</v>
      </c>
      <c r="CT74" s="46">
        <f t="shared" si="469"/>
        <v>0</v>
      </c>
    </row>
    <row r="75" spans="1:98" s="247" customFormat="1" ht="14.25" customHeight="1" x14ac:dyDescent="0.2">
      <c r="A75" s="673" t="s">
        <v>4863</v>
      </c>
      <c r="B75" s="920"/>
      <c r="C75" s="920"/>
      <c r="D75" s="920"/>
      <c r="E75" s="611"/>
      <c r="F75" s="607"/>
      <c r="G75" s="668"/>
      <c r="H75" s="608"/>
      <c r="I75" s="668"/>
      <c r="J75" s="608">
        <v>200000</v>
      </c>
      <c r="K75" s="608"/>
      <c r="L75" s="608"/>
      <c r="M75" s="608"/>
      <c r="N75" s="608"/>
      <c r="O75" s="608"/>
      <c r="P75" s="608"/>
      <c r="Q75" s="608"/>
      <c r="R75" s="1129"/>
      <c r="S75" s="438"/>
      <c r="T75" s="434"/>
      <c r="U75" s="434"/>
      <c r="V75" s="438">
        <f t="shared" si="445"/>
        <v>0</v>
      </c>
      <c r="W75" s="439"/>
      <c r="X75" s="434">
        <f>G75</f>
        <v>0</v>
      </c>
      <c r="Y75" s="434"/>
      <c r="Z75" s="437">
        <f t="shared" si="470"/>
        <v>0</v>
      </c>
      <c r="AA75" s="439"/>
      <c r="AB75" s="434"/>
      <c r="AC75" s="434"/>
      <c r="AD75" s="437">
        <f t="shared" si="446"/>
        <v>0</v>
      </c>
      <c r="AE75" s="439"/>
      <c r="AF75" s="434"/>
      <c r="AG75" s="434"/>
      <c r="AH75" s="435">
        <f t="shared" si="447"/>
        <v>0</v>
      </c>
      <c r="AI75" s="438"/>
      <c r="AJ75" s="434"/>
      <c r="AK75" s="434"/>
      <c r="AL75" s="437">
        <f t="shared" si="448"/>
        <v>200000</v>
      </c>
      <c r="AM75" s="438"/>
      <c r="AN75" s="434"/>
      <c r="AO75" s="434"/>
      <c r="AP75" s="1128">
        <f t="shared" si="449"/>
        <v>0</v>
      </c>
      <c r="AQ75" s="438"/>
      <c r="AR75" s="434"/>
      <c r="AS75" s="434"/>
      <c r="AT75" s="435">
        <f t="shared" si="450"/>
        <v>0</v>
      </c>
      <c r="AU75" s="438"/>
      <c r="AV75" s="434"/>
      <c r="AW75" s="434"/>
      <c r="AX75" s="437">
        <f t="shared" si="451"/>
        <v>0</v>
      </c>
      <c r="AY75" s="438"/>
      <c r="AZ75" s="434"/>
      <c r="BA75" s="434"/>
      <c r="BB75" s="437">
        <f t="shared" si="452"/>
        <v>0</v>
      </c>
      <c r="BC75" s="438"/>
      <c r="BD75" s="434"/>
      <c r="BE75" s="434"/>
      <c r="BF75" s="1131">
        <f t="shared" si="453"/>
        <v>0</v>
      </c>
      <c r="BG75" s="438"/>
      <c r="BH75" s="434"/>
      <c r="BI75" s="434"/>
      <c r="BJ75" s="1131">
        <f t="shared" si="454"/>
        <v>0</v>
      </c>
      <c r="BK75" s="438"/>
      <c r="BL75" s="434"/>
      <c r="BM75" s="434"/>
      <c r="BN75" s="1131">
        <f t="shared" si="126"/>
        <v>0</v>
      </c>
      <c r="BO75" s="438"/>
      <c r="BP75" s="434"/>
      <c r="BQ75" s="434"/>
      <c r="BR75" s="1131">
        <f t="shared" si="455"/>
        <v>0</v>
      </c>
      <c r="BS75" s="438"/>
      <c r="BT75" s="833">
        <v>1</v>
      </c>
      <c r="BU75" s="833">
        <f t="shared" ref="BU75" si="484">BT75</f>
        <v>1</v>
      </c>
      <c r="BV75" s="833">
        <f t="shared" ref="BV75" si="485">BU75</f>
        <v>1</v>
      </c>
      <c r="BW75" s="833">
        <f t="shared" ref="BW75" si="486">BV75</f>
        <v>1</v>
      </c>
      <c r="BX75" s="833">
        <f t="shared" ref="BX75" si="487">BW75</f>
        <v>1</v>
      </c>
      <c r="BY75" s="833">
        <f t="shared" ref="BY75" si="488">BX75</f>
        <v>1</v>
      </c>
      <c r="BZ75" s="833">
        <f t="shared" ref="BZ75" si="489">BY75</f>
        <v>1</v>
      </c>
      <c r="CA75" s="833">
        <f t="shared" ref="CA75" si="490">BZ75</f>
        <v>1</v>
      </c>
      <c r="CB75" s="833">
        <f t="shared" ref="CB75" si="491">CA75</f>
        <v>1</v>
      </c>
      <c r="CC75" s="833">
        <f t="shared" ref="CC75:CF75" si="492">CB75</f>
        <v>1</v>
      </c>
      <c r="CD75" s="833">
        <f t="shared" si="492"/>
        <v>1</v>
      </c>
      <c r="CE75" s="833">
        <f t="shared" si="492"/>
        <v>1</v>
      </c>
      <c r="CF75" s="833">
        <f t="shared" si="492"/>
        <v>1</v>
      </c>
      <c r="CG75" s="833"/>
      <c r="CH75" s="46">
        <f t="shared" si="457"/>
        <v>0</v>
      </c>
      <c r="CI75" s="46">
        <f t="shared" si="458"/>
        <v>0</v>
      </c>
      <c r="CJ75" s="46">
        <f t="shared" si="459"/>
        <v>0</v>
      </c>
      <c r="CK75" s="46">
        <f t="shared" si="460"/>
        <v>0</v>
      </c>
      <c r="CL75" s="46">
        <f t="shared" si="461"/>
        <v>200000</v>
      </c>
      <c r="CM75" s="46">
        <f t="shared" si="462"/>
        <v>0</v>
      </c>
      <c r="CN75" s="46">
        <f t="shared" si="463"/>
        <v>0</v>
      </c>
      <c r="CO75" s="46">
        <f t="shared" si="464"/>
        <v>0</v>
      </c>
      <c r="CP75" s="46">
        <f t="shared" si="465"/>
        <v>0</v>
      </c>
      <c r="CQ75" s="46">
        <f t="shared" si="466"/>
        <v>0</v>
      </c>
      <c r="CR75" s="46">
        <f t="shared" si="467"/>
        <v>0</v>
      </c>
      <c r="CS75" s="46">
        <f t="shared" si="468"/>
        <v>0</v>
      </c>
      <c r="CT75" s="46">
        <f t="shared" si="469"/>
        <v>0</v>
      </c>
    </row>
    <row r="76" spans="1:98" s="247" customFormat="1" ht="14.25" customHeight="1" x14ac:dyDescent="0.2">
      <c r="A76" s="673" t="s">
        <v>4864</v>
      </c>
      <c r="B76" s="920"/>
      <c r="C76" s="920"/>
      <c r="D76" s="920"/>
      <c r="E76" s="611"/>
      <c r="F76" s="607"/>
      <c r="G76" s="668"/>
      <c r="H76" s="608"/>
      <c r="I76" s="668"/>
      <c r="J76" s="608"/>
      <c r="K76" s="608"/>
      <c r="L76" s="608"/>
      <c r="M76" s="608"/>
      <c r="N76" s="608"/>
      <c r="O76" s="608"/>
      <c r="P76" s="608"/>
      <c r="Q76" s="608"/>
      <c r="R76" s="1129"/>
      <c r="S76" s="438"/>
      <c r="T76" s="434"/>
      <c r="U76" s="434"/>
      <c r="V76" s="438">
        <f t="shared" si="445"/>
        <v>0</v>
      </c>
      <c r="W76" s="439"/>
      <c r="X76" s="434">
        <f>G76</f>
        <v>0</v>
      </c>
      <c r="Y76" s="434"/>
      <c r="Z76" s="437">
        <f t="shared" si="470"/>
        <v>0</v>
      </c>
      <c r="AA76" s="439"/>
      <c r="AB76" s="434"/>
      <c r="AC76" s="434"/>
      <c r="AD76" s="437">
        <f t="shared" si="446"/>
        <v>0</v>
      </c>
      <c r="AE76" s="439"/>
      <c r="AF76" s="434"/>
      <c r="AG76" s="434"/>
      <c r="AH76" s="435">
        <f t="shared" si="447"/>
        <v>0</v>
      </c>
      <c r="AI76" s="438"/>
      <c r="AJ76" s="434"/>
      <c r="AK76" s="434"/>
      <c r="AL76" s="437">
        <f t="shared" si="448"/>
        <v>0</v>
      </c>
      <c r="AM76" s="438"/>
      <c r="AN76" s="434"/>
      <c r="AO76" s="434"/>
      <c r="AP76" s="1128">
        <f t="shared" si="449"/>
        <v>0</v>
      </c>
      <c r="AQ76" s="438"/>
      <c r="AR76" s="434"/>
      <c r="AS76" s="434"/>
      <c r="AT76" s="435">
        <f t="shared" si="450"/>
        <v>0</v>
      </c>
      <c r="AU76" s="438"/>
      <c r="AV76" s="434"/>
      <c r="AW76" s="434"/>
      <c r="AX76" s="437">
        <f t="shared" si="451"/>
        <v>0</v>
      </c>
      <c r="AY76" s="438"/>
      <c r="AZ76" s="434"/>
      <c r="BA76" s="434"/>
      <c r="BB76" s="437">
        <f t="shared" si="452"/>
        <v>0</v>
      </c>
      <c r="BC76" s="438"/>
      <c r="BD76" s="434"/>
      <c r="BE76" s="434"/>
      <c r="BF76" s="1131">
        <f t="shared" si="453"/>
        <v>0</v>
      </c>
      <c r="BG76" s="438"/>
      <c r="BH76" s="434"/>
      <c r="BI76" s="434"/>
      <c r="BJ76" s="1131">
        <f t="shared" si="454"/>
        <v>0</v>
      </c>
      <c r="BK76" s="438"/>
      <c r="BL76" s="434"/>
      <c r="BM76" s="434"/>
      <c r="BN76" s="1131">
        <f t="shared" si="126"/>
        <v>0</v>
      </c>
      <c r="BO76" s="438"/>
      <c r="BP76" s="434"/>
      <c r="BQ76" s="434"/>
      <c r="BR76" s="1131">
        <f t="shared" si="455"/>
        <v>0</v>
      </c>
      <c r="BS76" s="438"/>
      <c r="BT76" s="833">
        <v>1</v>
      </c>
      <c r="BU76" s="833">
        <f t="shared" ref="BU76" si="493">BT76</f>
        <v>1</v>
      </c>
      <c r="BV76" s="833">
        <f t="shared" ref="BV76" si="494">BU76</f>
        <v>1</v>
      </c>
      <c r="BW76" s="833">
        <f t="shared" ref="BW76" si="495">BV76</f>
        <v>1</v>
      </c>
      <c r="BX76" s="833">
        <f t="shared" ref="BX76" si="496">BW76</f>
        <v>1</v>
      </c>
      <c r="BY76" s="833">
        <f t="shared" ref="BY76" si="497">BX76</f>
        <v>1</v>
      </c>
      <c r="BZ76" s="833">
        <f t="shared" ref="BZ76" si="498">BY76</f>
        <v>1</v>
      </c>
      <c r="CA76" s="833">
        <f t="shared" ref="CA76" si="499">BZ76</f>
        <v>1</v>
      </c>
      <c r="CB76" s="833">
        <f t="shared" ref="CB76" si="500">CA76</f>
        <v>1</v>
      </c>
      <c r="CC76" s="833">
        <f t="shared" ref="CC76:CF76" si="501">CB76</f>
        <v>1</v>
      </c>
      <c r="CD76" s="833">
        <f t="shared" si="501"/>
        <v>1</v>
      </c>
      <c r="CE76" s="833">
        <f t="shared" si="501"/>
        <v>1</v>
      </c>
      <c r="CF76" s="833">
        <f t="shared" si="501"/>
        <v>1</v>
      </c>
      <c r="CG76" s="833"/>
      <c r="CH76" s="46">
        <f t="shared" si="457"/>
        <v>0</v>
      </c>
      <c r="CI76" s="46">
        <f t="shared" si="458"/>
        <v>0</v>
      </c>
      <c r="CJ76" s="46">
        <f t="shared" si="459"/>
        <v>0</v>
      </c>
      <c r="CK76" s="46">
        <f t="shared" si="460"/>
        <v>0</v>
      </c>
      <c r="CL76" s="46">
        <f t="shared" si="461"/>
        <v>0</v>
      </c>
      <c r="CM76" s="46">
        <f t="shared" si="462"/>
        <v>0</v>
      </c>
      <c r="CN76" s="46">
        <f t="shared" si="463"/>
        <v>0</v>
      </c>
      <c r="CO76" s="46">
        <f t="shared" si="464"/>
        <v>0</v>
      </c>
      <c r="CP76" s="46">
        <f t="shared" si="465"/>
        <v>0</v>
      </c>
      <c r="CQ76" s="46">
        <f t="shared" si="466"/>
        <v>0</v>
      </c>
      <c r="CR76" s="46">
        <f t="shared" si="467"/>
        <v>0</v>
      </c>
      <c r="CS76" s="46">
        <f t="shared" si="468"/>
        <v>0</v>
      </c>
      <c r="CT76" s="46">
        <f t="shared" si="469"/>
        <v>0</v>
      </c>
    </row>
    <row r="77" spans="1:98" s="772" customFormat="1" ht="14.25" customHeight="1" x14ac:dyDescent="0.2">
      <c r="A77" s="674" t="s">
        <v>4865</v>
      </c>
      <c r="B77" s="920" t="s">
        <v>4981</v>
      </c>
      <c r="C77" s="920" t="s">
        <v>4055</v>
      </c>
      <c r="D77" s="920"/>
      <c r="E77" s="921"/>
      <c r="F77" s="607">
        <v>78200</v>
      </c>
      <c r="G77" s="668">
        <v>200</v>
      </c>
      <c r="H77" s="608"/>
      <c r="I77" s="668"/>
      <c r="J77" s="668"/>
      <c r="K77" s="668"/>
      <c r="L77" s="668"/>
      <c r="M77" s="608"/>
      <c r="N77" s="608"/>
      <c r="O77" s="608"/>
      <c r="P77" s="608"/>
      <c r="Q77" s="608"/>
      <c r="R77" s="1129"/>
      <c r="S77" s="669"/>
      <c r="T77" s="608">
        <f>F77-69000</f>
        <v>9200</v>
      </c>
      <c r="U77" s="608"/>
      <c r="V77" s="669">
        <f t="shared" si="445"/>
        <v>69000</v>
      </c>
      <c r="W77" s="1660"/>
      <c r="X77" s="608">
        <f>G77</f>
        <v>200</v>
      </c>
      <c r="Y77" s="608"/>
      <c r="Z77" s="437">
        <f t="shared" si="470"/>
        <v>0</v>
      </c>
      <c r="AA77" s="1660"/>
      <c r="AB77" s="434"/>
      <c r="AC77" s="608"/>
      <c r="AD77" s="609">
        <f t="shared" si="446"/>
        <v>0</v>
      </c>
      <c r="AE77" s="1660"/>
      <c r="AF77" s="608"/>
      <c r="AG77" s="608"/>
      <c r="AH77" s="670">
        <f t="shared" si="447"/>
        <v>0</v>
      </c>
      <c r="AI77" s="669"/>
      <c r="AJ77" s="434"/>
      <c r="AK77" s="608"/>
      <c r="AL77" s="609">
        <f t="shared" si="448"/>
        <v>0</v>
      </c>
      <c r="AM77" s="669"/>
      <c r="AN77" s="608"/>
      <c r="AO77" s="608"/>
      <c r="AP77" s="1129">
        <f t="shared" si="449"/>
        <v>0</v>
      </c>
      <c r="AQ77" s="669"/>
      <c r="AR77" s="608"/>
      <c r="AS77" s="608"/>
      <c r="AT77" s="670">
        <f t="shared" si="450"/>
        <v>0</v>
      </c>
      <c r="AU77" s="669"/>
      <c r="AV77" s="608"/>
      <c r="AW77" s="608"/>
      <c r="AX77" s="609">
        <f t="shared" si="451"/>
        <v>0</v>
      </c>
      <c r="AY77" s="669"/>
      <c r="AZ77" s="608"/>
      <c r="BA77" s="608"/>
      <c r="BB77" s="609">
        <f t="shared" si="452"/>
        <v>0</v>
      </c>
      <c r="BC77" s="669"/>
      <c r="BD77" s="608"/>
      <c r="BE77" s="608"/>
      <c r="BF77" s="1131">
        <f t="shared" si="453"/>
        <v>0</v>
      </c>
      <c r="BG77" s="669"/>
      <c r="BH77" s="608"/>
      <c r="BI77" s="608"/>
      <c r="BJ77" s="1131">
        <f t="shared" si="454"/>
        <v>0</v>
      </c>
      <c r="BK77" s="669"/>
      <c r="BL77" s="608"/>
      <c r="BM77" s="608"/>
      <c r="BN77" s="1131">
        <f t="shared" si="126"/>
        <v>0</v>
      </c>
      <c r="BO77" s="669"/>
      <c r="BP77" s="608"/>
      <c r="BQ77" s="608"/>
      <c r="BR77" s="1131">
        <f t="shared" si="455"/>
        <v>0</v>
      </c>
      <c r="BS77" s="669"/>
      <c r="BT77" s="833">
        <v>1</v>
      </c>
      <c r="BU77" s="833">
        <f t="shared" ref="BU77:CF77" si="502">BT77</f>
        <v>1</v>
      </c>
      <c r="BV77" s="833">
        <f t="shared" si="502"/>
        <v>1</v>
      </c>
      <c r="BW77" s="833">
        <f t="shared" si="502"/>
        <v>1</v>
      </c>
      <c r="BX77" s="833">
        <f t="shared" si="502"/>
        <v>1</v>
      </c>
      <c r="BY77" s="833">
        <f t="shared" si="502"/>
        <v>1</v>
      </c>
      <c r="BZ77" s="833">
        <f t="shared" si="502"/>
        <v>1</v>
      </c>
      <c r="CA77" s="833">
        <f t="shared" si="502"/>
        <v>1</v>
      </c>
      <c r="CB77" s="833">
        <f t="shared" si="502"/>
        <v>1</v>
      </c>
      <c r="CC77" s="833">
        <f t="shared" si="502"/>
        <v>1</v>
      </c>
      <c r="CD77" s="833">
        <f t="shared" si="502"/>
        <v>1</v>
      </c>
      <c r="CE77" s="833">
        <f t="shared" si="502"/>
        <v>1</v>
      </c>
      <c r="CF77" s="833">
        <f t="shared" si="502"/>
        <v>1</v>
      </c>
      <c r="CG77" s="833"/>
      <c r="CH77" s="46">
        <f t="shared" si="457"/>
        <v>78000</v>
      </c>
      <c r="CI77" s="46">
        <f t="shared" si="458"/>
        <v>0</v>
      </c>
      <c r="CJ77" s="46">
        <f t="shared" si="459"/>
        <v>0</v>
      </c>
      <c r="CK77" s="46">
        <f t="shared" si="460"/>
        <v>0</v>
      </c>
      <c r="CL77" s="46">
        <f t="shared" si="461"/>
        <v>0</v>
      </c>
      <c r="CM77" s="46">
        <f t="shared" si="462"/>
        <v>0</v>
      </c>
      <c r="CN77" s="46">
        <f t="shared" si="463"/>
        <v>0</v>
      </c>
      <c r="CO77" s="46">
        <f t="shared" si="464"/>
        <v>0</v>
      </c>
      <c r="CP77" s="46">
        <f t="shared" si="465"/>
        <v>0</v>
      </c>
      <c r="CQ77" s="46">
        <f t="shared" si="466"/>
        <v>0</v>
      </c>
      <c r="CR77" s="46">
        <f t="shared" si="467"/>
        <v>0</v>
      </c>
      <c r="CS77" s="46">
        <f t="shared" si="468"/>
        <v>0</v>
      </c>
      <c r="CT77" s="46">
        <f t="shared" si="469"/>
        <v>0</v>
      </c>
    </row>
    <row r="78" spans="1:98" s="772" customFormat="1" ht="14.25" customHeight="1" x14ac:dyDescent="0.2">
      <c r="A78" s="674" t="s">
        <v>4866</v>
      </c>
      <c r="B78" s="920"/>
      <c r="C78" s="920"/>
      <c r="D78" s="920"/>
      <c r="E78" s="921"/>
      <c r="F78" s="607"/>
      <c r="G78" s="668"/>
      <c r="H78" s="608"/>
      <c r="I78" s="668"/>
      <c r="J78" s="668"/>
      <c r="K78" s="668"/>
      <c r="L78" s="668"/>
      <c r="M78" s="608"/>
      <c r="N78" s="608"/>
      <c r="O78" s="608">
        <v>205000</v>
      </c>
      <c r="P78" s="608"/>
      <c r="Q78" s="608"/>
      <c r="R78" s="1129"/>
      <c r="S78" s="669"/>
      <c r="T78" s="608"/>
      <c r="U78" s="608"/>
      <c r="V78" s="669">
        <f t="shared" si="445"/>
        <v>0</v>
      </c>
      <c r="W78" s="1660"/>
      <c r="X78" s="434"/>
      <c r="Y78" s="608"/>
      <c r="Z78" s="437">
        <f t="shared" si="470"/>
        <v>0</v>
      </c>
      <c r="AA78" s="1660"/>
      <c r="AB78" s="434">
        <f>H78</f>
        <v>0</v>
      </c>
      <c r="AC78" s="608"/>
      <c r="AD78" s="609">
        <f t="shared" si="446"/>
        <v>0</v>
      </c>
      <c r="AE78" s="1660"/>
      <c r="AF78" s="608"/>
      <c r="AG78" s="608"/>
      <c r="AH78" s="670">
        <f t="shared" si="447"/>
        <v>0</v>
      </c>
      <c r="AI78" s="669"/>
      <c r="AJ78" s="434"/>
      <c r="AK78" s="608"/>
      <c r="AL78" s="609">
        <f t="shared" si="448"/>
        <v>0</v>
      </c>
      <c r="AM78" s="669"/>
      <c r="AN78" s="608"/>
      <c r="AO78" s="608"/>
      <c r="AP78" s="1129">
        <f t="shared" si="449"/>
        <v>0</v>
      </c>
      <c r="AQ78" s="669"/>
      <c r="AR78" s="608"/>
      <c r="AS78" s="608"/>
      <c r="AT78" s="670">
        <f t="shared" si="450"/>
        <v>0</v>
      </c>
      <c r="AU78" s="669"/>
      <c r="AV78" s="608"/>
      <c r="AW78" s="608"/>
      <c r="AX78" s="609">
        <f t="shared" si="451"/>
        <v>0</v>
      </c>
      <c r="AY78" s="669"/>
      <c r="AZ78" s="608"/>
      <c r="BA78" s="608"/>
      <c r="BB78" s="609">
        <f t="shared" si="452"/>
        <v>0</v>
      </c>
      <c r="BC78" s="669"/>
      <c r="BD78" s="608"/>
      <c r="BE78" s="608"/>
      <c r="BF78" s="1131">
        <f t="shared" si="453"/>
        <v>205000</v>
      </c>
      <c r="BG78" s="669"/>
      <c r="BH78" s="608"/>
      <c r="BI78" s="608"/>
      <c r="BJ78" s="1131">
        <f t="shared" si="454"/>
        <v>0</v>
      </c>
      <c r="BK78" s="669"/>
      <c r="BL78" s="608"/>
      <c r="BM78" s="608"/>
      <c r="BN78" s="1131">
        <f t="shared" si="126"/>
        <v>0</v>
      </c>
      <c r="BO78" s="669"/>
      <c r="BP78" s="608"/>
      <c r="BQ78" s="608"/>
      <c r="BR78" s="1131">
        <f t="shared" si="455"/>
        <v>0</v>
      </c>
      <c r="BS78" s="669"/>
      <c r="BT78" s="833">
        <v>1</v>
      </c>
      <c r="BU78" s="833">
        <f t="shared" ref="BU78:CF78" si="503">BT78</f>
        <v>1</v>
      </c>
      <c r="BV78" s="833">
        <f t="shared" si="503"/>
        <v>1</v>
      </c>
      <c r="BW78" s="833">
        <f t="shared" si="503"/>
        <v>1</v>
      </c>
      <c r="BX78" s="833">
        <f t="shared" si="503"/>
        <v>1</v>
      </c>
      <c r="BY78" s="833">
        <f t="shared" si="503"/>
        <v>1</v>
      </c>
      <c r="BZ78" s="833">
        <f t="shared" si="503"/>
        <v>1</v>
      </c>
      <c r="CA78" s="833">
        <f t="shared" si="503"/>
        <v>1</v>
      </c>
      <c r="CB78" s="833">
        <f t="shared" si="503"/>
        <v>1</v>
      </c>
      <c r="CC78" s="833">
        <f t="shared" si="503"/>
        <v>1</v>
      </c>
      <c r="CD78" s="833">
        <f t="shared" si="503"/>
        <v>1</v>
      </c>
      <c r="CE78" s="833">
        <f t="shared" si="503"/>
        <v>1</v>
      </c>
      <c r="CF78" s="833">
        <f t="shared" si="503"/>
        <v>1</v>
      </c>
      <c r="CG78" s="833"/>
      <c r="CH78" s="46">
        <f t="shared" si="457"/>
        <v>0</v>
      </c>
      <c r="CI78" s="46">
        <f t="shared" si="458"/>
        <v>0</v>
      </c>
      <c r="CJ78" s="46">
        <f t="shared" si="459"/>
        <v>0</v>
      </c>
      <c r="CK78" s="46">
        <f t="shared" si="460"/>
        <v>0</v>
      </c>
      <c r="CL78" s="46">
        <f t="shared" si="461"/>
        <v>0</v>
      </c>
      <c r="CM78" s="46">
        <f t="shared" si="462"/>
        <v>0</v>
      </c>
      <c r="CN78" s="46">
        <f t="shared" si="463"/>
        <v>0</v>
      </c>
      <c r="CO78" s="46">
        <f t="shared" si="464"/>
        <v>0</v>
      </c>
      <c r="CP78" s="46">
        <f t="shared" si="465"/>
        <v>0</v>
      </c>
      <c r="CQ78" s="46">
        <f t="shared" si="466"/>
        <v>205000</v>
      </c>
      <c r="CR78" s="46">
        <f t="shared" si="467"/>
        <v>0</v>
      </c>
      <c r="CS78" s="46">
        <f t="shared" si="468"/>
        <v>0</v>
      </c>
      <c r="CT78" s="46">
        <f t="shared" si="469"/>
        <v>0</v>
      </c>
    </row>
    <row r="79" spans="1:98" s="772" customFormat="1" ht="14.25" customHeight="1" x14ac:dyDescent="0.2">
      <c r="A79" s="674" t="s">
        <v>4867</v>
      </c>
      <c r="B79" s="920"/>
      <c r="C79" s="920"/>
      <c r="D79" s="920"/>
      <c r="E79" s="921"/>
      <c r="F79" s="607"/>
      <c r="G79" s="668"/>
      <c r="H79" s="608"/>
      <c r="I79" s="668"/>
      <c r="J79" s="668">
        <v>438000</v>
      </c>
      <c r="K79" s="668"/>
      <c r="L79" s="668"/>
      <c r="M79" s="608"/>
      <c r="N79" s="608"/>
      <c r="O79" s="608"/>
      <c r="P79" s="608"/>
      <c r="Q79" s="608"/>
      <c r="R79" s="1129"/>
      <c r="S79" s="669"/>
      <c r="T79" s="608"/>
      <c r="U79" s="608"/>
      <c r="V79" s="669">
        <f t="shared" si="445"/>
        <v>0</v>
      </c>
      <c r="W79" s="1660"/>
      <c r="X79" s="434"/>
      <c r="Y79" s="608"/>
      <c r="Z79" s="437">
        <f t="shared" si="470"/>
        <v>0</v>
      </c>
      <c r="AA79" s="1660"/>
      <c r="AB79" s="434"/>
      <c r="AC79" s="608"/>
      <c r="AD79" s="609">
        <f t="shared" si="446"/>
        <v>0</v>
      </c>
      <c r="AE79" s="1660"/>
      <c r="AF79" s="608"/>
      <c r="AG79" s="608"/>
      <c r="AH79" s="670">
        <f t="shared" si="447"/>
        <v>0</v>
      </c>
      <c r="AI79" s="669"/>
      <c r="AJ79" s="434"/>
      <c r="AK79" s="608"/>
      <c r="AL79" s="609">
        <f t="shared" si="448"/>
        <v>438000</v>
      </c>
      <c r="AM79" s="669"/>
      <c r="AN79" s="608"/>
      <c r="AO79" s="608"/>
      <c r="AP79" s="1129">
        <f t="shared" si="449"/>
        <v>0</v>
      </c>
      <c r="AQ79" s="669"/>
      <c r="AR79" s="608"/>
      <c r="AS79" s="608"/>
      <c r="AT79" s="670">
        <f t="shared" si="450"/>
        <v>0</v>
      </c>
      <c r="AU79" s="669"/>
      <c r="AV79" s="608"/>
      <c r="AW79" s="608"/>
      <c r="AX79" s="609">
        <f t="shared" si="451"/>
        <v>0</v>
      </c>
      <c r="AY79" s="669"/>
      <c r="AZ79" s="608"/>
      <c r="BA79" s="608"/>
      <c r="BB79" s="609">
        <f t="shared" si="452"/>
        <v>0</v>
      </c>
      <c r="BC79" s="669"/>
      <c r="BD79" s="608"/>
      <c r="BE79" s="608"/>
      <c r="BF79" s="1131">
        <f t="shared" si="453"/>
        <v>0</v>
      </c>
      <c r="BG79" s="669"/>
      <c r="BH79" s="608"/>
      <c r="BI79" s="608"/>
      <c r="BJ79" s="1131">
        <f t="shared" si="454"/>
        <v>0</v>
      </c>
      <c r="BK79" s="669"/>
      <c r="BL79" s="608"/>
      <c r="BM79" s="608"/>
      <c r="BN79" s="1131">
        <f t="shared" si="126"/>
        <v>0</v>
      </c>
      <c r="BO79" s="669"/>
      <c r="BP79" s="608"/>
      <c r="BQ79" s="608"/>
      <c r="BR79" s="1131">
        <f t="shared" si="455"/>
        <v>0</v>
      </c>
      <c r="BS79" s="669"/>
      <c r="BT79" s="833">
        <v>1</v>
      </c>
      <c r="BU79" s="833">
        <f t="shared" ref="BU79" si="504">BT79</f>
        <v>1</v>
      </c>
      <c r="BV79" s="833">
        <f t="shared" ref="BV79" si="505">BU79</f>
        <v>1</v>
      </c>
      <c r="BW79" s="833">
        <f t="shared" ref="BW79" si="506">BV79</f>
        <v>1</v>
      </c>
      <c r="BX79" s="833">
        <f t="shared" ref="BX79" si="507">BW79</f>
        <v>1</v>
      </c>
      <c r="BY79" s="833">
        <f t="shared" ref="BY79" si="508">BX79</f>
        <v>1</v>
      </c>
      <c r="BZ79" s="833">
        <f t="shared" ref="BZ79" si="509">BY79</f>
        <v>1</v>
      </c>
      <c r="CA79" s="833">
        <f t="shared" ref="CA79" si="510">BZ79</f>
        <v>1</v>
      </c>
      <c r="CB79" s="833">
        <f t="shared" ref="CB79" si="511">CA79</f>
        <v>1</v>
      </c>
      <c r="CC79" s="833">
        <f t="shared" ref="CC79:CF79" si="512">CB79</f>
        <v>1</v>
      </c>
      <c r="CD79" s="833">
        <f t="shared" si="512"/>
        <v>1</v>
      </c>
      <c r="CE79" s="833">
        <f t="shared" si="512"/>
        <v>1</v>
      </c>
      <c r="CF79" s="833">
        <f t="shared" si="512"/>
        <v>1</v>
      </c>
      <c r="CG79" s="833"/>
      <c r="CH79" s="46">
        <f t="shared" si="457"/>
        <v>0</v>
      </c>
      <c r="CI79" s="46">
        <f t="shared" si="458"/>
        <v>0</v>
      </c>
      <c r="CJ79" s="46">
        <f t="shared" si="459"/>
        <v>0</v>
      </c>
      <c r="CK79" s="46">
        <f t="shared" si="460"/>
        <v>0</v>
      </c>
      <c r="CL79" s="46">
        <f t="shared" si="461"/>
        <v>438000</v>
      </c>
      <c r="CM79" s="46">
        <f t="shared" si="462"/>
        <v>0</v>
      </c>
      <c r="CN79" s="46">
        <f t="shared" si="463"/>
        <v>0</v>
      </c>
      <c r="CO79" s="46">
        <f t="shared" si="464"/>
        <v>0</v>
      </c>
      <c r="CP79" s="46">
        <f t="shared" si="465"/>
        <v>0</v>
      </c>
      <c r="CQ79" s="46">
        <f t="shared" si="466"/>
        <v>0</v>
      </c>
      <c r="CR79" s="46">
        <f t="shared" si="467"/>
        <v>0</v>
      </c>
      <c r="CS79" s="46">
        <f t="shared" si="468"/>
        <v>0</v>
      </c>
      <c r="CT79" s="46">
        <f t="shared" si="469"/>
        <v>0</v>
      </c>
    </row>
    <row r="80" spans="1:98" s="772" customFormat="1" ht="14.25" customHeight="1" x14ac:dyDescent="0.2">
      <c r="A80" s="674" t="s">
        <v>4868</v>
      </c>
      <c r="B80" s="920"/>
      <c r="C80" s="920"/>
      <c r="D80" s="920"/>
      <c r="E80" s="921"/>
      <c r="F80" s="607"/>
      <c r="G80" s="668"/>
      <c r="H80" s="608"/>
      <c r="I80" s="668"/>
      <c r="J80" s="668"/>
      <c r="K80" s="668"/>
      <c r="L80" s="668"/>
      <c r="M80" s="608"/>
      <c r="N80" s="608"/>
      <c r="O80" s="608"/>
      <c r="P80" s="608"/>
      <c r="Q80" s="608"/>
      <c r="R80" s="1129"/>
      <c r="S80" s="669"/>
      <c r="T80" s="608"/>
      <c r="U80" s="608"/>
      <c r="V80" s="669">
        <f t="shared" si="445"/>
        <v>0</v>
      </c>
      <c r="W80" s="1660"/>
      <c r="X80" s="434"/>
      <c r="Y80" s="608"/>
      <c r="Z80" s="437">
        <f t="shared" si="470"/>
        <v>0</v>
      </c>
      <c r="AA80" s="1660"/>
      <c r="AB80" s="434">
        <f>H80</f>
        <v>0</v>
      </c>
      <c r="AC80" s="608"/>
      <c r="AD80" s="609">
        <f t="shared" si="446"/>
        <v>0</v>
      </c>
      <c r="AE80" s="1660"/>
      <c r="AF80" s="608"/>
      <c r="AG80" s="608"/>
      <c r="AH80" s="670">
        <f t="shared" si="447"/>
        <v>0</v>
      </c>
      <c r="AI80" s="669"/>
      <c r="AJ80" s="434"/>
      <c r="AK80" s="608"/>
      <c r="AL80" s="609">
        <f t="shared" si="448"/>
        <v>0</v>
      </c>
      <c r="AM80" s="669"/>
      <c r="AN80" s="608"/>
      <c r="AO80" s="608"/>
      <c r="AP80" s="1129">
        <f t="shared" si="449"/>
        <v>0</v>
      </c>
      <c r="AQ80" s="669"/>
      <c r="AR80" s="608"/>
      <c r="AS80" s="608"/>
      <c r="AT80" s="670">
        <f t="shared" si="450"/>
        <v>0</v>
      </c>
      <c r="AU80" s="669"/>
      <c r="AV80" s="608"/>
      <c r="AW80" s="608"/>
      <c r="AX80" s="609">
        <f t="shared" si="451"/>
        <v>0</v>
      </c>
      <c r="AY80" s="669"/>
      <c r="AZ80" s="608"/>
      <c r="BA80" s="608"/>
      <c r="BB80" s="609">
        <f t="shared" si="452"/>
        <v>0</v>
      </c>
      <c r="BC80" s="669"/>
      <c r="BD80" s="608"/>
      <c r="BE80" s="608"/>
      <c r="BF80" s="1131">
        <f t="shared" si="453"/>
        <v>0</v>
      </c>
      <c r="BG80" s="669"/>
      <c r="BH80" s="608"/>
      <c r="BI80" s="608"/>
      <c r="BJ80" s="1131">
        <f t="shared" si="454"/>
        <v>0</v>
      </c>
      <c r="BK80" s="669"/>
      <c r="BL80" s="608"/>
      <c r="BM80" s="608"/>
      <c r="BN80" s="1131">
        <f t="shared" si="126"/>
        <v>0</v>
      </c>
      <c r="BO80" s="669"/>
      <c r="BP80" s="608"/>
      <c r="BQ80" s="608"/>
      <c r="BR80" s="1131">
        <f t="shared" si="455"/>
        <v>0</v>
      </c>
      <c r="BS80" s="669"/>
      <c r="BT80" s="833">
        <v>1</v>
      </c>
      <c r="BU80" s="833">
        <f t="shared" ref="BU80" si="513">BT80</f>
        <v>1</v>
      </c>
      <c r="BV80" s="833">
        <f t="shared" ref="BV80" si="514">BU80</f>
        <v>1</v>
      </c>
      <c r="BW80" s="833">
        <f t="shared" ref="BW80" si="515">BV80</f>
        <v>1</v>
      </c>
      <c r="BX80" s="833">
        <f t="shared" ref="BX80" si="516">BW80</f>
        <v>1</v>
      </c>
      <c r="BY80" s="833">
        <f t="shared" ref="BY80" si="517">BX80</f>
        <v>1</v>
      </c>
      <c r="BZ80" s="833">
        <f t="shared" ref="BZ80" si="518">BY80</f>
        <v>1</v>
      </c>
      <c r="CA80" s="833">
        <f t="shared" ref="CA80" si="519">BZ80</f>
        <v>1</v>
      </c>
      <c r="CB80" s="833">
        <f t="shared" ref="CB80" si="520">CA80</f>
        <v>1</v>
      </c>
      <c r="CC80" s="833">
        <f t="shared" ref="CC80:CF80" si="521">CB80</f>
        <v>1</v>
      </c>
      <c r="CD80" s="833">
        <f t="shared" si="521"/>
        <v>1</v>
      </c>
      <c r="CE80" s="833">
        <f t="shared" si="521"/>
        <v>1</v>
      </c>
      <c r="CF80" s="833">
        <f t="shared" si="521"/>
        <v>1</v>
      </c>
      <c r="CG80" s="833"/>
      <c r="CH80" s="46">
        <f t="shared" si="457"/>
        <v>0</v>
      </c>
      <c r="CI80" s="46">
        <f t="shared" si="458"/>
        <v>0</v>
      </c>
      <c r="CJ80" s="46">
        <f t="shared" si="459"/>
        <v>0</v>
      </c>
      <c r="CK80" s="46">
        <f t="shared" si="460"/>
        <v>0</v>
      </c>
      <c r="CL80" s="46">
        <f t="shared" si="461"/>
        <v>0</v>
      </c>
      <c r="CM80" s="46">
        <f t="shared" si="462"/>
        <v>0</v>
      </c>
      <c r="CN80" s="46">
        <f t="shared" si="463"/>
        <v>0</v>
      </c>
      <c r="CO80" s="46">
        <f t="shared" si="464"/>
        <v>0</v>
      </c>
      <c r="CP80" s="46">
        <f t="shared" si="465"/>
        <v>0</v>
      </c>
      <c r="CQ80" s="46">
        <f t="shared" si="466"/>
        <v>0</v>
      </c>
      <c r="CR80" s="46">
        <f t="shared" si="467"/>
        <v>0</v>
      </c>
      <c r="CS80" s="46">
        <f t="shared" si="468"/>
        <v>0</v>
      </c>
      <c r="CT80" s="46">
        <f t="shared" si="469"/>
        <v>0</v>
      </c>
    </row>
    <row r="81" spans="1:110" s="772" customFormat="1" ht="14.25" customHeight="1" x14ac:dyDescent="0.2">
      <c r="A81" s="674" t="s">
        <v>4869</v>
      </c>
      <c r="B81" s="920"/>
      <c r="C81" s="920"/>
      <c r="D81" s="920"/>
      <c r="E81" s="921"/>
      <c r="F81" s="607"/>
      <c r="G81" s="668"/>
      <c r="H81" s="608"/>
      <c r="I81" s="668"/>
      <c r="J81" s="668"/>
      <c r="K81" s="668"/>
      <c r="L81" s="668"/>
      <c r="M81" s="608"/>
      <c r="N81" s="608"/>
      <c r="O81" s="608">
        <v>4011000</v>
      </c>
      <c r="P81" s="608"/>
      <c r="Q81" s="608"/>
      <c r="R81" s="1129"/>
      <c r="S81" s="669"/>
      <c r="T81" s="608"/>
      <c r="U81" s="608"/>
      <c r="V81" s="669">
        <f t="shared" si="445"/>
        <v>0</v>
      </c>
      <c r="W81" s="1660"/>
      <c r="X81" s="434"/>
      <c r="Y81" s="608"/>
      <c r="Z81" s="437">
        <f t="shared" si="470"/>
        <v>0</v>
      </c>
      <c r="AA81" s="1660"/>
      <c r="AB81" s="608"/>
      <c r="AC81" s="608"/>
      <c r="AD81" s="609">
        <f t="shared" si="446"/>
        <v>0</v>
      </c>
      <c r="AE81" s="1660"/>
      <c r="AF81" s="608"/>
      <c r="AG81" s="608"/>
      <c r="AH81" s="670">
        <f t="shared" si="447"/>
        <v>0</v>
      </c>
      <c r="AI81" s="669"/>
      <c r="AJ81" s="608"/>
      <c r="AK81" s="608"/>
      <c r="AL81" s="609">
        <f t="shared" si="448"/>
        <v>0</v>
      </c>
      <c r="AM81" s="669"/>
      <c r="AN81" s="608">
        <f>K81/2</f>
        <v>0</v>
      </c>
      <c r="AO81" s="608"/>
      <c r="AP81" s="1129">
        <f t="shared" si="449"/>
        <v>0</v>
      </c>
      <c r="AQ81" s="669"/>
      <c r="AR81" s="608"/>
      <c r="AS81" s="608"/>
      <c r="AT81" s="670">
        <f t="shared" si="450"/>
        <v>0</v>
      </c>
      <c r="AU81" s="669"/>
      <c r="AV81" s="608"/>
      <c r="AW81" s="608"/>
      <c r="AX81" s="609">
        <f t="shared" si="451"/>
        <v>0</v>
      </c>
      <c r="AY81" s="669"/>
      <c r="AZ81" s="608"/>
      <c r="BA81" s="608"/>
      <c r="BB81" s="609">
        <f t="shared" si="452"/>
        <v>0</v>
      </c>
      <c r="BC81" s="669"/>
      <c r="BD81" s="608"/>
      <c r="BE81" s="608"/>
      <c r="BF81" s="1131">
        <f t="shared" si="453"/>
        <v>4011000</v>
      </c>
      <c r="BG81" s="669"/>
      <c r="BH81" s="608"/>
      <c r="BI81" s="608"/>
      <c r="BJ81" s="1131">
        <f t="shared" si="454"/>
        <v>0</v>
      </c>
      <c r="BK81" s="669"/>
      <c r="BL81" s="608"/>
      <c r="BM81" s="608"/>
      <c r="BN81" s="1131">
        <f t="shared" si="126"/>
        <v>0</v>
      </c>
      <c r="BO81" s="669"/>
      <c r="BP81" s="608"/>
      <c r="BQ81" s="608"/>
      <c r="BR81" s="1131">
        <f t="shared" si="455"/>
        <v>0</v>
      </c>
      <c r="BS81" s="669"/>
      <c r="BT81" s="833">
        <v>1</v>
      </c>
      <c r="BU81" s="833">
        <f t="shared" ref="BU81" si="522">BT81</f>
        <v>1</v>
      </c>
      <c r="BV81" s="833">
        <f t="shared" ref="BV81" si="523">BU81</f>
        <v>1</v>
      </c>
      <c r="BW81" s="833">
        <f t="shared" ref="BW81" si="524">BV81</f>
        <v>1</v>
      </c>
      <c r="BX81" s="833">
        <f t="shared" ref="BX81" si="525">BW81</f>
        <v>1</v>
      </c>
      <c r="BY81" s="833">
        <f t="shared" ref="BY81" si="526">BX81</f>
        <v>1</v>
      </c>
      <c r="BZ81" s="833">
        <f t="shared" ref="BZ81" si="527">BY81</f>
        <v>1</v>
      </c>
      <c r="CA81" s="833">
        <f t="shared" ref="CA81" si="528">BZ81</f>
        <v>1</v>
      </c>
      <c r="CB81" s="833">
        <f t="shared" ref="CB81" si="529">CA81</f>
        <v>1</v>
      </c>
      <c r="CC81" s="833">
        <f t="shared" ref="CC81:CF81" si="530">CB81</f>
        <v>1</v>
      </c>
      <c r="CD81" s="833">
        <f t="shared" si="530"/>
        <v>1</v>
      </c>
      <c r="CE81" s="833">
        <f t="shared" si="530"/>
        <v>1</v>
      </c>
      <c r="CF81" s="833">
        <f t="shared" si="530"/>
        <v>1</v>
      </c>
      <c r="CG81" s="833"/>
      <c r="CH81" s="46">
        <f t="shared" si="457"/>
        <v>0</v>
      </c>
      <c r="CI81" s="46">
        <f t="shared" si="458"/>
        <v>0</v>
      </c>
      <c r="CJ81" s="46">
        <f t="shared" si="459"/>
        <v>0</v>
      </c>
      <c r="CK81" s="46">
        <f t="shared" si="460"/>
        <v>0</v>
      </c>
      <c r="CL81" s="46">
        <f t="shared" si="461"/>
        <v>0</v>
      </c>
      <c r="CM81" s="46">
        <f t="shared" si="462"/>
        <v>0</v>
      </c>
      <c r="CN81" s="46">
        <f t="shared" si="463"/>
        <v>0</v>
      </c>
      <c r="CO81" s="46">
        <f t="shared" si="464"/>
        <v>0</v>
      </c>
      <c r="CP81" s="46">
        <f t="shared" si="465"/>
        <v>0</v>
      </c>
      <c r="CQ81" s="46">
        <f t="shared" si="466"/>
        <v>4011000</v>
      </c>
      <c r="CR81" s="46">
        <f t="shared" si="467"/>
        <v>0</v>
      </c>
      <c r="CS81" s="46">
        <f t="shared" si="468"/>
        <v>0</v>
      </c>
      <c r="CT81" s="46">
        <f t="shared" si="469"/>
        <v>0</v>
      </c>
    </row>
    <row r="82" spans="1:110" s="772" customFormat="1" ht="14.25" customHeight="1" x14ac:dyDescent="0.2">
      <c r="A82" s="674" t="s">
        <v>4870</v>
      </c>
      <c r="B82" s="920" t="s">
        <v>4982</v>
      </c>
      <c r="C82" s="920" t="s">
        <v>4983</v>
      </c>
      <c r="D82" s="920"/>
      <c r="E82" s="921"/>
      <c r="F82" s="607"/>
      <c r="G82" s="668"/>
      <c r="H82" s="608"/>
      <c r="I82" s="668"/>
      <c r="J82" s="668"/>
      <c r="K82" s="668"/>
      <c r="L82" s="668"/>
      <c r="M82" s="608"/>
      <c r="N82" s="608"/>
      <c r="O82" s="608"/>
      <c r="P82" s="608"/>
      <c r="Q82" s="608"/>
      <c r="R82" s="1129"/>
      <c r="S82" s="669"/>
      <c r="T82" s="608"/>
      <c r="U82" s="608"/>
      <c r="V82" s="669">
        <f t="shared" si="445"/>
        <v>0</v>
      </c>
      <c r="W82" s="1660"/>
      <c r="X82" s="608"/>
      <c r="Y82" s="608"/>
      <c r="Z82" s="437">
        <f t="shared" si="470"/>
        <v>0</v>
      </c>
      <c r="AA82" s="1660"/>
      <c r="AB82" s="608"/>
      <c r="AC82" s="608"/>
      <c r="AD82" s="609">
        <f t="shared" si="446"/>
        <v>0</v>
      </c>
      <c r="AE82" s="1660"/>
      <c r="AF82" s="608"/>
      <c r="AG82" s="608"/>
      <c r="AH82" s="670">
        <f t="shared" si="447"/>
        <v>0</v>
      </c>
      <c r="AI82" s="669"/>
      <c r="AJ82" s="608"/>
      <c r="AK82" s="608"/>
      <c r="AL82" s="609">
        <f t="shared" si="448"/>
        <v>0</v>
      </c>
      <c r="AM82" s="669"/>
      <c r="AN82" s="608">
        <f>K82</f>
        <v>0</v>
      </c>
      <c r="AO82" s="608"/>
      <c r="AP82" s="1129">
        <f t="shared" si="449"/>
        <v>0</v>
      </c>
      <c r="AQ82" s="669"/>
      <c r="AR82" s="608"/>
      <c r="AS82" s="608"/>
      <c r="AT82" s="670">
        <f t="shared" si="450"/>
        <v>0</v>
      </c>
      <c r="AU82" s="669"/>
      <c r="AV82" s="608"/>
      <c r="AW82" s="608"/>
      <c r="AX82" s="609">
        <f t="shared" si="451"/>
        <v>0</v>
      </c>
      <c r="AY82" s="669"/>
      <c r="AZ82" s="608"/>
      <c r="BA82" s="608"/>
      <c r="BB82" s="609">
        <f t="shared" si="452"/>
        <v>0</v>
      </c>
      <c r="BC82" s="669"/>
      <c r="BD82" s="608"/>
      <c r="BE82" s="608"/>
      <c r="BF82" s="1131">
        <f t="shared" si="453"/>
        <v>0</v>
      </c>
      <c r="BG82" s="669"/>
      <c r="BH82" s="608"/>
      <c r="BI82" s="608"/>
      <c r="BJ82" s="1131">
        <f t="shared" si="454"/>
        <v>0</v>
      </c>
      <c r="BK82" s="669"/>
      <c r="BL82" s="608"/>
      <c r="BM82" s="608"/>
      <c r="BN82" s="1131">
        <f t="shared" si="126"/>
        <v>0</v>
      </c>
      <c r="BO82" s="669"/>
      <c r="BP82" s="608"/>
      <c r="BQ82" s="608"/>
      <c r="BR82" s="1131">
        <f t="shared" si="455"/>
        <v>0</v>
      </c>
      <c r="BS82" s="669"/>
      <c r="BT82" s="833">
        <v>1</v>
      </c>
      <c r="BU82" s="833">
        <f t="shared" ref="BU82:CF82" si="531">BT82</f>
        <v>1</v>
      </c>
      <c r="BV82" s="833">
        <f t="shared" si="531"/>
        <v>1</v>
      </c>
      <c r="BW82" s="833">
        <f t="shared" si="531"/>
        <v>1</v>
      </c>
      <c r="BX82" s="833">
        <f t="shared" si="531"/>
        <v>1</v>
      </c>
      <c r="BY82" s="833">
        <f t="shared" si="531"/>
        <v>1</v>
      </c>
      <c r="BZ82" s="833">
        <f t="shared" si="531"/>
        <v>1</v>
      </c>
      <c r="CA82" s="833">
        <f t="shared" si="531"/>
        <v>1</v>
      </c>
      <c r="CB82" s="833">
        <f t="shared" si="531"/>
        <v>1</v>
      </c>
      <c r="CC82" s="833">
        <f t="shared" si="531"/>
        <v>1</v>
      </c>
      <c r="CD82" s="833">
        <f t="shared" si="531"/>
        <v>1</v>
      </c>
      <c r="CE82" s="833">
        <f t="shared" si="531"/>
        <v>1</v>
      </c>
      <c r="CF82" s="833">
        <f t="shared" si="531"/>
        <v>1</v>
      </c>
      <c r="CG82" s="833"/>
      <c r="CH82" s="46">
        <f t="shared" si="457"/>
        <v>0</v>
      </c>
      <c r="CI82" s="46">
        <f t="shared" si="458"/>
        <v>0</v>
      </c>
      <c r="CJ82" s="46">
        <f t="shared" si="459"/>
        <v>0</v>
      </c>
      <c r="CK82" s="46">
        <f t="shared" si="460"/>
        <v>0</v>
      </c>
      <c r="CL82" s="46">
        <f t="shared" si="461"/>
        <v>0</v>
      </c>
      <c r="CM82" s="46">
        <f t="shared" si="462"/>
        <v>0</v>
      </c>
      <c r="CN82" s="46">
        <f t="shared" si="463"/>
        <v>0</v>
      </c>
      <c r="CO82" s="46">
        <f t="shared" si="464"/>
        <v>0</v>
      </c>
      <c r="CP82" s="46">
        <f t="shared" si="465"/>
        <v>0</v>
      </c>
      <c r="CQ82" s="46">
        <f t="shared" si="466"/>
        <v>0</v>
      </c>
      <c r="CR82" s="46">
        <f t="shared" si="467"/>
        <v>0</v>
      </c>
      <c r="CS82" s="46">
        <f t="shared" si="468"/>
        <v>0</v>
      </c>
      <c r="CT82" s="46">
        <f t="shared" si="469"/>
        <v>0</v>
      </c>
    </row>
    <row r="83" spans="1:110" s="247" customFormat="1" ht="14.25" customHeight="1" x14ac:dyDescent="0.2">
      <c r="A83" s="674" t="s">
        <v>4871</v>
      </c>
      <c r="B83" s="919" t="s">
        <v>534</v>
      </c>
      <c r="C83" s="920" t="s">
        <v>4959</v>
      </c>
      <c r="D83" s="919"/>
      <c r="E83" s="611">
        <v>1</v>
      </c>
      <c r="F83" s="607">
        <v>18500</v>
      </c>
      <c r="G83" s="608">
        <v>1300</v>
      </c>
      <c r="H83" s="608"/>
      <c r="I83" s="668"/>
      <c r="J83" s="668"/>
      <c r="K83" s="668"/>
      <c r="L83" s="668"/>
      <c r="M83" s="608"/>
      <c r="N83" s="608"/>
      <c r="O83" s="608"/>
      <c r="P83" s="608"/>
      <c r="Q83" s="608"/>
      <c r="R83" s="1129"/>
      <c r="S83" s="438"/>
      <c r="T83" s="434"/>
      <c r="U83" s="434"/>
      <c r="V83" s="438">
        <f t="shared" si="445"/>
        <v>18500</v>
      </c>
      <c r="W83" s="439"/>
      <c r="X83" s="434"/>
      <c r="Y83" s="434"/>
      <c r="Z83" s="437">
        <f t="shared" si="470"/>
        <v>1300</v>
      </c>
      <c r="AA83" s="439"/>
      <c r="AB83" s="434"/>
      <c r="AC83" s="434"/>
      <c r="AD83" s="437">
        <f t="shared" si="446"/>
        <v>0</v>
      </c>
      <c r="AE83" s="439"/>
      <c r="AF83" s="434"/>
      <c r="AG83" s="434"/>
      <c r="AH83" s="435">
        <f t="shared" si="447"/>
        <v>0</v>
      </c>
      <c r="AI83" s="438"/>
      <c r="AJ83" s="434"/>
      <c r="AK83" s="434"/>
      <c r="AL83" s="437">
        <f t="shared" si="448"/>
        <v>0</v>
      </c>
      <c r="AM83" s="438"/>
      <c r="AN83" s="434"/>
      <c r="AO83" s="434"/>
      <c r="AP83" s="1128">
        <f t="shared" si="449"/>
        <v>0</v>
      </c>
      <c r="AQ83" s="438"/>
      <c r="AR83" s="434"/>
      <c r="AS83" s="434"/>
      <c r="AT83" s="435">
        <f t="shared" si="450"/>
        <v>0</v>
      </c>
      <c r="AU83" s="438"/>
      <c r="AV83" s="434"/>
      <c r="AW83" s="434"/>
      <c r="AX83" s="437">
        <f t="shared" si="451"/>
        <v>0</v>
      </c>
      <c r="AY83" s="438"/>
      <c r="AZ83" s="434"/>
      <c r="BA83" s="434"/>
      <c r="BB83" s="437">
        <f t="shared" si="452"/>
        <v>0</v>
      </c>
      <c r="BC83" s="438"/>
      <c r="BD83" s="434"/>
      <c r="BE83" s="434"/>
      <c r="BF83" s="1131">
        <f t="shared" si="453"/>
        <v>0</v>
      </c>
      <c r="BG83" s="438"/>
      <c r="BH83" s="434"/>
      <c r="BI83" s="434"/>
      <c r="BJ83" s="1131">
        <f t="shared" si="454"/>
        <v>0</v>
      </c>
      <c r="BK83" s="438"/>
      <c r="BL83" s="434"/>
      <c r="BM83" s="434"/>
      <c r="BN83" s="1131">
        <f t="shared" si="126"/>
        <v>0</v>
      </c>
      <c r="BO83" s="438"/>
      <c r="BP83" s="434"/>
      <c r="BQ83" s="434"/>
      <c r="BR83" s="1131">
        <f t="shared" si="455"/>
        <v>0</v>
      </c>
      <c r="BS83" s="438"/>
      <c r="BT83" s="833">
        <v>1</v>
      </c>
      <c r="BU83" s="833">
        <f t="shared" ref="BU83:CF83" si="532">BT83</f>
        <v>1</v>
      </c>
      <c r="BV83" s="833">
        <f t="shared" si="532"/>
        <v>1</v>
      </c>
      <c r="BW83" s="833">
        <f t="shared" si="532"/>
        <v>1</v>
      </c>
      <c r="BX83" s="833">
        <f t="shared" si="532"/>
        <v>1</v>
      </c>
      <c r="BY83" s="833">
        <f t="shared" si="532"/>
        <v>1</v>
      </c>
      <c r="BZ83" s="833">
        <f t="shared" si="532"/>
        <v>1</v>
      </c>
      <c r="CA83" s="833">
        <f t="shared" si="532"/>
        <v>1</v>
      </c>
      <c r="CB83" s="833">
        <f t="shared" si="532"/>
        <v>1</v>
      </c>
      <c r="CC83" s="833">
        <f t="shared" si="532"/>
        <v>1</v>
      </c>
      <c r="CD83" s="833">
        <f t="shared" si="532"/>
        <v>1</v>
      </c>
      <c r="CE83" s="833">
        <f t="shared" si="532"/>
        <v>1</v>
      </c>
      <c r="CF83" s="833">
        <f t="shared" si="532"/>
        <v>1</v>
      </c>
      <c r="CG83" s="833"/>
      <c r="CH83" s="46">
        <f t="shared" si="457"/>
        <v>19000</v>
      </c>
      <c r="CI83" s="46">
        <f t="shared" si="458"/>
        <v>1000</v>
      </c>
      <c r="CJ83" s="46">
        <f t="shared" si="459"/>
        <v>0</v>
      </c>
      <c r="CK83" s="46">
        <f t="shared" si="460"/>
        <v>0</v>
      </c>
      <c r="CL83" s="46">
        <f t="shared" si="461"/>
        <v>0</v>
      </c>
      <c r="CM83" s="46">
        <f t="shared" si="462"/>
        <v>0</v>
      </c>
      <c r="CN83" s="46">
        <f t="shared" si="463"/>
        <v>0</v>
      </c>
      <c r="CO83" s="46">
        <f t="shared" si="464"/>
        <v>0</v>
      </c>
      <c r="CP83" s="46">
        <f t="shared" si="465"/>
        <v>0</v>
      </c>
      <c r="CQ83" s="46">
        <f t="shared" si="466"/>
        <v>0</v>
      </c>
      <c r="CR83" s="46">
        <f t="shared" si="467"/>
        <v>0</v>
      </c>
      <c r="CS83" s="46">
        <f t="shared" si="468"/>
        <v>0</v>
      </c>
      <c r="CT83" s="46">
        <f t="shared" si="469"/>
        <v>0</v>
      </c>
    </row>
    <row r="84" spans="1:110" s="247" customFormat="1" ht="14.25" customHeight="1" x14ac:dyDescent="0.2">
      <c r="A84" s="673" t="s">
        <v>2224</v>
      </c>
      <c r="B84" s="919" t="s">
        <v>16</v>
      </c>
      <c r="C84" s="920" t="s">
        <v>4959</v>
      </c>
      <c r="D84" s="919"/>
      <c r="E84" s="611">
        <v>1</v>
      </c>
      <c r="F84" s="607">
        <v>58800</v>
      </c>
      <c r="G84" s="668">
        <v>8500</v>
      </c>
      <c r="H84" s="608"/>
      <c r="I84" s="668"/>
      <c r="J84" s="608"/>
      <c r="K84" s="608"/>
      <c r="L84" s="608"/>
      <c r="M84" s="608"/>
      <c r="N84" s="608"/>
      <c r="O84" s="608"/>
      <c r="P84" s="608"/>
      <c r="Q84" s="608"/>
      <c r="R84" s="1129"/>
      <c r="S84" s="438"/>
      <c r="T84" s="434"/>
      <c r="U84" s="434"/>
      <c r="V84" s="438">
        <f t="shared" si="445"/>
        <v>58800</v>
      </c>
      <c r="W84" s="439"/>
      <c r="X84" s="434"/>
      <c r="Y84" s="434"/>
      <c r="Z84" s="437">
        <f t="shared" si="470"/>
        <v>8500</v>
      </c>
      <c r="AA84" s="439"/>
      <c r="AB84" s="434"/>
      <c r="AC84" s="434"/>
      <c r="AD84" s="437">
        <f t="shared" si="446"/>
        <v>0</v>
      </c>
      <c r="AE84" s="439"/>
      <c r="AF84" s="434"/>
      <c r="AG84" s="434"/>
      <c r="AH84" s="435">
        <f t="shared" si="447"/>
        <v>0</v>
      </c>
      <c r="AI84" s="438"/>
      <c r="AJ84" s="434"/>
      <c r="AK84" s="434"/>
      <c r="AL84" s="437">
        <f t="shared" si="448"/>
        <v>0</v>
      </c>
      <c r="AM84" s="438"/>
      <c r="AN84" s="434"/>
      <c r="AO84" s="434"/>
      <c r="AP84" s="1128">
        <f t="shared" si="449"/>
        <v>0</v>
      </c>
      <c r="AQ84" s="438"/>
      <c r="AR84" s="434"/>
      <c r="AS84" s="434"/>
      <c r="AT84" s="435">
        <f t="shared" si="450"/>
        <v>0</v>
      </c>
      <c r="AU84" s="438"/>
      <c r="AV84" s="434"/>
      <c r="AW84" s="434"/>
      <c r="AX84" s="437">
        <f t="shared" si="451"/>
        <v>0</v>
      </c>
      <c r="AY84" s="438"/>
      <c r="AZ84" s="434"/>
      <c r="BA84" s="434"/>
      <c r="BB84" s="437">
        <f t="shared" si="452"/>
        <v>0</v>
      </c>
      <c r="BC84" s="438"/>
      <c r="BD84" s="434"/>
      <c r="BE84" s="434"/>
      <c r="BF84" s="1131">
        <f t="shared" si="453"/>
        <v>0</v>
      </c>
      <c r="BG84" s="438"/>
      <c r="BH84" s="434"/>
      <c r="BI84" s="434"/>
      <c r="BJ84" s="1131">
        <f t="shared" si="454"/>
        <v>0</v>
      </c>
      <c r="BK84" s="438"/>
      <c r="BL84" s="434"/>
      <c r="BM84" s="434"/>
      <c r="BN84" s="1131">
        <f t="shared" si="126"/>
        <v>0</v>
      </c>
      <c r="BO84" s="438"/>
      <c r="BP84" s="434"/>
      <c r="BQ84" s="434"/>
      <c r="BR84" s="1131">
        <f t="shared" si="455"/>
        <v>0</v>
      </c>
      <c r="BS84" s="438"/>
      <c r="BT84" s="833">
        <v>1</v>
      </c>
      <c r="BU84" s="833">
        <f t="shared" ref="BU84:CF84" si="533">BT84</f>
        <v>1</v>
      </c>
      <c r="BV84" s="833">
        <f t="shared" si="533"/>
        <v>1</v>
      </c>
      <c r="BW84" s="833">
        <f t="shared" si="533"/>
        <v>1</v>
      </c>
      <c r="BX84" s="833">
        <f t="shared" si="533"/>
        <v>1</v>
      </c>
      <c r="BY84" s="833">
        <f t="shared" si="533"/>
        <v>1</v>
      </c>
      <c r="BZ84" s="833">
        <f t="shared" si="533"/>
        <v>1</v>
      </c>
      <c r="CA84" s="833">
        <f t="shared" si="533"/>
        <v>1</v>
      </c>
      <c r="CB84" s="833">
        <f t="shared" si="533"/>
        <v>1</v>
      </c>
      <c r="CC84" s="833">
        <f t="shared" si="533"/>
        <v>1</v>
      </c>
      <c r="CD84" s="833">
        <f t="shared" si="533"/>
        <v>1</v>
      </c>
      <c r="CE84" s="833">
        <f t="shared" si="533"/>
        <v>1</v>
      </c>
      <c r="CF84" s="833">
        <f t="shared" si="533"/>
        <v>1</v>
      </c>
      <c r="CG84" s="833"/>
      <c r="CH84" s="46">
        <f t="shared" si="457"/>
        <v>59000</v>
      </c>
      <c r="CI84" s="46">
        <f t="shared" si="458"/>
        <v>9000</v>
      </c>
      <c r="CJ84" s="46">
        <f t="shared" si="459"/>
        <v>0</v>
      </c>
      <c r="CK84" s="46">
        <f t="shared" si="460"/>
        <v>0</v>
      </c>
      <c r="CL84" s="46">
        <f t="shared" si="461"/>
        <v>0</v>
      </c>
      <c r="CM84" s="46">
        <f t="shared" si="462"/>
        <v>0</v>
      </c>
      <c r="CN84" s="46">
        <f t="shared" si="463"/>
        <v>0</v>
      </c>
      <c r="CO84" s="46">
        <f t="shared" si="464"/>
        <v>0</v>
      </c>
      <c r="CP84" s="46">
        <f t="shared" si="465"/>
        <v>0</v>
      </c>
      <c r="CQ84" s="46">
        <f t="shared" si="466"/>
        <v>0</v>
      </c>
      <c r="CR84" s="46">
        <f t="shared" si="467"/>
        <v>0</v>
      </c>
      <c r="CS84" s="46">
        <f t="shared" si="468"/>
        <v>0</v>
      </c>
      <c r="CT84" s="46">
        <f t="shared" si="469"/>
        <v>0</v>
      </c>
    </row>
    <row r="85" spans="1:110" s="247" customFormat="1" ht="14.25" customHeight="1" x14ac:dyDescent="0.2">
      <c r="A85" s="673" t="s">
        <v>11823</v>
      </c>
      <c r="B85" s="920" t="s">
        <v>11824</v>
      </c>
      <c r="C85" s="920"/>
      <c r="D85" s="919"/>
      <c r="E85" s="611"/>
      <c r="F85" s="607"/>
      <c r="G85" s="668">
        <v>800</v>
      </c>
      <c r="H85" s="608"/>
      <c r="I85" s="668"/>
      <c r="J85" s="668"/>
      <c r="K85" s="668"/>
      <c r="L85" s="668"/>
      <c r="M85" s="608"/>
      <c r="N85" s="608"/>
      <c r="O85" s="608"/>
      <c r="P85" s="608"/>
      <c r="Q85" s="608"/>
      <c r="R85" s="1129"/>
      <c r="S85" s="438"/>
      <c r="T85" s="434"/>
      <c r="U85" s="434"/>
      <c r="V85" s="438"/>
      <c r="W85" s="439"/>
      <c r="X85" s="434"/>
      <c r="Y85" s="434"/>
      <c r="Z85" s="437">
        <f t="shared" si="470"/>
        <v>800</v>
      </c>
      <c r="AA85" s="439"/>
      <c r="AB85" s="434"/>
      <c r="AC85" s="434"/>
      <c r="AD85" s="437"/>
      <c r="AE85" s="439"/>
      <c r="AF85" s="434"/>
      <c r="AG85" s="434"/>
      <c r="AH85" s="435"/>
      <c r="AI85" s="438"/>
      <c r="AJ85" s="434"/>
      <c r="AK85" s="434"/>
      <c r="AL85" s="437"/>
      <c r="AM85" s="438"/>
      <c r="AN85" s="434"/>
      <c r="AO85" s="434"/>
      <c r="AP85" s="1128"/>
      <c r="AQ85" s="438"/>
      <c r="AR85" s="434"/>
      <c r="AS85" s="434"/>
      <c r="AT85" s="435"/>
      <c r="AU85" s="438"/>
      <c r="AV85" s="434"/>
      <c r="AW85" s="434"/>
      <c r="AX85" s="437"/>
      <c r="AY85" s="438"/>
      <c r="AZ85" s="434"/>
      <c r="BA85" s="434"/>
      <c r="BB85" s="437"/>
      <c r="BC85" s="438"/>
      <c r="BD85" s="434"/>
      <c r="BE85" s="434"/>
      <c r="BF85" s="1131"/>
      <c r="BG85" s="438"/>
      <c r="BH85" s="434"/>
      <c r="BI85" s="434"/>
      <c r="BJ85" s="1131"/>
      <c r="BK85" s="438"/>
      <c r="BL85" s="434"/>
      <c r="BM85" s="434"/>
      <c r="BN85" s="1131"/>
      <c r="BO85" s="438"/>
      <c r="BP85" s="434"/>
      <c r="BQ85" s="434"/>
      <c r="BR85" s="1131"/>
      <c r="BS85" s="438"/>
      <c r="BT85" s="833"/>
      <c r="BU85" s="833"/>
      <c r="BV85" s="833"/>
      <c r="BW85" s="833"/>
      <c r="BX85" s="833"/>
      <c r="BY85" s="833"/>
      <c r="BZ85" s="833"/>
      <c r="CA85" s="833"/>
      <c r="CB85" s="833"/>
      <c r="CC85" s="833"/>
      <c r="CD85" s="833"/>
      <c r="CE85" s="833"/>
      <c r="CF85" s="833"/>
      <c r="CG85" s="833"/>
      <c r="CH85" s="46"/>
      <c r="CI85" s="46"/>
      <c r="CJ85" s="46"/>
      <c r="CK85" s="46"/>
      <c r="CL85" s="46"/>
      <c r="CM85" s="46"/>
      <c r="CN85" s="46"/>
      <c r="CO85" s="46"/>
      <c r="CP85" s="46"/>
      <c r="CQ85" s="46"/>
      <c r="CR85" s="46"/>
      <c r="CS85" s="46"/>
      <c r="CT85" s="46"/>
    </row>
    <row r="86" spans="1:110" s="772" customFormat="1" ht="14.25" customHeight="1" x14ac:dyDescent="0.2">
      <c r="A86" s="674" t="s">
        <v>5481</v>
      </c>
      <c r="B86" s="920" t="s">
        <v>535</v>
      </c>
      <c r="C86" s="920" t="s">
        <v>4959</v>
      </c>
      <c r="D86" s="920"/>
      <c r="E86" s="921"/>
      <c r="F86" s="607">
        <v>68300</v>
      </c>
      <c r="G86" s="668"/>
      <c r="H86" s="608"/>
      <c r="I86" s="668"/>
      <c r="J86" s="668"/>
      <c r="K86" s="668"/>
      <c r="L86" s="668"/>
      <c r="M86" s="608"/>
      <c r="N86" s="608"/>
      <c r="O86" s="608"/>
      <c r="P86" s="608"/>
      <c r="Q86" s="608"/>
      <c r="R86" s="1129"/>
      <c r="S86" s="669"/>
      <c r="T86" s="608"/>
      <c r="U86" s="608"/>
      <c r="V86" s="669">
        <f t="shared" si="445"/>
        <v>68300</v>
      </c>
      <c r="W86" s="1660"/>
      <c r="X86" s="608"/>
      <c r="Y86" s="608"/>
      <c r="Z86" s="437">
        <f t="shared" si="470"/>
        <v>0</v>
      </c>
      <c r="AA86" s="1660"/>
      <c r="AB86" s="608"/>
      <c r="AC86" s="608"/>
      <c r="AD86" s="437">
        <f t="shared" ref="AD86:AD87" si="534">$H86-AA86-AB86-AC86</f>
        <v>0</v>
      </c>
      <c r="AE86" s="439"/>
      <c r="AF86" s="434"/>
      <c r="AG86" s="434"/>
      <c r="AH86" s="435">
        <f t="shared" ref="AH86:AH87" si="535">$I86-AE86-AF86-AG86</f>
        <v>0</v>
      </c>
      <c r="AI86" s="438"/>
      <c r="AJ86" s="434"/>
      <c r="AK86" s="434"/>
      <c r="AL86" s="437">
        <f t="shared" ref="AL86:AL87" si="536">$J86-AI86-AJ86-AK86</f>
        <v>0</v>
      </c>
      <c r="AM86" s="438"/>
      <c r="AN86" s="434"/>
      <c r="AO86" s="434"/>
      <c r="AP86" s="1128">
        <f t="shared" ref="AP86:AP87" si="537">$K86-AM86-AN86-AO86</f>
        <v>0</v>
      </c>
      <c r="AQ86" s="438"/>
      <c r="AR86" s="434"/>
      <c r="AS86" s="434"/>
      <c r="AT86" s="435">
        <f t="shared" ref="AT86:AT87" si="538">$L86-AQ86-AR86-AS86</f>
        <v>0</v>
      </c>
      <c r="AU86" s="438"/>
      <c r="AV86" s="434"/>
      <c r="AW86" s="434"/>
      <c r="AX86" s="437">
        <f t="shared" ref="AX86:AX87" si="539">$M86-AU86-AV86-AW86</f>
        <v>0</v>
      </c>
      <c r="AY86" s="438"/>
      <c r="AZ86" s="434"/>
      <c r="BA86" s="434"/>
      <c r="BB86" s="437">
        <f t="shared" ref="BB86:BB87" si="540">$N86-AY86-AZ86-BA86</f>
        <v>0</v>
      </c>
      <c r="BC86" s="438"/>
      <c r="BD86" s="434"/>
      <c r="BE86" s="434"/>
      <c r="BF86" s="1131">
        <f t="shared" ref="BF86:BF87" si="541">$O86-BC86-BD86-BE86</f>
        <v>0</v>
      </c>
      <c r="BG86" s="438"/>
      <c r="BH86" s="434"/>
      <c r="BI86" s="434"/>
      <c r="BJ86" s="1131">
        <f t="shared" ref="BJ86:BJ87" si="542">$P86-BG86-BH86-BI86</f>
        <v>0</v>
      </c>
      <c r="BK86" s="438"/>
      <c r="BL86" s="434"/>
      <c r="BM86" s="434"/>
      <c r="BN86" s="1131">
        <f t="shared" ref="BN86:BN87" si="543">$Q86-BK86-BL86-BM86</f>
        <v>0</v>
      </c>
      <c r="BO86" s="438"/>
      <c r="BP86" s="434"/>
      <c r="BQ86" s="434"/>
      <c r="BR86" s="1131">
        <f t="shared" ref="BR86:BR87" si="544">$R86-BO86-BP86-BQ86</f>
        <v>0</v>
      </c>
      <c r="BS86" s="669"/>
      <c r="BT86" s="833">
        <v>1</v>
      </c>
      <c r="BU86" s="833">
        <f t="shared" ref="BU86" si="545">BT86</f>
        <v>1</v>
      </c>
      <c r="BV86" s="833">
        <f t="shared" ref="BV86" si="546">BU86</f>
        <v>1</v>
      </c>
      <c r="BW86" s="833">
        <f t="shared" ref="BW86" si="547">BV86</f>
        <v>1</v>
      </c>
      <c r="BX86" s="833">
        <f t="shared" ref="BX86" si="548">BW86</f>
        <v>1</v>
      </c>
      <c r="BY86" s="833">
        <f t="shared" ref="BY86" si="549">BX86</f>
        <v>1</v>
      </c>
      <c r="BZ86" s="833">
        <f t="shared" ref="BZ86" si="550">BY86</f>
        <v>1</v>
      </c>
      <c r="CA86" s="833">
        <f t="shared" ref="CA86" si="551">BZ86</f>
        <v>1</v>
      </c>
      <c r="CB86" s="833">
        <f t="shared" ref="CB86" si="552">CA86</f>
        <v>1</v>
      </c>
      <c r="CC86" s="833">
        <f t="shared" ref="CC86" si="553">CB86</f>
        <v>1</v>
      </c>
      <c r="CD86" s="833">
        <f t="shared" ref="CD86:CF86" si="554">CC86</f>
        <v>1</v>
      </c>
      <c r="CE86" s="833">
        <f t="shared" si="554"/>
        <v>1</v>
      </c>
      <c r="CF86" s="833">
        <f t="shared" si="554"/>
        <v>1</v>
      </c>
      <c r="CG86" s="833"/>
      <c r="CH86" s="46">
        <f t="shared" si="457"/>
        <v>68000</v>
      </c>
      <c r="CI86" s="46">
        <f t="shared" si="458"/>
        <v>0</v>
      </c>
      <c r="CJ86" s="46">
        <f t="shared" si="459"/>
        <v>0</v>
      </c>
      <c r="CK86" s="46">
        <f t="shared" si="460"/>
        <v>0</v>
      </c>
      <c r="CL86" s="46">
        <f t="shared" si="461"/>
        <v>0</v>
      </c>
      <c r="CM86" s="46">
        <f t="shared" si="462"/>
        <v>0</v>
      </c>
      <c r="CN86" s="46">
        <f t="shared" si="463"/>
        <v>0</v>
      </c>
      <c r="CO86" s="46">
        <f t="shared" si="464"/>
        <v>0</v>
      </c>
      <c r="CP86" s="46">
        <f t="shared" si="465"/>
        <v>0</v>
      </c>
      <c r="CQ86" s="46">
        <f t="shared" si="466"/>
        <v>0</v>
      </c>
      <c r="CR86" s="46">
        <f t="shared" si="467"/>
        <v>0</v>
      </c>
      <c r="CS86" s="46">
        <f>ROUND(CE86*Q86,-3)</f>
        <v>0</v>
      </c>
      <c r="CT86" s="46">
        <f>ROUND(CF86*R86,-3)</f>
        <v>0</v>
      </c>
    </row>
    <row r="87" spans="1:110" s="247" customFormat="1" ht="14.25" customHeight="1" x14ac:dyDescent="0.2">
      <c r="A87" s="671" t="s">
        <v>6941</v>
      </c>
      <c r="B87" s="919"/>
      <c r="C87" s="919"/>
      <c r="D87" s="919"/>
      <c r="E87" s="611"/>
      <c r="F87" s="607"/>
      <c r="G87" s="608"/>
      <c r="H87" s="608"/>
      <c r="I87" s="668">
        <v>100000</v>
      </c>
      <c r="J87" s="608"/>
      <c r="K87" s="608"/>
      <c r="L87" s="608"/>
      <c r="M87" s="608"/>
      <c r="N87" s="608"/>
      <c r="O87" s="608"/>
      <c r="P87" s="608"/>
      <c r="Q87" s="608"/>
      <c r="R87" s="1129"/>
      <c r="S87" s="438"/>
      <c r="T87" s="434"/>
      <c r="U87" s="434"/>
      <c r="V87" s="669"/>
      <c r="W87" s="439"/>
      <c r="X87" s="434"/>
      <c r="Y87" s="434"/>
      <c r="Z87" s="437">
        <f t="shared" si="470"/>
        <v>0</v>
      </c>
      <c r="AA87" s="439"/>
      <c r="AB87" s="434"/>
      <c r="AC87" s="434"/>
      <c r="AD87" s="437">
        <f t="shared" si="534"/>
        <v>0</v>
      </c>
      <c r="AE87" s="439"/>
      <c r="AF87" s="434"/>
      <c r="AG87" s="434"/>
      <c r="AH87" s="435">
        <f t="shared" si="535"/>
        <v>100000</v>
      </c>
      <c r="AI87" s="438"/>
      <c r="AJ87" s="434"/>
      <c r="AK87" s="434"/>
      <c r="AL87" s="437">
        <f t="shared" si="536"/>
        <v>0</v>
      </c>
      <c r="AM87" s="438"/>
      <c r="AN87" s="434"/>
      <c r="AO87" s="434"/>
      <c r="AP87" s="1128">
        <f t="shared" si="537"/>
        <v>0</v>
      </c>
      <c r="AQ87" s="438"/>
      <c r="AR87" s="434"/>
      <c r="AS87" s="434"/>
      <c r="AT87" s="435">
        <f t="shared" si="538"/>
        <v>0</v>
      </c>
      <c r="AU87" s="438"/>
      <c r="AV87" s="434"/>
      <c r="AW87" s="434"/>
      <c r="AX87" s="437">
        <f t="shared" si="539"/>
        <v>0</v>
      </c>
      <c r="AY87" s="438"/>
      <c r="AZ87" s="434"/>
      <c r="BA87" s="434"/>
      <c r="BB87" s="437">
        <f t="shared" si="540"/>
        <v>0</v>
      </c>
      <c r="BC87" s="438"/>
      <c r="BD87" s="434"/>
      <c r="BE87" s="434"/>
      <c r="BF87" s="1131">
        <f t="shared" si="541"/>
        <v>0</v>
      </c>
      <c r="BG87" s="438"/>
      <c r="BH87" s="434"/>
      <c r="BI87" s="434"/>
      <c r="BJ87" s="1131">
        <f t="shared" si="542"/>
        <v>0</v>
      </c>
      <c r="BK87" s="438"/>
      <c r="BL87" s="434"/>
      <c r="BM87" s="434"/>
      <c r="BN87" s="1131">
        <f t="shared" si="543"/>
        <v>0</v>
      </c>
      <c r="BO87" s="438"/>
      <c r="BP87" s="434"/>
      <c r="BQ87" s="434"/>
      <c r="BR87" s="1131">
        <f t="shared" si="544"/>
        <v>0</v>
      </c>
      <c r="BS87" s="438"/>
      <c r="BT87" s="833"/>
      <c r="BU87" s="833"/>
      <c r="BV87" s="833"/>
      <c r="BW87" s="833"/>
      <c r="BX87" s="833"/>
      <c r="BY87" s="833"/>
      <c r="BZ87" s="833"/>
      <c r="CA87" s="833"/>
      <c r="CB87" s="833"/>
      <c r="CC87" s="833"/>
      <c r="CD87" s="833"/>
      <c r="CE87" s="833"/>
      <c r="CF87" s="833"/>
      <c r="CG87" s="833"/>
      <c r="CH87" s="46"/>
      <c r="CI87" s="46"/>
      <c r="CJ87" s="46"/>
      <c r="CK87" s="46"/>
      <c r="CL87" s="46"/>
      <c r="CM87" s="46"/>
      <c r="CN87" s="46"/>
      <c r="CO87" s="46"/>
      <c r="CP87" s="46"/>
      <c r="CQ87" s="46"/>
      <c r="CR87" s="46"/>
      <c r="CS87" s="46"/>
      <c r="CT87" s="46"/>
    </row>
    <row r="88" spans="1:110" s="246" customFormat="1" x14ac:dyDescent="0.2">
      <c r="A88" s="2282" t="s">
        <v>3549</v>
      </c>
      <c r="B88" s="2283"/>
      <c r="C88" s="2283"/>
      <c r="D88" s="2283"/>
      <c r="E88" s="2283"/>
      <c r="F88" s="2283"/>
      <c r="G88" s="2283"/>
      <c r="H88" s="2283"/>
      <c r="I88" s="2283"/>
      <c r="J88" s="2283"/>
      <c r="K88" s="2283"/>
      <c r="L88" s="2283"/>
      <c r="M88" s="2283"/>
      <c r="N88" s="2283"/>
      <c r="O88" s="2283"/>
      <c r="P88" s="2283"/>
      <c r="Q88" s="2283"/>
      <c r="R88" s="1657"/>
      <c r="S88" s="909"/>
      <c r="T88" s="909"/>
      <c r="U88" s="909"/>
      <c r="V88" s="909"/>
      <c r="W88" s="1661"/>
      <c r="X88" s="909"/>
      <c r="Y88" s="909"/>
      <c r="Z88" s="1130"/>
      <c r="AA88" s="1661"/>
      <c r="AB88" s="909"/>
      <c r="AC88" s="909"/>
      <c r="AD88" s="1130"/>
      <c r="AE88" s="439"/>
      <c r="AF88" s="434"/>
      <c r="AG88" s="434"/>
      <c r="AH88" s="435"/>
      <c r="AI88" s="438"/>
      <c r="AJ88" s="434"/>
      <c r="AK88" s="434"/>
      <c r="AL88" s="1669"/>
      <c r="AM88" s="438"/>
      <c r="AN88" s="434"/>
      <c r="AO88" s="434"/>
      <c r="AP88" s="1131"/>
      <c r="AQ88" s="438"/>
      <c r="AR88" s="434"/>
      <c r="AS88" s="434"/>
      <c r="AT88" s="437"/>
      <c r="AU88" s="438"/>
      <c r="AV88" s="434"/>
      <c r="AW88" s="434"/>
      <c r="AX88" s="437"/>
      <c r="AY88" s="439"/>
      <c r="AZ88" s="434"/>
      <c r="BA88" s="434"/>
      <c r="BB88" s="437"/>
      <c r="BC88" s="439"/>
      <c r="BD88" s="434"/>
      <c r="BE88" s="434"/>
      <c r="BF88" s="1131"/>
      <c r="BG88" s="439"/>
      <c r="BH88" s="434"/>
      <c r="BI88" s="434"/>
      <c r="BJ88" s="1131"/>
      <c r="BK88" s="439"/>
      <c r="BL88" s="434"/>
      <c r="BM88" s="434"/>
      <c r="BN88" s="1131"/>
      <c r="BO88" s="439"/>
      <c r="BP88" s="434"/>
      <c r="BQ88" s="434"/>
      <c r="BR88" s="1131"/>
      <c r="BS88" s="438"/>
      <c r="BT88" s="833"/>
      <c r="BU88" s="833"/>
      <c r="BV88" s="833"/>
      <c r="BW88" s="833"/>
      <c r="BX88" s="833"/>
      <c r="BY88" s="833"/>
      <c r="BZ88" s="833"/>
      <c r="CA88" s="833"/>
      <c r="CB88" s="833"/>
      <c r="CC88" s="833"/>
      <c r="CD88" s="833"/>
      <c r="CE88" s="833"/>
      <c r="CF88" s="833"/>
      <c r="CG88" s="833"/>
      <c r="CH88" s="46"/>
      <c r="CI88" s="46"/>
      <c r="CJ88" s="46"/>
      <c r="CK88" s="46"/>
      <c r="CL88" s="46"/>
      <c r="CM88" s="46"/>
      <c r="CN88" s="46"/>
      <c r="CO88" s="46"/>
      <c r="CP88" s="46"/>
      <c r="CQ88" s="46"/>
      <c r="CR88" s="46"/>
      <c r="CS88" s="46"/>
      <c r="CT88" s="46"/>
      <c r="CU88" s="214"/>
      <c r="CV88" s="214"/>
      <c r="CW88" s="214"/>
      <c r="CX88" s="214"/>
      <c r="CY88" s="214"/>
      <c r="CZ88" s="214"/>
      <c r="DA88" s="214"/>
      <c r="DB88" s="214"/>
      <c r="DC88" s="214"/>
      <c r="DD88" s="214"/>
      <c r="DE88" s="214"/>
      <c r="DF88" s="214"/>
    </row>
    <row r="89" spans="1:110" s="246" customFormat="1" ht="13.5" thickBot="1" x14ac:dyDescent="0.25">
      <c r="A89" s="1132"/>
      <c r="B89" s="1133"/>
      <c r="C89" s="1133"/>
      <c r="D89" s="1133"/>
      <c r="E89" s="1134"/>
      <c r="F89" s="446"/>
      <c r="G89" s="680"/>
      <c r="H89" s="446"/>
      <c r="I89" s="446"/>
      <c r="J89" s="680"/>
      <c r="K89" s="680"/>
      <c r="L89" s="680"/>
      <c r="M89" s="680"/>
      <c r="N89" s="446"/>
      <c r="O89" s="446"/>
      <c r="P89" s="446"/>
      <c r="Q89" s="446"/>
      <c r="R89" s="1658"/>
      <c r="S89" s="449"/>
      <c r="T89" s="446"/>
      <c r="U89" s="446"/>
      <c r="V89" s="449"/>
      <c r="W89" s="450"/>
      <c r="X89" s="449"/>
      <c r="Y89" s="449"/>
      <c r="Z89" s="448"/>
      <c r="AA89" s="450"/>
      <c r="AB89" s="446"/>
      <c r="AC89" s="446"/>
      <c r="AD89" s="448"/>
      <c r="AE89" s="450"/>
      <c r="AF89" s="446"/>
      <c r="AG89" s="446"/>
      <c r="AH89" s="448"/>
      <c r="AI89" s="449"/>
      <c r="AJ89" s="446"/>
      <c r="AK89" s="446"/>
      <c r="AL89" s="448"/>
      <c r="AM89" s="449"/>
      <c r="AN89" s="446"/>
      <c r="AO89" s="446"/>
      <c r="AP89" s="1260"/>
      <c r="AQ89" s="449"/>
      <c r="AR89" s="446"/>
      <c r="AS89" s="446"/>
      <c r="AT89" s="448"/>
      <c r="AU89" s="680"/>
      <c r="AV89" s="680"/>
      <c r="AW89" s="680"/>
      <c r="AX89" s="448"/>
      <c r="AY89" s="450"/>
      <c r="AZ89" s="446"/>
      <c r="BA89" s="446"/>
      <c r="BB89" s="448"/>
      <c r="BC89" s="450"/>
      <c r="BD89" s="446"/>
      <c r="BE89" s="446"/>
      <c r="BF89" s="1260"/>
      <c r="BG89" s="450"/>
      <c r="BH89" s="446"/>
      <c r="BI89" s="446"/>
      <c r="BJ89" s="1260"/>
      <c r="BK89" s="450"/>
      <c r="BL89" s="446"/>
      <c r="BM89" s="446"/>
      <c r="BN89" s="1260"/>
      <c r="BO89" s="450"/>
      <c r="BP89" s="446"/>
      <c r="BQ89" s="446"/>
      <c r="BR89" s="1260"/>
      <c r="BS89" s="438"/>
      <c r="BT89" s="833"/>
      <c r="BU89" s="833"/>
      <c r="BV89" s="833"/>
      <c r="BW89" s="833"/>
      <c r="BX89" s="833"/>
      <c r="BY89" s="833"/>
      <c r="BZ89" s="833"/>
      <c r="CA89" s="833"/>
      <c r="CB89" s="833"/>
      <c r="CC89" s="833"/>
      <c r="CD89" s="833"/>
      <c r="CE89" s="833"/>
      <c r="CF89" s="833"/>
      <c r="CG89" s="833"/>
      <c r="CH89" s="46"/>
      <c r="CI89" s="46"/>
      <c r="CJ89" s="46"/>
      <c r="CK89" s="46"/>
      <c r="CL89" s="46"/>
      <c r="CM89" s="46"/>
      <c r="CN89" s="46"/>
      <c r="CO89" s="46"/>
      <c r="CP89" s="46"/>
      <c r="CQ89" s="46"/>
      <c r="CR89" s="46"/>
      <c r="CS89" s="46"/>
      <c r="CT89" s="46"/>
      <c r="CU89" s="214"/>
      <c r="CV89" s="214"/>
      <c r="CW89" s="214"/>
      <c r="CX89" s="214"/>
      <c r="CY89" s="214"/>
      <c r="CZ89" s="214"/>
      <c r="DA89" s="214"/>
      <c r="DB89" s="214"/>
      <c r="DC89" s="214"/>
      <c r="DD89" s="214"/>
      <c r="DE89" s="214"/>
      <c r="DF89" s="214"/>
    </row>
    <row r="90" spans="1:110" s="1308" customFormat="1" ht="21" customHeight="1" thickTop="1" thickBot="1" x14ac:dyDescent="0.3">
      <c r="A90" s="2273" t="s">
        <v>5041</v>
      </c>
      <c r="B90" s="2274"/>
      <c r="C90" s="2274"/>
      <c r="D90" s="2274"/>
      <c r="E90" s="2274"/>
      <c r="F90" s="2274"/>
      <c r="G90" s="2274"/>
      <c r="H90" s="2547"/>
      <c r="I90" s="2274"/>
      <c r="J90" s="2274"/>
      <c r="K90" s="2274"/>
      <c r="L90" s="2274"/>
      <c r="M90" s="2274"/>
      <c r="N90" s="2274"/>
      <c r="O90" s="2274"/>
      <c r="P90" s="2274"/>
      <c r="Q90" s="2274"/>
      <c r="R90" s="2274"/>
      <c r="S90" s="2274"/>
      <c r="T90" s="2274"/>
      <c r="U90" s="2274"/>
      <c r="V90" s="2274"/>
      <c r="W90" s="2274"/>
      <c r="X90" s="2274"/>
      <c r="Y90" s="2274"/>
      <c r="Z90" s="2274"/>
      <c r="AA90" s="2274"/>
      <c r="AB90" s="2274"/>
      <c r="AC90" s="2274"/>
      <c r="AD90" s="2274"/>
      <c r="AE90" s="2274"/>
      <c r="AF90" s="2274"/>
      <c r="AG90" s="2274"/>
      <c r="AH90" s="2274"/>
      <c r="AI90" s="2274"/>
      <c r="AJ90" s="2274"/>
      <c r="AK90" s="2274"/>
      <c r="AL90" s="2274"/>
      <c r="AM90" s="2274"/>
      <c r="AN90" s="2274"/>
      <c r="AO90" s="2274"/>
      <c r="AP90" s="2281"/>
      <c r="AQ90" s="1670"/>
      <c r="AR90" s="1670"/>
      <c r="AS90" s="1670"/>
      <c r="AT90" s="1670"/>
      <c r="AU90" s="1670"/>
      <c r="AV90" s="1670"/>
      <c r="AW90" s="1670"/>
      <c r="AX90" s="1670"/>
      <c r="AY90" s="1670"/>
      <c r="AZ90" s="1670"/>
      <c r="BA90" s="1670"/>
      <c r="BB90" s="1670"/>
      <c r="BC90" s="1670"/>
      <c r="BD90" s="1670"/>
      <c r="BE90" s="1670"/>
      <c r="BF90" s="1670"/>
      <c r="BG90" s="1670"/>
      <c r="BH90" s="1670"/>
      <c r="BI90" s="1670"/>
      <c r="BJ90" s="1670"/>
      <c r="BK90" s="1670"/>
      <c r="BL90" s="1670"/>
      <c r="BM90" s="1670"/>
      <c r="BN90" s="1671"/>
      <c r="BO90" s="1670"/>
      <c r="BP90" s="1670"/>
      <c r="BQ90" s="1670"/>
      <c r="BR90" s="1671"/>
      <c r="BS90" s="1053"/>
      <c r="BT90" s="833"/>
      <c r="BU90" s="833"/>
      <c r="BV90" s="833"/>
      <c r="BW90" s="833"/>
      <c r="BX90" s="833"/>
      <c r="BY90" s="833"/>
      <c r="BZ90" s="833"/>
      <c r="CA90" s="833"/>
      <c r="CB90" s="833"/>
      <c r="CC90" s="833"/>
      <c r="CD90" s="833"/>
      <c r="CE90" s="833"/>
      <c r="CF90" s="833"/>
      <c r="CG90" s="833"/>
      <c r="CH90" s="46"/>
      <c r="CI90" s="46"/>
      <c r="CJ90" s="46"/>
      <c r="CK90" s="46"/>
      <c r="CL90" s="46"/>
      <c r="CM90" s="46"/>
      <c r="CN90" s="46"/>
      <c r="CO90" s="46"/>
      <c r="CP90" s="46"/>
      <c r="CQ90" s="46"/>
      <c r="CR90" s="46"/>
      <c r="CS90" s="46"/>
      <c r="CT90" s="46"/>
    </row>
    <row r="91" spans="1:110" s="246" customFormat="1" ht="16.5" customHeight="1" thickBot="1" x14ac:dyDescent="0.25">
      <c r="A91" s="681" t="s">
        <v>1189</v>
      </c>
      <c r="B91" s="923"/>
      <c r="C91" s="923"/>
      <c r="D91" s="923"/>
      <c r="E91" s="610"/>
      <c r="F91" s="2280" t="str">
        <f>F2</f>
        <v>Expenditure Year</v>
      </c>
      <c r="G91" s="2276"/>
      <c r="H91" s="2548"/>
      <c r="I91" s="2276"/>
      <c r="J91" s="2276"/>
      <c r="K91" s="2276"/>
      <c r="L91" s="2276"/>
      <c r="M91" s="2276"/>
      <c r="N91" s="2276"/>
      <c r="O91" s="2276"/>
      <c r="P91" s="2276"/>
      <c r="Q91" s="2276"/>
      <c r="R91" s="2276"/>
      <c r="S91" s="2280" t="str">
        <f>S2</f>
        <v>Funding Sources 2015/16</v>
      </c>
      <c r="T91" s="2276"/>
      <c r="U91" s="2276"/>
      <c r="V91" s="2277"/>
      <c r="W91" s="2280" t="str">
        <f>W2</f>
        <v>Funding Sources 2016/17</v>
      </c>
      <c r="X91" s="2276"/>
      <c r="Y91" s="2276"/>
      <c r="Z91" s="2277"/>
      <c r="AA91" s="2280" t="str">
        <f>AA2</f>
        <v>Funding Sources 2017/18</v>
      </c>
      <c r="AB91" s="2276"/>
      <c r="AC91" s="2276"/>
      <c r="AD91" s="2277"/>
      <c r="AE91" s="2276" t="str">
        <f>AE2</f>
        <v>Funding Source 2018/19</v>
      </c>
      <c r="AF91" s="2276"/>
      <c r="AG91" s="2276"/>
      <c r="AH91" s="2277"/>
      <c r="AI91" s="2280" t="str">
        <f>AI2</f>
        <v>Funding Source 2019/20</v>
      </c>
      <c r="AJ91" s="2276"/>
      <c r="AK91" s="2276"/>
      <c r="AL91" s="2277"/>
      <c r="AM91" s="2276" t="str">
        <f>AM2</f>
        <v>Funding Source 2020/21</v>
      </c>
      <c r="AN91" s="2276"/>
      <c r="AO91" s="2276"/>
      <c r="AP91" s="2279"/>
      <c r="AQ91" s="2687" t="str">
        <f>AQ2</f>
        <v>Funding Source 2021/22</v>
      </c>
      <c r="AR91" s="2687"/>
      <c r="AS91" s="2687"/>
      <c r="AT91" s="2688"/>
      <c r="AU91" s="2697" t="str">
        <f>AU2</f>
        <v>Funding Source 2022/23</v>
      </c>
      <c r="AV91" s="2687"/>
      <c r="AW91" s="2687"/>
      <c r="AX91" s="2688"/>
      <c r="AY91" s="2697" t="str">
        <f>AY2</f>
        <v>Funding Source 2023/24</v>
      </c>
      <c r="AZ91" s="2687"/>
      <c r="BA91" s="2687"/>
      <c r="BB91" s="2688"/>
      <c r="BC91" s="2697" t="str">
        <f>BC2</f>
        <v>Funding Source 2024/25</v>
      </c>
      <c r="BD91" s="2687"/>
      <c r="BE91" s="2687"/>
      <c r="BF91" s="2688"/>
      <c r="BG91" s="2697" t="str">
        <f>BG2</f>
        <v>Funding Source 2025/26</v>
      </c>
      <c r="BH91" s="2687"/>
      <c r="BI91" s="2687"/>
      <c r="BJ91" s="2688"/>
      <c r="BK91" s="2697" t="str">
        <f>BK2</f>
        <v>Funding Source 2026/27</v>
      </c>
      <c r="BL91" s="2687"/>
      <c r="BM91" s="2687"/>
      <c r="BN91" s="2690"/>
      <c r="BO91" s="2697" t="str">
        <f>BO2</f>
        <v>Funding Source 2027/28</v>
      </c>
      <c r="BP91" s="2687"/>
      <c r="BQ91" s="2687"/>
      <c r="BR91" s="2690"/>
      <c r="BS91" s="1051"/>
      <c r="BT91" s="833"/>
      <c r="BU91" s="833"/>
      <c r="BV91" s="833"/>
      <c r="BW91" s="833"/>
      <c r="BX91" s="833"/>
      <c r="BY91" s="833"/>
      <c r="BZ91" s="833"/>
      <c r="CA91" s="833"/>
      <c r="CB91" s="833"/>
      <c r="CC91" s="833"/>
      <c r="CD91" s="833"/>
      <c r="CE91" s="833"/>
      <c r="CF91" s="833"/>
      <c r="CG91" s="833"/>
      <c r="CH91" s="46"/>
      <c r="CI91" s="46"/>
      <c r="CJ91" s="46"/>
      <c r="CK91" s="46"/>
      <c r="CL91" s="46"/>
      <c r="CM91" s="46"/>
      <c r="CN91" s="46"/>
      <c r="CO91" s="46"/>
      <c r="CP91" s="46"/>
      <c r="CQ91" s="46"/>
      <c r="CR91" s="46"/>
      <c r="CS91" s="46"/>
      <c r="CT91" s="46"/>
    </row>
    <row r="92" spans="1:110" s="246" customFormat="1" ht="15" customHeight="1" thickBot="1" x14ac:dyDescent="0.25">
      <c r="A92" s="682"/>
      <c r="B92" s="924"/>
      <c r="C92" s="924"/>
      <c r="D92" s="924"/>
      <c r="E92" s="683"/>
      <c r="F92" s="196" t="str">
        <f>F3</f>
        <v>2015/16</v>
      </c>
      <c r="G92" s="196" t="str">
        <f t="shared" ref="G92:Q92" si="555">G3</f>
        <v>2016/17</v>
      </c>
      <c r="H92" s="510" t="str">
        <f t="shared" si="555"/>
        <v>2017/18</v>
      </c>
      <c r="I92" s="684" t="str">
        <f t="shared" si="555"/>
        <v>2018/19</v>
      </c>
      <c r="J92" s="510" t="str">
        <f t="shared" si="555"/>
        <v>2019/20</v>
      </c>
      <c r="K92" s="510" t="str">
        <f t="shared" si="555"/>
        <v>2020/21</v>
      </c>
      <c r="L92" s="510" t="str">
        <f t="shared" si="555"/>
        <v>2021/22</v>
      </c>
      <c r="M92" s="510" t="str">
        <f t="shared" si="555"/>
        <v>2022/23</v>
      </c>
      <c r="N92" s="510" t="str">
        <f t="shared" si="555"/>
        <v>2023/24</v>
      </c>
      <c r="O92" s="510" t="str">
        <f t="shared" si="555"/>
        <v>2024/25</v>
      </c>
      <c r="P92" s="510" t="str">
        <f t="shared" si="555"/>
        <v>2025/26</v>
      </c>
      <c r="Q92" s="510" t="str">
        <f t="shared" si="555"/>
        <v>2026/27</v>
      </c>
      <c r="R92" s="1054" t="str">
        <f t="shared" ref="R92" si="556">R3</f>
        <v>2027/28</v>
      </c>
      <c r="S92" s="2143" t="str">
        <f>S3</f>
        <v>Grants</v>
      </c>
      <c r="T92" s="196" t="str">
        <f>T3</f>
        <v>Sect 64</v>
      </c>
      <c r="U92" s="196" t="str">
        <f>U3</f>
        <v>Loans</v>
      </c>
      <c r="V92" s="2144" t="str">
        <f>V3</f>
        <v>Reserves</v>
      </c>
      <c r="W92" s="1291" t="str">
        <f>W3</f>
        <v>Grants</v>
      </c>
      <c r="X92" s="196" t="str">
        <f>X3</f>
        <v>Sect 64</v>
      </c>
      <c r="Y92" s="196" t="str">
        <f>Y3</f>
        <v>Loans</v>
      </c>
      <c r="Z92" s="2144" t="str">
        <f>Z3</f>
        <v>Reserves</v>
      </c>
      <c r="AA92" s="1291" t="str">
        <f>AA3</f>
        <v>Grants</v>
      </c>
      <c r="AB92" s="196" t="str">
        <f>AB3</f>
        <v>Sect 64</v>
      </c>
      <c r="AC92" s="196" t="str">
        <f>AC3</f>
        <v>Loans</v>
      </c>
      <c r="AD92" s="2144" t="str">
        <f>AD3</f>
        <v>Reserves</v>
      </c>
      <c r="AE92" s="2143" t="str">
        <f>AE3</f>
        <v>Grants</v>
      </c>
      <c r="AF92" s="196" t="str">
        <f>AF3</f>
        <v>Sect 64</v>
      </c>
      <c r="AG92" s="196" t="str">
        <f>AG3</f>
        <v>Loans</v>
      </c>
      <c r="AH92" s="2144" t="str">
        <f>AH3</f>
        <v>Reserves</v>
      </c>
      <c r="AI92" s="1291" t="str">
        <f>AI3</f>
        <v>Grants</v>
      </c>
      <c r="AJ92" s="196" t="str">
        <f>AJ3</f>
        <v>Sect 64</v>
      </c>
      <c r="AK92" s="196" t="str">
        <f>AK3</f>
        <v>Loans</v>
      </c>
      <c r="AL92" s="2144" t="str">
        <f>AL3</f>
        <v>Reserves</v>
      </c>
      <c r="AM92" s="2143" t="str">
        <f>AM3</f>
        <v>Grants</v>
      </c>
      <c r="AN92" s="196" t="str">
        <f>AN3</f>
        <v>Sect 64</v>
      </c>
      <c r="AO92" s="196" t="str">
        <f>AO3</f>
        <v>Loans</v>
      </c>
      <c r="AP92" s="197" t="str">
        <f>AP3</f>
        <v>Reserves</v>
      </c>
      <c r="AQ92" s="1680" t="str">
        <f>AQ3</f>
        <v>Grants</v>
      </c>
      <c r="AR92" s="196" t="str">
        <f>AR3</f>
        <v>Sect 64</v>
      </c>
      <c r="AS92" s="196" t="str">
        <f>AS3</f>
        <v>Loans</v>
      </c>
      <c r="AT92" s="1681" t="str">
        <f>AT3</f>
        <v>Reserves</v>
      </c>
      <c r="AU92" s="1680" t="str">
        <f>AU3</f>
        <v>Grants</v>
      </c>
      <c r="AV92" s="196" t="str">
        <f>AV3</f>
        <v>Sect 64</v>
      </c>
      <c r="AW92" s="196" t="str">
        <f>AW3</f>
        <v>Loans</v>
      </c>
      <c r="AX92" s="1681" t="str">
        <f>AX3</f>
        <v>Reserves</v>
      </c>
      <c r="AY92" s="1291" t="str">
        <f>AY3</f>
        <v>Grants</v>
      </c>
      <c r="AZ92" s="196" t="str">
        <f>AZ3</f>
        <v>Sect 64</v>
      </c>
      <c r="BA92" s="196" t="str">
        <f>BA3</f>
        <v>Loans</v>
      </c>
      <c r="BB92" s="1681" t="str">
        <f>BB3</f>
        <v>Reserves</v>
      </c>
      <c r="BC92" s="1291" t="str">
        <f>BC3</f>
        <v>Grants</v>
      </c>
      <c r="BD92" s="196" t="str">
        <f>BD3</f>
        <v>Sect 64</v>
      </c>
      <c r="BE92" s="196" t="str">
        <f>BE3</f>
        <v>Loans</v>
      </c>
      <c r="BF92" s="1681" t="str">
        <f>BF3</f>
        <v>Reserves</v>
      </c>
      <c r="BG92" s="1291" t="str">
        <f>BG3</f>
        <v>Grants</v>
      </c>
      <c r="BH92" s="196" t="str">
        <f>BH3</f>
        <v>Sect 64</v>
      </c>
      <c r="BI92" s="196" t="str">
        <f>BI3</f>
        <v>Loans</v>
      </c>
      <c r="BJ92" s="1681" t="str">
        <f>BJ3</f>
        <v>Reserves</v>
      </c>
      <c r="BK92" s="1291" t="str">
        <f>BK3</f>
        <v>Grants</v>
      </c>
      <c r="BL92" s="196" t="str">
        <f>BL3</f>
        <v>Sect 64</v>
      </c>
      <c r="BM92" s="196" t="str">
        <f>BM3</f>
        <v>Loans</v>
      </c>
      <c r="BN92" s="197" t="str">
        <f>BN3</f>
        <v>Reserves</v>
      </c>
      <c r="BO92" s="1291" t="str">
        <f>BO3</f>
        <v>Grants</v>
      </c>
      <c r="BP92" s="196" t="str">
        <f>BP3</f>
        <v>Sect 64</v>
      </c>
      <c r="BQ92" s="196" t="str">
        <f>BQ3</f>
        <v>Loans</v>
      </c>
      <c r="BR92" s="197" t="str">
        <f>BR3</f>
        <v>Reserves</v>
      </c>
      <c r="BS92" s="194"/>
      <c r="BT92" s="833"/>
      <c r="BU92" s="833"/>
      <c r="BV92" s="833"/>
      <c r="BW92" s="833"/>
      <c r="BX92" s="833"/>
      <c r="BY92" s="833"/>
      <c r="BZ92" s="833"/>
      <c r="CA92" s="833"/>
      <c r="CB92" s="833"/>
      <c r="CC92" s="833"/>
      <c r="CD92" s="833"/>
      <c r="CE92" s="833"/>
      <c r="CF92" s="833"/>
      <c r="CG92" s="833"/>
      <c r="CH92" s="46"/>
      <c r="CI92" s="46"/>
      <c r="CJ92" s="46"/>
      <c r="CK92" s="46"/>
      <c r="CL92" s="46"/>
      <c r="CM92" s="46"/>
      <c r="CN92" s="46"/>
      <c r="CO92" s="46"/>
      <c r="CP92" s="46"/>
      <c r="CQ92" s="46"/>
      <c r="CR92" s="46"/>
      <c r="CS92" s="46"/>
      <c r="CT92" s="46"/>
    </row>
    <row r="93" spans="1:110" s="247" customFormat="1" ht="14.25" customHeight="1" x14ac:dyDescent="0.2">
      <c r="A93" s="674"/>
      <c r="B93" s="919"/>
      <c r="C93" s="919"/>
      <c r="D93" s="919"/>
      <c r="E93" s="611"/>
      <c r="F93" s="608"/>
      <c r="G93" s="608"/>
      <c r="H93" s="608"/>
      <c r="I93" s="608"/>
      <c r="J93" s="608"/>
      <c r="K93" s="608"/>
      <c r="L93" s="668"/>
      <c r="M93" s="608"/>
      <c r="N93" s="608"/>
      <c r="O93" s="608"/>
      <c r="P93" s="608"/>
      <c r="Q93" s="608"/>
      <c r="R93" s="609"/>
      <c r="S93" s="438"/>
      <c r="T93" s="434"/>
      <c r="U93" s="434"/>
      <c r="V93" s="437"/>
      <c r="W93" s="439"/>
      <c r="X93" s="434"/>
      <c r="Y93" s="434"/>
      <c r="Z93" s="437"/>
      <c r="AA93" s="439"/>
      <c r="AB93" s="434"/>
      <c r="AC93" s="434"/>
      <c r="AD93" s="437"/>
      <c r="AE93" s="438"/>
      <c r="AF93" s="434"/>
      <c r="AG93" s="434"/>
      <c r="AH93" s="435"/>
      <c r="AI93" s="439"/>
      <c r="AJ93" s="434"/>
      <c r="AK93" s="434"/>
      <c r="AL93" s="437"/>
      <c r="AM93" s="438"/>
      <c r="AN93" s="434"/>
      <c r="AO93" s="434"/>
      <c r="AP93" s="1128"/>
      <c r="AQ93" s="438"/>
      <c r="AR93" s="434"/>
      <c r="AS93" s="434"/>
      <c r="AT93" s="435"/>
      <c r="AU93" s="438"/>
      <c r="AV93" s="434"/>
      <c r="AW93" s="434"/>
      <c r="AX93" s="437"/>
      <c r="AY93" s="438"/>
      <c r="AZ93" s="434"/>
      <c r="BA93" s="434"/>
      <c r="BB93" s="437"/>
      <c r="BC93" s="438"/>
      <c r="BD93" s="434"/>
      <c r="BE93" s="434"/>
      <c r="BF93" s="437"/>
      <c r="BG93" s="438"/>
      <c r="BH93" s="434"/>
      <c r="BI93" s="434"/>
      <c r="BJ93" s="437"/>
      <c r="BK93" s="438"/>
      <c r="BL93" s="434"/>
      <c r="BM93" s="434"/>
      <c r="BN93" s="1131"/>
      <c r="BO93" s="438"/>
      <c r="BP93" s="434"/>
      <c r="BQ93" s="434"/>
      <c r="BR93" s="1131"/>
      <c r="BS93" s="438"/>
      <c r="BT93" s="833"/>
      <c r="BU93" s="833"/>
      <c r="BV93" s="833"/>
      <c r="BW93" s="833"/>
      <c r="BX93" s="833"/>
      <c r="BY93" s="833"/>
      <c r="BZ93" s="833"/>
      <c r="CA93" s="833"/>
      <c r="CB93" s="833"/>
      <c r="CC93" s="833"/>
      <c r="CD93" s="833"/>
      <c r="CE93" s="833"/>
      <c r="CF93" s="833"/>
      <c r="CG93" s="833"/>
      <c r="CH93" s="31"/>
      <c r="CI93" s="31"/>
      <c r="CJ93" s="31"/>
      <c r="CK93" s="31"/>
      <c r="CL93" s="31"/>
      <c r="CM93" s="31"/>
      <c r="CN93" s="31"/>
      <c r="CO93" s="31"/>
      <c r="CP93" s="31"/>
      <c r="CQ93" s="31"/>
      <c r="CR93" s="31"/>
      <c r="CS93" s="31"/>
      <c r="CT93" s="31"/>
    </row>
    <row r="94" spans="1:110" s="247" customFormat="1" ht="14.25" customHeight="1" x14ac:dyDescent="0.2">
      <c r="A94" s="811" t="s">
        <v>3290</v>
      </c>
      <c r="B94" s="919"/>
      <c r="C94" s="919"/>
      <c r="D94" s="919"/>
      <c r="E94" s="611"/>
      <c r="F94" s="608"/>
      <c r="G94" s="608"/>
      <c r="H94" s="608"/>
      <c r="I94" s="668"/>
      <c r="J94" s="608"/>
      <c r="K94" s="608"/>
      <c r="L94" s="608"/>
      <c r="M94" s="608"/>
      <c r="N94" s="608"/>
      <c r="O94" s="608"/>
      <c r="P94" s="608"/>
      <c r="Q94" s="608"/>
      <c r="R94" s="609"/>
      <c r="S94" s="438"/>
      <c r="T94" s="434"/>
      <c r="U94" s="434"/>
      <c r="V94" s="437"/>
      <c r="W94" s="439"/>
      <c r="X94" s="434"/>
      <c r="Y94" s="434"/>
      <c r="Z94" s="437"/>
      <c r="AA94" s="439"/>
      <c r="AB94" s="434"/>
      <c r="AC94" s="434"/>
      <c r="AD94" s="437"/>
      <c r="AE94" s="438"/>
      <c r="AF94" s="434"/>
      <c r="AG94" s="434"/>
      <c r="AH94" s="435"/>
      <c r="AI94" s="439"/>
      <c r="AJ94" s="434"/>
      <c r="AK94" s="434"/>
      <c r="AL94" s="437"/>
      <c r="AM94" s="438"/>
      <c r="AN94" s="434"/>
      <c r="AO94" s="434"/>
      <c r="AP94" s="1128"/>
      <c r="AQ94" s="438"/>
      <c r="AR94" s="434"/>
      <c r="AS94" s="434"/>
      <c r="AT94" s="435"/>
      <c r="AU94" s="438"/>
      <c r="AV94" s="434"/>
      <c r="AW94" s="434"/>
      <c r="AX94" s="437"/>
      <c r="AY94" s="438"/>
      <c r="AZ94" s="434"/>
      <c r="BA94" s="434"/>
      <c r="BB94" s="437"/>
      <c r="BC94" s="438"/>
      <c r="BD94" s="434"/>
      <c r="BE94" s="434"/>
      <c r="BF94" s="437"/>
      <c r="BG94" s="438"/>
      <c r="BH94" s="434"/>
      <c r="BI94" s="434"/>
      <c r="BJ94" s="437"/>
      <c r="BK94" s="438"/>
      <c r="BL94" s="434"/>
      <c r="BM94" s="434"/>
      <c r="BN94" s="1131"/>
      <c r="BO94" s="438"/>
      <c r="BP94" s="434"/>
      <c r="BQ94" s="434"/>
      <c r="BR94" s="1131"/>
      <c r="BS94" s="438"/>
      <c r="BT94" s="833"/>
      <c r="BU94" s="833"/>
      <c r="BV94" s="833"/>
      <c r="BW94" s="833"/>
      <c r="BX94" s="833"/>
      <c r="BY94" s="833"/>
      <c r="BZ94" s="833"/>
      <c r="CA94" s="833"/>
      <c r="CB94" s="833"/>
      <c r="CC94" s="833"/>
      <c r="CD94" s="833"/>
      <c r="CE94" s="833"/>
      <c r="CF94" s="833"/>
      <c r="CG94" s="833"/>
      <c r="CH94" s="31"/>
      <c r="CI94" s="31"/>
      <c r="CJ94" s="31"/>
      <c r="CK94" s="31"/>
      <c r="CL94" s="31"/>
      <c r="CM94" s="31"/>
      <c r="CN94" s="31"/>
      <c r="CO94" s="31"/>
      <c r="CP94" s="31"/>
      <c r="CQ94" s="31"/>
      <c r="CR94" s="31"/>
      <c r="CS94" s="31"/>
      <c r="CT94" s="31"/>
    </row>
    <row r="95" spans="1:110" s="247" customFormat="1" ht="14.25" customHeight="1" x14ac:dyDescent="0.2">
      <c r="A95" s="673" t="s">
        <v>4872</v>
      </c>
      <c r="B95" s="920" t="s">
        <v>4984</v>
      </c>
      <c r="C95" s="920" t="s">
        <v>4056</v>
      </c>
      <c r="D95" s="920" t="s">
        <v>4056</v>
      </c>
      <c r="E95" s="611">
        <v>1</v>
      </c>
      <c r="F95" s="608"/>
      <c r="G95" s="608">
        <v>93300</v>
      </c>
      <c r="H95" s="608">
        <v>200000</v>
      </c>
      <c r="I95" s="608">
        <v>461000</v>
      </c>
      <c r="J95" s="608">
        <v>475000</v>
      </c>
      <c r="K95" s="608">
        <v>489000</v>
      </c>
      <c r="L95" s="608">
        <v>504000</v>
      </c>
      <c r="M95" s="608">
        <v>519000</v>
      </c>
      <c r="N95" s="608">
        <v>535000</v>
      </c>
      <c r="O95" s="608">
        <v>551000</v>
      </c>
      <c r="P95" s="608">
        <v>565000</v>
      </c>
      <c r="Q95" s="608">
        <v>580000</v>
      </c>
      <c r="R95" s="609">
        <v>580000</v>
      </c>
      <c r="S95" s="438"/>
      <c r="T95" s="434"/>
      <c r="U95" s="434"/>
      <c r="V95" s="437">
        <f t="shared" ref="V95:V97" si="557">$F95-S95-T95-U95</f>
        <v>0</v>
      </c>
      <c r="W95" s="439"/>
      <c r="X95" s="434"/>
      <c r="Y95" s="434"/>
      <c r="Z95" s="437">
        <f t="shared" ref="Z95:Z140" si="558">$G95-W95-X95-Y95</f>
        <v>93300</v>
      </c>
      <c r="AA95" s="439"/>
      <c r="AB95" s="434"/>
      <c r="AC95" s="434"/>
      <c r="AD95" s="437">
        <f t="shared" ref="AD95" si="559">$H95-AA95-AB95-AC95</f>
        <v>200000</v>
      </c>
      <c r="AE95" s="438"/>
      <c r="AF95" s="434"/>
      <c r="AG95" s="434"/>
      <c r="AH95" s="435">
        <f t="shared" ref="AH95" si="560">$I95-AE95-AF95-AG95</f>
        <v>461000</v>
      </c>
      <c r="AI95" s="439"/>
      <c r="AJ95" s="434"/>
      <c r="AK95" s="434"/>
      <c r="AL95" s="437">
        <f t="shared" ref="AL95" si="561">$J95-AI95-AJ95-AK95</f>
        <v>475000</v>
      </c>
      <c r="AM95" s="438"/>
      <c r="AN95" s="434"/>
      <c r="AO95" s="434"/>
      <c r="AP95" s="1128">
        <f t="shared" ref="AP95" si="562">$K95-AM95-AN95-AO95</f>
        <v>489000</v>
      </c>
      <c r="AQ95" s="438"/>
      <c r="AR95" s="434"/>
      <c r="AS95" s="434"/>
      <c r="AT95" s="435">
        <f t="shared" ref="AT95" si="563">$L95-AQ95-AR95-AS95</f>
        <v>504000</v>
      </c>
      <c r="AU95" s="438"/>
      <c r="AV95" s="434"/>
      <c r="AW95" s="434"/>
      <c r="AX95" s="437">
        <f t="shared" ref="AX95" si="564">$M95-AU95-AV95-AW95</f>
        <v>519000</v>
      </c>
      <c r="AY95" s="438"/>
      <c r="AZ95" s="434"/>
      <c r="BA95" s="434"/>
      <c r="BB95" s="437">
        <f t="shared" ref="BB95" si="565">$N95-AY95-AZ95-BA95</f>
        <v>535000</v>
      </c>
      <c r="BC95" s="438"/>
      <c r="BD95" s="434"/>
      <c r="BE95" s="434"/>
      <c r="BF95" s="437">
        <f t="shared" ref="BF95" si="566">$O95-BC95-BD95-BE95</f>
        <v>551000</v>
      </c>
      <c r="BG95" s="438"/>
      <c r="BH95" s="434"/>
      <c r="BI95" s="434"/>
      <c r="BJ95" s="1131">
        <f t="shared" ref="BJ95" si="567">$P95-BG95-BH95-BI95</f>
        <v>565000</v>
      </c>
      <c r="BK95" s="438"/>
      <c r="BL95" s="434"/>
      <c r="BM95" s="434"/>
      <c r="BN95" s="1131">
        <f t="shared" ref="BN95:BN139" si="568">$Q95-BK95-BL95-BM95</f>
        <v>580000</v>
      </c>
      <c r="BO95" s="438"/>
      <c r="BP95" s="434"/>
      <c r="BQ95" s="434"/>
      <c r="BR95" s="1131">
        <f t="shared" ref="BR95:BR97" si="569">$R95-BO95-BP95-BQ95</f>
        <v>580000</v>
      </c>
      <c r="BS95" s="438"/>
      <c r="BT95" s="833">
        <v>1</v>
      </c>
      <c r="BU95" s="833">
        <f t="shared" ref="BU95:BU97" si="570">BT95</f>
        <v>1</v>
      </c>
      <c r="BV95" s="833">
        <f t="shared" ref="BV95:BV97" si="571">BU95</f>
        <v>1</v>
      </c>
      <c r="BW95" s="833">
        <f t="shared" ref="BW95:BW97" si="572">BV95</f>
        <v>1</v>
      </c>
      <c r="BX95" s="833">
        <f t="shared" ref="BX95:BX97" si="573">BW95</f>
        <v>1</v>
      </c>
      <c r="BY95" s="833">
        <f t="shared" ref="BY95:BY97" si="574">BX95</f>
        <v>1</v>
      </c>
      <c r="BZ95" s="833">
        <f t="shared" ref="BZ95:BZ97" si="575">BY95</f>
        <v>1</v>
      </c>
      <c r="CA95" s="833">
        <f t="shared" ref="CA95:CA97" si="576">BZ95</f>
        <v>1</v>
      </c>
      <c r="CB95" s="833">
        <f t="shared" ref="CB95:CB97" si="577">CA95</f>
        <v>1</v>
      </c>
      <c r="CC95" s="833">
        <f t="shared" ref="CC95:CC97" si="578">CB95</f>
        <v>1</v>
      </c>
      <c r="CD95" s="833">
        <f t="shared" ref="CD95:CF97" si="579">CC95</f>
        <v>1</v>
      </c>
      <c r="CE95" s="833">
        <f t="shared" si="579"/>
        <v>1</v>
      </c>
      <c r="CF95" s="833">
        <f t="shared" si="579"/>
        <v>1</v>
      </c>
      <c r="CG95" s="833"/>
      <c r="CH95" s="46">
        <f t="shared" ref="CH95:CT97" si="580">ROUND(BT95*F95,-3)</f>
        <v>0</v>
      </c>
      <c r="CI95" s="46">
        <f t="shared" si="580"/>
        <v>93000</v>
      </c>
      <c r="CJ95" s="46">
        <f t="shared" si="580"/>
        <v>200000</v>
      </c>
      <c r="CK95" s="46">
        <f t="shared" si="580"/>
        <v>461000</v>
      </c>
      <c r="CL95" s="46">
        <f t="shared" si="580"/>
        <v>475000</v>
      </c>
      <c r="CM95" s="46">
        <f t="shared" si="580"/>
        <v>489000</v>
      </c>
      <c r="CN95" s="46">
        <f t="shared" si="580"/>
        <v>504000</v>
      </c>
      <c r="CO95" s="46">
        <f t="shared" si="580"/>
        <v>519000</v>
      </c>
      <c r="CP95" s="46">
        <f t="shared" si="580"/>
        <v>535000</v>
      </c>
      <c r="CQ95" s="46">
        <f t="shared" si="580"/>
        <v>551000</v>
      </c>
      <c r="CR95" s="46">
        <f t="shared" si="580"/>
        <v>565000</v>
      </c>
      <c r="CS95" s="46">
        <f t="shared" si="580"/>
        <v>580000</v>
      </c>
      <c r="CT95" s="46">
        <f t="shared" si="580"/>
        <v>580000</v>
      </c>
    </row>
    <row r="96" spans="1:110" s="247" customFormat="1" ht="14.25" customHeight="1" x14ac:dyDescent="0.2">
      <c r="A96" s="673" t="s">
        <v>6826</v>
      </c>
      <c r="B96" s="920" t="s">
        <v>4984</v>
      </c>
      <c r="C96" s="920" t="s">
        <v>6430</v>
      </c>
      <c r="D96" s="920" t="s">
        <v>6430</v>
      </c>
      <c r="E96" s="611"/>
      <c r="F96" s="608"/>
      <c r="G96" s="608"/>
      <c r="H96" s="608"/>
      <c r="I96" s="608"/>
      <c r="J96" s="608"/>
      <c r="K96" s="608"/>
      <c r="L96" s="608"/>
      <c r="M96" s="608"/>
      <c r="N96" s="608"/>
      <c r="O96" s="608"/>
      <c r="P96" s="608"/>
      <c r="Q96" s="608"/>
      <c r="R96" s="609"/>
      <c r="S96" s="438"/>
      <c r="T96" s="434"/>
      <c r="U96" s="434"/>
      <c r="V96" s="437"/>
      <c r="W96" s="439"/>
      <c r="X96" s="434"/>
      <c r="Y96" s="434"/>
      <c r="Z96" s="437">
        <f t="shared" si="558"/>
        <v>0</v>
      </c>
      <c r="AA96" s="439"/>
      <c r="AB96" s="434"/>
      <c r="AC96" s="434"/>
      <c r="AD96" s="437">
        <f t="shared" ref="AD96:AD97" si="581">$H96-AA96-AB96-AC96</f>
        <v>0</v>
      </c>
      <c r="AE96" s="438"/>
      <c r="AF96" s="434"/>
      <c r="AG96" s="434"/>
      <c r="AH96" s="435">
        <f t="shared" ref="AH96:AH97" si="582">$I96-AE96-AF96-AG96</f>
        <v>0</v>
      </c>
      <c r="AI96" s="439"/>
      <c r="AJ96" s="434"/>
      <c r="AK96" s="434"/>
      <c r="AL96" s="437">
        <f t="shared" ref="AL96:AL97" si="583">$J96-AI96-AJ96-AK96</f>
        <v>0</v>
      </c>
      <c r="AM96" s="438"/>
      <c r="AN96" s="434"/>
      <c r="AO96" s="434"/>
      <c r="AP96" s="1128">
        <f t="shared" ref="AP96:AP97" si="584">$K96-AM96-AN96-AO96</f>
        <v>0</v>
      </c>
      <c r="AQ96" s="438"/>
      <c r="AR96" s="434"/>
      <c r="AS96" s="434"/>
      <c r="AT96" s="435">
        <f t="shared" ref="AT96:AT97" si="585">$L96-AQ96-AR96-AS96</f>
        <v>0</v>
      </c>
      <c r="AU96" s="438"/>
      <c r="AV96" s="434"/>
      <c r="AW96" s="434"/>
      <c r="AX96" s="437">
        <f t="shared" ref="AX96:AX97" si="586">$M96-AU96-AV96-AW96</f>
        <v>0</v>
      </c>
      <c r="AY96" s="438"/>
      <c r="AZ96" s="434"/>
      <c r="BA96" s="434"/>
      <c r="BB96" s="437">
        <f t="shared" ref="BB96:BB97" si="587">$N96-AY96-AZ96-BA96</f>
        <v>0</v>
      </c>
      <c r="BC96" s="438"/>
      <c r="BD96" s="434"/>
      <c r="BE96" s="434"/>
      <c r="BF96" s="437">
        <f t="shared" ref="BF96:BF97" si="588">$O96-BC96-BD96-BE96</f>
        <v>0</v>
      </c>
      <c r="BG96" s="438"/>
      <c r="BH96" s="434"/>
      <c r="BI96" s="434"/>
      <c r="BJ96" s="1131">
        <f t="shared" ref="BJ96:BJ97" si="589">$P96-BG96-BH96-BI96</f>
        <v>0</v>
      </c>
      <c r="BK96" s="438"/>
      <c r="BL96" s="434"/>
      <c r="BM96" s="434"/>
      <c r="BN96" s="1131">
        <f t="shared" ref="BN96:BN97" si="590">$Q96-BK96-BL96-BM96</f>
        <v>0</v>
      </c>
      <c r="BO96" s="438"/>
      <c r="BP96" s="434"/>
      <c r="BQ96" s="434"/>
      <c r="BR96" s="1131">
        <f t="shared" si="569"/>
        <v>0</v>
      </c>
      <c r="BS96" s="438"/>
      <c r="BT96" s="833">
        <v>1</v>
      </c>
      <c r="BU96" s="833">
        <f t="shared" si="570"/>
        <v>1</v>
      </c>
      <c r="BV96" s="833">
        <f t="shared" si="571"/>
        <v>1</v>
      </c>
      <c r="BW96" s="833">
        <f t="shared" si="572"/>
        <v>1</v>
      </c>
      <c r="BX96" s="833">
        <f t="shared" si="573"/>
        <v>1</v>
      </c>
      <c r="BY96" s="833">
        <f t="shared" si="574"/>
        <v>1</v>
      </c>
      <c r="BZ96" s="833">
        <f t="shared" si="575"/>
        <v>1</v>
      </c>
      <c r="CA96" s="833">
        <f t="shared" si="576"/>
        <v>1</v>
      </c>
      <c r="CB96" s="833">
        <f t="shared" si="577"/>
        <v>1</v>
      </c>
      <c r="CC96" s="833">
        <f t="shared" si="578"/>
        <v>1</v>
      </c>
      <c r="CD96" s="833">
        <f t="shared" si="579"/>
        <v>1</v>
      </c>
      <c r="CE96" s="833">
        <f t="shared" si="579"/>
        <v>1</v>
      </c>
      <c r="CF96" s="833">
        <f t="shared" si="579"/>
        <v>1</v>
      </c>
      <c r="CG96" s="833"/>
      <c r="CH96" s="46">
        <f t="shared" si="580"/>
        <v>0</v>
      </c>
      <c r="CI96" s="46">
        <f t="shared" si="580"/>
        <v>0</v>
      </c>
      <c r="CJ96" s="46">
        <f t="shared" si="580"/>
        <v>0</v>
      </c>
      <c r="CK96" s="46">
        <f t="shared" si="580"/>
        <v>0</v>
      </c>
      <c r="CL96" s="46">
        <f t="shared" si="580"/>
        <v>0</v>
      </c>
      <c r="CM96" s="46">
        <f t="shared" si="580"/>
        <v>0</v>
      </c>
      <c r="CN96" s="46">
        <f t="shared" si="580"/>
        <v>0</v>
      </c>
      <c r="CO96" s="46">
        <f t="shared" si="580"/>
        <v>0</v>
      </c>
      <c r="CP96" s="46">
        <f t="shared" si="580"/>
        <v>0</v>
      </c>
      <c r="CQ96" s="46">
        <f t="shared" si="580"/>
        <v>0</v>
      </c>
      <c r="CR96" s="46">
        <f t="shared" si="580"/>
        <v>0</v>
      </c>
      <c r="CS96" s="46">
        <f t="shared" si="580"/>
        <v>0</v>
      </c>
      <c r="CT96" s="46">
        <f t="shared" si="580"/>
        <v>0</v>
      </c>
    </row>
    <row r="97" spans="1:98" s="247" customFormat="1" ht="14.25" customHeight="1" x14ac:dyDescent="0.2">
      <c r="A97" s="673" t="s">
        <v>6378</v>
      </c>
      <c r="B97" s="920" t="s">
        <v>5787</v>
      </c>
      <c r="C97" s="920" t="s">
        <v>5786</v>
      </c>
      <c r="D97" s="920"/>
      <c r="E97" s="611"/>
      <c r="F97" s="608">
        <v>113500</v>
      </c>
      <c r="G97" s="608">
        <v>3600</v>
      </c>
      <c r="H97" s="608"/>
      <c r="I97" s="608"/>
      <c r="J97" s="608"/>
      <c r="K97" s="608"/>
      <c r="L97" s="608"/>
      <c r="M97" s="608"/>
      <c r="N97" s="608"/>
      <c r="O97" s="608"/>
      <c r="P97" s="608"/>
      <c r="Q97" s="608"/>
      <c r="R97" s="609"/>
      <c r="S97" s="438"/>
      <c r="T97" s="434"/>
      <c r="U97" s="434"/>
      <c r="V97" s="437">
        <f t="shared" si="557"/>
        <v>113500</v>
      </c>
      <c r="W97" s="439"/>
      <c r="X97" s="434"/>
      <c r="Y97" s="434"/>
      <c r="Z97" s="437">
        <f t="shared" si="558"/>
        <v>3600</v>
      </c>
      <c r="AA97" s="439"/>
      <c r="AB97" s="434"/>
      <c r="AC97" s="434"/>
      <c r="AD97" s="437">
        <f t="shared" si="581"/>
        <v>0</v>
      </c>
      <c r="AE97" s="438"/>
      <c r="AF97" s="434"/>
      <c r="AG97" s="434"/>
      <c r="AH97" s="435">
        <f t="shared" si="582"/>
        <v>0</v>
      </c>
      <c r="AI97" s="439"/>
      <c r="AJ97" s="434"/>
      <c r="AK97" s="434"/>
      <c r="AL97" s="437">
        <f t="shared" si="583"/>
        <v>0</v>
      </c>
      <c r="AM97" s="438"/>
      <c r="AN97" s="434"/>
      <c r="AO97" s="434"/>
      <c r="AP97" s="1128">
        <f t="shared" si="584"/>
        <v>0</v>
      </c>
      <c r="AQ97" s="438"/>
      <c r="AR97" s="434"/>
      <c r="AS97" s="434"/>
      <c r="AT97" s="435">
        <f t="shared" si="585"/>
        <v>0</v>
      </c>
      <c r="AU97" s="438"/>
      <c r="AV97" s="434"/>
      <c r="AW97" s="434"/>
      <c r="AX97" s="437">
        <f t="shared" si="586"/>
        <v>0</v>
      </c>
      <c r="AY97" s="438"/>
      <c r="AZ97" s="434"/>
      <c r="BA97" s="434"/>
      <c r="BB97" s="437">
        <f t="shared" si="587"/>
        <v>0</v>
      </c>
      <c r="BC97" s="438"/>
      <c r="BD97" s="434"/>
      <c r="BE97" s="434"/>
      <c r="BF97" s="437">
        <f t="shared" si="588"/>
        <v>0</v>
      </c>
      <c r="BG97" s="438"/>
      <c r="BH97" s="434"/>
      <c r="BI97" s="434"/>
      <c r="BJ97" s="1131">
        <f t="shared" si="589"/>
        <v>0</v>
      </c>
      <c r="BK97" s="438"/>
      <c r="BL97" s="434"/>
      <c r="BM97" s="434"/>
      <c r="BN97" s="1131">
        <f t="shared" si="590"/>
        <v>0</v>
      </c>
      <c r="BO97" s="438"/>
      <c r="BP97" s="434"/>
      <c r="BQ97" s="434"/>
      <c r="BR97" s="1131">
        <f t="shared" si="569"/>
        <v>0</v>
      </c>
      <c r="BS97" s="438"/>
      <c r="BT97" s="833">
        <v>1</v>
      </c>
      <c r="BU97" s="833">
        <f t="shared" si="570"/>
        <v>1</v>
      </c>
      <c r="BV97" s="833">
        <f t="shared" si="571"/>
        <v>1</v>
      </c>
      <c r="BW97" s="833">
        <f t="shared" si="572"/>
        <v>1</v>
      </c>
      <c r="BX97" s="833">
        <f t="shared" si="573"/>
        <v>1</v>
      </c>
      <c r="BY97" s="833">
        <f t="shared" si="574"/>
        <v>1</v>
      </c>
      <c r="BZ97" s="833">
        <f t="shared" si="575"/>
        <v>1</v>
      </c>
      <c r="CA97" s="833">
        <f t="shared" si="576"/>
        <v>1</v>
      </c>
      <c r="CB97" s="833">
        <f t="shared" si="577"/>
        <v>1</v>
      </c>
      <c r="CC97" s="833">
        <f t="shared" si="578"/>
        <v>1</v>
      </c>
      <c r="CD97" s="833">
        <f t="shared" si="579"/>
        <v>1</v>
      </c>
      <c r="CE97" s="833">
        <f t="shared" si="579"/>
        <v>1</v>
      </c>
      <c r="CF97" s="833">
        <f t="shared" si="579"/>
        <v>1</v>
      </c>
      <c r="CG97" s="833"/>
      <c r="CH97" s="46">
        <f t="shared" si="580"/>
        <v>114000</v>
      </c>
      <c r="CI97" s="46">
        <f t="shared" si="580"/>
        <v>4000</v>
      </c>
      <c r="CJ97" s="46">
        <f t="shared" si="580"/>
        <v>0</v>
      </c>
      <c r="CK97" s="46">
        <f t="shared" si="580"/>
        <v>0</v>
      </c>
      <c r="CL97" s="46">
        <f t="shared" si="580"/>
        <v>0</v>
      </c>
      <c r="CM97" s="46">
        <f t="shared" si="580"/>
        <v>0</v>
      </c>
      <c r="CN97" s="46">
        <f t="shared" si="580"/>
        <v>0</v>
      </c>
      <c r="CO97" s="46">
        <f t="shared" si="580"/>
        <v>0</v>
      </c>
      <c r="CP97" s="46">
        <f t="shared" si="580"/>
        <v>0</v>
      </c>
      <c r="CQ97" s="46">
        <f t="shared" si="580"/>
        <v>0</v>
      </c>
      <c r="CR97" s="46">
        <f t="shared" si="580"/>
        <v>0</v>
      </c>
      <c r="CS97" s="46">
        <f t="shared" si="580"/>
        <v>0</v>
      </c>
      <c r="CT97" s="46">
        <f t="shared" si="580"/>
        <v>0</v>
      </c>
    </row>
    <row r="98" spans="1:98" s="247" customFormat="1" ht="14.25" customHeight="1" x14ac:dyDescent="0.2">
      <c r="A98" s="674"/>
      <c r="B98" s="919"/>
      <c r="C98" s="919"/>
      <c r="D98" s="919"/>
      <c r="E98" s="611"/>
      <c r="F98" s="608"/>
      <c r="G98" s="608"/>
      <c r="H98" s="608"/>
      <c r="I98" s="608"/>
      <c r="J98" s="608"/>
      <c r="K98" s="608"/>
      <c r="L98" s="668"/>
      <c r="M98" s="608"/>
      <c r="N98" s="608"/>
      <c r="O98" s="608"/>
      <c r="P98" s="608"/>
      <c r="Q98" s="608"/>
      <c r="R98" s="609"/>
      <c r="S98" s="438"/>
      <c r="T98" s="434"/>
      <c r="U98" s="434"/>
      <c r="V98" s="437"/>
      <c r="W98" s="439"/>
      <c r="X98" s="434"/>
      <c r="Y98" s="434"/>
      <c r="Z98" s="437">
        <f t="shared" si="558"/>
        <v>0</v>
      </c>
      <c r="AA98" s="439"/>
      <c r="AB98" s="434"/>
      <c r="AC98" s="434"/>
      <c r="AD98" s="437"/>
      <c r="AE98" s="438"/>
      <c r="AF98" s="434"/>
      <c r="AG98" s="434"/>
      <c r="AH98" s="435"/>
      <c r="AI98" s="439"/>
      <c r="AJ98" s="434"/>
      <c r="AK98" s="434"/>
      <c r="AL98" s="437"/>
      <c r="AM98" s="438"/>
      <c r="AN98" s="434"/>
      <c r="AO98" s="434"/>
      <c r="AP98" s="1128"/>
      <c r="AQ98" s="438"/>
      <c r="AR98" s="434"/>
      <c r="AS98" s="434"/>
      <c r="AT98" s="435"/>
      <c r="AU98" s="438"/>
      <c r="AV98" s="434"/>
      <c r="AW98" s="434"/>
      <c r="AX98" s="437"/>
      <c r="AY98" s="438"/>
      <c r="AZ98" s="434"/>
      <c r="BA98" s="434"/>
      <c r="BB98" s="437"/>
      <c r="BC98" s="438"/>
      <c r="BD98" s="434"/>
      <c r="BE98" s="434"/>
      <c r="BF98" s="437"/>
      <c r="BG98" s="438"/>
      <c r="BH98" s="434"/>
      <c r="BI98" s="434"/>
      <c r="BJ98" s="437"/>
      <c r="BK98" s="438"/>
      <c r="BL98" s="434"/>
      <c r="BM98" s="434"/>
      <c r="BN98" s="1131"/>
      <c r="BO98" s="438"/>
      <c r="BP98" s="434"/>
      <c r="BQ98" s="434"/>
      <c r="BR98" s="1131"/>
      <c r="BS98" s="438"/>
      <c r="BT98" s="833"/>
      <c r="BU98" s="833"/>
      <c r="BV98" s="833"/>
      <c r="BW98" s="833"/>
      <c r="BX98" s="833"/>
      <c r="BY98" s="833"/>
      <c r="BZ98" s="833"/>
      <c r="CA98" s="833"/>
      <c r="CB98" s="833"/>
      <c r="CC98" s="833"/>
      <c r="CD98" s="833"/>
      <c r="CE98" s="833"/>
      <c r="CF98" s="833"/>
      <c r="CG98" s="833"/>
      <c r="CH98" s="31"/>
      <c r="CI98" s="31"/>
      <c r="CJ98" s="31"/>
      <c r="CK98" s="31"/>
      <c r="CL98" s="31"/>
      <c r="CM98" s="31"/>
      <c r="CN98" s="31"/>
      <c r="CO98" s="31"/>
      <c r="CP98" s="31"/>
      <c r="CQ98" s="31"/>
      <c r="CR98" s="31"/>
      <c r="CS98" s="31"/>
      <c r="CT98" s="31"/>
    </row>
    <row r="99" spans="1:98" s="247" customFormat="1" ht="14.25" customHeight="1" x14ac:dyDescent="0.2">
      <c r="A99" s="811" t="s">
        <v>4873</v>
      </c>
      <c r="B99" s="919"/>
      <c r="C99" s="919"/>
      <c r="D99" s="919"/>
      <c r="E99" s="611"/>
      <c r="F99" s="608"/>
      <c r="G99" s="608"/>
      <c r="H99" s="608"/>
      <c r="I99" s="668"/>
      <c r="J99" s="608"/>
      <c r="K99" s="608"/>
      <c r="L99" s="608"/>
      <c r="M99" s="608"/>
      <c r="N99" s="608"/>
      <c r="O99" s="608"/>
      <c r="P99" s="608"/>
      <c r="Q99" s="608"/>
      <c r="R99" s="609"/>
      <c r="S99" s="438"/>
      <c r="T99" s="434"/>
      <c r="U99" s="434"/>
      <c r="V99" s="437"/>
      <c r="W99" s="439"/>
      <c r="X99" s="434"/>
      <c r="Y99" s="434"/>
      <c r="Z99" s="437">
        <f t="shared" si="558"/>
        <v>0</v>
      </c>
      <c r="AA99" s="439"/>
      <c r="AB99" s="434"/>
      <c r="AC99" s="434"/>
      <c r="AD99" s="437"/>
      <c r="AE99" s="438"/>
      <c r="AF99" s="434"/>
      <c r="AG99" s="434"/>
      <c r="AH99" s="435"/>
      <c r="AI99" s="439"/>
      <c r="AJ99" s="434"/>
      <c r="AK99" s="434"/>
      <c r="AL99" s="437"/>
      <c r="AM99" s="438"/>
      <c r="AN99" s="434"/>
      <c r="AO99" s="434"/>
      <c r="AP99" s="1128"/>
      <c r="AQ99" s="438"/>
      <c r="AR99" s="434"/>
      <c r="AS99" s="434"/>
      <c r="AT99" s="435"/>
      <c r="AU99" s="438"/>
      <c r="AV99" s="434"/>
      <c r="AW99" s="434"/>
      <c r="AX99" s="437"/>
      <c r="AY99" s="438"/>
      <c r="AZ99" s="434"/>
      <c r="BA99" s="434"/>
      <c r="BB99" s="437"/>
      <c r="BC99" s="438"/>
      <c r="BD99" s="434"/>
      <c r="BE99" s="434"/>
      <c r="BF99" s="437"/>
      <c r="BG99" s="438"/>
      <c r="BH99" s="434"/>
      <c r="BI99" s="434"/>
      <c r="BJ99" s="437"/>
      <c r="BK99" s="438"/>
      <c r="BL99" s="434"/>
      <c r="BM99" s="434"/>
      <c r="BN99" s="1131"/>
      <c r="BO99" s="438"/>
      <c r="BP99" s="434"/>
      <c r="BQ99" s="434"/>
      <c r="BR99" s="1131"/>
      <c r="BS99" s="438"/>
      <c r="BT99" s="833"/>
      <c r="BU99" s="833"/>
      <c r="BV99" s="833"/>
      <c r="BW99" s="833"/>
      <c r="BX99" s="833"/>
      <c r="BY99" s="833"/>
      <c r="BZ99" s="833"/>
      <c r="CA99" s="833"/>
      <c r="CB99" s="833"/>
      <c r="CC99" s="833"/>
      <c r="CD99" s="833"/>
      <c r="CE99" s="833"/>
      <c r="CF99" s="833"/>
      <c r="CG99" s="833"/>
      <c r="CH99" s="31"/>
      <c r="CI99" s="31"/>
      <c r="CJ99" s="31"/>
      <c r="CK99" s="31"/>
      <c r="CL99" s="31"/>
      <c r="CM99" s="31"/>
      <c r="CN99" s="31"/>
      <c r="CO99" s="31"/>
      <c r="CP99" s="31"/>
      <c r="CQ99" s="31"/>
      <c r="CR99" s="31"/>
      <c r="CS99" s="31"/>
      <c r="CT99" s="31"/>
    </row>
    <row r="100" spans="1:98" s="247" customFormat="1" ht="14.25" customHeight="1" x14ac:dyDescent="0.2">
      <c r="A100" s="673" t="s">
        <v>4874</v>
      </c>
      <c r="B100" s="920" t="s">
        <v>4985</v>
      </c>
      <c r="C100" s="920" t="s">
        <v>4986</v>
      </c>
      <c r="D100" s="920" t="s">
        <v>4986</v>
      </c>
      <c r="E100" s="611"/>
      <c r="F100" s="1200">
        <v>14300</v>
      </c>
      <c r="G100" s="1200"/>
      <c r="H100" s="1200"/>
      <c r="I100" s="1200"/>
      <c r="J100" s="1200"/>
      <c r="K100" s="608"/>
      <c r="L100" s="608"/>
      <c r="M100" s="608"/>
      <c r="N100" s="608"/>
      <c r="O100" s="608"/>
      <c r="P100" s="608"/>
      <c r="Q100" s="608"/>
      <c r="R100" s="609"/>
      <c r="S100" s="438"/>
      <c r="T100" s="434"/>
      <c r="U100" s="434"/>
      <c r="V100" s="437">
        <f>$F100-S100-T100-U100</f>
        <v>14300</v>
      </c>
      <c r="W100" s="439"/>
      <c r="X100" s="434"/>
      <c r="Y100" s="434"/>
      <c r="Z100" s="437">
        <f t="shared" si="558"/>
        <v>0</v>
      </c>
      <c r="AA100" s="439"/>
      <c r="AB100" s="434"/>
      <c r="AC100" s="434"/>
      <c r="AD100" s="437">
        <f>$H100-AA100-AB100-AC100</f>
        <v>0</v>
      </c>
      <c r="AE100" s="438"/>
      <c r="AF100" s="434"/>
      <c r="AG100" s="434"/>
      <c r="AH100" s="435">
        <f>$I100-AE100-AF100-AG100</f>
        <v>0</v>
      </c>
      <c r="AI100" s="439"/>
      <c r="AJ100" s="434"/>
      <c r="AK100" s="434"/>
      <c r="AL100" s="437">
        <f>$J100-AI100-AJ100-AK100</f>
        <v>0</v>
      </c>
      <c r="AM100" s="438"/>
      <c r="AN100" s="434"/>
      <c r="AO100" s="434"/>
      <c r="AP100" s="1128">
        <f>$K100-AM100-AN100-AO100</f>
        <v>0</v>
      </c>
      <c r="AQ100" s="438"/>
      <c r="AR100" s="434"/>
      <c r="AS100" s="434"/>
      <c r="AT100" s="435">
        <f>$L100-AQ100-AR100-AS100</f>
        <v>0</v>
      </c>
      <c r="AU100" s="438"/>
      <c r="AV100" s="434"/>
      <c r="AW100" s="434"/>
      <c r="AX100" s="437">
        <f>$M100-AU100-AV100-AW100</f>
        <v>0</v>
      </c>
      <c r="AY100" s="438"/>
      <c r="AZ100" s="434"/>
      <c r="BA100" s="434"/>
      <c r="BB100" s="437">
        <f>$N100-AY100-AZ100-BA100</f>
        <v>0</v>
      </c>
      <c r="BC100" s="438"/>
      <c r="BD100" s="434"/>
      <c r="BE100" s="434"/>
      <c r="BF100" s="437">
        <f t="shared" ref="BF100:BF101" si="591">$O100-BC100-BD100-BE100</f>
        <v>0</v>
      </c>
      <c r="BG100" s="438"/>
      <c r="BH100" s="434"/>
      <c r="BI100" s="434"/>
      <c r="BJ100" s="1131">
        <f t="shared" ref="BJ100:BJ101" si="592">$P100-BG100-BH100-BI100</f>
        <v>0</v>
      </c>
      <c r="BK100" s="438"/>
      <c r="BL100" s="434"/>
      <c r="BM100" s="434"/>
      <c r="BN100" s="1131">
        <f t="shared" si="568"/>
        <v>0</v>
      </c>
      <c r="BO100" s="438"/>
      <c r="BP100" s="434"/>
      <c r="BQ100" s="434"/>
      <c r="BR100" s="1131">
        <f t="shared" ref="BR100:BR101" si="593">$R100-BO100-BP100-BQ100</f>
        <v>0</v>
      </c>
      <c r="BS100" s="438"/>
      <c r="BT100" s="833">
        <v>0</v>
      </c>
      <c r="BU100" s="833">
        <f t="shared" ref="BU100:BU101" si="594">BT100</f>
        <v>0</v>
      </c>
      <c r="BV100" s="833">
        <f t="shared" ref="BV100:BV101" si="595">BU100</f>
        <v>0</v>
      </c>
      <c r="BW100" s="833">
        <f t="shared" ref="BW100:BW101" si="596">BV100</f>
        <v>0</v>
      </c>
      <c r="BX100" s="833">
        <f t="shared" ref="BX100:BX101" si="597">BW100</f>
        <v>0</v>
      </c>
      <c r="BY100" s="833">
        <f t="shared" ref="BY100:BY101" si="598">BX100</f>
        <v>0</v>
      </c>
      <c r="BZ100" s="833">
        <f t="shared" ref="BZ100:BZ101" si="599">BY100</f>
        <v>0</v>
      </c>
      <c r="CA100" s="833">
        <f t="shared" ref="CA100:CA101" si="600">BZ100</f>
        <v>0</v>
      </c>
      <c r="CB100" s="833">
        <f t="shared" ref="CB100:CB101" si="601">CA100</f>
        <v>0</v>
      </c>
      <c r="CC100" s="833">
        <f t="shared" ref="CC100:CF101" si="602">CB100</f>
        <v>0</v>
      </c>
      <c r="CD100" s="833">
        <f t="shared" si="602"/>
        <v>0</v>
      </c>
      <c r="CE100" s="833">
        <f t="shared" si="602"/>
        <v>0</v>
      </c>
      <c r="CF100" s="833">
        <f t="shared" si="602"/>
        <v>0</v>
      </c>
      <c r="CG100" s="833"/>
      <c r="CH100" s="46">
        <f t="shared" ref="CH100:CT101" si="603">ROUND(BT100*F100,-3)</f>
        <v>0</v>
      </c>
      <c r="CI100" s="46">
        <f t="shared" si="603"/>
        <v>0</v>
      </c>
      <c r="CJ100" s="46">
        <f t="shared" si="603"/>
        <v>0</v>
      </c>
      <c r="CK100" s="46">
        <f t="shared" si="603"/>
        <v>0</v>
      </c>
      <c r="CL100" s="46">
        <f t="shared" si="603"/>
        <v>0</v>
      </c>
      <c r="CM100" s="46">
        <f t="shared" si="603"/>
        <v>0</v>
      </c>
      <c r="CN100" s="46">
        <f t="shared" si="603"/>
        <v>0</v>
      </c>
      <c r="CO100" s="46">
        <f t="shared" si="603"/>
        <v>0</v>
      </c>
      <c r="CP100" s="46">
        <f t="shared" si="603"/>
        <v>0</v>
      </c>
      <c r="CQ100" s="46">
        <f t="shared" si="603"/>
        <v>0</v>
      </c>
      <c r="CR100" s="46">
        <f t="shared" si="603"/>
        <v>0</v>
      </c>
      <c r="CS100" s="46">
        <f t="shared" si="603"/>
        <v>0</v>
      </c>
      <c r="CT100" s="46">
        <f t="shared" si="603"/>
        <v>0</v>
      </c>
    </row>
    <row r="101" spans="1:98" s="247" customFormat="1" ht="14.25" customHeight="1" x14ac:dyDescent="0.2">
      <c r="A101" s="673" t="s">
        <v>4875</v>
      </c>
      <c r="B101" s="920" t="s">
        <v>4987</v>
      </c>
      <c r="C101" s="920" t="s">
        <v>4988</v>
      </c>
      <c r="D101" s="920" t="s">
        <v>4988</v>
      </c>
      <c r="E101" s="611"/>
      <c r="F101" s="1200">
        <v>4400</v>
      </c>
      <c r="G101" s="1200">
        <v>9000</v>
      </c>
      <c r="H101" s="1200">
        <v>43000</v>
      </c>
      <c r="I101" s="1200"/>
      <c r="J101" s="1200"/>
      <c r="K101" s="608"/>
      <c r="L101" s="608"/>
      <c r="M101" s="608"/>
      <c r="N101" s="608"/>
      <c r="O101" s="608"/>
      <c r="P101" s="608"/>
      <c r="Q101" s="608"/>
      <c r="R101" s="609"/>
      <c r="S101" s="438"/>
      <c r="T101" s="434"/>
      <c r="U101" s="434"/>
      <c r="V101" s="437">
        <f>$F101-S101-T101-U101</f>
        <v>4400</v>
      </c>
      <c r="W101" s="439"/>
      <c r="X101" s="434"/>
      <c r="Y101" s="434"/>
      <c r="Z101" s="437">
        <f t="shared" si="558"/>
        <v>9000</v>
      </c>
      <c r="AA101" s="439"/>
      <c r="AB101" s="434"/>
      <c r="AC101" s="434"/>
      <c r="AD101" s="437">
        <f>$H101-AA101-AB101-AC101</f>
        <v>43000</v>
      </c>
      <c r="AE101" s="438"/>
      <c r="AF101" s="434"/>
      <c r="AG101" s="434"/>
      <c r="AH101" s="435">
        <f>$I101-AE101-AF101-AG101</f>
        <v>0</v>
      </c>
      <c r="AI101" s="439"/>
      <c r="AJ101" s="434"/>
      <c r="AK101" s="434"/>
      <c r="AL101" s="437">
        <f>$J101-AI101-AJ101-AK101</f>
        <v>0</v>
      </c>
      <c r="AM101" s="438"/>
      <c r="AN101" s="434"/>
      <c r="AO101" s="434"/>
      <c r="AP101" s="1128">
        <f>$K101-AM101-AN101-AO101</f>
        <v>0</v>
      </c>
      <c r="AQ101" s="438"/>
      <c r="AR101" s="434"/>
      <c r="AS101" s="434"/>
      <c r="AT101" s="435">
        <f>$L101-AQ101-AR101-AS101</f>
        <v>0</v>
      </c>
      <c r="AU101" s="438"/>
      <c r="AV101" s="434"/>
      <c r="AW101" s="434"/>
      <c r="AX101" s="437">
        <f>$M101-AU101-AV101-AW101</f>
        <v>0</v>
      </c>
      <c r="AY101" s="438"/>
      <c r="AZ101" s="434"/>
      <c r="BA101" s="434"/>
      <c r="BB101" s="437">
        <f>$N101-AY101-AZ101-BA101</f>
        <v>0</v>
      </c>
      <c r="BC101" s="438"/>
      <c r="BD101" s="434"/>
      <c r="BE101" s="434"/>
      <c r="BF101" s="437">
        <f t="shared" si="591"/>
        <v>0</v>
      </c>
      <c r="BG101" s="438"/>
      <c r="BH101" s="434"/>
      <c r="BI101" s="434"/>
      <c r="BJ101" s="1131">
        <f t="shared" si="592"/>
        <v>0</v>
      </c>
      <c r="BK101" s="438"/>
      <c r="BL101" s="434"/>
      <c r="BM101" s="434"/>
      <c r="BN101" s="1131">
        <f t="shared" si="568"/>
        <v>0</v>
      </c>
      <c r="BO101" s="438"/>
      <c r="BP101" s="434"/>
      <c r="BQ101" s="434"/>
      <c r="BR101" s="1131">
        <f t="shared" si="593"/>
        <v>0</v>
      </c>
      <c r="BS101" s="438"/>
      <c r="BT101" s="833">
        <v>0</v>
      </c>
      <c r="BU101" s="833">
        <f t="shared" si="594"/>
        <v>0</v>
      </c>
      <c r="BV101" s="833">
        <f t="shared" si="595"/>
        <v>0</v>
      </c>
      <c r="BW101" s="833">
        <f t="shared" si="596"/>
        <v>0</v>
      </c>
      <c r="BX101" s="833">
        <f t="shared" si="597"/>
        <v>0</v>
      </c>
      <c r="BY101" s="833">
        <f t="shared" si="598"/>
        <v>0</v>
      </c>
      <c r="BZ101" s="833">
        <f t="shared" si="599"/>
        <v>0</v>
      </c>
      <c r="CA101" s="833">
        <f t="shared" si="600"/>
        <v>0</v>
      </c>
      <c r="CB101" s="833">
        <f t="shared" si="601"/>
        <v>0</v>
      </c>
      <c r="CC101" s="833">
        <f t="shared" si="602"/>
        <v>0</v>
      </c>
      <c r="CD101" s="833">
        <f t="shared" si="602"/>
        <v>0</v>
      </c>
      <c r="CE101" s="833">
        <f t="shared" si="602"/>
        <v>0</v>
      </c>
      <c r="CF101" s="833">
        <f t="shared" si="602"/>
        <v>0</v>
      </c>
      <c r="CG101" s="833"/>
      <c r="CH101" s="46">
        <f t="shared" si="603"/>
        <v>0</v>
      </c>
      <c r="CI101" s="46">
        <f t="shared" si="603"/>
        <v>0</v>
      </c>
      <c r="CJ101" s="46">
        <f t="shared" si="603"/>
        <v>0</v>
      </c>
      <c r="CK101" s="46">
        <f t="shared" si="603"/>
        <v>0</v>
      </c>
      <c r="CL101" s="46">
        <f t="shared" si="603"/>
        <v>0</v>
      </c>
      <c r="CM101" s="46">
        <f t="shared" si="603"/>
        <v>0</v>
      </c>
      <c r="CN101" s="46">
        <f t="shared" si="603"/>
        <v>0</v>
      </c>
      <c r="CO101" s="46">
        <f t="shared" si="603"/>
        <v>0</v>
      </c>
      <c r="CP101" s="46">
        <f t="shared" si="603"/>
        <v>0</v>
      </c>
      <c r="CQ101" s="46">
        <f t="shared" si="603"/>
        <v>0</v>
      </c>
      <c r="CR101" s="46">
        <f t="shared" si="603"/>
        <v>0</v>
      </c>
      <c r="CS101" s="46">
        <f t="shared" si="603"/>
        <v>0</v>
      </c>
      <c r="CT101" s="46">
        <f t="shared" si="603"/>
        <v>0</v>
      </c>
    </row>
    <row r="102" spans="1:98" s="247" customFormat="1" ht="14.25" customHeight="1" x14ac:dyDescent="0.2">
      <c r="A102" s="673"/>
      <c r="B102" s="919"/>
      <c r="C102" s="919"/>
      <c r="D102" s="919"/>
      <c r="E102" s="611"/>
      <c r="F102" s="1200"/>
      <c r="G102" s="1200"/>
      <c r="H102" s="1200"/>
      <c r="I102" s="1199"/>
      <c r="J102" s="1200"/>
      <c r="K102" s="608"/>
      <c r="L102" s="608"/>
      <c r="M102" s="608"/>
      <c r="N102" s="608"/>
      <c r="O102" s="608"/>
      <c r="P102" s="608"/>
      <c r="Q102" s="608"/>
      <c r="R102" s="609"/>
      <c r="S102" s="438"/>
      <c r="T102" s="434"/>
      <c r="U102" s="434"/>
      <c r="V102" s="437"/>
      <c r="W102" s="439"/>
      <c r="X102" s="434"/>
      <c r="Y102" s="434"/>
      <c r="Z102" s="437">
        <f t="shared" si="558"/>
        <v>0</v>
      </c>
      <c r="AA102" s="439"/>
      <c r="AB102" s="434"/>
      <c r="AC102" s="434"/>
      <c r="AD102" s="437"/>
      <c r="AE102" s="438"/>
      <c r="AF102" s="434"/>
      <c r="AG102" s="434"/>
      <c r="AH102" s="435"/>
      <c r="AI102" s="439"/>
      <c r="AJ102" s="434"/>
      <c r="AK102" s="434"/>
      <c r="AL102" s="437"/>
      <c r="AM102" s="438"/>
      <c r="AN102" s="434"/>
      <c r="AO102" s="434"/>
      <c r="AP102" s="1128"/>
      <c r="AQ102" s="438"/>
      <c r="AR102" s="434"/>
      <c r="AS102" s="434"/>
      <c r="AT102" s="435"/>
      <c r="AU102" s="438"/>
      <c r="AV102" s="434"/>
      <c r="AW102" s="434"/>
      <c r="AX102" s="437"/>
      <c r="AY102" s="438"/>
      <c r="AZ102" s="434"/>
      <c r="BA102" s="434"/>
      <c r="BB102" s="437"/>
      <c r="BC102" s="438"/>
      <c r="BD102" s="434"/>
      <c r="BE102" s="434"/>
      <c r="BF102" s="437"/>
      <c r="BG102" s="438"/>
      <c r="BH102" s="434"/>
      <c r="BI102" s="434"/>
      <c r="BJ102" s="437"/>
      <c r="BK102" s="438"/>
      <c r="BL102" s="434"/>
      <c r="BM102" s="434"/>
      <c r="BN102" s="1131"/>
      <c r="BO102" s="438"/>
      <c r="BP102" s="434"/>
      <c r="BQ102" s="434"/>
      <c r="BR102" s="1131"/>
      <c r="BS102" s="438"/>
      <c r="BT102" s="833"/>
      <c r="BU102" s="833"/>
      <c r="BV102" s="833"/>
      <c r="BW102" s="833"/>
      <c r="BX102" s="833"/>
      <c r="BY102" s="833"/>
      <c r="BZ102" s="833"/>
      <c r="CA102" s="833"/>
      <c r="CB102" s="833"/>
      <c r="CC102" s="833"/>
      <c r="CD102" s="833"/>
      <c r="CE102" s="833"/>
      <c r="CF102" s="833"/>
      <c r="CG102" s="833"/>
      <c r="CH102" s="31"/>
      <c r="CI102" s="31"/>
      <c r="CJ102" s="31"/>
      <c r="CK102" s="31"/>
      <c r="CL102" s="31"/>
      <c r="CM102" s="31"/>
      <c r="CN102" s="31"/>
      <c r="CO102" s="31"/>
      <c r="CP102" s="31"/>
      <c r="CQ102" s="31"/>
      <c r="CR102" s="31"/>
      <c r="CS102" s="31"/>
      <c r="CT102" s="31"/>
    </row>
    <row r="103" spans="1:98" s="247" customFormat="1" ht="14.25" customHeight="1" x14ac:dyDescent="0.2">
      <c r="A103" s="533" t="s">
        <v>1351</v>
      </c>
      <c r="B103" s="919"/>
      <c r="C103" s="919"/>
      <c r="D103" s="919"/>
      <c r="E103" s="611"/>
      <c r="F103" s="1200"/>
      <c r="G103" s="1200"/>
      <c r="H103" s="1200"/>
      <c r="I103" s="1199"/>
      <c r="J103" s="1200"/>
      <c r="K103" s="608"/>
      <c r="L103" s="608"/>
      <c r="M103" s="608"/>
      <c r="N103" s="608"/>
      <c r="O103" s="608"/>
      <c r="P103" s="608"/>
      <c r="Q103" s="608"/>
      <c r="R103" s="609"/>
      <c r="S103" s="438"/>
      <c r="T103" s="434"/>
      <c r="U103" s="434"/>
      <c r="V103" s="437"/>
      <c r="W103" s="439"/>
      <c r="X103" s="434"/>
      <c r="Y103" s="434"/>
      <c r="Z103" s="437">
        <f t="shared" si="558"/>
        <v>0</v>
      </c>
      <c r="AA103" s="439"/>
      <c r="AB103" s="434"/>
      <c r="AC103" s="434"/>
      <c r="AD103" s="437"/>
      <c r="AE103" s="438"/>
      <c r="AF103" s="434"/>
      <c r="AG103" s="434"/>
      <c r="AH103" s="435"/>
      <c r="AI103" s="439"/>
      <c r="AJ103" s="434"/>
      <c r="AK103" s="434"/>
      <c r="AL103" s="437"/>
      <c r="AM103" s="438"/>
      <c r="AN103" s="434"/>
      <c r="AO103" s="434"/>
      <c r="AP103" s="1128"/>
      <c r="AQ103" s="438"/>
      <c r="AR103" s="434"/>
      <c r="AS103" s="434"/>
      <c r="AT103" s="435"/>
      <c r="AU103" s="438"/>
      <c r="AV103" s="434"/>
      <c r="AW103" s="434"/>
      <c r="AX103" s="437"/>
      <c r="AY103" s="438"/>
      <c r="AZ103" s="434"/>
      <c r="BA103" s="434"/>
      <c r="BB103" s="437"/>
      <c r="BC103" s="438"/>
      <c r="BD103" s="434"/>
      <c r="BE103" s="434"/>
      <c r="BF103" s="437"/>
      <c r="BG103" s="438"/>
      <c r="BH103" s="434"/>
      <c r="BI103" s="434"/>
      <c r="BJ103" s="437"/>
      <c r="BK103" s="438"/>
      <c r="BL103" s="434"/>
      <c r="BM103" s="434"/>
      <c r="BN103" s="1131"/>
      <c r="BO103" s="438"/>
      <c r="BP103" s="434"/>
      <c r="BQ103" s="434"/>
      <c r="BR103" s="1131"/>
      <c r="BS103" s="438"/>
      <c r="BT103" s="379"/>
      <c r="BU103" s="379"/>
      <c r="BV103" s="379"/>
      <c r="BW103" s="379"/>
      <c r="BX103" s="379"/>
      <c r="BY103" s="379"/>
      <c r="BZ103" s="379"/>
      <c r="CA103" s="379"/>
      <c r="CB103" s="379"/>
      <c r="CC103" s="379"/>
      <c r="CD103" s="379"/>
      <c r="CE103" s="379"/>
      <c r="CF103" s="379"/>
      <c r="CG103" s="379"/>
      <c r="CH103" s="34"/>
      <c r="CI103" s="34"/>
      <c r="CJ103" s="34"/>
      <c r="CK103" s="34"/>
      <c r="CL103" s="34"/>
      <c r="CM103" s="34"/>
      <c r="CN103" s="34"/>
      <c r="CO103" s="34"/>
      <c r="CP103" s="34"/>
      <c r="CQ103" s="34"/>
      <c r="CR103" s="34"/>
      <c r="CS103" s="34"/>
      <c r="CT103" s="34"/>
    </row>
    <row r="104" spans="1:98" s="247" customFormat="1" ht="14.25" customHeight="1" x14ac:dyDescent="0.2">
      <c r="A104" s="673" t="s">
        <v>6568</v>
      </c>
      <c r="B104" s="920" t="s">
        <v>102</v>
      </c>
      <c r="C104" s="920" t="s">
        <v>4959</v>
      </c>
      <c r="D104" s="920" t="s">
        <v>102</v>
      </c>
      <c r="E104" s="611">
        <v>0</v>
      </c>
      <c r="F104" s="1200">
        <v>-8200</v>
      </c>
      <c r="G104" s="1200">
        <f>99000-11800</f>
        <v>87200</v>
      </c>
      <c r="H104" s="1200">
        <f>141000+216000</f>
        <v>357000</v>
      </c>
      <c r="I104" s="1199">
        <v>24900</v>
      </c>
      <c r="J104" s="1200">
        <v>68700</v>
      </c>
      <c r="K104" s="608">
        <v>121100</v>
      </c>
      <c r="L104" s="608">
        <v>109100</v>
      </c>
      <c r="M104" s="608">
        <v>29100</v>
      </c>
      <c r="N104" s="608">
        <v>4500</v>
      </c>
      <c r="O104" s="608">
        <v>60400</v>
      </c>
      <c r="P104" s="608">
        <v>118000</v>
      </c>
      <c r="Q104" s="608">
        <v>32700</v>
      </c>
      <c r="R104" s="609">
        <v>32700</v>
      </c>
      <c r="S104" s="438"/>
      <c r="T104" s="434"/>
      <c r="U104" s="434"/>
      <c r="V104" s="437">
        <f>$F104-S104-T104-U104</f>
        <v>-8200</v>
      </c>
      <c r="W104" s="439"/>
      <c r="X104" s="434"/>
      <c r="Y104" s="434"/>
      <c r="Z104" s="437">
        <f t="shared" si="558"/>
        <v>87200</v>
      </c>
      <c r="AA104" s="439"/>
      <c r="AB104" s="434"/>
      <c r="AC104" s="434"/>
      <c r="AD104" s="437">
        <f>$H104-AA104-AB104-AC104</f>
        <v>357000</v>
      </c>
      <c r="AE104" s="438"/>
      <c r="AF104" s="434"/>
      <c r="AG104" s="434"/>
      <c r="AH104" s="435">
        <f>$I104-AE104-AF104-AG104</f>
        <v>24900</v>
      </c>
      <c r="AI104" s="439"/>
      <c r="AJ104" s="434"/>
      <c r="AK104" s="434"/>
      <c r="AL104" s="437">
        <f>$J104-AI104-AJ104-AK104</f>
        <v>68700</v>
      </c>
      <c r="AM104" s="438"/>
      <c r="AN104" s="434"/>
      <c r="AO104" s="434"/>
      <c r="AP104" s="1128">
        <f>$K104-AM104-AN104-AO104</f>
        <v>121100</v>
      </c>
      <c r="AQ104" s="438"/>
      <c r="AR104" s="434"/>
      <c r="AS104" s="434"/>
      <c r="AT104" s="435">
        <f>$L104-AQ104-AR104-AS104</f>
        <v>109100</v>
      </c>
      <c r="AU104" s="438"/>
      <c r="AV104" s="434"/>
      <c r="AW104" s="434"/>
      <c r="AX104" s="437">
        <f>$M104-AU104-AV104-AW104</f>
        <v>29100</v>
      </c>
      <c r="AY104" s="438"/>
      <c r="AZ104" s="434"/>
      <c r="BA104" s="434"/>
      <c r="BB104" s="437">
        <f>$N104-AY104-AZ104-BA104</f>
        <v>4500</v>
      </c>
      <c r="BC104" s="438"/>
      <c r="BD104" s="434"/>
      <c r="BE104" s="434"/>
      <c r="BF104" s="437">
        <f t="shared" ref="BF104:BF106" si="604">$O104-BC104-BD104-BE104</f>
        <v>60400</v>
      </c>
      <c r="BG104" s="438"/>
      <c r="BH104" s="434"/>
      <c r="BI104" s="434"/>
      <c r="BJ104" s="1131">
        <f t="shared" ref="BJ104:BJ106" si="605">$P104-BG104-BH104-BI104</f>
        <v>118000</v>
      </c>
      <c r="BK104" s="438"/>
      <c r="BL104" s="434"/>
      <c r="BM104" s="434"/>
      <c r="BN104" s="1131">
        <f t="shared" si="568"/>
        <v>32700</v>
      </c>
      <c r="BO104" s="438"/>
      <c r="BP104" s="434"/>
      <c r="BQ104" s="434"/>
      <c r="BR104" s="1131">
        <f t="shared" ref="BR104:BR109" si="606">$R104-BO104-BP104-BQ104</f>
        <v>32700</v>
      </c>
      <c r="BS104" s="438"/>
      <c r="BT104" s="833">
        <v>0</v>
      </c>
      <c r="BU104" s="833">
        <f t="shared" ref="BU104:CF104" si="607">BT104</f>
        <v>0</v>
      </c>
      <c r="BV104" s="833">
        <f t="shared" si="607"/>
        <v>0</v>
      </c>
      <c r="BW104" s="833">
        <f t="shared" si="607"/>
        <v>0</v>
      </c>
      <c r="BX104" s="833">
        <f t="shared" si="607"/>
        <v>0</v>
      </c>
      <c r="BY104" s="833">
        <f t="shared" si="607"/>
        <v>0</v>
      </c>
      <c r="BZ104" s="833">
        <f t="shared" si="607"/>
        <v>0</v>
      </c>
      <c r="CA104" s="833">
        <f t="shared" si="607"/>
        <v>0</v>
      </c>
      <c r="CB104" s="833">
        <f t="shared" si="607"/>
        <v>0</v>
      </c>
      <c r="CC104" s="833">
        <f t="shared" si="607"/>
        <v>0</v>
      </c>
      <c r="CD104" s="833">
        <f t="shared" si="607"/>
        <v>0</v>
      </c>
      <c r="CE104" s="833">
        <f t="shared" si="607"/>
        <v>0</v>
      </c>
      <c r="CF104" s="833">
        <f t="shared" si="607"/>
        <v>0</v>
      </c>
      <c r="CG104" s="833"/>
      <c r="CH104" s="46">
        <f t="shared" ref="CH104:CT106" si="608">ROUND(BT104*F104,-3)</f>
        <v>0</v>
      </c>
      <c r="CI104" s="46">
        <f t="shared" si="608"/>
        <v>0</v>
      </c>
      <c r="CJ104" s="46">
        <f t="shared" si="608"/>
        <v>0</v>
      </c>
      <c r="CK104" s="46">
        <f t="shared" si="608"/>
        <v>0</v>
      </c>
      <c r="CL104" s="46">
        <f t="shared" si="608"/>
        <v>0</v>
      </c>
      <c r="CM104" s="46">
        <f t="shared" si="608"/>
        <v>0</v>
      </c>
      <c r="CN104" s="46">
        <f t="shared" si="608"/>
        <v>0</v>
      </c>
      <c r="CO104" s="46">
        <f t="shared" si="608"/>
        <v>0</v>
      </c>
      <c r="CP104" s="46">
        <f t="shared" si="608"/>
        <v>0</v>
      </c>
      <c r="CQ104" s="46">
        <f t="shared" si="608"/>
        <v>0</v>
      </c>
      <c r="CR104" s="46">
        <f t="shared" si="608"/>
        <v>0</v>
      </c>
      <c r="CS104" s="46">
        <f t="shared" si="608"/>
        <v>0</v>
      </c>
      <c r="CT104" s="46">
        <f t="shared" si="608"/>
        <v>0</v>
      </c>
    </row>
    <row r="105" spans="1:98" s="247" customFormat="1" ht="14.25" customHeight="1" x14ac:dyDescent="0.2">
      <c r="A105" s="673" t="s">
        <v>6569</v>
      </c>
      <c r="B105" s="920" t="s">
        <v>102</v>
      </c>
      <c r="C105" s="920"/>
      <c r="D105" s="920" t="s">
        <v>102</v>
      </c>
      <c r="E105" s="611"/>
      <c r="F105" s="1200"/>
      <c r="G105" s="1200"/>
      <c r="H105" s="1200"/>
      <c r="I105" s="1199"/>
      <c r="J105" s="1200"/>
      <c r="K105" s="608"/>
      <c r="L105" s="608"/>
      <c r="M105" s="608"/>
      <c r="N105" s="608"/>
      <c r="O105" s="608"/>
      <c r="P105" s="608"/>
      <c r="Q105" s="608"/>
      <c r="R105" s="609"/>
      <c r="S105" s="438"/>
      <c r="T105" s="434"/>
      <c r="U105" s="434"/>
      <c r="V105" s="437"/>
      <c r="W105" s="439"/>
      <c r="X105" s="434"/>
      <c r="Y105" s="434"/>
      <c r="Z105" s="437">
        <f t="shared" si="558"/>
        <v>0</v>
      </c>
      <c r="AA105" s="439"/>
      <c r="AB105" s="434"/>
      <c r="AC105" s="434"/>
      <c r="AD105" s="437">
        <f t="shared" ref="AD105:AD106" si="609">$H105-AA105-AB105-AC105</f>
        <v>0</v>
      </c>
      <c r="AE105" s="438"/>
      <c r="AF105" s="434"/>
      <c r="AG105" s="434"/>
      <c r="AH105" s="435">
        <f t="shared" ref="AH105:AH106" si="610">$I105-AE105-AF105-AG105</f>
        <v>0</v>
      </c>
      <c r="AI105" s="439"/>
      <c r="AJ105" s="434"/>
      <c r="AK105" s="434"/>
      <c r="AL105" s="437">
        <f t="shared" ref="AL105:AL106" si="611">$J105-AI105-AJ105-AK105</f>
        <v>0</v>
      </c>
      <c r="AM105" s="438"/>
      <c r="AN105" s="434"/>
      <c r="AO105" s="434"/>
      <c r="AP105" s="1128">
        <f t="shared" ref="AP105:AP106" si="612">$K105-AM105-AN105-AO105</f>
        <v>0</v>
      </c>
      <c r="AQ105" s="438"/>
      <c r="AR105" s="434"/>
      <c r="AS105" s="434"/>
      <c r="AT105" s="435">
        <f t="shared" ref="AT105:AT106" si="613">$L105-AQ105-AR105-AS105</f>
        <v>0</v>
      </c>
      <c r="AU105" s="438"/>
      <c r="AV105" s="434"/>
      <c r="AW105" s="434"/>
      <c r="AX105" s="437">
        <f t="shared" ref="AX105:AX106" si="614">$M105-AU105-AV105-AW105</f>
        <v>0</v>
      </c>
      <c r="AY105" s="438"/>
      <c r="AZ105" s="434"/>
      <c r="BA105" s="434"/>
      <c r="BB105" s="437">
        <f t="shared" ref="BB105:BB106" si="615">$N105-AY105-AZ105-BA105</f>
        <v>0</v>
      </c>
      <c r="BC105" s="438"/>
      <c r="BD105" s="434"/>
      <c r="BE105" s="434"/>
      <c r="BF105" s="437">
        <f t="shared" si="604"/>
        <v>0</v>
      </c>
      <c r="BG105" s="438"/>
      <c r="BH105" s="434"/>
      <c r="BI105" s="434"/>
      <c r="BJ105" s="1131">
        <f t="shared" si="605"/>
        <v>0</v>
      </c>
      <c r="BK105" s="438"/>
      <c r="BL105" s="434"/>
      <c r="BM105" s="434"/>
      <c r="BN105" s="1131">
        <f t="shared" si="568"/>
        <v>0</v>
      </c>
      <c r="BO105" s="438"/>
      <c r="BP105" s="434"/>
      <c r="BQ105" s="434"/>
      <c r="BR105" s="1131">
        <f t="shared" si="606"/>
        <v>0</v>
      </c>
      <c r="BS105" s="438"/>
      <c r="BT105" s="833">
        <v>0</v>
      </c>
      <c r="BU105" s="833">
        <f t="shared" ref="BU105:BU106" si="616">BT105</f>
        <v>0</v>
      </c>
      <c r="BV105" s="833">
        <f t="shared" ref="BV105:BV106" si="617">BU105</f>
        <v>0</v>
      </c>
      <c r="BW105" s="833">
        <f t="shared" ref="BW105:BW106" si="618">BV105</f>
        <v>0</v>
      </c>
      <c r="BX105" s="833">
        <f t="shared" ref="BX105:BX106" si="619">BW105</f>
        <v>0</v>
      </c>
      <c r="BY105" s="833">
        <f t="shared" ref="BY105:BY106" si="620">BX105</f>
        <v>0</v>
      </c>
      <c r="BZ105" s="833">
        <f t="shared" ref="BZ105:BZ106" si="621">BY105</f>
        <v>0</v>
      </c>
      <c r="CA105" s="833">
        <f t="shared" ref="CA105:CA106" si="622">BZ105</f>
        <v>0</v>
      </c>
      <c r="CB105" s="833">
        <f t="shared" ref="CB105:CB106" si="623">CA105</f>
        <v>0</v>
      </c>
      <c r="CC105" s="833">
        <f t="shared" ref="CC105:CC106" si="624">CB105</f>
        <v>0</v>
      </c>
      <c r="CD105" s="833">
        <f t="shared" ref="CD105:CF106" si="625">CC105</f>
        <v>0</v>
      </c>
      <c r="CE105" s="833">
        <f t="shared" si="625"/>
        <v>0</v>
      </c>
      <c r="CF105" s="833">
        <f t="shared" si="625"/>
        <v>0</v>
      </c>
      <c r="CG105" s="833"/>
      <c r="CH105" s="46">
        <f t="shared" si="608"/>
        <v>0</v>
      </c>
      <c r="CI105" s="46">
        <f t="shared" si="608"/>
        <v>0</v>
      </c>
      <c r="CJ105" s="46">
        <f t="shared" si="608"/>
        <v>0</v>
      </c>
      <c r="CK105" s="46">
        <f t="shared" si="608"/>
        <v>0</v>
      </c>
      <c r="CL105" s="46">
        <f t="shared" si="608"/>
        <v>0</v>
      </c>
      <c r="CM105" s="46">
        <f t="shared" si="608"/>
        <v>0</v>
      </c>
      <c r="CN105" s="46">
        <f t="shared" si="608"/>
        <v>0</v>
      </c>
      <c r="CO105" s="46">
        <f t="shared" si="608"/>
        <v>0</v>
      </c>
      <c r="CP105" s="46">
        <f t="shared" si="608"/>
        <v>0</v>
      </c>
      <c r="CQ105" s="46">
        <f t="shared" si="608"/>
        <v>0</v>
      </c>
      <c r="CR105" s="46">
        <f t="shared" si="608"/>
        <v>0</v>
      </c>
      <c r="CS105" s="46">
        <f t="shared" si="608"/>
        <v>0</v>
      </c>
      <c r="CT105" s="46">
        <f t="shared" si="608"/>
        <v>0</v>
      </c>
    </row>
    <row r="106" spans="1:98" s="247" customFormat="1" ht="14.25" customHeight="1" x14ac:dyDescent="0.2">
      <c r="A106" s="673" t="s">
        <v>6379</v>
      </c>
      <c r="B106" s="920" t="s">
        <v>102</v>
      </c>
      <c r="C106" s="920" t="s">
        <v>4959</v>
      </c>
      <c r="D106" s="920" t="s">
        <v>102</v>
      </c>
      <c r="E106" s="611"/>
      <c r="F106" s="1200"/>
      <c r="G106" s="1200"/>
      <c r="H106" s="1200">
        <v>350000</v>
      </c>
      <c r="I106" s="1199"/>
      <c r="J106" s="1200"/>
      <c r="K106" s="608"/>
      <c r="L106" s="608"/>
      <c r="M106" s="608"/>
      <c r="N106" s="608"/>
      <c r="O106" s="608"/>
      <c r="P106" s="608"/>
      <c r="Q106" s="608"/>
      <c r="R106" s="609"/>
      <c r="S106" s="438"/>
      <c r="T106" s="434"/>
      <c r="U106" s="434"/>
      <c r="V106" s="437"/>
      <c r="W106" s="439"/>
      <c r="X106" s="434"/>
      <c r="Y106" s="434"/>
      <c r="Z106" s="437">
        <f t="shared" si="558"/>
        <v>0</v>
      </c>
      <c r="AA106" s="439"/>
      <c r="AB106" s="434"/>
      <c r="AC106" s="434"/>
      <c r="AD106" s="437">
        <f t="shared" si="609"/>
        <v>350000</v>
      </c>
      <c r="AE106" s="438"/>
      <c r="AF106" s="434"/>
      <c r="AG106" s="434"/>
      <c r="AH106" s="435">
        <f t="shared" si="610"/>
        <v>0</v>
      </c>
      <c r="AI106" s="439"/>
      <c r="AJ106" s="434"/>
      <c r="AK106" s="434"/>
      <c r="AL106" s="437">
        <f t="shared" si="611"/>
        <v>0</v>
      </c>
      <c r="AM106" s="438"/>
      <c r="AN106" s="434"/>
      <c r="AO106" s="434"/>
      <c r="AP106" s="1128">
        <f t="shared" si="612"/>
        <v>0</v>
      </c>
      <c r="AQ106" s="438"/>
      <c r="AR106" s="434"/>
      <c r="AS106" s="434"/>
      <c r="AT106" s="435">
        <f t="shared" si="613"/>
        <v>0</v>
      </c>
      <c r="AU106" s="438"/>
      <c r="AV106" s="434"/>
      <c r="AW106" s="434"/>
      <c r="AX106" s="437">
        <f t="shared" si="614"/>
        <v>0</v>
      </c>
      <c r="AY106" s="438"/>
      <c r="AZ106" s="434"/>
      <c r="BA106" s="434"/>
      <c r="BB106" s="437">
        <f t="shared" si="615"/>
        <v>0</v>
      </c>
      <c r="BC106" s="438"/>
      <c r="BD106" s="434"/>
      <c r="BE106" s="434"/>
      <c r="BF106" s="437">
        <f t="shared" si="604"/>
        <v>0</v>
      </c>
      <c r="BG106" s="438"/>
      <c r="BH106" s="434"/>
      <c r="BI106" s="434"/>
      <c r="BJ106" s="1131">
        <f t="shared" si="605"/>
        <v>0</v>
      </c>
      <c r="BK106" s="438"/>
      <c r="BL106" s="434"/>
      <c r="BM106" s="434"/>
      <c r="BN106" s="1131">
        <f t="shared" si="568"/>
        <v>0</v>
      </c>
      <c r="BO106" s="438"/>
      <c r="BP106" s="434"/>
      <c r="BQ106" s="434"/>
      <c r="BR106" s="1131">
        <f t="shared" si="606"/>
        <v>0</v>
      </c>
      <c r="BS106" s="438"/>
      <c r="BT106" s="833">
        <v>0</v>
      </c>
      <c r="BU106" s="833">
        <f t="shared" si="616"/>
        <v>0</v>
      </c>
      <c r="BV106" s="833">
        <f t="shared" si="617"/>
        <v>0</v>
      </c>
      <c r="BW106" s="833">
        <f t="shared" si="618"/>
        <v>0</v>
      </c>
      <c r="BX106" s="833">
        <f t="shared" si="619"/>
        <v>0</v>
      </c>
      <c r="BY106" s="833">
        <f t="shared" si="620"/>
        <v>0</v>
      </c>
      <c r="BZ106" s="833">
        <f t="shared" si="621"/>
        <v>0</v>
      </c>
      <c r="CA106" s="833">
        <f t="shared" si="622"/>
        <v>0</v>
      </c>
      <c r="CB106" s="833">
        <f t="shared" si="623"/>
        <v>0</v>
      </c>
      <c r="CC106" s="833">
        <f t="shared" si="624"/>
        <v>0</v>
      </c>
      <c r="CD106" s="833">
        <f t="shared" si="625"/>
        <v>0</v>
      </c>
      <c r="CE106" s="833">
        <f t="shared" si="625"/>
        <v>0</v>
      </c>
      <c r="CF106" s="833">
        <f t="shared" si="625"/>
        <v>0</v>
      </c>
      <c r="CG106" s="833"/>
      <c r="CH106" s="46">
        <f t="shared" si="608"/>
        <v>0</v>
      </c>
      <c r="CI106" s="46">
        <f t="shared" si="608"/>
        <v>0</v>
      </c>
      <c r="CJ106" s="46">
        <f t="shared" si="608"/>
        <v>0</v>
      </c>
      <c r="CK106" s="46">
        <f t="shared" si="608"/>
        <v>0</v>
      </c>
      <c r="CL106" s="46">
        <f t="shared" si="608"/>
        <v>0</v>
      </c>
      <c r="CM106" s="46">
        <f t="shared" si="608"/>
        <v>0</v>
      </c>
      <c r="CN106" s="46">
        <f t="shared" si="608"/>
        <v>0</v>
      </c>
      <c r="CO106" s="46">
        <f t="shared" si="608"/>
        <v>0</v>
      </c>
      <c r="CP106" s="46">
        <f t="shared" si="608"/>
        <v>0</v>
      </c>
      <c r="CQ106" s="46">
        <f t="shared" si="608"/>
        <v>0</v>
      </c>
      <c r="CR106" s="46">
        <f t="shared" si="608"/>
        <v>0</v>
      </c>
      <c r="CS106" s="46">
        <f t="shared" si="608"/>
        <v>0</v>
      </c>
      <c r="CT106" s="46">
        <f t="shared" si="608"/>
        <v>0</v>
      </c>
    </row>
    <row r="107" spans="1:98" s="247" customFormat="1" ht="14.25" customHeight="1" x14ac:dyDescent="0.2">
      <c r="A107" s="673" t="s">
        <v>6942</v>
      </c>
      <c r="B107" s="920" t="s">
        <v>102</v>
      </c>
      <c r="C107" s="920" t="s">
        <v>4959</v>
      </c>
      <c r="D107" s="920" t="s">
        <v>102</v>
      </c>
      <c r="E107" s="611"/>
      <c r="F107" s="1200"/>
      <c r="G107" s="1200"/>
      <c r="H107" s="1200">
        <v>30000</v>
      </c>
      <c r="I107" s="1199"/>
      <c r="J107" s="1200"/>
      <c r="K107" s="608"/>
      <c r="L107" s="608"/>
      <c r="M107" s="608"/>
      <c r="N107" s="608"/>
      <c r="O107" s="608"/>
      <c r="P107" s="608"/>
      <c r="Q107" s="608"/>
      <c r="R107" s="609"/>
      <c r="S107" s="438"/>
      <c r="T107" s="434"/>
      <c r="U107" s="434"/>
      <c r="V107" s="437"/>
      <c r="W107" s="439"/>
      <c r="X107" s="434"/>
      <c r="Y107" s="434"/>
      <c r="Z107" s="437">
        <f t="shared" si="558"/>
        <v>0</v>
      </c>
      <c r="AA107" s="439"/>
      <c r="AB107" s="434"/>
      <c r="AC107" s="434"/>
      <c r="AD107" s="437">
        <f t="shared" ref="AD107:AD109" si="626">$H107-AA107-AB107-AC107</f>
        <v>30000</v>
      </c>
      <c r="AE107" s="438"/>
      <c r="AF107" s="434"/>
      <c r="AG107" s="434"/>
      <c r="AH107" s="435">
        <f t="shared" ref="AH107:AH109" si="627">$I107-AE107-AF107-AG107</f>
        <v>0</v>
      </c>
      <c r="AI107" s="439"/>
      <c r="AJ107" s="434"/>
      <c r="AK107" s="434"/>
      <c r="AL107" s="437">
        <f t="shared" ref="AL107:AL109" si="628">$J107-AI107-AJ107-AK107</f>
        <v>0</v>
      </c>
      <c r="AM107" s="438"/>
      <c r="AN107" s="434"/>
      <c r="AO107" s="434"/>
      <c r="AP107" s="1128">
        <f t="shared" ref="AP107:AP109" si="629">$K107-AM107-AN107-AO107</f>
        <v>0</v>
      </c>
      <c r="AQ107" s="438"/>
      <c r="AR107" s="434"/>
      <c r="AS107" s="434"/>
      <c r="AT107" s="435">
        <f t="shared" ref="AT107:AT109" si="630">$L107-AQ107-AR107-AS107</f>
        <v>0</v>
      </c>
      <c r="AU107" s="438"/>
      <c r="AV107" s="434"/>
      <c r="AW107" s="434"/>
      <c r="AX107" s="437">
        <f t="shared" ref="AX107:AX109" si="631">$M107-AU107-AV107-AW107</f>
        <v>0</v>
      </c>
      <c r="AY107" s="438"/>
      <c r="AZ107" s="434"/>
      <c r="BA107" s="434"/>
      <c r="BB107" s="437">
        <f t="shared" ref="BB107:BB109" si="632">$N107-AY107-AZ107-BA107</f>
        <v>0</v>
      </c>
      <c r="BC107" s="438"/>
      <c r="BD107" s="434"/>
      <c r="BE107" s="434"/>
      <c r="BF107" s="437">
        <f t="shared" ref="BF107:BF109" si="633">$O107-BC107-BD107-BE107</f>
        <v>0</v>
      </c>
      <c r="BG107" s="438"/>
      <c r="BH107" s="434"/>
      <c r="BI107" s="434"/>
      <c r="BJ107" s="1131">
        <f t="shared" ref="BJ107:BJ109" si="634">$P107-BG107-BH107-BI107</f>
        <v>0</v>
      </c>
      <c r="BK107" s="438"/>
      <c r="BL107" s="434"/>
      <c r="BM107" s="434"/>
      <c r="BN107" s="1131">
        <f t="shared" ref="BN107:BN109" si="635">$Q107-BK107-BL107-BM107</f>
        <v>0</v>
      </c>
      <c r="BO107" s="438"/>
      <c r="BP107" s="434"/>
      <c r="BQ107" s="434"/>
      <c r="BR107" s="1131">
        <f t="shared" si="606"/>
        <v>0</v>
      </c>
      <c r="BS107" s="438"/>
      <c r="BT107" s="833">
        <v>0</v>
      </c>
      <c r="BU107" s="833">
        <f t="shared" ref="BU107:BU109" si="636">BT107</f>
        <v>0</v>
      </c>
      <c r="BV107" s="833">
        <f t="shared" ref="BV107:BV109" si="637">BU107</f>
        <v>0</v>
      </c>
      <c r="BW107" s="833">
        <f t="shared" ref="BW107:BW109" si="638">BV107</f>
        <v>0</v>
      </c>
      <c r="BX107" s="833">
        <f t="shared" ref="BX107:BX109" si="639">BW107</f>
        <v>0</v>
      </c>
      <c r="BY107" s="833">
        <f t="shared" ref="BY107:BY109" si="640">BX107</f>
        <v>0</v>
      </c>
      <c r="BZ107" s="833">
        <f t="shared" ref="BZ107:BZ109" si="641">BY107</f>
        <v>0</v>
      </c>
      <c r="CA107" s="833">
        <f t="shared" ref="CA107:CA109" si="642">BZ107</f>
        <v>0</v>
      </c>
      <c r="CB107" s="833">
        <f t="shared" ref="CB107:CB109" si="643">CA107</f>
        <v>0</v>
      </c>
      <c r="CC107" s="833">
        <f t="shared" ref="CC107:CC109" si="644">CB107</f>
        <v>0</v>
      </c>
      <c r="CD107" s="833">
        <f t="shared" ref="CD107:CD109" si="645">CC107</f>
        <v>0</v>
      </c>
      <c r="CE107" s="833">
        <f t="shared" ref="CE107:CF109" si="646">CD107</f>
        <v>0</v>
      </c>
      <c r="CF107" s="833">
        <f t="shared" si="646"/>
        <v>0</v>
      </c>
      <c r="CG107" s="833"/>
      <c r="CH107" s="46">
        <f t="shared" ref="CH107:CH109" si="647">ROUND(BT107*F107,-3)</f>
        <v>0</v>
      </c>
      <c r="CI107" s="46">
        <f t="shared" ref="CI107:CI109" si="648">ROUND(BU107*G107,-3)</f>
        <v>0</v>
      </c>
      <c r="CJ107" s="46">
        <f t="shared" ref="CJ107:CJ109" si="649">ROUND(BV107*H107,-3)</f>
        <v>0</v>
      </c>
      <c r="CK107" s="46">
        <f t="shared" ref="CK107:CK109" si="650">ROUND(BW107*I107,-3)</f>
        <v>0</v>
      </c>
      <c r="CL107" s="46">
        <f t="shared" ref="CL107:CL109" si="651">ROUND(BX107*J107,-3)</f>
        <v>0</v>
      </c>
      <c r="CM107" s="46">
        <f t="shared" ref="CM107:CM109" si="652">ROUND(BY107*K107,-3)</f>
        <v>0</v>
      </c>
      <c r="CN107" s="46">
        <f t="shared" ref="CN107:CN109" si="653">ROUND(BZ107*L107,-3)</f>
        <v>0</v>
      </c>
      <c r="CO107" s="46">
        <f t="shared" ref="CO107:CO109" si="654">ROUND(CA107*M107,-3)</f>
        <v>0</v>
      </c>
      <c r="CP107" s="46">
        <f t="shared" ref="CP107:CP109" si="655">ROUND(CB107*N107,-3)</f>
        <v>0</v>
      </c>
      <c r="CQ107" s="46">
        <f t="shared" ref="CQ107:CQ109" si="656">ROUND(CC107*O107,-3)</f>
        <v>0</v>
      </c>
      <c r="CR107" s="46">
        <f t="shared" ref="CR107:CR109" si="657">ROUND(CD107*P107,-3)</f>
        <v>0</v>
      </c>
      <c r="CS107" s="46">
        <f t="shared" ref="CS107:CT109" si="658">ROUND(CE107*Q107,-3)</f>
        <v>0</v>
      </c>
      <c r="CT107" s="46">
        <f t="shared" si="658"/>
        <v>0</v>
      </c>
    </row>
    <row r="108" spans="1:98" s="247" customFormat="1" ht="14.25" customHeight="1" x14ac:dyDescent="0.2">
      <c r="A108" s="673" t="s">
        <v>6943</v>
      </c>
      <c r="B108" s="920"/>
      <c r="C108" s="920"/>
      <c r="D108" s="920"/>
      <c r="E108" s="611"/>
      <c r="F108" s="1200"/>
      <c r="G108" s="1200"/>
      <c r="H108" s="1200"/>
      <c r="I108" s="1199">
        <v>85000</v>
      </c>
      <c r="J108" s="1200"/>
      <c r="K108" s="608"/>
      <c r="L108" s="608"/>
      <c r="M108" s="608"/>
      <c r="N108" s="608"/>
      <c r="O108" s="608"/>
      <c r="P108" s="608"/>
      <c r="Q108" s="608"/>
      <c r="R108" s="609"/>
      <c r="S108" s="438"/>
      <c r="T108" s="434"/>
      <c r="U108" s="434"/>
      <c r="V108" s="437"/>
      <c r="W108" s="439"/>
      <c r="X108" s="434"/>
      <c r="Y108" s="434"/>
      <c r="Z108" s="437">
        <f t="shared" si="558"/>
        <v>0</v>
      </c>
      <c r="AA108" s="439"/>
      <c r="AB108" s="434"/>
      <c r="AC108" s="434"/>
      <c r="AD108" s="437">
        <f t="shared" si="626"/>
        <v>0</v>
      </c>
      <c r="AE108" s="438"/>
      <c r="AF108" s="434"/>
      <c r="AG108" s="434"/>
      <c r="AH108" s="435">
        <f t="shared" si="627"/>
        <v>85000</v>
      </c>
      <c r="AI108" s="439"/>
      <c r="AJ108" s="434"/>
      <c r="AK108" s="434"/>
      <c r="AL108" s="437">
        <f t="shared" si="628"/>
        <v>0</v>
      </c>
      <c r="AM108" s="438"/>
      <c r="AN108" s="434"/>
      <c r="AO108" s="434"/>
      <c r="AP108" s="1128">
        <f t="shared" si="629"/>
        <v>0</v>
      </c>
      <c r="AQ108" s="438"/>
      <c r="AR108" s="434"/>
      <c r="AS108" s="434"/>
      <c r="AT108" s="435">
        <f t="shared" si="630"/>
        <v>0</v>
      </c>
      <c r="AU108" s="438"/>
      <c r="AV108" s="434"/>
      <c r="AW108" s="434"/>
      <c r="AX108" s="437">
        <f t="shared" si="631"/>
        <v>0</v>
      </c>
      <c r="AY108" s="438"/>
      <c r="AZ108" s="434"/>
      <c r="BA108" s="434"/>
      <c r="BB108" s="437">
        <f t="shared" si="632"/>
        <v>0</v>
      </c>
      <c r="BC108" s="438"/>
      <c r="BD108" s="434"/>
      <c r="BE108" s="434"/>
      <c r="BF108" s="437">
        <f t="shared" si="633"/>
        <v>0</v>
      </c>
      <c r="BG108" s="438"/>
      <c r="BH108" s="434"/>
      <c r="BI108" s="434"/>
      <c r="BJ108" s="1131">
        <f t="shared" si="634"/>
        <v>0</v>
      </c>
      <c r="BK108" s="438"/>
      <c r="BL108" s="434"/>
      <c r="BM108" s="434"/>
      <c r="BN108" s="1131">
        <f t="shared" si="635"/>
        <v>0</v>
      </c>
      <c r="BO108" s="438"/>
      <c r="BP108" s="434"/>
      <c r="BQ108" s="434"/>
      <c r="BR108" s="1131">
        <f t="shared" si="606"/>
        <v>0</v>
      </c>
      <c r="BS108" s="438"/>
      <c r="BT108" s="833">
        <v>0</v>
      </c>
      <c r="BU108" s="833">
        <f t="shared" si="636"/>
        <v>0</v>
      </c>
      <c r="BV108" s="833">
        <f t="shared" si="637"/>
        <v>0</v>
      </c>
      <c r="BW108" s="833">
        <f t="shared" si="638"/>
        <v>0</v>
      </c>
      <c r="BX108" s="833">
        <f t="shared" si="639"/>
        <v>0</v>
      </c>
      <c r="BY108" s="833">
        <f t="shared" si="640"/>
        <v>0</v>
      </c>
      <c r="BZ108" s="833">
        <f t="shared" si="641"/>
        <v>0</v>
      </c>
      <c r="CA108" s="833">
        <f t="shared" si="642"/>
        <v>0</v>
      </c>
      <c r="CB108" s="833">
        <f t="shared" si="643"/>
        <v>0</v>
      </c>
      <c r="CC108" s="833">
        <f t="shared" si="644"/>
        <v>0</v>
      </c>
      <c r="CD108" s="833">
        <f t="shared" si="645"/>
        <v>0</v>
      </c>
      <c r="CE108" s="833">
        <f t="shared" si="646"/>
        <v>0</v>
      </c>
      <c r="CF108" s="833">
        <f t="shared" si="646"/>
        <v>0</v>
      </c>
      <c r="CG108" s="833"/>
      <c r="CH108" s="46">
        <f t="shared" si="647"/>
        <v>0</v>
      </c>
      <c r="CI108" s="46">
        <f t="shared" si="648"/>
        <v>0</v>
      </c>
      <c r="CJ108" s="46">
        <f t="shared" si="649"/>
        <v>0</v>
      </c>
      <c r="CK108" s="46">
        <f t="shared" si="650"/>
        <v>0</v>
      </c>
      <c r="CL108" s="46">
        <f t="shared" si="651"/>
        <v>0</v>
      </c>
      <c r="CM108" s="46">
        <f t="shared" si="652"/>
        <v>0</v>
      </c>
      <c r="CN108" s="46">
        <f t="shared" si="653"/>
        <v>0</v>
      </c>
      <c r="CO108" s="46">
        <f t="shared" si="654"/>
        <v>0</v>
      </c>
      <c r="CP108" s="46">
        <f t="shared" si="655"/>
        <v>0</v>
      </c>
      <c r="CQ108" s="46">
        <f t="shared" si="656"/>
        <v>0</v>
      </c>
      <c r="CR108" s="46">
        <f t="shared" si="657"/>
        <v>0</v>
      </c>
      <c r="CS108" s="46">
        <f t="shared" si="658"/>
        <v>0</v>
      </c>
      <c r="CT108" s="46">
        <f t="shared" si="658"/>
        <v>0</v>
      </c>
    </row>
    <row r="109" spans="1:98" s="247" customFormat="1" ht="14.25" customHeight="1" x14ac:dyDescent="0.2">
      <c r="A109" s="673" t="s">
        <v>6944</v>
      </c>
      <c r="B109" s="920" t="s">
        <v>102</v>
      </c>
      <c r="C109" s="920" t="s">
        <v>4959</v>
      </c>
      <c r="D109" s="920" t="s">
        <v>102</v>
      </c>
      <c r="E109" s="611"/>
      <c r="F109" s="1200"/>
      <c r="G109" s="1200"/>
      <c r="H109" s="1200">
        <v>75000</v>
      </c>
      <c r="I109" s="1199"/>
      <c r="J109" s="1200"/>
      <c r="K109" s="608"/>
      <c r="L109" s="608"/>
      <c r="M109" s="608"/>
      <c r="N109" s="608"/>
      <c r="O109" s="608"/>
      <c r="P109" s="608"/>
      <c r="Q109" s="608"/>
      <c r="R109" s="609"/>
      <c r="S109" s="438"/>
      <c r="T109" s="434"/>
      <c r="U109" s="434"/>
      <c r="V109" s="437"/>
      <c r="W109" s="439"/>
      <c r="X109" s="434"/>
      <c r="Y109" s="434"/>
      <c r="Z109" s="437">
        <f t="shared" si="558"/>
        <v>0</v>
      </c>
      <c r="AA109" s="439"/>
      <c r="AB109" s="434"/>
      <c r="AC109" s="434"/>
      <c r="AD109" s="437">
        <f t="shared" si="626"/>
        <v>75000</v>
      </c>
      <c r="AE109" s="438"/>
      <c r="AF109" s="434"/>
      <c r="AG109" s="434"/>
      <c r="AH109" s="435">
        <f t="shared" si="627"/>
        <v>0</v>
      </c>
      <c r="AI109" s="439"/>
      <c r="AJ109" s="434"/>
      <c r="AK109" s="434"/>
      <c r="AL109" s="437">
        <f t="shared" si="628"/>
        <v>0</v>
      </c>
      <c r="AM109" s="438"/>
      <c r="AN109" s="434"/>
      <c r="AO109" s="434"/>
      <c r="AP109" s="1128">
        <f t="shared" si="629"/>
        <v>0</v>
      </c>
      <c r="AQ109" s="438"/>
      <c r="AR109" s="434"/>
      <c r="AS109" s="434"/>
      <c r="AT109" s="435">
        <f t="shared" si="630"/>
        <v>0</v>
      </c>
      <c r="AU109" s="438"/>
      <c r="AV109" s="434"/>
      <c r="AW109" s="434"/>
      <c r="AX109" s="437">
        <f t="shared" si="631"/>
        <v>0</v>
      </c>
      <c r="AY109" s="438"/>
      <c r="AZ109" s="434"/>
      <c r="BA109" s="434"/>
      <c r="BB109" s="437">
        <f t="shared" si="632"/>
        <v>0</v>
      </c>
      <c r="BC109" s="438"/>
      <c r="BD109" s="434"/>
      <c r="BE109" s="434"/>
      <c r="BF109" s="437">
        <f t="shared" si="633"/>
        <v>0</v>
      </c>
      <c r="BG109" s="438"/>
      <c r="BH109" s="434"/>
      <c r="BI109" s="434"/>
      <c r="BJ109" s="1131">
        <f t="shared" si="634"/>
        <v>0</v>
      </c>
      <c r="BK109" s="438"/>
      <c r="BL109" s="434"/>
      <c r="BM109" s="434"/>
      <c r="BN109" s="1131">
        <f t="shared" si="635"/>
        <v>0</v>
      </c>
      <c r="BO109" s="438"/>
      <c r="BP109" s="434"/>
      <c r="BQ109" s="434"/>
      <c r="BR109" s="1131">
        <f t="shared" si="606"/>
        <v>0</v>
      </c>
      <c r="BS109" s="438"/>
      <c r="BT109" s="833">
        <v>0</v>
      </c>
      <c r="BU109" s="833">
        <f t="shared" si="636"/>
        <v>0</v>
      </c>
      <c r="BV109" s="833">
        <f t="shared" si="637"/>
        <v>0</v>
      </c>
      <c r="BW109" s="833">
        <f t="shared" si="638"/>
        <v>0</v>
      </c>
      <c r="BX109" s="833">
        <f t="shared" si="639"/>
        <v>0</v>
      </c>
      <c r="BY109" s="833">
        <f t="shared" si="640"/>
        <v>0</v>
      </c>
      <c r="BZ109" s="833">
        <f t="shared" si="641"/>
        <v>0</v>
      </c>
      <c r="CA109" s="833">
        <f t="shared" si="642"/>
        <v>0</v>
      </c>
      <c r="CB109" s="833">
        <f t="shared" si="643"/>
        <v>0</v>
      </c>
      <c r="CC109" s="833">
        <f t="shared" si="644"/>
        <v>0</v>
      </c>
      <c r="CD109" s="833">
        <f t="shared" si="645"/>
        <v>0</v>
      </c>
      <c r="CE109" s="833">
        <f t="shared" si="646"/>
        <v>0</v>
      </c>
      <c r="CF109" s="833">
        <f t="shared" si="646"/>
        <v>0</v>
      </c>
      <c r="CG109" s="833"/>
      <c r="CH109" s="46">
        <f t="shared" si="647"/>
        <v>0</v>
      </c>
      <c r="CI109" s="46">
        <f t="shared" si="648"/>
        <v>0</v>
      </c>
      <c r="CJ109" s="46">
        <f t="shared" si="649"/>
        <v>0</v>
      </c>
      <c r="CK109" s="46">
        <f t="shared" si="650"/>
        <v>0</v>
      </c>
      <c r="CL109" s="46">
        <f t="shared" si="651"/>
        <v>0</v>
      </c>
      <c r="CM109" s="46">
        <f t="shared" si="652"/>
        <v>0</v>
      </c>
      <c r="CN109" s="46">
        <f t="shared" si="653"/>
        <v>0</v>
      </c>
      <c r="CO109" s="46">
        <f t="shared" si="654"/>
        <v>0</v>
      </c>
      <c r="CP109" s="46">
        <f t="shared" si="655"/>
        <v>0</v>
      </c>
      <c r="CQ109" s="46">
        <f t="shared" si="656"/>
        <v>0</v>
      </c>
      <c r="CR109" s="46">
        <f t="shared" si="657"/>
        <v>0</v>
      </c>
      <c r="CS109" s="46">
        <f t="shared" si="658"/>
        <v>0</v>
      </c>
      <c r="CT109" s="46">
        <f t="shared" si="658"/>
        <v>0</v>
      </c>
    </row>
    <row r="110" spans="1:98" s="247" customFormat="1" ht="14.25" customHeight="1" x14ac:dyDescent="0.2">
      <c r="A110" s="673"/>
      <c r="B110" s="919"/>
      <c r="C110" s="919"/>
      <c r="D110" s="919"/>
      <c r="E110" s="611"/>
      <c r="F110" s="1200"/>
      <c r="G110" s="1200"/>
      <c r="H110" s="1200"/>
      <c r="I110" s="1199"/>
      <c r="J110" s="1200"/>
      <c r="K110" s="608"/>
      <c r="L110" s="608"/>
      <c r="M110" s="608"/>
      <c r="N110" s="608"/>
      <c r="O110" s="608"/>
      <c r="P110" s="608"/>
      <c r="Q110" s="608"/>
      <c r="R110" s="609"/>
      <c r="S110" s="438"/>
      <c r="T110" s="434"/>
      <c r="U110" s="434"/>
      <c r="V110" s="437"/>
      <c r="W110" s="439"/>
      <c r="X110" s="434"/>
      <c r="Y110" s="434"/>
      <c r="Z110" s="437">
        <f t="shared" si="558"/>
        <v>0</v>
      </c>
      <c r="AA110" s="439"/>
      <c r="AB110" s="434"/>
      <c r="AC110" s="434"/>
      <c r="AD110" s="437"/>
      <c r="AE110" s="438"/>
      <c r="AF110" s="434"/>
      <c r="AG110" s="434"/>
      <c r="AH110" s="435"/>
      <c r="AI110" s="439"/>
      <c r="AJ110" s="434"/>
      <c r="AK110" s="434"/>
      <c r="AL110" s="437"/>
      <c r="AM110" s="438"/>
      <c r="AN110" s="434"/>
      <c r="AO110" s="434"/>
      <c r="AP110" s="1128"/>
      <c r="AQ110" s="438"/>
      <c r="AR110" s="434"/>
      <c r="AS110" s="434"/>
      <c r="AT110" s="435"/>
      <c r="AU110" s="438"/>
      <c r="AV110" s="434"/>
      <c r="AW110" s="434"/>
      <c r="AX110" s="437"/>
      <c r="AY110" s="438"/>
      <c r="AZ110" s="434"/>
      <c r="BA110" s="434"/>
      <c r="BB110" s="437"/>
      <c r="BC110" s="438"/>
      <c r="BD110" s="434"/>
      <c r="BE110" s="434"/>
      <c r="BF110" s="437"/>
      <c r="BG110" s="438"/>
      <c r="BH110" s="434"/>
      <c r="BI110" s="434"/>
      <c r="BJ110" s="437"/>
      <c r="BK110" s="438"/>
      <c r="BL110" s="434"/>
      <c r="BM110" s="434"/>
      <c r="BN110" s="1131"/>
      <c r="BO110" s="438"/>
      <c r="BP110" s="434"/>
      <c r="BQ110" s="434"/>
      <c r="BR110" s="1131"/>
      <c r="BS110" s="438"/>
      <c r="BT110" s="379"/>
      <c r="BU110" s="379"/>
      <c r="BV110" s="379"/>
      <c r="BW110" s="379"/>
      <c r="BX110" s="379"/>
      <c r="BY110" s="379"/>
      <c r="BZ110" s="379"/>
      <c r="CA110" s="379"/>
      <c r="CB110" s="379"/>
      <c r="CC110" s="379"/>
      <c r="CD110" s="379"/>
      <c r="CE110" s="379"/>
      <c r="CF110" s="379"/>
      <c r="CG110" s="379"/>
      <c r="CH110" s="34"/>
      <c r="CI110" s="34"/>
      <c r="CJ110" s="34"/>
      <c r="CK110" s="34"/>
      <c r="CL110" s="34"/>
      <c r="CM110" s="34"/>
      <c r="CN110" s="34"/>
      <c r="CO110" s="34"/>
      <c r="CP110" s="34"/>
      <c r="CQ110" s="34"/>
      <c r="CR110" s="34"/>
      <c r="CS110" s="34"/>
      <c r="CT110" s="34"/>
    </row>
    <row r="111" spans="1:98" s="247" customFormat="1" ht="14.25" customHeight="1" x14ac:dyDescent="0.2">
      <c r="A111" s="534" t="s">
        <v>1137</v>
      </c>
      <c r="B111" s="919"/>
      <c r="C111" s="919"/>
      <c r="D111" s="919"/>
      <c r="E111" s="611"/>
      <c r="F111" s="1200"/>
      <c r="G111" s="1200"/>
      <c r="H111" s="1200"/>
      <c r="I111" s="1199"/>
      <c r="J111" s="1200"/>
      <c r="K111" s="608"/>
      <c r="L111" s="608"/>
      <c r="M111" s="608"/>
      <c r="N111" s="608"/>
      <c r="O111" s="608"/>
      <c r="P111" s="608"/>
      <c r="Q111" s="608"/>
      <c r="R111" s="609"/>
      <c r="S111" s="438"/>
      <c r="T111" s="434"/>
      <c r="U111" s="434"/>
      <c r="V111" s="437"/>
      <c r="W111" s="439"/>
      <c r="X111" s="434"/>
      <c r="Y111" s="434"/>
      <c r="Z111" s="437">
        <f t="shared" si="558"/>
        <v>0</v>
      </c>
      <c r="AA111" s="439"/>
      <c r="AB111" s="434"/>
      <c r="AC111" s="434"/>
      <c r="AD111" s="437"/>
      <c r="AE111" s="438"/>
      <c r="AF111" s="434"/>
      <c r="AG111" s="434"/>
      <c r="AH111" s="435"/>
      <c r="AI111" s="439"/>
      <c r="AJ111" s="434"/>
      <c r="AK111" s="434"/>
      <c r="AL111" s="437"/>
      <c r="AM111" s="438"/>
      <c r="AN111" s="434"/>
      <c r="AO111" s="434"/>
      <c r="AP111" s="1128"/>
      <c r="AQ111" s="438"/>
      <c r="AR111" s="434"/>
      <c r="AS111" s="434"/>
      <c r="AT111" s="435"/>
      <c r="AU111" s="438"/>
      <c r="AV111" s="434"/>
      <c r="AW111" s="434"/>
      <c r="AX111" s="437"/>
      <c r="AY111" s="438"/>
      <c r="AZ111" s="434"/>
      <c r="BA111" s="434"/>
      <c r="BB111" s="437"/>
      <c r="BC111" s="438"/>
      <c r="BD111" s="434"/>
      <c r="BE111" s="434"/>
      <c r="BF111" s="437"/>
      <c r="BG111" s="438"/>
      <c r="BH111" s="434"/>
      <c r="BI111" s="434"/>
      <c r="BJ111" s="437"/>
      <c r="BK111" s="438"/>
      <c r="BL111" s="434"/>
      <c r="BM111" s="434"/>
      <c r="BN111" s="1131"/>
      <c r="BO111" s="438"/>
      <c r="BP111" s="434"/>
      <c r="BQ111" s="434"/>
      <c r="BR111" s="1131"/>
      <c r="BS111" s="438"/>
      <c r="BT111" s="833"/>
      <c r="BU111" s="833"/>
      <c r="BV111" s="833"/>
      <c r="BW111" s="833"/>
      <c r="BX111" s="833"/>
      <c r="BY111" s="833"/>
      <c r="BZ111" s="833"/>
      <c r="CA111" s="833"/>
      <c r="CB111" s="833"/>
      <c r="CC111" s="833"/>
      <c r="CD111" s="833"/>
      <c r="CE111" s="833"/>
      <c r="CF111" s="833"/>
      <c r="CG111" s="833"/>
      <c r="CH111" s="31"/>
      <c r="CI111" s="31"/>
      <c r="CJ111" s="31"/>
      <c r="CK111" s="31"/>
      <c r="CL111" s="31"/>
      <c r="CM111" s="31"/>
      <c r="CN111" s="31"/>
      <c r="CO111" s="31"/>
      <c r="CP111" s="31"/>
      <c r="CQ111" s="31"/>
      <c r="CR111" s="31"/>
      <c r="CS111" s="31"/>
      <c r="CT111" s="31"/>
    </row>
    <row r="112" spans="1:98" s="247" customFormat="1" ht="14.25" customHeight="1" x14ac:dyDescent="0.2">
      <c r="A112" s="672" t="s">
        <v>3407</v>
      </c>
      <c r="B112" s="920" t="s">
        <v>5045</v>
      </c>
      <c r="C112" s="920" t="s">
        <v>4959</v>
      </c>
      <c r="D112" s="920" t="s">
        <v>5044</v>
      </c>
      <c r="E112" s="611">
        <v>0</v>
      </c>
      <c r="F112" s="1200">
        <v>4400</v>
      </c>
      <c r="G112" s="1200">
        <v>3400</v>
      </c>
      <c r="H112" s="1200">
        <v>16000</v>
      </c>
      <c r="I112" s="1200">
        <v>16000</v>
      </c>
      <c r="J112" s="1200">
        <v>17000</v>
      </c>
      <c r="K112" s="608">
        <v>17000</v>
      </c>
      <c r="L112" s="608">
        <v>18000</v>
      </c>
      <c r="M112" s="608">
        <v>18000</v>
      </c>
      <c r="N112" s="608">
        <v>19000</v>
      </c>
      <c r="O112" s="608">
        <v>20000</v>
      </c>
      <c r="P112" s="608">
        <v>21000</v>
      </c>
      <c r="Q112" s="608">
        <v>22000</v>
      </c>
      <c r="R112" s="609">
        <v>22000</v>
      </c>
      <c r="S112" s="438"/>
      <c r="T112" s="434"/>
      <c r="U112" s="434"/>
      <c r="V112" s="437">
        <f>$F112-S112-T112-U112</f>
        <v>4400</v>
      </c>
      <c r="W112" s="439"/>
      <c r="X112" s="434"/>
      <c r="Y112" s="434"/>
      <c r="Z112" s="437">
        <f t="shared" si="558"/>
        <v>3400</v>
      </c>
      <c r="AA112" s="439"/>
      <c r="AB112" s="434"/>
      <c r="AC112" s="434"/>
      <c r="AD112" s="437">
        <f>$H112-AA112-AB112-AC112</f>
        <v>16000</v>
      </c>
      <c r="AE112" s="438"/>
      <c r="AF112" s="434"/>
      <c r="AG112" s="434"/>
      <c r="AH112" s="435">
        <f>$I112-AE112-AF112-AG112</f>
        <v>16000</v>
      </c>
      <c r="AI112" s="439"/>
      <c r="AJ112" s="434"/>
      <c r="AK112" s="434"/>
      <c r="AL112" s="437">
        <f>$J112-AI112-AJ112-AK112</f>
        <v>17000</v>
      </c>
      <c r="AM112" s="438"/>
      <c r="AN112" s="434"/>
      <c r="AO112" s="434"/>
      <c r="AP112" s="1128">
        <f>$K112-AM112-AN112-AO112</f>
        <v>17000</v>
      </c>
      <c r="AQ112" s="438"/>
      <c r="AR112" s="434"/>
      <c r="AS112" s="434"/>
      <c r="AT112" s="435">
        <f>$L112-AQ112-AR112-AS112</f>
        <v>18000</v>
      </c>
      <c r="AU112" s="438"/>
      <c r="AV112" s="434"/>
      <c r="AW112" s="434"/>
      <c r="AX112" s="437">
        <f>$M112-AU112-AV112-AW112</f>
        <v>18000</v>
      </c>
      <c r="AY112" s="438"/>
      <c r="AZ112" s="434"/>
      <c r="BA112" s="434"/>
      <c r="BB112" s="437">
        <f>$N112-AY112-AZ112-BA112</f>
        <v>19000</v>
      </c>
      <c r="BC112" s="438"/>
      <c r="BD112" s="434"/>
      <c r="BE112" s="434"/>
      <c r="BF112" s="437">
        <f>$O112-BC112-BD112-BE112</f>
        <v>20000</v>
      </c>
      <c r="BG112" s="438"/>
      <c r="BH112" s="434"/>
      <c r="BI112" s="434"/>
      <c r="BJ112" s="1131">
        <f t="shared" ref="BJ112" si="659">$P112-BG112-BH112-BI112</f>
        <v>21000</v>
      </c>
      <c r="BK112" s="438"/>
      <c r="BL112" s="434"/>
      <c r="BM112" s="434"/>
      <c r="BN112" s="1131">
        <f t="shared" si="568"/>
        <v>22000</v>
      </c>
      <c r="BO112" s="438"/>
      <c r="BP112" s="434"/>
      <c r="BQ112" s="434"/>
      <c r="BR112" s="1131">
        <f t="shared" ref="BR112" si="660">$R112-BO112-BP112-BQ112</f>
        <v>22000</v>
      </c>
      <c r="BS112" s="438"/>
      <c r="BT112" s="833">
        <v>0</v>
      </c>
      <c r="BU112" s="833">
        <f t="shared" ref="BU112:CF112" si="661">BT112</f>
        <v>0</v>
      </c>
      <c r="BV112" s="833">
        <f t="shared" si="661"/>
        <v>0</v>
      </c>
      <c r="BW112" s="833">
        <f t="shared" si="661"/>
        <v>0</v>
      </c>
      <c r="BX112" s="833">
        <f t="shared" si="661"/>
        <v>0</v>
      </c>
      <c r="BY112" s="833">
        <f t="shared" si="661"/>
        <v>0</v>
      </c>
      <c r="BZ112" s="833">
        <f t="shared" si="661"/>
        <v>0</v>
      </c>
      <c r="CA112" s="833">
        <f t="shared" si="661"/>
        <v>0</v>
      </c>
      <c r="CB112" s="833">
        <f t="shared" si="661"/>
        <v>0</v>
      </c>
      <c r="CC112" s="833">
        <f t="shared" si="661"/>
        <v>0</v>
      </c>
      <c r="CD112" s="833">
        <f t="shared" si="661"/>
        <v>0</v>
      </c>
      <c r="CE112" s="833">
        <f t="shared" si="661"/>
        <v>0</v>
      </c>
      <c r="CF112" s="833">
        <f t="shared" si="661"/>
        <v>0</v>
      </c>
      <c r="CG112" s="833"/>
      <c r="CH112" s="46">
        <f t="shared" ref="CH112:CT112" si="662">ROUND(BT112*F112,-3)</f>
        <v>0</v>
      </c>
      <c r="CI112" s="46">
        <f t="shared" si="662"/>
        <v>0</v>
      </c>
      <c r="CJ112" s="46">
        <f t="shared" si="662"/>
        <v>0</v>
      </c>
      <c r="CK112" s="46">
        <f t="shared" si="662"/>
        <v>0</v>
      </c>
      <c r="CL112" s="46">
        <f t="shared" si="662"/>
        <v>0</v>
      </c>
      <c r="CM112" s="46">
        <f t="shared" si="662"/>
        <v>0</v>
      </c>
      <c r="CN112" s="46">
        <f t="shared" si="662"/>
        <v>0</v>
      </c>
      <c r="CO112" s="46">
        <f t="shared" si="662"/>
        <v>0</v>
      </c>
      <c r="CP112" s="46">
        <f t="shared" si="662"/>
        <v>0</v>
      </c>
      <c r="CQ112" s="46">
        <f t="shared" si="662"/>
        <v>0</v>
      </c>
      <c r="CR112" s="46">
        <f t="shared" si="662"/>
        <v>0</v>
      </c>
      <c r="CS112" s="46">
        <f t="shared" si="662"/>
        <v>0</v>
      </c>
      <c r="CT112" s="46">
        <f t="shared" si="662"/>
        <v>0</v>
      </c>
    </row>
    <row r="113" spans="1:98" s="247" customFormat="1" ht="14.25" customHeight="1" x14ac:dyDescent="0.2">
      <c r="A113" s="672" t="s">
        <v>11825</v>
      </c>
      <c r="B113" s="920" t="s">
        <v>11826</v>
      </c>
      <c r="C113" s="920"/>
      <c r="D113" s="920"/>
      <c r="E113" s="611"/>
      <c r="F113" s="1200"/>
      <c r="G113" s="1199">
        <v>100</v>
      </c>
      <c r="H113" s="1200"/>
      <c r="I113" s="1199"/>
      <c r="J113" s="1199"/>
      <c r="K113" s="608"/>
      <c r="L113" s="608"/>
      <c r="M113" s="608"/>
      <c r="N113" s="608"/>
      <c r="O113" s="608"/>
      <c r="P113" s="608"/>
      <c r="Q113" s="608"/>
      <c r="R113" s="609"/>
      <c r="S113" s="438"/>
      <c r="T113" s="434"/>
      <c r="U113" s="434"/>
      <c r="V113" s="437"/>
      <c r="W113" s="439"/>
      <c r="X113" s="434"/>
      <c r="Y113" s="434"/>
      <c r="Z113" s="437">
        <f t="shared" si="558"/>
        <v>100</v>
      </c>
      <c r="AA113" s="439"/>
      <c r="AB113" s="434"/>
      <c r="AC113" s="434"/>
      <c r="AD113" s="437"/>
      <c r="AE113" s="438"/>
      <c r="AF113" s="434"/>
      <c r="AG113" s="434"/>
      <c r="AH113" s="435"/>
      <c r="AI113" s="439"/>
      <c r="AJ113" s="434"/>
      <c r="AK113" s="434"/>
      <c r="AL113" s="437"/>
      <c r="AM113" s="438"/>
      <c r="AN113" s="434"/>
      <c r="AO113" s="434"/>
      <c r="AP113" s="1128"/>
      <c r="AQ113" s="438"/>
      <c r="AR113" s="434"/>
      <c r="AS113" s="434"/>
      <c r="AT113" s="435"/>
      <c r="AU113" s="438"/>
      <c r="AV113" s="434"/>
      <c r="AW113" s="434"/>
      <c r="AX113" s="437"/>
      <c r="AY113" s="438"/>
      <c r="AZ113" s="434"/>
      <c r="BA113" s="434"/>
      <c r="BB113" s="437"/>
      <c r="BC113" s="438"/>
      <c r="BD113" s="434"/>
      <c r="BE113" s="434"/>
      <c r="BF113" s="437"/>
      <c r="BG113" s="438"/>
      <c r="BH113" s="434"/>
      <c r="BI113" s="434"/>
      <c r="BJ113" s="1131"/>
      <c r="BK113" s="438"/>
      <c r="BL113" s="434"/>
      <c r="BM113" s="434"/>
      <c r="BN113" s="1131"/>
      <c r="BO113" s="438"/>
      <c r="BP113" s="434"/>
      <c r="BQ113" s="434"/>
      <c r="BR113" s="1131"/>
      <c r="BS113" s="438"/>
      <c r="BT113" s="833"/>
      <c r="BU113" s="833"/>
      <c r="BV113" s="833"/>
      <c r="BW113" s="833"/>
      <c r="BX113" s="833"/>
      <c r="BY113" s="833"/>
      <c r="BZ113" s="833"/>
      <c r="CA113" s="833"/>
      <c r="CB113" s="833"/>
      <c r="CC113" s="833"/>
      <c r="CD113" s="833"/>
      <c r="CE113" s="833"/>
      <c r="CF113" s="833"/>
      <c r="CG113" s="833"/>
      <c r="CH113" s="46"/>
      <c r="CI113" s="46"/>
      <c r="CJ113" s="46"/>
      <c r="CK113" s="46"/>
      <c r="CL113" s="46"/>
      <c r="CM113" s="46"/>
      <c r="CN113" s="46"/>
      <c r="CO113" s="46"/>
      <c r="CP113" s="46"/>
      <c r="CQ113" s="46"/>
      <c r="CR113" s="46"/>
      <c r="CS113" s="46"/>
      <c r="CT113" s="46"/>
    </row>
    <row r="114" spans="1:98" s="247" customFormat="1" ht="14.25" customHeight="1" x14ac:dyDescent="0.2">
      <c r="A114" s="673" t="s">
        <v>6825</v>
      </c>
      <c r="B114" s="920" t="s">
        <v>5793</v>
      </c>
      <c r="C114" s="919"/>
      <c r="D114" s="920" t="s">
        <v>5792</v>
      </c>
      <c r="E114" s="611"/>
      <c r="F114" s="1200"/>
      <c r="G114" s="1199"/>
      <c r="H114" s="1200">
        <v>30000</v>
      </c>
      <c r="I114" s="1199"/>
      <c r="J114" s="1199"/>
      <c r="K114" s="608"/>
      <c r="L114" s="608"/>
      <c r="M114" s="608"/>
      <c r="N114" s="608"/>
      <c r="O114" s="608"/>
      <c r="P114" s="608"/>
      <c r="Q114" s="608"/>
      <c r="R114" s="609"/>
      <c r="S114" s="438"/>
      <c r="T114" s="434"/>
      <c r="U114" s="434"/>
      <c r="V114" s="437">
        <f t="shared" ref="V114:V116" si="663">$F114-S114-T114-U114</f>
        <v>0</v>
      </c>
      <c r="W114" s="439"/>
      <c r="X114" s="434"/>
      <c r="Y114" s="434"/>
      <c r="Z114" s="437">
        <f t="shared" si="558"/>
        <v>0</v>
      </c>
      <c r="AA114" s="439"/>
      <c r="AB114" s="434"/>
      <c r="AC114" s="434"/>
      <c r="AD114" s="437">
        <f t="shared" ref="AD114:AD116" si="664">$H114-AA114-AB114-AC114</f>
        <v>30000</v>
      </c>
      <c r="AE114" s="438"/>
      <c r="AF114" s="434"/>
      <c r="AG114" s="434"/>
      <c r="AH114" s="435">
        <f t="shared" ref="AH114:AH116" si="665">$I114-AE114-AF114-AG114</f>
        <v>0</v>
      </c>
      <c r="AI114" s="439"/>
      <c r="AJ114" s="434"/>
      <c r="AK114" s="434"/>
      <c r="AL114" s="437">
        <f t="shared" ref="AL114:AL116" si="666">$J114-AI114-AJ114-AK114</f>
        <v>0</v>
      </c>
      <c r="AM114" s="438"/>
      <c r="AN114" s="434"/>
      <c r="AO114" s="434"/>
      <c r="AP114" s="1128">
        <f t="shared" ref="AP114:AP116" si="667">$K114-AM114-AN114-AO114</f>
        <v>0</v>
      </c>
      <c r="AQ114" s="438"/>
      <c r="AR114" s="434"/>
      <c r="AS114" s="434"/>
      <c r="AT114" s="435">
        <f t="shared" ref="AT114:AT116" si="668">$L114-AQ114-AR114-AS114</f>
        <v>0</v>
      </c>
      <c r="AU114" s="438"/>
      <c r="AV114" s="434"/>
      <c r="AW114" s="434"/>
      <c r="AX114" s="437">
        <f t="shared" ref="AX114:AX116" si="669">$M114-AU114-AV114-AW114</f>
        <v>0</v>
      </c>
      <c r="AY114" s="438"/>
      <c r="AZ114" s="434"/>
      <c r="BA114" s="434"/>
      <c r="BB114" s="437">
        <f t="shared" ref="BB114:BB116" si="670">$N114-AY114-AZ114-BA114</f>
        <v>0</v>
      </c>
      <c r="BC114" s="438"/>
      <c r="BD114" s="434"/>
      <c r="BE114" s="434"/>
      <c r="BF114" s="437">
        <f t="shared" ref="BF114:BF116" si="671">$O114-BC114-BD114-BE114</f>
        <v>0</v>
      </c>
      <c r="BG114" s="438"/>
      <c r="BH114" s="434"/>
      <c r="BI114" s="434"/>
      <c r="BJ114" s="1131">
        <f t="shared" ref="BJ114:BJ116" si="672">$P114-BG114-BH114-BI114</f>
        <v>0</v>
      </c>
      <c r="BK114" s="438"/>
      <c r="BL114" s="434"/>
      <c r="BM114" s="434"/>
      <c r="BN114" s="1131">
        <f t="shared" si="568"/>
        <v>0</v>
      </c>
      <c r="BO114" s="438"/>
      <c r="BP114" s="434"/>
      <c r="BQ114" s="434"/>
      <c r="BR114" s="1131">
        <f t="shared" ref="BR114:BR116" si="673">$R114-BO114-BP114-BQ114</f>
        <v>0</v>
      </c>
      <c r="BS114" s="438"/>
      <c r="BT114" s="833">
        <v>0</v>
      </c>
      <c r="BU114" s="833">
        <f t="shared" ref="BU114:BU116" si="674">BT114</f>
        <v>0</v>
      </c>
      <c r="BV114" s="833">
        <f t="shared" ref="BV114:BV116" si="675">BU114</f>
        <v>0</v>
      </c>
      <c r="BW114" s="833">
        <f t="shared" ref="BW114:BW116" si="676">BV114</f>
        <v>0</v>
      </c>
      <c r="BX114" s="833">
        <f t="shared" ref="BX114:BX116" si="677">BW114</f>
        <v>0</v>
      </c>
      <c r="BY114" s="833">
        <f t="shared" ref="BY114:BY116" si="678">BX114</f>
        <v>0</v>
      </c>
      <c r="BZ114" s="833">
        <f t="shared" ref="BZ114:BZ116" si="679">BY114</f>
        <v>0</v>
      </c>
      <c r="CA114" s="833">
        <f t="shared" ref="CA114:CA116" si="680">BZ114</f>
        <v>0</v>
      </c>
      <c r="CB114" s="833">
        <f t="shared" ref="CB114:CB116" si="681">CA114</f>
        <v>0</v>
      </c>
      <c r="CC114" s="833">
        <f t="shared" ref="CC114:CC116" si="682">CB114</f>
        <v>0</v>
      </c>
      <c r="CD114" s="833">
        <f t="shared" ref="CD114:CF116" si="683">CC114</f>
        <v>0</v>
      </c>
      <c r="CE114" s="833">
        <f t="shared" si="683"/>
        <v>0</v>
      </c>
      <c r="CF114" s="833">
        <f t="shared" si="683"/>
        <v>0</v>
      </c>
      <c r="CG114" s="833"/>
      <c r="CH114" s="46">
        <f t="shared" ref="CH114:CT116" si="684">ROUND(BT114*F114,-3)</f>
        <v>0</v>
      </c>
      <c r="CI114" s="46">
        <f t="shared" si="684"/>
        <v>0</v>
      </c>
      <c r="CJ114" s="46">
        <f t="shared" si="684"/>
        <v>0</v>
      </c>
      <c r="CK114" s="46">
        <f t="shared" si="684"/>
        <v>0</v>
      </c>
      <c r="CL114" s="46">
        <f t="shared" si="684"/>
        <v>0</v>
      </c>
      <c r="CM114" s="46">
        <f t="shared" si="684"/>
        <v>0</v>
      </c>
      <c r="CN114" s="46">
        <f t="shared" si="684"/>
        <v>0</v>
      </c>
      <c r="CO114" s="46">
        <f t="shared" si="684"/>
        <v>0</v>
      </c>
      <c r="CP114" s="46">
        <f t="shared" si="684"/>
        <v>0</v>
      </c>
      <c r="CQ114" s="46">
        <f t="shared" si="684"/>
        <v>0</v>
      </c>
      <c r="CR114" s="46">
        <f t="shared" si="684"/>
        <v>0</v>
      </c>
      <c r="CS114" s="46">
        <f t="shared" si="684"/>
        <v>0</v>
      </c>
      <c r="CT114" s="46">
        <f t="shared" si="684"/>
        <v>0</v>
      </c>
    </row>
    <row r="115" spans="1:98" s="247" customFormat="1" ht="14.25" customHeight="1" x14ac:dyDescent="0.2">
      <c r="A115" s="673" t="s">
        <v>5947</v>
      </c>
      <c r="B115" s="920" t="s">
        <v>6315</v>
      </c>
      <c r="C115" s="920" t="s">
        <v>6316</v>
      </c>
      <c r="D115" s="920" t="s">
        <v>6316</v>
      </c>
      <c r="E115" s="611"/>
      <c r="F115" s="1200"/>
      <c r="G115" s="1199"/>
      <c r="H115" s="1200">
        <v>150000</v>
      </c>
      <c r="I115" s="1199">
        <v>150000</v>
      </c>
      <c r="J115" s="1199">
        <v>150000</v>
      </c>
      <c r="K115" s="608"/>
      <c r="L115" s="608"/>
      <c r="M115" s="608"/>
      <c r="N115" s="608"/>
      <c r="O115" s="608"/>
      <c r="P115" s="608"/>
      <c r="Q115" s="608"/>
      <c r="R115" s="609"/>
      <c r="S115" s="438"/>
      <c r="T115" s="434"/>
      <c r="U115" s="434"/>
      <c r="V115" s="437"/>
      <c r="W115" s="439"/>
      <c r="X115" s="434"/>
      <c r="Y115" s="434"/>
      <c r="Z115" s="437">
        <f t="shared" si="558"/>
        <v>0</v>
      </c>
      <c r="AA115" s="439"/>
      <c r="AB115" s="434"/>
      <c r="AC115" s="434"/>
      <c r="AD115" s="437">
        <f t="shared" si="664"/>
        <v>150000</v>
      </c>
      <c r="AE115" s="438"/>
      <c r="AF115" s="434"/>
      <c r="AG115" s="434"/>
      <c r="AH115" s="435">
        <f t="shared" si="665"/>
        <v>150000</v>
      </c>
      <c r="AI115" s="439"/>
      <c r="AJ115" s="434"/>
      <c r="AK115" s="434"/>
      <c r="AL115" s="437">
        <f t="shared" si="666"/>
        <v>150000</v>
      </c>
      <c r="AM115" s="438"/>
      <c r="AN115" s="434"/>
      <c r="AO115" s="434"/>
      <c r="AP115" s="1128">
        <f t="shared" si="667"/>
        <v>0</v>
      </c>
      <c r="AQ115" s="438"/>
      <c r="AR115" s="434"/>
      <c r="AS115" s="434"/>
      <c r="AT115" s="435">
        <f t="shared" si="668"/>
        <v>0</v>
      </c>
      <c r="AU115" s="438"/>
      <c r="AV115" s="434"/>
      <c r="AW115" s="434"/>
      <c r="AX115" s="437">
        <f t="shared" si="669"/>
        <v>0</v>
      </c>
      <c r="AY115" s="438"/>
      <c r="AZ115" s="434"/>
      <c r="BA115" s="434"/>
      <c r="BB115" s="437">
        <f t="shared" si="670"/>
        <v>0</v>
      </c>
      <c r="BC115" s="438"/>
      <c r="BD115" s="434"/>
      <c r="BE115" s="434"/>
      <c r="BF115" s="437">
        <f t="shared" si="671"/>
        <v>0</v>
      </c>
      <c r="BG115" s="438"/>
      <c r="BH115" s="434"/>
      <c r="BI115" s="434"/>
      <c r="BJ115" s="1131">
        <f t="shared" si="672"/>
        <v>0</v>
      </c>
      <c r="BK115" s="438"/>
      <c r="BL115" s="434"/>
      <c r="BM115" s="434"/>
      <c r="BN115" s="1131">
        <f t="shared" si="568"/>
        <v>0</v>
      </c>
      <c r="BO115" s="438"/>
      <c r="BP115" s="434"/>
      <c r="BQ115" s="434"/>
      <c r="BR115" s="1131">
        <f t="shared" si="673"/>
        <v>0</v>
      </c>
      <c r="BS115" s="438"/>
      <c r="BT115" s="833">
        <v>0</v>
      </c>
      <c r="BU115" s="833">
        <f t="shared" ref="BU115" si="685">BT115</f>
        <v>0</v>
      </c>
      <c r="BV115" s="833">
        <f t="shared" ref="BV115" si="686">BU115</f>
        <v>0</v>
      </c>
      <c r="BW115" s="833">
        <f t="shared" ref="BW115" si="687">BV115</f>
        <v>0</v>
      </c>
      <c r="BX115" s="833">
        <f t="shared" ref="BX115" si="688">BW115</f>
        <v>0</v>
      </c>
      <c r="BY115" s="833">
        <f t="shared" ref="BY115" si="689">BX115</f>
        <v>0</v>
      </c>
      <c r="BZ115" s="833">
        <f t="shared" ref="BZ115" si="690">BY115</f>
        <v>0</v>
      </c>
      <c r="CA115" s="833">
        <f t="shared" ref="CA115" si="691">BZ115</f>
        <v>0</v>
      </c>
      <c r="CB115" s="833">
        <f t="shared" ref="CB115" si="692">CA115</f>
        <v>0</v>
      </c>
      <c r="CC115" s="833">
        <f t="shared" ref="CC115" si="693">CB115</f>
        <v>0</v>
      </c>
      <c r="CD115" s="833">
        <f t="shared" ref="CD115:CF115" si="694">CC115</f>
        <v>0</v>
      </c>
      <c r="CE115" s="833">
        <f t="shared" si="694"/>
        <v>0</v>
      </c>
      <c r="CF115" s="833">
        <f t="shared" si="694"/>
        <v>0</v>
      </c>
      <c r="CG115" s="833"/>
      <c r="CH115" s="46">
        <f t="shared" si="684"/>
        <v>0</v>
      </c>
      <c r="CI115" s="46">
        <f t="shared" si="684"/>
        <v>0</v>
      </c>
      <c r="CJ115" s="46">
        <f t="shared" si="684"/>
        <v>0</v>
      </c>
      <c r="CK115" s="46">
        <f t="shared" si="684"/>
        <v>0</v>
      </c>
      <c r="CL115" s="46">
        <f t="shared" si="684"/>
        <v>0</v>
      </c>
      <c r="CM115" s="46">
        <f t="shared" si="684"/>
        <v>0</v>
      </c>
      <c r="CN115" s="46">
        <f t="shared" si="684"/>
        <v>0</v>
      </c>
      <c r="CO115" s="46">
        <f t="shared" si="684"/>
        <v>0</v>
      </c>
      <c r="CP115" s="46">
        <f t="shared" si="684"/>
        <v>0</v>
      </c>
      <c r="CQ115" s="46">
        <f t="shared" si="684"/>
        <v>0</v>
      </c>
      <c r="CR115" s="46">
        <f t="shared" si="684"/>
        <v>0</v>
      </c>
      <c r="CS115" s="46">
        <f t="shared" si="684"/>
        <v>0</v>
      </c>
      <c r="CT115" s="46">
        <f t="shared" si="684"/>
        <v>0</v>
      </c>
    </row>
    <row r="116" spans="1:98" s="247" customFormat="1" ht="14.25" customHeight="1" x14ac:dyDescent="0.2">
      <c r="A116" s="673" t="s">
        <v>1137</v>
      </c>
      <c r="B116" s="920" t="s">
        <v>5482</v>
      </c>
      <c r="C116" s="920" t="s">
        <v>5483</v>
      </c>
      <c r="D116" s="920"/>
      <c r="E116" s="611"/>
      <c r="F116" s="1200">
        <f>29900+33800</f>
        <v>63700</v>
      </c>
      <c r="G116" s="1199">
        <v>47600</v>
      </c>
      <c r="H116" s="1200"/>
      <c r="I116" s="1199"/>
      <c r="J116" s="1199"/>
      <c r="K116" s="608"/>
      <c r="L116" s="608"/>
      <c r="M116" s="608"/>
      <c r="N116" s="608"/>
      <c r="O116" s="608"/>
      <c r="P116" s="608"/>
      <c r="Q116" s="608"/>
      <c r="R116" s="609"/>
      <c r="S116" s="438"/>
      <c r="T116" s="434"/>
      <c r="U116" s="434"/>
      <c r="V116" s="437">
        <f t="shared" si="663"/>
        <v>63700</v>
      </c>
      <c r="W116" s="439"/>
      <c r="X116" s="434"/>
      <c r="Y116" s="434"/>
      <c r="Z116" s="437">
        <f t="shared" si="558"/>
        <v>47600</v>
      </c>
      <c r="AA116" s="439"/>
      <c r="AB116" s="434"/>
      <c r="AC116" s="434"/>
      <c r="AD116" s="437">
        <f t="shared" si="664"/>
        <v>0</v>
      </c>
      <c r="AE116" s="438"/>
      <c r="AF116" s="434"/>
      <c r="AG116" s="434"/>
      <c r="AH116" s="435">
        <f t="shared" si="665"/>
        <v>0</v>
      </c>
      <c r="AI116" s="439"/>
      <c r="AJ116" s="434"/>
      <c r="AK116" s="434"/>
      <c r="AL116" s="437">
        <f t="shared" si="666"/>
        <v>0</v>
      </c>
      <c r="AM116" s="438"/>
      <c r="AN116" s="434"/>
      <c r="AO116" s="434"/>
      <c r="AP116" s="1128">
        <f t="shared" si="667"/>
        <v>0</v>
      </c>
      <c r="AQ116" s="438"/>
      <c r="AR116" s="434"/>
      <c r="AS116" s="434"/>
      <c r="AT116" s="435">
        <f t="shared" si="668"/>
        <v>0</v>
      </c>
      <c r="AU116" s="438"/>
      <c r="AV116" s="434"/>
      <c r="AW116" s="434"/>
      <c r="AX116" s="437">
        <f t="shared" si="669"/>
        <v>0</v>
      </c>
      <c r="AY116" s="438"/>
      <c r="AZ116" s="434"/>
      <c r="BA116" s="434"/>
      <c r="BB116" s="437">
        <f t="shared" si="670"/>
        <v>0</v>
      </c>
      <c r="BC116" s="438"/>
      <c r="BD116" s="434"/>
      <c r="BE116" s="434"/>
      <c r="BF116" s="437">
        <f t="shared" si="671"/>
        <v>0</v>
      </c>
      <c r="BG116" s="438"/>
      <c r="BH116" s="434"/>
      <c r="BI116" s="434"/>
      <c r="BJ116" s="1131">
        <f t="shared" si="672"/>
        <v>0</v>
      </c>
      <c r="BK116" s="438"/>
      <c r="BL116" s="434"/>
      <c r="BM116" s="434"/>
      <c r="BN116" s="1131">
        <f t="shared" si="568"/>
        <v>0</v>
      </c>
      <c r="BO116" s="438"/>
      <c r="BP116" s="434"/>
      <c r="BQ116" s="434"/>
      <c r="BR116" s="1131">
        <f t="shared" si="673"/>
        <v>0</v>
      </c>
      <c r="BS116" s="438"/>
      <c r="BT116" s="833">
        <v>0</v>
      </c>
      <c r="BU116" s="833">
        <f t="shared" si="674"/>
        <v>0</v>
      </c>
      <c r="BV116" s="833">
        <f t="shared" si="675"/>
        <v>0</v>
      </c>
      <c r="BW116" s="833">
        <f t="shared" si="676"/>
        <v>0</v>
      </c>
      <c r="BX116" s="833">
        <f t="shared" si="677"/>
        <v>0</v>
      </c>
      <c r="BY116" s="833">
        <f t="shared" si="678"/>
        <v>0</v>
      </c>
      <c r="BZ116" s="833">
        <f t="shared" si="679"/>
        <v>0</v>
      </c>
      <c r="CA116" s="833">
        <f t="shared" si="680"/>
        <v>0</v>
      </c>
      <c r="CB116" s="833">
        <f t="shared" si="681"/>
        <v>0</v>
      </c>
      <c r="CC116" s="833">
        <f t="shared" si="682"/>
        <v>0</v>
      </c>
      <c r="CD116" s="833">
        <f t="shared" si="683"/>
        <v>0</v>
      </c>
      <c r="CE116" s="833">
        <f t="shared" si="683"/>
        <v>0</v>
      </c>
      <c r="CF116" s="833">
        <f t="shared" si="683"/>
        <v>0</v>
      </c>
      <c r="CG116" s="833"/>
      <c r="CH116" s="46">
        <f t="shared" si="684"/>
        <v>0</v>
      </c>
      <c r="CI116" s="46">
        <f t="shared" si="684"/>
        <v>0</v>
      </c>
      <c r="CJ116" s="46">
        <f t="shared" si="684"/>
        <v>0</v>
      </c>
      <c r="CK116" s="46">
        <f t="shared" si="684"/>
        <v>0</v>
      </c>
      <c r="CL116" s="46">
        <f t="shared" si="684"/>
        <v>0</v>
      </c>
      <c r="CM116" s="46">
        <f t="shared" si="684"/>
        <v>0</v>
      </c>
      <c r="CN116" s="46">
        <f t="shared" si="684"/>
        <v>0</v>
      </c>
      <c r="CO116" s="46">
        <f t="shared" si="684"/>
        <v>0</v>
      </c>
      <c r="CP116" s="46">
        <f t="shared" si="684"/>
        <v>0</v>
      </c>
      <c r="CQ116" s="46">
        <f t="shared" si="684"/>
        <v>0</v>
      </c>
      <c r="CR116" s="46">
        <f t="shared" si="684"/>
        <v>0</v>
      </c>
      <c r="CS116" s="46">
        <f t="shared" si="684"/>
        <v>0</v>
      </c>
      <c r="CT116" s="46">
        <f t="shared" si="684"/>
        <v>0</v>
      </c>
    </row>
    <row r="117" spans="1:98" s="247" customFormat="1" ht="14.25" customHeight="1" x14ac:dyDescent="0.2">
      <c r="A117" s="673"/>
      <c r="B117" s="919"/>
      <c r="E117" s="611"/>
      <c r="F117" s="668"/>
      <c r="G117" s="668"/>
      <c r="H117" s="608"/>
      <c r="I117" s="668"/>
      <c r="J117" s="668"/>
      <c r="K117" s="608"/>
      <c r="L117" s="668"/>
      <c r="M117" s="608"/>
      <c r="N117" s="608"/>
      <c r="O117" s="608"/>
      <c r="P117" s="608"/>
      <c r="Q117" s="608"/>
      <c r="R117" s="609"/>
      <c r="S117" s="438"/>
      <c r="T117" s="434"/>
      <c r="U117" s="434"/>
      <c r="V117" s="437"/>
      <c r="W117" s="439"/>
      <c r="X117" s="434"/>
      <c r="Y117" s="434"/>
      <c r="Z117" s="437">
        <f t="shared" si="558"/>
        <v>0</v>
      </c>
      <c r="AA117" s="439"/>
      <c r="AB117" s="434"/>
      <c r="AC117" s="434"/>
      <c r="AD117" s="437"/>
      <c r="AE117" s="438"/>
      <c r="AF117" s="434"/>
      <c r="AG117" s="434"/>
      <c r="AH117" s="435"/>
      <c r="AI117" s="439"/>
      <c r="AJ117" s="434"/>
      <c r="AK117" s="434"/>
      <c r="AL117" s="437"/>
      <c r="AM117" s="438"/>
      <c r="AN117" s="434"/>
      <c r="AO117" s="434"/>
      <c r="AP117" s="1131"/>
      <c r="AQ117" s="438"/>
      <c r="AR117" s="434"/>
      <c r="AS117" s="434"/>
      <c r="AT117" s="437"/>
      <c r="AU117" s="438"/>
      <c r="AV117" s="434"/>
      <c r="AW117" s="434"/>
      <c r="AX117" s="437"/>
      <c r="AY117" s="438"/>
      <c r="AZ117" s="434"/>
      <c r="BA117" s="434"/>
      <c r="BB117" s="437"/>
      <c r="BC117" s="438"/>
      <c r="BD117" s="434"/>
      <c r="BE117" s="434"/>
      <c r="BF117" s="437"/>
      <c r="BG117" s="438"/>
      <c r="BH117" s="434"/>
      <c r="BI117" s="434"/>
      <c r="BJ117" s="437"/>
      <c r="BK117" s="438"/>
      <c r="BL117" s="434"/>
      <c r="BM117" s="434"/>
      <c r="BN117" s="1131"/>
      <c r="BO117" s="438"/>
      <c r="BP117" s="434"/>
      <c r="BQ117" s="434"/>
      <c r="BR117" s="1131"/>
      <c r="BS117" s="438"/>
      <c r="BT117" s="833"/>
      <c r="BU117" s="833"/>
      <c r="BV117" s="833"/>
      <c r="BW117" s="833"/>
      <c r="BX117" s="833"/>
      <c r="BY117" s="833"/>
      <c r="BZ117" s="833"/>
      <c r="CA117" s="833"/>
      <c r="CB117" s="833"/>
      <c r="CC117" s="833"/>
      <c r="CD117" s="833"/>
      <c r="CE117" s="833"/>
      <c r="CF117" s="833"/>
      <c r="CG117" s="833"/>
      <c r="CH117" s="46"/>
      <c r="CI117" s="46"/>
      <c r="CJ117" s="46"/>
      <c r="CK117" s="46"/>
      <c r="CL117" s="46"/>
      <c r="CM117" s="46"/>
      <c r="CN117" s="46"/>
      <c r="CO117" s="46"/>
      <c r="CP117" s="46"/>
      <c r="CQ117" s="46"/>
      <c r="CR117" s="46"/>
      <c r="CS117" s="46"/>
      <c r="CT117" s="46"/>
    </row>
    <row r="118" spans="1:98" s="247" customFormat="1" ht="14.25" customHeight="1" x14ac:dyDescent="0.2">
      <c r="A118" s="811" t="s">
        <v>4876</v>
      </c>
      <c r="B118" s="919"/>
      <c r="C118" s="919"/>
      <c r="D118" s="919"/>
      <c r="E118" s="611"/>
      <c r="F118" s="608"/>
      <c r="G118" s="668"/>
      <c r="H118" s="608"/>
      <c r="I118" s="668"/>
      <c r="J118" s="668"/>
      <c r="K118" s="668"/>
      <c r="L118" s="668"/>
      <c r="M118" s="608"/>
      <c r="N118" s="608"/>
      <c r="O118" s="608"/>
      <c r="P118" s="608"/>
      <c r="Q118" s="608"/>
      <c r="R118" s="609"/>
      <c r="S118" s="438"/>
      <c r="T118" s="434"/>
      <c r="U118" s="434"/>
      <c r="V118" s="437"/>
      <c r="W118" s="439"/>
      <c r="X118" s="434"/>
      <c r="Y118" s="434"/>
      <c r="Z118" s="437">
        <f t="shared" si="558"/>
        <v>0</v>
      </c>
      <c r="AA118" s="439"/>
      <c r="AB118" s="434"/>
      <c r="AC118" s="434"/>
      <c r="AD118" s="437"/>
      <c r="AE118" s="438"/>
      <c r="AF118" s="434"/>
      <c r="AG118" s="434"/>
      <c r="AH118" s="435"/>
      <c r="AI118" s="439"/>
      <c r="AJ118" s="434"/>
      <c r="AK118" s="434"/>
      <c r="AL118" s="437"/>
      <c r="AM118" s="438"/>
      <c r="AN118" s="434"/>
      <c r="AO118" s="434"/>
      <c r="AP118" s="1131"/>
      <c r="AQ118" s="438"/>
      <c r="AR118" s="434"/>
      <c r="AS118" s="434"/>
      <c r="AT118" s="437"/>
      <c r="AU118" s="438"/>
      <c r="AV118" s="434"/>
      <c r="AW118" s="434"/>
      <c r="AX118" s="437"/>
      <c r="AY118" s="438"/>
      <c r="AZ118" s="434"/>
      <c r="BA118" s="434"/>
      <c r="BB118" s="437"/>
      <c r="BC118" s="438"/>
      <c r="BD118" s="434"/>
      <c r="BE118" s="434"/>
      <c r="BF118" s="437"/>
      <c r="BG118" s="438"/>
      <c r="BH118" s="434"/>
      <c r="BI118" s="434"/>
      <c r="BJ118" s="437"/>
      <c r="BK118" s="438"/>
      <c r="BL118" s="434"/>
      <c r="BM118" s="434"/>
      <c r="BN118" s="1131"/>
      <c r="BO118" s="438"/>
      <c r="BP118" s="434"/>
      <c r="BQ118" s="434"/>
      <c r="BR118" s="1131"/>
      <c r="BS118" s="438"/>
      <c r="BT118" s="833"/>
      <c r="BU118" s="833"/>
      <c r="BV118" s="833"/>
      <c r="BW118" s="833"/>
      <c r="BX118" s="833"/>
      <c r="BY118" s="833"/>
      <c r="BZ118" s="833"/>
      <c r="CA118" s="833"/>
      <c r="CB118" s="833"/>
      <c r="CC118" s="833"/>
      <c r="CD118" s="833"/>
      <c r="CE118" s="833"/>
      <c r="CF118" s="833"/>
      <c r="CG118" s="833"/>
      <c r="CH118" s="46"/>
      <c r="CI118" s="46"/>
      <c r="CJ118" s="46"/>
      <c r="CK118" s="46"/>
      <c r="CL118" s="46"/>
      <c r="CM118" s="46"/>
      <c r="CN118" s="46"/>
      <c r="CO118" s="46"/>
      <c r="CP118" s="46"/>
      <c r="CQ118" s="46"/>
      <c r="CR118" s="46"/>
      <c r="CS118" s="46"/>
      <c r="CT118" s="46"/>
    </row>
    <row r="119" spans="1:98" s="247" customFormat="1" ht="14.25" customHeight="1" x14ac:dyDescent="0.2">
      <c r="A119" s="673" t="s">
        <v>6587</v>
      </c>
      <c r="B119" s="919" t="s">
        <v>1214</v>
      </c>
      <c r="C119" s="920" t="s">
        <v>4959</v>
      </c>
      <c r="D119" s="919"/>
      <c r="E119" s="611">
        <v>1</v>
      </c>
      <c r="F119" s="608"/>
      <c r="G119" s="668"/>
      <c r="H119" s="608"/>
      <c r="I119" s="668"/>
      <c r="J119" s="668"/>
      <c r="K119" s="668"/>
      <c r="L119" s="668"/>
      <c r="M119" s="608"/>
      <c r="N119" s="608"/>
      <c r="O119" s="608"/>
      <c r="P119" s="608"/>
      <c r="Q119" s="608"/>
      <c r="R119" s="609"/>
      <c r="S119" s="438"/>
      <c r="T119" s="434"/>
      <c r="U119" s="434"/>
      <c r="V119" s="437">
        <f t="shared" ref="V119:V136" si="695">$F119-S119-T119-U119</f>
        <v>0</v>
      </c>
      <c r="W119" s="439"/>
      <c r="X119" s="434"/>
      <c r="Y119" s="434"/>
      <c r="Z119" s="437">
        <f t="shared" si="558"/>
        <v>0</v>
      </c>
      <c r="AA119" s="439"/>
      <c r="AB119" s="434"/>
      <c r="AC119" s="434"/>
      <c r="AD119" s="437">
        <f t="shared" ref="AD119" si="696">$H119-AA119-AB119-AC119</f>
        <v>0</v>
      </c>
      <c r="AE119" s="438"/>
      <c r="AF119" s="434"/>
      <c r="AG119" s="434"/>
      <c r="AH119" s="435">
        <f t="shared" ref="AH119" si="697">$I119-AE119-AF119-AG119</f>
        <v>0</v>
      </c>
      <c r="AI119" s="439"/>
      <c r="AJ119" s="434"/>
      <c r="AK119" s="434"/>
      <c r="AL119" s="437">
        <f t="shared" ref="AL119" si="698">$J119-AI119-AJ119-AK119</f>
        <v>0</v>
      </c>
      <c r="AM119" s="438"/>
      <c r="AN119" s="434"/>
      <c r="AO119" s="434"/>
      <c r="AP119" s="1131">
        <f t="shared" ref="AP119" si="699">$K119-AM119-AN119-AO119</f>
        <v>0</v>
      </c>
      <c r="AQ119" s="438"/>
      <c r="AR119" s="434"/>
      <c r="AS119" s="434"/>
      <c r="AT119" s="437">
        <f t="shared" ref="AT119" si="700">$L119-AQ119-AR119-AS119</f>
        <v>0</v>
      </c>
      <c r="AU119" s="438"/>
      <c r="AV119" s="434"/>
      <c r="AW119" s="434"/>
      <c r="AX119" s="437">
        <f t="shared" ref="AX119" si="701">$M119-AU119-AV119-AW119</f>
        <v>0</v>
      </c>
      <c r="AY119" s="438"/>
      <c r="AZ119" s="434"/>
      <c r="BA119" s="434"/>
      <c r="BB119" s="437">
        <f t="shared" ref="BB119" si="702">$N119-AY119-AZ119-BA119</f>
        <v>0</v>
      </c>
      <c r="BC119" s="438"/>
      <c r="BD119" s="434"/>
      <c r="BE119" s="434"/>
      <c r="BF119" s="437">
        <f t="shared" ref="BF119" si="703">$O119-BC119-BD119-BE119</f>
        <v>0</v>
      </c>
      <c r="BG119" s="438"/>
      <c r="BH119" s="434"/>
      <c r="BI119" s="434"/>
      <c r="BJ119" s="1131">
        <f t="shared" ref="BJ119" si="704">$P119-BG119-BH119-BI119</f>
        <v>0</v>
      </c>
      <c r="BK119" s="438"/>
      <c r="BL119" s="434"/>
      <c r="BM119" s="434"/>
      <c r="BN119" s="1131">
        <f t="shared" si="568"/>
        <v>0</v>
      </c>
      <c r="BO119" s="438"/>
      <c r="BP119" s="434"/>
      <c r="BQ119" s="434"/>
      <c r="BR119" s="1131">
        <f t="shared" ref="BR119:BR123" si="705">$R119-BO119-BP119-BQ119</f>
        <v>0</v>
      </c>
      <c r="BS119" s="438"/>
      <c r="BT119" s="833">
        <v>1</v>
      </c>
      <c r="BU119" s="833">
        <f t="shared" ref="BU119:CF119" si="706">BT119</f>
        <v>1</v>
      </c>
      <c r="BV119" s="833">
        <f t="shared" si="706"/>
        <v>1</v>
      </c>
      <c r="BW119" s="833">
        <f t="shared" si="706"/>
        <v>1</v>
      </c>
      <c r="BX119" s="833">
        <f t="shared" si="706"/>
        <v>1</v>
      </c>
      <c r="BY119" s="833">
        <f t="shared" si="706"/>
        <v>1</v>
      </c>
      <c r="BZ119" s="833">
        <f t="shared" si="706"/>
        <v>1</v>
      </c>
      <c r="CA119" s="833">
        <f t="shared" si="706"/>
        <v>1</v>
      </c>
      <c r="CB119" s="833">
        <f t="shared" si="706"/>
        <v>1</v>
      </c>
      <c r="CC119" s="833">
        <f t="shared" si="706"/>
        <v>1</v>
      </c>
      <c r="CD119" s="833">
        <f t="shared" si="706"/>
        <v>1</v>
      </c>
      <c r="CE119" s="833">
        <f t="shared" si="706"/>
        <v>1</v>
      </c>
      <c r="CF119" s="833">
        <f t="shared" si="706"/>
        <v>1</v>
      </c>
      <c r="CG119" s="833"/>
      <c r="CH119" s="46">
        <f t="shared" ref="CH119:CH139" si="707">ROUND(BT119*F119,-3)</f>
        <v>0</v>
      </c>
      <c r="CI119" s="46">
        <f t="shared" ref="CI119:CI139" si="708">ROUND(BU119*G119,-3)</f>
        <v>0</v>
      </c>
      <c r="CJ119" s="46">
        <f t="shared" ref="CJ119:CJ139" si="709">ROUND(BV119*H119,-3)</f>
        <v>0</v>
      </c>
      <c r="CK119" s="46">
        <f t="shared" ref="CK119:CK139" si="710">ROUND(BW119*I119,-3)</f>
        <v>0</v>
      </c>
      <c r="CL119" s="46">
        <f t="shared" ref="CL119:CL139" si="711">ROUND(BX119*J119,-3)</f>
        <v>0</v>
      </c>
      <c r="CM119" s="46">
        <f t="shared" ref="CM119:CM139" si="712">ROUND(BY119*K119,-3)</f>
        <v>0</v>
      </c>
      <c r="CN119" s="46">
        <f t="shared" ref="CN119:CN139" si="713">ROUND(BZ119*L119,-3)</f>
        <v>0</v>
      </c>
      <c r="CO119" s="46">
        <f t="shared" ref="CO119:CO139" si="714">ROUND(CA119*M119,-3)</f>
        <v>0</v>
      </c>
      <c r="CP119" s="46">
        <f t="shared" ref="CP119:CP139" si="715">ROUND(CB119*N119,-3)</f>
        <v>0</v>
      </c>
      <c r="CQ119" s="46">
        <f t="shared" ref="CQ119:CQ139" si="716">ROUND(CC119*O119,-3)</f>
        <v>0</v>
      </c>
      <c r="CR119" s="46">
        <f t="shared" ref="CR119:CR139" si="717">ROUND(CD119*P119,-3)</f>
        <v>0</v>
      </c>
      <c r="CS119" s="46">
        <f t="shared" ref="CS119:CT123" si="718">ROUND(CE119*Q119,-3)</f>
        <v>0</v>
      </c>
      <c r="CT119" s="46">
        <f t="shared" si="718"/>
        <v>0</v>
      </c>
    </row>
    <row r="120" spans="1:98" s="247" customFormat="1" ht="14.25" customHeight="1" x14ac:dyDescent="0.2">
      <c r="A120" s="673" t="s">
        <v>6570</v>
      </c>
      <c r="B120" s="920"/>
      <c r="C120" s="920"/>
      <c r="D120" s="920"/>
      <c r="E120" s="611"/>
      <c r="F120" s="608"/>
      <c r="G120" s="668"/>
      <c r="H120" s="608"/>
      <c r="I120" s="668"/>
      <c r="J120" s="668"/>
      <c r="K120" s="668"/>
      <c r="L120" s="668">
        <v>500000</v>
      </c>
      <c r="M120" s="669">
        <v>2612000</v>
      </c>
      <c r="N120" s="608"/>
      <c r="O120" s="608"/>
      <c r="P120" s="608"/>
      <c r="Q120" s="608"/>
      <c r="R120" s="609"/>
      <c r="S120" s="438"/>
      <c r="T120" s="434"/>
      <c r="U120" s="434"/>
      <c r="V120" s="437">
        <f t="shared" si="695"/>
        <v>0</v>
      </c>
      <c r="W120" s="439"/>
      <c r="X120" s="434"/>
      <c r="Y120" s="434"/>
      <c r="Z120" s="437">
        <f t="shared" si="558"/>
        <v>0</v>
      </c>
      <c r="AA120" s="439"/>
      <c r="AB120" s="434"/>
      <c r="AC120" s="434"/>
      <c r="AD120" s="437">
        <f t="shared" ref="AD120:AD139" si="719">$H120-AA120-AB120-AC120</f>
        <v>0</v>
      </c>
      <c r="AE120" s="438"/>
      <c r="AF120" s="434"/>
      <c r="AG120" s="434"/>
      <c r="AH120" s="435">
        <f t="shared" ref="AH120:AH139" si="720">$I120-AE120-AF120-AG120</f>
        <v>0</v>
      </c>
      <c r="AI120" s="439"/>
      <c r="AJ120" s="434"/>
      <c r="AK120" s="434"/>
      <c r="AL120" s="437">
        <f t="shared" ref="AL120:AL139" si="721">$J120-AI120-AJ120-AK120</f>
        <v>0</v>
      </c>
      <c r="AM120" s="438"/>
      <c r="AN120" s="434"/>
      <c r="AO120" s="434"/>
      <c r="AP120" s="1131">
        <f t="shared" ref="AP120:AP139" si="722">$K120-AM120-AN120-AO120</f>
        <v>0</v>
      </c>
      <c r="AQ120" s="438"/>
      <c r="AR120" s="434"/>
      <c r="AS120" s="434"/>
      <c r="AT120" s="437">
        <f t="shared" ref="AT120:AT139" si="723">$L120-AQ120-AR120-AS120</f>
        <v>500000</v>
      </c>
      <c r="AU120" s="438"/>
      <c r="AV120" s="434">
        <f>ROUND(M120/2/3,-3)</f>
        <v>435000</v>
      </c>
      <c r="AW120" s="434"/>
      <c r="AX120" s="437">
        <f t="shared" ref="AX120:AX139" si="724">$M120-AU120-AV120-AW120</f>
        <v>2177000</v>
      </c>
      <c r="AY120" s="438"/>
      <c r="AZ120" s="434"/>
      <c r="BA120" s="434"/>
      <c r="BB120" s="437">
        <f t="shared" ref="BB120:BB139" si="725">$N120-AY120-AZ120-BA120</f>
        <v>0</v>
      </c>
      <c r="BC120" s="438"/>
      <c r="BD120" s="434"/>
      <c r="BE120" s="434"/>
      <c r="BF120" s="437">
        <f t="shared" ref="BF120:BF139" si="726">$O120-BC120-BD120-BE120</f>
        <v>0</v>
      </c>
      <c r="BG120" s="438"/>
      <c r="BH120" s="434"/>
      <c r="BI120" s="434"/>
      <c r="BJ120" s="1131">
        <f t="shared" ref="BJ120:BJ139" si="727">$P120-BG120-BH120-BI120</f>
        <v>0</v>
      </c>
      <c r="BK120" s="438"/>
      <c r="BL120" s="434"/>
      <c r="BM120" s="434"/>
      <c r="BN120" s="1131">
        <f t="shared" si="568"/>
        <v>0</v>
      </c>
      <c r="BO120" s="438"/>
      <c r="BP120" s="434"/>
      <c r="BQ120" s="434"/>
      <c r="BR120" s="1131">
        <f t="shared" si="705"/>
        <v>0</v>
      </c>
      <c r="BS120" s="438"/>
      <c r="BT120" s="833">
        <v>1</v>
      </c>
      <c r="BU120" s="833">
        <f t="shared" ref="BU120:BU139" si="728">BT120</f>
        <v>1</v>
      </c>
      <c r="BV120" s="833">
        <f t="shared" ref="BV120:BV139" si="729">BU120</f>
        <v>1</v>
      </c>
      <c r="BW120" s="833">
        <f t="shared" ref="BW120:BW139" si="730">BV120</f>
        <v>1</v>
      </c>
      <c r="BX120" s="833">
        <f t="shared" ref="BX120:BX139" si="731">BW120</f>
        <v>1</v>
      </c>
      <c r="BY120" s="833">
        <f t="shared" ref="BY120:BY139" si="732">BX120</f>
        <v>1</v>
      </c>
      <c r="BZ120" s="833">
        <f t="shared" ref="BZ120:BZ139" si="733">BY120</f>
        <v>1</v>
      </c>
      <c r="CA120" s="833">
        <f t="shared" ref="CA120:CA139" si="734">BZ120</f>
        <v>1</v>
      </c>
      <c r="CB120" s="833">
        <f t="shared" ref="CB120:CB139" si="735">CA120</f>
        <v>1</v>
      </c>
      <c r="CC120" s="833">
        <f t="shared" ref="CC120:CC139" si="736">CB120</f>
        <v>1</v>
      </c>
      <c r="CD120" s="833">
        <f t="shared" ref="CD120:CF139" si="737">CC120</f>
        <v>1</v>
      </c>
      <c r="CE120" s="833">
        <f t="shared" si="737"/>
        <v>1</v>
      </c>
      <c r="CF120" s="833">
        <f t="shared" si="737"/>
        <v>1</v>
      </c>
      <c r="CG120" s="833"/>
      <c r="CH120" s="46">
        <f t="shared" si="707"/>
        <v>0</v>
      </c>
      <c r="CI120" s="46">
        <f t="shared" si="708"/>
        <v>0</v>
      </c>
      <c r="CJ120" s="46">
        <f t="shared" si="709"/>
        <v>0</v>
      </c>
      <c r="CK120" s="46">
        <f t="shared" si="710"/>
        <v>0</v>
      </c>
      <c r="CL120" s="46">
        <f t="shared" si="711"/>
        <v>0</v>
      </c>
      <c r="CM120" s="46">
        <f t="shared" si="712"/>
        <v>0</v>
      </c>
      <c r="CN120" s="46">
        <f t="shared" si="713"/>
        <v>500000</v>
      </c>
      <c r="CO120" s="46">
        <f t="shared" si="714"/>
        <v>2612000</v>
      </c>
      <c r="CP120" s="46">
        <f t="shared" si="715"/>
        <v>0</v>
      </c>
      <c r="CQ120" s="46">
        <f t="shared" si="716"/>
        <v>0</v>
      </c>
      <c r="CR120" s="46">
        <f t="shared" si="717"/>
        <v>0</v>
      </c>
      <c r="CS120" s="46">
        <f t="shared" si="718"/>
        <v>0</v>
      </c>
      <c r="CT120" s="46">
        <f t="shared" si="718"/>
        <v>0</v>
      </c>
    </row>
    <row r="121" spans="1:98" s="247" customFormat="1" ht="14.25" customHeight="1" x14ac:dyDescent="0.2">
      <c r="A121" s="673" t="s">
        <v>6571</v>
      </c>
      <c r="B121" s="920" t="s">
        <v>4989</v>
      </c>
      <c r="C121" s="920" t="s">
        <v>4990</v>
      </c>
      <c r="D121" s="920"/>
      <c r="E121" s="611"/>
      <c r="F121" s="608">
        <v>7200</v>
      </c>
      <c r="G121" s="668"/>
      <c r="H121" s="608"/>
      <c r="I121" s="668"/>
      <c r="J121" s="668"/>
      <c r="K121" s="668"/>
      <c r="L121" s="668"/>
      <c r="M121" s="669"/>
      <c r="N121" s="608"/>
      <c r="O121" s="608"/>
      <c r="P121" s="608"/>
      <c r="Q121" s="608"/>
      <c r="R121" s="609"/>
      <c r="S121" s="438"/>
      <c r="T121" s="434"/>
      <c r="U121" s="434"/>
      <c r="V121" s="437">
        <f t="shared" si="695"/>
        <v>7200</v>
      </c>
      <c r="W121" s="439"/>
      <c r="X121" s="434"/>
      <c r="Y121" s="434"/>
      <c r="Z121" s="437">
        <f t="shared" si="558"/>
        <v>0</v>
      </c>
      <c r="AA121" s="439"/>
      <c r="AB121" s="434"/>
      <c r="AC121" s="434"/>
      <c r="AD121" s="437">
        <f t="shared" si="719"/>
        <v>0</v>
      </c>
      <c r="AE121" s="438"/>
      <c r="AF121" s="434"/>
      <c r="AG121" s="434"/>
      <c r="AH121" s="435">
        <f t="shared" si="720"/>
        <v>0</v>
      </c>
      <c r="AI121" s="439"/>
      <c r="AJ121" s="434"/>
      <c r="AK121" s="434"/>
      <c r="AL121" s="437">
        <f t="shared" si="721"/>
        <v>0</v>
      </c>
      <c r="AM121" s="438"/>
      <c r="AN121" s="434"/>
      <c r="AO121" s="434"/>
      <c r="AP121" s="1131">
        <f t="shared" si="722"/>
        <v>0</v>
      </c>
      <c r="AQ121" s="438"/>
      <c r="AR121" s="434"/>
      <c r="AS121" s="434"/>
      <c r="AT121" s="437">
        <f t="shared" si="723"/>
        <v>0</v>
      </c>
      <c r="AU121" s="438"/>
      <c r="AV121" s="434"/>
      <c r="AW121" s="434"/>
      <c r="AX121" s="437">
        <f t="shared" si="724"/>
        <v>0</v>
      </c>
      <c r="AY121" s="438"/>
      <c r="AZ121" s="434"/>
      <c r="BA121" s="434"/>
      <c r="BB121" s="437">
        <f t="shared" si="725"/>
        <v>0</v>
      </c>
      <c r="BC121" s="438"/>
      <c r="BD121" s="434"/>
      <c r="BE121" s="434"/>
      <c r="BF121" s="437">
        <f t="shared" si="726"/>
        <v>0</v>
      </c>
      <c r="BG121" s="438"/>
      <c r="BH121" s="434"/>
      <c r="BI121" s="434"/>
      <c r="BJ121" s="1131">
        <f t="shared" si="727"/>
        <v>0</v>
      </c>
      <c r="BK121" s="438"/>
      <c r="BL121" s="434"/>
      <c r="BM121" s="434"/>
      <c r="BN121" s="1131">
        <f t="shared" si="568"/>
        <v>0</v>
      </c>
      <c r="BO121" s="438"/>
      <c r="BP121" s="434"/>
      <c r="BQ121" s="434"/>
      <c r="BR121" s="1131">
        <f t="shared" si="705"/>
        <v>0</v>
      </c>
      <c r="BS121" s="438"/>
      <c r="BT121" s="833">
        <v>1</v>
      </c>
      <c r="BU121" s="833">
        <f t="shared" si="728"/>
        <v>1</v>
      </c>
      <c r="BV121" s="833">
        <f t="shared" si="729"/>
        <v>1</v>
      </c>
      <c r="BW121" s="833">
        <f t="shared" si="730"/>
        <v>1</v>
      </c>
      <c r="BX121" s="833">
        <f t="shared" si="731"/>
        <v>1</v>
      </c>
      <c r="BY121" s="833">
        <f t="shared" si="732"/>
        <v>1</v>
      </c>
      <c r="BZ121" s="833">
        <f t="shared" si="733"/>
        <v>1</v>
      </c>
      <c r="CA121" s="833">
        <f t="shared" si="734"/>
        <v>1</v>
      </c>
      <c r="CB121" s="833">
        <f t="shared" si="735"/>
        <v>1</v>
      </c>
      <c r="CC121" s="833">
        <f t="shared" si="736"/>
        <v>1</v>
      </c>
      <c r="CD121" s="833">
        <f t="shared" si="737"/>
        <v>1</v>
      </c>
      <c r="CE121" s="833">
        <f t="shared" si="737"/>
        <v>1</v>
      </c>
      <c r="CF121" s="833">
        <f t="shared" si="737"/>
        <v>1</v>
      </c>
      <c r="CG121" s="833"/>
      <c r="CH121" s="46">
        <f t="shared" si="707"/>
        <v>7000</v>
      </c>
      <c r="CI121" s="46">
        <f t="shared" si="708"/>
        <v>0</v>
      </c>
      <c r="CJ121" s="46">
        <f t="shared" si="709"/>
        <v>0</v>
      </c>
      <c r="CK121" s="46">
        <f t="shared" si="710"/>
        <v>0</v>
      </c>
      <c r="CL121" s="46">
        <f t="shared" si="711"/>
        <v>0</v>
      </c>
      <c r="CM121" s="46">
        <f t="shared" si="712"/>
        <v>0</v>
      </c>
      <c r="CN121" s="46">
        <f t="shared" si="713"/>
        <v>0</v>
      </c>
      <c r="CO121" s="46">
        <f t="shared" si="714"/>
        <v>0</v>
      </c>
      <c r="CP121" s="46">
        <f t="shared" si="715"/>
        <v>0</v>
      </c>
      <c r="CQ121" s="46">
        <f t="shared" si="716"/>
        <v>0</v>
      </c>
      <c r="CR121" s="46">
        <f t="shared" si="717"/>
        <v>0</v>
      </c>
      <c r="CS121" s="46">
        <f t="shared" si="718"/>
        <v>0</v>
      </c>
      <c r="CT121" s="46">
        <f t="shared" si="718"/>
        <v>0</v>
      </c>
    </row>
    <row r="122" spans="1:98" s="247" customFormat="1" ht="14.25" customHeight="1" x14ac:dyDescent="0.2">
      <c r="A122" s="673" t="s">
        <v>6572</v>
      </c>
      <c r="B122" s="920"/>
      <c r="C122" s="920"/>
      <c r="D122" s="920"/>
      <c r="E122" s="611"/>
      <c r="F122" s="608"/>
      <c r="G122" s="668"/>
      <c r="H122" s="608"/>
      <c r="I122" s="668">
        <v>197000</v>
      </c>
      <c r="J122" s="668"/>
      <c r="K122" s="668"/>
      <c r="L122" s="668"/>
      <c r="M122" s="669"/>
      <c r="N122" s="608"/>
      <c r="O122" s="608"/>
      <c r="P122" s="608"/>
      <c r="Q122" s="608"/>
      <c r="R122" s="609"/>
      <c r="S122" s="438"/>
      <c r="T122" s="434"/>
      <c r="U122" s="434"/>
      <c r="V122" s="437">
        <f t="shared" si="695"/>
        <v>0</v>
      </c>
      <c r="W122" s="439"/>
      <c r="X122" s="434"/>
      <c r="Y122" s="434"/>
      <c r="Z122" s="437">
        <f t="shared" si="558"/>
        <v>0</v>
      </c>
      <c r="AA122" s="439"/>
      <c r="AB122" s="434"/>
      <c r="AC122" s="434"/>
      <c r="AD122" s="437">
        <f t="shared" si="719"/>
        <v>0</v>
      </c>
      <c r="AE122" s="438"/>
      <c r="AF122" s="434"/>
      <c r="AG122" s="434"/>
      <c r="AH122" s="435">
        <f t="shared" si="720"/>
        <v>197000</v>
      </c>
      <c r="AI122" s="439"/>
      <c r="AJ122" s="434"/>
      <c r="AK122" s="434"/>
      <c r="AL122" s="437">
        <f t="shared" si="721"/>
        <v>0</v>
      </c>
      <c r="AM122" s="438"/>
      <c r="AN122" s="434"/>
      <c r="AO122" s="434"/>
      <c r="AP122" s="1131">
        <f t="shared" si="722"/>
        <v>0</v>
      </c>
      <c r="AQ122" s="438"/>
      <c r="AR122" s="434"/>
      <c r="AS122" s="434"/>
      <c r="AT122" s="437">
        <f t="shared" si="723"/>
        <v>0</v>
      </c>
      <c r="AU122" s="438"/>
      <c r="AV122" s="434"/>
      <c r="AW122" s="434"/>
      <c r="AX122" s="437">
        <f t="shared" si="724"/>
        <v>0</v>
      </c>
      <c r="AY122" s="438"/>
      <c r="AZ122" s="434"/>
      <c r="BA122" s="434"/>
      <c r="BB122" s="437">
        <f t="shared" si="725"/>
        <v>0</v>
      </c>
      <c r="BC122" s="438"/>
      <c r="BD122" s="434"/>
      <c r="BE122" s="434"/>
      <c r="BF122" s="437">
        <f t="shared" si="726"/>
        <v>0</v>
      </c>
      <c r="BG122" s="438"/>
      <c r="BH122" s="434"/>
      <c r="BI122" s="434"/>
      <c r="BJ122" s="1131">
        <f t="shared" si="727"/>
        <v>0</v>
      </c>
      <c r="BK122" s="438"/>
      <c r="BL122" s="434"/>
      <c r="BM122" s="434"/>
      <c r="BN122" s="1131">
        <f t="shared" si="568"/>
        <v>0</v>
      </c>
      <c r="BO122" s="438"/>
      <c r="BP122" s="434"/>
      <c r="BQ122" s="434"/>
      <c r="BR122" s="1131">
        <f t="shared" si="705"/>
        <v>0</v>
      </c>
      <c r="BS122" s="438"/>
      <c r="BT122" s="833">
        <v>1</v>
      </c>
      <c r="BU122" s="833">
        <f t="shared" si="728"/>
        <v>1</v>
      </c>
      <c r="BV122" s="833">
        <f t="shared" si="729"/>
        <v>1</v>
      </c>
      <c r="BW122" s="833">
        <f t="shared" si="730"/>
        <v>1</v>
      </c>
      <c r="BX122" s="833">
        <f t="shared" si="731"/>
        <v>1</v>
      </c>
      <c r="BY122" s="833">
        <f t="shared" si="732"/>
        <v>1</v>
      </c>
      <c r="BZ122" s="833">
        <f t="shared" si="733"/>
        <v>1</v>
      </c>
      <c r="CA122" s="833">
        <f t="shared" si="734"/>
        <v>1</v>
      </c>
      <c r="CB122" s="833">
        <f t="shared" si="735"/>
        <v>1</v>
      </c>
      <c r="CC122" s="833">
        <f t="shared" si="736"/>
        <v>1</v>
      </c>
      <c r="CD122" s="833">
        <f t="shared" si="737"/>
        <v>1</v>
      </c>
      <c r="CE122" s="833">
        <f t="shared" si="737"/>
        <v>1</v>
      </c>
      <c r="CF122" s="833">
        <f t="shared" si="737"/>
        <v>1</v>
      </c>
      <c r="CG122" s="833"/>
      <c r="CH122" s="46">
        <f t="shared" si="707"/>
        <v>0</v>
      </c>
      <c r="CI122" s="46">
        <f t="shared" si="708"/>
        <v>0</v>
      </c>
      <c r="CJ122" s="46">
        <f t="shared" si="709"/>
        <v>0</v>
      </c>
      <c r="CK122" s="46">
        <f t="shared" si="710"/>
        <v>197000</v>
      </c>
      <c r="CL122" s="46">
        <f t="shared" si="711"/>
        <v>0</v>
      </c>
      <c r="CM122" s="46">
        <f t="shared" si="712"/>
        <v>0</v>
      </c>
      <c r="CN122" s="46">
        <f t="shared" si="713"/>
        <v>0</v>
      </c>
      <c r="CO122" s="46">
        <f t="shared" si="714"/>
        <v>0</v>
      </c>
      <c r="CP122" s="46">
        <f t="shared" si="715"/>
        <v>0</v>
      </c>
      <c r="CQ122" s="46">
        <f t="shared" si="716"/>
        <v>0</v>
      </c>
      <c r="CR122" s="46">
        <f t="shared" si="717"/>
        <v>0</v>
      </c>
      <c r="CS122" s="46">
        <f t="shared" si="718"/>
        <v>0</v>
      </c>
      <c r="CT122" s="46">
        <f t="shared" si="718"/>
        <v>0</v>
      </c>
    </row>
    <row r="123" spans="1:98" s="247" customFormat="1" ht="14.25" customHeight="1" x14ac:dyDescent="0.2">
      <c r="A123" s="673" t="s">
        <v>6573</v>
      </c>
      <c r="B123" s="920" t="s">
        <v>6329</v>
      </c>
      <c r="C123" s="920" t="s">
        <v>6330</v>
      </c>
      <c r="D123" s="920" t="s">
        <v>6330</v>
      </c>
      <c r="E123" s="611"/>
      <c r="F123" s="608"/>
      <c r="G123" s="668">
        <v>84400</v>
      </c>
      <c r="H123" s="608">
        <v>490000</v>
      </c>
      <c r="I123" s="668"/>
      <c r="J123" s="668"/>
      <c r="K123" s="668"/>
      <c r="L123" s="668"/>
      <c r="M123" s="669"/>
      <c r="N123" s="608"/>
      <c r="O123" s="608"/>
      <c r="P123" s="608"/>
      <c r="Q123" s="608"/>
      <c r="R123" s="609"/>
      <c r="S123" s="438"/>
      <c r="T123" s="434"/>
      <c r="U123" s="434"/>
      <c r="V123" s="437">
        <f t="shared" si="695"/>
        <v>0</v>
      </c>
      <c r="W123" s="439"/>
      <c r="X123" s="434"/>
      <c r="Y123" s="434"/>
      <c r="Z123" s="437">
        <f t="shared" si="558"/>
        <v>84400</v>
      </c>
      <c r="AA123" s="439"/>
      <c r="AB123" s="434"/>
      <c r="AC123" s="434"/>
      <c r="AD123" s="437">
        <f t="shared" si="719"/>
        <v>490000</v>
      </c>
      <c r="AE123" s="438"/>
      <c r="AF123" s="434"/>
      <c r="AG123" s="434"/>
      <c r="AH123" s="435">
        <f t="shared" si="720"/>
        <v>0</v>
      </c>
      <c r="AI123" s="439"/>
      <c r="AJ123" s="434"/>
      <c r="AK123" s="434"/>
      <c r="AL123" s="437">
        <f t="shared" si="721"/>
        <v>0</v>
      </c>
      <c r="AM123" s="438"/>
      <c r="AN123" s="434"/>
      <c r="AO123" s="434"/>
      <c r="AP123" s="1131">
        <f t="shared" si="722"/>
        <v>0</v>
      </c>
      <c r="AQ123" s="438"/>
      <c r="AR123" s="434"/>
      <c r="AS123" s="434"/>
      <c r="AT123" s="437">
        <f t="shared" si="723"/>
        <v>0</v>
      </c>
      <c r="AU123" s="438"/>
      <c r="AV123" s="434"/>
      <c r="AW123" s="434"/>
      <c r="AX123" s="437">
        <f t="shared" si="724"/>
        <v>0</v>
      </c>
      <c r="AY123" s="438"/>
      <c r="AZ123" s="434"/>
      <c r="BA123" s="434"/>
      <c r="BB123" s="437">
        <f t="shared" si="725"/>
        <v>0</v>
      </c>
      <c r="BC123" s="438"/>
      <c r="BD123" s="434"/>
      <c r="BE123" s="434"/>
      <c r="BF123" s="437">
        <f t="shared" si="726"/>
        <v>0</v>
      </c>
      <c r="BG123" s="438"/>
      <c r="BH123" s="434"/>
      <c r="BI123" s="434"/>
      <c r="BJ123" s="1131">
        <f t="shared" si="727"/>
        <v>0</v>
      </c>
      <c r="BK123" s="438"/>
      <c r="BL123" s="434"/>
      <c r="BM123" s="434"/>
      <c r="BN123" s="1131">
        <f t="shared" si="568"/>
        <v>0</v>
      </c>
      <c r="BO123" s="438"/>
      <c r="BP123" s="434"/>
      <c r="BQ123" s="434"/>
      <c r="BR123" s="1131">
        <f t="shared" si="705"/>
        <v>0</v>
      </c>
      <c r="BS123" s="438"/>
      <c r="BT123" s="833">
        <v>1</v>
      </c>
      <c r="BU123" s="833">
        <f t="shared" si="728"/>
        <v>1</v>
      </c>
      <c r="BV123" s="833">
        <f t="shared" si="729"/>
        <v>1</v>
      </c>
      <c r="BW123" s="833">
        <f t="shared" si="730"/>
        <v>1</v>
      </c>
      <c r="BX123" s="833">
        <f t="shared" si="731"/>
        <v>1</v>
      </c>
      <c r="BY123" s="833">
        <f t="shared" si="732"/>
        <v>1</v>
      </c>
      <c r="BZ123" s="833">
        <f t="shared" si="733"/>
        <v>1</v>
      </c>
      <c r="CA123" s="833">
        <f t="shared" si="734"/>
        <v>1</v>
      </c>
      <c r="CB123" s="833">
        <f t="shared" si="735"/>
        <v>1</v>
      </c>
      <c r="CC123" s="833">
        <f t="shared" si="736"/>
        <v>1</v>
      </c>
      <c r="CD123" s="833">
        <f t="shared" si="737"/>
        <v>1</v>
      </c>
      <c r="CE123" s="833">
        <f t="shared" si="737"/>
        <v>1</v>
      </c>
      <c r="CF123" s="833">
        <f t="shared" si="737"/>
        <v>1</v>
      </c>
      <c r="CG123" s="833"/>
      <c r="CH123" s="46">
        <f t="shared" si="707"/>
        <v>0</v>
      </c>
      <c r="CI123" s="46">
        <f t="shared" si="708"/>
        <v>84000</v>
      </c>
      <c r="CJ123" s="46">
        <f t="shared" si="709"/>
        <v>490000</v>
      </c>
      <c r="CK123" s="46">
        <f t="shared" si="710"/>
        <v>0</v>
      </c>
      <c r="CL123" s="46">
        <f t="shared" si="711"/>
        <v>0</v>
      </c>
      <c r="CM123" s="46">
        <f t="shared" si="712"/>
        <v>0</v>
      </c>
      <c r="CN123" s="46">
        <f t="shared" si="713"/>
        <v>0</v>
      </c>
      <c r="CO123" s="46">
        <f t="shared" si="714"/>
        <v>0</v>
      </c>
      <c r="CP123" s="46">
        <f t="shared" si="715"/>
        <v>0</v>
      </c>
      <c r="CQ123" s="46">
        <f t="shared" si="716"/>
        <v>0</v>
      </c>
      <c r="CR123" s="46">
        <f t="shared" si="717"/>
        <v>0</v>
      </c>
      <c r="CS123" s="46">
        <f t="shared" si="718"/>
        <v>0</v>
      </c>
      <c r="CT123" s="46">
        <f t="shared" si="718"/>
        <v>0</v>
      </c>
    </row>
    <row r="124" spans="1:98" s="247" customFormat="1" ht="14.25" customHeight="1" x14ac:dyDescent="0.2">
      <c r="A124" s="673" t="s">
        <v>7254</v>
      </c>
      <c r="B124" s="920"/>
      <c r="C124" s="920" t="s">
        <v>7255</v>
      </c>
      <c r="D124" s="920"/>
      <c r="E124" s="611"/>
      <c r="F124" s="608"/>
      <c r="G124" s="668">
        <v>103700</v>
      </c>
      <c r="H124" s="608">
        <v>100000</v>
      </c>
      <c r="I124" s="668"/>
      <c r="J124" s="668"/>
      <c r="K124" s="668"/>
      <c r="L124" s="668"/>
      <c r="M124" s="669"/>
      <c r="N124" s="608"/>
      <c r="O124" s="608"/>
      <c r="P124" s="608"/>
      <c r="Q124" s="608"/>
      <c r="R124" s="609"/>
      <c r="S124" s="438"/>
      <c r="T124" s="434"/>
      <c r="U124" s="434"/>
      <c r="V124" s="437"/>
      <c r="W124" s="439"/>
      <c r="X124" s="434"/>
      <c r="Y124" s="434"/>
      <c r="Z124" s="437">
        <f t="shared" si="558"/>
        <v>103700</v>
      </c>
      <c r="AA124" s="439"/>
      <c r="AB124" s="434"/>
      <c r="AC124" s="434"/>
      <c r="AD124" s="437">
        <f t="shared" si="719"/>
        <v>100000</v>
      </c>
      <c r="AE124" s="438"/>
      <c r="AF124" s="434"/>
      <c r="AG124" s="434"/>
      <c r="AH124" s="435"/>
      <c r="AI124" s="439"/>
      <c r="AJ124" s="434"/>
      <c r="AK124" s="434"/>
      <c r="AL124" s="437"/>
      <c r="AM124" s="438"/>
      <c r="AN124" s="434"/>
      <c r="AO124" s="434"/>
      <c r="AP124" s="1131"/>
      <c r="AQ124" s="438"/>
      <c r="AR124" s="434"/>
      <c r="AS124" s="434"/>
      <c r="AT124" s="437"/>
      <c r="AU124" s="438"/>
      <c r="AV124" s="434"/>
      <c r="AW124" s="434"/>
      <c r="AX124" s="437"/>
      <c r="AY124" s="438"/>
      <c r="AZ124" s="434"/>
      <c r="BA124" s="434"/>
      <c r="BB124" s="437"/>
      <c r="BC124" s="438"/>
      <c r="BD124" s="434"/>
      <c r="BE124" s="434"/>
      <c r="BF124" s="437"/>
      <c r="BG124" s="438"/>
      <c r="BH124" s="434"/>
      <c r="BI124" s="434"/>
      <c r="BJ124" s="1131"/>
      <c r="BK124" s="438"/>
      <c r="BL124" s="434"/>
      <c r="BM124" s="434"/>
      <c r="BN124" s="1131"/>
      <c r="BO124" s="438"/>
      <c r="BP124" s="434"/>
      <c r="BQ124" s="434"/>
      <c r="BR124" s="1131"/>
      <c r="BS124" s="438"/>
      <c r="BT124" s="833"/>
      <c r="BU124" s="833"/>
      <c r="BV124" s="833"/>
      <c r="BW124" s="833"/>
      <c r="BX124" s="833"/>
      <c r="BY124" s="833"/>
      <c r="BZ124" s="833"/>
      <c r="CA124" s="833"/>
      <c r="CB124" s="833"/>
      <c r="CC124" s="833"/>
      <c r="CD124" s="833"/>
      <c r="CE124" s="833"/>
      <c r="CF124" s="833"/>
      <c r="CG124" s="833"/>
      <c r="CH124" s="46"/>
      <c r="CI124" s="46"/>
      <c r="CJ124" s="46"/>
      <c r="CK124" s="46"/>
      <c r="CL124" s="46"/>
      <c r="CM124" s="46"/>
      <c r="CN124" s="46"/>
      <c r="CO124" s="46"/>
      <c r="CP124" s="46"/>
      <c r="CQ124" s="46"/>
      <c r="CR124" s="46"/>
      <c r="CS124" s="46"/>
      <c r="CT124" s="46"/>
    </row>
    <row r="125" spans="1:98" s="247" customFormat="1" ht="14.25" customHeight="1" x14ac:dyDescent="0.2">
      <c r="A125" s="673" t="s">
        <v>11884</v>
      </c>
      <c r="B125" s="920" t="s">
        <v>11885</v>
      </c>
      <c r="C125" s="920" t="s">
        <v>11886</v>
      </c>
      <c r="D125" s="920" t="s">
        <v>11886</v>
      </c>
      <c r="E125" s="611"/>
      <c r="F125" s="608"/>
      <c r="G125" s="668"/>
      <c r="H125" s="608">
        <v>25000</v>
      </c>
      <c r="I125" s="668"/>
      <c r="J125" s="668"/>
      <c r="K125" s="668"/>
      <c r="L125" s="668"/>
      <c r="M125" s="669"/>
      <c r="N125" s="608"/>
      <c r="O125" s="608"/>
      <c r="P125" s="608"/>
      <c r="Q125" s="608"/>
      <c r="R125" s="609"/>
      <c r="S125" s="438"/>
      <c r="T125" s="434"/>
      <c r="U125" s="434"/>
      <c r="V125" s="437"/>
      <c r="W125" s="439"/>
      <c r="X125" s="434"/>
      <c r="Y125" s="434"/>
      <c r="Z125" s="437"/>
      <c r="AA125" s="439"/>
      <c r="AB125" s="434"/>
      <c r="AC125" s="434"/>
      <c r="AD125" s="437">
        <f t="shared" si="719"/>
        <v>25000</v>
      </c>
      <c r="AE125" s="438"/>
      <c r="AF125" s="434"/>
      <c r="AG125" s="434"/>
      <c r="AH125" s="435"/>
      <c r="AI125" s="439"/>
      <c r="AJ125" s="434"/>
      <c r="AK125" s="434"/>
      <c r="AL125" s="437"/>
      <c r="AM125" s="438"/>
      <c r="AN125" s="434"/>
      <c r="AO125" s="434"/>
      <c r="AP125" s="1131"/>
      <c r="AQ125" s="438"/>
      <c r="AR125" s="434"/>
      <c r="AS125" s="434"/>
      <c r="AT125" s="437"/>
      <c r="AU125" s="438"/>
      <c r="AV125" s="434"/>
      <c r="AW125" s="434"/>
      <c r="AX125" s="437"/>
      <c r="AY125" s="438"/>
      <c r="AZ125" s="434"/>
      <c r="BA125" s="434"/>
      <c r="BB125" s="437"/>
      <c r="BC125" s="438"/>
      <c r="BD125" s="434"/>
      <c r="BE125" s="434"/>
      <c r="BF125" s="437"/>
      <c r="BG125" s="438"/>
      <c r="BH125" s="434"/>
      <c r="BI125" s="434"/>
      <c r="BJ125" s="1131"/>
      <c r="BK125" s="438"/>
      <c r="BL125" s="434"/>
      <c r="BM125" s="434"/>
      <c r="BN125" s="1131"/>
      <c r="BO125" s="438"/>
      <c r="BP125" s="434"/>
      <c r="BQ125" s="434"/>
      <c r="BR125" s="1131"/>
      <c r="BS125" s="438"/>
      <c r="BT125" s="833"/>
      <c r="BU125" s="833"/>
      <c r="BV125" s="833"/>
      <c r="BW125" s="833"/>
      <c r="BX125" s="833"/>
      <c r="BY125" s="833"/>
      <c r="BZ125" s="833"/>
      <c r="CA125" s="833"/>
      <c r="CB125" s="833"/>
      <c r="CC125" s="833"/>
      <c r="CD125" s="833"/>
      <c r="CE125" s="833"/>
      <c r="CF125" s="833"/>
      <c r="CG125" s="833"/>
      <c r="CH125" s="46"/>
      <c r="CI125" s="46"/>
      <c r="CJ125" s="46"/>
      <c r="CK125" s="46"/>
      <c r="CL125" s="46"/>
      <c r="CM125" s="46"/>
      <c r="CN125" s="46"/>
      <c r="CO125" s="46"/>
      <c r="CP125" s="46"/>
      <c r="CQ125" s="46"/>
      <c r="CR125" s="46"/>
      <c r="CS125" s="46"/>
      <c r="CT125" s="46"/>
    </row>
    <row r="126" spans="1:98" s="247" customFormat="1" ht="14.25" customHeight="1" x14ac:dyDescent="0.2">
      <c r="A126" s="673" t="s">
        <v>6574</v>
      </c>
      <c r="B126" s="920"/>
      <c r="C126" s="920"/>
      <c r="D126" s="920"/>
      <c r="E126" s="611"/>
      <c r="F126" s="608"/>
      <c r="G126" s="668"/>
      <c r="H126" s="608"/>
      <c r="I126" s="668"/>
      <c r="J126" s="668">
        <v>280000</v>
      </c>
      <c r="K126" s="668"/>
      <c r="L126" s="668"/>
      <c r="M126" s="669"/>
      <c r="N126" s="608"/>
      <c r="O126" s="608"/>
      <c r="P126" s="608"/>
      <c r="Q126" s="608"/>
      <c r="R126" s="609"/>
      <c r="S126" s="438"/>
      <c r="T126" s="434"/>
      <c r="U126" s="434"/>
      <c r="V126" s="437">
        <f t="shared" si="695"/>
        <v>0</v>
      </c>
      <c r="W126" s="439"/>
      <c r="X126" s="434"/>
      <c r="Y126" s="434"/>
      <c r="Z126" s="437">
        <f t="shared" si="558"/>
        <v>0</v>
      </c>
      <c r="AA126" s="439"/>
      <c r="AB126" s="434"/>
      <c r="AC126" s="434"/>
      <c r="AD126" s="437">
        <f t="shared" si="719"/>
        <v>0</v>
      </c>
      <c r="AE126" s="438"/>
      <c r="AF126" s="434"/>
      <c r="AG126" s="434"/>
      <c r="AH126" s="435">
        <f t="shared" si="720"/>
        <v>0</v>
      </c>
      <c r="AI126" s="439"/>
      <c r="AJ126" s="434"/>
      <c r="AK126" s="434"/>
      <c r="AL126" s="437">
        <f t="shared" si="721"/>
        <v>280000</v>
      </c>
      <c r="AM126" s="438"/>
      <c r="AN126" s="434"/>
      <c r="AO126" s="434"/>
      <c r="AP126" s="1131">
        <f t="shared" si="722"/>
        <v>0</v>
      </c>
      <c r="AQ126" s="438"/>
      <c r="AR126" s="434"/>
      <c r="AS126" s="434"/>
      <c r="AT126" s="437">
        <f t="shared" si="723"/>
        <v>0</v>
      </c>
      <c r="AU126" s="438"/>
      <c r="AV126" s="434"/>
      <c r="AW126" s="434"/>
      <c r="AX126" s="437">
        <f t="shared" si="724"/>
        <v>0</v>
      </c>
      <c r="AY126" s="438"/>
      <c r="AZ126" s="434"/>
      <c r="BA126" s="434"/>
      <c r="BB126" s="437">
        <f t="shared" si="725"/>
        <v>0</v>
      </c>
      <c r="BC126" s="438"/>
      <c r="BD126" s="434"/>
      <c r="BE126" s="434"/>
      <c r="BF126" s="437">
        <f t="shared" si="726"/>
        <v>0</v>
      </c>
      <c r="BG126" s="438"/>
      <c r="BH126" s="434"/>
      <c r="BI126" s="434"/>
      <c r="BJ126" s="1131">
        <f t="shared" si="727"/>
        <v>0</v>
      </c>
      <c r="BK126" s="438"/>
      <c r="BL126" s="434"/>
      <c r="BM126" s="434"/>
      <c r="BN126" s="1131">
        <f t="shared" si="568"/>
        <v>0</v>
      </c>
      <c r="BO126" s="438"/>
      <c r="BP126" s="434"/>
      <c r="BQ126" s="434"/>
      <c r="BR126" s="1131">
        <f t="shared" ref="BR126:BR140" si="738">$R126-BO126-BP126-BQ126</f>
        <v>0</v>
      </c>
      <c r="BS126" s="438"/>
      <c r="BT126" s="833">
        <v>1</v>
      </c>
      <c r="BU126" s="833">
        <f t="shared" si="728"/>
        <v>1</v>
      </c>
      <c r="BV126" s="833">
        <f t="shared" si="729"/>
        <v>1</v>
      </c>
      <c r="BW126" s="833">
        <f t="shared" si="730"/>
        <v>1</v>
      </c>
      <c r="BX126" s="833">
        <f t="shared" si="731"/>
        <v>1</v>
      </c>
      <c r="BY126" s="833">
        <f t="shared" si="732"/>
        <v>1</v>
      </c>
      <c r="BZ126" s="833">
        <f t="shared" si="733"/>
        <v>1</v>
      </c>
      <c r="CA126" s="833">
        <f t="shared" si="734"/>
        <v>1</v>
      </c>
      <c r="CB126" s="833">
        <f t="shared" si="735"/>
        <v>1</v>
      </c>
      <c r="CC126" s="833">
        <f t="shared" si="736"/>
        <v>1</v>
      </c>
      <c r="CD126" s="833">
        <f t="shared" si="737"/>
        <v>1</v>
      </c>
      <c r="CE126" s="833">
        <f t="shared" si="737"/>
        <v>1</v>
      </c>
      <c r="CF126" s="833">
        <f t="shared" si="737"/>
        <v>1</v>
      </c>
      <c r="CG126" s="833"/>
      <c r="CH126" s="46">
        <f t="shared" si="707"/>
        <v>0</v>
      </c>
      <c r="CI126" s="46">
        <f t="shared" si="708"/>
        <v>0</v>
      </c>
      <c r="CJ126" s="46">
        <f t="shared" si="709"/>
        <v>0</v>
      </c>
      <c r="CK126" s="46">
        <f t="shared" si="710"/>
        <v>0</v>
      </c>
      <c r="CL126" s="46">
        <f t="shared" si="711"/>
        <v>280000</v>
      </c>
      <c r="CM126" s="46">
        <f t="shared" si="712"/>
        <v>0</v>
      </c>
      <c r="CN126" s="46">
        <f t="shared" si="713"/>
        <v>0</v>
      </c>
      <c r="CO126" s="46">
        <f t="shared" si="714"/>
        <v>0</v>
      </c>
      <c r="CP126" s="46">
        <f t="shared" si="715"/>
        <v>0</v>
      </c>
      <c r="CQ126" s="46">
        <f t="shared" si="716"/>
        <v>0</v>
      </c>
      <c r="CR126" s="46">
        <f t="shared" si="717"/>
        <v>0</v>
      </c>
      <c r="CS126" s="46">
        <f t="shared" ref="CS126:CS140" si="739">ROUND(CE126*Q126,-3)</f>
        <v>0</v>
      </c>
      <c r="CT126" s="46">
        <f t="shared" ref="CT126:CT140" si="740">ROUND(CF126*R126,-3)</f>
        <v>0</v>
      </c>
    </row>
    <row r="127" spans="1:98" s="247" customFormat="1" ht="14.25" customHeight="1" x14ac:dyDescent="0.2">
      <c r="A127" s="673" t="s">
        <v>6575</v>
      </c>
      <c r="B127" s="920"/>
      <c r="C127" s="920"/>
      <c r="D127" s="920"/>
      <c r="E127" s="611"/>
      <c r="F127" s="608"/>
      <c r="G127" s="668"/>
      <c r="H127" s="608"/>
      <c r="I127" s="668">
        <v>270000</v>
      </c>
      <c r="J127" s="668"/>
      <c r="K127" s="668"/>
      <c r="L127" s="668"/>
      <c r="M127" s="669"/>
      <c r="N127" s="608"/>
      <c r="O127" s="608"/>
      <c r="P127" s="608"/>
      <c r="Q127" s="608"/>
      <c r="R127" s="609"/>
      <c r="S127" s="438"/>
      <c r="T127" s="434"/>
      <c r="U127" s="434"/>
      <c r="V127" s="437">
        <f t="shared" si="695"/>
        <v>0</v>
      </c>
      <c r="W127" s="439"/>
      <c r="X127" s="434"/>
      <c r="Y127" s="434"/>
      <c r="Z127" s="437">
        <f t="shared" si="558"/>
        <v>0</v>
      </c>
      <c r="AA127" s="439"/>
      <c r="AB127" s="434"/>
      <c r="AC127" s="434"/>
      <c r="AD127" s="437">
        <f t="shared" si="719"/>
        <v>0</v>
      </c>
      <c r="AE127" s="438"/>
      <c r="AF127" s="434"/>
      <c r="AG127" s="434"/>
      <c r="AH127" s="435">
        <f t="shared" si="720"/>
        <v>270000</v>
      </c>
      <c r="AI127" s="439"/>
      <c r="AJ127" s="434"/>
      <c r="AK127" s="434"/>
      <c r="AL127" s="437">
        <f t="shared" si="721"/>
        <v>0</v>
      </c>
      <c r="AM127" s="438"/>
      <c r="AN127" s="434"/>
      <c r="AO127" s="434"/>
      <c r="AP127" s="1131">
        <f t="shared" si="722"/>
        <v>0</v>
      </c>
      <c r="AQ127" s="438"/>
      <c r="AR127" s="434"/>
      <c r="AS127" s="434"/>
      <c r="AT127" s="437">
        <f t="shared" si="723"/>
        <v>0</v>
      </c>
      <c r="AU127" s="438"/>
      <c r="AV127" s="434"/>
      <c r="AW127" s="434"/>
      <c r="AX127" s="437">
        <f t="shared" si="724"/>
        <v>0</v>
      </c>
      <c r="AY127" s="438"/>
      <c r="AZ127" s="434"/>
      <c r="BA127" s="434"/>
      <c r="BB127" s="437">
        <f t="shared" si="725"/>
        <v>0</v>
      </c>
      <c r="BC127" s="438"/>
      <c r="BD127" s="434"/>
      <c r="BE127" s="434"/>
      <c r="BF127" s="437">
        <f t="shared" si="726"/>
        <v>0</v>
      </c>
      <c r="BG127" s="438"/>
      <c r="BH127" s="434"/>
      <c r="BI127" s="434"/>
      <c r="BJ127" s="1131">
        <f t="shared" si="727"/>
        <v>0</v>
      </c>
      <c r="BK127" s="438"/>
      <c r="BL127" s="434"/>
      <c r="BM127" s="434"/>
      <c r="BN127" s="1131">
        <f t="shared" si="568"/>
        <v>0</v>
      </c>
      <c r="BO127" s="438"/>
      <c r="BP127" s="434"/>
      <c r="BQ127" s="434"/>
      <c r="BR127" s="1131">
        <f t="shared" si="738"/>
        <v>0</v>
      </c>
      <c r="BS127" s="438"/>
      <c r="BT127" s="833">
        <v>1</v>
      </c>
      <c r="BU127" s="833">
        <f t="shared" si="728"/>
        <v>1</v>
      </c>
      <c r="BV127" s="833">
        <f t="shared" si="729"/>
        <v>1</v>
      </c>
      <c r="BW127" s="833">
        <f t="shared" si="730"/>
        <v>1</v>
      </c>
      <c r="BX127" s="833">
        <f t="shared" si="731"/>
        <v>1</v>
      </c>
      <c r="BY127" s="833">
        <f t="shared" si="732"/>
        <v>1</v>
      </c>
      <c r="BZ127" s="833">
        <f t="shared" si="733"/>
        <v>1</v>
      </c>
      <c r="CA127" s="833">
        <f t="shared" si="734"/>
        <v>1</v>
      </c>
      <c r="CB127" s="833">
        <f t="shared" si="735"/>
        <v>1</v>
      </c>
      <c r="CC127" s="833">
        <f t="shared" si="736"/>
        <v>1</v>
      </c>
      <c r="CD127" s="833">
        <f t="shared" si="737"/>
        <v>1</v>
      </c>
      <c r="CE127" s="833">
        <f t="shared" si="737"/>
        <v>1</v>
      </c>
      <c r="CF127" s="833">
        <f t="shared" si="737"/>
        <v>1</v>
      </c>
      <c r="CG127" s="833"/>
      <c r="CH127" s="46">
        <f t="shared" si="707"/>
        <v>0</v>
      </c>
      <c r="CI127" s="46">
        <f t="shared" si="708"/>
        <v>0</v>
      </c>
      <c r="CJ127" s="46">
        <f t="shared" si="709"/>
        <v>0</v>
      </c>
      <c r="CK127" s="46">
        <f t="shared" si="710"/>
        <v>270000</v>
      </c>
      <c r="CL127" s="46">
        <f t="shared" si="711"/>
        <v>0</v>
      </c>
      <c r="CM127" s="46">
        <f t="shared" si="712"/>
        <v>0</v>
      </c>
      <c r="CN127" s="46">
        <f t="shared" si="713"/>
        <v>0</v>
      </c>
      <c r="CO127" s="46">
        <f t="shared" si="714"/>
        <v>0</v>
      </c>
      <c r="CP127" s="46">
        <f t="shared" si="715"/>
        <v>0</v>
      </c>
      <c r="CQ127" s="46">
        <f t="shared" si="716"/>
        <v>0</v>
      </c>
      <c r="CR127" s="46">
        <f t="shared" si="717"/>
        <v>0</v>
      </c>
      <c r="CS127" s="46">
        <f t="shared" si="739"/>
        <v>0</v>
      </c>
      <c r="CT127" s="46">
        <f t="shared" si="740"/>
        <v>0</v>
      </c>
    </row>
    <row r="128" spans="1:98" s="247" customFormat="1" ht="14.25" customHeight="1" x14ac:dyDescent="0.2">
      <c r="A128" s="673" t="s">
        <v>6576</v>
      </c>
      <c r="B128" s="920"/>
      <c r="C128" s="920"/>
      <c r="D128" s="920"/>
      <c r="E128" s="611"/>
      <c r="F128" s="608"/>
      <c r="G128" s="668"/>
      <c r="H128" s="608"/>
      <c r="I128" s="668"/>
      <c r="J128" s="668"/>
      <c r="K128" s="668">
        <v>158000</v>
      </c>
      <c r="L128" s="668">
        <v>162000</v>
      </c>
      <c r="M128" s="669"/>
      <c r="N128" s="608"/>
      <c r="O128" s="608"/>
      <c r="P128" s="608"/>
      <c r="Q128" s="608"/>
      <c r="R128" s="609"/>
      <c r="S128" s="438"/>
      <c r="T128" s="434"/>
      <c r="U128" s="434"/>
      <c r="V128" s="437">
        <f t="shared" si="695"/>
        <v>0</v>
      </c>
      <c r="W128" s="439"/>
      <c r="X128" s="434"/>
      <c r="Y128" s="434"/>
      <c r="Z128" s="437">
        <f t="shared" si="558"/>
        <v>0</v>
      </c>
      <c r="AA128" s="439"/>
      <c r="AB128" s="434"/>
      <c r="AC128" s="434"/>
      <c r="AD128" s="437">
        <f t="shared" si="719"/>
        <v>0</v>
      </c>
      <c r="AE128" s="438"/>
      <c r="AF128" s="434"/>
      <c r="AG128" s="434"/>
      <c r="AH128" s="435">
        <f t="shared" si="720"/>
        <v>0</v>
      </c>
      <c r="AI128" s="439"/>
      <c r="AJ128" s="434"/>
      <c r="AK128" s="434"/>
      <c r="AL128" s="437">
        <f t="shared" si="721"/>
        <v>0</v>
      </c>
      <c r="AM128" s="438"/>
      <c r="AN128" s="434"/>
      <c r="AO128" s="434"/>
      <c r="AP128" s="1131">
        <f t="shared" si="722"/>
        <v>158000</v>
      </c>
      <c r="AQ128" s="438"/>
      <c r="AR128" s="434"/>
      <c r="AS128" s="434"/>
      <c r="AT128" s="437">
        <f t="shared" si="723"/>
        <v>162000</v>
      </c>
      <c r="AU128" s="438"/>
      <c r="AV128" s="434"/>
      <c r="AW128" s="434"/>
      <c r="AX128" s="437">
        <f t="shared" si="724"/>
        <v>0</v>
      </c>
      <c r="AY128" s="438"/>
      <c r="AZ128" s="434"/>
      <c r="BA128" s="434"/>
      <c r="BB128" s="437">
        <f t="shared" si="725"/>
        <v>0</v>
      </c>
      <c r="BC128" s="438"/>
      <c r="BD128" s="434"/>
      <c r="BE128" s="434"/>
      <c r="BF128" s="437">
        <f t="shared" si="726"/>
        <v>0</v>
      </c>
      <c r="BG128" s="438"/>
      <c r="BH128" s="434"/>
      <c r="BI128" s="434"/>
      <c r="BJ128" s="1131">
        <f t="shared" si="727"/>
        <v>0</v>
      </c>
      <c r="BK128" s="438"/>
      <c r="BL128" s="434"/>
      <c r="BM128" s="434"/>
      <c r="BN128" s="1131">
        <f t="shared" si="568"/>
        <v>0</v>
      </c>
      <c r="BO128" s="438"/>
      <c r="BP128" s="434"/>
      <c r="BQ128" s="434"/>
      <c r="BR128" s="1131">
        <f t="shared" si="738"/>
        <v>0</v>
      </c>
      <c r="BS128" s="438"/>
      <c r="BT128" s="833">
        <v>1</v>
      </c>
      <c r="BU128" s="833">
        <f t="shared" si="728"/>
        <v>1</v>
      </c>
      <c r="BV128" s="833">
        <f t="shared" si="729"/>
        <v>1</v>
      </c>
      <c r="BW128" s="833">
        <f t="shared" si="730"/>
        <v>1</v>
      </c>
      <c r="BX128" s="833">
        <f t="shared" si="731"/>
        <v>1</v>
      </c>
      <c r="BY128" s="833">
        <f t="shared" si="732"/>
        <v>1</v>
      </c>
      <c r="BZ128" s="833">
        <f t="shared" si="733"/>
        <v>1</v>
      </c>
      <c r="CA128" s="833">
        <f t="shared" si="734"/>
        <v>1</v>
      </c>
      <c r="CB128" s="833">
        <f t="shared" si="735"/>
        <v>1</v>
      </c>
      <c r="CC128" s="833">
        <f t="shared" si="736"/>
        <v>1</v>
      </c>
      <c r="CD128" s="833">
        <f t="shared" si="737"/>
        <v>1</v>
      </c>
      <c r="CE128" s="833">
        <f t="shared" si="737"/>
        <v>1</v>
      </c>
      <c r="CF128" s="833">
        <f t="shared" si="737"/>
        <v>1</v>
      </c>
      <c r="CG128" s="833"/>
      <c r="CH128" s="46">
        <f t="shared" si="707"/>
        <v>0</v>
      </c>
      <c r="CI128" s="46">
        <f t="shared" si="708"/>
        <v>0</v>
      </c>
      <c r="CJ128" s="46">
        <f t="shared" si="709"/>
        <v>0</v>
      </c>
      <c r="CK128" s="46">
        <f t="shared" si="710"/>
        <v>0</v>
      </c>
      <c r="CL128" s="46">
        <f t="shared" si="711"/>
        <v>0</v>
      </c>
      <c r="CM128" s="46">
        <f t="shared" si="712"/>
        <v>158000</v>
      </c>
      <c r="CN128" s="46">
        <f t="shared" si="713"/>
        <v>162000</v>
      </c>
      <c r="CO128" s="46">
        <f t="shared" si="714"/>
        <v>0</v>
      </c>
      <c r="CP128" s="46">
        <f t="shared" si="715"/>
        <v>0</v>
      </c>
      <c r="CQ128" s="46">
        <f t="shared" si="716"/>
        <v>0</v>
      </c>
      <c r="CR128" s="46">
        <f t="shared" si="717"/>
        <v>0</v>
      </c>
      <c r="CS128" s="46">
        <f t="shared" si="739"/>
        <v>0</v>
      </c>
      <c r="CT128" s="46">
        <f t="shared" si="740"/>
        <v>0</v>
      </c>
    </row>
    <row r="129" spans="1:98" s="247" customFormat="1" ht="14.25" customHeight="1" x14ac:dyDescent="0.2">
      <c r="A129" s="673" t="s">
        <v>6577</v>
      </c>
      <c r="B129" s="920"/>
      <c r="C129" s="920"/>
      <c r="D129" s="920"/>
      <c r="E129" s="611"/>
      <c r="F129" s="608"/>
      <c r="G129" s="668"/>
      <c r="H129" s="608"/>
      <c r="I129" s="668"/>
      <c r="J129" s="668"/>
      <c r="K129" s="668"/>
      <c r="L129" s="668"/>
      <c r="M129" s="669">
        <v>362000</v>
      </c>
      <c r="N129" s="608"/>
      <c r="O129" s="608"/>
      <c r="P129" s="608"/>
      <c r="Q129" s="608"/>
      <c r="R129" s="609"/>
      <c r="S129" s="438"/>
      <c r="T129" s="434"/>
      <c r="U129" s="434"/>
      <c r="V129" s="437">
        <f t="shared" si="695"/>
        <v>0</v>
      </c>
      <c r="W129" s="439"/>
      <c r="X129" s="434"/>
      <c r="Y129" s="434"/>
      <c r="Z129" s="437">
        <f t="shared" si="558"/>
        <v>0</v>
      </c>
      <c r="AA129" s="439"/>
      <c r="AB129" s="434"/>
      <c r="AC129" s="434"/>
      <c r="AD129" s="437">
        <f t="shared" si="719"/>
        <v>0</v>
      </c>
      <c r="AE129" s="438"/>
      <c r="AF129" s="434"/>
      <c r="AG129" s="434"/>
      <c r="AH129" s="435">
        <f t="shared" si="720"/>
        <v>0</v>
      </c>
      <c r="AI129" s="439"/>
      <c r="AJ129" s="434"/>
      <c r="AK129" s="434"/>
      <c r="AL129" s="437">
        <f t="shared" si="721"/>
        <v>0</v>
      </c>
      <c r="AM129" s="438"/>
      <c r="AN129" s="434"/>
      <c r="AO129" s="434"/>
      <c r="AP129" s="1131">
        <f t="shared" si="722"/>
        <v>0</v>
      </c>
      <c r="AQ129" s="438"/>
      <c r="AR129" s="434"/>
      <c r="AS129" s="434"/>
      <c r="AT129" s="437">
        <f t="shared" si="723"/>
        <v>0</v>
      </c>
      <c r="AU129" s="438"/>
      <c r="AV129" s="434"/>
      <c r="AW129" s="434"/>
      <c r="AX129" s="437">
        <f t="shared" si="724"/>
        <v>362000</v>
      </c>
      <c r="AY129" s="438"/>
      <c r="AZ129" s="434"/>
      <c r="BA129" s="434"/>
      <c r="BB129" s="437">
        <f t="shared" si="725"/>
        <v>0</v>
      </c>
      <c r="BC129" s="438"/>
      <c r="BD129" s="434"/>
      <c r="BE129" s="434"/>
      <c r="BF129" s="437">
        <f t="shared" si="726"/>
        <v>0</v>
      </c>
      <c r="BG129" s="438"/>
      <c r="BH129" s="434"/>
      <c r="BI129" s="434"/>
      <c r="BJ129" s="1131">
        <f t="shared" si="727"/>
        <v>0</v>
      </c>
      <c r="BK129" s="438"/>
      <c r="BL129" s="434"/>
      <c r="BM129" s="434"/>
      <c r="BN129" s="1131">
        <f t="shared" si="568"/>
        <v>0</v>
      </c>
      <c r="BO129" s="438"/>
      <c r="BP129" s="434"/>
      <c r="BQ129" s="434"/>
      <c r="BR129" s="1131">
        <f t="shared" si="738"/>
        <v>0</v>
      </c>
      <c r="BS129" s="438"/>
      <c r="BT129" s="833">
        <v>1</v>
      </c>
      <c r="BU129" s="833">
        <f t="shared" si="728"/>
        <v>1</v>
      </c>
      <c r="BV129" s="833">
        <f t="shared" si="729"/>
        <v>1</v>
      </c>
      <c r="BW129" s="833">
        <f t="shared" si="730"/>
        <v>1</v>
      </c>
      <c r="BX129" s="833">
        <f t="shared" si="731"/>
        <v>1</v>
      </c>
      <c r="BY129" s="833">
        <f t="shared" si="732"/>
        <v>1</v>
      </c>
      <c r="BZ129" s="833">
        <f t="shared" si="733"/>
        <v>1</v>
      </c>
      <c r="CA129" s="833">
        <f t="shared" si="734"/>
        <v>1</v>
      </c>
      <c r="CB129" s="833">
        <f t="shared" si="735"/>
        <v>1</v>
      </c>
      <c r="CC129" s="833">
        <f t="shared" si="736"/>
        <v>1</v>
      </c>
      <c r="CD129" s="833">
        <f t="shared" si="737"/>
        <v>1</v>
      </c>
      <c r="CE129" s="833">
        <f t="shared" si="737"/>
        <v>1</v>
      </c>
      <c r="CF129" s="833">
        <f t="shared" si="737"/>
        <v>1</v>
      </c>
      <c r="CG129" s="833"/>
      <c r="CH129" s="46">
        <f t="shared" si="707"/>
        <v>0</v>
      </c>
      <c r="CI129" s="46">
        <f t="shared" si="708"/>
        <v>0</v>
      </c>
      <c r="CJ129" s="46">
        <f t="shared" si="709"/>
        <v>0</v>
      </c>
      <c r="CK129" s="46">
        <f t="shared" si="710"/>
        <v>0</v>
      </c>
      <c r="CL129" s="46">
        <f t="shared" si="711"/>
        <v>0</v>
      </c>
      <c r="CM129" s="46">
        <f t="shared" si="712"/>
        <v>0</v>
      </c>
      <c r="CN129" s="46">
        <f t="shared" si="713"/>
        <v>0</v>
      </c>
      <c r="CO129" s="46">
        <f t="shared" si="714"/>
        <v>362000</v>
      </c>
      <c r="CP129" s="46">
        <f t="shared" si="715"/>
        <v>0</v>
      </c>
      <c r="CQ129" s="46">
        <f t="shared" si="716"/>
        <v>0</v>
      </c>
      <c r="CR129" s="46">
        <f t="shared" si="717"/>
        <v>0</v>
      </c>
      <c r="CS129" s="46">
        <f t="shared" si="739"/>
        <v>0</v>
      </c>
      <c r="CT129" s="46">
        <f t="shared" si="740"/>
        <v>0</v>
      </c>
    </row>
    <row r="130" spans="1:98" s="247" customFormat="1" ht="14.25" customHeight="1" x14ac:dyDescent="0.2">
      <c r="A130" s="673" t="s">
        <v>6578</v>
      </c>
      <c r="B130" s="920"/>
      <c r="C130" s="920"/>
      <c r="D130" s="920"/>
      <c r="E130" s="611"/>
      <c r="F130" s="608"/>
      <c r="G130" s="668"/>
      <c r="H130" s="608"/>
      <c r="I130" s="668"/>
      <c r="J130" s="668"/>
      <c r="K130" s="668"/>
      <c r="L130" s="668"/>
      <c r="M130" s="669">
        <v>472000</v>
      </c>
      <c r="N130" s="608"/>
      <c r="O130" s="608"/>
      <c r="P130" s="608"/>
      <c r="Q130" s="608"/>
      <c r="R130" s="609"/>
      <c r="S130" s="438"/>
      <c r="T130" s="434"/>
      <c r="U130" s="434"/>
      <c r="V130" s="437">
        <f t="shared" si="695"/>
        <v>0</v>
      </c>
      <c r="W130" s="439"/>
      <c r="X130" s="434"/>
      <c r="Y130" s="434"/>
      <c r="Z130" s="437">
        <f t="shared" si="558"/>
        <v>0</v>
      </c>
      <c r="AA130" s="439"/>
      <c r="AB130" s="434"/>
      <c r="AC130" s="434"/>
      <c r="AD130" s="437">
        <f t="shared" si="719"/>
        <v>0</v>
      </c>
      <c r="AE130" s="438"/>
      <c r="AF130" s="434"/>
      <c r="AG130" s="434"/>
      <c r="AH130" s="435">
        <f t="shared" si="720"/>
        <v>0</v>
      </c>
      <c r="AI130" s="439"/>
      <c r="AJ130" s="434"/>
      <c r="AK130" s="434"/>
      <c r="AL130" s="437">
        <f t="shared" si="721"/>
        <v>0</v>
      </c>
      <c r="AM130" s="438"/>
      <c r="AN130" s="434"/>
      <c r="AO130" s="434"/>
      <c r="AP130" s="1131">
        <f t="shared" si="722"/>
        <v>0</v>
      </c>
      <c r="AQ130" s="438"/>
      <c r="AR130" s="434"/>
      <c r="AS130" s="434"/>
      <c r="AT130" s="437">
        <f t="shared" si="723"/>
        <v>0</v>
      </c>
      <c r="AU130" s="438"/>
      <c r="AV130" s="434"/>
      <c r="AW130" s="434"/>
      <c r="AX130" s="437">
        <f t="shared" si="724"/>
        <v>472000</v>
      </c>
      <c r="AY130" s="438"/>
      <c r="AZ130" s="434"/>
      <c r="BA130" s="434"/>
      <c r="BB130" s="437">
        <f t="shared" si="725"/>
        <v>0</v>
      </c>
      <c r="BC130" s="438"/>
      <c r="BD130" s="434"/>
      <c r="BE130" s="434"/>
      <c r="BF130" s="437">
        <f t="shared" si="726"/>
        <v>0</v>
      </c>
      <c r="BG130" s="438"/>
      <c r="BH130" s="434"/>
      <c r="BI130" s="434"/>
      <c r="BJ130" s="1131">
        <f t="shared" si="727"/>
        <v>0</v>
      </c>
      <c r="BK130" s="438"/>
      <c r="BL130" s="434"/>
      <c r="BM130" s="434"/>
      <c r="BN130" s="1131">
        <f t="shared" si="568"/>
        <v>0</v>
      </c>
      <c r="BO130" s="438"/>
      <c r="BP130" s="434"/>
      <c r="BQ130" s="434"/>
      <c r="BR130" s="1131">
        <f t="shared" si="738"/>
        <v>0</v>
      </c>
      <c r="BS130" s="438"/>
      <c r="BT130" s="833">
        <v>1</v>
      </c>
      <c r="BU130" s="833">
        <f t="shared" si="728"/>
        <v>1</v>
      </c>
      <c r="BV130" s="833">
        <f t="shared" si="729"/>
        <v>1</v>
      </c>
      <c r="BW130" s="833">
        <f t="shared" si="730"/>
        <v>1</v>
      </c>
      <c r="BX130" s="833">
        <f t="shared" si="731"/>
        <v>1</v>
      </c>
      <c r="BY130" s="833">
        <f t="shared" si="732"/>
        <v>1</v>
      </c>
      <c r="BZ130" s="833">
        <f t="shared" si="733"/>
        <v>1</v>
      </c>
      <c r="CA130" s="833">
        <f t="shared" si="734"/>
        <v>1</v>
      </c>
      <c r="CB130" s="833">
        <f t="shared" si="735"/>
        <v>1</v>
      </c>
      <c r="CC130" s="833">
        <f t="shared" si="736"/>
        <v>1</v>
      </c>
      <c r="CD130" s="833">
        <f t="shared" si="737"/>
        <v>1</v>
      </c>
      <c r="CE130" s="833">
        <f t="shared" si="737"/>
        <v>1</v>
      </c>
      <c r="CF130" s="833">
        <f t="shared" si="737"/>
        <v>1</v>
      </c>
      <c r="CG130" s="833"/>
      <c r="CH130" s="46">
        <f t="shared" si="707"/>
        <v>0</v>
      </c>
      <c r="CI130" s="46">
        <f t="shared" si="708"/>
        <v>0</v>
      </c>
      <c r="CJ130" s="46">
        <f t="shared" si="709"/>
        <v>0</v>
      </c>
      <c r="CK130" s="46">
        <f t="shared" si="710"/>
        <v>0</v>
      </c>
      <c r="CL130" s="46">
        <f t="shared" si="711"/>
        <v>0</v>
      </c>
      <c r="CM130" s="46">
        <f t="shared" si="712"/>
        <v>0</v>
      </c>
      <c r="CN130" s="46">
        <f t="shared" si="713"/>
        <v>0</v>
      </c>
      <c r="CO130" s="46">
        <f t="shared" si="714"/>
        <v>472000</v>
      </c>
      <c r="CP130" s="46">
        <f t="shared" si="715"/>
        <v>0</v>
      </c>
      <c r="CQ130" s="46">
        <f t="shared" si="716"/>
        <v>0</v>
      </c>
      <c r="CR130" s="46">
        <f t="shared" si="717"/>
        <v>0</v>
      </c>
      <c r="CS130" s="46">
        <f t="shared" si="739"/>
        <v>0</v>
      </c>
      <c r="CT130" s="46">
        <f t="shared" si="740"/>
        <v>0</v>
      </c>
    </row>
    <row r="131" spans="1:98" s="247" customFormat="1" ht="14.25" customHeight="1" x14ac:dyDescent="0.2">
      <c r="A131" s="673" t="s">
        <v>6579</v>
      </c>
      <c r="B131" s="920"/>
      <c r="C131" s="920"/>
      <c r="D131" s="920"/>
      <c r="E131" s="611"/>
      <c r="F131" s="608"/>
      <c r="G131" s="668"/>
      <c r="H131" s="608"/>
      <c r="I131" s="668"/>
      <c r="J131" s="668"/>
      <c r="K131" s="668"/>
      <c r="L131" s="668">
        <v>2336000</v>
      </c>
      <c r="M131" s="669"/>
      <c r="N131" s="608"/>
      <c r="O131" s="608"/>
      <c r="P131" s="608"/>
      <c r="Q131" s="608"/>
      <c r="R131" s="609"/>
      <c r="S131" s="438"/>
      <c r="T131" s="434"/>
      <c r="U131" s="434"/>
      <c r="V131" s="437">
        <f t="shared" si="695"/>
        <v>0</v>
      </c>
      <c r="W131" s="439"/>
      <c r="X131" s="434"/>
      <c r="Y131" s="434"/>
      <c r="Z131" s="437">
        <f t="shared" si="558"/>
        <v>0</v>
      </c>
      <c r="AA131" s="439"/>
      <c r="AB131" s="434"/>
      <c r="AC131" s="434"/>
      <c r="AD131" s="437">
        <f t="shared" si="719"/>
        <v>0</v>
      </c>
      <c r="AE131" s="438"/>
      <c r="AF131" s="434"/>
      <c r="AG131" s="434"/>
      <c r="AH131" s="435">
        <f t="shared" si="720"/>
        <v>0</v>
      </c>
      <c r="AI131" s="439"/>
      <c r="AJ131" s="434"/>
      <c r="AK131" s="434"/>
      <c r="AL131" s="437">
        <f t="shared" si="721"/>
        <v>0</v>
      </c>
      <c r="AM131" s="438"/>
      <c r="AN131" s="434"/>
      <c r="AO131" s="434"/>
      <c r="AP131" s="1131">
        <f t="shared" si="722"/>
        <v>0</v>
      </c>
      <c r="AQ131" s="438"/>
      <c r="AR131" s="434"/>
      <c r="AS131" s="434"/>
      <c r="AT131" s="437">
        <f t="shared" si="723"/>
        <v>2336000</v>
      </c>
      <c r="AU131" s="438"/>
      <c r="AV131" s="434"/>
      <c r="AW131" s="434"/>
      <c r="AX131" s="437">
        <f t="shared" si="724"/>
        <v>0</v>
      </c>
      <c r="AY131" s="438"/>
      <c r="AZ131" s="434"/>
      <c r="BA131" s="434"/>
      <c r="BB131" s="437">
        <f t="shared" si="725"/>
        <v>0</v>
      </c>
      <c r="BC131" s="438"/>
      <c r="BD131" s="434"/>
      <c r="BE131" s="434"/>
      <c r="BF131" s="437">
        <f t="shared" si="726"/>
        <v>0</v>
      </c>
      <c r="BG131" s="438"/>
      <c r="BH131" s="434"/>
      <c r="BI131" s="434"/>
      <c r="BJ131" s="1131">
        <f t="shared" si="727"/>
        <v>0</v>
      </c>
      <c r="BK131" s="438"/>
      <c r="BL131" s="434"/>
      <c r="BM131" s="434"/>
      <c r="BN131" s="1131">
        <f t="shared" si="568"/>
        <v>0</v>
      </c>
      <c r="BO131" s="438"/>
      <c r="BP131" s="434"/>
      <c r="BQ131" s="434"/>
      <c r="BR131" s="1131">
        <f t="shared" si="738"/>
        <v>0</v>
      </c>
      <c r="BS131" s="438"/>
      <c r="BT131" s="833">
        <v>1</v>
      </c>
      <c r="BU131" s="833">
        <f t="shared" si="728"/>
        <v>1</v>
      </c>
      <c r="BV131" s="833">
        <f t="shared" si="729"/>
        <v>1</v>
      </c>
      <c r="BW131" s="833">
        <f t="shared" si="730"/>
        <v>1</v>
      </c>
      <c r="BX131" s="833">
        <f t="shared" si="731"/>
        <v>1</v>
      </c>
      <c r="BY131" s="833">
        <f t="shared" si="732"/>
        <v>1</v>
      </c>
      <c r="BZ131" s="833">
        <f t="shared" si="733"/>
        <v>1</v>
      </c>
      <c r="CA131" s="833">
        <f t="shared" si="734"/>
        <v>1</v>
      </c>
      <c r="CB131" s="833">
        <f t="shared" si="735"/>
        <v>1</v>
      </c>
      <c r="CC131" s="833">
        <f t="shared" si="736"/>
        <v>1</v>
      </c>
      <c r="CD131" s="833">
        <f t="shared" si="737"/>
        <v>1</v>
      </c>
      <c r="CE131" s="833">
        <f t="shared" si="737"/>
        <v>1</v>
      </c>
      <c r="CF131" s="833">
        <f t="shared" si="737"/>
        <v>1</v>
      </c>
      <c r="CG131" s="833"/>
      <c r="CH131" s="46">
        <f t="shared" si="707"/>
        <v>0</v>
      </c>
      <c r="CI131" s="46">
        <f t="shared" si="708"/>
        <v>0</v>
      </c>
      <c r="CJ131" s="46">
        <f t="shared" si="709"/>
        <v>0</v>
      </c>
      <c r="CK131" s="46">
        <f t="shared" si="710"/>
        <v>0</v>
      </c>
      <c r="CL131" s="46">
        <f t="shared" si="711"/>
        <v>0</v>
      </c>
      <c r="CM131" s="46">
        <f t="shared" si="712"/>
        <v>0</v>
      </c>
      <c r="CN131" s="46">
        <f t="shared" si="713"/>
        <v>2336000</v>
      </c>
      <c r="CO131" s="46">
        <f t="shared" si="714"/>
        <v>0</v>
      </c>
      <c r="CP131" s="46">
        <f t="shared" si="715"/>
        <v>0</v>
      </c>
      <c r="CQ131" s="46">
        <f t="shared" si="716"/>
        <v>0</v>
      </c>
      <c r="CR131" s="46">
        <f t="shared" si="717"/>
        <v>0</v>
      </c>
      <c r="CS131" s="46">
        <f t="shared" si="739"/>
        <v>0</v>
      </c>
      <c r="CT131" s="46">
        <f t="shared" si="740"/>
        <v>0</v>
      </c>
    </row>
    <row r="132" spans="1:98" s="247" customFormat="1" ht="14.25" customHeight="1" x14ac:dyDescent="0.2">
      <c r="A132" s="673" t="s">
        <v>6580</v>
      </c>
      <c r="B132" s="920"/>
      <c r="C132" s="920"/>
      <c r="D132" s="920"/>
      <c r="E132" s="611"/>
      <c r="F132" s="608"/>
      <c r="G132" s="668"/>
      <c r="H132" s="608"/>
      <c r="I132" s="668">
        <v>200000</v>
      </c>
      <c r="J132" s="668"/>
      <c r="K132" s="668"/>
      <c r="L132" s="668"/>
      <c r="M132" s="669"/>
      <c r="N132" s="608"/>
      <c r="O132" s="608"/>
      <c r="P132" s="608"/>
      <c r="Q132" s="608"/>
      <c r="R132" s="609"/>
      <c r="S132" s="438"/>
      <c r="T132" s="434"/>
      <c r="U132" s="434"/>
      <c r="V132" s="437"/>
      <c r="W132" s="439"/>
      <c r="X132" s="434"/>
      <c r="Y132" s="434"/>
      <c r="Z132" s="437">
        <f t="shared" si="558"/>
        <v>0</v>
      </c>
      <c r="AA132" s="439"/>
      <c r="AB132" s="434"/>
      <c r="AC132" s="434"/>
      <c r="AD132" s="437">
        <f t="shared" si="719"/>
        <v>0</v>
      </c>
      <c r="AE132" s="438"/>
      <c r="AF132" s="434"/>
      <c r="AG132" s="434"/>
      <c r="AH132" s="435">
        <f t="shared" si="720"/>
        <v>200000</v>
      </c>
      <c r="AI132" s="439"/>
      <c r="AJ132" s="434"/>
      <c r="AK132" s="434"/>
      <c r="AL132" s="437">
        <f t="shared" si="721"/>
        <v>0</v>
      </c>
      <c r="AM132" s="438"/>
      <c r="AN132" s="434"/>
      <c r="AO132" s="434"/>
      <c r="AP132" s="1131">
        <f t="shared" si="722"/>
        <v>0</v>
      </c>
      <c r="AQ132" s="438"/>
      <c r="AR132" s="434"/>
      <c r="AS132" s="434"/>
      <c r="AT132" s="437">
        <f t="shared" si="723"/>
        <v>0</v>
      </c>
      <c r="AU132" s="438"/>
      <c r="AV132" s="434"/>
      <c r="AW132" s="434"/>
      <c r="AX132" s="437">
        <f t="shared" si="724"/>
        <v>0</v>
      </c>
      <c r="AY132" s="438"/>
      <c r="AZ132" s="434"/>
      <c r="BA132" s="434"/>
      <c r="BB132" s="437">
        <f t="shared" si="725"/>
        <v>0</v>
      </c>
      <c r="BC132" s="438"/>
      <c r="BD132" s="434"/>
      <c r="BE132" s="434"/>
      <c r="BF132" s="437">
        <f t="shared" si="726"/>
        <v>0</v>
      </c>
      <c r="BG132" s="438"/>
      <c r="BH132" s="434"/>
      <c r="BI132" s="434"/>
      <c r="BJ132" s="1131">
        <f t="shared" si="727"/>
        <v>0</v>
      </c>
      <c r="BK132" s="438"/>
      <c r="BL132" s="434"/>
      <c r="BM132" s="434"/>
      <c r="BN132" s="1131">
        <f t="shared" si="568"/>
        <v>0</v>
      </c>
      <c r="BO132" s="438"/>
      <c r="BP132" s="434"/>
      <c r="BQ132" s="434"/>
      <c r="BR132" s="1131">
        <f t="shared" si="738"/>
        <v>0</v>
      </c>
      <c r="BS132" s="438"/>
      <c r="BT132" s="833">
        <v>1</v>
      </c>
      <c r="BU132" s="833">
        <f t="shared" ref="BU132:BU135" si="741">BT132</f>
        <v>1</v>
      </c>
      <c r="BV132" s="833">
        <f t="shared" ref="BV132:BV135" si="742">BU132</f>
        <v>1</v>
      </c>
      <c r="BW132" s="833">
        <f t="shared" ref="BW132:BW135" si="743">BV132</f>
        <v>1</v>
      </c>
      <c r="BX132" s="833">
        <f t="shared" ref="BX132:BX135" si="744">BW132</f>
        <v>1</v>
      </c>
      <c r="BY132" s="833">
        <f t="shared" ref="BY132:BY135" si="745">BX132</f>
        <v>1</v>
      </c>
      <c r="BZ132" s="833">
        <f t="shared" ref="BZ132:BZ135" si="746">BY132</f>
        <v>1</v>
      </c>
      <c r="CA132" s="833">
        <f t="shared" ref="CA132:CA135" si="747">BZ132</f>
        <v>1</v>
      </c>
      <c r="CB132" s="833">
        <f t="shared" ref="CB132:CB135" si="748">CA132</f>
        <v>1</v>
      </c>
      <c r="CC132" s="833">
        <f t="shared" ref="CC132:CC135" si="749">CB132</f>
        <v>1</v>
      </c>
      <c r="CD132" s="833">
        <f t="shared" ref="CD132:CF135" si="750">CC132</f>
        <v>1</v>
      </c>
      <c r="CE132" s="833">
        <f t="shared" si="750"/>
        <v>1</v>
      </c>
      <c r="CF132" s="833">
        <f t="shared" si="750"/>
        <v>1</v>
      </c>
      <c r="CG132" s="833"/>
      <c r="CH132" s="46">
        <f t="shared" si="707"/>
        <v>0</v>
      </c>
      <c r="CI132" s="46">
        <f t="shared" si="708"/>
        <v>0</v>
      </c>
      <c r="CJ132" s="46">
        <f t="shared" si="709"/>
        <v>0</v>
      </c>
      <c r="CK132" s="46">
        <f t="shared" si="710"/>
        <v>200000</v>
      </c>
      <c r="CL132" s="46">
        <f t="shared" si="711"/>
        <v>0</v>
      </c>
      <c r="CM132" s="46">
        <f t="shared" si="712"/>
        <v>0</v>
      </c>
      <c r="CN132" s="46">
        <f t="shared" si="713"/>
        <v>0</v>
      </c>
      <c r="CO132" s="46">
        <f t="shared" si="714"/>
        <v>0</v>
      </c>
      <c r="CP132" s="46">
        <f t="shared" si="715"/>
        <v>0</v>
      </c>
      <c r="CQ132" s="46">
        <f t="shared" si="716"/>
        <v>0</v>
      </c>
      <c r="CR132" s="46">
        <f t="shared" si="717"/>
        <v>0</v>
      </c>
      <c r="CS132" s="46">
        <f t="shared" si="739"/>
        <v>0</v>
      </c>
      <c r="CT132" s="46">
        <f t="shared" si="740"/>
        <v>0</v>
      </c>
    </row>
    <row r="133" spans="1:98" s="247" customFormat="1" ht="14.25" customHeight="1" x14ac:dyDescent="0.2">
      <c r="A133" s="673" t="s">
        <v>6581</v>
      </c>
      <c r="B133" s="920" t="s">
        <v>7186</v>
      </c>
      <c r="C133" s="920" t="s">
        <v>7187</v>
      </c>
      <c r="D133" s="920" t="s">
        <v>7187</v>
      </c>
      <c r="E133" s="611"/>
      <c r="F133" s="608"/>
      <c r="G133" s="668"/>
      <c r="H133" s="608">
        <v>40000</v>
      </c>
      <c r="I133" s="668"/>
      <c r="J133" s="668"/>
      <c r="K133" s="668"/>
      <c r="L133" s="668"/>
      <c r="M133" s="669"/>
      <c r="N133" s="608"/>
      <c r="O133" s="608"/>
      <c r="P133" s="608"/>
      <c r="Q133" s="608"/>
      <c r="R133" s="609"/>
      <c r="S133" s="438"/>
      <c r="T133" s="434"/>
      <c r="U133" s="434"/>
      <c r="V133" s="437"/>
      <c r="W133" s="439"/>
      <c r="X133" s="434"/>
      <c r="Y133" s="434"/>
      <c r="Z133" s="437">
        <f t="shared" si="558"/>
        <v>0</v>
      </c>
      <c r="AA133" s="439"/>
      <c r="AB133" s="434"/>
      <c r="AC133" s="434"/>
      <c r="AD133" s="437">
        <f t="shared" si="719"/>
        <v>40000</v>
      </c>
      <c r="AE133" s="438"/>
      <c r="AF133" s="434"/>
      <c r="AG133" s="434"/>
      <c r="AH133" s="435">
        <f t="shared" si="720"/>
        <v>0</v>
      </c>
      <c r="AI133" s="439"/>
      <c r="AJ133" s="434"/>
      <c r="AK133" s="434"/>
      <c r="AL133" s="437">
        <f t="shared" si="721"/>
        <v>0</v>
      </c>
      <c r="AM133" s="438"/>
      <c r="AN133" s="434"/>
      <c r="AO133" s="434"/>
      <c r="AP133" s="1131">
        <f t="shared" si="722"/>
        <v>0</v>
      </c>
      <c r="AQ133" s="438"/>
      <c r="AR133" s="434"/>
      <c r="AS133" s="434"/>
      <c r="AT133" s="437">
        <f t="shared" si="723"/>
        <v>0</v>
      </c>
      <c r="AU133" s="438"/>
      <c r="AV133" s="434"/>
      <c r="AW133" s="434"/>
      <c r="AX133" s="437">
        <f t="shared" si="724"/>
        <v>0</v>
      </c>
      <c r="AY133" s="438"/>
      <c r="AZ133" s="434"/>
      <c r="BA133" s="434"/>
      <c r="BB133" s="437">
        <f t="shared" si="725"/>
        <v>0</v>
      </c>
      <c r="BC133" s="438"/>
      <c r="BD133" s="434"/>
      <c r="BE133" s="434"/>
      <c r="BF133" s="437">
        <f t="shared" si="726"/>
        <v>0</v>
      </c>
      <c r="BG133" s="438"/>
      <c r="BH133" s="434"/>
      <c r="BI133" s="434"/>
      <c r="BJ133" s="1131">
        <f t="shared" si="727"/>
        <v>0</v>
      </c>
      <c r="BK133" s="438"/>
      <c r="BL133" s="434"/>
      <c r="BM133" s="434"/>
      <c r="BN133" s="1131">
        <f t="shared" si="568"/>
        <v>0</v>
      </c>
      <c r="BO133" s="438"/>
      <c r="BP133" s="434"/>
      <c r="BQ133" s="434"/>
      <c r="BR133" s="1131">
        <f t="shared" si="738"/>
        <v>0</v>
      </c>
      <c r="BS133" s="438"/>
      <c r="BT133" s="833">
        <v>1</v>
      </c>
      <c r="BU133" s="833">
        <f t="shared" si="741"/>
        <v>1</v>
      </c>
      <c r="BV133" s="833">
        <f t="shared" si="742"/>
        <v>1</v>
      </c>
      <c r="BW133" s="833">
        <f t="shared" si="743"/>
        <v>1</v>
      </c>
      <c r="BX133" s="833">
        <f t="shared" si="744"/>
        <v>1</v>
      </c>
      <c r="BY133" s="833">
        <f t="shared" si="745"/>
        <v>1</v>
      </c>
      <c r="BZ133" s="833">
        <f t="shared" si="746"/>
        <v>1</v>
      </c>
      <c r="CA133" s="833">
        <f t="shared" si="747"/>
        <v>1</v>
      </c>
      <c r="CB133" s="833">
        <f t="shared" si="748"/>
        <v>1</v>
      </c>
      <c r="CC133" s="833">
        <f t="shared" si="749"/>
        <v>1</v>
      </c>
      <c r="CD133" s="833">
        <f t="shared" si="750"/>
        <v>1</v>
      </c>
      <c r="CE133" s="833">
        <f t="shared" si="750"/>
        <v>1</v>
      </c>
      <c r="CF133" s="833">
        <f t="shared" si="750"/>
        <v>1</v>
      </c>
      <c r="CG133" s="833"/>
      <c r="CH133" s="46">
        <f t="shared" si="707"/>
        <v>0</v>
      </c>
      <c r="CI133" s="46">
        <f t="shared" si="708"/>
        <v>0</v>
      </c>
      <c r="CJ133" s="46">
        <f t="shared" si="709"/>
        <v>40000</v>
      </c>
      <c r="CK133" s="46">
        <f t="shared" si="710"/>
        <v>0</v>
      </c>
      <c r="CL133" s="46">
        <f t="shared" si="711"/>
        <v>0</v>
      </c>
      <c r="CM133" s="46">
        <f t="shared" si="712"/>
        <v>0</v>
      </c>
      <c r="CN133" s="46">
        <f t="shared" si="713"/>
        <v>0</v>
      </c>
      <c r="CO133" s="46">
        <f t="shared" si="714"/>
        <v>0</v>
      </c>
      <c r="CP133" s="46">
        <f t="shared" si="715"/>
        <v>0</v>
      </c>
      <c r="CQ133" s="46">
        <f t="shared" si="716"/>
        <v>0</v>
      </c>
      <c r="CR133" s="46">
        <f t="shared" si="717"/>
        <v>0</v>
      </c>
      <c r="CS133" s="46">
        <f t="shared" si="739"/>
        <v>0</v>
      </c>
      <c r="CT133" s="46">
        <f t="shared" si="740"/>
        <v>0</v>
      </c>
    </row>
    <row r="134" spans="1:98" s="247" customFormat="1" ht="14.25" customHeight="1" x14ac:dyDescent="0.2">
      <c r="A134" s="673" t="s">
        <v>6582</v>
      </c>
      <c r="B134" s="920" t="s">
        <v>6331</v>
      </c>
      <c r="C134" s="920" t="s">
        <v>6332</v>
      </c>
      <c r="D134" s="920" t="s">
        <v>6332</v>
      </c>
      <c r="E134" s="611"/>
      <c r="F134" s="608"/>
      <c r="G134" s="668">
        <v>21300</v>
      </c>
      <c r="H134" s="608">
        <f>30000+8700</f>
        <v>38700</v>
      </c>
      <c r="I134" s="668">
        <v>30000</v>
      </c>
      <c r="J134" s="668"/>
      <c r="K134" s="668"/>
      <c r="L134" s="668"/>
      <c r="M134" s="669"/>
      <c r="N134" s="608"/>
      <c r="O134" s="608"/>
      <c r="P134" s="608"/>
      <c r="Q134" s="608"/>
      <c r="R134" s="609"/>
      <c r="S134" s="438"/>
      <c r="T134" s="434"/>
      <c r="U134" s="434"/>
      <c r="V134" s="437"/>
      <c r="W134" s="439"/>
      <c r="X134" s="434"/>
      <c r="Y134" s="434"/>
      <c r="Z134" s="437">
        <f t="shared" si="558"/>
        <v>21300</v>
      </c>
      <c r="AA134" s="439"/>
      <c r="AB134" s="434"/>
      <c r="AC134" s="434"/>
      <c r="AD134" s="437">
        <f t="shared" si="719"/>
        <v>38700</v>
      </c>
      <c r="AE134" s="438"/>
      <c r="AF134" s="434"/>
      <c r="AG134" s="434"/>
      <c r="AH134" s="435">
        <f t="shared" si="720"/>
        <v>30000</v>
      </c>
      <c r="AI134" s="439"/>
      <c r="AJ134" s="434"/>
      <c r="AK134" s="434"/>
      <c r="AL134" s="437">
        <f t="shared" si="721"/>
        <v>0</v>
      </c>
      <c r="AM134" s="438"/>
      <c r="AN134" s="434"/>
      <c r="AO134" s="434"/>
      <c r="AP134" s="1131">
        <f t="shared" si="722"/>
        <v>0</v>
      </c>
      <c r="AQ134" s="438"/>
      <c r="AR134" s="434"/>
      <c r="AS134" s="434"/>
      <c r="AT134" s="437">
        <f t="shared" si="723"/>
        <v>0</v>
      </c>
      <c r="AU134" s="438"/>
      <c r="AV134" s="434"/>
      <c r="AW134" s="434"/>
      <c r="AX134" s="437">
        <f t="shared" si="724"/>
        <v>0</v>
      </c>
      <c r="AY134" s="438"/>
      <c r="AZ134" s="434"/>
      <c r="BA134" s="434"/>
      <c r="BB134" s="437">
        <f t="shared" si="725"/>
        <v>0</v>
      </c>
      <c r="BC134" s="438"/>
      <c r="BD134" s="434"/>
      <c r="BE134" s="434"/>
      <c r="BF134" s="437">
        <f t="shared" si="726"/>
        <v>0</v>
      </c>
      <c r="BG134" s="438"/>
      <c r="BH134" s="434"/>
      <c r="BI134" s="434"/>
      <c r="BJ134" s="1131">
        <f t="shared" si="727"/>
        <v>0</v>
      </c>
      <c r="BK134" s="438"/>
      <c r="BL134" s="434"/>
      <c r="BM134" s="434"/>
      <c r="BN134" s="1131">
        <f t="shared" si="568"/>
        <v>0</v>
      </c>
      <c r="BO134" s="438"/>
      <c r="BP134" s="434"/>
      <c r="BQ134" s="434"/>
      <c r="BR134" s="1131">
        <f t="shared" si="738"/>
        <v>0</v>
      </c>
      <c r="BS134" s="438"/>
      <c r="BT134" s="833">
        <v>1</v>
      </c>
      <c r="BU134" s="833">
        <f t="shared" si="741"/>
        <v>1</v>
      </c>
      <c r="BV134" s="833">
        <f t="shared" si="742"/>
        <v>1</v>
      </c>
      <c r="BW134" s="833">
        <f t="shared" si="743"/>
        <v>1</v>
      </c>
      <c r="BX134" s="833">
        <f t="shared" si="744"/>
        <v>1</v>
      </c>
      <c r="BY134" s="833">
        <f t="shared" si="745"/>
        <v>1</v>
      </c>
      <c r="BZ134" s="833">
        <f t="shared" si="746"/>
        <v>1</v>
      </c>
      <c r="CA134" s="833">
        <f t="shared" si="747"/>
        <v>1</v>
      </c>
      <c r="CB134" s="833">
        <f t="shared" si="748"/>
        <v>1</v>
      </c>
      <c r="CC134" s="833">
        <f t="shared" si="749"/>
        <v>1</v>
      </c>
      <c r="CD134" s="833">
        <f t="shared" si="750"/>
        <v>1</v>
      </c>
      <c r="CE134" s="833">
        <f t="shared" si="750"/>
        <v>1</v>
      </c>
      <c r="CF134" s="833">
        <f t="shared" si="750"/>
        <v>1</v>
      </c>
      <c r="CG134" s="833"/>
      <c r="CH134" s="46">
        <f t="shared" si="707"/>
        <v>0</v>
      </c>
      <c r="CI134" s="46">
        <f t="shared" si="708"/>
        <v>21000</v>
      </c>
      <c r="CJ134" s="46">
        <f t="shared" si="709"/>
        <v>39000</v>
      </c>
      <c r="CK134" s="46">
        <f t="shared" si="710"/>
        <v>30000</v>
      </c>
      <c r="CL134" s="46">
        <f t="shared" si="711"/>
        <v>0</v>
      </c>
      <c r="CM134" s="46">
        <f t="shared" si="712"/>
        <v>0</v>
      </c>
      <c r="CN134" s="46">
        <f t="shared" si="713"/>
        <v>0</v>
      </c>
      <c r="CO134" s="46">
        <f t="shared" si="714"/>
        <v>0</v>
      </c>
      <c r="CP134" s="46">
        <f t="shared" si="715"/>
        <v>0</v>
      </c>
      <c r="CQ134" s="46">
        <f t="shared" si="716"/>
        <v>0</v>
      </c>
      <c r="CR134" s="46">
        <f t="shared" si="717"/>
        <v>0</v>
      </c>
      <c r="CS134" s="46">
        <f t="shared" si="739"/>
        <v>0</v>
      </c>
      <c r="CT134" s="46">
        <f t="shared" si="740"/>
        <v>0</v>
      </c>
    </row>
    <row r="135" spans="1:98" s="247" customFormat="1" ht="14.25" customHeight="1" x14ac:dyDescent="0.2">
      <c r="A135" s="673" t="s">
        <v>5983</v>
      </c>
      <c r="B135" s="920" t="s">
        <v>11829</v>
      </c>
      <c r="C135" s="920" t="s">
        <v>5028</v>
      </c>
      <c r="D135" s="920" t="s">
        <v>5028</v>
      </c>
      <c r="E135" s="611"/>
      <c r="F135" s="608"/>
      <c r="G135" s="668">
        <v>97400</v>
      </c>
      <c r="H135" s="608"/>
      <c r="I135" s="668"/>
      <c r="J135" s="668"/>
      <c r="K135" s="668"/>
      <c r="L135" s="668"/>
      <c r="M135" s="669"/>
      <c r="N135" s="608"/>
      <c r="O135" s="608"/>
      <c r="P135" s="608"/>
      <c r="Q135" s="608"/>
      <c r="R135" s="609"/>
      <c r="S135" s="438"/>
      <c r="T135" s="434"/>
      <c r="U135" s="434"/>
      <c r="V135" s="437">
        <f t="shared" si="695"/>
        <v>0</v>
      </c>
      <c r="W135" s="439"/>
      <c r="X135" s="434"/>
      <c r="Y135" s="434"/>
      <c r="Z135" s="437">
        <f t="shared" si="558"/>
        <v>97400</v>
      </c>
      <c r="AA135" s="439"/>
      <c r="AB135" s="434"/>
      <c r="AC135" s="434"/>
      <c r="AD135" s="437">
        <f t="shared" si="719"/>
        <v>0</v>
      </c>
      <c r="AE135" s="438"/>
      <c r="AF135" s="434"/>
      <c r="AG135" s="434"/>
      <c r="AH135" s="435">
        <f t="shared" si="720"/>
        <v>0</v>
      </c>
      <c r="AI135" s="439"/>
      <c r="AJ135" s="434"/>
      <c r="AK135" s="434"/>
      <c r="AL135" s="437">
        <f t="shared" si="721"/>
        <v>0</v>
      </c>
      <c r="AM135" s="438"/>
      <c r="AN135" s="434"/>
      <c r="AO135" s="434"/>
      <c r="AP135" s="1131">
        <f t="shared" si="722"/>
        <v>0</v>
      </c>
      <c r="AQ135" s="438"/>
      <c r="AR135" s="434"/>
      <c r="AS135" s="434"/>
      <c r="AT135" s="437">
        <f t="shared" si="723"/>
        <v>0</v>
      </c>
      <c r="AU135" s="438"/>
      <c r="AV135" s="434"/>
      <c r="AW135" s="434"/>
      <c r="AX135" s="437">
        <f t="shared" si="724"/>
        <v>0</v>
      </c>
      <c r="AY135" s="438"/>
      <c r="AZ135" s="434"/>
      <c r="BA135" s="434"/>
      <c r="BB135" s="437">
        <f t="shared" si="725"/>
        <v>0</v>
      </c>
      <c r="BC135" s="438"/>
      <c r="BD135" s="434"/>
      <c r="BE135" s="434"/>
      <c r="BF135" s="437">
        <f t="shared" si="726"/>
        <v>0</v>
      </c>
      <c r="BG135" s="438"/>
      <c r="BH135" s="434"/>
      <c r="BI135" s="434"/>
      <c r="BJ135" s="1131">
        <f t="shared" si="727"/>
        <v>0</v>
      </c>
      <c r="BK135" s="438"/>
      <c r="BL135" s="434"/>
      <c r="BM135" s="434"/>
      <c r="BN135" s="1131">
        <f t="shared" si="568"/>
        <v>0</v>
      </c>
      <c r="BO135" s="438"/>
      <c r="BP135" s="434"/>
      <c r="BQ135" s="434"/>
      <c r="BR135" s="1131">
        <f t="shared" si="738"/>
        <v>0</v>
      </c>
      <c r="BS135" s="438"/>
      <c r="BT135" s="833">
        <v>1</v>
      </c>
      <c r="BU135" s="833">
        <f t="shared" si="741"/>
        <v>1</v>
      </c>
      <c r="BV135" s="833">
        <f t="shared" si="742"/>
        <v>1</v>
      </c>
      <c r="BW135" s="833">
        <f t="shared" si="743"/>
        <v>1</v>
      </c>
      <c r="BX135" s="833">
        <f t="shared" si="744"/>
        <v>1</v>
      </c>
      <c r="BY135" s="833">
        <f t="shared" si="745"/>
        <v>1</v>
      </c>
      <c r="BZ135" s="833">
        <f t="shared" si="746"/>
        <v>1</v>
      </c>
      <c r="CA135" s="833">
        <f t="shared" si="747"/>
        <v>1</v>
      </c>
      <c r="CB135" s="833">
        <f t="shared" si="748"/>
        <v>1</v>
      </c>
      <c r="CC135" s="833">
        <f t="shared" si="749"/>
        <v>1</v>
      </c>
      <c r="CD135" s="833">
        <f t="shared" si="750"/>
        <v>1</v>
      </c>
      <c r="CE135" s="833">
        <f t="shared" si="750"/>
        <v>1</v>
      </c>
      <c r="CF135" s="833">
        <f t="shared" si="750"/>
        <v>1</v>
      </c>
      <c r="CG135" s="833"/>
      <c r="CH135" s="46">
        <f t="shared" si="707"/>
        <v>0</v>
      </c>
      <c r="CI135" s="46">
        <f t="shared" si="708"/>
        <v>97000</v>
      </c>
      <c r="CJ135" s="46">
        <f t="shared" si="709"/>
        <v>0</v>
      </c>
      <c r="CK135" s="46">
        <f t="shared" si="710"/>
        <v>0</v>
      </c>
      <c r="CL135" s="46">
        <f t="shared" si="711"/>
        <v>0</v>
      </c>
      <c r="CM135" s="46">
        <f t="shared" si="712"/>
        <v>0</v>
      </c>
      <c r="CN135" s="46">
        <f t="shared" si="713"/>
        <v>0</v>
      </c>
      <c r="CO135" s="46">
        <f t="shared" si="714"/>
        <v>0</v>
      </c>
      <c r="CP135" s="46">
        <f t="shared" si="715"/>
        <v>0</v>
      </c>
      <c r="CQ135" s="46">
        <f t="shared" si="716"/>
        <v>0</v>
      </c>
      <c r="CR135" s="46">
        <f t="shared" si="717"/>
        <v>0</v>
      </c>
      <c r="CS135" s="46">
        <f t="shared" si="739"/>
        <v>0</v>
      </c>
      <c r="CT135" s="46">
        <f t="shared" si="740"/>
        <v>0</v>
      </c>
    </row>
    <row r="136" spans="1:98" s="247" customFormat="1" ht="14.25" customHeight="1" x14ac:dyDescent="0.2">
      <c r="A136" s="671" t="s">
        <v>6583</v>
      </c>
      <c r="B136" s="920" t="s">
        <v>4120</v>
      </c>
      <c r="C136" s="920" t="s">
        <v>4959</v>
      </c>
      <c r="D136" s="920"/>
      <c r="E136" s="611"/>
      <c r="F136" s="608">
        <v>1000</v>
      </c>
      <c r="G136" s="608"/>
      <c r="H136" s="608"/>
      <c r="I136" s="668"/>
      <c r="J136" s="608"/>
      <c r="K136" s="608"/>
      <c r="L136" s="608"/>
      <c r="M136" s="608"/>
      <c r="N136" s="608"/>
      <c r="O136" s="608"/>
      <c r="P136" s="608"/>
      <c r="Q136" s="608"/>
      <c r="R136" s="609"/>
      <c r="S136" s="438"/>
      <c r="T136" s="434"/>
      <c r="U136" s="434"/>
      <c r="V136" s="437">
        <f t="shared" si="695"/>
        <v>1000</v>
      </c>
      <c r="W136" s="439"/>
      <c r="X136" s="434"/>
      <c r="Y136" s="434"/>
      <c r="Z136" s="437">
        <f t="shared" si="558"/>
        <v>0</v>
      </c>
      <c r="AA136" s="439"/>
      <c r="AB136" s="434"/>
      <c r="AC136" s="434"/>
      <c r="AD136" s="437">
        <f t="shared" si="719"/>
        <v>0</v>
      </c>
      <c r="AE136" s="438"/>
      <c r="AF136" s="434"/>
      <c r="AG136" s="434"/>
      <c r="AH136" s="435">
        <f t="shared" si="720"/>
        <v>0</v>
      </c>
      <c r="AI136" s="439"/>
      <c r="AJ136" s="434"/>
      <c r="AK136" s="434"/>
      <c r="AL136" s="437">
        <f t="shared" si="721"/>
        <v>0</v>
      </c>
      <c r="AM136" s="438"/>
      <c r="AN136" s="434"/>
      <c r="AO136" s="434"/>
      <c r="AP136" s="1131">
        <f t="shared" si="722"/>
        <v>0</v>
      </c>
      <c r="AQ136" s="438"/>
      <c r="AR136" s="434"/>
      <c r="AS136" s="434"/>
      <c r="AT136" s="437">
        <f t="shared" si="723"/>
        <v>0</v>
      </c>
      <c r="AU136" s="438"/>
      <c r="AV136" s="434"/>
      <c r="AW136" s="434"/>
      <c r="AX136" s="437">
        <f t="shared" si="724"/>
        <v>0</v>
      </c>
      <c r="AY136" s="438"/>
      <c r="AZ136" s="434"/>
      <c r="BA136" s="434"/>
      <c r="BB136" s="437">
        <f t="shared" si="725"/>
        <v>0</v>
      </c>
      <c r="BC136" s="438"/>
      <c r="BD136" s="434"/>
      <c r="BE136" s="434"/>
      <c r="BF136" s="437">
        <f t="shared" si="726"/>
        <v>0</v>
      </c>
      <c r="BG136" s="438"/>
      <c r="BH136" s="434"/>
      <c r="BI136" s="434"/>
      <c r="BJ136" s="1131">
        <f t="shared" si="727"/>
        <v>0</v>
      </c>
      <c r="BK136" s="438"/>
      <c r="BL136" s="434"/>
      <c r="BM136" s="434"/>
      <c r="BN136" s="1131">
        <f t="shared" si="568"/>
        <v>0</v>
      </c>
      <c r="BO136" s="438"/>
      <c r="BP136" s="434"/>
      <c r="BQ136" s="434"/>
      <c r="BR136" s="1131">
        <f t="shared" si="738"/>
        <v>0</v>
      </c>
      <c r="BS136" s="438"/>
      <c r="BT136" s="833">
        <v>1</v>
      </c>
      <c r="BU136" s="833">
        <f t="shared" si="728"/>
        <v>1</v>
      </c>
      <c r="BV136" s="833">
        <f t="shared" si="729"/>
        <v>1</v>
      </c>
      <c r="BW136" s="833">
        <f t="shared" si="730"/>
        <v>1</v>
      </c>
      <c r="BX136" s="833">
        <f t="shared" si="731"/>
        <v>1</v>
      </c>
      <c r="BY136" s="833">
        <f t="shared" si="732"/>
        <v>1</v>
      </c>
      <c r="BZ136" s="833">
        <f t="shared" si="733"/>
        <v>1</v>
      </c>
      <c r="CA136" s="833">
        <f t="shared" si="734"/>
        <v>1</v>
      </c>
      <c r="CB136" s="833">
        <f t="shared" si="735"/>
        <v>1</v>
      </c>
      <c r="CC136" s="833">
        <f t="shared" si="736"/>
        <v>1</v>
      </c>
      <c r="CD136" s="833">
        <f t="shared" si="737"/>
        <v>1</v>
      </c>
      <c r="CE136" s="833">
        <f t="shared" si="737"/>
        <v>1</v>
      </c>
      <c r="CF136" s="833">
        <f t="shared" si="737"/>
        <v>1</v>
      </c>
      <c r="CG136" s="833"/>
      <c r="CH136" s="46">
        <f t="shared" si="707"/>
        <v>1000</v>
      </c>
      <c r="CI136" s="46">
        <f t="shared" si="708"/>
        <v>0</v>
      </c>
      <c r="CJ136" s="46">
        <f t="shared" si="709"/>
        <v>0</v>
      </c>
      <c r="CK136" s="46">
        <f t="shared" si="710"/>
        <v>0</v>
      </c>
      <c r="CL136" s="46">
        <f t="shared" si="711"/>
        <v>0</v>
      </c>
      <c r="CM136" s="46">
        <f t="shared" si="712"/>
        <v>0</v>
      </c>
      <c r="CN136" s="46">
        <f t="shared" si="713"/>
        <v>0</v>
      </c>
      <c r="CO136" s="46">
        <f t="shared" si="714"/>
        <v>0</v>
      </c>
      <c r="CP136" s="46">
        <f t="shared" si="715"/>
        <v>0</v>
      </c>
      <c r="CQ136" s="46">
        <f t="shared" si="716"/>
        <v>0</v>
      </c>
      <c r="CR136" s="46">
        <f t="shared" si="717"/>
        <v>0</v>
      </c>
      <c r="CS136" s="46">
        <f t="shared" si="739"/>
        <v>0</v>
      </c>
      <c r="CT136" s="46">
        <f t="shared" si="740"/>
        <v>0</v>
      </c>
    </row>
    <row r="137" spans="1:98" s="247" customFormat="1" ht="14.25" customHeight="1" x14ac:dyDescent="0.2">
      <c r="A137" s="673" t="s">
        <v>6584</v>
      </c>
      <c r="B137" s="920" t="s">
        <v>5029</v>
      </c>
      <c r="C137" s="920" t="s">
        <v>4959</v>
      </c>
      <c r="D137" s="920" t="s">
        <v>5029</v>
      </c>
      <c r="E137" s="611"/>
      <c r="F137" s="608">
        <f>110000+6400</f>
        <v>116400</v>
      </c>
      <c r="G137" s="668">
        <v>3200</v>
      </c>
      <c r="H137" s="608">
        <f>20000-10000</f>
        <v>10000</v>
      </c>
      <c r="I137" s="668"/>
      <c r="J137" s="668"/>
      <c r="K137" s="668"/>
      <c r="L137" s="668"/>
      <c r="M137" s="669"/>
      <c r="N137" s="608"/>
      <c r="O137" s="608"/>
      <c r="P137" s="608"/>
      <c r="Q137" s="608"/>
      <c r="R137" s="609"/>
      <c r="S137" s="438"/>
      <c r="T137" s="434"/>
      <c r="U137" s="434"/>
      <c r="V137" s="437">
        <f>$F137-S137-T137-U137</f>
        <v>116400</v>
      </c>
      <c r="W137" s="439"/>
      <c r="X137" s="434"/>
      <c r="Y137" s="434"/>
      <c r="Z137" s="437">
        <f t="shared" si="558"/>
        <v>3200</v>
      </c>
      <c r="AA137" s="439"/>
      <c r="AB137" s="434"/>
      <c r="AC137" s="434"/>
      <c r="AD137" s="437">
        <f t="shared" si="719"/>
        <v>10000</v>
      </c>
      <c r="AE137" s="438"/>
      <c r="AF137" s="434"/>
      <c r="AG137" s="434"/>
      <c r="AH137" s="435">
        <f t="shared" si="720"/>
        <v>0</v>
      </c>
      <c r="AI137" s="439"/>
      <c r="AJ137" s="434"/>
      <c r="AK137" s="434"/>
      <c r="AL137" s="437">
        <f t="shared" si="721"/>
        <v>0</v>
      </c>
      <c r="AM137" s="438"/>
      <c r="AN137" s="434"/>
      <c r="AO137" s="434"/>
      <c r="AP137" s="1131">
        <f t="shared" si="722"/>
        <v>0</v>
      </c>
      <c r="AQ137" s="438"/>
      <c r="AR137" s="434"/>
      <c r="AS137" s="434"/>
      <c r="AT137" s="437">
        <f t="shared" si="723"/>
        <v>0</v>
      </c>
      <c r="AU137" s="438"/>
      <c r="AV137" s="434"/>
      <c r="AW137" s="434"/>
      <c r="AX137" s="437">
        <f t="shared" si="724"/>
        <v>0</v>
      </c>
      <c r="AY137" s="438"/>
      <c r="AZ137" s="434"/>
      <c r="BA137" s="434"/>
      <c r="BB137" s="437">
        <f t="shared" si="725"/>
        <v>0</v>
      </c>
      <c r="BC137" s="438"/>
      <c r="BD137" s="434"/>
      <c r="BE137" s="434"/>
      <c r="BF137" s="437">
        <f t="shared" si="726"/>
        <v>0</v>
      </c>
      <c r="BG137" s="438"/>
      <c r="BH137" s="434"/>
      <c r="BI137" s="434"/>
      <c r="BJ137" s="1131">
        <f t="shared" si="727"/>
        <v>0</v>
      </c>
      <c r="BK137" s="438"/>
      <c r="BL137" s="434"/>
      <c r="BM137" s="434"/>
      <c r="BN137" s="1131">
        <f t="shared" si="568"/>
        <v>0</v>
      </c>
      <c r="BO137" s="438"/>
      <c r="BP137" s="434"/>
      <c r="BQ137" s="434"/>
      <c r="BR137" s="1131">
        <f t="shared" si="738"/>
        <v>0</v>
      </c>
      <c r="BS137" s="438"/>
      <c r="BT137" s="833">
        <v>1</v>
      </c>
      <c r="BU137" s="833">
        <f t="shared" si="728"/>
        <v>1</v>
      </c>
      <c r="BV137" s="833">
        <f t="shared" si="729"/>
        <v>1</v>
      </c>
      <c r="BW137" s="833">
        <f t="shared" si="730"/>
        <v>1</v>
      </c>
      <c r="BX137" s="833">
        <f t="shared" si="731"/>
        <v>1</v>
      </c>
      <c r="BY137" s="833">
        <f t="shared" si="732"/>
        <v>1</v>
      </c>
      <c r="BZ137" s="833">
        <f t="shared" si="733"/>
        <v>1</v>
      </c>
      <c r="CA137" s="833">
        <f t="shared" si="734"/>
        <v>1</v>
      </c>
      <c r="CB137" s="833">
        <f t="shared" si="735"/>
        <v>1</v>
      </c>
      <c r="CC137" s="833">
        <f t="shared" si="736"/>
        <v>1</v>
      </c>
      <c r="CD137" s="833">
        <f t="shared" si="737"/>
        <v>1</v>
      </c>
      <c r="CE137" s="833">
        <f t="shared" si="737"/>
        <v>1</v>
      </c>
      <c r="CF137" s="833">
        <f t="shared" si="737"/>
        <v>1</v>
      </c>
      <c r="CG137" s="833"/>
      <c r="CH137" s="46">
        <f t="shared" si="707"/>
        <v>116000</v>
      </c>
      <c r="CI137" s="46">
        <f t="shared" si="708"/>
        <v>3000</v>
      </c>
      <c r="CJ137" s="46">
        <f t="shared" si="709"/>
        <v>10000</v>
      </c>
      <c r="CK137" s="46">
        <f t="shared" si="710"/>
        <v>0</v>
      </c>
      <c r="CL137" s="46">
        <f t="shared" si="711"/>
        <v>0</v>
      </c>
      <c r="CM137" s="46">
        <f t="shared" si="712"/>
        <v>0</v>
      </c>
      <c r="CN137" s="46">
        <f t="shared" si="713"/>
        <v>0</v>
      </c>
      <c r="CO137" s="46">
        <f t="shared" si="714"/>
        <v>0</v>
      </c>
      <c r="CP137" s="46">
        <f t="shared" si="715"/>
        <v>0</v>
      </c>
      <c r="CQ137" s="46">
        <f t="shared" si="716"/>
        <v>0</v>
      </c>
      <c r="CR137" s="46">
        <f t="shared" si="717"/>
        <v>0</v>
      </c>
      <c r="CS137" s="46">
        <f t="shared" si="739"/>
        <v>0</v>
      </c>
      <c r="CT137" s="46">
        <f t="shared" si="740"/>
        <v>0</v>
      </c>
    </row>
    <row r="138" spans="1:98" s="247" customFormat="1" ht="14.25" customHeight="1" x14ac:dyDescent="0.2">
      <c r="A138" s="671" t="s">
        <v>6585</v>
      </c>
      <c r="B138" s="920" t="s">
        <v>3400</v>
      </c>
      <c r="C138" s="920" t="s">
        <v>4959</v>
      </c>
      <c r="D138" s="920"/>
      <c r="E138" s="611"/>
      <c r="F138" s="668">
        <v>86200</v>
      </c>
      <c r="G138" s="668">
        <v>5700</v>
      </c>
      <c r="H138" s="608"/>
      <c r="I138" s="668"/>
      <c r="J138" s="668"/>
      <c r="K138" s="668"/>
      <c r="L138" s="668"/>
      <c r="M138" s="669"/>
      <c r="N138" s="608"/>
      <c r="O138" s="608"/>
      <c r="P138" s="608"/>
      <c r="Q138" s="608"/>
      <c r="R138" s="609"/>
      <c r="S138" s="438"/>
      <c r="T138" s="434"/>
      <c r="U138" s="434"/>
      <c r="V138" s="437">
        <f>$F138-S138-T138-U138</f>
        <v>86200</v>
      </c>
      <c r="W138" s="439"/>
      <c r="X138" s="434"/>
      <c r="Y138" s="434"/>
      <c r="Z138" s="437">
        <f t="shared" si="558"/>
        <v>5700</v>
      </c>
      <c r="AA138" s="439"/>
      <c r="AB138" s="434"/>
      <c r="AC138" s="434"/>
      <c r="AD138" s="437">
        <f t="shared" si="719"/>
        <v>0</v>
      </c>
      <c r="AE138" s="438"/>
      <c r="AF138" s="434"/>
      <c r="AG138" s="434"/>
      <c r="AH138" s="435">
        <f t="shared" si="720"/>
        <v>0</v>
      </c>
      <c r="AI138" s="439"/>
      <c r="AJ138" s="434"/>
      <c r="AK138" s="434"/>
      <c r="AL138" s="437">
        <f t="shared" si="721"/>
        <v>0</v>
      </c>
      <c r="AM138" s="438"/>
      <c r="AN138" s="434"/>
      <c r="AO138" s="434"/>
      <c r="AP138" s="1131">
        <f t="shared" si="722"/>
        <v>0</v>
      </c>
      <c r="AQ138" s="438"/>
      <c r="AR138" s="434"/>
      <c r="AS138" s="434"/>
      <c r="AT138" s="437">
        <f t="shared" si="723"/>
        <v>0</v>
      </c>
      <c r="AU138" s="438"/>
      <c r="AV138" s="434"/>
      <c r="AW138" s="434"/>
      <c r="AX138" s="437">
        <f t="shared" si="724"/>
        <v>0</v>
      </c>
      <c r="AY138" s="438"/>
      <c r="AZ138" s="434"/>
      <c r="BA138" s="434"/>
      <c r="BB138" s="437">
        <f t="shared" si="725"/>
        <v>0</v>
      </c>
      <c r="BC138" s="438"/>
      <c r="BD138" s="434"/>
      <c r="BE138" s="434"/>
      <c r="BF138" s="437">
        <f t="shared" si="726"/>
        <v>0</v>
      </c>
      <c r="BG138" s="438"/>
      <c r="BH138" s="434"/>
      <c r="BI138" s="434"/>
      <c r="BJ138" s="1131">
        <f t="shared" si="727"/>
        <v>0</v>
      </c>
      <c r="BK138" s="438"/>
      <c r="BL138" s="434"/>
      <c r="BM138" s="434"/>
      <c r="BN138" s="1131">
        <f t="shared" si="568"/>
        <v>0</v>
      </c>
      <c r="BO138" s="438"/>
      <c r="BP138" s="434"/>
      <c r="BQ138" s="434"/>
      <c r="BR138" s="1131">
        <f t="shared" si="738"/>
        <v>0</v>
      </c>
      <c r="BS138" s="438"/>
      <c r="BT138" s="833">
        <v>1</v>
      </c>
      <c r="BU138" s="833">
        <f t="shared" si="728"/>
        <v>1</v>
      </c>
      <c r="BV138" s="833">
        <f t="shared" si="729"/>
        <v>1</v>
      </c>
      <c r="BW138" s="833">
        <f t="shared" si="730"/>
        <v>1</v>
      </c>
      <c r="BX138" s="833">
        <f t="shared" si="731"/>
        <v>1</v>
      </c>
      <c r="BY138" s="833">
        <f t="shared" si="732"/>
        <v>1</v>
      </c>
      <c r="BZ138" s="833">
        <f t="shared" si="733"/>
        <v>1</v>
      </c>
      <c r="CA138" s="833">
        <f t="shared" si="734"/>
        <v>1</v>
      </c>
      <c r="CB138" s="833">
        <f t="shared" si="735"/>
        <v>1</v>
      </c>
      <c r="CC138" s="833">
        <f t="shared" si="736"/>
        <v>1</v>
      </c>
      <c r="CD138" s="833">
        <f t="shared" si="737"/>
        <v>1</v>
      </c>
      <c r="CE138" s="833">
        <f t="shared" si="737"/>
        <v>1</v>
      </c>
      <c r="CF138" s="833">
        <f t="shared" si="737"/>
        <v>1</v>
      </c>
      <c r="CG138" s="833"/>
      <c r="CH138" s="46">
        <f t="shared" si="707"/>
        <v>86000</v>
      </c>
      <c r="CI138" s="46">
        <f t="shared" si="708"/>
        <v>6000</v>
      </c>
      <c r="CJ138" s="46">
        <f t="shared" si="709"/>
        <v>0</v>
      </c>
      <c r="CK138" s="46">
        <f t="shared" si="710"/>
        <v>0</v>
      </c>
      <c r="CL138" s="46">
        <f t="shared" si="711"/>
        <v>0</v>
      </c>
      <c r="CM138" s="46">
        <f t="shared" si="712"/>
        <v>0</v>
      </c>
      <c r="CN138" s="46">
        <f t="shared" si="713"/>
        <v>0</v>
      </c>
      <c r="CO138" s="46">
        <f t="shared" si="714"/>
        <v>0</v>
      </c>
      <c r="CP138" s="46">
        <f t="shared" si="715"/>
        <v>0</v>
      </c>
      <c r="CQ138" s="46">
        <f t="shared" si="716"/>
        <v>0</v>
      </c>
      <c r="CR138" s="46">
        <f t="shared" si="717"/>
        <v>0</v>
      </c>
      <c r="CS138" s="46">
        <f t="shared" si="739"/>
        <v>0</v>
      </c>
      <c r="CT138" s="46">
        <f t="shared" si="740"/>
        <v>0</v>
      </c>
    </row>
    <row r="139" spans="1:98" s="247" customFormat="1" ht="14.25" customHeight="1" x14ac:dyDescent="0.2">
      <c r="A139" s="673" t="s">
        <v>6586</v>
      </c>
      <c r="B139" s="920" t="s">
        <v>4991</v>
      </c>
      <c r="C139" s="920" t="s">
        <v>6333</v>
      </c>
      <c r="D139" s="920" t="s">
        <v>6333</v>
      </c>
      <c r="E139" s="611"/>
      <c r="F139" s="668">
        <v>7800</v>
      </c>
      <c r="G139" s="668">
        <v>15900</v>
      </c>
      <c r="H139" s="608">
        <f>10000+10000</f>
        <v>20000</v>
      </c>
      <c r="I139" s="668">
        <v>10000</v>
      </c>
      <c r="J139" s="668">
        <v>10000</v>
      </c>
      <c r="K139" s="668"/>
      <c r="L139" s="668"/>
      <c r="M139" s="669"/>
      <c r="N139" s="608"/>
      <c r="O139" s="608"/>
      <c r="P139" s="608"/>
      <c r="Q139" s="608"/>
      <c r="R139" s="609"/>
      <c r="S139" s="438"/>
      <c r="T139" s="434"/>
      <c r="U139" s="434"/>
      <c r="V139" s="437">
        <f>$F139-S139-T139-U139</f>
        <v>7800</v>
      </c>
      <c r="W139" s="439"/>
      <c r="X139" s="434"/>
      <c r="Y139" s="434"/>
      <c r="Z139" s="437">
        <f t="shared" si="558"/>
        <v>15900</v>
      </c>
      <c r="AA139" s="439"/>
      <c r="AB139" s="434"/>
      <c r="AC139" s="434"/>
      <c r="AD139" s="437">
        <f t="shared" si="719"/>
        <v>20000</v>
      </c>
      <c r="AE139" s="438"/>
      <c r="AF139" s="434"/>
      <c r="AG139" s="434"/>
      <c r="AH139" s="435">
        <f t="shared" si="720"/>
        <v>10000</v>
      </c>
      <c r="AI139" s="439"/>
      <c r="AJ139" s="434"/>
      <c r="AK139" s="434"/>
      <c r="AL139" s="437">
        <f t="shared" si="721"/>
        <v>10000</v>
      </c>
      <c r="AM139" s="438"/>
      <c r="AN139" s="434"/>
      <c r="AO139" s="434"/>
      <c r="AP139" s="1131">
        <f t="shared" si="722"/>
        <v>0</v>
      </c>
      <c r="AQ139" s="438"/>
      <c r="AR139" s="434"/>
      <c r="AS139" s="434"/>
      <c r="AT139" s="437">
        <f t="shared" si="723"/>
        <v>0</v>
      </c>
      <c r="AU139" s="438"/>
      <c r="AV139" s="434"/>
      <c r="AW139" s="434"/>
      <c r="AX139" s="437">
        <f t="shared" si="724"/>
        <v>0</v>
      </c>
      <c r="AY139" s="438"/>
      <c r="AZ139" s="434"/>
      <c r="BA139" s="434"/>
      <c r="BB139" s="437">
        <f t="shared" si="725"/>
        <v>0</v>
      </c>
      <c r="BC139" s="438"/>
      <c r="BD139" s="434"/>
      <c r="BE139" s="434"/>
      <c r="BF139" s="437">
        <f t="shared" si="726"/>
        <v>0</v>
      </c>
      <c r="BG139" s="438"/>
      <c r="BH139" s="434"/>
      <c r="BI139" s="434"/>
      <c r="BJ139" s="1131">
        <f t="shared" si="727"/>
        <v>0</v>
      </c>
      <c r="BK139" s="438"/>
      <c r="BL139" s="434"/>
      <c r="BM139" s="434"/>
      <c r="BN139" s="1131">
        <f t="shared" si="568"/>
        <v>0</v>
      </c>
      <c r="BO139" s="438"/>
      <c r="BP139" s="434"/>
      <c r="BQ139" s="434"/>
      <c r="BR139" s="1131">
        <f t="shared" si="738"/>
        <v>0</v>
      </c>
      <c r="BS139" s="438"/>
      <c r="BT139" s="833">
        <v>1</v>
      </c>
      <c r="BU139" s="833">
        <f t="shared" si="728"/>
        <v>1</v>
      </c>
      <c r="BV139" s="833">
        <f t="shared" si="729"/>
        <v>1</v>
      </c>
      <c r="BW139" s="833">
        <f t="shared" si="730"/>
        <v>1</v>
      </c>
      <c r="BX139" s="833">
        <f t="shared" si="731"/>
        <v>1</v>
      </c>
      <c r="BY139" s="833">
        <f t="shared" si="732"/>
        <v>1</v>
      </c>
      <c r="BZ139" s="833">
        <f t="shared" si="733"/>
        <v>1</v>
      </c>
      <c r="CA139" s="833">
        <f t="shared" si="734"/>
        <v>1</v>
      </c>
      <c r="CB139" s="833">
        <f t="shared" si="735"/>
        <v>1</v>
      </c>
      <c r="CC139" s="833">
        <f t="shared" si="736"/>
        <v>1</v>
      </c>
      <c r="CD139" s="833">
        <f t="shared" si="737"/>
        <v>1</v>
      </c>
      <c r="CE139" s="833">
        <f t="shared" si="737"/>
        <v>1</v>
      </c>
      <c r="CF139" s="833">
        <f t="shared" si="737"/>
        <v>1</v>
      </c>
      <c r="CG139" s="833"/>
      <c r="CH139" s="46">
        <f t="shared" si="707"/>
        <v>8000</v>
      </c>
      <c r="CI139" s="46">
        <f t="shared" si="708"/>
        <v>16000</v>
      </c>
      <c r="CJ139" s="46">
        <f t="shared" si="709"/>
        <v>20000</v>
      </c>
      <c r="CK139" s="46">
        <f t="shared" si="710"/>
        <v>10000</v>
      </c>
      <c r="CL139" s="46">
        <f t="shared" si="711"/>
        <v>10000</v>
      </c>
      <c r="CM139" s="46">
        <f t="shared" si="712"/>
        <v>0</v>
      </c>
      <c r="CN139" s="46">
        <f t="shared" si="713"/>
        <v>0</v>
      </c>
      <c r="CO139" s="46">
        <f t="shared" si="714"/>
        <v>0</v>
      </c>
      <c r="CP139" s="46">
        <f t="shared" si="715"/>
        <v>0</v>
      </c>
      <c r="CQ139" s="46">
        <f t="shared" si="716"/>
        <v>0</v>
      </c>
      <c r="CR139" s="46">
        <f t="shared" si="717"/>
        <v>0</v>
      </c>
      <c r="CS139" s="46">
        <f t="shared" si="739"/>
        <v>0</v>
      </c>
      <c r="CT139" s="46">
        <f t="shared" si="740"/>
        <v>0</v>
      </c>
    </row>
    <row r="140" spans="1:98" s="247" customFormat="1" ht="14.25" customHeight="1" x14ac:dyDescent="0.2">
      <c r="A140" s="673" t="s">
        <v>7004</v>
      </c>
      <c r="B140" s="920" t="s">
        <v>4120</v>
      </c>
      <c r="C140" s="920" t="s">
        <v>7188</v>
      </c>
      <c r="D140" s="920" t="s">
        <v>7188</v>
      </c>
      <c r="E140" s="611"/>
      <c r="F140" s="668"/>
      <c r="G140" s="668">
        <v>119600</v>
      </c>
      <c r="H140" s="608">
        <v>10000</v>
      </c>
      <c r="I140" s="668"/>
      <c r="J140" s="668"/>
      <c r="K140" s="668"/>
      <c r="L140" s="668"/>
      <c r="M140" s="669"/>
      <c r="N140" s="608"/>
      <c r="O140" s="608"/>
      <c r="P140" s="608"/>
      <c r="Q140" s="608"/>
      <c r="R140" s="609"/>
      <c r="S140" s="438"/>
      <c r="T140" s="434"/>
      <c r="U140" s="434"/>
      <c r="V140" s="437"/>
      <c r="W140" s="439"/>
      <c r="X140" s="434"/>
      <c r="Y140" s="434"/>
      <c r="Z140" s="437">
        <f t="shared" si="558"/>
        <v>119600</v>
      </c>
      <c r="AA140" s="439"/>
      <c r="AB140" s="434"/>
      <c r="AC140" s="434"/>
      <c r="AD140" s="437">
        <f t="shared" ref="AD140" si="751">$H140-AA140-AB140-AC140</f>
        <v>10000</v>
      </c>
      <c r="AE140" s="438"/>
      <c r="AF140" s="434"/>
      <c r="AG140" s="434"/>
      <c r="AH140" s="435">
        <f t="shared" ref="AH140" si="752">$I140-AE140-AF140-AG140</f>
        <v>0</v>
      </c>
      <c r="AI140" s="439"/>
      <c r="AJ140" s="434"/>
      <c r="AK140" s="434"/>
      <c r="AL140" s="437">
        <f t="shared" ref="AL140" si="753">$J140-AI140-AJ140-AK140</f>
        <v>0</v>
      </c>
      <c r="AM140" s="438"/>
      <c r="AN140" s="434"/>
      <c r="AO140" s="434"/>
      <c r="AP140" s="1131">
        <f t="shared" ref="AP140" si="754">$K140-AM140-AN140-AO140</f>
        <v>0</v>
      </c>
      <c r="AQ140" s="438"/>
      <c r="AR140" s="434"/>
      <c r="AS140" s="434"/>
      <c r="AT140" s="437">
        <f t="shared" ref="AT140" si="755">$L140-AQ140-AR140-AS140</f>
        <v>0</v>
      </c>
      <c r="AU140" s="438"/>
      <c r="AV140" s="434"/>
      <c r="AW140" s="434"/>
      <c r="AX140" s="437">
        <f t="shared" ref="AX140" si="756">$M140-AU140-AV140-AW140</f>
        <v>0</v>
      </c>
      <c r="AY140" s="438"/>
      <c r="AZ140" s="434"/>
      <c r="BA140" s="434"/>
      <c r="BB140" s="437">
        <f t="shared" ref="BB140" si="757">$N140-AY140-AZ140-BA140</f>
        <v>0</v>
      </c>
      <c r="BC140" s="438"/>
      <c r="BD140" s="434"/>
      <c r="BE140" s="434"/>
      <c r="BF140" s="437">
        <f t="shared" ref="BF140" si="758">$O140-BC140-BD140-BE140</f>
        <v>0</v>
      </c>
      <c r="BG140" s="438"/>
      <c r="BH140" s="434"/>
      <c r="BI140" s="434"/>
      <c r="BJ140" s="1131">
        <f t="shared" ref="BJ140" si="759">$P140-BG140-BH140-BI140</f>
        <v>0</v>
      </c>
      <c r="BK140" s="438"/>
      <c r="BL140" s="434"/>
      <c r="BM140" s="434"/>
      <c r="BN140" s="1131">
        <f t="shared" ref="BN140" si="760">$Q140-BK140-BL140-BM140</f>
        <v>0</v>
      </c>
      <c r="BO140" s="438"/>
      <c r="BP140" s="434"/>
      <c r="BQ140" s="434"/>
      <c r="BR140" s="1131">
        <f t="shared" si="738"/>
        <v>0</v>
      </c>
      <c r="BS140" s="438"/>
      <c r="BT140" s="833">
        <v>1</v>
      </c>
      <c r="BU140" s="833">
        <f t="shared" ref="BU140" si="761">BT140</f>
        <v>1</v>
      </c>
      <c r="BV140" s="833">
        <f t="shared" ref="BV140" si="762">BU140</f>
        <v>1</v>
      </c>
      <c r="BW140" s="833">
        <f t="shared" ref="BW140" si="763">BV140</f>
        <v>1</v>
      </c>
      <c r="BX140" s="833">
        <f t="shared" ref="BX140" si="764">BW140</f>
        <v>1</v>
      </c>
      <c r="BY140" s="833">
        <f t="shared" ref="BY140" si="765">BX140</f>
        <v>1</v>
      </c>
      <c r="BZ140" s="833">
        <f t="shared" ref="BZ140" si="766">BY140</f>
        <v>1</v>
      </c>
      <c r="CA140" s="833">
        <f t="shared" ref="CA140" si="767">BZ140</f>
        <v>1</v>
      </c>
      <c r="CB140" s="833">
        <f t="shared" ref="CB140" si="768">CA140</f>
        <v>1</v>
      </c>
      <c r="CC140" s="833">
        <f t="shared" ref="CC140" si="769">CB140</f>
        <v>1</v>
      </c>
      <c r="CD140" s="833">
        <f t="shared" ref="CD140" si="770">CC140</f>
        <v>1</v>
      </c>
      <c r="CE140" s="833">
        <f t="shared" ref="CE140:CF140" si="771">CD140</f>
        <v>1</v>
      </c>
      <c r="CF140" s="833">
        <f t="shared" si="771"/>
        <v>1</v>
      </c>
      <c r="CG140" s="833"/>
      <c r="CH140" s="46">
        <f t="shared" ref="CH140" si="772">ROUND(BT140*F140,-3)</f>
        <v>0</v>
      </c>
      <c r="CI140" s="46">
        <f t="shared" ref="CI140" si="773">ROUND(BU140*G140,-3)</f>
        <v>120000</v>
      </c>
      <c r="CJ140" s="46">
        <f t="shared" ref="CJ140" si="774">ROUND(BV140*H140,-3)</f>
        <v>10000</v>
      </c>
      <c r="CK140" s="46">
        <f t="shared" ref="CK140" si="775">ROUND(BW140*I140,-3)</f>
        <v>0</v>
      </c>
      <c r="CL140" s="46">
        <f t="shared" ref="CL140" si="776">ROUND(BX140*J140,-3)</f>
        <v>0</v>
      </c>
      <c r="CM140" s="46">
        <f t="shared" ref="CM140" si="777">ROUND(BY140*K140,-3)</f>
        <v>0</v>
      </c>
      <c r="CN140" s="46">
        <f t="shared" ref="CN140" si="778">ROUND(BZ140*L140,-3)</f>
        <v>0</v>
      </c>
      <c r="CO140" s="46">
        <f t="shared" ref="CO140" si="779">ROUND(CA140*M140,-3)</f>
        <v>0</v>
      </c>
      <c r="CP140" s="46">
        <f t="shared" ref="CP140" si="780">ROUND(CB140*N140,-3)</f>
        <v>0</v>
      </c>
      <c r="CQ140" s="46">
        <f t="shared" ref="CQ140" si="781">ROUND(CC140*O140,-3)</f>
        <v>0</v>
      </c>
      <c r="CR140" s="46">
        <f t="shared" ref="CR140" si="782">ROUND(CD140*P140,-3)</f>
        <v>0</v>
      </c>
      <c r="CS140" s="46">
        <f t="shared" si="739"/>
        <v>0</v>
      </c>
      <c r="CT140" s="46">
        <f t="shared" si="740"/>
        <v>0</v>
      </c>
    </row>
    <row r="141" spans="1:98" s="247" customFormat="1" ht="14.25" customHeight="1" x14ac:dyDescent="0.2">
      <c r="A141" s="673"/>
      <c r="B141" s="919"/>
      <c r="C141" s="919"/>
      <c r="D141" s="919"/>
      <c r="E141" s="611"/>
      <c r="F141" s="608"/>
      <c r="G141" s="608"/>
      <c r="H141" s="608"/>
      <c r="I141" s="668"/>
      <c r="J141" s="608"/>
      <c r="K141" s="608"/>
      <c r="L141" s="608"/>
      <c r="M141" s="608"/>
      <c r="N141" s="608"/>
      <c r="O141" s="608"/>
      <c r="P141" s="608"/>
      <c r="Q141" s="608"/>
      <c r="R141" s="609"/>
      <c r="S141" s="438"/>
      <c r="T141" s="434"/>
      <c r="U141" s="434"/>
      <c r="V141" s="437"/>
      <c r="W141" s="439"/>
      <c r="X141" s="434"/>
      <c r="Y141" s="434"/>
      <c r="Z141" s="437"/>
      <c r="AA141" s="439"/>
      <c r="AB141" s="434"/>
      <c r="AC141" s="434"/>
      <c r="AD141" s="437"/>
      <c r="AE141" s="438"/>
      <c r="AF141" s="434"/>
      <c r="AG141" s="434"/>
      <c r="AH141" s="435"/>
      <c r="AI141" s="439"/>
      <c r="AJ141" s="434"/>
      <c r="AK141" s="434"/>
      <c r="AL141" s="437"/>
      <c r="AM141" s="438"/>
      <c r="AN141" s="434"/>
      <c r="AO141" s="434"/>
      <c r="AP141" s="1128"/>
      <c r="AQ141" s="438"/>
      <c r="AR141" s="434"/>
      <c r="AS141" s="434"/>
      <c r="AT141" s="435"/>
      <c r="AU141" s="438"/>
      <c r="AV141" s="434"/>
      <c r="AW141" s="434"/>
      <c r="AX141" s="437"/>
      <c r="AY141" s="438"/>
      <c r="AZ141" s="434"/>
      <c r="BA141" s="434"/>
      <c r="BB141" s="437"/>
      <c r="BC141" s="438"/>
      <c r="BD141" s="434"/>
      <c r="BE141" s="434"/>
      <c r="BF141" s="437"/>
      <c r="BG141" s="438"/>
      <c r="BH141" s="434"/>
      <c r="BI141" s="434"/>
      <c r="BJ141" s="437"/>
      <c r="BK141" s="438"/>
      <c r="BL141" s="434"/>
      <c r="BM141" s="434"/>
      <c r="BN141" s="1131"/>
      <c r="BO141" s="438"/>
      <c r="BP141" s="434"/>
      <c r="BQ141" s="434"/>
      <c r="BR141" s="1131"/>
      <c r="BS141" s="438"/>
      <c r="BT141" s="833"/>
      <c r="BU141" s="833"/>
      <c r="BV141" s="833"/>
      <c r="BW141" s="833"/>
      <c r="BX141" s="833"/>
      <c r="BY141" s="833"/>
      <c r="BZ141" s="833"/>
      <c r="CA141" s="833"/>
      <c r="CB141" s="833"/>
      <c r="CC141" s="833"/>
      <c r="CD141" s="833"/>
      <c r="CE141" s="833"/>
      <c r="CF141" s="833"/>
      <c r="CG141" s="833"/>
      <c r="CH141" s="46"/>
      <c r="CI141" s="46"/>
      <c r="CJ141" s="46"/>
      <c r="CK141" s="46"/>
      <c r="CL141" s="46"/>
      <c r="CM141" s="46"/>
      <c r="CN141" s="46"/>
      <c r="CO141" s="46"/>
      <c r="CP141" s="46"/>
      <c r="CQ141" s="46"/>
      <c r="CR141" s="46"/>
      <c r="CS141" s="46"/>
      <c r="CT141" s="46"/>
    </row>
    <row r="142" spans="1:98" s="246" customFormat="1" ht="14.25" customHeight="1" x14ac:dyDescent="0.2">
      <c r="A142" s="535" t="s">
        <v>2563</v>
      </c>
      <c r="B142" s="1111"/>
      <c r="C142" s="1111"/>
      <c r="D142" s="1111"/>
      <c r="E142" s="925"/>
      <c r="F142" s="211">
        <f t="shared" ref="F142:AL142" si="783">SUBTOTAL(9,F5:F141)</f>
        <v>2267300</v>
      </c>
      <c r="G142" s="211">
        <f t="shared" si="783"/>
        <v>2560500</v>
      </c>
      <c r="H142" s="211">
        <f t="shared" si="783"/>
        <v>8745100</v>
      </c>
      <c r="I142" s="215">
        <f t="shared" si="783"/>
        <v>7734900</v>
      </c>
      <c r="J142" s="211">
        <f t="shared" si="783"/>
        <v>5076700</v>
      </c>
      <c r="K142" s="211">
        <f t="shared" si="783"/>
        <v>2695400</v>
      </c>
      <c r="L142" s="211">
        <f t="shared" si="783"/>
        <v>5105100</v>
      </c>
      <c r="M142" s="211">
        <f t="shared" si="783"/>
        <v>4455100</v>
      </c>
      <c r="N142" s="211">
        <f t="shared" si="783"/>
        <v>1014500</v>
      </c>
      <c r="O142" s="211">
        <f t="shared" si="783"/>
        <v>5316400</v>
      </c>
      <c r="P142" s="211">
        <f t="shared" si="783"/>
        <v>1186000</v>
      </c>
      <c r="Q142" s="211">
        <f t="shared" si="783"/>
        <v>1130700</v>
      </c>
      <c r="R142" s="243">
        <f t="shared" ref="R142" si="784">SUBTOTAL(9,R5:R141)</f>
        <v>1130700</v>
      </c>
      <c r="S142" s="216">
        <f t="shared" si="783"/>
        <v>0</v>
      </c>
      <c r="T142" s="211">
        <f t="shared" si="783"/>
        <v>174600</v>
      </c>
      <c r="U142" s="211">
        <f t="shared" si="783"/>
        <v>0</v>
      </c>
      <c r="V142" s="213">
        <f t="shared" si="783"/>
        <v>2092700</v>
      </c>
      <c r="W142" s="1662">
        <f t="shared" si="783"/>
        <v>0</v>
      </c>
      <c r="X142" s="211">
        <f t="shared" si="783"/>
        <v>366500</v>
      </c>
      <c r="Y142" s="211">
        <f t="shared" si="783"/>
        <v>0</v>
      </c>
      <c r="Z142" s="213">
        <f t="shared" si="783"/>
        <v>2194000</v>
      </c>
      <c r="AA142" s="1662">
        <f t="shared" si="783"/>
        <v>0</v>
      </c>
      <c r="AB142" s="211">
        <f t="shared" si="783"/>
        <v>1147000</v>
      </c>
      <c r="AC142" s="211">
        <f t="shared" si="783"/>
        <v>0</v>
      </c>
      <c r="AD142" s="213">
        <f t="shared" si="783"/>
        <v>7598100</v>
      </c>
      <c r="AE142" s="216">
        <f t="shared" si="783"/>
        <v>0</v>
      </c>
      <c r="AF142" s="211">
        <f t="shared" si="783"/>
        <v>1000000</v>
      </c>
      <c r="AG142" s="211">
        <f t="shared" si="783"/>
        <v>0</v>
      </c>
      <c r="AH142" s="213">
        <f t="shared" si="783"/>
        <v>6734900</v>
      </c>
      <c r="AI142" s="1662">
        <f t="shared" si="783"/>
        <v>0</v>
      </c>
      <c r="AJ142" s="211">
        <f t="shared" si="783"/>
        <v>268000</v>
      </c>
      <c r="AK142" s="211">
        <f t="shared" si="783"/>
        <v>0</v>
      </c>
      <c r="AL142" s="213">
        <f t="shared" si="783"/>
        <v>4808700</v>
      </c>
      <c r="AM142" s="216">
        <f t="shared" ref="AM142:BN142" si="785">SUBTOTAL(9,AM5:AM141)</f>
        <v>0</v>
      </c>
      <c r="AN142" s="211">
        <f t="shared" si="785"/>
        <v>0</v>
      </c>
      <c r="AO142" s="211">
        <f t="shared" si="785"/>
        <v>0</v>
      </c>
      <c r="AP142" s="212">
        <f t="shared" si="785"/>
        <v>2695400</v>
      </c>
      <c r="AQ142" s="216">
        <f t="shared" si="785"/>
        <v>0</v>
      </c>
      <c r="AR142" s="211">
        <f t="shared" si="785"/>
        <v>0</v>
      </c>
      <c r="AS142" s="211">
        <f t="shared" si="785"/>
        <v>0</v>
      </c>
      <c r="AT142" s="213">
        <f t="shared" si="785"/>
        <v>5105100</v>
      </c>
      <c r="AU142" s="216">
        <f t="shared" si="785"/>
        <v>0</v>
      </c>
      <c r="AV142" s="211">
        <f t="shared" si="785"/>
        <v>435000</v>
      </c>
      <c r="AW142" s="211">
        <f t="shared" si="785"/>
        <v>0</v>
      </c>
      <c r="AX142" s="213">
        <f t="shared" si="785"/>
        <v>4020100</v>
      </c>
      <c r="AY142" s="216">
        <f t="shared" si="785"/>
        <v>0</v>
      </c>
      <c r="AZ142" s="211">
        <f t="shared" si="785"/>
        <v>0</v>
      </c>
      <c r="BA142" s="211">
        <f t="shared" si="785"/>
        <v>0</v>
      </c>
      <c r="BB142" s="213">
        <f t="shared" si="785"/>
        <v>1014500</v>
      </c>
      <c r="BC142" s="216">
        <f t="shared" si="785"/>
        <v>0</v>
      </c>
      <c r="BD142" s="211">
        <f t="shared" si="785"/>
        <v>0</v>
      </c>
      <c r="BE142" s="211">
        <f t="shared" si="785"/>
        <v>0</v>
      </c>
      <c r="BF142" s="213">
        <f t="shared" si="785"/>
        <v>5316400</v>
      </c>
      <c r="BG142" s="216">
        <f t="shared" si="785"/>
        <v>0</v>
      </c>
      <c r="BH142" s="211">
        <f t="shared" si="785"/>
        <v>0</v>
      </c>
      <c r="BI142" s="211">
        <f t="shared" si="785"/>
        <v>0</v>
      </c>
      <c r="BJ142" s="213">
        <f t="shared" si="785"/>
        <v>1186000</v>
      </c>
      <c r="BK142" s="216">
        <f t="shared" si="785"/>
        <v>0</v>
      </c>
      <c r="BL142" s="211">
        <f t="shared" si="785"/>
        <v>0</v>
      </c>
      <c r="BM142" s="211">
        <f t="shared" si="785"/>
        <v>0</v>
      </c>
      <c r="BN142" s="212">
        <f t="shared" si="785"/>
        <v>1130700</v>
      </c>
      <c r="BO142" s="216">
        <f t="shared" ref="BO142:BR142" si="786">SUBTOTAL(9,BO5:BO141)</f>
        <v>0</v>
      </c>
      <c r="BP142" s="211">
        <f t="shared" si="786"/>
        <v>0</v>
      </c>
      <c r="BQ142" s="211">
        <f t="shared" si="786"/>
        <v>0</v>
      </c>
      <c r="BR142" s="212">
        <f t="shared" si="786"/>
        <v>1130700</v>
      </c>
      <c r="BS142" s="1052"/>
      <c r="BT142" s="833"/>
      <c r="BU142" s="833"/>
      <c r="BV142" s="833"/>
      <c r="BW142" s="833"/>
      <c r="BX142" s="833"/>
      <c r="BY142" s="833"/>
      <c r="BZ142" s="833"/>
      <c r="CA142" s="833"/>
      <c r="CB142" s="833"/>
      <c r="CC142" s="833"/>
      <c r="CD142" s="833"/>
      <c r="CE142" s="833"/>
      <c r="CF142" s="833"/>
      <c r="CG142" s="833"/>
      <c r="CH142" s="92">
        <f t="shared" ref="CH142:CS142" si="787">SUM(CH5:CH141)</f>
        <v>2062000</v>
      </c>
      <c r="CI142" s="92">
        <f t="shared" si="787"/>
        <v>2111000</v>
      </c>
      <c r="CJ142" s="92">
        <f t="shared" si="787"/>
        <v>7292000</v>
      </c>
      <c r="CK142" s="92">
        <f t="shared" si="787"/>
        <v>6909000</v>
      </c>
      <c r="CL142" s="92">
        <f t="shared" si="787"/>
        <v>4716000</v>
      </c>
      <c r="CM142" s="92">
        <f t="shared" si="787"/>
        <v>2357000</v>
      </c>
      <c r="CN142" s="92">
        <f t="shared" si="787"/>
        <v>4853000</v>
      </c>
      <c r="CO142" s="92">
        <f t="shared" si="787"/>
        <v>4408000</v>
      </c>
      <c r="CP142" s="92">
        <f t="shared" si="787"/>
        <v>991000</v>
      </c>
      <c r="CQ142" s="92">
        <f t="shared" si="787"/>
        <v>5236000</v>
      </c>
      <c r="CR142" s="92">
        <f t="shared" si="787"/>
        <v>1047000</v>
      </c>
      <c r="CS142" s="92">
        <f t="shared" si="787"/>
        <v>1076000</v>
      </c>
      <c r="CT142" s="92">
        <f t="shared" ref="CT142" si="788">SUM(CT5:CT141)</f>
        <v>1076000</v>
      </c>
    </row>
    <row r="143" spans="1:98" s="246" customFormat="1" ht="14.25" customHeight="1" thickBot="1" x14ac:dyDescent="0.25">
      <c r="A143" s="536"/>
      <c r="B143" s="1112"/>
      <c r="C143" s="1112"/>
      <c r="D143" s="1112"/>
      <c r="E143" s="926"/>
      <c r="F143" s="447"/>
      <c r="G143" s="447"/>
      <c r="H143" s="447"/>
      <c r="I143" s="680"/>
      <c r="J143" s="446"/>
      <c r="K143" s="446"/>
      <c r="L143" s="446"/>
      <c r="M143" s="446"/>
      <c r="N143" s="446"/>
      <c r="O143" s="446"/>
      <c r="P143" s="446"/>
      <c r="Q143" s="446"/>
      <c r="R143" s="448"/>
      <c r="S143" s="449"/>
      <c r="T143" s="446"/>
      <c r="U143" s="446"/>
      <c r="V143" s="448"/>
      <c r="W143" s="450"/>
      <c r="X143" s="446"/>
      <c r="Y143" s="446"/>
      <c r="Z143" s="448"/>
      <c r="AA143" s="450"/>
      <c r="AB143" s="446"/>
      <c r="AC143" s="446"/>
      <c r="AD143" s="448"/>
      <c r="AE143" s="449"/>
      <c r="AF143" s="446"/>
      <c r="AG143" s="446"/>
      <c r="AH143" s="1261"/>
      <c r="AI143" s="450"/>
      <c r="AJ143" s="446"/>
      <c r="AK143" s="446"/>
      <c r="AL143" s="448"/>
      <c r="AM143" s="449"/>
      <c r="AN143" s="446"/>
      <c r="AO143" s="446"/>
      <c r="AP143" s="1658"/>
      <c r="AQ143" s="449"/>
      <c r="AR143" s="446"/>
      <c r="AS143" s="446"/>
      <c r="AT143" s="1261"/>
      <c r="AU143" s="449"/>
      <c r="AV143" s="446"/>
      <c r="AW143" s="446"/>
      <c r="AX143" s="448"/>
      <c r="AY143" s="449"/>
      <c r="AZ143" s="446"/>
      <c r="BA143" s="446"/>
      <c r="BB143" s="448"/>
      <c r="BC143" s="449"/>
      <c r="BD143" s="446"/>
      <c r="BE143" s="446"/>
      <c r="BF143" s="448"/>
      <c r="BG143" s="449"/>
      <c r="BH143" s="446"/>
      <c r="BI143" s="446"/>
      <c r="BJ143" s="448"/>
      <c r="BK143" s="449"/>
      <c r="BL143" s="446"/>
      <c r="BM143" s="446"/>
      <c r="BN143" s="1260"/>
      <c r="BO143" s="449"/>
      <c r="BP143" s="446"/>
      <c r="BQ143" s="446"/>
      <c r="BR143" s="1260"/>
      <c r="BS143" s="438"/>
      <c r="BT143" s="833"/>
      <c r="BU143" s="833"/>
      <c r="BV143" s="833"/>
      <c r="BW143" s="833"/>
      <c r="BX143" s="833"/>
      <c r="BY143" s="833"/>
      <c r="BZ143" s="833"/>
      <c r="CA143" s="833"/>
      <c r="CB143" s="833"/>
      <c r="CC143" s="833"/>
      <c r="CD143" s="833"/>
      <c r="CE143" s="833"/>
      <c r="CF143" s="833"/>
      <c r="CG143" s="833"/>
      <c r="CH143" s="31"/>
      <c r="CI143" s="31"/>
      <c r="CJ143" s="31"/>
      <c r="CK143" s="31"/>
      <c r="CL143" s="31"/>
      <c r="CM143" s="31"/>
      <c r="CN143" s="31"/>
      <c r="CO143" s="31"/>
      <c r="CP143" s="31"/>
      <c r="CQ143" s="31"/>
      <c r="CR143" s="31"/>
      <c r="CS143" s="31"/>
      <c r="CT143" s="31"/>
    </row>
    <row r="144" spans="1:98" s="34" customFormat="1" ht="13.5" thickTop="1" x14ac:dyDescent="0.2">
      <c r="E144" s="379"/>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833"/>
      <c r="BU144" s="833"/>
      <c r="BV144" s="833"/>
      <c r="BW144" s="833"/>
      <c r="BX144" s="833"/>
      <c r="BY144" s="833"/>
      <c r="BZ144" s="833"/>
      <c r="CA144" s="833"/>
      <c r="CB144" s="833"/>
      <c r="CC144" s="833"/>
      <c r="CD144" s="833"/>
      <c r="CE144" s="833"/>
      <c r="CF144" s="833"/>
      <c r="CG144" s="833"/>
    </row>
    <row r="145" spans="1:98" s="34" customFormat="1" x14ac:dyDescent="0.2">
      <c r="A145" s="209" t="s">
        <v>1243</v>
      </c>
      <c r="B145" s="209"/>
      <c r="C145" s="209"/>
      <c r="D145" s="209"/>
      <c r="E145" s="612"/>
      <c r="F145" s="93" t="str">
        <f t="shared" ref="F145:Q145" si="789">F3</f>
        <v>2015/16</v>
      </c>
      <c r="G145" s="93" t="str">
        <f t="shared" si="789"/>
        <v>2016/17</v>
      </c>
      <c r="H145" s="93" t="str">
        <f t="shared" si="789"/>
        <v>2017/18</v>
      </c>
      <c r="I145" s="93" t="str">
        <f t="shared" si="789"/>
        <v>2018/19</v>
      </c>
      <c r="J145" s="93" t="str">
        <f t="shared" si="789"/>
        <v>2019/20</v>
      </c>
      <c r="K145" s="93" t="str">
        <f t="shared" si="789"/>
        <v>2020/21</v>
      </c>
      <c r="L145" s="93" t="str">
        <f t="shared" si="789"/>
        <v>2021/22</v>
      </c>
      <c r="M145" s="93" t="str">
        <f t="shared" si="789"/>
        <v>2022/23</v>
      </c>
      <c r="N145" s="93" t="str">
        <f t="shared" si="789"/>
        <v>2023/24</v>
      </c>
      <c r="O145" s="93" t="str">
        <f t="shared" si="789"/>
        <v>2024/25</v>
      </c>
      <c r="P145" s="93" t="str">
        <f t="shared" si="789"/>
        <v>2025/26</v>
      </c>
      <c r="Q145" s="93" t="str">
        <f t="shared" si="789"/>
        <v>2026/27</v>
      </c>
      <c r="R145" s="93" t="str">
        <f t="shared" ref="R145" si="790">R3</f>
        <v>2027/28</v>
      </c>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379"/>
      <c r="BU145" s="379"/>
      <c r="BV145" s="379"/>
      <c r="BW145" s="379"/>
      <c r="BX145" s="379"/>
      <c r="BY145" s="379"/>
      <c r="BZ145" s="379"/>
      <c r="CA145" s="379"/>
      <c r="CB145" s="379"/>
      <c r="CC145" s="379"/>
      <c r="CD145" s="379"/>
      <c r="CE145" s="379"/>
      <c r="CF145" s="379"/>
      <c r="CG145" s="379"/>
    </row>
    <row r="146" spans="1:98" s="34" customFormat="1" x14ac:dyDescent="0.2">
      <c r="A146" s="214" t="s">
        <v>2251</v>
      </c>
      <c r="B146" s="214"/>
      <c r="C146" s="214"/>
      <c r="D146" s="214"/>
      <c r="E146" s="379"/>
      <c r="F146" s="34">
        <f>S142</f>
        <v>0</v>
      </c>
      <c r="G146" s="34">
        <f>W142</f>
        <v>0</v>
      </c>
      <c r="H146" s="34">
        <f>AA142</f>
        <v>0</v>
      </c>
      <c r="I146" s="34">
        <f>AE142</f>
        <v>0</v>
      </c>
      <c r="J146" s="34">
        <f>AI142</f>
        <v>0</v>
      </c>
      <c r="K146" s="34">
        <f>AM142</f>
        <v>0</v>
      </c>
      <c r="L146" s="34">
        <f>AQ142</f>
        <v>0</v>
      </c>
      <c r="M146" s="34">
        <f>AU142</f>
        <v>0</v>
      </c>
      <c r="N146" s="34">
        <f>AY142</f>
        <v>0</v>
      </c>
      <c r="O146" s="34">
        <f>BC142</f>
        <v>0</v>
      </c>
      <c r="P146" s="34">
        <f>BG142</f>
        <v>0</v>
      </c>
      <c r="Q146" s="34">
        <f>BK142</f>
        <v>0</v>
      </c>
      <c r="R146" s="34">
        <f>BL142</f>
        <v>0</v>
      </c>
      <c r="S146" s="214"/>
      <c r="T146" s="214"/>
      <c r="U146" s="214"/>
      <c r="V146" s="214"/>
      <c r="W146" s="214"/>
      <c r="X146" s="214"/>
      <c r="Y146" s="214"/>
      <c r="AA146" s="214"/>
      <c r="AB146" s="214"/>
      <c r="AC146" s="214"/>
      <c r="AE146" s="214"/>
      <c r="AF146" s="214"/>
      <c r="AG146" s="214"/>
      <c r="AI146" s="214"/>
      <c r="AJ146" s="214"/>
      <c r="AK146" s="214"/>
      <c r="AM146" s="214"/>
      <c r="AN146" s="214"/>
      <c r="AO146" s="214"/>
      <c r="AQ146" s="214"/>
      <c r="AR146" s="214"/>
      <c r="AS146" s="214"/>
      <c r="AU146" s="214"/>
      <c r="AV146" s="214"/>
      <c r="AW146" s="214"/>
      <c r="AY146" s="214"/>
      <c r="AZ146" s="214"/>
      <c r="BA146" s="214"/>
      <c r="BC146" s="214"/>
      <c r="BD146" s="214"/>
      <c r="BE146" s="214"/>
      <c r="BG146" s="214"/>
      <c r="BH146" s="214"/>
      <c r="BI146" s="214"/>
      <c r="BK146" s="214"/>
      <c r="BL146" s="214"/>
      <c r="BM146" s="214"/>
      <c r="BO146" s="214"/>
      <c r="BP146" s="214"/>
      <c r="BQ146" s="214"/>
      <c r="BT146" s="833"/>
      <c r="BU146" s="833"/>
      <c r="BV146" s="833"/>
      <c r="BW146" s="833"/>
      <c r="BX146" s="833"/>
      <c r="BY146" s="833"/>
      <c r="BZ146" s="833"/>
      <c r="CA146" s="833"/>
      <c r="CB146" s="833"/>
      <c r="CC146" s="833"/>
      <c r="CD146" s="833"/>
      <c r="CE146" s="833"/>
      <c r="CF146" s="833"/>
      <c r="CG146" s="833"/>
      <c r="CH146" s="31"/>
      <c r="CI146" s="31"/>
      <c r="CJ146" s="31"/>
      <c r="CK146" s="31"/>
      <c r="CL146" s="31"/>
      <c r="CM146" s="31"/>
      <c r="CN146" s="31"/>
      <c r="CO146" s="31"/>
      <c r="CP146" s="31"/>
      <c r="CQ146" s="31"/>
      <c r="CR146" s="31"/>
      <c r="CS146" s="31"/>
      <c r="CT146" s="31"/>
    </row>
    <row r="147" spans="1:98" s="34" customFormat="1" x14ac:dyDescent="0.2">
      <c r="A147" s="214" t="s">
        <v>635</v>
      </c>
      <c r="B147" s="214"/>
      <c r="C147" s="214"/>
      <c r="D147" s="214"/>
      <c r="E147" s="379"/>
      <c r="F147" s="34">
        <f>T142</f>
        <v>174600</v>
      </c>
      <c r="G147" s="34">
        <f>X142</f>
        <v>366500</v>
      </c>
      <c r="H147" s="34">
        <f>AB142</f>
        <v>1147000</v>
      </c>
      <c r="I147" s="34">
        <f>AF142</f>
        <v>1000000</v>
      </c>
      <c r="J147" s="34">
        <f>AJ142</f>
        <v>268000</v>
      </c>
      <c r="K147" s="34">
        <f>AN142</f>
        <v>0</v>
      </c>
      <c r="L147" s="34">
        <f>AR142</f>
        <v>0</v>
      </c>
      <c r="M147" s="34">
        <f>AV142</f>
        <v>435000</v>
      </c>
      <c r="N147" s="34">
        <f>AZ142</f>
        <v>0</v>
      </c>
      <c r="O147" s="34">
        <f>BD142</f>
        <v>0</v>
      </c>
      <c r="P147" s="34">
        <f>BH142</f>
        <v>0</v>
      </c>
      <c r="Q147" s="34">
        <f>BL142</f>
        <v>0</v>
      </c>
      <c r="R147" s="34">
        <f>BM142</f>
        <v>0</v>
      </c>
      <c r="S147" s="214"/>
      <c r="T147" s="214"/>
      <c r="U147" s="214"/>
      <c r="V147" s="214"/>
      <c r="W147" s="214"/>
      <c r="X147" s="214"/>
      <c r="Y147" s="214"/>
      <c r="AA147" s="214"/>
      <c r="AB147" s="214"/>
      <c r="AC147" s="214"/>
      <c r="AE147" s="214"/>
      <c r="AF147" s="214"/>
      <c r="AG147" s="214"/>
      <c r="AI147" s="214"/>
      <c r="AJ147" s="214"/>
      <c r="AK147" s="214"/>
      <c r="AM147" s="214"/>
      <c r="AN147" s="214"/>
      <c r="AO147" s="214"/>
      <c r="AQ147" s="214"/>
      <c r="AR147" s="214"/>
      <c r="AS147" s="214"/>
      <c r="AU147" s="214"/>
      <c r="AV147" s="214"/>
      <c r="AW147" s="214"/>
      <c r="AY147" s="214"/>
      <c r="AZ147" s="214"/>
      <c r="BA147" s="214"/>
      <c r="BC147" s="214"/>
      <c r="BD147" s="214"/>
      <c r="BE147" s="214"/>
      <c r="BG147" s="214"/>
      <c r="BH147" s="214"/>
      <c r="BI147" s="214"/>
      <c r="BK147" s="214"/>
      <c r="BL147" s="214"/>
      <c r="BM147" s="214"/>
      <c r="BO147" s="214"/>
      <c r="BP147" s="214"/>
      <c r="BQ147" s="214"/>
      <c r="BT147" s="833"/>
      <c r="BU147" s="833"/>
      <c r="BV147" s="833"/>
      <c r="BW147" s="833"/>
      <c r="BX147" s="833"/>
      <c r="BY147" s="833"/>
      <c r="BZ147" s="833"/>
      <c r="CA147" s="833"/>
      <c r="CB147" s="833"/>
      <c r="CC147" s="833"/>
      <c r="CD147" s="833"/>
      <c r="CE147" s="833"/>
      <c r="CF147" s="833"/>
      <c r="CG147" s="833"/>
    </row>
    <row r="148" spans="1:98" s="246" customFormat="1" x14ac:dyDescent="0.2">
      <c r="A148" s="214" t="s">
        <v>2042</v>
      </c>
      <c r="B148" s="214"/>
      <c r="C148" s="214"/>
      <c r="D148" s="214"/>
      <c r="E148" s="379"/>
      <c r="F148" s="34">
        <f>U142</f>
        <v>0</v>
      </c>
      <c r="G148" s="34">
        <f>Y142</f>
        <v>0</v>
      </c>
      <c r="H148" s="34">
        <f>AC142</f>
        <v>0</v>
      </c>
      <c r="I148" s="34">
        <f>AG142</f>
        <v>0</v>
      </c>
      <c r="J148" s="34">
        <f>AK142</f>
        <v>0</v>
      </c>
      <c r="K148" s="34">
        <f>AO142</f>
        <v>0</v>
      </c>
      <c r="L148" s="34">
        <f>AS142</f>
        <v>0</v>
      </c>
      <c r="M148" s="34">
        <f>AW142</f>
        <v>0</v>
      </c>
      <c r="N148" s="34">
        <f>BA142</f>
        <v>0</v>
      </c>
      <c r="O148" s="34">
        <f>BE142</f>
        <v>0</v>
      </c>
      <c r="P148" s="34">
        <f>BI142</f>
        <v>0</v>
      </c>
      <c r="Q148" s="34">
        <f>BM142</f>
        <v>0</v>
      </c>
      <c r="R148" s="34">
        <f>BN142</f>
        <v>1130700</v>
      </c>
      <c r="S148" s="214"/>
      <c r="T148" s="214"/>
      <c r="U148" s="214"/>
      <c r="V148" s="214"/>
      <c r="W148" s="214"/>
      <c r="X148" s="214"/>
      <c r="Y148" s="214"/>
      <c r="AA148" s="214"/>
      <c r="AB148" s="214"/>
      <c r="AC148" s="214"/>
      <c r="AE148" s="214"/>
      <c r="AF148" s="214"/>
      <c r="AG148" s="214"/>
      <c r="AI148" s="214"/>
      <c r="AJ148" s="214"/>
      <c r="AK148" s="214"/>
      <c r="AM148" s="214"/>
      <c r="AN148" s="214"/>
      <c r="AO148" s="214"/>
      <c r="AQ148" s="214"/>
      <c r="AR148" s="214"/>
      <c r="AS148" s="214"/>
      <c r="AU148" s="214"/>
      <c r="AV148" s="214"/>
      <c r="AW148" s="214"/>
      <c r="AY148" s="214"/>
      <c r="AZ148" s="214"/>
      <c r="BA148" s="214"/>
      <c r="BC148" s="214"/>
      <c r="BD148" s="214"/>
      <c r="BE148" s="214"/>
      <c r="BG148" s="214"/>
      <c r="BH148" s="214"/>
      <c r="BI148" s="214"/>
      <c r="BK148" s="214"/>
      <c r="BL148" s="214"/>
      <c r="BM148" s="214"/>
      <c r="BO148" s="214"/>
      <c r="BP148" s="214"/>
      <c r="BQ148" s="214"/>
      <c r="BT148" s="833"/>
      <c r="BU148" s="833"/>
      <c r="BV148" s="833"/>
      <c r="BW148" s="833"/>
      <c r="BX148" s="833"/>
      <c r="BY148" s="833"/>
      <c r="BZ148" s="833"/>
      <c r="CA148" s="833"/>
      <c r="CB148" s="833"/>
      <c r="CC148" s="833"/>
      <c r="CD148" s="833"/>
      <c r="CE148" s="833"/>
      <c r="CF148" s="833"/>
      <c r="CG148" s="833"/>
      <c r="CH148" s="34"/>
      <c r="CI148" s="34"/>
      <c r="CJ148" s="34"/>
      <c r="CK148" s="34"/>
      <c r="CL148" s="34"/>
      <c r="CM148" s="34"/>
      <c r="CN148" s="34"/>
      <c r="CO148" s="34"/>
      <c r="CP148" s="34"/>
      <c r="CQ148" s="34"/>
      <c r="CR148" s="34"/>
      <c r="CS148" s="34"/>
      <c r="CT148" s="34"/>
    </row>
    <row r="149" spans="1:98" s="246" customFormat="1" x14ac:dyDescent="0.2">
      <c r="A149" s="214" t="s">
        <v>2290</v>
      </c>
      <c r="B149" s="214"/>
      <c r="C149" s="214"/>
      <c r="D149" s="214"/>
      <c r="E149" s="379"/>
      <c r="F149" s="34">
        <f>V142</f>
        <v>2092700</v>
      </c>
      <c r="G149" s="34">
        <f>Z142</f>
        <v>2194000</v>
      </c>
      <c r="H149" s="34">
        <f>AD142</f>
        <v>7598100</v>
      </c>
      <c r="I149" s="34">
        <f>AH142</f>
        <v>6734900</v>
      </c>
      <c r="J149" s="34">
        <f>AL142</f>
        <v>4808700</v>
      </c>
      <c r="K149" s="34">
        <f>AP142</f>
        <v>2695400</v>
      </c>
      <c r="L149" s="34">
        <f>AT142</f>
        <v>5105100</v>
      </c>
      <c r="M149" s="34">
        <f>AX142</f>
        <v>4020100</v>
      </c>
      <c r="N149" s="34">
        <f>BB142</f>
        <v>1014500</v>
      </c>
      <c r="O149" s="34">
        <f>BF142</f>
        <v>5316400</v>
      </c>
      <c r="P149" s="34">
        <f>BJ142</f>
        <v>1186000</v>
      </c>
      <c r="Q149" s="34">
        <f>BN142</f>
        <v>1130700</v>
      </c>
      <c r="R149" s="34">
        <f>BS142</f>
        <v>0</v>
      </c>
      <c r="S149" s="214"/>
      <c r="T149" s="214"/>
      <c r="U149" s="214"/>
      <c r="V149" s="214"/>
      <c r="W149" s="214"/>
      <c r="X149" s="214"/>
      <c r="Y149" s="214"/>
      <c r="AA149" s="214"/>
      <c r="AB149" s="214"/>
      <c r="AC149" s="214"/>
      <c r="AE149" s="214"/>
      <c r="AF149" s="214"/>
      <c r="AG149" s="214"/>
      <c r="AI149" s="214"/>
      <c r="AJ149" s="214"/>
      <c r="AK149" s="214"/>
      <c r="AM149" s="214"/>
      <c r="AN149" s="214"/>
      <c r="AO149" s="214"/>
      <c r="AQ149" s="214"/>
      <c r="AR149" s="214"/>
      <c r="AS149" s="214"/>
      <c r="AU149" s="214"/>
      <c r="AV149" s="214"/>
      <c r="AW149" s="214"/>
      <c r="AY149" s="214"/>
      <c r="AZ149" s="214"/>
      <c r="BA149" s="214"/>
      <c r="BC149" s="214"/>
      <c r="BD149" s="214"/>
      <c r="BE149" s="214"/>
      <c r="BG149" s="214"/>
      <c r="BH149" s="214"/>
      <c r="BI149" s="214"/>
      <c r="BK149" s="214"/>
      <c r="BL149" s="214"/>
      <c r="BM149" s="214"/>
      <c r="BO149" s="214"/>
      <c r="BP149" s="214"/>
      <c r="BQ149" s="214"/>
      <c r="BT149" s="379"/>
      <c r="BU149" s="379"/>
      <c r="BV149" s="379"/>
      <c r="BW149" s="379"/>
      <c r="BX149" s="379"/>
      <c r="BY149" s="379"/>
      <c r="BZ149" s="379"/>
      <c r="CA149" s="379"/>
      <c r="CB149" s="379"/>
      <c r="CC149" s="379"/>
      <c r="CD149" s="379"/>
      <c r="CE149" s="379"/>
      <c r="CF149" s="379"/>
      <c r="CG149" s="379"/>
      <c r="CH149" s="34"/>
      <c r="CI149" s="34"/>
      <c r="CJ149" s="34"/>
      <c r="CK149" s="34"/>
      <c r="CL149" s="34"/>
      <c r="CM149" s="34"/>
      <c r="CN149" s="34"/>
      <c r="CO149" s="34"/>
      <c r="CP149" s="34"/>
      <c r="CQ149" s="34"/>
      <c r="CR149" s="34"/>
      <c r="CS149" s="34"/>
      <c r="CT149" s="34"/>
    </row>
    <row r="150" spans="1:98" s="285" customFormat="1" x14ac:dyDescent="0.2">
      <c r="A150" s="286" t="s">
        <v>88</v>
      </c>
      <c r="B150" s="286"/>
      <c r="C150" s="286"/>
      <c r="D150" s="286"/>
      <c r="E150" s="613"/>
      <c r="F150" s="39">
        <f>F142-F146-F147-F148-F149</f>
        <v>0</v>
      </c>
      <c r="G150" s="39">
        <f>G142-G146-G147-G148-G149</f>
        <v>0</v>
      </c>
      <c r="H150" s="39">
        <f>H142-H146-H147-H148-H149</f>
        <v>0</v>
      </c>
      <c r="I150" s="39">
        <f t="shared" ref="I150:P150" si="791">I142-I146-I147-I148-I149</f>
        <v>0</v>
      </c>
      <c r="J150" s="39">
        <f t="shared" si="791"/>
        <v>0</v>
      </c>
      <c r="K150" s="39">
        <f t="shared" si="791"/>
        <v>0</v>
      </c>
      <c r="L150" s="39">
        <f t="shared" si="791"/>
        <v>0</v>
      </c>
      <c r="M150" s="39">
        <f t="shared" si="791"/>
        <v>0</v>
      </c>
      <c r="N150" s="39">
        <f t="shared" si="791"/>
        <v>0</v>
      </c>
      <c r="O150" s="39">
        <f t="shared" si="791"/>
        <v>0</v>
      </c>
      <c r="P150" s="39">
        <f t="shared" si="791"/>
        <v>0</v>
      </c>
      <c r="Q150" s="39">
        <f t="shared" ref="Q150:R150" si="792">Q142-Q146-Q147-Q148-Q149</f>
        <v>0</v>
      </c>
      <c r="R150" s="39">
        <f t="shared" si="792"/>
        <v>0</v>
      </c>
      <c r="S150" s="286"/>
      <c r="T150" s="286"/>
      <c r="U150" s="286"/>
      <c r="V150" s="286"/>
      <c r="W150" s="286"/>
      <c r="X150" s="286"/>
      <c r="Y150" s="286"/>
      <c r="AA150" s="286"/>
      <c r="AB150" s="286"/>
      <c r="AC150" s="286"/>
      <c r="AE150" s="286"/>
      <c r="AF150" s="286"/>
      <c r="AG150" s="286"/>
      <c r="AI150" s="286"/>
      <c r="AJ150" s="286"/>
      <c r="AK150" s="286"/>
      <c r="AM150" s="286"/>
      <c r="AN150" s="286"/>
      <c r="AO150" s="286"/>
      <c r="AQ150" s="286"/>
      <c r="AR150" s="286"/>
      <c r="AS150" s="286"/>
      <c r="AU150" s="286"/>
      <c r="AV150" s="286"/>
      <c r="AW150" s="286"/>
      <c r="AY150" s="286"/>
      <c r="AZ150" s="286"/>
      <c r="BA150" s="286"/>
      <c r="BC150" s="286"/>
      <c r="BD150" s="286"/>
      <c r="BE150" s="286"/>
      <c r="BG150" s="286"/>
      <c r="BH150" s="286"/>
      <c r="BI150" s="286"/>
      <c r="BK150" s="286"/>
      <c r="BL150" s="286"/>
      <c r="BM150" s="286"/>
      <c r="BO150" s="286"/>
      <c r="BP150" s="286"/>
      <c r="BQ150" s="286"/>
      <c r="BT150" s="379"/>
      <c r="BU150" s="379"/>
      <c r="BV150" s="379"/>
      <c r="BW150" s="379"/>
      <c r="BX150" s="379"/>
      <c r="BY150" s="379"/>
      <c r="BZ150" s="379"/>
      <c r="CA150" s="379"/>
      <c r="CB150" s="379"/>
      <c r="CC150" s="379"/>
      <c r="CD150" s="379"/>
      <c r="CE150" s="379"/>
      <c r="CF150" s="379"/>
      <c r="CG150" s="379"/>
      <c r="CH150" s="34"/>
      <c r="CI150" s="34"/>
      <c r="CJ150" s="34"/>
      <c r="CK150" s="34"/>
      <c r="CL150" s="34"/>
      <c r="CM150" s="34"/>
      <c r="CN150" s="34"/>
      <c r="CO150" s="34"/>
      <c r="CP150" s="34"/>
      <c r="CQ150" s="34"/>
      <c r="CR150" s="34"/>
      <c r="CS150" s="34"/>
      <c r="CT150" s="34"/>
    </row>
    <row r="151" spans="1:98" s="246" customFormat="1" x14ac:dyDescent="0.2">
      <c r="A151" s="214"/>
      <c r="B151" s="214"/>
      <c r="C151" s="214"/>
      <c r="D151" s="214"/>
      <c r="E151" s="379"/>
      <c r="F151" s="34"/>
      <c r="G151" s="34"/>
      <c r="H151" s="34"/>
      <c r="I151" s="34"/>
      <c r="J151" s="34"/>
      <c r="K151" s="34"/>
      <c r="L151" s="34"/>
      <c r="M151" s="34"/>
      <c r="N151" s="34"/>
      <c r="O151" s="34"/>
      <c r="P151" s="34"/>
      <c r="Q151" s="34"/>
      <c r="R151" s="34"/>
      <c r="S151" s="214"/>
      <c r="T151" s="214"/>
      <c r="U151" s="214"/>
      <c r="V151" s="214"/>
      <c r="W151" s="214"/>
      <c r="X151" s="214"/>
      <c r="Y151" s="214"/>
      <c r="AA151" s="214"/>
      <c r="AB151" s="214"/>
      <c r="AC151" s="214"/>
      <c r="AE151" s="214"/>
      <c r="AF151" s="214"/>
      <c r="AG151" s="214"/>
      <c r="AI151" s="214"/>
      <c r="AJ151" s="214"/>
      <c r="AK151" s="214"/>
      <c r="AM151" s="214"/>
      <c r="AN151" s="214"/>
      <c r="AO151" s="214"/>
      <c r="AQ151" s="214"/>
      <c r="AR151" s="214"/>
      <c r="AS151" s="214"/>
      <c r="AU151" s="214"/>
      <c r="AV151" s="214"/>
      <c r="AW151" s="214"/>
      <c r="AY151" s="214"/>
      <c r="AZ151" s="214"/>
      <c r="BA151" s="214"/>
      <c r="BC151" s="214"/>
      <c r="BD151" s="214"/>
      <c r="BE151" s="214"/>
      <c r="BG151" s="214"/>
      <c r="BH151" s="214"/>
      <c r="BI151" s="214"/>
      <c r="BK151" s="214"/>
      <c r="BL151" s="214"/>
      <c r="BM151" s="214"/>
      <c r="BO151" s="214"/>
      <c r="BP151" s="214"/>
      <c r="BQ151" s="214"/>
      <c r="BT151" s="379"/>
      <c r="BU151" s="379"/>
      <c r="BV151" s="613"/>
      <c r="BW151" s="613"/>
      <c r="BX151" s="613"/>
      <c r="BY151" s="613"/>
      <c r="BZ151" s="613"/>
      <c r="CA151" s="613"/>
      <c r="CB151" s="613"/>
      <c r="CC151" s="613"/>
      <c r="CD151" s="613"/>
      <c r="CE151" s="613"/>
      <c r="CF151" s="613"/>
      <c r="CG151" s="613"/>
      <c r="CH151" s="39"/>
      <c r="CI151" s="39"/>
      <c r="CJ151" s="39"/>
      <c r="CK151" s="39"/>
      <c r="CL151" s="39"/>
      <c r="CM151" s="39"/>
      <c r="CN151" s="39"/>
      <c r="CO151" s="39"/>
      <c r="CP151" s="39"/>
      <c r="CQ151" s="39"/>
      <c r="CR151" s="39"/>
      <c r="CS151" s="39"/>
      <c r="CT151" s="39"/>
    </row>
    <row r="152" spans="1:98" s="246" customFormat="1" x14ac:dyDescent="0.2">
      <c r="A152" s="214" t="s">
        <v>821</v>
      </c>
      <c r="E152" s="379"/>
      <c r="F152" s="34">
        <f>-U142+'Cash-WW'!C36</f>
        <v>0</v>
      </c>
      <c r="G152" s="34"/>
      <c r="H152" s="34">
        <f>-AC142+'Cash-WW'!G36</f>
        <v>0</v>
      </c>
      <c r="I152" s="34"/>
      <c r="J152" s="34"/>
      <c r="K152" s="34"/>
      <c r="L152" s="34"/>
      <c r="M152" s="34"/>
      <c r="N152" s="34"/>
      <c r="O152" s="34"/>
      <c r="P152" s="34"/>
      <c r="Q152" s="34"/>
      <c r="R152" s="34"/>
      <c r="BT152" s="379"/>
      <c r="BU152" s="379"/>
      <c r="BV152" s="379"/>
      <c r="BW152" s="379"/>
      <c r="BX152" s="379"/>
      <c r="BY152" s="379"/>
      <c r="BZ152" s="379"/>
      <c r="CA152" s="379"/>
      <c r="CB152" s="379"/>
      <c r="CC152" s="379"/>
      <c r="CD152" s="379"/>
      <c r="CE152" s="379"/>
      <c r="CF152" s="379"/>
      <c r="CG152" s="379"/>
      <c r="CH152" s="34"/>
      <c r="CI152" s="34"/>
      <c r="CJ152" s="34"/>
      <c r="CK152" s="34"/>
      <c r="CL152" s="34"/>
      <c r="CM152" s="34"/>
      <c r="CN152" s="34"/>
      <c r="CO152" s="34"/>
      <c r="CP152" s="34"/>
      <c r="CQ152" s="34"/>
      <c r="CR152" s="34"/>
      <c r="CS152" s="34"/>
      <c r="CT152" s="34"/>
    </row>
    <row r="153" spans="1:98" s="246" customFormat="1" x14ac:dyDescent="0.2">
      <c r="A153" s="214" t="str">
        <f>A146</f>
        <v>Grants</v>
      </c>
      <c r="B153" s="214"/>
      <c r="C153" s="214"/>
      <c r="D153" s="214"/>
      <c r="E153" s="379"/>
      <c r="F153" s="34">
        <f>F146-'Cash-WW'!C60</f>
        <v>0</v>
      </c>
      <c r="G153" s="34"/>
      <c r="H153" s="34">
        <f>H146-'Cash-WW'!G60</f>
        <v>0</v>
      </c>
      <c r="I153" s="34">
        <f>I146-'Cash-WW'!H60</f>
        <v>0</v>
      </c>
      <c r="J153" s="34">
        <f>J146-'Cash-WW'!I60</f>
        <v>0</v>
      </c>
      <c r="K153" s="34">
        <f>K146-'Cash-WW'!J60</f>
        <v>0</v>
      </c>
      <c r="L153" s="34">
        <f>L146-'Cash-WW'!K60</f>
        <v>0</v>
      </c>
      <c r="M153" s="34">
        <f>M146-'Cash-WW'!L60</f>
        <v>0</v>
      </c>
      <c r="N153" s="34">
        <f>N146-'Cash-WW'!M60</f>
        <v>0</v>
      </c>
      <c r="O153" s="34">
        <f>O146-'Cash-WW'!N60</f>
        <v>0</v>
      </c>
      <c r="P153" s="34">
        <f>P146-'Cash-WW'!O60</f>
        <v>0</v>
      </c>
      <c r="Q153" s="34">
        <f>Q146-'Cash-WW'!P60</f>
        <v>0</v>
      </c>
      <c r="R153" s="34">
        <f>R146-'Cash-WW'!Q60</f>
        <v>0</v>
      </c>
      <c r="BT153" s="379"/>
      <c r="BU153" s="379"/>
      <c r="BV153" s="379"/>
      <c r="BW153" s="379"/>
      <c r="BX153" s="379"/>
      <c r="BY153" s="379"/>
      <c r="BZ153" s="379"/>
      <c r="CA153" s="379"/>
      <c r="CB153" s="379"/>
      <c r="CC153" s="379"/>
      <c r="CD153" s="379"/>
      <c r="CE153" s="379"/>
      <c r="CF153" s="379"/>
      <c r="CG153" s="379"/>
      <c r="CH153" s="34"/>
      <c r="CI153" s="34"/>
      <c r="CJ153" s="34"/>
      <c r="CK153" s="34"/>
      <c r="CL153" s="34"/>
      <c r="CM153" s="34"/>
      <c r="CN153" s="34"/>
      <c r="CO153" s="34"/>
      <c r="CP153" s="34"/>
      <c r="CQ153" s="34"/>
      <c r="CR153" s="34"/>
      <c r="CS153" s="34"/>
      <c r="CT153" s="34"/>
    </row>
    <row r="154" spans="1:98" s="246" customFormat="1" x14ac:dyDescent="0.2">
      <c r="A154" s="1409" t="s">
        <v>6706</v>
      </c>
      <c r="B154" s="214"/>
      <c r="C154" s="214"/>
      <c r="D154" s="214"/>
      <c r="E154" s="379"/>
      <c r="F154" s="34"/>
      <c r="G154" s="34"/>
      <c r="H154" s="34">
        <f>'Cash-WW'!G68</f>
        <v>1548000</v>
      </c>
      <c r="I154" s="34">
        <f>'Cash-WW'!H68</f>
        <v>3134000</v>
      </c>
      <c r="J154" s="34">
        <f>'Cash-WW'!I68</f>
        <v>3280000</v>
      </c>
      <c r="K154" s="34">
        <f>'Cash-WW'!J68</f>
        <v>1227000</v>
      </c>
      <c r="L154" s="34">
        <f>'Cash-WW'!K68</f>
        <v>1327000</v>
      </c>
      <c r="M154" s="34">
        <f>'Cash-WW'!L68</f>
        <v>1422000</v>
      </c>
      <c r="N154" s="34">
        <f>'Cash-WW'!M68</f>
        <v>1519000</v>
      </c>
      <c r="O154" s="34">
        <f>'Cash-WW'!N68</f>
        <v>1618000</v>
      </c>
      <c r="P154" s="34">
        <f>'Cash-WW'!O68</f>
        <v>1715000</v>
      </c>
      <c r="Q154" s="34">
        <f>'Cash-WW'!P68</f>
        <v>1814000</v>
      </c>
      <c r="R154" s="34">
        <f>'Cash-WW'!Q68</f>
        <v>1913000</v>
      </c>
      <c r="S154" s="214"/>
      <c r="T154" s="214"/>
      <c r="U154" s="214"/>
      <c r="V154" s="214"/>
      <c r="W154" s="214"/>
      <c r="X154" s="214"/>
      <c r="Y154" s="214"/>
      <c r="AA154" s="214"/>
      <c r="AB154" s="214"/>
      <c r="AC154" s="214"/>
      <c r="AE154" s="214"/>
      <c r="AF154" s="214"/>
      <c r="AG154" s="214"/>
      <c r="AI154" s="214"/>
      <c r="AJ154" s="214"/>
      <c r="AK154" s="214"/>
      <c r="AM154" s="214"/>
      <c r="AN154" s="214"/>
      <c r="AO154" s="214"/>
      <c r="AQ154" s="214"/>
      <c r="AR154" s="214"/>
      <c r="AS154" s="214"/>
      <c r="AU154" s="214"/>
      <c r="AV154" s="214"/>
      <c r="AW154" s="214"/>
      <c r="AY154" s="214"/>
      <c r="AZ154" s="214"/>
      <c r="BA154" s="214"/>
      <c r="BC154" s="214"/>
      <c r="BD154" s="214"/>
      <c r="BE154" s="214"/>
      <c r="BG154" s="214"/>
      <c r="BH154" s="214"/>
      <c r="BI154" s="214"/>
      <c r="BK154" s="214"/>
      <c r="BL154" s="214"/>
      <c r="BM154" s="214"/>
      <c r="BO154" s="214"/>
      <c r="BP154" s="214"/>
      <c r="BQ154" s="214"/>
      <c r="BT154" s="379"/>
      <c r="BU154" s="379"/>
      <c r="BV154" s="613"/>
      <c r="BW154" s="613"/>
      <c r="BX154" s="613"/>
      <c r="BY154" s="613"/>
      <c r="BZ154" s="613"/>
      <c r="CA154" s="613"/>
      <c r="CB154" s="613"/>
      <c r="CC154" s="613"/>
      <c r="CD154" s="613"/>
      <c r="CE154" s="613"/>
      <c r="CF154" s="613"/>
      <c r="CG154" s="613"/>
      <c r="CH154" s="39"/>
      <c r="CI154" s="39"/>
      <c r="CJ154" s="39"/>
      <c r="CK154" s="39"/>
      <c r="CL154" s="39"/>
      <c r="CM154" s="39"/>
      <c r="CN154" s="39"/>
      <c r="CO154" s="39"/>
      <c r="CP154" s="39"/>
      <c r="CQ154" s="39"/>
      <c r="CR154" s="39"/>
      <c r="CS154" s="39"/>
      <c r="CT154" s="39"/>
    </row>
    <row r="155" spans="1:98" s="246" customFormat="1" x14ac:dyDescent="0.2">
      <c r="A155" s="214" t="str">
        <f>A147</f>
        <v>Section 64</v>
      </c>
      <c r="B155" s="214"/>
      <c r="C155" s="214"/>
      <c r="D155" s="214"/>
      <c r="E155" s="379"/>
      <c r="F155" s="34">
        <f>F147-'Cash-WW'!C70</f>
        <v>0</v>
      </c>
      <c r="G155" s="34"/>
      <c r="H155" s="34">
        <f>H147-'Cash-WW'!G70</f>
        <v>-1548000</v>
      </c>
      <c r="I155" s="34">
        <f>I147-'Cash-WW'!H70</f>
        <v>-3134000</v>
      </c>
      <c r="J155" s="34">
        <f>J147-'Cash-WW'!I70</f>
        <v>-3280000</v>
      </c>
      <c r="K155" s="34">
        <f>K147-'Cash-WW'!J70</f>
        <v>-1227000</v>
      </c>
      <c r="L155" s="34">
        <f>L147-'Cash-WW'!K70</f>
        <v>-1327000</v>
      </c>
      <c r="M155" s="34">
        <f>M147-'Cash-WW'!L70</f>
        <v>-1422000</v>
      </c>
      <c r="N155" s="34">
        <f>N147-'Cash-WW'!M70</f>
        <v>-1519000</v>
      </c>
      <c r="O155" s="34">
        <f>O147-'Cash-WW'!N70</f>
        <v>-1618000</v>
      </c>
      <c r="P155" s="34">
        <f>P147-'Cash-WW'!O70</f>
        <v>-1715000</v>
      </c>
      <c r="Q155" s="34">
        <f>Q147-'Cash-WW'!P70</f>
        <v>-1814000</v>
      </c>
      <c r="R155" s="34">
        <f>R147-'Cash-WW'!Q70</f>
        <v>-1913000</v>
      </c>
      <c r="BT155" s="379"/>
      <c r="BU155" s="379"/>
      <c r="BV155" s="379"/>
      <c r="BW155" s="379"/>
      <c r="BX155" s="379"/>
      <c r="BY155" s="379"/>
      <c r="BZ155" s="379"/>
      <c r="CA155" s="379"/>
      <c r="CB155" s="379"/>
      <c r="CC155" s="379"/>
      <c r="CD155" s="379"/>
      <c r="CE155" s="379"/>
      <c r="CF155" s="379"/>
      <c r="CG155" s="379"/>
      <c r="CH155" s="34"/>
      <c r="CI155" s="34"/>
      <c r="CJ155" s="34"/>
      <c r="CK155" s="34"/>
      <c r="CL155" s="34"/>
      <c r="CM155" s="34"/>
      <c r="CN155" s="34"/>
      <c r="CO155" s="34"/>
      <c r="CP155" s="34"/>
      <c r="CQ155" s="34"/>
      <c r="CR155" s="34"/>
      <c r="CS155" s="34"/>
      <c r="CT155" s="34"/>
    </row>
    <row r="156" spans="1:98" s="246" customFormat="1" x14ac:dyDescent="0.2">
      <c r="A156" s="214" t="str">
        <f>A148</f>
        <v>Loans</v>
      </c>
      <c r="B156" s="214"/>
      <c r="C156" s="214"/>
      <c r="D156" s="214"/>
      <c r="E156" s="379"/>
      <c r="F156" s="34">
        <f>F148-'Cash-WW'!C79+F152</f>
        <v>0</v>
      </c>
      <c r="G156" s="34"/>
      <c r="H156" s="34">
        <f>H148-'Cash-WW'!G79+H152</f>
        <v>0</v>
      </c>
      <c r="I156" s="34">
        <f>I148-'Cash-WW'!H79</f>
        <v>0</v>
      </c>
      <c r="J156" s="34">
        <f>J148-'Cash-WW'!I79</f>
        <v>0</v>
      </c>
      <c r="K156" s="34">
        <f>K148-'Cash-WW'!J79</f>
        <v>0</v>
      </c>
      <c r="L156" s="34">
        <f>L148-'Cash-WW'!K79</f>
        <v>0</v>
      </c>
      <c r="M156" s="34">
        <f>M148-'Cash-WW'!L79</f>
        <v>0</v>
      </c>
      <c r="N156" s="34">
        <f>N148-'Cash-WW'!M79</f>
        <v>0</v>
      </c>
      <c r="O156" s="34">
        <f>O148-'Cash-WW'!N79</f>
        <v>0</v>
      </c>
      <c r="P156" s="34">
        <f>P148-'Cash-WW'!O79</f>
        <v>0</v>
      </c>
      <c r="Q156" s="34">
        <f>Q148-'Cash-WW'!P79</f>
        <v>0</v>
      </c>
      <c r="R156" s="34">
        <f>R148-'Cash-WW'!Q79</f>
        <v>1130700</v>
      </c>
      <c r="BT156" s="379"/>
      <c r="BU156" s="379"/>
      <c r="BV156" s="379"/>
      <c r="BW156" s="379"/>
      <c r="BX156" s="379"/>
      <c r="BY156" s="379"/>
      <c r="BZ156" s="379"/>
      <c r="CA156" s="379"/>
      <c r="CB156" s="379"/>
      <c r="CC156" s="379"/>
      <c r="CD156" s="379"/>
      <c r="CE156" s="379"/>
      <c r="CF156" s="379"/>
      <c r="CG156" s="379"/>
      <c r="CH156" s="34"/>
      <c r="CI156" s="34"/>
      <c r="CJ156" s="34"/>
      <c r="CK156" s="34"/>
      <c r="CL156" s="34"/>
      <c r="CM156" s="34"/>
      <c r="CN156" s="34"/>
      <c r="CO156" s="34"/>
      <c r="CP156" s="34"/>
      <c r="CQ156" s="34"/>
      <c r="CR156" s="34"/>
      <c r="CS156" s="34"/>
      <c r="CT156" s="34"/>
    </row>
    <row r="157" spans="1:98" s="246" customFormat="1" x14ac:dyDescent="0.2">
      <c r="E157" s="379"/>
      <c r="F157" s="34"/>
      <c r="G157" s="34"/>
      <c r="H157" s="34"/>
      <c r="I157" s="34"/>
      <c r="J157" s="34"/>
      <c r="K157" s="34"/>
      <c r="L157" s="34"/>
      <c r="M157" s="34"/>
      <c r="N157" s="34"/>
      <c r="O157" s="34"/>
      <c r="P157" s="34"/>
      <c r="Q157" s="34"/>
      <c r="R157" s="34"/>
      <c r="BT157" s="379"/>
      <c r="BU157" s="379"/>
      <c r="BV157" s="379"/>
      <c r="BW157" s="379"/>
      <c r="BX157" s="379"/>
      <c r="BY157" s="379"/>
      <c r="BZ157" s="379"/>
      <c r="CA157" s="379"/>
      <c r="CB157" s="379"/>
      <c r="CC157" s="379"/>
      <c r="CD157" s="379"/>
      <c r="CE157" s="379"/>
      <c r="CF157" s="379"/>
      <c r="CG157" s="379"/>
      <c r="CH157" s="34"/>
      <c r="CI157" s="34"/>
      <c r="CJ157" s="34"/>
      <c r="CK157" s="34"/>
      <c r="CL157" s="34"/>
      <c r="CM157" s="34"/>
      <c r="CN157" s="34"/>
      <c r="CO157" s="34"/>
      <c r="CP157" s="34"/>
      <c r="CQ157" s="34"/>
      <c r="CR157" s="34"/>
      <c r="CS157" s="34"/>
      <c r="CT157" s="34"/>
    </row>
    <row r="158" spans="1:98" s="246" customFormat="1" x14ac:dyDescent="0.2">
      <c r="A158" s="286" t="s">
        <v>88</v>
      </c>
      <c r="B158" s="286"/>
      <c r="C158" s="286"/>
      <c r="D158" s="286"/>
      <c r="E158" s="613"/>
      <c r="F158" s="39">
        <f>SUM(F153:F157)</f>
        <v>0</v>
      </c>
      <c r="G158" s="39"/>
      <c r="H158" s="39">
        <f>H155-H150+H154</f>
        <v>0</v>
      </c>
      <c r="I158" s="39">
        <f t="shared" ref="I158:P158" si="793">I155-I150+I154</f>
        <v>0</v>
      </c>
      <c r="J158" s="39">
        <f t="shared" si="793"/>
        <v>0</v>
      </c>
      <c r="K158" s="39">
        <f t="shared" si="793"/>
        <v>0</v>
      </c>
      <c r="L158" s="39">
        <f t="shared" si="793"/>
        <v>0</v>
      </c>
      <c r="M158" s="39">
        <f t="shared" si="793"/>
        <v>0</v>
      </c>
      <c r="N158" s="39">
        <f t="shared" si="793"/>
        <v>0</v>
      </c>
      <c r="O158" s="39">
        <f t="shared" si="793"/>
        <v>0</v>
      </c>
      <c r="P158" s="39">
        <f t="shared" si="793"/>
        <v>0</v>
      </c>
      <c r="Q158" s="39">
        <f t="shared" ref="Q158:R158" si="794">Q155-Q150+Q154</f>
        <v>0</v>
      </c>
      <c r="R158" s="39">
        <f t="shared" si="794"/>
        <v>0</v>
      </c>
      <c r="BT158" s="379"/>
      <c r="BU158" s="379"/>
      <c r="BV158" s="379"/>
      <c r="BW158" s="379"/>
      <c r="BX158" s="379"/>
      <c r="BY158" s="379"/>
      <c r="BZ158" s="379"/>
      <c r="CA158" s="379"/>
      <c r="CB158" s="379"/>
      <c r="CC158" s="379"/>
      <c r="CD158" s="379"/>
      <c r="CE158" s="379"/>
      <c r="CF158" s="379"/>
      <c r="CG158" s="379"/>
      <c r="CH158" s="34"/>
      <c r="CI158" s="34"/>
      <c r="CJ158" s="34"/>
      <c r="CK158" s="34"/>
      <c r="CL158" s="34"/>
      <c r="CM158" s="34"/>
      <c r="CN158" s="34"/>
      <c r="CO158" s="34"/>
      <c r="CP158" s="34"/>
      <c r="CQ158" s="34"/>
      <c r="CR158" s="34"/>
      <c r="CS158" s="34"/>
      <c r="CT158" s="34"/>
    </row>
    <row r="159" spans="1:98" s="246" customFormat="1" x14ac:dyDescent="0.2">
      <c r="E159" s="379"/>
      <c r="F159" s="34"/>
      <c r="G159" s="34"/>
      <c r="H159" s="34"/>
      <c r="I159" s="34"/>
      <c r="J159" s="34"/>
      <c r="K159" s="34"/>
      <c r="L159" s="34"/>
      <c r="M159" s="34"/>
      <c r="N159" s="34"/>
      <c r="O159" s="34"/>
      <c r="P159" s="34"/>
      <c r="Q159" s="34"/>
      <c r="R159" s="34"/>
      <c r="BT159" s="379"/>
      <c r="BU159" s="379"/>
      <c r="BV159" s="379"/>
      <c r="BW159" s="379"/>
      <c r="BX159" s="379"/>
      <c r="BY159" s="379"/>
      <c r="BZ159" s="379"/>
      <c r="CA159" s="379"/>
      <c r="CB159" s="379"/>
      <c r="CC159" s="379"/>
      <c r="CD159" s="379"/>
      <c r="CE159" s="379"/>
      <c r="CF159" s="379"/>
      <c r="CG159" s="379"/>
      <c r="CH159" s="34"/>
      <c r="CI159" s="34"/>
      <c r="CJ159" s="34"/>
      <c r="CK159" s="34"/>
      <c r="CL159" s="34"/>
      <c r="CM159" s="34"/>
      <c r="CN159" s="34"/>
      <c r="CO159" s="34"/>
      <c r="CP159" s="34"/>
      <c r="CQ159" s="34"/>
      <c r="CR159" s="34"/>
      <c r="CS159" s="34"/>
      <c r="CT159" s="34"/>
    </row>
    <row r="160" spans="1:98" s="246" customFormat="1" x14ac:dyDescent="0.2">
      <c r="E160" s="379"/>
      <c r="F160" s="34"/>
      <c r="G160" s="34"/>
      <c r="H160" s="34"/>
      <c r="I160" s="34"/>
      <c r="J160" s="34"/>
      <c r="K160" s="34"/>
      <c r="L160" s="34"/>
      <c r="M160" s="34"/>
      <c r="N160" s="34"/>
      <c r="O160" s="34"/>
      <c r="P160" s="34"/>
      <c r="Q160" s="34"/>
      <c r="R160" s="34"/>
      <c r="S160" s="214"/>
      <c r="T160" s="214"/>
      <c r="U160" s="214"/>
      <c r="V160" s="214"/>
      <c r="W160" s="214"/>
      <c r="X160" s="214"/>
      <c r="Y160" s="214"/>
      <c r="AA160" s="214"/>
      <c r="AB160" s="214"/>
      <c r="AC160" s="214"/>
      <c r="AE160" s="214"/>
      <c r="AF160" s="214"/>
      <c r="AG160" s="214"/>
      <c r="AI160" s="214"/>
      <c r="AJ160" s="214"/>
      <c r="AK160" s="214"/>
      <c r="AM160" s="214"/>
      <c r="AN160" s="214"/>
      <c r="AO160" s="214"/>
      <c r="AQ160" s="214"/>
      <c r="AR160" s="214"/>
      <c r="AS160" s="214"/>
      <c r="AU160" s="214"/>
      <c r="AV160" s="214"/>
      <c r="AW160" s="214"/>
      <c r="AY160" s="214"/>
      <c r="AZ160" s="214"/>
      <c r="BA160" s="214"/>
      <c r="BC160" s="214"/>
      <c r="BD160" s="214"/>
      <c r="BE160" s="214"/>
      <c r="BG160" s="214"/>
      <c r="BH160" s="214"/>
      <c r="BI160" s="214"/>
      <c r="BK160" s="214"/>
      <c r="BL160" s="214"/>
      <c r="BM160" s="214"/>
      <c r="BO160" s="214"/>
      <c r="BP160" s="214"/>
      <c r="BQ160" s="214"/>
      <c r="BT160" s="379"/>
      <c r="BU160" s="379"/>
      <c r="BV160" s="379"/>
      <c r="BW160" s="379"/>
      <c r="BX160" s="379"/>
      <c r="BY160" s="379"/>
      <c r="BZ160" s="379"/>
      <c r="CA160" s="379"/>
      <c r="CB160" s="379"/>
      <c r="CC160" s="379"/>
      <c r="CD160" s="379"/>
      <c r="CE160" s="379"/>
      <c r="CF160" s="379"/>
      <c r="CG160" s="379"/>
      <c r="CH160" s="34"/>
      <c r="CI160" s="34"/>
      <c r="CJ160" s="34"/>
      <c r="CK160" s="34"/>
      <c r="CL160" s="34"/>
      <c r="CM160" s="34"/>
      <c r="CN160" s="34"/>
      <c r="CO160" s="34"/>
      <c r="CP160" s="34"/>
      <c r="CQ160" s="34"/>
      <c r="CR160" s="34"/>
      <c r="CS160" s="34"/>
      <c r="CT160" s="34"/>
    </row>
    <row r="161" spans="1:98" s="246" customFormat="1" x14ac:dyDescent="0.2">
      <c r="E161" s="379"/>
      <c r="S161" s="214"/>
      <c r="T161" s="214"/>
      <c r="U161" s="214"/>
      <c r="V161" s="214"/>
      <c r="W161" s="214"/>
      <c r="X161" s="214"/>
      <c r="Y161" s="214"/>
      <c r="AA161" s="214"/>
      <c r="AB161" s="214"/>
      <c r="AC161" s="214"/>
      <c r="AE161" s="214"/>
      <c r="AF161" s="214"/>
      <c r="AG161" s="214"/>
      <c r="AI161" s="214"/>
      <c r="AJ161" s="214"/>
      <c r="AK161" s="214"/>
      <c r="AM161" s="214"/>
      <c r="AN161" s="214"/>
      <c r="AO161" s="214"/>
      <c r="AQ161" s="214"/>
      <c r="AR161" s="214"/>
      <c r="AS161" s="214"/>
      <c r="AU161" s="214"/>
      <c r="AV161" s="214"/>
      <c r="AW161" s="214"/>
      <c r="AY161" s="214"/>
      <c r="AZ161" s="214"/>
      <c r="BA161" s="214"/>
      <c r="BC161" s="214"/>
      <c r="BD161" s="214"/>
      <c r="BE161" s="214"/>
      <c r="BG161" s="214"/>
      <c r="BH161" s="214"/>
      <c r="BI161" s="214"/>
      <c r="BK161" s="214"/>
      <c r="BL161" s="214"/>
      <c r="BM161" s="214"/>
      <c r="BO161" s="214"/>
      <c r="BP161" s="214"/>
      <c r="BQ161" s="214"/>
      <c r="BT161" s="379"/>
      <c r="BU161" s="379"/>
      <c r="BV161" s="379"/>
      <c r="BW161" s="379"/>
      <c r="BX161" s="379"/>
      <c r="BY161" s="379"/>
      <c r="BZ161" s="379"/>
      <c r="CA161" s="379"/>
      <c r="CB161" s="379"/>
      <c r="CC161" s="379"/>
      <c r="CD161" s="379"/>
      <c r="CE161" s="379"/>
      <c r="CF161" s="379"/>
      <c r="CG161" s="379"/>
      <c r="CH161" s="34"/>
      <c r="CI161" s="34"/>
      <c r="CJ161" s="34"/>
      <c r="CK161" s="34"/>
      <c r="CL161" s="34"/>
      <c r="CM161" s="34"/>
      <c r="CN161" s="34"/>
      <c r="CO161" s="34"/>
      <c r="CP161" s="34"/>
      <c r="CQ161" s="34"/>
      <c r="CR161" s="34"/>
      <c r="CS161" s="34"/>
      <c r="CT161" s="34"/>
    </row>
    <row r="162" spans="1:98" s="246" customFormat="1" x14ac:dyDescent="0.2">
      <c r="A162" s="573" t="s">
        <v>4075</v>
      </c>
      <c r="B162" s="2285"/>
      <c r="C162" s="2285"/>
      <c r="D162" s="2285"/>
      <c r="E162" s="379"/>
      <c r="F162" s="905">
        <f>SUM(F163:F172)</f>
        <v>206200</v>
      </c>
      <c r="G162" s="905">
        <f t="shared" ref="G162:V162" si="795">SUM(G163:G172)</f>
        <v>0</v>
      </c>
      <c r="H162" s="905">
        <f t="shared" si="795"/>
        <v>0</v>
      </c>
      <c r="I162" s="905">
        <f t="shared" si="795"/>
        <v>0</v>
      </c>
      <c r="J162" s="905">
        <f t="shared" si="795"/>
        <v>0</v>
      </c>
      <c r="K162" s="905">
        <f t="shared" si="795"/>
        <v>0</v>
      </c>
      <c r="L162" s="905">
        <f t="shared" si="795"/>
        <v>0</v>
      </c>
      <c r="M162" s="905">
        <f t="shared" si="795"/>
        <v>0</v>
      </c>
      <c r="N162" s="905">
        <f t="shared" si="795"/>
        <v>0</v>
      </c>
      <c r="O162" s="905">
        <f t="shared" ref="O162:P162" si="796">SUM(O163:O172)</f>
        <v>0</v>
      </c>
      <c r="P162" s="905">
        <f t="shared" si="796"/>
        <v>0</v>
      </c>
      <c r="Q162" s="905">
        <f t="shared" ref="Q162:R162" si="797">SUM(Q163:Q172)</f>
        <v>0</v>
      </c>
      <c r="R162" s="905">
        <f t="shared" si="797"/>
        <v>0</v>
      </c>
      <c r="S162" s="905">
        <f t="shared" si="795"/>
        <v>0</v>
      </c>
      <c r="T162" s="905">
        <f t="shared" si="795"/>
        <v>0</v>
      </c>
      <c r="U162" s="905">
        <f t="shared" si="795"/>
        <v>0</v>
      </c>
      <c r="V162" s="905">
        <f t="shared" si="795"/>
        <v>206200</v>
      </c>
      <c r="W162" s="214"/>
      <c r="X162" s="214"/>
      <c r="Y162" s="214"/>
      <c r="AA162" s="214"/>
      <c r="AB162" s="214"/>
      <c r="AC162" s="214"/>
      <c r="AE162" s="214"/>
      <c r="AF162" s="214"/>
      <c r="AG162" s="214"/>
      <c r="AI162" s="214"/>
      <c r="AJ162" s="214"/>
      <c r="AK162" s="214"/>
      <c r="AM162" s="214"/>
      <c r="AN162" s="214"/>
      <c r="AO162" s="214"/>
      <c r="AQ162" s="214"/>
      <c r="AR162" s="214"/>
      <c r="AS162" s="214"/>
      <c r="AU162" s="214"/>
      <c r="AV162" s="214"/>
      <c r="AW162" s="214"/>
      <c r="AY162" s="214"/>
      <c r="AZ162" s="214"/>
      <c r="BA162" s="214"/>
      <c r="BC162" s="214"/>
      <c r="BD162" s="214"/>
      <c r="BE162" s="214"/>
      <c r="BG162" s="214"/>
      <c r="BH162" s="214"/>
      <c r="BI162" s="214"/>
      <c r="BK162" s="214"/>
      <c r="BL162" s="214"/>
      <c r="BM162" s="214"/>
      <c r="BO162" s="214"/>
      <c r="BP162" s="214"/>
      <c r="BQ162" s="214"/>
      <c r="BT162" s="379"/>
      <c r="BU162" s="379"/>
      <c r="BV162" s="379"/>
      <c r="BW162" s="379"/>
      <c r="BX162" s="379"/>
      <c r="BY162" s="379"/>
      <c r="BZ162" s="379"/>
      <c r="CA162" s="379"/>
      <c r="CB162" s="379"/>
      <c r="CC162" s="379"/>
      <c r="CD162" s="379"/>
      <c r="CE162" s="379"/>
      <c r="CF162" s="379"/>
      <c r="CG162" s="379"/>
      <c r="CH162" s="34"/>
      <c r="CI162" s="34"/>
      <c r="CJ162" s="34"/>
      <c r="CK162" s="34"/>
      <c r="CL162" s="34"/>
      <c r="CM162" s="34"/>
      <c r="CN162" s="34"/>
      <c r="CO162" s="34"/>
      <c r="CP162" s="34"/>
      <c r="CQ162" s="34"/>
      <c r="CR162" s="34"/>
      <c r="CS162" s="34"/>
      <c r="CT162" s="34"/>
    </row>
    <row r="163" spans="1:98" s="246" customFormat="1" x14ac:dyDescent="0.2">
      <c r="A163" s="246" t="s">
        <v>2165</v>
      </c>
      <c r="B163" s="920"/>
      <c r="C163" s="920"/>
      <c r="D163" s="920"/>
      <c r="E163" s="379">
        <v>0</v>
      </c>
      <c r="F163" s="608"/>
      <c r="G163" s="668"/>
      <c r="H163" s="608"/>
      <c r="I163" s="668"/>
      <c r="J163" s="668"/>
      <c r="K163" s="608"/>
      <c r="L163" s="668"/>
      <c r="M163" s="669"/>
      <c r="N163" s="670"/>
      <c r="O163" s="670"/>
      <c r="P163" s="670"/>
      <c r="Q163" s="670"/>
      <c r="R163" s="670"/>
      <c r="S163" s="438"/>
      <c r="T163" s="434"/>
      <c r="U163" s="434"/>
      <c r="V163" s="437">
        <v>0</v>
      </c>
      <c r="W163" s="214"/>
      <c r="X163" s="214"/>
      <c r="Y163" s="214"/>
      <c r="AA163" s="214"/>
      <c r="AB163" s="214"/>
      <c r="AC163" s="214"/>
      <c r="AE163" s="214"/>
      <c r="AF163" s="214"/>
      <c r="AG163" s="214"/>
      <c r="AI163" s="214"/>
      <c r="AJ163" s="214"/>
      <c r="AK163" s="214"/>
      <c r="AM163" s="214"/>
      <c r="AN163" s="214"/>
      <c r="AO163" s="214"/>
      <c r="AQ163" s="214"/>
      <c r="AR163" s="214"/>
      <c r="AS163" s="214"/>
      <c r="AU163" s="214"/>
      <c r="AV163" s="214"/>
      <c r="AW163" s="214"/>
      <c r="AY163" s="214"/>
      <c r="AZ163" s="214"/>
      <c r="BA163" s="214"/>
      <c r="BC163" s="214"/>
      <c r="BD163" s="214"/>
      <c r="BE163" s="214"/>
      <c r="BG163" s="214"/>
      <c r="BH163" s="214"/>
      <c r="BI163" s="214"/>
      <c r="BK163" s="214"/>
      <c r="BL163" s="214"/>
      <c r="BM163" s="214"/>
      <c r="BO163" s="214"/>
      <c r="BP163" s="214"/>
      <c r="BQ163" s="214"/>
      <c r="BT163" s="379"/>
      <c r="BU163" s="379"/>
      <c r="BV163" s="379"/>
      <c r="BW163" s="379"/>
      <c r="BX163" s="379"/>
      <c r="BY163" s="379"/>
      <c r="BZ163" s="379"/>
      <c r="CA163" s="379"/>
      <c r="CB163" s="379"/>
      <c r="CC163" s="379"/>
      <c r="CD163" s="379"/>
      <c r="CE163" s="379"/>
      <c r="CF163" s="379"/>
      <c r="CG163" s="379"/>
      <c r="CH163" s="34"/>
      <c r="CI163" s="34"/>
      <c r="CJ163" s="34"/>
      <c r="CK163" s="34"/>
      <c r="CL163" s="34"/>
      <c r="CM163" s="34"/>
      <c r="CN163" s="34"/>
      <c r="CO163" s="34"/>
      <c r="CP163" s="34"/>
      <c r="CQ163" s="34"/>
      <c r="CR163" s="34"/>
      <c r="CS163" s="34"/>
      <c r="CT163" s="34"/>
    </row>
    <row r="164" spans="1:98" s="246" customFormat="1" x14ac:dyDescent="0.2">
      <c r="A164" s="673" t="s">
        <v>3782</v>
      </c>
      <c r="B164" s="777"/>
      <c r="C164" s="777"/>
      <c r="D164" s="777"/>
      <c r="E164" s="685">
        <v>0</v>
      </c>
      <c r="F164" s="608">
        <v>206200</v>
      </c>
      <c r="G164" s="668"/>
      <c r="H164" s="608"/>
      <c r="I164" s="668"/>
      <c r="J164" s="668"/>
      <c r="K164" s="608"/>
      <c r="L164" s="668"/>
      <c r="M164" s="669"/>
      <c r="N164" s="670"/>
      <c r="O164" s="670"/>
      <c r="P164" s="670"/>
      <c r="Q164" s="670"/>
      <c r="R164" s="670"/>
      <c r="S164" s="438"/>
      <c r="T164" s="434"/>
      <c r="U164" s="434"/>
      <c r="V164" s="437">
        <f t="shared" ref="V164:V166" si="798">$F164-S164-T164-U164</f>
        <v>206200</v>
      </c>
      <c r="W164" s="214"/>
      <c r="X164" s="214"/>
      <c r="Y164" s="214"/>
      <c r="AA164" s="214"/>
      <c r="AB164" s="214"/>
      <c r="AC164" s="214"/>
      <c r="AE164" s="214"/>
      <c r="AF164" s="214"/>
      <c r="AG164" s="214"/>
      <c r="AI164" s="214"/>
      <c r="AJ164" s="214"/>
      <c r="AK164" s="214"/>
      <c r="AM164" s="214"/>
      <c r="AN164" s="214"/>
      <c r="AO164" s="214"/>
      <c r="AQ164" s="214"/>
      <c r="AR164" s="214"/>
      <c r="AS164" s="214"/>
      <c r="AU164" s="214"/>
      <c r="AV164" s="214"/>
      <c r="AW164" s="214"/>
      <c r="AY164" s="214"/>
      <c r="AZ164" s="214"/>
      <c r="BA164" s="214"/>
      <c r="BC164" s="214"/>
      <c r="BD164" s="214"/>
      <c r="BE164" s="214"/>
      <c r="BG164" s="214"/>
      <c r="BH164" s="214"/>
      <c r="BI164" s="214"/>
      <c r="BK164" s="214"/>
      <c r="BL164" s="214"/>
      <c r="BM164" s="214"/>
      <c r="BO164" s="214"/>
      <c r="BP164" s="214"/>
      <c r="BQ164" s="214"/>
      <c r="BT164" s="379"/>
      <c r="BU164" s="379"/>
      <c r="BV164" s="379"/>
      <c r="BW164" s="379"/>
      <c r="BX164" s="379"/>
      <c r="BY164" s="379"/>
      <c r="BZ164" s="379"/>
      <c r="CA164" s="379"/>
      <c r="CB164" s="379"/>
      <c r="CC164" s="379"/>
      <c r="CD164" s="379"/>
      <c r="CE164" s="379"/>
      <c r="CF164" s="379"/>
      <c r="CG164" s="379"/>
      <c r="CH164" s="34"/>
      <c r="CI164" s="34"/>
      <c r="CJ164" s="34"/>
      <c r="CK164" s="34"/>
      <c r="CL164" s="34"/>
      <c r="CM164" s="34"/>
      <c r="CN164" s="34"/>
      <c r="CO164" s="34"/>
      <c r="CP164" s="34"/>
      <c r="CQ164" s="34"/>
      <c r="CR164" s="34"/>
      <c r="CS164" s="34"/>
      <c r="CT164" s="34"/>
    </row>
    <row r="165" spans="1:98" s="246" customFormat="1" x14ac:dyDescent="0.2">
      <c r="A165" s="673" t="s">
        <v>1292</v>
      </c>
      <c r="B165" s="777"/>
      <c r="C165" s="777"/>
      <c r="D165" s="777"/>
      <c r="E165" s="685">
        <v>0</v>
      </c>
      <c r="F165" s="608"/>
      <c r="G165" s="608"/>
      <c r="H165" s="608"/>
      <c r="I165" s="668"/>
      <c r="J165" s="608"/>
      <c r="K165" s="608"/>
      <c r="L165" s="608"/>
      <c r="M165" s="608"/>
      <c r="N165" s="609"/>
      <c r="O165" s="609"/>
      <c r="P165" s="609"/>
      <c r="Q165" s="609"/>
      <c r="R165" s="609"/>
      <c r="S165" s="438"/>
      <c r="T165" s="434"/>
      <c r="U165" s="434"/>
      <c r="V165" s="437">
        <f t="shared" si="798"/>
        <v>0</v>
      </c>
      <c r="W165" s="214"/>
      <c r="X165" s="214"/>
      <c r="Y165" s="214"/>
      <c r="AA165" s="214"/>
      <c r="AB165" s="214"/>
      <c r="AC165" s="214"/>
      <c r="AE165" s="214"/>
      <c r="AF165" s="214"/>
      <c r="AG165" s="214"/>
      <c r="AI165" s="214"/>
      <c r="AJ165" s="214"/>
      <c r="AK165" s="214"/>
      <c r="AM165" s="214"/>
      <c r="AN165" s="214"/>
      <c r="AO165" s="214"/>
      <c r="AQ165" s="214"/>
      <c r="AR165" s="214"/>
      <c r="AS165" s="214"/>
      <c r="AU165" s="214"/>
      <c r="AV165" s="214"/>
      <c r="AW165" s="214"/>
      <c r="AY165" s="214"/>
      <c r="AZ165" s="214"/>
      <c r="BA165" s="214"/>
      <c r="BC165" s="214"/>
      <c r="BD165" s="214"/>
      <c r="BE165" s="214"/>
      <c r="BG165" s="214"/>
      <c r="BH165" s="214"/>
      <c r="BI165" s="214"/>
      <c r="BK165" s="214"/>
      <c r="BL165" s="214"/>
      <c r="BM165" s="214"/>
      <c r="BO165" s="214"/>
      <c r="BP165" s="214"/>
      <c r="BQ165" s="214"/>
      <c r="BT165" s="379"/>
      <c r="BU165" s="379"/>
      <c r="BV165" s="379"/>
      <c r="BW165" s="379"/>
      <c r="BX165" s="379"/>
      <c r="BY165" s="379"/>
      <c r="BZ165" s="379"/>
      <c r="CA165" s="379"/>
      <c r="CB165" s="379"/>
      <c r="CC165" s="379"/>
      <c r="CD165" s="379"/>
      <c r="CE165" s="379"/>
      <c r="CF165" s="379"/>
      <c r="CG165" s="379"/>
      <c r="CH165" s="34"/>
      <c r="CI165" s="34"/>
      <c r="CJ165" s="34"/>
      <c r="CK165" s="34"/>
      <c r="CL165" s="34"/>
      <c r="CM165" s="34"/>
      <c r="CN165" s="34"/>
      <c r="CO165" s="34"/>
      <c r="CP165" s="34"/>
      <c r="CQ165" s="34"/>
      <c r="CR165" s="34"/>
      <c r="CS165" s="34"/>
      <c r="CT165" s="34"/>
    </row>
    <row r="166" spans="1:98" s="246" customFormat="1" x14ac:dyDescent="0.2">
      <c r="A166" s="673" t="s">
        <v>1396</v>
      </c>
      <c r="B166" s="777"/>
      <c r="C166" s="777"/>
      <c r="D166" s="777"/>
      <c r="E166" s="685">
        <v>0</v>
      </c>
      <c r="F166" s="608"/>
      <c r="G166" s="608"/>
      <c r="H166" s="608"/>
      <c r="I166" s="668"/>
      <c r="J166" s="608"/>
      <c r="K166" s="608"/>
      <c r="L166" s="608"/>
      <c r="M166" s="608"/>
      <c r="N166" s="609"/>
      <c r="O166" s="609"/>
      <c r="P166" s="609"/>
      <c r="Q166" s="609"/>
      <c r="R166" s="609"/>
      <c r="S166" s="438"/>
      <c r="T166" s="434"/>
      <c r="U166" s="434"/>
      <c r="V166" s="437">
        <f t="shared" si="798"/>
        <v>0</v>
      </c>
      <c r="W166" s="214"/>
      <c r="X166" s="214"/>
      <c r="Y166" s="214"/>
      <c r="AA166" s="214"/>
      <c r="AB166" s="214"/>
      <c r="AC166" s="214"/>
      <c r="AE166" s="214"/>
      <c r="AF166" s="214"/>
      <c r="AG166" s="214"/>
      <c r="AI166" s="214"/>
      <c r="AJ166" s="214"/>
      <c r="AK166" s="214"/>
      <c r="AM166" s="214"/>
      <c r="AN166" s="214"/>
      <c r="AO166" s="214"/>
      <c r="AQ166" s="214"/>
      <c r="AR166" s="214"/>
      <c r="AS166" s="214"/>
      <c r="AU166" s="214"/>
      <c r="AV166" s="214"/>
      <c r="AW166" s="214"/>
      <c r="AY166" s="214"/>
      <c r="AZ166" s="214"/>
      <c r="BA166" s="214"/>
      <c r="BC166" s="214"/>
      <c r="BD166" s="214"/>
      <c r="BE166" s="214"/>
      <c r="BG166" s="214"/>
      <c r="BH166" s="214"/>
      <c r="BI166" s="214"/>
      <c r="BK166" s="214"/>
      <c r="BL166" s="214"/>
      <c r="BM166" s="214"/>
      <c r="BO166" s="214"/>
      <c r="BP166" s="214"/>
      <c r="BQ166" s="214"/>
      <c r="BT166" s="379"/>
      <c r="BU166" s="379"/>
      <c r="BV166" s="379"/>
      <c r="BW166" s="379"/>
      <c r="BX166" s="379"/>
      <c r="BY166" s="379"/>
      <c r="BZ166" s="379"/>
      <c r="CA166" s="379"/>
      <c r="CB166" s="379"/>
      <c r="CC166" s="379"/>
      <c r="CD166" s="379"/>
      <c r="CE166" s="379"/>
      <c r="CF166" s="379"/>
      <c r="CG166" s="379"/>
      <c r="CH166" s="34"/>
      <c r="CI166" s="34"/>
      <c r="CJ166" s="34"/>
      <c r="CK166" s="34"/>
      <c r="CL166" s="34"/>
      <c r="CM166" s="34"/>
      <c r="CN166" s="34"/>
      <c r="CO166" s="34"/>
      <c r="CP166" s="34"/>
      <c r="CQ166" s="34"/>
      <c r="CR166" s="34"/>
      <c r="CS166" s="34"/>
      <c r="CT166" s="34"/>
    </row>
    <row r="167" spans="1:98" s="246" customFormat="1" x14ac:dyDescent="0.2">
      <c r="A167" s="673" t="s">
        <v>1702</v>
      </c>
      <c r="B167" s="777"/>
      <c r="C167" s="777"/>
      <c r="D167" s="777"/>
      <c r="E167" s="685">
        <v>0</v>
      </c>
      <c r="F167" s="608"/>
      <c r="G167" s="608"/>
      <c r="H167" s="608"/>
      <c r="I167" s="668"/>
      <c r="J167" s="608"/>
      <c r="K167" s="608"/>
      <c r="L167" s="608"/>
      <c r="M167" s="608"/>
      <c r="N167" s="609"/>
      <c r="O167" s="609"/>
      <c r="P167" s="609"/>
      <c r="Q167" s="609"/>
      <c r="R167" s="609"/>
      <c r="S167" s="214"/>
      <c r="T167" s="214"/>
      <c r="U167" s="214"/>
      <c r="V167" s="214"/>
      <c r="W167" s="214"/>
      <c r="X167" s="214"/>
      <c r="Y167" s="214"/>
      <c r="AA167" s="214"/>
      <c r="AB167" s="214"/>
      <c r="AC167" s="214"/>
      <c r="AE167" s="214"/>
      <c r="AF167" s="214"/>
      <c r="AG167" s="214"/>
      <c r="AI167" s="214"/>
      <c r="AJ167" s="214"/>
      <c r="AK167" s="214"/>
      <c r="AM167" s="214"/>
      <c r="AN167" s="214"/>
      <c r="AO167" s="214"/>
      <c r="AQ167" s="214"/>
      <c r="AR167" s="214"/>
      <c r="AS167" s="214"/>
      <c r="AU167" s="214"/>
      <c r="AV167" s="214"/>
      <c r="AW167" s="214"/>
      <c r="AY167" s="214"/>
      <c r="AZ167" s="214"/>
      <c r="BA167" s="214"/>
      <c r="BC167" s="214"/>
      <c r="BD167" s="214"/>
      <c r="BE167" s="214"/>
      <c r="BG167" s="214"/>
      <c r="BH167" s="214"/>
      <c r="BI167" s="214"/>
      <c r="BK167" s="214"/>
      <c r="BL167" s="214"/>
      <c r="BM167" s="214"/>
      <c r="BO167" s="214"/>
      <c r="BP167" s="214"/>
      <c r="BQ167" s="214"/>
      <c r="BT167" s="379"/>
      <c r="BU167" s="379"/>
      <c r="BV167" s="379"/>
      <c r="BW167" s="379"/>
      <c r="BX167" s="379"/>
      <c r="BY167" s="379"/>
      <c r="BZ167" s="379"/>
      <c r="CA167" s="379"/>
      <c r="CB167" s="379"/>
      <c r="CC167" s="379"/>
      <c r="CD167" s="379"/>
      <c r="CE167" s="379"/>
      <c r="CF167" s="379"/>
      <c r="CG167" s="379"/>
      <c r="CH167" s="34"/>
      <c r="CI167" s="34"/>
      <c r="CJ167" s="34"/>
      <c r="CK167" s="34"/>
      <c r="CL167" s="34"/>
      <c r="CM167" s="34"/>
      <c r="CN167" s="34"/>
      <c r="CO167" s="34"/>
      <c r="CP167" s="34"/>
      <c r="CQ167" s="34"/>
      <c r="CR167" s="34"/>
      <c r="CS167" s="34"/>
      <c r="CT167" s="34"/>
    </row>
    <row r="168" spans="1:98" s="246" customFormat="1" x14ac:dyDescent="0.2">
      <c r="A168" s="673" t="s">
        <v>3683</v>
      </c>
      <c r="B168" s="777"/>
      <c r="C168" s="777"/>
      <c r="D168" s="777"/>
      <c r="E168" s="685">
        <v>0.6</v>
      </c>
      <c r="F168" s="608"/>
      <c r="G168" s="668"/>
      <c r="H168" s="608"/>
      <c r="I168" s="668"/>
      <c r="J168" s="668"/>
      <c r="K168" s="668"/>
      <c r="L168" s="668"/>
      <c r="M168" s="669"/>
      <c r="N168" s="670"/>
      <c r="O168" s="670"/>
      <c r="P168" s="670"/>
      <c r="Q168" s="670"/>
      <c r="R168" s="670"/>
      <c r="S168" s="214"/>
      <c r="T168" s="214"/>
      <c r="U168" s="214"/>
      <c r="V168" s="214"/>
      <c r="W168" s="214"/>
      <c r="X168" s="214"/>
      <c r="Y168" s="214"/>
      <c r="AA168" s="214"/>
      <c r="AB168" s="214"/>
      <c r="AC168" s="214"/>
      <c r="AE168" s="214"/>
      <c r="AF168" s="214"/>
      <c r="AG168" s="214"/>
      <c r="AI168" s="214"/>
      <c r="AJ168" s="214"/>
      <c r="AK168" s="214"/>
      <c r="AM168" s="214"/>
      <c r="AN168" s="214"/>
      <c r="AO168" s="214"/>
      <c r="AQ168" s="214"/>
      <c r="AR168" s="214"/>
      <c r="AS168" s="214"/>
      <c r="AU168" s="214"/>
      <c r="AV168" s="214"/>
      <c r="AW168" s="214"/>
      <c r="AY168" s="214"/>
      <c r="AZ168" s="214"/>
      <c r="BA168" s="214"/>
      <c r="BC168" s="214"/>
      <c r="BD168" s="214"/>
      <c r="BE168" s="214"/>
      <c r="BG168" s="214"/>
      <c r="BH168" s="214"/>
      <c r="BI168" s="214"/>
      <c r="BK168" s="214"/>
      <c r="BL168" s="214"/>
      <c r="BM168" s="214"/>
      <c r="BO168" s="214"/>
      <c r="BP168" s="214"/>
      <c r="BQ168" s="214"/>
      <c r="BT168" s="379"/>
      <c r="BU168" s="379"/>
      <c r="BV168" s="379"/>
      <c r="BW168" s="379"/>
      <c r="BX168" s="379"/>
      <c r="BY168" s="379"/>
      <c r="BZ168" s="379"/>
      <c r="CA168" s="379"/>
      <c r="CB168" s="379"/>
      <c r="CC168" s="379"/>
      <c r="CD168" s="379"/>
      <c r="CE168" s="379"/>
      <c r="CF168" s="379"/>
      <c r="CG168" s="379"/>
      <c r="CH168" s="34"/>
      <c r="CI168" s="34"/>
      <c r="CJ168" s="34"/>
      <c r="CK168" s="34"/>
      <c r="CL168" s="34"/>
      <c r="CM168" s="34"/>
      <c r="CN168" s="34"/>
      <c r="CO168" s="34"/>
      <c r="CP168" s="34"/>
      <c r="CQ168" s="34"/>
      <c r="CR168" s="34"/>
      <c r="CS168" s="34"/>
      <c r="CT168" s="34"/>
    </row>
    <row r="169" spans="1:98" s="246" customFormat="1" x14ac:dyDescent="0.2">
      <c r="A169" s="673" t="s">
        <v>2996</v>
      </c>
      <c r="B169" s="777"/>
      <c r="C169" s="777"/>
      <c r="D169" s="777"/>
      <c r="E169" s="685"/>
      <c r="F169" s="608"/>
      <c r="G169" s="608"/>
      <c r="H169" s="608"/>
      <c r="I169" s="668"/>
      <c r="J169" s="608"/>
      <c r="K169" s="608"/>
      <c r="L169" s="608"/>
      <c r="M169" s="608"/>
      <c r="N169" s="609"/>
      <c r="O169" s="609"/>
      <c r="P169" s="609"/>
      <c r="Q169" s="609"/>
      <c r="R169" s="609"/>
      <c r="S169" s="214"/>
      <c r="T169" s="214"/>
      <c r="U169" s="214"/>
      <c r="V169" s="214"/>
      <c r="W169" s="214"/>
      <c r="X169" s="214"/>
      <c r="Y169" s="214"/>
      <c r="AA169" s="214"/>
      <c r="AB169" s="214"/>
      <c r="AC169" s="214"/>
      <c r="AE169" s="214"/>
      <c r="AF169" s="214"/>
      <c r="AG169" s="214"/>
      <c r="AI169" s="214"/>
      <c r="AJ169" s="214"/>
      <c r="AK169" s="214"/>
      <c r="AM169" s="214"/>
      <c r="AN169" s="214"/>
      <c r="AO169" s="214"/>
      <c r="AQ169" s="214"/>
      <c r="AR169" s="214"/>
      <c r="AS169" s="214"/>
      <c r="AU169" s="214"/>
      <c r="AV169" s="214"/>
      <c r="AW169" s="214"/>
      <c r="AY169" s="214"/>
      <c r="AZ169" s="214"/>
      <c r="BA169" s="214"/>
      <c r="BC169" s="214"/>
      <c r="BD169" s="214"/>
      <c r="BE169" s="214"/>
      <c r="BG169" s="214"/>
      <c r="BH169" s="214"/>
      <c r="BI169" s="214"/>
      <c r="BK169" s="214"/>
      <c r="BL169" s="214"/>
      <c r="BM169" s="214"/>
      <c r="BO169" s="214"/>
      <c r="BP169" s="214"/>
      <c r="BQ169" s="214"/>
      <c r="BT169" s="379"/>
      <c r="BU169" s="379"/>
      <c r="BV169" s="379"/>
      <c r="BW169" s="379"/>
      <c r="BX169" s="379"/>
      <c r="BY169" s="379"/>
      <c r="BZ169" s="379"/>
      <c r="CA169" s="379"/>
      <c r="CB169" s="379"/>
      <c r="CC169" s="379"/>
      <c r="CD169" s="379"/>
      <c r="CE169" s="379"/>
      <c r="CF169" s="379"/>
      <c r="CG169" s="379"/>
      <c r="CH169" s="34"/>
      <c r="CI169" s="34"/>
      <c r="CJ169" s="34"/>
      <c r="CK169" s="34"/>
      <c r="CL169" s="34"/>
      <c r="CM169" s="34"/>
      <c r="CN169" s="34"/>
      <c r="CO169" s="34"/>
      <c r="CP169" s="34"/>
      <c r="CQ169" s="34"/>
      <c r="CR169" s="34"/>
      <c r="CS169" s="34"/>
      <c r="CT169" s="34"/>
    </row>
    <row r="170" spans="1:98" s="246" customFormat="1" x14ac:dyDescent="0.2">
      <c r="A170" s="673" t="s">
        <v>4100</v>
      </c>
      <c r="B170" s="777"/>
      <c r="C170" s="777"/>
      <c r="D170" s="777"/>
      <c r="E170" s="685"/>
      <c r="F170" s="608"/>
      <c r="G170" s="608"/>
      <c r="H170" s="608"/>
      <c r="I170" s="668"/>
      <c r="J170" s="668"/>
      <c r="K170" s="668"/>
      <c r="L170" s="668"/>
      <c r="M170" s="669"/>
      <c r="N170" s="670"/>
      <c r="O170" s="670"/>
      <c r="P170" s="670"/>
      <c r="Q170" s="670"/>
      <c r="R170" s="670"/>
      <c r="S170" s="214"/>
      <c r="T170" s="214"/>
      <c r="U170" s="214"/>
      <c r="V170" s="214"/>
      <c r="W170" s="214"/>
      <c r="X170" s="214"/>
      <c r="Y170" s="214"/>
      <c r="AA170" s="214"/>
      <c r="AB170" s="214"/>
      <c r="AC170" s="214"/>
      <c r="AE170" s="214"/>
      <c r="AF170" s="214"/>
      <c r="AG170" s="214"/>
      <c r="AI170" s="214"/>
      <c r="AJ170" s="214"/>
      <c r="AK170" s="214"/>
      <c r="AM170" s="214"/>
      <c r="AN170" s="214"/>
      <c r="AO170" s="214"/>
      <c r="AQ170" s="214"/>
      <c r="AR170" s="214"/>
      <c r="AS170" s="214"/>
      <c r="AU170" s="214"/>
      <c r="AV170" s="214"/>
      <c r="AW170" s="214"/>
      <c r="AY170" s="214"/>
      <c r="AZ170" s="214"/>
      <c r="BA170" s="214"/>
      <c r="BC170" s="214"/>
      <c r="BD170" s="214"/>
      <c r="BE170" s="214"/>
      <c r="BG170" s="214"/>
      <c r="BH170" s="214"/>
      <c r="BI170" s="214"/>
      <c r="BK170" s="214"/>
      <c r="BL170" s="214"/>
      <c r="BM170" s="214"/>
      <c r="BO170" s="214"/>
      <c r="BP170" s="214"/>
      <c r="BQ170" s="214"/>
      <c r="BT170" s="379"/>
      <c r="BU170" s="379"/>
      <c r="BV170" s="379"/>
      <c r="BW170" s="379"/>
      <c r="BX170" s="379"/>
      <c r="BY170" s="379"/>
      <c r="BZ170" s="379"/>
      <c r="CA170" s="379"/>
      <c r="CB170" s="379"/>
      <c r="CC170" s="379"/>
      <c r="CD170" s="379"/>
      <c r="CE170" s="379"/>
      <c r="CF170" s="379"/>
      <c r="CG170" s="379"/>
      <c r="CH170" s="34"/>
      <c r="CI170" s="34"/>
      <c r="CJ170" s="34"/>
      <c r="CK170" s="34"/>
      <c r="CL170" s="34"/>
      <c r="CM170" s="34"/>
      <c r="CN170" s="34"/>
      <c r="CO170" s="34"/>
      <c r="CP170" s="34"/>
      <c r="CQ170" s="34"/>
      <c r="CR170" s="34"/>
      <c r="CS170" s="34"/>
      <c r="CT170" s="34"/>
    </row>
    <row r="171" spans="1:98" s="246" customFormat="1" x14ac:dyDescent="0.2">
      <c r="A171" s="673" t="s">
        <v>4101</v>
      </c>
      <c r="B171" s="777"/>
      <c r="C171" s="777"/>
      <c r="D171" s="777"/>
      <c r="E171" s="685"/>
      <c r="F171" s="608"/>
      <c r="G171" s="608"/>
      <c r="H171" s="608"/>
      <c r="I171" s="668"/>
      <c r="J171" s="668"/>
      <c r="K171" s="668"/>
      <c r="L171" s="668"/>
      <c r="M171" s="669"/>
      <c r="N171" s="670"/>
      <c r="O171" s="670"/>
      <c r="P171" s="670"/>
      <c r="Q171" s="670"/>
      <c r="R171" s="670"/>
      <c r="S171" s="214"/>
      <c r="T171" s="214"/>
      <c r="U171" s="214"/>
      <c r="V171" s="214"/>
      <c r="W171" s="214"/>
      <c r="X171" s="214"/>
      <c r="Y171" s="214"/>
      <c r="AA171" s="214"/>
      <c r="AB171" s="214"/>
      <c r="AC171" s="214"/>
      <c r="AE171" s="214"/>
      <c r="AF171" s="214"/>
      <c r="AG171" s="214"/>
      <c r="AI171" s="214"/>
      <c r="AJ171" s="214"/>
      <c r="AK171" s="214"/>
      <c r="AM171" s="214"/>
      <c r="AN171" s="214"/>
      <c r="AO171" s="214"/>
      <c r="AQ171" s="214"/>
      <c r="AR171" s="214"/>
      <c r="AS171" s="214"/>
      <c r="AU171" s="214"/>
      <c r="AV171" s="214"/>
      <c r="AW171" s="214"/>
      <c r="AY171" s="214"/>
      <c r="AZ171" s="214"/>
      <c r="BA171" s="214"/>
      <c r="BC171" s="214"/>
      <c r="BD171" s="214"/>
      <c r="BE171" s="214"/>
      <c r="BG171" s="214"/>
      <c r="BH171" s="214"/>
      <c r="BI171" s="214"/>
      <c r="BK171" s="214"/>
      <c r="BL171" s="214"/>
      <c r="BM171" s="214"/>
      <c r="BO171" s="214"/>
      <c r="BP171" s="214"/>
      <c r="BQ171" s="214"/>
      <c r="BT171" s="379"/>
      <c r="BU171" s="379"/>
      <c r="BV171" s="379"/>
      <c r="BW171" s="379"/>
      <c r="BX171" s="379"/>
      <c r="BY171" s="379"/>
      <c r="BZ171" s="379"/>
      <c r="CA171" s="379"/>
      <c r="CB171" s="379"/>
      <c r="CC171" s="379"/>
      <c r="CD171" s="379"/>
      <c r="CE171" s="379"/>
      <c r="CF171" s="379"/>
      <c r="CG171" s="379"/>
      <c r="CH171" s="34"/>
      <c r="CI171" s="34"/>
      <c r="CJ171" s="34"/>
      <c r="CK171" s="34"/>
      <c r="CL171" s="34"/>
      <c r="CM171" s="34"/>
      <c r="CN171" s="34"/>
      <c r="CO171" s="34"/>
      <c r="CP171" s="34"/>
      <c r="CQ171" s="34"/>
      <c r="CR171" s="34"/>
      <c r="CS171" s="34"/>
      <c r="CT171" s="34"/>
    </row>
    <row r="172" spans="1:98" s="246" customFormat="1" x14ac:dyDescent="0.2">
      <c r="A172" s="673" t="s">
        <v>4102</v>
      </c>
      <c r="B172" s="777"/>
      <c r="C172" s="777"/>
      <c r="D172" s="777"/>
      <c r="E172" s="685"/>
      <c r="F172" s="608"/>
      <c r="G172" s="608"/>
      <c r="H172" s="608"/>
      <c r="I172" s="668"/>
      <c r="J172" s="668"/>
      <c r="K172" s="668"/>
      <c r="L172" s="668"/>
      <c r="M172" s="669"/>
      <c r="N172" s="670"/>
      <c r="O172" s="670"/>
      <c r="P172" s="670"/>
      <c r="Q172" s="670"/>
      <c r="R172" s="670"/>
      <c r="S172" s="214"/>
      <c r="T172" s="214"/>
      <c r="U172" s="214"/>
      <c r="V172" s="214"/>
      <c r="W172" s="214"/>
      <c r="X172" s="214"/>
      <c r="Y172" s="214"/>
      <c r="AA172" s="214"/>
      <c r="AB172" s="214"/>
      <c r="AC172" s="214"/>
      <c r="AE172" s="214"/>
      <c r="AF172" s="214"/>
      <c r="AG172" s="214"/>
      <c r="AI172" s="214"/>
      <c r="AJ172" s="214"/>
      <c r="AK172" s="214"/>
      <c r="AM172" s="214"/>
      <c r="AN172" s="214"/>
      <c r="AO172" s="214"/>
      <c r="AQ172" s="214"/>
      <c r="AR172" s="214"/>
      <c r="AS172" s="214"/>
      <c r="AU172" s="214"/>
      <c r="AV172" s="214"/>
      <c r="AW172" s="214"/>
      <c r="AY172" s="214"/>
      <c r="AZ172" s="214"/>
      <c r="BA172" s="214"/>
      <c r="BC172" s="214"/>
      <c r="BD172" s="214"/>
      <c r="BE172" s="214"/>
      <c r="BG172" s="214"/>
      <c r="BH172" s="214"/>
      <c r="BI172" s="214"/>
      <c r="BK172" s="214"/>
      <c r="BL172" s="214"/>
      <c r="BM172" s="214"/>
      <c r="BO172" s="214"/>
      <c r="BP172" s="214"/>
      <c r="BQ172" s="214"/>
      <c r="BT172" s="379"/>
      <c r="BU172" s="379"/>
      <c r="BV172" s="379"/>
      <c r="BW172" s="379"/>
      <c r="BX172" s="379"/>
      <c r="BY172" s="379"/>
      <c r="BZ172" s="379"/>
      <c r="CA172" s="379"/>
      <c r="CB172" s="379"/>
      <c r="CC172" s="379"/>
      <c r="CD172" s="379"/>
      <c r="CE172" s="379"/>
      <c r="CF172" s="379"/>
      <c r="CG172" s="379"/>
      <c r="CH172" s="34"/>
      <c r="CI172" s="34"/>
      <c r="CJ172" s="34"/>
      <c r="CK172" s="34"/>
      <c r="CL172" s="34"/>
      <c r="CM172" s="34"/>
      <c r="CN172" s="34"/>
      <c r="CO172" s="34"/>
      <c r="CP172" s="34"/>
      <c r="CQ172" s="34"/>
      <c r="CR172" s="34"/>
      <c r="CS172" s="34"/>
      <c r="CT172" s="34"/>
    </row>
    <row r="173" spans="1:98" s="246" customFormat="1" x14ac:dyDescent="0.2">
      <c r="E173" s="379"/>
      <c r="S173" s="214"/>
      <c r="T173" s="214"/>
      <c r="U173" s="214"/>
      <c r="V173" s="214"/>
      <c r="W173" s="214"/>
      <c r="X173" s="214"/>
      <c r="Y173" s="214"/>
      <c r="AA173" s="214"/>
      <c r="AB173" s="214"/>
      <c r="AC173" s="214"/>
      <c r="AE173" s="214"/>
      <c r="AF173" s="214"/>
      <c r="AG173" s="214"/>
      <c r="AI173" s="214"/>
      <c r="AJ173" s="214"/>
      <c r="AK173" s="214"/>
      <c r="AM173" s="214"/>
      <c r="AN173" s="214"/>
      <c r="AO173" s="214"/>
      <c r="AQ173" s="214"/>
      <c r="AR173" s="214"/>
      <c r="AS173" s="214"/>
      <c r="AU173" s="214"/>
      <c r="AV173" s="214"/>
      <c r="AW173" s="214"/>
      <c r="AY173" s="214"/>
      <c r="AZ173" s="214"/>
      <c r="BA173" s="214"/>
      <c r="BC173" s="214"/>
      <c r="BD173" s="214"/>
      <c r="BE173" s="214"/>
      <c r="BG173" s="214"/>
      <c r="BH173" s="214"/>
      <c r="BI173" s="214"/>
      <c r="BK173" s="214"/>
      <c r="BL173" s="214"/>
      <c r="BM173" s="214"/>
      <c r="BO173" s="214"/>
      <c r="BP173" s="214"/>
      <c r="BQ173" s="214"/>
      <c r="BT173" s="379"/>
      <c r="BU173" s="379"/>
      <c r="BV173" s="379"/>
      <c r="BW173" s="379"/>
      <c r="BX173" s="379"/>
      <c r="BY173" s="379"/>
      <c r="BZ173" s="379"/>
      <c r="CA173" s="379"/>
      <c r="CB173" s="379"/>
      <c r="CC173" s="379"/>
      <c r="CD173" s="379"/>
      <c r="CE173" s="379"/>
      <c r="CF173" s="379"/>
      <c r="CG173" s="379"/>
      <c r="CH173" s="34"/>
      <c r="CI173" s="34"/>
      <c r="CJ173" s="34"/>
      <c r="CK173" s="34"/>
      <c r="CL173" s="34"/>
      <c r="CM173" s="34"/>
      <c r="CN173" s="34"/>
      <c r="CO173" s="34"/>
      <c r="CP173" s="34"/>
      <c r="CQ173" s="34"/>
      <c r="CR173" s="34"/>
      <c r="CS173" s="34"/>
      <c r="CT173" s="34"/>
    </row>
    <row r="174" spans="1:98" s="246" customFormat="1" x14ac:dyDescent="0.2">
      <c r="B174" s="573"/>
      <c r="C174" s="573"/>
      <c r="D174" s="573"/>
      <c r="E174" s="901"/>
      <c r="F174" s="573"/>
      <c r="G174" s="573"/>
      <c r="H174" s="573"/>
      <c r="I174" s="573"/>
      <c r="J174" s="573"/>
      <c r="K174" s="573"/>
      <c r="L174" s="573"/>
      <c r="M174" s="573"/>
      <c r="N174" s="573"/>
      <c r="O174" s="573"/>
      <c r="P174" s="573"/>
      <c r="Q174" s="573"/>
      <c r="R174" s="573"/>
      <c r="S174" s="214"/>
      <c r="T174" s="214"/>
      <c r="U174" s="214"/>
      <c r="V174" s="214"/>
      <c r="W174" s="214"/>
      <c r="X174" s="214"/>
      <c r="Y174" s="214"/>
      <c r="AA174" s="214"/>
      <c r="AB174" s="214"/>
      <c r="AC174" s="214"/>
      <c r="AE174" s="214"/>
      <c r="AF174" s="214"/>
      <c r="AG174" s="214"/>
      <c r="AI174" s="214"/>
      <c r="AJ174" s="214"/>
      <c r="AK174" s="214"/>
      <c r="AM174" s="214"/>
      <c r="AN174" s="214"/>
      <c r="AO174" s="214"/>
      <c r="AQ174" s="214"/>
      <c r="AR174" s="214"/>
      <c r="AS174" s="214"/>
      <c r="AU174" s="214"/>
      <c r="AV174" s="214"/>
      <c r="AW174" s="214"/>
      <c r="AY174" s="214"/>
      <c r="AZ174" s="214"/>
      <c r="BA174" s="214"/>
      <c r="BC174" s="214"/>
      <c r="BD174" s="214"/>
      <c r="BE174" s="214"/>
      <c r="BG174" s="214"/>
      <c r="BH174" s="214"/>
      <c r="BI174" s="214"/>
      <c r="BK174" s="214"/>
      <c r="BL174" s="214"/>
      <c r="BM174" s="214"/>
      <c r="BO174" s="214"/>
      <c r="BP174" s="214"/>
      <c r="BQ174" s="214"/>
      <c r="BT174" s="379"/>
      <c r="BU174" s="379"/>
      <c r="BV174" s="379"/>
      <c r="BW174" s="379"/>
      <c r="BX174" s="379"/>
      <c r="BY174" s="379"/>
      <c r="BZ174" s="379"/>
      <c r="CA174" s="379"/>
      <c r="CB174" s="379"/>
      <c r="CC174" s="379"/>
      <c r="CD174" s="379"/>
      <c r="CE174" s="379"/>
      <c r="CF174" s="379"/>
      <c r="CG174" s="379"/>
      <c r="CH174" s="34"/>
      <c r="CI174" s="34"/>
      <c r="CJ174" s="34"/>
      <c r="CK174" s="34"/>
      <c r="CL174" s="34"/>
      <c r="CM174" s="34"/>
      <c r="CN174" s="34"/>
      <c r="CO174" s="34"/>
      <c r="CP174" s="34"/>
      <c r="CQ174" s="34"/>
      <c r="CR174" s="34"/>
      <c r="CS174" s="34"/>
      <c r="CT174" s="34"/>
    </row>
    <row r="175" spans="1:98" s="246" customFormat="1" x14ac:dyDescent="0.2">
      <c r="A175" s="1309" t="s">
        <v>4076</v>
      </c>
      <c r="B175" s="2285"/>
      <c r="C175" s="2285"/>
      <c r="D175" s="2285"/>
      <c r="E175" s="901"/>
      <c r="F175" s="905">
        <f t="shared" ref="F175:N175" si="799">SUM(F176:F183)</f>
        <v>0</v>
      </c>
      <c r="G175" s="905">
        <f t="shared" si="799"/>
        <v>0</v>
      </c>
      <c r="H175" s="905">
        <f t="shared" si="799"/>
        <v>0</v>
      </c>
      <c r="I175" s="905">
        <f t="shared" si="799"/>
        <v>0</v>
      </c>
      <c r="J175" s="905">
        <f t="shared" si="799"/>
        <v>0</v>
      </c>
      <c r="K175" s="905">
        <f t="shared" si="799"/>
        <v>0</v>
      </c>
      <c r="L175" s="905">
        <f t="shared" si="799"/>
        <v>0</v>
      </c>
      <c r="M175" s="905">
        <f t="shared" si="799"/>
        <v>0</v>
      </c>
      <c r="N175" s="905">
        <f t="shared" si="799"/>
        <v>0</v>
      </c>
      <c r="O175" s="905">
        <f t="shared" ref="O175:P175" si="800">SUM(O176:O183)</f>
        <v>0</v>
      </c>
      <c r="P175" s="905">
        <f t="shared" si="800"/>
        <v>0</v>
      </c>
      <c r="Q175" s="905">
        <f t="shared" ref="Q175:R175" si="801">SUM(Q176:Q183)</f>
        <v>0</v>
      </c>
      <c r="R175" s="905">
        <f t="shared" si="801"/>
        <v>0</v>
      </c>
      <c r="S175" s="214"/>
      <c r="T175" s="214"/>
      <c r="U175" s="214"/>
      <c r="V175" s="214"/>
      <c r="W175" s="214"/>
      <c r="X175" s="214"/>
      <c r="Y175" s="214"/>
      <c r="AA175" s="214"/>
      <c r="AB175" s="214"/>
      <c r="AC175" s="214"/>
      <c r="AE175" s="214"/>
      <c r="AF175" s="214"/>
      <c r="AG175" s="214"/>
      <c r="AI175" s="214"/>
      <c r="AJ175" s="214"/>
      <c r="AK175" s="214"/>
      <c r="AM175" s="214"/>
      <c r="AN175" s="214"/>
      <c r="AO175" s="214"/>
      <c r="AQ175" s="214"/>
      <c r="AR175" s="214"/>
      <c r="AS175" s="214"/>
      <c r="AU175" s="214"/>
      <c r="AV175" s="214"/>
      <c r="AW175" s="214"/>
      <c r="AY175" s="214"/>
      <c r="AZ175" s="214"/>
      <c r="BA175" s="214"/>
      <c r="BC175" s="214"/>
      <c r="BD175" s="214"/>
      <c r="BE175" s="214"/>
      <c r="BG175" s="214"/>
      <c r="BH175" s="214"/>
      <c r="BI175" s="214"/>
      <c r="BK175" s="214"/>
      <c r="BL175" s="214"/>
      <c r="BM175" s="214"/>
      <c r="BO175" s="214"/>
      <c r="BP175" s="214"/>
      <c r="BQ175" s="214"/>
      <c r="BT175" s="379"/>
      <c r="BU175" s="379"/>
      <c r="BV175" s="379"/>
      <c r="BW175" s="379"/>
      <c r="BX175" s="379"/>
      <c r="BY175" s="379"/>
      <c r="BZ175" s="379"/>
      <c r="CA175" s="379"/>
      <c r="CB175" s="379"/>
      <c r="CC175" s="379"/>
      <c r="CD175" s="379"/>
      <c r="CE175" s="379"/>
      <c r="CF175" s="379"/>
      <c r="CG175" s="379"/>
      <c r="CH175" s="34"/>
      <c r="CI175" s="34"/>
      <c r="CJ175" s="34"/>
      <c r="CK175" s="34"/>
      <c r="CL175" s="34"/>
      <c r="CM175" s="34"/>
      <c r="CN175" s="34"/>
      <c r="CO175" s="34"/>
      <c r="CP175" s="34"/>
      <c r="CQ175" s="34"/>
      <c r="CR175" s="34"/>
      <c r="CS175" s="34"/>
      <c r="CT175" s="34"/>
    </row>
    <row r="176" spans="1:98" s="246" customFormat="1" x14ac:dyDescent="0.2">
      <c r="A176" s="673" t="s">
        <v>3785</v>
      </c>
      <c r="B176" s="777"/>
      <c r="C176" s="777"/>
      <c r="D176" s="777"/>
      <c r="E176" s="685">
        <v>0</v>
      </c>
      <c r="F176" s="608"/>
      <c r="G176" s="608"/>
      <c r="H176" s="608"/>
      <c r="I176" s="668"/>
      <c r="J176" s="608"/>
      <c r="K176" s="608"/>
      <c r="L176" s="608"/>
      <c r="M176" s="608"/>
      <c r="N176" s="609"/>
      <c r="O176" s="609"/>
      <c r="P176" s="609"/>
      <c r="Q176" s="609"/>
      <c r="R176" s="609"/>
      <c r="S176" s="214"/>
      <c r="T176" s="214"/>
      <c r="U176" s="214"/>
      <c r="V176" s="214"/>
      <c r="W176" s="214"/>
      <c r="X176" s="214"/>
      <c r="Y176" s="214"/>
      <c r="AA176" s="214"/>
      <c r="AB176" s="214"/>
      <c r="AC176" s="214"/>
      <c r="AE176" s="214"/>
      <c r="AF176" s="214"/>
      <c r="AG176" s="214"/>
      <c r="AI176" s="214"/>
      <c r="AJ176" s="214"/>
      <c r="AK176" s="214"/>
      <c r="AM176" s="214"/>
      <c r="AN176" s="214"/>
      <c r="AO176" s="214"/>
      <c r="AQ176" s="214"/>
      <c r="AR176" s="214"/>
      <c r="AS176" s="214"/>
      <c r="AU176" s="214"/>
      <c r="AV176" s="214"/>
      <c r="AW176" s="214"/>
      <c r="AY176" s="214"/>
      <c r="AZ176" s="214"/>
      <c r="BA176" s="214"/>
      <c r="BC176" s="214"/>
      <c r="BD176" s="214"/>
      <c r="BE176" s="214"/>
      <c r="BG176" s="214"/>
      <c r="BH176" s="214"/>
      <c r="BI176" s="214"/>
      <c r="BK176" s="214"/>
      <c r="BL176" s="214"/>
      <c r="BM176" s="214"/>
      <c r="BO176" s="214"/>
      <c r="BP176" s="214"/>
      <c r="BQ176" s="214"/>
      <c r="BT176" s="379"/>
      <c r="BU176" s="379"/>
      <c r="BV176" s="379"/>
      <c r="BW176" s="379"/>
      <c r="BX176" s="379"/>
      <c r="BY176" s="379"/>
      <c r="BZ176" s="379"/>
      <c r="CA176" s="379"/>
      <c r="CB176" s="379"/>
      <c r="CC176" s="379"/>
      <c r="CD176" s="379"/>
      <c r="CE176" s="379"/>
      <c r="CF176" s="379"/>
      <c r="CG176" s="379"/>
      <c r="CH176" s="34"/>
      <c r="CI176" s="34"/>
      <c r="CJ176" s="34"/>
      <c r="CK176" s="34"/>
      <c r="CL176" s="34"/>
      <c r="CM176" s="34"/>
      <c r="CN176" s="34"/>
      <c r="CO176" s="34"/>
      <c r="CP176" s="34"/>
      <c r="CQ176" s="34"/>
      <c r="CR176" s="34"/>
      <c r="CS176" s="34"/>
      <c r="CT176" s="34"/>
    </row>
    <row r="177" spans="1:98" s="246" customFormat="1" x14ac:dyDescent="0.2">
      <c r="A177" s="674" t="s">
        <v>3682</v>
      </c>
      <c r="B177" s="606"/>
      <c r="C177" s="606"/>
      <c r="D177" s="606"/>
      <c r="E177" s="685">
        <v>0.32</v>
      </c>
      <c r="F177" s="608"/>
      <c r="G177" s="668"/>
      <c r="H177" s="608"/>
      <c r="I177" s="668"/>
      <c r="J177" s="608"/>
      <c r="K177" s="608"/>
      <c r="L177" s="668"/>
      <c r="M177" s="669"/>
      <c r="N177" s="670"/>
      <c r="O177" s="670"/>
      <c r="P177" s="670"/>
      <c r="Q177" s="670"/>
      <c r="R177" s="670"/>
      <c r="S177" s="214"/>
      <c r="T177" s="214"/>
      <c r="U177" s="214"/>
      <c r="V177" s="214"/>
      <c r="W177" s="214"/>
      <c r="X177" s="214"/>
      <c r="Y177" s="214"/>
      <c r="AA177" s="214"/>
      <c r="AB177" s="214"/>
      <c r="AC177" s="214"/>
      <c r="AE177" s="214"/>
      <c r="AF177" s="214"/>
      <c r="AG177" s="214"/>
      <c r="AI177" s="214"/>
      <c r="AJ177" s="214"/>
      <c r="AK177" s="214"/>
      <c r="AM177" s="214"/>
      <c r="AN177" s="214"/>
      <c r="AO177" s="214"/>
      <c r="AQ177" s="214"/>
      <c r="AR177" s="214"/>
      <c r="AS177" s="214"/>
      <c r="AU177" s="214"/>
      <c r="AV177" s="214"/>
      <c r="AW177" s="214"/>
      <c r="AY177" s="214"/>
      <c r="AZ177" s="214"/>
      <c r="BA177" s="214"/>
      <c r="BC177" s="214"/>
      <c r="BD177" s="214"/>
      <c r="BE177" s="214"/>
      <c r="BG177" s="214"/>
      <c r="BH177" s="214"/>
      <c r="BI177" s="214"/>
      <c r="BK177" s="214"/>
      <c r="BL177" s="214"/>
      <c r="BM177" s="214"/>
      <c r="BO177" s="214"/>
      <c r="BP177" s="214"/>
      <c r="BQ177" s="214"/>
      <c r="BT177" s="379"/>
      <c r="BU177" s="379"/>
      <c r="BV177" s="379"/>
      <c r="BW177" s="379"/>
      <c r="BX177" s="379"/>
      <c r="BY177" s="379"/>
      <c r="BZ177" s="379"/>
      <c r="CA177" s="379"/>
      <c r="CB177" s="379"/>
      <c r="CC177" s="379"/>
      <c r="CD177" s="379"/>
      <c r="CE177" s="379"/>
      <c r="CF177" s="379"/>
      <c r="CG177" s="379"/>
      <c r="CH177" s="34"/>
      <c r="CI177" s="34"/>
      <c r="CJ177" s="34"/>
      <c r="CK177" s="34"/>
      <c r="CL177" s="34"/>
      <c r="CM177" s="34"/>
      <c r="CN177" s="34"/>
      <c r="CO177" s="34"/>
      <c r="CP177" s="34"/>
      <c r="CQ177" s="34"/>
      <c r="CR177" s="34"/>
      <c r="CS177" s="34"/>
      <c r="CT177" s="34"/>
    </row>
    <row r="178" spans="1:98" s="246" customFormat="1" x14ac:dyDescent="0.2">
      <c r="A178" s="673" t="s">
        <v>3681</v>
      </c>
      <c r="B178" s="777"/>
      <c r="C178" s="777"/>
      <c r="D178" s="777"/>
      <c r="E178" s="685">
        <v>0.31</v>
      </c>
      <c r="F178" s="608"/>
      <c r="G178" s="668"/>
      <c r="H178" s="608"/>
      <c r="I178" s="668"/>
      <c r="J178" s="668"/>
      <c r="K178" s="668"/>
      <c r="L178" s="668"/>
      <c r="M178" s="669"/>
      <c r="N178" s="670"/>
      <c r="O178" s="670"/>
      <c r="P178" s="670"/>
      <c r="Q178" s="670"/>
      <c r="R178" s="670"/>
      <c r="S178" s="214"/>
      <c r="T178" s="214"/>
      <c r="U178" s="214"/>
      <c r="V178" s="214"/>
      <c r="W178" s="214"/>
      <c r="X178" s="214"/>
      <c r="Y178" s="214"/>
      <c r="AA178" s="214"/>
      <c r="AB178" s="214"/>
      <c r="AC178" s="214"/>
      <c r="AE178" s="214"/>
      <c r="AF178" s="214"/>
      <c r="AG178" s="214"/>
      <c r="AI178" s="214"/>
      <c r="AJ178" s="214"/>
      <c r="AK178" s="214"/>
      <c r="AM178" s="214"/>
      <c r="AN178" s="214"/>
      <c r="AO178" s="214"/>
      <c r="AQ178" s="214"/>
      <c r="AR178" s="214"/>
      <c r="AS178" s="214"/>
      <c r="AU178" s="214"/>
      <c r="AV178" s="214"/>
      <c r="AW178" s="214"/>
      <c r="AY178" s="214"/>
      <c r="AZ178" s="214"/>
      <c r="BA178" s="214"/>
      <c r="BC178" s="214"/>
      <c r="BD178" s="214"/>
      <c r="BE178" s="214"/>
      <c r="BG178" s="214"/>
      <c r="BH178" s="214"/>
      <c r="BI178" s="214"/>
      <c r="BK178" s="214"/>
      <c r="BL178" s="214"/>
      <c r="BM178" s="214"/>
      <c r="BO178" s="214"/>
      <c r="BP178" s="214"/>
      <c r="BQ178" s="214"/>
      <c r="BT178" s="379"/>
      <c r="BU178" s="379"/>
      <c r="BV178" s="379"/>
      <c r="BW178" s="379"/>
      <c r="BX178" s="379"/>
      <c r="BY178" s="379"/>
      <c r="BZ178" s="379"/>
      <c r="CA178" s="379"/>
      <c r="CB178" s="379"/>
      <c r="CC178" s="379"/>
      <c r="CD178" s="379"/>
      <c r="CE178" s="379"/>
      <c r="CF178" s="379"/>
      <c r="CG178" s="379"/>
      <c r="CH178" s="34"/>
      <c r="CI178" s="34"/>
      <c r="CJ178" s="34"/>
      <c r="CK178" s="34"/>
      <c r="CL178" s="34"/>
      <c r="CM178" s="34"/>
      <c r="CN178" s="34"/>
      <c r="CO178" s="34"/>
      <c r="CP178" s="34"/>
      <c r="CQ178" s="34"/>
      <c r="CR178" s="34"/>
      <c r="CS178" s="34"/>
      <c r="CT178" s="34"/>
    </row>
    <row r="179" spans="1:98" s="246" customFormat="1" x14ac:dyDescent="0.2">
      <c r="A179" s="673" t="s">
        <v>3783</v>
      </c>
      <c r="B179" s="777"/>
      <c r="C179" s="777"/>
      <c r="D179" s="777"/>
      <c r="E179" s="685">
        <v>0.5</v>
      </c>
      <c r="F179" s="608"/>
      <c r="G179" s="608"/>
      <c r="H179" s="608"/>
      <c r="I179" s="668"/>
      <c r="J179" s="608"/>
      <c r="K179" s="608"/>
      <c r="L179" s="608"/>
      <c r="M179" s="608"/>
      <c r="N179" s="609"/>
      <c r="O179" s="609"/>
      <c r="P179" s="609"/>
      <c r="Q179" s="609"/>
      <c r="R179" s="609"/>
      <c r="S179" s="214"/>
      <c r="T179" s="214"/>
      <c r="U179" s="214"/>
      <c r="V179" s="214"/>
      <c r="W179" s="214"/>
      <c r="X179" s="214"/>
      <c r="Y179" s="214"/>
      <c r="AA179" s="214"/>
      <c r="AB179" s="214"/>
      <c r="AC179" s="214"/>
      <c r="AE179" s="214"/>
      <c r="AF179" s="214"/>
      <c r="AG179" s="214"/>
      <c r="AI179" s="214"/>
      <c r="AJ179" s="214"/>
      <c r="AK179" s="214"/>
      <c r="AM179" s="214"/>
      <c r="AN179" s="214"/>
      <c r="AO179" s="214"/>
      <c r="AQ179" s="214"/>
      <c r="AR179" s="214"/>
      <c r="AS179" s="214"/>
      <c r="AU179" s="214"/>
      <c r="AV179" s="214"/>
      <c r="AW179" s="214"/>
      <c r="AY179" s="214"/>
      <c r="AZ179" s="214"/>
      <c r="BA179" s="214"/>
      <c r="BC179" s="214"/>
      <c r="BD179" s="214"/>
      <c r="BE179" s="214"/>
      <c r="BG179" s="214"/>
      <c r="BH179" s="214"/>
      <c r="BI179" s="214"/>
      <c r="BK179" s="214"/>
      <c r="BL179" s="214"/>
      <c r="BM179" s="214"/>
      <c r="BO179" s="214"/>
      <c r="BP179" s="214"/>
      <c r="BQ179" s="214"/>
      <c r="BT179" s="379"/>
      <c r="BU179" s="379"/>
      <c r="BV179" s="379"/>
      <c r="BW179" s="379"/>
      <c r="BX179" s="379"/>
      <c r="BY179" s="379"/>
      <c r="BZ179" s="379"/>
      <c r="CA179" s="379"/>
      <c r="CB179" s="379"/>
      <c r="CC179" s="379"/>
      <c r="CD179" s="379"/>
      <c r="CE179" s="379"/>
      <c r="CF179" s="379"/>
      <c r="CG179" s="379"/>
      <c r="CH179" s="34"/>
      <c r="CI179" s="34"/>
      <c r="CJ179" s="34"/>
      <c r="CK179" s="34"/>
      <c r="CL179" s="34"/>
      <c r="CM179" s="34"/>
      <c r="CN179" s="34"/>
      <c r="CO179" s="34"/>
      <c r="CP179" s="34"/>
      <c r="CQ179" s="34"/>
      <c r="CR179" s="34"/>
      <c r="CS179" s="34"/>
      <c r="CT179" s="34"/>
    </row>
    <row r="180" spans="1:98" s="246" customFormat="1" x14ac:dyDescent="0.2">
      <c r="A180" s="673" t="s">
        <v>1849</v>
      </c>
      <c r="B180" s="777"/>
      <c r="C180" s="777"/>
      <c r="D180" s="777"/>
      <c r="E180" s="685">
        <v>0</v>
      </c>
      <c r="F180" s="608"/>
      <c r="G180" s="608"/>
      <c r="H180" s="608"/>
      <c r="I180" s="668"/>
      <c r="J180" s="608"/>
      <c r="K180" s="608"/>
      <c r="L180" s="608"/>
      <c r="M180" s="608"/>
      <c r="N180" s="609"/>
      <c r="O180" s="609"/>
      <c r="P180" s="609"/>
      <c r="Q180" s="609"/>
      <c r="R180" s="609"/>
      <c r="S180" s="214"/>
      <c r="T180" s="214"/>
      <c r="U180" s="214"/>
      <c r="V180" s="214"/>
      <c r="W180" s="214"/>
      <c r="X180" s="214"/>
      <c r="Y180" s="214"/>
      <c r="AA180" s="214"/>
      <c r="AB180" s="214"/>
      <c r="AC180" s="214"/>
      <c r="AE180" s="214"/>
      <c r="AF180" s="214"/>
      <c r="AG180" s="214"/>
      <c r="AI180" s="214"/>
      <c r="AJ180" s="214"/>
      <c r="AK180" s="214"/>
      <c r="AM180" s="214"/>
      <c r="AN180" s="214"/>
      <c r="AO180" s="214"/>
      <c r="AQ180" s="214"/>
      <c r="AR180" s="214"/>
      <c r="AS180" s="214"/>
      <c r="AU180" s="214"/>
      <c r="AV180" s="214"/>
      <c r="AW180" s="214"/>
      <c r="AY180" s="214"/>
      <c r="AZ180" s="214"/>
      <c r="BA180" s="214"/>
      <c r="BC180" s="214"/>
      <c r="BD180" s="214"/>
      <c r="BE180" s="214"/>
      <c r="BG180" s="214"/>
      <c r="BH180" s="214"/>
      <c r="BI180" s="214"/>
      <c r="BK180" s="214"/>
      <c r="BL180" s="214"/>
      <c r="BM180" s="214"/>
      <c r="BO180" s="214"/>
      <c r="BP180" s="214"/>
      <c r="BQ180" s="214"/>
      <c r="BT180" s="379"/>
      <c r="BU180" s="379"/>
      <c r="BV180" s="379"/>
      <c r="BW180" s="379"/>
      <c r="BX180" s="379"/>
      <c r="BY180" s="379"/>
      <c r="BZ180" s="379"/>
      <c r="CA180" s="379"/>
      <c r="CB180" s="379"/>
      <c r="CC180" s="379"/>
      <c r="CD180" s="379"/>
      <c r="CE180" s="379"/>
      <c r="CF180" s="379"/>
      <c r="CG180" s="379"/>
      <c r="CH180" s="34"/>
      <c r="CI180" s="34"/>
      <c r="CJ180" s="34"/>
      <c r="CK180" s="34"/>
      <c r="CL180" s="34"/>
      <c r="CM180" s="34"/>
      <c r="CN180" s="34"/>
      <c r="CO180" s="34"/>
      <c r="CP180" s="34"/>
      <c r="CQ180" s="34"/>
      <c r="CR180" s="34"/>
      <c r="CS180" s="34"/>
      <c r="CT180" s="34"/>
    </row>
    <row r="181" spans="1:98" s="246" customFormat="1" x14ac:dyDescent="0.2">
      <c r="A181" s="673" t="s">
        <v>3781</v>
      </c>
      <c r="B181" s="777"/>
      <c r="C181" s="777"/>
      <c r="D181" s="777"/>
      <c r="E181" s="685">
        <v>0</v>
      </c>
      <c r="F181" s="608"/>
      <c r="G181" s="668"/>
      <c r="H181" s="608"/>
      <c r="I181" s="668"/>
      <c r="J181" s="668"/>
      <c r="K181" s="662"/>
      <c r="L181" s="668"/>
      <c r="M181" s="669"/>
      <c r="N181" s="670"/>
      <c r="O181" s="670"/>
      <c r="P181" s="670"/>
      <c r="Q181" s="670"/>
      <c r="R181" s="670"/>
      <c r="S181" s="214"/>
      <c r="T181" s="214"/>
      <c r="U181" s="214"/>
      <c r="V181" s="214"/>
      <c r="W181" s="214"/>
      <c r="X181" s="214"/>
      <c r="Y181" s="214"/>
      <c r="AA181" s="214"/>
      <c r="AB181" s="214"/>
      <c r="AC181" s="214"/>
      <c r="AE181" s="214"/>
      <c r="AF181" s="214"/>
      <c r="AG181" s="214"/>
      <c r="AI181" s="214"/>
      <c r="AJ181" s="214"/>
      <c r="AK181" s="214"/>
      <c r="AM181" s="214"/>
      <c r="AN181" s="214"/>
      <c r="AO181" s="214"/>
      <c r="AQ181" s="214"/>
      <c r="AR181" s="214"/>
      <c r="AS181" s="214"/>
      <c r="AU181" s="214"/>
      <c r="AV181" s="214"/>
      <c r="AW181" s="214"/>
      <c r="AY181" s="214"/>
      <c r="AZ181" s="214"/>
      <c r="BA181" s="214"/>
      <c r="BC181" s="214"/>
      <c r="BD181" s="214"/>
      <c r="BE181" s="214"/>
      <c r="BG181" s="214"/>
      <c r="BH181" s="214"/>
      <c r="BI181" s="214"/>
      <c r="BK181" s="214"/>
      <c r="BL181" s="214"/>
      <c r="BM181" s="214"/>
      <c r="BO181" s="214"/>
      <c r="BP181" s="214"/>
      <c r="BQ181" s="214"/>
      <c r="BT181" s="379"/>
      <c r="BU181" s="379"/>
      <c r="BV181" s="379"/>
      <c r="BW181" s="379"/>
      <c r="BX181" s="379"/>
      <c r="BY181" s="379"/>
      <c r="BZ181" s="379"/>
      <c r="CA181" s="379"/>
      <c r="CB181" s="379"/>
      <c r="CC181" s="379"/>
      <c r="CD181" s="379"/>
      <c r="CE181" s="379"/>
      <c r="CF181" s="379"/>
      <c r="CG181" s="379"/>
      <c r="CH181" s="34"/>
      <c r="CI181" s="34"/>
      <c r="CJ181" s="34"/>
      <c r="CK181" s="34"/>
      <c r="CL181" s="34"/>
      <c r="CM181" s="34"/>
      <c r="CN181" s="34"/>
      <c r="CO181" s="34"/>
      <c r="CP181" s="34"/>
      <c r="CQ181" s="34"/>
      <c r="CR181" s="34"/>
      <c r="CS181" s="34"/>
      <c r="CT181" s="34"/>
    </row>
    <row r="182" spans="1:98" s="246" customFormat="1" x14ac:dyDescent="0.2">
      <c r="A182" s="673" t="s">
        <v>1852</v>
      </c>
      <c r="B182" s="777"/>
      <c r="C182" s="777"/>
      <c r="D182" s="777"/>
      <c r="E182" s="685">
        <v>0</v>
      </c>
      <c r="F182" s="608"/>
      <c r="G182" s="608"/>
      <c r="H182" s="608"/>
      <c r="I182" s="668"/>
      <c r="J182" s="608"/>
      <c r="K182" s="608"/>
      <c r="L182" s="608"/>
      <c r="M182" s="608"/>
      <c r="N182" s="609"/>
      <c r="O182" s="609"/>
      <c r="P182" s="609"/>
      <c r="Q182" s="609"/>
      <c r="R182" s="609"/>
      <c r="S182" s="214"/>
      <c r="T182" s="214"/>
      <c r="U182" s="214"/>
      <c r="V182" s="214"/>
      <c r="W182" s="214"/>
      <c r="X182" s="214"/>
      <c r="Y182" s="214"/>
      <c r="AA182" s="214"/>
      <c r="AB182" s="214"/>
      <c r="AC182" s="214"/>
      <c r="AE182" s="214"/>
      <c r="AF182" s="214"/>
      <c r="AG182" s="214"/>
      <c r="AI182" s="214"/>
      <c r="AJ182" s="214"/>
      <c r="AK182" s="214"/>
      <c r="AM182" s="214"/>
      <c r="AN182" s="214"/>
      <c r="AO182" s="214"/>
      <c r="AQ182" s="214"/>
      <c r="AR182" s="214"/>
      <c r="AS182" s="214"/>
      <c r="AU182" s="214"/>
      <c r="AV182" s="214"/>
      <c r="AW182" s="214"/>
      <c r="AY182" s="214"/>
      <c r="AZ182" s="214"/>
      <c r="BA182" s="214"/>
      <c r="BC182" s="214"/>
      <c r="BD182" s="214"/>
      <c r="BE182" s="214"/>
      <c r="BG182" s="214"/>
      <c r="BH182" s="214"/>
      <c r="BI182" s="214"/>
      <c r="BK182" s="214"/>
      <c r="BL182" s="214"/>
      <c r="BM182" s="214"/>
      <c r="BO182" s="214"/>
      <c r="BP182" s="214"/>
      <c r="BQ182" s="214"/>
      <c r="BT182" s="379"/>
      <c r="BU182" s="379"/>
      <c r="BV182" s="379"/>
      <c r="BW182" s="379"/>
      <c r="BX182" s="379"/>
      <c r="BY182" s="379"/>
      <c r="BZ182" s="379"/>
      <c r="CA182" s="379"/>
      <c r="CB182" s="379"/>
      <c r="CC182" s="379"/>
      <c r="CD182" s="379"/>
      <c r="CE182" s="379"/>
      <c r="CF182" s="379"/>
      <c r="CG182" s="379"/>
      <c r="CH182" s="34"/>
      <c r="CI182" s="34"/>
      <c r="CJ182" s="34"/>
      <c r="CK182" s="34"/>
      <c r="CL182" s="34"/>
      <c r="CM182" s="34"/>
      <c r="CN182" s="34"/>
      <c r="CO182" s="34"/>
      <c r="CP182" s="34"/>
      <c r="CQ182" s="34"/>
      <c r="CR182" s="34"/>
      <c r="CS182" s="34"/>
      <c r="CT182" s="34"/>
    </row>
    <row r="183" spans="1:98" s="246" customFormat="1" x14ac:dyDescent="0.2">
      <c r="A183" s="674" t="s">
        <v>2166</v>
      </c>
      <c r="B183" s="777"/>
      <c r="C183" s="777"/>
      <c r="D183" s="777"/>
      <c r="E183" s="685">
        <v>0</v>
      </c>
      <c r="F183" s="608"/>
      <c r="G183" s="608"/>
      <c r="H183" s="608"/>
      <c r="I183" s="668"/>
      <c r="J183" s="608"/>
      <c r="K183" s="608"/>
      <c r="L183" s="608"/>
      <c r="M183" s="608"/>
      <c r="N183" s="609"/>
      <c r="O183" s="609"/>
      <c r="P183" s="609"/>
      <c r="Q183" s="609"/>
      <c r="R183" s="609"/>
      <c r="S183" s="214"/>
      <c r="T183" s="214"/>
      <c r="U183" s="214"/>
      <c r="V183" s="214"/>
      <c r="W183" s="214"/>
      <c r="X183" s="214"/>
      <c r="Y183" s="214"/>
      <c r="AA183" s="214"/>
      <c r="AB183" s="214"/>
      <c r="AC183" s="214"/>
      <c r="AE183" s="214"/>
      <c r="AF183" s="214"/>
      <c r="AG183" s="214"/>
      <c r="AI183" s="214"/>
      <c r="AJ183" s="214"/>
      <c r="AK183" s="214"/>
      <c r="AM183" s="214"/>
      <c r="AN183" s="214"/>
      <c r="AO183" s="214"/>
      <c r="AQ183" s="214"/>
      <c r="AR183" s="214"/>
      <c r="AS183" s="214"/>
      <c r="AU183" s="214"/>
      <c r="AV183" s="214"/>
      <c r="AW183" s="214"/>
      <c r="AY183" s="214"/>
      <c r="AZ183" s="214"/>
      <c r="BA183" s="214"/>
      <c r="BC183" s="214"/>
      <c r="BD183" s="214"/>
      <c r="BE183" s="214"/>
      <c r="BG183" s="214"/>
      <c r="BH183" s="214"/>
      <c r="BI183" s="214"/>
      <c r="BK183" s="214"/>
      <c r="BL183" s="214"/>
      <c r="BM183" s="214"/>
      <c r="BO183" s="214"/>
      <c r="BP183" s="214"/>
      <c r="BQ183" s="214"/>
      <c r="BT183" s="379"/>
      <c r="BU183" s="379"/>
      <c r="BV183" s="379"/>
      <c r="BW183" s="379"/>
      <c r="BX183" s="379"/>
      <c r="BY183" s="379"/>
      <c r="BZ183" s="379"/>
      <c r="CA183" s="379"/>
      <c r="CB183" s="379"/>
      <c r="CC183" s="379"/>
      <c r="CD183" s="379"/>
      <c r="CE183" s="379"/>
      <c r="CF183" s="379"/>
      <c r="CG183" s="379"/>
      <c r="CH183" s="34"/>
      <c r="CI183" s="34"/>
      <c r="CJ183" s="34"/>
      <c r="CK183" s="34"/>
      <c r="CL183" s="34"/>
      <c r="CM183" s="34"/>
      <c r="CN183" s="34"/>
      <c r="CO183" s="34"/>
      <c r="CP183" s="34"/>
      <c r="CQ183" s="34"/>
      <c r="CR183" s="34"/>
      <c r="CS183" s="34"/>
      <c r="CT183" s="34"/>
    </row>
    <row r="184" spans="1:98" s="246" customFormat="1" x14ac:dyDescent="0.2">
      <c r="E184" s="379"/>
      <c r="S184" s="214"/>
      <c r="T184" s="214"/>
      <c r="U184" s="214"/>
      <c r="V184" s="214"/>
      <c r="W184" s="214"/>
      <c r="X184" s="214"/>
      <c r="Y184" s="214"/>
      <c r="AA184" s="214"/>
      <c r="AB184" s="214"/>
      <c r="AC184" s="214"/>
      <c r="AE184" s="214"/>
      <c r="AF184" s="214"/>
      <c r="AG184" s="214"/>
      <c r="AI184" s="214"/>
      <c r="AJ184" s="214"/>
      <c r="AK184" s="214"/>
      <c r="AM184" s="214"/>
      <c r="AN184" s="214"/>
      <c r="AO184" s="214"/>
      <c r="AQ184" s="214"/>
      <c r="AR184" s="214"/>
      <c r="AS184" s="214"/>
      <c r="AU184" s="214"/>
      <c r="AV184" s="214"/>
      <c r="AW184" s="214"/>
      <c r="AY184" s="214"/>
      <c r="AZ184" s="214"/>
      <c r="BA184" s="214"/>
      <c r="BC184" s="214"/>
      <c r="BD184" s="214"/>
      <c r="BE184" s="214"/>
      <c r="BG184" s="214"/>
      <c r="BH184" s="214"/>
      <c r="BI184" s="214"/>
      <c r="BK184" s="214"/>
      <c r="BL184" s="214"/>
      <c r="BM184" s="214"/>
      <c r="BO184" s="214"/>
      <c r="BP184" s="214"/>
      <c r="BQ184" s="214"/>
      <c r="BT184" s="379"/>
      <c r="BU184" s="379"/>
      <c r="BV184" s="379"/>
      <c r="BW184" s="379"/>
      <c r="BX184" s="379"/>
      <c r="BY184" s="379"/>
      <c r="BZ184" s="379"/>
      <c r="CA184" s="379"/>
      <c r="CB184" s="379"/>
      <c r="CC184" s="379"/>
      <c r="CD184" s="379"/>
      <c r="CE184" s="379"/>
      <c r="CF184" s="379"/>
      <c r="CG184" s="379"/>
      <c r="CH184" s="34"/>
      <c r="CI184" s="34"/>
      <c r="CJ184" s="34"/>
      <c r="CK184" s="34"/>
      <c r="CL184" s="34"/>
      <c r="CM184" s="34"/>
      <c r="CN184" s="34"/>
      <c r="CO184" s="34"/>
      <c r="CP184" s="34"/>
      <c r="CQ184" s="34"/>
      <c r="CR184" s="34"/>
      <c r="CS184" s="34"/>
      <c r="CT184" s="34"/>
    </row>
    <row r="185" spans="1:98" s="246" customFormat="1" x14ac:dyDescent="0.2">
      <c r="E185" s="379"/>
      <c r="S185" s="214"/>
      <c r="T185" s="214"/>
      <c r="U185" s="214"/>
      <c r="V185" s="214"/>
      <c r="W185" s="214"/>
      <c r="X185" s="214"/>
      <c r="Y185" s="214"/>
      <c r="AA185" s="214"/>
      <c r="AB185" s="214"/>
      <c r="AC185" s="214"/>
      <c r="AE185" s="214"/>
      <c r="AF185" s="214"/>
      <c r="AG185" s="214"/>
      <c r="AI185" s="214"/>
      <c r="AJ185" s="214"/>
      <c r="AK185" s="214"/>
      <c r="AM185" s="214"/>
      <c r="AN185" s="214"/>
      <c r="AO185" s="214"/>
      <c r="AQ185" s="214"/>
      <c r="AR185" s="214"/>
      <c r="AS185" s="214"/>
      <c r="AU185" s="214"/>
      <c r="AV185" s="214"/>
      <c r="AW185" s="214"/>
      <c r="AY185" s="214"/>
      <c r="AZ185" s="214"/>
      <c r="BA185" s="214"/>
      <c r="BC185" s="214"/>
      <c r="BD185" s="214"/>
      <c r="BE185" s="214"/>
      <c r="BG185" s="214"/>
      <c r="BH185" s="214"/>
      <c r="BI185" s="214"/>
      <c r="BK185" s="214"/>
      <c r="BL185" s="214"/>
      <c r="BM185" s="214"/>
      <c r="BO185" s="214"/>
      <c r="BP185" s="214"/>
      <c r="BQ185" s="214"/>
      <c r="BT185" s="379"/>
      <c r="BU185" s="379"/>
      <c r="BV185" s="379"/>
      <c r="BW185" s="379"/>
      <c r="BX185" s="379"/>
      <c r="BY185" s="379"/>
      <c r="BZ185" s="379"/>
      <c r="CA185" s="379"/>
      <c r="CB185" s="379"/>
      <c r="CC185" s="379"/>
      <c r="CD185" s="379"/>
      <c r="CE185" s="379"/>
      <c r="CF185" s="379"/>
      <c r="CG185" s="379"/>
      <c r="CH185" s="34"/>
      <c r="CI185" s="34"/>
      <c r="CJ185" s="34"/>
      <c r="CK185" s="34"/>
      <c r="CL185" s="34"/>
      <c r="CM185" s="34"/>
      <c r="CN185" s="34"/>
      <c r="CO185" s="34"/>
      <c r="CP185" s="34"/>
      <c r="CQ185" s="34"/>
      <c r="CR185" s="34"/>
      <c r="CS185" s="34"/>
      <c r="CT185" s="34"/>
    </row>
    <row r="186" spans="1:98" s="246" customFormat="1" x14ac:dyDescent="0.2">
      <c r="A186" s="573" t="s">
        <v>4103</v>
      </c>
      <c r="B186" s="573"/>
      <c r="C186" s="573"/>
      <c r="D186" s="573"/>
      <c r="E186" s="901"/>
      <c r="F186" s="573">
        <f t="shared" ref="F186:V186" si="802">SUM(F187:F188)</f>
        <v>250000</v>
      </c>
      <c r="G186" s="573">
        <f t="shared" si="802"/>
        <v>0</v>
      </c>
      <c r="H186" s="573">
        <f t="shared" si="802"/>
        <v>0</v>
      </c>
      <c r="I186" s="573">
        <f t="shared" si="802"/>
        <v>0</v>
      </c>
      <c r="J186" s="573">
        <f t="shared" si="802"/>
        <v>0</v>
      </c>
      <c r="K186" s="573">
        <f t="shared" si="802"/>
        <v>0</v>
      </c>
      <c r="L186" s="573">
        <f t="shared" si="802"/>
        <v>0</v>
      </c>
      <c r="M186" s="573">
        <f t="shared" si="802"/>
        <v>0</v>
      </c>
      <c r="N186" s="573">
        <f t="shared" si="802"/>
        <v>0</v>
      </c>
      <c r="O186" s="573">
        <f t="shared" ref="O186:P186" si="803">SUM(O187:O188)</f>
        <v>0</v>
      </c>
      <c r="P186" s="573">
        <f t="shared" si="803"/>
        <v>0</v>
      </c>
      <c r="Q186" s="573">
        <f t="shared" ref="Q186:R186" si="804">SUM(Q187:Q188)</f>
        <v>0</v>
      </c>
      <c r="R186" s="573">
        <f t="shared" si="804"/>
        <v>0</v>
      </c>
      <c r="S186" s="246">
        <f t="shared" si="802"/>
        <v>0</v>
      </c>
      <c r="T186" s="246">
        <f t="shared" si="802"/>
        <v>158750</v>
      </c>
      <c r="U186" s="246">
        <f t="shared" si="802"/>
        <v>0</v>
      </c>
      <c r="V186" s="246">
        <f t="shared" si="802"/>
        <v>91250</v>
      </c>
      <c r="W186" s="214"/>
      <c r="X186" s="214"/>
      <c r="Y186" s="214"/>
      <c r="AA186" s="214"/>
      <c r="AB186" s="214"/>
      <c r="AC186" s="214"/>
      <c r="AE186" s="214"/>
      <c r="AF186" s="214"/>
      <c r="AG186" s="214"/>
      <c r="AI186" s="214"/>
      <c r="AJ186" s="214"/>
      <c r="AK186" s="214"/>
      <c r="AM186" s="214"/>
      <c r="AN186" s="214"/>
      <c r="AO186" s="214"/>
      <c r="AQ186" s="214"/>
      <c r="AR186" s="214"/>
      <c r="AS186" s="214"/>
      <c r="AU186" s="214"/>
      <c r="AV186" s="214"/>
      <c r="AW186" s="214"/>
      <c r="AY186" s="214"/>
      <c r="AZ186" s="214"/>
      <c r="BA186" s="214"/>
      <c r="BC186" s="214"/>
      <c r="BD186" s="214"/>
      <c r="BE186" s="214"/>
      <c r="BG186" s="214"/>
      <c r="BH186" s="214"/>
      <c r="BI186" s="214"/>
      <c r="BK186" s="214"/>
      <c r="BL186" s="214"/>
      <c r="BM186" s="214"/>
      <c r="BO186" s="214"/>
      <c r="BP186" s="214"/>
      <c r="BQ186" s="214"/>
      <c r="BT186" s="379"/>
      <c r="BU186" s="379"/>
      <c r="BV186" s="379"/>
      <c r="BW186" s="379"/>
      <c r="BX186" s="379"/>
      <c r="BY186" s="379"/>
      <c r="BZ186" s="379"/>
      <c r="CA186" s="379"/>
      <c r="CB186" s="379"/>
      <c r="CC186" s="379"/>
      <c r="CD186" s="379"/>
      <c r="CE186" s="379"/>
      <c r="CF186" s="379"/>
      <c r="CG186" s="379"/>
      <c r="CH186" s="34"/>
      <c r="CI186" s="34"/>
      <c r="CJ186" s="34"/>
      <c r="CK186" s="34"/>
      <c r="CL186" s="34"/>
      <c r="CM186" s="34"/>
      <c r="CN186" s="34"/>
      <c r="CO186" s="34"/>
      <c r="CP186" s="34"/>
      <c r="CQ186" s="34"/>
      <c r="CR186" s="34"/>
      <c r="CS186" s="34"/>
      <c r="CT186" s="34"/>
    </row>
    <row r="187" spans="1:98" s="246" customFormat="1" x14ac:dyDescent="0.2">
      <c r="A187" s="246" t="s">
        <v>3680</v>
      </c>
      <c r="E187" s="379">
        <v>0.77</v>
      </c>
      <c r="F187" s="246">
        <v>125000</v>
      </c>
      <c r="S187" s="214"/>
      <c r="T187" s="214">
        <v>96250</v>
      </c>
      <c r="U187" s="214"/>
      <c r="V187" s="214">
        <v>28750</v>
      </c>
      <c r="W187" s="214"/>
      <c r="X187" s="214"/>
      <c r="Y187" s="214"/>
      <c r="AA187" s="214"/>
      <c r="AB187" s="214"/>
      <c r="AC187" s="214"/>
      <c r="AE187" s="214"/>
      <c r="AF187" s="214"/>
      <c r="AG187" s="214"/>
      <c r="AI187" s="214"/>
      <c r="AJ187" s="214"/>
      <c r="AK187" s="214"/>
      <c r="AM187" s="214"/>
      <c r="AN187" s="214"/>
      <c r="AO187" s="214"/>
      <c r="AQ187" s="214"/>
      <c r="AR187" s="214"/>
      <c r="AS187" s="214"/>
      <c r="AU187" s="214"/>
      <c r="AV187" s="214"/>
      <c r="AW187" s="214"/>
      <c r="AY187" s="214"/>
      <c r="AZ187" s="214"/>
      <c r="BA187" s="214"/>
      <c r="BC187" s="214"/>
      <c r="BD187" s="214"/>
      <c r="BE187" s="214"/>
      <c r="BG187" s="214"/>
      <c r="BH187" s="214"/>
      <c r="BI187" s="214"/>
      <c r="BK187" s="214"/>
      <c r="BL187" s="214"/>
      <c r="BM187" s="214"/>
      <c r="BO187" s="214"/>
      <c r="BP187" s="214"/>
      <c r="BQ187" s="214"/>
      <c r="BT187" s="379"/>
      <c r="BU187" s="379"/>
      <c r="BV187" s="379"/>
      <c r="BW187" s="379"/>
      <c r="BX187" s="379"/>
      <c r="BY187" s="379"/>
      <c r="BZ187" s="379"/>
      <c r="CA187" s="379"/>
      <c r="CB187" s="379"/>
      <c r="CC187" s="379"/>
      <c r="CD187" s="379"/>
      <c r="CE187" s="379"/>
      <c r="CF187" s="379"/>
      <c r="CG187" s="379"/>
      <c r="CH187" s="34"/>
      <c r="CI187" s="34"/>
      <c r="CJ187" s="34"/>
      <c r="CK187" s="34"/>
      <c r="CL187" s="34"/>
      <c r="CM187" s="34"/>
      <c r="CN187" s="34"/>
      <c r="CO187" s="34"/>
      <c r="CP187" s="34"/>
      <c r="CQ187" s="34"/>
      <c r="CR187" s="34"/>
      <c r="CS187" s="34"/>
      <c r="CT187" s="34"/>
    </row>
    <row r="188" spans="1:98" s="246" customFormat="1" x14ac:dyDescent="0.2">
      <c r="A188" s="246" t="s">
        <v>3780</v>
      </c>
      <c r="E188" s="379">
        <v>0.52</v>
      </c>
      <c r="F188" s="246">
        <v>125000</v>
      </c>
      <c r="S188" s="214"/>
      <c r="T188" s="214">
        <v>62500</v>
      </c>
      <c r="U188" s="214"/>
      <c r="V188" s="214">
        <v>62500</v>
      </c>
      <c r="W188" s="214"/>
      <c r="X188" s="214"/>
      <c r="Y188" s="214"/>
      <c r="AA188" s="214"/>
      <c r="AB188" s="214"/>
      <c r="AC188" s="214"/>
      <c r="AE188" s="214"/>
      <c r="AF188" s="214"/>
      <c r="AG188" s="214"/>
      <c r="AI188" s="214"/>
      <c r="AJ188" s="214"/>
      <c r="AK188" s="214"/>
      <c r="AM188" s="214"/>
      <c r="AN188" s="214"/>
      <c r="AO188" s="214"/>
      <c r="AQ188" s="214"/>
      <c r="AR188" s="214"/>
      <c r="AS188" s="214"/>
      <c r="AU188" s="214"/>
      <c r="AV188" s="214"/>
      <c r="AW188" s="214"/>
      <c r="AY188" s="214"/>
      <c r="AZ188" s="214"/>
      <c r="BA188" s="214"/>
      <c r="BC188" s="214"/>
      <c r="BD188" s="214"/>
      <c r="BE188" s="214"/>
      <c r="BG188" s="214"/>
      <c r="BH188" s="214"/>
      <c r="BI188" s="214"/>
      <c r="BK188" s="214"/>
      <c r="BL188" s="214"/>
      <c r="BM188" s="214"/>
      <c r="BO188" s="214"/>
      <c r="BP188" s="214"/>
      <c r="BQ188" s="214"/>
      <c r="BT188" s="379"/>
      <c r="BU188" s="379"/>
      <c r="BV188" s="379"/>
      <c r="BW188" s="379"/>
      <c r="BX188" s="379"/>
      <c r="BY188" s="379"/>
      <c r="BZ188" s="379"/>
      <c r="CA188" s="379"/>
      <c r="CB188" s="379"/>
      <c r="CC188" s="379"/>
      <c r="CD188" s="379"/>
      <c r="CE188" s="379"/>
      <c r="CF188" s="379"/>
      <c r="CG188" s="379"/>
      <c r="CH188" s="34"/>
      <c r="CI188" s="34"/>
      <c r="CJ188" s="34"/>
      <c r="CK188" s="34"/>
      <c r="CL188" s="34"/>
      <c r="CM188" s="34"/>
      <c r="CN188" s="34"/>
      <c r="CO188" s="34"/>
      <c r="CP188" s="34"/>
      <c r="CQ188" s="34"/>
      <c r="CR188" s="34"/>
      <c r="CS188" s="34"/>
      <c r="CT188" s="34"/>
    </row>
    <row r="189" spans="1:98" s="246" customFormat="1" x14ac:dyDescent="0.2">
      <c r="E189" s="379"/>
      <c r="S189" s="214"/>
      <c r="T189" s="214"/>
      <c r="U189" s="214"/>
      <c r="V189" s="214"/>
      <c r="W189" s="214"/>
      <c r="X189" s="214"/>
      <c r="Y189" s="214"/>
      <c r="AA189" s="214"/>
      <c r="AB189" s="214"/>
      <c r="AC189" s="214"/>
      <c r="AE189" s="214"/>
      <c r="AF189" s="214"/>
      <c r="AG189" s="214"/>
      <c r="AI189" s="214"/>
      <c r="AJ189" s="214"/>
      <c r="AK189" s="214"/>
      <c r="AM189" s="214"/>
      <c r="AN189" s="214"/>
      <c r="AO189" s="214"/>
      <c r="AQ189" s="214"/>
      <c r="AR189" s="214"/>
      <c r="AS189" s="214"/>
      <c r="AU189" s="214"/>
      <c r="AV189" s="214"/>
      <c r="AW189" s="214"/>
      <c r="AY189" s="214"/>
      <c r="AZ189" s="214"/>
      <c r="BA189" s="214"/>
      <c r="BC189" s="214"/>
      <c r="BD189" s="214"/>
      <c r="BE189" s="214"/>
      <c r="BG189" s="214"/>
      <c r="BH189" s="214"/>
      <c r="BI189" s="214"/>
      <c r="BK189" s="214"/>
      <c r="BL189" s="214"/>
      <c r="BM189" s="214"/>
      <c r="BO189" s="214"/>
      <c r="BP189" s="214"/>
      <c r="BQ189" s="214"/>
      <c r="BT189" s="379"/>
      <c r="BU189" s="379"/>
      <c r="BV189" s="379"/>
      <c r="BW189" s="379"/>
      <c r="BX189" s="379"/>
      <c r="BY189" s="379"/>
      <c r="BZ189" s="379"/>
      <c r="CA189" s="379"/>
      <c r="CB189" s="379"/>
      <c r="CC189" s="379"/>
      <c r="CD189" s="379"/>
      <c r="CE189" s="379"/>
      <c r="CF189" s="379"/>
      <c r="CG189" s="379"/>
      <c r="CH189" s="34"/>
      <c r="CI189" s="34"/>
      <c r="CJ189" s="34"/>
      <c r="CK189" s="34"/>
      <c r="CL189" s="34"/>
      <c r="CM189" s="34"/>
      <c r="CN189" s="34"/>
      <c r="CO189" s="34"/>
      <c r="CP189" s="34"/>
      <c r="CQ189" s="34"/>
      <c r="CR189" s="34"/>
      <c r="CS189" s="34"/>
      <c r="CT189" s="34"/>
    </row>
    <row r="190" spans="1:98" s="246" customFormat="1" x14ac:dyDescent="0.2">
      <c r="E190" s="379"/>
      <c r="S190" s="214"/>
      <c r="T190" s="214"/>
      <c r="U190" s="214"/>
      <c r="V190" s="214"/>
      <c r="W190" s="214"/>
      <c r="X190" s="214"/>
      <c r="Y190" s="214"/>
      <c r="AA190" s="214"/>
      <c r="AB190" s="214"/>
      <c r="AC190" s="214"/>
      <c r="AE190" s="214"/>
      <c r="AF190" s="214"/>
      <c r="AG190" s="214"/>
      <c r="AI190" s="214"/>
      <c r="AJ190" s="214"/>
      <c r="AK190" s="214"/>
      <c r="AM190" s="214"/>
      <c r="AN190" s="214"/>
      <c r="AO190" s="214"/>
      <c r="AQ190" s="214"/>
      <c r="AR190" s="214"/>
      <c r="AS190" s="214"/>
      <c r="AU190" s="214"/>
      <c r="AV190" s="214"/>
      <c r="AW190" s="214"/>
      <c r="AY190" s="214"/>
      <c r="AZ190" s="214"/>
      <c r="BA190" s="214"/>
      <c r="BC190" s="214"/>
      <c r="BD190" s="214"/>
      <c r="BE190" s="214"/>
      <c r="BG190" s="214"/>
      <c r="BH190" s="214"/>
      <c r="BI190" s="214"/>
      <c r="BK190" s="214"/>
      <c r="BL190" s="214"/>
      <c r="BM190" s="214"/>
      <c r="BO190" s="214"/>
      <c r="BP190" s="214"/>
      <c r="BQ190" s="214"/>
      <c r="BT190" s="379"/>
      <c r="BU190" s="379"/>
      <c r="BV190" s="379"/>
      <c r="BW190" s="379"/>
      <c r="BX190" s="379"/>
      <c r="BY190" s="379"/>
      <c r="BZ190" s="379"/>
      <c r="CA190" s="379"/>
      <c r="CB190" s="379"/>
      <c r="CC190" s="379"/>
      <c r="CD190" s="379"/>
      <c r="CE190" s="379"/>
      <c r="CF190" s="379"/>
      <c r="CG190" s="379"/>
      <c r="CH190" s="34"/>
      <c r="CI190" s="34"/>
      <c r="CJ190" s="34"/>
      <c r="CK190" s="34"/>
      <c r="CL190" s="34"/>
      <c r="CM190" s="34"/>
      <c r="CN190" s="34"/>
      <c r="CO190" s="34"/>
      <c r="CP190" s="34"/>
      <c r="CQ190" s="34"/>
      <c r="CR190" s="34"/>
      <c r="CS190" s="34"/>
      <c r="CT190" s="34"/>
    </row>
    <row r="191" spans="1:98" s="246" customFormat="1" x14ac:dyDescent="0.2">
      <c r="E191" s="379"/>
      <c r="BT191" s="379"/>
      <c r="BU191" s="379"/>
      <c r="BV191" s="379"/>
      <c r="BW191" s="379"/>
      <c r="BX191" s="379"/>
      <c r="BY191" s="379"/>
      <c r="BZ191" s="379"/>
      <c r="CA191" s="379"/>
      <c r="CB191" s="379"/>
      <c r="CC191" s="379"/>
      <c r="CD191" s="379"/>
      <c r="CE191" s="379"/>
      <c r="CF191" s="379"/>
      <c r="CG191" s="379"/>
      <c r="CH191" s="34"/>
      <c r="CI191" s="34"/>
      <c r="CJ191" s="34"/>
      <c r="CK191" s="34"/>
      <c r="CL191" s="34"/>
      <c r="CM191" s="34"/>
      <c r="CN191" s="34"/>
      <c r="CO191" s="34"/>
      <c r="CP191" s="34"/>
      <c r="CQ191" s="34"/>
      <c r="CR191" s="34"/>
      <c r="CS191" s="34"/>
      <c r="CT191" s="34"/>
    </row>
    <row r="192" spans="1:98" s="246" customFormat="1" x14ac:dyDescent="0.2">
      <c r="E192" s="379"/>
      <c r="F192" s="379"/>
      <c r="G192" s="1104"/>
      <c r="H192" s="1104"/>
      <c r="I192" s="1104"/>
      <c r="J192" s="1104"/>
      <c r="K192" s="1104"/>
      <c r="L192" s="1104"/>
      <c r="M192" s="1104"/>
      <c r="N192" s="1104"/>
      <c r="O192" s="1104"/>
      <c r="P192" s="1104"/>
      <c r="Q192" s="1104"/>
      <c r="R192" s="1104"/>
      <c r="BT192" s="379"/>
      <c r="BU192" s="379"/>
      <c r="BV192" s="379"/>
      <c r="BW192" s="379"/>
      <c r="BX192" s="379"/>
      <c r="BY192" s="379"/>
      <c r="BZ192" s="379"/>
      <c r="CA192" s="379"/>
      <c r="CB192" s="379"/>
      <c r="CC192" s="379"/>
      <c r="CD192" s="379"/>
      <c r="CE192" s="379"/>
      <c r="CF192" s="379"/>
      <c r="CG192" s="379"/>
      <c r="CH192" s="34"/>
      <c r="CI192" s="34"/>
      <c r="CJ192" s="34"/>
      <c r="CK192" s="34"/>
      <c r="CL192" s="34"/>
      <c r="CM192" s="34"/>
      <c r="CN192" s="34"/>
      <c r="CO192" s="34"/>
      <c r="CP192" s="34"/>
      <c r="CQ192" s="34"/>
      <c r="CR192" s="34"/>
      <c r="CS192" s="34"/>
      <c r="CT192" s="34"/>
    </row>
    <row r="193" spans="5:98" s="246" customFormat="1" x14ac:dyDescent="0.2">
      <c r="E193" s="379"/>
      <c r="BT193" s="379"/>
      <c r="BU193" s="379"/>
      <c r="BV193" s="379"/>
      <c r="BW193" s="379"/>
      <c r="BX193" s="379"/>
      <c r="BY193" s="379"/>
      <c r="BZ193" s="379"/>
      <c r="CA193" s="379"/>
      <c r="CB193" s="379"/>
      <c r="CC193" s="379"/>
      <c r="CD193" s="379"/>
      <c r="CE193" s="379"/>
      <c r="CF193" s="379"/>
      <c r="CG193" s="379"/>
      <c r="CH193" s="34"/>
      <c r="CI193" s="34"/>
      <c r="CJ193" s="34"/>
      <c r="CK193" s="34"/>
      <c r="CL193" s="34"/>
      <c r="CM193" s="34"/>
      <c r="CN193" s="34"/>
      <c r="CO193" s="34"/>
      <c r="CP193" s="34"/>
      <c r="CQ193" s="34"/>
      <c r="CR193" s="34"/>
      <c r="CS193" s="34"/>
      <c r="CT193" s="34"/>
    </row>
    <row r="194" spans="5:98" s="246" customFormat="1" x14ac:dyDescent="0.2">
      <c r="E194" s="379"/>
      <c r="BT194" s="379"/>
      <c r="BU194" s="379"/>
      <c r="BV194" s="379"/>
      <c r="BW194" s="379"/>
      <c r="BX194" s="379"/>
      <c r="BY194" s="379"/>
      <c r="BZ194" s="379"/>
      <c r="CA194" s="379"/>
      <c r="CB194" s="379"/>
      <c r="CC194" s="379"/>
      <c r="CD194" s="379"/>
      <c r="CE194" s="379"/>
      <c r="CF194" s="379"/>
      <c r="CG194" s="379"/>
      <c r="CH194" s="34"/>
      <c r="CI194" s="34"/>
      <c r="CJ194" s="34"/>
      <c r="CK194" s="34"/>
      <c r="CL194" s="34"/>
      <c r="CM194" s="34"/>
      <c r="CN194" s="34"/>
      <c r="CO194" s="34"/>
      <c r="CP194" s="34"/>
      <c r="CQ194" s="34"/>
      <c r="CR194" s="34"/>
      <c r="CS194" s="34"/>
      <c r="CT194" s="34"/>
    </row>
    <row r="195" spans="5:98" s="246" customFormat="1" x14ac:dyDescent="0.2">
      <c r="E195" s="379"/>
      <c r="G195" s="1105"/>
      <c r="H195" s="1105"/>
      <c r="I195" s="1105"/>
      <c r="J195" s="1105"/>
      <c r="K195" s="1105"/>
      <c r="L195" s="1105"/>
      <c r="M195" s="1105"/>
      <c r="N195" s="1105"/>
      <c r="O195" s="1105"/>
      <c r="P195" s="1105"/>
      <c r="Q195" s="1105"/>
      <c r="R195" s="1105"/>
      <c r="BT195" s="379"/>
      <c r="BU195" s="379"/>
      <c r="BV195" s="379"/>
      <c r="BW195" s="379"/>
      <c r="BX195" s="379"/>
      <c r="BY195" s="379"/>
      <c r="BZ195" s="379"/>
      <c r="CA195" s="379"/>
      <c r="CB195" s="379"/>
      <c r="CC195" s="379"/>
      <c r="CD195" s="379"/>
      <c r="CE195" s="379"/>
      <c r="CF195" s="379"/>
      <c r="CG195" s="379"/>
      <c r="CH195" s="34"/>
      <c r="CI195" s="34"/>
      <c r="CJ195" s="34"/>
      <c r="CK195" s="34"/>
      <c r="CL195" s="34"/>
      <c r="CM195" s="34"/>
      <c r="CN195" s="34"/>
      <c r="CO195" s="34"/>
      <c r="CP195" s="34"/>
      <c r="CQ195" s="34"/>
      <c r="CR195" s="34"/>
      <c r="CS195" s="34"/>
      <c r="CT195" s="34"/>
    </row>
    <row r="196" spans="5:98" s="246" customFormat="1" x14ac:dyDescent="0.2">
      <c r="E196" s="379"/>
      <c r="G196" s="1105"/>
      <c r="H196" s="1105"/>
      <c r="I196" s="1105"/>
      <c r="J196" s="1105"/>
      <c r="K196" s="1105"/>
      <c r="L196" s="1105"/>
      <c r="M196" s="1105"/>
      <c r="N196" s="1105"/>
      <c r="O196" s="1105"/>
      <c r="P196" s="1105"/>
      <c r="Q196" s="1105"/>
      <c r="R196" s="1105"/>
      <c r="BT196" s="379"/>
      <c r="BU196" s="379"/>
      <c r="BV196" s="379"/>
      <c r="BW196" s="379"/>
      <c r="BX196" s="379"/>
      <c r="BY196" s="379"/>
      <c r="BZ196" s="379"/>
      <c r="CA196" s="379"/>
      <c r="CB196" s="379"/>
      <c r="CC196" s="379"/>
      <c r="CD196" s="379"/>
      <c r="CE196" s="379"/>
      <c r="CF196" s="379"/>
      <c r="CG196" s="379"/>
      <c r="CH196" s="34"/>
      <c r="CI196" s="34"/>
      <c r="CJ196" s="34"/>
      <c r="CK196" s="34"/>
      <c r="CL196" s="34"/>
      <c r="CM196" s="34"/>
      <c r="CN196" s="34"/>
      <c r="CO196" s="34"/>
      <c r="CP196" s="34"/>
      <c r="CQ196" s="34"/>
      <c r="CR196" s="34"/>
      <c r="CS196" s="34"/>
      <c r="CT196" s="34"/>
    </row>
    <row r="197" spans="5:98" s="246" customFormat="1" x14ac:dyDescent="0.2">
      <c r="E197" s="379"/>
      <c r="G197" s="1105"/>
      <c r="H197" s="1105"/>
      <c r="I197" s="1105"/>
      <c r="J197" s="1105"/>
      <c r="K197" s="1105"/>
      <c r="L197" s="1105"/>
      <c r="M197" s="1105"/>
      <c r="N197" s="1105"/>
      <c r="O197" s="1105"/>
      <c r="P197" s="1105"/>
      <c r="Q197" s="1105"/>
      <c r="R197" s="1105"/>
      <c r="BT197" s="379"/>
      <c r="BU197" s="379"/>
      <c r="BV197" s="379"/>
      <c r="BW197" s="379"/>
      <c r="BX197" s="379"/>
      <c r="BY197" s="379"/>
      <c r="BZ197" s="379"/>
      <c r="CA197" s="379"/>
      <c r="CB197" s="379"/>
      <c r="CC197" s="379"/>
      <c r="CD197" s="379"/>
      <c r="CE197" s="379"/>
      <c r="CF197" s="379"/>
      <c r="CG197" s="379"/>
      <c r="CH197" s="34"/>
      <c r="CI197" s="34"/>
      <c r="CJ197" s="34"/>
      <c r="CK197" s="34"/>
      <c r="CL197" s="34"/>
      <c r="CM197" s="34"/>
      <c r="CN197" s="34"/>
      <c r="CO197" s="34"/>
      <c r="CP197" s="34"/>
      <c r="CQ197" s="34"/>
      <c r="CR197" s="34"/>
      <c r="CS197" s="34"/>
      <c r="CT197" s="34"/>
    </row>
    <row r="198" spans="5:98" s="246" customFormat="1" x14ac:dyDescent="0.2">
      <c r="E198" s="379"/>
      <c r="G198" s="1105"/>
      <c r="H198" s="1105"/>
      <c r="I198" s="1105"/>
      <c r="J198" s="1105"/>
      <c r="K198" s="1105"/>
      <c r="L198" s="1105"/>
      <c r="M198" s="1105"/>
      <c r="N198" s="1105"/>
      <c r="O198" s="1105"/>
      <c r="P198" s="1105"/>
      <c r="Q198" s="1105"/>
      <c r="R198" s="1105"/>
      <c r="BT198" s="379"/>
      <c r="BU198" s="379"/>
      <c r="BV198" s="379"/>
      <c r="BW198" s="379"/>
      <c r="BX198" s="379"/>
      <c r="BY198" s="379"/>
      <c r="BZ198" s="379"/>
      <c r="CA198" s="379"/>
      <c r="CB198" s="379"/>
      <c r="CC198" s="379"/>
      <c r="CD198" s="379"/>
      <c r="CE198" s="379"/>
      <c r="CF198" s="379"/>
      <c r="CG198" s="379"/>
      <c r="CH198" s="34"/>
      <c r="CI198" s="34"/>
      <c r="CJ198" s="34"/>
      <c r="CK198" s="34"/>
      <c r="CL198" s="34"/>
      <c r="CM198" s="34"/>
      <c r="CN198" s="34"/>
      <c r="CO198" s="34"/>
      <c r="CP198" s="34"/>
      <c r="CQ198" s="34"/>
      <c r="CR198" s="34"/>
      <c r="CS198" s="34"/>
      <c r="CT198" s="34"/>
    </row>
    <row r="199" spans="5:98" s="246" customFormat="1" x14ac:dyDescent="0.2">
      <c r="E199" s="379"/>
      <c r="G199" s="1105"/>
      <c r="H199" s="1105"/>
      <c r="I199" s="1105"/>
      <c r="J199" s="1105"/>
      <c r="K199" s="1105"/>
      <c r="L199" s="1105"/>
      <c r="M199" s="1105"/>
      <c r="N199" s="1105"/>
      <c r="O199" s="1105"/>
      <c r="P199" s="1105"/>
      <c r="Q199" s="1105"/>
      <c r="R199" s="1105"/>
      <c r="BT199" s="379"/>
      <c r="BU199" s="379"/>
      <c r="BV199" s="379"/>
      <c r="BW199" s="379"/>
      <c r="BX199" s="379"/>
      <c r="BY199" s="379"/>
      <c r="BZ199" s="379"/>
      <c r="CA199" s="379"/>
      <c r="CB199" s="379"/>
      <c r="CC199" s="379"/>
      <c r="CD199" s="379"/>
      <c r="CE199" s="379"/>
      <c r="CF199" s="379"/>
      <c r="CG199" s="379"/>
      <c r="CH199" s="34"/>
      <c r="CI199" s="34"/>
      <c r="CJ199" s="34"/>
      <c r="CK199" s="34"/>
      <c r="CL199" s="34"/>
      <c r="CM199" s="34"/>
      <c r="CN199" s="34"/>
      <c r="CO199" s="34"/>
      <c r="CP199" s="34"/>
      <c r="CQ199" s="34"/>
      <c r="CR199" s="34"/>
      <c r="CS199" s="34"/>
      <c r="CT199" s="34"/>
    </row>
    <row r="200" spans="5:98" s="246" customFormat="1" x14ac:dyDescent="0.2">
      <c r="E200" s="379"/>
      <c r="G200" s="1105"/>
      <c r="H200" s="1105"/>
      <c r="I200" s="1105"/>
      <c r="J200" s="1105"/>
      <c r="K200" s="1105"/>
      <c r="L200" s="1105"/>
      <c r="M200" s="1105"/>
      <c r="N200" s="1105"/>
      <c r="O200" s="1105"/>
      <c r="P200" s="1105"/>
      <c r="Q200" s="1105"/>
      <c r="R200" s="1105"/>
      <c r="BT200" s="379"/>
      <c r="BU200" s="379"/>
      <c r="BV200" s="379"/>
      <c r="BW200" s="379"/>
      <c r="BX200" s="379"/>
      <c r="BY200" s="379"/>
      <c r="BZ200" s="379"/>
      <c r="CA200" s="379"/>
      <c r="CB200" s="379"/>
      <c r="CC200" s="379"/>
      <c r="CD200" s="379"/>
      <c r="CE200" s="379"/>
      <c r="CF200" s="379"/>
      <c r="CG200" s="379"/>
      <c r="CH200" s="34"/>
      <c r="CI200" s="34"/>
      <c r="CJ200" s="34"/>
      <c r="CK200" s="34"/>
      <c r="CL200" s="34"/>
      <c r="CM200" s="34"/>
      <c r="CN200" s="34"/>
      <c r="CO200" s="34"/>
      <c r="CP200" s="34"/>
      <c r="CQ200" s="34"/>
      <c r="CR200" s="34"/>
      <c r="CS200" s="34"/>
      <c r="CT200" s="34"/>
    </row>
    <row r="201" spans="5:98" s="246" customFormat="1" x14ac:dyDescent="0.2">
      <c r="E201" s="379"/>
      <c r="G201" s="1105"/>
      <c r="H201" s="1105"/>
      <c r="I201" s="1105"/>
      <c r="J201" s="1105"/>
      <c r="K201" s="1105"/>
      <c r="L201" s="1105"/>
      <c r="M201" s="1105"/>
      <c r="N201" s="1105"/>
      <c r="O201" s="1105"/>
      <c r="P201" s="1105"/>
      <c r="Q201" s="1105"/>
      <c r="R201" s="1105"/>
      <c r="BT201" s="379"/>
      <c r="BU201" s="379"/>
      <c r="BV201" s="379"/>
      <c r="BW201" s="379"/>
      <c r="BX201" s="379"/>
      <c r="BY201" s="379"/>
      <c r="BZ201" s="379"/>
      <c r="CA201" s="379"/>
      <c r="CB201" s="379"/>
      <c r="CC201" s="379"/>
      <c r="CD201" s="379"/>
      <c r="CE201" s="379"/>
      <c r="CF201" s="379"/>
      <c r="CG201" s="379"/>
      <c r="CH201" s="34"/>
      <c r="CI201" s="34"/>
      <c r="CJ201" s="34"/>
      <c r="CK201" s="34"/>
      <c r="CL201" s="34"/>
      <c r="CM201" s="34"/>
      <c r="CN201" s="34"/>
      <c r="CO201" s="34"/>
      <c r="CP201" s="34"/>
      <c r="CQ201" s="34"/>
      <c r="CR201" s="34"/>
      <c r="CS201" s="34"/>
      <c r="CT201" s="34"/>
    </row>
    <row r="202" spans="5:98" s="246" customFormat="1" x14ac:dyDescent="0.2">
      <c r="E202" s="379"/>
      <c r="G202" s="1105"/>
      <c r="H202" s="1105"/>
      <c r="I202" s="1105"/>
      <c r="J202" s="1105"/>
      <c r="K202" s="1105"/>
      <c r="L202" s="1105"/>
      <c r="M202" s="1105"/>
      <c r="N202" s="1105"/>
      <c r="O202" s="1105"/>
      <c r="P202" s="1105"/>
      <c r="Q202" s="1105"/>
      <c r="R202" s="1105"/>
      <c r="BT202" s="379"/>
      <c r="BU202" s="379"/>
      <c r="BV202" s="379"/>
      <c r="BW202" s="379"/>
      <c r="BX202" s="379"/>
      <c r="BY202" s="379"/>
      <c r="BZ202" s="379"/>
      <c r="CA202" s="379"/>
      <c r="CB202" s="379"/>
      <c r="CC202" s="379"/>
      <c r="CD202" s="379"/>
      <c r="CE202" s="379"/>
      <c r="CF202" s="379"/>
      <c r="CG202" s="379"/>
      <c r="CH202" s="34"/>
      <c r="CI202" s="34"/>
      <c r="CJ202" s="34"/>
      <c r="CK202" s="34"/>
      <c r="CL202" s="34"/>
      <c r="CM202" s="34"/>
      <c r="CN202" s="34"/>
      <c r="CO202" s="34"/>
      <c r="CP202" s="34"/>
      <c r="CQ202" s="34"/>
      <c r="CR202" s="34"/>
      <c r="CS202" s="34"/>
      <c r="CT202" s="34"/>
    </row>
    <row r="203" spans="5:98" s="246" customFormat="1" x14ac:dyDescent="0.2">
      <c r="E203" s="379"/>
      <c r="G203" s="1105"/>
      <c r="H203" s="1105"/>
      <c r="I203" s="1105"/>
      <c r="J203" s="1105"/>
      <c r="K203" s="1105"/>
      <c r="L203" s="1105"/>
      <c r="M203" s="1105"/>
      <c r="N203" s="1105"/>
      <c r="O203" s="1105"/>
      <c r="P203" s="1105"/>
      <c r="Q203" s="1105"/>
      <c r="R203" s="1105"/>
      <c r="BT203" s="379"/>
      <c r="BU203" s="379"/>
      <c r="BV203" s="379"/>
      <c r="BW203" s="379"/>
      <c r="BX203" s="379"/>
      <c r="BY203" s="379"/>
      <c r="BZ203" s="379"/>
      <c r="CA203" s="379"/>
      <c r="CB203" s="379"/>
      <c r="CC203" s="379"/>
      <c r="CD203" s="379"/>
      <c r="CE203" s="379"/>
      <c r="CF203" s="379"/>
      <c r="CG203" s="379"/>
      <c r="CH203" s="34"/>
      <c r="CI203" s="34"/>
      <c r="CJ203" s="34"/>
      <c r="CK203" s="34"/>
      <c r="CL203" s="34"/>
      <c r="CM203" s="34"/>
      <c r="CN203" s="34"/>
      <c r="CO203" s="34"/>
      <c r="CP203" s="34"/>
      <c r="CQ203" s="34"/>
      <c r="CR203" s="34"/>
      <c r="CS203" s="34"/>
      <c r="CT203" s="34"/>
    </row>
    <row r="204" spans="5:98" s="246" customFormat="1" x14ac:dyDescent="0.2">
      <c r="E204" s="379"/>
      <c r="G204" s="1105"/>
      <c r="H204" s="1105"/>
      <c r="I204" s="1105"/>
      <c r="J204" s="1105"/>
      <c r="K204" s="1105"/>
      <c r="L204" s="1105"/>
      <c r="M204" s="1105"/>
      <c r="N204" s="1105"/>
      <c r="O204" s="1105"/>
      <c r="P204" s="1105"/>
      <c r="Q204" s="1105"/>
      <c r="R204" s="1105"/>
      <c r="BT204" s="379"/>
      <c r="BU204" s="379"/>
      <c r="BV204" s="379"/>
      <c r="BW204" s="379"/>
      <c r="BX204" s="379"/>
      <c r="BY204" s="379"/>
      <c r="BZ204" s="379"/>
      <c r="CA204" s="379"/>
      <c r="CB204" s="379"/>
      <c r="CC204" s="379"/>
      <c r="CD204" s="379"/>
      <c r="CE204" s="379"/>
      <c r="CF204" s="379"/>
      <c r="CG204" s="379"/>
      <c r="CH204" s="34"/>
      <c r="CI204" s="34"/>
      <c r="CJ204" s="34"/>
      <c r="CK204" s="34"/>
      <c r="CL204" s="34"/>
      <c r="CM204" s="34"/>
      <c r="CN204" s="34"/>
      <c r="CO204" s="34"/>
      <c r="CP204" s="34"/>
      <c r="CQ204" s="34"/>
      <c r="CR204" s="34"/>
      <c r="CS204" s="34"/>
      <c r="CT204" s="34"/>
    </row>
    <row r="205" spans="5:98" s="246" customFormat="1" x14ac:dyDescent="0.2">
      <c r="E205" s="379"/>
      <c r="G205" s="1105"/>
      <c r="H205" s="1105"/>
      <c r="I205" s="1105"/>
      <c r="J205" s="1105"/>
      <c r="K205" s="1105"/>
      <c r="L205" s="1105"/>
      <c r="M205" s="1105"/>
      <c r="N205" s="1105"/>
      <c r="O205" s="1105"/>
      <c r="P205" s="1105"/>
      <c r="Q205" s="1105"/>
      <c r="R205" s="1105"/>
      <c r="BT205" s="379"/>
      <c r="BU205" s="379"/>
      <c r="BV205" s="379"/>
      <c r="BW205" s="379"/>
      <c r="BX205" s="379"/>
      <c r="BY205" s="379"/>
      <c r="BZ205" s="379"/>
      <c r="CA205" s="379"/>
      <c r="CB205" s="379"/>
      <c r="CC205" s="379"/>
      <c r="CD205" s="379"/>
      <c r="CE205" s="379"/>
      <c r="CF205" s="379"/>
      <c r="CG205" s="379"/>
      <c r="CH205" s="34"/>
      <c r="CI205" s="34"/>
      <c r="CJ205" s="34"/>
      <c r="CK205" s="34"/>
      <c r="CL205" s="34"/>
      <c r="CM205" s="34"/>
      <c r="CN205" s="34"/>
      <c r="CO205" s="34"/>
      <c r="CP205" s="34"/>
      <c r="CQ205" s="34"/>
      <c r="CR205" s="34"/>
      <c r="CS205" s="34"/>
      <c r="CT205" s="34"/>
    </row>
    <row r="206" spans="5:98" s="246" customFormat="1" x14ac:dyDescent="0.2">
      <c r="E206" s="379"/>
      <c r="G206" s="1105"/>
      <c r="H206" s="1105"/>
      <c r="I206" s="1105"/>
      <c r="J206" s="1105"/>
      <c r="K206" s="1105"/>
      <c r="L206" s="1105"/>
      <c r="M206" s="1105"/>
      <c r="N206" s="1105"/>
      <c r="O206" s="1105"/>
      <c r="P206" s="1105"/>
      <c r="Q206" s="1105"/>
      <c r="R206" s="1105"/>
      <c r="BT206" s="379"/>
      <c r="BU206" s="379"/>
      <c r="BV206" s="379"/>
      <c r="BW206" s="379"/>
      <c r="BX206" s="379"/>
      <c r="BY206" s="379"/>
      <c r="BZ206" s="379"/>
      <c r="CA206" s="379"/>
      <c r="CB206" s="379"/>
      <c r="CC206" s="379"/>
      <c r="CD206" s="379"/>
      <c r="CE206" s="379"/>
      <c r="CF206" s="379"/>
      <c r="CG206" s="379"/>
      <c r="CH206" s="34"/>
      <c r="CI206" s="34"/>
      <c r="CJ206" s="34"/>
      <c r="CK206" s="34"/>
      <c r="CL206" s="34"/>
      <c r="CM206" s="34"/>
      <c r="CN206" s="34"/>
      <c r="CO206" s="34"/>
      <c r="CP206" s="34"/>
      <c r="CQ206" s="34"/>
      <c r="CR206" s="34"/>
      <c r="CS206" s="34"/>
      <c r="CT206" s="34"/>
    </row>
    <row r="207" spans="5:98" s="246" customFormat="1" x14ac:dyDescent="0.2">
      <c r="E207" s="379"/>
      <c r="G207" s="1105"/>
      <c r="H207" s="1105"/>
      <c r="I207" s="1105"/>
      <c r="J207" s="1105"/>
      <c r="K207" s="1105"/>
      <c r="L207" s="1105"/>
      <c r="M207" s="1105"/>
      <c r="N207" s="1105"/>
      <c r="O207" s="1105"/>
      <c r="P207" s="1105"/>
      <c r="Q207" s="1105"/>
      <c r="R207" s="1105"/>
      <c r="BT207" s="379"/>
      <c r="BU207" s="379"/>
      <c r="BV207" s="379"/>
      <c r="BW207" s="379"/>
      <c r="BX207" s="379"/>
      <c r="BY207" s="379"/>
      <c r="BZ207" s="379"/>
      <c r="CA207" s="379"/>
      <c r="CB207" s="379"/>
      <c r="CC207" s="379"/>
      <c r="CD207" s="379"/>
      <c r="CE207" s="379"/>
      <c r="CF207" s="379"/>
      <c r="CG207" s="379"/>
      <c r="CH207" s="34"/>
      <c r="CI207" s="34"/>
      <c r="CJ207" s="34"/>
      <c r="CK207" s="34"/>
      <c r="CL207" s="34"/>
      <c r="CM207" s="34"/>
      <c r="CN207" s="34"/>
      <c r="CO207" s="34"/>
      <c r="CP207" s="34"/>
      <c r="CQ207" s="34"/>
      <c r="CR207" s="34"/>
      <c r="CS207" s="34"/>
      <c r="CT207" s="34"/>
    </row>
    <row r="208" spans="5:98" s="246" customFormat="1" x14ac:dyDescent="0.2">
      <c r="E208" s="379"/>
      <c r="G208" s="1105"/>
      <c r="H208" s="1105"/>
      <c r="I208" s="1105"/>
      <c r="J208" s="1105"/>
      <c r="K208" s="1105"/>
      <c r="L208" s="1105"/>
      <c r="M208" s="1105"/>
      <c r="N208" s="1105"/>
      <c r="O208" s="1105"/>
      <c r="P208" s="1105"/>
      <c r="Q208" s="1105"/>
      <c r="R208" s="1105"/>
      <c r="BT208" s="379"/>
      <c r="BU208" s="379"/>
      <c r="BV208" s="379"/>
      <c r="BW208" s="379"/>
      <c r="BX208" s="379"/>
      <c r="BY208" s="379"/>
      <c r="BZ208" s="379"/>
      <c r="CA208" s="379"/>
      <c r="CB208" s="379"/>
      <c r="CC208" s="379"/>
      <c r="CD208" s="379"/>
      <c r="CE208" s="379"/>
      <c r="CF208" s="379"/>
      <c r="CG208" s="379"/>
      <c r="CH208" s="34"/>
      <c r="CI208" s="34"/>
      <c r="CJ208" s="34"/>
      <c r="CK208" s="34"/>
      <c r="CL208" s="34"/>
      <c r="CM208" s="34"/>
      <c r="CN208" s="34"/>
      <c r="CO208" s="34"/>
      <c r="CP208" s="34"/>
      <c r="CQ208" s="34"/>
      <c r="CR208" s="34"/>
      <c r="CS208" s="34"/>
      <c r="CT208" s="34"/>
    </row>
    <row r="209" spans="5:98" s="246" customFormat="1" x14ac:dyDescent="0.2">
      <c r="E209" s="379"/>
      <c r="G209" s="1105"/>
      <c r="H209" s="1105"/>
      <c r="I209" s="1105"/>
      <c r="J209" s="1105"/>
      <c r="K209" s="1105"/>
      <c r="L209" s="1105"/>
      <c r="M209" s="1105"/>
      <c r="N209" s="1105"/>
      <c r="O209" s="1105"/>
      <c r="P209" s="1105"/>
      <c r="Q209" s="1105"/>
      <c r="R209" s="1105"/>
      <c r="BT209" s="379"/>
      <c r="BU209" s="379"/>
      <c r="BV209" s="379"/>
      <c r="BW209" s="379"/>
      <c r="BX209" s="379"/>
      <c r="BY209" s="379"/>
      <c r="BZ209" s="379"/>
      <c r="CA209" s="379"/>
      <c r="CB209" s="379"/>
      <c r="CC209" s="379"/>
      <c r="CD209" s="379"/>
      <c r="CE209" s="379"/>
      <c r="CF209" s="379"/>
      <c r="CG209" s="379"/>
      <c r="CH209" s="34"/>
      <c r="CI209" s="34"/>
      <c r="CJ209" s="34"/>
      <c r="CK209" s="34"/>
      <c r="CL209" s="34"/>
      <c r="CM209" s="34"/>
      <c r="CN209" s="34"/>
      <c r="CO209" s="34"/>
      <c r="CP209" s="34"/>
      <c r="CQ209" s="34"/>
      <c r="CR209" s="34"/>
      <c r="CS209" s="34"/>
      <c r="CT209" s="34"/>
    </row>
    <row r="210" spans="5:98" s="246" customFormat="1" x14ac:dyDescent="0.2">
      <c r="E210" s="379"/>
      <c r="G210" s="1105"/>
      <c r="H210" s="1105"/>
      <c r="I210" s="1105"/>
      <c r="J210" s="1105"/>
      <c r="K210" s="1105"/>
      <c r="L210" s="1105"/>
      <c r="M210" s="1105"/>
      <c r="N210" s="1105"/>
      <c r="O210" s="1105"/>
      <c r="P210" s="1105"/>
      <c r="Q210" s="1105"/>
      <c r="R210" s="1105"/>
      <c r="BT210" s="379"/>
      <c r="BU210" s="379"/>
      <c r="BV210" s="379"/>
      <c r="BW210" s="379"/>
      <c r="BX210" s="379"/>
      <c r="BY210" s="379"/>
      <c r="BZ210" s="379"/>
      <c r="CA210" s="379"/>
      <c r="CB210" s="379"/>
      <c r="CC210" s="379"/>
      <c r="CD210" s="379"/>
      <c r="CE210" s="379"/>
      <c r="CF210" s="379"/>
      <c r="CG210" s="379"/>
      <c r="CH210" s="34"/>
      <c r="CI210" s="34"/>
      <c r="CJ210" s="34"/>
      <c r="CK210" s="34"/>
      <c r="CL210" s="34"/>
      <c r="CM210" s="34"/>
      <c r="CN210" s="34"/>
      <c r="CO210" s="34"/>
      <c r="CP210" s="34"/>
      <c r="CQ210" s="34"/>
      <c r="CR210" s="34"/>
      <c r="CS210" s="34"/>
      <c r="CT210" s="34"/>
    </row>
    <row r="211" spans="5:98" s="246" customFormat="1" x14ac:dyDescent="0.2">
      <c r="E211" s="379"/>
      <c r="G211" s="1105"/>
      <c r="H211" s="1105"/>
      <c r="I211" s="1105"/>
      <c r="J211" s="1105"/>
      <c r="K211" s="1105"/>
      <c r="L211" s="1105"/>
      <c r="M211" s="1105"/>
      <c r="N211" s="1105"/>
      <c r="O211" s="1105"/>
      <c r="P211" s="1105"/>
      <c r="Q211" s="1105"/>
      <c r="R211" s="1105"/>
      <c r="BT211" s="379"/>
      <c r="BU211" s="379"/>
      <c r="BV211" s="379"/>
      <c r="BW211" s="379"/>
      <c r="BX211" s="379"/>
      <c r="BY211" s="379"/>
      <c r="BZ211" s="379"/>
      <c r="CA211" s="379"/>
      <c r="CB211" s="379"/>
      <c r="CC211" s="379"/>
      <c r="CD211" s="379"/>
      <c r="CE211" s="379"/>
      <c r="CF211" s="379"/>
      <c r="CG211" s="379"/>
      <c r="CH211" s="34"/>
      <c r="CI211" s="34"/>
      <c r="CJ211" s="34"/>
      <c r="CK211" s="34"/>
      <c r="CL211" s="34"/>
      <c r="CM211" s="34"/>
      <c r="CN211" s="34"/>
      <c r="CO211" s="34"/>
      <c r="CP211" s="34"/>
      <c r="CQ211" s="34"/>
      <c r="CR211" s="34"/>
      <c r="CS211" s="34"/>
      <c r="CT211" s="34"/>
    </row>
    <row r="212" spans="5:98" s="246" customFormat="1" x14ac:dyDescent="0.2">
      <c r="E212" s="379"/>
      <c r="G212" s="1105"/>
      <c r="H212" s="1105"/>
      <c r="I212" s="1105"/>
      <c r="J212" s="1105"/>
      <c r="K212" s="1105"/>
      <c r="L212" s="1105"/>
      <c r="M212" s="1105"/>
      <c r="N212" s="1105"/>
      <c r="O212" s="1105"/>
      <c r="P212" s="1105"/>
      <c r="Q212" s="1105"/>
      <c r="R212" s="1105"/>
      <c r="BT212" s="379"/>
      <c r="BU212" s="379"/>
      <c r="BV212" s="379"/>
      <c r="BW212" s="379"/>
      <c r="BX212" s="379"/>
      <c r="BY212" s="379"/>
      <c r="BZ212" s="379"/>
      <c r="CA212" s="379"/>
      <c r="CB212" s="379"/>
      <c r="CC212" s="379"/>
      <c r="CD212" s="379"/>
      <c r="CE212" s="379"/>
      <c r="CF212" s="379"/>
      <c r="CG212" s="379"/>
      <c r="CH212" s="34"/>
      <c r="CI212" s="34"/>
      <c r="CJ212" s="34"/>
      <c r="CK212" s="34"/>
      <c r="CL212" s="34"/>
      <c r="CM212" s="34"/>
      <c r="CN212" s="34"/>
      <c r="CO212" s="34"/>
      <c r="CP212" s="34"/>
      <c r="CQ212" s="34"/>
      <c r="CR212" s="34"/>
      <c r="CS212" s="34"/>
      <c r="CT212" s="34"/>
    </row>
    <row r="213" spans="5:98" s="246" customFormat="1" x14ac:dyDescent="0.2">
      <c r="E213" s="379"/>
      <c r="G213" s="1105"/>
      <c r="H213" s="1105"/>
      <c r="I213" s="1105"/>
      <c r="J213" s="1105"/>
      <c r="K213" s="1105"/>
      <c r="L213" s="1105"/>
      <c r="M213" s="1105"/>
      <c r="N213" s="1105"/>
      <c r="O213" s="1105"/>
      <c r="P213" s="1105"/>
      <c r="Q213" s="1105"/>
      <c r="R213" s="1105"/>
      <c r="BT213" s="379"/>
      <c r="BU213" s="379"/>
      <c r="BV213" s="379"/>
      <c r="BW213" s="379"/>
      <c r="BX213" s="379"/>
      <c r="BY213" s="379"/>
      <c r="BZ213" s="379"/>
      <c r="CA213" s="379"/>
      <c r="CB213" s="379"/>
      <c r="CC213" s="379"/>
      <c r="CD213" s="379"/>
      <c r="CE213" s="379"/>
      <c r="CF213" s="379"/>
      <c r="CG213" s="379"/>
      <c r="CH213" s="34"/>
      <c r="CI213" s="34"/>
      <c r="CJ213" s="34"/>
      <c r="CK213" s="34"/>
      <c r="CL213" s="34"/>
      <c r="CM213" s="34"/>
      <c r="CN213" s="34"/>
      <c r="CO213" s="34"/>
      <c r="CP213" s="34"/>
      <c r="CQ213" s="34"/>
      <c r="CR213" s="34"/>
      <c r="CS213" s="34"/>
      <c r="CT213" s="34"/>
    </row>
    <row r="214" spans="5:98" s="246" customFormat="1" x14ac:dyDescent="0.2">
      <c r="E214" s="379"/>
      <c r="G214" s="1105"/>
      <c r="H214" s="1105"/>
      <c r="I214" s="1105"/>
      <c r="J214" s="1105"/>
      <c r="K214" s="1105"/>
      <c r="L214" s="1105"/>
      <c r="M214" s="1105"/>
      <c r="N214" s="1105"/>
      <c r="O214" s="1105"/>
      <c r="P214" s="1105"/>
      <c r="Q214" s="1105"/>
      <c r="R214" s="1105"/>
      <c r="BT214" s="379"/>
      <c r="BU214" s="379"/>
      <c r="BV214" s="379"/>
      <c r="BW214" s="379"/>
      <c r="BX214" s="379"/>
      <c r="BY214" s="379"/>
      <c r="BZ214" s="379"/>
      <c r="CA214" s="379"/>
      <c r="CB214" s="379"/>
      <c r="CC214" s="379"/>
      <c r="CD214" s="379"/>
      <c r="CE214" s="379"/>
      <c r="CF214" s="379"/>
      <c r="CG214" s="379"/>
      <c r="CH214" s="34"/>
      <c r="CI214" s="34"/>
      <c r="CJ214" s="34"/>
      <c r="CK214" s="34"/>
      <c r="CL214" s="34"/>
      <c r="CM214" s="34"/>
      <c r="CN214" s="34"/>
      <c r="CO214" s="34"/>
      <c r="CP214" s="34"/>
      <c r="CQ214" s="34"/>
      <c r="CR214" s="34"/>
      <c r="CS214" s="34"/>
      <c r="CT214" s="34"/>
    </row>
    <row r="215" spans="5:98" s="246" customFormat="1" x14ac:dyDescent="0.2">
      <c r="E215" s="379"/>
      <c r="G215" s="1105"/>
      <c r="H215" s="1105"/>
      <c r="I215" s="1105"/>
      <c r="J215" s="1105"/>
      <c r="K215" s="1105"/>
      <c r="L215" s="1105"/>
      <c r="M215" s="1105"/>
      <c r="N215" s="1105"/>
      <c r="O215" s="1105"/>
      <c r="P215" s="1105"/>
      <c r="Q215" s="1105"/>
      <c r="R215" s="1105"/>
      <c r="BT215" s="379"/>
      <c r="BU215" s="379"/>
      <c r="BV215" s="379"/>
      <c r="BW215" s="379"/>
      <c r="BX215" s="379"/>
      <c r="BY215" s="379"/>
      <c r="BZ215" s="379"/>
      <c r="CA215" s="379"/>
      <c r="CB215" s="379"/>
      <c r="CC215" s="379"/>
      <c r="CD215" s="379"/>
      <c r="CE215" s="379"/>
      <c r="CF215" s="379"/>
      <c r="CG215" s="379"/>
      <c r="CH215" s="34"/>
      <c r="CI215" s="34"/>
      <c r="CJ215" s="34"/>
      <c r="CK215" s="34"/>
      <c r="CL215" s="34"/>
      <c r="CM215" s="34"/>
      <c r="CN215" s="34"/>
      <c r="CO215" s="34"/>
      <c r="CP215" s="34"/>
      <c r="CQ215" s="34"/>
      <c r="CR215" s="34"/>
      <c r="CS215" s="34"/>
      <c r="CT215" s="34"/>
    </row>
    <row r="216" spans="5:98" s="246" customFormat="1" x14ac:dyDescent="0.2">
      <c r="E216" s="379"/>
      <c r="G216" s="1105"/>
      <c r="H216" s="1105"/>
      <c r="I216" s="1105"/>
      <c r="J216" s="1105"/>
      <c r="K216" s="1105"/>
      <c r="L216" s="1105"/>
      <c r="M216" s="1105"/>
      <c r="N216" s="1105"/>
      <c r="O216" s="1105"/>
      <c r="P216" s="1105"/>
      <c r="Q216" s="1105"/>
      <c r="R216" s="1105"/>
      <c r="BT216" s="379"/>
      <c r="BU216" s="379"/>
      <c r="BV216" s="379"/>
      <c r="BW216" s="379"/>
      <c r="BX216" s="379"/>
      <c r="BY216" s="379"/>
      <c r="BZ216" s="379"/>
      <c r="CA216" s="379"/>
      <c r="CB216" s="379"/>
      <c r="CC216" s="379"/>
      <c r="CD216" s="379"/>
      <c r="CE216" s="379"/>
      <c r="CF216" s="379"/>
      <c r="CG216" s="379"/>
      <c r="CH216" s="34"/>
      <c r="CI216" s="34"/>
      <c r="CJ216" s="34"/>
      <c r="CK216" s="34"/>
      <c r="CL216" s="34"/>
      <c r="CM216" s="34"/>
      <c r="CN216" s="34"/>
      <c r="CO216" s="34"/>
      <c r="CP216" s="34"/>
      <c r="CQ216" s="34"/>
      <c r="CR216" s="34"/>
      <c r="CS216" s="34"/>
      <c r="CT216" s="34"/>
    </row>
    <row r="217" spans="5:98" s="246" customFormat="1" x14ac:dyDescent="0.2">
      <c r="E217" s="379"/>
      <c r="G217" s="1105"/>
      <c r="H217" s="1105"/>
      <c r="I217" s="1105"/>
      <c r="J217" s="1105"/>
      <c r="K217" s="1105"/>
      <c r="L217" s="1105"/>
      <c r="M217" s="1105"/>
      <c r="N217" s="1105"/>
      <c r="O217" s="1105"/>
      <c r="P217" s="1105"/>
      <c r="Q217" s="1105"/>
      <c r="R217" s="1105"/>
      <c r="BT217" s="379"/>
      <c r="BU217" s="379"/>
      <c r="BV217" s="379"/>
      <c r="BW217" s="379"/>
      <c r="BX217" s="379"/>
      <c r="BY217" s="379"/>
      <c r="BZ217" s="379"/>
      <c r="CA217" s="379"/>
      <c r="CB217" s="379"/>
      <c r="CC217" s="379"/>
      <c r="CD217" s="379"/>
      <c r="CE217" s="379"/>
      <c r="CF217" s="379"/>
      <c r="CG217" s="379"/>
      <c r="CH217" s="34"/>
      <c r="CI217" s="34"/>
      <c r="CJ217" s="34"/>
      <c r="CK217" s="34"/>
      <c r="CL217" s="34"/>
      <c r="CM217" s="34"/>
      <c r="CN217" s="34"/>
      <c r="CO217" s="34"/>
      <c r="CP217" s="34"/>
      <c r="CQ217" s="34"/>
      <c r="CR217" s="34"/>
      <c r="CS217" s="34"/>
      <c r="CT217" s="34"/>
    </row>
    <row r="218" spans="5:98" s="246" customFormat="1" x14ac:dyDescent="0.2">
      <c r="E218" s="379"/>
      <c r="G218" s="1105"/>
      <c r="H218" s="1105"/>
      <c r="I218" s="1105"/>
      <c r="J218" s="1105"/>
      <c r="K218" s="1105"/>
      <c r="L218" s="1105"/>
      <c r="M218" s="1105"/>
      <c r="N218" s="1105"/>
      <c r="O218" s="1105"/>
      <c r="P218" s="1105"/>
      <c r="Q218" s="1105"/>
      <c r="R218" s="1105"/>
      <c r="BT218" s="379"/>
      <c r="BU218" s="379"/>
      <c r="BV218" s="379"/>
      <c r="BW218" s="379"/>
      <c r="BX218" s="379"/>
      <c r="BY218" s="379"/>
      <c r="BZ218" s="379"/>
      <c r="CA218" s="379"/>
      <c r="CB218" s="379"/>
      <c r="CC218" s="379"/>
      <c r="CD218" s="379"/>
      <c r="CE218" s="379"/>
      <c r="CF218" s="379"/>
      <c r="CG218" s="379"/>
      <c r="CH218" s="34"/>
      <c r="CI218" s="34"/>
      <c r="CJ218" s="34"/>
      <c r="CK218" s="34"/>
      <c r="CL218" s="34"/>
      <c r="CM218" s="34"/>
      <c r="CN218" s="34"/>
      <c r="CO218" s="34"/>
      <c r="CP218" s="34"/>
      <c r="CQ218" s="34"/>
      <c r="CR218" s="34"/>
      <c r="CS218" s="34"/>
      <c r="CT218" s="34"/>
    </row>
    <row r="219" spans="5:98" s="246" customFormat="1" x14ac:dyDescent="0.2">
      <c r="E219" s="379"/>
      <c r="G219" s="1105"/>
      <c r="H219" s="1105"/>
      <c r="I219" s="1105"/>
      <c r="J219" s="1105"/>
      <c r="K219" s="1105"/>
      <c r="L219" s="1105"/>
      <c r="M219" s="1105"/>
      <c r="N219" s="1105"/>
      <c r="O219" s="1105"/>
      <c r="P219" s="1105"/>
      <c r="Q219" s="1105"/>
      <c r="R219" s="1105"/>
      <c r="BT219" s="379"/>
      <c r="BU219" s="379"/>
      <c r="BV219" s="379"/>
      <c r="BW219" s="379"/>
      <c r="BX219" s="379"/>
      <c r="BY219" s="379"/>
      <c r="BZ219" s="379"/>
      <c r="CA219" s="379"/>
      <c r="CB219" s="379"/>
      <c r="CC219" s="379"/>
      <c r="CD219" s="379"/>
      <c r="CE219" s="379"/>
      <c r="CF219" s="379"/>
      <c r="CG219" s="379"/>
      <c r="CH219" s="34"/>
      <c r="CI219" s="34"/>
      <c r="CJ219" s="34"/>
      <c r="CK219" s="34"/>
      <c r="CL219" s="34"/>
      <c r="CM219" s="34"/>
      <c r="CN219" s="34"/>
      <c r="CO219" s="34"/>
      <c r="CP219" s="34"/>
      <c r="CQ219" s="34"/>
      <c r="CR219" s="34"/>
      <c r="CS219" s="34"/>
      <c r="CT219" s="34"/>
    </row>
    <row r="220" spans="5:98" s="246" customFormat="1" x14ac:dyDescent="0.2">
      <c r="E220" s="379"/>
      <c r="G220" s="1105"/>
      <c r="H220" s="1105"/>
      <c r="I220" s="1105"/>
      <c r="J220" s="1105"/>
      <c r="K220" s="1105"/>
      <c r="L220" s="1105"/>
      <c r="M220" s="1105"/>
      <c r="N220" s="1105"/>
      <c r="O220" s="1105"/>
      <c r="P220" s="1105"/>
      <c r="Q220" s="1105"/>
      <c r="R220" s="1105"/>
      <c r="BT220" s="379"/>
      <c r="BU220" s="379"/>
      <c r="BV220" s="379"/>
      <c r="BW220" s="379"/>
      <c r="BX220" s="379"/>
      <c r="BY220" s="379"/>
      <c r="BZ220" s="379"/>
      <c r="CA220" s="379"/>
      <c r="CB220" s="379"/>
      <c r="CC220" s="379"/>
      <c r="CD220" s="379"/>
      <c r="CE220" s="379"/>
      <c r="CF220" s="379"/>
      <c r="CG220" s="379"/>
      <c r="CH220" s="34"/>
      <c r="CI220" s="34"/>
      <c r="CJ220" s="34"/>
      <c r="CK220" s="34"/>
      <c r="CL220" s="34"/>
      <c r="CM220" s="34"/>
      <c r="CN220" s="34"/>
      <c r="CO220" s="34"/>
      <c r="CP220" s="34"/>
      <c r="CQ220" s="34"/>
      <c r="CR220" s="34"/>
      <c r="CS220" s="34"/>
      <c r="CT220" s="34"/>
    </row>
    <row r="221" spans="5:98" s="246" customFormat="1" x14ac:dyDescent="0.2">
      <c r="E221" s="379"/>
      <c r="G221" s="1105"/>
      <c r="H221" s="1105"/>
      <c r="I221" s="1105"/>
      <c r="J221" s="1105"/>
      <c r="K221" s="1105"/>
      <c r="L221" s="1105"/>
      <c r="M221" s="1105"/>
      <c r="N221" s="1105"/>
      <c r="O221" s="1105"/>
      <c r="P221" s="1105"/>
      <c r="Q221" s="1105"/>
      <c r="R221" s="1105"/>
      <c r="BT221" s="379"/>
      <c r="BU221" s="379"/>
      <c r="BV221" s="379"/>
      <c r="BW221" s="379"/>
      <c r="BX221" s="379"/>
      <c r="BY221" s="379"/>
      <c r="BZ221" s="379"/>
      <c r="CA221" s="379"/>
      <c r="CB221" s="379"/>
      <c r="CC221" s="379"/>
      <c r="CD221" s="379"/>
      <c r="CE221" s="379"/>
      <c r="CF221" s="379"/>
      <c r="CG221" s="379"/>
      <c r="CH221" s="34"/>
      <c r="CI221" s="34"/>
      <c r="CJ221" s="34"/>
      <c r="CK221" s="34"/>
      <c r="CL221" s="34"/>
      <c r="CM221" s="34"/>
      <c r="CN221" s="34"/>
      <c r="CO221" s="34"/>
      <c r="CP221" s="34"/>
      <c r="CQ221" s="34"/>
      <c r="CR221" s="34"/>
      <c r="CS221" s="34"/>
      <c r="CT221" s="34"/>
    </row>
    <row r="222" spans="5:98" s="246" customFormat="1" x14ac:dyDescent="0.2">
      <c r="E222" s="379"/>
      <c r="G222" s="1105"/>
      <c r="H222" s="1105"/>
      <c r="I222" s="1105"/>
      <c r="J222" s="1105"/>
      <c r="K222" s="1105"/>
      <c r="L222" s="1105"/>
      <c r="M222" s="1105"/>
      <c r="N222" s="1105"/>
      <c r="O222" s="1105"/>
      <c r="P222" s="1105"/>
      <c r="Q222" s="1105"/>
      <c r="R222" s="1105"/>
      <c r="BT222" s="379"/>
      <c r="BU222" s="379"/>
      <c r="BV222" s="379"/>
      <c r="BW222" s="379"/>
      <c r="BX222" s="379"/>
      <c r="BY222" s="379"/>
      <c r="BZ222" s="379"/>
      <c r="CA222" s="379"/>
      <c r="CB222" s="379"/>
      <c r="CC222" s="379"/>
      <c r="CD222" s="379"/>
      <c r="CE222" s="379"/>
      <c r="CF222" s="379"/>
      <c r="CG222" s="379"/>
      <c r="CH222" s="34"/>
      <c r="CI222" s="34"/>
      <c r="CJ222" s="34"/>
      <c r="CK222" s="34"/>
      <c r="CL222" s="34"/>
      <c r="CM222" s="34"/>
      <c r="CN222" s="34"/>
      <c r="CO222" s="34"/>
      <c r="CP222" s="34"/>
      <c r="CQ222" s="34"/>
      <c r="CR222" s="34"/>
      <c r="CS222" s="34"/>
      <c r="CT222" s="34"/>
    </row>
    <row r="223" spans="5:98" s="246" customFormat="1" x14ac:dyDescent="0.2">
      <c r="E223" s="379"/>
      <c r="G223" s="1105"/>
      <c r="H223" s="1105"/>
      <c r="I223" s="1105"/>
      <c r="J223" s="1105"/>
      <c r="K223" s="1105"/>
      <c r="L223" s="1105"/>
      <c r="M223" s="1105"/>
      <c r="N223" s="1105"/>
      <c r="O223" s="1105"/>
      <c r="P223" s="1105"/>
      <c r="Q223" s="1105"/>
      <c r="R223" s="1105"/>
      <c r="BT223" s="379"/>
      <c r="BU223" s="379"/>
      <c r="BV223" s="379"/>
      <c r="BW223" s="379"/>
      <c r="BX223" s="379"/>
      <c r="BY223" s="379"/>
      <c r="BZ223" s="379"/>
      <c r="CA223" s="379"/>
      <c r="CB223" s="379"/>
      <c r="CC223" s="379"/>
      <c r="CD223" s="379"/>
      <c r="CE223" s="379"/>
      <c r="CF223" s="379"/>
      <c r="CG223" s="379"/>
      <c r="CH223" s="34"/>
      <c r="CI223" s="34"/>
      <c r="CJ223" s="34"/>
      <c r="CK223" s="34"/>
      <c r="CL223" s="34"/>
      <c r="CM223" s="34"/>
      <c r="CN223" s="34"/>
      <c r="CO223" s="34"/>
      <c r="CP223" s="34"/>
      <c r="CQ223" s="34"/>
      <c r="CR223" s="34"/>
      <c r="CS223" s="34"/>
      <c r="CT223" s="34"/>
    </row>
    <row r="224" spans="5:98" s="246" customFormat="1" x14ac:dyDescent="0.2">
      <c r="E224" s="379"/>
      <c r="G224" s="1105"/>
      <c r="H224" s="1105"/>
      <c r="I224" s="1105"/>
      <c r="J224" s="1105"/>
      <c r="K224" s="1105"/>
      <c r="L224" s="1105"/>
      <c r="M224" s="1105"/>
      <c r="N224" s="1105"/>
      <c r="O224" s="1105"/>
      <c r="P224" s="1105"/>
      <c r="Q224" s="1105"/>
      <c r="R224" s="1105"/>
      <c r="BT224" s="379"/>
      <c r="BU224" s="379"/>
      <c r="BV224" s="379"/>
      <c r="BW224" s="379"/>
      <c r="BX224" s="379"/>
      <c r="BY224" s="379"/>
      <c r="BZ224" s="379"/>
      <c r="CA224" s="379"/>
      <c r="CB224" s="379"/>
      <c r="CC224" s="379"/>
      <c r="CD224" s="379"/>
      <c r="CE224" s="379"/>
      <c r="CF224" s="379"/>
      <c r="CG224" s="379"/>
      <c r="CH224" s="34"/>
      <c r="CI224" s="34"/>
      <c r="CJ224" s="34"/>
      <c r="CK224" s="34"/>
      <c r="CL224" s="34"/>
      <c r="CM224" s="34"/>
      <c r="CN224" s="34"/>
      <c r="CO224" s="34"/>
      <c r="CP224" s="34"/>
      <c r="CQ224" s="34"/>
      <c r="CR224" s="34"/>
      <c r="CS224" s="34"/>
      <c r="CT224" s="34"/>
    </row>
    <row r="225" spans="5:98" s="246" customFormat="1" x14ac:dyDescent="0.2">
      <c r="E225" s="379"/>
      <c r="G225" s="1105"/>
      <c r="H225" s="1105"/>
      <c r="I225" s="1105"/>
      <c r="J225" s="1105"/>
      <c r="K225" s="1105"/>
      <c r="L225" s="1105"/>
      <c r="M225" s="1105"/>
      <c r="N225" s="1105"/>
      <c r="O225" s="1105"/>
      <c r="P225" s="1105"/>
      <c r="Q225" s="1105"/>
      <c r="R225" s="1105"/>
      <c r="BT225" s="379"/>
      <c r="BU225" s="379"/>
      <c r="BV225" s="379"/>
      <c r="BW225" s="379"/>
      <c r="BX225" s="379"/>
      <c r="BY225" s="379"/>
      <c r="BZ225" s="379"/>
      <c r="CA225" s="379"/>
      <c r="CB225" s="379"/>
      <c r="CC225" s="379"/>
      <c r="CD225" s="379"/>
      <c r="CE225" s="379"/>
      <c r="CF225" s="379"/>
      <c r="CG225" s="379"/>
      <c r="CH225" s="34"/>
      <c r="CI225" s="34"/>
      <c r="CJ225" s="34"/>
      <c r="CK225" s="34"/>
      <c r="CL225" s="34"/>
      <c r="CM225" s="34"/>
      <c r="CN225" s="34"/>
      <c r="CO225" s="34"/>
      <c r="CP225" s="34"/>
      <c r="CQ225" s="34"/>
      <c r="CR225" s="34"/>
      <c r="CS225" s="34"/>
      <c r="CT225" s="34"/>
    </row>
    <row r="226" spans="5:98" s="246" customFormat="1" x14ac:dyDescent="0.2">
      <c r="E226" s="379"/>
      <c r="G226" s="1105"/>
      <c r="H226" s="1105"/>
      <c r="I226" s="1105"/>
      <c r="J226" s="1105"/>
      <c r="K226" s="1105"/>
      <c r="L226" s="1105"/>
      <c r="M226" s="1105"/>
      <c r="N226" s="1105"/>
      <c r="O226" s="1105"/>
      <c r="P226" s="1105"/>
      <c r="Q226" s="1105"/>
      <c r="R226" s="1105"/>
      <c r="BT226" s="379"/>
      <c r="BU226" s="379"/>
      <c r="BV226" s="379"/>
      <c r="BW226" s="379"/>
      <c r="BX226" s="379"/>
      <c r="BY226" s="379"/>
      <c r="BZ226" s="379"/>
      <c r="CA226" s="379"/>
      <c r="CB226" s="379"/>
      <c r="CC226" s="379"/>
      <c r="CD226" s="379"/>
      <c r="CE226" s="379"/>
      <c r="CF226" s="379"/>
      <c r="CG226" s="379"/>
      <c r="CH226" s="34"/>
      <c r="CI226" s="34"/>
      <c r="CJ226" s="34"/>
      <c r="CK226" s="34"/>
      <c r="CL226" s="34"/>
      <c r="CM226" s="34"/>
      <c r="CN226" s="34"/>
      <c r="CO226" s="34"/>
      <c r="CP226" s="34"/>
      <c r="CQ226" s="34"/>
      <c r="CR226" s="34"/>
      <c r="CS226" s="34"/>
      <c r="CT226" s="34"/>
    </row>
    <row r="227" spans="5:98" s="246" customFormat="1" x14ac:dyDescent="0.2">
      <c r="E227" s="379"/>
      <c r="G227" s="1105"/>
      <c r="H227" s="1105"/>
      <c r="I227" s="1105"/>
      <c r="J227" s="1105"/>
      <c r="K227" s="1105"/>
      <c r="L227" s="1105"/>
      <c r="M227" s="1105"/>
      <c r="N227" s="1105"/>
      <c r="O227" s="1105"/>
      <c r="P227" s="1105"/>
      <c r="Q227" s="1105"/>
      <c r="R227" s="1105"/>
      <c r="BT227" s="379"/>
      <c r="BU227" s="379"/>
      <c r="BV227" s="379"/>
      <c r="BW227" s="379"/>
      <c r="BX227" s="379"/>
      <c r="BY227" s="379"/>
      <c r="BZ227" s="379"/>
      <c r="CA227" s="379"/>
      <c r="CB227" s="379"/>
      <c r="CC227" s="379"/>
      <c r="CD227" s="379"/>
      <c r="CE227" s="379"/>
      <c r="CF227" s="379"/>
      <c r="CG227" s="379"/>
      <c r="CH227" s="34"/>
      <c r="CI227" s="34"/>
      <c r="CJ227" s="34"/>
      <c r="CK227" s="34"/>
      <c r="CL227" s="34"/>
      <c r="CM227" s="34"/>
      <c r="CN227" s="34"/>
      <c r="CO227" s="34"/>
      <c r="CP227" s="34"/>
      <c r="CQ227" s="34"/>
      <c r="CR227" s="34"/>
      <c r="CS227" s="34"/>
      <c r="CT227" s="34"/>
    </row>
    <row r="228" spans="5:98" s="246" customFormat="1" x14ac:dyDescent="0.2">
      <c r="E228" s="379"/>
      <c r="G228" s="1105"/>
      <c r="H228" s="1105"/>
      <c r="I228" s="1105"/>
      <c r="J228" s="1105"/>
      <c r="K228" s="1105"/>
      <c r="L228" s="1105"/>
      <c r="M228" s="1105"/>
      <c r="N228" s="1105"/>
      <c r="O228" s="1105"/>
      <c r="P228" s="1105"/>
      <c r="Q228" s="1105"/>
      <c r="R228" s="1105"/>
      <c r="BT228" s="379"/>
      <c r="BU228" s="379"/>
      <c r="BV228" s="379"/>
      <c r="BW228" s="379"/>
      <c r="BX228" s="379"/>
      <c r="BY228" s="379"/>
      <c r="BZ228" s="379"/>
      <c r="CA228" s="379"/>
      <c r="CB228" s="379"/>
      <c r="CC228" s="379"/>
      <c r="CD228" s="379"/>
      <c r="CE228" s="379"/>
      <c r="CF228" s="379"/>
      <c r="CG228" s="379"/>
      <c r="CH228" s="34"/>
      <c r="CI228" s="34"/>
      <c r="CJ228" s="34"/>
      <c r="CK228" s="34"/>
      <c r="CL228" s="34"/>
      <c r="CM228" s="34"/>
      <c r="CN228" s="34"/>
      <c r="CO228" s="34"/>
      <c r="CP228" s="34"/>
      <c r="CQ228" s="34"/>
      <c r="CR228" s="34"/>
      <c r="CS228" s="34"/>
      <c r="CT228" s="34"/>
    </row>
    <row r="229" spans="5:98" s="246" customFormat="1" x14ac:dyDescent="0.2">
      <c r="E229" s="379"/>
      <c r="G229" s="1105"/>
      <c r="H229" s="1105"/>
      <c r="I229" s="1105"/>
      <c r="J229" s="1105"/>
      <c r="K229" s="1105"/>
      <c r="L229" s="1105"/>
      <c r="M229" s="1105"/>
      <c r="N229" s="1105"/>
      <c r="O229" s="1105"/>
      <c r="P229" s="1105"/>
      <c r="Q229" s="1105"/>
      <c r="R229" s="1105"/>
      <c r="BT229" s="379"/>
      <c r="BU229" s="379"/>
      <c r="BV229" s="379"/>
      <c r="BW229" s="379"/>
      <c r="BX229" s="379"/>
      <c r="BY229" s="379"/>
      <c r="BZ229" s="379"/>
      <c r="CA229" s="379"/>
      <c r="CB229" s="379"/>
      <c r="CC229" s="379"/>
      <c r="CD229" s="379"/>
      <c r="CE229" s="379"/>
      <c r="CF229" s="379"/>
      <c r="CG229" s="379"/>
      <c r="CH229" s="34"/>
      <c r="CI229" s="34"/>
      <c r="CJ229" s="34"/>
      <c r="CK229" s="34"/>
      <c r="CL229" s="34"/>
      <c r="CM229" s="34"/>
      <c r="CN229" s="34"/>
      <c r="CO229" s="34"/>
      <c r="CP229" s="34"/>
      <c r="CQ229" s="34"/>
      <c r="CR229" s="34"/>
      <c r="CS229" s="34"/>
      <c r="CT229" s="34"/>
    </row>
    <row r="230" spans="5:98" s="246" customFormat="1" x14ac:dyDescent="0.2">
      <c r="E230" s="379"/>
      <c r="G230" s="1105"/>
      <c r="H230" s="1105"/>
      <c r="I230" s="1105"/>
      <c r="J230" s="1105"/>
      <c r="K230" s="1105"/>
      <c r="L230" s="1105"/>
      <c r="M230" s="1105"/>
      <c r="N230" s="1105"/>
      <c r="O230" s="1105"/>
      <c r="P230" s="1105"/>
      <c r="Q230" s="1105"/>
      <c r="R230" s="1105"/>
      <c r="BT230" s="379"/>
      <c r="BU230" s="379"/>
      <c r="BV230" s="379"/>
      <c r="BW230" s="379"/>
      <c r="BX230" s="379"/>
      <c r="BY230" s="379"/>
      <c r="BZ230" s="379"/>
      <c r="CA230" s="379"/>
      <c r="CB230" s="379"/>
      <c r="CC230" s="379"/>
      <c r="CD230" s="379"/>
      <c r="CE230" s="379"/>
      <c r="CF230" s="379"/>
      <c r="CG230" s="379"/>
      <c r="CH230" s="34"/>
      <c r="CI230" s="34"/>
      <c r="CJ230" s="34"/>
      <c r="CK230" s="34"/>
      <c r="CL230" s="34"/>
      <c r="CM230" s="34"/>
      <c r="CN230" s="34"/>
      <c r="CO230" s="34"/>
      <c r="CP230" s="34"/>
      <c r="CQ230" s="34"/>
      <c r="CR230" s="34"/>
      <c r="CS230" s="34"/>
      <c r="CT230" s="34"/>
    </row>
    <row r="231" spans="5:98" s="246" customFormat="1" x14ac:dyDescent="0.2">
      <c r="E231" s="379"/>
      <c r="G231" s="1105"/>
      <c r="H231" s="1105"/>
      <c r="I231" s="1105"/>
      <c r="J231" s="1105"/>
      <c r="K231" s="1105"/>
      <c r="L231" s="1105"/>
      <c r="M231" s="1105"/>
      <c r="N231" s="1105"/>
      <c r="O231" s="1105"/>
      <c r="P231" s="1105"/>
      <c r="Q231" s="1105"/>
      <c r="R231" s="1105"/>
      <c r="BT231" s="379"/>
      <c r="BU231" s="379"/>
      <c r="BV231" s="379"/>
      <c r="BW231" s="379"/>
      <c r="BX231" s="379"/>
      <c r="BY231" s="379"/>
      <c r="BZ231" s="379"/>
      <c r="CA231" s="379"/>
      <c r="CB231" s="379"/>
      <c r="CC231" s="379"/>
      <c r="CD231" s="379"/>
      <c r="CE231" s="379"/>
      <c r="CF231" s="379"/>
      <c r="CG231" s="379"/>
      <c r="CH231" s="34"/>
      <c r="CI231" s="34"/>
      <c r="CJ231" s="34"/>
      <c r="CK231" s="34"/>
      <c r="CL231" s="34"/>
      <c r="CM231" s="34"/>
      <c r="CN231" s="34"/>
      <c r="CO231" s="34"/>
      <c r="CP231" s="34"/>
      <c r="CQ231" s="34"/>
      <c r="CR231" s="34"/>
      <c r="CS231" s="34"/>
      <c r="CT231" s="34"/>
    </row>
    <row r="232" spans="5:98" s="246" customFormat="1" x14ac:dyDescent="0.2">
      <c r="E232" s="379"/>
      <c r="G232" s="1105"/>
      <c r="H232" s="1105"/>
      <c r="I232" s="1105"/>
      <c r="J232" s="1105"/>
      <c r="K232" s="1105"/>
      <c r="L232" s="1105"/>
      <c r="M232" s="1105"/>
      <c r="N232" s="1105"/>
      <c r="O232" s="1105"/>
      <c r="P232" s="1105"/>
      <c r="Q232" s="1105"/>
      <c r="R232" s="1105"/>
      <c r="BT232" s="379"/>
      <c r="BU232" s="379"/>
      <c r="BV232" s="379"/>
      <c r="BW232" s="379"/>
      <c r="BX232" s="379"/>
      <c r="BY232" s="379"/>
      <c r="BZ232" s="379"/>
      <c r="CA232" s="379"/>
      <c r="CB232" s="379"/>
      <c r="CC232" s="379"/>
      <c r="CD232" s="379"/>
      <c r="CE232" s="379"/>
      <c r="CF232" s="379"/>
      <c r="CG232" s="379"/>
      <c r="CH232" s="34"/>
      <c r="CI232" s="34"/>
      <c r="CJ232" s="34"/>
      <c r="CK232" s="34"/>
      <c r="CL232" s="34"/>
      <c r="CM232" s="34"/>
      <c r="CN232" s="34"/>
      <c r="CO232" s="34"/>
      <c r="CP232" s="34"/>
      <c r="CQ232" s="34"/>
      <c r="CR232" s="34"/>
      <c r="CS232" s="34"/>
      <c r="CT232" s="34"/>
    </row>
    <row r="233" spans="5:98" s="246" customFormat="1" x14ac:dyDescent="0.2">
      <c r="E233" s="379"/>
      <c r="G233" s="1105"/>
      <c r="H233" s="1105"/>
      <c r="I233" s="1105"/>
      <c r="J233" s="1105"/>
      <c r="K233" s="1105"/>
      <c r="L233" s="1105"/>
      <c r="M233" s="1105"/>
      <c r="N233" s="1105"/>
      <c r="O233" s="1105"/>
      <c r="P233" s="1105"/>
      <c r="Q233" s="1105"/>
      <c r="R233" s="1105"/>
      <c r="BT233" s="379"/>
      <c r="BU233" s="379"/>
      <c r="BV233" s="379"/>
      <c r="BW233" s="379"/>
      <c r="BX233" s="379"/>
      <c r="BY233" s="379"/>
      <c r="BZ233" s="379"/>
      <c r="CA233" s="379"/>
      <c r="CB233" s="379"/>
      <c r="CC233" s="379"/>
      <c r="CD233" s="379"/>
      <c r="CE233" s="379"/>
      <c r="CF233" s="379"/>
      <c r="CG233" s="379"/>
      <c r="CH233" s="34"/>
      <c r="CI233" s="34"/>
      <c r="CJ233" s="34"/>
      <c r="CK233" s="34"/>
      <c r="CL233" s="34"/>
      <c r="CM233" s="34"/>
      <c r="CN233" s="34"/>
      <c r="CO233" s="34"/>
      <c r="CP233" s="34"/>
      <c r="CQ233" s="34"/>
      <c r="CR233" s="34"/>
      <c r="CS233" s="34"/>
      <c r="CT233" s="34"/>
    </row>
    <row r="234" spans="5:98" s="246" customFormat="1" x14ac:dyDescent="0.2">
      <c r="E234" s="379"/>
      <c r="G234" s="1105"/>
      <c r="H234" s="1105"/>
      <c r="I234" s="1105"/>
      <c r="J234" s="1105"/>
      <c r="K234" s="1105"/>
      <c r="L234" s="1105"/>
      <c r="M234" s="1105"/>
      <c r="N234" s="1105"/>
      <c r="O234" s="1105"/>
      <c r="P234" s="1105"/>
      <c r="Q234" s="1105"/>
      <c r="R234" s="1105"/>
      <c r="BT234" s="379"/>
      <c r="BU234" s="379"/>
      <c r="BV234" s="379"/>
      <c r="BW234" s="379"/>
      <c r="BX234" s="379"/>
      <c r="BY234" s="379"/>
      <c r="BZ234" s="379"/>
      <c r="CA234" s="379"/>
      <c r="CB234" s="379"/>
      <c r="CC234" s="379"/>
      <c r="CD234" s="379"/>
      <c r="CE234" s="379"/>
      <c r="CF234" s="379"/>
      <c r="CG234" s="379"/>
      <c r="CH234" s="34"/>
      <c r="CI234" s="34"/>
      <c r="CJ234" s="34"/>
      <c r="CK234" s="34"/>
      <c r="CL234" s="34"/>
      <c r="CM234" s="34"/>
      <c r="CN234" s="34"/>
      <c r="CO234" s="34"/>
      <c r="CP234" s="34"/>
      <c r="CQ234" s="34"/>
      <c r="CR234" s="34"/>
      <c r="CS234" s="34"/>
      <c r="CT234" s="34"/>
    </row>
    <row r="235" spans="5:98" s="246" customFormat="1" x14ac:dyDescent="0.2">
      <c r="E235" s="379"/>
      <c r="G235" s="1105"/>
      <c r="H235" s="1105"/>
      <c r="I235" s="1105"/>
      <c r="J235" s="1105"/>
      <c r="K235" s="1105"/>
      <c r="L235" s="1105"/>
      <c r="M235" s="1105"/>
      <c r="N235" s="1105"/>
      <c r="O235" s="1105"/>
      <c r="P235" s="1105"/>
      <c r="Q235" s="1105"/>
      <c r="R235" s="1105"/>
      <c r="BT235" s="379"/>
      <c r="BU235" s="379"/>
      <c r="BV235" s="379"/>
      <c r="BW235" s="379"/>
      <c r="BX235" s="379"/>
      <c r="BY235" s="379"/>
      <c r="BZ235" s="379"/>
      <c r="CA235" s="379"/>
      <c r="CB235" s="379"/>
      <c r="CC235" s="379"/>
      <c r="CD235" s="379"/>
      <c r="CE235" s="379"/>
      <c r="CF235" s="379"/>
      <c r="CG235" s="379"/>
      <c r="CH235" s="34"/>
      <c r="CI235" s="34"/>
      <c r="CJ235" s="34"/>
      <c r="CK235" s="34"/>
      <c r="CL235" s="34"/>
      <c r="CM235" s="34"/>
      <c r="CN235" s="34"/>
      <c r="CO235" s="34"/>
      <c r="CP235" s="34"/>
      <c r="CQ235" s="34"/>
      <c r="CR235" s="34"/>
      <c r="CS235" s="34"/>
      <c r="CT235" s="34"/>
    </row>
    <row r="236" spans="5:98" s="246" customFormat="1" x14ac:dyDescent="0.2">
      <c r="E236" s="379"/>
      <c r="G236" s="1105"/>
      <c r="H236" s="1105"/>
      <c r="I236" s="1105"/>
      <c r="J236" s="1105"/>
      <c r="K236" s="1105"/>
      <c r="L236" s="1105"/>
      <c r="M236" s="1105"/>
      <c r="N236" s="1105"/>
      <c r="O236" s="1105"/>
      <c r="P236" s="1105"/>
      <c r="Q236" s="1105"/>
      <c r="R236" s="1105"/>
      <c r="BT236" s="379"/>
      <c r="BU236" s="379"/>
      <c r="BV236" s="379"/>
      <c r="BW236" s="379"/>
      <c r="BX236" s="379"/>
      <c r="BY236" s="379"/>
      <c r="BZ236" s="379"/>
      <c r="CA236" s="379"/>
      <c r="CB236" s="379"/>
      <c r="CC236" s="379"/>
      <c r="CD236" s="379"/>
      <c r="CE236" s="379"/>
      <c r="CF236" s="379"/>
      <c r="CG236" s="379"/>
      <c r="CH236" s="34"/>
      <c r="CI236" s="34"/>
      <c r="CJ236" s="34"/>
      <c r="CK236" s="34"/>
      <c r="CL236" s="34"/>
      <c r="CM236" s="34"/>
      <c r="CN236" s="34"/>
      <c r="CO236" s="34"/>
      <c r="CP236" s="34"/>
      <c r="CQ236" s="34"/>
      <c r="CR236" s="34"/>
      <c r="CS236" s="34"/>
      <c r="CT236" s="34"/>
    </row>
    <row r="237" spans="5:98" s="246" customFormat="1" x14ac:dyDescent="0.2">
      <c r="E237" s="379"/>
      <c r="G237" s="1105"/>
      <c r="H237" s="1105"/>
      <c r="I237" s="1105"/>
      <c r="J237" s="1105"/>
      <c r="K237" s="1105"/>
      <c r="L237" s="1105"/>
      <c r="M237" s="1105"/>
      <c r="N237" s="1105"/>
      <c r="O237" s="1105"/>
      <c r="P237" s="1105"/>
      <c r="Q237" s="1105"/>
      <c r="R237" s="1105"/>
      <c r="BT237" s="379"/>
      <c r="BU237" s="379"/>
      <c r="BV237" s="379"/>
      <c r="BW237" s="379"/>
      <c r="BX237" s="379"/>
      <c r="BY237" s="379"/>
      <c r="BZ237" s="379"/>
      <c r="CA237" s="379"/>
      <c r="CB237" s="379"/>
      <c r="CC237" s="379"/>
      <c r="CD237" s="379"/>
      <c r="CE237" s="379"/>
      <c r="CF237" s="379"/>
      <c r="CG237" s="379"/>
      <c r="CH237" s="34"/>
      <c r="CI237" s="34"/>
      <c r="CJ237" s="34"/>
      <c r="CK237" s="34"/>
      <c r="CL237" s="34"/>
      <c r="CM237" s="34"/>
      <c r="CN237" s="34"/>
      <c r="CO237" s="34"/>
      <c r="CP237" s="34"/>
      <c r="CQ237" s="34"/>
      <c r="CR237" s="34"/>
      <c r="CS237" s="34"/>
      <c r="CT237" s="34"/>
    </row>
    <row r="238" spans="5:98" s="246" customFormat="1" x14ac:dyDescent="0.2">
      <c r="E238" s="379"/>
      <c r="G238" s="1105"/>
      <c r="H238" s="1105"/>
      <c r="I238" s="1105"/>
      <c r="J238" s="1105"/>
      <c r="K238" s="1105"/>
      <c r="L238" s="1105"/>
      <c r="M238" s="1105"/>
      <c r="N238" s="1105"/>
      <c r="O238" s="1105"/>
      <c r="P238" s="1105"/>
      <c r="Q238" s="1105"/>
      <c r="R238" s="1105"/>
      <c r="BT238" s="379"/>
      <c r="BU238" s="379"/>
      <c r="BV238" s="379"/>
      <c r="BW238" s="379"/>
      <c r="BX238" s="379"/>
      <c r="BY238" s="379"/>
      <c r="BZ238" s="379"/>
      <c r="CA238" s="379"/>
      <c r="CB238" s="379"/>
      <c r="CC238" s="379"/>
      <c r="CD238" s="379"/>
      <c r="CE238" s="379"/>
      <c r="CF238" s="379"/>
      <c r="CG238" s="379"/>
      <c r="CH238" s="34"/>
      <c r="CI238" s="34"/>
      <c r="CJ238" s="34"/>
      <c r="CK238" s="34"/>
      <c r="CL238" s="34"/>
      <c r="CM238" s="34"/>
      <c r="CN238" s="34"/>
      <c r="CO238" s="34"/>
      <c r="CP238" s="34"/>
      <c r="CQ238" s="34"/>
      <c r="CR238" s="34"/>
      <c r="CS238" s="34"/>
      <c r="CT238" s="34"/>
    </row>
    <row r="239" spans="5:98" s="246" customFormat="1" x14ac:dyDescent="0.2">
      <c r="E239" s="379"/>
      <c r="G239" s="1105"/>
      <c r="H239" s="1105"/>
      <c r="I239" s="1105"/>
      <c r="J239" s="1105"/>
      <c r="K239" s="1105"/>
      <c r="L239" s="1105"/>
      <c r="M239" s="1105"/>
      <c r="N239" s="1105"/>
      <c r="O239" s="1105"/>
      <c r="P239" s="1105"/>
      <c r="Q239" s="1105"/>
      <c r="R239" s="1105"/>
      <c r="BT239" s="379"/>
      <c r="BU239" s="379"/>
      <c r="BV239" s="379"/>
      <c r="BW239" s="379"/>
      <c r="BX239" s="379"/>
      <c r="BY239" s="379"/>
      <c r="BZ239" s="379"/>
      <c r="CA239" s="379"/>
      <c r="CB239" s="379"/>
      <c r="CC239" s="379"/>
      <c r="CD239" s="379"/>
      <c r="CE239" s="379"/>
      <c r="CF239" s="379"/>
      <c r="CG239" s="379"/>
      <c r="CH239" s="34"/>
      <c r="CI239" s="34"/>
      <c r="CJ239" s="34"/>
      <c r="CK239" s="34"/>
      <c r="CL239" s="34"/>
      <c r="CM239" s="34"/>
      <c r="CN239" s="34"/>
      <c r="CO239" s="34"/>
      <c r="CP239" s="34"/>
      <c r="CQ239" s="34"/>
      <c r="CR239" s="34"/>
      <c r="CS239" s="34"/>
      <c r="CT239" s="34"/>
    </row>
    <row r="240" spans="5:98" s="246" customFormat="1" x14ac:dyDescent="0.2">
      <c r="E240" s="379"/>
      <c r="G240" s="1105"/>
      <c r="H240" s="1105"/>
      <c r="I240" s="1105"/>
      <c r="J240" s="1105"/>
      <c r="K240" s="1105"/>
      <c r="L240" s="1105"/>
      <c r="M240" s="1105"/>
      <c r="N240" s="1105"/>
      <c r="O240" s="1105"/>
      <c r="P240" s="1105"/>
      <c r="Q240" s="1105"/>
      <c r="R240" s="1105"/>
      <c r="BT240" s="379"/>
      <c r="BU240" s="379"/>
      <c r="BV240" s="379"/>
      <c r="BW240" s="379"/>
      <c r="BX240" s="379"/>
      <c r="BY240" s="379"/>
      <c r="BZ240" s="379"/>
      <c r="CA240" s="379"/>
      <c r="CB240" s="379"/>
      <c r="CC240" s="379"/>
      <c r="CD240" s="379"/>
      <c r="CE240" s="379"/>
      <c r="CF240" s="379"/>
      <c r="CG240" s="379"/>
      <c r="CH240" s="34"/>
      <c r="CI240" s="34"/>
      <c r="CJ240" s="34"/>
      <c r="CK240" s="34"/>
      <c r="CL240" s="34"/>
      <c r="CM240" s="34"/>
      <c r="CN240" s="34"/>
      <c r="CO240" s="34"/>
      <c r="CP240" s="34"/>
      <c r="CQ240" s="34"/>
      <c r="CR240" s="34"/>
      <c r="CS240" s="34"/>
      <c r="CT240" s="34"/>
    </row>
    <row r="241" spans="5:98" s="246" customFormat="1" x14ac:dyDescent="0.2">
      <c r="E241" s="379"/>
      <c r="G241" s="1105"/>
      <c r="H241" s="1105"/>
      <c r="I241" s="1105"/>
      <c r="J241" s="1105"/>
      <c r="K241" s="1105"/>
      <c r="L241" s="1105"/>
      <c r="M241" s="1105"/>
      <c r="N241" s="1105"/>
      <c r="O241" s="1105"/>
      <c r="P241" s="1105"/>
      <c r="Q241" s="1105"/>
      <c r="R241" s="1105"/>
      <c r="BT241" s="379"/>
      <c r="BU241" s="379"/>
      <c r="BV241" s="379"/>
      <c r="BW241" s="379"/>
      <c r="BX241" s="379"/>
      <c r="BY241" s="379"/>
      <c r="BZ241" s="379"/>
      <c r="CA241" s="379"/>
      <c r="CB241" s="379"/>
      <c r="CC241" s="379"/>
      <c r="CD241" s="379"/>
      <c r="CE241" s="379"/>
      <c r="CF241" s="379"/>
      <c r="CG241" s="379"/>
      <c r="CH241" s="34"/>
      <c r="CI241" s="34"/>
      <c r="CJ241" s="34"/>
      <c r="CK241" s="34"/>
      <c r="CL241" s="34"/>
      <c r="CM241" s="34"/>
      <c r="CN241" s="34"/>
      <c r="CO241" s="34"/>
      <c r="CP241" s="34"/>
      <c r="CQ241" s="34"/>
      <c r="CR241" s="34"/>
      <c r="CS241" s="34"/>
      <c r="CT241" s="34"/>
    </row>
    <row r="242" spans="5:98" s="246" customFormat="1" x14ac:dyDescent="0.2">
      <c r="E242" s="379"/>
      <c r="G242" s="1105"/>
      <c r="H242" s="1105"/>
      <c r="I242" s="1105"/>
      <c r="J242" s="1105"/>
      <c r="K242" s="1105"/>
      <c r="L242" s="1105"/>
      <c r="M242" s="1105"/>
      <c r="N242" s="1105"/>
      <c r="O242" s="1105"/>
      <c r="P242" s="1105"/>
      <c r="Q242" s="1105"/>
      <c r="R242" s="1105"/>
      <c r="BT242" s="379"/>
      <c r="BU242" s="379"/>
      <c r="BV242" s="379"/>
      <c r="BW242" s="379"/>
      <c r="BX242" s="379"/>
      <c r="BY242" s="379"/>
      <c r="BZ242" s="379"/>
      <c r="CA242" s="379"/>
      <c r="CB242" s="379"/>
      <c r="CC242" s="379"/>
      <c r="CD242" s="379"/>
      <c r="CE242" s="379"/>
      <c r="CF242" s="379"/>
      <c r="CG242" s="379"/>
      <c r="CH242" s="34"/>
      <c r="CI242" s="34"/>
      <c r="CJ242" s="34"/>
      <c r="CK242" s="34"/>
      <c r="CL242" s="34"/>
      <c r="CM242" s="34"/>
      <c r="CN242" s="34"/>
      <c r="CO242" s="34"/>
      <c r="CP242" s="34"/>
      <c r="CQ242" s="34"/>
      <c r="CR242" s="34"/>
      <c r="CS242" s="34"/>
      <c r="CT242" s="34"/>
    </row>
    <row r="243" spans="5:98" s="246" customFormat="1" x14ac:dyDescent="0.2">
      <c r="E243" s="379"/>
      <c r="G243" s="1105"/>
      <c r="H243" s="1105"/>
      <c r="I243" s="1105"/>
      <c r="J243" s="1105"/>
      <c r="K243" s="1105"/>
      <c r="L243" s="1105"/>
      <c r="M243" s="1105"/>
      <c r="N243" s="1105"/>
      <c r="O243" s="1105"/>
      <c r="P243" s="1105"/>
      <c r="Q243" s="1105"/>
      <c r="R243" s="1105"/>
      <c r="BT243" s="379"/>
      <c r="BU243" s="379"/>
      <c r="BV243" s="379"/>
      <c r="BW243" s="379"/>
      <c r="BX243" s="379"/>
      <c r="BY243" s="379"/>
      <c r="BZ243" s="379"/>
      <c r="CA243" s="379"/>
      <c r="CB243" s="379"/>
      <c r="CC243" s="379"/>
      <c r="CD243" s="379"/>
      <c r="CE243" s="379"/>
      <c r="CF243" s="379"/>
      <c r="CG243" s="379"/>
      <c r="CH243" s="34"/>
      <c r="CI243" s="34"/>
      <c r="CJ243" s="34"/>
      <c r="CK243" s="34"/>
      <c r="CL243" s="34"/>
      <c r="CM243" s="34"/>
      <c r="CN243" s="34"/>
      <c r="CO243" s="34"/>
      <c r="CP243" s="34"/>
      <c r="CQ243" s="34"/>
      <c r="CR243" s="34"/>
      <c r="CS243" s="34"/>
      <c r="CT243" s="34"/>
    </row>
    <row r="244" spans="5:98" s="246" customFormat="1" x14ac:dyDescent="0.2">
      <c r="E244" s="379"/>
      <c r="G244" s="1105"/>
      <c r="H244" s="1105"/>
      <c r="I244" s="1105"/>
      <c r="J244" s="1105"/>
      <c r="K244" s="1105"/>
      <c r="L244" s="1105"/>
      <c r="M244" s="1105"/>
      <c r="N244" s="1105"/>
      <c r="O244" s="1105"/>
      <c r="P244" s="1105"/>
      <c r="Q244" s="1105"/>
      <c r="R244" s="1105"/>
      <c r="BT244" s="379"/>
      <c r="BU244" s="379"/>
      <c r="BV244" s="379"/>
      <c r="BW244" s="379"/>
      <c r="BX244" s="379"/>
      <c r="BY244" s="379"/>
      <c r="BZ244" s="379"/>
      <c r="CA244" s="379"/>
      <c r="CB244" s="379"/>
      <c r="CC244" s="379"/>
      <c r="CD244" s="379"/>
      <c r="CE244" s="379"/>
      <c r="CF244" s="379"/>
      <c r="CG244" s="379"/>
      <c r="CH244" s="34"/>
      <c r="CI244" s="34"/>
      <c r="CJ244" s="34"/>
      <c r="CK244" s="34"/>
      <c r="CL244" s="34"/>
      <c r="CM244" s="34"/>
      <c r="CN244" s="34"/>
      <c r="CO244" s="34"/>
      <c r="CP244" s="34"/>
      <c r="CQ244" s="34"/>
      <c r="CR244" s="34"/>
      <c r="CS244" s="34"/>
      <c r="CT244" s="34"/>
    </row>
    <row r="245" spans="5:98" s="246" customFormat="1" x14ac:dyDescent="0.2">
      <c r="E245" s="379"/>
      <c r="G245" s="1105"/>
      <c r="H245" s="1105"/>
      <c r="I245" s="1105"/>
      <c r="J245" s="1105"/>
      <c r="K245" s="1105"/>
      <c r="L245" s="1105"/>
      <c r="M245" s="1105"/>
      <c r="N245" s="1105"/>
      <c r="O245" s="1105"/>
      <c r="P245" s="1105"/>
      <c r="Q245" s="1105"/>
      <c r="R245" s="1105"/>
      <c r="BT245" s="379"/>
      <c r="BU245" s="379"/>
      <c r="BV245" s="379"/>
      <c r="BW245" s="379"/>
      <c r="BX245" s="379"/>
      <c r="BY245" s="379"/>
      <c r="BZ245" s="379"/>
      <c r="CA245" s="379"/>
      <c r="CB245" s="379"/>
      <c r="CC245" s="379"/>
      <c r="CD245" s="379"/>
      <c r="CE245" s="379"/>
      <c r="CF245" s="379"/>
      <c r="CG245" s="379"/>
      <c r="CH245" s="34"/>
      <c r="CI245" s="34"/>
      <c r="CJ245" s="34"/>
      <c r="CK245" s="34"/>
      <c r="CL245" s="34"/>
      <c r="CM245" s="34"/>
      <c r="CN245" s="34"/>
      <c r="CO245" s="34"/>
      <c r="CP245" s="34"/>
      <c r="CQ245" s="34"/>
      <c r="CR245" s="34"/>
      <c r="CS245" s="34"/>
      <c r="CT245" s="34"/>
    </row>
    <row r="246" spans="5:98" s="246" customFormat="1" x14ac:dyDescent="0.2">
      <c r="E246" s="379"/>
      <c r="G246" s="1105"/>
      <c r="H246" s="1105"/>
      <c r="I246" s="1105"/>
      <c r="J246" s="1105"/>
      <c r="K246" s="1105"/>
      <c r="L246" s="1105"/>
      <c r="M246" s="1105"/>
      <c r="N246" s="1105"/>
      <c r="O246" s="1105"/>
      <c r="P246" s="1105"/>
      <c r="Q246" s="1105"/>
      <c r="R246" s="1105"/>
      <c r="BT246" s="379"/>
      <c r="BU246" s="379"/>
      <c r="BV246" s="379"/>
      <c r="BW246" s="379"/>
      <c r="BX246" s="379"/>
      <c r="BY246" s="379"/>
      <c r="BZ246" s="379"/>
      <c r="CA246" s="379"/>
      <c r="CB246" s="379"/>
      <c r="CC246" s="379"/>
      <c r="CD246" s="379"/>
      <c r="CE246" s="379"/>
      <c r="CF246" s="379"/>
      <c r="CG246" s="379"/>
      <c r="CH246" s="34"/>
      <c r="CI246" s="34"/>
      <c r="CJ246" s="34"/>
      <c r="CK246" s="34"/>
      <c r="CL246" s="34"/>
      <c r="CM246" s="34"/>
      <c r="CN246" s="34"/>
      <c r="CO246" s="34"/>
      <c r="CP246" s="34"/>
      <c r="CQ246" s="34"/>
      <c r="CR246" s="34"/>
      <c r="CS246" s="34"/>
      <c r="CT246" s="34"/>
    </row>
    <row r="247" spans="5:98" s="246" customFormat="1" x14ac:dyDescent="0.2">
      <c r="E247" s="379"/>
      <c r="G247" s="1105"/>
      <c r="H247" s="1105"/>
      <c r="I247" s="1105"/>
      <c r="J247" s="1105"/>
      <c r="K247" s="1105"/>
      <c r="L247" s="1105"/>
      <c r="M247" s="1105"/>
      <c r="N247" s="1105"/>
      <c r="O247" s="1105"/>
      <c r="P247" s="1105"/>
      <c r="Q247" s="1105"/>
      <c r="R247" s="1105"/>
      <c r="BT247" s="379"/>
      <c r="BU247" s="379"/>
      <c r="BV247" s="379"/>
      <c r="BW247" s="379"/>
      <c r="BX247" s="379"/>
      <c r="BY247" s="379"/>
      <c r="BZ247" s="379"/>
      <c r="CA247" s="379"/>
      <c r="CB247" s="379"/>
      <c r="CC247" s="379"/>
      <c r="CD247" s="379"/>
      <c r="CE247" s="379"/>
      <c r="CF247" s="379"/>
      <c r="CG247" s="379"/>
      <c r="CH247" s="34"/>
      <c r="CI247" s="34"/>
      <c r="CJ247" s="34"/>
      <c r="CK247" s="34"/>
      <c r="CL247" s="34"/>
      <c r="CM247" s="34"/>
      <c r="CN247" s="34"/>
      <c r="CO247" s="34"/>
      <c r="CP247" s="34"/>
      <c r="CQ247" s="34"/>
      <c r="CR247" s="34"/>
      <c r="CS247" s="34"/>
      <c r="CT247" s="34"/>
    </row>
    <row r="248" spans="5:98" s="246" customFormat="1" x14ac:dyDescent="0.2">
      <c r="E248" s="379"/>
      <c r="G248" s="1105"/>
      <c r="H248" s="1105"/>
      <c r="I248" s="1105"/>
      <c r="J248" s="1105"/>
      <c r="K248" s="1105"/>
      <c r="L248" s="1105"/>
      <c r="M248" s="1105"/>
      <c r="N248" s="1105"/>
      <c r="O248" s="1105"/>
      <c r="P248" s="1105"/>
      <c r="Q248" s="1105"/>
      <c r="R248" s="1105"/>
      <c r="BT248" s="379"/>
      <c r="BU248" s="379"/>
      <c r="BV248" s="379"/>
      <c r="BW248" s="379"/>
      <c r="BX248" s="379"/>
      <c r="BY248" s="379"/>
      <c r="BZ248" s="379"/>
      <c r="CA248" s="379"/>
      <c r="CB248" s="379"/>
      <c r="CC248" s="379"/>
      <c r="CD248" s="379"/>
      <c r="CE248" s="379"/>
      <c r="CF248" s="379"/>
      <c r="CG248" s="379"/>
      <c r="CH248" s="34"/>
      <c r="CI248" s="34"/>
      <c r="CJ248" s="34"/>
      <c r="CK248" s="34"/>
      <c r="CL248" s="34"/>
      <c r="CM248" s="34"/>
      <c r="CN248" s="34"/>
      <c r="CO248" s="34"/>
      <c r="CP248" s="34"/>
      <c r="CQ248" s="34"/>
      <c r="CR248" s="34"/>
      <c r="CS248" s="34"/>
      <c r="CT248" s="34"/>
    </row>
    <row r="249" spans="5:98" s="246" customFormat="1" x14ac:dyDescent="0.2">
      <c r="E249" s="379"/>
      <c r="G249" s="1105"/>
      <c r="H249" s="1105"/>
      <c r="I249" s="1105"/>
      <c r="J249" s="1105"/>
      <c r="K249" s="1105"/>
      <c r="L249" s="1105"/>
      <c r="M249" s="1105"/>
      <c r="N249" s="1105"/>
      <c r="O249" s="1105"/>
      <c r="P249" s="1105"/>
      <c r="Q249" s="1105"/>
      <c r="R249" s="1105"/>
      <c r="BT249" s="379"/>
      <c r="BU249" s="379"/>
      <c r="BV249" s="379"/>
      <c r="BW249" s="379"/>
      <c r="BX249" s="379"/>
      <c r="BY249" s="379"/>
      <c r="BZ249" s="379"/>
      <c r="CA249" s="379"/>
      <c r="CB249" s="379"/>
      <c r="CC249" s="379"/>
      <c r="CD249" s="379"/>
      <c r="CE249" s="379"/>
      <c r="CF249" s="379"/>
      <c r="CG249" s="379"/>
      <c r="CH249" s="34"/>
      <c r="CI249" s="34"/>
      <c r="CJ249" s="34"/>
      <c r="CK249" s="34"/>
      <c r="CL249" s="34"/>
      <c r="CM249" s="34"/>
      <c r="CN249" s="34"/>
      <c r="CO249" s="34"/>
      <c r="CP249" s="34"/>
      <c r="CQ249" s="34"/>
      <c r="CR249" s="34"/>
      <c r="CS249" s="34"/>
      <c r="CT249" s="34"/>
    </row>
    <row r="250" spans="5:98" s="246" customFormat="1" x14ac:dyDescent="0.2">
      <c r="E250" s="379"/>
      <c r="G250" s="1105"/>
      <c r="H250" s="1105"/>
      <c r="I250" s="1105"/>
      <c r="J250" s="1105"/>
      <c r="K250" s="1105"/>
      <c r="L250" s="1105"/>
      <c r="M250" s="1105"/>
      <c r="N250" s="1105"/>
      <c r="O250" s="1105"/>
      <c r="P250" s="1105"/>
      <c r="Q250" s="1105"/>
      <c r="R250" s="1105"/>
      <c r="BT250" s="379"/>
      <c r="BU250" s="379"/>
      <c r="BV250" s="379"/>
      <c r="BW250" s="379"/>
      <c r="BX250" s="379"/>
      <c r="BY250" s="379"/>
      <c r="BZ250" s="379"/>
      <c r="CA250" s="379"/>
      <c r="CB250" s="379"/>
      <c r="CC250" s="379"/>
      <c r="CD250" s="379"/>
      <c r="CE250" s="379"/>
      <c r="CF250" s="379"/>
      <c r="CG250" s="379"/>
      <c r="CH250" s="34"/>
      <c r="CI250" s="34"/>
      <c r="CJ250" s="34"/>
      <c r="CK250" s="34"/>
      <c r="CL250" s="34"/>
      <c r="CM250" s="34"/>
      <c r="CN250" s="34"/>
      <c r="CO250" s="34"/>
      <c r="CP250" s="34"/>
      <c r="CQ250" s="34"/>
      <c r="CR250" s="34"/>
      <c r="CS250" s="34"/>
      <c r="CT250" s="34"/>
    </row>
    <row r="251" spans="5:98" s="246" customFormat="1" x14ac:dyDescent="0.2">
      <c r="E251" s="379"/>
      <c r="G251" s="1105"/>
      <c r="H251" s="1105"/>
      <c r="I251" s="1105"/>
      <c r="J251" s="1105"/>
      <c r="K251" s="1105"/>
      <c r="L251" s="1105"/>
      <c r="M251" s="1105"/>
      <c r="N251" s="1105"/>
      <c r="O251" s="1105"/>
      <c r="P251" s="1105"/>
      <c r="Q251" s="1105"/>
      <c r="R251" s="1105"/>
      <c r="BT251" s="379"/>
      <c r="BU251" s="379"/>
      <c r="BV251" s="379"/>
      <c r="BW251" s="379"/>
      <c r="BX251" s="379"/>
      <c r="BY251" s="379"/>
      <c r="BZ251" s="379"/>
      <c r="CA251" s="379"/>
      <c r="CB251" s="379"/>
      <c r="CC251" s="379"/>
      <c r="CD251" s="379"/>
      <c r="CE251" s="379"/>
      <c r="CF251" s="379"/>
      <c r="CG251" s="379"/>
      <c r="CH251" s="34"/>
      <c r="CI251" s="34"/>
      <c r="CJ251" s="34"/>
      <c r="CK251" s="34"/>
      <c r="CL251" s="34"/>
      <c r="CM251" s="34"/>
      <c r="CN251" s="34"/>
      <c r="CO251" s="34"/>
      <c r="CP251" s="34"/>
      <c r="CQ251" s="34"/>
      <c r="CR251" s="34"/>
      <c r="CS251" s="34"/>
      <c r="CT251" s="34"/>
    </row>
    <row r="252" spans="5:98" s="246" customFormat="1" x14ac:dyDescent="0.2">
      <c r="E252" s="379"/>
      <c r="G252" s="1105"/>
      <c r="H252" s="1105"/>
      <c r="I252" s="1105"/>
      <c r="J252" s="1105"/>
      <c r="K252" s="1105"/>
      <c r="L252" s="1105"/>
      <c r="M252" s="1105"/>
      <c r="N252" s="1105"/>
      <c r="O252" s="1105"/>
      <c r="P252" s="1105"/>
      <c r="Q252" s="1105"/>
      <c r="R252" s="1105"/>
      <c r="BT252" s="379"/>
      <c r="BU252" s="379"/>
      <c r="BV252" s="379"/>
      <c r="BW252" s="379"/>
      <c r="BX252" s="379"/>
      <c r="BY252" s="379"/>
      <c r="BZ252" s="379"/>
      <c r="CA252" s="379"/>
      <c r="CB252" s="379"/>
      <c r="CC252" s="379"/>
      <c r="CD252" s="379"/>
      <c r="CE252" s="379"/>
      <c r="CF252" s="379"/>
      <c r="CG252" s="379"/>
      <c r="CH252" s="34"/>
      <c r="CI252" s="34"/>
      <c r="CJ252" s="34"/>
      <c r="CK252" s="34"/>
      <c r="CL252" s="34"/>
      <c r="CM252" s="34"/>
      <c r="CN252" s="34"/>
      <c r="CO252" s="34"/>
      <c r="CP252" s="34"/>
      <c r="CQ252" s="34"/>
      <c r="CR252" s="34"/>
      <c r="CS252" s="34"/>
      <c r="CT252" s="34"/>
    </row>
    <row r="253" spans="5:98" s="246" customFormat="1" x14ac:dyDescent="0.2">
      <c r="E253" s="379"/>
      <c r="G253" s="1105"/>
      <c r="H253" s="1105"/>
      <c r="I253" s="1105"/>
      <c r="J253" s="1105"/>
      <c r="K253" s="1105"/>
      <c r="L253" s="1105"/>
      <c r="M253" s="1105"/>
      <c r="N253" s="1105"/>
      <c r="O253" s="1105"/>
      <c r="P253" s="1105"/>
      <c r="Q253" s="1105"/>
      <c r="R253" s="1105"/>
      <c r="BT253" s="379"/>
      <c r="BU253" s="379"/>
      <c r="BV253" s="379"/>
      <c r="BW253" s="379"/>
      <c r="BX253" s="379"/>
      <c r="BY253" s="379"/>
      <c r="BZ253" s="379"/>
      <c r="CA253" s="379"/>
      <c r="CB253" s="379"/>
      <c r="CC253" s="379"/>
      <c r="CD253" s="379"/>
      <c r="CE253" s="379"/>
      <c r="CF253" s="379"/>
      <c r="CG253" s="379"/>
      <c r="CH253" s="34"/>
      <c r="CI253" s="34"/>
      <c r="CJ253" s="34"/>
      <c r="CK253" s="34"/>
      <c r="CL253" s="34"/>
      <c r="CM253" s="34"/>
      <c r="CN253" s="34"/>
      <c r="CO253" s="34"/>
      <c r="CP253" s="34"/>
      <c r="CQ253" s="34"/>
      <c r="CR253" s="34"/>
      <c r="CS253" s="34"/>
      <c r="CT253" s="34"/>
    </row>
    <row r="254" spans="5:98" s="246" customFormat="1" x14ac:dyDescent="0.2">
      <c r="E254" s="379"/>
      <c r="G254" s="1105"/>
      <c r="H254" s="1105"/>
      <c r="I254" s="1105"/>
      <c r="J254" s="1105"/>
      <c r="K254" s="1105"/>
      <c r="L254" s="1105"/>
      <c r="M254" s="1105"/>
      <c r="N254" s="1105"/>
      <c r="O254" s="1105"/>
      <c r="P254" s="1105"/>
      <c r="Q254" s="1105"/>
      <c r="R254" s="1105"/>
      <c r="BT254" s="379"/>
      <c r="BU254" s="379"/>
      <c r="BV254" s="379"/>
      <c r="BW254" s="379"/>
      <c r="BX254" s="379"/>
      <c r="BY254" s="379"/>
      <c r="BZ254" s="379"/>
      <c r="CA254" s="379"/>
      <c r="CB254" s="379"/>
      <c r="CC254" s="379"/>
      <c r="CD254" s="379"/>
      <c r="CE254" s="379"/>
      <c r="CF254" s="379"/>
      <c r="CG254" s="379"/>
      <c r="CH254" s="34"/>
      <c r="CI254" s="34"/>
      <c r="CJ254" s="34"/>
      <c r="CK254" s="34"/>
      <c r="CL254" s="34"/>
      <c r="CM254" s="34"/>
      <c r="CN254" s="34"/>
      <c r="CO254" s="34"/>
      <c r="CP254" s="34"/>
      <c r="CQ254" s="34"/>
      <c r="CR254" s="34"/>
      <c r="CS254" s="34"/>
      <c r="CT254" s="34"/>
    </row>
    <row r="255" spans="5:98" s="246" customFormat="1" x14ac:dyDescent="0.2">
      <c r="E255" s="379"/>
      <c r="G255" s="1105"/>
      <c r="H255" s="1105"/>
      <c r="I255" s="1105"/>
      <c r="J255" s="1105"/>
      <c r="K255" s="1105"/>
      <c r="L255" s="1105"/>
      <c r="M255" s="1105"/>
      <c r="N255" s="1105"/>
      <c r="O255" s="1105"/>
      <c r="P255" s="1105"/>
      <c r="Q255" s="1105"/>
      <c r="R255" s="1105"/>
      <c r="BT255" s="379"/>
      <c r="BU255" s="379"/>
      <c r="BV255" s="379"/>
      <c r="BW255" s="379"/>
      <c r="BX255" s="379"/>
      <c r="BY255" s="379"/>
      <c r="BZ255" s="379"/>
      <c r="CA255" s="379"/>
      <c r="CB255" s="379"/>
      <c r="CC255" s="379"/>
      <c r="CD255" s="379"/>
      <c r="CE255" s="379"/>
      <c r="CF255" s="379"/>
      <c r="CG255" s="379"/>
      <c r="CH255" s="34"/>
      <c r="CI255" s="34"/>
      <c r="CJ255" s="34"/>
      <c r="CK255" s="34"/>
      <c r="CL255" s="34"/>
      <c r="CM255" s="34"/>
      <c r="CN255" s="34"/>
      <c r="CO255" s="34"/>
      <c r="CP255" s="34"/>
      <c r="CQ255" s="34"/>
      <c r="CR255" s="34"/>
      <c r="CS255" s="34"/>
      <c r="CT255" s="34"/>
    </row>
    <row r="256" spans="5:98" s="246" customFormat="1" x14ac:dyDescent="0.2">
      <c r="E256" s="379"/>
      <c r="G256" s="1105"/>
      <c r="H256" s="1105"/>
      <c r="I256" s="1105"/>
      <c r="J256" s="1105"/>
      <c r="K256" s="1105"/>
      <c r="L256" s="1105"/>
      <c r="M256" s="1105"/>
      <c r="N256" s="1105"/>
      <c r="O256" s="1105"/>
      <c r="P256" s="1105"/>
      <c r="Q256" s="1105"/>
      <c r="R256" s="1105"/>
      <c r="BT256" s="379"/>
      <c r="BU256" s="379"/>
      <c r="BV256" s="379"/>
      <c r="BW256" s="379"/>
      <c r="BX256" s="379"/>
      <c r="BY256" s="379"/>
      <c r="BZ256" s="379"/>
      <c r="CA256" s="379"/>
      <c r="CB256" s="379"/>
      <c r="CC256" s="379"/>
      <c r="CD256" s="379"/>
      <c r="CE256" s="379"/>
      <c r="CF256" s="379"/>
      <c r="CG256" s="379"/>
      <c r="CH256" s="34"/>
      <c r="CI256" s="34"/>
      <c r="CJ256" s="34"/>
      <c r="CK256" s="34"/>
      <c r="CL256" s="34"/>
      <c r="CM256" s="34"/>
      <c r="CN256" s="34"/>
      <c r="CO256" s="34"/>
      <c r="CP256" s="34"/>
      <c r="CQ256" s="34"/>
      <c r="CR256" s="34"/>
      <c r="CS256" s="34"/>
      <c r="CT256" s="34"/>
    </row>
    <row r="257" spans="5:98" s="246" customFormat="1" x14ac:dyDescent="0.2">
      <c r="E257" s="379"/>
      <c r="G257" s="1105"/>
      <c r="H257" s="1105"/>
      <c r="I257" s="1105"/>
      <c r="J257" s="1105"/>
      <c r="K257" s="1105"/>
      <c r="L257" s="1105"/>
      <c r="M257" s="1105"/>
      <c r="N257" s="1105"/>
      <c r="O257" s="1105"/>
      <c r="P257" s="1105"/>
      <c r="Q257" s="1105"/>
      <c r="R257" s="1105"/>
      <c r="BT257" s="379"/>
      <c r="BU257" s="379"/>
      <c r="BV257" s="379"/>
      <c r="BW257" s="379"/>
      <c r="BX257" s="379"/>
      <c r="BY257" s="379"/>
      <c r="BZ257" s="379"/>
      <c r="CA257" s="379"/>
      <c r="CB257" s="379"/>
      <c r="CC257" s="379"/>
      <c r="CD257" s="379"/>
      <c r="CE257" s="379"/>
      <c r="CF257" s="379"/>
      <c r="CG257" s="379"/>
      <c r="CH257" s="34"/>
      <c r="CI257" s="34"/>
      <c r="CJ257" s="34"/>
      <c r="CK257" s="34"/>
      <c r="CL257" s="34"/>
      <c r="CM257" s="34"/>
      <c r="CN257" s="34"/>
      <c r="CO257" s="34"/>
      <c r="CP257" s="34"/>
      <c r="CQ257" s="34"/>
      <c r="CR257" s="34"/>
      <c r="CS257" s="34"/>
      <c r="CT257" s="34"/>
    </row>
    <row r="258" spans="5:98" s="246" customFormat="1" x14ac:dyDescent="0.2">
      <c r="E258" s="379"/>
      <c r="G258" s="1105"/>
      <c r="H258" s="1105"/>
      <c r="I258" s="1105"/>
      <c r="J258" s="1105"/>
      <c r="K258" s="1105"/>
      <c r="L258" s="1105"/>
      <c r="M258" s="1105"/>
      <c r="N258" s="1105"/>
      <c r="O258" s="1105"/>
      <c r="P258" s="1105"/>
      <c r="Q258" s="1105"/>
      <c r="R258" s="1105"/>
      <c r="BT258" s="379"/>
      <c r="BU258" s="379"/>
      <c r="BV258" s="379"/>
      <c r="BW258" s="379"/>
      <c r="BX258" s="379"/>
      <c r="BY258" s="379"/>
      <c r="BZ258" s="379"/>
      <c r="CA258" s="379"/>
      <c r="CB258" s="379"/>
      <c r="CC258" s="379"/>
      <c r="CD258" s="379"/>
      <c r="CE258" s="379"/>
      <c r="CF258" s="379"/>
      <c r="CG258" s="379"/>
      <c r="CH258" s="34"/>
      <c r="CI258" s="34"/>
      <c r="CJ258" s="34"/>
      <c r="CK258" s="34"/>
      <c r="CL258" s="34"/>
      <c r="CM258" s="34"/>
      <c r="CN258" s="34"/>
      <c r="CO258" s="34"/>
      <c r="CP258" s="34"/>
      <c r="CQ258" s="34"/>
      <c r="CR258" s="34"/>
      <c r="CS258" s="34"/>
      <c r="CT258" s="34"/>
    </row>
    <row r="259" spans="5:98" s="246" customFormat="1" x14ac:dyDescent="0.2">
      <c r="E259" s="379"/>
      <c r="G259" s="1105"/>
      <c r="H259" s="1105"/>
      <c r="I259" s="1105"/>
      <c r="J259" s="1105"/>
      <c r="K259" s="1105"/>
      <c r="L259" s="1105"/>
      <c r="M259" s="1105"/>
      <c r="N259" s="1105"/>
      <c r="O259" s="1105"/>
      <c r="P259" s="1105"/>
      <c r="Q259" s="1105"/>
      <c r="R259" s="1105"/>
      <c r="BT259" s="379"/>
      <c r="BU259" s="379"/>
      <c r="BV259" s="379"/>
      <c r="BW259" s="379"/>
      <c r="BX259" s="379"/>
      <c r="BY259" s="379"/>
      <c r="BZ259" s="379"/>
      <c r="CA259" s="379"/>
      <c r="CB259" s="379"/>
      <c r="CC259" s="379"/>
      <c r="CD259" s="379"/>
      <c r="CE259" s="379"/>
      <c r="CF259" s="379"/>
      <c r="CG259" s="379"/>
      <c r="CH259" s="34"/>
      <c r="CI259" s="34"/>
      <c r="CJ259" s="34"/>
      <c r="CK259" s="34"/>
      <c r="CL259" s="34"/>
      <c r="CM259" s="34"/>
      <c r="CN259" s="34"/>
      <c r="CO259" s="34"/>
      <c r="CP259" s="34"/>
      <c r="CQ259" s="34"/>
      <c r="CR259" s="34"/>
      <c r="CS259" s="34"/>
      <c r="CT259" s="34"/>
    </row>
    <row r="260" spans="5:98" s="246" customFormat="1" x14ac:dyDescent="0.2">
      <c r="E260" s="379"/>
      <c r="G260" s="1105"/>
      <c r="H260" s="1105"/>
      <c r="I260" s="1105"/>
      <c r="J260" s="1105"/>
      <c r="K260" s="1105"/>
      <c r="L260" s="1105"/>
      <c r="M260" s="1105"/>
      <c r="N260" s="1105"/>
      <c r="O260" s="1105"/>
      <c r="P260" s="1105"/>
      <c r="Q260" s="1105"/>
      <c r="R260" s="1105"/>
      <c r="BT260" s="379"/>
      <c r="BU260" s="379"/>
      <c r="BV260" s="379"/>
      <c r="BW260" s="379"/>
      <c r="BX260" s="379"/>
      <c r="BY260" s="379"/>
      <c r="BZ260" s="379"/>
      <c r="CA260" s="379"/>
      <c r="CB260" s="379"/>
      <c r="CC260" s="379"/>
      <c r="CD260" s="379"/>
      <c r="CE260" s="379"/>
      <c r="CF260" s="379"/>
      <c r="CG260" s="379"/>
      <c r="CH260" s="34"/>
      <c r="CI260" s="34"/>
      <c r="CJ260" s="34"/>
      <c r="CK260" s="34"/>
      <c r="CL260" s="34"/>
      <c r="CM260" s="34"/>
      <c r="CN260" s="34"/>
      <c r="CO260" s="34"/>
      <c r="CP260" s="34"/>
      <c r="CQ260" s="34"/>
      <c r="CR260" s="34"/>
      <c r="CS260" s="34"/>
      <c r="CT260" s="34"/>
    </row>
    <row r="261" spans="5:98" s="246" customFormat="1" x14ac:dyDescent="0.2">
      <c r="E261" s="379"/>
      <c r="G261" s="1105"/>
      <c r="H261" s="1105"/>
      <c r="I261" s="1105"/>
      <c r="J261" s="1105"/>
      <c r="K261" s="1105"/>
      <c r="L261" s="1105"/>
      <c r="M261" s="1105"/>
      <c r="N261" s="1105"/>
      <c r="O261" s="1105"/>
      <c r="P261" s="1105"/>
      <c r="Q261" s="1105"/>
      <c r="R261" s="1105"/>
      <c r="BT261" s="379"/>
      <c r="BU261" s="379"/>
      <c r="BV261" s="379"/>
      <c r="BW261" s="379"/>
      <c r="BX261" s="379"/>
      <c r="BY261" s="379"/>
      <c r="BZ261" s="379"/>
      <c r="CA261" s="379"/>
      <c r="CB261" s="379"/>
      <c r="CC261" s="379"/>
      <c r="CD261" s="379"/>
      <c r="CE261" s="379"/>
      <c r="CF261" s="379"/>
      <c r="CG261" s="379"/>
      <c r="CH261" s="34"/>
      <c r="CI261" s="34"/>
      <c r="CJ261" s="34"/>
      <c r="CK261" s="34"/>
      <c r="CL261" s="34"/>
      <c r="CM261" s="34"/>
      <c r="CN261" s="34"/>
      <c r="CO261" s="34"/>
      <c r="CP261" s="34"/>
      <c r="CQ261" s="34"/>
      <c r="CR261" s="34"/>
      <c r="CS261" s="34"/>
      <c r="CT261" s="34"/>
    </row>
    <row r="262" spans="5:98" s="246" customFormat="1" x14ac:dyDescent="0.2">
      <c r="E262" s="379"/>
      <c r="G262" s="1105"/>
      <c r="H262" s="1105"/>
      <c r="I262" s="1105"/>
      <c r="J262" s="1105"/>
      <c r="K262" s="1105"/>
      <c r="L262" s="1105"/>
      <c r="M262" s="1105"/>
      <c r="N262" s="1105"/>
      <c r="O262" s="1105"/>
      <c r="P262" s="1105"/>
      <c r="Q262" s="1105"/>
      <c r="R262" s="1105"/>
      <c r="BT262" s="379"/>
      <c r="BU262" s="379"/>
      <c r="BV262" s="379"/>
      <c r="BW262" s="379"/>
      <c r="BX262" s="379"/>
      <c r="BY262" s="379"/>
      <c r="BZ262" s="379"/>
      <c r="CA262" s="379"/>
      <c r="CB262" s="379"/>
      <c r="CC262" s="379"/>
      <c r="CD262" s="379"/>
      <c r="CE262" s="379"/>
      <c r="CF262" s="379"/>
      <c r="CG262" s="379"/>
      <c r="CH262" s="34"/>
      <c r="CI262" s="34"/>
      <c r="CJ262" s="34"/>
      <c r="CK262" s="34"/>
      <c r="CL262" s="34"/>
      <c r="CM262" s="34"/>
      <c r="CN262" s="34"/>
      <c r="CO262" s="34"/>
      <c r="CP262" s="34"/>
      <c r="CQ262" s="34"/>
      <c r="CR262" s="34"/>
      <c r="CS262" s="34"/>
      <c r="CT262" s="34"/>
    </row>
    <row r="263" spans="5:98" s="246" customFormat="1" x14ac:dyDescent="0.2">
      <c r="E263" s="379"/>
      <c r="G263" s="1105"/>
      <c r="H263" s="1105"/>
      <c r="I263" s="1105"/>
      <c r="J263" s="1105"/>
      <c r="K263" s="1105"/>
      <c r="L263" s="1105"/>
      <c r="M263" s="1105"/>
      <c r="N263" s="1105"/>
      <c r="O263" s="1105"/>
      <c r="P263" s="1105"/>
      <c r="Q263" s="1105"/>
      <c r="R263" s="1105"/>
      <c r="BT263" s="379"/>
      <c r="BU263" s="379"/>
      <c r="BV263" s="379"/>
      <c r="BW263" s="379"/>
      <c r="BX263" s="379"/>
      <c r="BY263" s="379"/>
      <c r="BZ263" s="379"/>
      <c r="CA263" s="379"/>
      <c r="CB263" s="379"/>
      <c r="CC263" s="379"/>
      <c r="CD263" s="379"/>
      <c r="CE263" s="379"/>
      <c r="CF263" s="379"/>
      <c r="CG263" s="379"/>
      <c r="CH263" s="34"/>
      <c r="CI263" s="34"/>
      <c r="CJ263" s="34"/>
      <c r="CK263" s="34"/>
      <c r="CL263" s="34"/>
      <c r="CM263" s="34"/>
      <c r="CN263" s="34"/>
      <c r="CO263" s="34"/>
      <c r="CP263" s="34"/>
      <c r="CQ263" s="34"/>
      <c r="CR263" s="34"/>
      <c r="CS263" s="34"/>
      <c r="CT263" s="34"/>
    </row>
    <row r="264" spans="5:98" s="246" customFormat="1" x14ac:dyDescent="0.2">
      <c r="E264" s="379"/>
      <c r="G264" s="1105"/>
      <c r="H264" s="1105"/>
      <c r="I264" s="1105"/>
      <c r="J264" s="1105"/>
      <c r="K264" s="1105"/>
      <c r="L264" s="1105"/>
      <c r="M264" s="1105"/>
      <c r="N264" s="1105"/>
      <c r="O264" s="1105"/>
      <c r="P264" s="1105"/>
      <c r="Q264" s="1105"/>
      <c r="R264" s="1105"/>
      <c r="BT264" s="379"/>
      <c r="BU264" s="379"/>
      <c r="BV264" s="379"/>
      <c r="BW264" s="379"/>
      <c r="BX264" s="379"/>
      <c r="BY264" s="379"/>
      <c r="BZ264" s="379"/>
      <c r="CA264" s="379"/>
      <c r="CB264" s="379"/>
      <c r="CC264" s="379"/>
      <c r="CD264" s="379"/>
      <c r="CE264" s="379"/>
      <c r="CF264" s="379"/>
      <c r="CG264" s="379"/>
      <c r="CH264" s="34"/>
      <c r="CI264" s="34"/>
      <c r="CJ264" s="34"/>
      <c r="CK264" s="34"/>
      <c r="CL264" s="34"/>
      <c r="CM264" s="34"/>
      <c r="CN264" s="34"/>
      <c r="CO264" s="34"/>
      <c r="CP264" s="34"/>
      <c r="CQ264" s="34"/>
      <c r="CR264" s="34"/>
      <c r="CS264" s="34"/>
      <c r="CT264" s="34"/>
    </row>
    <row r="265" spans="5:98" s="246" customFormat="1" x14ac:dyDescent="0.2">
      <c r="E265" s="379"/>
      <c r="G265" s="1105"/>
      <c r="H265" s="1105"/>
      <c r="I265" s="1105"/>
      <c r="J265" s="1105"/>
      <c r="K265" s="1105"/>
      <c r="L265" s="1105"/>
      <c r="M265" s="1105"/>
      <c r="N265" s="1105"/>
      <c r="O265" s="1105"/>
      <c r="P265" s="1105"/>
      <c r="Q265" s="1105"/>
      <c r="R265" s="1105"/>
      <c r="BT265" s="379"/>
      <c r="BU265" s="379"/>
      <c r="BV265" s="379"/>
      <c r="BW265" s="379"/>
      <c r="BX265" s="379"/>
      <c r="BY265" s="379"/>
      <c r="BZ265" s="379"/>
      <c r="CA265" s="379"/>
      <c r="CB265" s="379"/>
      <c r="CC265" s="379"/>
      <c r="CD265" s="379"/>
      <c r="CE265" s="379"/>
      <c r="CF265" s="379"/>
      <c r="CG265" s="379"/>
      <c r="CH265" s="34"/>
      <c r="CI265" s="34"/>
      <c r="CJ265" s="34"/>
      <c r="CK265" s="34"/>
      <c r="CL265" s="34"/>
      <c r="CM265" s="34"/>
      <c r="CN265" s="34"/>
      <c r="CO265" s="34"/>
      <c r="CP265" s="34"/>
      <c r="CQ265" s="34"/>
      <c r="CR265" s="34"/>
      <c r="CS265" s="34"/>
      <c r="CT265" s="34"/>
    </row>
    <row r="266" spans="5:98" s="246" customFormat="1" x14ac:dyDescent="0.2">
      <c r="E266" s="379"/>
      <c r="G266" s="1105"/>
      <c r="H266" s="1105"/>
      <c r="I266" s="1105"/>
      <c r="J266" s="1105"/>
      <c r="K266" s="1105"/>
      <c r="L266" s="1105"/>
      <c r="M266" s="1105"/>
      <c r="N266" s="1105"/>
      <c r="O266" s="1105"/>
      <c r="P266" s="1105"/>
      <c r="Q266" s="1105"/>
      <c r="R266" s="1105"/>
      <c r="BT266" s="379"/>
      <c r="BU266" s="379"/>
      <c r="BV266" s="379"/>
      <c r="BW266" s="379"/>
      <c r="BX266" s="379"/>
      <c r="BY266" s="379"/>
      <c r="BZ266" s="379"/>
      <c r="CA266" s="379"/>
      <c r="CB266" s="379"/>
      <c r="CC266" s="379"/>
      <c r="CD266" s="379"/>
      <c r="CE266" s="379"/>
      <c r="CF266" s="379"/>
      <c r="CG266" s="379"/>
      <c r="CH266" s="34"/>
      <c r="CI266" s="34"/>
      <c r="CJ266" s="34"/>
      <c r="CK266" s="34"/>
      <c r="CL266" s="34"/>
      <c r="CM266" s="34"/>
      <c r="CN266" s="34"/>
      <c r="CO266" s="34"/>
      <c r="CP266" s="34"/>
      <c r="CQ266" s="34"/>
      <c r="CR266" s="34"/>
      <c r="CS266" s="34"/>
      <c r="CT266" s="34"/>
    </row>
    <row r="267" spans="5:98" s="246" customFormat="1" x14ac:dyDescent="0.2">
      <c r="E267" s="379"/>
      <c r="G267" s="1105"/>
      <c r="H267" s="1105"/>
      <c r="I267" s="1105"/>
      <c r="J267" s="1105"/>
      <c r="K267" s="1105"/>
      <c r="L267" s="1105"/>
      <c r="M267" s="1105"/>
      <c r="N267" s="1105"/>
      <c r="O267" s="1105"/>
      <c r="P267" s="1105"/>
      <c r="Q267" s="1105"/>
      <c r="R267" s="1105"/>
      <c r="BT267" s="379"/>
      <c r="BU267" s="379"/>
      <c r="BV267" s="379"/>
      <c r="BW267" s="379"/>
      <c r="BX267" s="379"/>
      <c r="BY267" s="379"/>
      <c r="BZ267" s="379"/>
      <c r="CA267" s="379"/>
      <c r="CB267" s="379"/>
      <c r="CC267" s="379"/>
      <c r="CD267" s="379"/>
      <c r="CE267" s="379"/>
      <c r="CF267" s="379"/>
      <c r="CG267" s="379"/>
      <c r="CH267" s="34"/>
      <c r="CI267" s="34"/>
      <c r="CJ267" s="34"/>
      <c r="CK267" s="34"/>
      <c r="CL267" s="34"/>
      <c r="CM267" s="34"/>
      <c r="CN267" s="34"/>
      <c r="CO267" s="34"/>
      <c r="CP267" s="34"/>
      <c r="CQ267" s="34"/>
      <c r="CR267" s="34"/>
      <c r="CS267" s="34"/>
      <c r="CT267" s="34"/>
    </row>
    <row r="268" spans="5:98" s="246" customFormat="1" x14ac:dyDescent="0.2">
      <c r="E268" s="379"/>
      <c r="G268" s="1105"/>
      <c r="H268" s="1105"/>
      <c r="I268" s="1105"/>
      <c r="J268" s="1105"/>
      <c r="K268" s="1105"/>
      <c r="L268" s="1105"/>
      <c r="M268" s="1105"/>
      <c r="N268" s="1105"/>
      <c r="O268" s="1105"/>
      <c r="P268" s="1105"/>
      <c r="Q268" s="1105"/>
      <c r="R268" s="1105"/>
      <c r="BT268" s="379"/>
      <c r="BU268" s="379"/>
      <c r="BV268" s="379"/>
      <c r="BW268" s="379"/>
      <c r="BX268" s="379"/>
      <c r="BY268" s="379"/>
      <c r="BZ268" s="379"/>
      <c r="CA268" s="379"/>
      <c r="CB268" s="379"/>
      <c r="CC268" s="379"/>
      <c r="CD268" s="379"/>
      <c r="CE268" s="379"/>
      <c r="CF268" s="379"/>
      <c r="CG268" s="379"/>
      <c r="CH268" s="34"/>
      <c r="CI268" s="34"/>
      <c r="CJ268" s="34"/>
      <c r="CK268" s="34"/>
      <c r="CL268" s="34"/>
      <c r="CM268" s="34"/>
      <c r="CN268" s="34"/>
      <c r="CO268" s="34"/>
      <c r="CP268" s="34"/>
      <c r="CQ268" s="34"/>
      <c r="CR268" s="34"/>
      <c r="CS268" s="34"/>
      <c r="CT268" s="34"/>
    </row>
    <row r="269" spans="5:98" s="246" customFormat="1" x14ac:dyDescent="0.2">
      <c r="E269" s="379"/>
      <c r="G269" s="1105"/>
      <c r="H269" s="1105"/>
      <c r="I269" s="1105"/>
      <c r="J269" s="1105"/>
      <c r="K269" s="1105"/>
      <c r="L269" s="1105"/>
      <c r="M269" s="1105"/>
      <c r="N269" s="1105"/>
      <c r="O269" s="1105"/>
      <c r="P269" s="1105"/>
      <c r="Q269" s="1105"/>
      <c r="R269" s="1105"/>
      <c r="BT269" s="379"/>
      <c r="BU269" s="379"/>
      <c r="BV269" s="379"/>
      <c r="BW269" s="379"/>
      <c r="BX269" s="379"/>
      <c r="BY269" s="379"/>
      <c r="BZ269" s="379"/>
      <c r="CA269" s="379"/>
      <c r="CB269" s="379"/>
      <c r="CC269" s="379"/>
      <c r="CD269" s="379"/>
      <c r="CE269" s="379"/>
      <c r="CF269" s="379"/>
      <c r="CG269" s="379"/>
      <c r="CH269" s="34"/>
      <c r="CI269" s="34"/>
      <c r="CJ269" s="34"/>
      <c r="CK269" s="34"/>
      <c r="CL269" s="34"/>
      <c r="CM269" s="34"/>
      <c r="CN269" s="34"/>
      <c r="CO269" s="34"/>
      <c r="CP269" s="34"/>
      <c r="CQ269" s="34"/>
      <c r="CR269" s="34"/>
      <c r="CS269" s="34"/>
      <c r="CT269" s="34"/>
    </row>
    <row r="270" spans="5:98" s="246" customFormat="1" x14ac:dyDescent="0.2">
      <c r="E270" s="379"/>
      <c r="G270" s="1105"/>
      <c r="H270" s="1105"/>
      <c r="I270" s="1105"/>
      <c r="J270" s="1105"/>
      <c r="K270" s="1105"/>
      <c r="L270" s="1105"/>
      <c r="M270" s="1105"/>
      <c r="N270" s="1105"/>
      <c r="O270" s="1105"/>
      <c r="P270" s="1105"/>
      <c r="Q270" s="1105"/>
      <c r="R270" s="1105"/>
      <c r="BT270" s="379"/>
      <c r="BU270" s="379"/>
      <c r="BV270" s="379"/>
      <c r="BW270" s="379"/>
      <c r="BX270" s="379"/>
      <c r="BY270" s="379"/>
      <c r="BZ270" s="379"/>
      <c r="CA270" s="379"/>
      <c r="CB270" s="379"/>
      <c r="CC270" s="379"/>
      <c r="CD270" s="379"/>
      <c r="CE270" s="379"/>
      <c r="CF270" s="379"/>
      <c r="CG270" s="379"/>
      <c r="CH270" s="34"/>
      <c r="CI270" s="34"/>
      <c r="CJ270" s="34"/>
      <c r="CK270" s="34"/>
      <c r="CL270" s="34"/>
      <c r="CM270" s="34"/>
      <c r="CN270" s="34"/>
      <c r="CO270" s="34"/>
      <c r="CP270" s="34"/>
      <c r="CQ270" s="34"/>
      <c r="CR270" s="34"/>
      <c r="CS270" s="34"/>
      <c r="CT270" s="34"/>
    </row>
    <row r="271" spans="5:98" s="246" customFormat="1" x14ac:dyDescent="0.2">
      <c r="E271" s="379"/>
      <c r="G271" s="1105"/>
      <c r="H271" s="1105"/>
      <c r="I271" s="1105"/>
      <c r="J271" s="1105"/>
      <c r="K271" s="1105"/>
      <c r="L271" s="1105"/>
      <c r="M271" s="1105"/>
      <c r="N271" s="1105"/>
      <c r="O271" s="1105"/>
      <c r="P271" s="1105"/>
      <c r="Q271" s="1105"/>
      <c r="R271" s="1105"/>
      <c r="BT271" s="379"/>
      <c r="BU271" s="379"/>
      <c r="BV271" s="379"/>
      <c r="BW271" s="379"/>
      <c r="BX271" s="379"/>
      <c r="BY271" s="379"/>
      <c r="BZ271" s="379"/>
      <c r="CA271" s="379"/>
      <c r="CB271" s="379"/>
      <c r="CC271" s="379"/>
      <c r="CD271" s="379"/>
      <c r="CE271" s="379"/>
      <c r="CF271" s="379"/>
      <c r="CG271" s="379"/>
      <c r="CH271" s="34"/>
      <c r="CI271" s="34"/>
      <c r="CJ271" s="34"/>
      <c r="CK271" s="34"/>
      <c r="CL271" s="34"/>
      <c r="CM271" s="34"/>
      <c r="CN271" s="34"/>
      <c r="CO271" s="34"/>
      <c r="CP271" s="34"/>
      <c r="CQ271" s="34"/>
      <c r="CR271" s="34"/>
      <c r="CS271" s="34"/>
      <c r="CT271" s="34"/>
    </row>
    <row r="272" spans="5:98" s="246" customFormat="1" x14ac:dyDescent="0.2">
      <c r="E272" s="379"/>
      <c r="G272" s="1105"/>
      <c r="H272" s="1105"/>
      <c r="I272" s="1105"/>
      <c r="J272" s="1105"/>
      <c r="K272" s="1105"/>
      <c r="L272" s="1105"/>
      <c r="M272" s="1105"/>
      <c r="N272" s="1105"/>
      <c r="O272" s="1105"/>
      <c r="P272" s="1105"/>
      <c r="Q272" s="1105"/>
      <c r="R272" s="1105"/>
      <c r="BT272" s="379"/>
      <c r="BU272" s="379"/>
      <c r="BV272" s="379"/>
      <c r="BW272" s="379"/>
      <c r="BX272" s="379"/>
      <c r="BY272" s="379"/>
      <c r="BZ272" s="379"/>
      <c r="CA272" s="379"/>
      <c r="CB272" s="379"/>
      <c r="CC272" s="379"/>
      <c r="CD272" s="379"/>
      <c r="CE272" s="379"/>
      <c r="CF272" s="379"/>
      <c r="CG272" s="379"/>
      <c r="CH272" s="34"/>
      <c r="CI272" s="34"/>
      <c r="CJ272" s="34"/>
      <c r="CK272" s="34"/>
      <c r="CL272" s="34"/>
      <c r="CM272" s="34"/>
      <c r="CN272" s="34"/>
      <c r="CO272" s="34"/>
      <c r="CP272" s="34"/>
      <c r="CQ272" s="34"/>
      <c r="CR272" s="34"/>
      <c r="CS272" s="34"/>
      <c r="CT272" s="34"/>
    </row>
    <row r="273" spans="5:98" s="246" customFormat="1" x14ac:dyDescent="0.2">
      <c r="E273" s="379"/>
      <c r="G273" s="1105"/>
      <c r="H273" s="1105"/>
      <c r="I273" s="1105"/>
      <c r="J273" s="1105"/>
      <c r="K273" s="1105"/>
      <c r="L273" s="1105"/>
      <c r="M273" s="1105"/>
      <c r="N273" s="1105"/>
      <c r="O273" s="1105"/>
      <c r="P273" s="1105"/>
      <c r="Q273" s="1105"/>
      <c r="R273" s="1105"/>
      <c r="BT273" s="379"/>
      <c r="BU273" s="379"/>
      <c r="BV273" s="379"/>
      <c r="BW273" s="379"/>
      <c r="BX273" s="379"/>
      <c r="BY273" s="379"/>
      <c r="BZ273" s="379"/>
      <c r="CA273" s="379"/>
      <c r="CB273" s="379"/>
      <c r="CC273" s="379"/>
      <c r="CD273" s="379"/>
      <c r="CE273" s="379"/>
      <c r="CF273" s="379"/>
      <c r="CG273" s="379"/>
      <c r="CH273" s="34"/>
      <c r="CI273" s="34"/>
      <c r="CJ273" s="34"/>
      <c r="CK273" s="34"/>
      <c r="CL273" s="34"/>
      <c r="CM273" s="34"/>
      <c r="CN273" s="34"/>
      <c r="CO273" s="34"/>
      <c r="CP273" s="34"/>
      <c r="CQ273" s="34"/>
      <c r="CR273" s="34"/>
      <c r="CS273" s="34"/>
      <c r="CT273" s="34"/>
    </row>
    <row r="274" spans="5:98" s="246" customFormat="1" x14ac:dyDescent="0.2">
      <c r="E274" s="379"/>
      <c r="G274" s="1105"/>
      <c r="H274" s="1105"/>
      <c r="I274" s="1105"/>
      <c r="J274" s="1105"/>
      <c r="K274" s="1105"/>
      <c r="L274" s="1105"/>
      <c r="M274" s="1105"/>
      <c r="N274" s="1105"/>
      <c r="O274" s="1105"/>
      <c r="P274" s="1105"/>
      <c r="Q274" s="1105"/>
      <c r="R274" s="1105"/>
      <c r="BT274" s="379"/>
      <c r="BU274" s="379"/>
      <c r="BV274" s="379"/>
      <c r="BW274" s="379"/>
      <c r="BX274" s="379"/>
      <c r="BY274" s="379"/>
      <c r="BZ274" s="379"/>
      <c r="CA274" s="379"/>
      <c r="CB274" s="379"/>
      <c r="CC274" s="379"/>
      <c r="CD274" s="379"/>
      <c r="CE274" s="379"/>
      <c r="CF274" s="379"/>
      <c r="CG274" s="379"/>
      <c r="CH274" s="34"/>
      <c r="CI274" s="34"/>
      <c r="CJ274" s="34"/>
      <c r="CK274" s="34"/>
      <c r="CL274" s="34"/>
      <c r="CM274" s="34"/>
      <c r="CN274" s="34"/>
      <c r="CO274" s="34"/>
      <c r="CP274" s="34"/>
      <c r="CQ274" s="34"/>
      <c r="CR274" s="34"/>
      <c r="CS274" s="34"/>
      <c r="CT274" s="34"/>
    </row>
    <row r="275" spans="5:98" s="246" customFormat="1" x14ac:dyDescent="0.2">
      <c r="E275" s="379"/>
      <c r="G275" s="1105"/>
      <c r="H275" s="1105"/>
      <c r="I275" s="1105"/>
      <c r="J275" s="1105"/>
      <c r="K275" s="1105"/>
      <c r="L275" s="1105"/>
      <c r="M275" s="1105"/>
      <c r="N275" s="1105"/>
      <c r="O275" s="1105"/>
      <c r="P275" s="1105"/>
      <c r="Q275" s="1105"/>
      <c r="R275" s="1105"/>
      <c r="BT275" s="379"/>
      <c r="BU275" s="379"/>
      <c r="BV275" s="379"/>
      <c r="BW275" s="379"/>
      <c r="BX275" s="379"/>
      <c r="BY275" s="379"/>
      <c r="BZ275" s="379"/>
      <c r="CA275" s="379"/>
      <c r="CB275" s="379"/>
      <c r="CC275" s="379"/>
      <c r="CD275" s="379"/>
      <c r="CE275" s="379"/>
      <c r="CF275" s="379"/>
      <c r="CG275" s="379"/>
      <c r="CH275" s="34"/>
      <c r="CI275" s="34"/>
      <c r="CJ275" s="34"/>
      <c r="CK275" s="34"/>
      <c r="CL275" s="34"/>
      <c r="CM275" s="34"/>
      <c r="CN275" s="34"/>
      <c r="CO275" s="34"/>
      <c r="CP275" s="34"/>
      <c r="CQ275" s="34"/>
      <c r="CR275" s="34"/>
      <c r="CS275" s="34"/>
      <c r="CT275" s="34"/>
    </row>
    <row r="276" spans="5:98" s="246" customFormat="1" x14ac:dyDescent="0.2">
      <c r="E276" s="379"/>
      <c r="G276" s="1105"/>
      <c r="H276" s="1105"/>
      <c r="I276" s="1105"/>
      <c r="J276" s="1105"/>
      <c r="K276" s="1105"/>
      <c r="L276" s="1105"/>
      <c r="M276" s="1105"/>
      <c r="N276" s="1105"/>
      <c r="O276" s="1105"/>
      <c r="P276" s="1105"/>
      <c r="Q276" s="1105"/>
      <c r="R276" s="1105"/>
      <c r="BT276" s="379"/>
      <c r="BU276" s="379"/>
      <c r="BV276" s="379"/>
      <c r="BW276" s="379"/>
      <c r="BX276" s="379"/>
      <c r="BY276" s="379"/>
      <c r="BZ276" s="379"/>
      <c r="CA276" s="379"/>
      <c r="CB276" s="379"/>
      <c r="CC276" s="379"/>
      <c r="CD276" s="379"/>
      <c r="CE276" s="379"/>
      <c r="CF276" s="379"/>
      <c r="CG276" s="379"/>
      <c r="CH276" s="34"/>
      <c r="CI276" s="34"/>
      <c r="CJ276" s="34"/>
      <c r="CK276" s="34"/>
      <c r="CL276" s="34"/>
      <c r="CM276" s="34"/>
      <c r="CN276" s="34"/>
      <c r="CO276" s="34"/>
      <c r="CP276" s="34"/>
      <c r="CQ276" s="34"/>
      <c r="CR276" s="34"/>
      <c r="CS276" s="34"/>
      <c r="CT276" s="34"/>
    </row>
    <row r="277" spans="5:98" s="246" customFormat="1" x14ac:dyDescent="0.2">
      <c r="E277" s="379"/>
      <c r="G277" s="1105"/>
      <c r="H277" s="1105"/>
      <c r="I277" s="1105"/>
      <c r="J277" s="1105"/>
      <c r="K277" s="1105"/>
      <c r="L277" s="1105"/>
      <c r="M277" s="1105"/>
      <c r="N277" s="1105"/>
      <c r="O277" s="1105"/>
      <c r="P277" s="1105"/>
      <c r="Q277" s="1105"/>
      <c r="R277" s="1105"/>
      <c r="BT277" s="379"/>
      <c r="BU277" s="379"/>
      <c r="BV277" s="379"/>
      <c r="BW277" s="379"/>
      <c r="BX277" s="379"/>
      <c r="BY277" s="379"/>
      <c r="BZ277" s="379"/>
      <c r="CA277" s="379"/>
      <c r="CB277" s="379"/>
      <c r="CC277" s="379"/>
      <c r="CD277" s="379"/>
      <c r="CE277" s="379"/>
      <c r="CF277" s="379"/>
      <c r="CG277" s="379"/>
      <c r="CH277" s="34"/>
      <c r="CI277" s="34"/>
      <c r="CJ277" s="34"/>
      <c r="CK277" s="34"/>
      <c r="CL277" s="34"/>
      <c r="CM277" s="34"/>
      <c r="CN277" s="34"/>
      <c r="CO277" s="34"/>
      <c r="CP277" s="34"/>
      <c r="CQ277" s="34"/>
      <c r="CR277" s="34"/>
      <c r="CS277" s="34"/>
      <c r="CT277" s="34"/>
    </row>
    <row r="278" spans="5:98" s="246" customFormat="1" x14ac:dyDescent="0.2">
      <c r="E278" s="379"/>
      <c r="G278" s="1105"/>
      <c r="H278" s="1105"/>
      <c r="I278" s="1105"/>
      <c r="J278" s="1105"/>
      <c r="K278" s="1105"/>
      <c r="L278" s="1105"/>
      <c r="M278" s="1105"/>
      <c r="N278" s="1105"/>
      <c r="O278" s="1105"/>
      <c r="P278" s="1105"/>
      <c r="Q278" s="1105"/>
      <c r="R278" s="1105"/>
      <c r="BT278" s="379"/>
      <c r="BU278" s="379"/>
      <c r="BV278" s="379"/>
      <c r="BW278" s="379"/>
      <c r="BX278" s="379"/>
      <c r="BY278" s="379"/>
      <c r="BZ278" s="379"/>
      <c r="CA278" s="379"/>
      <c r="CB278" s="379"/>
      <c r="CC278" s="379"/>
      <c r="CD278" s="379"/>
      <c r="CE278" s="379"/>
      <c r="CF278" s="379"/>
      <c r="CG278" s="379"/>
      <c r="CH278" s="34"/>
      <c r="CI278" s="34"/>
      <c r="CJ278" s="34"/>
      <c r="CK278" s="34"/>
      <c r="CL278" s="34"/>
      <c r="CM278" s="34"/>
      <c r="CN278" s="34"/>
      <c r="CO278" s="34"/>
      <c r="CP278" s="34"/>
      <c r="CQ278" s="34"/>
      <c r="CR278" s="34"/>
      <c r="CS278" s="34"/>
      <c r="CT278" s="34"/>
    </row>
    <row r="279" spans="5:98" s="246" customFormat="1" x14ac:dyDescent="0.2">
      <c r="E279" s="379"/>
      <c r="G279" s="1105"/>
      <c r="H279" s="1105"/>
      <c r="I279" s="1105"/>
      <c r="J279" s="1105"/>
      <c r="K279" s="1105"/>
      <c r="L279" s="1105"/>
      <c r="M279" s="1105"/>
      <c r="N279" s="1105"/>
      <c r="O279" s="1105"/>
      <c r="P279" s="1105"/>
      <c r="Q279" s="1105"/>
      <c r="R279" s="1105"/>
      <c r="BT279" s="379"/>
      <c r="BU279" s="379"/>
      <c r="BV279" s="379"/>
      <c r="BW279" s="379"/>
      <c r="BX279" s="379"/>
      <c r="BY279" s="379"/>
      <c r="BZ279" s="379"/>
      <c r="CA279" s="379"/>
      <c r="CB279" s="379"/>
      <c r="CC279" s="379"/>
      <c r="CD279" s="379"/>
      <c r="CE279" s="379"/>
      <c r="CF279" s="379"/>
      <c r="CG279" s="379"/>
      <c r="CH279" s="34"/>
      <c r="CI279" s="34"/>
      <c r="CJ279" s="34"/>
      <c r="CK279" s="34"/>
      <c r="CL279" s="34"/>
      <c r="CM279" s="34"/>
      <c r="CN279" s="34"/>
      <c r="CO279" s="34"/>
      <c r="CP279" s="34"/>
      <c r="CQ279" s="34"/>
      <c r="CR279" s="34"/>
      <c r="CS279" s="34"/>
      <c r="CT279" s="34"/>
    </row>
    <row r="280" spans="5:98" s="246" customFormat="1" x14ac:dyDescent="0.2">
      <c r="E280" s="379"/>
      <c r="G280" s="1105"/>
      <c r="H280" s="1105"/>
      <c r="I280" s="1105"/>
      <c r="J280" s="1105"/>
      <c r="K280" s="1105"/>
      <c r="L280" s="1105"/>
      <c r="M280" s="1105"/>
      <c r="N280" s="1105"/>
      <c r="O280" s="1105"/>
      <c r="P280" s="1105"/>
      <c r="Q280" s="1105"/>
      <c r="R280" s="1105"/>
      <c r="BT280" s="379"/>
      <c r="BU280" s="379"/>
      <c r="BV280" s="379"/>
      <c r="BW280" s="379"/>
      <c r="BX280" s="379"/>
      <c r="BY280" s="379"/>
      <c r="BZ280" s="379"/>
      <c r="CA280" s="379"/>
      <c r="CB280" s="379"/>
      <c r="CC280" s="379"/>
      <c r="CD280" s="379"/>
      <c r="CE280" s="379"/>
      <c r="CF280" s="379"/>
      <c r="CG280" s="379"/>
      <c r="CH280" s="34"/>
      <c r="CI280" s="34"/>
      <c r="CJ280" s="34"/>
      <c r="CK280" s="34"/>
      <c r="CL280" s="34"/>
      <c r="CM280" s="34"/>
      <c r="CN280" s="34"/>
      <c r="CO280" s="34"/>
      <c r="CP280" s="34"/>
      <c r="CQ280" s="34"/>
      <c r="CR280" s="34"/>
      <c r="CS280" s="34"/>
      <c r="CT280" s="34"/>
    </row>
    <row r="281" spans="5:98" s="246" customFormat="1" x14ac:dyDescent="0.2">
      <c r="E281" s="379"/>
      <c r="G281" s="1105"/>
      <c r="H281" s="1105"/>
      <c r="I281" s="1105"/>
      <c r="J281" s="1105"/>
      <c r="K281" s="1105"/>
      <c r="L281" s="1105"/>
      <c r="M281" s="1105"/>
      <c r="N281" s="1105"/>
      <c r="O281" s="1105"/>
      <c r="P281" s="1105"/>
      <c r="Q281" s="1105"/>
      <c r="R281" s="1105"/>
      <c r="BT281" s="379"/>
      <c r="BU281" s="379"/>
      <c r="BV281" s="379"/>
      <c r="BW281" s="379"/>
      <c r="BX281" s="379"/>
      <c r="BY281" s="379"/>
      <c r="BZ281" s="379"/>
      <c r="CA281" s="379"/>
      <c r="CB281" s="379"/>
      <c r="CC281" s="379"/>
      <c r="CD281" s="379"/>
      <c r="CE281" s="379"/>
      <c r="CF281" s="379"/>
      <c r="CG281" s="379"/>
      <c r="CH281" s="34"/>
      <c r="CI281" s="34"/>
      <c r="CJ281" s="34"/>
      <c r="CK281" s="34"/>
      <c r="CL281" s="34"/>
      <c r="CM281" s="34"/>
      <c r="CN281" s="34"/>
      <c r="CO281" s="34"/>
      <c r="CP281" s="34"/>
      <c r="CQ281" s="34"/>
      <c r="CR281" s="34"/>
      <c r="CS281" s="34"/>
      <c r="CT281" s="34"/>
    </row>
    <row r="282" spans="5:98" s="246" customFormat="1" x14ac:dyDescent="0.2">
      <c r="E282" s="379"/>
      <c r="G282" s="1105"/>
      <c r="H282" s="1105"/>
      <c r="I282" s="1105"/>
      <c r="J282" s="1105"/>
      <c r="K282" s="1105"/>
      <c r="L282" s="1105"/>
      <c r="M282" s="1105"/>
      <c r="N282" s="1105"/>
      <c r="O282" s="1105"/>
      <c r="P282" s="1105"/>
      <c r="Q282" s="1105"/>
      <c r="R282" s="1105"/>
      <c r="BT282" s="379"/>
      <c r="BU282" s="379"/>
      <c r="BV282" s="379"/>
      <c r="BW282" s="379"/>
      <c r="BX282" s="379"/>
      <c r="BY282" s="379"/>
      <c r="BZ282" s="379"/>
      <c r="CA282" s="379"/>
      <c r="CB282" s="379"/>
      <c r="CC282" s="379"/>
      <c r="CD282" s="379"/>
      <c r="CE282" s="379"/>
      <c r="CF282" s="379"/>
      <c r="CG282" s="379"/>
      <c r="CH282" s="34"/>
      <c r="CI282" s="34"/>
      <c r="CJ282" s="34"/>
      <c r="CK282" s="34"/>
      <c r="CL282" s="34"/>
      <c r="CM282" s="34"/>
      <c r="CN282" s="34"/>
      <c r="CO282" s="34"/>
      <c r="CP282" s="34"/>
      <c r="CQ282" s="34"/>
      <c r="CR282" s="34"/>
      <c r="CS282" s="34"/>
      <c r="CT282" s="34"/>
    </row>
    <row r="283" spans="5:98" s="246" customFormat="1" x14ac:dyDescent="0.2">
      <c r="E283" s="379"/>
      <c r="G283" s="1105"/>
      <c r="H283" s="1105"/>
      <c r="I283" s="1105"/>
      <c r="J283" s="1105"/>
      <c r="K283" s="1105"/>
      <c r="L283" s="1105"/>
      <c r="M283" s="1105"/>
      <c r="N283" s="1105"/>
      <c r="O283" s="1105"/>
      <c r="P283" s="1105"/>
      <c r="Q283" s="1105"/>
      <c r="R283" s="1105"/>
      <c r="BT283" s="379"/>
      <c r="BU283" s="379"/>
      <c r="BV283" s="379"/>
      <c r="BW283" s="379"/>
      <c r="BX283" s="379"/>
      <c r="BY283" s="379"/>
      <c r="BZ283" s="379"/>
      <c r="CA283" s="379"/>
      <c r="CB283" s="379"/>
      <c r="CC283" s="379"/>
      <c r="CD283" s="379"/>
      <c r="CE283" s="379"/>
      <c r="CF283" s="379"/>
      <c r="CG283" s="379"/>
      <c r="CH283" s="34"/>
      <c r="CI283" s="34"/>
      <c r="CJ283" s="34"/>
      <c r="CK283" s="34"/>
      <c r="CL283" s="34"/>
      <c r="CM283" s="34"/>
      <c r="CN283" s="34"/>
      <c r="CO283" s="34"/>
      <c r="CP283" s="34"/>
      <c r="CQ283" s="34"/>
      <c r="CR283" s="34"/>
      <c r="CS283" s="34"/>
      <c r="CT283" s="34"/>
    </row>
    <row r="284" spans="5:98" x14ac:dyDescent="0.2">
      <c r="G284" s="1105"/>
      <c r="H284" s="1105"/>
      <c r="I284" s="1105"/>
      <c r="J284" s="1105"/>
      <c r="K284" s="1105"/>
      <c r="L284" s="1105"/>
      <c r="M284" s="1105"/>
      <c r="N284" s="1105"/>
      <c r="O284" s="1105"/>
      <c r="P284" s="1105"/>
      <c r="Q284" s="1105"/>
      <c r="R284" s="1105"/>
      <c r="BT284" s="379"/>
      <c r="BU284" s="379"/>
      <c r="BV284" s="379"/>
      <c r="BW284" s="379"/>
      <c r="BX284" s="379"/>
      <c r="BY284" s="379"/>
      <c r="BZ284" s="379"/>
      <c r="CA284" s="379"/>
      <c r="CB284" s="379"/>
      <c r="CC284" s="379"/>
      <c r="CD284" s="379"/>
      <c r="CE284" s="379"/>
      <c r="CF284" s="379"/>
      <c r="CG284" s="379"/>
    </row>
    <row r="285" spans="5:98" x14ac:dyDescent="0.2">
      <c r="G285" s="1105"/>
      <c r="H285" s="1105"/>
      <c r="I285" s="1105"/>
      <c r="J285" s="1105"/>
      <c r="K285" s="1105"/>
      <c r="L285" s="1105"/>
      <c r="M285" s="1105"/>
      <c r="N285" s="1105"/>
      <c r="O285" s="1105"/>
      <c r="P285" s="1105"/>
      <c r="Q285" s="1105"/>
      <c r="R285" s="1105"/>
      <c r="BT285" s="379"/>
      <c r="BU285" s="379"/>
      <c r="BV285" s="379"/>
      <c r="BW285" s="379"/>
      <c r="BX285" s="379"/>
      <c r="BY285" s="379"/>
      <c r="BZ285" s="379"/>
      <c r="CA285" s="379"/>
      <c r="CB285" s="379"/>
      <c r="CC285" s="379"/>
      <c r="CD285" s="379"/>
      <c r="CE285" s="379"/>
      <c r="CF285" s="379"/>
      <c r="CG285" s="379"/>
    </row>
    <row r="286" spans="5:98" x14ac:dyDescent="0.2">
      <c r="G286" s="1105"/>
      <c r="H286" s="1105"/>
      <c r="I286" s="1105"/>
      <c r="J286" s="1105"/>
      <c r="K286" s="1105"/>
      <c r="L286" s="1105"/>
      <c r="M286" s="1105"/>
      <c r="N286" s="1105"/>
      <c r="O286" s="1105"/>
      <c r="P286" s="1105"/>
      <c r="Q286" s="1105"/>
      <c r="R286" s="1105"/>
      <c r="BT286" s="379"/>
      <c r="BU286" s="379"/>
      <c r="BV286" s="379"/>
      <c r="BW286" s="379"/>
      <c r="BX286" s="379"/>
      <c r="BY286" s="379"/>
      <c r="BZ286" s="379"/>
      <c r="CA286" s="379"/>
      <c r="CB286" s="379"/>
      <c r="CC286" s="379"/>
      <c r="CD286" s="379"/>
      <c r="CE286" s="379"/>
      <c r="CF286" s="379"/>
      <c r="CG286" s="379"/>
    </row>
    <row r="287" spans="5:98" x14ac:dyDescent="0.2">
      <c r="G287" s="1105"/>
      <c r="H287" s="1105"/>
      <c r="I287" s="1105"/>
      <c r="J287" s="1105"/>
      <c r="K287" s="1105"/>
      <c r="L287" s="1105"/>
      <c r="M287" s="1105"/>
      <c r="N287" s="1105"/>
      <c r="O287" s="1105"/>
      <c r="P287" s="1105"/>
      <c r="Q287" s="1105"/>
      <c r="R287" s="1105"/>
      <c r="BT287" s="379"/>
      <c r="BU287" s="379"/>
      <c r="BV287" s="379"/>
      <c r="BW287" s="379"/>
      <c r="BX287" s="379"/>
      <c r="BY287" s="379"/>
      <c r="BZ287" s="379"/>
      <c r="CA287" s="379"/>
      <c r="CB287" s="379"/>
      <c r="CC287" s="379"/>
      <c r="CD287" s="379"/>
      <c r="CE287" s="379"/>
      <c r="CF287" s="379"/>
      <c r="CG287" s="379"/>
    </row>
    <row r="288" spans="5:98" x14ac:dyDescent="0.2">
      <c r="G288" s="1105"/>
      <c r="H288" s="1105"/>
      <c r="I288" s="1105"/>
      <c r="J288" s="1105"/>
      <c r="K288" s="1105"/>
      <c r="L288" s="1105"/>
      <c r="M288" s="1105"/>
      <c r="N288" s="1105"/>
      <c r="O288" s="1105"/>
      <c r="P288" s="1105"/>
      <c r="Q288" s="1105"/>
      <c r="R288" s="1105"/>
      <c r="BT288" s="379"/>
      <c r="BU288" s="379"/>
      <c r="BV288" s="379"/>
      <c r="BW288" s="379"/>
      <c r="BX288" s="379"/>
      <c r="BY288" s="379"/>
      <c r="BZ288" s="379"/>
      <c r="CA288" s="379"/>
      <c r="CB288" s="379"/>
      <c r="CC288" s="379"/>
      <c r="CD288" s="379"/>
      <c r="CE288" s="379"/>
      <c r="CF288" s="379"/>
      <c r="CG288" s="379"/>
    </row>
    <row r="289" spans="7:85" x14ac:dyDescent="0.2">
      <c r="G289" s="1105"/>
      <c r="H289" s="1105"/>
      <c r="I289" s="1105"/>
      <c r="J289" s="1105"/>
      <c r="K289" s="1105"/>
      <c r="L289" s="1105"/>
      <c r="M289" s="1105"/>
      <c r="N289" s="1105"/>
      <c r="O289" s="1105"/>
      <c r="P289" s="1105"/>
      <c r="Q289" s="1105"/>
      <c r="R289" s="1105"/>
      <c r="BT289" s="379"/>
      <c r="BU289" s="379"/>
      <c r="BV289" s="379"/>
      <c r="BW289" s="379"/>
      <c r="BX289" s="379"/>
      <c r="BY289" s="379"/>
      <c r="BZ289" s="379"/>
      <c r="CA289" s="379"/>
      <c r="CB289" s="379"/>
      <c r="CC289" s="379"/>
      <c r="CD289" s="379"/>
      <c r="CE289" s="379"/>
      <c r="CF289" s="379"/>
      <c r="CG289" s="379"/>
    </row>
    <row r="290" spans="7:85" x14ac:dyDescent="0.2">
      <c r="G290" s="1105"/>
      <c r="H290" s="1105"/>
      <c r="I290" s="1105"/>
      <c r="J290" s="1105"/>
      <c r="K290" s="1105"/>
      <c r="L290" s="1105"/>
      <c r="M290" s="1105"/>
      <c r="N290" s="1105"/>
      <c r="O290" s="1105"/>
      <c r="P290" s="1105"/>
      <c r="Q290" s="1105"/>
      <c r="R290" s="1105"/>
      <c r="BT290" s="379"/>
      <c r="BU290" s="379"/>
      <c r="BV290" s="379"/>
      <c r="BW290" s="379"/>
      <c r="BX290" s="379"/>
      <c r="BY290" s="379"/>
      <c r="BZ290" s="379"/>
      <c r="CA290" s="379"/>
      <c r="CB290" s="379"/>
      <c r="CC290" s="379"/>
      <c r="CD290" s="379"/>
      <c r="CE290" s="379"/>
      <c r="CF290" s="379"/>
      <c r="CG290" s="379"/>
    </row>
    <row r="291" spans="7:85" x14ac:dyDescent="0.2">
      <c r="G291" s="1105"/>
      <c r="H291" s="1105"/>
      <c r="I291" s="1105"/>
      <c r="J291" s="1105"/>
      <c r="K291" s="1105"/>
      <c r="L291" s="1105"/>
      <c r="M291" s="1105"/>
      <c r="N291" s="1105"/>
      <c r="O291" s="1105"/>
      <c r="P291" s="1105"/>
      <c r="Q291" s="1105"/>
      <c r="R291" s="1105"/>
      <c r="BT291" s="379"/>
      <c r="BU291" s="379"/>
      <c r="BV291" s="379"/>
      <c r="BW291" s="379"/>
      <c r="BX291" s="379"/>
      <c r="BY291" s="379"/>
      <c r="BZ291" s="379"/>
      <c r="CA291" s="379"/>
      <c r="CB291" s="379"/>
      <c r="CC291" s="379"/>
      <c r="CD291" s="379"/>
      <c r="CE291" s="379"/>
      <c r="CF291" s="379"/>
      <c r="CG291" s="379"/>
    </row>
    <row r="292" spans="7:85" x14ac:dyDescent="0.2">
      <c r="G292" s="1105"/>
      <c r="H292" s="1105"/>
      <c r="I292" s="1105"/>
      <c r="J292" s="1105"/>
      <c r="K292" s="1105"/>
      <c r="L292" s="1105"/>
      <c r="M292" s="1105"/>
      <c r="N292" s="1105"/>
      <c r="O292" s="1105"/>
      <c r="P292" s="1105"/>
      <c r="Q292" s="1105"/>
      <c r="R292" s="1105"/>
      <c r="BT292" s="379"/>
      <c r="BU292" s="379"/>
      <c r="BV292" s="379"/>
      <c r="BW292" s="379"/>
      <c r="BX292" s="379"/>
      <c r="BY292" s="379"/>
      <c r="BZ292" s="379"/>
      <c r="CA292" s="379"/>
      <c r="CB292" s="379"/>
      <c r="CC292" s="379"/>
      <c r="CD292" s="379"/>
      <c r="CE292" s="379"/>
      <c r="CF292" s="379"/>
      <c r="CG292" s="379"/>
    </row>
    <row r="293" spans="7:85" x14ac:dyDescent="0.2">
      <c r="G293" s="1105"/>
      <c r="H293" s="1105"/>
      <c r="I293" s="1105"/>
      <c r="J293" s="1105"/>
      <c r="K293" s="1105"/>
      <c r="L293" s="1105"/>
      <c r="M293" s="1105"/>
      <c r="N293" s="1105"/>
      <c r="O293" s="1105"/>
      <c r="P293" s="1105"/>
      <c r="Q293" s="1105"/>
      <c r="R293" s="1105"/>
      <c r="BT293" s="379"/>
      <c r="BU293" s="379"/>
      <c r="BV293" s="379"/>
      <c r="BW293" s="379"/>
      <c r="BX293" s="379"/>
      <c r="BY293" s="379"/>
      <c r="BZ293" s="379"/>
      <c r="CA293" s="379"/>
      <c r="CB293" s="379"/>
      <c r="CC293" s="379"/>
      <c r="CD293" s="379"/>
      <c r="CE293" s="379"/>
      <c r="CF293" s="379"/>
      <c r="CG293" s="379"/>
    </row>
    <row r="294" spans="7:85" x14ac:dyDescent="0.2">
      <c r="G294" s="1105"/>
      <c r="H294" s="1105"/>
      <c r="I294" s="1105"/>
      <c r="J294" s="1105"/>
      <c r="K294" s="1105"/>
      <c r="L294" s="1105"/>
      <c r="M294" s="1105"/>
      <c r="N294" s="1105"/>
      <c r="O294" s="1105"/>
      <c r="P294" s="1105"/>
      <c r="Q294" s="1105"/>
      <c r="R294" s="1105"/>
      <c r="BT294" s="379"/>
      <c r="BU294" s="379"/>
      <c r="BV294" s="379"/>
      <c r="BW294" s="379"/>
      <c r="BX294" s="379"/>
      <c r="BY294" s="379"/>
      <c r="BZ294" s="379"/>
      <c r="CA294" s="379"/>
      <c r="CB294" s="379"/>
      <c r="CC294" s="379"/>
      <c r="CD294" s="379"/>
      <c r="CE294" s="379"/>
      <c r="CF294" s="379"/>
      <c r="CG294" s="379"/>
    </row>
    <row r="295" spans="7:85" x14ac:dyDescent="0.2">
      <c r="G295" s="1105"/>
      <c r="H295" s="1105"/>
      <c r="I295" s="1105"/>
      <c r="J295" s="1105"/>
      <c r="K295" s="1105"/>
      <c r="L295" s="1105"/>
      <c r="M295" s="1105"/>
      <c r="N295" s="1105"/>
      <c r="O295" s="1105"/>
      <c r="P295" s="1105"/>
      <c r="Q295" s="1105"/>
      <c r="R295" s="1105"/>
      <c r="BT295" s="379"/>
      <c r="BU295" s="379"/>
      <c r="BV295" s="379"/>
      <c r="BW295" s="379"/>
      <c r="BX295" s="379"/>
      <c r="BY295" s="379"/>
      <c r="BZ295" s="379"/>
      <c r="CA295" s="379"/>
      <c r="CB295" s="379"/>
      <c r="CC295" s="379"/>
      <c r="CD295" s="379"/>
      <c r="CE295" s="379"/>
      <c r="CF295" s="379"/>
      <c r="CG295" s="379"/>
    </row>
    <row r="296" spans="7:85" x14ac:dyDescent="0.2">
      <c r="G296" s="1105"/>
      <c r="H296" s="1105"/>
      <c r="I296" s="1105"/>
      <c r="J296" s="1105"/>
      <c r="K296" s="1105"/>
      <c r="L296" s="1105"/>
      <c r="M296" s="1105"/>
      <c r="N296" s="1105"/>
      <c r="O296" s="1105"/>
      <c r="P296" s="1105"/>
      <c r="Q296" s="1105"/>
      <c r="R296" s="1105"/>
      <c r="BT296" s="379"/>
      <c r="BU296" s="379"/>
      <c r="BV296" s="379"/>
      <c r="BW296" s="379"/>
      <c r="BX296" s="379"/>
      <c r="BY296" s="379"/>
      <c r="BZ296" s="379"/>
      <c r="CA296" s="379"/>
      <c r="CB296" s="379"/>
      <c r="CC296" s="379"/>
      <c r="CD296" s="379"/>
      <c r="CE296" s="379"/>
      <c r="CF296" s="379"/>
      <c r="CG296" s="379"/>
    </row>
    <row r="297" spans="7:85" x14ac:dyDescent="0.2">
      <c r="G297" s="1105"/>
      <c r="H297" s="1105"/>
      <c r="I297" s="1105"/>
      <c r="J297" s="1105"/>
      <c r="K297" s="1105"/>
      <c r="L297" s="1105"/>
      <c r="M297" s="1105"/>
      <c r="N297" s="1105"/>
      <c r="O297" s="1105"/>
      <c r="P297" s="1105"/>
      <c r="Q297" s="1105"/>
      <c r="R297" s="1105"/>
      <c r="BT297" s="379"/>
      <c r="BU297" s="379"/>
      <c r="BV297" s="379"/>
      <c r="BW297" s="379"/>
      <c r="BX297" s="379"/>
      <c r="BY297" s="379"/>
      <c r="BZ297" s="379"/>
      <c r="CA297" s="379"/>
      <c r="CB297" s="379"/>
      <c r="CC297" s="379"/>
      <c r="CD297" s="379"/>
      <c r="CE297" s="379"/>
      <c r="CF297" s="379"/>
      <c r="CG297" s="379"/>
    </row>
    <row r="298" spans="7:85" x14ac:dyDescent="0.2">
      <c r="G298" s="1105"/>
      <c r="H298" s="1105"/>
      <c r="I298" s="1105"/>
      <c r="J298" s="1105"/>
      <c r="K298" s="1105"/>
      <c r="L298" s="1105"/>
      <c r="M298" s="1105"/>
      <c r="N298" s="1105"/>
      <c r="O298" s="1105"/>
      <c r="P298" s="1105"/>
      <c r="Q298" s="1105"/>
      <c r="R298" s="1105"/>
      <c r="BT298" s="379"/>
      <c r="BU298" s="379"/>
      <c r="BV298" s="379"/>
      <c r="BW298" s="379"/>
      <c r="BX298" s="379"/>
      <c r="BY298" s="379"/>
      <c r="BZ298" s="379"/>
      <c r="CA298" s="379"/>
      <c r="CB298" s="379"/>
      <c r="CC298" s="379"/>
      <c r="CD298" s="379"/>
      <c r="CE298" s="379"/>
      <c r="CF298" s="379"/>
      <c r="CG298" s="379"/>
    </row>
    <row r="299" spans="7:85" x14ac:dyDescent="0.2">
      <c r="G299" s="1105"/>
      <c r="H299" s="1105"/>
      <c r="I299" s="1105"/>
      <c r="J299" s="1105"/>
      <c r="K299" s="1105"/>
      <c r="L299" s="1105"/>
      <c r="M299" s="1105"/>
      <c r="N299" s="1105"/>
      <c r="O299" s="1105"/>
      <c r="P299" s="1105"/>
      <c r="Q299" s="1105"/>
      <c r="R299" s="1105"/>
      <c r="BT299" s="379"/>
      <c r="BU299" s="379"/>
      <c r="BV299" s="379"/>
      <c r="BW299" s="379"/>
      <c r="BX299" s="379"/>
      <c r="BY299" s="379"/>
      <c r="BZ299" s="379"/>
      <c r="CA299" s="379"/>
      <c r="CB299" s="379"/>
      <c r="CC299" s="379"/>
      <c r="CD299" s="379"/>
      <c r="CE299" s="379"/>
      <c r="CF299" s="379"/>
      <c r="CG299" s="379"/>
    </row>
    <row r="300" spans="7:85" x14ac:dyDescent="0.2">
      <c r="G300" s="1105"/>
      <c r="H300" s="1105"/>
      <c r="I300" s="1105"/>
      <c r="J300" s="1105"/>
      <c r="K300" s="1105"/>
      <c r="L300" s="1105"/>
      <c r="M300" s="1105"/>
      <c r="N300" s="1105"/>
      <c r="O300" s="1105"/>
      <c r="P300" s="1105"/>
      <c r="Q300" s="1105"/>
      <c r="R300" s="1105"/>
      <c r="BT300" s="379"/>
      <c r="BU300" s="379"/>
      <c r="BV300" s="379"/>
      <c r="BW300" s="379"/>
      <c r="BX300" s="379"/>
      <c r="BY300" s="379"/>
      <c r="BZ300" s="379"/>
      <c r="CA300" s="379"/>
      <c r="CB300" s="379"/>
      <c r="CC300" s="379"/>
      <c r="CD300" s="379"/>
      <c r="CE300" s="379"/>
      <c r="CF300" s="379"/>
      <c r="CG300" s="379"/>
    </row>
    <row r="301" spans="7:85" x14ac:dyDescent="0.2">
      <c r="G301" s="1105"/>
      <c r="H301" s="1105"/>
      <c r="I301" s="1105"/>
      <c r="J301" s="1105"/>
      <c r="K301" s="1105"/>
      <c r="L301" s="1105"/>
      <c r="M301" s="1105"/>
      <c r="N301" s="1105"/>
      <c r="O301" s="1105"/>
      <c r="P301" s="1105"/>
      <c r="Q301" s="1105"/>
      <c r="R301" s="1105"/>
    </row>
    <row r="302" spans="7:85" x14ac:dyDescent="0.2">
      <c r="G302" s="1105"/>
      <c r="H302" s="1105"/>
      <c r="I302" s="1105"/>
      <c r="J302" s="1105"/>
      <c r="K302" s="1105"/>
      <c r="L302" s="1105"/>
      <c r="M302" s="1105"/>
      <c r="N302" s="1105"/>
      <c r="O302" s="1105"/>
      <c r="P302" s="1105"/>
      <c r="Q302" s="1105"/>
      <c r="R302" s="1105"/>
    </row>
    <row r="303" spans="7:85" x14ac:dyDescent="0.2">
      <c r="G303" s="1105"/>
      <c r="H303" s="1105"/>
      <c r="I303" s="1105"/>
      <c r="J303" s="1105"/>
      <c r="K303" s="1105"/>
      <c r="L303" s="1105"/>
      <c r="M303" s="1105"/>
      <c r="N303" s="1105"/>
      <c r="O303" s="1105"/>
      <c r="P303" s="1105"/>
      <c r="Q303" s="1105"/>
      <c r="R303" s="1105"/>
    </row>
    <row r="304" spans="7:85" x14ac:dyDescent="0.2">
      <c r="G304" s="1105"/>
      <c r="H304" s="1105"/>
      <c r="I304" s="1105"/>
      <c r="J304" s="1105"/>
      <c r="K304" s="1105"/>
      <c r="L304" s="1105"/>
      <c r="M304" s="1105"/>
      <c r="N304" s="1105"/>
      <c r="O304" s="1105"/>
      <c r="P304" s="1105"/>
      <c r="Q304" s="1105"/>
      <c r="R304" s="1105"/>
    </row>
    <row r="305" spans="7:18" x14ac:dyDescent="0.2">
      <c r="G305" s="1105"/>
      <c r="H305" s="1105"/>
      <c r="I305" s="1105"/>
      <c r="J305" s="1105"/>
      <c r="K305" s="1105"/>
      <c r="L305" s="1105"/>
      <c r="M305" s="1105"/>
      <c r="N305" s="1105"/>
      <c r="O305" s="1105"/>
      <c r="P305" s="1105"/>
      <c r="Q305" s="1105"/>
      <c r="R305" s="1105"/>
    </row>
    <row r="306" spans="7:18" x14ac:dyDescent="0.2">
      <c r="G306" s="1105"/>
      <c r="H306" s="1105"/>
      <c r="I306" s="1105"/>
      <c r="J306" s="1105"/>
      <c r="K306" s="1105"/>
      <c r="L306" s="1105"/>
      <c r="M306" s="1105"/>
      <c r="N306" s="1105"/>
      <c r="O306" s="1105"/>
      <c r="P306" s="1105"/>
      <c r="Q306" s="1105"/>
      <c r="R306" s="1105"/>
    </row>
    <row r="307" spans="7:18" x14ac:dyDescent="0.2">
      <c r="G307" s="1105"/>
      <c r="H307" s="1105"/>
      <c r="I307" s="1105"/>
      <c r="J307" s="1105"/>
      <c r="K307" s="1105"/>
      <c r="L307" s="1105"/>
      <c r="M307" s="1105"/>
      <c r="N307" s="1105"/>
      <c r="O307" s="1105"/>
      <c r="P307" s="1105"/>
      <c r="Q307" s="1105"/>
      <c r="R307" s="1105"/>
    </row>
    <row r="308" spans="7:18" x14ac:dyDescent="0.2">
      <c r="G308" s="1105"/>
      <c r="H308" s="1105"/>
      <c r="I308" s="1105"/>
      <c r="J308" s="1105"/>
      <c r="K308" s="1105"/>
      <c r="L308" s="1105"/>
      <c r="M308" s="1105"/>
      <c r="N308" s="1105"/>
      <c r="O308" s="1105"/>
      <c r="P308" s="1105"/>
      <c r="Q308" s="1105"/>
      <c r="R308" s="1105"/>
    </row>
    <row r="309" spans="7:18" x14ac:dyDescent="0.2">
      <c r="G309" s="1105"/>
      <c r="H309" s="1105"/>
      <c r="I309" s="1105"/>
      <c r="J309" s="1105"/>
      <c r="K309" s="1105"/>
      <c r="L309" s="1105"/>
      <c r="M309" s="1105"/>
      <c r="N309" s="1105"/>
      <c r="O309" s="1105"/>
      <c r="P309" s="1105"/>
      <c r="Q309" s="1105"/>
      <c r="R309" s="1105"/>
    </row>
    <row r="310" spans="7:18" x14ac:dyDescent="0.2">
      <c r="G310" s="1105"/>
      <c r="H310" s="1105"/>
      <c r="I310" s="1105"/>
      <c r="J310" s="1105"/>
      <c r="K310" s="1105"/>
      <c r="L310" s="1105"/>
      <c r="M310" s="1105"/>
      <c r="N310" s="1105"/>
      <c r="O310" s="1105"/>
      <c r="P310" s="1105"/>
      <c r="Q310" s="1105"/>
      <c r="R310" s="1105"/>
    </row>
    <row r="311" spans="7:18" x14ac:dyDescent="0.2">
      <c r="G311" s="1105"/>
      <c r="H311" s="1105"/>
      <c r="I311" s="1105"/>
      <c r="J311" s="1105"/>
      <c r="K311" s="1105"/>
      <c r="L311" s="1105"/>
      <c r="M311" s="1105"/>
      <c r="N311" s="1105"/>
      <c r="O311" s="1105"/>
      <c r="P311" s="1105"/>
      <c r="Q311" s="1105"/>
      <c r="R311" s="1105"/>
    </row>
    <row r="312" spans="7:18" x14ac:dyDescent="0.2">
      <c r="G312" s="1105"/>
      <c r="H312" s="1105"/>
      <c r="I312" s="1105"/>
      <c r="J312" s="1105"/>
      <c r="K312" s="1105"/>
      <c r="L312" s="1105"/>
      <c r="M312" s="1105"/>
      <c r="N312" s="1105"/>
      <c r="O312" s="1105"/>
      <c r="P312" s="1105"/>
      <c r="Q312" s="1105"/>
      <c r="R312" s="1105"/>
    </row>
    <row r="313" spans="7:18" x14ac:dyDescent="0.2">
      <c r="G313" s="1105"/>
      <c r="H313" s="1105"/>
      <c r="I313" s="1105"/>
      <c r="J313" s="1105"/>
      <c r="K313" s="1105"/>
      <c r="L313" s="1105"/>
      <c r="M313" s="1105"/>
      <c r="N313" s="1105"/>
      <c r="O313" s="1105"/>
      <c r="P313" s="1105"/>
      <c r="Q313" s="1105"/>
      <c r="R313" s="1105"/>
    </row>
    <row r="314" spans="7:18" x14ac:dyDescent="0.2">
      <c r="G314" s="1105"/>
      <c r="H314" s="1105"/>
      <c r="I314" s="1105"/>
      <c r="J314" s="1105"/>
      <c r="K314" s="1105"/>
      <c r="L314" s="1105"/>
      <c r="M314" s="1105"/>
      <c r="N314" s="1105"/>
      <c r="O314" s="1105"/>
      <c r="P314" s="1105"/>
      <c r="Q314" s="1105"/>
      <c r="R314" s="1105"/>
    </row>
    <row r="315" spans="7:18" x14ac:dyDescent="0.2">
      <c r="G315" s="1105"/>
      <c r="H315" s="1105"/>
      <c r="I315" s="1105"/>
      <c r="J315" s="1105"/>
      <c r="K315" s="1105"/>
      <c r="L315" s="1105"/>
      <c r="M315" s="1105"/>
      <c r="N315" s="1105"/>
      <c r="O315" s="1105"/>
      <c r="P315" s="1105"/>
      <c r="Q315" s="1105"/>
      <c r="R315" s="1105"/>
    </row>
    <row r="316" spans="7:18" x14ac:dyDescent="0.2">
      <c r="G316" s="1105"/>
      <c r="H316" s="1105"/>
      <c r="I316" s="1105"/>
      <c r="J316" s="1105"/>
      <c r="K316" s="1105"/>
      <c r="L316" s="1105"/>
      <c r="M316" s="1105"/>
      <c r="N316" s="1105"/>
      <c r="O316" s="1105"/>
      <c r="P316" s="1105"/>
      <c r="Q316" s="1105"/>
      <c r="R316" s="1105"/>
    </row>
    <row r="317" spans="7:18" x14ac:dyDescent="0.2">
      <c r="G317" s="1105"/>
      <c r="H317" s="1105"/>
      <c r="I317" s="1105"/>
      <c r="J317" s="1105"/>
      <c r="K317" s="1105"/>
      <c r="L317" s="1105"/>
      <c r="M317" s="1105"/>
      <c r="N317" s="1105"/>
      <c r="O317" s="1105"/>
      <c r="P317" s="1105"/>
      <c r="Q317" s="1105"/>
      <c r="R317" s="1105"/>
    </row>
    <row r="318" spans="7:18" x14ac:dyDescent="0.2">
      <c r="G318" s="1105"/>
      <c r="H318" s="1105"/>
      <c r="I318" s="1105"/>
      <c r="J318" s="1105"/>
      <c r="K318" s="1105"/>
      <c r="L318" s="1105"/>
      <c r="M318" s="1105"/>
      <c r="N318" s="1105"/>
      <c r="O318" s="1105"/>
      <c r="P318" s="1105"/>
      <c r="Q318" s="1105"/>
      <c r="R318" s="1105"/>
    </row>
    <row r="319" spans="7:18" x14ac:dyDescent="0.2">
      <c r="G319" s="1105"/>
      <c r="H319" s="1105"/>
      <c r="I319" s="1105"/>
      <c r="J319" s="1105"/>
      <c r="K319" s="1105"/>
      <c r="L319" s="1105"/>
      <c r="M319" s="1105"/>
      <c r="N319" s="1105"/>
      <c r="O319" s="1105"/>
      <c r="P319" s="1105"/>
      <c r="Q319" s="1105"/>
      <c r="R319" s="1105"/>
    </row>
    <row r="320" spans="7:18" x14ac:dyDescent="0.2">
      <c r="G320" s="1105"/>
      <c r="H320" s="1105"/>
      <c r="I320" s="1105"/>
      <c r="J320" s="1105"/>
      <c r="K320" s="1105"/>
      <c r="L320" s="1105"/>
      <c r="M320" s="1105"/>
      <c r="N320" s="1105"/>
      <c r="O320" s="1105"/>
      <c r="P320" s="1105"/>
      <c r="Q320" s="1105"/>
      <c r="R320" s="1105"/>
    </row>
    <row r="321" spans="7:18" x14ac:dyDescent="0.2">
      <c r="G321" s="1105"/>
      <c r="H321" s="1105"/>
      <c r="I321" s="1105"/>
      <c r="J321" s="1105"/>
      <c r="K321" s="1105"/>
      <c r="L321" s="1105"/>
      <c r="M321" s="1105"/>
      <c r="N321" s="1105"/>
      <c r="O321" s="1105"/>
      <c r="P321" s="1105"/>
      <c r="Q321" s="1105"/>
      <c r="R321" s="1105"/>
    </row>
    <row r="322" spans="7:18" x14ac:dyDescent="0.2">
      <c r="G322" s="1105"/>
      <c r="H322" s="1105"/>
      <c r="I322" s="1105"/>
      <c r="J322" s="1105"/>
      <c r="K322" s="1105"/>
      <c r="L322" s="1105"/>
      <c r="M322" s="1105"/>
      <c r="N322" s="1105"/>
      <c r="O322" s="1105"/>
      <c r="P322" s="1105"/>
      <c r="Q322" s="1105"/>
      <c r="R322" s="1105"/>
    </row>
    <row r="323" spans="7:18" x14ac:dyDescent="0.2">
      <c r="G323" s="1105"/>
      <c r="H323" s="1105"/>
      <c r="I323" s="1105"/>
      <c r="J323" s="1105"/>
      <c r="K323" s="1105"/>
      <c r="L323" s="1105"/>
      <c r="M323" s="1105"/>
      <c r="N323" s="1105"/>
      <c r="O323" s="1105"/>
      <c r="P323" s="1105"/>
      <c r="Q323" s="1105"/>
      <c r="R323" s="1105"/>
    </row>
    <row r="324" spans="7:18" x14ac:dyDescent="0.2">
      <c r="G324" s="1105"/>
      <c r="H324" s="1105"/>
      <c r="I324" s="1105"/>
      <c r="J324" s="1105"/>
      <c r="K324" s="1105"/>
      <c r="L324" s="1105"/>
      <c r="M324" s="1105"/>
      <c r="N324" s="1105"/>
      <c r="O324" s="1105"/>
      <c r="P324" s="1105"/>
      <c r="Q324" s="1105"/>
      <c r="R324" s="1105"/>
    </row>
    <row r="325" spans="7:18" x14ac:dyDescent="0.2">
      <c r="G325" s="1105"/>
      <c r="H325" s="1105"/>
      <c r="I325" s="1105"/>
      <c r="J325" s="1105"/>
      <c r="K325" s="1105"/>
      <c r="L325" s="1105"/>
      <c r="M325" s="1105"/>
      <c r="N325" s="1105"/>
      <c r="O325" s="1105"/>
      <c r="P325" s="1105"/>
      <c r="Q325" s="1105"/>
      <c r="R325" s="1105"/>
    </row>
    <row r="326" spans="7:18" x14ac:dyDescent="0.2">
      <c r="G326" s="1105"/>
      <c r="H326" s="1105"/>
      <c r="I326" s="1105"/>
      <c r="J326" s="1105"/>
      <c r="K326" s="1105"/>
      <c r="L326" s="1105"/>
      <c r="M326" s="1105"/>
      <c r="N326" s="1105"/>
      <c r="O326" s="1105"/>
      <c r="P326" s="1105"/>
      <c r="Q326" s="1105"/>
      <c r="R326" s="1105"/>
    </row>
    <row r="327" spans="7:18" x14ac:dyDescent="0.2">
      <c r="G327" s="1105"/>
      <c r="H327" s="1105"/>
      <c r="I327" s="1105"/>
      <c r="J327" s="1105"/>
      <c r="K327" s="1105"/>
      <c r="L327" s="1105"/>
      <c r="M327" s="1105"/>
      <c r="N327" s="1105"/>
      <c r="O327" s="1105"/>
      <c r="P327" s="1105"/>
      <c r="Q327" s="1105"/>
      <c r="R327" s="1105"/>
    </row>
    <row r="328" spans="7:18" x14ac:dyDescent="0.2">
      <c r="G328" s="1105"/>
      <c r="H328" s="1105"/>
      <c r="I328" s="1105"/>
      <c r="J328" s="1105"/>
      <c r="K328" s="1105"/>
      <c r="L328" s="1105"/>
      <c r="M328" s="1105"/>
      <c r="N328" s="1105"/>
      <c r="O328" s="1105"/>
      <c r="P328" s="1105"/>
      <c r="Q328" s="1105"/>
      <c r="R328" s="1105"/>
    </row>
    <row r="329" spans="7:18" x14ac:dyDescent="0.2">
      <c r="G329" s="1105"/>
      <c r="H329" s="1105"/>
      <c r="I329" s="1105"/>
      <c r="J329" s="1105"/>
      <c r="K329" s="1105"/>
      <c r="L329" s="1105"/>
      <c r="M329" s="1105"/>
      <c r="N329" s="1105"/>
      <c r="O329" s="1105"/>
      <c r="P329" s="1105"/>
      <c r="Q329" s="1105"/>
      <c r="R329" s="1105"/>
    </row>
    <row r="330" spans="7:18" x14ac:dyDescent="0.2">
      <c r="G330" s="1105"/>
      <c r="H330" s="1105"/>
      <c r="I330" s="1105"/>
      <c r="J330" s="1105"/>
      <c r="K330" s="1105"/>
      <c r="L330" s="1105"/>
      <c r="M330" s="1105"/>
      <c r="N330" s="1105"/>
      <c r="O330" s="1105"/>
      <c r="P330" s="1105"/>
      <c r="Q330" s="1105"/>
      <c r="R330" s="1105"/>
    </row>
    <row r="331" spans="7:18" x14ac:dyDescent="0.2">
      <c r="G331" s="1105"/>
      <c r="H331" s="1105"/>
      <c r="I331" s="1105"/>
      <c r="J331" s="1105"/>
      <c r="K331" s="1105"/>
      <c r="L331" s="1105"/>
      <c r="M331" s="1105"/>
      <c r="N331" s="1105"/>
      <c r="O331" s="1105"/>
      <c r="P331" s="1105"/>
      <c r="Q331" s="1105"/>
      <c r="R331" s="1105"/>
    </row>
    <row r="332" spans="7:18" x14ac:dyDescent="0.2">
      <c r="G332" s="1105"/>
      <c r="H332" s="1105"/>
      <c r="I332" s="1105"/>
      <c r="J332" s="1105"/>
      <c r="K332" s="1105"/>
      <c r="L332" s="1105"/>
      <c r="M332" s="1105"/>
      <c r="N332" s="1105"/>
      <c r="O332" s="1105"/>
      <c r="P332" s="1105"/>
      <c r="Q332" s="1105"/>
      <c r="R332" s="1105"/>
    </row>
    <row r="333" spans="7:18" x14ac:dyDescent="0.2">
      <c r="G333" s="1105"/>
      <c r="H333" s="1105"/>
      <c r="I333" s="1105"/>
      <c r="J333" s="1105"/>
      <c r="K333" s="1105"/>
      <c r="L333" s="1105"/>
      <c r="M333" s="1105"/>
      <c r="N333" s="1105"/>
      <c r="O333" s="1105"/>
      <c r="P333" s="1105"/>
      <c r="Q333" s="1105"/>
      <c r="R333" s="1105"/>
    </row>
    <row r="334" spans="7:18" x14ac:dyDescent="0.2">
      <c r="G334" s="1105"/>
      <c r="H334" s="1105"/>
      <c r="I334" s="1105"/>
      <c r="J334" s="1105"/>
      <c r="K334" s="1105"/>
      <c r="L334" s="1105"/>
      <c r="M334" s="1105"/>
      <c r="N334" s="1105"/>
      <c r="O334" s="1105"/>
      <c r="P334" s="1105"/>
      <c r="Q334" s="1105"/>
      <c r="R334" s="1105"/>
    </row>
    <row r="335" spans="7:18" x14ac:dyDescent="0.2">
      <c r="G335" s="1105"/>
      <c r="H335" s="1105"/>
      <c r="I335" s="1105"/>
      <c r="J335" s="1105"/>
      <c r="K335" s="1105"/>
      <c r="L335" s="1105"/>
      <c r="M335" s="1105"/>
      <c r="N335" s="1105"/>
      <c r="O335" s="1105"/>
      <c r="P335" s="1105"/>
      <c r="Q335" s="1105"/>
      <c r="R335" s="1105"/>
    </row>
    <row r="336" spans="7:18" x14ac:dyDescent="0.2">
      <c r="G336" s="1105"/>
      <c r="H336" s="1105"/>
      <c r="I336" s="1105"/>
      <c r="J336" s="1105"/>
      <c r="K336" s="1105"/>
      <c r="L336" s="1105"/>
      <c r="M336" s="1105"/>
      <c r="N336" s="1105"/>
      <c r="O336" s="1105"/>
      <c r="P336" s="1105"/>
      <c r="Q336" s="1105"/>
      <c r="R336" s="1105"/>
    </row>
    <row r="337" spans="7:18" x14ac:dyDescent="0.2">
      <c r="G337" s="1105"/>
      <c r="H337" s="1105"/>
      <c r="I337" s="1105"/>
      <c r="J337" s="1105"/>
      <c r="K337" s="1105"/>
      <c r="L337" s="1105"/>
      <c r="M337" s="1105"/>
      <c r="N337" s="1105"/>
      <c r="O337" s="1105"/>
      <c r="P337" s="1105"/>
      <c r="Q337" s="1105"/>
      <c r="R337" s="1105"/>
    </row>
    <row r="338" spans="7:18" x14ac:dyDescent="0.2">
      <c r="G338" s="1105"/>
      <c r="H338" s="1105"/>
      <c r="I338" s="1105"/>
      <c r="J338" s="1105"/>
      <c r="K338" s="1105"/>
      <c r="L338" s="1105"/>
      <c r="M338" s="1105"/>
      <c r="N338" s="1105"/>
      <c r="O338" s="1105"/>
      <c r="P338" s="1105"/>
      <c r="Q338" s="1105"/>
      <c r="R338" s="1105"/>
    </row>
    <row r="339" spans="7:18" x14ac:dyDescent="0.2">
      <c r="G339" s="1105"/>
      <c r="H339" s="1105"/>
      <c r="I339" s="1105"/>
      <c r="J339" s="1105"/>
      <c r="K339" s="1105"/>
      <c r="L339" s="1105"/>
      <c r="M339" s="1105"/>
      <c r="N339" s="1105"/>
      <c r="O339" s="1105"/>
      <c r="P339" s="1105"/>
      <c r="Q339" s="1105"/>
      <c r="R339" s="1105"/>
    </row>
    <row r="340" spans="7:18" x14ac:dyDescent="0.2">
      <c r="G340" s="1105"/>
      <c r="H340" s="1105"/>
      <c r="I340" s="1105"/>
      <c r="J340" s="1105"/>
      <c r="K340" s="1105"/>
      <c r="L340" s="1105"/>
      <c r="M340" s="1105"/>
      <c r="N340" s="1105"/>
      <c r="O340" s="1105"/>
      <c r="P340" s="1105"/>
      <c r="Q340" s="1105"/>
      <c r="R340" s="1105"/>
    </row>
    <row r="341" spans="7:18" x14ac:dyDescent="0.2">
      <c r="G341" s="1105"/>
      <c r="H341" s="1105"/>
      <c r="I341" s="1105"/>
      <c r="J341" s="1105"/>
      <c r="K341" s="1105"/>
      <c r="L341" s="1105"/>
      <c r="M341" s="1105"/>
      <c r="N341" s="1105"/>
      <c r="O341" s="1105"/>
      <c r="P341" s="1105"/>
      <c r="Q341" s="1105"/>
      <c r="R341" s="1105"/>
    </row>
    <row r="342" spans="7:18" x14ac:dyDescent="0.2">
      <c r="G342" s="1105"/>
      <c r="H342" s="1105"/>
      <c r="I342" s="1105"/>
      <c r="J342" s="1105"/>
      <c r="K342" s="1105"/>
      <c r="L342" s="1105"/>
      <c r="M342" s="1105"/>
      <c r="N342" s="1105"/>
      <c r="O342" s="1105"/>
      <c r="P342" s="1105"/>
      <c r="Q342" s="1105"/>
      <c r="R342" s="1105"/>
    </row>
    <row r="343" spans="7:18" x14ac:dyDescent="0.2">
      <c r="G343" s="1105"/>
      <c r="H343" s="1105"/>
      <c r="I343" s="1105"/>
      <c r="J343" s="1105"/>
      <c r="K343" s="1105"/>
      <c r="L343" s="1105"/>
      <c r="M343" s="1105"/>
      <c r="N343" s="1105"/>
      <c r="O343" s="1105"/>
      <c r="P343" s="1105"/>
      <c r="Q343" s="1105"/>
      <c r="R343" s="1105"/>
    </row>
    <row r="344" spans="7:18" x14ac:dyDescent="0.2">
      <c r="G344" s="1105"/>
      <c r="H344" s="1105"/>
      <c r="I344" s="1105"/>
      <c r="J344" s="1105"/>
      <c r="K344" s="1105"/>
      <c r="L344" s="1105"/>
      <c r="M344" s="1105"/>
      <c r="N344" s="1105"/>
      <c r="O344" s="1105"/>
      <c r="P344" s="1105"/>
      <c r="Q344" s="1105"/>
      <c r="R344" s="1105"/>
    </row>
    <row r="345" spans="7:18" x14ac:dyDescent="0.2">
      <c r="G345" s="1105"/>
      <c r="H345" s="1105"/>
      <c r="I345" s="1105"/>
      <c r="J345" s="1105"/>
      <c r="K345" s="1105"/>
      <c r="L345" s="1105"/>
      <c r="M345" s="1105"/>
      <c r="N345" s="1105"/>
      <c r="O345" s="1105"/>
      <c r="P345" s="1105"/>
      <c r="Q345" s="1105"/>
      <c r="R345" s="1105"/>
    </row>
    <row r="346" spans="7:18" x14ac:dyDescent="0.2">
      <c r="G346" s="1105"/>
      <c r="H346" s="1105"/>
      <c r="I346" s="1105"/>
      <c r="J346" s="1105"/>
      <c r="K346" s="1105"/>
      <c r="L346" s="1105"/>
      <c r="M346" s="1105"/>
      <c r="N346" s="1105"/>
      <c r="O346" s="1105"/>
      <c r="P346" s="1105"/>
      <c r="Q346" s="1105"/>
      <c r="R346" s="1105"/>
    </row>
    <row r="347" spans="7:18" x14ac:dyDescent="0.2">
      <c r="G347" s="1105"/>
      <c r="H347" s="1105"/>
      <c r="I347" s="1105"/>
      <c r="J347" s="1105"/>
      <c r="K347" s="1105"/>
      <c r="L347" s="1105"/>
      <c r="M347" s="1105"/>
      <c r="N347" s="1105"/>
      <c r="O347" s="1105"/>
      <c r="P347" s="1105"/>
      <c r="Q347" s="1105"/>
      <c r="R347" s="1105"/>
    </row>
    <row r="348" spans="7:18" x14ac:dyDescent="0.2">
      <c r="G348" s="1105"/>
      <c r="H348" s="1105"/>
      <c r="I348" s="1105"/>
      <c r="J348" s="1105"/>
      <c r="K348" s="1105"/>
      <c r="L348" s="1105"/>
      <c r="M348" s="1105"/>
      <c r="N348" s="1105"/>
      <c r="O348" s="1105"/>
      <c r="P348" s="1105"/>
      <c r="Q348" s="1105"/>
      <c r="R348" s="1105"/>
    </row>
    <row r="349" spans="7:18" x14ac:dyDescent="0.2">
      <c r="G349" s="1105"/>
      <c r="H349" s="1105"/>
      <c r="I349" s="1105"/>
      <c r="J349" s="1105"/>
      <c r="K349" s="1105"/>
      <c r="L349" s="1105"/>
      <c r="M349" s="1105"/>
      <c r="N349" s="1105"/>
      <c r="O349" s="1105"/>
      <c r="P349" s="1105"/>
      <c r="Q349" s="1105"/>
      <c r="R349" s="1105"/>
    </row>
    <row r="350" spans="7:18" x14ac:dyDescent="0.2">
      <c r="G350" s="1105"/>
      <c r="H350" s="1105"/>
      <c r="I350" s="1105"/>
      <c r="J350" s="1105"/>
      <c r="K350" s="1105"/>
      <c r="L350" s="1105"/>
      <c r="M350" s="1105"/>
      <c r="N350" s="1105"/>
      <c r="O350" s="1105"/>
      <c r="P350" s="1105"/>
      <c r="Q350" s="1105"/>
      <c r="R350" s="1105"/>
    </row>
    <row r="351" spans="7:18" x14ac:dyDescent="0.2">
      <c r="G351" s="1105"/>
      <c r="H351" s="1105"/>
      <c r="I351" s="1105"/>
      <c r="J351" s="1105"/>
      <c r="K351" s="1105"/>
      <c r="L351" s="1105"/>
      <c r="M351" s="1105"/>
      <c r="N351" s="1105"/>
      <c r="O351" s="1105"/>
      <c r="P351" s="1105"/>
      <c r="Q351" s="1105"/>
      <c r="R351" s="1105"/>
    </row>
    <row r="352" spans="7:18" x14ac:dyDescent="0.2">
      <c r="G352" s="1105"/>
      <c r="H352" s="1105"/>
      <c r="I352" s="1105"/>
      <c r="J352" s="1105"/>
      <c r="K352" s="1105"/>
      <c r="L352" s="1105"/>
      <c r="M352" s="1105"/>
      <c r="N352" s="1105"/>
      <c r="O352" s="1105"/>
      <c r="P352" s="1105"/>
      <c r="Q352" s="1105"/>
      <c r="R352" s="1105"/>
    </row>
    <row r="353" spans="7:18" x14ac:dyDescent="0.2">
      <c r="G353" s="1105"/>
      <c r="H353" s="1105"/>
      <c r="I353" s="1105"/>
      <c r="J353" s="1105"/>
      <c r="K353" s="1105"/>
      <c r="L353" s="1105"/>
      <c r="M353" s="1105"/>
      <c r="N353" s="1105"/>
      <c r="O353" s="1105"/>
      <c r="P353" s="1105"/>
      <c r="Q353" s="1105"/>
      <c r="R353" s="1105"/>
    </row>
    <row r="354" spans="7:18" x14ac:dyDescent="0.2">
      <c r="G354" s="1105"/>
      <c r="H354" s="1105"/>
      <c r="I354" s="1105"/>
      <c r="J354" s="1105"/>
      <c r="K354" s="1105"/>
      <c r="L354" s="1105"/>
      <c r="M354" s="1105"/>
      <c r="N354" s="1105"/>
      <c r="O354" s="1105"/>
      <c r="P354" s="1105"/>
      <c r="Q354" s="1105"/>
      <c r="R354" s="1105"/>
    </row>
    <row r="355" spans="7:18" x14ac:dyDescent="0.2">
      <c r="G355" s="1105"/>
      <c r="H355" s="1105"/>
      <c r="I355" s="1105"/>
      <c r="J355" s="1105"/>
      <c r="K355" s="1105"/>
      <c r="L355" s="1105"/>
      <c r="M355" s="1105"/>
      <c r="N355" s="1105"/>
      <c r="O355" s="1105"/>
      <c r="P355" s="1105"/>
      <c r="Q355" s="1105"/>
      <c r="R355" s="1105"/>
    </row>
    <row r="356" spans="7:18" x14ac:dyDescent="0.2">
      <c r="G356" s="1105"/>
      <c r="H356" s="1105"/>
      <c r="I356" s="1105"/>
      <c r="J356" s="1105"/>
      <c r="K356" s="1105"/>
      <c r="L356" s="1105"/>
      <c r="M356" s="1105"/>
      <c r="N356" s="1105"/>
      <c r="O356" s="1105"/>
      <c r="P356" s="1105"/>
      <c r="Q356" s="1105"/>
      <c r="R356" s="1105"/>
    </row>
    <row r="357" spans="7:18" x14ac:dyDescent="0.2">
      <c r="G357" s="1105"/>
      <c r="H357" s="1105"/>
      <c r="I357" s="1105"/>
      <c r="J357" s="1105"/>
      <c r="K357" s="1105"/>
      <c r="L357" s="1105"/>
      <c r="M357" s="1105"/>
      <c r="N357" s="1105"/>
      <c r="O357" s="1105"/>
      <c r="P357" s="1105"/>
      <c r="Q357" s="1105"/>
      <c r="R357" s="1105"/>
    </row>
    <row r="358" spans="7:18" x14ac:dyDescent="0.2">
      <c r="G358" s="1105"/>
      <c r="H358" s="1105"/>
      <c r="I358" s="1105"/>
      <c r="J358" s="1105"/>
      <c r="K358" s="1105"/>
      <c r="L358" s="1105"/>
      <c r="M358" s="1105"/>
      <c r="N358" s="1105"/>
      <c r="O358" s="1105"/>
      <c r="P358" s="1105"/>
      <c r="Q358" s="1105"/>
      <c r="R358" s="1105"/>
    </row>
    <row r="359" spans="7:18" x14ac:dyDescent="0.2">
      <c r="G359" s="1105"/>
      <c r="H359" s="1105"/>
      <c r="I359" s="1105"/>
      <c r="J359" s="1105"/>
      <c r="K359" s="1105"/>
      <c r="L359" s="1105"/>
      <c r="M359" s="1105"/>
      <c r="N359" s="1105"/>
      <c r="O359" s="1105"/>
      <c r="P359" s="1105"/>
      <c r="Q359" s="1105"/>
      <c r="R359" s="1105"/>
    </row>
    <row r="360" spans="7:18" x14ac:dyDescent="0.2">
      <c r="G360" s="1105"/>
      <c r="H360" s="1105"/>
      <c r="I360" s="1105"/>
      <c r="J360" s="1105"/>
      <c r="K360" s="1105"/>
      <c r="L360" s="1105"/>
      <c r="M360" s="1105"/>
      <c r="N360" s="1105"/>
      <c r="O360" s="1105"/>
      <c r="P360" s="1105"/>
      <c r="Q360" s="1105"/>
      <c r="R360" s="1105"/>
    </row>
    <row r="361" spans="7:18" x14ac:dyDescent="0.2">
      <c r="G361" s="1105"/>
      <c r="H361" s="1105"/>
      <c r="I361" s="1105"/>
      <c r="J361" s="1105"/>
      <c r="K361" s="1105"/>
      <c r="L361" s="1105"/>
      <c r="M361" s="1105"/>
      <c r="N361" s="1105"/>
      <c r="O361" s="1105"/>
      <c r="P361" s="1105"/>
      <c r="Q361" s="1105"/>
      <c r="R361" s="1105"/>
    </row>
    <row r="362" spans="7:18" x14ac:dyDescent="0.2">
      <c r="G362" s="1105"/>
      <c r="H362" s="1105"/>
      <c r="I362" s="1105"/>
      <c r="J362" s="1105"/>
      <c r="K362" s="1105"/>
      <c r="L362" s="1105"/>
      <c r="M362" s="1105"/>
      <c r="N362" s="1105"/>
      <c r="O362" s="1105"/>
      <c r="P362" s="1105"/>
      <c r="Q362" s="1105"/>
      <c r="R362" s="1105"/>
    </row>
    <row r="363" spans="7:18" x14ac:dyDescent="0.2">
      <c r="G363" s="1105"/>
      <c r="H363" s="1105"/>
      <c r="I363" s="1105"/>
      <c r="J363" s="1105"/>
      <c r="K363" s="1105"/>
      <c r="L363" s="1105"/>
      <c r="M363" s="1105"/>
      <c r="N363" s="1105"/>
      <c r="O363" s="1105"/>
      <c r="P363" s="1105"/>
      <c r="Q363" s="1105"/>
      <c r="R363" s="1105"/>
    </row>
    <row r="364" spans="7:18" x14ac:dyDescent="0.2">
      <c r="G364" s="1105"/>
      <c r="H364" s="1105"/>
      <c r="I364" s="1105"/>
      <c r="J364" s="1105"/>
      <c r="K364" s="1105"/>
      <c r="L364" s="1105"/>
      <c r="M364" s="1105"/>
      <c r="N364" s="1105"/>
      <c r="O364" s="1105"/>
      <c r="P364" s="1105"/>
      <c r="Q364" s="1105"/>
      <c r="R364" s="1105"/>
    </row>
    <row r="365" spans="7:18" x14ac:dyDescent="0.2">
      <c r="G365" s="1105"/>
      <c r="H365" s="1105"/>
      <c r="I365" s="1105"/>
      <c r="J365" s="1105"/>
      <c r="K365" s="1105"/>
      <c r="L365" s="1105"/>
      <c r="M365" s="1105"/>
      <c r="N365" s="1105"/>
      <c r="O365" s="1105"/>
      <c r="P365" s="1105"/>
      <c r="Q365" s="1105"/>
      <c r="R365" s="1105"/>
    </row>
    <row r="366" spans="7:18" x14ac:dyDescent="0.2">
      <c r="G366" s="1105"/>
      <c r="H366" s="1105"/>
      <c r="I366" s="1105"/>
      <c r="J366" s="1105"/>
      <c r="K366" s="1105"/>
      <c r="L366" s="1105"/>
      <c r="M366" s="1105"/>
      <c r="N366" s="1105"/>
      <c r="O366" s="1105"/>
      <c r="P366" s="1105"/>
      <c r="Q366" s="1105"/>
      <c r="R366" s="1105"/>
    </row>
    <row r="367" spans="7:18" x14ac:dyDescent="0.2">
      <c r="G367" s="1105"/>
      <c r="H367" s="1105"/>
      <c r="I367" s="1105"/>
      <c r="J367" s="1105"/>
      <c r="K367" s="1105"/>
      <c r="L367" s="1105"/>
      <c r="M367" s="1105"/>
      <c r="N367" s="1105"/>
      <c r="O367" s="1105"/>
      <c r="P367" s="1105"/>
      <c r="Q367" s="1105"/>
      <c r="R367" s="1105"/>
    </row>
    <row r="368" spans="7:18" x14ac:dyDescent="0.2">
      <c r="G368" s="1105"/>
      <c r="H368" s="1105"/>
      <c r="I368" s="1105"/>
      <c r="J368" s="1105"/>
      <c r="K368" s="1105"/>
      <c r="L368" s="1105"/>
      <c r="M368" s="1105"/>
      <c r="N368" s="1105"/>
      <c r="O368" s="1105"/>
      <c r="P368" s="1105"/>
      <c r="Q368" s="1105"/>
      <c r="R368" s="1105"/>
    </row>
    <row r="369" spans="7:18" x14ac:dyDescent="0.2">
      <c r="G369" s="1105"/>
      <c r="H369" s="1105"/>
      <c r="I369" s="1105"/>
      <c r="J369" s="1105"/>
      <c r="K369" s="1105"/>
      <c r="L369" s="1105"/>
      <c r="M369" s="1105"/>
      <c r="N369" s="1105"/>
      <c r="O369" s="1105"/>
      <c r="P369" s="1105"/>
      <c r="Q369" s="1105"/>
      <c r="R369" s="1105"/>
    </row>
    <row r="370" spans="7:18" x14ac:dyDescent="0.2">
      <c r="G370" s="1105"/>
      <c r="H370" s="1105"/>
      <c r="I370" s="1105"/>
      <c r="J370" s="1105"/>
      <c r="K370" s="1105"/>
      <c r="L370" s="1105"/>
      <c r="M370" s="1105"/>
      <c r="N370" s="1105"/>
      <c r="O370" s="1105"/>
      <c r="P370" s="1105"/>
      <c r="Q370" s="1105"/>
      <c r="R370" s="1105"/>
    </row>
    <row r="371" spans="7:18" x14ac:dyDescent="0.2">
      <c r="G371" s="1105"/>
      <c r="H371" s="1105"/>
      <c r="I371" s="1105"/>
      <c r="J371" s="1105"/>
      <c r="K371" s="1105"/>
      <c r="L371" s="1105"/>
      <c r="M371" s="1105"/>
      <c r="N371" s="1105"/>
      <c r="O371" s="1105"/>
      <c r="P371" s="1105"/>
      <c r="Q371" s="1105"/>
      <c r="R371" s="1105"/>
    </row>
    <row r="372" spans="7:18" x14ac:dyDescent="0.2">
      <c r="G372" s="1105"/>
      <c r="H372" s="1105"/>
      <c r="I372" s="1105"/>
      <c r="J372" s="1105"/>
      <c r="K372" s="1105"/>
      <c r="L372" s="1105"/>
      <c r="M372" s="1105"/>
      <c r="N372" s="1105"/>
      <c r="O372" s="1105"/>
      <c r="P372" s="1105"/>
      <c r="Q372" s="1105"/>
      <c r="R372" s="1105"/>
    </row>
    <row r="373" spans="7:18" x14ac:dyDescent="0.2">
      <c r="G373" s="1105"/>
      <c r="H373" s="1105"/>
      <c r="I373" s="1105"/>
      <c r="J373" s="1105"/>
      <c r="K373" s="1105"/>
      <c r="L373" s="1105"/>
      <c r="M373" s="1105"/>
      <c r="N373" s="1105"/>
      <c r="O373" s="1105"/>
      <c r="P373" s="1105"/>
      <c r="Q373" s="1105"/>
      <c r="R373" s="1105"/>
    </row>
    <row r="374" spans="7:18" x14ac:dyDescent="0.2">
      <c r="G374" s="1105"/>
      <c r="H374" s="1105"/>
      <c r="I374" s="1105"/>
      <c r="J374" s="1105"/>
      <c r="K374" s="1105"/>
      <c r="L374" s="1105"/>
      <c r="M374" s="1105"/>
      <c r="N374" s="1105"/>
      <c r="O374" s="1105"/>
      <c r="P374" s="1105"/>
      <c r="Q374" s="1105"/>
      <c r="R374" s="1105"/>
    </row>
    <row r="375" spans="7:18" x14ac:dyDescent="0.2">
      <c r="G375" s="1105"/>
      <c r="H375" s="1105"/>
      <c r="I375" s="1105"/>
      <c r="J375" s="1105"/>
      <c r="K375" s="1105"/>
      <c r="L375" s="1105"/>
      <c r="M375" s="1105"/>
      <c r="N375" s="1105"/>
      <c r="O375" s="1105"/>
      <c r="P375" s="1105"/>
      <c r="Q375" s="1105"/>
      <c r="R375" s="1105"/>
    </row>
    <row r="376" spans="7:18" x14ac:dyDescent="0.2">
      <c r="G376" s="1105"/>
      <c r="H376" s="1105"/>
      <c r="I376" s="1105"/>
      <c r="J376" s="1105"/>
      <c r="K376" s="1105"/>
      <c r="L376" s="1105"/>
      <c r="M376" s="1105"/>
      <c r="N376" s="1105"/>
      <c r="O376" s="1105"/>
      <c r="P376" s="1105"/>
      <c r="Q376" s="1105"/>
      <c r="R376" s="1105"/>
    </row>
    <row r="377" spans="7:18" x14ac:dyDescent="0.2">
      <c r="G377" s="1105"/>
      <c r="H377" s="1105"/>
      <c r="I377" s="1105"/>
      <c r="J377" s="1105"/>
      <c r="K377" s="1105"/>
      <c r="L377" s="1105"/>
      <c r="M377" s="1105"/>
      <c r="N377" s="1105"/>
      <c r="O377" s="1105"/>
      <c r="P377" s="1105"/>
      <c r="Q377" s="1105"/>
      <c r="R377" s="1105"/>
    </row>
    <row r="378" spans="7:18" x14ac:dyDescent="0.2">
      <c r="G378" s="1105"/>
      <c r="H378" s="1105"/>
      <c r="I378" s="1105"/>
      <c r="J378" s="1105"/>
      <c r="K378" s="1105"/>
      <c r="L378" s="1105"/>
      <c r="M378" s="1105"/>
      <c r="N378" s="1105"/>
      <c r="O378" s="1105"/>
      <c r="P378" s="1105"/>
      <c r="Q378" s="1105"/>
      <c r="R378" s="1105"/>
    </row>
    <row r="379" spans="7:18" x14ac:dyDescent="0.2">
      <c r="G379" s="1105"/>
      <c r="H379" s="1105"/>
      <c r="I379" s="1105"/>
      <c r="J379" s="1105"/>
      <c r="K379" s="1105"/>
      <c r="L379" s="1105"/>
      <c r="M379" s="1105"/>
      <c r="N379" s="1105"/>
      <c r="O379" s="1105"/>
      <c r="P379" s="1105"/>
      <c r="Q379" s="1105"/>
      <c r="R379" s="1105"/>
    </row>
    <row r="380" spans="7:18" x14ac:dyDescent="0.2">
      <c r="G380" s="1105"/>
      <c r="H380" s="1105"/>
      <c r="I380" s="1105"/>
      <c r="J380" s="1105"/>
      <c r="K380" s="1105"/>
      <c r="L380" s="1105"/>
      <c r="M380" s="1105"/>
      <c r="N380" s="1105"/>
      <c r="O380" s="1105"/>
      <c r="P380" s="1105"/>
      <c r="Q380" s="1105"/>
      <c r="R380" s="1105"/>
    </row>
    <row r="381" spans="7:18" x14ac:dyDescent="0.2">
      <c r="G381" s="1105"/>
      <c r="H381" s="1105"/>
      <c r="I381" s="1105"/>
      <c r="J381" s="1105"/>
      <c r="K381" s="1105"/>
      <c r="L381" s="1105"/>
      <c r="M381" s="1105"/>
      <c r="N381" s="1105"/>
      <c r="O381" s="1105"/>
      <c r="P381" s="1105"/>
      <c r="Q381" s="1105"/>
      <c r="R381" s="1105"/>
    </row>
    <row r="382" spans="7:18" x14ac:dyDescent="0.2">
      <c r="G382" s="1105"/>
      <c r="H382" s="1105"/>
      <c r="I382" s="1105"/>
      <c r="J382" s="1105"/>
      <c r="K382" s="1105"/>
      <c r="L382" s="1105"/>
      <c r="M382" s="1105"/>
      <c r="N382" s="1105"/>
      <c r="O382" s="1105"/>
      <c r="P382" s="1105"/>
      <c r="Q382" s="1105"/>
      <c r="R382" s="1105"/>
    </row>
    <row r="383" spans="7:18" x14ac:dyDescent="0.2">
      <c r="G383" s="1105"/>
      <c r="H383" s="1105"/>
      <c r="I383" s="1105"/>
      <c r="J383" s="1105"/>
      <c r="K383" s="1105"/>
      <c r="L383" s="1105"/>
      <c r="M383" s="1105"/>
      <c r="N383" s="1105"/>
      <c r="O383" s="1105"/>
      <c r="P383" s="1105"/>
      <c r="Q383" s="1105"/>
      <c r="R383" s="1105"/>
    </row>
    <row r="384" spans="7:18" x14ac:dyDescent="0.2">
      <c r="G384" s="1105"/>
      <c r="H384" s="1105"/>
      <c r="I384" s="1105"/>
      <c r="J384" s="1105"/>
      <c r="K384" s="1105"/>
      <c r="L384" s="1105"/>
      <c r="M384" s="1105"/>
      <c r="N384" s="1105"/>
      <c r="O384" s="1105"/>
      <c r="P384" s="1105"/>
      <c r="Q384" s="1105"/>
      <c r="R384" s="1105"/>
    </row>
    <row r="385" spans="7:18" x14ac:dyDescent="0.2">
      <c r="G385" s="1105"/>
      <c r="H385" s="1105"/>
      <c r="I385" s="1105"/>
      <c r="J385" s="1105"/>
      <c r="K385" s="1105"/>
      <c r="L385" s="1105"/>
      <c r="M385" s="1105"/>
      <c r="N385" s="1105"/>
      <c r="O385" s="1105"/>
      <c r="P385" s="1105"/>
      <c r="Q385" s="1105"/>
      <c r="R385" s="1105"/>
    </row>
    <row r="386" spans="7:18" x14ac:dyDescent="0.2">
      <c r="G386" s="1105"/>
      <c r="H386" s="1105"/>
      <c r="I386" s="1105"/>
      <c r="J386" s="1105"/>
      <c r="K386" s="1105"/>
      <c r="L386" s="1105"/>
      <c r="M386" s="1105"/>
      <c r="N386" s="1105"/>
      <c r="O386" s="1105"/>
      <c r="P386" s="1105"/>
      <c r="Q386" s="1105"/>
      <c r="R386" s="1105"/>
    </row>
    <row r="387" spans="7:18" x14ac:dyDescent="0.2">
      <c r="G387" s="1105"/>
      <c r="H387" s="1105"/>
      <c r="I387" s="1105"/>
      <c r="J387" s="1105"/>
      <c r="K387" s="1105"/>
      <c r="L387" s="1105"/>
      <c r="M387" s="1105"/>
      <c r="N387" s="1105"/>
      <c r="O387" s="1105"/>
      <c r="P387" s="1105"/>
      <c r="Q387" s="1105"/>
      <c r="R387" s="1105"/>
    </row>
    <row r="388" spans="7:18" x14ac:dyDescent="0.2">
      <c r="G388" s="1105"/>
      <c r="H388" s="1105"/>
      <c r="I388" s="1105"/>
      <c r="J388" s="1105"/>
      <c r="K388" s="1105"/>
      <c r="L388" s="1105"/>
      <c r="M388" s="1105"/>
      <c r="N388" s="1105"/>
      <c r="O388" s="1105"/>
      <c r="P388" s="1105"/>
      <c r="Q388" s="1105"/>
      <c r="R388" s="1105"/>
    </row>
    <row r="389" spans="7:18" x14ac:dyDescent="0.2">
      <c r="G389" s="1105"/>
      <c r="H389" s="1105"/>
      <c r="I389" s="1105"/>
      <c r="J389" s="1105"/>
      <c r="K389" s="1105"/>
      <c r="L389" s="1105"/>
      <c r="M389" s="1105"/>
      <c r="N389" s="1105"/>
      <c r="O389" s="1105"/>
      <c r="P389" s="1105"/>
      <c r="Q389" s="1105"/>
      <c r="R389" s="1105"/>
    </row>
    <row r="390" spans="7:18" x14ac:dyDescent="0.2">
      <c r="G390" s="1105"/>
      <c r="H390" s="1105"/>
      <c r="I390" s="1105"/>
      <c r="J390" s="1105"/>
      <c r="K390" s="1105"/>
      <c r="L390" s="1105"/>
      <c r="M390" s="1105"/>
      <c r="N390" s="1105"/>
      <c r="O390" s="1105"/>
      <c r="P390" s="1105"/>
      <c r="Q390" s="1105"/>
      <c r="R390" s="1105"/>
    </row>
    <row r="391" spans="7:18" x14ac:dyDescent="0.2">
      <c r="G391" s="1105"/>
      <c r="H391" s="1105"/>
      <c r="I391" s="1105"/>
      <c r="J391" s="1105"/>
      <c r="K391" s="1105"/>
      <c r="L391" s="1105"/>
      <c r="M391" s="1105"/>
      <c r="N391" s="1105"/>
      <c r="O391" s="1105"/>
      <c r="P391" s="1105"/>
      <c r="Q391" s="1105"/>
      <c r="R391" s="1105"/>
    </row>
    <row r="392" spans="7:18" x14ac:dyDescent="0.2">
      <c r="G392" s="1105"/>
      <c r="H392" s="1105"/>
      <c r="I392" s="1105"/>
      <c r="J392" s="1105"/>
      <c r="K392" s="1105"/>
      <c r="L392" s="1105"/>
      <c r="M392" s="1105"/>
      <c r="N392" s="1105"/>
      <c r="O392" s="1105"/>
      <c r="P392" s="1105"/>
      <c r="Q392" s="1105"/>
      <c r="R392" s="1105"/>
    </row>
    <row r="393" spans="7:18" x14ac:dyDescent="0.2">
      <c r="G393" s="1105"/>
      <c r="H393" s="1105"/>
      <c r="I393" s="1105"/>
      <c r="J393" s="1105"/>
      <c r="K393" s="1105"/>
      <c r="L393" s="1105"/>
      <c r="M393" s="1105"/>
      <c r="N393" s="1105"/>
      <c r="O393" s="1105"/>
      <c r="P393" s="1105"/>
      <c r="Q393" s="1105"/>
      <c r="R393" s="1105"/>
    </row>
    <row r="394" spans="7:18" x14ac:dyDescent="0.2">
      <c r="G394" s="1105"/>
      <c r="H394" s="1105"/>
      <c r="I394" s="1105"/>
      <c r="J394" s="1105"/>
      <c r="K394" s="1105"/>
      <c r="L394" s="1105"/>
      <c r="M394" s="1105"/>
      <c r="N394" s="1105"/>
      <c r="O394" s="1105"/>
      <c r="P394" s="1105"/>
      <c r="Q394" s="1105"/>
      <c r="R394" s="1105"/>
    </row>
    <row r="395" spans="7:18" x14ac:dyDescent="0.2">
      <c r="G395" s="1105"/>
      <c r="H395" s="1105"/>
      <c r="I395" s="1105"/>
      <c r="J395" s="1105"/>
      <c r="K395" s="1105"/>
      <c r="L395" s="1105"/>
      <c r="M395" s="1105"/>
      <c r="N395" s="1105"/>
      <c r="O395" s="1105"/>
      <c r="P395" s="1105"/>
      <c r="Q395" s="1105"/>
      <c r="R395" s="1105"/>
    </row>
    <row r="396" spans="7:18" x14ac:dyDescent="0.2">
      <c r="G396" s="1105"/>
      <c r="H396" s="1105"/>
      <c r="I396" s="1105"/>
      <c r="J396" s="1105"/>
      <c r="K396" s="1105"/>
      <c r="L396" s="1105"/>
      <c r="M396" s="1105"/>
      <c r="N396" s="1105"/>
      <c r="O396" s="1105"/>
      <c r="P396" s="1105"/>
      <c r="Q396" s="1105"/>
      <c r="R396" s="1105"/>
    </row>
    <row r="397" spans="7:18" x14ac:dyDescent="0.2">
      <c r="G397" s="1105"/>
      <c r="H397" s="1105"/>
      <c r="I397" s="1105"/>
      <c r="J397" s="1105"/>
      <c r="K397" s="1105"/>
      <c r="L397" s="1105"/>
      <c r="M397" s="1105"/>
      <c r="N397" s="1105"/>
      <c r="O397" s="1105"/>
      <c r="P397" s="1105"/>
      <c r="Q397" s="1105"/>
      <c r="R397" s="1105"/>
    </row>
    <row r="398" spans="7:18" x14ac:dyDescent="0.2">
      <c r="G398" s="1105"/>
      <c r="H398" s="1105"/>
      <c r="I398" s="1105"/>
      <c r="J398" s="1105"/>
      <c r="K398" s="1105"/>
      <c r="L398" s="1105"/>
      <c r="M398" s="1105"/>
      <c r="N398" s="1105"/>
      <c r="O398" s="1105"/>
      <c r="P398" s="1105"/>
      <c r="Q398" s="1105"/>
      <c r="R398" s="1105"/>
    </row>
    <row r="399" spans="7:18" x14ac:dyDescent="0.2">
      <c r="G399" s="1105"/>
      <c r="H399" s="1105"/>
      <c r="I399" s="1105"/>
      <c r="J399" s="1105"/>
      <c r="K399" s="1105"/>
      <c r="L399" s="1105"/>
      <c r="M399" s="1105"/>
      <c r="N399" s="1105"/>
      <c r="O399" s="1105"/>
      <c r="P399" s="1105"/>
      <c r="Q399" s="1105"/>
      <c r="R399" s="1105"/>
    </row>
    <row r="400" spans="7:18" x14ac:dyDescent="0.2">
      <c r="G400" s="1105"/>
      <c r="H400" s="1105"/>
      <c r="I400" s="1105"/>
      <c r="J400" s="1105"/>
      <c r="K400" s="1105"/>
      <c r="L400" s="1105"/>
      <c r="M400" s="1105"/>
      <c r="N400" s="1105"/>
      <c r="O400" s="1105"/>
      <c r="P400" s="1105"/>
      <c r="Q400" s="1105"/>
      <c r="R400" s="1105"/>
    </row>
    <row r="401" spans="7:18" x14ac:dyDescent="0.2">
      <c r="G401" s="1105"/>
      <c r="H401" s="1105"/>
      <c r="I401" s="1105"/>
      <c r="J401" s="1105"/>
      <c r="K401" s="1105"/>
      <c r="L401" s="1105"/>
      <c r="M401" s="1105"/>
      <c r="N401" s="1105"/>
      <c r="O401" s="1105"/>
      <c r="P401" s="1105"/>
      <c r="Q401" s="1105"/>
      <c r="R401" s="1105"/>
    </row>
    <row r="402" spans="7:18" x14ac:dyDescent="0.2">
      <c r="G402" s="1105"/>
      <c r="H402" s="1105"/>
      <c r="I402" s="1105"/>
      <c r="J402" s="1105"/>
      <c r="K402" s="1105"/>
      <c r="L402" s="1105"/>
      <c r="M402" s="1105"/>
      <c r="N402" s="1105"/>
      <c r="O402" s="1105"/>
      <c r="P402" s="1105"/>
      <c r="Q402" s="1105"/>
      <c r="R402" s="1105"/>
    </row>
    <row r="403" spans="7:18" x14ac:dyDescent="0.2">
      <c r="G403" s="1105"/>
      <c r="H403" s="1105"/>
      <c r="I403" s="1105"/>
      <c r="J403" s="1105"/>
      <c r="K403" s="1105"/>
      <c r="L403" s="1105"/>
      <c r="M403" s="1105"/>
      <c r="N403" s="1105"/>
      <c r="O403" s="1105"/>
      <c r="P403" s="1105"/>
      <c r="Q403" s="1105"/>
      <c r="R403" s="1105"/>
    </row>
    <row r="404" spans="7:18" x14ac:dyDescent="0.2">
      <c r="G404" s="1105"/>
      <c r="H404" s="1105"/>
      <c r="I404" s="1105"/>
      <c r="J404" s="1105"/>
      <c r="K404" s="1105"/>
      <c r="L404" s="1105"/>
      <c r="M404" s="1105"/>
      <c r="N404" s="1105"/>
      <c r="O404" s="1105"/>
      <c r="P404" s="1105"/>
      <c r="Q404" s="1105"/>
      <c r="R404" s="1105"/>
    </row>
    <row r="405" spans="7:18" x14ac:dyDescent="0.2">
      <c r="G405" s="1105"/>
      <c r="H405" s="1105"/>
      <c r="I405" s="1105"/>
      <c r="J405" s="1105"/>
      <c r="K405" s="1105"/>
      <c r="L405" s="1105"/>
      <c r="M405" s="1105"/>
      <c r="N405" s="1105"/>
      <c r="O405" s="1105"/>
      <c r="P405" s="1105"/>
      <c r="Q405" s="1105"/>
      <c r="R405" s="1105"/>
    </row>
    <row r="406" spans="7:18" x14ac:dyDescent="0.2">
      <c r="G406" s="1105"/>
      <c r="H406" s="1105"/>
      <c r="I406" s="1105"/>
      <c r="J406" s="1105"/>
      <c r="K406" s="1105"/>
      <c r="L406" s="1105"/>
      <c r="M406" s="1105"/>
      <c r="N406" s="1105"/>
      <c r="O406" s="1105"/>
      <c r="P406" s="1105"/>
      <c r="Q406" s="1105"/>
      <c r="R406" s="1105"/>
    </row>
    <row r="407" spans="7:18" x14ac:dyDescent="0.2">
      <c r="G407" s="1105"/>
      <c r="H407" s="1105"/>
      <c r="I407" s="1105"/>
      <c r="J407" s="1105"/>
      <c r="K407" s="1105"/>
      <c r="L407" s="1105"/>
      <c r="M407" s="1105"/>
      <c r="N407" s="1105"/>
      <c r="O407" s="1105"/>
      <c r="P407" s="1105"/>
      <c r="Q407" s="1105"/>
      <c r="R407" s="1105"/>
    </row>
    <row r="408" spans="7:18" x14ac:dyDescent="0.2">
      <c r="G408" s="1105"/>
      <c r="H408" s="1105"/>
      <c r="I408" s="1105"/>
      <c r="J408" s="1105"/>
      <c r="K408" s="1105"/>
      <c r="L408" s="1105"/>
      <c r="M408" s="1105"/>
      <c r="N408" s="1105"/>
      <c r="O408" s="1105"/>
      <c r="P408" s="1105"/>
      <c r="Q408" s="1105"/>
      <c r="R408" s="1105"/>
    </row>
    <row r="409" spans="7:18" x14ac:dyDescent="0.2">
      <c r="G409" s="1105"/>
      <c r="H409" s="1105"/>
      <c r="I409" s="1105"/>
      <c r="J409" s="1105"/>
      <c r="K409" s="1105"/>
      <c r="L409" s="1105"/>
      <c r="M409" s="1105"/>
      <c r="N409" s="1105"/>
      <c r="O409" s="1105"/>
      <c r="P409" s="1105"/>
      <c r="Q409" s="1105"/>
      <c r="R409" s="1105"/>
    </row>
    <row r="410" spans="7:18" x14ac:dyDescent="0.2">
      <c r="G410" s="1105"/>
      <c r="H410" s="1105"/>
      <c r="I410" s="1105"/>
      <c r="J410" s="1105"/>
      <c r="K410" s="1105"/>
      <c r="L410" s="1105"/>
      <c r="M410" s="1105"/>
      <c r="N410" s="1105"/>
      <c r="O410" s="1105"/>
      <c r="P410" s="1105"/>
      <c r="Q410" s="1105"/>
      <c r="R410" s="1105"/>
    </row>
    <row r="411" spans="7:18" x14ac:dyDescent="0.2">
      <c r="G411" s="1105"/>
      <c r="H411" s="1105"/>
      <c r="I411" s="1105"/>
      <c r="J411" s="1105"/>
      <c r="K411" s="1105"/>
      <c r="L411" s="1105"/>
      <c r="M411" s="1105"/>
      <c r="N411" s="1105"/>
      <c r="O411" s="1105"/>
      <c r="P411" s="1105"/>
      <c r="Q411" s="1105"/>
      <c r="R411" s="1105"/>
    </row>
    <row r="412" spans="7:18" x14ac:dyDescent="0.2">
      <c r="G412" s="1105"/>
      <c r="H412" s="1105"/>
      <c r="I412" s="1105"/>
      <c r="J412" s="1105"/>
      <c r="K412" s="1105"/>
      <c r="L412" s="1105"/>
      <c r="M412" s="1105"/>
      <c r="N412" s="1105"/>
      <c r="O412" s="1105"/>
      <c r="P412" s="1105"/>
      <c r="Q412" s="1105"/>
      <c r="R412" s="1105"/>
    </row>
    <row r="413" spans="7:18" x14ac:dyDescent="0.2">
      <c r="G413" s="1105"/>
      <c r="H413" s="1105"/>
      <c r="I413" s="1105"/>
      <c r="J413" s="1105"/>
      <c r="K413" s="1105"/>
      <c r="L413" s="1105"/>
      <c r="M413" s="1105"/>
      <c r="N413" s="1105"/>
      <c r="O413" s="1105"/>
      <c r="P413" s="1105"/>
      <c r="Q413" s="1105"/>
      <c r="R413" s="1105"/>
    </row>
    <row r="414" spans="7:18" x14ac:dyDescent="0.2">
      <c r="G414" s="1105"/>
      <c r="H414" s="1105"/>
      <c r="I414" s="1105"/>
      <c r="J414" s="1105"/>
      <c r="K414" s="1105"/>
      <c r="L414" s="1105"/>
      <c r="M414" s="1105"/>
      <c r="N414" s="1105"/>
      <c r="O414" s="1105"/>
      <c r="P414" s="1105"/>
      <c r="Q414" s="1105"/>
      <c r="R414" s="1105"/>
    </row>
    <row r="415" spans="7:18" x14ac:dyDescent="0.2">
      <c r="G415" s="1105"/>
      <c r="H415" s="1105"/>
      <c r="I415" s="1105"/>
      <c r="J415" s="1105"/>
      <c r="K415" s="1105"/>
      <c r="L415" s="1105"/>
      <c r="M415" s="1105"/>
      <c r="N415" s="1105"/>
      <c r="O415" s="1105"/>
      <c r="P415" s="1105"/>
      <c r="Q415" s="1105"/>
      <c r="R415" s="1105"/>
    </row>
    <row r="416" spans="7:18" x14ac:dyDescent="0.2">
      <c r="G416" s="1105"/>
      <c r="H416" s="1105"/>
      <c r="I416" s="1105"/>
      <c r="J416" s="1105"/>
      <c r="K416" s="1105"/>
      <c r="L416" s="1105"/>
      <c r="M416" s="1105"/>
      <c r="N416" s="1105"/>
      <c r="O416" s="1105"/>
      <c r="P416" s="1105"/>
      <c r="Q416" s="1105"/>
      <c r="R416" s="1105"/>
    </row>
    <row r="417" spans="7:18" x14ac:dyDescent="0.2">
      <c r="G417" s="1105"/>
      <c r="H417" s="1105"/>
      <c r="I417" s="1105"/>
      <c r="J417" s="1105"/>
      <c r="K417" s="1105"/>
      <c r="L417" s="1105"/>
      <c r="M417" s="1105"/>
      <c r="N417" s="1105"/>
      <c r="O417" s="1105"/>
      <c r="P417" s="1105"/>
      <c r="Q417" s="1105"/>
      <c r="R417" s="1105"/>
    </row>
    <row r="418" spans="7:18" x14ac:dyDescent="0.2">
      <c r="G418" s="1105"/>
      <c r="H418" s="1105"/>
      <c r="I418" s="1105"/>
      <c r="J418" s="1105"/>
      <c r="K418" s="1105"/>
      <c r="L418" s="1105"/>
      <c r="M418" s="1105"/>
      <c r="N418" s="1105"/>
      <c r="O418" s="1105"/>
      <c r="P418" s="1105"/>
      <c r="Q418" s="1105"/>
      <c r="R418" s="1105"/>
    </row>
    <row r="419" spans="7:18" x14ac:dyDescent="0.2">
      <c r="G419" s="1105"/>
      <c r="H419" s="1105"/>
      <c r="I419" s="1105"/>
      <c r="J419" s="1105"/>
      <c r="K419" s="1105"/>
      <c r="L419" s="1105"/>
      <c r="M419" s="1105"/>
      <c r="N419" s="1105"/>
      <c r="O419" s="1105"/>
      <c r="P419" s="1105"/>
      <c r="Q419" s="1105"/>
      <c r="R419" s="1105"/>
    </row>
    <row r="420" spans="7:18" x14ac:dyDescent="0.2">
      <c r="G420" s="1105"/>
      <c r="H420" s="1105"/>
      <c r="I420" s="1105"/>
      <c r="J420" s="1105"/>
      <c r="K420" s="1105"/>
      <c r="L420" s="1105"/>
      <c r="M420" s="1105"/>
      <c r="N420" s="1105"/>
      <c r="O420" s="1105"/>
      <c r="P420" s="1105"/>
      <c r="Q420" s="1105"/>
      <c r="R420" s="1105"/>
    </row>
    <row r="421" spans="7:18" x14ac:dyDescent="0.2">
      <c r="G421" s="1105"/>
      <c r="H421" s="1105"/>
      <c r="I421" s="1105"/>
      <c r="J421" s="1105"/>
      <c r="K421" s="1105"/>
      <c r="L421" s="1105"/>
      <c r="M421" s="1105"/>
      <c r="N421" s="1105"/>
      <c r="O421" s="1105"/>
      <c r="P421" s="1105"/>
      <c r="Q421" s="1105"/>
      <c r="R421" s="1105"/>
    </row>
    <row r="422" spans="7:18" x14ac:dyDescent="0.2">
      <c r="G422" s="1105"/>
      <c r="H422" s="1105"/>
      <c r="I422" s="1105"/>
      <c r="J422" s="1105"/>
      <c r="K422" s="1105"/>
      <c r="L422" s="1105"/>
      <c r="M422" s="1105"/>
      <c r="N422" s="1105"/>
      <c r="O422" s="1105"/>
      <c r="P422" s="1105"/>
      <c r="Q422" s="1105"/>
      <c r="R422" s="1105"/>
    </row>
    <row r="423" spans="7:18" x14ac:dyDescent="0.2">
      <c r="G423" s="1105"/>
      <c r="H423" s="1105"/>
      <c r="I423" s="1105"/>
      <c r="J423" s="1105"/>
      <c r="K423" s="1105"/>
      <c r="L423" s="1105"/>
      <c r="M423" s="1105"/>
      <c r="N423" s="1105"/>
      <c r="O423" s="1105"/>
      <c r="P423" s="1105"/>
      <c r="Q423" s="1105"/>
      <c r="R423" s="1105"/>
    </row>
    <row r="424" spans="7:18" x14ac:dyDescent="0.2">
      <c r="G424" s="1105"/>
      <c r="H424" s="1105"/>
      <c r="I424" s="1105"/>
      <c r="J424" s="1105"/>
      <c r="K424" s="1105"/>
      <c r="L424" s="1105"/>
      <c r="M424" s="1105"/>
      <c r="N424" s="1105"/>
      <c r="O424" s="1105"/>
      <c r="P424" s="1105"/>
      <c r="Q424" s="1105"/>
      <c r="R424" s="1105"/>
    </row>
    <row r="425" spans="7:18" x14ac:dyDescent="0.2">
      <c r="G425" s="1105"/>
      <c r="H425" s="1105"/>
      <c r="I425" s="1105"/>
      <c r="J425" s="1105"/>
      <c r="K425" s="1105"/>
      <c r="L425" s="1105"/>
      <c r="M425" s="1105"/>
      <c r="N425" s="1105"/>
      <c r="O425" s="1105"/>
      <c r="P425" s="1105"/>
      <c r="Q425" s="1105"/>
      <c r="R425" s="1105"/>
    </row>
    <row r="426" spans="7:18" x14ac:dyDescent="0.2">
      <c r="G426" s="1105"/>
      <c r="H426" s="1105"/>
      <c r="I426" s="1105"/>
      <c r="J426" s="1105"/>
      <c r="K426" s="1105"/>
      <c r="L426" s="1105"/>
      <c r="M426" s="1105"/>
      <c r="N426" s="1105"/>
      <c r="O426" s="1105"/>
      <c r="P426" s="1105"/>
      <c r="Q426" s="1105"/>
      <c r="R426" s="1105"/>
    </row>
    <row r="427" spans="7:18" x14ac:dyDescent="0.2">
      <c r="G427" s="1105"/>
      <c r="H427" s="1105"/>
      <c r="I427" s="1105"/>
      <c r="J427" s="1105"/>
      <c r="K427" s="1105"/>
      <c r="L427" s="1105"/>
      <c r="M427" s="1105"/>
      <c r="N427" s="1105"/>
      <c r="O427" s="1105"/>
      <c r="P427" s="1105"/>
      <c r="Q427" s="1105"/>
      <c r="R427" s="1105"/>
    </row>
    <row r="428" spans="7:18" x14ac:dyDescent="0.2">
      <c r="G428" s="1105"/>
      <c r="H428" s="1105"/>
      <c r="I428" s="1105"/>
      <c r="J428" s="1105"/>
      <c r="K428" s="1105"/>
      <c r="L428" s="1105"/>
      <c r="M428" s="1105"/>
      <c r="N428" s="1105"/>
      <c r="O428" s="1105"/>
      <c r="P428" s="1105"/>
      <c r="Q428" s="1105"/>
      <c r="R428" s="1105"/>
    </row>
    <row r="429" spans="7:18" x14ac:dyDescent="0.2">
      <c r="G429" s="1105"/>
      <c r="H429" s="1105"/>
      <c r="I429" s="1105"/>
      <c r="J429" s="1105"/>
      <c r="K429" s="1105"/>
      <c r="L429" s="1105"/>
      <c r="M429" s="1105"/>
      <c r="N429" s="1105"/>
      <c r="O429" s="1105"/>
      <c r="P429" s="1105"/>
      <c r="Q429" s="1105"/>
      <c r="R429" s="1105"/>
    </row>
    <row r="430" spans="7:18" x14ac:dyDescent="0.2">
      <c r="G430" s="1105"/>
      <c r="H430" s="1105"/>
      <c r="I430" s="1105"/>
      <c r="J430" s="1105"/>
      <c r="K430" s="1105"/>
      <c r="L430" s="1105"/>
      <c r="M430" s="1105"/>
      <c r="N430" s="1105"/>
      <c r="O430" s="1105"/>
      <c r="P430" s="1105"/>
      <c r="Q430" s="1105"/>
      <c r="R430" s="1105"/>
    </row>
    <row r="431" spans="7:18" x14ac:dyDescent="0.2">
      <c r="G431" s="1105"/>
      <c r="H431" s="1105"/>
      <c r="I431" s="1105"/>
      <c r="J431" s="1105"/>
      <c r="K431" s="1105"/>
      <c r="L431" s="1105"/>
      <c r="M431" s="1105"/>
      <c r="N431" s="1105"/>
      <c r="O431" s="1105"/>
      <c r="P431" s="1105"/>
      <c r="Q431" s="1105"/>
      <c r="R431" s="1105"/>
    </row>
    <row r="432" spans="7:18" x14ac:dyDescent="0.2">
      <c r="G432" s="1105"/>
      <c r="H432" s="1105"/>
      <c r="I432" s="1105"/>
      <c r="J432" s="1105"/>
      <c r="K432" s="1105"/>
      <c r="L432" s="1105"/>
      <c r="M432" s="1105"/>
      <c r="N432" s="1105"/>
      <c r="O432" s="1105"/>
      <c r="P432" s="1105"/>
      <c r="Q432" s="1105"/>
      <c r="R432" s="1105"/>
    </row>
    <row r="433" spans="7:18" x14ac:dyDescent="0.2">
      <c r="G433" s="1105"/>
      <c r="H433" s="1105"/>
      <c r="I433" s="1105"/>
      <c r="J433" s="1105"/>
      <c r="K433" s="1105"/>
      <c r="L433" s="1105"/>
      <c r="M433" s="1105"/>
      <c r="N433" s="1105"/>
      <c r="O433" s="1105"/>
      <c r="P433" s="1105"/>
      <c r="Q433" s="1105"/>
      <c r="R433" s="1105"/>
    </row>
    <row r="434" spans="7:18" x14ac:dyDescent="0.2">
      <c r="G434" s="1105"/>
      <c r="H434" s="1105"/>
      <c r="I434" s="1105"/>
      <c r="J434" s="1105"/>
      <c r="K434" s="1105"/>
      <c r="L434" s="1105"/>
      <c r="M434" s="1105"/>
      <c r="N434" s="1105"/>
      <c r="O434" s="1105"/>
      <c r="P434" s="1105"/>
      <c r="Q434" s="1105"/>
      <c r="R434" s="1105"/>
    </row>
    <row r="435" spans="7:18" x14ac:dyDescent="0.2">
      <c r="G435" s="1105"/>
      <c r="H435" s="1105"/>
      <c r="I435" s="1105"/>
      <c r="J435" s="1105"/>
      <c r="K435" s="1105"/>
      <c r="L435" s="1105"/>
      <c r="M435" s="1105"/>
      <c r="N435" s="1105"/>
      <c r="O435" s="1105"/>
      <c r="P435" s="1105"/>
      <c r="Q435" s="1105"/>
      <c r="R435" s="1105"/>
    </row>
    <row r="436" spans="7:18" x14ac:dyDescent="0.2">
      <c r="G436" s="1105"/>
      <c r="H436" s="1105"/>
      <c r="I436" s="1105"/>
      <c r="J436" s="1105"/>
      <c r="K436" s="1105"/>
      <c r="L436" s="1105"/>
      <c r="M436" s="1105"/>
      <c r="N436" s="1105"/>
      <c r="O436" s="1105"/>
      <c r="P436" s="1105"/>
      <c r="Q436" s="1105"/>
      <c r="R436" s="1105"/>
    </row>
    <row r="437" spans="7:18" x14ac:dyDescent="0.2">
      <c r="G437" s="1105"/>
      <c r="H437" s="1105"/>
      <c r="I437" s="1105"/>
      <c r="J437" s="1105"/>
      <c r="K437" s="1105"/>
      <c r="L437" s="1105"/>
      <c r="M437" s="1105"/>
      <c r="N437" s="1105"/>
      <c r="O437" s="1105"/>
      <c r="P437" s="1105"/>
      <c r="Q437" s="1105"/>
      <c r="R437" s="1105"/>
    </row>
    <row r="438" spans="7:18" x14ac:dyDescent="0.2">
      <c r="G438" s="1105"/>
      <c r="H438" s="1105"/>
      <c r="I438" s="1105"/>
      <c r="J438" s="1105"/>
      <c r="K438" s="1105"/>
      <c r="L438" s="1105"/>
      <c r="M438" s="1105"/>
      <c r="N438" s="1105"/>
      <c r="O438" s="1105"/>
      <c r="P438" s="1105"/>
      <c r="Q438" s="1105"/>
      <c r="R438" s="1105"/>
    </row>
    <row r="439" spans="7:18" x14ac:dyDescent="0.2">
      <c r="G439" s="1105"/>
      <c r="H439" s="1105"/>
      <c r="I439" s="1105"/>
      <c r="J439" s="1105"/>
      <c r="K439" s="1105"/>
      <c r="L439" s="1105"/>
      <c r="M439" s="1105"/>
      <c r="N439" s="1105"/>
      <c r="O439" s="1105"/>
      <c r="P439" s="1105"/>
      <c r="Q439" s="1105"/>
      <c r="R439" s="1105"/>
    </row>
    <row r="440" spans="7:18" x14ac:dyDescent="0.2">
      <c r="G440" s="1105"/>
      <c r="H440" s="1105"/>
      <c r="I440" s="1105"/>
      <c r="J440" s="1105"/>
      <c r="K440" s="1105"/>
      <c r="L440" s="1105"/>
      <c r="M440" s="1105"/>
      <c r="N440" s="1105"/>
      <c r="O440" s="1105"/>
      <c r="P440" s="1105"/>
      <c r="Q440" s="1105"/>
      <c r="R440" s="1105"/>
    </row>
    <row r="441" spans="7:18" x14ac:dyDescent="0.2">
      <c r="G441" s="1105"/>
      <c r="H441" s="1105"/>
      <c r="I441" s="1105"/>
      <c r="J441" s="1105"/>
      <c r="K441" s="1105"/>
      <c r="L441" s="1105"/>
      <c r="M441" s="1105"/>
      <c r="N441" s="1105"/>
      <c r="O441" s="1105"/>
      <c r="P441" s="1105"/>
      <c r="Q441" s="1105"/>
      <c r="R441" s="1105"/>
    </row>
    <row r="442" spans="7:18" x14ac:dyDescent="0.2">
      <c r="G442" s="1105"/>
      <c r="H442" s="1105"/>
      <c r="I442" s="1105"/>
      <c r="J442" s="1105"/>
      <c r="K442" s="1105"/>
      <c r="L442" s="1105"/>
      <c r="M442" s="1105"/>
      <c r="N442" s="1105"/>
      <c r="O442" s="1105"/>
      <c r="P442" s="1105"/>
      <c r="Q442" s="1105"/>
      <c r="R442" s="1105"/>
    </row>
    <row r="443" spans="7:18" x14ac:dyDescent="0.2">
      <c r="G443" s="1105"/>
      <c r="H443" s="1105"/>
      <c r="I443" s="1105"/>
      <c r="J443" s="1105"/>
      <c r="K443" s="1105"/>
      <c r="L443" s="1105"/>
      <c r="M443" s="1105"/>
      <c r="N443" s="1105"/>
      <c r="O443" s="1105"/>
      <c r="P443" s="1105"/>
      <c r="Q443" s="1105"/>
      <c r="R443" s="1105"/>
    </row>
    <row r="444" spans="7:18" x14ac:dyDescent="0.2">
      <c r="G444" s="1105"/>
      <c r="H444" s="1105"/>
      <c r="I444" s="1105"/>
      <c r="J444" s="1105"/>
      <c r="K444" s="1105"/>
      <c r="L444" s="1105"/>
      <c r="M444" s="1105"/>
      <c r="N444" s="1105"/>
      <c r="O444" s="1105"/>
      <c r="P444" s="1105"/>
      <c r="Q444" s="1105"/>
      <c r="R444" s="1105"/>
    </row>
    <row r="445" spans="7:18" x14ac:dyDescent="0.2">
      <c r="G445" s="1105"/>
      <c r="H445" s="1105"/>
      <c r="I445" s="1105"/>
      <c r="J445" s="1105"/>
      <c r="K445" s="1105"/>
      <c r="L445" s="1105"/>
      <c r="M445" s="1105"/>
      <c r="N445" s="1105"/>
      <c r="O445" s="1105"/>
      <c r="P445" s="1105"/>
      <c r="Q445" s="1105"/>
      <c r="R445" s="1105"/>
    </row>
    <row r="446" spans="7:18" x14ac:dyDescent="0.2">
      <c r="G446" s="1105"/>
      <c r="H446" s="1105"/>
      <c r="I446" s="1105"/>
      <c r="J446" s="1105"/>
      <c r="K446" s="1105"/>
      <c r="L446" s="1105"/>
      <c r="M446" s="1105"/>
      <c r="N446" s="1105"/>
      <c r="O446" s="1105"/>
      <c r="P446" s="1105"/>
      <c r="Q446" s="1105"/>
      <c r="R446" s="1105"/>
    </row>
    <row r="447" spans="7:18" x14ac:dyDescent="0.2">
      <c r="G447" s="1105"/>
      <c r="H447" s="1105"/>
      <c r="I447" s="1105"/>
      <c r="J447" s="1105"/>
      <c r="K447" s="1105"/>
      <c r="L447" s="1105"/>
      <c r="M447" s="1105"/>
      <c r="N447" s="1105"/>
      <c r="O447" s="1105"/>
      <c r="P447" s="1105"/>
      <c r="Q447" s="1105"/>
      <c r="R447" s="1105"/>
    </row>
    <row r="448" spans="7:18" x14ac:dyDescent="0.2">
      <c r="G448" s="1105"/>
      <c r="H448" s="1105"/>
      <c r="I448" s="1105"/>
      <c r="J448" s="1105"/>
      <c r="K448" s="1105"/>
      <c r="L448" s="1105"/>
      <c r="M448" s="1105"/>
      <c r="N448" s="1105"/>
      <c r="O448" s="1105"/>
      <c r="P448" s="1105"/>
      <c r="Q448" s="1105"/>
      <c r="R448" s="1105"/>
    </row>
    <row r="449" spans="7:18" x14ac:dyDescent="0.2">
      <c r="G449" s="1105"/>
      <c r="H449" s="1105"/>
      <c r="I449" s="1105"/>
      <c r="J449" s="1105"/>
      <c r="K449" s="1105"/>
      <c r="L449" s="1105"/>
      <c r="M449" s="1105"/>
      <c r="N449" s="1105"/>
      <c r="O449" s="1105"/>
      <c r="P449" s="1105"/>
      <c r="Q449" s="1105"/>
      <c r="R449" s="1105"/>
    </row>
    <row r="450" spans="7:18" x14ac:dyDescent="0.2">
      <c r="G450" s="1105"/>
      <c r="H450" s="1105"/>
      <c r="I450" s="1105"/>
      <c r="J450" s="1105"/>
      <c r="K450" s="1105"/>
      <c r="L450" s="1105"/>
      <c r="M450" s="1105"/>
      <c r="N450" s="1105"/>
      <c r="O450" s="1105"/>
      <c r="P450" s="1105"/>
      <c r="Q450" s="1105"/>
      <c r="R450" s="1105"/>
    </row>
    <row r="451" spans="7:18" x14ac:dyDescent="0.2">
      <c r="G451" s="1105"/>
      <c r="H451" s="1105"/>
      <c r="I451" s="1105"/>
      <c r="J451" s="1105"/>
      <c r="K451" s="1105"/>
      <c r="L451" s="1105"/>
      <c r="M451" s="1105"/>
      <c r="N451" s="1105"/>
      <c r="O451" s="1105"/>
      <c r="P451" s="1105"/>
      <c r="Q451" s="1105"/>
      <c r="R451" s="1105"/>
    </row>
    <row r="452" spans="7:18" x14ac:dyDescent="0.2">
      <c r="G452" s="1105"/>
      <c r="H452" s="1105"/>
      <c r="I452" s="1105"/>
      <c r="J452" s="1105"/>
      <c r="K452" s="1105"/>
      <c r="L452" s="1105"/>
      <c r="M452" s="1105"/>
      <c r="N452" s="1105"/>
      <c r="O452" s="1105"/>
      <c r="P452" s="1105"/>
      <c r="Q452" s="1105"/>
      <c r="R452" s="1105"/>
    </row>
    <row r="453" spans="7:18" x14ac:dyDescent="0.2">
      <c r="G453" s="1105"/>
      <c r="H453" s="1105"/>
      <c r="I453" s="1105"/>
      <c r="J453" s="1105"/>
      <c r="K453" s="1105"/>
      <c r="L453" s="1105"/>
      <c r="M453" s="1105"/>
      <c r="N453" s="1105"/>
      <c r="O453" s="1105"/>
      <c r="P453" s="1105"/>
      <c r="Q453" s="1105"/>
      <c r="R453" s="1105"/>
    </row>
    <row r="454" spans="7:18" x14ac:dyDescent="0.2">
      <c r="G454" s="1105"/>
      <c r="H454" s="1105"/>
      <c r="I454" s="1105"/>
      <c r="J454" s="1105"/>
      <c r="K454" s="1105"/>
      <c r="L454" s="1105"/>
      <c r="M454" s="1105"/>
      <c r="N454" s="1105"/>
      <c r="O454" s="1105"/>
      <c r="P454" s="1105"/>
      <c r="Q454" s="1105"/>
      <c r="R454" s="1105"/>
    </row>
    <row r="455" spans="7:18" x14ac:dyDescent="0.2">
      <c r="G455" s="1105"/>
      <c r="H455" s="1105"/>
      <c r="I455" s="1105"/>
      <c r="J455" s="1105"/>
      <c r="K455" s="1105"/>
      <c r="L455" s="1105"/>
      <c r="M455" s="1105"/>
      <c r="N455" s="1105"/>
      <c r="O455" s="1105"/>
      <c r="P455" s="1105"/>
      <c r="Q455" s="1105"/>
      <c r="R455" s="1105"/>
    </row>
    <row r="456" spans="7:18" x14ac:dyDescent="0.2">
      <c r="G456" s="1105"/>
      <c r="H456" s="1105"/>
      <c r="I456" s="1105"/>
      <c r="J456" s="1105"/>
      <c r="K456" s="1105"/>
      <c r="L456" s="1105"/>
      <c r="M456" s="1105"/>
      <c r="N456" s="1105"/>
      <c r="O456" s="1105"/>
      <c r="P456" s="1105"/>
      <c r="Q456" s="1105"/>
      <c r="R456" s="1105"/>
    </row>
    <row r="457" spans="7:18" x14ac:dyDescent="0.2">
      <c r="G457" s="1105"/>
      <c r="H457" s="1105"/>
      <c r="I457" s="1105"/>
      <c r="J457" s="1105"/>
      <c r="K457" s="1105"/>
      <c r="L457" s="1105"/>
      <c r="M457" s="1105"/>
      <c r="N457" s="1105"/>
      <c r="O457" s="1105"/>
      <c r="P457" s="1105"/>
      <c r="Q457" s="1105"/>
      <c r="R457" s="1105"/>
    </row>
    <row r="458" spans="7:18" x14ac:dyDescent="0.2">
      <c r="G458" s="1105"/>
      <c r="H458" s="1105"/>
      <c r="I458" s="1105"/>
      <c r="J458" s="1105"/>
      <c r="K458" s="1105"/>
      <c r="L458" s="1105"/>
      <c r="M458" s="1105"/>
      <c r="N458" s="1105"/>
      <c r="O458" s="1105"/>
      <c r="P458" s="1105"/>
      <c r="Q458" s="1105"/>
      <c r="R458" s="1105"/>
    </row>
    <row r="459" spans="7:18" x14ac:dyDescent="0.2">
      <c r="G459" s="1105"/>
      <c r="H459" s="1105"/>
      <c r="I459" s="1105"/>
      <c r="J459" s="1105"/>
      <c r="K459" s="1105"/>
      <c r="L459" s="1105"/>
      <c r="M459" s="1105"/>
      <c r="N459" s="1105"/>
      <c r="O459" s="1105"/>
      <c r="P459" s="1105"/>
      <c r="Q459" s="1105"/>
      <c r="R459" s="1105"/>
    </row>
    <row r="460" spans="7:18" x14ac:dyDescent="0.2">
      <c r="G460" s="1105"/>
      <c r="H460" s="1105"/>
      <c r="I460" s="1105"/>
      <c r="J460" s="1105"/>
      <c r="K460" s="1105"/>
      <c r="L460" s="1105"/>
      <c r="M460" s="1105"/>
      <c r="N460" s="1105"/>
      <c r="O460" s="1105"/>
      <c r="P460" s="1105"/>
      <c r="Q460" s="1105"/>
      <c r="R460" s="1105"/>
    </row>
    <row r="461" spans="7:18" x14ac:dyDescent="0.2">
      <c r="G461" s="1105"/>
      <c r="H461" s="1105"/>
      <c r="I461" s="1105"/>
      <c r="J461" s="1105"/>
      <c r="K461" s="1105"/>
      <c r="L461" s="1105"/>
      <c r="M461" s="1105"/>
      <c r="N461" s="1105"/>
      <c r="O461" s="1105"/>
      <c r="P461" s="1105"/>
      <c r="Q461" s="1105"/>
      <c r="R461" s="1105"/>
    </row>
    <row r="462" spans="7:18" x14ac:dyDescent="0.2">
      <c r="G462" s="1105"/>
      <c r="H462" s="1105"/>
      <c r="I462" s="1105"/>
      <c r="J462" s="1105"/>
      <c r="K462" s="1105"/>
      <c r="L462" s="1105"/>
      <c r="M462" s="1105"/>
      <c r="N462" s="1105"/>
      <c r="O462" s="1105"/>
      <c r="P462" s="1105"/>
      <c r="Q462" s="1105"/>
      <c r="R462" s="1105"/>
    </row>
    <row r="463" spans="7:18" x14ac:dyDescent="0.2">
      <c r="G463" s="1105"/>
      <c r="H463" s="1105"/>
      <c r="I463" s="1105"/>
      <c r="J463" s="1105"/>
      <c r="K463" s="1105"/>
      <c r="L463" s="1105"/>
      <c r="M463" s="1105"/>
      <c r="N463" s="1105"/>
      <c r="O463" s="1105"/>
      <c r="P463" s="1105"/>
      <c r="Q463" s="1105"/>
      <c r="R463" s="1105"/>
    </row>
    <row r="464" spans="7:18" x14ac:dyDescent="0.2">
      <c r="G464" s="1105"/>
      <c r="H464" s="1105"/>
      <c r="I464" s="1105"/>
      <c r="J464" s="1105"/>
      <c r="K464" s="1105"/>
      <c r="L464" s="1105"/>
      <c r="M464" s="1105"/>
      <c r="N464" s="1105"/>
      <c r="O464" s="1105"/>
      <c r="P464" s="1105"/>
      <c r="Q464" s="1105"/>
      <c r="R464" s="1105"/>
    </row>
    <row r="465" spans="7:18" x14ac:dyDescent="0.2">
      <c r="G465" s="1105"/>
      <c r="H465" s="1105"/>
      <c r="I465" s="1105"/>
      <c r="J465" s="1105"/>
      <c r="K465" s="1105"/>
      <c r="L465" s="1105"/>
      <c r="M465" s="1105"/>
      <c r="N465" s="1105"/>
      <c r="O465" s="1105"/>
      <c r="P465" s="1105"/>
      <c r="Q465" s="1105"/>
      <c r="R465" s="1105"/>
    </row>
    <row r="466" spans="7:18" x14ac:dyDescent="0.2">
      <c r="G466" s="1105"/>
      <c r="H466" s="1105"/>
      <c r="I466" s="1105"/>
      <c r="J466" s="1105"/>
      <c r="K466" s="1105"/>
      <c r="L466" s="1105"/>
      <c r="M466" s="1105"/>
      <c r="N466" s="1105"/>
      <c r="O466" s="1105"/>
      <c r="P466" s="1105"/>
      <c r="Q466" s="1105"/>
      <c r="R466" s="1105"/>
    </row>
    <row r="467" spans="7:18" x14ac:dyDescent="0.2">
      <c r="G467" s="1105"/>
      <c r="H467" s="1105"/>
      <c r="I467" s="1105"/>
      <c r="J467" s="1105"/>
      <c r="K467" s="1105"/>
      <c r="L467" s="1105"/>
      <c r="M467" s="1105"/>
      <c r="N467" s="1105"/>
      <c r="O467" s="1105"/>
      <c r="P467" s="1105"/>
      <c r="Q467" s="1105"/>
      <c r="R467" s="1105"/>
    </row>
    <row r="468" spans="7:18" x14ac:dyDescent="0.2">
      <c r="G468" s="1105"/>
      <c r="H468" s="1105"/>
      <c r="I468" s="1105"/>
      <c r="J468" s="1105"/>
      <c r="K468" s="1105"/>
      <c r="L468" s="1105"/>
      <c r="M468" s="1105"/>
      <c r="N468" s="1105"/>
      <c r="O468" s="1105"/>
      <c r="P468" s="1105"/>
      <c r="Q468" s="1105"/>
      <c r="R468" s="1105"/>
    </row>
    <row r="469" spans="7:18" x14ac:dyDescent="0.2">
      <c r="G469" s="1105"/>
      <c r="H469" s="1105"/>
      <c r="I469" s="1105"/>
      <c r="J469" s="1105"/>
      <c r="K469" s="1105"/>
      <c r="L469" s="1105"/>
      <c r="M469" s="1105"/>
      <c r="N469" s="1105"/>
      <c r="O469" s="1105"/>
      <c r="P469" s="1105"/>
      <c r="Q469" s="1105"/>
      <c r="R469" s="1105"/>
    </row>
    <row r="470" spans="7:18" x14ac:dyDescent="0.2">
      <c r="G470" s="1105"/>
      <c r="H470" s="1105"/>
      <c r="I470" s="1105"/>
      <c r="J470" s="1105"/>
      <c r="K470" s="1105"/>
      <c r="L470" s="1105"/>
      <c r="M470" s="1105"/>
      <c r="N470" s="1105"/>
      <c r="O470" s="1105"/>
      <c r="P470" s="1105"/>
      <c r="Q470" s="1105"/>
      <c r="R470" s="1105"/>
    </row>
    <row r="471" spans="7:18" x14ac:dyDescent="0.2">
      <c r="G471" s="1105"/>
      <c r="H471" s="1105"/>
      <c r="I471" s="1105"/>
      <c r="J471" s="1105"/>
      <c r="K471" s="1105"/>
      <c r="L471" s="1105"/>
      <c r="M471" s="1105"/>
      <c r="N471" s="1105"/>
      <c r="O471" s="1105"/>
      <c r="P471" s="1105"/>
      <c r="Q471" s="1105"/>
      <c r="R471" s="1105"/>
    </row>
    <row r="472" spans="7:18" x14ac:dyDescent="0.2">
      <c r="G472" s="1105"/>
      <c r="H472" s="1105"/>
      <c r="I472" s="1105"/>
      <c r="J472" s="1105"/>
      <c r="K472" s="1105"/>
      <c r="L472" s="1105"/>
      <c r="M472" s="1105"/>
      <c r="N472" s="1105"/>
      <c r="O472" s="1105"/>
      <c r="P472" s="1105"/>
      <c r="Q472" s="1105"/>
      <c r="R472" s="1105"/>
    </row>
    <row r="473" spans="7:18" x14ac:dyDescent="0.2">
      <c r="G473" s="1105"/>
      <c r="H473" s="1105"/>
      <c r="I473" s="1105"/>
      <c r="J473" s="1105"/>
      <c r="K473" s="1105"/>
      <c r="L473" s="1105"/>
      <c r="M473" s="1105"/>
      <c r="N473" s="1105"/>
      <c r="O473" s="1105"/>
      <c r="P473" s="1105"/>
      <c r="Q473" s="1105"/>
      <c r="R473" s="1105"/>
    </row>
    <row r="474" spans="7:18" x14ac:dyDescent="0.2">
      <c r="G474" s="1105"/>
      <c r="H474" s="1105"/>
      <c r="I474" s="1105"/>
      <c r="J474" s="1105"/>
      <c r="K474" s="1105"/>
      <c r="L474" s="1105"/>
      <c r="M474" s="1105"/>
      <c r="N474" s="1105"/>
      <c r="O474" s="1105"/>
      <c r="P474" s="1105"/>
      <c r="Q474" s="1105"/>
      <c r="R474" s="1105"/>
    </row>
    <row r="475" spans="7:18" x14ac:dyDescent="0.2">
      <c r="G475" s="1105"/>
      <c r="H475" s="1105"/>
      <c r="I475" s="1105"/>
      <c r="J475" s="1105"/>
      <c r="K475" s="1105"/>
      <c r="L475" s="1105"/>
      <c r="M475" s="1105"/>
      <c r="N475" s="1105"/>
      <c r="O475" s="1105"/>
      <c r="P475" s="1105"/>
      <c r="Q475" s="1105"/>
      <c r="R475" s="1105"/>
    </row>
    <row r="476" spans="7:18" x14ac:dyDescent="0.2">
      <c r="G476" s="1105"/>
      <c r="H476" s="1105"/>
      <c r="I476" s="1105"/>
      <c r="J476" s="1105"/>
      <c r="K476" s="1105"/>
      <c r="L476" s="1105"/>
      <c r="M476" s="1105"/>
      <c r="N476" s="1105"/>
      <c r="O476" s="1105"/>
      <c r="P476" s="1105"/>
      <c r="Q476" s="1105"/>
      <c r="R476" s="1105"/>
    </row>
    <row r="477" spans="7:18" x14ac:dyDescent="0.2">
      <c r="G477" s="1105"/>
      <c r="H477" s="1105"/>
      <c r="I477" s="1105"/>
      <c r="J477" s="1105"/>
      <c r="K477" s="1105"/>
      <c r="L477" s="1105"/>
      <c r="M477" s="1105"/>
      <c r="N477" s="1105"/>
      <c r="O477" s="1105"/>
      <c r="P477" s="1105"/>
      <c r="Q477" s="1105"/>
      <c r="R477" s="1105"/>
    </row>
    <row r="478" spans="7:18" x14ac:dyDescent="0.2">
      <c r="G478" s="1105"/>
      <c r="H478" s="1105"/>
      <c r="I478" s="1105"/>
      <c r="J478" s="1105"/>
      <c r="K478" s="1105"/>
      <c r="L478" s="1105"/>
      <c r="M478" s="1105"/>
      <c r="N478" s="1105"/>
      <c r="O478" s="1105"/>
      <c r="P478" s="1105"/>
      <c r="Q478" s="1105"/>
      <c r="R478" s="1105"/>
    </row>
    <row r="479" spans="7:18" x14ac:dyDescent="0.2">
      <c r="G479" s="1105"/>
      <c r="H479" s="1105"/>
      <c r="I479" s="1105"/>
      <c r="J479" s="1105"/>
      <c r="K479" s="1105"/>
      <c r="L479" s="1105"/>
      <c r="M479" s="1105"/>
      <c r="N479" s="1105"/>
      <c r="O479" s="1105"/>
      <c r="P479" s="1105"/>
      <c r="Q479" s="1105"/>
      <c r="R479" s="1105"/>
    </row>
    <row r="480" spans="7:18" x14ac:dyDescent="0.2">
      <c r="G480" s="1105"/>
      <c r="H480" s="1105"/>
      <c r="I480" s="1105"/>
      <c r="J480" s="1105"/>
      <c r="K480" s="1105"/>
      <c r="L480" s="1105"/>
      <c r="M480" s="1105"/>
      <c r="N480" s="1105"/>
      <c r="O480" s="1105"/>
      <c r="P480" s="1105"/>
      <c r="Q480" s="1105"/>
      <c r="R480" s="1105"/>
    </row>
    <row r="481" spans="7:18" x14ac:dyDescent="0.2">
      <c r="G481" s="1105"/>
      <c r="H481" s="1105"/>
      <c r="I481" s="1105"/>
      <c r="J481" s="1105"/>
      <c r="K481" s="1105"/>
      <c r="L481" s="1105"/>
      <c r="M481" s="1105"/>
      <c r="N481" s="1105"/>
      <c r="O481" s="1105"/>
      <c r="P481" s="1105"/>
      <c r="Q481" s="1105"/>
      <c r="R481" s="1105"/>
    </row>
    <row r="482" spans="7:18" x14ac:dyDescent="0.2">
      <c r="G482" s="1105"/>
      <c r="H482" s="1105"/>
      <c r="I482" s="1105"/>
      <c r="J482" s="1105"/>
      <c r="K482" s="1105"/>
      <c r="L482" s="1105"/>
      <c r="M482" s="1105"/>
      <c r="N482" s="1105"/>
      <c r="O482" s="1105"/>
      <c r="P482" s="1105"/>
      <c r="Q482" s="1105"/>
      <c r="R482" s="1105"/>
    </row>
    <row r="483" spans="7:18" x14ac:dyDescent="0.2">
      <c r="G483" s="1105"/>
      <c r="H483" s="1105"/>
      <c r="I483" s="1105"/>
      <c r="J483" s="1105"/>
      <c r="K483" s="1105"/>
      <c r="L483" s="1105"/>
      <c r="M483" s="1105"/>
      <c r="N483" s="1105"/>
      <c r="O483" s="1105"/>
      <c r="P483" s="1105"/>
      <c r="Q483" s="1105"/>
      <c r="R483" s="1105"/>
    </row>
    <row r="484" spans="7:18" x14ac:dyDescent="0.2">
      <c r="G484" s="1105"/>
      <c r="H484" s="1105"/>
      <c r="I484" s="1105"/>
      <c r="J484" s="1105"/>
      <c r="K484" s="1105"/>
      <c r="L484" s="1105"/>
      <c r="M484" s="1105"/>
      <c r="N484" s="1105"/>
      <c r="O484" s="1105"/>
      <c r="P484" s="1105"/>
      <c r="Q484" s="1105"/>
      <c r="R484" s="1105"/>
    </row>
    <row r="485" spans="7:18" x14ac:dyDescent="0.2">
      <c r="G485" s="1105"/>
      <c r="H485" s="1105"/>
      <c r="I485" s="1105"/>
      <c r="J485" s="1105"/>
      <c r="K485" s="1105"/>
      <c r="L485" s="1105"/>
      <c r="M485" s="1105"/>
      <c r="N485" s="1105"/>
      <c r="O485" s="1105"/>
      <c r="P485" s="1105"/>
      <c r="Q485" s="1105"/>
      <c r="R485" s="1105"/>
    </row>
    <row r="486" spans="7:18" x14ac:dyDescent="0.2">
      <c r="G486" s="1105"/>
      <c r="H486" s="1105"/>
      <c r="I486" s="1105"/>
      <c r="J486" s="1105"/>
      <c r="K486" s="1105"/>
      <c r="L486" s="1105"/>
      <c r="M486" s="1105"/>
      <c r="N486" s="1105"/>
      <c r="O486" s="1105"/>
      <c r="P486" s="1105"/>
      <c r="Q486" s="1105"/>
      <c r="R486" s="1105"/>
    </row>
    <row r="487" spans="7:18" x14ac:dyDescent="0.2">
      <c r="G487" s="1105"/>
      <c r="H487" s="1105"/>
      <c r="I487" s="1105"/>
      <c r="J487" s="1105"/>
      <c r="K487" s="1105"/>
      <c r="L487" s="1105"/>
      <c r="M487" s="1105"/>
      <c r="N487" s="1105"/>
      <c r="O487" s="1105"/>
      <c r="P487" s="1105"/>
      <c r="Q487" s="1105"/>
      <c r="R487" s="1105"/>
    </row>
    <row r="488" spans="7:18" x14ac:dyDescent="0.2">
      <c r="G488" s="1105"/>
      <c r="H488" s="1105"/>
      <c r="I488" s="1105"/>
      <c r="J488" s="1105"/>
      <c r="K488" s="1105"/>
      <c r="L488" s="1105"/>
      <c r="M488" s="1105"/>
      <c r="N488" s="1105"/>
      <c r="O488" s="1105"/>
      <c r="P488" s="1105"/>
      <c r="Q488" s="1105"/>
      <c r="R488" s="1105"/>
    </row>
    <row r="489" spans="7:18" x14ac:dyDescent="0.2">
      <c r="G489" s="1105"/>
      <c r="H489" s="1105"/>
      <c r="I489" s="1105"/>
      <c r="J489" s="1105"/>
      <c r="K489" s="1105"/>
      <c r="L489" s="1105"/>
      <c r="M489" s="1105"/>
      <c r="N489" s="1105"/>
      <c r="O489" s="1105"/>
      <c r="P489" s="1105"/>
      <c r="Q489" s="1105"/>
      <c r="R489" s="1105"/>
    </row>
    <row r="490" spans="7:18" x14ac:dyDescent="0.2">
      <c r="G490" s="1105"/>
      <c r="H490" s="1105"/>
      <c r="I490" s="1105"/>
      <c r="J490" s="1105"/>
      <c r="K490" s="1105"/>
      <c r="L490" s="1105"/>
      <c r="M490" s="1105"/>
      <c r="N490" s="1105"/>
      <c r="O490" s="1105"/>
      <c r="P490" s="1105"/>
      <c r="Q490" s="1105"/>
      <c r="R490" s="1105"/>
    </row>
    <row r="491" spans="7:18" x14ac:dyDescent="0.2">
      <c r="G491" s="1105"/>
      <c r="H491" s="1105"/>
      <c r="I491" s="1105"/>
      <c r="J491" s="1105"/>
      <c r="K491" s="1105"/>
      <c r="L491" s="1105"/>
      <c r="M491" s="1105"/>
      <c r="N491" s="1105"/>
      <c r="O491" s="1105"/>
      <c r="P491" s="1105"/>
      <c r="Q491" s="1105"/>
      <c r="R491" s="1105"/>
    </row>
    <row r="492" spans="7:18" x14ac:dyDescent="0.2">
      <c r="G492" s="1105"/>
      <c r="H492" s="1105"/>
      <c r="I492" s="1105"/>
      <c r="J492" s="1105"/>
      <c r="K492" s="1105"/>
      <c r="L492" s="1105"/>
      <c r="M492" s="1105"/>
      <c r="N492" s="1105"/>
      <c r="O492" s="1105"/>
      <c r="P492" s="1105"/>
      <c r="Q492" s="1105"/>
      <c r="R492" s="1105"/>
    </row>
    <row r="493" spans="7:18" x14ac:dyDescent="0.2">
      <c r="G493" s="1105"/>
      <c r="H493" s="1105"/>
      <c r="I493" s="1105"/>
      <c r="J493" s="1105"/>
      <c r="K493" s="1105"/>
      <c r="L493" s="1105"/>
      <c r="M493" s="1105"/>
      <c r="N493" s="1105"/>
      <c r="O493" s="1105"/>
      <c r="P493" s="1105"/>
      <c r="Q493" s="1105"/>
      <c r="R493" s="1105"/>
    </row>
    <row r="494" spans="7:18" x14ac:dyDescent="0.2">
      <c r="G494" s="1105"/>
      <c r="H494" s="1105"/>
      <c r="I494" s="1105"/>
      <c r="J494" s="1105"/>
      <c r="K494" s="1105"/>
      <c r="L494" s="1105"/>
      <c r="M494" s="1105"/>
      <c r="N494" s="1105"/>
      <c r="O494" s="1105"/>
      <c r="P494" s="1105"/>
      <c r="Q494" s="1105"/>
      <c r="R494" s="1105"/>
    </row>
    <row r="495" spans="7:18" x14ac:dyDescent="0.2">
      <c r="G495" s="1105"/>
      <c r="H495" s="1105"/>
      <c r="I495" s="1105"/>
      <c r="J495" s="1105"/>
      <c r="K495" s="1105"/>
      <c r="L495" s="1105"/>
      <c r="M495" s="1105"/>
      <c r="N495" s="1105"/>
      <c r="O495" s="1105"/>
      <c r="P495" s="1105"/>
      <c r="Q495" s="1105"/>
      <c r="R495" s="1105"/>
    </row>
    <row r="496" spans="7:18" x14ac:dyDescent="0.2">
      <c r="G496" s="1105"/>
      <c r="H496" s="1105"/>
      <c r="I496" s="1105"/>
      <c r="J496" s="1105"/>
      <c r="K496" s="1105"/>
      <c r="L496" s="1105"/>
      <c r="M496" s="1105"/>
      <c r="N496" s="1105"/>
      <c r="O496" s="1105"/>
      <c r="P496" s="1105"/>
      <c r="Q496" s="1105"/>
      <c r="R496" s="1105"/>
    </row>
    <row r="497" spans="7:18" x14ac:dyDescent="0.2">
      <c r="G497" s="1105"/>
      <c r="H497" s="1105"/>
      <c r="I497" s="1105"/>
      <c r="J497" s="1105"/>
      <c r="K497" s="1105"/>
      <c r="L497" s="1105"/>
      <c r="M497" s="1105"/>
      <c r="N497" s="1105"/>
      <c r="O497" s="1105"/>
      <c r="P497" s="1105"/>
      <c r="Q497" s="1105"/>
      <c r="R497" s="1105"/>
    </row>
    <row r="498" spans="7:18" x14ac:dyDescent="0.2">
      <c r="G498" s="1105"/>
      <c r="H498" s="1105"/>
      <c r="I498" s="1105"/>
      <c r="J498" s="1105"/>
      <c r="K498" s="1105"/>
      <c r="L498" s="1105"/>
      <c r="M498" s="1105"/>
      <c r="N498" s="1105"/>
      <c r="O498" s="1105"/>
      <c r="P498" s="1105"/>
      <c r="Q498" s="1105"/>
      <c r="R498" s="1105"/>
    </row>
    <row r="499" spans="7:18" x14ac:dyDescent="0.2">
      <c r="G499" s="1105"/>
      <c r="H499" s="1105"/>
      <c r="I499" s="1105"/>
      <c r="J499" s="1105"/>
      <c r="K499" s="1105"/>
      <c r="L499" s="1105"/>
      <c r="M499" s="1105"/>
      <c r="N499" s="1105"/>
      <c r="O499" s="1105"/>
      <c r="P499" s="1105"/>
      <c r="Q499" s="1105"/>
      <c r="R499" s="1105"/>
    </row>
    <row r="500" spans="7:18" x14ac:dyDescent="0.2">
      <c r="G500" s="36"/>
      <c r="H500" s="36"/>
      <c r="I500" s="36"/>
      <c r="J500" s="36"/>
      <c r="K500" s="36"/>
      <c r="L500" s="36"/>
      <c r="M500" s="36"/>
      <c r="N500" s="36"/>
      <c r="O500" s="36"/>
      <c r="P500" s="36"/>
      <c r="Q500" s="36"/>
      <c r="R500" s="36"/>
    </row>
    <row r="501" spans="7:18" x14ac:dyDescent="0.2">
      <c r="G501" s="36"/>
      <c r="H501" s="36"/>
      <c r="I501" s="36"/>
      <c r="J501" s="36"/>
      <c r="K501" s="36"/>
      <c r="L501" s="36"/>
      <c r="M501" s="36"/>
      <c r="N501" s="36"/>
      <c r="O501" s="36"/>
      <c r="P501" s="36"/>
      <c r="Q501" s="36"/>
      <c r="R501" s="36"/>
    </row>
    <row r="502" spans="7:18" x14ac:dyDescent="0.2">
      <c r="G502" s="36"/>
      <c r="H502" s="36"/>
      <c r="I502" s="36"/>
      <c r="J502" s="36"/>
      <c r="K502" s="36"/>
      <c r="L502" s="36"/>
      <c r="M502" s="36"/>
      <c r="N502" s="36"/>
      <c r="O502" s="36"/>
      <c r="P502" s="36"/>
      <c r="Q502" s="36"/>
      <c r="R502" s="36"/>
    </row>
    <row r="503" spans="7:18" x14ac:dyDescent="0.2">
      <c r="G503" s="36"/>
      <c r="H503" s="36"/>
      <c r="I503" s="36"/>
      <c r="J503" s="36"/>
      <c r="K503" s="36"/>
      <c r="L503" s="36"/>
      <c r="M503" s="36"/>
      <c r="N503" s="36"/>
      <c r="O503" s="36"/>
      <c r="P503" s="36"/>
      <c r="Q503" s="36"/>
      <c r="R503" s="36"/>
    </row>
    <row r="1115" spans="5:5" x14ac:dyDescent="0.2">
      <c r="E1115" s="614" t="s">
        <v>7245</v>
      </c>
    </row>
  </sheetData>
  <autoFilter ref="A3:DF251"/>
  <mergeCells count="23">
    <mergeCell ref="A1:AP1"/>
    <mergeCell ref="AE2:AH2"/>
    <mergeCell ref="S2:V2"/>
    <mergeCell ref="W2:Z2"/>
    <mergeCell ref="AA2:AD2"/>
    <mergeCell ref="AI2:AL2"/>
    <mergeCell ref="AM2:AP2"/>
    <mergeCell ref="AQ2:AT2"/>
    <mergeCell ref="AU2:AX2"/>
    <mergeCell ref="AU91:AX91"/>
    <mergeCell ref="AQ91:AT91"/>
    <mergeCell ref="CH2:CP2"/>
    <mergeCell ref="BK2:BN2"/>
    <mergeCell ref="BK91:BN91"/>
    <mergeCell ref="BT2:CE2"/>
    <mergeCell ref="AY2:BB2"/>
    <mergeCell ref="BC2:BF2"/>
    <mergeCell ref="BC91:BF91"/>
    <mergeCell ref="AY91:BB91"/>
    <mergeCell ref="BO2:BR2"/>
    <mergeCell ref="BO91:BR91"/>
    <mergeCell ref="BG2:BJ2"/>
    <mergeCell ref="BG91:BJ91"/>
  </mergeCells>
  <phoneticPr fontId="9" type="noConversion"/>
  <printOptions horizontalCentered="1" verticalCentered="1"/>
  <pageMargins left="0.19685039370078741" right="0.19685039370078741" top="0.19685039370078741" bottom="0.19685039370078741" header="0.39370078740157483" footer="0.19685039370078741"/>
  <pageSetup paperSize="8" scale="70" fitToHeight="0" orientation="landscape" r:id="rId1"/>
  <headerFooter alignWithMargins="0"/>
  <rowBreaks count="1" manualBreakCount="1">
    <brk id="89" max="1638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09"/>
  <sheetViews>
    <sheetView topLeftCell="A203" workbookViewId="0">
      <selection activeCell="E405" sqref="E405"/>
    </sheetView>
  </sheetViews>
  <sheetFormatPr defaultRowHeight="12.75" x14ac:dyDescent="0.2"/>
  <cols>
    <col min="1" max="1" width="33.140625" customWidth="1"/>
    <col min="2" max="2" width="19.28515625" style="1" customWidth="1"/>
    <col min="3" max="3" width="19.140625" customWidth="1"/>
    <col min="4" max="4" width="18" customWidth="1"/>
    <col min="5" max="5" width="20.85546875" customWidth="1"/>
    <col min="7" max="7" width="10.140625" bestFit="1" customWidth="1"/>
    <col min="12" max="12" width="11.28515625" customWidth="1"/>
    <col min="14" max="14" width="10.28515625" bestFit="1" customWidth="1"/>
  </cols>
  <sheetData>
    <row r="1" spans="1:5" ht="13.5" thickBot="1" x14ac:dyDescent="0.25">
      <c r="A1" s="2644" t="s">
        <v>6211</v>
      </c>
      <c r="B1" s="2699"/>
      <c r="C1" s="2699"/>
      <c r="D1" s="2699"/>
      <c r="E1" s="558" t="s">
        <v>6218</v>
      </c>
    </row>
    <row r="2" spans="1:5" ht="13.5" thickBot="1" x14ac:dyDescent="0.25">
      <c r="A2" s="198" t="s">
        <v>1526</v>
      </c>
      <c r="B2" s="1375" t="s">
        <v>1696</v>
      </c>
      <c r="C2" s="499" t="s">
        <v>600</v>
      </c>
      <c r="D2" s="499" t="s">
        <v>601</v>
      </c>
    </row>
    <row r="3" spans="1:5" x14ac:dyDescent="0.2">
      <c r="A3" s="198" t="s">
        <v>286</v>
      </c>
      <c r="B3" s="1374"/>
      <c r="C3" s="220"/>
      <c r="D3" s="220"/>
    </row>
    <row r="4" spans="1:5" x14ac:dyDescent="0.2">
      <c r="A4" s="25" t="s">
        <v>287</v>
      </c>
      <c r="B4" s="599" t="s">
        <v>6334</v>
      </c>
      <c r="C4" s="220"/>
      <c r="D4" s="785">
        <v>-200000</v>
      </c>
      <c r="E4" t="s">
        <v>6212</v>
      </c>
    </row>
    <row r="5" spans="1:5" x14ac:dyDescent="0.2">
      <c r="A5" s="764"/>
      <c r="B5" s="765"/>
      <c r="C5" s="766"/>
      <c r="D5" s="766"/>
    </row>
    <row r="6" spans="1:5" x14ac:dyDescent="0.2">
      <c r="A6" s="198" t="s">
        <v>1423</v>
      </c>
      <c r="B6" s="1374"/>
      <c r="C6" s="220"/>
      <c r="D6" s="220"/>
    </row>
    <row r="7" spans="1:5" x14ac:dyDescent="0.2">
      <c r="A7" s="25" t="s">
        <v>5102</v>
      </c>
      <c r="B7" s="599" t="s">
        <v>83</v>
      </c>
      <c r="C7" s="638">
        <v>14000</v>
      </c>
      <c r="D7" s="220"/>
      <c r="E7" t="s">
        <v>6213</v>
      </c>
    </row>
    <row r="8" spans="1:5" x14ac:dyDescent="0.2">
      <c r="A8" s="25"/>
      <c r="B8" s="599" t="s">
        <v>82</v>
      </c>
      <c r="C8" s="638">
        <v>22000</v>
      </c>
      <c r="D8" s="220"/>
      <c r="E8" t="s">
        <v>6213</v>
      </c>
    </row>
    <row r="9" spans="1:5" x14ac:dyDescent="0.2">
      <c r="A9" s="25"/>
      <c r="B9" s="599" t="s">
        <v>84</v>
      </c>
      <c r="C9" s="638">
        <v>6000</v>
      </c>
      <c r="D9" s="220"/>
      <c r="E9" t="s">
        <v>6213</v>
      </c>
    </row>
    <row r="10" spans="1:5" x14ac:dyDescent="0.2">
      <c r="A10" s="25"/>
      <c r="B10" s="599" t="s">
        <v>1274</v>
      </c>
      <c r="C10" s="638">
        <v>4500</v>
      </c>
      <c r="D10" s="220"/>
      <c r="E10" t="s">
        <v>6213</v>
      </c>
    </row>
    <row r="11" spans="1:5" x14ac:dyDescent="0.2">
      <c r="A11" s="25"/>
      <c r="B11" s="599" t="s">
        <v>603</v>
      </c>
      <c r="C11" s="638">
        <v>12500</v>
      </c>
      <c r="D11" s="220"/>
      <c r="E11" t="s">
        <v>6213</v>
      </c>
    </row>
    <row r="12" spans="1:5" x14ac:dyDescent="0.2">
      <c r="A12" s="25"/>
      <c r="B12" s="599" t="s">
        <v>605</v>
      </c>
      <c r="C12" s="638">
        <v>65500</v>
      </c>
      <c r="D12" s="220"/>
      <c r="E12" t="s">
        <v>6213</v>
      </c>
    </row>
    <row r="13" spans="1:5" x14ac:dyDescent="0.2">
      <c r="A13" s="25" t="s">
        <v>3101</v>
      </c>
      <c r="B13" s="599" t="s">
        <v>2645</v>
      </c>
      <c r="C13" s="220"/>
      <c r="D13" s="638">
        <v>-110000</v>
      </c>
      <c r="E13" t="s">
        <v>6215</v>
      </c>
    </row>
    <row r="14" spans="1:5" x14ac:dyDescent="0.2">
      <c r="A14" s="25" t="s">
        <v>919</v>
      </c>
      <c r="B14" s="599" t="s">
        <v>2653</v>
      </c>
      <c r="C14" s="220"/>
      <c r="D14" s="638">
        <v>-130000</v>
      </c>
      <c r="E14" t="s">
        <v>6215</v>
      </c>
    </row>
    <row r="15" spans="1:5" x14ac:dyDescent="0.2">
      <c r="A15" s="25" t="s">
        <v>1654</v>
      </c>
      <c r="B15" s="599" t="s">
        <v>1380</v>
      </c>
      <c r="C15" s="220"/>
      <c r="D15" s="638">
        <v>-196000</v>
      </c>
      <c r="E15" t="s">
        <v>6215</v>
      </c>
    </row>
    <row r="16" spans="1:5" x14ac:dyDescent="0.2">
      <c r="A16" s="77" t="s">
        <v>3949</v>
      </c>
      <c r="B16" s="599" t="s">
        <v>3454</v>
      </c>
      <c r="C16" s="220"/>
      <c r="D16" s="638"/>
      <c r="E16" t="s">
        <v>6215</v>
      </c>
    </row>
    <row r="17" spans="1:14" x14ac:dyDescent="0.2">
      <c r="A17" s="77" t="s">
        <v>5089</v>
      </c>
      <c r="B17" s="599" t="s">
        <v>5123</v>
      </c>
      <c r="C17" s="220"/>
      <c r="D17" s="638"/>
      <c r="E17" t="s">
        <v>6215</v>
      </c>
    </row>
    <row r="18" spans="1:14" x14ac:dyDescent="0.2">
      <c r="A18" s="77" t="s">
        <v>3950</v>
      </c>
      <c r="B18" s="599" t="s">
        <v>3951</v>
      </c>
      <c r="C18" s="220"/>
      <c r="D18" s="638"/>
      <c r="E18" t="s">
        <v>6215</v>
      </c>
    </row>
    <row r="19" spans="1:14" x14ac:dyDescent="0.2">
      <c r="A19" s="634" t="s">
        <v>3102</v>
      </c>
      <c r="B19" s="599" t="s">
        <v>790</v>
      </c>
      <c r="C19" s="220"/>
      <c r="D19" s="638">
        <v>-450000</v>
      </c>
      <c r="E19" t="s">
        <v>6215</v>
      </c>
    </row>
    <row r="20" spans="1:14" x14ac:dyDescent="0.2">
      <c r="A20" s="634" t="s">
        <v>3164</v>
      </c>
      <c r="B20" s="599" t="s">
        <v>3166</v>
      </c>
      <c r="C20" s="220"/>
      <c r="D20" s="638"/>
      <c r="E20" t="s">
        <v>6215</v>
      </c>
    </row>
    <row r="21" spans="1:14" x14ac:dyDescent="0.2">
      <c r="A21" s="634" t="s">
        <v>3165</v>
      </c>
      <c r="B21" s="599" t="s">
        <v>3167</v>
      </c>
      <c r="C21" s="220"/>
      <c r="D21" s="638">
        <v>-60000</v>
      </c>
      <c r="E21" t="s">
        <v>6215</v>
      </c>
    </row>
    <row r="22" spans="1:14" x14ac:dyDescent="0.2">
      <c r="A22" s="1151" t="s">
        <v>6214</v>
      </c>
      <c r="B22" s="599" t="s">
        <v>6251</v>
      </c>
      <c r="C22" s="220"/>
      <c r="D22" s="638">
        <v>-350000</v>
      </c>
      <c r="E22" t="s">
        <v>6215</v>
      </c>
    </row>
    <row r="23" spans="1:14" x14ac:dyDescent="0.2">
      <c r="A23" s="1151" t="s">
        <v>550</v>
      </c>
      <c r="B23" s="599" t="s">
        <v>6339</v>
      </c>
      <c r="C23" s="220"/>
      <c r="D23" s="638">
        <v>-50000</v>
      </c>
      <c r="E23" t="s">
        <v>6215</v>
      </c>
    </row>
    <row r="24" spans="1:14" x14ac:dyDescent="0.2">
      <c r="A24" s="25" t="s">
        <v>198</v>
      </c>
      <c r="B24" s="599" t="s">
        <v>83</v>
      </c>
      <c r="C24" s="638">
        <v>316000</v>
      </c>
      <c r="D24" s="9"/>
      <c r="E24" t="s">
        <v>6216</v>
      </c>
    </row>
    <row r="25" spans="1:14" x14ac:dyDescent="0.2">
      <c r="A25" s="25" t="s">
        <v>550</v>
      </c>
      <c r="B25" s="599" t="s">
        <v>82</v>
      </c>
      <c r="C25" s="638">
        <v>571000</v>
      </c>
      <c r="D25" s="9"/>
      <c r="E25" t="s">
        <v>6216</v>
      </c>
    </row>
    <row r="26" spans="1:14" x14ac:dyDescent="0.2">
      <c r="A26" s="25" t="s">
        <v>1703</v>
      </c>
      <c r="B26" s="599" t="s">
        <v>84</v>
      </c>
      <c r="C26" s="638">
        <v>31000</v>
      </c>
      <c r="D26" s="9"/>
      <c r="E26" t="s">
        <v>6216</v>
      </c>
    </row>
    <row r="27" spans="1:14" x14ac:dyDescent="0.2">
      <c r="A27" s="25" t="s">
        <v>81</v>
      </c>
      <c r="B27" s="599" t="s">
        <v>1274</v>
      </c>
      <c r="C27" s="638">
        <v>82000</v>
      </c>
      <c r="D27" s="9"/>
      <c r="E27" t="s">
        <v>6216</v>
      </c>
    </row>
    <row r="28" spans="1:14" x14ac:dyDescent="0.2">
      <c r="A28" s="25" t="s">
        <v>80</v>
      </c>
      <c r="B28" s="599" t="s">
        <v>603</v>
      </c>
      <c r="C28" s="638">
        <v>326000</v>
      </c>
      <c r="D28" s="9"/>
      <c r="E28" t="s">
        <v>6216</v>
      </c>
    </row>
    <row r="29" spans="1:14" x14ac:dyDescent="0.2">
      <c r="A29" s="25" t="s">
        <v>604</v>
      </c>
      <c r="B29" s="599" t="s">
        <v>605</v>
      </c>
      <c r="C29" s="638">
        <v>1908000</v>
      </c>
      <c r="D29" s="9"/>
      <c r="E29" t="s">
        <v>6216</v>
      </c>
    </row>
    <row r="30" spans="1:14" x14ac:dyDescent="0.2">
      <c r="A30" s="1273"/>
      <c r="B30" s="1370"/>
      <c r="C30" s="1371"/>
      <c r="D30" s="322"/>
      <c r="E30" s="20">
        <f>SUM(C7:D30)</f>
        <v>2012500</v>
      </c>
      <c r="G30" s="1372" t="s">
        <v>6217</v>
      </c>
      <c r="H30" s="1373"/>
      <c r="I30" s="1373"/>
      <c r="J30" s="1373"/>
      <c r="K30" s="1373"/>
      <c r="L30" s="1373"/>
      <c r="M30" s="1373"/>
      <c r="N30" s="1373"/>
    </row>
    <row r="31" spans="1:14" x14ac:dyDescent="0.2">
      <c r="A31" s="25"/>
      <c r="B31" s="599"/>
      <c r="C31" s="659"/>
      <c r="D31" s="9"/>
    </row>
    <row r="32" spans="1:14" x14ac:dyDescent="0.2">
      <c r="A32" s="444" t="s">
        <v>214</v>
      </c>
      <c r="B32" s="599"/>
      <c r="C32" s="220"/>
      <c r="D32" s="220"/>
    </row>
    <row r="33" spans="1:4" x14ac:dyDescent="0.2">
      <c r="A33" s="445" t="s">
        <v>2354</v>
      </c>
      <c r="B33" s="599" t="s">
        <v>1472</v>
      </c>
      <c r="C33" s="284"/>
      <c r="D33" s="500"/>
    </row>
    <row r="34" spans="1:4" x14ac:dyDescent="0.2">
      <c r="A34" s="616" t="s">
        <v>2320</v>
      </c>
      <c r="B34" s="599" t="s">
        <v>3103</v>
      </c>
      <c r="C34" s="500"/>
      <c r="D34" s="220"/>
    </row>
    <row r="35" spans="1:4" x14ac:dyDescent="0.2">
      <c r="A35" s="800" t="s">
        <v>3513</v>
      </c>
      <c r="B35" s="599"/>
      <c r="C35" s="220"/>
      <c r="D35" s="220"/>
    </row>
    <row r="36" spans="1:4" x14ac:dyDescent="0.2">
      <c r="A36" s="616" t="s">
        <v>5900</v>
      </c>
      <c r="B36" s="599" t="s">
        <v>6252</v>
      </c>
      <c r="C36" s="500">
        <v>1000000</v>
      </c>
      <c r="D36" s="220"/>
    </row>
    <row r="37" spans="1:4" x14ac:dyDescent="0.2">
      <c r="A37" s="800"/>
      <c r="B37" s="599" t="s">
        <v>3524</v>
      </c>
      <c r="C37" s="220"/>
      <c r="D37" s="220"/>
    </row>
    <row r="38" spans="1:4" x14ac:dyDescent="0.2">
      <c r="A38" s="444"/>
      <c r="B38" s="599" t="s">
        <v>3514</v>
      </c>
      <c r="C38" s="220"/>
      <c r="D38" s="500"/>
    </row>
    <row r="39" spans="1:4" x14ac:dyDescent="0.2">
      <c r="A39" s="800" t="s">
        <v>2869</v>
      </c>
      <c r="B39" s="599"/>
      <c r="C39" s="97"/>
      <c r="D39" s="97"/>
    </row>
    <row r="40" spans="1:4" x14ac:dyDescent="0.2">
      <c r="A40" s="616" t="s">
        <v>3217</v>
      </c>
      <c r="B40" s="599" t="s">
        <v>3218</v>
      </c>
      <c r="C40" s="97"/>
      <c r="D40" s="500"/>
    </row>
    <row r="41" spans="1:4" x14ac:dyDescent="0.2">
      <c r="A41" s="616" t="s">
        <v>4078</v>
      </c>
      <c r="B41" s="599" t="s">
        <v>5128</v>
      </c>
      <c r="C41" s="500">
        <v>10000</v>
      </c>
      <c r="D41" s="97"/>
    </row>
    <row r="42" spans="1:4" x14ac:dyDescent="0.2">
      <c r="A42" s="616"/>
      <c r="B42" s="599"/>
      <c r="C42" s="97"/>
      <c r="D42" s="500"/>
    </row>
    <row r="43" spans="1:4" x14ac:dyDescent="0.2">
      <c r="A43" s="444" t="s">
        <v>1903</v>
      </c>
      <c r="B43" s="599"/>
      <c r="C43" s="97"/>
      <c r="D43" s="97"/>
    </row>
    <row r="44" spans="1:4" x14ac:dyDescent="0.2">
      <c r="A44" s="445" t="s">
        <v>1781</v>
      </c>
      <c r="B44" s="599" t="s">
        <v>1813</v>
      </c>
      <c r="C44" s="97"/>
      <c r="D44" s="500"/>
    </row>
    <row r="45" spans="1:4" x14ac:dyDescent="0.2">
      <c r="A45" s="616" t="s">
        <v>3104</v>
      </c>
      <c r="B45" s="599" t="s">
        <v>3107</v>
      </c>
      <c r="C45" s="97"/>
      <c r="D45" s="500"/>
    </row>
    <row r="46" spans="1:4" x14ac:dyDescent="0.2">
      <c r="A46" s="616" t="s">
        <v>3105</v>
      </c>
      <c r="B46" s="599" t="s">
        <v>3108</v>
      </c>
      <c r="C46" s="97"/>
      <c r="D46" s="500"/>
    </row>
    <row r="47" spans="1:4" x14ac:dyDescent="0.2">
      <c r="A47" s="616" t="s">
        <v>3106</v>
      </c>
      <c r="B47" s="599" t="s">
        <v>1814</v>
      </c>
      <c r="C47" s="97"/>
      <c r="D47" s="500"/>
    </row>
    <row r="48" spans="1:4" x14ac:dyDescent="0.2">
      <c r="A48" s="616"/>
      <c r="B48" s="599"/>
      <c r="C48" s="97"/>
      <c r="D48" s="500"/>
    </row>
    <row r="49" spans="1:4" x14ac:dyDescent="0.2">
      <c r="A49" s="800" t="s">
        <v>384</v>
      </c>
      <c r="B49" s="599"/>
      <c r="C49" s="97"/>
      <c r="D49" s="500"/>
    </row>
    <row r="50" spans="1:4" x14ac:dyDescent="0.2">
      <c r="A50" s="616" t="s">
        <v>5494</v>
      </c>
      <c r="B50" s="599" t="s">
        <v>6219</v>
      </c>
      <c r="C50" s="500">
        <v>685000</v>
      </c>
      <c r="D50" s="500"/>
    </row>
    <row r="51" spans="1:4" x14ac:dyDescent="0.2">
      <c r="A51" s="616"/>
      <c r="B51" s="599"/>
      <c r="C51" s="97"/>
      <c r="D51" s="500"/>
    </row>
    <row r="52" spans="1:4" x14ac:dyDescent="0.2">
      <c r="A52" s="800" t="s">
        <v>1560</v>
      </c>
      <c r="B52" s="599"/>
      <c r="C52" s="97"/>
      <c r="D52" s="97"/>
    </row>
    <row r="53" spans="1:4" x14ac:dyDescent="0.2">
      <c r="A53" s="616" t="s">
        <v>3233</v>
      </c>
      <c r="B53" s="599" t="s">
        <v>3232</v>
      </c>
      <c r="C53" s="97"/>
      <c r="D53" s="500"/>
    </row>
    <row r="54" spans="1:4" x14ac:dyDescent="0.2">
      <c r="A54" s="616"/>
      <c r="B54" s="599"/>
      <c r="C54" s="97"/>
      <c r="D54" s="500"/>
    </row>
    <row r="55" spans="1:4" x14ac:dyDescent="0.2">
      <c r="A55" s="444" t="s">
        <v>771</v>
      </c>
      <c r="B55" s="599"/>
      <c r="C55" s="220"/>
      <c r="D55" s="97"/>
    </row>
    <row r="56" spans="1:4" x14ac:dyDescent="0.2">
      <c r="A56" s="445" t="s">
        <v>602</v>
      </c>
      <c r="B56" s="599" t="s">
        <v>2408</v>
      </c>
      <c r="C56" s="500">
        <v>90000</v>
      </c>
      <c r="D56" s="97"/>
    </row>
    <row r="57" spans="1:4" x14ac:dyDescent="0.2">
      <c r="A57" s="445" t="s">
        <v>2011</v>
      </c>
      <c r="B57" s="599" t="s">
        <v>1807</v>
      </c>
      <c r="C57" s="220"/>
      <c r="D57" s="500">
        <v>-230000</v>
      </c>
    </row>
    <row r="58" spans="1:4" x14ac:dyDescent="0.2">
      <c r="A58" s="445" t="s">
        <v>1115</v>
      </c>
      <c r="B58" s="599" t="s">
        <v>1808</v>
      </c>
      <c r="C58" s="220"/>
      <c r="D58" s="500"/>
    </row>
    <row r="59" spans="1:4" x14ac:dyDescent="0.2">
      <c r="A59" s="445" t="s">
        <v>515</v>
      </c>
      <c r="B59" s="599" t="s">
        <v>1809</v>
      </c>
      <c r="C59" s="220"/>
      <c r="D59" s="500"/>
    </row>
    <row r="60" spans="1:4" x14ac:dyDescent="0.2">
      <c r="A60" s="444" t="s">
        <v>87</v>
      </c>
      <c r="B60" s="599"/>
      <c r="C60" s="97"/>
      <c r="D60" s="97"/>
    </row>
    <row r="61" spans="1:4" x14ac:dyDescent="0.2">
      <c r="A61" s="445" t="s">
        <v>2858</v>
      </c>
      <c r="B61" s="599" t="s">
        <v>1810</v>
      </c>
      <c r="C61" s="97"/>
      <c r="D61" s="500"/>
    </row>
    <row r="62" spans="1:4" x14ac:dyDescent="0.2">
      <c r="A62" s="445" t="s">
        <v>2859</v>
      </c>
      <c r="B62" s="599" t="s">
        <v>1947</v>
      </c>
      <c r="C62" s="97"/>
      <c r="D62" s="500"/>
    </row>
    <row r="63" spans="1:4" x14ac:dyDescent="0.2">
      <c r="A63" s="445" t="s">
        <v>2859</v>
      </c>
      <c r="B63" s="599" t="s">
        <v>1811</v>
      </c>
      <c r="C63" s="500"/>
      <c r="D63" s="97"/>
    </row>
    <row r="64" spans="1:4" x14ac:dyDescent="0.2">
      <c r="A64" s="444" t="s">
        <v>2273</v>
      </c>
      <c r="B64" s="599"/>
      <c r="C64" s="97"/>
      <c r="D64" s="97"/>
    </row>
    <row r="65" spans="1:4" x14ac:dyDescent="0.2">
      <c r="A65" s="616" t="s">
        <v>1948</v>
      </c>
      <c r="B65" s="599" t="s">
        <v>1949</v>
      </c>
      <c r="C65" s="97"/>
      <c r="D65" s="500"/>
    </row>
    <row r="66" spans="1:4" x14ac:dyDescent="0.2">
      <c r="A66" s="616" t="s">
        <v>5972</v>
      </c>
      <c r="B66" s="599" t="s">
        <v>6254</v>
      </c>
      <c r="C66" s="500">
        <v>73000</v>
      </c>
      <c r="D66" s="97"/>
    </row>
    <row r="67" spans="1:4" x14ac:dyDescent="0.2">
      <c r="A67" s="444" t="s">
        <v>357</v>
      </c>
      <c r="B67" s="599"/>
      <c r="C67" s="97"/>
      <c r="D67" s="97"/>
    </row>
    <row r="68" spans="1:4" x14ac:dyDescent="0.2">
      <c r="A68" s="445" t="s">
        <v>1565</v>
      </c>
      <c r="B68" s="599" t="s">
        <v>1566</v>
      </c>
      <c r="C68" s="97"/>
      <c r="D68" s="500"/>
    </row>
    <row r="69" spans="1:4" x14ac:dyDescent="0.2">
      <c r="A69" s="445" t="s">
        <v>650</v>
      </c>
      <c r="B69" s="599" t="s">
        <v>1812</v>
      </c>
      <c r="C69" s="500"/>
      <c r="D69" s="97"/>
    </row>
    <row r="70" spans="1:4" x14ac:dyDescent="0.2">
      <c r="A70" s="444" t="s">
        <v>524</v>
      </c>
      <c r="B70" s="599"/>
      <c r="C70" s="97"/>
      <c r="D70" s="97"/>
    </row>
    <row r="71" spans="1:4" x14ac:dyDescent="0.2">
      <c r="A71" s="616" t="s">
        <v>5090</v>
      </c>
      <c r="B71" s="599" t="s">
        <v>5124</v>
      </c>
      <c r="C71" s="500"/>
      <c r="D71" s="97"/>
    </row>
    <row r="72" spans="1:4" x14ac:dyDescent="0.2">
      <c r="A72" s="445" t="s">
        <v>560</v>
      </c>
      <c r="B72" s="599" t="s">
        <v>561</v>
      </c>
      <c r="C72" s="97"/>
      <c r="D72" s="500">
        <v>-56600</v>
      </c>
    </row>
    <row r="73" spans="1:4" x14ac:dyDescent="0.2">
      <c r="A73" s="445" t="s">
        <v>1139</v>
      </c>
      <c r="B73" s="599" t="s">
        <v>1140</v>
      </c>
      <c r="C73" s="97"/>
      <c r="D73" s="500">
        <v>-4600</v>
      </c>
    </row>
    <row r="74" spans="1:4" x14ac:dyDescent="0.2">
      <c r="A74" s="445" t="s">
        <v>2493</v>
      </c>
      <c r="B74" s="599" t="s">
        <v>2494</v>
      </c>
      <c r="C74" s="97"/>
      <c r="D74" s="500">
        <v>-20600</v>
      </c>
    </row>
    <row r="75" spans="1:4" x14ac:dyDescent="0.2">
      <c r="A75" s="616" t="s">
        <v>5091</v>
      </c>
      <c r="B75" s="599" t="s">
        <v>5125</v>
      </c>
      <c r="C75" s="97"/>
      <c r="D75" s="500"/>
    </row>
    <row r="76" spans="1:4" x14ac:dyDescent="0.2">
      <c r="A76" s="616" t="s">
        <v>3952</v>
      </c>
      <c r="B76" s="599" t="s">
        <v>3953</v>
      </c>
      <c r="C76" s="97"/>
      <c r="D76" s="500"/>
    </row>
    <row r="77" spans="1:4" x14ac:dyDescent="0.2">
      <c r="A77" s="616" t="s">
        <v>3112</v>
      </c>
      <c r="B77" s="599" t="s">
        <v>3113</v>
      </c>
      <c r="C77" s="97"/>
      <c r="D77" s="500"/>
    </row>
    <row r="78" spans="1:4" x14ac:dyDescent="0.2">
      <c r="A78" s="616" t="s">
        <v>3954</v>
      </c>
      <c r="B78" s="599" t="s">
        <v>3958</v>
      </c>
      <c r="C78" s="97"/>
      <c r="D78" s="500"/>
    </row>
    <row r="79" spans="1:4" x14ac:dyDescent="0.2">
      <c r="A79" s="616" t="s">
        <v>5092</v>
      </c>
      <c r="B79" s="599" t="s">
        <v>5126</v>
      </c>
      <c r="C79" s="97"/>
      <c r="D79" s="500">
        <v>-490000</v>
      </c>
    </row>
    <row r="80" spans="1:4" x14ac:dyDescent="0.2">
      <c r="A80" s="616" t="s">
        <v>3955</v>
      </c>
      <c r="B80" s="599" t="s">
        <v>3959</v>
      </c>
      <c r="C80" s="97"/>
      <c r="D80" s="500"/>
    </row>
    <row r="81" spans="1:4" x14ac:dyDescent="0.2">
      <c r="A81" s="616" t="s">
        <v>6220</v>
      </c>
      <c r="B81" s="599" t="s">
        <v>6255</v>
      </c>
      <c r="C81" s="97"/>
      <c r="D81" s="500">
        <v>-45000</v>
      </c>
    </row>
    <row r="82" spans="1:4" x14ac:dyDescent="0.2">
      <c r="A82" s="616" t="s">
        <v>6221</v>
      </c>
      <c r="B82" s="599" t="s">
        <v>6256</v>
      </c>
      <c r="C82" s="97"/>
      <c r="D82" s="500">
        <v>-30100</v>
      </c>
    </row>
    <row r="83" spans="1:4" x14ac:dyDescent="0.2">
      <c r="A83" s="616" t="s">
        <v>6222</v>
      </c>
      <c r="B83" s="599" t="s">
        <v>6257</v>
      </c>
      <c r="C83" s="97"/>
      <c r="D83" s="500">
        <v>-75000</v>
      </c>
    </row>
    <row r="84" spans="1:4" x14ac:dyDescent="0.2">
      <c r="A84" s="616" t="s">
        <v>6223</v>
      </c>
      <c r="B84" s="599" t="s">
        <v>6258</v>
      </c>
      <c r="C84" s="97"/>
      <c r="D84" s="500">
        <v>-150000</v>
      </c>
    </row>
    <row r="85" spans="1:4" x14ac:dyDescent="0.2">
      <c r="A85" s="616" t="s">
        <v>6224</v>
      </c>
      <c r="B85" s="599" t="s">
        <v>6259</v>
      </c>
      <c r="C85" s="97"/>
      <c r="D85" s="500">
        <v>-140000</v>
      </c>
    </row>
    <row r="86" spans="1:4" x14ac:dyDescent="0.2">
      <c r="A86" s="616" t="s">
        <v>3956</v>
      </c>
      <c r="B86" s="599" t="s">
        <v>3960</v>
      </c>
      <c r="C86" s="97"/>
      <c r="D86" s="500"/>
    </row>
    <row r="87" spans="1:4" x14ac:dyDescent="0.2">
      <c r="A87" s="616" t="s">
        <v>3957</v>
      </c>
      <c r="B87" s="599" t="s">
        <v>6225</v>
      </c>
      <c r="C87" s="97"/>
      <c r="D87" s="500">
        <v>-29600</v>
      </c>
    </row>
    <row r="88" spans="1:4" x14ac:dyDescent="0.2">
      <c r="A88" s="445" t="s">
        <v>2521</v>
      </c>
      <c r="B88" s="599" t="s">
        <v>322</v>
      </c>
      <c r="C88" s="97"/>
      <c r="D88" s="500">
        <v>-373000</v>
      </c>
    </row>
    <row r="89" spans="1:4" x14ac:dyDescent="0.2">
      <c r="A89" s="445" t="s">
        <v>1407</v>
      </c>
      <c r="B89" s="599" t="s">
        <v>1488</v>
      </c>
      <c r="C89" s="500">
        <v>16000</v>
      </c>
      <c r="D89" s="97"/>
    </row>
    <row r="90" spans="1:4" x14ac:dyDescent="0.2">
      <c r="A90" s="445" t="s">
        <v>1408</v>
      </c>
      <c r="B90" s="599" t="s">
        <v>225</v>
      </c>
      <c r="C90" s="500">
        <v>702500</v>
      </c>
      <c r="D90" s="97"/>
    </row>
    <row r="91" spans="1:4" x14ac:dyDescent="0.2">
      <c r="A91" s="445" t="s">
        <v>2306</v>
      </c>
      <c r="B91" s="599" t="s">
        <v>190</v>
      </c>
      <c r="C91" s="500">
        <v>125400</v>
      </c>
      <c r="D91" s="97"/>
    </row>
    <row r="92" spans="1:4" x14ac:dyDescent="0.2">
      <c r="A92" s="445" t="s">
        <v>672</v>
      </c>
      <c r="B92" s="599" t="s">
        <v>226</v>
      </c>
      <c r="C92" s="500">
        <v>65800</v>
      </c>
      <c r="D92" s="97"/>
    </row>
    <row r="93" spans="1:4" x14ac:dyDescent="0.2">
      <c r="A93" s="616" t="s">
        <v>3109</v>
      </c>
      <c r="B93" s="599" t="s">
        <v>3961</v>
      </c>
      <c r="C93" s="500"/>
      <c r="D93" s="97"/>
    </row>
    <row r="94" spans="1:4" x14ac:dyDescent="0.2">
      <c r="A94" s="445" t="s">
        <v>673</v>
      </c>
      <c r="B94" s="599" t="s">
        <v>674</v>
      </c>
      <c r="C94" s="500">
        <v>450000</v>
      </c>
      <c r="D94" s="97"/>
    </row>
    <row r="95" spans="1:4" x14ac:dyDescent="0.2">
      <c r="A95" s="616" t="s">
        <v>3110</v>
      </c>
      <c r="B95" s="599" t="s">
        <v>3111</v>
      </c>
      <c r="C95" s="500"/>
      <c r="D95" s="97"/>
    </row>
    <row r="96" spans="1:4" x14ac:dyDescent="0.2">
      <c r="A96" s="616" t="s">
        <v>5093</v>
      </c>
      <c r="B96" s="599" t="s">
        <v>5127</v>
      </c>
      <c r="C96" s="500">
        <v>147000</v>
      </c>
      <c r="D96" s="97"/>
    </row>
    <row r="97" spans="1:4" x14ac:dyDescent="0.2">
      <c r="A97" s="616" t="s">
        <v>6227</v>
      </c>
      <c r="B97" s="599" t="s">
        <v>6261</v>
      </c>
      <c r="C97" s="500">
        <v>2500000</v>
      </c>
      <c r="D97" s="97"/>
    </row>
    <row r="98" spans="1:4" x14ac:dyDescent="0.2">
      <c r="A98" s="616" t="s">
        <v>5094</v>
      </c>
      <c r="B98" s="599" t="s">
        <v>5210</v>
      </c>
      <c r="C98" s="97"/>
      <c r="D98" s="500"/>
    </row>
    <row r="99" spans="1:4" x14ac:dyDescent="0.2">
      <c r="A99" s="616" t="s">
        <v>3962</v>
      </c>
      <c r="B99" s="599" t="s">
        <v>3963</v>
      </c>
      <c r="C99" s="9"/>
      <c r="D99" s="500"/>
    </row>
    <row r="100" spans="1:4" x14ac:dyDescent="0.2">
      <c r="A100" s="616" t="s">
        <v>3966</v>
      </c>
      <c r="B100" s="599" t="s">
        <v>1124</v>
      </c>
      <c r="C100" s="9"/>
      <c r="D100" s="500"/>
    </row>
    <row r="101" spans="1:4" x14ac:dyDescent="0.2">
      <c r="A101" s="616" t="s">
        <v>3505</v>
      </c>
      <c r="B101" s="599" t="s">
        <v>3224</v>
      </c>
      <c r="C101" s="34"/>
      <c r="D101" s="500"/>
    </row>
    <row r="102" spans="1:4" x14ac:dyDescent="0.2">
      <c r="A102" s="616" t="s">
        <v>3506</v>
      </c>
      <c r="B102" s="599" t="s">
        <v>3227</v>
      </c>
      <c r="C102" s="34"/>
      <c r="D102" s="500"/>
    </row>
    <row r="103" spans="1:4" x14ac:dyDescent="0.2">
      <c r="A103" s="616" t="s">
        <v>3507</v>
      </c>
      <c r="B103" s="599" t="s">
        <v>2497</v>
      </c>
      <c r="C103" s="97"/>
      <c r="D103" s="500">
        <v>-4600</v>
      </c>
    </row>
    <row r="104" spans="1:4" x14ac:dyDescent="0.2">
      <c r="A104" s="616" t="s">
        <v>3509</v>
      </c>
      <c r="B104" s="599" t="s">
        <v>1815</v>
      </c>
      <c r="C104" s="97"/>
      <c r="D104" s="500">
        <v>-2432000</v>
      </c>
    </row>
    <row r="105" spans="1:4" x14ac:dyDescent="0.2">
      <c r="A105" s="616" t="s">
        <v>3964</v>
      </c>
      <c r="B105" s="599" t="s">
        <v>1816</v>
      </c>
      <c r="C105" s="97"/>
      <c r="D105" s="500">
        <v>-207300</v>
      </c>
    </row>
    <row r="106" spans="1:4" x14ac:dyDescent="0.2">
      <c r="A106" s="616" t="s">
        <v>3965</v>
      </c>
      <c r="B106" s="599" t="s">
        <v>2002</v>
      </c>
      <c r="C106" s="97"/>
      <c r="D106" s="500">
        <v>-158600</v>
      </c>
    </row>
    <row r="107" spans="1:4" x14ac:dyDescent="0.2">
      <c r="A107" s="616" t="s">
        <v>3510</v>
      </c>
      <c r="B107" s="599" t="s">
        <v>3504</v>
      </c>
      <c r="C107" s="97"/>
      <c r="D107" s="500">
        <v>-378900</v>
      </c>
    </row>
    <row r="108" spans="1:4" x14ac:dyDescent="0.2">
      <c r="A108" s="616" t="s">
        <v>6226</v>
      </c>
      <c r="B108" s="599" t="s">
        <v>6260</v>
      </c>
      <c r="C108" s="97"/>
      <c r="D108" s="500">
        <v>-1020000</v>
      </c>
    </row>
    <row r="109" spans="1:4" x14ac:dyDescent="0.2">
      <c r="A109" s="616" t="s">
        <v>3508</v>
      </c>
      <c r="B109" s="599" t="s">
        <v>227</v>
      </c>
      <c r="C109" s="500">
        <v>75000</v>
      </c>
      <c r="D109" s="97"/>
    </row>
    <row r="110" spans="1:4" x14ac:dyDescent="0.2">
      <c r="A110" s="616" t="s">
        <v>3967</v>
      </c>
      <c r="B110" s="599" t="s">
        <v>3968</v>
      </c>
      <c r="C110" s="500">
        <v>1800000</v>
      </c>
      <c r="D110" s="97"/>
    </row>
    <row r="111" spans="1:4" x14ac:dyDescent="0.2">
      <c r="A111" s="616" t="s">
        <v>3969</v>
      </c>
      <c r="B111" s="599" t="s">
        <v>3970</v>
      </c>
      <c r="C111" s="500"/>
      <c r="D111" s="97"/>
    </row>
    <row r="112" spans="1:4" x14ac:dyDescent="0.2">
      <c r="A112" s="616" t="s">
        <v>3511</v>
      </c>
      <c r="B112" s="599" t="s">
        <v>2495</v>
      </c>
      <c r="C112" s="500">
        <v>725000</v>
      </c>
      <c r="D112" s="97"/>
    </row>
    <row r="113" spans="1:4" x14ac:dyDescent="0.2">
      <c r="A113" s="616" t="s">
        <v>3512</v>
      </c>
      <c r="B113" s="599" t="s">
        <v>2496</v>
      </c>
      <c r="C113" s="500">
        <v>125400</v>
      </c>
      <c r="D113" s="97"/>
    </row>
    <row r="114" spans="1:4" x14ac:dyDescent="0.2">
      <c r="A114" s="699" t="s">
        <v>3142</v>
      </c>
      <c r="B114" s="599" t="s">
        <v>3172</v>
      </c>
      <c r="C114" s="97"/>
      <c r="D114" s="500">
        <v>-1475000</v>
      </c>
    </row>
    <row r="115" spans="1:4" x14ac:dyDescent="0.2">
      <c r="A115" s="699" t="s">
        <v>3143</v>
      </c>
      <c r="B115" s="599" t="s">
        <v>3171</v>
      </c>
      <c r="C115" s="97"/>
      <c r="D115" s="500"/>
    </row>
    <row r="116" spans="1:4" x14ac:dyDescent="0.2">
      <c r="A116" s="699" t="s">
        <v>3142</v>
      </c>
      <c r="B116" s="599" t="s">
        <v>3170</v>
      </c>
      <c r="C116" s="500">
        <v>500000</v>
      </c>
      <c r="D116" s="97"/>
    </row>
    <row r="117" spans="1:4" x14ac:dyDescent="0.2">
      <c r="A117" s="699" t="s">
        <v>3143</v>
      </c>
      <c r="B117" s="599" t="s">
        <v>3169</v>
      </c>
      <c r="C117" s="500"/>
      <c r="D117" s="97"/>
    </row>
    <row r="118" spans="1:4" x14ac:dyDescent="0.2">
      <c r="A118" s="445" t="s">
        <v>1120</v>
      </c>
      <c r="B118" s="599" t="s">
        <v>1121</v>
      </c>
      <c r="C118" s="97"/>
      <c r="D118" s="500">
        <v>-69200</v>
      </c>
    </row>
    <row r="119" spans="1:4" x14ac:dyDescent="0.2">
      <c r="A119" s="445" t="s">
        <v>1119</v>
      </c>
      <c r="B119" s="599" t="s">
        <v>1122</v>
      </c>
      <c r="C119" s="500">
        <v>62000</v>
      </c>
      <c r="D119" s="97"/>
    </row>
    <row r="120" spans="1:4" x14ac:dyDescent="0.2">
      <c r="A120" s="445" t="s">
        <v>1567</v>
      </c>
      <c r="B120" s="599" t="s">
        <v>1124</v>
      </c>
      <c r="C120" s="97"/>
      <c r="D120" s="500"/>
    </row>
    <row r="121" spans="1:4" x14ac:dyDescent="0.2">
      <c r="A121" s="445" t="s">
        <v>2799</v>
      </c>
      <c r="B121" s="599" t="s">
        <v>1123</v>
      </c>
      <c r="C121" s="500">
        <v>45000</v>
      </c>
      <c r="D121" s="97"/>
    </row>
    <row r="122" spans="1:4" x14ac:dyDescent="0.2">
      <c r="A122" s="444" t="s">
        <v>1078</v>
      </c>
      <c r="B122" s="599"/>
      <c r="C122" s="97"/>
      <c r="D122" s="97"/>
    </row>
    <row r="123" spans="1:4" x14ac:dyDescent="0.2">
      <c r="A123" s="445" t="s">
        <v>547</v>
      </c>
      <c r="B123" s="599" t="s">
        <v>2</v>
      </c>
      <c r="C123" s="97"/>
      <c r="D123" s="467">
        <v>-10000</v>
      </c>
    </row>
    <row r="124" spans="1:4" x14ac:dyDescent="0.2">
      <c r="A124" s="445" t="s">
        <v>546</v>
      </c>
      <c r="B124" s="599" t="s">
        <v>165</v>
      </c>
      <c r="C124" s="500">
        <v>148600</v>
      </c>
      <c r="D124" s="9"/>
    </row>
    <row r="125" spans="1:4" x14ac:dyDescent="0.2">
      <c r="A125" s="444" t="s">
        <v>1393</v>
      </c>
      <c r="B125" s="599"/>
      <c r="C125" s="97"/>
      <c r="D125" s="97"/>
    </row>
    <row r="126" spans="1:4" x14ac:dyDescent="0.2">
      <c r="A126" s="445" t="s">
        <v>1288</v>
      </c>
      <c r="B126" s="599" t="s">
        <v>905</v>
      </c>
      <c r="C126" s="97"/>
      <c r="D126" s="500">
        <v>-78000</v>
      </c>
    </row>
    <row r="127" spans="1:4" x14ac:dyDescent="0.2">
      <c r="A127" s="445" t="s">
        <v>2543</v>
      </c>
      <c r="B127" s="599" t="s">
        <v>906</v>
      </c>
      <c r="C127" s="500">
        <v>374200</v>
      </c>
      <c r="D127" s="97"/>
    </row>
    <row r="128" spans="1:4" x14ac:dyDescent="0.2">
      <c r="A128" s="444" t="s">
        <v>1727</v>
      </c>
      <c r="B128" s="599"/>
      <c r="C128" s="97"/>
      <c r="D128" s="97"/>
    </row>
    <row r="129" spans="1:4" x14ac:dyDescent="0.2">
      <c r="A129" s="445" t="s">
        <v>1987</v>
      </c>
      <c r="B129" s="599" t="s">
        <v>3216</v>
      </c>
      <c r="C129" s="97"/>
      <c r="D129" s="500"/>
    </row>
    <row r="130" spans="1:4" x14ac:dyDescent="0.2">
      <c r="A130" s="445" t="s">
        <v>1986</v>
      </c>
      <c r="B130" s="599" t="s">
        <v>1988</v>
      </c>
      <c r="C130" s="500"/>
      <c r="D130" s="97"/>
    </row>
    <row r="131" spans="1:4" x14ac:dyDescent="0.2">
      <c r="A131" s="444" t="s">
        <v>5095</v>
      </c>
      <c r="B131" s="599"/>
      <c r="C131" s="97"/>
      <c r="D131" s="97"/>
    </row>
    <row r="132" spans="1:4" x14ac:dyDescent="0.2">
      <c r="A132" s="616" t="s">
        <v>5096</v>
      </c>
      <c r="B132" s="599" t="s">
        <v>5129</v>
      </c>
      <c r="C132" s="97"/>
      <c r="D132" s="500">
        <v>-4700</v>
      </c>
    </row>
    <row r="133" spans="1:4" x14ac:dyDescent="0.2">
      <c r="A133" s="616" t="s">
        <v>5495</v>
      </c>
      <c r="B133" s="599" t="s">
        <v>6267</v>
      </c>
      <c r="C133" s="97"/>
      <c r="D133" s="500">
        <v>-77000</v>
      </c>
    </row>
    <row r="134" spans="1:4" x14ac:dyDescent="0.2">
      <c r="A134" s="616" t="s">
        <v>4926</v>
      </c>
      <c r="B134" s="599" t="s">
        <v>5130</v>
      </c>
      <c r="C134" s="97"/>
      <c r="D134" s="500"/>
    </row>
    <row r="135" spans="1:4" x14ac:dyDescent="0.2">
      <c r="A135" s="800" t="s">
        <v>3285</v>
      </c>
      <c r="B135" s="599"/>
      <c r="C135" s="97"/>
      <c r="D135" s="97"/>
    </row>
    <row r="136" spans="1:4" x14ac:dyDescent="0.2">
      <c r="A136" s="616" t="s">
        <v>6228</v>
      </c>
      <c r="B136" s="599" t="s">
        <v>6229</v>
      </c>
      <c r="C136" s="97"/>
      <c r="D136" s="500">
        <v>-499000</v>
      </c>
    </row>
    <row r="137" spans="1:4" x14ac:dyDescent="0.2">
      <c r="A137" s="445" t="s">
        <v>1699</v>
      </c>
      <c r="B137" s="599" t="s">
        <v>154</v>
      </c>
      <c r="C137" s="97"/>
      <c r="D137" s="500"/>
    </row>
    <row r="138" spans="1:4" x14ac:dyDescent="0.2">
      <c r="A138" s="616" t="s">
        <v>3079</v>
      </c>
      <c r="B138" s="599" t="s">
        <v>3284</v>
      </c>
      <c r="C138" s="97"/>
      <c r="D138" s="500"/>
    </row>
    <row r="139" spans="1:4" x14ac:dyDescent="0.2">
      <c r="A139" s="616" t="s">
        <v>4058</v>
      </c>
      <c r="B139" s="599" t="s">
        <v>4059</v>
      </c>
      <c r="C139" s="500"/>
      <c r="D139" s="97"/>
    </row>
    <row r="140" spans="1:4" x14ac:dyDescent="0.2">
      <c r="A140" s="800" t="s">
        <v>557</v>
      </c>
      <c r="B140" s="599"/>
      <c r="C140" s="97"/>
      <c r="D140" s="97"/>
    </row>
    <row r="141" spans="1:4" x14ac:dyDescent="0.2">
      <c r="A141" s="616" t="s">
        <v>4825</v>
      </c>
      <c r="B141" s="599" t="s">
        <v>6262</v>
      </c>
      <c r="C141" s="500">
        <v>10000</v>
      </c>
      <c r="D141" s="97"/>
    </row>
    <row r="142" spans="1:4" x14ac:dyDescent="0.2">
      <c r="A142" s="445" t="s">
        <v>1985</v>
      </c>
      <c r="B142" s="599" t="s">
        <v>3278</v>
      </c>
      <c r="C142" s="97"/>
      <c r="D142" s="500"/>
    </row>
    <row r="143" spans="1:4" x14ac:dyDescent="0.2">
      <c r="A143" s="800" t="s">
        <v>3971</v>
      </c>
      <c r="B143" s="599"/>
      <c r="C143" s="97"/>
      <c r="D143" s="97"/>
    </row>
    <row r="144" spans="1:4" x14ac:dyDescent="0.2">
      <c r="A144" s="616" t="s">
        <v>3973</v>
      </c>
      <c r="B144" s="599" t="s">
        <v>3972</v>
      </c>
      <c r="C144" s="97"/>
      <c r="D144" s="500"/>
    </row>
    <row r="145" spans="1:4" x14ac:dyDescent="0.2">
      <c r="A145" s="616" t="s">
        <v>4956</v>
      </c>
      <c r="B145" s="599" t="s">
        <v>5126</v>
      </c>
      <c r="C145" s="97"/>
      <c r="D145" s="500"/>
    </row>
    <row r="146" spans="1:4" x14ac:dyDescent="0.2">
      <c r="A146" s="616" t="s">
        <v>2261</v>
      </c>
      <c r="B146" s="599" t="s">
        <v>4066</v>
      </c>
      <c r="C146" s="97"/>
      <c r="D146" s="500">
        <v>-625000</v>
      </c>
    </row>
    <row r="147" spans="1:4" x14ac:dyDescent="0.2">
      <c r="A147" s="616" t="s">
        <v>4065</v>
      </c>
      <c r="B147" s="599" t="s">
        <v>4067</v>
      </c>
      <c r="C147" s="97"/>
      <c r="D147" s="500"/>
    </row>
    <row r="148" spans="1:4" x14ac:dyDescent="0.2">
      <c r="A148" s="616" t="s">
        <v>6345</v>
      </c>
      <c r="B148" s="599" t="s">
        <v>6344</v>
      </c>
      <c r="C148" s="97"/>
      <c r="D148" s="500">
        <v>-20000</v>
      </c>
    </row>
    <row r="149" spans="1:4" x14ac:dyDescent="0.2">
      <c r="A149" s="444" t="s">
        <v>1502</v>
      </c>
      <c r="B149" s="599" t="s">
        <v>4066</v>
      </c>
      <c r="C149" s="97"/>
      <c r="D149" s="97"/>
    </row>
    <row r="150" spans="1:4" x14ac:dyDescent="0.2">
      <c r="A150" s="445" t="s">
        <v>1345</v>
      </c>
      <c r="B150" s="599" t="s">
        <v>320</v>
      </c>
      <c r="C150" s="97"/>
      <c r="D150" s="500"/>
    </row>
    <row r="151" spans="1:4" x14ac:dyDescent="0.2">
      <c r="A151" s="616" t="s">
        <v>3974</v>
      </c>
      <c r="B151" s="599" t="s">
        <v>3975</v>
      </c>
      <c r="C151" s="97"/>
      <c r="D151" s="500"/>
    </row>
    <row r="152" spans="1:4" x14ac:dyDescent="0.2">
      <c r="A152" s="616" t="s">
        <v>5097</v>
      </c>
      <c r="B152" s="599" t="s">
        <v>5131</v>
      </c>
      <c r="C152" s="97"/>
      <c r="D152" s="500"/>
    </row>
    <row r="153" spans="1:4" x14ac:dyDescent="0.2">
      <c r="A153" s="616" t="s">
        <v>3976</v>
      </c>
      <c r="B153" s="599" t="s">
        <v>3977</v>
      </c>
      <c r="C153" s="97"/>
      <c r="D153" s="500"/>
    </row>
    <row r="154" spans="1:4" x14ac:dyDescent="0.2">
      <c r="A154" s="444" t="s">
        <v>2098</v>
      </c>
      <c r="B154" s="599"/>
      <c r="C154" s="97"/>
      <c r="D154" s="97"/>
    </row>
    <row r="155" spans="1:4" x14ac:dyDescent="0.2">
      <c r="A155" s="616" t="s">
        <v>1769</v>
      </c>
      <c r="B155" s="599" t="s">
        <v>1770</v>
      </c>
      <c r="C155" s="97"/>
      <c r="D155" s="500"/>
    </row>
    <row r="156" spans="1:4" x14ac:dyDescent="0.2">
      <c r="A156" s="616" t="s">
        <v>5098</v>
      </c>
      <c r="B156" s="599" t="s">
        <v>5132</v>
      </c>
      <c r="C156" s="97"/>
      <c r="D156" s="500"/>
    </row>
    <row r="157" spans="1:4" x14ac:dyDescent="0.2">
      <c r="A157" s="616" t="s">
        <v>3978</v>
      </c>
      <c r="B157" s="599" t="s">
        <v>3979</v>
      </c>
      <c r="C157" s="97"/>
      <c r="D157" s="500"/>
    </row>
    <row r="158" spans="1:4" x14ac:dyDescent="0.2">
      <c r="A158" s="616" t="s">
        <v>3211</v>
      </c>
      <c r="B158" s="599" t="s">
        <v>3213</v>
      </c>
      <c r="C158" s="97"/>
      <c r="D158" s="500">
        <v>-20000</v>
      </c>
    </row>
    <row r="159" spans="1:4" x14ac:dyDescent="0.2">
      <c r="A159" s="616" t="s">
        <v>3214</v>
      </c>
      <c r="B159" s="599" t="s">
        <v>3215</v>
      </c>
      <c r="C159" s="97"/>
      <c r="D159" s="500">
        <v>-633000</v>
      </c>
    </row>
    <row r="160" spans="1:4" x14ac:dyDescent="0.2">
      <c r="A160" s="445"/>
      <c r="B160" s="599" t="s">
        <v>1125</v>
      </c>
      <c r="C160" s="500"/>
      <c r="D160" s="97"/>
    </row>
    <row r="161" spans="1:4" x14ac:dyDescent="0.2">
      <c r="A161" s="445"/>
      <c r="B161" s="599" t="s">
        <v>321</v>
      </c>
      <c r="C161" s="500"/>
      <c r="D161" s="97"/>
    </row>
    <row r="162" spans="1:4" x14ac:dyDescent="0.2">
      <c r="A162" s="444" t="s">
        <v>329</v>
      </c>
      <c r="B162" s="599"/>
      <c r="C162" s="97"/>
      <c r="D162" s="97"/>
    </row>
    <row r="163" spans="1:4" x14ac:dyDescent="0.2">
      <c r="A163" s="1151" t="s">
        <v>4658</v>
      </c>
      <c r="B163" s="599" t="s">
        <v>5133</v>
      </c>
      <c r="C163" s="97"/>
      <c r="D163" s="500">
        <v>-850000</v>
      </c>
    </row>
    <row r="164" spans="1:4" x14ac:dyDescent="0.2">
      <c r="A164" s="1151" t="s">
        <v>5099</v>
      </c>
      <c r="B164" s="599" t="s">
        <v>5134</v>
      </c>
      <c r="C164" s="97"/>
      <c r="D164" s="97"/>
    </row>
    <row r="165" spans="1:4" ht="12" customHeight="1" x14ac:dyDescent="0.2">
      <c r="A165" s="1151" t="s">
        <v>3982</v>
      </c>
      <c r="B165" s="599" t="s">
        <v>3983</v>
      </c>
      <c r="C165" s="97"/>
      <c r="D165" s="500"/>
    </row>
    <row r="166" spans="1:4" x14ac:dyDescent="0.2">
      <c r="A166" s="1151" t="s">
        <v>3984</v>
      </c>
      <c r="B166" s="599" t="s">
        <v>3985</v>
      </c>
      <c r="C166" s="97"/>
      <c r="D166" s="500"/>
    </row>
    <row r="167" spans="1:4" x14ac:dyDescent="0.2">
      <c r="A167" s="1151" t="s">
        <v>3986</v>
      </c>
      <c r="B167" s="599" t="s">
        <v>3987</v>
      </c>
      <c r="C167" s="97"/>
      <c r="D167" s="500"/>
    </row>
    <row r="168" spans="1:4" x14ac:dyDescent="0.2">
      <c r="A168" s="616" t="s">
        <v>3980</v>
      </c>
      <c r="B168" s="599" t="s">
        <v>3981</v>
      </c>
      <c r="C168" s="97"/>
      <c r="D168" s="500"/>
    </row>
    <row r="169" spans="1:4" x14ac:dyDescent="0.2">
      <c r="A169" s="1151" t="s">
        <v>3988</v>
      </c>
      <c r="B169" s="599" t="s">
        <v>3989</v>
      </c>
      <c r="C169" s="97"/>
      <c r="D169" s="500"/>
    </row>
    <row r="170" spans="1:4" x14ac:dyDescent="0.2">
      <c r="A170" s="1151" t="s">
        <v>3991</v>
      </c>
      <c r="B170" s="599" t="s">
        <v>3990</v>
      </c>
      <c r="C170" s="97"/>
      <c r="D170" s="500"/>
    </row>
    <row r="171" spans="1:4" x14ac:dyDescent="0.2">
      <c r="A171" s="1151" t="s">
        <v>3992</v>
      </c>
      <c r="B171" s="599" t="s">
        <v>4072</v>
      </c>
      <c r="C171" s="97"/>
      <c r="D171" s="500"/>
    </row>
    <row r="172" spans="1:4" x14ac:dyDescent="0.2">
      <c r="A172" s="1151" t="s">
        <v>3994</v>
      </c>
      <c r="B172" s="599" t="s">
        <v>3993</v>
      </c>
      <c r="C172" s="97"/>
      <c r="D172" s="500"/>
    </row>
    <row r="173" spans="1:4" x14ac:dyDescent="0.2">
      <c r="A173" s="1151" t="s">
        <v>3995</v>
      </c>
      <c r="B173" s="599" t="s">
        <v>3996</v>
      </c>
      <c r="C173" s="97"/>
      <c r="D173" s="500"/>
    </row>
    <row r="174" spans="1:4" x14ac:dyDescent="0.2">
      <c r="A174" s="1151" t="s">
        <v>3997</v>
      </c>
      <c r="B174" s="599" t="s">
        <v>3998</v>
      </c>
      <c r="C174" s="97"/>
      <c r="D174" s="500"/>
    </row>
    <row r="175" spans="1:4" x14ac:dyDescent="0.2">
      <c r="A175" s="1151" t="s">
        <v>3999</v>
      </c>
      <c r="B175" s="599" t="s">
        <v>4000</v>
      </c>
      <c r="C175" s="97"/>
      <c r="D175" s="500"/>
    </row>
    <row r="176" spans="1:4" x14ac:dyDescent="0.2">
      <c r="A176" s="1151" t="s">
        <v>4001</v>
      </c>
      <c r="B176" s="599" t="s">
        <v>4002</v>
      </c>
      <c r="C176" s="97"/>
      <c r="D176" s="500"/>
    </row>
    <row r="177" spans="1:4" x14ac:dyDescent="0.2">
      <c r="A177" s="1151" t="s">
        <v>4003</v>
      </c>
      <c r="B177" s="599" t="s">
        <v>4004</v>
      </c>
      <c r="C177" s="97"/>
      <c r="D177" s="500"/>
    </row>
    <row r="178" spans="1:4" x14ac:dyDescent="0.2">
      <c r="A178" s="1151" t="s">
        <v>4005</v>
      </c>
      <c r="B178" s="599" t="s">
        <v>4006</v>
      </c>
      <c r="C178" s="97"/>
      <c r="D178" s="500"/>
    </row>
    <row r="179" spans="1:4" x14ac:dyDescent="0.2">
      <c r="A179" s="1151" t="s">
        <v>4007</v>
      </c>
      <c r="B179" s="599" t="s">
        <v>4008</v>
      </c>
      <c r="C179" s="97"/>
      <c r="D179" s="500"/>
    </row>
    <row r="180" spans="1:4" x14ac:dyDescent="0.2">
      <c r="A180" s="1151" t="s">
        <v>4009</v>
      </c>
      <c r="B180" s="599" t="s">
        <v>4010</v>
      </c>
      <c r="C180" s="97"/>
      <c r="D180" s="500"/>
    </row>
    <row r="181" spans="1:4" x14ac:dyDescent="0.2">
      <c r="A181" s="1151" t="s">
        <v>4011</v>
      </c>
      <c r="B181" s="599" t="s">
        <v>3114</v>
      </c>
      <c r="C181" s="97"/>
      <c r="D181" s="500"/>
    </row>
    <row r="182" spans="1:4" x14ac:dyDescent="0.2">
      <c r="A182" s="1151" t="s">
        <v>3277</v>
      </c>
      <c r="B182" s="599" t="s">
        <v>3276</v>
      </c>
      <c r="C182" s="500"/>
      <c r="D182" s="9"/>
    </row>
    <row r="183" spans="1:4" x14ac:dyDescent="0.2">
      <c r="A183" s="260" t="s">
        <v>2350</v>
      </c>
      <c r="B183" s="599"/>
      <c r="C183" s="9"/>
      <c r="D183" s="9"/>
    </row>
    <row r="184" spans="1:4" x14ac:dyDescent="0.2">
      <c r="A184" s="634" t="s">
        <v>6231</v>
      </c>
      <c r="B184" s="599" t="s">
        <v>6230</v>
      </c>
      <c r="C184" s="9"/>
      <c r="D184" s="505">
        <v>-119000</v>
      </c>
    </row>
    <row r="185" spans="1:4" x14ac:dyDescent="0.2">
      <c r="A185" s="634" t="s">
        <v>6232</v>
      </c>
      <c r="B185" s="599" t="s">
        <v>6263</v>
      </c>
      <c r="C185" s="9"/>
      <c r="D185" s="505">
        <v>-50000</v>
      </c>
    </row>
    <row r="186" spans="1:4" x14ac:dyDescent="0.2">
      <c r="A186" s="634" t="s">
        <v>6233</v>
      </c>
      <c r="B186" s="599" t="s">
        <v>6264</v>
      </c>
      <c r="C186" s="9"/>
      <c r="D186" s="505">
        <v>-25000</v>
      </c>
    </row>
    <row r="187" spans="1:4" x14ac:dyDescent="0.2">
      <c r="A187" s="79" t="s">
        <v>5100</v>
      </c>
      <c r="B187" s="599" t="s">
        <v>5135</v>
      </c>
      <c r="C187" s="9"/>
      <c r="D187" s="505"/>
    </row>
    <row r="188" spans="1:4" x14ac:dyDescent="0.2">
      <c r="A188" s="79" t="s">
        <v>5101</v>
      </c>
      <c r="B188" s="599" t="s">
        <v>5136</v>
      </c>
      <c r="C188" s="9"/>
      <c r="D188" s="505"/>
    </row>
    <row r="189" spans="1:4" x14ac:dyDescent="0.2">
      <c r="A189" s="79" t="s">
        <v>4012</v>
      </c>
      <c r="B189" s="599" t="s">
        <v>4013</v>
      </c>
      <c r="C189" s="9"/>
      <c r="D189" s="505"/>
    </row>
    <row r="190" spans="1:4" x14ac:dyDescent="0.2">
      <c r="A190" s="79" t="s">
        <v>4014</v>
      </c>
      <c r="B190" s="599" t="s">
        <v>4015</v>
      </c>
      <c r="C190" s="9"/>
      <c r="D190" s="505"/>
    </row>
    <row r="191" spans="1:4" x14ac:dyDescent="0.2">
      <c r="A191" s="21" t="s">
        <v>1570</v>
      </c>
      <c r="B191" s="599"/>
      <c r="C191" s="9"/>
      <c r="D191" s="9"/>
    </row>
    <row r="192" spans="1:4" x14ac:dyDescent="0.2">
      <c r="A192" s="9" t="s">
        <v>67</v>
      </c>
      <c r="B192" s="599" t="s">
        <v>323</v>
      </c>
      <c r="C192" s="9"/>
      <c r="D192" s="505"/>
    </row>
    <row r="193" spans="1:4" x14ac:dyDescent="0.2">
      <c r="A193" s="9" t="s">
        <v>1742</v>
      </c>
      <c r="B193" s="599" t="s">
        <v>324</v>
      </c>
      <c r="C193" s="9"/>
      <c r="D193" s="505"/>
    </row>
    <row r="194" spans="1:4" x14ac:dyDescent="0.2">
      <c r="A194" s="444" t="s">
        <v>278</v>
      </c>
      <c r="B194" s="599"/>
      <c r="C194" s="9"/>
      <c r="D194" s="89"/>
    </row>
    <row r="195" spans="1:4" x14ac:dyDescent="0.2">
      <c r="A195" s="616" t="s">
        <v>3115</v>
      </c>
      <c r="B195" s="599" t="s">
        <v>3205</v>
      </c>
      <c r="C195" s="9"/>
      <c r="D195" s="500"/>
    </row>
    <row r="196" spans="1:4" x14ac:dyDescent="0.2">
      <c r="A196" s="616" t="s">
        <v>3118</v>
      </c>
      <c r="B196" s="599" t="s">
        <v>3281</v>
      </c>
      <c r="C196" s="9"/>
      <c r="D196" s="500"/>
    </row>
    <row r="197" spans="1:4" x14ac:dyDescent="0.2">
      <c r="A197" s="800" t="s">
        <v>3080</v>
      </c>
      <c r="B197" s="599"/>
      <c r="C197" s="9"/>
      <c r="D197" s="9"/>
    </row>
    <row r="198" spans="1:4" x14ac:dyDescent="0.2">
      <c r="A198" s="616" t="s">
        <v>6234</v>
      </c>
      <c r="B198" s="599" t="s">
        <v>6338</v>
      </c>
      <c r="C198" s="9"/>
      <c r="D198" s="500">
        <v>-51000</v>
      </c>
    </row>
    <row r="199" spans="1:4" x14ac:dyDescent="0.2">
      <c r="A199" s="616" t="s">
        <v>3116</v>
      </c>
      <c r="B199" s="599" t="s">
        <v>3117</v>
      </c>
      <c r="C199" s="9"/>
      <c r="D199" s="500"/>
    </row>
    <row r="200" spans="1:4" x14ac:dyDescent="0.2">
      <c r="A200" s="800" t="s">
        <v>3279</v>
      </c>
      <c r="B200" s="599"/>
      <c r="C200" s="9"/>
      <c r="D200" s="9"/>
    </row>
    <row r="201" spans="1:4" x14ac:dyDescent="0.2">
      <c r="A201" s="616" t="s">
        <v>3280</v>
      </c>
      <c r="B201" s="599" t="s">
        <v>824</v>
      </c>
      <c r="C201" s="9"/>
      <c r="D201" s="500"/>
    </row>
    <row r="202" spans="1:4" x14ac:dyDescent="0.2">
      <c r="A202" s="800" t="s">
        <v>1215</v>
      </c>
      <c r="B202" s="599"/>
      <c r="C202" s="9"/>
      <c r="D202" s="9"/>
    </row>
    <row r="203" spans="1:4" x14ac:dyDescent="0.2">
      <c r="A203" s="445" t="s">
        <v>1107</v>
      </c>
      <c r="B203" s="599" t="s">
        <v>259</v>
      </c>
      <c r="C203" s="97"/>
      <c r="D203" s="500">
        <v>-50000</v>
      </c>
    </row>
    <row r="204" spans="1:4" x14ac:dyDescent="0.2">
      <c r="A204" s="445" t="s">
        <v>694</v>
      </c>
      <c r="B204" s="599" t="s">
        <v>260</v>
      </c>
      <c r="C204" s="500">
        <v>113600</v>
      </c>
      <c r="D204" s="97"/>
    </row>
    <row r="205" spans="1:4" x14ac:dyDescent="0.2">
      <c r="A205" s="800" t="s">
        <v>3473</v>
      </c>
      <c r="B205" s="599"/>
      <c r="C205" s="97"/>
      <c r="D205" s="97"/>
    </row>
    <row r="206" spans="1:4" x14ac:dyDescent="0.2">
      <c r="A206" s="616" t="s">
        <v>6235</v>
      </c>
      <c r="B206" s="599" t="s">
        <v>6266</v>
      </c>
      <c r="C206" s="97"/>
      <c r="D206" s="500">
        <v>-625500</v>
      </c>
    </row>
    <row r="207" spans="1:4" x14ac:dyDescent="0.2">
      <c r="A207" s="616" t="s">
        <v>5037</v>
      </c>
      <c r="B207" s="599" t="s">
        <v>5137</v>
      </c>
      <c r="C207" s="500">
        <v>6700</v>
      </c>
      <c r="D207" s="97"/>
    </row>
    <row r="208" spans="1:4" x14ac:dyDescent="0.2">
      <c r="A208" s="616" t="s">
        <v>4016</v>
      </c>
      <c r="B208" s="599" t="s">
        <v>4017</v>
      </c>
      <c r="C208" s="97"/>
      <c r="D208" s="500"/>
    </row>
    <row r="209" spans="1:4" x14ac:dyDescent="0.2">
      <c r="A209" s="616" t="s">
        <v>4019</v>
      </c>
      <c r="B209" s="599" t="s">
        <v>3963</v>
      </c>
      <c r="C209" s="97"/>
      <c r="D209" s="500"/>
    </row>
    <row r="210" spans="1:4" x14ac:dyDescent="0.2">
      <c r="A210" s="616" t="s">
        <v>4020</v>
      </c>
      <c r="B210" s="599" t="s">
        <v>3163</v>
      </c>
      <c r="C210" s="97"/>
      <c r="D210" s="500"/>
    </row>
    <row r="211" spans="1:4" x14ac:dyDescent="0.2">
      <c r="A211" s="616" t="s">
        <v>4018</v>
      </c>
      <c r="B211" s="599" t="s">
        <v>3119</v>
      </c>
      <c r="C211" s="97"/>
      <c r="D211" s="500"/>
    </row>
    <row r="212" spans="1:4" x14ac:dyDescent="0.2">
      <c r="A212" s="444" t="s">
        <v>376</v>
      </c>
      <c r="B212" s="599"/>
      <c r="C212" s="97"/>
      <c r="D212" s="97"/>
    </row>
    <row r="213" spans="1:4" x14ac:dyDescent="0.2">
      <c r="A213" s="445" t="s">
        <v>309</v>
      </c>
      <c r="B213" s="599" t="s">
        <v>1109</v>
      </c>
      <c r="C213" s="97"/>
      <c r="D213" s="500">
        <v>-1510331</v>
      </c>
    </row>
    <row r="214" spans="1:4" x14ac:dyDescent="0.2">
      <c r="A214" s="445" t="s">
        <v>1108</v>
      </c>
      <c r="B214" s="599" t="s">
        <v>1110</v>
      </c>
      <c r="C214" s="500">
        <v>1132700</v>
      </c>
      <c r="D214" s="97"/>
    </row>
    <row r="215" spans="1:4" x14ac:dyDescent="0.2">
      <c r="A215" s="444" t="s">
        <v>1932</v>
      </c>
      <c r="B215" s="599"/>
      <c r="C215" s="97"/>
      <c r="D215" s="97"/>
    </row>
    <row r="216" spans="1:4" x14ac:dyDescent="0.2">
      <c r="A216" s="616" t="s">
        <v>3121</v>
      </c>
      <c r="B216" s="599" t="s">
        <v>1111</v>
      </c>
      <c r="C216" s="97"/>
      <c r="D216" s="500">
        <v>-252200</v>
      </c>
    </row>
    <row r="217" spans="1:4" x14ac:dyDescent="0.2">
      <c r="A217" s="616" t="s">
        <v>3120</v>
      </c>
      <c r="B217" s="599" t="s">
        <v>1212</v>
      </c>
      <c r="C217" s="500"/>
      <c r="D217" s="97"/>
    </row>
    <row r="218" spans="1:4" x14ac:dyDescent="0.2">
      <c r="A218" s="444" t="s">
        <v>1226</v>
      </c>
      <c r="B218" s="599"/>
      <c r="C218" s="97"/>
      <c r="D218" s="97"/>
    </row>
    <row r="219" spans="1:4" x14ac:dyDescent="0.2">
      <c r="A219" s="445" t="s">
        <v>760</v>
      </c>
      <c r="B219" s="599" t="s">
        <v>951</v>
      </c>
      <c r="C219" s="97"/>
      <c r="D219" s="500">
        <v>-188000</v>
      </c>
    </row>
    <row r="220" spans="1:4" x14ac:dyDescent="0.2">
      <c r="A220" s="616" t="s">
        <v>5900</v>
      </c>
      <c r="B220" s="599" t="s">
        <v>6253</v>
      </c>
      <c r="C220" s="97"/>
      <c r="D220" s="500">
        <v>-1000000</v>
      </c>
    </row>
    <row r="221" spans="1:4" x14ac:dyDescent="0.2">
      <c r="A221" s="616" t="s">
        <v>6236</v>
      </c>
      <c r="B221" s="599" t="s">
        <v>6265</v>
      </c>
      <c r="C221" s="97"/>
      <c r="D221" s="500">
        <v>-200000</v>
      </c>
    </row>
    <row r="222" spans="1:4" x14ac:dyDescent="0.2">
      <c r="A222" s="445" t="s">
        <v>759</v>
      </c>
      <c r="B222" s="599" t="s">
        <v>952</v>
      </c>
      <c r="C222" s="500">
        <v>746800</v>
      </c>
      <c r="D222" s="97"/>
    </row>
    <row r="223" spans="1:4" x14ac:dyDescent="0.2">
      <c r="A223" s="444" t="s">
        <v>2756</v>
      </c>
      <c r="B223" s="599"/>
      <c r="C223" s="97"/>
      <c r="D223" s="97"/>
    </row>
    <row r="224" spans="1:4" x14ac:dyDescent="0.2">
      <c r="A224" s="257" t="s">
        <v>760</v>
      </c>
      <c r="B224" s="599" t="s">
        <v>953</v>
      </c>
      <c r="C224" s="97"/>
      <c r="D224" s="500"/>
    </row>
    <row r="225" spans="1:20" x14ac:dyDescent="0.2">
      <c r="A225" s="257" t="s">
        <v>759</v>
      </c>
      <c r="B225" s="599" t="s">
        <v>954</v>
      </c>
      <c r="C225" s="500">
        <v>498500</v>
      </c>
      <c r="D225" s="99"/>
      <c r="E225" s="726"/>
      <c r="F225" s="1"/>
      <c r="G225" s="1"/>
      <c r="H225" s="1"/>
      <c r="I225" s="1"/>
      <c r="J225" s="1"/>
      <c r="K225" s="1"/>
      <c r="L225" s="1"/>
      <c r="M225" s="1"/>
      <c r="N225" s="1"/>
      <c r="O225" s="1"/>
      <c r="P225" s="1"/>
      <c r="Q225" s="1"/>
      <c r="R225" s="1"/>
      <c r="S225" s="1"/>
      <c r="T225" s="1"/>
    </row>
    <row r="226" spans="1:20" ht="13.5" thickBot="1" x14ac:dyDescent="0.25">
      <c r="A226" s="501" t="s">
        <v>2115</v>
      </c>
      <c r="B226" s="599"/>
      <c r="C226" s="504">
        <f>SUBTOTAL(9,C6:C225)</f>
        <v>15586700</v>
      </c>
      <c r="D226" s="506">
        <f>SUBTOTAL(9,D6:D225)</f>
        <v>-15623831</v>
      </c>
      <c r="E226" s="20">
        <f>C226+D226</f>
        <v>-37131</v>
      </c>
      <c r="G226" s="1382">
        <v>-37131</v>
      </c>
      <c r="H226" s="1373" t="s">
        <v>6346</v>
      </c>
      <c r="I226" s="1373"/>
      <c r="J226" s="1373"/>
      <c r="K226" s="1373"/>
      <c r="L226" s="1373"/>
    </row>
    <row r="227" spans="1:20" ht="13.5" thickTop="1" x14ac:dyDescent="0.2">
      <c r="A227" s="284"/>
      <c r="B227" s="599"/>
      <c r="C227" s="103"/>
      <c r="D227" s="21"/>
      <c r="E227" s="20"/>
      <c r="G227" s="1"/>
      <c r="H227" s="1"/>
      <c r="I227" s="1"/>
      <c r="J227" s="1"/>
    </row>
    <row r="228" spans="1:20" x14ac:dyDescent="0.2">
      <c r="A228" s="284"/>
      <c r="B228" s="599"/>
      <c r="C228" s="103"/>
      <c r="D228" s="21"/>
      <c r="E228" s="20"/>
      <c r="G228" s="1"/>
      <c r="H228" s="1"/>
      <c r="I228" s="1"/>
      <c r="J228" s="1"/>
    </row>
    <row r="229" spans="1:20" x14ac:dyDescent="0.2">
      <c r="A229" s="284"/>
      <c r="B229" s="599"/>
      <c r="C229" s="103"/>
      <c r="D229" s="21"/>
      <c r="E229" s="80"/>
      <c r="F229" s="1"/>
      <c r="G229" s="1"/>
      <c r="H229" s="1"/>
      <c r="I229" s="1"/>
      <c r="J229" s="1"/>
      <c r="K229" s="1"/>
      <c r="L229" s="1"/>
      <c r="M229" s="1"/>
      <c r="N229" s="1"/>
      <c r="O229" s="1"/>
      <c r="P229" s="1"/>
      <c r="Q229" s="1"/>
      <c r="R229" s="1"/>
      <c r="S229" s="1"/>
    </row>
    <row r="230" spans="1:20" x14ac:dyDescent="0.2">
      <c r="A230" s="284"/>
      <c r="B230" s="599"/>
      <c r="C230" s="103"/>
      <c r="D230" s="21"/>
      <c r="E230" s="20"/>
      <c r="G230" s="1"/>
      <c r="H230" s="1"/>
      <c r="I230" s="1"/>
      <c r="J230" s="1"/>
    </row>
    <row r="231" spans="1:20" ht="13.5" thickBot="1" x14ac:dyDescent="0.25">
      <c r="A231" s="284"/>
      <c r="B231" s="599"/>
      <c r="C231" s="103"/>
      <c r="D231" s="21"/>
      <c r="E231" s="20"/>
      <c r="G231" s="1"/>
      <c r="H231" s="1"/>
      <c r="I231" s="1"/>
      <c r="J231" s="1"/>
    </row>
    <row r="232" spans="1:20" ht="13.5" thickTop="1" x14ac:dyDescent="0.2">
      <c r="A232" s="75" t="s">
        <v>1732</v>
      </c>
      <c r="B232" s="599"/>
      <c r="C232" s="507"/>
      <c r="D232" s="507"/>
    </row>
    <row r="233" spans="1:20" x14ac:dyDescent="0.2">
      <c r="A233" s="54" t="s">
        <v>1365</v>
      </c>
      <c r="B233" s="599" t="s">
        <v>955</v>
      </c>
      <c r="C233" s="97"/>
      <c r="D233" s="500">
        <f>-D264</f>
        <v>-1648000</v>
      </c>
      <c r="E233" s="1137" t="s">
        <v>5106</v>
      </c>
    </row>
    <row r="234" spans="1:20" x14ac:dyDescent="0.2">
      <c r="A234" s="25" t="s">
        <v>3173</v>
      </c>
      <c r="B234" s="599" t="s">
        <v>3175</v>
      </c>
      <c r="C234" s="97"/>
      <c r="D234" s="500">
        <v>0</v>
      </c>
      <c r="E234" s="1137" t="s">
        <v>6238</v>
      </c>
      <c r="K234" s="1146">
        <v>1</v>
      </c>
      <c r="L234" s="1147">
        <f>D234</f>
        <v>0</v>
      </c>
      <c r="M234" s="1146"/>
      <c r="N234" s="1146"/>
      <c r="O234" s="1146"/>
      <c r="P234" s="1146"/>
      <c r="Q234" s="1146"/>
      <c r="R234" s="1146"/>
    </row>
    <row r="235" spans="1:20" x14ac:dyDescent="0.2">
      <c r="A235" s="25" t="s">
        <v>3174</v>
      </c>
      <c r="B235" s="599" t="s">
        <v>3176</v>
      </c>
      <c r="C235" s="97"/>
      <c r="D235" s="500">
        <v>-100000</v>
      </c>
      <c r="E235" s="1137" t="s">
        <v>6239</v>
      </c>
      <c r="K235" s="1146">
        <v>2</v>
      </c>
      <c r="L235" s="1147">
        <f>D235</f>
        <v>-100000</v>
      </c>
      <c r="M235" s="1146"/>
      <c r="N235" s="1146"/>
      <c r="O235" s="1146"/>
      <c r="P235" s="1146"/>
      <c r="Q235" s="1146"/>
      <c r="R235" s="1146"/>
    </row>
    <row r="236" spans="1:20" x14ac:dyDescent="0.2">
      <c r="A236" s="54" t="s">
        <v>2130</v>
      </c>
      <c r="B236" s="599" t="s">
        <v>956</v>
      </c>
      <c r="C236" s="97"/>
      <c r="D236" s="500">
        <v>-1820000</v>
      </c>
      <c r="E236" s="1138" t="s">
        <v>5104</v>
      </c>
      <c r="K236" s="1146">
        <v>3</v>
      </c>
      <c r="L236" s="1147">
        <f>C238</f>
        <v>864100</v>
      </c>
      <c r="M236" s="1148"/>
      <c r="N236" s="1147"/>
      <c r="O236" s="1146"/>
      <c r="P236" s="1146"/>
      <c r="Q236" s="1146"/>
      <c r="R236" s="1146"/>
    </row>
    <row r="237" spans="1:20" x14ac:dyDescent="0.2">
      <c r="A237" s="54" t="s">
        <v>1664</v>
      </c>
      <c r="B237" s="599" t="s">
        <v>4074</v>
      </c>
      <c r="C237" s="500">
        <f>D269</f>
        <v>1512500</v>
      </c>
      <c r="D237" s="9"/>
      <c r="E237" s="1137" t="s">
        <v>5109</v>
      </c>
      <c r="K237" s="1146">
        <v>4</v>
      </c>
      <c r="L237" s="1147">
        <f>D262</f>
        <v>-1820000</v>
      </c>
      <c r="M237" s="1146" t="s">
        <v>2774</v>
      </c>
      <c r="N237" s="1147">
        <f>SUM(L234:L237)</f>
        <v>-1055900</v>
      </c>
      <c r="O237" s="1146" t="s">
        <v>6302</v>
      </c>
      <c r="P237" s="1146"/>
      <c r="Q237" s="1146"/>
      <c r="R237" s="1146"/>
      <c r="S237" t="s">
        <v>6305</v>
      </c>
    </row>
    <row r="238" spans="1:20" x14ac:dyDescent="0.2">
      <c r="A238" s="54" t="s">
        <v>1665</v>
      </c>
      <c r="B238" s="599" t="s">
        <v>189</v>
      </c>
      <c r="C238" s="500">
        <f>630000+234100</f>
        <v>864100</v>
      </c>
      <c r="D238" s="9"/>
      <c r="E238" s="1137" t="s">
        <v>6243</v>
      </c>
    </row>
    <row r="239" spans="1:20" x14ac:dyDescent="0.2">
      <c r="A239" s="54" t="s">
        <v>2116</v>
      </c>
      <c r="B239" s="599" t="s">
        <v>1470</v>
      </c>
      <c r="C239" s="500">
        <v>34000</v>
      </c>
      <c r="D239" s="500">
        <v>0</v>
      </c>
      <c r="E239" s="1137" t="s">
        <v>5111</v>
      </c>
    </row>
    <row r="240" spans="1:20" x14ac:dyDescent="0.2">
      <c r="A240" s="24" t="s">
        <v>2204</v>
      </c>
      <c r="B240" s="599"/>
      <c r="C240" s="97"/>
      <c r="D240" s="9"/>
      <c r="E240" s="1"/>
    </row>
    <row r="241" spans="1:19" x14ac:dyDescent="0.2">
      <c r="A241" s="54" t="s">
        <v>1364</v>
      </c>
      <c r="B241" s="599" t="s">
        <v>957</v>
      </c>
      <c r="C241" s="97"/>
      <c r="D241" s="467">
        <f>-D276</f>
        <v>-6358900</v>
      </c>
      <c r="E241" s="1143" t="s">
        <v>5115</v>
      </c>
    </row>
    <row r="242" spans="1:19" x14ac:dyDescent="0.2">
      <c r="A242" s="25" t="s">
        <v>3177</v>
      </c>
      <c r="B242" s="599" t="s">
        <v>3179</v>
      </c>
      <c r="C242" s="97"/>
      <c r="D242" s="467">
        <v>0</v>
      </c>
      <c r="E242" s="1143" t="s">
        <v>5112</v>
      </c>
    </row>
    <row r="243" spans="1:19" x14ac:dyDescent="0.2">
      <c r="A243" s="25" t="s">
        <v>3178</v>
      </c>
      <c r="B243" s="599" t="s">
        <v>3180</v>
      </c>
      <c r="C243" s="97"/>
      <c r="D243" s="467">
        <v>-340000</v>
      </c>
      <c r="E243" s="1143" t="s">
        <v>5113</v>
      </c>
      <c r="K243" s="1146">
        <v>1</v>
      </c>
      <c r="L243" s="1147">
        <f>D242</f>
        <v>0</v>
      </c>
      <c r="M243" s="1146"/>
      <c r="N243" s="1146"/>
      <c r="O243" s="1146"/>
      <c r="P243" s="1146"/>
      <c r="Q243" s="1146"/>
      <c r="R243" s="1146"/>
    </row>
    <row r="244" spans="1:19" x14ac:dyDescent="0.2">
      <c r="A244" s="54" t="s">
        <v>2129</v>
      </c>
      <c r="B244" s="599" t="s">
        <v>1322</v>
      </c>
      <c r="C244" s="97"/>
      <c r="D244" s="467">
        <v>-2264000</v>
      </c>
      <c r="E244" s="1144" t="s">
        <v>5118</v>
      </c>
      <c r="K244" s="1146">
        <v>2</v>
      </c>
      <c r="L244" s="1147">
        <f>D243</f>
        <v>-340000</v>
      </c>
      <c r="M244" s="1146"/>
      <c r="N244" s="1146"/>
      <c r="O244" s="1146"/>
      <c r="P244" s="1146"/>
      <c r="Q244" s="1146"/>
      <c r="R244" s="1146"/>
    </row>
    <row r="245" spans="1:19" x14ac:dyDescent="0.2">
      <c r="A245" s="54" t="s">
        <v>2781</v>
      </c>
      <c r="B245" s="599" t="s">
        <v>1323</v>
      </c>
      <c r="C245" s="500">
        <f>D280</f>
        <v>2999800</v>
      </c>
      <c r="D245" s="9"/>
      <c r="E245" s="1143" t="s">
        <v>5120</v>
      </c>
      <c r="K245" s="1146">
        <v>3</v>
      </c>
      <c r="L245" s="1147">
        <f>C246</f>
        <v>1466400</v>
      </c>
      <c r="M245" s="1148"/>
      <c r="N245" s="1147"/>
      <c r="O245" s="1146"/>
      <c r="P245" s="1146"/>
      <c r="Q245" s="1146"/>
      <c r="R245" s="1146"/>
    </row>
    <row r="246" spans="1:19" x14ac:dyDescent="0.2">
      <c r="A246" s="54" t="s">
        <v>2783</v>
      </c>
      <c r="B246" s="599" t="s">
        <v>1324</v>
      </c>
      <c r="C246" s="500">
        <f>1340000+126400</f>
        <v>1466400</v>
      </c>
      <c r="D246" s="9"/>
      <c r="E246" s="1143" t="s">
        <v>6242</v>
      </c>
      <c r="K246" s="1146">
        <v>4</v>
      </c>
      <c r="L246" s="1147">
        <f>D274</f>
        <v>-2264000</v>
      </c>
      <c r="M246" s="1146" t="s">
        <v>5138</v>
      </c>
      <c r="N246" s="1147">
        <f>SUM(L243:L246)</f>
        <v>-1137600</v>
      </c>
      <c r="O246" s="1146" t="s">
        <v>6301</v>
      </c>
      <c r="P246" s="1146"/>
      <c r="Q246" s="1146"/>
      <c r="R246" s="1146"/>
      <c r="S246" t="s">
        <v>6305</v>
      </c>
    </row>
    <row r="247" spans="1:19" x14ac:dyDescent="0.2">
      <c r="A247" s="54" t="s">
        <v>2117</v>
      </c>
      <c r="B247" s="599" t="s">
        <v>191</v>
      </c>
      <c r="C247" s="500">
        <v>20000</v>
      </c>
      <c r="D247" s="9"/>
      <c r="E247" s="1143" t="s">
        <v>5114</v>
      </c>
    </row>
    <row r="248" spans="1:19" x14ac:dyDescent="0.2">
      <c r="A248" s="501" t="s">
        <v>2782</v>
      </c>
      <c r="B248" s="599"/>
      <c r="C248" s="508">
        <f>SUM(C232:C247)</f>
        <v>6896800</v>
      </c>
      <c r="D248" s="508">
        <f>SUM(D232:D247)</f>
        <v>-12530900</v>
      </c>
      <c r="E248" s="36">
        <f>C248+D248</f>
        <v>-5634100</v>
      </c>
    </row>
    <row r="249" spans="1:19" x14ac:dyDescent="0.2">
      <c r="A249" s="54"/>
      <c r="B249" s="599"/>
      <c r="C249" s="9"/>
      <c r="D249" s="9"/>
      <c r="E249" s="1"/>
    </row>
    <row r="250" spans="1:19" ht="13.5" thickBot="1" x14ac:dyDescent="0.25">
      <c r="A250" s="431" t="s">
        <v>2353</v>
      </c>
      <c r="B250" s="503"/>
      <c r="C250" s="504">
        <f>C226+C248</f>
        <v>22483500</v>
      </c>
      <c r="D250" s="504">
        <f>D226+D248</f>
        <v>-28154731</v>
      </c>
      <c r="E250" s="1"/>
      <c r="G250" s="20"/>
    </row>
    <row r="251" spans="1:19" x14ac:dyDescent="0.2">
      <c r="A251" s="34"/>
      <c r="B251" s="265"/>
      <c r="C251" s="265"/>
      <c r="D251" s="34"/>
      <c r="E251" s="1"/>
    </row>
    <row r="252" spans="1:19" x14ac:dyDescent="0.2">
      <c r="A252" s="786" t="s">
        <v>3125</v>
      </c>
      <c r="B252" s="1376"/>
      <c r="C252" s="454"/>
      <c r="D252" s="454"/>
      <c r="E252" s="1"/>
    </row>
    <row r="253" spans="1:19" x14ac:dyDescent="0.2">
      <c r="A253" s="558" t="s">
        <v>3122</v>
      </c>
      <c r="B253" s="1327" t="s">
        <v>6340</v>
      </c>
      <c r="C253" s="265"/>
      <c r="D253" s="787">
        <v>-630000</v>
      </c>
      <c r="E253" s="1136" t="s">
        <v>6299</v>
      </c>
    </row>
    <row r="254" spans="1:19" x14ac:dyDescent="0.2">
      <c r="A254" s="558" t="s">
        <v>3123</v>
      </c>
      <c r="B254" s="1327" t="s">
        <v>6341</v>
      </c>
      <c r="C254" s="265"/>
      <c r="D254" s="787">
        <v>-309400</v>
      </c>
      <c r="E254" s="1136" t="s">
        <v>6300</v>
      </c>
    </row>
    <row r="255" spans="1:19" x14ac:dyDescent="0.2">
      <c r="A255" s="34"/>
      <c r="B255" s="788"/>
      <c r="C255" s="265"/>
      <c r="D255" s="34"/>
      <c r="E255" s="1"/>
    </row>
    <row r="256" spans="1:19" x14ac:dyDescent="0.2">
      <c r="A256" s="558" t="s">
        <v>3124</v>
      </c>
      <c r="B256" s="1327" t="s">
        <v>6342</v>
      </c>
      <c r="C256" s="265"/>
      <c r="D256" s="787">
        <v>-1340000</v>
      </c>
      <c r="E256" s="1139" t="s">
        <v>6240</v>
      </c>
    </row>
    <row r="257" spans="1:17" x14ac:dyDescent="0.2">
      <c r="A257" s="558" t="s">
        <v>3123</v>
      </c>
      <c r="B257" s="1327" t="s">
        <v>6343</v>
      </c>
      <c r="C257" s="265"/>
      <c r="D257" s="787">
        <v>-745000</v>
      </c>
      <c r="E257" s="1139" t="s">
        <v>6241</v>
      </c>
    </row>
    <row r="259" spans="1:17" x14ac:dyDescent="0.2">
      <c r="A259" s="1142"/>
      <c r="B259" s="1377"/>
      <c r="C259" s="1142"/>
      <c r="D259" s="1142"/>
      <c r="E259" s="1142"/>
      <c r="F259" s="1142"/>
      <c r="G259" s="1142"/>
      <c r="H259" s="1142"/>
      <c r="I259" s="1142"/>
      <c r="J259" s="1142"/>
      <c r="K259" s="1142"/>
      <c r="L259" s="1142"/>
      <c r="M259" s="1142"/>
      <c r="N259" s="1142"/>
      <c r="O259" s="1142"/>
      <c r="P259" s="1142"/>
      <c r="Q259" s="1142"/>
    </row>
    <row r="260" spans="1:17" x14ac:dyDescent="0.2">
      <c r="D260" s="46">
        <v>3534000</v>
      </c>
      <c r="E260" s="1137" t="s">
        <v>5103</v>
      </c>
    </row>
    <row r="261" spans="1:17" x14ac:dyDescent="0.2">
      <c r="D261" s="46">
        <v>34000</v>
      </c>
      <c r="E261" s="1137" t="s">
        <v>6237</v>
      </c>
    </row>
    <row r="262" spans="1:17" x14ac:dyDescent="0.2">
      <c r="D262" s="46">
        <v>-1820000</v>
      </c>
      <c r="E262" s="1138" t="s">
        <v>5104</v>
      </c>
    </row>
    <row r="263" spans="1:17" x14ac:dyDescent="0.2">
      <c r="D263" s="386">
        <f>D234+D235</f>
        <v>-100000</v>
      </c>
      <c r="E263" s="1138" t="s">
        <v>5105</v>
      </c>
    </row>
    <row r="264" spans="1:17" x14ac:dyDescent="0.2">
      <c r="D264" s="1141">
        <f>SUM(D260:D263)</f>
        <v>1648000</v>
      </c>
      <c r="E264" s="1140" t="s">
        <v>5107</v>
      </c>
      <c r="F264" t="s">
        <v>6352</v>
      </c>
    </row>
    <row r="267" spans="1:17" x14ac:dyDescent="0.2">
      <c r="D267" s="46">
        <v>1746600</v>
      </c>
      <c r="E267" s="1137" t="s">
        <v>5110</v>
      </c>
    </row>
    <row r="268" spans="1:17" x14ac:dyDescent="0.2">
      <c r="D268" s="46">
        <v>-234100</v>
      </c>
      <c r="E268" s="1137" t="s">
        <v>6303</v>
      </c>
    </row>
    <row r="269" spans="1:17" x14ac:dyDescent="0.2">
      <c r="D269" s="1141">
        <f>D267+D268</f>
        <v>1512500</v>
      </c>
      <c r="E269" s="1137" t="s">
        <v>5108</v>
      </c>
    </row>
    <row r="271" spans="1:17" x14ac:dyDescent="0.2">
      <c r="D271" s="46">
        <v>5985000</v>
      </c>
      <c r="E271" s="1143" t="s">
        <v>5117</v>
      </c>
    </row>
    <row r="272" spans="1:17" x14ac:dyDescent="0.2">
      <c r="D272" s="46">
        <v>2957900</v>
      </c>
      <c r="E272" s="1143" t="s">
        <v>5119</v>
      </c>
    </row>
    <row r="273" spans="4:5" x14ac:dyDescent="0.2">
      <c r="D273" s="46">
        <v>20000</v>
      </c>
      <c r="E273" s="1143" t="s">
        <v>6351</v>
      </c>
    </row>
    <row r="274" spans="4:5" x14ac:dyDescent="0.2">
      <c r="D274" s="46">
        <v>-2264000</v>
      </c>
      <c r="E274" s="1144" t="s">
        <v>5118</v>
      </c>
    </row>
    <row r="275" spans="4:5" x14ac:dyDescent="0.2">
      <c r="D275" s="386">
        <f>D242+D243</f>
        <v>-340000</v>
      </c>
      <c r="E275" s="1144" t="s">
        <v>5105</v>
      </c>
    </row>
    <row r="276" spans="4:5" x14ac:dyDescent="0.2">
      <c r="D276" s="1141">
        <f>SUM(D271:D275)</f>
        <v>6358900</v>
      </c>
      <c r="E276" s="1145" t="s">
        <v>5116</v>
      </c>
    </row>
    <row r="278" spans="4:5" x14ac:dyDescent="0.2">
      <c r="D278" s="46">
        <v>3126200</v>
      </c>
      <c r="E278" s="1143" t="s">
        <v>5122</v>
      </c>
    </row>
    <row r="279" spans="4:5" x14ac:dyDescent="0.2">
      <c r="D279" s="46">
        <v>-126400</v>
      </c>
      <c r="E279" s="1143" t="s">
        <v>6304</v>
      </c>
    </row>
    <row r="280" spans="4:5" x14ac:dyDescent="0.2">
      <c r="D280" s="1141">
        <f>D278+D279</f>
        <v>2999800</v>
      </c>
      <c r="E280" s="1143" t="s">
        <v>5121</v>
      </c>
    </row>
    <row r="1109" spans="5:5" x14ac:dyDescent="0.2">
      <c r="E1109" t="s">
        <v>7245</v>
      </c>
    </row>
  </sheetData>
  <mergeCells count="1">
    <mergeCell ref="A1:D1"/>
  </mergeCells>
  <pageMargins left="0.70866141732283472" right="0.70866141732283472" top="0.74803149606299213" bottom="0.74803149606299213" header="0.31496062992125984" footer="0.31496062992125984"/>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7030A0"/>
  </sheetPr>
  <dimension ref="A1:AE1109"/>
  <sheetViews>
    <sheetView workbookViewId="0">
      <selection activeCell="H23" sqref="H23"/>
    </sheetView>
  </sheetViews>
  <sheetFormatPr defaultColWidth="9.140625" defaultRowHeight="12.75" x14ac:dyDescent="0.2"/>
  <cols>
    <col min="1" max="1" width="15.85546875" style="723" bestFit="1" customWidth="1"/>
    <col min="2" max="2" width="15" style="723" bestFit="1" customWidth="1"/>
    <col min="3" max="3" width="10.7109375" style="723" customWidth="1"/>
    <col min="4" max="4" width="10" style="723" customWidth="1"/>
    <col min="5" max="5" width="8.140625" style="723" customWidth="1"/>
    <col min="6" max="8" width="11.85546875" style="723" customWidth="1"/>
    <col min="9" max="9" width="9.140625" style="723"/>
    <col min="10" max="10" width="8.140625" style="723" customWidth="1"/>
    <col min="11" max="23" width="9.140625" style="723"/>
    <col min="24" max="25" width="10.28515625" style="723" bestFit="1" customWidth="1"/>
    <col min="26" max="16384" width="9.140625" style="723"/>
  </cols>
  <sheetData>
    <row r="1" spans="1:31" x14ac:dyDescent="0.2">
      <c r="J1" s="645"/>
    </row>
    <row r="2" spans="1:31" s="645" customFormat="1" x14ac:dyDescent="0.2">
      <c r="D2" s="2700" t="s">
        <v>1147</v>
      </c>
      <c r="E2" s="2700"/>
      <c r="F2" s="2700" t="s">
        <v>1148</v>
      </c>
      <c r="G2" s="2700"/>
      <c r="H2" s="2700" t="s">
        <v>874</v>
      </c>
      <c r="I2" s="2700"/>
      <c r="J2" s="2700" t="s">
        <v>493</v>
      </c>
      <c r="K2" s="2700"/>
      <c r="L2" s="2700"/>
      <c r="M2" s="2700"/>
      <c r="N2" s="2700"/>
      <c r="O2" s="2700"/>
      <c r="P2" s="1997"/>
      <c r="Q2" s="1997"/>
      <c r="R2" s="1997"/>
      <c r="S2" s="2284"/>
      <c r="T2" s="2700"/>
      <c r="U2" s="2700"/>
      <c r="V2" s="2700"/>
      <c r="W2" s="2700"/>
      <c r="X2" s="2700"/>
      <c r="Y2" s="2700"/>
      <c r="Z2" s="2700"/>
      <c r="AA2" s="2700"/>
      <c r="AB2" s="2700"/>
      <c r="AC2" s="2700"/>
      <c r="AD2" s="2700"/>
      <c r="AE2" s="2700"/>
    </row>
    <row r="3" spans="1:31" x14ac:dyDescent="0.2">
      <c r="A3" s="645"/>
      <c r="B3" s="645"/>
      <c r="C3" s="645"/>
    </row>
    <row r="4" spans="1:31" x14ac:dyDescent="0.2">
      <c r="A4" s="645" t="s">
        <v>1258</v>
      </c>
      <c r="B4" s="645" t="s">
        <v>1259</v>
      </c>
      <c r="C4" s="645" t="s">
        <v>1945</v>
      </c>
      <c r="D4" s="645" t="s">
        <v>2560</v>
      </c>
      <c r="E4" s="645" t="s">
        <v>2624</v>
      </c>
      <c r="F4" s="645" t="str">
        <f>D4</f>
        <v>Principal</v>
      </c>
      <c r="G4" s="645" t="str">
        <f>E4</f>
        <v>Interest</v>
      </c>
      <c r="H4" s="645" t="str">
        <f t="shared" ref="H4:K4" si="0">F4</f>
        <v>Principal</v>
      </c>
      <c r="I4" s="645" t="str">
        <f t="shared" si="0"/>
        <v>Interest</v>
      </c>
      <c r="J4" s="645" t="str">
        <f t="shared" si="0"/>
        <v>Principal</v>
      </c>
      <c r="K4" s="645" t="str">
        <f t="shared" si="0"/>
        <v>Interest</v>
      </c>
      <c r="L4" s="645"/>
      <c r="M4" s="645"/>
      <c r="N4" s="645"/>
      <c r="O4" s="645"/>
      <c r="P4" s="645"/>
      <c r="Q4" s="645"/>
      <c r="R4" s="645"/>
      <c r="S4" s="645"/>
      <c r="T4" s="645"/>
      <c r="U4" s="645"/>
      <c r="V4" s="645"/>
      <c r="W4" s="645"/>
      <c r="X4" s="645"/>
      <c r="Y4" s="645"/>
      <c r="Z4" s="645"/>
      <c r="AA4" s="645"/>
      <c r="AB4" s="645"/>
      <c r="AC4" s="645"/>
      <c r="AD4" s="645"/>
      <c r="AE4" s="645"/>
    </row>
    <row r="5" spans="1:31" hidden="1" x14ac:dyDescent="0.2">
      <c r="A5" s="723">
        <v>65</v>
      </c>
      <c r="B5" s="723" t="s">
        <v>1741</v>
      </c>
      <c r="C5" s="2038">
        <v>28306</v>
      </c>
    </row>
    <row r="6" spans="1:31" x14ac:dyDescent="0.2">
      <c r="C6" s="2038"/>
    </row>
    <row r="7" spans="1:31" x14ac:dyDescent="0.2">
      <c r="A7" s="2039"/>
      <c r="C7" s="2038"/>
      <c r="D7" s="1116"/>
      <c r="E7" s="1116"/>
    </row>
    <row r="8" spans="1:31" x14ac:dyDescent="0.2">
      <c r="A8" s="1997" t="s">
        <v>1898</v>
      </c>
      <c r="B8" s="645" t="s">
        <v>1897</v>
      </c>
      <c r="C8" s="2040"/>
      <c r="D8" s="1116"/>
      <c r="E8" s="1116"/>
    </row>
    <row r="9" spans="1:31" x14ac:dyDescent="0.2">
      <c r="A9" s="761">
        <v>4000</v>
      </c>
      <c r="B9" s="726" t="s">
        <v>101</v>
      </c>
      <c r="C9" s="762">
        <v>41320</v>
      </c>
      <c r="D9" s="604">
        <v>3554</v>
      </c>
      <c r="E9" s="604">
        <v>302</v>
      </c>
      <c r="F9" s="604">
        <v>3766</v>
      </c>
      <c r="G9" s="604">
        <v>84</v>
      </c>
      <c r="H9" s="604">
        <v>0</v>
      </c>
      <c r="I9" s="604">
        <v>0</v>
      </c>
      <c r="J9" s="604">
        <v>0</v>
      </c>
      <c r="K9" s="604">
        <v>0</v>
      </c>
      <c r="L9" s="604"/>
      <c r="M9" s="604"/>
      <c r="N9" s="604"/>
      <c r="O9" s="604"/>
      <c r="P9" s="604"/>
      <c r="Q9" s="604"/>
      <c r="R9" s="604"/>
      <c r="S9" s="604"/>
    </row>
    <row r="11" spans="1:31" x14ac:dyDescent="0.2">
      <c r="B11" s="723" t="s">
        <v>860</v>
      </c>
      <c r="D11" s="2028">
        <v>7320</v>
      </c>
      <c r="F11" s="2028">
        <f>D14</f>
        <v>3766</v>
      </c>
      <c r="H11" s="2028" t="e">
        <f>F14</f>
        <v>#REF!</v>
      </c>
      <c r="J11" s="2028" t="e">
        <f>H14</f>
        <v>#REF!</v>
      </c>
    </row>
    <row r="12" spans="1:31" x14ac:dyDescent="0.2">
      <c r="B12" s="723" t="s">
        <v>2674</v>
      </c>
      <c r="D12" s="2028">
        <f>D9</f>
        <v>3554</v>
      </c>
      <c r="F12" s="2028">
        <f>F9</f>
        <v>3766</v>
      </c>
      <c r="H12" s="2028">
        <f>H9</f>
        <v>0</v>
      </c>
      <c r="J12" s="2028">
        <f>J9</f>
        <v>0</v>
      </c>
    </row>
    <row r="13" spans="1:31" x14ac:dyDescent="0.2">
      <c r="B13" s="723" t="s">
        <v>742</v>
      </c>
      <c r="D13" s="2028">
        <v>0</v>
      </c>
      <c r="F13" s="2028" t="e">
        <f>'Cap-Water'!#REF!</f>
        <v>#REF!</v>
      </c>
      <c r="H13" s="2028" t="e">
        <f>'Cap-Water'!#REF!</f>
        <v>#REF!</v>
      </c>
      <c r="J13" s="2028">
        <f>'Cap-Water'!T73</f>
        <v>0</v>
      </c>
    </row>
    <row r="14" spans="1:31" s="645" customFormat="1" ht="13.5" thickBot="1" x14ac:dyDescent="0.25">
      <c r="B14" s="645" t="s">
        <v>861</v>
      </c>
      <c r="D14" s="2041">
        <f>D11-D12+D13</f>
        <v>3766</v>
      </c>
      <c r="F14" s="2041" t="e">
        <f>F11-F12+F13</f>
        <v>#REF!</v>
      </c>
      <c r="H14" s="2041" t="e">
        <f>H11-H12+H13</f>
        <v>#REF!</v>
      </c>
      <c r="J14" s="2041" t="e">
        <f>J11-J12+J13</f>
        <v>#REF!</v>
      </c>
      <c r="L14" s="723"/>
      <c r="M14" s="723"/>
      <c r="N14" s="723"/>
      <c r="O14" s="723"/>
      <c r="P14" s="723"/>
      <c r="Q14" s="723"/>
      <c r="R14" s="723"/>
      <c r="S14" s="723"/>
      <c r="T14" s="723"/>
      <c r="U14" s="723"/>
      <c r="V14" s="723"/>
      <c r="W14" s="723"/>
      <c r="X14" s="723"/>
      <c r="Y14" s="723"/>
    </row>
    <row r="15" spans="1:31" ht="13.5" thickTop="1" x14ac:dyDescent="0.2">
      <c r="J15" s="645"/>
    </row>
    <row r="18" spans="1:20" ht="13.5" thickBot="1" x14ac:dyDescent="0.25"/>
    <row r="19" spans="1:20" s="80" customFormat="1" ht="18.75" customHeight="1" thickTop="1" thickBot="1" x14ac:dyDescent="0.25">
      <c r="A19" s="2701" t="s">
        <v>2228</v>
      </c>
      <c r="B19" s="2702"/>
      <c r="C19" s="2702"/>
      <c r="D19" s="2702"/>
      <c r="E19" s="2702"/>
      <c r="F19" s="2702"/>
      <c r="G19" s="2702"/>
      <c r="H19" s="2702"/>
      <c r="I19" s="2702"/>
      <c r="J19" s="2702"/>
      <c r="K19" s="2702"/>
      <c r="L19" s="2702"/>
      <c r="M19" s="2702"/>
      <c r="N19" s="2702"/>
      <c r="O19" s="2702"/>
      <c r="P19" s="2702"/>
      <c r="Q19" s="2702"/>
      <c r="R19" s="2702"/>
      <c r="S19" s="2702"/>
      <c r="T19" s="2703"/>
    </row>
    <row r="20" spans="1:20" s="80" customFormat="1" ht="13.5" thickBot="1" x14ac:dyDescent="0.25">
      <c r="A20" s="579" t="s">
        <v>414</v>
      </c>
      <c r="B20" s="311" t="s">
        <v>2229</v>
      </c>
      <c r="C20" s="311" t="s">
        <v>2230</v>
      </c>
      <c r="D20" s="312" t="s">
        <v>2231</v>
      </c>
      <c r="E20" s="847" t="s">
        <v>929</v>
      </c>
      <c r="F20" s="464" t="str">
        <f>'Cash-W'!B3</f>
        <v>2014/15</v>
      </c>
      <c r="G20" s="28" t="str">
        <f>LTFP!C237</f>
        <v>2015/16</v>
      </c>
      <c r="H20" s="28" t="str">
        <f>LTFP!D237</f>
        <v>2016/17</v>
      </c>
      <c r="I20" s="28" t="str">
        <f>LTFP!F237</f>
        <v>2017/18</v>
      </c>
      <c r="J20" s="28" t="str">
        <f>LTFP!H237</f>
        <v>2018/19</v>
      </c>
      <c r="K20" s="28" t="str">
        <f>LTFP!I237</f>
        <v>2019/20</v>
      </c>
      <c r="L20" s="28" t="str">
        <f>LTFP!J237</f>
        <v>2020/21</v>
      </c>
      <c r="M20" s="28" t="str">
        <f>LTFP!K237</f>
        <v>2021/22</v>
      </c>
      <c r="N20" s="28" t="str">
        <f>LTFP!L237</f>
        <v>2022/23</v>
      </c>
      <c r="O20" s="28" t="str">
        <f>LTFP!M237</f>
        <v>2023/24</v>
      </c>
      <c r="P20" s="28" t="str">
        <f>LTFP!N237</f>
        <v>2024/25</v>
      </c>
      <c r="Q20" s="1012" t="str">
        <f>LTFP!O237</f>
        <v>2025/26</v>
      </c>
      <c r="R20" s="1012" t="str">
        <f>LTFP!P237</f>
        <v>2026/27</v>
      </c>
      <c r="S20" s="1012" t="str">
        <f>LTFP!Q237</f>
        <v>2027/28</v>
      </c>
      <c r="T20" s="580" t="s">
        <v>2615</v>
      </c>
    </row>
    <row r="21" spans="1:20" s="80" customFormat="1" x14ac:dyDescent="0.2">
      <c r="A21" s="581"/>
      <c r="B21" s="79"/>
      <c r="C21" s="79"/>
      <c r="D21" s="582"/>
      <c r="E21" s="77"/>
      <c r="F21" s="77"/>
      <c r="G21" s="77"/>
      <c r="H21" s="79"/>
      <c r="I21" s="77"/>
      <c r="J21" s="79"/>
      <c r="K21" s="79"/>
      <c r="L21" s="79"/>
      <c r="M21" s="79"/>
      <c r="N21" s="79"/>
      <c r="O21" s="79"/>
      <c r="P21" s="79"/>
      <c r="Q21" s="587"/>
      <c r="R21" s="587"/>
      <c r="S21" s="587"/>
      <c r="T21" s="78"/>
    </row>
    <row r="22" spans="1:20" s="80" customFormat="1" x14ac:dyDescent="0.2">
      <c r="A22" s="583" t="s">
        <v>541</v>
      </c>
      <c r="B22" s="584" t="s">
        <v>847</v>
      </c>
      <c r="C22" s="585" t="s">
        <v>847</v>
      </c>
      <c r="D22" s="586" t="s">
        <v>847</v>
      </c>
      <c r="E22" s="77">
        <v>0</v>
      </c>
      <c r="F22" s="77">
        <f>ROUND(H9+I9,-2)</f>
        <v>0</v>
      </c>
      <c r="G22" s="79">
        <v>0</v>
      </c>
      <c r="H22" s="79"/>
      <c r="I22" s="77"/>
      <c r="J22" s="79"/>
      <c r="K22" s="79"/>
      <c r="L22" s="79"/>
      <c r="M22" s="79"/>
      <c r="N22" s="79"/>
      <c r="O22" s="79"/>
      <c r="P22" s="79"/>
      <c r="Q22" s="587"/>
      <c r="R22" s="587"/>
      <c r="S22" s="587"/>
      <c r="T22" s="78">
        <f>SUM(F22:S22)</f>
        <v>0</v>
      </c>
    </row>
    <row r="23" spans="1:20" s="80" customFormat="1" x14ac:dyDescent="0.2">
      <c r="A23" s="583" t="str">
        <f>E$20</f>
        <v>2013/14</v>
      </c>
      <c r="B23" s="584">
        <v>20</v>
      </c>
      <c r="C23" s="585">
        <f>Assumptions!D$15</f>
        <v>0.06</v>
      </c>
      <c r="D23" s="586" t="e">
        <f>'Cap-Water'!#REF!</f>
        <v>#REF!</v>
      </c>
      <c r="E23" s="77"/>
      <c r="F23" s="79" t="e">
        <f>ROUND(-PMT(C23,B23,D23),-3)</f>
        <v>#REF!</v>
      </c>
      <c r="G23" s="79" t="e">
        <f>F23</f>
        <v>#REF!</v>
      </c>
      <c r="H23" s="77"/>
      <c r="I23" s="79"/>
      <c r="J23" s="79"/>
      <c r="K23" s="79"/>
      <c r="L23" s="79"/>
      <c r="M23" s="79"/>
      <c r="N23" s="79"/>
      <c r="O23" s="79"/>
      <c r="P23" s="79"/>
      <c r="Q23" s="587"/>
      <c r="R23" s="587"/>
      <c r="S23" s="587"/>
      <c r="T23" s="78" t="e">
        <f t="shared" ref="T23:T33" si="1">SUM(F23:S23)</f>
        <v>#REF!</v>
      </c>
    </row>
    <row r="24" spans="1:20" s="80" customFormat="1" x14ac:dyDescent="0.2">
      <c r="A24" s="583" t="str">
        <f>F$20</f>
        <v>2014/15</v>
      </c>
      <c r="B24" s="584">
        <f>B23</f>
        <v>20</v>
      </c>
      <c r="C24" s="585">
        <f>Assumptions!E$15</f>
        <v>0.06</v>
      </c>
      <c r="D24" s="586" t="e">
        <f>'Cap-Water'!#REF!</f>
        <v>#REF!</v>
      </c>
      <c r="E24" s="77"/>
      <c r="F24" s="79"/>
      <c r="G24" s="79" t="e">
        <f>ROUND(-PMT(C24,B24,D24),-3)</f>
        <v>#REF!</v>
      </c>
      <c r="H24" s="77"/>
      <c r="I24" s="79"/>
      <c r="J24" s="79"/>
      <c r="K24" s="79"/>
      <c r="L24" s="79"/>
      <c r="M24" s="79"/>
      <c r="N24" s="79"/>
      <c r="O24" s="79"/>
      <c r="P24" s="79"/>
      <c r="Q24" s="587"/>
      <c r="R24" s="587"/>
      <c r="S24" s="587"/>
      <c r="T24" s="78" t="e">
        <f t="shared" si="1"/>
        <v>#REF!</v>
      </c>
    </row>
    <row r="25" spans="1:20" s="80" customFormat="1" x14ac:dyDescent="0.2">
      <c r="A25" s="583" t="str">
        <f>G$20</f>
        <v>2015/16</v>
      </c>
      <c r="B25" s="584">
        <f t="shared" ref="B25:B33" si="2">B24</f>
        <v>20</v>
      </c>
      <c r="C25" s="585">
        <f>Assumptions!F$15</f>
        <v>0.06</v>
      </c>
      <c r="D25" s="586">
        <f>'Cap-Water'!T$73</f>
        <v>0</v>
      </c>
      <c r="E25" s="77"/>
      <c r="F25" s="79"/>
      <c r="G25" s="79"/>
      <c r="H25" s="79"/>
      <c r="I25" s="79"/>
      <c r="J25" s="79"/>
      <c r="K25" s="79"/>
      <c r="L25" s="79"/>
      <c r="M25" s="79"/>
      <c r="N25" s="79"/>
      <c r="O25" s="79"/>
      <c r="P25" s="79"/>
      <c r="Q25" s="587"/>
      <c r="R25" s="587"/>
      <c r="S25" s="587"/>
      <c r="T25" s="78">
        <f t="shared" si="1"/>
        <v>0</v>
      </c>
    </row>
    <row r="26" spans="1:20" s="80" customFormat="1" x14ac:dyDescent="0.2">
      <c r="A26" s="583" t="str">
        <f>H$20</f>
        <v>2016/17</v>
      </c>
      <c r="B26" s="584">
        <f t="shared" si="2"/>
        <v>20</v>
      </c>
      <c r="C26" s="585">
        <f>Assumptions!G$15</f>
        <v>0.06</v>
      </c>
      <c r="D26" s="586">
        <f>'Cap-Water'!X$73</f>
        <v>0</v>
      </c>
      <c r="E26" s="77"/>
      <c r="F26" s="77"/>
      <c r="G26" s="79"/>
      <c r="H26" s="79"/>
      <c r="I26" s="79"/>
      <c r="K26" s="79"/>
      <c r="L26" s="79"/>
      <c r="M26" s="79"/>
      <c r="N26" s="79"/>
      <c r="O26" s="79"/>
      <c r="P26" s="79"/>
      <c r="Q26" s="587"/>
      <c r="R26" s="587"/>
      <c r="S26" s="587"/>
      <c r="T26" s="78">
        <f t="shared" si="1"/>
        <v>0</v>
      </c>
    </row>
    <row r="27" spans="1:20" s="80" customFormat="1" x14ac:dyDescent="0.2">
      <c r="A27" s="583" t="str">
        <f>I$20</f>
        <v>2017/18</v>
      </c>
      <c r="B27" s="584">
        <f t="shared" si="2"/>
        <v>20</v>
      </c>
      <c r="C27" s="585">
        <f>Assumptions!H$15</f>
        <v>0.06</v>
      </c>
      <c r="D27" s="586">
        <f>'Cap-Water'!AB$73</f>
        <v>0</v>
      </c>
      <c r="E27" s="77"/>
      <c r="F27" s="77"/>
      <c r="G27" s="79"/>
      <c r="H27" s="79"/>
      <c r="I27" s="77"/>
      <c r="J27" s="79"/>
      <c r="L27" s="79"/>
      <c r="M27" s="79"/>
      <c r="N27" s="79"/>
      <c r="O27" s="79"/>
      <c r="P27" s="79"/>
      <c r="Q27" s="587"/>
      <c r="R27" s="587"/>
      <c r="S27" s="587"/>
      <c r="T27" s="78">
        <f t="shared" si="1"/>
        <v>0</v>
      </c>
    </row>
    <row r="28" spans="1:20" s="80" customFormat="1" x14ac:dyDescent="0.2">
      <c r="A28" s="583" t="str">
        <f>J$20</f>
        <v>2018/19</v>
      </c>
      <c r="B28" s="584">
        <f t="shared" si="2"/>
        <v>20</v>
      </c>
      <c r="C28" s="585">
        <f>Assumptions!I$15</f>
        <v>0.06</v>
      </c>
      <c r="D28" s="586">
        <f>'Cap-Water'!AF$73</f>
        <v>0</v>
      </c>
      <c r="E28" s="77"/>
      <c r="F28" s="77"/>
      <c r="G28" s="79"/>
      <c r="H28" s="79"/>
      <c r="I28" s="77"/>
      <c r="J28" s="79"/>
      <c r="K28" s="79"/>
      <c r="M28" s="79"/>
      <c r="N28" s="79"/>
      <c r="O28" s="79"/>
      <c r="P28" s="79"/>
      <c r="Q28" s="587"/>
      <c r="R28" s="587"/>
      <c r="S28" s="587"/>
      <c r="T28" s="78">
        <f t="shared" si="1"/>
        <v>0</v>
      </c>
    </row>
    <row r="29" spans="1:20" s="80" customFormat="1" x14ac:dyDescent="0.2">
      <c r="A29" s="583" t="str">
        <f>K$20</f>
        <v>2019/20</v>
      </c>
      <c r="B29" s="584">
        <f t="shared" si="2"/>
        <v>20</v>
      </c>
      <c r="C29" s="585">
        <f>Assumptions!J$15</f>
        <v>0.06</v>
      </c>
      <c r="D29" s="586">
        <f>'Cap-Water'!AJ$73</f>
        <v>0</v>
      </c>
      <c r="E29" s="77"/>
      <c r="F29" s="77"/>
      <c r="G29" s="79"/>
      <c r="H29" s="79"/>
      <c r="I29" s="77"/>
      <c r="J29" s="79"/>
      <c r="K29" s="79"/>
      <c r="L29" s="79"/>
      <c r="N29" s="79"/>
      <c r="O29" s="79"/>
      <c r="P29" s="79"/>
      <c r="Q29" s="587"/>
      <c r="R29" s="587"/>
      <c r="S29" s="587"/>
      <c r="T29" s="78">
        <f t="shared" si="1"/>
        <v>0</v>
      </c>
    </row>
    <row r="30" spans="1:20" s="80" customFormat="1" x14ac:dyDescent="0.2">
      <c r="A30" s="583" t="str">
        <f>L$20</f>
        <v>2020/21</v>
      </c>
      <c r="B30" s="584">
        <f t="shared" si="2"/>
        <v>20</v>
      </c>
      <c r="C30" s="585">
        <f>Assumptions!J$15</f>
        <v>0.06</v>
      </c>
      <c r="D30" s="586">
        <f>'Cap-Water'!AN$73</f>
        <v>0</v>
      </c>
      <c r="E30" s="77"/>
      <c r="F30" s="77"/>
      <c r="G30" s="79"/>
      <c r="H30" s="79"/>
      <c r="I30" s="77"/>
      <c r="J30" s="79"/>
      <c r="K30" s="79"/>
      <c r="L30" s="79"/>
      <c r="M30" s="79"/>
      <c r="N30" s="79"/>
      <c r="O30" s="79"/>
      <c r="P30" s="79"/>
      <c r="Q30" s="587"/>
      <c r="R30" s="587"/>
      <c r="S30" s="587"/>
      <c r="T30" s="78">
        <f t="shared" si="1"/>
        <v>0</v>
      </c>
    </row>
    <row r="31" spans="1:20" s="80" customFormat="1" x14ac:dyDescent="0.2">
      <c r="A31" s="583" t="str">
        <f>M$20</f>
        <v>2021/22</v>
      </c>
      <c r="B31" s="584">
        <f t="shared" si="2"/>
        <v>20</v>
      </c>
      <c r="C31" s="585">
        <f>Assumptions!L$15</f>
        <v>0.06</v>
      </c>
      <c r="D31" s="586">
        <f>'Cap-Water'!AR$73</f>
        <v>0</v>
      </c>
      <c r="E31" s="77"/>
      <c r="F31" s="77"/>
      <c r="G31" s="79"/>
      <c r="H31" s="79"/>
      <c r="I31" s="77"/>
      <c r="J31" s="79"/>
      <c r="K31" s="79"/>
      <c r="L31" s="79"/>
      <c r="M31" s="79"/>
      <c r="N31" s="79"/>
      <c r="O31" s="79"/>
      <c r="P31" s="79"/>
      <c r="Q31" s="587"/>
      <c r="R31" s="587"/>
      <c r="S31" s="587"/>
      <c r="T31" s="78">
        <f t="shared" si="1"/>
        <v>0</v>
      </c>
    </row>
    <row r="32" spans="1:20" s="80" customFormat="1" x14ac:dyDescent="0.2">
      <c r="A32" s="583" t="str">
        <f>N$20</f>
        <v>2022/23</v>
      </c>
      <c r="B32" s="584">
        <f t="shared" si="2"/>
        <v>20</v>
      </c>
      <c r="C32" s="585">
        <f>Assumptions!M$15</f>
        <v>0.06</v>
      </c>
      <c r="D32" s="586">
        <f>'Cap-Water'!AV73</f>
        <v>0</v>
      </c>
      <c r="E32" s="77"/>
      <c r="F32" s="77"/>
      <c r="G32" s="79"/>
      <c r="H32" s="79"/>
      <c r="I32" s="77"/>
      <c r="J32" s="79"/>
      <c r="K32" s="79"/>
      <c r="L32" s="79"/>
      <c r="M32" s="79"/>
      <c r="N32" s="79"/>
      <c r="O32" s="79"/>
      <c r="P32" s="79"/>
      <c r="Q32" s="587"/>
      <c r="R32" s="587"/>
      <c r="S32" s="587"/>
      <c r="T32" s="78">
        <f t="shared" si="1"/>
        <v>0</v>
      </c>
    </row>
    <row r="33" spans="1:20" s="80" customFormat="1" x14ac:dyDescent="0.2">
      <c r="A33" s="583" t="str">
        <f>O$20</f>
        <v>2023/24</v>
      </c>
      <c r="B33" s="584">
        <f t="shared" si="2"/>
        <v>20</v>
      </c>
      <c r="C33" s="585">
        <f>Assumptions!N$15</f>
        <v>0.06</v>
      </c>
      <c r="D33" s="586">
        <f>'Cap-Water'!AZ$73</f>
        <v>0</v>
      </c>
      <c r="E33" s="77"/>
      <c r="F33" s="77"/>
      <c r="G33" s="77"/>
      <c r="H33" s="79"/>
      <c r="I33" s="77"/>
      <c r="J33" s="79"/>
      <c r="K33" s="79"/>
      <c r="L33" s="79"/>
      <c r="M33" s="79"/>
      <c r="N33" s="79"/>
      <c r="O33" s="79"/>
      <c r="P33" s="79"/>
      <c r="Q33" s="587"/>
      <c r="R33" s="587"/>
      <c r="S33" s="587"/>
      <c r="T33" s="78">
        <f t="shared" si="1"/>
        <v>0</v>
      </c>
    </row>
    <row r="34" spans="1:20" s="80" customFormat="1" ht="13.5" thickBot="1" x14ac:dyDescent="0.25">
      <c r="A34" s="583"/>
      <c r="B34" s="584"/>
      <c r="C34" s="585"/>
      <c r="D34" s="586"/>
      <c r="E34" s="77"/>
      <c r="F34" s="77"/>
      <c r="G34" s="77"/>
      <c r="H34" s="79"/>
      <c r="I34" s="77"/>
      <c r="J34" s="79"/>
      <c r="K34" s="79"/>
      <c r="L34" s="79"/>
      <c r="M34" s="79"/>
      <c r="N34" s="79"/>
      <c r="O34" s="592"/>
      <c r="P34" s="592"/>
      <c r="Q34" s="603"/>
      <c r="R34" s="603"/>
      <c r="S34" s="603"/>
      <c r="T34" s="78"/>
    </row>
    <row r="35" spans="1:20" s="39" customFormat="1" ht="13.5" thickTop="1" x14ac:dyDescent="0.2">
      <c r="A35" s="725" t="s">
        <v>1504</v>
      </c>
      <c r="B35" s="352"/>
      <c r="C35" s="589"/>
      <c r="D35" s="590" t="e">
        <f>SUM(D23:D32)</f>
        <v>#REF!</v>
      </c>
      <c r="E35" s="69">
        <f>SUM(E22:E32)</f>
        <v>0</v>
      </c>
      <c r="F35" s="69" t="e">
        <f>SUM(F22:F32)</f>
        <v>#REF!</v>
      </c>
      <c r="G35" s="69" t="e">
        <f t="shared" ref="G35:T35" si="3">SUM(G22:G32)</f>
        <v>#REF!</v>
      </c>
      <c r="H35" s="109">
        <f t="shared" si="3"/>
        <v>0</v>
      </c>
      <c r="I35" s="69">
        <f t="shared" si="3"/>
        <v>0</v>
      </c>
      <c r="J35" s="109">
        <f t="shared" si="3"/>
        <v>0</v>
      </c>
      <c r="K35" s="109">
        <f t="shared" si="3"/>
        <v>0</v>
      </c>
      <c r="L35" s="109">
        <f t="shared" si="3"/>
        <v>0</v>
      </c>
      <c r="M35" s="109">
        <f t="shared" si="3"/>
        <v>0</v>
      </c>
      <c r="N35" s="109">
        <f t="shared" si="3"/>
        <v>0</v>
      </c>
      <c r="O35" s="109">
        <f t="shared" si="3"/>
        <v>0</v>
      </c>
      <c r="P35" s="109">
        <f t="shared" ref="P35:Q35" si="4">SUM(P22:P32)</f>
        <v>0</v>
      </c>
      <c r="Q35" s="272">
        <f t="shared" si="4"/>
        <v>0</v>
      </c>
      <c r="R35" s="272">
        <f t="shared" ref="R35:S35" si="5">SUM(R22:R32)</f>
        <v>0</v>
      </c>
      <c r="S35" s="272">
        <f t="shared" si="5"/>
        <v>0</v>
      </c>
      <c r="T35" s="73" t="e">
        <f t="shared" si="3"/>
        <v>#REF!</v>
      </c>
    </row>
    <row r="36" spans="1:20" s="80" customFormat="1" ht="13.5" thickBot="1" x14ac:dyDescent="0.25">
      <c r="A36" s="591"/>
      <c r="B36" s="592"/>
      <c r="C36" s="592"/>
      <c r="D36" s="588"/>
      <c r="E36" s="593"/>
      <c r="F36" s="593"/>
      <c r="G36" s="593"/>
      <c r="H36" s="592"/>
      <c r="I36" s="593"/>
      <c r="J36" s="592"/>
      <c r="K36" s="592"/>
      <c r="L36" s="592"/>
      <c r="M36" s="592"/>
      <c r="N36" s="592"/>
      <c r="O36" s="592"/>
      <c r="P36" s="592"/>
      <c r="Q36" s="603"/>
      <c r="R36" s="603"/>
      <c r="S36" s="603"/>
      <c r="T36" s="594"/>
    </row>
    <row r="37" spans="1:20" s="726" customFormat="1" ht="14.25" thickTop="1" thickBot="1" x14ac:dyDescent="0.25"/>
    <row r="38" spans="1:20" s="80" customFormat="1" ht="18.75" customHeight="1" thickTop="1" thickBot="1" x14ac:dyDescent="0.25">
      <c r="A38" s="2701" t="s">
        <v>1251</v>
      </c>
      <c r="B38" s="2702"/>
      <c r="C38" s="2702"/>
      <c r="D38" s="2702"/>
      <c r="E38" s="2702"/>
      <c r="F38" s="2702"/>
      <c r="G38" s="2702"/>
      <c r="H38" s="2702"/>
      <c r="I38" s="2702"/>
      <c r="J38" s="2702"/>
      <c r="K38" s="2702"/>
      <c r="L38" s="2702"/>
      <c r="M38" s="2702"/>
      <c r="N38" s="2702"/>
      <c r="O38" s="2702"/>
      <c r="P38" s="2702"/>
      <c r="Q38" s="2702"/>
      <c r="R38" s="2702"/>
      <c r="S38" s="2702"/>
      <c r="T38" s="2703"/>
    </row>
    <row r="39" spans="1:20" s="80" customFormat="1" ht="13.5" thickBot="1" x14ac:dyDescent="0.25">
      <c r="A39" s="579" t="s">
        <v>1252</v>
      </c>
      <c r="B39" s="311" t="str">
        <f>B20</f>
        <v>Term</v>
      </c>
      <c r="C39" s="311" t="str">
        <f>C20</f>
        <v>Rate</v>
      </c>
      <c r="D39" s="312" t="s">
        <v>2444</v>
      </c>
      <c r="E39" s="464" t="str">
        <f>E20</f>
        <v>2013/14</v>
      </c>
      <c r="F39" s="464" t="str">
        <f>F20</f>
        <v>2014/15</v>
      </c>
      <c r="G39" s="464" t="str">
        <f t="shared" ref="G39:O39" si="6">G20</f>
        <v>2015/16</v>
      </c>
      <c r="H39" s="464" t="str">
        <f t="shared" si="6"/>
        <v>2016/17</v>
      </c>
      <c r="I39" s="464" t="str">
        <f t="shared" si="6"/>
        <v>2017/18</v>
      </c>
      <c r="J39" s="464" t="str">
        <f t="shared" si="6"/>
        <v>2018/19</v>
      </c>
      <c r="K39" s="464" t="str">
        <f t="shared" si="6"/>
        <v>2019/20</v>
      </c>
      <c r="L39" s="464" t="str">
        <f t="shared" si="6"/>
        <v>2020/21</v>
      </c>
      <c r="M39" s="464" t="str">
        <f t="shared" si="6"/>
        <v>2021/22</v>
      </c>
      <c r="N39" s="464" t="str">
        <f t="shared" si="6"/>
        <v>2022/23</v>
      </c>
      <c r="O39" s="28" t="str">
        <f t="shared" si="6"/>
        <v>2023/24</v>
      </c>
      <c r="P39" s="28" t="str">
        <f t="shared" ref="P39:Q39" si="7">P20</f>
        <v>2024/25</v>
      </c>
      <c r="Q39" s="1012" t="str">
        <f t="shared" si="7"/>
        <v>2025/26</v>
      </c>
      <c r="R39" s="1012" t="str">
        <f t="shared" ref="R39:S39" si="8">R20</f>
        <v>2026/27</v>
      </c>
      <c r="S39" s="1012" t="str">
        <f t="shared" si="8"/>
        <v>2027/28</v>
      </c>
      <c r="T39" s="580" t="str">
        <f>T20</f>
        <v>Totals</v>
      </c>
    </row>
    <row r="40" spans="1:20" s="80" customFormat="1" x14ac:dyDescent="0.2">
      <c r="A40" s="581"/>
      <c r="B40" s="79"/>
      <c r="C40" s="79"/>
      <c r="D40" s="582"/>
      <c r="E40" s="77"/>
      <c r="F40" s="77"/>
      <c r="G40" s="77"/>
      <c r="H40" s="79"/>
      <c r="I40" s="77"/>
      <c r="J40" s="79"/>
      <c r="K40" s="79"/>
      <c r="L40" s="79"/>
      <c r="M40" s="79"/>
      <c r="N40" s="79"/>
      <c r="O40" s="79"/>
      <c r="P40" s="79"/>
      <c r="Q40" s="587"/>
      <c r="R40" s="587"/>
      <c r="S40" s="587"/>
      <c r="T40" s="78"/>
    </row>
    <row r="41" spans="1:20" s="80" customFormat="1" x14ac:dyDescent="0.2">
      <c r="A41" s="583" t="str">
        <f>A22</f>
        <v>Existing Loans</v>
      </c>
      <c r="B41" s="584" t="s">
        <v>847</v>
      </c>
      <c r="C41" s="585" t="s">
        <v>847</v>
      </c>
      <c r="D41" s="586" t="s">
        <v>847</v>
      </c>
      <c r="E41" s="77"/>
      <c r="F41" s="77"/>
      <c r="G41" s="79"/>
      <c r="H41" s="79"/>
      <c r="I41" s="77"/>
      <c r="J41" s="79"/>
      <c r="K41" s="79"/>
      <c r="L41" s="79"/>
      <c r="M41" s="79"/>
      <c r="N41" s="79"/>
      <c r="O41" s="79"/>
      <c r="P41" s="79"/>
      <c r="Q41" s="587"/>
      <c r="R41" s="587"/>
      <c r="S41" s="587"/>
      <c r="T41" s="78"/>
    </row>
    <row r="42" spans="1:20" s="80" customFormat="1" x14ac:dyDescent="0.2">
      <c r="A42" s="1742"/>
      <c r="B42" s="584"/>
      <c r="C42" s="585"/>
      <c r="D42" s="586" t="s">
        <v>1253</v>
      </c>
      <c r="E42" s="77">
        <v>3500</v>
      </c>
      <c r="F42" s="77">
        <v>3800</v>
      </c>
      <c r="G42" s="79">
        <v>0</v>
      </c>
      <c r="H42" s="79"/>
      <c r="I42" s="77"/>
      <c r="J42" s="79"/>
      <c r="K42" s="79"/>
      <c r="L42" s="79"/>
      <c r="M42" s="79"/>
      <c r="N42" s="79"/>
      <c r="O42" s="79"/>
      <c r="P42" s="79"/>
      <c r="Q42" s="587"/>
      <c r="R42" s="587"/>
      <c r="S42" s="587"/>
      <c r="T42" s="78">
        <f>SUM(E42:O42)</f>
        <v>7300</v>
      </c>
    </row>
    <row r="43" spans="1:20" s="80" customFormat="1" x14ac:dyDescent="0.2">
      <c r="A43" s="1742"/>
      <c r="B43" s="584"/>
      <c r="C43" s="585"/>
      <c r="D43" s="586" t="s">
        <v>2624</v>
      </c>
      <c r="E43" s="77">
        <v>500</v>
      </c>
      <c r="F43" s="77">
        <v>200</v>
      </c>
      <c r="G43" s="79">
        <v>0</v>
      </c>
      <c r="H43" s="79"/>
      <c r="I43" s="77"/>
      <c r="J43" s="79"/>
      <c r="K43" s="79"/>
      <c r="L43" s="79"/>
      <c r="M43" s="79"/>
      <c r="N43" s="79"/>
      <c r="O43" s="79"/>
      <c r="P43" s="79"/>
      <c r="Q43" s="587"/>
      <c r="R43" s="587"/>
      <c r="S43" s="587"/>
      <c r="T43" s="78">
        <f>SUM(E43:O43)</f>
        <v>700</v>
      </c>
    </row>
    <row r="44" spans="1:20" s="39" customFormat="1" x14ac:dyDescent="0.2">
      <c r="A44" s="2042"/>
      <c r="B44" s="126"/>
      <c r="C44" s="595"/>
      <c r="D44" s="596" t="s">
        <v>1254</v>
      </c>
      <c r="E44" s="75">
        <f>F42+G42</f>
        <v>3800</v>
      </c>
      <c r="F44" s="75">
        <f>E44-F42</f>
        <v>0</v>
      </c>
      <c r="G44" s="75">
        <f>F44-G42</f>
        <v>0</v>
      </c>
      <c r="H44" s="21"/>
      <c r="I44" s="75"/>
      <c r="J44" s="21"/>
      <c r="K44" s="21"/>
      <c r="L44" s="21"/>
      <c r="M44" s="21"/>
      <c r="N44" s="21"/>
      <c r="O44" s="21"/>
      <c r="P44" s="21"/>
      <c r="Q44" s="64"/>
      <c r="R44" s="64"/>
      <c r="S44" s="64"/>
      <c r="T44" s="62"/>
    </row>
    <row r="45" spans="1:20" s="80" customFormat="1" x14ac:dyDescent="0.2">
      <c r="A45" s="1742"/>
      <c r="B45" s="584"/>
      <c r="C45" s="585"/>
      <c r="D45" s="586"/>
      <c r="E45" s="77"/>
      <c r="F45" s="77"/>
      <c r="G45" s="79"/>
      <c r="H45" s="79"/>
      <c r="I45" s="77"/>
      <c r="J45" s="79"/>
      <c r="K45" s="79"/>
      <c r="L45" s="79"/>
      <c r="M45" s="79"/>
      <c r="N45" s="79"/>
      <c r="O45" s="79"/>
      <c r="P45" s="79"/>
      <c r="Q45" s="587"/>
      <c r="R45" s="587"/>
      <c r="S45" s="587"/>
      <c r="T45" s="78"/>
    </row>
    <row r="46" spans="1:20" s="80" customFormat="1" x14ac:dyDescent="0.2">
      <c r="A46" s="1742"/>
      <c r="B46" s="584"/>
      <c r="C46" s="585"/>
      <c r="D46" s="586"/>
      <c r="E46" s="77"/>
      <c r="F46" s="77"/>
      <c r="G46" s="79"/>
      <c r="H46" s="79"/>
      <c r="I46" s="77"/>
      <c r="J46" s="79"/>
      <c r="K46" s="79"/>
      <c r="L46" s="79"/>
      <c r="M46" s="79"/>
      <c r="N46" s="79"/>
      <c r="O46" s="79"/>
      <c r="P46" s="79"/>
      <c r="Q46" s="587"/>
      <c r="R46" s="587"/>
      <c r="S46" s="587"/>
      <c r="T46" s="78"/>
    </row>
    <row r="47" spans="1:20" s="80" customFormat="1" x14ac:dyDescent="0.2">
      <c r="A47" s="1742" t="str">
        <f>A23</f>
        <v>2013/14</v>
      </c>
      <c r="B47" s="584">
        <f>B23</f>
        <v>20</v>
      </c>
      <c r="C47" s="585">
        <f>Assumptions!D$15</f>
        <v>0.06</v>
      </c>
      <c r="D47" s="586" t="e">
        <f>D23</f>
        <v>#REF!</v>
      </c>
      <c r="E47" s="77"/>
      <c r="F47" s="77"/>
      <c r="G47" s="77"/>
      <c r="H47" s="79"/>
      <c r="I47" s="79"/>
      <c r="J47" s="79"/>
      <c r="K47" s="79"/>
      <c r="L47" s="79"/>
      <c r="M47" s="79"/>
      <c r="N47" s="79"/>
      <c r="O47" s="79"/>
      <c r="P47" s="79"/>
      <c r="Q47" s="587"/>
      <c r="R47" s="587"/>
      <c r="S47" s="587"/>
      <c r="T47" s="78"/>
    </row>
    <row r="48" spans="1:20" s="80" customFormat="1" x14ac:dyDescent="0.2">
      <c r="A48" s="1742"/>
      <c r="B48" s="584"/>
      <c r="C48" s="585"/>
      <c r="D48" s="586" t="str">
        <f>D42</f>
        <v xml:space="preserve">Principal </v>
      </c>
      <c r="E48" s="77"/>
      <c r="F48" s="79" t="e">
        <f>-ROUND(PMT($C$47,$B$47,$D$47),-3)-F49</f>
        <v>#REF!</v>
      </c>
      <c r="G48" s="79" t="e">
        <f t="shared" ref="G48" si="9">-ROUND(PMT($C$47,$B$47,$D$47),-3)-G49</f>
        <v>#REF!</v>
      </c>
      <c r="H48" s="79"/>
      <c r="I48" s="77"/>
      <c r="J48" s="79"/>
      <c r="K48" s="79"/>
      <c r="L48" s="79"/>
      <c r="M48" s="79"/>
      <c r="N48" s="79"/>
      <c r="O48" s="79"/>
      <c r="P48" s="79"/>
      <c r="Q48" s="587"/>
      <c r="R48" s="587"/>
      <c r="S48" s="587"/>
      <c r="T48" s="78" t="e">
        <f>SUM(E48:O48)</f>
        <v>#REF!</v>
      </c>
    </row>
    <row r="49" spans="1:20" s="80" customFormat="1" x14ac:dyDescent="0.2">
      <c r="A49" s="1742"/>
      <c r="B49" s="584"/>
      <c r="C49" s="585"/>
      <c r="D49" s="586" t="str">
        <f>D43</f>
        <v>Interest</v>
      </c>
      <c r="E49" s="77"/>
      <c r="F49" s="79" t="e">
        <f>ROUND(D47*$C$47,-3)</f>
        <v>#REF!</v>
      </c>
      <c r="G49" s="79" t="e">
        <f>ROUND(F50*$C$47,-3)</f>
        <v>#REF!</v>
      </c>
      <c r="H49" s="79"/>
      <c r="I49" s="79"/>
      <c r="J49" s="79"/>
      <c r="K49" s="79"/>
      <c r="L49" s="79"/>
      <c r="M49" s="79"/>
      <c r="N49" s="79"/>
      <c r="O49" s="79"/>
      <c r="P49" s="79"/>
      <c r="Q49" s="587"/>
      <c r="R49" s="587"/>
      <c r="S49" s="587"/>
      <c r="T49" s="78" t="e">
        <f>SUM(E49:O49)</f>
        <v>#REF!</v>
      </c>
    </row>
    <row r="50" spans="1:20" s="39" customFormat="1" x14ac:dyDescent="0.2">
      <c r="A50" s="2042"/>
      <c r="B50" s="126"/>
      <c r="C50" s="595"/>
      <c r="D50" s="596" t="str">
        <f>D44</f>
        <v>O/S Princ</v>
      </c>
      <c r="E50" s="75" t="e">
        <f>D47</f>
        <v>#REF!</v>
      </c>
      <c r="F50" s="75" t="e">
        <f>E50-F48</f>
        <v>#REF!</v>
      </c>
      <c r="G50" s="75" t="e">
        <f t="shared" ref="G50" si="10">F50-G48</f>
        <v>#REF!</v>
      </c>
      <c r="H50" s="75"/>
      <c r="I50" s="75"/>
      <c r="J50" s="75"/>
      <c r="K50" s="75"/>
      <c r="L50" s="75"/>
      <c r="M50" s="75"/>
      <c r="N50" s="75"/>
      <c r="O50" s="21"/>
      <c r="P50" s="21"/>
      <c r="Q50" s="64"/>
      <c r="R50" s="64"/>
      <c r="S50" s="64"/>
      <c r="T50" s="62" t="e">
        <f>SUM(T48:T49)</f>
        <v>#REF!</v>
      </c>
    </row>
    <row r="51" spans="1:20" s="80" customFormat="1" x14ac:dyDescent="0.2">
      <c r="A51" s="1742"/>
      <c r="B51" s="584"/>
      <c r="C51" s="585"/>
      <c r="D51" s="586"/>
      <c r="E51" s="77"/>
      <c r="F51" s="77"/>
      <c r="G51" s="79"/>
      <c r="H51" s="79"/>
      <c r="I51" s="77"/>
      <c r="J51" s="79"/>
      <c r="K51" s="79"/>
      <c r="L51" s="79"/>
      <c r="M51" s="79"/>
      <c r="N51" s="79"/>
      <c r="O51" s="79"/>
      <c r="P51" s="79"/>
      <c r="Q51" s="587"/>
      <c r="R51" s="587"/>
      <c r="S51" s="587"/>
      <c r="T51" s="78"/>
    </row>
    <row r="52" spans="1:20" s="80" customFormat="1" x14ac:dyDescent="0.2">
      <c r="A52" s="1742" t="str">
        <f>A24</f>
        <v>2014/15</v>
      </c>
      <c r="B52" s="584">
        <f>B24</f>
        <v>20</v>
      </c>
      <c r="C52" s="585">
        <f>Assumptions!E$15</f>
        <v>0.06</v>
      </c>
      <c r="D52" s="586" t="e">
        <f>D24</f>
        <v>#REF!</v>
      </c>
      <c r="E52" s="77"/>
      <c r="F52" s="77"/>
      <c r="G52" s="79"/>
      <c r="H52" s="79"/>
      <c r="I52" s="79"/>
      <c r="J52" s="79"/>
      <c r="K52" s="79"/>
      <c r="L52" s="79"/>
      <c r="M52" s="79"/>
      <c r="N52" s="79"/>
      <c r="O52" s="79"/>
      <c r="P52" s="79"/>
      <c r="Q52" s="587"/>
      <c r="R52" s="587"/>
      <c r="S52" s="587"/>
      <c r="T52" s="78"/>
    </row>
    <row r="53" spans="1:20" s="80" customFormat="1" x14ac:dyDescent="0.2">
      <c r="A53" s="1742"/>
      <c r="B53" s="584"/>
      <c r="C53" s="585"/>
      <c r="D53" s="586" t="str">
        <f>D48</f>
        <v xml:space="preserve">Principal </v>
      </c>
      <c r="E53" s="77"/>
      <c r="F53" s="77"/>
      <c r="G53" s="79" t="e">
        <f>-ROUND(PMT($C$52,$B$52,$D$52),-3)-G54</f>
        <v>#REF!</v>
      </c>
      <c r="H53" s="79"/>
      <c r="I53" s="79"/>
      <c r="J53" s="79"/>
      <c r="K53" s="79"/>
      <c r="L53" s="79"/>
      <c r="M53" s="79"/>
      <c r="N53" s="79"/>
      <c r="O53" s="79"/>
      <c r="P53" s="79"/>
      <c r="Q53" s="587"/>
      <c r="R53" s="587"/>
      <c r="S53" s="587"/>
      <c r="T53" s="78" t="e">
        <f>SUM(E53:O53)</f>
        <v>#REF!</v>
      </c>
    </row>
    <row r="54" spans="1:20" s="80" customFormat="1" x14ac:dyDescent="0.2">
      <c r="A54" s="1742"/>
      <c r="B54" s="584"/>
      <c r="C54" s="585"/>
      <c r="D54" s="586" t="str">
        <f>D49</f>
        <v>Interest</v>
      </c>
      <c r="E54" s="77"/>
      <c r="F54" s="77"/>
      <c r="G54" s="79" t="e">
        <f>ROUND(D52*$C$52,-3)</f>
        <v>#REF!</v>
      </c>
      <c r="H54" s="79"/>
      <c r="I54" s="79"/>
      <c r="J54" s="79"/>
      <c r="K54" s="79"/>
      <c r="L54" s="79"/>
      <c r="M54" s="79"/>
      <c r="N54" s="79"/>
      <c r="O54" s="79"/>
      <c r="P54" s="79"/>
      <c r="Q54" s="587"/>
      <c r="R54" s="587"/>
      <c r="S54" s="587"/>
      <c r="T54" s="78" t="e">
        <f>SUM(E54:O54)</f>
        <v>#REF!</v>
      </c>
    </row>
    <row r="55" spans="1:20" s="39" customFormat="1" x14ac:dyDescent="0.2">
      <c r="A55" s="2042"/>
      <c r="B55" s="126"/>
      <c r="C55" s="595"/>
      <c r="D55" s="596" t="str">
        <f>D50</f>
        <v>O/S Princ</v>
      </c>
      <c r="E55" s="75"/>
      <c r="F55" s="75" t="e">
        <f>D52</f>
        <v>#REF!</v>
      </c>
      <c r="G55" s="75" t="e">
        <f t="shared" ref="G55" si="11">F55-G53</f>
        <v>#REF!</v>
      </c>
      <c r="H55" s="75"/>
      <c r="I55" s="75"/>
      <c r="J55" s="75"/>
      <c r="K55" s="75"/>
      <c r="L55" s="75"/>
      <c r="M55" s="75"/>
      <c r="N55" s="75"/>
      <c r="O55" s="21"/>
      <c r="P55" s="21"/>
      <c r="Q55" s="64"/>
      <c r="R55" s="64"/>
      <c r="S55" s="64"/>
      <c r="T55" s="62" t="e">
        <f>SUM(T53:T54)</f>
        <v>#REF!</v>
      </c>
    </row>
    <row r="56" spans="1:20" s="80" customFormat="1" x14ac:dyDescent="0.2">
      <c r="A56" s="1742"/>
      <c r="B56" s="584"/>
      <c r="C56" s="585"/>
      <c r="D56" s="586"/>
      <c r="E56" s="77"/>
      <c r="F56" s="77"/>
      <c r="G56" s="79"/>
      <c r="H56" s="79"/>
      <c r="I56" s="77"/>
      <c r="J56" s="79"/>
      <c r="K56" s="79"/>
      <c r="L56" s="79"/>
      <c r="M56" s="79"/>
      <c r="N56" s="79"/>
      <c r="O56" s="79"/>
      <c r="P56" s="79"/>
      <c r="Q56" s="587"/>
      <c r="R56" s="587"/>
      <c r="S56" s="587"/>
      <c r="T56" s="78"/>
    </row>
    <row r="57" spans="1:20" s="80" customFormat="1" x14ac:dyDescent="0.2">
      <c r="A57" s="1742" t="str">
        <f>A25</f>
        <v>2015/16</v>
      </c>
      <c r="B57" s="584">
        <f>B25</f>
        <v>20</v>
      </c>
      <c r="C57" s="585">
        <f>Assumptions!F$15</f>
        <v>0.06</v>
      </c>
      <c r="D57" s="586">
        <f>D25</f>
        <v>0</v>
      </c>
      <c r="E57" s="77"/>
      <c r="F57" s="77"/>
      <c r="G57" s="79"/>
      <c r="H57" s="79"/>
      <c r="I57" s="79"/>
      <c r="J57" s="79"/>
      <c r="K57" s="79"/>
      <c r="L57" s="79"/>
      <c r="M57" s="79"/>
      <c r="N57" s="79"/>
      <c r="O57" s="79"/>
      <c r="P57" s="79"/>
      <c r="Q57" s="587"/>
      <c r="R57" s="587"/>
      <c r="S57" s="587"/>
      <c r="T57" s="78"/>
    </row>
    <row r="58" spans="1:20" s="80" customFormat="1" x14ac:dyDescent="0.2">
      <c r="A58" s="1742"/>
      <c r="B58" s="584"/>
      <c r="C58" s="585"/>
      <c r="D58" s="586" t="str">
        <f>D53</f>
        <v xml:space="preserve">Principal </v>
      </c>
      <c r="E58" s="77"/>
      <c r="F58" s="77"/>
      <c r="G58" s="79"/>
      <c r="H58" s="605"/>
      <c r="I58" s="79"/>
      <c r="J58" s="79"/>
      <c r="K58" s="79"/>
      <c r="L58" s="79"/>
      <c r="M58" s="79"/>
      <c r="N58" s="79"/>
      <c r="O58" s="79"/>
      <c r="P58" s="79"/>
      <c r="Q58" s="587"/>
      <c r="R58" s="587"/>
      <c r="S58" s="587"/>
      <c r="T58" s="78">
        <f>SUM(E58:O58)</f>
        <v>0</v>
      </c>
    </row>
    <row r="59" spans="1:20" s="80" customFormat="1" x14ac:dyDescent="0.2">
      <c r="A59" s="1742"/>
      <c r="B59" s="584"/>
      <c r="C59" s="585"/>
      <c r="D59" s="586" t="str">
        <f>D54</f>
        <v>Interest</v>
      </c>
      <c r="E59" s="77"/>
      <c r="F59" s="77"/>
      <c r="G59" s="79"/>
      <c r="H59" s="79"/>
      <c r="I59" s="79"/>
      <c r="J59" s="79"/>
      <c r="K59" s="79"/>
      <c r="L59" s="79"/>
      <c r="M59" s="79"/>
      <c r="N59" s="79"/>
      <c r="O59" s="79"/>
      <c r="P59" s="79"/>
      <c r="Q59" s="587"/>
      <c r="R59" s="587"/>
      <c r="S59" s="587"/>
      <c r="T59" s="78">
        <f>SUM(E59:O59)</f>
        <v>0</v>
      </c>
    </row>
    <row r="60" spans="1:20" s="39" customFormat="1" x14ac:dyDescent="0.2">
      <c r="A60" s="2042"/>
      <c r="B60" s="126"/>
      <c r="C60" s="595"/>
      <c r="D60" s="596" t="str">
        <f>D55</f>
        <v>O/S Princ</v>
      </c>
      <c r="E60" s="75"/>
      <c r="F60" s="75"/>
      <c r="G60" s="75">
        <f>D57</f>
        <v>0</v>
      </c>
      <c r="H60" s="75"/>
      <c r="I60" s="75"/>
      <c r="J60" s="75"/>
      <c r="K60" s="75"/>
      <c r="L60" s="75"/>
      <c r="M60" s="75"/>
      <c r="N60" s="75"/>
      <c r="O60" s="21"/>
      <c r="P60" s="21"/>
      <c r="Q60" s="64"/>
      <c r="R60" s="64"/>
      <c r="S60" s="64"/>
      <c r="T60" s="62">
        <f>SUM(T58:T59)</f>
        <v>0</v>
      </c>
    </row>
    <row r="61" spans="1:20" s="39" customFormat="1" x14ac:dyDescent="0.2">
      <c r="A61" s="2042"/>
      <c r="B61" s="126"/>
      <c r="C61" s="595"/>
      <c r="D61" s="596"/>
      <c r="E61" s="75"/>
      <c r="F61" s="75"/>
      <c r="G61" s="75"/>
      <c r="H61" s="75"/>
      <c r="I61" s="75"/>
      <c r="J61" s="75"/>
      <c r="K61" s="75"/>
      <c r="L61" s="75"/>
      <c r="M61" s="75"/>
      <c r="N61" s="75"/>
      <c r="O61" s="21"/>
      <c r="P61" s="21"/>
      <c r="Q61" s="64"/>
      <c r="R61" s="64"/>
      <c r="S61" s="64"/>
      <c r="T61" s="62"/>
    </row>
    <row r="62" spans="1:20" s="80" customFormat="1" x14ac:dyDescent="0.2">
      <c r="A62" s="1742" t="str">
        <f>A26</f>
        <v>2016/17</v>
      </c>
      <c r="B62" s="584">
        <f>B26</f>
        <v>20</v>
      </c>
      <c r="C62" s="585">
        <f>Assumptions!F$15</f>
        <v>0.06</v>
      </c>
      <c r="D62" s="586">
        <f>D26</f>
        <v>0</v>
      </c>
      <c r="E62" s="77"/>
      <c r="F62" s="77"/>
      <c r="G62" s="79"/>
      <c r="H62" s="79"/>
      <c r="I62" s="79"/>
      <c r="J62" s="79"/>
      <c r="K62" s="79"/>
      <c r="L62" s="79"/>
      <c r="M62" s="79"/>
      <c r="N62" s="79"/>
      <c r="O62" s="79"/>
      <c r="P62" s="79"/>
      <c r="Q62" s="587"/>
      <c r="R62" s="587"/>
      <c r="S62" s="587"/>
      <c r="T62" s="78"/>
    </row>
    <row r="63" spans="1:20" s="80" customFormat="1" x14ac:dyDescent="0.2">
      <c r="A63" s="1742"/>
      <c r="B63" s="584"/>
      <c r="C63" s="585"/>
      <c r="D63" s="586" t="str">
        <f>D58</f>
        <v xml:space="preserve">Principal </v>
      </c>
      <c r="E63" s="77"/>
      <c r="F63" s="77"/>
      <c r="G63" s="79"/>
      <c r="H63" s="79"/>
      <c r="I63" s="79"/>
      <c r="J63" s="79"/>
      <c r="K63" s="79"/>
      <c r="L63" s="79"/>
      <c r="M63" s="79"/>
      <c r="N63" s="79"/>
      <c r="O63" s="79"/>
      <c r="P63" s="79"/>
      <c r="Q63" s="587"/>
      <c r="R63" s="587"/>
      <c r="S63" s="587"/>
      <c r="T63" s="78">
        <f>SUM(E63:O63)</f>
        <v>0</v>
      </c>
    </row>
    <row r="64" spans="1:20" s="80" customFormat="1" x14ac:dyDescent="0.2">
      <c r="A64" s="1742"/>
      <c r="B64" s="584"/>
      <c r="C64" s="585"/>
      <c r="D64" s="586" t="str">
        <f>D59</f>
        <v>Interest</v>
      </c>
      <c r="E64" s="77"/>
      <c r="F64" s="77"/>
      <c r="G64" s="79"/>
      <c r="H64" s="79"/>
      <c r="I64" s="79"/>
      <c r="J64" s="79"/>
      <c r="K64" s="79"/>
      <c r="L64" s="79"/>
      <c r="M64" s="79"/>
      <c r="N64" s="79"/>
      <c r="O64" s="79"/>
      <c r="P64" s="79"/>
      <c r="Q64" s="587"/>
      <c r="R64" s="587"/>
      <c r="S64" s="587"/>
      <c r="T64" s="78">
        <f>SUM(E64:O64)</f>
        <v>0</v>
      </c>
    </row>
    <row r="65" spans="1:20" s="39" customFormat="1" x14ac:dyDescent="0.2">
      <c r="A65" s="2042"/>
      <c r="B65" s="126"/>
      <c r="C65" s="595"/>
      <c r="D65" s="596" t="str">
        <f>D60</f>
        <v>O/S Princ</v>
      </c>
      <c r="E65" s="75"/>
      <c r="F65" s="75"/>
      <c r="G65" s="75"/>
      <c r="H65" s="75"/>
      <c r="I65" s="75"/>
      <c r="J65" s="75"/>
      <c r="K65" s="75"/>
      <c r="L65" s="75"/>
      <c r="M65" s="75"/>
      <c r="N65" s="75"/>
      <c r="O65" s="21"/>
      <c r="P65" s="21"/>
      <c r="Q65" s="64"/>
      <c r="R65" s="64"/>
      <c r="S65" s="64"/>
      <c r="T65" s="62">
        <f>SUM(T63:T64)</f>
        <v>0</v>
      </c>
    </row>
    <row r="66" spans="1:20" s="39" customFormat="1" x14ac:dyDescent="0.2">
      <c r="A66" s="2042"/>
      <c r="B66" s="126"/>
      <c r="C66" s="595"/>
      <c r="D66" s="596"/>
      <c r="E66" s="75"/>
      <c r="F66" s="75"/>
      <c r="G66" s="75"/>
      <c r="H66" s="75"/>
      <c r="I66" s="75"/>
      <c r="J66" s="75"/>
      <c r="K66" s="75"/>
      <c r="L66" s="75"/>
      <c r="M66" s="75"/>
      <c r="N66" s="75"/>
      <c r="O66" s="21"/>
      <c r="P66" s="21"/>
      <c r="Q66" s="64"/>
      <c r="R66" s="64"/>
      <c r="S66" s="64"/>
      <c r="T66" s="62"/>
    </row>
    <row r="67" spans="1:20" s="80" customFormat="1" x14ac:dyDescent="0.2">
      <c r="A67" s="1742" t="str">
        <f>A27</f>
        <v>2017/18</v>
      </c>
      <c r="B67" s="584">
        <f>B27</f>
        <v>20</v>
      </c>
      <c r="C67" s="585">
        <f>Assumptions!H$15</f>
        <v>0.06</v>
      </c>
      <c r="D67" s="586">
        <f>D27</f>
        <v>0</v>
      </c>
      <c r="E67" s="77"/>
      <c r="F67" s="77"/>
      <c r="G67" s="79"/>
      <c r="H67" s="79"/>
      <c r="I67" s="79"/>
      <c r="J67" s="79"/>
      <c r="K67" s="79"/>
      <c r="L67" s="79"/>
      <c r="M67" s="79"/>
      <c r="N67" s="79"/>
      <c r="O67" s="79"/>
      <c r="P67" s="79"/>
      <c r="Q67" s="587"/>
      <c r="R67" s="587"/>
      <c r="S67" s="587"/>
      <c r="T67" s="78"/>
    </row>
    <row r="68" spans="1:20" s="80" customFormat="1" x14ac:dyDescent="0.2">
      <c r="A68" s="1742"/>
      <c r="B68" s="584"/>
      <c r="C68" s="585"/>
      <c r="D68" s="586" t="str">
        <f>D63</f>
        <v xml:space="preserve">Principal </v>
      </c>
      <c r="E68" s="77"/>
      <c r="F68" s="77"/>
      <c r="G68" s="79"/>
      <c r="H68" s="79"/>
      <c r="I68" s="79"/>
      <c r="J68" s="79"/>
      <c r="K68" s="79"/>
      <c r="L68" s="79"/>
      <c r="M68" s="79"/>
      <c r="N68" s="79"/>
      <c r="O68" s="79"/>
      <c r="P68" s="79"/>
      <c r="Q68" s="587"/>
      <c r="R68" s="587"/>
      <c r="S68" s="587"/>
      <c r="T68" s="78">
        <f>SUM(E68:O68)</f>
        <v>0</v>
      </c>
    </row>
    <row r="69" spans="1:20" s="80" customFormat="1" x14ac:dyDescent="0.2">
      <c r="A69" s="1742"/>
      <c r="B69" s="584"/>
      <c r="C69" s="585"/>
      <c r="D69" s="586" t="str">
        <f>D64</f>
        <v>Interest</v>
      </c>
      <c r="E69" s="77"/>
      <c r="F69" s="77"/>
      <c r="G69" s="79"/>
      <c r="H69" s="79"/>
      <c r="I69" s="79"/>
      <c r="J69" s="79"/>
      <c r="K69" s="79"/>
      <c r="L69" s="79"/>
      <c r="M69" s="79"/>
      <c r="N69" s="79"/>
      <c r="O69" s="79"/>
      <c r="P69" s="79"/>
      <c r="Q69" s="587"/>
      <c r="R69" s="587"/>
      <c r="S69" s="587"/>
      <c r="T69" s="78">
        <f>SUM(E69:O69)</f>
        <v>0</v>
      </c>
    </row>
    <row r="70" spans="1:20" s="39" customFormat="1" x14ac:dyDescent="0.2">
      <c r="A70" s="2042"/>
      <c r="B70" s="126"/>
      <c r="C70" s="595"/>
      <c r="D70" s="596" t="str">
        <f>D65</f>
        <v>O/S Princ</v>
      </c>
      <c r="E70" s="75"/>
      <c r="F70" s="75"/>
      <c r="G70" s="75"/>
      <c r="H70" s="75"/>
      <c r="I70" s="75"/>
      <c r="J70" s="75"/>
      <c r="K70" s="75"/>
      <c r="L70" s="75"/>
      <c r="M70" s="75"/>
      <c r="N70" s="75"/>
      <c r="O70" s="21"/>
      <c r="P70" s="21"/>
      <c r="Q70" s="64"/>
      <c r="R70" s="64"/>
      <c r="S70" s="64"/>
      <c r="T70" s="62">
        <f>SUM(T68:T69)</f>
        <v>0</v>
      </c>
    </row>
    <row r="71" spans="1:20" s="39" customFormat="1" x14ac:dyDescent="0.2">
      <c r="A71" s="2042"/>
      <c r="B71" s="126"/>
      <c r="C71" s="595"/>
      <c r="D71" s="596"/>
      <c r="E71" s="75"/>
      <c r="F71" s="75"/>
      <c r="G71" s="75"/>
      <c r="H71" s="75"/>
      <c r="I71" s="75"/>
      <c r="J71" s="75"/>
      <c r="K71" s="75"/>
      <c r="L71" s="75"/>
      <c r="M71" s="75"/>
      <c r="N71" s="75"/>
      <c r="O71" s="21"/>
      <c r="P71" s="21"/>
      <c r="Q71" s="64"/>
      <c r="R71" s="64"/>
      <c r="S71" s="64"/>
      <c r="T71" s="62"/>
    </row>
    <row r="72" spans="1:20" s="80" customFormat="1" x14ac:dyDescent="0.2">
      <c r="A72" s="1742" t="str">
        <f>A28</f>
        <v>2018/19</v>
      </c>
      <c r="B72" s="584">
        <f>B28</f>
        <v>20</v>
      </c>
      <c r="C72" s="585">
        <f>Assumptions!I$15</f>
        <v>0.06</v>
      </c>
      <c r="D72" s="586">
        <f>D28</f>
        <v>0</v>
      </c>
      <c r="E72" s="77"/>
      <c r="F72" s="77"/>
      <c r="G72" s="79"/>
      <c r="H72" s="79"/>
      <c r="I72" s="79"/>
      <c r="J72" s="79"/>
      <c r="K72" s="79"/>
      <c r="L72" s="79"/>
      <c r="M72" s="79"/>
      <c r="N72" s="79"/>
      <c r="O72" s="79"/>
      <c r="P72" s="79"/>
      <c r="Q72" s="587"/>
      <c r="R72" s="587"/>
      <c r="S72" s="587"/>
      <c r="T72" s="78"/>
    </row>
    <row r="73" spans="1:20" s="80" customFormat="1" x14ac:dyDescent="0.2">
      <c r="A73" s="1742"/>
      <c r="B73" s="584"/>
      <c r="C73" s="585"/>
      <c r="D73" s="586" t="str">
        <f>D68</f>
        <v xml:space="preserve">Principal </v>
      </c>
      <c r="E73" s="77"/>
      <c r="F73" s="77"/>
      <c r="G73" s="79"/>
      <c r="H73" s="79"/>
      <c r="I73" s="79"/>
      <c r="J73" s="79"/>
      <c r="K73" s="79"/>
      <c r="L73" s="79"/>
      <c r="M73" s="79"/>
      <c r="N73" s="79"/>
      <c r="O73" s="79"/>
      <c r="P73" s="79"/>
      <c r="Q73" s="587"/>
      <c r="R73" s="587"/>
      <c r="S73" s="587"/>
      <c r="T73" s="78">
        <f>SUM(E73:O73)</f>
        <v>0</v>
      </c>
    </row>
    <row r="74" spans="1:20" s="80" customFormat="1" x14ac:dyDescent="0.2">
      <c r="A74" s="1742"/>
      <c r="B74" s="584"/>
      <c r="C74" s="585"/>
      <c r="D74" s="586" t="str">
        <f>D69</f>
        <v>Interest</v>
      </c>
      <c r="E74" s="77"/>
      <c r="F74" s="77"/>
      <c r="G74" s="79"/>
      <c r="H74" s="79"/>
      <c r="I74" s="79"/>
      <c r="J74" s="79"/>
      <c r="K74" s="79"/>
      <c r="L74" s="79"/>
      <c r="M74" s="79"/>
      <c r="N74" s="79"/>
      <c r="O74" s="79"/>
      <c r="P74" s="79"/>
      <c r="Q74" s="587"/>
      <c r="R74" s="587"/>
      <c r="S74" s="587"/>
      <c r="T74" s="78">
        <f>SUM(E74:O74)</f>
        <v>0</v>
      </c>
    </row>
    <row r="75" spans="1:20" s="39" customFormat="1" x14ac:dyDescent="0.2">
      <c r="A75" s="2042"/>
      <c r="B75" s="126"/>
      <c r="C75" s="595"/>
      <c r="D75" s="596" t="str">
        <f>D70</f>
        <v>O/S Princ</v>
      </c>
      <c r="E75" s="75"/>
      <c r="F75" s="75"/>
      <c r="G75" s="75"/>
      <c r="H75" s="75"/>
      <c r="I75" s="75"/>
      <c r="J75" s="75"/>
      <c r="K75" s="75"/>
      <c r="L75" s="75"/>
      <c r="M75" s="75"/>
      <c r="N75" s="75"/>
      <c r="O75" s="21"/>
      <c r="P75" s="21"/>
      <c r="Q75" s="64"/>
      <c r="R75" s="64"/>
      <c r="S75" s="64"/>
      <c r="T75" s="62">
        <f>SUM(T73:T74)</f>
        <v>0</v>
      </c>
    </row>
    <row r="76" spans="1:20" s="39" customFormat="1" x14ac:dyDescent="0.2">
      <c r="A76" s="2042"/>
      <c r="B76" s="126"/>
      <c r="C76" s="595"/>
      <c r="D76" s="596"/>
      <c r="E76" s="75"/>
      <c r="F76" s="75"/>
      <c r="G76" s="75"/>
      <c r="H76" s="75"/>
      <c r="I76" s="75"/>
      <c r="J76" s="75"/>
      <c r="K76" s="75"/>
      <c r="L76" s="75"/>
      <c r="M76" s="75"/>
      <c r="N76" s="75"/>
      <c r="O76" s="21"/>
      <c r="P76" s="21"/>
      <c r="Q76" s="64"/>
      <c r="R76" s="64"/>
      <c r="S76" s="64"/>
      <c r="T76" s="62"/>
    </row>
    <row r="77" spans="1:20" s="80" customFormat="1" x14ac:dyDescent="0.2">
      <c r="A77" s="1742" t="str">
        <f>A29</f>
        <v>2019/20</v>
      </c>
      <c r="B77" s="584">
        <f>B29</f>
        <v>20</v>
      </c>
      <c r="C77" s="585">
        <f>Assumptions!J$15</f>
        <v>0.06</v>
      </c>
      <c r="D77" s="586">
        <f>D29</f>
        <v>0</v>
      </c>
      <c r="E77" s="77"/>
      <c r="F77" s="77"/>
      <c r="G77" s="79"/>
      <c r="H77" s="79"/>
      <c r="I77" s="79"/>
      <c r="J77" s="79"/>
      <c r="K77" s="79"/>
      <c r="L77" s="79"/>
      <c r="M77" s="79"/>
      <c r="N77" s="79"/>
      <c r="O77" s="79"/>
      <c r="P77" s="79"/>
      <c r="Q77" s="587"/>
      <c r="R77" s="587"/>
      <c r="S77" s="587"/>
      <c r="T77" s="78"/>
    </row>
    <row r="78" spans="1:20" s="80" customFormat="1" x14ac:dyDescent="0.2">
      <c r="A78" s="1742"/>
      <c r="B78" s="584"/>
      <c r="C78" s="585"/>
      <c r="D78" s="586" t="str">
        <f>D73</f>
        <v xml:space="preserve">Principal </v>
      </c>
      <c r="E78" s="77"/>
      <c r="F78" s="77"/>
      <c r="G78" s="79"/>
      <c r="H78" s="79"/>
      <c r="I78" s="79"/>
      <c r="J78" s="79"/>
      <c r="K78" s="79"/>
      <c r="L78" s="79"/>
      <c r="M78" s="79"/>
      <c r="N78" s="79"/>
      <c r="O78" s="79"/>
      <c r="P78" s="79"/>
      <c r="Q78" s="587"/>
      <c r="R78" s="587"/>
      <c r="S78" s="587"/>
      <c r="T78" s="78">
        <f>SUM(E78:O78)</f>
        <v>0</v>
      </c>
    </row>
    <row r="79" spans="1:20" s="80" customFormat="1" x14ac:dyDescent="0.2">
      <c r="A79" s="1742"/>
      <c r="B79" s="584"/>
      <c r="C79" s="585"/>
      <c r="D79" s="586" t="str">
        <f>D74</f>
        <v>Interest</v>
      </c>
      <c r="E79" s="77"/>
      <c r="F79" s="77"/>
      <c r="G79" s="79"/>
      <c r="H79" s="79"/>
      <c r="I79" s="79"/>
      <c r="J79" s="79"/>
      <c r="K79" s="79"/>
      <c r="L79" s="79"/>
      <c r="M79" s="79"/>
      <c r="N79" s="79"/>
      <c r="O79" s="79"/>
      <c r="P79" s="79"/>
      <c r="Q79" s="587"/>
      <c r="R79" s="587"/>
      <c r="S79" s="587"/>
      <c r="T79" s="78">
        <f>SUM(E79:O79)</f>
        <v>0</v>
      </c>
    </row>
    <row r="80" spans="1:20" s="39" customFormat="1" x14ac:dyDescent="0.2">
      <c r="A80" s="2042"/>
      <c r="B80" s="126"/>
      <c r="C80" s="595"/>
      <c r="D80" s="596" t="str">
        <f>D75</f>
        <v>O/S Princ</v>
      </c>
      <c r="E80" s="75"/>
      <c r="F80" s="75"/>
      <c r="G80" s="75"/>
      <c r="H80" s="75"/>
      <c r="I80" s="75"/>
      <c r="J80" s="75"/>
      <c r="K80" s="75"/>
      <c r="L80" s="75"/>
      <c r="M80" s="75"/>
      <c r="N80" s="75"/>
      <c r="O80" s="21"/>
      <c r="P80" s="21"/>
      <c r="Q80" s="64"/>
      <c r="R80" s="64"/>
      <c r="S80" s="64"/>
      <c r="T80" s="62">
        <f>SUM(T78:T79)</f>
        <v>0</v>
      </c>
    </row>
    <row r="81" spans="1:20" s="39" customFormat="1" x14ac:dyDescent="0.2">
      <c r="A81" s="2042"/>
      <c r="B81" s="126"/>
      <c r="C81" s="595"/>
      <c r="D81" s="596"/>
      <c r="E81" s="75"/>
      <c r="F81" s="75"/>
      <c r="G81" s="75"/>
      <c r="H81" s="75"/>
      <c r="I81" s="75"/>
      <c r="J81" s="75"/>
      <c r="K81" s="75"/>
      <c r="L81" s="75"/>
      <c r="M81" s="75"/>
      <c r="N81" s="75"/>
      <c r="O81" s="21"/>
      <c r="P81" s="21"/>
      <c r="Q81" s="64"/>
      <c r="R81" s="64"/>
      <c r="S81" s="64"/>
      <c r="T81" s="62"/>
    </row>
    <row r="82" spans="1:20" s="80" customFormat="1" x14ac:dyDescent="0.2">
      <c r="A82" s="1742" t="str">
        <f>A30</f>
        <v>2020/21</v>
      </c>
      <c r="B82" s="584">
        <f>B30</f>
        <v>20</v>
      </c>
      <c r="C82" s="585">
        <f>Assumptions!K$15</f>
        <v>0.06</v>
      </c>
      <c r="D82" s="586">
        <f>D30</f>
        <v>0</v>
      </c>
      <c r="E82" s="77"/>
      <c r="F82" s="77"/>
      <c r="G82" s="79"/>
      <c r="H82" s="79"/>
      <c r="I82" s="79"/>
      <c r="J82" s="79"/>
      <c r="K82" s="79"/>
      <c r="L82" s="79"/>
      <c r="M82" s="79"/>
      <c r="N82" s="79"/>
      <c r="O82" s="79"/>
      <c r="P82" s="79"/>
      <c r="Q82" s="587"/>
      <c r="R82" s="587"/>
      <c r="S82" s="587"/>
      <c r="T82" s="78"/>
    </row>
    <row r="83" spans="1:20" s="80" customFormat="1" x14ac:dyDescent="0.2">
      <c r="A83" s="1742"/>
      <c r="B83" s="584"/>
      <c r="C83" s="585"/>
      <c r="D83" s="586" t="str">
        <f>D78</f>
        <v xml:space="preserve">Principal </v>
      </c>
      <c r="E83" s="77"/>
      <c r="F83" s="77"/>
      <c r="G83" s="79"/>
      <c r="H83" s="79"/>
      <c r="I83" s="79"/>
      <c r="J83" s="79"/>
      <c r="K83" s="79"/>
      <c r="L83" s="79"/>
      <c r="M83" s="79"/>
      <c r="N83" s="79"/>
      <c r="O83" s="79"/>
      <c r="P83" s="79"/>
      <c r="Q83" s="587"/>
      <c r="R83" s="587"/>
      <c r="S83" s="587"/>
      <c r="T83" s="78">
        <f>SUM(E83:O83)</f>
        <v>0</v>
      </c>
    </row>
    <row r="84" spans="1:20" s="80" customFormat="1" x14ac:dyDescent="0.2">
      <c r="A84" s="1742"/>
      <c r="B84" s="584"/>
      <c r="C84" s="585"/>
      <c r="D84" s="586" t="str">
        <f>D79</f>
        <v>Interest</v>
      </c>
      <c r="E84" s="77"/>
      <c r="F84" s="77"/>
      <c r="G84" s="79"/>
      <c r="H84" s="79"/>
      <c r="I84" s="79"/>
      <c r="J84" s="79"/>
      <c r="K84" s="79"/>
      <c r="L84" s="79"/>
      <c r="M84" s="79"/>
      <c r="N84" s="79"/>
      <c r="O84" s="79"/>
      <c r="P84" s="79"/>
      <c r="Q84" s="587"/>
      <c r="R84" s="587"/>
      <c r="S84" s="587"/>
      <c r="T84" s="78">
        <f>SUM(E84:O84)</f>
        <v>0</v>
      </c>
    </row>
    <row r="85" spans="1:20" s="39" customFormat="1" x14ac:dyDescent="0.2">
      <c r="A85" s="2042"/>
      <c r="B85" s="126"/>
      <c r="C85" s="595"/>
      <c r="D85" s="596" t="str">
        <f>D80</f>
        <v>O/S Princ</v>
      </c>
      <c r="E85" s="75"/>
      <c r="F85" s="75"/>
      <c r="G85" s="75"/>
      <c r="H85" s="75"/>
      <c r="I85" s="75"/>
      <c r="J85" s="75"/>
      <c r="K85" s="75"/>
      <c r="L85" s="75"/>
      <c r="M85" s="75"/>
      <c r="N85" s="75"/>
      <c r="O85" s="21"/>
      <c r="P85" s="21"/>
      <c r="Q85" s="64"/>
      <c r="R85" s="64"/>
      <c r="S85" s="64"/>
      <c r="T85" s="62">
        <f>SUM(T83:T84)</f>
        <v>0</v>
      </c>
    </row>
    <row r="86" spans="1:20" s="39" customFormat="1" x14ac:dyDescent="0.2">
      <c r="A86" s="2042"/>
      <c r="B86" s="126"/>
      <c r="C86" s="595"/>
      <c r="D86" s="596"/>
      <c r="E86" s="75"/>
      <c r="F86" s="75"/>
      <c r="G86" s="75"/>
      <c r="H86" s="75"/>
      <c r="I86" s="75"/>
      <c r="J86" s="75"/>
      <c r="K86" s="75"/>
      <c r="L86" s="75"/>
      <c r="M86" s="75"/>
      <c r="N86" s="75"/>
      <c r="O86" s="21"/>
      <c r="P86" s="21"/>
      <c r="Q86" s="64"/>
      <c r="R86" s="64"/>
      <c r="S86" s="64"/>
      <c r="T86" s="62"/>
    </row>
    <row r="87" spans="1:20" s="80" customFormat="1" x14ac:dyDescent="0.2">
      <c r="A87" s="1742" t="str">
        <f>A31</f>
        <v>2021/22</v>
      </c>
      <c r="B87" s="584">
        <f>B31</f>
        <v>20</v>
      </c>
      <c r="C87" s="585">
        <f>Assumptions!L$15</f>
        <v>0.06</v>
      </c>
      <c r="D87" s="586">
        <f>D31</f>
        <v>0</v>
      </c>
      <c r="E87" s="77"/>
      <c r="F87" s="77"/>
      <c r="G87" s="79"/>
      <c r="H87" s="79"/>
      <c r="I87" s="79"/>
      <c r="J87" s="79"/>
      <c r="K87" s="79"/>
      <c r="L87" s="79"/>
      <c r="M87" s="79"/>
      <c r="N87" s="79"/>
      <c r="O87" s="79"/>
      <c r="P87" s="79"/>
      <c r="Q87" s="587"/>
      <c r="R87" s="587"/>
      <c r="S87" s="587"/>
      <c r="T87" s="78"/>
    </row>
    <row r="88" spans="1:20" s="80" customFormat="1" x14ac:dyDescent="0.2">
      <c r="A88" s="1742"/>
      <c r="B88" s="584"/>
      <c r="C88" s="585"/>
      <c r="D88" s="586" t="str">
        <f>D83</f>
        <v xml:space="preserve">Principal </v>
      </c>
      <c r="E88" s="77"/>
      <c r="F88" s="77"/>
      <c r="G88" s="79"/>
      <c r="H88" s="79"/>
      <c r="I88" s="79"/>
      <c r="J88" s="79"/>
      <c r="K88" s="79"/>
      <c r="L88" s="79"/>
      <c r="M88" s="79"/>
      <c r="N88" s="79"/>
      <c r="O88" s="79"/>
      <c r="P88" s="79"/>
      <c r="Q88" s="587"/>
      <c r="R88" s="587"/>
      <c r="S88" s="587"/>
      <c r="T88" s="78">
        <f>SUM(E88:O88)</f>
        <v>0</v>
      </c>
    </row>
    <row r="89" spans="1:20" s="80" customFormat="1" x14ac:dyDescent="0.2">
      <c r="A89" s="1742"/>
      <c r="B89" s="584"/>
      <c r="C89" s="585"/>
      <c r="D89" s="586" t="str">
        <f>D84</f>
        <v>Interest</v>
      </c>
      <c r="E89" s="77"/>
      <c r="F89" s="77"/>
      <c r="G89" s="79"/>
      <c r="H89" s="79"/>
      <c r="I89" s="79"/>
      <c r="J89" s="79"/>
      <c r="K89" s="79"/>
      <c r="L89" s="79"/>
      <c r="M89" s="79"/>
      <c r="N89" s="79"/>
      <c r="O89" s="79"/>
      <c r="P89" s="79"/>
      <c r="Q89" s="587"/>
      <c r="R89" s="587"/>
      <c r="S89" s="587"/>
      <c r="T89" s="78">
        <f>SUM(E89:O89)</f>
        <v>0</v>
      </c>
    </row>
    <row r="90" spans="1:20" s="39" customFormat="1" x14ac:dyDescent="0.2">
      <c r="A90" s="2042"/>
      <c r="B90" s="126"/>
      <c r="C90" s="595"/>
      <c r="D90" s="596" t="str">
        <f>D85</f>
        <v>O/S Princ</v>
      </c>
      <c r="E90" s="75"/>
      <c r="F90" s="75"/>
      <c r="G90" s="75"/>
      <c r="H90" s="75"/>
      <c r="I90" s="75"/>
      <c r="J90" s="75"/>
      <c r="K90" s="75"/>
      <c r="L90" s="75"/>
      <c r="M90" s="75"/>
      <c r="N90" s="75"/>
      <c r="O90" s="21"/>
      <c r="P90" s="21"/>
      <c r="Q90" s="64"/>
      <c r="R90" s="64"/>
      <c r="S90" s="64"/>
      <c r="T90" s="62">
        <f>SUM(T88:T89)</f>
        <v>0</v>
      </c>
    </row>
    <row r="91" spans="1:20" s="39" customFormat="1" x14ac:dyDescent="0.2">
      <c r="A91" s="2042"/>
      <c r="B91" s="126"/>
      <c r="C91" s="595"/>
      <c r="D91" s="596"/>
      <c r="E91" s="75"/>
      <c r="F91" s="75"/>
      <c r="G91" s="75"/>
      <c r="H91" s="75"/>
      <c r="I91" s="75"/>
      <c r="J91" s="75"/>
      <c r="K91" s="75"/>
      <c r="L91" s="75"/>
      <c r="M91" s="75"/>
      <c r="N91" s="75"/>
      <c r="O91" s="21"/>
      <c r="P91" s="21"/>
      <c r="Q91" s="64"/>
      <c r="R91" s="64"/>
      <c r="S91" s="64"/>
      <c r="T91" s="62"/>
    </row>
    <row r="92" spans="1:20" s="80" customFormat="1" x14ac:dyDescent="0.2">
      <c r="A92" s="1742" t="str">
        <f>A32</f>
        <v>2022/23</v>
      </c>
      <c r="B92" s="584">
        <f>B32</f>
        <v>20</v>
      </c>
      <c r="C92" s="585">
        <f>Assumptions!M$15</f>
        <v>0.06</v>
      </c>
      <c r="D92" s="586">
        <f>D32</f>
        <v>0</v>
      </c>
      <c r="E92" s="77"/>
      <c r="F92" s="77"/>
      <c r="G92" s="79"/>
      <c r="H92" s="79"/>
      <c r="I92" s="79"/>
      <c r="J92" s="79"/>
      <c r="K92" s="79"/>
      <c r="L92" s="79"/>
      <c r="M92" s="79"/>
      <c r="N92" s="79"/>
      <c r="O92" s="79"/>
      <c r="P92" s="79"/>
      <c r="Q92" s="587"/>
      <c r="R92" s="587"/>
      <c r="S92" s="587"/>
      <c r="T92" s="78"/>
    </row>
    <row r="93" spans="1:20" s="80" customFormat="1" x14ac:dyDescent="0.2">
      <c r="A93" s="1742"/>
      <c r="B93" s="584"/>
      <c r="C93" s="585"/>
      <c r="D93" s="586" t="str">
        <f>D88</f>
        <v xml:space="preserve">Principal </v>
      </c>
      <c r="E93" s="77"/>
      <c r="F93" s="77"/>
      <c r="G93" s="79"/>
      <c r="H93" s="79"/>
      <c r="I93" s="79"/>
      <c r="J93" s="79"/>
      <c r="K93" s="79"/>
      <c r="L93" s="79"/>
      <c r="M93" s="79"/>
      <c r="N93" s="79"/>
      <c r="O93" s="79"/>
      <c r="P93" s="79"/>
      <c r="Q93" s="587"/>
      <c r="R93" s="587"/>
      <c r="S93" s="587"/>
      <c r="T93" s="78">
        <f>SUM(E93:O93)</f>
        <v>0</v>
      </c>
    </row>
    <row r="94" spans="1:20" s="80" customFormat="1" x14ac:dyDescent="0.2">
      <c r="A94" s="1742"/>
      <c r="B94" s="584"/>
      <c r="C94" s="585"/>
      <c r="D94" s="586" t="str">
        <f>D89</f>
        <v>Interest</v>
      </c>
      <c r="E94" s="77"/>
      <c r="F94" s="77"/>
      <c r="G94" s="79"/>
      <c r="H94" s="79"/>
      <c r="I94" s="79"/>
      <c r="J94" s="79"/>
      <c r="K94" s="79"/>
      <c r="L94" s="79"/>
      <c r="M94" s="79"/>
      <c r="N94" s="79"/>
      <c r="O94" s="79"/>
      <c r="P94" s="79"/>
      <c r="Q94" s="587"/>
      <c r="R94" s="587"/>
      <c r="S94" s="587"/>
      <c r="T94" s="78">
        <f>SUM(E94:O94)</f>
        <v>0</v>
      </c>
    </row>
    <row r="95" spans="1:20" s="39" customFormat="1" x14ac:dyDescent="0.2">
      <c r="A95" s="2042"/>
      <c r="B95" s="126"/>
      <c r="C95" s="595"/>
      <c r="D95" s="596" t="str">
        <f>D90</f>
        <v>O/S Princ</v>
      </c>
      <c r="E95" s="75"/>
      <c r="F95" s="75"/>
      <c r="G95" s="75"/>
      <c r="H95" s="75"/>
      <c r="I95" s="75"/>
      <c r="J95" s="75"/>
      <c r="K95" s="75"/>
      <c r="L95" s="75"/>
      <c r="M95" s="75"/>
      <c r="N95" s="75"/>
      <c r="O95" s="21"/>
      <c r="P95" s="21"/>
      <c r="Q95" s="64"/>
      <c r="R95" s="64"/>
      <c r="S95" s="64"/>
      <c r="T95" s="62">
        <f>SUM(T93:T94)</f>
        <v>0</v>
      </c>
    </row>
    <row r="96" spans="1:20" s="39" customFormat="1" x14ac:dyDescent="0.2">
      <c r="A96" s="2042"/>
      <c r="B96" s="126"/>
      <c r="C96" s="595"/>
      <c r="D96" s="596"/>
      <c r="E96" s="75"/>
      <c r="F96" s="75"/>
      <c r="G96" s="75"/>
      <c r="H96" s="75"/>
      <c r="I96" s="75"/>
      <c r="J96" s="75"/>
      <c r="K96" s="75"/>
      <c r="L96" s="75"/>
      <c r="M96" s="75"/>
      <c r="N96" s="75"/>
      <c r="O96" s="21"/>
      <c r="P96" s="21"/>
      <c r="Q96" s="64"/>
      <c r="R96" s="64"/>
      <c r="S96" s="64"/>
      <c r="T96" s="62"/>
    </row>
    <row r="97" spans="1:20" s="80" customFormat="1" x14ac:dyDescent="0.2">
      <c r="A97" s="583" t="str">
        <f>A33</f>
        <v>2023/24</v>
      </c>
      <c r="B97" s="584">
        <f>B33</f>
        <v>20</v>
      </c>
      <c r="C97" s="585">
        <f>Assumptions!N$15</f>
        <v>0.06</v>
      </c>
      <c r="D97" s="586">
        <f>D33</f>
        <v>0</v>
      </c>
      <c r="E97" s="77"/>
      <c r="F97" s="77"/>
      <c r="G97" s="79"/>
      <c r="H97" s="79"/>
      <c r="I97" s="79"/>
      <c r="J97" s="79"/>
      <c r="K97" s="79"/>
      <c r="L97" s="79"/>
      <c r="M97" s="79"/>
      <c r="N97" s="79"/>
      <c r="O97" s="79"/>
      <c r="P97" s="79"/>
      <c r="Q97" s="587"/>
      <c r="R97" s="587"/>
      <c r="S97" s="587"/>
      <c r="T97" s="78"/>
    </row>
    <row r="98" spans="1:20" s="80" customFormat="1" x14ac:dyDescent="0.2">
      <c r="A98" s="1742"/>
      <c r="B98" s="584"/>
      <c r="C98" s="585"/>
      <c r="D98" s="586" t="str">
        <f>D93</f>
        <v xml:space="preserve">Principal </v>
      </c>
      <c r="E98" s="77"/>
      <c r="F98" s="77"/>
      <c r="G98" s="79"/>
      <c r="H98" s="79"/>
      <c r="I98" s="79"/>
      <c r="J98" s="79"/>
      <c r="K98" s="79"/>
      <c r="L98" s="79"/>
      <c r="M98" s="79"/>
      <c r="N98" s="79"/>
      <c r="O98" s="79"/>
      <c r="P98" s="79"/>
      <c r="Q98" s="587"/>
      <c r="R98" s="587"/>
      <c r="S98" s="587"/>
      <c r="T98" s="78">
        <f>SUM(E98:O98)</f>
        <v>0</v>
      </c>
    </row>
    <row r="99" spans="1:20" s="80" customFormat="1" x14ac:dyDescent="0.2">
      <c r="A99" s="1742"/>
      <c r="B99" s="584"/>
      <c r="C99" s="585"/>
      <c r="D99" s="586" t="str">
        <f>D94</f>
        <v>Interest</v>
      </c>
      <c r="E99" s="77"/>
      <c r="F99" s="77"/>
      <c r="G99" s="79"/>
      <c r="H99" s="79"/>
      <c r="I99" s="79"/>
      <c r="J99" s="79"/>
      <c r="K99" s="79"/>
      <c r="L99" s="79"/>
      <c r="M99" s="79"/>
      <c r="N99" s="79"/>
      <c r="O99" s="79"/>
      <c r="P99" s="79"/>
      <c r="Q99" s="587"/>
      <c r="R99" s="587"/>
      <c r="S99" s="587"/>
      <c r="T99" s="78">
        <f>SUM(E99:O99)</f>
        <v>0</v>
      </c>
    </row>
    <row r="100" spans="1:20" s="39" customFormat="1" x14ac:dyDescent="0.2">
      <c r="A100" s="2042"/>
      <c r="B100" s="126"/>
      <c r="C100" s="595"/>
      <c r="D100" s="596" t="str">
        <f>D95</f>
        <v>O/S Princ</v>
      </c>
      <c r="E100" s="75"/>
      <c r="F100" s="75"/>
      <c r="G100" s="75"/>
      <c r="H100" s="75"/>
      <c r="I100" s="75"/>
      <c r="J100" s="75"/>
      <c r="K100" s="75"/>
      <c r="L100" s="75"/>
      <c r="M100" s="75"/>
      <c r="N100" s="75"/>
      <c r="O100" s="21"/>
      <c r="P100" s="21"/>
      <c r="Q100" s="64"/>
      <c r="R100" s="64"/>
      <c r="S100" s="64"/>
      <c r="T100" s="62">
        <f>SUM(T98:T99)</f>
        <v>0</v>
      </c>
    </row>
    <row r="101" spans="1:20" s="80" customFormat="1" ht="13.5" thickBot="1" x14ac:dyDescent="0.25">
      <c r="A101" s="1742"/>
      <c r="B101" s="584"/>
      <c r="C101" s="585"/>
      <c r="D101" s="586"/>
      <c r="E101" s="77"/>
      <c r="F101" s="77"/>
      <c r="G101" s="77"/>
      <c r="H101" s="79"/>
      <c r="I101" s="77"/>
      <c r="J101" s="79"/>
      <c r="K101" s="79"/>
      <c r="L101" s="79"/>
      <c r="M101" s="79"/>
      <c r="N101" s="79"/>
      <c r="O101" s="79"/>
      <c r="P101" s="79"/>
      <c r="Q101" s="587"/>
      <c r="R101" s="587"/>
      <c r="S101" s="587"/>
      <c r="T101" s="78"/>
    </row>
    <row r="102" spans="1:20" s="39" customFormat="1" ht="13.5" thickTop="1" x14ac:dyDescent="0.2">
      <c r="A102" s="727" t="s">
        <v>2615</v>
      </c>
      <c r="B102" s="1424"/>
      <c r="C102" s="597"/>
      <c r="D102" s="598"/>
      <c r="E102" s="69"/>
      <c r="F102" s="69"/>
      <c r="G102" s="69"/>
      <c r="H102" s="109"/>
      <c r="I102" s="69"/>
      <c r="J102" s="109"/>
      <c r="K102" s="109"/>
      <c r="L102" s="109"/>
      <c r="M102" s="109"/>
      <c r="N102" s="109"/>
      <c r="O102" s="109"/>
      <c r="P102" s="109"/>
      <c r="Q102" s="272"/>
      <c r="R102" s="272"/>
      <c r="S102" s="272"/>
      <c r="T102" s="73"/>
    </row>
    <row r="103" spans="1:20" s="80" customFormat="1" x14ac:dyDescent="0.2">
      <c r="A103" s="654" t="s">
        <v>1255</v>
      </c>
      <c r="B103" s="599"/>
      <c r="C103" s="600"/>
      <c r="D103" s="601"/>
      <c r="E103" s="77">
        <f t="shared" ref="E103:P103" si="12">E42++E48+E53+E58+E63+E68+E73+E78+E83+E88+E93+E98</f>
        <v>3500</v>
      </c>
      <c r="F103" s="77" t="e">
        <f t="shared" si="12"/>
        <v>#REF!</v>
      </c>
      <c r="G103" s="77" t="e">
        <f t="shared" si="12"/>
        <v>#REF!</v>
      </c>
      <c r="H103" s="79">
        <f t="shared" si="12"/>
        <v>0</v>
      </c>
      <c r="I103" s="77">
        <f t="shared" si="12"/>
        <v>0</v>
      </c>
      <c r="J103" s="79">
        <f t="shared" si="12"/>
        <v>0</v>
      </c>
      <c r="K103" s="79">
        <f t="shared" si="12"/>
        <v>0</v>
      </c>
      <c r="L103" s="79">
        <f t="shared" si="12"/>
        <v>0</v>
      </c>
      <c r="M103" s="79">
        <f t="shared" si="12"/>
        <v>0</v>
      </c>
      <c r="N103" s="79">
        <f t="shared" si="12"/>
        <v>0</v>
      </c>
      <c r="O103" s="79">
        <f t="shared" si="12"/>
        <v>0</v>
      </c>
      <c r="P103" s="79">
        <f t="shared" si="12"/>
        <v>0</v>
      </c>
      <c r="Q103" s="587">
        <f t="shared" ref="Q103:R103" si="13">Q42++Q48+Q53+Q58+Q63+Q68+Q73+Q78+Q83+Q88+Q93+Q98</f>
        <v>0</v>
      </c>
      <c r="R103" s="587">
        <f t="shared" si="13"/>
        <v>0</v>
      </c>
      <c r="S103" s="587">
        <f t="shared" ref="S103" si="14">S42++S48+S53+S58+S63+S68+S73+S78+S83+S88+S93+S98</f>
        <v>0</v>
      </c>
      <c r="T103" s="78" t="e">
        <f>SUM(E103:O103)</f>
        <v>#REF!</v>
      </c>
    </row>
    <row r="104" spans="1:20" s="80" customFormat="1" x14ac:dyDescent="0.2">
      <c r="A104" s="654" t="s">
        <v>1256</v>
      </c>
      <c r="B104" s="599"/>
      <c r="C104" s="600"/>
      <c r="D104" s="601"/>
      <c r="E104" s="77">
        <f t="shared" ref="E104:P104" si="15">E43++E49+E54+E59+E64+E69+E74+E79+E84+E89+E94+E99</f>
        <v>500</v>
      </c>
      <c r="F104" s="77" t="e">
        <f t="shared" si="15"/>
        <v>#REF!</v>
      </c>
      <c r="G104" s="77" t="e">
        <f t="shared" si="15"/>
        <v>#REF!</v>
      </c>
      <c r="H104" s="79">
        <f t="shared" si="15"/>
        <v>0</v>
      </c>
      <c r="I104" s="77">
        <f t="shared" si="15"/>
        <v>0</v>
      </c>
      <c r="J104" s="79">
        <f t="shared" si="15"/>
        <v>0</v>
      </c>
      <c r="K104" s="79">
        <f t="shared" si="15"/>
        <v>0</v>
      </c>
      <c r="L104" s="79">
        <f t="shared" si="15"/>
        <v>0</v>
      </c>
      <c r="M104" s="79">
        <f t="shared" si="15"/>
        <v>0</v>
      </c>
      <c r="N104" s="79">
        <f t="shared" si="15"/>
        <v>0</v>
      </c>
      <c r="O104" s="79">
        <f t="shared" si="15"/>
        <v>0</v>
      </c>
      <c r="P104" s="79">
        <f t="shared" si="15"/>
        <v>0</v>
      </c>
      <c r="Q104" s="587">
        <f t="shared" ref="Q104:R104" si="16">Q43++Q49+Q54+Q59+Q64+Q69+Q74+Q79+Q84+Q89+Q94+Q99</f>
        <v>0</v>
      </c>
      <c r="R104" s="587">
        <f t="shared" si="16"/>
        <v>0</v>
      </c>
      <c r="S104" s="587">
        <f t="shared" ref="S104" si="17">S43++S49+S54+S59+S64+S69+S74+S79+S84+S89+S94+S99</f>
        <v>0</v>
      </c>
      <c r="T104" s="78" t="e">
        <f>SUM(E104:O104)</f>
        <v>#REF!</v>
      </c>
    </row>
    <row r="105" spans="1:20" s="39" customFormat="1" x14ac:dyDescent="0.2">
      <c r="A105" s="658" t="s">
        <v>1257</v>
      </c>
      <c r="B105" s="1678"/>
      <c r="C105" s="602"/>
      <c r="D105" s="1548"/>
      <c r="E105" s="75" t="e">
        <f t="shared" ref="E105:P105" si="18">E44++E50+E55+E60+E65+E70+E75+E80+E85+E90+E95+E100</f>
        <v>#REF!</v>
      </c>
      <c r="F105" s="75" t="e">
        <f t="shared" si="18"/>
        <v>#REF!</v>
      </c>
      <c r="G105" s="75" t="e">
        <f t="shared" si="18"/>
        <v>#REF!</v>
      </c>
      <c r="H105" s="21">
        <f t="shared" si="18"/>
        <v>0</v>
      </c>
      <c r="I105" s="75">
        <f t="shared" si="18"/>
        <v>0</v>
      </c>
      <c r="J105" s="21">
        <f t="shared" si="18"/>
        <v>0</v>
      </c>
      <c r="K105" s="21">
        <f t="shared" si="18"/>
        <v>0</v>
      </c>
      <c r="L105" s="21">
        <f t="shared" si="18"/>
        <v>0</v>
      </c>
      <c r="M105" s="21">
        <f t="shared" si="18"/>
        <v>0</v>
      </c>
      <c r="N105" s="21">
        <f t="shared" si="18"/>
        <v>0</v>
      </c>
      <c r="O105" s="21">
        <f t="shared" si="18"/>
        <v>0</v>
      </c>
      <c r="P105" s="21">
        <f t="shared" si="18"/>
        <v>0</v>
      </c>
      <c r="Q105" s="64">
        <f t="shared" ref="Q105:R105" si="19">Q44++Q50+Q55+Q60+Q65+Q70+Q75+Q80+Q85+Q90+Q95+Q100</f>
        <v>0</v>
      </c>
      <c r="R105" s="64">
        <f t="shared" si="19"/>
        <v>0</v>
      </c>
      <c r="S105" s="64">
        <f t="shared" ref="S105" si="20">S44++S50+S55+S60+S65+S70+S75+S80+S85+S90+S95+S100</f>
        <v>0</v>
      </c>
      <c r="T105" s="78"/>
    </row>
    <row r="106" spans="1:20" s="80" customFormat="1" ht="13.5" thickBot="1" x14ac:dyDescent="0.25">
      <c r="A106" s="591"/>
      <c r="B106" s="208"/>
      <c r="C106" s="208"/>
      <c r="D106" s="603"/>
      <c r="E106" s="593"/>
      <c r="F106" s="593"/>
      <c r="G106" s="593"/>
      <c r="H106" s="592"/>
      <c r="I106" s="593"/>
      <c r="J106" s="592"/>
      <c r="K106" s="592"/>
      <c r="L106" s="592"/>
      <c r="M106" s="592"/>
      <c r="N106" s="592"/>
      <c r="O106" s="592"/>
      <c r="P106" s="592"/>
      <c r="Q106" s="603"/>
      <c r="R106" s="603"/>
      <c r="S106" s="603"/>
      <c r="T106" s="594"/>
    </row>
    <row r="107" spans="1:20" ht="13.5" thickTop="1" x14ac:dyDescent="0.2"/>
    <row r="1109" spans="5:5" x14ac:dyDescent="0.2">
      <c r="E1109" s="723" t="s">
        <v>7245</v>
      </c>
    </row>
  </sheetData>
  <mergeCells count="14">
    <mergeCell ref="A38:T38"/>
    <mergeCell ref="N2:O2"/>
    <mergeCell ref="L2:M2"/>
    <mergeCell ref="T2:U2"/>
    <mergeCell ref="H2:I2"/>
    <mergeCell ref="J2:K2"/>
    <mergeCell ref="D2:E2"/>
    <mergeCell ref="F2:G2"/>
    <mergeCell ref="A19:T19"/>
    <mergeCell ref="AD2:AE2"/>
    <mergeCell ref="AB2:AC2"/>
    <mergeCell ref="V2:W2"/>
    <mergeCell ref="X2:Y2"/>
    <mergeCell ref="Z2:AA2"/>
  </mergeCells>
  <phoneticPr fontId="9"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7030A0"/>
    <pageSetUpPr fitToPage="1"/>
  </sheetPr>
  <dimension ref="A1:AT1109"/>
  <sheetViews>
    <sheetView topLeftCell="Q1" workbookViewId="0">
      <selection activeCell="AG10" sqref="AG10"/>
    </sheetView>
  </sheetViews>
  <sheetFormatPr defaultColWidth="9.140625" defaultRowHeight="12.75" x14ac:dyDescent="0.2"/>
  <cols>
    <col min="1" max="1" width="29.28515625" style="723" bestFit="1" customWidth="1"/>
    <col min="2" max="2" width="12.7109375" style="723" bestFit="1" customWidth="1"/>
    <col min="3" max="3" width="10" style="723" customWidth="1"/>
    <col min="4" max="4" width="13" style="723" customWidth="1"/>
    <col min="5" max="6" width="10.85546875" style="723" customWidth="1"/>
    <col min="7" max="7" width="11.28515625" style="723" customWidth="1"/>
    <col min="8" max="9" width="11.140625" style="723" customWidth="1"/>
    <col min="10" max="11" width="10.85546875" style="723" customWidth="1"/>
    <col min="12" max="12" width="11" style="723" customWidth="1"/>
    <col min="13" max="13" width="11.140625" style="723" customWidth="1"/>
    <col min="14" max="14" width="11.5703125" style="723" customWidth="1"/>
    <col min="15" max="15" width="11" style="723" customWidth="1"/>
    <col min="16" max="16" width="11.140625" style="723" bestFit="1" customWidth="1"/>
    <col min="17" max="17" width="10.7109375" style="723" customWidth="1"/>
    <col min="18" max="18" width="10.140625" style="723" customWidth="1"/>
    <col min="19" max="19" width="11" style="723" bestFit="1" customWidth="1"/>
    <col min="20" max="20" width="10" style="723" bestFit="1" customWidth="1"/>
    <col min="21" max="21" width="11" style="723" bestFit="1" customWidth="1"/>
    <col min="22" max="22" width="10" style="723" bestFit="1" customWidth="1"/>
    <col min="23" max="23" width="11" style="723" bestFit="1" customWidth="1"/>
    <col min="24" max="24" width="10" style="723" bestFit="1" customWidth="1"/>
    <col min="25" max="25" width="11" style="723" bestFit="1" customWidth="1"/>
    <col min="26" max="26" width="10" style="723" bestFit="1" customWidth="1"/>
    <col min="27" max="27" width="11" style="723" bestFit="1" customWidth="1"/>
    <col min="28" max="28" width="11.28515625" style="723" bestFit="1" customWidth="1"/>
    <col min="29" max="29" width="12.85546875" style="723" customWidth="1"/>
    <col min="30" max="30" width="11.28515625" style="723" bestFit="1" customWidth="1"/>
    <col min="31" max="31" width="12.85546875" style="723" customWidth="1"/>
    <col min="32" max="32" width="11.28515625" style="723" bestFit="1" customWidth="1"/>
    <col min="33" max="33" width="12.85546875" style="723" customWidth="1"/>
    <col min="34" max="34" width="11.28515625" style="723" bestFit="1" customWidth="1"/>
    <col min="35" max="35" width="12.85546875" style="723" customWidth="1"/>
    <col min="36" max="36" width="9.140625" style="723" bestFit="1"/>
    <col min="37" max="39" width="9.140625" style="723"/>
    <col min="40" max="40" width="9.140625" style="723" bestFit="1"/>
    <col min="41" max="43" width="9.140625" style="723"/>
    <col min="44" max="44" width="9.140625" style="723" bestFit="1"/>
    <col min="45" max="45" width="9.140625" style="1116"/>
    <col min="46" max="46" width="9.140625" style="1116" bestFit="1"/>
    <col min="47" max="16384" width="9.140625" style="723"/>
  </cols>
  <sheetData>
    <row r="1" spans="1:46" x14ac:dyDescent="0.2">
      <c r="A1" s="2254"/>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305"/>
      <c r="AI1" s="2306"/>
      <c r="AR1" s="1116"/>
      <c r="AT1" s="723"/>
    </row>
    <row r="2" spans="1:46" x14ac:dyDescent="0.2">
      <c r="A2" s="2704" t="s">
        <v>4596</v>
      </c>
      <c r="B2" s="2705"/>
      <c r="C2" s="2705"/>
      <c r="D2" s="2705"/>
      <c r="E2" s="2705"/>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6"/>
      <c r="AR2" s="1116"/>
      <c r="AT2" s="723"/>
    </row>
    <row r="3" spans="1:46" s="2018" customFormat="1" x14ac:dyDescent="0.2">
      <c r="A3" s="2291"/>
      <c r="B3" s="2290"/>
      <c r="C3" s="2290"/>
      <c r="D3" s="1799"/>
      <c r="E3" s="1799"/>
      <c r="F3" s="1799"/>
      <c r="G3" s="1799"/>
      <c r="H3" s="1799"/>
      <c r="I3" s="1799"/>
      <c r="J3" s="1799"/>
      <c r="K3" s="1799"/>
      <c r="L3" s="1799"/>
      <c r="M3" s="1799"/>
      <c r="N3" s="1799"/>
      <c r="O3" s="1799"/>
      <c r="P3" s="1799"/>
      <c r="Q3" s="1799"/>
      <c r="R3" s="1799"/>
      <c r="S3" s="1799"/>
      <c r="T3" s="1799"/>
      <c r="U3" s="1799"/>
      <c r="V3" s="1799"/>
      <c r="W3" s="1799"/>
      <c r="X3" s="1799"/>
      <c r="Y3" s="1799"/>
      <c r="Z3" s="1799"/>
      <c r="AA3" s="1799"/>
      <c r="AB3" s="1799"/>
      <c r="AC3" s="1799"/>
      <c r="AD3" s="1799"/>
      <c r="AE3" s="1799"/>
      <c r="AF3" s="1799"/>
      <c r="AG3" s="1799"/>
      <c r="AH3" s="1799"/>
      <c r="AI3" s="2308"/>
      <c r="AR3" s="2019"/>
      <c r="AS3" s="2019"/>
    </row>
    <row r="4" spans="1:46" s="2022" customFormat="1" x14ac:dyDescent="0.2">
      <c r="A4" s="2309"/>
      <c r="B4" s="2020" t="s">
        <v>2624</v>
      </c>
      <c r="C4" s="2020" t="s">
        <v>4599</v>
      </c>
      <c r="D4" s="2707" t="s">
        <v>1148</v>
      </c>
      <c r="E4" s="2708"/>
      <c r="F4" s="2707" t="s">
        <v>874</v>
      </c>
      <c r="G4" s="2708"/>
      <c r="H4" s="2707" t="s">
        <v>493</v>
      </c>
      <c r="I4" s="2708"/>
      <c r="J4" s="2707" t="s">
        <v>1899</v>
      </c>
      <c r="K4" s="2708"/>
      <c r="L4" s="2707" t="s">
        <v>374</v>
      </c>
      <c r="M4" s="2708"/>
      <c r="N4" s="2707" t="s">
        <v>2870</v>
      </c>
      <c r="O4" s="2708"/>
      <c r="P4" s="2707" t="s">
        <v>1487</v>
      </c>
      <c r="Q4" s="2708"/>
      <c r="R4" s="2707" t="s">
        <v>2107</v>
      </c>
      <c r="S4" s="2708"/>
      <c r="T4" s="2707" t="s">
        <v>986</v>
      </c>
      <c r="U4" s="2708"/>
      <c r="V4" s="2707" t="s">
        <v>2590</v>
      </c>
      <c r="W4" s="2708"/>
      <c r="X4" s="2707" t="s">
        <v>1958</v>
      </c>
      <c r="Y4" s="2708"/>
      <c r="Z4" s="2707" t="s">
        <v>2893</v>
      </c>
      <c r="AA4" s="2708"/>
      <c r="AB4" s="2707" t="s">
        <v>3462</v>
      </c>
      <c r="AC4" s="2708"/>
      <c r="AD4" s="2707" t="s">
        <v>6819</v>
      </c>
      <c r="AE4" s="2708"/>
      <c r="AF4" s="2707" t="s">
        <v>6820</v>
      </c>
      <c r="AG4" s="2708"/>
      <c r="AH4" s="2707" t="s">
        <v>11921</v>
      </c>
      <c r="AI4" s="2709"/>
    </row>
    <row r="5" spans="1:46" x14ac:dyDescent="0.2">
      <c r="A5" s="2310" t="s">
        <v>1897</v>
      </c>
      <c r="B5" s="2023" t="s">
        <v>2230</v>
      </c>
      <c r="C5" s="2023" t="s">
        <v>4600</v>
      </c>
      <c r="D5" s="2288" t="s">
        <v>2560</v>
      </c>
      <c r="E5" s="1596" t="s">
        <v>2624</v>
      </c>
      <c r="F5" s="1596" t="s">
        <v>2560</v>
      </c>
      <c r="G5" s="1596" t="s">
        <v>2624</v>
      </c>
      <c r="H5" s="1596" t="s">
        <v>2560</v>
      </c>
      <c r="I5" s="1596" t="s">
        <v>2624</v>
      </c>
      <c r="J5" s="1596" t="s">
        <v>2560</v>
      </c>
      <c r="K5" s="1596" t="s">
        <v>2624</v>
      </c>
      <c r="L5" s="1596" t="s">
        <v>2560</v>
      </c>
      <c r="M5" s="1596" t="s">
        <v>2624</v>
      </c>
      <c r="N5" s="1596" t="s">
        <v>2560</v>
      </c>
      <c r="O5" s="1596" t="s">
        <v>2624</v>
      </c>
      <c r="P5" s="1596" t="s">
        <v>2560</v>
      </c>
      <c r="Q5" s="1596" t="s">
        <v>2624</v>
      </c>
      <c r="R5" s="1596" t="s">
        <v>2560</v>
      </c>
      <c r="S5" s="1596" t="s">
        <v>2624</v>
      </c>
      <c r="T5" s="1596" t="s">
        <v>2560</v>
      </c>
      <c r="U5" s="1596" t="s">
        <v>2624</v>
      </c>
      <c r="V5" s="1596" t="s">
        <v>2560</v>
      </c>
      <c r="W5" s="1596" t="s">
        <v>2624</v>
      </c>
      <c r="X5" s="1596" t="s">
        <v>2560</v>
      </c>
      <c r="Y5" s="1596" t="s">
        <v>2624</v>
      </c>
      <c r="Z5" s="1596" t="s">
        <v>2560</v>
      </c>
      <c r="AA5" s="1596" t="s">
        <v>2624</v>
      </c>
      <c r="AB5" s="1596" t="s">
        <v>2560</v>
      </c>
      <c r="AC5" s="2289" t="s">
        <v>2624</v>
      </c>
      <c r="AD5" s="2289" t="s">
        <v>2560</v>
      </c>
      <c r="AE5" s="2289" t="s">
        <v>2624</v>
      </c>
      <c r="AF5" s="2289" t="s">
        <v>2560</v>
      </c>
      <c r="AG5" s="2289" t="s">
        <v>2624</v>
      </c>
      <c r="AH5" s="2289" t="s">
        <v>2560</v>
      </c>
      <c r="AI5" s="2311" t="s">
        <v>2624</v>
      </c>
      <c r="AS5" s="723"/>
      <c r="AT5" s="723"/>
    </row>
    <row r="6" spans="1:46" x14ac:dyDescent="0.2">
      <c r="A6" s="2312"/>
      <c r="B6" s="1070"/>
      <c r="C6" s="2024"/>
      <c r="D6" s="2025"/>
      <c r="E6" s="1070"/>
      <c r="F6" s="1070"/>
      <c r="G6" s="1070"/>
      <c r="H6" s="1070"/>
      <c r="I6" s="1070"/>
      <c r="J6" s="1070"/>
      <c r="K6" s="1070"/>
      <c r="L6" s="1070"/>
      <c r="M6" s="1070"/>
      <c r="N6" s="1070"/>
      <c r="O6" s="1070"/>
      <c r="P6" s="1070"/>
      <c r="Q6" s="1070"/>
      <c r="R6" s="1070"/>
      <c r="S6" s="1070"/>
      <c r="T6" s="1070"/>
      <c r="U6" s="1070"/>
      <c r="V6" s="1070"/>
      <c r="W6" s="1070"/>
      <c r="X6" s="1070"/>
      <c r="Y6" s="1070"/>
      <c r="Z6" s="1070"/>
      <c r="AA6" s="1070"/>
      <c r="AB6" s="1070"/>
      <c r="AC6" s="1069"/>
      <c r="AD6" s="1069"/>
      <c r="AE6" s="1069"/>
      <c r="AF6" s="1069"/>
      <c r="AG6" s="1069"/>
      <c r="AH6" s="1069"/>
      <c r="AI6" s="2307"/>
      <c r="AS6" s="723"/>
      <c r="AT6" s="723"/>
    </row>
    <row r="7" spans="1:46" x14ac:dyDescent="0.2">
      <c r="A7" s="2313" t="s">
        <v>1897</v>
      </c>
      <c r="B7" s="2026"/>
      <c r="C7" s="2027"/>
      <c r="D7" s="1150"/>
      <c r="E7" s="634"/>
      <c r="F7" s="634"/>
      <c r="G7" s="634"/>
      <c r="H7" s="634"/>
      <c r="I7" s="634"/>
      <c r="J7" s="634"/>
      <c r="K7" s="634"/>
      <c r="L7" s="634"/>
      <c r="M7" s="634"/>
      <c r="N7" s="634"/>
      <c r="O7" s="634"/>
      <c r="P7" s="634"/>
      <c r="Q7" s="634"/>
      <c r="R7" s="634"/>
      <c r="S7" s="634"/>
      <c r="T7" s="634"/>
      <c r="U7" s="634"/>
      <c r="V7" s="634"/>
      <c r="W7" s="634"/>
      <c r="X7" s="634"/>
      <c r="Y7" s="634"/>
      <c r="Z7" s="634"/>
      <c r="AA7" s="634"/>
      <c r="AB7" s="634"/>
      <c r="AC7" s="1151"/>
      <c r="AD7" s="1151"/>
      <c r="AE7" s="1151"/>
      <c r="AF7" s="1151"/>
      <c r="AG7" s="1151"/>
      <c r="AH7" s="1151"/>
      <c r="AI7" s="2314"/>
      <c r="AS7" s="723"/>
      <c r="AT7" s="723"/>
    </row>
    <row r="8" spans="1:46" x14ac:dyDescent="0.2">
      <c r="A8" s="815" t="s">
        <v>4603</v>
      </c>
      <c r="B8" s="1117">
        <v>0</v>
      </c>
      <c r="C8" s="1118">
        <v>43830</v>
      </c>
      <c r="D8" s="1591">
        <v>750000</v>
      </c>
      <c r="E8" s="659"/>
      <c r="F8" s="659">
        <v>750000</v>
      </c>
      <c r="G8" s="659"/>
      <c r="H8" s="659">
        <v>750000</v>
      </c>
      <c r="I8" s="659"/>
      <c r="J8" s="659">
        <v>750000</v>
      </c>
      <c r="K8" s="659"/>
      <c r="L8" s="659">
        <v>750000</v>
      </c>
      <c r="M8" s="659"/>
      <c r="N8" s="659">
        <v>750000</v>
      </c>
      <c r="O8" s="659"/>
      <c r="P8" s="659">
        <v>750000</v>
      </c>
      <c r="Q8" s="659"/>
      <c r="R8" s="659">
        <v>750000</v>
      </c>
      <c r="S8" s="659"/>
      <c r="T8" s="659">
        <v>0</v>
      </c>
      <c r="U8" s="659"/>
      <c r="V8" s="659"/>
      <c r="W8" s="659"/>
      <c r="X8" s="634"/>
      <c r="Y8" s="634"/>
      <c r="Z8" s="634"/>
      <c r="AA8" s="634"/>
      <c r="AB8" s="634"/>
      <c r="AC8" s="1151"/>
      <c r="AD8" s="1151"/>
      <c r="AE8" s="1151"/>
      <c r="AF8" s="634"/>
      <c r="AG8" s="1151"/>
      <c r="AH8" s="634"/>
      <c r="AI8" s="2314"/>
      <c r="AS8" s="723"/>
      <c r="AT8" s="723"/>
    </row>
    <row r="9" spans="1:46" x14ac:dyDescent="0.2">
      <c r="A9" s="815" t="s">
        <v>4603</v>
      </c>
      <c r="B9" s="1117">
        <v>0</v>
      </c>
      <c r="C9" s="1118">
        <v>43830</v>
      </c>
      <c r="D9" s="1591">
        <v>235000</v>
      </c>
      <c r="E9" s="659"/>
      <c r="F9" s="659">
        <v>235000</v>
      </c>
      <c r="G9" s="659"/>
      <c r="H9" s="659">
        <v>235000</v>
      </c>
      <c r="I9" s="659"/>
      <c r="J9" s="659">
        <v>235000</v>
      </c>
      <c r="K9" s="659"/>
      <c r="L9" s="659">
        <v>235000</v>
      </c>
      <c r="M9" s="659"/>
      <c r="N9" s="659">
        <v>235000</v>
      </c>
      <c r="O9" s="659"/>
      <c r="P9" s="659">
        <v>235000</v>
      </c>
      <c r="Q9" s="659"/>
      <c r="R9" s="659">
        <v>235000</v>
      </c>
      <c r="S9" s="659"/>
      <c r="T9" s="659">
        <v>0</v>
      </c>
      <c r="U9" s="659"/>
      <c r="V9" s="659"/>
      <c r="W9" s="659"/>
      <c r="X9" s="634"/>
      <c r="Y9" s="634"/>
      <c r="Z9" s="634"/>
      <c r="AA9" s="634"/>
      <c r="AB9" s="634"/>
      <c r="AC9" s="1151"/>
      <c r="AD9" s="1151"/>
      <c r="AE9" s="1151"/>
      <c r="AF9" s="634"/>
      <c r="AG9" s="1151"/>
      <c r="AH9" s="634"/>
      <c r="AI9" s="2314"/>
      <c r="AS9" s="723"/>
      <c r="AT9" s="723"/>
    </row>
    <row r="10" spans="1:46" x14ac:dyDescent="0.2">
      <c r="A10" s="815" t="s">
        <v>4598</v>
      </c>
      <c r="B10" s="1117">
        <v>7.2099999999999997E-2</v>
      </c>
      <c r="C10" s="1118">
        <v>45096</v>
      </c>
      <c r="D10" s="1591"/>
      <c r="E10" s="659"/>
      <c r="F10" s="659">
        <v>1105574</v>
      </c>
      <c r="G10" s="659">
        <v>3803704</v>
      </c>
      <c r="H10" s="659">
        <v>886100</v>
      </c>
      <c r="I10" s="659">
        <f>3716436- (920560-807066)</f>
        <v>3602942</v>
      </c>
      <c r="J10" s="659">
        <f>335890+370378+377036+383813</f>
        <v>1467117</v>
      </c>
      <c r="K10" s="659">
        <f>891429+856942+850284+843507</f>
        <v>3442162</v>
      </c>
      <c r="L10" s="659">
        <f>390712+397736+404885+412163</f>
        <v>1605496</v>
      </c>
      <c r="M10" s="659">
        <f>836607+829584+822434+815156</f>
        <v>3303781</v>
      </c>
      <c r="N10" s="79">
        <f>410696+426955+443340+433975</f>
        <v>1714966</v>
      </c>
      <c r="O10" s="79">
        <f>816624+800365+783979+793344</f>
        <v>3194312</v>
      </c>
      <c r="P10" s="79">
        <f>441862+458342+474941+466853</f>
        <v>1841998</v>
      </c>
      <c r="Q10" s="79">
        <f>785458+768977+752378+760467</f>
        <v>3067280</v>
      </c>
      <c r="R10" s="659">
        <f>475337+492055+500900+502020</f>
        <v>1970312</v>
      </c>
      <c r="S10" s="659">
        <f>751983+735264+726419+725299</f>
        <v>2938965</v>
      </c>
      <c r="T10" s="79">
        <f>495575+527836+560072+524977</f>
        <v>2108460</v>
      </c>
      <c r="U10" s="79">
        <f>731745+699483+667248+702342</f>
        <v>2800818</v>
      </c>
      <c r="V10" s="659">
        <f>556829+566838+577028+587400</f>
        <v>2288095</v>
      </c>
      <c r="W10" s="706">
        <f>670490+660481+650292+639919</f>
        <v>2621182</v>
      </c>
      <c r="X10" s="706">
        <f>597959+608708+619650+630788</f>
        <v>2457105</v>
      </c>
      <c r="Y10" s="706">
        <f>629361+618612+607670+596531</f>
        <v>2452174</v>
      </c>
      <c r="Z10" s="706">
        <f>O53</f>
        <v>2626000</v>
      </c>
      <c r="AA10" s="706">
        <f>O54</f>
        <v>2283300</v>
      </c>
      <c r="AB10" s="1592">
        <f>P53</f>
        <v>2800000</v>
      </c>
      <c r="AC10" s="1593">
        <f>P54</f>
        <v>2109300</v>
      </c>
      <c r="AD10" s="1593">
        <f>Q53</f>
        <v>2969000</v>
      </c>
      <c r="AE10" s="1593">
        <f>Q54</f>
        <v>1940300</v>
      </c>
      <c r="AF10" s="1592">
        <f>R53</f>
        <v>3138000</v>
      </c>
      <c r="AG10" s="1593">
        <f>R54</f>
        <v>1771300</v>
      </c>
      <c r="AH10" s="1592">
        <f>S53</f>
        <v>3307000</v>
      </c>
      <c r="AI10" s="2315">
        <f>S54</f>
        <v>1602300</v>
      </c>
      <c r="AJ10" s="2028">
        <f>AF10+(AF10-AD10)</f>
        <v>3307000</v>
      </c>
      <c r="AS10" s="723"/>
      <c r="AT10" s="723"/>
    </row>
    <row r="11" spans="1:46" x14ac:dyDescent="0.2">
      <c r="A11" s="815" t="s">
        <v>4601</v>
      </c>
      <c r="B11" s="1117">
        <v>7.4700000000000003E-2</v>
      </c>
      <c r="C11" s="1118">
        <v>43281</v>
      </c>
      <c r="D11" s="1591"/>
      <c r="E11" s="659"/>
      <c r="F11" s="659">
        <v>294245</v>
      </c>
      <c r="G11" s="659">
        <v>962985</v>
      </c>
      <c r="H11" s="659">
        <v>316849</v>
      </c>
      <c r="I11" s="659">
        <v>940381</v>
      </c>
      <c r="J11" s="659">
        <v>341188</v>
      </c>
      <c r="K11" s="659">
        <v>916041</v>
      </c>
      <c r="L11" s="659">
        <v>367398</v>
      </c>
      <c r="M11" s="659">
        <v>889831</v>
      </c>
      <c r="N11" s="79">
        <v>395621</v>
      </c>
      <c r="O11" s="79">
        <v>861608</v>
      </c>
      <c r="P11" s="79"/>
      <c r="Q11" s="79"/>
      <c r="R11" s="659"/>
      <c r="S11" s="659"/>
      <c r="T11" s="79"/>
      <c r="U11" s="79"/>
      <c r="V11" s="659"/>
      <c r="W11" s="706"/>
      <c r="X11" s="706"/>
      <c r="Y11" s="706"/>
      <c r="Z11" s="706"/>
      <c r="AA11" s="706"/>
      <c r="AB11" s="1592"/>
      <c r="AC11" s="1593"/>
      <c r="AD11" s="1593"/>
      <c r="AE11" s="1593"/>
      <c r="AF11" s="1592"/>
      <c r="AG11" s="1593"/>
      <c r="AH11" s="1592"/>
      <c r="AI11" s="2315"/>
      <c r="AJ11" s="604"/>
      <c r="AS11" s="723"/>
      <c r="AT11" s="723"/>
    </row>
    <row r="12" spans="1:46" x14ac:dyDescent="0.2">
      <c r="A12" s="815" t="s">
        <v>4880</v>
      </c>
      <c r="B12" s="1117">
        <v>0.06</v>
      </c>
      <c r="C12" s="1118">
        <v>43281</v>
      </c>
      <c r="D12" s="1591"/>
      <c r="E12" s="659"/>
      <c r="F12" s="659"/>
      <c r="G12" s="659"/>
      <c r="H12" s="659"/>
      <c r="I12" s="659"/>
      <c r="J12" s="659"/>
      <c r="K12" s="659"/>
      <c r="L12" s="659"/>
      <c r="M12" s="659"/>
      <c r="N12" s="79"/>
      <c r="O12" s="79"/>
      <c r="P12" s="79">
        <f>J63</f>
        <v>307000</v>
      </c>
      <c r="Q12" s="79">
        <f>J64</f>
        <v>677000</v>
      </c>
      <c r="R12" s="659">
        <f>K63</f>
        <v>325000</v>
      </c>
      <c r="S12" s="659">
        <f>K64</f>
        <v>659000</v>
      </c>
      <c r="T12" s="79">
        <f>L63</f>
        <v>345000</v>
      </c>
      <c r="U12" s="79">
        <f>L64</f>
        <v>639000</v>
      </c>
      <c r="V12" s="659">
        <f>M63</f>
        <v>366000</v>
      </c>
      <c r="W12" s="706">
        <f>M64</f>
        <v>618000</v>
      </c>
      <c r="X12" s="706">
        <f>N63</f>
        <v>387000</v>
      </c>
      <c r="Y12" s="706">
        <f>N64</f>
        <v>597000</v>
      </c>
      <c r="Z12" s="706">
        <f>O63</f>
        <v>411000</v>
      </c>
      <c r="AA12" s="706">
        <f>O64</f>
        <v>573000</v>
      </c>
      <c r="AB12" s="1592">
        <f>P63</f>
        <v>435000</v>
      </c>
      <c r="AC12" s="1593">
        <f>P64</f>
        <v>549000</v>
      </c>
      <c r="AD12" s="1593">
        <f>Q63</f>
        <v>461000</v>
      </c>
      <c r="AE12" s="1593">
        <f>Q64</f>
        <v>523000</v>
      </c>
      <c r="AF12" s="1592">
        <f>R63</f>
        <v>489000</v>
      </c>
      <c r="AG12" s="1593">
        <f>R64</f>
        <v>495000</v>
      </c>
      <c r="AH12" s="1592">
        <f>S63</f>
        <v>518000</v>
      </c>
      <c r="AI12" s="2315">
        <f>S64</f>
        <v>466000</v>
      </c>
      <c r="AJ12" s="2028">
        <f>AF12+(AF12-AD12)</f>
        <v>517000</v>
      </c>
      <c r="AS12" s="723"/>
      <c r="AT12" s="723"/>
    </row>
    <row r="13" spans="1:46" x14ac:dyDescent="0.2">
      <c r="A13" s="815" t="s">
        <v>4597</v>
      </c>
      <c r="B13" s="1117"/>
      <c r="C13" s="773"/>
      <c r="D13" s="1150"/>
      <c r="E13" s="659">
        <v>3266638</v>
      </c>
      <c r="F13" s="634"/>
      <c r="G13" s="659"/>
      <c r="H13" s="634"/>
      <c r="I13" s="659"/>
      <c r="J13" s="659"/>
      <c r="K13" s="659"/>
      <c r="L13" s="659"/>
      <c r="M13" s="659"/>
      <c r="N13" s="659"/>
      <c r="O13" s="659"/>
      <c r="P13" s="659"/>
      <c r="Q13" s="659"/>
      <c r="R13" s="659"/>
      <c r="S13" s="659"/>
      <c r="T13" s="659"/>
      <c r="U13" s="659"/>
      <c r="V13" s="659"/>
      <c r="W13" s="706"/>
      <c r="X13" s="706"/>
      <c r="Y13" s="706"/>
      <c r="Z13" s="706"/>
      <c r="AA13" s="706"/>
      <c r="AB13" s="706"/>
      <c r="AC13" s="707"/>
      <c r="AD13" s="707"/>
      <c r="AE13" s="707"/>
      <c r="AF13" s="706"/>
      <c r="AG13" s="707"/>
      <c r="AH13" s="706"/>
      <c r="AI13" s="2316"/>
      <c r="AJ13" s="604"/>
      <c r="AS13" s="723"/>
      <c r="AT13" s="723"/>
    </row>
    <row r="14" spans="1:46" x14ac:dyDescent="0.2">
      <c r="A14" s="815" t="s">
        <v>5253</v>
      </c>
      <c r="B14" s="1117"/>
      <c r="C14" s="773"/>
      <c r="D14" s="1150"/>
      <c r="E14" s="659"/>
      <c r="F14" s="634"/>
      <c r="G14" s="659"/>
      <c r="H14" s="634"/>
      <c r="I14" s="659">
        <v>104300</v>
      </c>
      <c r="J14" s="659"/>
      <c r="K14" s="659"/>
      <c r="L14" s="659"/>
      <c r="M14" s="659"/>
      <c r="N14" s="659"/>
      <c r="O14" s="659"/>
      <c r="P14" s="659"/>
      <c r="Q14" s="659"/>
      <c r="R14" s="659"/>
      <c r="S14" s="659"/>
      <c r="T14" s="659"/>
      <c r="U14" s="659"/>
      <c r="V14" s="659"/>
      <c r="W14" s="706"/>
      <c r="X14" s="706"/>
      <c r="Y14" s="706"/>
      <c r="Z14" s="706"/>
      <c r="AA14" s="706"/>
      <c r="AB14" s="706"/>
      <c r="AC14" s="707"/>
      <c r="AD14" s="707"/>
      <c r="AE14" s="707"/>
      <c r="AF14" s="706"/>
      <c r="AG14" s="707"/>
      <c r="AH14" s="706"/>
      <c r="AI14" s="2316"/>
      <c r="AJ14" s="604"/>
      <c r="AS14" s="723"/>
      <c r="AT14" s="723"/>
    </row>
    <row r="15" spans="1:46" x14ac:dyDescent="0.2">
      <c r="A15" s="2312"/>
      <c r="B15" s="1070"/>
      <c r="C15" s="1070"/>
      <c r="D15" s="1150"/>
      <c r="E15" s="634"/>
      <c r="F15" s="634"/>
      <c r="G15" s="634"/>
      <c r="H15" s="634"/>
      <c r="I15" s="634"/>
      <c r="J15" s="634"/>
      <c r="K15" s="634"/>
      <c r="L15" s="634"/>
      <c r="M15" s="634"/>
      <c r="N15" s="634"/>
      <c r="O15" s="634"/>
      <c r="P15" s="634"/>
      <c r="Q15" s="634"/>
      <c r="R15" s="634"/>
      <c r="S15" s="634"/>
      <c r="T15" s="634"/>
      <c r="U15" s="634"/>
      <c r="V15" s="634"/>
      <c r="W15" s="634"/>
      <c r="X15" s="634"/>
      <c r="Y15" s="634"/>
      <c r="Z15" s="634"/>
      <c r="AA15" s="634"/>
      <c r="AB15" s="634"/>
      <c r="AC15" s="1151"/>
      <c r="AD15" s="1151"/>
      <c r="AE15" s="1151"/>
      <c r="AF15" s="634"/>
      <c r="AG15" s="1151"/>
      <c r="AH15" s="634"/>
      <c r="AI15" s="2314"/>
      <c r="AJ15" s="604"/>
    </row>
    <row r="16" spans="1:46" s="2022" customFormat="1" ht="13.5" thickBot="1" x14ac:dyDescent="0.25">
      <c r="A16" s="2313" t="s">
        <v>54</v>
      </c>
      <c r="B16" s="2026"/>
      <c r="C16" s="2026"/>
      <c r="D16" s="2029">
        <f>ROUND(SUM(D7:D15),-2)</f>
        <v>985000</v>
      </c>
      <c r="E16" s="2029">
        <f t="shared" ref="E16:AB16" si="0">ROUND(SUM(E7:E15),-2)</f>
        <v>3266600</v>
      </c>
      <c r="F16" s="2029">
        <f t="shared" si="0"/>
        <v>2384800</v>
      </c>
      <c r="G16" s="2029">
        <f t="shared" si="0"/>
        <v>4766700</v>
      </c>
      <c r="H16" s="2029">
        <f t="shared" si="0"/>
        <v>2187900</v>
      </c>
      <c r="I16" s="2029">
        <f t="shared" si="0"/>
        <v>4647600</v>
      </c>
      <c r="J16" s="2029">
        <f t="shared" si="0"/>
        <v>2793300</v>
      </c>
      <c r="K16" s="2029">
        <f t="shared" si="0"/>
        <v>4358200</v>
      </c>
      <c r="L16" s="2029">
        <f t="shared" si="0"/>
        <v>2957900</v>
      </c>
      <c r="M16" s="2029">
        <f t="shared" si="0"/>
        <v>4193600</v>
      </c>
      <c r="N16" s="2029">
        <f t="shared" si="0"/>
        <v>3095600</v>
      </c>
      <c r="O16" s="2029">
        <f t="shared" si="0"/>
        <v>4055900</v>
      </c>
      <c r="P16" s="2029">
        <f t="shared" si="0"/>
        <v>3134000</v>
      </c>
      <c r="Q16" s="2029">
        <f t="shared" si="0"/>
        <v>3744300</v>
      </c>
      <c r="R16" s="2029">
        <f t="shared" si="0"/>
        <v>3280300</v>
      </c>
      <c r="S16" s="2029">
        <f t="shared" si="0"/>
        <v>3598000</v>
      </c>
      <c r="T16" s="2029">
        <f t="shared" si="0"/>
        <v>2453500</v>
      </c>
      <c r="U16" s="2029">
        <f t="shared" si="0"/>
        <v>3439800</v>
      </c>
      <c r="V16" s="2029">
        <f t="shared" si="0"/>
        <v>2654100</v>
      </c>
      <c r="W16" s="2029">
        <f t="shared" si="0"/>
        <v>3239200</v>
      </c>
      <c r="X16" s="2029">
        <f t="shared" si="0"/>
        <v>2844100</v>
      </c>
      <c r="Y16" s="2029">
        <f t="shared" si="0"/>
        <v>3049200</v>
      </c>
      <c r="Z16" s="2029">
        <f t="shared" si="0"/>
        <v>3037000</v>
      </c>
      <c r="AA16" s="2029">
        <f t="shared" si="0"/>
        <v>2856300</v>
      </c>
      <c r="AB16" s="2029">
        <f t="shared" si="0"/>
        <v>3235000</v>
      </c>
      <c r="AC16" s="2030">
        <f>ROUND(+SUM(AC7:AC15),-2)</f>
        <v>2658300</v>
      </c>
      <c r="AD16" s="2031">
        <f t="shared" ref="AD16:AF16" si="1">ROUND(SUM(AD7:AD15),-2)</f>
        <v>3430000</v>
      </c>
      <c r="AE16" s="2030">
        <f>ROUND(+SUM(AE7:AE15),-2)</f>
        <v>2463300</v>
      </c>
      <c r="AF16" s="2032">
        <f t="shared" si="1"/>
        <v>3627000</v>
      </c>
      <c r="AG16" s="2030">
        <f>ROUND(+SUM(AG7:AG15),-2)</f>
        <v>2266300</v>
      </c>
      <c r="AH16" s="2032">
        <f t="shared" ref="AH16" si="2">ROUND(SUM(AH7:AH15),-2)</f>
        <v>3825000</v>
      </c>
      <c r="AI16" s="2317">
        <f>ROUND(+SUM(AI7:AI15),-2)</f>
        <v>2068300</v>
      </c>
      <c r="AJ16" s="2021">
        <f>SUM(AH9:AH15)</f>
        <v>3825000</v>
      </c>
      <c r="AS16" s="2033"/>
      <c r="AT16" s="2033"/>
    </row>
    <row r="17" spans="1:46" ht="13.5" thickTop="1" x14ac:dyDescent="0.2">
      <c r="A17" s="2312" t="s">
        <v>4602</v>
      </c>
      <c r="B17" s="1070"/>
      <c r="C17" s="1070"/>
      <c r="D17" s="1150"/>
      <c r="E17" s="634"/>
      <c r="F17" s="634"/>
      <c r="G17" s="634"/>
      <c r="H17" s="634"/>
      <c r="I17" s="634"/>
      <c r="J17" s="634"/>
      <c r="K17" s="634"/>
      <c r="L17" s="634"/>
      <c r="M17" s="634"/>
      <c r="N17" s="634"/>
      <c r="O17" s="634"/>
      <c r="P17" s="634"/>
      <c r="Q17" s="634"/>
      <c r="R17" s="634"/>
      <c r="S17" s="634"/>
      <c r="T17" s="634"/>
      <c r="U17" s="634"/>
      <c r="V17" s="634"/>
      <c r="W17" s="634"/>
      <c r="X17" s="634"/>
      <c r="Y17" s="634"/>
      <c r="Z17" s="634"/>
      <c r="AA17" s="634"/>
      <c r="AB17" s="634"/>
      <c r="AC17" s="1151"/>
      <c r="AD17" s="1151"/>
      <c r="AE17" s="1151"/>
      <c r="AF17" s="634"/>
      <c r="AG17" s="1151"/>
      <c r="AH17" s="634"/>
      <c r="AI17" s="2314"/>
    </row>
    <row r="18" spans="1:46" x14ac:dyDescent="0.2">
      <c r="A18" s="2312"/>
      <c r="B18" s="1070"/>
      <c r="C18" s="1070"/>
      <c r="D18" s="1150"/>
      <c r="E18" s="634"/>
      <c r="F18" s="634"/>
      <c r="G18" s="634"/>
      <c r="H18" s="634"/>
      <c r="I18" s="634"/>
      <c r="J18" s="634"/>
      <c r="K18" s="634"/>
      <c r="L18" s="634"/>
      <c r="M18" s="634"/>
      <c r="N18" s="634"/>
      <c r="O18" s="634"/>
      <c r="P18" s="634"/>
      <c r="Q18" s="634"/>
      <c r="R18" s="634"/>
      <c r="S18" s="634"/>
      <c r="T18" s="634"/>
      <c r="U18" s="634"/>
      <c r="V18" s="634"/>
      <c r="W18" s="634"/>
      <c r="X18" s="634"/>
      <c r="Y18" s="634"/>
      <c r="Z18" s="634"/>
      <c r="AA18" s="634"/>
      <c r="AB18" s="634"/>
      <c r="AC18" s="1151"/>
      <c r="AD18" s="1151"/>
      <c r="AE18" s="1151"/>
      <c r="AF18" s="634"/>
      <c r="AG18" s="1151"/>
      <c r="AH18" s="634"/>
      <c r="AI18" s="2314"/>
    </row>
    <row r="19" spans="1:46" x14ac:dyDescent="0.2">
      <c r="A19" s="2313" t="s">
        <v>92</v>
      </c>
      <c r="B19" s="1070"/>
      <c r="C19" s="1070"/>
      <c r="D19" s="1150"/>
      <c r="E19" s="634"/>
      <c r="F19" s="634"/>
      <c r="G19" s="634"/>
      <c r="H19" s="634"/>
      <c r="I19" s="634"/>
      <c r="J19" s="634"/>
      <c r="K19" s="634"/>
      <c r="L19" s="634"/>
      <c r="M19" s="634"/>
      <c r="N19" s="634"/>
      <c r="O19" s="634"/>
      <c r="P19" s="634"/>
      <c r="Q19" s="634"/>
      <c r="R19" s="634"/>
      <c r="S19" s="634"/>
      <c r="T19" s="634"/>
      <c r="U19" s="634"/>
      <c r="V19" s="634"/>
      <c r="W19" s="634"/>
      <c r="X19" s="634"/>
      <c r="Y19" s="634"/>
      <c r="Z19" s="634"/>
      <c r="AA19" s="634"/>
      <c r="AB19" s="634"/>
      <c r="AC19" s="1151"/>
      <c r="AD19" s="1151"/>
      <c r="AE19" s="1151"/>
      <c r="AF19" s="634"/>
      <c r="AG19" s="1151"/>
      <c r="AH19" s="634"/>
      <c r="AI19" s="2314"/>
    </row>
    <row r="20" spans="1:46" x14ac:dyDescent="0.2">
      <c r="A20" s="2312" t="s">
        <v>52</v>
      </c>
      <c r="B20" s="1070"/>
      <c r="C20" s="1070"/>
      <c r="D20" s="1591">
        <f>ROUND(53298587,-3)-500</f>
        <v>53298500</v>
      </c>
      <c r="E20" s="634"/>
      <c r="F20" s="659">
        <f>D23</f>
        <v>69205200</v>
      </c>
      <c r="G20" s="634"/>
      <c r="H20" s="659">
        <f>F23</f>
        <v>67510200</v>
      </c>
      <c r="I20" s="634"/>
      <c r="J20" s="659">
        <f>H23</f>
        <v>65322300</v>
      </c>
      <c r="K20" s="634"/>
      <c r="L20" s="659">
        <f>J23</f>
        <v>62529000</v>
      </c>
      <c r="M20" s="634"/>
      <c r="N20" s="659">
        <f>L23</f>
        <v>59571100</v>
      </c>
      <c r="O20" s="634"/>
      <c r="P20" s="659">
        <f>N23</f>
        <v>56475500</v>
      </c>
      <c r="Q20" s="634"/>
      <c r="R20" s="659">
        <f>P23</f>
        <v>53341500</v>
      </c>
      <c r="S20" s="634"/>
      <c r="T20" s="659">
        <f>R23</f>
        <v>50061200</v>
      </c>
      <c r="U20" s="634"/>
      <c r="V20" s="659">
        <f>T23</f>
        <v>47607700</v>
      </c>
      <c r="W20" s="634"/>
      <c r="X20" s="659">
        <f>V23</f>
        <v>44953600</v>
      </c>
      <c r="Y20" s="634"/>
      <c r="Z20" s="659">
        <f>X23</f>
        <v>42109500</v>
      </c>
      <c r="AA20" s="634"/>
      <c r="AB20" s="659">
        <f>Z23</f>
        <v>39072500</v>
      </c>
      <c r="AC20" s="1151"/>
      <c r="AD20" s="679">
        <f>AB23</f>
        <v>35837500</v>
      </c>
      <c r="AE20" s="1151"/>
      <c r="AF20" s="659">
        <f>AD23</f>
        <v>32407500</v>
      </c>
      <c r="AG20" s="1151"/>
      <c r="AH20" s="659">
        <f>AF23</f>
        <v>28780500</v>
      </c>
      <c r="AI20" s="2314"/>
    </row>
    <row r="21" spans="1:46" x14ac:dyDescent="0.2">
      <c r="A21" s="2312" t="s">
        <v>741</v>
      </c>
      <c r="B21" s="1070"/>
      <c r="C21" s="1070"/>
      <c r="D21" s="1591">
        <f>D16</f>
        <v>985000</v>
      </c>
      <c r="E21" s="634"/>
      <c r="F21" s="659">
        <f>F16</f>
        <v>2384800</v>
      </c>
      <c r="G21" s="634"/>
      <c r="H21" s="659">
        <f>H16</f>
        <v>2187900</v>
      </c>
      <c r="I21" s="634"/>
      <c r="J21" s="659">
        <f>J16</f>
        <v>2793300</v>
      </c>
      <c r="K21" s="634"/>
      <c r="L21" s="659">
        <f>L16</f>
        <v>2957900</v>
      </c>
      <c r="M21" s="634"/>
      <c r="N21" s="659">
        <f>N16</f>
        <v>3095600</v>
      </c>
      <c r="O21" s="634"/>
      <c r="P21" s="659">
        <f>P16</f>
        <v>3134000</v>
      </c>
      <c r="Q21" s="634"/>
      <c r="R21" s="659">
        <f>R16</f>
        <v>3280300</v>
      </c>
      <c r="S21" s="634"/>
      <c r="T21" s="659">
        <f>T16</f>
        <v>2453500</v>
      </c>
      <c r="U21" s="634"/>
      <c r="V21" s="659">
        <f>V16</f>
        <v>2654100</v>
      </c>
      <c r="W21" s="634"/>
      <c r="X21" s="659">
        <f>X16</f>
        <v>2844100</v>
      </c>
      <c r="Y21" s="634"/>
      <c r="Z21" s="659">
        <f>Z16</f>
        <v>3037000</v>
      </c>
      <c r="AA21" s="634"/>
      <c r="AB21" s="659">
        <f>AB16</f>
        <v>3235000</v>
      </c>
      <c r="AC21" s="1151"/>
      <c r="AD21" s="679">
        <f>AD16</f>
        <v>3430000</v>
      </c>
      <c r="AE21" s="1151"/>
      <c r="AF21" s="659">
        <f>AF16</f>
        <v>3627000</v>
      </c>
      <c r="AG21" s="1151"/>
      <c r="AH21" s="659">
        <f>AH16</f>
        <v>3825000</v>
      </c>
      <c r="AI21" s="2314"/>
    </row>
    <row r="22" spans="1:46" x14ac:dyDescent="0.2">
      <c r="A22" s="2312" t="s">
        <v>742</v>
      </c>
      <c r="B22" s="1070"/>
      <c r="C22" s="1070"/>
      <c r="D22" s="1591">
        <f>ROUND(16891661,-2)</f>
        <v>16891700</v>
      </c>
      <c r="E22" s="634"/>
      <c r="F22" s="659">
        <f>ROUND(689752,-2)</f>
        <v>689800</v>
      </c>
      <c r="G22" s="634"/>
      <c r="H22" s="659">
        <f>'Cash-WW'!B36</f>
        <v>0</v>
      </c>
      <c r="I22" s="659"/>
      <c r="J22" s="659">
        <f>'Cash-WW'!C36</f>
        <v>0</v>
      </c>
      <c r="K22" s="659"/>
      <c r="L22" s="659" t="e">
        <f>'Cash-WW'!#REF!</f>
        <v>#REF!</v>
      </c>
      <c r="M22" s="634"/>
      <c r="N22" s="659">
        <f>'Cash-WW'!G36</f>
        <v>0</v>
      </c>
      <c r="O22" s="634"/>
      <c r="P22" s="659">
        <f>'Cash-WW'!H36</f>
        <v>0</v>
      </c>
      <c r="Q22" s="634"/>
      <c r="R22" s="706">
        <f>'Cash-WW'!I36</f>
        <v>0</v>
      </c>
      <c r="S22" s="706"/>
      <c r="T22" s="706">
        <f>'Cash-WW'!J36</f>
        <v>0</v>
      </c>
      <c r="U22" s="706"/>
      <c r="V22" s="706">
        <f>'Cash-WW'!K36</f>
        <v>0</v>
      </c>
      <c r="W22" s="706"/>
      <c r="X22" s="706">
        <f>'Cash-WW'!L36</f>
        <v>0</v>
      </c>
      <c r="Y22" s="706"/>
      <c r="Z22" s="706">
        <f>'Cash-WW'!M36</f>
        <v>0</v>
      </c>
      <c r="AA22" s="706"/>
      <c r="AB22" s="706">
        <f>'Cash-WW'!N36</f>
        <v>0</v>
      </c>
      <c r="AC22" s="1151"/>
      <c r="AD22" s="707">
        <f>'Cash-WW'!Q36</f>
        <v>1130700</v>
      </c>
      <c r="AE22" s="1151"/>
      <c r="AF22" s="706">
        <f>'Cash-WW'!S36</f>
        <v>0</v>
      </c>
      <c r="AG22" s="1151"/>
      <c r="AH22" s="706">
        <f>'Cash-WW'!U36</f>
        <v>0</v>
      </c>
      <c r="AI22" s="2314"/>
    </row>
    <row r="23" spans="1:46" s="2022" customFormat="1" ht="13.5" thickBot="1" x14ac:dyDescent="0.25">
      <c r="A23" s="2313" t="s">
        <v>53</v>
      </c>
      <c r="B23" s="2026"/>
      <c r="C23" s="2026"/>
      <c r="D23" s="2034">
        <f>D20-D21+D22</f>
        <v>69205200</v>
      </c>
      <c r="E23" s="1595"/>
      <c r="F23" s="1594">
        <f>F20-F21+F22</f>
        <v>67510200</v>
      </c>
      <c r="G23" s="1595"/>
      <c r="H23" s="1594">
        <f>H20-H21+H22</f>
        <v>65322300</v>
      </c>
      <c r="I23" s="1595"/>
      <c r="J23" s="1594">
        <f>J20-J21</f>
        <v>62529000</v>
      </c>
      <c r="K23" s="1595"/>
      <c r="L23" s="1594">
        <f>L20-L21</f>
        <v>59571100</v>
      </c>
      <c r="M23" s="1595"/>
      <c r="N23" s="1594">
        <f>N20-N21</f>
        <v>56475500</v>
      </c>
      <c r="O23" s="1595"/>
      <c r="P23" s="1594">
        <f>P20-P21</f>
        <v>53341500</v>
      </c>
      <c r="Q23" s="1595"/>
      <c r="R23" s="1594">
        <f>R20-R21</f>
        <v>50061200</v>
      </c>
      <c r="S23" s="1595"/>
      <c r="T23" s="1594">
        <f>T20-T21</f>
        <v>47607700</v>
      </c>
      <c r="U23" s="1595"/>
      <c r="V23" s="1594">
        <f>V20-V21</f>
        <v>44953600</v>
      </c>
      <c r="W23" s="1595"/>
      <c r="X23" s="1594">
        <f>X20-X21</f>
        <v>42109500</v>
      </c>
      <c r="Y23" s="1595"/>
      <c r="Z23" s="1594">
        <f>Z20-Z21</f>
        <v>39072500</v>
      </c>
      <c r="AA23" s="1595"/>
      <c r="AB23" s="1594">
        <f t="shared" ref="AB23:AG23" si="3">AB20-AB21</f>
        <v>35837500</v>
      </c>
      <c r="AC23" s="2035">
        <f t="shared" si="3"/>
        <v>0</v>
      </c>
      <c r="AD23" s="2035">
        <f t="shared" si="3"/>
        <v>32407500</v>
      </c>
      <c r="AE23" s="2035">
        <f t="shared" si="3"/>
        <v>0</v>
      </c>
      <c r="AF23" s="1594">
        <f t="shared" si="3"/>
        <v>28780500</v>
      </c>
      <c r="AG23" s="2035">
        <f t="shared" si="3"/>
        <v>0</v>
      </c>
      <c r="AH23" s="1594">
        <f t="shared" ref="AH23:AI23" si="4">AH20-AH21</f>
        <v>24955500</v>
      </c>
      <c r="AI23" s="2318">
        <f t="shared" si="4"/>
        <v>0</v>
      </c>
      <c r="AS23" s="2033"/>
      <c r="AT23" s="2033"/>
    </row>
    <row r="24" spans="1:46" ht="13.5" thickBot="1" x14ac:dyDescent="0.25">
      <c r="A24" s="2258"/>
      <c r="B24" s="2319"/>
      <c r="C24" s="2319"/>
      <c r="D24" s="2320"/>
      <c r="E24" s="2321"/>
      <c r="F24" s="2322"/>
      <c r="G24" s="2322"/>
      <c r="H24" s="2322"/>
      <c r="I24" s="2322"/>
      <c r="J24" s="2322"/>
      <c r="K24" s="2322"/>
      <c r="L24" s="2322"/>
      <c r="M24" s="2322"/>
      <c r="N24" s="2322"/>
      <c r="O24" s="2322"/>
      <c r="P24" s="2322"/>
      <c r="Q24" s="2322"/>
      <c r="R24" s="2322"/>
      <c r="S24" s="2322"/>
      <c r="T24" s="2322"/>
      <c r="U24" s="2322"/>
      <c r="V24" s="2322"/>
      <c r="W24" s="2322"/>
      <c r="X24" s="2322"/>
      <c r="Y24" s="2322"/>
      <c r="Z24" s="2322"/>
      <c r="AA24" s="2322"/>
      <c r="AB24" s="2322"/>
      <c r="AC24" s="2322"/>
      <c r="AD24" s="2322"/>
      <c r="AE24" s="2321"/>
      <c r="AF24" s="2322"/>
      <c r="AG24" s="2321"/>
      <c r="AH24" s="2322"/>
      <c r="AI24" s="2323"/>
    </row>
    <row r="25" spans="1:46" x14ac:dyDescent="0.2">
      <c r="B25" s="1116"/>
    </row>
    <row r="26" spans="1:46" ht="13.5" thickBot="1" x14ac:dyDescent="0.25">
      <c r="AS26" s="723"/>
      <c r="AT26" s="723"/>
    </row>
    <row r="27" spans="1:46" s="80" customFormat="1" ht="18.75" customHeight="1" thickBot="1" x14ac:dyDescent="0.25">
      <c r="A27" s="2667" t="s">
        <v>4604</v>
      </c>
      <c r="B27" s="2668"/>
      <c r="C27" s="2668"/>
      <c r="D27" s="2668"/>
      <c r="E27" s="2668"/>
      <c r="F27" s="2668"/>
      <c r="G27" s="2668"/>
      <c r="H27" s="2668"/>
      <c r="I27" s="2668"/>
      <c r="J27" s="2668"/>
      <c r="K27" s="2668"/>
      <c r="L27" s="2668"/>
      <c r="M27" s="2668"/>
      <c r="N27" s="2668"/>
      <c r="O27" s="2668"/>
      <c r="P27" s="2668"/>
      <c r="Q27" s="2668"/>
      <c r="R27" s="2668"/>
      <c r="S27" s="2668"/>
      <c r="T27" s="2669"/>
      <c r="AG27" s="2226"/>
      <c r="AH27" s="2226"/>
      <c r="AI27" s="2226"/>
    </row>
    <row r="28" spans="1:46" s="80" customFormat="1" ht="13.5" thickBot="1" x14ac:dyDescent="0.25">
      <c r="A28" s="1404" t="s">
        <v>414</v>
      </c>
      <c r="B28" s="499" t="s">
        <v>2229</v>
      </c>
      <c r="C28" s="499" t="s">
        <v>2230</v>
      </c>
      <c r="D28" s="1865" t="s">
        <v>2231</v>
      </c>
      <c r="E28" s="2287" t="str">
        <f>'Debt-Water'!E20</f>
        <v>2013/14</v>
      </c>
      <c r="F28" s="2287" t="str">
        <f>'Cash-WW'!B3</f>
        <v>2014/15</v>
      </c>
      <c r="G28" s="2287" t="str">
        <f>'Cash-WW'!C3</f>
        <v>2015/16</v>
      </c>
      <c r="H28" s="2287" t="str">
        <f>'Cash-WW'!D3</f>
        <v>2016/17</v>
      </c>
      <c r="I28" s="44" t="str">
        <f>'Cash-WW'!G3</f>
        <v>2017/18</v>
      </c>
      <c r="J28" s="44" t="str">
        <f>'Cash-WW'!H3</f>
        <v>2018/19</v>
      </c>
      <c r="K28" s="44" t="str">
        <f>'Cash-WW'!I3</f>
        <v>2019/20</v>
      </c>
      <c r="L28" s="44" t="str">
        <f>'Cash-WW'!J3</f>
        <v>2020/21</v>
      </c>
      <c r="M28" s="44" t="str">
        <f>'Cash-WW'!K3</f>
        <v>2021/22</v>
      </c>
      <c r="N28" s="44" t="str">
        <f>'Cash-WW'!L3</f>
        <v>2022/23</v>
      </c>
      <c r="O28" s="44" t="str">
        <f>'Cash-WW'!M3</f>
        <v>2023/24</v>
      </c>
      <c r="P28" s="44" t="str">
        <f>'Cash-WW'!N3</f>
        <v>2024/25</v>
      </c>
      <c r="Q28" s="2043" t="str">
        <f>'Cash-WW'!O3</f>
        <v>2025/26</v>
      </c>
      <c r="R28" s="2324" t="str">
        <f>'Cash-WW'!P3</f>
        <v>2026/27</v>
      </c>
      <c r="S28" s="2324" t="str">
        <f>'Cash-WW'!Q3</f>
        <v>2027/28</v>
      </c>
      <c r="T28" s="2252" t="str">
        <f>'Debt-Water'!T20</f>
        <v>Totals</v>
      </c>
      <c r="AG28" s="2226"/>
      <c r="AH28" s="2226"/>
      <c r="AI28" s="2226"/>
    </row>
    <row r="29" spans="1:46" s="80" customFormat="1" x14ac:dyDescent="0.2">
      <c r="A29" s="581"/>
      <c r="B29" s="79"/>
      <c r="C29" s="79"/>
      <c r="D29" s="582"/>
      <c r="E29" s="77"/>
      <c r="F29" s="77"/>
      <c r="G29" s="77"/>
      <c r="H29" s="79"/>
      <c r="I29" s="77"/>
      <c r="J29" s="79"/>
      <c r="K29" s="79"/>
      <c r="L29" s="79"/>
      <c r="M29" s="79"/>
      <c r="N29" s="79"/>
      <c r="O29" s="79"/>
      <c r="P29" s="79"/>
      <c r="Q29" s="30"/>
      <c r="R29" s="582"/>
      <c r="S29" s="582"/>
      <c r="T29" s="78"/>
      <c r="AG29" s="2226"/>
      <c r="AH29" s="2226"/>
      <c r="AI29" s="2226"/>
    </row>
    <row r="30" spans="1:46" s="80" customFormat="1" x14ac:dyDescent="0.2">
      <c r="A30" s="583" t="str">
        <f>'Debt-Water'!A22</f>
        <v>Existing Loans</v>
      </c>
      <c r="B30" s="584" t="s">
        <v>847</v>
      </c>
      <c r="C30" s="585" t="s">
        <v>847</v>
      </c>
      <c r="D30" s="586" t="s">
        <v>847</v>
      </c>
      <c r="E30" s="77">
        <v>985000</v>
      </c>
      <c r="F30" s="77">
        <v>985000</v>
      </c>
      <c r="G30" s="79">
        <v>985000</v>
      </c>
      <c r="H30" s="79">
        <v>985000</v>
      </c>
      <c r="I30" s="77">
        <v>985000</v>
      </c>
      <c r="J30" s="79">
        <v>985000</v>
      </c>
      <c r="K30" s="79">
        <v>985000</v>
      </c>
      <c r="L30" s="79">
        <v>0</v>
      </c>
      <c r="M30" s="79">
        <v>0</v>
      </c>
      <c r="N30" s="79">
        <v>0</v>
      </c>
      <c r="O30" s="79">
        <v>0</v>
      </c>
      <c r="P30" s="79">
        <v>0</v>
      </c>
      <c r="Q30" s="30">
        <v>0</v>
      </c>
      <c r="R30" s="582">
        <v>0</v>
      </c>
      <c r="S30" s="582">
        <v>0</v>
      </c>
      <c r="T30" s="78">
        <f>SUM(F30:S30)</f>
        <v>5910000</v>
      </c>
      <c r="AG30" s="2226"/>
      <c r="AH30" s="2226"/>
      <c r="AI30" s="2226"/>
    </row>
    <row r="31" spans="1:46" s="80" customFormat="1" x14ac:dyDescent="0.2">
      <c r="A31" s="583" t="str">
        <f>'Debt-Water'!A26</f>
        <v>2016/17</v>
      </c>
      <c r="B31" s="584">
        <v>10</v>
      </c>
      <c r="C31" s="686">
        <v>7.2099999999999997E-2</v>
      </c>
      <c r="D31" s="586">
        <v>50000000</v>
      </c>
      <c r="E31" s="77">
        <v>4909300</v>
      </c>
      <c r="F31" s="77">
        <f>4909300-306759-(920560-807066)-47</f>
        <v>4489000</v>
      </c>
      <c r="G31" s="79">
        <v>4909300</v>
      </c>
      <c r="H31" s="79">
        <v>4909300</v>
      </c>
      <c r="I31" s="79">
        <v>4909300</v>
      </c>
      <c r="J31" s="31">
        <v>4909300</v>
      </c>
      <c r="K31" s="79">
        <v>4909300</v>
      </c>
      <c r="L31" s="79">
        <v>4909300</v>
      </c>
      <c r="M31" s="79">
        <v>4909300</v>
      </c>
      <c r="N31" s="79">
        <v>4909300</v>
      </c>
      <c r="O31" s="79">
        <v>4909300</v>
      </c>
      <c r="P31" s="79">
        <v>4909300</v>
      </c>
      <c r="Q31" s="30">
        <v>4909300</v>
      </c>
      <c r="R31" s="582">
        <v>4909300</v>
      </c>
      <c r="S31" s="582">
        <v>4909300</v>
      </c>
      <c r="T31" s="78">
        <f>Q31*B31</f>
        <v>49093000</v>
      </c>
      <c r="AG31" s="2226"/>
      <c r="AH31" s="2226"/>
      <c r="AI31" s="2226"/>
    </row>
    <row r="32" spans="1:46" s="80" customFormat="1" x14ac:dyDescent="0.2">
      <c r="A32" s="583" t="str">
        <f>A31</f>
        <v>2016/17</v>
      </c>
      <c r="B32" s="584">
        <v>5</v>
      </c>
      <c r="C32" s="686">
        <v>7.4700000000000003E-2</v>
      </c>
      <c r="D32" s="586">
        <v>13000000</v>
      </c>
      <c r="E32" s="77">
        <v>1257200</v>
      </c>
      <c r="F32" s="77">
        <v>1257200</v>
      </c>
      <c r="G32" s="79">
        <v>1257200</v>
      </c>
      <c r="H32" s="79">
        <v>1257200</v>
      </c>
      <c r="I32" s="79">
        <v>1257200</v>
      </c>
      <c r="J32" s="31">
        <v>0</v>
      </c>
      <c r="K32" s="79">
        <v>0</v>
      </c>
      <c r="L32" s="79">
        <v>0</v>
      </c>
      <c r="M32" s="79">
        <v>0</v>
      </c>
      <c r="N32" s="79">
        <v>0</v>
      </c>
      <c r="O32" s="79">
        <v>0</v>
      </c>
      <c r="P32" s="79">
        <v>0</v>
      </c>
      <c r="Q32" s="30">
        <v>0</v>
      </c>
      <c r="R32" s="582">
        <v>0</v>
      </c>
      <c r="S32" s="582">
        <v>0</v>
      </c>
      <c r="T32" s="78">
        <f>Q32*B32</f>
        <v>0</v>
      </c>
      <c r="AG32" s="2226"/>
      <c r="AH32" s="2226"/>
      <c r="AI32" s="2226"/>
    </row>
    <row r="33" spans="1:35" s="80" customFormat="1" x14ac:dyDescent="0.2">
      <c r="A33" s="583" t="str">
        <f>'Debt-Water'!A27</f>
        <v>2017/18</v>
      </c>
      <c r="B33" s="584">
        <v>20</v>
      </c>
      <c r="C33" s="585">
        <v>0.06</v>
      </c>
      <c r="D33" s="586">
        <f>'Cap-WW'!AC$142</f>
        <v>0</v>
      </c>
      <c r="E33" s="77"/>
      <c r="F33" s="77"/>
      <c r="G33" s="79"/>
      <c r="H33" s="79"/>
      <c r="I33" s="77"/>
      <c r="J33" s="79">
        <f>J63+J64</f>
        <v>984000</v>
      </c>
      <c r="K33" s="31">
        <f t="shared" ref="K33:O33" si="5">K63+K64</f>
        <v>984000</v>
      </c>
      <c r="L33" s="79">
        <f t="shared" si="5"/>
        <v>984000</v>
      </c>
      <c r="M33" s="79">
        <f t="shared" si="5"/>
        <v>984000</v>
      </c>
      <c r="N33" s="79">
        <f t="shared" si="5"/>
        <v>984000</v>
      </c>
      <c r="O33" s="79">
        <f t="shared" si="5"/>
        <v>984000</v>
      </c>
      <c r="P33" s="79">
        <f>O63+O64</f>
        <v>984000</v>
      </c>
      <c r="Q33" s="30">
        <f>P63+P64</f>
        <v>984000</v>
      </c>
      <c r="R33" s="582">
        <f>Q63+Q64</f>
        <v>984000</v>
      </c>
      <c r="S33" s="582">
        <f>R63+R64</f>
        <v>984000</v>
      </c>
      <c r="T33" s="78">
        <f>Q33*B33</f>
        <v>19680000</v>
      </c>
      <c r="AG33" s="2226"/>
      <c r="AH33" s="2226"/>
      <c r="AI33" s="2226"/>
    </row>
    <row r="34" spans="1:35" s="80" customFormat="1" x14ac:dyDescent="0.2">
      <c r="A34" s="583" t="str">
        <f>'Debt-Water'!A28</f>
        <v>2018/19</v>
      </c>
      <c r="B34" s="584">
        <v>20</v>
      </c>
      <c r="C34" s="585">
        <v>0.06</v>
      </c>
      <c r="D34" s="586">
        <f>'Cap-WW'!AG$142</f>
        <v>0</v>
      </c>
      <c r="E34" s="77"/>
      <c r="F34" s="77"/>
      <c r="G34" s="79"/>
      <c r="H34" s="79"/>
      <c r="I34" s="77"/>
      <c r="J34" s="79"/>
      <c r="K34" s="79">
        <v>0</v>
      </c>
      <c r="L34" s="31">
        <v>0</v>
      </c>
      <c r="M34" s="79">
        <v>0</v>
      </c>
      <c r="N34" s="79">
        <v>0</v>
      </c>
      <c r="O34" s="79">
        <f t="shared" ref="O34:O35" si="6">M34</f>
        <v>0</v>
      </c>
      <c r="P34" s="79">
        <f t="shared" ref="P34:Q35" si="7">M34</f>
        <v>0</v>
      </c>
      <c r="Q34" s="30">
        <f t="shared" si="7"/>
        <v>0</v>
      </c>
      <c r="R34" s="582">
        <f>O34</f>
        <v>0</v>
      </c>
      <c r="S34" s="582">
        <f>P34</f>
        <v>0</v>
      </c>
      <c r="T34" s="78">
        <f>Q34*B34</f>
        <v>0</v>
      </c>
      <c r="AG34" s="2226"/>
      <c r="AH34" s="2226"/>
      <c r="AI34" s="2226"/>
    </row>
    <row r="35" spans="1:35" s="80" customFormat="1" x14ac:dyDescent="0.2">
      <c r="A35" s="583" t="str">
        <f>'Debt-Water'!A29</f>
        <v>2019/20</v>
      </c>
      <c r="B35" s="584">
        <v>20</v>
      </c>
      <c r="C35" s="585">
        <v>0.06</v>
      </c>
      <c r="D35" s="586">
        <f>'Cap-WW'!AK$142</f>
        <v>0</v>
      </c>
      <c r="E35" s="77"/>
      <c r="F35" s="77"/>
      <c r="G35" s="79"/>
      <c r="H35" s="79"/>
      <c r="I35" s="77"/>
      <c r="J35" s="79"/>
      <c r="K35" s="79"/>
      <c r="L35" s="79">
        <v>0</v>
      </c>
      <c r="M35" s="31">
        <v>0</v>
      </c>
      <c r="N35" s="79">
        <v>0</v>
      </c>
      <c r="O35" s="79">
        <f t="shared" si="6"/>
        <v>0</v>
      </c>
      <c r="P35" s="79">
        <f t="shared" si="7"/>
        <v>0</v>
      </c>
      <c r="Q35" s="30">
        <f t="shared" si="7"/>
        <v>0</v>
      </c>
      <c r="R35" s="582">
        <f>O35</f>
        <v>0</v>
      </c>
      <c r="S35" s="582">
        <f>P35</f>
        <v>0</v>
      </c>
      <c r="T35" s="78">
        <f t="shared" ref="T35:T39" si="8">Q35*B35</f>
        <v>0</v>
      </c>
      <c r="AG35" s="2226"/>
      <c r="AH35" s="2226"/>
      <c r="AI35" s="2226"/>
    </row>
    <row r="36" spans="1:35" s="80" customFormat="1" x14ac:dyDescent="0.2">
      <c r="A36" s="583" t="str">
        <f>'Debt-Water'!A30</f>
        <v>2020/21</v>
      </c>
      <c r="B36" s="584">
        <v>20</v>
      </c>
      <c r="C36" s="585">
        <v>0.06</v>
      </c>
      <c r="D36" s="586">
        <f>'Cap-WW'!AO$142</f>
        <v>0</v>
      </c>
      <c r="E36" s="77"/>
      <c r="F36" s="77"/>
      <c r="G36" s="79"/>
      <c r="H36" s="79"/>
      <c r="I36" s="77"/>
      <c r="J36" s="79"/>
      <c r="K36" s="79"/>
      <c r="L36" s="79"/>
      <c r="M36" s="79">
        <v>0</v>
      </c>
      <c r="N36" s="79">
        <v>0</v>
      </c>
      <c r="O36" s="79">
        <f>L36</f>
        <v>0</v>
      </c>
      <c r="P36" s="79">
        <f>L36</f>
        <v>0</v>
      </c>
      <c r="Q36" s="30">
        <f>M36</f>
        <v>0</v>
      </c>
      <c r="R36" s="582">
        <f>N36</f>
        <v>0</v>
      </c>
      <c r="S36" s="582">
        <f>O36</f>
        <v>0</v>
      </c>
      <c r="T36" s="78">
        <f t="shared" si="8"/>
        <v>0</v>
      </c>
      <c r="AG36" s="2226"/>
      <c r="AH36" s="2226"/>
      <c r="AI36" s="2226"/>
    </row>
    <row r="37" spans="1:35" s="80" customFormat="1" x14ac:dyDescent="0.2">
      <c r="A37" s="583" t="str">
        <f>'Debt-Water'!A31</f>
        <v>2021/22</v>
      </c>
      <c r="B37" s="584">
        <f t="shared" ref="B37:B39" si="9">B36</f>
        <v>20</v>
      </c>
      <c r="C37" s="585">
        <v>0.06</v>
      </c>
      <c r="D37" s="586">
        <f>'Cap-WW'!AS$142</f>
        <v>0</v>
      </c>
      <c r="E37" s="77"/>
      <c r="F37" s="77"/>
      <c r="G37" s="79"/>
      <c r="H37" s="79"/>
      <c r="I37" s="77"/>
      <c r="J37" s="79"/>
      <c r="K37" s="79"/>
      <c r="L37" s="79"/>
      <c r="M37" s="79"/>
      <c r="N37" s="79">
        <v>0</v>
      </c>
      <c r="O37" s="79">
        <f>M37</f>
        <v>0</v>
      </c>
      <c r="P37" s="79">
        <f>M37</f>
        <v>0</v>
      </c>
      <c r="Q37" s="30">
        <f>N37</f>
        <v>0</v>
      </c>
      <c r="R37" s="582">
        <f>O37</f>
        <v>0</v>
      </c>
      <c r="S37" s="582">
        <f>P37</f>
        <v>0</v>
      </c>
      <c r="T37" s="78">
        <f t="shared" si="8"/>
        <v>0</v>
      </c>
      <c r="AG37" s="2226"/>
      <c r="AH37" s="2226"/>
      <c r="AI37" s="2226"/>
    </row>
    <row r="38" spans="1:35" s="80" customFormat="1" x14ac:dyDescent="0.2">
      <c r="A38" s="583" t="str">
        <f>'Debt-Water'!A32</f>
        <v>2022/23</v>
      </c>
      <c r="B38" s="584">
        <f t="shared" si="9"/>
        <v>20</v>
      </c>
      <c r="C38" s="585">
        <v>0.06</v>
      </c>
      <c r="D38" s="586">
        <f>'Cap-WW'!AW$142</f>
        <v>0</v>
      </c>
      <c r="E38" s="77"/>
      <c r="F38" s="77"/>
      <c r="G38" s="79"/>
      <c r="H38" s="79"/>
      <c r="I38" s="77"/>
      <c r="J38" s="79"/>
      <c r="K38" s="79"/>
      <c r="L38" s="79"/>
      <c r="M38" s="79"/>
      <c r="N38" s="79"/>
      <c r="O38" s="79">
        <f>ROUND(-PMT($C38,$B38,$D38),-3)</f>
        <v>0</v>
      </c>
      <c r="P38" s="79">
        <f>ROUND(-PMT($C38,$B38,$D38),-3)</f>
        <v>0</v>
      </c>
      <c r="Q38" s="30">
        <f>ROUND(-PMT($C38,$B38,$D38),-3)</f>
        <v>0</v>
      </c>
      <c r="R38" s="582">
        <f>ROUND(-PMT($C38,$B38,$D38),-3)</f>
        <v>0</v>
      </c>
      <c r="S38" s="582">
        <f>ROUND(-PMT($C38,$B38,$D38),-3)</f>
        <v>0</v>
      </c>
      <c r="T38" s="78">
        <f t="shared" si="8"/>
        <v>0</v>
      </c>
      <c r="AG38" s="2226"/>
      <c r="AH38" s="2226"/>
      <c r="AI38" s="2226"/>
    </row>
    <row r="39" spans="1:35" s="80" customFormat="1" x14ac:dyDescent="0.2">
      <c r="A39" s="583" t="str">
        <f>'Debt-Water'!A33</f>
        <v>2023/24</v>
      </c>
      <c r="B39" s="584">
        <f t="shared" si="9"/>
        <v>20</v>
      </c>
      <c r="C39" s="585">
        <f>'Debt-Water'!C33</f>
        <v>0.06</v>
      </c>
      <c r="D39" s="586">
        <f>'Cap-WW'!BA$142</f>
        <v>0</v>
      </c>
      <c r="E39" s="77"/>
      <c r="F39" s="77"/>
      <c r="G39" s="77"/>
      <c r="H39" s="79"/>
      <c r="I39" s="77"/>
      <c r="J39" s="79"/>
      <c r="K39" s="79"/>
      <c r="L39" s="79"/>
      <c r="M39" s="79"/>
      <c r="N39" s="79"/>
      <c r="O39" s="79"/>
      <c r="P39" s="79"/>
      <c r="Q39" s="30"/>
      <c r="R39" s="582"/>
      <c r="S39" s="582"/>
      <c r="T39" s="78">
        <f t="shared" si="8"/>
        <v>0</v>
      </c>
      <c r="AG39" s="2226"/>
      <c r="AH39" s="2226"/>
      <c r="AI39" s="2226"/>
    </row>
    <row r="40" spans="1:35" s="80" customFormat="1" ht="13.5" thickBot="1" x14ac:dyDescent="0.25">
      <c r="A40" s="583"/>
      <c r="B40" s="584"/>
      <c r="C40" s="585"/>
      <c r="D40" s="586"/>
      <c r="E40" s="77"/>
      <c r="F40" s="77"/>
      <c r="G40" s="77"/>
      <c r="H40" s="79"/>
      <c r="I40" s="77"/>
      <c r="J40" s="79"/>
      <c r="K40" s="79"/>
      <c r="L40" s="79"/>
      <c r="M40" s="79"/>
      <c r="N40" s="79"/>
      <c r="O40" s="592"/>
      <c r="P40" s="592"/>
      <c r="Q40" s="228"/>
      <c r="R40" s="588"/>
      <c r="S40" s="588"/>
      <c r="T40" s="78"/>
      <c r="AG40" s="2226"/>
      <c r="AH40" s="2226"/>
      <c r="AI40" s="2226"/>
    </row>
    <row r="41" spans="1:35" s="65" customFormat="1" ht="13.5" thickTop="1" x14ac:dyDescent="0.2">
      <c r="A41" s="2036" t="s">
        <v>1504</v>
      </c>
      <c r="B41" s="1057"/>
      <c r="C41" s="1058"/>
      <c r="D41" s="1059">
        <f>SUM(D31:D38)</f>
        <v>63000000</v>
      </c>
      <c r="E41" s="894">
        <f t="shared" ref="E41:R41" si="10">SUM(E30:E38)</f>
        <v>7151500</v>
      </c>
      <c r="F41" s="894">
        <f t="shared" si="10"/>
        <v>6731200</v>
      </c>
      <c r="G41" s="894">
        <f t="shared" si="10"/>
        <v>7151500</v>
      </c>
      <c r="H41" s="873">
        <f t="shared" si="10"/>
        <v>7151500</v>
      </c>
      <c r="I41" s="894">
        <f t="shared" si="10"/>
        <v>7151500</v>
      </c>
      <c r="J41" s="873">
        <f t="shared" si="10"/>
        <v>6878300</v>
      </c>
      <c r="K41" s="873">
        <f t="shared" si="10"/>
        <v>6878300</v>
      </c>
      <c r="L41" s="873">
        <f t="shared" si="10"/>
        <v>5893300</v>
      </c>
      <c r="M41" s="873">
        <f t="shared" si="10"/>
        <v>5893300</v>
      </c>
      <c r="N41" s="873">
        <f t="shared" si="10"/>
        <v>5893300</v>
      </c>
      <c r="O41" s="873">
        <f t="shared" si="10"/>
        <v>5893300</v>
      </c>
      <c r="P41" s="873">
        <f t="shared" si="10"/>
        <v>5893300</v>
      </c>
      <c r="Q41" s="1589">
        <f t="shared" si="10"/>
        <v>5893300</v>
      </c>
      <c r="R41" s="1066">
        <f t="shared" si="10"/>
        <v>5893300</v>
      </c>
      <c r="S41" s="1066">
        <f t="shared" ref="S41" si="11">SUM(S30:S38)</f>
        <v>5893300</v>
      </c>
      <c r="T41" s="1060">
        <f>SUM(T30:T38)</f>
        <v>74683000</v>
      </c>
    </row>
    <row r="42" spans="1:35" s="80" customFormat="1" ht="13.5" thickBot="1" x14ac:dyDescent="0.25">
      <c r="A42" s="591"/>
      <c r="B42" s="592"/>
      <c r="C42" s="592"/>
      <c r="D42" s="588"/>
      <c r="E42" s="593"/>
      <c r="F42" s="593"/>
      <c r="G42" s="593"/>
      <c r="H42" s="592"/>
      <c r="I42" s="593"/>
      <c r="J42" s="592"/>
      <c r="K42" s="592"/>
      <c r="L42" s="592"/>
      <c r="M42" s="592"/>
      <c r="N42" s="592"/>
      <c r="O42" s="592"/>
      <c r="P42" s="592"/>
      <c r="Q42" s="228"/>
      <c r="R42" s="588"/>
      <c r="S42" s="588"/>
      <c r="T42" s="594"/>
      <c r="AG42" s="2226"/>
      <c r="AH42" s="2226"/>
      <c r="AI42" s="2226"/>
    </row>
    <row r="43" spans="1:35" s="726" customFormat="1" ht="14.25" thickTop="1" thickBot="1" x14ac:dyDescent="0.25"/>
    <row r="44" spans="1:35" s="80" customFormat="1" ht="18.75" customHeight="1" thickTop="1" thickBot="1" x14ac:dyDescent="0.25">
      <c r="A44" s="1555" t="s">
        <v>764</v>
      </c>
      <c r="B44" s="1556"/>
      <c r="C44" s="1556"/>
      <c r="D44" s="1556"/>
      <c r="E44" s="1556"/>
      <c r="F44" s="1556"/>
      <c r="G44" s="1556"/>
      <c r="H44" s="1556"/>
      <c r="I44" s="1556"/>
      <c r="J44" s="1556"/>
      <c r="K44" s="1556"/>
      <c r="L44" s="1556"/>
      <c r="M44" s="1556"/>
      <c r="N44" s="1556"/>
      <c r="O44" s="1556"/>
      <c r="P44" s="1556"/>
      <c r="Q44" s="1556"/>
      <c r="R44" s="1556"/>
      <c r="S44" s="1556"/>
      <c r="T44" s="1557"/>
      <c r="AG44" s="2226"/>
      <c r="AH44" s="2226"/>
      <c r="AI44" s="2226"/>
    </row>
    <row r="45" spans="1:35" s="80" customFormat="1" ht="13.5" thickBot="1" x14ac:dyDescent="0.25">
      <c r="A45" s="1055" t="s">
        <v>1252</v>
      </c>
      <c r="B45" s="219" t="str">
        <f>B28</f>
        <v>Term</v>
      </c>
      <c r="C45" s="219" t="str">
        <f>C28</f>
        <v>Rate</v>
      </c>
      <c r="D45" s="222" t="s">
        <v>2444</v>
      </c>
      <c r="E45" s="847" t="str">
        <f t="shared" ref="E45:Q45" si="12">E28</f>
        <v>2013/14</v>
      </c>
      <c r="F45" s="847" t="str">
        <f t="shared" si="12"/>
        <v>2014/15</v>
      </c>
      <c r="G45" s="847" t="str">
        <f t="shared" si="12"/>
        <v>2015/16</v>
      </c>
      <c r="H45" s="847" t="str">
        <f t="shared" si="12"/>
        <v>2016/17</v>
      </c>
      <c r="I45" s="847" t="str">
        <f t="shared" si="12"/>
        <v>2017/18</v>
      </c>
      <c r="J45" s="847" t="str">
        <f t="shared" si="12"/>
        <v>2018/19</v>
      </c>
      <c r="K45" s="847" t="str">
        <f t="shared" si="12"/>
        <v>2019/20</v>
      </c>
      <c r="L45" s="847" t="str">
        <f t="shared" si="12"/>
        <v>2020/21</v>
      </c>
      <c r="M45" s="847" t="str">
        <f t="shared" si="12"/>
        <v>2021/22</v>
      </c>
      <c r="N45" s="847" t="str">
        <f t="shared" si="12"/>
        <v>2022/23</v>
      </c>
      <c r="O45" s="94" t="str">
        <f t="shared" si="12"/>
        <v>2023/24</v>
      </c>
      <c r="P45" s="94" t="str">
        <f t="shared" si="12"/>
        <v>2024/25</v>
      </c>
      <c r="Q45" s="1588" t="str">
        <f t="shared" si="12"/>
        <v>2025/26</v>
      </c>
      <c r="R45" s="1590" t="str">
        <f>R28</f>
        <v>2026/27</v>
      </c>
      <c r="S45" s="1590" t="str">
        <f>S28</f>
        <v>2027/28</v>
      </c>
      <c r="T45" s="1056" t="str">
        <f>T28</f>
        <v>Totals</v>
      </c>
      <c r="AG45" s="2226"/>
      <c r="AH45" s="2226"/>
      <c r="AI45" s="2226"/>
    </row>
    <row r="46" spans="1:35" s="80" customFormat="1" x14ac:dyDescent="0.2">
      <c r="A46" s="581"/>
      <c r="B46" s="79"/>
      <c r="C46" s="79"/>
      <c r="D46" s="582"/>
      <c r="E46" s="77"/>
      <c r="F46" s="77"/>
      <c r="G46" s="77"/>
      <c r="H46" s="79"/>
      <c r="I46" s="77"/>
      <c r="J46" s="79"/>
      <c r="K46" s="79"/>
      <c r="L46" s="79"/>
      <c r="M46" s="79"/>
      <c r="N46" s="79"/>
      <c r="O46" s="79"/>
      <c r="P46" s="79"/>
      <c r="Q46" s="31"/>
      <c r="R46" s="582"/>
      <c r="S46" s="582"/>
      <c r="T46" s="78"/>
      <c r="AG46" s="2226"/>
      <c r="AH46" s="2226"/>
      <c r="AI46" s="2226"/>
    </row>
    <row r="47" spans="1:35" s="80" customFormat="1" x14ac:dyDescent="0.2">
      <c r="A47" s="583" t="str">
        <f>A30</f>
        <v>Existing Loans</v>
      </c>
      <c r="B47" s="584" t="s">
        <v>847</v>
      </c>
      <c r="C47" s="585" t="s">
        <v>847</v>
      </c>
      <c r="D47" s="586" t="s">
        <v>847</v>
      </c>
      <c r="E47" s="77"/>
      <c r="F47" s="77"/>
      <c r="G47" s="79"/>
      <c r="H47" s="79"/>
      <c r="I47" s="77"/>
      <c r="J47" s="79"/>
      <c r="K47" s="79"/>
      <c r="L47" s="79"/>
      <c r="M47" s="79"/>
      <c r="N47" s="79"/>
      <c r="O47" s="79"/>
      <c r="P47" s="79"/>
      <c r="Q47" s="31"/>
      <c r="R47" s="582"/>
      <c r="S47" s="582"/>
      <c r="T47" s="78"/>
      <c r="AG47" s="2226"/>
      <c r="AH47" s="2226"/>
      <c r="AI47" s="2226"/>
    </row>
    <row r="48" spans="1:35" s="80" customFormat="1" x14ac:dyDescent="0.2">
      <c r="A48" s="1742"/>
      <c r="B48" s="584"/>
      <c r="C48" s="585"/>
      <c r="D48" s="586" t="s">
        <v>1253</v>
      </c>
      <c r="E48" s="77">
        <f>F8+F9</f>
        <v>985000</v>
      </c>
      <c r="F48" s="77">
        <f>H8+H9</f>
        <v>985000</v>
      </c>
      <c r="G48" s="79">
        <f>J8+J9</f>
        <v>985000</v>
      </c>
      <c r="H48" s="79">
        <f>L8+L9</f>
        <v>985000</v>
      </c>
      <c r="I48" s="77">
        <f>N8+N9</f>
        <v>985000</v>
      </c>
      <c r="J48" s="79">
        <f>P8+P9</f>
        <v>985000</v>
      </c>
      <c r="K48" s="79">
        <f>R8+R9</f>
        <v>985000</v>
      </c>
      <c r="L48" s="79">
        <f>T8+T9</f>
        <v>0</v>
      </c>
      <c r="M48" s="79">
        <f>V8+V9</f>
        <v>0</v>
      </c>
      <c r="N48" s="79">
        <f t="shared" ref="N48:S48" si="13">X8+X9</f>
        <v>0</v>
      </c>
      <c r="O48" s="79">
        <f t="shared" si="13"/>
        <v>0</v>
      </c>
      <c r="P48" s="79">
        <f t="shared" si="13"/>
        <v>0</v>
      </c>
      <c r="Q48" s="31">
        <f t="shared" si="13"/>
        <v>0</v>
      </c>
      <c r="R48" s="582">
        <f t="shared" si="13"/>
        <v>0</v>
      </c>
      <c r="S48" s="582">
        <f t="shared" si="13"/>
        <v>0</v>
      </c>
      <c r="T48" s="78">
        <f t="shared" ref="T48:T49" si="14">SUM(E48:S48)</f>
        <v>6895000</v>
      </c>
      <c r="AG48" s="2226"/>
      <c r="AH48" s="2226"/>
      <c r="AI48" s="2226"/>
    </row>
    <row r="49" spans="1:35" s="80" customFormat="1" x14ac:dyDescent="0.2">
      <c r="A49" s="1742"/>
      <c r="B49" s="584"/>
      <c r="C49" s="585"/>
      <c r="D49" s="586" t="s">
        <v>2624</v>
      </c>
      <c r="E49" s="77">
        <f>G8+G9</f>
        <v>0</v>
      </c>
      <c r="F49" s="77">
        <f>I8+I9</f>
        <v>0</v>
      </c>
      <c r="G49" s="79">
        <v>0</v>
      </c>
      <c r="H49" s="79">
        <v>0</v>
      </c>
      <c r="I49" s="77">
        <v>0</v>
      </c>
      <c r="J49" s="79">
        <v>0</v>
      </c>
      <c r="K49" s="79">
        <v>0</v>
      </c>
      <c r="L49" s="79">
        <v>0</v>
      </c>
      <c r="M49" s="79">
        <v>0</v>
      </c>
      <c r="N49" s="79">
        <v>0</v>
      </c>
      <c r="O49" s="79">
        <v>0</v>
      </c>
      <c r="P49" s="79">
        <v>0</v>
      </c>
      <c r="Q49" s="31">
        <v>0</v>
      </c>
      <c r="R49" s="582">
        <v>0</v>
      </c>
      <c r="S49" s="582">
        <v>0</v>
      </c>
      <c r="T49" s="78">
        <f t="shared" si="14"/>
        <v>0</v>
      </c>
      <c r="AG49" s="2226"/>
      <c r="AH49" s="2226"/>
      <c r="AI49" s="2226"/>
    </row>
    <row r="50" spans="1:35" s="65" customFormat="1" x14ac:dyDescent="0.2">
      <c r="A50" s="1739"/>
      <c r="B50" s="220"/>
      <c r="C50" s="1061"/>
      <c r="D50" s="383" t="s">
        <v>1254</v>
      </c>
      <c r="E50" s="107">
        <f>5910000+985000-E48</f>
        <v>5910000</v>
      </c>
      <c r="F50" s="107">
        <f>E50-F48</f>
        <v>4925000</v>
      </c>
      <c r="G50" s="107">
        <f t="shared" ref="G50:N50" si="15">F50-G48</f>
        <v>3940000</v>
      </c>
      <c r="H50" s="63">
        <f t="shared" si="15"/>
        <v>2955000</v>
      </c>
      <c r="I50" s="107">
        <f t="shared" si="15"/>
        <v>1970000</v>
      </c>
      <c r="J50" s="63">
        <f t="shared" si="15"/>
        <v>985000</v>
      </c>
      <c r="K50" s="63">
        <f t="shared" si="15"/>
        <v>0</v>
      </c>
      <c r="L50" s="63">
        <f t="shared" si="15"/>
        <v>0</v>
      </c>
      <c r="M50" s="63">
        <f t="shared" si="15"/>
        <v>0</v>
      </c>
      <c r="N50" s="63">
        <f t="shared" si="15"/>
        <v>0</v>
      </c>
      <c r="O50" s="63">
        <f>M50-O48</f>
        <v>0</v>
      </c>
      <c r="P50" s="63">
        <f>N50-P48</f>
        <v>0</v>
      </c>
      <c r="Q50" s="92">
        <f>O50-Q48</f>
        <v>0</v>
      </c>
      <c r="R50" s="1062">
        <f>P50-R48</f>
        <v>0</v>
      </c>
      <c r="S50" s="1062">
        <f>Q50-S48</f>
        <v>0</v>
      </c>
      <c r="T50" s="106"/>
    </row>
    <row r="51" spans="1:35" s="65" customFormat="1" x14ac:dyDescent="0.2">
      <c r="A51" s="1739"/>
      <c r="B51" s="220"/>
      <c r="C51" s="1061"/>
      <c r="D51" s="383"/>
      <c r="E51" s="107"/>
      <c r="F51" s="107"/>
      <c r="G51" s="107"/>
      <c r="H51" s="107"/>
      <c r="I51" s="107"/>
      <c r="J51" s="107"/>
      <c r="K51" s="107"/>
      <c r="L51" s="107"/>
      <c r="M51" s="107"/>
      <c r="N51" s="107"/>
      <c r="O51" s="63"/>
      <c r="P51" s="63"/>
      <c r="Q51" s="92"/>
      <c r="R51" s="1062"/>
      <c r="S51" s="1062"/>
      <c r="T51" s="106"/>
    </row>
    <row r="52" spans="1:35" s="80" customFormat="1" x14ac:dyDescent="0.2">
      <c r="A52" s="1742" t="str">
        <f>A31</f>
        <v>2016/17</v>
      </c>
      <c r="B52" s="584">
        <v>10</v>
      </c>
      <c r="C52" s="686">
        <f>C31</f>
        <v>7.2099999999999997E-2</v>
      </c>
      <c r="D52" s="586">
        <f>D31</f>
        <v>50000000</v>
      </c>
      <c r="E52" s="77"/>
      <c r="F52" s="77"/>
      <c r="G52" s="79"/>
      <c r="H52" s="79"/>
      <c r="I52" s="79"/>
      <c r="J52" s="79"/>
      <c r="K52" s="79"/>
      <c r="L52" s="79"/>
      <c r="M52" s="79"/>
      <c r="N52" s="79"/>
      <c r="O52" s="79"/>
      <c r="P52" s="79"/>
      <c r="Q52" s="31"/>
      <c r="R52" s="582"/>
      <c r="S52" s="582"/>
      <c r="T52" s="78"/>
      <c r="AG52" s="2226"/>
      <c r="AH52" s="2226"/>
      <c r="AI52" s="2226"/>
    </row>
    <row r="53" spans="1:35" s="80" customFormat="1" x14ac:dyDescent="0.2">
      <c r="A53" s="1742"/>
      <c r="B53" s="584" t="s">
        <v>963</v>
      </c>
      <c r="C53" s="686"/>
      <c r="D53" s="586" t="s">
        <v>1253</v>
      </c>
      <c r="E53" s="77">
        <v>1105600</v>
      </c>
      <c r="F53" s="79">
        <f>1192900-306800</f>
        <v>886100</v>
      </c>
      <c r="G53" s="79">
        <v>1467100</v>
      </c>
      <c r="H53" s="79">
        <v>1605500</v>
      </c>
      <c r="I53" s="79">
        <v>1715000</v>
      </c>
      <c r="J53" s="79">
        <v>1842000</v>
      </c>
      <c r="K53" s="79">
        <v>1970300</v>
      </c>
      <c r="L53" s="79">
        <v>2108500</v>
      </c>
      <c r="M53" s="79">
        <v>2288100</v>
      </c>
      <c r="N53" s="79">
        <v>2457100</v>
      </c>
      <c r="O53" s="79">
        <v>2626000</v>
      </c>
      <c r="P53" s="79">
        <v>2800000</v>
      </c>
      <c r="Q53" s="31">
        <v>2969000</v>
      </c>
      <c r="R53" s="582">
        <f>Q53+(Q53-P53)</f>
        <v>3138000</v>
      </c>
      <c r="S53" s="582">
        <f>R53+(R53-Q53)</f>
        <v>3307000</v>
      </c>
      <c r="T53" s="78">
        <f>SUM(E53:S53)</f>
        <v>32285300</v>
      </c>
      <c r="U53" s="80">
        <f>N53+N54</f>
        <v>4909300</v>
      </c>
      <c r="V53" s="80">
        <f>O53+O54</f>
        <v>4909300</v>
      </c>
      <c r="W53" s="80">
        <f>P53+P54</f>
        <v>4909300</v>
      </c>
      <c r="X53" s="80">
        <f>Q53+Q54</f>
        <v>4909300</v>
      </c>
      <c r="AG53" s="2226"/>
      <c r="AH53" s="2226"/>
      <c r="AI53" s="2226"/>
    </row>
    <row r="54" spans="1:35" s="80" customFormat="1" x14ac:dyDescent="0.2">
      <c r="A54" s="1742"/>
      <c r="B54" s="584"/>
      <c r="C54" s="686"/>
      <c r="D54" s="586" t="s">
        <v>2624</v>
      </c>
      <c r="E54" s="77">
        <v>3803700</v>
      </c>
      <c r="F54" s="77">
        <f>3716400-(920560-807066)-6</f>
        <v>3602900</v>
      </c>
      <c r="G54" s="79">
        <v>3442200</v>
      </c>
      <c r="H54" s="79">
        <v>3303800</v>
      </c>
      <c r="I54" s="79">
        <v>3194300</v>
      </c>
      <c r="J54" s="79">
        <v>3067300</v>
      </c>
      <c r="K54" s="79">
        <v>2939000</v>
      </c>
      <c r="L54" s="79">
        <v>2800800</v>
      </c>
      <c r="M54" s="79">
        <v>2621200</v>
      </c>
      <c r="N54" s="79">
        <v>2452200</v>
      </c>
      <c r="O54" s="79">
        <f>2309300-26000</f>
        <v>2283300</v>
      </c>
      <c r="P54" s="79">
        <v>2109300</v>
      </c>
      <c r="Q54" s="31">
        <f>2109300-169000</f>
        <v>1940300</v>
      </c>
      <c r="R54" s="582">
        <f>Q53+Q54-R53</f>
        <v>1771300</v>
      </c>
      <c r="S54" s="582">
        <f>R53+R54-S53</f>
        <v>1602300</v>
      </c>
      <c r="T54" s="78">
        <f>SUM(E54:S54)</f>
        <v>40933900</v>
      </c>
      <c r="V54" s="80">
        <f>V53-U53</f>
        <v>0</v>
      </c>
      <c r="W54" s="80">
        <f>W53-U53</f>
        <v>0</v>
      </c>
      <c r="X54" s="80">
        <f>X53-U53</f>
        <v>0</v>
      </c>
      <c r="AG54" s="2226"/>
      <c r="AH54" s="2226"/>
      <c r="AI54" s="2226"/>
    </row>
    <row r="55" spans="1:35" s="65" customFormat="1" x14ac:dyDescent="0.2">
      <c r="A55" s="1739"/>
      <c r="B55" s="220"/>
      <c r="C55" s="1063"/>
      <c r="D55" s="383" t="s">
        <v>1254</v>
      </c>
      <c r="E55" s="107">
        <v>48894400</v>
      </c>
      <c r="F55" s="107">
        <f>E55-F53</f>
        <v>48008300</v>
      </c>
      <c r="G55" s="107">
        <f>F55-G53</f>
        <v>46541200</v>
      </c>
      <c r="H55" s="107">
        <f>G55-H53</f>
        <v>44935700</v>
      </c>
      <c r="I55" s="107">
        <f>H55-I53</f>
        <v>43220700</v>
      </c>
      <c r="J55" s="107">
        <f t="shared" ref="J55:M55" si="16">I55-J53</f>
        <v>41378700</v>
      </c>
      <c r="K55" s="107">
        <f t="shared" si="16"/>
        <v>39408400</v>
      </c>
      <c r="L55" s="107">
        <f t="shared" si="16"/>
        <v>37299900</v>
      </c>
      <c r="M55" s="107">
        <f t="shared" si="16"/>
        <v>35011800</v>
      </c>
      <c r="N55" s="107">
        <f>M55-N53</f>
        <v>32554700</v>
      </c>
      <c r="O55" s="107">
        <f t="shared" ref="O55:Q55" si="17">N55-O53</f>
        <v>29928700</v>
      </c>
      <c r="P55" s="63">
        <f t="shared" si="17"/>
        <v>27128700</v>
      </c>
      <c r="Q55" s="92">
        <f t="shared" si="17"/>
        <v>24159700</v>
      </c>
      <c r="R55" s="1062">
        <f>Q55-R53</f>
        <v>21021700</v>
      </c>
      <c r="S55" s="1062">
        <f>R55-S53</f>
        <v>17714700</v>
      </c>
      <c r="T55" s="106">
        <f>SUM(T53:T54)</f>
        <v>73219200</v>
      </c>
    </row>
    <row r="56" spans="1:35" s="65" customFormat="1" x14ac:dyDescent="0.2">
      <c r="A56" s="1739"/>
      <c r="B56" s="220"/>
      <c r="C56" s="1063"/>
      <c r="D56" s="383"/>
      <c r="E56" s="107"/>
      <c r="F56" s="107"/>
      <c r="G56" s="107"/>
      <c r="H56" s="107"/>
      <c r="I56" s="107"/>
      <c r="J56" s="107"/>
      <c r="K56" s="107"/>
      <c r="L56" s="107"/>
      <c r="M56" s="107"/>
      <c r="N56" s="107"/>
      <c r="O56" s="107"/>
      <c r="P56" s="63"/>
      <c r="Q56" s="92"/>
      <c r="R56" s="1062"/>
      <c r="S56" s="1062"/>
      <c r="T56" s="106"/>
    </row>
    <row r="57" spans="1:35" s="80" customFormat="1" x14ac:dyDescent="0.2">
      <c r="A57" s="1742" t="str">
        <f>A52</f>
        <v>2016/17</v>
      </c>
      <c r="B57" s="584">
        <v>5</v>
      </c>
      <c r="C57" s="686">
        <f>C32</f>
        <v>7.4700000000000003E-2</v>
      </c>
      <c r="D57" s="586">
        <f>D32</f>
        <v>13000000</v>
      </c>
      <c r="E57" s="77"/>
      <c r="F57" s="77"/>
      <c r="G57" s="79"/>
      <c r="H57" s="79"/>
      <c r="I57" s="79"/>
      <c r="J57" s="79"/>
      <c r="K57" s="79"/>
      <c r="L57" s="79"/>
      <c r="M57" s="79"/>
      <c r="N57" s="79"/>
      <c r="O57" s="79"/>
      <c r="P57" s="79"/>
      <c r="Q57" s="31"/>
      <c r="R57" s="582"/>
      <c r="S57" s="582"/>
      <c r="T57" s="78"/>
      <c r="AG57" s="2226"/>
      <c r="AH57" s="2226"/>
      <c r="AI57" s="2226"/>
    </row>
    <row r="58" spans="1:35" s="80" customFormat="1" x14ac:dyDescent="0.2">
      <c r="A58" s="1742"/>
      <c r="B58" s="584" t="s">
        <v>964</v>
      </c>
      <c r="C58" s="585"/>
      <c r="D58" s="586" t="str">
        <f>D53</f>
        <v xml:space="preserve">Principal </v>
      </c>
      <c r="E58" s="77">
        <v>294200</v>
      </c>
      <c r="F58" s="79">
        <v>316800</v>
      </c>
      <c r="G58" s="79">
        <v>341200</v>
      </c>
      <c r="H58" s="79">
        <v>367500</v>
      </c>
      <c r="I58" s="79">
        <v>395600</v>
      </c>
      <c r="J58" s="79">
        <v>0</v>
      </c>
      <c r="K58" s="79">
        <v>0</v>
      </c>
      <c r="L58" s="79">
        <v>0</v>
      </c>
      <c r="M58" s="79">
        <v>0</v>
      </c>
      <c r="N58" s="79">
        <v>0</v>
      </c>
      <c r="O58" s="79">
        <v>0</v>
      </c>
      <c r="P58" s="79">
        <v>0</v>
      </c>
      <c r="Q58" s="31">
        <v>0</v>
      </c>
      <c r="R58" s="582">
        <v>0</v>
      </c>
      <c r="S58" s="582">
        <v>0</v>
      </c>
      <c r="T58" s="78">
        <f t="shared" ref="T58:T59" si="18">SUM(E58:S58)</f>
        <v>1715300</v>
      </c>
      <c r="AG58" s="2226"/>
      <c r="AH58" s="2226"/>
      <c r="AI58" s="2226"/>
    </row>
    <row r="59" spans="1:35" s="80" customFormat="1" x14ac:dyDescent="0.2">
      <c r="A59" s="1742"/>
      <c r="B59" s="584"/>
      <c r="C59" s="585"/>
      <c r="D59" s="586" t="str">
        <f>D54</f>
        <v>Interest</v>
      </c>
      <c r="E59" s="77">
        <v>963000</v>
      </c>
      <c r="F59" s="77">
        <v>940400</v>
      </c>
      <c r="G59" s="79">
        <v>916000</v>
      </c>
      <c r="H59" s="79">
        <v>889700</v>
      </c>
      <c r="I59" s="79">
        <v>861600</v>
      </c>
      <c r="J59" s="79">
        <v>0</v>
      </c>
      <c r="K59" s="79">
        <v>0</v>
      </c>
      <c r="L59" s="79">
        <v>0</v>
      </c>
      <c r="M59" s="79">
        <v>0</v>
      </c>
      <c r="N59" s="79">
        <v>0</v>
      </c>
      <c r="O59" s="79">
        <v>0</v>
      </c>
      <c r="P59" s="79">
        <v>0</v>
      </c>
      <c r="Q59" s="31">
        <v>0</v>
      </c>
      <c r="R59" s="582">
        <v>0</v>
      </c>
      <c r="S59" s="582">
        <v>0</v>
      </c>
      <c r="T59" s="78">
        <f t="shared" si="18"/>
        <v>4570700</v>
      </c>
      <c r="AG59" s="2226"/>
      <c r="AH59" s="2226"/>
      <c r="AI59" s="2226"/>
    </row>
    <row r="60" spans="1:35" s="65" customFormat="1" x14ac:dyDescent="0.2">
      <c r="A60" s="1739"/>
      <c r="B60" s="220"/>
      <c r="C60" s="1061"/>
      <c r="D60" s="383" t="str">
        <f>D55</f>
        <v>O/S Princ</v>
      </c>
      <c r="E60" s="107">
        <v>12705800</v>
      </c>
      <c r="F60" s="107">
        <f t="shared" ref="F60:N60" si="19">E60-F58</f>
        <v>12389000</v>
      </c>
      <c r="G60" s="107">
        <f t="shared" si="19"/>
        <v>12047800</v>
      </c>
      <c r="H60" s="107">
        <f t="shared" si="19"/>
        <v>11680300</v>
      </c>
      <c r="I60" s="107">
        <f t="shared" si="19"/>
        <v>11284700</v>
      </c>
      <c r="J60" s="107">
        <v>0</v>
      </c>
      <c r="K60" s="107">
        <f t="shared" si="19"/>
        <v>0</v>
      </c>
      <c r="L60" s="107">
        <f t="shared" si="19"/>
        <v>0</v>
      </c>
      <c r="M60" s="107">
        <f t="shared" si="19"/>
        <v>0</v>
      </c>
      <c r="N60" s="107">
        <f t="shared" si="19"/>
        <v>0</v>
      </c>
      <c r="O60" s="63">
        <f>M60-O58</f>
        <v>0</v>
      </c>
      <c r="P60" s="63">
        <f>N60-P58</f>
        <v>0</v>
      </c>
      <c r="Q60" s="92">
        <f>O60-Q58</f>
        <v>0</v>
      </c>
      <c r="R60" s="1062">
        <f>P60-R58</f>
        <v>0</v>
      </c>
      <c r="S60" s="1062">
        <f>Q60-S58</f>
        <v>0</v>
      </c>
      <c r="T60" s="106">
        <f>SUM(T58:T59)</f>
        <v>6286000</v>
      </c>
    </row>
    <row r="61" spans="1:35" s="65" customFormat="1" x14ac:dyDescent="0.2">
      <c r="A61" s="1739"/>
      <c r="B61" s="220"/>
      <c r="C61" s="1061"/>
      <c r="D61" s="383"/>
      <c r="E61" s="107"/>
      <c r="F61" s="107"/>
      <c r="G61" s="107"/>
      <c r="H61" s="107"/>
      <c r="I61" s="107"/>
      <c r="J61" s="107"/>
      <c r="K61" s="107"/>
      <c r="L61" s="107"/>
      <c r="M61" s="107"/>
      <c r="N61" s="107"/>
      <c r="O61" s="107"/>
      <c r="P61" s="79"/>
      <c r="Q61" s="31"/>
      <c r="R61" s="582"/>
      <c r="S61" s="582"/>
      <c r="T61" s="106"/>
    </row>
    <row r="62" spans="1:35" s="80" customFormat="1" x14ac:dyDescent="0.2">
      <c r="A62" s="1742" t="str">
        <f>A33</f>
        <v>2017/18</v>
      </c>
      <c r="B62" s="584">
        <v>20</v>
      </c>
      <c r="C62" s="585">
        <f>Assumptions!H$15</f>
        <v>0.06</v>
      </c>
      <c r="D62" s="586">
        <v>11284700</v>
      </c>
      <c r="E62" s="77"/>
      <c r="F62" s="77"/>
      <c r="G62" s="79"/>
      <c r="H62" s="79"/>
      <c r="I62" s="79"/>
      <c r="J62" s="79"/>
      <c r="K62" s="79"/>
      <c r="L62" s="79"/>
      <c r="M62" s="79"/>
      <c r="N62" s="79"/>
      <c r="O62" s="79"/>
      <c r="P62" s="79"/>
      <c r="Q62" s="31"/>
      <c r="R62" s="582"/>
      <c r="S62" s="582"/>
      <c r="T62" s="78"/>
      <c r="AG62" s="2226"/>
      <c r="AH62" s="2226"/>
      <c r="AI62" s="2226"/>
    </row>
    <row r="63" spans="1:35" s="80" customFormat="1" x14ac:dyDescent="0.2">
      <c r="A63" s="1742"/>
      <c r="B63" s="584"/>
      <c r="C63" s="585"/>
      <c r="D63" s="586" t="str">
        <f>D53</f>
        <v xml:space="preserve">Principal </v>
      </c>
      <c r="E63" s="77"/>
      <c r="F63" s="77"/>
      <c r="G63" s="79"/>
      <c r="H63" s="79"/>
      <c r="I63" s="79"/>
      <c r="J63" s="79">
        <f>-ROUND(PMT($C$62,$B$62,$D$62),-3)-J64</f>
        <v>307000</v>
      </c>
      <c r="K63" s="79">
        <f t="shared" ref="K63:S63" si="20">-ROUND(PMT($C$62,$B$62,$D$62),-3)-K64</f>
        <v>325000</v>
      </c>
      <c r="L63" s="79">
        <f t="shared" si="20"/>
        <v>345000</v>
      </c>
      <c r="M63" s="79">
        <f t="shared" si="20"/>
        <v>366000</v>
      </c>
      <c r="N63" s="79">
        <f>-ROUND(PMT($C$62,$B$62,$D$62),-3)-N64</f>
        <v>387000</v>
      </c>
      <c r="O63" s="79">
        <f>-ROUND(PMT($C$62,$B$62,$D$62),-3)-O64</f>
        <v>411000</v>
      </c>
      <c r="P63" s="79">
        <f t="shared" si="20"/>
        <v>435000</v>
      </c>
      <c r="Q63" s="31">
        <f t="shared" si="20"/>
        <v>461000</v>
      </c>
      <c r="R63" s="582">
        <f t="shared" si="20"/>
        <v>489000</v>
      </c>
      <c r="S63" s="582">
        <f t="shared" si="20"/>
        <v>518000</v>
      </c>
      <c r="T63" s="78">
        <f t="shared" ref="T63:T64" si="21">SUM(E63:S63)</f>
        <v>4044000</v>
      </c>
      <c r="AG63" s="2226"/>
      <c r="AH63" s="2226"/>
      <c r="AI63" s="2226"/>
    </row>
    <row r="64" spans="1:35" s="80" customFormat="1" x14ac:dyDescent="0.2">
      <c r="A64" s="1742"/>
      <c r="B64" s="584"/>
      <c r="C64" s="585"/>
      <c r="D64" s="586" t="str">
        <f>D54</f>
        <v>Interest</v>
      </c>
      <c r="E64" s="77"/>
      <c r="F64" s="77"/>
      <c r="G64" s="79"/>
      <c r="H64" s="79"/>
      <c r="I64" s="79"/>
      <c r="J64" s="79">
        <f>ROUND(D62*$C$62,-3)</f>
        <v>677000</v>
      </c>
      <c r="K64" s="79">
        <f t="shared" ref="K64:M64" si="22">ROUND(J65*$C$62,-3)</f>
        <v>659000</v>
      </c>
      <c r="L64" s="79">
        <f t="shared" si="22"/>
        <v>639000</v>
      </c>
      <c r="M64" s="79">
        <f t="shared" si="22"/>
        <v>618000</v>
      </c>
      <c r="N64" s="79">
        <f t="shared" ref="N64" si="23">ROUND(M65*$C$62,-3)</f>
        <v>597000</v>
      </c>
      <c r="O64" s="79">
        <f t="shared" ref="O64" si="24">ROUND(N65*$C$62,-3)</f>
        <v>573000</v>
      </c>
      <c r="P64" s="79">
        <f t="shared" ref="P64" si="25">ROUND(O65*$C$62,-3)</f>
        <v>549000</v>
      </c>
      <c r="Q64" s="31">
        <f t="shared" ref="Q64" si="26">ROUND(P65*$C$62,-3)</f>
        <v>523000</v>
      </c>
      <c r="R64" s="582">
        <f>ROUND(Q65*$C$62,-3)</f>
        <v>495000</v>
      </c>
      <c r="S64" s="582">
        <f>ROUND(R65*$C$62,-3)</f>
        <v>466000</v>
      </c>
      <c r="T64" s="78">
        <f t="shared" si="21"/>
        <v>5796000</v>
      </c>
      <c r="AG64" s="2226"/>
      <c r="AH64" s="2226"/>
      <c r="AI64" s="2226"/>
    </row>
    <row r="65" spans="1:35" s="65" customFormat="1" x14ac:dyDescent="0.2">
      <c r="A65" s="1739"/>
      <c r="B65" s="220"/>
      <c r="C65" s="1061"/>
      <c r="D65" s="383" t="str">
        <f>D55</f>
        <v>O/S Princ</v>
      </c>
      <c r="E65" s="107"/>
      <c r="F65" s="107"/>
      <c r="G65" s="107"/>
      <c r="H65" s="107"/>
      <c r="I65" s="107"/>
      <c r="J65" s="107">
        <f>D62-J63</f>
        <v>10977700</v>
      </c>
      <c r="K65" s="107">
        <f t="shared" ref="K65:N65" si="27">J65-K63</f>
        <v>10652700</v>
      </c>
      <c r="L65" s="107">
        <f t="shared" si="27"/>
        <v>10307700</v>
      </c>
      <c r="M65" s="107">
        <f t="shared" si="27"/>
        <v>9941700</v>
      </c>
      <c r="N65" s="107">
        <f t="shared" si="27"/>
        <v>9554700</v>
      </c>
      <c r="O65" s="107">
        <f t="shared" ref="O65" si="28">N65-O63</f>
        <v>9143700</v>
      </c>
      <c r="P65" s="63">
        <f>O65-P63</f>
        <v>8708700</v>
      </c>
      <c r="Q65" s="92">
        <f>P65-Q63</f>
        <v>8247700</v>
      </c>
      <c r="R65" s="1062">
        <f>Q65-R63</f>
        <v>7758700</v>
      </c>
      <c r="S65" s="1062">
        <f>R65-S63</f>
        <v>7240700</v>
      </c>
      <c r="T65" s="106">
        <f>SUM(T63:T64)</f>
        <v>9840000</v>
      </c>
    </row>
    <row r="66" spans="1:35" s="65" customFormat="1" x14ac:dyDescent="0.2">
      <c r="A66" s="1739"/>
      <c r="B66" s="220"/>
      <c r="C66" s="1061"/>
      <c r="D66" s="383"/>
      <c r="E66" s="107"/>
      <c r="F66" s="107"/>
      <c r="G66" s="107"/>
      <c r="H66" s="107"/>
      <c r="I66" s="107"/>
      <c r="J66" s="107"/>
      <c r="K66" s="107"/>
      <c r="L66" s="107"/>
      <c r="M66" s="107"/>
      <c r="N66" s="107"/>
      <c r="O66" s="63"/>
      <c r="P66" s="63"/>
      <c r="Q66" s="92"/>
      <c r="R66" s="1062"/>
      <c r="S66" s="1062"/>
      <c r="T66" s="106"/>
    </row>
    <row r="67" spans="1:35" s="80" customFormat="1" x14ac:dyDescent="0.2">
      <c r="A67" s="1742" t="str">
        <f>A34</f>
        <v>2018/19</v>
      </c>
      <c r="B67" s="584">
        <f>B34</f>
        <v>20</v>
      </c>
      <c r="C67" s="585">
        <f>Assumptions!I$15</f>
        <v>0.06</v>
      </c>
      <c r="D67" s="586"/>
      <c r="E67" s="77"/>
      <c r="F67" s="77"/>
      <c r="G67" s="79"/>
      <c r="H67" s="79"/>
      <c r="I67" s="79"/>
      <c r="J67" s="79"/>
      <c r="K67" s="79"/>
      <c r="L67" s="79"/>
      <c r="M67" s="79"/>
      <c r="N67" s="79"/>
      <c r="O67" s="79"/>
      <c r="P67" s="79"/>
      <c r="Q67" s="31"/>
      <c r="R67" s="582"/>
      <c r="S67" s="582"/>
      <c r="T67" s="78"/>
      <c r="AG67" s="2226"/>
      <c r="AH67" s="2226"/>
      <c r="AI67" s="2226"/>
    </row>
    <row r="68" spans="1:35" s="80" customFormat="1" x14ac:dyDescent="0.2">
      <c r="A68" s="1742"/>
      <c r="B68" s="584"/>
      <c r="C68" s="585"/>
      <c r="D68" s="586" t="str">
        <f>D63</f>
        <v xml:space="preserve">Principal </v>
      </c>
      <c r="E68" s="77"/>
      <c r="F68" s="77"/>
      <c r="G68" s="79"/>
      <c r="H68" s="79"/>
      <c r="I68" s="79"/>
      <c r="J68" s="79"/>
      <c r="K68" s="79">
        <f t="shared" ref="K68:S68" si="29">-ROUND(PMT($C$67,$B$67,$D$67),-3)-K69</f>
        <v>0</v>
      </c>
      <c r="L68" s="79">
        <f t="shared" si="29"/>
        <v>0</v>
      </c>
      <c r="M68" s="79">
        <f t="shared" si="29"/>
        <v>0</v>
      </c>
      <c r="N68" s="79">
        <f t="shared" si="29"/>
        <v>0</v>
      </c>
      <c r="O68" s="79">
        <f t="shared" si="29"/>
        <v>0</v>
      </c>
      <c r="P68" s="79">
        <f t="shared" si="29"/>
        <v>0</v>
      </c>
      <c r="Q68" s="31">
        <f t="shared" si="29"/>
        <v>0</v>
      </c>
      <c r="R68" s="582">
        <f t="shared" si="29"/>
        <v>0</v>
      </c>
      <c r="S68" s="582">
        <f t="shared" si="29"/>
        <v>0</v>
      </c>
      <c r="T68" s="78">
        <f>SUM(E68:P68)</f>
        <v>0</v>
      </c>
      <c r="AG68" s="2226"/>
      <c r="AH68" s="2226"/>
      <c r="AI68" s="2226"/>
    </row>
    <row r="69" spans="1:35" s="80" customFormat="1" x14ac:dyDescent="0.2">
      <c r="A69" s="1742"/>
      <c r="B69" s="584"/>
      <c r="C69" s="585"/>
      <c r="D69" s="586" t="str">
        <f>D64</f>
        <v>Interest</v>
      </c>
      <c r="E69" s="77"/>
      <c r="F69" s="77"/>
      <c r="G69" s="79"/>
      <c r="H69" s="79"/>
      <c r="I69" s="79"/>
      <c r="J69" s="79"/>
      <c r="K69" s="79">
        <f>ROUND(J70*$C$67,-3)</f>
        <v>0</v>
      </c>
      <c r="L69" s="79">
        <f>ROUND(K70*$C$67,-3)</f>
        <v>0</v>
      </c>
      <c r="M69" s="79">
        <f>ROUND(L70*$C$67,-3)</f>
        <v>0</v>
      </c>
      <c r="N69" s="79">
        <f>ROUND(M70*$C$67,-3)</f>
        <v>0</v>
      </c>
      <c r="O69" s="79">
        <f>ROUND(M70*$C$67,-3)</f>
        <v>0</v>
      </c>
      <c r="P69" s="79">
        <f>ROUND(N70*$C$67,-3)</f>
        <v>0</v>
      </c>
      <c r="Q69" s="31">
        <f>ROUND(O70*$C$67,-3)</f>
        <v>0</v>
      </c>
      <c r="R69" s="582">
        <f>ROUND(P70*$C$67,-3)</f>
        <v>0</v>
      </c>
      <c r="S69" s="582">
        <f>ROUND(Q70*$C$67,-3)</f>
        <v>0</v>
      </c>
      <c r="T69" s="78">
        <f>SUM(E69:P69)</f>
        <v>0</v>
      </c>
      <c r="AG69" s="2226"/>
      <c r="AH69" s="2226"/>
      <c r="AI69" s="2226"/>
    </row>
    <row r="70" spans="1:35" s="65" customFormat="1" x14ac:dyDescent="0.2">
      <c r="A70" s="1739"/>
      <c r="B70" s="220"/>
      <c r="C70" s="1061"/>
      <c r="D70" s="383" t="str">
        <f>D65</f>
        <v>O/S Princ</v>
      </c>
      <c r="E70" s="107"/>
      <c r="F70" s="107"/>
      <c r="G70" s="107"/>
      <c r="H70" s="107"/>
      <c r="I70" s="107"/>
      <c r="J70" s="107">
        <f>D67</f>
        <v>0</v>
      </c>
      <c r="K70" s="107">
        <f>J70-K68</f>
        <v>0</v>
      </c>
      <c r="L70" s="107">
        <f>K70-L68</f>
        <v>0</v>
      </c>
      <c r="M70" s="107">
        <f>L70-M68</f>
        <v>0</v>
      </c>
      <c r="N70" s="107">
        <f>M70-N68</f>
        <v>0</v>
      </c>
      <c r="O70" s="63">
        <f>M70-O68</f>
        <v>0</v>
      </c>
      <c r="P70" s="63">
        <f>N70-P68</f>
        <v>0</v>
      </c>
      <c r="Q70" s="92">
        <f>O70-Q68</f>
        <v>0</v>
      </c>
      <c r="R70" s="1062">
        <f>P70-R68</f>
        <v>0</v>
      </c>
      <c r="S70" s="1062">
        <f>Q70-S68</f>
        <v>0</v>
      </c>
      <c r="T70" s="106">
        <f>SUM(T68:T69)</f>
        <v>0</v>
      </c>
    </row>
    <row r="71" spans="1:35" s="65" customFormat="1" x14ac:dyDescent="0.2">
      <c r="A71" s="1739"/>
      <c r="B71" s="220"/>
      <c r="C71" s="1061"/>
      <c r="D71" s="383"/>
      <c r="E71" s="107"/>
      <c r="F71" s="107"/>
      <c r="G71" s="107"/>
      <c r="H71" s="107"/>
      <c r="I71" s="107"/>
      <c r="J71" s="107"/>
      <c r="K71" s="107"/>
      <c r="L71" s="107"/>
      <c r="M71" s="107"/>
      <c r="N71" s="107"/>
      <c r="O71" s="63"/>
      <c r="P71" s="63"/>
      <c r="Q71" s="92"/>
      <c r="R71" s="1062"/>
      <c r="S71" s="1062"/>
      <c r="T71" s="106"/>
    </row>
    <row r="72" spans="1:35" s="80" customFormat="1" x14ac:dyDescent="0.2">
      <c r="A72" s="1742" t="str">
        <f>A35</f>
        <v>2019/20</v>
      </c>
      <c r="B72" s="584">
        <v>20</v>
      </c>
      <c r="C72" s="585">
        <f>Assumptions!J$15</f>
        <v>0.06</v>
      </c>
      <c r="D72" s="586">
        <f>D35</f>
        <v>0</v>
      </c>
      <c r="E72" s="77"/>
      <c r="F72" s="77"/>
      <c r="G72" s="79"/>
      <c r="H72" s="79"/>
      <c r="I72" s="79"/>
      <c r="J72" s="79"/>
      <c r="K72" s="79"/>
      <c r="L72" s="79"/>
      <c r="M72" s="79"/>
      <c r="N72" s="79"/>
      <c r="O72" s="79"/>
      <c r="P72" s="79"/>
      <c r="Q72" s="31"/>
      <c r="R72" s="582"/>
      <c r="S72" s="582"/>
      <c r="T72" s="78"/>
      <c r="AG72" s="2226"/>
      <c r="AH72" s="2226"/>
      <c r="AI72" s="2226"/>
    </row>
    <row r="73" spans="1:35" s="80" customFormat="1" x14ac:dyDescent="0.2">
      <c r="A73" s="1742"/>
      <c r="B73" s="584"/>
      <c r="C73" s="585"/>
      <c r="D73" s="586" t="str">
        <f>D68</f>
        <v xml:space="preserve">Principal </v>
      </c>
      <c r="E73" s="77"/>
      <c r="F73" s="77"/>
      <c r="G73" s="79"/>
      <c r="H73" s="79"/>
      <c r="I73" s="79"/>
      <c r="J73" s="79"/>
      <c r="K73" s="79"/>
      <c r="L73" s="79">
        <f t="shared" ref="L73:S73" si="30">-ROUND(PMT($C$72,$B$72,$D$72),-3)-L74</f>
        <v>0</v>
      </c>
      <c r="M73" s="79">
        <f t="shared" si="30"/>
        <v>0</v>
      </c>
      <c r="N73" s="79">
        <f t="shared" si="30"/>
        <v>0</v>
      </c>
      <c r="O73" s="79">
        <f t="shared" si="30"/>
        <v>0</v>
      </c>
      <c r="P73" s="79">
        <f t="shared" si="30"/>
        <v>0</v>
      </c>
      <c r="Q73" s="31">
        <f t="shared" si="30"/>
        <v>0</v>
      </c>
      <c r="R73" s="582">
        <f t="shared" si="30"/>
        <v>0</v>
      </c>
      <c r="S73" s="582">
        <f t="shared" si="30"/>
        <v>0</v>
      </c>
      <c r="T73" s="78">
        <f>SUM(E73:P73)</f>
        <v>0</v>
      </c>
      <c r="AG73" s="2226"/>
      <c r="AH73" s="2226"/>
      <c r="AI73" s="2226"/>
    </row>
    <row r="74" spans="1:35" s="80" customFormat="1" x14ac:dyDescent="0.2">
      <c r="A74" s="1742"/>
      <c r="B74" s="584"/>
      <c r="C74" s="585"/>
      <c r="D74" s="586" t="str">
        <f>D69</f>
        <v>Interest</v>
      </c>
      <c r="E74" s="77"/>
      <c r="F74" s="77"/>
      <c r="G74" s="79"/>
      <c r="H74" s="79"/>
      <c r="I74" s="79"/>
      <c r="J74" s="79"/>
      <c r="K74" s="79"/>
      <c r="L74" s="79">
        <f>ROUND(K75*$C$72,-3)</f>
        <v>0</v>
      </c>
      <c r="M74" s="79">
        <f>ROUND(L75*$C$72,-3)</f>
        <v>0</v>
      </c>
      <c r="N74" s="79">
        <f>ROUND(M75*$C$72,-3)</f>
        <v>0</v>
      </c>
      <c r="O74" s="79">
        <f>ROUND(M75*$C$72,-3)</f>
        <v>0</v>
      </c>
      <c r="P74" s="79">
        <f>ROUND(N75*$C$72,-3)</f>
        <v>0</v>
      </c>
      <c r="Q74" s="31">
        <f>ROUND(O75*$C$72,-3)</f>
        <v>0</v>
      </c>
      <c r="R74" s="582">
        <f>ROUND(P75*$C$72,-3)</f>
        <v>0</v>
      </c>
      <c r="S74" s="582">
        <f>ROUND(Q75*$C$72,-3)</f>
        <v>0</v>
      </c>
      <c r="T74" s="78">
        <f>SUM(E74:P74)</f>
        <v>0</v>
      </c>
      <c r="AG74" s="2226"/>
      <c r="AH74" s="2226"/>
      <c r="AI74" s="2226"/>
    </row>
    <row r="75" spans="1:35" s="65" customFormat="1" x14ac:dyDescent="0.2">
      <c r="A75" s="1739"/>
      <c r="B75" s="220"/>
      <c r="C75" s="1061"/>
      <c r="D75" s="383" t="str">
        <f>D70</f>
        <v>O/S Princ</v>
      </c>
      <c r="E75" s="107"/>
      <c r="F75" s="107"/>
      <c r="G75" s="107"/>
      <c r="H75" s="107"/>
      <c r="I75" s="107"/>
      <c r="J75" s="107"/>
      <c r="K75" s="107">
        <f>D72</f>
        <v>0</v>
      </c>
      <c r="L75" s="107">
        <f>K75-L73</f>
        <v>0</v>
      </c>
      <c r="M75" s="107">
        <f>L75-M73</f>
        <v>0</v>
      </c>
      <c r="N75" s="107">
        <f>M75-N73</f>
        <v>0</v>
      </c>
      <c r="O75" s="63">
        <f>M75-O73</f>
        <v>0</v>
      </c>
      <c r="P75" s="63">
        <f>N75-P73</f>
        <v>0</v>
      </c>
      <c r="Q75" s="92">
        <f>O75-Q73</f>
        <v>0</v>
      </c>
      <c r="R75" s="1062">
        <f>P75-R73</f>
        <v>0</v>
      </c>
      <c r="S75" s="1062">
        <f>Q75-S73</f>
        <v>0</v>
      </c>
      <c r="T75" s="106">
        <f>SUM(T73:T74)</f>
        <v>0</v>
      </c>
    </row>
    <row r="76" spans="1:35" s="65" customFormat="1" x14ac:dyDescent="0.2">
      <c r="A76" s="1739"/>
      <c r="B76" s="220"/>
      <c r="C76" s="1061"/>
      <c r="D76" s="383"/>
      <c r="E76" s="107"/>
      <c r="F76" s="107"/>
      <c r="G76" s="107"/>
      <c r="H76" s="107"/>
      <c r="I76" s="107"/>
      <c r="J76" s="107"/>
      <c r="K76" s="107"/>
      <c r="L76" s="107"/>
      <c r="M76" s="107"/>
      <c r="N76" s="107"/>
      <c r="O76" s="63"/>
      <c r="P76" s="63"/>
      <c r="Q76" s="92"/>
      <c r="R76" s="1062"/>
      <c r="S76" s="1062"/>
      <c r="T76" s="106"/>
    </row>
    <row r="77" spans="1:35" s="80" customFormat="1" x14ac:dyDescent="0.2">
      <c r="A77" s="1742" t="str">
        <f>A36</f>
        <v>2020/21</v>
      </c>
      <c r="B77" s="584">
        <v>20</v>
      </c>
      <c r="C77" s="585">
        <f>Assumptions!K$15</f>
        <v>0.06</v>
      </c>
      <c r="D77" s="586">
        <f>D36</f>
        <v>0</v>
      </c>
      <c r="E77" s="77"/>
      <c r="F77" s="77"/>
      <c r="G77" s="79"/>
      <c r="H77" s="79"/>
      <c r="I77" s="79"/>
      <c r="J77" s="79"/>
      <c r="K77" s="79"/>
      <c r="L77" s="79"/>
      <c r="M77" s="79"/>
      <c r="N77" s="79"/>
      <c r="O77" s="79"/>
      <c r="P77" s="79"/>
      <c r="Q77" s="31"/>
      <c r="R77" s="582"/>
      <c r="S77" s="582"/>
      <c r="T77" s="78"/>
      <c r="AG77" s="2226"/>
      <c r="AH77" s="2226"/>
      <c r="AI77" s="2226"/>
    </row>
    <row r="78" spans="1:35" s="80" customFormat="1" x14ac:dyDescent="0.2">
      <c r="A78" s="1742"/>
      <c r="B78" s="584"/>
      <c r="C78" s="585"/>
      <c r="D78" s="586" t="str">
        <f>D73</f>
        <v xml:space="preserve">Principal </v>
      </c>
      <c r="E78" s="77"/>
      <c r="F78" s="77"/>
      <c r="G78" s="79"/>
      <c r="H78" s="79"/>
      <c r="I78" s="79"/>
      <c r="J78" s="79"/>
      <c r="K78" s="79"/>
      <c r="L78" s="79"/>
      <c r="M78" s="79">
        <f t="shared" ref="M78:S78" si="31">-ROUND(PMT($C$77,$B$77,$D$77),-3)-M79</f>
        <v>0</v>
      </c>
      <c r="N78" s="79">
        <f t="shared" si="31"/>
        <v>0</v>
      </c>
      <c r="O78" s="79">
        <f t="shared" si="31"/>
        <v>0</v>
      </c>
      <c r="P78" s="79">
        <f t="shared" si="31"/>
        <v>0</v>
      </c>
      <c r="Q78" s="31">
        <f t="shared" si="31"/>
        <v>0</v>
      </c>
      <c r="R78" s="582">
        <f t="shared" si="31"/>
        <v>0</v>
      </c>
      <c r="S78" s="582">
        <f t="shared" si="31"/>
        <v>0</v>
      </c>
      <c r="T78" s="78">
        <f>SUM(E78:P78)</f>
        <v>0</v>
      </c>
      <c r="AG78" s="2226"/>
      <c r="AH78" s="2226"/>
      <c r="AI78" s="2226"/>
    </row>
    <row r="79" spans="1:35" s="80" customFormat="1" x14ac:dyDescent="0.2">
      <c r="A79" s="1742"/>
      <c r="B79" s="584"/>
      <c r="C79" s="585"/>
      <c r="D79" s="586" t="str">
        <f>D74</f>
        <v>Interest</v>
      </c>
      <c r="E79" s="77"/>
      <c r="F79" s="77"/>
      <c r="G79" s="79"/>
      <c r="H79" s="79"/>
      <c r="I79" s="79"/>
      <c r="J79" s="79"/>
      <c r="K79" s="79"/>
      <c r="L79" s="79"/>
      <c r="M79" s="79">
        <f>ROUND(L80*$C$77,-3)</f>
        <v>0</v>
      </c>
      <c r="N79" s="79">
        <f>ROUND(M80*$C$77,-3)</f>
        <v>0</v>
      </c>
      <c r="O79" s="79">
        <f>ROUND(M80*$C$77,-3)</f>
        <v>0</v>
      </c>
      <c r="P79" s="79">
        <f>ROUND(N80*$C$77,-3)</f>
        <v>0</v>
      </c>
      <c r="Q79" s="31">
        <f>ROUND(O80*$C$77,-3)</f>
        <v>0</v>
      </c>
      <c r="R79" s="582">
        <f>ROUND(P80*$C$77,-3)</f>
        <v>0</v>
      </c>
      <c r="S79" s="582">
        <f>ROUND(Q80*$C$77,-3)</f>
        <v>0</v>
      </c>
      <c r="T79" s="78">
        <f>SUM(E79:P79)</f>
        <v>0</v>
      </c>
      <c r="AG79" s="2226"/>
      <c r="AH79" s="2226"/>
      <c r="AI79" s="2226"/>
    </row>
    <row r="80" spans="1:35" s="65" customFormat="1" x14ac:dyDescent="0.2">
      <c r="A80" s="1739"/>
      <c r="B80" s="220"/>
      <c r="C80" s="1061"/>
      <c r="D80" s="383" t="str">
        <f>D75</f>
        <v>O/S Princ</v>
      </c>
      <c r="E80" s="107"/>
      <c r="F80" s="107"/>
      <c r="G80" s="107"/>
      <c r="H80" s="107"/>
      <c r="I80" s="107"/>
      <c r="J80" s="107"/>
      <c r="K80" s="107"/>
      <c r="L80" s="107">
        <f>D77</f>
        <v>0</v>
      </c>
      <c r="M80" s="107">
        <f>L80-M78</f>
        <v>0</v>
      </c>
      <c r="N80" s="107">
        <f>M80-N78</f>
        <v>0</v>
      </c>
      <c r="O80" s="63">
        <f>M80-O78</f>
        <v>0</v>
      </c>
      <c r="P80" s="63">
        <f>N80-P78</f>
        <v>0</v>
      </c>
      <c r="Q80" s="92">
        <f>O80-Q78</f>
        <v>0</v>
      </c>
      <c r="R80" s="1062">
        <f>P80-R78</f>
        <v>0</v>
      </c>
      <c r="S80" s="1062">
        <f>Q80-S78</f>
        <v>0</v>
      </c>
      <c r="T80" s="106">
        <f>SUM(T78:T79)</f>
        <v>0</v>
      </c>
    </row>
    <row r="81" spans="1:35" s="65" customFormat="1" x14ac:dyDescent="0.2">
      <c r="A81" s="1739"/>
      <c r="B81" s="220"/>
      <c r="C81" s="1061"/>
      <c r="D81" s="383"/>
      <c r="E81" s="107"/>
      <c r="F81" s="107"/>
      <c r="G81" s="107"/>
      <c r="H81" s="107"/>
      <c r="I81" s="107"/>
      <c r="J81" s="107"/>
      <c r="K81" s="107"/>
      <c r="L81" s="107"/>
      <c r="M81" s="107"/>
      <c r="N81" s="107"/>
      <c r="O81" s="63"/>
      <c r="P81" s="63"/>
      <c r="Q81" s="92"/>
      <c r="R81" s="1062"/>
      <c r="S81" s="1062"/>
      <c r="T81" s="106"/>
    </row>
    <row r="82" spans="1:35" s="80" customFormat="1" x14ac:dyDescent="0.2">
      <c r="A82" s="1742" t="str">
        <f>A37</f>
        <v>2021/22</v>
      </c>
      <c r="B82" s="584">
        <v>20</v>
      </c>
      <c r="C82" s="585">
        <f>Assumptions!L$15</f>
        <v>0.06</v>
      </c>
      <c r="D82" s="586">
        <f>D37</f>
        <v>0</v>
      </c>
      <c r="E82" s="77"/>
      <c r="F82" s="77"/>
      <c r="G82" s="79"/>
      <c r="H82" s="79"/>
      <c r="I82" s="79"/>
      <c r="J82" s="79"/>
      <c r="K82" s="79"/>
      <c r="L82" s="79"/>
      <c r="M82" s="79"/>
      <c r="N82" s="79"/>
      <c r="O82" s="79"/>
      <c r="P82" s="79"/>
      <c r="Q82" s="31"/>
      <c r="R82" s="582"/>
      <c r="S82" s="582"/>
      <c r="T82" s="78"/>
      <c r="AG82" s="2226"/>
      <c r="AH82" s="2226"/>
      <c r="AI82" s="2226"/>
    </row>
    <row r="83" spans="1:35" s="80" customFormat="1" x14ac:dyDescent="0.2">
      <c r="A83" s="1742"/>
      <c r="B83" s="584"/>
      <c r="C83" s="585"/>
      <c r="D83" s="586" t="str">
        <f>D78</f>
        <v xml:space="preserve">Principal </v>
      </c>
      <c r="E83" s="77"/>
      <c r="F83" s="77"/>
      <c r="G83" s="79"/>
      <c r="H83" s="79"/>
      <c r="I83" s="79"/>
      <c r="J83" s="79"/>
      <c r="K83" s="79"/>
      <c r="L83" s="79"/>
      <c r="M83" s="79"/>
      <c r="N83" s="79">
        <f t="shared" ref="N83:S83" si="32">-ROUND(PMT($C$82,$B$82,$D$82),-3)-N84</f>
        <v>0</v>
      </c>
      <c r="O83" s="79">
        <f t="shared" si="32"/>
        <v>0</v>
      </c>
      <c r="P83" s="79">
        <f t="shared" si="32"/>
        <v>0</v>
      </c>
      <c r="Q83" s="31">
        <f t="shared" si="32"/>
        <v>0</v>
      </c>
      <c r="R83" s="582">
        <f t="shared" si="32"/>
        <v>0</v>
      </c>
      <c r="S83" s="582">
        <f t="shared" si="32"/>
        <v>0</v>
      </c>
      <c r="T83" s="78">
        <f>SUM(E83:P83)</f>
        <v>0</v>
      </c>
      <c r="AG83" s="2226"/>
      <c r="AH83" s="2226"/>
      <c r="AI83" s="2226"/>
    </row>
    <row r="84" spans="1:35" s="80" customFormat="1" x14ac:dyDescent="0.2">
      <c r="A84" s="1742"/>
      <c r="B84" s="584"/>
      <c r="C84" s="585"/>
      <c r="D84" s="586" t="str">
        <f>D79</f>
        <v>Interest</v>
      </c>
      <c r="E84" s="77"/>
      <c r="F84" s="77"/>
      <c r="G84" s="79"/>
      <c r="H84" s="79"/>
      <c r="I84" s="79"/>
      <c r="J84" s="79"/>
      <c r="K84" s="79"/>
      <c r="L84" s="79"/>
      <c r="M84" s="79"/>
      <c r="N84" s="79">
        <f>ROUND(M85*$C$82,-3)</f>
        <v>0</v>
      </c>
      <c r="O84" s="79">
        <f>ROUND(M85*$C$82,-3)</f>
        <v>0</v>
      </c>
      <c r="P84" s="79">
        <f>ROUND(N85*$C$82,-3)</f>
        <v>0</v>
      </c>
      <c r="Q84" s="31">
        <f>ROUND(O85*$C$82,-3)</f>
        <v>0</v>
      </c>
      <c r="R84" s="582">
        <f>ROUND(P85*$C$82,-3)</f>
        <v>0</v>
      </c>
      <c r="S84" s="582">
        <f>ROUND(Q85*$C$82,-3)</f>
        <v>0</v>
      </c>
      <c r="T84" s="78">
        <f>SUM(E84:P84)</f>
        <v>0</v>
      </c>
      <c r="AG84" s="2226"/>
      <c r="AH84" s="2226"/>
      <c r="AI84" s="2226"/>
    </row>
    <row r="85" spans="1:35" s="65" customFormat="1" x14ac:dyDescent="0.2">
      <c r="A85" s="1739"/>
      <c r="B85" s="220"/>
      <c r="C85" s="1061"/>
      <c r="D85" s="383" t="str">
        <f>D80</f>
        <v>O/S Princ</v>
      </c>
      <c r="E85" s="107"/>
      <c r="F85" s="107"/>
      <c r="G85" s="107"/>
      <c r="H85" s="107"/>
      <c r="I85" s="107"/>
      <c r="J85" s="107"/>
      <c r="K85" s="107"/>
      <c r="L85" s="107"/>
      <c r="M85" s="107">
        <f>D82</f>
        <v>0</v>
      </c>
      <c r="N85" s="107">
        <f>M85-N83</f>
        <v>0</v>
      </c>
      <c r="O85" s="63">
        <f>M85-O83</f>
        <v>0</v>
      </c>
      <c r="P85" s="63">
        <f>N85-P83</f>
        <v>0</v>
      </c>
      <c r="Q85" s="92">
        <f>O85-Q83</f>
        <v>0</v>
      </c>
      <c r="R85" s="1062">
        <f>P85-R83</f>
        <v>0</v>
      </c>
      <c r="S85" s="1062">
        <f>Q85-S83</f>
        <v>0</v>
      </c>
      <c r="T85" s="106">
        <f>SUM(T83:T84)</f>
        <v>0</v>
      </c>
    </row>
    <row r="86" spans="1:35" s="65" customFormat="1" x14ac:dyDescent="0.2">
      <c r="A86" s="1739"/>
      <c r="B86" s="220"/>
      <c r="C86" s="1061"/>
      <c r="D86" s="383"/>
      <c r="E86" s="107"/>
      <c r="F86" s="107"/>
      <c r="G86" s="107"/>
      <c r="H86" s="107"/>
      <c r="I86" s="107"/>
      <c r="J86" s="107"/>
      <c r="K86" s="107"/>
      <c r="L86" s="107"/>
      <c r="M86" s="107"/>
      <c r="N86" s="107"/>
      <c r="O86" s="63"/>
      <c r="P86" s="63"/>
      <c r="Q86" s="92"/>
      <c r="R86" s="1062"/>
      <c r="S86" s="1062"/>
      <c r="T86" s="106"/>
    </row>
    <row r="87" spans="1:35" s="80" customFormat="1" x14ac:dyDescent="0.2">
      <c r="A87" s="1742" t="str">
        <f>A38</f>
        <v>2022/23</v>
      </c>
      <c r="B87" s="584">
        <v>20</v>
      </c>
      <c r="C87" s="585">
        <f>Assumptions!M$15</f>
        <v>0.06</v>
      </c>
      <c r="D87" s="586">
        <f>D38</f>
        <v>0</v>
      </c>
      <c r="E87" s="77"/>
      <c r="F87" s="77"/>
      <c r="G87" s="79"/>
      <c r="H87" s="79"/>
      <c r="I87" s="79"/>
      <c r="J87" s="79"/>
      <c r="K87" s="79"/>
      <c r="L87" s="79"/>
      <c r="M87" s="79"/>
      <c r="N87" s="79"/>
      <c r="O87" s="79"/>
      <c r="P87" s="79"/>
      <c r="Q87" s="31"/>
      <c r="R87" s="582"/>
      <c r="S87" s="582"/>
      <c r="T87" s="78"/>
      <c r="AG87" s="2226"/>
      <c r="AH87" s="2226"/>
      <c r="AI87" s="2226"/>
    </row>
    <row r="88" spans="1:35" s="80" customFormat="1" x14ac:dyDescent="0.2">
      <c r="A88" s="1742"/>
      <c r="B88" s="584"/>
      <c r="C88" s="585"/>
      <c r="D88" s="586" t="str">
        <f>D83</f>
        <v xml:space="preserve">Principal </v>
      </c>
      <c r="E88" s="77"/>
      <c r="F88" s="77"/>
      <c r="G88" s="79"/>
      <c r="H88" s="79"/>
      <c r="I88" s="79"/>
      <c r="J88" s="79"/>
      <c r="K88" s="79"/>
      <c r="L88" s="79"/>
      <c r="M88" s="79"/>
      <c r="N88" s="79"/>
      <c r="O88" s="79">
        <f>-ROUND(PMT($C$87,$B$87,$D$87),-3)-O89</f>
        <v>0</v>
      </c>
      <c r="P88" s="79">
        <f>-ROUND(PMT($C$87,$B$87,$D$87),-3)-P89</f>
        <v>0</v>
      </c>
      <c r="Q88" s="31">
        <f>-ROUND(PMT($C$87,$B$87,$D$87),-3)-Q89</f>
        <v>0</v>
      </c>
      <c r="R88" s="582">
        <f>-ROUND(PMT($C$87,$B$87,$D$87),-3)-R89</f>
        <v>0</v>
      </c>
      <c r="S88" s="582">
        <f>-ROUND(PMT($C$87,$B$87,$D$87),-3)-S89</f>
        <v>0</v>
      </c>
      <c r="T88" s="78">
        <f>SUM(E88:P88)</f>
        <v>0</v>
      </c>
      <c r="AG88" s="2226"/>
      <c r="AH88" s="2226"/>
      <c r="AI88" s="2226"/>
    </row>
    <row r="89" spans="1:35" s="80" customFormat="1" x14ac:dyDescent="0.2">
      <c r="A89" s="1742"/>
      <c r="B89" s="584"/>
      <c r="C89" s="585"/>
      <c r="D89" s="586" t="str">
        <f>D84</f>
        <v>Interest</v>
      </c>
      <c r="E89" s="77"/>
      <c r="F89" s="77"/>
      <c r="G89" s="79"/>
      <c r="H89" s="79"/>
      <c r="I89" s="79"/>
      <c r="J89" s="79"/>
      <c r="K89" s="79"/>
      <c r="L89" s="79"/>
      <c r="M89" s="79"/>
      <c r="N89" s="79"/>
      <c r="O89" s="79">
        <f>ROUND(M90*$C$87,-3)</f>
        <v>0</v>
      </c>
      <c r="P89" s="79">
        <f>ROUND(N90*$C$87,-3)</f>
        <v>0</v>
      </c>
      <c r="Q89" s="31">
        <f>ROUND(O90*$C$87,-3)</f>
        <v>0</v>
      </c>
      <c r="R89" s="582">
        <f>ROUND(P90*$C$87,-3)</f>
        <v>0</v>
      </c>
      <c r="S89" s="582">
        <f>ROUND(Q90*$C$87,-3)</f>
        <v>0</v>
      </c>
      <c r="T89" s="78">
        <f>SUM(E89:P89)</f>
        <v>0</v>
      </c>
      <c r="AG89" s="2226"/>
      <c r="AH89" s="2226"/>
      <c r="AI89" s="2226"/>
    </row>
    <row r="90" spans="1:35" s="65" customFormat="1" x14ac:dyDescent="0.2">
      <c r="A90" s="1739"/>
      <c r="B90" s="220"/>
      <c r="C90" s="1061"/>
      <c r="D90" s="383" t="str">
        <f>D85</f>
        <v>O/S Princ</v>
      </c>
      <c r="E90" s="107"/>
      <c r="F90" s="107"/>
      <c r="G90" s="107"/>
      <c r="H90" s="107"/>
      <c r="I90" s="107"/>
      <c r="J90" s="107"/>
      <c r="K90" s="107"/>
      <c r="L90" s="107"/>
      <c r="M90" s="107"/>
      <c r="N90" s="107">
        <f>D87</f>
        <v>0</v>
      </c>
      <c r="O90" s="63">
        <f>M90-O88</f>
        <v>0</v>
      </c>
      <c r="P90" s="63">
        <f>N90-P88</f>
        <v>0</v>
      </c>
      <c r="Q90" s="92">
        <f>O90-Q88</f>
        <v>0</v>
      </c>
      <c r="R90" s="1062">
        <f>P90-R88</f>
        <v>0</v>
      </c>
      <c r="S90" s="1062">
        <f>Q90-S88</f>
        <v>0</v>
      </c>
      <c r="T90" s="106">
        <f>SUM(T88:T89)</f>
        <v>0</v>
      </c>
    </row>
    <row r="91" spans="1:35" s="65" customFormat="1" x14ac:dyDescent="0.2">
      <c r="A91" s="1739"/>
      <c r="B91" s="220"/>
      <c r="C91" s="1061"/>
      <c r="D91" s="383"/>
      <c r="E91" s="107"/>
      <c r="F91" s="107"/>
      <c r="G91" s="107"/>
      <c r="H91" s="107"/>
      <c r="I91" s="107"/>
      <c r="J91" s="107"/>
      <c r="K91" s="107"/>
      <c r="L91" s="107"/>
      <c r="M91" s="107"/>
      <c r="N91" s="107"/>
      <c r="O91" s="63"/>
      <c r="P91" s="63"/>
      <c r="Q91" s="92"/>
      <c r="R91" s="1062"/>
      <c r="S91" s="1062"/>
      <c r="T91" s="106"/>
    </row>
    <row r="92" spans="1:35" s="80" customFormat="1" x14ac:dyDescent="0.2">
      <c r="A92" s="583" t="str">
        <f>A39</f>
        <v>2023/24</v>
      </c>
      <c r="B92" s="584">
        <v>20</v>
      </c>
      <c r="C92" s="585">
        <f>Assumptions!N$15</f>
        <v>0.06</v>
      </c>
      <c r="D92" s="586">
        <f>D39</f>
        <v>0</v>
      </c>
      <c r="E92" s="77"/>
      <c r="F92" s="77"/>
      <c r="G92" s="79"/>
      <c r="H92" s="79"/>
      <c r="I92" s="79"/>
      <c r="J92" s="79"/>
      <c r="K92" s="79"/>
      <c r="L92" s="79"/>
      <c r="M92" s="79"/>
      <c r="N92" s="79"/>
      <c r="O92" s="79"/>
      <c r="P92" s="79"/>
      <c r="Q92" s="31"/>
      <c r="R92" s="582"/>
      <c r="S92" s="582"/>
      <c r="T92" s="78"/>
      <c r="AG92" s="2226"/>
      <c r="AH92" s="2226"/>
      <c r="AI92" s="2226"/>
    </row>
    <row r="93" spans="1:35" s="80" customFormat="1" x14ac:dyDescent="0.2">
      <c r="A93" s="1742"/>
      <c r="B93" s="584"/>
      <c r="C93" s="585"/>
      <c r="D93" s="586" t="str">
        <f>D88</f>
        <v xml:space="preserve">Principal </v>
      </c>
      <c r="E93" s="77"/>
      <c r="F93" s="77"/>
      <c r="G93" s="79"/>
      <c r="H93" s="79"/>
      <c r="I93" s="79"/>
      <c r="J93" s="79"/>
      <c r="K93" s="79"/>
      <c r="L93" s="79"/>
      <c r="M93" s="79"/>
      <c r="N93" s="79"/>
      <c r="O93" s="79"/>
      <c r="P93" s="79"/>
      <c r="Q93" s="31"/>
      <c r="R93" s="582"/>
      <c r="S93" s="582"/>
      <c r="T93" s="78">
        <f>SUM(E93:P93)</f>
        <v>0</v>
      </c>
      <c r="AG93" s="2226"/>
      <c r="AH93" s="2226"/>
      <c r="AI93" s="2226"/>
    </row>
    <row r="94" spans="1:35" s="80" customFormat="1" x14ac:dyDescent="0.2">
      <c r="A94" s="1742"/>
      <c r="B94" s="584"/>
      <c r="C94" s="585"/>
      <c r="D94" s="586" t="str">
        <f>D89</f>
        <v>Interest</v>
      </c>
      <c r="E94" s="77"/>
      <c r="F94" s="77"/>
      <c r="G94" s="79"/>
      <c r="H94" s="79"/>
      <c r="I94" s="79"/>
      <c r="J94" s="79"/>
      <c r="K94" s="79"/>
      <c r="L94" s="79"/>
      <c r="M94" s="79"/>
      <c r="N94" s="79"/>
      <c r="O94" s="79"/>
      <c r="P94" s="79"/>
      <c r="Q94" s="31"/>
      <c r="R94" s="582"/>
      <c r="S94" s="582"/>
      <c r="T94" s="78">
        <f>SUM(E94:P94)</f>
        <v>0</v>
      </c>
      <c r="AG94" s="2226"/>
      <c r="AH94" s="2226"/>
      <c r="AI94" s="2226"/>
    </row>
    <row r="95" spans="1:35" s="65" customFormat="1" x14ac:dyDescent="0.2">
      <c r="A95" s="1739"/>
      <c r="B95" s="220"/>
      <c r="C95" s="1061"/>
      <c r="D95" s="383" t="str">
        <f>D90</f>
        <v>O/S Princ</v>
      </c>
      <c r="E95" s="107"/>
      <c r="F95" s="107"/>
      <c r="G95" s="107"/>
      <c r="H95" s="107"/>
      <c r="I95" s="107"/>
      <c r="J95" s="107"/>
      <c r="K95" s="107"/>
      <c r="L95" s="107"/>
      <c r="M95" s="107"/>
      <c r="N95" s="107"/>
      <c r="O95" s="63">
        <f>C92</f>
        <v>0.06</v>
      </c>
      <c r="P95" s="63">
        <f>D92</f>
        <v>0</v>
      </c>
      <c r="Q95" s="92">
        <f>E92</f>
        <v>0</v>
      </c>
      <c r="R95" s="1062">
        <f>F92</f>
        <v>0</v>
      </c>
      <c r="S95" s="1062">
        <f>G92</f>
        <v>0</v>
      </c>
      <c r="T95" s="106">
        <f>SUM(T93:T94)</f>
        <v>0</v>
      </c>
    </row>
    <row r="96" spans="1:35" s="80" customFormat="1" ht="13.5" thickBot="1" x14ac:dyDescent="0.25">
      <c r="A96" s="1742"/>
      <c r="B96" s="584"/>
      <c r="C96" s="585"/>
      <c r="D96" s="586"/>
      <c r="E96" s="77"/>
      <c r="F96" s="77"/>
      <c r="G96" s="77"/>
      <c r="H96" s="79"/>
      <c r="I96" s="77"/>
      <c r="J96" s="79"/>
      <c r="K96" s="79"/>
      <c r="L96" s="79"/>
      <c r="M96" s="79"/>
      <c r="N96" s="79"/>
      <c r="O96" s="79"/>
      <c r="P96" s="79"/>
      <c r="Q96" s="31"/>
      <c r="R96" s="582"/>
      <c r="S96" s="582"/>
      <c r="T96" s="78"/>
      <c r="AG96" s="2226"/>
      <c r="AH96" s="2226"/>
      <c r="AI96" s="2226"/>
    </row>
    <row r="97" spans="1:46" s="65" customFormat="1" ht="13.5" thickTop="1" x14ac:dyDescent="0.2">
      <c r="A97" s="2037" t="s">
        <v>2615</v>
      </c>
      <c r="B97" s="1675"/>
      <c r="C97" s="1064"/>
      <c r="D97" s="1065"/>
      <c r="E97" s="894"/>
      <c r="F97" s="894"/>
      <c r="G97" s="894"/>
      <c r="H97" s="873"/>
      <c r="I97" s="894"/>
      <c r="J97" s="873"/>
      <c r="K97" s="873"/>
      <c r="L97" s="873"/>
      <c r="M97" s="873"/>
      <c r="N97" s="873"/>
      <c r="O97" s="873"/>
      <c r="P97" s="873"/>
      <c r="Q97" s="1558"/>
      <c r="R97" s="1066"/>
      <c r="S97" s="1066"/>
      <c r="T97" s="1060"/>
    </row>
    <row r="98" spans="1:46" s="80" customFormat="1" x14ac:dyDescent="0.2">
      <c r="A98" s="654" t="s">
        <v>1255</v>
      </c>
      <c r="B98" s="599"/>
      <c r="C98" s="600"/>
      <c r="D98" s="601"/>
      <c r="E98" s="77">
        <f>E48+++E53++E58+E63+E68+E73+E78+E83+E88+E93</f>
        <v>2384800</v>
      </c>
      <c r="F98" s="77">
        <f t="shared" ref="F98:R98" si="33">F48+++F53++F58+F63+F68+F73+F78+F83+F88+F93</f>
        <v>2187900</v>
      </c>
      <c r="G98" s="77">
        <f t="shared" si="33"/>
        <v>2793300</v>
      </c>
      <c r="H98" s="79">
        <f t="shared" si="33"/>
        <v>2958000</v>
      </c>
      <c r="I98" s="79">
        <f t="shared" si="33"/>
        <v>3095600</v>
      </c>
      <c r="J98" s="79">
        <f t="shared" si="33"/>
        <v>3134000</v>
      </c>
      <c r="K98" s="79">
        <f t="shared" si="33"/>
        <v>3280300</v>
      </c>
      <c r="L98" s="79">
        <f t="shared" si="33"/>
        <v>2453500</v>
      </c>
      <c r="M98" s="79">
        <f t="shared" si="33"/>
        <v>2654100</v>
      </c>
      <c r="N98" s="79">
        <f t="shared" si="33"/>
        <v>2844100</v>
      </c>
      <c r="O98" s="79">
        <f t="shared" si="33"/>
        <v>3037000</v>
      </c>
      <c r="P98" s="79">
        <f t="shared" si="33"/>
        <v>3235000</v>
      </c>
      <c r="Q98" s="31">
        <f t="shared" si="33"/>
        <v>3430000</v>
      </c>
      <c r="R98" s="582">
        <f t="shared" si="33"/>
        <v>3627000</v>
      </c>
      <c r="S98" s="582">
        <f t="shared" ref="S98" si="34">S48+++S53++S58+S63+S68+S73+S78+S83+S88+S93</f>
        <v>3825000</v>
      </c>
      <c r="T98" s="78">
        <f>SUM(E98:P98)</f>
        <v>34057600</v>
      </c>
      <c r="AG98" s="2226"/>
      <c r="AH98" s="2226"/>
      <c r="AI98" s="2226"/>
    </row>
    <row r="99" spans="1:46" s="80" customFormat="1" x14ac:dyDescent="0.2">
      <c r="A99" s="654" t="s">
        <v>1256</v>
      </c>
      <c r="B99" s="599"/>
      <c r="C99" s="600"/>
      <c r="D99" s="601"/>
      <c r="E99" s="77">
        <f>E49++E54+E59+E64+E69+E74+E79+E84+E89+E94</f>
        <v>4766700</v>
      </c>
      <c r="F99" s="77">
        <f t="shared" ref="F99:R99" si="35">F49++F54+F59+F64+F69+F74+F79+F84+F89+F94</f>
        <v>4543300</v>
      </c>
      <c r="G99" s="77">
        <f t="shared" si="35"/>
        <v>4358200</v>
      </c>
      <c r="H99" s="79">
        <f t="shared" si="35"/>
        <v>4193500</v>
      </c>
      <c r="I99" s="79">
        <f t="shared" si="35"/>
        <v>4055900</v>
      </c>
      <c r="J99" s="79">
        <f t="shared" si="35"/>
        <v>3744300</v>
      </c>
      <c r="K99" s="79">
        <f t="shared" si="35"/>
        <v>3598000</v>
      </c>
      <c r="L99" s="79">
        <f t="shared" si="35"/>
        <v>3439800</v>
      </c>
      <c r="M99" s="79">
        <f t="shared" si="35"/>
        <v>3239200</v>
      </c>
      <c r="N99" s="79">
        <f t="shared" si="35"/>
        <v>3049200</v>
      </c>
      <c r="O99" s="79">
        <f t="shared" si="35"/>
        <v>2856300</v>
      </c>
      <c r="P99" s="79">
        <f t="shared" si="35"/>
        <v>2658300</v>
      </c>
      <c r="Q99" s="31">
        <f t="shared" si="35"/>
        <v>2463300</v>
      </c>
      <c r="R99" s="582">
        <f t="shared" si="35"/>
        <v>2266300</v>
      </c>
      <c r="S99" s="582">
        <f t="shared" ref="S99" si="36">S49++S54+S59+S64+S69+S74+S79+S84+S89+S94</f>
        <v>2068300</v>
      </c>
      <c r="T99" s="78">
        <f>SUM(E99:P99)</f>
        <v>44502700</v>
      </c>
      <c r="AG99" s="2226"/>
      <c r="AH99" s="2226"/>
      <c r="AI99" s="2226"/>
    </row>
    <row r="100" spans="1:46" s="65" customFormat="1" x14ac:dyDescent="0.2">
      <c r="A100" s="657" t="s">
        <v>1257</v>
      </c>
      <c r="B100" s="384"/>
      <c r="C100" s="1067"/>
      <c r="D100" s="1068"/>
      <c r="E100" s="107">
        <f>E50++E55+E65+E70+E75+E80+E85+E90+E95</f>
        <v>54804400</v>
      </c>
      <c r="F100" s="107">
        <f t="shared" ref="F100:R100" si="37">F50++F55+F65+F70+F75+F80+F85+F90+F95</f>
        <v>52933300</v>
      </c>
      <c r="G100" s="107">
        <f t="shared" si="37"/>
        <v>50481200</v>
      </c>
      <c r="H100" s="63">
        <f t="shared" si="37"/>
        <v>47890700</v>
      </c>
      <c r="I100" s="107">
        <f t="shared" si="37"/>
        <v>45190700</v>
      </c>
      <c r="J100" s="63">
        <f t="shared" si="37"/>
        <v>53341400</v>
      </c>
      <c r="K100" s="63">
        <f t="shared" si="37"/>
        <v>50061100</v>
      </c>
      <c r="L100" s="63">
        <f t="shared" si="37"/>
        <v>47607600</v>
      </c>
      <c r="M100" s="63">
        <f t="shared" si="37"/>
        <v>44953500</v>
      </c>
      <c r="N100" s="63">
        <f t="shared" si="37"/>
        <v>42109400</v>
      </c>
      <c r="O100" s="63">
        <f t="shared" si="37"/>
        <v>39072400.060000002</v>
      </c>
      <c r="P100" s="63">
        <f t="shared" si="37"/>
        <v>35837400</v>
      </c>
      <c r="Q100" s="92">
        <f t="shared" si="37"/>
        <v>32407400</v>
      </c>
      <c r="R100" s="1062">
        <f t="shared" si="37"/>
        <v>28780400</v>
      </c>
      <c r="S100" s="1062">
        <f t="shared" ref="S100" si="38">S50++S55+S65+S70+S75+S80+S85+S90+S95</f>
        <v>24955400</v>
      </c>
      <c r="T100" s="78"/>
    </row>
    <row r="101" spans="1:46" s="65" customFormat="1" x14ac:dyDescent="0.2">
      <c r="A101" s="657"/>
      <c r="B101" s="384"/>
      <c r="C101" s="1067"/>
      <c r="D101" s="1068"/>
      <c r="E101" s="107"/>
      <c r="F101" s="107"/>
      <c r="G101" s="107"/>
      <c r="H101" s="63"/>
      <c r="I101" s="107"/>
      <c r="J101" s="63"/>
      <c r="K101" s="63"/>
      <c r="L101" s="63"/>
      <c r="M101" s="63"/>
      <c r="N101" s="63"/>
      <c r="O101" s="63"/>
      <c r="P101" s="63"/>
      <c r="Q101" s="92"/>
      <c r="R101" s="1062"/>
      <c r="S101" s="1062"/>
      <c r="T101" s="78"/>
    </row>
    <row r="102" spans="1:46" s="65" customFormat="1" x14ac:dyDescent="0.2">
      <c r="A102" s="657" t="s">
        <v>5410</v>
      </c>
      <c r="B102" s="384"/>
      <c r="C102" s="1067"/>
      <c r="D102" s="1068"/>
      <c r="E102" s="107">
        <f t="shared" ref="E102:R102" si="39">E60+E55+E50+E65</f>
        <v>67510200</v>
      </c>
      <c r="F102" s="107">
        <f t="shared" si="39"/>
        <v>65322300</v>
      </c>
      <c r="G102" s="107">
        <f t="shared" si="39"/>
        <v>62529000</v>
      </c>
      <c r="H102" s="63">
        <f t="shared" si="39"/>
        <v>59571000</v>
      </c>
      <c r="I102" s="107">
        <f t="shared" si="39"/>
        <v>56475400</v>
      </c>
      <c r="J102" s="63">
        <f t="shared" si="39"/>
        <v>53341400</v>
      </c>
      <c r="K102" s="63">
        <f t="shared" si="39"/>
        <v>50061100</v>
      </c>
      <c r="L102" s="63">
        <f t="shared" si="39"/>
        <v>47607600</v>
      </c>
      <c r="M102" s="63">
        <f t="shared" si="39"/>
        <v>44953500</v>
      </c>
      <c r="N102" s="63">
        <f t="shared" si="39"/>
        <v>42109400</v>
      </c>
      <c r="O102" s="63">
        <f t="shared" si="39"/>
        <v>39072400</v>
      </c>
      <c r="P102" s="63">
        <f t="shared" si="39"/>
        <v>35837400</v>
      </c>
      <c r="Q102" s="92">
        <f t="shared" si="39"/>
        <v>32407400</v>
      </c>
      <c r="R102" s="1062">
        <f t="shared" si="39"/>
        <v>28780400</v>
      </c>
      <c r="S102" s="1062">
        <f t="shared" ref="S102" si="40">S60+S55+S50+S65</f>
        <v>24955400</v>
      </c>
      <c r="T102" s="78"/>
    </row>
    <row r="103" spans="1:46" s="80" customFormat="1" ht="13.5" thickBot="1" x14ac:dyDescent="0.25">
      <c r="A103" s="591"/>
      <c r="B103" s="208"/>
      <c r="C103" s="208"/>
      <c r="D103" s="603"/>
      <c r="E103" s="593"/>
      <c r="F103" s="593"/>
      <c r="G103" s="593"/>
      <c r="H103" s="592"/>
      <c r="I103" s="593"/>
      <c r="J103" s="592"/>
      <c r="K103" s="592"/>
      <c r="L103" s="592"/>
      <c r="M103" s="592"/>
      <c r="N103" s="592"/>
      <c r="O103" s="592"/>
      <c r="P103" s="592"/>
      <c r="Q103" s="208"/>
      <c r="R103" s="588"/>
      <c r="S103" s="588"/>
      <c r="T103" s="594"/>
      <c r="AG103" s="2226"/>
      <c r="AH103" s="2226"/>
      <c r="AI103" s="2226"/>
    </row>
    <row r="104" spans="1:46" ht="13.5" thickTop="1" x14ac:dyDescent="0.2">
      <c r="AR104" s="1116"/>
      <c r="AT104" s="723"/>
    </row>
    <row r="113" spans="4:44" x14ac:dyDescent="0.2">
      <c r="D113" s="1116"/>
      <c r="E113" s="1116"/>
      <c r="K113" s="1116"/>
      <c r="L113" s="1116"/>
      <c r="M113" s="1116"/>
      <c r="N113" s="1116"/>
      <c r="O113" s="1116"/>
      <c r="P113" s="1116"/>
      <c r="Q113" s="1116"/>
      <c r="R113" s="1116"/>
      <c r="S113" s="1116"/>
      <c r="T113" s="1116"/>
      <c r="U113" s="1116"/>
      <c r="V113" s="1116"/>
      <c r="W113" s="1116"/>
      <c r="X113" s="1116"/>
      <c r="Y113" s="1116"/>
      <c r="Z113" s="1116"/>
      <c r="AA113" s="1116"/>
      <c r="AB113" s="1116"/>
      <c r="AC113" s="1116"/>
      <c r="AD113" s="1116"/>
      <c r="AE113" s="1116"/>
      <c r="AF113" s="1116"/>
      <c r="AG113" s="1116"/>
      <c r="AH113" s="1116"/>
      <c r="AI113" s="1116"/>
      <c r="AJ113" s="1116"/>
      <c r="AK113" s="1116"/>
      <c r="AL113" s="1116"/>
      <c r="AM113" s="1116"/>
      <c r="AN113" s="1116"/>
      <c r="AO113" s="1116"/>
      <c r="AP113" s="1116"/>
      <c r="AQ113" s="1116"/>
      <c r="AR113" s="1116"/>
    </row>
    <row r="114" spans="4:44" x14ac:dyDescent="0.2">
      <c r="D114" s="1116"/>
      <c r="E114" s="1116"/>
      <c r="K114" s="1116"/>
      <c r="L114" s="1116"/>
      <c r="M114" s="1116"/>
      <c r="N114" s="1116"/>
      <c r="O114" s="1116"/>
      <c r="P114" s="1116"/>
      <c r="Q114" s="1116"/>
      <c r="R114" s="1116"/>
      <c r="S114" s="1116"/>
      <c r="T114" s="1116"/>
      <c r="U114" s="1116"/>
      <c r="V114" s="1116"/>
      <c r="W114" s="1116"/>
      <c r="X114" s="1116"/>
      <c r="Y114" s="1116"/>
      <c r="Z114" s="1116"/>
      <c r="AA114" s="1116"/>
      <c r="AB114" s="1116"/>
      <c r="AC114" s="1116"/>
      <c r="AD114" s="1116"/>
      <c r="AE114" s="1116"/>
      <c r="AF114" s="1116"/>
      <c r="AG114" s="1116"/>
      <c r="AH114" s="1116"/>
      <c r="AI114" s="1116"/>
      <c r="AJ114" s="1116"/>
      <c r="AK114" s="1116"/>
      <c r="AL114" s="1116"/>
      <c r="AM114" s="1116"/>
      <c r="AN114" s="1116"/>
      <c r="AO114" s="1116"/>
      <c r="AP114" s="1116"/>
      <c r="AQ114" s="1116"/>
      <c r="AR114" s="1116"/>
    </row>
    <row r="115" spans="4:44" x14ac:dyDescent="0.2">
      <c r="D115" s="1116"/>
      <c r="E115" s="1116"/>
      <c r="K115" s="1116"/>
      <c r="L115" s="1116"/>
      <c r="M115" s="1116"/>
      <c r="N115" s="1116"/>
      <c r="O115" s="1116"/>
      <c r="P115" s="1116"/>
      <c r="Q115" s="1116"/>
      <c r="R115" s="1116"/>
      <c r="S115" s="1116"/>
      <c r="T115" s="1116"/>
      <c r="U115" s="1116"/>
      <c r="V115" s="1116"/>
      <c r="W115" s="1116"/>
      <c r="X115" s="1116"/>
      <c r="Y115" s="1116"/>
      <c r="Z115" s="1116"/>
      <c r="AA115" s="1116"/>
      <c r="AB115" s="1116"/>
      <c r="AC115" s="1116"/>
      <c r="AD115" s="1116"/>
      <c r="AE115" s="1116"/>
      <c r="AF115" s="1116"/>
      <c r="AG115" s="1116"/>
      <c r="AH115" s="1116"/>
      <c r="AI115" s="1116"/>
      <c r="AJ115" s="1116"/>
      <c r="AK115" s="1116"/>
      <c r="AL115" s="1116"/>
      <c r="AM115" s="1116"/>
      <c r="AN115" s="1116"/>
      <c r="AO115" s="1116"/>
      <c r="AP115" s="1116"/>
      <c r="AQ115" s="1116"/>
      <c r="AR115" s="1116"/>
    </row>
    <row r="116" spans="4:44" x14ac:dyDescent="0.2">
      <c r="D116" s="1116"/>
      <c r="E116" s="1116"/>
      <c r="K116" s="1116"/>
      <c r="L116" s="1116"/>
      <c r="M116" s="1116"/>
      <c r="N116" s="1116"/>
      <c r="O116" s="1116"/>
      <c r="P116" s="1116"/>
      <c r="Q116" s="1116"/>
      <c r="R116" s="1116"/>
      <c r="S116" s="1116"/>
      <c r="T116" s="1116"/>
      <c r="U116" s="1116"/>
      <c r="V116" s="1116"/>
      <c r="W116" s="1116"/>
      <c r="X116" s="1116"/>
      <c r="Y116" s="1116"/>
      <c r="Z116" s="1116"/>
      <c r="AA116" s="1116"/>
      <c r="AB116" s="1116"/>
      <c r="AC116" s="1116"/>
      <c r="AD116" s="1116"/>
      <c r="AE116" s="1116"/>
      <c r="AF116" s="1116"/>
      <c r="AG116" s="1116"/>
      <c r="AH116" s="1116"/>
      <c r="AI116" s="1116"/>
      <c r="AJ116" s="1116"/>
      <c r="AK116" s="1116"/>
      <c r="AL116" s="1116"/>
      <c r="AM116" s="1116"/>
      <c r="AN116" s="1116"/>
      <c r="AO116" s="1116"/>
      <c r="AP116" s="1116"/>
      <c r="AQ116" s="1116"/>
      <c r="AR116" s="1116"/>
    </row>
    <row r="117" spans="4:44" x14ac:dyDescent="0.2">
      <c r="D117" s="1116"/>
      <c r="E117" s="1116"/>
      <c r="K117" s="1116"/>
      <c r="L117" s="1116"/>
      <c r="M117" s="1116"/>
      <c r="N117" s="1116"/>
      <c r="O117" s="1116"/>
      <c r="P117" s="1116"/>
      <c r="Q117" s="1116"/>
      <c r="R117" s="1116"/>
      <c r="S117" s="1116"/>
      <c r="T117" s="1116"/>
      <c r="U117" s="1116"/>
      <c r="V117" s="1116"/>
      <c r="W117" s="1116"/>
      <c r="X117" s="1116"/>
      <c r="Y117" s="1116"/>
      <c r="Z117" s="1116"/>
      <c r="AA117" s="1116"/>
      <c r="AB117" s="1116"/>
      <c r="AC117" s="1116"/>
      <c r="AD117" s="1116"/>
      <c r="AE117" s="1116"/>
      <c r="AF117" s="1116"/>
      <c r="AG117" s="1116"/>
      <c r="AH117" s="1116"/>
      <c r="AI117" s="1116"/>
      <c r="AJ117" s="1116"/>
      <c r="AK117" s="1116"/>
      <c r="AL117" s="1116"/>
      <c r="AM117" s="1116"/>
      <c r="AN117" s="1116"/>
      <c r="AO117" s="1116"/>
      <c r="AP117" s="1116"/>
      <c r="AQ117" s="1116"/>
      <c r="AR117" s="1116"/>
    </row>
    <row r="118" spans="4:44" x14ac:dyDescent="0.2">
      <c r="D118" s="1116"/>
      <c r="E118" s="1116"/>
      <c r="K118" s="1116"/>
      <c r="L118" s="1116"/>
      <c r="M118" s="1116"/>
      <c r="N118" s="1116"/>
      <c r="O118" s="1116"/>
      <c r="P118" s="1116"/>
      <c r="Q118" s="1116"/>
      <c r="R118" s="1116"/>
      <c r="S118" s="1116"/>
      <c r="T118" s="1116"/>
      <c r="U118" s="1116"/>
      <c r="V118" s="1116"/>
      <c r="W118" s="1116"/>
      <c r="X118" s="1116"/>
      <c r="Y118" s="1116"/>
      <c r="Z118" s="1116"/>
      <c r="AA118" s="1116"/>
      <c r="AB118" s="1116"/>
      <c r="AC118" s="1116"/>
      <c r="AD118" s="1116"/>
      <c r="AE118" s="1116"/>
      <c r="AF118" s="1116"/>
      <c r="AG118" s="1116"/>
      <c r="AH118" s="1116"/>
      <c r="AI118" s="1116"/>
      <c r="AJ118" s="1116"/>
      <c r="AK118" s="1116"/>
      <c r="AL118" s="1116"/>
      <c r="AM118" s="1116"/>
      <c r="AN118" s="1116"/>
      <c r="AO118" s="1116"/>
      <c r="AP118" s="1116"/>
      <c r="AQ118" s="1116"/>
      <c r="AR118" s="1116"/>
    </row>
    <row r="119" spans="4:44" x14ac:dyDescent="0.2">
      <c r="D119" s="1116"/>
      <c r="E119" s="1116"/>
      <c r="K119" s="1116"/>
      <c r="L119" s="1116"/>
      <c r="M119" s="1116"/>
      <c r="N119" s="1116"/>
      <c r="O119" s="1116"/>
      <c r="P119" s="1116"/>
      <c r="Q119" s="1116"/>
      <c r="R119" s="1116"/>
      <c r="S119" s="1116"/>
      <c r="T119" s="1116"/>
      <c r="U119" s="1116"/>
      <c r="V119" s="1116"/>
      <c r="W119" s="1116"/>
      <c r="X119" s="1116"/>
      <c r="Y119" s="1116"/>
      <c r="Z119" s="1116"/>
      <c r="AA119" s="1116"/>
      <c r="AB119" s="1116"/>
      <c r="AC119" s="1116"/>
      <c r="AD119" s="1116"/>
      <c r="AE119" s="1116"/>
      <c r="AF119" s="1116"/>
      <c r="AG119" s="1116"/>
      <c r="AH119" s="1116"/>
      <c r="AI119" s="1116"/>
      <c r="AJ119" s="1116"/>
      <c r="AK119" s="1116"/>
      <c r="AL119" s="1116"/>
      <c r="AM119" s="1116"/>
      <c r="AN119" s="1116"/>
      <c r="AO119" s="1116"/>
      <c r="AP119" s="1116"/>
      <c r="AQ119" s="1116"/>
      <c r="AR119" s="1116"/>
    </row>
    <row r="120" spans="4:44" x14ac:dyDescent="0.2">
      <c r="D120" s="1116"/>
      <c r="E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6"/>
      <c r="AL120" s="1116"/>
      <c r="AM120" s="1116"/>
      <c r="AN120" s="1116"/>
      <c r="AO120" s="1116"/>
      <c r="AP120" s="1116"/>
      <c r="AQ120" s="1116"/>
      <c r="AR120" s="1116"/>
    </row>
    <row r="121" spans="4:44" x14ac:dyDescent="0.2">
      <c r="D121" s="1116"/>
      <c r="E121" s="1116"/>
      <c r="K121" s="1116"/>
      <c r="L121" s="1116"/>
      <c r="M121" s="1116"/>
      <c r="N121" s="1116"/>
      <c r="O121" s="1116"/>
      <c r="P121" s="1116"/>
      <c r="Q121" s="1116"/>
      <c r="R121" s="1116"/>
      <c r="S121" s="1116"/>
      <c r="T121" s="1116"/>
      <c r="AM121" s="1116"/>
      <c r="AN121" s="1116"/>
      <c r="AO121" s="1116"/>
      <c r="AP121" s="1116"/>
      <c r="AQ121" s="1116"/>
      <c r="AR121" s="1116"/>
    </row>
    <row r="122" spans="4:44" x14ac:dyDescent="0.2">
      <c r="D122" s="1116"/>
      <c r="E122" s="1116"/>
      <c r="G122" s="1116"/>
      <c r="H122" s="1116"/>
      <c r="I122" s="1116"/>
      <c r="J122" s="1116"/>
      <c r="K122" s="1116"/>
      <c r="L122" s="1116"/>
      <c r="M122" s="1116"/>
      <c r="N122" s="1116"/>
      <c r="O122" s="1116"/>
      <c r="P122" s="1116"/>
      <c r="Q122" s="1116"/>
      <c r="R122" s="1116"/>
      <c r="S122" s="1116"/>
      <c r="T122" s="1116"/>
    </row>
    <row r="123" spans="4:44" x14ac:dyDescent="0.2">
      <c r="D123" s="1116"/>
      <c r="E123" s="1116"/>
      <c r="G123" s="1116"/>
      <c r="H123" s="1116"/>
      <c r="I123" s="1116"/>
      <c r="J123" s="1116"/>
      <c r="K123" s="1116"/>
      <c r="L123" s="1116"/>
      <c r="M123" s="1116"/>
      <c r="N123" s="1116"/>
      <c r="O123" s="1116"/>
      <c r="P123" s="1116"/>
      <c r="Q123" s="1116"/>
      <c r="R123" s="1116"/>
      <c r="S123" s="1116"/>
      <c r="T123" s="1116"/>
    </row>
    <row r="124" spans="4:44" x14ac:dyDescent="0.2">
      <c r="D124" s="1116"/>
      <c r="E124" s="1116"/>
      <c r="G124" s="1116"/>
      <c r="H124" s="1116"/>
      <c r="I124" s="1116"/>
      <c r="J124" s="1116"/>
      <c r="K124" s="1116"/>
      <c r="L124" s="1116"/>
      <c r="M124" s="1116"/>
      <c r="N124" s="1116"/>
      <c r="O124" s="1116"/>
      <c r="P124" s="1116"/>
      <c r="Q124" s="1116"/>
      <c r="R124" s="1116"/>
      <c r="S124" s="1116"/>
      <c r="T124" s="1116"/>
    </row>
    <row r="125" spans="4:44" x14ac:dyDescent="0.2">
      <c r="D125" s="1116"/>
      <c r="E125" s="1116"/>
      <c r="G125" s="1116"/>
      <c r="H125" s="1116"/>
      <c r="I125" s="1116"/>
      <c r="J125" s="1116"/>
      <c r="K125" s="1116"/>
      <c r="L125" s="1116"/>
      <c r="M125" s="1116"/>
      <c r="N125" s="1116"/>
      <c r="O125" s="1116"/>
      <c r="P125" s="1116"/>
      <c r="Q125" s="1116"/>
      <c r="R125" s="1116"/>
      <c r="S125" s="1116"/>
      <c r="T125" s="1116"/>
    </row>
    <row r="126" spans="4:44" x14ac:dyDescent="0.2">
      <c r="D126" s="1116"/>
      <c r="E126" s="1116"/>
      <c r="G126" s="1116"/>
      <c r="H126" s="1116"/>
      <c r="I126" s="1116"/>
      <c r="J126" s="1116"/>
      <c r="K126" s="1116"/>
      <c r="L126" s="1116"/>
      <c r="M126" s="1116"/>
      <c r="N126" s="1116"/>
      <c r="O126" s="1116"/>
      <c r="P126" s="1116"/>
      <c r="Q126" s="1116"/>
      <c r="R126" s="1116"/>
      <c r="S126" s="1116"/>
      <c r="T126" s="1116"/>
    </row>
    <row r="127" spans="4:44" x14ac:dyDescent="0.2">
      <c r="D127" s="1116"/>
      <c r="E127" s="1116"/>
      <c r="F127" s="1116"/>
      <c r="G127" s="1116"/>
      <c r="H127" s="1116"/>
      <c r="I127" s="1116"/>
      <c r="J127" s="1116"/>
      <c r="K127" s="1116"/>
      <c r="L127" s="1116"/>
      <c r="M127" s="1116"/>
      <c r="N127" s="1116"/>
      <c r="O127" s="1116"/>
      <c r="P127" s="1116"/>
      <c r="Q127" s="1116"/>
      <c r="R127" s="1116"/>
      <c r="S127" s="1116"/>
      <c r="T127" s="1116"/>
    </row>
    <row r="128" spans="4:44" x14ac:dyDescent="0.2">
      <c r="D128" s="1116"/>
      <c r="E128" s="1116"/>
      <c r="F128" s="1116"/>
      <c r="G128" s="1116"/>
      <c r="H128" s="1116"/>
      <c r="I128" s="1116"/>
      <c r="J128" s="1116"/>
      <c r="K128" s="1116"/>
      <c r="L128" s="1116"/>
      <c r="M128" s="1116"/>
      <c r="N128" s="1116"/>
      <c r="O128" s="1116"/>
      <c r="P128" s="1116"/>
      <c r="Q128" s="1116"/>
      <c r="R128" s="1116"/>
      <c r="S128" s="1116"/>
      <c r="T128" s="1116"/>
    </row>
    <row r="129" spans="4:20" x14ac:dyDescent="0.2">
      <c r="D129" s="1116"/>
      <c r="E129" s="1116"/>
      <c r="F129" s="1116"/>
      <c r="G129" s="1116"/>
      <c r="H129" s="1116"/>
      <c r="I129" s="1116"/>
      <c r="J129" s="1116"/>
      <c r="K129" s="1116"/>
      <c r="L129" s="1116"/>
      <c r="M129" s="1116"/>
      <c r="N129" s="1116"/>
      <c r="O129" s="1116"/>
      <c r="P129" s="1116"/>
      <c r="Q129" s="1116"/>
      <c r="R129" s="1116"/>
      <c r="S129" s="1116"/>
      <c r="T129" s="1116"/>
    </row>
    <row r="1109" spans="5:5" x14ac:dyDescent="0.2">
      <c r="E1109" s="723" t="s">
        <v>7245</v>
      </c>
    </row>
  </sheetData>
  <mergeCells count="18">
    <mergeCell ref="P4:Q4"/>
    <mergeCell ref="AH4:AI4"/>
    <mergeCell ref="A2:AI2"/>
    <mergeCell ref="A27:T27"/>
    <mergeCell ref="H4:I4"/>
    <mergeCell ref="N4:O4"/>
    <mergeCell ref="L4:M4"/>
    <mergeCell ref="AF4:AG4"/>
    <mergeCell ref="AD4:AE4"/>
    <mergeCell ref="AB4:AC4"/>
    <mergeCell ref="R4:S4"/>
    <mergeCell ref="X4:Y4"/>
    <mergeCell ref="T4:U4"/>
    <mergeCell ref="Z4:AA4"/>
    <mergeCell ref="V4:W4"/>
    <mergeCell ref="J4:K4"/>
    <mergeCell ref="D4:E4"/>
    <mergeCell ref="F4:G4"/>
  </mergeCells>
  <phoneticPr fontId="9" type="noConversion"/>
  <pageMargins left="0.74803149606299213" right="0.74803149606299213" top="0.98425196850393704" bottom="0.98425196850393704" header="0.51181102362204722" footer="0.51181102362204722"/>
  <pageSetup paperSize="8" scale="34"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7030A0"/>
  </sheetPr>
  <dimension ref="A2:AG1109"/>
  <sheetViews>
    <sheetView workbookViewId="0">
      <pane xSplit="1" ySplit="3" topLeftCell="I4" activePane="bottomRight" state="frozen"/>
      <selection activeCell="E788" sqref="E788"/>
      <selection pane="topRight" activeCell="E788" sqref="E788"/>
      <selection pane="bottomLeft" activeCell="E788" sqref="E788"/>
      <selection pane="bottomRight" activeCell="X4" sqref="X4"/>
    </sheetView>
  </sheetViews>
  <sheetFormatPr defaultColWidth="9" defaultRowHeight="12.75" x14ac:dyDescent="0.2"/>
  <cols>
    <col min="1" max="1" width="48" style="246" customWidth="1"/>
    <col min="2" max="2" width="11.42578125" style="246" customWidth="1"/>
    <col min="3" max="3" width="10.140625" style="246" bestFit="1" customWidth="1"/>
    <col min="4" max="4" width="10.28515625" style="246" customWidth="1"/>
    <col min="5" max="5" width="10.85546875" style="246" customWidth="1"/>
    <col min="6" max="6" width="10" style="246" customWidth="1"/>
    <col min="7" max="7" width="10.28515625" style="246" bestFit="1" customWidth="1"/>
    <col min="8" max="8" width="11.42578125" style="246" customWidth="1"/>
    <col min="9" max="9" width="10.5703125" style="246" customWidth="1"/>
    <col min="10" max="11" width="10.140625" style="246" customWidth="1"/>
    <col min="12" max="12" width="10.28515625" style="246" bestFit="1" customWidth="1"/>
    <col min="13" max="16" width="11.5703125" style="246" bestFit="1" customWidth="1"/>
    <col min="17" max="17" width="10.7109375" style="246" customWidth="1"/>
    <col min="18" max="18" width="11.42578125" style="246" customWidth="1"/>
    <col min="19" max="19" width="10.5703125" style="246" customWidth="1"/>
    <col min="20" max="24" width="10.7109375" style="246" customWidth="1"/>
    <col min="25" max="16384" width="9" style="246"/>
  </cols>
  <sheetData>
    <row r="2" spans="1:33" s="1327" customFormat="1" ht="12" x14ac:dyDescent="0.2">
      <c r="A2" s="2009" t="s">
        <v>4661</v>
      </c>
      <c r="B2" s="2010" t="s">
        <v>1824</v>
      </c>
      <c r="C2" s="2010" t="s">
        <v>1824</v>
      </c>
      <c r="D2" s="2010" t="s">
        <v>1824</v>
      </c>
      <c r="E2" s="2010" t="s">
        <v>1824</v>
      </c>
      <c r="F2" s="2010" t="s">
        <v>1824</v>
      </c>
      <c r="G2" s="2010" t="s">
        <v>1824</v>
      </c>
      <c r="H2" s="2010" t="s">
        <v>1824</v>
      </c>
      <c r="I2" s="2010" t="s">
        <v>1824</v>
      </c>
      <c r="J2" s="2010" t="s">
        <v>1824</v>
      </c>
      <c r="K2" s="2010" t="s">
        <v>1824</v>
      </c>
      <c r="L2" s="2010" t="s">
        <v>1824</v>
      </c>
      <c r="M2" s="2010" t="s">
        <v>1824</v>
      </c>
      <c r="N2" s="2010" t="s">
        <v>972</v>
      </c>
      <c r="O2" s="2010" t="s">
        <v>972</v>
      </c>
      <c r="P2" s="2010" t="s">
        <v>972</v>
      </c>
      <c r="Q2" s="2010" t="s">
        <v>972</v>
      </c>
      <c r="R2" s="2010" t="s">
        <v>972</v>
      </c>
      <c r="S2" s="2010" t="s">
        <v>972</v>
      </c>
      <c r="T2" s="2010" t="s">
        <v>972</v>
      </c>
      <c r="U2" s="2010" t="s">
        <v>972</v>
      </c>
      <c r="V2" s="2010" t="s">
        <v>972</v>
      </c>
      <c r="W2" s="2010" t="s">
        <v>972</v>
      </c>
      <c r="X2" s="2010" t="s">
        <v>972</v>
      </c>
    </row>
    <row r="3" spans="1:33" x14ac:dyDescent="0.2">
      <c r="B3" s="1997" t="s">
        <v>1954</v>
      </c>
      <c r="C3" s="1997" t="s">
        <v>1955</v>
      </c>
      <c r="D3" s="1997" t="s">
        <v>1956</v>
      </c>
      <c r="E3" s="1997" t="s">
        <v>293</v>
      </c>
      <c r="F3" s="1997" t="s">
        <v>2856</v>
      </c>
      <c r="G3" s="1997" t="s">
        <v>222</v>
      </c>
      <c r="H3" s="1997" t="s">
        <v>1087</v>
      </c>
      <c r="I3" s="1997" t="s">
        <v>1641</v>
      </c>
      <c r="J3" s="1997" t="s">
        <v>929</v>
      </c>
      <c r="K3" s="1997" t="s">
        <v>883</v>
      </c>
      <c r="L3" s="1997" t="s">
        <v>2037</v>
      </c>
      <c r="M3" s="1997" t="s">
        <v>1587</v>
      </c>
      <c r="N3" s="1997" t="s">
        <v>2144</v>
      </c>
      <c r="O3" s="1997" t="s">
        <v>2141</v>
      </c>
      <c r="P3" s="1997" t="s">
        <v>1521</v>
      </c>
      <c r="Q3" s="1997" t="s">
        <v>1168</v>
      </c>
      <c r="R3" s="1798" t="s">
        <v>1307</v>
      </c>
      <c r="S3" s="1798" t="s">
        <v>2894</v>
      </c>
      <c r="T3" s="1798" t="s">
        <v>3461</v>
      </c>
      <c r="U3" s="1798" t="s">
        <v>4208</v>
      </c>
      <c r="V3" s="1798" t="s">
        <v>5915</v>
      </c>
      <c r="W3" s="1798" t="s">
        <v>6812</v>
      </c>
      <c r="X3" s="1798" t="s">
        <v>11918</v>
      </c>
    </row>
    <row r="5" spans="1:33" x14ac:dyDescent="0.2">
      <c r="A5" s="726" t="s">
        <v>3470</v>
      </c>
      <c r="B5" s="2011">
        <v>15493000</v>
      </c>
      <c r="C5" s="2011">
        <v>16728000</v>
      </c>
      <c r="D5" s="2011">
        <v>17230000</v>
      </c>
      <c r="E5" s="2011">
        <v>18509000</v>
      </c>
      <c r="F5" s="2011">
        <v>18482000</v>
      </c>
      <c r="G5" s="2011">
        <v>18473000</v>
      </c>
      <c r="H5" s="2011">
        <v>19024000</v>
      </c>
      <c r="I5" s="2011">
        <v>18810000</v>
      </c>
      <c r="J5" s="2011">
        <v>19711000</v>
      </c>
      <c r="K5" s="2011">
        <f>K25*1000</f>
        <v>20435100</v>
      </c>
      <c r="L5" s="2011">
        <f>L25*1000</f>
        <v>21690000</v>
      </c>
      <c r="M5" s="2011">
        <v>22308000</v>
      </c>
      <c r="N5" s="2011">
        <f t="shared" ref="N5:X5" si="0">ROUND(M5*$J$7+M5,-3)</f>
        <v>23001000</v>
      </c>
      <c r="O5" s="2011">
        <f t="shared" si="0"/>
        <v>23715000</v>
      </c>
      <c r="P5" s="2011">
        <f t="shared" si="0"/>
        <v>24452000</v>
      </c>
      <c r="Q5" s="2011">
        <f t="shared" si="0"/>
        <v>25211000</v>
      </c>
      <c r="R5" s="2011">
        <f t="shared" si="0"/>
        <v>25994000</v>
      </c>
      <c r="S5" s="2011">
        <f t="shared" si="0"/>
        <v>26801000</v>
      </c>
      <c r="T5" s="2011">
        <f t="shared" si="0"/>
        <v>27633000</v>
      </c>
      <c r="U5" s="2011">
        <f t="shared" si="0"/>
        <v>28491000</v>
      </c>
      <c r="V5" s="2011">
        <f t="shared" si="0"/>
        <v>29376000</v>
      </c>
      <c r="W5" s="2011">
        <f t="shared" si="0"/>
        <v>30288000</v>
      </c>
      <c r="X5" s="2011">
        <f t="shared" si="0"/>
        <v>31229000</v>
      </c>
    </row>
    <row r="6" spans="1:33" x14ac:dyDescent="0.2">
      <c r="A6" s="246" t="s">
        <v>695</v>
      </c>
      <c r="B6" s="379"/>
      <c r="C6" s="2012">
        <f>(C5-B5)/B5</f>
        <v>7.9713418963402824E-2</v>
      </c>
      <c r="D6" s="2012">
        <f>(D5-C5)/C5</f>
        <v>3.0009564801530369E-2</v>
      </c>
      <c r="E6" s="2012">
        <f t="shared" ref="E6:J6" si="1">(E5-D5)/D5</f>
        <v>7.4230992455020309E-2</v>
      </c>
      <c r="F6" s="2012">
        <f t="shared" si="1"/>
        <v>-1.4587497973958614E-3</v>
      </c>
      <c r="G6" s="2012">
        <f t="shared" si="1"/>
        <v>-4.8696028568336763E-4</v>
      </c>
      <c r="H6" s="2012">
        <f t="shared" si="1"/>
        <v>2.9827315541601257E-2</v>
      </c>
      <c r="I6" s="2012">
        <f t="shared" si="1"/>
        <v>-1.1248948696383515E-2</v>
      </c>
      <c r="J6" s="2012">
        <f t="shared" si="1"/>
        <v>4.7900053163211061E-2</v>
      </c>
      <c r="K6" s="2012">
        <f>(K5-J5)/J5</f>
        <v>3.6735832783724824E-2</v>
      </c>
      <c r="L6" s="2012">
        <f>(L5-K5)/K5</f>
        <v>6.1409046199920728E-2</v>
      </c>
      <c r="M6" s="2012">
        <f>(M5-L5)/L5</f>
        <v>2.8492392807745504E-2</v>
      </c>
      <c r="N6" s="2012">
        <f t="shared" ref="N6:X6" si="2">(N5-M5)/M5</f>
        <v>3.1065088757396449E-2</v>
      </c>
      <c r="O6" s="2012">
        <f t="shared" si="2"/>
        <v>3.1042128603104215E-2</v>
      </c>
      <c r="P6" s="2012">
        <f t="shared" si="2"/>
        <v>3.1077377187434113E-2</v>
      </c>
      <c r="Q6" s="2012">
        <f t="shared" si="2"/>
        <v>3.1040405692785867E-2</v>
      </c>
      <c r="R6" s="2012">
        <f t="shared" si="2"/>
        <v>3.1057871563999841E-2</v>
      </c>
      <c r="S6" s="2012">
        <f t="shared" si="2"/>
        <v>3.1045625913672385E-2</v>
      </c>
      <c r="T6" s="2012">
        <f t="shared" si="2"/>
        <v>3.1043617775456139E-2</v>
      </c>
      <c r="U6" s="2012">
        <f t="shared" si="2"/>
        <v>3.1049831722939965E-2</v>
      </c>
      <c r="V6" s="2012">
        <f t="shared" si="2"/>
        <v>3.1062440770769716E-2</v>
      </c>
      <c r="W6" s="2012">
        <f t="shared" si="2"/>
        <v>3.1045751633986929E-2</v>
      </c>
      <c r="X6" s="2012">
        <f t="shared" si="2"/>
        <v>3.1068409931325938E-2</v>
      </c>
    </row>
    <row r="7" spans="1:33" x14ac:dyDescent="0.2">
      <c r="A7" s="726" t="s">
        <v>4258</v>
      </c>
      <c r="B7" s="379"/>
      <c r="C7" s="379"/>
      <c r="D7" s="2012">
        <f>AVERAGE($C6:D6)</f>
        <v>5.4861491882466598E-2</v>
      </c>
      <c r="E7" s="2012">
        <f>AVERAGE($C6:E6)</f>
        <v>6.131799207331784E-2</v>
      </c>
      <c r="F7" s="2012">
        <f>AVERAGE($C6:F6)</f>
        <v>4.5623806605639416E-2</v>
      </c>
      <c r="G7" s="2012">
        <f>AVERAGE($C6:G6)</f>
        <v>3.6401653227374861E-2</v>
      </c>
      <c r="H7" s="2012">
        <f>AVERAGE($C6:H6)</f>
        <v>3.5305930279745927E-2</v>
      </c>
      <c r="I7" s="2012">
        <f>AVERAGE($C6:I6)</f>
        <v>2.8655233283156004E-2</v>
      </c>
      <c r="J7" s="2012">
        <f>AVERAGE($C6:J6)</f>
        <v>3.1060835768162886E-2</v>
      </c>
      <c r="K7" s="2012"/>
      <c r="L7" s="2012"/>
      <c r="M7" s="2012"/>
      <c r="N7" s="2012"/>
      <c r="O7" s="2012"/>
      <c r="P7" s="2012"/>
      <c r="Q7" s="2012"/>
      <c r="R7" s="2012"/>
      <c r="S7" s="2012"/>
      <c r="T7" s="2012"/>
      <c r="U7" s="2012"/>
      <c r="V7" s="2012"/>
      <c r="W7" s="2012"/>
      <c r="X7" s="2012"/>
    </row>
    <row r="8" spans="1:33" x14ac:dyDescent="0.2">
      <c r="B8" s="379"/>
      <c r="C8" s="379"/>
      <c r="D8" s="2012"/>
      <c r="E8" s="2012"/>
      <c r="F8" s="2012"/>
      <c r="G8" s="2012"/>
      <c r="H8" s="2012"/>
      <c r="I8" s="2012"/>
      <c r="J8" s="2012"/>
      <c r="K8" s="2012"/>
      <c r="L8" s="2012"/>
      <c r="M8" s="2012"/>
      <c r="N8" s="2012"/>
      <c r="O8" s="2012"/>
      <c r="P8" s="2012"/>
      <c r="Q8" s="2012"/>
      <c r="R8" s="2012"/>
      <c r="S8" s="2012"/>
      <c r="T8" s="2012"/>
      <c r="U8" s="2012"/>
      <c r="V8" s="2012"/>
      <c r="W8" s="2012"/>
      <c r="X8" s="2012"/>
    </row>
    <row r="10" spans="1:33" x14ac:dyDescent="0.2">
      <c r="A10" s="726" t="s">
        <v>4325</v>
      </c>
      <c r="B10" s="2011">
        <f>B5*0.8</f>
        <v>12394400</v>
      </c>
      <c r="C10" s="2011">
        <f>C5*0.8</f>
        <v>13382400</v>
      </c>
      <c r="D10" s="2011">
        <f>D5*0.8</f>
        <v>13784000</v>
      </c>
      <c r="E10" s="2011">
        <f>E5*0.8</f>
        <v>14807200</v>
      </c>
      <c r="F10" s="2011">
        <f>ROUND(F5*0.8,-2)</f>
        <v>14785600</v>
      </c>
      <c r="G10" s="2011">
        <f>ROUND(G5*0.8,-2)</f>
        <v>14778400</v>
      </c>
      <c r="H10" s="2011">
        <f>ROUND(H5*0.8,-2)</f>
        <v>15219200</v>
      </c>
      <c r="I10" s="2011">
        <f t="shared" ref="I10" si="3">ROUND(I5*0.8,-2)</f>
        <v>15048000</v>
      </c>
      <c r="J10" s="2011">
        <f>ROUND(J5*0.7494,-2)</f>
        <v>14771400</v>
      </c>
      <c r="K10" s="2011">
        <f>ROUND(K5*0.7494,-2)+139000</f>
        <v>15453100</v>
      </c>
      <c r="L10" s="2011">
        <f>L5-L11-L12</f>
        <v>16138000</v>
      </c>
      <c r="M10" s="2011">
        <f t="shared" ref="M10:V10" si="4">M5-M11-M12</f>
        <v>15939000</v>
      </c>
      <c r="N10" s="2011">
        <f t="shared" si="4"/>
        <v>16434000</v>
      </c>
      <c r="O10" s="2011">
        <f t="shared" si="4"/>
        <v>16945000</v>
      </c>
      <c r="P10" s="2011">
        <f t="shared" si="4"/>
        <v>17472000</v>
      </c>
      <c r="Q10" s="2011">
        <f t="shared" si="4"/>
        <v>18015000</v>
      </c>
      <c r="R10" s="2011">
        <f t="shared" si="4"/>
        <v>18575000</v>
      </c>
      <c r="S10" s="2011">
        <f t="shared" si="4"/>
        <v>19152000</v>
      </c>
      <c r="T10" s="2011">
        <f t="shared" si="4"/>
        <v>19746000</v>
      </c>
      <c r="U10" s="2011">
        <f t="shared" si="4"/>
        <v>20359000</v>
      </c>
      <c r="V10" s="2011">
        <f t="shared" si="4"/>
        <v>20992000</v>
      </c>
      <c r="W10" s="2011">
        <f t="shared" ref="W10:X10" si="5">W5-W11-W12</f>
        <v>21644000</v>
      </c>
      <c r="X10" s="2011">
        <f t="shared" si="5"/>
        <v>22316000</v>
      </c>
    </row>
    <row r="11" spans="1:33" x14ac:dyDescent="0.2">
      <c r="A11" s="726" t="s">
        <v>161</v>
      </c>
      <c r="B11" s="2011">
        <f>B5*0.1</f>
        <v>1549300</v>
      </c>
      <c r="C11" s="2011">
        <f>C5*0.1</f>
        <v>1672800</v>
      </c>
      <c r="D11" s="2011">
        <f>D5*0.1</f>
        <v>1723000</v>
      </c>
      <c r="E11" s="2011">
        <f>E5*0.1</f>
        <v>1850900</v>
      </c>
      <c r="F11" s="2011">
        <f>ROUND(F5*0.1,-2)</f>
        <v>1848200</v>
      </c>
      <c r="G11" s="2011">
        <f>ROUND(G5*0.1,-2)</f>
        <v>1847300</v>
      </c>
      <c r="H11" s="2011">
        <f>ROUND(H5*0.1,-2)</f>
        <v>1902400</v>
      </c>
      <c r="I11" s="2011">
        <f t="shared" ref="I11" si="6">ROUND(I5*0.1,-2)</f>
        <v>1881000</v>
      </c>
      <c r="J11" s="2011">
        <f>ROUND(J5*0.0725,-2)</f>
        <v>1429000</v>
      </c>
      <c r="K11" s="2011">
        <v>1763000</v>
      </c>
      <c r="L11" s="2011">
        <v>1876000</v>
      </c>
      <c r="M11" s="2011">
        <v>1920000</v>
      </c>
      <c r="N11" s="2011">
        <f t="shared" ref="N11:X11" si="7">ROUND(M11*N$6+M11,-3)</f>
        <v>1980000</v>
      </c>
      <c r="O11" s="2011">
        <f t="shared" si="7"/>
        <v>2041000</v>
      </c>
      <c r="P11" s="2011">
        <f t="shared" si="7"/>
        <v>2104000</v>
      </c>
      <c r="Q11" s="2011">
        <f t="shared" si="7"/>
        <v>2169000</v>
      </c>
      <c r="R11" s="2011">
        <f t="shared" si="7"/>
        <v>2236000</v>
      </c>
      <c r="S11" s="2011">
        <f t="shared" si="7"/>
        <v>2305000</v>
      </c>
      <c r="T11" s="2011">
        <f t="shared" si="7"/>
        <v>2377000</v>
      </c>
      <c r="U11" s="2011">
        <f t="shared" si="7"/>
        <v>2451000</v>
      </c>
      <c r="V11" s="2011">
        <f t="shared" si="7"/>
        <v>2527000</v>
      </c>
      <c r="W11" s="2011">
        <f t="shared" si="7"/>
        <v>2605000</v>
      </c>
      <c r="X11" s="2011">
        <f t="shared" si="7"/>
        <v>2686000</v>
      </c>
    </row>
    <row r="12" spans="1:33" x14ac:dyDescent="0.2">
      <c r="A12" s="726" t="s">
        <v>3289</v>
      </c>
      <c r="B12" s="2011">
        <f t="shared" ref="B12:H12" si="8">B5-B10-B11</f>
        <v>1549300</v>
      </c>
      <c r="C12" s="2011">
        <f t="shared" si="8"/>
        <v>1672800</v>
      </c>
      <c r="D12" s="2011">
        <f t="shared" si="8"/>
        <v>1723000</v>
      </c>
      <c r="E12" s="2011">
        <f t="shared" si="8"/>
        <v>1850900</v>
      </c>
      <c r="F12" s="2011">
        <f t="shared" si="8"/>
        <v>1848200</v>
      </c>
      <c r="G12" s="2011">
        <f t="shared" si="8"/>
        <v>1847300</v>
      </c>
      <c r="H12" s="2011">
        <f t="shared" si="8"/>
        <v>1902400</v>
      </c>
      <c r="I12" s="2011">
        <f t="shared" ref="I12:J12" si="9">I5-I10-I11</f>
        <v>1881000</v>
      </c>
      <c r="J12" s="2011">
        <f t="shared" si="9"/>
        <v>3510600</v>
      </c>
      <c r="K12" s="2011">
        <f t="shared" ref="K12" si="10">K5-K10-K11</f>
        <v>3219000</v>
      </c>
      <c r="L12" s="2011">
        <v>3676000</v>
      </c>
      <c r="M12" s="2011">
        <v>4449000</v>
      </c>
      <c r="N12" s="2011">
        <f t="shared" ref="N12:X12" si="11">ROUND(M12*N$6+M12,-3)</f>
        <v>4587000</v>
      </c>
      <c r="O12" s="2011">
        <f t="shared" si="11"/>
        <v>4729000</v>
      </c>
      <c r="P12" s="2011">
        <f t="shared" si="11"/>
        <v>4876000</v>
      </c>
      <c r="Q12" s="2011">
        <f t="shared" si="11"/>
        <v>5027000</v>
      </c>
      <c r="R12" s="2011">
        <f t="shared" si="11"/>
        <v>5183000</v>
      </c>
      <c r="S12" s="2011">
        <f t="shared" si="11"/>
        <v>5344000</v>
      </c>
      <c r="T12" s="2011">
        <f t="shared" si="11"/>
        <v>5510000</v>
      </c>
      <c r="U12" s="2011">
        <f t="shared" si="11"/>
        <v>5681000</v>
      </c>
      <c r="V12" s="2011">
        <f t="shared" si="11"/>
        <v>5857000</v>
      </c>
      <c r="W12" s="2011">
        <f t="shared" si="11"/>
        <v>6039000</v>
      </c>
      <c r="X12" s="2011">
        <f t="shared" si="11"/>
        <v>6227000</v>
      </c>
    </row>
    <row r="13" spans="1:33" x14ac:dyDescent="0.2">
      <c r="B13" s="2013"/>
      <c r="K13" s="2011"/>
    </row>
    <row r="14" spans="1:33" x14ac:dyDescent="0.2">
      <c r="A14" s="573" t="s">
        <v>4623</v>
      </c>
      <c r="B14" s="2011"/>
      <c r="C14" s="2011"/>
      <c r="D14" s="2011"/>
      <c r="E14" s="2011"/>
      <c r="F14" s="2011"/>
      <c r="G14" s="2011"/>
      <c r="H14" s="2011"/>
      <c r="I14" s="2011"/>
      <c r="J14" s="2011"/>
      <c r="K14" s="2011"/>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pans="1:33" x14ac:dyDescent="0.2">
      <c r="A15" s="726" t="s">
        <v>4624</v>
      </c>
      <c r="B15" s="34">
        <v>11652</v>
      </c>
      <c r="C15" s="34">
        <v>12843</v>
      </c>
      <c r="D15" s="34">
        <v>13169</v>
      </c>
      <c r="E15" s="34">
        <v>14190</v>
      </c>
      <c r="F15" s="34">
        <v>13451</v>
      </c>
      <c r="G15" s="34">
        <v>14096</v>
      </c>
      <c r="H15" s="34">
        <v>14552</v>
      </c>
      <c r="I15" s="34">
        <v>15045</v>
      </c>
      <c r="J15" s="34">
        <v>15457</v>
      </c>
      <c r="K15" s="34">
        <v>16293</v>
      </c>
      <c r="L15" s="34">
        <v>17023</v>
      </c>
      <c r="M15" s="34">
        <v>18057</v>
      </c>
      <c r="N15" s="34">
        <f>Summaries!F17/1000-SUM(N16:N24)</f>
        <v>18184.8</v>
      </c>
      <c r="O15" s="34">
        <f>Summaries!G17/1000-SUM(O16:O24)</f>
        <v>18779.533333333333</v>
      </c>
      <c r="P15" s="34">
        <f>Summaries!H17/1000-SUM(P16:P24)</f>
        <v>19370.711111111112</v>
      </c>
      <c r="Q15" s="34">
        <f>Summaries!I17/1000-SUM(Q16:Q24)</f>
        <v>19929.414814814816</v>
      </c>
      <c r="R15" s="34">
        <f>Summaries!J17/1000-SUM(R16:R24)</f>
        <v>20525.153086419756</v>
      </c>
      <c r="S15" s="34">
        <f>Summaries!K17/1000-SUM(S16:S24)</f>
        <v>21137.693004115226</v>
      </c>
      <c r="T15" s="34">
        <f>Summaries!L17/1000-SUM(T16:T24)</f>
        <v>21759.253635116598</v>
      </c>
      <c r="U15" s="34">
        <f>Summaries!M17/1000-SUM(U16:U24)</f>
        <v>22403.466575217193</v>
      </c>
      <c r="V15" s="34">
        <f>Summaries!N17/1000-SUM(V16:V24)</f>
        <v>23065.571071483006</v>
      </c>
      <c r="W15" s="34">
        <f>Summaries!Q17/1000-SUM(W16:W24)</f>
        <v>8228.3637606055981</v>
      </c>
      <c r="X15" s="34">
        <f>Summaries!R17/1000-SUM(X16:X24)</f>
        <v>8668.6671357686009</v>
      </c>
      <c r="Y15" s="2011"/>
      <c r="Z15" s="2011"/>
      <c r="AA15" s="2011"/>
      <c r="AB15" s="2011"/>
      <c r="AC15" s="2011"/>
      <c r="AD15" s="2011"/>
      <c r="AE15" s="2011"/>
      <c r="AF15" s="2011"/>
      <c r="AG15" s="2011"/>
    </row>
    <row r="16" spans="1:33" x14ac:dyDescent="0.2">
      <c r="A16" s="726" t="s">
        <v>4625</v>
      </c>
      <c r="B16" s="34">
        <v>2174</v>
      </c>
      <c r="C16" s="34">
        <v>2433</v>
      </c>
      <c r="D16" s="34">
        <v>2495</v>
      </c>
      <c r="E16" s="34">
        <v>2439</v>
      </c>
      <c r="F16" s="34">
        <v>2591</v>
      </c>
      <c r="G16" s="34">
        <v>2690</v>
      </c>
      <c r="H16" s="34">
        <v>2911</v>
      </c>
      <c r="I16" s="34">
        <v>3029</v>
      </c>
      <c r="J16" s="34">
        <v>2904</v>
      </c>
      <c r="K16" s="34">
        <v>3188</v>
      </c>
      <c r="L16" s="34">
        <v>3466</v>
      </c>
      <c r="M16" s="34">
        <v>3262</v>
      </c>
      <c r="N16" s="34">
        <f>(GM!H775+GM!H776+GM!H777+GM!H778+GM!H779+'W&amp;W'!H208+'W&amp;W'!H209+'W&amp;W'!H210+'W&amp;W'!H211+'W&amp;W'!H433+'W&amp;W'!H434+'W&amp;W'!H435+'W&amp;W'!H436+GM!H791+GM!H792+GM!H793+GM!H794)/1000</f>
        <v>3505.1</v>
      </c>
      <c r="O16" s="34">
        <f>(GM!J775+GM!J776+GM!J777+GM!J778+GM!J779+'W&amp;W'!J208+'W&amp;W'!J209+'W&amp;W'!J210+'W&amp;W'!J211+'W&amp;W'!J433+'W&amp;W'!J434+'W&amp;W'!J435+'W&amp;W'!J436+GM!J791+GM!J792+GM!J793+GM!J794)/1000</f>
        <v>3596.6</v>
      </c>
      <c r="P16" s="34">
        <f>(GM!K775+GM!K776+GM!K777+GM!K778+GM!K779+'W&amp;W'!K208+'W&amp;W'!K209+'W&amp;W'!K210+'W&amp;W'!K211+'W&amp;W'!K433+'W&amp;W'!K434+'W&amp;W'!K435+'W&amp;W'!K436+GM!K791+GM!K792+GM!K793+GM!K794)/1000</f>
        <v>3686.7</v>
      </c>
      <c r="Q16" s="34">
        <f>(GM!L775+GM!L776+GM!L777+GM!L778+GM!L779+'W&amp;W'!L208+'W&amp;W'!L209+'W&amp;W'!L210+'W&amp;W'!L211+'W&amp;W'!L433+'W&amp;W'!L434+'W&amp;W'!L435+'W&amp;W'!L436+GM!L791+GM!L792+GM!L793+GM!L794)/1000</f>
        <v>3779.3</v>
      </c>
      <c r="R16" s="34">
        <f>(GM!M775+GM!M776+GM!M777+GM!M778+GM!M779+'W&amp;W'!M208+'W&amp;W'!M209+'W&amp;W'!M210+'W&amp;W'!M211+'W&amp;W'!M433+'W&amp;W'!M434+'W&amp;W'!M435+'W&amp;W'!M436+GM!M791+GM!M792+GM!M793+GM!M794)/1000</f>
        <v>3874.4</v>
      </c>
      <c r="S16" s="34">
        <f>(GM!N775+GM!N776+GM!N777+GM!N778+GM!N779+'W&amp;W'!N208+'W&amp;W'!N209+'W&amp;W'!N210+'W&amp;W'!N211+'W&amp;W'!N433+'W&amp;W'!N434+'W&amp;W'!N435+'W&amp;W'!N436+GM!N791+GM!N792+GM!N793+GM!N794)/1000</f>
        <v>3972.1</v>
      </c>
      <c r="T16" s="34">
        <f>(GM!O775+GM!O776+GM!O777+GM!O778+GM!O779+'W&amp;W'!O208+'W&amp;W'!O209+'W&amp;W'!O210+'W&amp;W'!O211+'W&amp;W'!O433+'W&amp;W'!O434+'W&amp;W'!O435+'W&amp;W'!O436+GM!O791+GM!O792+GM!O793+GM!O794)/1000</f>
        <v>4072.1</v>
      </c>
      <c r="U16" s="34">
        <f>(GM!P775+GM!P776+GM!P777+GM!P778+GM!P779+'W&amp;W'!P208+'W&amp;W'!P209+'W&amp;W'!P210+'W&amp;W'!P211+'W&amp;W'!P433+'W&amp;W'!P434+'W&amp;W'!P435+'W&amp;W'!P436+GM!P791+GM!P792+GM!P793+GM!P794)/1000</f>
        <v>4174.6000000000004</v>
      </c>
      <c r="V16" s="34">
        <f>(GM!Q775+GM!Q776+GM!Q777+GM!Q778+GM!Q779+'W&amp;W'!Q208+'W&amp;W'!Q209+'W&amp;W'!Q210+'W&amp;W'!Q211+'W&amp;W'!Q433+'W&amp;W'!Q434+'W&amp;W'!Q435+'W&amp;W'!Q436+GM!Q791+GM!Q792+GM!Q793+GM!Q794)/1000</f>
        <v>4279.6000000000004</v>
      </c>
      <c r="W16" s="34">
        <f>(GM!R775+GM!R776+GM!R777+GM!R778+GM!R779+'W&amp;W'!R208+'W&amp;W'!R209+'W&amp;W'!R210+'W&amp;W'!R211+'W&amp;W'!R433+'W&amp;W'!R434+'W&amp;W'!R435+'W&amp;W'!R436+GM!R791+GM!R792+GM!R793+GM!R794)/1000</f>
        <v>4387.2</v>
      </c>
      <c r="X16" s="34">
        <f>(GM!S775+GM!S776+GM!S777+GM!S778+GM!S779+'W&amp;W'!S208+'W&amp;W'!S209+'W&amp;W'!S210+'W&amp;W'!S211+'W&amp;W'!S433+'W&amp;W'!S434+'W&amp;W'!S435+'W&amp;W'!S436+GM!S791+GM!S792+GM!S793+GM!S794)/1000</f>
        <v>4497.5</v>
      </c>
      <c r="Y16" s="2011"/>
      <c r="Z16" s="2011"/>
      <c r="AA16" s="2011"/>
      <c r="AB16" s="2011"/>
      <c r="AC16" s="2011"/>
      <c r="AD16" s="2011"/>
      <c r="AE16" s="2011"/>
      <c r="AF16" s="2011"/>
      <c r="AG16" s="2011"/>
    </row>
    <row r="17" spans="1:33" x14ac:dyDescent="0.2">
      <c r="A17" s="726" t="s">
        <v>4626</v>
      </c>
      <c r="B17" s="34">
        <v>685</v>
      </c>
      <c r="C17" s="34">
        <v>772</v>
      </c>
      <c r="D17" s="34">
        <v>806</v>
      </c>
      <c r="E17" s="34">
        <v>907</v>
      </c>
      <c r="F17" s="34">
        <v>1049</v>
      </c>
      <c r="G17" s="34">
        <v>1010</v>
      </c>
      <c r="H17" s="34">
        <v>1146</v>
      </c>
      <c r="I17" s="34">
        <v>1171</v>
      </c>
      <c r="J17" s="34">
        <v>1323</v>
      </c>
      <c r="K17" s="34">
        <v>1429</v>
      </c>
      <c r="L17" s="34">
        <v>1533</v>
      </c>
      <c r="M17" s="34">
        <v>1647</v>
      </c>
      <c r="N17" s="34">
        <f>GM!H760/1000</f>
        <v>1698</v>
      </c>
      <c r="O17" s="34">
        <f>GM!J760/1000</f>
        <v>1723</v>
      </c>
      <c r="P17" s="34">
        <f>GM!K760/1000</f>
        <v>1801</v>
      </c>
      <c r="Q17" s="34">
        <f>GM!L760/1000</f>
        <v>1883</v>
      </c>
      <c r="R17" s="34">
        <f>GM!M760/1000</f>
        <v>1969</v>
      </c>
      <c r="S17" s="34">
        <f>GM!N760/1000</f>
        <v>2059</v>
      </c>
      <c r="T17" s="34">
        <f>GM!O760/1000</f>
        <v>2153</v>
      </c>
      <c r="U17" s="34">
        <f>GM!P760/1000</f>
        <v>2251</v>
      </c>
      <c r="V17" s="34">
        <f>GM!Q760/1000</f>
        <v>2353</v>
      </c>
      <c r="W17" s="34">
        <f>GM!R760/1000</f>
        <v>2460</v>
      </c>
      <c r="X17" s="34">
        <f>GM!S760/1000</f>
        <v>2572</v>
      </c>
      <c r="Y17" s="2011"/>
      <c r="Z17" s="2011"/>
      <c r="AA17" s="2011"/>
      <c r="AB17" s="2011"/>
      <c r="AC17" s="2011"/>
      <c r="AD17" s="2011"/>
      <c r="AE17" s="2011"/>
      <c r="AF17" s="2011"/>
      <c r="AG17" s="2011"/>
    </row>
    <row r="18" spans="1:33" x14ac:dyDescent="0.2">
      <c r="A18" s="726" t="s">
        <v>4627</v>
      </c>
      <c r="B18" s="34">
        <v>270</v>
      </c>
      <c r="C18" s="34">
        <v>283</v>
      </c>
      <c r="D18" s="34">
        <v>277</v>
      </c>
      <c r="E18" s="34">
        <v>554</v>
      </c>
      <c r="F18" s="34">
        <v>1023</v>
      </c>
      <c r="G18" s="34">
        <v>1027</v>
      </c>
      <c r="H18" s="34">
        <v>828</v>
      </c>
      <c r="I18" s="34">
        <v>786</v>
      </c>
      <c r="J18" s="34">
        <v>718</v>
      </c>
      <c r="K18" s="34">
        <v>674</v>
      </c>
      <c r="L18" s="34">
        <v>625</v>
      </c>
      <c r="M18" s="34">
        <v>598</v>
      </c>
      <c r="N18" s="34">
        <f>GM!H761/1000</f>
        <v>646</v>
      </c>
      <c r="O18" s="34">
        <f>GM!J761/1000</f>
        <v>620</v>
      </c>
      <c r="P18" s="34">
        <f>GM!K761/1000</f>
        <v>595</v>
      </c>
      <c r="Q18" s="34">
        <f>GM!L761/1000</f>
        <v>571</v>
      </c>
      <c r="R18" s="34">
        <f>GM!M761/1000</f>
        <v>548</v>
      </c>
      <c r="S18" s="34">
        <f>GM!N761/1000</f>
        <v>526</v>
      </c>
      <c r="T18" s="34">
        <f>GM!O761/1000</f>
        <v>505</v>
      </c>
      <c r="U18" s="34">
        <f>GM!P761/1000</f>
        <v>485</v>
      </c>
      <c r="V18" s="34">
        <f>GM!Q761/1000</f>
        <v>466</v>
      </c>
      <c r="W18" s="34">
        <f>GM!R761/1000</f>
        <v>447</v>
      </c>
      <c r="X18" s="34">
        <f>GM!S761/1000</f>
        <v>429</v>
      </c>
      <c r="Y18" s="2011"/>
      <c r="Z18" s="2011"/>
      <c r="AA18" s="2011"/>
      <c r="AB18" s="2011"/>
      <c r="AC18" s="2011"/>
      <c r="AD18" s="2011"/>
      <c r="AE18" s="2011"/>
      <c r="AF18" s="2011"/>
      <c r="AG18" s="2011"/>
    </row>
    <row r="19" spans="1:33" x14ac:dyDescent="0.2">
      <c r="A19" s="726" t="s">
        <v>4628</v>
      </c>
      <c r="B19" s="34">
        <v>506</v>
      </c>
      <c r="C19" s="34">
        <v>382</v>
      </c>
      <c r="D19" s="34">
        <v>440</v>
      </c>
      <c r="E19" s="34">
        <v>393</v>
      </c>
      <c r="F19" s="34">
        <v>436</v>
      </c>
      <c r="G19" s="34">
        <v>653</v>
      </c>
      <c r="H19" s="34">
        <v>804</v>
      </c>
      <c r="I19" s="34">
        <v>659</v>
      </c>
      <c r="J19" s="34">
        <v>500</v>
      </c>
      <c r="K19" s="34">
        <v>480</v>
      </c>
      <c r="L19" s="34">
        <v>485</v>
      </c>
      <c r="M19" s="34">
        <v>390</v>
      </c>
      <c r="N19" s="34">
        <f>GM!H768/1000</f>
        <v>480</v>
      </c>
      <c r="O19" s="34">
        <f>GM!J768/1000</f>
        <v>492</v>
      </c>
      <c r="P19" s="34">
        <f>GM!K768/1000</f>
        <v>504.3</v>
      </c>
      <c r="Q19" s="34">
        <f>GM!L768/1000</f>
        <v>517</v>
      </c>
      <c r="R19" s="34">
        <f>GM!M768/1000</f>
        <v>530</v>
      </c>
      <c r="S19" s="34">
        <f>GM!N768/1000</f>
        <v>543.29999999999995</v>
      </c>
      <c r="T19" s="34">
        <f>GM!O768/1000</f>
        <v>556.9</v>
      </c>
      <c r="U19" s="34">
        <f>GM!P768/1000</f>
        <v>570.9</v>
      </c>
      <c r="V19" s="34">
        <f>GM!Q768/1000</f>
        <v>585.20000000000005</v>
      </c>
      <c r="W19" s="34">
        <f>GM!R768/1000</f>
        <v>599.9</v>
      </c>
      <c r="X19" s="34">
        <f>GM!S768/1000</f>
        <v>614.9</v>
      </c>
      <c r="Y19" s="2011"/>
      <c r="Z19" s="2011"/>
      <c r="AA19" s="2011"/>
      <c r="AB19" s="2011"/>
      <c r="AC19" s="2011"/>
      <c r="AD19" s="2011"/>
      <c r="AE19" s="2011"/>
      <c r="AF19" s="2011"/>
      <c r="AG19" s="2011"/>
    </row>
    <row r="20" spans="1:33" x14ac:dyDescent="0.2">
      <c r="A20" s="726" t="s">
        <v>4629</v>
      </c>
      <c r="B20" s="34">
        <v>29</v>
      </c>
      <c r="C20" s="34">
        <v>25</v>
      </c>
      <c r="D20" s="34">
        <v>20</v>
      </c>
      <c r="E20" s="34">
        <v>21</v>
      </c>
      <c r="F20" s="34">
        <v>22</v>
      </c>
      <c r="G20" s="34">
        <v>24</v>
      </c>
      <c r="H20" s="34">
        <v>5</v>
      </c>
      <c r="I20" s="34">
        <v>20</v>
      </c>
      <c r="J20" s="34">
        <v>17</v>
      </c>
      <c r="K20" s="34">
        <f>CIV!C1614/1000</f>
        <v>15.1</v>
      </c>
      <c r="L20" s="34">
        <v>16</v>
      </c>
      <c r="M20" s="34">
        <f>CIV!E1614/1000</f>
        <v>17.100000000000001</v>
      </c>
      <c r="N20" s="34">
        <f>CIV!H1614/1000</f>
        <v>20.3</v>
      </c>
      <c r="O20" s="34">
        <f>CIV!J1614/1000</f>
        <v>20</v>
      </c>
      <c r="P20" s="34">
        <f>CIV!K1614/1000</f>
        <v>20.5</v>
      </c>
      <c r="Q20" s="34">
        <f>CIV!L1614/1000</f>
        <v>21.1</v>
      </c>
      <c r="R20" s="34">
        <f>CIV!M1614/1000</f>
        <v>21.7</v>
      </c>
      <c r="S20" s="34">
        <f>CIV!N1614/1000</f>
        <v>22.3</v>
      </c>
      <c r="T20" s="34">
        <f>CIV!O1614/1000</f>
        <v>22.9</v>
      </c>
      <c r="U20" s="34">
        <f>CIV!P1614/1000</f>
        <v>23.5</v>
      </c>
      <c r="V20" s="34">
        <f>CIV!Q1614/1000</f>
        <v>24.1</v>
      </c>
      <c r="W20" s="34">
        <f>CIV!R1614/1000</f>
        <v>24.8</v>
      </c>
      <c r="X20" s="34">
        <f>CIV!S1614/1000</f>
        <v>25.5</v>
      </c>
      <c r="Y20" s="2011"/>
      <c r="Z20" s="2011"/>
      <c r="AA20" s="2011"/>
      <c r="AB20" s="2011"/>
      <c r="AC20" s="2011"/>
      <c r="AD20" s="2011"/>
      <c r="AE20" s="2011"/>
      <c r="AF20" s="2011"/>
      <c r="AG20" s="2011"/>
    </row>
    <row r="21" spans="1:33" x14ac:dyDescent="0.2">
      <c r="A21" s="726" t="s">
        <v>1779</v>
      </c>
      <c r="B21" s="34">
        <v>116</v>
      </c>
      <c r="C21" s="34">
        <v>134</v>
      </c>
      <c r="D21" s="34">
        <v>133</v>
      </c>
      <c r="E21" s="34">
        <v>158</v>
      </c>
      <c r="F21" s="34">
        <v>178</v>
      </c>
      <c r="G21" s="34">
        <v>235</v>
      </c>
      <c r="H21" s="34">
        <v>235</v>
      </c>
      <c r="I21" s="34">
        <v>242</v>
      </c>
      <c r="J21" s="34">
        <v>242</v>
      </c>
      <c r="K21" s="34">
        <v>255</v>
      </c>
      <c r="L21" s="34">
        <v>272</v>
      </c>
      <c r="M21" s="34">
        <v>286</v>
      </c>
      <c r="N21" s="34">
        <f>(CIV!H1491+'W&amp;W'!H417+'W&amp;W'!H233)/1000</f>
        <v>266.2</v>
      </c>
      <c r="O21" s="34">
        <f>(CIV!J1491+'W&amp;W'!J417+'W&amp;W'!J233)/1000</f>
        <v>272.5</v>
      </c>
      <c r="P21" s="34">
        <f>(CIV!K1491+'W&amp;W'!K417+'W&amp;W'!K233)/1000</f>
        <v>279.5</v>
      </c>
      <c r="Q21" s="34">
        <f>(CIV!L1491+'W&amp;W'!L417+'W&amp;W'!L233)/1000</f>
        <v>286.60000000000002</v>
      </c>
      <c r="R21" s="34">
        <f>(CIV!M1491+'W&amp;W'!M417+'W&amp;W'!M233)/1000</f>
        <v>293.89999999999998</v>
      </c>
      <c r="S21" s="34">
        <f>(CIV!N1491+'W&amp;W'!N417+'W&amp;W'!N233)/1000</f>
        <v>301.39999999999998</v>
      </c>
      <c r="T21" s="34">
        <f>(CIV!O1491+'W&amp;W'!O417+'W&amp;W'!O233)/1000</f>
        <v>309.10000000000002</v>
      </c>
      <c r="U21" s="34">
        <f>(CIV!P1491+'W&amp;W'!P417+'W&amp;W'!P233)/1000</f>
        <v>316.89999999999998</v>
      </c>
      <c r="V21" s="34">
        <f>(CIV!Q1491+'W&amp;W'!Q417+'W&amp;W'!Q233)/1000</f>
        <v>324.89999999999998</v>
      </c>
      <c r="W21" s="34">
        <f>(CIV!R1491+'W&amp;W'!R417+'W&amp;W'!R233)/1000</f>
        <v>333.1</v>
      </c>
      <c r="X21" s="34">
        <f>(CIV!S1491+'W&amp;W'!S417+'W&amp;W'!S233)/1000</f>
        <v>341.6</v>
      </c>
      <c r="Y21" s="2011"/>
      <c r="Z21" s="2011"/>
      <c r="AA21" s="2011"/>
      <c r="AB21" s="2011"/>
      <c r="AC21" s="2011"/>
      <c r="AD21" s="2011"/>
      <c r="AE21" s="2011"/>
      <c r="AF21" s="2011"/>
      <c r="AG21" s="2011"/>
    </row>
    <row r="22" spans="1:33" x14ac:dyDescent="0.2">
      <c r="A22" s="726" t="s">
        <v>4630</v>
      </c>
      <c r="B22" s="34">
        <v>297</v>
      </c>
      <c r="C22" s="34">
        <v>307</v>
      </c>
      <c r="D22" s="34">
        <v>318</v>
      </c>
      <c r="E22" s="34">
        <v>267</v>
      </c>
      <c r="F22" s="34">
        <v>238</v>
      </c>
      <c r="G22" s="34">
        <v>253</v>
      </c>
      <c r="H22" s="34">
        <v>240</v>
      </c>
      <c r="I22" s="34">
        <v>283</v>
      </c>
      <c r="J22" s="34">
        <v>290</v>
      </c>
      <c r="K22" s="34">
        <v>240</v>
      </c>
      <c r="L22" s="34">
        <v>315</v>
      </c>
      <c r="M22" s="34">
        <v>262</v>
      </c>
      <c r="N22" s="34">
        <f>SUM(GM!H748:H750)/1000</f>
        <v>360.4</v>
      </c>
      <c r="O22" s="34">
        <f>SUM(GM!J748:J750)/1000</f>
        <v>369</v>
      </c>
      <c r="P22" s="34">
        <f>SUM(GM!K748:K750)/1000</f>
        <v>378.3</v>
      </c>
      <c r="Q22" s="34">
        <f>SUM(GM!L748:L750)/1000</f>
        <v>387.9</v>
      </c>
      <c r="R22" s="34">
        <f>SUM(GM!M748:M750)/1000</f>
        <v>397.7</v>
      </c>
      <c r="S22" s="34">
        <f>SUM(GM!N748:N750)/1000</f>
        <v>407.7</v>
      </c>
      <c r="T22" s="34">
        <f>SUM(GM!O748:O750)/1000</f>
        <v>418</v>
      </c>
      <c r="U22" s="34">
        <f>SUM(GM!P748:P750)/1000</f>
        <v>428.5</v>
      </c>
      <c r="V22" s="34">
        <f>SUM(GM!Q748:Q750)/1000</f>
        <v>439.4</v>
      </c>
      <c r="W22" s="34">
        <f>SUM(GM!R748:R750)/1000</f>
        <v>450.5</v>
      </c>
      <c r="X22" s="34">
        <f>SUM(GM!S748:S750)/1000</f>
        <v>461.9</v>
      </c>
      <c r="Y22" s="2011"/>
      <c r="Z22" s="2011"/>
      <c r="AA22" s="2011"/>
      <c r="AB22" s="2011"/>
      <c r="AC22" s="2011"/>
      <c r="AD22" s="2011"/>
      <c r="AE22" s="2011"/>
      <c r="AF22" s="2011"/>
      <c r="AG22" s="2011"/>
    </row>
    <row r="23" spans="1:33" x14ac:dyDescent="0.2">
      <c r="A23" s="726" t="s">
        <v>1739</v>
      </c>
      <c r="B23" s="34">
        <v>167</v>
      </c>
      <c r="C23" s="34">
        <v>109</v>
      </c>
      <c r="D23" s="34">
        <v>103</v>
      </c>
      <c r="E23" s="34">
        <f>104+9</f>
        <v>113</v>
      </c>
      <c r="F23" s="34">
        <v>180</v>
      </c>
      <c r="G23" s="34">
        <v>28</v>
      </c>
      <c r="H23" s="34">
        <v>23</v>
      </c>
      <c r="I23" s="34">
        <v>46</v>
      </c>
      <c r="J23" s="34">
        <v>62</v>
      </c>
      <c r="K23" s="34">
        <v>70</v>
      </c>
      <c r="L23" s="34">
        <v>78</v>
      </c>
      <c r="M23" s="34">
        <v>78</v>
      </c>
      <c r="N23" s="34">
        <f>(GM!H758+GM!H757+GM!H756+GM!H751)/1000</f>
        <v>47.2</v>
      </c>
      <c r="O23" s="34">
        <f>(GM!J758+GM!J757+GM!J756+GM!J751)/1000</f>
        <v>48.7</v>
      </c>
      <c r="P23" s="34">
        <f>(GM!K758+GM!K757+GM!K756+GM!K751)/1000</f>
        <v>50.1</v>
      </c>
      <c r="Q23" s="34">
        <f>(GM!L758+GM!L757+GM!L756+GM!L751)/1000</f>
        <v>51.5</v>
      </c>
      <c r="R23" s="34">
        <f>(GM!M758+GM!M757+GM!M756+GM!M751)/1000</f>
        <v>52.9</v>
      </c>
      <c r="S23" s="34">
        <f>(GM!N758+GM!N757+GM!N756+GM!N751)/1000</f>
        <v>54.4</v>
      </c>
      <c r="T23" s="34">
        <f>(GM!O758+GM!O757+GM!O756+GM!O751)/1000</f>
        <v>55.9</v>
      </c>
      <c r="U23" s="34">
        <f>(GM!P758+GM!P757+GM!P756+GM!P751)/1000</f>
        <v>57.4</v>
      </c>
      <c r="V23" s="34">
        <f>(GM!Q758+GM!Q757+GM!Q756+GM!Q751)/1000</f>
        <v>59</v>
      </c>
      <c r="W23" s="34">
        <f>(GM!R758+GM!R757+GM!R756+GM!R751)/1000</f>
        <v>60.6</v>
      </c>
      <c r="X23" s="34">
        <f>(GM!S758+GM!S757+GM!S756+GM!S751)/1000</f>
        <v>62.4</v>
      </c>
      <c r="Y23" s="2011"/>
      <c r="Z23" s="2011"/>
      <c r="AA23" s="2011"/>
      <c r="AB23" s="2011"/>
      <c r="AC23" s="2011"/>
      <c r="AD23" s="2011"/>
      <c r="AE23" s="2011"/>
      <c r="AF23" s="2011"/>
      <c r="AG23" s="2011"/>
    </row>
    <row r="24" spans="1:33" x14ac:dyDescent="0.2">
      <c r="A24" s="726" t="s">
        <v>4631</v>
      </c>
      <c r="B24" s="34">
        <v>-403</v>
      </c>
      <c r="C24" s="34">
        <v>-560</v>
      </c>
      <c r="D24" s="34">
        <v>-531</v>
      </c>
      <c r="E24" s="34">
        <v>-533</v>
      </c>
      <c r="F24" s="34">
        <v>-686</v>
      </c>
      <c r="G24" s="34">
        <v>-1543</v>
      </c>
      <c r="H24" s="34">
        <v>-1720</v>
      </c>
      <c r="I24" s="34">
        <v>-2471</v>
      </c>
      <c r="J24" s="34">
        <v>-1802</v>
      </c>
      <c r="K24" s="34">
        <v>-2209</v>
      </c>
      <c r="L24" s="34">
        <v>-2123</v>
      </c>
      <c r="M24" s="34">
        <v>-2289</v>
      </c>
      <c r="N24" s="34">
        <f t="shared" ref="N24:X24" si="12">AVERAGE(K24:M24)</f>
        <v>-2207</v>
      </c>
      <c r="O24" s="34">
        <f t="shared" si="12"/>
        <v>-2206.3333333333335</v>
      </c>
      <c r="P24" s="34">
        <f t="shared" si="12"/>
        <v>-2234.1111111111113</v>
      </c>
      <c r="Q24" s="34">
        <f t="shared" si="12"/>
        <v>-2215.8148148148152</v>
      </c>
      <c r="R24" s="34">
        <f t="shared" si="12"/>
        <v>-2218.7530864197538</v>
      </c>
      <c r="S24" s="34">
        <f t="shared" si="12"/>
        <v>-2222.8930041152271</v>
      </c>
      <c r="T24" s="34">
        <f t="shared" si="12"/>
        <v>-2219.1536351165987</v>
      </c>
      <c r="U24" s="34">
        <f t="shared" si="12"/>
        <v>-2220.2665752171933</v>
      </c>
      <c r="V24" s="34">
        <f t="shared" si="12"/>
        <v>-2220.7710714830064</v>
      </c>
      <c r="W24" s="34">
        <f t="shared" si="12"/>
        <v>-2220.0637606055993</v>
      </c>
      <c r="X24" s="34">
        <f t="shared" si="12"/>
        <v>-2220.3671357685998</v>
      </c>
      <c r="Y24" s="2011"/>
      <c r="Z24" s="2011"/>
      <c r="AA24" s="2011"/>
      <c r="AB24" s="2011"/>
      <c r="AC24" s="2011"/>
      <c r="AD24" s="2011"/>
      <c r="AE24" s="2011"/>
      <c r="AF24" s="2011"/>
      <c r="AG24" s="2011"/>
    </row>
    <row r="25" spans="1:33" s="573" customFormat="1" x14ac:dyDescent="0.2">
      <c r="A25" s="573" t="s">
        <v>4632</v>
      </c>
      <c r="B25" s="65">
        <f>SUM(B14:B24)</f>
        <v>15493</v>
      </c>
      <c r="C25" s="65">
        <f t="shared" ref="C25:U25" si="13">SUM(C14:C24)</f>
        <v>16728</v>
      </c>
      <c r="D25" s="65">
        <f t="shared" si="13"/>
        <v>17230</v>
      </c>
      <c r="E25" s="65">
        <f t="shared" si="13"/>
        <v>18509</v>
      </c>
      <c r="F25" s="65">
        <f t="shared" si="13"/>
        <v>18482</v>
      </c>
      <c r="G25" s="65">
        <f t="shared" si="13"/>
        <v>18473</v>
      </c>
      <c r="H25" s="65">
        <f t="shared" si="13"/>
        <v>19024</v>
      </c>
      <c r="I25" s="65">
        <f t="shared" si="13"/>
        <v>18810</v>
      </c>
      <c r="J25" s="65">
        <f t="shared" si="13"/>
        <v>19711</v>
      </c>
      <c r="K25" s="65">
        <f t="shared" si="13"/>
        <v>20435.099999999999</v>
      </c>
      <c r="L25" s="65">
        <f t="shared" si="13"/>
        <v>21690</v>
      </c>
      <c r="M25" s="65">
        <f t="shared" si="13"/>
        <v>22308.1</v>
      </c>
      <c r="N25" s="65">
        <f t="shared" si="13"/>
        <v>23001</v>
      </c>
      <c r="O25" s="65">
        <f t="shared" si="13"/>
        <v>23715</v>
      </c>
      <c r="P25" s="65">
        <f t="shared" si="13"/>
        <v>24452</v>
      </c>
      <c r="Q25" s="65">
        <f t="shared" si="13"/>
        <v>25211</v>
      </c>
      <c r="R25" s="65">
        <f t="shared" si="13"/>
        <v>25994.000000000007</v>
      </c>
      <c r="S25" s="65">
        <f t="shared" si="13"/>
        <v>26801</v>
      </c>
      <c r="T25" s="65">
        <f t="shared" si="13"/>
        <v>27633</v>
      </c>
      <c r="U25" s="65">
        <f t="shared" si="13"/>
        <v>28491.000000000004</v>
      </c>
      <c r="V25" s="65">
        <f t="shared" ref="V25:W25" si="14">SUM(V14:V24)</f>
        <v>29376</v>
      </c>
      <c r="W25" s="65">
        <f t="shared" si="14"/>
        <v>14771.399999999996</v>
      </c>
      <c r="X25" s="65">
        <f t="shared" ref="X25" si="15">SUM(X14:X24)</f>
        <v>15453.100000000002</v>
      </c>
      <c r="Y25" s="1756"/>
      <c r="Z25" s="1756"/>
      <c r="AA25" s="1756"/>
      <c r="AB25" s="1756"/>
      <c r="AC25" s="1756"/>
      <c r="AD25" s="1756"/>
      <c r="AE25" s="1756"/>
      <c r="AF25" s="1756"/>
      <c r="AG25" s="1756"/>
    </row>
    <row r="26" spans="1:33" x14ac:dyDescent="0.2">
      <c r="B26" s="2011"/>
      <c r="C26" s="2011"/>
      <c r="D26" s="2011"/>
      <c r="E26" s="2011"/>
      <c r="F26" s="2011"/>
      <c r="G26" s="2011"/>
      <c r="H26" s="2011"/>
      <c r="I26" s="2011"/>
      <c r="J26" s="2011"/>
      <c r="K26" s="2011"/>
      <c r="L26" s="2011"/>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row>
    <row r="27" spans="1:33" s="573" customFormat="1" x14ac:dyDescent="0.2">
      <c r="A27" s="573" t="s">
        <v>2491</v>
      </c>
      <c r="B27" s="1756">
        <f t="shared" ref="B27:U27" si="16">B5/1000-B25</f>
        <v>0</v>
      </c>
      <c r="C27" s="1756">
        <f t="shared" si="16"/>
        <v>0</v>
      </c>
      <c r="D27" s="1756">
        <f t="shared" si="16"/>
        <v>0</v>
      </c>
      <c r="E27" s="1756">
        <f t="shared" si="16"/>
        <v>0</v>
      </c>
      <c r="F27" s="1756">
        <f t="shared" si="16"/>
        <v>0</v>
      </c>
      <c r="G27" s="1756">
        <f t="shared" si="16"/>
        <v>0</v>
      </c>
      <c r="H27" s="1756">
        <f t="shared" si="16"/>
        <v>0</v>
      </c>
      <c r="I27" s="1756">
        <f t="shared" si="16"/>
        <v>0</v>
      </c>
      <c r="J27" s="1756">
        <f t="shared" si="16"/>
        <v>0</v>
      </c>
      <c r="K27" s="1756">
        <f t="shared" si="16"/>
        <v>0</v>
      </c>
      <c r="L27" s="1756">
        <f t="shared" si="16"/>
        <v>0</v>
      </c>
      <c r="M27" s="1756">
        <f t="shared" si="16"/>
        <v>-9.9999999998544808E-2</v>
      </c>
      <c r="N27" s="1756">
        <f t="shared" si="16"/>
        <v>0</v>
      </c>
      <c r="O27" s="1756">
        <f t="shared" si="16"/>
        <v>0</v>
      </c>
      <c r="P27" s="1756">
        <f t="shared" si="16"/>
        <v>0</v>
      </c>
      <c r="Q27" s="1756">
        <f t="shared" si="16"/>
        <v>0</v>
      </c>
      <c r="R27" s="1756">
        <f t="shared" si="16"/>
        <v>0</v>
      </c>
      <c r="S27" s="1756">
        <f t="shared" si="16"/>
        <v>0</v>
      </c>
      <c r="T27" s="1756">
        <f t="shared" si="16"/>
        <v>0</v>
      </c>
      <c r="U27" s="1756">
        <f t="shared" si="16"/>
        <v>0</v>
      </c>
      <c r="V27" s="1756">
        <f t="shared" ref="V27:W27" si="17">V5/1000-V25</f>
        <v>0</v>
      </c>
      <c r="W27" s="1756">
        <f t="shared" si="17"/>
        <v>15516.600000000004</v>
      </c>
      <c r="X27" s="1756">
        <f t="shared" ref="X27" si="18">X5/1000-X25</f>
        <v>15775.899999999998</v>
      </c>
      <c r="Y27" s="1756"/>
      <c r="Z27" s="1756"/>
      <c r="AA27" s="1756"/>
      <c r="AB27" s="1756"/>
      <c r="AC27" s="1756"/>
      <c r="AD27" s="1756"/>
      <c r="AE27" s="1756"/>
      <c r="AF27" s="1756"/>
      <c r="AG27" s="1756"/>
    </row>
    <row r="28" spans="1:33" s="573" customFormat="1" x14ac:dyDescent="0.2">
      <c r="B28" s="1756"/>
      <c r="C28" s="1756"/>
      <c r="D28" s="1756"/>
      <c r="E28" s="1756"/>
      <c r="F28" s="1756"/>
      <c r="G28" s="1756"/>
      <c r="H28" s="1756"/>
      <c r="I28" s="1756"/>
      <c r="J28" s="1756"/>
      <c r="K28" s="1756"/>
      <c r="L28" s="1756"/>
      <c r="M28" s="1756"/>
      <c r="N28" s="1756"/>
      <c r="O28" s="1756"/>
      <c r="P28" s="1756"/>
      <c r="Q28" s="1756"/>
      <c r="R28" s="1756"/>
      <c r="S28" s="1756"/>
      <c r="T28" s="1756"/>
      <c r="U28" s="1756"/>
      <c r="V28" s="1756"/>
      <c r="W28" s="1756"/>
      <c r="X28" s="1756"/>
      <c r="Y28" s="1756"/>
      <c r="Z28" s="1756"/>
      <c r="AA28" s="1756"/>
      <c r="AB28" s="1756"/>
      <c r="AC28" s="1756"/>
      <c r="AD28" s="1756"/>
      <c r="AE28" s="1756"/>
      <c r="AF28" s="1756"/>
      <c r="AG28" s="1756"/>
    </row>
    <row r="29" spans="1:33" s="573" customFormat="1" x14ac:dyDescent="0.2">
      <c r="A29" s="573" t="s">
        <v>4641</v>
      </c>
      <c r="C29" s="34">
        <f t="shared" ref="C29:I29" si="19">C39-B39</f>
        <v>479</v>
      </c>
      <c r="D29" s="34">
        <f t="shared" si="19"/>
        <v>586</v>
      </c>
      <c r="E29" s="34">
        <f t="shared" si="19"/>
        <v>443</v>
      </c>
      <c r="F29" s="34">
        <f t="shared" si="19"/>
        <v>477</v>
      </c>
      <c r="G29" s="34">
        <f t="shared" si="19"/>
        <v>-286</v>
      </c>
      <c r="H29" s="34">
        <f t="shared" si="19"/>
        <v>103</v>
      </c>
      <c r="I29" s="34">
        <f t="shared" si="19"/>
        <v>215</v>
      </c>
      <c r="J29" s="34">
        <f>J39-I39</f>
        <v>-732</v>
      </c>
      <c r="K29" s="34">
        <f>K39-J39</f>
        <v>-115</v>
      </c>
      <c r="L29" s="34">
        <f>AVERAGE(G29:I29)</f>
        <v>10.666666666666666</v>
      </c>
      <c r="M29" s="34">
        <f>AVERAGE(K29:L29,H29:I29)</f>
        <v>53.416666666666671</v>
      </c>
      <c r="N29" s="34">
        <f>AVERAGE(K29:M29)</f>
        <v>-16.972222222222218</v>
      </c>
      <c r="O29" s="34">
        <f t="shared" ref="O29:X29" si="20">AVERAGE(L29:N29)</f>
        <v>15.703703703703709</v>
      </c>
      <c r="P29" s="34">
        <f t="shared" si="20"/>
        <v>17.382716049382722</v>
      </c>
      <c r="Q29" s="34">
        <f t="shared" si="20"/>
        <v>5.3713991769547382</v>
      </c>
      <c r="R29" s="34">
        <f t="shared" si="20"/>
        <v>12.81927297668039</v>
      </c>
      <c r="S29" s="34">
        <f t="shared" si="20"/>
        <v>11.857796067672616</v>
      </c>
      <c r="T29" s="34">
        <f t="shared" si="20"/>
        <v>10.016156073769247</v>
      </c>
      <c r="U29" s="34">
        <f t="shared" si="20"/>
        <v>11.564408372707417</v>
      </c>
      <c r="V29" s="34">
        <f t="shared" si="20"/>
        <v>11.146120171383094</v>
      </c>
      <c r="W29" s="34">
        <f t="shared" si="20"/>
        <v>10.90889487261992</v>
      </c>
      <c r="X29" s="34">
        <f t="shared" si="20"/>
        <v>11.206474472236811</v>
      </c>
      <c r="Y29" s="1756"/>
      <c r="Z29" s="1756"/>
      <c r="AA29" s="1756"/>
      <c r="AB29" s="1756"/>
      <c r="AC29" s="1756"/>
      <c r="AD29" s="1756"/>
      <c r="AE29" s="1756"/>
      <c r="AF29" s="1756"/>
      <c r="AG29" s="1756"/>
    </row>
    <row r="30" spans="1:33" s="726" customFormat="1" x14ac:dyDescent="0.2">
      <c r="A30" s="726" t="s">
        <v>4642</v>
      </c>
      <c r="C30" s="80">
        <f t="shared" ref="C30:I30" si="21">C78-B78</f>
        <v>1</v>
      </c>
      <c r="D30" s="80">
        <f t="shared" si="21"/>
        <v>64</v>
      </c>
      <c r="E30" s="80">
        <f t="shared" si="21"/>
        <v>-3</v>
      </c>
      <c r="F30" s="80">
        <f t="shared" si="21"/>
        <v>-32</v>
      </c>
      <c r="G30" s="80">
        <f t="shared" si="21"/>
        <v>116</v>
      </c>
      <c r="H30" s="80">
        <f t="shared" si="21"/>
        <v>-155</v>
      </c>
      <c r="I30" s="80">
        <f t="shared" si="21"/>
        <v>36</v>
      </c>
      <c r="J30" s="80">
        <f>J78-I78</f>
        <v>-23</v>
      </c>
      <c r="K30" s="34">
        <v>0</v>
      </c>
      <c r="L30" s="34">
        <f t="shared" ref="L30" si="22">AVERAGE(I30:K30)</f>
        <v>4.333333333333333</v>
      </c>
      <c r="M30" s="34">
        <f>AVERAGE(J30:L30)</f>
        <v>-6.2222222222222223</v>
      </c>
      <c r="N30" s="34">
        <f t="shared" ref="N30" si="23">AVERAGE(K30:M30)</f>
        <v>-0.62962962962962976</v>
      </c>
      <c r="O30" s="34">
        <f t="shared" ref="O30" si="24">AVERAGE(L30:N30)</f>
        <v>-0.83950617283950635</v>
      </c>
      <c r="P30" s="34">
        <f t="shared" ref="P30" si="25">AVERAGE(M30:O30)</f>
        <v>-2.5637860082304527</v>
      </c>
      <c r="Q30" s="34">
        <f t="shared" ref="Q30" si="26">AVERAGE(N30:P30)</f>
        <v>-1.3443072702331964</v>
      </c>
      <c r="R30" s="34">
        <f t="shared" ref="R30" si="27">AVERAGE(O30:Q30)</f>
        <v>-1.5825331504343854</v>
      </c>
      <c r="S30" s="34">
        <f t="shared" ref="S30" si="28">AVERAGE(P30:R30)</f>
        <v>-1.8302088096326781</v>
      </c>
      <c r="T30" s="34">
        <f t="shared" ref="T30" si="29">AVERAGE(Q30:S30)</f>
        <v>-1.5856830767667534</v>
      </c>
      <c r="U30" s="34">
        <f t="shared" ref="U30:X30" si="30">AVERAGE(R30:T30)</f>
        <v>-1.6661416789446057</v>
      </c>
      <c r="V30" s="34">
        <f t="shared" si="30"/>
        <v>-1.6940111884480125</v>
      </c>
      <c r="W30" s="34">
        <f t="shared" si="30"/>
        <v>-1.6486119813864573</v>
      </c>
      <c r="X30" s="34">
        <f t="shared" si="30"/>
        <v>-1.6695882829263586</v>
      </c>
      <c r="Y30" s="1994"/>
      <c r="Z30" s="1994"/>
      <c r="AA30" s="1994"/>
      <c r="AB30" s="1994"/>
      <c r="AC30" s="1994"/>
      <c r="AD30" s="1994"/>
      <c r="AE30" s="1994"/>
      <c r="AF30" s="1994"/>
      <c r="AG30" s="1994"/>
    </row>
    <row r="31" spans="1:33" s="573" customFormat="1" x14ac:dyDescent="0.2">
      <c r="A31" s="573" t="s">
        <v>4643</v>
      </c>
      <c r="C31" s="65">
        <f t="shared" ref="C31:I31" si="31">C29-C30</f>
        <v>478</v>
      </c>
      <c r="D31" s="65">
        <f t="shared" si="31"/>
        <v>522</v>
      </c>
      <c r="E31" s="65">
        <f t="shared" si="31"/>
        <v>446</v>
      </c>
      <c r="F31" s="65">
        <f t="shared" si="31"/>
        <v>509</v>
      </c>
      <c r="G31" s="65">
        <f t="shared" si="31"/>
        <v>-402</v>
      </c>
      <c r="H31" s="65">
        <f t="shared" si="31"/>
        <v>258</v>
      </c>
      <c r="I31" s="65">
        <f t="shared" si="31"/>
        <v>179</v>
      </c>
      <c r="J31" s="65">
        <f>J29-J30</f>
        <v>-709</v>
      </c>
      <c r="K31" s="34">
        <f>SUM(K29:K30)</f>
        <v>-115</v>
      </c>
      <c r="L31" s="34">
        <f t="shared" ref="L31:U31" si="32">SUM(L29:L30)</f>
        <v>15</v>
      </c>
      <c r="M31" s="34">
        <f>SUM(M29:M30)</f>
        <v>47.19444444444445</v>
      </c>
      <c r="N31" s="65">
        <f t="shared" si="32"/>
        <v>-17.601851851851848</v>
      </c>
      <c r="O31" s="65">
        <f t="shared" si="32"/>
        <v>14.864197530864203</v>
      </c>
      <c r="P31" s="65">
        <f t="shared" si="32"/>
        <v>14.818930041152269</v>
      </c>
      <c r="Q31" s="65">
        <f t="shared" si="32"/>
        <v>4.0270919067215418</v>
      </c>
      <c r="R31" s="65">
        <f t="shared" si="32"/>
        <v>11.236739826246005</v>
      </c>
      <c r="S31" s="65">
        <f t="shared" si="32"/>
        <v>10.027587258039938</v>
      </c>
      <c r="T31" s="65">
        <f t="shared" si="32"/>
        <v>8.430472997002493</v>
      </c>
      <c r="U31" s="65">
        <f t="shared" si="32"/>
        <v>9.8982666937628121</v>
      </c>
      <c r="V31" s="65">
        <f t="shared" ref="V31:W31" si="33">SUM(V29:V30)</f>
        <v>9.4521089829350817</v>
      </c>
      <c r="W31" s="65">
        <f t="shared" si="33"/>
        <v>9.2602828912334623</v>
      </c>
      <c r="X31" s="65">
        <f t="shared" ref="X31" si="34">SUM(X29:X30)</f>
        <v>9.5368861893104526</v>
      </c>
      <c r="Y31" s="1756"/>
      <c r="Z31" s="1756"/>
      <c r="AA31" s="1756"/>
      <c r="AB31" s="1756"/>
      <c r="AC31" s="1756"/>
      <c r="AD31" s="1756"/>
      <c r="AE31" s="1756"/>
      <c r="AF31" s="1756"/>
      <c r="AG31" s="1756"/>
    </row>
    <row r="32" spans="1:33" x14ac:dyDescent="0.2">
      <c r="B32" s="2011"/>
      <c r="K32" s="2011"/>
      <c r="L32" s="2011"/>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row>
    <row r="33" spans="1:33" x14ac:dyDescent="0.2">
      <c r="A33" s="573" t="s">
        <v>4640</v>
      </c>
      <c r="B33" s="2011"/>
      <c r="C33" s="2011"/>
      <c r="D33" s="2011"/>
      <c r="E33" s="2011"/>
      <c r="F33" s="2011"/>
      <c r="G33" s="2011"/>
      <c r="H33" s="2011"/>
      <c r="I33" s="2011"/>
      <c r="J33" s="2011"/>
      <c r="K33" s="2011"/>
      <c r="L33" s="2011"/>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row>
    <row r="34" spans="1:33" x14ac:dyDescent="0.2">
      <c r="B34" s="2011"/>
      <c r="C34" s="2011"/>
      <c r="D34" s="2011"/>
      <c r="E34" s="2011"/>
      <c r="F34" s="2011"/>
      <c r="G34" s="2011"/>
      <c r="H34" s="2011"/>
      <c r="I34" s="2011"/>
      <c r="J34" s="2011"/>
      <c r="K34" s="2011"/>
      <c r="L34" s="2011"/>
      <c r="M34" s="2011"/>
      <c r="N34" s="2011"/>
      <c r="O34" s="2011"/>
      <c r="P34" s="2011"/>
      <c r="Q34" s="2011"/>
      <c r="R34" s="2011"/>
      <c r="S34" s="2011"/>
      <c r="T34" s="2011"/>
      <c r="U34" s="2011"/>
      <c r="V34" s="2011"/>
      <c r="W34" s="2011"/>
      <c r="X34" s="2011"/>
      <c r="Y34" s="2011"/>
      <c r="Z34" s="2011"/>
      <c r="AA34" s="2011"/>
      <c r="AB34" s="2011"/>
      <c r="AC34" s="2011"/>
      <c r="AD34" s="2011"/>
      <c r="AE34" s="2011"/>
      <c r="AF34" s="2011"/>
      <c r="AG34" s="2011"/>
    </row>
    <row r="35" spans="1:33" s="573" customFormat="1" x14ac:dyDescent="0.2">
      <c r="A35" s="573" t="s">
        <v>4633</v>
      </c>
      <c r="B35" s="65"/>
      <c r="C35" s="65"/>
      <c r="D35" s="65"/>
      <c r="E35" s="65"/>
      <c r="F35" s="65"/>
      <c r="G35" s="65"/>
      <c r="H35" s="65"/>
      <c r="I35" s="65"/>
      <c r="J35" s="65"/>
      <c r="K35" s="65"/>
      <c r="L35" s="65"/>
      <c r="M35" s="65"/>
      <c r="N35" s="65"/>
      <c r="O35" s="65"/>
      <c r="P35" s="65"/>
      <c r="Q35" s="65"/>
      <c r="R35" s="65"/>
      <c r="S35" s="65"/>
      <c r="T35" s="65"/>
      <c r="U35" s="65"/>
      <c r="V35" s="65"/>
      <c r="W35" s="65"/>
      <c r="X35" s="65"/>
      <c r="Y35" s="1756"/>
      <c r="Z35" s="1756"/>
      <c r="AA35" s="1756"/>
      <c r="AB35" s="1756"/>
      <c r="AC35" s="1756"/>
      <c r="AD35" s="1756"/>
      <c r="AE35" s="1756"/>
      <c r="AF35" s="1756"/>
      <c r="AG35" s="1756"/>
    </row>
    <row r="36" spans="1:33" x14ac:dyDescent="0.2">
      <c r="A36" s="726" t="s">
        <v>1440</v>
      </c>
      <c r="B36" s="34">
        <v>1293</v>
      </c>
      <c r="C36" s="34">
        <v>1382</v>
      </c>
      <c r="D36" s="34">
        <v>1515</v>
      </c>
      <c r="E36" s="34">
        <v>1576</v>
      </c>
      <c r="F36" s="34">
        <v>1757</v>
      </c>
      <c r="G36" s="34">
        <v>1750</v>
      </c>
      <c r="H36" s="34">
        <v>1918</v>
      </c>
      <c r="I36" s="34">
        <v>1959</v>
      </c>
      <c r="J36" s="34">
        <v>1798</v>
      </c>
      <c r="K36" s="34">
        <v>1890</v>
      </c>
      <c r="L36" s="34">
        <v>2060</v>
      </c>
      <c r="M36" s="34">
        <v>2234</v>
      </c>
      <c r="N36" s="34"/>
      <c r="O36" s="34"/>
      <c r="P36" s="34"/>
      <c r="Q36" s="34"/>
      <c r="R36" s="34"/>
      <c r="S36" s="34"/>
      <c r="T36" s="34"/>
      <c r="U36" s="34"/>
      <c r="V36" s="34"/>
      <c r="W36" s="34"/>
      <c r="X36" s="34"/>
      <c r="Y36" s="2011"/>
      <c r="Z36" s="2011"/>
      <c r="AA36" s="2011"/>
      <c r="AB36" s="2011"/>
      <c r="AC36" s="2011"/>
      <c r="AD36" s="2011"/>
      <c r="AE36" s="2011"/>
      <c r="AF36" s="2011"/>
      <c r="AG36" s="2011"/>
    </row>
    <row r="37" spans="1:33" x14ac:dyDescent="0.2">
      <c r="A37" s="726" t="s">
        <v>745</v>
      </c>
      <c r="B37" s="34">
        <v>1943</v>
      </c>
      <c r="C37" s="34">
        <v>2095</v>
      </c>
      <c r="D37" s="34">
        <v>2221</v>
      </c>
      <c r="E37" s="34">
        <v>2305</v>
      </c>
      <c r="F37" s="34">
        <v>2439</v>
      </c>
      <c r="G37" s="34">
        <v>2129</v>
      </c>
      <c r="H37" s="34">
        <v>2272</v>
      </c>
      <c r="I37" s="34">
        <v>2335</v>
      </c>
      <c r="J37" s="34">
        <v>2283</v>
      </c>
      <c r="K37" s="34">
        <v>2104</v>
      </c>
      <c r="L37" s="34">
        <v>2233</v>
      </c>
      <c r="M37" s="34">
        <v>2265</v>
      </c>
      <c r="N37" s="34"/>
      <c r="O37" s="34"/>
      <c r="P37" s="34"/>
      <c r="Q37" s="34"/>
      <c r="R37" s="34"/>
      <c r="S37" s="34"/>
      <c r="T37" s="34"/>
      <c r="U37" s="34"/>
      <c r="V37" s="34"/>
      <c r="W37" s="34"/>
      <c r="X37" s="34"/>
      <c r="Y37" s="2011"/>
      <c r="Z37" s="2011"/>
      <c r="AA37" s="2011"/>
      <c r="AB37" s="2011"/>
      <c r="AC37" s="2011"/>
      <c r="AD37" s="2011"/>
      <c r="AE37" s="2011"/>
      <c r="AF37" s="2011"/>
      <c r="AG37" s="2011"/>
    </row>
    <row r="38" spans="1:33" x14ac:dyDescent="0.2">
      <c r="A38" s="726" t="s">
        <v>744</v>
      </c>
      <c r="B38" s="34">
        <v>2640</v>
      </c>
      <c r="C38" s="34">
        <v>2878</v>
      </c>
      <c r="D38" s="34">
        <v>3205</v>
      </c>
      <c r="E38" s="34">
        <v>3503</v>
      </c>
      <c r="F38" s="34">
        <v>3665</v>
      </c>
      <c r="G38" s="34">
        <v>3696</v>
      </c>
      <c r="H38" s="34">
        <v>3488</v>
      </c>
      <c r="I38" s="34">
        <v>3599</v>
      </c>
      <c r="J38" s="34">
        <v>3080</v>
      </c>
      <c r="K38" s="34">
        <v>3052</v>
      </c>
      <c r="L38" s="34">
        <v>3258</v>
      </c>
      <c r="M38" s="34">
        <v>3592</v>
      </c>
      <c r="N38" s="34"/>
      <c r="O38" s="34"/>
      <c r="P38" s="34"/>
      <c r="Q38" s="34"/>
      <c r="R38" s="34"/>
      <c r="S38" s="34"/>
      <c r="T38" s="34"/>
      <c r="U38" s="34"/>
      <c r="V38" s="34"/>
      <c r="W38" s="34"/>
      <c r="X38" s="34"/>
      <c r="Y38" s="2011"/>
      <c r="Z38" s="2011"/>
      <c r="AA38" s="2011"/>
      <c r="AB38" s="2011"/>
      <c r="AC38" s="2011"/>
      <c r="AD38" s="2011"/>
      <c r="AE38" s="2011"/>
      <c r="AF38" s="2011"/>
      <c r="AG38" s="2011"/>
    </row>
    <row r="39" spans="1:33" s="573" customFormat="1" x14ac:dyDescent="0.2">
      <c r="A39" s="573" t="s">
        <v>1504</v>
      </c>
      <c r="B39" s="65">
        <f t="shared" ref="B39:I39" si="35">SUM(B36:B38)</f>
        <v>5876</v>
      </c>
      <c r="C39" s="65">
        <f t="shared" si="35"/>
        <v>6355</v>
      </c>
      <c r="D39" s="65">
        <f t="shared" si="35"/>
        <v>6941</v>
      </c>
      <c r="E39" s="65">
        <f t="shared" si="35"/>
        <v>7384</v>
      </c>
      <c r="F39" s="65">
        <f t="shared" si="35"/>
        <v>7861</v>
      </c>
      <c r="G39" s="65">
        <f t="shared" si="35"/>
        <v>7575</v>
      </c>
      <c r="H39" s="65">
        <f t="shared" si="35"/>
        <v>7678</v>
      </c>
      <c r="I39" s="65">
        <f t="shared" si="35"/>
        <v>7893</v>
      </c>
      <c r="J39" s="65">
        <f>SUM(J36:J38)</f>
        <v>7161</v>
      </c>
      <c r="K39" s="65">
        <f t="shared" ref="K39:U39" si="36">SUM(K36:K38)</f>
        <v>7046</v>
      </c>
      <c r="L39" s="65">
        <f t="shared" si="36"/>
        <v>7551</v>
      </c>
      <c r="M39" s="65">
        <f t="shared" si="36"/>
        <v>8091</v>
      </c>
      <c r="N39" s="65">
        <f t="shared" si="36"/>
        <v>0</v>
      </c>
      <c r="O39" s="65">
        <f t="shared" si="36"/>
        <v>0</v>
      </c>
      <c r="P39" s="65">
        <f t="shared" si="36"/>
        <v>0</v>
      </c>
      <c r="Q39" s="65">
        <f t="shared" si="36"/>
        <v>0</v>
      </c>
      <c r="R39" s="65">
        <f t="shared" si="36"/>
        <v>0</v>
      </c>
      <c r="S39" s="65">
        <f t="shared" si="36"/>
        <v>0</v>
      </c>
      <c r="T39" s="65">
        <f t="shared" si="36"/>
        <v>0</v>
      </c>
      <c r="U39" s="65">
        <f t="shared" si="36"/>
        <v>0</v>
      </c>
      <c r="V39" s="65">
        <f t="shared" ref="V39:W39" si="37">SUM(V36:V38)</f>
        <v>0</v>
      </c>
      <c r="W39" s="65">
        <f t="shared" si="37"/>
        <v>0</v>
      </c>
      <c r="X39" s="65">
        <f t="shared" ref="X39" si="38">SUM(X36:X38)</f>
        <v>0</v>
      </c>
      <c r="Y39" s="1756"/>
      <c r="Z39" s="1756"/>
      <c r="AA39" s="1756"/>
      <c r="AB39" s="1756"/>
      <c r="AC39" s="1756"/>
      <c r="AD39" s="1756"/>
      <c r="AE39" s="1756"/>
      <c r="AF39" s="1756"/>
      <c r="AG39" s="1756"/>
    </row>
    <row r="40" spans="1:33" x14ac:dyDescent="0.2">
      <c r="B40" s="34"/>
      <c r="C40" s="34"/>
      <c r="D40" s="34"/>
      <c r="E40" s="34"/>
      <c r="F40" s="34"/>
      <c r="G40" s="34"/>
      <c r="H40" s="34"/>
      <c r="I40" s="34"/>
      <c r="J40" s="34"/>
      <c r="K40" s="34"/>
      <c r="L40" s="34"/>
      <c r="M40" s="34"/>
      <c r="N40" s="34"/>
      <c r="O40" s="34"/>
      <c r="P40" s="34"/>
      <c r="Q40" s="34"/>
      <c r="R40" s="34"/>
      <c r="S40" s="34"/>
      <c r="T40" s="34"/>
      <c r="U40" s="34"/>
      <c r="V40" s="34"/>
      <c r="W40" s="34"/>
      <c r="X40" s="34"/>
      <c r="Y40" s="2011"/>
      <c r="Z40" s="2011"/>
      <c r="AA40" s="2011"/>
      <c r="AB40" s="2011"/>
      <c r="AC40" s="2011"/>
      <c r="AD40" s="2011"/>
      <c r="AE40" s="2011"/>
      <c r="AF40" s="2011"/>
      <c r="AG40" s="2011"/>
    </row>
    <row r="41" spans="1:33" x14ac:dyDescent="0.2">
      <c r="A41" s="573" t="s">
        <v>4634</v>
      </c>
      <c r="B41" s="34"/>
      <c r="C41" s="34"/>
      <c r="D41" s="34"/>
      <c r="E41" s="34"/>
      <c r="F41" s="34"/>
      <c r="G41" s="34"/>
      <c r="H41" s="34"/>
      <c r="I41" s="34"/>
      <c r="J41" s="34"/>
      <c r="K41" s="34"/>
      <c r="L41" s="34"/>
      <c r="M41" s="34"/>
      <c r="N41" s="34"/>
      <c r="O41" s="34"/>
      <c r="P41" s="34"/>
      <c r="Q41" s="34"/>
      <c r="R41" s="34"/>
      <c r="S41" s="34"/>
      <c r="T41" s="34"/>
      <c r="U41" s="34"/>
      <c r="V41" s="34"/>
      <c r="W41" s="34"/>
      <c r="X41" s="34"/>
      <c r="Y41" s="2011"/>
      <c r="Z41" s="2011"/>
      <c r="AA41" s="2011"/>
      <c r="AB41" s="2011"/>
      <c r="AC41" s="2011"/>
      <c r="AD41" s="2011"/>
      <c r="AE41" s="2011"/>
      <c r="AF41" s="2011"/>
      <c r="AG41" s="2011"/>
    </row>
    <row r="42" spans="1:33" x14ac:dyDescent="0.2">
      <c r="A42" s="726" t="s">
        <v>1440</v>
      </c>
      <c r="B42" s="34">
        <v>0</v>
      </c>
      <c r="C42" s="34">
        <v>0</v>
      </c>
      <c r="D42" s="34">
        <v>0</v>
      </c>
      <c r="E42" s="34">
        <v>0</v>
      </c>
      <c r="F42" s="34">
        <v>0</v>
      </c>
      <c r="G42" s="34">
        <v>0</v>
      </c>
      <c r="H42" s="34">
        <v>0</v>
      </c>
      <c r="I42" s="34">
        <v>0</v>
      </c>
      <c r="J42" s="34">
        <v>0</v>
      </c>
      <c r="K42" s="34">
        <v>0</v>
      </c>
      <c r="L42" s="34">
        <v>0</v>
      </c>
      <c r="M42" s="34">
        <v>0</v>
      </c>
      <c r="N42" s="34"/>
      <c r="O42" s="34"/>
      <c r="P42" s="34"/>
      <c r="Q42" s="34"/>
      <c r="R42" s="34"/>
      <c r="S42" s="34"/>
      <c r="T42" s="34"/>
      <c r="U42" s="34"/>
      <c r="V42" s="34"/>
      <c r="W42" s="34"/>
      <c r="X42" s="34"/>
      <c r="Y42" s="2011"/>
      <c r="Z42" s="2011"/>
      <c r="AA42" s="2011"/>
      <c r="AB42" s="2011"/>
      <c r="AC42" s="2011"/>
      <c r="AD42" s="2011"/>
      <c r="AE42" s="2011"/>
      <c r="AF42" s="2011"/>
      <c r="AG42" s="2011"/>
    </row>
    <row r="43" spans="1:33" x14ac:dyDescent="0.2">
      <c r="A43" s="726" t="s">
        <v>745</v>
      </c>
      <c r="B43" s="34">
        <v>0</v>
      </c>
      <c r="C43" s="34">
        <v>0</v>
      </c>
      <c r="D43" s="34">
        <v>0</v>
      </c>
      <c r="E43" s="34">
        <v>0</v>
      </c>
      <c r="F43" s="34">
        <v>0</v>
      </c>
      <c r="G43" s="34">
        <v>0</v>
      </c>
      <c r="H43" s="34">
        <v>0</v>
      </c>
      <c r="I43" s="34">
        <v>0</v>
      </c>
      <c r="J43" s="34">
        <v>0</v>
      </c>
      <c r="K43" s="34">
        <v>0</v>
      </c>
      <c r="L43" s="34">
        <v>0</v>
      </c>
      <c r="M43" s="34">
        <v>0</v>
      </c>
      <c r="N43" s="34"/>
      <c r="O43" s="34"/>
      <c r="P43" s="34"/>
      <c r="Q43" s="34"/>
      <c r="R43" s="34"/>
      <c r="S43" s="34"/>
      <c r="T43" s="34"/>
      <c r="U43" s="34"/>
      <c r="V43" s="34"/>
      <c r="W43" s="34"/>
      <c r="X43" s="34"/>
      <c r="Y43" s="2011"/>
      <c r="Z43" s="2011"/>
      <c r="AA43" s="2011"/>
      <c r="AB43" s="2011"/>
      <c r="AC43" s="2011"/>
      <c r="AD43" s="2011"/>
      <c r="AE43" s="2011"/>
      <c r="AF43" s="2011"/>
      <c r="AG43" s="2011"/>
    </row>
    <row r="44" spans="1:33" x14ac:dyDescent="0.2">
      <c r="A44" s="726" t="s">
        <v>744</v>
      </c>
      <c r="B44" s="34">
        <v>110</v>
      </c>
      <c r="C44" s="34">
        <v>170</v>
      </c>
      <c r="D44" s="34">
        <v>115</v>
      </c>
      <c r="E44" s="34">
        <v>118</v>
      </c>
      <c r="F44" s="34">
        <v>129</v>
      </c>
      <c r="G44" s="34">
        <v>126</v>
      </c>
      <c r="H44" s="34">
        <v>143</v>
      </c>
      <c r="I44" s="34">
        <v>272</v>
      </c>
      <c r="J44" s="34">
        <v>754</v>
      </c>
      <c r="K44" s="34">
        <v>824</v>
      </c>
      <c r="L44" s="34">
        <v>770</v>
      </c>
      <c r="M44" s="34">
        <v>313</v>
      </c>
      <c r="N44" s="34"/>
      <c r="O44" s="34"/>
      <c r="P44" s="34"/>
      <c r="Q44" s="34"/>
      <c r="R44" s="34"/>
      <c r="S44" s="34"/>
      <c r="T44" s="34"/>
      <c r="U44" s="34"/>
      <c r="V44" s="34"/>
      <c r="W44" s="34"/>
      <c r="X44" s="34"/>
    </row>
    <row r="45" spans="1:33" s="573" customFormat="1" x14ac:dyDescent="0.2">
      <c r="A45" s="573" t="s">
        <v>1504</v>
      </c>
      <c r="B45" s="65">
        <f t="shared" ref="B45:I45" si="39">SUM(B42:B44)</f>
        <v>110</v>
      </c>
      <c r="C45" s="65">
        <f t="shared" si="39"/>
        <v>170</v>
      </c>
      <c r="D45" s="65">
        <f t="shared" si="39"/>
        <v>115</v>
      </c>
      <c r="E45" s="65">
        <f t="shared" si="39"/>
        <v>118</v>
      </c>
      <c r="F45" s="65">
        <f t="shared" si="39"/>
        <v>129</v>
      </c>
      <c r="G45" s="65">
        <f t="shared" si="39"/>
        <v>126</v>
      </c>
      <c r="H45" s="65">
        <f t="shared" si="39"/>
        <v>143</v>
      </c>
      <c r="I45" s="65">
        <f t="shared" si="39"/>
        <v>272</v>
      </c>
      <c r="J45" s="65">
        <f>SUM(J42:J44)</f>
        <v>754</v>
      </c>
      <c r="K45" s="65">
        <f t="shared" ref="K45:U45" si="40">SUM(K42:K44)</f>
        <v>824</v>
      </c>
      <c r="L45" s="65">
        <f t="shared" si="40"/>
        <v>770</v>
      </c>
      <c r="M45" s="65">
        <f t="shared" si="40"/>
        <v>313</v>
      </c>
      <c r="N45" s="65">
        <f t="shared" si="40"/>
        <v>0</v>
      </c>
      <c r="O45" s="65">
        <f t="shared" si="40"/>
        <v>0</v>
      </c>
      <c r="P45" s="65">
        <f t="shared" si="40"/>
        <v>0</v>
      </c>
      <c r="Q45" s="65">
        <f t="shared" si="40"/>
        <v>0</v>
      </c>
      <c r="R45" s="65">
        <f t="shared" si="40"/>
        <v>0</v>
      </c>
      <c r="S45" s="65">
        <f t="shared" si="40"/>
        <v>0</v>
      </c>
      <c r="T45" s="65">
        <f t="shared" si="40"/>
        <v>0</v>
      </c>
      <c r="U45" s="65">
        <f t="shared" si="40"/>
        <v>0</v>
      </c>
      <c r="V45" s="65">
        <f t="shared" ref="V45:W45" si="41">SUM(V42:V44)</f>
        <v>0</v>
      </c>
      <c r="W45" s="65">
        <f t="shared" si="41"/>
        <v>0</v>
      </c>
      <c r="X45" s="65">
        <f t="shared" ref="X45" si="42">SUM(X42:X44)</f>
        <v>0</v>
      </c>
    </row>
    <row r="46" spans="1:33" x14ac:dyDescent="0.2">
      <c r="B46" s="96"/>
      <c r="C46" s="34"/>
      <c r="D46" s="34"/>
      <c r="E46" s="34"/>
      <c r="F46" s="34"/>
      <c r="G46" s="34"/>
      <c r="H46" s="34"/>
      <c r="I46" s="34"/>
      <c r="J46" s="34"/>
      <c r="K46" s="34"/>
      <c r="L46" s="34"/>
      <c r="M46" s="34"/>
      <c r="N46" s="34"/>
      <c r="O46" s="34"/>
      <c r="P46" s="34"/>
      <c r="Q46" s="34"/>
      <c r="R46" s="34"/>
      <c r="S46" s="34"/>
      <c r="T46" s="34"/>
      <c r="U46" s="34"/>
      <c r="V46" s="34"/>
      <c r="W46" s="34"/>
      <c r="X46" s="34"/>
    </row>
    <row r="47" spans="1:33" x14ac:dyDescent="0.2">
      <c r="A47" s="573" t="s">
        <v>4635</v>
      </c>
      <c r="B47" s="96"/>
      <c r="C47" s="34"/>
      <c r="D47" s="34"/>
      <c r="E47" s="34"/>
      <c r="F47" s="34"/>
      <c r="G47" s="34"/>
      <c r="H47" s="34"/>
      <c r="I47" s="34"/>
      <c r="J47" s="34"/>
      <c r="K47" s="34"/>
      <c r="L47" s="34"/>
      <c r="M47" s="34"/>
      <c r="N47" s="34"/>
      <c r="O47" s="34"/>
      <c r="P47" s="34"/>
      <c r="Q47" s="34"/>
      <c r="R47" s="34"/>
      <c r="S47" s="34"/>
      <c r="T47" s="34"/>
      <c r="U47" s="34"/>
      <c r="V47" s="34"/>
      <c r="W47" s="34"/>
      <c r="X47" s="34"/>
    </row>
    <row r="48" spans="1:33" s="573" customFormat="1" x14ac:dyDescent="0.2">
      <c r="A48" s="573" t="s">
        <v>1440</v>
      </c>
      <c r="B48" s="1679"/>
      <c r="C48" s="65"/>
      <c r="D48" s="65"/>
      <c r="E48" s="65"/>
      <c r="F48" s="65"/>
      <c r="G48" s="65"/>
      <c r="H48" s="65"/>
      <c r="I48" s="65"/>
      <c r="J48" s="65"/>
      <c r="K48" s="65"/>
      <c r="L48" s="65"/>
      <c r="M48" s="65"/>
      <c r="N48" s="65"/>
      <c r="O48" s="65"/>
      <c r="P48" s="65"/>
      <c r="Q48" s="65"/>
      <c r="R48" s="65"/>
      <c r="S48" s="65"/>
      <c r="T48" s="65"/>
      <c r="U48" s="65"/>
      <c r="V48" s="65"/>
      <c r="W48" s="65"/>
      <c r="X48" s="65"/>
    </row>
    <row r="49" spans="1:24" s="573" customFormat="1" x14ac:dyDescent="0.2">
      <c r="A49" s="573" t="s">
        <v>4639</v>
      </c>
      <c r="B49" s="65">
        <v>0</v>
      </c>
      <c r="C49" s="65">
        <f t="shared" ref="C49:I49" si="43">B36+B42</f>
        <v>1293</v>
      </c>
      <c r="D49" s="65">
        <f t="shared" si="43"/>
        <v>1382</v>
      </c>
      <c r="E49" s="65">
        <f t="shared" si="43"/>
        <v>1515</v>
      </c>
      <c r="F49" s="65">
        <f t="shared" si="43"/>
        <v>1576</v>
      </c>
      <c r="G49" s="65">
        <f t="shared" si="43"/>
        <v>1757</v>
      </c>
      <c r="H49" s="65">
        <f t="shared" si="43"/>
        <v>1750</v>
      </c>
      <c r="I49" s="65">
        <f t="shared" si="43"/>
        <v>1918</v>
      </c>
      <c r="J49" s="65">
        <f>I36+I42</f>
        <v>1959</v>
      </c>
      <c r="K49" s="65">
        <f t="shared" ref="K49:X49" si="44">J36+J42</f>
        <v>1798</v>
      </c>
      <c r="L49" s="65">
        <f>K36+K42</f>
        <v>1890</v>
      </c>
      <c r="M49" s="65">
        <f>L36+L42</f>
        <v>2060</v>
      </c>
      <c r="N49" s="65">
        <f t="shared" si="44"/>
        <v>2234</v>
      </c>
      <c r="O49" s="65">
        <f t="shared" si="44"/>
        <v>0</v>
      </c>
      <c r="P49" s="65">
        <f t="shared" si="44"/>
        <v>0</v>
      </c>
      <c r="Q49" s="65">
        <f t="shared" si="44"/>
        <v>0</v>
      </c>
      <c r="R49" s="65">
        <f t="shared" si="44"/>
        <v>0</v>
      </c>
      <c r="S49" s="65">
        <f t="shared" si="44"/>
        <v>0</v>
      </c>
      <c r="T49" s="65">
        <f t="shared" si="44"/>
        <v>0</v>
      </c>
      <c r="U49" s="65">
        <f t="shared" si="44"/>
        <v>0</v>
      </c>
      <c r="V49" s="65">
        <f t="shared" si="44"/>
        <v>0</v>
      </c>
      <c r="W49" s="65">
        <f t="shared" si="44"/>
        <v>0</v>
      </c>
      <c r="X49" s="65">
        <f t="shared" si="44"/>
        <v>0</v>
      </c>
    </row>
    <row r="50" spans="1:24" s="726" customFormat="1" x14ac:dyDescent="0.2">
      <c r="A50" s="726" t="s">
        <v>4636</v>
      </c>
      <c r="B50" s="80"/>
      <c r="C50" s="80">
        <v>944</v>
      </c>
      <c r="D50" s="80">
        <v>1063</v>
      </c>
      <c r="E50" s="80">
        <v>1087</v>
      </c>
      <c r="F50" s="80">
        <v>1213</v>
      </c>
      <c r="G50" s="80">
        <v>1066</v>
      </c>
      <c r="H50" s="80">
        <v>1217</v>
      </c>
      <c r="I50" s="80">
        <v>1296</v>
      </c>
      <c r="J50" s="80">
        <v>1273</v>
      </c>
      <c r="K50" s="80">
        <v>1444</v>
      </c>
      <c r="L50" s="80">
        <v>1540</v>
      </c>
      <c r="M50" s="80">
        <v>1618</v>
      </c>
      <c r="N50" s="80"/>
      <c r="O50" s="80"/>
      <c r="P50" s="80"/>
      <c r="Q50" s="80"/>
      <c r="R50" s="80"/>
      <c r="S50" s="80"/>
      <c r="T50" s="80"/>
      <c r="U50" s="80"/>
      <c r="V50" s="80"/>
      <c r="W50" s="80"/>
      <c r="X50" s="2226"/>
    </row>
    <row r="51" spans="1:24" x14ac:dyDescent="0.2">
      <c r="A51" s="726" t="s">
        <v>4637</v>
      </c>
      <c r="B51" s="34"/>
      <c r="C51" s="34">
        <v>855</v>
      </c>
      <c r="D51" s="34">
        <v>930</v>
      </c>
      <c r="E51" s="34">
        <v>1026</v>
      </c>
      <c r="F51" s="34">
        <v>1032</v>
      </c>
      <c r="G51" s="34">
        <v>1073</v>
      </c>
      <c r="H51" s="34">
        <v>1049</v>
      </c>
      <c r="I51" s="34">
        <v>1255</v>
      </c>
      <c r="J51" s="34">
        <v>1434</v>
      </c>
      <c r="K51" s="34">
        <v>1352</v>
      </c>
      <c r="L51" s="34">
        <v>1370</v>
      </c>
      <c r="M51" s="34">
        <v>1444</v>
      </c>
      <c r="N51" s="34"/>
      <c r="O51" s="34"/>
      <c r="P51" s="34"/>
      <c r="Q51" s="34"/>
      <c r="R51" s="34"/>
      <c r="S51" s="34"/>
      <c r="T51" s="34"/>
      <c r="U51" s="34"/>
      <c r="V51" s="34"/>
      <c r="W51" s="34"/>
      <c r="X51" s="34"/>
    </row>
    <row r="52" spans="1:24" s="573" customFormat="1" x14ac:dyDescent="0.2">
      <c r="A52" s="573" t="s">
        <v>4638</v>
      </c>
      <c r="B52" s="65">
        <f t="shared" ref="B52:I52" si="45">B49+B50-B51</f>
        <v>0</v>
      </c>
      <c r="C52" s="65">
        <f t="shared" si="45"/>
        <v>1382</v>
      </c>
      <c r="D52" s="65">
        <f t="shared" si="45"/>
        <v>1515</v>
      </c>
      <c r="E52" s="65">
        <f t="shared" si="45"/>
        <v>1576</v>
      </c>
      <c r="F52" s="65">
        <f t="shared" si="45"/>
        <v>1757</v>
      </c>
      <c r="G52" s="65">
        <f t="shared" si="45"/>
        <v>1750</v>
      </c>
      <c r="H52" s="65">
        <f t="shared" si="45"/>
        <v>1918</v>
      </c>
      <c r="I52" s="65">
        <f t="shared" si="45"/>
        <v>1959</v>
      </c>
      <c r="J52" s="65">
        <f>J49+J50-J51</f>
        <v>1798</v>
      </c>
      <c r="K52" s="65">
        <f t="shared" ref="K52:U52" si="46">K49+K50-K51</f>
        <v>1890</v>
      </c>
      <c r="L52" s="65">
        <f t="shared" si="46"/>
        <v>2060</v>
      </c>
      <c r="M52" s="65">
        <f t="shared" si="46"/>
        <v>2234</v>
      </c>
      <c r="N52" s="65">
        <f t="shared" si="46"/>
        <v>2234</v>
      </c>
      <c r="O52" s="65">
        <f t="shared" si="46"/>
        <v>0</v>
      </c>
      <c r="P52" s="65">
        <f t="shared" si="46"/>
        <v>0</v>
      </c>
      <c r="Q52" s="65">
        <f t="shared" si="46"/>
        <v>0</v>
      </c>
      <c r="R52" s="65">
        <f t="shared" si="46"/>
        <v>0</v>
      </c>
      <c r="S52" s="65">
        <f t="shared" si="46"/>
        <v>0</v>
      </c>
      <c r="T52" s="65">
        <f t="shared" si="46"/>
        <v>0</v>
      </c>
      <c r="U52" s="65">
        <f t="shared" si="46"/>
        <v>0</v>
      </c>
      <c r="V52" s="65">
        <f t="shared" ref="V52:W52" si="47">V49+V50-V51</f>
        <v>0</v>
      </c>
      <c r="W52" s="65">
        <f t="shared" si="47"/>
        <v>0</v>
      </c>
      <c r="X52" s="65">
        <f t="shared" ref="X52" si="48">X49+X50-X51</f>
        <v>0</v>
      </c>
    </row>
    <row r="53" spans="1:24" s="573" customFormat="1" x14ac:dyDescent="0.2">
      <c r="A53" s="573" t="s">
        <v>6523</v>
      </c>
      <c r="B53" s="65"/>
      <c r="C53" s="65">
        <f>C52-C49</f>
        <v>89</v>
      </c>
      <c r="D53" s="65">
        <f t="shared" ref="D53:M53" si="49">D52-D49</f>
        <v>133</v>
      </c>
      <c r="E53" s="65">
        <f t="shared" si="49"/>
        <v>61</v>
      </c>
      <c r="F53" s="65">
        <f t="shared" si="49"/>
        <v>181</v>
      </c>
      <c r="G53" s="65">
        <f t="shared" si="49"/>
        <v>-7</v>
      </c>
      <c r="H53" s="65">
        <f t="shared" si="49"/>
        <v>168</v>
      </c>
      <c r="I53" s="65">
        <f t="shared" si="49"/>
        <v>41</v>
      </c>
      <c r="J53" s="65">
        <f t="shared" si="49"/>
        <v>-161</v>
      </c>
      <c r="K53" s="65">
        <f t="shared" si="49"/>
        <v>92</v>
      </c>
      <c r="L53" s="65">
        <f t="shared" si="49"/>
        <v>170</v>
      </c>
      <c r="M53" s="65">
        <f t="shared" si="49"/>
        <v>174</v>
      </c>
      <c r="N53" s="65"/>
      <c r="O53" s="65"/>
      <c r="P53" s="65"/>
      <c r="Q53" s="65"/>
      <c r="R53" s="65"/>
      <c r="S53" s="65"/>
      <c r="T53" s="65"/>
      <c r="U53" s="65"/>
      <c r="V53" s="65"/>
      <c r="W53" s="65"/>
      <c r="X53" s="65"/>
    </row>
    <row r="54" spans="1:24" x14ac:dyDescent="0.2">
      <c r="B54" s="34"/>
      <c r="C54" s="34"/>
      <c r="D54" s="34"/>
      <c r="E54" s="34"/>
      <c r="F54" s="34"/>
      <c r="G54" s="34"/>
      <c r="H54" s="34"/>
      <c r="I54" s="34"/>
      <c r="J54" s="34"/>
      <c r="K54" s="34"/>
      <c r="L54" s="34"/>
      <c r="M54" s="34"/>
      <c r="N54" s="34"/>
      <c r="O54" s="34"/>
      <c r="P54" s="34"/>
      <c r="Q54" s="34"/>
      <c r="R54" s="34"/>
      <c r="S54" s="34"/>
      <c r="T54" s="34"/>
      <c r="U54" s="34"/>
      <c r="V54" s="34"/>
      <c r="W54" s="34"/>
      <c r="X54" s="34"/>
    </row>
    <row r="55" spans="1:24" s="573" customFormat="1" x14ac:dyDescent="0.2">
      <c r="A55" s="573" t="s">
        <v>745</v>
      </c>
      <c r="B55" s="65"/>
      <c r="C55" s="65"/>
      <c r="D55" s="65"/>
      <c r="E55" s="65"/>
      <c r="F55" s="65"/>
      <c r="G55" s="65"/>
      <c r="H55" s="65"/>
      <c r="I55" s="65"/>
      <c r="J55" s="65"/>
      <c r="K55" s="65"/>
      <c r="L55" s="65"/>
      <c r="M55" s="65"/>
      <c r="N55" s="65"/>
      <c r="O55" s="65"/>
      <c r="P55" s="65"/>
      <c r="Q55" s="65"/>
      <c r="R55" s="65"/>
      <c r="S55" s="65"/>
      <c r="T55" s="65"/>
      <c r="U55" s="65"/>
      <c r="V55" s="65"/>
      <c r="W55" s="65"/>
      <c r="X55" s="65"/>
    </row>
    <row r="56" spans="1:24" s="573" customFormat="1" x14ac:dyDescent="0.2">
      <c r="A56" s="573" t="s">
        <v>4639</v>
      </c>
      <c r="B56" s="65">
        <v>0</v>
      </c>
      <c r="C56" s="65">
        <f t="shared" ref="C56:I56" si="50">B43+B37</f>
        <v>1943</v>
      </c>
      <c r="D56" s="65">
        <f t="shared" si="50"/>
        <v>2095</v>
      </c>
      <c r="E56" s="65">
        <f t="shared" si="50"/>
        <v>2221</v>
      </c>
      <c r="F56" s="65">
        <f t="shared" si="50"/>
        <v>2305</v>
      </c>
      <c r="G56" s="65">
        <f t="shared" si="50"/>
        <v>2439</v>
      </c>
      <c r="H56" s="65">
        <f t="shared" si="50"/>
        <v>2129</v>
      </c>
      <c r="I56" s="65">
        <f t="shared" si="50"/>
        <v>2272</v>
      </c>
      <c r="J56" s="65">
        <f>I43+I37</f>
        <v>2335</v>
      </c>
      <c r="K56" s="65">
        <f t="shared" ref="K56:X56" si="51">J43+J37</f>
        <v>2283</v>
      </c>
      <c r="L56" s="65">
        <f>K43+K37</f>
        <v>2104</v>
      </c>
      <c r="M56" s="65">
        <f>L43+L37</f>
        <v>2233</v>
      </c>
      <c r="N56" s="65">
        <f t="shared" si="51"/>
        <v>2265</v>
      </c>
      <c r="O56" s="65">
        <f t="shared" si="51"/>
        <v>0</v>
      </c>
      <c r="P56" s="65">
        <f t="shared" si="51"/>
        <v>0</v>
      </c>
      <c r="Q56" s="65">
        <f t="shared" si="51"/>
        <v>0</v>
      </c>
      <c r="R56" s="65">
        <f t="shared" si="51"/>
        <v>0</v>
      </c>
      <c r="S56" s="65">
        <f t="shared" si="51"/>
        <v>0</v>
      </c>
      <c r="T56" s="65">
        <f t="shared" si="51"/>
        <v>0</v>
      </c>
      <c r="U56" s="65">
        <f t="shared" si="51"/>
        <v>0</v>
      </c>
      <c r="V56" s="65">
        <f t="shared" si="51"/>
        <v>0</v>
      </c>
      <c r="W56" s="65">
        <f t="shared" si="51"/>
        <v>0</v>
      </c>
      <c r="X56" s="65">
        <f t="shared" si="51"/>
        <v>0</v>
      </c>
    </row>
    <row r="57" spans="1:24" s="726" customFormat="1" x14ac:dyDescent="0.2">
      <c r="A57" s="726" t="s">
        <v>4636</v>
      </c>
      <c r="B57" s="80"/>
      <c r="C57" s="80">
        <v>533</v>
      </c>
      <c r="D57" s="80">
        <v>623</v>
      </c>
      <c r="E57" s="80">
        <v>569</v>
      </c>
      <c r="F57" s="80">
        <v>640</v>
      </c>
      <c r="G57" s="80">
        <v>558</v>
      </c>
      <c r="H57" s="80">
        <v>506</v>
      </c>
      <c r="I57" s="80">
        <v>652</v>
      </c>
      <c r="J57" s="80">
        <v>510</v>
      </c>
      <c r="K57" s="80">
        <v>649</v>
      </c>
      <c r="L57" s="80">
        <v>751</v>
      </c>
      <c r="M57" s="80">
        <v>742</v>
      </c>
      <c r="N57" s="80"/>
      <c r="O57" s="80"/>
      <c r="P57" s="80"/>
      <c r="Q57" s="80"/>
      <c r="R57" s="80"/>
      <c r="S57" s="80"/>
      <c r="T57" s="80"/>
      <c r="U57" s="80"/>
      <c r="V57" s="80"/>
      <c r="W57" s="80"/>
      <c r="X57" s="2226"/>
    </row>
    <row r="58" spans="1:24" x14ac:dyDescent="0.2">
      <c r="A58" s="726" t="s">
        <v>4637</v>
      </c>
      <c r="B58" s="34"/>
      <c r="C58" s="34">
        <v>381</v>
      </c>
      <c r="D58" s="34">
        <v>497</v>
      </c>
      <c r="E58" s="34">
        <v>485</v>
      </c>
      <c r="F58" s="34">
        <v>506</v>
      </c>
      <c r="G58" s="34">
        <v>868</v>
      </c>
      <c r="H58" s="34">
        <v>363</v>
      </c>
      <c r="I58" s="34">
        <v>589</v>
      </c>
      <c r="J58" s="34">
        <v>562</v>
      </c>
      <c r="K58" s="34">
        <v>828</v>
      </c>
      <c r="L58" s="34">
        <v>622</v>
      </c>
      <c r="M58" s="34">
        <v>710</v>
      </c>
      <c r="N58" s="34"/>
      <c r="O58" s="34"/>
      <c r="P58" s="34"/>
      <c r="Q58" s="34"/>
      <c r="R58" s="34"/>
      <c r="S58" s="34"/>
      <c r="T58" s="34"/>
      <c r="U58" s="34"/>
      <c r="V58" s="34"/>
      <c r="W58" s="34"/>
      <c r="X58" s="34"/>
    </row>
    <row r="59" spans="1:24" x14ac:dyDescent="0.2">
      <c r="A59" s="573" t="s">
        <v>4638</v>
      </c>
      <c r="B59" s="65">
        <f t="shared" ref="B59:I59" si="52">B56+B57-B58</f>
        <v>0</v>
      </c>
      <c r="C59" s="65">
        <f t="shared" si="52"/>
        <v>2095</v>
      </c>
      <c r="D59" s="65">
        <f t="shared" si="52"/>
        <v>2221</v>
      </c>
      <c r="E59" s="65">
        <f t="shared" si="52"/>
        <v>2305</v>
      </c>
      <c r="F59" s="65">
        <f t="shared" si="52"/>
        <v>2439</v>
      </c>
      <c r="G59" s="65">
        <f t="shared" si="52"/>
        <v>2129</v>
      </c>
      <c r="H59" s="65">
        <f t="shared" si="52"/>
        <v>2272</v>
      </c>
      <c r="I59" s="65">
        <f t="shared" si="52"/>
        <v>2335</v>
      </c>
      <c r="J59" s="65">
        <f>J56+J57-J58</f>
        <v>2283</v>
      </c>
      <c r="K59" s="65">
        <f t="shared" ref="K59:U59" si="53">K56+K57-K58</f>
        <v>2104</v>
      </c>
      <c r="L59" s="65">
        <f t="shared" si="53"/>
        <v>2233</v>
      </c>
      <c r="M59" s="65">
        <f t="shared" si="53"/>
        <v>2265</v>
      </c>
      <c r="N59" s="65">
        <f t="shared" si="53"/>
        <v>2265</v>
      </c>
      <c r="O59" s="65">
        <f t="shared" si="53"/>
        <v>0</v>
      </c>
      <c r="P59" s="65">
        <f t="shared" si="53"/>
        <v>0</v>
      </c>
      <c r="Q59" s="65">
        <f t="shared" si="53"/>
        <v>0</v>
      </c>
      <c r="R59" s="65">
        <f t="shared" si="53"/>
        <v>0</v>
      </c>
      <c r="S59" s="65">
        <f t="shared" si="53"/>
        <v>0</v>
      </c>
      <c r="T59" s="65">
        <f t="shared" si="53"/>
        <v>0</v>
      </c>
      <c r="U59" s="65">
        <f t="shared" si="53"/>
        <v>0</v>
      </c>
      <c r="V59" s="65">
        <f t="shared" ref="V59:W59" si="54">V56+V57-V58</f>
        <v>0</v>
      </c>
      <c r="W59" s="65">
        <f t="shared" si="54"/>
        <v>0</v>
      </c>
      <c r="X59" s="65">
        <f t="shared" ref="X59" si="55">X56+X57-X58</f>
        <v>0</v>
      </c>
    </row>
    <row r="60" spans="1:24" s="573" customFormat="1" x14ac:dyDescent="0.2">
      <c r="A60" s="573" t="s">
        <v>6523</v>
      </c>
      <c r="B60" s="65"/>
      <c r="C60" s="65">
        <f>C59-C56</f>
        <v>152</v>
      </c>
      <c r="D60" s="65">
        <f t="shared" ref="D60" si="56">D59-D56</f>
        <v>126</v>
      </c>
      <c r="E60" s="65">
        <f t="shared" ref="E60" si="57">E59-E56</f>
        <v>84</v>
      </c>
      <c r="F60" s="65">
        <f t="shared" ref="F60" si="58">F59-F56</f>
        <v>134</v>
      </c>
      <c r="G60" s="65">
        <f t="shared" ref="G60" si="59">G59-G56</f>
        <v>-310</v>
      </c>
      <c r="H60" s="65">
        <f t="shared" ref="H60" si="60">H59-H56</f>
        <v>143</v>
      </c>
      <c r="I60" s="65">
        <f t="shared" ref="I60" si="61">I59-I56</f>
        <v>63</v>
      </c>
      <c r="J60" s="65">
        <f t="shared" ref="J60" si="62">J59-J56</f>
        <v>-52</v>
      </c>
      <c r="K60" s="65">
        <f t="shared" ref="K60" si="63">K59-K56</f>
        <v>-179</v>
      </c>
      <c r="L60" s="65">
        <f t="shared" ref="L60:M60" si="64">L59-L56</f>
        <v>129</v>
      </c>
      <c r="M60" s="65">
        <f t="shared" si="64"/>
        <v>32</v>
      </c>
      <c r="N60" s="65"/>
      <c r="O60" s="65"/>
      <c r="P60" s="65"/>
      <c r="Q60" s="65"/>
      <c r="R60" s="65"/>
      <c r="S60" s="65"/>
      <c r="T60" s="65"/>
      <c r="U60" s="65"/>
      <c r="V60" s="65"/>
      <c r="W60" s="65"/>
      <c r="X60" s="65"/>
    </row>
    <row r="61" spans="1:24" x14ac:dyDescent="0.2">
      <c r="B61" s="34"/>
      <c r="C61" s="34"/>
      <c r="D61" s="34"/>
      <c r="E61" s="34"/>
      <c r="F61" s="34"/>
      <c r="G61" s="34"/>
      <c r="H61" s="34"/>
      <c r="I61" s="34"/>
      <c r="J61" s="34"/>
      <c r="K61" s="34"/>
      <c r="L61" s="34"/>
      <c r="M61" s="34"/>
      <c r="N61" s="34"/>
      <c r="O61" s="34"/>
      <c r="P61" s="34"/>
      <c r="Q61" s="34"/>
      <c r="R61" s="34"/>
      <c r="S61" s="34"/>
      <c r="T61" s="34"/>
      <c r="U61" s="34"/>
      <c r="V61" s="34"/>
      <c r="W61" s="34"/>
      <c r="X61" s="34"/>
    </row>
    <row r="62" spans="1:24" s="573" customFormat="1" x14ac:dyDescent="0.2">
      <c r="A62" s="573" t="s">
        <v>744</v>
      </c>
      <c r="B62" s="65"/>
      <c r="C62" s="65"/>
      <c r="D62" s="65"/>
      <c r="E62" s="65"/>
      <c r="F62" s="65"/>
      <c r="G62" s="65"/>
      <c r="H62" s="65"/>
      <c r="I62" s="65"/>
      <c r="J62" s="65"/>
      <c r="K62" s="65"/>
      <c r="L62" s="65"/>
      <c r="M62" s="65"/>
      <c r="N62" s="65"/>
      <c r="O62" s="65"/>
      <c r="P62" s="65"/>
      <c r="Q62" s="65"/>
      <c r="R62" s="65"/>
      <c r="S62" s="65"/>
      <c r="T62" s="65"/>
      <c r="U62" s="65"/>
      <c r="V62" s="65"/>
      <c r="W62" s="65"/>
      <c r="X62" s="65"/>
    </row>
    <row r="63" spans="1:24" s="573" customFormat="1" x14ac:dyDescent="0.2">
      <c r="A63" s="573" t="s">
        <v>4639</v>
      </c>
      <c r="B63" s="65">
        <v>0</v>
      </c>
      <c r="C63" s="65">
        <f t="shared" ref="C63:I63" si="65">B44+B38</f>
        <v>2750</v>
      </c>
      <c r="D63" s="65">
        <f t="shared" si="65"/>
        <v>3048</v>
      </c>
      <c r="E63" s="65">
        <f t="shared" si="65"/>
        <v>3320</v>
      </c>
      <c r="F63" s="65">
        <f t="shared" si="65"/>
        <v>3621</v>
      </c>
      <c r="G63" s="65">
        <f t="shared" si="65"/>
        <v>3794</v>
      </c>
      <c r="H63" s="65">
        <f t="shared" si="65"/>
        <v>3822</v>
      </c>
      <c r="I63" s="65">
        <f t="shared" si="65"/>
        <v>3631</v>
      </c>
      <c r="J63" s="65">
        <f>I44+I38</f>
        <v>3871</v>
      </c>
      <c r="K63" s="65">
        <f t="shared" ref="K63:X63" si="66">J44+J38</f>
        <v>3834</v>
      </c>
      <c r="L63" s="65">
        <f>K44+K38</f>
        <v>3876</v>
      </c>
      <c r="M63" s="65">
        <f>L44+L38</f>
        <v>4028</v>
      </c>
      <c r="N63" s="65">
        <f t="shared" si="66"/>
        <v>3905</v>
      </c>
      <c r="O63" s="65">
        <f t="shared" si="66"/>
        <v>0</v>
      </c>
      <c r="P63" s="65">
        <f t="shared" si="66"/>
        <v>0</v>
      </c>
      <c r="Q63" s="65">
        <f t="shared" si="66"/>
        <v>0</v>
      </c>
      <c r="R63" s="65">
        <f t="shared" si="66"/>
        <v>0</v>
      </c>
      <c r="S63" s="65">
        <f t="shared" si="66"/>
        <v>0</v>
      </c>
      <c r="T63" s="65">
        <f t="shared" si="66"/>
        <v>0</v>
      </c>
      <c r="U63" s="65">
        <f t="shared" si="66"/>
        <v>0</v>
      </c>
      <c r="V63" s="65">
        <f t="shared" si="66"/>
        <v>0</v>
      </c>
      <c r="W63" s="65">
        <f t="shared" si="66"/>
        <v>0</v>
      </c>
      <c r="X63" s="65">
        <f t="shared" si="66"/>
        <v>0</v>
      </c>
    </row>
    <row r="64" spans="1:24" s="726" customFormat="1" x14ac:dyDescent="0.2">
      <c r="A64" s="726" t="s">
        <v>4636</v>
      </c>
      <c r="B64" s="80"/>
      <c r="C64" s="80">
        <v>555</v>
      </c>
      <c r="D64" s="80">
        <v>590</v>
      </c>
      <c r="E64" s="80">
        <v>501</v>
      </c>
      <c r="F64" s="80">
        <v>447</v>
      </c>
      <c r="G64" s="80">
        <v>500</v>
      </c>
      <c r="H64" s="80">
        <v>198</v>
      </c>
      <c r="I64" s="80">
        <v>827</v>
      </c>
      <c r="J64" s="80">
        <v>829</v>
      </c>
      <c r="K64" s="80">
        <v>788</v>
      </c>
      <c r="L64" s="80">
        <v>846</v>
      </c>
      <c r="M64" s="80">
        <v>513</v>
      </c>
      <c r="N64" s="80"/>
      <c r="O64" s="80"/>
      <c r="P64" s="80"/>
      <c r="Q64" s="80"/>
      <c r="R64" s="80"/>
      <c r="S64" s="80"/>
      <c r="T64" s="80"/>
      <c r="U64" s="80"/>
      <c r="V64" s="80"/>
      <c r="W64" s="80"/>
      <c r="X64" s="2226"/>
    </row>
    <row r="65" spans="1:24" x14ac:dyDescent="0.2">
      <c r="A65" s="726" t="s">
        <v>4637</v>
      </c>
      <c r="B65" s="34"/>
      <c r="C65" s="34">
        <v>257</v>
      </c>
      <c r="D65" s="34">
        <v>318</v>
      </c>
      <c r="E65" s="34">
        <v>200</v>
      </c>
      <c r="F65" s="34">
        <v>274</v>
      </c>
      <c r="G65" s="34">
        <v>472</v>
      </c>
      <c r="H65" s="34">
        <v>389</v>
      </c>
      <c r="I65" s="34">
        <v>587</v>
      </c>
      <c r="J65" s="34">
        <v>866</v>
      </c>
      <c r="K65" s="34">
        <v>746</v>
      </c>
      <c r="L65" s="34">
        <v>694</v>
      </c>
      <c r="M65" s="34">
        <v>636</v>
      </c>
      <c r="N65" s="34"/>
      <c r="O65" s="34"/>
      <c r="P65" s="34"/>
      <c r="Q65" s="34"/>
      <c r="R65" s="34"/>
      <c r="S65" s="34"/>
      <c r="T65" s="34"/>
      <c r="U65" s="34"/>
      <c r="V65" s="34"/>
      <c r="W65" s="34"/>
      <c r="X65" s="34"/>
    </row>
    <row r="66" spans="1:24" x14ac:dyDescent="0.2">
      <c r="A66" s="573" t="s">
        <v>4638</v>
      </c>
      <c r="B66" s="65">
        <f t="shared" ref="B66:I66" si="67">B63+B64-B65</f>
        <v>0</v>
      </c>
      <c r="C66" s="65">
        <f t="shared" si="67"/>
        <v>3048</v>
      </c>
      <c r="D66" s="65">
        <f t="shared" si="67"/>
        <v>3320</v>
      </c>
      <c r="E66" s="65">
        <f t="shared" si="67"/>
        <v>3621</v>
      </c>
      <c r="F66" s="65">
        <f t="shared" si="67"/>
        <v>3794</v>
      </c>
      <c r="G66" s="65">
        <f t="shared" si="67"/>
        <v>3822</v>
      </c>
      <c r="H66" s="65">
        <f t="shared" si="67"/>
        <v>3631</v>
      </c>
      <c r="I66" s="65">
        <f t="shared" si="67"/>
        <v>3871</v>
      </c>
      <c r="J66" s="65">
        <f>J63+J64-J65</f>
        <v>3834</v>
      </c>
      <c r="K66" s="65">
        <f t="shared" ref="K66:U66" si="68">K63+K64-K65</f>
        <v>3876</v>
      </c>
      <c r="L66" s="65">
        <f t="shared" si="68"/>
        <v>4028</v>
      </c>
      <c r="M66" s="65">
        <f t="shared" si="68"/>
        <v>3905</v>
      </c>
      <c r="N66" s="65">
        <f t="shared" si="68"/>
        <v>3905</v>
      </c>
      <c r="O66" s="65">
        <f t="shared" si="68"/>
        <v>0</v>
      </c>
      <c r="P66" s="65">
        <f t="shared" si="68"/>
        <v>0</v>
      </c>
      <c r="Q66" s="65">
        <f t="shared" si="68"/>
        <v>0</v>
      </c>
      <c r="R66" s="65">
        <f t="shared" si="68"/>
        <v>0</v>
      </c>
      <c r="S66" s="65">
        <f t="shared" si="68"/>
        <v>0</v>
      </c>
      <c r="T66" s="65">
        <f t="shared" si="68"/>
        <v>0</v>
      </c>
      <c r="U66" s="65">
        <f t="shared" si="68"/>
        <v>0</v>
      </c>
      <c r="V66" s="65">
        <f t="shared" ref="V66:W66" si="69">V63+V64-V65</f>
        <v>0</v>
      </c>
      <c r="W66" s="65">
        <f t="shared" si="69"/>
        <v>0</v>
      </c>
      <c r="X66" s="65">
        <f t="shared" ref="X66" si="70">X63+X64-X65</f>
        <v>0</v>
      </c>
    </row>
    <row r="67" spans="1:24" s="573" customFormat="1" x14ac:dyDescent="0.2">
      <c r="A67" s="573" t="s">
        <v>6523</v>
      </c>
      <c r="B67" s="65"/>
      <c r="C67" s="65">
        <f>C66-C63</f>
        <v>298</v>
      </c>
      <c r="D67" s="65">
        <f t="shared" ref="D67" si="71">D66-D63</f>
        <v>272</v>
      </c>
      <c r="E67" s="65">
        <f t="shared" ref="E67" si="72">E66-E63</f>
        <v>301</v>
      </c>
      <c r="F67" s="65">
        <f t="shared" ref="F67" si="73">F66-F63</f>
        <v>173</v>
      </c>
      <c r="G67" s="65">
        <f t="shared" ref="G67" si="74">G66-G63</f>
        <v>28</v>
      </c>
      <c r="H67" s="65">
        <f t="shared" ref="H67" si="75">H66-H63</f>
        <v>-191</v>
      </c>
      <c r="I67" s="65">
        <f t="shared" ref="I67" si="76">I66-I63</f>
        <v>240</v>
      </c>
      <c r="J67" s="65">
        <f t="shared" ref="J67" si="77">J66-J63</f>
        <v>-37</v>
      </c>
      <c r="K67" s="65">
        <f t="shared" ref="K67" si="78">K66-K63</f>
        <v>42</v>
      </c>
      <c r="L67" s="65">
        <f t="shared" ref="L67:M67" si="79">L66-L63</f>
        <v>152</v>
      </c>
      <c r="M67" s="65">
        <f t="shared" si="79"/>
        <v>-123</v>
      </c>
      <c r="N67" s="65"/>
      <c r="O67" s="65"/>
      <c r="P67" s="65"/>
      <c r="Q67" s="65"/>
      <c r="R67" s="65"/>
      <c r="S67" s="65"/>
      <c r="T67" s="65"/>
      <c r="U67" s="65"/>
      <c r="V67" s="65"/>
      <c r="W67" s="65"/>
      <c r="X67" s="65"/>
    </row>
    <row r="68" spans="1:24" x14ac:dyDescent="0.2">
      <c r="B68" s="96"/>
      <c r="C68" s="34"/>
      <c r="D68" s="34"/>
      <c r="E68" s="34"/>
      <c r="F68" s="34"/>
      <c r="G68" s="34"/>
      <c r="H68" s="34"/>
      <c r="I68" s="34"/>
      <c r="J68" s="34"/>
      <c r="K68" s="34"/>
      <c r="L68" s="34"/>
      <c r="M68" s="34"/>
      <c r="N68" s="34"/>
      <c r="O68" s="34"/>
      <c r="P68" s="34"/>
      <c r="Q68" s="34"/>
      <c r="R68" s="34"/>
      <c r="S68" s="34"/>
      <c r="T68" s="34"/>
      <c r="U68" s="34"/>
      <c r="V68" s="34"/>
      <c r="W68" s="34"/>
      <c r="X68" s="34"/>
    </row>
    <row r="69" spans="1:24" x14ac:dyDescent="0.2">
      <c r="A69" s="726" t="s">
        <v>400</v>
      </c>
      <c r="B69" s="34"/>
      <c r="C69" s="34">
        <f t="shared" ref="C69:J69" si="80">C63-B66+C56-B59+C49-B52</f>
        <v>5986</v>
      </c>
      <c r="D69" s="34">
        <f t="shared" si="80"/>
        <v>0</v>
      </c>
      <c r="E69" s="34">
        <f t="shared" si="80"/>
        <v>0</v>
      </c>
      <c r="F69" s="34">
        <f t="shared" si="80"/>
        <v>0</v>
      </c>
      <c r="G69" s="34">
        <f t="shared" si="80"/>
        <v>0</v>
      </c>
      <c r="H69" s="34">
        <f t="shared" si="80"/>
        <v>0</v>
      </c>
      <c r="I69" s="34">
        <f t="shared" si="80"/>
        <v>0</v>
      </c>
      <c r="J69" s="34">
        <f t="shared" si="80"/>
        <v>0</v>
      </c>
      <c r="K69" s="34">
        <f>K63-J66+K56-J59+K49-J52</f>
        <v>0</v>
      </c>
      <c r="L69" s="34">
        <f>L63-K66+L56-K59+L49-K52</f>
        <v>0</v>
      </c>
      <c r="M69" s="34">
        <f>M63-L66+M56-L59+M49-L52</f>
        <v>0</v>
      </c>
      <c r="N69" s="34">
        <f t="shared" ref="N69:X69" si="81">N63-M66+N56-M59+N49-M52</f>
        <v>0</v>
      </c>
      <c r="O69" s="34">
        <f t="shared" si="81"/>
        <v>-8404</v>
      </c>
      <c r="P69" s="34">
        <f t="shared" si="81"/>
        <v>0</v>
      </c>
      <c r="Q69" s="34">
        <f t="shared" si="81"/>
        <v>0</v>
      </c>
      <c r="R69" s="34">
        <f t="shared" si="81"/>
        <v>0</v>
      </c>
      <c r="S69" s="34">
        <f t="shared" si="81"/>
        <v>0</v>
      </c>
      <c r="T69" s="34">
        <f t="shared" si="81"/>
        <v>0</v>
      </c>
      <c r="U69" s="34">
        <f t="shared" si="81"/>
        <v>0</v>
      </c>
      <c r="V69" s="34">
        <f t="shared" si="81"/>
        <v>0</v>
      </c>
      <c r="W69" s="34">
        <f t="shared" si="81"/>
        <v>0</v>
      </c>
      <c r="X69" s="34">
        <f t="shared" si="81"/>
        <v>0</v>
      </c>
    </row>
    <row r="70" spans="1:24" x14ac:dyDescent="0.2">
      <c r="B70" s="96"/>
      <c r="C70" s="34"/>
      <c r="D70" s="34"/>
      <c r="E70" s="34"/>
      <c r="F70" s="34"/>
      <c r="G70" s="34"/>
      <c r="H70" s="34"/>
      <c r="I70" s="34"/>
      <c r="J70" s="34"/>
      <c r="K70" s="34"/>
      <c r="L70" s="34"/>
      <c r="M70" s="34"/>
      <c r="N70" s="34"/>
      <c r="O70" s="34"/>
      <c r="P70" s="34"/>
      <c r="Q70" s="34"/>
      <c r="R70" s="34"/>
      <c r="S70" s="34"/>
      <c r="T70" s="34"/>
      <c r="U70" s="34"/>
      <c r="V70" s="34"/>
      <c r="W70" s="34"/>
      <c r="X70" s="34"/>
    </row>
    <row r="71" spans="1:24" s="573" customFormat="1" x14ac:dyDescent="0.2">
      <c r="A71" s="573" t="s">
        <v>5934</v>
      </c>
      <c r="B71" s="1679"/>
      <c r="C71" s="65">
        <f t="shared" ref="C71:J71" si="82">C65+C58+C51</f>
        <v>1493</v>
      </c>
      <c r="D71" s="65">
        <f t="shared" si="82"/>
        <v>1745</v>
      </c>
      <c r="E71" s="65">
        <f t="shared" si="82"/>
        <v>1711</v>
      </c>
      <c r="F71" s="65">
        <f t="shared" si="82"/>
        <v>1812</v>
      </c>
      <c r="G71" s="65">
        <f t="shared" si="82"/>
        <v>2413</v>
      </c>
      <c r="H71" s="65">
        <f t="shared" si="82"/>
        <v>1801</v>
      </c>
      <c r="I71" s="65">
        <f t="shared" si="82"/>
        <v>2431</v>
      </c>
      <c r="J71" s="65">
        <f t="shared" si="82"/>
        <v>2862</v>
      </c>
      <c r="K71" s="65">
        <f>K65+K58+K51</f>
        <v>2926</v>
      </c>
      <c r="L71" s="65">
        <f>L65+L58+L51</f>
        <v>2686</v>
      </c>
      <c r="M71" s="65">
        <f>M65+M58+M51</f>
        <v>2790</v>
      </c>
      <c r="N71" s="65"/>
      <c r="O71" s="65"/>
      <c r="P71" s="65"/>
      <c r="Q71" s="65"/>
      <c r="R71" s="65"/>
      <c r="S71" s="65"/>
      <c r="T71" s="65"/>
      <c r="U71" s="65"/>
      <c r="V71" s="65"/>
      <c r="W71" s="65"/>
      <c r="X71" s="65"/>
    </row>
    <row r="72" spans="1:24" x14ac:dyDescent="0.2">
      <c r="A72" s="726" t="s">
        <v>5936</v>
      </c>
      <c r="B72" s="96"/>
      <c r="C72" s="34"/>
      <c r="D72" s="34"/>
      <c r="E72" s="34"/>
      <c r="F72" s="34"/>
      <c r="G72" s="34"/>
      <c r="H72" s="34">
        <f t="shared" ref="H72:J72" si="83">H71*(H10/H5)</f>
        <v>1440.8000000000002</v>
      </c>
      <c r="I72" s="34">
        <f t="shared" si="83"/>
        <v>1944.8000000000002</v>
      </c>
      <c r="J72" s="34">
        <f t="shared" si="83"/>
        <v>2144.7794023641618</v>
      </c>
      <c r="K72" s="34">
        <f>K71*(K10/K5)</f>
        <v>2212.6522796560821</v>
      </c>
      <c r="L72" s="34">
        <f>L71*(L10/L5)</f>
        <v>1998.4632549562011</v>
      </c>
      <c r="M72" s="34">
        <f>M71*(M10/M5)</f>
        <v>1993.4467455621302</v>
      </c>
      <c r="N72" s="34"/>
      <c r="O72" s="34"/>
      <c r="P72" s="34"/>
      <c r="Q72" s="34"/>
      <c r="R72" s="34"/>
      <c r="S72" s="34"/>
      <c r="T72" s="34"/>
      <c r="U72" s="34"/>
      <c r="V72" s="34"/>
      <c r="W72" s="34"/>
      <c r="X72" s="34"/>
    </row>
    <row r="73" spans="1:24" ht="13.5" customHeight="1" x14ac:dyDescent="0.2">
      <c r="B73" s="2013"/>
      <c r="H73" s="34"/>
      <c r="I73" s="34"/>
      <c r="J73" s="34"/>
      <c r="K73" s="34"/>
      <c r="L73" s="80"/>
    </row>
    <row r="74" spans="1:24" x14ac:dyDescent="0.2">
      <c r="A74" s="573" t="s">
        <v>4644</v>
      </c>
      <c r="B74" s="2013"/>
    </row>
    <row r="75" spans="1:24" x14ac:dyDescent="0.2">
      <c r="A75" s="726" t="s">
        <v>3526</v>
      </c>
      <c r="B75" s="246">
        <v>113</v>
      </c>
      <c r="C75" s="246">
        <v>110</v>
      </c>
      <c r="D75" s="246">
        <v>124</v>
      </c>
      <c r="E75" s="246">
        <v>138</v>
      </c>
      <c r="F75" s="246">
        <v>101</v>
      </c>
      <c r="G75" s="246">
        <v>148</v>
      </c>
      <c r="H75" s="246">
        <v>151</v>
      </c>
      <c r="I75" s="246">
        <v>162</v>
      </c>
      <c r="J75" s="726">
        <v>170</v>
      </c>
    </row>
    <row r="76" spans="1:24" x14ac:dyDescent="0.2">
      <c r="A76" s="726" t="s">
        <v>1732</v>
      </c>
      <c r="B76" s="246">
        <v>208</v>
      </c>
      <c r="C76" s="246">
        <v>212</v>
      </c>
      <c r="D76" s="246">
        <v>281</v>
      </c>
      <c r="E76" s="246">
        <v>251</v>
      </c>
      <c r="F76" s="246">
        <v>260</v>
      </c>
      <c r="G76" s="246">
        <v>202</v>
      </c>
      <c r="H76" s="246">
        <v>134</v>
      </c>
      <c r="I76" s="246">
        <v>146</v>
      </c>
      <c r="J76" s="726">
        <v>124</v>
      </c>
    </row>
    <row r="77" spans="1:24" x14ac:dyDescent="0.2">
      <c r="A77" s="726" t="s">
        <v>3289</v>
      </c>
      <c r="B77" s="246">
        <v>421</v>
      </c>
      <c r="C77" s="246">
        <v>421</v>
      </c>
      <c r="D77" s="246">
        <v>402</v>
      </c>
      <c r="E77" s="246">
        <v>415</v>
      </c>
      <c r="F77" s="246">
        <v>411</v>
      </c>
      <c r="G77" s="246">
        <v>538</v>
      </c>
      <c r="H77" s="246">
        <v>448</v>
      </c>
      <c r="I77" s="246">
        <v>461</v>
      </c>
      <c r="J77" s="726">
        <v>452</v>
      </c>
    </row>
    <row r="78" spans="1:24" s="573" customFormat="1" x14ac:dyDescent="0.2">
      <c r="A78" s="573" t="s">
        <v>1504</v>
      </c>
      <c r="B78" s="573">
        <f>SUM(B75:B77)</f>
        <v>742</v>
      </c>
      <c r="C78" s="573">
        <f t="shared" ref="C78:J78" si="84">SUM(C75:C77)</f>
        <v>743</v>
      </c>
      <c r="D78" s="573">
        <f t="shared" si="84"/>
        <v>807</v>
      </c>
      <c r="E78" s="573">
        <f t="shared" si="84"/>
        <v>804</v>
      </c>
      <c r="F78" s="573">
        <f t="shared" si="84"/>
        <v>772</v>
      </c>
      <c r="G78" s="573">
        <f t="shared" si="84"/>
        <v>888</v>
      </c>
      <c r="H78" s="573">
        <f t="shared" si="84"/>
        <v>733</v>
      </c>
      <c r="I78" s="573">
        <f t="shared" si="84"/>
        <v>769</v>
      </c>
      <c r="J78" s="573">
        <f t="shared" si="84"/>
        <v>746</v>
      </c>
    </row>
    <row r="79" spans="1:24" x14ac:dyDescent="0.2">
      <c r="B79" s="2013"/>
    </row>
    <row r="80" spans="1:24" x14ac:dyDescent="0.2">
      <c r="B80" s="2013"/>
    </row>
    <row r="81" spans="1:14" x14ac:dyDescent="0.2">
      <c r="A81" s="573" t="s">
        <v>4662</v>
      </c>
      <c r="B81" s="726"/>
      <c r="C81" s="1798" t="s">
        <v>222</v>
      </c>
      <c r="H81" s="1798" t="s">
        <v>1087</v>
      </c>
      <c r="I81" s="1798" t="s">
        <v>1641</v>
      </c>
      <c r="J81" s="1798" t="s">
        <v>929</v>
      </c>
      <c r="K81" s="1798" t="str">
        <f>K3</f>
        <v>2014/15</v>
      </c>
      <c r="L81" s="1798" t="str">
        <f>L3</f>
        <v>2015/16</v>
      </c>
      <c r="M81" s="1798" t="str">
        <f>M3</f>
        <v>2016/17</v>
      </c>
      <c r="N81" s="1798" t="str">
        <f>N3</f>
        <v>2017/18</v>
      </c>
    </row>
    <row r="82" spans="1:14" x14ac:dyDescent="0.2">
      <c r="A82" s="573"/>
      <c r="B82" s="726"/>
      <c r="H82" s="1798"/>
      <c r="I82" s="1798"/>
      <c r="J82" s="1798"/>
      <c r="K82" s="1798"/>
      <c r="L82" s="1798"/>
    </row>
    <row r="83" spans="1:14" x14ac:dyDescent="0.2">
      <c r="A83" s="573" t="s">
        <v>289</v>
      </c>
      <c r="K83" s="34"/>
      <c r="L83" s="34"/>
    </row>
    <row r="84" spans="1:14" x14ac:dyDescent="0.2">
      <c r="A84" s="246" t="s">
        <v>1440</v>
      </c>
      <c r="C84" s="34">
        <v>638000</v>
      </c>
      <c r="H84" s="34">
        <v>657000</v>
      </c>
      <c r="I84" s="34">
        <v>676800</v>
      </c>
      <c r="J84" s="34">
        <v>666000</v>
      </c>
      <c r="K84" s="34">
        <f>GM!C775</f>
        <v>700100</v>
      </c>
      <c r="L84" s="34">
        <f>GM!D775</f>
        <v>715200</v>
      </c>
      <c r="M84" s="34">
        <f>GM!E775</f>
        <v>649800</v>
      </c>
      <c r="N84" s="34">
        <f>GM!H775</f>
        <v>957000</v>
      </c>
    </row>
    <row r="85" spans="1:14" x14ac:dyDescent="0.2">
      <c r="A85" s="246" t="s">
        <v>2302</v>
      </c>
      <c r="C85" s="34">
        <v>5500</v>
      </c>
      <c r="H85" s="34">
        <v>5500</v>
      </c>
      <c r="I85" s="34">
        <v>5700</v>
      </c>
      <c r="J85" s="34">
        <v>0</v>
      </c>
      <c r="K85" s="34">
        <f>GM!C776</f>
        <v>-10800</v>
      </c>
      <c r="L85" s="34">
        <f>GM!D776</f>
        <v>-11700</v>
      </c>
      <c r="M85" s="34">
        <f>GM!E776</f>
        <v>-14500</v>
      </c>
      <c r="N85" s="34">
        <f>GM!H776</f>
        <v>0</v>
      </c>
    </row>
    <row r="86" spans="1:14" x14ac:dyDescent="0.2">
      <c r="A86" s="246" t="s">
        <v>745</v>
      </c>
      <c r="C86" s="34">
        <v>350000</v>
      </c>
      <c r="H86" s="34">
        <v>360500</v>
      </c>
      <c r="I86" s="34">
        <v>371400</v>
      </c>
      <c r="J86" s="34">
        <v>218000</v>
      </c>
      <c r="K86" s="34">
        <f>GM!C777</f>
        <v>326400</v>
      </c>
      <c r="L86" s="34">
        <f>GM!D777</f>
        <v>309600</v>
      </c>
      <c r="M86" s="34">
        <f>GM!E777</f>
        <v>205200</v>
      </c>
      <c r="N86" s="34">
        <f>GM!H777</f>
        <v>253000</v>
      </c>
    </row>
    <row r="87" spans="1:14" x14ac:dyDescent="0.2">
      <c r="A87" s="246" t="s">
        <v>744</v>
      </c>
      <c r="C87" s="34">
        <v>405000</v>
      </c>
      <c r="H87" s="34">
        <v>417000</v>
      </c>
      <c r="I87" s="34">
        <v>429600</v>
      </c>
      <c r="J87" s="34">
        <v>326000</v>
      </c>
      <c r="K87" s="34">
        <f>GM!C778</f>
        <v>477200</v>
      </c>
      <c r="L87" s="34">
        <f>GM!D778</f>
        <v>382600</v>
      </c>
      <c r="M87" s="34">
        <f>GM!E778</f>
        <v>155100</v>
      </c>
      <c r="N87" s="34">
        <f>GM!H778</f>
        <v>422000</v>
      </c>
    </row>
    <row r="88" spans="1:14" x14ac:dyDescent="0.2">
      <c r="A88" s="726" t="s">
        <v>4666</v>
      </c>
      <c r="C88" s="34">
        <v>57000</v>
      </c>
      <c r="H88" s="34">
        <v>59000</v>
      </c>
      <c r="I88" s="34">
        <v>60800</v>
      </c>
      <c r="J88" s="34">
        <v>71000</v>
      </c>
      <c r="K88" s="34">
        <f>GM!C779</f>
        <v>20800</v>
      </c>
      <c r="L88" s="34">
        <f>GM!D779</f>
        <v>16200</v>
      </c>
      <c r="M88" s="34">
        <f>GM!E779</f>
        <v>43800</v>
      </c>
      <c r="N88" s="34">
        <f>GM!H779</f>
        <v>30000</v>
      </c>
    </row>
    <row r="89" spans="1:14" x14ac:dyDescent="0.2">
      <c r="C89" s="34"/>
      <c r="H89" s="34"/>
      <c r="I89" s="34"/>
      <c r="J89" s="34"/>
      <c r="K89" s="34"/>
      <c r="L89" s="34"/>
      <c r="M89" s="34"/>
      <c r="N89" s="34"/>
    </row>
    <row r="90" spans="1:14" x14ac:dyDescent="0.2">
      <c r="A90" s="573" t="s">
        <v>288</v>
      </c>
      <c r="C90" s="34"/>
      <c r="H90" s="34"/>
      <c r="I90" s="34"/>
      <c r="J90" s="34"/>
      <c r="K90" s="34"/>
      <c r="L90" s="34"/>
      <c r="M90" s="34"/>
      <c r="N90" s="34"/>
    </row>
    <row r="91" spans="1:14" x14ac:dyDescent="0.2">
      <c r="A91" s="246" t="s">
        <v>1440</v>
      </c>
      <c r="C91" s="34">
        <v>500000</v>
      </c>
      <c r="H91" s="31">
        <v>515000</v>
      </c>
      <c r="I91" s="34">
        <v>530500</v>
      </c>
      <c r="J91" s="34">
        <v>343000</v>
      </c>
      <c r="K91" s="34">
        <f>GM!C791</f>
        <v>572200</v>
      </c>
      <c r="L91" s="34">
        <f>GM!D791</f>
        <v>639900</v>
      </c>
      <c r="M91" s="34">
        <f>GM!E791</f>
        <v>791900</v>
      </c>
      <c r="N91" s="34">
        <f>GM!H791</f>
        <v>555300</v>
      </c>
    </row>
    <row r="92" spans="1:14" x14ac:dyDescent="0.2">
      <c r="A92" s="246" t="s">
        <v>2302</v>
      </c>
      <c r="C92" s="34">
        <v>201500</v>
      </c>
      <c r="H92" s="31">
        <v>207500</v>
      </c>
      <c r="I92" s="34">
        <v>213800</v>
      </c>
      <c r="J92" s="34">
        <v>224000</v>
      </c>
      <c r="K92" s="34">
        <f>GM!C792</f>
        <v>250900</v>
      </c>
      <c r="L92" s="34">
        <f>GM!D792</f>
        <v>268500</v>
      </c>
      <c r="M92" s="34">
        <f>GM!E792</f>
        <v>281600</v>
      </c>
      <c r="N92" s="34">
        <f>GM!H792</f>
        <v>265000</v>
      </c>
    </row>
    <row r="93" spans="1:14" x14ac:dyDescent="0.2">
      <c r="A93" s="246" t="s">
        <v>745</v>
      </c>
      <c r="C93" s="34">
        <v>324500</v>
      </c>
      <c r="H93" s="31">
        <v>334500</v>
      </c>
      <c r="I93" s="34">
        <v>344600</v>
      </c>
      <c r="J93" s="34">
        <v>273000</v>
      </c>
      <c r="K93" s="34">
        <f>GM!C793</f>
        <v>242400</v>
      </c>
      <c r="L93" s="34">
        <f>GM!D793</f>
        <v>361700</v>
      </c>
      <c r="M93" s="34">
        <f>GM!E793</f>
        <v>441600</v>
      </c>
      <c r="N93" s="34">
        <f>GM!H793</f>
        <v>333000</v>
      </c>
    </row>
    <row r="94" spans="1:14" x14ac:dyDescent="0.2">
      <c r="A94" s="726" t="s">
        <v>4664</v>
      </c>
      <c r="C94" s="34">
        <v>250000</v>
      </c>
      <c r="H94" s="31">
        <v>257500</v>
      </c>
      <c r="I94" s="34">
        <v>265300</v>
      </c>
      <c r="J94" s="34">
        <v>292000</v>
      </c>
      <c r="K94" s="34">
        <f>GM!C794</f>
        <v>238700</v>
      </c>
      <c r="L94" s="34">
        <f>GM!D794</f>
        <v>379400</v>
      </c>
      <c r="M94" s="34">
        <f>GM!E794</f>
        <v>289800</v>
      </c>
      <c r="N94" s="34">
        <f>GM!H794</f>
        <v>278000</v>
      </c>
    </row>
    <row r="95" spans="1:14" x14ac:dyDescent="0.2">
      <c r="C95" s="34"/>
      <c r="H95" s="34"/>
      <c r="I95" s="34"/>
      <c r="J95" s="34"/>
      <c r="K95" s="34"/>
      <c r="L95" s="34"/>
      <c r="M95" s="34"/>
      <c r="N95" s="34"/>
    </row>
    <row r="96" spans="1:14" x14ac:dyDescent="0.2">
      <c r="A96" s="726" t="s">
        <v>4665</v>
      </c>
      <c r="C96" s="34">
        <v>-721000</v>
      </c>
      <c r="H96" s="34">
        <v>-742500</v>
      </c>
      <c r="I96" s="34">
        <v>-764800</v>
      </c>
      <c r="J96" s="34"/>
      <c r="K96" s="34"/>
      <c r="L96" s="34">
        <v>416000</v>
      </c>
      <c r="M96" s="34"/>
      <c r="N96" s="34"/>
    </row>
    <row r="97" spans="1:14" x14ac:dyDescent="0.2">
      <c r="K97" s="34"/>
      <c r="L97" s="34"/>
      <c r="M97" s="34"/>
      <c r="N97" s="34"/>
    </row>
    <row r="98" spans="1:14" s="573" customFormat="1" x14ac:dyDescent="0.2">
      <c r="A98" s="573" t="s">
        <v>5935</v>
      </c>
      <c r="B98" s="2014"/>
      <c r="C98" s="65">
        <f t="shared" ref="C98" si="85">SUM(C83:C97)</f>
        <v>2010500</v>
      </c>
      <c r="H98" s="65">
        <f t="shared" ref="H98:M98" si="86">SUM(H83:H97)</f>
        <v>2071000</v>
      </c>
      <c r="I98" s="65">
        <f t="shared" si="86"/>
        <v>2133700</v>
      </c>
      <c r="J98" s="65">
        <f t="shared" si="86"/>
        <v>2413000</v>
      </c>
      <c r="K98" s="65">
        <f t="shared" si="86"/>
        <v>2817900</v>
      </c>
      <c r="L98" s="65">
        <f>SUM(L83:L97)</f>
        <v>3477400</v>
      </c>
      <c r="M98" s="65">
        <f t="shared" si="86"/>
        <v>2844300</v>
      </c>
      <c r="N98" s="65">
        <f t="shared" ref="N98" si="87">SUM(N83:N97)</f>
        <v>3093300</v>
      </c>
    </row>
    <row r="99" spans="1:14" s="573" customFormat="1" x14ac:dyDescent="0.2">
      <c r="B99" s="2014"/>
      <c r="C99" s="65"/>
      <c r="H99" s="65"/>
      <c r="I99" s="65"/>
      <c r="J99" s="65"/>
      <c r="K99" s="65"/>
      <c r="L99" s="65"/>
      <c r="M99" s="65"/>
      <c r="N99" s="65"/>
    </row>
    <row r="100" spans="1:14" s="573" customFormat="1" x14ac:dyDescent="0.2">
      <c r="A100" s="573" t="s">
        <v>4667</v>
      </c>
      <c r="B100" s="2014"/>
      <c r="C100" s="65"/>
      <c r="H100" s="2015">
        <f>(H98-C98)/C98</f>
        <v>3.0092016911216116E-2</v>
      </c>
      <c r="I100" s="2015">
        <f>(I98-H98)/H98</f>
        <v>3.0275229357798167E-2</v>
      </c>
      <c r="J100" s="2015">
        <f>(J98-I98)/I98</f>
        <v>0.13089937666963491</v>
      </c>
      <c r="K100" s="2015">
        <f t="shared" ref="K100:L100" si="88">(K98-J98)/J98</f>
        <v>0.16779941980936594</v>
      </c>
      <c r="L100" s="2015">
        <f t="shared" si="88"/>
        <v>0.23403953298555663</v>
      </c>
      <c r="M100" s="2016">
        <f>(M98-L98)/L98</f>
        <v>-0.18206131017426813</v>
      </c>
      <c r="N100" s="2016">
        <f>(N98-M98)/M98</f>
        <v>8.7543508068769121E-2</v>
      </c>
    </row>
    <row r="101" spans="1:14" x14ac:dyDescent="0.2">
      <c r="C101" s="31"/>
      <c r="K101" s="34"/>
      <c r="L101" s="34"/>
      <c r="M101" s="34"/>
      <c r="N101" s="34"/>
    </row>
    <row r="102" spans="1:14" x14ac:dyDescent="0.2">
      <c r="A102" s="246" t="s">
        <v>201</v>
      </c>
      <c r="C102" s="31">
        <v>-2267000</v>
      </c>
      <c r="H102" s="31">
        <v>-2480000</v>
      </c>
      <c r="I102" s="34">
        <v>-2635000</v>
      </c>
      <c r="J102" s="34">
        <v>-2785000</v>
      </c>
      <c r="K102" s="34">
        <f>GM!C801</f>
        <v>-2623800</v>
      </c>
      <c r="L102" s="34">
        <f>GM!D801</f>
        <v>-2771900</v>
      </c>
      <c r="M102" s="34">
        <f>GM!E801</f>
        <v>-3031900</v>
      </c>
      <c r="N102" s="34">
        <f>GM!H801</f>
        <v>-3182000</v>
      </c>
    </row>
    <row r="103" spans="1:14" x14ac:dyDescent="0.2">
      <c r="A103" s="246" t="s">
        <v>1639</v>
      </c>
      <c r="C103" s="31">
        <v>-2800000</v>
      </c>
      <c r="H103" s="31">
        <v>-2960000</v>
      </c>
      <c r="I103" s="34">
        <v>-3110000</v>
      </c>
      <c r="J103" s="34">
        <v>-3000000</v>
      </c>
      <c r="K103" s="34">
        <f>GM!C802</f>
        <v>-3105600</v>
      </c>
      <c r="L103" s="34">
        <f>GM!D802</f>
        <v>-3409100</v>
      </c>
      <c r="M103" s="34">
        <f>GM!E802</f>
        <v>-3556000</v>
      </c>
      <c r="N103" s="34">
        <f>GM!H802</f>
        <v>-3590000</v>
      </c>
    </row>
    <row r="104" spans="1:14" s="573" customFormat="1" x14ac:dyDescent="0.2">
      <c r="A104" s="573" t="s">
        <v>4663</v>
      </c>
      <c r="C104" s="65">
        <f>SUM(C102:C103)</f>
        <v>-5067000</v>
      </c>
      <c r="H104" s="65">
        <f t="shared" ref="H104:J104" si="89">SUM(H102:H103)</f>
        <v>-5440000</v>
      </c>
      <c r="I104" s="65">
        <f t="shared" si="89"/>
        <v>-5745000</v>
      </c>
      <c r="J104" s="65">
        <f t="shared" si="89"/>
        <v>-5785000</v>
      </c>
      <c r="K104" s="65">
        <f>SUM(K102:K103)</f>
        <v>-5729400</v>
      </c>
      <c r="L104" s="65">
        <f>SUM(L102:L103)</f>
        <v>-6181000</v>
      </c>
      <c r="M104" s="65">
        <f>SUM(M102:M103)</f>
        <v>-6587900</v>
      </c>
      <c r="N104" s="65">
        <f>SUM(N102:N103)</f>
        <v>-6772000</v>
      </c>
    </row>
    <row r="105" spans="1:14" x14ac:dyDescent="0.2">
      <c r="B105" s="2013"/>
    </row>
    <row r="106" spans="1:14" s="573" customFormat="1" x14ac:dyDescent="0.2">
      <c r="A106" s="573" t="s">
        <v>4667</v>
      </c>
      <c r="B106" s="2014"/>
      <c r="C106" s="65"/>
      <c r="H106" s="2017">
        <f>(H104-C104)/C104</f>
        <v>7.3613578054075396E-2</v>
      </c>
      <c r="I106" s="2017">
        <f>(I104-H104)/H104</f>
        <v>5.6066176470588237E-2</v>
      </c>
      <c r="J106" s="2017">
        <f>(J104-I104)/I104</f>
        <v>6.9625761531766752E-3</v>
      </c>
      <c r="K106" s="2017">
        <f t="shared" ref="K106:L106" si="90">(K104-J104)/J104</f>
        <v>-9.6110630942091609E-3</v>
      </c>
      <c r="L106" s="2017">
        <f t="shared" si="90"/>
        <v>7.8821517087304074E-2</v>
      </c>
      <c r="M106" s="2017">
        <f>(M104-L104)/L104</f>
        <v>6.5830771719786449E-2</v>
      </c>
      <c r="N106" s="2017">
        <f>(N104-M104)/M104</f>
        <v>2.7945172209657098E-2</v>
      </c>
    </row>
    <row r="107" spans="1:14" x14ac:dyDescent="0.2">
      <c r="B107" s="2013"/>
    </row>
    <row r="108" spans="1:14" x14ac:dyDescent="0.2">
      <c r="B108" s="2013"/>
    </row>
    <row r="109" spans="1:14" x14ac:dyDescent="0.2">
      <c r="B109" s="2013"/>
    </row>
    <row r="110" spans="1:14" x14ac:dyDescent="0.2">
      <c r="B110" s="2013"/>
    </row>
    <row r="111" spans="1:14" x14ac:dyDescent="0.2">
      <c r="B111" s="2013"/>
    </row>
    <row r="112" spans="1:14" x14ac:dyDescent="0.2">
      <c r="B112" s="2013"/>
    </row>
    <row r="113" spans="2:2" x14ac:dyDescent="0.2">
      <c r="B113" s="2013"/>
    </row>
    <row r="114" spans="2:2" x14ac:dyDescent="0.2">
      <c r="B114" s="2013"/>
    </row>
    <row r="115" spans="2:2" x14ac:dyDescent="0.2">
      <c r="B115" s="2013"/>
    </row>
    <row r="116" spans="2:2" x14ac:dyDescent="0.2">
      <c r="B116" s="2013"/>
    </row>
    <row r="117" spans="2:2" x14ac:dyDescent="0.2">
      <c r="B117" s="2013"/>
    </row>
    <row r="118" spans="2:2" x14ac:dyDescent="0.2">
      <c r="B118" s="2013"/>
    </row>
    <row r="119" spans="2:2" x14ac:dyDescent="0.2">
      <c r="B119" s="2013"/>
    </row>
    <row r="120" spans="2:2" x14ac:dyDescent="0.2">
      <c r="B120" s="2013"/>
    </row>
    <row r="121" spans="2:2" x14ac:dyDescent="0.2">
      <c r="B121" s="2013"/>
    </row>
    <row r="122" spans="2:2" x14ac:dyDescent="0.2">
      <c r="B122" s="2013"/>
    </row>
    <row r="123" spans="2:2" x14ac:dyDescent="0.2">
      <c r="B123" s="2013"/>
    </row>
    <row r="124" spans="2:2" x14ac:dyDescent="0.2">
      <c r="B124" s="2013"/>
    </row>
    <row r="125" spans="2:2" x14ac:dyDescent="0.2">
      <c r="B125" s="2013"/>
    </row>
    <row r="126" spans="2:2" x14ac:dyDescent="0.2">
      <c r="B126" s="2013"/>
    </row>
    <row r="127" spans="2:2" x14ac:dyDescent="0.2">
      <c r="B127" s="2013"/>
    </row>
    <row r="128" spans="2:2" x14ac:dyDescent="0.2">
      <c r="B128" s="2013"/>
    </row>
    <row r="129" spans="2:2" x14ac:dyDescent="0.2">
      <c r="B129" s="2013"/>
    </row>
    <row r="130" spans="2:2" x14ac:dyDescent="0.2">
      <c r="B130" s="2013"/>
    </row>
    <row r="131" spans="2:2" x14ac:dyDescent="0.2">
      <c r="B131" s="2013"/>
    </row>
    <row r="132" spans="2:2" x14ac:dyDescent="0.2">
      <c r="B132" s="2013"/>
    </row>
    <row r="133" spans="2:2" x14ac:dyDescent="0.2">
      <c r="B133" s="2013"/>
    </row>
    <row r="134" spans="2:2" x14ac:dyDescent="0.2">
      <c r="B134" s="2013"/>
    </row>
    <row r="135" spans="2:2" x14ac:dyDescent="0.2">
      <c r="B135" s="2013"/>
    </row>
    <row r="136" spans="2:2" x14ac:dyDescent="0.2">
      <c r="B136" s="2013"/>
    </row>
    <row r="137" spans="2:2" x14ac:dyDescent="0.2">
      <c r="B137" s="2013"/>
    </row>
    <row r="138" spans="2:2" x14ac:dyDescent="0.2">
      <c r="B138" s="2013"/>
    </row>
    <row r="139" spans="2:2" x14ac:dyDescent="0.2">
      <c r="B139" s="2013"/>
    </row>
    <row r="140" spans="2:2" x14ac:dyDescent="0.2">
      <c r="B140" s="2013"/>
    </row>
    <row r="141" spans="2:2" x14ac:dyDescent="0.2">
      <c r="B141" s="2013"/>
    </row>
    <row r="142" spans="2:2" x14ac:dyDescent="0.2">
      <c r="B142" s="2013"/>
    </row>
    <row r="143" spans="2:2" x14ac:dyDescent="0.2">
      <c r="B143" s="2013"/>
    </row>
    <row r="144" spans="2:2" x14ac:dyDescent="0.2">
      <c r="B144" s="2013"/>
    </row>
    <row r="145" spans="2:2" x14ac:dyDescent="0.2">
      <c r="B145" s="2013"/>
    </row>
    <row r="146" spans="2:2" x14ac:dyDescent="0.2">
      <c r="B146" s="2013"/>
    </row>
    <row r="147" spans="2:2" x14ac:dyDescent="0.2">
      <c r="B147" s="2013"/>
    </row>
    <row r="148" spans="2:2" x14ac:dyDescent="0.2">
      <c r="B148" s="2013"/>
    </row>
    <row r="149" spans="2:2" x14ac:dyDescent="0.2">
      <c r="B149" s="2013"/>
    </row>
    <row r="150" spans="2:2" x14ac:dyDescent="0.2">
      <c r="B150" s="2013"/>
    </row>
    <row r="151" spans="2:2" x14ac:dyDescent="0.2">
      <c r="B151" s="2013"/>
    </row>
    <row r="152" spans="2:2" x14ac:dyDescent="0.2">
      <c r="B152" s="2013"/>
    </row>
    <row r="153" spans="2:2" x14ac:dyDescent="0.2">
      <c r="B153" s="2013"/>
    </row>
    <row r="154" spans="2:2" x14ac:dyDescent="0.2">
      <c r="B154" s="2013"/>
    </row>
    <row r="155" spans="2:2" x14ac:dyDescent="0.2">
      <c r="B155" s="2013"/>
    </row>
    <row r="156" spans="2:2" x14ac:dyDescent="0.2">
      <c r="B156" s="2013"/>
    </row>
    <row r="157" spans="2:2" x14ac:dyDescent="0.2">
      <c r="B157" s="2013"/>
    </row>
    <row r="158" spans="2:2" x14ac:dyDescent="0.2">
      <c r="B158" s="2013"/>
    </row>
    <row r="159" spans="2:2" x14ac:dyDescent="0.2">
      <c r="B159" s="2013"/>
    </row>
    <row r="160" spans="2:2" x14ac:dyDescent="0.2">
      <c r="B160" s="2013"/>
    </row>
    <row r="161" spans="2:2" x14ac:dyDescent="0.2">
      <c r="B161" s="2013"/>
    </row>
    <row r="162" spans="2:2" x14ac:dyDescent="0.2">
      <c r="B162" s="2013"/>
    </row>
    <row r="163" spans="2:2" x14ac:dyDescent="0.2">
      <c r="B163" s="2013"/>
    </row>
    <row r="164" spans="2:2" x14ac:dyDescent="0.2">
      <c r="B164" s="2013"/>
    </row>
    <row r="165" spans="2:2" x14ac:dyDescent="0.2">
      <c r="B165" s="2013"/>
    </row>
    <row r="166" spans="2:2" x14ac:dyDescent="0.2">
      <c r="B166" s="2013"/>
    </row>
    <row r="167" spans="2:2" x14ac:dyDescent="0.2">
      <c r="B167" s="2013"/>
    </row>
    <row r="168" spans="2:2" x14ac:dyDescent="0.2">
      <c r="B168" s="2013"/>
    </row>
    <row r="169" spans="2:2" x14ac:dyDescent="0.2">
      <c r="B169" s="2013"/>
    </row>
    <row r="170" spans="2:2" x14ac:dyDescent="0.2">
      <c r="B170" s="2013"/>
    </row>
    <row r="171" spans="2:2" x14ac:dyDescent="0.2">
      <c r="B171" s="2013"/>
    </row>
    <row r="172" spans="2:2" x14ac:dyDescent="0.2">
      <c r="B172" s="2013"/>
    </row>
    <row r="173" spans="2:2" x14ac:dyDescent="0.2">
      <c r="B173" s="2013"/>
    </row>
    <row r="174" spans="2:2" x14ac:dyDescent="0.2">
      <c r="B174" s="2013"/>
    </row>
    <row r="175" spans="2:2" x14ac:dyDescent="0.2">
      <c r="B175" s="2013"/>
    </row>
    <row r="176" spans="2:2" x14ac:dyDescent="0.2">
      <c r="B176" s="2013"/>
    </row>
    <row r="177" spans="2:2" x14ac:dyDescent="0.2">
      <c r="B177" s="2013"/>
    </row>
    <row r="178" spans="2:2" x14ac:dyDescent="0.2">
      <c r="B178" s="2013"/>
    </row>
    <row r="179" spans="2:2" x14ac:dyDescent="0.2">
      <c r="B179" s="2013"/>
    </row>
    <row r="180" spans="2:2" x14ac:dyDescent="0.2">
      <c r="B180" s="2013"/>
    </row>
    <row r="181" spans="2:2" x14ac:dyDescent="0.2">
      <c r="B181" s="2013"/>
    </row>
    <row r="182" spans="2:2" x14ac:dyDescent="0.2">
      <c r="B182" s="2013"/>
    </row>
    <row r="183" spans="2:2" x14ac:dyDescent="0.2">
      <c r="B183" s="2013"/>
    </row>
    <row r="184" spans="2:2" x14ac:dyDescent="0.2">
      <c r="B184" s="2013"/>
    </row>
    <row r="185" spans="2:2" x14ac:dyDescent="0.2">
      <c r="B185" s="2013"/>
    </row>
    <row r="186" spans="2:2" x14ac:dyDescent="0.2">
      <c r="B186" s="2013"/>
    </row>
    <row r="187" spans="2:2" x14ac:dyDescent="0.2">
      <c r="B187" s="2013"/>
    </row>
    <row r="188" spans="2:2" x14ac:dyDescent="0.2">
      <c r="B188" s="2013"/>
    </row>
    <row r="189" spans="2:2" x14ac:dyDescent="0.2">
      <c r="B189" s="2013"/>
    </row>
    <row r="190" spans="2:2" x14ac:dyDescent="0.2">
      <c r="B190" s="2013"/>
    </row>
    <row r="191" spans="2:2" x14ac:dyDescent="0.2">
      <c r="B191" s="2013"/>
    </row>
    <row r="192" spans="2:2" x14ac:dyDescent="0.2">
      <c r="B192" s="2013"/>
    </row>
    <row r="193" spans="2:2" x14ac:dyDescent="0.2">
      <c r="B193" s="2013"/>
    </row>
    <row r="194" spans="2:2" x14ac:dyDescent="0.2">
      <c r="B194" s="2013"/>
    </row>
    <row r="195" spans="2:2" x14ac:dyDescent="0.2">
      <c r="B195" s="2013"/>
    </row>
    <row r="196" spans="2:2" x14ac:dyDescent="0.2">
      <c r="B196" s="2013"/>
    </row>
    <row r="197" spans="2:2" x14ac:dyDescent="0.2">
      <c r="B197" s="2013"/>
    </row>
    <row r="198" spans="2:2" x14ac:dyDescent="0.2">
      <c r="B198" s="2013"/>
    </row>
    <row r="199" spans="2:2" x14ac:dyDescent="0.2">
      <c r="B199" s="2013"/>
    </row>
    <row r="200" spans="2:2" x14ac:dyDescent="0.2">
      <c r="B200" s="2013"/>
    </row>
    <row r="201" spans="2:2" x14ac:dyDescent="0.2">
      <c r="B201" s="2013"/>
    </row>
    <row r="202" spans="2:2" x14ac:dyDescent="0.2">
      <c r="B202" s="2013"/>
    </row>
    <row r="203" spans="2:2" x14ac:dyDescent="0.2">
      <c r="B203" s="2013"/>
    </row>
    <row r="204" spans="2:2" x14ac:dyDescent="0.2">
      <c r="B204" s="2013"/>
    </row>
    <row r="205" spans="2:2" x14ac:dyDescent="0.2">
      <c r="B205" s="2013"/>
    </row>
    <row r="206" spans="2:2" x14ac:dyDescent="0.2">
      <c r="B206" s="2013"/>
    </row>
    <row r="207" spans="2:2" x14ac:dyDescent="0.2">
      <c r="B207" s="2013"/>
    </row>
    <row r="208" spans="2:2" x14ac:dyDescent="0.2">
      <c r="B208" s="2013"/>
    </row>
    <row r="209" spans="2:2" x14ac:dyDescent="0.2">
      <c r="B209" s="2013"/>
    </row>
    <row r="210" spans="2:2" x14ac:dyDescent="0.2">
      <c r="B210" s="2013"/>
    </row>
    <row r="211" spans="2:2" x14ac:dyDescent="0.2">
      <c r="B211" s="2013"/>
    </row>
    <row r="212" spans="2:2" x14ac:dyDescent="0.2">
      <c r="B212" s="2013"/>
    </row>
    <row r="213" spans="2:2" x14ac:dyDescent="0.2">
      <c r="B213" s="2013"/>
    </row>
    <row r="214" spans="2:2" x14ac:dyDescent="0.2">
      <c r="B214" s="2013"/>
    </row>
    <row r="215" spans="2:2" x14ac:dyDescent="0.2">
      <c r="B215" s="2013"/>
    </row>
    <row r="216" spans="2:2" x14ac:dyDescent="0.2">
      <c r="B216" s="2013"/>
    </row>
    <row r="217" spans="2:2" x14ac:dyDescent="0.2">
      <c r="B217" s="2013"/>
    </row>
    <row r="218" spans="2:2" x14ac:dyDescent="0.2">
      <c r="B218" s="2013"/>
    </row>
    <row r="219" spans="2:2" x14ac:dyDescent="0.2">
      <c r="B219" s="2013"/>
    </row>
    <row r="220" spans="2:2" x14ac:dyDescent="0.2">
      <c r="B220" s="2013"/>
    </row>
    <row r="221" spans="2:2" x14ac:dyDescent="0.2">
      <c r="B221" s="2013"/>
    </row>
    <row r="222" spans="2:2" x14ac:dyDescent="0.2">
      <c r="B222" s="2013"/>
    </row>
    <row r="223" spans="2:2" x14ac:dyDescent="0.2">
      <c r="B223" s="2013"/>
    </row>
    <row r="224" spans="2:2" x14ac:dyDescent="0.2">
      <c r="B224" s="2013"/>
    </row>
    <row r="225" spans="2:2" x14ac:dyDescent="0.2">
      <c r="B225" s="2013"/>
    </row>
    <row r="226" spans="2:2" x14ac:dyDescent="0.2">
      <c r="B226" s="2013"/>
    </row>
    <row r="227" spans="2:2" x14ac:dyDescent="0.2">
      <c r="B227" s="2013"/>
    </row>
    <row r="228" spans="2:2" x14ac:dyDescent="0.2">
      <c r="B228" s="2013"/>
    </row>
    <row r="229" spans="2:2" x14ac:dyDescent="0.2">
      <c r="B229" s="2013"/>
    </row>
    <row r="230" spans="2:2" x14ac:dyDescent="0.2">
      <c r="B230" s="2013"/>
    </row>
    <row r="231" spans="2:2" x14ac:dyDescent="0.2">
      <c r="B231" s="2013"/>
    </row>
    <row r="232" spans="2:2" x14ac:dyDescent="0.2">
      <c r="B232" s="2013"/>
    </row>
    <row r="233" spans="2:2" x14ac:dyDescent="0.2">
      <c r="B233" s="2013"/>
    </row>
    <row r="234" spans="2:2" x14ac:dyDescent="0.2">
      <c r="B234" s="2013"/>
    </row>
    <row r="235" spans="2:2" x14ac:dyDescent="0.2">
      <c r="B235" s="2013"/>
    </row>
    <row r="236" spans="2:2" x14ac:dyDescent="0.2">
      <c r="B236" s="2013"/>
    </row>
    <row r="237" spans="2:2" x14ac:dyDescent="0.2">
      <c r="B237" s="2013"/>
    </row>
    <row r="238" spans="2:2" x14ac:dyDescent="0.2">
      <c r="B238" s="2013"/>
    </row>
    <row r="239" spans="2:2" x14ac:dyDescent="0.2">
      <c r="B239" s="2013"/>
    </row>
    <row r="240" spans="2:2" x14ac:dyDescent="0.2">
      <c r="B240" s="2013"/>
    </row>
    <row r="241" spans="2:2" x14ac:dyDescent="0.2">
      <c r="B241" s="2013"/>
    </row>
    <row r="242" spans="2:2" x14ac:dyDescent="0.2">
      <c r="B242" s="2013"/>
    </row>
    <row r="243" spans="2:2" x14ac:dyDescent="0.2">
      <c r="B243" s="2013"/>
    </row>
    <row r="244" spans="2:2" x14ac:dyDescent="0.2">
      <c r="B244" s="2013"/>
    </row>
    <row r="245" spans="2:2" x14ac:dyDescent="0.2">
      <c r="B245" s="2013"/>
    </row>
    <row r="246" spans="2:2" x14ac:dyDescent="0.2">
      <c r="B246" s="2013"/>
    </row>
    <row r="247" spans="2:2" x14ac:dyDescent="0.2">
      <c r="B247" s="2013"/>
    </row>
    <row r="248" spans="2:2" x14ac:dyDescent="0.2">
      <c r="B248" s="2013"/>
    </row>
    <row r="249" spans="2:2" x14ac:dyDescent="0.2">
      <c r="B249" s="2013"/>
    </row>
    <row r="250" spans="2:2" x14ac:dyDescent="0.2">
      <c r="B250" s="2013"/>
    </row>
    <row r="251" spans="2:2" x14ac:dyDescent="0.2">
      <c r="B251" s="2013"/>
    </row>
    <row r="252" spans="2:2" x14ac:dyDescent="0.2">
      <c r="B252" s="2013"/>
    </row>
    <row r="253" spans="2:2" x14ac:dyDescent="0.2">
      <c r="B253" s="2013"/>
    </row>
    <row r="254" spans="2:2" x14ac:dyDescent="0.2">
      <c r="B254" s="2013"/>
    </row>
    <row r="255" spans="2:2" x14ac:dyDescent="0.2">
      <c r="B255" s="2013"/>
    </row>
    <row r="256" spans="2:2" x14ac:dyDescent="0.2">
      <c r="B256" s="2013"/>
    </row>
    <row r="257" spans="2:2" x14ac:dyDescent="0.2">
      <c r="B257" s="2013"/>
    </row>
    <row r="258" spans="2:2" x14ac:dyDescent="0.2">
      <c r="B258" s="2013"/>
    </row>
    <row r="259" spans="2:2" x14ac:dyDescent="0.2">
      <c r="B259" s="2013"/>
    </row>
    <row r="260" spans="2:2" x14ac:dyDescent="0.2">
      <c r="B260" s="2013"/>
    </row>
    <row r="261" spans="2:2" x14ac:dyDescent="0.2">
      <c r="B261" s="2013"/>
    </row>
    <row r="262" spans="2:2" x14ac:dyDescent="0.2">
      <c r="B262" s="2013"/>
    </row>
    <row r="263" spans="2:2" x14ac:dyDescent="0.2">
      <c r="B263" s="2013"/>
    </row>
    <row r="264" spans="2:2" x14ac:dyDescent="0.2">
      <c r="B264" s="2013"/>
    </row>
    <row r="265" spans="2:2" x14ac:dyDescent="0.2">
      <c r="B265" s="2013"/>
    </row>
    <row r="266" spans="2:2" x14ac:dyDescent="0.2">
      <c r="B266" s="2013"/>
    </row>
    <row r="267" spans="2:2" x14ac:dyDescent="0.2">
      <c r="B267" s="2013"/>
    </row>
    <row r="268" spans="2:2" x14ac:dyDescent="0.2">
      <c r="B268" s="2013"/>
    </row>
    <row r="269" spans="2:2" x14ac:dyDescent="0.2">
      <c r="B269" s="2013"/>
    </row>
    <row r="270" spans="2:2" x14ac:dyDescent="0.2">
      <c r="B270" s="2013"/>
    </row>
    <row r="271" spans="2:2" x14ac:dyDescent="0.2">
      <c r="B271" s="2013"/>
    </row>
    <row r="272" spans="2:2" x14ac:dyDescent="0.2">
      <c r="B272" s="2013"/>
    </row>
    <row r="273" spans="2:2" x14ac:dyDescent="0.2">
      <c r="B273" s="2013"/>
    </row>
    <row r="274" spans="2:2" x14ac:dyDescent="0.2">
      <c r="B274" s="2013"/>
    </row>
    <row r="275" spans="2:2" x14ac:dyDescent="0.2">
      <c r="B275" s="2013"/>
    </row>
    <row r="276" spans="2:2" x14ac:dyDescent="0.2">
      <c r="B276" s="2013"/>
    </row>
    <row r="277" spans="2:2" x14ac:dyDescent="0.2">
      <c r="B277" s="2013"/>
    </row>
    <row r="278" spans="2:2" x14ac:dyDescent="0.2">
      <c r="B278" s="2013"/>
    </row>
    <row r="279" spans="2:2" x14ac:dyDescent="0.2">
      <c r="B279" s="2013"/>
    </row>
    <row r="280" spans="2:2" x14ac:dyDescent="0.2">
      <c r="B280" s="2013"/>
    </row>
    <row r="281" spans="2:2" x14ac:dyDescent="0.2">
      <c r="B281" s="2013"/>
    </row>
    <row r="282" spans="2:2" x14ac:dyDescent="0.2">
      <c r="B282" s="2013"/>
    </row>
    <row r="283" spans="2:2" x14ac:dyDescent="0.2">
      <c r="B283" s="2013"/>
    </row>
    <row r="284" spans="2:2" x14ac:dyDescent="0.2">
      <c r="B284" s="2013"/>
    </row>
    <row r="285" spans="2:2" x14ac:dyDescent="0.2">
      <c r="B285" s="2013"/>
    </row>
    <row r="286" spans="2:2" x14ac:dyDescent="0.2">
      <c r="B286" s="2013"/>
    </row>
    <row r="287" spans="2:2" x14ac:dyDescent="0.2">
      <c r="B287" s="2013"/>
    </row>
    <row r="288" spans="2:2" x14ac:dyDescent="0.2">
      <c r="B288" s="2013"/>
    </row>
    <row r="289" spans="2:2" x14ac:dyDescent="0.2">
      <c r="B289" s="2013"/>
    </row>
    <row r="290" spans="2:2" x14ac:dyDescent="0.2">
      <c r="B290" s="2013"/>
    </row>
    <row r="291" spans="2:2" x14ac:dyDescent="0.2">
      <c r="B291" s="2013"/>
    </row>
    <row r="292" spans="2:2" x14ac:dyDescent="0.2">
      <c r="B292" s="2013"/>
    </row>
    <row r="293" spans="2:2" x14ac:dyDescent="0.2">
      <c r="B293" s="2013"/>
    </row>
    <row r="294" spans="2:2" x14ac:dyDescent="0.2">
      <c r="B294" s="2013"/>
    </row>
    <row r="295" spans="2:2" x14ac:dyDescent="0.2">
      <c r="B295" s="2013"/>
    </row>
    <row r="296" spans="2:2" x14ac:dyDescent="0.2">
      <c r="B296" s="2013"/>
    </row>
    <row r="297" spans="2:2" x14ac:dyDescent="0.2">
      <c r="B297" s="2013"/>
    </row>
    <row r="298" spans="2:2" x14ac:dyDescent="0.2">
      <c r="B298" s="2013"/>
    </row>
    <row r="299" spans="2:2" x14ac:dyDescent="0.2">
      <c r="B299" s="2013"/>
    </row>
    <row r="300" spans="2:2" x14ac:dyDescent="0.2">
      <c r="B300" s="2013"/>
    </row>
    <row r="301" spans="2:2" x14ac:dyDescent="0.2">
      <c r="B301" s="2013"/>
    </row>
    <row r="302" spans="2:2" x14ac:dyDescent="0.2">
      <c r="B302" s="2013"/>
    </row>
    <row r="303" spans="2:2" x14ac:dyDescent="0.2">
      <c r="B303" s="2013"/>
    </row>
    <row r="304" spans="2:2" x14ac:dyDescent="0.2">
      <c r="B304" s="2013"/>
    </row>
    <row r="305" spans="2:2" x14ac:dyDescent="0.2">
      <c r="B305" s="2013"/>
    </row>
    <row r="306" spans="2:2" x14ac:dyDescent="0.2">
      <c r="B306" s="2013"/>
    </row>
    <row r="307" spans="2:2" x14ac:dyDescent="0.2">
      <c r="B307" s="2013"/>
    </row>
    <row r="308" spans="2:2" x14ac:dyDescent="0.2">
      <c r="B308" s="2013"/>
    </row>
    <row r="309" spans="2:2" x14ac:dyDescent="0.2">
      <c r="B309" s="2013"/>
    </row>
    <row r="310" spans="2:2" x14ac:dyDescent="0.2">
      <c r="B310" s="2013"/>
    </row>
    <row r="311" spans="2:2" x14ac:dyDescent="0.2">
      <c r="B311" s="2013"/>
    </row>
    <row r="312" spans="2:2" x14ac:dyDescent="0.2">
      <c r="B312" s="2013"/>
    </row>
    <row r="313" spans="2:2" x14ac:dyDescent="0.2">
      <c r="B313" s="2013"/>
    </row>
    <row r="314" spans="2:2" x14ac:dyDescent="0.2">
      <c r="B314" s="2013"/>
    </row>
    <row r="315" spans="2:2" x14ac:dyDescent="0.2">
      <c r="B315" s="2013"/>
    </row>
    <row r="316" spans="2:2" x14ac:dyDescent="0.2">
      <c r="B316" s="2013"/>
    </row>
    <row r="317" spans="2:2" x14ac:dyDescent="0.2">
      <c r="B317" s="2013"/>
    </row>
    <row r="318" spans="2:2" x14ac:dyDescent="0.2">
      <c r="B318" s="2013"/>
    </row>
    <row r="319" spans="2:2" x14ac:dyDescent="0.2">
      <c r="B319" s="2013"/>
    </row>
    <row r="320" spans="2:2" x14ac:dyDescent="0.2">
      <c r="B320" s="2013"/>
    </row>
    <row r="321" spans="2:2" x14ac:dyDescent="0.2">
      <c r="B321" s="2013"/>
    </row>
    <row r="322" spans="2:2" x14ac:dyDescent="0.2">
      <c r="B322" s="2013"/>
    </row>
    <row r="323" spans="2:2" x14ac:dyDescent="0.2">
      <c r="B323" s="2013"/>
    </row>
    <row r="324" spans="2:2" x14ac:dyDescent="0.2">
      <c r="B324" s="2013"/>
    </row>
    <row r="325" spans="2:2" x14ac:dyDescent="0.2">
      <c r="B325" s="2013"/>
    </row>
    <row r="326" spans="2:2" x14ac:dyDescent="0.2">
      <c r="B326" s="2013"/>
    </row>
    <row r="327" spans="2:2" x14ac:dyDescent="0.2">
      <c r="B327" s="2013"/>
    </row>
    <row r="328" spans="2:2" x14ac:dyDescent="0.2">
      <c r="B328" s="2013"/>
    </row>
    <row r="329" spans="2:2" x14ac:dyDescent="0.2">
      <c r="B329" s="2013"/>
    </row>
    <row r="330" spans="2:2" x14ac:dyDescent="0.2">
      <c r="B330" s="2013"/>
    </row>
    <row r="331" spans="2:2" x14ac:dyDescent="0.2">
      <c r="B331" s="2013"/>
    </row>
    <row r="332" spans="2:2" x14ac:dyDescent="0.2">
      <c r="B332" s="2013"/>
    </row>
    <row r="333" spans="2:2" x14ac:dyDescent="0.2">
      <c r="B333" s="2013"/>
    </row>
    <row r="334" spans="2:2" x14ac:dyDescent="0.2">
      <c r="B334" s="2013"/>
    </row>
    <row r="335" spans="2:2" x14ac:dyDescent="0.2">
      <c r="B335" s="2013"/>
    </row>
    <row r="336" spans="2:2" x14ac:dyDescent="0.2">
      <c r="B336" s="2013"/>
    </row>
    <row r="337" spans="2:2" x14ac:dyDescent="0.2">
      <c r="B337" s="2013"/>
    </row>
    <row r="338" spans="2:2" x14ac:dyDescent="0.2">
      <c r="B338" s="2013"/>
    </row>
    <row r="339" spans="2:2" x14ac:dyDescent="0.2">
      <c r="B339" s="2013"/>
    </row>
    <row r="340" spans="2:2" x14ac:dyDescent="0.2">
      <c r="B340" s="2013"/>
    </row>
    <row r="341" spans="2:2" x14ac:dyDescent="0.2">
      <c r="B341" s="2013"/>
    </row>
    <row r="342" spans="2:2" x14ac:dyDescent="0.2">
      <c r="B342" s="2013"/>
    </row>
    <row r="343" spans="2:2" x14ac:dyDescent="0.2">
      <c r="B343" s="2013"/>
    </row>
    <row r="344" spans="2:2" x14ac:dyDescent="0.2">
      <c r="B344" s="2013"/>
    </row>
    <row r="345" spans="2:2" x14ac:dyDescent="0.2">
      <c r="B345" s="2013"/>
    </row>
    <row r="346" spans="2:2" x14ac:dyDescent="0.2">
      <c r="B346" s="2013"/>
    </row>
    <row r="347" spans="2:2" x14ac:dyDescent="0.2">
      <c r="B347" s="2013"/>
    </row>
    <row r="348" spans="2:2" x14ac:dyDescent="0.2">
      <c r="B348" s="2013"/>
    </row>
    <row r="349" spans="2:2" x14ac:dyDescent="0.2">
      <c r="B349" s="2013"/>
    </row>
    <row r="350" spans="2:2" x14ac:dyDescent="0.2">
      <c r="B350" s="2013"/>
    </row>
    <row r="351" spans="2:2" x14ac:dyDescent="0.2">
      <c r="B351" s="2013"/>
    </row>
    <row r="352" spans="2:2" x14ac:dyDescent="0.2">
      <c r="B352" s="2013"/>
    </row>
    <row r="353" spans="2:2" x14ac:dyDescent="0.2">
      <c r="B353" s="2013"/>
    </row>
    <row r="354" spans="2:2" x14ac:dyDescent="0.2">
      <c r="B354" s="2013"/>
    </row>
    <row r="355" spans="2:2" x14ac:dyDescent="0.2">
      <c r="B355" s="2013"/>
    </row>
    <row r="356" spans="2:2" x14ac:dyDescent="0.2">
      <c r="B356" s="2013"/>
    </row>
    <row r="357" spans="2:2" x14ac:dyDescent="0.2">
      <c r="B357" s="2013"/>
    </row>
    <row r="358" spans="2:2" x14ac:dyDescent="0.2">
      <c r="B358" s="2013"/>
    </row>
    <row r="359" spans="2:2" x14ac:dyDescent="0.2">
      <c r="B359" s="2013"/>
    </row>
    <row r="360" spans="2:2" x14ac:dyDescent="0.2">
      <c r="B360" s="2013"/>
    </row>
    <row r="361" spans="2:2" x14ac:dyDescent="0.2">
      <c r="B361" s="2013"/>
    </row>
    <row r="362" spans="2:2" x14ac:dyDescent="0.2">
      <c r="B362" s="2013"/>
    </row>
    <row r="363" spans="2:2" x14ac:dyDescent="0.2">
      <c r="B363" s="2013"/>
    </row>
    <row r="364" spans="2:2" x14ac:dyDescent="0.2">
      <c r="B364" s="2013"/>
    </row>
    <row r="365" spans="2:2" x14ac:dyDescent="0.2">
      <c r="B365" s="2013"/>
    </row>
    <row r="366" spans="2:2" x14ac:dyDescent="0.2">
      <c r="B366" s="2013"/>
    </row>
    <row r="367" spans="2:2" x14ac:dyDescent="0.2">
      <c r="B367" s="2013"/>
    </row>
    <row r="368" spans="2:2" x14ac:dyDescent="0.2">
      <c r="B368" s="2013"/>
    </row>
    <row r="369" spans="2:2" x14ac:dyDescent="0.2">
      <c r="B369" s="2013"/>
    </row>
    <row r="370" spans="2:2" x14ac:dyDescent="0.2">
      <c r="B370" s="2013"/>
    </row>
    <row r="371" spans="2:2" x14ac:dyDescent="0.2">
      <c r="B371" s="2013"/>
    </row>
    <row r="372" spans="2:2" x14ac:dyDescent="0.2">
      <c r="B372" s="2013"/>
    </row>
    <row r="373" spans="2:2" x14ac:dyDescent="0.2">
      <c r="B373" s="2013"/>
    </row>
    <row r="374" spans="2:2" x14ac:dyDescent="0.2">
      <c r="B374" s="2013"/>
    </row>
    <row r="375" spans="2:2" x14ac:dyDescent="0.2">
      <c r="B375" s="2013"/>
    </row>
    <row r="376" spans="2:2" x14ac:dyDescent="0.2">
      <c r="B376" s="2013"/>
    </row>
    <row r="377" spans="2:2" x14ac:dyDescent="0.2">
      <c r="B377" s="2013"/>
    </row>
    <row r="378" spans="2:2" x14ac:dyDescent="0.2">
      <c r="B378" s="2013"/>
    </row>
    <row r="379" spans="2:2" x14ac:dyDescent="0.2">
      <c r="B379" s="2013"/>
    </row>
    <row r="380" spans="2:2" x14ac:dyDescent="0.2">
      <c r="B380" s="2013"/>
    </row>
    <row r="381" spans="2:2" x14ac:dyDescent="0.2">
      <c r="B381" s="2013"/>
    </row>
    <row r="382" spans="2:2" x14ac:dyDescent="0.2">
      <c r="B382" s="2013"/>
    </row>
    <row r="383" spans="2:2" x14ac:dyDescent="0.2">
      <c r="B383" s="2013"/>
    </row>
    <row r="384" spans="2:2" x14ac:dyDescent="0.2">
      <c r="B384" s="2013"/>
    </row>
    <row r="385" spans="2:2" x14ac:dyDescent="0.2">
      <c r="B385" s="2013"/>
    </row>
    <row r="386" spans="2:2" x14ac:dyDescent="0.2">
      <c r="B386" s="2013"/>
    </row>
    <row r="387" spans="2:2" x14ac:dyDescent="0.2">
      <c r="B387" s="2013"/>
    </row>
    <row r="388" spans="2:2" x14ac:dyDescent="0.2">
      <c r="B388" s="2013"/>
    </row>
    <row r="389" spans="2:2" x14ac:dyDescent="0.2">
      <c r="B389" s="2013"/>
    </row>
    <row r="390" spans="2:2" x14ac:dyDescent="0.2">
      <c r="B390" s="2013"/>
    </row>
    <row r="391" spans="2:2" x14ac:dyDescent="0.2">
      <c r="B391" s="2013"/>
    </row>
    <row r="392" spans="2:2" x14ac:dyDescent="0.2">
      <c r="B392" s="2013"/>
    </row>
    <row r="393" spans="2:2" x14ac:dyDescent="0.2">
      <c r="B393" s="2013"/>
    </row>
    <row r="394" spans="2:2" x14ac:dyDescent="0.2">
      <c r="B394" s="2013"/>
    </row>
    <row r="395" spans="2:2" x14ac:dyDescent="0.2">
      <c r="B395" s="2013"/>
    </row>
    <row r="396" spans="2:2" x14ac:dyDescent="0.2">
      <c r="B396" s="2013"/>
    </row>
    <row r="397" spans="2:2" x14ac:dyDescent="0.2">
      <c r="B397" s="2013"/>
    </row>
    <row r="398" spans="2:2" x14ac:dyDescent="0.2">
      <c r="B398" s="2013"/>
    </row>
    <row r="399" spans="2:2" x14ac:dyDescent="0.2">
      <c r="B399" s="2013"/>
    </row>
    <row r="400" spans="2:2" x14ac:dyDescent="0.2">
      <c r="B400" s="2013"/>
    </row>
    <row r="401" spans="2:2" x14ac:dyDescent="0.2">
      <c r="B401" s="2013"/>
    </row>
    <row r="402" spans="2:2" x14ac:dyDescent="0.2">
      <c r="B402" s="2013"/>
    </row>
    <row r="403" spans="2:2" x14ac:dyDescent="0.2">
      <c r="B403" s="2013"/>
    </row>
    <row r="404" spans="2:2" x14ac:dyDescent="0.2">
      <c r="B404" s="2013"/>
    </row>
    <row r="405" spans="2:2" x14ac:dyDescent="0.2">
      <c r="B405" s="2013"/>
    </row>
    <row r="406" spans="2:2" x14ac:dyDescent="0.2">
      <c r="B406" s="2013"/>
    </row>
    <row r="407" spans="2:2" x14ac:dyDescent="0.2">
      <c r="B407" s="2013"/>
    </row>
    <row r="408" spans="2:2" x14ac:dyDescent="0.2">
      <c r="B408" s="2013"/>
    </row>
    <row r="409" spans="2:2" x14ac:dyDescent="0.2">
      <c r="B409" s="2013"/>
    </row>
    <row r="410" spans="2:2" x14ac:dyDescent="0.2">
      <c r="B410" s="2013"/>
    </row>
    <row r="411" spans="2:2" x14ac:dyDescent="0.2">
      <c r="B411" s="2013"/>
    </row>
    <row r="412" spans="2:2" x14ac:dyDescent="0.2">
      <c r="B412" s="2013"/>
    </row>
    <row r="413" spans="2:2" x14ac:dyDescent="0.2">
      <c r="B413" s="2013"/>
    </row>
    <row r="414" spans="2:2" x14ac:dyDescent="0.2">
      <c r="B414" s="2013"/>
    </row>
    <row r="415" spans="2:2" x14ac:dyDescent="0.2">
      <c r="B415" s="2013"/>
    </row>
    <row r="416" spans="2:2" x14ac:dyDescent="0.2">
      <c r="B416" s="2013"/>
    </row>
    <row r="417" spans="2:2" x14ac:dyDescent="0.2">
      <c r="B417" s="2013"/>
    </row>
    <row r="418" spans="2:2" x14ac:dyDescent="0.2">
      <c r="B418" s="2013"/>
    </row>
    <row r="419" spans="2:2" x14ac:dyDescent="0.2">
      <c r="B419" s="2013"/>
    </row>
    <row r="420" spans="2:2" x14ac:dyDescent="0.2">
      <c r="B420" s="2013"/>
    </row>
    <row r="421" spans="2:2" x14ac:dyDescent="0.2">
      <c r="B421" s="2013"/>
    </row>
    <row r="422" spans="2:2" x14ac:dyDescent="0.2">
      <c r="B422" s="2013"/>
    </row>
    <row r="423" spans="2:2" x14ac:dyDescent="0.2">
      <c r="B423" s="2013"/>
    </row>
    <row r="424" spans="2:2" x14ac:dyDescent="0.2">
      <c r="B424" s="2013"/>
    </row>
    <row r="425" spans="2:2" x14ac:dyDescent="0.2">
      <c r="B425" s="2013"/>
    </row>
    <row r="426" spans="2:2" x14ac:dyDescent="0.2">
      <c r="B426" s="2013"/>
    </row>
    <row r="427" spans="2:2" x14ac:dyDescent="0.2">
      <c r="B427" s="2013"/>
    </row>
    <row r="428" spans="2:2" x14ac:dyDescent="0.2">
      <c r="B428" s="2013"/>
    </row>
    <row r="429" spans="2:2" x14ac:dyDescent="0.2">
      <c r="B429" s="2013"/>
    </row>
    <row r="430" spans="2:2" x14ac:dyDescent="0.2">
      <c r="B430" s="2013"/>
    </row>
    <row r="431" spans="2:2" x14ac:dyDescent="0.2">
      <c r="B431" s="2013"/>
    </row>
    <row r="432" spans="2:2" x14ac:dyDescent="0.2">
      <c r="B432" s="2013"/>
    </row>
    <row r="433" spans="2:2" x14ac:dyDescent="0.2">
      <c r="B433" s="2013"/>
    </row>
    <row r="434" spans="2:2" x14ac:dyDescent="0.2">
      <c r="B434" s="2013"/>
    </row>
    <row r="435" spans="2:2" x14ac:dyDescent="0.2">
      <c r="B435" s="2013"/>
    </row>
    <row r="436" spans="2:2" x14ac:dyDescent="0.2">
      <c r="B436" s="2013"/>
    </row>
    <row r="437" spans="2:2" x14ac:dyDescent="0.2">
      <c r="B437" s="2013"/>
    </row>
    <row r="438" spans="2:2" x14ac:dyDescent="0.2">
      <c r="B438" s="2013"/>
    </row>
    <row r="439" spans="2:2" x14ac:dyDescent="0.2">
      <c r="B439" s="2013"/>
    </row>
    <row r="440" spans="2:2" x14ac:dyDescent="0.2">
      <c r="B440" s="2013"/>
    </row>
    <row r="441" spans="2:2" x14ac:dyDescent="0.2">
      <c r="B441" s="2013"/>
    </row>
    <row r="442" spans="2:2" x14ac:dyDescent="0.2">
      <c r="B442" s="2013"/>
    </row>
    <row r="443" spans="2:2" x14ac:dyDescent="0.2">
      <c r="B443" s="2013"/>
    </row>
    <row r="444" spans="2:2" x14ac:dyDescent="0.2">
      <c r="B444" s="2013"/>
    </row>
    <row r="445" spans="2:2" x14ac:dyDescent="0.2">
      <c r="B445" s="2013"/>
    </row>
    <row r="446" spans="2:2" x14ac:dyDescent="0.2">
      <c r="B446" s="2013"/>
    </row>
    <row r="447" spans="2:2" x14ac:dyDescent="0.2">
      <c r="B447" s="2013"/>
    </row>
    <row r="448" spans="2:2" x14ac:dyDescent="0.2">
      <c r="B448" s="2013"/>
    </row>
    <row r="449" spans="2:2" x14ac:dyDescent="0.2">
      <c r="B449" s="2013"/>
    </row>
    <row r="450" spans="2:2" x14ac:dyDescent="0.2">
      <c r="B450" s="2013"/>
    </row>
    <row r="451" spans="2:2" x14ac:dyDescent="0.2">
      <c r="B451" s="2013"/>
    </row>
    <row r="452" spans="2:2" x14ac:dyDescent="0.2">
      <c r="B452" s="2013"/>
    </row>
    <row r="453" spans="2:2" x14ac:dyDescent="0.2">
      <c r="B453" s="2013"/>
    </row>
    <row r="454" spans="2:2" x14ac:dyDescent="0.2">
      <c r="B454" s="2013"/>
    </row>
    <row r="455" spans="2:2" x14ac:dyDescent="0.2">
      <c r="B455" s="2013"/>
    </row>
    <row r="456" spans="2:2" x14ac:dyDescent="0.2">
      <c r="B456" s="2013"/>
    </row>
    <row r="457" spans="2:2" x14ac:dyDescent="0.2">
      <c r="B457" s="2013"/>
    </row>
    <row r="458" spans="2:2" x14ac:dyDescent="0.2">
      <c r="B458" s="2013"/>
    </row>
    <row r="459" spans="2:2" x14ac:dyDescent="0.2">
      <c r="B459" s="2013"/>
    </row>
    <row r="460" spans="2:2" x14ac:dyDescent="0.2">
      <c r="B460" s="2013"/>
    </row>
    <row r="461" spans="2:2" x14ac:dyDescent="0.2">
      <c r="B461" s="2013"/>
    </row>
    <row r="462" spans="2:2" x14ac:dyDescent="0.2">
      <c r="B462" s="2013"/>
    </row>
    <row r="463" spans="2:2" x14ac:dyDescent="0.2">
      <c r="B463" s="2013"/>
    </row>
    <row r="464" spans="2:2" x14ac:dyDescent="0.2">
      <c r="B464" s="2013"/>
    </row>
    <row r="465" spans="2:2" x14ac:dyDescent="0.2">
      <c r="B465" s="2013"/>
    </row>
    <row r="466" spans="2:2" x14ac:dyDescent="0.2">
      <c r="B466" s="2013"/>
    </row>
    <row r="467" spans="2:2" x14ac:dyDescent="0.2">
      <c r="B467" s="2013"/>
    </row>
    <row r="468" spans="2:2" x14ac:dyDescent="0.2">
      <c r="B468" s="2013"/>
    </row>
    <row r="469" spans="2:2" x14ac:dyDescent="0.2">
      <c r="B469" s="2013"/>
    </row>
    <row r="470" spans="2:2" x14ac:dyDescent="0.2">
      <c r="B470" s="2013"/>
    </row>
    <row r="471" spans="2:2" x14ac:dyDescent="0.2">
      <c r="B471" s="2013"/>
    </row>
    <row r="472" spans="2:2" x14ac:dyDescent="0.2">
      <c r="B472" s="2013"/>
    </row>
    <row r="473" spans="2:2" x14ac:dyDescent="0.2">
      <c r="B473" s="2013"/>
    </row>
    <row r="474" spans="2:2" x14ac:dyDescent="0.2">
      <c r="B474" s="2013"/>
    </row>
    <row r="475" spans="2:2" x14ac:dyDescent="0.2">
      <c r="B475" s="2013"/>
    </row>
    <row r="476" spans="2:2" x14ac:dyDescent="0.2">
      <c r="B476" s="2013"/>
    </row>
    <row r="477" spans="2:2" x14ac:dyDescent="0.2">
      <c r="B477" s="2013"/>
    </row>
    <row r="478" spans="2:2" x14ac:dyDescent="0.2">
      <c r="B478" s="2013"/>
    </row>
    <row r="479" spans="2:2" x14ac:dyDescent="0.2">
      <c r="B479" s="2013"/>
    </row>
    <row r="480" spans="2:2" x14ac:dyDescent="0.2">
      <c r="B480" s="2013"/>
    </row>
    <row r="481" spans="2:2" x14ac:dyDescent="0.2">
      <c r="B481" s="2013"/>
    </row>
    <row r="482" spans="2:2" x14ac:dyDescent="0.2">
      <c r="B482" s="2013"/>
    </row>
    <row r="483" spans="2:2" x14ac:dyDescent="0.2">
      <c r="B483" s="2013"/>
    </row>
    <row r="484" spans="2:2" x14ac:dyDescent="0.2">
      <c r="B484" s="2013"/>
    </row>
    <row r="485" spans="2:2" x14ac:dyDescent="0.2">
      <c r="B485" s="2013"/>
    </row>
    <row r="486" spans="2:2" x14ac:dyDescent="0.2">
      <c r="B486" s="2013"/>
    </row>
    <row r="487" spans="2:2" x14ac:dyDescent="0.2">
      <c r="B487" s="2013"/>
    </row>
    <row r="488" spans="2:2" x14ac:dyDescent="0.2">
      <c r="B488" s="2013"/>
    </row>
    <row r="489" spans="2:2" x14ac:dyDescent="0.2">
      <c r="B489" s="2013"/>
    </row>
    <row r="490" spans="2:2" x14ac:dyDescent="0.2">
      <c r="B490" s="2013"/>
    </row>
    <row r="491" spans="2:2" x14ac:dyDescent="0.2">
      <c r="B491" s="2013"/>
    </row>
    <row r="492" spans="2:2" x14ac:dyDescent="0.2">
      <c r="B492" s="2013"/>
    </row>
    <row r="493" spans="2:2" x14ac:dyDescent="0.2">
      <c r="B493" s="2013"/>
    </row>
    <row r="494" spans="2:2" x14ac:dyDescent="0.2">
      <c r="B494" s="2013"/>
    </row>
    <row r="495" spans="2:2" x14ac:dyDescent="0.2">
      <c r="B495" s="2013"/>
    </row>
    <row r="496" spans="2:2" x14ac:dyDescent="0.2">
      <c r="B496" s="2013"/>
    </row>
    <row r="497" spans="2:2" x14ac:dyDescent="0.2">
      <c r="B497" s="2013"/>
    </row>
    <row r="498" spans="2:2" x14ac:dyDescent="0.2">
      <c r="B498" s="2013"/>
    </row>
    <row r="499" spans="2:2" x14ac:dyDescent="0.2">
      <c r="B499" s="2013"/>
    </row>
    <row r="500" spans="2:2" x14ac:dyDescent="0.2">
      <c r="B500" s="2013"/>
    </row>
    <row r="501" spans="2:2" x14ac:dyDescent="0.2">
      <c r="B501" s="2013"/>
    </row>
    <row r="502" spans="2:2" x14ac:dyDescent="0.2">
      <c r="B502" s="2013"/>
    </row>
    <row r="503" spans="2:2" x14ac:dyDescent="0.2">
      <c r="B503" s="2013"/>
    </row>
    <row r="504" spans="2:2" x14ac:dyDescent="0.2">
      <c r="B504" s="2013"/>
    </row>
    <row r="505" spans="2:2" x14ac:dyDescent="0.2">
      <c r="B505" s="2013"/>
    </row>
    <row r="506" spans="2:2" x14ac:dyDescent="0.2">
      <c r="B506" s="2013"/>
    </row>
    <row r="507" spans="2:2" x14ac:dyDescent="0.2">
      <c r="B507" s="2013"/>
    </row>
    <row r="508" spans="2:2" x14ac:dyDescent="0.2">
      <c r="B508" s="2013"/>
    </row>
    <row r="509" spans="2:2" x14ac:dyDescent="0.2">
      <c r="B509" s="2013"/>
    </row>
    <row r="510" spans="2:2" x14ac:dyDescent="0.2">
      <c r="B510" s="2013"/>
    </row>
    <row r="511" spans="2:2" x14ac:dyDescent="0.2">
      <c r="B511" s="2013"/>
    </row>
    <row r="512" spans="2:2" x14ac:dyDescent="0.2">
      <c r="B512" s="2013"/>
    </row>
    <row r="513" spans="2:2" x14ac:dyDescent="0.2">
      <c r="B513" s="2013"/>
    </row>
    <row r="514" spans="2:2" x14ac:dyDescent="0.2">
      <c r="B514" s="2013"/>
    </row>
    <row r="515" spans="2:2" x14ac:dyDescent="0.2">
      <c r="B515" s="2013"/>
    </row>
    <row r="516" spans="2:2" x14ac:dyDescent="0.2">
      <c r="B516" s="2013"/>
    </row>
    <row r="517" spans="2:2" x14ac:dyDescent="0.2">
      <c r="B517" s="2013"/>
    </row>
    <row r="518" spans="2:2" x14ac:dyDescent="0.2">
      <c r="B518" s="2013"/>
    </row>
    <row r="519" spans="2:2" x14ac:dyDescent="0.2">
      <c r="B519" s="2013"/>
    </row>
    <row r="520" spans="2:2" x14ac:dyDescent="0.2">
      <c r="B520" s="2013"/>
    </row>
    <row r="521" spans="2:2" x14ac:dyDescent="0.2">
      <c r="B521" s="2013"/>
    </row>
    <row r="522" spans="2:2" x14ac:dyDescent="0.2">
      <c r="B522" s="2013"/>
    </row>
    <row r="523" spans="2:2" x14ac:dyDescent="0.2">
      <c r="B523" s="2013"/>
    </row>
    <row r="524" spans="2:2" x14ac:dyDescent="0.2">
      <c r="B524" s="2013"/>
    </row>
    <row r="525" spans="2:2" x14ac:dyDescent="0.2">
      <c r="B525" s="2013"/>
    </row>
    <row r="526" spans="2:2" x14ac:dyDescent="0.2">
      <c r="B526" s="2013"/>
    </row>
    <row r="527" spans="2:2" x14ac:dyDescent="0.2">
      <c r="B527" s="2013"/>
    </row>
    <row r="528" spans="2:2" x14ac:dyDescent="0.2">
      <c r="B528" s="2013"/>
    </row>
    <row r="529" spans="2:2" x14ac:dyDescent="0.2">
      <c r="B529" s="2013"/>
    </row>
    <row r="530" spans="2:2" x14ac:dyDescent="0.2">
      <c r="B530" s="2013"/>
    </row>
    <row r="531" spans="2:2" x14ac:dyDescent="0.2">
      <c r="B531" s="2013"/>
    </row>
    <row r="532" spans="2:2" x14ac:dyDescent="0.2">
      <c r="B532" s="2013"/>
    </row>
    <row r="533" spans="2:2" x14ac:dyDescent="0.2">
      <c r="B533" s="2013"/>
    </row>
    <row r="534" spans="2:2" x14ac:dyDescent="0.2">
      <c r="B534" s="2013"/>
    </row>
    <row r="535" spans="2:2" x14ac:dyDescent="0.2">
      <c r="B535" s="2013"/>
    </row>
    <row r="536" spans="2:2" x14ac:dyDescent="0.2">
      <c r="B536" s="2013"/>
    </row>
    <row r="537" spans="2:2" x14ac:dyDescent="0.2">
      <c r="B537" s="2013"/>
    </row>
    <row r="538" spans="2:2" x14ac:dyDescent="0.2">
      <c r="B538" s="2013"/>
    </row>
    <row r="539" spans="2:2" x14ac:dyDescent="0.2">
      <c r="B539" s="2013"/>
    </row>
    <row r="540" spans="2:2" x14ac:dyDescent="0.2">
      <c r="B540" s="2013"/>
    </row>
    <row r="541" spans="2:2" x14ac:dyDescent="0.2">
      <c r="B541" s="2013"/>
    </row>
    <row r="542" spans="2:2" x14ac:dyDescent="0.2">
      <c r="B542" s="2013"/>
    </row>
    <row r="543" spans="2:2" x14ac:dyDescent="0.2">
      <c r="B543" s="2013"/>
    </row>
    <row r="544" spans="2:2" x14ac:dyDescent="0.2">
      <c r="B544" s="2013"/>
    </row>
    <row r="545" spans="2:2" x14ac:dyDescent="0.2">
      <c r="B545" s="2013"/>
    </row>
    <row r="546" spans="2:2" x14ac:dyDescent="0.2">
      <c r="B546" s="2013"/>
    </row>
    <row r="547" spans="2:2" x14ac:dyDescent="0.2">
      <c r="B547" s="2013"/>
    </row>
    <row r="548" spans="2:2" x14ac:dyDescent="0.2">
      <c r="B548" s="2013"/>
    </row>
    <row r="549" spans="2:2" x14ac:dyDescent="0.2">
      <c r="B549" s="2013"/>
    </row>
    <row r="550" spans="2:2" x14ac:dyDescent="0.2">
      <c r="B550" s="2013"/>
    </row>
    <row r="551" spans="2:2" x14ac:dyDescent="0.2">
      <c r="B551" s="2013"/>
    </row>
    <row r="552" spans="2:2" x14ac:dyDescent="0.2">
      <c r="B552" s="2013"/>
    </row>
    <row r="1109" spans="5:5" x14ac:dyDescent="0.2">
      <c r="E1109" s="246" t="s">
        <v>7245</v>
      </c>
    </row>
  </sheetData>
  <phoneticPr fontId="9" type="noConversion"/>
  <pageMargins left="0.75" right="0.75" top="1" bottom="1" header="0.5" footer="0.5"/>
  <pageSetup paperSize="9" orientation="portrait"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5854"/>
  <sheetViews>
    <sheetView workbookViewId="0">
      <selection activeCell="S62" sqref="S62"/>
    </sheetView>
  </sheetViews>
  <sheetFormatPr defaultColWidth="9.140625" defaultRowHeight="12.75" x14ac:dyDescent="0.2"/>
  <cols>
    <col min="1" max="1" width="10" style="34" customWidth="1"/>
    <col min="2" max="2" width="9.7109375" style="34" customWidth="1"/>
    <col min="3" max="3" width="11" style="136" customWidth="1"/>
    <col min="4" max="4" width="10.28515625" style="136" customWidth="1"/>
    <col min="5" max="5" width="10.5703125" style="149" customWidth="1"/>
    <col min="6" max="6" width="15.42578125" style="370" customWidth="1"/>
    <col min="7" max="7" width="36.5703125" style="34" customWidth="1"/>
    <col min="8" max="8" width="10" style="2173" customWidth="1"/>
    <col min="9" max="9" width="8.5703125" style="96" bestFit="1" customWidth="1"/>
    <col min="10" max="19" width="11.28515625" style="34" bestFit="1" customWidth="1"/>
    <col min="20" max="16384" width="9.140625" style="34"/>
  </cols>
  <sheetData>
    <row r="1" spans="1:19" ht="22.5" customHeight="1" thickBot="1" x14ac:dyDescent="0.3">
      <c r="A1" s="2626" t="s">
        <v>3527</v>
      </c>
      <c r="B1" s="2627"/>
      <c r="C1" s="2627"/>
      <c r="D1" s="2627"/>
      <c r="E1" s="2627"/>
      <c r="F1" s="2627"/>
      <c r="G1" s="2627"/>
      <c r="H1" s="2627"/>
      <c r="I1" s="2627"/>
      <c r="J1" s="2627"/>
      <c r="K1" s="2627"/>
      <c r="L1" s="2627"/>
      <c r="M1" s="2627"/>
      <c r="N1" s="2627"/>
      <c r="O1" s="2627"/>
      <c r="P1" s="2627"/>
      <c r="Q1" s="2627"/>
      <c r="R1" s="2627"/>
      <c r="S1" s="2628"/>
    </row>
    <row r="2" spans="1:19" s="39" customFormat="1" ht="13.5" thickBot="1" x14ac:dyDescent="0.25">
      <c r="A2" s="2710" t="s">
        <v>1824</v>
      </c>
      <c r="B2" s="2711"/>
      <c r="C2" s="2711"/>
      <c r="D2" s="2711"/>
      <c r="E2" s="2712"/>
      <c r="F2" s="173" t="s">
        <v>2616</v>
      </c>
      <c r="G2" s="271" t="s">
        <v>2213</v>
      </c>
      <c r="H2" s="2713" t="s">
        <v>2215</v>
      </c>
      <c r="I2" s="2568"/>
      <c r="J2" s="2568"/>
      <c r="K2" s="2568"/>
      <c r="L2" s="2568"/>
      <c r="M2" s="2568"/>
      <c r="N2" s="2568"/>
      <c r="O2" s="2568"/>
      <c r="P2" s="2568"/>
      <c r="Q2" s="2568"/>
      <c r="R2" s="2568"/>
      <c r="S2" s="2569"/>
    </row>
    <row r="3" spans="1:19" ht="12.75" customHeight="1" thickBot="1" x14ac:dyDescent="0.25">
      <c r="A3" s="2007" t="str">
        <f>SP!A3</f>
        <v>2012/13</v>
      </c>
      <c r="B3" s="40" t="str">
        <f>SP!B3</f>
        <v>2013/14</v>
      </c>
      <c r="C3" s="40" t="str">
        <f>SP!C3</f>
        <v>2014/15</v>
      </c>
      <c r="D3" s="40" t="str">
        <f>SP!D3</f>
        <v>2015/16</v>
      </c>
      <c r="E3" s="40" t="str">
        <f>SP!E3</f>
        <v>2016/17</v>
      </c>
      <c r="F3" s="2008" t="s">
        <v>2617</v>
      </c>
      <c r="G3" s="41"/>
      <c r="H3" s="2198" t="str">
        <f>SP!H3</f>
        <v>2017/18</v>
      </c>
      <c r="I3" s="44" t="s">
        <v>492</v>
      </c>
      <c r="J3" s="1257" t="str">
        <f>SP!J3</f>
        <v>2018/19</v>
      </c>
      <c r="K3" s="40" t="str">
        <f>SP!K3</f>
        <v>2019/20</v>
      </c>
      <c r="L3" s="40" t="str">
        <f>SP!L3</f>
        <v>2020/21</v>
      </c>
      <c r="M3" s="40" t="str">
        <f>SP!M3</f>
        <v>2021/22</v>
      </c>
      <c r="N3" s="40" t="str">
        <f>SP!N3</f>
        <v>2022/23</v>
      </c>
      <c r="O3" s="40" t="str">
        <f>SP!O3</f>
        <v>2023/24</v>
      </c>
      <c r="P3" s="40" t="str">
        <f>SP!P3</f>
        <v>2024/25</v>
      </c>
      <c r="Q3" s="40" t="str">
        <f>SP!Q3</f>
        <v>2025/26</v>
      </c>
      <c r="R3" s="40" t="str">
        <f>SP!R3</f>
        <v>2026/27</v>
      </c>
      <c r="S3" s="1620" t="str">
        <f>SP!S3</f>
        <v>2027/28</v>
      </c>
    </row>
    <row r="4" spans="1:19" x14ac:dyDescent="0.2">
      <c r="A4" s="54"/>
      <c r="B4" s="9"/>
      <c r="C4" s="134"/>
      <c r="D4" s="134"/>
      <c r="E4" s="134"/>
      <c r="F4" s="165"/>
      <c r="G4" s="29"/>
      <c r="H4" s="2172"/>
      <c r="I4" s="85"/>
      <c r="J4" s="89"/>
      <c r="K4" s="9"/>
      <c r="L4" s="9"/>
      <c r="M4" s="9"/>
      <c r="N4" s="9"/>
      <c r="O4" s="89"/>
      <c r="P4" s="9"/>
      <c r="Q4" s="9"/>
      <c r="R4" s="9"/>
      <c r="S4" s="61"/>
    </row>
    <row r="5" spans="1:19" x14ac:dyDescent="0.2">
      <c r="A5" s="54"/>
      <c r="B5" s="9"/>
      <c r="C5" s="134"/>
      <c r="D5" s="134"/>
      <c r="E5" s="134"/>
      <c r="F5" s="165"/>
      <c r="G5" s="50" t="s">
        <v>1056</v>
      </c>
      <c r="H5" s="2172"/>
      <c r="I5" s="85"/>
      <c r="J5" s="89"/>
      <c r="K5" s="9"/>
      <c r="L5" s="9"/>
      <c r="M5" s="9"/>
      <c r="N5" s="9"/>
      <c r="O5" s="89"/>
      <c r="P5" s="9"/>
      <c r="Q5" s="9"/>
      <c r="R5" s="9"/>
      <c r="S5" s="61"/>
    </row>
    <row r="6" spans="1:19" x14ac:dyDescent="0.2">
      <c r="A6" s="54"/>
      <c r="B6" s="9"/>
      <c r="E6" s="134"/>
      <c r="F6" s="918"/>
      <c r="G6" s="1173"/>
      <c r="H6" s="2172"/>
      <c r="I6" s="85"/>
      <c r="J6" s="89"/>
      <c r="K6" s="9"/>
      <c r="L6" s="9"/>
      <c r="M6" s="9"/>
      <c r="N6" s="9"/>
      <c r="O6" s="89"/>
      <c r="P6" s="9"/>
      <c r="Q6" s="9"/>
      <c r="R6" s="9"/>
      <c r="S6" s="61"/>
    </row>
    <row r="7" spans="1:19" x14ac:dyDescent="0.2">
      <c r="A7" s="54"/>
      <c r="B7" s="9"/>
      <c r="E7" s="134"/>
      <c r="F7" s="1378"/>
      <c r="G7" s="319" t="s">
        <v>2829</v>
      </c>
      <c r="H7" s="2172"/>
      <c r="I7" s="85"/>
      <c r="J7" s="89"/>
      <c r="K7" s="9"/>
      <c r="L7" s="9"/>
      <c r="M7" s="9"/>
      <c r="N7" s="9"/>
      <c r="O7" s="89"/>
      <c r="P7" s="9"/>
      <c r="Q7" s="9"/>
      <c r="R7" s="9"/>
      <c r="S7" s="61"/>
    </row>
    <row r="8" spans="1:19" x14ac:dyDescent="0.2">
      <c r="A8" s="54">
        <v>2600</v>
      </c>
      <c r="B8" s="9">
        <v>1200</v>
      </c>
      <c r="C8" s="136">
        <v>0</v>
      </c>
      <c r="D8" s="136">
        <v>0</v>
      </c>
      <c r="E8" s="134">
        <v>0</v>
      </c>
      <c r="F8" s="483" t="s">
        <v>2171</v>
      </c>
      <c r="G8" s="247" t="s">
        <v>2386</v>
      </c>
      <c r="H8" s="2172">
        <v>2400</v>
      </c>
      <c r="I8" s="85">
        <f>IF(E8=H8,0,IF(E8=0,100,(H8-E8)/E8*100))</f>
        <v>100</v>
      </c>
      <c r="J8" s="89">
        <f>ROUNDUP(H8+(H8*Assumptions!I$5),-2)</f>
        <v>2500</v>
      </c>
      <c r="K8" s="9">
        <f>ROUNDUP(J8+(J8*Assumptions!J$5),-2)</f>
        <v>2600</v>
      </c>
      <c r="L8" s="9">
        <f>ROUNDUP(K8+(K8*Assumptions!K$5),-2)</f>
        <v>2700</v>
      </c>
      <c r="M8" s="9">
        <f>ROUNDUP(L8+(L8*Assumptions!L$5),-2)</f>
        <v>2800</v>
      </c>
      <c r="N8" s="9">
        <f>ROUNDUP(M8+(M8*Assumptions!M$5),-2)</f>
        <v>2900</v>
      </c>
      <c r="O8" s="9">
        <f>ROUNDUP(N8+(N8*Assumptions!N$5),-2)</f>
        <v>3000</v>
      </c>
      <c r="P8" s="9">
        <f>ROUNDUP(O8+(O8*Assumptions!O$5),-2)</f>
        <v>3100</v>
      </c>
      <c r="Q8" s="9">
        <f>ROUNDUP(P8+(P8*Assumptions!P$5),-2)</f>
        <v>3200</v>
      </c>
      <c r="R8" s="9">
        <f>ROUNDUP(Q8+(Q8*Assumptions!Q$5),-2)</f>
        <v>3300</v>
      </c>
      <c r="S8" s="61">
        <f>ROUNDUP(R8+(R8*Assumptions!R$5),-2)</f>
        <v>3400</v>
      </c>
    </row>
    <row r="9" spans="1:19" x14ac:dyDescent="0.2">
      <c r="A9" s="54">
        <v>96800</v>
      </c>
      <c r="B9" s="9">
        <v>87500</v>
      </c>
      <c r="C9" s="136">
        <v>73200</v>
      </c>
      <c r="D9" s="136">
        <v>54000</v>
      </c>
      <c r="E9" s="134">
        <v>40300</v>
      </c>
      <c r="F9" s="483" t="s">
        <v>2173</v>
      </c>
      <c r="G9" s="247" t="s">
        <v>1318</v>
      </c>
      <c r="H9" s="2172">
        <v>35800</v>
      </c>
      <c r="I9" s="85">
        <f>IF(E9=H9,0,IF(E9=0,100,(H9-E9)/E9*100))</f>
        <v>-11.166253101736972</v>
      </c>
      <c r="J9" s="89">
        <f>ROUNDUP(H9+(H9*Assumptions!I$5),-2)</f>
        <v>36700</v>
      </c>
      <c r="K9" s="9">
        <f>ROUNDUP(J9+(J9*Assumptions!J$5),-2)</f>
        <v>37700</v>
      </c>
      <c r="L9" s="9">
        <f>ROUNDUP(K9+(K9*Assumptions!K$5),-2)</f>
        <v>38700</v>
      </c>
      <c r="M9" s="9">
        <f>ROUNDUP(L9+(L9*Assumptions!L$5),-2)</f>
        <v>39700</v>
      </c>
      <c r="N9" s="9">
        <f>ROUNDUP(M9+(M9*Assumptions!M$5),-2)</f>
        <v>40700</v>
      </c>
      <c r="O9" s="9">
        <f>ROUNDUP(N9+(N9*Assumptions!N$5),-2)</f>
        <v>41800</v>
      </c>
      <c r="P9" s="9">
        <f>ROUNDUP(O9+(O9*Assumptions!O$5),-2)</f>
        <v>42900</v>
      </c>
      <c r="Q9" s="9">
        <f>ROUNDUP(P9+(P9*Assumptions!P$5),-2)</f>
        <v>44000</v>
      </c>
      <c r="R9" s="9">
        <f>ROUNDUP(Q9+(Q9*Assumptions!Q$5),-2)</f>
        <v>45100</v>
      </c>
      <c r="S9" s="61">
        <f>ROUNDUP(R9+(R9*Assumptions!R$5),-2)</f>
        <v>46300</v>
      </c>
    </row>
    <row r="10" spans="1:19" x14ac:dyDescent="0.2">
      <c r="A10" s="54"/>
      <c r="B10" s="9"/>
      <c r="E10" s="134"/>
      <c r="F10" s="483"/>
      <c r="G10" s="247"/>
      <c r="H10" s="2172"/>
      <c r="I10" s="85"/>
      <c r="J10" s="89"/>
      <c r="K10" s="9"/>
      <c r="L10" s="9"/>
      <c r="M10" s="9"/>
      <c r="N10" s="9"/>
      <c r="O10" s="9"/>
      <c r="P10" s="9"/>
      <c r="Q10" s="9"/>
      <c r="R10" s="9"/>
      <c r="S10" s="61"/>
    </row>
    <row r="11" spans="1:19" x14ac:dyDescent="0.2">
      <c r="A11" s="54"/>
      <c r="B11" s="9"/>
      <c r="E11" s="134"/>
      <c r="F11" s="483"/>
      <c r="G11" s="319" t="s">
        <v>1460</v>
      </c>
      <c r="H11" s="2172"/>
      <c r="I11" s="85"/>
      <c r="J11" s="89"/>
      <c r="K11" s="9"/>
      <c r="L11" s="9"/>
      <c r="M11" s="9"/>
      <c r="N11" s="9"/>
      <c r="O11" s="9"/>
      <c r="P11" s="9"/>
      <c r="Q11" s="9"/>
      <c r="R11" s="9"/>
      <c r="S11" s="61"/>
    </row>
    <row r="12" spans="1:19" x14ac:dyDescent="0.2">
      <c r="A12" s="54">
        <v>170000</v>
      </c>
      <c r="B12" s="9">
        <v>173600</v>
      </c>
      <c r="C12" s="136">
        <v>178800</v>
      </c>
      <c r="D12" s="136">
        <v>181500</v>
      </c>
      <c r="E12" s="134">
        <v>184600</v>
      </c>
      <c r="F12" s="483" t="s">
        <v>2174</v>
      </c>
      <c r="G12" s="772" t="s">
        <v>4438</v>
      </c>
      <c r="H12" s="2172">
        <v>187300</v>
      </c>
      <c r="I12" s="85">
        <f>IF(E12=H12,0,IF(E12=0,100,(H12-E12)/E12*100))</f>
        <v>1.4626218851570965</v>
      </c>
      <c r="J12" s="89">
        <f>ROUNDUP(H12+(H12*Assumptions!I$5),-2)</f>
        <v>191700</v>
      </c>
      <c r="K12" s="9">
        <f>ROUNDUP(J12+(J12*Assumptions!J$5),-2)</f>
        <v>196500</v>
      </c>
      <c r="L12" s="9">
        <f>ROUNDUP(K12+(K12*Assumptions!K$5),-2)</f>
        <v>201500</v>
      </c>
      <c r="M12" s="9">
        <f>ROUNDUP(L12+(L12*Assumptions!L$5),-2)</f>
        <v>206600</v>
      </c>
      <c r="N12" s="9">
        <f>ROUNDUP(M12+(M12*Assumptions!M$5),-2)</f>
        <v>211800</v>
      </c>
      <c r="O12" s="9">
        <f>ROUNDUP(N12+(N12*Assumptions!N$5),-2)</f>
        <v>217100</v>
      </c>
      <c r="P12" s="9">
        <f>ROUNDUP(O12+(O12*Assumptions!O$5),-2)</f>
        <v>222600</v>
      </c>
      <c r="Q12" s="9">
        <f>ROUNDUP(P12+(P12*Assumptions!P$5),-2)</f>
        <v>228200</v>
      </c>
      <c r="R12" s="9">
        <f>ROUNDUP(Q12+(Q12*Assumptions!Q$5),-2)</f>
        <v>234000</v>
      </c>
      <c r="S12" s="61">
        <f>ROUNDUP(R12+(R12*Assumptions!R$5),-2)</f>
        <v>239900</v>
      </c>
    </row>
    <row r="13" spans="1:19" x14ac:dyDescent="0.2">
      <c r="A13" s="54">
        <v>0</v>
      </c>
      <c r="B13" s="9">
        <v>0</v>
      </c>
      <c r="C13" s="136">
        <v>0</v>
      </c>
      <c r="D13" s="136">
        <f>ROUNDUP(C13+(C13*Assumptions!F$5),-2)</f>
        <v>0</v>
      </c>
      <c r="E13" s="134">
        <v>2000</v>
      </c>
      <c r="F13" s="483" t="s">
        <v>2175</v>
      </c>
      <c r="G13" s="247" t="s">
        <v>1579</v>
      </c>
      <c r="H13" s="2172">
        <v>0</v>
      </c>
      <c r="I13" s="85">
        <f>IF(E13=H13,0,IF(E13=0,100,(H13-E13)/E13*100))</f>
        <v>-100</v>
      </c>
      <c r="J13" s="89">
        <f>ROUNDUP(H13+(H13*Assumptions!I$5),-2)</f>
        <v>0</v>
      </c>
      <c r="K13" s="9">
        <f>ROUNDUP(J13+(J13*Assumptions!J$5),-2)</f>
        <v>0</v>
      </c>
      <c r="L13" s="9">
        <f>ROUNDUP(K13+(K13*Assumptions!K$5),-2)</f>
        <v>0</v>
      </c>
      <c r="M13" s="9">
        <f>ROUNDUP(L13+(L13*Assumptions!L$5),-2)</f>
        <v>0</v>
      </c>
      <c r="N13" s="9">
        <f>ROUNDUP(M13+(M13*Assumptions!M$5),-2)</f>
        <v>0</v>
      </c>
      <c r="O13" s="9">
        <f>ROUNDUP(N13+(N13*Assumptions!N$5),-2)</f>
        <v>0</v>
      </c>
      <c r="P13" s="9">
        <f>ROUNDUP(O13+(O13*Assumptions!O$5),-2)</f>
        <v>0</v>
      </c>
      <c r="Q13" s="9">
        <f>ROUNDUP(P13+(P13*Assumptions!P$5),-2)</f>
        <v>0</v>
      </c>
      <c r="R13" s="9">
        <f>ROUNDUP(Q13+(Q13*Assumptions!Q$5),-2)</f>
        <v>0</v>
      </c>
      <c r="S13" s="61">
        <f>ROUNDUP(R13+(R13*Assumptions!R$5),-2)</f>
        <v>0</v>
      </c>
    </row>
    <row r="14" spans="1:19" x14ac:dyDescent="0.2">
      <c r="A14" s="54"/>
      <c r="B14" s="9"/>
      <c r="E14" s="134"/>
      <c r="F14" s="483"/>
      <c r="G14" s="247"/>
      <c r="H14" s="2172"/>
      <c r="I14" s="85"/>
      <c r="J14" s="89"/>
      <c r="K14" s="9"/>
      <c r="L14" s="9"/>
      <c r="M14" s="9"/>
      <c r="N14" s="9"/>
      <c r="O14" s="9"/>
      <c r="P14" s="9"/>
      <c r="Q14" s="9"/>
      <c r="R14" s="9"/>
      <c r="S14" s="61"/>
    </row>
    <row r="15" spans="1:19" x14ac:dyDescent="0.2">
      <c r="A15" s="54"/>
      <c r="B15" s="9"/>
      <c r="E15" s="134"/>
      <c r="F15" s="483"/>
      <c r="G15" s="319" t="s">
        <v>420</v>
      </c>
      <c r="H15" s="2172"/>
      <c r="I15" s="85"/>
      <c r="J15" s="89"/>
      <c r="K15" s="9"/>
      <c r="L15" s="9"/>
      <c r="M15" s="9"/>
      <c r="N15" s="9"/>
      <c r="O15" s="9"/>
      <c r="P15" s="9"/>
      <c r="Q15" s="9"/>
      <c r="R15" s="9"/>
      <c r="S15" s="61"/>
    </row>
    <row r="16" spans="1:19" ht="12.75" hidden="1" customHeight="1" x14ac:dyDescent="0.2">
      <c r="A16" s="54">
        <v>0</v>
      </c>
      <c r="B16" s="9">
        <v>0</v>
      </c>
      <c r="C16" s="136">
        <v>0</v>
      </c>
      <c r="D16" s="136">
        <f>ROUNDUP(C16+(C16*Assumptions!F$5),-2)</f>
        <v>0</v>
      </c>
      <c r="E16" s="134"/>
      <c r="F16" s="483" t="s">
        <v>2172</v>
      </c>
      <c r="G16" s="247" t="s">
        <v>2387</v>
      </c>
      <c r="H16" s="2172">
        <v>0</v>
      </c>
      <c r="I16" s="85" t="e">
        <f>IF(#REF!=H16,0,IF(#REF!=0,100,(H16-#REF!)/#REF!*100))</f>
        <v>#REF!</v>
      </c>
      <c r="J16" s="89">
        <f>ROUNDUP(H16+(H16*Assumptions!I$5),-2)</f>
        <v>0</v>
      </c>
      <c r="K16" s="9">
        <f>ROUNDUP(J16+(J16*Assumptions!J$5),-2)</f>
        <v>0</v>
      </c>
      <c r="L16" s="9">
        <f>ROUNDUP(K16+(K16*Assumptions!K$5),-2)</f>
        <v>0</v>
      </c>
      <c r="M16" s="9">
        <f>ROUNDUP(L16+(L16*Assumptions!L$5),-2)</f>
        <v>0</v>
      </c>
      <c r="N16" s="9">
        <f>ROUNDUP(M16+(M16*Assumptions!M$5),-2)</f>
        <v>0</v>
      </c>
      <c r="O16" s="9">
        <f>ROUNDUP(N16+(N16*Assumptions!N$5),-2)</f>
        <v>0</v>
      </c>
      <c r="P16" s="9">
        <f>ROUNDUP(O16+(O16*Assumptions!O$5),-2)</f>
        <v>0</v>
      </c>
      <c r="Q16" s="9">
        <f>ROUNDUP(P16+(P16*Assumptions!P$5),-2)</f>
        <v>0</v>
      </c>
      <c r="R16" s="9">
        <f>ROUNDUP(Q16+(Q16*Assumptions!Q$5),-2)</f>
        <v>0</v>
      </c>
      <c r="S16" s="61">
        <f>ROUNDUP(R16+(R16*Assumptions!R$5),-2)</f>
        <v>0</v>
      </c>
    </row>
    <row r="17" spans="1:19" x14ac:dyDescent="0.2">
      <c r="A17" s="54">
        <v>13400</v>
      </c>
      <c r="B17" s="9">
        <v>10000</v>
      </c>
      <c r="C17" s="136">
        <v>8800</v>
      </c>
      <c r="D17" s="136">
        <v>8000</v>
      </c>
      <c r="E17" s="134">
        <v>7800</v>
      </c>
      <c r="F17" s="483" t="s">
        <v>2176</v>
      </c>
      <c r="G17" s="247" t="s">
        <v>599</v>
      </c>
      <c r="H17" s="2172">
        <v>8600</v>
      </c>
      <c r="I17" s="85">
        <f>IF(E17=H17,0,IF(E17=0,100,(H17-E17)/E17*100))</f>
        <v>10.256410256410255</v>
      </c>
      <c r="J17" s="89">
        <f>ROUNDUP(H17+(H17*Assumptions!I$5),-2)</f>
        <v>8800</v>
      </c>
      <c r="K17" s="9">
        <f>ROUNDUP(J17+(J17*Assumptions!J$5),-2)</f>
        <v>9100</v>
      </c>
      <c r="L17" s="9">
        <f>ROUNDUP(K17+(K17*Assumptions!K$5),-2)</f>
        <v>9400</v>
      </c>
      <c r="M17" s="9">
        <f>ROUNDUP(L17+(L17*Assumptions!L$5),-2)</f>
        <v>9700</v>
      </c>
      <c r="N17" s="9">
        <f>ROUNDUP(M17+(M17*Assumptions!M$5),-2)</f>
        <v>10000</v>
      </c>
      <c r="O17" s="9">
        <f>ROUNDUP(N17+(N17*Assumptions!N$5),-2)</f>
        <v>10300</v>
      </c>
      <c r="P17" s="9">
        <f>ROUNDUP(O17+(O17*Assumptions!O$5),-2)</f>
        <v>10600</v>
      </c>
      <c r="Q17" s="9">
        <f>ROUNDUP(P17+(P17*Assumptions!P$5),-2)</f>
        <v>10900</v>
      </c>
      <c r="R17" s="9">
        <f>ROUNDUP(Q17+(Q17*Assumptions!Q$5),-2)</f>
        <v>11200</v>
      </c>
      <c r="S17" s="61">
        <f>ROUNDUP(R17+(R17*Assumptions!R$5),-2)</f>
        <v>11500</v>
      </c>
    </row>
    <row r="18" spans="1:19" x14ac:dyDescent="0.2">
      <c r="A18" s="54">
        <v>0</v>
      </c>
      <c r="B18" s="9">
        <v>0</v>
      </c>
      <c r="C18" s="136">
        <v>0</v>
      </c>
      <c r="D18" s="136">
        <f>ROUNDUP(C18+(C18*Assumptions!F$5),-2)</f>
        <v>0</v>
      </c>
      <c r="E18" s="134"/>
      <c r="F18" s="483"/>
      <c r="G18" s="247" t="s">
        <v>1363</v>
      </c>
      <c r="H18" s="2172">
        <v>0</v>
      </c>
      <c r="I18" s="85">
        <f>IF(E18=H18,0,IF(E18=0,100,(H18-E18)/E18*100))</f>
        <v>0</v>
      </c>
      <c r="J18" s="89">
        <f>ROUNDUP(H18+(H18*Assumptions!I$5),-2)</f>
        <v>0</v>
      </c>
      <c r="K18" s="9">
        <f>ROUNDUP(J18+(J18*Assumptions!J$5),-2)</f>
        <v>0</v>
      </c>
      <c r="L18" s="9">
        <f>ROUNDUP(K18+(K18*Assumptions!K$5),-2)</f>
        <v>0</v>
      </c>
      <c r="M18" s="9">
        <f>ROUNDUP(L18+(L18*Assumptions!L$5),-2)</f>
        <v>0</v>
      </c>
      <c r="N18" s="9">
        <f>ROUNDUP(M18+(M18*Assumptions!M$5),-2)</f>
        <v>0</v>
      </c>
      <c r="O18" s="9">
        <f>ROUNDUP(N18+(N18*Assumptions!N$5),-2)</f>
        <v>0</v>
      </c>
      <c r="P18" s="9">
        <f>ROUNDUP(O18+(O18*Assumptions!O$5),-2)</f>
        <v>0</v>
      </c>
      <c r="Q18" s="9">
        <f>ROUNDUP(P18+(P18*Assumptions!P$5),-2)</f>
        <v>0</v>
      </c>
      <c r="R18" s="9">
        <f>ROUNDUP(Q18+(Q18*Assumptions!Q$5),-2)</f>
        <v>0</v>
      </c>
      <c r="S18" s="61">
        <f>ROUNDUP(R18+(R18*Assumptions!R$5),-2)</f>
        <v>0</v>
      </c>
    </row>
    <row r="19" spans="1:19" ht="13.5" thickBot="1" x14ac:dyDescent="0.25">
      <c r="A19" s="54"/>
      <c r="B19" s="9"/>
      <c r="C19" s="134"/>
      <c r="D19" s="134"/>
      <c r="E19" s="134"/>
      <c r="F19" s="1153"/>
      <c r="G19" s="46"/>
      <c r="H19" s="2172"/>
      <c r="I19" s="85"/>
      <c r="J19" s="89"/>
      <c r="K19" s="9"/>
      <c r="L19" s="9"/>
      <c r="M19" s="9"/>
      <c r="N19" s="9"/>
      <c r="O19" s="89"/>
      <c r="P19" s="9"/>
      <c r="Q19" s="9"/>
      <c r="R19" s="9"/>
      <c r="S19" s="61"/>
    </row>
    <row r="20" spans="1:19" s="39" customFormat="1" x14ac:dyDescent="0.2">
      <c r="A20" s="52">
        <f>SUM(A5:A19)</f>
        <v>282800</v>
      </c>
      <c r="B20" s="16">
        <f>SUM(B5:B19)</f>
        <v>272300</v>
      </c>
      <c r="C20" s="145">
        <f>SUM(C5:C19)</f>
        <v>260800</v>
      </c>
      <c r="D20" s="145">
        <f>SUM(D5:D19)</f>
        <v>243500</v>
      </c>
      <c r="E20" s="145">
        <f t="shared" ref="E20" si="0">SUM(E5:E19)</f>
        <v>234700</v>
      </c>
      <c r="F20" s="171"/>
      <c r="G20" s="1158" t="s">
        <v>2561</v>
      </c>
      <c r="H20" s="2199">
        <f t="shared" ref="H20:M20" si="1">SUM(H5:H19)</f>
        <v>234100</v>
      </c>
      <c r="I20" s="127">
        <f>IF(F20=H20,0,IF(F20=0,100,(H20-F20)/F20*100))</f>
        <v>100</v>
      </c>
      <c r="J20" s="102">
        <f t="shared" si="1"/>
        <v>239700</v>
      </c>
      <c r="K20" s="16">
        <f t="shared" si="1"/>
        <v>245900</v>
      </c>
      <c r="L20" s="16">
        <f t="shared" si="1"/>
        <v>252300</v>
      </c>
      <c r="M20" s="16">
        <f t="shared" si="1"/>
        <v>258800</v>
      </c>
      <c r="N20" s="16">
        <f t="shared" ref="N20:S20" si="2">SUM(N5:N19)</f>
        <v>265400</v>
      </c>
      <c r="O20" s="102">
        <f t="shared" si="2"/>
        <v>272200</v>
      </c>
      <c r="P20" s="16">
        <f t="shared" si="2"/>
        <v>279200</v>
      </c>
      <c r="Q20" s="16">
        <f t="shared" si="2"/>
        <v>286300</v>
      </c>
      <c r="R20" s="16">
        <f t="shared" si="2"/>
        <v>293600</v>
      </c>
      <c r="S20" s="60">
        <f t="shared" si="2"/>
        <v>301100</v>
      </c>
    </row>
    <row r="21" spans="1:19" x14ac:dyDescent="0.2">
      <c r="A21" s="54"/>
      <c r="B21" s="9"/>
      <c r="C21" s="134"/>
      <c r="D21" s="134"/>
      <c r="E21" s="134"/>
      <c r="F21" s="165"/>
      <c r="G21" s="32"/>
      <c r="H21" s="2172"/>
      <c r="I21" s="85"/>
      <c r="J21" s="89"/>
      <c r="K21" s="9"/>
      <c r="L21" s="9"/>
      <c r="M21" s="9"/>
      <c r="N21" s="9"/>
      <c r="O21" s="89"/>
      <c r="P21" s="9"/>
      <c r="Q21" s="9"/>
      <c r="R21" s="9"/>
      <c r="S21" s="61"/>
    </row>
    <row r="22" spans="1:19" ht="12.75" customHeight="1" x14ac:dyDescent="0.2">
      <c r="A22" s="54"/>
      <c r="B22" s="9"/>
      <c r="C22" s="134"/>
      <c r="D22" s="134"/>
      <c r="E22" s="134"/>
      <c r="F22" s="165"/>
      <c r="G22" s="50" t="s">
        <v>2169</v>
      </c>
      <c r="H22" s="2172"/>
      <c r="I22" s="85"/>
      <c r="J22" s="89"/>
      <c r="K22" s="9"/>
      <c r="L22" s="9"/>
      <c r="M22" s="9"/>
      <c r="N22" s="9"/>
      <c r="O22" s="89"/>
      <c r="P22" s="9"/>
      <c r="Q22" s="9"/>
      <c r="R22" s="9"/>
      <c r="S22" s="61"/>
    </row>
    <row r="23" spans="1:19" ht="12.75" customHeight="1" x14ac:dyDescent="0.2">
      <c r="A23" s="54"/>
      <c r="B23" s="9"/>
      <c r="E23" s="134"/>
      <c r="F23" s="371"/>
      <c r="G23" s="247"/>
      <c r="H23" s="2172"/>
      <c r="I23" s="85"/>
      <c r="J23" s="89"/>
      <c r="K23" s="9"/>
      <c r="L23" s="9"/>
      <c r="M23" s="9"/>
      <c r="N23" s="9"/>
      <c r="O23" s="89"/>
      <c r="P23" s="9"/>
      <c r="Q23" s="9"/>
      <c r="R23" s="9"/>
      <c r="S23" s="61"/>
    </row>
    <row r="24" spans="1:19" x14ac:dyDescent="0.2">
      <c r="A24" s="54"/>
      <c r="B24" s="9"/>
      <c r="E24" s="134"/>
      <c r="F24" s="70"/>
      <c r="G24" s="122" t="s">
        <v>465</v>
      </c>
      <c r="H24" s="2172"/>
      <c r="I24" s="85"/>
      <c r="J24" s="89"/>
      <c r="K24" s="9"/>
      <c r="L24" s="9"/>
      <c r="M24" s="9"/>
      <c r="N24" s="9"/>
      <c r="O24" s="89"/>
      <c r="P24" s="9"/>
      <c r="Q24" s="9"/>
      <c r="R24" s="9"/>
      <c r="S24" s="61"/>
    </row>
    <row r="25" spans="1:19" x14ac:dyDescent="0.2">
      <c r="A25" s="54">
        <v>255700</v>
      </c>
      <c r="B25" s="79">
        <f>188800+68900</f>
        <v>257700</v>
      </c>
      <c r="C25" s="136">
        <f>199800+45600+21600</f>
        <v>267000</v>
      </c>
      <c r="D25" s="136">
        <f>302600-30200</f>
        <v>272400</v>
      </c>
      <c r="E25" s="134">
        <f>300700-E30-E31-E32-E33</f>
        <v>278700</v>
      </c>
      <c r="F25" s="483" t="s">
        <v>2817</v>
      </c>
      <c r="G25" s="247" t="s">
        <v>506</v>
      </c>
      <c r="H25" s="2172">
        <v>268000</v>
      </c>
      <c r="I25" s="85">
        <f t="shared" ref="I25:I35" si="3">IF(E25=H25,0,IF(E25=0,100,(H25-E25)/E25*100))</f>
        <v>-3.8392536777897384</v>
      </c>
      <c r="J25" s="89">
        <f>ROUNDUP(H25+(H25*Assumptions!I$5),-2)</f>
        <v>274200</v>
      </c>
      <c r="K25" s="9">
        <f>ROUNDUP(J25+(J25*Assumptions!J$5),-2)</f>
        <v>281100</v>
      </c>
      <c r="L25" s="9">
        <f>ROUNDUP(K25+(K25*Assumptions!K$5),-2)</f>
        <v>288200</v>
      </c>
      <c r="M25" s="9">
        <f>ROUNDUP(L25+(L25*Assumptions!L$5),-2)</f>
        <v>295500</v>
      </c>
      <c r="N25" s="9">
        <f>ROUNDUP(M25+(M25*Assumptions!M$5),-2)</f>
        <v>302900</v>
      </c>
      <c r="O25" s="89">
        <f>ROUNDUP(N25+(N25*Assumptions!N$5),-2)</f>
        <v>310500</v>
      </c>
      <c r="P25" s="9">
        <f>ROUNDUP(O25+(O25*Assumptions!O$5),-2)</f>
        <v>318300</v>
      </c>
      <c r="Q25" s="9">
        <f>ROUNDUP(P25+(P25*Assumptions!P$5),-2)</f>
        <v>326300</v>
      </c>
      <c r="R25" s="9">
        <f>ROUNDUP(Q25+(Q25*Assumptions!Q$5),-2)</f>
        <v>334500</v>
      </c>
      <c r="S25" s="61">
        <f>ROUNDUP(R25+(R25*Assumptions!R$5),-2)</f>
        <v>342900</v>
      </c>
    </row>
    <row r="26" spans="1:19" x14ac:dyDescent="0.2">
      <c r="A26" s="54">
        <v>19100</v>
      </c>
      <c r="B26" s="9">
        <v>25200</v>
      </c>
      <c r="C26" s="136">
        <v>10400</v>
      </c>
      <c r="D26" s="136">
        <v>19800</v>
      </c>
      <c r="E26" s="134">
        <v>20400</v>
      </c>
      <c r="F26" s="483" t="s">
        <v>1406</v>
      </c>
      <c r="G26" s="247" t="s">
        <v>1440</v>
      </c>
      <c r="H26" s="2172">
        <v>14600</v>
      </c>
      <c r="I26" s="85">
        <f t="shared" si="3"/>
        <v>-28.431372549019606</v>
      </c>
      <c r="J26" s="89">
        <f>ROUNDUP(H26+(H26*Assumptions!I$5),-2)</f>
        <v>15000</v>
      </c>
      <c r="K26" s="9">
        <f>ROUNDUP(J26+(J26*Assumptions!J$5),-2)</f>
        <v>15400</v>
      </c>
      <c r="L26" s="9">
        <f>ROUNDUP(K26+(K26*Assumptions!K$5),-2)</f>
        <v>15800</v>
      </c>
      <c r="M26" s="9">
        <f>ROUNDUP(L26+(L26*Assumptions!L$5),-2)</f>
        <v>16200</v>
      </c>
      <c r="N26" s="9">
        <f>ROUNDUP(M26+(M26*Assumptions!M$5),-2)</f>
        <v>16700</v>
      </c>
      <c r="O26" s="89">
        <f>ROUNDUP(N26+(N26*Assumptions!N$5),-2)</f>
        <v>17200</v>
      </c>
      <c r="P26" s="9">
        <f>ROUNDUP(O26+(O26*Assumptions!O$5),-2)</f>
        <v>17700</v>
      </c>
      <c r="Q26" s="9">
        <f>ROUNDUP(P26+(P26*Assumptions!P$5),-2)</f>
        <v>18200</v>
      </c>
      <c r="R26" s="9">
        <f>ROUNDUP(Q26+(Q26*Assumptions!Q$5),-2)</f>
        <v>18700</v>
      </c>
      <c r="S26" s="61">
        <f>ROUNDUP(R26+(R26*Assumptions!R$5),-2)</f>
        <v>19200</v>
      </c>
    </row>
    <row r="27" spans="1:19" x14ac:dyDescent="0.2">
      <c r="A27" s="54">
        <v>8400</v>
      </c>
      <c r="B27" s="9">
        <v>8300</v>
      </c>
      <c r="C27" s="136">
        <v>7200</v>
      </c>
      <c r="D27" s="136">
        <f>9800-1500</f>
        <v>8300</v>
      </c>
      <c r="E27" s="134">
        <f>56800-E28-E29-E26</f>
        <v>9800</v>
      </c>
      <c r="F27" s="483" t="s">
        <v>2515</v>
      </c>
      <c r="G27" s="247" t="s">
        <v>2302</v>
      </c>
      <c r="H27" s="2172">
        <v>9200</v>
      </c>
      <c r="I27" s="85">
        <f t="shared" si="3"/>
        <v>-6.1224489795918364</v>
      </c>
      <c r="J27" s="89">
        <f>ROUNDUP(H27+(H27*Assumptions!I$5),-2)</f>
        <v>9500</v>
      </c>
      <c r="K27" s="9">
        <f>ROUNDUP(J27+(J27*Assumptions!J$5),-2)</f>
        <v>9800</v>
      </c>
      <c r="L27" s="9">
        <f>ROUNDUP(K27+(K27*Assumptions!K$5),-2)</f>
        <v>10100</v>
      </c>
      <c r="M27" s="9">
        <f>ROUNDUP(L27+(L27*Assumptions!L$5),-2)</f>
        <v>10400</v>
      </c>
      <c r="N27" s="9">
        <f>ROUNDUP(M27+(M27*Assumptions!M$5),-2)</f>
        <v>10700</v>
      </c>
      <c r="O27" s="89">
        <f>ROUNDUP(N27+(N27*Assumptions!N$5),-2)</f>
        <v>11000</v>
      </c>
      <c r="P27" s="9">
        <f>ROUNDUP(O27+(O27*Assumptions!O$5),-2)</f>
        <v>11300</v>
      </c>
      <c r="Q27" s="9">
        <f>ROUNDUP(P27+(P27*Assumptions!P$5),-2)</f>
        <v>11600</v>
      </c>
      <c r="R27" s="9">
        <f>ROUNDUP(Q27+(Q27*Assumptions!Q$5),-2)</f>
        <v>11900</v>
      </c>
      <c r="S27" s="61">
        <f>ROUNDUP(R27+(R27*Assumptions!R$5),-2)</f>
        <v>12200</v>
      </c>
    </row>
    <row r="28" spans="1:19" x14ac:dyDescent="0.2">
      <c r="A28" s="54">
        <v>18800</v>
      </c>
      <c r="B28" s="9">
        <v>8200</v>
      </c>
      <c r="C28" s="136">
        <v>12200</v>
      </c>
      <c r="D28" s="136">
        <v>10500</v>
      </c>
      <c r="E28" s="134">
        <v>15300</v>
      </c>
      <c r="F28" s="483" t="s">
        <v>2390</v>
      </c>
      <c r="G28" s="247" t="s">
        <v>745</v>
      </c>
      <c r="H28" s="2172">
        <v>9200</v>
      </c>
      <c r="I28" s="85">
        <f t="shared" si="3"/>
        <v>-39.869281045751634</v>
      </c>
      <c r="J28" s="89">
        <f>ROUNDUP(H28+(H28*Assumptions!I$5),-2)</f>
        <v>9500</v>
      </c>
      <c r="K28" s="9">
        <f>ROUNDUP(J28+(J28*Assumptions!J$5),-2)</f>
        <v>9800</v>
      </c>
      <c r="L28" s="9">
        <f>ROUNDUP(K28+(K28*Assumptions!K$5),-2)</f>
        <v>10100</v>
      </c>
      <c r="M28" s="9">
        <f>ROUNDUP(L28+(L28*Assumptions!L$5),-2)</f>
        <v>10400</v>
      </c>
      <c r="N28" s="9">
        <f>ROUNDUP(M28+(M28*Assumptions!M$5),-2)</f>
        <v>10700</v>
      </c>
      <c r="O28" s="89">
        <f>ROUNDUP(N28+(N28*Assumptions!N$5),-2)</f>
        <v>11000</v>
      </c>
      <c r="P28" s="9">
        <f>ROUNDUP(O28+(O28*Assumptions!O$5),-2)</f>
        <v>11300</v>
      </c>
      <c r="Q28" s="9">
        <f>ROUNDUP(P28+(P28*Assumptions!P$5),-2)</f>
        <v>11600</v>
      </c>
      <c r="R28" s="9">
        <f>ROUNDUP(Q28+(Q28*Assumptions!Q$5),-2)</f>
        <v>11900</v>
      </c>
      <c r="S28" s="61">
        <f>ROUNDUP(R28+(R28*Assumptions!R$5),-2)</f>
        <v>12200</v>
      </c>
    </row>
    <row r="29" spans="1:19" x14ac:dyDescent="0.2">
      <c r="A29" s="54">
        <v>4800</v>
      </c>
      <c r="B29" s="9">
        <v>10700</v>
      </c>
      <c r="C29" s="136">
        <v>10300</v>
      </c>
      <c r="D29" s="136">
        <v>11100</v>
      </c>
      <c r="E29" s="134">
        <v>11300</v>
      </c>
      <c r="F29" s="483" t="s">
        <v>2318</v>
      </c>
      <c r="G29" s="247" t="s">
        <v>744</v>
      </c>
      <c r="H29" s="2172">
        <v>6500</v>
      </c>
      <c r="I29" s="85">
        <f t="shared" si="3"/>
        <v>-42.477876106194692</v>
      </c>
      <c r="J29" s="89">
        <f>ROUNDUP(H29+(H29*Assumptions!I$5),-2)</f>
        <v>6700</v>
      </c>
      <c r="K29" s="9">
        <f>ROUNDUP(J29+(J29*Assumptions!J$5),-2)</f>
        <v>6900</v>
      </c>
      <c r="L29" s="9">
        <f>ROUNDUP(K29+(K29*Assumptions!K$5),-2)</f>
        <v>7100</v>
      </c>
      <c r="M29" s="9">
        <f>ROUNDUP(L29+(L29*Assumptions!L$5),-2)</f>
        <v>7300</v>
      </c>
      <c r="N29" s="9">
        <f>ROUNDUP(M29+(M29*Assumptions!M$5),-2)</f>
        <v>7500</v>
      </c>
      <c r="O29" s="89">
        <f>ROUNDUP(N29+(N29*Assumptions!N$5),-2)</f>
        <v>7700</v>
      </c>
      <c r="P29" s="9">
        <f>ROUNDUP(O29+(O29*Assumptions!O$5),-2)</f>
        <v>7900</v>
      </c>
      <c r="Q29" s="9">
        <f>ROUNDUP(P29+(P29*Assumptions!P$5),-2)</f>
        <v>8100</v>
      </c>
      <c r="R29" s="9">
        <f>ROUNDUP(Q29+(Q29*Assumptions!Q$5),-2)</f>
        <v>8400</v>
      </c>
      <c r="S29" s="61">
        <f>ROUNDUP(R29+(R29*Assumptions!R$5),-2)</f>
        <v>8700</v>
      </c>
    </row>
    <row r="30" spans="1:19" x14ac:dyDescent="0.2">
      <c r="A30" s="54">
        <v>600</v>
      </c>
      <c r="B30" s="9">
        <v>0</v>
      </c>
      <c r="C30" s="136">
        <v>2000</v>
      </c>
      <c r="D30" s="136">
        <v>0</v>
      </c>
      <c r="E30" s="134">
        <v>0</v>
      </c>
      <c r="F30" s="483" t="s">
        <v>1992</v>
      </c>
      <c r="G30" s="247" t="s">
        <v>750</v>
      </c>
      <c r="H30" s="2172">
        <v>1200</v>
      </c>
      <c r="I30" s="85">
        <f t="shared" si="3"/>
        <v>100</v>
      </c>
      <c r="J30" s="89">
        <f>ROUNDUP(H30+(H30*Assumptions!I$5),-2)</f>
        <v>1300</v>
      </c>
      <c r="K30" s="9">
        <f>ROUNDUP(J30+(J30*Assumptions!J$5),-2)</f>
        <v>1400</v>
      </c>
      <c r="L30" s="9">
        <f>ROUNDUP(K30+(K30*Assumptions!K$5),-2)</f>
        <v>1500</v>
      </c>
      <c r="M30" s="9">
        <f>ROUNDUP(L30+(L30*Assumptions!L$5),-2)</f>
        <v>1600</v>
      </c>
      <c r="N30" s="9">
        <f>ROUNDUP(M30+(M30*Assumptions!M$5),-2)</f>
        <v>1700</v>
      </c>
      <c r="O30" s="89">
        <f>ROUNDUP(N30+(N30*Assumptions!N$5),-2)</f>
        <v>1800</v>
      </c>
      <c r="P30" s="9">
        <f>ROUNDUP(O30+(O30*Assumptions!O$5),-2)</f>
        <v>1900</v>
      </c>
      <c r="Q30" s="9">
        <f>ROUNDUP(P30+(P30*Assumptions!P$5),-2)</f>
        <v>2000</v>
      </c>
      <c r="R30" s="9">
        <f>ROUNDUP(Q30+(Q30*Assumptions!Q$5),-2)</f>
        <v>2100</v>
      </c>
      <c r="S30" s="61">
        <f>ROUNDUP(R30+(R30*Assumptions!R$5),-2)</f>
        <v>2200</v>
      </c>
    </row>
    <row r="31" spans="1:19" x14ac:dyDescent="0.2">
      <c r="A31" s="54">
        <v>10100</v>
      </c>
      <c r="B31" s="9">
        <v>8600</v>
      </c>
      <c r="C31" s="136">
        <v>7700</v>
      </c>
      <c r="D31" s="136">
        <v>6900</v>
      </c>
      <c r="E31" s="134">
        <v>4400</v>
      </c>
      <c r="F31" s="483" t="s">
        <v>2519</v>
      </c>
      <c r="G31" s="247" t="s">
        <v>1279</v>
      </c>
      <c r="H31" s="2172">
        <v>12800</v>
      </c>
      <c r="I31" s="85">
        <f t="shared" si="3"/>
        <v>190.90909090909091</v>
      </c>
      <c r="J31" s="89">
        <f>ROUNDUP(H31+(H31*Assumptions!I$5),-2)</f>
        <v>13100</v>
      </c>
      <c r="K31" s="9">
        <f>ROUNDUP(J31+(J31*Assumptions!J$5),-2)</f>
        <v>13500</v>
      </c>
      <c r="L31" s="9">
        <f>ROUNDUP(K31+(K31*Assumptions!K$5),-2)</f>
        <v>13900</v>
      </c>
      <c r="M31" s="9">
        <f>ROUNDUP(L31+(L31*Assumptions!L$5),-2)</f>
        <v>14300</v>
      </c>
      <c r="N31" s="9">
        <f>ROUNDUP(M31+(M31*Assumptions!M$5),-2)</f>
        <v>14700</v>
      </c>
      <c r="O31" s="89">
        <f>ROUNDUP(N31+(N31*Assumptions!N$5),-2)</f>
        <v>15100</v>
      </c>
      <c r="P31" s="9">
        <f>ROUNDUP(O31+(O31*Assumptions!O$5),-2)</f>
        <v>15500</v>
      </c>
      <c r="Q31" s="9">
        <f>ROUNDUP(P31+(P31*Assumptions!P$5),-2)</f>
        <v>15900</v>
      </c>
      <c r="R31" s="9">
        <f>ROUNDUP(Q31+(Q31*Assumptions!Q$5),-2)</f>
        <v>16300</v>
      </c>
      <c r="S31" s="61">
        <f>ROUNDUP(R31+(R31*Assumptions!R$5),-2)</f>
        <v>16800</v>
      </c>
    </row>
    <row r="32" spans="1:19" x14ac:dyDescent="0.2">
      <c r="A32" s="54">
        <v>21000</v>
      </c>
      <c r="B32" s="9">
        <v>26800</v>
      </c>
      <c r="C32" s="136">
        <v>27100</v>
      </c>
      <c r="D32" s="136">
        <v>22600</v>
      </c>
      <c r="E32" s="134">
        <v>17500</v>
      </c>
      <c r="F32" s="771" t="s">
        <v>2980</v>
      </c>
      <c r="G32" s="247" t="s">
        <v>994</v>
      </c>
      <c r="H32" s="2172">
        <v>23500</v>
      </c>
      <c r="I32" s="85">
        <f t="shared" si="3"/>
        <v>34.285714285714285</v>
      </c>
      <c r="J32" s="89">
        <f>ROUNDUP(H32+(H32*Assumptions!I$5),-2)</f>
        <v>24100</v>
      </c>
      <c r="K32" s="9">
        <f>ROUNDUP(J32+(J32*Assumptions!J$5),-2)</f>
        <v>24800</v>
      </c>
      <c r="L32" s="9">
        <f>ROUNDUP(K32+(K32*Assumptions!K$5),-2)</f>
        <v>25500</v>
      </c>
      <c r="M32" s="9">
        <f>ROUNDUP(L32+(L32*Assumptions!L$5),-2)</f>
        <v>26200</v>
      </c>
      <c r="N32" s="9">
        <f>ROUNDUP(M32+(M32*Assumptions!M$5),-2)</f>
        <v>26900</v>
      </c>
      <c r="O32" s="89">
        <f>ROUNDUP(N32+(N32*Assumptions!N$5),-2)</f>
        <v>27600</v>
      </c>
      <c r="P32" s="9">
        <f>ROUNDUP(O32+(O32*Assumptions!O$5),-2)</f>
        <v>28300</v>
      </c>
      <c r="Q32" s="9">
        <f>ROUNDUP(P32+(P32*Assumptions!P$5),-2)</f>
        <v>29100</v>
      </c>
      <c r="R32" s="9">
        <f>ROUNDUP(Q32+(Q32*Assumptions!Q$5),-2)</f>
        <v>29900</v>
      </c>
      <c r="S32" s="61">
        <f>ROUNDUP(R32+(R32*Assumptions!R$5),-2)</f>
        <v>30700</v>
      </c>
    </row>
    <row r="33" spans="1:19" x14ac:dyDescent="0.2">
      <c r="A33" s="54">
        <v>0</v>
      </c>
      <c r="B33" s="9">
        <v>0</v>
      </c>
      <c r="C33" s="136">
        <v>1000</v>
      </c>
      <c r="D33" s="136">
        <v>700</v>
      </c>
      <c r="E33" s="134">
        <v>100</v>
      </c>
      <c r="F33" s="483" t="s">
        <v>2607</v>
      </c>
      <c r="G33" s="247" t="s">
        <v>931</v>
      </c>
      <c r="H33" s="2172">
        <v>1200</v>
      </c>
      <c r="I33" s="85">
        <f t="shared" si="3"/>
        <v>1100</v>
      </c>
      <c r="J33" s="89">
        <f>ROUNDUP(H33+(H33*Assumptions!I$5),-2)</f>
        <v>1300</v>
      </c>
      <c r="K33" s="9">
        <f>ROUNDUP(J33+(J33*Assumptions!J$5),-2)</f>
        <v>1400</v>
      </c>
      <c r="L33" s="9">
        <f>ROUNDUP(K33+(K33*Assumptions!K$5),-2)</f>
        <v>1500</v>
      </c>
      <c r="M33" s="9">
        <f>ROUNDUP(L33+(L33*Assumptions!L$5),-2)</f>
        <v>1600</v>
      </c>
      <c r="N33" s="9">
        <f>ROUNDUP(M33+(M33*Assumptions!M$5),-2)</f>
        <v>1700</v>
      </c>
      <c r="O33" s="89">
        <f>ROUNDUP(N33+(N33*Assumptions!N$5),-2)</f>
        <v>1800</v>
      </c>
      <c r="P33" s="9">
        <f>ROUNDUP(O33+(O33*Assumptions!O$5),-2)</f>
        <v>1900</v>
      </c>
      <c r="Q33" s="9">
        <f>ROUNDUP(P33+(P33*Assumptions!P$5),-2)</f>
        <v>2000</v>
      </c>
      <c r="R33" s="9">
        <f>ROUNDUP(Q33+(Q33*Assumptions!Q$5),-2)</f>
        <v>2100</v>
      </c>
      <c r="S33" s="61">
        <f>ROUNDUP(R33+(R33*Assumptions!R$5),-2)</f>
        <v>2200</v>
      </c>
    </row>
    <row r="34" spans="1:19" x14ac:dyDescent="0.2">
      <c r="A34" s="54">
        <v>31900</v>
      </c>
      <c r="B34" s="9">
        <v>25300</v>
      </c>
      <c r="C34" s="136">
        <v>23800</v>
      </c>
      <c r="D34" s="136">
        <v>24500</v>
      </c>
      <c r="E34" s="134">
        <v>29400</v>
      </c>
      <c r="F34" s="483" t="s">
        <v>2516</v>
      </c>
      <c r="G34" s="247" t="s">
        <v>1738</v>
      </c>
      <c r="H34" s="2172">
        <v>32100</v>
      </c>
      <c r="I34" s="85">
        <f t="shared" si="3"/>
        <v>9.183673469387756</v>
      </c>
      <c r="J34" s="89">
        <f>ROUNDUP(H34+(H34*Assumptions!I$5),-2)</f>
        <v>32900</v>
      </c>
      <c r="K34" s="9">
        <f>ROUNDUP(J34+(J34*Assumptions!J$5),-2)</f>
        <v>33800</v>
      </c>
      <c r="L34" s="9">
        <f>ROUNDUP(K34+(K34*Assumptions!K$5),-2)</f>
        <v>34700</v>
      </c>
      <c r="M34" s="9">
        <f>ROUNDUP(L34+(L34*Assumptions!L$5),-2)</f>
        <v>35600</v>
      </c>
      <c r="N34" s="9">
        <f>ROUNDUP(M34+(M34*Assumptions!M$5),-2)</f>
        <v>36500</v>
      </c>
      <c r="O34" s="89">
        <f>ROUNDUP(N34+(N34*Assumptions!N$5),-2)</f>
        <v>37500</v>
      </c>
      <c r="P34" s="9">
        <f>ROUNDUP(O34+(O34*Assumptions!O$5),-2)</f>
        <v>38500</v>
      </c>
      <c r="Q34" s="9">
        <f>ROUNDUP(P34+(P34*Assumptions!P$5),-2)</f>
        <v>39500</v>
      </c>
      <c r="R34" s="9">
        <f>ROUNDUP(Q34+(Q34*Assumptions!Q$5),-2)</f>
        <v>40500</v>
      </c>
      <c r="S34" s="61">
        <f>ROUNDUP(R34+(R34*Assumptions!R$5),-2)</f>
        <v>41600</v>
      </c>
    </row>
    <row r="35" spans="1:19" x14ac:dyDescent="0.2">
      <c r="A35" s="54">
        <v>82000</v>
      </c>
      <c r="B35" s="9">
        <v>89000</v>
      </c>
      <c r="C35" s="136">
        <v>69000</v>
      </c>
      <c r="D35" s="136">
        <v>61000</v>
      </c>
      <c r="E35" s="134">
        <v>69000</v>
      </c>
      <c r="F35" s="483" t="s">
        <v>2608</v>
      </c>
      <c r="G35" s="772" t="s">
        <v>3889</v>
      </c>
      <c r="H35" s="2172">
        <v>73000</v>
      </c>
      <c r="I35" s="85">
        <f t="shared" si="3"/>
        <v>5.7971014492753623</v>
      </c>
      <c r="J35" s="89">
        <f>ROUND(H35*Assumptions!I$5+NEWLOG!H35,-2)</f>
        <v>74700</v>
      </c>
      <c r="K35" s="9">
        <f>ROUND(J35*Assumptions!J$5+NEWLOG!J35,-2)</f>
        <v>76600</v>
      </c>
      <c r="L35" s="9">
        <f>ROUND(K35*Assumptions!K$5+NEWLOG!K35,-2)</f>
        <v>78500</v>
      </c>
      <c r="M35" s="9">
        <f>ROUND(L35*Assumptions!L$5+NEWLOG!L35,-2)</f>
        <v>80500</v>
      </c>
      <c r="N35" s="9">
        <f>ROUND(M35*Assumptions!M$5+NEWLOG!M35,-2)</f>
        <v>82500</v>
      </c>
      <c r="O35" s="89">
        <f>ROUND(N35*Assumptions!N$5+NEWLOG!N35,-2)</f>
        <v>84600</v>
      </c>
      <c r="P35" s="9">
        <f>ROUND(O35*Assumptions!O$5+NEWLOG!O35,-2)</f>
        <v>86700</v>
      </c>
      <c r="Q35" s="9">
        <f>ROUND(P35*Assumptions!P$5+NEWLOG!P35,-2)</f>
        <v>88900</v>
      </c>
      <c r="R35" s="9">
        <f>ROUND(Q35*Assumptions!Q$5+NEWLOG!Q35,-2)</f>
        <v>91100</v>
      </c>
      <c r="S35" s="61">
        <f>ROUND(R35*Assumptions!R$5+NEWLOG!R35,-2)</f>
        <v>93400</v>
      </c>
    </row>
    <row r="36" spans="1:19" x14ac:dyDescent="0.2">
      <c r="A36" s="54"/>
      <c r="B36" s="9"/>
      <c r="E36" s="134"/>
      <c r="F36" s="730"/>
      <c r="G36" s="247"/>
      <c r="H36" s="2172"/>
      <c r="I36" s="85"/>
      <c r="J36" s="89"/>
      <c r="K36" s="9"/>
      <c r="L36" s="9"/>
      <c r="M36" s="9"/>
      <c r="N36" s="9"/>
      <c r="O36" s="89"/>
      <c r="P36" s="9"/>
      <c r="Q36" s="9"/>
      <c r="R36" s="9"/>
      <c r="S36" s="61"/>
    </row>
    <row r="37" spans="1:19" x14ac:dyDescent="0.2">
      <c r="A37" s="54"/>
      <c r="B37" s="9"/>
      <c r="E37" s="134"/>
      <c r="F37" s="1378"/>
      <c r="G37" s="319" t="s">
        <v>2609</v>
      </c>
      <c r="H37" s="2172"/>
      <c r="I37" s="85"/>
      <c r="J37" s="89"/>
      <c r="K37" s="9"/>
      <c r="L37" s="9"/>
      <c r="M37" s="9"/>
      <c r="N37" s="9"/>
      <c r="O37" s="89"/>
      <c r="P37" s="9"/>
      <c r="Q37" s="9"/>
      <c r="R37" s="9"/>
      <c r="S37" s="61"/>
    </row>
    <row r="38" spans="1:19" x14ac:dyDescent="0.2">
      <c r="A38" s="54">
        <v>200</v>
      </c>
      <c r="B38" s="9">
        <f>3500-2900-500</f>
        <v>100</v>
      </c>
      <c r="C38" s="136">
        <f>100</f>
        <v>100</v>
      </c>
      <c r="D38" s="136">
        <v>1800</v>
      </c>
      <c r="E38" s="134">
        <f>10700-E39-E40</f>
        <v>2400</v>
      </c>
      <c r="F38" s="483" t="s">
        <v>1555</v>
      </c>
      <c r="G38" s="772" t="s">
        <v>5227</v>
      </c>
      <c r="H38" s="2172">
        <v>1800</v>
      </c>
      <c r="I38" s="85">
        <f t="shared" ref="I38:I45" si="4">IF(E38=H38,0,IF(E38=0,100,(H38-E38)/E38*100))</f>
        <v>-25</v>
      </c>
      <c r="J38" s="89">
        <f>ROUNDUP(H38+(H38*Assumptions!I$5),-2)</f>
        <v>1900</v>
      </c>
      <c r="K38" s="9">
        <f>ROUNDUP(J38+(J38*Assumptions!J$5),-2)</f>
        <v>2000</v>
      </c>
      <c r="L38" s="9">
        <f>ROUNDUP(K38+(K38*Assumptions!K$5),-2)</f>
        <v>2100</v>
      </c>
      <c r="M38" s="9">
        <f>ROUNDUP(L38+(L38*Assumptions!L$5),-2)</f>
        <v>2200</v>
      </c>
      <c r="N38" s="9">
        <f>ROUNDUP(M38+(M38*Assumptions!M$5),-2)</f>
        <v>2300</v>
      </c>
      <c r="O38" s="89">
        <f>ROUNDUP(N38+(N38*Assumptions!N$5),-2)</f>
        <v>2400</v>
      </c>
      <c r="P38" s="9">
        <f>ROUNDUP(O38+(O38*Assumptions!O$5),-2)</f>
        <v>2500</v>
      </c>
      <c r="Q38" s="9">
        <f>ROUNDUP(P38+(P38*Assumptions!P$5),-2)</f>
        <v>2600</v>
      </c>
      <c r="R38" s="9">
        <f>ROUNDUP(Q38+(Q38*Assumptions!Q$5),-2)</f>
        <v>2700</v>
      </c>
      <c r="S38" s="61">
        <f>ROUNDUP(R38+(R38*Assumptions!R$5),-2)</f>
        <v>2800</v>
      </c>
    </row>
    <row r="39" spans="1:19" x14ac:dyDescent="0.2">
      <c r="A39" s="54">
        <v>2800</v>
      </c>
      <c r="B39" s="9">
        <v>2900</v>
      </c>
      <c r="C39" s="136">
        <v>3000</v>
      </c>
      <c r="D39" s="136">
        <v>3100</v>
      </c>
      <c r="E39" s="134">
        <v>8100</v>
      </c>
      <c r="F39" s="483" t="s">
        <v>1885</v>
      </c>
      <c r="G39" s="247" t="s">
        <v>721</v>
      </c>
      <c r="H39" s="2172">
        <v>3300</v>
      </c>
      <c r="I39" s="85">
        <f t="shared" si="4"/>
        <v>-59.259259259259252</v>
      </c>
      <c r="J39" s="89">
        <f>ROUNDUP(H39+(H39*Assumptions!I$5),-2)</f>
        <v>3400</v>
      </c>
      <c r="K39" s="9">
        <f>ROUNDUP(J39+(J39*Assumptions!J$5),-2)</f>
        <v>3500</v>
      </c>
      <c r="L39" s="9">
        <f>ROUNDUP(K39+(K39*Assumptions!K$5),-2)</f>
        <v>3600</v>
      </c>
      <c r="M39" s="9">
        <f>ROUNDUP(L39+(L39*Assumptions!L$5),-2)</f>
        <v>3700</v>
      </c>
      <c r="N39" s="9">
        <f>ROUNDUP(M39+(M39*Assumptions!M$5),-2)</f>
        <v>3800</v>
      </c>
      <c r="O39" s="89">
        <f>ROUNDUP(N39+(N39*Assumptions!N$5),-2)</f>
        <v>3900</v>
      </c>
      <c r="P39" s="9">
        <f>ROUNDUP(O39+(O39*Assumptions!O$5),-2)</f>
        <v>4000</v>
      </c>
      <c r="Q39" s="9">
        <f>ROUNDUP(P39+(P39*Assumptions!P$5),-2)</f>
        <v>4100</v>
      </c>
      <c r="R39" s="9">
        <f>ROUNDUP(Q39+(Q39*Assumptions!Q$5),-2)</f>
        <v>4300</v>
      </c>
      <c r="S39" s="61">
        <f>ROUNDUP(R39+(R39*Assumptions!R$5),-2)</f>
        <v>4500</v>
      </c>
    </row>
    <row r="40" spans="1:19" x14ac:dyDescent="0.2">
      <c r="A40" s="54">
        <v>500</v>
      </c>
      <c r="B40" s="9">
        <v>500</v>
      </c>
      <c r="C40" s="136">
        <v>300</v>
      </c>
      <c r="D40" s="136">
        <v>200</v>
      </c>
      <c r="E40" s="134">
        <v>200</v>
      </c>
      <c r="F40" s="483" t="s">
        <v>1994</v>
      </c>
      <c r="G40" s="247" t="s">
        <v>708</v>
      </c>
      <c r="H40" s="2172">
        <v>800</v>
      </c>
      <c r="I40" s="85">
        <f t="shared" si="4"/>
        <v>300</v>
      </c>
      <c r="J40" s="89">
        <f>ROUNDUP(H40+(H40*Assumptions!I$5),-2)</f>
        <v>900</v>
      </c>
      <c r="K40" s="9">
        <f>ROUNDUP(J40+(J40*Assumptions!J$5),-2)</f>
        <v>1000</v>
      </c>
      <c r="L40" s="9">
        <f>ROUNDUP(K40+(K40*Assumptions!K$5),-2)</f>
        <v>1100</v>
      </c>
      <c r="M40" s="9">
        <f>ROUNDUP(L40+(L40*Assumptions!L$5),-2)</f>
        <v>1200</v>
      </c>
      <c r="N40" s="9">
        <f>ROUNDUP(M40+(M40*Assumptions!M$5),-2)</f>
        <v>1300</v>
      </c>
      <c r="O40" s="89">
        <f>ROUNDUP(N40+(N40*Assumptions!N$5),-2)</f>
        <v>1400</v>
      </c>
      <c r="P40" s="9">
        <f>ROUNDUP(O40+(O40*Assumptions!O$5),-2)</f>
        <v>1500</v>
      </c>
      <c r="Q40" s="9">
        <f>ROUNDUP(P40+(P40*Assumptions!P$5),-2)</f>
        <v>1600</v>
      </c>
      <c r="R40" s="9">
        <f>ROUNDUP(Q40+(Q40*Assumptions!Q$5),-2)</f>
        <v>1700</v>
      </c>
      <c r="S40" s="61">
        <f>ROUNDUP(R40+(R40*Assumptions!R$5),-2)</f>
        <v>1800</v>
      </c>
    </row>
    <row r="41" spans="1:19" x14ac:dyDescent="0.2">
      <c r="A41" s="54">
        <v>2500</v>
      </c>
      <c r="B41" s="9">
        <v>100</v>
      </c>
      <c r="C41" s="136">
        <v>0</v>
      </c>
      <c r="D41" s="136">
        <v>0</v>
      </c>
      <c r="E41" s="134">
        <v>2200</v>
      </c>
      <c r="F41" s="483" t="s">
        <v>1553</v>
      </c>
      <c r="G41" s="247" t="s">
        <v>1836</v>
      </c>
      <c r="H41" s="2172">
        <v>2800</v>
      </c>
      <c r="I41" s="85">
        <f t="shared" si="4"/>
        <v>27.27272727272727</v>
      </c>
      <c r="J41" s="89">
        <f>ROUNDUP(H41+(H41*Assumptions!I$5),-2)</f>
        <v>2900</v>
      </c>
      <c r="K41" s="9">
        <f>ROUNDUP(J41+(J41*Assumptions!J$5),-2)</f>
        <v>3000</v>
      </c>
      <c r="L41" s="9">
        <f>ROUNDUP(K41+(K41*Assumptions!K$5),-2)</f>
        <v>3100</v>
      </c>
      <c r="M41" s="9">
        <f>ROUNDUP(L41+(L41*Assumptions!L$5),-2)</f>
        <v>3200</v>
      </c>
      <c r="N41" s="9">
        <f>ROUNDUP(M41+(M41*Assumptions!M$5),-2)</f>
        <v>3300</v>
      </c>
      <c r="O41" s="89">
        <f>ROUNDUP(N41+(N41*Assumptions!N$5),-2)</f>
        <v>3400</v>
      </c>
      <c r="P41" s="9">
        <f>ROUNDUP(O41+(O41*Assumptions!O$5),-2)</f>
        <v>3500</v>
      </c>
      <c r="Q41" s="9">
        <f>ROUNDUP(P41+(P41*Assumptions!P$5),-2)</f>
        <v>3600</v>
      </c>
      <c r="R41" s="9">
        <f>ROUNDUP(Q41+(Q41*Assumptions!Q$5),-2)</f>
        <v>3700</v>
      </c>
      <c r="S41" s="61">
        <f>ROUNDUP(R41+(R41*Assumptions!R$5),-2)</f>
        <v>3800</v>
      </c>
    </row>
    <row r="42" spans="1:19" x14ac:dyDescent="0.2">
      <c r="A42" s="54">
        <v>4300</v>
      </c>
      <c r="B42" s="9">
        <v>600</v>
      </c>
      <c r="C42" s="136">
        <v>1100</v>
      </c>
      <c r="D42" s="136">
        <v>1800</v>
      </c>
      <c r="E42" s="134">
        <v>800</v>
      </c>
      <c r="F42" s="483" t="s">
        <v>1993</v>
      </c>
      <c r="G42" s="247" t="s">
        <v>666</v>
      </c>
      <c r="H42" s="2172">
        <v>2800</v>
      </c>
      <c r="I42" s="85">
        <f t="shared" si="4"/>
        <v>250</v>
      </c>
      <c r="J42" s="89">
        <f>ROUNDUP(H42+(H42*Assumptions!I$5),-2)</f>
        <v>2900</v>
      </c>
      <c r="K42" s="9">
        <f>ROUNDUP(J42+(J42*Assumptions!J$5),-2)</f>
        <v>3000</v>
      </c>
      <c r="L42" s="9">
        <f>ROUNDUP(K42+(K42*Assumptions!K$5),-2)</f>
        <v>3100</v>
      </c>
      <c r="M42" s="9">
        <f>ROUNDUP(L42+(L42*Assumptions!L$5),-2)</f>
        <v>3200</v>
      </c>
      <c r="N42" s="9">
        <f>ROUNDUP(M42+(M42*Assumptions!M$5),-2)</f>
        <v>3300</v>
      </c>
      <c r="O42" s="89">
        <f>ROUNDUP(N42+(N42*Assumptions!N$5),-2)</f>
        <v>3400</v>
      </c>
      <c r="P42" s="9">
        <f>ROUNDUP(O42+(O42*Assumptions!O$5),-2)</f>
        <v>3500</v>
      </c>
      <c r="Q42" s="9">
        <f>ROUNDUP(P42+(P42*Assumptions!P$5),-2)</f>
        <v>3600</v>
      </c>
      <c r="R42" s="9">
        <f>ROUNDUP(Q42+(Q42*Assumptions!Q$5),-2)</f>
        <v>3700</v>
      </c>
      <c r="S42" s="61">
        <f>ROUNDUP(R42+(R42*Assumptions!R$5),-2)</f>
        <v>3800</v>
      </c>
    </row>
    <row r="43" spans="1:19" x14ac:dyDescent="0.2">
      <c r="A43" s="54">
        <v>3900</v>
      </c>
      <c r="B43" s="9">
        <v>2800</v>
      </c>
      <c r="C43" s="136">
        <v>2900</v>
      </c>
      <c r="D43" s="136">
        <v>2800</v>
      </c>
      <c r="E43" s="134">
        <v>1000</v>
      </c>
      <c r="F43" s="483" t="s">
        <v>1554</v>
      </c>
      <c r="G43" s="247" t="s">
        <v>671</v>
      </c>
      <c r="H43" s="2172">
        <v>4300</v>
      </c>
      <c r="I43" s="85">
        <f t="shared" si="4"/>
        <v>330</v>
      </c>
      <c r="J43" s="89">
        <f>ROUNDUP(H43+(H43*Assumptions!I$5),-2)</f>
        <v>4400</v>
      </c>
      <c r="K43" s="9">
        <f>ROUNDUP(J43+(J43*Assumptions!J$5),-2)</f>
        <v>4600</v>
      </c>
      <c r="L43" s="9">
        <f>ROUNDUP(K43+(K43*Assumptions!K$5),-2)</f>
        <v>4800</v>
      </c>
      <c r="M43" s="9">
        <f>ROUNDUP(L43+(L43*Assumptions!L$5),-2)</f>
        <v>5000</v>
      </c>
      <c r="N43" s="9">
        <f>ROUNDUP(M43+(M43*Assumptions!M$5),-2)</f>
        <v>5200</v>
      </c>
      <c r="O43" s="89">
        <f>ROUNDUP(N43+(N43*Assumptions!N$5),-2)</f>
        <v>5400</v>
      </c>
      <c r="P43" s="9">
        <f>ROUNDUP(O43+(O43*Assumptions!O$5),-2)</f>
        <v>5600</v>
      </c>
      <c r="Q43" s="9">
        <f>ROUNDUP(P43+(P43*Assumptions!P$5),-2)</f>
        <v>5800</v>
      </c>
      <c r="R43" s="9">
        <f>ROUNDUP(Q43+(Q43*Assumptions!Q$5),-2)</f>
        <v>6000</v>
      </c>
      <c r="S43" s="61">
        <f>ROUNDUP(R43+(R43*Assumptions!R$5),-2)</f>
        <v>6200</v>
      </c>
    </row>
    <row r="44" spans="1:19" x14ac:dyDescent="0.2">
      <c r="A44" s="54">
        <v>5000</v>
      </c>
      <c r="B44" s="9">
        <v>4700</v>
      </c>
      <c r="C44" s="136">
        <v>4700</v>
      </c>
      <c r="D44" s="136">
        <v>4700</v>
      </c>
      <c r="E44" s="134">
        <v>1100</v>
      </c>
      <c r="F44" s="483" t="s">
        <v>1991</v>
      </c>
      <c r="G44" s="247" t="s">
        <v>2724</v>
      </c>
      <c r="H44" s="2172">
        <v>5500</v>
      </c>
      <c r="I44" s="85">
        <f t="shared" si="4"/>
        <v>400</v>
      </c>
      <c r="J44" s="89">
        <f>ROUNDUP(H44+(H44*Assumptions!I$5),-2)</f>
        <v>5700</v>
      </c>
      <c r="K44" s="9">
        <f>ROUNDUP(J44+(J44*Assumptions!J$5),-2)</f>
        <v>5900</v>
      </c>
      <c r="L44" s="9">
        <f>ROUNDUP(K44+(K44*Assumptions!K$5),-2)</f>
        <v>6100</v>
      </c>
      <c r="M44" s="9">
        <f>ROUNDUP(L44+(L44*Assumptions!L$5),-2)</f>
        <v>6300</v>
      </c>
      <c r="N44" s="9">
        <f>ROUNDUP(M44+(M44*Assumptions!M$5),-2)</f>
        <v>6500</v>
      </c>
      <c r="O44" s="89">
        <f>ROUNDUP(N44+(N44*Assumptions!N$5),-2)</f>
        <v>6700</v>
      </c>
      <c r="P44" s="9">
        <f>ROUNDUP(O44+(O44*Assumptions!O$5),-2)</f>
        <v>6900</v>
      </c>
      <c r="Q44" s="9">
        <f>ROUNDUP(P44+(P44*Assumptions!P$5),-2)</f>
        <v>7100</v>
      </c>
      <c r="R44" s="9">
        <f>ROUNDUP(Q44+(Q44*Assumptions!Q$5),-2)</f>
        <v>7300</v>
      </c>
      <c r="S44" s="61">
        <f>ROUNDUP(R44+(R44*Assumptions!R$5),-2)</f>
        <v>7500</v>
      </c>
    </row>
    <row r="45" spans="1:19" x14ac:dyDescent="0.2">
      <c r="A45" s="54">
        <v>3100</v>
      </c>
      <c r="B45" s="9">
        <v>6500</v>
      </c>
      <c r="C45" s="136">
        <v>3400</v>
      </c>
      <c r="D45" s="136">
        <v>4000</v>
      </c>
      <c r="E45" s="134">
        <v>5200</v>
      </c>
      <c r="F45" s="483" t="s">
        <v>1995</v>
      </c>
      <c r="G45" s="247" t="s">
        <v>1319</v>
      </c>
      <c r="H45" s="2172">
        <v>6000</v>
      </c>
      <c r="I45" s="85">
        <f t="shared" si="4"/>
        <v>15.384615384615385</v>
      </c>
      <c r="J45" s="89">
        <f>ROUNDUP(H45+(H45*Assumptions!I$5),-2)</f>
        <v>6200</v>
      </c>
      <c r="K45" s="9">
        <f>ROUNDUP(J45+(J45*Assumptions!J$5),-2)</f>
        <v>6400</v>
      </c>
      <c r="L45" s="9">
        <f>ROUNDUP(K45+(K45*Assumptions!K$5),-2)</f>
        <v>6600</v>
      </c>
      <c r="M45" s="9">
        <f>ROUNDUP(L45+(L45*Assumptions!L$5),-2)</f>
        <v>6800</v>
      </c>
      <c r="N45" s="9">
        <f>ROUNDUP(M45+(M45*Assumptions!M$5),-2)</f>
        <v>7000</v>
      </c>
      <c r="O45" s="89">
        <f>ROUNDUP(N45+(N45*Assumptions!N$5),-2)</f>
        <v>7200</v>
      </c>
      <c r="P45" s="9">
        <f>ROUNDUP(O45+(O45*Assumptions!O$5),-2)</f>
        <v>7400</v>
      </c>
      <c r="Q45" s="9">
        <f>ROUNDUP(P45+(P45*Assumptions!P$5),-2)</f>
        <v>7600</v>
      </c>
      <c r="R45" s="9">
        <f>ROUNDUP(Q45+(Q45*Assumptions!Q$5),-2)</f>
        <v>7800</v>
      </c>
      <c r="S45" s="61">
        <f>ROUNDUP(R45+(R45*Assumptions!R$5),-2)</f>
        <v>8000</v>
      </c>
    </row>
    <row r="46" spans="1:19" x14ac:dyDescent="0.2">
      <c r="A46" s="54"/>
      <c r="B46" s="9"/>
      <c r="E46" s="134"/>
      <c r="F46" s="730"/>
      <c r="G46" s="247"/>
      <c r="H46" s="2172"/>
      <c r="I46" s="85"/>
      <c r="J46" s="89"/>
      <c r="K46" s="9"/>
      <c r="L46" s="9"/>
      <c r="M46" s="9"/>
      <c r="N46" s="9"/>
      <c r="O46" s="89"/>
      <c r="P46" s="9"/>
      <c r="Q46" s="9"/>
      <c r="R46" s="9"/>
      <c r="S46" s="61"/>
    </row>
    <row r="47" spans="1:19" x14ac:dyDescent="0.2">
      <c r="A47" s="54"/>
      <c r="B47" s="9"/>
      <c r="E47" s="134"/>
      <c r="F47" s="371"/>
      <c r="G47" s="1545" t="s">
        <v>261</v>
      </c>
      <c r="H47" s="2172"/>
      <c r="I47" s="85"/>
      <c r="J47" s="89"/>
      <c r="K47" s="9"/>
      <c r="L47" s="9"/>
      <c r="M47" s="9"/>
      <c r="N47" s="9"/>
      <c r="O47" s="89"/>
      <c r="P47" s="9"/>
      <c r="Q47" s="9"/>
      <c r="R47" s="9"/>
      <c r="S47" s="61"/>
    </row>
    <row r="48" spans="1:19" x14ac:dyDescent="0.2">
      <c r="A48" s="54">
        <v>0</v>
      </c>
      <c r="B48" s="9">
        <v>0</v>
      </c>
      <c r="C48" s="136">
        <v>0</v>
      </c>
      <c r="D48" s="136">
        <v>0</v>
      </c>
      <c r="E48" s="134"/>
      <c r="F48" s="771" t="s">
        <v>2648</v>
      </c>
      <c r="G48" s="247" t="s">
        <v>1184</v>
      </c>
      <c r="H48" s="2172">
        <v>12500</v>
      </c>
      <c r="I48" s="85">
        <f>IF(E48=H48,0,IF(E48=0,100,(H48-E48)/E48*100))</f>
        <v>100</v>
      </c>
      <c r="J48" s="89">
        <v>13000</v>
      </c>
      <c r="K48" s="9">
        <v>0</v>
      </c>
      <c r="L48" s="9">
        <v>13700</v>
      </c>
      <c r="M48" s="9">
        <v>0</v>
      </c>
      <c r="N48" s="9">
        <v>14600</v>
      </c>
      <c r="O48" s="89">
        <v>0</v>
      </c>
      <c r="P48" s="9">
        <v>0</v>
      </c>
      <c r="Q48" s="9">
        <v>0</v>
      </c>
      <c r="R48" s="9">
        <v>0</v>
      </c>
      <c r="S48" s="61">
        <v>0</v>
      </c>
    </row>
    <row r="49" spans="1:19" x14ac:dyDescent="0.2">
      <c r="A49" s="54">
        <v>29900</v>
      </c>
      <c r="B49" s="9">
        <v>23900</v>
      </c>
      <c r="C49" s="136">
        <v>21800</v>
      </c>
      <c r="D49" s="136">
        <v>19200</v>
      </c>
      <c r="E49" s="134"/>
      <c r="F49" s="483" t="s">
        <v>2649</v>
      </c>
      <c r="G49" s="242" t="s">
        <v>2035</v>
      </c>
      <c r="H49" s="2172">
        <v>30500</v>
      </c>
      <c r="I49" s="85">
        <f>IF(E49=H49,0,IF(E49=0,100,(H49-E49)/E49*100))</f>
        <v>100</v>
      </c>
      <c r="J49" s="89">
        <f>ROUNDUP(H49+(H49*Assumptions!I$5),-2)</f>
        <v>31300</v>
      </c>
      <c r="K49" s="9">
        <f>ROUNDUP(J49+(J49*Assumptions!J$5),-2)</f>
        <v>32100</v>
      </c>
      <c r="L49" s="9">
        <f>ROUNDUP(K49+(K49*Assumptions!K$5),-2)</f>
        <v>33000</v>
      </c>
      <c r="M49" s="9">
        <f>ROUNDUP(L49+(L49*Assumptions!L$5),-2)</f>
        <v>33900</v>
      </c>
      <c r="N49" s="9">
        <f>ROUNDUP(M49+(M49*Assumptions!M$5),-2)</f>
        <v>34800</v>
      </c>
      <c r="O49" s="89">
        <f>ROUNDUP(N49+(N49*Assumptions!N$5),-2)</f>
        <v>35700</v>
      </c>
      <c r="P49" s="9">
        <f>ROUNDUP(O49+(O49*Assumptions!O$5),-2)</f>
        <v>36600</v>
      </c>
      <c r="Q49" s="9">
        <f>ROUNDUP(P49+(P49*Assumptions!P$5),-2)</f>
        <v>37600</v>
      </c>
      <c r="R49" s="9">
        <f>ROUNDUP(Q49+(Q49*Assumptions!Q$5),-2)</f>
        <v>38600</v>
      </c>
      <c r="S49" s="61">
        <f>ROUNDUP(R49+(R49*Assumptions!R$5),-2)</f>
        <v>39600</v>
      </c>
    </row>
    <row r="50" spans="1:19" ht="13.5" thickBot="1" x14ac:dyDescent="0.25">
      <c r="A50" s="54"/>
      <c r="B50" s="9"/>
      <c r="C50" s="134"/>
      <c r="D50" s="134"/>
      <c r="E50" s="134"/>
      <c r="F50" s="165"/>
      <c r="G50" s="29"/>
      <c r="H50" s="2172"/>
      <c r="I50" s="85"/>
      <c r="J50" s="89"/>
      <c r="K50" s="9"/>
      <c r="L50" s="9"/>
      <c r="M50" s="9"/>
      <c r="N50" s="9"/>
      <c r="O50" s="89"/>
      <c r="P50" s="9"/>
      <c r="Q50" s="9"/>
      <c r="R50" s="9"/>
      <c r="S50" s="61"/>
    </row>
    <row r="51" spans="1:19" s="39" customFormat="1" x14ac:dyDescent="0.2">
      <c r="A51" s="52">
        <f>SUM(A23:A50)</f>
        <v>504600</v>
      </c>
      <c r="B51" s="16">
        <f>SUM(B23:B50)</f>
        <v>501900</v>
      </c>
      <c r="C51" s="137">
        <f>SUM(C23:C50)</f>
        <v>475000</v>
      </c>
      <c r="D51" s="137">
        <f>SUM(D23:D50)</f>
        <v>475400</v>
      </c>
      <c r="E51" s="145">
        <f t="shared" ref="E51" si="5">SUM(E23:E50)</f>
        <v>476900</v>
      </c>
      <c r="F51" s="164"/>
      <c r="G51" s="1158" t="s">
        <v>556</v>
      </c>
      <c r="H51" s="2199">
        <f t="shared" ref="H51:O51" si="6">SUM(H23:H50)</f>
        <v>521600</v>
      </c>
      <c r="I51" s="1010">
        <f>IF(F51=H51,0,IF(F51=0,100,(H51-F51)/F51*100))</f>
        <v>100</v>
      </c>
      <c r="J51" s="102">
        <f t="shared" si="6"/>
        <v>534900</v>
      </c>
      <c r="K51" s="16">
        <f t="shared" si="6"/>
        <v>536000</v>
      </c>
      <c r="L51" s="16">
        <f t="shared" si="6"/>
        <v>564100</v>
      </c>
      <c r="M51" s="16">
        <f t="shared" si="6"/>
        <v>565100</v>
      </c>
      <c r="N51" s="16">
        <f t="shared" si="6"/>
        <v>594600</v>
      </c>
      <c r="O51" s="102">
        <f t="shared" si="6"/>
        <v>595300</v>
      </c>
      <c r="P51" s="16">
        <f t="shared" ref="P51:Q51" si="7">SUM(P23:P50)</f>
        <v>610800</v>
      </c>
      <c r="Q51" s="16">
        <f t="shared" si="7"/>
        <v>626800</v>
      </c>
      <c r="R51" s="16">
        <f t="shared" ref="R51:S51" si="8">SUM(R23:R50)</f>
        <v>643200</v>
      </c>
      <c r="S51" s="60">
        <f t="shared" si="8"/>
        <v>660100</v>
      </c>
    </row>
    <row r="52" spans="1:19" x14ac:dyDescent="0.2">
      <c r="A52" s="54"/>
      <c r="B52" s="9"/>
      <c r="E52" s="134"/>
      <c r="F52" s="1153"/>
      <c r="G52" s="1173"/>
      <c r="H52" s="2172"/>
      <c r="I52" s="85"/>
      <c r="J52" s="89"/>
      <c r="K52" s="9"/>
      <c r="L52" s="9"/>
      <c r="M52" s="9"/>
      <c r="N52" s="9"/>
      <c r="O52" s="89"/>
      <c r="P52" s="9"/>
      <c r="Q52" s="9"/>
      <c r="R52" s="9"/>
      <c r="S52" s="61"/>
    </row>
    <row r="53" spans="1:19" s="39" customFormat="1" x14ac:dyDescent="0.2">
      <c r="A53" s="24">
        <f>A20-A51</f>
        <v>-221800</v>
      </c>
      <c r="B53" s="21">
        <f>B20-B51</f>
        <v>-229600</v>
      </c>
      <c r="C53" s="139">
        <f>C20-C51</f>
        <v>-214200</v>
      </c>
      <c r="D53" s="139">
        <f>D20-D51</f>
        <v>-231900</v>
      </c>
      <c r="E53" s="138">
        <f t="shared" ref="E53" si="9">E20-E51</f>
        <v>-242200</v>
      </c>
      <c r="F53" s="164"/>
      <c r="G53" s="1160" t="s">
        <v>1002</v>
      </c>
      <c r="H53" s="2174">
        <f t="shared" ref="H53:O53" si="10">H20-H51</f>
        <v>-287500</v>
      </c>
      <c r="I53" s="126">
        <f>IF(F53=H53,0,IF(F53=0,100,(H53-F53)/F53*100))</f>
        <v>100</v>
      </c>
      <c r="J53" s="75">
        <f t="shared" si="10"/>
        <v>-295200</v>
      </c>
      <c r="K53" s="21">
        <f t="shared" si="10"/>
        <v>-290100</v>
      </c>
      <c r="L53" s="21">
        <f t="shared" si="10"/>
        <v>-311800</v>
      </c>
      <c r="M53" s="21">
        <f t="shared" si="10"/>
        <v>-306300</v>
      </c>
      <c r="N53" s="21">
        <f t="shared" si="10"/>
        <v>-329200</v>
      </c>
      <c r="O53" s="75">
        <f t="shared" si="10"/>
        <v>-323100</v>
      </c>
      <c r="P53" s="21">
        <f t="shared" ref="P53:Q53" si="11">P20-P51</f>
        <v>-331600</v>
      </c>
      <c r="Q53" s="21">
        <f t="shared" si="11"/>
        <v>-340500</v>
      </c>
      <c r="R53" s="21">
        <f t="shared" ref="R53:S53" si="12">R20-R51</f>
        <v>-349600</v>
      </c>
      <c r="S53" s="62">
        <f t="shared" si="12"/>
        <v>-359000</v>
      </c>
    </row>
    <row r="54" spans="1:19" x14ac:dyDescent="0.2">
      <c r="A54" s="54">
        <f>A49+A48</f>
        <v>29900</v>
      </c>
      <c r="B54" s="9">
        <f>B49+B48</f>
        <v>23900</v>
      </c>
      <c r="C54" s="136">
        <f>C49+C48</f>
        <v>21800</v>
      </c>
      <c r="D54" s="136">
        <f>D49+D48</f>
        <v>19200</v>
      </c>
      <c r="E54" s="134">
        <f t="shared" ref="E54" si="13">E49+E48</f>
        <v>0</v>
      </c>
      <c r="F54" s="1153"/>
      <c r="G54" s="1462" t="s">
        <v>480</v>
      </c>
      <c r="H54" s="2172">
        <f t="shared" ref="H54:O54" si="14">H49+H48</f>
        <v>43000</v>
      </c>
      <c r="I54" s="85">
        <f>IF(F54=H54,0,IF(F54=0,100,(H54-F54)/F54*100))</f>
        <v>100</v>
      </c>
      <c r="J54" s="89">
        <f t="shared" si="14"/>
        <v>44300</v>
      </c>
      <c r="K54" s="9">
        <f t="shared" si="14"/>
        <v>32100</v>
      </c>
      <c r="L54" s="9">
        <f t="shared" si="14"/>
        <v>46700</v>
      </c>
      <c r="M54" s="9">
        <f t="shared" si="14"/>
        <v>33900</v>
      </c>
      <c r="N54" s="9">
        <f t="shared" si="14"/>
        <v>49400</v>
      </c>
      <c r="O54" s="89">
        <f t="shared" si="14"/>
        <v>35700</v>
      </c>
      <c r="P54" s="9">
        <f t="shared" ref="P54:Q54" si="15">P49+P48</f>
        <v>36600</v>
      </c>
      <c r="Q54" s="9">
        <f t="shared" si="15"/>
        <v>37600</v>
      </c>
      <c r="R54" s="9">
        <f t="shared" ref="R54:S54" si="16">R49+R48</f>
        <v>38600</v>
      </c>
      <c r="S54" s="61">
        <f t="shared" si="16"/>
        <v>39600</v>
      </c>
    </row>
    <row r="55" spans="1:19" s="39" customFormat="1" x14ac:dyDescent="0.2">
      <c r="A55" s="128">
        <f>A53+A54</f>
        <v>-191900</v>
      </c>
      <c r="B55" s="280">
        <f>B53+B54</f>
        <v>-205700</v>
      </c>
      <c r="C55" s="281">
        <f>C53+C54</f>
        <v>-192400</v>
      </c>
      <c r="D55" s="281">
        <f>D53+D54</f>
        <v>-212700</v>
      </c>
      <c r="E55" s="529">
        <f t="shared" ref="E55" si="17">E53+E54</f>
        <v>-242200</v>
      </c>
      <c r="F55" s="367"/>
      <c r="G55" s="1166" t="s">
        <v>1659</v>
      </c>
      <c r="H55" s="2200">
        <f t="shared" ref="H55:M55" si="18">H53+H54</f>
        <v>-244500</v>
      </c>
      <c r="I55" s="278">
        <f>IF(F55=H55,0,IF(F55=0,100,(H55-F55)/F55*100))</f>
        <v>100</v>
      </c>
      <c r="J55" s="266">
        <f t="shared" si="18"/>
        <v>-250900</v>
      </c>
      <c r="K55" s="280">
        <f t="shared" si="18"/>
        <v>-258000</v>
      </c>
      <c r="L55" s="280">
        <f t="shared" si="18"/>
        <v>-265100</v>
      </c>
      <c r="M55" s="280">
        <f t="shared" si="18"/>
        <v>-272400</v>
      </c>
      <c r="N55" s="280">
        <f t="shared" ref="N55:S55" si="19">N53+N54</f>
        <v>-279800</v>
      </c>
      <c r="O55" s="266">
        <f t="shared" si="19"/>
        <v>-287400</v>
      </c>
      <c r="P55" s="280">
        <f t="shared" si="19"/>
        <v>-295000</v>
      </c>
      <c r="Q55" s="280">
        <f t="shared" si="19"/>
        <v>-302900</v>
      </c>
      <c r="R55" s="280">
        <f t="shared" si="19"/>
        <v>-311000</v>
      </c>
      <c r="S55" s="282">
        <f t="shared" si="19"/>
        <v>-319400</v>
      </c>
    </row>
    <row r="56" spans="1:19" ht="13.5" thickBot="1" x14ac:dyDescent="0.25">
      <c r="A56" s="26"/>
      <c r="B56" s="37"/>
      <c r="C56" s="146"/>
      <c r="D56" s="146"/>
      <c r="E56" s="146"/>
      <c r="F56" s="252"/>
      <c r="G56" s="66"/>
      <c r="H56" s="2201"/>
      <c r="I56" s="275"/>
      <c r="J56" s="42"/>
      <c r="K56" s="68"/>
      <c r="L56" s="68"/>
      <c r="M56" s="68"/>
      <c r="N56" s="68"/>
      <c r="O56" s="42"/>
      <c r="P56" s="68"/>
      <c r="Q56" s="68"/>
      <c r="R56" s="68"/>
      <c r="S56" s="108"/>
    </row>
    <row r="57" spans="1:19" ht="13.5" thickTop="1" x14ac:dyDescent="0.2">
      <c r="A57" s="24"/>
      <c r="B57" s="21"/>
      <c r="C57" s="139"/>
      <c r="D57" s="139"/>
      <c r="E57" s="138"/>
      <c r="F57" s="165"/>
      <c r="G57" s="122"/>
      <c r="H57" s="2202"/>
      <c r="I57" s="1182"/>
      <c r="J57" s="111"/>
      <c r="K57" s="74"/>
      <c r="L57" s="74"/>
      <c r="M57" s="74"/>
      <c r="N57" s="74"/>
      <c r="O57" s="74"/>
      <c r="P57" s="74"/>
      <c r="Q57" s="74"/>
      <c r="R57" s="74"/>
      <c r="S57" s="110"/>
    </row>
    <row r="58" spans="1:19" x14ac:dyDescent="0.2">
      <c r="A58" s="24"/>
      <c r="B58" s="21"/>
      <c r="C58" s="139"/>
      <c r="D58" s="139"/>
      <c r="E58" s="138"/>
      <c r="F58" s="165"/>
      <c r="G58" s="1160" t="s">
        <v>192</v>
      </c>
      <c r="H58" s="2172"/>
      <c r="I58" s="1182"/>
      <c r="J58" s="89"/>
      <c r="K58" s="9"/>
      <c r="L58" s="9"/>
      <c r="M58" s="9"/>
      <c r="N58" s="9"/>
      <c r="O58" s="9"/>
      <c r="P58" s="9"/>
      <c r="Q58" s="9"/>
      <c r="R58" s="9"/>
      <c r="S58" s="61"/>
    </row>
    <row r="59" spans="1:19" x14ac:dyDescent="0.2">
      <c r="A59" s="54">
        <v>181200</v>
      </c>
      <c r="B59" s="9">
        <v>187400</v>
      </c>
      <c r="C59" s="136">
        <v>217000</v>
      </c>
      <c r="D59" s="136">
        <v>221700</v>
      </c>
      <c r="E59" s="134">
        <v>230900</v>
      </c>
      <c r="F59" s="483" t="s">
        <v>1996</v>
      </c>
      <c r="G59" s="1150" t="s">
        <v>4092</v>
      </c>
      <c r="H59" s="2172">
        <v>234700</v>
      </c>
      <c r="I59" s="85"/>
      <c r="J59" s="89">
        <f>ROUNDUP(H59+(H59*Assumptions!I$5),-2)</f>
        <v>240100</v>
      </c>
      <c r="K59" s="9">
        <f>ROUNDUP(J59+(J59*Assumptions!J$5),-2)</f>
        <v>246200</v>
      </c>
      <c r="L59" s="9">
        <f>ROUNDUP(K59+(K59*Assumptions!K$5),-2)</f>
        <v>252400</v>
      </c>
      <c r="M59" s="9">
        <f>ROUNDUP(L59+(L59*Assumptions!L$5),-2)</f>
        <v>258800</v>
      </c>
      <c r="N59" s="9">
        <f>ROUNDUP(M59+(M59*Assumptions!M$5),-2)</f>
        <v>265300</v>
      </c>
      <c r="O59" s="9">
        <f>ROUNDUP(N59+(N59*Assumptions!N$5),-2)</f>
        <v>272000</v>
      </c>
      <c r="P59" s="9">
        <f>ROUNDUP(O59+(O59*Assumptions!O$5),-2)</f>
        <v>278800</v>
      </c>
      <c r="Q59" s="9">
        <f>ROUNDUP(P59+(P59*Assumptions!P$5),-2)</f>
        <v>285800</v>
      </c>
      <c r="R59" s="9">
        <f>ROUNDUP(Q59+(Q59*Assumptions!Q$5),-2)</f>
        <v>293000</v>
      </c>
      <c r="S59" s="61">
        <f>ROUNDUP(R59+(R59*Assumptions!R$5),-2)</f>
        <v>300400</v>
      </c>
    </row>
    <row r="60" spans="1:19" x14ac:dyDescent="0.2">
      <c r="A60" s="54">
        <v>0</v>
      </c>
      <c r="B60" s="9">
        <v>2500</v>
      </c>
      <c r="C60" s="136">
        <f>21500+24000-16000-4000-900</f>
        <v>24600</v>
      </c>
      <c r="D60" s="136">
        <f>D55+D59</f>
        <v>9000</v>
      </c>
      <c r="E60" s="134">
        <f>E55+E59</f>
        <v>-11300</v>
      </c>
      <c r="F60" s="483" t="s">
        <v>185</v>
      </c>
      <c r="G60" s="1173" t="s">
        <v>1909</v>
      </c>
      <c r="H60" s="2172">
        <f t="shared" ref="H60:Q60" si="20">H55+H59</f>
        <v>-9800</v>
      </c>
      <c r="I60" s="85"/>
      <c r="J60" s="89">
        <f t="shared" si="20"/>
        <v>-10800</v>
      </c>
      <c r="K60" s="9">
        <f t="shared" si="20"/>
        <v>-11800</v>
      </c>
      <c r="L60" s="9">
        <f t="shared" si="20"/>
        <v>-12700</v>
      </c>
      <c r="M60" s="9">
        <f t="shared" si="20"/>
        <v>-13600</v>
      </c>
      <c r="N60" s="9">
        <f t="shared" si="20"/>
        <v>-14500</v>
      </c>
      <c r="O60" s="9">
        <f t="shared" si="20"/>
        <v>-15400</v>
      </c>
      <c r="P60" s="9">
        <f t="shared" si="20"/>
        <v>-16200</v>
      </c>
      <c r="Q60" s="9">
        <f t="shared" si="20"/>
        <v>-17100</v>
      </c>
      <c r="R60" s="9">
        <f t="shared" ref="R60:S60" si="21">R55+R59</f>
        <v>-18000</v>
      </c>
      <c r="S60" s="61">
        <f t="shared" si="21"/>
        <v>-19000</v>
      </c>
    </row>
    <row r="61" spans="1:19" x14ac:dyDescent="0.2">
      <c r="A61" s="54">
        <v>20800</v>
      </c>
      <c r="B61" s="9">
        <v>0</v>
      </c>
      <c r="C61" s="136">
        <v>0</v>
      </c>
      <c r="D61" s="136">
        <f>D62</f>
        <v>56000</v>
      </c>
      <c r="E61" s="134">
        <f t="shared" ref="E61" si="22">E62</f>
        <v>102000</v>
      </c>
      <c r="F61" s="483" t="s">
        <v>184</v>
      </c>
      <c r="G61" s="257" t="s">
        <v>2309</v>
      </c>
      <c r="H61" s="2172">
        <f t="shared" ref="H61:R61" si="23">H62</f>
        <v>58000</v>
      </c>
      <c r="I61" s="1157"/>
      <c r="J61" s="89">
        <f t="shared" si="23"/>
        <v>0</v>
      </c>
      <c r="K61" s="9">
        <f t="shared" si="23"/>
        <v>60000</v>
      </c>
      <c r="L61" s="9">
        <f t="shared" si="23"/>
        <v>0</v>
      </c>
      <c r="M61" s="9">
        <f t="shared" si="23"/>
        <v>63000</v>
      </c>
      <c r="N61" s="9">
        <f t="shared" si="23"/>
        <v>0</v>
      </c>
      <c r="O61" s="9">
        <f t="shared" si="23"/>
        <v>66000</v>
      </c>
      <c r="P61" s="9">
        <f t="shared" si="23"/>
        <v>0</v>
      </c>
      <c r="Q61" s="9">
        <f t="shared" si="23"/>
        <v>66000</v>
      </c>
      <c r="R61" s="9">
        <f t="shared" si="23"/>
        <v>0</v>
      </c>
      <c r="S61" s="61">
        <f>S62</f>
        <v>0</v>
      </c>
    </row>
    <row r="62" spans="1:19" x14ac:dyDescent="0.2">
      <c r="A62" s="54">
        <v>0</v>
      </c>
      <c r="B62" s="9">
        <v>-20800</v>
      </c>
      <c r="C62" s="136">
        <v>0</v>
      </c>
      <c r="D62" s="136">
        <v>56000</v>
      </c>
      <c r="E62" s="134">
        <f>56000+46000</f>
        <v>102000</v>
      </c>
      <c r="F62" s="483" t="s">
        <v>1079</v>
      </c>
      <c r="G62" s="257" t="s">
        <v>1413</v>
      </c>
      <c r="H62" s="2172">
        <v>58000</v>
      </c>
      <c r="I62" s="1157"/>
      <c r="J62" s="89"/>
      <c r="K62" s="9">
        <v>60000</v>
      </c>
      <c r="L62" s="9"/>
      <c r="M62" s="9">
        <v>63000</v>
      </c>
      <c r="N62" s="9"/>
      <c r="O62" s="9">
        <v>66000</v>
      </c>
      <c r="P62" s="9"/>
      <c r="Q62" s="9">
        <v>66000</v>
      </c>
      <c r="R62" s="9"/>
      <c r="S62" s="61"/>
    </row>
    <row r="63" spans="1:19" x14ac:dyDescent="0.2">
      <c r="A63" s="54">
        <v>-10100</v>
      </c>
      <c r="B63" s="9">
        <v>0</v>
      </c>
      <c r="C63" s="136">
        <v>0</v>
      </c>
      <c r="E63" s="134"/>
      <c r="F63" s="165"/>
      <c r="G63" s="257" t="s">
        <v>415</v>
      </c>
      <c r="H63" s="2172"/>
      <c r="I63" s="1157"/>
      <c r="J63" s="89"/>
      <c r="K63" s="9"/>
      <c r="L63" s="9"/>
      <c r="M63" s="9"/>
      <c r="N63" s="9"/>
      <c r="O63" s="9"/>
      <c r="P63" s="9"/>
      <c r="Q63" s="9"/>
      <c r="R63" s="9"/>
      <c r="S63" s="61"/>
    </row>
    <row r="64" spans="1:19" x14ac:dyDescent="0.2">
      <c r="A64" s="54"/>
      <c r="B64" s="9"/>
      <c r="E64" s="134"/>
      <c r="F64" s="165"/>
      <c r="G64" s="361"/>
      <c r="H64" s="2172"/>
      <c r="I64" s="1157"/>
      <c r="J64" s="89"/>
      <c r="K64" s="9"/>
      <c r="L64" s="9"/>
      <c r="M64" s="9"/>
      <c r="N64" s="9"/>
      <c r="O64" s="9"/>
      <c r="P64" s="9"/>
      <c r="Q64" s="9"/>
      <c r="R64" s="9"/>
      <c r="S64" s="61"/>
    </row>
    <row r="65" spans="1:19" s="39" customFormat="1" x14ac:dyDescent="0.2">
      <c r="A65" s="128">
        <f>A55-A60+A61++A59--A62+A63</f>
        <v>0</v>
      </c>
      <c r="B65" s="280">
        <f>B55-B60+B61++B59--B62+B63</f>
        <v>-41600</v>
      </c>
      <c r="C65" s="281">
        <f>C55-C60+C61++C59--C62+C63</f>
        <v>0</v>
      </c>
      <c r="D65" s="281">
        <f>D55-D60+D61++D59-D62+D63</f>
        <v>0</v>
      </c>
      <c r="E65" s="529">
        <f>E55-E60+E61++E59-E62+E63</f>
        <v>0</v>
      </c>
      <c r="F65" s="369"/>
      <c r="G65" s="363" t="s">
        <v>2447</v>
      </c>
      <c r="H65" s="2200">
        <f t="shared" ref="H65:Q65" si="24">H55-H60+H61++H59-H62+H63</f>
        <v>0</v>
      </c>
      <c r="I65" s="278"/>
      <c r="J65" s="266">
        <f t="shared" si="24"/>
        <v>0</v>
      </c>
      <c r="K65" s="280">
        <f t="shared" si="24"/>
        <v>0</v>
      </c>
      <c r="L65" s="280">
        <f t="shared" si="24"/>
        <v>0</v>
      </c>
      <c r="M65" s="280">
        <f t="shared" si="24"/>
        <v>0</v>
      </c>
      <c r="N65" s="280">
        <f t="shared" si="24"/>
        <v>0</v>
      </c>
      <c r="O65" s="280">
        <f t="shared" si="24"/>
        <v>0</v>
      </c>
      <c r="P65" s="280">
        <f t="shared" si="24"/>
        <v>0</v>
      </c>
      <c r="Q65" s="280">
        <f t="shared" si="24"/>
        <v>0</v>
      </c>
      <c r="R65" s="280">
        <f t="shared" ref="R65:S65" si="25">R55-R60+R61++R59-R62+R63</f>
        <v>0</v>
      </c>
      <c r="S65" s="282">
        <f t="shared" si="25"/>
        <v>0</v>
      </c>
    </row>
    <row r="66" spans="1:19" s="39" customFormat="1" x14ac:dyDescent="0.2">
      <c r="A66" s="24"/>
      <c r="B66" s="21"/>
      <c r="C66" s="139"/>
      <c r="D66" s="139"/>
      <c r="E66" s="138"/>
      <c r="F66" s="171"/>
      <c r="G66" s="361"/>
      <c r="H66" s="2174"/>
      <c r="I66" s="1182"/>
      <c r="J66" s="75"/>
      <c r="K66" s="21"/>
      <c r="L66" s="21"/>
      <c r="M66" s="21"/>
      <c r="N66" s="21"/>
      <c r="O66" s="21"/>
      <c r="P66" s="21"/>
      <c r="Q66" s="21"/>
      <c r="R66" s="21"/>
      <c r="S66" s="62"/>
    </row>
    <row r="67" spans="1:19" s="39" customFormat="1" x14ac:dyDescent="0.2">
      <c r="A67" s="24"/>
      <c r="B67" s="21"/>
      <c r="C67" s="139"/>
      <c r="D67" s="139"/>
      <c r="E67" s="138"/>
      <c r="F67" s="171"/>
      <c r="G67" s="877" t="s">
        <v>4094</v>
      </c>
      <c r="H67" s="2174"/>
      <c r="I67" s="1182"/>
      <c r="J67" s="75"/>
      <c r="K67" s="21"/>
      <c r="L67" s="21"/>
      <c r="M67" s="21"/>
      <c r="N67" s="21"/>
      <c r="O67" s="21"/>
      <c r="P67" s="21"/>
      <c r="Q67" s="21"/>
      <c r="R67" s="21"/>
      <c r="S67" s="62"/>
    </row>
    <row r="68" spans="1:19" x14ac:dyDescent="0.2">
      <c r="A68" s="1440">
        <f>A60-A61</f>
        <v>-20800</v>
      </c>
      <c r="B68" s="134">
        <f>B60-B61</f>
        <v>2500</v>
      </c>
      <c r="C68" s="136">
        <f>C60-C61</f>
        <v>24600</v>
      </c>
      <c r="D68" s="136">
        <f>D60-D61</f>
        <v>-47000</v>
      </c>
      <c r="E68" s="134">
        <f>E60-E61</f>
        <v>-113300</v>
      </c>
      <c r="F68" s="165"/>
      <c r="G68" s="634" t="s">
        <v>4093</v>
      </c>
      <c r="H68" s="2172">
        <f t="shared" ref="H68:P68" si="26">H60-H61</f>
        <v>-67800</v>
      </c>
      <c r="I68" s="1157"/>
      <c r="J68" s="89">
        <f t="shared" si="26"/>
        <v>-10800</v>
      </c>
      <c r="K68" s="9">
        <f t="shared" si="26"/>
        <v>-71800</v>
      </c>
      <c r="L68" s="9">
        <f t="shared" si="26"/>
        <v>-12700</v>
      </c>
      <c r="M68" s="9">
        <f t="shared" si="26"/>
        <v>-76600</v>
      </c>
      <c r="N68" s="9">
        <f t="shared" si="26"/>
        <v>-14500</v>
      </c>
      <c r="O68" s="9">
        <f t="shared" si="26"/>
        <v>-81400</v>
      </c>
      <c r="P68" s="9">
        <f t="shared" si="26"/>
        <v>-16200</v>
      </c>
      <c r="Q68" s="9">
        <f t="shared" ref="Q68:R68" si="27">Q60-Q61</f>
        <v>-83100</v>
      </c>
      <c r="R68" s="9">
        <f t="shared" si="27"/>
        <v>-18000</v>
      </c>
      <c r="S68" s="61">
        <f t="shared" ref="S68" si="28">S60-S61</f>
        <v>-19000</v>
      </c>
    </row>
    <row r="69" spans="1:19" x14ac:dyDescent="0.2">
      <c r="A69" s="54">
        <v>311900</v>
      </c>
      <c r="B69" s="9">
        <f>A71</f>
        <v>291100</v>
      </c>
      <c r="C69" s="136">
        <f>ROUND(B71,-3)</f>
        <v>294000</v>
      </c>
      <c r="D69" s="136">
        <f>C71</f>
        <v>318600</v>
      </c>
      <c r="E69" s="134">
        <f>A71</f>
        <v>291100</v>
      </c>
      <c r="F69" s="165"/>
      <c r="G69" s="634" t="s">
        <v>4095</v>
      </c>
      <c r="H69" s="2172">
        <v>165300</v>
      </c>
      <c r="I69" s="1157"/>
      <c r="J69" s="89">
        <f>H71</f>
        <v>97500</v>
      </c>
      <c r="K69" s="9">
        <f t="shared" ref="K69:S69" si="29">J71</f>
        <v>86700</v>
      </c>
      <c r="L69" s="9">
        <f t="shared" si="29"/>
        <v>14900</v>
      </c>
      <c r="M69" s="9">
        <f t="shared" si="29"/>
        <v>2200</v>
      </c>
      <c r="N69" s="9">
        <f t="shared" si="29"/>
        <v>-74400</v>
      </c>
      <c r="O69" s="9">
        <f t="shared" si="29"/>
        <v>-88900</v>
      </c>
      <c r="P69" s="9">
        <f t="shared" si="29"/>
        <v>-170300</v>
      </c>
      <c r="Q69" s="9">
        <f t="shared" si="29"/>
        <v>-186500</v>
      </c>
      <c r="R69" s="9">
        <f t="shared" si="29"/>
        <v>-269600</v>
      </c>
      <c r="S69" s="61">
        <f t="shared" si="29"/>
        <v>-287600</v>
      </c>
    </row>
    <row r="70" spans="1:19" x14ac:dyDescent="0.2">
      <c r="A70" s="415"/>
      <c r="B70" s="322"/>
      <c r="C70" s="457"/>
      <c r="D70" s="459"/>
      <c r="E70" s="457"/>
      <c r="F70" s="165"/>
      <c r="G70" s="261"/>
      <c r="H70" s="2203"/>
      <c r="I70" s="458"/>
      <c r="J70" s="456"/>
      <c r="K70" s="322"/>
      <c r="L70" s="322"/>
      <c r="M70" s="322"/>
      <c r="N70" s="322"/>
      <c r="O70" s="322"/>
      <c r="P70" s="322"/>
      <c r="Q70" s="322"/>
      <c r="R70" s="322"/>
      <c r="S70" s="546"/>
    </row>
    <row r="71" spans="1:19" s="39" customFormat="1" x14ac:dyDescent="0.2">
      <c r="A71" s="24">
        <f>SUM(A68:A69)</f>
        <v>291100</v>
      </c>
      <c r="B71" s="21">
        <f>SUM(B68:B69)</f>
        <v>293600</v>
      </c>
      <c r="C71" s="75">
        <f>SUM(C68:C69)</f>
        <v>318600</v>
      </c>
      <c r="D71" s="139">
        <f>SUM(D68:D69)</f>
        <v>271600</v>
      </c>
      <c r="E71" s="138">
        <f t="shared" ref="E71" si="30">SUM(E68:E69)</f>
        <v>177800</v>
      </c>
      <c r="F71" s="171"/>
      <c r="G71" s="877" t="s">
        <v>4096</v>
      </c>
      <c r="H71" s="2174">
        <f t="shared" ref="H71:O71" si="31">SUM(H68:H69)</f>
        <v>97500</v>
      </c>
      <c r="I71" s="1182"/>
      <c r="J71" s="75">
        <f t="shared" si="31"/>
        <v>86700</v>
      </c>
      <c r="K71" s="21">
        <f t="shared" si="31"/>
        <v>14900</v>
      </c>
      <c r="L71" s="21">
        <f t="shared" si="31"/>
        <v>2200</v>
      </c>
      <c r="M71" s="21">
        <f t="shared" si="31"/>
        <v>-74400</v>
      </c>
      <c r="N71" s="21">
        <f t="shared" si="31"/>
        <v>-88900</v>
      </c>
      <c r="O71" s="21">
        <f t="shared" si="31"/>
        <v>-170300</v>
      </c>
      <c r="P71" s="21">
        <f t="shared" ref="P71:Q71" si="32">SUM(P68:P69)</f>
        <v>-186500</v>
      </c>
      <c r="Q71" s="21">
        <f t="shared" si="32"/>
        <v>-269600</v>
      </c>
      <c r="R71" s="21">
        <f t="shared" ref="R71:S71" si="33">SUM(R68:R69)</f>
        <v>-287600</v>
      </c>
      <c r="S71" s="62">
        <f t="shared" si="33"/>
        <v>-306600</v>
      </c>
    </row>
    <row r="72" spans="1:19" ht="13.5" thickBot="1" x14ac:dyDescent="0.25">
      <c r="A72" s="26"/>
      <c r="B72" s="37"/>
      <c r="C72" s="141"/>
      <c r="D72" s="141"/>
      <c r="E72" s="146"/>
      <c r="F72" s="399"/>
      <c r="G72" s="259"/>
      <c r="H72" s="2180"/>
      <c r="I72" s="277"/>
      <c r="J72" s="113"/>
      <c r="K72" s="23"/>
      <c r="L72" s="23"/>
      <c r="M72" s="23"/>
      <c r="N72" s="23"/>
      <c r="O72" s="23"/>
      <c r="P72" s="23"/>
      <c r="Q72" s="23"/>
      <c r="R72" s="23"/>
      <c r="S72" s="112"/>
    </row>
    <row r="73" spans="1:19" s="46" customFormat="1" ht="13.5" thickTop="1" x14ac:dyDescent="0.2">
      <c r="C73" s="144"/>
      <c r="D73" s="144"/>
      <c r="E73" s="144"/>
      <c r="F73" s="373"/>
      <c r="H73" s="2168"/>
      <c r="I73" s="70"/>
    </row>
    <row r="74" spans="1:19" s="46" customFormat="1" x14ac:dyDescent="0.2">
      <c r="C74" s="144"/>
      <c r="D74" s="144"/>
      <c r="E74" s="144"/>
      <c r="F74" s="373"/>
      <c r="H74" s="2168"/>
      <c r="I74" s="70"/>
    </row>
    <row r="75" spans="1:19" s="46" customFormat="1" x14ac:dyDescent="0.2">
      <c r="C75" s="144"/>
      <c r="D75" s="144"/>
      <c r="E75" s="144"/>
      <c r="F75" s="373"/>
      <c r="H75" s="2168"/>
      <c r="I75" s="70"/>
    </row>
    <row r="76" spans="1:19" s="46" customFormat="1" x14ac:dyDescent="0.2">
      <c r="C76" s="144"/>
      <c r="D76" s="144"/>
      <c r="E76" s="144"/>
      <c r="F76" s="373"/>
      <c r="H76" s="2168"/>
      <c r="I76" s="70"/>
    </row>
    <row r="77" spans="1:19" s="46" customFormat="1" x14ac:dyDescent="0.2">
      <c r="C77" s="144"/>
      <c r="D77" s="144"/>
      <c r="E77" s="144"/>
      <c r="F77" s="373"/>
      <c r="H77" s="2168"/>
      <c r="I77" s="70"/>
    </row>
    <row r="78" spans="1:19" s="46" customFormat="1" x14ac:dyDescent="0.2">
      <c r="C78" s="144"/>
      <c r="D78" s="144"/>
      <c r="E78" s="144"/>
      <c r="F78" s="373"/>
      <c r="H78" s="2168"/>
      <c r="I78" s="70"/>
    </row>
    <row r="79" spans="1:19" s="46" customFormat="1" x14ac:dyDescent="0.2">
      <c r="C79" s="144"/>
      <c r="D79" s="144"/>
      <c r="E79" s="144"/>
      <c r="F79" s="373"/>
      <c r="H79" s="2168"/>
      <c r="I79" s="70"/>
    </row>
    <row r="80" spans="1:19" s="46" customFormat="1" x14ac:dyDescent="0.2">
      <c r="C80" s="144"/>
      <c r="D80" s="144"/>
      <c r="E80" s="144"/>
      <c r="F80" s="373"/>
      <c r="H80" s="2168"/>
      <c r="I80" s="70"/>
    </row>
    <row r="81" spans="3:9" s="46" customFormat="1" x14ac:dyDescent="0.2">
      <c r="C81" s="144"/>
      <c r="D81" s="144"/>
      <c r="E81" s="144"/>
      <c r="F81" s="373"/>
      <c r="H81" s="2168"/>
      <c r="I81" s="70"/>
    </row>
    <row r="82" spans="3:9" s="46" customFormat="1" x14ac:dyDescent="0.2">
      <c r="C82" s="144"/>
      <c r="D82" s="144"/>
      <c r="E82" s="144"/>
      <c r="F82" s="373"/>
      <c r="H82" s="2168"/>
      <c r="I82" s="70"/>
    </row>
    <row r="83" spans="3:9" s="46" customFormat="1" x14ac:dyDescent="0.2">
      <c r="C83" s="144"/>
      <c r="D83" s="144"/>
      <c r="E83" s="144"/>
      <c r="F83" s="373"/>
      <c r="H83" s="2168"/>
      <c r="I83" s="70"/>
    </row>
    <row r="84" spans="3:9" s="46" customFormat="1" x14ac:dyDescent="0.2">
      <c r="C84" s="144"/>
      <c r="D84" s="144"/>
      <c r="E84" s="144"/>
      <c r="F84" s="373"/>
      <c r="H84" s="2168"/>
      <c r="I84" s="70"/>
    </row>
    <row r="85" spans="3:9" s="46" customFormat="1" x14ac:dyDescent="0.2">
      <c r="C85" s="144"/>
      <c r="D85" s="144"/>
      <c r="E85" s="144"/>
      <c r="F85" s="373"/>
      <c r="H85" s="2168"/>
      <c r="I85" s="70"/>
    </row>
    <row r="86" spans="3:9" s="46" customFormat="1" x14ac:dyDescent="0.2">
      <c r="C86" s="144"/>
      <c r="D86" s="144"/>
      <c r="E86" s="144"/>
      <c r="F86" s="373"/>
      <c r="H86" s="2168"/>
      <c r="I86" s="70"/>
    </row>
    <row r="87" spans="3:9" s="46" customFormat="1" x14ac:dyDescent="0.2">
      <c r="C87" s="144"/>
      <c r="D87" s="144"/>
      <c r="E87" s="144"/>
      <c r="F87" s="373"/>
      <c r="H87" s="2168"/>
      <c r="I87" s="70"/>
    </row>
    <row r="88" spans="3:9" s="46" customFormat="1" x14ac:dyDescent="0.2">
      <c r="C88" s="144"/>
      <c r="D88" s="144"/>
      <c r="E88" s="144"/>
      <c r="F88" s="373"/>
      <c r="H88" s="2168"/>
      <c r="I88" s="70"/>
    </row>
    <row r="89" spans="3:9" s="46" customFormat="1" x14ac:dyDescent="0.2">
      <c r="C89" s="144"/>
      <c r="D89" s="144"/>
      <c r="E89" s="144"/>
      <c r="F89" s="373"/>
      <c r="H89" s="2168"/>
      <c r="I89" s="70"/>
    </row>
    <row r="90" spans="3:9" s="46" customFormat="1" x14ac:dyDescent="0.2">
      <c r="C90" s="144"/>
      <c r="D90" s="144"/>
      <c r="E90" s="144"/>
      <c r="F90" s="373"/>
      <c r="H90" s="2168"/>
      <c r="I90" s="70"/>
    </row>
    <row r="91" spans="3:9" s="46" customFormat="1" x14ac:dyDescent="0.2">
      <c r="C91" s="144"/>
      <c r="D91" s="144"/>
      <c r="E91" s="144"/>
      <c r="F91" s="373"/>
      <c r="H91" s="2168"/>
      <c r="I91" s="70"/>
    </row>
    <row r="92" spans="3:9" s="46" customFormat="1" x14ac:dyDescent="0.2">
      <c r="C92" s="144"/>
      <c r="D92" s="144"/>
      <c r="E92" s="144"/>
      <c r="F92" s="373"/>
      <c r="H92" s="2168"/>
      <c r="I92" s="70"/>
    </row>
    <row r="93" spans="3:9" s="46" customFormat="1" x14ac:dyDescent="0.2">
      <c r="C93" s="144"/>
      <c r="D93" s="144"/>
      <c r="E93" s="144"/>
      <c r="F93" s="373"/>
      <c r="H93" s="2168"/>
      <c r="I93" s="70"/>
    </row>
    <row r="94" spans="3:9" s="46" customFormat="1" x14ac:dyDescent="0.2">
      <c r="C94" s="144"/>
      <c r="D94" s="144"/>
      <c r="E94" s="144"/>
      <c r="F94" s="373"/>
      <c r="H94" s="2168"/>
      <c r="I94" s="70"/>
    </row>
    <row r="95" spans="3:9" s="46" customFormat="1" x14ac:dyDescent="0.2">
      <c r="C95" s="144"/>
      <c r="D95" s="144"/>
      <c r="E95" s="144"/>
      <c r="F95" s="373"/>
      <c r="H95" s="2168"/>
      <c r="I95" s="70"/>
    </row>
    <row r="96" spans="3:9" s="46" customFormat="1" x14ac:dyDescent="0.2">
      <c r="C96" s="144"/>
      <c r="D96" s="144"/>
      <c r="E96" s="144"/>
      <c r="F96" s="373"/>
      <c r="H96" s="2168"/>
      <c r="I96" s="70"/>
    </row>
    <row r="97" spans="3:9" s="46" customFormat="1" x14ac:dyDescent="0.2">
      <c r="C97" s="144"/>
      <c r="D97" s="144"/>
      <c r="E97" s="144"/>
      <c r="F97" s="373"/>
      <c r="H97" s="2168"/>
      <c r="I97" s="70"/>
    </row>
    <row r="98" spans="3:9" s="46" customFormat="1" x14ac:dyDescent="0.2">
      <c r="C98" s="144"/>
      <c r="D98" s="144"/>
      <c r="E98" s="144"/>
      <c r="F98" s="373"/>
      <c r="H98" s="2168"/>
      <c r="I98" s="70"/>
    </row>
    <row r="99" spans="3:9" s="46" customFormat="1" x14ac:dyDescent="0.2">
      <c r="C99" s="144"/>
      <c r="D99" s="144"/>
      <c r="E99" s="144"/>
      <c r="F99" s="373"/>
      <c r="H99" s="2168"/>
      <c r="I99" s="70"/>
    </row>
    <row r="100" spans="3:9" s="46" customFormat="1" x14ac:dyDescent="0.2">
      <c r="C100" s="144"/>
      <c r="D100" s="144"/>
      <c r="E100" s="144"/>
      <c r="F100" s="373"/>
      <c r="H100" s="2168"/>
      <c r="I100" s="70"/>
    </row>
    <row r="101" spans="3:9" s="46" customFormat="1" x14ac:dyDescent="0.2">
      <c r="C101" s="144"/>
      <c r="D101" s="144"/>
      <c r="E101" s="144"/>
      <c r="F101" s="373"/>
      <c r="H101" s="2168"/>
      <c r="I101" s="70"/>
    </row>
    <row r="102" spans="3:9" s="46" customFormat="1" x14ac:dyDescent="0.2">
      <c r="C102" s="144"/>
      <c r="D102" s="144"/>
      <c r="E102" s="144"/>
      <c r="F102" s="373"/>
      <c r="H102" s="2168"/>
      <c r="I102" s="70"/>
    </row>
    <row r="103" spans="3:9" s="46" customFormat="1" x14ac:dyDescent="0.2">
      <c r="C103" s="144"/>
      <c r="D103" s="144"/>
      <c r="E103" s="144"/>
      <c r="F103" s="373"/>
      <c r="H103" s="2168"/>
      <c r="I103" s="70"/>
    </row>
    <row r="104" spans="3:9" s="46" customFormat="1" x14ac:dyDescent="0.2">
      <c r="C104" s="144"/>
      <c r="D104" s="144"/>
      <c r="E104" s="144"/>
      <c r="F104" s="373"/>
      <c r="H104" s="2168"/>
      <c r="I104" s="70"/>
    </row>
    <row r="105" spans="3:9" s="46" customFormat="1" x14ac:dyDescent="0.2">
      <c r="C105" s="144"/>
      <c r="D105" s="144"/>
      <c r="E105" s="144"/>
      <c r="F105" s="373"/>
      <c r="H105" s="2168"/>
      <c r="I105" s="70"/>
    </row>
    <row r="106" spans="3:9" s="46" customFormat="1" x14ac:dyDescent="0.2">
      <c r="C106" s="144"/>
      <c r="D106" s="144"/>
      <c r="E106" s="144"/>
      <c r="F106" s="373"/>
      <c r="H106" s="2168"/>
      <c r="I106" s="70"/>
    </row>
    <row r="107" spans="3:9" s="46" customFormat="1" x14ac:dyDescent="0.2">
      <c r="C107" s="144"/>
      <c r="D107" s="144"/>
      <c r="E107" s="144"/>
      <c r="F107" s="373"/>
      <c r="H107" s="2168"/>
      <c r="I107" s="70"/>
    </row>
    <row r="108" spans="3:9" s="46" customFormat="1" x14ac:dyDescent="0.2">
      <c r="C108" s="144"/>
      <c r="D108" s="144"/>
      <c r="E108" s="144"/>
      <c r="F108" s="373"/>
      <c r="H108" s="2168"/>
      <c r="I108" s="70"/>
    </row>
    <row r="109" spans="3:9" s="46" customFormat="1" x14ac:dyDescent="0.2">
      <c r="C109" s="144"/>
      <c r="D109" s="144"/>
      <c r="E109" s="144"/>
      <c r="F109" s="373"/>
      <c r="H109" s="2168"/>
      <c r="I109" s="70"/>
    </row>
    <row r="110" spans="3:9" s="46" customFormat="1" x14ac:dyDescent="0.2">
      <c r="C110" s="144"/>
      <c r="D110" s="144"/>
      <c r="E110" s="144"/>
      <c r="F110" s="373"/>
      <c r="H110" s="2168"/>
      <c r="I110" s="70"/>
    </row>
    <row r="111" spans="3:9" s="46" customFormat="1" x14ac:dyDescent="0.2">
      <c r="C111" s="144"/>
      <c r="D111" s="144"/>
      <c r="E111" s="144"/>
      <c r="F111" s="373"/>
      <c r="H111" s="2168"/>
      <c r="I111" s="70"/>
    </row>
    <row r="112" spans="3:9" s="46" customFormat="1" x14ac:dyDescent="0.2">
      <c r="C112" s="144"/>
      <c r="D112" s="144"/>
      <c r="E112" s="144"/>
      <c r="F112" s="373"/>
      <c r="H112" s="2168"/>
      <c r="I112" s="70"/>
    </row>
    <row r="113" spans="3:9" s="46" customFormat="1" x14ac:dyDescent="0.2">
      <c r="C113" s="144"/>
      <c r="D113" s="144"/>
      <c r="E113" s="144"/>
      <c r="F113" s="373"/>
      <c r="H113" s="2168"/>
      <c r="I113" s="70"/>
    </row>
    <row r="114" spans="3:9" s="46" customFormat="1" x14ac:dyDescent="0.2">
      <c r="C114" s="144"/>
      <c r="D114" s="144"/>
      <c r="E114" s="144"/>
      <c r="F114" s="373"/>
      <c r="H114" s="2168"/>
      <c r="I114" s="70"/>
    </row>
    <row r="115" spans="3:9" s="46" customFormat="1" x14ac:dyDescent="0.2">
      <c r="C115" s="144"/>
      <c r="D115" s="144"/>
      <c r="E115" s="144"/>
      <c r="F115" s="373"/>
      <c r="H115" s="2168"/>
      <c r="I115" s="70"/>
    </row>
    <row r="116" spans="3:9" s="46" customFormat="1" x14ac:dyDescent="0.2">
      <c r="C116" s="144"/>
      <c r="D116" s="144"/>
      <c r="E116" s="144"/>
      <c r="F116" s="373"/>
      <c r="H116" s="2168"/>
      <c r="I116" s="70"/>
    </row>
    <row r="117" spans="3:9" s="46" customFormat="1" x14ac:dyDescent="0.2">
      <c r="C117" s="144"/>
      <c r="D117" s="144"/>
      <c r="E117" s="144"/>
      <c r="F117" s="373"/>
      <c r="H117" s="2168"/>
      <c r="I117" s="70"/>
    </row>
    <row r="118" spans="3:9" s="46" customFormat="1" x14ac:dyDescent="0.2">
      <c r="C118" s="144"/>
      <c r="D118" s="144"/>
      <c r="E118" s="144"/>
      <c r="F118" s="373"/>
      <c r="H118" s="2168"/>
      <c r="I118" s="70"/>
    </row>
    <row r="119" spans="3:9" s="46" customFormat="1" x14ac:dyDescent="0.2">
      <c r="C119" s="144"/>
      <c r="D119" s="144"/>
      <c r="E119" s="144"/>
      <c r="F119" s="373"/>
      <c r="H119" s="2168"/>
      <c r="I119" s="70"/>
    </row>
    <row r="120" spans="3:9" s="46" customFormat="1" x14ac:dyDescent="0.2">
      <c r="C120" s="144"/>
      <c r="D120" s="144"/>
      <c r="E120" s="144"/>
      <c r="F120" s="373"/>
      <c r="H120" s="2168"/>
      <c r="I120" s="70"/>
    </row>
    <row r="121" spans="3:9" s="46" customFormat="1" x14ac:dyDescent="0.2">
      <c r="C121" s="144"/>
      <c r="D121" s="144"/>
      <c r="E121" s="144"/>
      <c r="F121" s="373"/>
      <c r="H121" s="2168"/>
      <c r="I121" s="70"/>
    </row>
    <row r="122" spans="3:9" s="46" customFormat="1" x14ac:dyDescent="0.2">
      <c r="C122" s="144"/>
      <c r="D122" s="144"/>
      <c r="E122" s="144"/>
      <c r="F122" s="373"/>
      <c r="H122" s="2168"/>
      <c r="I122" s="70"/>
    </row>
    <row r="123" spans="3:9" s="46" customFormat="1" x14ac:dyDescent="0.2">
      <c r="C123" s="144"/>
      <c r="D123" s="144"/>
      <c r="E123" s="144"/>
      <c r="F123" s="373"/>
      <c r="H123" s="2168"/>
      <c r="I123" s="70"/>
    </row>
    <row r="124" spans="3:9" s="46" customFormat="1" x14ac:dyDescent="0.2">
      <c r="C124" s="144"/>
      <c r="D124" s="144"/>
      <c r="E124" s="144"/>
      <c r="F124" s="373"/>
      <c r="H124" s="2168"/>
      <c r="I124" s="70"/>
    </row>
    <row r="125" spans="3:9" s="46" customFormat="1" x14ac:dyDescent="0.2">
      <c r="C125" s="144"/>
      <c r="D125" s="144"/>
      <c r="E125" s="144"/>
      <c r="F125" s="373"/>
      <c r="H125" s="2168"/>
      <c r="I125" s="70"/>
    </row>
    <row r="126" spans="3:9" s="46" customFormat="1" x14ac:dyDescent="0.2">
      <c r="C126" s="144"/>
      <c r="D126" s="144"/>
      <c r="E126" s="144"/>
      <c r="F126" s="373"/>
      <c r="H126" s="2168"/>
      <c r="I126" s="70"/>
    </row>
    <row r="127" spans="3:9" s="46" customFormat="1" x14ac:dyDescent="0.2">
      <c r="C127" s="144"/>
      <c r="D127" s="144"/>
      <c r="E127" s="144"/>
      <c r="F127" s="373"/>
      <c r="H127" s="2168"/>
      <c r="I127" s="70"/>
    </row>
    <row r="128" spans="3:9" s="46" customFormat="1" x14ac:dyDescent="0.2">
      <c r="C128" s="144"/>
      <c r="D128" s="144"/>
      <c r="E128" s="144"/>
      <c r="F128" s="373"/>
      <c r="H128" s="2168"/>
      <c r="I128" s="70"/>
    </row>
    <row r="129" spans="3:9" s="46" customFormat="1" x14ac:dyDescent="0.2">
      <c r="C129" s="144"/>
      <c r="D129" s="144"/>
      <c r="E129" s="144"/>
      <c r="F129" s="373"/>
      <c r="H129" s="2168"/>
      <c r="I129" s="70"/>
    </row>
    <row r="130" spans="3:9" s="46" customFormat="1" x14ac:dyDescent="0.2">
      <c r="C130" s="144"/>
      <c r="D130" s="144"/>
      <c r="E130" s="144"/>
      <c r="F130" s="373"/>
      <c r="H130" s="2168"/>
      <c r="I130" s="70"/>
    </row>
    <row r="131" spans="3:9" s="46" customFormat="1" x14ac:dyDescent="0.2">
      <c r="C131" s="144"/>
      <c r="D131" s="144"/>
      <c r="E131" s="144"/>
      <c r="F131" s="373"/>
      <c r="H131" s="2168"/>
      <c r="I131" s="70"/>
    </row>
    <row r="132" spans="3:9" s="46" customFormat="1" x14ac:dyDescent="0.2">
      <c r="C132" s="144"/>
      <c r="D132" s="144"/>
      <c r="E132" s="144"/>
      <c r="F132" s="373"/>
      <c r="H132" s="2168"/>
      <c r="I132" s="70"/>
    </row>
    <row r="133" spans="3:9" s="46" customFormat="1" x14ac:dyDescent="0.2">
      <c r="C133" s="144"/>
      <c r="D133" s="144"/>
      <c r="E133" s="144"/>
      <c r="F133" s="373"/>
      <c r="H133" s="2168"/>
      <c r="I133" s="70"/>
    </row>
    <row r="134" spans="3:9" s="46" customFormat="1" x14ac:dyDescent="0.2">
      <c r="C134" s="144"/>
      <c r="D134" s="144"/>
      <c r="E134" s="144"/>
      <c r="F134" s="373"/>
      <c r="H134" s="2168"/>
      <c r="I134" s="70"/>
    </row>
    <row r="135" spans="3:9" s="46" customFormat="1" x14ac:dyDescent="0.2">
      <c r="C135" s="144"/>
      <c r="D135" s="144"/>
      <c r="E135" s="144"/>
      <c r="F135" s="373"/>
      <c r="H135" s="2168"/>
      <c r="I135" s="70"/>
    </row>
    <row r="136" spans="3:9" s="46" customFormat="1" x14ac:dyDescent="0.2">
      <c r="C136" s="144"/>
      <c r="D136" s="144"/>
      <c r="E136" s="144"/>
      <c r="F136" s="373"/>
      <c r="H136" s="2168"/>
      <c r="I136" s="70"/>
    </row>
    <row r="137" spans="3:9" s="46" customFormat="1" x14ac:dyDescent="0.2">
      <c r="C137" s="144"/>
      <c r="D137" s="144"/>
      <c r="E137" s="144"/>
      <c r="F137" s="373"/>
      <c r="H137" s="2168"/>
      <c r="I137" s="70"/>
    </row>
    <row r="138" spans="3:9" s="46" customFormat="1" x14ac:dyDescent="0.2">
      <c r="C138" s="144"/>
      <c r="D138" s="144"/>
      <c r="E138" s="144"/>
      <c r="F138" s="373"/>
      <c r="H138" s="2168"/>
      <c r="I138" s="70"/>
    </row>
    <row r="139" spans="3:9" s="46" customFormat="1" x14ac:dyDescent="0.2">
      <c r="C139" s="144"/>
      <c r="D139" s="144"/>
      <c r="E139" s="144"/>
      <c r="F139" s="373"/>
      <c r="H139" s="2168"/>
      <c r="I139" s="70"/>
    </row>
    <row r="140" spans="3:9" s="46" customFormat="1" x14ac:dyDescent="0.2">
      <c r="C140" s="144"/>
      <c r="D140" s="144"/>
      <c r="E140" s="144"/>
      <c r="F140" s="373"/>
      <c r="H140" s="2168"/>
      <c r="I140" s="70"/>
    </row>
    <row r="141" spans="3:9" s="46" customFormat="1" x14ac:dyDescent="0.2">
      <c r="C141" s="144"/>
      <c r="D141" s="144"/>
      <c r="E141" s="144"/>
      <c r="F141" s="373"/>
      <c r="H141" s="2168"/>
      <c r="I141" s="70"/>
    </row>
    <row r="142" spans="3:9" s="46" customFormat="1" x14ac:dyDescent="0.2">
      <c r="C142" s="144"/>
      <c r="D142" s="144"/>
      <c r="E142" s="144"/>
      <c r="F142" s="373"/>
      <c r="H142" s="2168"/>
      <c r="I142" s="70"/>
    </row>
    <row r="143" spans="3:9" s="46" customFormat="1" x14ac:dyDescent="0.2">
      <c r="C143" s="144"/>
      <c r="D143" s="144"/>
      <c r="E143" s="144"/>
      <c r="F143" s="373"/>
      <c r="H143" s="2168"/>
      <c r="I143" s="70"/>
    </row>
    <row r="144" spans="3:9" s="46" customFormat="1" x14ac:dyDescent="0.2">
      <c r="C144" s="144"/>
      <c r="D144" s="144"/>
      <c r="E144" s="144"/>
      <c r="F144" s="373"/>
      <c r="H144" s="2168"/>
      <c r="I144" s="70"/>
    </row>
    <row r="145" spans="3:9" s="46" customFormat="1" x14ac:dyDescent="0.2">
      <c r="C145" s="144"/>
      <c r="D145" s="144"/>
      <c r="E145" s="144"/>
      <c r="F145" s="373"/>
      <c r="H145" s="2168"/>
      <c r="I145" s="70"/>
    </row>
    <row r="146" spans="3:9" s="46" customFormat="1" x14ac:dyDescent="0.2">
      <c r="C146" s="144"/>
      <c r="D146" s="144"/>
      <c r="E146" s="144"/>
      <c r="F146" s="373"/>
      <c r="H146" s="2168"/>
      <c r="I146" s="70"/>
    </row>
    <row r="147" spans="3:9" s="46" customFormat="1" x14ac:dyDescent="0.2">
      <c r="C147" s="144"/>
      <c r="D147" s="144"/>
      <c r="E147" s="144"/>
      <c r="F147" s="373"/>
      <c r="H147" s="2168"/>
      <c r="I147" s="70"/>
    </row>
    <row r="148" spans="3:9" s="46" customFormat="1" x14ac:dyDescent="0.2">
      <c r="C148" s="144"/>
      <c r="D148" s="144"/>
      <c r="E148" s="144"/>
      <c r="F148" s="373"/>
      <c r="H148" s="2168"/>
      <c r="I148" s="70"/>
    </row>
    <row r="149" spans="3:9" s="46" customFormat="1" x14ac:dyDescent="0.2">
      <c r="C149" s="144"/>
      <c r="D149" s="144"/>
      <c r="E149" s="144"/>
      <c r="F149" s="373"/>
      <c r="H149" s="2168"/>
      <c r="I149" s="70"/>
    </row>
    <row r="150" spans="3:9" s="46" customFormat="1" x14ac:dyDescent="0.2">
      <c r="C150" s="144"/>
      <c r="D150" s="144"/>
      <c r="E150" s="144"/>
      <c r="F150" s="373"/>
      <c r="H150" s="2168"/>
      <c r="I150" s="70"/>
    </row>
    <row r="151" spans="3:9" s="46" customFormat="1" x14ac:dyDescent="0.2">
      <c r="C151" s="144"/>
      <c r="D151" s="144"/>
      <c r="E151" s="144"/>
      <c r="F151" s="373"/>
      <c r="H151" s="2168"/>
      <c r="I151" s="70"/>
    </row>
    <row r="152" spans="3:9" s="46" customFormat="1" x14ac:dyDescent="0.2">
      <c r="C152" s="144"/>
      <c r="D152" s="144"/>
      <c r="E152" s="144"/>
      <c r="F152" s="373"/>
      <c r="H152" s="2168"/>
      <c r="I152" s="70"/>
    </row>
    <row r="153" spans="3:9" s="46" customFormat="1" x14ac:dyDescent="0.2">
      <c r="C153" s="144"/>
      <c r="D153" s="144"/>
      <c r="E153" s="144"/>
      <c r="F153" s="373"/>
      <c r="H153" s="2168"/>
      <c r="I153" s="70"/>
    </row>
    <row r="154" spans="3:9" s="46" customFormat="1" x14ac:dyDescent="0.2">
      <c r="C154" s="144"/>
      <c r="D154" s="144"/>
      <c r="E154" s="144"/>
      <c r="F154" s="373"/>
      <c r="H154" s="2168"/>
      <c r="I154" s="70"/>
    </row>
    <row r="155" spans="3:9" s="46" customFormat="1" x14ac:dyDescent="0.2">
      <c r="C155" s="144"/>
      <c r="D155" s="144"/>
      <c r="E155" s="144"/>
      <c r="F155" s="373"/>
      <c r="H155" s="2168"/>
      <c r="I155" s="70"/>
    </row>
    <row r="156" spans="3:9" s="46" customFormat="1" x14ac:dyDescent="0.2">
      <c r="C156" s="144"/>
      <c r="D156" s="144"/>
      <c r="E156" s="144"/>
      <c r="F156" s="373"/>
      <c r="H156" s="2168"/>
      <c r="I156" s="70"/>
    </row>
    <row r="157" spans="3:9" s="46" customFormat="1" x14ac:dyDescent="0.2">
      <c r="C157" s="144"/>
      <c r="D157" s="144"/>
      <c r="E157" s="144"/>
      <c r="F157" s="373"/>
      <c r="H157" s="2168"/>
      <c r="I157" s="70"/>
    </row>
    <row r="158" spans="3:9" s="46" customFormat="1" x14ac:dyDescent="0.2">
      <c r="C158" s="144"/>
      <c r="D158" s="144"/>
      <c r="E158" s="144"/>
      <c r="F158" s="373"/>
      <c r="H158" s="2168"/>
      <c r="I158" s="70"/>
    </row>
    <row r="159" spans="3:9" s="46" customFormat="1" x14ac:dyDescent="0.2">
      <c r="C159" s="144"/>
      <c r="D159" s="144"/>
      <c r="E159" s="144"/>
      <c r="F159" s="373"/>
      <c r="H159" s="2168"/>
      <c r="I159" s="70"/>
    </row>
    <row r="160" spans="3:9" s="46" customFormat="1" x14ac:dyDescent="0.2">
      <c r="C160" s="144"/>
      <c r="D160" s="144"/>
      <c r="E160" s="144"/>
      <c r="F160" s="373"/>
      <c r="H160" s="2168"/>
      <c r="I160" s="70"/>
    </row>
    <row r="161" spans="3:9" s="46" customFormat="1" x14ac:dyDescent="0.2">
      <c r="C161" s="144"/>
      <c r="D161" s="144"/>
      <c r="E161" s="144"/>
      <c r="F161" s="373"/>
      <c r="H161" s="2168"/>
      <c r="I161" s="70"/>
    </row>
    <row r="162" spans="3:9" s="46" customFormat="1" x14ac:dyDescent="0.2">
      <c r="C162" s="144"/>
      <c r="D162" s="144"/>
      <c r="E162" s="144"/>
      <c r="F162" s="373"/>
      <c r="H162" s="2168"/>
      <c r="I162" s="70"/>
    </row>
    <row r="163" spans="3:9" s="46" customFormat="1" x14ac:dyDescent="0.2">
      <c r="C163" s="144"/>
      <c r="D163" s="144"/>
      <c r="E163" s="144"/>
      <c r="F163" s="373"/>
      <c r="H163" s="2168"/>
      <c r="I163" s="70"/>
    </row>
    <row r="164" spans="3:9" s="46" customFormat="1" x14ac:dyDescent="0.2">
      <c r="C164" s="144"/>
      <c r="D164" s="144"/>
      <c r="E164" s="144"/>
      <c r="F164" s="373"/>
      <c r="H164" s="2168"/>
      <c r="I164" s="70"/>
    </row>
    <row r="165" spans="3:9" s="46" customFormat="1" x14ac:dyDescent="0.2">
      <c r="C165" s="144"/>
      <c r="D165" s="144"/>
      <c r="E165" s="144"/>
      <c r="F165" s="373"/>
      <c r="H165" s="2168"/>
      <c r="I165" s="70"/>
    </row>
    <row r="166" spans="3:9" s="46" customFormat="1" x14ac:dyDescent="0.2">
      <c r="C166" s="144"/>
      <c r="D166" s="144"/>
      <c r="E166" s="144"/>
      <c r="F166" s="373"/>
      <c r="H166" s="2168"/>
      <c r="I166" s="70"/>
    </row>
    <row r="167" spans="3:9" s="46" customFormat="1" x14ac:dyDescent="0.2">
      <c r="C167" s="144"/>
      <c r="D167" s="144"/>
      <c r="E167" s="144"/>
      <c r="F167" s="373"/>
      <c r="H167" s="2168"/>
      <c r="I167" s="70"/>
    </row>
    <row r="168" spans="3:9" s="46" customFormat="1" x14ac:dyDescent="0.2">
      <c r="C168" s="144"/>
      <c r="D168" s="144"/>
      <c r="E168" s="144"/>
      <c r="F168" s="373"/>
      <c r="H168" s="2168"/>
      <c r="I168" s="70"/>
    </row>
    <row r="169" spans="3:9" s="46" customFormat="1" x14ac:dyDescent="0.2">
      <c r="C169" s="144"/>
      <c r="D169" s="144"/>
      <c r="E169" s="144"/>
      <c r="F169" s="373"/>
      <c r="H169" s="2168"/>
      <c r="I169" s="70"/>
    </row>
    <row r="170" spans="3:9" s="46" customFormat="1" x14ac:dyDescent="0.2">
      <c r="C170" s="144"/>
      <c r="D170" s="144"/>
      <c r="E170" s="144"/>
      <c r="F170" s="373"/>
      <c r="H170" s="2168"/>
      <c r="I170" s="70"/>
    </row>
    <row r="171" spans="3:9" s="46" customFormat="1" x14ac:dyDescent="0.2">
      <c r="C171" s="144"/>
      <c r="D171" s="144"/>
      <c r="E171" s="144"/>
      <c r="F171" s="373"/>
      <c r="H171" s="2168"/>
      <c r="I171" s="70"/>
    </row>
    <row r="172" spans="3:9" s="46" customFormat="1" x14ac:dyDescent="0.2">
      <c r="C172" s="144"/>
      <c r="D172" s="144"/>
      <c r="E172" s="144"/>
      <c r="F172" s="373"/>
      <c r="H172" s="2168"/>
      <c r="I172" s="70"/>
    </row>
    <row r="173" spans="3:9" s="46" customFormat="1" x14ac:dyDescent="0.2">
      <c r="C173" s="144"/>
      <c r="D173" s="144"/>
      <c r="E173" s="144"/>
      <c r="F173" s="373"/>
      <c r="H173" s="2168"/>
      <c r="I173" s="70"/>
    </row>
    <row r="174" spans="3:9" s="46" customFormat="1" x14ac:dyDescent="0.2">
      <c r="C174" s="144"/>
      <c r="D174" s="144"/>
      <c r="E174" s="144"/>
      <c r="F174" s="373"/>
      <c r="H174" s="2168"/>
      <c r="I174" s="70"/>
    </row>
    <row r="175" spans="3:9" s="46" customFormat="1" x14ac:dyDescent="0.2">
      <c r="C175" s="144"/>
      <c r="D175" s="144"/>
      <c r="E175" s="144"/>
      <c r="F175" s="373"/>
      <c r="H175" s="2168"/>
      <c r="I175" s="70"/>
    </row>
    <row r="176" spans="3:9" s="46" customFormat="1" x14ac:dyDescent="0.2">
      <c r="C176" s="144"/>
      <c r="D176" s="144"/>
      <c r="E176" s="144"/>
      <c r="F176" s="373"/>
      <c r="H176" s="2168"/>
      <c r="I176" s="70"/>
    </row>
    <row r="177" spans="3:9" s="46" customFormat="1" x14ac:dyDescent="0.2">
      <c r="C177" s="144"/>
      <c r="D177" s="144"/>
      <c r="E177" s="144"/>
      <c r="F177" s="373"/>
      <c r="H177" s="2168"/>
      <c r="I177" s="70"/>
    </row>
    <row r="178" spans="3:9" s="46" customFormat="1" x14ac:dyDescent="0.2">
      <c r="C178" s="144"/>
      <c r="D178" s="144"/>
      <c r="E178" s="144"/>
      <c r="F178" s="373"/>
      <c r="H178" s="2168"/>
      <c r="I178" s="70"/>
    </row>
    <row r="179" spans="3:9" s="46" customFormat="1" x14ac:dyDescent="0.2">
      <c r="C179" s="144"/>
      <c r="D179" s="144"/>
      <c r="E179" s="144"/>
      <c r="F179" s="373"/>
      <c r="H179" s="2168"/>
      <c r="I179" s="70"/>
    </row>
    <row r="180" spans="3:9" s="46" customFormat="1" x14ac:dyDescent="0.2">
      <c r="C180" s="144"/>
      <c r="D180" s="144"/>
      <c r="E180" s="144"/>
      <c r="F180" s="373"/>
      <c r="H180" s="2168"/>
      <c r="I180" s="70"/>
    </row>
    <row r="181" spans="3:9" s="46" customFormat="1" x14ac:dyDescent="0.2">
      <c r="C181" s="144"/>
      <c r="D181" s="144"/>
      <c r="E181" s="144"/>
      <c r="F181" s="373"/>
      <c r="H181" s="2168"/>
      <c r="I181" s="70"/>
    </row>
    <row r="182" spans="3:9" s="46" customFormat="1" x14ac:dyDescent="0.2">
      <c r="C182" s="144"/>
      <c r="D182" s="144"/>
      <c r="E182" s="144"/>
      <c r="F182" s="373"/>
      <c r="H182" s="2168"/>
      <c r="I182" s="70"/>
    </row>
    <row r="183" spans="3:9" s="46" customFormat="1" x14ac:dyDescent="0.2">
      <c r="C183" s="144"/>
      <c r="D183" s="144"/>
      <c r="E183" s="144"/>
      <c r="F183" s="373"/>
      <c r="H183" s="2168"/>
      <c r="I183" s="70"/>
    </row>
    <row r="184" spans="3:9" s="46" customFormat="1" x14ac:dyDescent="0.2">
      <c r="C184" s="144"/>
      <c r="D184" s="144"/>
      <c r="E184" s="144"/>
      <c r="F184" s="373"/>
      <c r="H184" s="2168"/>
      <c r="I184" s="70"/>
    </row>
    <row r="185" spans="3:9" s="46" customFormat="1" x14ac:dyDescent="0.2">
      <c r="C185" s="144"/>
      <c r="D185" s="144"/>
      <c r="E185" s="144"/>
      <c r="F185" s="373"/>
      <c r="H185" s="2168"/>
      <c r="I185" s="70"/>
    </row>
    <row r="186" spans="3:9" s="46" customFormat="1" x14ac:dyDescent="0.2">
      <c r="C186" s="144"/>
      <c r="D186" s="144"/>
      <c r="E186" s="144"/>
      <c r="F186" s="373"/>
      <c r="H186" s="2168"/>
      <c r="I186" s="70"/>
    </row>
    <row r="187" spans="3:9" s="46" customFormat="1" x14ac:dyDescent="0.2">
      <c r="C187" s="144"/>
      <c r="D187" s="144"/>
      <c r="E187" s="144"/>
      <c r="F187" s="373"/>
      <c r="H187" s="2168"/>
      <c r="I187" s="70"/>
    </row>
    <row r="188" spans="3:9" s="46" customFormat="1" x14ac:dyDescent="0.2">
      <c r="C188" s="144"/>
      <c r="D188" s="144"/>
      <c r="E188" s="144"/>
      <c r="F188" s="373"/>
      <c r="H188" s="2168"/>
      <c r="I188" s="70"/>
    </row>
    <row r="189" spans="3:9" s="46" customFormat="1" x14ac:dyDescent="0.2">
      <c r="C189" s="144"/>
      <c r="D189" s="144"/>
      <c r="E189" s="144"/>
      <c r="F189" s="373"/>
      <c r="H189" s="2168"/>
      <c r="I189" s="70"/>
    </row>
    <row r="190" spans="3:9" s="46" customFormat="1" x14ac:dyDescent="0.2">
      <c r="C190" s="144"/>
      <c r="D190" s="144"/>
      <c r="E190" s="144"/>
      <c r="F190" s="373"/>
      <c r="H190" s="2168"/>
      <c r="I190" s="70"/>
    </row>
    <row r="191" spans="3:9" s="46" customFormat="1" x14ac:dyDescent="0.2">
      <c r="C191" s="144"/>
      <c r="D191" s="144"/>
      <c r="E191" s="144"/>
      <c r="F191" s="373"/>
      <c r="H191" s="2168"/>
      <c r="I191" s="70"/>
    </row>
    <row r="192" spans="3:9" s="46" customFormat="1" x14ac:dyDescent="0.2">
      <c r="C192" s="144"/>
      <c r="D192" s="144"/>
      <c r="E192" s="144"/>
      <c r="F192" s="373"/>
      <c r="H192" s="2168"/>
      <c r="I192" s="70"/>
    </row>
    <row r="193" spans="3:9" s="46" customFormat="1" x14ac:dyDescent="0.2">
      <c r="C193" s="144"/>
      <c r="D193" s="144"/>
      <c r="E193" s="144"/>
      <c r="F193" s="373"/>
      <c r="H193" s="2168"/>
      <c r="I193" s="70"/>
    </row>
    <row r="194" spans="3:9" s="46" customFormat="1" x14ac:dyDescent="0.2">
      <c r="C194" s="144"/>
      <c r="D194" s="144"/>
      <c r="E194" s="144"/>
      <c r="F194" s="373"/>
      <c r="H194" s="2168"/>
      <c r="I194" s="70"/>
    </row>
    <row r="195" spans="3:9" s="46" customFormat="1" x14ac:dyDescent="0.2">
      <c r="C195" s="144"/>
      <c r="D195" s="144"/>
      <c r="E195" s="144"/>
      <c r="F195" s="373"/>
      <c r="H195" s="2168"/>
      <c r="I195" s="70"/>
    </row>
    <row r="196" spans="3:9" s="46" customFormat="1" x14ac:dyDescent="0.2">
      <c r="C196" s="144"/>
      <c r="D196" s="144"/>
      <c r="E196" s="144"/>
      <c r="F196" s="373"/>
      <c r="H196" s="2168"/>
      <c r="I196" s="70"/>
    </row>
    <row r="197" spans="3:9" s="46" customFormat="1" x14ac:dyDescent="0.2">
      <c r="C197" s="144"/>
      <c r="D197" s="144"/>
      <c r="E197" s="144"/>
      <c r="F197" s="373"/>
      <c r="H197" s="2168"/>
      <c r="I197" s="70"/>
    </row>
    <row r="198" spans="3:9" s="46" customFormat="1" x14ac:dyDescent="0.2">
      <c r="C198" s="144"/>
      <c r="D198" s="144"/>
      <c r="E198" s="144"/>
      <c r="F198" s="373"/>
      <c r="H198" s="2168"/>
      <c r="I198" s="70"/>
    </row>
    <row r="199" spans="3:9" s="46" customFormat="1" x14ac:dyDescent="0.2">
      <c r="C199" s="144"/>
      <c r="D199" s="144"/>
      <c r="E199" s="144"/>
      <c r="F199" s="373"/>
      <c r="H199" s="2168"/>
      <c r="I199" s="70"/>
    </row>
    <row r="200" spans="3:9" s="46" customFormat="1" x14ac:dyDescent="0.2">
      <c r="C200" s="144"/>
      <c r="D200" s="144"/>
      <c r="E200" s="144"/>
      <c r="F200" s="373"/>
      <c r="H200" s="2168"/>
      <c r="I200" s="70"/>
    </row>
    <row r="201" spans="3:9" s="46" customFormat="1" x14ac:dyDescent="0.2">
      <c r="C201" s="144"/>
      <c r="D201" s="144"/>
      <c r="E201" s="144"/>
      <c r="F201" s="373"/>
      <c r="H201" s="2168"/>
      <c r="I201" s="70"/>
    </row>
    <row r="202" spans="3:9" s="46" customFormat="1" x14ac:dyDescent="0.2">
      <c r="C202" s="144"/>
      <c r="D202" s="144"/>
      <c r="E202" s="144"/>
      <c r="F202" s="373"/>
      <c r="H202" s="2168"/>
      <c r="I202" s="70"/>
    </row>
    <row r="203" spans="3:9" s="46" customFormat="1" x14ac:dyDescent="0.2">
      <c r="C203" s="144"/>
      <c r="D203" s="144"/>
      <c r="E203" s="144"/>
      <c r="F203" s="373"/>
      <c r="H203" s="2168"/>
      <c r="I203" s="70"/>
    </row>
    <row r="204" spans="3:9" s="46" customFormat="1" x14ac:dyDescent="0.2">
      <c r="C204" s="144"/>
      <c r="D204" s="144"/>
      <c r="E204" s="144"/>
      <c r="F204" s="373"/>
      <c r="H204" s="2168"/>
      <c r="I204" s="70"/>
    </row>
    <row r="205" spans="3:9" s="46" customFormat="1" x14ac:dyDescent="0.2">
      <c r="C205" s="144"/>
      <c r="D205" s="144"/>
      <c r="E205" s="144"/>
      <c r="F205" s="373"/>
      <c r="H205" s="2168"/>
      <c r="I205" s="70"/>
    </row>
    <row r="206" spans="3:9" s="46" customFormat="1" x14ac:dyDescent="0.2">
      <c r="C206" s="144"/>
      <c r="D206" s="144"/>
      <c r="E206" s="144"/>
      <c r="F206" s="373"/>
      <c r="H206" s="2168"/>
      <c r="I206" s="70"/>
    </row>
    <row r="207" spans="3:9" s="46" customFormat="1" x14ac:dyDescent="0.2">
      <c r="C207" s="144"/>
      <c r="D207" s="144"/>
      <c r="E207" s="144"/>
      <c r="F207" s="373"/>
      <c r="H207" s="2168"/>
      <c r="I207" s="70"/>
    </row>
    <row r="208" spans="3:9" s="46" customFormat="1" x14ac:dyDescent="0.2">
      <c r="C208" s="144"/>
      <c r="D208" s="144"/>
      <c r="E208" s="144"/>
      <c r="F208" s="373"/>
      <c r="H208" s="2168"/>
      <c r="I208" s="70"/>
    </row>
    <row r="209" spans="3:9" s="46" customFormat="1" x14ac:dyDescent="0.2">
      <c r="C209" s="144"/>
      <c r="D209" s="144"/>
      <c r="E209" s="144"/>
      <c r="F209" s="373"/>
      <c r="H209" s="2168"/>
      <c r="I209" s="70"/>
    </row>
    <row r="210" spans="3:9" s="46" customFormat="1" x14ac:dyDescent="0.2">
      <c r="C210" s="144"/>
      <c r="D210" s="144"/>
      <c r="E210" s="144"/>
      <c r="F210" s="373"/>
      <c r="H210" s="2168"/>
      <c r="I210" s="70"/>
    </row>
    <row r="211" spans="3:9" s="46" customFormat="1" x14ac:dyDescent="0.2">
      <c r="C211" s="144"/>
      <c r="D211" s="144"/>
      <c r="E211" s="144"/>
      <c r="F211" s="373"/>
      <c r="H211" s="2168"/>
      <c r="I211" s="70"/>
    </row>
    <row r="212" spans="3:9" s="46" customFormat="1" x14ac:dyDescent="0.2">
      <c r="C212" s="144"/>
      <c r="D212" s="144"/>
      <c r="E212" s="144"/>
      <c r="F212" s="373"/>
      <c r="H212" s="2168"/>
      <c r="I212" s="70"/>
    </row>
    <row r="213" spans="3:9" s="46" customFormat="1" x14ac:dyDescent="0.2">
      <c r="C213" s="144"/>
      <c r="D213" s="144"/>
      <c r="E213" s="144"/>
      <c r="F213" s="373"/>
      <c r="H213" s="2168"/>
      <c r="I213" s="70"/>
    </row>
    <row r="214" spans="3:9" s="46" customFormat="1" x14ac:dyDescent="0.2">
      <c r="C214" s="144"/>
      <c r="D214" s="144"/>
      <c r="E214" s="144"/>
      <c r="F214" s="373"/>
      <c r="H214" s="2168"/>
      <c r="I214" s="70"/>
    </row>
    <row r="215" spans="3:9" s="46" customFormat="1" x14ac:dyDescent="0.2">
      <c r="C215" s="144"/>
      <c r="D215" s="144"/>
      <c r="E215" s="144"/>
      <c r="F215" s="373"/>
      <c r="H215" s="2168"/>
      <c r="I215" s="70"/>
    </row>
    <row r="216" spans="3:9" s="46" customFormat="1" x14ac:dyDescent="0.2">
      <c r="C216" s="144"/>
      <c r="D216" s="144"/>
      <c r="E216" s="144"/>
      <c r="F216" s="373"/>
      <c r="H216" s="2168"/>
      <c r="I216" s="70"/>
    </row>
    <row r="217" spans="3:9" s="46" customFormat="1" x14ac:dyDescent="0.2">
      <c r="C217" s="144"/>
      <c r="D217" s="144"/>
      <c r="E217" s="144"/>
      <c r="F217" s="373"/>
      <c r="H217" s="2168"/>
      <c r="I217" s="70"/>
    </row>
    <row r="218" spans="3:9" s="46" customFormat="1" x14ac:dyDescent="0.2">
      <c r="C218" s="144"/>
      <c r="D218" s="144"/>
      <c r="E218" s="144"/>
      <c r="F218" s="373"/>
      <c r="H218" s="2168"/>
      <c r="I218" s="70"/>
    </row>
    <row r="219" spans="3:9" s="46" customFormat="1" x14ac:dyDescent="0.2">
      <c r="C219" s="144"/>
      <c r="D219" s="144"/>
      <c r="E219" s="144"/>
      <c r="F219" s="373"/>
      <c r="H219" s="2168"/>
      <c r="I219" s="70"/>
    </row>
    <row r="220" spans="3:9" s="46" customFormat="1" x14ac:dyDescent="0.2">
      <c r="C220" s="144"/>
      <c r="D220" s="144"/>
      <c r="E220" s="144"/>
      <c r="F220" s="373"/>
      <c r="H220" s="2168"/>
      <c r="I220" s="70"/>
    </row>
    <row r="221" spans="3:9" s="46" customFormat="1" x14ac:dyDescent="0.2">
      <c r="C221" s="144"/>
      <c r="D221" s="144"/>
      <c r="E221" s="144"/>
      <c r="F221" s="373"/>
      <c r="H221" s="2168"/>
      <c r="I221" s="70"/>
    </row>
    <row r="222" spans="3:9" s="46" customFormat="1" x14ac:dyDescent="0.2">
      <c r="C222" s="144"/>
      <c r="D222" s="144"/>
      <c r="E222" s="144"/>
      <c r="F222" s="373"/>
      <c r="H222" s="2168"/>
      <c r="I222" s="70"/>
    </row>
    <row r="223" spans="3:9" s="46" customFormat="1" x14ac:dyDescent="0.2">
      <c r="C223" s="144"/>
      <c r="D223" s="144"/>
      <c r="E223" s="144"/>
      <c r="F223" s="373"/>
      <c r="H223" s="2168"/>
      <c r="I223" s="70"/>
    </row>
    <row r="224" spans="3:9" s="46" customFormat="1" x14ac:dyDescent="0.2">
      <c r="C224" s="144"/>
      <c r="D224" s="144"/>
      <c r="E224" s="144"/>
      <c r="F224" s="373"/>
      <c r="H224" s="2168"/>
      <c r="I224" s="70"/>
    </row>
    <row r="225" spans="3:9" s="46" customFormat="1" x14ac:dyDescent="0.2">
      <c r="C225" s="144"/>
      <c r="D225" s="144"/>
      <c r="E225" s="144"/>
      <c r="F225" s="373"/>
      <c r="H225" s="2168"/>
      <c r="I225" s="70"/>
    </row>
    <row r="226" spans="3:9" s="46" customFormat="1" x14ac:dyDescent="0.2">
      <c r="C226" s="144"/>
      <c r="D226" s="144"/>
      <c r="E226" s="144"/>
      <c r="F226" s="373"/>
      <c r="H226" s="2168"/>
      <c r="I226" s="70"/>
    </row>
    <row r="227" spans="3:9" s="46" customFormat="1" x14ac:dyDescent="0.2">
      <c r="C227" s="144"/>
      <c r="D227" s="144"/>
      <c r="E227" s="144"/>
      <c r="F227" s="373"/>
      <c r="H227" s="2168"/>
      <c r="I227" s="70"/>
    </row>
    <row r="228" spans="3:9" s="46" customFormat="1" x14ac:dyDescent="0.2">
      <c r="C228" s="144"/>
      <c r="D228" s="144"/>
      <c r="E228" s="144"/>
      <c r="F228" s="373"/>
      <c r="H228" s="2168"/>
      <c r="I228" s="70"/>
    </row>
    <row r="229" spans="3:9" s="46" customFormat="1" x14ac:dyDescent="0.2">
      <c r="C229" s="144"/>
      <c r="D229" s="144"/>
      <c r="E229" s="144"/>
      <c r="F229" s="373"/>
      <c r="H229" s="2168"/>
      <c r="I229" s="70"/>
    </row>
    <row r="230" spans="3:9" s="46" customFormat="1" x14ac:dyDescent="0.2">
      <c r="C230" s="144"/>
      <c r="D230" s="144"/>
      <c r="E230" s="144"/>
      <c r="F230" s="373"/>
      <c r="H230" s="2168"/>
      <c r="I230" s="70"/>
    </row>
    <row r="231" spans="3:9" s="46" customFormat="1" x14ac:dyDescent="0.2">
      <c r="C231" s="144"/>
      <c r="D231" s="144"/>
      <c r="E231" s="144"/>
      <c r="F231" s="373"/>
      <c r="H231" s="2168"/>
      <c r="I231" s="70"/>
    </row>
    <row r="232" spans="3:9" s="46" customFormat="1" x14ac:dyDescent="0.2">
      <c r="C232" s="144"/>
      <c r="D232" s="144"/>
      <c r="E232" s="144"/>
      <c r="F232" s="373"/>
      <c r="H232" s="2168"/>
      <c r="I232" s="70"/>
    </row>
    <row r="233" spans="3:9" s="46" customFormat="1" x14ac:dyDescent="0.2">
      <c r="C233" s="144"/>
      <c r="D233" s="144"/>
      <c r="E233" s="144"/>
      <c r="F233" s="373"/>
      <c r="H233" s="2168"/>
      <c r="I233" s="70"/>
    </row>
    <row r="234" spans="3:9" s="46" customFormat="1" x14ac:dyDescent="0.2">
      <c r="C234" s="144"/>
      <c r="D234" s="144"/>
      <c r="E234" s="144"/>
      <c r="F234" s="373"/>
      <c r="H234" s="2168"/>
      <c r="I234" s="70"/>
    </row>
    <row r="235" spans="3:9" s="46" customFormat="1" x14ac:dyDescent="0.2">
      <c r="C235" s="144"/>
      <c r="D235" s="144"/>
      <c r="E235" s="144"/>
      <c r="F235" s="373"/>
      <c r="H235" s="2168"/>
      <c r="I235" s="70"/>
    </row>
    <row r="236" spans="3:9" s="46" customFormat="1" x14ac:dyDescent="0.2">
      <c r="C236" s="144"/>
      <c r="D236" s="144"/>
      <c r="E236" s="144"/>
      <c r="F236" s="373"/>
      <c r="H236" s="2168"/>
      <c r="I236" s="70"/>
    </row>
    <row r="237" spans="3:9" s="46" customFormat="1" x14ac:dyDescent="0.2">
      <c r="C237" s="144"/>
      <c r="D237" s="144"/>
      <c r="E237" s="144"/>
      <c r="F237" s="373"/>
      <c r="H237" s="2168"/>
      <c r="I237" s="70"/>
    </row>
    <row r="238" spans="3:9" s="46" customFormat="1" x14ac:dyDescent="0.2">
      <c r="C238" s="144"/>
      <c r="D238" s="144"/>
      <c r="E238" s="144"/>
      <c r="F238" s="373"/>
      <c r="H238" s="2168"/>
      <c r="I238" s="70"/>
    </row>
    <row r="239" spans="3:9" s="46" customFormat="1" x14ac:dyDescent="0.2">
      <c r="C239" s="144"/>
      <c r="D239" s="144"/>
      <c r="E239" s="144"/>
      <c r="F239" s="373"/>
      <c r="H239" s="2168"/>
      <c r="I239" s="70"/>
    </row>
    <row r="240" spans="3:9" s="46" customFormat="1" x14ac:dyDescent="0.2">
      <c r="C240" s="144"/>
      <c r="D240" s="144"/>
      <c r="E240" s="144"/>
      <c r="F240" s="373"/>
      <c r="H240" s="2168"/>
      <c r="I240" s="70"/>
    </row>
    <row r="241" spans="3:9" s="46" customFormat="1" x14ac:dyDescent="0.2">
      <c r="C241" s="144"/>
      <c r="D241" s="144"/>
      <c r="E241" s="144"/>
      <c r="F241" s="373"/>
      <c r="H241" s="2168"/>
      <c r="I241" s="70"/>
    </row>
    <row r="242" spans="3:9" s="46" customFormat="1" x14ac:dyDescent="0.2">
      <c r="C242" s="144"/>
      <c r="D242" s="144"/>
      <c r="E242" s="144"/>
      <c r="F242" s="373"/>
      <c r="H242" s="2168"/>
      <c r="I242" s="70"/>
    </row>
    <row r="243" spans="3:9" s="46" customFormat="1" x14ac:dyDescent="0.2">
      <c r="C243" s="144"/>
      <c r="D243" s="144"/>
      <c r="E243" s="144"/>
      <c r="F243" s="373"/>
      <c r="H243" s="2168"/>
      <c r="I243" s="70"/>
    </row>
    <row r="244" spans="3:9" s="46" customFormat="1" x14ac:dyDescent="0.2">
      <c r="C244" s="144"/>
      <c r="D244" s="144"/>
      <c r="E244" s="144"/>
      <c r="F244" s="373"/>
      <c r="H244" s="2168"/>
      <c r="I244" s="70"/>
    </row>
    <row r="245" spans="3:9" s="46" customFormat="1" x14ac:dyDescent="0.2">
      <c r="C245" s="144"/>
      <c r="D245" s="144"/>
      <c r="E245" s="144"/>
      <c r="F245" s="373"/>
      <c r="H245" s="2168"/>
      <c r="I245" s="70"/>
    </row>
    <row r="246" spans="3:9" s="46" customFormat="1" x14ac:dyDescent="0.2">
      <c r="C246" s="144"/>
      <c r="D246" s="144"/>
      <c r="E246" s="144"/>
      <c r="F246" s="373"/>
      <c r="H246" s="2168"/>
      <c r="I246" s="70"/>
    </row>
    <row r="247" spans="3:9" s="46" customFormat="1" x14ac:dyDescent="0.2">
      <c r="C247" s="144"/>
      <c r="D247" s="144"/>
      <c r="E247" s="144"/>
      <c r="F247" s="373"/>
      <c r="H247" s="2168"/>
      <c r="I247" s="70"/>
    </row>
    <row r="248" spans="3:9" s="46" customFormat="1" x14ac:dyDescent="0.2">
      <c r="C248" s="144"/>
      <c r="D248" s="144"/>
      <c r="E248" s="144"/>
      <c r="F248" s="373"/>
      <c r="H248" s="2168"/>
      <c r="I248" s="70"/>
    </row>
    <row r="249" spans="3:9" s="46" customFormat="1" x14ac:dyDescent="0.2">
      <c r="C249" s="144"/>
      <c r="D249" s="144"/>
      <c r="E249" s="144"/>
      <c r="F249" s="373"/>
      <c r="H249" s="2168"/>
      <c r="I249" s="70"/>
    </row>
    <row r="250" spans="3:9" s="46" customFormat="1" x14ac:dyDescent="0.2">
      <c r="C250" s="144"/>
      <c r="D250" s="144"/>
      <c r="E250" s="144"/>
      <c r="F250" s="373"/>
      <c r="H250" s="2168"/>
      <c r="I250" s="70"/>
    </row>
    <row r="251" spans="3:9" s="46" customFormat="1" x14ac:dyDescent="0.2">
      <c r="C251" s="144"/>
      <c r="D251" s="144"/>
      <c r="E251" s="144"/>
      <c r="F251" s="373"/>
      <c r="H251" s="2168"/>
      <c r="I251" s="70"/>
    </row>
    <row r="252" spans="3:9" s="46" customFormat="1" x14ac:dyDescent="0.2">
      <c r="C252" s="144"/>
      <c r="D252" s="144"/>
      <c r="E252" s="144"/>
      <c r="F252" s="373"/>
      <c r="H252" s="2168"/>
      <c r="I252" s="70"/>
    </row>
    <row r="253" spans="3:9" s="46" customFormat="1" x14ac:dyDescent="0.2">
      <c r="C253" s="144"/>
      <c r="D253" s="144"/>
      <c r="E253" s="144"/>
      <c r="F253" s="373"/>
      <c r="H253" s="2168"/>
      <c r="I253" s="70"/>
    </row>
    <row r="254" spans="3:9" s="46" customFormat="1" x14ac:dyDescent="0.2">
      <c r="C254" s="144"/>
      <c r="D254" s="144"/>
      <c r="E254" s="144"/>
      <c r="F254" s="373"/>
      <c r="H254" s="2168"/>
      <c r="I254" s="70"/>
    </row>
    <row r="255" spans="3:9" s="46" customFormat="1" x14ac:dyDescent="0.2">
      <c r="C255" s="144"/>
      <c r="D255" s="144"/>
      <c r="E255" s="144"/>
      <c r="F255" s="373"/>
      <c r="H255" s="2168"/>
      <c r="I255" s="70"/>
    </row>
    <row r="256" spans="3:9" s="46" customFormat="1" x14ac:dyDescent="0.2">
      <c r="C256" s="144"/>
      <c r="D256" s="144"/>
      <c r="E256" s="144"/>
      <c r="F256" s="373"/>
      <c r="H256" s="2168"/>
      <c r="I256" s="70"/>
    </row>
    <row r="257" spans="3:9" s="46" customFormat="1" x14ac:dyDescent="0.2">
      <c r="C257" s="144"/>
      <c r="D257" s="144"/>
      <c r="E257" s="144"/>
      <c r="F257" s="373"/>
      <c r="H257" s="2168"/>
      <c r="I257" s="70"/>
    </row>
    <row r="258" spans="3:9" s="46" customFormat="1" x14ac:dyDescent="0.2">
      <c r="C258" s="144"/>
      <c r="D258" s="144"/>
      <c r="E258" s="144"/>
      <c r="F258" s="373"/>
      <c r="H258" s="2168"/>
      <c r="I258" s="70"/>
    </row>
    <row r="259" spans="3:9" s="46" customFormat="1" x14ac:dyDescent="0.2">
      <c r="C259" s="144"/>
      <c r="D259" s="144"/>
      <c r="E259" s="144"/>
      <c r="F259" s="373"/>
      <c r="H259" s="2168"/>
      <c r="I259" s="70"/>
    </row>
    <row r="260" spans="3:9" s="46" customFormat="1" x14ac:dyDescent="0.2">
      <c r="C260" s="144"/>
      <c r="D260" s="144"/>
      <c r="E260" s="144"/>
      <c r="F260" s="373"/>
      <c r="H260" s="2168"/>
      <c r="I260" s="70"/>
    </row>
    <row r="261" spans="3:9" s="46" customFormat="1" x14ac:dyDescent="0.2">
      <c r="C261" s="144"/>
      <c r="D261" s="144"/>
      <c r="E261" s="144"/>
      <c r="F261" s="373"/>
      <c r="H261" s="2168"/>
      <c r="I261" s="70"/>
    </row>
    <row r="262" spans="3:9" s="46" customFormat="1" x14ac:dyDescent="0.2">
      <c r="C262" s="144"/>
      <c r="D262" s="144"/>
      <c r="E262" s="144"/>
      <c r="F262" s="373"/>
      <c r="H262" s="2168"/>
      <c r="I262" s="70"/>
    </row>
    <row r="263" spans="3:9" s="46" customFormat="1" x14ac:dyDescent="0.2">
      <c r="C263" s="144"/>
      <c r="D263" s="144"/>
      <c r="E263" s="144"/>
      <c r="F263" s="373"/>
      <c r="H263" s="2168"/>
      <c r="I263" s="70"/>
    </row>
    <row r="264" spans="3:9" s="46" customFormat="1" x14ac:dyDescent="0.2">
      <c r="C264" s="144"/>
      <c r="D264" s="144"/>
      <c r="E264" s="144"/>
      <c r="F264" s="373"/>
      <c r="H264" s="2168"/>
      <c r="I264" s="70"/>
    </row>
    <row r="265" spans="3:9" s="46" customFormat="1" x14ac:dyDescent="0.2">
      <c r="C265" s="144"/>
      <c r="D265" s="144"/>
      <c r="E265" s="144"/>
      <c r="F265" s="373"/>
      <c r="H265" s="2168"/>
      <c r="I265" s="70"/>
    </row>
    <row r="266" spans="3:9" s="46" customFormat="1" x14ac:dyDescent="0.2">
      <c r="C266" s="144"/>
      <c r="D266" s="144"/>
      <c r="E266" s="144"/>
      <c r="F266" s="373"/>
      <c r="H266" s="2168"/>
      <c r="I266" s="70"/>
    </row>
    <row r="267" spans="3:9" s="46" customFormat="1" x14ac:dyDescent="0.2">
      <c r="C267" s="144"/>
      <c r="D267" s="144"/>
      <c r="E267" s="144"/>
      <c r="F267" s="373"/>
      <c r="H267" s="2168"/>
      <c r="I267" s="70"/>
    </row>
    <row r="268" spans="3:9" s="46" customFormat="1" x14ac:dyDescent="0.2">
      <c r="C268" s="144"/>
      <c r="D268" s="144"/>
      <c r="E268" s="144"/>
      <c r="F268" s="373"/>
      <c r="H268" s="2168"/>
      <c r="I268" s="70"/>
    </row>
    <row r="269" spans="3:9" s="46" customFormat="1" x14ac:dyDescent="0.2">
      <c r="C269" s="144"/>
      <c r="D269" s="144"/>
      <c r="E269" s="144"/>
      <c r="F269" s="373"/>
      <c r="H269" s="2168"/>
      <c r="I269" s="70"/>
    </row>
    <row r="270" spans="3:9" s="46" customFormat="1" x14ac:dyDescent="0.2">
      <c r="C270" s="144"/>
      <c r="D270" s="144"/>
      <c r="E270" s="144"/>
      <c r="F270" s="373"/>
      <c r="H270" s="2168"/>
      <c r="I270" s="70"/>
    </row>
    <row r="271" spans="3:9" s="46" customFormat="1" x14ac:dyDescent="0.2">
      <c r="C271" s="144"/>
      <c r="D271" s="144"/>
      <c r="E271" s="144"/>
      <c r="F271" s="373"/>
      <c r="H271" s="2168"/>
      <c r="I271" s="70"/>
    </row>
    <row r="272" spans="3:9" s="46" customFormat="1" x14ac:dyDescent="0.2">
      <c r="C272" s="144"/>
      <c r="D272" s="144"/>
      <c r="E272" s="144"/>
      <c r="F272" s="373"/>
      <c r="H272" s="2168"/>
      <c r="I272" s="70"/>
    </row>
    <row r="273" spans="3:9" s="46" customFormat="1" x14ac:dyDescent="0.2">
      <c r="C273" s="144"/>
      <c r="D273" s="144"/>
      <c r="E273" s="144"/>
      <c r="F273" s="373"/>
      <c r="H273" s="2168"/>
      <c r="I273" s="70"/>
    </row>
    <row r="274" spans="3:9" s="46" customFormat="1" x14ac:dyDescent="0.2">
      <c r="C274" s="144"/>
      <c r="D274" s="144"/>
      <c r="E274" s="144"/>
      <c r="F274" s="373"/>
      <c r="H274" s="2168"/>
      <c r="I274" s="70"/>
    </row>
    <row r="275" spans="3:9" s="46" customFormat="1" x14ac:dyDescent="0.2">
      <c r="C275" s="144"/>
      <c r="D275" s="144"/>
      <c r="E275" s="144"/>
      <c r="F275" s="373"/>
      <c r="H275" s="2168"/>
      <c r="I275" s="70"/>
    </row>
    <row r="276" spans="3:9" s="46" customFormat="1" x14ac:dyDescent="0.2">
      <c r="C276" s="144"/>
      <c r="D276" s="144"/>
      <c r="E276" s="144"/>
      <c r="F276" s="373"/>
      <c r="H276" s="2168"/>
      <c r="I276" s="70"/>
    </row>
    <row r="277" spans="3:9" s="46" customFormat="1" x14ac:dyDescent="0.2">
      <c r="C277" s="144"/>
      <c r="D277" s="144"/>
      <c r="E277" s="144"/>
      <c r="F277" s="373"/>
      <c r="H277" s="2168"/>
      <c r="I277" s="70"/>
    </row>
    <row r="278" spans="3:9" s="46" customFormat="1" x14ac:dyDescent="0.2">
      <c r="C278" s="144"/>
      <c r="D278" s="144"/>
      <c r="E278" s="144"/>
      <c r="F278" s="373"/>
      <c r="H278" s="2168"/>
      <c r="I278" s="70"/>
    </row>
    <row r="279" spans="3:9" s="46" customFormat="1" x14ac:dyDescent="0.2">
      <c r="C279" s="144"/>
      <c r="D279" s="144"/>
      <c r="E279" s="144"/>
      <c r="F279" s="373"/>
      <c r="H279" s="2168"/>
      <c r="I279" s="70"/>
    </row>
    <row r="280" spans="3:9" s="46" customFormat="1" x14ac:dyDescent="0.2">
      <c r="C280" s="144"/>
      <c r="D280" s="144"/>
      <c r="E280" s="144"/>
      <c r="F280" s="373"/>
      <c r="H280" s="2168"/>
      <c r="I280" s="70"/>
    </row>
    <row r="281" spans="3:9" s="46" customFormat="1" x14ac:dyDescent="0.2">
      <c r="C281" s="144"/>
      <c r="D281" s="144"/>
      <c r="E281" s="144"/>
      <c r="F281" s="373"/>
      <c r="H281" s="2168"/>
      <c r="I281" s="70"/>
    </row>
    <row r="282" spans="3:9" s="46" customFormat="1" x14ac:dyDescent="0.2">
      <c r="C282" s="144"/>
      <c r="D282" s="144"/>
      <c r="E282" s="144"/>
      <c r="F282" s="373"/>
      <c r="H282" s="2168"/>
      <c r="I282" s="70"/>
    </row>
    <row r="283" spans="3:9" s="46" customFormat="1" x14ac:dyDescent="0.2">
      <c r="C283" s="144"/>
      <c r="D283" s="144"/>
      <c r="E283" s="144"/>
      <c r="F283" s="373"/>
      <c r="H283" s="2168"/>
      <c r="I283" s="70"/>
    </row>
    <row r="284" spans="3:9" s="46" customFormat="1" x14ac:dyDescent="0.2">
      <c r="C284" s="144"/>
      <c r="D284" s="144"/>
      <c r="E284" s="144"/>
      <c r="F284" s="373"/>
      <c r="H284" s="2168"/>
      <c r="I284" s="70"/>
    </row>
    <row r="285" spans="3:9" s="46" customFormat="1" x14ac:dyDescent="0.2">
      <c r="C285" s="144"/>
      <c r="D285" s="144"/>
      <c r="E285" s="144"/>
      <c r="F285" s="373"/>
      <c r="H285" s="2168"/>
      <c r="I285" s="70"/>
    </row>
    <row r="286" spans="3:9" s="46" customFormat="1" x14ac:dyDescent="0.2">
      <c r="C286" s="144"/>
      <c r="D286" s="144"/>
      <c r="E286" s="144"/>
      <c r="F286" s="373"/>
      <c r="H286" s="2168"/>
      <c r="I286" s="70"/>
    </row>
    <row r="287" spans="3:9" s="46" customFormat="1" x14ac:dyDescent="0.2">
      <c r="C287" s="144"/>
      <c r="D287" s="144"/>
      <c r="E287" s="144"/>
      <c r="F287" s="373"/>
      <c r="H287" s="2168"/>
      <c r="I287" s="70"/>
    </row>
    <row r="288" spans="3:9" s="46" customFormat="1" x14ac:dyDescent="0.2">
      <c r="C288" s="144"/>
      <c r="D288" s="144"/>
      <c r="E288" s="144"/>
      <c r="F288" s="373"/>
      <c r="H288" s="2168"/>
      <c r="I288" s="70"/>
    </row>
    <row r="289" spans="3:9" s="46" customFormat="1" x14ac:dyDescent="0.2">
      <c r="C289" s="144"/>
      <c r="D289" s="144"/>
      <c r="E289" s="144"/>
      <c r="F289" s="373"/>
      <c r="H289" s="2168"/>
      <c r="I289" s="70"/>
    </row>
    <row r="290" spans="3:9" s="46" customFormat="1" x14ac:dyDescent="0.2">
      <c r="C290" s="144"/>
      <c r="D290" s="144"/>
      <c r="E290" s="144"/>
      <c r="F290" s="373"/>
      <c r="H290" s="2168"/>
      <c r="I290" s="70"/>
    </row>
    <row r="291" spans="3:9" s="46" customFormat="1" x14ac:dyDescent="0.2">
      <c r="C291" s="144"/>
      <c r="D291" s="144"/>
      <c r="E291" s="144"/>
      <c r="F291" s="373"/>
      <c r="H291" s="2168"/>
      <c r="I291" s="70"/>
    </row>
    <row r="292" spans="3:9" s="46" customFormat="1" x14ac:dyDescent="0.2">
      <c r="C292" s="144"/>
      <c r="D292" s="144"/>
      <c r="E292" s="144"/>
      <c r="F292" s="373"/>
      <c r="H292" s="2168"/>
      <c r="I292" s="70"/>
    </row>
    <row r="293" spans="3:9" s="46" customFormat="1" x14ac:dyDescent="0.2">
      <c r="C293" s="144"/>
      <c r="D293" s="144"/>
      <c r="E293" s="144"/>
      <c r="F293" s="373"/>
      <c r="H293" s="2168"/>
      <c r="I293" s="70"/>
    </row>
    <row r="294" spans="3:9" s="46" customFormat="1" x14ac:dyDescent="0.2">
      <c r="C294" s="144"/>
      <c r="D294" s="144"/>
      <c r="E294" s="144"/>
      <c r="F294" s="373"/>
      <c r="H294" s="2168"/>
      <c r="I294" s="70"/>
    </row>
    <row r="295" spans="3:9" s="46" customFormat="1" x14ac:dyDescent="0.2">
      <c r="C295" s="144"/>
      <c r="D295" s="144"/>
      <c r="E295" s="144"/>
      <c r="F295" s="373"/>
      <c r="H295" s="2168"/>
      <c r="I295" s="70"/>
    </row>
    <row r="296" spans="3:9" s="46" customFormat="1" x14ac:dyDescent="0.2">
      <c r="C296" s="144"/>
      <c r="D296" s="144"/>
      <c r="E296" s="144"/>
      <c r="F296" s="373"/>
      <c r="H296" s="2168"/>
      <c r="I296" s="70"/>
    </row>
    <row r="297" spans="3:9" s="46" customFormat="1" x14ac:dyDescent="0.2">
      <c r="C297" s="144"/>
      <c r="D297" s="144"/>
      <c r="E297" s="144"/>
      <c r="F297" s="373"/>
      <c r="H297" s="2168"/>
      <c r="I297" s="70"/>
    </row>
    <row r="298" spans="3:9" s="46" customFormat="1" x14ac:dyDescent="0.2">
      <c r="C298" s="144"/>
      <c r="D298" s="144"/>
      <c r="E298" s="144"/>
      <c r="F298" s="373"/>
      <c r="H298" s="2168"/>
      <c r="I298" s="70"/>
    </row>
    <row r="299" spans="3:9" s="46" customFormat="1" x14ac:dyDescent="0.2">
      <c r="C299" s="144"/>
      <c r="D299" s="144"/>
      <c r="E299" s="144"/>
      <c r="F299" s="373"/>
      <c r="H299" s="2168"/>
      <c r="I299" s="70"/>
    </row>
    <row r="300" spans="3:9" s="46" customFormat="1" x14ac:dyDescent="0.2">
      <c r="C300" s="144"/>
      <c r="D300" s="144"/>
      <c r="E300" s="144"/>
      <c r="F300" s="373"/>
      <c r="H300" s="2168"/>
      <c r="I300" s="70"/>
    </row>
    <row r="301" spans="3:9" s="46" customFormat="1" x14ac:dyDescent="0.2">
      <c r="C301" s="144"/>
      <c r="D301" s="144"/>
      <c r="E301" s="144"/>
      <c r="F301" s="373"/>
      <c r="H301" s="2168"/>
      <c r="I301" s="70"/>
    </row>
    <row r="302" spans="3:9" s="46" customFormat="1" x14ac:dyDescent="0.2">
      <c r="C302" s="144"/>
      <c r="D302" s="144"/>
      <c r="E302" s="144"/>
      <c r="F302" s="373"/>
      <c r="H302" s="2168"/>
      <c r="I302" s="70"/>
    </row>
    <row r="303" spans="3:9" s="46" customFormat="1" x14ac:dyDescent="0.2">
      <c r="C303" s="144"/>
      <c r="D303" s="144"/>
      <c r="E303" s="144"/>
      <c r="F303" s="373"/>
      <c r="H303" s="2168"/>
      <c r="I303" s="70"/>
    </row>
    <row r="304" spans="3:9" s="46" customFormat="1" x14ac:dyDescent="0.2">
      <c r="C304" s="144"/>
      <c r="D304" s="144"/>
      <c r="E304" s="144"/>
      <c r="F304" s="373"/>
      <c r="H304" s="2168"/>
      <c r="I304" s="70"/>
    </row>
    <row r="305" spans="3:9" s="46" customFormat="1" x14ac:dyDescent="0.2">
      <c r="C305" s="144"/>
      <c r="D305" s="144"/>
      <c r="E305" s="144"/>
      <c r="F305" s="373"/>
      <c r="H305" s="2168"/>
      <c r="I305" s="70"/>
    </row>
    <row r="306" spans="3:9" s="46" customFormat="1" x14ac:dyDescent="0.2">
      <c r="C306" s="144"/>
      <c r="D306" s="144"/>
      <c r="E306" s="144"/>
      <c r="F306" s="373"/>
      <c r="H306" s="2168"/>
      <c r="I306" s="70"/>
    </row>
    <row r="307" spans="3:9" s="46" customFormat="1" x14ac:dyDescent="0.2">
      <c r="C307" s="144"/>
      <c r="D307" s="144"/>
      <c r="E307" s="144"/>
      <c r="F307" s="373"/>
      <c r="H307" s="2168"/>
      <c r="I307" s="70"/>
    </row>
    <row r="308" spans="3:9" s="46" customFormat="1" x14ac:dyDescent="0.2">
      <c r="C308" s="144"/>
      <c r="D308" s="144"/>
      <c r="E308" s="144"/>
      <c r="F308" s="373"/>
      <c r="H308" s="2168"/>
      <c r="I308" s="70"/>
    </row>
    <row r="309" spans="3:9" s="46" customFormat="1" x14ac:dyDescent="0.2">
      <c r="C309" s="144"/>
      <c r="D309" s="144"/>
      <c r="E309" s="144"/>
      <c r="F309" s="373"/>
      <c r="H309" s="2168"/>
      <c r="I309" s="70"/>
    </row>
    <row r="310" spans="3:9" s="46" customFormat="1" x14ac:dyDescent="0.2">
      <c r="C310" s="144"/>
      <c r="D310" s="144"/>
      <c r="E310" s="144"/>
      <c r="F310" s="373"/>
      <c r="H310" s="2168"/>
      <c r="I310" s="70"/>
    </row>
    <row r="311" spans="3:9" s="46" customFormat="1" x14ac:dyDescent="0.2">
      <c r="C311" s="144"/>
      <c r="D311" s="144"/>
      <c r="E311" s="144"/>
      <c r="F311" s="373"/>
      <c r="H311" s="2168"/>
      <c r="I311" s="70"/>
    </row>
    <row r="312" spans="3:9" s="46" customFormat="1" x14ac:dyDescent="0.2">
      <c r="C312" s="144"/>
      <c r="D312" s="144"/>
      <c r="E312" s="144"/>
      <c r="F312" s="373"/>
      <c r="H312" s="2168"/>
      <c r="I312" s="70"/>
    </row>
    <row r="313" spans="3:9" s="46" customFormat="1" x14ac:dyDescent="0.2">
      <c r="C313" s="144"/>
      <c r="D313" s="144"/>
      <c r="E313" s="144"/>
      <c r="F313" s="373"/>
      <c r="H313" s="2168"/>
      <c r="I313" s="70"/>
    </row>
    <row r="314" spans="3:9" s="46" customFormat="1" x14ac:dyDescent="0.2">
      <c r="C314" s="144"/>
      <c r="D314" s="144"/>
      <c r="E314" s="144"/>
      <c r="F314" s="373"/>
      <c r="H314" s="2168"/>
      <c r="I314" s="70"/>
    </row>
    <row r="315" spans="3:9" s="46" customFormat="1" x14ac:dyDescent="0.2">
      <c r="C315" s="144"/>
      <c r="D315" s="144"/>
      <c r="E315" s="144"/>
      <c r="F315" s="373"/>
      <c r="H315" s="2168"/>
      <c r="I315" s="70"/>
    </row>
    <row r="316" spans="3:9" s="46" customFormat="1" x14ac:dyDescent="0.2">
      <c r="C316" s="144"/>
      <c r="D316" s="144"/>
      <c r="E316" s="144"/>
      <c r="F316" s="373"/>
      <c r="H316" s="2168"/>
      <c r="I316" s="70"/>
    </row>
    <row r="317" spans="3:9" s="46" customFormat="1" x14ac:dyDescent="0.2">
      <c r="C317" s="144"/>
      <c r="D317" s="144"/>
      <c r="E317" s="144"/>
      <c r="F317" s="373"/>
      <c r="H317" s="2168"/>
      <c r="I317" s="70"/>
    </row>
    <row r="318" spans="3:9" s="46" customFormat="1" x14ac:dyDescent="0.2">
      <c r="C318" s="144"/>
      <c r="D318" s="144"/>
      <c r="E318" s="144"/>
      <c r="F318" s="373"/>
      <c r="H318" s="2168"/>
      <c r="I318" s="70"/>
    </row>
    <row r="319" spans="3:9" s="46" customFormat="1" x14ac:dyDescent="0.2">
      <c r="C319" s="144"/>
      <c r="D319" s="144"/>
      <c r="E319" s="144"/>
      <c r="F319" s="373"/>
      <c r="H319" s="2168"/>
      <c r="I319" s="70"/>
    </row>
    <row r="320" spans="3:9" s="46" customFormat="1" x14ac:dyDescent="0.2">
      <c r="C320" s="144"/>
      <c r="D320" s="144"/>
      <c r="E320" s="144"/>
      <c r="F320" s="373"/>
      <c r="H320" s="2168"/>
      <c r="I320" s="70"/>
    </row>
    <row r="321" spans="3:9" s="46" customFormat="1" x14ac:dyDescent="0.2">
      <c r="C321" s="144"/>
      <c r="D321" s="144"/>
      <c r="E321" s="144"/>
      <c r="F321" s="373"/>
      <c r="H321" s="2168"/>
      <c r="I321" s="70"/>
    </row>
    <row r="322" spans="3:9" s="46" customFormat="1" x14ac:dyDescent="0.2">
      <c r="C322" s="144"/>
      <c r="D322" s="144"/>
      <c r="E322" s="144"/>
      <c r="F322" s="373"/>
      <c r="H322" s="2168"/>
      <c r="I322" s="70"/>
    </row>
    <row r="323" spans="3:9" s="46" customFormat="1" x14ac:dyDescent="0.2">
      <c r="C323" s="144"/>
      <c r="D323" s="144"/>
      <c r="E323" s="144"/>
      <c r="F323" s="373"/>
      <c r="H323" s="2168"/>
      <c r="I323" s="70"/>
    </row>
    <row r="324" spans="3:9" s="46" customFormat="1" x14ac:dyDescent="0.2">
      <c r="C324" s="144"/>
      <c r="D324" s="144"/>
      <c r="E324" s="144"/>
      <c r="F324" s="373"/>
      <c r="H324" s="2168"/>
      <c r="I324" s="70"/>
    </row>
    <row r="325" spans="3:9" s="46" customFormat="1" x14ac:dyDescent="0.2">
      <c r="C325" s="144"/>
      <c r="D325" s="144"/>
      <c r="E325" s="144"/>
      <c r="F325" s="373"/>
      <c r="H325" s="2168"/>
      <c r="I325" s="70"/>
    </row>
    <row r="326" spans="3:9" s="46" customFormat="1" x14ac:dyDescent="0.2">
      <c r="C326" s="144"/>
      <c r="D326" s="144"/>
      <c r="E326" s="144"/>
      <c r="F326" s="373"/>
      <c r="H326" s="2168"/>
      <c r="I326" s="70"/>
    </row>
    <row r="327" spans="3:9" s="46" customFormat="1" x14ac:dyDescent="0.2">
      <c r="C327" s="144"/>
      <c r="D327" s="144"/>
      <c r="E327" s="144"/>
      <c r="F327" s="373"/>
      <c r="H327" s="2168"/>
      <c r="I327" s="70"/>
    </row>
    <row r="328" spans="3:9" s="46" customFormat="1" x14ac:dyDescent="0.2">
      <c r="C328" s="144"/>
      <c r="D328" s="144"/>
      <c r="E328" s="144"/>
      <c r="F328" s="373"/>
      <c r="H328" s="2168"/>
      <c r="I328" s="70"/>
    </row>
    <row r="329" spans="3:9" s="46" customFormat="1" x14ac:dyDescent="0.2">
      <c r="C329" s="144"/>
      <c r="D329" s="144"/>
      <c r="E329" s="144"/>
      <c r="F329" s="373"/>
      <c r="H329" s="2168"/>
      <c r="I329" s="70"/>
    </row>
    <row r="330" spans="3:9" s="46" customFormat="1" x14ac:dyDescent="0.2">
      <c r="C330" s="144"/>
      <c r="D330" s="144"/>
      <c r="E330" s="144"/>
      <c r="F330" s="373"/>
      <c r="H330" s="2168"/>
      <c r="I330" s="70"/>
    </row>
    <row r="331" spans="3:9" s="46" customFormat="1" x14ac:dyDescent="0.2">
      <c r="C331" s="144"/>
      <c r="D331" s="144"/>
      <c r="E331" s="144"/>
      <c r="F331" s="373"/>
      <c r="H331" s="2168"/>
      <c r="I331" s="70"/>
    </row>
    <row r="332" spans="3:9" s="46" customFormat="1" x14ac:dyDescent="0.2">
      <c r="C332" s="144"/>
      <c r="D332" s="144"/>
      <c r="E332" s="144"/>
      <c r="F332" s="373"/>
      <c r="H332" s="2168"/>
      <c r="I332" s="70"/>
    </row>
    <row r="333" spans="3:9" s="46" customFormat="1" x14ac:dyDescent="0.2">
      <c r="C333" s="144"/>
      <c r="D333" s="144"/>
      <c r="E333" s="144"/>
      <c r="F333" s="373"/>
      <c r="H333" s="2168"/>
      <c r="I333" s="70"/>
    </row>
    <row r="334" spans="3:9" s="46" customFormat="1" x14ac:dyDescent="0.2">
      <c r="C334" s="144"/>
      <c r="D334" s="144"/>
      <c r="E334" s="144"/>
      <c r="F334" s="373"/>
      <c r="H334" s="2168"/>
      <c r="I334" s="70"/>
    </row>
    <row r="335" spans="3:9" s="46" customFormat="1" x14ac:dyDescent="0.2">
      <c r="C335" s="144"/>
      <c r="D335" s="144"/>
      <c r="E335" s="144"/>
      <c r="F335" s="373"/>
      <c r="H335" s="2168"/>
      <c r="I335" s="70"/>
    </row>
    <row r="336" spans="3:9" s="46" customFormat="1" x14ac:dyDescent="0.2">
      <c r="C336" s="144"/>
      <c r="D336" s="144"/>
      <c r="E336" s="144"/>
      <c r="F336" s="373"/>
      <c r="H336" s="2168"/>
      <c r="I336" s="70"/>
    </row>
    <row r="337" spans="3:9" s="46" customFormat="1" x14ac:dyDescent="0.2">
      <c r="C337" s="144"/>
      <c r="D337" s="144"/>
      <c r="E337" s="144"/>
      <c r="F337" s="373"/>
      <c r="H337" s="2168"/>
      <c r="I337" s="70"/>
    </row>
    <row r="338" spans="3:9" s="46" customFormat="1" x14ac:dyDescent="0.2">
      <c r="C338" s="144"/>
      <c r="D338" s="144"/>
      <c r="E338" s="144"/>
      <c r="F338" s="373"/>
      <c r="H338" s="2168"/>
      <c r="I338" s="70"/>
    </row>
    <row r="339" spans="3:9" s="46" customFormat="1" x14ac:dyDescent="0.2">
      <c r="C339" s="144"/>
      <c r="D339" s="144"/>
      <c r="E339" s="144"/>
      <c r="F339" s="373"/>
      <c r="H339" s="2168"/>
      <c r="I339" s="70"/>
    </row>
    <row r="340" spans="3:9" s="46" customFormat="1" x14ac:dyDescent="0.2">
      <c r="C340" s="144"/>
      <c r="D340" s="144"/>
      <c r="E340" s="144"/>
      <c r="F340" s="373"/>
      <c r="H340" s="2168"/>
      <c r="I340" s="70"/>
    </row>
    <row r="341" spans="3:9" s="46" customFormat="1" x14ac:dyDescent="0.2">
      <c r="C341" s="144"/>
      <c r="D341" s="144"/>
      <c r="E341" s="144"/>
      <c r="F341" s="373"/>
      <c r="H341" s="2168"/>
      <c r="I341" s="70"/>
    </row>
    <row r="342" spans="3:9" s="46" customFormat="1" x14ac:dyDescent="0.2">
      <c r="C342" s="144"/>
      <c r="D342" s="144"/>
      <c r="E342" s="144"/>
      <c r="F342" s="373"/>
      <c r="H342" s="2168"/>
      <c r="I342" s="70"/>
    </row>
    <row r="343" spans="3:9" s="46" customFormat="1" x14ac:dyDescent="0.2">
      <c r="C343" s="144"/>
      <c r="D343" s="144"/>
      <c r="E343" s="144"/>
      <c r="F343" s="373"/>
      <c r="H343" s="2168"/>
      <c r="I343" s="70"/>
    </row>
    <row r="344" spans="3:9" s="46" customFormat="1" x14ac:dyDescent="0.2">
      <c r="C344" s="144"/>
      <c r="D344" s="144"/>
      <c r="E344" s="144"/>
      <c r="F344" s="373"/>
      <c r="H344" s="2168"/>
      <c r="I344" s="70"/>
    </row>
    <row r="345" spans="3:9" s="46" customFormat="1" x14ac:dyDescent="0.2">
      <c r="C345" s="144"/>
      <c r="D345" s="144"/>
      <c r="E345" s="144"/>
      <c r="F345" s="373"/>
      <c r="H345" s="2168"/>
      <c r="I345" s="70"/>
    </row>
    <row r="346" spans="3:9" s="46" customFormat="1" x14ac:dyDescent="0.2">
      <c r="C346" s="144"/>
      <c r="D346" s="144"/>
      <c r="E346" s="144"/>
      <c r="F346" s="373"/>
      <c r="H346" s="2168"/>
      <c r="I346" s="70"/>
    </row>
    <row r="347" spans="3:9" s="46" customFormat="1" x14ac:dyDescent="0.2">
      <c r="C347" s="144"/>
      <c r="D347" s="144"/>
      <c r="E347" s="144"/>
      <c r="F347" s="373"/>
      <c r="H347" s="2168"/>
      <c r="I347" s="70"/>
    </row>
    <row r="348" spans="3:9" s="46" customFormat="1" x14ac:dyDescent="0.2">
      <c r="C348" s="144"/>
      <c r="D348" s="144"/>
      <c r="E348" s="144"/>
      <c r="F348" s="373"/>
      <c r="H348" s="2168"/>
      <c r="I348" s="70"/>
    </row>
    <row r="349" spans="3:9" s="46" customFormat="1" x14ac:dyDescent="0.2">
      <c r="C349" s="144"/>
      <c r="D349" s="144"/>
      <c r="E349" s="144"/>
      <c r="F349" s="373"/>
      <c r="H349" s="2168"/>
      <c r="I349" s="70"/>
    </row>
    <row r="350" spans="3:9" s="46" customFormat="1" x14ac:dyDescent="0.2">
      <c r="C350" s="144"/>
      <c r="D350" s="144"/>
      <c r="E350" s="144"/>
      <c r="F350" s="373"/>
      <c r="H350" s="2168"/>
      <c r="I350" s="70"/>
    </row>
    <row r="351" spans="3:9" s="46" customFormat="1" x14ac:dyDescent="0.2">
      <c r="C351" s="144"/>
      <c r="D351" s="144"/>
      <c r="E351" s="144"/>
      <c r="F351" s="373"/>
      <c r="H351" s="2168"/>
      <c r="I351" s="70"/>
    </row>
    <row r="352" spans="3:9" s="46" customFormat="1" x14ac:dyDescent="0.2">
      <c r="C352" s="144"/>
      <c r="D352" s="144"/>
      <c r="E352" s="144"/>
      <c r="F352" s="373"/>
      <c r="H352" s="2168"/>
      <c r="I352" s="70"/>
    </row>
    <row r="353" spans="3:9" s="46" customFormat="1" x14ac:dyDescent="0.2">
      <c r="C353" s="144"/>
      <c r="D353" s="144"/>
      <c r="E353" s="144"/>
      <c r="F353" s="373"/>
      <c r="H353" s="2168"/>
      <c r="I353" s="70"/>
    </row>
    <row r="354" spans="3:9" s="46" customFormat="1" x14ac:dyDescent="0.2">
      <c r="C354" s="144"/>
      <c r="D354" s="144"/>
      <c r="E354" s="144"/>
      <c r="F354" s="373"/>
      <c r="H354" s="2168"/>
      <c r="I354" s="70"/>
    </row>
    <row r="355" spans="3:9" s="46" customFormat="1" x14ac:dyDescent="0.2">
      <c r="C355" s="144"/>
      <c r="D355" s="144"/>
      <c r="E355" s="144"/>
      <c r="F355" s="373"/>
      <c r="H355" s="2168"/>
      <c r="I355" s="70"/>
    </row>
    <row r="356" spans="3:9" s="46" customFormat="1" x14ac:dyDescent="0.2">
      <c r="C356" s="144"/>
      <c r="D356" s="144"/>
      <c r="E356" s="144"/>
      <c r="F356" s="373"/>
      <c r="H356" s="2168"/>
      <c r="I356" s="70"/>
    </row>
    <row r="357" spans="3:9" s="46" customFormat="1" x14ac:dyDescent="0.2">
      <c r="C357" s="144"/>
      <c r="D357" s="144"/>
      <c r="E357" s="144"/>
      <c r="F357" s="373"/>
      <c r="H357" s="2168"/>
      <c r="I357" s="70"/>
    </row>
    <row r="358" spans="3:9" s="46" customFormat="1" x14ac:dyDescent="0.2">
      <c r="C358" s="144"/>
      <c r="D358" s="144"/>
      <c r="E358" s="144"/>
      <c r="F358" s="373"/>
      <c r="H358" s="2168"/>
      <c r="I358" s="70"/>
    </row>
    <row r="359" spans="3:9" s="46" customFormat="1" x14ac:dyDescent="0.2">
      <c r="C359" s="144"/>
      <c r="D359" s="144"/>
      <c r="E359" s="144"/>
      <c r="F359" s="373"/>
      <c r="H359" s="2168"/>
      <c r="I359" s="70"/>
    </row>
    <row r="360" spans="3:9" s="46" customFormat="1" x14ac:dyDescent="0.2">
      <c r="C360" s="144"/>
      <c r="D360" s="144"/>
      <c r="E360" s="144"/>
      <c r="F360" s="373"/>
      <c r="H360" s="2168"/>
      <c r="I360" s="70"/>
    </row>
    <row r="361" spans="3:9" s="46" customFormat="1" x14ac:dyDescent="0.2">
      <c r="C361" s="144"/>
      <c r="D361" s="144"/>
      <c r="E361" s="144"/>
      <c r="F361" s="373"/>
      <c r="H361" s="2168"/>
      <c r="I361" s="70"/>
    </row>
    <row r="362" spans="3:9" s="46" customFormat="1" x14ac:dyDescent="0.2">
      <c r="C362" s="144"/>
      <c r="D362" s="144"/>
      <c r="E362" s="144"/>
      <c r="F362" s="373"/>
      <c r="H362" s="2168"/>
      <c r="I362" s="70"/>
    </row>
    <row r="363" spans="3:9" s="46" customFormat="1" x14ac:dyDescent="0.2">
      <c r="C363" s="144"/>
      <c r="D363" s="144"/>
      <c r="E363" s="144"/>
      <c r="F363" s="373"/>
      <c r="H363" s="2168"/>
      <c r="I363" s="70"/>
    </row>
    <row r="364" spans="3:9" s="46" customFormat="1" x14ac:dyDescent="0.2">
      <c r="C364" s="144"/>
      <c r="D364" s="144"/>
      <c r="E364" s="144"/>
      <c r="F364" s="373"/>
      <c r="H364" s="2168"/>
      <c r="I364" s="70"/>
    </row>
    <row r="365" spans="3:9" s="46" customFormat="1" x14ac:dyDescent="0.2">
      <c r="C365" s="144"/>
      <c r="D365" s="144"/>
      <c r="E365" s="144"/>
      <c r="F365" s="373"/>
      <c r="H365" s="2168"/>
      <c r="I365" s="70"/>
    </row>
    <row r="366" spans="3:9" s="46" customFormat="1" x14ac:dyDescent="0.2">
      <c r="C366" s="144"/>
      <c r="D366" s="144"/>
      <c r="E366" s="144"/>
      <c r="F366" s="373"/>
      <c r="H366" s="2168"/>
      <c r="I366" s="70"/>
    </row>
    <row r="367" spans="3:9" s="46" customFormat="1" x14ac:dyDescent="0.2">
      <c r="C367" s="144"/>
      <c r="D367" s="144"/>
      <c r="E367" s="144"/>
      <c r="F367" s="373"/>
      <c r="H367" s="2168"/>
      <c r="I367" s="70"/>
    </row>
    <row r="368" spans="3:9" s="46" customFormat="1" x14ac:dyDescent="0.2">
      <c r="C368" s="144"/>
      <c r="D368" s="144"/>
      <c r="E368" s="144"/>
      <c r="F368" s="373"/>
      <c r="H368" s="2168"/>
      <c r="I368" s="70"/>
    </row>
    <row r="369" spans="3:9" s="46" customFormat="1" x14ac:dyDescent="0.2">
      <c r="C369" s="144"/>
      <c r="D369" s="144"/>
      <c r="E369" s="144"/>
      <c r="F369" s="373"/>
      <c r="H369" s="2168"/>
      <c r="I369" s="70"/>
    </row>
    <row r="370" spans="3:9" s="46" customFormat="1" x14ac:dyDescent="0.2">
      <c r="C370" s="144"/>
      <c r="D370" s="144"/>
      <c r="E370" s="144"/>
      <c r="F370" s="373"/>
      <c r="H370" s="2168"/>
      <c r="I370" s="70"/>
    </row>
    <row r="371" spans="3:9" s="46" customFormat="1" x14ac:dyDescent="0.2">
      <c r="C371" s="144"/>
      <c r="D371" s="144"/>
      <c r="E371" s="144"/>
      <c r="F371" s="373"/>
      <c r="H371" s="2168"/>
      <c r="I371" s="70"/>
    </row>
    <row r="372" spans="3:9" s="46" customFormat="1" x14ac:dyDescent="0.2">
      <c r="C372" s="144"/>
      <c r="D372" s="144"/>
      <c r="E372" s="144"/>
      <c r="F372" s="373"/>
      <c r="H372" s="2168"/>
      <c r="I372" s="70"/>
    </row>
    <row r="373" spans="3:9" s="46" customFormat="1" x14ac:dyDescent="0.2">
      <c r="C373" s="144"/>
      <c r="D373" s="144"/>
      <c r="E373" s="144"/>
      <c r="F373" s="373"/>
      <c r="H373" s="2168"/>
      <c r="I373" s="70"/>
    </row>
    <row r="374" spans="3:9" s="46" customFormat="1" x14ac:dyDescent="0.2">
      <c r="C374" s="144"/>
      <c r="D374" s="144"/>
      <c r="E374" s="144"/>
      <c r="F374" s="373"/>
      <c r="H374" s="2168"/>
      <c r="I374" s="70"/>
    </row>
    <row r="375" spans="3:9" s="46" customFormat="1" x14ac:dyDescent="0.2">
      <c r="C375" s="144"/>
      <c r="D375" s="144"/>
      <c r="E375" s="144"/>
      <c r="F375" s="373"/>
      <c r="H375" s="2168"/>
      <c r="I375" s="70"/>
    </row>
    <row r="376" spans="3:9" s="46" customFormat="1" x14ac:dyDescent="0.2">
      <c r="C376" s="144"/>
      <c r="D376" s="144"/>
      <c r="E376" s="144"/>
      <c r="F376" s="373"/>
      <c r="H376" s="2168"/>
      <c r="I376" s="70"/>
    </row>
    <row r="377" spans="3:9" s="46" customFormat="1" x14ac:dyDescent="0.2">
      <c r="C377" s="144"/>
      <c r="D377" s="144"/>
      <c r="E377" s="144"/>
      <c r="F377" s="373"/>
      <c r="H377" s="2168"/>
      <c r="I377" s="70"/>
    </row>
    <row r="378" spans="3:9" s="46" customFormat="1" x14ac:dyDescent="0.2">
      <c r="C378" s="144"/>
      <c r="D378" s="144"/>
      <c r="E378" s="144"/>
      <c r="F378" s="373"/>
      <c r="H378" s="2168"/>
      <c r="I378" s="70"/>
    </row>
    <row r="379" spans="3:9" s="46" customFormat="1" x14ac:dyDescent="0.2">
      <c r="C379" s="144"/>
      <c r="D379" s="144"/>
      <c r="E379" s="144"/>
      <c r="F379" s="373"/>
      <c r="H379" s="2168"/>
      <c r="I379" s="70"/>
    </row>
    <row r="380" spans="3:9" s="46" customFormat="1" x14ac:dyDescent="0.2">
      <c r="C380" s="144"/>
      <c r="D380" s="144"/>
      <c r="E380" s="144"/>
      <c r="F380" s="373"/>
      <c r="H380" s="2168"/>
      <c r="I380" s="70"/>
    </row>
    <row r="381" spans="3:9" s="46" customFormat="1" x14ac:dyDescent="0.2">
      <c r="C381" s="144"/>
      <c r="D381" s="144"/>
      <c r="E381" s="144"/>
      <c r="F381" s="373"/>
      <c r="H381" s="2168"/>
      <c r="I381" s="70"/>
    </row>
    <row r="382" spans="3:9" s="46" customFormat="1" x14ac:dyDescent="0.2">
      <c r="C382" s="144"/>
      <c r="D382" s="144"/>
      <c r="E382" s="144"/>
      <c r="F382" s="373"/>
      <c r="H382" s="2168"/>
      <c r="I382" s="70"/>
    </row>
    <row r="383" spans="3:9" s="46" customFormat="1" x14ac:dyDescent="0.2">
      <c r="C383" s="144"/>
      <c r="D383" s="144"/>
      <c r="E383" s="144"/>
      <c r="F383" s="373"/>
      <c r="H383" s="2168"/>
      <c r="I383" s="70"/>
    </row>
    <row r="384" spans="3:9" s="46" customFormat="1" x14ac:dyDescent="0.2">
      <c r="C384" s="144"/>
      <c r="D384" s="144"/>
      <c r="E384" s="144"/>
      <c r="F384" s="373"/>
      <c r="H384" s="2168"/>
      <c r="I384" s="70"/>
    </row>
    <row r="385" spans="3:9" s="46" customFormat="1" x14ac:dyDescent="0.2">
      <c r="C385" s="144"/>
      <c r="D385" s="144"/>
      <c r="E385" s="144"/>
      <c r="F385" s="373"/>
      <c r="H385" s="2168"/>
      <c r="I385" s="70"/>
    </row>
    <row r="386" spans="3:9" s="46" customFormat="1" x14ac:dyDescent="0.2">
      <c r="C386" s="144"/>
      <c r="D386" s="144"/>
      <c r="E386" s="144"/>
      <c r="F386" s="373"/>
      <c r="H386" s="2168"/>
      <c r="I386" s="70"/>
    </row>
    <row r="387" spans="3:9" s="46" customFormat="1" x14ac:dyDescent="0.2">
      <c r="C387" s="144"/>
      <c r="D387" s="144"/>
      <c r="E387" s="144"/>
      <c r="F387" s="373"/>
      <c r="H387" s="2168"/>
      <c r="I387" s="70"/>
    </row>
    <row r="388" spans="3:9" s="46" customFormat="1" x14ac:dyDescent="0.2">
      <c r="C388" s="144"/>
      <c r="D388" s="144"/>
      <c r="E388" s="144"/>
      <c r="F388" s="373"/>
      <c r="H388" s="2168"/>
      <c r="I388" s="70"/>
    </row>
    <row r="389" spans="3:9" s="46" customFormat="1" x14ac:dyDescent="0.2">
      <c r="C389" s="144"/>
      <c r="D389" s="144"/>
      <c r="E389" s="144"/>
      <c r="F389" s="373"/>
      <c r="H389" s="2168"/>
      <c r="I389" s="70"/>
    </row>
    <row r="390" spans="3:9" s="46" customFormat="1" x14ac:dyDescent="0.2">
      <c r="C390" s="144"/>
      <c r="D390" s="144"/>
      <c r="E390" s="144"/>
      <c r="F390" s="373"/>
      <c r="H390" s="2168"/>
      <c r="I390" s="70"/>
    </row>
    <row r="391" spans="3:9" s="46" customFormat="1" x14ac:dyDescent="0.2">
      <c r="C391" s="144"/>
      <c r="D391" s="144"/>
      <c r="E391" s="144"/>
      <c r="F391" s="373"/>
      <c r="H391" s="2168"/>
      <c r="I391" s="70"/>
    </row>
    <row r="392" spans="3:9" s="46" customFormat="1" x14ac:dyDescent="0.2">
      <c r="C392" s="144"/>
      <c r="D392" s="144"/>
      <c r="E392" s="144"/>
      <c r="F392" s="373"/>
      <c r="H392" s="2168"/>
      <c r="I392" s="70"/>
    </row>
    <row r="393" spans="3:9" s="46" customFormat="1" x14ac:dyDescent="0.2">
      <c r="C393" s="144"/>
      <c r="D393" s="144"/>
      <c r="E393" s="144"/>
      <c r="F393" s="373"/>
      <c r="H393" s="2168"/>
      <c r="I393" s="70"/>
    </row>
    <row r="394" spans="3:9" s="46" customFormat="1" x14ac:dyDescent="0.2">
      <c r="C394" s="144"/>
      <c r="D394" s="144"/>
      <c r="E394" s="144"/>
      <c r="F394" s="373"/>
      <c r="H394" s="2168"/>
      <c r="I394" s="70"/>
    </row>
    <row r="395" spans="3:9" s="46" customFormat="1" x14ac:dyDescent="0.2">
      <c r="C395" s="144"/>
      <c r="D395" s="144"/>
      <c r="E395" s="144"/>
      <c r="F395" s="373"/>
      <c r="H395" s="2168"/>
      <c r="I395" s="70"/>
    </row>
    <row r="396" spans="3:9" s="46" customFormat="1" x14ac:dyDescent="0.2">
      <c r="C396" s="144"/>
      <c r="D396" s="144"/>
      <c r="E396" s="144"/>
      <c r="F396" s="373"/>
      <c r="H396" s="2168"/>
      <c r="I396" s="70"/>
    </row>
    <row r="397" spans="3:9" s="46" customFormat="1" x14ac:dyDescent="0.2">
      <c r="C397" s="144"/>
      <c r="D397" s="144"/>
      <c r="E397" s="144"/>
      <c r="F397" s="373"/>
      <c r="H397" s="2168"/>
      <c r="I397" s="70"/>
    </row>
    <row r="398" spans="3:9" s="46" customFormat="1" x14ac:dyDescent="0.2">
      <c r="C398" s="144"/>
      <c r="D398" s="144"/>
      <c r="E398" s="144"/>
      <c r="F398" s="373"/>
      <c r="H398" s="2168"/>
      <c r="I398" s="70"/>
    </row>
    <row r="399" spans="3:9" s="46" customFormat="1" x14ac:dyDescent="0.2">
      <c r="C399" s="144"/>
      <c r="D399" s="144"/>
      <c r="E399" s="144"/>
      <c r="F399" s="373"/>
      <c r="H399" s="2168"/>
      <c r="I399" s="70"/>
    </row>
    <row r="400" spans="3:9" s="46" customFormat="1" x14ac:dyDescent="0.2">
      <c r="C400" s="144"/>
      <c r="D400" s="144"/>
      <c r="E400" s="144"/>
      <c r="F400" s="373"/>
      <c r="H400" s="2168"/>
      <c r="I400" s="70"/>
    </row>
    <row r="401" spans="3:9" s="46" customFormat="1" x14ac:dyDescent="0.2">
      <c r="C401" s="144"/>
      <c r="D401" s="144"/>
      <c r="E401" s="144"/>
      <c r="F401" s="373"/>
      <c r="H401" s="2168"/>
      <c r="I401" s="70"/>
    </row>
    <row r="402" spans="3:9" s="46" customFormat="1" x14ac:dyDescent="0.2">
      <c r="C402" s="144"/>
      <c r="D402" s="144"/>
      <c r="E402" s="144"/>
      <c r="F402" s="373"/>
      <c r="H402" s="2168"/>
      <c r="I402" s="70"/>
    </row>
    <row r="403" spans="3:9" s="46" customFormat="1" x14ac:dyDescent="0.2">
      <c r="C403" s="144"/>
      <c r="D403" s="144"/>
      <c r="E403" s="144"/>
      <c r="F403" s="373"/>
      <c r="H403" s="2168"/>
      <c r="I403" s="70"/>
    </row>
    <row r="404" spans="3:9" s="46" customFormat="1" x14ac:dyDescent="0.2">
      <c r="C404" s="144"/>
      <c r="D404" s="144"/>
      <c r="E404" s="144"/>
      <c r="F404" s="373"/>
      <c r="H404" s="2168"/>
      <c r="I404" s="70"/>
    </row>
    <row r="405" spans="3:9" s="46" customFormat="1" x14ac:dyDescent="0.2">
      <c r="C405" s="144"/>
      <c r="D405" s="144"/>
      <c r="E405" s="144"/>
      <c r="F405" s="373"/>
      <c r="H405" s="2168"/>
      <c r="I405" s="70"/>
    </row>
    <row r="406" spans="3:9" s="46" customFormat="1" x14ac:dyDescent="0.2">
      <c r="C406" s="144"/>
      <c r="D406" s="144"/>
      <c r="E406" s="144"/>
      <c r="F406" s="373"/>
      <c r="H406" s="2168"/>
      <c r="I406" s="70"/>
    </row>
    <row r="407" spans="3:9" s="46" customFormat="1" x14ac:dyDescent="0.2">
      <c r="C407" s="144"/>
      <c r="D407" s="144"/>
      <c r="E407" s="144"/>
      <c r="F407" s="373"/>
      <c r="H407" s="2168"/>
      <c r="I407" s="70"/>
    </row>
    <row r="408" spans="3:9" s="46" customFormat="1" x14ac:dyDescent="0.2">
      <c r="C408" s="144"/>
      <c r="D408" s="144"/>
      <c r="E408" s="144"/>
      <c r="F408" s="373"/>
      <c r="H408" s="2168"/>
      <c r="I408" s="70"/>
    </row>
    <row r="409" spans="3:9" s="46" customFormat="1" x14ac:dyDescent="0.2">
      <c r="C409" s="144"/>
      <c r="D409" s="144"/>
      <c r="E409" s="144"/>
      <c r="F409" s="373"/>
      <c r="H409" s="2168"/>
      <c r="I409" s="70"/>
    </row>
    <row r="410" spans="3:9" s="46" customFormat="1" x14ac:dyDescent="0.2">
      <c r="C410" s="144"/>
      <c r="D410" s="144"/>
      <c r="E410" s="144"/>
      <c r="F410" s="373"/>
      <c r="H410" s="2168"/>
      <c r="I410" s="70"/>
    </row>
    <row r="411" spans="3:9" s="46" customFormat="1" x14ac:dyDescent="0.2">
      <c r="C411" s="144"/>
      <c r="D411" s="144"/>
      <c r="E411" s="144"/>
      <c r="F411" s="373"/>
      <c r="H411" s="2168"/>
      <c r="I411" s="70"/>
    </row>
    <row r="412" spans="3:9" s="46" customFormat="1" x14ac:dyDescent="0.2">
      <c r="C412" s="144"/>
      <c r="D412" s="144"/>
      <c r="E412" s="144"/>
      <c r="F412" s="373"/>
      <c r="H412" s="2168"/>
      <c r="I412" s="70"/>
    </row>
    <row r="413" spans="3:9" s="46" customFormat="1" x14ac:dyDescent="0.2">
      <c r="C413" s="144"/>
      <c r="D413" s="144"/>
      <c r="E413" s="144"/>
      <c r="F413" s="373"/>
      <c r="H413" s="2168"/>
      <c r="I413" s="70"/>
    </row>
    <row r="414" spans="3:9" s="46" customFormat="1" x14ac:dyDescent="0.2">
      <c r="C414" s="144"/>
      <c r="D414" s="144"/>
      <c r="E414" s="144"/>
      <c r="F414" s="373"/>
      <c r="H414" s="2168"/>
      <c r="I414" s="70"/>
    </row>
    <row r="415" spans="3:9" s="46" customFormat="1" x14ac:dyDescent="0.2">
      <c r="C415" s="144"/>
      <c r="D415" s="144"/>
      <c r="E415" s="144"/>
      <c r="F415" s="373"/>
      <c r="H415" s="2168"/>
      <c r="I415" s="70"/>
    </row>
    <row r="416" spans="3:9" s="46" customFormat="1" x14ac:dyDescent="0.2">
      <c r="C416" s="144"/>
      <c r="D416" s="144"/>
      <c r="E416" s="144"/>
      <c r="F416" s="373"/>
      <c r="H416" s="2168"/>
      <c r="I416" s="70"/>
    </row>
    <row r="417" spans="3:9" s="46" customFormat="1" x14ac:dyDescent="0.2">
      <c r="C417" s="144"/>
      <c r="D417" s="144"/>
      <c r="E417" s="144"/>
      <c r="F417" s="373"/>
      <c r="H417" s="2168"/>
      <c r="I417" s="70"/>
    </row>
    <row r="418" spans="3:9" s="46" customFormat="1" x14ac:dyDescent="0.2">
      <c r="C418" s="144"/>
      <c r="D418" s="144"/>
      <c r="E418" s="144"/>
      <c r="F418" s="373"/>
      <c r="H418" s="2168"/>
      <c r="I418" s="70"/>
    </row>
    <row r="419" spans="3:9" s="46" customFormat="1" x14ac:dyDescent="0.2">
      <c r="C419" s="144"/>
      <c r="D419" s="144"/>
      <c r="E419" s="144"/>
      <c r="F419" s="373"/>
      <c r="H419" s="2168"/>
      <c r="I419" s="70"/>
    </row>
    <row r="420" spans="3:9" s="46" customFormat="1" x14ac:dyDescent="0.2">
      <c r="C420" s="144"/>
      <c r="D420" s="144"/>
      <c r="E420" s="144"/>
      <c r="F420" s="373"/>
      <c r="H420" s="2168"/>
      <c r="I420" s="70"/>
    </row>
    <row r="421" spans="3:9" s="46" customFormat="1" x14ac:dyDescent="0.2">
      <c r="C421" s="144"/>
      <c r="D421" s="144"/>
      <c r="E421" s="144"/>
      <c r="F421" s="373"/>
      <c r="H421" s="2168"/>
      <c r="I421" s="70"/>
    </row>
    <row r="422" spans="3:9" s="46" customFormat="1" x14ac:dyDescent="0.2">
      <c r="C422" s="144"/>
      <c r="D422" s="144"/>
      <c r="E422" s="144"/>
      <c r="F422" s="373"/>
      <c r="H422" s="2168"/>
      <c r="I422" s="70"/>
    </row>
    <row r="423" spans="3:9" s="46" customFormat="1" x14ac:dyDescent="0.2">
      <c r="C423" s="144"/>
      <c r="D423" s="144"/>
      <c r="E423" s="144"/>
      <c r="F423" s="373"/>
      <c r="H423" s="2168"/>
      <c r="I423" s="70"/>
    </row>
    <row r="424" spans="3:9" s="46" customFormat="1" x14ac:dyDescent="0.2">
      <c r="C424" s="144"/>
      <c r="D424" s="144"/>
      <c r="E424" s="144"/>
      <c r="F424" s="373"/>
      <c r="H424" s="2168"/>
      <c r="I424" s="70"/>
    </row>
    <row r="425" spans="3:9" s="46" customFormat="1" x14ac:dyDescent="0.2">
      <c r="C425" s="144"/>
      <c r="D425" s="144"/>
      <c r="E425" s="144"/>
      <c r="F425" s="373"/>
      <c r="H425" s="2168"/>
      <c r="I425" s="70"/>
    </row>
    <row r="426" spans="3:9" s="46" customFormat="1" x14ac:dyDescent="0.2">
      <c r="C426" s="144"/>
      <c r="D426" s="144"/>
      <c r="E426" s="144"/>
      <c r="F426" s="373"/>
      <c r="H426" s="2168"/>
      <c r="I426" s="70"/>
    </row>
    <row r="427" spans="3:9" s="46" customFormat="1" x14ac:dyDescent="0.2">
      <c r="C427" s="144"/>
      <c r="D427" s="144"/>
      <c r="E427" s="144"/>
      <c r="F427" s="373"/>
      <c r="H427" s="2168"/>
      <c r="I427" s="70"/>
    </row>
    <row r="428" spans="3:9" s="46" customFormat="1" x14ac:dyDescent="0.2">
      <c r="C428" s="144"/>
      <c r="D428" s="144"/>
      <c r="E428" s="144"/>
      <c r="F428" s="373"/>
      <c r="H428" s="2168"/>
      <c r="I428" s="70"/>
    </row>
    <row r="429" spans="3:9" s="46" customFormat="1" x14ac:dyDescent="0.2">
      <c r="C429" s="144"/>
      <c r="D429" s="144"/>
      <c r="E429" s="144"/>
      <c r="F429" s="373"/>
      <c r="H429" s="2168"/>
      <c r="I429" s="70"/>
    </row>
    <row r="430" spans="3:9" s="46" customFormat="1" x14ac:dyDescent="0.2">
      <c r="C430" s="144"/>
      <c r="D430" s="144"/>
      <c r="E430" s="144"/>
      <c r="F430" s="373"/>
      <c r="H430" s="2168"/>
      <c r="I430" s="70"/>
    </row>
    <row r="431" spans="3:9" s="46" customFormat="1" x14ac:dyDescent="0.2">
      <c r="C431" s="144"/>
      <c r="D431" s="144"/>
      <c r="E431" s="144"/>
      <c r="F431" s="373"/>
      <c r="H431" s="2168"/>
      <c r="I431" s="70"/>
    </row>
    <row r="432" spans="3:9" s="46" customFormat="1" x14ac:dyDescent="0.2">
      <c r="C432" s="144"/>
      <c r="D432" s="144"/>
      <c r="E432" s="144"/>
      <c r="F432" s="373"/>
      <c r="H432" s="2168"/>
      <c r="I432" s="70"/>
    </row>
    <row r="433" spans="3:9" s="46" customFormat="1" x14ac:dyDescent="0.2">
      <c r="C433" s="144"/>
      <c r="D433" s="144"/>
      <c r="E433" s="144"/>
      <c r="F433" s="373"/>
      <c r="H433" s="2168"/>
      <c r="I433" s="70"/>
    </row>
    <row r="434" spans="3:9" s="46" customFormat="1" x14ac:dyDescent="0.2">
      <c r="C434" s="144"/>
      <c r="D434" s="144"/>
      <c r="E434" s="144"/>
      <c r="F434" s="373"/>
      <c r="H434" s="2168"/>
      <c r="I434" s="70"/>
    </row>
    <row r="435" spans="3:9" s="46" customFormat="1" x14ac:dyDescent="0.2">
      <c r="C435" s="144"/>
      <c r="D435" s="144"/>
      <c r="E435" s="144"/>
      <c r="F435" s="373"/>
      <c r="H435" s="2168"/>
      <c r="I435" s="70"/>
    </row>
    <row r="436" spans="3:9" s="46" customFormat="1" x14ac:dyDescent="0.2">
      <c r="C436" s="144"/>
      <c r="D436" s="144"/>
      <c r="E436" s="144"/>
      <c r="F436" s="373"/>
      <c r="H436" s="2168"/>
      <c r="I436" s="70"/>
    </row>
    <row r="437" spans="3:9" s="46" customFormat="1" x14ac:dyDescent="0.2">
      <c r="C437" s="144"/>
      <c r="D437" s="144"/>
      <c r="E437" s="144"/>
      <c r="F437" s="373"/>
      <c r="H437" s="2168"/>
      <c r="I437" s="70"/>
    </row>
    <row r="438" spans="3:9" s="46" customFormat="1" x14ac:dyDescent="0.2">
      <c r="C438" s="144"/>
      <c r="D438" s="144"/>
      <c r="E438" s="144"/>
      <c r="F438" s="373"/>
      <c r="H438" s="2168"/>
      <c r="I438" s="70"/>
    </row>
    <row r="439" spans="3:9" s="46" customFormat="1" x14ac:dyDescent="0.2">
      <c r="C439" s="144"/>
      <c r="D439" s="144"/>
      <c r="E439" s="144"/>
      <c r="F439" s="373"/>
      <c r="H439" s="2168"/>
      <c r="I439" s="70"/>
    </row>
    <row r="440" spans="3:9" s="46" customFormat="1" x14ac:dyDescent="0.2">
      <c r="C440" s="144"/>
      <c r="D440" s="144"/>
      <c r="E440" s="144"/>
      <c r="F440" s="373"/>
      <c r="H440" s="2168"/>
      <c r="I440" s="70"/>
    </row>
    <row r="441" spans="3:9" s="46" customFormat="1" x14ac:dyDescent="0.2">
      <c r="C441" s="144"/>
      <c r="D441" s="144"/>
      <c r="E441" s="144"/>
      <c r="F441" s="373"/>
      <c r="H441" s="2168"/>
      <c r="I441" s="70"/>
    </row>
    <row r="442" spans="3:9" s="46" customFormat="1" x14ac:dyDescent="0.2">
      <c r="C442" s="144"/>
      <c r="D442" s="144"/>
      <c r="E442" s="144"/>
      <c r="F442" s="373"/>
      <c r="H442" s="2168"/>
      <c r="I442" s="70"/>
    </row>
    <row r="443" spans="3:9" s="46" customFormat="1" x14ac:dyDescent="0.2">
      <c r="C443" s="144"/>
      <c r="D443" s="144"/>
      <c r="E443" s="144"/>
      <c r="F443" s="373"/>
      <c r="H443" s="2168"/>
      <c r="I443" s="70"/>
    </row>
    <row r="444" spans="3:9" s="46" customFormat="1" x14ac:dyDescent="0.2">
      <c r="C444" s="144"/>
      <c r="D444" s="144"/>
      <c r="E444" s="144"/>
      <c r="F444" s="373"/>
      <c r="H444" s="2168"/>
      <c r="I444" s="70"/>
    </row>
    <row r="445" spans="3:9" s="46" customFormat="1" x14ac:dyDescent="0.2">
      <c r="C445" s="144"/>
      <c r="D445" s="144"/>
      <c r="E445" s="144"/>
      <c r="F445" s="373"/>
      <c r="H445" s="2168"/>
      <c r="I445" s="70"/>
    </row>
    <row r="446" spans="3:9" s="46" customFormat="1" x14ac:dyDescent="0.2">
      <c r="C446" s="144"/>
      <c r="D446" s="144"/>
      <c r="E446" s="144"/>
      <c r="F446" s="373"/>
      <c r="H446" s="2168"/>
      <c r="I446" s="70"/>
    </row>
    <row r="447" spans="3:9" s="46" customFormat="1" x14ac:dyDescent="0.2">
      <c r="C447" s="144"/>
      <c r="D447" s="144"/>
      <c r="E447" s="144"/>
      <c r="F447" s="373"/>
      <c r="H447" s="2168"/>
      <c r="I447" s="70"/>
    </row>
    <row r="448" spans="3:9" s="46" customFormat="1" x14ac:dyDescent="0.2">
      <c r="C448" s="144"/>
      <c r="D448" s="144"/>
      <c r="E448" s="144"/>
      <c r="F448" s="373"/>
      <c r="H448" s="2168"/>
      <c r="I448" s="70"/>
    </row>
    <row r="449" spans="3:9" s="46" customFormat="1" x14ac:dyDescent="0.2">
      <c r="C449" s="144"/>
      <c r="D449" s="144"/>
      <c r="E449" s="144"/>
      <c r="F449" s="373"/>
      <c r="H449" s="2168"/>
      <c r="I449" s="70"/>
    </row>
    <row r="450" spans="3:9" s="46" customFormat="1" x14ac:dyDescent="0.2">
      <c r="C450" s="144"/>
      <c r="D450" s="144"/>
      <c r="E450" s="144"/>
      <c r="F450" s="373"/>
      <c r="H450" s="2168"/>
      <c r="I450" s="70"/>
    </row>
    <row r="451" spans="3:9" s="46" customFormat="1" x14ac:dyDescent="0.2">
      <c r="C451" s="144"/>
      <c r="D451" s="144"/>
      <c r="E451" s="144"/>
      <c r="F451" s="373"/>
      <c r="H451" s="2168"/>
      <c r="I451" s="70"/>
    </row>
    <row r="452" spans="3:9" s="46" customFormat="1" x14ac:dyDescent="0.2">
      <c r="C452" s="144"/>
      <c r="D452" s="144"/>
      <c r="E452" s="144"/>
      <c r="F452" s="373"/>
      <c r="H452" s="2168"/>
      <c r="I452" s="70"/>
    </row>
    <row r="453" spans="3:9" s="46" customFormat="1" x14ac:dyDescent="0.2">
      <c r="C453" s="144"/>
      <c r="D453" s="144"/>
      <c r="E453" s="144"/>
      <c r="F453" s="373"/>
      <c r="H453" s="2168"/>
      <c r="I453" s="70"/>
    </row>
    <row r="454" spans="3:9" s="46" customFormat="1" x14ac:dyDescent="0.2">
      <c r="C454" s="144"/>
      <c r="D454" s="144"/>
      <c r="E454" s="144"/>
      <c r="F454" s="373"/>
      <c r="H454" s="2168"/>
      <c r="I454" s="70"/>
    </row>
    <row r="455" spans="3:9" s="46" customFormat="1" x14ac:dyDescent="0.2">
      <c r="C455" s="144"/>
      <c r="D455" s="144"/>
      <c r="E455" s="144"/>
      <c r="F455" s="373"/>
      <c r="H455" s="2168"/>
      <c r="I455" s="70"/>
    </row>
    <row r="456" spans="3:9" s="46" customFormat="1" x14ac:dyDescent="0.2">
      <c r="C456" s="144"/>
      <c r="D456" s="144"/>
      <c r="E456" s="144"/>
      <c r="F456" s="373"/>
      <c r="H456" s="2168"/>
      <c r="I456" s="70"/>
    </row>
    <row r="457" spans="3:9" s="46" customFormat="1" x14ac:dyDescent="0.2">
      <c r="C457" s="144"/>
      <c r="D457" s="144"/>
      <c r="E457" s="144"/>
      <c r="F457" s="373"/>
      <c r="H457" s="2168"/>
      <c r="I457" s="70"/>
    </row>
    <row r="458" spans="3:9" s="46" customFormat="1" x14ac:dyDescent="0.2">
      <c r="C458" s="144"/>
      <c r="D458" s="144"/>
      <c r="E458" s="144"/>
      <c r="F458" s="373"/>
      <c r="H458" s="2168"/>
      <c r="I458" s="70"/>
    </row>
    <row r="459" spans="3:9" s="46" customFormat="1" x14ac:dyDescent="0.2">
      <c r="C459" s="144"/>
      <c r="D459" s="144"/>
      <c r="E459" s="144"/>
      <c r="F459" s="373"/>
      <c r="H459" s="2168"/>
      <c r="I459" s="70"/>
    </row>
    <row r="460" spans="3:9" s="46" customFormat="1" x14ac:dyDescent="0.2">
      <c r="C460" s="144"/>
      <c r="D460" s="144"/>
      <c r="E460" s="144"/>
      <c r="F460" s="373"/>
      <c r="H460" s="2168"/>
      <c r="I460" s="70"/>
    </row>
    <row r="461" spans="3:9" s="46" customFormat="1" x14ac:dyDescent="0.2">
      <c r="C461" s="144"/>
      <c r="D461" s="144"/>
      <c r="E461" s="144"/>
      <c r="F461" s="373"/>
      <c r="H461" s="2168"/>
      <c r="I461" s="70"/>
    </row>
    <row r="462" spans="3:9" s="46" customFormat="1" x14ac:dyDescent="0.2">
      <c r="C462" s="144"/>
      <c r="D462" s="144"/>
      <c r="E462" s="144"/>
      <c r="F462" s="373"/>
      <c r="H462" s="2168"/>
      <c r="I462" s="70"/>
    </row>
    <row r="463" spans="3:9" s="46" customFormat="1" x14ac:dyDescent="0.2">
      <c r="C463" s="144"/>
      <c r="D463" s="144"/>
      <c r="E463" s="144"/>
      <c r="F463" s="373"/>
      <c r="H463" s="2168"/>
      <c r="I463" s="70"/>
    </row>
    <row r="464" spans="3:9" s="46" customFormat="1" x14ac:dyDescent="0.2">
      <c r="C464" s="144"/>
      <c r="D464" s="144"/>
      <c r="E464" s="144"/>
      <c r="F464" s="373"/>
      <c r="H464" s="2168"/>
      <c r="I464" s="70"/>
    </row>
    <row r="465" spans="3:9" s="46" customFormat="1" x14ac:dyDescent="0.2">
      <c r="C465" s="144"/>
      <c r="D465" s="144"/>
      <c r="E465" s="144"/>
      <c r="F465" s="373"/>
      <c r="H465" s="2168"/>
      <c r="I465" s="70"/>
    </row>
    <row r="466" spans="3:9" s="46" customFormat="1" x14ac:dyDescent="0.2">
      <c r="C466" s="144"/>
      <c r="D466" s="144"/>
      <c r="E466" s="144"/>
      <c r="F466" s="373"/>
      <c r="H466" s="2168"/>
      <c r="I466" s="70"/>
    </row>
    <row r="467" spans="3:9" s="46" customFormat="1" x14ac:dyDescent="0.2">
      <c r="C467" s="144"/>
      <c r="D467" s="144"/>
      <c r="E467" s="144"/>
      <c r="F467" s="373"/>
      <c r="H467" s="2168"/>
      <c r="I467" s="70"/>
    </row>
    <row r="468" spans="3:9" s="46" customFormat="1" x14ac:dyDescent="0.2">
      <c r="C468" s="144"/>
      <c r="D468" s="144"/>
      <c r="E468" s="144"/>
      <c r="F468" s="373"/>
      <c r="H468" s="2168"/>
      <c r="I468" s="70"/>
    </row>
    <row r="469" spans="3:9" s="46" customFormat="1" x14ac:dyDescent="0.2">
      <c r="C469" s="144"/>
      <c r="D469" s="144"/>
      <c r="E469" s="144"/>
      <c r="F469" s="373"/>
      <c r="H469" s="2168"/>
      <c r="I469" s="70"/>
    </row>
    <row r="470" spans="3:9" s="46" customFormat="1" x14ac:dyDescent="0.2">
      <c r="C470" s="144"/>
      <c r="D470" s="144"/>
      <c r="E470" s="144"/>
      <c r="F470" s="373"/>
      <c r="H470" s="2168"/>
      <c r="I470" s="70"/>
    </row>
    <row r="471" spans="3:9" s="46" customFormat="1" x14ac:dyDescent="0.2">
      <c r="C471" s="144"/>
      <c r="D471" s="144"/>
      <c r="E471" s="144"/>
      <c r="F471" s="373"/>
      <c r="H471" s="2168"/>
      <c r="I471" s="70"/>
    </row>
    <row r="472" spans="3:9" s="46" customFormat="1" x14ac:dyDescent="0.2">
      <c r="C472" s="144"/>
      <c r="D472" s="144"/>
      <c r="E472" s="144"/>
      <c r="F472" s="373"/>
      <c r="H472" s="2168"/>
      <c r="I472" s="70"/>
    </row>
    <row r="473" spans="3:9" s="46" customFormat="1" x14ac:dyDescent="0.2">
      <c r="C473" s="144"/>
      <c r="D473" s="144"/>
      <c r="E473" s="144"/>
      <c r="F473" s="373"/>
      <c r="H473" s="2168"/>
      <c r="I473" s="70"/>
    </row>
    <row r="474" spans="3:9" s="46" customFormat="1" x14ac:dyDescent="0.2">
      <c r="C474" s="144"/>
      <c r="D474" s="144"/>
      <c r="E474" s="144"/>
      <c r="F474" s="373"/>
      <c r="H474" s="2168"/>
      <c r="I474" s="70"/>
    </row>
    <row r="475" spans="3:9" s="46" customFormat="1" x14ac:dyDescent="0.2">
      <c r="C475" s="144"/>
      <c r="D475" s="144"/>
      <c r="E475" s="144"/>
      <c r="F475" s="373"/>
      <c r="H475" s="2168"/>
      <c r="I475" s="70"/>
    </row>
    <row r="476" spans="3:9" s="46" customFormat="1" x14ac:dyDescent="0.2">
      <c r="C476" s="144"/>
      <c r="D476" s="144"/>
      <c r="E476" s="144"/>
      <c r="F476" s="373"/>
      <c r="H476" s="2168"/>
      <c r="I476" s="70"/>
    </row>
    <row r="477" spans="3:9" s="46" customFormat="1" x14ac:dyDescent="0.2">
      <c r="C477" s="144"/>
      <c r="D477" s="144"/>
      <c r="E477" s="144"/>
      <c r="F477" s="373"/>
      <c r="H477" s="2168"/>
      <c r="I477" s="70"/>
    </row>
    <row r="478" spans="3:9" s="46" customFormat="1" x14ac:dyDescent="0.2">
      <c r="C478" s="144"/>
      <c r="D478" s="144"/>
      <c r="E478" s="144"/>
      <c r="F478" s="373"/>
      <c r="H478" s="2168"/>
      <c r="I478" s="70"/>
    </row>
    <row r="479" spans="3:9" s="46" customFormat="1" x14ac:dyDescent="0.2">
      <c r="C479" s="144"/>
      <c r="D479" s="144"/>
      <c r="E479" s="144"/>
      <c r="F479" s="373"/>
      <c r="H479" s="2168"/>
      <c r="I479" s="70"/>
    </row>
    <row r="480" spans="3:9" s="46" customFormat="1" x14ac:dyDescent="0.2">
      <c r="C480" s="144"/>
      <c r="D480" s="144"/>
      <c r="E480" s="144"/>
      <c r="F480" s="373"/>
      <c r="H480" s="2168"/>
      <c r="I480" s="70"/>
    </row>
    <row r="481" spans="3:9" s="46" customFormat="1" x14ac:dyDescent="0.2">
      <c r="C481" s="144"/>
      <c r="D481" s="144"/>
      <c r="E481" s="144"/>
      <c r="F481" s="373"/>
      <c r="H481" s="2168"/>
      <c r="I481" s="70"/>
    </row>
    <row r="482" spans="3:9" s="46" customFormat="1" x14ac:dyDescent="0.2">
      <c r="C482" s="144"/>
      <c r="D482" s="144"/>
      <c r="E482" s="144"/>
      <c r="F482" s="373"/>
      <c r="H482" s="2168"/>
      <c r="I482" s="70"/>
    </row>
    <row r="483" spans="3:9" s="46" customFormat="1" x14ac:dyDescent="0.2">
      <c r="C483" s="144"/>
      <c r="D483" s="144"/>
      <c r="E483" s="144"/>
      <c r="F483" s="373"/>
      <c r="H483" s="2168"/>
      <c r="I483" s="70"/>
    </row>
    <row r="484" spans="3:9" s="46" customFormat="1" x14ac:dyDescent="0.2">
      <c r="C484" s="144"/>
      <c r="D484" s="144"/>
      <c r="E484" s="144"/>
      <c r="F484" s="373"/>
      <c r="H484" s="2168"/>
      <c r="I484" s="70"/>
    </row>
    <row r="485" spans="3:9" s="46" customFormat="1" x14ac:dyDescent="0.2">
      <c r="C485" s="144"/>
      <c r="D485" s="144"/>
      <c r="E485" s="144"/>
      <c r="F485" s="373"/>
      <c r="H485" s="2168"/>
      <c r="I485" s="70"/>
    </row>
    <row r="486" spans="3:9" s="46" customFormat="1" x14ac:dyDescent="0.2">
      <c r="C486" s="144"/>
      <c r="D486" s="144"/>
      <c r="E486" s="144"/>
      <c r="F486" s="373"/>
      <c r="H486" s="2168"/>
      <c r="I486" s="70"/>
    </row>
    <row r="487" spans="3:9" s="46" customFormat="1" x14ac:dyDescent="0.2">
      <c r="C487" s="144"/>
      <c r="D487" s="144"/>
      <c r="E487" s="144"/>
      <c r="F487" s="373"/>
      <c r="H487" s="2168"/>
      <c r="I487" s="70"/>
    </row>
    <row r="488" spans="3:9" s="46" customFormat="1" x14ac:dyDescent="0.2">
      <c r="C488" s="144"/>
      <c r="D488" s="144"/>
      <c r="E488" s="144"/>
      <c r="F488" s="373"/>
      <c r="H488" s="2168"/>
      <c r="I488" s="70"/>
    </row>
    <row r="489" spans="3:9" s="46" customFormat="1" x14ac:dyDescent="0.2">
      <c r="C489" s="144"/>
      <c r="D489" s="144"/>
      <c r="E489" s="144"/>
      <c r="F489" s="373"/>
      <c r="H489" s="2168"/>
      <c r="I489" s="70"/>
    </row>
    <row r="490" spans="3:9" s="46" customFormat="1" x14ac:dyDescent="0.2">
      <c r="C490" s="144"/>
      <c r="D490" s="144"/>
      <c r="E490" s="144"/>
      <c r="F490" s="373"/>
      <c r="H490" s="2168"/>
      <c r="I490" s="70"/>
    </row>
    <row r="491" spans="3:9" s="46" customFormat="1" x14ac:dyDescent="0.2">
      <c r="C491" s="144"/>
      <c r="D491" s="144"/>
      <c r="E491" s="144"/>
      <c r="F491" s="373"/>
      <c r="H491" s="2168"/>
      <c r="I491" s="70"/>
    </row>
    <row r="492" spans="3:9" s="46" customFormat="1" x14ac:dyDescent="0.2">
      <c r="C492" s="144"/>
      <c r="D492" s="144"/>
      <c r="E492" s="144"/>
      <c r="F492" s="373"/>
      <c r="H492" s="2168"/>
      <c r="I492" s="70"/>
    </row>
    <row r="493" spans="3:9" s="46" customFormat="1" x14ac:dyDescent="0.2">
      <c r="C493" s="144"/>
      <c r="D493" s="144"/>
      <c r="E493" s="144"/>
      <c r="F493" s="373"/>
      <c r="H493" s="2168"/>
      <c r="I493" s="70"/>
    </row>
    <row r="494" spans="3:9" s="46" customFormat="1" x14ac:dyDescent="0.2">
      <c r="C494" s="144"/>
      <c r="D494" s="144"/>
      <c r="E494" s="144"/>
      <c r="F494" s="373"/>
      <c r="H494" s="2168"/>
      <c r="I494" s="70"/>
    </row>
    <row r="495" spans="3:9" s="46" customFormat="1" x14ac:dyDescent="0.2">
      <c r="C495" s="144"/>
      <c r="D495" s="144"/>
      <c r="E495" s="144"/>
      <c r="F495" s="373"/>
      <c r="H495" s="2168"/>
      <c r="I495" s="70"/>
    </row>
    <row r="496" spans="3:9" s="46" customFormat="1" x14ac:dyDescent="0.2">
      <c r="C496" s="144"/>
      <c r="D496" s="144"/>
      <c r="E496" s="144"/>
      <c r="F496" s="373"/>
      <c r="H496" s="2168"/>
      <c r="I496" s="70"/>
    </row>
    <row r="497" spans="3:9" s="46" customFormat="1" x14ac:dyDescent="0.2">
      <c r="C497" s="144"/>
      <c r="D497" s="144"/>
      <c r="E497" s="144"/>
      <c r="F497" s="373"/>
      <c r="H497" s="2168"/>
      <c r="I497" s="70"/>
    </row>
    <row r="498" spans="3:9" s="46" customFormat="1" x14ac:dyDescent="0.2">
      <c r="C498" s="144"/>
      <c r="D498" s="144"/>
      <c r="E498" s="144"/>
      <c r="F498" s="373"/>
      <c r="H498" s="2168"/>
      <c r="I498" s="70"/>
    </row>
    <row r="499" spans="3:9" s="46" customFormat="1" x14ac:dyDescent="0.2">
      <c r="C499" s="144"/>
      <c r="D499" s="144"/>
      <c r="E499" s="144"/>
      <c r="F499" s="373"/>
      <c r="H499" s="2168"/>
      <c r="I499" s="70"/>
    </row>
    <row r="500" spans="3:9" s="46" customFormat="1" x14ac:dyDescent="0.2">
      <c r="C500" s="144"/>
      <c r="D500" s="144"/>
      <c r="E500" s="144"/>
      <c r="F500" s="373"/>
      <c r="H500" s="2168"/>
      <c r="I500" s="70"/>
    </row>
    <row r="501" spans="3:9" s="46" customFormat="1" x14ac:dyDescent="0.2">
      <c r="C501" s="144"/>
      <c r="D501" s="144"/>
      <c r="E501" s="144"/>
      <c r="F501" s="373"/>
      <c r="H501" s="2168"/>
      <c r="I501" s="70"/>
    </row>
    <row r="502" spans="3:9" s="46" customFormat="1" x14ac:dyDescent="0.2">
      <c r="C502" s="144"/>
      <c r="D502" s="144"/>
      <c r="E502" s="144"/>
      <c r="F502" s="373"/>
      <c r="H502" s="2168"/>
      <c r="I502" s="70"/>
    </row>
    <row r="503" spans="3:9" s="46" customFormat="1" x14ac:dyDescent="0.2">
      <c r="C503" s="144"/>
      <c r="D503" s="144"/>
      <c r="E503" s="144"/>
      <c r="F503" s="373"/>
      <c r="H503" s="2168"/>
      <c r="I503" s="70"/>
    </row>
    <row r="504" spans="3:9" s="46" customFormat="1" x14ac:dyDescent="0.2">
      <c r="C504" s="144"/>
      <c r="D504" s="144"/>
      <c r="E504" s="144"/>
      <c r="F504" s="373"/>
      <c r="H504" s="2168"/>
      <c r="I504" s="70"/>
    </row>
    <row r="505" spans="3:9" s="46" customFormat="1" x14ac:dyDescent="0.2">
      <c r="C505" s="144"/>
      <c r="D505" s="144"/>
      <c r="E505" s="144"/>
      <c r="F505" s="373"/>
      <c r="H505" s="2168"/>
      <c r="I505" s="70"/>
    </row>
    <row r="506" spans="3:9" s="46" customFormat="1" x14ac:dyDescent="0.2">
      <c r="C506" s="144"/>
      <c r="D506" s="144"/>
      <c r="E506" s="144"/>
      <c r="F506" s="373"/>
      <c r="H506" s="2168"/>
      <c r="I506" s="70"/>
    </row>
    <row r="507" spans="3:9" s="46" customFormat="1" x14ac:dyDescent="0.2">
      <c r="C507" s="144"/>
      <c r="D507" s="144"/>
      <c r="E507" s="144"/>
      <c r="F507" s="373"/>
      <c r="H507" s="2168"/>
      <c r="I507" s="70"/>
    </row>
    <row r="508" spans="3:9" s="46" customFormat="1" x14ac:dyDescent="0.2">
      <c r="C508" s="144"/>
      <c r="D508" s="144"/>
      <c r="E508" s="144"/>
      <c r="F508" s="373"/>
      <c r="H508" s="2168"/>
      <c r="I508" s="70"/>
    </row>
    <row r="509" spans="3:9" s="46" customFormat="1" x14ac:dyDescent="0.2">
      <c r="C509" s="144"/>
      <c r="D509" s="144"/>
      <c r="E509" s="144"/>
      <c r="F509" s="373"/>
      <c r="H509" s="2168"/>
      <c r="I509" s="70"/>
    </row>
    <row r="510" spans="3:9" s="46" customFormat="1" x14ac:dyDescent="0.2">
      <c r="C510" s="144"/>
      <c r="D510" s="144"/>
      <c r="E510" s="144"/>
      <c r="F510" s="373"/>
      <c r="H510" s="2168"/>
      <c r="I510" s="70"/>
    </row>
    <row r="511" spans="3:9" s="46" customFormat="1" x14ac:dyDescent="0.2">
      <c r="C511" s="144"/>
      <c r="D511" s="144"/>
      <c r="E511" s="144"/>
      <c r="F511" s="373"/>
      <c r="H511" s="2168"/>
      <c r="I511" s="70"/>
    </row>
    <row r="512" spans="3:9" s="46" customFormat="1" x14ac:dyDescent="0.2">
      <c r="C512" s="144"/>
      <c r="D512" s="144"/>
      <c r="E512" s="144"/>
      <c r="F512" s="373"/>
      <c r="H512" s="2168"/>
      <c r="I512" s="70"/>
    </row>
    <row r="513" spans="3:9" s="46" customFormat="1" x14ac:dyDescent="0.2">
      <c r="C513" s="144"/>
      <c r="D513" s="144"/>
      <c r="E513" s="144"/>
      <c r="F513" s="373"/>
      <c r="H513" s="2168"/>
      <c r="I513" s="70"/>
    </row>
    <row r="514" spans="3:9" s="46" customFormat="1" x14ac:dyDescent="0.2">
      <c r="C514" s="144"/>
      <c r="D514" s="144"/>
      <c r="E514" s="144"/>
      <c r="F514" s="373"/>
      <c r="H514" s="2168"/>
      <c r="I514" s="70"/>
    </row>
    <row r="515" spans="3:9" s="46" customFormat="1" x14ac:dyDescent="0.2">
      <c r="C515" s="144"/>
      <c r="D515" s="144"/>
      <c r="E515" s="144"/>
      <c r="F515" s="373"/>
      <c r="H515" s="2168"/>
      <c r="I515" s="70"/>
    </row>
    <row r="516" spans="3:9" s="46" customFormat="1" x14ac:dyDescent="0.2">
      <c r="C516" s="144"/>
      <c r="D516" s="144"/>
      <c r="E516" s="144"/>
      <c r="F516" s="373"/>
      <c r="H516" s="2168"/>
      <c r="I516" s="70"/>
    </row>
    <row r="517" spans="3:9" s="46" customFormat="1" x14ac:dyDescent="0.2">
      <c r="C517" s="144"/>
      <c r="D517" s="144"/>
      <c r="E517" s="144"/>
      <c r="F517" s="373"/>
      <c r="H517" s="2168"/>
      <c r="I517" s="70"/>
    </row>
    <row r="518" spans="3:9" s="46" customFormat="1" x14ac:dyDescent="0.2">
      <c r="C518" s="144"/>
      <c r="D518" s="144"/>
      <c r="E518" s="144"/>
      <c r="F518" s="373"/>
      <c r="H518" s="2168"/>
      <c r="I518" s="70"/>
    </row>
    <row r="519" spans="3:9" s="46" customFormat="1" x14ac:dyDescent="0.2">
      <c r="C519" s="144"/>
      <c r="D519" s="144"/>
      <c r="E519" s="144"/>
      <c r="F519" s="373"/>
      <c r="H519" s="2168"/>
      <c r="I519" s="70"/>
    </row>
    <row r="520" spans="3:9" s="46" customFormat="1" x14ac:dyDescent="0.2">
      <c r="C520" s="144"/>
      <c r="D520" s="144"/>
      <c r="E520" s="144"/>
      <c r="F520" s="373"/>
      <c r="H520" s="2168"/>
      <c r="I520" s="70"/>
    </row>
    <row r="521" spans="3:9" s="46" customFormat="1" x14ac:dyDescent="0.2">
      <c r="C521" s="144"/>
      <c r="D521" s="144"/>
      <c r="E521" s="144"/>
      <c r="F521" s="373"/>
      <c r="H521" s="2168"/>
      <c r="I521" s="70"/>
    </row>
    <row r="522" spans="3:9" s="46" customFormat="1" x14ac:dyDescent="0.2">
      <c r="C522" s="144"/>
      <c r="D522" s="144"/>
      <c r="E522" s="144"/>
      <c r="F522" s="373"/>
      <c r="H522" s="2168"/>
      <c r="I522" s="70"/>
    </row>
    <row r="523" spans="3:9" s="46" customFormat="1" x14ac:dyDescent="0.2">
      <c r="C523" s="144"/>
      <c r="D523" s="144"/>
      <c r="E523" s="144"/>
      <c r="F523" s="373"/>
      <c r="H523" s="2168"/>
      <c r="I523" s="70"/>
    </row>
    <row r="524" spans="3:9" s="46" customFormat="1" x14ac:dyDescent="0.2">
      <c r="C524" s="144"/>
      <c r="D524" s="144"/>
      <c r="E524" s="144"/>
      <c r="F524" s="373"/>
      <c r="H524" s="2168"/>
      <c r="I524" s="70"/>
    </row>
    <row r="525" spans="3:9" s="46" customFormat="1" x14ac:dyDescent="0.2">
      <c r="C525" s="144"/>
      <c r="D525" s="144"/>
      <c r="E525" s="144"/>
      <c r="F525" s="373"/>
      <c r="H525" s="2168"/>
      <c r="I525" s="70"/>
    </row>
    <row r="526" spans="3:9" s="46" customFormat="1" x14ac:dyDescent="0.2">
      <c r="C526" s="144"/>
      <c r="D526" s="144"/>
      <c r="E526" s="144"/>
      <c r="F526" s="373"/>
      <c r="H526" s="2168"/>
      <c r="I526" s="70"/>
    </row>
    <row r="527" spans="3:9" s="46" customFormat="1" x14ac:dyDescent="0.2">
      <c r="C527" s="144"/>
      <c r="D527" s="144"/>
      <c r="E527" s="144"/>
      <c r="F527" s="373"/>
      <c r="H527" s="2168"/>
      <c r="I527" s="70"/>
    </row>
    <row r="528" spans="3:9" s="46" customFormat="1" x14ac:dyDescent="0.2">
      <c r="C528" s="144"/>
      <c r="D528" s="144"/>
      <c r="E528" s="144"/>
      <c r="F528" s="373"/>
      <c r="H528" s="2168"/>
      <c r="I528" s="70"/>
    </row>
    <row r="529" spans="3:9" s="46" customFormat="1" x14ac:dyDescent="0.2">
      <c r="C529" s="144"/>
      <c r="D529" s="144"/>
      <c r="E529" s="144"/>
      <c r="F529" s="373"/>
      <c r="H529" s="2168"/>
      <c r="I529" s="70"/>
    </row>
    <row r="530" spans="3:9" s="46" customFormat="1" x14ac:dyDescent="0.2">
      <c r="C530" s="144"/>
      <c r="D530" s="144"/>
      <c r="E530" s="144"/>
      <c r="F530" s="373"/>
      <c r="H530" s="2168"/>
      <c r="I530" s="70"/>
    </row>
    <row r="531" spans="3:9" s="46" customFormat="1" x14ac:dyDescent="0.2">
      <c r="C531" s="144"/>
      <c r="D531" s="144"/>
      <c r="E531" s="144"/>
      <c r="F531" s="373"/>
      <c r="H531" s="2168"/>
      <c r="I531" s="70"/>
    </row>
    <row r="532" spans="3:9" s="46" customFormat="1" x14ac:dyDescent="0.2">
      <c r="C532" s="144"/>
      <c r="D532" s="144"/>
      <c r="E532" s="144"/>
      <c r="F532" s="373"/>
      <c r="H532" s="2168"/>
      <c r="I532" s="70"/>
    </row>
    <row r="533" spans="3:9" s="46" customFormat="1" x14ac:dyDescent="0.2">
      <c r="C533" s="144"/>
      <c r="D533" s="144"/>
      <c r="E533" s="144"/>
      <c r="F533" s="373"/>
      <c r="H533" s="2168"/>
      <c r="I533" s="70"/>
    </row>
    <row r="534" spans="3:9" s="46" customFormat="1" x14ac:dyDescent="0.2">
      <c r="C534" s="144"/>
      <c r="D534" s="144"/>
      <c r="E534" s="144"/>
      <c r="F534" s="373"/>
      <c r="H534" s="2168"/>
      <c r="I534" s="70"/>
    </row>
    <row r="535" spans="3:9" s="46" customFormat="1" x14ac:dyDescent="0.2">
      <c r="C535" s="144"/>
      <c r="D535" s="144"/>
      <c r="E535" s="144"/>
      <c r="F535" s="373"/>
      <c r="H535" s="2168"/>
      <c r="I535" s="70"/>
    </row>
    <row r="536" spans="3:9" s="46" customFormat="1" x14ac:dyDescent="0.2">
      <c r="C536" s="144"/>
      <c r="D536" s="144"/>
      <c r="E536" s="144"/>
      <c r="F536" s="373"/>
      <c r="H536" s="2168"/>
      <c r="I536" s="70"/>
    </row>
    <row r="537" spans="3:9" s="46" customFormat="1" x14ac:dyDescent="0.2">
      <c r="C537" s="144"/>
      <c r="D537" s="144"/>
      <c r="E537" s="144"/>
      <c r="F537" s="373"/>
      <c r="H537" s="2168"/>
      <c r="I537" s="70"/>
    </row>
    <row r="538" spans="3:9" s="46" customFormat="1" x14ac:dyDescent="0.2">
      <c r="C538" s="144"/>
      <c r="D538" s="144"/>
      <c r="E538" s="144"/>
      <c r="F538" s="373"/>
      <c r="H538" s="2168"/>
      <c r="I538" s="70"/>
    </row>
    <row r="539" spans="3:9" s="46" customFormat="1" x14ac:dyDescent="0.2">
      <c r="C539" s="144"/>
      <c r="D539" s="144"/>
      <c r="E539" s="144"/>
      <c r="F539" s="373"/>
      <c r="H539" s="2168"/>
      <c r="I539" s="70"/>
    </row>
    <row r="540" spans="3:9" s="46" customFormat="1" x14ac:dyDescent="0.2">
      <c r="C540" s="144"/>
      <c r="D540" s="144"/>
      <c r="E540" s="144"/>
      <c r="F540" s="373"/>
      <c r="H540" s="2168"/>
      <c r="I540" s="70"/>
    </row>
    <row r="541" spans="3:9" s="46" customFormat="1" x14ac:dyDescent="0.2">
      <c r="C541" s="144"/>
      <c r="D541" s="144"/>
      <c r="E541" s="144"/>
      <c r="F541" s="373"/>
      <c r="H541" s="2168"/>
      <c r="I541" s="70"/>
    </row>
    <row r="542" spans="3:9" s="46" customFormat="1" x14ac:dyDescent="0.2">
      <c r="C542" s="144"/>
      <c r="D542" s="144"/>
      <c r="E542" s="144"/>
      <c r="F542" s="373"/>
      <c r="H542" s="2168"/>
      <c r="I542" s="70"/>
    </row>
    <row r="543" spans="3:9" s="46" customFormat="1" x14ac:dyDescent="0.2">
      <c r="C543" s="144"/>
      <c r="D543" s="144"/>
      <c r="E543" s="144"/>
      <c r="F543" s="373"/>
      <c r="H543" s="2168"/>
      <c r="I543" s="70"/>
    </row>
    <row r="544" spans="3:9" s="46" customFormat="1" x14ac:dyDescent="0.2">
      <c r="C544" s="144"/>
      <c r="D544" s="144"/>
      <c r="E544" s="144"/>
      <c r="F544" s="373"/>
      <c r="H544" s="2168"/>
      <c r="I544" s="70"/>
    </row>
    <row r="545" spans="3:9" s="46" customFormat="1" x14ac:dyDescent="0.2">
      <c r="C545" s="144"/>
      <c r="D545" s="144"/>
      <c r="E545" s="144"/>
      <c r="F545" s="373"/>
      <c r="H545" s="2168"/>
      <c r="I545" s="70"/>
    </row>
    <row r="546" spans="3:9" s="46" customFormat="1" x14ac:dyDescent="0.2">
      <c r="C546" s="144"/>
      <c r="D546" s="144"/>
      <c r="E546" s="144"/>
      <c r="F546" s="373"/>
      <c r="H546" s="2168"/>
      <c r="I546" s="70"/>
    </row>
    <row r="547" spans="3:9" s="46" customFormat="1" x14ac:dyDescent="0.2">
      <c r="C547" s="144"/>
      <c r="D547" s="144"/>
      <c r="E547" s="144"/>
      <c r="F547" s="373"/>
      <c r="H547" s="2168"/>
      <c r="I547" s="70"/>
    </row>
    <row r="548" spans="3:9" s="46" customFormat="1" x14ac:dyDescent="0.2">
      <c r="C548" s="144"/>
      <c r="D548" s="144"/>
      <c r="E548" s="144"/>
      <c r="F548" s="373"/>
      <c r="H548" s="2168"/>
      <c r="I548" s="70"/>
    </row>
    <row r="549" spans="3:9" s="46" customFormat="1" x14ac:dyDescent="0.2">
      <c r="C549" s="144"/>
      <c r="D549" s="144"/>
      <c r="E549" s="144"/>
      <c r="F549" s="373"/>
      <c r="H549" s="2168"/>
      <c r="I549" s="70"/>
    </row>
    <row r="550" spans="3:9" s="46" customFormat="1" x14ac:dyDescent="0.2">
      <c r="C550" s="144"/>
      <c r="D550" s="144"/>
      <c r="E550" s="144"/>
      <c r="F550" s="373"/>
      <c r="H550" s="2168"/>
      <c r="I550" s="70"/>
    </row>
    <row r="551" spans="3:9" s="46" customFormat="1" x14ac:dyDescent="0.2">
      <c r="C551" s="144"/>
      <c r="D551" s="144"/>
      <c r="E551" s="144"/>
      <c r="F551" s="373"/>
      <c r="H551" s="2168"/>
      <c r="I551" s="70"/>
    </row>
    <row r="552" spans="3:9" s="46" customFormat="1" x14ac:dyDescent="0.2">
      <c r="C552" s="144"/>
      <c r="D552" s="144"/>
      <c r="E552" s="144"/>
      <c r="F552" s="373"/>
      <c r="H552" s="2168"/>
      <c r="I552" s="70"/>
    </row>
    <row r="553" spans="3:9" s="46" customFormat="1" x14ac:dyDescent="0.2">
      <c r="C553" s="144"/>
      <c r="D553" s="144"/>
      <c r="E553" s="144"/>
      <c r="F553" s="373"/>
      <c r="H553" s="2168"/>
      <c r="I553" s="70"/>
    </row>
    <row r="554" spans="3:9" s="46" customFormat="1" x14ac:dyDescent="0.2">
      <c r="C554" s="144"/>
      <c r="D554" s="144"/>
      <c r="E554" s="144"/>
      <c r="F554" s="373"/>
      <c r="H554" s="2168"/>
      <c r="I554" s="70"/>
    </row>
    <row r="555" spans="3:9" s="46" customFormat="1" x14ac:dyDescent="0.2">
      <c r="C555" s="144"/>
      <c r="D555" s="144"/>
      <c r="E555" s="144"/>
      <c r="F555" s="373"/>
      <c r="H555" s="2168"/>
      <c r="I555" s="70"/>
    </row>
    <row r="556" spans="3:9" s="46" customFormat="1" x14ac:dyDescent="0.2">
      <c r="C556" s="144"/>
      <c r="D556" s="144"/>
      <c r="E556" s="144"/>
      <c r="F556" s="373"/>
      <c r="H556" s="2168"/>
      <c r="I556" s="70"/>
    </row>
    <row r="557" spans="3:9" s="46" customFormat="1" x14ac:dyDescent="0.2">
      <c r="C557" s="144"/>
      <c r="D557" s="144"/>
      <c r="E557" s="144"/>
      <c r="F557" s="373"/>
      <c r="H557" s="2168"/>
      <c r="I557" s="70"/>
    </row>
    <row r="558" spans="3:9" s="46" customFormat="1" x14ac:dyDescent="0.2">
      <c r="C558" s="144"/>
      <c r="D558" s="144"/>
      <c r="E558" s="144"/>
      <c r="F558" s="373"/>
      <c r="H558" s="2168"/>
      <c r="I558" s="70"/>
    </row>
    <row r="559" spans="3:9" s="46" customFormat="1" x14ac:dyDescent="0.2">
      <c r="C559" s="144"/>
      <c r="D559" s="144"/>
      <c r="E559" s="144"/>
      <c r="F559" s="373"/>
      <c r="H559" s="2168"/>
      <c r="I559" s="70"/>
    </row>
    <row r="560" spans="3:9" s="46" customFormat="1" x14ac:dyDescent="0.2">
      <c r="C560" s="144"/>
      <c r="D560" s="144"/>
      <c r="E560" s="144"/>
      <c r="F560" s="373"/>
      <c r="H560" s="2168"/>
      <c r="I560" s="70"/>
    </row>
    <row r="561" spans="3:9" s="46" customFormat="1" x14ac:dyDescent="0.2">
      <c r="C561" s="144"/>
      <c r="D561" s="144"/>
      <c r="E561" s="144"/>
      <c r="F561" s="373"/>
      <c r="H561" s="2168"/>
      <c r="I561" s="70"/>
    </row>
    <row r="562" spans="3:9" s="46" customFormat="1" x14ac:dyDescent="0.2">
      <c r="C562" s="144"/>
      <c r="D562" s="144"/>
      <c r="E562" s="144"/>
      <c r="F562" s="373"/>
      <c r="H562" s="2168"/>
      <c r="I562" s="70"/>
    </row>
    <row r="563" spans="3:9" s="46" customFormat="1" x14ac:dyDescent="0.2">
      <c r="C563" s="144"/>
      <c r="D563" s="144"/>
      <c r="E563" s="144"/>
      <c r="F563" s="373"/>
      <c r="H563" s="2168"/>
      <c r="I563" s="70"/>
    </row>
    <row r="564" spans="3:9" s="46" customFormat="1" x14ac:dyDescent="0.2">
      <c r="C564" s="144"/>
      <c r="D564" s="144"/>
      <c r="E564" s="144"/>
      <c r="F564" s="373"/>
      <c r="H564" s="2168"/>
      <c r="I564" s="70"/>
    </row>
    <row r="565" spans="3:9" s="46" customFormat="1" x14ac:dyDescent="0.2">
      <c r="C565" s="144"/>
      <c r="D565" s="144"/>
      <c r="E565" s="144"/>
      <c r="F565" s="373"/>
      <c r="H565" s="2168"/>
      <c r="I565" s="70"/>
    </row>
    <row r="566" spans="3:9" s="46" customFormat="1" x14ac:dyDescent="0.2">
      <c r="C566" s="144"/>
      <c r="D566" s="144"/>
      <c r="E566" s="144"/>
      <c r="F566" s="373"/>
      <c r="H566" s="2168"/>
      <c r="I566" s="70"/>
    </row>
    <row r="567" spans="3:9" s="46" customFormat="1" x14ac:dyDescent="0.2">
      <c r="C567" s="144"/>
      <c r="D567" s="144"/>
      <c r="E567" s="144"/>
      <c r="F567" s="373"/>
      <c r="H567" s="2168"/>
      <c r="I567" s="70"/>
    </row>
    <row r="568" spans="3:9" s="46" customFormat="1" x14ac:dyDescent="0.2">
      <c r="C568" s="144"/>
      <c r="D568" s="144"/>
      <c r="E568" s="144"/>
      <c r="F568" s="373"/>
      <c r="H568" s="2168"/>
      <c r="I568" s="70"/>
    </row>
    <row r="569" spans="3:9" s="46" customFormat="1" x14ac:dyDescent="0.2">
      <c r="C569" s="144"/>
      <c r="D569" s="144"/>
      <c r="E569" s="144"/>
      <c r="F569" s="373"/>
      <c r="H569" s="2168"/>
      <c r="I569" s="70"/>
    </row>
    <row r="570" spans="3:9" s="46" customFormat="1" x14ac:dyDescent="0.2">
      <c r="C570" s="144"/>
      <c r="D570" s="144"/>
      <c r="E570" s="144"/>
      <c r="F570" s="373"/>
      <c r="H570" s="2168"/>
      <c r="I570" s="70"/>
    </row>
    <row r="571" spans="3:9" s="46" customFormat="1" x14ac:dyDescent="0.2">
      <c r="C571" s="144"/>
      <c r="D571" s="144"/>
      <c r="E571" s="144"/>
      <c r="F571" s="373"/>
      <c r="H571" s="2168"/>
      <c r="I571" s="70"/>
    </row>
    <row r="572" spans="3:9" s="46" customFormat="1" x14ac:dyDescent="0.2">
      <c r="C572" s="144"/>
      <c r="D572" s="144"/>
      <c r="E572" s="144"/>
      <c r="F572" s="373"/>
      <c r="H572" s="2168"/>
      <c r="I572" s="70"/>
    </row>
    <row r="573" spans="3:9" s="46" customFormat="1" x14ac:dyDescent="0.2">
      <c r="C573" s="144"/>
      <c r="D573" s="144"/>
      <c r="E573" s="144"/>
      <c r="F573" s="373"/>
      <c r="H573" s="2168"/>
      <c r="I573" s="70"/>
    </row>
    <row r="574" spans="3:9" s="46" customFormat="1" x14ac:dyDescent="0.2">
      <c r="C574" s="144"/>
      <c r="D574" s="144"/>
      <c r="E574" s="144"/>
      <c r="F574" s="373"/>
      <c r="H574" s="2168"/>
      <c r="I574" s="70"/>
    </row>
    <row r="575" spans="3:9" s="46" customFormat="1" x14ac:dyDescent="0.2">
      <c r="C575" s="144"/>
      <c r="D575" s="144"/>
      <c r="E575" s="144"/>
      <c r="F575" s="373"/>
      <c r="H575" s="2168"/>
      <c r="I575" s="70"/>
    </row>
    <row r="576" spans="3:9" s="46" customFormat="1" x14ac:dyDescent="0.2">
      <c r="C576" s="144"/>
      <c r="D576" s="144"/>
      <c r="E576" s="144"/>
      <c r="F576" s="373"/>
      <c r="H576" s="2168"/>
      <c r="I576" s="70"/>
    </row>
    <row r="577" spans="3:9" s="46" customFormat="1" x14ac:dyDescent="0.2">
      <c r="C577" s="144"/>
      <c r="D577" s="144"/>
      <c r="E577" s="144"/>
      <c r="F577" s="373"/>
      <c r="H577" s="2168"/>
      <c r="I577" s="70"/>
    </row>
    <row r="578" spans="3:9" s="46" customFormat="1" x14ac:dyDescent="0.2">
      <c r="C578" s="144"/>
      <c r="D578" s="144"/>
      <c r="E578" s="144"/>
      <c r="F578" s="373"/>
      <c r="H578" s="2168"/>
      <c r="I578" s="70"/>
    </row>
    <row r="579" spans="3:9" s="46" customFormat="1" x14ac:dyDescent="0.2">
      <c r="C579" s="144"/>
      <c r="D579" s="144"/>
      <c r="E579" s="144"/>
      <c r="F579" s="373"/>
      <c r="H579" s="2168"/>
      <c r="I579" s="70"/>
    </row>
    <row r="580" spans="3:9" s="46" customFormat="1" x14ac:dyDescent="0.2">
      <c r="C580" s="144"/>
      <c r="D580" s="144"/>
      <c r="E580" s="144"/>
      <c r="F580" s="373"/>
      <c r="H580" s="2168"/>
      <c r="I580" s="70"/>
    </row>
    <row r="581" spans="3:9" s="46" customFormat="1" x14ac:dyDescent="0.2">
      <c r="C581" s="144"/>
      <c r="D581" s="144"/>
      <c r="E581" s="144"/>
      <c r="F581" s="373"/>
      <c r="H581" s="2168"/>
      <c r="I581" s="70"/>
    </row>
    <row r="582" spans="3:9" s="46" customFormat="1" x14ac:dyDescent="0.2">
      <c r="C582" s="144"/>
      <c r="D582" s="144"/>
      <c r="E582" s="144"/>
      <c r="F582" s="373"/>
      <c r="H582" s="2168"/>
      <c r="I582" s="70"/>
    </row>
    <row r="583" spans="3:9" s="46" customFormat="1" x14ac:dyDescent="0.2">
      <c r="C583" s="144"/>
      <c r="D583" s="144"/>
      <c r="E583" s="144"/>
      <c r="F583" s="373"/>
      <c r="H583" s="2168"/>
      <c r="I583" s="70"/>
    </row>
    <row r="584" spans="3:9" s="46" customFormat="1" x14ac:dyDescent="0.2">
      <c r="C584" s="144"/>
      <c r="D584" s="144"/>
      <c r="E584" s="144"/>
      <c r="F584" s="373"/>
      <c r="H584" s="2168"/>
      <c r="I584" s="70"/>
    </row>
    <row r="585" spans="3:9" s="46" customFormat="1" x14ac:dyDescent="0.2">
      <c r="C585" s="144"/>
      <c r="D585" s="144"/>
      <c r="E585" s="144"/>
      <c r="F585" s="373"/>
      <c r="H585" s="2168"/>
      <c r="I585" s="70"/>
    </row>
    <row r="586" spans="3:9" s="46" customFormat="1" x14ac:dyDescent="0.2">
      <c r="C586" s="144"/>
      <c r="D586" s="144"/>
      <c r="E586" s="144"/>
      <c r="F586" s="373"/>
      <c r="H586" s="2168"/>
      <c r="I586" s="70"/>
    </row>
    <row r="587" spans="3:9" s="46" customFormat="1" x14ac:dyDescent="0.2">
      <c r="C587" s="144"/>
      <c r="D587" s="144"/>
      <c r="E587" s="144"/>
      <c r="F587" s="373"/>
      <c r="H587" s="2168"/>
      <c r="I587" s="70"/>
    </row>
    <row r="588" spans="3:9" s="46" customFormat="1" x14ac:dyDescent="0.2">
      <c r="C588" s="144"/>
      <c r="D588" s="144"/>
      <c r="E588" s="144"/>
      <c r="F588" s="373"/>
      <c r="H588" s="2168"/>
      <c r="I588" s="70"/>
    </row>
    <row r="589" spans="3:9" s="46" customFormat="1" x14ac:dyDescent="0.2">
      <c r="C589" s="144"/>
      <c r="D589" s="144"/>
      <c r="E589" s="144"/>
      <c r="F589" s="373"/>
      <c r="H589" s="2168"/>
      <c r="I589" s="70"/>
    </row>
    <row r="590" spans="3:9" s="46" customFormat="1" x14ac:dyDescent="0.2">
      <c r="C590" s="144"/>
      <c r="D590" s="144"/>
      <c r="E590" s="144"/>
      <c r="F590" s="373"/>
      <c r="H590" s="2168"/>
      <c r="I590" s="70"/>
    </row>
    <row r="591" spans="3:9" s="46" customFormat="1" x14ac:dyDescent="0.2">
      <c r="C591" s="144"/>
      <c r="D591" s="144"/>
      <c r="E591" s="144"/>
      <c r="F591" s="373"/>
      <c r="H591" s="2168"/>
      <c r="I591" s="70"/>
    </row>
    <row r="592" spans="3:9" s="46" customFormat="1" x14ac:dyDescent="0.2">
      <c r="C592" s="144"/>
      <c r="D592" s="144"/>
      <c r="E592" s="144"/>
      <c r="F592" s="373"/>
      <c r="H592" s="2168"/>
      <c r="I592" s="70"/>
    </row>
    <row r="593" spans="3:9" s="46" customFormat="1" x14ac:dyDescent="0.2">
      <c r="C593" s="144"/>
      <c r="D593" s="144"/>
      <c r="E593" s="144"/>
      <c r="F593" s="373"/>
      <c r="H593" s="2168"/>
      <c r="I593" s="70"/>
    </row>
    <row r="594" spans="3:9" s="46" customFormat="1" x14ac:dyDescent="0.2">
      <c r="C594" s="144"/>
      <c r="D594" s="144"/>
      <c r="E594" s="144"/>
      <c r="F594" s="373"/>
      <c r="H594" s="2168"/>
      <c r="I594" s="70"/>
    </row>
    <row r="595" spans="3:9" s="46" customFormat="1" x14ac:dyDescent="0.2">
      <c r="C595" s="144"/>
      <c r="D595" s="144"/>
      <c r="E595" s="144"/>
      <c r="F595" s="373"/>
      <c r="H595" s="2168"/>
      <c r="I595" s="70"/>
    </row>
    <row r="596" spans="3:9" s="46" customFormat="1" x14ac:dyDescent="0.2">
      <c r="C596" s="144"/>
      <c r="D596" s="144"/>
      <c r="E596" s="144"/>
      <c r="F596" s="373"/>
      <c r="H596" s="2168"/>
      <c r="I596" s="70"/>
    </row>
    <row r="597" spans="3:9" s="46" customFormat="1" x14ac:dyDescent="0.2">
      <c r="C597" s="144"/>
      <c r="D597" s="144"/>
      <c r="E597" s="144"/>
      <c r="F597" s="373"/>
      <c r="H597" s="2168"/>
      <c r="I597" s="70"/>
    </row>
    <row r="598" spans="3:9" s="46" customFormat="1" x14ac:dyDescent="0.2">
      <c r="C598" s="144"/>
      <c r="D598" s="144"/>
      <c r="E598" s="144"/>
      <c r="F598" s="373"/>
      <c r="H598" s="2168"/>
      <c r="I598" s="70"/>
    </row>
    <row r="599" spans="3:9" s="46" customFormat="1" x14ac:dyDescent="0.2">
      <c r="C599" s="144"/>
      <c r="D599" s="144"/>
      <c r="E599" s="144"/>
      <c r="F599" s="373"/>
      <c r="H599" s="2168"/>
      <c r="I599" s="70"/>
    </row>
    <row r="600" spans="3:9" s="46" customFormat="1" x14ac:dyDescent="0.2">
      <c r="C600" s="144"/>
      <c r="D600" s="144"/>
      <c r="E600" s="144"/>
      <c r="F600" s="373"/>
      <c r="H600" s="2168"/>
      <c r="I600" s="70"/>
    </row>
    <row r="601" spans="3:9" s="46" customFormat="1" x14ac:dyDescent="0.2">
      <c r="C601" s="144"/>
      <c r="D601" s="144"/>
      <c r="E601" s="144"/>
      <c r="F601" s="373"/>
      <c r="H601" s="2168"/>
      <c r="I601" s="70"/>
    </row>
    <row r="602" spans="3:9" s="46" customFormat="1" x14ac:dyDescent="0.2">
      <c r="C602" s="144"/>
      <c r="D602" s="144"/>
      <c r="E602" s="144"/>
      <c r="F602" s="373"/>
      <c r="H602" s="2168"/>
      <c r="I602" s="70"/>
    </row>
    <row r="603" spans="3:9" s="46" customFormat="1" x14ac:dyDescent="0.2">
      <c r="C603" s="144"/>
      <c r="D603" s="144"/>
      <c r="E603" s="144"/>
      <c r="F603" s="373"/>
      <c r="H603" s="2168"/>
      <c r="I603" s="70"/>
    </row>
    <row r="604" spans="3:9" s="46" customFormat="1" x14ac:dyDescent="0.2">
      <c r="C604" s="144"/>
      <c r="D604" s="144"/>
      <c r="E604" s="144"/>
      <c r="F604" s="373"/>
      <c r="H604" s="2168"/>
      <c r="I604" s="70"/>
    </row>
    <row r="605" spans="3:9" s="46" customFormat="1" x14ac:dyDescent="0.2">
      <c r="C605" s="144"/>
      <c r="D605" s="144"/>
      <c r="E605" s="144"/>
      <c r="F605" s="373"/>
      <c r="H605" s="2168"/>
      <c r="I605" s="70"/>
    </row>
    <row r="606" spans="3:9" s="46" customFormat="1" x14ac:dyDescent="0.2">
      <c r="C606" s="144"/>
      <c r="D606" s="144"/>
      <c r="E606" s="144"/>
      <c r="F606" s="373"/>
      <c r="H606" s="2168"/>
      <c r="I606" s="70"/>
    </row>
    <row r="607" spans="3:9" s="46" customFormat="1" x14ac:dyDescent="0.2">
      <c r="C607" s="144"/>
      <c r="D607" s="144"/>
      <c r="E607" s="144"/>
      <c r="F607" s="373"/>
      <c r="H607" s="2168"/>
      <c r="I607" s="70"/>
    </row>
    <row r="608" spans="3:9" s="46" customFormat="1" x14ac:dyDescent="0.2">
      <c r="C608" s="144"/>
      <c r="D608" s="144"/>
      <c r="E608" s="144"/>
      <c r="F608" s="373"/>
      <c r="H608" s="2168"/>
      <c r="I608" s="70"/>
    </row>
    <row r="609" spans="3:9" s="46" customFormat="1" x14ac:dyDescent="0.2">
      <c r="C609" s="144"/>
      <c r="D609" s="144"/>
      <c r="E609" s="144"/>
      <c r="F609" s="373"/>
      <c r="H609" s="2168"/>
      <c r="I609" s="70"/>
    </row>
    <row r="610" spans="3:9" s="46" customFormat="1" x14ac:dyDescent="0.2">
      <c r="C610" s="144"/>
      <c r="D610" s="144"/>
      <c r="E610" s="144"/>
      <c r="F610" s="373"/>
      <c r="H610" s="2168"/>
      <c r="I610" s="70"/>
    </row>
    <row r="611" spans="3:9" s="46" customFormat="1" x14ac:dyDescent="0.2">
      <c r="C611" s="144"/>
      <c r="D611" s="144"/>
      <c r="E611" s="144"/>
      <c r="F611" s="373"/>
      <c r="H611" s="2168"/>
      <c r="I611" s="70"/>
    </row>
    <row r="612" spans="3:9" s="46" customFormat="1" x14ac:dyDescent="0.2">
      <c r="C612" s="144"/>
      <c r="D612" s="144"/>
      <c r="E612" s="144"/>
      <c r="F612" s="373"/>
      <c r="H612" s="2168"/>
      <c r="I612" s="70"/>
    </row>
    <row r="613" spans="3:9" s="46" customFormat="1" x14ac:dyDescent="0.2">
      <c r="C613" s="144"/>
      <c r="D613" s="144"/>
      <c r="E613" s="144"/>
      <c r="F613" s="373"/>
      <c r="H613" s="2168"/>
      <c r="I613" s="70"/>
    </row>
    <row r="614" spans="3:9" s="46" customFormat="1" x14ac:dyDescent="0.2">
      <c r="C614" s="144"/>
      <c r="D614" s="144"/>
      <c r="E614" s="144"/>
      <c r="F614" s="373"/>
      <c r="H614" s="2168"/>
      <c r="I614" s="70"/>
    </row>
    <row r="615" spans="3:9" s="46" customFormat="1" x14ac:dyDescent="0.2">
      <c r="C615" s="144"/>
      <c r="D615" s="144"/>
      <c r="E615" s="144"/>
      <c r="F615" s="373"/>
      <c r="H615" s="2168"/>
      <c r="I615" s="70"/>
    </row>
    <row r="616" spans="3:9" s="46" customFormat="1" x14ac:dyDescent="0.2">
      <c r="C616" s="144"/>
      <c r="D616" s="144"/>
      <c r="E616" s="144"/>
      <c r="F616" s="373"/>
      <c r="H616" s="2168"/>
      <c r="I616" s="70"/>
    </row>
    <row r="617" spans="3:9" s="46" customFormat="1" x14ac:dyDescent="0.2">
      <c r="C617" s="144"/>
      <c r="D617" s="144"/>
      <c r="E617" s="144"/>
      <c r="F617" s="373"/>
      <c r="H617" s="2168"/>
      <c r="I617" s="70"/>
    </row>
    <row r="618" spans="3:9" s="46" customFormat="1" x14ac:dyDescent="0.2">
      <c r="C618" s="144"/>
      <c r="D618" s="144"/>
      <c r="E618" s="144"/>
      <c r="F618" s="373"/>
      <c r="H618" s="2168"/>
      <c r="I618" s="70"/>
    </row>
    <row r="619" spans="3:9" s="46" customFormat="1" x14ac:dyDescent="0.2">
      <c r="C619" s="144"/>
      <c r="D619" s="144"/>
      <c r="E619" s="144"/>
      <c r="F619" s="373"/>
      <c r="H619" s="2168"/>
      <c r="I619" s="70"/>
    </row>
    <row r="620" spans="3:9" s="46" customFormat="1" x14ac:dyDescent="0.2">
      <c r="C620" s="144"/>
      <c r="D620" s="144"/>
      <c r="E620" s="144"/>
      <c r="F620" s="373"/>
      <c r="H620" s="2168"/>
      <c r="I620" s="70"/>
    </row>
    <row r="621" spans="3:9" s="46" customFormat="1" x14ac:dyDescent="0.2">
      <c r="C621" s="144"/>
      <c r="D621" s="144"/>
      <c r="E621" s="144"/>
      <c r="F621" s="373"/>
      <c r="H621" s="2168"/>
      <c r="I621" s="70"/>
    </row>
    <row r="622" spans="3:9" s="46" customFormat="1" x14ac:dyDescent="0.2">
      <c r="C622" s="144"/>
      <c r="D622" s="144"/>
      <c r="E622" s="144"/>
      <c r="F622" s="373"/>
      <c r="H622" s="2168"/>
      <c r="I622" s="70"/>
    </row>
    <row r="623" spans="3:9" s="46" customFormat="1" x14ac:dyDescent="0.2">
      <c r="C623" s="144"/>
      <c r="D623" s="144"/>
      <c r="E623" s="144"/>
      <c r="F623" s="373"/>
      <c r="H623" s="2168"/>
      <c r="I623" s="70"/>
    </row>
    <row r="624" spans="3:9" s="46" customFormat="1" x14ac:dyDescent="0.2">
      <c r="C624" s="144"/>
      <c r="D624" s="144"/>
      <c r="E624" s="144"/>
      <c r="F624" s="373"/>
      <c r="H624" s="2168"/>
      <c r="I624" s="70"/>
    </row>
    <row r="625" spans="3:9" s="46" customFormat="1" x14ac:dyDescent="0.2">
      <c r="C625" s="144"/>
      <c r="D625" s="144"/>
      <c r="E625" s="144"/>
      <c r="F625" s="373"/>
      <c r="H625" s="2168"/>
      <c r="I625" s="70"/>
    </row>
    <row r="626" spans="3:9" s="46" customFormat="1" x14ac:dyDescent="0.2">
      <c r="C626" s="144"/>
      <c r="D626" s="144"/>
      <c r="E626" s="144"/>
      <c r="F626" s="373"/>
      <c r="H626" s="2168"/>
      <c r="I626" s="70"/>
    </row>
    <row r="627" spans="3:9" s="46" customFormat="1" x14ac:dyDescent="0.2">
      <c r="C627" s="144"/>
      <c r="D627" s="144"/>
      <c r="E627" s="144"/>
      <c r="F627" s="373"/>
      <c r="H627" s="2168"/>
      <c r="I627" s="70"/>
    </row>
    <row r="628" spans="3:9" s="46" customFormat="1" x14ac:dyDescent="0.2">
      <c r="C628" s="144"/>
      <c r="D628" s="144"/>
      <c r="E628" s="144"/>
      <c r="F628" s="373"/>
      <c r="H628" s="2168"/>
      <c r="I628" s="70"/>
    </row>
    <row r="629" spans="3:9" s="46" customFormat="1" x14ac:dyDescent="0.2">
      <c r="C629" s="144"/>
      <c r="D629" s="144"/>
      <c r="E629" s="144"/>
      <c r="F629" s="373"/>
      <c r="H629" s="2168"/>
      <c r="I629" s="70"/>
    </row>
    <row r="630" spans="3:9" s="46" customFormat="1" x14ac:dyDescent="0.2">
      <c r="C630" s="144"/>
      <c r="D630" s="144"/>
      <c r="E630" s="144"/>
      <c r="F630" s="373"/>
      <c r="H630" s="2168"/>
      <c r="I630" s="70"/>
    </row>
    <row r="631" spans="3:9" s="46" customFormat="1" x14ac:dyDescent="0.2">
      <c r="C631" s="144"/>
      <c r="D631" s="144"/>
      <c r="E631" s="144"/>
      <c r="F631" s="373"/>
      <c r="H631" s="2168"/>
      <c r="I631" s="70"/>
    </row>
    <row r="632" spans="3:9" s="46" customFormat="1" x14ac:dyDescent="0.2">
      <c r="C632" s="144"/>
      <c r="D632" s="144"/>
      <c r="E632" s="144"/>
      <c r="F632" s="373"/>
      <c r="H632" s="2168"/>
      <c r="I632" s="70"/>
    </row>
    <row r="633" spans="3:9" s="46" customFormat="1" x14ac:dyDescent="0.2">
      <c r="C633" s="144"/>
      <c r="D633" s="144"/>
      <c r="E633" s="144"/>
      <c r="F633" s="373"/>
      <c r="H633" s="2168"/>
      <c r="I633" s="70"/>
    </row>
    <row r="634" spans="3:9" s="46" customFormat="1" x14ac:dyDescent="0.2">
      <c r="C634" s="144"/>
      <c r="D634" s="144"/>
      <c r="E634" s="144"/>
      <c r="F634" s="373"/>
      <c r="H634" s="2168"/>
      <c r="I634" s="70"/>
    </row>
    <row r="635" spans="3:9" s="46" customFormat="1" x14ac:dyDescent="0.2">
      <c r="C635" s="144"/>
      <c r="D635" s="144"/>
      <c r="E635" s="144"/>
      <c r="F635" s="373"/>
      <c r="H635" s="2168"/>
      <c r="I635" s="70"/>
    </row>
    <row r="636" spans="3:9" s="46" customFormat="1" x14ac:dyDescent="0.2">
      <c r="C636" s="144"/>
      <c r="D636" s="144"/>
      <c r="E636" s="144"/>
      <c r="F636" s="373"/>
      <c r="H636" s="2168"/>
      <c r="I636" s="70"/>
    </row>
    <row r="637" spans="3:9" s="46" customFormat="1" x14ac:dyDescent="0.2">
      <c r="C637" s="144"/>
      <c r="D637" s="144"/>
      <c r="E637" s="144"/>
      <c r="F637" s="373"/>
      <c r="H637" s="2168"/>
      <c r="I637" s="70"/>
    </row>
    <row r="638" spans="3:9" s="46" customFormat="1" x14ac:dyDescent="0.2">
      <c r="C638" s="144"/>
      <c r="D638" s="144"/>
      <c r="E638" s="144"/>
      <c r="F638" s="373"/>
      <c r="H638" s="2168"/>
      <c r="I638" s="70"/>
    </row>
    <row r="639" spans="3:9" s="46" customFormat="1" x14ac:dyDescent="0.2">
      <c r="C639" s="144"/>
      <c r="D639" s="144"/>
      <c r="E639" s="144"/>
      <c r="F639" s="373"/>
      <c r="H639" s="2168"/>
      <c r="I639" s="70"/>
    </row>
    <row r="640" spans="3:9" s="46" customFormat="1" x14ac:dyDescent="0.2">
      <c r="C640" s="144"/>
      <c r="D640" s="144"/>
      <c r="E640" s="144"/>
      <c r="F640" s="373"/>
      <c r="H640" s="2168"/>
      <c r="I640" s="70"/>
    </row>
    <row r="641" spans="3:9" s="46" customFormat="1" x14ac:dyDescent="0.2">
      <c r="C641" s="144"/>
      <c r="D641" s="144"/>
      <c r="E641" s="144"/>
      <c r="F641" s="373"/>
      <c r="H641" s="2168"/>
      <c r="I641" s="70"/>
    </row>
    <row r="642" spans="3:9" s="46" customFormat="1" x14ac:dyDescent="0.2">
      <c r="C642" s="144"/>
      <c r="D642" s="144"/>
      <c r="E642" s="144"/>
      <c r="F642" s="373"/>
      <c r="H642" s="2168"/>
      <c r="I642" s="70"/>
    </row>
    <row r="643" spans="3:9" s="46" customFormat="1" x14ac:dyDescent="0.2">
      <c r="C643" s="144"/>
      <c r="D643" s="144"/>
      <c r="E643" s="144"/>
      <c r="F643" s="373"/>
      <c r="H643" s="2168"/>
      <c r="I643" s="70"/>
    </row>
    <row r="644" spans="3:9" s="46" customFormat="1" x14ac:dyDescent="0.2">
      <c r="C644" s="144"/>
      <c r="D644" s="144"/>
      <c r="E644" s="144"/>
      <c r="F644" s="373"/>
      <c r="H644" s="2168"/>
      <c r="I644" s="70"/>
    </row>
    <row r="645" spans="3:9" s="46" customFormat="1" x14ac:dyDescent="0.2">
      <c r="C645" s="144"/>
      <c r="D645" s="144"/>
      <c r="E645" s="144"/>
      <c r="F645" s="373"/>
      <c r="H645" s="2168"/>
      <c r="I645" s="70"/>
    </row>
    <row r="646" spans="3:9" s="46" customFormat="1" x14ac:dyDescent="0.2">
      <c r="C646" s="144"/>
      <c r="D646" s="144"/>
      <c r="E646" s="144"/>
      <c r="F646" s="373"/>
      <c r="H646" s="2168"/>
      <c r="I646" s="70"/>
    </row>
    <row r="647" spans="3:9" s="46" customFormat="1" x14ac:dyDescent="0.2">
      <c r="C647" s="144"/>
      <c r="D647" s="144"/>
      <c r="E647" s="144"/>
      <c r="F647" s="373"/>
      <c r="H647" s="2168"/>
      <c r="I647" s="70"/>
    </row>
    <row r="648" spans="3:9" s="46" customFormat="1" x14ac:dyDescent="0.2">
      <c r="C648" s="144"/>
      <c r="D648" s="144"/>
      <c r="E648" s="144"/>
      <c r="F648" s="373"/>
      <c r="H648" s="2168"/>
      <c r="I648" s="70"/>
    </row>
    <row r="649" spans="3:9" s="46" customFormat="1" x14ac:dyDescent="0.2">
      <c r="C649" s="144"/>
      <c r="D649" s="144"/>
      <c r="E649" s="144"/>
      <c r="F649" s="373"/>
      <c r="H649" s="2168"/>
      <c r="I649" s="70"/>
    </row>
    <row r="650" spans="3:9" s="46" customFormat="1" x14ac:dyDescent="0.2">
      <c r="C650" s="144"/>
      <c r="D650" s="144"/>
      <c r="E650" s="144"/>
      <c r="F650" s="373"/>
      <c r="H650" s="2168"/>
      <c r="I650" s="70"/>
    </row>
    <row r="651" spans="3:9" s="46" customFormat="1" x14ac:dyDescent="0.2">
      <c r="C651" s="144"/>
      <c r="D651" s="144"/>
      <c r="E651" s="144"/>
      <c r="F651" s="373"/>
      <c r="H651" s="2168"/>
      <c r="I651" s="70"/>
    </row>
    <row r="652" spans="3:9" s="46" customFormat="1" x14ac:dyDescent="0.2">
      <c r="C652" s="144"/>
      <c r="D652" s="144"/>
      <c r="E652" s="144"/>
      <c r="F652" s="373"/>
      <c r="H652" s="2168"/>
      <c r="I652" s="70"/>
    </row>
    <row r="653" spans="3:9" s="46" customFormat="1" x14ac:dyDescent="0.2">
      <c r="C653" s="144"/>
      <c r="D653" s="144"/>
      <c r="E653" s="144"/>
      <c r="F653" s="373"/>
      <c r="H653" s="2168"/>
      <c r="I653" s="70"/>
    </row>
    <row r="654" spans="3:9" s="46" customFormat="1" x14ac:dyDescent="0.2">
      <c r="C654" s="144"/>
      <c r="D654" s="144"/>
      <c r="E654" s="144"/>
      <c r="F654" s="373"/>
      <c r="H654" s="2168"/>
      <c r="I654" s="70"/>
    </row>
    <row r="655" spans="3:9" s="46" customFormat="1" x14ac:dyDescent="0.2">
      <c r="C655" s="144"/>
      <c r="D655" s="144"/>
      <c r="E655" s="144"/>
      <c r="F655" s="373"/>
      <c r="H655" s="2168"/>
      <c r="I655" s="70"/>
    </row>
    <row r="656" spans="3:9" s="46" customFormat="1" x14ac:dyDescent="0.2">
      <c r="C656" s="144"/>
      <c r="D656" s="144"/>
      <c r="E656" s="144"/>
      <c r="F656" s="373"/>
      <c r="H656" s="2168"/>
      <c r="I656" s="70"/>
    </row>
    <row r="657" spans="3:9" s="46" customFormat="1" x14ac:dyDescent="0.2">
      <c r="C657" s="144"/>
      <c r="D657" s="144"/>
      <c r="E657" s="144"/>
      <c r="F657" s="373"/>
      <c r="H657" s="2168"/>
      <c r="I657" s="70"/>
    </row>
    <row r="658" spans="3:9" s="46" customFormat="1" x14ac:dyDescent="0.2">
      <c r="C658" s="144"/>
      <c r="D658" s="144"/>
      <c r="E658" s="144"/>
      <c r="F658" s="373"/>
      <c r="H658" s="2168"/>
      <c r="I658" s="70"/>
    </row>
    <row r="659" spans="3:9" s="46" customFormat="1" x14ac:dyDescent="0.2">
      <c r="C659" s="144"/>
      <c r="D659" s="144"/>
      <c r="E659" s="144"/>
      <c r="F659" s="373"/>
      <c r="H659" s="2168"/>
      <c r="I659" s="70"/>
    </row>
    <row r="660" spans="3:9" s="46" customFormat="1" x14ac:dyDescent="0.2">
      <c r="C660" s="144"/>
      <c r="D660" s="144"/>
      <c r="E660" s="144"/>
      <c r="F660" s="373"/>
      <c r="H660" s="2168"/>
      <c r="I660" s="70"/>
    </row>
    <row r="661" spans="3:9" s="46" customFormat="1" x14ac:dyDescent="0.2">
      <c r="C661" s="144"/>
      <c r="D661" s="144"/>
      <c r="E661" s="144"/>
      <c r="F661" s="373"/>
      <c r="H661" s="2168"/>
      <c r="I661" s="70"/>
    </row>
    <row r="662" spans="3:9" s="46" customFormat="1" x14ac:dyDescent="0.2">
      <c r="C662" s="144"/>
      <c r="D662" s="144"/>
      <c r="E662" s="144"/>
      <c r="F662" s="373"/>
      <c r="H662" s="2168"/>
      <c r="I662" s="70"/>
    </row>
    <row r="663" spans="3:9" s="46" customFormat="1" x14ac:dyDescent="0.2">
      <c r="C663" s="144"/>
      <c r="D663" s="144"/>
      <c r="E663" s="144"/>
      <c r="F663" s="373"/>
      <c r="H663" s="2168"/>
      <c r="I663" s="70"/>
    </row>
    <row r="664" spans="3:9" s="46" customFormat="1" x14ac:dyDescent="0.2">
      <c r="C664" s="144"/>
      <c r="D664" s="144"/>
      <c r="E664" s="144"/>
      <c r="F664" s="373"/>
      <c r="H664" s="2168"/>
      <c r="I664" s="70"/>
    </row>
    <row r="665" spans="3:9" s="46" customFormat="1" x14ac:dyDescent="0.2">
      <c r="C665" s="144"/>
      <c r="D665" s="144"/>
      <c r="E665" s="144"/>
      <c r="F665" s="373"/>
      <c r="H665" s="2168"/>
      <c r="I665" s="70"/>
    </row>
    <row r="666" spans="3:9" s="46" customFormat="1" x14ac:dyDescent="0.2">
      <c r="C666" s="144"/>
      <c r="D666" s="144"/>
      <c r="E666" s="144"/>
      <c r="F666" s="373"/>
      <c r="H666" s="2168"/>
      <c r="I666" s="70"/>
    </row>
    <row r="667" spans="3:9" s="46" customFormat="1" x14ac:dyDescent="0.2">
      <c r="C667" s="144"/>
      <c r="D667" s="144"/>
      <c r="E667" s="144"/>
      <c r="F667" s="373"/>
      <c r="H667" s="2168"/>
      <c r="I667" s="70"/>
    </row>
    <row r="668" spans="3:9" s="46" customFormat="1" x14ac:dyDescent="0.2">
      <c r="C668" s="144"/>
      <c r="D668" s="144"/>
      <c r="E668" s="144"/>
      <c r="F668" s="373"/>
      <c r="H668" s="2168"/>
      <c r="I668" s="70"/>
    </row>
    <row r="669" spans="3:9" s="46" customFormat="1" x14ac:dyDescent="0.2">
      <c r="C669" s="144"/>
      <c r="D669" s="144"/>
      <c r="E669" s="144"/>
      <c r="F669" s="373"/>
      <c r="H669" s="2168"/>
      <c r="I669" s="70"/>
    </row>
    <row r="670" spans="3:9" s="46" customFormat="1" x14ac:dyDescent="0.2">
      <c r="C670" s="144"/>
      <c r="D670" s="144"/>
      <c r="E670" s="144"/>
      <c r="F670" s="373"/>
      <c r="H670" s="2168"/>
      <c r="I670" s="70"/>
    </row>
    <row r="671" spans="3:9" s="46" customFormat="1" x14ac:dyDescent="0.2">
      <c r="C671" s="144"/>
      <c r="D671" s="144"/>
      <c r="E671" s="144"/>
      <c r="F671" s="373"/>
      <c r="H671" s="2168"/>
      <c r="I671" s="70"/>
    </row>
    <row r="672" spans="3:9" s="46" customFormat="1" x14ac:dyDescent="0.2">
      <c r="C672" s="144"/>
      <c r="D672" s="144"/>
      <c r="E672" s="144"/>
      <c r="F672" s="373"/>
      <c r="H672" s="2168"/>
      <c r="I672" s="70"/>
    </row>
    <row r="673" spans="3:9" s="46" customFormat="1" x14ac:dyDescent="0.2">
      <c r="C673" s="144"/>
      <c r="D673" s="144"/>
      <c r="E673" s="144"/>
      <c r="F673" s="373"/>
      <c r="H673" s="2168"/>
      <c r="I673" s="70"/>
    </row>
    <row r="674" spans="3:9" s="46" customFormat="1" x14ac:dyDescent="0.2">
      <c r="C674" s="144"/>
      <c r="D674" s="144"/>
      <c r="E674" s="144"/>
      <c r="F674" s="373"/>
      <c r="H674" s="2168"/>
      <c r="I674" s="70"/>
    </row>
    <row r="675" spans="3:9" s="46" customFormat="1" x14ac:dyDescent="0.2">
      <c r="C675" s="144"/>
      <c r="D675" s="144"/>
      <c r="E675" s="144"/>
      <c r="F675" s="373"/>
      <c r="H675" s="2168"/>
      <c r="I675" s="70"/>
    </row>
    <row r="676" spans="3:9" s="46" customFormat="1" x14ac:dyDescent="0.2">
      <c r="C676" s="144"/>
      <c r="D676" s="144"/>
      <c r="E676" s="144"/>
      <c r="F676" s="373"/>
      <c r="H676" s="2168"/>
      <c r="I676" s="70"/>
    </row>
    <row r="677" spans="3:9" s="46" customFormat="1" x14ac:dyDescent="0.2">
      <c r="C677" s="144"/>
      <c r="D677" s="144"/>
      <c r="E677" s="144"/>
      <c r="F677" s="373"/>
      <c r="H677" s="2168"/>
      <c r="I677" s="70"/>
    </row>
    <row r="678" spans="3:9" s="46" customFormat="1" x14ac:dyDescent="0.2">
      <c r="C678" s="144"/>
      <c r="D678" s="144"/>
      <c r="E678" s="144"/>
      <c r="F678" s="373"/>
      <c r="H678" s="2168"/>
      <c r="I678" s="70"/>
    </row>
    <row r="679" spans="3:9" s="46" customFormat="1" x14ac:dyDescent="0.2">
      <c r="C679" s="144"/>
      <c r="D679" s="144"/>
      <c r="E679" s="144"/>
      <c r="F679" s="373"/>
      <c r="H679" s="2168"/>
      <c r="I679" s="70"/>
    </row>
    <row r="680" spans="3:9" s="46" customFormat="1" x14ac:dyDescent="0.2">
      <c r="C680" s="144"/>
      <c r="D680" s="144"/>
      <c r="E680" s="144"/>
      <c r="F680" s="373"/>
      <c r="H680" s="2168"/>
      <c r="I680" s="70"/>
    </row>
    <row r="681" spans="3:9" s="46" customFormat="1" x14ac:dyDescent="0.2">
      <c r="C681" s="144"/>
      <c r="D681" s="144"/>
      <c r="E681" s="144"/>
      <c r="F681" s="373"/>
      <c r="H681" s="2168"/>
      <c r="I681" s="70"/>
    </row>
    <row r="682" spans="3:9" s="46" customFormat="1" x14ac:dyDescent="0.2">
      <c r="C682" s="144"/>
      <c r="D682" s="144"/>
      <c r="E682" s="144"/>
      <c r="F682" s="373"/>
      <c r="H682" s="2168"/>
      <c r="I682" s="70"/>
    </row>
    <row r="683" spans="3:9" s="46" customFormat="1" x14ac:dyDescent="0.2">
      <c r="C683" s="144"/>
      <c r="D683" s="144"/>
      <c r="E683" s="144"/>
      <c r="F683" s="373"/>
      <c r="H683" s="2168"/>
      <c r="I683" s="70"/>
    </row>
    <row r="684" spans="3:9" s="46" customFormat="1" x14ac:dyDescent="0.2">
      <c r="C684" s="144"/>
      <c r="D684" s="144"/>
      <c r="E684" s="144"/>
      <c r="F684" s="373"/>
      <c r="H684" s="2168"/>
      <c r="I684" s="70"/>
    </row>
    <row r="685" spans="3:9" s="46" customFormat="1" x14ac:dyDescent="0.2">
      <c r="C685" s="144"/>
      <c r="D685" s="144"/>
      <c r="E685" s="144"/>
      <c r="F685" s="373"/>
      <c r="H685" s="2168"/>
      <c r="I685" s="70"/>
    </row>
    <row r="686" spans="3:9" s="46" customFormat="1" x14ac:dyDescent="0.2">
      <c r="C686" s="144"/>
      <c r="D686" s="144"/>
      <c r="E686" s="144"/>
      <c r="F686" s="373"/>
      <c r="H686" s="2168"/>
      <c r="I686" s="70"/>
    </row>
    <row r="687" spans="3:9" s="46" customFormat="1" x14ac:dyDescent="0.2">
      <c r="C687" s="144"/>
      <c r="D687" s="144"/>
      <c r="E687" s="144"/>
      <c r="F687" s="373"/>
      <c r="H687" s="2168"/>
      <c r="I687" s="70"/>
    </row>
    <row r="688" spans="3:9" s="46" customFormat="1" x14ac:dyDescent="0.2">
      <c r="C688" s="144"/>
      <c r="D688" s="144"/>
      <c r="E688" s="144"/>
      <c r="F688" s="373"/>
      <c r="H688" s="2168"/>
      <c r="I688" s="70"/>
    </row>
    <row r="689" spans="3:9" s="46" customFormat="1" x14ac:dyDescent="0.2">
      <c r="C689" s="144"/>
      <c r="D689" s="144"/>
      <c r="E689" s="144"/>
      <c r="F689" s="373"/>
      <c r="H689" s="2168"/>
      <c r="I689" s="70"/>
    </row>
    <row r="690" spans="3:9" s="46" customFormat="1" x14ac:dyDescent="0.2">
      <c r="C690" s="144"/>
      <c r="D690" s="144"/>
      <c r="E690" s="144"/>
      <c r="F690" s="373"/>
      <c r="H690" s="2168"/>
      <c r="I690" s="70"/>
    </row>
    <row r="691" spans="3:9" s="46" customFormat="1" x14ac:dyDescent="0.2">
      <c r="C691" s="144"/>
      <c r="D691" s="144"/>
      <c r="E691" s="144"/>
      <c r="F691" s="373"/>
      <c r="H691" s="2168"/>
      <c r="I691" s="70"/>
    </row>
    <row r="692" spans="3:9" s="46" customFormat="1" x14ac:dyDescent="0.2">
      <c r="C692" s="144"/>
      <c r="D692" s="144"/>
      <c r="E692" s="144"/>
      <c r="F692" s="373"/>
      <c r="H692" s="2168"/>
      <c r="I692" s="70"/>
    </row>
    <row r="693" spans="3:9" s="46" customFormat="1" x14ac:dyDescent="0.2">
      <c r="C693" s="144"/>
      <c r="D693" s="144"/>
      <c r="E693" s="144"/>
      <c r="F693" s="373"/>
      <c r="H693" s="2168"/>
      <c r="I693" s="70"/>
    </row>
    <row r="694" spans="3:9" s="46" customFormat="1" x14ac:dyDescent="0.2">
      <c r="C694" s="144"/>
      <c r="D694" s="144"/>
      <c r="E694" s="144"/>
      <c r="F694" s="373"/>
      <c r="H694" s="2168"/>
      <c r="I694" s="70"/>
    </row>
    <row r="695" spans="3:9" s="46" customFormat="1" x14ac:dyDescent="0.2">
      <c r="C695" s="144"/>
      <c r="D695" s="144"/>
      <c r="E695" s="144"/>
      <c r="F695" s="373"/>
      <c r="H695" s="2168"/>
      <c r="I695" s="70"/>
    </row>
    <row r="696" spans="3:9" s="46" customFormat="1" x14ac:dyDescent="0.2">
      <c r="C696" s="144"/>
      <c r="D696" s="144"/>
      <c r="E696" s="144"/>
      <c r="F696" s="373"/>
      <c r="H696" s="2168"/>
      <c r="I696" s="70"/>
    </row>
    <row r="697" spans="3:9" s="46" customFormat="1" x14ac:dyDescent="0.2">
      <c r="C697" s="144"/>
      <c r="D697" s="144"/>
      <c r="E697" s="144"/>
      <c r="F697" s="373"/>
      <c r="H697" s="2168"/>
      <c r="I697" s="70"/>
    </row>
    <row r="698" spans="3:9" s="46" customFormat="1" x14ac:dyDescent="0.2">
      <c r="C698" s="144"/>
      <c r="D698" s="144"/>
      <c r="E698" s="144"/>
      <c r="F698" s="373"/>
      <c r="H698" s="2168"/>
      <c r="I698" s="70"/>
    </row>
    <row r="699" spans="3:9" s="46" customFormat="1" x14ac:dyDescent="0.2">
      <c r="C699" s="144"/>
      <c r="D699" s="144"/>
      <c r="E699" s="144"/>
      <c r="F699" s="373"/>
      <c r="H699" s="2168"/>
      <c r="I699" s="70"/>
    </row>
    <row r="700" spans="3:9" s="46" customFormat="1" x14ac:dyDescent="0.2">
      <c r="C700" s="144"/>
      <c r="D700" s="144"/>
      <c r="E700" s="144"/>
      <c r="F700" s="373"/>
      <c r="H700" s="2168"/>
      <c r="I700" s="70"/>
    </row>
    <row r="701" spans="3:9" s="46" customFormat="1" x14ac:dyDescent="0.2">
      <c r="C701" s="144"/>
      <c r="D701" s="144"/>
      <c r="E701" s="144"/>
      <c r="F701" s="373"/>
      <c r="H701" s="2168"/>
      <c r="I701" s="70"/>
    </row>
    <row r="702" spans="3:9" s="46" customFormat="1" x14ac:dyDescent="0.2">
      <c r="C702" s="144"/>
      <c r="D702" s="144"/>
      <c r="E702" s="144"/>
      <c r="F702" s="373"/>
      <c r="H702" s="2168"/>
      <c r="I702" s="70"/>
    </row>
    <row r="703" spans="3:9" s="46" customFormat="1" x14ac:dyDescent="0.2">
      <c r="C703" s="144"/>
      <c r="D703" s="144"/>
      <c r="E703" s="144"/>
      <c r="F703" s="373"/>
      <c r="H703" s="2168"/>
      <c r="I703" s="70"/>
    </row>
    <row r="704" spans="3:9" s="46" customFormat="1" x14ac:dyDescent="0.2">
      <c r="C704" s="144"/>
      <c r="D704" s="144"/>
      <c r="E704" s="144"/>
      <c r="F704" s="373"/>
      <c r="H704" s="2168"/>
      <c r="I704" s="70"/>
    </row>
    <row r="705" spans="3:9" s="46" customFormat="1" x14ac:dyDescent="0.2">
      <c r="C705" s="144"/>
      <c r="D705" s="144"/>
      <c r="E705" s="144"/>
      <c r="F705" s="373"/>
      <c r="H705" s="2168"/>
      <c r="I705" s="70"/>
    </row>
    <row r="706" spans="3:9" s="46" customFormat="1" x14ac:dyDescent="0.2">
      <c r="C706" s="144"/>
      <c r="D706" s="144"/>
      <c r="E706" s="144"/>
      <c r="F706" s="373"/>
      <c r="H706" s="2168"/>
      <c r="I706" s="70"/>
    </row>
    <row r="707" spans="3:9" s="46" customFormat="1" x14ac:dyDescent="0.2">
      <c r="C707" s="144"/>
      <c r="D707" s="144"/>
      <c r="E707" s="144"/>
      <c r="F707" s="373"/>
      <c r="H707" s="2168"/>
      <c r="I707" s="70"/>
    </row>
    <row r="708" spans="3:9" s="46" customFormat="1" x14ac:dyDescent="0.2">
      <c r="C708" s="144"/>
      <c r="D708" s="144"/>
      <c r="E708" s="144"/>
      <c r="F708" s="373"/>
      <c r="H708" s="2168"/>
      <c r="I708" s="70"/>
    </row>
    <row r="709" spans="3:9" s="46" customFormat="1" x14ac:dyDescent="0.2">
      <c r="C709" s="144"/>
      <c r="D709" s="144"/>
      <c r="E709" s="144"/>
      <c r="F709" s="373"/>
      <c r="H709" s="2168"/>
      <c r="I709" s="70"/>
    </row>
    <row r="710" spans="3:9" s="46" customFormat="1" x14ac:dyDescent="0.2">
      <c r="C710" s="144"/>
      <c r="D710" s="144"/>
      <c r="E710" s="144"/>
      <c r="F710" s="373"/>
      <c r="H710" s="2168"/>
      <c r="I710" s="70"/>
    </row>
    <row r="711" spans="3:9" s="46" customFormat="1" x14ac:dyDescent="0.2">
      <c r="C711" s="144"/>
      <c r="D711" s="144"/>
      <c r="E711" s="144"/>
      <c r="F711" s="373"/>
      <c r="H711" s="2168"/>
      <c r="I711" s="70"/>
    </row>
    <row r="712" spans="3:9" s="46" customFormat="1" x14ac:dyDescent="0.2">
      <c r="C712" s="144"/>
      <c r="D712" s="144"/>
      <c r="E712" s="144"/>
      <c r="F712" s="373"/>
      <c r="H712" s="2168"/>
      <c r="I712" s="70"/>
    </row>
    <row r="713" spans="3:9" s="46" customFormat="1" x14ac:dyDescent="0.2">
      <c r="C713" s="144"/>
      <c r="D713" s="144"/>
      <c r="E713" s="144"/>
      <c r="F713" s="373"/>
      <c r="H713" s="2168"/>
      <c r="I713" s="70"/>
    </row>
    <row r="714" spans="3:9" s="46" customFormat="1" x14ac:dyDescent="0.2">
      <c r="C714" s="144"/>
      <c r="D714" s="144"/>
      <c r="E714" s="144"/>
      <c r="F714" s="373"/>
      <c r="H714" s="2168"/>
      <c r="I714" s="70"/>
    </row>
    <row r="715" spans="3:9" s="46" customFormat="1" x14ac:dyDescent="0.2">
      <c r="C715" s="144"/>
      <c r="D715" s="144"/>
      <c r="E715" s="144"/>
      <c r="F715" s="373"/>
      <c r="H715" s="2168"/>
      <c r="I715" s="70"/>
    </row>
    <row r="716" spans="3:9" s="46" customFormat="1" x14ac:dyDescent="0.2">
      <c r="C716" s="144"/>
      <c r="D716" s="144"/>
      <c r="E716" s="144"/>
      <c r="F716" s="373"/>
      <c r="H716" s="2168"/>
      <c r="I716" s="70"/>
    </row>
    <row r="717" spans="3:9" s="46" customFormat="1" x14ac:dyDescent="0.2">
      <c r="C717" s="144"/>
      <c r="D717" s="144"/>
      <c r="E717" s="144"/>
      <c r="F717" s="373"/>
      <c r="H717" s="2168"/>
      <c r="I717" s="70"/>
    </row>
    <row r="718" spans="3:9" s="46" customFormat="1" x14ac:dyDescent="0.2">
      <c r="C718" s="144"/>
      <c r="D718" s="144"/>
      <c r="E718" s="144"/>
      <c r="F718" s="373"/>
      <c r="H718" s="2168"/>
      <c r="I718" s="70"/>
    </row>
    <row r="719" spans="3:9" s="46" customFormat="1" x14ac:dyDescent="0.2">
      <c r="C719" s="144"/>
      <c r="D719" s="144"/>
      <c r="E719" s="144"/>
      <c r="F719" s="373"/>
      <c r="H719" s="2168"/>
      <c r="I719" s="70"/>
    </row>
    <row r="720" spans="3:9" s="46" customFormat="1" x14ac:dyDescent="0.2">
      <c r="C720" s="144"/>
      <c r="D720" s="144"/>
      <c r="E720" s="144"/>
      <c r="F720" s="373"/>
      <c r="H720" s="2168"/>
      <c r="I720" s="70"/>
    </row>
    <row r="721" spans="3:9" s="46" customFormat="1" x14ac:dyDescent="0.2">
      <c r="C721" s="144"/>
      <c r="D721" s="144"/>
      <c r="E721" s="144"/>
      <c r="F721" s="373"/>
      <c r="H721" s="2168"/>
      <c r="I721" s="70"/>
    </row>
    <row r="722" spans="3:9" s="46" customFormat="1" x14ac:dyDescent="0.2">
      <c r="C722" s="144"/>
      <c r="D722" s="144"/>
      <c r="E722" s="144"/>
      <c r="F722" s="373"/>
      <c r="H722" s="2168"/>
      <c r="I722" s="70"/>
    </row>
    <row r="723" spans="3:9" s="46" customFormat="1" x14ac:dyDescent="0.2">
      <c r="C723" s="144"/>
      <c r="D723" s="144"/>
      <c r="E723" s="144"/>
      <c r="F723" s="373"/>
      <c r="H723" s="2168"/>
      <c r="I723" s="70"/>
    </row>
    <row r="724" spans="3:9" s="46" customFormat="1" x14ac:dyDescent="0.2">
      <c r="C724" s="144"/>
      <c r="D724" s="144"/>
      <c r="E724" s="144"/>
      <c r="F724" s="373"/>
      <c r="H724" s="2168"/>
      <c r="I724" s="70"/>
    </row>
    <row r="725" spans="3:9" s="46" customFormat="1" x14ac:dyDescent="0.2">
      <c r="C725" s="144"/>
      <c r="D725" s="144"/>
      <c r="E725" s="144"/>
      <c r="F725" s="373"/>
      <c r="H725" s="2168"/>
      <c r="I725" s="70"/>
    </row>
    <row r="726" spans="3:9" s="46" customFormat="1" x14ac:dyDescent="0.2">
      <c r="C726" s="144"/>
      <c r="D726" s="144"/>
      <c r="E726" s="144"/>
      <c r="F726" s="373"/>
      <c r="H726" s="2168"/>
      <c r="I726" s="70"/>
    </row>
    <row r="727" spans="3:9" s="46" customFormat="1" x14ac:dyDescent="0.2">
      <c r="C727" s="144"/>
      <c r="D727" s="144"/>
      <c r="E727" s="144"/>
      <c r="F727" s="373"/>
      <c r="H727" s="2168"/>
      <c r="I727" s="70"/>
    </row>
    <row r="728" spans="3:9" s="46" customFormat="1" x14ac:dyDescent="0.2">
      <c r="C728" s="144"/>
      <c r="D728" s="144"/>
      <c r="E728" s="144"/>
      <c r="F728" s="373"/>
      <c r="H728" s="2168"/>
      <c r="I728" s="70"/>
    </row>
    <row r="729" spans="3:9" s="46" customFormat="1" x14ac:dyDescent="0.2">
      <c r="C729" s="144"/>
      <c r="D729" s="144"/>
      <c r="E729" s="144"/>
      <c r="F729" s="373"/>
      <c r="H729" s="2168"/>
      <c r="I729" s="70"/>
    </row>
    <row r="730" spans="3:9" s="46" customFormat="1" x14ac:dyDescent="0.2">
      <c r="C730" s="144"/>
      <c r="D730" s="144"/>
      <c r="E730" s="144"/>
      <c r="F730" s="373"/>
      <c r="H730" s="2168"/>
      <c r="I730" s="70"/>
    </row>
    <row r="731" spans="3:9" s="46" customFormat="1" x14ac:dyDescent="0.2">
      <c r="C731" s="144"/>
      <c r="D731" s="144"/>
      <c r="E731" s="144"/>
      <c r="F731" s="373"/>
      <c r="H731" s="2168"/>
      <c r="I731" s="70"/>
    </row>
    <row r="732" spans="3:9" s="46" customFormat="1" x14ac:dyDescent="0.2">
      <c r="C732" s="144"/>
      <c r="D732" s="144"/>
      <c r="E732" s="144"/>
      <c r="F732" s="373"/>
      <c r="H732" s="2168"/>
      <c r="I732" s="70"/>
    </row>
    <row r="733" spans="3:9" s="46" customFormat="1" x14ac:dyDescent="0.2">
      <c r="C733" s="144"/>
      <c r="D733" s="144"/>
      <c r="E733" s="144"/>
      <c r="F733" s="373"/>
      <c r="H733" s="2168"/>
      <c r="I733" s="70"/>
    </row>
    <row r="734" spans="3:9" s="46" customFormat="1" x14ac:dyDescent="0.2">
      <c r="C734" s="144"/>
      <c r="D734" s="144"/>
      <c r="E734" s="144"/>
      <c r="F734" s="373"/>
      <c r="H734" s="2168"/>
      <c r="I734" s="70"/>
    </row>
    <row r="735" spans="3:9" s="46" customFormat="1" x14ac:dyDescent="0.2">
      <c r="C735" s="144"/>
      <c r="D735" s="144"/>
      <c r="E735" s="144"/>
      <c r="F735" s="373"/>
      <c r="H735" s="2168"/>
      <c r="I735" s="70"/>
    </row>
    <row r="736" spans="3:9" s="46" customFormat="1" x14ac:dyDescent="0.2">
      <c r="C736" s="144"/>
      <c r="D736" s="144"/>
      <c r="E736" s="144"/>
      <c r="F736" s="373"/>
      <c r="H736" s="2168"/>
      <c r="I736" s="70"/>
    </row>
    <row r="737" spans="3:9" s="46" customFormat="1" x14ac:dyDescent="0.2">
      <c r="C737" s="144"/>
      <c r="D737" s="144"/>
      <c r="E737" s="144"/>
      <c r="F737" s="373"/>
      <c r="H737" s="2168"/>
      <c r="I737" s="70"/>
    </row>
    <row r="738" spans="3:9" s="46" customFormat="1" x14ac:dyDescent="0.2">
      <c r="C738" s="144"/>
      <c r="D738" s="144"/>
      <c r="E738" s="144"/>
      <c r="F738" s="373"/>
      <c r="H738" s="2168"/>
      <c r="I738" s="70"/>
    </row>
    <row r="739" spans="3:9" s="46" customFormat="1" x14ac:dyDescent="0.2">
      <c r="C739" s="144"/>
      <c r="D739" s="144"/>
      <c r="E739" s="144"/>
      <c r="F739" s="373"/>
      <c r="H739" s="2168"/>
      <c r="I739" s="70"/>
    </row>
    <row r="740" spans="3:9" s="46" customFormat="1" x14ac:dyDescent="0.2">
      <c r="C740" s="144"/>
      <c r="D740" s="144"/>
      <c r="E740" s="144"/>
      <c r="F740" s="373"/>
      <c r="H740" s="2168"/>
      <c r="I740" s="70"/>
    </row>
    <row r="741" spans="3:9" s="46" customFormat="1" x14ac:dyDescent="0.2">
      <c r="C741" s="144"/>
      <c r="D741" s="144"/>
      <c r="E741" s="144"/>
      <c r="F741" s="373"/>
      <c r="H741" s="2168"/>
      <c r="I741" s="70"/>
    </row>
    <row r="742" spans="3:9" s="46" customFormat="1" x14ac:dyDescent="0.2">
      <c r="C742" s="144"/>
      <c r="D742" s="144"/>
      <c r="E742" s="144"/>
      <c r="F742" s="373"/>
      <c r="H742" s="2168"/>
      <c r="I742" s="70"/>
    </row>
    <row r="743" spans="3:9" s="46" customFormat="1" x14ac:dyDescent="0.2">
      <c r="C743" s="144"/>
      <c r="D743" s="144"/>
      <c r="E743" s="144"/>
      <c r="F743" s="373"/>
      <c r="H743" s="2168"/>
      <c r="I743" s="70"/>
    </row>
    <row r="744" spans="3:9" s="46" customFormat="1" x14ac:dyDescent="0.2">
      <c r="C744" s="144"/>
      <c r="D744" s="144"/>
      <c r="E744" s="144"/>
      <c r="F744" s="373"/>
      <c r="H744" s="2168"/>
      <c r="I744" s="70"/>
    </row>
    <row r="745" spans="3:9" s="46" customFormat="1" x14ac:dyDescent="0.2">
      <c r="C745" s="144"/>
      <c r="D745" s="144"/>
      <c r="E745" s="144"/>
      <c r="F745" s="373"/>
      <c r="H745" s="2168"/>
      <c r="I745" s="70"/>
    </row>
    <row r="746" spans="3:9" s="46" customFormat="1" x14ac:dyDescent="0.2">
      <c r="C746" s="144"/>
      <c r="D746" s="144"/>
      <c r="E746" s="144"/>
      <c r="F746" s="373"/>
      <c r="H746" s="2168"/>
      <c r="I746" s="70"/>
    </row>
    <row r="747" spans="3:9" s="46" customFormat="1" x14ac:dyDescent="0.2">
      <c r="C747" s="144"/>
      <c r="D747" s="144"/>
      <c r="E747" s="144"/>
      <c r="F747" s="373"/>
      <c r="H747" s="2168"/>
      <c r="I747" s="70"/>
    </row>
    <row r="748" spans="3:9" s="46" customFormat="1" x14ac:dyDescent="0.2">
      <c r="C748" s="144"/>
      <c r="D748" s="144"/>
      <c r="E748" s="144"/>
      <c r="F748" s="373"/>
      <c r="H748" s="2168"/>
      <c r="I748" s="70"/>
    </row>
    <row r="749" spans="3:9" s="46" customFormat="1" x14ac:dyDescent="0.2">
      <c r="C749" s="144"/>
      <c r="D749" s="144"/>
      <c r="E749" s="144"/>
      <c r="F749" s="373"/>
      <c r="H749" s="2168"/>
      <c r="I749" s="70"/>
    </row>
    <row r="750" spans="3:9" s="46" customFormat="1" x14ac:dyDescent="0.2">
      <c r="C750" s="144"/>
      <c r="D750" s="144"/>
      <c r="E750" s="144"/>
      <c r="F750" s="373"/>
      <c r="H750" s="2168"/>
      <c r="I750" s="70"/>
    </row>
    <row r="751" spans="3:9" s="46" customFormat="1" x14ac:dyDescent="0.2">
      <c r="C751" s="144"/>
      <c r="D751" s="144"/>
      <c r="E751" s="144"/>
      <c r="F751" s="373"/>
      <c r="H751" s="2168"/>
      <c r="I751" s="70"/>
    </row>
    <row r="752" spans="3:9" s="46" customFormat="1" x14ac:dyDescent="0.2">
      <c r="C752" s="144"/>
      <c r="D752" s="144"/>
      <c r="E752" s="144"/>
      <c r="F752" s="373"/>
      <c r="H752" s="2168"/>
      <c r="I752" s="70"/>
    </row>
    <row r="753" spans="3:9" s="46" customFormat="1" x14ac:dyDescent="0.2">
      <c r="C753" s="144"/>
      <c r="D753" s="144"/>
      <c r="E753" s="144"/>
      <c r="F753" s="373"/>
      <c r="H753" s="2168"/>
      <c r="I753" s="70"/>
    </row>
    <row r="754" spans="3:9" s="46" customFormat="1" x14ac:dyDescent="0.2">
      <c r="C754" s="144"/>
      <c r="D754" s="144"/>
      <c r="E754" s="144"/>
      <c r="F754" s="373"/>
      <c r="H754" s="2168"/>
      <c r="I754" s="70"/>
    </row>
    <row r="755" spans="3:9" s="46" customFormat="1" x14ac:dyDescent="0.2">
      <c r="C755" s="144"/>
      <c r="D755" s="144"/>
      <c r="E755" s="144"/>
      <c r="F755" s="373"/>
      <c r="H755" s="2168"/>
      <c r="I755" s="70"/>
    </row>
    <row r="756" spans="3:9" s="46" customFormat="1" x14ac:dyDescent="0.2">
      <c r="C756" s="144"/>
      <c r="D756" s="144"/>
      <c r="E756" s="144"/>
      <c r="F756" s="373"/>
      <c r="H756" s="2168"/>
      <c r="I756" s="70"/>
    </row>
    <row r="757" spans="3:9" s="46" customFormat="1" x14ac:dyDescent="0.2">
      <c r="C757" s="144"/>
      <c r="D757" s="144"/>
      <c r="E757" s="144"/>
      <c r="F757" s="373"/>
      <c r="H757" s="2168"/>
      <c r="I757" s="70"/>
    </row>
    <row r="758" spans="3:9" s="46" customFormat="1" x14ac:dyDescent="0.2">
      <c r="C758" s="144"/>
      <c r="D758" s="144"/>
      <c r="E758" s="144"/>
      <c r="F758" s="373"/>
      <c r="H758" s="2168"/>
      <c r="I758" s="70"/>
    </row>
    <row r="759" spans="3:9" s="46" customFormat="1" x14ac:dyDescent="0.2">
      <c r="C759" s="144"/>
      <c r="D759" s="144"/>
      <c r="E759" s="144"/>
      <c r="F759" s="373"/>
      <c r="H759" s="2168"/>
      <c r="I759" s="70"/>
    </row>
    <row r="760" spans="3:9" s="46" customFormat="1" x14ac:dyDescent="0.2">
      <c r="C760" s="144"/>
      <c r="D760" s="144"/>
      <c r="E760" s="144"/>
      <c r="F760" s="373"/>
      <c r="H760" s="2168"/>
      <c r="I760" s="70"/>
    </row>
    <row r="761" spans="3:9" s="46" customFormat="1" x14ac:dyDescent="0.2">
      <c r="C761" s="144"/>
      <c r="D761" s="144"/>
      <c r="E761" s="144"/>
      <c r="F761" s="373"/>
      <c r="H761" s="2168"/>
      <c r="I761" s="70"/>
    </row>
    <row r="762" spans="3:9" s="46" customFormat="1" x14ac:dyDescent="0.2">
      <c r="C762" s="144"/>
      <c r="D762" s="144"/>
      <c r="E762" s="144"/>
      <c r="F762" s="373"/>
      <c r="H762" s="2168"/>
      <c r="I762" s="70"/>
    </row>
    <row r="763" spans="3:9" s="46" customFormat="1" x14ac:dyDescent="0.2">
      <c r="C763" s="144"/>
      <c r="D763" s="144"/>
      <c r="E763" s="144"/>
      <c r="F763" s="373"/>
      <c r="H763" s="2168"/>
      <c r="I763" s="70"/>
    </row>
    <row r="764" spans="3:9" s="46" customFormat="1" x14ac:dyDescent="0.2">
      <c r="C764" s="144"/>
      <c r="D764" s="144"/>
      <c r="E764" s="144"/>
      <c r="F764" s="373"/>
      <c r="H764" s="2168"/>
      <c r="I764" s="70"/>
    </row>
    <row r="765" spans="3:9" s="46" customFormat="1" x14ac:dyDescent="0.2">
      <c r="C765" s="144"/>
      <c r="D765" s="144"/>
      <c r="E765" s="144"/>
      <c r="F765" s="373"/>
      <c r="H765" s="2168"/>
      <c r="I765" s="70"/>
    </row>
    <row r="766" spans="3:9" s="46" customFormat="1" x14ac:dyDescent="0.2">
      <c r="C766" s="144"/>
      <c r="D766" s="144"/>
      <c r="E766" s="144"/>
      <c r="F766" s="373"/>
      <c r="H766" s="2168"/>
      <c r="I766" s="70"/>
    </row>
    <row r="767" spans="3:9" s="46" customFormat="1" x14ac:dyDescent="0.2">
      <c r="C767" s="144"/>
      <c r="D767" s="144"/>
      <c r="E767" s="144"/>
      <c r="F767" s="373"/>
      <c r="H767" s="2168"/>
      <c r="I767" s="70"/>
    </row>
    <row r="768" spans="3:9" s="46" customFormat="1" x14ac:dyDescent="0.2">
      <c r="C768" s="144"/>
      <c r="D768" s="144"/>
      <c r="E768" s="144"/>
      <c r="F768" s="373"/>
      <c r="H768" s="2168"/>
      <c r="I768" s="70"/>
    </row>
    <row r="769" spans="3:9" s="46" customFormat="1" x14ac:dyDescent="0.2">
      <c r="C769" s="144"/>
      <c r="D769" s="144"/>
      <c r="E769" s="144"/>
      <c r="F769" s="373"/>
      <c r="H769" s="2168"/>
      <c r="I769" s="70"/>
    </row>
    <row r="770" spans="3:9" s="46" customFormat="1" x14ac:dyDescent="0.2">
      <c r="C770" s="144"/>
      <c r="D770" s="144"/>
      <c r="E770" s="144"/>
      <c r="F770" s="373"/>
      <c r="H770" s="2168"/>
      <c r="I770" s="70"/>
    </row>
    <row r="771" spans="3:9" s="46" customFormat="1" x14ac:dyDescent="0.2">
      <c r="C771" s="144"/>
      <c r="D771" s="144"/>
      <c r="E771" s="144"/>
      <c r="F771" s="373"/>
      <c r="H771" s="2168"/>
      <c r="I771" s="70"/>
    </row>
    <row r="772" spans="3:9" s="46" customFormat="1" x14ac:dyDescent="0.2">
      <c r="C772" s="144"/>
      <c r="D772" s="144"/>
      <c r="E772" s="144"/>
      <c r="F772" s="373"/>
      <c r="H772" s="2168"/>
      <c r="I772" s="70"/>
    </row>
    <row r="773" spans="3:9" s="46" customFormat="1" x14ac:dyDescent="0.2">
      <c r="C773" s="144"/>
      <c r="D773" s="144"/>
      <c r="E773" s="144"/>
      <c r="F773" s="373"/>
      <c r="H773" s="2168"/>
      <c r="I773" s="70"/>
    </row>
    <row r="774" spans="3:9" s="46" customFormat="1" x14ac:dyDescent="0.2">
      <c r="C774" s="144"/>
      <c r="D774" s="144"/>
      <c r="E774" s="144"/>
      <c r="F774" s="373"/>
      <c r="H774" s="2168"/>
      <c r="I774" s="70"/>
    </row>
    <row r="775" spans="3:9" s="46" customFormat="1" x14ac:dyDescent="0.2">
      <c r="C775" s="144"/>
      <c r="D775" s="144"/>
      <c r="E775" s="144"/>
      <c r="F775" s="373"/>
      <c r="H775" s="2168"/>
      <c r="I775" s="70"/>
    </row>
    <row r="776" spans="3:9" s="46" customFormat="1" x14ac:dyDescent="0.2">
      <c r="C776" s="144"/>
      <c r="D776" s="144"/>
      <c r="E776" s="144"/>
      <c r="F776" s="373"/>
      <c r="H776" s="2168"/>
      <c r="I776" s="70"/>
    </row>
    <row r="777" spans="3:9" s="46" customFormat="1" x14ac:dyDescent="0.2">
      <c r="C777" s="144"/>
      <c r="D777" s="144"/>
      <c r="E777" s="144"/>
      <c r="F777" s="373"/>
      <c r="H777" s="2168"/>
      <c r="I777" s="70"/>
    </row>
    <row r="778" spans="3:9" s="46" customFormat="1" x14ac:dyDescent="0.2">
      <c r="C778" s="144"/>
      <c r="D778" s="144"/>
      <c r="E778" s="144"/>
      <c r="F778" s="373"/>
      <c r="H778" s="2168"/>
      <c r="I778" s="70"/>
    </row>
    <row r="779" spans="3:9" s="46" customFormat="1" x14ac:dyDescent="0.2">
      <c r="C779" s="144"/>
      <c r="D779" s="144"/>
      <c r="E779" s="144"/>
      <c r="F779" s="373"/>
      <c r="H779" s="2168"/>
      <c r="I779" s="70"/>
    </row>
    <row r="780" spans="3:9" s="46" customFormat="1" x14ac:dyDescent="0.2">
      <c r="C780" s="144"/>
      <c r="D780" s="144"/>
      <c r="E780" s="144"/>
      <c r="F780" s="373"/>
      <c r="H780" s="2168"/>
      <c r="I780" s="70"/>
    </row>
    <row r="781" spans="3:9" s="46" customFormat="1" x14ac:dyDescent="0.2">
      <c r="C781" s="144"/>
      <c r="D781" s="144"/>
      <c r="E781" s="144"/>
      <c r="F781" s="373"/>
      <c r="H781" s="2168"/>
      <c r="I781" s="70"/>
    </row>
    <row r="782" spans="3:9" s="46" customFormat="1" x14ac:dyDescent="0.2">
      <c r="C782" s="144"/>
      <c r="D782" s="144"/>
      <c r="E782" s="144"/>
      <c r="F782" s="373"/>
      <c r="H782" s="2168"/>
      <c r="I782" s="70"/>
    </row>
    <row r="783" spans="3:9" s="46" customFormat="1" x14ac:dyDescent="0.2">
      <c r="C783" s="144"/>
      <c r="D783" s="144"/>
      <c r="E783" s="144"/>
      <c r="F783" s="373"/>
      <c r="H783" s="2168"/>
      <c r="I783" s="70"/>
    </row>
    <row r="784" spans="3:9" s="46" customFormat="1" x14ac:dyDescent="0.2">
      <c r="C784" s="144"/>
      <c r="D784" s="144"/>
      <c r="E784" s="144"/>
      <c r="F784" s="373"/>
      <c r="H784" s="2168"/>
      <c r="I784" s="70"/>
    </row>
    <row r="785" spans="3:9" s="46" customFormat="1" x14ac:dyDescent="0.2">
      <c r="C785" s="144"/>
      <c r="D785" s="144"/>
      <c r="E785" s="144"/>
      <c r="F785" s="373"/>
      <c r="H785" s="2168"/>
      <c r="I785" s="70"/>
    </row>
    <row r="786" spans="3:9" s="46" customFormat="1" x14ac:dyDescent="0.2">
      <c r="C786" s="144"/>
      <c r="D786" s="144"/>
      <c r="E786" s="144"/>
      <c r="F786" s="373"/>
      <c r="H786" s="2168"/>
      <c r="I786" s="70"/>
    </row>
    <row r="787" spans="3:9" s="46" customFormat="1" x14ac:dyDescent="0.2">
      <c r="C787" s="144"/>
      <c r="D787" s="144"/>
      <c r="E787" s="144"/>
      <c r="F787" s="373"/>
      <c r="H787" s="2168"/>
      <c r="I787" s="70"/>
    </row>
    <row r="788" spans="3:9" s="46" customFormat="1" x14ac:dyDescent="0.2">
      <c r="C788" s="144"/>
      <c r="D788" s="144"/>
      <c r="E788" s="144"/>
      <c r="F788" s="373"/>
      <c r="H788" s="2168"/>
      <c r="I788" s="70"/>
    </row>
    <row r="789" spans="3:9" s="46" customFormat="1" x14ac:dyDescent="0.2">
      <c r="C789" s="144"/>
      <c r="D789" s="144"/>
      <c r="E789" s="144"/>
      <c r="F789" s="373"/>
      <c r="H789" s="2168"/>
      <c r="I789" s="70"/>
    </row>
    <row r="790" spans="3:9" s="46" customFormat="1" x14ac:dyDescent="0.2">
      <c r="C790" s="144"/>
      <c r="D790" s="144"/>
      <c r="E790" s="144"/>
      <c r="F790" s="373"/>
      <c r="H790" s="2168"/>
      <c r="I790" s="70"/>
    </row>
    <row r="791" spans="3:9" s="46" customFormat="1" x14ac:dyDescent="0.2">
      <c r="C791" s="144"/>
      <c r="D791" s="144"/>
      <c r="E791" s="144"/>
      <c r="F791" s="373"/>
      <c r="H791" s="2168"/>
      <c r="I791" s="70"/>
    </row>
    <row r="792" spans="3:9" s="46" customFormat="1" x14ac:dyDescent="0.2">
      <c r="C792" s="144"/>
      <c r="D792" s="144"/>
      <c r="E792" s="144"/>
      <c r="F792" s="373"/>
      <c r="H792" s="2168"/>
      <c r="I792" s="70"/>
    </row>
    <row r="793" spans="3:9" s="46" customFormat="1" x14ac:dyDescent="0.2">
      <c r="C793" s="144"/>
      <c r="D793" s="144"/>
      <c r="E793" s="144"/>
      <c r="F793" s="373"/>
      <c r="H793" s="2168"/>
      <c r="I793" s="70"/>
    </row>
    <row r="794" spans="3:9" s="46" customFormat="1" x14ac:dyDescent="0.2">
      <c r="C794" s="144"/>
      <c r="D794" s="144"/>
      <c r="E794" s="144"/>
      <c r="F794" s="373"/>
      <c r="H794" s="2168"/>
      <c r="I794" s="70"/>
    </row>
    <row r="795" spans="3:9" s="46" customFormat="1" x14ac:dyDescent="0.2">
      <c r="C795" s="144"/>
      <c r="D795" s="144"/>
      <c r="E795" s="144"/>
      <c r="F795" s="373"/>
      <c r="H795" s="2168"/>
      <c r="I795" s="70"/>
    </row>
    <row r="796" spans="3:9" s="46" customFormat="1" x14ac:dyDescent="0.2">
      <c r="C796" s="144"/>
      <c r="D796" s="144"/>
      <c r="E796" s="144"/>
      <c r="F796" s="373"/>
      <c r="H796" s="2168"/>
      <c r="I796" s="70"/>
    </row>
    <row r="797" spans="3:9" s="46" customFormat="1" x14ac:dyDescent="0.2">
      <c r="C797" s="144"/>
      <c r="D797" s="144"/>
      <c r="E797" s="144"/>
      <c r="F797" s="373"/>
      <c r="H797" s="2168"/>
      <c r="I797" s="70"/>
    </row>
    <row r="798" spans="3:9" s="46" customFormat="1" x14ac:dyDescent="0.2">
      <c r="C798" s="144"/>
      <c r="D798" s="144"/>
      <c r="E798" s="144"/>
      <c r="F798" s="373"/>
      <c r="H798" s="2168"/>
      <c r="I798" s="70"/>
    </row>
    <row r="799" spans="3:9" s="46" customFormat="1" x14ac:dyDescent="0.2">
      <c r="C799" s="144"/>
      <c r="D799" s="144"/>
      <c r="E799" s="144"/>
      <c r="F799" s="373"/>
      <c r="H799" s="2168"/>
      <c r="I799" s="70"/>
    </row>
    <row r="800" spans="3:9" s="46" customFormat="1" x14ac:dyDescent="0.2">
      <c r="C800" s="144"/>
      <c r="D800" s="144"/>
      <c r="E800" s="144"/>
      <c r="F800" s="373"/>
      <c r="H800" s="2168"/>
      <c r="I800" s="70"/>
    </row>
    <row r="801" spans="3:9" s="46" customFormat="1" x14ac:dyDescent="0.2">
      <c r="C801" s="144"/>
      <c r="D801" s="144"/>
      <c r="E801" s="144"/>
      <c r="F801" s="373"/>
      <c r="H801" s="2168"/>
      <c r="I801" s="70"/>
    </row>
    <row r="802" spans="3:9" s="46" customFormat="1" x14ac:dyDescent="0.2">
      <c r="C802" s="144"/>
      <c r="D802" s="144"/>
      <c r="E802" s="144"/>
      <c r="F802" s="373"/>
      <c r="H802" s="2168"/>
      <c r="I802" s="70"/>
    </row>
    <row r="803" spans="3:9" s="46" customFormat="1" x14ac:dyDescent="0.2">
      <c r="C803" s="144"/>
      <c r="D803" s="144"/>
      <c r="E803" s="144"/>
      <c r="F803" s="373"/>
      <c r="H803" s="2168"/>
      <c r="I803" s="70"/>
    </row>
    <row r="804" spans="3:9" s="46" customFormat="1" x14ac:dyDescent="0.2">
      <c r="C804" s="144"/>
      <c r="D804" s="144"/>
      <c r="E804" s="144"/>
      <c r="F804" s="373"/>
      <c r="H804" s="2168"/>
      <c r="I804" s="70"/>
    </row>
    <row r="805" spans="3:9" s="46" customFormat="1" x14ac:dyDescent="0.2">
      <c r="C805" s="144"/>
      <c r="D805" s="144"/>
      <c r="E805" s="144"/>
      <c r="F805" s="373"/>
      <c r="H805" s="2168"/>
      <c r="I805" s="70"/>
    </row>
    <row r="806" spans="3:9" s="46" customFormat="1" x14ac:dyDescent="0.2">
      <c r="C806" s="144"/>
      <c r="D806" s="144"/>
      <c r="E806" s="144"/>
      <c r="F806" s="373"/>
      <c r="H806" s="2168"/>
      <c r="I806" s="70"/>
    </row>
    <row r="807" spans="3:9" s="46" customFormat="1" x14ac:dyDescent="0.2">
      <c r="C807" s="144"/>
      <c r="D807" s="144"/>
      <c r="E807" s="144"/>
      <c r="F807" s="373"/>
      <c r="H807" s="2168"/>
      <c r="I807" s="70"/>
    </row>
    <row r="808" spans="3:9" s="46" customFormat="1" x14ac:dyDescent="0.2">
      <c r="C808" s="144"/>
      <c r="D808" s="144"/>
      <c r="E808" s="144"/>
      <c r="F808" s="373"/>
      <c r="H808" s="2168"/>
      <c r="I808" s="70"/>
    </row>
    <row r="809" spans="3:9" s="46" customFormat="1" x14ac:dyDescent="0.2">
      <c r="C809" s="144"/>
      <c r="D809" s="144"/>
      <c r="E809" s="144"/>
      <c r="F809" s="373"/>
      <c r="H809" s="2168"/>
      <c r="I809" s="70"/>
    </row>
    <row r="810" spans="3:9" s="46" customFormat="1" x14ac:dyDescent="0.2">
      <c r="C810" s="144"/>
      <c r="D810" s="144"/>
      <c r="E810" s="144"/>
      <c r="F810" s="373"/>
      <c r="H810" s="2168"/>
      <c r="I810" s="70"/>
    </row>
    <row r="811" spans="3:9" s="46" customFormat="1" x14ac:dyDescent="0.2">
      <c r="C811" s="144"/>
      <c r="D811" s="144"/>
      <c r="E811" s="144"/>
      <c r="F811" s="373"/>
      <c r="H811" s="2168"/>
      <c r="I811" s="70"/>
    </row>
    <row r="812" spans="3:9" s="46" customFormat="1" x14ac:dyDescent="0.2">
      <c r="C812" s="144"/>
      <c r="D812" s="144"/>
      <c r="E812" s="144"/>
      <c r="F812" s="373"/>
      <c r="H812" s="2168"/>
      <c r="I812" s="70"/>
    </row>
    <row r="813" spans="3:9" s="46" customFormat="1" x14ac:dyDescent="0.2">
      <c r="C813" s="144"/>
      <c r="D813" s="144"/>
      <c r="E813" s="144"/>
      <c r="F813" s="373"/>
      <c r="H813" s="2168"/>
      <c r="I813" s="70"/>
    </row>
    <row r="814" spans="3:9" s="46" customFormat="1" x14ac:dyDescent="0.2">
      <c r="C814" s="144"/>
      <c r="D814" s="144"/>
      <c r="E814" s="144"/>
      <c r="F814" s="373"/>
      <c r="H814" s="2168"/>
      <c r="I814" s="70"/>
    </row>
    <row r="815" spans="3:9" s="46" customFormat="1" x14ac:dyDescent="0.2">
      <c r="C815" s="144"/>
      <c r="D815" s="144"/>
      <c r="E815" s="144"/>
      <c r="F815" s="373"/>
      <c r="H815" s="2168"/>
      <c r="I815" s="70"/>
    </row>
    <row r="816" spans="3:9" s="46" customFormat="1" x14ac:dyDescent="0.2">
      <c r="C816" s="144"/>
      <c r="D816" s="144"/>
      <c r="E816" s="144"/>
      <c r="F816" s="373"/>
      <c r="H816" s="2168"/>
      <c r="I816" s="70"/>
    </row>
    <row r="817" spans="3:9" s="46" customFormat="1" x14ac:dyDescent="0.2">
      <c r="C817" s="144"/>
      <c r="D817" s="144"/>
      <c r="E817" s="144"/>
      <c r="F817" s="373"/>
      <c r="H817" s="2168"/>
      <c r="I817" s="70"/>
    </row>
    <row r="818" spans="3:9" s="46" customFormat="1" x14ac:dyDescent="0.2">
      <c r="C818" s="144"/>
      <c r="D818" s="144"/>
      <c r="E818" s="144"/>
      <c r="F818" s="373"/>
      <c r="H818" s="2168"/>
      <c r="I818" s="70"/>
    </row>
    <row r="819" spans="3:9" s="46" customFormat="1" x14ac:dyDescent="0.2">
      <c r="C819" s="144"/>
      <c r="D819" s="144"/>
      <c r="E819" s="144"/>
      <c r="F819" s="373"/>
      <c r="H819" s="2168"/>
      <c r="I819" s="70"/>
    </row>
    <row r="820" spans="3:9" s="46" customFormat="1" x14ac:dyDescent="0.2">
      <c r="C820" s="144"/>
      <c r="D820" s="144"/>
      <c r="E820" s="144"/>
      <c r="F820" s="373"/>
      <c r="H820" s="2168"/>
      <c r="I820" s="70"/>
    </row>
    <row r="821" spans="3:9" s="46" customFormat="1" x14ac:dyDescent="0.2">
      <c r="C821" s="144"/>
      <c r="D821" s="144"/>
      <c r="E821" s="144"/>
      <c r="F821" s="373"/>
      <c r="H821" s="2168"/>
      <c r="I821" s="70"/>
    </row>
    <row r="822" spans="3:9" s="46" customFormat="1" x14ac:dyDescent="0.2">
      <c r="C822" s="144"/>
      <c r="D822" s="144"/>
      <c r="E822" s="144"/>
      <c r="F822" s="373"/>
      <c r="H822" s="2168"/>
      <c r="I822" s="70"/>
    </row>
    <row r="823" spans="3:9" s="46" customFormat="1" x14ac:dyDescent="0.2">
      <c r="C823" s="144"/>
      <c r="D823" s="144"/>
      <c r="E823" s="144"/>
      <c r="F823" s="373"/>
      <c r="H823" s="2168"/>
      <c r="I823" s="70"/>
    </row>
    <row r="824" spans="3:9" s="46" customFormat="1" x14ac:dyDescent="0.2">
      <c r="C824" s="144"/>
      <c r="D824" s="144"/>
      <c r="E824" s="144"/>
      <c r="F824" s="373"/>
      <c r="H824" s="2168"/>
      <c r="I824" s="70"/>
    </row>
    <row r="825" spans="3:9" s="46" customFormat="1" x14ac:dyDescent="0.2">
      <c r="C825" s="144"/>
      <c r="D825" s="144"/>
      <c r="E825" s="144"/>
      <c r="F825" s="373"/>
      <c r="H825" s="2168"/>
      <c r="I825" s="70"/>
    </row>
    <row r="826" spans="3:9" s="46" customFormat="1" x14ac:dyDescent="0.2">
      <c r="C826" s="144"/>
      <c r="D826" s="144"/>
      <c r="E826" s="144"/>
      <c r="F826" s="373"/>
      <c r="H826" s="2168"/>
      <c r="I826" s="70"/>
    </row>
    <row r="827" spans="3:9" s="46" customFormat="1" x14ac:dyDescent="0.2">
      <c r="C827" s="144"/>
      <c r="D827" s="144"/>
      <c r="E827" s="144"/>
      <c r="F827" s="373"/>
      <c r="H827" s="2168"/>
      <c r="I827" s="70"/>
    </row>
    <row r="828" spans="3:9" s="46" customFormat="1" x14ac:dyDescent="0.2">
      <c r="C828" s="144"/>
      <c r="D828" s="144"/>
      <c r="E828" s="144"/>
      <c r="F828" s="373"/>
      <c r="H828" s="2168"/>
      <c r="I828" s="70"/>
    </row>
    <row r="829" spans="3:9" s="46" customFormat="1" x14ac:dyDescent="0.2">
      <c r="C829" s="144"/>
      <c r="D829" s="144"/>
      <c r="E829" s="144"/>
      <c r="F829" s="373"/>
      <c r="H829" s="2168"/>
      <c r="I829" s="70"/>
    </row>
    <row r="830" spans="3:9" s="46" customFormat="1" x14ac:dyDescent="0.2">
      <c r="C830" s="144"/>
      <c r="D830" s="144"/>
      <c r="E830" s="144"/>
      <c r="F830" s="373"/>
      <c r="H830" s="2168"/>
      <c r="I830" s="70"/>
    </row>
    <row r="831" spans="3:9" s="46" customFormat="1" x14ac:dyDescent="0.2">
      <c r="C831" s="144"/>
      <c r="D831" s="144"/>
      <c r="E831" s="144"/>
      <c r="F831" s="373"/>
      <c r="H831" s="2168"/>
      <c r="I831" s="70"/>
    </row>
    <row r="832" spans="3:9" s="46" customFormat="1" x14ac:dyDescent="0.2">
      <c r="C832" s="144"/>
      <c r="D832" s="144"/>
      <c r="E832" s="144"/>
      <c r="F832" s="373"/>
      <c r="H832" s="2168"/>
      <c r="I832" s="70"/>
    </row>
    <row r="833" spans="3:9" s="46" customFormat="1" x14ac:dyDescent="0.2">
      <c r="C833" s="144"/>
      <c r="D833" s="144"/>
      <c r="E833" s="144"/>
      <c r="F833" s="373"/>
      <c r="H833" s="2168"/>
      <c r="I833" s="70"/>
    </row>
    <row r="834" spans="3:9" s="46" customFormat="1" x14ac:dyDescent="0.2">
      <c r="C834" s="144"/>
      <c r="D834" s="144"/>
      <c r="E834" s="144"/>
      <c r="F834" s="373"/>
      <c r="H834" s="2168"/>
      <c r="I834" s="70"/>
    </row>
    <row r="835" spans="3:9" s="46" customFormat="1" x14ac:dyDescent="0.2">
      <c r="C835" s="144"/>
      <c r="D835" s="144"/>
      <c r="E835" s="144"/>
      <c r="F835" s="373"/>
      <c r="H835" s="2168"/>
      <c r="I835" s="70"/>
    </row>
    <row r="836" spans="3:9" s="46" customFormat="1" x14ac:dyDescent="0.2">
      <c r="C836" s="144"/>
      <c r="D836" s="144"/>
      <c r="E836" s="144"/>
      <c r="F836" s="373"/>
      <c r="H836" s="2168"/>
      <c r="I836" s="70"/>
    </row>
    <row r="837" spans="3:9" s="46" customFormat="1" x14ac:dyDescent="0.2">
      <c r="C837" s="144"/>
      <c r="D837" s="144"/>
      <c r="E837" s="144"/>
      <c r="F837" s="373"/>
      <c r="H837" s="2168"/>
      <c r="I837" s="70"/>
    </row>
    <row r="838" spans="3:9" s="46" customFormat="1" x14ac:dyDescent="0.2">
      <c r="C838" s="144"/>
      <c r="D838" s="144"/>
      <c r="E838" s="144"/>
      <c r="F838" s="373"/>
      <c r="H838" s="2168"/>
      <c r="I838" s="70"/>
    </row>
    <row r="839" spans="3:9" s="46" customFormat="1" x14ac:dyDescent="0.2">
      <c r="C839" s="144"/>
      <c r="D839" s="144"/>
      <c r="E839" s="144"/>
      <c r="F839" s="373"/>
      <c r="H839" s="2168"/>
      <c r="I839" s="70"/>
    </row>
    <row r="840" spans="3:9" s="46" customFormat="1" x14ac:dyDescent="0.2">
      <c r="C840" s="144"/>
      <c r="D840" s="144"/>
      <c r="E840" s="144"/>
      <c r="F840" s="373"/>
      <c r="H840" s="2168"/>
      <c r="I840" s="70"/>
    </row>
    <row r="841" spans="3:9" s="46" customFormat="1" x14ac:dyDescent="0.2">
      <c r="C841" s="144"/>
      <c r="D841" s="144"/>
      <c r="E841" s="144"/>
      <c r="F841" s="373"/>
      <c r="H841" s="2168"/>
      <c r="I841" s="70"/>
    </row>
    <row r="842" spans="3:9" s="46" customFormat="1" x14ac:dyDescent="0.2">
      <c r="C842" s="144"/>
      <c r="D842" s="144"/>
      <c r="E842" s="144"/>
      <c r="F842" s="373"/>
      <c r="H842" s="2168"/>
      <c r="I842" s="70"/>
    </row>
    <row r="843" spans="3:9" s="46" customFormat="1" x14ac:dyDescent="0.2">
      <c r="C843" s="144"/>
      <c r="D843" s="144"/>
      <c r="E843" s="144"/>
      <c r="F843" s="373"/>
      <c r="H843" s="2168"/>
      <c r="I843" s="70"/>
    </row>
    <row r="844" spans="3:9" s="46" customFormat="1" x14ac:dyDescent="0.2">
      <c r="C844" s="144"/>
      <c r="D844" s="144"/>
      <c r="E844" s="144"/>
      <c r="F844" s="373"/>
      <c r="H844" s="2168"/>
      <c r="I844" s="70"/>
    </row>
    <row r="845" spans="3:9" s="46" customFormat="1" x14ac:dyDescent="0.2">
      <c r="C845" s="144"/>
      <c r="D845" s="144"/>
      <c r="E845" s="144"/>
      <c r="F845" s="373"/>
      <c r="H845" s="2168"/>
      <c r="I845" s="70"/>
    </row>
    <row r="846" spans="3:9" s="46" customFormat="1" x14ac:dyDescent="0.2">
      <c r="C846" s="144"/>
      <c r="D846" s="144"/>
      <c r="E846" s="144"/>
      <c r="F846" s="373"/>
      <c r="H846" s="2168"/>
      <c r="I846" s="70"/>
    </row>
    <row r="847" spans="3:9" s="46" customFormat="1" x14ac:dyDescent="0.2">
      <c r="C847" s="144"/>
      <c r="D847" s="144"/>
      <c r="E847" s="144"/>
      <c r="F847" s="373"/>
      <c r="H847" s="2168"/>
      <c r="I847" s="70"/>
    </row>
    <row r="848" spans="3:9" s="46" customFormat="1" x14ac:dyDescent="0.2">
      <c r="C848" s="144"/>
      <c r="D848" s="144"/>
      <c r="E848" s="144"/>
      <c r="F848" s="373"/>
      <c r="H848" s="2168"/>
      <c r="I848" s="70"/>
    </row>
    <row r="849" spans="3:9" s="46" customFormat="1" x14ac:dyDescent="0.2">
      <c r="C849" s="144"/>
      <c r="D849" s="144"/>
      <c r="E849" s="144"/>
      <c r="F849" s="373"/>
      <c r="H849" s="2168"/>
      <c r="I849" s="70"/>
    </row>
    <row r="850" spans="3:9" s="46" customFormat="1" x14ac:dyDescent="0.2">
      <c r="C850" s="144"/>
      <c r="D850" s="144"/>
      <c r="E850" s="144"/>
      <c r="F850" s="373"/>
      <c r="H850" s="2168"/>
      <c r="I850" s="70"/>
    </row>
    <row r="851" spans="3:9" s="46" customFormat="1" x14ac:dyDescent="0.2">
      <c r="C851" s="144"/>
      <c r="D851" s="144"/>
      <c r="E851" s="144"/>
      <c r="F851" s="373"/>
      <c r="H851" s="2168"/>
      <c r="I851" s="70"/>
    </row>
    <row r="852" spans="3:9" s="46" customFormat="1" x14ac:dyDescent="0.2">
      <c r="C852" s="144"/>
      <c r="D852" s="144"/>
      <c r="E852" s="144"/>
      <c r="F852" s="373"/>
      <c r="H852" s="2168"/>
      <c r="I852" s="70"/>
    </row>
    <row r="853" spans="3:9" s="46" customFormat="1" x14ac:dyDescent="0.2">
      <c r="C853" s="144"/>
      <c r="D853" s="144"/>
      <c r="E853" s="144"/>
      <c r="F853" s="373"/>
      <c r="H853" s="2168"/>
      <c r="I853" s="70"/>
    </row>
    <row r="854" spans="3:9" s="46" customFormat="1" x14ac:dyDescent="0.2">
      <c r="C854" s="144"/>
      <c r="D854" s="144"/>
      <c r="E854" s="144"/>
      <c r="F854" s="373"/>
      <c r="H854" s="2168"/>
      <c r="I854" s="70"/>
    </row>
    <row r="855" spans="3:9" s="46" customFormat="1" x14ac:dyDescent="0.2">
      <c r="C855" s="144"/>
      <c r="D855" s="144"/>
      <c r="E855" s="144"/>
      <c r="F855" s="373"/>
      <c r="H855" s="2168"/>
      <c r="I855" s="70"/>
    </row>
    <row r="856" spans="3:9" s="46" customFormat="1" x14ac:dyDescent="0.2">
      <c r="C856" s="144"/>
      <c r="D856" s="144"/>
      <c r="E856" s="144"/>
      <c r="F856" s="373"/>
      <c r="H856" s="2168"/>
      <c r="I856" s="70"/>
    </row>
    <row r="857" spans="3:9" s="46" customFormat="1" x14ac:dyDescent="0.2">
      <c r="C857" s="144"/>
      <c r="D857" s="144"/>
      <c r="E857" s="144"/>
      <c r="F857" s="373"/>
      <c r="H857" s="2168"/>
      <c r="I857" s="70"/>
    </row>
    <row r="858" spans="3:9" s="46" customFormat="1" x14ac:dyDescent="0.2">
      <c r="C858" s="144"/>
      <c r="D858" s="144"/>
      <c r="E858" s="144"/>
      <c r="F858" s="373"/>
      <c r="H858" s="2168"/>
      <c r="I858" s="70"/>
    </row>
    <row r="859" spans="3:9" s="46" customFormat="1" x14ac:dyDescent="0.2">
      <c r="C859" s="144"/>
      <c r="D859" s="144"/>
      <c r="E859" s="144"/>
      <c r="F859" s="373"/>
      <c r="H859" s="2168"/>
      <c r="I859" s="70"/>
    </row>
    <row r="860" spans="3:9" s="46" customFormat="1" x14ac:dyDescent="0.2">
      <c r="C860" s="144"/>
      <c r="D860" s="144"/>
      <c r="E860" s="144"/>
      <c r="F860" s="373"/>
      <c r="H860" s="2168"/>
      <c r="I860" s="70"/>
    </row>
    <row r="861" spans="3:9" s="46" customFormat="1" x14ac:dyDescent="0.2">
      <c r="C861" s="144"/>
      <c r="D861" s="144"/>
      <c r="E861" s="144"/>
      <c r="F861" s="373"/>
      <c r="H861" s="2168"/>
      <c r="I861" s="70"/>
    </row>
    <row r="862" spans="3:9" s="46" customFormat="1" x14ac:dyDescent="0.2">
      <c r="C862" s="144"/>
      <c r="D862" s="144"/>
      <c r="E862" s="144"/>
      <c r="F862" s="373"/>
      <c r="H862" s="2168"/>
      <c r="I862" s="70"/>
    </row>
    <row r="863" spans="3:9" s="46" customFormat="1" x14ac:dyDescent="0.2">
      <c r="C863" s="144"/>
      <c r="D863" s="144"/>
      <c r="E863" s="144"/>
      <c r="F863" s="373"/>
      <c r="H863" s="2168"/>
      <c r="I863" s="70"/>
    </row>
    <row r="864" spans="3:9" s="46" customFormat="1" x14ac:dyDescent="0.2">
      <c r="C864" s="144"/>
      <c r="D864" s="144"/>
      <c r="E864" s="144"/>
      <c r="F864" s="373"/>
      <c r="H864" s="2168"/>
      <c r="I864" s="70"/>
    </row>
    <row r="865" spans="3:9" s="46" customFormat="1" x14ac:dyDescent="0.2">
      <c r="C865" s="144"/>
      <c r="D865" s="144"/>
      <c r="E865" s="144"/>
      <c r="F865" s="373"/>
      <c r="H865" s="2168"/>
      <c r="I865" s="70"/>
    </row>
    <row r="866" spans="3:9" s="46" customFormat="1" x14ac:dyDescent="0.2">
      <c r="C866" s="144"/>
      <c r="D866" s="144"/>
      <c r="E866" s="144"/>
      <c r="F866" s="373"/>
      <c r="H866" s="2168"/>
      <c r="I866" s="70"/>
    </row>
    <row r="867" spans="3:9" s="46" customFormat="1" x14ac:dyDescent="0.2">
      <c r="C867" s="144"/>
      <c r="D867" s="144"/>
      <c r="E867" s="144"/>
      <c r="F867" s="373"/>
      <c r="H867" s="2168"/>
      <c r="I867" s="70"/>
    </row>
    <row r="868" spans="3:9" s="46" customFormat="1" x14ac:dyDescent="0.2">
      <c r="C868" s="144"/>
      <c r="D868" s="144"/>
      <c r="E868" s="144"/>
      <c r="F868" s="373"/>
      <c r="H868" s="2168"/>
      <c r="I868" s="70"/>
    </row>
    <row r="869" spans="3:9" s="46" customFormat="1" x14ac:dyDescent="0.2">
      <c r="C869" s="144"/>
      <c r="D869" s="144"/>
      <c r="E869" s="144"/>
      <c r="F869" s="373"/>
      <c r="H869" s="2168"/>
      <c r="I869" s="70"/>
    </row>
    <row r="870" spans="3:9" s="46" customFormat="1" x14ac:dyDescent="0.2">
      <c r="C870" s="144"/>
      <c r="D870" s="144"/>
      <c r="E870" s="144"/>
      <c r="F870" s="373"/>
      <c r="H870" s="2168"/>
      <c r="I870" s="70"/>
    </row>
    <row r="871" spans="3:9" s="46" customFormat="1" x14ac:dyDescent="0.2">
      <c r="C871" s="144"/>
      <c r="D871" s="144"/>
      <c r="E871" s="144"/>
      <c r="F871" s="373"/>
      <c r="H871" s="2168"/>
      <c r="I871" s="70"/>
    </row>
    <row r="872" spans="3:9" s="46" customFormat="1" x14ac:dyDescent="0.2">
      <c r="C872" s="144"/>
      <c r="D872" s="144"/>
      <c r="E872" s="144"/>
      <c r="F872" s="373"/>
      <c r="H872" s="2168"/>
      <c r="I872" s="70"/>
    </row>
    <row r="873" spans="3:9" s="46" customFormat="1" x14ac:dyDescent="0.2">
      <c r="C873" s="144"/>
      <c r="D873" s="144"/>
      <c r="E873" s="144"/>
      <c r="F873" s="373"/>
      <c r="H873" s="2168"/>
      <c r="I873" s="70"/>
    </row>
    <row r="874" spans="3:9" s="46" customFormat="1" x14ac:dyDescent="0.2">
      <c r="C874" s="144"/>
      <c r="D874" s="144"/>
      <c r="E874" s="144"/>
      <c r="F874" s="373"/>
      <c r="H874" s="2168"/>
      <c r="I874" s="70"/>
    </row>
    <row r="875" spans="3:9" s="46" customFormat="1" x14ac:dyDescent="0.2">
      <c r="C875" s="144"/>
      <c r="D875" s="144"/>
      <c r="E875" s="144"/>
      <c r="F875" s="373"/>
      <c r="H875" s="2168"/>
      <c r="I875" s="70"/>
    </row>
    <row r="876" spans="3:9" s="46" customFormat="1" x14ac:dyDescent="0.2">
      <c r="C876" s="144"/>
      <c r="D876" s="144"/>
      <c r="E876" s="144"/>
      <c r="F876" s="373"/>
      <c r="H876" s="2168"/>
      <c r="I876" s="70"/>
    </row>
    <row r="877" spans="3:9" s="46" customFormat="1" x14ac:dyDescent="0.2">
      <c r="C877" s="144"/>
      <c r="D877" s="144"/>
      <c r="E877" s="144"/>
      <c r="F877" s="373"/>
      <c r="H877" s="2168"/>
      <c r="I877" s="70"/>
    </row>
    <row r="878" spans="3:9" s="46" customFormat="1" x14ac:dyDescent="0.2">
      <c r="C878" s="144"/>
      <c r="D878" s="144"/>
      <c r="E878" s="144"/>
      <c r="F878" s="373"/>
      <c r="H878" s="2168"/>
      <c r="I878" s="70"/>
    </row>
    <row r="879" spans="3:9" s="46" customFormat="1" x14ac:dyDescent="0.2">
      <c r="C879" s="144"/>
      <c r="D879" s="144"/>
      <c r="E879" s="144"/>
      <c r="F879" s="373"/>
      <c r="H879" s="2168"/>
      <c r="I879" s="70"/>
    </row>
    <row r="880" spans="3:9" s="46" customFormat="1" x14ac:dyDescent="0.2">
      <c r="C880" s="144"/>
      <c r="D880" s="144"/>
      <c r="E880" s="144"/>
      <c r="F880" s="373"/>
      <c r="H880" s="2168"/>
      <c r="I880" s="70"/>
    </row>
    <row r="881" spans="3:9" s="46" customFormat="1" x14ac:dyDescent="0.2">
      <c r="C881" s="144"/>
      <c r="D881" s="144"/>
      <c r="E881" s="144"/>
      <c r="F881" s="373"/>
      <c r="H881" s="2168"/>
      <c r="I881" s="70"/>
    </row>
    <row r="882" spans="3:9" s="46" customFormat="1" x14ac:dyDescent="0.2">
      <c r="C882" s="144"/>
      <c r="D882" s="144"/>
      <c r="E882" s="144"/>
      <c r="F882" s="373"/>
      <c r="H882" s="2168"/>
      <c r="I882" s="70"/>
    </row>
    <row r="883" spans="3:9" s="46" customFormat="1" x14ac:dyDescent="0.2">
      <c r="C883" s="144"/>
      <c r="D883" s="144"/>
      <c r="E883" s="144"/>
      <c r="F883" s="373"/>
      <c r="H883" s="2168"/>
      <c r="I883" s="70"/>
    </row>
    <row r="884" spans="3:9" s="46" customFormat="1" x14ac:dyDescent="0.2">
      <c r="C884" s="144"/>
      <c r="D884" s="144"/>
      <c r="E884" s="144"/>
      <c r="F884" s="373"/>
      <c r="H884" s="2168"/>
      <c r="I884" s="70"/>
    </row>
    <row r="885" spans="3:9" s="46" customFormat="1" x14ac:dyDescent="0.2">
      <c r="C885" s="144"/>
      <c r="D885" s="144"/>
      <c r="E885" s="144"/>
      <c r="F885" s="373"/>
      <c r="H885" s="2168"/>
      <c r="I885" s="70"/>
    </row>
    <row r="886" spans="3:9" s="46" customFormat="1" x14ac:dyDescent="0.2">
      <c r="C886" s="144"/>
      <c r="D886" s="144"/>
      <c r="E886" s="144"/>
      <c r="F886" s="373"/>
      <c r="H886" s="2168"/>
      <c r="I886" s="70"/>
    </row>
    <row r="887" spans="3:9" s="46" customFormat="1" x14ac:dyDescent="0.2">
      <c r="C887" s="144"/>
      <c r="D887" s="144"/>
      <c r="E887" s="144"/>
      <c r="F887" s="373"/>
      <c r="H887" s="2168"/>
      <c r="I887" s="70"/>
    </row>
    <row r="888" spans="3:9" s="46" customFormat="1" x14ac:dyDescent="0.2">
      <c r="C888" s="144"/>
      <c r="D888" s="144"/>
      <c r="E888" s="144"/>
      <c r="F888" s="373"/>
      <c r="H888" s="2168"/>
      <c r="I888" s="70"/>
    </row>
    <row r="889" spans="3:9" s="46" customFormat="1" x14ac:dyDescent="0.2">
      <c r="C889" s="144"/>
      <c r="D889" s="144"/>
      <c r="E889" s="144"/>
      <c r="F889" s="373"/>
      <c r="H889" s="2168"/>
      <c r="I889" s="70"/>
    </row>
    <row r="890" spans="3:9" s="46" customFormat="1" x14ac:dyDescent="0.2">
      <c r="C890" s="144"/>
      <c r="D890" s="144"/>
      <c r="E890" s="144"/>
      <c r="F890" s="373"/>
      <c r="H890" s="2168"/>
      <c r="I890" s="70"/>
    </row>
    <row r="891" spans="3:9" s="46" customFormat="1" x14ac:dyDescent="0.2">
      <c r="C891" s="144"/>
      <c r="D891" s="144"/>
      <c r="E891" s="144"/>
      <c r="F891" s="373"/>
      <c r="H891" s="2168"/>
      <c r="I891" s="70"/>
    </row>
    <row r="892" spans="3:9" s="46" customFormat="1" x14ac:dyDescent="0.2">
      <c r="C892" s="144"/>
      <c r="D892" s="144"/>
      <c r="E892" s="144"/>
      <c r="F892" s="373"/>
      <c r="H892" s="2168"/>
      <c r="I892" s="70"/>
    </row>
    <row r="893" spans="3:9" s="46" customFormat="1" x14ac:dyDescent="0.2">
      <c r="C893" s="144"/>
      <c r="D893" s="144"/>
      <c r="E893" s="144"/>
      <c r="F893" s="373"/>
      <c r="H893" s="2168"/>
      <c r="I893" s="70"/>
    </row>
    <row r="894" spans="3:9" s="46" customFormat="1" x14ac:dyDescent="0.2">
      <c r="C894" s="144"/>
      <c r="D894" s="144"/>
      <c r="E894" s="144"/>
      <c r="F894" s="373"/>
      <c r="H894" s="2168"/>
      <c r="I894" s="70"/>
    </row>
    <row r="895" spans="3:9" s="46" customFormat="1" x14ac:dyDescent="0.2">
      <c r="C895" s="144"/>
      <c r="D895" s="144"/>
      <c r="E895" s="144"/>
      <c r="F895" s="373"/>
      <c r="H895" s="2168"/>
      <c r="I895" s="70"/>
    </row>
    <row r="896" spans="3:9" s="46" customFormat="1" x14ac:dyDescent="0.2">
      <c r="C896" s="144"/>
      <c r="D896" s="144"/>
      <c r="E896" s="144"/>
      <c r="F896" s="373"/>
      <c r="H896" s="2168"/>
      <c r="I896" s="70"/>
    </row>
    <row r="897" spans="3:9" s="46" customFormat="1" x14ac:dyDescent="0.2">
      <c r="C897" s="144"/>
      <c r="D897" s="144"/>
      <c r="E897" s="144"/>
      <c r="F897" s="373"/>
      <c r="H897" s="2168"/>
      <c r="I897" s="70"/>
    </row>
    <row r="898" spans="3:9" s="46" customFormat="1" x14ac:dyDescent="0.2">
      <c r="C898" s="144"/>
      <c r="D898" s="144"/>
      <c r="E898" s="144"/>
      <c r="F898" s="373"/>
      <c r="H898" s="2168"/>
      <c r="I898" s="70"/>
    </row>
    <row r="899" spans="3:9" s="46" customFormat="1" x14ac:dyDescent="0.2">
      <c r="C899" s="144"/>
      <c r="D899" s="144"/>
      <c r="E899" s="144"/>
      <c r="F899" s="373"/>
      <c r="H899" s="2168"/>
      <c r="I899" s="70"/>
    </row>
    <row r="900" spans="3:9" s="46" customFormat="1" x14ac:dyDescent="0.2">
      <c r="C900" s="144"/>
      <c r="D900" s="144"/>
      <c r="E900" s="144"/>
      <c r="F900" s="373"/>
      <c r="H900" s="2168"/>
      <c r="I900" s="70"/>
    </row>
    <row r="901" spans="3:9" s="46" customFormat="1" x14ac:dyDescent="0.2">
      <c r="C901" s="144"/>
      <c r="D901" s="144"/>
      <c r="E901" s="144"/>
      <c r="F901" s="373"/>
      <c r="H901" s="2168"/>
      <c r="I901" s="70"/>
    </row>
    <row r="902" spans="3:9" s="46" customFormat="1" x14ac:dyDescent="0.2">
      <c r="C902" s="144"/>
      <c r="D902" s="144"/>
      <c r="E902" s="144"/>
      <c r="F902" s="373"/>
      <c r="H902" s="2168"/>
      <c r="I902" s="70"/>
    </row>
    <row r="903" spans="3:9" s="46" customFormat="1" x14ac:dyDescent="0.2">
      <c r="C903" s="144"/>
      <c r="D903" s="144"/>
      <c r="E903" s="144"/>
      <c r="F903" s="373"/>
      <c r="H903" s="2168"/>
      <c r="I903" s="70"/>
    </row>
    <row r="904" spans="3:9" s="46" customFormat="1" x14ac:dyDescent="0.2">
      <c r="C904" s="144"/>
      <c r="D904" s="144"/>
      <c r="E904" s="144"/>
      <c r="F904" s="373"/>
      <c r="H904" s="2168"/>
      <c r="I904" s="70"/>
    </row>
    <row r="905" spans="3:9" s="46" customFormat="1" x14ac:dyDescent="0.2">
      <c r="C905" s="144"/>
      <c r="D905" s="144"/>
      <c r="E905" s="144"/>
      <c r="F905" s="373"/>
      <c r="H905" s="2168"/>
      <c r="I905" s="70"/>
    </row>
    <row r="906" spans="3:9" s="46" customFormat="1" x14ac:dyDescent="0.2">
      <c r="C906" s="144"/>
      <c r="D906" s="144"/>
      <c r="E906" s="144"/>
      <c r="F906" s="373"/>
      <c r="H906" s="2168"/>
      <c r="I906" s="70"/>
    </row>
    <row r="907" spans="3:9" s="46" customFormat="1" x14ac:dyDescent="0.2">
      <c r="C907" s="144"/>
      <c r="D907" s="144"/>
      <c r="E907" s="144"/>
      <c r="F907" s="373"/>
      <c r="H907" s="2168"/>
      <c r="I907" s="70"/>
    </row>
    <row r="908" spans="3:9" s="46" customFormat="1" x14ac:dyDescent="0.2">
      <c r="C908" s="144"/>
      <c r="D908" s="144"/>
      <c r="E908" s="144"/>
      <c r="F908" s="373"/>
      <c r="H908" s="2168"/>
      <c r="I908" s="70"/>
    </row>
    <row r="909" spans="3:9" s="46" customFormat="1" x14ac:dyDescent="0.2">
      <c r="C909" s="144"/>
      <c r="D909" s="144"/>
      <c r="E909" s="144"/>
      <c r="F909" s="373"/>
      <c r="H909" s="2168"/>
      <c r="I909" s="70"/>
    </row>
    <row r="910" spans="3:9" s="46" customFormat="1" x14ac:dyDescent="0.2">
      <c r="C910" s="144"/>
      <c r="D910" s="144"/>
      <c r="E910" s="144"/>
      <c r="F910" s="373"/>
      <c r="H910" s="2168"/>
      <c r="I910" s="70"/>
    </row>
    <row r="911" spans="3:9" s="46" customFormat="1" x14ac:dyDescent="0.2">
      <c r="C911" s="144"/>
      <c r="D911" s="144"/>
      <c r="E911" s="144"/>
      <c r="F911" s="373"/>
      <c r="H911" s="2168"/>
      <c r="I911" s="70"/>
    </row>
    <row r="912" spans="3:9" s="46" customFormat="1" x14ac:dyDescent="0.2">
      <c r="C912" s="144"/>
      <c r="D912" s="144"/>
      <c r="E912" s="144"/>
      <c r="F912" s="373"/>
      <c r="H912" s="2168"/>
      <c r="I912" s="70"/>
    </row>
    <row r="913" spans="3:9" s="46" customFormat="1" x14ac:dyDescent="0.2">
      <c r="C913" s="144"/>
      <c r="D913" s="144"/>
      <c r="E913" s="144"/>
      <c r="F913" s="373"/>
      <c r="H913" s="2168"/>
      <c r="I913" s="70"/>
    </row>
    <row r="914" spans="3:9" s="46" customFormat="1" x14ac:dyDescent="0.2">
      <c r="C914" s="144"/>
      <c r="D914" s="144"/>
      <c r="E914" s="144"/>
      <c r="F914" s="373"/>
      <c r="H914" s="2168"/>
      <c r="I914" s="70"/>
    </row>
    <row r="915" spans="3:9" s="46" customFormat="1" x14ac:dyDescent="0.2">
      <c r="C915" s="144"/>
      <c r="D915" s="144"/>
      <c r="E915" s="144"/>
      <c r="F915" s="373"/>
      <c r="H915" s="2168"/>
      <c r="I915" s="70"/>
    </row>
    <row r="916" spans="3:9" s="46" customFormat="1" x14ac:dyDescent="0.2">
      <c r="C916" s="144"/>
      <c r="D916" s="144"/>
      <c r="E916" s="144"/>
      <c r="F916" s="373"/>
      <c r="H916" s="2168"/>
      <c r="I916" s="70"/>
    </row>
    <row r="917" spans="3:9" s="46" customFormat="1" x14ac:dyDescent="0.2">
      <c r="C917" s="144"/>
      <c r="D917" s="144"/>
      <c r="E917" s="144"/>
      <c r="F917" s="373"/>
      <c r="H917" s="2168"/>
      <c r="I917" s="70"/>
    </row>
    <row r="918" spans="3:9" s="46" customFormat="1" x14ac:dyDescent="0.2">
      <c r="C918" s="144"/>
      <c r="D918" s="144"/>
      <c r="E918" s="144"/>
      <c r="F918" s="373"/>
      <c r="H918" s="2168"/>
      <c r="I918" s="70"/>
    </row>
    <row r="919" spans="3:9" s="46" customFormat="1" x14ac:dyDescent="0.2">
      <c r="C919" s="144"/>
      <c r="D919" s="144"/>
      <c r="E919" s="144"/>
      <c r="F919" s="373"/>
      <c r="H919" s="2168"/>
      <c r="I919" s="70"/>
    </row>
    <row r="920" spans="3:9" s="46" customFormat="1" x14ac:dyDescent="0.2">
      <c r="C920" s="144"/>
      <c r="D920" s="144"/>
      <c r="E920" s="144"/>
      <c r="F920" s="373"/>
      <c r="H920" s="2168"/>
      <c r="I920" s="70"/>
    </row>
    <row r="921" spans="3:9" s="46" customFormat="1" x14ac:dyDescent="0.2">
      <c r="C921" s="144"/>
      <c r="D921" s="144"/>
      <c r="E921" s="144"/>
      <c r="F921" s="373"/>
      <c r="H921" s="2168"/>
      <c r="I921" s="70"/>
    </row>
    <row r="922" spans="3:9" s="46" customFormat="1" x14ac:dyDescent="0.2">
      <c r="C922" s="144"/>
      <c r="D922" s="144"/>
      <c r="E922" s="144"/>
      <c r="F922" s="373"/>
      <c r="H922" s="2168"/>
      <c r="I922" s="70"/>
    </row>
    <row r="923" spans="3:9" s="46" customFormat="1" x14ac:dyDescent="0.2">
      <c r="C923" s="144"/>
      <c r="D923" s="144"/>
      <c r="E923" s="144"/>
      <c r="F923" s="373"/>
      <c r="H923" s="2168"/>
      <c r="I923" s="70"/>
    </row>
    <row r="924" spans="3:9" s="46" customFormat="1" x14ac:dyDescent="0.2">
      <c r="C924" s="144"/>
      <c r="D924" s="144"/>
      <c r="E924" s="144"/>
      <c r="F924" s="373"/>
      <c r="H924" s="2168"/>
      <c r="I924" s="70"/>
    </row>
    <row r="925" spans="3:9" s="46" customFormat="1" x14ac:dyDescent="0.2">
      <c r="C925" s="144"/>
      <c r="D925" s="144"/>
      <c r="E925" s="144"/>
      <c r="F925" s="373"/>
      <c r="H925" s="2168"/>
      <c r="I925" s="70"/>
    </row>
    <row r="926" spans="3:9" s="46" customFormat="1" x14ac:dyDescent="0.2">
      <c r="C926" s="144"/>
      <c r="D926" s="144"/>
      <c r="E926" s="144"/>
      <c r="F926" s="373"/>
      <c r="H926" s="2168"/>
      <c r="I926" s="70"/>
    </row>
    <row r="927" spans="3:9" s="46" customFormat="1" x14ac:dyDescent="0.2">
      <c r="C927" s="144"/>
      <c r="D927" s="144"/>
      <c r="E927" s="144"/>
      <c r="F927" s="373"/>
      <c r="H927" s="2168"/>
      <c r="I927" s="70"/>
    </row>
    <row r="928" spans="3:9" s="46" customFormat="1" x14ac:dyDescent="0.2">
      <c r="C928" s="144"/>
      <c r="D928" s="144"/>
      <c r="E928" s="144"/>
      <c r="F928" s="373"/>
      <c r="H928" s="2168"/>
      <c r="I928" s="70"/>
    </row>
    <row r="929" spans="3:9" s="46" customFormat="1" x14ac:dyDescent="0.2">
      <c r="C929" s="144"/>
      <c r="D929" s="144"/>
      <c r="E929" s="144"/>
      <c r="F929" s="373"/>
      <c r="H929" s="2168"/>
      <c r="I929" s="70"/>
    </row>
    <row r="930" spans="3:9" s="46" customFormat="1" x14ac:dyDescent="0.2">
      <c r="C930" s="144"/>
      <c r="D930" s="144"/>
      <c r="E930" s="144"/>
      <c r="F930" s="373"/>
      <c r="H930" s="2168"/>
      <c r="I930" s="70"/>
    </row>
    <row r="931" spans="3:9" s="46" customFormat="1" x14ac:dyDescent="0.2">
      <c r="C931" s="144"/>
      <c r="D931" s="144"/>
      <c r="E931" s="144"/>
      <c r="F931" s="373"/>
      <c r="H931" s="2168"/>
      <c r="I931" s="70"/>
    </row>
    <row r="932" spans="3:9" s="46" customFormat="1" x14ac:dyDescent="0.2">
      <c r="C932" s="144"/>
      <c r="D932" s="144"/>
      <c r="E932" s="144"/>
      <c r="F932" s="373"/>
      <c r="H932" s="2168"/>
      <c r="I932" s="70"/>
    </row>
    <row r="933" spans="3:9" s="46" customFormat="1" x14ac:dyDescent="0.2">
      <c r="C933" s="144"/>
      <c r="D933" s="144"/>
      <c r="E933" s="144"/>
      <c r="F933" s="373"/>
      <c r="H933" s="2168"/>
      <c r="I933" s="70"/>
    </row>
    <row r="934" spans="3:9" s="46" customFormat="1" x14ac:dyDescent="0.2">
      <c r="C934" s="144"/>
      <c r="D934" s="144"/>
      <c r="E934" s="144"/>
      <c r="F934" s="373"/>
      <c r="H934" s="2168"/>
      <c r="I934" s="70"/>
    </row>
    <row r="935" spans="3:9" s="46" customFormat="1" x14ac:dyDescent="0.2">
      <c r="C935" s="144"/>
      <c r="D935" s="144"/>
      <c r="E935" s="144"/>
      <c r="F935" s="373"/>
      <c r="H935" s="2168"/>
      <c r="I935" s="70"/>
    </row>
    <row r="936" spans="3:9" s="46" customFormat="1" x14ac:dyDescent="0.2">
      <c r="C936" s="144"/>
      <c r="D936" s="144"/>
      <c r="E936" s="144"/>
      <c r="F936" s="373"/>
      <c r="H936" s="2168"/>
      <c r="I936" s="70"/>
    </row>
    <row r="937" spans="3:9" s="46" customFormat="1" x14ac:dyDescent="0.2">
      <c r="C937" s="144"/>
      <c r="D937" s="144"/>
      <c r="E937" s="144"/>
      <c r="F937" s="373"/>
      <c r="H937" s="2168"/>
      <c r="I937" s="70"/>
    </row>
    <row r="938" spans="3:9" s="46" customFormat="1" x14ac:dyDescent="0.2">
      <c r="C938" s="144"/>
      <c r="D938" s="144"/>
      <c r="E938" s="144"/>
      <c r="F938" s="373"/>
      <c r="H938" s="2168"/>
      <c r="I938" s="70"/>
    </row>
    <row r="939" spans="3:9" s="46" customFormat="1" x14ac:dyDescent="0.2">
      <c r="C939" s="144"/>
      <c r="D939" s="144"/>
      <c r="E939" s="144"/>
      <c r="F939" s="373"/>
      <c r="H939" s="2168"/>
      <c r="I939" s="70"/>
    </row>
    <row r="940" spans="3:9" s="46" customFormat="1" x14ac:dyDescent="0.2">
      <c r="C940" s="144"/>
      <c r="D940" s="144"/>
      <c r="E940" s="144"/>
      <c r="F940" s="373"/>
      <c r="H940" s="2168"/>
      <c r="I940" s="70"/>
    </row>
    <row r="941" spans="3:9" s="46" customFormat="1" x14ac:dyDescent="0.2">
      <c r="C941" s="144"/>
      <c r="D941" s="144"/>
      <c r="E941" s="144"/>
      <c r="F941" s="373"/>
      <c r="H941" s="2168"/>
      <c r="I941" s="70"/>
    </row>
    <row r="942" spans="3:9" s="46" customFormat="1" x14ac:dyDescent="0.2">
      <c r="C942" s="144"/>
      <c r="D942" s="144"/>
      <c r="E942" s="144"/>
      <c r="F942" s="373"/>
      <c r="H942" s="2168"/>
      <c r="I942" s="70"/>
    </row>
    <row r="943" spans="3:9" s="46" customFormat="1" x14ac:dyDescent="0.2">
      <c r="C943" s="144"/>
      <c r="D943" s="144"/>
      <c r="E943" s="144"/>
      <c r="F943" s="373"/>
      <c r="H943" s="2168"/>
      <c r="I943" s="70"/>
    </row>
    <row r="944" spans="3:9" s="46" customFormat="1" x14ac:dyDescent="0.2">
      <c r="C944" s="144"/>
      <c r="D944" s="144"/>
      <c r="E944" s="144"/>
      <c r="F944" s="373"/>
      <c r="H944" s="2168"/>
      <c r="I944" s="70"/>
    </row>
    <row r="945" spans="3:9" s="46" customFormat="1" x14ac:dyDescent="0.2">
      <c r="C945" s="144"/>
      <c r="D945" s="144"/>
      <c r="E945" s="144"/>
      <c r="F945" s="373"/>
      <c r="H945" s="2168"/>
      <c r="I945" s="70"/>
    </row>
    <row r="946" spans="3:9" s="46" customFormat="1" x14ac:dyDescent="0.2">
      <c r="C946" s="144"/>
      <c r="D946" s="144"/>
      <c r="E946" s="144"/>
      <c r="F946" s="373"/>
      <c r="H946" s="2168"/>
      <c r="I946" s="70"/>
    </row>
    <row r="947" spans="3:9" s="46" customFormat="1" x14ac:dyDescent="0.2">
      <c r="C947" s="144"/>
      <c r="D947" s="144"/>
      <c r="E947" s="144"/>
      <c r="F947" s="373"/>
      <c r="H947" s="2168"/>
      <c r="I947" s="70"/>
    </row>
    <row r="948" spans="3:9" s="46" customFormat="1" x14ac:dyDescent="0.2">
      <c r="C948" s="144"/>
      <c r="D948" s="144"/>
      <c r="E948" s="144"/>
      <c r="F948" s="373"/>
      <c r="H948" s="2168"/>
      <c r="I948" s="70"/>
    </row>
    <row r="949" spans="3:9" s="46" customFormat="1" x14ac:dyDescent="0.2">
      <c r="C949" s="144"/>
      <c r="D949" s="144"/>
      <c r="E949" s="144"/>
      <c r="F949" s="373"/>
      <c r="H949" s="2168"/>
      <c r="I949" s="70"/>
    </row>
    <row r="950" spans="3:9" s="46" customFormat="1" x14ac:dyDescent="0.2">
      <c r="C950" s="144"/>
      <c r="D950" s="144"/>
      <c r="E950" s="144"/>
      <c r="F950" s="373"/>
      <c r="H950" s="2168"/>
      <c r="I950" s="70"/>
    </row>
    <row r="951" spans="3:9" s="46" customFormat="1" x14ac:dyDescent="0.2">
      <c r="C951" s="144"/>
      <c r="D951" s="144"/>
      <c r="E951" s="144"/>
      <c r="F951" s="373"/>
      <c r="H951" s="2168"/>
      <c r="I951" s="70"/>
    </row>
    <row r="952" spans="3:9" s="46" customFormat="1" x14ac:dyDescent="0.2">
      <c r="C952" s="144"/>
      <c r="D952" s="144"/>
      <c r="E952" s="144"/>
      <c r="F952" s="373"/>
      <c r="H952" s="2168"/>
      <c r="I952" s="70"/>
    </row>
    <row r="953" spans="3:9" s="46" customFormat="1" x14ac:dyDescent="0.2">
      <c r="C953" s="144"/>
      <c r="D953" s="144"/>
      <c r="E953" s="144"/>
      <c r="F953" s="373"/>
      <c r="H953" s="2168"/>
      <c r="I953" s="70"/>
    </row>
    <row r="954" spans="3:9" s="46" customFormat="1" x14ac:dyDescent="0.2">
      <c r="C954" s="144"/>
      <c r="D954" s="144"/>
      <c r="E954" s="144"/>
      <c r="F954" s="373"/>
      <c r="H954" s="2168"/>
      <c r="I954" s="70"/>
    </row>
    <row r="955" spans="3:9" s="46" customFormat="1" x14ac:dyDescent="0.2">
      <c r="C955" s="144"/>
      <c r="D955" s="144"/>
      <c r="E955" s="144"/>
      <c r="F955" s="373"/>
      <c r="H955" s="2168"/>
      <c r="I955" s="70"/>
    </row>
    <row r="956" spans="3:9" s="46" customFormat="1" x14ac:dyDescent="0.2">
      <c r="C956" s="144"/>
      <c r="D956" s="144"/>
      <c r="E956" s="144"/>
      <c r="F956" s="373"/>
      <c r="H956" s="2168"/>
      <c r="I956" s="70"/>
    </row>
    <row r="957" spans="3:9" s="46" customFormat="1" x14ac:dyDescent="0.2">
      <c r="C957" s="144"/>
      <c r="D957" s="144"/>
      <c r="E957" s="144"/>
      <c r="F957" s="373"/>
      <c r="H957" s="2168"/>
      <c r="I957" s="70"/>
    </row>
    <row r="958" spans="3:9" s="46" customFormat="1" x14ac:dyDescent="0.2">
      <c r="C958" s="144"/>
      <c r="D958" s="144"/>
      <c r="E958" s="144"/>
      <c r="F958" s="373"/>
      <c r="H958" s="2168"/>
      <c r="I958" s="70"/>
    </row>
    <row r="959" spans="3:9" s="46" customFormat="1" x14ac:dyDescent="0.2">
      <c r="C959" s="144"/>
      <c r="D959" s="144"/>
      <c r="E959" s="144"/>
      <c r="F959" s="373"/>
      <c r="H959" s="2168"/>
      <c r="I959" s="70"/>
    </row>
    <row r="960" spans="3:9" s="46" customFormat="1" x14ac:dyDescent="0.2">
      <c r="C960" s="144"/>
      <c r="D960" s="144"/>
      <c r="E960" s="144"/>
      <c r="F960" s="373"/>
      <c r="H960" s="2168"/>
      <c r="I960" s="70"/>
    </row>
    <row r="961" spans="3:9" s="46" customFormat="1" x14ac:dyDescent="0.2">
      <c r="C961" s="144"/>
      <c r="D961" s="144"/>
      <c r="E961" s="144"/>
      <c r="F961" s="373"/>
      <c r="H961" s="2168"/>
      <c r="I961" s="70"/>
    </row>
    <row r="962" spans="3:9" s="46" customFormat="1" x14ac:dyDescent="0.2">
      <c r="C962" s="144"/>
      <c r="D962" s="144"/>
      <c r="E962" s="144"/>
      <c r="F962" s="373"/>
      <c r="H962" s="2168"/>
      <c r="I962" s="70"/>
    </row>
    <row r="963" spans="3:9" s="46" customFormat="1" x14ac:dyDescent="0.2">
      <c r="C963" s="144"/>
      <c r="D963" s="144"/>
      <c r="E963" s="144"/>
      <c r="F963" s="373"/>
      <c r="H963" s="2168"/>
      <c r="I963" s="70"/>
    </row>
    <row r="964" spans="3:9" s="46" customFormat="1" x14ac:dyDescent="0.2">
      <c r="C964" s="144"/>
      <c r="D964" s="144"/>
      <c r="E964" s="144"/>
      <c r="F964" s="373"/>
      <c r="H964" s="2168"/>
      <c r="I964" s="70"/>
    </row>
    <row r="965" spans="3:9" s="46" customFormat="1" x14ac:dyDescent="0.2">
      <c r="C965" s="144"/>
      <c r="D965" s="144"/>
      <c r="E965" s="144"/>
      <c r="F965" s="373"/>
      <c r="H965" s="2168"/>
      <c r="I965" s="70"/>
    </row>
    <row r="966" spans="3:9" s="46" customFormat="1" x14ac:dyDescent="0.2">
      <c r="C966" s="144"/>
      <c r="D966" s="144"/>
      <c r="E966" s="144"/>
      <c r="F966" s="373"/>
      <c r="H966" s="2168"/>
      <c r="I966" s="70"/>
    </row>
    <row r="967" spans="3:9" s="46" customFormat="1" x14ac:dyDescent="0.2">
      <c r="C967" s="144"/>
      <c r="D967" s="144"/>
      <c r="E967" s="144"/>
      <c r="F967" s="373"/>
      <c r="H967" s="2168"/>
      <c r="I967" s="70"/>
    </row>
    <row r="968" spans="3:9" s="46" customFormat="1" x14ac:dyDescent="0.2">
      <c r="C968" s="144"/>
      <c r="D968" s="144"/>
      <c r="E968" s="144"/>
      <c r="F968" s="373"/>
      <c r="H968" s="2168"/>
      <c r="I968" s="70"/>
    </row>
    <row r="969" spans="3:9" s="46" customFormat="1" x14ac:dyDescent="0.2">
      <c r="C969" s="144"/>
      <c r="D969" s="144"/>
      <c r="E969" s="144"/>
      <c r="F969" s="373"/>
      <c r="H969" s="2168"/>
      <c r="I969" s="70"/>
    </row>
    <row r="970" spans="3:9" s="46" customFormat="1" x14ac:dyDescent="0.2">
      <c r="C970" s="144"/>
      <c r="D970" s="144"/>
      <c r="E970" s="144"/>
      <c r="F970" s="373"/>
      <c r="H970" s="2168"/>
      <c r="I970" s="70"/>
    </row>
    <row r="971" spans="3:9" s="46" customFormat="1" x14ac:dyDescent="0.2">
      <c r="C971" s="144"/>
      <c r="D971" s="144"/>
      <c r="E971" s="144"/>
      <c r="F971" s="373"/>
      <c r="H971" s="2168"/>
      <c r="I971" s="70"/>
    </row>
    <row r="972" spans="3:9" s="46" customFormat="1" x14ac:dyDescent="0.2">
      <c r="C972" s="144"/>
      <c r="D972" s="144"/>
      <c r="E972" s="144"/>
      <c r="F972" s="373"/>
      <c r="H972" s="2168"/>
      <c r="I972" s="70"/>
    </row>
    <row r="973" spans="3:9" s="46" customFormat="1" x14ac:dyDescent="0.2">
      <c r="C973" s="144"/>
      <c r="D973" s="144"/>
      <c r="E973" s="144"/>
      <c r="F973" s="373"/>
      <c r="H973" s="2168"/>
      <c r="I973" s="70"/>
    </row>
    <row r="974" spans="3:9" s="46" customFormat="1" x14ac:dyDescent="0.2">
      <c r="C974" s="144"/>
      <c r="D974" s="144"/>
      <c r="E974" s="144"/>
      <c r="F974" s="373"/>
      <c r="H974" s="2168"/>
      <c r="I974" s="70"/>
    </row>
    <row r="975" spans="3:9" s="46" customFormat="1" x14ac:dyDescent="0.2">
      <c r="C975" s="144"/>
      <c r="D975" s="144"/>
      <c r="E975" s="144"/>
      <c r="F975" s="373"/>
      <c r="H975" s="2168"/>
      <c r="I975" s="70"/>
    </row>
    <row r="976" spans="3:9" s="46" customFormat="1" x14ac:dyDescent="0.2">
      <c r="C976" s="144"/>
      <c r="D976" s="144"/>
      <c r="E976" s="144"/>
      <c r="F976" s="373"/>
      <c r="H976" s="2168"/>
      <c r="I976" s="70"/>
    </row>
    <row r="977" spans="3:9" s="46" customFormat="1" x14ac:dyDescent="0.2">
      <c r="C977" s="144"/>
      <c r="D977" s="144"/>
      <c r="E977" s="144"/>
      <c r="F977" s="373"/>
      <c r="H977" s="2168"/>
      <c r="I977" s="70"/>
    </row>
    <row r="978" spans="3:9" s="46" customFormat="1" x14ac:dyDescent="0.2">
      <c r="C978" s="144"/>
      <c r="D978" s="144"/>
      <c r="E978" s="144"/>
      <c r="F978" s="373"/>
      <c r="H978" s="2168"/>
      <c r="I978" s="70"/>
    </row>
    <row r="979" spans="3:9" s="46" customFormat="1" x14ac:dyDescent="0.2">
      <c r="C979" s="144"/>
      <c r="D979" s="144"/>
      <c r="E979" s="144"/>
      <c r="F979" s="373"/>
      <c r="H979" s="2168"/>
      <c r="I979" s="70"/>
    </row>
    <row r="980" spans="3:9" s="46" customFormat="1" x14ac:dyDescent="0.2">
      <c r="C980" s="144"/>
      <c r="D980" s="144"/>
      <c r="E980" s="144"/>
      <c r="F980" s="373"/>
      <c r="H980" s="2168"/>
      <c r="I980" s="70"/>
    </row>
    <row r="981" spans="3:9" s="46" customFormat="1" x14ac:dyDescent="0.2">
      <c r="C981" s="144"/>
      <c r="D981" s="144"/>
      <c r="E981" s="144"/>
      <c r="F981" s="373"/>
      <c r="H981" s="2168"/>
      <c r="I981" s="70"/>
    </row>
    <row r="982" spans="3:9" s="46" customFormat="1" x14ac:dyDescent="0.2">
      <c r="C982" s="144"/>
      <c r="D982" s="144"/>
      <c r="E982" s="144"/>
      <c r="F982" s="373"/>
      <c r="H982" s="2168"/>
      <c r="I982" s="70"/>
    </row>
    <row r="983" spans="3:9" s="46" customFormat="1" x14ac:dyDescent="0.2">
      <c r="C983" s="144"/>
      <c r="D983" s="144"/>
      <c r="E983" s="144"/>
      <c r="F983" s="373"/>
      <c r="H983" s="2168"/>
      <c r="I983" s="70"/>
    </row>
    <row r="984" spans="3:9" s="46" customFormat="1" x14ac:dyDescent="0.2">
      <c r="C984" s="144"/>
      <c r="D984" s="144"/>
      <c r="E984" s="144"/>
      <c r="F984" s="373"/>
      <c r="H984" s="2168"/>
      <c r="I984" s="70"/>
    </row>
    <row r="985" spans="3:9" s="46" customFormat="1" x14ac:dyDescent="0.2">
      <c r="C985" s="144"/>
      <c r="D985" s="144"/>
      <c r="E985" s="144"/>
      <c r="F985" s="373"/>
      <c r="H985" s="2168"/>
      <c r="I985" s="70"/>
    </row>
    <row r="986" spans="3:9" s="46" customFormat="1" x14ac:dyDescent="0.2">
      <c r="C986" s="144"/>
      <c r="D986" s="144"/>
      <c r="E986" s="144"/>
      <c r="F986" s="373"/>
      <c r="H986" s="2168"/>
      <c r="I986" s="70"/>
    </row>
    <row r="987" spans="3:9" s="46" customFormat="1" x14ac:dyDescent="0.2">
      <c r="C987" s="144"/>
      <c r="D987" s="144"/>
      <c r="E987" s="144"/>
      <c r="F987" s="373"/>
      <c r="H987" s="2168"/>
      <c r="I987" s="70"/>
    </row>
    <row r="988" spans="3:9" s="46" customFormat="1" x14ac:dyDescent="0.2">
      <c r="C988" s="144"/>
      <c r="D988" s="144"/>
      <c r="E988" s="144"/>
      <c r="F988" s="373"/>
      <c r="H988" s="2168"/>
      <c r="I988" s="70"/>
    </row>
    <row r="989" spans="3:9" s="46" customFormat="1" x14ac:dyDescent="0.2">
      <c r="C989" s="144"/>
      <c r="D989" s="144"/>
      <c r="E989" s="144"/>
      <c r="F989" s="373"/>
      <c r="H989" s="2168"/>
      <c r="I989" s="70"/>
    </row>
    <row r="990" spans="3:9" s="46" customFormat="1" x14ac:dyDescent="0.2">
      <c r="C990" s="144"/>
      <c r="D990" s="144"/>
      <c r="E990" s="144"/>
      <c r="F990" s="373"/>
      <c r="H990" s="2168"/>
      <c r="I990" s="70"/>
    </row>
    <row r="991" spans="3:9" s="46" customFormat="1" x14ac:dyDescent="0.2">
      <c r="C991" s="144"/>
      <c r="D991" s="144"/>
      <c r="E991" s="144"/>
      <c r="F991" s="373"/>
      <c r="H991" s="2168"/>
      <c r="I991" s="70"/>
    </row>
    <row r="992" spans="3:9" s="46" customFormat="1" x14ac:dyDescent="0.2">
      <c r="C992" s="144"/>
      <c r="D992" s="144"/>
      <c r="E992" s="144"/>
      <c r="F992" s="373"/>
      <c r="H992" s="2168"/>
      <c r="I992" s="70"/>
    </row>
    <row r="993" spans="3:9" s="46" customFormat="1" x14ac:dyDescent="0.2">
      <c r="C993" s="144"/>
      <c r="D993" s="144"/>
      <c r="E993" s="144"/>
      <c r="F993" s="373"/>
      <c r="H993" s="2168"/>
      <c r="I993" s="70"/>
    </row>
    <row r="994" spans="3:9" s="46" customFormat="1" x14ac:dyDescent="0.2">
      <c r="C994" s="144"/>
      <c r="D994" s="144"/>
      <c r="E994" s="144"/>
      <c r="F994" s="373"/>
      <c r="H994" s="2168"/>
      <c r="I994" s="70"/>
    </row>
    <row r="995" spans="3:9" s="46" customFormat="1" x14ac:dyDescent="0.2">
      <c r="C995" s="144"/>
      <c r="D995" s="144"/>
      <c r="E995" s="144"/>
      <c r="F995" s="373"/>
      <c r="H995" s="2168"/>
      <c r="I995" s="70"/>
    </row>
    <row r="996" spans="3:9" s="46" customFormat="1" x14ac:dyDescent="0.2">
      <c r="C996" s="144"/>
      <c r="D996" s="144"/>
      <c r="E996" s="144"/>
      <c r="F996" s="373"/>
      <c r="H996" s="2168"/>
      <c r="I996" s="70"/>
    </row>
    <row r="997" spans="3:9" s="46" customFormat="1" x14ac:dyDescent="0.2">
      <c r="C997" s="144"/>
      <c r="D997" s="144"/>
      <c r="E997" s="144"/>
      <c r="F997" s="373"/>
      <c r="H997" s="2168"/>
      <c r="I997" s="70"/>
    </row>
    <row r="998" spans="3:9" s="46" customFormat="1" x14ac:dyDescent="0.2">
      <c r="C998" s="144"/>
      <c r="D998" s="144"/>
      <c r="E998" s="144"/>
      <c r="F998" s="373"/>
      <c r="H998" s="2168"/>
      <c r="I998" s="70"/>
    </row>
    <row r="999" spans="3:9" s="46" customFormat="1" x14ac:dyDescent="0.2">
      <c r="C999" s="144"/>
      <c r="D999" s="144"/>
      <c r="E999" s="144"/>
      <c r="F999" s="373"/>
      <c r="H999" s="2168"/>
      <c r="I999" s="70"/>
    </row>
    <row r="1000" spans="3:9" s="46" customFormat="1" x14ac:dyDescent="0.2">
      <c r="C1000" s="144"/>
      <c r="D1000" s="144"/>
      <c r="E1000" s="144"/>
      <c r="F1000" s="373"/>
      <c r="H1000" s="2168"/>
      <c r="I1000" s="70"/>
    </row>
    <row r="1001" spans="3:9" s="46" customFormat="1" x14ac:dyDescent="0.2">
      <c r="C1001" s="144"/>
      <c r="D1001" s="144"/>
      <c r="E1001" s="144"/>
      <c r="F1001" s="373"/>
      <c r="H1001" s="2168"/>
      <c r="I1001" s="70"/>
    </row>
    <row r="1002" spans="3:9" s="46" customFormat="1" x14ac:dyDescent="0.2">
      <c r="C1002" s="144"/>
      <c r="D1002" s="144"/>
      <c r="E1002" s="144"/>
      <c r="F1002" s="373"/>
      <c r="H1002" s="2168"/>
      <c r="I1002" s="70"/>
    </row>
    <row r="1003" spans="3:9" s="46" customFormat="1" x14ac:dyDescent="0.2">
      <c r="C1003" s="144"/>
      <c r="D1003" s="144"/>
      <c r="E1003" s="144"/>
      <c r="F1003" s="373"/>
      <c r="H1003" s="2168"/>
      <c r="I1003" s="70"/>
    </row>
    <row r="1004" spans="3:9" s="46" customFormat="1" x14ac:dyDescent="0.2">
      <c r="C1004" s="144"/>
      <c r="D1004" s="144"/>
      <c r="E1004" s="144"/>
      <c r="F1004" s="373"/>
      <c r="H1004" s="2168"/>
      <c r="I1004" s="70"/>
    </row>
    <row r="1005" spans="3:9" s="46" customFormat="1" x14ac:dyDescent="0.2">
      <c r="C1005" s="144"/>
      <c r="D1005" s="144"/>
      <c r="E1005" s="144"/>
      <c r="F1005" s="373"/>
      <c r="H1005" s="2168"/>
      <c r="I1005" s="70"/>
    </row>
    <row r="1006" spans="3:9" s="46" customFormat="1" x14ac:dyDescent="0.2">
      <c r="C1006" s="144"/>
      <c r="D1006" s="144"/>
      <c r="E1006" s="144"/>
      <c r="F1006" s="373"/>
      <c r="H1006" s="2168"/>
      <c r="I1006" s="70"/>
    </row>
    <row r="1007" spans="3:9" s="46" customFormat="1" x14ac:dyDescent="0.2">
      <c r="C1007" s="144"/>
      <c r="D1007" s="144"/>
      <c r="E1007" s="144"/>
      <c r="F1007" s="373"/>
      <c r="H1007" s="2168"/>
      <c r="I1007" s="70"/>
    </row>
    <row r="1008" spans="3:9" s="46" customFormat="1" x14ac:dyDescent="0.2">
      <c r="C1008" s="144"/>
      <c r="D1008" s="144"/>
      <c r="E1008" s="144"/>
      <c r="F1008" s="373"/>
      <c r="H1008" s="2168"/>
      <c r="I1008" s="70"/>
    </row>
    <row r="1009" spans="3:9" s="46" customFormat="1" x14ac:dyDescent="0.2">
      <c r="C1009" s="144"/>
      <c r="D1009" s="144"/>
      <c r="E1009" s="144"/>
      <c r="F1009" s="373"/>
      <c r="H1009" s="2168"/>
      <c r="I1009" s="70"/>
    </row>
    <row r="1010" spans="3:9" s="46" customFormat="1" x14ac:dyDescent="0.2">
      <c r="C1010" s="144"/>
      <c r="D1010" s="144"/>
      <c r="E1010" s="144"/>
      <c r="F1010" s="373"/>
      <c r="H1010" s="2168"/>
      <c r="I1010" s="70"/>
    </row>
    <row r="1011" spans="3:9" s="46" customFormat="1" x14ac:dyDescent="0.2">
      <c r="C1011" s="144"/>
      <c r="D1011" s="144"/>
      <c r="E1011" s="144"/>
      <c r="F1011" s="373"/>
      <c r="H1011" s="2168"/>
      <c r="I1011" s="70"/>
    </row>
    <row r="1012" spans="3:9" s="46" customFormat="1" x14ac:dyDescent="0.2">
      <c r="C1012" s="144"/>
      <c r="D1012" s="144"/>
      <c r="E1012" s="144"/>
      <c r="F1012" s="373"/>
      <c r="H1012" s="2168"/>
      <c r="I1012" s="70"/>
    </row>
    <row r="1013" spans="3:9" s="46" customFormat="1" x14ac:dyDescent="0.2">
      <c r="C1013" s="144"/>
      <c r="D1013" s="144"/>
      <c r="E1013" s="144"/>
      <c r="F1013" s="373"/>
      <c r="H1013" s="2168"/>
      <c r="I1013" s="70"/>
    </row>
    <row r="1014" spans="3:9" s="46" customFormat="1" x14ac:dyDescent="0.2">
      <c r="C1014" s="144"/>
      <c r="D1014" s="144"/>
      <c r="E1014" s="144"/>
      <c r="F1014" s="373"/>
      <c r="H1014" s="2168"/>
      <c r="I1014" s="70"/>
    </row>
    <row r="1015" spans="3:9" s="46" customFormat="1" x14ac:dyDescent="0.2">
      <c r="C1015" s="144"/>
      <c r="D1015" s="144"/>
      <c r="E1015" s="144"/>
      <c r="F1015" s="373"/>
      <c r="H1015" s="2168"/>
      <c r="I1015" s="70"/>
    </row>
    <row r="1016" spans="3:9" s="46" customFormat="1" x14ac:dyDescent="0.2">
      <c r="C1016" s="144"/>
      <c r="D1016" s="144"/>
      <c r="E1016" s="144"/>
      <c r="F1016" s="373"/>
      <c r="H1016" s="2168"/>
      <c r="I1016" s="70"/>
    </row>
    <row r="1017" spans="3:9" s="46" customFormat="1" x14ac:dyDescent="0.2">
      <c r="C1017" s="144"/>
      <c r="D1017" s="144"/>
      <c r="E1017" s="144"/>
      <c r="F1017" s="373"/>
      <c r="H1017" s="2168"/>
      <c r="I1017" s="70"/>
    </row>
    <row r="1018" spans="3:9" s="46" customFormat="1" x14ac:dyDescent="0.2">
      <c r="C1018" s="144"/>
      <c r="D1018" s="144"/>
      <c r="E1018" s="144"/>
      <c r="F1018" s="373"/>
      <c r="H1018" s="2168"/>
      <c r="I1018" s="70"/>
    </row>
    <row r="1019" spans="3:9" s="46" customFormat="1" x14ac:dyDescent="0.2">
      <c r="C1019" s="144"/>
      <c r="D1019" s="144"/>
      <c r="E1019" s="144"/>
      <c r="F1019" s="373"/>
      <c r="H1019" s="2168"/>
      <c r="I1019" s="70"/>
    </row>
    <row r="1020" spans="3:9" s="46" customFormat="1" x14ac:dyDescent="0.2">
      <c r="C1020" s="144"/>
      <c r="D1020" s="144"/>
      <c r="E1020" s="144"/>
      <c r="F1020" s="373"/>
      <c r="H1020" s="2168"/>
      <c r="I1020" s="70"/>
    </row>
    <row r="1021" spans="3:9" s="46" customFormat="1" x14ac:dyDescent="0.2">
      <c r="C1021" s="144"/>
      <c r="D1021" s="144"/>
      <c r="E1021" s="144"/>
      <c r="F1021" s="373"/>
      <c r="H1021" s="2168"/>
      <c r="I1021" s="70"/>
    </row>
    <row r="1022" spans="3:9" s="46" customFormat="1" x14ac:dyDescent="0.2">
      <c r="C1022" s="144"/>
      <c r="D1022" s="144"/>
      <c r="E1022" s="144"/>
      <c r="F1022" s="373"/>
      <c r="H1022" s="2168"/>
      <c r="I1022" s="70"/>
    </row>
    <row r="1023" spans="3:9" s="46" customFormat="1" x14ac:dyDescent="0.2">
      <c r="C1023" s="144"/>
      <c r="D1023" s="144"/>
      <c r="E1023" s="144"/>
      <c r="F1023" s="373"/>
      <c r="H1023" s="2168"/>
      <c r="I1023" s="70"/>
    </row>
    <row r="1024" spans="3:9" s="46" customFormat="1" x14ac:dyDescent="0.2">
      <c r="C1024" s="144"/>
      <c r="D1024" s="144"/>
      <c r="E1024" s="144"/>
      <c r="F1024" s="373"/>
      <c r="H1024" s="2168"/>
      <c r="I1024" s="70"/>
    </row>
    <row r="1025" spans="3:9" s="46" customFormat="1" x14ac:dyDescent="0.2">
      <c r="C1025" s="144"/>
      <c r="D1025" s="144"/>
      <c r="E1025" s="144"/>
      <c r="F1025" s="373"/>
      <c r="H1025" s="2168"/>
      <c r="I1025" s="70"/>
    </row>
    <row r="1026" spans="3:9" s="46" customFormat="1" x14ac:dyDescent="0.2">
      <c r="C1026" s="144"/>
      <c r="D1026" s="144"/>
      <c r="E1026" s="144"/>
      <c r="F1026" s="373"/>
      <c r="H1026" s="2168"/>
      <c r="I1026" s="70"/>
    </row>
    <row r="1027" spans="3:9" s="46" customFormat="1" x14ac:dyDescent="0.2">
      <c r="C1027" s="144"/>
      <c r="D1027" s="144"/>
      <c r="E1027" s="144"/>
      <c r="F1027" s="373"/>
      <c r="H1027" s="2168"/>
      <c r="I1027" s="70"/>
    </row>
    <row r="1028" spans="3:9" s="46" customFormat="1" x14ac:dyDescent="0.2">
      <c r="C1028" s="144"/>
      <c r="D1028" s="144"/>
      <c r="E1028" s="144"/>
      <c r="F1028" s="373"/>
      <c r="H1028" s="2168"/>
      <c r="I1028" s="70"/>
    </row>
    <row r="1029" spans="3:9" s="46" customFormat="1" x14ac:dyDescent="0.2">
      <c r="C1029" s="144"/>
      <c r="D1029" s="144"/>
      <c r="E1029" s="144"/>
      <c r="F1029" s="373"/>
      <c r="H1029" s="2168"/>
      <c r="I1029" s="70"/>
    </row>
    <row r="1030" spans="3:9" s="46" customFormat="1" x14ac:dyDescent="0.2">
      <c r="C1030" s="144"/>
      <c r="D1030" s="144"/>
      <c r="E1030" s="144"/>
      <c r="F1030" s="373"/>
      <c r="H1030" s="2168"/>
      <c r="I1030" s="70"/>
    </row>
    <row r="1031" spans="3:9" s="46" customFormat="1" x14ac:dyDescent="0.2">
      <c r="C1031" s="144"/>
      <c r="D1031" s="144"/>
      <c r="E1031" s="144"/>
      <c r="F1031" s="373"/>
      <c r="H1031" s="2168"/>
      <c r="I1031" s="70"/>
    </row>
    <row r="1032" spans="3:9" s="46" customFormat="1" x14ac:dyDescent="0.2">
      <c r="C1032" s="144"/>
      <c r="D1032" s="144"/>
      <c r="E1032" s="144"/>
      <c r="F1032" s="373"/>
      <c r="H1032" s="2168"/>
      <c r="I1032" s="70"/>
    </row>
    <row r="1033" spans="3:9" s="46" customFormat="1" x14ac:dyDescent="0.2">
      <c r="C1033" s="144"/>
      <c r="D1033" s="144"/>
      <c r="E1033" s="144"/>
      <c r="F1033" s="373"/>
      <c r="H1033" s="2168"/>
      <c r="I1033" s="70"/>
    </row>
    <row r="1034" spans="3:9" s="46" customFormat="1" x14ac:dyDescent="0.2">
      <c r="C1034" s="144"/>
      <c r="D1034" s="144"/>
      <c r="E1034" s="144"/>
      <c r="F1034" s="373"/>
      <c r="H1034" s="2168"/>
      <c r="I1034" s="70"/>
    </row>
    <row r="1035" spans="3:9" s="46" customFormat="1" x14ac:dyDescent="0.2">
      <c r="C1035" s="144"/>
      <c r="D1035" s="144"/>
      <c r="E1035" s="144"/>
      <c r="F1035" s="373"/>
      <c r="H1035" s="2168"/>
      <c r="I1035" s="70"/>
    </row>
    <row r="1036" spans="3:9" s="46" customFormat="1" x14ac:dyDescent="0.2">
      <c r="C1036" s="144"/>
      <c r="D1036" s="144"/>
      <c r="E1036" s="144"/>
      <c r="F1036" s="373"/>
      <c r="H1036" s="2168"/>
      <c r="I1036" s="70"/>
    </row>
    <row r="1037" spans="3:9" s="46" customFormat="1" x14ac:dyDescent="0.2">
      <c r="C1037" s="144"/>
      <c r="D1037" s="144"/>
      <c r="E1037" s="144"/>
      <c r="F1037" s="373"/>
      <c r="H1037" s="2168"/>
      <c r="I1037" s="70"/>
    </row>
    <row r="1038" spans="3:9" s="46" customFormat="1" x14ac:dyDescent="0.2">
      <c r="C1038" s="144"/>
      <c r="D1038" s="144"/>
      <c r="E1038" s="144"/>
      <c r="F1038" s="373"/>
      <c r="H1038" s="2168"/>
      <c r="I1038" s="70"/>
    </row>
    <row r="1039" spans="3:9" s="46" customFormat="1" x14ac:dyDescent="0.2">
      <c r="C1039" s="144"/>
      <c r="D1039" s="144"/>
      <c r="E1039" s="144"/>
      <c r="F1039" s="373"/>
      <c r="H1039" s="2168"/>
      <c r="I1039" s="70"/>
    </row>
    <row r="1040" spans="3:9" s="46" customFormat="1" x14ac:dyDescent="0.2">
      <c r="C1040" s="144"/>
      <c r="D1040" s="144"/>
      <c r="E1040" s="144"/>
      <c r="F1040" s="373"/>
      <c r="H1040" s="2168"/>
      <c r="I1040" s="70"/>
    </row>
    <row r="1041" spans="3:9" s="46" customFormat="1" x14ac:dyDescent="0.2">
      <c r="C1041" s="144"/>
      <c r="D1041" s="144"/>
      <c r="E1041" s="144"/>
      <c r="F1041" s="373"/>
      <c r="H1041" s="2168"/>
      <c r="I1041" s="70"/>
    </row>
    <row r="1042" spans="3:9" s="46" customFormat="1" x14ac:dyDescent="0.2">
      <c r="C1042" s="144"/>
      <c r="D1042" s="144"/>
      <c r="E1042" s="144"/>
      <c r="F1042" s="373"/>
      <c r="H1042" s="2168"/>
      <c r="I1042" s="70"/>
    </row>
    <row r="1043" spans="3:9" s="46" customFormat="1" x14ac:dyDescent="0.2">
      <c r="C1043" s="144"/>
      <c r="D1043" s="144"/>
      <c r="E1043" s="144"/>
      <c r="F1043" s="373"/>
      <c r="H1043" s="2168"/>
      <c r="I1043" s="70"/>
    </row>
    <row r="1044" spans="3:9" s="46" customFormat="1" x14ac:dyDescent="0.2">
      <c r="C1044" s="144"/>
      <c r="D1044" s="144"/>
      <c r="E1044" s="144"/>
      <c r="F1044" s="373"/>
      <c r="H1044" s="2168"/>
      <c r="I1044" s="70"/>
    </row>
    <row r="1045" spans="3:9" s="46" customFormat="1" x14ac:dyDescent="0.2">
      <c r="C1045" s="144"/>
      <c r="D1045" s="144"/>
      <c r="E1045" s="144"/>
      <c r="F1045" s="373"/>
      <c r="H1045" s="2168"/>
      <c r="I1045" s="70"/>
    </row>
    <row r="1046" spans="3:9" s="46" customFormat="1" x14ac:dyDescent="0.2">
      <c r="C1046" s="144"/>
      <c r="D1046" s="144"/>
      <c r="E1046" s="144"/>
      <c r="F1046" s="373"/>
      <c r="H1046" s="2168"/>
      <c r="I1046" s="70"/>
    </row>
    <row r="1047" spans="3:9" s="46" customFormat="1" x14ac:dyDescent="0.2">
      <c r="C1047" s="144"/>
      <c r="D1047" s="144"/>
      <c r="E1047" s="144"/>
      <c r="F1047" s="373"/>
      <c r="H1047" s="2168"/>
      <c r="I1047" s="70"/>
    </row>
    <row r="1048" spans="3:9" s="46" customFormat="1" x14ac:dyDescent="0.2">
      <c r="C1048" s="144"/>
      <c r="D1048" s="144"/>
      <c r="E1048" s="144"/>
      <c r="F1048" s="373"/>
      <c r="H1048" s="2168"/>
      <c r="I1048" s="70"/>
    </row>
    <row r="1049" spans="3:9" s="46" customFormat="1" x14ac:dyDescent="0.2">
      <c r="C1049" s="144"/>
      <c r="D1049" s="144"/>
      <c r="E1049" s="144"/>
      <c r="F1049" s="373"/>
      <c r="H1049" s="2168"/>
      <c r="I1049" s="70"/>
    </row>
    <row r="1050" spans="3:9" s="46" customFormat="1" x14ac:dyDescent="0.2">
      <c r="C1050" s="144"/>
      <c r="D1050" s="144"/>
      <c r="E1050" s="144"/>
      <c r="F1050" s="373"/>
      <c r="H1050" s="2168"/>
      <c r="I1050" s="70"/>
    </row>
    <row r="1051" spans="3:9" s="46" customFormat="1" x14ac:dyDescent="0.2">
      <c r="C1051" s="144"/>
      <c r="D1051" s="144"/>
      <c r="E1051" s="144"/>
      <c r="F1051" s="373"/>
      <c r="H1051" s="2168"/>
      <c r="I1051" s="70"/>
    </row>
    <row r="1052" spans="3:9" s="46" customFormat="1" x14ac:dyDescent="0.2">
      <c r="C1052" s="144"/>
      <c r="D1052" s="144"/>
      <c r="E1052" s="144"/>
      <c r="F1052" s="373"/>
      <c r="H1052" s="2168"/>
      <c r="I1052" s="70"/>
    </row>
    <row r="1053" spans="3:9" s="46" customFormat="1" x14ac:dyDescent="0.2">
      <c r="C1053" s="144"/>
      <c r="D1053" s="144"/>
      <c r="E1053" s="144"/>
      <c r="F1053" s="373"/>
      <c r="H1053" s="2168"/>
      <c r="I1053" s="70"/>
    </row>
    <row r="1054" spans="3:9" s="46" customFormat="1" x14ac:dyDescent="0.2">
      <c r="C1054" s="144"/>
      <c r="D1054" s="144"/>
      <c r="E1054" s="144"/>
      <c r="F1054" s="373"/>
      <c r="H1054" s="2168"/>
      <c r="I1054" s="70"/>
    </row>
    <row r="1055" spans="3:9" s="46" customFormat="1" x14ac:dyDescent="0.2">
      <c r="C1055" s="144"/>
      <c r="D1055" s="144"/>
      <c r="E1055" s="144"/>
      <c r="F1055" s="373"/>
      <c r="H1055" s="2168"/>
      <c r="I1055" s="70"/>
    </row>
    <row r="1056" spans="3:9" s="46" customFormat="1" x14ac:dyDescent="0.2">
      <c r="C1056" s="144"/>
      <c r="D1056" s="144"/>
      <c r="E1056" s="144"/>
      <c r="F1056" s="373"/>
      <c r="H1056" s="2168"/>
      <c r="I1056" s="70"/>
    </row>
    <row r="1057" spans="3:9" s="46" customFormat="1" x14ac:dyDescent="0.2">
      <c r="C1057" s="144"/>
      <c r="D1057" s="144"/>
      <c r="E1057" s="144"/>
      <c r="F1057" s="373"/>
      <c r="H1057" s="2168"/>
      <c r="I1057" s="70"/>
    </row>
    <row r="1058" spans="3:9" s="46" customFormat="1" x14ac:dyDescent="0.2">
      <c r="C1058" s="144"/>
      <c r="D1058" s="144"/>
      <c r="E1058" s="144"/>
      <c r="F1058" s="373"/>
      <c r="H1058" s="2168"/>
      <c r="I1058" s="70"/>
    </row>
    <row r="1059" spans="3:9" s="46" customFormat="1" x14ac:dyDescent="0.2">
      <c r="C1059" s="144"/>
      <c r="D1059" s="144"/>
      <c r="E1059" s="144"/>
      <c r="F1059" s="373"/>
      <c r="H1059" s="2168"/>
      <c r="I1059" s="70"/>
    </row>
    <row r="1060" spans="3:9" s="46" customFormat="1" x14ac:dyDescent="0.2">
      <c r="C1060" s="144"/>
      <c r="D1060" s="144"/>
      <c r="E1060" s="144"/>
      <c r="F1060" s="373"/>
      <c r="H1060" s="2168"/>
      <c r="I1060" s="70"/>
    </row>
    <row r="1061" spans="3:9" s="46" customFormat="1" x14ac:dyDescent="0.2">
      <c r="C1061" s="144"/>
      <c r="D1061" s="144"/>
      <c r="E1061" s="144"/>
      <c r="F1061" s="373"/>
      <c r="H1061" s="2168"/>
      <c r="I1061" s="70"/>
    </row>
    <row r="1062" spans="3:9" s="46" customFormat="1" x14ac:dyDescent="0.2">
      <c r="C1062" s="144"/>
      <c r="D1062" s="144"/>
      <c r="E1062" s="144"/>
      <c r="F1062" s="373"/>
      <c r="H1062" s="2168"/>
      <c r="I1062" s="70"/>
    </row>
    <row r="1063" spans="3:9" s="46" customFormat="1" x14ac:dyDescent="0.2">
      <c r="C1063" s="144"/>
      <c r="D1063" s="144"/>
      <c r="E1063" s="144"/>
      <c r="F1063" s="373"/>
      <c r="H1063" s="2168"/>
      <c r="I1063" s="70"/>
    </row>
    <row r="1064" spans="3:9" s="46" customFormat="1" x14ac:dyDescent="0.2">
      <c r="C1064" s="144"/>
      <c r="D1064" s="144"/>
      <c r="E1064" s="144"/>
      <c r="F1064" s="373"/>
      <c r="H1064" s="2168"/>
      <c r="I1064" s="70"/>
    </row>
    <row r="1065" spans="3:9" s="46" customFormat="1" x14ac:dyDescent="0.2">
      <c r="C1065" s="144"/>
      <c r="D1065" s="144"/>
      <c r="E1065" s="144"/>
      <c r="F1065" s="373"/>
      <c r="H1065" s="2168"/>
      <c r="I1065" s="70"/>
    </row>
    <row r="1066" spans="3:9" s="46" customFormat="1" x14ac:dyDescent="0.2">
      <c r="C1066" s="144"/>
      <c r="D1066" s="144"/>
      <c r="E1066" s="144"/>
      <c r="F1066" s="373"/>
      <c r="H1066" s="2168"/>
      <c r="I1066" s="70"/>
    </row>
    <row r="1067" spans="3:9" s="46" customFormat="1" x14ac:dyDescent="0.2">
      <c r="C1067" s="144"/>
      <c r="D1067" s="144"/>
      <c r="E1067" s="144"/>
      <c r="F1067" s="373"/>
      <c r="H1067" s="2168"/>
      <c r="I1067" s="70"/>
    </row>
    <row r="1068" spans="3:9" s="46" customFormat="1" x14ac:dyDescent="0.2">
      <c r="C1068" s="144"/>
      <c r="D1068" s="144"/>
      <c r="E1068" s="144"/>
      <c r="F1068" s="373"/>
      <c r="H1068" s="2168"/>
      <c r="I1068" s="70"/>
    </row>
    <row r="1069" spans="3:9" s="46" customFormat="1" x14ac:dyDescent="0.2">
      <c r="C1069" s="144"/>
      <c r="D1069" s="144"/>
      <c r="E1069" s="144"/>
      <c r="F1069" s="373"/>
      <c r="H1069" s="2168"/>
      <c r="I1069" s="70"/>
    </row>
    <row r="1070" spans="3:9" s="46" customFormat="1" x14ac:dyDescent="0.2">
      <c r="C1070" s="144"/>
      <c r="D1070" s="144"/>
      <c r="E1070" s="144"/>
      <c r="F1070" s="373"/>
      <c r="H1070" s="2168"/>
      <c r="I1070" s="70"/>
    </row>
    <row r="1071" spans="3:9" s="46" customFormat="1" x14ac:dyDescent="0.2">
      <c r="C1071" s="144"/>
      <c r="D1071" s="144"/>
      <c r="E1071" s="144"/>
      <c r="F1071" s="373"/>
      <c r="H1071" s="2168"/>
      <c r="I1071" s="70"/>
    </row>
    <row r="1072" spans="3:9" s="46" customFormat="1" x14ac:dyDescent="0.2">
      <c r="C1072" s="144"/>
      <c r="D1072" s="144"/>
      <c r="E1072" s="144"/>
      <c r="F1072" s="373"/>
      <c r="H1072" s="2168"/>
      <c r="I1072" s="70"/>
    </row>
    <row r="1073" spans="3:9" s="46" customFormat="1" x14ac:dyDescent="0.2">
      <c r="C1073" s="144"/>
      <c r="D1073" s="144"/>
      <c r="E1073" s="144"/>
      <c r="F1073" s="373"/>
      <c r="H1073" s="2168"/>
      <c r="I1073" s="70"/>
    </row>
    <row r="1074" spans="3:9" s="46" customFormat="1" x14ac:dyDescent="0.2">
      <c r="C1074" s="144"/>
      <c r="D1074" s="144"/>
      <c r="E1074" s="144"/>
      <c r="F1074" s="373"/>
      <c r="H1074" s="2168"/>
      <c r="I1074" s="70"/>
    </row>
    <row r="1075" spans="3:9" s="46" customFormat="1" x14ac:dyDescent="0.2">
      <c r="C1075" s="144"/>
      <c r="D1075" s="144"/>
      <c r="E1075" s="144"/>
      <c r="F1075" s="373"/>
      <c r="H1075" s="2168"/>
      <c r="I1075" s="70"/>
    </row>
    <row r="1076" spans="3:9" s="46" customFormat="1" x14ac:dyDescent="0.2">
      <c r="C1076" s="144"/>
      <c r="D1076" s="144"/>
      <c r="E1076" s="144"/>
      <c r="F1076" s="373"/>
      <c r="H1076" s="2168"/>
      <c r="I1076" s="70"/>
    </row>
    <row r="1077" spans="3:9" s="46" customFormat="1" x14ac:dyDescent="0.2">
      <c r="C1077" s="144"/>
      <c r="D1077" s="144"/>
      <c r="E1077" s="144"/>
      <c r="F1077" s="373"/>
      <c r="H1077" s="2168"/>
      <c r="I1077" s="70"/>
    </row>
    <row r="1078" spans="3:9" s="46" customFormat="1" x14ac:dyDescent="0.2">
      <c r="C1078" s="144"/>
      <c r="D1078" s="144"/>
      <c r="E1078" s="144"/>
      <c r="F1078" s="373"/>
      <c r="H1078" s="2168"/>
      <c r="I1078" s="70"/>
    </row>
    <row r="1079" spans="3:9" s="46" customFormat="1" x14ac:dyDescent="0.2">
      <c r="C1079" s="144"/>
      <c r="D1079" s="144"/>
      <c r="E1079" s="144"/>
      <c r="F1079" s="373"/>
      <c r="H1079" s="2168"/>
      <c r="I1079" s="70"/>
    </row>
    <row r="1080" spans="3:9" s="46" customFormat="1" x14ac:dyDescent="0.2">
      <c r="C1080" s="144"/>
      <c r="D1080" s="144"/>
      <c r="E1080" s="144"/>
      <c r="F1080" s="373"/>
      <c r="H1080" s="2168"/>
      <c r="I1080" s="70"/>
    </row>
    <row r="1081" spans="3:9" s="46" customFormat="1" x14ac:dyDescent="0.2">
      <c r="C1081" s="144"/>
      <c r="D1081" s="144"/>
      <c r="E1081" s="144"/>
      <c r="F1081" s="373"/>
      <c r="H1081" s="2168"/>
      <c r="I1081" s="70"/>
    </row>
    <row r="1082" spans="3:9" s="46" customFormat="1" x14ac:dyDescent="0.2">
      <c r="C1082" s="144"/>
      <c r="D1082" s="144"/>
      <c r="E1082" s="144"/>
      <c r="F1082" s="373"/>
      <c r="H1082" s="2168"/>
      <c r="I1082" s="70"/>
    </row>
    <row r="1083" spans="3:9" s="46" customFormat="1" x14ac:dyDescent="0.2">
      <c r="C1083" s="144"/>
      <c r="D1083" s="144"/>
      <c r="E1083" s="144"/>
      <c r="F1083" s="373"/>
      <c r="H1083" s="2168"/>
      <c r="I1083" s="70"/>
    </row>
    <row r="1084" spans="3:9" s="46" customFormat="1" x14ac:dyDescent="0.2">
      <c r="C1084" s="144"/>
      <c r="D1084" s="144"/>
      <c r="E1084" s="144"/>
      <c r="F1084" s="373"/>
      <c r="H1084" s="2168"/>
      <c r="I1084" s="70"/>
    </row>
    <row r="1085" spans="3:9" s="46" customFormat="1" x14ac:dyDescent="0.2">
      <c r="C1085" s="144"/>
      <c r="D1085" s="144"/>
      <c r="E1085" s="144"/>
      <c r="F1085" s="373"/>
      <c r="H1085" s="2168"/>
      <c r="I1085" s="70"/>
    </row>
    <row r="1086" spans="3:9" s="46" customFormat="1" x14ac:dyDescent="0.2">
      <c r="C1086" s="144"/>
      <c r="D1086" s="144"/>
      <c r="E1086" s="144"/>
      <c r="F1086" s="373"/>
      <c r="H1086" s="2168"/>
      <c r="I1086" s="70"/>
    </row>
    <row r="1087" spans="3:9" s="46" customFormat="1" x14ac:dyDescent="0.2">
      <c r="C1087" s="144"/>
      <c r="D1087" s="144"/>
      <c r="E1087" s="144"/>
      <c r="F1087" s="373"/>
      <c r="H1087" s="2168"/>
      <c r="I1087" s="70"/>
    </row>
    <row r="1088" spans="3:9" s="46" customFormat="1" x14ac:dyDescent="0.2">
      <c r="C1088" s="144"/>
      <c r="D1088" s="144"/>
      <c r="E1088" s="144"/>
      <c r="F1088" s="373"/>
      <c r="H1088" s="2168"/>
      <c r="I1088" s="70"/>
    </row>
    <row r="1089" spans="3:9" s="46" customFormat="1" x14ac:dyDescent="0.2">
      <c r="C1089" s="144"/>
      <c r="D1089" s="144"/>
      <c r="E1089" s="144"/>
      <c r="F1089" s="373"/>
      <c r="H1089" s="2168"/>
      <c r="I1089" s="70"/>
    </row>
    <row r="1090" spans="3:9" s="46" customFormat="1" x14ac:dyDescent="0.2">
      <c r="C1090" s="144"/>
      <c r="D1090" s="144"/>
      <c r="E1090" s="144"/>
      <c r="F1090" s="373"/>
      <c r="H1090" s="2168"/>
      <c r="I1090" s="70"/>
    </row>
    <row r="1091" spans="3:9" s="46" customFormat="1" x14ac:dyDescent="0.2">
      <c r="C1091" s="144"/>
      <c r="D1091" s="144"/>
      <c r="E1091" s="144"/>
      <c r="F1091" s="373"/>
      <c r="H1091" s="2168"/>
      <c r="I1091" s="70"/>
    </row>
    <row r="1092" spans="3:9" s="46" customFormat="1" x14ac:dyDescent="0.2">
      <c r="C1092" s="144"/>
      <c r="D1092" s="144"/>
      <c r="E1092" s="144"/>
      <c r="F1092" s="373"/>
      <c r="H1092" s="2168"/>
      <c r="I1092" s="70"/>
    </row>
    <row r="1093" spans="3:9" s="46" customFormat="1" x14ac:dyDescent="0.2">
      <c r="C1093" s="144"/>
      <c r="D1093" s="144"/>
      <c r="E1093" s="144"/>
      <c r="F1093" s="373"/>
      <c r="H1093" s="2168"/>
      <c r="I1093" s="70"/>
    </row>
    <row r="1094" spans="3:9" s="46" customFormat="1" x14ac:dyDescent="0.2">
      <c r="C1094" s="144"/>
      <c r="D1094" s="144"/>
      <c r="E1094" s="144"/>
      <c r="F1094" s="373"/>
      <c r="H1094" s="2168"/>
      <c r="I1094" s="70"/>
    </row>
    <row r="1095" spans="3:9" s="46" customFormat="1" x14ac:dyDescent="0.2">
      <c r="C1095" s="144"/>
      <c r="D1095" s="144"/>
      <c r="E1095" s="144"/>
      <c r="F1095" s="373"/>
      <c r="H1095" s="2168"/>
      <c r="I1095" s="70"/>
    </row>
    <row r="1096" spans="3:9" s="46" customFormat="1" x14ac:dyDescent="0.2">
      <c r="C1096" s="144"/>
      <c r="D1096" s="144"/>
      <c r="E1096" s="144"/>
      <c r="F1096" s="373"/>
      <c r="H1096" s="2168"/>
      <c r="I1096" s="70"/>
    </row>
    <row r="1097" spans="3:9" s="46" customFormat="1" x14ac:dyDescent="0.2">
      <c r="C1097" s="144"/>
      <c r="D1097" s="144"/>
      <c r="E1097" s="144"/>
      <c r="F1097" s="373"/>
      <c r="H1097" s="2168"/>
      <c r="I1097" s="70"/>
    </row>
    <row r="1098" spans="3:9" s="46" customFormat="1" x14ac:dyDescent="0.2">
      <c r="C1098" s="144"/>
      <c r="D1098" s="144"/>
      <c r="E1098" s="144"/>
      <c r="F1098" s="373"/>
      <c r="H1098" s="2168"/>
      <c r="I1098" s="70"/>
    </row>
    <row r="1099" spans="3:9" s="46" customFormat="1" x14ac:dyDescent="0.2">
      <c r="C1099" s="144"/>
      <c r="D1099" s="144"/>
      <c r="E1099" s="144"/>
      <c r="F1099" s="373"/>
      <c r="H1099" s="2168"/>
      <c r="I1099" s="70"/>
    </row>
    <row r="1100" spans="3:9" s="46" customFormat="1" x14ac:dyDescent="0.2">
      <c r="C1100" s="144"/>
      <c r="D1100" s="144"/>
      <c r="E1100" s="144"/>
      <c r="F1100" s="373"/>
      <c r="H1100" s="2168"/>
      <c r="I1100" s="70"/>
    </row>
    <row r="1101" spans="3:9" s="46" customFormat="1" x14ac:dyDescent="0.2">
      <c r="C1101" s="144"/>
      <c r="D1101" s="144"/>
      <c r="E1101" s="144"/>
      <c r="F1101" s="373"/>
      <c r="H1101" s="2168"/>
      <c r="I1101" s="70"/>
    </row>
    <row r="1102" spans="3:9" s="46" customFormat="1" x14ac:dyDescent="0.2">
      <c r="C1102" s="144"/>
      <c r="D1102" s="144"/>
      <c r="E1102" s="144"/>
      <c r="F1102" s="373"/>
      <c r="H1102" s="2168"/>
      <c r="I1102" s="70"/>
    </row>
    <row r="1103" spans="3:9" s="46" customFormat="1" x14ac:dyDescent="0.2">
      <c r="C1103" s="144"/>
      <c r="D1103" s="144"/>
      <c r="E1103" s="144"/>
      <c r="F1103" s="373"/>
      <c r="H1103" s="2168"/>
      <c r="I1103" s="70"/>
    </row>
    <row r="1104" spans="3:9" s="46" customFormat="1" x14ac:dyDescent="0.2">
      <c r="C1104" s="144"/>
      <c r="D1104" s="144"/>
      <c r="E1104" s="144"/>
      <c r="F1104" s="373"/>
      <c r="H1104" s="2168"/>
      <c r="I1104" s="70"/>
    </row>
    <row r="1105" spans="3:9" s="46" customFormat="1" x14ac:dyDescent="0.2">
      <c r="C1105" s="144"/>
      <c r="D1105" s="144"/>
      <c r="E1105" s="144"/>
      <c r="F1105" s="373"/>
      <c r="H1105" s="2168"/>
      <c r="I1105" s="70"/>
    </row>
    <row r="1106" spans="3:9" s="46" customFormat="1" x14ac:dyDescent="0.2">
      <c r="C1106" s="144"/>
      <c r="D1106" s="144"/>
      <c r="E1106" s="144"/>
      <c r="F1106" s="373"/>
      <c r="H1106" s="2168"/>
      <c r="I1106" s="70"/>
    </row>
    <row r="1107" spans="3:9" s="46" customFormat="1" x14ac:dyDescent="0.2">
      <c r="C1107" s="144"/>
      <c r="D1107" s="144"/>
      <c r="E1107" s="144"/>
      <c r="F1107" s="373"/>
      <c r="H1107" s="2168"/>
      <c r="I1107" s="70"/>
    </row>
    <row r="1108" spans="3:9" s="46" customFormat="1" x14ac:dyDescent="0.2">
      <c r="C1108" s="144"/>
      <c r="D1108" s="144"/>
      <c r="E1108" s="144"/>
      <c r="F1108" s="373"/>
      <c r="H1108" s="2168"/>
      <c r="I1108" s="70"/>
    </row>
    <row r="1109" spans="3:9" s="46" customFormat="1" x14ac:dyDescent="0.2">
      <c r="C1109" s="144"/>
      <c r="D1109" s="144"/>
      <c r="E1109" s="144"/>
      <c r="F1109" s="373" t="s">
        <v>7245</v>
      </c>
      <c r="H1109" s="2168"/>
      <c r="I1109" s="70"/>
    </row>
    <row r="1110" spans="3:9" s="46" customFormat="1" x14ac:dyDescent="0.2">
      <c r="C1110" s="144"/>
      <c r="D1110" s="144"/>
      <c r="E1110" s="144"/>
      <c r="F1110" s="373"/>
      <c r="H1110" s="2168"/>
      <c r="I1110" s="70"/>
    </row>
    <row r="1111" spans="3:9" s="46" customFormat="1" x14ac:dyDescent="0.2">
      <c r="C1111" s="144"/>
      <c r="D1111" s="144"/>
      <c r="E1111" s="144"/>
      <c r="F1111" s="373"/>
      <c r="H1111" s="2168"/>
      <c r="I1111" s="70"/>
    </row>
    <row r="1112" spans="3:9" s="46" customFormat="1" x14ac:dyDescent="0.2">
      <c r="C1112" s="144"/>
      <c r="D1112" s="144"/>
      <c r="E1112" s="144"/>
      <c r="F1112" s="373"/>
      <c r="H1112" s="2168"/>
      <c r="I1112" s="70"/>
    </row>
    <row r="1113" spans="3:9" s="46" customFormat="1" x14ac:dyDescent="0.2">
      <c r="C1113" s="144"/>
      <c r="D1113" s="144"/>
      <c r="E1113" s="144"/>
      <c r="F1113" s="373"/>
      <c r="H1113" s="2168"/>
      <c r="I1113" s="70"/>
    </row>
    <row r="1114" spans="3:9" s="46" customFormat="1" x14ac:dyDescent="0.2">
      <c r="C1114" s="144"/>
      <c r="D1114" s="144"/>
      <c r="E1114" s="144"/>
      <c r="F1114" s="373"/>
      <c r="H1114" s="2168"/>
      <c r="I1114" s="70"/>
    </row>
    <row r="1115" spans="3:9" s="46" customFormat="1" x14ac:dyDescent="0.2">
      <c r="C1115" s="144"/>
      <c r="D1115" s="144"/>
      <c r="E1115" s="144"/>
      <c r="F1115" s="373"/>
      <c r="H1115" s="2168"/>
      <c r="I1115" s="70"/>
    </row>
    <row r="1116" spans="3:9" s="46" customFormat="1" x14ac:dyDescent="0.2">
      <c r="C1116" s="144"/>
      <c r="D1116" s="144"/>
      <c r="E1116" s="144"/>
      <c r="F1116" s="373"/>
      <c r="H1116" s="2168"/>
      <c r="I1116" s="70"/>
    </row>
    <row r="1117" spans="3:9" s="46" customFormat="1" x14ac:dyDescent="0.2">
      <c r="C1117" s="144"/>
      <c r="D1117" s="144"/>
      <c r="E1117" s="144"/>
      <c r="F1117" s="373"/>
      <c r="H1117" s="2168"/>
      <c r="I1117" s="70"/>
    </row>
    <row r="1118" spans="3:9" s="46" customFormat="1" x14ac:dyDescent="0.2">
      <c r="C1118" s="144"/>
      <c r="D1118" s="144"/>
      <c r="E1118" s="144"/>
      <c r="F1118" s="373"/>
      <c r="H1118" s="2168"/>
      <c r="I1118" s="70"/>
    </row>
    <row r="1119" spans="3:9" s="46" customFormat="1" x14ac:dyDescent="0.2">
      <c r="C1119" s="144"/>
      <c r="D1119" s="144"/>
      <c r="E1119" s="144"/>
      <c r="F1119" s="373"/>
      <c r="H1119" s="2168"/>
      <c r="I1119" s="70"/>
    </row>
    <row r="1120" spans="3:9" s="46" customFormat="1" x14ac:dyDescent="0.2">
      <c r="C1120" s="144"/>
      <c r="D1120" s="144"/>
      <c r="E1120" s="144"/>
      <c r="F1120" s="373"/>
      <c r="H1120" s="2168"/>
      <c r="I1120" s="70"/>
    </row>
    <row r="1121" spans="3:9" s="46" customFormat="1" x14ac:dyDescent="0.2">
      <c r="C1121" s="144"/>
      <c r="D1121" s="144"/>
      <c r="E1121" s="144"/>
      <c r="F1121" s="373"/>
      <c r="H1121" s="2168"/>
      <c r="I1121" s="70"/>
    </row>
    <row r="1122" spans="3:9" s="46" customFormat="1" x14ac:dyDescent="0.2">
      <c r="C1122" s="144"/>
      <c r="D1122" s="144"/>
      <c r="E1122" s="144"/>
      <c r="F1122" s="373"/>
      <c r="H1122" s="2168"/>
      <c r="I1122" s="70"/>
    </row>
    <row r="1123" spans="3:9" s="46" customFormat="1" x14ac:dyDescent="0.2">
      <c r="C1123" s="144"/>
      <c r="D1123" s="144"/>
      <c r="E1123" s="144"/>
      <c r="F1123" s="373"/>
      <c r="H1123" s="2168"/>
      <c r="I1123" s="70"/>
    </row>
    <row r="1124" spans="3:9" s="46" customFormat="1" x14ac:dyDescent="0.2">
      <c r="C1124" s="144"/>
      <c r="D1124" s="144"/>
      <c r="E1124" s="144"/>
      <c r="F1124" s="373"/>
      <c r="H1124" s="2168"/>
      <c r="I1124" s="70"/>
    </row>
    <row r="1125" spans="3:9" s="46" customFormat="1" x14ac:dyDescent="0.2">
      <c r="C1125" s="144"/>
      <c r="D1125" s="144"/>
      <c r="E1125" s="144"/>
      <c r="F1125" s="373"/>
      <c r="H1125" s="2168"/>
      <c r="I1125" s="70"/>
    </row>
    <row r="1126" spans="3:9" s="46" customFormat="1" x14ac:dyDescent="0.2">
      <c r="C1126" s="144"/>
      <c r="D1126" s="144"/>
      <c r="E1126" s="144"/>
      <c r="F1126" s="373"/>
      <c r="H1126" s="2168"/>
      <c r="I1126" s="70"/>
    </row>
    <row r="1127" spans="3:9" s="46" customFormat="1" x14ac:dyDescent="0.2">
      <c r="C1127" s="144"/>
      <c r="D1127" s="144"/>
      <c r="E1127" s="144"/>
      <c r="F1127" s="373"/>
      <c r="H1127" s="2168"/>
      <c r="I1127" s="70"/>
    </row>
    <row r="1128" spans="3:9" s="46" customFormat="1" x14ac:dyDescent="0.2">
      <c r="C1128" s="144"/>
      <c r="D1128" s="144"/>
      <c r="E1128" s="144"/>
      <c r="F1128" s="373"/>
      <c r="H1128" s="2168"/>
      <c r="I1128" s="70"/>
    </row>
    <row r="1129" spans="3:9" s="46" customFormat="1" x14ac:dyDescent="0.2">
      <c r="C1129" s="144"/>
      <c r="D1129" s="144"/>
      <c r="E1129" s="144"/>
      <c r="F1129" s="373"/>
      <c r="H1129" s="2168"/>
      <c r="I1129" s="70"/>
    </row>
    <row r="1130" spans="3:9" s="46" customFormat="1" x14ac:dyDescent="0.2">
      <c r="C1130" s="144"/>
      <c r="D1130" s="144"/>
      <c r="E1130" s="144"/>
      <c r="F1130" s="373"/>
      <c r="H1130" s="2168"/>
      <c r="I1130" s="70"/>
    </row>
    <row r="1131" spans="3:9" s="46" customFormat="1" x14ac:dyDescent="0.2">
      <c r="C1131" s="144"/>
      <c r="D1131" s="144"/>
      <c r="E1131" s="144"/>
      <c r="F1131" s="373"/>
      <c r="H1131" s="2168"/>
      <c r="I1131" s="70"/>
    </row>
    <row r="1132" spans="3:9" s="46" customFormat="1" x14ac:dyDescent="0.2">
      <c r="C1132" s="144"/>
      <c r="D1132" s="144"/>
      <c r="E1132" s="144"/>
      <c r="F1132" s="373"/>
      <c r="H1132" s="2168"/>
      <c r="I1132" s="70"/>
    </row>
    <row r="1133" spans="3:9" s="46" customFormat="1" x14ac:dyDescent="0.2">
      <c r="C1133" s="144"/>
      <c r="D1133" s="144"/>
      <c r="E1133" s="144"/>
      <c r="F1133" s="373"/>
      <c r="H1133" s="2168"/>
      <c r="I1133" s="70"/>
    </row>
    <row r="1134" spans="3:9" s="46" customFormat="1" x14ac:dyDescent="0.2">
      <c r="C1134" s="144"/>
      <c r="D1134" s="144"/>
      <c r="E1134" s="144"/>
      <c r="F1134" s="373"/>
      <c r="H1134" s="2168"/>
      <c r="I1134" s="70"/>
    </row>
    <row r="1135" spans="3:9" s="46" customFormat="1" x14ac:dyDescent="0.2">
      <c r="C1135" s="144"/>
      <c r="D1135" s="144"/>
      <c r="E1135" s="144"/>
      <c r="F1135" s="373"/>
      <c r="H1135" s="2168"/>
      <c r="I1135" s="70"/>
    </row>
    <row r="1136" spans="3:9" s="46" customFormat="1" x14ac:dyDescent="0.2">
      <c r="C1136" s="144"/>
      <c r="D1136" s="144"/>
      <c r="E1136" s="144"/>
      <c r="F1136" s="373"/>
      <c r="H1136" s="2168"/>
      <c r="I1136" s="70"/>
    </row>
    <row r="1137" spans="3:9" s="46" customFormat="1" x14ac:dyDescent="0.2">
      <c r="C1137" s="144"/>
      <c r="D1137" s="144"/>
      <c r="E1137" s="144"/>
      <c r="F1137" s="373"/>
      <c r="H1137" s="2168"/>
      <c r="I1137" s="70"/>
    </row>
    <row r="1138" spans="3:9" s="46" customFormat="1" x14ac:dyDescent="0.2">
      <c r="C1138" s="144"/>
      <c r="D1138" s="144"/>
      <c r="E1138" s="144"/>
      <c r="F1138" s="373"/>
      <c r="H1138" s="2168"/>
      <c r="I1138" s="70"/>
    </row>
    <row r="1139" spans="3:9" s="46" customFormat="1" x14ac:dyDescent="0.2">
      <c r="C1139" s="144"/>
      <c r="D1139" s="144"/>
      <c r="E1139" s="144"/>
      <c r="F1139" s="373"/>
      <c r="H1139" s="2168"/>
      <c r="I1139" s="70"/>
    </row>
    <row r="1140" spans="3:9" s="46" customFormat="1" x14ac:dyDescent="0.2">
      <c r="C1140" s="144"/>
      <c r="D1140" s="144"/>
      <c r="E1140" s="144"/>
      <c r="F1140" s="373"/>
      <c r="H1140" s="2168"/>
      <c r="I1140" s="70"/>
    </row>
    <row r="1141" spans="3:9" s="46" customFormat="1" x14ac:dyDescent="0.2">
      <c r="C1141" s="144"/>
      <c r="D1141" s="144"/>
      <c r="E1141" s="144"/>
      <c r="F1141" s="373"/>
      <c r="H1141" s="2168"/>
      <c r="I1141" s="70"/>
    </row>
    <row r="1142" spans="3:9" s="46" customFormat="1" x14ac:dyDescent="0.2">
      <c r="C1142" s="144"/>
      <c r="D1142" s="144"/>
      <c r="E1142" s="144"/>
      <c r="F1142" s="373"/>
      <c r="H1142" s="2168"/>
      <c r="I1142" s="70"/>
    </row>
    <row r="1143" spans="3:9" s="46" customFormat="1" x14ac:dyDescent="0.2">
      <c r="C1143" s="144"/>
      <c r="D1143" s="144"/>
      <c r="E1143" s="144"/>
      <c r="F1143" s="373"/>
      <c r="H1143" s="2168"/>
      <c r="I1143" s="70"/>
    </row>
    <row r="1144" spans="3:9" s="46" customFormat="1" x14ac:dyDescent="0.2">
      <c r="C1144" s="144"/>
      <c r="D1144" s="144"/>
      <c r="E1144" s="144"/>
      <c r="F1144" s="373"/>
      <c r="H1144" s="2168"/>
      <c r="I1144" s="70"/>
    </row>
    <row r="1145" spans="3:9" s="46" customFormat="1" x14ac:dyDescent="0.2">
      <c r="C1145" s="144"/>
      <c r="D1145" s="144"/>
      <c r="E1145" s="144"/>
      <c r="F1145" s="373"/>
      <c r="H1145" s="2168"/>
      <c r="I1145" s="70"/>
    </row>
    <row r="1146" spans="3:9" s="46" customFormat="1" x14ac:dyDescent="0.2">
      <c r="C1146" s="144"/>
      <c r="D1146" s="144"/>
      <c r="E1146" s="144"/>
      <c r="F1146" s="373"/>
      <c r="H1146" s="2168"/>
      <c r="I1146" s="70"/>
    </row>
    <row r="1147" spans="3:9" s="46" customFormat="1" x14ac:dyDescent="0.2">
      <c r="C1147" s="144"/>
      <c r="D1147" s="144"/>
      <c r="E1147" s="144"/>
      <c r="F1147" s="373"/>
      <c r="H1147" s="2168"/>
      <c r="I1147" s="70"/>
    </row>
    <row r="1148" spans="3:9" s="46" customFormat="1" x14ac:dyDescent="0.2">
      <c r="C1148" s="144"/>
      <c r="D1148" s="144"/>
      <c r="E1148" s="144"/>
      <c r="F1148" s="373"/>
      <c r="H1148" s="2168"/>
      <c r="I1148" s="70"/>
    </row>
    <row r="1149" spans="3:9" s="46" customFormat="1" x14ac:dyDescent="0.2">
      <c r="C1149" s="144"/>
      <c r="D1149" s="144"/>
      <c r="E1149" s="144"/>
      <c r="F1149" s="373"/>
      <c r="H1149" s="2168"/>
      <c r="I1149" s="70"/>
    </row>
    <row r="1150" spans="3:9" s="46" customFormat="1" x14ac:dyDescent="0.2">
      <c r="C1150" s="144"/>
      <c r="D1150" s="144"/>
      <c r="E1150" s="144"/>
      <c r="F1150" s="373"/>
      <c r="H1150" s="2168"/>
      <c r="I1150" s="70"/>
    </row>
    <row r="1151" spans="3:9" s="46" customFormat="1" x14ac:dyDescent="0.2">
      <c r="C1151" s="144"/>
      <c r="D1151" s="144"/>
      <c r="E1151" s="144"/>
      <c r="F1151" s="373"/>
      <c r="H1151" s="2168"/>
      <c r="I1151" s="70"/>
    </row>
    <row r="1152" spans="3:9" s="46" customFormat="1" x14ac:dyDescent="0.2">
      <c r="C1152" s="144"/>
      <c r="D1152" s="144"/>
      <c r="E1152" s="144"/>
      <c r="F1152" s="373"/>
      <c r="H1152" s="2168"/>
      <c r="I1152" s="70"/>
    </row>
    <row r="1153" spans="3:9" s="46" customFormat="1" x14ac:dyDescent="0.2">
      <c r="C1153" s="144"/>
      <c r="D1153" s="144"/>
      <c r="E1153" s="144"/>
      <c r="F1153" s="373"/>
      <c r="H1153" s="2168"/>
      <c r="I1153" s="70"/>
    </row>
    <row r="1154" spans="3:9" s="46" customFormat="1" x14ac:dyDescent="0.2">
      <c r="C1154" s="144"/>
      <c r="D1154" s="144"/>
      <c r="E1154" s="144"/>
      <c r="F1154" s="373"/>
      <c r="H1154" s="2168"/>
      <c r="I1154" s="70"/>
    </row>
    <row r="1155" spans="3:9" s="46" customFormat="1" x14ac:dyDescent="0.2">
      <c r="C1155" s="144"/>
      <c r="D1155" s="144"/>
      <c r="E1155" s="144"/>
      <c r="F1155" s="373"/>
      <c r="H1155" s="2168"/>
      <c r="I1155" s="70"/>
    </row>
    <row r="1156" spans="3:9" s="46" customFormat="1" x14ac:dyDescent="0.2">
      <c r="C1156" s="144"/>
      <c r="D1156" s="144"/>
      <c r="E1156" s="144"/>
      <c r="F1156" s="373"/>
      <c r="H1156" s="2168"/>
      <c r="I1156" s="70"/>
    </row>
    <row r="1157" spans="3:9" s="46" customFormat="1" x14ac:dyDescent="0.2">
      <c r="C1157" s="144"/>
      <c r="D1157" s="144"/>
      <c r="E1157" s="144"/>
      <c r="F1157" s="373"/>
      <c r="H1157" s="2168"/>
      <c r="I1157" s="70"/>
    </row>
    <row r="1158" spans="3:9" s="46" customFormat="1" x14ac:dyDescent="0.2">
      <c r="C1158" s="144"/>
      <c r="D1158" s="144"/>
      <c r="E1158" s="144"/>
      <c r="F1158" s="373"/>
      <c r="H1158" s="2168"/>
      <c r="I1158" s="70"/>
    </row>
    <row r="1159" spans="3:9" s="46" customFormat="1" x14ac:dyDescent="0.2">
      <c r="C1159" s="144"/>
      <c r="D1159" s="144"/>
      <c r="E1159" s="144"/>
      <c r="F1159" s="373"/>
      <c r="H1159" s="2168"/>
      <c r="I1159" s="70"/>
    </row>
    <row r="1160" spans="3:9" s="46" customFormat="1" x14ac:dyDescent="0.2">
      <c r="C1160" s="144"/>
      <c r="D1160" s="144"/>
      <c r="E1160" s="144"/>
      <c r="F1160" s="373"/>
      <c r="H1160" s="2168"/>
      <c r="I1160" s="70"/>
    </row>
    <row r="1161" spans="3:9" s="46" customFormat="1" x14ac:dyDescent="0.2">
      <c r="C1161" s="144"/>
      <c r="D1161" s="144"/>
      <c r="E1161" s="144"/>
      <c r="F1161" s="373"/>
      <c r="H1161" s="2168"/>
      <c r="I1161" s="70"/>
    </row>
    <row r="1162" spans="3:9" s="46" customFormat="1" x14ac:dyDescent="0.2">
      <c r="C1162" s="144"/>
      <c r="D1162" s="144"/>
      <c r="E1162" s="144"/>
      <c r="F1162" s="373"/>
      <c r="H1162" s="2168"/>
      <c r="I1162" s="70"/>
    </row>
    <row r="1163" spans="3:9" s="46" customFormat="1" x14ac:dyDescent="0.2">
      <c r="C1163" s="144"/>
      <c r="D1163" s="144"/>
      <c r="E1163" s="144"/>
      <c r="F1163" s="373"/>
      <c r="H1163" s="2168"/>
      <c r="I1163" s="70"/>
    </row>
    <row r="1164" spans="3:9" s="46" customFormat="1" x14ac:dyDescent="0.2">
      <c r="C1164" s="144"/>
      <c r="D1164" s="144"/>
      <c r="E1164" s="144"/>
      <c r="F1164" s="373"/>
      <c r="H1164" s="2168"/>
      <c r="I1164" s="70"/>
    </row>
    <row r="1165" spans="3:9" s="46" customFormat="1" x14ac:dyDescent="0.2">
      <c r="C1165" s="144"/>
      <c r="D1165" s="144"/>
      <c r="E1165" s="144"/>
      <c r="F1165" s="373"/>
      <c r="H1165" s="2168"/>
      <c r="I1165" s="70"/>
    </row>
    <row r="1166" spans="3:9" s="46" customFormat="1" x14ac:dyDescent="0.2">
      <c r="C1166" s="144"/>
      <c r="D1166" s="144"/>
      <c r="E1166" s="144"/>
      <c r="F1166" s="373"/>
      <c r="H1166" s="2168"/>
      <c r="I1166" s="70"/>
    </row>
    <row r="1167" spans="3:9" s="46" customFormat="1" x14ac:dyDescent="0.2">
      <c r="C1167" s="144"/>
      <c r="D1167" s="144"/>
      <c r="E1167" s="144"/>
      <c r="F1167" s="373"/>
      <c r="H1167" s="2168"/>
      <c r="I1167" s="70"/>
    </row>
    <row r="1168" spans="3:9" s="46" customFormat="1" x14ac:dyDescent="0.2">
      <c r="C1168" s="144"/>
      <c r="D1168" s="144"/>
      <c r="E1168" s="144"/>
      <c r="F1168" s="373"/>
      <c r="H1168" s="2168"/>
      <c r="I1168" s="70"/>
    </row>
    <row r="1169" spans="3:9" s="46" customFormat="1" x14ac:dyDescent="0.2">
      <c r="C1169" s="144"/>
      <c r="D1169" s="144"/>
      <c r="E1169" s="144"/>
      <c r="F1169" s="373"/>
      <c r="H1169" s="2168"/>
      <c r="I1169" s="70"/>
    </row>
    <row r="1170" spans="3:9" s="46" customFormat="1" x14ac:dyDescent="0.2">
      <c r="C1170" s="144"/>
      <c r="D1170" s="144"/>
      <c r="E1170" s="144"/>
      <c r="F1170" s="373"/>
      <c r="H1170" s="2168"/>
      <c r="I1170" s="70"/>
    </row>
    <row r="1171" spans="3:9" s="46" customFormat="1" x14ac:dyDescent="0.2">
      <c r="C1171" s="144"/>
      <c r="D1171" s="144"/>
      <c r="E1171" s="144"/>
      <c r="F1171" s="373"/>
      <c r="H1171" s="2168"/>
      <c r="I1171" s="70"/>
    </row>
    <row r="1172" spans="3:9" s="46" customFormat="1" x14ac:dyDescent="0.2">
      <c r="C1172" s="144"/>
      <c r="D1172" s="144"/>
      <c r="E1172" s="144"/>
      <c r="F1172" s="373"/>
      <c r="H1172" s="2168"/>
      <c r="I1172" s="70"/>
    </row>
    <row r="1173" spans="3:9" s="46" customFormat="1" x14ac:dyDescent="0.2">
      <c r="C1173" s="144"/>
      <c r="D1173" s="144"/>
      <c r="E1173" s="144"/>
      <c r="F1173" s="373"/>
      <c r="H1173" s="2168"/>
      <c r="I1173" s="70"/>
    </row>
    <row r="1174" spans="3:9" s="46" customFormat="1" x14ac:dyDescent="0.2">
      <c r="C1174" s="144"/>
      <c r="D1174" s="144"/>
      <c r="E1174" s="144"/>
      <c r="F1174" s="373"/>
      <c r="H1174" s="2168"/>
      <c r="I1174" s="70"/>
    </row>
    <row r="1175" spans="3:9" s="46" customFormat="1" x14ac:dyDescent="0.2">
      <c r="C1175" s="144"/>
      <c r="D1175" s="144"/>
      <c r="E1175" s="144"/>
      <c r="F1175" s="373"/>
      <c r="H1175" s="2168"/>
      <c r="I1175" s="70"/>
    </row>
    <row r="1176" spans="3:9" s="46" customFormat="1" x14ac:dyDescent="0.2">
      <c r="C1176" s="144"/>
      <c r="D1176" s="144"/>
      <c r="E1176" s="144"/>
      <c r="F1176" s="373"/>
      <c r="H1176" s="2168"/>
      <c r="I1176" s="70"/>
    </row>
    <row r="1177" spans="3:9" s="46" customFormat="1" x14ac:dyDescent="0.2">
      <c r="C1177" s="144"/>
      <c r="D1177" s="144"/>
      <c r="E1177" s="144"/>
      <c r="F1177" s="373"/>
      <c r="H1177" s="2168"/>
      <c r="I1177" s="70"/>
    </row>
    <row r="1178" spans="3:9" s="46" customFormat="1" x14ac:dyDescent="0.2">
      <c r="C1178" s="144"/>
      <c r="D1178" s="144"/>
      <c r="E1178" s="144"/>
      <c r="F1178" s="373"/>
      <c r="H1178" s="2168"/>
      <c r="I1178" s="70"/>
    </row>
    <row r="1179" spans="3:9" s="46" customFormat="1" x14ac:dyDescent="0.2">
      <c r="C1179" s="144"/>
      <c r="D1179" s="144"/>
      <c r="E1179" s="144"/>
      <c r="F1179" s="373"/>
      <c r="H1179" s="2168"/>
      <c r="I1179" s="70"/>
    </row>
    <row r="1180" spans="3:9" s="46" customFormat="1" x14ac:dyDescent="0.2">
      <c r="C1180" s="144"/>
      <c r="D1180" s="144"/>
      <c r="E1180" s="144"/>
      <c r="F1180" s="373"/>
      <c r="H1180" s="2168"/>
      <c r="I1180" s="70"/>
    </row>
    <row r="1181" spans="3:9" s="46" customFormat="1" x14ac:dyDescent="0.2">
      <c r="C1181" s="144"/>
      <c r="D1181" s="144"/>
      <c r="E1181" s="144"/>
      <c r="F1181" s="373"/>
      <c r="H1181" s="2168"/>
      <c r="I1181" s="70"/>
    </row>
    <row r="1182" spans="3:9" s="46" customFormat="1" x14ac:dyDescent="0.2">
      <c r="C1182" s="144"/>
      <c r="D1182" s="144"/>
      <c r="E1182" s="144"/>
      <c r="F1182" s="373"/>
      <c r="H1182" s="2168"/>
      <c r="I1182" s="70"/>
    </row>
    <row r="1183" spans="3:9" s="46" customFormat="1" x14ac:dyDescent="0.2">
      <c r="C1183" s="144"/>
      <c r="D1183" s="144"/>
      <c r="E1183" s="144"/>
      <c r="F1183" s="373"/>
      <c r="H1183" s="2168"/>
      <c r="I1183" s="70"/>
    </row>
    <row r="1184" spans="3:9" s="46" customFormat="1" x14ac:dyDescent="0.2">
      <c r="C1184" s="144"/>
      <c r="D1184" s="144"/>
      <c r="E1184" s="144"/>
      <c r="F1184" s="373"/>
      <c r="H1184" s="2168"/>
      <c r="I1184" s="70"/>
    </row>
    <row r="1185" spans="3:9" s="46" customFormat="1" x14ac:dyDescent="0.2">
      <c r="C1185" s="144"/>
      <c r="D1185" s="144"/>
      <c r="E1185" s="144"/>
      <c r="F1185" s="373"/>
      <c r="H1185" s="2168"/>
      <c r="I1185" s="70"/>
    </row>
    <row r="1186" spans="3:9" s="46" customFormat="1" x14ac:dyDescent="0.2">
      <c r="C1186" s="144"/>
      <c r="D1186" s="144"/>
      <c r="E1186" s="144"/>
      <c r="F1186" s="373"/>
      <c r="H1186" s="2168"/>
      <c r="I1186" s="70"/>
    </row>
    <row r="1187" spans="3:9" s="46" customFormat="1" x14ac:dyDescent="0.2">
      <c r="C1187" s="144"/>
      <c r="D1187" s="144"/>
      <c r="E1187" s="144"/>
      <c r="F1187" s="373"/>
      <c r="H1187" s="2168"/>
      <c r="I1187" s="70"/>
    </row>
    <row r="1188" spans="3:9" s="46" customFormat="1" x14ac:dyDescent="0.2">
      <c r="C1188" s="144"/>
      <c r="D1188" s="144"/>
      <c r="E1188" s="144"/>
      <c r="F1188" s="373"/>
      <c r="H1188" s="2168"/>
      <c r="I1188" s="70"/>
    </row>
    <row r="1189" spans="3:9" s="46" customFormat="1" x14ac:dyDescent="0.2">
      <c r="C1189" s="144"/>
      <c r="D1189" s="144"/>
      <c r="E1189" s="144"/>
      <c r="F1189" s="373"/>
      <c r="H1189" s="2168"/>
      <c r="I1189" s="70"/>
    </row>
    <row r="1190" spans="3:9" s="46" customFormat="1" x14ac:dyDescent="0.2">
      <c r="C1190" s="144"/>
      <c r="D1190" s="144"/>
      <c r="E1190" s="144"/>
      <c r="F1190" s="373"/>
      <c r="H1190" s="2168"/>
      <c r="I1190" s="70"/>
    </row>
    <row r="1191" spans="3:9" s="46" customFormat="1" x14ac:dyDescent="0.2">
      <c r="C1191" s="144"/>
      <c r="D1191" s="144"/>
      <c r="E1191" s="144"/>
      <c r="F1191" s="373"/>
      <c r="H1191" s="2168"/>
      <c r="I1191" s="70"/>
    </row>
    <row r="1192" spans="3:9" s="46" customFormat="1" x14ac:dyDescent="0.2">
      <c r="C1192" s="144"/>
      <c r="D1192" s="144"/>
      <c r="E1192" s="144"/>
      <c r="F1192" s="373"/>
      <c r="H1192" s="2168"/>
      <c r="I1192" s="70"/>
    </row>
    <row r="1193" spans="3:9" s="46" customFormat="1" x14ac:dyDescent="0.2">
      <c r="C1193" s="144"/>
      <c r="D1193" s="144"/>
      <c r="E1193" s="144"/>
      <c r="F1193" s="373"/>
      <c r="H1193" s="2168"/>
      <c r="I1193" s="70"/>
    </row>
    <row r="1194" spans="3:9" s="46" customFormat="1" x14ac:dyDescent="0.2">
      <c r="C1194" s="144"/>
      <c r="D1194" s="144"/>
      <c r="E1194" s="144"/>
      <c r="F1194" s="373"/>
      <c r="H1194" s="2168"/>
      <c r="I1194" s="70"/>
    </row>
    <row r="1195" spans="3:9" s="46" customFormat="1" x14ac:dyDescent="0.2">
      <c r="C1195" s="144"/>
      <c r="D1195" s="144"/>
      <c r="E1195" s="144"/>
      <c r="F1195" s="373"/>
      <c r="H1195" s="2168"/>
      <c r="I1195" s="70"/>
    </row>
    <row r="1196" spans="3:9" s="46" customFormat="1" x14ac:dyDescent="0.2">
      <c r="C1196" s="144"/>
      <c r="D1196" s="144"/>
      <c r="E1196" s="144"/>
      <c r="F1196" s="373"/>
      <c r="H1196" s="2168"/>
      <c r="I1196" s="70"/>
    </row>
    <row r="1197" spans="3:9" s="46" customFormat="1" x14ac:dyDescent="0.2">
      <c r="C1197" s="144"/>
      <c r="D1197" s="144"/>
      <c r="E1197" s="144"/>
      <c r="F1197" s="373"/>
      <c r="H1197" s="2168"/>
      <c r="I1197" s="70"/>
    </row>
    <row r="1198" spans="3:9" s="46" customFormat="1" x14ac:dyDescent="0.2">
      <c r="C1198" s="144"/>
      <c r="D1198" s="144"/>
      <c r="E1198" s="144"/>
      <c r="F1198" s="373"/>
      <c r="H1198" s="2168"/>
      <c r="I1198" s="70"/>
    </row>
    <row r="1199" spans="3:9" s="46" customFormat="1" x14ac:dyDescent="0.2">
      <c r="C1199" s="144"/>
      <c r="D1199" s="144"/>
      <c r="E1199" s="144"/>
      <c r="F1199" s="373"/>
      <c r="H1199" s="2168"/>
      <c r="I1199" s="70"/>
    </row>
    <row r="1200" spans="3:9" s="46" customFormat="1" x14ac:dyDescent="0.2">
      <c r="C1200" s="144"/>
      <c r="D1200" s="144"/>
      <c r="E1200" s="144"/>
      <c r="F1200" s="373"/>
      <c r="H1200" s="2168"/>
      <c r="I1200" s="70"/>
    </row>
    <row r="1201" spans="3:9" s="46" customFormat="1" x14ac:dyDescent="0.2">
      <c r="C1201" s="144"/>
      <c r="D1201" s="144"/>
      <c r="E1201" s="144"/>
      <c r="F1201" s="373"/>
      <c r="H1201" s="2168"/>
      <c r="I1201" s="70"/>
    </row>
    <row r="1202" spans="3:9" s="46" customFormat="1" x14ac:dyDescent="0.2">
      <c r="C1202" s="144"/>
      <c r="D1202" s="144"/>
      <c r="E1202" s="144"/>
      <c r="F1202" s="373"/>
      <c r="H1202" s="2168"/>
      <c r="I1202" s="70"/>
    </row>
    <row r="1203" spans="3:9" s="46" customFormat="1" x14ac:dyDescent="0.2">
      <c r="C1203" s="144"/>
      <c r="D1203" s="144"/>
      <c r="E1203" s="144"/>
      <c r="F1203" s="373"/>
      <c r="H1203" s="2168"/>
      <c r="I1203" s="70"/>
    </row>
    <row r="1204" spans="3:9" s="46" customFormat="1" x14ac:dyDescent="0.2">
      <c r="C1204" s="144"/>
      <c r="D1204" s="144"/>
      <c r="E1204" s="144"/>
      <c r="F1204" s="373"/>
      <c r="H1204" s="2168"/>
      <c r="I1204" s="70"/>
    </row>
    <row r="1205" spans="3:9" s="46" customFormat="1" x14ac:dyDescent="0.2">
      <c r="C1205" s="144"/>
      <c r="D1205" s="144"/>
      <c r="E1205" s="144"/>
      <c r="F1205" s="373"/>
      <c r="H1205" s="2168"/>
      <c r="I1205" s="70"/>
    </row>
    <row r="1206" spans="3:9" s="46" customFormat="1" x14ac:dyDescent="0.2">
      <c r="C1206" s="144"/>
      <c r="D1206" s="144"/>
      <c r="E1206" s="144"/>
      <c r="F1206" s="373"/>
      <c r="H1206" s="2168"/>
      <c r="I1206" s="70"/>
    </row>
    <row r="1207" spans="3:9" s="46" customFormat="1" x14ac:dyDescent="0.2">
      <c r="C1207" s="144"/>
      <c r="D1207" s="144"/>
      <c r="E1207" s="144"/>
      <c r="F1207" s="373"/>
      <c r="H1207" s="2168"/>
      <c r="I1207" s="70"/>
    </row>
    <row r="1208" spans="3:9" s="46" customFormat="1" x14ac:dyDescent="0.2">
      <c r="C1208" s="144"/>
      <c r="D1208" s="144"/>
      <c r="E1208" s="144"/>
      <c r="F1208" s="373"/>
      <c r="H1208" s="2168"/>
      <c r="I1208" s="70"/>
    </row>
    <row r="1209" spans="3:9" s="46" customFormat="1" x14ac:dyDescent="0.2">
      <c r="C1209" s="144"/>
      <c r="D1209" s="144"/>
      <c r="E1209" s="144"/>
      <c r="F1209" s="373"/>
      <c r="H1209" s="2168"/>
      <c r="I1209" s="70"/>
    </row>
    <row r="1210" spans="3:9" s="46" customFormat="1" x14ac:dyDescent="0.2">
      <c r="C1210" s="144"/>
      <c r="D1210" s="144"/>
      <c r="E1210" s="144"/>
      <c r="F1210" s="373"/>
      <c r="H1210" s="2168"/>
      <c r="I1210" s="70"/>
    </row>
    <row r="1211" spans="3:9" s="46" customFormat="1" x14ac:dyDescent="0.2">
      <c r="C1211" s="144"/>
      <c r="D1211" s="144"/>
      <c r="E1211" s="144"/>
      <c r="F1211" s="373"/>
      <c r="H1211" s="2168"/>
      <c r="I1211" s="70"/>
    </row>
    <row r="1212" spans="3:9" s="46" customFormat="1" x14ac:dyDescent="0.2">
      <c r="C1212" s="144"/>
      <c r="D1212" s="144"/>
      <c r="E1212" s="144"/>
      <c r="F1212" s="373"/>
      <c r="H1212" s="2168"/>
      <c r="I1212" s="70"/>
    </row>
    <row r="1213" spans="3:9" s="46" customFormat="1" x14ac:dyDescent="0.2">
      <c r="C1213" s="144"/>
      <c r="D1213" s="144"/>
      <c r="E1213" s="144"/>
      <c r="F1213" s="373"/>
      <c r="H1213" s="2168"/>
      <c r="I1213" s="70"/>
    </row>
    <row r="1214" spans="3:9" s="46" customFormat="1" x14ac:dyDescent="0.2">
      <c r="C1214" s="144"/>
      <c r="D1214" s="144"/>
      <c r="E1214" s="144"/>
      <c r="F1214" s="373"/>
      <c r="H1214" s="2168"/>
      <c r="I1214" s="70"/>
    </row>
    <row r="1215" spans="3:9" s="46" customFormat="1" x14ac:dyDescent="0.2">
      <c r="C1215" s="144"/>
      <c r="D1215" s="144"/>
      <c r="E1215" s="144"/>
      <c r="F1215" s="373"/>
      <c r="H1215" s="2168"/>
      <c r="I1215" s="70"/>
    </row>
    <row r="1216" spans="3:9" s="46" customFormat="1" x14ac:dyDescent="0.2">
      <c r="C1216" s="144"/>
      <c r="D1216" s="144"/>
      <c r="E1216" s="144"/>
      <c r="F1216" s="373"/>
      <c r="H1216" s="2168"/>
      <c r="I1216" s="70"/>
    </row>
    <row r="1217" spans="3:9" s="46" customFormat="1" x14ac:dyDescent="0.2">
      <c r="C1217" s="144"/>
      <c r="D1217" s="144"/>
      <c r="E1217" s="144"/>
      <c r="F1217" s="373"/>
      <c r="H1217" s="2168"/>
      <c r="I1217" s="70"/>
    </row>
    <row r="1218" spans="3:9" s="46" customFormat="1" x14ac:dyDescent="0.2">
      <c r="C1218" s="144"/>
      <c r="D1218" s="144"/>
      <c r="E1218" s="144"/>
      <c r="F1218" s="373"/>
      <c r="H1218" s="2168"/>
      <c r="I1218" s="70"/>
    </row>
    <row r="1219" spans="3:9" s="46" customFormat="1" x14ac:dyDescent="0.2">
      <c r="C1219" s="144"/>
      <c r="D1219" s="144"/>
      <c r="E1219" s="144"/>
      <c r="F1219" s="373"/>
      <c r="H1219" s="2168"/>
      <c r="I1219" s="70"/>
    </row>
    <row r="1220" spans="3:9" s="46" customFormat="1" x14ac:dyDescent="0.2">
      <c r="C1220" s="144"/>
      <c r="D1220" s="144"/>
      <c r="E1220" s="144"/>
      <c r="F1220" s="373"/>
      <c r="H1220" s="2168"/>
      <c r="I1220" s="70"/>
    </row>
    <row r="1221" spans="3:9" s="46" customFormat="1" x14ac:dyDescent="0.2">
      <c r="C1221" s="144"/>
      <c r="D1221" s="144"/>
      <c r="E1221" s="144"/>
      <c r="F1221" s="373"/>
      <c r="H1221" s="2168"/>
      <c r="I1221" s="70"/>
    </row>
    <row r="1222" spans="3:9" s="46" customFormat="1" x14ac:dyDescent="0.2">
      <c r="C1222" s="144"/>
      <c r="D1222" s="144"/>
      <c r="E1222" s="144"/>
      <c r="F1222" s="373"/>
      <c r="H1222" s="2168"/>
      <c r="I1222" s="70"/>
    </row>
    <row r="1223" spans="3:9" s="46" customFormat="1" x14ac:dyDescent="0.2">
      <c r="C1223" s="144"/>
      <c r="D1223" s="144"/>
      <c r="E1223" s="144"/>
      <c r="F1223" s="373"/>
      <c r="H1223" s="2168"/>
      <c r="I1223" s="70"/>
    </row>
    <row r="1224" spans="3:9" s="46" customFormat="1" x14ac:dyDescent="0.2">
      <c r="C1224" s="144"/>
      <c r="D1224" s="144"/>
      <c r="E1224" s="144"/>
      <c r="F1224" s="373"/>
      <c r="H1224" s="2168"/>
      <c r="I1224" s="70"/>
    </row>
    <row r="1225" spans="3:9" s="46" customFormat="1" x14ac:dyDescent="0.2">
      <c r="C1225" s="144"/>
      <c r="D1225" s="144"/>
      <c r="E1225" s="144"/>
      <c r="F1225" s="373"/>
      <c r="H1225" s="2168"/>
      <c r="I1225" s="70"/>
    </row>
    <row r="1226" spans="3:9" s="46" customFormat="1" x14ac:dyDescent="0.2">
      <c r="C1226" s="144"/>
      <c r="D1226" s="144"/>
      <c r="E1226" s="144"/>
      <c r="F1226" s="373"/>
      <c r="H1226" s="2168"/>
      <c r="I1226" s="70"/>
    </row>
    <row r="1227" spans="3:9" s="46" customFormat="1" x14ac:dyDescent="0.2">
      <c r="C1227" s="144"/>
      <c r="D1227" s="144"/>
      <c r="E1227" s="144"/>
      <c r="F1227" s="373"/>
      <c r="H1227" s="2168"/>
      <c r="I1227" s="70"/>
    </row>
    <row r="1228" spans="3:9" s="46" customFormat="1" x14ac:dyDescent="0.2">
      <c r="C1228" s="144"/>
      <c r="D1228" s="144"/>
      <c r="E1228" s="144"/>
      <c r="F1228" s="373"/>
      <c r="H1228" s="2168"/>
      <c r="I1228" s="70"/>
    </row>
    <row r="1229" spans="3:9" s="46" customFormat="1" x14ac:dyDescent="0.2">
      <c r="C1229" s="144"/>
      <c r="D1229" s="144"/>
      <c r="E1229" s="144"/>
      <c r="F1229" s="373"/>
      <c r="H1229" s="2168"/>
      <c r="I1229" s="70"/>
    </row>
    <row r="1230" spans="3:9" s="46" customFormat="1" x14ac:dyDescent="0.2">
      <c r="C1230" s="144"/>
      <c r="D1230" s="144"/>
      <c r="E1230" s="144"/>
      <c r="F1230" s="373"/>
      <c r="H1230" s="2168"/>
      <c r="I1230" s="70"/>
    </row>
    <row r="1231" spans="3:9" s="46" customFormat="1" x14ac:dyDescent="0.2">
      <c r="C1231" s="144"/>
      <c r="D1231" s="144"/>
      <c r="E1231" s="144"/>
      <c r="F1231" s="373"/>
      <c r="H1231" s="2168"/>
      <c r="I1231" s="70"/>
    </row>
    <row r="1232" spans="3:9" s="46" customFormat="1" x14ac:dyDescent="0.2">
      <c r="C1232" s="144"/>
      <c r="D1232" s="144"/>
      <c r="E1232" s="144"/>
      <c r="F1232" s="373"/>
      <c r="H1232" s="2168"/>
      <c r="I1232" s="70"/>
    </row>
    <row r="1233" spans="3:9" s="46" customFormat="1" x14ac:dyDescent="0.2">
      <c r="C1233" s="144"/>
      <c r="D1233" s="144"/>
      <c r="E1233" s="144"/>
      <c r="F1233" s="373"/>
      <c r="H1233" s="2168"/>
      <c r="I1233" s="70"/>
    </row>
    <row r="1234" spans="3:9" s="46" customFormat="1" x14ac:dyDescent="0.2">
      <c r="C1234" s="144"/>
      <c r="D1234" s="144"/>
      <c r="E1234" s="144"/>
      <c r="F1234" s="373"/>
      <c r="H1234" s="2168"/>
      <c r="I1234" s="70"/>
    </row>
    <row r="1235" spans="3:9" s="46" customFormat="1" x14ac:dyDescent="0.2">
      <c r="C1235" s="144"/>
      <c r="D1235" s="144"/>
      <c r="E1235" s="144"/>
      <c r="F1235" s="373"/>
      <c r="H1235" s="2168"/>
      <c r="I1235" s="70"/>
    </row>
    <row r="1236" spans="3:9" s="46" customFormat="1" x14ac:dyDescent="0.2">
      <c r="C1236" s="144"/>
      <c r="D1236" s="144"/>
      <c r="E1236" s="144"/>
      <c r="F1236" s="373"/>
      <c r="H1236" s="2168"/>
      <c r="I1236" s="70"/>
    </row>
    <row r="1237" spans="3:9" s="46" customFormat="1" x14ac:dyDescent="0.2">
      <c r="C1237" s="144"/>
      <c r="D1237" s="144"/>
      <c r="E1237" s="144"/>
      <c r="F1237" s="373"/>
      <c r="H1237" s="2168"/>
      <c r="I1237" s="70"/>
    </row>
    <row r="1238" spans="3:9" s="46" customFormat="1" x14ac:dyDescent="0.2">
      <c r="C1238" s="144"/>
      <c r="D1238" s="144"/>
      <c r="E1238" s="144"/>
      <c r="F1238" s="373"/>
      <c r="H1238" s="2168"/>
      <c r="I1238" s="70"/>
    </row>
    <row r="1239" spans="3:9" s="46" customFormat="1" x14ac:dyDescent="0.2">
      <c r="C1239" s="144"/>
      <c r="D1239" s="144"/>
      <c r="E1239" s="144"/>
      <c r="F1239" s="373"/>
      <c r="H1239" s="2168"/>
      <c r="I1239" s="70"/>
    </row>
    <row r="1240" spans="3:9" s="46" customFormat="1" x14ac:dyDescent="0.2">
      <c r="C1240" s="144"/>
      <c r="D1240" s="144"/>
      <c r="E1240" s="144"/>
      <c r="F1240" s="373"/>
      <c r="H1240" s="2168"/>
      <c r="I1240" s="70"/>
    </row>
    <row r="1241" spans="3:9" s="46" customFormat="1" x14ac:dyDescent="0.2">
      <c r="C1241" s="144"/>
      <c r="D1241" s="144"/>
      <c r="E1241" s="144"/>
      <c r="F1241" s="373"/>
      <c r="H1241" s="2168"/>
      <c r="I1241" s="70"/>
    </row>
    <row r="1242" spans="3:9" s="46" customFormat="1" x14ac:dyDescent="0.2">
      <c r="C1242" s="144"/>
      <c r="D1242" s="144"/>
      <c r="E1242" s="144"/>
      <c r="F1242" s="373"/>
      <c r="H1242" s="2168"/>
      <c r="I1242" s="70"/>
    </row>
    <row r="1243" spans="3:9" s="46" customFormat="1" x14ac:dyDescent="0.2">
      <c r="C1243" s="144"/>
      <c r="D1243" s="144"/>
      <c r="E1243" s="144"/>
      <c r="F1243" s="373"/>
      <c r="H1243" s="2168"/>
      <c r="I1243" s="70"/>
    </row>
    <row r="1244" spans="3:9" s="46" customFormat="1" x14ac:dyDescent="0.2">
      <c r="C1244" s="144"/>
      <c r="D1244" s="144"/>
      <c r="E1244" s="144"/>
      <c r="F1244" s="373"/>
      <c r="H1244" s="2168"/>
      <c r="I1244" s="70"/>
    </row>
    <row r="1245" spans="3:9" s="46" customFormat="1" x14ac:dyDescent="0.2">
      <c r="C1245" s="144"/>
      <c r="D1245" s="144"/>
      <c r="E1245" s="144"/>
      <c r="F1245" s="373"/>
      <c r="H1245" s="2168"/>
      <c r="I1245" s="70"/>
    </row>
    <row r="1246" spans="3:9" s="46" customFormat="1" x14ac:dyDescent="0.2">
      <c r="C1246" s="144"/>
      <c r="D1246" s="144"/>
      <c r="E1246" s="144"/>
      <c r="F1246" s="373"/>
      <c r="H1246" s="2168"/>
      <c r="I1246" s="70"/>
    </row>
    <row r="1247" spans="3:9" s="46" customFormat="1" x14ac:dyDescent="0.2">
      <c r="C1247" s="144"/>
      <c r="D1247" s="144"/>
      <c r="E1247" s="144"/>
      <c r="F1247" s="373"/>
      <c r="H1247" s="2168"/>
      <c r="I1247" s="70"/>
    </row>
    <row r="1248" spans="3:9" s="46" customFormat="1" x14ac:dyDescent="0.2">
      <c r="C1248" s="144"/>
      <c r="D1248" s="144"/>
      <c r="E1248" s="144"/>
      <c r="F1248" s="373"/>
      <c r="H1248" s="2168"/>
      <c r="I1248" s="70"/>
    </row>
    <row r="1249" spans="3:9" s="46" customFormat="1" x14ac:dyDescent="0.2">
      <c r="C1249" s="144"/>
      <c r="D1249" s="144"/>
      <c r="E1249" s="144"/>
      <c r="F1249" s="373"/>
      <c r="H1249" s="2168"/>
      <c r="I1249" s="70"/>
    </row>
    <row r="1250" spans="3:9" s="46" customFormat="1" x14ac:dyDescent="0.2">
      <c r="C1250" s="144"/>
      <c r="D1250" s="144"/>
      <c r="E1250" s="144"/>
      <c r="F1250" s="373"/>
      <c r="H1250" s="2168"/>
      <c r="I1250" s="70"/>
    </row>
    <row r="1251" spans="3:9" s="46" customFormat="1" x14ac:dyDescent="0.2">
      <c r="C1251" s="144"/>
      <c r="D1251" s="144"/>
      <c r="E1251" s="144"/>
      <c r="F1251" s="373"/>
      <c r="H1251" s="2168"/>
      <c r="I1251" s="70"/>
    </row>
    <row r="1252" spans="3:9" s="46" customFormat="1" x14ac:dyDescent="0.2">
      <c r="C1252" s="144"/>
      <c r="D1252" s="144"/>
      <c r="E1252" s="144"/>
      <c r="F1252" s="373"/>
      <c r="H1252" s="2168"/>
      <c r="I1252" s="70"/>
    </row>
    <row r="1253" spans="3:9" s="46" customFormat="1" x14ac:dyDescent="0.2">
      <c r="C1253" s="144"/>
      <c r="D1253" s="144"/>
      <c r="E1253" s="144"/>
      <c r="F1253" s="373"/>
      <c r="H1253" s="2168"/>
      <c r="I1253" s="70"/>
    </row>
    <row r="1254" spans="3:9" s="46" customFormat="1" x14ac:dyDescent="0.2">
      <c r="C1254" s="144"/>
      <c r="D1254" s="144"/>
      <c r="E1254" s="144"/>
      <c r="F1254" s="373"/>
      <c r="H1254" s="2168"/>
      <c r="I1254" s="70"/>
    </row>
    <row r="1255" spans="3:9" s="46" customFormat="1" x14ac:dyDescent="0.2">
      <c r="C1255" s="144"/>
      <c r="D1255" s="144"/>
      <c r="E1255" s="144"/>
      <c r="F1255" s="373"/>
      <c r="H1255" s="2168"/>
      <c r="I1255" s="70"/>
    </row>
    <row r="1256" spans="3:9" s="46" customFormat="1" x14ac:dyDescent="0.2">
      <c r="C1256" s="144"/>
      <c r="D1256" s="144"/>
      <c r="E1256" s="144"/>
      <c r="F1256" s="373"/>
      <c r="H1256" s="2168"/>
      <c r="I1256" s="70"/>
    </row>
    <row r="1257" spans="3:9" s="46" customFormat="1" x14ac:dyDescent="0.2">
      <c r="C1257" s="144"/>
      <c r="D1257" s="144"/>
      <c r="E1257" s="144"/>
      <c r="F1257" s="373"/>
      <c r="H1257" s="2168"/>
      <c r="I1257" s="70"/>
    </row>
    <row r="1258" spans="3:9" s="46" customFormat="1" x14ac:dyDescent="0.2">
      <c r="C1258" s="144"/>
      <c r="D1258" s="144"/>
      <c r="E1258" s="144"/>
      <c r="F1258" s="373"/>
      <c r="H1258" s="2168"/>
      <c r="I1258" s="70"/>
    </row>
    <row r="1259" spans="3:9" s="46" customFormat="1" x14ac:dyDescent="0.2">
      <c r="C1259" s="144"/>
      <c r="D1259" s="144"/>
      <c r="E1259" s="144"/>
      <c r="F1259" s="373"/>
      <c r="H1259" s="2168"/>
      <c r="I1259" s="70"/>
    </row>
    <row r="1260" spans="3:9" s="46" customFormat="1" x14ac:dyDescent="0.2">
      <c r="C1260" s="144"/>
      <c r="D1260" s="144"/>
      <c r="E1260" s="144"/>
      <c r="F1260" s="373"/>
      <c r="H1260" s="2168"/>
      <c r="I1260" s="70"/>
    </row>
    <row r="1261" spans="3:9" s="46" customFormat="1" x14ac:dyDescent="0.2">
      <c r="C1261" s="144"/>
      <c r="D1261" s="144"/>
      <c r="E1261" s="144"/>
      <c r="F1261" s="373"/>
      <c r="H1261" s="2168"/>
      <c r="I1261" s="70"/>
    </row>
    <row r="1262" spans="3:9" s="46" customFormat="1" x14ac:dyDescent="0.2">
      <c r="C1262" s="144"/>
      <c r="D1262" s="144"/>
      <c r="E1262" s="144"/>
      <c r="F1262" s="373"/>
      <c r="H1262" s="2168"/>
      <c r="I1262" s="70"/>
    </row>
    <row r="1263" spans="3:9" s="46" customFormat="1" x14ac:dyDescent="0.2">
      <c r="C1263" s="144"/>
      <c r="D1263" s="144"/>
      <c r="E1263" s="144"/>
      <c r="F1263" s="373"/>
      <c r="H1263" s="2168"/>
      <c r="I1263" s="70"/>
    </row>
    <row r="1264" spans="3:9" s="46" customFormat="1" x14ac:dyDescent="0.2">
      <c r="C1264" s="144"/>
      <c r="D1264" s="144"/>
      <c r="E1264" s="144"/>
      <c r="F1264" s="373"/>
      <c r="H1264" s="2168"/>
      <c r="I1264" s="70"/>
    </row>
    <row r="1265" spans="3:9" s="46" customFormat="1" x14ac:dyDescent="0.2">
      <c r="C1265" s="144"/>
      <c r="D1265" s="144"/>
      <c r="E1265" s="144"/>
      <c r="F1265" s="373"/>
      <c r="H1265" s="2168"/>
      <c r="I1265" s="70"/>
    </row>
    <row r="1266" spans="3:9" s="46" customFormat="1" x14ac:dyDescent="0.2">
      <c r="C1266" s="144"/>
      <c r="D1266" s="144"/>
      <c r="E1266" s="144"/>
      <c r="F1266" s="373"/>
      <c r="H1266" s="2168"/>
      <c r="I1266" s="70"/>
    </row>
    <row r="1267" spans="3:9" s="46" customFormat="1" x14ac:dyDescent="0.2">
      <c r="C1267" s="144"/>
      <c r="D1267" s="144"/>
      <c r="E1267" s="144"/>
      <c r="F1267" s="373"/>
      <c r="H1267" s="2168"/>
      <c r="I1267" s="70"/>
    </row>
    <row r="1268" spans="3:9" s="46" customFormat="1" x14ac:dyDescent="0.2">
      <c r="C1268" s="144"/>
      <c r="D1268" s="144"/>
      <c r="E1268" s="144"/>
      <c r="F1268" s="373"/>
      <c r="H1268" s="2168"/>
      <c r="I1268" s="70"/>
    </row>
    <row r="1269" spans="3:9" s="46" customFormat="1" x14ac:dyDescent="0.2">
      <c r="C1269" s="144"/>
      <c r="D1269" s="144"/>
      <c r="E1269" s="144"/>
      <c r="F1269" s="373"/>
      <c r="H1269" s="2168"/>
      <c r="I1269" s="70"/>
    </row>
    <row r="1270" spans="3:9" s="46" customFormat="1" x14ac:dyDescent="0.2">
      <c r="C1270" s="144"/>
      <c r="D1270" s="144"/>
      <c r="E1270" s="144"/>
      <c r="F1270" s="373"/>
      <c r="H1270" s="2168"/>
      <c r="I1270" s="70"/>
    </row>
    <row r="1271" spans="3:9" s="46" customFormat="1" x14ac:dyDescent="0.2">
      <c r="C1271" s="144"/>
      <c r="D1271" s="144"/>
      <c r="E1271" s="144"/>
      <c r="F1271" s="373"/>
      <c r="H1271" s="2168"/>
      <c r="I1271" s="70"/>
    </row>
    <row r="1272" spans="3:9" s="46" customFormat="1" x14ac:dyDescent="0.2">
      <c r="C1272" s="144"/>
      <c r="D1272" s="144"/>
      <c r="E1272" s="144"/>
      <c r="F1272" s="373"/>
      <c r="H1272" s="2168"/>
      <c r="I1272" s="70"/>
    </row>
    <row r="1273" spans="3:9" s="46" customFormat="1" x14ac:dyDescent="0.2">
      <c r="C1273" s="144"/>
      <c r="D1273" s="144"/>
      <c r="E1273" s="144"/>
      <c r="F1273" s="373"/>
      <c r="H1273" s="2168"/>
      <c r="I1273" s="70"/>
    </row>
    <row r="1274" spans="3:9" s="46" customFormat="1" x14ac:dyDescent="0.2">
      <c r="C1274" s="144"/>
      <c r="D1274" s="144"/>
      <c r="E1274" s="144"/>
      <c r="F1274" s="373"/>
      <c r="H1274" s="2168"/>
      <c r="I1274" s="70"/>
    </row>
    <row r="1275" spans="3:9" s="46" customFormat="1" x14ac:dyDescent="0.2">
      <c r="C1275" s="144"/>
      <c r="D1275" s="144"/>
      <c r="E1275" s="144"/>
      <c r="F1275" s="373"/>
      <c r="H1275" s="2168"/>
      <c r="I1275" s="70"/>
    </row>
    <row r="1276" spans="3:9" s="46" customFormat="1" x14ac:dyDescent="0.2">
      <c r="C1276" s="144"/>
      <c r="D1276" s="144"/>
      <c r="E1276" s="144"/>
      <c r="F1276" s="373"/>
      <c r="H1276" s="2168"/>
      <c r="I1276" s="70"/>
    </row>
    <row r="1277" spans="3:9" s="46" customFormat="1" x14ac:dyDescent="0.2">
      <c r="C1277" s="144"/>
      <c r="D1277" s="144"/>
      <c r="E1277" s="144"/>
      <c r="F1277" s="373"/>
      <c r="H1277" s="2168"/>
      <c r="I1277" s="70"/>
    </row>
    <row r="1278" spans="3:9" s="46" customFormat="1" x14ac:dyDescent="0.2">
      <c r="C1278" s="144"/>
      <c r="D1278" s="144"/>
      <c r="E1278" s="144"/>
      <c r="F1278" s="373"/>
      <c r="H1278" s="2168"/>
      <c r="I1278" s="70"/>
    </row>
    <row r="1279" spans="3:9" s="46" customFormat="1" x14ac:dyDescent="0.2">
      <c r="C1279" s="144"/>
      <c r="D1279" s="144"/>
      <c r="E1279" s="144"/>
      <c r="F1279" s="373"/>
      <c r="H1279" s="2168"/>
      <c r="I1279" s="70"/>
    </row>
    <row r="1280" spans="3:9" s="46" customFormat="1" x14ac:dyDescent="0.2">
      <c r="C1280" s="144"/>
      <c r="D1280" s="144"/>
      <c r="E1280" s="144"/>
      <c r="F1280" s="373"/>
      <c r="H1280" s="2168"/>
      <c r="I1280" s="70"/>
    </row>
    <row r="1281" spans="3:9" s="46" customFormat="1" x14ac:dyDescent="0.2">
      <c r="C1281" s="144"/>
      <c r="D1281" s="144"/>
      <c r="E1281" s="144"/>
      <c r="F1281" s="373"/>
      <c r="H1281" s="2168"/>
      <c r="I1281" s="70"/>
    </row>
    <row r="1282" spans="3:9" s="46" customFormat="1" x14ac:dyDescent="0.2">
      <c r="C1282" s="144"/>
      <c r="D1282" s="144"/>
      <c r="E1282" s="144"/>
      <c r="F1282" s="373"/>
      <c r="H1282" s="2168"/>
      <c r="I1282" s="70"/>
    </row>
    <row r="1283" spans="3:9" s="46" customFormat="1" x14ac:dyDescent="0.2">
      <c r="C1283" s="144"/>
      <c r="D1283" s="144"/>
      <c r="E1283" s="144"/>
      <c r="F1283" s="373"/>
      <c r="H1283" s="2168"/>
      <c r="I1283" s="70"/>
    </row>
    <row r="1284" spans="3:9" s="46" customFormat="1" x14ac:dyDescent="0.2">
      <c r="C1284" s="144"/>
      <c r="D1284" s="144"/>
      <c r="E1284" s="144"/>
      <c r="F1284" s="373"/>
      <c r="H1284" s="2168"/>
      <c r="I1284" s="70"/>
    </row>
    <row r="1285" spans="3:9" s="46" customFormat="1" x14ac:dyDescent="0.2">
      <c r="C1285" s="144"/>
      <c r="D1285" s="144"/>
      <c r="E1285" s="144"/>
      <c r="F1285" s="373"/>
      <c r="H1285" s="2168"/>
      <c r="I1285" s="70"/>
    </row>
    <row r="1286" spans="3:9" s="46" customFormat="1" x14ac:dyDescent="0.2">
      <c r="C1286" s="144"/>
      <c r="D1286" s="144"/>
      <c r="E1286" s="144"/>
      <c r="F1286" s="373"/>
      <c r="H1286" s="2168"/>
      <c r="I1286" s="70"/>
    </row>
    <row r="1287" spans="3:9" s="46" customFormat="1" x14ac:dyDescent="0.2">
      <c r="C1287" s="144"/>
      <c r="D1287" s="144"/>
      <c r="E1287" s="144"/>
      <c r="F1287" s="373"/>
      <c r="H1287" s="2168"/>
      <c r="I1287" s="70"/>
    </row>
    <row r="1288" spans="3:9" s="46" customFormat="1" x14ac:dyDescent="0.2">
      <c r="C1288" s="144"/>
      <c r="D1288" s="144"/>
      <c r="E1288" s="144"/>
      <c r="F1288" s="373"/>
      <c r="H1288" s="2168"/>
      <c r="I1288" s="70"/>
    </row>
    <row r="1289" spans="3:9" s="46" customFormat="1" x14ac:dyDescent="0.2">
      <c r="C1289" s="144"/>
      <c r="D1289" s="144"/>
      <c r="E1289" s="144"/>
      <c r="F1289" s="373"/>
      <c r="H1289" s="2168"/>
      <c r="I1289" s="70"/>
    </row>
    <row r="1290" spans="3:9" s="46" customFormat="1" x14ac:dyDescent="0.2">
      <c r="C1290" s="144"/>
      <c r="D1290" s="144"/>
      <c r="E1290" s="144"/>
      <c r="F1290" s="373"/>
      <c r="H1290" s="2168"/>
      <c r="I1290" s="70"/>
    </row>
    <row r="1291" spans="3:9" s="46" customFormat="1" x14ac:dyDescent="0.2">
      <c r="C1291" s="144"/>
      <c r="D1291" s="144"/>
      <c r="E1291" s="144"/>
      <c r="F1291" s="373"/>
      <c r="H1291" s="2168"/>
      <c r="I1291" s="70"/>
    </row>
    <row r="1292" spans="3:9" s="46" customFormat="1" x14ac:dyDescent="0.2">
      <c r="C1292" s="144"/>
      <c r="D1292" s="144"/>
      <c r="E1292" s="144"/>
      <c r="F1292" s="373"/>
      <c r="H1292" s="2168"/>
      <c r="I1292" s="70"/>
    </row>
    <row r="1293" spans="3:9" s="46" customFormat="1" x14ac:dyDescent="0.2">
      <c r="C1293" s="144"/>
      <c r="D1293" s="144"/>
      <c r="E1293" s="144"/>
      <c r="F1293" s="373"/>
      <c r="H1293" s="2168"/>
      <c r="I1293" s="70"/>
    </row>
    <row r="1294" spans="3:9" s="46" customFormat="1" x14ac:dyDescent="0.2">
      <c r="C1294" s="144"/>
      <c r="D1294" s="144"/>
      <c r="E1294" s="144"/>
      <c r="F1294" s="373"/>
      <c r="H1294" s="2168"/>
      <c r="I1294" s="70"/>
    </row>
    <row r="1295" spans="3:9" s="46" customFormat="1" x14ac:dyDescent="0.2">
      <c r="C1295" s="144"/>
      <c r="D1295" s="144"/>
      <c r="E1295" s="144"/>
      <c r="F1295" s="373"/>
      <c r="H1295" s="2168"/>
      <c r="I1295" s="70"/>
    </row>
    <row r="1296" spans="3:9" s="46" customFormat="1" x14ac:dyDescent="0.2">
      <c r="C1296" s="144"/>
      <c r="D1296" s="144"/>
      <c r="E1296" s="144"/>
      <c r="F1296" s="373"/>
      <c r="H1296" s="2168"/>
      <c r="I1296" s="70"/>
    </row>
    <row r="1297" spans="3:9" s="46" customFormat="1" x14ac:dyDescent="0.2">
      <c r="C1297" s="144"/>
      <c r="D1297" s="144"/>
      <c r="E1297" s="144"/>
      <c r="F1297" s="373"/>
      <c r="H1297" s="2168"/>
      <c r="I1297" s="70"/>
    </row>
    <row r="1298" spans="3:9" s="46" customFormat="1" x14ac:dyDescent="0.2">
      <c r="C1298" s="144"/>
      <c r="D1298" s="144"/>
      <c r="E1298" s="144"/>
      <c r="F1298" s="373"/>
      <c r="H1298" s="2168"/>
      <c r="I1298" s="70"/>
    </row>
    <row r="1299" spans="3:9" s="46" customFormat="1" x14ac:dyDescent="0.2">
      <c r="C1299" s="144"/>
      <c r="D1299" s="144"/>
      <c r="E1299" s="144"/>
      <c r="F1299" s="373"/>
      <c r="H1299" s="2168"/>
      <c r="I1299" s="70"/>
    </row>
    <row r="1300" spans="3:9" s="46" customFormat="1" x14ac:dyDescent="0.2">
      <c r="C1300" s="144"/>
      <c r="D1300" s="144"/>
      <c r="E1300" s="144"/>
      <c r="F1300" s="373"/>
      <c r="H1300" s="2168"/>
      <c r="I1300" s="70"/>
    </row>
    <row r="1301" spans="3:9" s="46" customFormat="1" x14ac:dyDescent="0.2">
      <c r="C1301" s="144"/>
      <c r="D1301" s="144"/>
      <c r="E1301" s="144"/>
      <c r="F1301" s="373"/>
      <c r="H1301" s="2168"/>
      <c r="I1301" s="70"/>
    </row>
    <row r="1302" spans="3:9" s="46" customFormat="1" x14ac:dyDescent="0.2">
      <c r="C1302" s="144"/>
      <c r="D1302" s="144"/>
      <c r="E1302" s="144"/>
      <c r="F1302" s="373"/>
      <c r="H1302" s="2168"/>
      <c r="I1302" s="70"/>
    </row>
    <row r="1303" spans="3:9" s="46" customFormat="1" x14ac:dyDescent="0.2">
      <c r="C1303" s="144"/>
      <c r="D1303" s="144"/>
      <c r="E1303" s="144"/>
      <c r="F1303" s="373"/>
      <c r="H1303" s="2168"/>
      <c r="I1303" s="70"/>
    </row>
    <row r="1304" spans="3:9" s="46" customFormat="1" x14ac:dyDescent="0.2">
      <c r="C1304" s="144"/>
      <c r="D1304" s="144"/>
      <c r="E1304" s="144"/>
      <c r="F1304" s="373"/>
      <c r="H1304" s="2168"/>
      <c r="I1304" s="70"/>
    </row>
    <row r="1305" spans="3:9" s="46" customFormat="1" x14ac:dyDescent="0.2">
      <c r="C1305" s="144"/>
      <c r="D1305" s="144"/>
      <c r="E1305" s="144"/>
      <c r="F1305" s="373"/>
      <c r="H1305" s="2168"/>
      <c r="I1305" s="70"/>
    </row>
    <row r="1306" spans="3:9" s="46" customFormat="1" x14ac:dyDescent="0.2">
      <c r="C1306" s="144"/>
      <c r="D1306" s="144"/>
      <c r="E1306" s="144"/>
      <c r="F1306" s="373"/>
      <c r="H1306" s="2168"/>
      <c r="I1306" s="70"/>
    </row>
    <row r="1307" spans="3:9" s="46" customFormat="1" x14ac:dyDescent="0.2">
      <c r="C1307" s="144"/>
      <c r="D1307" s="144"/>
      <c r="E1307" s="144"/>
      <c r="F1307" s="373"/>
      <c r="H1307" s="2168"/>
      <c r="I1307" s="70"/>
    </row>
    <row r="1308" spans="3:9" s="46" customFormat="1" x14ac:dyDescent="0.2">
      <c r="C1308" s="144"/>
      <c r="D1308" s="144"/>
      <c r="E1308" s="144"/>
      <c r="F1308" s="373"/>
      <c r="H1308" s="2168"/>
      <c r="I1308" s="70"/>
    </row>
    <row r="1309" spans="3:9" s="46" customFormat="1" x14ac:dyDescent="0.2">
      <c r="C1309" s="144"/>
      <c r="D1309" s="144"/>
      <c r="E1309" s="144"/>
      <c r="F1309" s="373"/>
      <c r="H1309" s="2168"/>
      <c r="I1309" s="70"/>
    </row>
    <row r="1310" spans="3:9" s="46" customFormat="1" x14ac:dyDescent="0.2">
      <c r="C1310" s="144"/>
      <c r="D1310" s="144"/>
      <c r="E1310" s="144"/>
      <c r="F1310" s="373"/>
      <c r="H1310" s="2168"/>
      <c r="I1310" s="70"/>
    </row>
    <row r="1311" spans="3:9" s="46" customFormat="1" x14ac:dyDescent="0.2">
      <c r="C1311" s="144"/>
      <c r="D1311" s="144"/>
      <c r="E1311" s="144"/>
      <c r="F1311" s="373"/>
      <c r="H1311" s="2168"/>
      <c r="I1311" s="70"/>
    </row>
    <row r="1312" spans="3:9" s="46" customFormat="1" x14ac:dyDescent="0.2">
      <c r="C1312" s="144"/>
      <c r="D1312" s="144"/>
      <c r="E1312" s="144"/>
      <c r="F1312" s="373"/>
      <c r="H1312" s="2168"/>
      <c r="I1312" s="70"/>
    </row>
    <row r="1313" spans="3:9" s="46" customFormat="1" x14ac:dyDescent="0.2">
      <c r="C1313" s="144"/>
      <c r="D1313" s="144"/>
      <c r="E1313" s="144"/>
      <c r="F1313" s="373"/>
      <c r="H1313" s="2168"/>
      <c r="I1313" s="70"/>
    </row>
    <row r="1314" spans="3:9" s="46" customFormat="1" x14ac:dyDescent="0.2">
      <c r="C1314" s="144"/>
      <c r="D1314" s="144"/>
      <c r="E1314" s="144"/>
      <c r="F1314" s="373"/>
      <c r="H1314" s="2168"/>
      <c r="I1314" s="70"/>
    </row>
    <row r="1315" spans="3:9" s="46" customFormat="1" x14ac:dyDescent="0.2">
      <c r="C1315" s="144"/>
      <c r="D1315" s="144"/>
      <c r="E1315" s="144"/>
      <c r="F1315" s="373"/>
      <c r="H1315" s="2168"/>
      <c r="I1315" s="70"/>
    </row>
    <row r="1316" spans="3:9" s="46" customFormat="1" x14ac:dyDescent="0.2">
      <c r="C1316" s="144"/>
      <c r="D1316" s="144"/>
      <c r="E1316" s="144"/>
      <c r="F1316" s="373"/>
      <c r="H1316" s="2168"/>
      <c r="I1316" s="70"/>
    </row>
    <row r="1317" spans="3:9" s="46" customFormat="1" x14ac:dyDescent="0.2">
      <c r="C1317" s="144"/>
      <c r="D1317" s="144"/>
      <c r="E1317" s="144"/>
      <c r="F1317" s="373"/>
      <c r="H1317" s="2168"/>
      <c r="I1317" s="70"/>
    </row>
    <row r="1318" spans="3:9" s="46" customFormat="1" x14ac:dyDescent="0.2">
      <c r="C1318" s="144"/>
      <c r="D1318" s="144"/>
      <c r="E1318" s="144"/>
      <c r="F1318" s="373"/>
      <c r="H1318" s="2168"/>
      <c r="I1318" s="70"/>
    </row>
    <row r="1319" spans="3:9" s="46" customFormat="1" x14ac:dyDescent="0.2">
      <c r="C1319" s="144"/>
      <c r="D1319" s="144"/>
      <c r="E1319" s="144"/>
      <c r="F1319" s="373"/>
      <c r="H1319" s="2168"/>
      <c r="I1319" s="70"/>
    </row>
    <row r="1320" spans="3:9" s="46" customFormat="1" x14ac:dyDescent="0.2">
      <c r="C1320" s="144"/>
      <c r="D1320" s="144"/>
      <c r="E1320" s="144"/>
      <c r="F1320" s="373"/>
      <c r="H1320" s="2168"/>
      <c r="I1320" s="70"/>
    </row>
    <row r="1321" spans="3:9" s="46" customFormat="1" x14ac:dyDescent="0.2">
      <c r="C1321" s="144"/>
      <c r="D1321" s="144"/>
      <c r="E1321" s="144"/>
      <c r="F1321" s="373"/>
      <c r="H1321" s="2168"/>
      <c r="I1321" s="70"/>
    </row>
    <row r="1322" spans="3:9" s="46" customFormat="1" x14ac:dyDescent="0.2">
      <c r="C1322" s="144"/>
      <c r="D1322" s="144"/>
      <c r="E1322" s="144"/>
      <c r="F1322" s="373"/>
      <c r="H1322" s="2168"/>
      <c r="I1322" s="70"/>
    </row>
    <row r="1323" spans="3:9" s="46" customFormat="1" x14ac:dyDescent="0.2">
      <c r="C1323" s="144"/>
      <c r="D1323" s="144"/>
      <c r="E1323" s="144"/>
      <c r="F1323" s="373"/>
      <c r="H1323" s="2168"/>
      <c r="I1323" s="70"/>
    </row>
    <row r="1324" spans="3:9" s="46" customFormat="1" x14ac:dyDescent="0.2">
      <c r="C1324" s="144"/>
      <c r="D1324" s="144"/>
      <c r="E1324" s="144"/>
      <c r="F1324" s="373"/>
      <c r="H1324" s="2168"/>
      <c r="I1324" s="70"/>
    </row>
    <row r="1325" spans="3:9" s="46" customFormat="1" x14ac:dyDescent="0.2">
      <c r="C1325" s="144"/>
      <c r="D1325" s="144"/>
      <c r="E1325" s="144"/>
      <c r="F1325" s="373"/>
      <c r="H1325" s="2168"/>
      <c r="I1325" s="70"/>
    </row>
    <row r="1326" spans="3:9" s="46" customFormat="1" x14ac:dyDescent="0.2">
      <c r="C1326" s="144"/>
      <c r="D1326" s="144"/>
      <c r="E1326" s="144"/>
      <c r="F1326" s="373"/>
      <c r="H1326" s="2168"/>
      <c r="I1326" s="70"/>
    </row>
    <row r="1327" spans="3:9" s="46" customFormat="1" x14ac:dyDescent="0.2">
      <c r="C1327" s="144"/>
      <c r="D1327" s="144"/>
      <c r="E1327" s="144"/>
      <c r="F1327" s="373"/>
      <c r="H1327" s="2168"/>
      <c r="I1327" s="70"/>
    </row>
    <row r="1328" spans="3:9" s="46" customFormat="1" x14ac:dyDescent="0.2">
      <c r="C1328" s="144"/>
      <c r="D1328" s="144"/>
      <c r="E1328" s="144"/>
      <c r="F1328" s="373"/>
      <c r="H1328" s="2168"/>
      <c r="I1328" s="70"/>
    </row>
    <row r="1329" spans="3:9" s="46" customFormat="1" x14ac:dyDescent="0.2">
      <c r="C1329" s="144"/>
      <c r="D1329" s="144"/>
      <c r="E1329" s="144"/>
      <c r="F1329" s="373"/>
      <c r="H1329" s="2168"/>
      <c r="I1329" s="70"/>
    </row>
    <row r="1330" spans="3:9" s="46" customFormat="1" x14ac:dyDescent="0.2">
      <c r="C1330" s="144"/>
      <c r="D1330" s="144"/>
      <c r="E1330" s="144"/>
      <c r="F1330" s="373"/>
      <c r="H1330" s="2168"/>
      <c r="I1330" s="70"/>
    </row>
    <row r="1331" spans="3:9" s="46" customFormat="1" x14ac:dyDescent="0.2">
      <c r="C1331" s="144"/>
      <c r="D1331" s="144"/>
      <c r="E1331" s="144"/>
      <c r="F1331" s="373"/>
      <c r="H1331" s="2168"/>
      <c r="I1331" s="70"/>
    </row>
    <row r="1332" spans="3:9" s="46" customFormat="1" x14ac:dyDescent="0.2">
      <c r="C1332" s="144"/>
      <c r="D1332" s="144"/>
      <c r="E1332" s="144"/>
      <c r="F1332" s="373"/>
      <c r="H1332" s="2168"/>
      <c r="I1332" s="70"/>
    </row>
    <row r="1333" spans="3:9" s="46" customFormat="1" x14ac:dyDescent="0.2">
      <c r="C1333" s="144"/>
      <c r="D1333" s="144"/>
      <c r="E1333" s="144"/>
      <c r="F1333" s="373"/>
      <c r="H1333" s="2168"/>
      <c r="I1333" s="70"/>
    </row>
    <row r="1334" spans="3:9" s="46" customFormat="1" x14ac:dyDescent="0.2">
      <c r="C1334" s="144"/>
      <c r="D1334" s="144"/>
      <c r="E1334" s="144"/>
      <c r="F1334" s="373"/>
      <c r="H1334" s="2168"/>
      <c r="I1334" s="70"/>
    </row>
    <row r="1335" spans="3:9" s="46" customFormat="1" x14ac:dyDescent="0.2">
      <c r="C1335" s="144"/>
      <c r="D1335" s="144"/>
      <c r="E1335" s="144"/>
      <c r="F1335" s="373"/>
      <c r="H1335" s="2168"/>
      <c r="I1335" s="70"/>
    </row>
    <row r="1336" spans="3:9" s="46" customFormat="1" x14ac:dyDescent="0.2">
      <c r="C1336" s="144"/>
      <c r="D1336" s="144"/>
      <c r="E1336" s="144"/>
      <c r="F1336" s="373"/>
      <c r="H1336" s="2168"/>
      <c r="I1336" s="70"/>
    </row>
    <row r="1337" spans="3:9" s="46" customFormat="1" x14ac:dyDescent="0.2">
      <c r="C1337" s="144"/>
      <c r="D1337" s="144"/>
      <c r="E1337" s="144"/>
      <c r="F1337" s="373"/>
      <c r="H1337" s="2168"/>
      <c r="I1337" s="70"/>
    </row>
    <row r="1338" spans="3:9" s="46" customFormat="1" x14ac:dyDescent="0.2">
      <c r="C1338" s="144"/>
      <c r="D1338" s="144"/>
      <c r="E1338" s="144"/>
      <c r="F1338" s="373"/>
      <c r="H1338" s="2168"/>
      <c r="I1338" s="70"/>
    </row>
    <row r="1339" spans="3:9" s="46" customFormat="1" x14ac:dyDescent="0.2">
      <c r="C1339" s="144"/>
      <c r="D1339" s="144"/>
      <c r="E1339" s="144"/>
      <c r="F1339" s="373"/>
      <c r="H1339" s="2168"/>
      <c r="I1339" s="70"/>
    </row>
    <row r="1340" spans="3:9" s="46" customFormat="1" x14ac:dyDescent="0.2">
      <c r="C1340" s="144"/>
      <c r="D1340" s="144"/>
      <c r="E1340" s="144"/>
      <c r="F1340" s="373"/>
      <c r="H1340" s="2168"/>
      <c r="I1340" s="70"/>
    </row>
    <row r="1341" spans="3:9" s="46" customFormat="1" x14ac:dyDescent="0.2">
      <c r="C1341" s="144"/>
      <c r="D1341" s="144"/>
      <c r="E1341" s="144"/>
      <c r="F1341" s="373"/>
      <c r="H1341" s="2168"/>
      <c r="I1341" s="70"/>
    </row>
    <row r="1342" spans="3:9" s="46" customFormat="1" x14ac:dyDescent="0.2">
      <c r="C1342" s="144"/>
      <c r="D1342" s="144"/>
      <c r="E1342" s="144"/>
      <c r="F1342" s="373"/>
      <c r="H1342" s="2168"/>
      <c r="I1342" s="70"/>
    </row>
    <row r="1343" spans="3:9" s="46" customFormat="1" x14ac:dyDescent="0.2">
      <c r="C1343" s="144"/>
      <c r="D1343" s="144"/>
      <c r="E1343" s="144"/>
      <c r="F1343" s="373"/>
      <c r="H1343" s="2168"/>
      <c r="I1343" s="70"/>
    </row>
    <row r="1344" spans="3:9" s="46" customFormat="1" x14ac:dyDescent="0.2">
      <c r="C1344" s="144"/>
      <c r="D1344" s="144"/>
      <c r="E1344" s="144"/>
      <c r="F1344" s="373"/>
      <c r="H1344" s="2168"/>
      <c r="I1344" s="70"/>
    </row>
    <row r="1345" spans="3:9" s="46" customFormat="1" x14ac:dyDescent="0.2">
      <c r="C1345" s="144"/>
      <c r="D1345" s="144"/>
      <c r="E1345" s="144"/>
      <c r="F1345" s="373"/>
      <c r="H1345" s="2168"/>
      <c r="I1345" s="70"/>
    </row>
    <row r="1346" spans="3:9" s="46" customFormat="1" x14ac:dyDescent="0.2">
      <c r="C1346" s="144"/>
      <c r="D1346" s="144"/>
      <c r="E1346" s="144"/>
      <c r="F1346" s="373"/>
      <c r="H1346" s="2168"/>
      <c r="I1346" s="70"/>
    </row>
    <row r="1347" spans="3:9" s="46" customFormat="1" x14ac:dyDescent="0.2">
      <c r="C1347" s="144"/>
      <c r="D1347" s="144"/>
      <c r="E1347" s="144"/>
      <c r="F1347" s="373"/>
      <c r="H1347" s="2168"/>
      <c r="I1347" s="70"/>
    </row>
    <row r="1348" spans="3:9" s="46" customFormat="1" x14ac:dyDescent="0.2">
      <c r="C1348" s="144"/>
      <c r="D1348" s="144"/>
      <c r="E1348" s="144"/>
      <c r="F1348" s="373"/>
      <c r="H1348" s="2168"/>
      <c r="I1348" s="70"/>
    </row>
    <row r="1349" spans="3:9" s="46" customFormat="1" x14ac:dyDescent="0.2">
      <c r="C1349" s="144"/>
      <c r="D1349" s="144"/>
      <c r="E1349" s="144"/>
      <c r="F1349" s="373"/>
      <c r="H1349" s="2168"/>
      <c r="I1349" s="70"/>
    </row>
    <row r="1350" spans="3:9" s="46" customFormat="1" x14ac:dyDescent="0.2">
      <c r="C1350" s="144"/>
      <c r="D1350" s="144"/>
      <c r="E1350" s="144"/>
      <c r="F1350" s="373"/>
      <c r="H1350" s="2168"/>
      <c r="I1350" s="70"/>
    </row>
    <row r="1351" spans="3:9" s="46" customFormat="1" x14ac:dyDescent="0.2">
      <c r="C1351" s="144"/>
      <c r="D1351" s="144"/>
      <c r="E1351" s="144"/>
      <c r="F1351" s="373"/>
      <c r="H1351" s="2168"/>
      <c r="I1351" s="70"/>
    </row>
    <row r="1352" spans="3:9" s="46" customFormat="1" x14ac:dyDescent="0.2">
      <c r="C1352" s="144"/>
      <c r="D1352" s="144"/>
      <c r="E1352" s="144"/>
      <c r="F1352" s="373"/>
      <c r="H1352" s="2168"/>
      <c r="I1352" s="70"/>
    </row>
    <row r="1353" spans="3:9" s="46" customFormat="1" x14ac:dyDescent="0.2">
      <c r="C1353" s="144"/>
      <c r="D1353" s="144"/>
      <c r="E1353" s="144"/>
      <c r="F1353" s="373"/>
      <c r="H1353" s="2168"/>
      <c r="I1353" s="70"/>
    </row>
    <row r="1354" spans="3:9" s="46" customFormat="1" x14ac:dyDescent="0.2">
      <c r="C1354" s="144"/>
      <c r="D1354" s="144"/>
      <c r="E1354" s="144"/>
      <c r="F1354" s="373"/>
      <c r="H1354" s="2168"/>
      <c r="I1354" s="70"/>
    </row>
    <row r="1355" spans="3:9" s="46" customFormat="1" x14ac:dyDescent="0.2">
      <c r="C1355" s="144"/>
      <c r="D1355" s="144"/>
      <c r="E1355" s="144"/>
      <c r="F1355" s="373"/>
      <c r="H1355" s="2168"/>
      <c r="I1355" s="70"/>
    </row>
    <row r="1356" spans="3:9" s="46" customFormat="1" x14ac:dyDescent="0.2">
      <c r="C1356" s="144"/>
      <c r="D1356" s="144"/>
      <c r="E1356" s="144"/>
      <c r="F1356" s="373"/>
      <c r="H1356" s="2168"/>
      <c r="I1356" s="70"/>
    </row>
    <row r="1357" spans="3:9" s="46" customFormat="1" x14ac:dyDescent="0.2">
      <c r="C1357" s="144"/>
      <c r="D1357" s="144"/>
      <c r="E1357" s="144"/>
      <c r="F1357" s="373"/>
      <c r="H1357" s="2168"/>
      <c r="I1357" s="70"/>
    </row>
    <row r="1358" spans="3:9" s="46" customFormat="1" x14ac:dyDescent="0.2">
      <c r="C1358" s="144"/>
      <c r="D1358" s="144"/>
      <c r="E1358" s="144"/>
      <c r="F1358" s="373"/>
      <c r="H1358" s="2168"/>
      <c r="I1358" s="70"/>
    </row>
    <row r="1359" spans="3:9" s="46" customFormat="1" x14ac:dyDescent="0.2">
      <c r="C1359" s="144"/>
      <c r="D1359" s="144"/>
      <c r="E1359" s="144"/>
      <c r="F1359" s="373"/>
      <c r="H1359" s="2168"/>
      <c r="I1359" s="70"/>
    </row>
    <row r="1360" spans="3:9" s="46" customFormat="1" x14ac:dyDescent="0.2">
      <c r="C1360" s="144"/>
      <c r="D1360" s="144"/>
      <c r="E1360" s="144"/>
      <c r="F1360" s="373"/>
      <c r="H1360" s="2168"/>
      <c r="I1360" s="70"/>
    </row>
    <row r="1361" spans="3:9" s="46" customFormat="1" x14ac:dyDescent="0.2">
      <c r="C1361" s="144"/>
      <c r="D1361" s="144"/>
      <c r="E1361" s="144"/>
      <c r="F1361" s="373"/>
      <c r="H1361" s="2168"/>
      <c r="I1361" s="70"/>
    </row>
    <row r="1362" spans="3:9" s="46" customFormat="1" x14ac:dyDescent="0.2">
      <c r="C1362" s="144"/>
      <c r="D1362" s="144"/>
      <c r="E1362" s="144"/>
      <c r="F1362" s="373"/>
      <c r="H1362" s="2168"/>
      <c r="I1362" s="70"/>
    </row>
    <row r="1363" spans="3:9" s="46" customFormat="1" x14ac:dyDescent="0.2">
      <c r="C1363" s="144"/>
      <c r="D1363" s="144"/>
      <c r="E1363" s="144"/>
      <c r="F1363" s="373"/>
      <c r="H1363" s="2168"/>
      <c r="I1363" s="70"/>
    </row>
    <row r="1364" spans="3:9" s="46" customFormat="1" x14ac:dyDescent="0.2">
      <c r="C1364" s="144"/>
      <c r="D1364" s="144"/>
      <c r="E1364" s="144"/>
      <c r="F1364" s="373"/>
      <c r="H1364" s="2168"/>
      <c r="I1364" s="70"/>
    </row>
    <row r="1365" spans="3:9" s="46" customFormat="1" x14ac:dyDescent="0.2">
      <c r="C1365" s="144"/>
      <c r="D1365" s="144"/>
      <c r="E1365" s="144"/>
      <c r="F1365" s="373"/>
      <c r="H1365" s="2168"/>
      <c r="I1365" s="70"/>
    </row>
    <row r="1366" spans="3:9" s="46" customFormat="1" x14ac:dyDescent="0.2">
      <c r="C1366" s="144"/>
      <c r="D1366" s="144"/>
      <c r="E1366" s="144"/>
      <c r="F1366" s="373"/>
      <c r="H1366" s="2168"/>
      <c r="I1366" s="70"/>
    </row>
    <row r="1367" spans="3:9" s="46" customFormat="1" x14ac:dyDescent="0.2">
      <c r="C1367" s="144"/>
      <c r="D1367" s="144"/>
      <c r="E1367" s="144"/>
      <c r="F1367" s="373"/>
      <c r="H1367" s="2168"/>
      <c r="I1367" s="70"/>
    </row>
    <row r="1368" spans="3:9" s="46" customFormat="1" x14ac:dyDescent="0.2">
      <c r="C1368" s="144"/>
      <c r="D1368" s="144"/>
      <c r="E1368" s="144"/>
      <c r="F1368" s="373"/>
      <c r="H1368" s="2168"/>
      <c r="I1368" s="70"/>
    </row>
    <row r="1369" spans="3:9" s="46" customFormat="1" x14ac:dyDescent="0.2">
      <c r="C1369" s="144"/>
      <c r="D1369" s="144"/>
      <c r="E1369" s="144"/>
      <c r="F1369" s="373"/>
      <c r="H1369" s="2168"/>
      <c r="I1369" s="70"/>
    </row>
    <row r="1370" spans="3:9" s="46" customFormat="1" x14ac:dyDescent="0.2">
      <c r="C1370" s="144"/>
      <c r="D1370" s="144"/>
      <c r="E1370" s="144"/>
      <c r="F1370" s="373"/>
      <c r="H1370" s="2168"/>
      <c r="I1370" s="70"/>
    </row>
    <row r="1371" spans="3:9" s="46" customFormat="1" x14ac:dyDescent="0.2">
      <c r="C1371" s="144"/>
      <c r="D1371" s="144"/>
      <c r="E1371" s="144"/>
      <c r="F1371" s="373"/>
      <c r="H1371" s="2168"/>
      <c r="I1371" s="70"/>
    </row>
    <row r="1372" spans="3:9" s="46" customFormat="1" x14ac:dyDescent="0.2">
      <c r="C1372" s="144"/>
      <c r="D1372" s="144"/>
      <c r="E1372" s="144"/>
      <c r="F1372" s="373"/>
      <c r="H1372" s="2168"/>
      <c r="I1372" s="70"/>
    </row>
    <row r="1373" spans="3:9" s="46" customFormat="1" x14ac:dyDescent="0.2">
      <c r="C1373" s="144"/>
      <c r="D1373" s="144"/>
      <c r="E1373" s="144"/>
      <c r="F1373" s="373"/>
      <c r="H1373" s="2168"/>
      <c r="I1373" s="70"/>
    </row>
    <row r="1374" spans="3:9" s="46" customFormat="1" x14ac:dyDescent="0.2">
      <c r="C1374" s="144"/>
      <c r="D1374" s="144"/>
      <c r="E1374" s="144"/>
      <c r="F1374" s="373"/>
      <c r="H1374" s="2168"/>
      <c r="I1374" s="70"/>
    </row>
    <row r="1375" spans="3:9" s="46" customFormat="1" x14ac:dyDescent="0.2">
      <c r="C1375" s="144"/>
      <c r="D1375" s="144"/>
      <c r="E1375" s="144"/>
      <c r="F1375" s="373"/>
      <c r="H1375" s="2168"/>
      <c r="I1375" s="70"/>
    </row>
    <row r="1376" spans="3:9" s="46" customFormat="1" x14ac:dyDescent="0.2">
      <c r="C1376" s="144"/>
      <c r="D1376" s="144"/>
      <c r="E1376" s="144"/>
      <c r="F1376" s="373"/>
      <c r="H1376" s="2168"/>
      <c r="I1376" s="70"/>
    </row>
    <row r="1377" spans="3:9" s="46" customFormat="1" x14ac:dyDescent="0.2">
      <c r="C1377" s="144"/>
      <c r="D1377" s="144"/>
      <c r="E1377" s="144"/>
      <c r="F1377" s="373"/>
      <c r="H1377" s="2168"/>
      <c r="I1377" s="70"/>
    </row>
    <row r="1378" spans="3:9" s="46" customFormat="1" x14ac:dyDescent="0.2">
      <c r="C1378" s="144"/>
      <c r="D1378" s="144"/>
      <c r="E1378" s="144"/>
      <c r="F1378" s="373"/>
      <c r="H1378" s="2168"/>
      <c r="I1378" s="70"/>
    </row>
    <row r="1379" spans="3:9" s="46" customFormat="1" x14ac:dyDescent="0.2">
      <c r="C1379" s="144"/>
      <c r="D1379" s="144"/>
      <c r="E1379" s="144"/>
      <c r="F1379" s="373"/>
      <c r="H1379" s="2168"/>
      <c r="I1379" s="70"/>
    </row>
    <row r="1380" spans="3:9" s="46" customFormat="1" x14ac:dyDescent="0.2">
      <c r="C1380" s="144"/>
      <c r="D1380" s="144"/>
      <c r="E1380" s="144"/>
      <c r="F1380" s="373"/>
      <c r="H1380" s="2168"/>
      <c r="I1380" s="70"/>
    </row>
    <row r="1381" spans="3:9" s="46" customFormat="1" x14ac:dyDescent="0.2">
      <c r="C1381" s="144"/>
      <c r="D1381" s="144"/>
      <c r="E1381" s="144"/>
      <c r="F1381" s="373"/>
      <c r="H1381" s="2168"/>
      <c r="I1381" s="70"/>
    </row>
    <row r="1382" spans="3:9" s="46" customFormat="1" x14ac:dyDescent="0.2">
      <c r="C1382" s="144"/>
      <c r="D1382" s="144"/>
      <c r="E1382" s="144"/>
      <c r="F1382" s="373"/>
      <c r="H1382" s="2168"/>
      <c r="I1382" s="70"/>
    </row>
    <row r="1383" spans="3:9" s="46" customFormat="1" x14ac:dyDescent="0.2">
      <c r="C1383" s="144"/>
      <c r="D1383" s="144"/>
      <c r="E1383" s="144"/>
      <c r="F1383" s="373"/>
      <c r="H1383" s="2168"/>
      <c r="I1383" s="70"/>
    </row>
    <row r="1384" spans="3:9" s="46" customFormat="1" x14ac:dyDescent="0.2">
      <c r="C1384" s="144"/>
      <c r="D1384" s="144"/>
      <c r="E1384" s="144"/>
      <c r="F1384" s="373"/>
      <c r="H1384" s="2168"/>
      <c r="I1384" s="70"/>
    </row>
    <row r="1385" spans="3:9" s="46" customFormat="1" x14ac:dyDescent="0.2">
      <c r="C1385" s="144"/>
      <c r="D1385" s="144"/>
      <c r="E1385" s="144"/>
      <c r="F1385" s="373"/>
      <c r="H1385" s="2168"/>
      <c r="I1385" s="70"/>
    </row>
    <row r="1386" spans="3:9" s="46" customFormat="1" x14ac:dyDescent="0.2">
      <c r="C1386" s="144"/>
      <c r="D1386" s="144"/>
      <c r="E1386" s="144"/>
      <c r="F1386" s="373"/>
      <c r="H1386" s="2168"/>
      <c r="I1386" s="70"/>
    </row>
    <row r="1387" spans="3:9" s="46" customFormat="1" x14ac:dyDescent="0.2">
      <c r="C1387" s="144"/>
      <c r="D1387" s="144"/>
      <c r="E1387" s="144"/>
      <c r="F1387" s="373"/>
      <c r="H1387" s="2168"/>
      <c r="I1387" s="70"/>
    </row>
    <row r="1388" spans="3:9" s="46" customFormat="1" x14ac:dyDescent="0.2">
      <c r="C1388" s="144"/>
      <c r="D1388" s="144"/>
      <c r="E1388" s="144"/>
      <c r="F1388" s="373"/>
      <c r="H1388" s="2168"/>
      <c r="I1388" s="70"/>
    </row>
    <row r="1389" spans="3:9" s="46" customFormat="1" x14ac:dyDescent="0.2">
      <c r="C1389" s="144"/>
      <c r="D1389" s="144"/>
      <c r="E1389" s="144"/>
      <c r="F1389" s="373"/>
      <c r="H1389" s="2168"/>
      <c r="I1389" s="70"/>
    </row>
    <row r="1390" spans="3:9" s="46" customFormat="1" x14ac:dyDescent="0.2">
      <c r="C1390" s="144"/>
      <c r="D1390" s="144"/>
      <c r="E1390" s="144"/>
      <c r="F1390" s="373"/>
      <c r="H1390" s="2168"/>
      <c r="I1390" s="70"/>
    </row>
    <row r="1391" spans="3:9" s="46" customFormat="1" x14ac:dyDescent="0.2">
      <c r="C1391" s="144"/>
      <c r="D1391" s="144"/>
      <c r="E1391" s="144"/>
      <c r="F1391" s="373"/>
      <c r="H1391" s="2168"/>
      <c r="I1391" s="70"/>
    </row>
    <row r="1392" spans="3:9" s="46" customFormat="1" x14ac:dyDescent="0.2">
      <c r="C1392" s="144"/>
      <c r="D1392" s="144"/>
      <c r="E1392" s="144"/>
      <c r="F1392" s="373"/>
      <c r="H1392" s="2168"/>
      <c r="I1392" s="70"/>
    </row>
    <row r="1393" spans="3:9" s="46" customFormat="1" x14ac:dyDescent="0.2">
      <c r="C1393" s="144"/>
      <c r="D1393" s="144"/>
      <c r="E1393" s="144"/>
      <c r="F1393" s="373"/>
      <c r="H1393" s="2168"/>
      <c r="I1393" s="70"/>
    </row>
    <row r="1394" spans="3:9" s="46" customFormat="1" x14ac:dyDescent="0.2">
      <c r="C1394" s="144"/>
      <c r="D1394" s="144"/>
      <c r="E1394" s="144"/>
      <c r="F1394" s="373"/>
      <c r="H1394" s="2168"/>
      <c r="I1394" s="70"/>
    </row>
    <row r="1395" spans="3:9" s="46" customFormat="1" x14ac:dyDescent="0.2">
      <c r="C1395" s="144"/>
      <c r="D1395" s="144"/>
      <c r="E1395" s="144"/>
      <c r="F1395" s="373"/>
      <c r="H1395" s="2168"/>
      <c r="I1395" s="70"/>
    </row>
    <row r="1396" spans="3:9" s="46" customFormat="1" x14ac:dyDescent="0.2">
      <c r="C1396" s="144"/>
      <c r="D1396" s="144"/>
      <c r="E1396" s="144"/>
      <c r="F1396" s="373"/>
      <c r="H1396" s="2168"/>
      <c r="I1396" s="70"/>
    </row>
    <row r="1397" spans="3:9" s="46" customFormat="1" x14ac:dyDescent="0.2">
      <c r="C1397" s="144"/>
      <c r="D1397" s="144"/>
      <c r="E1397" s="144"/>
      <c r="F1397" s="373"/>
      <c r="H1397" s="2168"/>
      <c r="I1397" s="70"/>
    </row>
    <row r="1398" spans="3:9" s="46" customFormat="1" x14ac:dyDescent="0.2">
      <c r="C1398" s="144"/>
      <c r="D1398" s="144"/>
      <c r="E1398" s="144"/>
      <c r="F1398" s="373"/>
      <c r="H1398" s="2168"/>
      <c r="I1398" s="70"/>
    </row>
    <row r="1399" spans="3:9" s="46" customFormat="1" x14ac:dyDescent="0.2">
      <c r="C1399" s="144"/>
      <c r="D1399" s="144"/>
      <c r="E1399" s="144"/>
      <c r="F1399" s="373"/>
      <c r="H1399" s="2168"/>
      <c r="I1399" s="70"/>
    </row>
    <row r="1400" spans="3:9" s="46" customFormat="1" x14ac:dyDescent="0.2">
      <c r="C1400" s="144"/>
      <c r="D1400" s="144"/>
      <c r="E1400" s="144"/>
      <c r="F1400" s="373"/>
      <c r="H1400" s="2168"/>
      <c r="I1400" s="70"/>
    </row>
    <row r="1401" spans="3:9" s="46" customFormat="1" x14ac:dyDescent="0.2">
      <c r="C1401" s="144"/>
      <c r="D1401" s="144"/>
      <c r="E1401" s="144"/>
      <c r="F1401" s="373"/>
      <c r="H1401" s="2168"/>
      <c r="I1401" s="70"/>
    </row>
    <row r="1402" spans="3:9" s="46" customFormat="1" x14ac:dyDescent="0.2">
      <c r="C1402" s="144"/>
      <c r="D1402" s="144"/>
      <c r="E1402" s="144"/>
      <c r="F1402" s="373"/>
      <c r="H1402" s="2168"/>
      <c r="I1402" s="70"/>
    </row>
    <row r="1403" spans="3:9" s="46" customFormat="1" x14ac:dyDescent="0.2">
      <c r="C1403" s="144"/>
      <c r="D1403" s="144"/>
      <c r="E1403" s="144"/>
      <c r="F1403" s="373"/>
      <c r="H1403" s="2168"/>
      <c r="I1403" s="70"/>
    </row>
    <row r="1404" spans="3:9" s="46" customFormat="1" x14ac:dyDescent="0.2">
      <c r="C1404" s="144"/>
      <c r="D1404" s="144"/>
      <c r="E1404" s="144"/>
      <c r="F1404" s="373"/>
      <c r="H1404" s="2168"/>
      <c r="I1404" s="70"/>
    </row>
    <row r="1405" spans="3:9" s="46" customFormat="1" x14ac:dyDescent="0.2">
      <c r="C1405" s="144"/>
      <c r="D1405" s="144"/>
      <c r="E1405" s="144"/>
      <c r="F1405" s="373"/>
      <c r="H1405" s="2168"/>
      <c r="I1405" s="70"/>
    </row>
    <row r="1406" spans="3:9" s="46" customFormat="1" x14ac:dyDescent="0.2">
      <c r="C1406" s="144"/>
      <c r="D1406" s="144"/>
      <c r="E1406" s="144"/>
      <c r="F1406" s="373"/>
      <c r="H1406" s="2168"/>
      <c r="I1406" s="70"/>
    </row>
    <row r="1407" spans="3:9" s="46" customFormat="1" x14ac:dyDescent="0.2">
      <c r="C1407" s="144"/>
      <c r="D1407" s="144"/>
      <c r="E1407" s="144"/>
      <c r="F1407" s="373"/>
      <c r="H1407" s="2168"/>
      <c r="I1407" s="70"/>
    </row>
    <row r="1408" spans="3:9" s="46" customFormat="1" x14ac:dyDescent="0.2">
      <c r="C1408" s="144"/>
      <c r="D1408" s="144"/>
      <c r="E1408" s="144"/>
      <c r="F1408" s="373"/>
      <c r="H1408" s="2168"/>
      <c r="I1408" s="70"/>
    </row>
    <row r="1409" spans="3:9" s="46" customFormat="1" x14ac:dyDescent="0.2">
      <c r="C1409" s="144"/>
      <c r="D1409" s="144"/>
      <c r="E1409" s="144"/>
      <c r="F1409" s="373"/>
      <c r="H1409" s="2168"/>
      <c r="I1409" s="70"/>
    </row>
    <row r="1410" spans="3:9" s="46" customFormat="1" x14ac:dyDescent="0.2">
      <c r="C1410" s="144"/>
      <c r="D1410" s="144"/>
      <c r="E1410" s="144"/>
      <c r="F1410" s="373"/>
      <c r="H1410" s="2168"/>
      <c r="I1410" s="70"/>
    </row>
    <row r="1411" spans="3:9" s="46" customFormat="1" x14ac:dyDescent="0.2">
      <c r="C1411" s="144"/>
      <c r="D1411" s="144"/>
      <c r="E1411" s="144"/>
      <c r="F1411" s="373"/>
      <c r="H1411" s="2168"/>
      <c r="I1411" s="70"/>
    </row>
    <row r="1412" spans="3:9" s="46" customFormat="1" x14ac:dyDescent="0.2">
      <c r="C1412" s="144"/>
      <c r="D1412" s="144"/>
      <c r="E1412" s="144"/>
      <c r="F1412" s="373"/>
      <c r="H1412" s="2168"/>
      <c r="I1412" s="70"/>
    </row>
    <row r="1413" spans="3:9" s="46" customFormat="1" x14ac:dyDescent="0.2">
      <c r="C1413" s="144"/>
      <c r="D1413" s="144"/>
      <c r="E1413" s="144"/>
      <c r="F1413" s="373"/>
      <c r="H1413" s="2168"/>
      <c r="I1413" s="70"/>
    </row>
    <row r="1414" spans="3:9" s="46" customFormat="1" x14ac:dyDescent="0.2">
      <c r="C1414" s="144"/>
      <c r="D1414" s="144"/>
      <c r="E1414" s="144"/>
      <c r="F1414" s="373"/>
      <c r="H1414" s="2168"/>
      <c r="I1414" s="70"/>
    </row>
    <row r="1415" spans="3:9" s="46" customFormat="1" x14ac:dyDescent="0.2">
      <c r="C1415" s="144"/>
      <c r="D1415" s="144"/>
      <c r="E1415" s="144"/>
      <c r="F1415" s="373"/>
      <c r="H1415" s="2168"/>
      <c r="I1415" s="70"/>
    </row>
    <row r="1416" spans="3:9" s="46" customFormat="1" x14ac:dyDescent="0.2">
      <c r="C1416" s="144"/>
      <c r="D1416" s="144"/>
      <c r="E1416" s="144"/>
      <c r="F1416" s="373"/>
      <c r="H1416" s="2168"/>
      <c r="I1416" s="70"/>
    </row>
    <row r="1417" spans="3:9" s="46" customFormat="1" x14ac:dyDescent="0.2">
      <c r="C1417" s="144"/>
      <c r="D1417" s="144"/>
      <c r="E1417" s="144"/>
      <c r="F1417" s="373"/>
      <c r="H1417" s="2168"/>
      <c r="I1417" s="70"/>
    </row>
    <row r="1418" spans="3:9" s="46" customFormat="1" x14ac:dyDescent="0.2">
      <c r="C1418" s="144"/>
      <c r="D1418" s="144"/>
      <c r="E1418" s="144"/>
      <c r="F1418" s="373"/>
      <c r="H1418" s="2168"/>
      <c r="I1418" s="70"/>
    </row>
    <row r="1419" spans="3:9" s="46" customFormat="1" x14ac:dyDescent="0.2">
      <c r="C1419" s="144"/>
      <c r="D1419" s="144"/>
      <c r="E1419" s="144"/>
      <c r="F1419" s="373"/>
      <c r="H1419" s="2168"/>
      <c r="I1419" s="70"/>
    </row>
    <row r="1420" spans="3:9" s="46" customFormat="1" x14ac:dyDescent="0.2">
      <c r="C1420" s="144"/>
      <c r="D1420" s="144"/>
      <c r="E1420" s="144"/>
      <c r="F1420" s="373"/>
      <c r="H1420" s="2168"/>
      <c r="I1420" s="70"/>
    </row>
    <row r="1421" spans="3:9" s="46" customFormat="1" x14ac:dyDescent="0.2">
      <c r="C1421" s="144"/>
      <c r="D1421" s="144"/>
      <c r="E1421" s="144"/>
      <c r="F1421" s="373"/>
      <c r="H1421" s="2168"/>
      <c r="I1421" s="70"/>
    </row>
    <row r="1422" spans="3:9" s="46" customFormat="1" x14ac:dyDescent="0.2">
      <c r="C1422" s="144"/>
      <c r="D1422" s="144"/>
      <c r="E1422" s="144"/>
      <c r="F1422" s="373"/>
      <c r="H1422" s="2168"/>
      <c r="I1422" s="70"/>
    </row>
    <row r="1423" spans="3:9" s="46" customFormat="1" x14ac:dyDescent="0.2">
      <c r="C1423" s="144"/>
      <c r="D1423" s="144"/>
      <c r="E1423" s="144"/>
      <c r="F1423" s="373"/>
      <c r="H1423" s="2168"/>
      <c r="I1423" s="70"/>
    </row>
    <row r="1424" spans="3:9" s="46" customFormat="1" x14ac:dyDescent="0.2">
      <c r="C1424" s="144"/>
      <c r="D1424" s="144"/>
      <c r="E1424" s="144"/>
      <c r="F1424" s="373"/>
      <c r="H1424" s="2168"/>
      <c r="I1424" s="70"/>
    </row>
    <row r="1425" spans="3:9" s="46" customFormat="1" x14ac:dyDescent="0.2">
      <c r="C1425" s="144"/>
      <c r="D1425" s="144"/>
      <c r="E1425" s="144"/>
      <c r="F1425" s="373"/>
      <c r="H1425" s="2168"/>
      <c r="I1425" s="70"/>
    </row>
    <row r="1426" spans="3:9" s="46" customFormat="1" x14ac:dyDescent="0.2">
      <c r="C1426" s="144"/>
      <c r="D1426" s="144"/>
      <c r="E1426" s="144"/>
      <c r="F1426" s="373"/>
      <c r="H1426" s="2168"/>
      <c r="I1426" s="70"/>
    </row>
    <row r="1427" spans="3:9" s="46" customFormat="1" x14ac:dyDescent="0.2">
      <c r="C1427" s="144"/>
      <c r="D1427" s="144"/>
      <c r="E1427" s="144"/>
      <c r="F1427" s="373"/>
      <c r="H1427" s="2168"/>
      <c r="I1427" s="70"/>
    </row>
    <row r="1428" spans="3:9" s="46" customFormat="1" x14ac:dyDescent="0.2">
      <c r="C1428" s="144"/>
      <c r="D1428" s="144"/>
      <c r="E1428" s="144"/>
      <c r="F1428" s="373"/>
      <c r="H1428" s="2168"/>
      <c r="I1428" s="70"/>
    </row>
    <row r="1429" spans="3:9" s="46" customFormat="1" x14ac:dyDescent="0.2">
      <c r="C1429" s="144"/>
      <c r="D1429" s="144"/>
      <c r="E1429" s="144"/>
      <c r="F1429" s="373"/>
      <c r="H1429" s="2168"/>
      <c r="I1429" s="70"/>
    </row>
    <row r="1430" spans="3:9" s="46" customFormat="1" x14ac:dyDescent="0.2">
      <c r="C1430" s="144"/>
      <c r="D1430" s="144"/>
      <c r="E1430" s="144"/>
      <c r="F1430" s="373"/>
      <c r="H1430" s="2168"/>
      <c r="I1430" s="70"/>
    </row>
    <row r="1431" spans="3:9" s="46" customFormat="1" x14ac:dyDescent="0.2">
      <c r="C1431" s="144"/>
      <c r="D1431" s="144"/>
      <c r="E1431" s="144"/>
      <c r="F1431" s="373"/>
      <c r="H1431" s="2168"/>
      <c r="I1431" s="70"/>
    </row>
    <row r="1432" spans="3:9" s="46" customFormat="1" x14ac:dyDescent="0.2">
      <c r="C1432" s="144"/>
      <c r="D1432" s="144"/>
      <c r="E1432" s="144"/>
      <c r="F1432" s="373"/>
      <c r="H1432" s="2168"/>
      <c r="I1432" s="70"/>
    </row>
    <row r="1433" spans="3:9" s="46" customFormat="1" x14ac:dyDescent="0.2">
      <c r="C1433" s="144"/>
      <c r="D1433" s="144"/>
      <c r="E1433" s="144"/>
      <c r="F1433" s="373"/>
      <c r="H1433" s="2168"/>
      <c r="I1433" s="70"/>
    </row>
    <row r="1434" spans="3:9" s="46" customFormat="1" x14ac:dyDescent="0.2">
      <c r="C1434" s="144"/>
      <c r="D1434" s="144"/>
      <c r="E1434" s="144"/>
      <c r="F1434" s="373"/>
      <c r="H1434" s="2168"/>
      <c r="I1434" s="70"/>
    </row>
    <row r="1435" spans="3:9" s="46" customFormat="1" x14ac:dyDescent="0.2">
      <c r="C1435" s="144"/>
      <c r="D1435" s="144"/>
      <c r="E1435" s="144"/>
      <c r="F1435" s="373"/>
      <c r="H1435" s="2168"/>
      <c r="I1435" s="70"/>
    </row>
    <row r="1436" spans="3:9" s="46" customFormat="1" x14ac:dyDescent="0.2">
      <c r="C1436" s="144"/>
      <c r="D1436" s="144"/>
      <c r="E1436" s="144"/>
      <c r="F1436" s="373"/>
      <c r="H1436" s="2168"/>
      <c r="I1436" s="70"/>
    </row>
    <row r="1437" spans="3:9" s="46" customFormat="1" x14ac:dyDescent="0.2">
      <c r="C1437" s="144"/>
      <c r="D1437" s="144"/>
      <c r="E1437" s="144"/>
      <c r="F1437" s="373"/>
      <c r="H1437" s="2168"/>
      <c r="I1437" s="70"/>
    </row>
    <row r="1438" spans="3:9" s="46" customFormat="1" x14ac:dyDescent="0.2">
      <c r="C1438" s="144"/>
      <c r="D1438" s="144"/>
      <c r="E1438" s="144"/>
      <c r="F1438" s="373"/>
      <c r="H1438" s="2168"/>
      <c r="I1438" s="70"/>
    </row>
    <row r="1439" spans="3:9" s="46" customFormat="1" x14ac:dyDescent="0.2">
      <c r="C1439" s="144"/>
      <c r="D1439" s="144"/>
      <c r="E1439" s="144"/>
      <c r="F1439" s="373"/>
      <c r="H1439" s="2168"/>
      <c r="I1439" s="70"/>
    </row>
    <row r="1440" spans="3:9" s="46" customFormat="1" x14ac:dyDescent="0.2">
      <c r="C1440" s="144"/>
      <c r="D1440" s="144"/>
      <c r="E1440" s="144"/>
      <c r="F1440" s="373"/>
      <c r="H1440" s="2168"/>
      <c r="I1440" s="70"/>
    </row>
    <row r="1441" spans="3:9" s="46" customFormat="1" x14ac:dyDescent="0.2">
      <c r="C1441" s="144"/>
      <c r="D1441" s="144"/>
      <c r="E1441" s="144"/>
      <c r="F1441" s="373"/>
      <c r="H1441" s="2168"/>
      <c r="I1441" s="70"/>
    </row>
    <row r="1442" spans="3:9" s="46" customFormat="1" x14ac:dyDescent="0.2">
      <c r="C1442" s="144"/>
      <c r="D1442" s="144"/>
      <c r="E1442" s="144"/>
      <c r="F1442" s="373"/>
      <c r="H1442" s="2168"/>
      <c r="I1442" s="70"/>
    </row>
    <row r="1443" spans="3:9" s="46" customFormat="1" x14ac:dyDescent="0.2">
      <c r="C1443" s="144"/>
      <c r="D1443" s="144"/>
      <c r="E1443" s="144"/>
      <c r="F1443" s="373"/>
      <c r="H1443" s="2168"/>
      <c r="I1443" s="70"/>
    </row>
    <row r="1444" spans="3:9" s="46" customFormat="1" x14ac:dyDescent="0.2">
      <c r="C1444" s="144"/>
      <c r="D1444" s="144"/>
      <c r="E1444" s="144"/>
      <c r="F1444" s="373"/>
      <c r="H1444" s="2168"/>
      <c r="I1444" s="70"/>
    </row>
    <row r="1445" spans="3:9" s="46" customFormat="1" x14ac:dyDescent="0.2">
      <c r="C1445" s="144"/>
      <c r="D1445" s="144"/>
      <c r="E1445" s="144"/>
      <c r="F1445" s="373"/>
      <c r="H1445" s="2168"/>
      <c r="I1445" s="70"/>
    </row>
    <row r="1446" spans="3:9" s="46" customFormat="1" x14ac:dyDescent="0.2">
      <c r="C1446" s="144"/>
      <c r="D1446" s="144"/>
      <c r="E1446" s="144"/>
      <c r="F1446" s="373"/>
      <c r="H1446" s="2168"/>
      <c r="I1446" s="70"/>
    </row>
    <row r="1447" spans="3:9" s="46" customFormat="1" x14ac:dyDescent="0.2">
      <c r="C1447" s="144"/>
      <c r="D1447" s="144"/>
      <c r="E1447" s="144"/>
      <c r="F1447" s="373"/>
      <c r="H1447" s="2168"/>
      <c r="I1447" s="70"/>
    </row>
    <row r="1448" spans="3:9" s="46" customFormat="1" x14ac:dyDescent="0.2">
      <c r="C1448" s="144"/>
      <c r="D1448" s="144"/>
      <c r="E1448" s="144"/>
      <c r="F1448" s="373"/>
      <c r="H1448" s="2168"/>
      <c r="I1448" s="70"/>
    </row>
    <row r="1449" spans="3:9" s="46" customFormat="1" x14ac:dyDescent="0.2">
      <c r="C1449" s="144"/>
      <c r="D1449" s="144"/>
      <c r="E1449" s="144"/>
      <c r="F1449" s="373"/>
      <c r="H1449" s="2168"/>
      <c r="I1449" s="70"/>
    </row>
    <row r="1450" spans="3:9" s="46" customFormat="1" x14ac:dyDescent="0.2">
      <c r="C1450" s="144"/>
      <c r="D1450" s="144"/>
      <c r="E1450" s="144"/>
      <c r="F1450" s="373"/>
      <c r="H1450" s="2168"/>
      <c r="I1450" s="70"/>
    </row>
    <row r="1451" spans="3:9" s="46" customFormat="1" x14ac:dyDescent="0.2">
      <c r="C1451" s="144"/>
      <c r="D1451" s="144"/>
      <c r="E1451" s="144"/>
      <c r="F1451" s="373"/>
      <c r="H1451" s="2168"/>
      <c r="I1451" s="70"/>
    </row>
    <row r="1452" spans="3:9" s="46" customFormat="1" x14ac:dyDescent="0.2">
      <c r="C1452" s="144"/>
      <c r="D1452" s="144"/>
      <c r="E1452" s="144"/>
      <c r="F1452" s="373"/>
      <c r="H1452" s="2168"/>
      <c r="I1452" s="70"/>
    </row>
    <row r="1453" spans="3:9" s="46" customFormat="1" x14ac:dyDescent="0.2">
      <c r="C1453" s="144"/>
      <c r="D1453" s="144"/>
      <c r="E1453" s="144"/>
      <c r="F1453" s="373"/>
      <c r="H1453" s="2168"/>
      <c r="I1453" s="70"/>
    </row>
    <row r="1454" spans="3:9" s="46" customFormat="1" x14ac:dyDescent="0.2">
      <c r="C1454" s="144"/>
      <c r="D1454" s="144"/>
      <c r="E1454" s="144"/>
      <c r="F1454" s="373"/>
      <c r="H1454" s="2168"/>
      <c r="I1454" s="70"/>
    </row>
    <row r="1455" spans="3:9" s="46" customFormat="1" x14ac:dyDescent="0.2">
      <c r="C1455" s="144"/>
      <c r="D1455" s="144"/>
      <c r="E1455" s="144"/>
      <c r="F1455" s="373"/>
      <c r="H1455" s="2168"/>
      <c r="I1455" s="70"/>
    </row>
    <row r="1456" spans="3:9" s="46" customFormat="1" x14ac:dyDescent="0.2">
      <c r="C1456" s="144"/>
      <c r="D1456" s="144"/>
      <c r="E1456" s="144"/>
      <c r="F1456" s="373"/>
      <c r="H1456" s="2168"/>
      <c r="I1456" s="70"/>
    </row>
    <row r="1457" spans="3:9" s="46" customFormat="1" x14ac:dyDescent="0.2">
      <c r="C1457" s="144"/>
      <c r="D1457" s="144"/>
      <c r="E1457" s="144"/>
      <c r="F1457" s="373"/>
      <c r="H1457" s="2168"/>
      <c r="I1457" s="70"/>
    </row>
    <row r="1458" spans="3:9" s="46" customFormat="1" x14ac:dyDescent="0.2">
      <c r="C1458" s="144"/>
      <c r="D1458" s="144"/>
      <c r="E1458" s="144"/>
      <c r="F1458" s="373"/>
      <c r="H1458" s="2168"/>
      <c r="I1458" s="70"/>
    </row>
    <row r="1459" spans="3:9" s="46" customFormat="1" x14ac:dyDescent="0.2">
      <c r="C1459" s="144"/>
      <c r="D1459" s="144"/>
      <c r="E1459" s="144"/>
      <c r="F1459" s="373"/>
      <c r="H1459" s="2168"/>
      <c r="I1459" s="70"/>
    </row>
    <row r="1460" spans="3:9" s="46" customFormat="1" x14ac:dyDescent="0.2">
      <c r="C1460" s="144"/>
      <c r="D1460" s="144"/>
      <c r="E1460" s="144"/>
      <c r="F1460" s="373"/>
      <c r="H1460" s="2168"/>
      <c r="I1460" s="70"/>
    </row>
    <row r="1461" spans="3:9" s="46" customFormat="1" x14ac:dyDescent="0.2">
      <c r="C1461" s="144"/>
      <c r="D1461" s="144"/>
      <c r="E1461" s="144"/>
      <c r="F1461" s="373"/>
      <c r="H1461" s="2168"/>
      <c r="I1461" s="70"/>
    </row>
    <row r="1462" spans="3:9" s="46" customFormat="1" x14ac:dyDescent="0.2">
      <c r="C1462" s="144"/>
      <c r="D1462" s="144"/>
      <c r="E1462" s="144"/>
      <c r="F1462" s="373"/>
      <c r="H1462" s="2168"/>
      <c r="I1462" s="70"/>
    </row>
    <row r="1463" spans="3:9" s="46" customFormat="1" x14ac:dyDescent="0.2">
      <c r="C1463" s="144"/>
      <c r="D1463" s="144"/>
      <c r="E1463" s="144"/>
      <c r="F1463" s="373"/>
      <c r="H1463" s="2168"/>
      <c r="I1463" s="70"/>
    </row>
    <row r="1464" spans="3:9" s="46" customFormat="1" x14ac:dyDescent="0.2">
      <c r="C1464" s="144"/>
      <c r="D1464" s="144"/>
      <c r="E1464" s="144"/>
      <c r="F1464" s="373"/>
      <c r="H1464" s="2168"/>
      <c r="I1464" s="70"/>
    </row>
    <row r="1465" spans="3:9" s="46" customFormat="1" x14ac:dyDescent="0.2">
      <c r="C1465" s="144"/>
      <c r="D1465" s="144"/>
      <c r="E1465" s="144"/>
      <c r="F1465" s="373"/>
      <c r="H1465" s="2168"/>
      <c r="I1465" s="70"/>
    </row>
    <row r="1466" spans="3:9" s="46" customFormat="1" x14ac:dyDescent="0.2">
      <c r="C1466" s="144"/>
      <c r="D1466" s="144"/>
      <c r="E1466" s="144"/>
      <c r="F1466" s="373"/>
      <c r="H1466" s="2168"/>
      <c r="I1466" s="70"/>
    </row>
    <row r="1467" spans="3:9" s="46" customFormat="1" x14ac:dyDescent="0.2">
      <c r="C1467" s="144"/>
      <c r="D1467" s="144"/>
      <c r="E1467" s="144"/>
      <c r="F1467" s="373"/>
      <c r="H1467" s="2168"/>
      <c r="I1467" s="70"/>
    </row>
    <row r="1468" spans="3:9" s="46" customFormat="1" x14ac:dyDescent="0.2">
      <c r="C1468" s="144"/>
      <c r="D1468" s="144"/>
      <c r="E1468" s="144"/>
      <c r="F1468" s="373"/>
      <c r="H1468" s="2168"/>
      <c r="I1468" s="70"/>
    </row>
    <row r="1469" spans="3:9" s="46" customFormat="1" x14ac:dyDescent="0.2">
      <c r="C1469" s="144"/>
      <c r="D1469" s="144"/>
      <c r="E1469" s="144"/>
      <c r="F1469" s="373"/>
      <c r="H1469" s="2168"/>
      <c r="I1469" s="70"/>
    </row>
    <row r="1470" spans="3:9" s="46" customFormat="1" x14ac:dyDescent="0.2">
      <c r="C1470" s="144"/>
      <c r="D1470" s="144"/>
      <c r="E1470" s="144"/>
      <c r="F1470" s="373"/>
      <c r="H1470" s="2168"/>
      <c r="I1470" s="70"/>
    </row>
    <row r="1471" spans="3:9" s="46" customFormat="1" x14ac:dyDescent="0.2">
      <c r="C1471" s="144"/>
      <c r="D1471" s="144"/>
      <c r="E1471" s="144"/>
      <c r="F1471" s="373"/>
      <c r="H1471" s="2168"/>
      <c r="I1471" s="70"/>
    </row>
    <row r="1472" spans="3:9" s="46" customFormat="1" x14ac:dyDescent="0.2">
      <c r="C1472" s="144"/>
      <c r="D1472" s="144"/>
      <c r="E1472" s="144"/>
      <c r="F1472" s="373"/>
      <c r="H1472" s="2168"/>
      <c r="I1472" s="70"/>
    </row>
    <row r="1473" spans="3:9" s="46" customFormat="1" x14ac:dyDescent="0.2">
      <c r="C1473" s="144"/>
      <c r="D1473" s="144"/>
      <c r="E1473" s="144"/>
      <c r="F1473" s="373"/>
      <c r="H1473" s="2168"/>
      <c r="I1473" s="70"/>
    </row>
    <row r="1474" spans="3:9" s="46" customFormat="1" x14ac:dyDescent="0.2">
      <c r="C1474" s="144"/>
      <c r="D1474" s="144"/>
      <c r="E1474" s="144"/>
      <c r="F1474" s="373"/>
      <c r="H1474" s="2168"/>
      <c r="I1474" s="70"/>
    </row>
    <row r="1475" spans="3:9" s="46" customFormat="1" x14ac:dyDescent="0.2">
      <c r="C1475" s="144"/>
      <c r="D1475" s="144"/>
      <c r="E1475" s="144"/>
      <c r="F1475" s="373"/>
      <c r="H1475" s="2168"/>
      <c r="I1475" s="70"/>
    </row>
    <row r="1476" spans="3:9" s="46" customFormat="1" x14ac:dyDescent="0.2">
      <c r="C1476" s="144"/>
      <c r="D1476" s="144"/>
      <c r="E1476" s="144"/>
      <c r="F1476" s="373"/>
      <c r="H1476" s="2168"/>
      <c r="I1476" s="70"/>
    </row>
    <row r="1477" spans="3:9" s="46" customFormat="1" x14ac:dyDescent="0.2">
      <c r="C1477" s="144"/>
      <c r="D1477" s="144"/>
      <c r="E1477" s="144"/>
      <c r="F1477" s="373"/>
      <c r="H1477" s="2168"/>
      <c r="I1477" s="70"/>
    </row>
    <row r="1478" spans="3:9" s="46" customFormat="1" x14ac:dyDescent="0.2">
      <c r="C1478" s="144"/>
      <c r="D1478" s="144"/>
      <c r="E1478" s="144"/>
      <c r="F1478" s="373"/>
      <c r="H1478" s="2168"/>
      <c r="I1478" s="70"/>
    </row>
    <row r="1479" spans="3:9" s="46" customFormat="1" x14ac:dyDescent="0.2">
      <c r="C1479" s="144"/>
      <c r="D1479" s="144"/>
      <c r="E1479" s="144"/>
      <c r="F1479" s="373"/>
      <c r="H1479" s="2168"/>
      <c r="I1479" s="70"/>
    </row>
    <row r="1480" spans="3:9" s="46" customFormat="1" x14ac:dyDescent="0.2">
      <c r="C1480" s="144"/>
      <c r="D1480" s="144"/>
      <c r="E1480" s="144"/>
      <c r="F1480" s="373"/>
      <c r="H1480" s="2168"/>
      <c r="I1480" s="70"/>
    </row>
    <row r="1481" spans="3:9" s="46" customFormat="1" x14ac:dyDescent="0.2">
      <c r="C1481" s="144"/>
      <c r="D1481" s="144"/>
      <c r="E1481" s="144"/>
      <c r="F1481" s="373"/>
      <c r="H1481" s="2168"/>
      <c r="I1481" s="70"/>
    </row>
    <row r="1482" spans="3:9" s="46" customFormat="1" x14ac:dyDescent="0.2">
      <c r="C1482" s="144"/>
      <c r="D1482" s="144"/>
      <c r="E1482" s="144"/>
      <c r="F1482" s="373"/>
      <c r="H1482" s="2168"/>
      <c r="I1482" s="70"/>
    </row>
    <row r="1483" spans="3:9" s="46" customFormat="1" x14ac:dyDescent="0.2">
      <c r="C1483" s="144"/>
      <c r="D1483" s="144"/>
      <c r="E1483" s="144"/>
      <c r="F1483" s="373"/>
      <c r="H1483" s="2168"/>
      <c r="I1483" s="70"/>
    </row>
    <row r="1484" spans="3:9" s="46" customFormat="1" x14ac:dyDescent="0.2">
      <c r="C1484" s="144"/>
      <c r="D1484" s="144"/>
      <c r="E1484" s="144"/>
      <c r="F1484" s="373"/>
      <c r="H1484" s="2168"/>
      <c r="I1484" s="70"/>
    </row>
    <row r="1485" spans="3:9" s="46" customFormat="1" x14ac:dyDescent="0.2">
      <c r="C1485" s="144"/>
      <c r="D1485" s="144"/>
      <c r="E1485" s="144"/>
      <c r="F1485" s="373"/>
      <c r="H1485" s="2168"/>
      <c r="I1485" s="70"/>
    </row>
    <row r="1486" spans="3:9" s="46" customFormat="1" x14ac:dyDescent="0.2">
      <c r="C1486" s="144"/>
      <c r="D1486" s="144"/>
      <c r="E1486" s="144"/>
      <c r="F1486" s="373"/>
      <c r="H1486" s="2168"/>
      <c r="I1486" s="70"/>
    </row>
    <row r="1487" spans="3:9" s="46" customFormat="1" x14ac:dyDescent="0.2">
      <c r="C1487" s="144"/>
      <c r="D1487" s="144"/>
      <c r="E1487" s="144"/>
      <c r="F1487" s="373"/>
      <c r="H1487" s="2168"/>
      <c r="I1487" s="70"/>
    </row>
    <row r="1488" spans="3:9" s="46" customFormat="1" x14ac:dyDescent="0.2">
      <c r="C1488" s="144"/>
      <c r="D1488" s="144"/>
      <c r="E1488" s="144"/>
      <c r="F1488" s="373"/>
      <c r="H1488" s="2168"/>
      <c r="I1488" s="70"/>
    </row>
    <row r="1489" spans="3:9" s="46" customFormat="1" x14ac:dyDescent="0.2">
      <c r="C1489" s="144"/>
      <c r="D1489" s="144"/>
      <c r="E1489" s="144"/>
      <c r="F1489" s="373"/>
      <c r="H1489" s="2168"/>
      <c r="I1489" s="70"/>
    </row>
    <row r="1490" spans="3:9" s="46" customFormat="1" x14ac:dyDescent="0.2">
      <c r="C1490" s="144"/>
      <c r="D1490" s="144"/>
      <c r="E1490" s="144"/>
      <c r="F1490" s="373"/>
      <c r="H1490" s="2168"/>
      <c r="I1490" s="70"/>
    </row>
    <row r="1491" spans="3:9" s="46" customFormat="1" x14ac:dyDescent="0.2">
      <c r="C1491" s="144"/>
      <c r="D1491" s="144"/>
      <c r="E1491" s="144"/>
      <c r="F1491" s="373"/>
      <c r="H1491" s="2168"/>
      <c r="I1491" s="70"/>
    </row>
    <row r="1492" spans="3:9" s="46" customFormat="1" x14ac:dyDescent="0.2">
      <c r="C1492" s="144"/>
      <c r="D1492" s="144"/>
      <c r="E1492" s="144"/>
      <c r="F1492" s="373"/>
      <c r="H1492" s="2168"/>
      <c r="I1492" s="70"/>
    </row>
    <row r="1493" spans="3:9" s="46" customFormat="1" x14ac:dyDescent="0.2">
      <c r="C1493" s="144"/>
      <c r="D1493" s="144"/>
      <c r="E1493" s="144"/>
      <c r="F1493" s="373"/>
      <c r="H1493" s="2168"/>
      <c r="I1493" s="70"/>
    </row>
    <row r="1494" spans="3:9" s="46" customFormat="1" x14ac:dyDescent="0.2">
      <c r="C1494" s="144"/>
      <c r="D1494" s="144"/>
      <c r="E1494" s="144"/>
      <c r="F1494" s="373"/>
      <c r="H1494" s="2168"/>
      <c r="I1494" s="70"/>
    </row>
    <row r="1495" spans="3:9" s="46" customFormat="1" x14ac:dyDescent="0.2">
      <c r="C1495" s="144"/>
      <c r="D1495" s="144"/>
      <c r="E1495" s="144"/>
      <c r="F1495" s="373"/>
      <c r="H1495" s="2168"/>
      <c r="I1495" s="70"/>
    </row>
    <row r="1496" spans="3:9" s="46" customFormat="1" x14ac:dyDescent="0.2">
      <c r="C1496" s="144"/>
      <c r="D1496" s="144"/>
      <c r="E1496" s="144"/>
      <c r="F1496" s="373"/>
      <c r="H1496" s="2168"/>
      <c r="I1496" s="70"/>
    </row>
    <row r="1497" spans="3:9" s="46" customFormat="1" x14ac:dyDescent="0.2">
      <c r="C1497" s="144"/>
      <c r="D1497" s="144"/>
      <c r="E1497" s="144"/>
      <c r="F1497" s="373"/>
      <c r="H1497" s="2168"/>
      <c r="I1497" s="70"/>
    </row>
    <row r="1498" spans="3:9" s="46" customFormat="1" x14ac:dyDescent="0.2">
      <c r="C1498" s="144"/>
      <c r="D1498" s="144"/>
      <c r="E1498" s="144"/>
      <c r="F1498" s="373"/>
      <c r="H1498" s="2168"/>
      <c r="I1498" s="70"/>
    </row>
    <row r="1499" spans="3:9" s="46" customFormat="1" x14ac:dyDescent="0.2">
      <c r="C1499" s="144"/>
      <c r="D1499" s="144"/>
      <c r="E1499" s="144"/>
      <c r="F1499" s="373"/>
      <c r="H1499" s="2168"/>
      <c r="I1499" s="70"/>
    </row>
    <row r="1500" spans="3:9" s="46" customFormat="1" x14ac:dyDescent="0.2">
      <c r="C1500" s="144"/>
      <c r="D1500" s="144"/>
      <c r="E1500" s="144"/>
      <c r="F1500" s="373"/>
      <c r="H1500" s="2168"/>
      <c r="I1500" s="70"/>
    </row>
    <row r="1501" spans="3:9" s="46" customFormat="1" x14ac:dyDescent="0.2">
      <c r="C1501" s="144"/>
      <c r="D1501" s="144"/>
      <c r="E1501" s="144"/>
      <c r="F1501" s="373"/>
      <c r="H1501" s="2168"/>
      <c r="I1501" s="70"/>
    </row>
    <row r="1502" spans="3:9" s="46" customFormat="1" x14ac:dyDescent="0.2">
      <c r="C1502" s="144"/>
      <c r="D1502" s="144"/>
      <c r="E1502" s="144"/>
      <c r="F1502" s="373"/>
      <c r="H1502" s="2168"/>
      <c r="I1502" s="70"/>
    </row>
    <row r="1503" spans="3:9" s="46" customFormat="1" x14ac:dyDescent="0.2">
      <c r="C1503" s="144"/>
      <c r="D1503" s="144"/>
      <c r="E1503" s="144"/>
      <c r="F1503" s="373"/>
      <c r="H1503" s="2168"/>
      <c r="I1503" s="70"/>
    </row>
    <row r="1504" spans="3:9" s="46" customFormat="1" x14ac:dyDescent="0.2">
      <c r="C1504" s="144"/>
      <c r="D1504" s="144"/>
      <c r="E1504" s="144"/>
      <c r="F1504" s="373"/>
      <c r="H1504" s="2168"/>
      <c r="I1504" s="70"/>
    </row>
    <row r="1505" spans="3:9" s="46" customFormat="1" x14ac:dyDescent="0.2">
      <c r="C1505" s="144"/>
      <c r="D1505" s="144"/>
      <c r="E1505" s="144"/>
      <c r="F1505" s="373"/>
      <c r="H1505" s="2168"/>
      <c r="I1505" s="70"/>
    </row>
    <row r="1506" spans="3:9" s="46" customFormat="1" x14ac:dyDescent="0.2">
      <c r="C1506" s="144"/>
      <c r="D1506" s="144"/>
      <c r="E1506" s="144"/>
      <c r="F1506" s="373"/>
      <c r="H1506" s="2168"/>
      <c r="I1506" s="70"/>
    </row>
    <row r="1507" spans="3:9" s="46" customFormat="1" x14ac:dyDescent="0.2">
      <c r="C1507" s="144"/>
      <c r="D1507" s="144"/>
      <c r="E1507" s="144"/>
      <c r="F1507" s="373"/>
      <c r="H1507" s="2168"/>
      <c r="I1507" s="70"/>
    </row>
    <row r="1508" spans="3:9" s="46" customFormat="1" x14ac:dyDescent="0.2">
      <c r="C1508" s="144"/>
      <c r="D1508" s="144"/>
      <c r="E1508" s="144"/>
      <c r="F1508" s="373"/>
      <c r="H1508" s="2168"/>
      <c r="I1508" s="70"/>
    </row>
    <row r="1509" spans="3:9" s="46" customFormat="1" x14ac:dyDescent="0.2">
      <c r="C1509" s="144"/>
      <c r="D1509" s="144"/>
      <c r="E1509" s="144"/>
      <c r="F1509" s="373"/>
      <c r="H1509" s="2168"/>
      <c r="I1509" s="70"/>
    </row>
    <row r="1510" spans="3:9" s="46" customFormat="1" x14ac:dyDescent="0.2">
      <c r="C1510" s="144"/>
      <c r="D1510" s="144"/>
      <c r="E1510" s="144"/>
      <c r="F1510" s="373"/>
      <c r="H1510" s="2168"/>
      <c r="I1510" s="70"/>
    </row>
    <row r="1511" spans="3:9" s="46" customFormat="1" x14ac:dyDescent="0.2">
      <c r="C1511" s="144"/>
      <c r="D1511" s="144"/>
      <c r="E1511" s="144"/>
      <c r="F1511" s="373"/>
      <c r="H1511" s="2168"/>
      <c r="I1511" s="70"/>
    </row>
    <row r="1512" spans="3:9" s="46" customFormat="1" x14ac:dyDescent="0.2">
      <c r="C1512" s="144"/>
      <c r="D1512" s="144"/>
      <c r="E1512" s="144"/>
      <c r="F1512" s="373"/>
      <c r="H1512" s="2168"/>
      <c r="I1512" s="70"/>
    </row>
    <row r="1513" spans="3:9" s="46" customFormat="1" x14ac:dyDescent="0.2">
      <c r="C1513" s="144"/>
      <c r="D1513" s="144"/>
      <c r="E1513" s="144"/>
      <c r="F1513" s="373"/>
      <c r="H1513" s="2168"/>
      <c r="I1513" s="70"/>
    </row>
    <row r="1514" spans="3:9" s="46" customFormat="1" x14ac:dyDescent="0.2">
      <c r="C1514" s="144"/>
      <c r="D1514" s="144"/>
      <c r="E1514" s="144"/>
      <c r="F1514" s="373"/>
      <c r="H1514" s="2168"/>
      <c r="I1514" s="70"/>
    </row>
    <row r="1515" spans="3:9" s="46" customFormat="1" x14ac:dyDescent="0.2">
      <c r="C1515" s="144"/>
      <c r="D1515" s="144"/>
      <c r="E1515" s="144"/>
      <c r="F1515" s="373"/>
      <c r="H1515" s="2168"/>
      <c r="I1515" s="70"/>
    </row>
    <row r="1516" spans="3:9" s="46" customFormat="1" x14ac:dyDescent="0.2">
      <c r="C1516" s="144"/>
      <c r="D1516" s="144"/>
      <c r="E1516" s="144"/>
      <c r="F1516" s="373"/>
      <c r="H1516" s="2168"/>
      <c r="I1516" s="70"/>
    </row>
    <row r="1517" spans="3:9" s="46" customFormat="1" x14ac:dyDescent="0.2">
      <c r="C1517" s="144"/>
      <c r="D1517" s="144"/>
      <c r="E1517" s="144"/>
      <c r="F1517" s="373"/>
      <c r="H1517" s="2168"/>
      <c r="I1517" s="70"/>
    </row>
    <row r="1518" spans="3:9" s="46" customFormat="1" x14ac:dyDescent="0.2">
      <c r="C1518" s="144"/>
      <c r="D1518" s="144"/>
      <c r="E1518" s="144"/>
      <c r="F1518" s="373"/>
      <c r="H1518" s="2168"/>
      <c r="I1518" s="70"/>
    </row>
    <row r="1519" spans="3:9" s="46" customFormat="1" x14ac:dyDescent="0.2">
      <c r="C1519" s="144"/>
      <c r="D1519" s="144"/>
      <c r="E1519" s="144"/>
      <c r="F1519" s="373"/>
      <c r="H1519" s="2168"/>
      <c r="I1519" s="70"/>
    </row>
    <row r="1520" spans="3:9" s="46" customFormat="1" x14ac:dyDescent="0.2">
      <c r="C1520" s="144"/>
      <c r="D1520" s="144"/>
      <c r="E1520" s="144"/>
      <c r="F1520" s="373"/>
      <c r="H1520" s="2168"/>
      <c r="I1520" s="70"/>
    </row>
    <row r="1521" spans="3:9" s="46" customFormat="1" x14ac:dyDescent="0.2">
      <c r="C1521" s="144"/>
      <c r="D1521" s="144"/>
      <c r="E1521" s="144"/>
      <c r="F1521" s="373"/>
      <c r="H1521" s="2168"/>
      <c r="I1521" s="70"/>
    </row>
    <row r="1522" spans="3:9" s="46" customFormat="1" x14ac:dyDescent="0.2">
      <c r="C1522" s="144"/>
      <c r="D1522" s="144"/>
      <c r="E1522" s="144"/>
      <c r="F1522" s="373"/>
      <c r="H1522" s="2168"/>
      <c r="I1522" s="70"/>
    </row>
    <row r="1523" spans="3:9" s="46" customFormat="1" x14ac:dyDescent="0.2">
      <c r="C1523" s="144"/>
      <c r="D1523" s="144"/>
      <c r="E1523" s="144"/>
      <c r="F1523" s="373"/>
      <c r="H1523" s="2168"/>
      <c r="I1523" s="70"/>
    </row>
    <row r="1524" spans="3:9" s="46" customFormat="1" x14ac:dyDescent="0.2">
      <c r="C1524" s="144"/>
      <c r="D1524" s="144"/>
      <c r="E1524" s="144"/>
      <c r="F1524" s="373"/>
      <c r="H1524" s="2168"/>
      <c r="I1524" s="70"/>
    </row>
    <row r="1525" spans="3:9" s="46" customFormat="1" x14ac:dyDescent="0.2">
      <c r="C1525" s="144"/>
      <c r="D1525" s="144"/>
      <c r="E1525" s="144"/>
      <c r="F1525" s="373"/>
      <c r="H1525" s="2168"/>
      <c r="I1525" s="70"/>
    </row>
    <row r="1526" spans="3:9" s="46" customFormat="1" x14ac:dyDescent="0.2">
      <c r="C1526" s="144"/>
      <c r="D1526" s="144"/>
      <c r="E1526" s="144"/>
      <c r="F1526" s="373"/>
      <c r="H1526" s="2168"/>
      <c r="I1526" s="70"/>
    </row>
    <row r="1527" spans="3:9" s="46" customFormat="1" x14ac:dyDescent="0.2">
      <c r="C1527" s="144"/>
      <c r="D1527" s="144"/>
      <c r="E1527" s="144"/>
      <c r="F1527" s="373"/>
      <c r="H1527" s="2168"/>
      <c r="I1527" s="70"/>
    </row>
    <row r="1528" spans="3:9" s="46" customFormat="1" x14ac:dyDescent="0.2">
      <c r="C1528" s="144"/>
      <c r="D1528" s="144"/>
      <c r="E1528" s="144"/>
      <c r="F1528" s="373"/>
      <c r="H1528" s="2168"/>
      <c r="I1528" s="70"/>
    </row>
    <row r="1529" spans="3:9" s="46" customFormat="1" x14ac:dyDescent="0.2">
      <c r="C1529" s="144"/>
      <c r="D1529" s="144"/>
      <c r="E1529" s="144"/>
      <c r="F1529" s="373"/>
      <c r="H1529" s="2168"/>
      <c r="I1529" s="70"/>
    </row>
    <row r="1530" spans="3:9" s="46" customFormat="1" x14ac:dyDescent="0.2">
      <c r="C1530" s="144"/>
      <c r="D1530" s="144"/>
      <c r="E1530" s="144"/>
      <c r="F1530" s="373"/>
      <c r="H1530" s="2168"/>
      <c r="I1530" s="70"/>
    </row>
    <row r="1531" spans="3:9" s="46" customFormat="1" x14ac:dyDescent="0.2">
      <c r="C1531" s="144"/>
      <c r="D1531" s="144"/>
      <c r="E1531" s="144"/>
      <c r="F1531" s="373"/>
      <c r="H1531" s="2168"/>
      <c r="I1531" s="70"/>
    </row>
    <row r="1532" spans="3:9" s="46" customFormat="1" x14ac:dyDescent="0.2">
      <c r="C1532" s="144"/>
      <c r="D1532" s="144"/>
      <c r="E1532" s="144"/>
      <c r="F1532" s="373"/>
      <c r="H1532" s="2168"/>
      <c r="I1532" s="70"/>
    </row>
    <row r="1533" spans="3:9" s="46" customFormat="1" x14ac:dyDescent="0.2">
      <c r="C1533" s="144"/>
      <c r="D1533" s="144"/>
      <c r="E1533" s="144"/>
      <c r="F1533" s="373"/>
      <c r="H1533" s="2168"/>
      <c r="I1533" s="70"/>
    </row>
    <row r="1534" spans="3:9" s="46" customFormat="1" x14ac:dyDescent="0.2">
      <c r="C1534" s="144"/>
      <c r="D1534" s="144"/>
      <c r="E1534" s="144"/>
      <c r="F1534" s="373"/>
      <c r="H1534" s="2168"/>
      <c r="I1534" s="70"/>
    </row>
    <row r="1535" spans="3:9" s="46" customFormat="1" x14ac:dyDescent="0.2">
      <c r="C1535" s="144"/>
      <c r="D1535" s="144"/>
      <c r="E1535" s="144"/>
      <c r="F1535" s="373"/>
      <c r="H1535" s="2168"/>
      <c r="I1535" s="70"/>
    </row>
    <row r="1536" spans="3:9" s="46" customFormat="1" x14ac:dyDescent="0.2">
      <c r="C1536" s="144"/>
      <c r="D1536" s="144"/>
      <c r="E1536" s="144"/>
      <c r="F1536" s="373"/>
      <c r="H1536" s="2168"/>
      <c r="I1536" s="70"/>
    </row>
    <row r="1537" spans="3:9" s="46" customFormat="1" x14ac:dyDescent="0.2">
      <c r="C1537" s="144"/>
      <c r="D1537" s="144"/>
      <c r="E1537" s="144"/>
      <c r="F1537" s="373"/>
      <c r="H1537" s="2168"/>
      <c r="I1537" s="70"/>
    </row>
    <row r="1538" spans="3:9" s="46" customFormat="1" x14ac:dyDescent="0.2">
      <c r="C1538" s="144"/>
      <c r="D1538" s="144"/>
      <c r="E1538" s="144"/>
      <c r="F1538" s="373"/>
      <c r="H1538" s="2168"/>
      <c r="I1538" s="70"/>
    </row>
    <row r="1539" spans="3:9" s="46" customFormat="1" x14ac:dyDescent="0.2">
      <c r="C1539" s="144"/>
      <c r="D1539" s="144"/>
      <c r="E1539" s="144"/>
      <c r="F1539" s="373"/>
      <c r="H1539" s="2168"/>
      <c r="I1539" s="70"/>
    </row>
    <row r="1540" spans="3:9" s="46" customFormat="1" x14ac:dyDescent="0.2">
      <c r="C1540" s="144"/>
      <c r="D1540" s="144"/>
      <c r="E1540" s="144"/>
      <c r="F1540" s="373"/>
      <c r="H1540" s="2168"/>
      <c r="I1540" s="70"/>
    </row>
    <row r="1541" spans="3:9" s="46" customFormat="1" x14ac:dyDescent="0.2">
      <c r="C1541" s="144"/>
      <c r="D1541" s="144"/>
      <c r="E1541" s="144"/>
      <c r="F1541" s="373"/>
      <c r="H1541" s="2168"/>
      <c r="I1541" s="70"/>
    </row>
    <row r="1542" spans="3:9" s="46" customFormat="1" x14ac:dyDescent="0.2">
      <c r="C1542" s="144"/>
      <c r="D1542" s="144"/>
      <c r="E1542" s="144"/>
      <c r="F1542" s="373"/>
      <c r="H1542" s="2168"/>
      <c r="I1542" s="70"/>
    </row>
    <row r="1543" spans="3:9" s="46" customFormat="1" x14ac:dyDescent="0.2">
      <c r="C1543" s="144"/>
      <c r="D1543" s="144"/>
      <c r="E1543" s="144"/>
      <c r="F1543" s="373"/>
      <c r="H1543" s="2168"/>
      <c r="I1543" s="70"/>
    </row>
    <row r="1544" spans="3:9" s="46" customFormat="1" x14ac:dyDescent="0.2">
      <c r="C1544" s="144"/>
      <c r="D1544" s="144"/>
      <c r="E1544" s="144"/>
      <c r="F1544" s="373"/>
      <c r="H1544" s="2168"/>
      <c r="I1544" s="70"/>
    </row>
    <row r="1545" spans="3:9" s="46" customFormat="1" x14ac:dyDescent="0.2">
      <c r="C1545" s="144"/>
      <c r="D1545" s="144"/>
      <c r="E1545" s="144"/>
      <c r="F1545" s="373"/>
      <c r="H1545" s="2168"/>
      <c r="I1545" s="70"/>
    </row>
    <row r="1546" spans="3:9" s="46" customFormat="1" x14ac:dyDescent="0.2">
      <c r="C1546" s="144"/>
      <c r="D1546" s="144"/>
      <c r="E1546" s="144"/>
      <c r="F1546" s="373"/>
      <c r="H1546" s="2168"/>
      <c r="I1546" s="70"/>
    </row>
    <row r="1547" spans="3:9" s="46" customFormat="1" x14ac:dyDescent="0.2">
      <c r="C1547" s="144"/>
      <c r="D1547" s="144"/>
      <c r="E1547" s="144"/>
      <c r="F1547" s="373"/>
      <c r="H1547" s="2168"/>
      <c r="I1547" s="70"/>
    </row>
    <row r="1548" spans="3:9" s="46" customFormat="1" x14ac:dyDescent="0.2">
      <c r="C1548" s="144"/>
      <c r="D1548" s="144"/>
      <c r="E1548" s="144"/>
      <c r="F1548" s="373"/>
      <c r="H1548" s="2168"/>
      <c r="I1548" s="70"/>
    </row>
    <row r="1549" spans="3:9" s="46" customFormat="1" x14ac:dyDescent="0.2">
      <c r="C1549" s="144"/>
      <c r="D1549" s="144"/>
      <c r="E1549" s="144"/>
      <c r="F1549" s="373"/>
      <c r="H1549" s="2168"/>
      <c r="I1549" s="70"/>
    </row>
    <row r="1550" spans="3:9" s="46" customFormat="1" x14ac:dyDescent="0.2">
      <c r="C1550" s="144"/>
      <c r="D1550" s="144"/>
      <c r="E1550" s="144"/>
      <c r="F1550" s="373"/>
      <c r="H1550" s="2168"/>
      <c r="I1550" s="70"/>
    </row>
    <row r="1551" spans="3:9" s="46" customFormat="1" x14ac:dyDescent="0.2">
      <c r="C1551" s="144"/>
      <c r="D1551" s="144"/>
      <c r="E1551" s="144"/>
      <c r="F1551" s="373"/>
      <c r="H1551" s="2168"/>
      <c r="I1551" s="70"/>
    </row>
    <row r="1552" spans="3:9" s="46" customFormat="1" x14ac:dyDescent="0.2">
      <c r="C1552" s="144"/>
      <c r="D1552" s="144"/>
      <c r="E1552" s="144"/>
      <c r="F1552" s="373"/>
      <c r="H1552" s="2168"/>
      <c r="I1552" s="70"/>
    </row>
    <row r="1553" spans="3:9" s="46" customFormat="1" x14ac:dyDescent="0.2">
      <c r="C1553" s="144"/>
      <c r="D1553" s="144"/>
      <c r="E1553" s="144"/>
      <c r="F1553" s="373"/>
      <c r="H1553" s="2168"/>
      <c r="I1553" s="70"/>
    </row>
    <row r="1554" spans="3:9" s="46" customFormat="1" x14ac:dyDescent="0.2">
      <c r="C1554" s="144"/>
      <c r="D1554" s="144"/>
      <c r="E1554" s="144"/>
      <c r="F1554" s="373"/>
      <c r="H1554" s="2168"/>
      <c r="I1554" s="70"/>
    </row>
    <row r="1555" spans="3:9" s="46" customFormat="1" x14ac:dyDescent="0.2">
      <c r="C1555" s="144"/>
      <c r="D1555" s="144"/>
      <c r="E1555" s="144"/>
      <c r="F1555" s="373"/>
      <c r="H1555" s="2168"/>
      <c r="I1555" s="70"/>
    </row>
    <row r="1556" spans="3:9" s="46" customFormat="1" x14ac:dyDescent="0.2">
      <c r="C1556" s="144"/>
      <c r="D1556" s="144"/>
      <c r="E1556" s="144"/>
      <c r="F1556" s="373"/>
      <c r="H1556" s="2168"/>
      <c r="I1556" s="70"/>
    </row>
    <row r="1557" spans="3:9" s="46" customFormat="1" x14ac:dyDescent="0.2">
      <c r="C1557" s="144"/>
      <c r="D1557" s="144"/>
      <c r="E1557" s="144"/>
      <c r="F1557" s="373"/>
      <c r="H1557" s="2168"/>
      <c r="I1557" s="70"/>
    </row>
    <row r="1558" spans="3:9" s="46" customFormat="1" x14ac:dyDescent="0.2">
      <c r="C1558" s="144"/>
      <c r="D1558" s="144"/>
      <c r="E1558" s="144"/>
      <c r="F1558" s="373"/>
      <c r="H1558" s="2168"/>
      <c r="I1558" s="70"/>
    </row>
    <row r="1559" spans="3:9" s="46" customFormat="1" x14ac:dyDescent="0.2">
      <c r="C1559" s="144"/>
      <c r="D1559" s="144"/>
      <c r="E1559" s="144"/>
      <c r="F1559" s="373"/>
      <c r="H1559" s="2168"/>
      <c r="I1559" s="70"/>
    </row>
    <row r="1560" spans="3:9" s="46" customFormat="1" x14ac:dyDescent="0.2">
      <c r="C1560" s="144"/>
      <c r="D1560" s="144"/>
      <c r="E1560" s="144"/>
      <c r="F1560" s="373"/>
      <c r="H1560" s="2168"/>
      <c r="I1560" s="70"/>
    </row>
    <row r="1561" spans="3:9" s="46" customFormat="1" x14ac:dyDescent="0.2">
      <c r="C1561" s="144"/>
      <c r="D1561" s="144"/>
      <c r="E1561" s="144"/>
      <c r="F1561" s="373"/>
      <c r="H1561" s="2168"/>
      <c r="I1561" s="70"/>
    </row>
    <row r="1562" spans="3:9" s="46" customFormat="1" x14ac:dyDescent="0.2">
      <c r="C1562" s="144"/>
      <c r="D1562" s="144"/>
      <c r="E1562" s="144"/>
      <c r="F1562" s="373"/>
      <c r="H1562" s="2168"/>
      <c r="I1562" s="70"/>
    </row>
    <row r="1563" spans="3:9" s="46" customFormat="1" x14ac:dyDescent="0.2">
      <c r="C1563" s="144"/>
      <c r="D1563" s="144"/>
      <c r="E1563" s="144"/>
      <c r="F1563" s="373"/>
      <c r="H1563" s="2168"/>
      <c r="I1563" s="70"/>
    </row>
    <row r="1564" spans="3:9" s="46" customFormat="1" x14ac:dyDescent="0.2">
      <c r="C1564" s="144"/>
      <c r="D1564" s="144"/>
      <c r="E1564" s="144"/>
      <c r="F1564" s="373"/>
      <c r="H1564" s="2168"/>
      <c r="I1564" s="70"/>
    </row>
    <row r="1565" spans="3:9" s="46" customFormat="1" x14ac:dyDescent="0.2">
      <c r="C1565" s="144"/>
      <c r="D1565" s="144"/>
      <c r="E1565" s="144"/>
      <c r="F1565" s="373"/>
      <c r="H1565" s="2168"/>
      <c r="I1565" s="70"/>
    </row>
    <row r="1566" spans="3:9" s="46" customFormat="1" x14ac:dyDescent="0.2">
      <c r="C1566" s="144"/>
      <c r="D1566" s="144"/>
      <c r="E1566" s="144"/>
      <c r="F1566" s="373"/>
      <c r="H1566" s="2168"/>
      <c r="I1566" s="70"/>
    </row>
    <row r="1567" spans="3:9" s="46" customFormat="1" x14ac:dyDescent="0.2">
      <c r="C1567" s="144"/>
      <c r="D1567" s="144"/>
      <c r="E1567" s="144"/>
      <c r="F1567" s="373"/>
      <c r="H1567" s="2168"/>
      <c r="I1567" s="70"/>
    </row>
    <row r="1568" spans="3:9" s="46" customFormat="1" x14ac:dyDescent="0.2">
      <c r="C1568" s="144"/>
      <c r="D1568" s="144"/>
      <c r="E1568" s="144"/>
      <c r="F1568" s="373"/>
      <c r="H1568" s="2168"/>
      <c r="I1568" s="70"/>
    </row>
    <row r="1569" spans="3:9" s="46" customFormat="1" x14ac:dyDescent="0.2">
      <c r="C1569" s="144"/>
      <c r="D1569" s="144"/>
      <c r="E1569" s="144"/>
      <c r="F1569" s="373"/>
      <c r="H1569" s="2168"/>
      <c r="I1569" s="70"/>
    </row>
    <row r="1570" spans="3:9" s="46" customFormat="1" x14ac:dyDescent="0.2">
      <c r="C1570" s="144"/>
      <c r="D1570" s="144"/>
      <c r="E1570" s="144"/>
      <c r="F1570" s="373"/>
      <c r="H1570" s="2168"/>
      <c r="I1570" s="70"/>
    </row>
    <row r="1571" spans="3:9" s="46" customFormat="1" x14ac:dyDescent="0.2">
      <c r="C1571" s="144"/>
      <c r="D1571" s="144"/>
      <c r="E1571" s="144"/>
      <c r="F1571" s="373"/>
      <c r="H1571" s="2168"/>
      <c r="I1571" s="70"/>
    </row>
    <row r="1572" spans="3:9" s="46" customFormat="1" x14ac:dyDescent="0.2">
      <c r="C1572" s="144"/>
      <c r="D1572" s="144"/>
      <c r="E1572" s="144"/>
      <c r="F1572" s="373"/>
      <c r="H1572" s="2168"/>
      <c r="I1572" s="70"/>
    </row>
    <row r="1573" spans="3:9" s="46" customFormat="1" x14ac:dyDescent="0.2">
      <c r="C1573" s="144"/>
      <c r="D1573" s="144"/>
      <c r="E1573" s="144"/>
      <c r="F1573" s="373"/>
      <c r="H1573" s="2168"/>
      <c r="I1573" s="70"/>
    </row>
    <row r="1574" spans="3:9" s="46" customFormat="1" x14ac:dyDescent="0.2">
      <c r="C1574" s="144"/>
      <c r="D1574" s="144"/>
      <c r="E1574" s="144"/>
      <c r="F1574" s="373"/>
      <c r="H1574" s="2168"/>
      <c r="I1574" s="70"/>
    </row>
    <row r="1575" spans="3:9" s="46" customFormat="1" x14ac:dyDescent="0.2">
      <c r="C1575" s="144"/>
      <c r="D1575" s="144"/>
      <c r="E1575" s="144"/>
      <c r="F1575" s="373"/>
      <c r="H1575" s="2168"/>
      <c r="I1575" s="70"/>
    </row>
    <row r="1576" spans="3:9" s="46" customFormat="1" x14ac:dyDescent="0.2">
      <c r="C1576" s="144"/>
      <c r="D1576" s="144"/>
      <c r="E1576" s="144"/>
      <c r="F1576" s="373"/>
      <c r="H1576" s="2168"/>
      <c r="I1576" s="70"/>
    </row>
    <row r="1577" spans="3:9" s="46" customFormat="1" x14ac:dyDescent="0.2">
      <c r="C1577" s="144"/>
      <c r="D1577" s="144"/>
      <c r="E1577" s="144"/>
      <c r="F1577" s="373"/>
      <c r="H1577" s="2168"/>
      <c r="I1577" s="70"/>
    </row>
    <row r="1578" spans="3:9" s="46" customFormat="1" x14ac:dyDescent="0.2">
      <c r="C1578" s="144"/>
      <c r="D1578" s="144"/>
      <c r="E1578" s="144"/>
      <c r="F1578" s="373"/>
      <c r="H1578" s="2168"/>
      <c r="I1578" s="70"/>
    </row>
    <row r="1579" spans="3:9" s="46" customFormat="1" x14ac:dyDescent="0.2">
      <c r="C1579" s="144"/>
      <c r="D1579" s="144"/>
      <c r="E1579" s="144"/>
      <c r="F1579" s="373"/>
      <c r="H1579" s="2168"/>
      <c r="I1579" s="70"/>
    </row>
    <row r="1580" spans="3:9" s="46" customFormat="1" x14ac:dyDescent="0.2">
      <c r="C1580" s="144"/>
      <c r="D1580" s="144"/>
      <c r="E1580" s="144"/>
      <c r="F1580" s="373"/>
      <c r="H1580" s="2168"/>
      <c r="I1580" s="70"/>
    </row>
    <row r="1581" spans="3:9" s="46" customFormat="1" x14ac:dyDescent="0.2">
      <c r="C1581" s="144"/>
      <c r="D1581" s="144"/>
      <c r="E1581" s="144"/>
      <c r="F1581" s="373"/>
      <c r="H1581" s="2168"/>
      <c r="I1581" s="70"/>
    </row>
    <row r="1582" spans="3:9" s="46" customFormat="1" x14ac:dyDescent="0.2">
      <c r="C1582" s="144"/>
      <c r="D1582" s="144"/>
      <c r="E1582" s="144"/>
      <c r="F1582" s="373"/>
      <c r="H1582" s="2168"/>
      <c r="I1582" s="70"/>
    </row>
    <row r="1583" spans="3:9" s="46" customFormat="1" x14ac:dyDescent="0.2">
      <c r="C1583" s="144"/>
      <c r="D1583" s="144"/>
      <c r="E1583" s="144"/>
      <c r="F1583" s="373"/>
      <c r="H1583" s="2168"/>
      <c r="I1583" s="70"/>
    </row>
    <row r="1584" spans="3:9" s="46" customFormat="1" x14ac:dyDescent="0.2">
      <c r="C1584" s="144"/>
      <c r="D1584" s="144"/>
      <c r="E1584" s="144"/>
      <c r="F1584" s="373"/>
      <c r="H1584" s="2168"/>
      <c r="I1584" s="70"/>
    </row>
    <row r="1585" spans="3:9" s="46" customFormat="1" x14ac:dyDescent="0.2">
      <c r="C1585" s="144"/>
      <c r="D1585" s="144"/>
      <c r="E1585" s="144"/>
      <c r="F1585" s="373"/>
      <c r="H1585" s="2168"/>
      <c r="I1585" s="70"/>
    </row>
    <row r="1586" spans="3:9" s="46" customFormat="1" x14ac:dyDescent="0.2">
      <c r="C1586" s="144"/>
      <c r="D1586" s="144"/>
      <c r="E1586" s="144"/>
      <c r="F1586" s="373"/>
      <c r="H1586" s="2168"/>
      <c r="I1586" s="70"/>
    </row>
    <row r="1587" spans="3:9" s="46" customFormat="1" x14ac:dyDescent="0.2">
      <c r="C1587" s="144"/>
      <c r="D1587" s="144"/>
      <c r="E1587" s="144"/>
      <c r="F1587" s="373"/>
      <c r="H1587" s="2168"/>
      <c r="I1587" s="70"/>
    </row>
    <row r="1588" spans="3:9" s="46" customFormat="1" x14ac:dyDescent="0.2">
      <c r="C1588" s="144"/>
      <c r="D1588" s="144"/>
      <c r="E1588" s="144"/>
      <c r="F1588" s="373"/>
      <c r="H1588" s="2168"/>
      <c r="I1588" s="70"/>
    </row>
    <row r="1589" spans="3:9" s="46" customFormat="1" x14ac:dyDescent="0.2">
      <c r="C1589" s="144"/>
      <c r="D1589" s="144"/>
      <c r="E1589" s="144"/>
      <c r="F1589" s="373"/>
      <c r="H1589" s="2168"/>
      <c r="I1589" s="70"/>
    </row>
    <row r="1590" spans="3:9" s="46" customFormat="1" x14ac:dyDescent="0.2">
      <c r="C1590" s="144"/>
      <c r="D1590" s="144"/>
      <c r="E1590" s="144"/>
      <c r="F1590" s="373"/>
      <c r="H1590" s="2168"/>
      <c r="I1590" s="70"/>
    </row>
    <row r="1591" spans="3:9" s="46" customFormat="1" x14ac:dyDescent="0.2">
      <c r="C1591" s="144"/>
      <c r="D1591" s="144"/>
      <c r="E1591" s="144"/>
      <c r="F1591" s="373"/>
      <c r="H1591" s="2168"/>
      <c r="I1591" s="70"/>
    </row>
    <row r="1592" spans="3:9" s="46" customFormat="1" x14ac:dyDescent="0.2">
      <c r="C1592" s="144"/>
      <c r="D1592" s="144"/>
      <c r="E1592" s="144"/>
      <c r="F1592" s="373"/>
      <c r="H1592" s="2168"/>
      <c r="I1592" s="70"/>
    </row>
    <row r="1593" spans="3:9" s="46" customFormat="1" x14ac:dyDescent="0.2">
      <c r="C1593" s="144"/>
      <c r="D1593" s="144"/>
      <c r="E1593" s="144"/>
      <c r="F1593" s="373"/>
      <c r="H1593" s="2168"/>
      <c r="I1593" s="70"/>
    </row>
    <row r="1594" spans="3:9" s="46" customFormat="1" x14ac:dyDescent="0.2">
      <c r="C1594" s="144"/>
      <c r="D1594" s="144"/>
      <c r="E1594" s="144"/>
      <c r="F1594" s="373"/>
      <c r="H1594" s="2168"/>
      <c r="I1594" s="70"/>
    </row>
    <row r="1595" spans="3:9" s="46" customFormat="1" x14ac:dyDescent="0.2">
      <c r="C1595" s="144"/>
      <c r="D1595" s="144"/>
      <c r="E1595" s="144"/>
      <c r="F1595" s="373"/>
      <c r="H1595" s="2168"/>
      <c r="I1595" s="70"/>
    </row>
    <row r="1596" spans="3:9" s="46" customFormat="1" x14ac:dyDescent="0.2">
      <c r="C1596" s="144"/>
      <c r="D1596" s="144"/>
      <c r="E1596" s="144"/>
      <c r="F1596" s="373"/>
      <c r="H1596" s="2168"/>
      <c r="I1596" s="70"/>
    </row>
    <row r="1597" spans="3:9" s="46" customFormat="1" x14ac:dyDescent="0.2">
      <c r="C1597" s="144"/>
      <c r="D1597" s="144"/>
      <c r="E1597" s="144"/>
      <c r="F1597" s="373"/>
      <c r="H1597" s="2168"/>
      <c r="I1597" s="70"/>
    </row>
    <row r="1598" spans="3:9" s="46" customFormat="1" x14ac:dyDescent="0.2">
      <c r="C1598" s="144"/>
      <c r="D1598" s="144"/>
      <c r="E1598" s="144"/>
      <c r="F1598" s="373"/>
      <c r="H1598" s="2168"/>
      <c r="I1598" s="70"/>
    </row>
    <row r="1599" spans="3:9" s="46" customFormat="1" x14ac:dyDescent="0.2">
      <c r="C1599" s="144"/>
      <c r="D1599" s="144"/>
      <c r="E1599" s="144"/>
      <c r="F1599" s="373"/>
      <c r="H1599" s="2168"/>
      <c r="I1599" s="70"/>
    </row>
    <row r="1600" spans="3:9" s="46" customFormat="1" x14ac:dyDescent="0.2">
      <c r="C1600" s="144"/>
      <c r="D1600" s="144"/>
      <c r="E1600" s="144"/>
      <c r="F1600" s="373"/>
      <c r="H1600" s="2168"/>
      <c r="I1600" s="70"/>
    </row>
    <row r="1601" spans="3:9" s="46" customFormat="1" x14ac:dyDescent="0.2">
      <c r="C1601" s="144"/>
      <c r="D1601" s="144"/>
      <c r="E1601" s="144"/>
      <c r="F1601" s="373"/>
      <c r="H1601" s="2168"/>
      <c r="I1601" s="70"/>
    </row>
    <row r="1602" spans="3:9" s="46" customFormat="1" x14ac:dyDescent="0.2">
      <c r="C1602" s="144"/>
      <c r="D1602" s="144"/>
      <c r="E1602" s="144"/>
      <c r="F1602" s="373"/>
      <c r="H1602" s="2168"/>
      <c r="I1602" s="70"/>
    </row>
    <row r="1603" spans="3:9" s="46" customFormat="1" x14ac:dyDescent="0.2">
      <c r="C1603" s="144"/>
      <c r="D1603" s="144"/>
      <c r="E1603" s="144"/>
      <c r="F1603" s="373"/>
      <c r="H1603" s="2168"/>
      <c r="I1603" s="70"/>
    </row>
    <row r="1604" spans="3:9" s="46" customFormat="1" x14ac:dyDescent="0.2">
      <c r="C1604" s="144"/>
      <c r="D1604" s="144"/>
      <c r="E1604" s="144"/>
      <c r="F1604" s="373"/>
      <c r="H1604" s="2168"/>
      <c r="I1604" s="70"/>
    </row>
    <row r="1605" spans="3:9" s="46" customFormat="1" x14ac:dyDescent="0.2">
      <c r="C1605" s="144"/>
      <c r="D1605" s="144"/>
      <c r="E1605" s="144"/>
      <c r="F1605" s="373"/>
      <c r="H1605" s="2168"/>
      <c r="I1605" s="70"/>
    </row>
    <row r="1606" spans="3:9" s="46" customFormat="1" x14ac:dyDescent="0.2">
      <c r="C1606" s="144"/>
      <c r="D1606" s="144"/>
      <c r="E1606" s="144"/>
      <c r="F1606" s="373"/>
      <c r="H1606" s="2168"/>
      <c r="I1606" s="70"/>
    </row>
    <row r="1607" spans="3:9" s="46" customFormat="1" x14ac:dyDescent="0.2">
      <c r="C1607" s="144"/>
      <c r="D1607" s="144"/>
      <c r="E1607" s="144"/>
      <c r="F1607" s="373"/>
      <c r="H1607" s="2168"/>
      <c r="I1607" s="70"/>
    </row>
    <row r="1608" spans="3:9" s="46" customFormat="1" x14ac:dyDescent="0.2">
      <c r="C1608" s="144"/>
      <c r="D1608" s="144"/>
      <c r="E1608" s="144"/>
      <c r="F1608" s="373"/>
      <c r="H1608" s="2168"/>
      <c r="I1608" s="70"/>
    </row>
    <row r="1609" spans="3:9" s="46" customFormat="1" x14ac:dyDescent="0.2">
      <c r="C1609" s="144"/>
      <c r="D1609" s="144"/>
      <c r="E1609" s="144"/>
      <c r="F1609" s="373"/>
      <c r="H1609" s="2168"/>
      <c r="I1609" s="70"/>
    </row>
    <row r="1610" spans="3:9" s="46" customFormat="1" x14ac:dyDescent="0.2">
      <c r="C1610" s="144"/>
      <c r="D1610" s="144"/>
      <c r="E1610" s="144"/>
      <c r="F1610" s="373"/>
      <c r="H1610" s="2168"/>
      <c r="I1610" s="70"/>
    </row>
    <row r="1611" spans="3:9" s="46" customFormat="1" x14ac:dyDescent="0.2">
      <c r="C1611" s="144"/>
      <c r="D1611" s="144"/>
      <c r="E1611" s="144"/>
      <c r="F1611" s="373"/>
      <c r="H1611" s="2168"/>
      <c r="I1611" s="70"/>
    </row>
    <row r="1612" spans="3:9" s="46" customFormat="1" x14ac:dyDescent="0.2">
      <c r="C1612" s="144"/>
      <c r="D1612" s="144"/>
      <c r="E1612" s="144"/>
      <c r="F1612" s="373"/>
      <c r="H1612" s="2168"/>
      <c r="I1612" s="70"/>
    </row>
    <row r="1613" spans="3:9" s="46" customFormat="1" x14ac:dyDescent="0.2">
      <c r="C1613" s="144"/>
      <c r="D1613" s="144"/>
      <c r="E1613" s="144"/>
      <c r="F1613" s="373"/>
      <c r="H1613" s="2168"/>
      <c r="I1613" s="70"/>
    </row>
    <row r="1614" spans="3:9" s="46" customFormat="1" x14ac:dyDescent="0.2">
      <c r="C1614" s="144"/>
      <c r="D1614" s="144"/>
      <c r="E1614" s="144"/>
      <c r="F1614" s="373"/>
      <c r="H1614" s="2168"/>
      <c r="I1614" s="70"/>
    </row>
    <row r="1615" spans="3:9" s="46" customFormat="1" x14ac:dyDescent="0.2">
      <c r="C1615" s="144"/>
      <c r="D1615" s="144"/>
      <c r="E1615" s="144"/>
      <c r="F1615" s="373"/>
      <c r="H1615" s="2168"/>
      <c r="I1615" s="70"/>
    </row>
    <row r="1616" spans="3:9" s="46" customFormat="1" x14ac:dyDescent="0.2">
      <c r="C1616" s="144"/>
      <c r="D1616" s="144"/>
      <c r="E1616" s="144"/>
      <c r="F1616" s="373"/>
      <c r="H1616" s="2168"/>
      <c r="I1616" s="70"/>
    </row>
    <row r="1617" spans="3:9" s="46" customFormat="1" x14ac:dyDescent="0.2">
      <c r="C1617" s="144"/>
      <c r="D1617" s="144"/>
      <c r="E1617" s="144"/>
      <c r="F1617" s="373"/>
      <c r="H1617" s="2168"/>
      <c r="I1617" s="70"/>
    </row>
    <row r="1618" spans="3:9" s="46" customFormat="1" x14ac:dyDescent="0.2">
      <c r="C1618" s="144"/>
      <c r="D1618" s="144"/>
      <c r="E1618" s="144"/>
      <c r="F1618" s="373"/>
      <c r="H1618" s="2168"/>
      <c r="I1618" s="70"/>
    </row>
    <row r="1619" spans="3:9" s="46" customFormat="1" x14ac:dyDescent="0.2">
      <c r="C1619" s="144"/>
      <c r="D1619" s="144"/>
      <c r="E1619" s="144"/>
      <c r="F1619" s="373"/>
      <c r="H1619" s="2168"/>
      <c r="I1619" s="70"/>
    </row>
    <row r="1620" spans="3:9" s="46" customFormat="1" x14ac:dyDescent="0.2">
      <c r="C1620" s="144"/>
      <c r="D1620" s="144"/>
      <c r="E1620" s="144"/>
      <c r="F1620" s="373"/>
      <c r="H1620" s="2168"/>
      <c r="I1620" s="70"/>
    </row>
    <row r="1621" spans="3:9" s="46" customFormat="1" x14ac:dyDescent="0.2">
      <c r="C1621" s="144"/>
      <c r="D1621" s="144"/>
      <c r="E1621" s="144"/>
      <c r="F1621" s="373"/>
      <c r="H1621" s="2168"/>
      <c r="I1621" s="70"/>
    </row>
    <row r="1622" spans="3:9" s="46" customFormat="1" x14ac:dyDescent="0.2">
      <c r="C1622" s="144"/>
      <c r="D1622" s="144"/>
      <c r="E1622" s="144"/>
      <c r="F1622" s="373"/>
      <c r="H1622" s="2168"/>
      <c r="I1622" s="70"/>
    </row>
    <row r="1623" spans="3:9" s="46" customFormat="1" x14ac:dyDescent="0.2">
      <c r="C1623" s="144"/>
      <c r="D1623" s="144"/>
      <c r="E1623" s="144"/>
      <c r="F1623" s="373"/>
      <c r="H1623" s="2168"/>
      <c r="I1623" s="70"/>
    </row>
    <row r="1624" spans="3:9" s="46" customFormat="1" x14ac:dyDescent="0.2">
      <c r="C1624" s="144"/>
      <c r="D1624" s="144"/>
      <c r="E1624" s="144"/>
      <c r="F1624" s="373"/>
      <c r="H1624" s="2168"/>
      <c r="I1624" s="70"/>
    </row>
    <row r="1625" spans="3:9" s="46" customFormat="1" x14ac:dyDescent="0.2">
      <c r="C1625" s="144"/>
      <c r="D1625" s="144"/>
      <c r="E1625" s="144"/>
      <c r="F1625" s="373"/>
      <c r="H1625" s="2168"/>
      <c r="I1625" s="70"/>
    </row>
    <row r="1626" spans="3:9" s="46" customFormat="1" x14ac:dyDescent="0.2">
      <c r="C1626" s="144"/>
      <c r="D1626" s="144"/>
      <c r="E1626" s="144"/>
      <c r="F1626" s="373"/>
      <c r="H1626" s="2168"/>
      <c r="I1626" s="70"/>
    </row>
    <row r="1627" spans="3:9" s="46" customFormat="1" x14ac:dyDescent="0.2">
      <c r="C1627" s="144"/>
      <c r="D1627" s="144"/>
      <c r="E1627" s="144"/>
      <c r="F1627" s="373"/>
      <c r="H1627" s="2168"/>
      <c r="I1627" s="70"/>
    </row>
    <row r="1628" spans="3:9" s="46" customFormat="1" x14ac:dyDescent="0.2">
      <c r="C1628" s="144"/>
      <c r="D1628" s="144"/>
      <c r="E1628" s="144"/>
      <c r="F1628" s="373"/>
      <c r="H1628" s="2168"/>
      <c r="I1628" s="70"/>
    </row>
    <row r="1629" spans="3:9" s="46" customFormat="1" x14ac:dyDescent="0.2">
      <c r="C1629" s="144"/>
      <c r="D1629" s="144"/>
      <c r="E1629" s="144"/>
      <c r="F1629" s="373"/>
      <c r="H1629" s="2168"/>
      <c r="I1629" s="70"/>
    </row>
    <row r="1630" spans="3:9" s="46" customFormat="1" x14ac:dyDescent="0.2">
      <c r="C1630" s="144"/>
      <c r="D1630" s="144"/>
      <c r="E1630" s="144"/>
      <c r="F1630" s="373"/>
      <c r="H1630" s="2168"/>
      <c r="I1630" s="70"/>
    </row>
    <row r="1631" spans="3:9" s="46" customFormat="1" x14ac:dyDescent="0.2">
      <c r="C1631" s="144"/>
      <c r="D1631" s="144"/>
      <c r="E1631" s="144"/>
      <c r="F1631" s="373"/>
      <c r="H1631" s="2168"/>
      <c r="I1631" s="70"/>
    </row>
    <row r="1632" spans="3:9" s="46" customFormat="1" x14ac:dyDescent="0.2">
      <c r="C1632" s="144"/>
      <c r="D1632" s="144"/>
      <c r="E1632" s="144"/>
      <c r="F1632" s="373"/>
      <c r="H1632" s="2168"/>
      <c r="I1632" s="70"/>
    </row>
    <row r="1633" spans="3:9" s="46" customFormat="1" x14ac:dyDescent="0.2">
      <c r="C1633" s="144"/>
      <c r="D1633" s="144"/>
      <c r="E1633" s="144"/>
      <c r="F1633" s="373"/>
      <c r="H1633" s="2168"/>
      <c r="I1633" s="70"/>
    </row>
    <row r="1634" spans="3:9" s="46" customFormat="1" x14ac:dyDescent="0.2">
      <c r="C1634" s="144"/>
      <c r="D1634" s="144"/>
      <c r="E1634" s="144"/>
      <c r="F1634" s="373"/>
      <c r="H1634" s="2168"/>
      <c r="I1634" s="70"/>
    </row>
    <row r="1635" spans="3:9" s="46" customFormat="1" x14ac:dyDescent="0.2">
      <c r="C1635" s="144"/>
      <c r="D1635" s="144"/>
      <c r="E1635" s="144"/>
      <c r="F1635" s="373"/>
      <c r="H1635" s="2168"/>
      <c r="I1635" s="70"/>
    </row>
    <row r="1636" spans="3:9" s="46" customFormat="1" x14ac:dyDescent="0.2">
      <c r="C1636" s="144"/>
      <c r="D1636" s="144"/>
      <c r="E1636" s="144"/>
      <c r="F1636" s="373"/>
      <c r="H1636" s="2168"/>
      <c r="I1636" s="70"/>
    </row>
    <row r="1637" spans="3:9" s="46" customFormat="1" x14ac:dyDescent="0.2">
      <c r="C1637" s="144"/>
      <c r="D1637" s="144"/>
      <c r="E1637" s="144"/>
      <c r="F1637" s="373"/>
      <c r="H1637" s="2168"/>
      <c r="I1637" s="70"/>
    </row>
    <row r="1638" spans="3:9" s="46" customFormat="1" x14ac:dyDescent="0.2">
      <c r="C1638" s="144"/>
      <c r="D1638" s="144"/>
      <c r="E1638" s="144"/>
      <c r="F1638" s="373"/>
      <c r="H1638" s="2168"/>
      <c r="I1638" s="70"/>
    </row>
    <row r="1639" spans="3:9" s="46" customFormat="1" x14ac:dyDescent="0.2">
      <c r="C1639" s="144"/>
      <c r="D1639" s="144"/>
      <c r="E1639" s="144"/>
      <c r="F1639" s="373"/>
      <c r="H1639" s="2168"/>
      <c r="I1639" s="70"/>
    </row>
    <row r="1640" spans="3:9" s="46" customFormat="1" x14ac:dyDescent="0.2">
      <c r="C1640" s="144"/>
      <c r="D1640" s="144"/>
      <c r="E1640" s="144"/>
      <c r="F1640" s="373"/>
      <c r="H1640" s="2168"/>
      <c r="I1640" s="70"/>
    </row>
    <row r="1641" spans="3:9" s="46" customFormat="1" x14ac:dyDescent="0.2">
      <c r="C1641" s="144"/>
      <c r="D1641" s="144"/>
      <c r="E1641" s="144"/>
      <c r="F1641" s="373"/>
      <c r="H1641" s="2168"/>
      <c r="I1641" s="70"/>
    </row>
    <row r="1642" spans="3:9" s="46" customFormat="1" x14ac:dyDescent="0.2">
      <c r="C1642" s="144"/>
      <c r="D1642" s="144"/>
      <c r="E1642" s="144"/>
      <c r="F1642" s="373"/>
      <c r="H1642" s="2168"/>
      <c r="I1642" s="70"/>
    </row>
    <row r="1643" spans="3:9" s="46" customFormat="1" x14ac:dyDescent="0.2">
      <c r="C1643" s="144"/>
      <c r="D1643" s="144"/>
      <c r="E1643" s="144"/>
      <c r="F1643" s="373"/>
      <c r="H1643" s="2168"/>
      <c r="I1643" s="70"/>
    </row>
    <row r="1644" spans="3:9" s="46" customFormat="1" x14ac:dyDescent="0.2">
      <c r="C1644" s="144"/>
      <c r="D1644" s="144"/>
      <c r="E1644" s="144"/>
      <c r="F1644" s="373"/>
      <c r="H1644" s="2168"/>
      <c r="I1644" s="70"/>
    </row>
    <row r="1645" spans="3:9" s="46" customFormat="1" x14ac:dyDescent="0.2">
      <c r="C1645" s="144"/>
      <c r="D1645" s="144"/>
      <c r="E1645" s="144"/>
      <c r="F1645" s="373"/>
      <c r="H1645" s="2168"/>
      <c r="I1645" s="70"/>
    </row>
    <row r="1646" spans="3:9" s="46" customFormat="1" x14ac:dyDescent="0.2">
      <c r="C1646" s="144"/>
      <c r="D1646" s="144"/>
      <c r="E1646" s="144"/>
      <c r="F1646" s="373"/>
      <c r="H1646" s="2168"/>
      <c r="I1646" s="70"/>
    </row>
    <row r="1647" spans="3:9" s="46" customFormat="1" x14ac:dyDescent="0.2">
      <c r="C1647" s="144"/>
      <c r="D1647" s="144"/>
      <c r="E1647" s="144"/>
      <c r="F1647" s="373"/>
      <c r="H1647" s="2168"/>
      <c r="I1647" s="70"/>
    </row>
    <row r="1648" spans="3:9" s="46" customFormat="1" x14ac:dyDescent="0.2">
      <c r="C1648" s="144"/>
      <c r="D1648" s="144"/>
      <c r="E1648" s="144"/>
      <c r="F1648" s="373"/>
      <c r="H1648" s="2168"/>
      <c r="I1648" s="70"/>
    </row>
    <row r="1649" spans="3:9" s="46" customFormat="1" x14ac:dyDescent="0.2">
      <c r="C1649" s="144"/>
      <c r="D1649" s="144"/>
      <c r="E1649" s="144"/>
      <c r="F1649" s="373"/>
      <c r="H1649" s="2168"/>
      <c r="I1649" s="70"/>
    </row>
    <row r="1650" spans="3:9" s="46" customFormat="1" x14ac:dyDescent="0.2">
      <c r="C1650" s="144"/>
      <c r="D1650" s="144"/>
      <c r="E1650" s="144"/>
      <c r="F1650" s="373"/>
      <c r="H1650" s="2168"/>
      <c r="I1650" s="70"/>
    </row>
    <row r="1651" spans="3:9" s="46" customFormat="1" x14ac:dyDescent="0.2">
      <c r="C1651" s="144"/>
      <c r="D1651" s="144"/>
      <c r="E1651" s="144"/>
      <c r="F1651" s="373"/>
      <c r="H1651" s="2168"/>
      <c r="I1651" s="70"/>
    </row>
    <row r="1652" spans="3:9" s="46" customFormat="1" x14ac:dyDescent="0.2">
      <c r="C1652" s="144"/>
      <c r="D1652" s="144"/>
      <c r="E1652" s="144"/>
      <c r="F1652" s="373"/>
      <c r="H1652" s="2168"/>
      <c r="I1652" s="70"/>
    </row>
    <row r="1653" spans="3:9" s="46" customFormat="1" x14ac:dyDescent="0.2">
      <c r="C1653" s="144"/>
      <c r="D1653" s="144"/>
      <c r="E1653" s="144"/>
      <c r="F1653" s="373"/>
      <c r="H1653" s="2168"/>
      <c r="I1653" s="70"/>
    </row>
    <row r="1654" spans="3:9" s="46" customFormat="1" x14ac:dyDescent="0.2">
      <c r="C1654" s="144"/>
      <c r="D1654" s="144"/>
      <c r="E1654" s="144"/>
      <c r="F1654" s="373"/>
      <c r="H1654" s="2168"/>
      <c r="I1654" s="70"/>
    </row>
    <row r="1655" spans="3:9" s="46" customFormat="1" x14ac:dyDescent="0.2">
      <c r="C1655" s="144"/>
      <c r="D1655" s="144"/>
      <c r="E1655" s="144"/>
      <c r="F1655" s="373"/>
      <c r="H1655" s="2168"/>
      <c r="I1655" s="70"/>
    </row>
    <row r="1656" spans="3:9" s="46" customFormat="1" x14ac:dyDescent="0.2">
      <c r="C1656" s="144"/>
      <c r="D1656" s="144"/>
      <c r="E1656" s="144"/>
      <c r="F1656" s="373"/>
      <c r="H1656" s="2168"/>
      <c r="I1656" s="70"/>
    </row>
    <row r="1657" spans="3:9" s="46" customFormat="1" x14ac:dyDescent="0.2">
      <c r="C1657" s="144"/>
      <c r="D1657" s="144"/>
      <c r="E1657" s="144"/>
      <c r="F1657" s="373"/>
      <c r="H1657" s="2168"/>
      <c r="I1657" s="70"/>
    </row>
    <row r="1658" spans="3:9" s="46" customFormat="1" x14ac:dyDescent="0.2">
      <c r="C1658" s="144"/>
      <c r="D1658" s="144"/>
      <c r="E1658" s="144"/>
      <c r="F1658" s="373"/>
      <c r="H1658" s="2168"/>
      <c r="I1658" s="70"/>
    </row>
    <row r="1659" spans="3:9" s="46" customFormat="1" x14ac:dyDescent="0.2">
      <c r="C1659" s="144"/>
      <c r="D1659" s="144"/>
      <c r="E1659" s="144"/>
      <c r="F1659" s="373"/>
      <c r="H1659" s="2168"/>
      <c r="I1659" s="70"/>
    </row>
    <row r="1660" spans="3:9" s="46" customFormat="1" x14ac:dyDescent="0.2">
      <c r="C1660" s="144"/>
      <c r="D1660" s="144"/>
      <c r="E1660" s="144"/>
      <c r="F1660" s="373"/>
      <c r="H1660" s="2168"/>
      <c r="I1660" s="70"/>
    </row>
    <row r="1661" spans="3:9" s="46" customFormat="1" x14ac:dyDescent="0.2">
      <c r="C1661" s="144"/>
      <c r="D1661" s="144"/>
      <c r="E1661" s="144"/>
      <c r="F1661" s="373"/>
      <c r="H1661" s="2168"/>
      <c r="I1661" s="70"/>
    </row>
    <row r="1662" spans="3:9" s="46" customFormat="1" x14ac:dyDescent="0.2">
      <c r="C1662" s="144"/>
      <c r="D1662" s="144"/>
      <c r="E1662" s="144"/>
      <c r="F1662" s="373"/>
      <c r="H1662" s="2168"/>
      <c r="I1662" s="70"/>
    </row>
    <row r="1663" spans="3:9" s="46" customFormat="1" x14ac:dyDescent="0.2">
      <c r="C1663" s="144"/>
      <c r="D1663" s="144"/>
      <c r="E1663" s="144"/>
      <c r="F1663" s="373"/>
      <c r="H1663" s="2168"/>
      <c r="I1663" s="70"/>
    </row>
    <row r="1664" spans="3:9" s="46" customFormat="1" x14ac:dyDescent="0.2">
      <c r="C1664" s="144"/>
      <c r="D1664" s="144"/>
      <c r="E1664" s="144"/>
      <c r="F1664" s="373"/>
      <c r="H1664" s="2168"/>
      <c r="I1664" s="70"/>
    </row>
    <row r="1665" spans="3:9" s="46" customFormat="1" x14ac:dyDescent="0.2">
      <c r="C1665" s="144"/>
      <c r="D1665" s="144"/>
      <c r="E1665" s="144"/>
      <c r="F1665" s="373"/>
      <c r="H1665" s="2168"/>
      <c r="I1665" s="70"/>
    </row>
    <row r="1666" spans="3:9" s="46" customFormat="1" x14ac:dyDescent="0.2">
      <c r="C1666" s="144"/>
      <c r="D1666" s="144"/>
      <c r="E1666" s="144"/>
      <c r="F1666" s="373"/>
      <c r="H1666" s="2168"/>
      <c r="I1666" s="70"/>
    </row>
    <row r="1667" spans="3:9" s="46" customFormat="1" x14ac:dyDescent="0.2">
      <c r="C1667" s="144"/>
      <c r="D1667" s="144"/>
      <c r="E1667" s="144"/>
      <c r="F1667" s="373"/>
      <c r="H1667" s="2168"/>
      <c r="I1667" s="70"/>
    </row>
    <row r="1668" spans="3:9" s="46" customFormat="1" x14ac:dyDescent="0.2">
      <c r="C1668" s="144"/>
      <c r="D1668" s="144"/>
      <c r="E1668" s="144"/>
      <c r="F1668" s="373"/>
      <c r="H1668" s="2168"/>
      <c r="I1668" s="70"/>
    </row>
    <row r="1669" spans="3:9" s="46" customFormat="1" x14ac:dyDescent="0.2">
      <c r="C1669" s="144"/>
      <c r="D1669" s="144"/>
      <c r="E1669" s="144"/>
      <c r="F1669" s="373"/>
      <c r="H1669" s="2168"/>
      <c r="I1669" s="70"/>
    </row>
    <row r="1670" spans="3:9" s="46" customFormat="1" x14ac:dyDescent="0.2">
      <c r="C1670" s="144"/>
      <c r="D1670" s="144"/>
      <c r="E1670" s="144"/>
      <c r="F1670" s="373"/>
      <c r="H1670" s="2168"/>
      <c r="I1670" s="70"/>
    </row>
    <row r="1671" spans="3:9" s="46" customFormat="1" x14ac:dyDescent="0.2">
      <c r="C1671" s="144"/>
      <c r="D1671" s="144"/>
      <c r="E1671" s="144"/>
      <c r="F1671" s="373"/>
      <c r="H1671" s="2168"/>
      <c r="I1671" s="70"/>
    </row>
    <row r="1672" spans="3:9" s="46" customFormat="1" x14ac:dyDescent="0.2">
      <c r="C1672" s="144"/>
      <c r="D1672" s="144"/>
      <c r="E1672" s="144"/>
      <c r="F1672" s="373"/>
      <c r="H1672" s="2168"/>
      <c r="I1672" s="70"/>
    </row>
    <row r="1673" spans="3:9" s="46" customFormat="1" x14ac:dyDescent="0.2">
      <c r="C1673" s="144"/>
      <c r="D1673" s="144"/>
      <c r="E1673" s="144"/>
      <c r="F1673" s="373"/>
      <c r="H1673" s="2168"/>
      <c r="I1673" s="70"/>
    </row>
    <row r="1674" spans="3:9" s="46" customFormat="1" x14ac:dyDescent="0.2">
      <c r="C1674" s="144"/>
      <c r="D1674" s="144"/>
      <c r="E1674" s="144"/>
      <c r="F1674" s="373"/>
      <c r="H1674" s="2168"/>
      <c r="I1674" s="70"/>
    </row>
    <row r="1675" spans="3:9" s="46" customFormat="1" x14ac:dyDescent="0.2">
      <c r="C1675" s="144"/>
      <c r="D1675" s="144"/>
      <c r="E1675" s="144"/>
      <c r="F1675" s="373"/>
      <c r="H1675" s="2168"/>
      <c r="I1675" s="70"/>
    </row>
    <row r="1676" spans="3:9" s="46" customFormat="1" x14ac:dyDescent="0.2">
      <c r="C1676" s="144"/>
      <c r="D1676" s="144"/>
      <c r="E1676" s="144"/>
      <c r="F1676" s="373"/>
      <c r="H1676" s="2168"/>
      <c r="I1676" s="70"/>
    </row>
    <row r="1677" spans="3:9" s="46" customFormat="1" x14ac:dyDescent="0.2">
      <c r="C1677" s="144"/>
      <c r="D1677" s="144"/>
      <c r="E1677" s="144"/>
      <c r="F1677" s="373"/>
      <c r="H1677" s="2168"/>
      <c r="I1677" s="70"/>
    </row>
    <row r="1678" spans="3:9" s="46" customFormat="1" x14ac:dyDescent="0.2">
      <c r="C1678" s="144"/>
      <c r="D1678" s="144"/>
      <c r="E1678" s="144"/>
      <c r="F1678" s="373"/>
      <c r="H1678" s="2168"/>
      <c r="I1678" s="70"/>
    </row>
    <row r="1679" spans="3:9" s="46" customFormat="1" x14ac:dyDescent="0.2">
      <c r="C1679" s="144"/>
      <c r="D1679" s="144"/>
      <c r="E1679" s="144"/>
      <c r="F1679" s="373"/>
      <c r="H1679" s="2168"/>
      <c r="I1679" s="70"/>
    </row>
    <row r="1680" spans="3:9" s="46" customFormat="1" x14ac:dyDescent="0.2">
      <c r="C1680" s="144"/>
      <c r="D1680" s="144"/>
      <c r="E1680" s="144"/>
      <c r="F1680" s="373"/>
      <c r="H1680" s="2168"/>
      <c r="I1680" s="70"/>
    </row>
    <row r="1681" spans="3:9" s="46" customFormat="1" x14ac:dyDescent="0.2">
      <c r="C1681" s="144"/>
      <c r="D1681" s="144"/>
      <c r="E1681" s="144"/>
      <c r="F1681" s="373"/>
      <c r="H1681" s="2168"/>
      <c r="I1681" s="70"/>
    </row>
    <row r="1682" spans="3:9" s="46" customFormat="1" x14ac:dyDescent="0.2">
      <c r="C1682" s="144"/>
      <c r="D1682" s="144"/>
      <c r="E1682" s="144"/>
      <c r="F1682" s="373"/>
      <c r="H1682" s="2168"/>
      <c r="I1682" s="70"/>
    </row>
    <row r="1683" spans="3:9" s="46" customFormat="1" x14ac:dyDescent="0.2">
      <c r="C1683" s="144"/>
      <c r="D1683" s="144"/>
      <c r="E1683" s="144"/>
      <c r="F1683" s="373"/>
      <c r="H1683" s="2168"/>
      <c r="I1683" s="70"/>
    </row>
    <row r="1684" spans="3:9" s="46" customFormat="1" x14ac:dyDescent="0.2">
      <c r="C1684" s="144"/>
      <c r="D1684" s="144"/>
      <c r="E1684" s="144"/>
      <c r="F1684" s="373"/>
      <c r="H1684" s="2168"/>
      <c r="I1684" s="70"/>
    </row>
    <row r="1685" spans="3:9" s="46" customFormat="1" x14ac:dyDescent="0.2">
      <c r="C1685" s="144"/>
      <c r="D1685" s="144"/>
      <c r="E1685" s="144"/>
      <c r="F1685" s="373"/>
      <c r="H1685" s="2168"/>
      <c r="I1685" s="70"/>
    </row>
    <row r="1686" spans="3:9" s="46" customFormat="1" x14ac:dyDescent="0.2">
      <c r="C1686" s="144"/>
      <c r="D1686" s="144"/>
      <c r="E1686" s="144"/>
      <c r="F1686" s="373"/>
      <c r="H1686" s="2168"/>
      <c r="I1686" s="70"/>
    </row>
    <row r="1687" spans="3:9" s="46" customFormat="1" x14ac:dyDescent="0.2">
      <c r="C1687" s="144"/>
      <c r="D1687" s="144"/>
      <c r="E1687" s="144"/>
      <c r="F1687" s="373"/>
      <c r="H1687" s="2168"/>
      <c r="I1687" s="70"/>
    </row>
    <row r="1688" spans="3:9" s="46" customFormat="1" x14ac:dyDescent="0.2">
      <c r="C1688" s="144"/>
      <c r="D1688" s="144"/>
      <c r="E1688" s="144"/>
      <c r="F1688" s="373"/>
      <c r="H1688" s="2168"/>
      <c r="I1688" s="70"/>
    </row>
    <row r="1689" spans="3:9" s="46" customFormat="1" x14ac:dyDescent="0.2">
      <c r="C1689" s="144"/>
      <c r="D1689" s="144"/>
      <c r="E1689" s="144"/>
      <c r="F1689" s="373"/>
      <c r="H1689" s="2168"/>
      <c r="I1689" s="70"/>
    </row>
    <row r="1690" spans="3:9" s="46" customFormat="1" x14ac:dyDescent="0.2">
      <c r="C1690" s="144"/>
      <c r="D1690" s="144"/>
      <c r="E1690" s="144"/>
      <c r="F1690" s="373"/>
      <c r="H1690" s="2168"/>
      <c r="I1690" s="70"/>
    </row>
    <row r="1691" spans="3:9" s="46" customFormat="1" x14ac:dyDescent="0.2">
      <c r="C1691" s="144"/>
      <c r="D1691" s="144"/>
      <c r="E1691" s="144"/>
      <c r="F1691" s="373"/>
      <c r="H1691" s="2168"/>
      <c r="I1691" s="70"/>
    </row>
    <row r="1692" spans="3:9" s="46" customFormat="1" x14ac:dyDescent="0.2">
      <c r="C1692" s="144"/>
      <c r="D1692" s="144"/>
      <c r="E1692" s="144"/>
      <c r="F1692" s="373"/>
      <c r="H1692" s="2168"/>
      <c r="I1692" s="70"/>
    </row>
    <row r="1693" spans="3:9" s="46" customFormat="1" x14ac:dyDescent="0.2">
      <c r="C1693" s="144"/>
      <c r="D1693" s="144"/>
      <c r="E1693" s="144"/>
      <c r="F1693" s="373"/>
      <c r="H1693" s="2168"/>
      <c r="I1693" s="70"/>
    </row>
    <row r="1694" spans="3:9" s="46" customFormat="1" x14ac:dyDescent="0.2">
      <c r="C1694" s="144"/>
      <c r="D1694" s="144"/>
      <c r="E1694" s="144"/>
      <c r="F1694" s="373"/>
      <c r="H1694" s="2168"/>
      <c r="I1694" s="70"/>
    </row>
    <row r="1695" spans="3:9" s="46" customFormat="1" x14ac:dyDescent="0.2">
      <c r="C1695" s="144"/>
      <c r="D1695" s="144"/>
      <c r="E1695" s="144"/>
      <c r="F1695" s="373"/>
      <c r="H1695" s="2168"/>
      <c r="I1695" s="70"/>
    </row>
    <row r="1696" spans="3:9" s="46" customFormat="1" x14ac:dyDescent="0.2">
      <c r="C1696" s="144"/>
      <c r="D1696" s="144"/>
      <c r="E1696" s="144"/>
      <c r="F1696" s="373"/>
      <c r="H1696" s="2168"/>
      <c r="I1696" s="70"/>
    </row>
    <row r="1697" spans="3:9" s="46" customFormat="1" x14ac:dyDescent="0.2">
      <c r="C1697" s="144"/>
      <c r="D1697" s="144"/>
      <c r="E1697" s="144"/>
      <c r="F1697" s="373"/>
      <c r="H1697" s="2168"/>
      <c r="I1697" s="70"/>
    </row>
    <row r="1698" spans="3:9" s="46" customFormat="1" x14ac:dyDescent="0.2">
      <c r="C1698" s="144"/>
      <c r="D1698" s="144"/>
      <c r="E1698" s="144"/>
      <c r="F1698" s="373"/>
      <c r="H1698" s="2168"/>
      <c r="I1698" s="70"/>
    </row>
    <row r="1699" spans="3:9" s="46" customFormat="1" x14ac:dyDescent="0.2">
      <c r="C1699" s="144"/>
      <c r="D1699" s="144"/>
      <c r="E1699" s="144"/>
      <c r="F1699" s="373"/>
      <c r="H1699" s="2168"/>
      <c r="I1699" s="70"/>
    </row>
    <row r="1700" spans="3:9" s="46" customFormat="1" x14ac:dyDescent="0.2">
      <c r="C1700" s="144"/>
      <c r="D1700" s="144"/>
      <c r="E1700" s="144"/>
      <c r="F1700" s="373"/>
      <c r="H1700" s="2168"/>
      <c r="I1700" s="70"/>
    </row>
    <row r="1701" spans="3:9" s="46" customFormat="1" x14ac:dyDescent="0.2">
      <c r="C1701" s="144"/>
      <c r="D1701" s="144"/>
      <c r="E1701" s="144"/>
      <c r="F1701" s="373"/>
      <c r="H1701" s="2168"/>
      <c r="I1701" s="70"/>
    </row>
    <row r="1702" spans="3:9" s="46" customFormat="1" x14ac:dyDescent="0.2">
      <c r="C1702" s="144"/>
      <c r="D1702" s="144"/>
      <c r="E1702" s="144"/>
      <c r="F1702" s="373"/>
      <c r="H1702" s="2168"/>
      <c r="I1702" s="70"/>
    </row>
    <row r="1703" spans="3:9" s="46" customFormat="1" x14ac:dyDescent="0.2">
      <c r="C1703" s="144"/>
      <c r="D1703" s="144"/>
      <c r="E1703" s="144"/>
      <c r="F1703" s="373"/>
      <c r="H1703" s="2168"/>
      <c r="I1703" s="70"/>
    </row>
    <row r="1704" spans="3:9" s="46" customFormat="1" x14ac:dyDescent="0.2">
      <c r="C1704" s="144"/>
      <c r="D1704" s="144"/>
      <c r="E1704" s="144"/>
      <c r="F1704" s="373"/>
      <c r="H1704" s="2168"/>
      <c r="I1704" s="70"/>
    </row>
    <row r="1705" spans="3:9" s="46" customFormat="1" x14ac:dyDescent="0.2">
      <c r="C1705" s="144"/>
      <c r="D1705" s="144"/>
      <c r="E1705" s="144"/>
      <c r="F1705" s="373"/>
      <c r="H1705" s="2168"/>
      <c r="I1705" s="70"/>
    </row>
    <row r="1706" spans="3:9" s="46" customFormat="1" x14ac:dyDescent="0.2">
      <c r="C1706" s="144"/>
      <c r="D1706" s="144"/>
      <c r="E1706" s="144"/>
      <c r="F1706" s="373"/>
      <c r="H1706" s="2168"/>
      <c r="I1706" s="70"/>
    </row>
    <row r="1707" spans="3:9" s="46" customFormat="1" x14ac:dyDescent="0.2">
      <c r="C1707" s="144"/>
      <c r="D1707" s="144"/>
      <c r="E1707" s="144"/>
      <c r="F1707" s="373"/>
      <c r="H1707" s="2168"/>
      <c r="I1707" s="70"/>
    </row>
    <row r="1708" spans="3:9" s="46" customFormat="1" x14ac:dyDescent="0.2">
      <c r="C1708" s="144"/>
      <c r="D1708" s="144"/>
      <c r="E1708" s="144"/>
      <c r="F1708" s="373"/>
      <c r="H1708" s="2168"/>
      <c r="I1708" s="70"/>
    </row>
    <row r="1709" spans="3:9" s="46" customFormat="1" x14ac:dyDescent="0.2">
      <c r="C1709" s="144"/>
      <c r="D1709" s="144"/>
      <c r="E1709" s="144"/>
      <c r="F1709" s="373"/>
      <c r="H1709" s="2168"/>
      <c r="I1709" s="70"/>
    </row>
    <row r="1710" spans="3:9" s="46" customFormat="1" x14ac:dyDescent="0.2">
      <c r="C1710" s="144"/>
      <c r="D1710" s="144"/>
      <c r="E1710" s="144"/>
      <c r="F1710" s="373"/>
      <c r="H1710" s="2168"/>
      <c r="I1710" s="70"/>
    </row>
    <row r="1711" spans="3:9" s="46" customFormat="1" x14ac:dyDescent="0.2">
      <c r="C1711" s="144"/>
      <c r="D1711" s="144"/>
      <c r="E1711" s="144"/>
      <c r="F1711" s="373"/>
      <c r="H1711" s="2168"/>
      <c r="I1711" s="70"/>
    </row>
    <row r="1712" spans="3:9" s="46" customFormat="1" x14ac:dyDescent="0.2">
      <c r="C1712" s="144"/>
      <c r="D1712" s="144"/>
      <c r="E1712" s="144"/>
      <c r="F1712" s="373"/>
      <c r="H1712" s="2168"/>
      <c r="I1712" s="70"/>
    </row>
    <row r="1713" spans="3:9" s="46" customFormat="1" x14ac:dyDescent="0.2">
      <c r="C1713" s="144"/>
      <c r="D1713" s="144"/>
      <c r="E1713" s="144"/>
      <c r="F1713" s="373"/>
      <c r="H1713" s="2168"/>
      <c r="I1713" s="70"/>
    </row>
    <row r="1714" spans="3:9" s="46" customFormat="1" x14ac:dyDescent="0.2">
      <c r="C1714" s="144"/>
      <c r="D1714" s="144"/>
      <c r="E1714" s="144"/>
      <c r="F1714" s="373"/>
      <c r="H1714" s="2168"/>
      <c r="I1714" s="70"/>
    </row>
    <row r="1715" spans="3:9" s="46" customFormat="1" x14ac:dyDescent="0.2">
      <c r="C1715" s="144"/>
      <c r="D1715" s="144"/>
      <c r="E1715" s="144"/>
      <c r="F1715" s="373"/>
      <c r="H1715" s="2168"/>
      <c r="I1715" s="70"/>
    </row>
    <row r="1716" spans="3:9" s="46" customFormat="1" x14ac:dyDescent="0.2">
      <c r="C1716" s="144"/>
      <c r="D1716" s="144"/>
      <c r="E1716" s="144"/>
      <c r="F1716" s="373"/>
      <c r="H1716" s="2168"/>
      <c r="I1716" s="70"/>
    </row>
    <row r="1717" spans="3:9" s="46" customFormat="1" x14ac:dyDescent="0.2">
      <c r="C1717" s="144"/>
      <c r="D1717" s="144"/>
      <c r="E1717" s="144"/>
      <c r="F1717" s="373"/>
      <c r="H1717" s="2168"/>
      <c r="I1717" s="70"/>
    </row>
    <row r="1718" spans="3:9" s="46" customFormat="1" x14ac:dyDescent="0.2">
      <c r="C1718" s="144"/>
      <c r="D1718" s="144"/>
      <c r="E1718" s="144"/>
      <c r="F1718" s="373"/>
      <c r="H1718" s="2168"/>
      <c r="I1718" s="70"/>
    </row>
    <row r="1719" spans="3:9" s="46" customFormat="1" x14ac:dyDescent="0.2">
      <c r="C1719" s="144"/>
      <c r="D1719" s="144"/>
      <c r="E1719" s="144"/>
      <c r="F1719" s="373"/>
      <c r="H1719" s="2168"/>
      <c r="I1719" s="70"/>
    </row>
    <row r="1720" spans="3:9" s="46" customFormat="1" x14ac:dyDescent="0.2">
      <c r="C1720" s="144"/>
      <c r="D1720" s="144"/>
      <c r="E1720" s="144"/>
      <c r="F1720" s="373"/>
      <c r="H1720" s="2168"/>
      <c r="I1720" s="70"/>
    </row>
    <row r="1721" spans="3:9" s="46" customFormat="1" x14ac:dyDescent="0.2">
      <c r="C1721" s="144"/>
      <c r="D1721" s="144"/>
      <c r="E1721" s="144"/>
      <c r="F1721" s="373"/>
      <c r="H1721" s="2168"/>
      <c r="I1721" s="70"/>
    </row>
    <row r="1722" spans="3:9" s="46" customFormat="1" x14ac:dyDescent="0.2">
      <c r="C1722" s="144"/>
      <c r="D1722" s="144"/>
      <c r="E1722" s="144"/>
      <c r="F1722" s="373"/>
      <c r="H1722" s="2168"/>
      <c r="I1722" s="70"/>
    </row>
    <row r="1723" spans="3:9" s="46" customFormat="1" x14ac:dyDescent="0.2">
      <c r="C1723" s="144"/>
      <c r="D1723" s="144"/>
      <c r="E1723" s="144"/>
      <c r="F1723" s="373"/>
      <c r="H1723" s="2168"/>
      <c r="I1723" s="70"/>
    </row>
    <row r="1724" spans="3:9" s="46" customFormat="1" x14ac:dyDescent="0.2">
      <c r="C1724" s="144"/>
      <c r="D1724" s="144"/>
      <c r="E1724" s="144"/>
      <c r="F1724" s="373"/>
      <c r="H1724" s="2168"/>
      <c r="I1724" s="70"/>
    </row>
    <row r="1725" spans="3:9" s="46" customFormat="1" x14ac:dyDescent="0.2">
      <c r="C1725" s="144"/>
      <c r="D1725" s="144"/>
      <c r="E1725" s="144"/>
      <c r="F1725" s="373"/>
      <c r="H1725" s="2168"/>
      <c r="I1725" s="70"/>
    </row>
    <row r="1726" spans="3:9" s="46" customFormat="1" x14ac:dyDescent="0.2">
      <c r="C1726" s="144"/>
      <c r="D1726" s="144"/>
      <c r="E1726" s="144"/>
      <c r="F1726" s="373"/>
      <c r="H1726" s="2168"/>
      <c r="I1726" s="70"/>
    </row>
    <row r="1727" spans="3:9" s="46" customFormat="1" x14ac:dyDescent="0.2">
      <c r="C1727" s="144"/>
      <c r="D1727" s="144"/>
      <c r="E1727" s="144"/>
      <c r="F1727" s="373"/>
      <c r="H1727" s="2168"/>
      <c r="I1727" s="70"/>
    </row>
    <row r="1728" spans="3:9" s="46" customFormat="1" x14ac:dyDescent="0.2">
      <c r="C1728" s="144"/>
      <c r="D1728" s="144"/>
      <c r="E1728" s="144"/>
      <c r="F1728" s="373"/>
      <c r="H1728" s="2168"/>
      <c r="I1728" s="70"/>
    </row>
    <row r="1729" spans="3:9" s="46" customFormat="1" x14ac:dyDescent="0.2">
      <c r="C1729" s="144"/>
      <c r="D1729" s="144"/>
      <c r="E1729" s="144"/>
      <c r="F1729" s="373"/>
      <c r="H1729" s="2168"/>
      <c r="I1729" s="70"/>
    </row>
    <row r="1730" spans="3:9" s="46" customFormat="1" x14ac:dyDescent="0.2">
      <c r="C1730" s="144"/>
      <c r="D1730" s="144"/>
      <c r="E1730" s="144"/>
      <c r="F1730" s="373"/>
      <c r="H1730" s="2168"/>
      <c r="I1730" s="70"/>
    </row>
    <row r="1731" spans="3:9" s="46" customFormat="1" x14ac:dyDescent="0.2">
      <c r="C1731" s="144"/>
      <c r="D1731" s="144"/>
      <c r="E1731" s="144"/>
      <c r="F1731" s="373"/>
      <c r="H1731" s="2168"/>
      <c r="I1731" s="70"/>
    </row>
    <row r="1732" spans="3:9" s="46" customFormat="1" x14ac:dyDescent="0.2">
      <c r="C1732" s="144"/>
      <c r="D1732" s="144"/>
      <c r="E1732" s="144"/>
      <c r="F1732" s="373"/>
      <c r="H1732" s="2168"/>
      <c r="I1732" s="70"/>
    </row>
    <row r="1733" spans="3:9" s="46" customFormat="1" x14ac:dyDescent="0.2">
      <c r="C1733" s="144"/>
      <c r="D1733" s="144"/>
      <c r="E1733" s="144"/>
      <c r="F1733" s="373"/>
      <c r="H1733" s="2168"/>
      <c r="I1733" s="70"/>
    </row>
    <row r="1734" spans="3:9" s="46" customFormat="1" x14ac:dyDescent="0.2">
      <c r="C1734" s="144"/>
      <c r="D1734" s="144"/>
      <c r="E1734" s="144"/>
      <c r="F1734" s="373"/>
      <c r="H1734" s="2168"/>
      <c r="I1734" s="70"/>
    </row>
    <row r="1735" spans="3:9" s="46" customFormat="1" x14ac:dyDescent="0.2">
      <c r="C1735" s="144"/>
      <c r="D1735" s="144"/>
      <c r="E1735" s="144"/>
      <c r="F1735" s="373"/>
      <c r="H1735" s="2168"/>
      <c r="I1735" s="70"/>
    </row>
    <row r="1736" spans="3:9" s="46" customFormat="1" x14ac:dyDescent="0.2">
      <c r="C1736" s="144"/>
      <c r="D1736" s="144"/>
      <c r="E1736" s="144"/>
      <c r="F1736" s="373"/>
      <c r="H1736" s="2168"/>
      <c r="I1736" s="70"/>
    </row>
    <row r="1737" spans="3:9" s="46" customFormat="1" x14ac:dyDescent="0.2">
      <c r="C1737" s="144"/>
      <c r="D1737" s="144"/>
      <c r="E1737" s="144"/>
      <c r="F1737" s="373"/>
      <c r="H1737" s="2168"/>
      <c r="I1737" s="70"/>
    </row>
    <row r="1738" spans="3:9" s="46" customFormat="1" x14ac:dyDescent="0.2">
      <c r="C1738" s="144"/>
      <c r="D1738" s="144"/>
      <c r="E1738" s="144"/>
      <c r="F1738" s="373"/>
      <c r="H1738" s="2168"/>
      <c r="I1738" s="70"/>
    </row>
    <row r="1739" spans="3:9" s="46" customFormat="1" x14ac:dyDescent="0.2">
      <c r="C1739" s="144"/>
      <c r="D1739" s="144"/>
      <c r="E1739" s="144"/>
      <c r="F1739" s="373"/>
      <c r="H1739" s="2168"/>
      <c r="I1739" s="70"/>
    </row>
    <row r="1740" spans="3:9" s="46" customFormat="1" x14ac:dyDescent="0.2">
      <c r="C1740" s="144"/>
      <c r="D1740" s="144"/>
      <c r="E1740" s="144"/>
      <c r="F1740" s="373"/>
      <c r="H1740" s="2168"/>
      <c r="I1740" s="70"/>
    </row>
    <row r="1741" spans="3:9" s="46" customFormat="1" x14ac:dyDescent="0.2">
      <c r="C1741" s="144"/>
      <c r="D1741" s="144"/>
      <c r="E1741" s="144"/>
      <c r="F1741" s="373"/>
      <c r="H1741" s="2168"/>
      <c r="I1741" s="70"/>
    </row>
    <row r="1742" spans="3:9" s="46" customFormat="1" x14ac:dyDescent="0.2">
      <c r="C1742" s="144"/>
      <c r="D1742" s="144"/>
      <c r="E1742" s="144"/>
      <c r="F1742" s="373"/>
      <c r="H1742" s="2168"/>
      <c r="I1742" s="70"/>
    </row>
    <row r="1743" spans="3:9" s="46" customFormat="1" x14ac:dyDescent="0.2">
      <c r="C1743" s="144"/>
      <c r="D1743" s="144"/>
      <c r="E1743" s="144"/>
      <c r="F1743" s="373"/>
      <c r="H1743" s="2168"/>
      <c r="I1743" s="70"/>
    </row>
    <row r="1744" spans="3:9" s="46" customFormat="1" x14ac:dyDescent="0.2">
      <c r="C1744" s="144"/>
      <c r="D1744" s="144"/>
      <c r="E1744" s="144"/>
      <c r="F1744" s="373"/>
      <c r="H1744" s="2168"/>
      <c r="I1744" s="70"/>
    </row>
    <row r="1745" spans="3:9" s="46" customFormat="1" x14ac:dyDescent="0.2">
      <c r="C1745" s="144"/>
      <c r="D1745" s="144"/>
      <c r="E1745" s="144"/>
      <c r="F1745" s="373"/>
      <c r="H1745" s="2168"/>
      <c r="I1745" s="70"/>
    </row>
    <row r="1746" spans="3:9" s="46" customFormat="1" x14ac:dyDescent="0.2">
      <c r="C1746" s="144"/>
      <c r="D1746" s="144"/>
      <c r="E1746" s="144"/>
      <c r="F1746" s="373"/>
      <c r="H1746" s="2168"/>
      <c r="I1746" s="70"/>
    </row>
    <row r="1747" spans="3:9" s="46" customFormat="1" x14ac:dyDescent="0.2">
      <c r="C1747" s="144"/>
      <c r="D1747" s="144"/>
      <c r="E1747" s="144"/>
      <c r="F1747" s="373"/>
      <c r="H1747" s="2168"/>
      <c r="I1747" s="70"/>
    </row>
    <row r="1748" spans="3:9" s="46" customFormat="1" x14ac:dyDescent="0.2">
      <c r="C1748" s="144"/>
      <c r="D1748" s="144"/>
      <c r="E1748" s="144"/>
      <c r="F1748" s="373"/>
      <c r="H1748" s="2168"/>
      <c r="I1748" s="70"/>
    </row>
    <row r="1749" spans="3:9" s="46" customFormat="1" x14ac:dyDescent="0.2">
      <c r="C1749" s="144"/>
      <c r="D1749" s="144"/>
      <c r="E1749" s="144"/>
      <c r="F1749" s="373"/>
      <c r="H1749" s="2168"/>
      <c r="I1749" s="70"/>
    </row>
    <row r="1750" spans="3:9" s="46" customFormat="1" x14ac:dyDescent="0.2">
      <c r="C1750" s="144"/>
      <c r="D1750" s="144"/>
      <c r="E1750" s="144"/>
      <c r="F1750" s="373"/>
      <c r="H1750" s="2168"/>
      <c r="I1750" s="70"/>
    </row>
    <row r="1751" spans="3:9" s="46" customFormat="1" x14ac:dyDescent="0.2">
      <c r="C1751" s="144"/>
      <c r="D1751" s="144"/>
      <c r="E1751" s="144"/>
      <c r="F1751" s="373"/>
      <c r="H1751" s="2168"/>
      <c r="I1751" s="70"/>
    </row>
    <row r="1752" spans="3:9" s="46" customFormat="1" x14ac:dyDescent="0.2">
      <c r="C1752" s="144"/>
      <c r="D1752" s="144"/>
      <c r="E1752" s="144"/>
      <c r="F1752" s="373"/>
      <c r="H1752" s="2168"/>
      <c r="I1752" s="70"/>
    </row>
    <row r="1753" spans="3:9" s="46" customFormat="1" x14ac:dyDescent="0.2">
      <c r="C1753" s="144"/>
      <c r="D1753" s="144"/>
      <c r="E1753" s="144"/>
      <c r="F1753" s="373"/>
      <c r="H1753" s="2168"/>
      <c r="I1753" s="70"/>
    </row>
    <row r="1754" spans="3:9" s="46" customFormat="1" x14ac:dyDescent="0.2">
      <c r="C1754" s="144"/>
      <c r="D1754" s="144"/>
      <c r="E1754" s="144"/>
      <c r="F1754" s="373"/>
      <c r="H1754" s="2168"/>
      <c r="I1754" s="70"/>
    </row>
    <row r="1755" spans="3:9" s="46" customFormat="1" x14ac:dyDescent="0.2">
      <c r="C1755" s="144"/>
      <c r="D1755" s="144"/>
      <c r="E1755" s="144"/>
      <c r="F1755" s="373"/>
      <c r="H1755" s="2168"/>
      <c r="I1755" s="70"/>
    </row>
    <row r="1756" spans="3:9" s="46" customFormat="1" x14ac:dyDescent="0.2">
      <c r="C1756" s="144"/>
      <c r="D1756" s="144"/>
      <c r="E1756" s="144"/>
      <c r="F1756" s="373"/>
      <c r="H1756" s="2168"/>
      <c r="I1756" s="70"/>
    </row>
    <row r="1757" spans="3:9" s="46" customFormat="1" x14ac:dyDescent="0.2">
      <c r="C1757" s="144"/>
      <c r="D1757" s="144"/>
      <c r="E1757" s="144"/>
      <c r="F1757" s="373"/>
      <c r="H1757" s="2168"/>
      <c r="I1757" s="70"/>
    </row>
    <row r="1758" spans="3:9" s="46" customFormat="1" x14ac:dyDescent="0.2">
      <c r="C1758" s="144"/>
      <c r="D1758" s="144"/>
      <c r="E1758" s="144"/>
      <c r="F1758" s="373"/>
      <c r="H1758" s="2168"/>
      <c r="I1758" s="70"/>
    </row>
    <row r="1759" spans="3:9" s="46" customFormat="1" x14ac:dyDescent="0.2">
      <c r="C1759" s="144"/>
      <c r="D1759" s="144"/>
      <c r="E1759" s="144"/>
      <c r="F1759" s="373"/>
      <c r="H1759" s="2168"/>
      <c r="I1759" s="70"/>
    </row>
    <row r="1760" spans="3:9" s="46" customFormat="1" x14ac:dyDescent="0.2">
      <c r="C1760" s="144"/>
      <c r="D1760" s="144"/>
      <c r="E1760" s="144"/>
      <c r="F1760" s="373"/>
      <c r="H1760" s="2168"/>
      <c r="I1760" s="70"/>
    </row>
    <row r="1761" spans="3:9" s="46" customFormat="1" x14ac:dyDescent="0.2">
      <c r="C1761" s="144"/>
      <c r="D1761" s="144"/>
      <c r="E1761" s="144"/>
      <c r="F1761" s="373"/>
      <c r="H1761" s="2168"/>
      <c r="I1761" s="70"/>
    </row>
    <row r="1762" spans="3:9" s="46" customFormat="1" x14ac:dyDescent="0.2">
      <c r="C1762" s="144"/>
      <c r="D1762" s="144"/>
      <c r="E1762" s="144"/>
      <c r="F1762" s="373"/>
      <c r="H1762" s="2168"/>
      <c r="I1762" s="70"/>
    </row>
    <row r="1763" spans="3:9" s="46" customFormat="1" x14ac:dyDescent="0.2">
      <c r="C1763" s="144"/>
      <c r="D1763" s="144"/>
      <c r="E1763" s="144"/>
      <c r="F1763" s="373"/>
      <c r="H1763" s="2168"/>
      <c r="I1763" s="70"/>
    </row>
    <row r="1764" spans="3:9" s="46" customFormat="1" x14ac:dyDescent="0.2">
      <c r="C1764" s="144"/>
      <c r="D1764" s="144"/>
      <c r="E1764" s="144"/>
      <c r="F1764" s="373"/>
      <c r="H1764" s="2168"/>
      <c r="I1764" s="70"/>
    </row>
    <row r="1765" spans="3:9" s="46" customFormat="1" x14ac:dyDescent="0.2">
      <c r="C1765" s="144"/>
      <c r="D1765" s="144"/>
      <c r="E1765" s="144"/>
      <c r="F1765" s="373"/>
      <c r="H1765" s="2168"/>
      <c r="I1765" s="70"/>
    </row>
    <row r="1766" spans="3:9" s="46" customFormat="1" x14ac:dyDescent="0.2">
      <c r="C1766" s="144"/>
      <c r="D1766" s="144"/>
      <c r="E1766" s="144"/>
      <c r="F1766" s="373"/>
      <c r="H1766" s="2168"/>
      <c r="I1766" s="70"/>
    </row>
    <row r="1767" spans="3:9" s="46" customFormat="1" x14ac:dyDescent="0.2">
      <c r="C1767" s="144"/>
      <c r="D1767" s="144"/>
      <c r="E1767" s="144"/>
      <c r="F1767" s="373"/>
      <c r="H1767" s="2168"/>
      <c r="I1767" s="70"/>
    </row>
    <row r="1768" spans="3:9" s="46" customFormat="1" x14ac:dyDescent="0.2">
      <c r="C1768" s="144"/>
      <c r="D1768" s="144"/>
      <c r="E1768" s="144"/>
      <c r="F1768" s="373"/>
      <c r="H1768" s="2168"/>
      <c r="I1768" s="70"/>
    </row>
    <row r="1769" spans="3:9" s="46" customFormat="1" x14ac:dyDescent="0.2">
      <c r="C1769" s="144"/>
      <c r="D1769" s="144"/>
      <c r="E1769" s="144"/>
      <c r="F1769" s="373"/>
      <c r="H1769" s="2168"/>
      <c r="I1769" s="70"/>
    </row>
    <row r="1770" spans="3:9" s="46" customFormat="1" x14ac:dyDescent="0.2">
      <c r="C1770" s="144"/>
      <c r="D1770" s="144"/>
      <c r="E1770" s="144"/>
      <c r="F1770" s="373"/>
      <c r="H1770" s="2168"/>
      <c r="I1770" s="70"/>
    </row>
    <row r="1771" spans="3:9" s="46" customFormat="1" x14ac:dyDescent="0.2">
      <c r="C1771" s="144"/>
      <c r="D1771" s="144"/>
      <c r="E1771" s="144"/>
      <c r="F1771" s="373"/>
      <c r="H1771" s="2168"/>
      <c r="I1771" s="70"/>
    </row>
    <row r="1772" spans="3:9" s="46" customFormat="1" x14ac:dyDescent="0.2">
      <c r="C1772" s="144"/>
      <c r="D1772" s="144"/>
      <c r="E1772" s="144"/>
      <c r="F1772" s="373"/>
      <c r="H1772" s="2168"/>
      <c r="I1772" s="70"/>
    </row>
    <row r="1773" spans="3:9" s="46" customFormat="1" x14ac:dyDescent="0.2">
      <c r="C1773" s="144"/>
      <c r="D1773" s="144"/>
      <c r="E1773" s="144"/>
      <c r="F1773" s="373"/>
      <c r="H1773" s="2168"/>
      <c r="I1773" s="70"/>
    </row>
    <row r="1774" spans="3:9" s="46" customFormat="1" x14ac:dyDescent="0.2">
      <c r="C1774" s="144"/>
      <c r="D1774" s="144"/>
      <c r="E1774" s="144"/>
      <c r="F1774" s="373"/>
      <c r="H1774" s="2168"/>
      <c r="I1774" s="70"/>
    </row>
    <row r="1775" spans="3:9" s="46" customFormat="1" x14ac:dyDescent="0.2">
      <c r="C1775" s="144"/>
      <c r="D1775" s="144"/>
      <c r="E1775" s="144"/>
      <c r="F1775" s="373"/>
      <c r="H1775" s="2168"/>
      <c r="I1775" s="70"/>
    </row>
    <row r="1776" spans="3:9" s="46" customFormat="1" x14ac:dyDescent="0.2">
      <c r="C1776" s="144"/>
      <c r="D1776" s="144"/>
      <c r="E1776" s="144"/>
      <c r="F1776" s="373"/>
      <c r="H1776" s="2168"/>
      <c r="I1776" s="70"/>
    </row>
    <row r="1777" spans="3:9" s="46" customFormat="1" x14ac:dyDescent="0.2">
      <c r="C1777" s="144"/>
      <c r="D1777" s="144"/>
      <c r="E1777" s="144"/>
      <c r="F1777" s="373"/>
      <c r="H1777" s="2168"/>
      <c r="I1777" s="70"/>
    </row>
    <row r="1778" spans="3:9" s="46" customFormat="1" x14ac:dyDescent="0.2">
      <c r="C1778" s="144"/>
      <c r="D1778" s="144"/>
      <c r="E1778" s="144"/>
      <c r="F1778" s="373"/>
      <c r="H1778" s="2168"/>
      <c r="I1778" s="70"/>
    </row>
    <row r="1779" spans="3:9" s="46" customFormat="1" x14ac:dyDescent="0.2">
      <c r="C1779" s="144"/>
      <c r="D1779" s="144"/>
      <c r="E1779" s="144"/>
      <c r="F1779" s="373"/>
      <c r="H1779" s="2168"/>
      <c r="I1779" s="70"/>
    </row>
    <row r="1780" spans="3:9" s="46" customFormat="1" x14ac:dyDescent="0.2">
      <c r="C1780" s="144"/>
      <c r="D1780" s="144"/>
      <c r="E1780" s="144"/>
      <c r="F1780" s="373"/>
      <c r="H1780" s="2168"/>
      <c r="I1780" s="70"/>
    </row>
    <row r="1781" spans="3:9" s="46" customFormat="1" x14ac:dyDescent="0.2">
      <c r="C1781" s="144"/>
      <c r="D1781" s="144"/>
      <c r="E1781" s="144"/>
      <c r="F1781" s="373"/>
      <c r="H1781" s="2168"/>
      <c r="I1781" s="70"/>
    </row>
    <row r="1782" spans="3:9" s="46" customFormat="1" x14ac:dyDescent="0.2">
      <c r="C1782" s="144"/>
      <c r="D1782" s="144"/>
      <c r="E1782" s="144"/>
      <c r="F1782" s="373"/>
      <c r="H1782" s="2168"/>
      <c r="I1782" s="70"/>
    </row>
    <row r="1783" spans="3:9" s="46" customFormat="1" x14ac:dyDescent="0.2">
      <c r="C1783" s="144"/>
      <c r="D1783" s="144"/>
      <c r="E1783" s="144"/>
      <c r="F1783" s="373"/>
      <c r="H1783" s="2168"/>
      <c r="I1783" s="70"/>
    </row>
    <row r="1784" spans="3:9" s="46" customFormat="1" x14ac:dyDescent="0.2">
      <c r="C1784" s="144"/>
      <c r="D1784" s="144"/>
      <c r="E1784" s="144"/>
      <c r="F1784" s="373"/>
      <c r="H1784" s="2168"/>
      <c r="I1784" s="70"/>
    </row>
    <row r="1785" spans="3:9" s="46" customFormat="1" x14ac:dyDescent="0.2">
      <c r="C1785" s="144"/>
      <c r="D1785" s="144"/>
      <c r="E1785" s="144"/>
      <c r="F1785" s="373"/>
      <c r="H1785" s="2168"/>
      <c r="I1785" s="70"/>
    </row>
    <row r="1786" spans="3:9" s="46" customFormat="1" x14ac:dyDescent="0.2">
      <c r="C1786" s="144"/>
      <c r="D1786" s="144"/>
      <c r="E1786" s="144"/>
      <c r="F1786" s="373"/>
      <c r="H1786" s="2168"/>
      <c r="I1786" s="70"/>
    </row>
    <row r="1787" spans="3:9" s="46" customFormat="1" x14ac:dyDescent="0.2">
      <c r="C1787" s="144"/>
      <c r="D1787" s="144"/>
      <c r="E1787" s="144"/>
      <c r="F1787" s="373"/>
      <c r="H1787" s="2168"/>
      <c r="I1787" s="70"/>
    </row>
    <row r="1788" spans="3:9" s="46" customFormat="1" x14ac:dyDescent="0.2">
      <c r="C1788" s="144"/>
      <c r="D1788" s="144"/>
      <c r="E1788" s="144"/>
      <c r="F1788" s="373"/>
      <c r="H1788" s="2168"/>
      <c r="I1788" s="70"/>
    </row>
    <row r="1789" spans="3:9" s="46" customFormat="1" x14ac:dyDescent="0.2">
      <c r="C1789" s="144"/>
      <c r="D1789" s="144"/>
      <c r="E1789" s="144"/>
      <c r="F1789" s="373"/>
      <c r="H1789" s="2168"/>
      <c r="I1789" s="70"/>
    </row>
    <row r="1790" spans="3:9" s="46" customFormat="1" x14ac:dyDescent="0.2">
      <c r="C1790" s="144"/>
      <c r="D1790" s="144"/>
      <c r="E1790" s="144"/>
      <c r="F1790" s="373"/>
      <c r="H1790" s="2168"/>
      <c r="I1790" s="70"/>
    </row>
    <row r="1791" spans="3:9" s="46" customFormat="1" x14ac:dyDescent="0.2">
      <c r="C1791" s="144"/>
      <c r="D1791" s="144"/>
      <c r="E1791" s="144"/>
      <c r="F1791" s="373"/>
      <c r="H1791" s="2168"/>
      <c r="I1791" s="70"/>
    </row>
    <row r="1792" spans="3:9" s="46" customFormat="1" x14ac:dyDescent="0.2">
      <c r="C1792" s="144"/>
      <c r="D1792" s="144"/>
      <c r="E1792" s="144"/>
      <c r="F1792" s="373"/>
      <c r="H1792" s="2168"/>
      <c r="I1792" s="70"/>
    </row>
    <row r="1793" spans="3:9" s="46" customFormat="1" x14ac:dyDescent="0.2">
      <c r="C1793" s="144"/>
      <c r="D1793" s="144"/>
      <c r="E1793" s="144"/>
      <c r="F1793" s="373"/>
      <c r="H1793" s="2168"/>
      <c r="I1793" s="70"/>
    </row>
    <row r="1794" spans="3:9" s="46" customFormat="1" x14ac:dyDescent="0.2">
      <c r="C1794" s="144"/>
      <c r="D1794" s="144"/>
      <c r="E1794" s="144"/>
      <c r="F1794" s="373"/>
      <c r="H1794" s="2168"/>
      <c r="I1794" s="70"/>
    </row>
    <row r="1795" spans="3:9" s="46" customFormat="1" x14ac:dyDescent="0.2">
      <c r="C1795" s="144"/>
      <c r="D1795" s="144"/>
      <c r="E1795" s="144"/>
      <c r="F1795" s="373"/>
      <c r="H1795" s="2168"/>
      <c r="I1795" s="70"/>
    </row>
    <row r="1796" spans="3:9" s="46" customFormat="1" x14ac:dyDescent="0.2">
      <c r="C1796" s="144"/>
      <c r="D1796" s="144"/>
      <c r="E1796" s="144"/>
      <c r="F1796" s="373"/>
      <c r="H1796" s="2168"/>
      <c r="I1796" s="70"/>
    </row>
    <row r="1797" spans="3:9" s="46" customFormat="1" x14ac:dyDescent="0.2">
      <c r="C1797" s="144"/>
      <c r="D1797" s="144"/>
      <c r="E1797" s="144"/>
      <c r="F1797" s="373"/>
      <c r="H1797" s="2168"/>
      <c r="I1797" s="70"/>
    </row>
    <row r="1798" spans="3:9" s="46" customFormat="1" x14ac:dyDescent="0.2">
      <c r="C1798" s="144"/>
      <c r="D1798" s="144"/>
      <c r="E1798" s="144"/>
      <c r="F1798" s="373"/>
      <c r="H1798" s="2168"/>
      <c r="I1798" s="70"/>
    </row>
    <row r="1799" spans="3:9" s="46" customFormat="1" x14ac:dyDescent="0.2">
      <c r="C1799" s="144"/>
      <c r="D1799" s="144"/>
      <c r="E1799" s="144"/>
      <c r="F1799" s="373"/>
      <c r="H1799" s="2168"/>
      <c r="I1799" s="70"/>
    </row>
    <row r="1800" spans="3:9" s="46" customFormat="1" x14ac:dyDescent="0.2">
      <c r="C1800" s="144"/>
      <c r="D1800" s="144"/>
      <c r="E1800" s="144"/>
      <c r="F1800" s="373"/>
      <c r="H1800" s="2168"/>
      <c r="I1800" s="70"/>
    </row>
    <row r="1801" spans="3:9" s="46" customFormat="1" x14ac:dyDescent="0.2">
      <c r="C1801" s="144"/>
      <c r="D1801" s="144"/>
      <c r="E1801" s="144"/>
      <c r="F1801" s="373"/>
      <c r="H1801" s="2168"/>
      <c r="I1801" s="70"/>
    </row>
    <row r="1802" spans="3:9" s="46" customFormat="1" x14ac:dyDescent="0.2">
      <c r="C1802" s="144"/>
      <c r="D1802" s="144"/>
      <c r="E1802" s="144"/>
      <c r="F1802" s="373"/>
      <c r="H1802" s="2168"/>
      <c r="I1802" s="70"/>
    </row>
    <row r="1803" spans="3:9" s="46" customFormat="1" x14ac:dyDescent="0.2">
      <c r="C1803" s="144"/>
      <c r="D1803" s="144"/>
      <c r="E1803" s="144"/>
      <c r="F1803" s="373"/>
      <c r="H1803" s="2168"/>
      <c r="I1803" s="70"/>
    </row>
    <row r="1804" spans="3:9" s="46" customFormat="1" x14ac:dyDescent="0.2">
      <c r="C1804" s="144"/>
      <c r="D1804" s="144"/>
      <c r="E1804" s="144"/>
      <c r="F1804" s="373"/>
      <c r="H1804" s="2168"/>
      <c r="I1804" s="70"/>
    </row>
    <row r="1805" spans="3:9" s="46" customFormat="1" x14ac:dyDescent="0.2">
      <c r="C1805" s="144"/>
      <c r="D1805" s="144"/>
      <c r="E1805" s="144"/>
      <c r="F1805" s="373"/>
      <c r="H1805" s="2168"/>
      <c r="I1805" s="70"/>
    </row>
    <row r="1806" spans="3:9" s="46" customFormat="1" x14ac:dyDescent="0.2">
      <c r="C1806" s="144"/>
      <c r="D1806" s="144"/>
      <c r="E1806" s="144"/>
      <c r="F1806" s="373"/>
      <c r="H1806" s="2168"/>
      <c r="I1806" s="70"/>
    </row>
    <row r="1807" spans="3:9" s="46" customFormat="1" x14ac:dyDescent="0.2">
      <c r="C1807" s="144"/>
      <c r="D1807" s="144"/>
      <c r="E1807" s="144"/>
      <c r="F1807" s="373"/>
      <c r="H1807" s="2168"/>
      <c r="I1807" s="70"/>
    </row>
    <row r="1808" spans="3:9" s="46" customFormat="1" x14ac:dyDescent="0.2">
      <c r="C1808" s="144"/>
      <c r="D1808" s="144"/>
      <c r="E1808" s="144"/>
      <c r="F1808" s="373"/>
      <c r="H1808" s="2168"/>
      <c r="I1808" s="70"/>
    </row>
    <row r="1809" spans="3:9" s="46" customFormat="1" x14ac:dyDescent="0.2">
      <c r="C1809" s="144"/>
      <c r="D1809" s="144"/>
      <c r="E1809" s="144"/>
      <c r="F1809" s="373"/>
      <c r="H1809" s="2168"/>
      <c r="I1809" s="70"/>
    </row>
    <row r="1810" spans="3:9" s="46" customFormat="1" x14ac:dyDescent="0.2">
      <c r="C1810" s="144"/>
      <c r="D1810" s="144"/>
      <c r="E1810" s="144"/>
      <c r="F1810" s="373"/>
      <c r="H1810" s="2168"/>
      <c r="I1810" s="70"/>
    </row>
    <row r="1811" spans="3:9" s="46" customFormat="1" x14ac:dyDescent="0.2">
      <c r="C1811" s="144"/>
      <c r="D1811" s="144"/>
      <c r="E1811" s="144"/>
      <c r="F1811" s="373"/>
      <c r="H1811" s="2168"/>
      <c r="I1811" s="70"/>
    </row>
    <row r="1812" spans="3:9" s="46" customFormat="1" x14ac:dyDescent="0.2">
      <c r="C1812" s="144"/>
      <c r="D1812" s="144"/>
      <c r="E1812" s="144"/>
      <c r="F1812" s="373"/>
      <c r="H1812" s="2168"/>
      <c r="I1812" s="70"/>
    </row>
    <row r="1813" spans="3:9" s="46" customFormat="1" x14ac:dyDescent="0.2">
      <c r="C1813" s="144"/>
      <c r="D1813" s="144"/>
      <c r="E1813" s="144"/>
      <c r="F1813" s="373"/>
      <c r="H1813" s="2168"/>
      <c r="I1813" s="70"/>
    </row>
    <row r="1814" spans="3:9" s="46" customFormat="1" x14ac:dyDescent="0.2">
      <c r="C1814" s="144"/>
      <c r="D1814" s="144"/>
      <c r="E1814" s="144"/>
      <c r="F1814" s="373"/>
      <c r="H1814" s="2168"/>
      <c r="I1814" s="70"/>
    </row>
    <row r="1815" spans="3:9" s="46" customFormat="1" x14ac:dyDescent="0.2">
      <c r="C1815" s="144"/>
      <c r="D1815" s="144"/>
      <c r="E1815" s="144"/>
      <c r="F1815" s="373"/>
      <c r="H1815" s="2168"/>
      <c r="I1815" s="70"/>
    </row>
    <row r="1816" spans="3:9" s="46" customFormat="1" x14ac:dyDescent="0.2">
      <c r="C1816" s="144"/>
      <c r="D1816" s="144"/>
      <c r="E1816" s="144"/>
      <c r="F1816" s="373"/>
      <c r="H1816" s="2168"/>
      <c r="I1816" s="70"/>
    </row>
    <row r="1817" spans="3:9" s="46" customFormat="1" x14ac:dyDescent="0.2">
      <c r="C1817" s="144"/>
      <c r="D1817" s="144"/>
      <c r="E1817" s="144"/>
      <c r="F1817" s="373"/>
      <c r="H1817" s="2168"/>
      <c r="I1817" s="70"/>
    </row>
    <row r="1818" spans="3:9" s="46" customFormat="1" x14ac:dyDescent="0.2">
      <c r="C1818" s="144"/>
      <c r="D1818" s="144"/>
      <c r="E1818" s="144"/>
      <c r="F1818" s="373"/>
      <c r="H1818" s="2168"/>
      <c r="I1818" s="70"/>
    </row>
    <row r="1819" spans="3:9" s="46" customFormat="1" x14ac:dyDescent="0.2">
      <c r="C1819" s="144"/>
      <c r="D1819" s="144"/>
      <c r="E1819" s="144"/>
      <c r="F1819" s="373"/>
      <c r="H1819" s="2168"/>
      <c r="I1819" s="70"/>
    </row>
    <row r="1820" spans="3:9" s="46" customFormat="1" x14ac:dyDescent="0.2">
      <c r="C1820" s="144"/>
      <c r="D1820" s="144"/>
      <c r="E1820" s="144"/>
      <c r="F1820" s="373"/>
      <c r="H1820" s="2168"/>
      <c r="I1820" s="70"/>
    </row>
    <row r="1821" spans="3:9" s="46" customFormat="1" x14ac:dyDescent="0.2">
      <c r="C1821" s="144"/>
      <c r="D1821" s="144"/>
      <c r="E1821" s="144"/>
      <c r="F1821" s="373"/>
      <c r="H1821" s="2168"/>
      <c r="I1821" s="70"/>
    </row>
    <row r="1822" spans="3:9" s="46" customFormat="1" x14ac:dyDescent="0.2">
      <c r="C1822" s="144"/>
      <c r="D1822" s="144"/>
      <c r="E1822" s="144"/>
      <c r="F1822" s="373"/>
      <c r="H1822" s="2168"/>
      <c r="I1822" s="70"/>
    </row>
    <row r="1823" spans="3:9" s="46" customFormat="1" x14ac:dyDescent="0.2">
      <c r="C1823" s="144"/>
      <c r="D1823" s="144"/>
      <c r="E1823" s="144"/>
      <c r="F1823" s="373"/>
      <c r="H1823" s="2168"/>
      <c r="I1823" s="70"/>
    </row>
    <row r="1824" spans="3:9" s="46" customFormat="1" x14ac:dyDescent="0.2">
      <c r="C1824" s="144"/>
      <c r="D1824" s="144"/>
      <c r="E1824" s="144"/>
      <c r="F1824" s="373"/>
      <c r="H1824" s="2168"/>
      <c r="I1824" s="70"/>
    </row>
    <row r="1825" spans="3:9" s="46" customFormat="1" x14ac:dyDescent="0.2">
      <c r="C1825" s="144"/>
      <c r="D1825" s="144"/>
      <c r="E1825" s="144"/>
      <c r="F1825" s="373"/>
      <c r="H1825" s="2168"/>
      <c r="I1825" s="70"/>
    </row>
    <row r="1826" spans="3:9" s="46" customFormat="1" x14ac:dyDescent="0.2">
      <c r="C1826" s="144"/>
      <c r="D1826" s="144"/>
      <c r="E1826" s="144"/>
      <c r="F1826" s="373"/>
      <c r="H1826" s="2168"/>
      <c r="I1826" s="70"/>
    </row>
    <row r="1827" spans="3:9" s="46" customFormat="1" x14ac:dyDescent="0.2">
      <c r="C1827" s="144"/>
      <c r="D1827" s="144"/>
      <c r="E1827" s="144"/>
      <c r="F1827" s="373"/>
      <c r="H1827" s="2168"/>
      <c r="I1827" s="70"/>
    </row>
    <row r="1828" spans="3:9" s="46" customFormat="1" x14ac:dyDescent="0.2">
      <c r="C1828" s="144"/>
      <c r="D1828" s="144"/>
      <c r="E1828" s="144"/>
      <c r="F1828" s="373"/>
      <c r="H1828" s="2168"/>
      <c r="I1828" s="70"/>
    </row>
    <row r="1829" spans="3:9" s="46" customFormat="1" x14ac:dyDescent="0.2">
      <c r="C1829" s="144"/>
      <c r="D1829" s="144"/>
      <c r="E1829" s="144"/>
      <c r="F1829" s="373"/>
      <c r="H1829" s="2168"/>
      <c r="I1829" s="70"/>
    </row>
    <row r="1830" spans="3:9" s="46" customFormat="1" x14ac:dyDescent="0.2">
      <c r="C1830" s="144"/>
      <c r="D1830" s="144"/>
      <c r="E1830" s="144"/>
      <c r="F1830" s="373"/>
      <c r="H1830" s="2168"/>
      <c r="I1830" s="70"/>
    </row>
    <row r="1831" spans="3:9" s="46" customFormat="1" x14ac:dyDescent="0.2">
      <c r="C1831" s="144"/>
      <c r="D1831" s="144"/>
      <c r="E1831" s="144"/>
      <c r="F1831" s="373"/>
      <c r="H1831" s="2168"/>
      <c r="I1831" s="70"/>
    </row>
    <row r="1832" spans="3:9" s="46" customFormat="1" x14ac:dyDescent="0.2">
      <c r="C1832" s="144"/>
      <c r="D1832" s="144"/>
      <c r="E1832" s="144"/>
      <c r="F1832" s="373"/>
      <c r="H1832" s="2168"/>
      <c r="I1832" s="70"/>
    </row>
    <row r="1833" spans="3:9" s="46" customFormat="1" x14ac:dyDescent="0.2">
      <c r="C1833" s="144"/>
      <c r="D1833" s="144"/>
      <c r="E1833" s="144"/>
      <c r="F1833" s="373"/>
      <c r="H1833" s="2168"/>
      <c r="I1833" s="70"/>
    </row>
    <row r="1834" spans="3:9" s="46" customFormat="1" x14ac:dyDescent="0.2">
      <c r="C1834" s="144"/>
      <c r="D1834" s="144"/>
      <c r="E1834" s="144"/>
      <c r="F1834" s="373"/>
      <c r="H1834" s="2168"/>
      <c r="I1834" s="70"/>
    </row>
    <row r="1835" spans="3:9" s="46" customFormat="1" x14ac:dyDescent="0.2">
      <c r="C1835" s="144"/>
      <c r="D1835" s="144"/>
      <c r="E1835" s="144"/>
      <c r="F1835" s="373"/>
      <c r="H1835" s="2168"/>
      <c r="I1835" s="70"/>
    </row>
    <row r="1836" spans="3:9" s="46" customFormat="1" x14ac:dyDescent="0.2">
      <c r="C1836" s="144"/>
      <c r="D1836" s="144"/>
      <c r="E1836" s="144"/>
      <c r="F1836" s="373"/>
      <c r="H1836" s="2168"/>
      <c r="I1836" s="70"/>
    </row>
    <row r="1837" spans="3:9" s="46" customFormat="1" x14ac:dyDescent="0.2">
      <c r="C1837" s="144"/>
      <c r="D1837" s="144"/>
      <c r="E1837" s="144"/>
      <c r="F1837" s="373"/>
      <c r="H1837" s="2168"/>
      <c r="I1837" s="70"/>
    </row>
    <row r="1838" spans="3:9" s="46" customFormat="1" x14ac:dyDescent="0.2">
      <c r="C1838" s="144"/>
      <c r="D1838" s="144"/>
      <c r="E1838" s="144"/>
      <c r="F1838" s="373"/>
      <c r="H1838" s="2168"/>
      <c r="I1838" s="70"/>
    </row>
    <row r="1839" spans="3:9" s="46" customFormat="1" x14ac:dyDescent="0.2">
      <c r="C1839" s="144"/>
      <c r="D1839" s="144"/>
      <c r="E1839" s="144"/>
      <c r="F1839" s="373"/>
      <c r="H1839" s="2168"/>
      <c r="I1839" s="70"/>
    </row>
    <row r="1840" spans="3:9" s="46" customFormat="1" x14ac:dyDescent="0.2">
      <c r="C1840" s="144"/>
      <c r="D1840" s="144"/>
      <c r="E1840" s="144"/>
      <c r="F1840" s="373"/>
      <c r="H1840" s="2168"/>
      <c r="I1840" s="70"/>
    </row>
    <row r="1841" spans="3:9" s="46" customFormat="1" x14ac:dyDescent="0.2">
      <c r="C1841" s="144"/>
      <c r="D1841" s="144"/>
      <c r="E1841" s="144"/>
      <c r="F1841" s="373"/>
      <c r="H1841" s="2168"/>
      <c r="I1841" s="70"/>
    </row>
    <row r="1842" spans="3:9" s="46" customFormat="1" x14ac:dyDescent="0.2">
      <c r="C1842" s="144"/>
      <c r="D1842" s="144"/>
      <c r="E1842" s="144"/>
      <c r="F1842" s="373"/>
      <c r="H1842" s="2168"/>
      <c r="I1842" s="70"/>
    </row>
    <row r="1843" spans="3:9" s="46" customFormat="1" x14ac:dyDescent="0.2">
      <c r="C1843" s="144"/>
      <c r="D1843" s="144"/>
      <c r="E1843" s="144"/>
      <c r="F1843" s="373"/>
      <c r="H1843" s="2168"/>
      <c r="I1843" s="70"/>
    </row>
    <row r="1844" spans="3:9" s="46" customFormat="1" x14ac:dyDescent="0.2">
      <c r="C1844" s="144"/>
      <c r="D1844" s="144"/>
      <c r="E1844" s="144"/>
      <c r="F1844" s="373"/>
      <c r="H1844" s="2168"/>
      <c r="I1844" s="70"/>
    </row>
    <row r="1845" spans="3:9" s="46" customFormat="1" x14ac:dyDescent="0.2">
      <c r="C1845" s="144"/>
      <c r="D1845" s="144"/>
      <c r="E1845" s="144"/>
      <c r="F1845" s="373"/>
      <c r="H1845" s="2168"/>
      <c r="I1845" s="70"/>
    </row>
    <row r="1846" spans="3:9" s="46" customFormat="1" x14ac:dyDescent="0.2">
      <c r="C1846" s="144"/>
      <c r="D1846" s="144"/>
      <c r="E1846" s="144"/>
      <c r="F1846" s="373"/>
      <c r="H1846" s="2168"/>
      <c r="I1846" s="70"/>
    </row>
    <row r="1847" spans="3:9" s="46" customFormat="1" x14ac:dyDescent="0.2">
      <c r="C1847" s="144"/>
      <c r="D1847" s="144"/>
      <c r="E1847" s="144"/>
      <c r="F1847" s="373"/>
      <c r="H1847" s="2168"/>
      <c r="I1847" s="70"/>
    </row>
    <row r="1848" spans="3:9" s="46" customFormat="1" x14ac:dyDescent="0.2">
      <c r="C1848" s="144"/>
      <c r="D1848" s="144"/>
      <c r="E1848" s="144"/>
      <c r="F1848" s="373"/>
      <c r="H1848" s="2168"/>
      <c r="I1848" s="70"/>
    </row>
    <row r="1849" spans="3:9" s="46" customFormat="1" x14ac:dyDescent="0.2">
      <c r="C1849" s="144"/>
      <c r="D1849" s="144"/>
      <c r="E1849" s="144"/>
      <c r="F1849" s="373"/>
      <c r="H1849" s="2168"/>
      <c r="I1849" s="70"/>
    </row>
    <row r="1850" spans="3:9" s="46" customFormat="1" x14ac:dyDescent="0.2">
      <c r="C1850" s="144"/>
      <c r="D1850" s="144"/>
      <c r="E1850" s="144"/>
      <c r="F1850" s="373"/>
      <c r="H1850" s="2168"/>
      <c r="I1850" s="70"/>
    </row>
    <row r="1851" spans="3:9" s="46" customFormat="1" x14ac:dyDescent="0.2">
      <c r="C1851" s="144"/>
      <c r="D1851" s="144"/>
      <c r="E1851" s="144"/>
      <c r="F1851" s="373"/>
      <c r="H1851" s="2168"/>
      <c r="I1851" s="70"/>
    </row>
    <row r="1852" spans="3:9" s="46" customFormat="1" x14ac:dyDescent="0.2">
      <c r="C1852" s="144"/>
      <c r="D1852" s="144"/>
      <c r="E1852" s="144"/>
      <c r="F1852" s="373"/>
      <c r="H1852" s="2168"/>
      <c r="I1852" s="70"/>
    </row>
    <row r="1853" spans="3:9" s="46" customFormat="1" x14ac:dyDescent="0.2">
      <c r="C1853" s="144"/>
      <c r="D1853" s="144"/>
      <c r="E1853" s="144"/>
      <c r="F1853" s="373"/>
      <c r="H1853" s="2168"/>
      <c r="I1853" s="70"/>
    </row>
    <row r="1854" spans="3:9" s="46" customFormat="1" x14ac:dyDescent="0.2">
      <c r="C1854" s="144"/>
      <c r="D1854" s="144"/>
      <c r="E1854" s="144"/>
      <c r="F1854" s="373"/>
      <c r="H1854" s="2168"/>
      <c r="I1854" s="70"/>
    </row>
    <row r="1855" spans="3:9" s="46" customFormat="1" x14ac:dyDescent="0.2">
      <c r="C1855" s="144"/>
      <c r="D1855" s="144"/>
      <c r="E1855" s="144"/>
      <c r="F1855" s="373"/>
      <c r="H1855" s="2168"/>
      <c r="I1855" s="70"/>
    </row>
    <row r="1856" spans="3:9" s="46" customFormat="1" x14ac:dyDescent="0.2">
      <c r="C1856" s="144"/>
      <c r="D1856" s="144"/>
      <c r="E1856" s="144"/>
      <c r="F1856" s="373"/>
      <c r="H1856" s="2168"/>
      <c r="I1856" s="70"/>
    </row>
    <row r="1857" spans="3:9" s="46" customFormat="1" x14ac:dyDescent="0.2">
      <c r="C1857" s="144"/>
      <c r="D1857" s="144"/>
      <c r="E1857" s="144"/>
      <c r="F1857" s="373"/>
      <c r="H1857" s="2168"/>
      <c r="I1857" s="70"/>
    </row>
    <row r="1858" spans="3:9" s="46" customFormat="1" x14ac:dyDescent="0.2">
      <c r="C1858" s="144"/>
      <c r="D1858" s="144"/>
      <c r="E1858" s="144"/>
      <c r="F1858" s="373"/>
      <c r="H1858" s="2168"/>
      <c r="I1858" s="70"/>
    </row>
    <row r="1859" spans="3:9" s="46" customFormat="1" x14ac:dyDescent="0.2">
      <c r="C1859" s="144"/>
      <c r="D1859" s="144"/>
      <c r="E1859" s="144"/>
      <c r="F1859" s="373"/>
      <c r="H1859" s="2168"/>
      <c r="I1859" s="70"/>
    </row>
    <row r="1860" spans="3:9" s="46" customFormat="1" x14ac:dyDescent="0.2">
      <c r="C1860" s="144"/>
      <c r="D1860" s="144"/>
      <c r="E1860" s="144"/>
      <c r="F1860" s="373"/>
      <c r="H1860" s="2168"/>
      <c r="I1860" s="70"/>
    </row>
    <row r="1861" spans="3:9" s="46" customFormat="1" x14ac:dyDescent="0.2">
      <c r="C1861" s="144"/>
      <c r="D1861" s="144"/>
      <c r="E1861" s="144"/>
      <c r="F1861" s="373"/>
      <c r="H1861" s="2168"/>
      <c r="I1861" s="70"/>
    </row>
    <row r="1862" spans="3:9" s="46" customFormat="1" x14ac:dyDescent="0.2">
      <c r="C1862" s="144"/>
      <c r="D1862" s="144"/>
      <c r="E1862" s="144"/>
      <c r="F1862" s="373"/>
      <c r="H1862" s="2168"/>
      <c r="I1862" s="70"/>
    </row>
    <row r="1863" spans="3:9" s="46" customFormat="1" x14ac:dyDescent="0.2">
      <c r="C1863" s="144"/>
      <c r="D1863" s="144"/>
      <c r="E1863" s="144"/>
      <c r="F1863" s="373"/>
      <c r="H1863" s="2168"/>
      <c r="I1863" s="70"/>
    </row>
    <row r="1864" spans="3:9" s="46" customFormat="1" x14ac:dyDescent="0.2">
      <c r="C1864" s="144"/>
      <c r="D1864" s="144"/>
      <c r="E1864" s="144"/>
      <c r="F1864" s="373"/>
      <c r="H1864" s="2168"/>
      <c r="I1864" s="70"/>
    </row>
    <row r="1865" spans="3:9" s="46" customFormat="1" x14ac:dyDescent="0.2">
      <c r="C1865" s="144"/>
      <c r="D1865" s="144"/>
      <c r="E1865" s="144"/>
      <c r="F1865" s="373"/>
      <c r="H1865" s="2168"/>
      <c r="I1865" s="70"/>
    </row>
    <row r="1866" spans="3:9" s="46" customFormat="1" x14ac:dyDescent="0.2">
      <c r="C1866" s="144"/>
      <c r="D1866" s="144"/>
      <c r="E1866" s="144"/>
      <c r="F1866" s="373"/>
      <c r="H1866" s="2168"/>
      <c r="I1866" s="70"/>
    </row>
    <row r="1867" spans="3:9" s="46" customFormat="1" x14ac:dyDescent="0.2">
      <c r="C1867" s="144"/>
      <c r="D1867" s="144"/>
      <c r="E1867" s="144"/>
      <c r="F1867" s="373"/>
      <c r="H1867" s="2168"/>
      <c r="I1867" s="70"/>
    </row>
    <row r="1868" spans="3:9" s="46" customFormat="1" x14ac:dyDescent="0.2">
      <c r="C1868" s="144"/>
      <c r="D1868" s="144"/>
      <c r="E1868" s="144"/>
      <c r="F1868" s="373"/>
      <c r="H1868" s="2168"/>
      <c r="I1868" s="70"/>
    </row>
    <row r="1869" spans="3:9" s="46" customFormat="1" x14ac:dyDescent="0.2">
      <c r="C1869" s="144"/>
      <c r="D1869" s="144"/>
      <c r="E1869" s="144"/>
      <c r="F1869" s="373"/>
      <c r="H1869" s="2168"/>
      <c r="I1869" s="70"/>
    </row>
    <row r="1870" spans="3:9" s="46" customFormat="1" x14ac:dyDescent="0.2">
      <c r="C1870" s="144"/>
      <c r="D1870" s="144"/>
      <c r="E1870" s="144"/>
      <c r="F1870" s="373"/>
      <c r="H1870" s="2168"/>
      <c r="I1870" s="70"/>
    </row>
    <row r="1871" spans="3:9" s="46" customFormat="1" x14ac:dyDescent="0.2">
      <c r="C1871" s="144"/>
      <c r="D1871" s="144"/>
      <c r="E1871" s="144"/>
      <c r="F1871" s="373"/>
      <c r="H1871" s="2168"/>
      <c r="I1871" s="70"/>
    </row>
    <row r="1872" spans="3:9" s="46" customFormat="1" x14ac:dyDescent="0.2">
      <c r="C1872" s="144"/>
      <c r="D1872" s="144"/>
      <c r="E1872" s="144"/>
      <c r="F1872" s="373"/>
      <c r="H1872" s="2168"/>
      <c r="I1872" s="70"/>
    </row>
    <row r="1873" spans="3:9" s="46" customFormat="1" x14ac:dyDescent="0.2">
      <c r="C1873" s="144"/>
      <c r="D1873" s="144"/>
      <c r="E1873" s="144"/>
      <c r="F1873" s="373"/>
      <c r="H1873" s="2168"/>
      <c r="I1873" s="70"/>
    </row>
    <row r="1874" spans="3:9" s="46" customFormat="1" x14ac:dyDescent="0.2">
      <c r="C1874" s="144"/>
      <c r="D1874" s="144"/>
      <c r="E1874" s="144"/>
      <c r="F1874" s="373"/>
      <c r="H1874" s="2168"/>
      <c r="I1874" s="70"/>
    </row>
    <row r="1875" spans="3:9" s="46" customFormat="1" x14ac:dyDescent="0.2">
      <c r="C1875" s="144"/>
      <c r="D1875" s="144"/>
      <c r="E1875" s="144"/>
      <c r="F1875" s="373"/>
      <c r="H1875" s="2168"/>
      <c r="I1875" s="70"/>
    </row>
    <row r="1876" spans="3:9" s="46" customFormat="1" x14ac:dyDescent="0.2">
      <c r="C1876" s="144"/>
      <c r="D1876" s="144"/>
      <c r="E1876" s="144"/>
      <c r="F1876" s="373"/>
      <c r="H1876" s="2168"/>
      <c r="I1876" s="70"/>
    </row>
    <row r="1877" spans="3:9" s="46" customFormat="1" x14ac:dyDescent="0.2">
      <c r="C1877" s="144"/>
      <c r="D1877" s="144"/>
      <c r="E1877" s="144"/>
      <c r="F1877" s="373"/>
      <c r="H1877" s="2168"/>
      <c r="I1877" s="70"/>
    </row>
    <row r="1878" spans="3:9" s="46" customFormat="1" x14ac:dyDescent="0.2">
      <c r="C1878" s="144"/>
      <c r="D1878" s="144"/>
      <c r="E1878" s="144"/>
      <c r="F1878" s="373"/>
      <c r="H1878" s="2168"/>
      <c r="I1878" s="70"/>
    </row>
    <row r="1879" spans="3:9" s="46" customFormat="1" x14ac:dyDescent="0.2">
      <c r="C1879" s="144"/>
      <c r="D1879" s="144"/>
      <c r="E1879" s="144"/>
      <c r="F1879" s="373"/>
      <c r="H1879" s="2168"/>
      <c r="I1879" s="70"/>
    </row>
    <row r="1880" spans="3:9" s="46" customFormat="1" x14ac:dyDescent="0.2">
      <c r="C1880" s="144"/>
      <c r="D1880" s="144"/>
      <c r="E1880" s="144"/>
      <c r="F1880" s="373"/>
      <c r="H1880" s="2168"/>
      <c r="I1880" s="70"/>
    </row>
    <row r="1881" spans="3:9" s="46" customFormat="1" x14ac:dyDescent="0.2">
      <c r="C1881" s="144"/>
      <c r="D1881" s="144"/>
      <c r="E1881" s="144"/>
      <c r="F1881" s="373"/>
      <c r="H1881" s="2168"/>
      <c r="I1881" s="70"/>
    </row>
    <row r="1882" spans="3:9" s="46" customFormat="1" x14ac:dyDescent="0.2">
      <c r="C1882" s="144"/>
      <c r="D1882" s="144"/>
      <c r="E1882" s="144"/>
      <c r="F1882" s="373"/>
      <c r="H1882" s="2168"/>
      <c r="I1882" s="70"/>
    </row>
    <row r="1883" spans="3:9" s="46" customFormat="1" x14ac:dyDescent="0.2">
      <c r="C1883" s="144"/>
      <c r="D1883" s="144"/>
      <c r="E1883" s="144"/>
      <c r="F1883" s="373"/>
      <c r="H1883" s="2168"/>
      <c r="I1883" s="70"/>
    </row>
    <row r="1884" spans="3:9" s="46" customFormat="1" x14ac:dyDescent="0.2">
      <c r="C1884" s="144"/>
      <c r="D1884" s="144"/>
      <c r="E1884" s="144"/>
      <c r="F1884" s="373"/>
      <c r="H1884" s="2168"/>
      <c r="I1884" s="70"/>
    </row>
    <row r="1885" spans="3:9" s="46" customFormat="1" x14ac:dyDescent="0.2">
      <c r="C1885" s="144"/>
      <c r="D1885" s="144"/>
      <c r="E1885" s="144"/>
      <c r="F1885" s="373"/>
      <c r="H1885" s="2168"/>
      <c r="I1885" s="70"/>
    </row>
    <row r="1886" spans="3:9" s="46" customFormat="1" x14ac:dyDescent="0.2">
      <c r="C1886" s="144"/>
      <c r="D1886" s="144"/>
      <c r="E1886" s="144"/>
      <c r="F1886" s="373"/>
      <c r="H1886" s="2168"/>
      <c r="I1886" s="70"/>
    </row>
    <row r="1887" spans="3:9" s="46" customFormat="1" x14ac:dyDescent="0.2">
      <c r="C1887" s="144"/>
      <c r="D1887" s="144"/>
      <c r="E1887" s="144"/>
      <c r="F1887" s="373"/>
      <c r="H1887" s="2168"/>
      <c r="I1887" s="70"/>
    </row>
    <row r="1888" spans="3:9" s="46" customFormat="1" x14ac:dyDescent="0.2">
      <c r="C1888" s="144"/>
      <c r="D1888" s="144"/>
      <c r="E1888" s="144"/>
      <c r="F1888" s="373"/>
      <c r="H1888" s="2168"/>
      <c r="I1888" s="70"/>
    </row>
    <row r="1889" spans="3:9" s="46" customFormat="1" x14ac:dyDescent="0.2">
      <c r="C1889" s="144"/>
      <c r="D1889" s="144"/>
      <c r="E1889" s="144"/>
      <c r="F1889" s="373"/>
      <c r="H1889" s="2168"/>
      <c r="I1889" s="70"/>
    </row>
    <row r="1890" spans="3:9" s="46" customFormat="1" x14ac:dyDescent="0.2">
      <c r="C1890" s="144"/>
      <c r="D1890" s="144"/>
      <c r="E1890" s="144"/>
      <c r="F1890" s="373"/>
      <c r="H1890" s="2168"/>
      <c r="I1890" s="70"/>
    </row>
    <row r="1891" spans="3:9" s="46" customFormat="1" x14ac:dyDescent="0.2">
      <c r="C1891" s="144"/>
      <c r="D1891" s="144"/>
      <c r="E1891" s="144"/>
      <c r="F1891" s="373"/>
      <c r="H1891" s="2168"/>
      <c r="I1891" s="70"/>
    </row>
    <row r="1892" spans="3:9" s="46" customFormat="1" x14ac:dyDescent="0.2">
      <c r="C1892" s="144"/>
      <c r="D1892" s="144"/>
      <c r="E1892" s="144"/>
      <c r="F1892" s="373"/>
      <c r="H1892" s="2168"/>
      <c r="I1892" s="70"/>
    </row>
    <row r="1893" spans="3:9" s="46" customFormat="1" x14ac:dyDescent="0.2">
      <c r="C1893" s="144"/>
      <c r="D1893" s="144"/>
      <c r="E1893" s="144"/>
      <c r="F1893" s="373"/>
      <c r="H1893" s="2168"/>
      <c r="I1893" s="70"/>
    </row>
    <row r="1894" spans="3:9" s="46" customFormat="1" x14ac:dyDescent="0.2">
      <c r="C1894" s="144"/>
      <c r="D1894" s="144"/>
      <c r="E1894" s="144"/>
      <c r="F1894" s="373"/>
      <c r="H1894" s="2168"/>
      <c r="I1894" s="70"/>
    </row>
    <row r="1895" spans="3:9" s="46" customFormat="1" x14ac:dyDescent="0.2">
      <c r="C1895" s="144"/>
      <c r="D1895" s="144"/>
      <c r="E1895" s="144"/>
      <c r="F1895" s="373"/>
      <c r="H1895" s="2168"/>
      <c r="I1895" s="70"/>
    </row>
    <row r="1896" spans="3:9" s="46" customFormat="1" x14ac:dyDescent="0.2">
      <c r="C1896" s="144"/>
      <c r="D1896" s="144"/>
      <c r="E1896" s="144"/>
      <c r="F1896" s="373"/>
      <c r="H1896" s="2168"/>
      <c r="I1896" s="70"/>
    </row>
    <row r="1897" spans="3:9" s="46" customFormat="1" x14ac:dyDescent="0.2">
      <c r="C1897" s="144"/>
      <c r="D1897" s="144"/>
      <c r="E1897" s="144"/>
      <c r="F1897" s="373"/>
      <c r="H1897" s="2168"/>
      <c r="I1897" s="70"/>
    </row>
    <row r="1898" spans="3:9" s="46" customFormat="1" x14ac:dyDescent="0.2">
      <c r="C1898" s="144"/>
      <c r="D1898" s="144"/>
      <c r="E1898" s="144"/>
      <c r="F1898" s="373"/>
      <c r="H1898" s="2168"/>
      <c r="I1898" s="70"/>
    </row>
    <row r="1899" spans="3:9" s="46" customFormat="1" x14ac:dyDescent="0.2">
      <c r="C1899" s="144"/>
      <c r="D1899" s="144"/>
      <c r="E1899" s="144"/>
      <c r="F1899" s="373"/>
      <c r="H1899" s="2168"/>
      <c r="I1899" s="70"/>
    </row>
    <row r="1900" spans="3:9" s="46" customFormat="1" x14ac:dyDescent="0.2">
      <c r="C1900" s="144"/>
      <c r="D1900" s="144"/>
      <c r="E1900" s="144"/>
      <c r="F1900" s="373"/>
      <c r="H1900" s="2168"/>
      <c r="I1900" s="70"/>
    </row>
    <row r="1901" spans="3:9" s="46" customFormat="1" x14ac:dyDescent="0.2">
      <c r="C1901" s="144"/>
      <c r="D1901" s="144"/>
      <c r="E1901" s="144"/>
      <c r="F1901" s="373"/>
      <c r="H1901" s="2168"/>
      <c r="I1901" s="70"/>
    </row>
    <row r="1902" spans="3:9" s="46" customFormat="1" x14ac:dyDescent="0.2">
      <c r="C1902" s="144"/>
      <c r="D1902" s="144"/>
      <c r="E1902" s="144"/>
      <c r="F1902" s="373"/>
      <c r="H1902" s="2168"/>
      <c r="I1902" s="70"/>
    </row>
    <row r="1903" spans="3:9" s="46" customFormat="1" x14ac:dyDescent="0.2">
      <c r="C1903" s="144"/>
      <c r="D1903" s="144"/>
      <c r="E1903" s="144"/>
      <c r="F1903" s="373"/>
      <c r="H1903" s="2168"/>
      <c r="I1903" s="70"/>
    </row>
    <row r="1904" spans="3:9" s="46" customFormat="1" x14ac:dyDescent="0.2">
      <c r="C1904" s="144"/>
      <c r="D1904" s="144"/>
      <c r="E1904" s="144"/>
      <c r="F1904" s="373"/>
      <c r="H1904" s="2168"/>
      <c r="I1904" s="70"/>
    </row>
    <row r="1905" spans="3:9" s="46" customFormat="1" x14ac:dyDescent="0.2">
      <c r="C1905" s="144"/>
      <c r="D1905" s="144"/>
      <c r="E1905" s="144"/>
      <c r="F1905" s="373"/>
      <c r="H1905" s="2168"/>
      <c r="I1905" s="70"/>
    </row>
    <row r="1906" spans="3:9" s="46" customFormat="1" x14ac:dyDescent="0.2">
      <c r="C1906" s="144"/>
      <c r="D1906" s="144"/>
      <c r="E1906" s="144"/>
      <c r="F1906" s="373"/>
      <c r="H1906" s="2168"/>
      <c r="I1906" s="70"/>
    </row>
    <row r="1907" spans="3:9" s="46" customFormat="1" x14ac:dyDescent="0.2">
      <c r="C1907" s="144"/>
      <c r="D1907" s="144"/>
      <c r="E1907" s="144"/>
      <c r="F1907" s="373"/>
      <c r="H1907" s="2168"/>
      <c r="I1907" s="70"/>
    </row>
    <row r="1908" spans="3:9" s="46" customFormat="1" x14ac:dyDescent="0.2">
      <c r="C1908" s="144"/>
      <c r="D1908" s="144"/>
      <c r="E1908" s="144"/>
      <c r="F1908" s="373"/>
      <c r="H1908" s="2168"/>
      <c r="I1908" s="70"/>
    </row>
    <row r="1909" spans="3:9" s="46" customFormat="1" x14ac:dyDescent="0.2">
      <c r="C1909" s="144"/>
      <c r="D1909" s="144"/>
      <c r="E1909" s="144"/>
      <c r="F1909" s="373"/>
      <c r="H1909" s="2168"/>
      <c r="I1909" s="70"/>
    </row>
    <row r="1910" spans="3:9" s="46" customFormat="1" x14ac:dyDescent="0.2">
      <c r="C1910" s="144"/>
      <c r="D1910" s="144"/>
      <c r="E1910" s="144"/>
      <c r="F1910" s="373"/>
      <c r="H1910" s="2168"/>
      <c r="I1910" s="70"/>
    </row>
    <row r="1911" spans="3:9" s="46" customFormat="1" x14ac:dyDescent="0.2">
      <c r="C1911" s="144"/>
      <c r="D1911" s="144"/>
      <c r="E1911" s="144"/>
      <c r="F1911" s="373"/>
      <c r="H1911" s="2168"/>
      <c r="I1911" s="70"/>
    </row>
    <row r="1912" spans="3:9" s="46" customFormat="1" x14ac:dyDescent="0.2">
      <c r="C1912" s="144"/>
      <c r="D1912" s="144"/>
      <c r="E1912" s="144"/>
      <c r="F1912" s="373"/>
      <c r="H1912" s="2168"/>
      <c r="I1912" s="70"/>
    </row>
    <row r="1913" spans="3:9" s="46" customFormat="1" x14ac:dyDescent="0.2">
      <c r="C1913" s="144"/>
      <c r="D1913" s="144"/>
      <c r="E1913" s="144"/>
      <c r="F1913" s="373"/>
      <c r="H1913" s="2168"/>
      <c r="I1913" s="70"/>
    </row>
    <row r="1914" spans="3:9" s="46" customFormat="1" x14ac:dyDescent="0.2">
      <c r="C1914" s="144"/>
      <c r="D1914" s="144"/>
      <c r="E1914" s="144"/>
      <c r="F1914" s="373"/>
      <c r="H1914" s="2168"/>
      <c r="I1914" s="70"/>
    </row>
    <row r="1915" spans="3:9" s="46" customFormat="1" x14ac:dyDescent="0.2">
      <c r="C1915" s="144"/>
      <c r="D1915" s="144"/>
      <c r="E1915" s="144"/>
      <c r="F1915" s="373"/>
      <c r="H1915" s="2168"/>
      <c r="I1915" s="70"/>
    </row>
    <row r="1916" spans="3:9" s="46" customFormat="1" x14ac:dyDescent="0.2">
      <c r="C1916" s="144"/>
      <c r="D1916" s="144"/>
      <c r="E1916" s="144"/>
      <c r="F1916" s="373"/>
      <c r="H1916" s="2168"/>
      <c r="I1916" s="70"/>
    </row>
    <row r="1917" spans="3:9" s="46" customFormat="1" x14ac:dyDescent="0.2">
      <c r="C1917" s="144"/>
      <c r="D1917" s="144"/>
      <c r="E1917" s="144"/>
      <c r="F1917" s="373"/>
      <c r="H1917" s="2168"/>
      <c r="I1917" s="70"/>
    </row>
    <row r="1918" spans="3:9" s="46" customFormat="1" x14ac:dyDescent="0.2">
      <c r="C1918" s="144"/>
      <c r="D1918" s="144"/>
      <c r="E1918" s="144"/>
      <c r="F1918" s="373"/>
      <c r="H1918" s="2168"/>
      <c r="I1918" s="70"/>
    </row>
    <row r="1919" spans="3:9" s="46" customFormat="1" x14ac:dyDescent="0.2">
      <c r="C1919" s="144"/>
      <c r="D1919" s="144"/>
      <c r="E1919" s="144"/>
      <c r="F1919" s="373"/>
      <c r="H1919" s="2168"/>
      <c r="I1919" s="70"/>
    </row>
    <row r="1920" spans="3:9" s="46" customFormat="1" x14ac:dyDescent="0.2">
      <c r="C1920" s="144"/>
      <c r="D1920" s="144"/>
      <c r="E1920" s="144"/>
      <c r="F1920" s="373"/>
      <c r="H1920" s="2168"/>
      <c r="I1920" s="70"/>
    </row>
    <row r="1921" spans="3:9" s="46" customFormat="1" x14ac:dyDescent="0.2">
      <c r="C1921" s="144"/>
      <c r="D1921" s="144"/>
      <c r="E1921" s="144"/>
      <c r="F1921" s="373"/>
      <c r="H1921" s="2168"/>
      <c r="I1921" s="70"/>
    </row>
    <row r="1922" spans="3:9" s="46" customFormat="1" x14ac:dyDescent="0.2">
      <c r="C1922" s="144"/>
      <c r="D1922" s="144"/>
      <c r="E1922" s="144"/>
      <c r="F1922" s="373"/>
      <c r="H1922" s="2168"/>
      <c r="I1922" s="70"/>
    </row>
    <row r="1923" spans="3:9" s="46" customFormat="1" x14ac:dyDescent="0.2">
      <c r="C1923" s="144"/>
      <c r="D1923" s="144"/>
      <c r="E1923" s="144"/>
      <c r="F1923" s="373"/>
      <c r="H1923" s="2168"/>
      <c r="I1923" s="70"/>
    </row>
    <row r="1924" spans="3:9" s="46" customFormat="1" x14ac:dyDescent="0.2">
      <c r="C1924" s="144"/>
      <c r="D1924" s="144"/>
      <c r="E1924" s="144"/>
      <c r="F1924" s="373"/>
      <c r="H1924" s="2168"/>
      <c r="I1924" s="70"/>
    </row>
    <row r="1925" spans="3:9" s="46" customFormat="1" x14ac:dyDescent="0.2">
      <c r="C1925" s="144"/>
      <c r="D1925" s="144"/>
      <c r="E1925" s="144"/>
      <c r="F1925" s="373"/>
      <c r="H1925" s="2168"/>
      <c r="I1925" s="70"/>
    </row>
    <row r="1926" spans="3:9" s="46" customFormat="1" x14ac:dyDescent="0.2">
      <c r="C1926" s="144"/>
      <c r="D1926" s="144"/>
      <c r="E1926" s="144"/>
      <c r="F1926" s="373"/>
      <c r="H1926" s="2168"/>
      <c r="I1926" s="70"/>
    </row>
    <row r="1927" spans="3:9" s="46" customFormat="1" x14ac:dyDescent="0.2">
      <c r="C1927" s="144"/>
      <c r="D1927" s="144"/>
      <c r="E1927" s="144"/>
      <c r="F1927" s="373"/>
      <c r="H1927" s="2168"/>
      <c r="I1927" s="70"/>
    </row>
    <row r="1928" spans="3:9" s="46" customFormat="1" x14ac:dyDescent="0.2">
      <c r="C1928" s="144"/>
      <c r="D1928" s="144"/>
      <c r="E1928" s="144"/>
      <c r="F1928" s="373"/>
      <c r="H1928" s="2168"/>
      <c r="I1928" s="70"/>
    </row>
    <row r="1929" spans="3:9" s="46" customFormat="1" x14ac:dyDescent="0.2">
      <c r="C1929" s="144"/>
      <c r="D1929" s="144"/>
      <c r="E1929" s="144"/>
      <c r="F1929" s="373"/>
      <c r="H1929" s="2168"/>
      <c r="I1929" s="70"/>
    </row>
    <row r="1930" spans="3:9" s="46" customFormat="1" x14ac:dyDescent="0.2">
      <c r="C1930" s="144"/>
      <c r="D1930" s="144"/>
      <c r="E1930" s="144"/>
      <c r="F1930" s="373"/>
      <c r="H1930" s="2168"/>
      <c r="I1930" s="70"/>
    </row>
    <row r="1931" spans="3:9" s="46" customFormat="1" x14ac:dyDescent="0.2">
      <c r="C1931" s="144"/>
      <c r="D1931" s="144"/>
      <c r="E1931" s="144"/>
      <c r="F1931" s="373"/>
      <c r="H1931" s="2168"/>
      <c r="I1931" s="70"/>
    </row>
    <row r="1932" spans="3:9" s="46" customFormat="1" x14ac:dyDescent="0.2">
      <c r="C1932" s="144"/>
      <c r="D1932" s="144"/>
      <c r="E1932" s="144"/>
      <c r="F1932" s="373"/>
      <c r="H1932" s="2168"/>
      <c r="I1932" s="70"/>
    </row>
    <row r="1933" spans="3:9" s="46" customFormat="1" x14ac:dyDescent="0.2">
      <c r="C1933" s="144"/>
      <c r="D1933" s="144"/>
      <c r="E1933" s="144"/>
      <c r="F1933" s="373"/>
      <c r="H1933" s="2168"/>
      <c r="I1933" s="70"/>
    </row>
    <row r="1934" spans="3:9" s="46" customFormat="1" x14ac:dyDescent="0.2">
      <c r="C1934" s="144"/>
      <c r="D1934" s="144"/>
      <c r="E1934" s="144"/>
      <c r="F1934" s="373"/>
      <c r="H1934" s="2168"/>
      <c r="I1934" s="70"/>
    </row>
    <row r="1935" spans="3:9" s="46" customFormat="1" x14ac:dyDescent="0.2">
      <c r="C1935" s="144"/>
      <c r="D1935" s="144"/>
      <c r="E1935" s="144"/>
      <c r="F1935" s="373"/>
      <c r="H1935" s="2168"/>
      <c r="I1935" s="70"/>
    </row>
    <row r="1936" spans="3:9" s="46" customFormat="1" x14ac:dyDescent="0.2">
      <c r="C1936" s="144"/>
      <c r="D1936" s="144"/>
      <c r="E1936" s="144"/>
      <c r="F1936" s="373"/>
      <c r="H1936" s="2168"/>
      <c r="I1936" s="70"/>
    </row>
    <row r="1937" spans="3:9" s="46" customFormat="1" x14ac:dyDescent="0.2">
      <c r="C1937" s="144"/>
      <c r="D1937" s="144"/>
      <c r="E1937" s="144"/>
      <c r="F1937" s="373"/>
      <c r="H1937" s="2168"/>
      <c r="I1937" s="70"/>
    </row>
    <row r="1938" spans="3:9" s="46" customFormat="1" x14ac:dyDescent="0.2">
      <c r="C1938" s="144"/>
      <c r="D1938" s="144"/>
      <c r="E1938" s="144"/>
      <c r="F1938" s="373"/>
      <c r="H1938" s="2168"/>
      <c r="I1938" s="70"/>
    </row>
    <row r="1939" spans="3:9" s="46" customFormat="1" x14ac:dyDescent="0.2">
      <c r="C1939" s="144"/>
      <c r="D1939" s="144"/>
      <c r="E1939" s="144"/>
      <c r="F1939" s="373"/>
      <c r="H1939" s="2168"/>
      <c r="I1939" s="70"/>
    </row>
    <row r="1940" spans="3:9" s="46" customFormat="1" x14ac:dyDescent="0.2">
      <c r="C1940" s="144"/>
      <c r="D1940" s="144"/>
      <c r="E1940" s="144"/>
      <c r="F1940" s="373"/>
      <c r="H1940" s="2168"/>
      <c r="I1940" s="70"/>
    </row>
    <row r="1941" spans="3:9" s="46" customFormat="1" x14ac:dyDescent="0.2">
      <c r="C1941" s="144"/>
      <c r="D1941" s="144"/>
      <c r="E1941" s="144"/>
      <c r="F1941" s="373"/>
      <c r="H1941" s="2168"/>
      <c r="I1941" s="70"/>
    </row>
    <row r="1942" spans="3:9" s="46" customFormat="1" x14ac:dyDescent="0.2">
      <c r="C1942" s="144"/>
      <c r="D1942" s="144"/>
      <c r="E1942" s="144"/>
      <c r="F1942" s="373"/>
      <c r="H1942" s="2168"/>
      <c r="I1942" s="70"/>
    </row>
    <row r="1943" spans="3:9" s="46" customFormat="1" x14ac:dyDescent="0.2">
      <c r="C1943" s="144"/>
      <c r="D1943" s="144"/>
      <c r="E1943" s="144"/>
      <c r="F1943" s="373"/>
      <c r="H1943" s="2168"/>
      <c r="I1943" s="70"/>
    </row>
    <row r="1944" spans="3:9" s="46" customFormat="1" x14ac:dyDescent="0.2">
      <c r="C1944" s="144"/>
      <c r="D1944" s="144"/>
      <c r="E1944" s="144"/>
      <c r="F1944" s="373"/>
      <c r="H1944" s="2168"/>
      <c r="I1944" s="70"/>
    </row>
    <row r="1945" spans="3:9" s="46" customFormat="1" x14ac:dyDescent="0.2">
      <c r="C1945" s="144"/>
      <c r="D1945" s="144"/>
      <c r="E1945" s="144"/>
      <c r="F1945" s="373"/>
      <c r="H1945" s="2168"/>
      <c r="I1945" s="70"/>
    </row>
    <row r="1946" spans="3:9" s="46" customFormat="1" x14ac:dyDescent="0.2">
      <c r="C1946" s="144"/>
      <c r="D1946" s="144"/>
      <c r="E1946" s="144"/>
      <c r="F1946" s="373"/>
      <c r="H1946" s="2168"/>
      <c r="I1946" s="70"/>
    </row>
    <row r="1947" spans="3:9" s="46" customFormat="1" x14ac:dyDescent="0.2">
      <c r="C1947" s="144"/>
      <c r="D1947" s="144"/>
      <c r="E1947" s="144"/>
      <c r="F1947" s="373"/>
      <c r="H1947" s="2168"/>
      <c r="I1947" s="70"/>
    </row>
    <row r="1948" spans="3:9" s="46" customFormat="1" x14ac:dyDescent="0.2">
      <c r="C1948" s="144"/>
      <c r="D1948" s="144"/>
      <c r="E1948" s="144"/>
      <c r="F1948" s="373"/>
      <c r="H1948" s="2168"/>
      <c r="I1948" s="70"/>
    </row>
    <row r="1949" spans="3:9" s="46" customFormat="1" x14ac:dyDescent="0.2">
      <c r="C1949" s="144"/>
      <c r="D1949" s="144"/>
      <c r="E1949" s="144"/>
      <c r="F1949" s="373"/>
      <c r="H1949" s="2168"/>
      <c r="I1949" s="70"/>
    </row>
    <row r="1950" spans="3:9" s="46" customFormat="1" x14ac:dyDescent="0.2">
      <c r="C1950" s="144"/>
      <c r="D1950" s="144"/>
      <c r="E1950" s="144"/>
      <c r="F1950" s="373"/>
      <c r="H1950" s="2168"/>
      <c r="I1950" s="70"/>
    </row>
    <row r="1951" spans="3:9" s="46" customFormat="1" x14ac:dyDescent="0.2">
      <c r="C1951" s="144"/>
      <c r="D1951" s="144"/>
      <c r="E1951" s="144"/>
      <c r="F1951" s="373"/>
      <c r="H1951" s="2168"/>
      <c r="I1951" s="70"/>
    </row>
    <row r="1952" spans="3:9" s="46" customFormat="1" x14ac:dyDescent="0.2">
      <c r="C1952" s="144"/>
      <c r="D1952" s="144"/>
      <c r="E1952" s="144"/>
      <c r="F1952" s="373"/>
      <c r="H1952" s="2168"/>
      <c r="I1952" s="70"/>
    </row>
    <row r="1953" spans="3:9" s="46" customFormat="1" x14ac:dyDescent="0.2">
      <c r="C1953" s="144"/>
      <c r="D1953" s="144"/>
      <c r="E1953" s="144"/>
      <c r="F1953" s="373"/>
      <c r="H1953" s="2168"/>
      <c r="I1953" s="70"/>
    </row>
    <row r="1954" spans="3:9" s="46" customFormat="1" x14ac:dyDescent="0.2">
      <c r="C1954" s="144"/>
      <c r="D1954" s="144"/>
      <c r="E1954" s="144"/>
      <c r="F1954" s="373"/>
      <c r="H1954" s="2168"/>
      <c r="I1954" s="70"/>
    </row>
    <row r="1955" spans="3:9" s="46" customFormat="1" x14ac:dyDescent="0.2">
      <c r="C1955" s="144"/>
      <c r="D1955" s="144"/>
      <c r="E1955" s="144"/>
      <c r="F1955" s="373"/>
      <c r="H1955" s="2168"/>
      <c r="I1955" s="70"/>
    </row>
    <row r="1956" spans="3:9" s="46" customFormat="1" x14ac:dyDescent="0.2">
      <c r="C1956" s="144"/>
      <c r="D1956" s="144"/>
      <c r="E1956" s="144"/>
      <c r="F1956" s="373"/>
      <c r="H1956" s="2168"/>
      <c r="I1956" s="70"/>
    </row>
    <row r="1957" spans="3:9" s="46" customFormat="1" x14ac:dyDescent="0.2">
      <c r="C1957" s="144"/>
      <c r="D1957" s="144"/>
      <c r="E1957" s="144"/>
      <c r="F1957" s="373"/>
      <c r="H1957" s="2168"/>
      <c r="I1957" s="70"/>
    </row>
    <row r="1958" spans="3:9" s="46" customFormat="1" x14ac:dyDescent="0.2">
      <c r="C1958" s="144"/>
      <c r="D1958" s="144"/>
      <c r="E1958" s="144"/>
      <c r="F1958" s="373"/>
      <c r="H1958" s="2168"/>
      <c r="I1958" s="70"/>
    </row>
    <row r="1959" spans="3:9" s="46" customFormat="1" x14ac:dyDescent="0.2">
      <c r="C1959" s="144"/>
      <c r="D1959" s="144"/>
      <c r="E1959" s="144"/>
      <c r="F1959" s="373"/>
      <c r="H1959" s="2168"/>
      <c r="I1959" s="70"/>
    </row>
    <row r="1960" spans="3:9" s="46" customFormat="1" x14ac:dyDescent="0.2">
      <c r="C1960" s="144"/>
      <c r="D1960" s="144"/>
      <c r="E1960" s="144"/>
      <c r="F1960" s="373"/>
      <c r="H1960" s="2168"/>
      <c r="I1960" s="70"/>
    </row>
    <row r="1961" spans="3:9" s="46" customFormat="1" x14ac:dyDescent="0.2">
      <c r="C1961" s="144"/>
      <c r="D1961" s="144"/>
      <c r="E1961" s="144"/>
      <c r="F1961" s="373"/>
      <c r="H1961" s="2168"/>
      <c r="I1961" s="70"/>
    </row>
    <row r="1962" spans="3:9" s="46" customFormat="1" x14ac:dyDescent="0.2">
      <c r="C1962" s="144"/>
      <c r="D1962" s="144"/>
      <c r="E1962" s="144"/>
      <c r="F1962" s="373"/>
      <c r="H1962" s="2168"/>
      <c r="I1962" s="70"/>
    </row>
    <row r="1963" spans="3:9" s="46" customFormat="1" x14ac:dyDescent="0.2">
      <c r="C1963" s="144"/>
      <c r="D1963" s="144"/>
      <c r="E1963" s="144"/>
      <c r="F1963" s="373"/>
      <c r="H1963" s="2168"/>
      <c r="I1963" s="70"/>
    </row>
    <row r="1964" spans="3:9" s="46" customFormat="1" x14ac:dyDescent="0.2">
      <c r="C1964" s="144"/>
      <c r="D1964" s="144"/>
      <c r="E1964" s="144"/>
      <c r="F1964" s="373"/>
      <c r="H1964" s="2168"/>
      <c r="I1964" s="70"/>
    </row>
    <row r="1965" spans="3:9" s="46" customFormat="1" x14ac:dyDescent="0.2">
      <c r="C1965" s="144"/>
      <c r="D1965" s="144"/>
      <c r="E1965" s="144"/>
      <c r="F1965" s="373"/>
      <c r="H1965" s="2168"/>
      <c r="I1965" s="70"/>
    </row>
    <row r="1966" spans="3:9" s="46" customFormat="1" x14ac:dyDescent="0.2">
      <c r="C1966" s="144"/>
      <c r="D1966" s="144"/>
      <c r="E1966" s="144"/>
      <c r="F1966" s="373"/>
      <c r="H1966" s="2168"/>
      <c r="I1966" s="70"/>
    </row>
    <row r="1967" spans="3:9" s="46" customFormat="1" x14ac:dyDescent="0.2">
      <c r="C1967" s="144"/>
      <c r="D1967" s="144"/>
      <c r="E1967" s="144"/>
      <c r="F1967" s="373"/>
      <c r="H1967" s="2168"/>
      <c r="I1967" s="70"/>
    </row>
    <row r="1968" spans="3:9" s="46" customFormat="1" x14ac:dyDescent="0.2">
      <c r="C1968" s="144"/>
      <c r="D1968" s="144"/>
      <c r="E1968" s="144"/>
      <c r="F1968" s="373"/>
      <c r="H1968" s="2168"/>
      <c r="I1968" s="70"/>
    </row>
    <row r="1969" spans="3:9" s="46" customFormat="1" x14ac:dyDescent="0.2">
      <c r="C1969" s="144"/>
      <c r="D1969" s="144"/>
      <c r="E1969" s="144"/>
      <c r="F1969" s="373"/>
      <c r="H1969" s="2168"/>
      <c r="I1969" s="70"/>
    </row>
    <row r="1970" spans="3:9" s="46" customFormat="1" x14ac:dyDescent="0.2">
      <c r="C1970" s="144"/>
      <c r="D1970" s="144"/>
      <c r="E1970" s="144"/>
      <c r="F1970" s="373"/>
      <c r="H1970" s="2168"/>
      <c r="I1970" s="70"/>
    </row>
    <row r="1971" spans="3:9" s="46" customFormat="1" x14ac:dyDescent="0.2">
      <c r="C1971" s="144"/>
      <c r="D1971" s="144"/>
      <c r="E1971" s="144"/>
      <c r="F1971" s="373"/>
      <c r="H1971" s="2168"/>
      <c r="I1971" s="70"/>
    </row>
    <row r="1972" spans="3:9" s="46" customFormat="1" x14ac:dyDescent="0.2">
      <c r="C1972" s="144"/>
      <c r="D1972" s="144"/>
      <c r="E1972" s="144"/>
      <c r="F1972" s="373"/>
      <c r="H1972" s="2168"/>
      <c r="I1972" s="70"/>
    </row>
    <row r="1973" spans="3:9" s="46" customFormat="1" x14ac:dyDescent="0.2">
      <c r="C1973" s="144"/>
      <c r="D1973" s="144"/>
      <c r="E1973" s="144"/>
      <c r="F1973" s="373"/>
      <c r="H1973" s="2168"/>
      <c r="I1973" s="70"/>
    </row>
    <row r="1974" spans="3:9" s="46" customFormat="1" x14ac:dyDescent="0.2">
      <c r="C1974" s="144"/>
      <c r="D1974" s="144"/>
      <c r="E1974" s="144"/>
      <c r="F1974" s="373"/>
      <c r="H1974" s="2168"/>
      <c r="I1974" s="70"/>
    </row>
    <row r="1975" spans="3:9" s="46" customFormat="1" x14ac:dyDescent="0.2">
      <c r="C1975" s="144"/>
      <c r="D1975" s="144"/>
      <c r="E1975" s="144"/>
      <c r="F1975" s="373"/>
      <c r="H1975" s="2168"/>
      <c r="I1975" s="70"/>
    </row>
    <row r="1976" spans="3:9" s="46" customFormat="1" x14ac:dyDescent="0.2">
      <c r="C1976" s="144"/>
      <c r="D1976" s="144"/>
      <c r="E1976" s="144"/>
      <c r="F1976" s="373"/>
      <c r="H1976" s="2168"/>
      <c r="I1976" s="70"/>
    </row>
    <row r="1977" spans="3:9" s="46" customFormat="1" x14ac:dyDescent="0.2">
      <c r="C1977" s="144"/>
      <c r="D1977" s="144"/>
      <c r="E1977" s="144"/>
      <c r="F1977" s="373"/>
      <c r="H1977" s="2168"/>
      <c r="I1977" s="70"/>
    </row>
    <row r="1978" spans="3:9" s="46" customFormat="1" x14ac:dyDescent="0.2">
      <c r="C1978" s="144"/>
      <c r="D1978" s="144"/>
      <c r="E1978" s="144"/>
      <c r="F1978" s="373"/>
      <c r="H1978" s="2168"/>
      <c r="I1978" s="70"/>
    </row>
    <row r="1979" spans="3:9" s="46" customFormat="1" x14ac:dyDescent="0.2">
      <c r="C1979" s="144"/>
      <c r="D1979" s="144"/>
      <c r="E1979" s="144"/>
      <c r="F1979" s="373"/>
      <c r="H1979" s="2168"/>
      <c r="I1979" s="70"/>
    </row>
    <row r="1980" spans="3:9" s="46" customFormat="1" x14ac:dyDescent="0.2">
      <c r="C1980" s="144"/>
      <c r="D1980" s="144"/>
      <c r="E1980" s="144"/>
      <c r="F1980" s="373"/>
      <c r="H1980" s="2168"/>
      <c r="I1980" s="70"/>
    </row>
    <row r="1981" spans="3:9" s="46" customFormat="1" x14ac:dyDescent="0.2">
      <c r="C1981" s="144"/>
      <c r="D1981" s="144"/>
      <c r="E1981" s="144"/>
      <c r="F1981" s="373"/>
      <c r="H1981" s="2168"/>
      <c r="I1981" s="70"/>
    </row>
    <row r="1982" spans="3:9" s="46" customFormat="1" x14ac:dyDescent="0.2">
      <c r="C1982" s="144"/>
      <c r="D1982" s="144"/>
      <c r="E1982" s="144"/>
      <c r="F1982" s="373"/>
      <c r="H1982" s="2168"/>
      <c r="I1982" s="70"/>
    </row>
    <row r="1983" spans="3:9" s="46" customFormat="1" x14ac:dyDescent="0.2">
      <c r="C1983" s="144"/>
      <c r="D1983" s="144"/>
      <c r="E1983" s="144"/>
      <c r="F1983" s="373"/>
      <c r="H1983" s="2168"/>
      <c r="I1983" s="70"/>
    </row>
    <row r="1984" spans="3:9" s="46" customFormat="1" x14ac:dyDescent="0.2">
      <c r="C1984" s="144"/>
      <c r="D1984" s="144"/>
      <c r="E1984" s="144"/>
      <c r="F1984" s="373"/>
      <c r="H1984" s="2168"/>
      <c r="I1984" s="70"/>
    </row>
    <row r="1985" spans="3:9" s="46" customFormat="1" x14ac:dyDescent="0.2">
      <c r="C1985" s="144"/>
      <c r="D1985" s="144"/>
      <c r="E1985" s="144"/>
      <c r="F1985" s="373"/>
      <c r="H1985" s="2168"/>
      <c r="I1985" s="70"/>
    </row>
    <row r="1986" spans="3:9" s="46" customFormat="1" x14ac:dyDescent="0.2">
      <c r="C1986" s="144"/>
      <c r="D1986" s="144"/>
      <c r="E1986" s="144"/>
      <c r="F1986" s="373"/>
      <c r="H1986" s="2168"/>
      <c r="I1986" s="70"/>
    </row>
    <row r="1987" spans="3:9" s="46" customFormat="1" x14ac:dyDescent="0.2">
      <c r="C1987" s="144"/>
      <c r="D1987" s="144"/>
      <c r="E1987" s="144"/>
      <c r="F1987" s="373"/>
      <c r="H1987" s="2168"/>
      <c r="I1987" s="70"/>
    </row>
    <row r="1988" spans="3:9" s="46" customFormat="1" x14ac:dyDescent="0.2">
      <c r="C1988" s="144"/>
      <c r="D1988" s="144"/>
      <c r="E1988" s="144"/>
      <c r="F1988" s="373"/>
      <c r="H1988" s="2168"/>
      <c r="I1988" s="70"/>
    </row>
    <row r="1989" spans="3:9" s="46" customFormat="1" x14ac:dyDescent="0.2">
      <c r="C1989" s="144"/>
      <c r="D1989" s="144"/>
      <c r="E1989" s="144"/>
      <c r="F1989" s="373"/>
      <c r="H1989" s="2168"/>
      <c r="I1989" s="70"/>
    </row>
    <row r="1990" spans="3:9" s="46" customFormat="1" x14ac:dyDescent="0.2">
      <c r="C1990" s="144"/>
      <c r="D1990" s="144"/>
      <c r="E1990" s="144"/>
      <c r="F1990" s="373"/>
      <c r="H1990" s="2168"/>
      <c r="I1990" s="70"/>
    </row>
    <row r="1991" spans="3:9" s="46" customFormat="1" x14ac:dyDescent="0.2">
      <c r="C1991" s="144"/>
      <c r="D1991" s="144"/>
      <c r="E1991" s="144"/>
      <c r="F1991" s="373"/>
      <c r="H1991" s="2168"/>
      <c r="I1991" s="70"/>
    </row>
    <row r="1992" spans="3:9" s="46" customFormat="1" x14ac:dyDescent="0.2">
      <c r="C1992" s="144"/>
      <c r="D1992" s="144"/>
      <c r="E1992" s="144"/>
      <c r="F1992" s="373"/>
      <c r="H1992" s="2168"/>
      <c r="I1992" s="70"/>
    </row>
    <row r="1993" spans="3:9" s="46" customFormat="1" x14ac:dyDescent="0.2">
      <c r="C1993" s="144"/>
      <c r="D1993" s="144"/>
      <c r="E1993" s="144"/>
      <c r="F1993" s="373"/>
      <c r="H1993" s="2168"/>
      <c r="I1993" s="70"/>
    </row>
    <row r="1994" spans="3:9" s="46" customFormat="1" x14ac:dyDescent="0.2">
      <c r="C1994" s="144"/>
      <c r="D1994" s="144"/>
      <c r="E1994" s="144"/>
      <c r="F1994" s="373"/>
      <c r="H1994" s="2168"/>
      <c r="I1994" s="70"/>
    </row>
    <row r="1995" spans="3:9" s="46" customFormat="1" x14ac:dyDescent="0.2">
      <c r="C1995" s="144"/>
      <c r="D1995" s="144"/>
      <c r="E1995" s="144"/>
      <c r="F1995" s="373"/>
      <c r="H1995" s="2168"/>
      <c r="I1995" s="70"/>
    </row>
    <row r="1996" spans="3:9" s="46" customFormat="1" x14ac:dyDescent="0.2">
      <c r="C1996" s="144"/>
      <c r="D1996" s="144"/>
      <c r="E1996" s="144"/>
      <c r="F1996" s="373"/>
      <c r="H1996" s="2168"/>
      <c r="I1996" s="70"/>
    </row>
    <row r="1997" spans="3:9" s="46" customFormat="1" x14ac:dyDescent="0.2">
      <c r="C1997" s="144"/>
      <c r="D1997" s="144"/>
      <c r="E1997" s="144"/>
      <c r="F1997" s="373"/>
      <c r="H1997" s="2168"/>
      <c r="I1997" s="70"/>
    </row>
    <row r="1998" spans="3:9" s="46" customFormat="1" x14ac:dyDescent="0.2">
      <c r="C1998" s="144"/>
      <c r="D1998" s="144"/>
      <c r="E1998" s="144"/>
      <c r="F1998" s="373"/>
      <c r="H1998" s="2168"/>
      <c r="I1998" s="70"/>
    </row>
    <row r="1999" spans="3:9" s="46" customFormat="1" x14ac:dyDescent="0.2">
      <c r="C1999" s="144"/>
      <c r="D1999" s="144"/>
      <c r="E1999" s="144"/>
      <c r="F1999" s="373"/>
      <c r="H1999" s="2168"/>
      <c r="I1999" s="70"/>
    </row>
    <row r="2000" spans="3:9" s="46" customFormat="1" x14ac:dyDescent="0.2">
      <c r="C2000" s="144"/>
      <c r="D2000" s="144"/>
      <c r="E2000" s="144"/>
      <c r="F2000" s="373"/>
      <c r="H2000" s="2168"/>
      <c r="I2000" s="70"/>
    </row>
    <row r="2001" spans="3:9" s="46" customFormat="1" x14ac:dyDescent="0.2">
      <c r="C2001" s="144"/>
      <c r="D2001" s="144"/>
      <c r="E2001" s="144"/>
      <c r="F2001" s="373"/>
      <c r="H2001" s="2168"/>
      <c r="I2001" s="70"/>
    </row>
    <row r="2002" spans="3:9" s="46" customFormat="1" x14ac:dyDescent="0.2">
      <c r="C2002" s="144"/>
      <c r="D2002" s="144"/>
      <c r="E2002" s="144"/>
      <c r="F2002" s="373"/>
      <c r="H2002" s="2168"/>
      <c r="I2002" s="70"/>
    </row>
    <row r="2003" spans="3:9" s="46" customFormat="1" x14ac:dyDescent="0.2">
      <c r="C2003" s="144"/>
      <c r="D2003" s="144"/>
      <c r="E2003" s="144"/>
      <c r="F2003" s="373"/>
      <c r="H2003" s="2168"/>
      <c r="I2003" s="70"/>
    </row>
    <row r="2004" spans="3:9" s="46" customFormat="1" x14ac:dyDescent="0.2">
      <c r="C2004" s="144"/>
      <c r="D2004" s="144"/>
      <c r="E2004" s="144"/>
      <c r="F2004" s="373"/>
      <c r="H2004" s="2168"/>
      <c r="I2004" s="70"/>
    </row>
    <row r="2005" spans="3:9" s="46" customFormat="1" x14ac:dyDescent="0.2">
      <c r="C2005" s="144"/>
      <c r="D2005" s="144"/>
      <c r="E2005" s="144"/>
      <c r="F2005" s="373"/>
      <c r="H2005" s="2168"/>
      <c r="I2005" s="70"/>
    </row>
    <row r="2006" spans="3:9" s="46" customFormat="1" x14ac:dyDescent="0.2">
      <c r="C2006" s="144"/>
      <c r="D2006" s="144"/>
      <c r="E2006" s="144"/>
      <c r="F2006" s="373"/>
      <c r="H2006" s="2168"/>
      <c r="I2006" s="70"/>
    </row>
    <row r="2007" spans="3:9" s="46" customFormat="1" x14ac:dyDescent="0.2">
      <c r="C2007" s="144"/>
      <c r="D2007" s="144"/>
      <c r="E2007" s="144"/>
      <c r="F2007" s="373"/>
      <c r="H2007" s="2168"/>
      <c r="I2007" s="70"/>
    </row>
    <row r="2008" spans="3:9" s="46" customFormat="1" x14ac:dyDescent="0.2">
      <c r="C2008" s="144"/>
      <c r="D2008" s="144"/>
      <c r="E2008" s="144"/>
      <c r="F2008" s="373"/>
      <c r="H2008" s="2168"/>
      <c r="I2008" s="70"/>
    </row>
    <row r="2009" spans="3:9" s="46" customFormat="1" x14ac:dyDescent="0.2">
      <c r="C2009" s="144"/>
      <c r="D2009" s="144"/>
      <c r="E2009" s="144"/>
      <c r="F2009" s="373"/>
      <c r="H2009" s="2168"/>
      <c r="I2009" s="70"/>
    </row>
    <row r="2010" spans="3:9" s="46" customFormat="1" x14ac:dyDescent="0.2">
      <c r="C2010" s="144"/>
      <c r="D2010" s="144"/>
      <c r="E2010" s="144"/>
      <c r="F2010" s="373"/>
      <c r="H2010" s="2168"/>
      <c r="I2010" s="70"/>
    </row>
    <row r="2011" spans="3:9" s="46" customFormat="1" x14ac:dyDescent="0.2">
      <c r="C2011" s="144"/>
      <c r="D2011" s="144"/>
      <c r="E2011" s="144"/>
      <c r="F2011" s="373"/>
      <c r="H2011" s="2168"/>
      <c r="I2011" s="70"/>
    </row>
    <row r="2012" spans="3:9" s="46" customFormat="1" x14ac:dyDescent="0.2">
      <c r="C2012" s="144"/>
      <c r="D2012" s="144"/>
      <c r="E2012" s="144"/>
      <c r="F2012" s="373"/>
      <c r="H2012" s="2168"/>
      <c r="I2012" s="70"/>
    </row>
    <row r="2013" spans="3:9" s="46" customFormat="1" x14ac:dyDescent="0.2">
      <c r="C2013" s="144"/>
      <c r="D2013" s="144"/>
      <c r="E2013" s="144"/>
      <c r="F2013" s="373"/>
      <c r="H2013" s="2168"/>
      <c r="I2013" s="70"/>
    </row>
    <row r="2014" spans="3:9" s="46" customFormat="1" x14ac:dyDescent="0.2">
      <c r="C2014" s="144"/>
      <c r="D2014" s="144"/>
      <c r="E2014" s="144"/>
      <c r="F2014" s="373"/>
      <c r="H2014" s="2168"/>
      <c r="I2014" s="70"/>
    </row>
    <row r="2015" spans="3:9" s="46" customFormat="1" x14ac:dyDescent="0.2">
      <c r="C2015" s="144"/>
      <c r="D2015" s="144"/>
      <c r="E2015" s="144"/>
      <c r="F2015" s="373"/>
      <c r="H2015" s="2168"/>
      <c r="I2015" s="70"/>
    </row>
    <row r="2016" spans="3:9" s="46" customFormat="1" x14ac:dyDescent="0.2">
      <c r="C2016" s="144"/>
      <c r="D2016" s="144"/>
      <c r="E2016" s="144"/>
      <c r="F2016" s="373"/>
      <c r="H2016" s="2168"/>
      <c r="I2016" s="70"/>
    </row>
    <row r="2017" spans="3:9" s="46" customFormat="1" x14ac:dyDescent="0.2">
      <c r="C2017" s="144"/>
      <c r="D2017" s="144"/>
      <c r="E2017" s="144"/>
      <c r="F2017" s="373"/>
      <c r="H2017" s="2168"/>
      <c r="I2017" s="70"/>
    </row>
    <row r="2018" spans="3:9" s="46" customFormat="1" x14ac:dyDescent="0.2">
      <c r="C2018" s="144"/>
      <c r="D2018" s="144"/>
      <c r="E2018" s="144"/>
      <c r="F2018" s="373"/>
      <c r="H2018" s="2168"/>
      <c r="I2018" s="70"/>
    </row>
    <row r="2019" spans="3:9" s="46" customFormat="1" x14ac:dyDescent="0.2">
      <c r="C2019" s="144"/>
      <c r="D2019" s="144"/>
      <c r="E2019" s="144"/>
      <c r="F2019" s="373"/>
      <c r="H2019" s="2168"/>
      <c r="I2019" s="70"/>
    </row>
    <row r="2020" spans="3:9" s="46" customFormat="1" x14ac:dyDescent="0.2">
      <c r="C2020" s="144"/>
      <c r="D2020" s="144"/>
      <c r="E2020" s="144"/>
      <c r="F2020" s="373"/>
      <c r="H2020" s="2168"/>
      <c r="I2020" s="70"/>
    </row>
    <row r="2021" spans="3:9" s="46" customFormat="1" x14ac:dyDescent="0.2">
      <c r="C2021" s="144"/>
      <c r="D2021" s="144"/>
      <c r="E2021" s="144"/>
      <c r="F2021" s="373"/>
      <c r="H2021" s="2168"/>
      <c r="I2021" s="70"/>
    </row>
    <row r="2022" spans="3:9" s="46" customFormat="1" x14ac:dyDescent="0.2">
      <c r="C2022" s="144"/>
      <c r="D2022" s="144"/>
      <c r="E2022" s="144"/>
      <c r="F2022" s="373"/>
      <c r="H2022" s="2168"/>
      <c r="I2022" s="70"/>
    </row>
    <row r="2023" spans="3:9" s="46" customFormat="1" x14ac:dyDescent="0.2">
      <c r="C2023" s="144"/>
      <c r="D2023" s="144"/>
      <c r="E2023" s="144"/>
      <c r="F2023" s="373"/>
      <c r="H2023" s="2168"/>
      <c r="I2023" s="70"/>
    </row>
    <row r="2024" spans="3:9" s="46" customFormat="1" x14ac:dyDescent="0.2">
      <c r="C2024" s="144"/>
      <c r="D2024" s="144"/>
      <c r="E2024" s="144"/>
      <c r="F2024" s="373"/>
      <c r="H2024" s="2168"/>
      <c r="I2024" s="70"/>
    </row>
    <row r="2025" spans="3:9" s="46" customFormat="1" x14ac:dyDescent="0.2">
      <c r="C2025" s="144"/>
      <c r="D2025" s="144"/>
      <c r="E2025" s="144"/>
      <c r="F2025" s="373"/>
      <c r="H2025" s="2168"/>
      <c r="I2025" s="70"/>
    </row>
    <row r="2026" spans="3:9" s="46" customFormat="1" x14ac:dyDescent="0.2">
      <c r="C2026" s="144"/>
      <c r="D2026" s="144"/>
      <c r="E2026" s="144"/>
      <c r="F2026" s="373"/>
      <c r="H2026" s="2168"/>
      <c r="I2026" s="70"/>
    </row>
    <row r="2027" spans="3:9" s="46" customFormat="1" x14ac:dyDescent="0.2">
      <c r="C2027" s="144"/>
      <c r="D2027" s="144"/>
      <c r="E2027" s="144"/>
      <c r="F2027" s="373"/>
      <c r="H2027" s="2168"/>
      <c r="I2027" s="70"/>
    </row>
    <row r="2028" spans="3:9" s="46" customFormat="1" x14ac:dyDescent="0.2">
      <c r="C2028" s="144"/>
      <c r="D2028" s="144"/>
      <c r="E2028" s="144"/>
      <c r="F2028" s="373"/>
      <c r="H2028" s="2168"/>
      <c r="I2028" s="70"/>
    </row>
    <row r="2029" spans="3:9" s="46" customFormat="1" x14ac:dyDescent="0.2">
      <c r="C2029" s="144"/>
      <c r="D2029" s="144"/>
      <c r="E2029" s="144"/>
      <c r="F2029" s="373"/>
      <c r="H2029" s="2168"/>
      <c r="I2029" s="70"/>
    </row>
    <row r="2030" spans="3:9" s="46" customFormat="1" x14ac:dyDescent="0.2">
      <c r="C2030" s="144"/>
      <c r="D2030" s="144"/>
      <c r="E2030" s="144"/>
      <c r="F2030" s="373"/>
      <c r="H2030" s="2168"/>
      <c r="I2030" s="70"/>
    </row>
    <row r="2031" spans="3:9" s="46" customFormat="1" x14ac:dyDescent="0.2">
      <c r="C2031" s="144"/>
      <c r="D2031" s="144"/>
      <c r="E2031" s="144"/>
      <c r="F2031" s="373"/>
      <c r="H2031" s="2168"/>
      <c r="I2031" s="70"/>
    </row>
    <row r="2032" spans="3:9" s="46" customFormat="1" x14ac:dyDescent="0.2">
      <c r="C2032" s="144"/>
      <c r="D2032" s="144"/>
      <c r="E2032" s="144"/>
      <c r="F2032" s="373"/>
      <c r="H2032" s="2168"/>
      <c r="I2032" s="70"/>
    </row>
    <row r="2033" spans="3:9" s="46" customFormat="1" x14ac:dyDescent="0.2">
      <c r="C2033" s="144"/>
      <c r="D2033" s="144"/>
      <c r="E2033" s="144"/>
      <c r="F2033" s="373"/>
      <c r="H2033" s="2168"/>
      <c r="I2033" s="70"/>
    </row>
    <row r="2034" spans="3:9" s="46" customFormat="1" x14ac:dyDescent="0.2">
      <c r="C2034" s="144"/>
      <c r="D2034" s="144"/>
      <c r="E2034" s="144"/>
      <c r="F2034" s="373"/>
      <c r="H2034" s="2168"/>
      <c r="I2034" s="70"/>
    </row>
    <row r="2035" spans="3:9" s="46" customFormat="1" x14ac:dyDescent="0.2">
      <c r="C2035" s="144"/>
      <c r="D2035" s="144"/>
      <c r="E2035" s="144"/>
      <c r="F2035" s="373"/>
      <c r="H2035" s="2168"/>
      <c r="I2035" s="70"/>
    </row>
    <row r="2036" spans="3:9" s="46" customFormat="1" x14ac:dyDescent="0.2">
      <c r="C2036" s="144"/>
      <c r="D2036" s="144"/>
      <c r="E2036" s="144"/>
      <c r="F2036" s="373"/>
      <c r="H2036" s="2168"/>
      <c r="I2036" s="70"/>
    </row>
    <row r="2037" spans="3:9" s="46" customFormat="1" x14ac:dyDescent="0.2">
      <c r="C2037" s="144"/>
      <c r="D2037" s="144"/>
      <c r="E2037" s="144"/>
      <c r="F2037" s="373"/>
      <c r="H2037" s="2168"/>
      <c r="I2037" s="70"/>
    </row>
    <row r="2038" spans="3:9" s="46" customFormat="1" x14ac:dyDescent="0.2">
      <c r="C2038" s="144"/>
      <c r="D2038" s="144"/>
      <c r="E2038" s="144"/>
      <c r="F2038" s="373"/>
      <c r="H2038" s="2168"/>
      <c r="I2038" s="70"/>
    </row>
    <row r="2039" spans="3:9" s="46" customFormat="1" x14ac:dyDescent="0.2">
      <c r="C2039" s="144"/>
      <c r="D2039" s="144"/>
      <c r="E2039" s="144"/>
      <c r="F2039" s="373"/>
      <c r="H2039" s="2168"/>
      <c r="I2039" s="70"/>
    </row>
    <row r="2040" spans="3:9" s="46" customFormat="1" x14ac:dyDescent="0.2">
      <c r="C2040" s="144"/>
      <c r="D2040" s="144"/>
      <c r="E2040" s="144"/>
      <c r="F2040" s="373"/>
      <c r="H2040" s="2168"/>
      <c r="I2040" s="70"/>
    </row>
    <row r="2041" spans="3:9" s="46" customFormat="1" x14ac:dyDescent="0.2">
      <c r="C2041" s="144"/>
      <c r="D2041" s="144"/>
      <c r="E2041" s="144"/>
      <c r="F2041" s="373"/>
      <c r="H2041" s="2168"/>
      <c r="I2041" s="70"/>
    </row>
    <row r="2042" spans="3:9" s="46" customFormat="1" x14ac:dyDescent="0.2">
      <c r="C2042" s="144"/>
      <c r="D2042" s="144"/>
      <c r="E2042" s="144"/>
      <c r="F2042" s="373"/>
      <c r="H2042" s="2168"/>
      <c r="I2042" s="70"/>
    </row>
    <row r="2043" spans="3:9" s="46" customFormat="1" x14ac:dyDescent="0.2">
      <c r="C2043" s="144"/>
      <c r="D2043" s="144"/>
      <c r="E2043" s="144"/>
      <c r="F2043" s="373"/>
      <c r="H2043" s="2168"/>
      <c r="I2043" s="70"/>
    </row>
    <row r="2044" spans="3:9" s="46" customFormat="1" x14ac:dyDescent="0.2">
      <c r="C2044" s="144"/>
      <c r="D2044" s="144"/>
      <c r="E2044" s="144"/>
      <c r="F2044" s="373"/>
      <c r="H2044" s="2168"/>
      <c r="I2044" s="70"/>
    </row>
    <row r="2045" spans="3:9" s="46" customFormat="1" x14ac:dyDescent="0.2">
      <c r="C2045" s="144"/>
      <c r="D2045" s="144"/>
      <c r="E2045" s="144"/>
      <c r="F2045" s="373"/>
      <c r="H2045" s="2168"/>
      <c r="I2045" s="70"/>
    </row>
    <row r="2046" spans="3:9" s="46" customFormat="1" x14ac:dyDescent="0.2">
      <c r="C2046" s="144"/>
      <c r="D2046" s="144"/>
      <c r="E2046" s="144"/>
      <c r="F2046" s="373"/>
      <c r="H2046" s="2168"/>
      <c r="I2046" s="70"/>
    </row>
    <row r="2047" spans="3:9" s="46" customFormat="1" x14ac:dyDescent="0.2">
      <c r="C2047" s="144"/>
      <c r="D2047" s="144"/>
      <c r="E2047" s="144"/>
      <c r="F2047" s="373"/>
      <c r="H2047" s="2168"/>
      <c r="I2047" s="70"/>
    </row>
    <row r="2048" spans="3:9" s="46" customFormat="1" x14ac:dyDescent="0.2">
      <c r="C2048" s="144"/>
      <c r="D2048" s="144"/>
      <c r="E2048" s="144"/>
      <c r="F2048" s="373"/>
      <c r="H2048" s="2168"/>
      <c r="I2048" s="70"/>
    </row>
    <row r="2049" spans="3:9" s="46" customFormat="1" x14ac:dyDescent="0.2">
      <c r="C2049" s="144"/>
      <c r="D2049" s="144"/>
      <c r="E2049" s="144"/>
      <c r="F2049" s="373"/>
      <c r="H2049" s="2168"/>
      <c r="I2049" s="70"/>
    </row>
    <row r="2050" spans="3:9" s="46" customFormat="1" x14ac:dyDescent="0.2">
      <c r="C2050" s="144"/>
      <c r="D2050" s="144"/>
      <c r="E2050" s="144"/>
      <c r="F2050" s="373"/>
      <c r="H2050" s="2168"/>
      <c r="I2050" s="70"/>
    </row>
    <row r="2051" spans="3:9" s="46" customFormat="1" x14ac:dyDescent="0.2">
      <c r="C2051" s="144"/>
      <c r="D2051" s="144"/>
      <c r="E2051" s="144"/>
      <c r="F2051" s="373"/>
      <c r="H2051" s="2168"/>
      <c r="I2051" s="70"/>
    </row>
    <row r="2052" spans="3:9" s="46" customFormat="1" x14ac:dyDescent="0.2">
      <c r="C2052" s="144"/>
      <c r="D2052" s="144"/>
      <c r="E2052" s="144"/>
      <c r="F2052" s="373"/>
      <c r="H2052" s="2168"/>
      <c r="I2052" s="70"/>
    </row>
    <row r="2053" spans="3:9" s="46" customFormat="1" x14ac:dyDescent="0.2">
      <c r="C2053" s="144"/>
      <c r="D2053" s="144"/>
      <c r="E2053" s="144"/>
      <c r="F2053" s="373"/>
      <c r="H2053" s="2168"/>
      <c r="I2053" s="70"/>
    </row>
    <row r="2054" spans="3:9" s="46" customFormat="1" x14ac:dyDescent="0.2">
      <c r="C2054" s="144"/>
      <c r="D2054" s="144"/>
      <c r="E2054" s="144"/>
      <c r="F2054" s="373"/>
      <c r="H2054" s="2168"/>
      <c r="I2054" s="70"/>
    </row>
    <row r="2055" spans="3:9" s="46" customFormat="1" x14ac:dyDescent="0.2">
      <c r="C2055" s="144"/>
      <c r="D2055" s="144"/>
      <c r="E2055" s="144"/>
      <c r="F2055" s="373"/>
      <c r="H2055" s="2168"/>
      <c r="I2055" s="70"/>
    </row>
    <row r="2056" spans="3:9" s="46" customFormat="1" x14ac:dyDescent="0.2">
      <c r="C2056" s="144"/>
      <c r="D2056" s="144"/>
      <c r="E2056" s="144"/>
      <c r="F2056" s="373"/>
      <c r="H2056" s="2168"/>
      <c r="I2056" s="70"/>
    </row>
    <row r="2057" spans="3:9" s="46" customFormat="1" x14ac:dyDescent="0.2">
      <c r="C2057" s="144"/>
      <c r="D2057" s="144"/>
      <c r="E2057" s="144"/>
      <c r="F2057" s="373"/>
      <c r="H2057" s="2168"/>
      <c r="I2057" s="70"/>
    </row>
    <row r="2058" spans="3:9" s="46" customFormat="1" x14ac:dyDescent="0.2">
      <c r="C2058" s="144"/>
      <c r="D2058" s="144"/>
      <c r="E2058" s="144"/>
      <c r="F2058" s="373"/>
      <c r="H2058" s="2168"/>
      <c r="I2058" s="70"/>
    </row>
    <row r="2059" spans="3:9" s="46" customFormat="1" x14ac:dyDescent="0.2">
      <c r="C2059" s="144"/>
      <c r="D2059" s="144"/>
      <c r="E2059" s="144"/>
      <c r="F2059" s="373"/>
      <c r="H2059" s="2168"/>
      <c r="I2059" s="70"/>
    </row>
    <row r="2060" spans="3:9" s="46" customFormat="1" x14ac:dyDescent="0.2">
      <c r="C2060" s="144"/>
      <c r="D2060" s="144"/>
      <c r="E2060" s="144"/>
      <c r="F2060" s="373"/>
      <c r="H2060" s="2168"/>
      <c r="I2060" s="70"/>
    </row>
    <row r="2061" spans="3:9" s="46" customFormat="1" x14ac:dyDescent="0.2">
      <c r="C2061" s="144"/>
      <c r="D2061" s="144"/>
      <c r="E2061" s="144"/>
      <c r="F2061" s="373"/>
      <c r="H2061" s="2168"/>
      <c r="I2061" s="70"/>
    </row>
    <row r="2062" spans="3:9" s="46" customFormat="1" x14ac:dyDescent="0.2">
      <c r="C2062" s="144"/>
      <c r="D2062" s="144"/>
      <c r="E2062" s="144"/>
      <c r="F2062" s="373"/>
      <c r="H2062" s="2168"/>
      <c r="I2062" s="70"/>
    </row>
    <row r="2063" spans="3:9" s="46" customFormat="1" x14ac:dyDescent="0.2">
      <c r="C2063" s="144"/>
      <c r="D2063" s="144"/>
      <c r="E2063" s="144"/>
      <c r="F2063" s="373"/>
      <c r="H2063" s="2168"/>
      <c r="I2063" s="70"/>
    </row>
    <row r="2064" spans="3:9" s="46" customFormat="1" x14ac:dyDescent="0.2">
      <c r="C2064" s="144"/>
      <c r="D2064" s="144"/>
      <c r="E2064" s="144"/>
      <c r="F2064" s="373"/>
      <c r="H2064" s="2168"/>
      <c r="I2064" s="70"/>
    </row>
    <row r="2065" spans="3:9" s="46" customFormat="1" x14ac:dyDescent="0.2">
      <c r="C2065" s="144"/>
      <c r="D2065" s="144"/>
      <c r="E2065" s="144"/>
      <c r="F2065" s="373"/>
      <c r="H2065" s="2168"/>
      <c r="I2065" s="70"/>
    </row>
    <row r="2066" spans="3:9" s="46" customFormat="1" x14ac:dyDescent="0.2">
      <c r="C2066" s="144"/>
      <c r="D2066" s="144"/>
      <c r="E2066" s="144"/>
      <c r="F2066" s="373"/>
      <c r="H2066" s="2168"/>
      <c r="I2066" s="70"/>
    </row>
    <row r="2067" spans="3:9" s="46" customFormat="1" x14ac:dyDescent="0.2">
      <c r="C2067" s="144"/>
      <c r="D2067" s="144"/>
      <c r="E2067" s="144"/>
      <c r="F2067" s="373"/>
      <c r="H2067" s="2168"/>
      <c r="I2067" s="70"/>
    </row>
    <row r="2068" spans="3:9" s="46" customFormat="1" x14ac:dyDescent="0.2">
      <c r="C2068" s="144"/>
      <c r="D2068" s="144"/>
      <c r="E2068" s="144"/>
      <c r="F2068" s="373"/>
      <c r="H2068" s="2168"/>
      <c r="I2068" s="70"/>
    </row>
    <row r="2069" spans="3:9" s="46" customFormat="1" x14ac:dyDescent="0.2">
      <c r="C2069" s="144"/>
      <c r="D2069" s="144"/>
      <c r="E2069" s="144"/>
      <c r="F2069" s="373"/>
      <c r="H2069" s="2168"/>
      <c r="I2069" s="70"/>
    </row>
    <row r="2070" spans="3:9" s="46" customFormat="1" x14ac:dyDescent="0.2">
      <c r="C2070" s="144"/>
      <c r="D2070" s="144"/>
      <c r="E2070" s="144"/>
      <c r="F2070" s="373"/>
      <c r="H2070" s="2168"/>
      <c r="I2070" s="70"/>
    </row>
    <row r="2071" spans="3:9" s="46" customFormat="1" x14ac:dyDescent="0.2">
      <c r="C2071" s="144"/>
      <c r="D2071" s="144"/>
      <c r="E2071" s="144"/>
      <c r="F2071" s="373"/>
      <c r="H2071" s="2168"/>
      <c r="I2071" s="70"/>
    </row>
    <row r="2072" spans="3:9" s="46" customFormat="1" x14ac:dyDescent="0.2">
      <c r="C2072" s="144"/>
      <c r="D2072" s="144"/>
      <c r="E2072" s="144"/>
      <c r="F2072" s="373"/>
      <c r="H2072" s="2168"/>
      <c r="I2072" s="70"/>
    </row>
    <row r="2073" spans="3:9" s="46" customFormat="1" x14ac:dyDescent="0.2">
      <c r="C2073" s="144"/>
      <c r="D2073" s="144"/>
      <c r="E2073" s="144"/>
      <c r="F2073" s="373"/>
      <c r="H2073" s="2168"/>
      <c r="I2073" s="70"/>
    </row>
    <row r="2074" spans="3:9" s="46" customFormat="1" x14ac:dyDescent="0.2">
      <c r="C2074" s="144"/>
      <c r="D2074" s="144"/>
      <c r="E2074" s="144"/>
      <c r="F2074" s="373"/>
      <c r="H2074" s="2168"/>
      <c r="I2074" s="70"/>
    </row>
    <row r="2075" spans="3:9" s="46" customFormat="1" x14ac:dyDescent="0.2">
      <c r="C2075" s="144"/>
      <c r="D2075" s="144"/>
      <c r="E2075" s="144"/>
      <c r="F2075" s="373"/>
      <c r="H2075" s="2168"/>
      <c r="I2075" s="70"/>
    </row>
    <row r="2076" spans="3:9" s="46" customFormat="1" x14ac:dyDescent="0.2">
      <c r="C2076" s="144"/>
      <c r="D2076" s="144"/>
      <c r="E2076" s="144"/>
      <c r="F2076" s="373"/>
      <c r="H2076" s="2168"/>
      <c r="I2076" s="70"/>
    </row>
    <row r="2077" spans="3:9" s="46" customFormat="1" x14ac:dyDescent="0.2">
      <c r="C2077" s="144"/>
      <c r="D2077" s="144"/>
      <c r="E2077" s="144"/>
      <c r="F2077" s="373"/>
      <c r="H2077" s="2168"/>
      <c r="I2077" s="70"/>
    </row>
    <row r="2078" spans="3:9" s="46" customFormat="1" x14ac:dyDescent="0.2">
      <c r="C2078" s="144"/>
      <c r="D2078" s="144"/>
      <c r="E2078" s="144"/>
      <c r="F2078" s="373"/>
      <c r="H2078" s="2168"/>
      <c r="I2078" s="70"/>
    </row>
    <row r="2079" spans="3:9" s="46" customFormat="1" x14ac:dyDescent="0.2">
      <c r="C2079" s="144"/>
      <c r="D2079" s="144"/>
      <c r="E2079" s="144"/>
      <c r="F2079" s="373"/>
      <c r="H2079" s="2168"/>
      <c r="I2079" s="70"/>
    </row>
    <row r="2080" spans="3:9" s="46" customFormat="1" x14ac:dyDescent="0.2">
      <c r="C2080" s="144"/>
      <c r="D2080" s="144"/>
      <c r="E2080" s="144"/>
      <c r="F2080" s="373"/>
      <c r="H2080" s="2168"/>
      <c r="I2080" s="70"/>
    </row>
    <row r="2081" spans="3:9" s="46" customFormat="1" x14ac:dyDescent="0.2">
      <c r="C2081" s="144"/>
      <c r="D2081" s="144"/>
      <c r="E2081" s="144"/>
      <c r="F2081" s="373"/>
      <c r="H2081" s="2168"/>
      <c r="I2081" s="70"/>
    </row>
    <row r="2082" spans="3:9" s="46" customFormat="1" x14ac:dyDescent="0.2">
      <c r="C2082" s="144"/>
      <c r="D2082" s="144"/>
      <c r="E2082" s="144"/>
      <c r="F2082" s="373"/>
      <c r="H2082" s="2168"/>
      <c r="I2082" s="70"/>
    </row>
    <row r="2083" spans="3:9" s="46" customFormat="1" x14ac:dyDescent="0.2">
      <c r="C2083" s="144"/>
      <c r="D2083" s="144"/>
      <c r="E2083" s="144"/>
      <c r="F2083" s="373"/>
      <c r="H2083" s="2168"/>
      <c r="I2083" s="70"/>
    </row>
    <row r="2084" spans="3:9" s="46" customFormat="1" x14ac:dyDescent="0.2">
      <c r="C2084" s="144"/>
      <c r="D2084" s="144"/>
      <c r="E2084" s="144"/>
      <c r="F2084" s="373"/>
      <c r="H2084" s="2168"/>
      <c r="I2084" s="70"/>
    </row>
    <row r="2085" spans="3:9" s="46" customFormat="1" x14ac:dyDescent="0.2">
      <c r="C2085" s="144"/>
      <c r="D2085" s="144"/>
      <c r="E2085" s="144"/>
      <c r="F2085" s="373"/>
      <c r="H2085" s="2168"/>
      <c r="I2085" s="70"/>
    </row>
    <row r="2086" spans="3:9" s="46" customFormat="1" x14ac:dyDescent="0.2">
      <c r="C2086" s="144"/>
      <c r="D2086" s="144"/>
      <c r="E2086" s="144"/>
      <c r="F2086" s="373"/>
      <c r="H2086" s="2168"/>
      <c r="I2086" s="70"/>
    </row>
    <row r="2087" spans="3:9" s="46" customFormat="1" x14ac:dyDescent="0.2">
      <c r="C2087" s="144"/>
      <c r="D2087" s="144"/>
      <c r="E2087" s="144"/>
      <c r="F2087" s="373"/>
      <c r="H2087" s="2168"/>
      <c r="I2087" s="70"/>
    </row>
    <row r="2088" spans="3:9" s="46" customFormat="1" x14ac:dyDescent="0.2">
      <c r="C2088" s="144"/>
      <c r="D2088" s="144"/>
      <c r="E2088" s="144"/>
      <c r="F2088" s="373"/>
      <c r="H2088" s="2168"/>
      <c r="I2088" s="70"/>
    </row>
    <row r="2089" spans="3:9" s="46" customFormat="1" x14ac:dyDescent="0.2">
      <c r="C2089" s="144"/>
      <c r="D2089" s="144"/>
      <c r="E2089" s="144"/>
      <c r="F2089" s="373"/>
      <c r="H2089" s="2168"/>
      <c r="I2089" s="70"/>
    </row>
    <row r="2090" spans="3:9" s="46" customFormat="1" x14ac:dyDescent="0.2">
      <c r="C2090" s="144"/>
      <c r="D2090" s="144"/>
      <c r="E2090" s="144"/>
      <c r="F2090" s="373"/>
      <c r="H2090" s="2168"/>
      <c r="I2090" s="70"/>
    </row>
    <row r="2091" spans="3:9" s="46" customFormat="1" x14ac:dyDescent="0.2">
      <c r="C2091" s="144"/>
      <c r="D2091" s="144"/>
      <c r="E2091" s="144"/>
      <c r="F2091" s="373"/>
      <c r="H2091" s="2168"/>
      <c r="I2091" s="70"/>
    </row>
    <row r="2092" spans="3:9" s="46" customFormat="1" x14ac:dyDescent="0.2">
      <c r="C2092" s="144"/>
      <c r="D2092" s="144"/>
      <c r="E2092" s="144"/>
      <c r="F2092" s="373"/>
      <c r="H2092" s="2168"/>
      <c r="I2092" s="70"/>
    </row>
    <row r="2093" spans="3:9" s="46" customFormat="1" x14ac:dyDescent="0.2">
      <c r="C2093" s="144"/>
      <c r="D2093" s="144"/>
      <c r="E2093" s="144"/>
      <c r="F2093" s="373"/>
      <c r="H2093" s="2168"/>
      <c r="I2093" s="70"/>
    </row>
    <row r="2094" spans="3:9" s="46" customFormat="1" x14ac:dyDescent="0.2">
      <c r="C2094" s="144"/>
      <c r="D2094" s="144"/>
      <c r="E2094" s="144"/>
      <c r="F2094" s="373"/>
      <c r="H2094" s="2168"/>
      <c r="I2094" s="70"/>
    </row>
    <row r="2095" spans="3:9" s="46" customFormat="1" x14ac:dyDescent="0.2">
      <c r="C2095" s="144"/>
      <c r="D2095" s="144"/>
      <c r="E2095" s="144"/>
      <c r="F2095" s="373"/>
      <c r="H2095" s="2168"/>
      <c r="I2095" s="70"/>
    </row>
    <row r="2096" spans="3:9" s="46" customFormat="1" x14ac:dyDescent="0.2">
      <c r="C2096" s="144"/>
      <c r="D2096" s="144"/>
      <c r="E2096" s="144"/>
      <c r="F2096" s="373"/>
      <c r="H2096" s="2168"/>
      <c r="I2096" s="70"/>
    </row>
    <row r="2097" spans="3:9" s="46" customFormat="1" x14ac:dyDescent="0.2">
      <c r="C2097" s="144"/>
      <c r="D2097" s="144"/>
      <c r="E2097" s="144"/>
      <c r="F2097" s="373"/>
      <c r="H2097" s="2168"/>
      <c r="I2097" s="70"/>
    </row>
    <row r="2098" spans="3:9" s="46" customFormat="1" x14ac:dyDescent="0.2">
      <c r="C2098" s="144"/>
      <c r="D2098" s="144"/>
      <c r="E2098" s="144"/>
      <c r="F2098" s="373"/>
      <c r="H2098" s="2168"/>
      <c r="I2098" s="70"/>
    </row>
    <row r="2099" spans="3:9" s="46" customFormat="1" x14ac:dyDescent="0.2">
      <c r="C2099" s="144"/>
      <c r="D2099" s="144"/>
      <c r="E2099" s="144"/>
      <c r="F2099" s="373"/>
      <c r="H2099" s="2168"/>
      <c r="I2099" s="70"/>
    </row>
    <row r="2100" spans="3:9" s="46" customFormat="1" x14ac:dyDescent="0.2">
      <c r="C2100" s="144"/>
      <c r="D2100" s="144"/>
      <c r="E2100" s="144"/>
      <c r="F2100" s="373"/>
      <c r="H2100" s="2168"/>
      <c r="I2100" s="70"/>
    </row>
    <row r="2101" spans="3:9" s="46" customFormat="1" x14ac:dyDescent="0.2">
      <c r="C2101" s="144"/>
      <c r="D2101" s="144"/>
      <c r="E2101" s="144"/>
      <c r="F2101" s="373"/>
      <c r="H2101" s="2168"/>
      <c r="I2101" s="70"/>
    </row>
    <row r="2102" spans="3:9" s="46" customFormat="1" x14ac:dyDescent="0.2">
      <c r="C2102" s="144"/>
      <c r="D2102" s="144"/>
      <c r="E2102" s="144"/>
      <c r="F2102" s="373"/>
      <c r="H2102" s="2168"/>
      <c r="I2102" s="70"/>
    </row>
    <row r="2103" spans="3:9" s="46" customFormat="1" x14ac:dyDescent="0.2">
      <c r="C2103" s="144"/>
      <c r="D2103" s="144"/>
      <c r="E2103" s="144"/>
      <c r="F2103" s="373"/>
      <c r="H2103" s="2168"/>
      <c r="I2103" s="70"/>
    </row>
    <row r="2104" spans="3:9" s="46" customFormat="1" x14ac:dyDescent="0.2">
      <c r="C2104" s="144"/>
      <c r="D2104" s="144"/>
      <c r="E2104" s="144"/>
      <c r="F2104" s="373"/>
      <c r="H2104" s="2168"/>
      <c r="I2104" s="70"/>
    </row>
    <row r="2105" spans="3:9" s="46" customFormat="1" x14ac:dyDescent="0.2">
      <c r="C2105" s="144"/>
      <c r="D2105" s="144"/>
      <c r="E2105" s="144"/>
      <c r="F2105" s="373"/>
      <c r="H2105" s="2168"/>
      <c r="I2105" s="70"/>
    </row>
    <row r="2106" spans="3:9" s="46" customFormat="1" x14ac:dyDescent="0.2">
      <c r="C2106" s="144"/>
      <c r="D2106" s="144"/>
      <c r="E2106" s="144"/>
      <c r="F2106" s="373"/>
      <c r="H2106" s="2168"/>
      <c r="I2106" s="70"/>
    </row>
    <row r="2107" spans="3:9" s="46" customFormat="1" x14ac:dyDescent="0.2">
      <c r="C2107" s="144"/>
      <c r="D2107" s="144"/>
      <c r="E2107" s="144"/>
      <c r="F2107" s="373"/>
      <c r="H2107" s="2168"/>
      <c r="I2107" s="70"/>
    </row>
    <row r="2108" spans="3:9" s="46" customFormat="1" x14ac:dyDescent="0.2">
      <c r="C2108" s="144"/>
      <c r="D2108" s="144"/>
      <c r="E2108" s="144"/>
      <c r="F2108" s="373"/>
      <c r="H2108" s="2168"/>
      <c r="I2108" s="70"/>
    </row>
    <row r="2109" spans="3:9" s="46" customFormat="1" x14ac:dyDescent="0.2">
      <c r="C2109" s="144"/>
      <c r="D2109" s="144"/>
      <c r="E2109" s="144"/>
      <c r="F2109" s="373"/>
      <c r="H2109" s="2168"/>
      <c r="I2109" s="70"/>
    </row>
    <row r="2110" spans="3:9" s="46" customFormat="1" x14ac:dyDescent="0.2">
      <c r="C2110" s="144"/>
      <c r="D2110" s="144"/>
      <c r="E2110" s="144"/>
      <c r="F2110" s="373"/>
      <c r="H2110" s="2168"/>
      <c r="I2110" s="70"/>
    </row>
    <row r="2111" spans="3:9" s="46" customFormat="1" x14ac:dyDescent="0.2">
      <c r="C2111" s="144"/>
      <c r="D2111" s="144"/>
      <c r="E2111" s="144"/>
      <c r="F2111" s="373"/>
      <c r="H2111" s="2168"/>
      <c r="I2111" s="70"/>
    </row>
    <row r="2112" spans="3:9" s="46" customFormat="1" x14ac:dyDescent="0.2">
      <c r="C2112" s="144"/>
      <c r="D2112" s="144"/>
      <c r="E2112" s="144"/>
      <c r="F2112" s="373"/>
      <c r="H2112" s="2168"/>
      <c r="I2112" s="70"/>
    </row>
    <row r="2113" spans="3:9" s="46" customFormat="1" x14ac:dyDescent="0.2">
      <c r="C2113" s="144"/>
      <c r="D2113" s="144"/>
      <c r="E2113" s="144"/>
      <c r="F2113" s="373"/>
      <c r="H2113" s="2168"/>
      <c r="I2113" s="70"/>
    </row>
    <row r="2114" spans="3:9" s="46" customFormat="1" x14ac:dyDescent="0.2">
      <c r="C2114" s="144"/>
      <c r="D2114" s="144"/>
      <c r="E2114" s="144"/>
      <c r="F2114" s="373"/>
      <c r="H2114" s="2168"/>
      <c r="I2114" s="70"/>
    </row>
    <row r="2115" spans="3:9" s="46" customFormat="1" x14ac:dyDescent="0.2">
      <c r="C2115" s="144"/>
      <c r="D2115" s="144"/>
      <c r="E2115" s="144"/>
      <c r="F2115" s="373"/>
      <c r="H2115" s="2168"/>
      <c r="I2115" s="70"/>
    </row>
    <row r="2116" spans="3:9" s="46" customFormat="1" x14ac:dyDescent="0.2">
      <c r="C2116" s="144"/>
      <c r="D2116" s="144"/>
      <c r="E2116" s="144"/>
      <c r="F2116" s="373"/>
      <c r="H2116" s="2168"/>
      <c r="I2116" s="70"/>
    </row>
    <row r="2117" spans="3:9" s="46" customFormat="1" x14ac:dyDescent="0.2">
      <c r="C2117" s="144"/>
      <c r="D2117" s="144"/>
      <c r="E2117" s="144"/>
      <c r="F2117" s="373"/>
      <c r="H2117" s="2168"/>
      <c r="I2117" s="70"/>
    </row>
    <row r="2118" spans="3:9" s="46" customFormat="1" x14ac:dyDescent="0.2">
      <c r="C2118" s="144"/>
      <c r="D2118" s="144"/>
      <c r="E2118" s="144"/>
      <c r="F2118" s="373"/>
      <c r="H2118" s="2168"/>
      <c r="I2118" s="70"/>
    </row>
    <row r="2119" spans="3:9" s="46" customFormat="1" x14ac:dyDescent="0.2">
      <c r="C2119" s="144"/>
      <c r="D2119" s="144"/>
      <c r="E2119" s="144"/>
      <c r="F2119" s="373"/>
      <c r="H2119" s="2168"/>
      <c r="I2119" s="70"/>
    </row>
    <row r="2120" spans="3:9" s="46" customFormat="1" x14ac:dyDescent="0.2">
      <c r="C2120" s="144"/>
      <c r="D2120" s="144"/>
      <c r="E2120" s="144"/>
      <c r="F2120" s="373"/>
      <c r="H2120" s="2168"/>
      <c r="I2120" s="70"/>
    </row>
    <row r="2121" spans="3:9" s="46" customFormat="1" x14ac:dyDescent="0.2">
      <c r="C2121" s="144"/>
      <c r="D2121" s="144"/>
      <c r="E2121" s="144"/>
      <c r="F2121" s="373"/>
      <c r="H2121" s="2168"/>
      <c r="I2121" s="70"/>
    </row>
    <row r="2122" spans="3:9" s="46" customFormat="1" x14ac:dyDescent="0.2">
      <c r="C2122" s="144"/>
      <c r="D2122" s="144"/>
      <c r="E2122" s="144"/>
      <c r="F2122" s="373"/>
      <c r="H2122" s="2168"/>
      <c r="I2122" s="70"/>
    </row>
    <row r="2123" spans="3:9" s="46" customFormat="1" x14ac:dyDescent="0.2">
      <c r="C2123" s="144"/>
      <c r="D2123" s="144"/>
      <c r="E2123" s="144"/>
      <c r="F2123" s="373"/>
      <c r="H2123" s="2168"/>
      <c r="I2123" s="70"/>
    </row>
    <row r="2124" spans="3:9" s="46" customFormat="1" x14ac:dyDescent="0.2">
      <c r="C2124" s="144"/>
      <c r="D2124" s="144"/>
      <c r="E2124" s="144"/>
      <c r="F2124" s="373"/>
      <c r="H2124" s="2168"/>
      <c r="I2124" s="70"/>
    </row>
    <row r="2125" spans="3:9" s="46" customFormat="1" x14ac:dyDescent="0.2">
      <c r="C2125" s="144"/>
      <c r="D2125" s="144"/>
      <c r="E2125" s="144"/>
      <c r="F2125" s="373"/>
      <c r="H2125" s="2168"/>
      <c r="I2125" s="70"/>
    </row>
    <row r="2126" spans="3:9" s="46" customFormat="1" x14ac:dyDescent="0.2">
      <c r="C2126" s="144"/>
      <c r="D2126" s="144"/>
      <c r="E2126" s="144"/>
      <c r="F2126" s="373"/>
      <c r="H2126" s="2168"/>
      <c r="I2126" s="70"/>
    </row>
    <row r="2127" spans="3:9" s="46" customFormat="1" x14ac:dyDescent="0.2">
      <c r="C2127" s="144"/>
      <c r="D2127" s="144"/>
      <c r="E2127" s="144"/>
      <c r="F2127" s="373"/>
      <c r="H2127" s="2168"/>
      <c r="I2127" s="70"/>
    </row>
    <row r="2128" spans="3:9" s="46" customFormat="1" x14ac:dyDescent="0.2">
      <c r="C2128" s="144"/>
      <c r="D2128" s="144"/>
      <c r="E2128" s="144"/>
      <c r="F2128" s="373"/>
      <c r="H2128" s="2168"/>
      <c r="I2128" s="70"/>
    </row>
    <row r="2129" spans="3:9" s="46" customFormat="1" x14ac:dyDescent="0.2">
      <c r="C2129" s="144"/>
      <c r="D2129" s="144"/>
      <c r="E2129" s="144"/>
      <c r="F2129" s="373"/>
      <c r="H2129" s="2168"/>
      <c r="I2129" s="70"/>
    </row>
    <row r="2130" spans="3:9" s="46" customFormat="1" x14ac:dyDescent="0.2">
      <c r="C2130" s="144"/>
      <c r="D2130" s="144"/>
      <c r="E2130" s="144"/>
      <c r="F2130" s="373"/>
      <c r="H2130" s="2168"/>
      <c r="I2130" s="70"/>
    </row>
    <row r="2131" spans="3:9" s="46" customFormat="1" x14ac:dyDescent="0.2">
      <c r="C2131" s="144"/>
      <c r="D2131" s="144"/>
      <c r="E2131" s="144"/>
      <c r="F2131" s="373"/>
      <c r="H2131" s="2168"/>
      <c r="I2131" s="70"/>
    </row>
    <row r="2132" spans="3:9" s="46" customFormat="1" x14ac:dyDescent="0.2">
      <c r="C2132" s="144"/>
      <c r="D2132" s="144"/>
      <c r="E2132" s="144"/>
      <c r="F2132" s="373"/>
      <c r="H2132" s="2168"/>
      <c r="I2132" s="70"/>
    </row>
    <row r="2133" spans="3:9" s="46" customFormat="1" x14ac:dyDescent="0.2">
      <c r="C2133" s="144"/>
      <c r="D2133" s="144"/>
      <c r="E2133" s="144"/>
      <c r="F2133" s="373"/>
      <c r="H2133" s="2168"/>
      <c r="I2133" s="70"/>
    </row>
    <row r="2134" spans="3:9" s="46" customFormat="1" x14ac:dyDescent="0.2">
      <c r="C2134" s="144"/>
      <c r="D2134" s="144"/>
      <c r="E2134" s="144"/>
      <c r="F2134" s="373"/>
      <c r="H2134" s="2168"/>
      <c r="I2134" s="70"/>
    </row>
    <row r="2135" spans="3:9" s="46" customFormat="1" x14ac:dyDescent="0.2">
      <c r="C2135" s="144"/>
      <c r="D2135" s="144"/>
      <c r="E2135" s="144"/>
      <c r="F2135" s="373"/>
      <c r="H2135" s="2168"/>
      <c r="I2135" s="70"/>
    </row>
    <row r="2136" spans="3:9" s="46" customFormat="1" x14ac:dyDescent="0.2">
      <c r="C2136" s="144"/>
      <c r="D2136" s="144"/>
      <c r="E2136" s="144"/>
      <c r="F2136" s="373"/>
      <c r="H2136" s="2168"/>
      <c r="I2136" s="70"/>
    </row>
    <row r="2137" spans="3:9" s="46" customFormat="1" x14ac:dyDescent="0.2">
      <c r="C2137" s="144"/>
      <c r="D2137" s="144"/>
      <c r="E2137" s="144"/>
      <c r="F2137" s="373"/>
      <c r="H2137" s="2168"/>
      <c r="I2137" s="70"/>
    </row>
    <row r="2138" spans="3:9" s="46" customFormat="1" x14ac:dyDescent="0.2">
      <c r="C2138" s="144"/>
      <c r="D2138" s="144"/>
      <c r="E2138" s="144"/>
      <c r="F2138" s="373"/>
      <c r="H2138" s="2168"/>
      <c r="I2138" s="70"/>
    </row>
    <row r="2139" spans="3:9" s="46" customFormat="1" x14ac:dyDescent="0.2">
      <c r="C2139" s="144"/>
      <c r="D2139" s="144"/>
      <c r="E2139" s="144"/>
      <c r="F2139" s="373"/>
      <c r="H2139" s="2168"/>
      <c r="I2139" s="70"/>
    </row>
    <row r="2140" spans="3:9" s="46" customFormat="1" x14ac:dyDescent="0.2">
      <c r="C2140" s="144"/>
      <c r="D2140" s="144"/>
      <c r="E2140" s="144"/>
      <c r="F2140" s="373"/>
      <c r="H2140" s="2168"/>
      <c r="I2140" s="70"/>
    </row>
    <row r="2141" spans="3:9" s="46" customFormat="1" x14ac:dyDescent="0.2">
      <c r="C2141" s="144"/>
      <c r="D2141" s="144"/>
      <c r="E2141" s="144"/>
      <c r="F2141" s="373"/>
      <c r="H2141" s="2168"/>
      <c r="I2141" s="70"/>
    </row>
    <row r="2142" spans="3:9" s="46" customFormat="1" x14ac:dyDescent="0.2">
      <c r="C2142" s="144"/>
      <c r="D2142" s="144"/>
      <c r="E2142" s="144"/>
      <c r="F2142" s="373"/>
      <c r="H2142" s="2168"/>
      <c r="I2142" s="70"/>
    </row>
    <row r="2143" spans="3:9" s="46" customFormat="1" x14ac:dyDescent="0.2">
      <c r="C2143" s="144"/>
      <c r="D2143" s="144"/>
      <c r="E2143" s="144"/>
      <c r="F2143" s="373"/>
      <c r="H2143" s="2168"/>
      <c r="I2143" s="70"/>
    </row>
    <row r="2144" spans="3:9" s="46" customFormat="1" x14ac:dyDescent="0.2">
      <c r="C2144" s="144"/>
      <c r="D2144" s="144"/>
      <c r="E2144" s="144"/>
      <c r="F2144" s="373"/>
      <c r="H2144" s="2168"/>
      <c r="I2144" s="70"/>
    </row>
    <row r="2145" spans="3:9" s="46" customFormat="1" x14ac:dyDescent="0.2">
      <c r="C2145" s="144"/>
      <c r="D2145" s="144"/>
      <c r="E2145" s="144"/>
      <c r="F2145" s="373"/>
      <c r="H2145" s="2168"/>
      <c r="I2145" s="70"/>
    </row>
    <row r="2146" spans="3:9" s="46" customFormat="1" x14ac:dyDescent="0.2">
      <c r="C2146" s="144"/>
      <c r="D2146" s="144"/>
      <c r="E2146" s="144"/>
      <c r="F2146" s="373"/>
      <c r="H2146" s="2168"/>
      <c r="I2146" s="70"/>
    </row>
    <row r="2147" spans="3:9" s="46" customFormat="1" x14ac:dyDescent="0.2">
      <c r="C2147" s="144"/>
      <c r="D2147" s="144"/>
      <c r="E2147" s="144"/>
      <c r="F2147" s="373"/>
      <c r="H2147" s="2168"/>
      <c r="I2147" s="70"/>
    </row>
    <row r="2148" spans="3:9" s="46" customFormat="1" x14ac:dyDescent="0.2">
      <c r="C2148" s="144"/>
      <c r="D2148" s="144"/>
      <c r="E2148" s="144"/>
      <c r="F2148" s="373"/>
      <c r="H2148" s="2168"/>
      <c r="I2148" s="70"/>
    </row>
    <row r="2149" spans="3:9" s="46" customFormat="1" x14ac:dyDescent="0.2">
      <c r="C2149" s="144"/>
      <c r="D2149" s="144"/>
      <c r="E2149" s="144"/>
      <c r="F2149" s="373"/>
      <c r="H2149" s="2168"/>
      <c r="I2149" s="70"/>
    </row>
    <row r="2150" spans="3:9" s="46" customFormat="1" x14ac:dyDescent="0.2">
      <c r="C2150" s="144"/>
      <c r="D2150" s="144"/>
      <c r="E2150" s="144"/>
      <c r="F2150" s="373"/>
      <c r="H2150" s="2168"/>
      <c r="I2150" s="70"/>
    </row>
    <row r="2151" spans="3:9" s="46" customFormat="1" x14ac:dyDescent="0.2">
      <c r="C2151" s="144"/>
      <c r="D2151" s="144"/>
      <c r="E2151" s="144"/>
      <c r="F2151" s="373"/>
      <c r="H2151" s="2168"/>
      <c r="I2151" s="70"/>
    </row>
    <row r="2152" spans="3:9" s="46" customFormat="1" x14ac:dyDescent="0.2">
      <c r="C2152" s="144"/>
      <c r="D2152" s="144"/>
      <c r="E2152" s="144"/>
      <c r="F2152" s="373"/>
      <c r="H2152" s="2168"/>
      <c r="I2152" s="70"/>
    </row>
    <row r="2153" spans="3:9" s="46" customFormat="1" x14ac:dyDescent="0.2">
      <c r="C2153" s="144"/>
      <c r="D2153" s="144"/>
      <c r="E2153" s="144"/>
      <c r="F2153" s="373"/>
      <c r="H2153" s="2168"/>
      <c r="I2153" s="70"/>
    </row>
    <row r="2154" spans="3:9" s="46" customFormat="1" x14ac:dyDescent="0.2">
      <c r="C2154" s="144"/>
      <c r="D2154" s="144"/>
      <c r="E2154" s="144"/>
      <c r="F2154" s="373"/>
      <c r="H2154" s="2168"/>
      <c r="I2154" s="70"/>
    </row>
    <row r="2155" spans="3:9" s="46" customFormat="1" x14ac:dyDescent="0.2">
      <c r="C2155" s="144"/>
      <c r="D2155" s="144"/>
      <c r="E2155" s="144"/>
      <c r="F2155" s="373"/>
      <c r="H2155" s="2168"/>
      <c r="I2155" s="70"/>
    </row>
    <row r="2156" spans="3:9" s="46" customFormat="1" x14ac:dyDescent="0.2">
      <c r="C2156" s="144"/>
      <c r="D2156" s="144"/>
      <c r="E2156" s="144"/>
      <c r="F2156" s="373"/>
      <c r="H2156" s="2168"/>
      <c r="I2156" s="70"/>
    </row>
    <row r="2157" spans="3:9" s="46" customFormat="1" x14ac:dyDescent="0.2">
      <c r="C2157" s="144"/>
      <c r="D2157" s="144"/>
      <c r="E2157" s="144"/>
      <c r="F2157" s="373"/>
      <c r="H2157" s="2168"/>
      <c r="I2157" s="70"/>
    </row>
    <row r="2158" spans="3:9" s="46" customFormat="1" x14ac:dyDescent="0.2">
      <c r="C2158" s="144"/>
      <c r="D2158" s="144"/>
      <c r="E2158" s="144"/>
      <c r="F2158" s="373"/>
      <c r="H2158" s="2168"/>
      <c r="I2158" s="70"/>
    </row>
    <row r="2159" spans="3:9" s="46" customFormat="1" x14ac:dyDescent="0.2">
      <c r="C2159" s="144"/>
      <c r="D2159" s="144"/>
      <c r="E2159" s="144"/>
      <c r="F2159" s="373"/>
      <c r="H2159" s="2168"/>
      <c r="I2159" s="70"/>
    </row>
    <row r="2160" spans="3:9" s="46" customFormat="1" x14ac:dyDescent="0.2">
      <c r="C2160" s="144"/>
      <c r="D2160" s="144"/>
      <c r="E2160" s="144"/>
      <c r="F2160" s="373"/>
      <c r="H2160" s="2168"/>
      <c r="I2160" s="70"/>
    </row>
    <row r="2161" spans="3:9" s="46" customFormat="1" x14ac:dyDescent="0.2">
      <c r="C2161" s="144"/>
      <c r="D2161" s="144"/>
      <c r="E2161" s="144"/>
      <c r="F2161" s="373"/>
      <c r="H2161" s="2168"/>
      <c r="I2161" s="70"/>
    </row>
    <row r="2162" spans="3:9" s="46" customFormat="1" x14ac:dyDescent="0.2">
      <c r="C2162" s="144"/>
      <c r="D2162" s="144"/>
      <c r="E2162" s="144"/>
      <c r="F2162" s="373"/>
      <c r="H2162" s="2168"/>
      <c r="I2162" s="70"/>
    </row>
    <row r="2163" spans="3:9" s="46" customFormat="1" x14ac:dyDescent="0.2">
      <c r="C2163" s="144"/>
      <c r="D2163" s="144"/>
      <c r="E2163" s="144"/>
      <c r="F2163" s="373"/>
      <c r="H2163" s="2168"/>
      <c r="I2163" s="70"/>
    </row>
    <row r="2164" spans="3:9" s="46" customFormat="1" x14ac:dyDescent="0.2">
      <c r="C2164" s="144"/>
      <c r="D2164" s="144"/>
      <c r="E2164" s="144"/>
      <c r="F2164" s="373"/>
      <c r="H2164" s="2168"/>
      <c r="I2164" s="70"/>
    </row>
    <row r="2165" spans="3:9" s="46" customFormat="1" x14ac:dyDescent="0.2">
      <c r="C2165" s="144"/>
      <c r="D2165" s="144"/>
      <c r="E2165" s="144"/>
      <c r="F2165" s="373"/>
      <c r="H2165" s="2168"/>
      <c r="I2165" s="70"/>
    </row>
    <row r="2166" spans="3:9" s="46" customFormat="1" x14ac:dyDescent="0.2">
      <c r="C2166" s="144"/>
      <c r="D2166" s="144"/>
      <c r="E2166" s="144"/>
      <c r="F2166" s="373"/>
      <c r="H2166" s="2168"/>
      <c r="I2166" s="70"/>
    </row>
    <row r="2167" spans="3:9" s="46" customFormat="1" x14ac:dyDescent="0.2">
      <c r="C2167" s="144"/>
      <c r="D2167" s="144"/>
      <c r="E2167" s="144"/>
      <c r="F2167" s="373"/>
      <c r="H2167" s="2168"/>
      <c r="I2167" s="70"/>
    </row>
    <row r="2168" spans="3:9" s="46" customFormat="1" x14ac:dyDescent="0.2">
      <c r="C2168" s="144"/>
      <c r="D2168" s="144"/>
      <c r="E2168" s="144"/>
      <c r="F2168" s="373"/>
      <c r="H2168" s="2168"/>
      <c r="I2168" s="70"/>
    </row>
    <row r="2169" spans="3:9" s="46" customFormat="1" x14ac:dyDescent="0.2">
      <c r="C2169" s="144"/>
      <c r="D2169" s="144"/>
      <c r="E2169" s="144"/>
      <c r="F2169" s="373"/>
      <c r="H2169" s="2168"/>
      <c r="I2169" s="70"/>
    </row>
    <row r="2170" spans="3:9" s="46" customFormat="1" x14ac:dyDescent="0.2">
      <c r="C2170" s="144"/>
      <c r="D2170" s="144"/>
      <c r="E2170" s="144"/>
      <c r="F2170" s="373"/>
      <c r="H2170" s="2168"/>
      <c r="I2170" s="70"/>
    </row>
    <row r="2171" spans="3:9" s="46" customFormat="1" x14ac:dyDescent="0.2">
      <c r="C2171" s="144"/>
      <c r="D2171" s="144"/>
      <c r="E2171" s="144"/>
      <c r="F2171" s="373"/>
      <c r="H2171" s="2168"/>
      <c r="I2171" s="70"/>
    </row>
    <row r="2172" spans="3:9" s="46" customFormat="1" x14ac:dyDescent="0.2">
      <c r="C2172" s="144"/>
      <c r="D2172" s="144"/>
      <c r="E2172" s="144"/>
      <c r="F2172" s="373"/>
      <c r="H2172" s="2168"/>
      <c r="I2172" s="70"/>
    </row>
    <row r="2173" spans="3:9" s="46" customFormat="1" x14ac:dyDescent="0.2">
      <c r="C2173" s="144"/>
      <c r="D2173" s="144"/>
      <c r="E2173" s="144"/>
      <c r="F2173" s="373"/>
      <c r="H2173" s="2168"/>
      <c r="I2173" s="70"/>
    </row>
    <row r="2174" spans="3:9" s="46" customFormat="1" x14ac:dyDescent="0.2">
      <c r="C2174" s="144"/>
      <c r="D2174" s="144"/>
      <c r="E2174" s="144"/>
      <c r="F2174" s="373"/>
      <c r="H2174" s="2168"/>
      <c r="I2174" s="70"/>
    </row>
    <row r="2175" spans="3:9" s="46" customFormat="1" x14ac:dyDescent="0.2">
      <c r="C2175" s="144"/>
      <c r="D2175" s="144"/>
      <c r="E2175" s="144"/>
      <c r="F2175" s="373"/>
      <c r="H2175" s="2168"/>
      <c r="I2175" s="70"/>
    </row>
    <row r="2176" spans="3:9" s="46" customFormat="1" x14ac:dyDescent="0.2">
      <c r="C2176" s="144"/>
      <c r="D2176" s="144"/>
      <c r="E2176" s="144"/>
      <c r="F2176" s="373"/>
      <c r="H2176" s="2168"/>
      <c r="I2176" s="70"/>
    </row>
    <row r="2177" spans="3:9" s="46" customFormat="1" x14ac:dyDescent="0.2">
      <c r="C2177" s="144"/>
      <c r="D2177" s="144"/>
      <c r="E2177" s="144"/>
      <c r="F2177" s="373"/>
      <c r="H2177" s="2168"/>
      <c r="I2177" s="70"/>
    </row>
    <row r="2178" spans="3:9" s="46" customFormat="1" x14ac:dyDescent="0.2">
      <c r="C2178" s="144"/>
      <c r="D2178" s="144"/>
      <c r="E2178" s="144"/>
      <c r="F2178" s="373"/>
      <c r="H2178" s="2168"/>
      <c r="I2178" s="70"/>
    </row>
    <row r="2179" spans="3:9" s="46" customFormat="1" x14ac:dyDescent="0.2">
      <c r="C2179" s="144"/>
      <c r="D2179" s="144"/>
      <c r="E2179" s="144"/>
      <c r="F2179" s="373"/>
      <c r="H2179" s="2168"/>
      <c r="I2179" s="70"/>
    </row>
    <row r="2180" spans="3:9" s="46" customFormat="1" x14ac:dyDescent="0.2">
      <c r="C2180" s="144"/>
      <c r="D2180" s="144"/>
      <c r="E2180" s="144"/>
      <c r="F2180" s="373"/>
      <c r="H2180" s="2168"/>
      <c r="I2180" s="70"/>
    </row>
    <row r="2181" spans="3:9" s="46" customFormat="1" x14ac:dyDescent="0.2">
      <c r="C2181" s="144"/>
      <c r="D2181" s="144"/>
      <c r="E2181" s="144"/>
      <c r="F2181" s="373"/>
      <c r="H2181" s="2168"/>
      <c r="I2181" s="70"/>
    </row>
    <row r="2182" spans="3:9" s="46" customFormat="1" x14ac:dyDescent="0.2">
      <c r="C2182" s="144"/>
      <c r="D2182" s="144"/>
      <c r="E2182" s="144"/>
      <c r="F2182" s="373"/>
      <c r="H2182" s="2168"/>
      <c r="I2182" s="70"/>
    </row>
    <row r="2183" spans="3:9" s="46" customFormat="1" x14ac:dyDescent="0.2">
      <c r="C2183" s="144"/>
      <c r="D2183" s="144"/>
      <c r="E2183" s="144"/>
      <c r="F2183" s="373"/>
      <c r="H2183" s="2168"/>
      <c r="I2183" s="70"/>
    </row>
    <row r="2184" spans="3:9" s="46" customFormat="1" x14ac:dyDescent="0.2">
      <c r="C2184" s="144"/>
      <c r="D2184" s="144"/>
      <c r="E2184" s="144"/>
      <c r="F2184" s="373"/>
      <c r="H2184" s="2168"/>
      <c r="I2184" s="70"/>
    </row>
    <row r="2185" spans="3:9" s="46" customFormat="1" x14ac:dyDescent="0.2">
      <c r="C2185" s="144"/>
      <c r="D2185" s="144"/>
      <c r="E2185" s="144"/>
      <c r="F2185" s="373"/>
      <c r="H2185" s="2168"/>
      <c r="I2185" s="70"/>
    </row>
    <row r="2186" spans="3:9" s="46" customFormat="1" x14ac:dyDescent="0.2">
      <c r="C2186" s="144"/>
      <c r="D2186" s="144"/>
      <c r="E2186" s="144"/>
      <c r="F2186" s="373"/>
      <c r="H2186" s="2168"/>
      <c r="I2186" s="70"/>
    </row>
    <row r="2187" spans="3:9" s="46" customFormat="1" x14ac:dyDescent="0.2">
      <c r="C2187" s="144"/>
      <c r="D2187" s="144"/>
      <c r="E2187" s="144"/>
      <c r="F2187" s="373"/>
      <c r="H2187" s="2168"/>
      <c r="I2187" s="70"/>
    </row>
    <row r="2188" spans="3:9" s="46" customFormat="1" x14ac:dyDescent="0.2">
      <c r="C2188" s="144"/>
      <c r="D2188" s="144"/>
      <c r="E2188" s="144"/>
      <c r="F2188" s="373"/>
      <c r="H2188" s="2168"/>
      <c r="I2188" s="70"/>
    </row>
    <row r="2189" spans="3:9" s="46" customFormat="1" x14ac:dyDescent="0.2">
      <c r="C2189" s="144"/>
      <c r="D2189" s="144"/>
      <c r="E2189" s="144"/>
      <c r="F2189" s="373"/>
      <c r="H2189" s="2168"/>
      <c r="I2189" s="70"/>
    </row>
    <row r="2190" spans="3:9" s="46" customFormat="1" x14ac:dyDescent="0.2">
      <c r="C2190" s="144"/>
      <c r="D2190" s="144"/>
      <c r="E2190" s="144"/>
      <c r="F2190" s="373"/>
      <c r="H2190" s="2168"/>
      <c r="I2190" s="70"/>
    </row>
    <row r="2191" spans="3:9" s="46" customFormat="1" x14ac:dyDescent="0.2">
      <c r="C2191" s="144"/>
      <c r="D2191" s="144"/>
      <c r="E2191" s="144"/>
      <c r="F2191" s="373"/>
      <c r="H2191" s="2168"/>
      <c r="I2191" s="70"/>
    </row>
    <row r="2192" spans="3:9" s="46" customFormat="1" x14ac:dyDescent="0.2">
      <c r="C2192" s="144"/>
      <c r="D2192" s="144"/>
      <c r="E2192" s="144"/>
      <c r="F2192" s="373"/>
      <c r="H2192" s="2168"/>
      <c r="I2192" s="70"/>
    </row>
    <row r="2193" spans="3:9" s="46" customFormat="1" x14ac:dyDescent="0.2">
      <c r="C2193" s="144"/>
      <c r="D2193" s="144"/>
      <c r="E2193" s="144"/>
      <c r="F2193" s="373"/>
      <c r="H2193" s="2168"/>
      <c r="I2193" s="70"/>
    </row>
    <row r="2194" spans="3:9" s="46" customFormat="1" x14ac:dyDescent="0.2">
      <c r="C2194" s="144"/>
      <c r="D2194" s="144"/>
      <c r="E2194" s="144"/>
      <c r="F2194" s="373"/>
      <c r="H2194" s="2168"/>
      <c r="I2194" s="70"/>
    </row>
    <row r="2195" spans="3:9" s="46" customFormat="1" x14ac:dyDescent="0.2">
      <c r="C2195" s="144"/>
      <c r="D2195" s="144"/>
      <c r="E2195" s="144"/>
      <c r="F2195" s="373"/>
      <c r="H2195" s="2168"/>
      <c r="I2195" s="70"/>
    </row>
    <row r="2196" spans="3:9" s="46" customFormat="1" x14ac:dyDescent="0.2">
      <c r="C2196" s="144"/>
      <c r="D2196" s="144"/>
      <c r="E2196" s="144"/>
      <c r="F2196" s="373"/>
      <c r="H2196" s="2168"/>
      <c r="I2196" s="70"/>
    </row>
    <row r="2197" spans="3:9" s="46" customFormat="1" x14ac:dyDescent="0.2">
      <c r="C2197" s="144"/>
      <c r="D2197" s="144"/>
      <c r="E2197" s="144"/>
      <c r="F2197" s="373"/>
      <c r="H2197" s="2168"/>
      <c r="I2197" s="70"/>
    </row>
    <row r="2198" spans="3:9" s="46" customFormat="1" x14ac:dyDescent="0.2">
      <c r="C2198" s="144"/>
      <c r="D2198" s="144"/>
      <c r="E2198" s="144"/>
      <c r="F2198" s="373"/>
      <c r="H2198" s="2168"/>
      <c r="I2198" s="70"/>
    </row>
    <row r="2199" spans="3:9" s="46" customFormat="1" x14ac:dyDescent="0.2">
      <c r="C2199" s="144"/>
      <c r="D2199" s="144"/>
      <c r="E2199" s="144"/>
      <c r="F2199" s="373"/>
      <c r="H2199" s="2168"/>
      <c r="I2199" s="70"/>
    </row>
    <row r="2200" spans="3:9" s="46" customFormat="1" x14ac:dyDescent="0.2">
      <c r="C2200" s="144"/>
      <c r="D2200" s="144"/>
      <c r="E2200" s="144"/>
      <c r="F2200" s="373"/>
      <c r="H2200" s="2168"/>
      <c r="I2200" s="70"/>
    </row>
    <row r="2201" spans="3:9" s="46" customFormat="1" x14ac:dyDescent="0.2">
      <c r="C2201" s="144"/>
      <c r="D2201" s="144"/>
      <c r="E2201" s="144"/>
      <c r="F2201" s="373"/>
      <c r="H2201" s="2168"/>
      <c r="I2201" s="70"/>
    </row>
    <row r="2202" spans="3:9" s="46" customFormat="1" x14ac:dyDescent="0.2">
      <c r="C2202" s="144"/>
      <c r="D2202" s="144"/>
      <c r="E2202" s="144"/>
      <c r="F2202" s="373"/>
      <c r="H2202" s="2168"/>
      <c r="I2202" s="70"/>
    </row>
    <row r="2203" spans="3:9" s="46" customFormat="1" x14ac:dyDescent="0.2">
      <c r="C2203" s="144"/>
      <c r="D2203" s="144"/>
      <c r="E2203" s="144"/>
      <c r="F2203" s="373"/>
      <c r="H2203" s="2168"/>
      <c r="I2203" s="70"/>
    </row>
    <row r="2204" spans="3:9" s="46" customFormat="1" x14ac:dyDescent="0.2">
      <c r="C2204" s="144"/>
      <c r="D2204" s="144"/>
      <c r="E2204" s="144"/>
      <c r="F2204" s="373"/>
      <c r="H2204" s="2168"/>
      <c r="I2204" s="70"/>
    </row>
    <row r="2205" spans="3:9" s="46" customFormat="1" x14ac:dyDescent="0.2">
      <c r="C2205" s="144"/>
      <c r="D2205" s="144"/>
      <c r="E2205" s="144"/>
      <c r="F2205" s="373"/>
      <c r="H2205" s="2168"/>
      <c r="I2205" s="70"/>
    </row>
    <row r="2206" spans="3:9" s="46" customFormat="1" x14ac:dyDescent="0.2">
      <c r="C2206" s="144"/>
      <c r="D2206" s="144"/>
      <c r="E2206" s="144"/>
      <c r="F2206" s="373"/>
      <c r="H2206" s="2168"/>
      <c r="I2206" s="70"/>
    </row>
    <row r="2207" spans="3:9" s="46" customFormat="1" x14ac:dyDescent="0.2">
      <c r="C2207" s="144"/>
      <c r="D2207" s="144"/>
      <c r="E2207" s="144"/>
      <c r="F2207" s="373"/>
      <c r="H2207" s="2168"/>
      <c r="I2207" s="70"/>
    </row>
    <row r="2208" spans="3:9" s="46" customFormat="1" x14ac:dyDescent="0.2">
      <c r="C2208" s="144"/>
      <c r="D2208" s="144"/>
      <c r="E2208" s="144"/>
      <c r="F2208" s="373"/>
      <c r="H2208" s="2168"/>
      <c r="I2208" s="70"/>
    </row>
    <row r="2209" spans="3:9" s="46" customFormat="1" x14ac:dyDescent="0.2">
      <c r="C2209" s="144"/>
      <c r="D2209" s="144"/>
      <c r="E2209" s="144"/>
      <c r="F2209" s="373"/>
      <c r="H2209" s="2168"/>
      <c r="I2209" s="70"/>
    </row>
    <row r="2210" spans="3:9" s="46" customFormat="1" x14ac:dyDescent="0.2">
      <c r="C2210" s="144"/>
      <c r="D2210" s="144"/>
      <c r="E2210" s="144"/>
      <c r="F2210" s="373"/>
      <c r="H2210" s="2168"/>
      <c r="I2210" s="70"/>
    </row>
    <row r="2211" spans="3:9" s="46" customFormat="1" x14ac:dyDescent="0.2">
      <c r="C2211" s="144"/>
      <c r="D2211" s="144"/>
      <c r="E2211" s="144"/>
      <c r="F2211" s="373"/>
      <c r="H2211" s="2168"/>
      <c r="I2211" s="70"/>
    </row>
    <row r="2212" spans="3:9" s="46" customFormat="1" x14ac:dyDescent="0.2">
      <c r="C2212" s="144"/>
      <c r="D2212" s="144"/>
      <c r="E2212" s="144"/>
      <c r="F2212" s="373"/>
      <c r="H2212" s="2168"/>
      <c r="I2212" s="70"/>
    </row>
    <row r="2213" spans="3:9" s="46" customFormat="1" x14ac:dyDescent="0.2">
      <c r="C2213" s="144"/>
      <c r="D2213" s="144"/>
      <c r="E2213" s="144"/>
      <c r="F2213" s="373"/>
      <c r="H2213" s="2168"/>
      <c r="I2213" s="70"/>
    </row>
    <row r="2214" spans="3:9" s="46" customFormat="1" x14ac:dyDescent="0.2">
      <c r="C2214" s="144"/>
      <c r="D2214" s="144"/>
      <c r="E2214" s="144"/>
      <c r="F2214" s="373"/>
      <c r="H2214" s="2168"/>
      <c r="I2214" s="70"/>
    </row>
    <row r="2215" spans="3:9" s="46" customFormat="1" x14ac:dyDescent="0.2">
      <c r="C2215" s="144"/>
      <c r="D2215" s="144"/>
      <c r="E2215" s="144"/>
      <c r="F2215" s="373"/>
      <c r="H2215" s="2168"/>
      <c r="I2215" s="70"/>
    </row>
    <row r="2216" spans="3:9" s="46" customFormat="1" x14ac:dyDescent="0.2">
      <c r="C2216" s="144"/>
      <c r="D2216" s="144"/>
      <c r="E2216" s="144"/>
      <c r="F2216" s="373"/>
      <c r="H2216" s="2168"/>
      <c r="I2216" s="70"/>
    </row>
    <row r="2217" spans="3:9" s="46" customFormat="1" x14ac:dyDescent="0.2">
      <c r="C2217" s="144"/>
      <c r="D2217" s="144"/>
      <c r="E2217" s="144"/>
      <c r="F2217" s="373"/>
      <c r="H2217" s="2168"/>
      <c r="I2217" s="70"/>
    </row>
    <row r="2218" spans="3:9" s="46" customFormat="1" x14ac:dyDescent="0.2">
      <c r="C2218" s="144"/>
      <c r="D2218" s="144"/>
      <c r="E2218" s="144"/>
      <c r="F2218" s="373"/>
      <c r="H2218" s="2168"/>
      <c r="I2218" s="70"/>
    </row>
    <row r="2219" spans="3:9" s="46" customFormat="1" x14ac:dyDescent="0.2">
      <c r="C2219" s="144"/>
      <c r="D2219" s="144"/>
      <c r="E2219" s="144"/>
      <c r="F2219" s="373"/>
      <c r="H2219" s="2168"/>
      <c r="I2219" s="70"/>
    </row>
    <row r="2220" spans="3:9" s="46" customFormat="1" x14ac:dyDescent="0.2">
      <c r="C2220" s="144"/>
      <c r="D2220" s="144"/>
      <c r="E2220" s="144"/>
      <c r="F2220" s="373"/>
      <c r="H2220" s="2168"/>
      <c r="I2220" s="70"/>
    </row>
    <row r="2221" spans="3:9" s="46" customFormat="1" x14ac:dyDescent="0.2">
      <c r="C2221" s="144"/>
      <c r="D2221" s="144"/>
      <c r="E2221" s="144"/>
      <c r="F2221" s="373"/>
      <c r="H2221" s="2168"/>
      <c r="I2221" s="70"/>
    </row>
    <row r="2222" spans="3:9" s="46" customFormat="1" x14ac:dyDescent="0.2">
      <c r="C2222" s="144"/>
      <c r="D2222" s="144"/>
      <c r="E2222" s="144"/>
      <c r="F2222" s="373"/>
      <c r="H2222" s="2168"/>
      <c r="I2222" s="70"/>
    </row>
    <row r="2223" spans="3:9" s="46" customFormat="1" x14ac:dyDescent="0.2">
      <c r="C2223" s="144"/>
      <c r="D2223" s="144"/>
      <c r="E2223" s="144"/>
      <c r="F2223" s="373"/>
      <c r="H2223" s="2168"/>
      <c r="I2223" s="70"/>
    </row>
    <row r="2224" spans="3:9" s="46" customFormat="1" x14ac:dyDescent="0.2">
      <c r="C2224" s="144"/>
      <c r="D2224" s="144"/>
      <c r="E2224" s="144"/>
      <c r="F2224" s="373"/>
      <c r="H2224" s="2168"/>
      <c r="I2224" s="70"/>
    </row>
    <row r="2225" spans="3:9" s="46" customFormat="1" x14ac:dyDescent="0.2">
      <c r="C2225" s="144"/>
      <c r="D2225" s="144"/>
      <c r="E2225" s="144"/>
      <c r="F2225" s="373"/>
      <c r="H2225" s="2168"/>
      <c r="I2225" s="70"/>
    </row>
    <row r="2226" spans="3:9" s="46" customFormat="1" x14ac:dyDescent="0.2">
      <c r="C2226" s="144"/>
      <c r="D2226" s="144"/>
      <c r="E2226" s="144"/>
      <c r="F2226" s="373"/>
      <c r="H2226" s="2168"/>
      <c r="I2226" s="70"/>
    </row>
    <row r="2227" spans="3:9" s="46" customFormat="1" x14ac:dyDescent="0.2">
      <c r="C2227" s="144"/>
      <c r="D2227" s="144"/>
      <c r="E2227" s="144"/>
      <c r="F2227" s="373"/>
      <c r="H2227" s="2168"/>
      <c r="I2227" s="70"/>
    </row>
    <row r="2228" spans="3:9" s="46" customFormat="1" x14ac:dyDescent="0.2">
      <c r="C2228" s="144"/>
      <c r="D2228" s="144"/>
      <c r="E2228" s="144"/>
      <c r="F2228" s="373"/>
      <c r="H2228" s="2168"/>
      <c r="I2228" s="70"/>
    </row>
    <row r="2229" spans="3:9" s="46" customFormat="1" x14ac:dyDescent="0.2">
      <c r="C2229" s="144"/>
      <c r="D2229" s="144"/>
      <c r="E2229" s="144"/>
      <c r="F2229" s="373"/>
      <c r="H2229" s="2168"/>
      <c r="I2229" s="70"/>
    </row>
    <row r="2230" spans="3:9" s="46" customFormat="1" x14ac:dyDescent="0.2">
      <c r="C2230" s="144"/>
      <c r="D2230" s="144"/>
      <c r="E2230" s="144"/>
      <c r="F2230" s="373"/>
      <c r="H2230" s="2168"/>
      <c r="I2230" s="70"/>
    </row>
    <row r="2231" spans="3:9" s="46" customFormat="1" x14ac:dyDescent="0.2">
      <c r="C2231" s="144"/>
      <c r="D2231" s="144"/>
      <c r="E2231" s="144"/>
      <c r="F2231" s="373"/>
      <c r="H2231" s="2168"/>
      <c r="I2231" s="70"/>
    </row>
    <row r="2232" spans="3:9" s="46" customFormat="1" x14ac:dyDescent="0.2">
      <c r="C2232" s="144"/>
      <c r="D2232" s="144"/>
      <c r="E2232" s="144"/>
      <c r="F2232" s="373"/>
      <c r="H2232" s="2168"/>
      <c r="I2232" s="70"/>
    </row>
    <row r="2233" spans="3:9" s="46" customFormat="1" x14ac:dyDescent="0.2">
      <c r="C2233" s="144"/>
      <c r="D2233" s="144"/>
      <c r="E2233" s="144"/>
      <c r="F2233" s="373"/>
      <c r="H2233" s="2168"/>
      <c r="I2233" s="70"/>
    </row>
    <row r="2234" spans="3:9" s="46" customFormat="1" x14ac:dyDescent="0.2">
      <c r="C2234" s="144"/>
      <c r="D2234" s="144"/>
      <c r="E2234" s="144"/>
      <c r="F2234" s="373"/>
      <c r="H2234" s="2168"/>
      <c r="I2234" s="70"/>
    </row>
    <row r="2235" spans="3:9" s="46" customFormat="1" x14ac:dyDescent="0.2">
      <c r="C2235" s="144"/>
      <c r="D2235" s="144"/>
      <c r="E2235" s="144"/>
      <c r="F2235" s="373"/>
      <c r="H2235" s="2168"/>
      <c r="I2235" s="70"/>
    </row>
    <row r="2236" spans="3:9" s="46" customFormat="1" x14ac:dyDescent="0.2">
      <c r="C2236" s="144"/>
      <c r="D2236" s="144"/>
      <c r="E2236" s="144"/>
      <c r="F2236" s="373"/>
      <c r="H2236" s="2168"/>
      <c r="I2236" s="70"/>
    </row>
    <row r="2237" spans="3:9" s="46" customFormat="1" x14ac:dyDescent="0.2">
      <c r="C2237" s="144"/>
      <c r="D2237" s="144"/>
      <c r="E2237" s="144"/>
      <c r="F2237" s="373"/>
      <c r="H2237" s="2168"/>
      <c r="I2237" s="70"/>
    </row>
    <row r="2238" spans="3:9" s="46" customFormat="1" x14ac:dyDescent="0.2">
      <c r="C2238" s="144"/>
      <c r="D2238" s="144"/>
      <c r="E2238" s="144"/>
      <c r="F2238" s="373"/>
      <c r="H2238" s="2168"/>
      <c r="I2238" s="70"/>
    </row>
    <row r="2239" spans="3:9" s="46" customFormat="1" x14ac:dyDescent="0.2">
      <c r="C2239" s="144"/>
      <c r="D2239" s="144"/>
      <c r="E2239" s="144"/>
      <c r="F2239" s="373"/>
      <c r="H2239" s="2168"/>
      <c r="I2239" s="70"/>
    </row>
    <row r="2240" spans="3:9" s="46" customFormat="1" x14ac:dyDescent="0.2">
      <c r="C2240" s="144"/>
      <c r="D2240" s="144"/>
      <c r="E2240" s="144"/>
      <c r="F2240" s="373"/>
      <c r="H2240" s="2168"/>
      <c r="I2240" s="70"/>
    </row>
    <row r="2241" spans="3:9" s="46" customFormat="1" x14ac:dyDescent="0.2">
      <c r="C2241" s="144"/>
      <c r="D2241" s="144"/>
      <c r="E2241" s="144"/>
      <c r="F2241" s="373"/>
      <c r="H2241" s="2168"/>
      <c r="I2241" s="70"/>
    </row>
    <row r="2242" spans="3:9" s="46" customFormat="1" x14ac:dyDescent="0.2">
      <c r="C2242" s="144"/>
      <c r="D2242" s="144"/>
      <c r="E2242" s="144"/>
      <c r="F2242" s="373"/>
      <c r="H2242" s="2168"/>
      <c r="I2242" s="70"/>
    </row>
    <row r="2243" spans="3:9" s="46" customFormat="1" x14ac:dyDescent="0.2">
      <c r="C2243" s="144"/>
      <c r="D2243" s="144"/>
      <c r="E2243" s="144"/>
      <c r="F2243" s="373"/>
      <c r="H2243" s="2168"/>
      <c r="I2243" s="70"/>
    </row>
    <row r="2244" spans="3:9" s="46" customFormat="1" x14ac:dyDescent="0.2">
      <c r="C2244" s="144"/>
      <c r="D2244" s="144"/>
      <c r="E2244" s="144"/>
      <c r="F2244" s="373"/>
      <c r="H2244" s="2168"/>
      <c r="I2244" s="70"/>
    </row>
    <row r="2245" spans="3:9" s="46" customFormat="1" x14ac:dyDescent="0.2">
      <c r="C2245" s="144"/>
      <c r="D2245" s="144"/>
      <c r="E2245" s="144"/>
      <c r="F2245" s="373"/>
      <c r="H2245" s="2168"/>
      <c r="I2245" s="70"/>
    </row>
    <row r="2246" spans="3:9" s="46" customFormat="1" x14ac:dyDescent="0.2">
      <c r="C2246" s="144"/>
      <c r="D2246" s="144"/>
      <c r="E2246" s="144"/>
      <c r="F2246" s="373"/>
      <c r="H2246" s="2168"/>
      <c r="I2246" s="70"/>
    </row>
    <row r="2247" spans="3:9" s="46" customFormat="1" x14ac:dyDescent="0.2">
      <c r="C2247" s="144"/>
      <c r="D2247" s="144"/>
      <c r="E2247" s="144"/>
      <c r="F2247" s="373"/>
      <c r="H2247" s="2168"/>
      <c r="I2247" s="70"/>
    </row>
    <row r="2248" spans="3:9" s="46" customFormat="1" x14ac:dyDescent="0.2">
      <c r="C2248" s="144"/>
      <c r="D2248" s="144"/>
      <c r="E2248" s="144"/>
      <c r="F2248" s="373"/>
      <c r="H2248" s="2168"/>
      <c r="I2248" s="70"/>
    </row>
    <row r="2249" spans="3:9" s="46" customFormat="1" x14ac:dyDescent="0.2">
      <c r="C2249" s="144"/>
      <c r="D2249" s="144"/>
      <c r="E2249" s="144"/>
      <c r="F2249" s="373"/>
      <c r="H2249" s="2168"/>
      <c r="I2249" s="70"/>
    </row>
    <row r="2250" spans="3:9" s="46" customFormat="1" x14ac:dyDescent="0.2">
      <c r="C2250" s="144"/>
      <c r="D2250" s="144"/>
      <c r="E2250" s="144"/>
      <c r="F2250" s="373"/>
      <c r="H2250" s="2168"/>
      <c r="I2250" s="70"/>
    </row>
    <row r="2251" spans="3:9" s="46" customFormat="1" x14ac:dyDescent="0.2">
      <c r="C2251" s="144"/>
      <c r="D2251" s="144"/>
      <c r="E2251" s="144"/>
      <c r="F2251" s="373"/>
      <c r="H2251" s="2168"/>
      <c r="I2251" s="70"/>
    </row>
    <row r="2252" spans="3:9" s="46" customFormat="1" x14ac:dyDescent="0.2">
      <c r="C2252" s="144"/>
      <c r="D2252" s="144"/>
      <c r="E2252" s="144"/>
      <c r="F2252" s="373"/>
      <c r="H2252" s="2168"/>
      <c r="I2252" s="70"/>
    </row>
    <row r="2253" spans="3:9" s="46" customFormat="1" x14ac:dyDescent="0.2">
      <c r="C2253" s="144"/>
      <c r="D2253" s="144"/>
      <c r="E2253" s="144"/>
      <c r="F2253" s="373"/>
      <c r="H2253" s="2168"/>
      <c r="I2253" s="70"/>
    </row>
    <row r="2254" spans="3:9" s="46" customFormat="1" x14ac:dyDescent="0.2">
      <c r="C2254" s="144"/>
      <c r="D2254" s="144"/>
      <c r="E2254" s="144"/>
      <c r="F2254" s="373"/>
      <c r="H2254" s="2168"/>
      <c r="I2254" s="70"/>
    </row>
    <row r="2255" spans="3:9" s="46" customFormat="1" x14ac:dyDescent="0.2">
      <c r="C2255" s="144"/>
      <c r="D2255" s="144"/>
      <c r="E2255" s="144"/>
      <c r="F2255" s="373"/>
      <c r="H2255" s="2168"/>
      <c r="I2255" s="70"/>
    </row>
    <row r="2256" spans="3:9" s="46" customFormat="1" x14ac:dyDescent="0.2">
      <c r="C2256" s="144"/>
      <c r="D2256" s="144"/>
      <c r="E2256" s="144"/>
      <c r="F2256" s="373"/>
      <c r="H2256" s="2168"/>
      <c r="I2256" s="70"/>
    </row>
    <row r="2257" spans="3:9" s="46" customFormat="1" x14ac:dyDescent="0.2">
      <c r="C2257" s="144"/>
      <c r="D2257" s="144"/>
      <c r="E2257" s="144"/>
      <c r="F2257" s="373"/>
      <c r="H2257" s="2168"/>
      <c r="I2257" s="70"/>
    </row>
    <row r="2258" spans="3:9" s="46" customFormat="1" x14ac:dyDescent="0.2">
      <c r="C2258" s="144"/>
      <c r="D2258" s="144"/>
      <c r="E2258" s="144"/>
      <c r="F2258" s="373"/>
      <c r="H2258" s="2168"/>
      <c r="I2258" s="70"/>
    </row>
    <row r="2259" spans="3:9" s="46" customFormat="1" x14ac:dyDescent="0.2">
      <c r="C2259" s="144"/>
      <c r="D2259" s="144"/>
      <c r="E2259" s="144"/>
      <c r="F2259" s="373"/>
      <c r="H2259" s="2168"/>
      <c r="I2259" s="70"/>
    </row>
    <row r="2260" spans="3:9" s="46" customFormat="1" x14ac:dyDescent="0.2">
      <c r="C2260" s="144"/>
      <c r="D2260" s="144"/>
      <c r="E2260" s="144"/>
      <c r="F2260" s="373"/>
      <c r="H2260" s="2168"/>
      <c r="I2260" s="70"/>
    </row>
    <row r="2261" spans="3:9" s="46" customFormat="1" x14ac:dyDescent="0.2">
      <c r="C2261" s="144"/>
      <c r="D2261" s="144"/>
      <c r="E2261" s="144"/>
      <c r="F2261" s="373"/>
      <c r="H2261" s="2168"/>
      <c r="I2261" s="70"/>
    </row>
    <row r="2262" spans="3:9" s="46" customFormat="1" x14ac:dyDescent="0.2">
      <c r="C2262" s="144"/>
      <c r="D2262" s="144"/>
      <c r="E2262" s="144"/>
      <c r="F2262" s="373"/>
      <c r="H2262" s="2168"/>
      <c r="I2262" s="70"/>
    </row>
    <row r="2263" spans="3:9" s="46" customFormat="1" x14ac:dyDescent="0.2">
      <c r="C2263" s="144"/>
      <c r="D2263" s="144"/>
      <c r="E2263" s="144"/>
      <c r="F2263" s="373"/>
      <c r="H2263" s="2168"/>
      <c r="I2263" s="70"/>
    </row>
    <row r="2264" spans="3:9" s="46" customFormat="1" x14ac:dyDescent="0.2">
      <c r="C2264" s="144"/>
      <c r="D2264" s="144"/>
      <c r="E2264" s="144"/>
      <c r="F2264" s="373"/>
      <c r="H2264" s="2168"/>
      <c r="I2264" s="70"/>
    </row>
    <row r="2265" spans="3:9" s="46" customFormat="1" x14ac:dyDescent="0.2">
      <c r="C2265" s="144"/>
      <c r="D2265" s="144"/>
      <c r="E2265" s="144"/>
      <c r="F2265" s="373"/>
      <c r="H2265" s="2168"/>
      <c r="I2265" s="70"/>
    </row>
    <row r="2266" spans="3:9" s="46" customFormat="1" x14ac:dyDescent="0.2">
      <c r="C2266" s="144"/>
      <c r="D2266" s="144"/>
      <c r="E2266" s="144"/>
      <c r="F2266" s="373"/>
      <c r="H2266" s="2168"/>
      <c r="I2266" s="70"/>
    </row>
    <row r="2267" spans="3:9" s="46" customFormat="1" x14ac:dyDescent="0.2">
      <c r="C2267" s="144"/>
      <c r="D2267" s="144"/>
      <c r="E2267" s="144"/>
      <c r="F2267" s="373"/>
      <c r="H2267" s="2168"/>
      <c r="I2267" s="70"/>
    </row>
    <row r="2268" spans="3:9" s="46" customFormat="1" x14ac:dyDescent="0.2">
      <c r="C2268" s="144"/>
      <c r="D2268" s="144"/>
      <c r="E2268" s="144"/>
      <c r="F2268" s="373"/>
      <c r="H2268" s="2168"/>
      <c r="I2268" s="70"/>
    </row>
    <row r="2269" spans="3:9" s="46" customFormat="1" x14ac:dyDescent="0.2">
      <c r="C2269" s="144"/>
      <c r="D2269" s="144"/>
      <c r="E2269" s="144"/>
      <c r="F2269" s="373"/>
      <c r="H2269" s="2168"/>
      <c r="I2269" s="70"/>
    </row>
    <row r="2270" spans="3:9" s="46" customFormat="1" x14ac:dyDescent="0.2">
      <c r="C2270" s="144"/>
      <c r="D2270" s="144"/>
      <c r="E2270" s="144"/>
      <c r="F2270" s="373"/>
      <c r="H2270" s="2168"/>
      <c r="I2270" s="70"/>
    </row>
    <row r="2271" spans="3:9" s="46" customFormat="1" x14ac:dyDescent="0.2">
      <c r="C2271" s="144"/>
      <c r="D2271" s="144"/>
      <c r="E2271" s="144"/>
      <c r="F2271" s="373"/>
      <c r="H2271" s="2168"/>
      <c r="I2271" s="70"/>
    </row>
    <row r="2272" spans="3:9" s="46" customFormat="1" x14ac:dyDescent="0.2">
      <c r="C2272" s="144"/>
      <c r="D2272" s="144"/>
      <c r="E2272" s="144"/>
      <c r="F2272" s="373"/>
      <c r="H2272" s="2168"/>
      <c r="I2272" s="70"/>
    </row>
    <row r="2273" spans="3:9" s="46" customFormat="1" x14ac:dyDescent="0.2">
      <c r="C2273" s="144"/>
      <c r="D2273" s="144"/>
      <c r="E2273" s="144"/>
      <c r="F2273" s="373"/>
      <c r="H2273" s="2168"/>
      <c r="I2273" s="70"/>
    </row>
    <row r="2274" spans="3:9" s="46" customFormat="1" x14ac:dyDescent="0.2">
      <c r="C2274" s="144"/>
      <c r="D2274" s="144"/>
      <c r="E2274" s="144"/>
      <c r="F2274" s="373"/>
      <c r="H2274" s="2168"/>
      <c r="I2274" s="70"/>
    </row>
    <row r="2275" spans="3:9" s="46" customFormat="1" x14ac:dyDescent="0.2">
      <c r="C2275" s="144"/>
      <c r="D2275" s="144"/>
      <c r="E2275" s="144"/>
      <c r="F2275" s="373"/>
      <c r="H2275" s="2168"/>
      <c r="I2275" s="70"/>
    </row>
    <row r="2276" spans="3:9" s="46" customFormat="1" x14ac:dyDescent="0.2">
      <c r="C2276" s="144"/>
      <c r="D2276" s="144"/>
      <c r="E2276" s="144"/>
      <c r="F2276" s="373"/>
      <c r="H2276" s="2168"/>
      <c r="I2276" s="70"/>
    </row>
    <row r="2277" spans="3:9" s="46" customFormat="1" x14ac:dyDescent="0.2">
      <c r="C2277" s="144"/>
      <c r="D2277" s="144"/>
      <c r="E2277" s="144"/>
      <c r="F2277" s="373"/>
      <c r="H2277" s="2168"/>
      <c r="I2277" s="70"/>
    </row>
    <row r="2278" spans="3:9" s="46" customFormat="1" x14ac:dyDescent="0.2">
      <c r="C2278" s="144"/>
      <c r="D2278" s="144"/>
      <c r="E2278" s="144"/>
      <c r="F2278" s="373"/>
      <c r="H2278" s="2168"/>
      <c r="I2278" s="70"/>
    </row>
    <row r="2279" spans="3:9" s="46" customFormat="1" x14ac:dyDescent="0.2">
      <c r="C2279" s="144"/>
      <c r="D2279" s="144"/>
      <c r="E2279" s="144"/>
      <c r="F2279" s="373"/>
      <c r="H2279" s="2168"/>
      <c r="I2279" s="70"/>
    </row>
    <row r="2280" spans="3:9" s="46" customFormat="1" x14ac:dyDescent="0.2">
      <c r="C2280" s="144"/>
      <c r="D2280" s="144"/>
      <c r="E2280" s="144"/>
      <c r="F2280" s="373"/>
      <c r="H2280" s="2168"/>
      <c r="I2280" s="70"/>
    </row>
    <row r="2281" spans="3:9" s="46" customFormat="1" x14ac:dyDescent="0.2">
      <c r="C2281" s="144"/>
      <c r="D2281" s="144"/>
      <c r="E2281" s="144"/>
      <c r="F2281" s="373"/>
      <c r="H2281" s="2168"/>
      <c r="I2281" s="70"/>
    </row>
    <row r="2282" spans="3:9" s="46" customFormat="1" x14ac:dyDescent="0.2">
      <c r="C2282" s="144"/>
      <c r="D2282" s="144"/>
      <c r="E2282" s="144"/>
      <c r="F2282" s="373"/>
      <c r="H2282" s="2168"/>
      <c r="I2282" s="70"/>
    </row>
    <row r="2283" spans="3:9" s="46" customFormat="1" x14ac:dyDescent="0.2">
      <c r="C2283" s="144"/>
      <c r="D2283" s="144"/>
      <c r="E2283" s="144"/>
      <c r="F2283" s="373"/>
      <c r="H2283" s="2168"/>
      <c r="I2283" s="70"/>
    </row>
    <row r="2284" spans="3:9" s="46" customFormat="1" x14ac:dyDescent="0.2">
      <c r="C2284" s="144"/>
      <c r="D2284" s="144"/>
      <c r="E2284" s="144"/>
      <c r="F2284" s="373"/>
      <c r="H2284" s="2168"/>
      <c r="I2284" s="70"/>
    </row>
    <row r="2285" spans="3:9" s="46" customFormat="1" x14ac:dyDescent="0.2">
      <c r="C2285" s="144"/>
      <c r="D2285" s="144"/>
      <c r="E2285" s="144"/>
      <c r="F2285" s="373"/>
      <c r="H2285" s="2168"/>
      <c r="I2285" s="70"/>
    </row>
    <row r="2286" spans="3:9" s="46" customFormat="1" x14ac:dyDescent="0.2">
      <c r="C2286" s="144"/>
      <c r="D2286" s="144"/>
      <c r="E2286" s="144"/>
      <c r="F2286" s="373"/>
      <c r="H2286" s="2168"/>
      <c r="I2286" s="70"/>
    </row>
    <row r="2287" spans="3:9" s="46" customFormat="1" x14ac:dyDescent="0.2">
      <c r="C2287" s="144"/>
      <c r="D2287" s="144"/>
      <c r="E2287" s="144"/>
      <c r="F2287" s="373"/>
      <c r="H2287" s="2168"/>
      <c r="I2287" s="70"/>
    </row>
    <row r="2288" spans="3:9" s="46" customFormat="1" x14ac:dyDescent="0.2">
      <c r="C2288" s="144"/>
      <c r="D2288" s="144"/>
      <c r="E2288" s="144"/>
      <c r="F2288" s="373"/>
      <c r="H2288" s="2168"/>
      <c r="I2288" s="70"/>
    </row>
    <row r="2289" spans="3:9" s="46" customFormat="1" x14ac:dyDescent="0.2">
      <c r="C2289" s="144"/>
      <c r="D2289" s="144"/>
      <c r="E2289" s="144"/>
      <c r="F2289" s="373"/>
      <c r="H2289" s="2168"/>
      <c r="I2289" s="70"/>
    </row>
    <row r="2290" spans="3:9" s="46" customFormat="1" x14ac:dyDescent="0.2">
      <c r="C2290" s="144"/>
      <c r="D2290" s="144"/>
      <c r="E2290" s="144"/>
      <c r="F2290" s="373"/>
      <c r="H2290" s="2168"/>
      <c r="I2290" s="70"/>
    </row>
    <row r="2291" spans="3:9" s="46" customFormat="1" x14ac:dyDescent="0.2">
      <c r="C2291" s="144"/>
      <c r="D2291" s="144"/>
      <c r="E2291" s="144"/>
      <c r="F2291" s="373"/>
      <c r="H2291" s="2168"/>
      <c r="I2291" s="70"/>
    </row>
    <row r="2292" spans="3:9" s="46" customFormat="1" x14ac:dyDescent="0.2">
      <c r="C2292" s="144"/>
      <c r="D2292" s="144"/>
      <c r="E2292" s="144"/>
      <c r="F2292" s="373"/>
      <c r="H2292" s="2168"/>
      <c r="I2292" s="70"/>
    </row>
    <row r="2293" spans="3:9" s="46" customFormat="1" x14ac:dyDescent="0.2">
      <c r="C2293" s="144"/>
      <c r="D2293" s="144"/>
      <c r="E2293" s="144"/>
      <c r="F2293" s="373"/>
      <c r="H2293" s="2168"/>
      <c r="I2293" s="70"/>
    </row>
    <row r="2294" spans="3:9" s="46" customFormat="1" x14ac:dyDescent="0.2">
      <c r="C2294" s="144"/>
      <c r="D2294" s="144"/>
      <c r="E2294" s="144"/>
      <c r="F2294" s="373"/>
      <c r="H2294" s="2168"/>
      <c r="I2294" s="70"/>
    </row>
    <row r="2295" spans="3:9" s="46" customFormat="1" x14ac:dyDescent="0.2">
      <c r="C2295" s="144"/>
      <c r="D2295" s="144"/>
      <c r="E2295" s="144"/>
      <c r="F2295" s="373"/>
      <c r="H2295" s="2168"/>
      <c r="I2295" s="70"/>
    </row>
    <row r="2296" spans="3:9" s="46" customFormat="1" x14ac:dyDescent="0.2">
      <c r="C2296" s="144"/>
      <c r="D2296" s="144"/>
      <c r="E2296" s="144"/>
      <c r="F2296" s="373"/>
      <c r="H2296" s="2168"/>
      <c r="I2296" s="70"/>
    </row>
    <row r="2297" spans="3:9" s="46" customFormat="1" x14ac:dyDescent="0.2">
      <c r="C2297" s="144"/>
      <c r="D2297" s="144"/>
      <c r="E2297" s="144"/>
      <c r="F2297" s="373"/>
      <c r="H2297" s="2168"/>
      <c r="I2297" s="70"/>
    </row>
    <row r="2298" spans="3:9" s="46" customFormat="1" x14ac:dyDescent="0.2">
      <c r="C2298" s="144"/>
      <c r="D2298" s="144"/>
      <c r="E2298" s="144"/>
      <c r="F2298" s="373"/>
      <c r="H2298" s="2168"/>
      <c r="I2298" s="70"/>
    </row>
    <row r="2299" spans="3:9" s="46" customFormat="1" x14ac:dyDescent="0.2">
      <c r="C2299" s="144"/>
      <c r="D2299" s="144"/>
      <c r="E2299" s="144"/>
      <c r="F2299" s="373"/>
      <c r="H2299" s="2168"/>
      <c r="I2299" s="70"/>
    </row>
    <row r="2300" spans="3:9" s="46" customFormat="1" x14ac:dyDescent="0.2">
      <c r="C2300" s="144"/>
      <c r="D2300" s="144"/>
      <c r="E2300" s="144"/>
      <c r="F2300" s="373"/>
      <c r="H2300" s="2168"/>
      <c r="I2300" s="70"/>
    </row>
    <row r="2301" spans="3:9" s="46" customFormat="1" x14ac:dyDescent="0.2">
      <c r="C2301" s="144"/>
      <c r="D2301" s="144"/>
      <c r="E2301" s="144"/>
      <c r="F2301" s="373"/>
      <c r="H2301" s="2168"/>
      <c r="I2301" s="70"/>
    </row>
    <row r="2302" spans="3:9" s="46" customFormat="1" x14ac:dyDescent="0.2">
      <c r="C2302" s="144"/>
      <c r="D2302" s="144"/>
      <c r="E2302" s="144"/>
      <c r="F2302" s="373"/>
      <c r="H2302" s="2168"/>
      <c r="I2302" s="70"/>
    </row>
    <row r="2303" spans="3:9" s="46" customFormat="1" x14ac:dyDescent="0.2">
      <c r="C2303" s="144"/>
      <c r="D2303" s="144"/>
      <c r="E2303" s="144"/>
      <c r="F2303" s="373"/>
      <c r="H2303" s="2168"/>
      <c r="I2303" s="70"/>
    </row>
    <row r="2304" spans="3:9" s="46" customFormat="1" x14ac:dyDescent="0.2">
      <c r="C2304" s="144"/>
      <c r="D2304" s="144"/>
      <c r="E2304" s="144"/>
      <c r="F2304" s="373"/>
      <c r="H2304" s="2168"/>
      <c r="I2304" s="70"/>
    </row>
    <row r="2305" spans="3:9" s="46" customFormat="1" x14ac:dyDescent="0.2">
      <c r="C2305" s="144"/>
      <c r="D2305" s="144"/>
      <c r="E2305" s="144"/>
      <c r="F2305" s="373"/>
      <c r="H2305" s="2168"/>
      <c r="I2305" s="70"/>
    </row>
    <row r="2306" spans="3:9" s="46" customFormat="1" x14ac:dyDescent="0.2">
      <c r="C2306" s="144"/>
      <c r="D2306" s="144"/>
      <c r="E2306" s="144"/>
      <c r="F2306" s="373"/>
      <c r="H2306" s="2168"/>
      <c r="I2306" s="70"/>
    </row>
    <row r="2307" spans="3:9" s="46" customFormat="1" x14ac:dyDescent="0.2">
      <c r="C2307" s="144"/>
      <c r="D2307" s="144"/>
      <c r="E2307" s="144"/>
      <c r="F2307" s="373"/>
      <c r="H2307" s="2168"/>
      <c r="I2307" s="70"/>
    </row>
    <row r="2308" spans="3:9" s="46" customFormat="1" x14ac:dyDescent="0.2">
      <c r="C2308" s="144"/>
      <c r="D2308" s="144"/>
      <c r="E2308" s="144"/>
      <c r="F2308" s="373"/>
      <c r="H2308" s="2168"/>
      <c r="I2308" s="70"/>
    </row>
    <row r="2309" spans="3:9" s="46" customFormat="1" x14ac:dyDescent="0.2">
      <c r="C2309" s="144"/>
      <c r="D2309" s="144"/>
      <c r="E2309" s="144"/>
      <c r="F2309" s="373"/>
      <c r="H2309" s="2168"/>
      <c r="I2309" s="70"/>
    </row>
    <row r="2310" spans="3:9" s="46" customFormat="1" x14ac:dyDescent="0.2">
      <c r="C2310" s="144"/>
      <c r="D2310" s="144"/>
      <c r="E2310" s="144"/>
      <c r="F2310" s="373"/>
      <c r="H2310" s="2168"/>
      <c r="I2310" s="70"/>
    </row>
    <row r="2311" spans="3:9" s="46" customFormat="1" x14ac:dyDescent="0.2">
      <c r="C2311" s="144"/>
      <c r="D2311" s="144"/>
      <c r="E2311" s="144"/>
      <c r="F2311" s="373"/>
      <c r="H2311" s="2168"/>
      <c r="I2311" s="70"/>
    </row>
    <row r="2312" spans="3:9" s="46" customFormat="1" x14ac:dyDescent="0.2">
      <c r="C2312" s="144"/>
      <c r="D2312" s="144"/>
      <c r="E2312" s="144"/>
      <c r="F2312" s="373"/>
      <c r="H2312" s="2168"/>
      <c r="I2312" s="70"/>
    </row>
    <row r="2313" spans="3:9" s="46" customFormat="1" x14ac:dyDescent="0.2">
      <c r="C2313" s="144"/>
      <c r="D2313" s="144"/>
      <c r="E2313" s="144"/>
      <c r="F2313" s="373"/>
      <c r="H2313" s="2168"/>
      <c r="I2313" s="70"/>
    </row>
    <row r="2314" spans="3:9" s="46" customFormat="1" x14ac:dyDescent="0.2">
      <c r="C2314" s="144"/>
      <c r="D2314" s="144"/>
      <c r="E2314" s="144"/>
      <c r="F2314" s="373"/>
      <c r="H2314" s="2168"/>
      <c r="I2314" s="70"/>
    </row>
    <row r="2315" spans="3:9" s="46" customFormat="1" x14ac:dyDescent="0.2">
      <c r="C2315" s="144"/>
      <c r="D2315" s="144"/>
      <c r="E2315" s="144"/>
      <c r="F2315" s="373"/>
      <c r="H2315" s="2168"/>
      <c r="I2315" s="70"/>
    </row>
    <row r="2316" spans="3:9" s="46" customFormat="1" x14ac:dyDescent="0.2">
      <c r="C2316" s="144"/>
      <c r="D2316" s="144"/>
      <c r="E2316" s="144"/>
      <c r="F2316" s="373"/>
      <c r="H2316" s="2168"/>
      <c r="I2316" s="70"/>
    </row>
    <row r="2317" spans="3:9" s="46" customFormat="1" x14ac:dyDescent="0.2">
      <c r="C2317" s="144"/>
      <c r="D2317" s="144"/>
      <c r="E2317" s="144"/>
      <c r="F2317" s="373"/>
      <c r="H2317" s="2168"/>
      <c r="I2317" s="70"/>
    </row>
    <row r="2318" spans="3:9" s="46" customFormat="1" x14ac:dyDescent="0.2">
      <c r="C2318" s="144"/>
      <c r="D2318" s="144"/>
      <c r="E2318" s="144"/>
      <c r="F2318" s="373"/>
      <c r="H2318" s="2168"/>
      <c r="I2318" s="70"/>
    </row>
    <row r="2319" spans="3:9" s="46" customFormat="1" x14ac:dyDescent="0.2">
      <c r="C2319" s="144"/>
      <c r="D2319" s="144"/>
      <c r="E2319" s="144"/>
      <c r="F2319" s="373"/>
      <c r="H2319" s="2168"/>
      <c r="I2319" s="70"/>
    </row>
    <row r="2320" spans="3:9" s="46" customFormat="1" x14ac:dyDescent="0.2">
      <c r="C2320" s="144"/>
      <c r="D2320" s="144"/>
      <c r="E2320" s="144"/>
      <c r="F2320" s="373"/>
      <c r="H2320" s="2168"/>
      <c r="I2320" s="70"/>
    </row>
    <row r="2321" spans="3:9" s="46" customFormat="1" x14ac:dyDescent="0.2">
      <c r="C2321" s="144"/>
      <c r="D2321" s="144"/>
      <c r="E2321" s="144"/>
      <c r="F2321" s="373"/>
      <c r="H2321" s="2168"/>
      <c r="I2321" s="70"/>
    </row>
    <row r="2322" spans="3:9" s="46" customFormat="1" x14ac:dyDescent="0.2">
      <c r="C2322" s="144"/>
      <c r="D2322" s="144"/>
      <c r="E2322" s="144"/>
      <c r="F2322" s="373"/>
      <c r="H2322" s="2168"/>
      <c r="I2322" s="70"/>
    </row>
    <row r="2323" spans="3:9" s="46" customFormat="1" x14ac:dyDescent="0.2">
      <c r="C2323" s="144"/>
      <c r="D2323" s="144"/>
      <c r="E2323" s="144"/>
      <c r="F2323" s="373"/>
      <c r="H2323" s="2168"/>
      <c r="I2323" s="70"/>
    </row>
    <row r="2324" spans="3:9" s="46" customFormat="1" x14ac:dyDescent="0.2">
      <c r="C2324" s="144"/>
      <c r="D2324" s="144"/>
      <c r="E2324" s="144"/>
      <c r="F2324" s="373"/>
      <c r="H2324" s="2168"/>
      <c r="I2324" s="70"/>
    </row>
    <row r="2325" spans="3:9" s="46" customFormat="1" x14ac:dyDescent="0.2">
      <c r="C2325" s="144"/>
      <c r="D2325" s="144"/>
      <c r="E2325" s="144"/>
      <c r="F2325" s="373"/>
      <c r="H2325" s="2168"/>
      <c r="I2325" s="70"/>
    </row>
    <row r="2326" spans="3:9" s="46" customFormat="1" x14ac:dyDescent="0.2">
      <c r="C2326" s="144"/>
      <c r="D2326" s="144"/>
      <c r="E2326" s="144"/>
      <c r="F2326" s="373"/>
      <c r="H2326" s="2168"/>
      <c r="I2326" s="70"/>
    </row>
    <row r="2327" spans="3:9" s="46" customFormat="1" x14ac:dyDescent="0.2">
      <c r="C2327" s="144"/>
      <c r="D2327" s="144"/>
      <c r="E2327" s="144"/>
      <c r="F2327" s="373"/>
      <c r="H2327" s="2168"/>
      <c r="I2327" s="70"/>
    </row>
    <row r="2328" spans="3:9" s="46" customFormat="1" x14ac:dyDescent="0.2">
      <c r="C2328" s="144"/>
      <c r="D2328" s="144"/>
      <c r="E2328" s="144"/>
      <c r="F2328" s="373"/>
      <c r="H2328" s="2168"/>
      <c r="I2328" s="70"/>
    </row>
    <row r="2329" spans="3:9" s="46" customFormat="1" x14ac:dyDescent="0.2">
      <c r="C2329" s="144"/>
      <c r="D2329" s="144"/>
      <c r="E2329" s="144"/>
      <c r="F2329" s="373"/>
      <c r="H2329" s="2168"/>
      <c r="I2329" s="70"/>
    </row>
    <row r="2330" spans="3:9" s="46" customFormat="1" x14ac:dyDescent="0.2">
      <c r="C2330" s="144"/>
      <c r="D2330" s="144"/>
      <c r="E2330" s="144"/>
      <c r="F2330" s="373"/>
      <c r="H2330" s="2168"/>
      <c r="I2330" s="70"/>
    </row>
    <row r="2331" spans="3:9" s="46" customFormat="1" x14ac:dyDescent="0.2">
      <c r="C2331" s="144"/>
      <c r="D2331" s="144"/>
      <c r="E2331" s="144"/>
      <c r="F2331" s="373"/>
      <c r="H2331" s="2168"/>
      <c r="I2331" s="70"/>
    </row>
    <row r="2332" spans="3:9" s="46" customFormat="1" x14ac:dyDescent="0.2">
      <c r="C2332" s="144"/>
      <c r="D2332" s="144"/>
      <c r="E2332" s="144"/>
      <c r="F2332" s="373"/>
      <c r="H2332" s="2168"/>
      <c r="I2332" s="70"/>
    </row>
    <row r="2333" spans="3:9" s="46" customFormat="1" x14ac:dyDescent="0.2">
      <c r="C2333" s="144"/>
      <c r="D2333" s="144"/>
      <c r="E2333" s="144"/>
      <c r="F2333" s="373"/>
      <c r="H2333" s="2168"/>
      <c r="I2333" s="70"/>
    </row>
    <row r="2334" spans="3:9" s="46" customFormat="1" x14ac:dyDescent="0.2">
      <c r="C2334" s="144"/>
      <c r="D2334" s="144"/>
      <c r="E2334" s="144"/>
      <c r="F2334" s="373"/>
      <c r="H2334" s="2168"/>
      <c r="I2334" s="70"/>
    </row>
    <row r="2335" spans="3:9" s="46" customFormat="1" x14ac:dyDescent="0.2">
      <c r="C2335" s="144"/>
      <c r="D2335" s="144"/>
      <c r="E2335" s="144"/>
      <c r="F2335" s="373"/>
      <c r="H2335" s="2168"/>
      <c r="I2335" s="70"/>
    </row>
    <row r="2336" spans="3:9" s="46" customFormat="1" x14ac:dyDescent="0.2">
      <c r="C2336" s="144"/>
      <c r="D2336" s="144"/>
      <c r="E2336" s="144"/>
      <c r="F2336" s="373"/>
      <c r="H2336" s="2168"/>
      <c r="I2336" s="70"/>
    </row>
    <row r="2337" spans="3:9" s="46" customFormat="1" x14ac:dyDescent="0.2">
      <c r="C2337" s="144"/>
      <c r="D2337" s="144"/>
      <c r="E2337" s="144"/>
      <c r="F2337" s="373"/>
      <c r="H2337" s="2168"/>
      <c r="I2337" s="70"/>
    </row>
    <row r="2338" spans="3:9" s="46" customFormat="1" x14ac:dyDescent="0.2">
      <c r="C2338" s="144"/>
      <c r="D2338" s="144"/>
      <c r="E2338" s="144"/>
      <c r="F2338" s="373"/>
      <c r="H2338" s="2168"/>
      <c r="I2338" s="70"/>
    </row>
    <row r="2339" spans="3:9" s="46" customFormat="1" x14ac:dyDescent="0.2">
      <c r="C2339" s="144"/>
      <c r="D2339" s="144"/>
      <c r="E2339" s="144"/>
      <c r="F2339" s="373"/>
      <c r="H2339" s="2168"/>
      <c r="I2339" s="70"/>
    </row>
    <row r="2340" spans="3:9" s="46" customFormat="1" x14ac:dyDescent="0.2">
      <c r="C2340" s="144"/>
      <c r="D2340" s="144"/>
      <c r="E2340" s="144"/>
      <c r="F2340" s="373"/>
      <c r="H2340" s="2168"/>
      <c r="I2340" s="70"/>
    </row>
    <row r="2341" spans="3:9" s="46" customFormat="1" x14ac:dyDescent="0.2">
      <c r="C2341" s="144"/>
      <c r="D2341" s="144"/>
      <c r="E2341" s="144"/>
      <c r="F2341" s="373"/>
      <c r="H2341" s="2168"/>
      <c r="I2341" s="70"/>
    </row>
    <row r="2342" spans="3:9" s="46" customFormat="1" x14ac:dyDescent="0.2">
      <c r="C2342" s="144"/>
      <c r="D2342" s="144"/>
      <c r="E2342" s="144"/>
      <c r="F2342" s="373"/>
      <c r="H2342" s="2168"/>
      <c r="I2342" s="70"/>
    </row>
    <row r="2343" spans="3:9" s="46" customFormat="1" x14ac:dyDescent="0.2">
      <c r="C2343" s="144"/>
      <c r="D2343" s="144"/>
      <c r="E2343" s="144"/>
      <c r="F2343" s="373"/>
      <c r="H2343" s="2168"/>
      <c r="I2343" s="70"/>
    </row>
    <row r="2344" spans="3:9" s="46" customFormat="1" x14ac:dyDescent="0.2">
      <c r="C2344" s="144"/>
      <c r="D2344" s="144"/>
      <c r="E2344" s="144"/>
      <c r="F2344" s="373"/>
      <c r="H2344" s="2168"/>
      <c r="I2344" s="70"/>
    </row>
    <row r="2345" spans="3:9" s="46" customFormat="1" x14ac:dyDescent="0.2">
      <c r="C2345" s="144"/>
      <c r="D2345" s="144"/>
      <c r="E2345" s="144"/>
      <c r="F2345" s="373"/>
      <c r="H2345" s="2168"/>
      <c r="I2345" s="70"/>
    </row>
    <row r="2346" spans="3:9" s="46" customFormat="1" x14ac:dyDescent="0.2">
      <c r="C2346" s="144"/>
      <c r="D2346" s="144"/>
      <c r="E2346" s="144"/>
      <c r="F2346" s="373"/>
      <c r="H2346" s="2168"/>
      <c r="I2346" s="70"/>
    </row>
    <row r="2347" spans="3:9" s="46" customFormat="1" x14ac:dyDescent="0.2">
      <c r="C2347" s="144"/>
      <c r="D2347" s="144"/>
      <c r="E2347" s="144"/>
      <c r="F2347" s="373"/>
      <c r="H2347" s="2168"/>
      <c r="I2347" s="70"/>
    </row>
    <row r="2348" spans="3:9" s="46" customFormat="1" x14ac:dyDescent="0.2">
      <c r="C2348" s="144"/>
      <c r="D2348" s="144"/>
      <c r="E2348" s="144"/>
      <c r="F2348" s="373"/>
      <c r="H2348" s="2168"/>
      <c r="I2348" s="70"/>
    </row>
    <row r="2349" spans="3:9" s="46" customFormat="1" x14ac:dyDescent="0.2">
      <c r="C2349" s="144"/>
      <c r="D2349" s="144"/>
      <c r="E2349" s="144"/>
      <c r="F2349" s="373"/>
      <c r="H2349" s="2168"/>
      <c r="I2349" s="70"/>
    </row>
    <row r="2350" spans="3:9" s="46" customFormat="1" x14ac:dyDescent="0.2">
      <c r="C2350" s="144"/>
      <c r="D2350" s="144"/>
      <c r="E2350" s="144"/>
      <c r="F2350" s="373"/>
      <c r="H2350" s="2168"/>
      <c r="I2350" s="70"/>
    </row>
    <row r="2351" spans="3:9" s="46" customFormat="1" x14ac:dyDescent="0.2">
      <c r="C2351" s="144"/>
      <c r="D2351" s="144"/>
      <c r="E2351" s="144"/>
      <c r="F2351" s="373"/>
      <c r="H2351" s="2168"/>
      <c r="I2351" s="70"/>
    </row>
    <row r="2352" spans="3:9" s="46" customFormat="1" x14ac:dyDescent="0.2">
      <c r="C2352" s="144"/>
      <c r="D2352" s="144"/>
      <c r="E2352" s="144"/>
      <c r="F2352" s="373"/>
      <c r="H2352" s="2168"/>
      <c r="I2352" s="70"/>
    </row>
    <row r="2353" spans="3:9" s="46" customFormat="1" x14ac:dyDescent="0.2">
      <c r="C2353" s="144"/>
      <c r="D2353" s="144"/>
      <c r="E2353" s="144"/>
      <c r="F2353" s="373"/>
      <c r="H2353" s="2168"/>
      <c r="I2353" s="70"/>
    </row>
    <row r="2354" spans="3:9" s="46" customFormat="1" x14ac:dyDescent="0.2">
      <c r="C2354" s="144"/>
      <c r="D2354" s="144"/>
      <c r="E2354" s="144"/>
      <c r="F2354" s="373"/>
      <c r="H2354" s="2168"/>
      <c r="I2354" s="70"/>
    </row>
    <row r="2355" spans="3:9" s="46" customFormat="1" x14ac:dyDescent="0.2">
      <c r="C2355" s="144"/>
      <c r="D2355" s="144"/>
      <c r="E2355" s="144"/>
      <c r="F2355" s="373"/>
      <c r="H2355" s="2168"/>
      <c r="I2355" s="70"/>
    </row>
    <row r="2356" spans="3:9" s="46" customFormat="1" x14ac:dyDescent="0.2">
      <c r="C2356" s="144"/>
      <c r="D2356" s="144"/>
      <c r="E2356" s="144"/>
      <c r="F2356" s="373"/>
      <c r="H2356" s="2168"/>
      <c r="I2356" s="70"/>
    </row>
    <row r="2357" spans="3:9" s="46" customFormat="1" x14ac:dyDescent="0.2">
      <c r="C2357" s="144"/>
      <c r="D2357" s="144"/>
      <c r="E2357" s="144"/>
      <c r="F2357" s="373"/>
      <c r="H2357" s="2168"/>
      <c r="I2357" s="70"/>
    </row>
    <row r="2358" spans="3:9" s="46" customFormat="1" x14ac:dyDescent="0.2">
      <c r="C2358" s="144"/>
      <c r="D2358" s="144"/>
      <c r="E2358" s="144"/>
      <c r="F2358" s="373"/>
      <c r="H2358" s="2168"/>
      <c r="I2358" s="70"/>
    </row>
    <row r="2359" spans="3:9" s="46" customFormat="1" x14ac:dyDescent="0.2">
      <c r="C2359" s="144"/>
      <c r="D2359" s="144"/>
      <c r="E2359" s="144"/>
      <c r="F2359" s="373"/>
      <c r="H2359" s="2168"/>
      <c r="I2359" s="70"/>
    </row>
    <row r="2360" spans="3:9" s="46" customFormat="1" x14ac:dyDescent="0.2">
      <c r="C2360" s="144"/>
      <c r="D2360" s="144"/>
      <c r="E2360" s="144"/>
      <c r="F2360" s="373"/>
      <c r="H2360" s="2168"/>
      <c r="I2360" s="70"/>
    </row>
    <row r="2361" spans="3:9" s="46" customFormat="1" x14ac:dyDescent="0.2">
      <c r="C2361" s="144"/>
      <c r="D2361" s="144"/>
      <c r="E2361" s="144"/>
      <c r="F2361" s="373"/>
      <c r="H2361" s="2168"/>
      <c r="I2361" s="70"/>
    </row>
    <row r="2362" spans="3:9" s="46" customFormat="1" x14ac:dyDescent="0.2">
      <c r="C2362" s="144"/>
      <c r="D2362" s="144"/>
      <c r="E2362" s="144"/>
      <c r="F2362" s="373"/>
      <c r="H2362" s="2168"/>
      <c r="I2362" s="70"/>
    </row>
    <row r="2363" spans="3:9" s="46" customFormat="1" x14ac:dyDescent="0.2">
      <c r="C2363" s="144"/>
      <c r="D2363" s="144"/>
      <c r="E2363" s="144"/>
      <c r="F2363" s="373"/>
      <c r="H2363" s="2168"/>
      <c r="I2363" s="70"/>
    </row>
    <row r="2364" spans="3:9" s="46" customFormat="1" x14ac:dyDescent="0.2">
      <c r="C2364" s="144"/>
      <c r="D2364" s="144"/>
      <c r="E2364" s="144"/>
      <c r="F2364" s="373"/>
      <c r="H2364" s="2168"/>
      <c r="I2364" s="70"/>
    </row>
    <row r="2365" spans="3:9" s="46" customFormat="1" x14ac:dyDescent="0.2">
      <c r="C2365" s="144"/>
      <c r="D2365" s="144"/>
      <c r="E2365" s="144"/>
      <c r="F2365" s="373"/>
      <c r="H2365" s="2168"/>
      <c r="I2365" s="70"/>
    </row>
    <row r="2366" spans="3:9" s="46" customFormat="1" x14ac:dyDescent="0.2">
      <c r="C2366" s="144"/>
      <c r="D2366" s="144"/>
      <c r="E2366" s="144"/>
      <c r="F2366" s="373"/>
      <c r="H2366" s="2168"/>
      <c r="I2366" s="70"/>
    </row>
    <row r="2367" spans="3:9" s="46" customFormat="1" x14ac:dyDescent="0.2">
      <c r="C2367" s="144"/>
      <c r="D2367" s="144"/>
      <c r="E2367" s="144"/>
      <c r="F2367" s="373"/>
      <c r="H2367" s="2168"/>
      <c r="I2367" s="70"/>
    </row>
    <row r="2368" spans="3:9" s="46" customFormat="1" x14ac:dyDescent="0.2">
      <c r="C2368" s="144"/>
      <c r="D2368" s="144"/>
      <c r="E2368" s="144"/>
      <c r="F2368" s="373"/>
      <c r="H2368" s="2168"/>
      <c r="I2368" s="70"/>
    </row>
    <row r="2369" spans="3:9" s="46" customFormat="1" x14ac:dyDescent="0.2">
      <c r="C2369" s="144"/>
      <c r="D2369" s="144"/>
      <c r="E2369" s="144"/>
      <c r="F2369" s="373"/>
      <c r="H2369" s="2168"/>
      <c r="I2369" s="70"/>
    </row>
    <row r="2370" spans="3:9" s="46" customFormat="1" x14ac:dyDescent="0.2">
      <c r="C2370" s="144"/>
      <c r="D2370" s="144"/>
      <c r="E2370" s="144"/>
      <c r="F2370" s="373"/>
      <c r="H2370" s="2168"/>
      <c r="I2370" s="70"/>
    </row>
    <row r="2371" spans="3:9" s="46" customFormat="1" x14ac:dyDescent="0.2">
      <c r="C2371" s="144"/>
      <c r="D2371" s="144"/>
      <c r="E2371" s="144"/>
      <c r="F2371" s="373"/>
      <c r="H2371" s="2168"/>
      <c r="I2371" s="70"/>
    </row>
    <row r="2372" spans="3:9" s="46" customFormat="1" x14ac:dyDescent="0.2">
      <c r="C2372" s="144"/>
      <c r="D2372" s="144"/>
      <c r="E2372" s="144"/>
      <c r="F2372" s="373"/>
      <c r="H2372" s="2168"/>
      <c r="I2372" s="70"/>
    </row>
    <row r="2373" spans="3:9" s="46" customFormat="1" x14ac:dyDescent="0.2">
      <c r="C2373" s="144"/>
      <c r="D2373" s="144"/>
      <c r="E2373" s="144"/>
      <c r="F2373" s="373"/>
      <c r="H2373" s="2168"/>
      <c r="I2373" s="70"/>
    </row>
    <row r="2374" spans="3:9" s="46" customFormat="1" x14ac:dyDescent="0.2">
      <c r="C2374" s="144"/>
      <c r="D2374" s="144"/>
      <c r="E2374" s="144"/>
      <c r="F2374" s="373"/>
      <c r="H2374" s="2168"/>
      <c r="I2374" s="70"/>
    </row>
    <row r="2375" spans="3:9" s="46" customFormat="1" x14ac:dyDescent="0.2">
      <c r="C2375" s="144"/>
      <c r="D2375" s="144"/>
      <c r="E2375" s="144"/>
      <c r="F2375" s="373"/>
      <c r="H2375" s="2168"/>
      <c r="I2375" s="70"/>
    </row>
    <row r="2376" spans="3:9" s="46" customFormat="1" x14ac:dyDescent="0.2">
      <c r="C2376" s="144"/>
      <c r="D2376" s="144"/>
      <c r="E2376" s="144"/>
      <c r="F2376" s="373"/>
      <c r="H2376" s="2168"/>
      <c r="I2376" s="70"/>
    </row>
    <row r="2377" spans="3:9" s="46" customFormat="1" x14ac:dyDescent="0.2">
      <c r="C2377" s="144"/>
      <c r="D2377" s="144"/>
      <c r="E2377" s="144"/>
      <c r="F2377" s="373"/>
      <c r="H2377" s="2168"/>
      <c r="I2377" s="70"/>
    </row>
    <row r="2378" spans="3:9" s="46" customFormat="1" x14ac:dyDescent="0.2">
      <c r="C2378" s="144"/>
      <c r="D2378" s="144"/>
      <c r="E2378" s="144"/>
      <c r="F2378" s="373"/>
      <c r="H2378" s="2168"/>
      <c r="I2378" s="70"/>
    </row>
    <row r="2379" spans="3:9" s="46" customFormat="1" x14ac:dyDescent="0.2">
      <c r="C2379" s="144"/>
      <c r="D2379" s="144"/>
      <c r="E2379" s="144"/>
      <c r="F2379" s="373"/>
      <c r="H2379" s="2168"/>
      <c r="I2379" s="70"/>
    </row>
    <row r="2380" spans="3:9" s="46" customFormat="1" x14ac:dyDescent="0.2">
      <c r="C2380" s="144"/>
      <c r="D2380" s="144"/>
      <c r="E2380" s="144"/>
      <c r="F2380" s="373"/>
      <c r="H2380" s="2168"/>
      <c r="I2380" s="70"/>
    </row>
    <row r="2381" spans="3:9" s="46" customFormat="1" x14ac:dyDescent="0.2">
      <c r="C2381" s="144"/>
      <c r="D2381" s="144"/>
      <c r="E2381" s="144"/>
      <c r="F2381" s="373"/>
      <c r="H2381" s="2168"/>
      <c r="I2381" s="70"/>
    </row>
    <row r="2382" spans="3:9" s="46" customFormat="1" x14ac:dyDescent="0.2">
      <c r="C2382" s="144"/>
      <c r="D2382" s="144"/>
      <c r="E2382" s="144"/>
      <c r="F2382" s="373"/>
      <c r="H2382" s="2168"/>
      <c r="I2382" s="70"/>
    </row>
    <row r="2383" spans="3:9" s="46" customFormat="1" x14ac:dyDescent="0.2">
      <c r="C2383" s="144"/>
      <c r="D2383" s="144"/>
      <c r="E2383" s="144"/>
      <c r="F2383" s="373"/>
      <c r="H2383" s="2168"/>
      <c r="I2383" s="70"/>
    </row>
    <row r="2384" spans="3:9" s="46" customFormat="1" x14ac:dyDescent="0.2">
      <c r="C2384" s="144"/>
      <c r="D2384" s="144"/>
      <c r="E2384" s="144"/>
      <c r="F2384" s="373"/>
      <c r="H2384" s="2168"/>
      <c r="I2384" s="70"/>
    </row>
    <row r="2385" spans="3:9" s="46" customFormat="1" x14ac:dyDescent="0.2">
      <c r="C2385" s="144"/>
      <c r="D2385" s="144"/>
      <c r="E2385" s="144"/>
      <c r="F2385" s="373"/>
      <c r="H2385" s="2168"/>
      <c r="I2385" s="70"/>
    </row>
    <row r="2386" spans="3:9" s="46" customFormat="1" x14ac:dyDescent="0.2">
      <c r="C2386" s="144"/>
      <c r="D2386" s="144"/>
      <c r="E2386" s="144"/>
      <c r="F2386" s="373"/>
      <c r="H2386" s="2168"/>
      <c r="I2386" s="70"/>
    </row>
    <row r="2387" spans="3:9" s="46" customFormat="1" x14ac:dyDescent="0.2">
      <c r="C2387" s="144"/>
      <c r="D2387" s="144"/>
      <c r="E2387" s="144"/>
      <c r="F2387" s="373"/>
      <c r="H2387" s="2168"/>
      <c r="I2387" s="70"/>
    </row>
    <row r="2388" spans="3:9" s="46" customFormat="1" x14ac:dyDescent="0.2">
      <c r="C2388" s="144"/>
      <c r="D2388" s="144"/>
      <c r="E2388" s="144"/>
      <c r="F2388" s="373"/>
      <c r="H2388" s="2168"/>
      <c r="I2388" s="70"/>
    </row>
    <row r="2389" spans="3:9" s="46" customFormat="1" x14ac:dyDescent="0.2">
      <c r="C2389" s="144"/>
      <c r="D2389" s="144"/>
      <c r="E2389" s="144"/>
      <c r="F2389" s="373"/>
      <c r="H2389" s="2168"/>
      <c r="I2389" s="70"/>
    </row>
    <row r="2390" spans="3:9" s="46" customFormat="1" x14ac:dyDescent="0.2">
      <c r="C2390" s="144"/>
      <c r="D2390" s="144"/>
      <c r="E2390" s="144"/>
      <c r="F2390" s="373"/>
      <c r="H2390" s="2168"/>
      <c r="I2390" s="70"/>
    </row>
    <row r="2391" spans="3:9" s="46" customFormat="1" x14ac:dyDescent="0.2">
      <c r="C2391" s="144"/>
      <c r="D2391" s="144"/>
      <c r="E2391" s="144"/>
      <c r="F2391" s="373"/>
      <c r="H2391" s="2168"/>
      <c r="I2391" s="70"/>
    </row>
    <row r="2392" spans="3:9" s="46" customFormat="1" x14ac:dyDescent="0.2">
      <c r="C2392" s="144"/>
      <c r="D2392" s="144"/>
      <c r="E2392" s="144"/>
      <c r="F2392" s="373"/>
      <c r="H2392" s="2168"/>
      <c r="I2392" s="70"/>
    </row>
    <row r="2393" spans="3:9" s="46" customFormat="1" x14ac:dyDescent="0.2">
      <c r="C2393" s="144"/>
      <c r="D2393" s="144"/>
      <c r="E2393" s="144"/>
      <c r="F2393" s="373"/>
      <c r="H2393" s="2168"/>
      <c r="I2393" s="70"/>
    </row>
    <row r="2394" spans="3:9" s="46" customFormat="1" x14ac:dyDescent="0.2">
      <c r="C2394" s="144"/>
      <c r="D2394" s="144"/>
      <c r="E2394" s="144"/>
      <c r="F2394" s="373"/>
      <c r="H2394" s="2168"/>
      <c r="I2394" s="70"/>
    </row>
    <row r="2395" spans="3:9" s="46" customFormat="1" x14ac:dyDescent="0.2">
      <c r="C2395" s="144"/>
      <c r="D2395" s="144"/>
      <c r="E2395" s="144"/>
      <c r="F2395" s="373"/>
      <c r="H2395" s="2168"/>
      <c r="I2395" s="70"/>
    </row>
    <row r="2396" spans="3:9" s="46" customFormat="1" x14ac:dyDescent="0.2">
      <c r="C2396" s="144"/>
      <c r="D2396" s="144"/>
      <c r="E2396" s="144"/>
      <c r="F2396" s="373"/>
      <c r="H2396" s="2168"/>
      <c r="I2396" s="70"/>
    </row>
    <row r="2397" spans="3:9" s="46" customFormat="1" x14ac:dyDescent="0.2">
      <c r="C2397" s="144"/>
      <c r="D2397" s="144"/>
      <c r="E2397" s="144"/>
      <c r="F2397" s="373"/>
      <c r="H2397" s="2168"/>
      <c r="I2397" s="70"/>
    </row>
    <row r="2398" spans="3:9" s="46" customFormat="1" x14ac:dyDescent="0.2">
      <c r="C2398" s="144"/>
      <c r="D2398" s="144"/>
      <c r="E2398" s="144"/>
      <c r="F2398" s="373"/>
      <c r="H2398" s="2168"/>
      <c r="I2398" s="70"/>
    </row>
    <row r="2399" spans="3:9" s="46" customFormat="1" x14ac:dyDescent="0.2">
      <c r="C2399" s="144"/>
      <c r="D2399" s="144"/>
      <c r="E2399" s="144"/>
      <c r="F2399" s="373"/>
      <c r="H2399" s="2168"/>
      <c r="I2399" s="70"/>
    </row>
    <row r="2400" spans="3:9" s="46" customFormat="1" x14ac:dyDescent="0.2">
      <c r="C2400" s="144"/>
      <c r="D2400" s="144"/>
      <c r="E2400" s="144"/>
      <c r="F2400" s="373"/>
      <c r="H2400" s="2168"/>
      <c r="I2400" s="70"/>
    </row>
    <row r="2401" spans="3:9" s="46" customFormat="1" x14ac:dyDescent="0.2">
      <c r="C2401" s="144"/>
      <c r="D2401" s="144"/>
      <c r="E2401" s="144"/>
      <c r="F2401" s="373"/>
      <c r="H2401" s="2168"/>
      <c r="I2401" s="70"/>
    </row>
    <row r="2402" spans="3:9" s="46" customFormat="1" x14ac:dyDescent="0.2">
      <c r="C2402" s="144"/>
      <c r="D2402" s="144"/>
      <c r="E2402" s="144"/>
      <c r="F2402" s="373"/>
      <c r="H2402" s="2168"/>
      <c r="I2402" s="70"/>
    </row>
    <row r="2403" spans="3:9" s="46" customFormat="1" x14ac:dyDescent="0.2">
      <c r="C2403" s="144"/>
      <c r="D2403" s="144"/>
      <c r="E2403" s="144"/>
      <c r="F2403" s="373"/>
      <c r="H2403" s="2168"/>
      <c r="I2403" s="70"/>
    </row>
    <row r="2404" spans="3:9" s="46" customFormat="1" x14ac:dyDescent="0.2">
      <c r="C2404" s="144"/>
      <c r="D2404" s="144"/>
      <c r="E2404" s="144"/>
      <c r="F2404" s="373"/>
      <c r="H2404" s="2168"/>
      <c r="I2404" s="70"/>
    </row>
    <row r="2405" spans="3:9" s="46" customFormat="1" x14ac:dyDescent="0.2">
      <c r="C2405" s="144"/>
      <c r="D2405" s="144"/>
      <c r="E2405" s="144"/>
      <c r="F2405" s="373"/>
      <c r="H2405" s="2168"/>
      <c r="I2405" s="70"/>
    </row>
    <row r="2406" spans="3:9" s="46" customFormat="1" x14ac:dyDescent="0.2">
      <c r="C2406" s="144"/>
      <c r="D2406" s="144"/>
      <c r="E2406" s="144"/>
      <c r="F2406" s="373"/>
      <c r="H2406" s="2168"/>
      <c r="I2406" s="70"/>
    </row>
    <row r="2407" spans="3:9" s="46" customFormat="1" x14ac:dyDescent="0.2">
      <c r="C2407" s="144"/>
      <c r="D2407" s="144"/>
      <c r="E2407" s="144"/>
      <c r="F2407" s="373"/>
      <c r="H2407" s="2168"/>
      <c r="I2407" s="70"/>
    </row>
    <row r="2408" spans="3:9" s="46" customFormat="1" x14ac:dyDescent="0.2">
      <c r="C2408" s="144"/>
      <c r="D2408" s="144"/>
      <c r="E2408" s="144"/>
      <c r="F2408" s="373"/>
      <c r="H2408" s="2168"/>
      <c r="I2408" s="70"/>
    </row>
    <row r="2409" spans="3:9" s="46" customFormat="1" x14ac:dyDescent="0.2">
      <c r="C2409" s="144"/>
      <c r="D2409" s="144"/>
      <c r="E2409" s="144"/>
      <c r="F2409" s="373"/>
      <c r="H2409" s="2168"/>
      <c r="I2409" s="70"/>
    </row>
    <row r="2410" spans="3:9" s="46" customFormat="1" x14ac:dyDescent="0.2">
      <c r="C2410" s="144"/>
      <c r="D2410" s="144"/>
      <c r="E2410" s="144"/>
      <c r="F2410" s="373"/>
      <c r="H2410" s="2168"/>
      <c r="I2410" s="70"/>
    </row>
    <row r="2411" spans="3:9" s="46" customFormat="1" x14ac:dyDescent="0.2">
      <c r="C2411" s="144"/>
      <c r="D2411" s="144"/>
      <c r="E2411" s="144"/>
      <c r="F2411" s="373"/>
      <c r="H2411" s="2168"/>
      <c r="I2411" s="70"/>
    </row>
    <row r="2412" spans="3:9" s="46" customFormat="1" x14ac:dyDescent="0.2">
      <c r="C2412" s="144"/>
      <c r="D2412" s="144"/>
      <c r="E2412" s="144"/>
      <c r="F2412" s="373"/>
      <c r="H2412" s="2168"/>
      <c r="I2412" s="70"/>
    </row>
    <row r="2413" spans="3:9" s="46" customFormat="1" x14ac:dyDescent="0.2">
      <c r="C2413" s="144"/>
      <c r="D2413" s="144"/>
      <c r="E2413" s="144"/>
      <c r="F2413" s="373"/>
      <c r="H2413" s="2168"/>
      <c r="I2413" s="70"/>
    </row>
    <row r="2414" spans="3:9" s="46" customFormat="1" x14ac:dyDescent="0.2">
      <c r="C2414" s="144"/>
      <c r="D2414" s="144"/>
      <c r="E2414" s="144"/>
      <c r="F2414" s="373"/>
      <c r="H2414" s="2168"/>
      <c r="I2414" s="70"/>
    </row>
    <row r="2415" spans="3:9" s="46" customFormat="1" x14ac:dyDescent="0.2">
      <c r="C2415" s="144"/>
      <c r="D2415" s="144"/>
      <c r="E2415" s="144"/>
      <c r="F2415" s="373"/>
      <c r="H2415" s="2168"/>
      <c r="I2415" s="70"/>
    </row>
    <row r="2416" spans="3:9" s="46" customFormat="1" x14ac:dyDescent="0.2">
      <c r="C2416" s="144"/>
      <c r="D2416" s="144"/>
      <c r="E2416" s="144"/>
      <c r="F2416" s="373"/>
      <c r="H2416" s="2168"/>
      <c r="I2416" s="70"/>
    </row>
    <row r="2417" spans="3:9" s="46" customFormat="1" x14ac:dyDescent="0.2">
      <c r="C2417" s="144"/>
      <c r="D2417" s="144"/>
      <c r="E2417" s="144"/>
      <c r="F2417" s="373"/>
      <c r="H2417" s="2168"/>
      <c r="I2417" s="70"/>
    </row>
    <row r="2418" spans="3:9" s="46" customFormat="1" x14ac:dyDescent="0.2">
      <c r="C2418" s="144"/>
      <c r="D2418" s="144"/>
      <c r="E2418" s="144"/>
      <c r="F2418" s="373"/>
      <c r="H2418" s="2168"/>
      <c r="I2418" s="70"/>
    </row>
    <row r="2419" spans="3:9" s="46" customFormat="1" x14ac:dyDescent="0.2">
      <c r="C2419" s="144"/>
      <c r="D2419" s="144"/>
      <c r="E2419" s="144"/>
      <c r="F2419" s="373"/>
      <c r="H2419" s="2168"/>
      <c r="I2419" s="70"/>
    </row>
    <row r="2420" spans="3:9" s="46" customFormat="1" x14ac:dyDescent="0.2">
      <c r="C2420" s="144"/>
      <c r="D2420" s="144"/>
      <c r="E2420" s="144"/>
      <c r="F2420" s="373"/>
      <c r="H2420" s="2168"/>
      <c r="I2420" s="70"/>
    </row>
    <row r="2421" spans="3:9" s="46" customFormat="1" x14ac:dyDescent="0.2">
      <c r="C2421" s="144"/>
      <c r="D2421" s="144"/>
      <c r="E2421" s="144"/>
      <c r="F2421" s="373"/>
      <c r="H2421" s="2168"/>
      <c r="I2421" s="70"/>
    </row>
    <row r="2422" spans="3:9" s="46" customFormat="1" x14ac:dyDescent="0.2">
      <c r="C2422" s="144"/>
      <c r="D2422" s="144"/>
      <c r="E2422" s="144"/>
      <c r="F2422" s="373"/>
      <c r="H2422" s="2168"/>
      <c r="I2422" s="70"/>
    </row>
    <row r="2423" spans="3:9" s="46" customFormat="1" x14ac:dyDescent="0.2">
      <c r="C2423" s="144"/>
      <c r="D2423" s="144"/>
      <c r="E2423" s="144"/>
      <c r="F2423" s="373"/>
      <c r="H2423" s="2168"/>
      <c r="I2423" s="70"/>
    </row>
    <row r="2424" spans="3:9" s="46" customFormat="1" x14ac:dyDescent="0.2">
      <c r="C2424" s="144"/>
      <c r="D2424" s="144"/>
      <c r="E2424" s="144"/>
      <c r="F2424" s="373"/>
      <c r="H2424" s="2168"/>
      <c r="I2424" s="70"/>
    </row>
    <row r="2425" spans="3:9" s="46" customFormat="1" x14ac:dyDescent="0.2">
      <c r="C2425" s="144"/>
      <c r="D2425" s="144"/>
      <c r="E2425" s="144"/>
      <c r="F2425" s="373"/>
      <c r="H2425" s="2168"/>
      <c r="I2425" s="70"/>
    </row>
    <row r="2426" spans="3:9" s="46" customFormat="1" x14ac:dyDescent="0.2">
      <c r="C2426" s="144"/>
      <c r="D2426" s="144"/>
      <c r="E2426" s="144"/>
      <c r="F2426" s="373"/>
      <c r="H2426" s="2168"/>
      <c r="I2426" s="70"/>
    </row>
    <row r="2427" spans="3:9" s="46" customFormat="1" x14ac:dyDescent="0.2">
      <c r="C2427" s="144"/>
      <c r="D2427" s="144"/>
      <c r="E2427" s="144"/>
      <c r="F2427" s="373"/>
      <c r="H2427" s="2168"/>
      <c r="I2427" s="70"/>
    </row>
    <row r="2428" spans="3:9" s="46" customFormat="1" x14ac:dyDescent="0.2">
      <c r="C2428" s="144"/>
      <c r="D2428" s="144"/>
      <c r="E2428" s="144"/>
      <c r="F2428" s="373"/>
      <c r="H2428" s="2168"/>
      <c r="I2428" s="70"/>
    </row>
    <row r="2429" spans="3:9" s="46" customFormat="1" x14ac:dyDescent="0.2">
      <c r="C2429" s="144"/>
      <c r="D2429" s="144"/>
      <c r="E2429" s="144"/>
      <c r="F2429" s="373"/>
      <c r="H2429" s="2168"/>
      <c r="I2429" s="70"/>
    </row>
    <row r="2430" spans="3:9" s="46" customFormat="1" x14ac:dyDescent="0.2">
      <c r="C2430" s="144"/>
      <c r="D2430" s="144"/>
      <c r="E2430" s="144"/>
      <c r="F2430" s="373"/>
      <c r="H2430" s="2168"/>
      <c r="I2430" s="70"/>
    </row>
    <row r="2431" spans="3:9" s="46" customFormat="1" x14ac:dyDescent="0.2">
      <c r="C2431" s="144"/>
      <c r="D2431" s="144"/>
      <c r="E2431" s="144"/>
      <c r="F2431" s="373"/>
      <c r="H2431" s="2168"/>
      <c r="I2431" s="70"/>
    </row>
    <row r="2432" spans="3:9" s="46" customFormat="1" x14ac:dyDescent="0.2">
      <c r="C2432" s="144"/>
      <c r="D2432" s="144"/>
      <c r="E2432" s="144"/>
      <c r="F2432" s="373"/>
      <c r="H2432" s="2168"/>
      <c r="I2432" s="70"/>
    </row>
    <row r="2433" spans="3:9" s="46" customFormat="1" x14ac:dyDescent="0.2">
      <c r="C2433" s="144"/>
      <c r="D2433" s="144"/>
      <c r="E2433" s="144"/>
      <c r="F2433" s="373"/>
      <c r="H2433" s="2168"/>
      <c r="I2433" s="70"/>
    </row>
    <row r="2434" spans="3:9" s="46" customFormat="1" x14ac:dyDescent="0.2">
      <c r="C2434" s="144"/>
      <c r="D2434" s="144"/>
      <c r="E2434" s="144"/>
      <c r="F2434" s="373"/>
      <c r="H2434" s="2168"/>
      <c r="I2434" s="70"/>
    </row>
    <row r="2435" spans="3:9" s="46" customFormat="1" x14ac:dyDescent="0.2">
      <c r="C2435" s="144"/>
      <c r="D2435" s="144"/>
      <c r="E2435" s="144"/>
      <c r="F2435" s="373"/>
      <c r="H2435" s="2168"/>
      <c r="I2435" s="70"/>
    </row>
    <row r="2436" spans="3:9" s="46" customFormat="1" x14ac:dyDescent="0.2">
      <c r="C2436" s="144"/>
      <c r="D2436" s="144"/>
      <c r="E2436" s="144"/>
      <c r="F2436" s="373"/>
      <c r="H2436" s="2168"/>
      <c r="I2436" s="70"/>
    </row>
    <row r="2437" spans="3:9" s="46" customFormat="1" x14ac:dyDescent="0.2">
      <c r="C2437" s="144"/>
      <c r="D2437" s="144"/>
      <c r="E2437" s="144"/>
      <c r="F2437" s="373"/>
      <c r="H2437" s="2168"/>
      <c r="I2437" s="70"/>
    </row>
    <row r="2438" spans="3:9" s="46" customFormat="1" x14ac:dyDescent="0.2">
      <c r="C2438" s="144"/>
      <c r="D2438" s="144"/>
      <c r="E2438" s="144"/>
      <c r="F2438" s="373"/>
      <c r="H2438" s="2168"/>
      <c r="I2438" s="70"/>
    </row>
    <row r="2439" spans="3:9" s="46" customFormat="1" x14ac:dyDescent="0.2">
      <c r="C2439" s="144"/>
      <c r="D2439" s="144"/>
      <c r="E2439" s="144"/>
      <c r="F2439" s="373"/>
      <c r="H2439" s="2168"/>
      <c r="I2439" s="70"/>
    </row>
    <row r="2440" spans="3:9" s="46" customFormat="1" x14ac:dyDescent="0.2">
      <c r="C2440" s="144"/>
      <c r="D2440" s="144"/>
      <c r="E2440" s="144"/>
      <c r="F2440" s="373"/>
      <c r="H2440" s="2168"/>
      <c r="I2440" s="70"/>
    </row>
    <row r="2441" spans="3:9" s="46" customFormat="1" x14ac:dyDescent="0.2">
      <c r="C2441" s="144"/>
      <c r="D2441" s="144"/>
      <c r="E2441" s="144"/>
      <c r="F2441" s="373"/>
      <c r="H2441" s="2168"/>
      <c r="I2441" s="70"/>
    </row>
    <row r="2442" spans="3:9" s="46" customFormat="1" x14ac:dyDescent="0.2">
      <c r="C2442" s="144"/>
      <c r="D2442" s="144"/>
      <c r="E2442" s="144"/>
      <c r="F2442" s="373"/>
      <c r="H2442" s="2168"/>
      <c r="I2442" s="70"/>
    </row>
    <row r="2443" spans="3:9" s="46" customFormat="1" x14ac:dyDescent="0.2">
      <c r="C2443" s="144"/>
      <c r="D2443" s="144"/>
      <c r="E2443" s="144"/>
      <c r="F2443" s="373"/>
      <c r="H2443" s="2168"/>
      <c r="I2443" s="70"/>
    </row>
    <row r="2444" spans="3:9" s="46" customFormat="1" x14ac:dyDescent="0.2">
      <c r="C2444" s="144"/>
      <c r="D2444" s="144"/>
      <c r="E2444" s="144"/>
      <c r="F2444" s="373"/>
      <c r="H2444" s="2168"/>
      <c r="I2444" s="70"/>
    </row>
    <row r="2445" spans="3:9" s="46" customFormat="1" x14ac:dyDescent="0.2">
      <c r="C2445" s="144"/>
      <c r="D2445" s="144"/>
      <c r="E2445" s="144"/>
      <c r="F2445" s="373"/>
      <c r="H2445" s="2168"/>
      <c r="I2445" s="70"/>
    </row>
    <row r="2446" spans="3:9" s="46" customFormat="1" x14ac:dyDescent="0.2">
      <c r="C2446" s="144"/>
      <c r="D2446" s="144"/>
      <c r="E2446" s="144"/>
      <c r="F2446" s="373"/>
      <c r="H2446" s="2168"/>
      <c r="I2446" s="70"/>
    </row>
    <row r="2447" spans="3:9" s="46" customFormat="1" x14ac:dyDescent="0.2">
      <c r="C2447" s="144"/>
      <c r="D2447" s="144"/>
      <c r="E2447" s="144"/>
      <c r="F2447" s="373"/>
      <c r="H2447" s="2168"/>
      <c r="I2447" s="70"/>
    </row>
    <row r="2448" spans="3:9" s="46" customFormat="1" x14ac:dyDescent="0.2">
      <c r="C2448" s="144"/>
      <c r="D2448" s="144"/>
      <c r="E2448" s="144"/>
      <c r="F2448" s="373"/>
      <c r="H2448" s="2168"/>
      <c r="I2448" s="70"/>
    </row>
    <row r="2449" spans="3:9" s="46" customFormat="1" x14ac:dyDescent="0.2">
      <c r="C2449" s="144"/>
      <c r="D2449" s="144"/>
      <c r="E2449" s="144"/>
      <c r="F2449" s="373"/>
      <c r="H2449" s="2168"/>
      <c r="I2449" s="70"/>
    </row>
    <row r="2450" spans="3:9" s="46" customFormat="1" x14ac:dyDescent="0.2">
      <c r="C2450" s="144"/>
      <c r="D2450" s="144"/>
      <c r="E2450" s="144"/>
      <c r="F2450" s="373"/>
      <c r="H2450" s="2168"/>
      <c r="I2450" s="70"/>
    </row>
    <row r="2451" spans="3:9" s="46" customFormat="1" x14ac:dyDescent="0.2">
      <c r="C2451" s="144"/>
      <c r="D2451" s="144"/>
      <c r="E2451" s="144"/>
      <c r="F2451" s="373"/>
      <c r="H2451" s="2168"/>
      <c r="I2451" s="70"/>
    </row>
    <row r="2452" spans="3:9" s="46" customFormat="1" x14ac:dyDescent="0.2">
      <c r="C2452" s="144"/>
      <c r="D2452" s="144"/>
      <c r="E2452" s="144"/>
      <c r="F2452" s="373"/>
      <c r="H2452" s="2168"/>
      <c r="I2452" s="70"/>
    </row>
    <row r="2453" spans="3:9" s="46" customFormat="1" x14ac:dyDescent="0.2">
      <c r="C2453" s="144"/>
      <c r="D2453" s="144"/>
      <c r="E2453" s="144"/>
      <c r="F2453" s="373"/>
      <c r="H2453" s="2168"/>
      <c r="I2453" s="70"/>
    </row>
    <row r="2454" spans="3:9" s="46" customFormat="1" x14ac:dyDescent="0.2">
      <c r="C2454" s="144"/>
      <c r="D2454" s="144"/>
      <c r="E2454" s="144"/>
      <c r="F2454" s="373"/>
      <c r="H2454" s="2168"/>
      <c r="I2454" s="70"/>
    </row>
    <row r="2455" spans="3:9" s="46" customFormat="1" x14ac:dyDescent="0.2">
      <c r="C2455" s="144"/>
      <c r="D2455" s="144"/>
      <c r="E2455" s="144"/>
      <c r="F2455" s="373"/>
      <c r="H2455" s="2168"/>
      <c r="I2455" s="70"/>
    </row>
    <row r="2456" spans="3:9" s="46" customFormat="1" x14ac:dyDescent="0.2">
      <c r="C2456" s="144"/>
      <c r="D2456" s="144"/>
      <c r="E2456" s="144"/>
      <c r="F2456" s="373"/>
      <c r="H2456" s="2168"/>
      <c r="I2456" s="70"/>
    </row>
    <row r="2457" spans="3:9" s="46" customFormat="1" x14ac:dyDescent="0.2">
      <c r="C2457" s="144"/>
      <c r="D2457" s="144"/>
      <c r="E2457" s="144"/>
      <c r="F2457" s="373"/>
      <c r="H2457" s="2168"/>
      <c r="I2457" s="70"/>
    </row>
    <row r="2458" spans="3:9" s="46" customFormat="1" x14ac:dyDescent="0.2">
      <c r="C2458" s="144"/>
      <c r="D2458" s="144"/>
      <c r="E2458" s="144"/>
      <c r="F2458" s="373"/>
      <c r="H2458" s="2168"/>
      <c r="I2458" s="70"/>
    </row>
    <row r="2459" spans="3:9" s="46" customFormat="1" x14ac:dyDescent="0.2">
      <c r="C2459" s="144"/>
      <c r="D2459" s="144"/>
      <c r="E2459" s="144"/>
      <c r="F2459" s="373"/>
      <c r="H2459" s="2168"/>
      <c r="I2459" s="70"/>
    </row>
    <row r="2460" spans="3:9" s="46" customFormat="1" x14ac:dyDescent="0.2">
      <c r="C2460" s="144"/>
      <c r="D2460" s="144"/>
      <c r="E2460" s="144"/>
      <c r="F2460" s="373"/>
      <c r="H2460" s="2168"/>
      <c r="I2460" s="70"/>
    </row>
    <row r="2461" spans="3:9" s="46" customFormat="1" x14ac:dyDescent="0.2">
      <c r="C2461" s="144"/>
      <c r="D2461" s="144"/>
      <c r="E2461" s="144"/>
      <c r="F2461" s="373"/>
      <c r="H2461" s="2168"/>
      <c r="I2461" s="70"/>
    </row>
    <row r="2462" spans="3:9" s="46" customFormat="1" x14ac:dyDescent="0.2">
      <c r="C2462" s="144"/>
      <c r="D2462" s="144"/>
      <c r="E2462" s="144"/>
      <c r="F2462" s="373"/>
      <c r="H2462" s="2168"/>
      <c r="I2462" s="70"/>
    </row>
    <row r="2463" spans="3:9" s="46" customFormat="1" x14ac:dyDescent="0.2">
      <c r="C2463" s="144"/>
      <c r="D2463" s="144"/>
      <c r="E2463" s="144"/>
      <c r="F2463" s="373"/>
      <c r="H2463" s="2168"/>
      <c r="I2463" s="70"/>
    </row>
    <row r="2464" spans="3:9" s="46" customFormat="1" x14ac:dyDescent="0.2">
      <c r="C2464" s="144"/>
      <c r="D2464" s="144"/>
      <c r="E2464" s="144"/>
      <c r="F2464" s="373"/>
      <c r="H2464" s="2168"/>
      <c r="I2464" s="70"/>
    </row>
    <row r="2465" spans="3:9" s="46" customFormat="1" x14ac:dyDescent="0.2">
      <c r="C2465" s="144"/>
      <c r="D2465" s="144"/>
      <c r="E2465" s="144"/>
      <c r="F2465" s="373"/>
      <c r="H2465" s="2168"/>
      <c r="I2465" s="70"/>
    </row>
    <row r="2466" spans="3:9" s="46" customFormat="1" x14ac:dyDescent="0.2">
      <c r="C2466" s="144"/>
      <c r="D2466" s="144"/>
      <c r="E2466" s="144"/>
      <c r="F2466" s="373"/>
      <c r="H2466" s="2168"/>
      <c r="I2466" s="70"/>
    </row>
    <row r="2467" spans="3:9" s="46" customFormat="1" x14ac:dyDescent="0.2">
      <c r="C2467" s="144"/>
      <c r="D2467" s="144"/>
      <c r="E2467" s="144"/>
      <c r="F2467" s="373"/>
      <c r="H2467" s="2168"/>
      <c r="I2467" s="70"/>
    </row>
    <row r="2468" spans="3:9" s="46" customFormat="1" x14ac:dyDescent="0.2">
      <c r="C2468" s="144"/>
      <c r="D2468" s="144"/>
      <c r="E2468" s="144"/>
      <c r="F2468" s="373"/>
      <c r="H2468" s="2168"/>
      <c r="I2468" s="70"/>
    </row>
    <row r="2469" spans="3:9" s="46" customFormat="1" x14ac:dyDescent="0.2">
      <c r="C2469" s="144"/>
      <c r="D2469" s="144"/>
      <c r="E2469" s="144"/>
      <c r="F2469" s="373"/>
      <c r="H2469" s="2168"/>
      <c r="I2469" s="70"/>
    </row>
    <row r="2470" spans="3:9" s="46" customFormat="1" x14ac:dyDescent="0.2">
      <c r="C2470" s="144"/>
      <c r="D2470" s="144"/>
      <c r="E2470" s="144"/>
      <c r="F2470" s="373"/>
      <c r="H2470" s="2168"/>
      <c r="I2470" s="70"/>
    </row>
    <row r="2471" spans="3:9" s="46" customFormat="1" x14ac:dyDescent="0.2">
      <c r="C2471" s="144"/>
      <c r="D2471" s="144"/>
      <c r="E2471" s="144"/>
      <c r="F2471" s="373"/>
      <c r="H2471" s="2168"/>
      <c r="I2471" s="70"/>
    </row>
    <row r="2472" spans="3:9" s="46" customFormat="1" x14ac:dyDescent="0.2">
      <c r="C2472" s="144"/>
      <c r="D2472" s="144"/>
      <c r="E2472" s="144"/>
      <c r="F2472" s="373"/>
      <c r="H2472" s="2168"/>
      <c r="I2472" s="70"/>
    </row>
    <row r="2473" spans="3:9" s="46" customFormat="1" x14ac:dyDescent="0.2">
      <c r="C2473" s="144"/>
      <c r="D2473" s="144"/>
      <c r="E2473" s="144"/>
      <c r="F2473" s="373"/>
      <c r="H2473" s="2168"/>
      <c r="I2473" s="70"/>
    </row>
    <row r="2474" spans="3:9" s="46" customFormat="1" x14ac:dyDescent="0.2">
      <c r="C2474" s="144"/>
      <c r="D2474" s="144"/>
      <c r="E2474" s="144"/>
      <c r="F2474" s="373"/>
      <c r="H2474" s="2168"/>
      <c r="I2474" s="70"/>
    </row>
    <row r="2475" spans="3:9" s="46" customFormat="1" x14ac:dyDescent="0.2">
      <c r="C2475" s="144"/>
      <c r="D2475" s="144"/>
      <c r="E2475" s="144"/>
      <c r="F2475" s="373"/>
      <c r="H2475" s="2168"/>
      <c r="I2475" s="70"/>
    </row>
    <row r="2476" spans="3:9" s="46" customFormat="1" x14ac:dyDescent="0.2">
      <c r="C2476" s="144"/>
      <c r="D2476" s="144"/>
      <c r="E2476" s="144"/>
      <c r="F2476" s="373"/>
      <c r="H2476" s="2168"/>
      <c r="I2476" s="70"/>
    </row>
    <row r="2477" spans="3:9" s="46" customFormat="1" x14ac:dyDescent="0.2">
      <c r="C2477" s="144"/>
      <c r="D2477" s="144"/>
      <c r="E2477" s="144"/>
      <c r="F2477" s="373"/>
      <c r="H2477" s="2168"/>
      <c r="I2477" s="70"/>
    </row>
    <row r="2478" spans="3:9" s="46" customFormat="1" x14ac:dyDescent="0.2">
      <c r="C2478" s="144"/>
      <c r="D2478" s="144"/>
      <c r="E2478" s="144"/>
      <c r="F2478" s="373"/>
      <c r="H2478" s="2168"/>
      <c r="I2478" s="70"/>
    </row>
    <row r="2479" spans="3:9" s="46" customFormat="1" x14ac:dyDescent="0.2">
      <c r="C2479" s="144"/>
      <c r="D2479" s="144"/>
      <c r="E2479" s="144"/>
      <c r="F2479" s="373"/>
      <c r="H2479" s="2168"/>
      <c r="I2479" s="70"/>
    </row>
    <row r="2480" spans="3:9" s="46" customFormat="1" x14ac:dyDescent="0.2">
      <c r="C2480" s="144"/>
      <c r="D2480" s="144"/>
      <c r="E2480" s="144"/>
      <c r="F2480" s="373"/>
      <c r="H2480" s="2168"/>
      <c r="I2480" s="70"/>
    </row>
    <row r="2481" spans="3:9" s="46" customFormat="1" x14ac:dyDescent="0.2">
      <c r="C2481" s="144"/>
      <c r="D2481" s="144"/>
      <c r="E2481" s="144"/>
      <c r="F2481" s="373"/>
      <c r="H2481" s="2168"/>
      <c r="I2481" s="70"/>
    </row>
    <row r="2482" spans="3:9" s="46" customFormat="1" x14ac:dyDescent="0.2">
      <c r="C2482" s="144"/>
      <c r="D2482" s="144"/>
      <c r="E2482" s="144"/>
      <c r="F2482" s="373"/>
      <c r="H2482" s="2168"/>
      <c r="I2482" s="70"/>
    </row>
    <row r="2483" spans="3:9" s="46" customFormat="1" x14ac:dyDescent="0.2">
      <c r="C2483" s="144"/>
      <c r="D2483" s="144"/>
      <c r="E2483" s="144"/>
      <c r="F2483" s="373"/>
      <c r="H2483" s="2168"/>
      <c r="I2483" s="70"/>
    </row>
    <row r="2484" spans="3:9" s="46" customFormat="1" x14ac:dyDescent="0.2">
      <c r="C2484" s="144"/>
      <c r="D2484" s="144"/>
      <c r="E2484" s="144"/>
      <c r="F2484" s="373"/>
      <c r="H2484" s="2168"/>
      <c r="I2484" s="70"/>
    </row>
    <row r="2485" spans="3:9" s="46" customFormat="1" x14ac:dyDescent="0.2">
      <c r="C2485" s="144"/>
      <c r="D2485" s="144"/>
      <c r="E2485" s="144"/>
      <c r="F2485" s="373"/>
      <c r="H2485" s="2168"/>
      <c r="I2485" s="70"/>
    </row>
    <row r="2486" spans="3:9" s="46" customFormat="1" x14ac:dyDescent="0.2">
      <c r="C2486" s="144"/>
      <c r="D2486" s="144"/>
      <c r="E2486" s="144"/>
      <c r="F2486" s="373"/>
      <c r="H2486" s="2168"/>
      <c r="I2486" s="70"/>
    </row>
    <row r="2487" spans="3:9" s="46" customFormat="1" x14ac:dyDescent="0.2">
      <c r="C2487" s="144"/>
      <c r="D2487" s="144"/>
      <c r="E2487" s="144"/>
      <c r="F2487" s="373"/>
      <c r="H2487" s="2168"/>
      <c r="I2487" s="70"/>
    </row>
    <row r="2488" spans="3:9" s="46" customFormat="1" x14ac:dyDescent="0.2">
      <c r="C2488" s="144"/>
      <c r="D2488" s="144"/>
      <c r="E2488" s="144"/>
      <c r="F2488" s="373"/>
      <c r="H2488" s="2168"/>
      <c r="I2488" s="70"/>
    </row>
    <row r="2489" spans="3:9" s="46" customFormat="1" x14ac:dyDescent="0.2">
      <c r="C2489" s="144"/>
      <c r="D2489" s="144"/>
      <c r="E2489" s="144"/>
      <c r="F2489" s="373"/>
      <c r="H2489" s="2168"/>
      <c r="I2489" s="70"/>
    </row>
    <row r="2490" spans="3:9" s="46" customFormat="1" x14ac:dyDescent="0.2">
      <c r="C2490" s="144"/>
      <c r="D2490" s="144"/>
      <c r="E2490" s="144"/>
      <c r="F2490" s="373"/>
      <c r="H2490" s="2168"/>
      <c r="I2490" s="70"/>
    </row>
    <row r="2491" spans="3:9" s="46" customFormat="1" x14ac:dyDescent="0.2">
      <c r="C2491" s="144"/>
      <c r="D2491" s="144"/>
      <c r="E2491" s="144"/>
      <c r="F2491" s="373"/>
      <c r="H2491" s="2168"/>
      <c r="I2491" s="70"/>
    </row>
    <row r="2492" spans="3:9" s="46" customFormat="1" x14ac:dyDescent="0.2">
      <c r="C2492" s="144"/>
      <c r="D2492" s="144"/>
      <c r="E2492" s="144"/>
      <c r="F2492" s="373"/>
      <c r="H2492" s="2168"/>
      <c r="I2492" s="70"/>
    </row>
    <row r="2493" spans="3:9" s="46" customFormat="1" x14ac:dyDescent="0.2">
      <c r="C2493" s="144"/>
      <c r="D2493" s="144"/>
      <c r="E2493" s="144"/>
      <c r="F2493" s="373"/>
      <c r="H2493" s="2168"/>
      <c r="I2493" s="70"/>
    </row>
    <row r="2494" spans="3:9" s="46" customFormat="1" x14ac:dyDescent="0.2">
      <c r="C2494" s="144"/>
      <c r="D2494" s="144"/>
      <c r="E2494" s="144"/>
      <c r="F2494" s="373"/>
      <c r="H2494" s="2168"/>
      <c r="I2494" s="70"/>
    </row>
    <row r="2495" spans="3:9" s="46" customFormat="1" x14ac:dyDescent="0.2">
      <c r="C2495" s="144"/>
      <c r="D2495" s="144"/>
      <c r="E2495" s="144"/>
      <c r="F2495" s="373"/>
      <c r="H2495" s="2168"/>
      <c r="I2495" s="70"/>
    </row>
    <row r="2496" spans="3:9" s="46" customFormat="1" x14ac:dyDescent="0.2">
      <c r="C2496" s="144"/>
      <c r="D2496" s="144"/>
      <c r="E2496" s="144"/>
      <c r="F2496" s="373"/>
      <c r="H2496" s="2168"/>
      <c r="I2496" s="70"/>
    </row>
    <row r="2497" spans="3:9" s="46" customFormat="1" x14ac:dyDescent="0.2">
      <c r="C2497" s="144"/>
      <c r="D2497" s="144"/>
      <c r="E2497" s="144"/>
      <c r="F2497" s="373"/>
      <c r="H2497" s="2168"/>
      <c r="I2497" s="70"/>
    </row>
    <row r="2498" spans="3:9" s="46" customFormat="1" x14ac:dyDescent="0.2">
      <c r="C2498" s="144"/>
      <c r="D2498" s="144"/>
      <c r="E2498" s="144"/>
      <c r="F2498" s="373"/>
      <c r="H2498" s="2168"/>
      <c r="I2498" s="70"/>
    </row>
    <row r="2499" spans="3:9" s="46" customFormat="1" x14ac:dyDescent="0.2">
      <c r="C2499" s="144"/>
      <c r="D2499" s="144"/>
      <c r="E2499" s="144"/>
      <c r="F2499" s="373"/>
      <c r="H2499" s="2168"/>
      <c r="I2499" s="70"/>
    </row>
    <row r="2500" spans="3:9" s="46" customFormat="1" x14ac:dyDescent="0.2">
      <c r="C2500" s="144"/>
      <c r="D2500" s="144"/>
      <c r="E2500" s="144"/>
      <c r="F2500" s="373"/>
      <c r="H2500" s="2168"/>
      <c r="I2500" s="70"/>
    </row>
    <row r="2501" spans="3:9" s="46" customFormat="1" x14ac:dyDescent="0.2">
      <c r="C2501" s="144"/>
      <c r="D2501" s="144"/>
      <c r="E2501" s="144"/>
      <c r="F2501" s="373"/>
      <c r="H2501" s="2168"/>
      <c r="I2501" s="70"/>
    </row>
    <row r="2502" spans="3:9" s="46" customFormat="1" x14ac:dyDescent="0.2">
      <c r="C2502" s="144"/>
      <c r="D2502" s="144"/>
      <c r="E2502" s="144"/>
      <c r="F2502" s="373"/>
      <c r="H2502" s="2168"/>
      <c r="I2502" s="70"/>
    </row>
    <row r="2503" spans="3:9" s="46" customFormat="1" x14ac:dyDescent="0.2">
      <c r="C2503" s="144"/>
      <c r="D2503" s="144"/>
      <c r="E2503" s="144"/>
      <c r="F2503" s="373"/>
      <c r="H2503" s="2168"/>
      <c r="I2503" s="70"/>
    </row>
    <row r="2504" spans="3:9" s="46" customFormat="1" x14ac:dyDescent="0.2">
      <c r="C2504" s="144"/>
      <c r="D2504" s="144"/>
      <c r="E2504" s="144"/>
      <c r="F2504" s="373"/>
      <c r="H2504" s="2168"/>
      <c r="I2504" s="70"/>
    </row>
    <row r="2505" spans="3:9" s="46" customFormat="1" x14ac:dyDescent="0.2">
      <c r="C2505" s="144"/>
      <c r="D2505" s="144"/>
      <c r="E2505" s="144"/>
      <c r="F2505" s="373"/>
      <c r="H2505" s="2168"/>
      <c r="I2505" s="70"/>
    </row>
    <row r="2506" spans="3:9" s="46" customFormat="1" x14ac:dyDescent="0.2">
      <c r="C2506" s="144"/>
      <c r="D2506" s="144"/>
      <c r="E2506" s="144"/>
      <c r="F2506" s="373"/>
      <c r="H2506" s="2168"/>
      <c r="I2506" s="70"/>
    </row>
    <row r="2507" spans="3:9" s="46" customFormat="1" x14ac:dyDescent="0.2">
      <c r="C2507" s="144"/>
      <c r="D2507" s="144"/>
      <c r="E2507" s="144"/>
      <c r="F2507" s="373"/>
      <c r="H2507" s="2168"/>
      <c r="I2507" s="70"/>
    </row>
    <row r="2508" spans="3:9" s="46" customFormat="1" x14ac:dyDescent="0.2">
      <c r="C2508" s="144"/>
      <c r="D2508" s="144"/>
      <c r="E2508" s="144"/>
      <c r="F2508" s="373"/>
      <c r="H2508" s="2168"/>
      <c r="I2508" s="70"/>
    </row>
    <row r="2509" spans="3:9" s="46" customFormat="1" x14ac:dyDescent="0.2">
      <c r="C2509" s="144"/>
      <c r="D2509" s="144"/>
      <c r="E2509" s="144"/>
      <c r="F2509" s="373"/>
      <c r="H2509" s="2168"/>
      <c r="I2509" s="70"/>
    </row>
    <row r="2510" spans="3:9" s="46" customFormat="1" x14ac:dyDescent="0.2">
      <c r="C2510" s="144"/>
      <c r="D2510" s="144"/>
      <c r="E2510" s="144"/>
      <c r="F2510" s="373"/>
      <c r="H2510" s="2168"/>
      <c r="I2510" s="70"/>
    </row>
    <row r="2511" spans="3:9" s="46" customFormat="1" x14ac:dyDescent="0.2">
      <c r="C2511" s="144"/>
      <c r="D2511" s="144"/>
      <c r="E2511" s="144"/>
      <c r="F2511" s="373"/>
      <c r="H2511" s="2168"/>
      <c r="I2511" s="70"/>
    </row>
    <row r="2512" spans="3:9" s="46" customFormat="1" x14ac:dyDescent="0.2">
      <c r="C2512" s="144"/>
      <c r="D2512" s="144"/>
      <c r="E2512" s="144"/>
      <c r="F2512" s="373"/>
      <c r="H2512" s="2168"/>
      <c r="I2512" s="70"/>
    </row>
    <row r="2513" spans="3:9" s="46" customFormat="1" x14ac:dyDescent="0.2">
      <c r="C2513" s="144"/>
      <c r="D2513" s="144"/>
      <c r="E2513" s="144"/>
      <c r="F2513" s="373"/>
      <c r="H2513" s="2168"/>
      <c r="I2513" s="70"/>
    </row>
    <row r="2514" spans="3:9" s="46" customFormat="1" x14ac:dyDescent="0.2">
      <c r="C2514" s="144"/>
      <c r="D2514" s="144"/>
      <c r="E2514" s="144"/>
      <c r="F2514" s="373"/>
      <c r="H2514" s="2168"/>
      <c r="I2514" s="70"/>
    </row>
    <row r="2515" spans="3:9" s="46" customFormat="1" x14ac:dyDescent="0.2">
      <c r="C2515" s="144"/>
      <c r="D2515" s="144"/>
      <c r="E2515" s="144"/>
      <c r="F2515" s="373"/>
      <c r="H2515" s="2168"/>
      <c r="I2515" s="70"/>
    </row>
    <row r="2516" spans="3:9" s="46" customFormat="1" x14ac:dyDescent="0.2">
      <c r="C2516" s="144"/>
      <c r="D2516" s="144"/>
      <c r="E2516" s="144"/>
      <c r="F2516" s="373"/>
      <c r="H2516" s="2168"/>
      <c r="I2516" s="70"/>
    </row>
    <row r="2517" spans="3:9" s="46" customFormat="1" x14ac:dyDescent="0.2">
      <c r="C2517" s="144"/>
      <c r="D2517" s="144"/>
      <c r="E2517" s="144"/>
      <c r="F2517" s="373"/>
      <c r="H2517" s="2168"/>
      <c r="I2517" s="70"/>
    </row>
    <row r="2518" spans="3:9" s="46" customFormat="1" x14ac:dyDescent="0.2">
      <c r="C2518" s="144"/>
      <c r="D2518" s="144"/>
      <c r="E2518" s="144"/>
      <c r="F2518" s="373"/>
      <c r="H2518" s="2168"/>
      <c r="I2518" s="70"/>
    </row>
    <row r="2519" spans="3:9" s="46" customFormat="1" x14ac:dyDescent="0.2">
      <c r="C2519" s="144"/>
      <c r="D2519" s="144"/>
      <c r="E2519" s="144"/>
      <c r="F2519" s="373"/>
      <c r="H2519" s="2168"/>
      <c r="I2519" s="70"/>
    </row>
    <row r="2520" spans="3:9" s="46" customFormat="1" x14ac:dyDescent="0.2">
      <c r="C2520" s="144"/>
      <c r="D2520" s="144"/>
      <c r="E2520" s="144"/>
      <c r="F2520" s="373"/>
      <c r="H2520" s="2168"/>
      <c r="I2520" s="70"/>
    </row>
    <row r="2521" spans="3:9" s="46" customFormat="1" x14ac:dyDescent="0.2">
      <c r="C2521" s="144"/>
      <c r="D2521" s="144"/>
      <c r="E2521" s="144"/>
      <c r="F2521" s="373"/>
      <c r="H2521" s="2168"/>
      <c r="I2521" s="70"/>
    </row>
    <row r="2522" spans="3:9" s="46" customFormat="1" x14ac:dyDescent="0.2">
      <c r="C2522" s="144"/>
      <c r="D2522" s="144"/>
      <c r="E2522" s="144"/>
      <c r="F2522" s="373"/>
      <c r="H2522" s="2168"/>
      <c r="I2522" s="70"/>
    </row>
    <row r="2523" spans="3:9" s="46" customFormat="1" x14ac:dyDescent="0.2">
      <c r="C2523" s="144"/>
      <c r="D2523" s="144"/>
      <c r="E2523" s="144"/>
      <c r="F2523" s="373"/>
      <c r="H2523" s="2168"/>
      <c r="I2523" s="70"/>
    </row>
    <row r="2524" spans="3:9" s="46" customFormat="1" x14ac:dyDescent="0.2">
      <c r="C2524" s="144"/>
      <c r="D2524" s="144"/>
      <c r="E2524" s="144"/>
      <c r="F2524" s="373"/>
      <c r="H2524" s="2168"/>
      <c r="I2524" s="70"/>
    </row>
    <row r="2525" spans="3:9" s="46" customFormat="1" x14ac:dyDescent="0.2">
      <c r="C2525" s="144"/>
      <c r="D2525" s="144"/>
      <c r="E2525" s="144"/>
      <c r="F2525" s="373"/>
      <c r="H2525" s="2168"/>
      <c r="I2525" s="70"/>
    </row>
    <row r="2526" spans="3:9" s="46" customFormat="1" x14ac:dyDescent="0.2">
      <c r="C2526" s="144"/>
      <c r="D2526" s="144"/>
      <c r="E2526" s="144"/>
      <c r="F2526" s="373"/>
      <c r="H2526" s="2168"/>
      <c r="I2526" s="70"/>
    </row>
    <row r="2527" spans="3:9" s="46" customFormat="1" x14ac:dyDescent="0.2">
      <c r="C2527" s="144"/>
      <c r="D2527" s="144"/>
      <c r="E2527" s="144"/>
      <c r="F2527" s="373"/>
      <c r="H2527" s="2168"/>
      <c r="I2527" s="70"/>
    </row>
    <row r="2528" spans="3:9" s="46" customFormat="1" x14ac:dyDescent="0.2">
      <c r="C2528" s="144"/>
      <c r="D2528" s="144"/>
      <c r="E2528" s="144"/>
      <c r="F2528" s="373"/>
      <c r="H2528" s="2168"/>
      <c r="I2528" s="70"/>
    </row>
    <row r="2529" spans="3:9" s="46" customFormat="1" x14ac:dyDescent="0.2">
      <c r="C2529" s="144"/>
      <c r="D2529" s="144"/>
      <c r="E2529" s="144"/>
      <c r="F2529" s="373"/>
      <c r="H2529" s="2168"/>
      <c r="I2529" s="70"/>
    </row>
    <row r="2530" spans="3:9" s="46" customFormat="1" x14ac:dyDescent="0.2">
      <c r="C2530" s="144"/>
      <c r="D2530" s="144"/>
      <c r="E2530" s="144"/>
      <c r="F2530" s="373"/>
      <c r="H2530" s="2168"/>
      <c r="I2530" s="70"/>
    </row>
    <row r="2531" spans="3:9" s="46" customFormat="1" x14ac:dyDescent="0.2">
      <c r="C2531" s="144"/>
      <c r="D2531" s="144"/>
      <c r="E2531" s="144"/>
      <c r="F2531" s="373"/>
      <c r="H2531" s="2168"/>
      <c r="I2531" s="70"/>
    </row>
    <row r="2532" spans="3:9" s="46" customFormat="1" x14ac:dyDescent="0.2">
      <c r="C2532" s="144"/>
      <c r="D2532" s="144"/>
      <c r="E2532" s="144"/>
      <c r="F2532" s="373"/>
      <c r="H2532" s="2168"/>
      <c r="I2532" s="70"/>
    </row>
    <row r="2533" spans="3:9" s="46" customFormat="1" x14ac:dyDescent="0.2">
      <c r="C2533" s="144"/>
      <c r="D2533" s="144"/>
      <c r="E2533" s="144"/>
      <c r="F2533" s="373"/>
      <c r="H2533" s="2168"/>
      <c r="I2533" s="70"/>
    </row>
    <row r="2534" spans="3:9" s="46" customFormat="1" x14ac:dyDescent="0.2">
      <c r="C2534" s="144"/>
      <c r="D2534" s="144"/>
      <c r="E2534" s="144"/>
      <c r="F2534" s="373"/>
      <c r="H2534" s="2168"/>
      <c r="I2534" s="70"/>
    </row>
    <row r="2535" spans="3:9" s="46" customFormat="1" x14ac:dyDescent="0.2">
      <c r="C2535" s="144"/>
      <c r="D2535" s="144"/>
      <c r="E2535" s="144"/>
      <c r="F2535" s="373"/>
      <c r="H2535" s="2168"/>
      <c r="I2535" s="70"/>
    </row>
    <row r="2536" spans="3:9" s="46" customFormat="1" x14ac:dyDescent="0.2">
      <c r="C2536" s="144"/>
      <c r="D2536" s="144"/>
      <c r="E2536" s="144"/>
      <c r="F2536" s="373"/>
      <c r="H2536" s="2168"/>
      <c r="I2536" s="70"/>
    </row>
    <row r="2537" spans="3:9" s="46" customFormat="1" x14ac:dyDescent="0.2">
      <c r="C2537" s="144"/>
      <c r="D2537" s="144"/>
      <c r="E2537" s="144"/>
      <c r="F2537" s="373"/>
      <c r="H2537" s="2168"/>
      <c r="I2537" s="70"/>
    </row>
    <row r="2538" spans="3:9" s="46" customFormat="1" x14ac:dyDescent="0.2">
      <c r="C2538" s="144"/>
      <c r="D2538" s="144"/>
      <c r="E2538" s="144"/>
      <c r="F2538" s="373"/>
      <c r="H2538" s="2168"/>
      <c r="I2538" s="70"/>
    </row>
    <row r="2539" spans="3:9" s="46" customFormat="1" x14ac:dyDescent="0.2">
      <c r="C2539" s="144"/>
      <c r="D2539" s="144"/>
      <c r="E2539" s="144"/>
      <c r="F2539" s="373"/>
      <c r="H2539" s="2168"/>
      <c r="I2539" s="70"/>
    </row>
    <row r="2540" spans="3:9" s="46" customFormat="1" x14ac:dyDescent="0.2">
      <c r="C2540" s="144"/>
      <c r="D2540" s="144"/>
      <c r="E2540" s="144"/>
      <c r="F2540" s="373"/>
      <c r="H2540" s="2168"/>
      <c r="I2540" s="70"/>
    </row>
    <row r="2541" spans="3:9" s="46" customFormat="1" x14ac:dyDescent="0.2">
      <c r="C2541" s="144"/>
      <c r="D2541" s="144"/>
      <c r="E2541" s="144"/>
      <c r="F2541" s="373"/>
      <c r="H2541" s="2168"/>
      <c r="I2541" s="70"/>
    </row>
    <row r="2542" spans="3:9" s="46" customFormat="1" x14ac:dyDescent="0.2">
      <c r="C2542" s="144"/>
      <c r="D2542" s="144"/>
      <c r="E2542" s="144"/>
      <c r="F2542" s="373"/>
      <c r="H2542" s="2168"/>
      <c r="I2542" s="70"/>
    </row>
    <row r="2543" spans="3:9" s="46" customFormat="1" x14ac:dyDescent="0.2">
      <c r="C2543" s="144"/>
      <c r="D2543" s="144"/>
      <c r="E2543" s="144"/>
      <c r="F2543" s="373"/>
      <c r="H2543" s="2168"/>
      <c r="I2543" s="70"/>
    </row>
    <row r="2544" spans="3:9" s="46" customFormat="1" x14ac:dyDescent="0.2">
      <c r="C2544" s="144"/>
      <c r="D2544" s="144"/>
      <c r="E2544" s="144"/>
      <c r="F2544" s="373"/>
      <c r="H2544" s="2168"/>
      <c r="I2544" s="70"/>
    </row>
    <row r="2545" spans="3:9" s="46" customFormat="1" x14ac:dyDescent="0.2">
      <c r="C2545" s="144"/>
      <c r="D2545" s="144"/>
      <c r="E2545" s="144"/>
      <c r="F2545" s="373"/>
      <c r="H2545" s="2168"/>
      <c r="I2545" s="70"/>
    </row>
    <row r="2546" spans="3:9" s="46" customFormat="1" x14ac:dyDescent="0.2">
      <c r="C2546" s="144"/>
      <c r="D2546" s="144"/>
      <c r="E2546" s="144"/>
      <c r="F2546" s="373"/>
      <c r="H2546" s="2168"/>
      <c r="I2546" s="70"/>
    </row>
    <row r="2547" spans="3:9" s="46" customFormat="1" x14ac:dyDescent="0.2">
      <c r="C2547" s="144"/>
      <c r="D2547" s="144"/>
      <c r="E2547" s="144"/>
      <c r="F2547" s="373"/>
      <c r="H2547" s="2168"/>
      <c r="I2547" s="70"/>
    </row>
    <row r="2548" spans="3:9" s="46" customFormat="1" x14ac:dyDescent="0.2">
      <c r="C2548" s="144"/>
      <c r="D2548" s="144"/>
      <c r="E2548" s="144"/>
      <c r="F2548" s="373"/>
      <c r="H2548" s="2168"/>
      <c r="I2548" s="70"/>
    </row>
    <row r="2549" spans="3:9" s="46" customFormat="1" x14ac:dyDescent="0.2">
      <c r="C2549" s="144"/>
      <c r="D2549" s="144"/>
      <c r="E2549" s="144"/>
      <c r="F2549" s="373"/>
      <c r="H2549" s="2168"/>
      <c r="I2549" s="70"/>
    </row>
    <row r="2550" spans="3:9" s="46" customFormat="1" x14ac:dyDescent="0.2">
      <c r="C2550" s="144"/>
      <c r="D2550" s="144"/>
      <c r="E2550" s="144"/>
      <c r="F2550" s="373"/>
      <c r="H2550" s="2168"/>
      <c r="I2550" s="70"/>
    </row>
    <row r="2551" spans="3:9" s="46" customFormat="1" x14ac:dyDescent="0.2">
      <c r="C2551" s="144"/>
      <c r="D2551" s="144"/>
      <c r="E2551" s="144"/>
      <c r="F2551" s="373"/>
      <c r="H2551" s="2168"/>
      <c r="I2551" s="70"/>
    </row>
    <row r="2552" spans="3:9" s="46" customFormat="1" x14ac:dyDescent="0.2">
      <c r="C2552" s="144"/>
      <c r="D2552" s="144"/>
      <c r="E2552" s="144"/>
      <c r="F2552" s="373"/>
      <c r="H2552" s="2168"/>
      <c r="I2552" s="70"/>
    </row>
    <row r="2553" spans="3:9" s="46" customFormat="1" x14ac:dyDescent="0.2">
      <c r="C2553" s="144"/>
      <c r="D2553" s="144"/>
      <c r="E2553" s="144"/>
      <c r="F2553" s="373"/>
      <c r="H2553" s="2168"/>
      <c r="I2553" s="70"/>
    </row>
    <row r="2554" spans="3:9" s="46" customFormat="1" x14ac:dyDescent="0.2">
      <c r="C2554" s="144"/>
      <c r="D2554" s="144"/>
      <c r="E2554" s="144"/>
      <c r="F2554" s="373"/>
      <c r="H2554" s="2168"/>
      <c r="I2554" s="70"/>
    </row>
    <row r="2555" spans="3:9" s="46" customFormat="1" x14ac:dyDescent="0.2">
      <c r="C2555" s="144"/>
      <c r="D2555" s="144"/>
      <c r="E2555" s="144"/>
      <c r="F2555" s="373"/>
      <c r="H2555" s="2168"/>
      <c r="I2555" s="70"/>
    </row>
    <row r="2556" spans="3:9" s="46" customFormat="1" x14ac:dyDescent="0.2">
      <c r="C2556" s="144"/>
      <c r="D2556" s="144"/>
      <c r="E2556" s="144"/>
      <c r="F2556" s="373"/>
      <c r="H2556" s="2168"/>
      <c r="I2556" s="70"/>
    </row>
    <row r="2557" spans="3:9" s="46" customFormat="1" x14ac:dyDescent="0.2">
      <c r="C2557" s="144"/>
      <c r="D2557" s="144"/>
      <c r="E2557" s="144"/>
      <c r="F2557" s="373"/>
      <c r="H2557" s="2168"/>
      <c r="I2557" s="70"/>
    </row>
    <row r="2558" spans="3:9" s="46" customFormat="1" x14ac:dyDescent="0.2">
      <c r="C2558" s="144"/>
      <c r="D2558" s="144"/>
      <c r="E2558" s="144"/>
      <c r="F2558" s="373"/>
      <c r="H2558" s="2168"/>
      <c r="I2558" s="70"/>
    </row>
    <row r="2559" spans="3:9" s="46" customFormat="1" x14ac:dyDescent="0.2">
      <c r="C2559" s="144"/>
      <c r="D2559" s="144"/>
      <c r="E2559" s="144"/>
      <c r="F2559" s="373"/>
      <c r="H2559" s="2168"/>
      <c r="I2559" s="70"/>
    </row>
    <row r="2560" spans="3:9" s="46" customFormat="1" x14ac:dyDescent="0.2">
      <c r="C2560" s="144"/>
      <c r="D2560" s="144"/>
      <c r="E2560" s="144"/>
      <c r="F2560" s="373"/>
      <c r="H2560" s="2168"/>
      <c r="I2560" s="70"/>
    </row>
    <row r="2561" spans="3:9" s="46" customFormat="1" x14ac:dyDescent="0.2">
      <c r="C2561" s="144"/>
      <c r="D2561" s="144"/>
      <c r="E2561" s="144"/>
      <c r="F2561" s="373"/>
      <c r="H2561" s="2168"/>
      <c r="I2561" s="70"/>
    </row>
    <row r="2562" spans="3:9" s="46" customFormat="1" x14ac:dyDescent="0.2">
      <c r="C2562" s="144"/>
      <c r="D2562" s="144"/>
      <c r="E2562" s="144"/>
      <c r="F2562" s="373"/>
      <c r="H2562" s="2168"/>
      <c r="I2562" s="70"/>
    </row>
    <row r="2563" spans="3:9" s="46" customFormat="1" x14ac:dyDescent="0.2">
      <c r="C2563" s="144"/>
      <c r="D2563" s="144"/>
      <c r="E2563" s="144"/>
      <c r="F2563" s="373"/>
      <c r="H2563" s="2168"/>
      <c r="I2563" s="70"/>
    </row>
    <row r="2564" spans="3:9" s="46" customFormat="1" x14ac:dyDescent="0.2">
      <c r="C2564" s="144"/>
      <c r="D2564" s="144"/>
      <c r="E2564" s="144"/>
      <c r="F2564" s="373"/>
      <c r="H2564" s="2168"/>
      <c r="I2564" s="70"/>
    </row>
    <row r="2565" spans="3:9" s="46" customFormat="1" x14ac:dyDescent="0.2">
      <c r="C2565" s="144"/>
      <c r="D2565" s="144"/>
      <c r="E2565" s="144"/>
      <c r="F2565" s="373"/>
      <c r="H2565" s="2168"/>
      <c r="I2565" s="70"/>
    </row>
    <row r="2566" spans="3:9" s="46" customFormat="1" x14ac:dyDescent="0.2">
      <c r="C2566" s="144"/>
      <c r="D2566" s="144"/>
      <c r="E2566" s="144"/>
      <c r="F2566" s="373"/>
      <c r="H2566" s="2168"/>
      <c r="I2566" s="70"/>
    </row>
    <row r="2567" spans="3:9" s="46" customFormat="1" x14ac:dyDescent="0.2">
      <c r="C2567" s="144"/>
      <c r="D2567" s="144"/>
      <c r="E2567" s="144"/>
      <c r="F2567" s="373"/>
      <c r="H2567" s="2168"/>
      <c r="I2567" s="70"/>
    </row>
    <row r="2568" spans="3:9" s="46" customFormat="1" x14ac:dyDescent="0.2">
      <c r="C2568" s="144"/>
      <c r="D2568" s="144"/>
      <c r="E2568" s="144"/>
      <c r="F2568" s="373"/>
      <c r="H2568" s="2168"/>
      <c r="I2568" s="70"/>
    </row>
    <row r="2569" spans="3:9" s="46" customFormat="1" x14ac:dyDescent="0.2">
      <c r="C2569" s="144"/>
      <c r="D2569" s="144"/>
      <c r="E2569" s="144"/>
      <c r="F2569" s="373"/>
      <c r="H2569" s="2168"/>
      <c r="I2569" s="70"/>
    </row>
    <row r="2570" spans="3:9" s="46" customFormat="1" x14ac:dyDescent="0.2">
      <c r="C2570" s="144"/>
      <c r="D2570" s="144"/>
      <c r="E2570" s="144"/>
      <c r="F2570" s="373"/>
      <c r="H2570" s="2168"/>
      <c r="I2570" s="70"/>
    </row>
    <row r="2571" spans="3:9" s="46" customFormat="1" x14ac:dyDescent="0.2">
      <c r="C2571" s="144"/>
      <c r="D2571" s="144"/>
      <c r="E2571" s="144"/>
      <c r="F2571" s="373"/>
      <c r="H2571" s="2168"/>
      <c r="I2571" s="70"/>
    </row>
    <row r="2572" spans="3:9" s="46" customFormat="1" x14ac:dyDescent="0.2">
      <c r="C2572" s="144"/>
      <c r="D2572" s="144"/>
      <c r="E2572" s="144"/>
      <c r="F2572" s="373"/>
      <c r="H2572" s="2168"/>
      <c r="I2572" s="70"/>
    </row>
    <row r="2573" spans="3:9" s="46" customFormat="1" x14ac:dyDescent="0.2">
      <c r="C2573" s="144"/>
      <c r="D2573" s="144"/>
      <c r="E2573" s="144"/>
      <c r="F2573" s="373"/>
      <c r="H2573" s="2168"/>
      <c r="I2573" s="70"/>
    </row>
    <row r="2574" spans="3:9" s="46" customFormat="1" x14ac:dyDescent="0.2">
      <c r="C2574" s="144"/>
      <c r="D2574" s="144"/>
      <c r="E2574" s="144"/>
      <c r="F2574" s="373"/>
      <c r="H2574" s="2168"/>
      <c r="I2574" s="70"/>
    </row>
    <row r="2575" spans="3:9" s="46" customFormat="1" x14ac:dyDescent="0.2">
      <c r="C2575" s="144"/>
      <c r="D2575" s="144"/>
      <c r="E2575" s="144"/>
      <c r="F2575" s="373"/>
      <c r="H2575" s="2168"/>
      <c r="I2575" s="70"/>
    </row>
    <row r="2576" spans="3:9" s="46" customFormat="1" x14ac:dyDescent="0.2">
      <c r="C2576" s="144"/>
      <c r="D2576" s="144"/>
      <c r="E2576" s="144"/>
      <c r="F2576" s="373"/>
      <c r="H2576" s="2168"/>
      <c r="I2576" s="70"/>
    </row>
    <row r="2577" spans="3:9" s="46" customFormat="1" x14ac:dyDescent="0.2">
      <c r="C2577" s="144"/>
      <c r="D2577" s="144"/>
      <c r="E2577" s="144"/>
      <c r="F2577" s="373"/>
      <c r="H2577" s="2168"/>
      <c r="I2577" s="70"/>
    </row>
    <row r="2578" spans="3:9" s="46" customFormat="1" x14ac:dyDescent="0.2">
      <c r="C2578" s="144"/>
      <c r="D2578" s="144"/>
      <c r="E2578" s="144"/>
      <c r="F2578" s="373"/>
      <c r="H2578" s="2168"/>
      <c r="I2578" s="70"/>
    </row>
    <row r="2579" spans="3:9" s="46" customFormat="1" x14ac:dyDescent="0.2">
      <c r="C2579" s="144"/>
      <c r="D2579" s="144"/>
      <c r="E2579" s="144"/>
      <c r="F2579" s="373"/>
      <c r="H2579" s="2168"/>
      <c r="I2579" s="70"/>
    </row>
    <row r="2580" spans="3:9" s="46" customFormat="1" x14ac:dyDescent="0.2">
      <c r="C2580" s="144"/>
      <c r="D2580" s="144"/>
      <c r="E2580" s="144"/>
      <c r="F2580" s="373"/>
      <c r="H2580" s="2168"/>
      <c r="I2580" s="70"/>
    </row>
    <row r="2581" spans="3:9" s="46" customFormat="1" x14ac:dyDescent="0.2">
      <c r="C2581" s="144"/>
      <c r="D2581" s="144"/>
      <c r="E2581" s="144"/>
      <c r="F2581" s="373"/>
      <c r="H2581" s="2168"/>
      <c r="I2581" s="70"/>
    </row>
    <row r="2582" spans="3:9" s="46" customFormat="1" x14ac:dyDescent="0.2">
      <c r="C2582" s="144"/>
      <c r="D2582" s="144"/>
      <c r="E2582" s="144"/>
      <c r="F2582" s="373"/>
      <c r="H2582" s="2168"/>
      <c r="I2582" s="70"/>
    </row>
    <row r="2583" spans="3:9" s="46" customFormat="1" x14ac:dyDescent="0.2">
      <c r="C2583" s="144"/>
      <c r="D2583" s="144"/>
      <c r="E2583" s="144"/>
      <c r="F2583" s="373"/>
      <c r="H2583" s="2168"/>
      <c r="I2583" s="70"/>
    </row>
    <row r="2584" spans="3:9" s="46" customFormat="1" x14ac:dyDescent="0.2">
      <c r="C2584" s="144"/>
      <c r="D2584" s="144"/>
      <c r="E2584" s="144"/>
      <c r="F2584" s="373"/>
      <c r="H2584" s="2168"/>
      <c r="I2584" s="70"/>
    </row>
    <row r="2585" spans="3:9" s="46" customFormat="1" x14ac:dyDescent="0.2">
      <c r="C2585" s="144"/>
      <c r="D2585" s="144"/>
      <c r="E2585" s="144"/>
      <c r="F2585" s="373"/>
      <c r="H2585" s="2168"/>
      <c r="I2585" s="70"/>
    </row>
    <row r="2586" spans="3:9" s="46" customFormat="1" x14ac:dyDescent="0.2">
      <c r="C2586" s="144"/>
      <c r="D2586" s="144"/>
      <c r="E2586" s="144"/>
      <c r="F2586" s="373"/>
      <c r="H2586" s="2168"/>
      <c r="I2586" s="70"/>
    </row>
    <row r="2587" spans="3:9" s="46" customFormat="1" x14ac:dyDescent="0.2">
      <c r="C2587" s="144"/>
      <c r="D2587" s="144"/>
      <c r="E2587" s="144"/>
      <c r="F2587" s="373"/>
      <c r="H2587" s="2168"/>
      <c r="I2587" s="70"/>
    </row>
    <row r="2588" spans="3:9" s="46" customFormat="1" x14ac:dyDescent="0.2">
      <c r="C2588" s="144"/>
      <c r="D2588" s="144"/>
      <c r="E2588" s="144"/>
      <c r="F2588" s="373"/>
      <c r="H2588" s="2168"/>
      <c r="I2588" s="70"/>
    </row>
    <row r="2589" spans="3:9" s="46" customFormat="1" x14ac:dyDescent="0.2">
      <c r="C2589" s="144"/>
      <c r="D2589" s="144"/>
      <c r="E2589" s="144"/>
      <c r="F2589" s="373"/>
      <c r="H2589" s="2168"/>
      <c r="I2589" s="70"/>
    </row>
    <row r="2590" spans="3:9" s="46" customFormat="1" x14ac:dyDescent="0.2">
      <c r="C2590" s="144"/>
      <c r="D2590" s="144"/>
      <c r="E2590" s="144"/>
      <c r="F2590" s="373"/>
      <c r="H2590" s="2168"/>
      <c r="I2590" s="70"/>
    </row>
    <row r="2591" spans="3:9" s="46" customFormat="1" x14ac:dyDescent="0.2">
      <c r="C2591" s="144"/>
      <c r="D2591" s="144"/>
      <c r="E2591" s="144"/>
      <c r="F2591" s="373"/>
      <c r="H2591" s="2168"/>
      <c r="I2591" s="70"/>
    </row>
    <row r="2592" spans="3:9" s="46" customFormat="1" x14ac:dyDescent="0.2">
      <c r="C2592" s="144"/>
      <c r="D2592" s="144"/>
      <c r="E2592" s="144"/>
      <c r="F2592" s="373"/>
      <c r="H2592" s="2168"/>
      <c r="I2592" s="70"/>
    </row>
    <row r="2593" spans="3:9" s="46" customFormat="1" x14ac:dyDescent="0.2">
      <c r="C2593" s="144"/>
      <c r="D2593" s="144"/>
      <c r="E2593" s="144"/>
      <c r="F2593" s="373"/>
      <c r="H2593" s="2168"/>
      <c r="I2593" s="70"/>
    </row>
    <row r="2594" spans="3:9" s="46" customFormat="1" x14ac:dyDescent="0.2">
      <c r="C2594" s="144"/>
      <c r="D2594" s="144"/>
      <c r="E2594" s="144"/>
      <c r="F2594" s="373"/>
      <c r="H2594" s="2168"/>
      <c r="I2594" s="70"/>
    </row>
    <row r="2595" spans="3:9" s="46" customFormat="1" x14ac:dyDescent="0.2">
      <c r="C2595" s="144"/>
      <c r="D2595" s="144"/>
      <c r="E2595" s="144"/>
      <c r="F2595" s="373"/>
      <c r="H2595" s="2168"/>
      <c r="I2595" s="70"/>
    </row>
    <row r="2596" spans="3:9" s="46" customFormat="1" x14ac:dyDescent="0.2">
      <c r="C2596" s="144"/>
      <c r="D2596" s="144"/>
      <c r="E2596" s="144"/>
      <c r="F2596" s="373"/>
      <c r="H2596" s="2168"/>
      <c r="I2596" s="70"/>
    </row>
    <row r="2597" spans="3:9" s="46" customFormat="1" x14ac:dyDescent="0.2">
      <c r="C2597" s="144"/>
      <c r="D2597" s="144"/>
      <c r="E2597" s="144"/>
      <c r="F2597" s="373"/>
      <c r="H2597" s="2168"/>
      <c r="I2597" s="70"/>
    </row>
    <row r="2598" spans="3:9" s="46" customFormat="1" x14ac:dyDescent="0.2">
      <c r="C2598" s="144"/>
      <c r="D2598" s="144"/>
      <c r="E2598" s="144"/>
      <c r="F2598" s="373"/>
      <c r="H2598" s="2168"/>
      <c r="I2598" s="70"/>
    </row>
    <row r="2599" spans="3:9" s="46" customFormat="1" x14ac:dyDescent="0.2">
      <c r="C2599" s="144"/>
      <c r="D2599" s="144"/>
      <c r="E2599" s="144"/>
      <c r="F2599" s="373"/>
      <c r="H2599" s="2168"/>
      <c r="I2599" s="70"/>
    </row>
    <row r="2600" spans="3:9" s="46" customFormat="1" x14ac:dyDescent="0.2">
      <c r="C2600" s="144"/>
      <c r="D2600" s="144"/>
      <c r="E2600" s="144"/>
      <c r="F2600" s="373"/>
      <c r="H2600" s="2168"/>
      <c r="I2600" s="70"/>
    </row>
    <row r="2601" spans="3:9" s="46" customFormat="1" x14ac:dyDescent="0.2">
      <c r="C2601" s="144"/>
      <c r="D2601" s="144"/>
      <c r="E2601" s="144"/>
      <c r="F2601" s="373"/>
      <c r="H2601" s="2168"/>
      <c r="I2601" s="70"/>
    </row>
    <row r="2602" spans="3:9" s="46" customFormat="1" x14ac:dyDescent="0.2">
      <c r="C2602" s="144"/>
      <c r="D2602" s="144"/>
      <c r="E2602" s="144"/>
      <c r="F2602" s="373"/>
      <c r="H2602" s="2168"/>
      <c r="I2602" s="70"/>
    </row>
    <row r="2603" spans="3:9" s="46" customFormat="1" x14ac:dyDescent="0.2">
      <c r="C2603" s="144"/>
      <c r="D2603" s="144"/>
      <c r="E2603" s="144"/>
      <c r="F2603" s="373"/>
      <c r="H2603" s="2168"/>
      <c r="I2603" s="70"/>
    </row>
    <row r="2604" spans="3:9" s="46" customFormat="1" x14ac:dyDescent="0.2">
      <c r="C2604" s="144"/>
      <c r="D2604" s="144"/>
      <c r="E2604" s="144"/>
      <c r="F2604" s="373"/>
      <c r="H2604" s="2168"/>
      <c r="I2604" s="70"/>
    </row>
    <row r="2605" spans="3:9" s="46" customFormat="1" x14ac:dyDescent="0.2">
      <c r="C2605" s="144"/>
      <c r="D2605" s="144"/>
      <c r="E2605" s="144"/>
      <c r="F2605" s="373"/>
      <c r="H2605" s="2168"/>
      <c r="I2605" s="70"/>
    </row>
    <row r="2606" spans="3:9" s="46" customFormat="1" x14ac:dyDescent="0.2">
      <c r="C2606" s="144"/>
      <c r="D2606" s="144"/>
      <c r="E2606" s="144"/>
      <c r="F2606" s="373"/>
      <c r="H2606" s="2168"/>
      <c r="I2606" s="70"/>
    </row>
    <row r="2607" spans="3:9" s="46" customFormat="1" x14ac:dyDescent="0.2">
      <c r="C2607" s="144"/>
      <c r="D2607" s="144"/>
      <c r="E2607" s="144"/>
      <c r="F2607" s="373"/>
      <c r="H2607" s="2168"/>
      <c r="I2607" s="70"/>
    </row>
    <row r="2608" spans="3:9" s="46" customFormat="1" x14ac:dyDescent="0.2">
      <c r="C2608" s="144"/>
      <c r="D2608" s="144"/>
      <c r="E2608" s="144"/>
      <c r="F2608" s="373"/>
      <c r="H2608" s="2168"/>
      <c r="I2608" s="70"/>
    </row>
    <row r="2609" spans="3:9" s="46" customFormat="1" x14ac:dyDescent="0.2">
      <c r="C2609" s="144"/>
      <c r="D2609" s="144"/>
      <c r="E2609" s="144"/>
      <c r="F2609" s="373"/>
      <c r="H2609" s="2168"/>
      <c r="I2609" s="70"/>
    </row>
    <row r="2610" spans="3:9" s="46" customFormat="1" x14ac:dyDescent="0.2">
      <c r="C2610" s="144"/>
      <c r="D2610" s="144"/>
      <c r="E2610" s="144"/>
      <c r="F2610" s="373"/>
      <c r="H2610" s="2168"/>
      <c r="I2610" s="70"/>
    </row>
    <row r="2611" spans="3:9" s="46" customFormat="1" x14ac:dyDescent="0.2">
      <c r="C2611" s="144"/>
      <c r="D2611" s="144"/>
      <c r="E2611" s="144"/>
      <c r="F2611" s="373"/>
      <c r="H2611" s="2168"/>
      <c r="I2611" s="70"/>
    </row>
    <row r="2612" spans="3:9" s="46" customFormat="1" x14ac:dyDescent="0.2">
      <c r="C2612" s="144"/>
      <c r="D2612" s="144"/>
      <c r="E2612" s="144"/>
      <c r="F2612" s="373"/>
      <c r="H2612" s="2168"/>
      <c r="I2612" s="70"/>
    </row>
    <row r="2613" spans="3:9" s="46" customFormat="1" x14ac:dyDescent="0.2">
      <c r="C2613" s="144"/>
      <c r="D2613" s="144"/>
      <c r="E2613" s="144"/>
      <c r="F2613" s="373"/>
      <c r="H2613" s="2168"/>
      <c r="I2613" s="70"/>
    </row>
    <row r="2614" spans="3:9" s="46" customFormat="1" x14ac:dyDescent="0.2">
      <c r="C2614" s="144"/>
      <c r="D2614" s="144"/>
      <c r="E2614" s="144"/>
      <c r="F2614" s="373"/>
      <c r="H2614" s="2168"/>
      <c r="I2614" s="70"/>
    </row>
    <row r="2615" spans="3:9" s="46" customFormat="1" x14ac:dyDescent="0.2">
      <c r="C2615" s="144"/>
      <c r="D2615" s="144"/>
      <c r="E2615" s="144"/>
      <c r="F2615" s="373"/>
      <c r="H2615" s="2168"/>
      <c r="I2615" s="70"/>
    </row>
    <row r="2616" spans="3:9" s="46" customFormat="1" x14ac:dyDescent="0.2">
      <c r="C2616" s="144"/>
      <c r="D2616" s="144"/>
      <c r="E2616" s="144"/>
      <c r="F2616" s="373"/>
      <c r="H2616" s="2168"/>
      <c r="I2616" s="70"/>
    </row>
    <row r="2617" spans="3:9" s="46" customFormat="1" x14ac:dyDescent="0.2">
      <c r="C2617" s="144"/>
      <c r="D2617" s="144"/>
      <c r="E2617" s="144"/>
      <c r="F2617" s="373"/>
      <c r="H2617" s="2168"/>
      <c r="I2617" s="70"/>
    </row>
    <row r="2618" spans="3:9" s="46" customFormat="1" x14ac:dyDescent="0.2">
      <c r="C2618" s="144"/>
      <c r="D2618" s="144"/>
      <c r="E2618" s="144"/>
      <c r="F2618" s="373"/>
      <c r="H2618" s="2168"/>
      <c r="I2618" s="70"/>
    </row>
    <row r="2619" spans="3:9" s="46" customFormat="1" x14ac:dyDescent="0.2">
      <c r="C2619" s="144"/>
      <c r="D2619" s="144"/>
      <c r="E2619" s="144"/>
      <c r="F2619" s="373"/>
      <c r="H2619" s="2168"/>
      <c r="I2619" s="70"/>
    </row>
    <row r="2620" spans="3:9" s="46" customFormat="1" x14ac:dyDescent="0.2">
      <c r="C2620" s="144"/>
      <c r="D2620" s="144"/>
      <c r="E2620" s="144"/>
      <c r="F2620" s="373"/>
      <c r="H2620" s="2168"/>
      <c r="I2620" s="70"/>
    </row>
    <row r="2621" spans="3:9" s="46" customFormat="1" x14ac:dyDescent="0.2">
      <c r="C2621" s="144"/>
      <c r="D2621" s="144"/>
      <c r="E2621" s="144"/>
      <c r="F2621" s="373"/>
      <c r="H2621" s="2168"/>
      <c r="I2621" s="70"/>
    </row>
    <row r="2622" spans="3:9" s="46" customFormat="1" x14ac:dyDescent="0.2">
      <c r="C2622" s="144"/>
      <c r="D2622" s="144"/>
      <c r="E2622" s="144"/>
      <c r="F2622" s="373"/>
      <c r="H2622" s="2168"/>
      <c r="I2622" s="70"/>
    </row>
    <row r="2623" spans="3:9" s="46" customFormat="1" x14ac:dyDescent="0.2">
      <c r="C2623" s="144"/>
      <c r="D2623" s="144"/>
      <c r="E2623" s="144"/>
      <c r="F2623" s="373"/>
      <c r="H2623" s="2168"/>
      <c r="I2623" s="70"/>
    </row>
    <row r="2624" spans="3:9" s="46" customFormat="1" x14ac:dyDescent="0.2">
      <c r="C2624" s="144"/>
      <c r="D2624" s="144"/>
      <c r="E2624" s="144"/>
      <c r="F2624" s="373"/>
      <c r="H2624" s="2168"/>
      <c r="I2624" s="70"/>
    </row>
    <row r="2625" spans="3:9" s="46" customFormat="1" x14ac:dyDescent="0.2">
      <c r="C2625" s="144"/>
      <c r="D2625" s="144"/>
      <c r="E2625" s="144"/>
      <c r="F2625" s="373"/>
      <c r="H2625" s="2168"/>
      <c r="I2625" s="70"/>
    </row>
    <row r="2626" spans="3:9" s="46" customFormat="1" x14ac:dyDescent="0.2">
      <c r="C2626" s="144"/>
      <c r="D2626" s="144"/>
      <c r="E2626" s="144"/>
      <c r="F2626" s="373"/>
      <c r="H2626" s="2168"/>
      <c r="I2626" s="70"/>
    </row>
    <row r="2627" spans="3:9" s="46" customFormat="1" x14ac:dyDescent="0.2">
      <c r="C2627" s="144"/>
      <c r="D2627" s="144"/>
      <c r="E2627" s="144"/>
      <c r="F2627" s="373"/>
      <c r="H2627" s="2168"/>
      <c r="I2627" s="70"/>
    </row>
    <row r="2628" spans="3:9" s="46" customFormat="1" x14ac:dyDescent="0.2">
      <c r="C2628" s="144"/>
      <c r="D2628" s="144"/>
      <c r="E2628" s="144"/>
      <c r="F2628" s="373"/>
      <c r="H2628" s="2168"/>
      <c r="I2628" s="70"/>
    </row>
    <row r="2629" spans="3:9" s="46" customFormat="1" x14ac:dyDescent="0.2">
      <c r="C2629" s="144"/>
      <c r="D2629" s="144"/>
      <c r="E2629" s="144"/>
      <c r="F2629" s="373"/>
      <c r="H2629" s="2168"/>
      <c r="I2629" s="70"/>
    </row>
    <row r="2630" spans="3:9" s="46" customFormat="1" x14ac:dyDescent="0.2">
      <c r="C2630" s="144"/>
      <c r="D2630" s="144"/>
      <c r="E2630" s="144"/>
      <c r="F2630" s="373"/>
      <c r="H2630" s="2168"/>
      <c r="I2630" s="70"/>
    </row>
    <row r="2631" spans="3:9" s="46" customFormat="1" x14ac:dyDescent="0.2">
      <c r="C2631" s="144"/>
      <c r="D2631" s="144"/>
      <c r="E2631" s="144"/>
      <c r="F2631" s="373"/>
      <c r="H2631" s="2168"/>
      <c r="I2631" s="70"/>
    </row>
    <row r="2632" spans="3:9" s="46" customFormat="1" x14ac:dyDescent="0.2">
      <c r="C2632" s="144"/>
      <c r="D2632" s="144"/>
      <c r="E2632" s="144"/>
      <c r="F2632" s="373"/>
      <c r="H2632" s="2168"/>
      <c r="I2632" s="70"/>
    </row>
    <row r="2633" spans="3:9" s="46" customFormat="1" x14ac:dyDescent="0.2">
      <c r="C2633" s="144"/>
      <c r="D2633" s="144"/>
      <c r="E2633" s="144"/>
      <c r="F2633" s="373"/>
      <c r="H2633" s="2168"/>
      <c r="I2633" s="70"/>
    </row>
    <row r="2634" spans="3:9" s="46" customFormat="1" x14ac:dyDescent="0.2">
      <c r="C2634" s="144"/>
      <c r="D2634" s="144"/>
      <c r="E2634" s="144"/>
      <c r="F2634" s="373"/>
      <c r="H2634" s="2168"/>
      <c r="I2634" s="70"/>
    </row>
    <row r="2635" spans="3:9" s="46" customFormat="1" x14ac:dyDescent="0.2">
      <c r="C2635" s="144"/>
      <c r="D2635" s="144"/>
      <c r="E2635" s="144"/>
      <c r="F2635" s="373"/>
      <c r="H2635" s="2168"/>
      <c r="I2635" s="70"/>
    </row>
    <row r="2636" spans="3:9" s="46" customFormat="1" x14ac:dyDescent="0.2">
      <c r="C2636" s="144"/>
      <c r="D2636" s="144"/>
      <c r="E2636" s="144"/>
      <c r="F2636" s="373"/>
      <c r="H2636" s="2168"/>
      <c r="I2636" s="70"/>
    </row>
    <row r="2637" spans="3:9" s="46" customFormat="1" x14ac:dyDescent="0.2">
      <c r="C2637" s="144"/>
      <c r="D2637" s="144"/>
      <c r="E2637" s="144"/>
      <c r="F2637" s="373"/>
      <c r="H2637" s="2168"/>
      <c r="I2637" s="70"/>
    </row>
    <row r="2638" spans="3:9" s="46" customFormat="1" x14ac:dyDescent="0.2">
      <c r="C2638" s="144"/>
      <c r="D2638" s="144"/>
      <c r="E2638" s="144"/>
      <c r="F2638" s="373"/>
      <c r="H2638" s="2168"/>
      <c r="I2638" s="70"/>
    </row>
    <row r="2639" spans="3:9" s="46" customFormat="1" x14ac:dyDescent="0.2">
      <c r="C2639" s="144"/>
      <c r="D2639" s="144"/>
      <c r="E2639" s="144"/>
      <c r="F2639" s="373"/>
      <c r="H2639" s="2168"/>
      <c r="I2639" s="70"/>
    </row>
    <row r="2640" spans="3:9" s="46" customFormat="1" x14ac:dyDescent="0.2">
      <c r="C2640" s="144"/>
      <c r="D2640" s="144"/>
      <c r="E2640" s="144"/>
      <c r="F2640" s="373"/>
      <c r="H2640" s="2168"/>
      <c r="I2640" s="70"/>
    </row>
    <row r="2641" spans="3:9" s="46" customFormat="1" x14ac:dyDescent="0.2">
      <c r="C2641" s="144"/>
      <c r="D2641" s="144"/>
      <c r="E2641" s="144"/>
      <c r="F2641" s="373"/>
      <c r="H2641" s="2168"/>
      <c r="I2641" s="70"/>
    </row>
    <row r="2642" spans="3:9" s="46" customFormat="1" x14ac:dyDescent="0.2">
      <c r="C2642" s="144"/>
      <c r="D2642" s="144"/>
      <c r="E2642" s="144"/>
      <c r="F2642" s="373"/>
      <c r="H2642" s="2168"/>
      <c r="I2642" s="70"/>
    </row>
    <row r="2643" spans="3:9" s="46" customFormat="1" x14ac:dyDescent="0.2">
      <c r="C2643" s="144"/>
      <c r="D2643" s="144"/>
      <c r="E2643" s="144"/>
      <c r="F2643" s="373"/>
      <c r="H2643" s="2168"/>
      <c r="I2643" s="70"/>
    </row>
    <row r="2644" spans="3:9" s="46" customFormat="1" x14ac:dyDescent="0.2">
      <c r="C2644" s="144"/>
      <c r="D2644" s="144"/>
      <c r="E2644" s="144"/>
      <c r="F2644" s="373"/>
      <c r="H2644" s="2168"/>
      <c r="I2644" s="70"/>
    </row>
    <row r="2645" spans="3:9" s="46" customFormat="1" x14ac:dyDescent="0.2">
      <c r="C2645" s="144"/>
      <c r="D2645" s="144"/>
      <c r="E2645" s="144"/>
      <c r="F2645" s="373"/>
      <c r="H2645" s="2168"/>
      <c r="I2645" s="70"/>
    </row>
    <row r="2646" spans="3:9" s="46" customFormat="1" x14ac:dyDescent="0.2">
      <c r="C2646" s="144"/>
      <c r="D2646" s="144"/>
      <c r="E2646" s="144"/>
      <c r="F2646" s="373"/>
      <c r="H2646" s="2168"/>
      <c r="I2646" s="70"/>
    </row>
    <row r="2647" spans="3:9" s="46" customFormat="1" x14ac:dyDescent="0.2">
      <c r="C2647" s="144"/>
      <c r="D2647" s="144"/>
      <c r="E2647" s="144"/>
      <c r="F2647" s="373"/>
      <c r="H2647" s="2168"/>
      <c r="I2647" s="70"/>
    </row>
    <row r="2648" spans="3:9" s="46" customFormat="1" x14ac:dyDescent="0.2">
      <c r="C2648" s="144"/>
      <c r="D2648" s="144"/>
      <c r="E2648" s="144"/>
      <c r="F2648" s="373"/>
      <c r="H2648" s="2168"/>
      <c r="I2648" s="70"/>
    </row>
    <row r="2649" spans="3:9" s="46" customFormat="1" x14ac:dyDescent="0.2">
      <c r="C2649" s="144"/>
      <c r="D2649" s="144"/>
      <c r="E2649" s="144"/>
      <c r="F2649" s="373"/>
      <c r="H2649" s="2168"/>
      <c r="I2649" s="70"/>
    </row>
    <row r="2650" spans="3:9" s="46" customFormat="1" x14ac:dyDescent="0.2">
      <c r="C2650" s="144"/>
      <c r="D2650" s="144"/>
      <c r="E2650" s="144"/>
      <c r="F2650" s="373"/>
      <c r="H2650" s="2168"/>
      <c r="I2650" s="70"/>
    </row>
    <row r="2651" spans="3:9" s="46" customFormat="1" x14ac:dyDescent="0.2">
      <c r="C2651" s="144"/>
      <c r="D2651" s="144"/>
      <c r="E2651" s="144"/>
      <c r="F2651" s="373"/>
      <c r="H2651" s="2168"/>
      <c r="I2651" s="70"/>
    </row>
    <row r="2652" spans="3:9" s="46" customFormat="1" x14ac:dyDescent="0.2">
      <c r="C2652" s="144"/>
      <c r="D2652" s="144"/>
      <c r="E2652" s="144"/>
      <c r="F2652" s="373"/>
      <c r="H2652" s="2168"/>
      <c r="I2652" s="70"/>
    </row>
    <row r="2653" spans="3:9" s="46" customFormat="1" x14ac:dyDescent="0.2">
      <c r="C2653" s="144"/>
      <c r="D2653" s="144"/>
      <c r="E2653" s="144"/>
      <c r="F2653" s="373"/>
      <c r="H2653" s="2168"/>
      <c r="I2653" s="70"/>
    </row>
    <row r="2654" spans="3:9" s="46" customFormat="1" x14ac:dyDescent="0.2">
      <c r="C2654" s="144"/>
      <c r="D2654" s="144"/>
      <c r="E2654" s="144"/>
      <c r="F2654" s="373"/>
      <c r="H2654" s="2168"/>
      <c r="I2654" s="70"/>
    </row>
    <row r="2655" spans="3:9" s="46" customFormat="1" x14ac:dyDescent="0.2">
      <c r="C2655" s="144"/>
      <c r="D2655" s="144"/>
      <c r="E2655" s="144"/>
      <c r="F2655" s="373"/>
      <c r="H2655" s="2168"/>
      <c r="I2655" s="70"/>
    </row>
    <row r="2656" spans="3:9" s="46" customFormat="1" x14ac:dyDescent="0.2">
      <c r="C2656" s="144"/>
      <c r="D2656" s="144"/>
      <c r="E2656" s="144"/>
      <c r="F2656" s="373"/>
      <c r="H2656" s="2168"/>
      <c r="I2656" s="70"/>
    </row>
    <row r="2657" spans="3:9" s="46" customFormat="1" x14ac:dyDescent="0.2">
      <c r="C2657" s="144"/>
      <c r="D2657" s="144"/>
      <c r="E2657" s="144"/>
      <c r="F2657" s="373"/>
      <c r="H2657" s="2168"/>
      <c r="I2657" s="70"/>
    </row>
    <row r="2658" spans="3:9" s="46" customFormat="1" x14ac:dyDescent="0.2">
      <c r="C2658" s="144"/>
      <c r="D2658" s="144"/>
      <c r="E2658" s="144"/>
      <c r="F2658" s="373"/>
      <c r="H2658" s="2168"/>
      <c r="I2658" s="70"/>
    </row>
    <row r="2659" spans="3:9" s="46" customFormat="1" x14ac:dyDescent="0.2">
      <c r="C2659" s="144"/>
      <c r="D2659" s="144"/>
      <c r="E2659" s="144"/>
      <c r="F2659" s="373"/>
      <c r="H2659" s="2168"/>
      <c r="I2659" s="70"/>
    </row>
    <row r="2660" spans="3:9" s="46" customFormat="1" x14ac:dyDescent="0.2">
      <c r="C2660" s="144"/>
      <c r="D2660" s="144"/>
      <c r="E2660" s="144"/>
      <c r="F2660" s="373"/>
      <c r="H2660" s="2168"/>
      <c r="I2660" s="70"/>
    </row>
    <row r="2661" spans="3:9" s="46" customFormat="1" x14ac:dyDescent="0.2">
      <c r="C2661" s="144"/>
      <c r="D2661" s="144"/>
      <c r="E2661" s="144"/>
      <c r="F2661" s="373"/>
      <c r="H2661" s="2168"/>
      <c r="I2661" s="70"/>
    </row>
    <row r="2662" spans="3:9" s="46" customFormat="1" x14ac:dyDescent="0.2">
      <c r="C2662" s="144"/>
      <c r="D2662" s="144"/>
      <c r="E2662" s="144"/>
      <c r="F2662" s="373"/>
      <c r="H2662" s="2168"/>
      <c r="I2662" s="70"/>
    </row>
    <row r="2663" spans="3:9" s="46" customFormat="1" x14ac:dyDescent="0.2">
      <c r="C2663" s="144"/>
      <c r="D2663" s="144"/>
      <c r="E2663" s="144"/>
      <c r="F2663" s="373"/>
      <c r="H2663" s="2168"/>
      <c r="I2663" s="70"/>
    </row>
    <row r="2664" spans="3:9" s="46" customFormat="1" x14ac:dyDescent="0.2">
      <c r="C2664" s="144"/>
      <c r="D2664" s="144"/>
      <c r="E2664" s="144"/>
      <c r="F2664" s="373"/>
      <c r="H2664" s="2168"/>
      <c r="I2664" s="70"/>
    </row>
    <row r="2665" spans="3:9" s="46" customFormat="1" x14ac:dyDescent="0.2">
      <c r="C2665" s="144"/>
      <c r="D2665" s="144"/>
      <c r="E2665" s="144"/>
      <c r="F2665" s="373"/>
      <c r="H2665" s="2168"/>
      <c r="I2665" s="70"/>
    </row>
    <row r="2666" spans="3:9" s="46" customFormat="1" x14ac:dyDescent="0.2">
      <c r="C2666" s="144"/>
      <c r="D2666" s="144"/>
      <c r="E2666" s="144"/>
      <c r="F2666" s="373"/>
      <c r="H2666" s="2168"/>
      <c r="I2666" s="70"/>
    </row>
    <row r="2667" spans="3:9" s="46" customFormat="1" x14ac:dyDescent="0.2">
      <c r="C2667" s="144"/>
      <c r="D2667" s="144"/>
      <c r="E2667" s="144"/>
      <c r="F2667" s="373"/>
      <c r="H2667" s="2168"/>
      <c r="I2667" s="70"/>
    </row>
    <row r="2668" spans="3:9" s="46" customFormat="1" x14ac:dyDescent="0.2">
      <c r="C2668" s="144"/>
      <c r="D2668" s="144"/>
      <c r="E2668" s="144"/>
      <c r="F2668" s="373"/>
      <c r="H2668" s="2168"/>
      <c r="I2668" s="70"/>
    </row>
    <row r="2669" spans="3:9" s="46" customFormat="1" x14ac:dyDescent="0.2">
      <c r="C2669" s="144"/>
      <c r="D2669" s="144"/>
      <c r="E2669" s="144"/>
      <c r="F2669" s="373"/>
      <c r="H2669" s="2168"/>
      <c r="I2669" s="70"/>
    </row>
    <row r="2670" spans="3:9" s="46" customFormat="1" x14ac:dyDescent="0.2">
      <c r="C2670" s="144"/>
      <c r="D2670" s="144"/>
      <c r="E2670" s="144"/>
      <c r="F2670" s="373"/>
      <c r="H2670" s="2168"/>
      <c r="I2670" s="70"/>
    </row>
    <row r="2671" spans="3:9" s="46" customFormat="1" x14ac:dyDescent="0.2">
      <c r="C2671" s="144"/>
      <c r="D2671" s="144"/>
      <c r="E2671" s="144"/>
      <c r="F2671" s="373"/>
      <c r="H2671" s="2168"/>
      <c r="I2671" s="70"/>
    </row>
    <row r="2672" spans="3:9" s="46" customFormat="1" x14ac:dyDescent="0.2">
      <c r="C2672" s="144"/>
      <c r="D2672" s="144"/>
      <c r="E2672" s="144"/>
      <c r="F2672" s="373"/>
      <c r="H2672" s="2168"/>
      <c r="I2672" s="70"/>
    </row>
    <row r="2673" spans="3:9" s="46" customFormat="1" x14ac:dyDescent="0.2">
      <c r="C2673" s="144"/>
      <c r="D2673" s="144"/>
      <c r="E2673" s="144"/>
      <c r="F2673" s="373"/>
      <c r="H2673" s="2168"/>
      <c r="I2673" s="70"/>
    </row>
    <row r="2674" spans="3:9" s="46" customFormat="1" x14ac:dyDescent="0.2">
      <c r="C2674" s="144"/>
      <c r="D2674" s="144"/>
      <c r="E2674" s="144"/>
      <c r="F2674" s="373"/>
      <c r="H2674" s="2168"/>
      <c r="I2674" s="70"/>
    </row>
    <row r="2675" spans="3:9" s="46" customFormat="1" x14ac:dyDescent="0.2">
      <c r="C2675" s="144"/>
      <c r="D2675" s="144"/>
      <c r="E2675" s="144"/>
      <c r="F2675" s="373"/>
      <c r="H2675" s="2168"/>
      <c r="I2675" s="70"/>
    </row>
    <row r="2676" spans="3:9" s="46" customFormat="1" x14ac:dyDescent="0.2">
      <c r="C2676" s="144"/>
      <c r="D2676" s="144"/>
      <c r="E2676" s="144"/>
      <c r="F2676" s="373"/>
      <c r="H2676" s="2168"/>
      <c r="I2676" s="70"/>
    </row>
    <row r="2677" spans="3:9" s="46" customFormat="1" x14ac:dyDescent="0.2">
      <c r="C2677" s="144"/>
      <c r="D2677" s="144"/>
      <c r="E2677" s="144"/>
      <c r="F2677" s="373"/>
      <c r="H2677" s="2168"/>
      <c r="I2677" s="70"/>
    </row>
    <row r="2678" spans="3:9" s="46" customFormat="1" x14ac:dyDescent="0.2">
      <c r="C2678" s="144"/>
      <c r="D2678" s="144"/>
      <c r="E2678" s="144"/>
      <c r="F2678" s="373"/>
      <c r="H2678" s="2168"/>
      <c r="I2678" s="70"/>
    </row>
    <row r="2679" spans="3:9" s="46" customFormat="1" x14ac:dyDescent="0.2">
      <c r="C2679" s="144"/>
      <c r="D2679" s="144"/>
      <c r="E2679" s="144"/>
      <c r="F2679" s="373"/>
      <c r="H2679" s="2168"/>
      <c r="I2679" s="70"/>
    </row>
    <row r="2680" spans="3:9" s="46" customFormat="1" x14ac:dyDescent="0.2">
      <c r="C2680" s="144"/>
      <c r="D2680" s="144"/>
      <c r="E2680" s="144"/>
      <c r="F2680" s="373"/>
      <c r="H2680" s="2168"/>
      <c r="I2680" s="70"/>
    </row>
    <row r="2681" spans="3:9" s="46" customFormat="1" x14ac:dyDescent="0.2">
      <c r="C2681" s="144"/>
      <c r="D2681" s="144"/>
      <c r="E2681" s="144"/>
      <c r="F2681" s="373"/>
      <c r="H2681" s="2168"/>
      <c r="I2681" s="70"/>
    </row>
    <row r="2682" spans="3:9" s="46" customFormat="1" x14ac:dyDescent="0.2">
      <c r="C2682" s="144"/>
      <c r="D2682" s="144"/>
      <c r="E2682" s="144"/>
      <c r="F2682" s="373"/>
      <c r="H2682" s="2168"/>
      <c r="I2682" s="70"/>
    </row>
    <row r="2683" spans="3:9" s="46" customFormat="1" x14ac:dyDescent="0.2">
      <c r="C2683" s="144"/>
      <c r="D2683" s="144"/>
      <c r="E2683" s="144"/>
      <c r="F2683" s="373"/>
      <c r="H2683" s="2168"/>
      <c r="I2683" s="70"/>
    </row>
    <row r="2684" spans="3:9" s="46" customFormat="1" x14ac:dyDescent="0.2">
      <c r="C2684" s="144"/>
      <c r="D2684" s="144"/>
      <c r="E2684" s="144"/>
      <c r="F2684" s="373"/>
      <c r="H2684" s="2168"/>
      <c r="I2684" s="70"/>
    </row>
    <row r="2685" spans="3:9" s="46" customFormat="1" x14ac:dyDescent="0.2">
      <c r="C2685" s="144"/>
      <c r="D2685" s="144"/>
      <c r="E2685" s="144"/>
      <c r="F2685" s="373"/>
      <c r="H2685" s="2168"/>
      <c r="I2685" s="70"/>
    </row>
    <row r="2686" spans="3:9" s="46" customFormat="1" x14ac:dyDescent="0.2">
      <c r="C2686" s="144"/>
      <c r="D2686" s="144"/>
      <c r="E2686" s="144"/>
      <c r="F2686" s="373"/>
      <c r="H2686" s="2168"/>
      <c r="I2686" s="70"/>
    </row>
    <row r="2687" spans="3:9" s="46" customFormat="1" x14ac:dyDescent="0.2">
      <c r="C2687" s="144"/>
      <c r="D2687" s="144"/>
      <c r="E2687" s="144"/>
      <c r="F2687" s="373"/>
      <c r="H2687" s="2168"/>
      <c r="I2687" s="70"/>
    </row>
    <row r="2688" spans="3:9" s="46" customFormat="1" x14ac:dyDescent="0.2">
      <c r="C2688" s="144"/>
      <c r="D2688" s="144"/>
      <c r="E2688" s="144"/>
      <c r="F2688" s="373"/>
      <c r="H2688" s="2168"/>
      <c r="I2688" s="70"/>
    </row>
    <row r="2689" spans="3:9" s="46" customFormat="1" x14ac:dyDescent="0.2">
      <c r="C2689" s="144"/>
      <c r="D2689" s="144"/>
      <c r="E2689" s="144"/>
      <c r="F2689" s="373"/>
      <c r="H2689" s="2168"/>
      <c r="I2689" s="70"/>
    </row>
    <row r="2690" spans="3:9" s="46" customFormat="1" x14ac:dyDescent="0.2">
      <c r="C2690" s="144"/>
      <c r="D2690" s="144"/>
      <c r="E2690" s="144"/>
      <c r="F2690" s="373"/>
      <c r="H2690" s="2168"/>
      <c r="I2690" s="70"/>
    </row>
    <row r="2691" spans="3:9" s="46" customFormat="1" x14ac:dyDescent="0.2">
      <c r="C2691" s="144"/>
      <c r="D2691" s="144"/>
      <c r="E2691" s="144"/>
      <c r="F2691" s="373"/>
      <c r="H2691" s="2168"/>
      <c r="I2691" s="70"/>
    </row>
    <row r="2692" spans="3:9" s="46" customFormat="1" x14ac:dyDescent="0.2">
      <c r="C2692" s="144"/>
      <c r="D2692" s="144"/>
      <c r="E2692" s="144"/>
      <c r="F2692" s="373"/>
      <c r="H2692" s="2168"/>
      <c r="I2692" s="70"/>
    </row>
    <row r="2693" spans="3:9" s="46" customFormat="1" x14ac:dyDescent="0.2">
      <c r="C2693" s="144"/>
      <c r="D2693" s="144"/>
      <c r="E2693" s="144"/>
      <c r="F2693" s="373"/>
      <c r="H2693" s="2168"/>
      <c r="I2693" s="70"/>
    </row>
    <row r="2694" spans="3:9" s="46" customFormat="1" x14ac:dyDescent="0.2">
      <c r="C2694" s="144"/>
      <c r="D2694" s="144"/>
      <c r="E2694" s="144"/>
      <c r="F2694" s="373"/>
      <c r="H2694" s="2168"/>
      <c r="I2694" s="70"/>
    </row>
    <row r="2695" spans="3:9" s="46" customFormat="1" x14ac:dyDescent="0.2">
      <c r="C2695" s="144"/>
      <c r="D2695" s="144"/>
      <c r="E2695" s="144"/>
      <c r="F2695" s="373"/>
      <c r="H2695" s="2168"/>
      <c r="I2695" s="70"/>
    </row>
    <row r="2696" spans="3:9" s="46" customFormat="1" x14ac:dyDescent="0.2">
      <c r="C2696" s="144"/>
      <c r="D2696" s="144"/>
      <c r="E2696" s="144"/>
      <c r="F2696" s="373"/>
      <c r="H2696" s="2168"/>
      <c r="I2696" s="70"/>
    </row>
    <row r="2697" spans="3:9" s="46" customFormat="1" x14ac:dyDescent="0.2">
      <c r="C2697" s="144"/>
      <c r="D2697" s="144"/>
      <c r="E2697" s="144"/>
      <c r="F2697" s="373"/>
      <c r="H2697" s="2168"/>
      <c r="I2697" s="70"/>
    </row>
    <row r="2698" spans="3:9" s="46" customFormat="1" x14ac:dyDescent="0.2">
      <c r="C2698" s="144"/>
      <c r="D2698" s="144"/>
      <c r="E2698" s="144"/>
      <c r="F2698" s="373"/>
      <c r="H2698" s="2168"/>
      <c r="I2698" s="70"/>
    </row>
    <row r="2699" spans="3:9" s="46" customFormat="1" x14ac:dyDescent="0.2">
      <c r="C2699" s="144"/>
      <c r="D2699" s="144"/>
      <c r="E2699" s="144"/>
      <c r="F2699" s="373"/>
      <c r="H2699" s="2168"/>
      <c r="I2699" s="70"/>
    </row>
    <row r="2700" spans="3:9" s="46" customFormat="1" x14ac:dyDescent="0.2">
      <c r="C2700" s="144"/>
      <c r="D2700" s="144"/>
      <c r="E2700" s="144"/>
      <c r="F2700" s="373"/>
      <c r="H2700" s="2168"/>
      <c r="I2700" s="70"/>
    </row>
    <row r="2701" spans="3:9" s="46" customFormat="1" x14ac:dyDescent="0.2">
      <c r="C2701" s="144"/>
      <c r="D2701" s="144"/>
      <c r="E2701" s="144"/>
      <c r="F2701" s="373"/>
      <c r="H2701" s="2168"/>
      <c r="I2701" s="70"/>
    </row>
    <row r="2702" spans="3:9" s="46" customFormat="1" x14ac:dyDescent="0.2">
      <c r="C2702" s="144"/>
      <c r="D2702" s="144"/>
      <c r="E2702" s="144"/>
      <c r="F2702" s="373"/>
      <c r="H2702" s="2168"/>
      <c r="I2702" s="70"/>
    </row>
    <row r="2703" spans="3:9" s="46" customFormat="1" x14ac:dyDescent="0.2">
      <c r="C2703" s="144"/>
      <c r="D2703" s="144"/>
      <c r="E2703" s="144"/>
      <c r="F2703" s="373"/>
      <c r="H2703" s="2168"/>
      <c r="I2703" s="70"/>
    </row>
    <row r="2704" spans="3:9" s="46" customFormat="1" x14ac:dyDescent="0.2">
      <c r="C2704" s="144"/>
      <c r="D2704" s="144"/>
      <c r="E2704" s="144"/>
      <c r="F2704" s="373"/>
      <c r="H2704" s="2168"/>
      <c r="I2704" s="70"/>
    </row>
    <row r="2705" spans="3:9" s="46" customFormat="1" x14ac:dyDescent="0.2">
      <c r="C2705" s="144"/>
      <c r="D2705" s="144"/>
      <c r="E2705" s="144"/>
      <c r="F2705" s="373"/>
      <c r="H2705" s="2168"/>
      <c r="I2705" s="70"/>
    </row>
    <row r="2706" spans="3:9" s="46" customFormat="1" x14ac:dyDescent="0.2">
      <c r="C2706" s="144"/>
      <c r="D2706" s="144"/>
      <c r="E2706" s="144"/>
      <c r="F2706" s="373"/>
      <c r="H2706" s="2168"/>
      <c r="I2706" s="70"/>
    </row>
    <row r="2707" spans="3:9" s="46" customFormat="1" x14ac:dyDescent="0.2">
      <c r="C2707" s="144"/>
      <c r="D2707" s="144"/>
      <c r="E2707" s="144"/>
      <c r="F2707" s="373"/>
      <c r="H2707" s="2168"/>
      <c r="I2707" s="70"/>
    </row>
    <row r="2708" spans="3:9" s="46" customFormat="1" x14ac:dyDescent="0.2">
      <c r="C2708" s="144"/>
      <c r="D2708" s="144"/>
      <c r="E2708" s="144"/>
      <c r="F2708" s="373"/>
      <c r="H2708" s="2168"/>
      <c r="I2708" s="70"/>
    </row>
    <row r="2709" spans="3:9" s="46" customFormat="1" x14ac:dyDescent="0.2">
      <c r="C2709" s="144"/>
      <c r="D2709" s="144"/>
      <c r="E2709" s="144"/>
      <c r="F2709" s="373"/>
      <c r="H2709" s="2168"/>
      <c r="I2709" s="70"/>
    </row>
    <row r="2710" spans="3:9" s="46" customFormat="1" x14ac:dyDescent="0.2">
      <c r="C2710" s="144"/>
      <c r="D2710" s="144"/>
      <c r="E2710" s="144"/>
      <c r="F2710" s="373"/>
      <c r="H2710" s="2168"/>
      <c r="I2710" s="70"/>
    </row>
    <row r="2711" spans="3:9" s="46" customFormat="1" x14ac:dyDescent="0.2">
      <c r="C2711" s="144"/>
      <c r="D2711" s="144"/>
      <c r="E2711" s="144"/>
      <c r="F2711" s="373"/>
      <c r="H2711" s="2168"/>
      <c r="I2711" s="70"/>
    </row>
    <row r="2712" spans="3:9" s="46" customFormat="1" x14ac:dyDescent="0.2">
      <c r="C2712" s="144"/>
      <c r="D2712" s="144"/>
      <c r="E2712" s="144"/>
      <c r="F2712" s="373"/>
      <c r="H2712" s="2168"/>
      <c r="I2712" s="70"/>
    </row>
    <row r="2713" spans="3:9" s="46" customFormat="1" x14ac:dyDescent="0.2">
      <c r="C2713" s="144"/>
      <c r="D2713" s="144"/>
      <c r="E2713" s="144"/>
      <c r="F2713" s="373"/>
      <c r="H2713" s="2168"/>
      <c r="I2713" s="70"/>
    </row>
    <row r="2714" spans="3:9" s="46" customFormat="1" x14ac:dyDescent="0.2">
      <c r="C2714" s="144"/>
      <c r="D2714" s="144"/>
      <c r="E2714" s="144"/>
      <c r="F2714" s="373"/>
      <c r="H2714" s="2168"/>
      <c r="I2714" s="70"/>
    </row>
    <row r="2715" spans="3:9" s="46" customFormat="1" x14ac:dyDescent="0.2">
      <c r="C2715" s="144"/>
      <c r="D2715" s="144"/>
      <c r="E2715" s="144"/>
      <c r="F2715" s="373"/>
      <c r="H2715" s="2168"/>
      <c r="I2715" s="70"/>
    </row>
    <row r="2716" spans="3:9" s="46" customFormat="1" x14ac:dyDescent="0.2">
      <c r="C2716" s="144"/>
      <c r="D2716" s="144"/>
      <c r="E2716" s="144"/>
      <c r="F2716" s="373"/>
      <c r="H2716" s="2168"/>
      <c r="I2716" s="70"/>
    </row>
    <row r="2717" spans="3:9" s="46" customFormat="1" x14ac:dyDescent="0.2">
      <c r="C2717" s="144"/>
      <c r="D2717" s="144"/>
      <c r="E2717" s="144"/>
      <c r="F2717" s="373"/>
      <c r="H2717" s="2168"/>
      <c r="I2717" s="70"/>
    </row>
    <row r="2718" spans="3:9" s="46" customFormat="1" x14ac:dyDescent="0.2">
      <c r="C2718" s="144"/>
      <c r="D2718" s="144"/>
      <c r="E2718" s="144"/>
      <c r="F2718" s="373"/>
      <c r="H2718" s="2168"/>
      <c r="I2718" s="70"/>
    </row>
    <row r="2719" spans="3:9" s="46" customFormat="1" x14ac:dyDescent="0.2">
      <c r="C2719" s="144"/>
      <c r="D2719" s="144"/>
      <c r="E2719" s="144"/>
      <c r="F2719" s="373"/>
      <c r="H2719" s="2168"/>
      <c r="I2719" s="70"/>
    </row>
    <row r="2720" spans="3:9" s="46" customFormat="1" x14ac:dyDescent="0.2">
      <c r="C2720" s="144"/>
      <c r="D2720" s="144"/>
      <c r="E2720" s="144"/>
      <c r="F2720" s="373"/>
      <c r="H2720" s="2168"/>
      <c r="I2720" s="70"/>
    </row>
    <row r="2721" spans="3:9" s="46" customFormat="1" x14ac:dyDescent="0.2">
      <c r="C2721" s="144"/>
      <c r="D2721" s="144"/>
      <c r="E2721" s="144"/>
      <c r="F2721" s="373"/>
      <c r="H2721" s="2168"/>
      <c r="I2721" s="70"/>
    </row>
    <row r="2722" spans="3:9" s="46" customFormat="1" x14ac:dyDescent="0.2">
      <c r="C2722" s="144"/>
      <c r="D2722" s="144"/>
      <c r="E2722" s="144"/>
      <c r="F2722" s="373"/>
      <c r="H2722" s="2168"/>
      <c r="I2722" s="70"/>
    </row>
    <row r="2723" spans="3:9" s="46" customFormat="1" x14ac:dyDescent="0.2">
      <c r="C2723" s="144"/>
      <c r="D2723" s="144"/>
      <c r="E2723" s="144"/>
      <c r="F2723" s="373"/>
      <c r="H2723" s="2168"/>
      <c r="I2723" s="70"/>
    </row>
    <row r="2724" spans="3:9" s="46" customFormat="1" x14ac:dyDescent="0.2">
      <c r="C2724" s="144"/>
      <c r="D2724" s="144"/>
      <c r="E2724" s="144"/>
      <c r="F2724" s="373"/>
      <c r="H2724" s="2168"/>
      <c r="I2724" s="70"/>
    </row>
    <row r="2725" spans="3:9" s="46" customFormat="1" x14ac:dyDescent="0.2">
      <c r="C2725" s="144"/>
      <c r="D2725" s="144"/>
      <c r="E2725" s="144"/>
      <c r="F2725" s="373"/>
      <c r="H2725" s="2168"/>
      <c r="I2725" s="70"/>
    </row>
    <row r="2726" spans="3:9" s="46" customFormat="1" x14ac:dyDescent="0.2">
      <c r="C2726" s="144"/>
      <c r="D2726" s="144"/>
      <c r="E2726" s="144"/>
      <c r="F2726" s="373"/>
      <c r="H2726" s="2168"/>
      <c r="I2726" s="70"/>
    </row>
    <row r="2727" spans="3:9" s="46" customFormat="1" x14ac:dyDescent="0.2">
      <c r="C2727" s="144"/>
      <c r="D2727" s="144"/>
      <c r="E2727" s="144"/>
      <c r="F2727" s="373"/>
      <c r="H2727" s="2168"/>
      <c r="I2727" s="70"/>
    </row>
    <row r="2728" spans="3:9" s="46" customFormat="1" x14ac:dyDescent="0.2">
      <c r="C2728" s="144"/>
      <c r="D2728" s="144"/>
      <c r="E2728" s="144"/>
      <c r="F2728" s="373"/>
      <c r="H2728" s="2168"/>
      <c r="I2728" s="70"/>
    </row>
    <row r="2729" spans="3:9" s="46" customFormat="1" x14ac:dyDescent="0.2">
      <c r="C2729" s="144"/>
      <c r="D2729" s="144"/>
      <c r="E2729" s="144"/>
      <c r="F2729" s="373"/>
      <c r="H2729" s="2168"/>
      <c r="I2729" s="70"/>
    </row>
    <row r="2730" spans="3:9" s="46" customFormat="1" x14ac:dyDescent="0.2">
      <c r="C2730" s="144"/>
      <c r="D2730" s="144"/>
      <c r="E2730" s="144"/>
      <c r="F2730" s="373"/>
      <c r="H2730" s="2168"/>
      <c r="I2730" s="70"/>
    </row>
    <row r="2731" spans="3:9" s="46" customFormat="1" x14ac:dyDescent="0.2">
      <c r="C2731" s="144"/>
      <c r="D2731" s="144"/>
      <c r="E2731" s="144"/>
      <c r="F2731" s="373"/>
      <c r="H2731" s="2168"/>
      <c r="I2731" s="70"/>
    </row>
    <row r="2732" spans="3:9" s="46" customFormat="1" x14ac:dyDescent="0.2">
      <c r="C2732" s="144"/>
      <c r="D2732" s="144"/>
      <c r="E2732" s="144"/>
      <c r="F2732" s="373"/>
      <c r="H2732" s="2168"/>
      <c r="I2732" s="70"/>
    </row>
    <row r="2733" spans="3:9" s="46" customFormat="1" x14ac:dyDescent="0.2">
      <c r="C2733" s="144"/>
      <c r="D2733" s="144"/>
      <c r="E2733" s="144"/>
      <c r="F2733" s="373"/>
      <c r="H2733" s="2168"/>
      <c r="I2733" s="70"/>
    </row>
    <row r="2734" spans="3:9" s="46" customFormat="1" x14ac:dyDescent="0.2">
      <c r="C2734" s="144"/>
      <c r="D2734" s="144"/>
      <c r="E2734" s="144"/>
      <c r="F2734" s="373"/>
      <c r="H2734" s="2168"/>
      <c r="I2734" s="70"/>
    </row>
    <row r="2735" spans="3:9" s="46" customFormat="1" x14ac:dyDescent="0.2">
      <c r="C2735" s="144"/>
      <c r="D2735" s="144"/>
      <c r="E2735" s="144"/>
      <c r="F2735" s="373"/>
      <c r="H2735" s="2168"/>
      <c r="I2735" s="70"/>
    </row>
    <row r="2736" spans="3:9" s="46" customFormat="1" x14ac:dyDescent="0.2">
      <c r="C2736" s="144"/>
      <c r="D2736" s="144"/>
      <c r="E2736" s="144"/>
      <c r="F2736" s="373"/>
      <c r="H2736" s="2168"/>
      <c r="I2736" s="70"/>
    </row>
    <row r="2737" spans="3:9" s="46" customFormat="1" x14ac:dyDescent="0.2">
      <c r="C2737" s="144"/>
      <c r="D2737" s="144"/>
      <c r="E2737" s="144"/>
      <c r="F2737" s="373"/>
      <c r="H2737" s="2168"/>
      <c r="I2737" s="70"/>
    </row>
    <row r="2738" spans="3:9" s="46" customFormat="1" x14ac:dyDescent="0.2">
      <c r="C2738" s="144"/>
      <c r="D2738" s="144"/>
      <c r="E2738" s="144"/>
      <c r="F2738" s="373"/>
      <c r="H2738" s="2168"/>
      <c r="I2738" s="70"/>
    </row>
    <row r="2739" spans="3:9" s="46" customFormat="1" x14ac:dyDescent="0.2">
      <c r="C2739" s="144"/>
      <c r="D2739" s="144"/>
      <c r="E2739" s="144"/>
      <c r="F2739" s="373"/>
      <c r="H2739" s="2168"/>
      <c r="I2739" s="70"/>
    </row>
    <row r="2740" spans="3:9" s="46" customFormat="1" x14ac:dyDescent="0.2">
      <c r="C2740" s="144"/>
      <c r="D2740" s="144"/>
      <c r="E2740" s="144"/>
      <c r="F2740" s="373"/>
      <c r="H2740" s="2168"/>
      <c r="I2740" s="70"/>
    </row>
    <row r="2741" spans="3:9" s="46" customFormat="1" x14ac:dyDescent="0.2">
      <c r="C2741" s="144"/>
      <c r="D2741" s="144"/>
      <c r="E2741" s="144"/>
      <c r="F2741" s="373"/>
      <c r="H2741" s="2168"/>
      <c r="I2741" s="70"/>
    </row>
    <row r="2742" spans="3:9" s="46" customFormat="1" x14ac:dyDescent="0.2">
      <c r="C2742" s="144"/>
      <c r="D2742" s="144"/>
      <c r="E2742" s="144"/>
      <c r="F2742" s="373"/>
      <c r="H2742" s="2168"/>
      <c r="I2742" s="70"/>
    </row>
    <row r="2743" spans="3:9" s="46" customFormat="1" x14ac:dyDescent="0.2">
      <c r="C2743" s="144"/>
      <c r="D2743" s="144"/>
      <c r="E2743" s="144"/>
      <c r="F2743" s="373"/>
      <c r="H2743" s="2168"/>
      <c r="I2743" s="70"/>
    </row>
    <row r="2744" spans="3:9" s="46" customFormat="1" x14ac:dyDescent="0.2">
      <c r="C2744" s="144"/>
      <c r="D2744" s="144"/>
      <c r="E2744" s="144"/>
      <c r="F2744" s="373"/>
      <c r="H2744" s="2168"/>
      <c r="I2744" s="70"/>
    </row>
    <row r="2745" spans="3:9" s="46" customFormat="1" x14ac:dyDescent="0.2">
      <c r="C2745" s="144"/>
      <c r="D2745" s="144"/>
      <c r="E2745" s="144"/>
      <c r="F2745" s="373"/>
      <c r="H2745" s="2168"/>
      <c r="I2745" s="70"/>
    </row>
    <row r="2746" spans="3:9" s="46" customFormat="1" x14ac:dyDescent="0.2">
      <c r="C2746" s="144"/>
      <c r="D2746" s="144"/>
      <c r="E2746" s="144"/>
      <c r="F2746" s="373"/>
      <c r="H2746" s="2168"/>
      <c r="I2746" s="70"/>
    </row>
    <row r="2747" spans="3:9" s="46" customFormat="1" x14ac:dyDescent="0.2">
      <c r="C2747" s="144"/>
      <c r="D2747" s="144"/>
      <c r="E2747" s="144"/>
      <c r="F2747" s="373"/>
      <c r="H2747" s="2168"/>
      <c r="I2747" s="70"/>
    </row>
    <row r="2748" spans="3:9" s="46" customFormat="1" x14ac:dyDescent="0.2">
      <c r="C2748" s="144"/>
      <c r="D2748" s="144"/>
      <c r="E2748" s="144"/>
      <c r="F2748" s="373"/>
      <c r="H2748" s="2168"/>
      <c r="I2748" s="70"/>
    </row>
    <row r="2749" spans="3:9" s="46" customFormat="1" x14ac:dyDescent="0.2">
      <c r="C2749" s="144"/>
      <c r="D2749" s="144"/>
      <c r="E2749" s="144"/>
      <c r="F2749" s="373"/>
      <c r="H2749" s="2168"/>
      <c r="I2749" s="70"/>
    </row>
    <row r="2750" spans="3:9" s="46" customFormat="1" x14ac:dyDescent="0.2">
      <c r="C2750" s="144"/>
      <c r="D2750" s="144"/>
      <c r="E2750" s="144"/>
      <c r="F2750" s="373"/>
      <c r="H2750" s="2168"/>
      <c r="I2750" s="70"/>
    </row>
    <row r="2751" spans="3:9" s="46" customFormat="1" x14ac:dyDescent="0.2">
      <c r="C2751" s="144"/>
      <c r="D2751" s="144"/>
      <c r="E2751" s="144"/>
      <c r="F2751" s="373"/>
      <c r="H2751" s="2168"/>
      <c r="I2751" s="70"/>
    </row>
    <row r="2752" spans="3:9" s="46" customFormat="1" x14ac:dyDescent="0.2">
      <c r="C2752" s="144"/>
      <c r="D2752" s="144"/>
      <c r="E2752" s="144"/>
      <c r="F2752" s="373"/>
      <c r="H2752" s="2168"/>
      <c r="I2752" s="70"/>
    </row>
    <row r="2753" spans="3:9" s="46" customFormat="1" x14ac:dyDescent="0.2">
      <c r="C2753" s="144"/>
      <c r="D2753" s="144"/>
      <c r="E2753" s="144"/>
      <c r="F2753" s="373"/>
      <c r="H2753" s="2168"/>
      <c r="I2753" s="70"/>
    </row>
    <row r="2754" spans="3:9" s="46" customFormat="1" x14ac:dyDescent="0.2">
      <c r="C2754" s="144"/>
      <c r="D2754" s="144"/>
      <c r="E2754" s="144"/>
      <c r="F2754" s="373"/>
      <c r="H2754" s="2168"/>
      <c r="I2754" s="70"/>
    </row>
    <row r="2755" spans="3:9" s="46" customFormat="1" x14ac:dyDescent="0.2">
      <c r="C2755" s="144"/>
      <c r="D2755" s="144"/>
      <c r="E2755" s="144"/>
      <c r="F2755" s="373"/>
      <c r="H2755" s="2168"/>
      <c r="I2755" s="70"/>
    </row>
    <row r="2756" spans="3:9" s="46" customFormat="1" x14ac:dyDescent="0.2">
      <c r="C2756" s="144"/>
      <c r="D2756" s="144"/>
      <c r="E2756" s="144"/>
      <c r="F2756" s="373"/>
      <c r="H2756" s="2168"/>
      <c r="I2756" s="70"/>
    </row>
    <row r="2757" spans="3:9" s="46" customFormat="1" x14ac:dyDescent="0.2">
      <c r="C2757" s="144"/>
      <c r="D2757" s="144"/>
      <c r="E2757" s="144"/>
      <c r="F2757" s="373"/>
      <c r="H2757" s="2168"/>
      <c r="I2757" s="70"/>
    </row>
    <row r="2758" spans="3:9" s="46" customFormat="1" x14ac:dyDescent="0.2">
      <c r="C2758" s="144"/>
      <c r="D2758" s="144"/>
      <c r="E2758" s="144"/>
      <c r="F2758" s="373"/>
      <c r="H2758" s="2168"/>
      <c r="I2758" s="70"/>
    </row>
    <row r="2759" spans="3:9" s="46" customFormat="1" x14ac:dyDescent="0.2">
      <c r="C2759" s="144"/>
      <c r="D2759" s="144"/>
      <c r="E2759" s="144"/>
      <c r="F2759" s="373"/>
      <c r="H2759" s="2168"/>
      <c r="I2759" s="70"/>
    </row>
    <row r="2760" spans="3:9" s="46" customFormat="1" x14ac:dyDescent="0.2">
      <c r="C2760" s="144"/>
      <c r="D2760" s="144"/>
      <c r="E2760" s="144"/>
      <c r="F2760" s="373"/>
      <c r="H2760" s="2168"/>
      <c r="I2760" s="70"/>
    </row>
    <row r="2761" spans="3:9" s="46" customFormat="1" x14ac:dyDescent="0.2">
      <c r="C2761" s="144"/>
      <c r="D2761" s="144"/>
      <c r="E2761" s="144"/>
      <c r="F2761" s="373"/>
      <c r="H2761" s="2168"/>
      <c r="I2761" s="70"/>
    </row>
    <row r="2762" spans="3:9" s="46" customFormat="1" x14ac:dyDescent="0.2">
      <c r="C2762" s="144"/>
      <c r="D2762" s="144"/>
      <c r="E2762" s="144"/>
      <c r="F2762" s="373"/>
      <c r="H2762" s="2168"/>
      <c r="I2762" s="70"/>
    </row>
    <row r="2763" spans="3:9" s="46" customFormat="1" x14ac:dyDescent="0.2">
      <c r="C2763" s="144"/>
      <c r="D2763" s="144"/>
      <c r="E2763" s="144"/>
      <c r="F2763" s="373"/>
      <c r="H2763" s="2168"/>
      <c r="I2763" s="70"/>
    </row>
    <row r="2764" spans="3:9" s="46" customFormat="1" x14ac:dyDescent="0.2">
      <c r="C2764" s="144"/>
      <c r="D2764" s="144"/>
      <c r="E2764" s="144"/>
      <c r="F2764" s="373"/>
      <c r="H2764" s="2168"/>
      <c r="I2764" s="70"/>
    </row>
    <row r="2765" spans="3:9" s="46" customFormat="1" x14ac:dyDescent="0.2">
      <c r="C2765" s="144"/>
      <c r="D2765" s="144"/>
      <c r="E2765" s="144"/>
      <c r="F2765" s="373"/>
      <c r="H2765" s="2168"/>
      <c r="I2765" s="70"/>
    </row>
    <row r="2766" spans="3:9" s="46" customFormat="1" x14ac:dyDescent="0.2">
      <c r="C2766" s="144"/>
      <c r="D2766" s="144"/>
      <c r="E2766" s="144"/>
      <c r="F2766" s="373"/>
      <c r="H2766" s="2168"/>
      <c r="I2766" s="70"/>
    </row>
    <row r="2767" spans="3:9" s="46" customFormat="1" x14ac:dyDescent="0.2">
      <c r="C2767" s="144"/>
      <c r="D2767" s="144"/>
      <c r="E2767" s="144"/>
      <c r="F2767" s="373"/>
      <c r="H2767" s="2168"/>
      <c r="I2767" s="70"/>
    </row>
    <row r="2768" spans="3:9" s="46" customFormat="1" x14ac:dyDescent="0.2">
      <c r="C2768" s="144"/>
      <c r="D2768" s="144"/>
      <c r="E2768" s="144"/>
      <c r="F2768" s="373"/>
      <c r="H2768" s="2168"/>
      <c r="I2768" s="70"/>
    </row>
    <row r="2769" spans="3:9" s="46" customFormat="1" x14ac:dyDescent="0.2">
      <c r="C2769" s="144"/>
      <c r="D2769" s="144"/>
      <c r="E2769" s="144"/>
      <c r="F2769" s="373"/>
      <c r="H2769" s="2168"/>
      <c r="I2769" s="70"/>
    </row>
    <row r="2770" spans="3:9" s="46" customFormat="1" x14ac:dyDescent="0.2">
      <c r="C2770" s="144"/>
      <c r="D2770" s="144"/>
      <c r="E2770" s="144"/>
      <c r="F2770" s="373"/>
      <c r="H2770" s="2168"/>
      <c r="I2770" s="70"/>
    </row>
    <row r="2771" spans="3:9" s="46" customFormat="1" x14ac:dyDescent="0.2">
      <c r="C2771" s="144"/>
      <c r="D2771" s="144"/>
      <c r="E2771" s="144"/>
      <c r="F2771" s="373"/>
      <c r="H2771" s="2168"/>
      <c r="I2771" s="70"/>
    </row>
    <row r="2772" spans="3:9" s="46" customFormat="1" x14ac:dyDescent="0.2">
      <c r="C2772" s="144"/>
      <c r="D2772" s="144"/>
      <c r="E2772" s="144"/>
      <c r="F2772" s="373"/>
      <c r="H2772" s="2168"/>
      <c r="I2772" s="70"/>
    </row>
    <row r="2773" spans="3:9" s="46" customFormat="1" x14ac:dyDescent="0.2">
      <c r="C2773" s="144"/>
      <c r="D2773" s="144"/>
      <c r="E2773" s="144"/>
      <c r="F2773" s="373"/>
      <c r="H2773" s="2168"/>
      <c r="I2773" s="70"/>
    </row>
    <row r="2774" spans="3:9" s="46" customFormat="1" x14ac:dyDescent="0.2">
      <c r="C2774" s="144"/>
      <c r="D2774" s="144"/>
      <c r="E2774" s="144"/>
      <c r="F2774" s="373"/>
      <c r="H2774" s="2168"/>
      <c r="I2774" s="70"/>
    </row>
    <row r="2775" spans="3:9" s="46" customFormat="1" x14ac:dyDescent="0.2">
      <c r="C2775" s="144"/>
      <c r="D2775" s="144"/>
      <c r="E2775" s="144"/>
      <c r="F2775" s="373"/>
      <c r="H2775" s="2168"/>
      <c r="I2775" s="70"/>
    </row>
    <row r="2776" spans="3:9" s="46" customFormat="1" x14ac:dyDescent="0.2">
      <c r="C2776" s="144"/>
      <c r="D2776" s="144"/>
      <c r="E2776" s="144"/>
      <c r="F2776" s="373"/>
      <c r="H2776" s="2168"/>
      <c r="I2776" s="70"/>
    </row>
    <row r="2777" spans="3:9" s="46" customFormat="1" x14ac:dyDescent="0.2">
      <c r="C2777" s="144"/>
      <c r="D2777" s="144"/>
      <c r="E2777" s="144"/>
      <c r="F2777" s="373"/>
      <c r="H2777" s="2168"/>
      <c r="I2777" s="70"/>
    </row>
    <row r="2778" spans="3:9" s="46" customFormat="1" x14ac:dyDescent="0.2">
      <c r="C2778" s="144"/>
      <c r="D2778" s="144"/>
      <c r="E2778" s="144"/>
      <c r="F2778" s="373"/>
      <c r="H2778" s="2168"/>
      <c r="I2778" s="70"/>
    </row>
    <row r="2779" spans="3:9" s="46" customFormat="1" x14ac:dyDescent="0.2">
      <c r="C2779" s="144"/>
      <c r="D2779" s="144"/>
      <c r="E2779" s="144"/>
      <c r="F2779" s="373"/>
      <c r="H2779" s="2168"/>
      <c r="I2779" s="70"/>
    </row>
    <row r="2780" spans="3:9" s="46" customFormat="1" x14ac:dyDescent="0.2">
      <c r="C2780" s="144"/>
      <c r="D2780" s="144"/>
      <c r="E2780" s="144"/>
      <c r="F2780" s="373"/>
      <c r="H2780" s="2168"/>
      <c r="I2780" s="70"/>
    </row>
    <row r="2781" spans="3:9" s="46" customFormat="1" x14ac:dyDescent="0.2">
      <c r="C2781" s="144"/>
      <c r="D2781" s="144"/>
      <c r="E2781" s="144"/>
      <c r="F2781" s="373"/>
      <c r="H2781" s="2168"/>
      <c r="I2781" s="70"/>
    </row>
    <row r="2782" spans="3:9" s="46" customFormat="1" x14ac:dyDescent="0.2">
      <c r="C2782" s="144"/>
      <c r="D2782" s="144"/>
      <c r="E2782" s="144"/>
      <c r="F2782" s="373"/>
      <c r="H2782" s="2168"/>
      <c r="I2782" s="70"/>
    </row>
    <row r="2783" spans="3:9" s="46" customFormat="1" x14ac:dyDescent="0.2">
      <c r="C2783" s="144"/>
      <c r="D2783" s="144"/>
      <c r="E2783" s="144"/>
      <c r="F2783" s="373"/>
      <c r="H2783" s="2168"/>
      <c r="I2783" s="70"/>
    </row>
    <row r="2784" spans="3:9" s="46" customFormat="1" x14ac:dyDescent="0.2">
      <c r="C2784" s="144"/>
      <c r="D2784" s="144"/>
      <c r="E2784" s="144"/>
      <c r="F2784" s="373"/>
      <c r="H2784" s="2168"/>
      <c r="I2784" s="70"/>
    </row>
    <row r="2785" spans="3:9" s="46" customFormat="1" x14ac:dyDescent="0.2">
      <c r="C2785" s="144"/>
      <c r="D2785" s="144"/>
      <c r="E2785" s="144"/>
      <c r="F2785" s="373"/>
      <c r="H2785" s="2168"/>
      <c r="I2785" s="70"/>
    </row>
    <row r="2786" spans="3:9" s="46" customFormat="1" x14ac:dyDescent="0.2">
      <c r="C2786" s="144"/>
      <c r="D2786" s="144"/>
      <c r="E2786" s="144"/>
      <c r="F2786" s="373"/>
      <c r="H2786" s="2168"/>
      <c r="I2786" s="70"/>
    </row>
    <row r="2787" spans="3:9" s="46" customFormat="1" x14ac:dyDescent="0.2">
      <c r="C2787" s="144"/>
      <c r="D2787" s="144"/>
      <c r="E2787" s="144"/>
      <c r="F2787" s="373"/>
      <c r="H2787" s="2168"/>
      <c r="I2787" s="70"/>
    </row>
    <row r="2788" spans="3:9" s="46" customFormat="1" x14ac:dyDescent="0.2">
      <c r="C2788" s="144"/>
      <c r="D2788" s="144"/>
      <c r="E2788" s="144"/>
      <c r="F2788" s="373"/>
      <c r="H2788" s="2168"/>
      <c r="I2788" s="70"/>
    </row>
    <row r="2789" spans="3:9" s="46" customFormat="1" x14ac:dyDescent="0.2">
      <c r="C2789" s="144"/>
      <c r="D2789" s="144"/>
      <c r="E2789" s="144"/>
      <c r="F2789" s="373"/>
      <c r="H2789" s="2168"/>
      <c r="I2789" s="70"/>
    </row>
    <row r="2790" spans="3:9" s="46" customFormat="1" x14ac:dyDescent="0.2">
      <c r="C2790" s="144"/>
      <c r="D2790" s="144"/>
      <c r="E2790" s="144"/>
      <c r="F2790" s="373"/>
      <c r="H2790" s="2168"/>
      <c r="I2790" s="70"/>
    </row>
    <row r="2791" spans="3:9" s="46" customFormat="1" x14ac:dyDescent="0.2">
      <c r="C2791" s="144"/>
      <c r="D2791" s="144"/>
      <c r="E2791" s="144"/>
      <c r="F2791" s="373"/>
      <c r="H2791" s="2168"/>
      <c r="I2791" s="70"/>
    </row>
    <row r="2792" spans="3:9" s="46" customFormat="1" x14ac:dyDescent="0.2">
      <c r="C2792" s="144"/>
      <c r="D2792" s="144"/>
      <c r="E2792" s="144"/>
      <c r="F2792" s="373"/>
      <c r="H2792" s="2168"/>
      <c r="I2792" s="70"/>
    </row>
    <row r="2793" spans="3:9" s="46" customFormat="1" x14ac:dyDescent="0.2">
      <c r="C2793" s="144"/>
      <c r="D2793" s="144"/>
      <c r="E2793" s="144"/>
      <c r="F2793" s="373"/>
      <c r="H2793" s="2168"/>
      <c r="I2793" s="70"/>
    </row>
    <row r="2794" spans="3:9" s="46" customFormat="1" x14ac:dyDescent="0.2">
      <c r="C2794" s="144"/>
      <c r="D2794" s="144"/>
      <c r="E2794" s="144"/>
      <c r="F2794" s="373"/>
      <c r="H2794" s="2168"/>
      <c r="I2794" s="70"/>
    </row>
    <row r="2795" spans="3:9" s="46" customFormat="1" x14ac:dyDescent="0.2">
      <c r="C2795" s="144"/>
      <c r="D2795" s="144"/>
      <c r="E2795" s="144"/>
      <c r="F2795" s="373"/>
      <c r="H2795" s="2168"/>
      <c r="I2795" s="70"/>
    </row>
    <row r="2796" spans="3:9" s="46" customFormat="1" x14ac:dyDescent="0.2">
      <c r="C2796" s="144"/>
      <c r="D2796" s="144"/>
      <c r="E2796" s="144"/>
      <c r="F2796" s="373"/>
      <c r="H2796" s="2168"/>
      <c r="I2796" s="70"/>
    </row>
    <row r="2797" spans="3:9" s="46" customFormat="1" x14ac:dyDescent="0.2">
      <c r="C2797" s="144"/>
      <c r="D2797" s="144"/>
      <c r="E2797" s="144"/>
      <c r="F2797" s="373"/>
      <c r="H2797" s="2168"/>
      <c r="I2797" s="70"/>
    </row>
    <row r="2798" spans="3:9" s="46" customFormat="1" x14ac:dyDescent="0.2">
      <c r="C2798" s="144"/>
      <c r="D2798" s="144"/>
      <c r="E2798" s="144"/>
      <c r="F2798" s="373"/>
      <c r="H2798" s="2168"/>
      <c r="I2798" s="70"/>
    </row>
    <row r="2799" spans="3:9" s="46" customFormat="1" x14ac:dyDescent="0.2">
      <c r="C2799" s="144"/>
      <c r="D2799" s="144"/>
      <c r="E2799" s="144"/>
      <c r="F2799" s="373"/>
      <c r="H2799" s="2168"/>
      <c r="I2799" s="70"/>
    </row>
    <row r="2800" spans="3:9" s="46" customFormat="1" x14ac:dyDescent="0.2">
      <c r="C2800" s="144"/>
      <c r="D2800" s="144"/>
      <c r="E2800" s="144"/>
      <c r="F2800" s="373"/>
      <c r="H2800" s="2168"/>
      <c r="I2800" s="70"/>
    </row>
    <row r="2801" spans="3:9" s="46" customFormat="1" x14ac:dyDescent="0.2">
      <c r="C2801" s="144"/>
      <c r="D2801" s="144"/>
      <c r="E2801" s="144"/>
      <c r="F2801" s="373"/>
      <c r="H2801" s="2168"/>
      <c r="I2801" s="70"/>
    </row>
    <row r="2802" spans="3:9" s="46" customFormat="1" x14ac:dyDescent="0.2">
      <c r="C2802" s="144"/>
      <c r="D2802" s="144"/>
      <c r="E2802" s="144"/>
      <c r="F2802" s="373"/>
      <c r="H2802" s="2168"/>
      <c r="I2802" s="70"/>
    </row>
    <row r="2803" spans="3:9" s="46" customFormat="1" x14ac:dyDescent="0.2">
      <c r="C2803" s="144"/>
      <c r="D2803" s="144"/>
      <c r="E2803" s="144"/>
      <c r="F2803" s="373"/>
      <c r="H2803" s="2168"/>
      <c r="I2803" s="70"/>
    </row>
    <row r="2804" spans="3:9" s="46" customFormat="1" x14ac:dyDescent="0.2">
      <c r="C2804" s="144"/>
      <c r="D2804" s="144"/>
      <c r="E2804" s="144"/>
      <c r="F2804" s="373"/>
      <c r="H2804" s="2168"/>
      <c r="I2804" s="70"/>
    </row>
    <row r="2805" spans="3:9" s="46" customFormat="1" x14ac:dyDescent="0.2">
      <c r="C2805" s="144"/>
      <c r="D2805" s="144"/>
      <c r="E2805" s="144"/>
      <c r="F2805" s="373"/>
      <c r="H2805" s="2168"/>
      <c r="I2805" s="70"/>
    </row>
    <row r="2806" spans="3:9" s="46" customFormat="1" x14ac:dyDescent="0.2">
      <c r="C2806" s="144"/>
      <c r="D2806" s="144"/>
      <c r="E2806" s="144"/>
      <c r="F2806" s="373"/>
      <c r="H2806" s="2168"/>
      <c r="I2806" s="70"/>
    </row>
    <row r="2807" spans="3:9" s="46" customFormat="1" x14ac:dyDescent="0.2">
      <c r="C2807" s="144"/>
      <c r="D2807" s="144"/>
      <c r="E2807" s="144"/>
      <c r="F2807" s="373"/>
      <c r="H2807" s="2168"/>
      <c r="I2807" s="70"/>
    </row>
    <row r="2808" spans="3:9" s="46" customFormat="1" x14ac:dyDescent="0.2">
      <c r="C2808" s="144"/>
      <c r="D2808" s="144"/>
      <c r="E2808" s="144"/>
      <c r="F2808" s="373"/>
      <c r="H2808" s="2168"/>
      <c r="I2808" s="70"/>
    </row>
    <row r="2809" spans="3:9" s="46" customFormat="1" x14ac:dyDescent="0.2">
      <c r="C2809" s="144"/>
      <c r="D2809" s="144"/>
      <c r="E2809" s="144"/>
      <c r="F2809" s="373"/>
      <c r="H2809" s="2168"/>
      <c r="I2809" s="70"/>
    </row>
    <row r="2810" spans="3:9" s="46" customFormat="1" x14ac:dyDescent="0.2">
      <c r="C2810" s="144"/>
      <c r="D2810" s="144"/>
      <c r="E2810" s="144"/>
      <c r="F2810" s="373"/>
      <c r="H2810" s="2168"/>
      <c r="I2810" s="70"/>
    </row>
    <row r="2811" spans="3:9" s="46" customFormat="1" x14ac:dyDescent="0.2">
      <c r="C2811" s="144"/>
      <c r="D2811" s="144"/>
      <c r="E2811" s="144"/>
      <c r="F2811" s="373"/>
      <c r="H2811" s="2168"/>
      <c r="I2811" s="70"/>
    </row>
    <row r="2812" spans="3:9" s="46" customFormat="1" x14ac:dyDescent="0.2">
      <c r="C2812" s="144"/>
      <c r="D2812" s="144"/>
      <c r="E2812" s="144"/>
      <c r="F2812" s="373"/>
      <c r="H2812" s="2168"/>
      <c r="I2812" s="70"/>
    </row>
    <row r="2813" spans="3:9" s="46" customFormat="1" x14ac:dyDescent="0.2">
      <c r="C2813" s="144"/>
      <c r="D2813" s="144"/>
      <c r="E2813" s="144"/>
      <c r="F2813" s="373"/>
      <c r="H2813" s="2168"/>
      <c r="I2813" s="70"/>
    </row>
    <row r="2814" spans="3:9" s="46" customFormat="1" x14ac:dyDescent="0.2">
      <c r="C2814" s="144"/>
      <c r="D2814" s="144"/>
      <c r="E2814" s="144"/>
      <c r="F2814" s="373"/>
      <c r="H2814" s="2168"/>
      <c r="I2814" s="70"/>
    </row>
    <row r="2815" spans="3:9" s="46" customFormat="1" x14ac:dyDescent="0.2">
      <c r="C2815" s="144"/>
      <c r="D2815" s="144"/>
      <c r="E2815" s="144"/>
      <c r="F2815" s="373"/>
      <c r="H2815" s="2168"/>
      <c r="I2815" s="70"/>
    </row>
    <row r="2816" spans="3:9" s="46" customFormat="1" x14ac:dyDescent="0.2">
      <c r="C2816" s="144"/>
      <c r="D2816" s="144"/>
      <c r="E2816" s="144"/>
      <c r="F2816" s="373"/>
      <c r="H2816" s="2168"/>
      <c r="I2816" s="70"/>
    </row>
    <row r="2817" spans="3:9" s="46" customFormat="1" x14ac:dyDescent="0.2">
      <c r="C2817" s="144"/>
      <c r="D2817" s="144"/>
      <c r="E2817" s="144"/>
      <c r="F2817" s="373"/>
      <c r="H2817" s="2168"/>
      <c r="I2817" s="70"/>
    </row>
    <row r="2818" spans="3:9" s="46" customFormat="1" x14ac:dyDescent="0.2">
      <c r="C2818" s="144"/>
      <c r="D2818" s="144"/>
      <c r="E2818" s="144"/>
      <c r="F2818" s="373"/>
      <c r="H2818" s="2168"/>
      <c r="I2818" s="70"/>
    </row>
    <row r="2819" spans="3:9" s="46" customFormat="1" x14ac:dyDescent="0.2">
      <c r="C2819" s="144"/>
      <c r="D2819" s="144"/>
      <c r="E2819" s="144"/>
      <c r="F2819" s="373"/>
      <c r="H2819" s="2168"/>
      <c r="I2819" s="70"/>
    </row>
    <row r="2820" spans="3:9" s="46" customFormat="1" x14ac:dyDescent="0.2">
      <c r="C2820" s="144"/>
      <c r="D2820" s="144"/>
      <c r="E2820" s="144"/>
      <c r="F2820" s="373"/>
      <c r="H2820" s="2168"/>
      <c r="I2820" s="70"/>
    </row>
    <row r="2821" spans="3:9" s="46" customFormat="1" x14ac:dyDescent="0.2">
      <c r="C2821" s="144"/>
      <c r="D2821" s="144"/>
      <c r="E2821" s="144"/>
      <c r="F2821" s="373"/>
      <c r="H2821" s="2168"/>
      <c r="I2821" s="70"/>
    </row>
    <row r="2822" spans="3:9" s="46" customFormat="1" x14ac:dyDescent="0.2">
      <c r="C2822" s="144"/>
      <c r="D2822" s="144"/>
      <c r="E2822" s="144"/>
      <c r="F2822" s="373"/>
      <c r="H2822" s="2168"/>
      <c r="I2822" s="70"/>
    </row>
    <row r="2823" spans="3:9" s="46" customFormat="1" x14ac:dyDescent="0.2">
      <c r="C2823" s="144"/>
      <c r="D2823" s="144"/>
      <c r="E2823" s="144"/>
      <c r="F2823" s="373"/>
      <c r="H2823" s="2168"/>
      <c r="I2823" s="70"/>
    </row>
    <row r="2824" spans="3:9" s="46" customFormat="1" x14ac:dyDescent="0.2">
      <c r="C2824" s="144"/>
      <c r="D2824" s="144"/>
      <c r="E2824" s="144"/>
      <c r="F2824" s="373"/>
      <c r="H2824" s="2168"/>
      <c r="I2824" s="70"/>
    </row>
    <row r="2825" spans="3:9" s="46" customFormat="1" x14ac:dyDescent="0.2">
      <c r="C2825" s="144"/>
      <c r="D2825" s="144"/>
      <c r="E2825" s="144"/>
      <c r="F2825" s="373"/>
      <c r="H2825" s="2168"/>
      <c r="I2825" s="70"/>
    </row>
    <row r="2826" spans="3:9" s="46" customFormat="1" x14ac:dyDescent="0.2">
      <c r="C2826" s="144"/>
      <c r="D2826" s="144"/>
      <c r="E2826" s="144"/>
      <c r="F2826" s="373"/>
      <c r="H2826" s="2168"/>
      <c r="I2826" s="70"/>
    </row>
    <row r="2827" spans="3:9" s="46" customFormat="1" x14ac:dyDescent="0.2">
      <c r="C2827" s="144"/>
      <c r="D2827" s="144"/>
      <c r="E2827" s="144"/>
      <c r="F2827" s="373"/>
      <c r="H2827" s="2168"/>
      <c r="I2827" s="70"/>
    </row>
    <row r="2828" spans="3:9" s="46" customFormat="1" x14ac:dyDescent="0.2">
      <c r="C2828" s="144"/>
      <c r="D2828" s="144"/>
      <c r="E2828" s="144"/>
      <c r="F2828" s="373"/>
      <c r="H2828" s="2168"/>
      <c r="I2828" s="70"/>
    </row>
    <row r="2829" spans="3:9" s="46" customFormat="1" x14ac:dyDescent="0.2">
      <c r="C2829" s="144"/>
      <c r="D2829" s="144"/>
      <c r="E2829" s="144"/>
      <c r="F2829" s="373"/>
      <c r="H2829" s="2168"/>
      <c r="I2829" s="70"/>
    </row>
    <row r="2830" spans="3:9" s="46" customFormat="1" x14ac:dyDescent="0.2">
      <c r="C2830" s="144"/>
      <c r="D2830" s="144"/>
      <c r="E2830" s="144"/>
      <c r="F2830" s="373"/>
      <c r="H2830" s="2168"/>
      <c r="I2830" s="70"/>
    </row>
    <row r="2831" spans="3:9" s="46" customFormat="1" x14ac:dyDescent="0.2">
      <c r="C2831" s="144"/>
      <c r="D2831" s="144"/>
      <c r="E2831" s="144"/>
      <c r="F2831" s="373"/>
      <c r="H2831" s="2168"/>
      <c r="I2831" s="70"/>
    </row>
    <row r="2832" spans="3:9" s="46" customFormat="1" x14ac:dyDescent="0.2">
      <c r="C2832" s="144"/>
      <c r="D2832" s="144"/>
      <c r="E2832" s="144"/>
      <c r="F2832" s="373"/>
      <c r="H2832" s="2168"/>
      <c r="I2832" s="70"/>
    </row>
    <row r="2833" spans="3:9" s="46" customFormat="1" x14ac:dyDescent="0.2">
      <c r="C2833" s="144"/>
      <c r="D2833" s="144"/>
      <c r="E2833" s="144"/>
      <c r="F2833" s="373"/>
      <c r="H2833" s="2168"/>
      <c r="I2833" s="70"/>
    </row>
    <row r="2834" spans="3:9" s="46" customFormat="1" x14ac:dyDescent="0.2">
      <c r="C2834" s="144"/>
      <c r="D2834" s="144"/>
      <c r="E2834" s="144"/>
      <c r="F2834" s="373"/>
      <c r="H2834" s="2168"/>
      <c r="I2834" s="70"/>
    </row>
    <row r="2835" spans="3:9" s="46" customFormat="1" x14ac:dyDescent="0.2">
      <c r="C2835" s="144"/>
      <c r="D2835" s="144"/>
      <c r="E2835" s="144"/>
      <c r="F2835" s="373"/>
      <c r="H2835" s="2168"/>
      <c r="I2835" s="70"/>
    </row>
    <row r="2836" spans="3:9" s="46" customFormat="1" x14ac:dyDescent="0.2">
      <c r="C2836" s="144"/>
      <c r="D2836" s="144"/>
      <c r="E2836" s="144"/>
      <c r="F2836" s="373"/>
      <c r="H2836" s="2168"/>
      <c r="I2836" s="70"/>
    </row>
    <row r="2837" spans="3:9" s="46" customFormat="1" x14ac:dyDescent="0.2">
      <c r="C2837" s="144"/>
      <c r="D2837" s="144"/>
      <c r="E2837" s="144"/>
      <c r="F2837" s="373"/>
      <c r="H2837" s="2168"/>
      <c r="I2837" s="70"/>
    </row>
    <row r="2838" spans="3:9" s="46" customFormat="1" x14ac:dyDescent="0.2">
      <c r="C2838" s="144"/>
      <c r="D2838" s="144"/>
      <c r="E2838" s="144"/>
      <c r="F2838" s="373"/>
      <c r="H2838" s="2168"/>
      <c r="I2838" s="70"/>
    </row>
    <row r="2839" spans="3:9" s="46" customFormat="1" x14ac:dyDescent="0.2">
      <c r="C2839" s="144"/>
      <c r="D2839" s="144"/>
      <c r="E2839" s="144"/>
      <c r="F2839" s="373"/>
      <c r="H2839" s="2168"/>
      <c r="I2839" s="70"/>
    </row>
    <row r="2840" spans="3:9" s="46" customFormat="1" x14ac:dyDescent="0.2">
      <c r="C2840" s="144"/>
      <c r="D2840" s="144"/>
      <c r="E2840" s="144"/>
      <c r="F2840" s="373"/>
      <c r="H2840" s="2168"/>
      <c r="I2840" s="70"/>
    </row>
    <row r="2841" spans="3:9" s="46" customFormat="1" x14ac:dyDescent="0.2">
      <c r="C2841" s="144"/>
      <c r="D2841" s="144"/>
      <c r="E2841" s="144"/>
      <c r="F2841" s="373"/>
      <c r="H2841" s="2168"/>
      <c r="I2841" s="70"/>
    </row>
    <row r="2842" spans="3:9" s="46" customFormat="1" x14ac:dyDescent="0.2">
      <c r="C2842" s="144"/>
      <c r="D2842" s="144"/>
      <c r="E2842" s="144"/>
      <c r="F2842" s="373"/>
      <c r="H2842" s="2168"/>
      <c r="I2842" s="70"/>
    </row>
    <row r="2843" spans="3:9" s="46" customFormat="1" x14ac:dyDescent="0.2">
      <c r="C2843" s="144"/>
      <c r="D2843" s="144"/>
      <c r="E2843" s="144"/>
      <c r="F2843" s="373"/>
      <c r="H2843" s="2168"/>
      <c r="I2843" s="70"/>
    </row>
    <row r="2844" spans="3:9" s="46" customFormat="1" x14ac:dyDescent="0.2">
      <c r="C2844" s="144"/>
      <c r="D2844" s="144"/>
      <c r="E2844" s="144"/>
      <c r="F2844" s="373"/>
      <c r="H2844" s="2168"/>
      <c r="I2844" s="70"/>
    </row>
    <row r="2845" spans="3:9" s="46" customFormat="1" x14ac:dyDescent="0.2">
      <c r="C2845" s="144"/>
      <c r="D2845" s="144"/>
      <c r="E2845" s="144"/>
      <c r="F2845" s="373"/>
      <c r="H2845" s="2168"/>
      <c r="I2845" s="70"/>
    </row>
    <row r="2846" spans="3:9" s="46" customFormat="1" x14ac:dyDescent="0.2">
      <c r="C2846" s="144"/>
      <c r="D2846" s="144"/>
      <c r="E2846" s="144"/>
      <c r="F2846" s="373"/>
      <c r="H2846" s="2168"/>
      <c r="I2846" s="70"/>
    </row>
    <row r="2847" spans="3:9" s="46" customFormat="1" x14ac:dyDescent="0.2">
      <c r="C2847" s="144"/>
      <c r="D2847" s="144"/>
      <c r="E2847" s="144"/>
      <c r="F2847" s="373"/>
      <c r="H2847" s="2168"/>
      <c r="I2847" s="70"/>
    </row>
    <row r="2848" spans="3:9" s="46" customFormat="1" x14ac:dyDescent="0.2">
      <c r="C2848" s="144"/>
      <c r="D2848" s="144"/>
      <c r="E2848" s="144"/>
      <c r="F2848" s="373"/>
      <c r="H2848" s="2168"/>
      <c r="I2848" s="70"/>
    </row>
    <row r="2849" spans="3:9" s="46" customFormat="1" x14ac:dyDescent="0.2">
      <c r="C2849" s="144"/>
      <c r="D2849" s="144"/>
      <c r="E2849" s="144"/>
      <c r="F2849" s="373"/>
      <c r="H2849" s="2168"/>
      <c r="I2849" s="70"/>
    </row>
    <row r="2850" spans="3:9" s="46" customFormat="1" x14ac:dyDescent="0.2">
      <c r="C2850" s="144"/>
      <c r="D2850" s="144"/>
      <c r="E2850" s="144"/>
      <c r="F2850" s="373"/>
      <c r="H2850" s="2168"/>
      <c r="I2850" s="70"/>
    </row>
    <row r="2851" spans="3:9" s="46" customFormat="1" x14ac:dyDescent="0.2">
      <c r="C2851" s="144"/>
      <c r="D2851" s="144"/>
      <c r="E2851" s="144"/>
      <c r="F2851" s="373"/>
      <c r="H2851" s="2168"/>
      <c r="I2851" s="70"/>
    </row>
    <row r="2852" spans="3:9" s="46" customFormat="1" x14ac:dyDescent="0.2">
      <c r="C2852" s="144"/>
      <c r="D2852" s="144"/>
      <c r="E2852" s="144"/>
      <c r="F2852" s="373"/>
      <c r="H2852" s="2168"/>
      <c r="I2852" s="70"/>
    </row>
    <row r="2853" spans="3:9" s="46" customFormat="1" x14ac:dyDescent="0.2">
      <c r="C2853" s="144"/>
      <c r="D2853" s="144"/>
      <c r="E2853" s="144"/>
      <c r="F2853" s="373"/>
      <c r="H2853" s="2168"/>
      <c r="I2853" s="70"/>
    </row>
    <row r="2854" spans="3:9" s="46" customFormat="1" x14ac:dyDescent="0.2">
      <c r="C2854" s="144"/>
      <c r="D2854" s="144"/>
      <c r="E2854" s="144"/>
      <c r="F2854" s="373"/>
      <c r="H2854" s="2168"/>
      <c r="I2854" s="70"/>
    </row>
    <row r="2855" spans="3:9" s="46" customFormat="1" x14ac:dyDescent="0.2">
      <c r="C2855" s="144"/>
      <c r="D2855" s="144"/>
      <c r="E2855" s="144"/>
      <c r="F2855" s="373"/>
      <c r="H2855" s="2168"/>
      <c r="I2855" s="70"/>
    </row>
    <row r="2856" spans="3:9" s="46" customFormat="1" x14ac:dyDescent="0.2">
      <c r="C2856" s="144"/>
      <c r="D2856" s="144"/>
      <c r="E2856" s="144"/>
      <c r="F2856" s="373"/>
      <c r="H2856" s="2168"/>
      <c r="I2856" s="70"/>
    </row>
    <row r="2857" spans="3:9" s="46" customFormat="1" x14ac:dyDescent="0.2">
      <c r="C2857" s="144"/>
      <c r="D2857" s="144"/>
      <c r="E2857" s="144"/>
      <c r="F2857" s="373"/>
      <c r="H2857" s="2168"/>
      <c r="I2857" s="70"/>
    </row>
    <row r="2858" spans="3:9" s="46" customFormat="1" x14ac:dyDescent="0.2">
      <c r="C2858" s="144"/>
      <c r="D2858" s="144"/>
      <c r="E2858" s="144"/>
      <c r="F2858" s="373"/>
      <c r="H2858" s="2168"/>
      <c r="I2858" s="70"/>
    </row>
    <row r="2859" spans="3:9" s="46" customFormat="1" x14ac:dyDescent="0.2">
      <c r="C2859" s="144"/>
      <c r="D2859" s="144"/>
      <c r="E2859" s="144"/>
      <c r="F2859" s="373"/>
      <c r="H2859" s="2168"/>
      <c r="I2859" s="70"/>
    </row>
    <row r="2860" spans="3:9" s="46" customFormat="1" x14ac:dyDescent="0.2">
      <c r="C2860" s="144"/>
      <c r="D2860" s="144"/>
      <c r="E2860" s="144"/>
      <c r="F2860" s="373"/>
      <c r="H2860" s="2168"/>
      <c r="I2860" s="70"/>
    </row>
    <row r="2861" spans="3:9" s="46" customFormat="1" x14ac:dyDescent="0.2">
      <c r="C2861" s="144"/>
      <c r="D2861" s="144"/>
      <c r="E2861" s="144"/>
      <c r="F2861" s="373"/>
      <c r="H2861" s="2168"/>
      <c r="I2861" s="70"/>
    </row>
    <row r="2862" spans="3:9" s="46" customFormat="1" x14ac:dyDescent="0.2">
      <c r="C2862" s="144"/>
      <c r="D2862" s="144"/>
      <c r="E2862" s="144"/>
      <c r="F2862" s="373"/>
      <c r="H2862" s="2168"/>
      <c r="I2862" s="70"/>
    </row>
    <row r="2863" spans="3:9" s="46" customFormat="1" x14ac:dyDescent="0.2">
      <c r="C2863" s="144"/>
      <c r="D2863" s="144"/>
      <c r="E2863" s="144"/>
      <c r="F2863" s="373"/>
      <c r="H2863" s="2168"/>
      <c r="I2863" s="70"/>
    </row>
    <row r="2864" spans="3:9" s="46" customFormat="1" x14ac:dyDescent="0.2">
      <c r="C2864" s="144"/>
      <c r="D2864" s="144"/>
      <c r="E2864" s="144"/>
      <c r="F2864" s="373"/>
      <c r="H2864" s="2168"/>
      <c r="I2864" s="70"/>
    </row>
    <row r="2865" spans="3:9" s="46" customFormat="1" x14ac:dyDescent="0.2">
      <c r="C2865" s="144"/>
      <c r="D2865" s="144"/>
      <c r="E2865" s="144"/>
      <c r="F2865" s="373"/>
      <c r="H2865" s="2168"/>
      <c r="I2865" s="70"/>
    </row>
    <row r="2866" spans="3:9" s="46" customFormat="1" x14ac:dyDescent="0.2">
      <c r="C2866" s="144"/>
      <c r="D2866" s="144"/>
      <c r="E2866" s="144"/>
      <c r="F2866" s="373"/>
      <c r="H2866" s="2168"/>
      <c r="I2866" s="70"/>
    </row>
    <row r="2867" spans="3:9" s="46" customFormat="1" x14ac:dyDescent="0.2">
      <c r="C2867" s="144"/>
      <c r="D2867" s="144"/>
      <c r="E2867" s="144"/>
      <c r="F2867" s="373"/>
      <c r="H2867" s="2168"/>
      <c r="I2867" s="70"/>
    </row>
    <row r="2868" spans="3:9" s="46" customFormat="1" x14ac:dyDescent="0.2">
      <c r="C2868" s="144"/>
      <c r="D2868" s="144"/>
      <c r="E2868" s="144"/>
      <c r="F2868" s="373"/>
      <c r="H2868" s="2168"/>
      <c r="I2868" s="70"/>
    </row>
    <row r="2869" spans="3:9" s="46" customFormat="1" x14ac:dyDescent="0.2">
      <c r="C2869" s="144"/>
      <c r="D2869" s="144"/>
      <c r="E2869" s="144"/>
      <c r="F2869" s="373"/>
      <c r="H2869" s="2168"/>
      <c r="I2869" s="70"/>
    </row>
    <row r="2870" spans="3:9" s="46" customFormat="1" x14ac:dyDescent="0.2">
      <c r="C2870" s="144"/>
      <c r="D2870" s="144"/>
      <c r="E2870" s="144"/>
      <c r="F2870" s="373"/>
      <c r="H2870" s="2168"/>
      <c r="I2870" s="70"/>
    </row>
    <row r="2871" spans="3:9" s="46" customFormat="1" x14ac:dyDescent="0.2">
      <c r="C2871" s="144"/>
      <c r="D2871" s="144"/>
      <c r="E2871" s="144"/>
      <c r="F2871" s="373"/>
      <c r="H2871" s="2168"/>
      <c r="I2871" s="70"/>
    </row>
    <row r="2872" spans="3:9" s="46" customFormat="1" x14ac:dyDescent="0.2">
      <c r="C2872" s="144"/>
      <c r="D2872" s="144"/>
      <c r="E2872" s="144"/>
      <c r="F2872" s="373"/>
      <c r="H2872" s="2168"/>
      <c r="I2872" s="70"/>
    </row>
    <row r="2873" spans="3:9" s="46" customFormat="1" x14ac:dyDescent="0.2">
      <c r="C2873" s="144"/>
      <c r="D2873" s="144"/>
      <c r="E2873" s="144"/>
      <c r="F2873" s="373"/>
      <c r="H2873" s="2168"/>
      <c r="I2873" s="70"/>
    </row>
    <row r="2874" spans="3:9" s="46" customFormat="1" x14ac:dyDescent="0.2">
      <c r="C2874" s="144"/>
      <c r="D2874" s="144"/>
      <c r="E2874" s="144"/>
      <c r="F2874" s="373"/>
      <c r="H2874" s="2168"/>
      <c r="I2874" s="70"/>
    </row>
    <row r="2875" spans="3:9" s="46" customFormat="1" x14ac:dyDescent="0.2">
      <c r="C2875" s="144"/>
      <c r="D2875" s="144"/>
      <c r="E2875" s="144"/>
      <c r="F2875" s="373"/>
      <c r="H2875" s="2168"/>
      <c r="I2875" s="70"/>
    </row>
    <row r="2876" spans="3:9" s="46" customFormat="1" x14ac:dyDescent="0.2">
      <c r="C2876" s="144"/>
      <c r="D2876" s="144"/>
      <c r="E2876" s="144"/>
      <c r="F2876" s="373"/>
      <c r="H2876" s="2168"/>
      <c r="I2876" s="70"/>
    </row>
    <row r="2877" spans="3:9" s="46" customFormat="1" x14ac:dyDescent="0.2">
      <c r="C2877" s="144"/>
      <c r="D2877" s="144"/>
      <c r="E2877" s="144"/>
      <c r="F2877" s="373"/>
      <c r="H2877" s="2168"/>
      <c r="I2877" s="70"/>
    </row>
    <row r="2878" spans="3:9" s="46" customFormat="1" x14ac:dyDescent="0.2">
      <c r="C2878" s="144"/>
      <c r="D2878" s="144"/>
      <c r="E2878" s="144"/>
      <c r="F2878" s="373"/>
      <c r="H2878" s="2168"/>
      <c r="I2878" s="70"/>
    </row>
    <row r="2879" spans="3:9" s="46" customFormat="1" x14ac:dyDescent="0.2">
      <c r="C2879" s="144"/>
      <c r="D2879" s="144"/>
      <c r="E2879" s="144"/>
      <c r="F2879" s="373"/>
      <c r="H2879" s="2168"/>
      <c r="I2879" s="70"/>
    </row>
    <row r="2880" spans="3:9" s="46" customFormat="1" x14ac:dyDescent="0.2">
      <c r="C2880" s="144"/>
      <c r="D2880" s="144"/>
      <c r="E2880" s="144"/>
      <c r="F2880" s="373"/>
      <c r="H2880" s="2168"/>
      <c r="I2880" s="70"/>
    </row>
    <row r="2881" spans="3:9" s="46" customFormat="1" x14ac:dyDescent="0.2">
      <c r="C2881" s="144"/>
      <c r="D2881" s="144"/>
      <c r="E2881" s="144"/>
      <c r="F2881" s="373"/>
      <c r="H2881" s="2168"/>
      <c r="I2881" s="70"/>
    </row>
    <row r="2882" spans="3:9" s="46" customFormat="1" x14ac:dyDescent="0.2">
      <c r="C2882" s="144"/>
      <c r="D2882" s="144"/>
      <c r="E2882" s="144"/>
      <c r="F2882" s="373"/>
      <c r="H2882" s="2168"/>
      <c r="I2882" s="70"/>
    </row>
    <row r="2883" spans="3:9" s="46" customFormat="1" x14ac:dyDescent="0.2">
      <c r="C2883" s="144"/>
      <c r="D2883" s="144"/>
      <c r="E2883" s="144"/>
      <c r="F2883" s="373"/>
      <c r="H2883" s="2168"/>
      <c r="I2883" s="70"/>
    </row>
    <row r="2884" spans="3:9" s="46" customFormat="1" x14ac:dyDescent="0.2">
      <c r="C2884" s="144"/>
      <c r="D2884" s="144"/>
      <c r="E2884" s="144"/>
      <c r="F2884" s="373"/>
      <c r="H2884" s="2168"/>
      <c r="I2884" s="70"/>
    </row>
    <row r="2885" spans="3:9" s="46" customFormat="1" x14ac:dyDescent="0.2">
      <c r="C2885" s="144"/>
      <c r="D2885" s="144"/>
      <c r="E2885" s="144"/>
      <c r="F2885" s="373"/>
      <c r="H2885" s="2168"/>
      <c r="I2885" s="70"/>
    </row>
    <row r="2886" spans="3:9" s="46" customFormat="1" x14ac:dyDescent="0.2">
      <c r="C2886" s="144"/>
      <c r="D2886" s="144"/>
      <c r="E2886" s="144"/>
      <c r="F2886" s="373"/>
      <c r="H2886" s="2168"/>
      <c r="I2886" s="70"/>
    </row>
    <row r="2887" spans="3:9" s="46" customFormat="1" x14ac:dyDescent="0.2">
      <c r="C2887" s="144"/>
      <c r="D2887" s="144"/>
      <c r="E2887" s="144"/>
      <c r="F2887" s="373"/>
      <c r="H2887" s="2168"/>
      <c r="I2887" s="70"/>
    </row>
    <row r="2888" spans="3:9" s="46" customFormat="1" x14ac:dyDescent="0.2">
      <c r="C2888" s="144"/>
      <c r="D2888" s="144"/>
      <c r="E2888" s="144"/>
      <c r="F2888" s="373"/>
      <c r="H2888" s="2168"/>
      <c r="I2888" s="70"/>
    </row>
    <row r="2889" spans="3:9" s="46" customFormat="1" x14ac:dyDescent="0.2">
      <c r="C2889" s="144"/>
      <c r="D2889" s="144"/>
      <c r="E2889" s="144"/>
      <c r="F2889" s="373"/>
      <c r="H2889" s="2168"/>
      <c r="I2889" s="70"/>
    </row>
    <row r="2890" spans="3:9" s="46" customFormat="1" x14ac:dyDescent="0.2">
      <c r="C2890" s="144"/>
      <c r="D2890" s="144"/>
      <c r="E2890" s="144"/>
      <c r="F2890" s="373"/>
      <c r="H2890" s="2168"/>
      <c r="I2890" s="70"/>
    </row>
    <row r="2891" spans="3:9" s="46" customFormat="1" x14ac:dyDescent="0.2">
      <c r="C2891" s="144"/>
      <c r="D2891" s="144"/>
      <c r="E2891" s="144"/>
      <c r="F2891" s="373"/>
      <c r="H2891" s="2168"/>
      <c r="I2891" s="70"/>
    </row>
    <row r="2892" spans="3:9" s="46" customFormat="1" x14ac:dyDescent="0.2">
      <c r="C2892" s="144"/>
      <c r="D2892" s="144"/>
      <c r="E2892" s="144"/>
      <c r="F2892" s="373"/>
      <c r="H2892" s="2168"/>
      <c r="I2892" s="70"/>
    </row>
    <row r="2893" spans="3:9" s="46" customFormat="1" x14ac:dyDescent="0.2">
      <c r="C2893" s="144"/>
      <c r="D2893" s="144"/>
      <c r="E2893" s="144"/>
      <c r="F2893" s="373"/>
      <c r="H2893" s="2168"/>
      <c r="I2893" s="70"/>
    </row>
    <row r="2894" spans="3:9" s="46" customFormat="1" x14ac:dyDescent="0.2">
      <c r="C2894" s="144"/>
      <c r="D2894" s="144"/>
      <c r="E2894" s="144"/>
      <c r="F2894" s="373"/>
      <c r="H2894" s="2168"/>
      <c r="I2894" s="70"/>
    </row>
    <row r="2895" spans="3:9" s="46" customFormat="1" x14ac:dyDescent="0.2">
      <c r="C2895" s="144"/>
      <c r="D2895" s="144"/>
      <c r="E2895" s="144"/>
      <c r="F2895" s="373"/>
      <c r="H2895" s="2168"/>
      <c r="I2895" s="70"/>
    </row>
    <row r="2896" spans="3:9" s="46" customFormat="1" x14ac:dyDescent="0.2">
      <c r="C2896" s="144"/>
      <c r="D2896" s="144"/>
      <c r="E2896" s="144"/>
      <c r="F2896" s="373"/>
      <c r="H2896" s="2168"/>
      <c r="I2896" s="70"/>
    </row>
    <row r="2897" spans="3:9" s="46" customFormat="1" x14ac:dyDescent="0.2">
      <c r="C2897" s="144"/>
      <c r="D2897" s="144"/>
      <c r="E2897" s="144"/>
      <c r="F2897" s="373"/>
      <c r="H2897" s="2168"/>
      <c r="I2897" s="70"/>
    </row>
    <row r="2898" spans="3:9" s="46" customFormat="1" x14ac:dyDescent="0.2">
      <c r="C2898" s="144"/>
      <c r="D2898" s="144"/>
      <c r="E2898" s="144"/>
      <c r="F2898" s="373"/>
      <c r="H2898" s="2168"/>
      <c r="I2898" s="70"/>
    </row>
    <row r="2899" spans="3:9" s="46" customFormat="1" x14ac:dyDescent="0.2">
      <c r="C2899" s="144"/>
      <c r="D2899" s="144"/>
      <c r="E2899" s="144"/>
      <c r="F2899" s="373"/>
      <c r="H2899" s="2168"/>
      <c r="I2899" s="70"/>
    </row>
    <row r="2900" spans="3:9" s="46" customFormat="1" x14ac:dyDescent="0.2">
      <c r="C2900" s="144"/>
      <c r="D2900" s="144"/>
      <c r="E2900" s="144"/>
      <c r="F2900" s="373"/>
      <c r="H2900" s="2168"/>
      <c r="I2900" s="70"/>
    </row>
    <row r="2901" spans="3:9" s="46" customFormat="1" x14ac:dyDescent="0.2">
      <c r="C2901" s="144"/>
      <c r="D2901" s="144"/>
      <c r="E2901" s="144"/>
      <c r="F2901" s="373"/>
      <c r="H2901" s="2168"/>
      <c r="I2901" s="70"/>
    </row>
    <row r="2902" spans="3:9" s="46" customFormat="1" x14ac:dyDescent="0.2">
      <c r="C2902" s="144"/>
      <c r="D2902" s="144"/>
      <c r="E2902" s="144"/>
      <c r="F2902" s="373"/>
      <c r="H2902" s="2168"/>
      <c r="I2902" s="70"/>
    </row>
    <row r="2903" spans="3:9" s="46" customFormat="1" x14ac:dyDescent="0.2">
      <c r="C2903" s="144"/>
      <c r="D2903" s="144"/>
      <c r="E2903" s="144"/>
      <c r="F2903" s="373"/>
      <c r="H2903" s="2168"/>
      <c r="I2903" s="70"/>
    </row>
    <row r="2904" spans="3:9" s="46" customFormat="1" x14ac:dyDescent="0.2">
      <c r="C2904" s="144"/>
      <c r="D2904" s="144"/>
      <c r="E2904" s="144"/>
      <c r="F2904" s="373"/>
      <c r="H2904" s="2168"/>
      <c r="I2904" s="70"/>
    </row>
    <row r="2905" spans="3:9" s="46" customFormat="1" x14ac:dyDescent="0.2">
      <c r="C2905" s="144"/>
      <c r="D2905" s="144"/>
      <c r="E2905" s="144"/>
      <c r="F2905" s="373"/>
      <c r="H2905" s="2168"/>
      <c r="I2905" s="70"/>
    </row>
    <row r="2906" spans="3:9" s="46" customFormat="1" x14ac:dyDescent="0.2">
      <c r="C2906" s="144"/>
      <c r="D2906" s="144"/>
      <c r="E2906" s="144"/>
      <c r="F2906" s="373"/>
      <c r="H2906" s="2168"/>
      <c r="I2906" s="70"/>
    </row>
    <row r="2907" spans="3:9" s="46" customFormat="1" x14ac:dyDescent="0.2">
      <c r="C2907" s="144"/>
      <c r="D2907" s="144"/>
      <c r="E2907" s="144"/>
      <c r="F2907" s="373"/>
      <c r="H2907" s="2168"/>
      <c r="I2907" s="70"/>
    </row>
    <row r="2908" spans="3:9" s="46" customFormat="1" x14ac:dyDescent="0.2">
      <c r="C2908" s="144"/>
      <c r="D2908" s="144"/>
      <c r="E2908" s="144"/>
      <c r="F2908" s="373"/>
      <c r="H2908" s="2168"/>
      <c r="I2908" s="70"/>
    </row>
    <row r="2909" spans="3:9" s="46" customFormat="1" x14ac:dyDescent="0.2">
      <c r="C2909" s="144"/>
      <c r="D2909" s="144"/>
      <c r="E2909" s="144"/>
      <c r="F2909" s="373"/>
      <c r="H2909" s="2168"/>
      <c r="I2909" s="70"/>
    </row>
    <row r="2910" spans="3:9" s="46" customFormat="1" x14ac:dyDescent="0.2">
      <c r="C2910" s="144"/>
      <c r="D2910" s="144"/>
      <c r="E2910" s="144"/>
      <c r="F2910" s="373"/>
      <c r="H2910" s="2168"/>
      <c r="I2910" s="70"/>
    </row>
    <row r="2911" spans="3:9" s="46" customFormat="1" x14ac:dyDescent="0.2">
      <c r="C2911" s="144"/>
      <c r="D2911" s="144"/>
      <c r="E2911" s="144"/>
      <c r="F2911" s="373"/>
      <c r="H2911" s="2168"/>
      <c r="I2911" s="70"/>
    </row>
    <row r="2912" spans="3:9" s="46" customFormat="1" x14ac:dyDescent="0.2">
      <c r="C2912" s="144"/>
      <c r="D2912" s="144"/>
      <c r="E2912" s="144"/>
      <c r="F2912" s="373"/>
      <c r="H2912" s="2168"/>
      <c r="I2912" s="70"/>
    </row>
    <row r="2913" spans="3:9" s="46" customFormat="1" x14ac:dyDescent="0.2">
      <c r="C2913" s="144"/>
      <c r="D2913" s="144"/>
      <c r="E2913" s="144"/>
      <c r="F2913" s="373"/>
      <c r="H2913" s="2168"/>
      <c r="I2913" s="70"/>
    </row>
    <row r="2914" spans="3:9" s="46" customFormat="1" x14ac:dyDescent="0.2">
      <c r="C2914" s="144"/>
      <c r="D2914" s="144"/>
      <c r="E2914" s="144"/>
      <c r="F2914" s="373"/>
      <c r="H2914" s="2168"/>
      <c r="I2914" s="70"/>
    </row>
    <row r="2915" spans="3:9" s="46" customFormat="1" x14ac:dyDescent="0.2">
      <c r="C2915" s="144"/>
      <c r="D2915" s="144"/>
      <c r="E2915" s="144"/>
      <c r="F2915" s="373"/>
      <c r="H2915" s="2168"/>
      <c r="I2915" s="70"/>
    </row>
    <row r="2916" spans="3:9" s="46" customFormat="1" x14ac:dyDescent="0.2">
      <c r="C2916" s="144"/>
      <c r="D2916" s="144"/>
      <c r="E2916" s="144"/>
      <c r="F2916" s="373"/>
      <c r="H2916" s="2168"/>
      <c r="I2916" s="70"/>
    </row>
    <row r="2917" spans="3:9" s="46" customFormat="1" x14ac:dyDescent="0.2">
      <c r="C2917" s="144"/>
      <c r="D2917" s="144"/>
      <c r="E2917" s="144"/>
      <c r="F2917" s="373"/>
      <c r="H2917" s="2168"/>
      <c r="I2917" s="70"/>
    </row>
    <row r="2918" spans="3:9" s="46" customFormat="1" x14ac:dyDescent="0.2">
      <c r="C2918" s="144"/>
      <c r="D2918" s="144"/>
      <c r="E2918" s="144"/>
      <c r="F2918" s="373"/>
      <c r="H2918" s="2168"/>
      <c r="I2918" s="70"/>
    </row>
    <row r="2919" spans="3:9" s="46" customFormat="1" x14ac:dyDescent="0.2">
      <c r="C2919" s="144"/>
      <c r="D2919" s="144"/>
      <c r="E2919" s="144"/>
      <c r="F2919" s="373"/>
      <c r="H2919" s="2168"/>
      <c r="I2919" s="70"/>
    </row>
    <row r="2920" spans="3:9" s="46" customFormat="1" x14ac:dyDescent="0.2">
      <c r="C2920" s="144"/>
      <c r="D2920" s="144"/>
      <c r="E2920" s="144"/>
      <c r="F2920" s="373"/>
      <c r="H2920" s="2168"/>
      <c r="I2920" s="70"/>
    </row>
    <row r="2921" spans="3:9" s="46" customFormat="1" x14ac:dyDescent="0.2">
      <c r="C2921" s="144"/>
      <c r="D2921" s="144"/>
      <c r="E2921" s="144"/>
      <c r="F2921" s="373"/>
      <c r="H2921" s="2168"/>
      <c r="I2921" s="70"/>
    </row>
    <row r="2922" spans="3:9" s="46" customFormat="1" x14ac:dyDescent="0.2">
      <c r="C2922" s="144"/>
      <c r="D2922" s="144"/>
      <c r="E2922" s="144"/>
      <c r="F2922" s="373"/>
      <c r="H2922" s="2168"/>
      <c r="I2922" s="70"/>
    </row>
    <row r="2923" spans="3:9" s="46" customFormat="1" x14ac:dyDescent="0.2">
      <c r="C2923" s="144"/>
      <c r="D2923" s="144"/>
      <c r="E2923" s="144"/>
      <c r="F2923" s="373"/>
      <c r="H2923" s="2168"/>
      <c r="I2923" s="70"/>
    </row>
    <row r="2924" spans="3:9" s="46" customFormat="1" x14ac:dyDescent="0.2">
      <c r="C2924" s="144"/>
      <c r="D2924" s="144"/>
      <c r="E2924" s="144"/>
      <c r="F2924" s="373"/>
      <c r="H2924" s="2168"/>
      <c r="I2924" s="70"/>
    </row>
    <row r="2925" spans="3:9" s="46" customFormat="1" x14ac:dyDescent="0.2">
      <c r="C2925" s="144"/>
      <c r="D2925" s="144"/>
      <c r="E2925" s="144"/>
      <c r="F2925" s="373"/>
      <c r="H2925" s="2168"/>
      <c r="I2925" s="70"/>
    </row>
    <row r="2926" spans="3:9" s="46" customFormat="1" x14ac:dyDescent="0.2">
      <c r="C2926" s="144"/>
      <c r="D2926" s="144"/>
      <c r="E2926" s="144"/>
      <c r="F2926" s="373"/>
      <c r="H2926" s="2168"/>
      <c r="I2926" s="70"/>
    </row>
    <row r="2927" spans="3:9" s="46" customFormat="1" x14ac:dyDescent="0.2">
      <c r="C2927" s="144"/>
      <c r="D2927" s="144"/>
      <c r="E2927" s="144"/>
      <c r="F2927" s="373"/>
      <c r="H2927" s="2168"/>
      <c r="I2927" s="70"/>
    </row>
    <row r="2928" spans="3:9" s="46" customFormat="1" x14ac:dyDescent="0.2">
      <c r="C2928" s="144"/>
      <c r="D2928" s="144"/>
      <c r="E2928" s="144"/>
      <c r="F2928" s="373"/>
      <c r="H2928" s="2168"/>
      <c r="I2928" s="70"/>
    </row>
    <row r="2929" spans="3:9" s="46" customFormat="1" x14ac:dyDescent="0.2">
      <c r="C2929" s="144"/>
      <c r="D2929" s="144"/>
      <c r="E2929" s="144"/>
      <c r="F2929" s="373"/>
      <c r="H2929" s="2168"/>
      <c r="I2929" s="70"/>
    </row>
    <row r="2930" spans="3:9" s="46" customFormat="1" x14ac:dyDescent="0.2">
      <c r="C2930" s="144"/>
      <c r="D2930" s="144"/>
      <c r="E2930" s="144"/>
      <c r="F2930" s="373"/>
      <c r="H2930" s="2168"/>
      <c r="I2930" s="70"/>
    </row>
    <row r="2931" spans="3:9" s="46" customFormat="1" x14ac:dyDescent="0.2">
      <c r="C2931" s="144"/>
      <c r="D2931" s="144"/>
      <c r="E2931" s="144"/>
      <c r="F2931" s="373"/>
      <c r="H2931" s="2168"/>
      <c r="I2931" s="70"/>
    </row>
    <row r="2932" spans="3:9" s="46" customFormat="1" x14ac:dyDescent="0.2">
      <c r="C2932" s="144"/>
      <c r="D2932" s="144"/>
      <c r="E2932" s="144"/>
      <c r="F2932" s="373"/>
      <c r="H2932" s="2168"/>
      <c r="I2932" s="70"/>
    </row>
    <row r="2933" spans="3:9" s="46" customFormat="1" x14ac:dyDescent="0.2">
      <c r="C2933" s="144"/>
      <c r="D2933" s="144"/>
      <c r="E2933" s="144"/>
      <c r="F2933" s="373"/>
      <c r="H2933" s="2168"/>
      <c r="I2933" s="70"/>
    </row>
    <row r="2934" spans="3:9" s="46" customFormat="1" x14ac:dyDescent="0.2">
      <c r="C2934" s="144"/>
      <c r="D2934" s="144"/>
      <c r="E2934" s="144"/>
      <c r="F2934" s="373"/>
      <c r="H2934" s="2168"/>
      <c r="I2934" s="70"/>
    </row>
    <row r="2935" spans="3:9" s="46" customFormat="1" x14ac:dyDescent="0.2">
      <c r="C2935" s="144"/>
      <c r="D2935" s="144"/>
      <c r="E2935" s="144"/>
      <c r="F2935" s="373"/>
      <c r="H2935" s="2168"/>
      <c r="I2935" s="70"/>
    </row>
    <row r="2936" spans="3:9" s="46" customFormat="1" x14ac:dyDescent="0.2">
      <c r="C2936" s="144"/>
      <c r="D2936" s="144"/>
      <c r="E2936" s="144"/>
      <c r="F2936" s="373"/>
      <c r="H2936" s="2168"/>
      <c r="I2936" s="70"/>
    </row>
    <row r="2937" spans="3:9" s="46" customFormat="1" x14ac:dyDescent="0.2">
      <c r="C2937" s="144"/>
      <c r="D2937" s="144"/>
      <c r="E2937" s="144"/>
      <c r="F2937" s="373"/>
      <c r="H2937" s="2168"/>
      <c r="I2937" s="70"/>
    </row>
    <row r="2938" spans="3:9" s="46" customFormat="1" x14ac:dyDescent="0.2">
      <c r="C2938" s="144"/>
      <c r="D2938" s="144"/>
      <c r="E2938" s="144"/>
      <c r="F2938" s="373"/>
      <c r="H2938" s="2168"/>
      <c r="I2938" s="70"/>
    </row>
    <row r="2939" spans="3:9" s="46" customFormat="1" x14ac:dyDescent="0.2">
      <c r="C2939" s="144"/>
      <c r="D2939" s="144"/>
      <c r="E2939" s="144"/>
      <c r="F2939" s="373"/>
      <c r="H2939" s="2168"/>
      <c r="I2939" s="70"/>
    </row>
    <row r="2940" spans="3:9" s="46" customFormat="1" x14ac:dyDescent="0.2">
      <c r="C2940" s="144"/>
      <c r="D2940" s="144"/>
      <c r="E2940" s="144"/>
      <c r="F2940" s="373"/>
      <c r="H2940" s="2168"/>
      <c r="I2940" s="70"/>
    </row>
    <row r="2941" spans="3:9" s="46" customFormat="1" x14ac:dyDescent="0.2">
      <c r="C2941" s="144"/>
      <c r="D2941" s="144"/>
      <c r="E2941" s="144"/>
      <c r="F2941" s="373"/>
      <c r="H2941" s="2168"/>
      <c r="I2941" s="70"/>
    </row>
    <row r="2942" spans="3:9" s="46" customFormat="1" x14ac:dyDescent="0.2">
      <c r="C2942" s="144"/>
      <c r="D2942" s="144"/>
      <c r="E2942" s="144"/>
      <c r="F2942" s="373"/>
      <c r="H2942" s="2168"/>
      <c r="I2942" s="70"/>
    </row>
    <row r="2943" spans="3:9" s="46" customFormat="1" x14ac:dyDescent="0.2">
      <c r="C2943" s="144"/>
      <c r="D2943" s="144"/>
      <c r="E2943" s="144"/>
      <c r="F2943" s="373"/>
      <c r="H2943" s="2168"/>
      <c r="I2943" s="70"/>
    </row>
    <row r="2944" spans="3:9" s="46" customFormat="1" x14ac:dyDescent="0.2">
      <c r="C2944" s="144"/>
      <c r="D2944" s="144"/>
      <c r="E2944" s="144"/>
      <c r="F2944" s="373"/>
      <c r="H2944" s="2168"/>
      <c r="I2944" s="70"/>
    </row>
    <row r="2945" spans="3:9" s="46" customFormat="1" x14ac:dyDescent="0.2">
      <c r="C2945" s="144"/>
      <c r="D2945" s="144"/>
      <c r="E2945" s="144"/>
      <c r="F2945" s="373"/>
      <c r="H2945" s="2168"/>
      <c r="I2945" s="70"/>
    </row>
    <row r="2946" spans="3:9" s="46" customFormat="1" x14ac:dyDescent="0.2">
      <c r="C2946" s="144"/>
      <c r="D2946" s="144"/>
      <c r="E2946" s="144"/>
      <c r="F2946" s="373"/>
      <c r="H2946" s="2168"/>
      <c r="I2946" s="70"/>
    </row>
    <row r="2947" spans="3:9" s="46" customFormat="1" x14ac:dyDescent="0.2">
      <c r="C2947" s="144"/>
      <c r="D2947" s="144"/>
      <c r="E2947" s="144"/>
      <c r="F2947" s="373"/>
      <c r="H2947" s="2168"/>
      <c r="I2947" s="70"/>
    </row>
    <row r="2948" spans="3:9" s="46" customFormat="1" x14ac:dyDescent="0.2">
      <c r="C2948" s="144"/>
      <c r="D2948" s="144"/>
      <c r="E2948" s="144"/>
      <c r="F2948" s="373"/>
      <c r="H2948" s="2168"/>
      <c r="I2948" s="70"/>
    </row>
    <row r="2949" spans="3:9" s="46" customFormat="1" x14ac:dyDescent="0.2">
      <c r="C2949" s="144"/>
      <c r="D2949" s="144"/>
      <c r="E2949" s="144"/>
      <c r="F2949" s="373"/>
      <c r="H2949" s="2168"/>
      <c r="I2949" s="70"/>
    </row>
    <row r="2950" spans="3:9" s="46" customFormat="1" x14ac:dyDescent="0.2">
      <c r="C2950" s="144"/>
      <c r="D2950" s="144"/>
      <c r="E2950" s="144"/>
      <c r="F2950" s="373"/>
      <c r="H2950" s="2168"/>
      <c r="I2950" s="70"/>
    </row>
    <row r="2951" spans="3:9" s="46" customFormat="1" x14ac:dyDescent="0.2">
      <c r="C2951" s="144"/>
      <c r="D2951" s="144"/>
      <c r="E2951" s="144"/>
      <c r="F2951" s="373"/>
      <c r="H2951" s="2168"/>
      <c r="I2951" s="70"/>
    </row>
    <row r="2952" spans="3:9" s="46" customFormat="1" x14ac:dyDescent="0.2">
      <c r="C2952" s="144"/>
      <c r="D2952" s="144"/>
      <c r="E2952" s="144"/>
      <c r="F2952" s="373"/>
      <c r="H2952" s="2168"/>
      <c r="I2952" s="70"/>
    </row>
    <row r="2953" spans="3:9" s="46" customFormat="1" x14ac:dyDescent="0.2">
      <c r="C2953" s="144"/>
      <c r="D2953" s="144"/>
      <c r="E2953" s="144"/>
      <c r="F2953" s="373"/>
      <c r="H2953" s="2168"/>
      <c r="I2953" s="70"/>
    </row>
    <row r="2954" spans="3:9" s="46" customFormat="1" x14ac:dyDescent="0.2">
      <c r="C2954" s="144"/>
      <c r="D2954" s="144"/>
      <c r="E2954" s="144"/>
      <c r="F2954" s="373"/>
      <c r="H2954" s="2168"/>
      <c r="I2954" s="70"/>
    </row>
    <row r="2955" spans="3:9" s="46" customFormat="1" x14ac:dyDescent="0.2">
      <c r="C2955" s="144"/>
      <c r="D2955" s="144"/>
      <c r="E2955" s="144"/>
      <c r="F2955" s="373"/>
      <c r="H2955" s="2168"/>
      <c r="I2955" s="70"/>
    </row>
    <row r="2956" spans="3:9" s="46" customFormat="1" x14ac:dyDescent="0.2">
      <c r="C2956" s="144"/>
      <c r="D2956" s="144"/>
      <c r="E2956" s="144"/>
      <c r="F2956" s="373"/>
      <c r="H2956" s="2168"/>
      <c r="I2956" s="70"/>
    </row>
    <row r="2957" spans="3:9" s="46" customFormat="1" x14ac:dyDescent="0.2">
      <c r="C2957" s="144"/>
      <c r="D2957" s="144"/>
      <c r="E2957" s="144"/>
      <c r="F2957" s="373"/>
      <c r="H2957" s="2168"/>
      <c r="I2957" s="70"/>
    </row>
    <row r="2958" spans="3:9" s="46" customFormat="1" x14ac:dyDescent="0.2">
      <c r="C2958" s="144"/>
      <c r="D2958" s="144"/>
      <c r="E2958" s="144"/>
      <c r="F2958" s="373"/>
      <c r="H2958" s="2168"/>
      <c r="I2958" s="70"/>
    </row>
    <row r="2959" spans="3:9" s="46" customFormat="1" x14ac:dyDescent="0.2">
      <c r="C2959" s="144"/>
      <c r="D2959" s="144"/>
      <c r="E2959" s="144"/>
      <c r="F2959" s="373"/>
      <c r="H2959" s="2168"/>
      <c r="I2959" s="70"/>
    </row>
    <row r="2960" spans="3:9" s="46" customFormat="1" x14ac:dyDescent="0.2">
      <c r="C2960" s="144"/>
      <c r="D2960" s="144"/>
      <c r="E2960" s="144"/>
      <c r="F2960" s="373"/>
      <c r="H2960" s="2168"/>
      <c r="I2960" s="70"/>
    </row>
    <row r="2961" spans="3:9" s="46" customFormat="1" x14ac:dyDescent="0.2">
      <c r="C2961" s="144"/>
      <c r="D2961" s="144"/>
      <c r="E2961" s="144"/>
      <c r="F2961" s="373"/>
      <c r="H2961" s="2168"/>
      <c r="I2961" s="70"/>
    </row>
    <row r="2962" spans="3:9" s="46" customFormat="1" x14ac:dyDescent="0.2">
      <c r="C2962" s="144"/>
      <c r="D2962" s="144"/>
      <c r="E2962" s="144"/>
      <c r="F2962" s="373"/>
      <c r="H2962" s="2168"/>
      <c r="I2962" s="70"/>
    </row>
    <row r="2963" spans="3:9" s="46" customFormat="1" x14ac:dyDescent="0.2">
      <c r="C2963" s="144"/>
      <c r="D2963" s="144"/>
      <c r="E2963" s="144"/>
      <c r="F2963" s="373"/>
      <c r="H2963" s="2168"/>
      <c r="I2963" s="70"/>
    </row>
    <row r="2964" spans="3:9" s="46" customFormat="1" x14ac:dyDescent="0.2">
      <c r="C2964" s="144"/>
      <c r="D2964" s="144"/>
      <c r="E2964" s="144"/>
      <c r="F2964" s="373"/>
      <c r="H2964" s="2168"/>
      <c r="I2964" s="70"/>
    </row>
    <row r="2965" spans="3:9" s="46" customFormat="1" x14ac:dyDescent="0.2">
      <c r="C2965" s="144"/>
      <c r="D2965" s="144"/>
      <c r="E2965" s="144"/>
      <c r="F2965" s="373"/>
      <c r="H2965" s="2168"/>
      <c r="I2965" s="70"/>
    </row>
    <row r="2966" spans="3:9" s="46" customFormat="1" x14ac:dyDescent="0.2">
      <c r="C2966" s="144"/>
      <c r="D2966" s="144"/>
      <c r="E2966" s="144"/>
      <c r="F2966" s="373"/>
      <c r="H2966" s="2168"/>
      <c r="I2966" s="70"/>
    </row>
    <row r="2967" spans="3:9" s="46" customFormat="1" x14ac:dyDescent="0.2">
      <c r="C2967" s="144"/>
      <c r="D2967" s="144"/>
      <c r="E2967" s="144"/>
      <c r="F2967" s="373"/>
      <c r="H2967" s="2168"/>
      <c r="I2967" s="70"/>
    </row>
    <row r="2968" spans="3:9" s="46" customFormat="1" x14ac:dyDescent="0.2">
      <c r="C2968" s="144"/>
      <c r="D2968" s="144"/>
      <c r="E2968" s="144"/>
      <c r="F2968" s="373"/>
      <c r="H2968" s="2168"/>
      <c r="I2968" s="70"/>
    </row>
    <row r="2969" spans="3:9" s="46" customFormat="1" x14ac:dyDescent="0.2">
      <c r="C2969" s="144"/>
      <c r="D2969" s="144"/>
      <c r="E2969" s="144"/>
      <c r="F2969" s="373"/>
      <c r="H2969" s="2168"/>
      <c r="I2969" s="70"/>
    </row>
    <row r="2970" spans="3:9" s="46" customFormat="1" x14ac:dyDescent="0.2">
      <c r="C2970" s="144"/>
      <c r="D2970" s="144"/>
      <c r="E2970" s="144"/>
      <c r="F2970" s="373"/>
      <c r="H2970" s="2168"/>
      <c r="I2970" s="70"/>
    </row>
    <row r="2971" spans="3:9" s="46" customFormat="1" x14ac:dyDescent="0.2">
      <c r="C2971" s="144"/>
      <c r="D2971" s="144"/>
      <c r="E2971" s="144"/>
      <c r="F2971" s="373"/>
      <c r="H2971" s="2168"/>
      <c r="I2971" s="70"/>
    </row>
    <row r="2972" spans="3:9" s="46" customFormat="1" x14ac:dyDescent="0.2">
      <c r="C2972" s="144"/>
      <c r="D2972" s="144"/>
      <c r="E2972" s="144"/>
      <c r="F2972" s="373"/>
      <c r="H2972" s="2168"/>
      <c r="I2972" s="70"/>
    </row>
    <row r="2973" spans="3:9" s="46" customFormat="1" x14ac:dyDescent="0.2">
      <c r="C2973" s="144"/>
      <c r="D2973" s="144"/>
      <c r="E2973" s="144"/>
      <c r="F2973" s="373"/>
      <c r="H2973" s="2168"/>
      <c r="I2973" s="70"/>
    </row>
    <row r="2974" spans="3:9" s="46" customFormat="1" x14ac:dyDescent="0.2">
      <c r="C2974" s="144"/>
      <c r="D2974" s="144"/>
      <c r="E2974" s="144"/>
      <c r="F2974" s="373"/>
      <c r="H2974" s="2168"/>
      <c r="I2974" s="70"/>
    </row>
    <row r="2975" spans="3:9" s="46" customFormat="1" x14ac:dyDescent="0.2">
      <c r="C2975" s="144"/>
      <c r="D2975" s="144"/>
      <c r="E2975" s="144"/>
      <c r="F2975" s="373"/>
      <c r="H2975" s="2168"/>
      <c r="I2975" s="70"/>
    </row>
    <row r="2976" spans="3:9" s="46" customFormat="1" x14ac:dyDescent="0.2">
      <c r="C2976" s="144"/>
      <c r="D2976" s="144"/>
      <c r="E2976" s="144"/>
      <c r="F2976" s="373"/>
      <c r="H2976" s="2168"/>
      <c r="I2976" s="70"/>
    </row>
    <row r="2977" spans="3:9" s="46" customFormat="1" x14ac:dyDescent="0.2">
      <c r="C2977" s="144"/>
      <c r="D2977" s="144"/>
      <c r="E2977" s="144"/>
      <c r="F2977" s="373"/>
      <c r="H2977" s="2168"/>
      <c r="I2977" s="70"/>
    </row>
    <row r="2978" spans="3:9" s="46" customFormat="1" x14ac:dyDescent="0.2">
      <c r="C2978" s="144"/>
      <c r="D2978" s="144"/>
      <c r="E2978" s="144"/>
      <c r="F2978" s="373"/>
      <c r="H2978" s="2168"/>
      <c r="I2978" s="70"/>
    </row>
    <row r="2979" spans="3:9" s="46" customFormat="1" x14ac:dyDescent="0.2">
      <c r="C2979" s="144"/>
      <c r="D2979" s="144"/>
      <c r="E2979" s="144"/>
      <c r="F2979" s="373"/>
      <c r="H2979" s="2168"/>
      <c r="I2979" s="70"/>
    </row>
    <row r="2980" spans="3:9" s="46" customFormat="1" x14ac:dyDescent="0.2">
      <c r="C2980" s="144"/>
      <c r="D2980" s="144"/>
      <c r="E2980" s="144"/>
      <c r="F2980" s="373"/>
      <c r="H2980" s="2168"/>
      <c r="I2980" s="70"/>
    </row>
    <row r="2981" spans="3:9" s="46" customFormat="1" x14ac:dyDescent="0.2">
      <c r="C2981" s="144"/>
      <c r="D2981" s="144"/>
      <c r="E2981" s="144"/>
      <c r="F2981" s="373"/>
      <c r="H2981" s="2168"/>
      <c r="I2981" s="70"/>
    </row>
    <row r="2982" spans="3:9" s="46" customFormat="1" x14ac:dyDescent="0.2">
      <c r="C2982" s="144"/>
      <c r="D2982" s="144"/>
      <c r="E2982" s="144"/>
      <c r="F2982" s="373"/>
      <c r="H2982" s="2168"/>
      <c r="I2982" s="70"/>
    </row>
    <row r="2983" spans="3:9" s="46" customFormat="1" x14ac:dyDescent="0.2">
      <c r="C2983" s="144"/>
      <c r="D2983" s="144"/>
      <c r="E2983" s="144"/>
      <c r="F2983" s="373"/>
      <c r="H2983" s="2168"/>
      <c r="I2983" s="70"/>
    </row>
    <row r="2984" spans="3:9" s="46" customFormat="1" x14ac:dyDescent="0.2">
      <c r="C2984" s="144"/>
      <c r="D2984" s="144"/>
      <c r="E2984" s="144"/>
      <c r="F2984" s="373"/>
      <c r="H2984" s="2168"/>
      <c r="I2984" s="70"/>
    </row>
    <row r="2985" spans="3:9" s="46" customFormat="1" x14ac:dyDescent="0.2">
      <c r="C2985" s="144"/>
      <c r="D2985" s="144"/>
      <c r="E2985" s="144"/>
      <c r="F2985" s="373"/>
      <c r="H2985" s="2168"/>
      <c r="I2985" s="70"/>
    </row>
    <row r="2986" spans="3:9" s="46" customFormat="1" x14ac:dyDescent="0.2">
      <c r="C2986" s="144"/>
      <c r="D2986" s="144"/>
      <c r="E2986" s="144"/>
      <c r="F2986" s="373"/>
      <c r="H2986" s="2168"/>
      <c r="I2986" s="70"/>
    </row>
    <row r="2987" spans="3:9" s="46" customFormat="1" x14ac:dyDescent="0.2">
      <c r="C2987" s="144"/>
      <c r="D2987" s="144"/>
      <c r="E2987" s="144"/>
      <c r="F2987" s="373"/>
      <c r="H2987" s="2168"/>
      <c r="I2987" s="70"/>
    </row>
    <row r="2988" spans="3:9" s="46" customFormat="1" x14ac:dyDescent="0.2">
      <c r="C2988" s="144"/>
      <c r="D2988" s="144"/>
      <c r="E2988" s="144"/>
      <c r="F2988" s="373"/>
      <c r="H2988" s="2168"/>
      <c r="I2988" s="70"/>
    </row>
    <row r="2989" spans="3:9" s="46" customFormat="1" x14ac:dyDescent="0.2">
      <c r="C2989" s="144"/>
      <c r="D2989" s="144"/>
      <c r="E2989" s="144"/>
      <c r="F2989" s="373"/>
      <c r="H2989" s="2168"/>
      <c r="I2989" s="70"/>
    </row>
    <row r="2990" spans="3:9" s="46" customFormat="1" x14ac:dyDescent="0.2">
      <c r="C2990" s="144"/>
      <c r="D2990" s="144"/>
      <c r="E2990" s="144"/>
      <c r="F2990" s="373"/>
      <c r="H2990" s="2168"/>
      <c r="I2990" s="70"/>
    </row>
    <row r="2991" spans="3:9" s="46" customFormat="1" x14ac:dyDescent="0.2">
      <c r="C2991" s="144"/>
      <c r="D2991" s="144"/>
      <c r="E2991" s="144"/>
      <c r="F2991" s="373"/>
      <c r="H2991" s="2168"/>
      <c r="I2991" s="70"/>
    </row>
    <row r="2992" spans="3:9" s="46" customFormat="1" x14ac:dyDescent="0.2">
      <c r="C2992" s="144"/>
      <c r="D2992" s="144"/>
      <c r="E2992" s="144"/>
      <c r="F2992" s="373"/>
      <c r="H2992" s="2168"/>
      <c r="I2992" s="70"/>
    </row>
    <row r="2993" spans="3:9" s="46" customFormat="1" x14ac:dyDescent="0.2">
      <c r="C2993" s="144"/>
      <c r="D2993" s="144"/>
      <c r="E2993" s="144"/>
      <c r="F2993" s="373"/>
      <c r="H2993" s="2168"/>
      <c r="I2993" s="70"/>
    </row>
    <row r="2994" spans="3:9" s="46" customFormat="1" x14ac:dyDescent="0.2">
      <c r="C2994" s="144"/>
      <c r="D2994" s="144"/>
      <c r="E2994" s="144"/>
      <c r="F2994" s="373"/>
      <c r="H2994" s="2168"/>
      <c r="I2994" s="70"/>
    </row>
    <row r="2995" spans="3:9" s="46" customFormat="1" x14ac:dyDescent="0.2">
      <c r="C2995" s="144"/>
      <c r="D2995" s="144"/>
      <c r="E2995" s="144"/>
      <c r="F2995" s="373"/>
      <c r="H2995" s="2168"/>
      <c r="I2995" s="70"/>
    </row>
    <row r="2996" spans="3:9" s="46" customFormat="1" x14ac:dyDescent="0.2">
      <c r="C2996" s="144"/>
      <c r="D2996" s="144"/>
      <c r="E2996" s="144"/>
      <c r="F2996" s="373"/>
      <c r="H2996" s="2168"/>
      <c r="I2996" s="70"/>
    </row>
    <row r="2997" spans="3:9" s="46" customFormat="1" x14ac:dyDescent="0.2">
      <c r="C2997" s="144"/>
      <c r="D2997" s="144"/>
      <c r="E2997" s="144"/>
      <c r="F2997" s="373"/>
      <c r="H2997" s="2168"/>
      <c r="I2997" s="70"/>
    </row>
    <row r="2998" spans="3:9" s="46" customFormat="1" x14ac:dyDescent="0.2">
      <c r="C2998" s="144"/>
      <c r="D2998" s="144"/>
      <c r="E2998" s="144"/>
      <c r="F2998" s="373"/>
      <c r="H2998" s="2168"/>
      <c r="I2998" s="70"/>
    </row>
    <row r="2999" spans="3:9" s="46" customFormat="1" x14ac:dyDescent="0.2">
      <c r="C2999" s="144"/>
      <c r="D2999" s="144"/>
      <c r="E2999" s="144"/>
      <c r="F2999" s="373"/>
      <c r="H2999" s="2168"/>
      <c r="I2999" s="70"/>
    </row>
    <row r="3000" spans="3:9" s="46" customFormat="1" x14ac:dyDescent="0.2">
      <c r="C3000" s="144"/>
      <c r="D3000" s="144"/>
      <c r="E3000" s="144"/>
      <c r="F3000" s="373"/>
      <c r="H3000" s="2168"/>
      <c r="I3000" s="70"/>
    </row>
    <row r="3001" spans="3:9" s="46" customFormat="1" x14ac:dyDescent="0.2">
      <c r="C3001" s="144"/>
      <c r="D3001" s="144"/>
      <c r="E3001" s="144"/>
      <c r="F3001" s="373"/>
      <c r="H3001" s="2168"/>
      <c r="I3001" s="70"/>
    </row>
    <row r="3002" spans="3:9" s="46" customFormat="1" x14ac:dyDescent="0.2">
      <c r="C3002" s="144"/>
      <c r="D3002" s="144"/>
      <c r="E3002" s="144"/>
      <c r="F3002" s="373"/>
      <c r="H3002" s="2168"/>
      <c r="I3002" s="70"/>
    </row>
    <row r="3003" spans="3:9" s="46" customFormat="1" x14ac:dyDescent="0.2">
      <c r="C3003" s="144"/>
      <c r="D3003" s="144"/>
      <c r="E3003" s="144"/>
      <c r="F3003" s="373"/>
      <c r="H3003" s="2168"/>
      <c r="I3003" s="70"/>
    </row>
    <row r="3004" spans="3:9" s="46" customFormat="1" x14ac:dyDescent="0.2">
      <c r="C3004" s="144"/>
      <c r="D3004" s="144"/>
      <c r="E3004" s="144"/>
      <c r="F3004" s="373"/>
      <c r="H3004" s="2168"/>
      <c r="I3004" s="70"/>
    </row>
    <row r="3005" spans="3:9" s="46" customFormat="1" x14ac:dyDescent="0.2">
      <c r="C3005" s="144"/>
      <c r="D3005" s="144"/>
      <c r="E3005" s="144"/>
      <c r="F3005" s="373"/>
      <c r="H3005" s="2168"/>
      <c r="I3005" s="70"/>
    </row>
    <row r="3006" spans="3:9" s="46" customFormat="1" x14ac:dyDescent="0.2">
      <c r="C3006" s="144"/>
      <c r="D3006" s="144"/>
      <c r="E3006" s="144"/>
      <c r="F3006" s="373"/>
      <c r="H3006" s="2168"/>
      <c r="I3006" s="70"/>
    </row>
    <row r="3007" spans="3:9" s="46" customFormat="1" x14ac:dyDescent="0.2">
      <c r="C3007" s="144"/>
      <c r="D3007" s="144"/>
      <c r="E3007" s="144"/>
      <c r="F3007" s="373"/>
      <c r="H3007" s="2168"/>
      <c r="I3007" s="70"/>
    </row>
    <row r="3008" spans="3:9" s="46" customFormat="1" x14ac:dyDescent="0.2">
      <c r="C3008" s="144"/>
      <c r="D3008" s="144"/>
      <c r="E3008" s="144"/>
      <c r="F3008" s="373"/>
      <c r="H3008" s="2168"/>
      <c r="I3008" s="70"/>
    </row>
    <row r="3009" spans="3:9" s="46" customFormat="1" x14ac:dyDescent="0.2">
      <c r="C3009" s="144"/>
      <c r="D3009" s="144"/>
      <c r="E3009" s="144"/>
      <c r="F3009" s="373"/>
      <c r="H3009" s="2168"/>
      <c r="I3009" s="70"/>
    </row>
    <row r="3010" spans="3:9" s="46" customFormat="1" x14ac:dyDescent="0.2">
      <c r="C3010" s="144"/>
      <c r="D3010" s="144"/>
      <c r="E3010" s="144"/>
      <c r="F3010" s="373"/>
      <c r="H3010" s="2168"/>
      <c r="I3010" s="70"/>
    </row>
    <row r="3011" spans="3:9" s="46" customFormat="1" x14ac:dyDescent="0.2">
      <c r="C3011" s="144"/>
      <c r="D3011" s="144"/>
      <c r="E3011" s="144"/>
      <c r="F3011" s="373"/>
      <c r="H3011" s="2168"/>
      <c r="I3011" s="70"/>
    </row>
    <row r="3012" spans="3:9" s="46" customFormat="1" x14ac:dyDescent="0.2">
      <c r="C3012" s="144"/>
      <c r="D3012" s="144"/>
      <c r="E3012" s="144"/>
      <c r="F3012" s="373"/>
      <c r="H3012" s="2168"/>
      <c r="I3012" s="70"/>
    </row>
    <row r="3013" spans="3:9" s="46" customFormat="1" x14ac:dyDescent="0.2">
      <c r="C3013" s="144"/>
      <c r="D3013" s="144"/>
      <c r="E3013" s="144"/>
      <c r="F3013" s="373"/>
      <c r="H3013" s="2168"/>
      <c r="I3013" s="70"/>
    </row>
    <row r="3014" spans="3:9" s="46" customFormat="1" x14ac:dyDescent="0.2">
      <c r="C3014" s="144"/>
      <c r="D3014" s="144"/>
      <c r="E3014" s="144"/>
      <c r="F3014" s="373"/>
      <c r="H3014" s="2168"/>
      <c r="I3014" s="70"/>
    </row>
    <row r="3015" spans="3:9" s="46" customFormat="1" x14ac:dyDescent="0.2">
      <c r="C3015" s="144"/>
      <c r="D3015" s="144"/>
      <c r="E3015" s="144"/>
      <c r="F3015" s="373"/>
      <c r="H3015" s="2168"/>
      <c r="I3015" s="70"/>
    </row>
    <row r="3016" spans="3:9" s="46" customFormat="1" x14ac:dyDescent="0.2">
      <c r="C3016" s="144"/>
      <c r="D3016" s="144"/>
      <c r="E3016" s="144"/>
      <c r="F3016" s="373"/>
      <c r="H3016" s="2168"/>
      <c r="I3016" s="70"/>
    </row>
    <row r="3017" spans="3:9" s="46" customFormat="1" x14ac:dyDescent="0.2">
      <c r="C3017" s="144"/>
      <c r="D3017" s="144"/>
      <c r="E3017" s="144"/>
      <c r="F3017" s="373"/>
      <c r="H3017" s="2168"/>
      <c r="I3017" s="70"/>
    </row>
    <row r="3018" spans="3:9" s="46" customFormat="1" x14ac:dyDescent="0.2">
      <c r="C3018" s="144"/>
      <c r="D3018" s="144"/>
      <c r="E3018" s="144"/>
      <c r="F3018" s="373"/>
      <c r="H3018" s="2168"/>
      <c r="I3018" s="70"/>
    </row>
    <row r="3019" spans="3:9" s="46" customFormat="1" x14ac:dyDescent="0.2">
      <c r="C3019" s="144"/>
      <c r="D3019" s="144"/>
      <c r="E3019" s="144"/>
      <c r="F3019" s="373"/>
      <c r="H3019" s="2168"/>
      <c r="I3019" s="70"/>
    </row>
    <row r="3020" spans="3:9" s="46" customFormat="1" x14ac:dyDescent="0.2">
      <c r="C3020" s="144"/>
      <c r="D3020" s="144"/>
      <c r="E3020" s="144"/>
      <c r="F3020" s="373"/>
      <c r="H3020" s="2168"/>
      <c r="I3020" s="70"/>
    </row>
    <row r="3021" spans="3:9" s="46" customFormat="1" x14ac:dyDescent="0.2">
      <c r="C3021" s="144"/>
      <c r="D3021" s="144"/>
      <c r="E3021" s="144"/>
      <c r="F3021" s="373"/>
      <c r="H3021" s="2168"/>
      <c r="I3021" s="70"/>
    </row>
    <row r="3022" spans="3:9" s="46" customFormat="1" x14ac:dyDescent="0.2">
      <c r="C3022" s="144"/>
      <c r="D3022" s="144"/>
      <c r="E3022" s="144"/>
      <c r="F3022" s="373"/>
      <c r="H3022" s="2168"/>
      <c r="I3022" s="70"/>
    </row>
    <row r="3023" spans="3:9" s="46" customFormat="1" x14ac:dyDescent="0.2">
      <c r="C3023" s="144"/>
      <c r="D3023" s="144"/>
      <c r="E3023" s="144"/>
      <c r="F3023" s="373"/>
      <c r="H3023" s="2168"/>
      <c r="I3023" s="70"/>
    </row>
    <row r="3024" spans="3:9" s="46" customFormat="1" x14ac:dyDescent="0.2">
      <c r="C3024" s="144"/>
      <c r="D3024" s="144"/>
      <c r="E3024" s="144"/>
      <c r="F3024" s="373"/>
      <c r="H3024" s="2168"/>
      <c r="I3024" s="70"/>
    </row>
    <row r="3025" spans="3:9" s="46" customFormat="1" x14ac:dyDescent="0.2">
      <c r="C3025" s="144"/>
      <c r="D3025" s="144"/>
      <c r="E3025" s="144"/>
      <c r="F3025" s="373"/>
      <c r="H3025" s="2168"/>
      <c r="I3025" s="70"/>
    </row>
    <row r="3026" spans="3:9" s="46" customFormat="1" x14ac:dyDescent="0.2">
      <c r="C3026" s="144"/>
      <c r="D3026" s="144"/>
      <c r="E3026" s="144"/>
      <c r="F3026" s="373"/>
      <c r="H3026" s="2168"/>
      <c r="I3026" s="70"/>
    </row>
    <row r="3027" spans="3:9" s="46" customFormat="1" x14ac:dyDescent="0.2">
      <c r="C3027" s="144"/>
      <c r="D3027" s="144"/>
      <c r="E3027" s="144"/>
      <c r="F3027" s="373"/>
      <c r="H3027" s="2168"/>
      <c r="I3027" s="70"/>
    </row>
    <row r="3028" spans="3:9" s="46" customFormat="1" x14ac:dyDescent="0.2">
      <c r="C3028" s="144"/>
      <c r="D3028" s="144"/>
      <c r="E3028" s="144"/>
      <c r="F3028" s="373"/>
      <c r="H3028" s="2168"/>
      <c r="I3028" s="70"/>
    </row>
    <row r="3029" spans="3:9" s="46" customFormat="1" x14ac:dyDescent="0.2">
      <c r="C3029" s="144"/>
      <c r="D3029" s="144"/>
      <c r="E3029" s="144"/>
      <c r="F3029" s="373"/>
      <c r="H3029" s="2168"/>
      <c r="I3029" s="70"/>
    </row>
    <row r="3030" spans="3:9" s="46" customFormat="1" x14ac:dyDescent="0.2">
      <c r="C3030" s="144"/>
      <c r="D3030" s="144"/>
      <c r="E3030" s="144"/>
      <c r="F3030" s="373"/>
      <c r="H3030" s="2168"/>
      <c r="I3030" s="70"/>
    </row>
    <row r="3031" spans="3:9" s="46" customFormat="1" x14ac:dyDescent="0.2">
      <c r="C3031" s="144"/>
      <c r="D3031" s="144"/>
      <c r="E3031" s="144"/>
      <c r="F3031" s="373"/>
      <c r="H3031" s="2168"/>
      <c r="I3031" s="70"/>
    </row>
    <row r="3032" spans="3:9" s="46" customFormat="1" x14ac:dyDescent="0.2">
      <c r="C3032" s="144"/>
      <c r="D3032" s="144"/>
      <c r="E3032" s="144"/>
      <c r="F3032" s="373"/>
      <c r="H3032" s="2168"/>
      <c r="I3032" s="70"/>
    </row>
    <row r="3033" spans="3:9" s="46" customFormat="1" x14ac:dyDescent="0.2">
      <c r="C3033" s="144"/>
      <c r="D3033" s="144"/>
      <c r="E3033" s="144"/>
      <c r="F3033" s="373"/>
      <c r="H3033" s="2168"/>
      <c r="I3033" s="70"/>
    </row>
    <row r="3034" spans="3:9" s="46" customFormat="1" x14ac:dyDescent="0.2">
      <c r="C3034" s="144"/>
      <c r="D3034" s="144"/>
      <c r="E3034" s="144"/>
      <c r="F3034" s="373"/>
      <c r="H3034" s="2168"/>
      <c r="I3034" s="70"/>
    </row>
    <row r="3035" spans="3:9" s="46" customFormat="1" x14ac:dyDescent="0.2">
      <c r="C3035" s="144"/>
      <c r="D3035" s="144"/>
      <c r="E3035" s="144"/>
      <c r="F3035" s="373"/>
      <c r="H3035" s="2168"/>
      <c r="I3035" s="70"/>
    </row>
    <row r="3036" spans="3:9" s="46" customFormat="1" x14ac:dyDescent="0.2">
      <c r="C3036" s="144"/>
      <c r="D3036" s="144"/>
      <c r="E3036" s="144"/>
      <c r="F3036" s="373"/>
      <c r="H3036" s="2168"/>
      <c r="I3036" s="70"/>
    </row>
    <row r="3037" spans="3:9" s="46" customFormat="1" x14ac:dyDescent="0.2">
      <c r="C3037" s="144"/>
      <c r="D3037" s="144"/>
      <c r="E3037" s="144"/>
      <c r="F3037" s="373"/>
      <c r="H3037" s="2168"/>
      <c r="I3037" s="70"/>
    </row>
    <row r="3038" spans="3:9" s="46" customFormat="1" x14ac:dyDescent="0.2">
      <c r="C3038" s="144"/>
      <c r="D3038" s="144"/>
      <c r="E3038" s="144"/>
      <c r="F3038" s="373"/>
      <c r="H3038" s="2168"/>
      <c r="I3038" s="70"/>
    </row>
    <row r="3039" spans="3:9" s="46" customFormat="1" x14ac:dyDescent="0.2">
      <c r="C3039" s="144"/>
      <c r="D3039" s="144"/>
      <c r="E3039" s="144"/>
      <c r="F3039" s="373"/>
      <c r="H3039" s="2168"/>
      <c r="I3039" s="70"/>
    </row>
    <row r="3040" spans="3:9" s="46" customFormat="1" x14ac:dyDescent="0.2">
      <c r="C3040" s="144"/>
      <c r="D3040" s="144"/>
      <c r="E3040" s="144"/>
      <c r="F3040" s="373"/>
      <c r="H3040" s="2168"/>
      <c r="I3040" s="70"/>
    </row>
    <row r="3041" spans="3:9" s="46" customFormat="1" x14ac:dyDescent="0.2">
      <c r="C3041" s="144"/>
      <c r="D3041" s="144"/>
      <c r="E3041" s="144"/>
      <c r="F3041" s="373"/>
      <c r="H3041" s="2168"/>
      <c r="I3041" s="70"/>
    </row>
    <row r="3042" spans="3:9" s="46" customFormat="1" x14ac:dyDescent="0.2">
      <c r="C3042" s="144"/>
      <c r="D3042" s="144"/>
      <c r="E3042" s="144"/>
      <c r="F3042" s="373"/>
      <c r="H3042" s="2168"/>
      <c r="I3042" s="70"/>
    </row>
    <row r="3043" spans="3:9" s="46" customFormat="1" x14ac:dyDescent="0.2">
      <c r="C3043" s="144"/>
      <c r="D3043" s="144"/>
      <c r="E3043" s="144"/>
      <c r="F3043" s="373"/>
      <c r="H3043" s="2168"/>
      <c r="I3043" s="70"/>
    </row>
    <row r="3044" spans="3:9" s="46" customFormat="1" x14ac:dyDescent="0.2">
      <c r="C3044" s="144"/>
      <c r="D3044" s="144"/>
      <c r="E3044" s="144"/>
      <c r="F3044" s="373"/>
      <c r="H3044" s="2168"/>
      <c r="I3044" s="70"/>
    </row>
    <row r="3045" spans="3:9" s="46" customFormat="1" x14ac:dyDescent="0.2">
      <c r="C3045" s="144"/>
      <c r="D3045" s="144"/>
      <c r="E3045" s="144"/>
      <c r="F3045" s="373"/>
      <c r="H3045" s="2168"/>
      <c r="I3045" s="70"/>
    </row>
    <row r="3046" spans="3:9" s="46" customFormat="1" x14ac:dyDescent="0.2">
      <c r="C3046" s="144"/>
      <c r="D3046" s="144"/>
      <c r="E3046" s="144"/>
      <c r="F3046" s="373"/>
      <c r="H3046" s="2168"/>
      <c r="I3046" s="70"/>
    </row>
    <row r="3047" spans="3:9" s="46" customFormat="1" x14ac:dyDescent="0.2">
      <c r="C3047" s="144"/>
      <c r="D3047" s="144"/>
      <c r="E3047" s="144"/>
      <c r="F3047" s="373"/>
      <c r="H3047" s="2168"/>
      <c r="I3047" s="70"/>
    </row>
    <row r="3048" spans="3:9" s="46" customFormat="1" x14ac:dyDescent="0.2">
      <c r="C3048" s="144"/>
      <c r="D3048" s="144"/>
      <c r="E3048" s="144"/>
      <c r="F3048" s="373"/>
      <c r="H3048" s="2168"/>
      <c r="I3048" s="70"/>
    </row>
    <row r="3049" spans="3:9" s="46" customFormat="1" x14ac:dyDescent="0.2">
      <c r="C3049" s="144"/>
      <c r="D3049" s="144"/>
      <c r="E3049" s="144"/>
      <c r="F3049" s="373"/>
      <c r="H3049" s="2168"/>
      <c r="I3049" s="70"/>
    </row>
    <row r="3050" spans="3:9" s="46" customFormat="1" x14ac:dyDescent="0.2">
      <c r="C3050" s="144"/>
      <c r="D3050" s="144"/>
      <c r="E3050" s="144"/>
      <c r="F3050" s="373"/>
      <c r="H3050" s="2168"/>
      <c r="I3050" s="70"/>
    </row>
    <row r="3051" spans="3:9" s="46" customFormat="1" x14ac:dyDescent="0.2">
      <c r="C3051" s="144"/>
      <c r="D3051" s="144"/>
      <c r="E3051" s="144"/>
      <c r="F3051" s="373"/>
      <c r="H3051" s="2168"/>
      <c r="I3051" s="70"/>
    </row>
    <row r="3052" spans="3:9" s="46" customFormat="1" x14ac:dyDescent="0.2">
      <c r="C3052" s="144"/>
      <c r="D3052" s="144"/>
      <c r="E3052" s="144"/>
      <c r="F3052" s="373"/>
      <c r="H3052" s="2168"/>
      <c r="I3052" s="70"/>
    </row>
    <row r="3053" spans="3:9" s="46" customFormat="1" x14ac:dyDescent="0.2">
      <c r="C3053" s="144"/>
      <c r="D3053" s="144"/>
      <c r="E3053" s="144"/>
      <c r="F3053" s="373"/>
      <c r="H3053" s="2168"/>
      <c r="I3053" s="70"/>
    </row>
    <row r="3054" spans="3:9" s="46" customFormat="1" x14ac:dyDescent="0.2">
      <c r="C3054" s="144"/>
      <c r="D3054" s="144"/>
      <c r="E3054" s="144"/>
      <c r="F3054" s="373"/>
      <c r="H3054" s="2168"/>
      <c r="I3054" s="70"/>
    </row>
    <row r="3055" spans="3:9" s="46" customFormat="1" x14ac:dyDescent="0.2">
      <c r="C3055" s="144"/>
      <c r="D3055" s="144"/>
      <c r="E3055" s="144"/>
      <c r="F3055" s="373"/>
      <c r="H3055" s="2168"/>
      <c r="I3055" s="70"/>
    </row>
    <row r="3056" spans="3:9" s="46" customFormat="1" x14ac:dyDescent="0.2">
      <c r="C3056" s="144"/>
      <c r="D3056" s="144"/>
      <c r="E3056" s="144"/>
      <c r="F3056" s="373"/>
      <c r="H3056" s="2168"/>
      <c r="I3056" s="70"/>
    </row>
    <row r="3057" spans="3:9" s="46" customFormat="1" x14ac:dyDescent="0.2">
      <c r="C3057" s="144"/>
      <c r="D3057" s="144"/>
      <c r="E3057" s="144"/>
      <c r="F3057" s="373"/>
      <c r="H3057" s="2168"/>
      <c r="I3057" s="70"/>
    </row>
    <row r="3058" spans="3:9" s="46" customFormat="1" x14ac:dyDescent="0.2">
      <c r="C3058" s="144"/>
      <c r="D3058" s="144"/>
      <c r="E3058" s="144"/>
      <c r="F3058" s="373"/>
      <c r="H3058" s="2168"/>
      <c r="I3058" s="70"/>
    </row>
    <row r="3059" spans="3:9" s="46" customFormat="1" x14ac:dyDescent="0.2">
      <c r="C3059" s="144"/>
      <c r="D3059" s="144"/>
      <c r="E3059" s="144"/>
      <c r="F3059" s="373"/>
      <c r="H3059" s="2168"/>
      <c r="I3059" s="70"/>
    </row>
    <row r="3060" spans="3:9" s="46" customFormat="1" x14ac:dyDescent="0.2">
      <c r="C3060" s="144"/>
      <c r="D3060" s="144"/>
      <c r="E3060" s="144"/>
      <c r="F3060" s="373"/>
      <c r="H3060" s="2168"/>
      <c r="I3060" s="70"/>
    </row>
    <row r="3061" spans="3:9" s="46" customFormat="1" x14ac:dyDescent="0.2">
      <c r="C3061" s="144"/>
      <c r="D3061" s="144"/>
      <c r="E3061" s="144"/>
      <c r="F3061" s="373"/>
      <c r="H3061" s="2168"/>
      <c r="I3061" s="70"/>
    </row>
    <row r="3062" spans="3:9" s="46" customFormat="1" x14ac:dyDescent="0.2">
      <c r="C3062" s="144"/>
      <c r="D3062" s="144"/>
      <c r="E3062" s="144"/>
      <c r="F3062" s="373"/>
      <c r="H3062" s="2168"/>
      <c r="I3062" s="70"/>
    </row>
    <row r="3063" spans="3:9" s="46" customFormat="1" x14ac:dyDescent="0.2">
      <c r="C3063" s="144"/>
      <c r="D3063" s="144"/>
      <c r="E3063" s="144"/>
      <c r="F3063" s="373"/>
      <c r="H3063" s="2168"/>
      <c r="I3063" s="70"/>
    </row>
    <row r="3064" spans="3:9" s="46" customFormat="1" x14ac:dyDescent="0.2">
      <c r="C3064" s="144"/>
      <c r="D3064" s="144"/>
      <c r="E3064" s="144"/>
      <c r="F3064" s="373"/>
      <c r="H3064" s="2168"/>
      <c r="I3064" s="70"/>
    </row>
    <row r="3065" spans="3:9" s="46" customFormat="1" x14ac:dyDescent="0.2">
      <c r="C3065" s="144"/>
      <c r="D3065" s="144"/>
      <c r="E3065" s="144"/>
      <c r="F3065" s="373"/>
      <c r="H3065" s="2168"/>
      <c r="I3065" s="70"/>
    </row>
    <row r="3066" spans="3:9" s="46" customFormat="1" x14ac:dyDescent="0.2">
      <c r="C3066" s="144"/>
      <c r="D3066" s="144"/>
      <c r="E3066" s="144"/>
      <c r="F3066" s="373"/>
      <c r="H3066" s="2168"/>
      <c r="I3066" s="70"/>
    </row>
    <row r="3067" spans="3:9" s="46" customFormat="1" x14ac:dyDescent="0.2">
      <c r="C3067" s="144"/>
      <c r="D3067" s="144"/>
      <c r="E3067" s="144"/>
      <c r="F3067" s="373"/>
      <c r="H3067" s="2168"/>
      <c r="I3067" s="70"/>
    </row>
    <row r="3068" spans="3:9" s="46" customFormat="1" x14ac:dyDescent="0.2">
      <c r="C3068" s="144"/>
      <c r="D3068" s="144"/>
      <c r="E3068" s="144"/>
      <c r="F3068" s="373"/>
      <c r="H3068" s="2168"/>
      <c r="I3068" s="70"/>
    </row>
    <row r="3069" spans="3:9" s="46" customFormat="1" x14ac:dyDescent="0.2">
      <c r="C3069" s="144"/>
      <c r="D3069" s="144"/>
      <c r="E3069" s="144"/>
      <c r="F3069" s="373"/>
      <c r="H3069" s="2168"/>
      <c r="I3069" s="70"/>
    </row>
    <row r="3070" spans="3:9" s="46" customFormat="1" x14ac:dyDescent="0.2">
      <c r="C3070" s="144"/>
      <c r="D3070" s="144"/>
      <c r="E3070" s="144"/>
      <c r="F3070" s="373"/>
      <c r="H3070" s="2168"/>
      <c r="I3070" s="70"/>
    </row>
    <row r="3071" spans="3:9" s="46" customFormat="1" x14ac:dyDescent="0.2">
      <c r="C3071" s="144"/>
      <c r="D3071" s="144"/>
      <c r="E3071" s="144"/>
      <c r="F3071" s="373"/>
      <c r="H3071" s="2168"/>
      <c r="I3071" s="70"/>
    </row>
    <row r="3072" spans="3:9" s="46" customFormat="1" x14ac:dyDescent="0.2">
      <c r="C3072" s="144"/>
      <c r="D3072" s="144"/>
      <c r="E3072" s="144"/>
      <c r="F3072" s="373"/>
      <c r="H3072" s="2168"/>
      <c r="I3072" s="70"/>
    </row>
    <row r="3073" spans="3:9" s="46" customFormat="1" x14ac:dyDescent="0.2">
      <c r="C3073" s="144"/>
      <c r="D3073" s="144"/>
      <c r="E3073" s="144"/>
      <c r="F3073" s="373"/>
      <c r="H3073" s="2168"/>
      <c r="I3073" s="70"/>
    </row>
    <row r="3074" spans="3:9" s="46" customFormat="1" x14ac:dyDescent="0.2">
      <c r="C3074" s="144"/>
      <c r="D3074" s="144"/>
      <c r="E3074" s="144"/>
      <c r="F3074" s="373"/>
      <c r="H3074" s="2168"/>
      <c r="I3074" s="70"/>
    </row>
    <row r="3075" spans="3:9" s="46" customFormat="1" x14ac:dyDescent="0.2">
      <c r="C3075" s="144"/>
      <c r="D3075" s="144"/>
      <c r="E3075" s="144"/>
      <c r="F3075" s="373"/>
      <c r="H3075" s="2168"/>
      <c r="I3075" s="70"/>
    </row>
    <row r="3076" spans="3:9" s="46" customFormat="1" x14ac:dyDescent="0.2">
      <c r="C3076" s="144"/>
      <c r="D3076" s="144"/>
      <c r="E3076" s="144"/>
      <c r="F3076" s="373"/>
      <c r="H3076" s="2168"/>
      <c r="I3076" s="70"/>
    </row>
    <row r="3077" spans="3:9" s="46" customFormat="1" x14ac:dyDescent="0.2">
      <c r="C3077" s="144"/>
      <c r="D3077" s="144"/>
      <c r="E3077" s="144"/>
      <c r="F3077" s="373"/>
      <c r="H3077" s="2168"/>
      <c r="I3077" s="70"/>
    </row>
    <row r="3078" spans="3:9" s="46" customFormat="1" x14ac:dyDescent="0.2">
      <c r="C3078" s="144"/>
      <c r="D3078" s="144"/>
      <c r="E3078" s="144"/>
      <c r="F3078" s="373"/>
      <c r="H3078" s="2168"/>
      <c r="I3078" s="70"/>
    </row>
    <row r="3079" spans="3:9" s="46" customFormat="1" x14ac:dyDescent="0.2">
      <c r="C3079" s="144"/>
      <c r="D3079" s="144"/>
      <c r="E3079" s="144"/>
      <c r="F3079" s="373"/>
      <c r="H3079" s="2168"/>
      <c r="I3079" s="70"/>
    </row>
    <row r="3080" spans="3:9" s="46" customFormat="1" x14ac:dyDescent="0.2">
      <c r="C3080" s="144"/>
      <c r="D3080" s="144"/>
      <c r="E3080" s="144"/>
      <c r="F3080" s="373"/>
      <c r="H3080" s="2168"/>
      <c r="I3080" s="70"/>
    </row>
    <row r="3081" spans="3:9" s="46" customFormat="1" x14ac:dyDescent="0.2">
      <c r="C3081" s="144"/>
      <c r="D3081" s="144"/>
      <c r="E3081" s="144"/>
      <c r="F3081" s="373"/>
      <c r="H3081" s="2168"/>
      <c r="I3081" s="70"/>
    </row>
    <row r="3082" spans="3:9" s="46" customFormat="1" x14ac:dyDescent="0.2">
      <c r="C3082" s="144"/>
      <c r="D3082" s="144"/>
      <c r="E3082" s="144"/>
      <c r="F3082" s="373"/>
      <c r="H3082" s="2168"/>
      <c r="I3082" s="70"/>
    </row>
    <row r="3083" spans="3:9" s="46" customFormat="1" x14ac:dyDescent="0.2">
      <c r="C3083" s="144"/>
      <c r="D3083" s="144"/>
      <c r="E3083" s="144"/>
      <c r="F3083" s="373"/>
      <c r="H3083" s="2168"/>
      <c r="I3083" s="70"/>
    </row>
    <row r="3084" spans="3:9" s="46" customFormat="1" x14ac:dyDescent="0.2">
      <c r="C3084" s="144"/>
      <c r="D3084" s="144"/>
      <c r="E3084" s="144"/>
      <c r="F3084" s="373"/>
      <c r="H3084" s="2168"/>
      <c r="I3084" s="70"/>
    </row>
    <row r="3085" spans="3:9" s="46" customFormat="1" x14ac:dyDescent="0.2">
      <c r="C3085" s="144"/>
      <c r="D3085" s="144"/>
      <c r="E3085" s="144"/>
      <c r="F3085" s="373"/>
      <c r="H3085" s="2168"/>
      <c r="I3085" s="70"/>
    </row>
    <row r="3086" spans="3:9" s="46" customFormat="1" x14ac:dyDescent="0.2">
      <c r="C3086" s="144"/>
      <c r="D3086" s="144"/>
      <c r="E3086" s="144"/>
      <c r="F3086" s="373"/>
      <c r="H3086" s="2168"/>
      <c r="I3086" s="70"/>
    </row>
    <row r="3087" spans="3:9" s="46" customFormat="1" x14ac:dyDescent="0.2">
      <c r="C3087" s="144"/>
      <c r="D3087" s="144"/>
      <c r="E3087" s="144"/>
      <c r="F3087" s="373"/>
      <c r="H3087" s="2168"/>
      <c r="I3087" s="70"/>
    </row>
    <row r="3088" spans="3:9" s="46" customFormat="1" x14ac:dyDescent="0.2">
      <c r="C3088" s="144"/>
      <c r="D3088" s="144"/>
      <c r="E3088" s="144"/>
      <c r="F3088" s="373"/>
      <c r="H3088" s="2168"/>
      <c r="I3088" s="70"/>
    </row>
    <row r="3089" spans="3:9" s="46" customFormat="1" x14ac:dyDescent="0.2">
      <c r="C3089" s="144"/>
      <c r="D3089" s="144"/>
      <c r="E3089" s="144"/>
      <c r="F3089" s="373"/>
      <c r="H3089" s="2168"/>
      <c r="I3089" s="70"/>
    </row>
    <row r="3090" spans="3:9" s="46" customFormat="1" x14ac:dyDescent="0.2">
      <c r="C3090" s="144"/>
      <c r="D3090" s="144"/>
      <c r="E3090" s="144"/>
      <c r="F3090" s="373"/>
      <c r="H3090" s="2168"/>
      <c r="I3090" s="70"/>
    </row>
    <row r="3091" spans="3:9" s="46" customFormat="1" x14ac:dyDescent="0.2">
      <c r="C3091" s="144"/>
      <c r="D3091" s="144"/>
      <c r="E3091" s="144"/>
      <c r="F3091" s="373"/>
      <c r="H3091" s="2168"/>
      <c r="I3091" s="70"/>
    </row>
    <row r="3092" spans="3:9" s="46" customFormat="1" x14ac:dyDescent="0.2">
      <c r="C3092" s="144"/>
      <c r="D3092" s="144"/>
      <c r="E3092" s="144"/>
      <c r="F3092" s="373"/>
      <c r="H3092" s="2168"/>
      <c r="I3092" s="70"/>
    </row>
    <row r="3093" spans="3:9" s="46" customFormat="1" x14ac:dyDescent="0.2">
      <c r="C3093" s="144"/>
      <c r="D3093" s="144"/>
      <c r="E3093" s="144"/>
      <c r="F3093" s="373"/>
      <c r="H3093" s="2168"/>
      <c r="I3093" s="70"/>
    </row>
    <row r="3094" spans="3:9" s="46" customFormat="1" x14ac:dyDescent="0.2">
      <c r="C3094" s="144"/>
      <c r="D3094" s="144"/>
      <c r="E3094" s="144"/>
      <c r="F3094" s="373"/>
      <c r="H3094" s="2168"/>
      <c r="I3094" s="70"/>
    </row>
    <row r="3095" spans="3:9" s="46" customFormat="1" x14ac:dyDescent="0.2">
      <c r="C3095" s="144"/>
      <c r="D3095" s="144"/>
      <c r="E3095" s="144"/>
      <c r="F3095" s="373"/>
      <c r="H3095" s="2168"/>
      <c r="I3095" s="70"/>
    </row>
    <row r="3096" spans="3:9" s="46" customFormat="1" x14ac:dyDescent="0.2">
      <c r="C3096" s="144"/>
      <c r="D3096" s="144"/>
      <c r="E3096" s="144"/>
      <c r="F3096" s="373"/>
      <c r="H3096" s="2168"/>
      <c r="I3096" s="70"/>
    </row>
    <row r="3097" spans="3:9" s="46" customFormat="1" x14ac:dyDescent="0.2">
      <c r="C3097" s="144"/>
      <c r="D3097" s="144"/>
      <c r="E3097" s="144"/>
      <c r="F3097" s="373"/>
      <c r="H3097" s="2168"/>
      <c r="I3097" s="70"/>
    </row>
    <row r="3098" spans="3:9" s="46" customFormat="1" x14ac:dyDescent="0.2">
      <c r="C3098" s="144"/>
      <c r="D3098" s="144"/>
      <c r="E3098" s="144"/>
      <c r="F3098" s="373"/>
      <c r="H3098" s="2168"/>
      <c r="I3098" s="70"/>
    </row>
    <row r="3099" spans="3:9" s="46" customFormat="1" x14ac:dyDescent="0.2">
      <c r="C3099" s="144"/>
      <c r="D3099" s="144"/>
      <c r="E3099" s="144"/>
      <c r="F3099" s="373"/>
      <c r="H3099" s="2168"/>
      <c r="I3099" s="70"/>
    </row>
    <row r="3100" spans="3:9" s="46" customFormat="1" x14ac:dyDescent="0.2">
      <c r="C3100" s="144"/>
      <c r="D3100" s="144"/>
      <c r="E3100" s="144"/>
      <c r="F3100" s="373"/>
      <c r="H3100" s="2168"/>
      <c r="I3100" s="70"/>
    </row>
    <row r="3101" spans="3:9" s="46" customFormat="1" x14ac:dyDescent="0.2">
      <c r="C3101" s="144"/>
      <c r="D3101" s="144"/>
      <c r="E3101" s="144"/>
      <c r="F3101" s="373"/>
      <c r="H3101" s="2168"/>
      <c r="I3101" s="70"/>
    </row>
    <row r="3102" spans="3:9" s="46" customFormat="1" x14ac:dyDescent="0.2">
      <c r="C3102" s="144"/>
      <c r="D3102" s="144"/>
      <c r="E3102" s="144"/>
      <c r="F3102" s="373"/>
      <c r="H3102" s="2168"/>
      <c r="I3102" s="70"/>
    </row>
    <row r="3103" spans="3:9" s="46" customFormat="1" x14ac:dyDescent="0.2">
      <c r="C3103" s="144"/>
      <c r="D3103" s="144"/>
      <c r="E3103" s="144"/>
      <c r="F3103" s="373"/>
      <c r="H3103" s="2168"/>
      <c r="I3103" s="70"/>
    </row>
    <row r="3104" spans="3:9" s="46" customFormat="1" x14ac:dyDescent="0.2">
      <c r="C3104" s="144"/>
      <c r="D3104" s="144"/>
      <c r="E3104" s="144"/>
      <c r="F3104" s="373"/>
      <c r="H3104" s="2168"/>
      <c r="I3104" s="70"/>
    </row>
    <row r="3105" spans="3:9" s="46" customFormat="1" x14ac:dyDescent="0.2">
      <c r="C3105" s="144"/>
      <c r="D3105" s="144"/>
      <c r="E3105" s="144"/>
      <c r="F3105" s="373"/>
      <c r="H3105" s="2168"/>
      <c r="I3105" s="70"/>
    </row>
    <row r="3106" spans="3:9" s="46" customFormat="1" x14ac:dyDescent="0.2">
      <c r="C3106" s="144"/>
      <c r="D3106" s="144"/>
      <c r="E3106" s="144"/>
      <c r="F3106" s="373"/>
      <c r="H3106" s="2168"/>
      <c r="I3106" s="70"/>
    </row>
    <row r="3107" spans="3:9" s="46" customFormat="1" x14ac:dyDescent="0.2">
      <c r="C3107" s="144"/>
      <c r="D3107" s="144"/>
      <c r="E3107" s="144"/>
      <c r="F3107" s="373"/>
      <c r="H3107" s="2168"/>
      <c r="I3107" s="70"/>
    </row>
    <row r="3108" spans="3:9" s="46" customFormat="1" x14ac:dyDescent="0.2">
      <c r="C3108" s="144"/>
      <c r="D3108" s="144"/>
      <c r="E3108" s="144"/>
      <c r="F3108" s="373"/>
      <c r="H3108" s="2168"/>
      <c r="I3108" s="70"/>
    </row>
    <row r="3109" spans="3:9" s="46" customFormat="1" x14ac:dyDescent="0.2">
      <c r="C3109" s="144"/>
      <c r="D3109" s="144"/>
      <c r="E3109" s="144"/>
      <c r="F3109" s="373"/>
      <c r="H3109" s="2168"/>
      <c r="I3109" s="70"/>
    </row>
    <row r="3110" spans="3:9" s="46" customFormat="1" x14ac:dyDescent="0.2">
      <c r="C3110" s="144"/>
      <c r="D3110" s="144"/>
      <c r="E3110" s="144"/>
      <c r="F3110" s="373"/>
      <c r="H3110" s="2168"/>
      <c r="I3110" s="70"/>
    </row>
    <row r="3111" spans="3:9" s="46" customFormat="1" x14ac:dyDescent="0.2">
      <c r="C3111" s="144"/>
      <c r="D3111" s="144"/>
      <c r="E3111" s="144"/>
      <c r="F3111" s="373"/>
      <c r="H3111" s="2168"/>
      <c r="I3111" s="70"/>
    </row>
    <row r="3112" spans="3:9" s="46" customFormat="1" x14ac:dyDescent="0.2">
      <c r="C3112" s="144"/>
      <c r="D3112" s="144"/>
      <c r="E3112" s="144"/>
      <c r="F3112" s="373"/>
      <c r="H3112" s="2168"/>
      <c r="I3112" s="70"/>
    </row>
    <row r="3113" spans="3:9" s="46" customFormat="1" x14ac:dyDescent="0.2">
      <c r="C3113" s="144"/>
      <c r="D3113" s="144"/>
      <c r="E3113" s="144"/>
      <c r="F3113" s="373"/>
      <c r="H3113" s="2168"/>
      <c r="I3113" s="70"/>
    </row>
    <row r="3114" spans="3:9" s="46" customFormat="1" x14ac:dyDescent="0.2">
      <c r="C3114" s="144"/>
      <c r="D3114" s="144"/>
      <c r="E3114" s="144"/>
      <c r="F3114" s="373"/>
      <c r="H3114" s="2168"/>
      <c r="I3114" s="70"/>
    </row>
    <row r="3115" spans="3:9" s="46" customFormat="1" x14ac:dyDescent="0.2">
      <c r="C3115" s="144"/>
      <c r="D3115" s="144"/>
      <c r="E3115" s="144"/>
      <c r="F3115" s="373"/>
      <c r="H3115" s="2168"/>
      <c r="I3115" s="70"/>
    </row>
    <row r="3116" spans="3:9" s="46" customFormat="1" x14ac:dyDescent="0.2">
      <c r="C3116" s="144"/>
      <c r="D3116" s="144"/>
      <c r="E3116" s="144"/>
      <c r="F3116" s="373"/>
      <c r="H3116" s="2168"/>
      <c r="I3116" s="70"/>
    </row>
    <row r="3117" spans="3:9" s="46" customFormat="1" x14ac:dyDescent="0.2">
      <c r="C3117" s="144"/>
      <c r="D3117" s="144"/>
      <c r="E3117" s="144"/>
      <c r="F3117" s="373"/>
      <c r="H3117" s="2168"/>
      <c r="I3117" s="70"/>
    </row>
    <row r="3118" spans="3:9" s="46" customFormat="1" x14ac:dyDescent="0.2">
      <c r="C3118" s="144"/>
      <c r="D3118" s="144"/>
      <c r="E3118" s="144"/>
      <c r="F3118" s="373"/>
      <c r="H3118" s="2168"/>
      <c r="I3118" s="70"/>
    </row>
    <row r="3119" spans="3:9" s="46" customFormat="1" x14ac:dyDescent="0.2">
      <c r="C3119" s="144"/>
      <c r="D3119" s="144"/>
      <c r="E3119" s="144"/>
      <c r="F3119" s="373"/>
      <c r="H3119" s="2168"/>
      <c r="I3119" s="70"/>
    </row>
    <row r="3120" spans="3:9" s="46" customFormat="1" x14ac:dyDescent="0.2">
      <c r="C3120" s="144"/>
      <c r="D3120" s="144"/>
      <c r="E3120" s="144"/>
      <c r="F3120" s="373"/>
      <c r="H3120" s="2168"/>
      <c r="I3120" s="70"/>
    </row>
    <row r="3121" spans="3:9" s="46" customFormat="1" x14ac:dyDescent="0.2">
      <c r="C3121" s="144"/>
      <c r="D3121" s="144"/>
      <c r="E3121" s="144"/>
      <c r="F3121" s="373"/>
      <c r="H3121" s="2168"/>
      <c r="I3121" s="70"/>
    </row>
    <row r="3122" spans="3:9" s="46" customFormat="1" x14ac:dyDescent="0.2">
      <c r="C3122" s="144"/>
      <c r="D3122" s="144"/>
      <c r="E3122" s="144"/>
      <c r="F3122" s="373"/>
      <c r="H3122" s="2168"/>
      <c r="I3122" s="70"/>
    </row>
    <row r="3123" spans="3:9" s="46" customFormat="1" x14ac:dyDescent="0.2">
      <c r="C3123" s="144"/>
      <c r="D3123" s="144"/>
      <c r="E3123" s="144"/>
      <c r="F3123" s="373"/>
      <c r="H3123" s="2168"/>
      <c r="I3123" s="70"/>
    </row>
    <row r="3124" spans="3:9" s="46" customFormat="1" x14ac:dyDescent="0.2">
      <c r="C3124" s="144"/>
      <c r="D3124" s="144"/>
      <c r="E3124" s="144"/>
      <c r="F3124" s="373"/>
      <c r="H3124" s="2168"/>
      <c r="I3124" s="70"/>
    </row>
    <row r="3125" spans="3:9" s="46" customFormat="1" x14ac:dyDescent="0.2">
      <c r="C3125" s="144"/>
      <c r="D3125" s="144"/>
      <c r="E3125" s="144"/>
      <c r="F3125" s="373"/>
      <c r="H3125" s="2168"/>
      <c r="I3125" s="70"/>
    </row>
    <row r="3126" spans="3:9" s="46" customFormat="1" x14ac:dyDescent="0.2">
      <c r="C3126" s="144"/>
      <c r="D3126" s="144"/>
      <c r="E3126" s="144"/>
      <c r="F3126" s="373"/>
      <c r="H3126" s="2168"/>
      <c r="I3126" s="70"/>
    </row>
    <row r="3127" spans="3:9" s="46" customFormat="1" x14ac:dyDescent="0.2">
      <c r="C3127" s="144"/>
      <c r="D3127" s="144"/>
      <c r="E3127" s="144"/>
      <c r="F3127" s="373"/>
      <c r="H3127" s="2168"/>
      <c r="I3127" s="70"/>
    </row>
    <row r="3128" spans="3:9" s="46" customFormat="1" x14ac:dyDescent="0.2">
      <c r="C3128" s="144"/>
      <c r="D3128" s="144"/>
      <c r="E3128" s="144"/>
      <c r="F3128" s="373"/>
      <c r="H3128" s="2168"/>
      <c r="I3128" s="70"/>
    </row>
    <row r="3129" spans="3:9" s="46" customFormat="1" x14ac:dyDescent="0.2">
      <c r="C3129" s="144"/>
      <c r="D3129" s="144"/>
      <c r="E3129" s="144"/>
      <c r="F3129" s="373"/>
      <c r="H3129" s="2168"/>
      <c r="I3129" s="70"/>
    </row>
    <row r="3130" spans="3:9" s="46" customFormat="1" x14ac:dyDescent="0.2">
      <c r="C3130" s="144"/>
      <c r="D3130" s="144"/>
      <c r="E3130" s="144"/>
      <c r="F3130" s="373"/>
      <c r="H3130" s="2168"/>
      <c r="I3130" s="70"/>
    </row>
    <row r="3131" spans="3:9" s="46" customFormat="1" x14ac:dyDescent="0.2">
      <c r="C3131" s="144"/>
      <c r="D3131" s="144"/>
      <c r="E3131" s="144"/>
      <c r="F3131" s="373"/>
      <c r="H3131" s="2168"/>
      <c r="I3131" s="70"/>
    </row>
    <row r="3132" spans="3:9" s="46" customFormat="1" x14ac:dyDescent="0.2">
      <c r="C3132" s="144"/>
      <c r="D3132" s="144"/>
      <c r="E3132" s="144"/>
      <c r="F3132" s="373"/>
      <c r="H3132" s="2168"/>
      <c r="I3132" s="70"/>
    </row>
    <row r="3133" spans="3:9" s="46" customFormat="1" x14ac:dyDescent="0.2">
      <c r="C3133" s="144"/>
      <c r="D3133" s="144"/>
      <c r="E3133" s="144"/>
      <c r="F3133" s="373"/>
      <c r="H3133" s="2168"/>
      <c r="I3133" s="70"/>
    </row>
    <row r="3134" spans="3:9" s="46" customFormat="1" x14ac:dyDescent="0.2">
      <c r="C3134" s="144"/>
      <c r="D3134" s="144"/>
      <c r="E3134" s="144"/>
      <c r="F3134" s="373"/>
      <c r="H3134" s="2168"/>
      <c r="I3134" s="70"/>
    </row>
    <row r="3135" spans="3:9" s="46" customFormat="1" x14ac:dyDescent="0.2">
      <c r="C3135" s="144"/>
      <c r="D3135" s="144"/>
      <c r="E3135" s="144"/>
      <c r="F3135" s="373"/>
      <c r="H3135" s="2168"/>
      <c r="I3135" s="70"/>
    </row>
    <row r="3136" spans="3:9" s="46" customFormat="1" x14ac:dyDescent="0.2">
      <c r="C3136" s="144"/>
      <c r="D3136" s="144"/>
      <c r="E3136" s="144"/>
      <c r="F3136" s="373"/>
      <c r="H3136" s="2168"/>
      <c r="I3136" s="70"/>
    </row>
    <row r="3137" spans="3:9" s="46" customFormat="1" x14ac:dyDescent="0.2">
      <c r="C3137" s="144"/>
      <c r="D3137" s="144"/>
      <c r="E3137" s="144"/>
      <c r="F3137" s="373"/>
      <c r="H3137" s="2168"/>
      <c r="I3137" s="70"/>
    </row>
    <row r="3138" spans="3:9" s="46" customFormat="1" x14ac:dyDescent="0.2">
      <c r="C3138" s="144"/>
      <c r="D3138" s="144"/>
      <c r="E3138" s="144"/>
      <c r="F3138" s="373"/>
      <c r="H3138" s="2168"/>
      <c r="I3138" s="70"/>
    </row>
    <row r="3139" spans="3:9" s="46" customFormat="1" x14ac:dyDescent="0.2">
      <c r="C3139" s="144"/>
      <c r="D3139" s="144"/>
      <c r="E3139" s="144"/>
      <c r="F3139" s="373"/>
      <c r="H3139" s="2168"/>
      <c r="I3139" s="70"/>
    </row>
    <row r="3140" spans="3:9" s="46" customFormat="1" x14ac:dyDescent="0.2">
      <c r="C3140" s="144"/>
      <c r="D3140" s="144"/>
      <c r="E3140" s="144"/>
      <c r="F3140" s="373"/>
      <c r="H3140" s="2168"/>
      <c r="I3140" s="70"/>
    </row>
    <row r="3141" spans="3:9" s="46" customFormat="1" x14ac:dyDescent="0.2">
      <c r="C3141" s="144"/>
      <c r="D3141" s="144"/>
      <c r="E3141" s="144"/>
      <c r="F3141" s="373"/>
      <c r="H3141" s="2168"/>
      <c r="I3141" s="70"/>
    </row>
    <row r="3142" spans="3:9" s="46" customFormat="1" x14ac:dyDescent="0.2">
      <c r="C3142" s="144"/>
      <c r="D3142" s="144"/>
      <c r="E3142" s="144"/>
      <c r="F3142" s="373"/>
      <c r="H3142" s="2168"/>
      <c r="I3142" s="70"/>
    </row>
    <row r="3143" spans="3:9" s="46" customFormat="1" x14ac:dyDescent="0.2">
      <c r="C3143" s="144"/>
      <c r="D3143" s="144"/>
      <c r="E3143" s="144"/>
      <c r="F3143" s="373"/>
      <c r="H3143" s="2168"/>
      <c r="I3143" s="70"/>
    </row>
    <row r="3144" spans="3:9" s="46" customFormat="1" x14ac:dyDescent="0.2">
      <c r="C3144" s="144"/>
      <c r="D3144" s="144"/>
      <c r="E3144" s="144"/>
      <c r="F3144" s="373"/>
      <c r="H3144" s="2168"/>
      <c r="I3144" s="70"/>
    </row>
    <row r="3145" spans="3:9" s="46" customFormat="1" x14ac:dyDescent="0.2">
      <c r="C3145" s="144"/>
      <c r="D3145" s="144"/>
      <c r="E3145" s="144"/>
      <c r="F3145" s="373"/>
      <c r="H3145" s="2168"/>
      <c r="I3145" s="70"/>
    </row>
    <row r="3146" spans="3:9" s="46" customFormat="1" x14ac:dyDescent="0.2">
      <c r="C3146" s="144"/>
      <c r="D3146" s="144"/>
      <c r="E3146" s="144"/>
      <c r="F3146" s="373"/>
      <c r="H3146" s="2168"/>
      <c r="I3146" s="70"/>
    </row>
    <row r="3147" spans="3:9" s="46" customFormat="1" x14ac:dyDescent="0.2">
      <c r="C3147" s="144"/>
      <c r="D3147" s="144"/>
      <c r="E3147" s="144"/>
      <c r="F3147" s="373"/>
      <c r="H3147" s="2168"/>
      <c r="I3147" s="70"/>
    </row>
    <row r="3148" spans="3:9" s="46" customFormat="1" x14ac:dyDescent="0.2">
      <c r="C3148" s="144"/>
      <c r="D3148" s="144"/>
      <c r="E3148" s="144"/>
      <c r="F3148" s="373"/>
      <c r="H3148" s="2168"/>
      <c r="I3148" s="70"/>
    </row>
    <row r="3149" spans="3:9" s="46" customFormat="1" x14ac:dyDescent="0.2">
      <c r="C3149" s="144"/>
      <c r="D3149" s="144"/>
      <c r="E3149" s="144"/>
      <c r="F3149" s="373"/>
      <c r="H3149" s="2168"/>
      <c r="I3149" s="70"/>
    </row>
    <row r="3150" spans="3:9" s="46" customFormat="1" x14ac:dyDescent="0.2">
      <c r="C3150" s="144"/>
      <c r="D3150" s="144"/>
      <c r="E3150" s="144"/>
      <c r="F3150" s="373"/>
      <c r="H3150" s="2168"/>
      <c r="I3150" s="70"/>
    </row>
    <row r="3151" spans="3:9" s="46" customFormat="1" x14ac:dyDescent="0.2">
      <c r="C3151" s="144"/>
      <c r="D3151" s="144"/>
      <c r="E3151" s="144"/>
      <c r="F3151" s="373"/>
      <c r="H3151" s="2168"/>
      <c r="I3151" s="70"/>
    </row>
    <row r="3152" spans="3:9" s="46" customFormat="1" x14ac:dyDescent="0.2">
      <c r="C3152" s="144"/>
      <c r="D3152" s="144"/>
      <c r="E3152" s="144"/>
      <c r="F3152" s="373"/>
      <c r="H3152" s="2168"/>
      <c r="I3152" s="70"/>
    </row>
    <row r="3153" spans="3:9" s="46" customFormat="1" x14ac:dyDescent="0.2">
      <c r="C3153" s="144"/>
      <c r="D3153" s="144"/>
      <c r="E3153" s="144"/>
      <c r="F3153" s="373"/>
      <c r="H3153" s="2168"/>
      <c r="I3153" s="70"/>
    </row>
    <row r="3154" spans="3:9" s="46" customFormat="1" x14ac:dyDescent="0.2">
      <c r="C3154" s="144"/>
      <c r="D3154" s="144"/>
      <c r="E3154" s="144"/>
      <c r="F3154" s="373"/>
      <c r="H3154" s="2168"/>
      <c r="I3154" s="70"/>
    </row>
    <row r="3155" spans="3:9" s="46" customFormat="1" x14ac:dyDescent="0.2">
      <c r="C3155" s="144"/>
      <c r="D3155" s="144"/>
      <c r="E3155" s="144"/>
      <c r="F3155" s="373"/>
      <c r="H3155" s="2168"/>
      <c r="I3155" s="70"/>
    </row>
    <row r="3156" spans="3:9" s="46" customFormat="1" x14ac:dyDescent="0.2">
      <c r="C3156" s="144"/>
      <c r="D3156" s="144"/>
      <c r="E3156" s="144"/>
      <c r="F3156" s="373"/>
      <c r="H3156" s="2168"/>
      <c r="I3156" s="70"/>
    </row>
    <row r="3157" spans="3:9" s="46" customFormat="1" x14ac:dyDescent="0.2">
      <c r="C3157" s="144"/>
      <c r="D3157" s="144"/>
      <c r="E3157" s="144"/>
      <c r="F3157" s="373"/>
      <c r="H3157" s="2168"/>
      <c r="I3157" s="70"/>
    </row>
    <row r="3158" spans="3:9" s="46" customFormat="1" x14ac:dyDescent="0.2">
      <c r="C3158" s="144"/>
      <c r="D3158" s="144"/>
      <c r="E3158" s="144"/>
      <c r="F3158" s="373"/>
      <c r="H3158" s="2168"/>
      <c r="I3158" s="70"/>
    </row>
    <row r="3159" spans="3:9" s="46" customFormat="1" x14ac:dyDescent="0.2">
      <c r="C3159" s="144"/>
      <c r="D3159" s="144"/>
      <c r="E3159" s="144"/>
      <c r="F3159" s="373"/>
      <c r="H3159" s="2168"/>
      <c r="I3159" s="70"/>
    </row>
    <row r="3160" spans="3:9" s="46" customFormat="1" x14ac:dyDescent="0.2">
      <c r="C3160" s="144"/>
      <c r="D3160" s="144"/>
      <c r="E3160" s="144"/>
      <c r="F3160" s="373"/>
      <c r="H3160" s="2168"/>
      <c r="I3160" s="70"/>
    </row>
    <row r="3161" spans="3:9" s="46" customFormat="1" x14ac:dyDescent="0.2">
      <c r="C3161" s="144"/>
      <c r="D3161" s="144"/>
      <c r="E3161" s="144"/>
      <c r="F3161" s="373"/>
      <c r="H3161" s="2168"/>
      <c r="I3161" s="70"/>
    </row>
    <row r="3162" spans="3:9" s="46" customFormat="1" x14ac:dyDescent="0.2">
      <c r="C3162" s="144"/>
      <c r="D3162" s="144"/>
      <c r="E3162" s="144"/>
      <c r="F3162" s="373"/>
      <c r="H3162" s="2168"/>
      <c r="I3162" s="70"/>
    </row>
    <row r="3163" spans="3:9" s="46" customFormat="1" x14ac:dyDescent="0.2">
      <c r="C3163" s="144"/>
      <c r="D3163" s="144"/>
      <c r="E3163" s="144"/>
      <c r="F3163" s="373"/>
      <c r="H3163" s="2168"/>
      <c r="I3163" s="70"/>
    </row>
    <row r="3164" spans="3:9" s="46" customFormat="1" x14ac:dyDescent="0.2">
      <c r="C3164" s="144"/>
      <c r="D3164" s="144"/>
      <c r="E3164" s="144"/>
      <c r="F3164" s="373"/>
      <c r="H3164" s="2168"/>
      <c r="I3164" s="70"/>
    </row>
    <row r="3165" spans="3:9" s="46" customFormat="1" x14ac:dyDescent="0.2">
      <c r="C3165" s="144"/>
      <c r="D3165" s="144"/>
      <c r="E3165" s="144"/>
      <c r="F3165" s="373"/>
      <c r="H3165" s="2168"/>
      <c r="I3165" s="70"/>
    </row>
    <row r="3166" spans="3:9" s="46" customFormat="1" x14ac:dyDescent="0.2">
      <c r="C3166" s="144"/>
      <c r="D3166" s="144"/>
      <c r="E3166" s="144"/>
      <c r="F3166" s="373"/>
      <c r="H3166" s="2168"/>
      <c r="I3166" s="70"/>
    </row>
    <row r="3167" spans="3:9" s="46" customFormat="1" x14ac:dyDescent="0.2">
      <c r="C3167" s="144"/>
      <c r="D3167" s="144"/>
      <c r="E3167" s="144"/>
      <c r="F3167" s="373"/>
      <c r="H3167" s="2168"/>
      <c r="I3167" s="70"/>
    </row>
    <row r="3168" spans="3:9" s="46" customFormat="1" x14ac:dyDescent="0.2">
      <c r="C3168" s="144"/>
      <c r="D3168" s="144"/>
      <c r="E3168" s="144"/>
      <c r="F3168" s="373"/>
      <c r="H3168" s="2168"/>
      <c r="I3168" s="70"/>
    </row>
    <row r="3169" spans="3:9" s="46" customFormat="1" x14ac:dyDescent="0.2">
      <c r="C3169" s="144"/>
      <c r="D3169" s="144"/>
      <c r="E3169" s="144"/>
      <c r="F3169" s="373"/>
      <c r="H3169" s="2168"/>
      <c r="I3169" s="70"/>
    </row>
    <row r="3170" spans="3:9" s="46" customFormat="1" x14ac:dyDescent="0.2">
      <c r="C3170" s="144"/>
      <c r="D3170" s="144"/>
      <c r="E3170" s="144"/>
      <c r="F3170" s="373"/>
      <c r="H3170" s="2168"/>
      <c r="I3170" s="70"/>
    </row>
    <row r="3171" spans="3:9" s="46" customFormat="1" x14ac:dyDescent="0.2">
      <c r="C3171" s="144"/>
      <c r="D3171" s="144"/>
      <c r="E3171" s="144"/>
      <c r="F3171" s="373"/>
      <c r="H3171" s="2168"/>
      <c r="I3171" s="70"/>
    </row>
    <row r="3172" spans="3:9" s="46" customFormat="1" x14ac:dyDescent="0.2">
      <c r="C3172" s="144"/>
      <c r="D3172" s="144"/>
      <c r="E3172" s="144"/>
      <c r="F3172" s="373"/>
      <c r="H3172" s="2168"/>
      <c r="I3172" s="70"/>
    </row>
    <row r="3173" spans="3:9" s="46" customFormat="1" x14ac:dyDescent="0.2">
      <c r="C3173" s="144"/>
      <c r="D3173" s="144"/>
      <c r="E3173" s="144"/>
      <c r="F3173" s="373"/>
      <c r="H3173" s="2168"/>
      <c r="I3173" s="70"/>
    </row>
    <row r="3174" spans="3:9" s="46" customFormat="1" x14ac:dyDescent="0.2">
      <c r="C3174" s="144"/>
      <c r="D3174" s="144"/>
      <c r="E3174" s="144"/>
      <c r="F3174" s="373"/>
      <c r="H3174" s="2168"/>
      <c r="I3174" s="70"/>
    </row>
    <row r="3175" spans="3:9" s="46" customFormat="1" x14ac:dyDescent="0.2">
      <c r="C3175" s="144"/>
      <c r="D3175" s="144"/>
      <c r="E3175" s="144"/>
      <c r="F3175" s="373"/>
      <c r="H3175" s="2168"/>
      <c r="I3175" s="70"/>
    </row>
    <row r="3176" spans="3:9" s="46" customFormat="1" x14ac:dyDescent="0.2">
      <c r="C3176" s="144"/>
      <c r="D3176" s="144"/>
      <c r="E3176" s="144"/>
      <c r="F3176" s="373"/>
      <c r="H3176" s="2168"/>
      <c r="I3176" s="70"/>
    </row>
    <row r="3177" spans="3:9" s="46" customFormat="1" x14ac:dyDescent="0.2">
      <c r="C3177" s="144"/>
      <c r="D3177" s="144"/>
      <c r="E3177" s="144"/>
      <c r="F3177" s="373"/>
      <c r="H3177" s="2168"/>
      <c r="I3177" s="70"/>
    </row>
    <row r="3178" spans="3:9" s="46" customFormat="1" x14ac:dyDescent="0.2">
      <c r="C3178" s="144"/>
      <c r="D3178" s="144"/>
      <c r="E3178" s="144"/>
      <c r="F3178" s="373"/>
      <c r="H3178" s="2168"/>
      <c r="I3178" s="70"/>
    </row>
    <row r="3179" spans="3:9" s="46" customFormat="1" x14ac:dyDescent="0.2">
      <c r="C3179" s="144"/>
      <c r="D3179" s="144"/>
      <c r="E3179" s="144"/>
      <c r="F3179" s="373"/>
      <c r="H3179" s="2168"/>
      <c r="I3179" s="70"/>
    </row>
    <row r="3180" spans="3:9" s="46" customFormat="1" x14ac:dyDescent="0.2">
      <c r="C3180" s="144"/>
      <c r="D3180" s="144"/>
      <c r="E3180" s="144"/>
      <c r="F3180" s="373"/>
      <c r="H3180" s="2168"/>
      <c r="I3180" s="70"/>
    </row>
    <row r="3181" spans="3:9" s="46" customFormat="1" x14ac:dyDescent="0.2">
      <c r="C3181" s="144"/>
      <c r="D3181" s="144"/>
      <c r="E3181" s="144"/>
      <c r="F3181" s="373"/>
      <c r="H3181" s="2168"/>
      <c r="I3181" s="70"/>
    </row>
    <row r="3182" spans="3:9" s="46" customFormat="1" x14ac:dyDescent="0.2">
      <c r="C3182" s="144"/>
      <c r="D3182" s="144"/>
      <c r="E3182" s="144"/>
      <c r="F3182" s="373"/>
      <c r="H3182" s="2168"/>
      <c r="I3182" s="70"/>
    </row>
    <row r="3183" spans="3:9" s="46" customFormat="1" x14ac:dyDescent="0.2">
      <c r="C3183" s="144"/>
      <c r="D3183" s="144"/>
      <c r="E3183" s="144"/>
      <c r="F3183" s="373"/>
      <c r="H3183" s="2168"/>
      <c r="I3183" s="70"/>
    </row>
    <row r="3184" spans="3:9" s="46" customFormat="1" x14ac:dyDescent="0.2">
      <c r="C3184" s="144"/>
      <c r="D3184" s="144"/>
      <c r="E3184" s="144"/>
      <c r="F3184" s="373"/>
      <c r="H3184" s="2168"/>
      <c r="I3184" s="70"/>
    </row>
    <row r="3185" spans="3:9" s="46" customFormat="1" x14ac:dyDescent="0.2">
      <c r="C3185" s="144"/>
      <c r="D3185" s="144"/>
      <c r="E3185" s="144"/>
      <c r="F3185" s="373"/>
      <c r="H3185" s="2168"/>
      <c r="I3185" s="70"/>
    </row>
    <row r="3186" spans="3:9" s="46" customFormat="1" x14ac:dyDescent="0.2">
      <c r="C3186" s="144"/>
      <c r="D3186" s="144"/>
      <c r="E3186" s="144"/>
      <c r="F3186" s="373"/>
      <c r="H3186" s="2168"/>
      <c r="I3186" s="70"/>
    </row>
    <row r="3187" spans="3:9" s="46" customFormat="1" x14ac:dyDescent="0.2">
      <c r="C3187" s="144"/>
      <c r="D3187" s="144"/>
      <c r="E3187" s="144"/>
      <c r="F3187" s="373"/>
      <c r="H3187" s="2168"/>
      <c r="I3187" s="70"/>
    </row>
    <row r="3188" spans="3:9" s="46" customFormat="1" x14ac:dyDescent="0.2">
      <c r="C3188" s="144"/>
      <c r="D3188" s="144"/>
      <c r="E3188" s="144"/>
      <c r="F3188" s="373"/>
      <c r="H3188" s="2168"/>
      <c r="I3188" s="70"/>
    </row>
    <row r="3189" spans="3:9" s="46" customFormat="1" x14ac:dyDescent="0.2">
      <c r="C3189" s="144"/>
      <c r="D3189" s="144"/>
      <c r="E3189" s="144"/>
      <c r="F3189" s="373"/>
      <c r="H3189" s="2168"/>
      <c r="I3189" s="70"/>
    </row>
    <row r="3190" spans="3:9" s="46" customFormat="1" x14ac:dyDescent="0.2">
      <c r="C3190" s="144"/>
      <c r="D3190" s="144"/>
      <c r="E3190" s="144"/>
      <c r="F3190" s="373"/>
      <c r="H3190" s="2168"/>
      <c r="I3190" s="70"/>
    </row>
    <row r="3191" spans="3:9" s="46" customFormat="1" x14ac:dyDescent="0.2">
      <c r="C3191" s="144"/>
      <c r="D3191" s="144"/>
      <c r="E3191" s="144"/>
      <c r="F3191" s="373"/>
      <c r="H3191" s="2168"/>
      <c r="I3191" s="70"/>
    </row>
    <row r="3192" spans="3:9" s="46" customFormat="1" x14ac:dyDescent="0.2">
      <c r="C3192" s="144"/>
      <c r="D3192" s="144"/>
      <c r="E3192" s="144"/>
      <c r="F3192" s="373"/>
      <c r="H3192" s="2168"/>
      <c r="I3192" s="70"/>
    </row>
    <row r="3193" spans="3:9" s="46" customFormat="1" x14ac:dyDescent="0.2">
      <c r="C3193" s="144"/>
      <c r="D3193" s="144"/>
      <c r="E3193" s="144"/>
      <c r="F3193" s="373"/>
      <c r="H3193" s="2168"/>
      <c r="I3193" s="70"/>
    </row>
    <row r="3194" spans="3:9" s="46" customFormat="1" x14ac:dyDescent="0.2">
      <c r="C3194" s="144"/>
      <c r="D3194" s="144"/>
      <c r="E3194" s="144"/>
      <c r="F3194" s="373"/>
      <c r="H3194" s="2168"/>
      <c r="I3194" s="70"/>
    </row>
    <row r="3195" spans="3:9" s="46" customFormat="1" x14ac:dyDescent="0.2">
      <c r="C3195" s="144"/>
      <c r="D3195" s="144"/>
      <c r="E3195" s="144"/>
      <c r="F3195" s="373"/>
      <c r="H3195" s="2168"/>
      <c r="I3195" s="70"/>
    </row>
    <row r="3196" spans="3:9" s="46" customFormat="1" x14ac:dyDescent="0.2">
      <c r="C3196" s="144"/>
      <c r="D3196" s="144"/>
      <c r="E3196" s="144"/>
      <c r="F3196" s="373"/>
      <c r="H3196" s="2168"/>
      <c r="I3196" s="70"/>
    </row>
    <row r="3197" spans="3:9" s="46" customFormat="1" x14ac:dyDescent="0.2">
      <c r="C3197" s="144"/>
      <c r="D3197" s="144"/>
      <c r="E3197" s="144"/>
      <c r="F3197" s="373"/>
      <c r="H3197" s="2168"/>
      <c r="I3197" s="70"/>
    </row>
    <row r="3198" spans="3:9" s="46" customFormat="1" x14ac:dyDescent="0.2">
      <c r="C3198" s="144"/>
      <c r="D3198" s="144"/>
      <c r="E3198" s="144"/>
      <c r="F3198" s="373"/>
      <c r="H3198" s="2168"/>
      <c r="I3198" s="70"/>
    </row>
    <row r="3199" spans="3:9" s="46" customFormat="1" x14ac:dyDescent="0.2">
      <c r="C3199" s="144"/>
      <c r="D3199" s="144"/>
      <c r="E3199" s="144"/>
      <c r="F3199" s="373"/>
      <c r="H3199" s="2168"/>
      <c r="I3199" s="70"/>
    </row>
    <row r="3200" spans="3:9" s="46" customFormat="1" x14ac:dyDescent="0.2">
      <c r="C3200" s="144"/>
      <c r="D3200" s="144"/>
      <c r="E3200" s="144"/>
      <c r="F3200" s="373"/>
      <c r="H3200" s="2168"/>
      <c r="I3200" s="70"/>
    </row>
    <row r="3201" spans="3:9" s="46" customFormat="1" x14ac:dyDescent="0.2">
      <c r="C3201" s="144"/>
      <c r="D3201" s="144"/>
      <c r="E3201" s="144"/>
      <c r="F3201" s="373"/>
      <c r="H3201" s="2168"/>
      <c r="I3201" s="70"/>
    </row>
    <row r="3202" spans="3:9" s="46" customFormat="1" x14ac:dyDescent="0.2">
      <c r="C3202" s="144"/>
      <c r="D3202" s="144"/>
      <c r="E3202" s="144"/>
      <c r="F3202" s="373"/>
      <c r="H3202" s="2168"/>
      <c r="I3202" s="70"/>
    </row>
    <row r="3203" spans="3:9" s="46" customFormat="1" x14ac:dyDescent="0.2">
      <c r="C3203" s="144"/>
      <c r="D3203" s="144"/>
      <c r="E3203" s="144"/>
      <c r="F3203" s="373"/>
      <c r="H3203" s="2168"/>
      <c r="I3203" s="70"/>
    </row>
    <row r="3204" spans="3:9" s="46" customFormat="1" x14ac:dyDescent="0.2">
      <c r="C3204" s="144"/>
      <c r="D3204" s="144"/>
      <c r="E3204" s="144"/>
      <c r="F3204" s="373"/>
      <c r="H3204" s="2168"/>
      <c r="I3204" s="70"/>
    </row>
    <row r="3205" spans="3:9" s="46" customFormat="1" x14ac:dyDescent="0.2">
      <c r="C3205" s="144"/>
      <c r="D3205" s="144"/>
      <c r="E3205" s="144"/>
      <c r="F3205" s="373"/>
      <c r="H3205" s="2168"/>
      <c r="I3205" s="70"/>
    </row>
    <row r="3206" spans="3:9" s="46" customFormat="1" x14ac:dyDescent="0.2">
      <c r="C3206" s="144"/>
      <c r="D3206" s="144"/>
      <c r="E3206" s="144"/>
      <c r="F3206" s="373"/>
      <c r="H3206" s="2168"/>
      <c r="I3206" s="70"/>
    </row>
    <row r="3207" spans="3:9" s="46" customFormat="1" x14ac:dyDescent="0.2">
      <c r="C3207" s="144"/>
      <c r="D3207" s="144"/>
      <c r="E3207" s="144"/>
      <c r="F3207" s="373"/>
      <c r="H3207" s="2168"/>
      <c r="I3207" s="70"/>
    </row>
    <row r="3208" spans="3:9" s="46" customFormat="1" x14ac:dyDescent="0.2">
      <c r="C3208" s="144"/>
      <c r="D3208" s="144"/>
      <c r="E3208" s="144"/>
      <c r="F3208" s="373"/>
      <c r="H3208" s="2168"/>
      <c r="I3208" s="70"/>
    </row>
    <row r="3209" spans="3:9" s="46" customFormat="1" x14ac:dyDescent="0.2">
      <c r="C3209" s="144"/>
      <c r="D3209" s="144"/>
      <c r="E3209" s="144"/>
      <c r="F3209" s="373"/>
      <c r="H3209" s="2168"/>
      <c r="I3209" s="70"/>
    </row>
    <row r="3210" spans="3:9" s="46" customFormat="1" x14ac:dyDescent="0.2">
      <c r="C3210" s="144"/>
      <c r="D3210" s="144"/>
      <c r="E3210" s="144"/>
      <c r="F3210" s="373"/>
      <c r="H3210" s="2168"/>
      <c r="I3210" s="70"/>
    </row>
    <row r="3211" spans="3:9" s="46" customFormat="1" x14ac:dyDescent="0.2">
      <c r="C3211" s="144"/>
      <c r="D3211" s="144"/>
      <c r="E3211" s="144"/>
      <c r="F3211" s="373"/>
      <c r="H3211" s="2168"/>
      <c r="I3211" s="70"/>
    </row>
    <row r="3212" spans="3:9" s="46" customFormat="1" x14ac:dyDescent="0.2">
      <c r="C3212" s="144"/>
      <c r="D3212" s="144"/>
      <c r="E3212" s="144"/>
      <c r="F3212" s="373"/>
      <c r="H3212" s="2168"/>
      <c r="I3212" s="70"/>
    </row>
    <row r="3213" spans="3:9" s="46" customFormat="1" x14ac:dyDescent="0.2">
      <c r="C3213" s="144"/>
      <c r="D3213" s="144"/>
      <c r="E3213" s="144"/>
      <c r="F3213" s="373"/>
      <c r="H3213" s="2168"/>
      <c r="I3213" s="70"/>
    </row>
    <row r="3214" spans="3:9" s="46" customFormat="1" x14ac:dyDescent="0.2">
      <c r="C3214" s="144"/>
      <c r="D3214" s="144"/>
      <c r="E3214" s="144"/>
      <c r="F3214" s="373"/>
      <c r="H3214" s="2168"/>
      <c r="I3214" s="70"/>
    </row>
    <row r="3215" spans="3:9" s="46" customFormat="1" x14ac:dyDescent="0.2">
      <c r="C3215" s="144"/>
      <c r="D3215" s="144"/>
      <c r="E3215" s="144"/>
      <c r="F3215" s="373"/>
      <c r="H3215" s="2168"/>
      <c r="I3215" s="70"/>
    </row>
    <row r="3216" spans="3:9" s="46" customFormat="1" x14ac:dyDescent="0.2">
      <c r="C3216" s="144"/>
      <c r="D3216" s="144"/>
      <c r="E3216" s="144"/>
      <c r="F3216" s="373"/>
      <c r="H3216" s="2168"/>
      <c r="I3216" s="70"/>
    </row>
    <row r="3217" spans="3:9" s="46" customFormat="1" x14ac:dyDescent="0.2">
      <c r="C3217" s="144"/>
      <c r="D3217" s="144"/>
      <c r="E3217" s="144"/>
      <c r="F3217" s="373"/>
      <c r="H3217" s="2168"/>
      <c r="I3217" s="70"/>
    </row>
    <row r="3218" spans="3:9" s="46" customFormat="1" x14ac:dyDescent="0.2">
      <c r="C3218" s="144"/>
      <c r="D3218" s="144"/>
      <c r="E3218" s="144"/>
      <c r="F3218" s="373"/>
      <c r="H3218" s="2168"/>
      <c r="I3218" s="70"/>
    </row>
    <row r="3219" spans="3:9" s="46" customFormat="1" x14ac:dyDescent="0.2">
      <c r="C3219" s="144"/>
      <c r="D3219" s="144"/>
      <c r="E3219" s="144"/>
      <c r="F3219" s="373"/>
      <c r="H3219" s="2168"/>
      <c r="I3219" s="70"/>
    </row>
    <row r="3220" spans="3:9" s="46" customFormat="1" x14ac:dyDescent="0.2">
      <c r="C3220" s="144"/>
      <c r="D3220" s="144"/>
      <c r="E3220" s="144"/>
      <c r="F3220" s="373"/>
      <c r="H3220" s="2168"/>
      <c r="I3220" s="70"/>
    </row>
    <row r="3221" spans="3:9" s="46" customFormat="1" x14ac:dyDescent="0.2">
      <c r="C3221" s="144"/>
      <c r="D3221" s="144"/>
      <c r="E3221" s="144"/>
      <c r="F3221" s="373"/>
      <c r="H3221" s="2168"/>
      <c r="I3221" s="70"/>
    </row>
    <row r="3222" spans="3:9" s="46" customFormat="1" x14ac:dyDescent="0.2">
      <c r="C3222" s="144"/>
      <c r="D3222" s="144"/>
      <c r="E3222" s="144"/>
      <c r="F3222" s="373"/>
      <c r="H3222" s="2168"/>
      <c r="I3222" s="70"/>
    </row>
    <row r="3223" spans="3:9" s="46" customFormat="1" x14ac:dyDescent="0.2">
      <c r="C3223" s="144"/>
      <c r="D3223" s="144"/>
      <c r="E3223" s="144"/>
      <c r="F3223" s="373"/>
      <c r="H3223" s="2168"/>
      <c r="I3223" s="70"/>
    </row>
    <row r="3224" spans="3:9" s="46" customFormat="1" x14ac:dyDescent="0.2">
      <c r="C3224" s="144"/>
      <c r="D3224" s="144"/>
      <c r="E3224" s="144"/>
      <c r="F3224" s="373"/>
      <c r="H3224" s="2168"/>
      <c r="I3224" s="70"/>
    </row>
    <row r="3225" spans="3:9" s="46" customFormat="1" x14ac:dyDescent="0.2">
      <c r="C3225" s="144"/>
      <c r="D3225" s="144"/>
      <c r="E3225" s="144"/>
      <c r="F3225" s="373"/>
      <c r="H3225" s="2168"/>
      <c r="I3225" s="70"/>
    </row>
    <row r="3226" spans="3:9" s="46" customFormat="1" x14ac:dyDescent="0.2">
      <c r="C3226" s="144"/>
      <c r="D3226" s="144"/>
      <c r="E3226" s="144"/>
      <c r="F3226" s="373"/>
      <c r="H3226" s="2168"/>
      <c r="I3226" s="70"/>
    </row>
    <row r="3227" spans="3:9" s="46" customFormat="1" x14ac:dyDescent="0.2">
      <c r="C3227" s="144"/>
      <c r="D3227" s="144"/>
      <c r="E3227" s="144"/>
      <c r="F3227" s="373"/>
      <c r="H3227" s="2168"/>
      <c r="I3227" s="70"/>
    </row>
    <row r="3228" spans="3:9" s="46" customFormat="1" x14ac:dyDescent="0.2">
      <c r="C3228" s="144"/>
      <c r="D3228" s="144"/>
      <c r="E3228" s="144"/>
      <c r="F3228" s="373"/>
      <c r="H3228" s="2168"/>
      <c r="I3228" s="70"/>
    </row>
    <row r="3229" spans="3:9" s="46" customFormat="1" x14ac:dyDescent="0.2">
      <c r="C3229" s="144"/>
      <c r="D3229" s="144"/>
      <c r="E3229" s="144"/>
      <c r="F3229" s="373"/>
      <c r="H3229" s="2168"/>
      <c r="I3229" s="70"/>
    </row>
    <row r="3230" spans="3:9" s="46" customFormat="1" x14ac:dyDescent="0.2">
      <c r="C3230" s="144"/>
      <c r="D3230" s="144"/>
      <c r="E3230" s="144"/>
      <c r="F3230" s="373"/>
      <c r="H3230" s="2168"/>
      <c r="I3230" s="70"/>
    </row>
    <row r="3231" spans="3:9" s="46" customFormat="1" x14ac:dyDescent="0.2">
      <c r="C3231" s="144"/>
      <c r="D3231" s="144"/>
      <c r="E3231" s="144"/>
      <c r="F3231" s="373"/>
      <c r="H3231" s="2168"/>
      <c r="I3231" s="70"/>
    </row>
    <row r="3232" spans="3:9" s="46" customFormat="1" x14ac:dyDescent="0.2">
      <c r="C3232" s="144"/>
      <c r="D3232" s="144"/>
      <c r="E3232" s="144"/>
      <c r="F3232" s="373"/>
      <c r="H3232" s="2168"/>
      <c r="I3232" s="70"/>
    </row>
    <row r="3233" spans="3:9" s="46" customFormat="1" x14ac:dyDescent="0.2">
      <c r="C3233" s="144"/>
      <c r="D3233" s="144"/>
      <c r="E3233" s="144"/>
      <c r="F3233" s="373"/>
      <c r="H3233" s="2168"/>
      <c r="I3233" s="70"/>
    </row>
    <row r="3234" spans="3:9" s="46" customFormat="1" x14ac:dyDescent="0.2">
      <c r="C3234" s="144"/>
      <c r="D3234" s="144"/>
      <c r="E3234" s="144"/>
      <c r="F3234" s="373"/>
      <c r="H3234" s="2168"/>
      <c r="I3234" s="70"/>
    </row>
    <row r="3235" spans="3:9" s="46" customFormat="1" x14ac:dyDescent="0.2">
      <c r="C3235" s="144"/>
      <c r="D3235" s="144"/>
      <c r="E3235" s="144"/>
      <c r="F3235" s="373"/>
      <c r="H3235" s="2168"/>
      <c r="I3235" s="70"/>
    </row>
    <row r="3236" spans="3:9" s="46" customFormat="1" x14ac:dyDescent="0.2">
      <c r="C3236" s="144"/>
      <c r="D3236" s="144"/>
      <c r="E3236" s="144"/>
      <c r="F3236" s="373"/>
      <c r="H3236" s="2168"/>
      <c r="I3236" s="70"/>
    </row>
    <row r="3237" spans="3:9" s="46" customFormat="1" x14ac:dyDescent="0.2">
      <c r="C3237" s="144"/>
      <c r="D3237" s="144"/>
      <c r="E3237" s="144"/>
      <c r="F3237" s="373"/>
      <c r="H3237" s="2168"/>
      <c r="I3237" s="70"/>
    </row>
    <row r="3238" spans="3:9" s="46" customFormat="1" x14ac:dyDescent="0.2">
      <c r="C3238" s="144"/>
      <c r="D3238" s="144"/>
      <c r="E3238" s="144"/>
      <c r="F3238" s="373"/>
      <c r="H3238" s="2168"/>
      <c r="I3238" s="70"/>
    </row>
    <row r="3239" spans="3:9" s="46" customFormat="1" x14ac:dyDescent="0.2">
      <c r="C3239" s="144"/>
      <c r="D3239" s="144"/>
      <c r="E3239" s="144"/>
      <c r="F3239" s="373"/>
      <c r="H3239" s="2168"/>
      <c r="I3239" s="70"/>
    </row>
    <row r="3240" spans="3:9" s="46" customFormat="1" x14ac:dyDescent="0.2">
      <c r="C3240" s="144"/>
      <c r="D3240" s="144"/>
      <c r="E3240" s="144"/>
      <c r="F3240" s="373"/>
      <c r="H3240" s="2168"/>
      <c r="I3240" s="70"/>
    </row>
    <row r="3241" spans="3:9" s="46" customFormat="1" x14ac:dyDescent="0.2">
      <c r="C3241" s="144"/>
      <c r="D3241" s="144"/>
      <c r="E3241" s="144"/>
      <c r="F3241" s="373"/>
      <c r="H3241" s="2168"/>
      <c r="I3241" s="70"/>
    </row>
    <row r="3242" spans="3:9" s="46" customFormat="1" x14ac:dyDescent="0.2">
      <c r="C3242" s="144"/>
      <c r="D3242" s="144"/>
      <c r="E3242" s="144"/>
      <c r="F3242" s="373"/>
      <c r="H3242" s="2168"/>
      <c r="I3242" s="70"/>
    </row>
    <row r="3243" spans="3:9" s="46" customFormat="1" x14ac:dyDescent="0.2">
      <c r="C3243" s="144"/>
      <c r="D3243" s="144"/>
      <c r="E3243" s="144"/>
      <c r="F3243" s="373"/>
      <c r="H3243" s="2168"/>
      <c r="I3243" s="70"/>
    </row>
    <row r="3244" spans="3:9" s="46" customFormat="1" x14ac:dyDescent="0.2">
      <c r="C3244" s="144"/>
      <c r="D3244" s="144"/>
      <c r="E3244" s="144"/>
      <c r="F3244" s="373"/>
      <c r="H3244" s="2168"/>
      <c r="I3244" s="70"/>
    </row>
    <row r="3245" spans="3:9" s="46" customFormat="1" x14ac:dyDescent="0.2">
      <c r="C3245" s="144"/>
      <c r="D3245" s="144"/>
      <c r="E3245" s="144"/>
      <c r="F3245" s="373"/>
      <c r="H3245" s="2168"/>
      <c r="I3245" s="70"/>
    </row>
    <row r="3246" spans="3:9" s="46" customFormat="1" x14ac:dyDescent="0.2">
      <c r="C3246" s="144"/>
      <c r="D3246" s="144"/>
      <c r="E3246" s="144"/>
      <c r="F3246" s="373"/>
      <c r="H3246" s="2168"/>
      <c r="I3246" s="70"/>
    </row>
    <row r="3247" spans="3:9" s="46" customFormat="1" x14ac:dyDescent="0.2">
      <c r="C3247" s="144"/>
      <c r="D3247" s="144"/>
      <c r="E3247" s="144"/>
      <c r="F3247" s="373"/>
      <c r="H3247" s="2168"/>
      <c r="I3247" s="70"/>
    </row>
    <row r="3248" spans="3:9" s="46" customFormat="1" x14ac:dyDescent="0.2">
      <c r="C3248" s="144"/>
      <c r="D3248" s="144"/>
      <c r="E3248" s="144"/>
      <c r="F3248" s="373"/>
      <c r="H3248" s="2168"/>
      <c r="I3248" s="70"/>
    </row>
    <row r="3249" spans="3:9" s="46" customFormat="1" x14ac:dyDescent="0.2">
      <c r="C3249" s="144"/>
      <c r="D3249" s="144"/>
      <c r="E3249" s="144"/>
      <c r="F3249" s="373"/>
      <c r="H3249" s="2168"/>
      <c r="I3249" s="70"/>
    </row>
    <row r="3250" spans="3:9" s="46" customFormat="1" x14ac:dyDescent="0.2">
      <c r="C3250" s="144"/>
      <c r="D3250" s="144"/>
      <c r="E3250" s="144"/>
      <c r="F3250" s="373"/>
      <c r="H3250" s="2168"/>
      <c r="I3250" s="70"/>
    </row>
    <row r="3251" spans="3:9" s="46" customFormat="1" x14ac:dyDescent="0.2">
      <c r="C3251" s="144"/>
      <c r="D3251" s="144"/>
      <c r="E3251" s="144"/>
      <c r="F3251" s="373"/>
      <c r="H3251" s="2168"/>
      <c r="I3251" s="70"/>
    </row>
    <row r="3252" spans="3:9" s="46" customFormat="1" x14ac:dyDescent="0.2">
      <c r="C3252" s="144"/>
      <c r="D3252" s="144"/>
      <c r="E3252" s="144"/>
      <c r="F3252" s="373"/>
      <c r="H3252" s="2168"/>
      <c r="I3252" s="70"/>
    </row>
    <row r="3253" spans="3:9" s="46" customFormat="1" x14ac:dyDescent="0.2">
      <c r="C3253" s="144"/>
      <c r="D3253" s="144"/>
      <c r="E3253" s="144"/>
      <c r="F3253" s="373"/>
      <c r="H3253" s="2168"/>
      <c r="I3253" s="70"/>
    </row>
    <row r="3254" spans="3:9" s="46" customFormat="1" x14ac:dyDescent="0.2">
      <c r="C3254" s="144"/>
      <c r="D3254" s="144"/>
      <c r="E3254" s="144"/>
      <c r="F3254" s="373"/>
      <c r="H3254" s="2168"/>
      <c r="I3254" s="70"/>
    </row>
    <row r="3255" spans="3:9" s="46" customFormat="1" x14ac:dyDescent="0.2">
      <c r="C3255" s="144"/>
      <c r="D3255" s="144"/>
      <c r="E3255" s="144"/>
      <c r="F3255" s="373"/>
      <c r="H3255" s="2168"/>
      <c r="I3255" s="70"/>
    </row>
    <row r="3256" spans="3:9" s="46" customFormat="1" x14ac:dyDescent="0.2">
      <c r="C3256" s="144"/>
      <c r="D3256" s="144"/>
      <c r="E3256" s="144"/>
      <c r="F3256" s="373"/>
      <c r="H3256" s="2168"/>
      <c r="I3256" s="70"/>
    </row>
    <row r="3257" spans="3:9" s="46" customFormat="1" x14ac:dyDescent="0.2">
      <c r="C3257" s="144"/>
      <c r="D3257" s="144"/>
      <c r="E3257" s="144"/>
      <c r="F3257" s="373"/>
      <c r="H3257" s="2168"/>
      <c r="I3257" s="70"/>
    </row>
    <row r="3258" spans="3:9" s="46" customFormat="1" x14ac:dyDescent="0.2">
      <c r="C3258" s="144"/>
      <c r="D3258" s="144"/>
      <c r="E3258" s="144"/>
      <c r="F3258" s="373"/>
      <c r="H3258" s="2168"/>
      <c r="I3258" s="70"/>
    </row>
    <row r="3259" spans="3:9" s="46" customFormat="1" x14ac:dyDescent="0.2">
      <c r="C3259" s="144"/>
      <c r="D3259" s="144"/>
      <c r="E3259" s="144"/>
      <c r="F3259" s="373"/>
      <c r="H3259" s="2168"/>
      <c r="I3259" s="70"/>
    </row>
    <row r="3260" spans="3:9" s="46" customFormat="1" x14ac:dyDescent="0.2">
      <c r="C3260" s="144"/>
      <c r="D3260" s="144"/>
      <c r="E3260" s="144"/>
      <c r="F3260" s="373"/>
      <c r="H3260" s="2168"/>
      <c r="I3260" s="70"/>
    </row>
    <row r="3261" spans="3:9" s="46" customFormat="1" x14ac:dyDescent="0.2">
      <c r="C3261" s="144"/>
      <c r="D3261" s="144"/>
      <c r="E3261" s="144"/>
      <c r="F3261" s="373"/>
      <c r="H3261" s="2168"/>
      <c r="I3261" s="70"/>
    </row>
    <row r="3262" spans="3:9" s="46" customFormat="1" x14ac:dyDescent="0.2">
      <c r="C3262" s="144"/>
      <c r="D3262" s="144"/>
      <c r="E3262" s="144"/>
      <c r="F3262" s="373"/>
      <c r="H3262" s="2168"/>
      <c r="I3262" s="70"/>
    </row>
    <row r="3263" spans="3:9" s="46" customFormat="1" x14ac:dyDescent="0.2">
      <c r="C3263" s="144"/>
      <c r="D3263" s="144"/>
      <c r="E3263" s="144"/>
      <c r="F3263" s="373"/>
      <c r="H3263" s="2168"/>
      <c r="I3263" s="70"/>
    </row>
    <row r="3264" spans="3:9" s="46" customFormat="1" x14ac:dyDescent="0.2">
      <c r="C3264" s="144"/>
      <c r="D3264" s="144"/>
      <c r="E3264" s="144"/>
      <c r="F3264" s="373"/>
      <c r="H3264" s="2168"/>
      <c r="I3264" s="70"/>
    </row>
    <row r="3265" spans="3:9" s="46" customFormat="1" x14ac:dyDescent="0.2">
      <c r="C3265" s="144"/>
      <c r="D3265" s="144"/>
      <c r="E3265" s="144"/>
      <c r="F3265" s="373"/>
      <c r="H3265" s="2168"/>
      <c r="I3265" s="70"/>
    </row>
    <row r="3266" spans="3:9" s="46" customFormat="1" x14ac:dyDescent="0.2">
      <c r="C3266" s="144"/>
      <c r="D3266" s="144"/>
      <c r="E3266" s="144"/>
      <c r="F3266" s="373"/>
      <c r="H3266" s="2168"/>
      <c r="I3266" s="70"/>
    </row>
    <row r="3267" spans="3:9" s="46" customFormat="1" x14ac:dyDescent="0.2">
      <c r="C3267" s="144"/>
      <c r="D3267" s="144"/>
      <c r="E3267" s="144"/>
      <c r="F3267" s="373"/>
      <c r="H3267" s="2168"/>
      <c r="I3267" s="70"/>
    </row>
    <row r="3268" spans="3:9" s="46" customFormat="1" x14ac:dyDescent="0.2">
      <c r="C3268" s="144"/>
      <c r="D3268" s="144"/>
      <c r="E3268" s="144"/>
      <c r="F3268" s="373"/>
      <c r="H3268" s="2168"/>
      <c r="I3268" s="70"/>
    </row>
    <row r="3269" spans="3:9" s="46" customFormat="1" x14ac:dyDescent="0.2">
      <c r="C3269" s="144"/>
      <c r="D3269" s="144"/>
      <c r="E3269" s="144"/>
      <c r="F3269" s="373"/>
      <c r="H3269" s="2168"/>
      <c r="I3269" s="70"/>
    </row>
    <row r="3270" spans="3:9" s="46" customFormat="1" x14ac:dyDescent="0.2">
      <c r="C3270" s="144"/>
      <c r="D3270" s="144"/>
      <c r="E3270" s="144"/>
      <c r="F3270" s="373"/>
      <c r="H3270" s="2168"/>
      <c r="I3270" s="70"/>
    </row>
    <row r="3271" spans="3:9" s="46" customFormat="1" x14ac:dyDescent="0.2">
      <c r="C3271" s="144"/>
      <c r="D3271" s="144"/>
      <c r="E3271" s="144"/>
      <c r="F3271" s="373"/>
      <c r="H3271" s="2168"/>
      <c r="I3271" s="70"/>
    </row>
    <row r="3272" spans="3:9" s="46" customFormat="1" x14ac:dyDescent="0.2">
      <c r="C3272" s="144"/>
      <c r="D3272" s="144"/>
      <c r="E3272" s="144"/>
      <c r="F3272" s="373"/>
      <c r="H3272" s="2168"/>
      <c r="I3272" s="70"/>
    </row>
    <row r="3273" spans="3:9" s="46" customFormat="1" x14ac:dyDescent="0.2">
      <c r="C3273" s="144"/>
      <c r="D3273" s="144"/>
      <c r="E3273" s="144"/>
      <c r="F3273" s="373"/>
      <c r="H3273" s="2168"/>
      <c r="I3273" s="70"/>
    </row>
    <row r="3274" spans="3:9" s="46" customFormat="1" x14ac:dyDescent="0.2">
      <c r="C3274" s="144"/>
      <c r="D3274" s="144"/>
      <c r="E3274" s="144"/>
      <c r="F3274" s="373"/>
      <c r="H3274" s="2168"/>
      <c r="I3274" s="70"/>
    </row>
    <row r="3275" spans="3:9" s="46" customFormat="1" x14ac:dyDescent="0.2">
      <c r="C3275" s="144"/>
      <c r="D3275" s="144"/>
      <c r="E3275" s="144"/>
      <c r="F3275" s="373"/>
      <c r="H3275" s="2168"/>
      <c r="I3275" s="70"/>
    </row>
    <row r="3276" spans="3:9" s="46" customFormat="1" x14ac:dyDescent="0.2">
      <c r="C3276" s="144"/>
      <c r="D3276" s="144"/>
      <c r="E3276" s="144"/>
      <c r="F3276" s="373"/>
      <c r="H3276" s="2168"/>
      <c r="I3276" s="70"/>
    </row>
    <row r="3277" spans="3:9" s="46" customFormat="1" x14ac:dyDescent="0.2">
      <c r="C3277" s="144"/>
      <c r="D3277" s="144"/>
      <c r="E3277" s="144"/>
      <c r="F3277" s="373"/>
      <c r="H3277" s="2168"/>
      <c r="I3277" s="70"/>
    </row>
    <row r="3278" spans="3:9" s="46" customFormat="1" x14ac:dyDescent="0.2">
      <c r="C3278" s="144"/>
      <c r="D3278" s="144"/>
      <c r="E3278" s="144"/>
      <c r="F3278" s="373"/>
      <c r="H3278" s="2168"/>
      <c r="I3278" s="70"/>
    </row>
    <row r="3279" spans="3:9" s="46" customFormat="1" x14ac:dyDescent="0.2">
      <c r="C3279" s="144"/>
      <c r="D3279" s="144"/>
      <c r="E3279" s="144"/>
      <c r="F3279" s="373"/>
      <c r="H3279" s="2168"/>
      <c r="I3279" s="70"/>
    </row>
    <row r="3280" spans="3:9" s="46" customFormat="1" x14ac:dyDescent="0.2">
      <c r="C3280" s="144"/>
      <c r="D3280" s="144"/>
      <c r="E3280" s="144"/>
      <c r="F3280" s="373"/>
      <c r="H3280" s="2168"/>
      <c r="I3280" s="70"/>
    </row>
    <row r="3281" spans="3:9" s="46" customFormat="1" x14ac:dyDescent="0.2">
      <c r="C3281" s="144"/>
      <c r="D3281" s="144"/>
      <c r="E3281" s="144"/>
      <c r="F3281" s="373"/>
      <c r="H3281" s="2168"/>
      <c r="I3281" s="70"/>
    </row>
    <row r="3282" spans="3:9" s="46" customFormat="1" x14ac:dyDescent="0.2">
      <c r="C3282" s="144"/>
      <c r="D3282" s="144"/>
      <c r="E3282" s="144"/>
      <c r="F3282" s="373"/>
      <c r="H3282" s="2168"/>
      <c r="I3282" s="70"/>
    </row>
    <row r="3283" spans="3:9" s="46" customFormat="1" x14ac:dyDescent="0.2">
      <c r="C3283" s="144"/>
      <c r="D3283" s="144"/>
      <c r="E3283" s="144"/>
      <c r="F3283" s="373"/>
      <c r="H3283" s="2168"/>
      <c r="I3283" s="70"/>
    </row>
    <row r="3284" spans="3:9" s="46" customFormat="1" x14ac:dyDescent="0.2">
      <c r="C3284" s="144"/>
      <c r="D3284" s="144"/>
      <c r="E3284" s="144"/>
      <c r="F3284" s="373"/>
      <c r="H3284" s="2168"/>
      <c r="I3284" s="70"/>
    </row>
    <row r="3285" spans="3:9" s="46" customFormat="1" x14ac:dyDescent="0.2">
      <c r="C3285" s="144"/>
      <c r="D3285" s="144"/>
      <c r="E3285" s="144"/>
      <c r="F3285" s="373"/>
      <c r="H3285" s="2168"/>
      <c r="I3285" s="70"/>
    </row>
    <row r="3286" spans="3:9" s="46" customFormat="1" x14ac:dyDescent="0.2">
      <c r="C3286" s="144"/>
      <c r="D3286" s="144"/>
      <c r="E3286" s="144"/>
      <c r="F3286" s="373"/>
      <c r="H3286" s="2168"/>
      <c r="I3286" s="70"/>
    </row>
    <row r="3287" spans="3:9" s="46" customFormat="1" x14ac:dyDescent="0.2">
      <c r="C3287" s="144"/>
      <c r="D3287" s="144"/>
      <c r="E3287" s="144"/>
      <c r="F3287" s="373"/>
      <c r="H3287" s="2168"/>
      <c r="I3287" s="70"/>
    </row>
    <row r="3288" spans="3:9" s="46" customFormat="1" x14ac:dyDescent="0.2">
      <c r="C3288" s="144"/>
      <c r="D3288" s="144"/>
      <c r="E3288" s="144"/>
      <c r="F3288" s="373"/>
      <c r="H3288" s="2168"/>
      <c r="I3288" s="70"/>
    </row>
    <row r="3289" spans="3:9" s="46" customFormat="1" x14ac:dyDescent="0.2">
      <c r="C3289" s="144"/>
      <c r="D3289" s="144"/>
      <c r="E3289" s="144"/>
      <c r="F3289" s="373"/>
      <c r="H3289" s="2168"/>
      <c r="I3289" s="70"/>
    </row>
    <row r="3290" spans="3:9" s="46" customFormat="1" x14ac:dyDescent="0.2">
      <c r="C3290" s="144"/>
      <c r="D3290" s="144"/>
      <c r="E3290" s="144"/>
      <c r="F3290" s="373"/>
      <c r="H3290" s="2168"/>
      <c r="I3290" s="70"/>
    </row>
    <row r="3291" spans="3:9" s="46" customFormat="1" x14ac:dyDescent="0.2">
      <c r="C3291" s="144"/>
      <c r="D3291" s="144"/>
      <c r="E3291" s="144"/>
      <c r="F3291" s="373"/>
      <c r="H3291" s="2168"/>
      <c r="I3291" s="70"/>
    </row>
    <row r="3292" spans="3:9" s="46" customFormat="1" x14ac:dyDescent="0.2">
      <c r="C3292" s="144"/>
      <c r="D3292" s="144"/>
      <c r="E3292" s="144"/>
      <c r="F3292" s="373"/>
      <c r="H3292" s="2168"/>
      <c r="I3292" s="70"/>
    </row>
    <row r="3293" spans="3:9" s="46" customFormat="1" x14ac:dyDescent="0.2">
      <c r="C3293" s="144"/>
      <c r="D3293" s="144"/>
      <c r="E3293" s="144"/>
      <c r="F3293" s="373"/>
      <c r="H3293" s="2168"/>
      <c r="I3293" s="70"/>
    </row>
    <row r="3294" spans="3:9" s="46" customFormat="1" x14ac:dyDescent="0.2">
      <c r="C3294" s="144"/>
      <c r="D3294" s="144"/>
      <c r="E3294" s="144"/>
      <c r="F3294" s="373"/>
      <c r="H3294" s="2168"/>
      <c r="I3294" s="70"/>
    </row>
    <row r="3295" spans="3:9" s="46" customFormat="1" x14ac:dyDescent="0.2">
      <c r="C3295" s="144"/>
      <c r="D3295" s="144"/>
      <c r="E3295" s="144"/>
      <c r="F3295" s="373"/>
      <c r="H3295" s="2168"/>
      <c r="I3295" s="70"/>
    </row>
    <row r="3296" spans="3:9" s="46" customFormat="1" x14ac:dyDescent="0.2">
      <c r="C3296" s="144"/>
      <c r="D3296" s="144"/>
      <c r="E3296" s="144"/>
      <c r="F3296" s="373"/>
      <c r="H3296" s="2168"/>
      <c r="I3296" s="70"/>
    </row>
    <row r="3297" spans="3:9" s="46" customFormat="1" x14ac:dyDescent="0.2">
      <c r="C3297" s="144"/>
      <c r="D3297" s="144"/>
      <c r="E3297" s="144"/>
      <c r="F3297" s="373"/>
      <c r="H3297" s="2168"/>
      <c r="I3297" s="70"/>
    </row>
    <row r="3298" spans="3:9" s="46" customFormat="1" x14ac:dyDescent="0.2">
      <c r="C3298" s="144"/>
      <c r="D3298" s="144"/>
      <c r="E3298" s="144"/>
      <c r="F3298" s="373"/>
      <c r="H3298" s="2168"/>
      <c r="I3298" s="70"/>
    </row>
    <row r="3299" spans="3:9" s="46" customFormat="1" x14ac:dyDescent="0.2">
      <c r="C3299" s="144"/>
      <c r="D3299" s="144"/>
      <c r="E3299" s="144"/>
      <c r="F3299" s="373"/>
      <c r="H3299" s="2168"/>
      <c r="I3299" s="70"/>
    </row>
    <row r="3300" spans="3:9" s="46" customFormat="1" x14ac:dyDescent="0.2">
      <c r="C3300" s="144"/>
      <c r="D3300" s="144"/>
      <c r="E3300" s="144"/>
      <c r="F3300" s="373"/>
      <c r="H3300" s="2168"/>
      <c r="I3300" s="70"/>
    </row>
    <row r="3301" spans="3:9" s="46" customFormat="1" x14ac:dyDescent="0.2">
      <c r="C3301" s="144"/>
      <c r="D3301" s="144"/>
      <c r="E3301" s="144"/>
      <c r="F3301" s="373"/>
      <c r="H3301" s="2168"/>
      <c r="I3301" s="70"/>
    </row>
    <row r="3302" spans="3:9" s="46" customFormat="1" x14ac:dyDescent="0.2">
      <c r="C3302" s="144"/>
      <c r="D3302" s="144"/>
      <c r="E3302" s="144"/>
      <c r="F3302" s="373"/>
      <c r="H3302" s="2168"/>
      <c r="I3302" s="70"/>
    </row>
    <row r="3303" spans="3:9" s="46" customFormat="1" x14ac:dyDescent="0.2">
      <c r="C3303" s="144"/>
      <c r="D3303" s="144"/>
      <c r="E3303" s="144"/>
      <c r="F3303" s="373"/>
      <c r="H3303" s="2168"/>
      <c r="I3303" s="70"/>
    </row>
    <row r="3304" spans="3:9" s="46" customFormat="1" x14ac:dyDescent="0.2">
      <c r="C3304" s="144"/>
      <c r="D3304" s="144"/>
      <c r="E3304" s="144"/>
      <c r="F3304" s="373"/>
      <c r="H3304" s="2168"/>
      <c r="I3304" s="70"/>
    </row>
    <row r="3305" spans="3:9" s="46" customFormat="1" x14ac:dyDescent="0.2">
      <c r="C3305" s="144"/>
      <c r="D3305" s="144"/>
      <c r="E3305" s="144"/>
      <c r="F3305" s="373"/>
      <c r="H3305" s="2168"/>
      <c r="I3305" s="70"/>
    </row>
    <row r="3306" spans="3:9" s="46" customFormat="1" x14ac:dyDescent="0.2">
      <c r="C3306" s="144"/>
      <c r="D3306" s="144"/>
      <c r="E3306" s="144"/>
      <c r="F3306" s="373"/>
      <c r="H3306" s="2168"/>
      <c r="I3306" s="70"/>
    </row>
    <row r="3307" spans="3:9" s="46" customFormat="1" x14ac:dyDescent="0.2">
      <c r="C3307" s="144"/>
      <c r="D3307" s="144"/>
      <c r="E3307" s="144"/>
      <c r="F3307" s="373"/>
      <c r="H3307" s="2168"/>
      <c r="I3307" s="70"/>
    </row>
    <row r="3308" spans="3:9" s="46" customFormat="1" x14ac:dyDescent="0.2">
      <c r="C3308" s="144"/>
      <c r="D3308" s="144"/>
      <c r="E3308" s="144"/>
      <c r="F3308" s="373"/>
      <c r="H3308" s="2168"/>
      <c r="I3308" s="70"/>
    </row>
    <row r="3309" spans="3:9" s="46" customFormat="1" x14ac:dyDescent="0.2">
      <c r="C3309" s="144"/>
      <c r="D3309" s="144"/>
      <c r="E3309" s="144"/>
      <c r="F3309" s="373"/>
      <c r="H3309" s="2168"/>
      <c r="I3309" s="70"/>
    </row>
    <row r="3310" spans="3:9" s="46" customFormat="1" x14ac:dyDescent="0.2">
      <c r="C3310" s="144"/>
      <c r="D3310" s="144"/>
      <c r="E3310" s="144"/>
      <c r="F3310" s="373"/>
      <c r="H3310" s="2168"/>
      <c r="I3310" s="70"/>
    </row>
    <row r="3311" spans="3:9" s="46" customFormat="1" x14ac:dyDescent="0.2">
      <c r="C3311" s="144"/>
      <c r="D3311" s="144"/>
      <c r="E3311" s="144"/>
      <c r="F3311" s="373"/>
      <c r="H3311" s="2168"/>
      <c r="I3311" s="70"/>
    </row>
    <row r="3312" spans="3:9" s="46" customFormat="1" x14ac:dyDescent="0.2">
      <c r="C3312" s="144"/>
      <c r="D3312" s="144"/>
      <c r="E3312" s="144"/>
      <c r="F3312" s="373"/>
      <c r="H3312" s="2168"/>
      <c r="I3312" s="70"/>
    </row>
    <row r="3313" spans="3:9" s="46" customFormat="1" x14ac:dyDescent="0.2">
      <c r="C3313" s="144"/>
      <c r="D3313" s="144"/>
      <c r="E3313" s="144"/>
      <c r="F3313" s="373"/>
      <c r="H3313" s="2168"/>
      <c r="I3313" s="70"/>
    </row>
    <row r="3314" spans="3:9" s="46" customFormat="1" x14ac:dyDescent="0.2">
      <c r="C3314" s="144"/>
      <c r="D3314" s="144"/>
      <c r="E3314" s="144"/>
      <c r="F3314" s="373"/>
      <c r="H3314" s="2168"/>
      <c r="I3314" s="70"/>
    </row>
    <row r="3315" spans="3:9" s="46" customFormat="1" x14ac:dyDescent="0.2">
      <c r="C3315" s="144"/>
      <c r="D3315" s="144"/>
      <c r="E3315" s="144"/>
      <c r="F3315" s="373"/>
      <c r="H3315" s="2168"/>
      <c r="I3315" s="70"/>
    </row>
    <row r="3316" spans="3:9" s="46" customFormat="1" x14ac:dyDescent="0.2">
      <c r="C3316" s="144"/>
      <c r="D3316" s="144"/>
      <c r="E3316" s="144"/>
      <c r="F3316" s="373"/>
      <c r="H3316" s="2168"/>
      <c r="I3316" s="70"/>
    </row>
    <row r="3317" spans="3:9" s="46" customFormat="1" x14ac:dyDescent="0.2">
      <c r="C3317" s="144"/>
      <c r="D3317" s="144"/>
      <c r="E3317" s="144"/>
      <c r="F3317" s="373"/>
      <c r="H3317" s="2168"/>
      <c r="I3317" s="70"/>
    </row>
    <row r="3318" spans="3:9" s="46" customFormat="1" x14ac:dyDescent="0.2">
      <c r="C3318" s="144"/>
      <c r="D3318" s="144"/>
      <c r="E3318" s="144"/>
      <c r="F3318" s="373"/>
      <c r="H3318" s="2168"/>
      <c r="I3318" s="70"/>
    </row>
    <row r="3319" spans="3:9" s="46" customFormat="1" x14ac:dyDescent="0.2">
      <c r="C3319" s="144"/>
      <c r="D3319" s="144"/>
      <c r="E3319" s="144"/>
      <c r="F3319" s="373"/>
      <c r="H3319" s="2168"/>
      <c r="I3319" s="70"/>
    </row>
    <row r="3320" spans="3:9" s="46" customFormat="1" x14ac:dyDescent="0.2">
      <c r="C3320" s="144"/>
      <c r="D3320" s="144"/>
      <c r="E3320" s="144"/>
      <c r="F3320" s="373"/>
      <c r="H3320" s="2168"/>
      <c r="I3320" s="70"/>
    </row>
    <row r="3321" spans="3:9" s="46" customFormat="1" x14ac:dyDescent="0.2">
      <c r="C3321" s="144"/>
      <c r="D3321" s="144"/>
      <c r="E3321" s="144"/>
      <c r="F3321" s="373"/>
      <c r="H3321" s="2168"/>
      <c r="I3321" s="70"/>
    </row>
    <row r="3322" spans="3:9" s="46" customFormat="1" x14ac:dyDescent="0.2">
      <c r="C3322" s="144"/>
      <c r="D3322" s="144"/>
      <c r="E3322" s="144"/>
      <c r="F3322" s="373"/>
      <c r="H3322" s="2168"/>
      <c r="I3322" s="70"/>
    </row>
    <row r="3323" spans="3:9" s="46" customFormat="1" x14ac:dyDescent="0.2">
      <c r="C3323" s="144"/>
      <c r="D3323" s="144"/>
      <c r="E3323" s="144"/>
      <c r="F3323" s="373"/>
      <c r="H3323" s="2168"/>
      <c r="I3323" s="70"/>
    </row>
    <row r="3324" spans="3:9" s="46" customFormat="1" x14ac:dyDescent="0.2">
      <c r="C3324" s="144"/>
      <c r="D3324" s="144"/>
      <c r="E3324" s="144"/>
      <c r="F3324" s="373"/>
      <c r="H3324" s="2168"/>
      <c r="I3324" s="70"/>
    </row>
    <row r="3325" spans="3:9" s="46" customFormat="1" x14ac:dyDescent="0.2">
      <c r="C3325" s="144"/>
      <c r="D3325" s="144"/>
      <c r="E3325" s="144"/>
      <c r="F3325" s="373"/>
      <c r="H3325" s="2168"/>
      <c r="I3325" s="70"/>
    </row>
    <row r="3326" spans="3:9" s="46" customFormat="1" x14ac:dyDescent="0.2">
      <c r="C3326" s="144"/>
      <c r="D3326" s="144"/>
      <c r="E3326" s="144"/>
      <c r="F3326" s="373"/>
      <c r="H3326" s="2168"/>
      <c r="I3326" s="70"/>
    </row>
    <row r="3327" spans="3:9" s="46" customFormat="1" x14ac:dyDescent="0.2">
      <c r="C3327" s="144"/>
      <c r="D3327" s="144"/>
      <c r="E3327" s="144"/>
      <c r="F3327" s="373"/>
      <c r="H3327" s="2168"/>
      <c r="I3327" s="70"/>
    </row>
    <row r="3328" spans="3:9" s="46" customFormat="1" x14ac:dyDescent="0.2">
      <c r="C3328" s="144"/>
      <c r="D3328" s="144"/>
      <c r="E3328" s="144"/>
      <c r="F3328" s="373"/>
      <c r="H3328" s="2168"/>
      <c r="I3328" s="70"/>
    </row>
    <row r="3329" spans="3:9" s="46" customFormat="1" x14ac:dyDescent="0.2">
      <c r="C3329" s="144"/>
      <c r="D3329" s="144"/>
      <c r="E3329" s="144"/>
      <c r="F3329" s="373"/>
      <c r="H3329" s="2168"/>
      <c r="I3329" s="70"/>
    </row>
    <row r="3330" spans="3:9" s="46" customFormat="1" x14ac:dyDescent="0.2">
      <c r="C3330" s="144"/>
      <c r="D3330" s="144"/>
      <c r="E3330" s="144"/>
      <c r="F3330" s="373"/>
      <c r="H3330" s="2168"/>
      <c r="I3330" s="70"/>
    </row>
    <row r="3331" spans="3:9" s="46" customFormat="1" x14ac:dyDescent="0.2">
      <c r="C3331" s="144"/>
      <c r="D3331" s="144"/>
      <c r="E3331" s="144"/>
      <c r="F3331" s="373"/>
      <c r="H3331" s="2168"/>
      <c r="I3331" s="70"/>
    </row>
    <row r="3332" spans="3:9" s="46" customFormat="1" x14ac:dyDescent="0.2">
      <c r="C3332" s="144"/>
      <c r="D3332" s="144"/>
      <c r="E3332" s="144"/>
      <c r="F3332" s="373"/>
      <c r="H3332" s="2168"/>
      <c r="I3332" s="70"/>
    </row>
    <row r="3333" spans="3:9" s="46" customFormat="1" x14ac:dyDescent="0.2">
      <c r="C3333" s="144"/>
      <c r="D3333" s="144"/>
      <c r="E3333" s="144"/>
      <c r="F3333" s="373"/>
      <c r="H3333" s="2168"/>
      <c r="I3333" s="70"/>
    </row>
    <row r="3334" spans="3:9" s="46" customFormat="1" x14ac:dyDescent="0.2">
      <c r="C3334" s="144"/>
      <c r="D3334" s="144"/>
      <c r="E3334" s="144"/>
      <c r="F3334" s="373"/>
      <c r="H3334" s="2168"/>
      <c r="I3334" s="70"/>
    </row>
    <row r="3335" spans="3:9" s="46" customFormat="1" x14ac:dyDescent="0.2">
      <c r="C3335" s="144"/>
      <c r="D3335" s="144"/>
      <c r="E3335" s="144"/>
      <c r="F3335" s="373"/>
      <c r="H3335" s="2168"/>
      <c r="I3335" s="70"/>
    </row>
    <row r="3336" spans="3:9" s="46" customFormat="1" x14ac:dyDescent="0.2">
      <c r="C3336" s="144"/>
      <c r="D3336" s="144"/>
      <c r="E3336" s="144"/>
      <c r="F3336" s="373"/>
      <c r="H3336" s="2168"/>
      <c r="I3336" s="70"/>
    </row>
    <row r="3337" spans="3:9" s="46" customFormat="1" x14ac:dyDescent="0.2">
      <c r="C3337" s="144"/>
      <c r="D3337" s="144"/>
      <c r="E3337" s="144"/>
      <c r="F3337" s="373"/>
      <c r="H3337" s="2168"/>
      <c r="I3337" s="70"/>
    </row>
    <row r="3338" spans="3:9" s="46" customFormat="1" x14ac:dyDescent="0.2">
      <c r="C3338" s="144"/>
      <c r="D3338" s="144"/>
      <c r="E3338" s="144"/>
      <c r="F3338" s="373"/>
      <c r="H3338" s="2168"/>
      <c r="I3338" s="70"/>
    </row>
    <row r="3339" spans="3:9" s="46" customFormat="1" x14ac:dyDescent="0.2">
      <c r="C3339" s="144"/>
      <c r="D3339" s="144"/>
      <c r="E3339" s="144"/>
      <c r="F3339" s="373"/>
      <c r="H3339" s="2168"/>
      <c r="I3339" s="70"/>
    </row>
    <row r="3340" spans="3:9" s="46" customFormat="1" x14ac:dyDescent="0.2">
      <c r="C3340" s="144"/>
      <c r="D3340" s="144"/>
      <c r="E3340" s="144"/>
      <c r="F3340" s="373"/>
      <c r="H3340" s="2168"/>
      <c r="I3340" s="70"/>
    </row>
    <row r="3341" spans="3:9" s="46" customFormat="1" x14ac:dyDescent="0.2">
      <c r="C3341" s="144"/>
      <c r="D3341" s="144"/>
      <c r="E3341" s="144"/>
      <c r="F3341" s="373"/>
      <c r="H3341" s="2168"/>
      <c r="I3341" s="70"/>
    </row>
    <row r="3342" spans="3:9" s="46" customFormat="1" x14ac:dyDescent="0.2">
      <c r="C3342" s="144"/>
      <c r="D3342" s="144"/>
      <c r="E3342" s="144"/>
      <c r="F3342" s="373"/>
      <c r="H3342" s="2168"/>
      <c r="I3342" s="70"/>
    </row>
    <row r="3343" spans="3:9" s="46" customFormat="1" x14ac:dyDescent="0.2">
      <c r="C3343" s="144"/>
      <c r="D3343" s="144"/>
      <c r="E3343" s="144"/>
      <c r="F3343" s="373"/>
      <c r="H3343" s="2168"/>
      <c r="I3343" s="70"/>
    </row>
    <row r="3344" spans="3:9" s="46" customFormat="1" x14ac:dyDescent="0.2">
      <c r="C3344" s="144"/>
      <c r="D3344" s="144"/>
      <c r="E3344" s="144"/>
      <c r="F3344" s="373"/>
      <c r="H3344" s="2168"/>
      <c r="I3344" s="70"/>
    </row>
    <row r="3345" spans="3:9" s="46" customFormat="1" x14ac:dyDescent="0.2">
      <c r="C3345" s="144"/>
      <c r="D3345" s="144"/>
      <c r="E3345" s="144"/>
      <c r="F3345" s="373"/>
      <c r="H3345" s="2168"/>
      <c r="I3345" s="70"/>
    </row>
    <row r="3346" spans="3:9" s="46" customFormat="1" x14ac:dyDescent="0.2">
      <c r="C3346" s="144"/>
      <c r="D3346" s="144"/>
      <c r="E3346" s="144"/>
      <c r="F3346" s="373"/>
      <c r="H3346" s="2168"/>
      <c r="I3346" s="70"/>
    </row>
    <row r="3347" spans="3:9" s="46" customFormat="1" x14ac:dyDescent="0.2">
      <c r="C3347" s="144"/>
      <c r="D3347" s="144"/>
      <c r="E3347" s="144"/>
      <c r="F3347" s="373"/>
      <c r="H3347" s="2168"/>
      <c r="I3347" s="70"/>
    </row>
    <row r="3348" spans="3:9" s="46" customFormat="1" x14ac:dyDescent="0.2">
      <c r="C3348" s="144"/>
      <c r="D3348" s="144"/>
      <c r="E3348" s="144"/>
      <c r="F3348" s="373"/>
      <c r="H3348" s="2168"/>
      <c r="I3348" s="70"/>
    </row>
    <row r="3349" spans="3:9" s="46" customFormat="1" x14ac:dyDescent="0.2">
      <c r="C3349" s="144"/>
      <c r="D3349" s="144"/>
      <c r="E3349" s="144"/>
      <c r="F3349" s="373"/>
      <c r="H3349" s="2168"/>
      <c r="I3349" s="70"/>
    </row>
    <row r="3350" spans="3:9" s="46" customFormat="1" x14ac:dyDescent="0.2">
      <c r="C3350" s="144"/>
      <c r="D3350" s="144"/>
      <c r="E3350" s="144"/>
      <c r="F3350" s="373"/>
      <c r="H3350" s="2168"/>
      <c r="I3350" s="70"/>
    </row>
    <row r="3351" spans="3:9" s="46" customFormat="1" x14ac:dyDescent="0.2">
      <c r="C3351" s="144"/>
      <c r="D3351" s="144"/>
      <c r="E3351" s="144"/>
      <c r="F3351" s="373"/>
      <c r="H3351" s="2168"/>
      <c r="I3351" s="70"/>
    </row>
    <row r="3352" spans="3:9" s="46" customFormat="1" x14ac:dyDescent="0.2">
      <c r="C3352" s="144"/>
      <c r="D3352" s="144"/>
      <c r="E3352" s="144"/>
      <c r="F3352" s="373"/>
      <c r="H3352" s="2168"/>
      <c r="I3352" s="70"/>
    </row>
    <row r="3353" spans="3:9" s="46" customFormat="1" x14ac:dyDescent="0.2">
      <c r="C3353" s="144"/>
      <c r="D3353" s="144"/>
      <c r="E3353" s="144"/>
      <c r="F3353" s="373"/>
      <c r="H3353" s="2168"/>
      <c r="I3353" s="70"/>
    </row>
    <row r="3354" spans="3:9" s="46" customFormat="1" x14ac:dyDescent="0.2">
      <c r="C3354" s="144"/>
      <c r="D3354" s="144"/>
      <c r="E3354" s="144"/>
      <c r="F3354" s="373"/>
      <c r="H3354" s="2168"/>
      <c r="I3354" s="70"/>
    </row>
    <row r="3355" spans="3:9" s="46" customFormat="1" x14ac:dyDescent="0.2">
      <c r="C3355" s="144"/>
      <c r="D3355" s="144"/>
      <c r="E3355" s="144"/>
      <c r="F3355" s="373"/>
      <c r="H3355" s="2168"/>
      <c r="I3355" s="70"/>
    </row>
    <row r="3356" spans="3:9" s="46" customFormat="1" x14ac:dyDescent="0.2">
      <c r="C3356" s="144"/>
      <c r="D3356" s="144"/>
      <c r="E3356" s="144"/>
      <c r="F3356" s="373"/>
      <c r="H3356" s="2168"/>
      <c r="I3356" s="70"/>
    </row>
    <row r="3357" spans="3:9" s="46" customFormat="1" x14ac:dyDescent="0.2">
      <c r="C3357" s="144"/>
      <c r="D3357" s="144"/>
      <c r="E3357" s="144"/>
      <c r="F3357" s="373"/>
      <c r="H3357" s="2168"/>
      <c r="I3357" s="70"/>
    </row>
    <row r="3358" spans="3:9" s="46" customFormat="1" x14ac:dyDescent="0.2">
      <c r="C3358" s="144"/>
      <c r="D3358" s="144"/>
      <c r="E3358" s="144"/>
      <c r="F3358" s="373"/>
      <c r="H3358" s="2168"/>
      <c r="I3358" s="70"/>
    </row>
    <row r="3359" spans="3:9" s="46" customFormat="1" x14ac:dyDescent="0.2">
      <c r="C3359" s="144"/>
      <c r="D3359" s="144"/>
      <c r="E3359" s="144"/>
      <c r="F3359" s="373"/>
      <c r="H3359" s="2168"/>
      <c r="I3359" s="70"/>
    </row>
    <row r="3360" spans="3:9" s="46" customFormat="1" x14ac:dyDescent="0.2">
      <c r="C3360" s="144"/>
      <c r="D3360" s="144"/>
      <c r="E3360" s="144"/>
      <c r="F3360" s="373"/>
      <c r="H3360" s="2168"/>
      <c r="I3360" s="70"/>
    </row>
    <row r="3361" spans="3:9" s="46" customFormat="1" x14ac:dyDescent="0.2">
      <c r="C3361" s="144"/>
      <c r="D3361" s="144"/>
      <c r="E3361" s="144"/>
      <c r="F3361" s="373"/>
      <c r="H3361" s="2168"/>
      <c r="I3361" s="70"/>
    </row>
    <row r="3362" spans="3:9" s="46" customFormat="1" x14ac:dyDescent="0.2">
      <c r="C3362" s="144"/>
      <c r="D3362" s="144"/>
      <c r="E3362" s="144"/>
      <c r="F3362" s="373"/>
      <c r="H3362" s="2168"/>
      <c r="I3362" s="70"/>
    </row>
    <row r="3363" spans="3:9" s="46" customFormat="1" x14ac:dyDescent="0.2">
      <c r="C3363" s="144"/>
      <c r="D3363" s="144"/>
      <c r="E3363" s="144"/>
      <c r="F3363" s="373"/>
      <c r="H3363" s="2168"/>
      <c r="I3363" s="70"/>
    </row>
    <row r="3364" spans="3:9" s="46" customFormat="1" x14ac:dyDescent="0.2">
      <c r="C3364" s="144"/>
      <c r="D3364" s="144"/>
      <c r="E3364" s="144"/>
      <c r="F3364" s="373"/>
      <c r="H3364" s="2168"/>
      <c r="I3364" s="70"/>
    </row>
    <row r="3365" spans="3:9" s="46" customFormat="1" x14ac:dyDescent="0.2">
      <c r="C3365" s="144"/>
      <c r="D3365" s="144"/>
      <c r="E3365" s="144"/>
      <c r="F3365" s="373"/>
      <c r="H3365" s="2168"/>
      <c r="I3365" s="70"/>
    </row>
    <row r="3366" spans="3:9" s="46" customFormat="1" x14ac:dyDescent="0.2">
      <c r="C3366" s="144"/>
      <c r="D3366" s="144"/>
      <c r="E3366" s="144"/>
      <c r="F3366" s="373"/>
      <c r="H3366" s="2168"/>
      <c r="I3366" s="70"/>
    </row>
    <row r="3367" spans="3:9" s="46" customFormat="1" x14ac:dyDescent="0.2">
      <c r="C3367" s="144"/>
      <c r="D3367" s="144"/>
      <c r="E3367" s="144"/>
      <c r="F3367" s="373"/>
      <c r="H3367" s="2168"/>
      <c r="I3367" s="70"/>
    </row>
    <row r="3368" spans="3:9" s="46" customFormat="1" x14ac:dyDescent="0.2">
      <c r="C3368" s="144"/>
      <c r="D3368" s="144"/>
      <c r="E3368" s="144"/>
      <c r="F3368" s="373"/>
      <c r="H3368" s="2168"/>
      <c r="I3368" s="70"/>
    </row>
    <row r="3369" spans="3:9" s="46" customFormat="1" x14ac:dyDescent="0.2">
      <c r="C3369" s="144"/>
      <c r="D3369" s="144"/>
      <c r="E3369" s="144"/>
      <c r="F3369" s="373"/>
      <c r="H3369" s="2168"/>
      <c r="I3369" s="70"/>
    </row>
    <row r="3370" spans="3:9" s="46" customFormat="1" x14ac:dyDescent="0.2">
      <c r="C3370" s="144"/>
      <c r="D3370" s="144"/>
      <c r="E3370" s="144"/>
      <c r="F3370" s="373"/>
      <c r="H3370" s="2168"/>
      <c r="I3370" s="70"/>
    </row>
    <row r="3371" spans="3:9" s="46" customFormat="1" x14ac:dyDescent="0.2">
      <c r="C3371" s="144"/>
      <c r="D3371" s="144"/>
      <c r="E3371" s="144"/>
      <c r="F3371" s="373"/>
      <c r="H3371" s="2168"/>
      <c r="I3371" s="70"/>
    </row>
    <row r="3372" spans="3:9" s="46" customFormat="1" x14ac:dyDescent="0.2">
      <c r="C3372" s="144"/>
      <c r="D3372" s="144"/>
      <c r="E3372" s="144"/>
      <c r="F3372" s="373"/>
      <c r="H3372" s="2168"/>
      <c r="I3372" s="70"/>
    </row>
    <row r="3373" spans="3:9" s="46" customFormat="1" x14ac:dyDescent="0.2">
      <c r="C3373" s="144"/>
      <c r="D3373" s="144"/>
      <c r="E3373" s="144"/>
      <c r="F3373" s="373"/>
      <c r="H3373" s="2168"/>
      <c r="I3373" s="70"/>
    </row>
    <row r="3374" spans="3:9" s="46" customFormat="1" x14ac:dyDescent="0.2">
      <c r="C3374" s="144"/>
      <c r="D3374" s="144"/>
      <c r="E3374" s="144"/>
      <c r="F3374" s="373"/>
      <c r="H3374" s="2168"/>
      <c r="I3374" s="70"/>
    </row>
    <row r="3375" spans="3:9" s="46" customFormat="1" x14ac:dyDescent="0.2">
      <c r="C3375" s="144"/>
      <c r="D3375" s="144"/>
      <c r="E3375" s="144"/>
      <c r="F3375" s="373"/>
      <c r="H3375" s="2168"/>
      <c r="I3375" s="70"/>
    </row>
    <row r="3376" spans="3:9" s="46" customFormat="1" x14ac:dyDescent="0.2">
      <c r="C3376" s="144"/>
      <c r="D3376" s="144"/>
      <c r="E3376" s="144"/>
      <c r="F3376" s="373"/>
      <c r="H3376" s="2168"/>
      <c r="I3376" s="70"/>
    </row>
    <row r="3377" spans="3:9" s="46" customFormat="1" x14ac:dyDescent="0.2">
      <c r="C3377" s="144"/>
      <c r="D3377" s="144"/>
      <c r="E3377" s="144"/>
      <c r="F3377" s="373"/>
      <c r="H3377" s="2168"/>
      <c r="I3377" s="70"/>
    </row>
    <row r="3378" spans="3:9" s="46" customFormat="1" x14ac:dyDescent="0.2">
      <c r="C3378" s="144"/>
      <c r="D3378" s="144"/>
      <c r="E3378" s="144"/>
      <c r="F3378" s="373"/>
      <c r="H3378" s="2168"/>
      <c r="I3378" s="70"/>
    </row>
    <row r="3379" spans="3:9" s="46" customFormat="1" x14ac:dyDescent="0.2">
      <c r="C3379" s="144"/>
      <c r="D3379" s="144"/>
      <c r="E3379" s="144"/>
      <c r="F3379" s="373"/>
      <c r="H3379" s="2168"/>
      <c r="I3379" s="70"/>
    </row>
    <row r="3380" spans="3:9" s="46" customFormat="1" x14ac:dyDescent="0.2">
      <c r="C3380" s="144"/>
      <c r="D3380" s="144"/>
      <c r="E3380" s="144"/>
      <c r="F3380" s="373"/>
      <c r="H3380" s="2168"/>
      <c r="I3380" s="70"/>
    </row>
    <row r="3381" spans="3:9" s="46" customFormat="1" x14ac:dyDescent="0.2">
      <c r="C3381" s="144"/>
      <c r="D3381" s="144"/>
      <c r="E3381" s="144"/>
      <c r="F3381" s="373"/>
      <c r="H3381" s="2168"/>
      <c r="I3381" s="70"/>
    </row>
    <row r="3382" spans="3:9" s="46" customFormat="1" x14ac:dyDescent="0.2">
      <c r="C3382" s="144"/>
      <c r="D3382" s="144"/>
      <c r="E3382" s="144"/>
      <c r="F3382" s="373"/>
      <c r="H3382" s="2168"/>
      <c r="I3382" s="70"/>
    </row>
    <row r="3383" spans="3:9" s="46" customFormat="1" x14ac:dyDescent="0.2">
      <c r="C3383" s="144"/>
      <c r="D3383" s="144"/>
      <c r="E3383" s="144"/>
      <c r="F3383" s="373"/>
      <c r="H3383" s="2168"/>
      <c r="I3383" s="70"/>
    </row>
    <row r="3384" spans="3:9" s="46" customFormat="1" x14ac:dyDescent="0.2">
      <c r="C3384" s="144"/>
      <c r="D3384" s="144"/>
      <c r="E3384" s="144"/>
      <c r="F3384" s="373"/>
      <c r="H3384" s="2168"/>
      <c r="I3384" s="70"/>
    </row>
    <row r="3385" spans="3:9" s="46" customFormat="1" x14ac:dyDescent="0.2">
      <c r="C3385" s="144"/>
      <c r="D3385" s="144"/>
      <c r="E3385" s="144"/>
      <c r="F3385" s="373"/>
      <c r="H3385" s="2168"/>
      <c r="I3385" s="70"/>
    </row>
    <row r="3386" spans="3:9" s="46" customFormat="1" x14ac:dyDescent="0.2">
      <c r="C3386" s="144"/>
      <c r="D3386" s="144"/>
      <c r="E3386" s="144"/>
      <c r="F3386" s="373"/>
      <c r="H3386" s="2168"/>
      <c r="I3386" s="70"/>
    </row>
    <row r="3387" spans="3:9" s="46" customFormat="1" x14ac:dyDescent="0.2">
      <c r="C3387" s="144"/>
      <c r="D3387" s="144"/>
      <c r="E3387" s="144"/>
      <c r="F3387" s="373"/>
      <c r="H3387" s="2168"/>
      <c r="I3387" s="70"/>
    </row>
    <row r="3388" spans="3:9" s="46" customFormat="1" x14ac:dyDescent="0.2">
      <c r="C3388" s="144"/>
      <c r="D3388" s="144"/>
      <c r="E3388" s="144"/>
      <c r="F3388" s="373"/>
      <c r="H3388" s="2168"/>
      <c r="I3388" s="70"/>
    </row>
    <row r="3389" spans="3:9" s="46" customFormat="1" x14ac:dyDescent="0.2">
      <c r="C3389" s="144"/>
      <c r="D3389" s="144"/>
      <c r="E3389" s="144"/>
      <c r="F3389" s="373"/>
      <c r="H3389" s="2168"/>
      <c r="I3389" s="70"/>
    </row>
    <row r="3390" spans="3:9" s="46" customFormat="1" x14ac:dyDescent="0.2">
      <c r="C3390" s="144"/>
      <c r="D3390" s="144"/>
      <c r="E3390" s="144"/>
      <c r="F3390" s="373"/>
      <c r="H3390" s="2168"/>
      <c r="I3390" s="70"/>
    </row>
    <row r="3391" spans="3:9" s="46" customFormat="1" x14ac:dyDescent="0.2">
      <c r="C3391" s="144"/>
      <c r="D3391" s="144"/>
      <c r="E3391" s="144"/>
      <c r="F3391" s="373"/>
      <c r="H3391" s="2168"/>
      <c r="I3391" s="70"/>
    </row>
    <row r="3392" spans="3:9" s="46" customFormat="1" x14ac:dyDescent="0.2">
      <c r="C3392" s="144"/>
      <c r="D3392" s="144"/>
      <c r="E3392" s="144"/>
      <c r="F3392" s="373"/>
      <c r="H3392" s="2168"/>
      <c r="I3392" s="70"/>
    </row>
    <row r="3393" spans="3:9" s="46" customFormat="1" x14ac:dyDescent="0.2">
      <c r="C3393" s="144"/>
      <c r="D3393" s="144"/>
      <c r="E3393" s="144"/>
      <c r="F3393" s="373"/>
      <c r="H3393" s="2168"/>
      <c r="I3393" s="70"/>
    </row>
    <row r="3394" spans="3:9" s="46" customFormat="1" x14ac:dyDescent="0.2">
      <c r="C3394" s="144"/>
      <c r="D3394" s="144"/>
      <c r="E3394" s="144"/>
      <c r="F3394" s="373"/>
      <c r="H3394" s="2168"/>
      <c r="I3394" s="70"/>
    </row>
    <row r="3395" spans="3:9" s="46" customFormat="1" x14ac:dyDescent="0.2">
      <c r="C3395" s="144"/>
      <c r="D3395" s="144"/>
      <c r="E3395" s="144"/>
      <c r="F3395" s="373"/>
      <c r="H3395" s="2168"/>
      <c r="I3395" s="70"/>
    </row>
    <row r="3396" spans="3:9" s="46" customFormat="1" x14ac:dyDescent="0.2">
      <c r="C3396" s="144"/>
      <c r="D3396" s="144"/>
      <c r="E3396" s="144"/>
      <c r="F3396" s="373"/>
      <c r="H3396" s="2168"/>
      <c r="I3396" s="70"/>
    </row>
    <row r="3397" spans="3:9" s="46" customFormat="1" x14ac:dyDescent="0.2">
      <c r="C3397" s="144"/>
      <c r="D3397" s="144"/>
      <c r="E3397" s="144"/>
      <c r="F3397" s="373"/>
      <c r="H3397" s="2168"/>
      <c r="I3397" s="70"/>
    </row>
    <row r="3398" spans="3:9" s="46" customFormat="1" x14ac:dyDescent="0.2">
      <c r="C3398" s="144"/>
      <c r="D3398" s="144"/>
      <c r="E3398" s="144"/>
      <c r="F3398" s="373"/>
      <c r="H3398" s="2168"/>
      <c r="I3398" s="70"/>
    </row>
    <row r="3399" spans="3:9" s="46" customFormat="1" x14ac:dyDescent="0.2">
      <c r="C3399" s="144"/>
      <c r="D3399" s="144"/>
      <c r="E3399" s="144"/>
      <c r="F3399" s="373"/>
      <c r="H3399" s="2168"/>
      <c r="I3399" s="70"/>
    </row>
    <row r="3400" spans="3:9" s="46" customFormat="1" x14ac:dyDescent="0.2">
      <c r="C3400" s="144"/>
      <c r="D3400" s="144"/>
      <c r="E3400" s="144"/>
      <c r="F3400" s="373"/>
      <c r="H3400" s="2168"/>
      <c r="I3400" s="70"/>
    </row>
    <row r="3401" spans="3:9" s="46" customFormat="1" x14ac:dyDescent="0.2">
      <c r="C3401" s="144"/>
      <c r="D3401" s="144"/>
      <c r="E3401" s="144"/>
      <c r="F3401" s="373"/>
      <c r="H3401" s="2168"/>
      <c r="I3401" s="70"/>
    </row>
    <row r="3402" spans="3:9" s="46" customFormat="1" x14ac:dyDescent="0.2">
      <c r="C3402" s="144"/>
      <c r="D3402" s="144"/>
      <c r="E3402" s="144"/>
      <c r="F3402" s="373"/>
      <c r="H3402" s="2168"/>
      <c r="I3402" s="70"/>
    </row>
    <row r="3403" spans="3:9" s="46" customFormat="1" x14ac:dyDescent="0.2">
      <c r="C3403" s="144"/>
      <c r="D3403" s="144"/>
      <c r="E3403" s="144"/>
      <c r="F3403" s="373"/>
      <c r="H3403" s="2168"/>
      <c r="I3403" s="70"/>
    </row>
    <row r="3404" spans="3:9" s="46" customFormat="1" x14ac:dyDescent="0.2">
      <c r="C3404" s="144"/>
      <c r="D3404" s="144"/>
      <c r="E3404" s="144"/>
      <c r="F3404" s="373"/>
      <c r="H3404" s="2168"/>
      <c r="I3404" s="70"/>
    </row>
    <row r="3405" spans="3:9" s="46" customFormat="1" x14ac:dyDescent="0.2">
      <c r="C3405" s="144"/>
      <c r="D3405" s="144"/>
      <c r="E3405" s="144"/>
      <c r="F3405" s="373"/>
      <c r="H3405" s="2168"/>
      <c r="I3405" s="70"/>
    </row>
    <row r="3406" spans="3:9" s="46" customFormat="1" x14ac:dyDescent="0.2">
      <c r="C3406" s="144"/>
      <c r="D3406" s="144"/>
      <c r="E3406" s="144"/>
      <c r="F3406" s="373"/>
      <c r="H3406" s="2168"/>
      <c r="I3406" s="70"/>
    </row>
    <row r="3407" spans="3:9" s="46" customFormat="1" x14ac:dyDescent="0.2">
      <c r="C3407" s="144"/>
      <c r="D3407" s="144"/>
      <c r="E3407" s="144"/>
      <c r="F3407" s="373"/>
      <c r="H3407" s="2168"/>
      <c r="I3407" s="70"/>
    </row>
    <row r="3408" spans="3:9" s="46" customFormat="1" x14ac:dyDescent="0.2">
      <c r="C3408" s="144"/>
      <c r="D3408" s="144"/>
      <c r="E3408" s="144"/>
      <c r="F3408" s="373"/>
      <c r="H3408" s="2168"/>
      <c r="I3408" s="70"/>
    </row>
    <row r="3409" spans="3:9" s="46" customFormat="1" x14ac:dyDescent="0.2">
      <c r="C3409" s="144"/>
      <c r="D3409" s="144"/>
      <c r="E3409" s="144"/>
      <c r="F3409" s="373"/>
      <c r="H3409" s="2168"/>
      <c r="I3409" s="70"/>
    </row>
    <row r="3410" spans="3:9" s="46" customFormat="1" x14ac:dyDescent="0.2">
      <c r="C3410" s="144"/>
      <c r="D3410" s="144"/>
      <c r="E3410" s="144"/>
      <c r="F3410" s="373"/>
      <c r="H3410" s="2168"/>
      <c r="I3410" s="70"/>
    </row>
    <row r="3411" spans="3:9" s="46" customFormat="1" x14ac:dyDescent="0.2">
      <c r="C3411" s="144"/>
      <c r="D3411" s="144"/>
      <c r="E3411" s="144"/>
      <c r="F3411" s="373"/>
      <c r="H3411" s="2168"/>
      <c r="I3411" s="70"/>
    </row>
    <row r="3412" spans="3:9" s="46" customFormat="1" x14ac:dyDescent="0.2">
      <c r="C3412" s="144"/>
      <c r="D3412" s="144"/>
      <c r="E3412" s="144"/>
      <c r="F3412" s="373"/>
      <c r="H3412" s="2168"/>
      <c r="I3412" s="70"/>
    </row>
    <row r="3413" spans="3:9" s="46" customFormat="1" x14ac:dyDescent="0.2">
      <c r="C3413" s="144"/>
      <c r="D3413" s="144"/>
      <c r="E3413" s="144"/>
      <c r="F3413" s="373"/>
      <c r="H3413" s="2168"/>
      <c r="I3413" s="70"/>
    </row>
    <row r="3414" spans="3:9" s="46" customFormat="1" x14ac:dyDescent="0.2">
      <c r="C3414" s="144"/>
      <c r="D3414" s="144"/>
      <c r="E3414" s="144"/>
      <c r="F3414" s="373"/>
      <c r="H3414" s="2168"/>
      <c r="I3414" s="70"/>
    </row>
    <row r="3415" spans="3:9" s="46" customFormat="1" x14ac:dyDescent="0.2">
      <c r="C3415" s="144"/>
      <c r="D3415" s="144"/>
      <c r="E3415" s="144"/>
      <c r="F3415" s="373"/>
      <c r="H3415" s="2168"/>
      <c r="I3415" s="70"/>
    </row>
    <row r="3416" spans="3:9" s="46" customFormat="1" x14ac:dyDescent="0.2">
      <c r="C3416" s="144"/>
      <c r="D3416" s="144"/>
      <c r="E3416" s="144"/>
      <c r="F3416" s="373"/>
      <c r="H3416" s="2168"/>
      <c r="I3416" s="70"/>
    </row>
    <row r="3417" spans="3:9" s="46" customFormat="1" x14ac:dyDescent="0.2">
      <c r="C3417" s="144"/>
      <c r="D3417" s="144"/>
      <c r="E3417" s="144"/>
      <c r="F3417" s="373"/>
      <c r="H3417" s="2168"/>
      <c r="I3417" s="70"/>
    </row>
    <row r="3418" spans="3:9" s="46" customFormat="1" x14ac:dyDescent="0.2">
      <c r="C3418" s="144"/>
      <c r="D3418" s="144"/>
      <c r="E3418" s="144"/>
      <c r="F3418" s="373"/>
      <c r="H3418" s="2168"/>
      <c r="I3418" s="70"/>
    </row>
    <row r="3419" spans="3:9" s="46" customFormat="1" x14ac:dyDescent="0.2">
      <c r="C3419" s="144"/>
      <c r="D3419" s="144"/>
      <c r="E3419" s="144"/>
      <c r="F3419" s="373"/>
      <c r="H3419" s="2168"/>
      <c r="I3419" s="70"/>
    </row>
    <row r="3420" spans="3:9" s="46" customFormat="1" x14ac:dyDescent="0.2">
      <c r="C3420" s="144"/>
      <c r="D3420" s="144"/>
      <c r="E3420" s="144"/>
      <c r="F3420" s="373"/>
      <c r="H3420" s="2168"/>
      <c r="I3420" s="70"/>
    </row>
    <row r="3421" spans="3:9" s="46" customFormat="1" x14ac:dyDescent="0.2">
      <c r="C3421" s="144"/>
      <c r="D3421" s="144"/>
      <c r="E3421" s="144"/>
      <c r="F3421" s="373"/>
      <c r="H3421" s="2168"/>
      <c r="I3421" s="70"/>
    </row>
    <row r="3422" spans="3:9" s="46" customFormat="1" x14ac:dyDescent="0.2">
      <c r="C3422" s="144"/>
      <c r="D3422" s="144"/>
      <c r="E3422" s="144"/>
      <c r="F3422" s="373"/>
      <c r="H3422" s="2168"/>
      <c r="I3422" s="70"/>
    </row>
    <row r="3423" spans="3:9" s="46" customFormat="1" x14ac:dyDescent="0.2">
      <c r="C3423" s="144"/>
      <c r="D3423" s="144"/>
      <c r="E3423" s="144"/>
      <c r="F3423" s="373"/>
      <c r="H3423" s="2168"/>
      <c r="I3423" s="70"/>
    </row>
    <row r="3424" spans="3:9" s="46" customFormat="1" x14ac:dyDescent="0.2">
      <c r="C3424" s="144"/>
      <c r="D3424" s="144"/>
      <c r="E3424" s="144"/>
      <c r="F3424" s="373"/>
      <c r="H3424" s="2168"/>
      <c r="I3424" s="70"/>
    </row>
    <row r="3425" spans="3:9" s="46" customFormat="1" x14ac:dyDescent="0.2">
      <c r="C3425" s="144"/>
      <c r="D3425" s="144"/>
      <c r="E3425" s="144"/>
      <c r="F3425" s="373"/>
      <c r="H3425" s="2168"/>
      <c r="I3425" s="70"/>
    </row>
    <row r="3426" spans="3:9" s="46" customFormat="1" x14ac:dyDescent="0.2">
      <c r="C3426" s="144"/>
      <c r="D3426" s="144"/>
      <c r="E3426" s="144"/>
      <c r="F3426" s="373"/>
      <c r="H3426" s="2168"/>
      <c r="I3426" s="70"/>
    </row>
    <row r="3427" spans="3:9" s="46" customFormat="1" x14ac:dyDescent="0.2">
      <c r="C3427" s="144"/>
      <c r="D3427" s="144"/>
      <c r="E3427" s="144"/>
      <c r="F3427" s="373"/>
      <c r="H3427" s="2168"/>
      <c r="I3427" s="70"/>
    </row>
    <row r="3428" spans="3:9" s="46" customFormat="1" x14ac:dyDescent="0.2">
      <c r="C3428" s="144"/>
      <c r="D3428" s="144"/>
      <c r="E3428" s="144"/>
      <c r="F3428" s="373"/>
      <c r="H3428" s="2168"/>
      <c r="I3428" s="70"/>
    </row>
    <row r="3429" spans="3:9" s="46" customFormat="1" x14ac:dyDescent="0.2">
      <c r="C3429" s="144"/>
      <c r="D3429" s="144"/>
      <c r="E3429" s="144"/>
      <c r="F3429" s="373"/>
      <c r="H3429" s="2168"/>
      <c r="I3429" s="70"/>
    </row>
    <row r="3430" spans="3:9" s="46" customFormat="1" x14ac:dyDescent="0.2">
      <c r="C3430" s="144"/>
      <c r="D3430" s="144"/>
      <c r="E3430" s="144"/>
      <c r="F3430" s="373"/>
      <c r="H3430" s="2168"/>
      <c r="I3430" s="70"/>
    </row>
    <row r="3431" spans="3:9" s="46" customFormat="1" x14ac:dyDescent="0.2">
      <c r="C3431" s="144"/>
      <c r="D3431" s="144"/>
      <c r="E3431" s="144"/>
      <c r="F3431" s="373"/>
      <c r="H3431" s="2168"/>
      <c r="I3431" s="70"/>
    </row>
    <row r="3432" spans="3:9" s="46" customFormat="1" x14ac:dyDescent="0.2">
      <c r="C3432" s="144"/>
      <c r="D3432" s="144"/>
      <c r="E3432" s="144"/>
      <c r="F3432" s="373"/>
      <c r="H3432" s="2168"/>
      <c r="I3432" s="70"/>
    </row>
    <row r="3433" spans="3:9" s="46" customFormat="1" x14ac:dyDescent="0.2">
      <c r="C3433" s="144"/>
      <c r="D3433" s="144"/>
      <c r="E3433" s="144"/>
      <c r="F3433" s="373"/>
      <c r="H3433" s="2168"/>
      <c r="I3433" s="70"/>
    </row>
    <row r="3434" spans="3:9" s="46" customFormat="1" x14ac:dyDescent="0.2">
      <c r="C3434" s="144"/>
      <c r="D3434" s="144"/>
      <c r="E3434" s="144"/>
      <c r="F3434" s="373"/>
      <c r="H3434" s="2168"/>
      <c r="I3434" s="70"/>
    </row>
    <row r="3435" spans="3:9" s="46" customFormat="1" x14ac:dyDescent="0.2">
      <c r="C3435" s="144"/>
      <c r="D3435" s="144"/>
      <c r="E3435" s="144"/>
      <c r="F3435" s="373"/>
      <c r="H3435" s="2168"/>
      <c r="I3435" s="70"/>
    </row>
    <row r="3436" spans="3:9" s="46" customFormat="1" x14ac:dyDescent="0.2">
      <c r="C3436" s="144"/>
      <c r="D3436" s="144"/>
      <c r="E3436" s="144"/>
      <c r="F3436" s="373"/>
      <c r="H3436" s="2168"/>
      <c r="I3436" s="70"/>
    </row>
    <row r="3437" spans="3:9" s="46" customFormat="1" x14ac:dyDescent="0.2">
      <c r="C3437" s="144"/>
      <c r="D3437" s="144"/>
      <c r="E3437" s="144"/>
      <c r="F3437" s="373"/>
      <c r="H3437" s="2168"/>
      <c r="I3437" s="70"/>
    </row>
    <row r="3438" spans="3:9" s="46" customFormat="1" x14ac:dyDescent="0.2">
      <c r="C3438" s="144"/>
      <c r="D3438" s="144"/>
      <c r="E3438" s="144"/>
      <c r="F3438" s="373"/>
      <c r="H3438" s="2168"/>
      <c r="I3438" s="70"/>
    </row>
    <row r="3439" spans="3:9" s="46" customFormat="1" x14ac:dyDescent="0.2">
      <c r="C3439" s="144"/>
      <c r="D3439" s="144"/>
      <c r="E3439" s="144"/>
      <c r="F3439" s="373"/>
      <c r="H3439" s="2168"/>
      <c r="I3439" s="70"/>
    </row>
    <row r="3440" spans="3:9" s="46" customFormat="1" x14ac:dyDescent="0.2">
      <c r="C3440" s="144"/>
      <c r="D3440" s="144"/>
      <c r="E3440" s="144"/>
      <c r="F3440" s="373"/>
      <c r="H3440" s="2168"/>
      <c r="I3440" s="70"/>
    </row>
    <row r="3441" spans="3:9" s="46" customFormat="1" x14ac:dyDescent="0.2">
      <c r="C3441" s="144"/>
      <c r="D3441" s="144"/>
      <c r="E3441" s="144"/>
      <c r="F3441" s="373"/>
      <c r="H3441" s="2168"/>
      <c r="I3441" s="70"/>
    </row>
    <row r="3442" spans="3:9" s="46" customFormat="1" x14ac:dyDescent="0.2">
      <c r="C3442" s="144"/>
      <c r="D3442" s="144"/>
      <c r="E3442" s="144"/>
      <c r="F3442" s="373"/>
      <c r="H3442" s="2168"/>
      <c r="I3442" s="70"/>
    </row>
    <row r="3443" spans="3:9" s="46" customFormat="1" x14ac:dyDescent="0.2">
      <c r="C3443" s="144"/>
      <c r="D3443" s="144"/>
      <c r="E3443" s="144"/>
      <c r="F3443" s="373"/>
      <c r="H3443" s="2168"/>
      <c r="I3443" s="70"/>
    </row>
    <row r="3444" spans="3:9" s="46" customFormat="1" x14ac:dyDescent="0.2">
      <c r="C3444" s="144"/>
      <c r="D3444" s="144"/>
      <c r="E3444" s="144"/>
      <c r="F3444" s="373"/>
      <c r="H3444" s="2168"/>
      <c r="I3444" s="70"/>
    </row>
    <row r="3445" spans="3:9" s="46" customFormat="1" x14ac:dyDescent="0.2">
      <c r="C3445" s="144"/>
      <c r="D3445" s="144"/>
      <c r="E3445" s="144"/>
      <c r="F3445" s="373"/>
      <c r="H3445" s="2168"/>
      <c r="I3445" s="70"/>
    </row>
    <row r="3446" spans="3:9" s="46" customFormat="1" x14ac:dyDescent="0.2">
      <c r="C3446" s="144"/>
      <c r="D3446" s="144"/>
      <c r="E3446" s="144"/>
      <c r="F3446" s="373"/>
      <c r="H3446" s="2168"/>
      <c r="I3446" s="70"/>
    </row>
    <row r="3447" spans="3:9" s="46" customFormat="1" x14ac:dyDescent="0.2">
      <c r="C3447" s="144"/>
      <c r="D3447" s="144"/>
      <c r="E3447" s="144"/>
      <c r="F3447" s="373"/>
      <c r="H3447" s="2168"/>
      <c r="I3447" s="70"/>
    </row>
    <row r="3448" spans="3:9" s="46" customFormat="1" x14ac:dyDescent="0.2">
      <c r="C3448" s="144"/>
      <c r="D3448" s="144"/>
      <c r="E3448" s="144"/>
      <c r="F3448" s="373"/>
      <c r="H3448" s="2168"/>
      <c r="I3448" s="70"/>
    </row>
    <row r="3449" spans="3:9" s="46" customFormat="1" x14ac:dyDescent="0.2">
      <c r="C3449" s="144"/>
      <c r="D3449" s="144"/>
      <c r="E3449" s="144"/>
      <c r="F3449" s="373"/>
      <c r="H3449" s="2168"/>
      <c r="I3449" s="70"/>
    </row>
    <row r="3450" spans="3:9" s="46" customFormat="1" x14ac:dyDescent="0.2">
      <c r="C3450" s="144"/>
      <c r="D3450" s="144"/>
      <c r="E3450" s="144"/>
      <c r="F3450" s="373"/>
      <c r="H3450" s="2168"/>
      <c r="I3450" s="70"/>
    </row>
    <row r="3451" spans="3:9" s="46" customFormat="1" x14ac:dyDescent="0.2">
      <c r="C3451" s="144"/>
      <c r="D3451" s="144"/>
      <c r="E3451" s="144"/>
      <c r="F3451" s="373"/>
      <c r="H3451" s="2168"/>
      <c r="I3451" s="70"/>
    </row>
    <row r="3452" spans="3:9" s="46" customFormat="1" x14ac:dyDescent="0.2">
      <c r="C3452" s="144"/>
      <c r="D3452" s="144"/>
      <c r="E3452" s="144"/>
      <c r="F3452" s="373"/>
      <c r="H3452" s="2168"/>
      <c r="I3452" s="70"/>
    </row>
    <row r="3453" spans="3:9" s="46" customFormat="1" x14ac:dyDescent="0.2">
      <c r="C3453" s="144"/>
      <c r="D3453" s="144"/>
      <c r="E3453" s="144"/>
      <c r="F3453" s="373"/>
      <c r="H3453" s="2168"/>
      <c r="I3453" s="70"/>
    </row>
    <row r="3454" spans="3:9" s="46" customFormat="1" x14ac:dyDescent="0.2">
      <c r="C3454" s="144"/>
      <c r="D3454" s="144"/>
      <c r="E3454" s="144"/>
      <c r="F3454" s="373"/>
      <c r="H3454" s="2168"/>
      <c r="I3454" s="70"/>
    </row>
    <row r="3455" spans="3:9" s="46" customFormat="1" x14ac:dyDescent="0.2">
      <c r="C3455" s="144"/>
      <c r="D3455" s="144"/>
      <c r="E3455" s="144"/>
      <c r="F3455" s="373"/>
      <c r="H3455" s="2168"/>
      <c r="I3455" s="70"/>
    </row>
    <row r="3456" spans="3:9" s="46" customFormat="1" x14ac:dyDescent="0.2">
      <c r="C3456" s="144"/>
      <c r="D3456" s="144"/>
      <c r="E3456" s="144"/>
      <c r="F3456" s="373"/>
      <c r="H3456" s="2168"/>
      <c r="I3456" s="70"/>
    </row>
    <row r="3457" spans="3:9" s="46" customFormat="1" x14ac:dyDescent="0.2">
      <c r="C3457" s="144"/>
      <c r="D3457" s="144"/>
      <c r="E3457" s="144"/>
      <c r="F3457" s="373"/>
      <c r="H3457" s="2168"/>
      <c r="I3457" s="70"/>
    </row>
    <row r="3458" spans="3:9" s="46" customFormat="1" x14ac:dyDescent="0.2">
      <c r="C3458" s="144"/>
      <c r="D3458" s="144"/>
      <c r="E3458" s="144"/>
      <c r="F3458" s="373"/>
      <c r="H3458" s="2168"/>
      <c r="I3458" s="70"/>
    </row>
    <row r="3459" spans="3:9" s="46" customFormat="1" x14ac:dyDescent="0.2">
      <c r="C3459" s="144"/>
      <c r="D3459" s="144"/>
      <c r="E3459" s="144"/>
      <c r="F3459" s="373"/>
      <c r="H3459" s="2168"/>
      <c r="I3459" s="70"/>
    </row>
    <row r="3460" spans="3:9" s="46" customFormat="1" x14ac:dyDescent="0.2">
      <c r="C3460" s="144"/>
      <c r="D3460" s="144"/>
      <c r="E3460" s="144"/>
      <c r="F3460" s="373"/>
      <c r="H3460" s="2168"/>
      <c r="I3460" s="70"/>
    </row>
    <row r="3461" spans="3:9" s="46" customFormat="1" x14ac:dyDescent="0.2">
      <c r="C3461" s="144"/>
      <c r="D3461" s="144"/>
      <c r="E3461" s="144"/>
      <c r="F3461" s="373"/>
      <c r="H3461" s="2168"/>
      <c r="I3461" s="70"/>
    </row>
    <row r="3462" spans="3:9" s="46" customFormat="1" x14ac:dyDescent="0.2">
      <c r="C3462" s="144"/>
      <c r="D3462" s="144"/>
      <c r="E3462" s="144"/>
      <c r="F3462" s="373"/>
      <c r="H3462" s="2168"/>
      <c r="I3462" s="70"/>
    </row>
    <row r="3463" spans="3:9" s="46" customFormat="1" x14ac:dyDescent="0.2">
      <c r="C3463" s="144"/>
      <c r="D3463" s="144"/>
      <c r="E3463" s="144"/>
      <c r="F3463" s="373"/>
      <c r="H3463" s="2168"/>
      <c r="I3463" s="70"/>
    </row>
    <row r="3464" spans="3:9" s="46" customFormat="1" x14ac:dyDescent="0.2">
      <c r="C3464" s="144"/>
      <c r="D3464" s="144"/>
      <c r="E3464" s="144"/>
      <c r="F3464" s="373"/>
      <c r="H3464" s="2168"/>
      <c r="I3464" s="70"/>
    </row>
    <row r="3465" spans="3:9" s="46" customFormat="1" x14ac:dyDescent="0.2">
      <c r="C3465" s="144"/>
      <c r="D3465" s="144"/>
      <c r="E3465" s="144"/>
      <c r="F3465" s="373"/>
      <c r="H3465" s="2168"/>
      <c r="I3465" s="70"/>
    </row>
    <row r="3466" spans="3:9" s="46" customFormat="1" x14ac:dyDescent="0.2">
      <c r="C3466" s="144"/>
      <c r="D3466" s="144"/>
      <c r="E3466" s="144"/>
      <c r="F3466" s="373"/>
      <c r="H3466" s="2168"/>
      <c r="I3466" s="70"/>
    </row>
    <row r="3467" spans="3:9" s="46" customFormat="1" x14ac:dyDescent="0.2">
      <c r="C3467" s="144"/>
      <c r="D3467" s="144"/>
      <c r="E3467" s="144"/>
      <c r="F3467" s="373"/>
      <c r="H3467" s="2168"/>
      <c r="I3467" s="70"/>
    </row>
    <row r="3468" spans="3:9" s="46" customFormat="1" x14ac:dyDescent="0.2">
      <c r="C3468" s="144"/>
      <c r="D3468" s="144"/>
      <c r="E3468" s="144"/>
      <c r="F3468" s="373"/>
      <c r="H3468" s="2168"/>
      <c r="I3468" s="70"/>
    </row>
    <row r="3469" spans="3:9" s="46" customFormat="1" x14ac:dyDescent="0.2">
      <c r="C3469" s="144"/>
      <c r="D3469" s="144"/>
      <c r="E3469" s="144"/>
      <c r="F3469" s="373"/>
      <c r="H3469" s="2168"/>
      <c r="I3469" s="70"/>
    </row>
    <row r="3470" spans="3:9" s="46" customFormat="1" x14ac:dyDescent="0.2">
      <c r="C3470" s="144"/>
      <c r="D3470" s="144"/>
      <c r="E3470" s="144"/>
      <c r="F3470" s="373"/>
      <c r="H3470" s="2168"/>
      <c r="I3470" s="70"/>
    </row>
    <row r="3471" spans="3:9" s="46" customFormat="1" x14ac:dyDescent="0.2">
      <c r="C3471" s="144"/>
      <c r="D3471" s="144"/>
      <c r="E3471" s="144"/>
      <c r="F3471" s="373"/>
      <c r="H3471" s="2168"/>
      <c r="I3471" s="70"/>
    </row>
    <row r="3472" spans="3:9" s="46" customFormat="1" x14ac:dyDescent="0.2">
      <c r="C3472" s="144"/>
      <c r="D3472" s="144"/>
      <c r="E3472" s="144"/>
      <c r="F3472" s="373"/>
      <c r="H3472" s="2168"/>
      <c r="I3472" s="70"/>
    </row>
    <row r="3473" spans="3:9" s="46" customFormat="1" x14ac:dyDescent="0.2">
      <c r="C3473" s="144"/>
      <c r="D3473" s="144"/>
      <c r="E3473" s="144"/>
      <c r="F3473" s="373"/>
      <c r="H3473" s="2168"/>
      <c r="I3473" s="70"/>
    </row>
    <row r="3474" spans="3:9" s="46" customFormat="1" x14ac:dyDescent="0.2">
      <c r="C3474" s="144"/>
      <c r="D3474" s="144"/>
      <c r="E3474" s="144"/>
      <c r="F3474" s="373"/>
      <c r="H3474" s="2168"/>
      <c r="I3474" s="70"/>
    </row>
    <row r="3475" spans="3:9" s="46" customFormat="1" x14ac:dyDescent="0.2">
      <c r="C3475" s="144"/>
      <c r="D3475" s="144"/>
      <c r="E3475" s="144"/>
      <c r="F3475" s="373"/>
      <c r="H3475" s="2168"/>
      <c r="I3475" s="70"/>
    </row>
    <row r="3476" spans="3:9" s="46" customFormat="1" x14ac:dyDescent="0.2">
      <c r="C3476" s="144"/>
      <c r="D3476" s="144"/>
      <c r="E3476" s="144"/>
      <c r="F3476" s="373"/>
      <c r="H3476" s="2168"/>
      <c r="I3476" s="70"/>
    </row>
    <row r="3477" spans="3:9" s="46" customFormat="1" x14ac:dyDescent="0.2">
      <c r="C3477" s="144"/>
      <c r="D3477" s="144"/>
      <c r="E3477" s="144"/>
      <c r="F3477" s="373"/>
      <c r="H3477" s="2168"/>
      <c r="I3477" s="70"/>
    </row>
    <row r="3478" spans="3:9" s="46" customFormat="1" x14ac:dyDescent="0.2">
      <c r="C3478" s="144"/>
      <c r="D3478" s="144"/>
      <c r="E3478" s="144"/>
      <c r="F3478" s="373"/>
      <c r="H3478" s="2168"/>
      <c r="I3478" s="70"/>
    </row>
    <row r="3479" spans="3:9" s="46" customFormat="1" x14ac:dyDescent="0.2">
      <c r="C3479" s="144"/>
      <c r="D3479" s="144"/>
      <c r="E3479" s="144"/>
      <c r="F3479" s="373"/>
      <c r="H3479" s="2168"/>
      <c r="I3479" s="70"/>
    </row>
    <row r="3480" spans="3:9" s="46" customFormat="1" x14ac:dyDescent="0.2">
      <c r="C3480" s="144"/>
      <c r="D3480" s="144"/>
      <c r="E3480" s="144"/>
      <c r="F3480" s="373"/>
      <c r="H3480" s="2168"/>
      <c r="I3480" s="70"/>
    </row>
    <row r="3481" spans="3:9" s="46" customFormat="1" x14ac:dyDescent="0.2">
      <c r="C3481" s="144"/>
      <c r="D3481" s="144"/>
      <c r="E3481" s="144"/>
      <c r="F3481" s="373"/>
      <c r="H3481" s="2168"/>
      <c r="I3481" s="70"/>
    </row>
    <row r="3482" spans="3:9" s="46" customFormat="1" x14ac:dyDescent="0.2">
      <c r="C3482" s="144"/>
      <c r="D3482" s="144"/>
      <c r="E3482" s="144"/>
      <c r="F3482" s="373"/>
      <c r="H3482" s="2168"/>
      <c r="I3482" s="70"/>
    </row>
    <row r="3483" spans="3:9" s="46" customFormat="1" x14ac:dyDescent="0.2">
      <c r="C3483" s="144"/>
      <c r="D3483" s="144"/>
      <c r="E3483" s="144"/>
      <c r="F3483" s="373"/>
      <c r="H3483" s="2168"/>
      <c r="I3483" s="70"/>
    </row>
    <row r="3484" spans="3:9" s="46" customFormat="1" x14ac:dyDescent="0.2">
      <c r="C3484" s="144"/>
      <c r="D3484" s="144"/>
      <c r="E3484" s="144"/>
      <c r="F3484" s="373"/>
      <c r="H3484" s="2168"/>
      <c r="I3484" s="70"/>
    </row>
    <row r="3485" spans="3:9" s="46" customFormat="1" x14ac:dyDescent="0.2">
      <c r="C3485" s="144"/>
      <c r="D3485" s="144"/>
      <c r="E3485" s="144"/>
      <c r="F3485" s="373"/>
      <c r="H3485" s="2168"/>
      <c r="I3485" s="70"/>
    </row>
    <row r="3486" spans="3:9" s="46" customFormat="1" x14ac:dyDescent="0.2">
      <c r="C3486" s="144"/>
      <c r="D3486" s="144"/>
      <c r="E3486" s="144"/>
      <c r="F3486" s="373"/>
      <c r="H3486" s="2168"/>
      <c r="I3486" s="70"/>
    </row>
    <row r="3487" spans="3:9" s="46" customFormat="1" x14ac:dyDescent="0.2">
      <c r="C3487" s="144"/>
      <c r="D3487" s="144"/>
      <c r="E3487" s="144"/>
      <c r="F3487" s="373"/>
      <c r="H3487" s="2168"/>
      <c r="I3487" s="70"/>
    </row>
    <row r="3488" spans="3:9" s="46" customFormat="1" x14ac:dyDescent="0.2">
      <c r="C3488" s="144"/>
      <c r="D3488" s="144"/>
      <c r="E3488" s="144"/>
      <c r="F3488" s="373"/>
      <c r="H3488" s="2168"/>
      <c r="I3488" s="70"/>
    </row>
    <row r="3489" spans="3:9" s="46" customFormat="1" x14ac:dyDescent="0.2">
      <c r="C3489" s="144"/>
      <c r="D3489" s="144"/>
      <c r="E3489" s="144"/>
      <c r="F3489" s="373"/>
      <c r="H3489" s="2168"/>
      <c r="I3489" s="70"/>
    </row>
    <row r="3490" spans="3:9" s="46" customFormat="1" x14ac:dyDescent="0.2">
      <c r="C3490" s="144"/>
      <c r="D3490" s="144"/>
      <c r="E3490" s="144"/>
      <c r="F3490" s="373"/>
      <c r="H3490" s="2168"/>
      <c r="I3490" s="70"/>
    </row>
    <row r="3491" spans="3:9" s="46" customFormat="1" x14ac:dyDescent="0.2">
      <c r="C3491" s="144"/>
      <c r="D3491" s="144"/>
      <c r="E3491" s="144"/>
      <c r="F3491" s="373"/>
      <c r="H3491" s="2168"/>
      <c r="I3491" s="70"/>
    </row>
    <row r="3492" spans="3:9" s="46" customFormat="1" x14ac:dyDescent="0.2">
      <c r="C3492" s="144"/>
      <c r="D3492" s="144"/>
      <c r="E3492" s="144"/>
      <c r="F3492" s="373"/>
      <c r="H3492" s="2168"/>
      <c r="I3492" s="70"/>
    </row>
    <row r="3493" spans="3:9" s="46" customFormat="1" x14ac:dyDescent="0.2">
      <c r="C3493" s="144"/>
      <c r="D3493" s="144"/>
      <c r="E3493" s="144"/>
      <c r="F3493" s="373"/>
      <c r="H3493" s="2168"/>
      <c r="I3493" s="70"/>
    </row>
    <row r="3494" spans="3:9" s="46" customFormat="1" x14ac:dyDescent="0.2">
      <c r="C3494" s="144"/>
      <c r="D3494" s="144"/>
      <c r="E3494" s="144"/>
      <c r="F3494" s="373"/>
      <c r="H3494" s="2168"/>
      <c r="I3494" s="70"/>
    </row>
    <row r="3495" spans="3:9" s="46" customFormat="1" x14ac:dyDescent="0.2">
      <c r="C3495" s="144"/>
      <c r="D3495" s="144"/>
      <c r="E3495" s="144"/>
      <c r="F3495" s="373"/>
      <c r="H3495" s="2168"/>
      <c r="I3495" s="70"/>
    </row>
    <row r="3496" spans="3:9" s="46" customFormat="1" x14ac:dyDescent="0.2">
      <c r="C3496" s="144"/>
      <c r="D3496" s="144"/>
      <c r="E3496" s="144"/>
      <c r="F3496" s="373"/>
      <c r="H3496" s="2168"/>
      <c r="I3496" s="70"/>
    </row>
    <row r="3497" spans="3:9" s="46" customFormat="1" x14ac:dyDescent="0.2">
      <c r="C3497" s="144"/>
      <c r="D3497" s="144"/>
      <c r="E3497" s="144"/>
      <c r="F3497" s="373"/>
      <c r="H3497" s="2168"/>
      <c r="I3497" s="70"/>
    </row>
    <row r="3498" spans="3:9" s="46" customFormat="1" x14ac:dyDescent="0.2">
      <c r="C3498" s="144"/>
      <c r="D3498" s="144"/>
      <c r="E3498" s="144"/>
      <c r="F3498" s="373"/>
      <c r="H3498" s="2168"/>
      <c r="I3498" s="70"/>
    </row>
    <row r="3499" spans="3:9" s="46" customFormat="1" x14ac:dyDescent="0.2">
      <c r="C3499" s="144"/>
      <c r="D3499" s="144"/>
      <c r="E3499" s="144"/>
      <c r="F3499" s="373"/>
      <c r="H3499" s="2168"/>
      <c r="I3499" s="70"/>
    </row>
    <row r="3500" spans="3:9" s="46" customFormat="1" x14ac:dyDescent="0.2">
      <c r="C3500" s="144"/>
      <c r="D3500" s="144"/>
      <c r="E3500" s="144"/>
      <c r="F3500" s="373"/>
      <c r="H3500" s="2168"/>
      <c r="I3500" s="70"/>
    </row>
    <row r="3501" spans="3:9" s="46" customFormat="1" x14ac:dyDescent="0.2">
      <c r="C3501" s="144"/>
      <c r="D3501" s="144"/>
      <c r="E3501" s="144"/>
      <c r="F3501" s="373"/>
      <c r="H3501" s="2168"/>
      <c r="I3501" s="70"/>
    </row>
    <row r="3502" spans="3:9" s="46" customFormat="1" x14ac:dyDescent="0.2">
      <c r="C3502" s="144"/>
      <c r="D3502" s="144"/>
      <c r="E3502" s="144"/>
      <c r="F3502" s="373"/>
      <c r="H3502" s="2168"/>
      <c r="I3502" s="70"/>
    </row>
    <row r="3503" spans="3:9" s="46" customFormat="1" x14ac:dyDescent="0.2">
      <c r="C3503" s="144"/>
      <c r="D3503" s="144"/>
      <c r="E3503" s="144"/>
      <c r="F3503" s="373"/>
      <c r="H3503" s="2168"/>
      <c r="I3503" s="70"/>
    </row>
    <row r="3504" spans="3:9" s="46" customFormat="1" x14ac:dyDescent="0.2">
      <c r="C3504" s="144"/>
      <c r="D3504" s="144"/>
      <c r="E3504" s="144"/>
      <c r="F3504" s="373"/>
      <c r="H3504" s="2168"/>
      <c r="I3504" s="70"/>
    </row>
    <row r="3505" spans="3:9" s="46" customFormat="1" x14ac:dyDescent="0.2">
      <c r="C3505" s="144"/>
      <c r="D3505" s="144"/>
      <c r="E3505" s="144"/>
      <c r="F3505" s="373"/>
      <c r="H3505" s="2168"/>
      <c r="I3505" s="70"/>
    </row>
    <row r="3506" spans="3:9" s="46" customFormat="1" x14ac:dyDescent="0.2">
      <c r="C3506" s="144"/>
      <c r="D3506" s="144"/>
      <c r="E3506" s="144"/>
      <c r="F3506" s="373"/>
      <c r="H3506" s="2168"/>
      <c r="I3506" s="70"/>
    </row>
    <row r="3507" spans="3:9" s="46" customFormat="1" x14ac:dyDescent="0.2">
      <c r="C3507" s="144"/>
      <c r="D3507" s="144"/>
      <c r="E3507" s="144"/>
      <c r="F3507" s="373"/>
      <c r="H3507" s="2168"/>
      <c r="I3507" s="70"/>
    </row>
    <row r="3508" spans="3:9" s="46" customFormat="1" x14ac:dyDescent="0.2">
      <c r="C3508" s="144"/>
      <c r="D3508" s="144"/>
      <c r="E3508" s="144"/>
      <c r="F3508" s="373"/>
      <c r="H3508" s="2168"/>
      <c r="I3508" s="70"/>
    </row>
    <row r="3509" spans="3:9" s="46" customFormat="1" x14ac:dyDescent="0.2">
      <c r="C3509" s="144"/>
      <c r="D3509" s="144"/>
      <c r="E3509" s="144"/>
      <c r="F3509" s="373"/>
      <c r="H3509" s="2168"/>
      <c r="I3509" s="70"/>
    </row>
    <row r="3510" spans="3:9" s="46" customFormat="1" x14ac:dyDescent="0.2">
      <c r="C3510" s="144"/>
      <c r="D3510" s="144"/>
      <c r="E3510" s="144"/>
      <c r="F3510" s="373"/>
      <c r="H3510" s="2168"/>
      <c r="I3510" s="70"/>
    </row>
    <row r="3511" spans="3:9" s="46" customFormat="1" x14ac:dyDescent="0.2">
      <c r="C3511" s="144"/>
      <c r="D3511" s="144"/>
      <c r="E3511" s="144"/>
      <c r="F3511" s="373"/>
      <c r="H3511" s="2168"/>
      <c r="I3511" s="70"/>
    </row>
    <row r="3512" spans="3:9" s="46" customFormat="1" x14ac:dyDescent="0.2">
      <c r="C3512" s="144"/>
      <c r="D3512" s="144"/>
      <c r="E3512" s="144"/>
      <c r="F3512" s="373"/>
      <c r="H3512" s="2168"/>
      <c r="I3512" s="70"/>
    </row>
    <row r="3513" spans="3:9" s="46" customFormat="1" x14ac:dyDescent="0.2">
      <c r="C3513" s="144"/>
      <c r="D3513" s="144"/>
      <c r="E3513" s="144"/>
      <c r="F3513" s="373"/>
      <c r="H3513" s="2168"/>
      <c r="I3513" s="70"/>
    </row>
    <row r="3514" spans="3:9" s="46" customFormat="1" x14ac:dyDescent="0.2">
      <c r="C3514" s="144"/>
      <c r="D3514" s="144"/>
      <c r="E3514" s="144"/>
      <c r="F3514" s="373"/>
      <c r="H3514" s="2168"/>
      <c r="I3514" s="70"/>
    </row>
    <row r="3515" spans="3:9" s="46" customFormat="1" x14ac:dyDescent="0.2">
      <c r="C3515" s="144"/>
      <c r="D3515" s="144"/>
      <c r="E3515" s="144"/>
      <c r="F3515" s="373"/>
      <c r="H3515" s="2168"/>
      <c r="I3515" s="70"/>
    </row>
    <row r="3516" spans="3:9" s="46" customFormat="1" x14ac:dyDescent="0.2">
      <c r="C3516" s="144"/>
      <c r="D3516" s="144"/>
      <c r="E3516" s="144"/>
      <c r="F3516" s="373"/>
      <c r="H3516" s="2168"/>
      <c r="I3516" s="70"/>
    </row>
    <row r="3517" spans="3:9" s="46" customFormat="1" x14ac:dyDescent="0.2">
      <c r="C3517" s="144"/>
      <c r="D3517" s="144"/>
      <c r="E3517" s="144"/>
      <c r="F3517" s="373"/>
      <c r="H3517" s="2168"/>
      <c r="I3517" s="70"/>
    </row>
    <row r="3518" spans="3:9" s="46" customFormat="1" x14ac:dyDescent="0.2">
      <c r="C3518" s="144"/>
      <c r="D3518" s="144"/>
      <c r="E3518" s="144"/>
      <c r="F3518" s="373"/>
      <c r="H3518" s="2168"/>
      <c r="I3518" s="70"/>
    </row>
    <row r="3519" spans="3:9" s="46" customFormat="1" x14ac:dyDescent="0.2">
      <c r="C3519" s="144"/>
      <c r="D3519" s="144"/>
      <c r="E3519" s="144"/>
      <c r="F3519" s="373"/>
      <c r="H3519" s="2168"/>
      <c r="I3519" s="70"/>
    </row>
    <row r="3520" spans="3:9" s="46" customFormat="1" x14ac:dyDescent="0.2">
      <c r="C3520" s="144"/>
      <c r="D3520" s="144"/>
      <c r="E3520" s="144"/>
      <c r="F3520" s="373"/>
      <c r="H3520" s="2168"/>
      <c r="I3520" s="70"/>
    </row>
    <row r="3521" spans="3:9" s="46" customFormat="1" x14ac:dyDescent="0.2">
      <c r="C3521" s="144"/>
      <c r="D3521" s="144"/>
      <c r="E3521" s="144"/>
      <c r="F3521" s="373"/>
      <c r="H3521" s="2168"/>
      <c r="I3521" s="70"/>
    </row>
    <row r="3522" spans="3:9" s="46" customFormat="1" x14ac:dyDescent="0.2">
      <c r="C3522" s="144"/>
      <c r="D3522" s="144"/>
      <c r="E3522" s="144"/>
      <c r="F3522" s="373"/>
      <c r="H3522" s="2168"/>
      <c r="I3522" s="70"/>
    </row>
    <row r="3523" spans="3:9" s="46" customFormat="1" x14ac:dyDescent="0.2">
      <c r="C3523" s="144"/>
      <c r="D3523" s="144"/>
      <c r="E3523" s="144"/>
      <c r="F3523" s="373"/>
      <c r="H3523" s="2168"/>
      <c r="I3523" s="70"/>
    </row>
    <row r="3524" spans="3:9" s="46" customFormat="1" x14ac:dyDescent="0.2">
      <c r="C3524" s="144"/>
      <c r="D3524" s="144"/>
      <c r="E3524" s="144"/>
      <c r="F3524" s="373"/>
      <c r="H3524" s="2168"/>
      <c r="I3524" s="70"/>
    </row>
    <row r="3525" spans="3:9" s="46" customFormat="1" x14ac:dyDescent="0.2">
      <c r="C3525" s="144"/>
      <c r="D3525" s="144"/>
      <c r="E3525" s="144"/>
      <c r="F3525" s="373"/>
      <c r="H3525" s="2168"/>
      <c r="I3525" s="70"/>
    </row>
    <row r="3526" spans="3:9" s="46" customFormat="1" x14ac:dyDescent="0.2">
      <c r="C3526" s="144"/>
      <c r="D3526" s="144"/>
      <c r="E3526" s="144"/>
      <c r="F3526" s="373"/>
      <c r="H3526" s="2168"/>
      <c r="I3526" s="70"/>
    </row>
    <row r="3527" spans="3:9" s="46" customFormat="1" x14ac:dyDescent="0.2">
      <c r="C3527" s="144"/>
      <c r="D3527" s="144"/>
      <c r="E3527" s="144"/>
      <c r="F3527" s="373"/>
      <c r="H3527" s="2168"/>
      <c r="I3527" s="70"/>
    </row>
    <row r="3528" spans="3:9" s="46" customFormat="1" x14ac:dyDescent="0.2">
      <c r="C3528" s="144"/>
      <c r="D3528" s="144"/>
      <c r="E3528" s="144"/>
      <c r="F3528" s="373"/>
      <c r="H3528" s="2168"/>
      <c r="I3528" s="70"/>
    </row>
    <row r="3529" spans="3:9" s="46" customFormat="1" x14ac:dyDescent="0.2">
      <c r="C3529" s="144"/>
      <c r="D3529" s="144"/>
      <c r="E3529" s="144"/>
      <c r="F3529" s="373"/>
      <c r="H3529" s="2168"/>
      <c r="I3529" s="70"/>
    </row>
    <row r="3530" spans="3:9" s="46" customFormat="1" x14ac:dyDescent="0.2">
      <c r="C3530" s="144"/>
      <c r="D3530" s="144"/>
      <c r="E3530" s="144"/>
      <c r="F3530" s="373"/>
      <c r="H3530" s="2168"/>
      <c r="I3530" s="70"/>
    </row>
    <row r="3531" spans="3:9" s="46" customFormat="1" x14ac:dyDescent="0.2">
      <c r="C3531" s="144"/>
      <c r="D3531" s="144"/>
      <c r="E3531" s="144"/>
      <c r="F3531" s="373"/>
      <c r="H3531" s="2168"/>
      <c r="I3531" s="70"/>
    </row>
    <row r="3532" spans="3:9" s="46" customFormat="1" x14ac:dyDescent="0.2">
      <c r="C3532" s="144"/>
      <c r="D3532" s="144"/>
      <c r="E3532" s="144"/>
      <c r="F3532" s="373"/>
      <c r="H3532" s="2168"/>
      <c r="I3532" s="70"/>
    </row>
    <row r="3533" spans="3:9" s="46" customFormat="1" x14ac:dyDescent="0.2">
      <c r="C3533" s="144"/>
      <c r="D3533" s="144"/>
      <c r="E3533" s="144"/>
      <c r="F3533" s="373"/>
      <c r="H3533" s="2168"/>
      <c r="I3533" s="70"/>
    </row>
    <row r="3534" spans="3:9" s="46" customFormat="1" x14ac:dyDescent="0.2">
      <c r="C3534" s="144"/>
      <c r="D3534" s="144"/>
      <c r="E3534" s="144"/>
      <c r="F3534" s="373"/>
      <c r="H3534" s="2168"/>
      <c r="I3534" s="70"/>
    </row>
    <row r="3535" spans="3:9" s="46" customFormat="1" x14ac:dyDescent="0.2">
      <c r="C3535" s="144"/>
      <c r="D3535" s="144"/>
      <c r="E3535" s="144"/>
      <c r="F3535" s="373"/>
      <c r="H3535" s="2168"/>
      <c r="I3535" s="70"/>
    </row>
    <row r="3536" spans="3:9" s="46" customFormat="1" x14ac:dyDescent="0.2">
      <c r="C3536" s="144"/>
      <c r="D3536" s="144"/>
      <c r="E3536" s="144"/>
      <c r="F3536" s="373"/>
      <c r="H3536" s="2168"/>
      <c r="I3536" s="70"/>
    </row>
    <row r="3537" spans="3:9" s="46" customFormat="1" x14ac:dyDescent="0.2">
      <c r="C3537" s="144"/>
      <c r="D3537" s="144"/>
      <c r="E3537" s="144"/>
      <c r="F3537" s="373"/>
      <c r="H3537" s="2168"/>
      <c r="I3537" s="70"/>
    </row>
    <row r="3538" spans="3:9" s="46" customFormat="1" x14ac:dyDescent="0.2">
      <c r="C3538" s="144"/>
      <c r="D3538" s="144"/>
      <c r="E3538" s="144"/>
      <c r="F3538" s="373"/>
      <c r="H3538" s="2168"/>
      <c r="I3538" s="70"/>
    </row>
    <row r="3539" spans="3:9" s="46" customFormat="1" x14ac:dyDescent="0.2">
      <c r="C3539" s="144"/>
      <c r="D3539" s="144"/>
      <c r="E3539" s="144"/>
      <c r="F3539" s="373"/>
      <c r="H3539" s="2168"/>
      <c r="I3539" s="70"/>
    </row>
    <row r="3540" spans="3:9" s="46" customFormat="1" x14ac:dyDescent="0.2">
      <c r="C3540" s="144"/>
      <c r="D3540" s="144"/>
      <c r="E3540" s="144"/>
      <c r="F3540" s="373"/>
      <c r="H3540" s="2168"/>
      <c r="I3540" s="70"/>
    </row>
    <row r="3541" spans="3:9" s="46" customFormat="1" x14ac:dyDescent="0.2">
      <c r="C3541" s="144"/>
      <c r="D3541" s="144"/>
      <c r="E3541" s="144"/>
      <c r="F3541" s="373"/>
      <c r="H3541" s="2168"/>
      <c r="I3541" s="70"/>
    </row>
    <row r="3542" spans="3:9" s="46" customFormat="1" x14ac:dyDescent="0.2">
      <c r="C3542" s="144"/>
      <c r="D3542" s="144"/>
      <c r="E3542" s="144"/>
      <c r="F3542" s="373"/>
      <c r="H3542" s="2168"/>
      <c r="I3542" s="70"/>
    </row>
    <row r="3543" spans="3:9" s="46" customFormat="1" x14ac:dyDescent="0.2">
      <c r="C3543" s="144"/>
      <c r="D3543" s="144"/>
      <c r="E3543" s="144"/>
      <c r="F3543" s="373"/>
      <c r="H3543" s="2168"/>
      <c r="I3543" s="70"/>
    </row>
    <row r="3544" spans="3:9" s="46" customFormat="1" x14ac:dyDescent="0.2">
      <c r="C3544" s="144"/>
      <c r="D3544" s="144"/>
      <c r="E3544" s="144"/>
      <c r="F3544" s="373"/>
      <c r="H3544" s="2168"/>
      <c r="I3544" s="70"/>
    </row>
    <row r="3545" spans="3:9" s="46" customFormat="1" x14ac:dyDescent="0.2">
      <c r="C3545" s="144"/>
      <c r="D3545" s="144"/>
      <c r="E3545" s="144"/>
      <c r="F3545" s="373"/>
      <c r="H3545" s="2168"/>
      <c r="I3545" s="70"/>
    </row>
    <row r="3546" spans="3:9" s="46" customFormat="1" x14ac:dyDescent="0.2">
      <c r="C3546" s="144"/>
      <c r="D3546" s="144"/>
      <c r="E3546" s="144"/>
      <c r="F3546" s="373"/>
      <c r="H3546" s="2168"/>
      <c r="I3546" s="70"/>
    </row>
    <row r="3547" spans="3:9" s="46" customFormat="1" x14ac:dyDescent="0.2">
      <c r="C3547" s="144"/>
      <c r="D3547" s="144"/>
      <c r="E3547" s="144"/>
      <c r="F3547" s="373"/>
      <c r="H3547" s="2168"/>
      <c r="I3547" s="70"/>
    </row>
    <row r="3548" spans="3:9" s="46" customFormat="1" x14ac:dyDescent="0.2">
      <c r="C3548" s="144"/>
      <c r="D3548" s="144"/>
      <c r="E3548" s="144"/>
      <c r="F3548" s="373"/>
      <c r="H3548" s="2168"/>
      <c r="I3548" s="70"/>
    </row>
    <row r="3549" spans="3:9" s="46" customFormat="1" x14ac:dyDescent="0.2">
      <c r="C3549" s="144"/>
      <c r="D3549" s="144"/>
      <c r="E3549" s="144"/>
      <c r="F3549" s="373"/>
      <c r="H3549" s="2168"/>
      <c r="I3549" s="70"/>
    </row>
    <row r="3550" spans="3:9" s="46" customFormat="1" x14ac:dyDescent="0.2">
      <c r="C3550" s="144"/>
      <c r="D3550" s="144"/>
      <c r="E3550" s="144"/>
      <c r="F3550" s="373"/>
      <c r="H3550" s="2168"/>
      <c r="I3550" s="70"/>
    </row>
    <row r="3551" spans="3:9" s="46" customFormat="1" x14ac:dyDescent="0.2">
      <c r="C3551" s="144"/>
      <c r="D3551" s="144"/>
      <c r="E3551" s="144"/>
      <c r="F3551" s="373"/>
      <c r="H3551" s="2168"/>
      <c r="I3551" s="70"/>
    </row>
    <row r="3552" spans="3:9" s="46" customFormat="1" x14ac:dyDescent="0.2">
      <c r="C3552" s="144"/>
      <c r="D3552" s="144"/>
      <c r="E3552" s="144"/>
      <c r="F3552" s="373"/>
      <c r="H3552" s="2168"/>
      <c r="I3552" s="70"/>
    </row>
    <row r="3553" spans="3:9" s="46" customFormat="1" x14ac:dyDescent="0.2">
      <c r="C3553" s="144"/>
      <c r="D3553" s="144"/>
      <c r="E3553" s="144"/>
      <c r="F3553" s="373"/>
      <c r="H3553" s="2168"/>
      <c r="I3553" s="70"/>
    </row>
    <row r="3554" spans="3:9" s="46" customFormat="1" x14ac:dyDescent="0.2">
      <c r="C3554" s="144"/>
      <c r="D3554" s="144"/>
      <c r="E3554" s="144"/>
      <c r="F3554" s="373"/>
      <c r="H3554" s="2168"/>
      <c r="I3554" s="70"/>
    </row>
    <row r="3555" spans="3:9" s="46" customFormat="1" x14ac:dyDescent="0.2">
      <c r="C3555" s="144"/>
      <c r="D3555" s="144"/>
      <c r="E3555" s="144"/>
      <c r="F3555" s="373"/>
      <c r="H3555" s="2168"/>
      <c r="I3555" s="70"/>
    </row>
    <row r="3556" spans="3:9" s="46" customFormat="1" x14ac:dyDescent="0.2">
      <c r="C3556" s="144"/>
      <c r="D3556" s="144"/>
      <c r="E3556" s="144"/>
      <c r="F3556" s="373"/>
      <c r="H3556" s="2168"/>
      <c r="I3556" s="70"/>
    </row>
    <row r="3557" spans="3:9" s="46" customFormat="1" x14ac:dyDescent="0.2">
      <c r="C3557" s="144"/>
      <c r="D3557" s="144"/>
      <c r="E3557" s="144"/>
      <c r="F3557" s="373"/>
      <c r="H3557" s="2168"/>
      <c r="I3557" s="70"/>
    </row>
    <row r="3558" spans="3:9" s="46" customFormat="1" x14ac:dyDescent="0.2">
      <c r="C3558" s="144"/>
      <c r="D3558" s="144"/>
      <c r="E3558" s="144"/>
      <c r="F3558" s="373"/>
      <c r="H3558" s="2168"/>
      <c r="I3558" s="70"/>
    </row>
    <row r="3559" spans="3:9" s="46" customFormat="1" x14ac:dyDescent="0.2">
      <c r="C3559" s="144"/>
      <c r="D3559" s="144"/>
      <c r="E3559" s="144"/>
      <c r="F3559" s="373"/>
      <c r="H3559" s="2168"/>
      <c r="I3559" s="70"/>
    </row>
    <row r="3560" spans="3:9" s="46" customFormat="1" x14ac:dyDescent="0.2">
      <c r="C3560" s="144"/>
      <c r="D3560" s="144"/>
      <c r="E3560" s="144"/>
      <c r="F3560" s="373"/>
      <c r="H3560" s="2168"/>
      <c r="I3560" s="70"/>
    </row>
    <row r="3561" spans="3:9" s="46" customFormat="1" x14ac:dyDescent="0.2">
      <c r="C3561" s="144"/>
      <c r="D3561" s="144"/>
      <c r="E3561" s="144"/>
      <c r="F3561" s="373"/>
      <c r="H3561" s="2168"/>
      <c r="I3561" s="70"/>
    </row>
    <row r="3562" spans="3:9" s="46" customFormat="1" x14ac:dyDescent="0.2">
      <c r="C3562" s="144"/>
      <c r="D3562" s="144"/>
      <c r="E3562" s="144"/>
      <c r="F3562" s="373"/>
      <c r="H3562" s="2168"/>
      <c r="I3562" s="70"/>
    </row>
    <row r="3563" spans="3:9" s="46" customFormat="1" x14ac:dyDescent="0.2">
      <c r="C3563" s="144"/>
      <c r="D3563" s="144"/>
      <c r="E3563" s="144"/>
      <c r="F3563" s="373"/>
      <c r="H3563" s="2168"/>
      <c r="I3563" s="70"/>
    </row>
    <row r="3564" spans="3:9" s="46" customFormat="1" x14ac:dyDescent="0.2">
      <c r="C3564" s="144"/>
      <c r="D3564" s="144"/>
      <c r="E3564" s="144"/>
      <c r="F3564" s="373"/>
      <c r="H3564" s="2168"/>
      <c r="I3564" s="70"/>
    </row>
    <row r="3565" spans="3:9" s="46" customFormat="1" x14ac:dyDescent="0.2">
      <c r="C3565" s="144"/>
      <c r="D3565" s="144"/>
      <c r="E3565" s="144"/>
      <c r="F3565" s="373"/>
      <c r="H3565" s="2168"/>
      <c r="I3565" s="70"/>
    </row>
    <row r="3566" spans="3:9" s="46" customFormat="1" x14ac:dyDescent="0.2">
      <c r="C3566" s="144"/>
      <c r="D3566" s="144"/>
      <c r="E3566" s="144"/>
      <c r="F3566" s="373"/>
      <c r="H3566" s="2168"/>
      <c r="I3566" s="70"/>
    </row>
    <row r="3567" spans="3:9" s="46" customFormat="1" x14ac:dyDescent="0.2">
      <c r="C3567" s="144"/>
      <c r="D3567" s="144"/>
      <c r="E3567" s="144"/>
      <c r="F3567" s="373"/>
      <c r="H3567" s="2168"/>
      <c r="I3567" s="70"/>
    </row>
    <row r="3568" spans="3:9" s="46" customFormat="1" x14ac:dyDescent="0.2">
      <c r="C3568" s="144"/>
      <c r="D3568" s="144"/>
      <c r="E3568" s="144"/>
      <c r="F3568" s="373"/>
      <c r="H3568" s="2168"/>
      <c r="I3568" s="70"/>
    </row>
    <row r="3569" spans="3:9" s="46" customFormat="1" x14ac:dyDescent="0.2">
      <c r="C3569" s="144"/>
      <c r="D3569" s="144"/>
      <c r="E3569" s="144"/>
      <c r="F3569" s="373"/>
      <c r="H3569" s="2168"/>
      <c r="I3569" s="70"/>
    </row>
    <row r="3570" spans="3:9" s="46" customFormat="1" x14ac:dyDescent="0.2">
      <c r="C3570" s="144"/>
      <c r="D3570" s="144"/>
      <c r="E3570" s="144"/>
      <c r="F3570" s="373"/>
      <c r="H3570" s="2168"/>
      <c r="I3570" s="70"/>
    </row>
    <row r="3571" spans="3:9" s="46" customFormat="1" x14ac:dyDescent="0.2">
      <c r="C3571" s="144"/>
      <c r="D3571" s="144"/>
      <c r="E3571" s="144"/>
      <c r="F3571" s="373"/>
      <c r="H3571" s="2168"/>
      <c r="I3571" s="70"/>
    </row>
    <row r="3572" spans="3:9" s="46" customFormat="1" x14ac:dyDescent="0.2">
      <c r="C3572" s="144"/>
      <c r="D3572" s="144"/>
      <c r="E3572" s="144"/>
      <c r="F3572" s="373"/>
      <c r="H3572" s="2168"/>
      <c r="I3572" s="70"/>
    </row>
    <row r="3573" spans="3:9" s="46" customFormat="1" x14ac:dyDescent="0.2">
      <c r="C3573" s="144"/>
      <c r="D3573" s="144"/>
      <c r="E3573" s="144"/>
      <c r="F3573" s="373"/>
      <c r="H3573" s="2168"/>
      <c r="I3573" s="70"/>
    </row>
    <row r="3574" spans="3:9" s="46" customFormat="1" x14ac:dyDescent="0.2">
      <c r="C3574" s="144"/>
      <c r="D3574" s="144"/>
      <c r="E3574" s="144"/>
      <c r="F3574" s="373"/>
      <c r="H3574" s="2168"/>
      <c r="I3574" s="70"/>
    </row>
    <row r="3575" spans="3:9" s="46" customFormat="1" x14ac:dyDescent="0.2">
      <c r="C3575" s="144"/>
      <c r="D3575" s="144"/>
      <c r="E3575" s="144"/>
      <c r="F3575" s="373"/>
      <c r="H3575" s="2168"/>
      <c r="I3575" s="70"/>
    </row>
    <row r="3576" spans="3:9" s="46" customFormat="1" x14ac:dyDescent="0.2">
      <c r="C3576" s="144"/>
      <c r="D3576" s="144"/>
      <c r="E3576" s="144"/>
      <c r="F3576" s="373"/>
      <c r="H3576" s="2168"/>
      <c r="I3576" s="70"/>
    </row>
    <row r="3577" spans="3:9" s="46" customFormat="1" x14ac:dyDescent="0.2">
      <c r="C3577" s="144"/>
      <c r="D3577" s="144"/>
      <c r="E3577" s="144"/>
      <c r="F3577" s="373"/>
      <c r="H3577" s="2168"/>
      <c r="I3577" s="70"/>
    </row>
    <row r="3578" spans="3:9" s="46" customFormat="1" x14ac:dyDescent="0.2">
      <c r="C3578" s="144"/>
      <c r="D3578" s="144"/>
      <c r="E3578" s="144"/>
      <c r="F3578" s="373"/>
      <c r="H3578" s="2168"/>
      <c r="I3578" s="70"/>
    </row>
    <row r="3579" spans="3:9" s="46" customFormat="1" x14ac:dyDescent="0.2">
      <c r="C3579" s="144"/>
      <c r="D3579" s="144"/>
      <c r="E3579" s="144"/>
      <c r="F3579" s="373"/>
      <c r="H3579" s="2168"/>
      <c r="I3579" s="70"/>
    </row>
    <row r="3580" spans="3:9" s="46" customFormat="1" x14ac:dyDescent="0.2">
      <c r="C3580" s="144"/>
      <c r="D3580" s="144"/>
      <c r="E3580" s="144"/>
      <c r="F3580" s="373"/>
      <c r="H3580" s="2168"/>
      <c r="I3580" s="70"/>
    </row>
    <row r="3581" spans="3:9" s="46" customFormat="1" x14ac:dyDescent="0.2">
      <c r="C3581" s="144"/>
      <c r="D3581" s="144"/>
      <c r="E3581" s="144"/>
      <c r="F3581" s="373"/>
      <c r="H3581" s="2168"/>
      <c r="I3581" s="70"/>
    </row>
    <row r="3582" spans="3:9" s="46" customFormat="1" x14ac:dyDescent="0.2">
      <c r="C3582" s="144"/>
      <c r="D3582" s="144"/>
      <c r="E3582" s="144"/>
      <c r="F3582" s="373"/>
      <c r="H3582" s="2168"/>
      <c r="I3582" s="70"/>
    </row>
    <row r="3583" spans="3:9" s="46" customFormat="1" x14ac:dyDescent="0.2">
      <c r="C3583" s="144"/>
      <c r="D3583" s="144"/>
      <c r="E3583" s="144"/>
      <c r="F3583" s="373"/>
      <c r="H3583" s="2168"/>
      <c r="I3583" s="70"/>
    </row>
    <row r="3584" spans="3:9" s="46" customFormat="1" x14ac:dyDescent="0.2">
      <c r="C3584" s="144"/>
      <c r="D3584" s="144"/>
      <c r="E3584" s="144"/>
      <c r="F3584" s="373"/>
      <c r="H3584" s="2168"/>
      <c r="I3584" s="70"/>
    </row>
    <row r="3585" spans="3:9" s="46" customFormat="1" x14ac:dyDescent="0.2">
      <c r="C3585" s="144"/>
      <c r="D3585" s="144"/>
      <c r="E3585" s="144"/>
      <c r="F3585" s="373"/>
      <c r="H3585" s="2168"/>
      <c r="I3585" s="70"/>
    </row>
    <row r="3586" spans="3:9" s="46" customFormat="1" x14ac:dyDescent="0.2">
      <c r="C3586" s="144"/>
      <c r="D3586" s="144"/>
      <c r="E3586" s="144"/>
      <c r="F3586" s="373"/>
      <c r="H3586" s="2168"/>
      <c r="I3586" s="70"/>
    </row>
    <row r="3587" spans="3:9" s="46" customFormat="1" x14ac:dyDescent="0.2">
      <c r="C3587" s="144"/>
      <c r="D3587" s="144"/>
      <c r="E3587" s="144"/>
      <c r="F3587" s="373"/>
      <c r="H3587" s="2168"/>
      <c r="I3587" s="70"/>
    </row>
    <row r="3588" spans="3:9" s="46" customFormat="1" x14ac:dyDescent="0.2">
      <c r="C3588" s="144"/>
      <c r="D3588" s="144"/>
      <c r="E3588" s="144"/>
      <c r="F3588" s="373"/>
      <c r="H3588" s="2168"/>
      <c r="I3588" s="70"/>
    </row>
    <row r="3589" spans="3:9" s="46" customFormat="1" x14ac:dyDescent="0.2">
      <c r="C3589" s="144"/>
      <c r="D3589" s="144"/>
      <c r="E3589" s="144"/>
      <c r="F3589" s="373"/>
      <c r="H3589" s="2168"/>
      <c r="I3589" s="70"/>
    </row>
    <row r="3590" spans="3:9" s="46" customFormat="1" x14ac:dyDescent="0.2">
      <c r="C3590" s="144"/>
      <c r="D3590" s="144"/>
      <c r="E3590" s="144"/>
      <c r="F3590" s="373"/>
      <c r="H3590" s="2168"/>
      <c r="I3590" s="70"/>
    </row>
    <row r="3591" spans="3:9" s="46" customFormat="1" x14ac:dyDescent="0.2">
      <c r="C3591" s="144"/>
      <c r="D3591" s="144"/>
      <c r="E3591" s="144"/>
      <c r="F3591" s="373"/>
      <c r="H3591" s="2168"/>
      <c r="I3591" s="70"/>
    </row>
    <row r="3592" spans="3:9" s="46" customFormat="1" x14ac:dyDescent="0.2">
      <c r="C3592" s="144"/>
      <c r="D3592" s="144"/>
      <c r="E3592" s="144"/>
      <c r="F3592" s="373"/>
      <c r="H3592" s="2168"/>
      <c r="I3592" s="70"/>
    </row>
    <row r="3593" spans="3:9" s="46" customFormat="1" x14ac:dyDescent="0.2">
      <c r="C3593" s="144"/>
      <c r="D3593" s="144"/>
      <c r="E3593" s="144"/>
      <c r="F3593" s="373"/>
      <c r="H3593" s="2168"/>
      <c r="I3593" s="70"/>
    </row>
    <row r="3594" spans="3:9" s="46" customFormat="1" x14ac:dyDescent="0.2">
      <c r="C3594" s="144"/>
      <c r="D3594" s="144"/>
      <c r="E3594" s="144"/>
      <c r="F3594" s="373"/>
      <c r="H3594" s="2168"/>
      <c r="I3594" s="70"/>
    </row>
    <row r="3595" spans="3:9" s="46" customFormat="1" x14ac:dyDescent="0.2">
      <c r="C3595" s="144"/>
      <c r="D3595" s="144"/>
      <c r="E3595" s="144"/>
      <c r="F3595" s="373"/>
      <c r="H3595" s="2168"/>
      <c r="I3595" s="70"/>
    </row>
    <row r="3596" spans="3:9" s="46" customFormat="1" x14ac:dyDescent="0.2">
      <c r="C3596" s="144"/>
      <c r="D3596" s="144"/>
      <c r="E3596" s="144"/>
      <c r="F3596" s="373"/>
      <c r="H3596" s="2168"/>
      <c r="I3596" s="70"/>
    </row>
    <row r="3597" spans="3:9" s="46" customFormat="1" x14ac:dyDescent="0.2">
      <c r="C3597" s="144"/>
      <c r="D3597" s="144"/>
      <c r="E3597" s="144"/>
      <c r="F3597" s="373"/>
      <c r="H3597" s="2168"/>
      <c r="I3597" s="70"/>
    </row>
    <row r="3598" spans="3:9" s="46" customFormat="1" x14ac:dyDescent="0.2">
      <c r="C3598" s="144"/>
      <c r="D3598" s="144"/>
      <c r="E3598" s="144"/>
      <c r="F3598" s="373"/>
      <c r="H3598" s="2168"/>
      <c r="I3598" s="70"/>
    </row>
    <row r="3599" spans="3:9" s="46" customFormat="1" x14ac:dyDescent="0.2">
      <c r="C3599" s="144"/>
      <c r="D3599" s="144"/>
      <c r="E3599" s="144"/>
      <c r="F3599" s="373"/>
      <c r="H3599" s="2168"/>
      <c r="I3599" s="70"/>
    </row>
    <row r="3600" spans="3:9" s="46" customFormat="1" x14ac:dyDescent="0.2">
      <c r="C3600" s="144"/>
      <c r="D3600" s="144"/>
      <c r="E3600" s="144"/>
      <c r="F3600" s="373"/>
      <c r="H3600" s="2168"/>
      <c r="I3600" s="70"/>
    </row>
    <row r="3601" spans="3:9" s="46" customFormat="1" x14ac:dyDescent="0.2">
      <c r="C3601" s="144"/>
      <c r="D3601" s="144"/>
      <c r="E3601" s="144"/>
      <c r="F3601" s="373"/>
      <c r="H3601" s="2168"/>
      <c r="I3601" s="70"/>
    </row>
    <row r="3602" spans="3:9" s="46" customFormat="1" x14ac:dyDescent="0.2">
      <c r="C3602" s="144"/>
      <c r="D3602" s="144"/>
      <c r="E3602" s="144"/>
      <c r="F3602" s="373"/>
      <c r="H3602" s="2168"/>
      <c r="I3602" s="70"/>
    </row>
    <row r="3603" spans="3:9" s="46" customFormat="1" x14ac:dyDescent="0.2">
      <c r="C3603" s="144"/>
      <c r="D3603" s="144"/>
      <c r="E3603" s="144"/>
      <c r="F3603" s="373"/>
      <c r="H3603" s="2168"/>
      <c r="I3603" s="70"/>
    </row>
    <row r="3604" spans="3:9" s="46" customFormat="1" x14ac:dyDescent="0.2">
      <c r="C3604" s="144"/>
      <c r="D3604" s="144"/>
      <c r="E3604" s="144"/>
      <c r="F3604" s="373"/>
      <c r="H3604" s="2168"/>
      <c r="I3604" s="70"/>
    </row>
    <row r="3605" spans="3:9" s="46" customFormat="1" x14ac:dyDescent="0.2">
      <c r="C3605" s="144"/>
      <c r="D3605" s="144"/>
      <c r="E3605" s="144"/>
      <c r="F3605" s="373"/>
      <c r="H3605" s="2168"/>
      <c r="I3605" s="70"/>
    </row>
    <row r="3606" spans="3:9" s="46" customFormat="1" x14ac:dyDescent="0.2">
      <c r="C3606" s="144"/>
      <c r="D3606" s="144"/>
      <c r="E3606" s="144"/>
      <c r="F3606" s="373"/>
      <c r="H3606" s="2168"/>
      <c r="I3606" s="70"/>
    </row>
    <row r="3607" spans="3:9" s="46" customFormat="1" x14ac:dyDescent="0.2">
      <c r="C3607" s="144"/>
      <c r="D3607" s="144"/>
      <c r="E3607" s="144"/>
      <c r="F3607" s="373"/>
      <c r="H3607" s="2168"/>
      <c r="I3607" s="70"/>
    </row>
    <row r="3608" spans="3:9" s="46" customFormat="1" x14ac:dyDescent="0.2">
      <c r="C3608" s="144"/>
      <c r="D3608" s="144"/>
      <c r="E3608" s="144"/>
      <c r="F3608" s="373"/>
      <c r="H3608" s="2168"/>
      <c r="I3608" s="70"/>
    </row>
    <row r="3609" spans="3:9" s="46" customFormat="1" x14ac:dyDescent="0.2">
      <c r="C3609" s="144"/>
      <c r="D3609" s="144"/>
      <c r="E3609" s="144"/>
      <c r="F3609" s="373"/>
      <c r="H3609" s="2168"/>
      <c r="I3609" s="70"/>
    </row>
    <row r="3610" spans="3:9" s="46" customFormat="1" x14ac:dyDescent="0.2">
      <c r="C3610" s="144"/>
      <c r="D3610" s="144"/>
      <c r="E3610" s="144"/>
      <c r="F3610" s="373"/>
      <c r="H3610" s="2168"/>
      <c r="I3610" s="70"/>
    </row>
    <row r="3611" spans="3:9" s="46" customFormat="1" x14ac:dyDescent="0.2">
      <c r="C3611" s="144"/>
      <c r="D3611" s="144"/>
      <c r="E3611" s="144"/>
      <c r="F3611" s="373"/>
      <c r="H3611" s="2168"/>
      <c r="I3611" s="70"/>
    </row>
    <row r="3612" spans="3:9" s="46" customFormat="1" x14ac:dyDescent="0.2">
      <c r="C3612" s="144"/>
      <c r="D3612" s="144"/>
      <c r="E3612" s="144"/>
      <c r="F3612" s="373"/>
      <c r="H3612" s="2168"/>
      <c r="I3612" s="70"/>
    </row>
    <row r="3613" spans="3:9" s="46" customFormat="1" x14ac:dyDescent="0.2">
      <c r="C3613" s="144"/>
      <c r="D3613" s="144"/>
      <c r="E3613" s="144"/>
      <c r="F3613" s="373"/>
      <c r="H3613" s="2168"/>
      <c r="I3613" s="70"/>
    </row>
    <row r="3614" spans="3:9" s="46" customFormat="1" x14ac:dyDescent="0.2">
      <c r="C3614" s="144"/>
      <c r="D3614" s="144"/>
      <c r="E3614" s="144"/>
      <c r="F3614" s="373"/>
      <c r="H3614" s="2168"/>
      <c r="I3614" s="70"/>
    </row>
    <row r="3615" spans="3:9" s="46" customFormat="1" x14ac:dyDescent="0.2">
      <c r="C3615" s="144"/>
      <c r="D3615" s="144"/>
      <c r="E3615" s="144"/>
      <c r="F3615" s="373"/>
      <c r="H3615" s="2168"/>
      <c r="I3615" s="70"/>
    </row>
    <row r="3616" spans="3:9" s="46" customFormat="1" x14ac:dyDescent="0.2">
      <c r="C3616" s="144"/>
      <c r="D3616" s="144"/>
      <c r="E3616" s="144"/>
      <c r="F3616" s="373"/>
      <c r="H3616" s="2168"/>
      <c r="I3616" s="70"/>
    </row>
    <row r="3617" spans="3:9" s="46" customFormat="1" x14ac:dyDescent="0.2">
      <c r="C3617" s="144"/>
      <c r="D3617" s="144"/>
      <c r="E3617" s="144"/>
      <c r="F3617" s="373"/>
      <c r="H3617" s="2168"/>
      <c r="I3617" s="70"/>
    </row>
    <row r="3618" spans="3:9" s="46" customFormat="1" x14ac:dyDescent="0.2">
      <c r="C3618" s="144"/>
      <c r="D3618" s="144"/>
      <c r="E3618" s="144"/>
      <c r="F3618" s="373"/>
      <c r="H3618" s="2168"/>
      <c r="I3618" s="70"/>
    </row>
    <row r="3619" spans="3:9" s="46" customFormat="1" x14ac:dyDescent="0.2">
      <c r="C3619" s="144"/>
      <c r="D3619" s="144"/>
      <c r="E3619" s="144"/>
      <c r="F3619" s="373"/>
      <c r="H3619" s="2168"/>
      <c r="I3619" s="70"/>
    </row>
    <row r="3620" spans="3:9" s="46" customFormat="1" x14ac:dyDescent="0.2">
      <c r="C3620" s="144"/>
      <c r="D3620" s="144"/>
      <c r="E3620" s="144"/>
      <c r="F3620" s="373"/>
      <c r="H3620" s="2168"/>
      <c r="I3620" s="70"/>
    </row>
    <row r="3621" spans="3:9" s="46" customFormat="1" x14ac:dyDescent="0.2">
      <c r="C3621" s="144"/>
      <c r="D3621" s="144"/>
      <c r="E3621" s="144"/>
      <c r="F3621" s="373"/>
      <c r="H3621" s="2168"/>
      <c r="I3621" s="70"/>
    </row>
    <row r="3622" spans="3:9" s="46" customFormat="1" x14ac:dyDescent="0.2">
      <c r="C3622" s="144"/>
      <c r="D3622" s="144"/>
      <c r="E3622" s="144"/>
      <c r="F3622" s="373"/>
      <c r="H3622" s="2168"/>
      <c r="I3622" s="70"/>
    </row>
    <row r="3623" spans="3:9" s="46" customFormat="1" x14ac:dyDescent="0.2">
      <c r="C3623" s="144"/>
      <c r="D3623" s="144"/>
      <c r="E3623" s="144"/>
      <c r="F3623" s="373"/>
      <c r="H3623" s="2168"/>
      <c r="I3623" s="70"/>
    </row>
    <row r="3624" spans="3:9" s="46" customFormat="1" x14ac:dyDescent="0.2">
      <c r="C3624" s="144"/>
      <c r="D3624" s="144"/>
      <c r="E3624" s="144"/>
      <c r="F3624" s="373"/>
      <c r="H3624" s="2168"/>
      <c r="I3624" s="70"/>
    </row>
    <row r="3625" spans="3:9" s="46" customFormat="1" x14ac:dyDescent="0.2">
      <c r="C3625" s="144"/>
      <c r="D3625" s="144"/>
      <c r="E3625" s="144"/>
      <c r="F3625" s="373"/>
      <c r="H3625" s="2168"/>
      <c r="I3625" s="70"/>
    </row>
    <row r="3626" spans="3:9" s="46" customFormat="1" x14ac:dyDescent="0.2">
      <c r="C3626" s="144"/>
      <c r="D3626" s="144"/>
      <c r="E3626" s="144"/>
      <c r="F3626" s="373"/>
      <c r="H3626" s="2168"/>
      <c r="I3626" s="70"/>
    </row>
    <row r="3627" spans="3:9" s="46" customFormat="1" x14ac:dyDescent="0.2">
      <c r="C3627" s="144"/>
      <c r="D3627" s="144"/>
      <c r="E3627" s="144"/>
      <c r="F3627" s="373"/>
      <c r="H3627" s="2168"/>
      <c r="I3627" s="70"/>
    </row>
    <row r="3628" spans="3:9" s="46" customFormat="1" x14ac:dyDescent="0.2">
      <c r="C3628" s="144"/>
      <c r="D3628" s="144"/>
      <c r="E3628" s="144"/>
      <c r="F3628" s="373"/>
      <c r="H3628" s="2168"/>
      <c r="I3628" s="70"/>
    </row>
    <row r="3629" spans="3:9" s="46" customFormat="1" x14ac:dyDescent="0.2">
      <c r="C3629" s="144"/>
      <c r="D3629" s="144"/>
      <c r="E3629" s="144"/>
      <c r="F3629" s="373"/>
      <c r="H3629" s="2168"/>
      <c r="I3629" s="70"/>
    </row>
    <row r="3630" spans="3:9" s="46" customFormat="1" x14ac:dyDescent="0.2">
      <c r="C3630" s="144"/>
      <c r="D3630" s="144"/>
      <c r="E3630" s="144"/>
      <c r="F3630" s="373"/>
      <c r="H3630" s="2168"/>
      <c r="I3630" s="70"/>
    </row>
    <row r="3631" spans="3:9" s="46" customFormat="1" x14ac:dyDescent="0.2">
      <c r="C3631" s="144"/>
      <c r="D3631" s="144"/>
      <c r="E3631" s="144"/>
      <c r="F3631" s="373"/>
      <c r="H3631" s="2168"/>
      <c r="I3631" s="70"/>
    </row>
    <row r="3632" spans="3:9" s="46" customFormat="1" x14ac:dyDescent="0.2">
      <c r="C3632" s="144"/>
      <c r="D3632" s="144"/>
      <c r="E3632" s="144"/>
      <c r="F3632" s="373"/>
      <c r="H3632" s="2168"/>
      <c r="I3632" s="70"/>
    </row>
    <row r="3633" spans="3:9" s="46" customFormat="1" x14ac:dyDescent="0.2">
      <c r="C3633" s="144"/>
      <c r="D3633" s="144"/>
      <c r="E3633" s="144"/>
      <c r="F3633" s="373"/>
      <c r="H3633" s="2168"/>
      <c r="I3633" s="70"/>
    </row>
    <row r="3634" spans="3:9" s="46" customFormat="1" x14ac:dyDescent="0.2">
      <c r="C3634" s="144"/>
      <c r="D3634" s="144"/>
      <c r="E3634" s="144"/>
      <c r="F3634" s="373"/>
      <c r="H3634" s="2168"/>
      <c r="I3634" s="70"/>
    </row>
    <row r="3635" spans="3:9" s="46" customFormat="1" x14ac:dyDescent="0.2">
      <c r="C3635" s="144"/>
      <c r="D3635" s="144"/>
      <c r="E3635" s="144"/>
      <c r="F3635" s="373"/>
      <c r="H3635" s="2168"/>
      <c r="I3635" s="70"/>
    </row>
    <row r="3636" spans="3:9" s="46" customFormat="1" x14ac:dyDescent="0.2">
      <c r="C3636" s="144"/>
      <c r="D3636" s="144"/>
      <c r="E3636" s="144"/>
      <c r="F3636" s="373"/>
      <c r="H3636" s="2168"/>
      <c r="I3636" s="70"/>
    </row>
    <row r="3637" spans="3:9" s="46" customFormat="1" x14ac:dyDescent="0.2">
      <c r="C3637" s="144"/>
      <c r="D3637" s="144"/>
      <c r="E3637" s="144"/>
      <c r="F3637" s="373"/>
      <c r="H3637" s="2168"/>
      <c r="I3637" s="70"/>
    </row>
    <row r="3638" spans="3:9" s="46" customFormat="1" x14ac:dyDescent="0.2">
      <c r="C3638" s="144"/>
      <c r="D3638" s="144"/>
      <c r="E3638" s="144"/>
      <c r="F3638" s="373"/>
      <c r="H3638" s="2168"/>
      <c r="I3638" s="70"/>
    </row>
    <row r="3639" spans="3:9" s="46" customFormat="1" x14ac:dyDescent="0.2">
      <c r="C3639" s="144"/>
      <c r="D3639" s="144"/>
      <c r="E3639" s="144"/>
      <c r="F3639" s="373"/>
      <c r="H3639" s="2168"/>
      <c r="I3639" s="70"/>
    </row>
    <row r="3640" spans="3:9" s="46" customFormat="1" x14ac:dyDescent="0.2">
      <c r="C3640" s="144"/>
      <c r="D3640" s="144"/>
      <c r="E3640" s="144"/>
      <c r="F3640" s="373"/>
      <c r="H3640" s="2168"/>
      <c r="I3640" s="70"/>
    </row>
    <row r="3641" spans="3:9" s="46" customFormat="1" x14ac:dyDescent="0.2">
      <c r="C3641" s="144"/>
      <c r="D3641" s="144"/>
      <c r="E3641" s="144"/>
      <c r="F3641" s="373"/>
      <c r="H3641" s="2168"/>
      <c r="I3641" s="70"/>
    </row>
    <row r="3642" spans="3:9" s="46" customFormat="1" x14ac:dyDescent="0.2">
      <c r="C3642" s="144"/>
      <c r="D3642" s="144"/>
      <c r="E3642" s="144"/>
      <c r="F3642" s="373"/>
      <c r="H3642" s="2168"/>
      <c r="I3642" s="70"/>
    </row>
    <row r="3643" spans="3:9" s="46" customFormat="1" x14ac:dyDescent="0.2">
      <c r="C3643" s="144"/>
      <c r="D3643" s="144"/>
      <c r="E3643" s="144"/>
      <c r="F3643" s="373"/>
      <c r="H3643" s="2168"/>
      <c r="I3643" s="70"/>
    </row>
    <row r="3644" spans="3:9" s="46" customFormat="1" x14ac:dyDescent="0.2">
      <c r="C3644" s="144"/>
      <c r="D3644" s="144"/>
      <c r="E3644" s="144"/>
      <c r="F3644" s="373"/>
      <c r="H3644" s="2168"/>
      <c r="I3644" s="70"/>
    </row>
    <row r="3645" spans="3:9" s="46" customFormat="1" x14ac:dyDescent="0.2">
      <c r="C3645" s="144"/>
      <c r="D3645" s="144"/>
      <c r="E3645" s="144"/>
      <c r="F3645" s="373"/>
      <c r="H3645" s="2168"/>
      <c r="I3645" s="70"/>
    </row>
    <row r="3646" spans="3:9" s="46" customFormat="1" x14ac:dyDescent="0.2">
      <c r="C3646" s="144"/>
      <c r="D3646" s="144"/>
      <c r="E3646" s="144"/>
      <c r="F3646" s="373"/>
      <c r="H3646" s="2168"/>
      <c r="I3646" s="70"/>
    </row>
    <row r="3647" spans="3:9" s="46" customFormat="1" x14ac:dyDescent="0.2">
      <c r="C3647" s="144"/>
      <c r="D3647" s="144"/>
      <c r="E3647" s="144"/>
      <c r="F3647" s="373"/>
      <c r="H3647" s="2168"/>
      <c r="I3647" s="70"/>
    </row>
    <row r="3648" spans="3:9" s="46" customFormat="1" x14ac:dyDescent="0.2">
      <c r="C3648" s="144"/>
      <c r="D3648" s="144"/>
      <c r="E3648" s="144"/>
      <c r="F3648" s="373"/>
      <c r="H3648" s="2168"/>
      <c r="I3648" s="70"/>
    </row>
    <row r="3649" spans="3:9" s="46" customFormat="1" x14ac:dyDescent="0.2">
      <c r="C3649" s="144"/>
      <c r="D3649" s="144"/>
      <c r="E3649" s="144"/>
      <c r="F3649" s="373"/>
      <c r="H3649" s="2168"/>
      <c r="I3649" s="70"/>
    </row>
    <row r="3650" spans="3:9" s="46" customFormat="1" x14ac:dyDescent="0.2">
      <c r="C3650" s="144"/>
      <c r="D3650" s="144"/>
      <c r="E3650" s="144"/>
      <c r="F3650" s="373"/>
      <c r="H3650" s="2168"/>
      <c r="I3650" s="70"/>
    </row>
    <row r="3651" spans="3:9" s="46" customFormat="1" x14ac:dyDescent="0.2">
      <c r="C3651" s="144"/>
      <c r="D3651" s="144"/>
      <c r="E3651" s="144"/>
      <c r="F3651" s="373"/>
      <c r="H3651" s="2168"/>
      <c r="I3651" s="70"/>
    </row>
    <row r="3652" spans="3:9" s="46" customFormat="1" x14ac:dyDescent="0.2">
      <c r="C3652" s="144"/>
      <c r="D3652" s="144"/>
      <c r="E3652" s="144"/>
      <c r="F3652" s="373"/>
      <c r="H3652" s="2168"/>
      <c r="I3652" s="70"/>
    </row>
    <row r="3653" spans="3:9" s="46" customFormat="1" x14ac:dyDescent="0.2">
      <c r="C3653" s="144"/>
      <c r="D3653" s="144"/>
      <c r="E3653" s="144"/>
      <c r="F3653" s="373"/>
      <c r="H3653" s="2168"/>
      <c r="I3653" s="70"/>
    </row>
    <row r="3654" spans="3:9" s="46" customFormat="1" x14ac:dyDescent="0.2">
      <c r="C3654" s="144"/>
      <c r="D3654" s="144"/>
      <c r="E3654" s="144"/>
      <c r="F3654" s="373"/>
      <c r="H3654" s="2168"/>
      <c r="I3654" s="70"/>
    </row>
    <row r="3655" spans="3:9" s="46" customFormat="1" x14ac:dyDescent="0.2">
      <c r="C3655" s="144"/>
      <c r="D3655" s="144"/>
      <c r="E3655" s="144"/>
      <c r="F3655" s="373"/>
      <c r="H3655" s="2168"/>
      <c r="I3655" s="70"/>
    </row>
    <row r="3656" spans="3:9" s="46" customFormat="1" x14ac:dyDescent="0.2">
      <c r="C3656" s="144"/>
      <c r="D3656" s="144"/>
      <c r="E3656" s="144"/>
      <c r="F3656" s="373"/>
      <c r="H3656" s="2168"/>
      <c r="I3656" s="70"/>
    </row>
    <row r="3657" spans="3:9" s="46" customFormat="1" x14ac:dyDescent="0.2">
      <c r="C3657" s="144"/>
      <c r="D3657" s="144"/>
      <c r="E3657" s="144"/>
      <c r="F3657" s="373"/>
      <c r="H3657" s="2168"/>
      <c r="I3657" s="70"/>
    </row>
    <row r="3658" spans="3:9" s="46" customFormat="1" x14ac:dyDescent="0.2">
      <c r="C3658" s="144"/>
      <c r="D3658" s="144"/>
      <c r="E3658" s="144"/>
      <c r="F3658" s="373"/>
      <c r="H3658" s="2168"/>
      <c r="I3658" s="70"/>
    </row>
    <row r="3659" spans="3:9" s="46" customFormat="1" x14ac:dyDescent="0.2">
      <c r="C3659" s="144"/>
      <c r="D3659" s="144"/>
      <c r="E3659" s="144"/>
      <c r="F3659" s="373"/>
      <c r="H3659" s="2168"/>
      <c r="I3659" s="70"/>
    </row>
    <row r="3660" spans="3:9" s="46" customFormat="1" x14ac:dyDescent="0.2">
      <c r="C3660" s="144"/>
      <c r="D3660" s="144"/>
      <c r="E3660" s="144"/>
      <c r="F3660" s="373"/>
      <c r="H3660" s="2168"/>
      <c r="I3660" s="70"/>
    </row>
    <row r="3661" spans="3:9" s="46" customFormat="1" x14ac:dyDescent="0.2">
      <c r="C3661" s="144"/>
      <c r="D3661" s="144"/>
      <c r="E3661" s="144"/>
      <c r="F3661" s="373"/>
      <c r="H3661" s="2168"/>
      <c r="I3661" s="70"/>
    </row>
    <row r="3662" spans="3:9" s="46" customFormat="1" x14ac:dyDescent="0.2">
      <c r="C3662" s="144"/>
      <c r="D3662" s="144"/>
      <c r="E3662" s="144"/>
      <c r="F3662" s="373"/>
      <c r="H3662" s="2168"/>
      <c r="I3662" s="70"/>
    </row>
    <row r="3663" spans="3:9" s="46" customFormat="1" x14ac:dyDescent="0.2">
      <c r="C3663" s="144"/>
      <c r="D3663" s="144"/>
      <c r="E3663" s="144"/>
      <c r="F3663" s="373"/>
      <c r="H3663" s="2168"/>
      <c r="I3663" s="70"/>
    </row>
    <row r="3664" spans="3:9" s="46" customFormat="1" x14ac:dyDescent="0.2">
      <c r="C3664" s="144"/>
      <c r="D3664" s="144"/>
      <c r="E3664" s="144"/>
      <c r="F3664" s="373"/>
      <c r="H3664" s="2168"/>
      <c r="I3664" s="70"/>
    </row>
    <row r="3665" spans="3:9" s="46" customFormat="1" x14ac:dyDescent="0.2">
      <c r="C3665" s="144"/>
      <c r="D3665" s="144"/>
      <c r="E3665" s="144"/>
      <c r="F3665" s="373"/>
      <c r="H3665" s="2168"/>
      <c r="I3665" s="70"/>
    </row>
    <row r="3666" spans="3:9" s="46" customFormat="1" x14ac:dyDescent="0.2">
      <c r="C3666" s="144"/>
      <c r="D3666" s="144"/>
      <c r="E3666" s="144"/>
      <c r="F3666" s="373"/>
      <c r="H3666" s="2168"/>
      <c r="I3666" s="70"/>
    </row>
    <row r="3667" spans="3:9" s="46" customFormat="1" x14ac:dyDescent="0.2">
      <c r="C3667" s="144"/>
      <c r="D3667" s="144"/>
      <c r="E3667" s="144"/>
      <c r="F3667" s="373"/>
      <c r="H3667" s="2168"/>
      <c r="I3667" s="70"/>
    </row>
    <row r="3668" spans="3:9" s="46" customFormat="1" x14ac:dyDescent="0.2">
      <c r="C3668" s="144"/>
      <c r="D3668" s="144"/>
      <c r="E3668" s="144"/>
      <c r="F3668" s="373"/>
      <c r="H3668" s="2168"/>
      <c r="I3668" s="70"/>
    </row>
    <row r="3669" spans="3:9" s="46" customFormat="1" x14ac:dyDescent="0.2">
      <c r="C3669" s="144"/>
      <c r="D3669" s="144"/>
      <c r="E3669" s="144"/>
      <c r="F3669" s="373"/>
      <c r="H3669" s="2168"/>
      <c r="I3669" s="70"/>
    </row>
    <row r="3670" spans="3:9" s="46" customFormat="1" x14ac:dyDescent="0.2">
      <c r="C3670" s="144"/>
      <c r="D3670" s="144"/>
      <c r="E3670" s="144"/>
      <c r="F3670" s="373"/>
      <c r="H3670" s="2168"/>
      <c r="I3670" s="70"/>
    </row>
    <row r="3671" spans="3:9" s="46" customFormat="1" x14ac:dyDescent="0.2">
      <c r="C3671" s="144"/>
      <c r="D3671" s="144"/>
      <c r="E3671" s="144"/>
      <c r="F3671" s="373"/>
      <c r="H3671" s="2168"/>
      <c r="I3671" s="70"/>
    </row>
    <row r="3672" spans="3:9" s="46" customFormat="1" x14ac:dyDescent="0.2">
      <c r="C3672" s="144"/>
      <c r="D3672" s="144"/>
      <c r="E3672" s="144"/>
      <c r="F3672" s="373"/>
      <c r="H3672" s="2168"/>
      <c r="I3672" s="70"/>
    </row>
    <row r="3673" spans="3:9" s="46" customFormat="1" x14ac:dyDescent="0.2">
      <c r="C3673" s="144"/>
      <c r="D3673" s="144"/>
      <c r="E3673" s="144"/>
      <c r="F3673" s="373"/>
      <c r="H3673" s="2168"/>
      <c r="I3673" s="70"/>
    </row>
    <row r="3674" spans="3:9" s="46" customFormat="1" x14ac:dyDescent="0.2">
      <c r="C3674" s="144"/>
      <c r="D3674" s="144"/>
      <c r="E3674" s="144"/>
      <c r="F3674" s="373"/>
      <c r="H3674" s="2168"/>
      <c r="I3674" s="70"/>
    </row>
    <row r="3675" spans="3:9" s="46" customFormat="1" x14ac:dyDescent="0.2">
      <c r="C3675" s="144"/>
      <c r="D3675" s="144"/>
      <c r="E3675" s="144"/>
      <c r="F3675" s="373"/>
      <c r="H3675" s="2168"/>
      <c r="I3675" s="70"/>
    </row>
    <row r="3676" spans="3:9" s="46" customFormat="1" x14ac:dyDescent="0.2">
      <c r="C3676" s="144"/>
      <c r="D3676" s="144"/>
      <c r="E3676" s="144"/>
      <c r="F3676" s="373"/>
      <c r="H3676" s="2168"/>
      <c r="I3676" s="70"/>
    </row>
    <row r="3677" spans="3:9" s="46" customFormat="1" x14ac:dyDescent="0.2">
      <c r="C3677" s="144"/>
      <c r="D3677" s="144"/>
      <c r="E3677" s="144"/>
      <c r="F3677" s="373"/>
      <c r="H3677" s="2168"/>
      <c r="I3677" s="70"/>
    </row>
    <row r="3678" spans="3:9" s="46" customFormat="1" x14ac:dyDescent="0.2">
      <c r="C3678" s="144"/>
      <c r="D3678" s="144"/>
      <c r="E3678" s="144"/>
      <c r="F3678" s="373"/>
      <c r="H3678" s="2168"/>
      <c r="I3678" s="70"/>
    </row>
    <row r="3679" spans="3:9" s="46" customFormat="1" x14ac:dyDescent="0.2">
      <c r="C3679" s="144"/>
      <c r="D3679" s="144"/>
      <c r="E3679" s="144"/>
      <c r="F3679" s="373"/>
      <c r="H3679" s="2168"/>
      <c r="I3679" s="70"/>
    </row>
    <row r="3680" spans="3:9" s="46" customFormat="1" x14ac:dyDescent="0.2">
      <c r="C3680" s="144"/>
      <c r="D3680" s="144"/>
      <c r="E3680" s="144"/>
      <c r="F3680" s="373"/>
      <c r="H3680" s="2168"/>
      <c r="I3680" s="70"/>
    </row>
    <row r="3681" spans="3:9" s="46" customFormat="1" x14ac:dyDescent="0.2">
      <c r="C3681" s="144"/>
      <c r="D3681" s="144"/>
      <c r="E3681" s="144"/>
      <c r="F3681" s="373"/>
      <c r="H3681" s="2168"/>
      <c r="I3681" s="70"/>
    </row>
    <row r="3682" spans="3:9" s="46" customFormat="1" x14ac:dyDescent="0.2">
      <c r="C3682" s="144"/>
      <c r="D3682" s="144"/>
      <c r="E3682" s="144"/>
      <c r="F3682" s="373"/>
      <c r="H3682" s="2168"/>
      <c r="I3682" s="70"/>
    </row>
    <row r="3683" spans="3:9" s="46" customFormat="1" x14ac:dyDescent="0.2">
      <c r="C3683" s="144"/>
      <c r="D3683" s="144"/>
      <c r="E3683" s="144"/>
      <c r="F3683" s="373"/>
      <c r="H3683" s="2168"/>
      <c r="I3683" s="70"/>
    </row>
    <row r="3684" spans="3:9" s="46" customFormat="1" x14ac:dyDescent="0.2">
      <c r="C3684" s="144"/>
      <c r="D3684" s="144"/>
      <c r="E3684" s="144"/>
      <c r="F3684" s="373"/>
      <c r="H3684" s="2168"/>
      <c r="I3684" s="70"/>
    </row>
    <row r="3685" spans="3:9" s="46" customFormat="1" x14ac:dyDescent="0.2">
      <c r="C3685" s="144"/>
      <c r="D3685" s="144"/>
      <c r="E3685" s="144"/>
      <c r="F3685" s="373"/>
      <c r="H3685" s="2168"/>
      <c r="I3685" s="70"/>
    </row>
    <row r="3686" spans="3:9" s="46" customFormat="1" x14ac:dyDescent="0.2">
      <c r="C3686" s="144"/>
      <c r="D3686" s="144"/>
      <c r="E3686" s="144"/>
      <c r="F3686" s="373"/>
      <c r="H3686" s="2168"/>
      <c r="I3686" s="70"/>
    </row>
    <row r="3687" spans="3:9" s="46" customFormat="1" x14ac:dyDescent="0.2">
      <c r="C3687" s="144"/>
      <c r="D3687" s="144"/>
      <c r="E3687" s="144"/>
      <c r="F3687" s="373"/>
      <c r="H3687" s="2168"/>
      <c r="I3687" s="70"/>
    </row>
    <row r="3688" spans="3:9" s="46" customFormat="1" x14ac:dyDescent="0.2">
      <c r="C3688" s="144"/>
      <c r="D3688" s="144"/>
      <c r="E3688" s="144"/>
      <c r="F3688" s="373"/>
      <c r="H3688" s="2168"/>
      <c r="I3688" s="70"/>
    </row>
    <row r="3689" spans="3:9" s="46" customFormat="1" x14ac:dyDescent="0.2">
      <c r="C3689" s="144"/>
      <c r="D3689" s="144"/>
      <c r="E3689" s="144"/>
      <c r="F3689" s="373"/>
      <c r="H3689" s="2168"/>
      <c r="I3689" s="70"/>
    </row>
    <row r="3690" spans="3:9" s="46" customFormat="1" x14ac:dyDescent="0.2">
      <c r="C3690" s="144"/>
      <c r="D3690" s="144"/>
      <c r="E3690" s="144"/>
      <c r="F3690" s="373"/>
      <c r="H3690" s="2168"/>
      <c r="I3690" s="70"/>
    </row>
    <row r="3691" spans="3:9" s="46" customFormat="1" x14ac:dyDescent="0.2">
      <c r="C3691" s="144"/>
      <c r="D3691" s="144"/>
      <c r="E3691" s="144"/>
      <c r="F3691" s="373"/>
      <c r="H3691" s="2168"/>
      <c r="I3691" s="70"/>
    </row>
    <row r="3692" spans="3:9" s="46" customFormat="1" x14ac:dyDescent="0.2">
      <c r="C3692" s="144"/>
      <c r="D3692" s="144"/>
      <c r="E3692" s="144"/>
      <c r="F3692" s="373"/>
      <c r="H3692" s="2168"/>
      <c r="I3692" s="70"/>
    </row>
    <row r="3693" spans="3:9" s="46" customFormat="1" x14ac:dyDescent="0.2">
      <c r="C3693" s="144"/>
      <c r="D3693" s="144"/>
      <c r="E3693" s="144"/>
      <c r="F3693" s="373"/>
      <c r="H3693" s="2168"/>
      <c r="I3693" s="70"/>
    </row>
    <row r="3694" spans="3:9" s="46" customFormat="1" x14ac:dyDescent="0.2">
      <c r="C3694" s="144"/>
      <c r="D3694" s="144"/>
      <c r="E3694" s="144"/>
      <c r="F3694" s="373"/>
      <c r="H3694" s="2168"/>
      <c r="I3694" s="70"/>
    </row>
    <row r="3695" spans="3:9" s="46" customFormat="1" x14ac:dyDescent="0.2">
      <c r="C3695" s="144"/>
      <c r="D3695" s="144"/>
      <c r="E3695" s="144"/>
      <c r="F3695" s="373"/>
      <c r="H3695" s="2168"/>
      <c r="I3695" s="70"/>
    </row>
    <row r="3696" spans="3:9" s="46" customFormat="1" x14ac:dyDescent="0.2">
      <c r="C3696" s="144"/>
      <c r="D3696" s="144"/>
      <c r="E3696" s="144"/>
      <c r="F3696" s="373"/>
      <c r="H3696" s="2168"/>
      <c r="I3696" s="70"/>
    </row>
    <row r="3697" spans="3:9" s="46" customFormat="1" x14ac:dyDescent="0.2">
      <c r="C3697" s="144"/>
      <c r="D3697" s="144"/>
      <c r="E3697" s="144"/>
      <c r="F3697" s="373"/>
      <c r="H3697" s="2168"/>
      <c r="I3697" s="70"/>
    </row>
    <row r="3698" spans="3:9" s="46" customFormat="1" x14ac:dyDescent="0.2">
      <c r="C3698" s="144"/>
      <c r="D3698" s="144"/>
      <c r="E3698" s="144"/>
      <c r="F3698" s="373"/>
      <c r="H3698" s="2168"/>
      <c r="I3698" s="70"/>
    </row>
    <row r="3699" spans="3:9" s="46" customFormat="1" x14ac:dyDescent="0.2">
      <c r="C3699" s="144"/>
      <c r="D3699" s="144"/>
      <c r="E3699" s="144"/>
      <c r="F3699" s="373"/>
      <c r="H3699" s="2168"/>
      <c r="I3699" s="70"/>
    </row>
    <row r="3700" spans="3:9" s="46" customFormat="1" x14ac:dyDescent="0.2">
      <c r="C3700" s="144"/>
      <c r="D3700" s="144"/>
      <c r="E3700" s="144"/>
      <c r="F3700" s="373"/>
      <c r="H3700" s="2168"/>
      <c r="I3700" s="70"/>
    </row>
    <row r="3701" spans="3:9" s="46" customFormat="1" x14ac:dyDescent="0.2">
      <c r="C3701" s="144"/>
      <c r="D3701" s="144"/>
      <c r="E3701" s="144"/>
      <c r="F3701" s="373"/>
      <c r="H3701" s="2168"/>
      <c r="I3701" s="70"/>
    </row>
    <row r="3702" spans="3:9" s="46" customFormat="1" x14ac:dyDescent="0.2">
      <c r="C3702" s="144"/>
      <c r="D3702" s="144"/>
      <c r="E3702" s="144"/>
      <c r="F3702" s="373"/>
      <c r="H3702" s="2168"/>
      <c r="I3702" s="70"/>
    </row>
    <row r="3703" spans="3:9" s="46" customFormat="1" x14ac:dyDescent="0.2">
      <c r="C3703" s="144"/>
      <c r="D3703" s="144"/>
      <c r="E3703" s="144"/>
      <c r="F3703" s="373"/>
      <c r="H3703" s="2168"/>
      <c r="I3703" s="70"/>
    </row>
    <row r="3704" spans="3:9" s="46" customFormat="1" x14ac:dyDescent="0.2">
      <c r="C3704" s="144"/>
      <c r="D3704" s="144"/>
      <c r="E3704" s="144"/>
      <c r="F3704" s="373"/>
      <c r="H3704" s="2168"/>
      <c r="I3704" s="70"/>
    </row>
    <row r="3705" spans="3:9" s="46" customFormat="1" x14ac:dyDescent="0.2">
      <c r="C3705" s="144"/>
      <c r="D3705" s="144"/>
      <c r="E3705" s="144"/>
      <c r="F3705" s="373"/>
      <c r="H3705" s="2168"/>
      <c r="I3705" s="70"/>
    </row>
    <row r="3706" spans="3:9" s="46" customFormat="1" x14ac:dyDescent="0.2">
      <c r="C3706" s="144"/>
      <c r="D3706" s="144"/>
      <c r="E3706" s="144"/>
      <c r="F3706" s="373"/>
      <c r="H3706" s="2168"/>
      <c r="I3706" s="70"/>
    </row>
    <row r="3707" spans="3:9" s="46" customFormat="1" x14ac:dyDescent="0.2">
      <c r="C3707" s="144"/>
      <c r="D3707" s="144"/>
      <c r="E3707" s="144"/>
      <c r="F3707" s="373"/>
      <c r="H3707" s="2168"/>
      <c r="I3707" s="70"/>
    </row>
    <row r="3708" spans="3:9" s="46" customFormat="1" x14ac:dyDescent="0.2">
      <c r="C3708" s="144"/>
      <c r="D3708" s="144"/>
      <c r="E3708" s="144"/>
      <c r="F3708" s="373"/>
      <c r="H3708" s="2168"/>
      <c r="I3708" s="70"/>
    </row>
    <row r="3709" spans="3:9" s="46" customFormat="1" x14ac:dyDescent="0.2">
      <c r="C3709" s="144"/>
      <c r="D3709" s="144"/>
      <c r="E3709" s="144"/>
      <c r="F3709" s="373"/>
      <c r="H3709" s="2168"/>
      <c r="I3709" s="70"/>
    </row>
    <row r="3710" spans="3:9" s="46" customFormat="1" x14ac:dyDescent="0.2">
      <c r="C3710" s="144"/>
      <c r="D3710" s="144"/>
      <c r="E3710" s="144"/>
      <c r="F3710" s="373"/>
      <c r="H3710" s="2168"/>
      <c r="I3710" s="70"/>
    </row>
    <row r="3711" spans="3:9" s="46" customFormat="1" x14ac:dyDescent="0.2">
      <c r="C3711" s="144"/>
      <c r="D3711" s="144"/>
      <c r="E3711" s="144"/>
      <c r="F3711" s="373"/>
      <c r="H3711" s="2168"/>
      <c r="I3711" s="70"/>
    </row>
    <row r="3712" spans="3:9" s="46" customFormat="1" x14ac:dyDescent="0.2">
      <c r="C3712" s="144"/>
      <c r="D3712" s="144"/>
      <c r="E3712" s="144"/>
      <c r="F3712" s="373"/>
      <c r="H3712" s="2168"/>
      <c r="I3712" s="70"/>
    </row>
    <row r="3713" spans="3:9" s="46" customFormat="1" x14ac:dyDescent="0.2">
      <c r="C3713" s="144"/>
      <c r="D3713" s="144"/>
      <c r="E3713" s="144"/>
      <c r="F3713" s="373"/>
      <c r="H3713" s="2168"/>
      <c r="I3713" s="70"/>
    </row>
    <row r="3714" spans="3:9" s="46" customFormat="1" x14ac:dyDescent="0.2">
      <c r="C3714" s="144"/>
      <c r="D3714" s="144"/>
      <c r="E3714" s="144"/>
      <c r="F3714" s="373"/>
      <c r="H3714" s="2168"/>
      <c r="I3714" s="70"/>
    </row>
    <row r="3715" spans="3:9" s="46" customFormat="1" x14ac:dyDescent="0.2">
      <c r="C3715" s="144"/>
      <c r="D3715" s="144"/>
      <c r="E3715" s="144"/>
      <c r="F3715" s="373"/>
      <c r="H3715" s="2168"/>
      <c r="I3715" s="70"/>
    </row>
    <row r="3716" spans="3:9" s="46" customFormat="1" x14ac:dyDescent="0.2">
      <c r="C3716" s="144"/>
      <c r="D3716" s="144"/>
      <c r="E3716" s="144"/>
      <c r="F3716" s="373"/>
      <c r="H3716" s="2168"/>
      <c r="I3716" s="70"/>
    </row>
    <row r="3717" spans="3:9" s="46" customFormat="1" x14ac:dyDescent="0.2">
      <c r="C3717" s="144"/>
      <c r="D3717" s="144"/>
      <c r="E3717" s="144"/>
      <c r="F3717" s="373"/>
      <c r="H3717" s="2168"/>
      <c r="I3717" s="70"/>
    </row>
    <row r="3718" spans="3:9" s="46" customFormat="1" x14ac:dyDescent="0.2">
      <c r="C3718" s="144"/>
      <c r="D3718" s="144"/>
      <c r="E3718" s="144"/>
      <c r="F3718" s="373"/>
      <c r="H3718" s="2168"/>
      <c r="I3718" s="70"/>
    </row>
    <row r="3719" spans="3:9" s="46" customFormat="1" x14ac:dyDescent="0.2">
      <c r="C3719" s="144"/>
      <c r="D3719" s="144"/>
      <c r="E3719" s="144"/>
      <c r="F3719" s="373"/>
      <c r="H3719" s="2168"/>
      <c r="I3719" s="70"/>
    </row>
    <row r="3720" spans="3:9" s="46" customFormat="1" x14ac:dyDescent="0.2">
      <c r="C3720" s="144"/>
      <c r="D3720" s="144"/>
      <c r="E3720" s="144"/>
      <c r="F3720" s="373"/>
      <c r="H3720" s="2168"/>
      <c r="I3720" s="70"/>
    </row>
    <row r="3721" spans="3:9" s="46" customFormat="1" x14ac:dyDescent="0.2">
      <c r="C3721" s="144"/>
      <c r="D3721" s="144"/>
      <c r="E3721" s="144"/>
      <c r="F3721" s="373"/>
      <c r="H3721" s="2168"/>
      <c r="I3721" s="70"/>
    </row>
    <row r="3722" spans="3:9" s="46" customFormat="1" x14ac:dyDescent="0.2">
      <c r="C3722" s="144"/>
      <c r="D3722" s="144"/>
      <c r="E3722" s="144"/>
      <c r="F3722" s="373"/>
      <c r="H3722" s="2168"/>
      <c r="I3722" s="70"/>
    </row>
    <row r="3723" spans="3:9" s="46" customFormat="1" x14ac:dyDescent="0.2">
      <c r="C3723" s="144"/>
      <c r="D3723" s="144"/>
      <c r="E3723" s="144"/>
      <c r="F3723" s="373"/>
      <c r="H3723" s="2168"/>
      <c r="I3723" s="70"/>
    </row>
    <row r="3724" spans="3:9" s="46" customFormat="1" x14ac:dyDescent="0.2">
      <c r="C3724" s="144"/>
      <c r="D3724" s="144"/>
      <c r="E3724" s="144"/>
      <c r="F3724" s="373"/>
      <c r="H3724" s="2168"/>
      <c r="I3724" s="70"/>
    </row>
    <row r="3725" spans="3:9" s="46" customFormat="1" x14ac:dyDescent="0.2">
      <c r="C3725" s="144"/>
      <c r="D3725" s="144"/>
      <c r="E3725" s="144"/>
      <c r="F3725" s="373"/>
      <c r="H3725" s="2168"/>
      <c r="I3725" s="70"/>
    </row>
    <row r="3726" spans="3:9" s="46" customFormat="1" x14ac:dyDescent="0.2">
      <c r="C3726" s="144"/>
      <c r="D3726" s="144"/>
      <c r="E3726" s="144"/>
      <c r="F3726" s="373"/>
      <c r="H3726" s="2168"/>
      <c r="I3726" s="70"/>
    </row>
    <row r="3727" spans="3:9" s="46" customFormat="1" x14ac:dyDescent="0.2">
      <c r="C3727" s="144"/>
      <c r="D3727" s="144"/>
      <c r="E3727" s="144"/>
      <c r="F3727" s="373"/>
      <c r="H3727" s="2168"/>
      <c r="I3727" s="70"/>
    </row>
    <row r="3728" spans="3:9" s="46" customFormat="1" x14ac:dyDescent="0.2">
      <c r="C3728" s="144"/>
      <c r="D3728" s="144"/>
      <c r="E3728" s="144"/>
      <c r="F3728" s="373"/>
      <c r="H3728" s="2168"/>
      <c r="I3728" s="70"/>
    </row>
    <row r="3729" spans="3:9" s="46" customFormat="1" x14ac:dyDescent="0.2">
      <c r="C3729" s="144"/>
      <c r="D3729" s="144"/>
      <c r="E3729" s="144"/>
      <c r="F3729" s="373"/>
      <c r="H3729" s="2168"/>
      <c r="I3729" s="70"/>
    </row>
    <row r="3730" spans="3:9" s="46" customFormat="1" x14ac:dyDescent="0.2">
      <c r="C3730" s="144"/>
      <c r="D3730" s="144"/>
      <c r="E3730" s="144"/>
      <c r="F3730" s="373"/>
      <c r="H3730" s="2168"/>
      <c r="I3730" s="70"/>
    </row>
    <row r="3731" spans="3:9" s="46" customFormat="1" x14ac:dyDescent="0.2">
      <c r="C3731" s="144"/>
      <c r="D3731" s="144"/>
      <c r="E3731" s="144"/>
      <c r="F3731" s="373"/>
      <c r="H3731" s="2168"/>
      <c r="I3731" s="70"/>
    </row>
    <row r="3732" spans="3:9" s="46" customFormat="1" x14ac:dyDescent="0.2">
      <c r="C3732" s="144"/>
      <c r="D3732" s="144"/>
      <c r="E3732" s="144"/>
      <c r="F3732" s="373"/>
      <c r="H3732" s="2168"/>
      <c r="I3732" s="70"/>
    </row>
    <row r="3733" spans="3:9" s="46" customFormat="1" x14ac:dyDescent="0.2">
      <c r="C3733" s="144"/>
      <c r="D3733" s="144"/>
      <c r="E3733" s="144"/>
      <c r="F3733" s="373"/>
      <c r="H3733" s="2168"/>
      <c r="I3733" s="70"/>
    </row>
    <row r="3734" spans="3:9" s="46" customFormat="1" x14ac:dyDescent="0.2">
      <c r="C3734" s="144"/>
      <c r="D3734" s="144"/>
      <c r="E3734" s="144"/>
      <c r="F3734" s="373"/>
      <c r="H3734" s="2168"/>
      <c r="I3734" s="70"/>
    </row>
    <row r="3735" spans="3:9" s="46" customFormat="1" x14ac:dyDescent="0.2">
      <c r="C3735" s="144"/>
      <c r="D3735" s="144"/>
      <c r="E3735" s="144"/>
      <c r="F3735" s="373"/>
      <c r="H3735" s="2168"/>
      <c r="I3735" s="70"/>
    </row>
    <row r="3736" spans="3:9" s="46" customFormat="1" x14ac:dyDescent="0.2">
      <c r="C3736" s="144"/>
      <c r="D3736" s="144"/>
      <c r="E3736" s="144"/>
      <c r="F3736" s="373"/>
      <c r="H3736" s="2168"/>
      <c r="I3736" s="70"/>
    </row>
    <row r="3737" spans="3:9" s="46" customFormat="1" x14ac:dyDescent="0.2">
      <c r="C3737" s="144"/>
      <c r="D3737" s="144"/>
      <c r="E3737" s="144"/>
      <c r="F3737" s="373"/>
      <c r="H3737" s="2168"/>
      <c r="I3737" s="70"/>
    </row>
    <row r="3738" spans="3:9" s="46" customFormat="1" x14ac:dyDescent="0.2">
      <c r="C3738" s="144"/>
      <c r="D3738" s="144"/>
      <c r="E3738" s="144"/>
      <c r="F3738" s="373"/>
      <c r="H3738" s="2168"/>
      <c r="I3738" s="70"/>
    </row>
    <row r="3739" spans="3:9" s="46" customFormat="1" x14ac:dyDescent="0.2">
      <c r="C3739" s="144"/>
      <c r="D3739" s="144"/>
      <c r="E3739" s="144"/>
      <c r="F3739" s="373"/>
      <c r="H3739" s="2168"/>
      <c r="I3739" s="70"/>
    </row>
    <row r="3740" spans="3:9" s="46" customFormat="1" x14ac:dyDescent="0.2">
      <c r="C3740" s="144"/>
      <c r="D3740" s="144"/>
      <c r="E3740" s="144"/>
      <c r="F3740" s="373"/>
      <c r="H3740" s="2168"/>
      <c r="I3740" s="70"/>
    </row>
    <row r="3741" spans="3:9" s="46" customFormat="1" x14ac:dyDescent="0.2">
      <c r="C3741" s="144"/>
      <c r="D3741" s="144"/>
      <c r="E3741" s="144"/>
      <c r="F3741" s="373"/>
      <c r="H3741" s="2168"/>
      <c r="I3741" s="70"/>
    </row>
    <row r="3742" spans="3:9" s="46" customFormat="1" x14ac:dyDescent="0.2">
      <c r="C3742" s="144"/>
      <c r="D3742" s="144"/>
      <c r="E3742" s="144"/>
      <c r="F3742" s="373"/>
      <c r="H3742" s="2168"/>
      <c r="I3742" s="70"/>
    </row>
    <row r="3743" spans="3:9" s="46" customFormat="1" x14ac:dyDescent="0.2">
      <c r="C3743" s="144"/>
      <c r="D3743" s="144"/>
      <c r="E3743" s="144"/>
      <c r="F3743" s="373"/>
      <c r="H3743" s="2168"/>
      <c r="I3743" s="70"/>
    </row>
    <row r="3744" spans="3:9" s="46" customFormat="1" x14ac:dyDescent="0.2">
      <c r="C3744" s="144"/>
      <c r="D3744" s="144"/>
      <c r="E3744" s="144"/>
      <c r="F3744" s="373"/>
      <c r="H3744" s="2168"/>
      <c r="I3744" s="70"/>
    </row>
    <row r="3745" spans="3:9" s="46" customFormat="1" x14ac:dyDescent="0.2">
      <c r="C3745" s="144"/>
      <c r="D3745" s="144"/>
      <c r="E3745" s="144"/>
      <c r="F3745" s="373"/>
      <c r="H3745" s="2168"/>
      <c r="I3745" s="70"/>
    </row>
    <row r="3746" spans="3:9" s="46" customFormat="1" x14ac:dyDescent="0.2">
      <c r="C3746" s="144"/>
      <c r="D3746" s="144"/>
      <c r="E3746" s="144"/>
      <c r="F3746" s="373"/>
      <c r="H3746" s="2168"/>
      <c r="I3746" s="70"/>
    </row>
    <row r="3747" spans="3:9" s="46" customFormat="1" x14ac:dyDescent="0.2">
      <c r="C3747" s="144"/>
      <c r="D3747" s="144"/>
      <c r="E3747" s="144"/>
      <c r="F3747" s="373"/>
      <c r="H3747" s="2168"/>
      <c r="I3747" s="70"/>
    </row>
    <row r="3748" spans="3:9" s="46" customFormat="1" x14ac:dyDescent="0.2">
      <c r="C3748" s="144"/>
      <c r="D3748" s="144"/>
      <c r="E3748" s="144"/>
      <c r="F3748" s="373"/>
      <c r="H3748" s="2168"/>
      <c r="I3748" s="70"/>
    </row>
    <row r="3749" spans="3:9" s="46" customFormat="1" x14ac:dyDescent="0.2">
      <c r="C3749" s="144"/>
      <c r="D3749" s="144"/>
      <c r="E3749" s="144"/>
      <c r="F3749" s="373"/>
      <c r="H3749" s="2168"/>
      <c r="I3749" s="70"/>
    </row>
    <row r="3750" spans="3:9" s="46" customFormat="1" x14ac:dyDescent="0.2">
      <c r="C3750" s="144"/>
      <c r="D3750" s="144"/>
      <c r="E3750" s="144"/>
      <c r="F3750" s="373"/>
      <c r="H3750" s="2168"/>
      <c r="I3750" s="70"/>
    </row>
    <row r="3751" spans="3:9" s="46" customFormat="1" x14ac:dyDescent="0.2">
      <c r="C3751" s="144"/>
      <c r="D3751" s="144"/>
      <c r="E3751" s="144"/>
      <c r="F3751" s="373"/>
      <c r="H3751" s="2168"/>
      <c r="I3751" s="70"/>
    </row>
    <row r="3752" spans="3:9" s="46" customFormat="1" x14ac:dyDescent="0.2">
      <c r="C3752" s="144"/>
      <c r="D3752" s="144"/>
      <c r="E3752" s="144"/>
      <c r="F3752" s="373"/>
      <c r="H3752" s="2168"/>
      <c r="I3752" s="70"/>
    </row>
    <row r="3753" spans="3:9" s="46" customFormat="1" x14ac:dyDescent="0.2">
      <c r="C3753" s="144"/>
      <c r="D3753" s="144"/>
      <c r="E3753" s="144"/>
      <c r="F3753" s="373"/>
      <c r="H3753" s="2168"/>
      <c r="I3753" s="70"/>
    </row>
    <row r="3754" spans="3:9" s="46" customFormat="1" x14ac:dyDescent="0.2">
      <c r="C3754" s="144"/>
      <c r="D3754" s="144"/>
      <c r="E3754" s="144"/>
      <c r="F3754" s="373"/>
      <c r="H3754" s="2168"/>
      <c r="I3754" s="70"/>
    </row>
    <row r="3755" spans="3:9" s="46" customFormat="1" x14ac:dyDescent="0.2">
      <c r="C3755" s="144"/>
      <c r="D3755" s="144"/>
      <c r="E3755" s="144"/>
      <c r="F3755" s="373"/>
      <c r="H3755" s="2168"/>
      <c r="I3755" s="70"/>
    </row>
    <row r="3756" spans="3:9" s="46" customFormat="1" x14ac:dyDescent="0.2">
      <c r="C3756" s="144"/>
      <c r="D3756" s="144"/>
      <c r="E3756" s="144"/>
      <c r="F3756" s="373"/>
      <c r="H3756" s="2168"/>
      <c r="I3756" s="70"/>
    </row>
    <row r="3757" spans="3:9" s="46" customFormat="1" x14ac:dyDescent="0.2">
      <c r="C3757" s="144"/>
      <c r="D3757" s="144"/>
      <c r="E3757" s="144"/>
      <c r="F3757" s="373"/>
      <c r="H3757" s="2168"/>
      <c r="I3757" s="70"/>
    </row>
    <row r="3758" spans="3:9" s="46" customFormat="1" x14ac:dyDescent="0.2">
      <c r="C3758" s="144"/>
      <c r="D3758" s="144"/>
      <c r="E3758" s="144"/>
      <c r="F3758" s="373"/>
      <c r="H3758" s="2168"/>
      <c r="I3758" s="70"/>
    </row>
    <row r="3759" spans="3:9" s="46" customFormat="1" x14ac:dyDescent="0.2">
      <c r="C3759" s="144"/>
      <c r="D3759" s="144"/>
      <c r="E3759" s="144"/>
      <c r="F3759" s="373"/>
      <c r="H3759" s="2168"/>
      <c r="I3759" s="70"/>
    </row>
    <row r="3760" spans="3:9" s="46" customFormat="1" x14ac:dyDescent="0.2">
      <c r="C3760" s="144"/>
      <c r="D3760" s="144"/>
      <c r="E3760" s="144"/>
      <c r="F3760" s="373"/>
      <c r="H3760" s="2168"/>
      <c r="I3760" s="70"/>
    </row>
    <row r="3761" spans="3:9" s="46" customFormat="1" x14ac:dyDescent="0.2">
      <c r="C3761" s="144"/>
      <c r="D3761" s="144"/>
      <c r="E3761" s="144"/>
      <c r="F3761" s="373"/>
      <c r="H3761" s="2168"/>
      <c r="I3761" s="70"/>
    </row>
    <row r="3762" spans="3:9" s="46" customFormat="1" x14ac:dyDescent="0.2">
      <c r="C3762" s="144"/>
      <c r="D3762" s="144"/>
      <c r="E3762" s="144"/>
      <c r="F3762" s="373"/>
      <c r="H3762" s="2168"/>
      <c r="I3762" s="70"/>
    </row>
    <row r="3763" spans="3:9" s="46" customFormat="1" x14ac:dyDescent="0.2">
      <c r="C3763" s="144"/>
      <c r="D3763" s="144"/>
      <c r="E3763" s="144"/>
      <c r="F3763" s="373"/>
      <c r="H3763" s="2168"/>
      <c r="I3763" s="70"/>
    </row>
    <row r="3764" spans="3:9" s="46" customFormat="1" x14ac:dyDescent="0.2">
      <c r="C3764" s="144"/>
      <c r="D3764" s="144"/>
      <c r="E3764" s="144"/>
      <c r="F3764" s="373"/>
      <c r="H3764" s="2168"/>
      <c r="I3764" s="70"/>
    </row>
    <row r="3765" spans="3:9" s="46" customFormat="1" x14ac:dyDescent="0.2">
      <c r="C3765" s="144"/>
      <c r="D3765" s="144"/>
      <c r="E3765" s="144"/>
      <c r="F3765" s="373"/>
      <c r="H3765" s="2168"/>
      <c r="I3765" s="70"/>
    </row>
    <row r="3766" spans="3:9" s="46" customFormat="1" x14ac:dyDescent="0.2">
      <c r="C3766" s="144"/>
      <c r="D3766" s="144"/>
      <c r="E3766" s="144"/>
      <c r="F3766" s="373"/>
      <c r="H3766" s="2168"/>
      <c r="I3766" s="70"/>
    </row>
    <row r="3767" spans="3:9" s="46" customFormat="1" x14ac:dyDescent="0.2">
      <c r="C3767" s="144"/>
      <c r="D3767" s="144"/>
      <c r="E3767" s="144"/>
      <c r="F3767" s="373"/>
      <c r="H3767" s="2168"/>
      <c r="I3767" s="70"/>
    </row>
    <row r="3768" spans="3:9" s="46" customFormat="1" x14ac:dyDescent="0.2">
      <c r="C3768" s="144"/>
      <c r="D3768" s="144"/>
      <c r="E3768" s="144"/>
      <c r="F3768" s="373"/>
      <c r="H3768" s="2168"/>
      <c r="I3768" s="70"/>
    </row>
    <row r="3769" spans="3:9" s="46" customFormat="1" x14ac:dyDescent="0.2">
      <c r="C3769" s="144"/>
      <c r="D3769" s="144"/>
      <c r="E3769" s="144"/>
      <c r="F3769" s="373"/>
      <c r="H3769" s="2168"/>
      <c r="I3769" s="70"/>
    </row>
    <row r="3770" spans="3:9" s="46" customFormat="1" x14ac:dyDescent="0.2">
      <c r="C3770" s="144"/>
      <c r="D3770" s="144"/>
      <c r="E3770" s="144"/>
      <c r="F3770" s="373"/>
      <c r="H3770" s="2168"/>
      <c r="I3770" s="70"/>
    </row>
    <row r="3771" spans="3:9" s="46" customFormat="1" x14ac:dyDescent="0.2">
      <c r="C3771" s="144"/>
      <c r="D3771" s="144"/>
      <c r="E3771" s="144"/>
      <c r="F3771" s="373"/>
      <c r="H3771" s="2168"/>
      <c r="I3771" s="70"/>
    </row>
    <row r="3772" spans="3:9" s="46" customFormat="1" x14ac:dyDescent="0.2">
      <c r="C3772" s="144"/>
      <c r="D3772" s="144"/>
      <c r="E3772" s="144"/>
      <c r="F3772" s="373"/>
      <c r="H3772" s="2168"/>
      <c r="I3772" s="70"/>
    </row>
    <row r="3773" spans="3:9" s="46" customFormat="1" x14ac:dyDescent="0.2">
      <c r="C3773" s="144"/>
      <c r="D3773" s="144"/>
      <c r="E3773" s="144"/>
      <c r="F3773" s="373"/>
      <c r="H3773" s="2168"/>
      <c r="I3773" s="70"/>
    </row>
    <row r="3774" spans="3:9" s="46" customFormat="1" x14ac:dyDescent="0.2">
      <c r="C3774" s="144"/>
      <c r="D3774" s="144"/>
      <c r="E3774" s="144"/>
      <c r="F3774" s="373"/>
      <c r="H3774" s="2168"/>
      <c r="I3774" s="70"/>
    </row>
    <row r="3775" spans="3:9" s="46" customFormat="1" x14ac:dyDescent="0.2">
      <c r="C3775" s="144"/>
      <c r="D3775" s="144"/>
      <c r="E3775" s="144"/>
      <c r="F3775" s="373"/>
      <c r="H3775" s="2168"/>
      <c r="I3775" s="70"/>
    </row>
    <row r="3776" spans="3:9" s="46" customFormat="1" x14ac:dyDescent="0.2">
      <c r="C3776" s="144"/>
      <c r="D3776" s="144"/>
      <c r="E3776" s="144"/>
      <c r="F3776" s="373"/>
      <c r="H3776" s="2168"/>
      <c r="I3776" s="70"/>
    </row>
    <row r="3777" spans="3:9" s="46" customFormat="1" x14ac:dyDescent="0.2">
      <c r="C3777" s="144"/>
      <c r="D3777" s="144"/>
      <c r="E3777" s="144"/>
      <c r="F3777" s="373"/>
      <c r="H3777" s="2168"/>
      <c r="I3777" s="70"/>
    </row>
    <row r="3778" spans="3:9" s="46" customFormat="1" x14ac:dyDescent="0.2">
      <c r="C3778" s="144"/>
      <c r="D3778" s="144"/>
      <c r="E3778" s="144"/>
      <c r="F3778" s="373"/>
      <c r="H3778" s="2168"/>
      <c r="I3778" s="70"/>
    </row>
    <row r="3779" spans="3:9" s="46" customFormat="1" x14ac:dyDescent="0.2">
      <c r="C3779" s="144"/>
      <c r="D3779" s="144"/>
      <c r="E3779" s="144"/>
      <c r="F3779" s="373"/>
      <c r="H3779" s="2168"/>
      <c r="I3779" s="70"/>
    </row>
    <row r="3780" spans="3:9" s="46" customFormat="1" x14ac:dyDescent="0.2">
      <c r="C3780" s="144"/>
      <c r="D3780" s="144"/>
      <c r="E3780" s="144"/>
      <c r="F3780" s="373"/>
      <c r="H3780" s="2168"/>
      <c r="I3780" s="70"/>
    </row>
    <row r="3781" spans="3:9" s="46" customFormat="1" x14ac:dyDescent="0.2">
      <c r="C3781" s="144"/>
      <c r="D3781" s="144"/>
      <c r="E3781" s="144"/>
      <c r="F3781" s="373"/>
      <c r="H3781" s="2168"/>
      <c r="I3781" s="70"/>
    </row>
    <row r="3782" spans="3:9" s="46" customFormat="1" x14ac:dyDescent="0.2">
      <c r="C3782" s="144"/>
      <c r="D3782" s="144"/>
      <c r="E3782" s="144"/>
      <c r="F3782" s="373"/>
      <c r="H3782" s="2168"/>
      <c r="I3782" s="70"/>
    </row>
    <row r="3783" spans="3:9" s="46" customFormat="1" x14ac:dyDescent="0.2">
      <c r="C3783" s="144"/>
      <c r="D3783" s="144"/>
      <c r="E3783" s="144"/>
      <c r="F3783" s="373"/>
      <c r="H3783" s="2168"/>
      <c r="I3783" s="70"/>
    </row>
    <row r="3784" spans="3:9" s="46" customFormat="1" x14ac:dyDescent="0.2">
      <c r="C3784" s="144"/>
      <c r="D3784" s="144"/>
      <c r="E3784" s="144"/>
      <c r="F3784" s="373"/>
      <c r="H3784" s="2168"/>
      <c r="I3784" s="70"/>
    </row>
    <row r="3785" spans="3:9" s="46" customFormat="1" x14ac:dyDescent="0.2">
      <c r="C3785" s="144"/>
      <c r="D3785" s="144"/>
      <c r="E3785" s="144"/>
      <c r="F3785" s="373"/>
      <c r="H3785" s="2168"/>
      <c r="I3785" s="70"/>
    </row>
    <row r="3786" spans="3:9" s="46" customFormat="1" x14ac:dyDescent="0.2">
      <c r="C3786" s="144"/>
      <c r="D3786" s="144"/>
      <c r="E3786" s="144"/>
      <c r="F3786" s="373"/>
      <c r="H3786" s="2168"/>
      <c r="I3786" s="70"/>
    </row>
    <row r="3787" spans="3:9" s="46" customFormat="1" x14ac:dyDescent="0.2">
      <c r="C3787" s="144"/>
      <c r="D3787" s="144"/>
      <c r="E3787" s="144"/>
      <c r="F3787" s="373"/>
      <c r="H3787" s="2168"/>
      <c r="I3787" s="70"/>
    </row>
    <row r="3788" spans="3:9" s="46" customFormat="1" x14ac:dyDescent="0.2">
      <c r="C3788" s="144"/>
      <c r="D3788" s="144"/>
      <c r="E3788" s="144"/>
      <c r="F3788" s="373"/>
      <c r="H3788" s="2168"/>
      <c r="I3788" s="70"/>
    </row>
    <row r="3789" spans="3:9" s="46" customFormat="1" x14ac:dyDescent="0.2">
      <c r="C3789" s="144"/>
      <c r="D3789" s="144"/>
      <c r="E3789" s="144"/>
      <c r="F3789" s="373"/>
      <c r="H3789" s="2168"/>
      <c r="I3789" s="70"/>
    </row>
    <row r="3790" spans="3:9" s="46" customFormat="1" x14ac:dyDescent="0.2">
      <c r="C3790" s="144"/>
      <c r="D3790" s="144"/>
      <c r="E3790" s="144"/>
      <c r="F3790" s="373"/>
      <c r="H3790" s="2168"/>
      <c r="I3790" s="70"/>
    </row>
    <row r="3791" spans="3:9" s="46" customFormat="1" x14ac:dyDescent="0.2">
      <c r="C3791" s="144"/>
      <c r="D3791" s="144"/>
      <c r="E3791" s="144"/>
      <c r="F3791" s="373"/>
      <c r="H3791" s="2168"/>
      <c r="I3791" s="70"/>
    </row>
    <row r="3792" spans="3:9" s="46" customFormat="1" x14ac:dyDescent="0.2">
      <c r="C3792" s="144"/>
      <c r="D3792" s="144"/>
      <c r="E3792" s="144"/>
      <c r="F3792" s="373"/>
      <c r="H3792" s="2168"/>
      <c r="I3792" s="70"/>
    </row>
    <row r="3793" spans="3:9" s="46" customFormat="1" x14ac:dyDescent="0.2">
      <c r="C3793" s="144"/>
      <c r="D3793" s="144"/>
      <c r="E3793" s="144"/>
      <c r="F3793" s="373"/>
      <c r="H3793" s="2168"/>
      <c r="I3793" s="70"/>
    </row>
    <row r="3794" spans="3:9" s="46" customFormat="1" x14ac:dyDescent="0.2">
      <c r="C3794" s="144"/>
      <c r="D3794" s="144"/>
      <c r="E3794" s="144"/>
      <c r="F3794" s="373"/>
      <c r="H3794" s="2168"/>
      <c r="I3794" s="70"/>
    </row>
    <row r="3795" spans="3:9" s="46" customFormat="1" x14ac:dyDescent="0.2">
      <c r="C3795" s="144"/>
      <c r="D3795" s="144"/>
      <c r="E3795" s="144"/>
      <c r="F3795" s="373"/>
      <c r="H3795" s="2168"/>
      <c r="I3795" s="70"/>
    </row>
    <row r="3796" spans="3:9" s="46" customFormat="1" x14ac:dyDescent="0.2">
      <c r="C3796" s="144"/>
      <c r="D3796" s="144"/>
      <c r="E3796" s="144"/>
      <c r="F3796" s="373"/>
      <c r="H3796" s="2168"/>
      <c r="I3796" s="70"/>
    </row>
    <row r="3797" spans="3:9" s="46" customFormat="1" x14ac:dyDescent="0.2">
      <c r="C3797" s="144"/>
      <c r="D3797" s="144"/>
      <c r="E3797" s="144"/>
      <c r="F3797" s="373"/>
      <c r="H3797" s="2168"/>
      <c r="I3797" s="70"/>
    </row>
    <row r="3798" spans="3:9" s="46" customFormat="1" x14ac:dyDescent="0.2">
      <c r="C3798" s="144"/>
      <c r="D3798" s="144"/>
      <c r="E3798" s="144"/>
      <c r="F3798" s="373"/>
      <c r="H3798" s="2168"/>
      <c r="I3798" s="70"/>
    </row>
    <row r="3799" spans="3:9" s="46" customFormat="1" x14ac:dyDescent="0.2">
      <c r="C3799" s="144"/>
      <c r="D3799" s="144"/>
      <c r="E3799" s="144"/>
      <c r="F3799" s="373"/>
      <c r="H3799" s="2168"/>
      <c r="I3799" s="70"/>
    </row>
    <row r="3800" spans="3:9" s="46" customFormat="1" x14ac:dyDescent="0.2">
      <c r="C3800" s="144"/>
      <c r="D3800" s="144"/>
      <c r="E3800" s="144"/>
      <c r="F3800" s="373"/>
      <c r="H3800" s="2168"/>
      <c r="I3800" s="70"/>
    </row>
    <row r="3801" spans="3:9" s="46" customFormat="1" x14ac:dyDescent="0.2">
      <c r="C3801" s="144"/>
      <c r="D3801" s="144"/>
      <c r="E3801" s="144"/>
      <c r="F3801" s="373"/>
      <c r="H3801" s="2168"/>
      <c r="I3801" s="70"/>
    </row>
    <row r="3802" spans="3:9" s="46" customFormat="1" x14ac:dyDescent="0.2">
      <c r="C3802" s="144"/>
      <c r="D3802" s="144"/>
      <c r="E3802" s="144"/>
      <c r="F3802" s="373"/>
      <c r="H3802" s="2168"/>
      <c r="I3802" s="70"/>
    </row>
    <row r="3803" spans="3:9" s="46" customFormat="1" x14ac:dyDescent="0.2">
      <c r="C3803" s="144"/>
      <c r="D3803" s="144"/>
      <c r="E3803" s="144"/>
      <c r="F3803" s="373"/>
      <c r="H3803" s="2168"/>
      <c r="I3803" s="70"/>
    </row>
    <row r="3804" spans="3:9" s="46" customFormat="1" x14ac:dyDescent="0.2">
      <c r="C3804" s="144"/>
      <c r="D3804" s="144"/>
      <c r="E3804" s="144"/>
      <c r="F3804" s="373"/>
      <c r="H3804" s="2168"/>
      <c r="I3804" s="70"/>
    </row>
    <row r="3805" spans="3:9" s="46" customFormat="1" x14ac:dyDescent="0.2">
      <c r="C3805" s="144"/>
      <c r="D3805" s="144"/>
      <c r="E3805" s="144"/>
      <c r="F3805" s="373"/>
      <c r="H3805" s="2168"/>
      <c r="I3805" s="70"/>
    </row>
    <row r="3806" spans="3:9" s="46" customFormat="1" x14ac:dyDescent="0.2">
      <c r="C3806" s="144"/>
      <c r="D3806" s="144"/>
      <c r="E3806" s="144"/>
      <c r="F3806" s="373"/>
      <c r="H3806" s="2168"/>
      <c r="I3806" s="70"/>
    </row>
    <row r="3807" spans="3:9" s="46" customFormat="1" x14ac:dyDescent="0.2">
      <c r="C3807" s="144"/>
      <c r="D3807" s="144"/>
      <c r="E3807" s="144"/>
      <c r="F3807" s="373"/>
      <c r="H3807" s="2168"/>
      <c r="I3807" s="70"/>
    </row>
    <row r="3808" spans="3:9" s="46" customFormat="1" x14ac:dyDescent="0.2">
      <c r="C3808" s="144"/>
      <c r="D3808" s="144"/>
      <c r="E3808" s="144"/>
      <c r="F3808" s="373"/>
      <c r="H3808" s="2168"/>
      <c r="I3808" s="70"/>
    </row>
    <row r="3809" spans="3:9" s="46" customFormat="1" x14ac:dyDescent="0.2">
      <c r="C3809" s="144"/>
      <c r="D3809" s="144"/>
      <c r="E3809" s="144"/>
      <c r="F3809" s="373"/>
      <c r="H3809" s="2168"/>
      <c r="I3809" s="70"/>
    </row>
    <row r="3810" spans="3:9" s="46" customFormat="1" x14ac:dyDescent="0.2">
      <c r="C3810" s="144"/>
      <c r="D3810" s="144"/>
      <c r="E3810" s="144"/>
      <c r="F3810" s="373"/>
      <c r="H3810" s="2168"/>
      <c r="I3810" s="70"/>
    </row>
    <row r="3811" spans="3:9" s="46" customFormat="1" x14ac:dyDescent="0.2">
      <c r="C3811" s="144"/>
      <c r="D3811" s="144"/>
      <c r="E3811" s="144"/>
      <c r="F3811" s="373"/>
      <c r="H3811" s="2168"/>
      <c r="I3811" s="70"/>
    </row>
    <row r="3812" spans="3:9" s="46" customFormat="1" x14ac:dyDescent="0.2">
      <c r="C3812" s="144"/>
      <c r="D3812" s="144"/>
      <c r="E3812" s="144"/>
      <c r="F3812" s="373"/>
      <c r="H3812" s="2168"/>
      <c r="I3812" s="70"/>
    </row>
    <row r="3813" spans="3:9" s="46" customFormat="1" x14ac:dyDescent="0.2">
      <c r="C3813" s="144"/>
      <c r="D3813" s="144"/>
      <c r="E3813" s="144"/>
      <c r="F3813" s="373"/>
      <c r="H3813" s="2168"/>
      <c r="I3813" s="70"/>
    </row>
    <row r="3814" spans="3:9" s="46" customFormat="1" x14ac:dyDescent="0.2">
      <c r="C3814" s="144"/>
      <c r="D3814" s="144"/>
      <c r="E3814" s="144"/>
      <c r="F3814" s="373"/>
      <c r="H3814" s="2168"/>
      <c r="I3814" s="70"/>
    </row>
    <row r="3815" spans="3:9" s="46" customFormat="1" x14ac:dyDescent="0.2">
      <c r="C3815" s="144"/>
      <c r="D3815" s="144"/>
      <c r="E3815" s="144"/>
      <c r="F3815" s="373"/>
      <c r="H3815" s="2168"/>
      <c r="I3815" s="70"/>
    </row>
    <row r="3816" spans="3:9" s="46" customFormat="1" x14ac:dyDescent="0.2">
      <c r="C3816" s="144"/>
      <c r="D3816" s="144"/>
      <c r="E3816" s="144"/>
      <c r="F3816" s="373"/>
      <c r="H3816" s="2168"/>
      <c r="I3816" s="70"/>
    </row>
    <row r="3817" spans="3:9" s="46" customFormat="1" x14ac:dyDescent="0.2">
      <c r="C3817" s="144"/>
      <c r="D3817" s="144"/>
      <c r="E3817" s="144"/>
      <c r="F3817" s="373"/>
      <c r="H3817" s="2168"/>
      <c r="I3817" s="70"/>
    </row>
    <row r="3818" spans="3:9" s="46" customFormat="1" x14ac:dyDescent="0.2">
      <c r="C3818" s="144"/>
      <c r="D3818" s="144"/>
      <c r="E3818" s="144"/>
      <c r="F3818" s="373"/>
      <c r="H3818" s="2168"/>
      <c r="I3818" s="70"/>
    </row>
    <row r="3819" spans="3:9" s="46" customFormat="1" x14ac:dyDescent="0.2">
      <c r="C3819" s="144"/>
      <c r="D3819" s="144"/>
      <c r="E3819" s="144"/>
      <c r="F3819" s="373"/>
      <c r="H3819" s="2168"/>
      <c r="I3819" s="70"/>
    </row>
    <row r="3820" spans="3:9" s="46" customFormat="1" x14ac:dyDescent="0.2">
      <c r="C3820" s="144"/>
      <c r="D3820" s="144"/>
      <c r="E3820" s="144"/>
      <c r="F3820" s="373"/>
      <c r="H3820" s="2168"/>
      <c r="I3820" s="70"/>
    </row>
    <row r="3821" spans="3:9" s="46" customFormat="1" x14ac:dyDescent="0.2">
      <c r="C3821" s="144"/>
      <c r="D3821" s="144"/>
      <c r="E3821" s="144"/>
      <c r="F3821" s="373"/>
      <c r="H3821" s="2168"/>
      <c r="I3821" s="70"/>
    </row>
    <row r="3822" spans="3:9" s="46" customFormat="1" x14ac:dyDescent="0.2">
      <c r="C3822" s="144"/>
      <c r="D3822" s="144"/>
      <c r="E3822" s="144"/>
      <c r="F3822" s="373"/>
      <c r="H3822" s="2168"/>
      <c r="I3822" s="70"/>
    </row>
    <row r="3823" spans="3:9" s="46" customFormat="1" x14ac:dyDescent="0.2">
      <c r="C3823" s="144"/>
      <c r="D3823" s="144"/>
      <c r="E3823" s="144"/>
      <c r="F3823" s="373"/>
      <c r="H3823" s="2168"/>
      <c r="I3823" s="70"/>
    </row>
    <row r="3824" spans="3:9" s="46" customFormat="1" x14ac:dyDescent="0.2">
      <c r="C3824" s="144"/>
      <c r="D3824" s="144"/>
      <c r="E3824" s="144"/>
      <c r="F3824" s="373"/>
      <c r="H3824" s="2168"/>
      <c r="I3824" s="70"/>
    </row>
    <row r="3825" spans="3:9" s="46" customFormat="1" x14ac:dyDescent="0.2">
      <c r="C3825" s="144"/>
      <c r="D3825" s="144"/>
      <c r="E3825" s="144"/>
      <c r="F3825" s="373"/>
      <c r="H3825" s="2168"/>
      <c r="I3825" s="70"/>
    </row>
    <row r="3826" spans="3:9" s="46" customFormat="1" x14ac:dyDescent="0.2">
      <c r="C3826" s="144"/>
      <c r="D3826" s="144"/>
      <c r="E3826" s="144"/>
      <c r="F3826" s="373"/>
      <c r="H3826" s="2168"/>
      <c r="I3826" s="70"/>
    </row>
    <row r="3827" spans="3:9" s="46" customFormat="1" x14ac:dyDescent="0.2">
      <c r="C3827" s="144"/>
      <c r="D3827" s="144"/>
      <c r="E3827" s="144"/>
      <c r="F3827" s="373"/>
      <c r="H3827" s="2168"/>
      <c r="I3827" s="70"/>
    </row>
    <row r="3828" spans="3:9" s="46" customFormat="1" x14ac:dyDescent="0.2">
      <c r="C3828" s="144"/>
      <c r="D3828" s="144"/>
      <c r="E3828" s="144"/>
      <c r="F3828" s="373"/>
      <c r="H3828" s="2168"/>
      <c r="I3828" s="70"/>
    </row>
    <row r="3829" spans="3:9" s="46" customFormat="1" x14ac:dyDescent="0.2">
      <c r="C3829" s="144"/>
      <c r="D3829" s="144"/>
      <c r="E3829" s="144"/>
      <c r="F3829" s="373"/>
      <c r="H3829" s="2168"/>
      <c r="I3829" s="70"/>
    </row>
    <row r="3830" spans="3:9" s="46" customFormat="1" x14ac:dyDescent="0.2">
      <c r="C3830" s="144"/>
      <c r="D3830" s="144"/>
      <c r="E3830" s="144"/>
      <c r="F3830" s="373"/>
      <c r="H3830" s="2168"/>
      <c r="I3830" s="70"/>
    </row>
    <row r="3831" spans="3:9" s="46" customFormat="1" x14ac:dyDescent="0.2">
      <c r="C3831" s="144"/>
      <c r="D3831" s="144"/>
      <c r="E3831" s="144"/>
      <c r="F3831" s="373"/>
      <c r="H3831" s="2168"/>
      <c r="I3831" s="70"/>
    </row>
    <row r="3832" spans="3:9" s="46" customFormat="1" x14ac:dyDescent="0.2">
      <c r="C3832" s="144"/>
      <c r="D3832" s="144"/>
      <c r="E3832" s="144"/>
      <c r="F3832" s="373"/>
      <c r="H3832" s="2168"/>
      <c r="I3832" s="70"/>
    </row>
    <row r="3833" spans="3:9" s="46" customFormat="1" x14ac:dyDescent="0.2">
      <c r="C3833" s="144"/>
      <c r="D3833" s="144"/>
      <c r="E3833" s="144"/>
      <c r="F3833" s="373"/>
      <c r="H3833" s="2168"/>
      <c r="I3833" s="70"/>
    </row>
    <row r="3834" spans="3:9" s="46" customFormat="1" x14ac:dyDescent="0.2">
      <c r="C3834" s="144"/>
      <c r="D3834" s="144"/>
      <c r="E3834" s="144"/>
      <c r="F3834" s="373"/>
      <c r="H3834" s="2168"/>
      <c r="I3834" s="70"/>
    </row>
    <row r="3835" spans="3:9" s="46" customFormat="1" x14ac:dyDescent="0.2">
      <c r="C3835" s="144"/>
      <c r="D3835" s="144"/>
      <c r="E3835" s="144"/>
      <c r="F3835" s="373"/>
      <c r="H3835" s="2168"/>
      <c r="I3835" s="70"/>
    </row>
    <row r="3836" spans="3:9" s="46" customFormat="1" x14ac:dyDescent="0.2">
      <c r="C3836" s="144"/>
      <c r="D3836" s="144"/>
      <c r="E3836" s="144"/>
      <c r="F3836" s="373"/>
      <c r="H3836" s="2168"/>
      <c r="I3836" s="70"/>
    </row>
    <row r="3837" spans="3:9" s="46" customFormat="1" x14ac:dyDescent="0.2">
      <c r="C3837" s="144"/>
      <c r="D3837" s="144"/>
      <c r="E3837" s="144"/>
      <c r="F3837" s="373"/>
      <c r="H3837" s="2168"/>
      <c r="I3837" s="70"/>
    </row>
    <row r="3838" spans="3:9" s="46" customFormat="1" x14ac:dyDescent="0.2">
      <c r="C3838" s="144"/>
      <c r="D3838" s="144"/>
      <c r="E3838" s="144"/>
      <c r="F3838" s="373"/>
      <c r="H3838" s="2168"/>
      <c r="I3838" s="70"/>
    </row>
    <row r="3839" spans="3:9" s="46" customFormat="1" x14ac:dyDescent="0.2">
      <c r="C3839" s="144"/>
      <c r="D3839" s="144"/>
      <c r="E3839" s="144"/>
      <c r="F3839" s="373"/>
      <c r="H3839" s="2168"/>
      <c r="I3839" s="70"/>
    </row>
    <row r="3840" spans="3:9" s="46" customFormat="1" x14ac:dyDescent="0.2">
      <c r="C3840" s="144"/>
      <c r="D3840" s="144"/>
      <c r="E3840" s="144"/>
      <c r="F3840" s="373"/>
      <c r="H3840" s="2168"/>
      <c r="I3840" s="70"/>
    </row>
    <row r="3841" spans="3:9" s="46" customFormat="1" x14ac:dyDescent="0.2">
      <c r="C3841" s="144"/>
      <c r="D3841" s="144"/>
      <c r="E3841" s="144"/>
      <c r="F3841" s="373"/>
      <c r="H3841" s="2168"/>
      <c r="I3841" s="70"/>
    </row>
    <row r="3842" spans="3:9" s="46" customFormat="1" x14ac:dyDescent="0.2">
      <c r="C3842" s="144"/>
      <c r="D3842" s="144"/>
      <c r="E3842" s="144"/>
      <c r="F3842" s="373"/>
      <c r="H3842" s="2168"/>
      <c r="I3842" s="70"/>
    </row>
    <row r="3843" spans="3:9" s="46" customFormat="1" x14ac:dyDescent="0.2">
      <c r="C3843" s="144"/>
      <c r="D3843" s="144"/>
      <c r="E3843" s="144"/>
      <c r="F3843" s="373"/>
      <c r="H3843" s="2168"/>
      <c r="I3843" s="70"/>
    </row>
    <row r="3844" spans="3:9" s="46" customFormat="1" x14ac:dyDescent="0.2">
      <c r="C3844" s="144"/>
      <c r="D3844" s="144"/>
      <c r="E3844" s="144"/>
      <c r="F3844" s="373"/>
      <c r="H3844" s="2168"/>
      <c r="I3844" s="70"/>
    </row>
    <row r="3845" spans="3:9" s="46" customFormat="1" x14ac:dyDescent="0.2">
      <c r="C3845" s="144"/>
      <c r="D3845" s="144"/>
      <c r="E3845" s="144"/>
      <c r="F3845" s="373"/>
      <c r="H3845" s="2168"/>
      <c r="I3845" s="70"/>
    </row>
    <row r="3846" spans="3:9" s="46" customFormat="1" x14ac:dyDescent="0.2">
      <c r="C3846" s="144"/>
      <c r="D3846" s="144"/>
      <c r="E3846" s="144"/>
      <c r="F3846" s="373"/>
      <c r="H3846" s="2168"/>
      <c r="I3846" s="70"/>
    </row>
    <row r="3847" spans="3:9" s="46" customFormat="1" x14ac:dyDescent="0.2">
      <c r="C3847" s="144"/>
      <c r="D3847" s="144"/>
      <c r="E3847" s="144"/>
      <c r="F3847" s="373"/>
      <c r="H3847" s="2168"/>
      <c r="I3847" s="70"/>
    </row>
    <row r="3848" spans="3:9" s="46" customFormat="1" x14ac:dyDescent="0.2">
      <c r="C3848" s="144"/>
      <c r="D3848" s="144"/>
      <c r="E3848" s="144"/>
      <c r="F3848" s="373"/>
      <c r="H3848" s="2168"/>
      <c r="I3848" s="70"/>
    </row>
    <row r="3849" spans="3:9" s="46" customFormat="1" x14ac:dyDescent="0.2">
      <c r="C3849" s="144"/>
      <c r="D3849" s="144"/>
      <c r="E3849" s="144"/>
      <c r="F3849" s="373"/>
      <c r="H3849" s="2168"/>
      <c r="I3849" s="70"/>
    </row>
    <row r="3850" spans="3:9" s="46" customFormat="1" x14ac:dyDescent="0.2">
      <c r="C3850" s="144"/>
      <c r="D3850" s="144"/>
      <c r="E3850" s="144"/>
      <c r="F3850" s="373"/>
      <c r="H3850" s="2168"/>
      <c r="I3850" s="70"/>
    </row>
    <row r="3851" spans="3:9" s="46" customFormat="1" x14ac:dyDescent="0.2">
      <c r="C3851" s="144"/>
      <c r="D3851" s="144"/>
      <c r="E3851" s="144"/>
      <c r="F3851" s="373"/>
      <c r="H3851" s="2168"/>
      <c r="I3851" s="70"/>
    </row>
    <row r="3852" spans="3:9" s="46" customFormat="1" x14ac:dyDescent="0.2">
      <c r="C3852" s="144"/>
      <c r="D3852" s="144"/>
      <c r="E3852" s="144"/>
      <c r="F3852" s="373"/>
      <c r="H3852" s="2168"/>
      <c r="I3852" s="70"/>
    </row>
    <row r="3853" spans="3:9" s="46" customFormat="1" x14ac:dyDescent="0.2">
      <c r="C3853" s="144"/>
      <c r="D3853" s="144"/>
      <c r="E3853" s="144"/>
      <c r="F3853" s="373"/>
      <c r="H3853" s="2168"/>
      <c r="I3853" s="70"/>
    </row>
    <row r="3854" spans="3:9" s="46" customFormat="1" x14ac:dyDescent="0.2">
      <c r="C3854" s="144"/>
      <c r="D3854" s="144"/>
      <c r="E3854" s="144"/>
      <c r="F3854" s="373"/>
      <c r="H3854" s="2168"/>
      <c r="I3854" s="70"/>
    </row>
    <row r="3855" spans="3:9" s="46" customFormat="1" x14ac:dyDescent="0.2">
      <c r="C3855" s="144"/>
      <c r="D3855" s="144"/>
      <c r="E3855" s="144"/>
      <c r="F3855" s="373"/>
      <c r="H3855" s="2168"/>
      <c r="I3855" s="70"/>
    </row>
    <row r="3856" spans="3:9" s="46" customFormat="1" x14ac:dyDescent="0.2">
      <c r="C3856" s="144"/>
      <c r="D3856" s="144"/>
      <c r="E3856" s="144"/>
      <c r="F3856" s="373"/>
      <c r="H3856" s="2168"/>
      <c r="I3856" s="70"/>
    </row>
    <row r="3857" spans="3:9" s="46" customFormat="1" x14ac:dyDescent="0.2">
      <c r="C3857" s="144"/>
      <c r="D3857" s="144"/>
      <c r="E3857" s="144"/>
      <c r="F3857" s="373"/>
      <c r="H3857" s="2168"/>
      <c r="I3857" s="70"/>
    </row>
    <row r="3858" spans="3:9" s="46" customFormat="1" x14ac:dyDescent="0.2">
      <c r="C3858" s="144"/>
      <c r="D3858" s="144"/>
      <c r="E3858" s="144"/>
      <c r="F3858" s="373"/>
      <c r="H3858" s="2168"/>
      <c r="I3858" s="70"/>
    </row>
    <row r="3859" spans="3:9" s="46" customFormat="1" x14ac:dyDescent="0.2">
      <c r="C3859" s="144"/>
      <c r="D3859" s="144"/>
      <c r="E3859" s="144"/>
      <c r="F3859" s="373"/>
      <c r="H3859" s="2168"/>
      <c r="I3859" s="70"/>
    </row>
    <row r="3860" spans="3:9" s="46" customFormat="1" x14ac:dyDescent="0.2">
      <c r="C3860" s="144"/>
      <c r="D3860" s="144"/>
      <c r="E3860" s="144"/>
      <c r="F3860" s="373"/>
      <c r="H3860" s="2168"/>
      <c r="I3860" s="70"/>
    </row>
    <row r="3861" spans="3:9" s="46" customFormat="1" x14ac:dyDescent="0.2">
      <c r="C3861" s="144"/>
      <c r="D3861" s="144"/>
      <c r="E3861" s="144"/>
      <c r="F3861" s="373"/>
      <c r="H3861" s="2168"/>
      <c r="I3861" s="70"/>
    </row>
    <row r="3862" spans="3:9" s="46" customFormat="1" x14ac:dyDescent="0.2">
      <c r="C3862" s="144"/>
      <c r="D3862" s="144"/>
      <c r="E3862" s="144"/>
      <c r="F3862" s="373"/>
      <c r="H3862" s="2168"/>
      <c r="I3862" s="70"/>
    </row>
    <row r="3863" spans="3:9" s="46" customFormat="1" x14ac:dyDescent="0.2">
      <c r="C3863" s="144"/>
      <c r="D3863" s="144"/>
      <c r="E3863" s="144"/>
      <c r="F3863" s="373"/>
      <c r="H3863" s="2168"/>
      <c r="I3863" s="70"/>
    </row>
    <row r="3864" spans="3:9" s="46" customFormat="1" x14ac:dyDescent="0.2">
      <c r="C3864" s="144"/>
      <c r="D3864" s="144"/>
      <c r="E3864" s="144"/>
      <c r="F3864" s="373"/>
      <c r="H3864" s="2168"/>
      <c r="I3864" s="70"/>
    </row>
    <row r="3865" spans="3:9" s="46" customFormat="1" x14ac:dyDescent="0.2">
      <c r="C3865" s="144"/>
      <c r="D3865" s="144"/>
      <c r="E3865" s="144"/>
      <c r="F3865" s="373"/>
      <c r="H3865" s="2168"/>
      <c r="I3865" s="70"/>
    </row>
    <row r="3866" spans="3:9" s="46" customFormat="1" x14ac:dyDescent="0.2">
      <c r="C3866" s="144"/>
      <c r="D3866" s="144"/>
      <c r="E3866" s="144"/>
      <c r="F3866" s="373"/>
      <c r="H3866" s="2168"/>
      <c r="I3866" s="70"/>
    </row>
    <row r="3867" spans="3:9" s="46" customFormat="1" x14ac:dyDescent="0.2">
      <c r="C3867" s="144"/>
      <c r="D3867" s="144"/>
      <c r="E3867" s="144"/>
      <c r="F3867" s="373"/>
      <c r="H3867" s="2168"/>
      <c r="I3867" s="70"/>
    </row>
    <row r="3868" spans="3:9" s="46" customFormat="1" x14ac:dyDescent="0.2">
      <c r="C3868" s="144"/>
      <c r="D3868" s="144"/>
      <c r="E3868" s="144"/>
      <c r="F3868" s="373"/>
      <c r="H3868" s="2168"/>
      <c r="I3868" s="70"/>
    </row>
    <row r="3869" spans="3:9" s="46" customFormat="1" x14ac:dyDescent="0.2">
      <c r="C3869" s="144"/>
      <c r="D3869" s="144"/>
      <c r="E3869" s="144"/>
      <c r="F3869" s="373"/>
      <c r="H3869" s="2168"/>
      <c r="I3869" s="70"/>
    </row>
    <row r="3870" spans="3:9" s="46" customFormat="1" x14ac:dyDescent="0.2">
      <c r="C3870" s="144"/>
      <c r="D3870" s="144"/>
      <c r="E3870" s="144"/>
      <c r="F3870" s="373"/>
      <c r="H3870" s="2168"/>
      <c r="I3870" s="70"/>
    </row>
    <row r="3871" spans="3:9" s="46" customFormat="1" x14ac:dyDescent="0.2">
      <c r="C3871" s="144"/>
      <c r="D3871" s="144"/>
      <c r="E3871" s="144"/>
      <c r="F3871" s="373"/>
      <c r="H3871" s="2168"/>
      <c r="I3871" s="70"/>
    </row>
    <row r="3872" spans="3:9" s="46" customFormat="1" x14ac:dyDescent="0.2">
      <c r="C3872" s="144"/>
      <c r="D3872" s="144"/>
      <c r="E3872" s="144"/>
      <c r="F3872" s="373"/>
      <c r="H3872" s="2168"/>
      <c r="I3872" s="70"/>
    </row>
    <row r="3873" spans="3:9" s="46" customFormat="1" x14ac:dyDescent="0.2">
      <c r="C3873" s="144"/>
      <c r="D3873" s="144"/>
      <c r="E3873" s="144"/>
      <c r="F3873" s="373"/>
      <c r="H3873" s="2168"/>
      <c r="I3873" s="70"/>
    </row>
    <row r="3874" spans="3:9" s="46" customFormat="1" x14ac:dyDescent="0.2">
      <c r="C3874" s="144"/>
      <c r="D3874" s="144"/>
      <c r="E3874" s="144"/>
      <c r="F3874" s="373"/>
      <c r="H3874" s="2168"/>
      <c r="I3874" s="70"/>
    </row>
    <row r="3875" spans="3:9" s="46" customFormat="1" x14ac:dyDescent="0.2">
      <c r="C3875" s="144"/>
      <c r="D3875" s="144"/>
      <c r="E3875" s="144"/>
      <c r="F3875" s="373"/>
      <c r="H3875" s="2168"/>
      <c r="I3875" s="70"/>
    </row>
    <row r="3876" spans="3:9" s="46" customFormat="1" x14ac:dyDescent="0.2">
      <c r="C3876" s="144"/>
      <c r="D3876" s="144"/>
      <c r="E3876" s="144"/>
      <c r="F3876" s="373"/>
      <c r="H3876" s="2168"/>
      <c r="I3876" s="70"/>
    </row>
    <row r="3877" spans="3:9" s="46" customFormat="1" x14ac:dyDescent="0.2">
      <c r="C3877" s="144"/>
      <c r="D3877" s="144"/>
      <c r="E3877" s="144"/>
      <c r="F3877" s="373"/>
      <c r="H3877" s="2168"/>
      <c r="I3877" s="70"/>
    </row>
    <row r="3878" spans="3:9" s="46" customFormat="1" x14ac:dyDescent="0.2">
      <c r="C3878" s="144"/>
      <c r="D3878" s="144"/>
      <c r="E3878" s="144"/>
      <c r="F3878" s="373"/>
      <c r="H3878" s="2168"/>
      <c r="I3878" s="70"/>
    </row>
    <row r="3879" spans="3:9" s="46" customFormat="1" x14ac:dyDescent="0.2">
      <c r="C3879" s="144"/>
      <c r="D3879" s="144"/>
      <c r="E3879" s="144"/>
      <c r="F3879" s="373"/>
      <c r="H3879" s="2168"/>
      <c r="I3879" s="70"/>
    </row>
    <row r="3880" spans="3:9" s="46" customFormat="1" x14ac:dyDescent="0.2">
      <c r="C3880" s="144"/>
      <c r="D3880" s="144"/>
      <c r="E3880" s="144"/>
      <c r="F3880" s="373"/>
      <c r="H3880" s="2168"/>
      <c r="I3880" s="70"/>
    </row>
    <row r="3881" spans="3:9" s="46" customFormat="1" x14ac:dyDescent="0.2">
      <c r="C3881" s="144"/>
      <c r="D3881" s="144"/>
      <c r="E3881" s="144"/>
      <c r="F3881" s="373"/>
      <c r="H3881" s="2168"/>
      <c r="I3881" s="70"/>
    </row>
    <row r="3882" spans="3:9" s="46" customFormat="1" x14ac:dyDescent="0.2">
      <c r="C3882" s="144"/>
      <c r="D3882" s="144"/>
      <c r="E3882" s="144"/>
      <c r="F3882" s="373"/>
      <c r="H3882" s="2168"/>
      <c r="I3882" s="70"/>
    </row>
    <row r="3883" spans="3:9" s="46" customFormat="1" x14ac:dyDescent="0.2">
      <c r="C3883" s="144"/>
      <c r="D3883" s="144"/>
      <c r="E3883" s="144"/>
      <c r="F3883" s="373"/>
      <c r="H3883" s="2168"/>
      <c r="I3883" s="70"/>
    </row>
    <row r="3884" spans="3:9" s="46" customFormat="1" x14ac:dyDescent="0.2">
      <c r="C3884" s="144"/>
      <c r="D3884" s="144"/>
      <c r="E3884" s="144"/>
      <c r="F3884" s="373"/>
      <c r="H3884" s="2168"/>
      <c r="I3884" s="70"/>
    </row>
    <row r="3885" spans="3:9" s="46" customFormat="1" x14ac:dyDescent="0.2">
      <c r="C3885" s="144"/>
      <c r="D3885" s="144"/>
      <c r="E3885" s="144"/>
      <c r="F3885" s="373"/>
      <c r="H3885" s="2168"/>
      <c r="I3885" s="70"/>
    </row>
    <row r="3886" spans="3:9" s="46" customFormat="1" x14ac:dyDescent="0.2">
      <c r="C3886" s="144"/>
      <c r="D3886" s="144"/>
      <c r="E3886" s="144"/>
      <c r="F3886" s="373"/>
      <c r="H3886" s="2168"/>
      <c r="I3886" s="70"/>
    </row>
    <row r="3887" spans="3:9" s="46" customFormat="1" x14ac:dyDescent="0.2">
      <c r="C3887" s="144"/>
      <c r="D3887" s="144"/>
      <c r="E3887" s="144"/>
      <c r="F3887" s="373"/>
      <c r="H3887" s="2168"/>
      <c r="I3887" s="70"/>
    </row>
    <row r="3888" spans="3:9" s="46" customFormat="1" x14ac:dyDescent="0.2">
      <c r="C3888" s="144"/>
      <c r="D3888" s="144"/>
      <c r="E3888" s="144"/>
      <c r="F3888" s="373"/>
      <c r="H3888" s="2168"/>
      <c r="I3888" s="70"/>
    </row>
    <row r="3889" spans="3:9" s="46" customFormat="1" x14ac:dyDescent="0.2">
      <c r="C3889" s="144"/>
      <c r="D3889" s="144"/>
      <c r="E3889" s="144"/>
      <c r="F3889" s="373"/>
      <c r="H3889" s="2168"/>
      <c r="I3889" s="70"/>
    </row>
    <row r="3890" spans="3:9" s="46" customFormat="1" x14ac:dyDescent="0.2">
      <c r="C3890" s="144"/>
      <c r="D3890" s="144"/>
      <c r="E3890" s="144"/>
      <c r="F3890" s="373"/>
      <c r="H3890" s="2168"/>
      <c r="I3890" s="70"/>
    </row>
    <row r="3891" spans="3:9" s="46" customFormat="1" x14ac:dyDescent="0.2">
      <c r="C3891" s="144"/>
      <c r="D3891" s="144"/>
      <c r="E3891" s="144"/>
      <c r="F3891" s="373"/>
      <c r="H3891" s="2168"/>
      <c r="I3891" s="70"/>
    </row>
    <row r="3892" spans="3:9" s="46" customFormat="1" x14ac:dyDescent="0.2">
      <c r="C3892" s="144"/>
      <c r="D3892" s="144"/>
      <c r="E3892" s="144"/>
      <c r="F3892" s="373"/>
      <c r="H3892" s="2168"/>
      <c r="I3892" s="70"/>
    </row>
    <row r="3893" spans="3:9" s="46" customFormat="1" x14ac:dyDescent="0.2">
      <c r="C3893" s="144"/>
      <c r="D3893" s="144"/>
      <c r="E3893" s="144"/>
      <c r="F3893" s="373"/>
      <c r="H3893" s="2168"/>
      <c r="I3893" s="70"/>
    </row>
    <row r="3894" spans="3:9" s="46" customFormat="1" x14ac:dyDescent="0.2">
      <c r="C3894" s="144"/>
      <c r="D3894" s="144"/>
      <c r="E3894" s="144"/>
      <c r="F3894" s="373"/>
      <c r="H3894" s="2168"/>
      <c r="I3894" s="70"/>
    </row>
    <row r="3895" spans="3:9" s="46" customFormat="1" x14ac:dyDescent="0.2">
      <c r="C3895" s="144"/>
      <c r="D3895" s="144"/>
      <c r="E3895" s="144"/>
      <c r="F3895" s="373"/>
      <c r="H3895" s="2168"/>
      <c r="I3895" s="70"/>
    </row>
    <row r="3896" spans="3:9" s="46" customFormat="1" x14ac:dyDescent="0.2">
      <c r="C3896" s="144"/>
      <c r="D3896" s="144"/>
      <c r="E3896" s="144"/>
      <c r="F3896" s="373"/>
      <c r="H3896" s="2168"/>
      <c r="I3896" s="70"/>
    </row>
    <row r="3897" spans="3:9" s="46" customFormat="1" x14ac:dyDescent="0.2">
      <c r="C3897" s="144"/>
      <c r="D3897" s="144"/>
      <c r="E3897" s="144"/>
      <c r="F3897" s="373"/>
      <c r="H3897" s="2168"/>
      <c r="I3897" s="70"/>
    </row>
    <row r="3898" spans="3:9" s="46" customFormat="1" x14ac:dyDescent="0.2">
      <c r="C3898" s="144"/>
      <c r="D3898" s="144"/>
      <c r="E3898" s="144"/>
      <c r="F3898" s="373"/>
      <c r="H3898" s="2168"/>
      <c r="I3898" s="70"/>
    </row>
    <row r="3899" spans="3:9" s="46" customFormat="1" x14ac:dyDescent="0.2">
      <c r="C3899" s="144"/>
      <c r="D3899" s="144"/>
      <c r="E3899" s="144"/>
      <c r="F3899" s="373"/>
      <c r="H3899" s="2168"/>
      <c r="I3899" s="70"/>
    </row>
    <row r="3900" spans="3:9" s="46" customFormat="1" x14ac:dyDescent="0.2">
      <c r="C3900" s="144"/>
      <c r="D3900" s="144"/>
      <c r="E3900" s="144"/>
      <c r="F3900" s="373"/>
      <c r="H3900" s="2168"/>
      <c r="I3900" s="70"/>
    </row>
    <row r="3901" spans="3:9" s="46" customFormat="1" x14ac:dyDescent="0.2">
      <c r="C3901" s="144"/>
      <c r="D3901" s="144"/>
      <c r="E3901" s="144"/>
      <c r="F3901" s="373"/>
      <c r="H3901" s="2168"/>
      <c r="I3901" s="70"/>
    </row>
    <row r="3902" spans="3:9" s="46" customFormat="1" x14ac:dyDescent="0.2">
      <c r="C3902" s="144"/>
      <c r="D3902" s="144"/>
      <c r="E3902" s="144"/>
      <c r="F3902" s="373"/>
      <c r="H3902" s="2168"/>
      <c r="I3902" s="70"/>
    </row>
    <row r="3903" spans="3:9" s="46" customFormat="1" x14ac:dyDescent="0.2">
      <c r="C3903" s="144"/>
      <c r="D3903" s="144"/>
      <c r="E3903" s="144"/>
      <c r="F3903" s="373"/>
      <c r="H3903" s="2168"/>
      <c r="I3903" s="70"/>
    </row>
    <row r="3904" spans="3:9" s="46" customFormat="1" x14ac:dyDescent="0.2">
      <c r="C3904" s="144"/>
      <c r="D3904" s="144"/>
      <c r="E3904" s="144"/>
      <c r="F3904" s="373"/>
      <c r="H3904" s="2168"/>
      <c r="I3904" s="70"/>
    </row>
    <row r="3905" spans="3:9" s="46" customFormat="1" x14ac:dyDescent="0.2">
      <c r="C3905" s="144"/>
      <c r="D3905" s="144"/>
      <c r="E3905" s="144"/>
      <c r="F3905" s="373"/>
      <c r="H3905" s="2168"/>
      <c r="I3905" s="70"/>
    </row>
    <row r="3906" spans="3:9" s="46" customFormat="1" x14ac:dyDescent="0.2">
      <c r="C3906" s="144"/>
      <c r="D3906" s="144"/>
      <c r="E3906" s="144"/>
      <c r="F3906" s="373"/>
      <c r="H3906" s="2168"/>
      <c r="I3906" s="70"/>
    </row>
    <row r="3907" spans="3:9" s="46" customFormat="1" x14ac:dyDescent="0.2">
      <c r="C3907" s="144"/>
      <c r="D3907" s="144"/>
      <c r="E3907" s="144"/>
      <c r="F3907" s="373"/>
      <c r="H3907" s="2168"/>
      <c r="I3907" s="70"/>
    </row>
    <row r="3908" spans="3:9" s="46" customFormat="1" x14ac:dyDescent="0.2">
      <c r="C3908" s="144"/>
      <c r="D3908" s="144"/>
      <c r="E3908" s="144"/>
      <c r="F3908" s="373"/>
      <c r="H3908" s="2168"/>
      <c r="I3908" s="70"/>
    </row>
    <row r="3909" spans="3:9" s="46" customFormat="1" x14ac:dyDescent="0.2">
      <c r="C3909" s="144"/>
      <c r="D3909" s="144"/>
      <c r="E3909" s="144"/>
      <c r="F3909" s="373"/>
      <c r="H3909" s="2168"/>
      <c r="I3909" s="70"/>
    </row>
    <row r="3910" spans="3:9" s="46" customFormat="1" x14ac:dyDescent="0.2">
      <c r="C3910" s="144"/>
      <c r="D3910" s="144"/>
      <c r="E3910" s="144"/>
      <c r="F3910" s="373"/>
      <c r="H3910" s="2168"/>
      <c r="I3910" s="70"/>
    </row>
    <row r="3911" spans="3:9" s="46" customFormat="1" x14ac:dyDescent="0.2">
      <c r="C3911" s="144"/>
      <c r="D3911" s="144"/>
      <c r="E3911" s="144"/>
      <c r="F3911" s="373"/>
      <c r="H3911" s="2168"/>
      <c r="I3911" s="70"/>
    </row>
    <row r="3912" spans="3:9" s="46" customFormat="1" x14ac:dyDescent="0.2">
      <c r="C3912" s="144"/>
      <c r="D3912" s="144"/>
      <c r="E3912" s="144"/>
      <c r="F3912" s="373"/>
      <c r="H3912" s="2168"/>
      <c r="I3912" s="70"/>
    </row>
    <row r="3913" spans="3:9" s="46" customFormat="1" x14ac:dyDescent="0.2">
      <c r="C3913" s="144"/>
      <c r="D3913" s="144"/>
      <c r="E3913" s="144"/>
      <c r="F3913" s="373"/>
      <c r="H3913" s="2168"/>
      <c r="I3913" s="70"/>
    </row>
    <row r="3914" spans="3:9" s="46" customFormat="1" x14ac:dyDescent="0.2">
      <c r="C3914" s="144"/>
      <c r="D3914" s="144"/>
      <c r="E3914" s="144"/>
      <c r="F3914" s="373"/>
      <c r="H3914" s="2168"/>
      <c r="I3914" s="70"/>
    </row>
    <row r="3915" spans="3:9" s="46" customFormat="1" x14ac:dyDescent="0.2">
      <c r="C3915" s="144"/>
      <c r="D3915" s="144"/>
      <c r="E3915" s="144"/>
      <c r="F3915" s="373"/>
      <c r="H3915" s="2168"/>
      <c r="I3915" s="70"/>
    </row>
    <row r="3916" spans="3:9" s="46" customFormat="1" x14ac:dyDescent="0.2">
      <c r="C3916" s="144"/>
      <c r="D3916" s="144"/>
      <c r="E3916" s="144"/>
      <c r="F3916" s="373"/>
      <c r="H3916" s="2168"/>
      <c r="I3916" s="70"/>
    </row>
    <row r="3917" spans="3:9" s="46" customFormat="1" x14ac:dyDescent="0.2">
      <c r="C3917" s="144"/>
      <c r="D3917" s="144"/>
      <c r="E3917" s="144"/>
      <c r="F3917" s="373"/>
      <c r="H3917" s="2168"/>
      <c r="I3917" s="70"/>
    </row>
    <row r="3918" spans="3:9" s="46" customFormat="1" x14ac:dyDescent="0.2">
      <c r="C3918" s="144"/>
      <c r="D3918" s="144"/>
      <c r="E3918" s="144"/>
      <c r="F3918" s="373"/>
      <c r="H3918" s="2168"/>
      <c r="I3918" s="70"/>
    </row>
    <row r="3919" spans="3:9" s="46" customFormat="1" x14ac:dyDescent="0.2">
      <c r="C3919" s="144"/>
      <c r="D3919" s="144"/>
      <c r="E3919" s="144"/>
      <c r="F3919" s="373"/>
      <c r="H3919" s="2168"/>
      <c r="I3919" s="70"/>
    </row>
    <row r="3920" spans="3:9" s="46" customFormat="1" x14ac:dyDescent="0.2">
      <c r="C3920" s="144"/>
      <c r="D3920" s="144"/>
      <c r="E3920" s="144"/>
      <c r="F3920" s="373"/>
      <c r="H3920" s="2168"/>
      <c r="I3920" s="70"/>
    </row>
    <row r="3921" spans="3:9" s="46" customFormat="1" x14ac:dyDescent="0.2">
      <c r="C3921" s="144"/>
      <c r="D3921" s="144"/>
      <c r="E3921" s="144"/>
      <c r="F3921" s="373"/>
      <c r="H3921" s="2168"/>
      <c r="I3921" s="70"/>
    </row>
    <row r="3922" spans="3:9" s="46" customFormat="1" x14ac:dyDescent="0.2">
      <c r="C3922" s="144"/>
      <c r="D3922" s="144"/>
      <c r="E3922" s="144"/>
      <c r="F3922" s="373"/>
      <c r="H3922" s="2168"/>
      <c r="I3922" s="70"/>
    </row>
    <row r="3923" spans="3:9" s="46" customFormat="1" x14ac:dyDescent="0.2">
      <c r="C3923" s="144"/>
      <c r="D3923" s="144"/>
      <c r="E3923" s="144"/>
      <c r="F3923" s="373"/>
      <c r="H3923" s="2168"/>
      <c r="I3923" s="70"/>
    </row>
    <row r="3924" spans="3:9" s="46" customFormat="1" x14ac:dyDescent="0.2">
      <c r="C3924" s="144"/>
      <c r="D3924" s="144"/>
      <c r="E3924" s="144"/>
      <c r="F3924" s="373"/>
      <c r="H3924" s="2168"/>
      <c r="I3924" s="70"/>
    </row>
    <row r="3925" spans="3:9" s="46" customFormat="1" x14ac:dyDescent="0.2">
      <c r="C3925" s="144"/>
      <c r="D3925" s="144"/>
      <c r="E3925" s="144"/>
      <c r="F3925" s="373"/>
      <c r="H3925" s="2168"/>
      <c r="I3925" s="70"/>
    </row>
    <row r="3926" spans="3:9" s="46" customFormat="1" x14ac:dyDescent="0.2">
      <c r="C3926" s="144"/>
      <c r="D3926" s="144"/>
      <c r="E3926" s="144"/>
      <c r="F3926" s="373"/>
      <c r="H3926" s="2168"/>
      <c r="I3926" s="70"/>
    </row>
    <row r="3927" spans="3:9" s="46" customFormat="1" x14ac:dyDescent="0.2">
      <c r="C3927" s="144"/>
      <c r="D3927" s="144"/>
      <c r="E3927" s="144"/>
      <c r="F3927" s="373"/>
      <c r="H3927" s="2168"/>
      <c r="I3927" s="70"/>
    </row>
    <row r="3928" spans="3:9" s="46" customFormat="1" x14ac:dyDescent="0.2">
      <c r="C3928" s="144"/>
      <c r="D3928" s="144"/>
      <c r="E3928" s="144"/>
      <c r="F3928" s="373"/>
      <c r="H3928" s="2168"/>
      <c r="I3928" s="70"/>
    </row>
    <row r="3929" spans="3:9" s="46" customFormat="1" x14ac:dyDescent="0.2">
      <c r="C3929" s="144"/>
      <c r="D3929" s="144"/>
      <c r="E3929" s="144"/>
      <c r="F3929" s="373"/>
      <c r="H3929" s="2168"/>
      <c r="I3929" s="70"/>
    </row>
    <row r="3930" spans="3:9" s="46" customFormat="1" x14ac:dyDescent="0.2">
      <c r="C3930" s="144"/>
      <c r="D3930" s="144"/>
      <c r="E3930" s="144"/>
      <c r="F3930" s="373"/>
      <c r="H3930" s="2168"/>
      <c r="I3930" s="70"/>
    </row>
    <row r="3931" spans="3:9" s="46" customFormat="1" x14ac:dyDescent="0.2">
      <c r="C3931" s="144"/>
      <c r="D3931" s="144"/>
      <c r="E3931" s="144"/>
      <c r="F3931" s="373"/>
      <c r="H3931" s="2168"/>
      <c r="I3931" s="70"/>
    </row>
    <row r="3932" spans="3:9" s="46" customFormat="1" x14ac:dyDescent="0.2">
      <c r="C3932" s="144"/>
      <c r="D3932" s="144"/>
      <c r="E3932" s="144"/>
      <c r="F3932" s="373"/>
      <c r="H3932" s="2168"/>
      <c r="I3932" s="70"/>
    </row>
    <row r="3933" spans="3:9" s="46" customFormat="1" x14ac:dyDescent="0.2">
      <c r="C3933" s="144"/>
      <c r="D3933" s="144"/>
      <c r="E3933" s="144"/>
      <c r="F3933" s="373"/>
      <c r="H3933" s="2168"/>
      <c r="I3933" s="70"/>
    </row>
    <row r="3934" spans="3:9" s="46" customFormat="1" x14ac:dyDescent="0.2">
      <c r="C3934" s="144"/>
      <c r="D3934" s="144"/>
      <c r="E3934" s="144"/>
      <c r="F3934" s="373"/>
      <c r="H3934" s="2168"/>
      <c r="I3934" s="70"/>
    </row>
    <row r="3935" spans="3:9" s="46" customFormat="1" x14ac:dyDescent="0.2">
      <c r="C3935" s="144"/>
      <c r="D3935" s="144"/>
      <c r="E3935" s="144"/>
      <c r="F3935" s="373"/>
      <c r="H3935" s="2168"/>
      <c r="I3935" s="70"/>
    </row>
    <row r="3936" spans="3:9" s="46" customFormat="1" x14ac:dyDescent="0.2">
      <c r="C3936" s="144"/>
      <c r="D3936" s="144"/>
      <c r="E3936" s="144"/>
      <c r="F3936" s="373"/>
      <c r="H3936" s="2168"/>
      <c r="I3936" s="70"/>
    </row>
    <row r="3937" spans="3:9" s="46" customFormat="1" x14ac:dyDescent="0.2">
      <c r="C3937" s="144"/>
      <c r="D3937" s="144"/>
      <c r="E3937" s="144"/>
      <c r="F3937" s="373"/>
      <c r="H3937" s="2168"/>
      <c r="I3937" s="70"/>
    </row>
    <row r="3938" spans="3:9" s="46" customFormat="1" x14ac:dyDescent="0.2">
      <c r="C3938" s="144"/>
      <c r="D3938" s="144"/>
      <c r="E3938" s="144"/>
      <c r="F3938" s="373"/>
      <c r="H3938" s="2168"/>
      <c r="I3938" s="70"/>
    </row>
    <row r="3939" spans="3:9" s="46" customFormat="1" x14ac:dyDescent="0.2">
      <c r="C3939" s="144"/>
      <c r="D3939" s="144"/>
      <c r="E3939" s="144"/>
      <c r="F3939" s="373"/>
      <c r="H3939" s="2168"/>
      <c r="I3939" s="70"/>
    </row>
    <row r="3940" spans="3:9" s="46" customFormat="1" x14ac:dyDescent="0.2">
      <c r="C3940" s="144"/>
      <c r="D3940" s="144"/>
      <c r="E3940" s="144"/>
      <c r="F3940" s="373"/>
      <c r="H3940" s="2168"/>
      <c r="I3940" s="70"/>
    </row>
    <row r="3941" spans="3:9" s="46" customFormat="1" x14ac:dyDescent="0.2">
      <c r="C3941" s="144"/>
      <c r="D3941" s="144"/>
      <c r="E3941" s="144"/>
      <c r="F3941" s="373"/>
      <c r="H3941" s="2168"/>
      <c r="I3941" s="70"/>
    </row>
    <row r="3942" spans="3:9" s="46" customFormat="1" x14ac:dyDescent="0.2">
      <c r="C3942" s="144"/>
      <c r="D3942" s="144"/>
      <c r="E3942" s="144"/>
      <c r="F3942" s="373"/>
      <c r="H3942" s="2168"/>
      <c r="I3942" s="70"/>
    </row>
    <row r="3943" spans="3:9" s="46" customFormat="1" x14ac:dyDescent="0.2">
      <c r="C3943" s="144"/>
      <c r="D3943" s="144"/>
      <c r="E3943" s="144"/>
      <c r="F3943" s="373"/>
      <c r="H3943" s="2168"/>
      <c r="I3943" s="70"/>
    </row>
    <row r="3944" spans="3:9" s="46" customFormat="1" x14ac:dyDescent="0.2">
      <c r="C3944" s="144"/>
      <c r="D3944" s="144"/>
      <c r="E3944" s="144"/>
      <c r="F3944" s="373"/>
      <c r="H3944" s="2168"/>
      <c r="I3944" s="70"/>
    </row>
    <row r="3945" spans="3:9" s="46" customFormat="1" x14ac:dyDescent="0.2">
      <c r="C3945" s="144"/>
      <c r="D3945" s="144"/>
      <c r="E3945" s="144"/>
      <c r="F3945" s="373"/>
      <c r="H3945" s="2168"/>
      <c r="I3945" s="70"/>
    </row>
    <row r="3946" spans="3:9" s="46" customFormat="1" x14ac:dyDescent="0.2">
      <c r="C3946" s="144"/>
      <c r="D3946" s="144"/>
      <c r="E3946" s="144"/>
      <c r="F3946" s="373"/>
      <c r="H3946" s="2168"/>
      <c r="I3946" s="70"/>
    </row>
    <row r="3947" spans="3:9" s="46" customFormat="1" x14ac:dyDescent="0.2">
      <c r="C3947" s="144"/>
      <c r="D3947" s="144"/>
      <c r="E3947" s="144"/>
      <c r="F3947" s="373"/>
      <c r="H3947" s="2168"/>
      <c r="I3947" s="70"/>
    </row>
    <row r="3948" spans="3:9" s="46" customFormat="1" x14ac:dyDescent="0.2">
      <c r="C3948" s="144"/>
      <c r="D3948" s="144"/>
      <c r="E3948" s="144"/>
      <c r="F3948" s="373"/>
      <c r="H3948" s="2168"/>
      <c r="I3948" s="70"/>
    </row>
    <row r="3949" spans="3:9" s="46" customFormat="1" x14ac:dyDescent="0.2">
      <c r="C3949" s="144"/>
      <c r="D3949" s="144"/>
      <c r="E3949" s="144"/>
      <c r="F3949" s="373"/>
      <c r="H3949" s="2168"/>
      <c r="I3949" s="70"/>
    </row>
    <row r="3950" spans="3:9" s="46" customFormat="1" x14ac:dyDescent="0.2">
      <c r="C3950" s="144"/>
      <c r="D3950" s="144"/>
      <c r="E3950" s="144"/>
      <c r="F3950" s="373"/>
      <c r="H3950" s="2168"/>
      <c r="I3950" s="70"/>
    </row>
    <row r="3951" spans="3:9" s="46" customFormat="1" x14ac:dyDescent="0.2">
      <c r="C3951" s="144"/>
      <c r="D3951" s="144"/>
      <c r="E3951" s="144"/>
      <c r="F3951" s="373"/>
      <c r="H3951" s="2168"/>
      <c r="I3951" s="70"/>
    </row>
    <row r="3952" spans="3:9" s="46" customFormat="1" x14ac:dyDescent="0.2">
      <c r="C3952" s="144"/>
      <c r="D3952" s="144"/>
      <c r="E3952" s="144"/>
      <c r="F3952" s="373"/>
      <c r="H3952" s="2168"/>
      <c r="I3952" s="70"/>
    </row>
    <row r="3953" spans="3:9" s="46" customFormat="1" x14ac:dyDescent="0.2">
      <c r="C3953" s="144"/>
      <c r="D3953" s="144"/>
      <c r="E3953" s="144"/>
      <c r="F3953" s="373"/>
      <c r="H3953" s="2168"/>
      <c r="I3953" s="70"/>
    </row>
    <row r="3954" spans="3:9" s="46" customFormat="1" x14ac:dyDescent="0.2">
      <c r="C3954" s="144"/>
      <c r="D3954" s="144"/>
      <c r="E3954" s="144"/>
      <c r="F3954" s="373"/>
      <c r="H3954" s="2168"/>
      <c r="I3954" s="70"/>
    </row>
    <row r="3955" spans="3:9" s="46" customFormat="1" x14ac:dyDescent="0.2">
      <c r="C3955" s="144"/>
      <c r="D3955" s="144"/>
      <c r="E3955" s="144"/>
      <c r="F3955" s="373"/>
      <c r="H3955" s="2168"/>
      <c r="I3955" s="70"/>
    </row>
    <row r="3956" spans="3:9" s="46" customFormat="1" x14ac:dyDescent="0.2">
      <c r="C3956" s="144"/>
      <c r="D3956" s="144"/>
      <c r="E3956" s="144"/>
      <c r="F3956" s="373"/>
      <c r="H3956" s="2168"/>
      <c r="I3956" s="70"/>
    </row>
    <row r="3957" spans="3:9" s="46" customFormat="1" x14ac:dyDescent="0.2">
      <c r="C3957" s="144"/>
      <c r="D3957" s="144"/>
      <c r="E3957" s="144"/>
      <c r="F3957" s="373"/>
      <c r="H3957" s="2168"/>
      <c r="I3957" s="70"/>
    </row>
    <row r="3958" spans="3:9" s="46" customFormat="1" x14ac:dyDescent="0.2">
      <c r="C3958" s="144"/>
      <c r="D3958" s="144"/>
      <c r="E3958" s="144"/>
      <c r="F3958" s="373"/>
      <c r="H3958" s="2168"/>
      <c r="I3958" s="70"/>
    </row>
    <row r="3959" spans="3:9" s="46" customFormat="1" x14ac:dyDescent="0.2">
      <c r="C3959" s="144"/>
      <c r="D3959" s="144"/>
      <c r="E3959" s="144"/>
      <c r="F3959" s="373"/>
      <c r="H3959" s="2168"/>
      <c r="I3959" s="70"/>
    </row>
    <row r="3960" spans="3:9" s="46" customFormat="1" x14ac:dyDescent="0.2">
      <c r="C3960" s="144"/>
      <c r="D3960" s="144"/>
      <c r="E3960" s="144"/>
      <c r="F3960" s="373"/>
      <c r="H3960" s="2168"/>
      <c r="I3960" s="70"/>
    </row>
    <row r="3961" spans="3:9" s="46" customFormat="1" x14ac:dyDescent="0.2">
      <c r="C3961" s="144"/>
      <c r="D3961" s="144"/>
      <c r="E3961" s="144"/>
      <c r="F3961" s="373"/>
      <c r="H3961" s="2168"/>
      <c r="I3961" s="70"/>
    </row>
    <row r="3962" spans="3:9" s="46" customFormat="1" x14ac:dyDescent="0.2">
      <c r="C3962" s="144"/>
      <c r="D3962" s="144"/>
      <c r="E3962" s="144"/>
      <c r="F3962" s="373"/>
      <c r="H3962" s="2168"/>
      <c r="I3962" s="70"/>
    </row>
    <row r="3963" spans="3:9" s="46" customFormat="1" x14ac:dyDescent="0.2">
      <c r="C3963" s="144"/>
      <c r="D3963" s="144"/>
      <c r="E3963" s="144"/>
      <c r="F3963" s="373"/>
      <c r="H3963" s="2168"/>
      <c r="I3963" s="70"/>
    </row>
    <row r="3964" spans="3:9" s="46" customFormat="1" x14ac:dyDescent="0.2">
      <c r="C3964" s="144"/>
      <c r="D3964" s="144"/>
      <c r="E3964" s="144"/>
      <c r="F3964" s="373"/>
      <c r="H3964" s="2168"/>
      <c r="I3964" s="70"/>
    </row>
    <row r="3965" spans="3:9" s="46" customFormat="1" x14ac:dyDescent="0.2">
      <c r="C3965" s="144"/>
      <c r="D3965" s="144"/>
      <c r="E3965" s="144"/>
      <c r="F3965" s="373"/>
      <c r="H3965" s="2168"/>
      <c r="I3965" s="70"/>
    </row>
    <row r="3966" spans="3:9" s="46" customFormat="1" x14ac:dyDescent="0.2">
      <c r="C3966" s="144"/>
      <c r="D3966" s="144"/>
      <c r="E3966" s="144"/>
      <c r="F3966" s="373"/>
      <c r="H3966" s="2168"/>
      <c r="I3966" s="70"/>
    </row>
    <row r="3967" spans="3:9" s="46" customFormat="1" x14ac:dyDescent="0.2">
      <c r="C3967" s="144"/>
      <c r="D3967" s="144"/>
      <c r="E3967" s="144"/>
      <c r="F3967" s="373"/>
      <c r="H3967" s="2168"/>
      <c r="I3967" s="70"/>
    </row>
    <row r="3968" spans="3:9" s="46" customFormat="1" x14ac:dyDescent="0.2">
      <c r="C3968" s="144"/>
      <c r="D3968" s="144"/>
      <c r="E3968" s="144"/>
      <c r="F3968" s="373"/>
      <c r="H3968" s="2168"/>
      <c r="I3968" s="70"/>
    </row>
    <row r="3969" spans="3:9" s="46" customFormat="1" x14ac:dyDescent="0.2">
      <c r="C3969" s="144"/>
      <c r="D3969" s="144"/>
      <c r="E3969" s="144"/>
      <c r="F3969" s="373"/>
      <c r="H3969" s="2168"/>
      <c r="I3969" s="70"/>
    </row>
    <row r="3970" spans="3:9" s="46" customFormat="1" x14ac:dyDescent="0.2">
      <c r="C3970" s="144"/>
      <c r="D3970" s="144"/>
      <c r="E3970" s="144"/>
      <c r="F3970" s="373"/>
      <c r="H3970" s="2168"/>
      <c r="I3970" s="70"/>
    </row>
    <row r="3971" spans="3:9" s="46" customFormat="1" x14ac:dyDescent="0.2">
      <c r="C3971" s="144"/>
      <c r="D3971" s="144"/>
      <c r="E3971" s="144"/>
      <c r="F3971" s="373"/>
      <c r="H3971" s="2168"/>
      <c r="I3971" s="70"/>
    </row>
    <row r="3972" spans="3:9" s="46" customFormat="1" x14ac:dyDescent="0.2">
      <c r="C3972" s="144"/>
      <c r="D3972" s="144"/>
      <c r="E3972" s="144"/>
      <c r="F3972" s="373"/>
      <c r="H3972" s="2168"/>
      <c r="I3972" s="70"/>
    </row>
    <row r="3973" spans="3:9" s="46" customFormat="1" x14ac:dyDescent="0.2">
      <c r="C3973" s="144"/>
      <c r="D3973" s="144"/>
      <c r="E3973" s="144"/>
      <c r="F3973" s="373"/>
      <c r="H3973" s="2168"/>
      <c r="I3973" s="70"/>
    </row>
    <row r="3974" spans="3:9" s="46" customFormat="1" x14ac:dyDescent="0.2">
      <c r="C3974" s="144"/>
      <c r="D3974" s="144"/>
      <c r="E3974" s="144"/>
      <c r="F3974" s="373"/>
      <c r="H3974" s="2168"/>
      <c r="I3974" s="70"/>
    </row>
    <row r="3975" spans="3:9" s="46" customFormat="1" x14ac:dyDescent="0.2">
      <c r="C3975" s="144"/>
      <c r="D3975" s="144"/>
      <c r="E3975" s="144"/>
      <c r="F3975" s="373"/>
      <c r="H3975" s="2168"/>
      <c r="I3975" s="70"/>
    </row>
    <row r="3976" spans="3:9" s="46" customFormat="1" x14ac:dyDescent="0.2">
      <c r="C3976" s="144"/>
      <c r="D3976" s="144"/>
      <c r="E3976" s="144"/>
      <c r="F3976" s="373"/>
      <c r="H3976" s="2168"/>
      <c r="I3976" s="70"/>
    </row>
    <row r="3977" spans="3:9" s="46" customFormat="1" x14ac:dyDescent="0.2">
      <c r="C3977" s="144"/>
      <c r="D3977" s="144"/>
      <c r="E3977" s="144"/>
      <c r="F3977" s="373"/>
      <c r="H3977" s="2168"/>
      <c r="I3977" s="70"/>
    </row>
    <row r="3978" spans="3:9" s="46" customFormat="1" x14ac:dyDescent="0.2">
      <c r="C3978" s="144"/>
      <c r="D3978" s="144"/>
      <c r="E3978" s="144"/>
      <c r="F3978" s="373"/>
      <c r="H3978" s="2168"/>
      <c r="I3978" s="70"/>
    </row>
    <row r="3979" spans="3:9" s="46" customFormat="1" x14ac:dyDescent="0.2">
      <c r="C3979" s="144"/>
      <c r="D3979" s="144"/>
      <c r="E3979" s="144"/>
      <c r="F3979" s="373"/>
      <c r="H3979" s="2168"/>
      <c r="I3979" s="70"/>
    </row>
    <row r="3980" spans="3:9" s="46" customFormat="1" x14ac:dyDescent="0.2">
      <c r="C3980" s="144"/>
      <c r="D3980" s="144"/>
      <c r="E3980" s="144"/>
      <c r="F3980" s="373"/>
      <c r="H3980" s="2168"/>
      <c r="I3980" s="70"/>
    </row>
    <row r="3981" spans="3:9" s="46" customFormat="1" x14ac:dyDescent="0.2">
      <c r="C3981" s="144"/>
      <c r="D3981" s="144"/>
      <c r="E3981" s="144"/>
      <c r="F3981" s="373"/>
      <c r="H3981" s="2168"/>
      <c r="I3981" s="70"/>
    </row>
    <row r="3982" spans="3:9" s="46" customFormat="1" x14ac:dyDescent="0.2">
      <c r="C3982" s="144"/>
      <c r="D3982" s="144"/>
      <c r="E3982" s="144"/>
      <c r="F3982" s="373"/>
      <c r="H3982" s="2168"/>
      <c r="I3982" s="70"/>
    </row>
    <row r="3983" spans="3:9" s="46" customFormat="1" x14ac:dyDescent="0.2">
      <c r="C3983" s="144"/>
      <c r="D3983" s="144"/>
      <c r="E3983" s="144"/>
      <c r="F3983" s="373"/>
      <c r="H3983" s="2168"/>
      <c r="I3983" s="70"/>
    </row>
    <row r="3984" spans="3:9" s="46" customFormat="1" x14ac:dyDescent="0.2">
      <c r="C3984" s="144"/>
      <c r="D3984" s="144"/>
      <c r="E3984" s="144"/>
      <c r="F3984" s="373"/>
      <c r="H3984" s="2168"/>
      <c r="I3984" s="70"/>
    </row>
    <row r="3985" spans="3:9" s="46" customFormat="1" x14ac:dyDescent="0.2">
      <c r="C3985" s="144"/>
      <c r="D3985" s="144"/>
      <c r="E3985" s="144"/>
      <c r="F3985" s="373"/>
      <c r="H3985" s="2168"/>
      <c r="I3985" s="70"/>
    </row>
    <row r="3986" spans="3:9" s="46" customFormat="1" x14ac:dyDescent="0.2">
      <c r="C3986" s="144"/>
      <c r="D3986" s="144"/>
      <c r="E3986" s="144"/>
      <c r="F3986" s="373"/>
      <c r="H3986" s="2168"/>
      <c r="I3986" s="70"/>
    </row>
    <row r="3987" spans="3:9" s="46" customFormat="1" x14ac:dyDescent="0.2">
      <c r="C3987" s="144"/>
      <c r="D3987" s="144"/>
      <c r="E3987" s="144"/>
      <c r="F3987" s="373"/>
      <c r="H3987" s="2168"/>
      <c r="I3987" s="70"/>
    </row>
    <row r="3988" spans="3:9" s="46" customFormat="1" x14ac:dyDescent="0.2">
      <c r="C3988" s="144"/>
      <c r="D3988" s="144"/>
      <c r="E3988" s="144"/>
      <c r="F3988" s="373"/>
      <c r="H3988" s="2168"/>
      <c r="I3988" s="70"/>
    </row>
    <row r="3989" spans="3:9" s="46" customFormat="1" x14ac:dyDescent="0.2">
      <c r="C3989" s="144"/>
      <c r="D3989" s="144"/>
      <c r="E3989" s="144"/>
      <c r="F3989" s="373"/>
      <c r="H3989" s="2168"/>
      <c r="I3989" s="70"/>
    </row>
    <row r="3990" spans="3:9" s="46" customFormat="1" x14ac:dyDescent="0.2">
      <c r="C3990" s="144"/>
      <c r="D3990" s="144"/>
      <c r="E3990" s="144"/>
      <c r="F3990" s="373"/>
      <c r="H3990" s="2168"/>
      <c r="I3990" s="70"/>
    </row>
    <row r="3991" spans="3:9" s="46" customFormat="1" x14ac:dyDescent="0.2">
      <c r="C3991" s="144"/>
      <c r="D3991" s="144"/>
      <c r="E3991" s="144"/>
      <c r="F3991" s="373"/>
      <c r="H3991" s="2168"/>
      <c r="I3991" s="70"/>
    </row>
    <row r="3992" spans="3:9" s="46" customFormat="1" x14ac:dyDescent="0.2">
      <c r="C3992" s="144"/>
      <c r="D3992" s="144"/>
      <c r="E3992" s="144"/>
      <c r="F3992" s="373"/>
      <c r="H3992" s="2168"/>
      <c r="I3992" s="70"/>
    </row>
    <row r="3993" spans="3:9" s="46" customFormat="1" x14ac:dyDescent="0.2">
      <c r="C3993" s="144"/>
      <c r="D3993" s="144"/>
      <c r="E3993" s="144"/>
      <c r="F3993" s="373"/>
      <c r="H3993" s="2168"/>
      <c r="I3993" s="70"/>
    </row>
    <row r="3994" spans="3:9" s="46" customFormat="1" x14ac:dyDescent="0.2">
      <c r="C3994" s="144"/>
      <c r="D3994" s="144"/>
      <c r="E3994" s="144"/>
      <c r="F3994" s="373"/>
      <c r="H3994" s="2168"/>
      <c r="I3994" s="70"/>
    </row>
    <row r="3995" spans="3:9" s="46" customFormat="1" x14ac:dyDescent="0.2">
      <c r="C3995" s="144"/>
      <c r="D3995" s="144"/>
      <c r="E3995" s="144"/>
      <c r="F3995" s="373"/>
      <c r="H3995" s="2168"/>
      <c r="I3995" s="70"/>
    </row>
    <row r="3996" spans="3:9" s="46" customFormat="1" x14ac:dyDescent="0.2">
      <c r="C3996" s="144"/>
      <c r="D3996" s="144"/>
      <c r="E3996" s="144"/>
      <c r="F3996" s="373"/>
      <c r="H3996" s="2168"/>
      <c r="I3996" s="70"/>
    </row>
    <row r="3997" spans="3:9" s="46" customFormat="1" x14ac:dyDescent="0.2">
      <c r="C3997" s="144"/>
      <c r="D3997" s="144"/>
      <c r="E3997" s="144"/>
      <c r="F3997" s="373"/>
      <c r="H3997" s="2168"/>
      <c r="I3997" s="70"/>
    </row>
    <row r="3998" spans="3:9" s="46" customFormat="1" x14ac:dyDescent="0.2">
      <c r="C3998" s="144"/>
      <c r="D3998" s="144"/>
      <c r="E3998" s="144"/>
      <c r="F3998" s="373"/>
      <c r="H3998" s="2168"/>
      <c r="I3998" s="70"/>
    </row>
    <row r="3999" spans="3:9" s="46" customFormat="1" x14ac:dyDescent="0.2">
      <c r="C3999" s="144"/>
      <c r="D3999" s="144"/>
      <c r="E3999" s="144"/>
      <c r="F3999" s="373"/>
      <c r="H3999" s="2168"/>
      <c r="I3999" s="70"/>
    </row>
    <row r="4000" spans="3:9" s="46" customFormat="1" x14ac:dyDescent="0.2">
      <c r="C4000" s="144"/>
      <c r="D4000" s="144"/>
      <c r="E4000" s="144"/>
      <c r="F4000" s="373"/>
      <c r="H4000" s="2168"/>
      <c r="I4000" s="70"/>
    </row>
    <row r="4001" spans="3:9" s="46" customFormat="1" x14ac:dyDescent="0.2">
      <c r="C4001" s="144"/>
      <c r="D4001" s="144"/>
      <c r="E4001" s="144"/>
      <c r="F4001" s="373"/>
      <c r="H4001" s="2168"/>
      <c r="I4001" s="70"/>
    </row>
    <row r="4002" spans="3:9" s="46" customFormat="1" x14ac:dyDescent="0.2">
      <c r="C4002" s="144"/>
      <c r="D4002" s="144"/>
      <c r="E4002" s="144"/>
      <c r="F4002" s="373"/>
      <c r="H4002" s="2168"/>
      <c r="I4002" s="70"/>
    </row>
    <row r="4003" spans="3:9" s="46" customFormat="1" x14ac:dyDescent="0.2">
      <c r="C4003" s="144"/>
      <c r="D4003" s="144"/>
      <c r="E4003" s="144"/>
      <c r="F4003" s="373"/>
      <c r="H4003" s="2168"/>
      <c r="I4003" s="70"/>
    </row>
    <row r="4004" spans="3:9" s="46" customFormat="1" x14ac:dyDescent="0.2">
      <c r="C4004" s="144"/>
      <c r="D4004" s="144"/>
      <c r="E4004" s="144"/>
      <c r="F4004" s="373"/>
      <c r="H4004" s="2168"/>
      <c r="I4004" s="70"/>
    </row>
    <row r="4005" spans="3:9" s="46" customFormat="1" x14ac:dyDescent="0.2">
      <c r="C4005" s="144"/>
      <c r="D4005" s="144"/>
      <c r="E4005" s="144"/>
      <c r="F4005" s="373"/>
      <c r="H4005" s="2168"/>
      <c r="I4005" s="70"/>
    </row>
    <row r="4006" spans="3:9" s="46" customFormat="1" x14ac:dyDescent="0.2">
      <c r="C4006" s="144"/>
      <c r="D4006" s="144"/>
      <c r="E4006" s="144"/>
      <c r="F4006" s="373"/>
      <c r="H4006" s="2168"/>
      <c r="I4006" s="70"/>
    </row>
    <row r="4007" spans="3:9" s="46" customFormat="1" x14ac:dyDescent="0.2">
      <c r="C4007" s="144"/>
      <c r="D4007" s="144"/>
      <c r="E4007" s="144"/>
      <c r="F4007" s="373"/>
      <c r="H4007" s="2168"/>
      <c r="I4007" s="70"/>
    </row>
    <row r="4008" spans="3:9" s="46" customFormat="1" x14ac:dyDescent="0.2">
      <c r="C4008" s="144"/>
      <c r="D4008" s="144"/>
      <c r="E4008" s="144"/>
      <c r="F4008" s="373"/>
      <c r="H4008" s="2168"/>
      <c r="I4008" s="70"/>
    </row>
    <row r="4009" spans="3:9" s="46" customFormat="1" x14ac:dyDescent="0.2">
      <c r="C4009" s="144"/>
      <c r="D4009" s="144"/>
      <c r="E4009" s="144"/>
      <c r="F4009" s="373"/>
      <c r="H4009" s="2168"/>
      <c r="I4009" s="70"/>
    </row>
    <row r="4010" spans="3:9" s="46" customFormat="1" x14ac:dyDescent="0.2">
      <c r="C4010" s="144"/>
      <c r="D4010" s="144"/>
      <c r="E4010" s="144"/>
      <c r="F4010" s="373"/>
      <c r="H4010" s="2168"/>
      <c r="I4010" s="70"/>
    </row>
    <row r="4011" spans="3:9" s="46" customFormat="1" x14ac:dyDescent="0.2">
      <c r="C4011" s="144"/>
      <c r="D4011" s="144"/>
      <c r="E4011" s="144"/>
      <c r="F4011" s="373"/>
      <c r="H4011" s="2168"/>
      <c r="I4011" s="70"/>
    </row>
    <row r="4012" spans="3:9" s="46" customFormat="1" x14ac:dyDescent="0.2">
      <c r="C4012" s="144"/>
      <c r="D4012" s="144"/>
      <c r="E4012" s="144"/>
      <c r="F4012" s="373"/>
      <c r="H4012" s="2168"/>
      <c r="I4012" s="70"/>
    </row>
    <row r="4013" spans="3:9" s="46" customFormat="1" x14ac:dyDescent="0.2">
      <c r="C4013" s="144"/>
      <c r="D4013" s="144"/>
      <c r="E4013" s="144"/>
      <c r="F4013" s="373"/>
      <c r="H4013" s="2168"/>
      <c r="I4013" s="70"/>
    </row>
    <row r="4014" spans="3:9" s="46" customFormat="1" x14ac:dyDescent="0.2">
      <c r="C4014" s="144"/>
      <c r="D4014" s="144"/>
      <c r="E4014" s="144"/>
      <c r="F4014" s="373"/>
      <c r="H4014" s="2168"/>
      <c r="I4014" s="70"/>
    </row>
    <row r="4015" spans="3:9" s="46" customFormat="1" x14ac:dyDescent="0.2">
      <c r="C4015" s="144"/>
      <c r="D4015" s="144"/>
      <c r="E4015" s="144"/>
      <c r="F4015" s="373"/>
      <c r="H4015" s="2168"/>
      <c r="I4015" s="70"/>
    </row>
    <row r="4016" spans="3:9" s="46" customFormat="1" x14ac:dyDescent="0.2">
      <c r="C4016" s="144"/>
      <c r="D4016" s="144"/>
      <c r="E4016" s="144"/>
      <c r="F4016" s="373"/>
      <c r="H4016" s="2168"/>
      <c r="I4016" s="70"/>
    </row>
    <row r="4017" spans="3:9" s="46" customFormat="1" x14ac:dyDescent="0.2">
      <c r="C4017" s="144"/>
      <c r="D4017" s="144"/>
      <c r="E4017" s="144"/>
      <c r="F4017" s="373"/>
      <c r="H4017" s="2168"/>
      <c r="I4017" s="70"/>
    </row>
    <row r="4018" spans="3:9" s="46" customFormat="1" x14ac:dyDescent="0.2">
      <c r="C4018" s="144"/>
      <c r="D4018" s="144"/>
      <c r="E4018" s="144"/>
      <c r="F4018" s="373"/>
      <c r="H4018" s="2168"/>
      <c r="I4018" s="70"/>
    </row>
    <row r="4019" spans="3:9" s="46" customFormat="1" x14ac:dyDescent="0.2">
      <c r="C4019" s="144"/>
      <c r="D4019" s="144"/>
      <c r="E4019" s="144"/>
      <c r="F4019" s="373"/>
      <c r="H4019" s="2168"/>
      <c r="I4019" s="70"/>
    </row>
    <row r="4020" spans="3:9" s="46" customFormat="1" x14ac:dyDescent="0.2">
      <c r="C4020" s="144"/>
      <c r="D4020" s="144"/>
      <c r="E4020" s="144"/>
      <c r="F4020" s="373"/>
      <c r="H4020" s="2168"/>
      <c r="I4020" s="70"/>
    </row>
    <row r="4021" spans="3:9" s="46" customFormat="1" x14ac:dyDescent="0.2">
      <c r="C4021" s="144"/>
      <c r="D4021" s="144"/>
      <c r="E4021" s="144"/>
      <c r="F4021" s="373"/>
      <c r="H4021" s="2168"/>
      <c r="I4021" s="70"/>
    </row>
    <row r="4022" spans="3:9" s="46" customFormat="1" x14ac:dyDescent="0.2">
      <c r="C4022" s="144"/>
      <c r="D4022" s="144"/>
      <c r="E4022" s="144"/>
      <c r="F4022" s="373"/>
      <c r="H4022" s="2168"/>
      <c r="I4022" s="70"/>
    </row>
    <row r="4023" spans="3:9" s="46" customFormat="1" x14ac:dyDescent="0.2">
      <c r="C4023" s="144"/>
      <c r="D4023" s="144"/>
      <c r="E4023" s="144"/>
      <c r="F4023" s="373"/>
      <c r="H4023" s="2168"/>
      <c r="I4023" s="70"/>
    </row>
    <row r="4024" spans="3:9" s="46" customFormat="1" x14ac:dyDescent="0.2">
      <c r="C4024" s="144"/>
      <c r="D4024" s="144"/>
      <c r="E4024" s="144"/>
      <c r="F4024" s="373"/>
      <c r="H4024" s="2168"/>
      <c r="I4024" s="70"/>
    </row>
    <row r="4025" spans="3:9" s="46" customFormat="1" x14ac:dyDescent="0.2">
      <c r="C4025" s="144"/>
      <c r="D4025" s="144"/>
      <c r="E4025" s="144"/>
      <c r="F4025" s="373"/>
      <c r="H4025" s="2168"/>
      <c r="I4025" s="70"/>
    </row>
    <row r="4026" spans="3:9" s="46" customFormat="1" x14ac:dyDescent="0.2">
      <c r="C4026" s="144"/>
      <c r="D4026" s="144"/>
      <c r="E4026" s="144"/>
      <c r="F4026" s="373"/>
      <c r="H4026" s="2168"/>
      <c r="I4026" s="70"/>
    </row>
    <row r="4027" spans="3:9" s="46" customFormat="1" x14ac:dyDescent="0.2">
      <c r="C4027" s="144"/>
      <c r="D4027" s="144"/>
      <c r="E4027" s="144"/>
      <c r="F4027" s="373"/>
      <c r="H4027" s="2168"/>
      <c r="I4027" s="70"/>
    </row>
    <row r="4028" spans="3:9" s="46" customFormat="1" x14ac:dyDescent="0.2">
      <c r="C4028" s="144"/>
      <c r="D4028" s="144"/>
      <c r="E4028" s="144"/>
      <c r="F4028" s="373"/>
      <c r="H4028" s="2168"/>
      <c r="I4028" s="70"/>
    </row>
    <row r="4029" spans="3:9" s="46" customFormat="1" x14ac:dyDescent="0.2">
      <c r="C4029" s="144"/>
      <c r="D4029" s="144"/>
      <c r="E4029" s="144"/>
      <c r="F4029" s="373"/>
      <c r="H4029" s="2168"/>
      <c r="I4029" s="70"/>
    </row>
    <row r="4030" spans="3:9" s="46" customFormat="1" x14ac:dyDescent="0.2">
      <c r="C4030" s="144"/>
      <c r="D4030" s="144"/>
      <c r="E4030" s="144"/>
      <c r="F4030" s="373"/>
      <c r="H4030" s="2168"/>
      <c r="I4030" s="70"/>
    </row>
    <row r="4031" spans="3:9" s="46" customFormat="1" x14ac:dyDescent="0.2">
      <c r="C4031" s="144"/>
      <c r="D4031" s="144"/>
      <c r="E4031" s="144"/>
      <c r="F4031" s="373"/>
      <c r="H4031" s="2168"/>
      <c r="I4031" s="70"/>
    </row>
    <row r="4032" spans="3:9" s="46" customFormat="1" x14ac:dyDescent="0.2">
      <c r="C4032" s="144"/>
      <c r="D4032" s="144"/>
      <c r="E4032" s="144"/>
      <c r="F4032" s="373"/>
      <c r="H4032" s="2168"/>
      <c r="I4032" s="70"/>
    </row>
    <row r="4033" spans="3:9" s="46" customFormat="1" x14ac:dyDescent="0.2">
      <c r="C4033" s="144"/>
      <c r="D4033" s="144"/>
      <c r="E4033" s="144"/>
      <c r="F4033" s="373"/>
      <c r="H4033" s="2168"/>
      <c r="I4033" s="70"/>
    </row>
    <row r="4034" spans="3:9" s="46" customFormat="1" x14ac:dyDescent="0.2">
      <c r="C4034" s="144"/>
      <c r="D4034" s="144"/>
      <c r="E4034" s="144"/>
      <c r="F4034" s="373"/>
      <c r="H4034" s="2168"/>
      <c r="I4034" s="70"/>
    </row>
    <row r="4035" spans="3:9" s="46" customFormat="1" x14ac:dyDescent="0.2">
      <c r="C4035" s="144"/>
      <c r="D4035" s="144"/>
      <c r="E4035" s="144"/>
      <c r="F4035" s="373"/>
      <c r="H4035" s="2168"/>
      <c r="I4035" s="70"/>
    </row>
    <row r="4036" spans="3:9" s="46" customFormat="1" x14ac:dyDescent="0.2">
      <c r="C4036" s="144"/>
      <c r="D4036" s="144"/>
      <c r="E4036" s="144"/>
      <c r="F4036" s="373"/>
      <c r="H4036" s="2168"/>
      <c r="I4036" s="70"/>
    </row>
    <row r="4037" spans="3:9" s="46" customFormat="1" x14ac:dyDescent="0.2">
      <c r="C4037" s="144"/>
      <c r="D4037" s="144"/>
      <c r="E4037" s="144"/>
      <c r="F4037" s="373"/>
      <c r="H4037" s="2168"/>
      <c r="I4037" s="70"/>
    </row>
    <row r="4038" spans="3:9" s="46" customFormat="1" x14ac:dyDescent="0.2">
      <c r="C4038" s="144"/>
      <c r="D4038" s="144"/>
      <c r="E4038" s="144"/>
      <c r="F4038" s="373"/>
      <c r="H4038" s="2168"/>
      <c r="I4038" s="70"/>
    </row>
    <row r="4039" spans="3:9" s="46" customFormat="1" x14ac:dyDescent="0.2">
      <c r="C4039" s="144"/>
      <c r="D4039" s="144"/>
      <c r="E4039" s="144"/>
      <c r="F4039" s="373"/>
      <c r="H4039" s="2168"/>
      <c r="I4039" s="70"/>
    </row>
    <row r="4040" spans="3:9" s="46" customFormat="1" x14ac:dyDescent="0.2">
      <c r="C4040" s="144"/>
      <c r="D4040" s="144"/>
      <c r="E4040" s="144"/>
      <c r="F4040" s="373"/>
      <c r="H4040" s="2168"/>
      <c r="I4040" s="70"/>
    </row>
    <row r="4041" spans="3:9" s="46" customFormat="1" x14ac:dyDescent="0.2">
      <c r="C4041" s="144"/>
      <c r="D4041" s="144"/>
      <c r="E4041" s="144"/>
      <c r="F4041" s="373"/>
      <c r="H4041" s="2168"/>
      <c r="I4041" s="70"/>
    </row>
    <row r="4042" spans="3:9" s="46" customFormat="1" x14ac:dyDescent="0.2">
      <c r="C4042" s="144"/>
      <c r="D4042" s="144"/>
      <c r="E4042" s="144"/>
      <c r="F4042" s="373"/>
      <c r="H4042" s="2168"/>
      <c r="I4042" s="70"/>
    </row>
    <row r="4043" spans="3:9" s="46" customFormat="1" x14ac:dyDescent="0.2">
      <c r="C4043" s="144"/>
      <c r="D4043" s="144"/>
      <c r="E4043" s="144"/>
      <c r="F4043" s="373"/>
      <c r="H4043" s="2168"/>
      <c r="I4043" s="70"/>
    </row>
    <row r="4044" spans="3:9" s="46" customFormat="1" x14ac:dyDescent="0.2">
      <c r="C4044" s="144"/>
      <c r="D4044" s="144"/>
      <c r="E4044" s="144"/>
      <c r="F4044" s="373"/>
      <c r="H4044" s="2168"/>
      <c r="I4044" s="70"/>
    </row>
    <row r="4045" spans="3:9" s="46" customFormat="1" x14ac:dyDescent="0.2">
      <c r="C4045" s="144"/>
      <c r="D4045" s="144"/>
      <c r="E4045" s="144"/>
      <c r="F4045" s="373"/>
      <c r="H4045" s="2168"/>
      <c r="I4045" s="70"/>
    </row>
    <row r="4046" spans="3:9" s="46" customFormat="1" x14ac:dyDescent="0.2">
      <c r="C4046" s="144"/>
      <c r="D4046" s="144"/>
      <c r="E4046" s="144"/>
      <c r="F4046" s="373"/>
      <c r="H4046" s="2168"/>
      <c r="I4046" s="70"/>
    </row>
    <row r="4047" spans="3:9" s="46" customFormat="1" x14ac:dyDescent="0.2">
      <c r="C4047" s="144"/>
      <c r="D4047" s="144"/>
      <c r="E4047" s="144"/>
      <c r="F4047" s="373"/>
      <c r="H4047" s="2168"/>
      <c r="I4047" s="70"/>
    </row>
    <row r="4048" spans="3:9" s="46" customFormat="1" x14ac:dyDescent="0.2">
      <c r="C4048" s="144"/>
      <c r="D4048" s="144"/>
      <c r="E4048" s="144"/>
      <c r="F4048" s="373"/>
      <c r="H4048" s="2168"/>
      <c r="I4048" s="70"/>
    </row>
    <row r="4049" spans="3:9" s="46" customFormat="1" x14ac:dyDescent="0.2">
      <c r="C4049" s="144"/>
      <c r="D4049" s="144"/>
      <c r="E4049" s="144"/>
      <c r="F4049" s="373"/>
      <c r="H4049" s="2168"/>
      <c r="I4049" s="70"/>
    </row>
    <row r="4050" spans="3:9" s="46" customFormat="1" x14ac:dyDescent="0.2">
      <c r="C4050" s="144"/>
      <c r="D4050" s="144"/>
      <c r="E4050" s="144"/>
      <c r="F4050" s="373"/>
      <c r="H4050" s="2168"/>
      <c r="I4050" s="70"/>
    </row>
    <row r="4051" spans="3:9" s="46" customFormat="1" x14ac:dyDescent="0.2">
      <c r="C4051" s="144"/>
      <c r="D4051" s="144"/>
      <c r="E4051" s="144"/>
      <c r="F4051" s="373"/>
      <c r="H4051" s="2168"/>
      <c r="I4051" s="70"/>
    </row>
    <row r="4052" spans="3:9" s="46" customFormat="1" x14ac:dyDescent="0.2">
      <c r="C4052" s="144"/>
      <c r="D4052" s="144"/>
      <c r="E4052" s="144"/>
      <c r="F4052" s="373"/>
      <c r="H4052" s="2168"/>
      <c r="I4052" s="70"/>
    </row>
    <row r="4053" spans="3:9" s="46" customFormat="1" x14ac:dyDescent="0.2">
      <c r="C4053" s="144"/>
      <c r="D4053" s="144"/>
      <c r="E4053" s="144"/>
      <c r="F4053" s="373"/>
      <c r="H4053" s="2168"/>
      <c r="I4053" s="70"/>
    </row>
    <row r="4054" spans="3:9" s="46" customFormat="1" x14ac:dyDescent="0.2">
      <c r="C4054" s="144"/>
      <c r="D4054" s="144"/>
      <c r="E4054" s="144"/>
      <c r="F4054" s="373"/>
      <c r="H4054" s="2168"/>
      <c r="I4054" s="70"/>
    </row>
    <row r="4055" spans="3:9" s="46" customFormat="1" x14ac:dyDescent="0.2">
      <c r="C4055" s="144"/>
      <c r="D4055" s="144"/>
      <c r="E4055" s="144"/>
      <c r="F4055" s="373"/>
      <c r="H4055" s="2168"/>
      <c r="I4055" s="70"/>
    </row>
    <row r="4056" spans="3:9" s="46" customFormat="1" x14ac:dyDescent="0.2">
      <c r="C4056" s="144"/>
      <c r="D4056" s="144"/>
      <c r="E4056" s="144"/>
      <c r="F4056" s="373"/>
      <c r="H4056" s="2168"/>
      <c r="I4056" s="70"/>
    </row>
    <row r="4057" spans="3:9" s="46" customFormat="1" x14ac:dyDescent="0.2">
      <c r="C4057" s="144"/>
      <c r="D4057" s="144"/>
      <c r="E4057" s="144"/>
      <c r="F4057" s="373"/>
      <c r="H4057" s="2168"/>
      <c r="I4057" s="70"/>
    </row>
    <row r="4058" spans="3:9" s="46" customFormat="1" x14ac:dyDescent="0.2">
      <c r="C4058" s="144"/>
      <c r="D4058" s="144"/>
      <c r="E4058" s="144"/>
      <c r="F4058" s="373"/>
      <c r="H4058" s="2168"/>
      <c r="I4058" s="70"/>
    </row>
    <row r="4059" spans="3:9" s="46" customFormat="1" x14ac:dyDescent="0.2">
      <c r="C4059" s="144"/>
      <c r="D4059" s="144"/>
      <c r="E4059" s="144"/>
      <c r="F4059" s="373"/>
      <c r="H4059" s="2168"/>
      <c r="I4059" s="70"/>
    </row>
    <row r="4060" spans="3:9" s="46" customFormat="1" x14ac:dyDescent="0.2">
      <c r="C4060" s="144"/>
      <c r="D4060" s="144"/>
      <c r="E4060" s="144"/>
      <c r="F4060" s="373"/>
      <c r="H4060" s="2168"/>
      <c r="I4060" s="70"/>
    </row>
    <row r="4061" spans="3:9" s="46" customFormat="1" x14ac:dyDescent="0.2">
      <c r="C4061" s="144"/>
      <c r="D4061" s="144"/>
      <c r="E4061" s="144"/>
      <c r="F4061" s="373"/>
      <c r="H4061" s="2168"/>
      <c r="I4061" s="70"/>
    </row>
    <row r="4062" spans="3:9" s="46" customFormat="1" x14ac:dyDescent="0.2">
      <c r="C4062" s="144"/>
      <c r="D4062" s="144"/>
      <c r="E4062" s="144"/>
      <c r="F4062" s="373"/>
      <c r="H4062" s="2168"/>
      <c r="I4062" s="70"/>
    </row>
    <row r="4063" spans="3:9" s="46" customFormat="1" x14ac:dyDescent="0.2">
      <c r="C4063" s="144"/>
      <c r="D4063" s="144"/>
      <c r="E4063" s="144"/>
      <c r="F4063" s="373"/>
      <c r="H4063" s="2168"/>
      <c r="I4063" s="70"/>
    </row>
    <row r="4064" spans="3:9" s="46" customFormat="1" x14ac:dyDescent="0.2">
      <c r="C4064" s="144"/>
      <c r="D4064" s="144"/>
      <c r="E4064" s="144"/>
      <c r="F4064" s="373"/>
      <c r="H4064" s="2168"/>
      <c r="I4064" s="70"/>
    </row>
    <row r="4065" spans="3:9" s="46" customFormat="1" x14ac:dyDescent="0.2">
      <c r="C4065" s="144"/>
      <c r="D4065" s="144"/>
      <c r="E4065" s="144"/>
      <c r="F4065" s="373"/>
      <c r="H4065" s="2168"/>
      <c r="I4065" s="70"/>
    </row>
    <row r="4066" spans="3:9" s="46" customFormat="1" x14ac:dyDescent="0.2">
      <c r="C4066" s="144"/>
      <c r="D4066" s="144"/>
      <c r="E4066" s="144"/>
      <c r="F4066" s="373"/>
      <c r="H4066" s="2168"/>
      <c r="I4066" s="70"/>
    </row>
    <row r="4067" spans="3:9" s="46" customFormat="1" x14ac:dyDescent="0.2">
      <c r="C4067" s="144"/>
      <c r="D4067" s="144"/>
      <c r="E4067" s="144"/>
      <c r="F4067" s="373"/>
      <c r="H4067" s="2168"/>
      <c r="I4067" s="70"/>
    </row>
    <row r="4068" spans="3:9" s="46" customFormat="1" x14ac:dyDescent="0.2">
      <c r="C4068" s="144"/>
      <c r="D4068" s="144"/>
      <c r="E4068" s="144"/>
      <c r="F4068" s="373"/>
      <c r="H4068" s="2168"/>
      <c r="I4068" s="70"/>
    </row>
    <row r="4069" spans="3:9" s="46" customFormat="1" x14ac:dyDescent="0.2">
      <c r="C4069" s="144"/>
      <c r="D4069" s="144"/>
      <c r="E4069" s="144"/>
      <c r="F4069" s="373"/>
      <c r="H4069" s="2168"/>
      <c r="I4069" s="70"/>
    </row>
    <row r="4070" spans="3:9" s="46" customFormat="1" x14ac:dyDescent="0.2">
      <c r="C4070" s="144"/>
      <c r="D4070" s="144"/>
      <c r="E4070" s="144"/>
      <c r="F4070" s="373"/>
      <c r="H4070" s="2168"/>
      <c r="I4070" s="70"/>
    </row>
    <row r="4071" spans="3:9" s="46" customFormat="1" x14ac:dyDescent="0.2">
      <c r="C4071" s="144"/>
      <c r="D4071" s="144"/>
      <c r="E4071" s="144"/>
      <c r="F4071" s="373"/>
      <c r="H4071" s="2168"/>
      <c r="I4071" s="70"/>
    </row>
    <row r="4072" spans="3:9" s="46" customFormat="1" x14ac:dyDescent="0.2">
      <c r="C4072" s="144"/>
      <c r="D4072" s="144"/>
      <c r="E4072" s="144"/>
      <c r="F4072" s="373"/>
      <c r="H4072" s="2168"/>
      <c r="I4072" s="70"/>
    </row>
    <row r="4073" spans="3:9" s="46" customFormat="1" x14ac:dyDescent="0.2">
      <c r="C4073" s="144"/>
      <c r="D4073" s="144"/>
      <c r="E4073" s="144"/>
      <c r="F4073" s="373"/>
      <c r="H4073" s="2168"/>
      <c r="I4073" s="70"/>
    </row>
    <row r="4074" spans="3:9" s="46" customFormat="1" x14ac:dyDescent="0.2">
      <c r="C4074" s="144"/>
      <c r="D4074" s="144"/>
      <c r="E4074" s="144"/>
      <c r="F4074" s="373"/>
      <c r="H4074" s="2168"/>
      <c r="I4074" s="70"/>
    </row>
    <row r="4075" spans="3:9" s="46" customFormat="1" x14ac:dyDescent="0.2">
      <c r="C4075" s="144"/>
      <c r="D4075" s="144"/>
      <c r="E4075" s="144"/>
      <c r="F4075" s="373"/>
      <c r="H4075" s="2168"/>
      <c r="I4075" s="70"/>
    </row>
    <row r="4076" spans="3:9" s="46" customFormat="1" x14ac:dyDescent="0.2">
      <c r="C4076" s="144"/>
      <c r="D4076" s="144"/>
      <c r="E4076" s="144"/>
      <c r="F4076" s="373"/>
      <c r="H4076" s="2168"/>
      <c r="I4076" s="70"/>
    </row>
    <row r="4077" spans="3:9" s="46" customFormat="1" x14ac:dyDescent="0.2">
      <c r="C4077" s="144"/>
      <c r="D4077" s="144"/>
      <c r="E4077" s="144"/>
      <c r="F4077" s="373"/>
      <c r="H4077" s="2168"/>
      <c r="I4077" s="70"/>
    </row>
    <row r="4078" spans="3:9" s="46" customFormat="1" x14ac:dyDescent="0.2">
      <c r="C4078" s="144"/>
      <c r="D4078" s="144"/>
      <c r="E4078" s="144"/>
      <c r="F4078" s="373"/>
      <c r="H4078" s="2168"/>
      <c r="I4078" s="70"/>
    </row>
    <row r="4079" spans="3:9" s="46" customFormat="1" x14ac:dyDescent="0.2">
      <c r="C4079" s="144"/>
      <c r="D4079" s="144"/>
      <c r="E4079" s="144"/>
      <c r="F4079" s="373"/>
      <c r="H4079" s="2168"/>
      <c r="I4079" s="70"/>
    </row>
    <row r="4080" spans="3:9" s="46" customFormat="1" x14ac:dyDescent="0.2">
      <c r="C4080" s="144"/>
      <c r="D4080" s="144"/>
      <c r="E4080" s="144"/>
      <c r="F4080" s="373"/>
      <c r="H4080" s="2168"/>
      <c r="I4080" s="70"/>
    </row>
    <row r="4081" spans="3:9" s="46" customFormat="1" x14ac:dyDescent="0.2">
      <c r="C4081" s="144"/>
      <c r="D4081" s="144"/>
      <c r="E4081" s="144"/>
      <c r="F4081" s="373"/>
      <c r="H4081" s="2168"/>
      <c r="I4081" s="70"/>
    </row>
    <row r="4082" spans="3:9" s="46" customFormat="1" x14ac:dyDescent="0.2">
      <c r="C4082" s="144"/>
      <c r="D4082" s="144"/>
      <c r="E4082" s="144"/>
      <c r="F4082" s="373"/>
      <c r="H4082" s="2168"/>
      <c r="I4082" s="70"/>
    </row>
    <row r="4083" spans="3:9" s="46" customFormat="1" x14ac:dyDescent="0.2">
      <c r="C4083" s="144"/>
      <c r="D4083" s="144"/>
      <c r="E4083" s="144"/>
      <c r="F4083" s="373"/>
      <c r="H4083" s="2168"/>
      <c r="I4083" s="70"/>
    </row>
    <row r="4084" spans="3:9" s="46" customFormat="1" x14ac:dyDescent="0.2">
      <c r="C4084" s="144"/>
      <c r="D4084" s="144"/>
      <c r="E4084" s="144"/>
      <c r="F4084" s="373"/>
      <c r="H4084" s="2168"/>
      <c r="I4084" s="70"/>
    </row>
    <row r="4085" spans="3:9" s="46" customFormat="1" x14ac:dyDescent="0.2">
      <c r="C4085" s="144"/>
      <c r="D4085" s="144"/>
      <c r="E4085" s="144"/>
      <c r="F4085" s="373"/>
      <c r="H4085" s="2168"/>
      <c r="I4085" s="70"/>
    </row>
    <row r="4086" spans="3:9" s="46" customFormat="1" x14ac:dyDescent="0.2">
      <c r="C4086" s="144"/>
      <c r="D4086" s="144"/>
      <c r="E4086" s="144"/>
      <c r="F4086" s="373"/>
      <c r="H4086" s="2168"/>
      <c r="I4086" s="70"/>
    </row>
    <row r="4087" spans="3:9" s="46" customFormat="1" x14ac:dyDescent="0.2">
      <c r="C4087" s="144"/>
      <c r="D4087" s="144"/>
      <c r="E4087" s="144"/>
      <c r="F4087" s="373"/>
      <c r="H4087" s="2168"/>
      <c r="I4087" s="70"/>
    </row>
    <row r="4088" spans="3:9" s="46" customFormat="1" x14ac:dyDescent="0.2">
      <c r="C4088" s="144"/>
      <c r="D4088" s="144"/>
      <c r="E4088" s="144"/>
      <c r="F4088" s="373"/>
      <c r="H4088" s="2168"/>
      <c r="I4088" s="70"/>
    </row>
    <row r="4089" spans="3:9" s="46" customFormat="1" x14ac:dyDescent="0.2">
      <c r="C4089" s="144"/>
      <c r="D4089" s="144"/>
      <c r="E4089" s="144"/>
      <c r="F4089" s="373"/>
      <c r="H4089" s="2168"/>
      <c r="I4089" s="70"/>
    </row>
    <row r="4090" spans="3:9" s="46" customFormat="1" x14ac:dyDescent="0.2">
      <c r="C4090" s="144"/>
      <c r="D4090" s="144"/>
      <c r="E4090" s="144"/>
      <c r="F4090" s="373"/>
      <c r="H4090" s="2168"/>
      <c r="I4090" s="70"/>
    </row>
    <row r="4091" spans="3:9" s="46" customFormat="1" x14ac:dyDescent="0.2">
      <c r="C4091" s="144"/>
      <c r="D4091" s="144"/>
      <c r="E4091" s="144"/>
      <c r="F4091" s="373"/>
      <c r="H4091" s="2168"/>
      <c r="I4091" s="70"/>
    </row>
    <row r="4092" spans="3:9" s="46" customFormat="1" x14ac:dyDescent="0.2">
      <c r="C4092" s="144"/>
      <c r="D4092" s="144"/>
      <c r="E4092" s="144"/>
      <c r="F4092" s="373"/>
      <c r="H4092" s="2168"/>
      <c r="I4092" s="70"/>
    </row>
    <row r="4093" spans="3:9" s="46" customFormat="1" x14ac:dyDescent="0.2">
      <c r="C4093" s="144"/>
      <c r="D4093" s="144"/>
      <c r="E4093" s="144"/>
      <c r="F4093" s="373"/>
      <c r="H4093" s="2168"/>
      <c r="I4093" s="70"/>
    </row>
    <row r="4094" spans="3:9" s="46" customFormat="1" x14ac:dyDescent="0.2">
      <c r="C4094" s="144"/>
      <c r="D4094" s="144"/>
      <c r="E4094" s="144"/>
      <c r="F4094" s="373"/>
      <c r="H4094" s="2168"/>
      <c r="I4094" s="70"/>
    </row>
    <row r="4095" spans="3:9" s="46" customFormat="1" x14ac:dyDescent="0.2">
      <c r="C4095" s="144"/>
      <c r="D4095" s="144"/>
      <c r="E4095" s="144"/>
      <c r="F4095" s="373"/>
      <c r="H4095" s="2168"/>
      <c r="I4095" s="70"/>
    </row>
    <row r="4096" spans="3:9" s="46" customFormat="1" x14ac:dyDescent="0.2">
      <c r="C4096" s="144"/>
      <c r="D4096" s="144"/>
      <c r="E4096" s="144"/>
      <c r="F4096" s="373"/>
      <c r="H4096" s="2168"/>
      <c r="I4096" s="70"/>
    </row>
    <row r="4097" spans="3:9" s="46" customFormat="1" x14ac:dyDescent="0.2">
      <c r="C4097" s="144"/>
      <c r="D4097" s="144"/>
      <c r="E4097" s="144"/>
      <c r="F4097" s="373"/>
      <c r="H4097" s="2168"/>
      <c r="I4097" s="70"/>
    </row>
    <row r="4098" spans="3:9" s="46" customFormat="1" x14ac:dyDescent="0.2">
      <c r="C4098" s="144"/>
      <c r="D4098" s="144"/>
      <c r="E4098" s="144"/>
      <c r="F4098" s="373"/>
      <c r="H4098" s="2168"/>
      <c r="I4098" s="70"/>
    </row>
    <row r="4099" spans="3:9" s="46" customFormat="1" x14ac:dyDescent="0.2">
      <c r="C4099" s="144"/>
      <c r="D4099" s="144"/>
      <c r="E4099" s="144"/>
      <c r="F4099" s="373"/>
      <c r="H4099" s="2168"/>
      <c r="I4099" s="70"/>
    </row>
    <row r="4100" spans="3:9" s="46" customFormat="1" x14ac:dyDescent="0.2">
      <c r="C4100" s="144"/>
      <c r="D4100" s="144"/>
      <c r="E4100" s="144"/>
      <c r="F4100" s="373"/>
      <c r="H4100" s="2168"/>
      <c r="I4100" s="70"/>
    </row>
    <row r="4101" spans="3:9" s="46" customFormat="1" x14ac:dyDescent="0.2">
      <c r="C4101" s="144"/>
      <c r="D4101" s="144"/>
      <c r="E4101" s="144"/>
      <c r="F4101" s="373"/>
      <c r="H4101" s="2168"/>
      <c r="I4101" s="70"/>
    </row>
    <row r="4102" spans="3:9" s="46" customFormat="1" x14ac:dyDescent="0.2">
      <c r="C4102" s="144"/>
      <c r="D4102" s="144"/>
      <c r="E4102" s="144"/>
      <c r="F4102" s="373"/>
      <c r="H4102" s="2168"/>
      <c r="I4102" s="70"/>
    </row>
    <row r="4103" spans="3:9" s="46" customFormat="1" x14ac:dyDescent="0.2">
      <c r="C4103" s="144"/>
      <c r="D4103" s="144"/>
      <c r="E4103" s="144"/>
      <c r="F4103" s="373"/>
      <c r="H4103" s="2168"/>
      <c r="I4103" s="70"/>
    </row>
    <row r="4104" spans="3:9" s="46" customFormat="1" x14ac:dyDescent="0.2">
      <c r="C4104" s="144"/>
      <c r="D4104" s="144"/>
      <c r="E4104" s="144"/>
      <c r="F4104" s="373"/>
      <c r="H4104" s="2168"/>
      <c r="I4104" s="70"/>
    </row>
    <row r="4105" spans="3:9" s="46" customFormat="1" x14ac:dyDescent="0.2">
      <c r="C4105" s="144"/>
      <c r="D4105" s="144"/>
      <c r="E4105" s="144"/>
      <c r="F4105" s="373"/>
      <c r="H4105" s="2168"/>
      <c r="I4105" s="70"/>
    </row>
    <row r="4106" spans="3:9" s="46" customFormat="1" x14ac:dyDescent="0.2">
      <c r="C4106" s="144"/>
      <c r="D4106" s="144"/>
      <c r="E4106" s="144"/>
      <c r="F4106" s="373"/>
      <c r="H4106" s="2168"/>
      <c r="I4106" s="70"/>
    </row>
    <row r="4107" spans="3:9" s="46" customFormat="1" x14ac:dyDescent="0.2">
      <c r="C4107" s="144"/>
      <c r="D4107" s="144"/>
      <c r="E4107" s="144"/>
      <c r="F4107" s="373"/>
      <c r="H4107" s="2168"/>
      <c r="I4107" s="70"/>
    </row>
    <row r="4108" spans="3:9" s="46" customFormat="1" x14ac:dyDescent="0.2">
      <c r="C4108" s="144"/>
      <c r="D4108" s="144"/>
      <c r="E4108" s="144"/>
      <c r="F4108" s="373"/>
      <c r="H4108" s="2168"/>
      <c r="I4108" s="70"/>
    </row>
    <row r="4109" spans="3:9" s="46" customFormat="1" x14ac:dyDescent="0.2">
      <c r="C4109" s="144"/>
      <c r="D4109" s="144"/>
      <c r="E4109" s="144"/>
      <c r="F4109" s="373"/>
      <c r="H4109" s="2168"/>
      <c r="I4109" s="70"/>
    </row>
    <row r="4110" spans="3:9" s="46" customFormat="1" x14ac:dyDescent="0.2">
      <c r="C4110" s="144"/>
      <c r="D4110" s="144"/>
      <c r="E4110" s="144"/>
      <c r="F4110" s="373"/>
      <c r="H4110" s="2168"/>
      <c r="I4110" s="70"/>
    </row>
    <row r="4111" spans="3:9" s="46" customFormat="1" x14ac:dyDescent="0.2">
      <c r="C4111" s="144"/>
      <c r="D4111" s="144"/>
      <c r="E4111" s="144"/>
      <c r="F4111" s="373"/>
      <c r="H4111" s="2168"/>
      <c r="I4111" s="70"/>
    </row>
    <row r="4112" spans="3:9" s="46" customFormat="1" x14ac:dyDescent="0.2">
      <c r="C4112" s="144"/>
      <c r="D4112" s="144"/>
      <c r="E4112" s="144"/>
      <c r="F4112" s="373"/>
      <c r="H4112" s="2168"/>
      <c r="I4112" s="70"/>
    </row>
    <row r="4113" spans="3:9" s="46" customFormat="1" x14ac:dyDescent="0.2">
      <c r="C4113" s="144"/>
      <c r="D4113" s="144"/>
      <c r="E4113" s="144"/>
      <c r="F4113" s="373"/>
      <c r="H4113" s="2168"/>
      <c r="I4113" s="70"/>
    </row>
    <row r="4114" spans="3:9" s="46" customFormat="1" x14ac:dyDescent="0.2">
      <c r="C4114" s="144"/>
      <c r="D4114" s="144"/>
      <c r="E4114" s="144"/>
      <c r="F4114" s="373"/>
      <c r="H4114" s="2168"/>
      <c r="I4114" s="70"/>
    </row>
    <row r="4115" spans="3:9" s="46" customFormat="1" x14ac:dyDescent="0.2">
      <c r="C4115" s="144"/>
      <c r="D4115" s="144"/>
      <c r="E4115" s="144"/>
      <c r="F4115" s="373"/>
      <c r="H4115" s="2168"/>
      <c r="I4115" s="70"/>
    </row>
    <row r="4116" spans="3:9" s="46" customFormat="1" x14ac:dyDescent="0.2">
      <c r="C4116" s="144"/>
      <c r="D4116" s="144"/>
      <c r="E4116" s="144"/>
      <c r="F4116" s="373"/>
      <c r="H4116" s="2168"/>
      <c r="I4116" s="70"/>
    </row>
    <row r="4117" spans="3:9" s="46" customFormat="1" x14ac:dyDescent="0.2">
      <c r="C4117" s="144"/>
      <c r="D4117" s="144"/>
      <c r="E4117" s="144"/>
      <c r="F4117" s="373"/>
      <c r="H4117" s="2168"/>
      <c r="I4117" s="70"/>
    </row>
    <row r="4118" spans="3:9" s="46" customFormat="1" x14ac:dyDescent="0.2">
      <c r="C4118" s="144"/>
      <c r="D4118" s="144"/>
      <c r="E4118" s="144"/>
      <c r="F4118" s="373"/>
      <c r="H4118" s="2168"/>
      <c r="I4118" s="70"/>
    </row>
    <row r="4119" spans="3:9" s="46" customFormat="1" x14ac:dyDescent="0.2">
      <c r="C4119" s="144"/>
      <c r="D4119" s="144"/>
      <c r="E4119" s="144"/>
      <c r="F4119" s="373"/>
      <c r="H4119" s="2168"/>
      <c r="I4119" s="70"/>
    </row>
    <row r="4120" spans="3:9" s="46" customFormat="1" x14ac:dyDescent="0.2">
      <c r="C4120" s="144"/>
      <c r="D4120" s="144"/>
      <c r="E4120" s="144"/>
      <c r="F4120" s="373"/>
      <c r="H4120" s="2168"/>
      <c r="I4120" s="70"/>
    </row>
    <row r="4121" spans="3:9" s="46" customFormat="1" x14ac:dyDescent="0.2">
      <c r="C4121" s="144"/>
      <c r="D4121" s="144"/>
      <c r="E4121" s="144"/>
      <c r="F4121" s="373"/>
      <c r="H4121" s="2168"/>
      <c r="I4121" s="70"/>
    </row>
    <row r="4122" spans="3:9" s="46" customFormat="1" x14ac:dyDescent="0.2">
      <c r="C4122" s="144"/>
      <c r="D4122" s="144"/>
      <c r="E4122" s="144"/>
      <c r="F4122" s="373"/>
      <c r="H4122" s="2168"/>
      <c r="I4122" s="70"/>
    </row>
    <row r="4123" spans="3:9" s="46" customFormat="1" x14ac:dyDescent="0.2">
      <c r="C4123" s="144"/>
      <c r="D4123" s="144"/>
      <c r="E4123" s="144"/>
      <c r="F4123" s="373"/>
      <c r="H4123" s="2168"/>
      <c r="I4123" s="70"/>
    </row>
    <row r="4124" spans="3:9" s="46" customFormat="1" x14ac:dyDescent="0.2">
      <c r="C4124" s="144"/>
      <c r="D4124" s="144"/>
      <c r="E4124" s="144"/>
      <c r="F4124" s="373"/>
      <c r="H4124" s="2168"/>
      <c r="I4124" s="70"/>
    </row>
    <row r="4125" spans="3:9" s="46" customFormat="1" x14ac:dyDescent="0.2">
      <c r="C4125" s="144"/>
      <c r="D4125" s="144"/>
      <c r="E4125" s="144"/>
      <c r="F4125" s="373"/>
      <c r="H4125" s="2168"/>
      <c r="I4125" s="70"/>
    </row>
    <row r="4126" spans="3:9" s="46" customFormat="1" x14ac:dyDescent="0.2">
      <c r="C4126" s="144"/>
      <c r="D4126" s="144"/>
      <c r="E4126" s="144"/>
      <c r="F4126" s="373"/>
      <c r="H4126" s="2168"/>
      <c r="I4126" s="70"/>
    </row>
    <row r="4127" spans="3:9" s="46" customFormat="1" x14ac:dyDescent="0.2">
      <c r="C4127" s="144"/>
      <c r="D4127" s="144"/>
      <c r="E4127" s="144"/>
      <c r="F4127" s="373"/>
      <c r="H4127" s="2168"/>
      <c r="I4127" s="70"/>
    </row>
    <row r="4128" spans="3:9" s="46" customFormat="1" x14ac:dyDescent="0.2">
      <c r="C4128" s="144"/>
      <c r="D4128" s="144"/>
      <c r="E4128" s="144"/>
      <c r="F4128" s="373"/>
      <c r="H4128" s="2168"/>
      <c r="I4128" s="70"/>
    </row>
    <row r="4129" spans="3:9" s="46" customFormat="1" x14ac:dyDescent="0.2">
      <c r="C4129" s="144"/>
      <c r="D4129" s="144"/>
      <c r="E4129" s="144"/>
      <c r="F4129" s="373"/>
      <c r="H4129" s="2168"/>
      <c r="I4129" s="70"/>
    </row>
    <row r="4130" spans="3:9" s="46" customFormat="1" x14ac:dyDescent="0.2">
      <c r="C4130" s="144"/>
      <c r="D4130" s="144"/>
      <c r="E4130" s="144"/>
      <c r="F4130" s="373"/>
      <c r="H4130" s="2168"/>
      <c r="I4130" s="70"/>
    </row>
    <row r="4131" spans="3:9" s="46" customFormat="1" x14ac:dyDescent="0.2">
      <c r="C4131" s="144"/>
      <c r="D4131" s="144"/>
      <c r="E4131" s="144"/>
      <c r="F4131" s="373"/>
      <c r="H4131" s="2168"/>
      <c r="I4131" s="70"/>
    </row>
    <row r="4132" spans="3:9" s="46" customFormat="1" x14ac:dyDescent="0.2">
      <c r="C4132" s="144"/>
      <c r="D4132" s="144"/>
      <c r="E4132" s="144"/>
      <c r="F4132" s="373"/>
      <c r="H4132" s="2168"/>
      <c r="I4132" s="70"/>
    </row>
    <row r="4133" spans="3:9" s="46" customFormat="1" x14ac:dyDescent="0.2">
      <c r="C4133" s="144"/>
      <c r="D4133" s="144"/>
      <c r="E4133" s="144"/>
      <c r="F4133" s="373"/>
      <c r="H4133" s="2168"/>
      <c r="I4133" s="70"/>
    </row>
    <row r="4134" spans="3:9" s="46" customFormat="1" x14ac:dyDescent="0.2">
      <c r="C4134" s="144"/>
      <c r="D4134" s="144"/>
      <c r="E4134" s="144"/>
      <c r="F4134" s="373"/>
      <c r="H4134" s="2168"/>
      <c r="I4134" s="70"/>
    </row>
    <row r="4135" spans="3:9" s="46" customFormat="1" x14ac:dyDescent="0.2">
      <c r="C4135" s="144"/>
      <c r="D4135" s="144"/>
      <c r="E4135" s="144"/>
      <c r="F4135" s="373"/>
      <c r="H4135" s="2168"/>
      <c r="I4135" s="70"/>
    </row>
    <row r="4136" spans="3:9" s="46" customFormat="1" x14ac:dyDescent="0.2">
      <c r="C4136" s="144"/>
      <c r="D4136" s="144"/>
      <c r="E4136" s="144"/>
      <c r="F4136" s="373"/>
      <c r="H4136" s="2168"/>
      <c r="I4136" s="70"/>
    </row>
    <row r="4137" spans="3:9" s="46" customFormat="1" x14ac:dyDescent="0.2">
      <c r="C4137" s="144"/>
      <c r="D4137" s="144"/>
      <c r="E4137" s="144"/>
      <c r="F4137" s="373"/>
      <c r="H4137" s="2168"/>
      <c r="I4137" s="70"/>
    </row>
    <row r="4138" spans="3:9" s="46" customFormat="1" x14ac:dyDescent="0.2">
      <c r="C4138" s="144"/>
      <c r="D4138" s="144"/>
      <c r="E4138" s="144"/>
      <c r="F4138" s="373"/>
      <c r="H4138" s="2168"/>
      <c r="I4138" s="70"/>
    </row>
    <row r="4139" spans="3:9" s="46" customFormat="1" x14ac:dyDescent="0.2">
      <c r="C4139" s="144"/>
      <c r="D4139" s="144"/>
      <c r="E4139" s="144"/>
      <c r="F4139" s="373"/>
      <c r="H4139" s="2168"/>
      <c r="I4139" s="70"/>
    </row>
    <row r="4140" spans="3:9" s="46" customFormat="1" x14ac:dyDescent="0.2">
      <c r="C4140" s="144"/>
      <c r="D4140" s="144"/>
      <c r="E4140" s="144"/>
      <c r="F4140" s="373"/>
      <c r="H4140" s="2168"/>
      <c r="I4140" s="70"/>
    </row>
    <row r="4141" spans="3:9" s="46" customFormat="1" x14ac:dyDescent="0.2">
      <c r="C4141" s="144"/>
      <c r="D4141" s="144"/>
      <c r="E4141" s="144"/>
      <c r="F4141" s="373"/>
      <c r="H4141" s="2168"/>
      <c r="I4141" s="70"/>
    </row>
    <row r="4142" spans="3:9" s="46" customFormat="1" x14ac:dyDescent="0.2">
      <c r="C4142" s="144"/>
      <c r="D4142" s="144"/>
      <c r="E4142" s="144"/>
      <c r="F4142" s="373"/>
      <c r="H4142" s="2168"/>
      <c r="I4142" s="70"/>
    </row>
    <row r="4143" spans="3:9" s="46" customFormat="1" x14ac:dyDescent="0.2">
      <c r="C4143" s="144"/>
      <c r="D4143" s="144"/>
      <c r="E4143" s="144"/>
      <c r="F4143" s="373"/>
      <c r="H4143" s="2168"/>
      <c r="I4143" s="70"/>
    </row>
    <row r="4144" spans="3:9" s="46" customFormat="1" x14ac:dyDescent="0.2">
      <c r="C4144" s="144"/>
      <c r="D4144" s="144"/>
      <c r="E4144" s="144"/>
      <c r="F4144" s="373"/>
      <c r="H4144" s="2168"/>
      <c r="I4144" s="70"/>
    </row>
    <row r="4145" spans="3:9" s="46" customFormat="1" x14ac:dyDescent="0.2">
      <c r="C4145" s="144"/>
      <c r="D4145" s="144"/>
      <c r="E4145" s="144"/>
      <c r="F4145" s="373"/>
      <c r="H4145" s="2168"/>
      <c r="I4145" s="70"/>
    </row>
    <row r="4146" spans="3:9" s="46" customFormat="1" x14ac:dyDescent="0.2">
      <c r="C4146" s="144"/>
      <c r="D4146" s="144"/>
      <c r="E4146" s="144"/>
      <c r="F4146" s="373"/>
      <c r="H4146" s="2168"/>
      <c r="I4146" s="70"/>
    </row>
    <row r="4147" spans="3:9" s="46" customFormat="1" x14ac:dyDescent="0.2">
      <c r="C4147" s="144"/>
      <c r="D4147" s="144"/>
      <c r="E4147" s="144"/>
      <c r="F4147" s="373"/>
      <c r="H4147" s="2168"/>
      <c r="I4147" s="70"/>
    </row>
    <row r="4148" spans="3:9" s="46" customFormat="1" x14ac:dyDescent="0.2">
      <c r="C4148" s="144"/>
      <c r="D4148" s="144"/>
      <c r="E4148" s="144"/>
      <c r="F4148" s="373"/>
      <c r="H4148" s="2168"/>
      <c r="I4148" s="70"/>
    </row>
    <row r="4149" spans="3:9" s="46" customFormat="1" x14ac:dyDescent="0.2">
      <c r="C4149" s="144"/>
      <c r="D4149" s="144"/>
      <c r="E4149" s="144"/>
      <c r="F4149" s="373"/>
      <c r="H4149" s="2168"/>
      <c r="I4149" s="70"/>
    </row>
    <row r="4150" spans="3:9" s="46" customFormat="1" x14ac:dyDescent="0.2">
      <c r="C4150" s="144"/>
      <c r="D4150" s="144"/>
      <c r="E4150" s="144"/>
      <c r="F4150" s="373"/>
      <c r="H4150" s="2168"/>
      <c r="I4150" s="70"/>
    </row>
    <row r="4151" spans="3:9" s="46" customFormat="1" x14ac:dyDescent="0.2">
      <c r="C4151" s="144"/>
      <c r="D4151" s="144"/>
      <c r="E4151" s="144"/>
      <c r="F4151" s="373"/>
      <c r="H4151" s="2168"/>
      <c r="I4151" s="70"/>
    </row>
    <row r="4152" spans="3:9" s="46" customFormat="1" x14ac:dyDescent="0.2">
      <c r="C4152" s="144"/>
      <c r="D4152" s="144"/>
      <c r="E4152" s="144"/>
      <c r="F4152" s="373"/>
      <c r="H4152" s="2168"/>
      <c r="I4152" s="70"/>
    </row>
    <row r="4153" spans="3:9" s="46" customFormat="1" x14ac:dyDescent="0.2">
      <c r="C4153" s="144"/>
      <c r="D4153" s="144"/>
      <c r="E4153" s="144"/>
      <c r="F4153" s="373"/>
      <c r="H4153" s="2168"/>
      <c r="I4153" s="70"/>
    </row>
    <row r="4154" spans="3:9" s="46" customFormat="1" x14ac:dyDescent="0.2">
      <c r="C4154" s="144"/>
      <c r="D4154" s="144"/>
      <c r="E4154" s="144"/>
      <c r="F4154" s="373"/>
      <c r="H4154" s="2168"/>
      <c r="I4154" s="70"/>
    </row>
    <row r="4155" spans="3:9" s="46" customFormat="1" x14ac:dyDescent="0.2">
      <c r="C4155" s="144"/>
      <c r="D4155" s="144"/>
      <c r="E4155" s="144"/>
      <c r="F4155" s="373"/>
      <c r="H4155" s="2168"/>
      <c r="I4155" s="70"/>
    </row>
    <row r="4156" spans="3:9" s="46" customFormat="1" x14ac:dyDescent="0.2">
      <c r="C4156" s="144"/>
      <c r="D4156" s="144"/>
      <c r="E4156" s="144"/>
      <c r="F4156" s="373"/>
      <c r="H4156" s="2168"/>
      <c r="I4156" s="70"/>
    </row>
    <row r="4157" spans="3:9" s="46" customFormat="1" x14ac:dyDescent="0.2">
      <c r="C4157" s="144"/>
      <c r="D4157" s="144"/>
      <c r="E4157" s="144"/>
      <c r="F4157" s="373"/>
      <c r="H4157" s="2168"/>
      <c r="I4157" s="70"/>
    </row>
    <row r="4158" spans="3:9" s="46" customFormat="1" x14ac:dyDescent="0.2">
      <c r="C4158" s="144"/>
      <c r="D4158" s="144"/>
      <c r="E4158" s="144"/>
      <c r="F4158" s="373"/>
      <c r="H4158" s="2168"/>
      <c r="I4158" s="70"/>
    </row>
    <row r="4159" spans="3:9" s="46" customFormat="1" x14ac:dyDescent="0.2">
      <c r="C4159" s="144"/>
      <c r="D4159" s="144"/>
      <c r="E4159" s="144"/>
      <c r="F4159" s="373"/>
      <c r="H4159" s="2168"/>
      <c r="I4159" s="70"/>
    </row>
    <row r="4160" spans="3:9" s="46" customFormat="1" x14ac:dyDescent="0.2">
      <c r="C4160" s="144"/>
      <c r="D4160" s="144"/>
      <c r="E4160" s="144"/>
      <c r="F4160" s="373"/>
      <c r="H4160" s="2168"/>
      <c r="I4160" s="70"/>
    </row>
    <row r="4161" spans="3:9" s="46" customFormat="1" x14ac:dyDescent="0.2">
      <c r="C4161" s="144"/>
      <c r="D4161" s="144"/>
      <c r="E4161" s="144"/>
      <c r="F4161" s="373"/>
      <c r="H4161" s="2168"/>
      <c r="I4161" s="70"/>
    </row>
    <row r="4162" spans="3:9" s="46" customFormat="1" x14ac:dyDescent="0.2">
      <c r="C4162" s="144"/>
      <c r="D4162" s="144"/>
      <c r="E4162" s="144"/>
      <c r="F4162" s="373"/>
      <c r="H4162" s="2168"/>
      <c r="I4162" s="70"/>
    </row>
    <row r="4163" spans="3:9" s="46" customFormat="1" x14ac:dyDescent="0.2">
      <c r="C4163" s="144"/>
      <c r="D4163" s="144"/>
      <c r="E4163" s="144"/>
      <c r="F4163" s="373"/>
      <c r="H4163" s="2168"/>
      <c r="I4163" s="70"/>
    </row>
    <row r="4164" spans="3:9" s="46" customFormat="1" x14ac:dyDescent="0.2">
      <c r="C4164" s="144"/>
      <c r="D4164" s="144"/>
      <c r="E4164" s="144"/>
      <c r="F4164" s="373"/>
      <c r="H4164" s="2168"/>
      <c r="I4164" s="70"/>
    </row>
    <row r="4165" spans="3:9" s="46" customFormat="1" x14ac:dyDescent="0.2">
      <c r="C4165" s="144"/>
      <c r="D4165" s="144"/>
      <c r="E4165" s="144"/>
      <c r="F4165" s="373"/>
      <c r="H4165" s="2168"/>
      <c r="I4165" s="70"/>
    </row>
    <row r="4166" spans="3:9" s="46" customFormat="1" x14ac:dyDescent="0.2">
      <c r="C4166" s="144"/>
      <c r="D4166" s="144"/>
      <c r="E4166" s="144"/>
      <c r="F4166" s="373"/>
      <c r="H4166" s="2168"/>
      <c r="I4166" s="70"/>
    </row>
    <row r="4167" spans="3:9" s="46" customFormat="1" x14ac:dyDescent="0.2">
      <c r="C4167" s="144"/>
      <c r="D4167" s="144"/>
      <c r="E4167" s="144"/>
      <c r="F4167" s="373"/>
      <c r="H4167" s="2168"/>
      <c r="I4167" s="70"/>
    </row>
    <row r="4168" spans="3:9" s="46" customFormat="1" x14ac:dyDescent="0.2">
      <c r="C4168" s="144"/>
      <c r="D4168" s="144"/>
      <c r="E4168" s="144"/>
      <c r="F4168" s="373"/>
      <c r="H4168" s="2168"/>
      <c r="I4168" s="70"/>
    </row>
    <row r="4169" spans="3:9" s="46" customFormat="1" x14ac:dyDescent="0.2">
      <c r="C4169" s="144"/>
      <c r="D4169" s="144"/>
      <c r="E4169" s="144"/>
      <c r="F4169" s="373"/>
      <c r="H4169" s="2168"/>
      <c r="I4169" s="70"/>
    </row>
    <row r="4170" spans="3:9" s="46" customFormat="1" x14ac:dyDescent="0.2">
      <c r="C4170" s="144"/>
      <c r="D4170" s="144"/>
      <c r="E4170" s="144"/>
      <c r="F4170" s="373"/>
      <c r="H4170" s="2168"/>
      <c r="I4170" s="70"/>
    </row>
    <row r="4171" spans="3:9" s="46" customFormat="1" x14ac:dyDescent="0.2">
      <c r="C4171" s="144"/>
      <c r="D4171" s="144"/>
      <c r="E4171" s="144"/>
      <c r="F4171" s="373"/>
      <c r="H4171" s="2168"/>
      <c r="I4171" s="70"/>
    </row>
    <row r="4172" spans="3:9" s="46" customFormat="1" x14ac:dyDescent="0.2">
      <c r="C4172" s="144"/>
      <c r="D4172" s="144"/>
      <c r="E4172" s="144"/>
      <c r="F4172" s="373"/>
      <c r="H4172" s="2168"/>
      <c r="I4172" s="70"/>
    </row>
    <row r="4173" spans="3:9" s="46" customFormat="1" x14ac:dyDescent="0.2">
      <c r="C4173" s="144"/>
      <c r="D4173" s="144"/>
      <c r="E4173" s="144"/>
      <c r="F4173" s="373"/>
      <c r="H4173" s="2168"/>
      <c r="I4173" s="70"/>
    </row>
    <row r="4174" spans="3:9" s="46" customFormat="1" x14ac:dyDescent="0.2">
      <c r="C4174" s="144"/>
      <c r="D4174" s="144"/>
      <c r="E4174" s="144"/>
      <c r="F4174" s="373"/>
      <c r="H4174" s="2168"/>
      <c r="I4174" s="70"/>
    </row>
    <row r="4175" spans="3:9" s="46" customFormat="1" x14ac:dyDescent="0.2">
      <c r="C4175" s="144"/>
      <c r="D4175" s="144"/>
      <c r="E4175" s="144"/>
      <c r="F4175" s="373"/>
      <c r="H4175" s="2168"/>
      <c r="I4175" s="70"/>
    </row>
    <row r="4176" spans="3:9" s="46" customFormat="1" x14ac:dyDescent="0.2">
      <c r="C4176" s="144"/>
      <c r="D4176" s="144"/>
      <c r="E4176" s="144"/>
      <c r="F4176" s="373"/>
      <c r="H4176" s="2168"/>
      <c r="I4176" s="70"/>
    </row>
    <row r="4177" spans="3:9" s="46" customFormat="1" x14ac:dyDescent="0.2">
      <c r="C4177" s="144"/>
      <c r="D4177" s="144"/>
      <c r="E4177" s="144"/>
      <c r="F4177" s="373"/>
      <c r="H4177" s="2168"/>
      <c r="I4177" s="70"/>
    </row>
    <row r="4178" spans="3:9" s="46" customFormat="1" x14ac:dyDescent="0.2">
      <c r="C4178" s="144"/>
      <c r="D4178" s="144"/>
      <c r="E4178" s="144"/>
      <c r="F4178" s="373"/>
      <c r="H4178" s="2168"/>
      <c r="I4178" s="70"/>
    </row>
    <row r="4179" spans="3:9" s="46" customFormat="1" x14ac:dyDescent="0.2">
      <c r="C4179" s="144"/>
      <c r="D4179" s="144"/>
      <c r="E4179" s="144"/>
      <c r="F4179" s="373"/>
      <c r="H4179" s="2168"/>
      <c r="I4179" s="70"/>
    </row>
    <row r="4180" spans="3:9" s="46" customFormat="1" x14ac:dyDescent="0.2">
      <c r="C4180" s="144"/>
      <c r="D4180" s="144"/>
      <c r="E4180" s="144"/>
      <c r="F4180" s="373"/>
      <c r="H4180" s="2168"/>
      <c r="I4180" s="70"/>
    </row>
    <row r="4181" spans="3:9" s="46" customFormat="1" x14ac:dyDescent="0.2">
      <c r="C4181" s="144"/>
      <c r="D4181" s="144"/>
      <c r="E4181" s="144"/>
      <c r="F4181" s="373"/>
      <c r="H4181" s="2168"/>
      <c r="I4181" s="70"/>
    </row>
    <row r="4182" spans="3:9" s="46" customFormat="1" x14ac:dyDescent="0.2">
      <c r="C4182" s="144"/>
      <c r="D4182" s="144"/>
      <c r="E4182" s="144"/>
      <c r="F4182" s="373"/>
      <c r="H4182" s="2168"/>
      <c r="I4182" s="70"/>
    </row>
    <row r="4183" spans="3:9" s="46" customFormat="1" x14ac:dyDescent="0.2">
      <c r="C4183" s="144"/>
      <c r="D4183" s="144"/>
      <c r="E4183" s="144"/>
      <c r="F4183" s="373"/>
      <c r="H4183" s="2168"/>
      <c r="I4183" s="70"/>
    </row>
    <row r="4184" spans="3:9" s="46" customFormat="1" x14ac:dyDescent="0.2">
      <c r="C4184" s="144"/>
      <c r="D4184" s="144"/>
      <c r="E4184" s="144"/>
      <c r="F4184" s="373"/>
      <c r="H4184" s="2168"/>
      <c r="I4184" s="70"/>
    </row>
    <row r="4185" spans="3:9" s="46" customFormat="1" x14ac:dyDescent="0.2">
      <c r="C4185" s="144"/>
      <c r="D4185" s="144"/>
      <c r="E4185" s="144"/>
      <c r="F4185" s="373"/>
      <c r="H4185" s="2168"/>
      <c r="I4185" s="70"/>
    </row>
    <row r="4186" spans="3:9" s="46" customFormat="1" x14ac:dyDescent="0.2">
      <c r="C4186" s="144"/>
      <c r="D4186" s="144"/>
      <c r="E4186" s="144"/>
      <c r="F4186" s="373"/>
      <c r="H4186" s="2168"/>
      <c r="I4186" s="70"/>
    </row>
    <row r="4187" spans="3:9" s="46" customFormat="1" x14ac:dyDescent="0.2">
      <c r="C4187" s="144"/>
      <c r="D4187" s="144"/>
      <c r="E4187" s="144"/>
      <c r="F4187" s="373"/>
      <c r="H4187" s="2168"/>
      <c r="I4187" s="70"/>
    </row>
    <row r="4188" spans="3:9" s="46" customFormat="1" x14ac:dyDescent="0.2">
      <c r="C4188" s="144"/>
      <c r="D4188" s="144"/>
      <c r="E4188" s="144"/>
      <c r="F4188" s="373"/>
      <c r="H4188" s="2168"/>
      <c r="I4188" s="70"/>
    </row>
    <row r="4189" spans="3:9" s="46" customFormat="1" x14ac:dyDescent="0.2">
      <c r="C4189" s="144"/>
      <c r="D4189" s="144"/>
      <c r="E4189" s="144"/>
      <c r="F4189" s="373"/>
      <c r="H4189" s="2168"/>
      <c r="I4189" s="70"/>
    </row>
    <row r="4190" spans="3:9" s="46" customFormat="1" x14ac:dyDescent="0.2">
      <c r="C4190" s="144"/>
      <c r="D4190" s="144"/>
      <c r="E4190" s="144"/>
      <c r="F4190" s="373"/>
      <c r="H4190" s="2168"/>
      <c r="I4190" s="70"/>
    </row>
    <row r="4191" spans="3:9" s="46" customFormat="1" x14ac:dyDescent="0.2">
      <c r="C4191" s="144"/>
      <c r="D4191" s="144"/>
      <c r="E4191" s="144"/>
      <c r="F4191" s="373"/>
      <c r="H4191" s="2168"/>
      <c r="I4191" s="70"/>
    </row>
    <row r="4192" spans="3:9" s="46" customFormat="1" x14ac:dyDescent="0.2">
      <c r="C4192" s="144"/>
      <c r="D4192" s="144"/>
      <c r="E4192" s="144"/>
      <c r="F4192" s="373"/>
      <c r="H4192" s="2168"/>
      <c r="I4192" s="70"/>
    </row>
    <row r="4193" spans="3:9" s="46" customFormat="1" x14ac:dyDescent="0.2">
      <c r="C4193" s="144"/>
      <c r="D4193" s="144"/>
      <c r="E4193" s="144"/>
      <c r="F4193" s="373"/>
      <c r="H4193" s="2168"/>
      <c r="I4193" s="70"/>
    </row>
    <row r="4194" spans="3:9" s="46" customFormat="1" x14ac:dyDescent="0.2">
      <c r="C4194" s="144"/>
      <c r="D4194" s="144"/>
      <c r="E4194" s="144"/>
      <c r="F4194" s="373"/>
      <c r="H4194" s="2168"/>
      <c r="I4194" s="70"/>
    </row>
    <row r="4195" spans="3:9" s="46" customFormat="1" x14ac:dyDescent="0.2">
      <c r="C4195" s="144"/>
      <c r="D4195" s="144"/>
      <c r="E4195" s="144"/>
      <c r="F4195" s="373"/>
      <c r="H4195" s="2168"/>
      <c r="I4195" s="70"/>
    </row>
    <row r="4196" spans="3:9" s="46" customFormat="1" x14ac:dyDescent="0.2">
      <c r="C4196" s="144"/>
      <c r="D4196" s="144"/>
      <c r="E4196" s="144"/>
      <c r="F4196" s="373"/>
      <c r="H4196" s="2168"/>
      <c r="I4196" s="70"/>
    </row>
    <row r="4197" spans="3:9" s="46" customFormat="1" x14ac:dyDescent="0.2">
      <c r="C4197" s="144"/>
      <c r="D4197" s="144"/>
      <c r="E4197" s="144"/>
      <c r="F4197" s="373"/>
      <c r="H4197" s="2168"/>
      <c r="I4197" s="70"/>
    </row>
    <row r="4198" spans="3:9" s="46" customFormat="1" x14ac:dyDescent="0.2">
      <c r="C4198" s="144"/>
      <c r="D4198" s="144"/>
      <c r="E4198" s="144"/>
      <c r="F4198" s="373"/>
      <c r="H4198" s="2168"/>
      <c r="I4198" s="70"/>
    </row>
    <row r="4199" spans="3:9" s="46" customFormat="1" x14ac:dyDescent="0.2">
      <c r="C4199" s="144"/>
      <c r="D4199" s="144"/>
      <c r="E4199" s="144"/>
      <c r="F4199" s="373"/>
      <c r="H4199" s="2168"/>
      <c r="I4199" s="70"/>
    </row>
    <row r="4200" spans="3:9" s="46" customFormat="1" x14ac:dyDescent="0.2">
      <c r="C4200" s="144"/>
      <c r="D4200" s="144"/>
      <c r="E4200" s="144"/>
      <c r="F4200" s="373"/>
      <c r="H4200" s="2168"/>
      <c r="I4200" s="70"/>
    </row>
    <row r="4201" spans="3:9" s="46" customFormat="1" x14ac:dyDescent="0.2">
      <c r="C4201" s="144"/>
      <c r="D4201" s="144"/>
      <c r="E4201" s="144"/>
      <c r="F4201" s="373"/>
      <c r="H4201" s="2168"/>
      <c r="I4201" s="70"/>
    </row>
    <row r="4202" spans="3:9" s="46" customFormat="1" x14ac:dyDescent="0.2">
      <c r="C4202" s="144"/>
      <c r="D4202" s="144"/>
      <c r="E4202" s="144"/>
      <c r="F4202" s="373"/>
      <c r="H4202" s="2168"/>
      <c r="I4202" s="70"/>
    </row>
    <row r="4203" spans="3:9" s="46" customFormat="1" x14ac:dyDescent="0.2">
      <c r="C4203" s="144"/>
      <c r="D4203" s="144"/>
      <c r="E4203" s="144"/>
      <c r="F4203" s="373"/>
      <c r="H4203" s="2168"/>
      <c r="I4203" s="70"/>
    </row>
    <row r="4204" spans="3:9" s="46" customFormat="1" x14ac:dyDescent="0.2">
      <c r="C4204" s="144"/>
      <c r="D4204" s="144"/>
      <c r="E4204" s="144"/>
      <c r="F4204" s="373"/>
      <c r="H4204" s="2168"/>
      <c r="I4204" s="70"/>
    </row>
    <row r="4205" spans="3:9" s="46" customFormat="1" x14ac:dyDescent="0.2">
      <c r="C4205" s="144"/>
      <c r="D4205" s="144"/>
      <c r="E4205" s="144"/>
      <c r="F4205" s="373"/>
      <c r="H4205" s="2168"/>
      <c r="I4205" s="70"/>
    </row>
    <row r="4206" spans="3:9" s="46" customFormat="1" x14ac:dyDescent="0.2">
      <c r="C4206" s="144"/>
      <c r="D4206" s="144"/>
      <c r="E4206" s="144"/>
      <c r="F4206" s="373"/>
      <c r="H4206" s="2168"/>
      <c r="I4206" s="70"/>
    </row>
    <row r="4207" spans="3:9" s="46" customFormat="1" x14ac:dyDescent="0.2">
      <c r="C4207" s="144"/>
      <c r="D4207" s="144"/>
      <c r="E4207" s="144"/>
      <c r="F4207" s="373"/>
      <c r="H4207" s="2168"/>
      <c r="I4207" s="70"/>
    </row>
    <row r="4208" spans="3:9" s="46" customFormat="1" x14ac:dyDescent="0.2">
      <c r="C4208" s="144"/>
      <c r="D4208" s="144"/>
      <c r="E4208" s="144"/>
      <c r="F4208" s="373"/>
      <c r="H4208" s="2168"/>
      <c r="I4208" s="70"/>
    </row>
    <row r="4209" spans="3:9" s="46" customFormat="1" x14ac:dyDescent="0.2">
      <c r="C4209" s="144"/>
      <c r="D4209" s="144"/>
      <c r="E4209" s="144"/>
      <c r="F4209" s="373"/>
      <c r="H4209" s="2168"/>
      <c r="I4209" s="70"/>
    </row>
    <row r="4210" spans="3:9" s="46" customFormat="1" x14ac:dyDescent="0.2">
      <c r="C4210" s="144"/>
      <c r="D4210" s="144"/>
      <c r="E4210" s="144"/>
      <c r="F4210" s="373"/>
      <c r="H4210" s="2168"/>
      <c r="I4210" s="70"/>
    </row>
    <row r="4211" spans="3:9" s="46" customFormat="1" x14ac:dyDescent="0.2">
      <c r="C4211" s="144"/>
      <c r="D4211" s="144"/>
      <c r="E4211" s="144"/>
      <c r="F4211" s="373"/>
      <c r="H4211" s="2168"/>
      <c r="I4211" s="70"/>
    </row>
    <row r="4212" spans="3:9" s="46" customFormat="1" x14ac:dyDescent="0.2">
      <c r="C4212" s="144"/>
      <c r="D4212" s="144"/>
      <c r="E4212" s="144"/>
      <c r="F4212" s="373"/>
      <c r="H4212" s="2168"/>
      <c r="I4212" s="70"/>
    </row>
    <row r="4213" spans="3:9" s="46" customFormat="1" x14ac:dyDescent="0.2">
      <c r="C4213" s="144"/>
      <c r="D4213" s="144"/>
      <c r="E4213" s="144"/>
      <c r="F4213" s="373"/>
      <c r="H4213" s="2168"/>
      <c r="I4213" s="70"/>
    </row>
    <row r="4214" spans="3:9" s="46" customFormat="1" x14ac:dyDescent="0.2">
      <c r="C4214" s="144"/>
      <c r="D4214" s="144"/>
      <c r="E4214" s="144"/>
      <c r="F4214" s="373"/>
      <c r="H4214" s="2168"/>
      <c r="I4214" s="70"/>
    </row>
    <row r="4215" spans="3:9" s="46" customFormat="1" x14ac:dyDescent="0.2">
      <c r="C4215" s="144"/>
      <c r="D4215" s="144"/>
      <c r="E4215" s="144"/>
      <c r="F4215" s="373"/>
      <c r="H4215" s="2168"/>
      <c r="I4215" s="70"/>
    </row>
    <row r="4216" spans="3:9" s="46" customFormat="1" x14ac:dyDescent="0.2">
      <c r="C4216" s="144"/>
      <c r="D4216" s="144"/>
      <c r="E4216" s="144"/>
      <c r="F4216" s="373"/>
      <c r="H4216" s="2168"/>
      <c r="I4216" s="70"/>
    </row>
    <row r="4217" spans="3:9" s="46" customFormat="1" x14ac:dyDescent="0.2">
      <c r="C4217" s="144"/>
      <c r="D4217" s="144"/>
      <c r="E4217" s="144"/>
      <c r="F4217" s="373"/>
      <c r="H4217" s="2168"/>
      <c r="I4217" s="70"/>
    </row>
    <row r="4218" spans="3:9" s="46" customFormat="1" x14ac:dyDescent="0.2">
      <c r="C4218" s="144"/>
      <c r="D4218" s="144"/>
      <c r="E4218" s="144"/>
      <c r="F4218" s="373"/>
      <c r="H4218" s="2168"/>
      <c r="I4218" s="70"/>
    </row>
    <row r="4219" spans="3:9" s="46" customFormat="1" x14ac:dyDescent="0.2">
      <c r="C4219" s="144"/>
      <c r="D4219" s="144"/>
      <c r="E4219" s="144"/>
      <c r="F4219" s="373"/>
      <c r="H4219" s="2168"/>
      <c r="I4219" s="70"/>
    </row>
    <row r="4220" spans="3:9" s="46" customFormat="1" x14ac:dyDescent="0.2">
      <c r="C4220" s="144"/>
      <c r="D4220" s="144"/>
      <c r="E4220" s="144"/>
      <c r="F4220" s="373"/>
      <c r="H4220" s="2168"/>
      <c r="I4220" s="70"/>
    </row>
    <row r="4221" spans="3:9" s="46" customFormat="1" x14ac:dyDescent="0.2">
      <c r="C4221" s="144"/>
      <c r="D4221" s="144"/>
      <c r="E4221" s="144"/>
      <c r="F4221" s="373"/>
      <c r="H4221" s="2168"/>
      <c r="I4221" s="70"/>
    </row>
    <row r="4222" spans="3:9" s="46" customFormat="1" x14ac:dyDescent="0.2">
      <c r="C4222" s="144"/>
      <c r="D4222" s="144"/>
      <c r="E4222" s="144"/>
      <c r="F4222" s="373"/>
      <c r="H4222" s="2168"/>
      <c r="I4222" s="70"/>
    </row>
    <row r="4223" spans="3:9" s="46" customFormat="1" x14ac:dyDescent="0.2">
      <c r="C4223" s="144"/>
      <c r="D4223" s="144"/>
      <c r="E4223" s="144"/>
      <c r="F4223" s="373"/>
      <c r="H4223" s="2168"/>
      <c r="I4223" s="70"/>
    </row>
    <row r="4224" spans="3:9" s="46" customFormat="1" x14ac:dyDescent="0.2">
      <c r="C4224" s="144"/>
      <c r="D4224" s="144"/>
      <c r="E4224" s="144"/>
      <c r="F4224" s="373"/>
      <c r="H4224" s="2168"/>
      <c r="I4224" s="70"/>
    </row>
    <row r="4225" spans="3:9" s="46" customFormat="1" x14ac:dyDescent="0.2">
      <c r="C4225" s="144"/>
      <c r="D4225" s="144"/>
      <c r="E4225" s="144"/>
      <c r="F4225" s="373"/>
      <c r="H4225" s="2168"/>
      <c r="I4225" s="70"/>
    </row>
    <row r="4226" spans="3:9" s="46" customFormat="1" x14ac:dyDescent="0.2">
      <c r="C4226" s="144"/>
      <c r="D4226" s="144"/>
      <c r="E4226" s="144"/>
      <c r="F4226" s="373"/>
      <c r="H4226" s="2168"/>
      <c r="I4226" s="70"/>
    </row>
    <row r="4227" spans="3:9" s="46" customFormat="1" x14ac:dyDescent="0.2">
      <c r="C4227" s="144"/>
      <c r="D4227" s="144"/>
      <c r="E4227" s="144"/>
      <c r="F4227" s="373"/>
      <c r="H4227" s="2168"/>
      <c r="I4227" s="70"/>
    </row>
    <row r="4228" spans="3:9" s="46" customFormat="1" x14ac:dyDescent="0.2">
      <c r="C4228" s="144"/>
      <c r="D4228" s="144"/>
      <c r="E4228" s="144"/>
      <c r="F4228" s="373"/>
      <c r="H4228" s="2168"/>
      <c r="I4228" s="70"/>
    </row>
    <row r="4229" spans="3:9" s="46" customFormat="1" x14ac:dyDescent="0.2">
      <c r="C4229" s="144"/>
      <c r="D4229" s="144"/>
      <c r="E4229" s="144"/>
      <c r="F4229" s="373"/>
      <c r="H4229" s="2168"/>
      <c r="I4229" s="70"/>
    </row>
    <row r="4230" spans="3:9" s="46" customFormat="1" x14ac:dyDescent="0.2">
      <c r="C4230" s="144"/>
      <c r="D4230" s="144"/>
      <c r="E4230" s="144"/>
      <c r="F4230" s="373"/>
      <c r="H4230" s="2168"/>
      <c r="I4230" s="70"/>
    </row>
    <row r="4231" spans="3:9" s="46" customFormat="1" x14ac:dyDescent="0.2">
      <c r="C4231" s="144"/>
      <c r="D4231" s="144"/>
      <c r="E4231" s="144"/>
      <c r="F4231" s="373"/>
      <c r="H4231" s="2168"/>
      <c r="I4231" s="70"/>
    </row>
    <row r="4232" spans="3:9" s="46" customFormat="1" x14ac:dyDescent="0.2">
      <c r="C4232" s="144"/>
      <c r="D4232" s="144"/>
      <c r="E4232" s="144"/>
      <c r="F4232" s="373"/>
      <c r="H4232" s="2168"/>
      <c r="I4232" s="70"/>
    </row>
    <row r="4233" spans="3:9" s="46" customFormat="1" x14ac:dyDescent="0.2">
      <c r="C4233" s="144"/>
      <c r="D4233" s="144"/>
      <c r="E4233" s="144"/>
      <c r="F4233" s="373"/>
      <c r="H4233" s="2168"/>
      <c r="I4233" s="70"/>
    </row>
    <row r="4234" spans="3:9" s="46" customFormat="1" x14ac:dyDescent="0.2">
      <c r="C4234" s="144"/>
      <c r="D4234" s="144"/>
      <c r="E4234" s="144"/>
      <c r="F4234" s="373"/>
      <c r="H4234" s="2168"/>
      <c r="I4234" s="70"/>
    </row>
    <row r="4235" spans="3:9" s="46" customFormat="1" x14ac:dyDescent="0.2">
      <c r="C4235" s="144"/>
      <c r="D4235" s="144"/>
      <c r="E4235" s="144"/>
      <c r="F4235" s="373"/>
      <c r="H4235" s="2168"/>
      <c r="I4235" s="70"/>
    </row>
    <row r="4236" spans="3:9" s="46" customFormat="1" x14ac:dyDescent="0.2">
      <c r="C4236" s="144"/>
      <c r="D4236" s="144"/>
      <c r="E4236" s="144"/>
      <c r="F4236" s="373"/>
      <c r="H4236" s="2168"/>
      <c r="I4236" s="70"/>
    </row>
    <row r="4237" spans="3:9" s="46" customFormat="1" x14ac:dyDescent="0.2">
      <c r="C4237" s="144"/>
      <c r="D4237" s="144"/>
      <c r="E4237" s="144"/>
      <c r="F4237" s="373"/>
      <c r="H4237" s="2168"/>
      <c r="I4237" s="70"/>
    </row>
    <row r="4238" spans="3:9" s="46" customFormat="1" x14ac:dyDescent="0.2">
      <c r="C4238" s="144"/>
      <c r="D4238" s="144"/>
      <c r="E4238" s="144"/>
      <c r="F4238" s="373"/>
      <c r="H4238" s="2168"/>
      <c r="I4238" s="70"/>
    </row>
    <row r="4239" spans="3:9" s="46" customFormat="1" x14ac:dyDescent="0.2">
      <c r="C4239" s="144"/>
      <c r="D4239" s="144"/>
      <c r="E4239" s="144"/>
      <c r="F4239" s="373"/>
      <c r="H4239" s="2168"/>
      <c r="I4239" s="70"/>
    </row>
    <row r="4240" spans="3:9" s="46" customFormat="1" x14ac:dyDescent="0.2">
      <c r="C4240" s="144"/>
      <c r="D4240" s="144"/>
      <c r="E4240" s="144"/>
      <c r="F4240" s="373"/>
      <c r="H4240" s="2168"/>
      <c r="I4240" s="70"/>
    </row>
    <row r="4241" spans="3:9" s="46" customFormat="1" x14ac:dyDescent="0.2">
      <c r="C4241" s="144"/>
      <c r="D4241" s="144"/>
      <c r="E4241" s="144"/>
      <c r="F4241" s="373"/>
      <c r="H4241" s="2168"/>
      <c r="I4241" s="70"/>
    </row>
    <row r="4242" spans="3:9" s="46" customFormat="1" x14ac:dyDescent="0.2">
      <c r="C4242" s="144"/>
      <c r="D4242" s="144"/>
      <c r="E4242" s="144"/>
      <c r="F4242" s="373"/>
      <c r="H4242" s="2168"/>
      <c r="I4242" s="70"/>
    </row>
    <row r="4243" spans="3:9" s="46" customFormat="1" x14ac:dyDescent="0.2">
      <c r="C4243" s="144"/>
      <c r="D4243" s="144"/>
      <c r="E4243" s="144"/>
      <c r="F4243" s="373"/>
      <c r="H4243" s="2168"/>
      <c r="I4243" s="70"/>
    </row>
    <row r="4244" spans="3:9" s="46" customFormat="1" x14ac:dyDescent="0.2">
      <c r="C4244" s="144"/>
      <c r="D4244" s="144"/>
      <c r="E4244" s="144"/>
      <c r="F4244" s="373"/>
      <c r="H4244" s="2168"/>
      <c r="I4244" s="70"/>
    </row>
    <row r="4245" spans="3:9" s="46" customFormat="1" x14ac:dyDescent="0.2">
      <c r="C4245" s="144"/>
      <c r="D4245" s="144"/>
      <c r="E4245" s="144"/>
      <c r="F4245" s="373"/>
      <c r="H4245" s="2168"/>
      <c r="I4245" s="70"/>
    </row>
    <row r="4246" spans="3:9" s="46" customFormat="1" x14ac:dyDescent="0.2">
      <c r="C4246" s="144"/>
      <c r="D4246" s="144"/>
      <c r="E4246" s="144"/>
      <c r="F4246" s="373"/>
      <c r="H4246" s="2168"/>
      <c r="I4246" s="70"/>
    </row>
    <row r="4247" spans="3:9" s="46" customFormat="1" x14ac:dyDescent="0.2">
      <c r="C4247" s="144"/>
      <c r="D4247" s="144"/>
      <c r="E4247" s="144"/>
      <c r="F4247" s="373"/>
      <c r="H4247" s="2168"/>
      <c r="I4247" s="70"/>
    </row>
    <row r="4248" spans="3:9" s="46" customFormat="1" x14ac:dyDescent="0.2">
      <c r="C4248" s="144"/>
      <c r="D4248" s="144"/>
      <c r="E4248" s="144"/>
      <c r="F4248" s="373"/>
      <c r="H4248" s="2168"/>
      <c r="I4248" s="70"/>
    </row>
    <row r="4249" spans="3:9" s="46" customFormat="1" x14ac:dyDescent="0.2">
      <c r="C4249" s="144"/>
      <c r="D4249" s="144"/>
      <c r="E4249" s="144"/>
      <c r="F4249" s="373"/>
      <c r="H4249" s="2168"/>
      <c r="I4249" s="70"/>
    </row>
    <row r="4250" spans="3:9" s="46" customFormat="1" x14ac:dyDescent="0.2">
      <c r="C4250" s="144"/>
      <c r="D4250" s="144"/>
      <c r="E4250" s="144"/>
      <c r="F4250" s="373"/>
      <c r="H4250" s="2168"/>
      <c r="I4250" s="70"/>
    </row>
    <row r="4251" spans="3:9" s="46" customFormat="1" x14ac:dyDescent="0.2">
      <c r="C4251" s="144"/>
      <c r="D4251" s="144"/>
      <c r="E4251" s="144"/>
      <c r="F4251" s="373"/>
      <c r="H4251" s="2168"/>
      <c r="I4251" s="70"/>
    </row>
    <row r="4252" spans="3:9" s="46" customFormat="1" x14ac:dyDescent="0.2">
      <c r="C4252" s="144"/>
      <c r="D4252" s="144"/>
      <c r="E4252" s="144"/>
      <c r="F4252" s="373"/>
      <c r="H4252" s="2168"/>
      <c r="I4252" s="70"/>
    </row>
    <row r="4253" spans="3:9" s="46" customFormat="1" x14ac:dyDescent="0.2">
      <c r="C4253" s="144"/>
      <c r="D4253" s="144"/>
      <c r="E4253" s="144"/>
      <c r="F4253" s="373"/>
      <c r="H4253" s="2168"/>
      <c r="I4253" s="70"/>
    </row>
    <row r="4254" spans="3:9" s="46" customFormat="1" x14ac:dyDescent="0.2">
      <c r="C4254" s="144"/>
      <c r="D4254" s="144"/>
      <c r="E4254" s="144"/>
      <c r="F4254" s="373"/>
      <c r="H4254" s="2168"/>
      <c r="I4254" s="70"/>
    </row>
    <row r="4255" spans="3:9" s="46" customFormat="1" x14ac:dyDescent="0.2">
      <c r="C4255" s="144"/>
      <c r="D4255" s="144"/>
      <c r="E4255" s="144"/>
      <c r="F4255" s="373"/>
      <c r="H4255" s="2168"/>
      <c r="I4255" s="70"/>
    </row>
    <row r="4256" spans="3:9" s="46" customFormat="1" x14ac:dyDescent="0.2">
      <c r="C4256" s="144"/>
      <c r="D4256" s="144"/>
      <c r="E4256" s="144"/>
      <c r="F4256" s="373"/>
      <c r="H4256" s="2168"/>
      <c r="I4256" s="70"/>
    </row>
    <row r="4257" spans="3:9" s="46" customFormat="1" x14ac:dyDescent="0.2">
      <c r="C4257" s="144"/>
      <c r="D4257" s="144"/>
      <c r="E4257" s="144"/>
      <c r="F4257" s="373"/>
      <c r="H4257" s="2168"/>
      <c r="I4257" s="70"/>
    </row>
    <row r="4258" spans="3:9" s="46" customFormat="1" x14ac:dyDescent="0.2">
      <c r="C4258" s="144"/>
      <c r="D4258" s="144"/>
      <c r="E4258" s="144"/>
      <c r="F4258" s="373"/>
      <c r="H4258" s="2168"/>
      <c r="I4258" s="70"/>
    </row>
    <row r="4259" spans="3:9" s="46" customFormat="1" x14ac:dyDescent="0.2">
      <c r="C4259" s="144"/>
      <c r="D4259" s="144"/>
      <c r="E4259" s="144"/>
      <c r="F4259" s="373"/>
      <c r="H4259" s="2168"/>
      <c r="I4259" s="70"/>
    </row>
    <row r="4260" spans="3:9" s="46" customFormat="1" x14ac:dyDescent="0.2">
      <c r="C4260" s="144"/>
      <c r="D4260" s="144"/>
      <c r="E4260" s="144"/>
      <c r="F4260" s="373"/>
      <c r="H4260" s="2168"/>
      <c r="I4260" s="70"/>
    </row>
    <row r="4261" spans="3:9" s="46" customFormat="1" x14ac:dyDescent="0.2">
      <c r="C4261" s="144"/>
      <c r="D4261" s="144"/>
      <c r="E4261" s="144"/>
      <c r="F4261" s="373"/>
      <c r="H4261" s="2168"/>
      <c r="I4261" s="70"/>
    </row>
    <row r="4262" spans="3:9" s="46" customFormat="1" x14ac:dyDescent="0.2">
      <c r="C4262" s="144"/>
      <c r="D4262" s="144"/>
      <c r="E4262" s="144"/>
      <c r="F4262" s="373"/>
      <c r="H4262" s="2168"/>
      <c r="I4262" s="70"/>
    </row>
    <row r="4263" spans="3:9" s="46" customFormat="1" x14ac:dyDescent="0.2">
      <c r="C4263" s="144"/>
      <c r="D4263" s="144"/>
      <c r="E4263" s="144"/>
      <c r="F4263" s="373"/>
      <c r="H4263" s="2168"/>
      <c r="I4263" s="70"/>
    </row>
    <row r="4264" spans="3:9" s="46" customFormat="1" x14ac:dyDescent="0.2">
      <c r="C4264" s="144"/>
      <c r="D4264" s="144"/>
      <c r="E4264" s="144"/>
      <c r="F4264" s="373"/>
      <c r="H4264" s="2168"/>
      <c r="I4264" s="70"/>
    </row>
    <row r="4265" spans="3:9" s="46" customFormat="1" x14ac:dyDescent="0.2">
      <c r="C4265" s="144"/>
      <c r="D4265" s="144"/>
      <c r="E4265" s="144"/>
      <c r="F4265" s="373"/>
      <c r="H4265" s="2168"/>
      <c r="I4265" s="70"/>
    </row>
    <row r="4266" spans="3:9" s="46" customFormat="1" x14ac:dyDescent="0.2">
      <c r="C4266" s="144"/>
      <c r="D4266" s="144"/>
      <c r="E4266" s="144"/>
      <c r="F4266" s="373"/>
      <c r="H4266" s="2168"/>
      <c r="I4266" s="70"/>
    </row>
    <row r="4267" spans="3:9" s="46" customFormat="1" x14ac:dyDescent="0.2">
      <c r="C4267" s="144"/>
      <c r="D4267" s="144"/>
      <c r="E4267" s="144"/>
      <c r="F4267" s="373"/>
      <c r="H4267" s="2168"/>
      <c r="I4267" s="70"/>
    </row>
    <row r="4268" spans="3:9" s="46" customFormat="1" x14ac:dyDescent="0.2">
      <c r="C4268" s="144"/>
      <c r="D4268" s="144"/>
      <c r="E4268" s="144"/>
      <c r="F4268" s="373"/>
      <c r="H4268" s="2168"/>
      <c r="I4268" s="70"/>
    </row>
    <row r="4269" spans="3:9" s="46" customFormat="1" x14ac:dyDescent="0.2">
      <c r="C4269" s="144"/>
      <c r="D4269" s="144"/>
      <c r="E4269" s="144"/>
      <c r="F4269" s="373"/>
      <c r="H4269" s="2168"/>
      <c r="I4269" s="70"/>
    </row>
    <row r="4270" spans="3:9" s="46" customFormat="1" x14ac:dyDescent="0.2">
      <c r="C4270" s="144"/>
      <c r="D4270" s="144"/>
      <c r="E4270" s="144"/>
      <c r="F4270" s="373"/>
      <c r="H4270" s="2168"/>
      <c r="I4270" s="70"/>
    </row>
    <row r="4271" spans="3:9" s="46" customFormat="1" x14ac:dyDescent="0.2">
      <c r="C4271" s="144"/>
      <c r="D4271" s="144"/>
      <c r="E4271" s="144"/>
      <c r="F4271" s="373"/>
      <c r="H4271" s="2168"/>
      <c r="I4271" s="70"/>
    </row>
    <row r="4272" spans="3:9" s="46" customFormat="1" x14ac:dyDescent="0.2">
      <c r="C4272" s="144"/>
      <c r="D4272" s="144"/>
      <c r="E4272" s="144"/>
      <c r="F4272" s="373"/>
      <c r="H4272" s="2168"/>
      <c r="I4272" s="70"/>
    </row>
    <row r="4273" spans="3:9" s="46" customFormat="1" x14ac:dyDescent="0.2">
      <c r="C4273" s="144"/>
      <c r="D4273" s="144"/>
      <c r="E4273" s="144"/>
      <c r="F4273" s="373"/>
      <c r="H4273" s="2168"/>
      <c r="I4273" s="70"/>
    </row>
    <row r="4274" spans="3:9" s="46" customFormat="1" x14ac:dyDescent="0.2">
      <c r="C4274" s="144"/>
      <c r="D4274" s="144"/>
      <c r="E4274" s="144"/>
      <c r="F4274" s="373"/>
      <c r="H4274" s="2168"/>
      <c r="I4274" s="70"/>
    </row>
    <row r="4275" spans="3:9" s="46" customFormat="1" x14ac:dyDescent="0.2">
      <c r="C4275" s="144"/>
      <c r="D4275" s="144"/>
      <c r="E4275" s="144"/>
      <c r="F4275" s="373"/>
      <c r="H4275" s="2168"/>
      <c r="I4275" s="70"/>
    </row>
    <row r="4276" spans="3:9" s="46" customFormat="1" x14ac:dyDescent="0.2">
      <c r="C4276" s="144"/>
      <c r="D4276" s="144"/>
      <c r="E4276" s="144"/>
      <c r="F4276" s="373"/>
      <c r="H4276" s="2168"/>
      <c r="I4276" s="70"/>
    </row>
    <row r="4277" spans="3:9" s="46" customFormat="1" x14ac:dyDescent="0.2">
      <c r="C4277" s="144"/>
      <c r="D4277" s="144"/>
      <c r="E4277" s="144"/>
      <c r="F4277" s="373"/>
      <c r="H4277" s="2168"/>
      <c r="I4277" s="70"/>
    </row>
    <row r="4278" spans="3:9" s="46" customFormat="1" x14ac:dyDescent="0.2">
      <c r="C4278" s="144"/>
      <c r="D4278" s="144"/>
      <c r="E4278" s="144"/>
      <c r="F4278" s="373"/>
      <c r="H4278" s="2168"/>
      <c r="I4278" s="70"/>
    </row>
    <row r="4279" spans="3:9" s="46" customFormat="1" x14ac:dyDescent="0.2">
      <c r="C4279" s="144"/>
      <c r="D4279" s="144"/>
      <c r="E4279" s="144"/>
      <c r="F4279" s="373"/>
      <c r="H4279" s="2168"/>
      <c r="I4279" s="70"/>
    </row>
    <row r="4280" spans="3:9" s="46" customFormat="1" x14ac:dyDescent="0.2">
      <c r="C4280" s="144"/>
      <c r="D4280" s="144"/>
      <c r="E4280" s="144"/>
      <c r="F4280" s="373"/>
      <c r="H4280" s="2168"/>
      <c r="I4280" s="70"/>
    </row>
    <row r="4281" spans="3:9" s="46" customFormat="1" x14ac:dyDescent="0.2">
      <c r="C4281" s="144"/>
      <c r="D4281" s="144"/>
      <c r="E4281" s="144"/>
      <c r="F4281" s="373"/>
      <c r="H4281" s="2168"/>
      <c r="I4281" s="70"/>
    </row>
    <row r="4282" spans="3:9" s="46" customFormat="1" x14ac:dyDescent="0.2">
      <c r="C4282" s="144"/>
      <c r="D4282" s="144"/>
      <c r="E4282" s="144"/>
      <c r="F4282" s="373"/>
      <c r="H4282" s="2168"/>
      <c r="I4282" s="70"/>
    </row>
    <row r="4283" spans="3:9" s="46" customFormat="1" x14ac:dyDescent="0.2">
      <c r="C4283" s="144"/>
      <c r="D4283" s="144"/>
      <c r="E4283" s="144"/>
      <c r="F4283" s="373"/>
      <c r="H4283" s="2168"/>
      <c r="I4283" s="70"/>
    </row>
    <row r="4284" spans="3:9" s="46" customFormat="1" x14ac:dyDescent="0.2">
      <c r="C4284" s="144"/>
      <c r="D4284" s="144"/>
      <c r="E4284" s="144"/>
      <c r="F4284" s="373"/>
      <c r="H4284" s="2168"/>
      <c r="I4284" s="70"/>
    </row>
    <row r="4285" spans="3:9" s="46" customFormat="1" x14ac:dyDescent="0.2">
      <c r="C4285" s="144"/>
      <c r="D4285" s="144"/>
      <c r="E4285" s="144"/>
      <c r="F4285" s="373"/>
      <c r="H4285" s="2168"/>
      <c r="I4285" s="70"/>
    </row>
    <row r="4286" spans="3:9" s="46" customFormat="1" x14ac:dyDescent="0.2">
      <c r="C4286" s="144"/>
      <c r="D4286" s="144"/>
      <c r="E4286" s="144"/>
      <c r="F4286" s="373"/>
      <c r="H4286" s="2168"/>
      <c r="I4286" s="70"/>
    </row>
    <row r="4287" spans="3:9" s="46" customFormat="1" x14ac:dyDescent="0.2">
      <c r="C4287" s="144"/>
      <c r="D4287" s="144"/>
      <c r="E4287" s="144"/>
      <c r="F4287" s="373"/>
      <c r="H4287" s="2168"/>
      <c r="I4287" s="70"/>
    </row>
    <row r="4288" spans="3:9" s="46" customFormat="1" x14ac:dyDescent="0.2">
      <c r="C4288" s="144"/>
      <c r="D4288" s="144"/>
      <c r="E4288" s="144"/>
      <c r="F4288" s="373"/>
      <c r="H4288" s="2168"/>
      <c r="I4288" s="70"/>
    </row>
    <row r="4289" spans="3:9" s="46" customFormat="1" x14ac:dyDescent="0.2">
      <c r="C4289" s="144"/>
      <c r="D4289" s="144"/>
      <c r="E4289" s="144"/>
      <c r="F4289" s="373"/>
      <c r="H4289" s="2168"/>
      <c r="I4289" s="70"/>
    </row>
    <row r="4290" spans="3:9" s="46" customFormat="1" x14ac:dyDescent="0.2">
      <c r="C4290" s="144"/>
      <c r="D4290" s="144"/>
      <c r="E4290" s="144"/>
      <c r="F4290" s="373"/>
      <c r="H4290" s="2168"/>
      <c r="I4290" s="70"/>
    </row>
    <row r="4291" spans="3:9" s="46" customFormat="1" x14ac:dyDescent="0.2">
      <c r="C4291" s="144"/>
      <c r="D4291" s="144"/>
      <c r="E4291" s="144"/>
      <c r="F4291" s="373"/>
      <c r="H4291" s="2168"/>
      <c r="I4291" s="70"/>
    </row>
    <row r="4292" spans="3:9" s="46" customFormat="1" x14ac:dyDescent="0.2">
      <c r="C4292" s="144"/>
      <c r="D4292" s="144"/>
      <c r="E4292" s="144"/>
      <c r="F4292" s="373"/>
      <c r="H4292" s="2168"/>
      <c r="I4292" s="70"/>
    </row>
    <row r="4293" spans="3:9" s="46" customFormat="1" x14ac:dyDescent="0.2">
      <c r="C4293" s="144"/>
      <c r="D4293" s="144"/>
      <c r="E4293" s="144"/>
      <c r="F4293" s="373"/>
      <c r="H4293" s="2168"/>
      <c r="I4293" s="70"/>
    </row>
    <row r="4294" spans="3:9" s="46" customFormat="1" x14ac:dyDescent="0.2">
      <c r="C4294" s="144"/>
      <c r="D4294" s="144"/>
      <c r="E4294" s="144"/>
      <c r="F4294" s="373"/>
      <c r="H4294" s="2168"/>
      <c r="I4294" s="70"/>
    </row>
    <row r="4295" spans="3:9" s="46" customFormat="1" x14ac:dyDescent="0.2">
      <c r="C4295" s="144"/>
      <c r="D4295" s="144"/>
      <c r="E4295" s="144"/>
      <c r="F4295" s="373"/>
      <c r="H4295" s="2168"/>
      <c r="I4295" s="70"/>
    </row>
    <row r="4296" spans="3:9" s="46" customFormat="1" x14ac:dyDescent="0.2">
      <c r="C4296" s="144"/>
      <c r="D4296" s="144"/>
      <c r="E4296" s="144"/>
      <c r="F4296" s="373"/>
      <c r="H4296" s="2168"/>
      <c r="I4296" s="70"/>
    </row>
    <row r="4297" spans="3:9" s="46" customFormat="1" x14ac:dyDescent="0.2">
      <c r="C4297" s="144"/>
      <c r="D4297" s="144"/>
      <c r="E4297" s="144"/>
      <c r="F4297" s="373"/>
      <c r="H4297" s="2168"/>
      <c r="I4297" s="70"/>
    </row>
    <row r="4298" spans="3:9" s="46" customFormat="1" x14ac:dyDescent="0.2">
      <c r="C4298" s="144"/>
      <c r="D4298" s="144"/>
      <c r="E4298" s="144"/>
      <c r="F4298" s="373"/>
      <c r="H4298" s="2168"/>
      <c r="I4298" s="70"/>
    </row>
    <row r="4299" spans="3:9" s="46" customFormat="1" x14ac:dyDescent="0.2">
      <c r="C4299" s="144"/>
      <c r="D4299" s="144"/>
      <c r="E4299" s="144"/>
      <c r="F4299" s="373"/>
      <c r="H4299" s="2168"/>
      <c r="I4299" s="70"/>
    </row>
    <row r="4300" spans="3:9" s="46" customFormat="1" x14ac:dyDescent="0.2">
      <c r="C4300" s="144"/>
      <c r="D4300" s="144"/>
      <c r="E4300" s="144"/>
      <c r="F4300" s="373"/>
      <c r="H4300" s="2168"/>
      <c r="I4300" s="70"/>
    </row>
    <row r="4301" spans="3:9" s="46" customFormat="1" x14ac:dyDescent="0.2">
      <c r="C4301" s="144"/>
      <c r="D4301" s="144"/>
      <c r="E4301" s="144"/>
      <c r="F4301" s="373"/>
      <c r="H4301" s="2168"/>
      <c r="I4301" s="70"/>
    </row>
    <row r="4302" spans="3:9" s="46" customFormat="1" x14ac:dyDescent="0.2">
      <c r="C4302" s="144"/>
      <c r="D4302" s="144"/>
      <c r="E4302" s="144"/>
      <c r="F4302" s="373"/>
      <c r="H4302" s="2168"/>
      <c r="I4302" s="70"/>
    </row>
    <row r="4303" spans="3:9" s="46" customFormat="1" x14ac:dyDescent="0.2">
      <c r="C4303" s="144"/>
      <c r="D4303" s="144"/>
      <c r="E4303" s="144"/>
      <c r="F4303" s="373"/>
      <c r="H4303" s="2168"/>
      <c r="I4303" s="70"/>
    </row>
    <row r="4304" spans="3:9" s="46" customFormat="1" x14ac:dyDescent="0.2">
      <c r="C4304" s="144"/>
      <c r="D4304" s="144"/>
      <c r="E4304" s="144"/>
      <c r="F4304" s="373"/>
      <c r="H4304" s="2168"/>
      <c r="I4304" s="70"/>
    </row>
    <row r="4305" spans="3:9" s="46" customFormat="1" x14ac:dyDescent="0.2">
      <c r="C4305" s="144"/>
      <c r="D4305" s="144"/>
      <c r="E4305" s="144"/>
      <c r="F4305" s="373"/>
      <c r="H4305" s="2168"/>
      <c r="I4305" s="70"/>
    </row>
    <row r="4306" spans="3:9" s="46" customFormat="1" x14ac:dyDescent="0.2">
      <c r="C4306" s="144"/>
      <c r="D4306" s="144"/>
      <c r="E4306" s="144"/>
      <c r="F4306" s="373"/>
      <c r="H4306" s="2168"/>
      <c r="I4306" s="70"/>
    </row>
    <row r="4307" spans="3:9" s="46" customFormat="1" x14ac:dyDescent="0.2">
      <c r="C4307" s="144"/>
      <c r="D4307" s="144"/>
      <c r="E4307" s="144"/>
      <c r="F4307" s="373"/>
      <c r="H4307" s="2168"/>
      <c r="I4307" s="70"/>
    </row>
    <row r="4308" spans="3:9" s="46" customFormat="1" x14ac:dyDescent="0.2">
      <c r="C4308" s="144"/>
      <c r="D4308" s="144"/>
      <c r="E4308" s="144"/>
      <c r="F4308" s="373"/>
      <c r="H4308" s="2168"/>
      <c r="I4308" s="70"/>
    </row>
    <row r="4309" spans="3:9" s="46" customFormat="1" x14ac:dyDescent="0.2">
      <c r="C4309" s="144"/>
      <c r="D4309" s="144"/>
      <c r="E4309" s="144"/>
      <c r="F4309" s="373"/>
      <c r="H4309" s="2168"/>
      <c r="I4309" s="70"/>
    </row>
    <row r="4310" spans="3:9" s="46" customFormat="1" x14ac:dyDescent="0.2">
      <c r="C4310" s="144"/>
      <c r="D4310" s="144"/>
      <c r="E4310" s="144"/>
      <c r="F4310" s="373"/>
      <c r="H4310" s="2168"/>
      <c r="I4310" s="70"/>
    </row>
    <row r="4311" spans="3:9" s="46" customFormat="1" x14ac:dyDescent="0.2">
      <c r="C4311" s="144"/>
      <c r="D4311" s="144"/>
      <c r="E4311" s="144"/>
      <c r="F4311" s="373"/>
      <c r="H4311" s="2168"/>
      <c r="I4311" s="70"/>
    </row>
    <row r="4312" spans="3:9" s="46" customFormat="1" x14ac:dyDescent="0.2">
      <c r="C4312" s="144"/>
      <c r="D4312" s="144"/>
      <c r="E4312" s="144"/>
      <c r="F4312" s="373"/>
      <c r="H4312" s="2168"/>
      <c r="I4312" s="70"/>
    </row>
    <row r="4313" spans="3:9" s="46" customFormat="1" x14ac:dyDescent="0.2">
      <c r="C4313" s="144"/>
      <c r="D4313" s="144"/>
      <c r="E4313" s="144"/>
      <c r="F4313" s="373"/>
      <c r="H4313" s="2168"/>
      <c r="I4313" s="70"/>
    </row>
    <row r="4314" spans="3:9" s="46" customFormat="1" x14ac:dyDescent="0.2">
      <c r="C4314" s="144"/>
      <c r="D4314" s="144"/>
      <c r="E4314" s="144"/>
      <c r="F4314" s="373"/>
      <c r="H4314" s="2168"/>
      <c r="I4314" s="70"/>
    </row>
    <row r="4315" spans="3:9" s="46" customFormat="1" x14ac:dyDescent="0.2">
      <c r="C4315" s="144"/>
      <c r="D4315" s="144"/>
      <c r="E4315" s="144"/>
      <c r="F4315" s="373"/>
      <c r="H4315" s="2168"/>
      <c r="I4315" s="70"/>
    </row>
    <row r="4316" spans="3:9" s="46" customFormat="1" x14ac:dyDescent="0.2">
      <c r="C4316" s="144"/>
      <c r="D4316" s="144"/>
      <c r="E4316" s="144"/>
      <c r="F4316" s="373"/>
      <c r="H4316" s="2168"/>
      <c r="I4316" s="70"/>
    </row>
    <row r="4317" spans="3:9" s="46" customFormat="1" x14ac:dyDescent="0.2">
      <c r="C4317" s="144"/>
      <c r="D4317" s="144"/>
      <c r="E4317" s="144"/>
      <c r="F4317" s="373"/>
      <c r="H4317" s="2168"/>
      <c r="I4317" s="70"/>
    </row>
    <row r="4318" spans="3:9" s="46" customFormat="1" x14ac:dyDescent="0.2">
      <c r="C4318" s="144"/>
      <c r="D4318" s="144"/>
      <c r="E4318" s="144"/>
      <c r="F4318" s="373"/>
      <c r="H4318" s="2168"/>
      <c r="I4318" s="70"/>
    </row>
    <row r="4319" spans="3:9" s="46" customFormat="1" x14ac:dyDescent="0.2">
      <c r="C4319" s="144"/>
      <c r="D4319" s="144"/>
      <c r="E4319" s="144"/>
      <c r="F4319" s="373"/>
      <c r="H4319" s="2168"/>
      <c r="I4319" s="70"/>
    </row>
    <row r="4320" spans="3:9" s="46" customFormat="1" x14ac:dyDescent="0.2">
      <c r="C4320" s="144"/>
      <c r="D4320" s="144"/>
      <c r="E4320" s="144"/>
      <c r="F4320" s="373"/>
      <c r="H4320" s="2168"/>
      <c r="I4320" s="70"/>
    </row>
    <row r="4321" spans="3:9" s="46" customFormat="1" x14ac:dyDescent="0.2">
      <c r="C4321" s="144"/>
      <c r="D4321" s="144"/>
      <c r="E4321" s="144"/>
      <c r="F4321" s="373"/>
      <c r="H4321" s="2168"/>
      <c r="I4321" s="70"/>
    </row>
    <row r="4322" spans="3:9" s="46" customFormat="1" x14ac:dyDescent="0.2">
      <c r="C4322" s="144"/>
      <c r="D4322" s="144"/>
      <c r="E4322" s="144"/>
      <c r="F4322" s="373"/>
      <c r="H4322" s="2168"/>
      <c r="I4322" s="70"/>
    </row>
    <row r="4323" spans="3:9" s="46" customFormat="1" x14ac:dyDescent="0.2">
      <c r="C4323" s="144"/>
      <c r="D4323" s="144"/>
      <c r="E4323" s="144"/>
      <c r="F4323" s="373"/>
      <c r="H4323" s="2168"/>
      <c r="I4323" s="70"/>
    </row>
    <row r="4324" spans="3:9" s="46" customFormat="1" x14ac:dyDescent="0.2">
      <c r="C4324" s="144"/>
      <c r="D4324" s="144"/>
      <c r="E4324" s="144"/>
      <c r="F4324" s="373"/>
      <c r="H4324" s="2168"/>
      <c r="I4324" s="70"/>
    </row>
    <row r="4325" spans="3:9" s="46" customFormat="1" x14ac:dyDescent="0.2">
      <c r="C4325" s="144"/>
      <c r="D4325" s="144"/>
      <c r="E4325" s="144"/>
      <c r="F4325" s="373"/>
      <c r="H4325" s="2168"/>
      <c r="I4325" s="70"/>
    </row>
    <row r="4326" spans="3:9" s="46" customFormat="1" x14ac:dyDescent="0.2">
      <c r="C4326" s="144"/>
      <c r="D4326" s="144"/>
      <c r="E4326" s="144"/>
      <c r="F4326" s="373"/>
      <c r="H4326" s="2168"/>
      <c r="I4326" s="70"/>
    </row>
    <row r="4327" spans="3:9" s="46" customFormat="1" x14ac:dyDescent="0.2">
      <c r="C4327" s="144"/>
      <c r="D4327" s="144"/>
      <c r="E4327" s="144"/>
      <c r="F4327" s="373"/>
      <c r="H4327" s="2168"/>
      <c r="I4327" s="70"/>
    </row>
    <row r="4328" spans="3:9" s="46" customFormat="1" x14ac:dyDescent="0.2">
      <c r="C4328" s="144"/>
      <c r="D4328" s="144"/>
      <c r="E4328" s="144"/>
      <c r="F4328" s="373"/>
      <c r="H4328" s="2168"/>
      <c r="I4328" s="70"/>
    </row>
    <row r="4329" spans="3:9" s="46" customFormat="1" x14ac:dyDescent="0.2">
      <c r="C4329" s="144"/>
      <c r="D4329" s="144"/>
      <c r="E4329" s="144"/>
      <c r="F4329" s="373"/>
      <c r="H4329" s="2168"/>
      <c r="I4329" s="70"/>
    </row>
    <row r="4330" spans="3:9" s="46" customFormat="1" x14ac:dyDescent="0.2">
      <c r="C4330" s="144"/>
      <c r="D4330" s="144"/>
      <c r="E4330" s="144"/>
      <c r="F4330" s="373"/>
      <c r="H4330" s="2168"/>
      <c r="I4330" s="70"/>
    </row>
    <row r="4331" spans="3:9" s="46" customFormat="1" x14ac:dyDescent="0.2">
      <c r="C4331" s="144"/>
      <c r="D4331" s="144"/>
      <c r="E4331" s="144"/>
      <c r="F4331" s="373"/>
      <c r="H4331" s="2168"/>
      <c r="I4331" s="70"/>
    </row>
    <row r="4332" spans="3:9" s="46" customFormat="1" x14ac:dyDescent="0.2">
      <c r="C4332" s="144"/>
      <c r="D4332" s="144"/>
      <c r="E4332" s="144"/>
      <c r="F4332" s="373"/>
      <c r="H4332" s="2168"/>
      <c r="I4332" s="70"/>
    </row>
    <row r="4333" spans="3:9" s="46" customFormat="1" x14ac:dyDescent="0.2">
      <c r="C4333" s="144"/>
      <c r="D4333" s="144"/>
      <c r="E4333" s="144"/>
      <c r="F4333" s="373"/>
      <c r="H4333" s="2168"/>
      <c r="I4333" s="70"/>
    </row>
    <row r="4334" spans="3:9" s="46" customFormat="1" x14ac:dyDescent="0.2">
      <c r="C4334" s="144"/>
      <c r="D4334" s="144"/>
      <c r="E4334" s="144"/>
      <c r="F4334" s="373"/>
      <c r="H4334" s="2168"/>
      <c r="I4334" s="70"/>
    </row>
    <row r="4335" spans="3:9" s="46" customFormat="1" x14ac:dyDescent="0.2">
      <c r="C4335" s="144"/>
      <c r="D4335" s="144"/>
      <c r="E4335" s="144"/>
      <c r="F4335" s="373"/>
      <c r="H4335" s="2168"/>
      <c r="I4335" s="70"/>
    </row>
    <row r="4336" spans="3:9" s="46" customFormat="1" x14ac:dyDescent="0.2">
      <c r="C4336" s="144"/>
      <c r="D4336" s="144"/>
      <c r="E4336" s="144"/>
      <c r="F4336" s="373"/>
      <c r="H4336" s="2168"/>
      <c r="I4336" s="70"/>
    </row>
    <row r="4337" spans="3:9" s="46" customFormat="1" x14ac:dyDescent="0.2">
      <c r="C4337" s="144"/>
      <c r="D4337" s="144"/>
      <c r="E4337" s="144"/>
      <c r="F4337" s="373"/>
      <c r="H4337" s="2168"/>
      <c r="I4337" s="70"/>
    </row>
    <row r="4338" spans="3:9" s="46" customFormat="1" x14ac:dyDescent="0.2">
      <c r="C4338" s="144"/>
      <c r="D4338" s="144"/>
      <c r="E4338" s="144"/>
      <c r="F4338" s="373"/>
      <c r="H4338" s="2168"/>
      <c r="I4338" s="70"/>
    </row>
    <row r="4339" spans="3:9" s="46" customFormat="1" x14ac:dyDescent="0.2">
      <c r="C4339" s="144"/>
      <c r="D4339" s="144"/>
      <c r="E4339" s="144"/>
      <c r="F4339" s="373"/>
      <c r="H4339" s="2168"/>
      <c r="I4339" s="70"/>
    </row>
    <row r="4340" spans="3:9" s="46" customFormat="1" x14ac:dyDescent="0.2">
      <c r="C4340" s="144"/>
      <c r="D4340" s="144"/>
      <c r="E4340" s="144"/>
      <c r="F4340" s="373"/>
      <c r="H4340" s="2168"/>
      <c r="I4340" s="70"/>
    </row>
    <row r="4341" spans="3:9" s="46" customFormat="1" x14ac:dyDescent="0.2">
      <c r="C4341" s="144"/>
      <c r="D4341" s="144"/>
      <c r="E4341" s="144"/>
      <c r="F4341" s="373"/>
      <c r="H4341" s="2168"/>
      <c r="I4341" s="70"/>
    </row>
    <row r="4342" spans="3:9" s="46" customFormat="1" x14ac:dyDescent="0.2">
      <c r="C4342" s="144"/>
      <c r="D4342" s="144"/>
      <c r="E4342" s="144"/>
      <c r="F4342" s="373"/>
      <c r="H4342" s="2168"/>
      <c r="I4342" s="70"/>
    </row>
    <row r="4343" spans="3:9" s="46" customFormat="1" x14ac:dyDescent="0.2">
      <c r="C4343" s="144"/>
      <c r="D4343" s="144"/>
      <c r="E4343" s="144"/>
      <c r="F4343" s="373"/>
      <c r="H4343" s="2168"/>
      <c r="I4343" s="70"/>
    </row>
    <row r="4344" spans="3:9" s="46" customFormat="1" x14ac:dyDescent="0.2">
      <c r="C4344" s="144"/>
      <c r="D4344" s="144"/>
      <c r="E4344" s="144"/>
      <c r="F4344" s="373"/>
      <c r="H4344" s="2168"/>
      <c r="I4344" s="70"/>
    </row>
    <row r="4345" spans="3:9" s="46" customFormat="1" x14ac:dyDescent="0.2">
      <c r="C4345" s="144"/>
      <c r="D4345" s="144"/>
      <c r="E4345" s="144"/>
      <c r="F4345" s="373"/>
      <c r="H4345" s="2168"/>
      <c r="I4345" s="70"/>
    </row>
    <row r="4346" spans="3:9" s="46" customFormat="1" x14ac:dyDescent="0.2">
      <c r="C4346" s="144"/>
      <c r="D4346" s="144"/>
      <c r="E4346" s="144"/>
      <c r="F4346" s="373"/>
      <c r="H4346" s="2168"/>
      <c r="I4346" s="70"/>
    </row>
    <row r="4347" spans="3:9" s="46" customFormat="1" x14ac:dyDescent="0.2">
      <c r="C4347" s="144"/>
      <c r="D4347" s="144"/>
      <c r="E4347" s="144"/>
      <c r="F4347" s="373"/>
      <c r="H4347" s="2168"/>
      <c r="I4347" s="70"/>
    </row>
    <row r="4348" spans="3:9" s="46" customFormat="1" x14ac:dyDescent="0.2">
      <c r="C4348" s="144"/>
      <c r="D4348" s="144"/>
      <c r="E4348" s="144"/>
      <c r="F4348" s="373"/>
      <c r="H4348" s="2168"/>
      <c r="I4348" s="70"/>
    </row>
    <row r="4349" spans="3:9" s="46" customFormat="1" x14ac:dyDescent="0.2">
      <c r="C4349" s="144"/>
      <c r="D4349" s="144"/>
      <c r="E4349" s="144"/>
      <c r="F4349" s="373"/>
      <c r="H4349" s="2168"/>
      <c r="I4349" s="70"/>
    </row>
    <row r="4350" spans="3:9" s="46" customFormat="1" x14ac:dyDescent="0.2">
      <c r="C4350" s="144"/>
      <c r="D4350" s="144"/>
      <c r="E4350" s="144"/>
      <c r="F4350" s="373"/>
      <c r="H4350" s="2168"/>
      <c r="I4350" s="70"/>
    </row>
    <row r="4351" spans="3:9" s="46" customFormat="1" x14ac:dyDescent="0.2">
      <c r="C4351" s="144"/>
      <c r="D4351" s="144"/>
      <c r="E4351" s="144"/>
      <c r="F4351" s="373"/>
      <c r="H4351" s="2168"/>
      <c r="I4351" s="70"/>
    </row>
    <row r="4352" spans="3:9" s="46" customFormat="1" x14ac:dyDescent="0.2">
      <c r="C4352" s="144"/>
      <c r="D4352" s="144"/>
      <c r="E4352" s="144"/>
      <c r="F4352" s="373"/>
      <c r="H4352" s="2168"/>
      <c r="I4352" s="70"/>
    </row>
    <row r="4353" spans="3:9" s="46" customFormat="1" x14ac:dyDescent="0.2">
      <c r="C4353" s="144"/>
      <c r="D4353" s="144"/>
      <c r="E4353" s="144"/>
      <c r="F4353" s="373"/>
      <c r="H4353" s="2168"/>
      <c r="I4353" s="70"/>
    </row>
    <row r="4354" spans="3:9" s="46" customFormat="1" x14ac:dyDescent="0.2">
      <c r="C4354" s="144"/>
      <c r="D4354" s="144"/>
      <c r="E4354" s="144"/>
      <c r="F4354" s="373"/>
      <c r="H4354" s="2168"/>
      <c r="I4354" s="70"/>
    </row>
    <row r="4355" spans="3:9" s="46" customFormat="1" x14ac:dyDescent="0.2">
      <c r="C4355" s="144"/>
      <c r="D4355" s="144"/>
      <c r="E4355" s="144"/>
      <c r="F4355" s="373"/>
      <c r="H4355" s="2168"/>
      <c r="I4355" s="70"/>
    </row>
    <row r="4356" spans="3:9" s="46" customFormat="1" x14ac:dyDescent="0.2">
      <c r="C4356" s="144"/>
      <c r="D4356" s="144"/>
      <c r="E4356" s="144"/>
      <c r="F4356" s="373"/>
      <c r="H4356" s="2168"/>
      <c r="I4356" s="70"/>
    </row>
    <row r="4357" spans="3:9" s="46" customFormat="1" x14ac:dyDescent="0.2">
      <c r="C4357" s="144"/>
      <c r="D4357" s="144"/>
      <c r="E4357" s="144"/>
      <c r="F4357" s="373"/>
      <c r="H4357" s="2168"/>
      <c r="I4357" s="70"/>
    </row>
    <row r="4358" spans="3:9" s="46" customFormat="1" x14ac:dyDescent="0.2">
      <c r="C4358" s="144"/>
      <c r="D4358" s="144"/>
      <c r="E4358" s="144"/>
      <c r="F4358" s="373"/>
      <c r="H4358" s="2168"/>
      <c r="I4358" s="70"/>
    </row>
    <row r="4359" spans="3:9" s="46" customFormat="1" x14ac:dyDescent="0.2">
      <c r="C4359" s="144"/>
      <c r="D4359" s="144"/>
      <c r="E4359" s="144"/>
      <c r="F4359" s="373"/>
      <c r="H4359" s="2168"/>
      <c r="I4359" s="70"/>
    </row>
    <row r="4360" spans="3:9" s="46" customFormat="1" x14ac:dyDescent="0.2">
      <c r="C4360" s="144"/>
      <c r="D4360" s="144"/>
      <c r="E4360" s="144"/>
      <c r="F4360" s="373"/>
      <c r="H4360" s="2168"/>
      <c r="I4360" s="70"/>
    </row>
    <row r="4361" spans="3:9" s="46" customFormat="1" x14ac:dyDescent="0.2">
      <c r="C4361" s="144"/>
      <c r="D4361" s="144"/>
      <c r="E4361" s="144"/>
      <c r="F4361" s="373"/>
      <c r="H4361" s="2168"/>
      <c r="I4361" s="70"/>
    </row>
    <row r="4362" spans="3:9" s="46" customFormat="1" x14ac:dyDescent="0.2">
      <c r="C4362" s="144"/>
      <c r="D4362" s="144"/>
      <c r="E4362" s="144"/>
      <c r="F4362" s="373"/>
      <c r="H4362" s="2168"/>
      <c r="I4362" s="70"/>
    </row>
    <row r="4363" spans="3:9" s="46" customFormat="1" x14ac:dyDescent="0.2">
      <c r="C4363" s="144"/>
      <c r="D4363" s="144"/>
      <c r="E4363" s="144"/>
      <c r="F4363" s="373"/>
      <c r="H4363" s="2168"/>
      <c r="I4363" s="70"/>
    </row>
    <row r="4364" spans="3:9" s="46" customFormat="1" x14ac:dyDescent="0.2">
      <c r="C4364" s="144"/>
      <c r="D4364" s="144"/>
      <c r="E4364" s="144"/>
      <c r="F4364" s="373"/>
      <c r="H4364" s="2168"/>
      <c r="I4364" s="70"/>
    </row>
    <row r="4365" spans="3:9" s="46" customFormat="1" x14ac:dyDescent="0.2">
      <c r="C4365" s="144"/>
      <c r="D4365" s="144"/>
      <c r="E4365" s="144"/>
      <c r="F4365" s="373"/>
      <c r="H4365" s="2168"/>
      <c r="I4365" s="70"/>
    </row>
    <row r="4366" spans="3:9" s="46" customFormat="1" x14ac:dyDescent="0.2">
      <c r="C4366" s="144"/>
      <c r="D4366" s="144"/>
      <c r="E4366" s="144"/>
      <c r="F4366" s="373"/>
      <c r="H4366" s="2168"/>
      <c r="I4366" s="70"/>
    </row>
    <row r="4367" spans="3:9" s="46" customFormat="1" x14ac:dyDescent="0.2">
      <c r="C4367" s="144"/>
      <c r="D4367" s="144"/>
      <c r="E4367" s="144"/>
      <c r="F4367" s="373"/>
      <c r="H4367" s="2168"/>
      <c r="I4367" s="70"/>
    </row>
    <row r="4368" spans="3:9" s="46" customFormat="1" x14ac:dyDescent="0.2">
      <c r="C4368" s="144"/>
      <c r="D4368" s="144"/>
      <c r="E4368" s="144"/>
      <c r="F4368" s="373"/>
      <c r="H4368" s="2168"/>
      <c r="I4368" s="70"/>
    </row>
    <row r="4369" spans="3:9" s="46" customFormat="1" x14ac:dyDescent="0.2">
      <c r="C4369" s="144"/>
      <c r="D4369" s="144"/>
      <c r="E4369" s="144"/>
      <c r="F4369" s="373"/>
      <c r="H4369" s="2168"/>
      <c r="I4369" s="70"/>
    </row>
    <row r="4370" spans="3:9" s="46" customFormat="1" x14ac:dyDescent="0.2">
      <c r="C4370" s="144"/>
      <c r="D4370" s="144"/>
      <c r="E4370" s="144"/>
      <c r="F4370" s="373"/>
      <c r="H4370" s="2168"/>
      <c r="I4370" s="70"/>
    </row>
    <row r="4371" spans="3:9" s="46" customFormat="1" x14ac:dyDescent="0.2">
      <c r="C4371" s="144"/>
      <c r="D4371" s="144"/>
      <c r="E4371" s="144"/>
      <c r="F4371" s="373"/>
      <c r="H4371" s="2168"/>
      <c r="I4371" s="70"/>
    </row>
    <row r="4372" spans="3:9" s="46" customFormat="1" x14ac:dyDescent="0.2">
      <c r="C4372" s="144"/>
      <c r="D4372" s="144"/>
      <c r="E4372" s="144"/>
      <c r="F4372" s="373"/>
      <c r="H4372" s="2168"/>
      <c r="I4372" s="70"/>
    </row>
    <row r="4373" spans="3:9" s="46" customFormat="1" x14ac:dyDescent="0.2">
      <c r="C4373" s="144"/>
      <c r="D4373" s="144"/>
      <c r="E4373" s="144"/>
      <c r="F4373" s="373"/>
      <c r="H4373" s="2168"/>
      <c r="I4373" s="70"/>
    </row>
    <row r="4374" spans="3:9" s="46" customFormat="1" x14ac:dyDescent="0.2">
      <c r="C4374" s="144"/>
      <c r="D4374" s="144"/>
      <c r="E4374" s="144"/>
      <c r="F4374" s="373"/>
      <c r="H4374" s="2168"/>
      <c r="I4374" s="70"/>
    </row>
    <row r="4375" spans="3:9" s="46" customFormat="1" x14ac:dyDescent="0.2">
      <c r="C4375" s="144"/>
      <c r="D4375" s="144"/>
      <c r="E4375" s="144"/>
      <c r="F4375" s="373"/>
      <c r="H4375" s="2168"/>
      <c r="I4375" s="70"/>
    </row>
    <row r="4376" spans="3:9" s="46" customFormat="1" x14ac:dyDescent="0.2">
      <c r="C4376" s="144"/>
      <c r="D4376" s="144"/>
      <c r="E4376" s="144"/>
      <c r="F4376" s="373"/>
      <c r="H4376" s="2168"/>
      <c r="I4376" s="70"/>
    </row>
    <row r="4377" spans="3:9" s="46" customFormat="1" x14ac:dyDescent="0.2">
      <c r="C4377" s="144"/>
      <c r="D4377" s="144"/>
      <c r="E4377" s="144"/>
      <c r="F4377" s="373"/>
      <c r="H4377" s="2168"/>
      <c r="I4377" s="70"/>
    </row>
    <row r="4378" spans="3:9" s="46" customFormat="1" x14ac:dyDescent="0.2">
      <c r="C4378" s="144"/>
      <c r="D4378" s="144"/>
      <c r="E4378" s="144"/>
      <c r="F4378" s="373"/>
      <c r="H4378" s="2168"/>
      <c r="I4378" s="70"/>
    </row>
    <row r="4379" spans="3:9" s="46" customFormat="1" x14ac:dyDescent="0.2">
      <c r="C4379" s="144"/>
      <c r="D4379" s="144"/>
      <c r="E4379" s="144"/>
      <c r="F4379" s="373"/>
      <c r="H4379" s="2168"/>
      <c r="I4379" s="70"/>
    </row>
    <row r="4380" spans="3:9" s="46" customFormat="1" x14ac:dyDescent="0.2">
      <c r="C4380" s="144"/>
      <c r="D4380" s="144"/>
      <c r="E4380" s="144"/>
      <c r="F4380" s="373"/>
      <c r="H4380" s="2168"/>
      <c r="I4380" s="70"/>
    </row>
    <row r="4381" spans="3:9" s="46" customFormat="1" x14ac:dyDescent="0.2">
      <c r="C4381" s="144"/>
      <c r="D4381" s="144"/>
      <c r="E4381" s="144"/>
      <c r="F4381" s="373"/>
      <c r="H4381" s="2168"/>
      <c r="I4381" s="70"/>
    </row>
    <row r="4382" spans="3:9" s="46" customFormat="1" x14ac:dyDescent="0.2">
      <c r="C4382" s="144"/>
      <c r="D4382" s="144"/>
      <c r="E4382" s="144"/>
      <c r="F4382" s="373"/>
      <c r="H4382" s="2168"/>
      <c r="I4382" s="70"/>
    </row>
    <row r="4383" spans="3:9" s="46" customFormat="1" x14ac:dyDescent="0.2">
      <c r="C4383" s="144"/>
      <c r="D4383" s="144"/>
      <c r="E4383" s="144"/>
      <c r="F4383" s="373"/>
      <c r="H4383" s="2168"/>
      <c r="I4383" s="70"/>
    </row>
    <row r="4384" spans="3:9" s="46" customFormat="1" x14ac:dyDescent="0.2">
      <c r="C4384" s="144"/>
      <c r="D4384" s="144"/>
      <c r="E4384" s="144"/>
      <c r="F4384" s="373"/>
      <c r="H4384" s="2168"/>
      <c r="I4384" s="70"/>
    </row>
    <row r="4385" spans="3:9" s="46" customFormat="1" x14ac:dyDescent="0.2">
      <c r="C4385" s="144"/>
      <c r="D4385" s="144"/>
      <c r="E4385" s="144"/>
      <c r="F4385" s="373"/>
      <c r="H4385" s="2168"/>
      <c r="I4385" s="70"/>
    </row>
    <row r="4386" spans="3:9" s="46" customFormat="1" x14ac:dyDescent="0.2">
      <c r="C4386" s="144"/>
      <c r="D4386" s="144"/>
      <c r="E4386" s="144"/>
      <c r="F4386" s="373"/>
      <c r="H4386" s="2168"/>
      <c r="I4386" s="70"/>
    </row>
    <row r="4387" spans="3:9" s="46" customFormat="1" x14ac:dyDescent="0.2">
      <c r="C4387" s="144"/>
      <c r="D4387" s="144"/>
      <c r="E4387" s="144"/>
      <c r="F4387" s="373"/>
      <c r="H4387" s="2168"/>
      <c r="I4387" s="70"/>
    </row>
    <row r="4388" spans="3:9" s="46" customFormat="1" x14ac:dyDescent="0.2">
      <c r="C4388" s="144"/>
      <c r="D4388" s="144"/>
      <c r="E4388" s="144"/>
      <c r="F4388" s="373"/>
      <c r="H4388" s="2168"/>
      <c r="I4388" s="70"/>
    </row>
    <row r="4389" spans="3:9" s="46" customFormat="1" x14ac:dyDescent="0.2">
      <c r="C4389" s="144"/>
      <c r="D4389" s="144"/>
      <c r="E4389" s="144"/>
      <c r="F4389" s="373"/>
      <c r="H4389" s="2168"/>
      <c r="I4389" s="70"/>
    </row>
    <row r="4390" spans="3:9" s="46" customFormat="1" x14ac:dyDescent="0.2">
      <c r="C4390" s="144"/>
      <c r="D4390" s="144"/>
      <c r="E4390" s="144"/>
      <c r="F4390" s="373"/>
      <c r="H4390" s="2168"/>
      <c r="I4390" s="70"/>
    </row>
    <row r="4391" spans="3:9" s="46" customFormat="1" x14ac:dyDescent="0.2">
      <c r="C4391" s="144"/>
      <c r="D4391" s="144"/>
      <c r="E4391" s="144"/>
      <c r="F4391" s="373"/>
      <c r="H4391" s="2168"/>
      <c r="I4391" s="70"/>
    </row>
    <row r="4392" spans="3:9" s="46" customFormat="1" x14ac:dyDescent="0.2">
      <c r="C4392" s="144"/>
      <c r="D4392" s="144"/>
      <c r="E4392" s="144"/>
      <c r="F4392" s="373"/>
      <c r="H4392" s="2168"/>
      <c r="I4392" s="70"/>
    </row>
    <row r="4393" spans="3:9" s="46" customFormat="1" x14ac:dyDescent="0.2">
      <c r="C4393" s="144"/>
      <c r="D4393" s="144"/>
      <c r="E4393" s="144"/>
      <c r="F4393" s="373"/>
      <c r="H4393" s="2168"/>
      <c r="I4393" s="70"/>
    </row>
    <row r="4394" spans="3:9" s="46" customFormat="1" x14ac:dyDescent="0.2">
      <c r="C4394" s="144"/>
      <c r="D4394" s="144"/>
      <c r="E4394" s="144"/>
      <c r="F4394" s="373"/>
      <c r="H4394" s="2168"/>
      <c r="I4394" s="70"/>
    </row>
    <row r="4395" spans="3:9" s="46" customFormat="1" x14ac:dyDescent="0.2">
      <c r="C4395" s="144"/>
      <c r="D4395" s="144"/>
      <c r="E4395" s="144"/>
      <c r="F4395" s="373"/>
      <c r="H4395" s="2168"/>
      <c r="I4395" s="70"/>
    </row>
    <row r="4396" spans="3:9" s="46" customFormat="1" x14ac:dyDescent="0.2">
      <c r="C4396" s="144"/>
      <c r="D4396" s="144"/>
      <c r="E4396" s="144"/>
      <c r="F4396" s="373"/>
      <c r="H4396" s="2168"/>
      <c r="I4396" s="70"/>
    </row>
    <row r="4397" spans="3:9" s="46" customFormat="1" x14ac:dyDescent="0.2">
      <c r="C4397" s="144"/>
      <c r="D4397" s="144"/>
      <c r="E4397" s="144"/>
      <c r="F4397" s="373"/>
      <c r="H4397" s="2168"/>
      <c r="I4397" s="70"/>
    </row>
    <row r="4398" spans="3:9" s="46" customFormat="1" x14ac:dyDescent="0.2">
      <c r="C4398" s="144"/>
      <c r="D4398" s="144"/>
      <c r="E4398" s="144"/>
      <c r="F4398" s="373"/>
      <c r="H4398" s="2168"/>
      <c r="I4398" s="70"/>
    </row>
    <row r="4399" spans="3:9" s="46" customFormat="1" x14ac:dyDescent="0.2">
      <c r="C4399" s="144"/>
      <c r="D4399" s="144"/>
      <c r="E4399" s="144"/>
      <c r="F4399" s="373"/>
      <c r="H4399" s="2168"/>
      <c r="I4399" s="70"/>
    </row>
    <row r="4400" spans="3:9" s="46" customFormat="1" x14ac:dyDescent="0.2">
      <c r="C4400" s="144"/>
      <c r="D4400" s="144"/>
      <c r="E4400" s="144"/>
      <c r="F4400" s="373"/>
      <c r="H4400" s="2168"/>
      <c r="I4400" s="70"/>
    </row>
    <row r="4401" spans="3:9" s="46" customFormat="1" x14ac:dyDescent="0.2">
      <c r="C4401" s="144"/>
      <c r="D4401" s="144"/>
      <c r="E4401" s="144"/>
      <c r="F4401" s="373"/>
      <c r="H4401" s="2168"/>
      <c r="I4401" s="70"/>
    </row>
    <row r="4402" spans="3:9" s="46" customFormat="1" x14ac:dyDescent="0.2">
      <c r="C4402" s="144"/>
      <c r="D4402" s="144"/>
      <c r="E4402" s="144"/>
      <c r="F4402" s="373"/>
      <c r="H4402" s="2168"/>
      <c r="I4402" s="70"/>
    </row>
    <row r="4403" spans="3:9" s="46" customFormat="1" x14ac:dyDescent="0.2">
      <c r="C4403" s="144"/>
      <c r="D4403" s="144"/>
      <c r="E4403" s="144"/>
      <c r="F4403" s="373"/>
      <c r="H4403" s="2168"/>
      <c r="I4403" s="70"/>
    </row>
    <row r="4404" spans="3:9" s="46" customFormat="1" x14ac:dyDescent="0.2">
      <c r="C4404" s="144"/>
      <c r="D4404" s="144"/>
      <c r="E4404" s="144"/>
      <c r="F4404" s="373"/>
      <c r="H4404" s="2168"/>
      <c r="I4404" s="70"/>
    </row>
    <row r="4405" spans="3:9" s="46" customFormat="1" x14ac:dyDescent="0.2">
      <c r="C4405" s="144"/>
      <c r="D4405" s="144"/>
      <c r="E4405" s="144"/>
      <c r="F4405" s="373"/>
      <c r="H4405" s="2168"/>
      <c r="I4405" s="70"/>
    </row>
    <row r="4406" spans="3:9" s="46" customFormat="1" x14ac:dyDescent="0.2">
      <c r="C4406" s="144"/>
      <c r="D4406" s="144"/>
      <c r="E4406" s="144"/>
      <c r="F4406" s="373"/>
      <c r="H4406" s="2168"/>
      <c r="I4406" s="70"/>
    </row>
    <row r="4407" spans="3:9" s="46" customFormat="1" x14ac:dyDescent="0.2">
      <c r="C4407" s="144"/>
      <c r="D4407" s="144"/>
      <c r="E4407" s="144"/>
      <c r="F4407" s="373"/>
      <c r="H4407" s="2168"/>
      <c r="I4407" s="70"/>
    </row>
    <row r="4408" spans="3:9" s="46" customFormat="1" x14ac:dyDescent="0.2">
      <c r="C4408" s="144"/>
      <c r="D4408" s="144"/>
      <c r="E4408" s="144"/>
      <c r="F4408" s="373"/>
      <c r="H4408" s="2168"/>
      <c r="I4408" s="70"/>
    </row>
    <row r="4409" spans="3:9" s="46" customFormat="1" x14ac:dyDescent="0.2">
      <c r="C4409" s="144"/>
      <c r="D4409" s="144"/>
      <c r="E4409" s="144"/>
      <c r="F4409" s="373"/>
      <c r="H4409" s="2168"/>
      <c r="I4409" s="70"/>
    </row>
    <row r="4410" spans="3:9" s="46" customFormat="1" x14ac:dyDescent="0.2">
      <c r="C4410" s="144"/>
      <c r="D4410" s="144"/>
      <c r="E4410" s="144"/>
      <c r="F4410" s="373"/>
      <c r="H4410" s="2168"/>
      <c r="I4410" s="70"/>
    </row>
    <row r="4411" spans="3:9" s="46" customFormat="1" x14ac:dyDescent="0.2">
      <c r="C4411" s="144"/>
      <c r="D4411" s="144"/>
      <c r="E4411" s="144"/>
      <c r="F4411" s="373"/>
      <c r="H4411" s="2168"/>
      <c r="I4411" s="70"/>
    </row>
    <row r="4412" spans="3:9" s="46" customFormat="1" x14ac:dyDescent="0.2">
      <c r="C4412" s="144"/>
      <c r="D4412" s="144"/>
      <c r="E4412" s="144"/>
      <c r="F4412" s="373"/>
      <c r="H4412" s="2168"/>
      <c r="I4412" s="70"/>
    </row>
    <row r="4413" spans="3:9" s="46" customFormat="1" x14ac:dyDescent="0.2">
      <c r="C4413" s="144"/>
      <c r="D4413" s="144"/>
      <c r="E4413" s="144"/>
      <c r="F4413" s="373"/>
      <c r="H4413" s="2168"/>
      <c r="I4413" s="70"/>
    </row>
    <row r="4414" spans="3:9" s="46" customFormat="1" x14ac:dyDescent="0.2">
      <c r="C4414" s="144"/>
      <c r="D4414" s="144"/>
      <c r="E4414" s="144"/>
      <c r="F4414" s="373"/>
      <c r="H4414" s="2168"/>
      <c r="I4414" s="70"/>
    </row>
    <row r="4415" spans="3:9" s="46" customFormat="1" x14ac:dyDescent="0.2">
      <c r="C4415" s="144"/>
      <c r="D4415" s="144"/>
      <c r="E4415" s="144"/>
      <c r="F4415" s="373"/>
      <c r="H4415" s="2168"/>
      <c r="I4415" s="70"/>
    </row>
    <row r="4416" spans="3:9" s="46" customFormat="1" x14ac:dyDescent="0.2">
      <c r="C4416" s="144"/>
      <c r="D4416" s="144"/>
      <c r="E4416" s="144"/>
      <c r="F4416" s="373"/>
      <c r="H4416" s="2168"/>
      <c r="I4416" s="70"/>
    </row>
    <row r="4417" spans="3:9" s="46" customFormat="1" x14ac:dyDescent="0.2">
      <c r="C4417" s="144"/>
      <c r="D4417" s="144"/>
      <c r="E4417" s="144"/>
      <c r="F4417" s="373"/>
      <c r="H4417" s="2168"/>
      <c r="I4417" s="70"/>
    </row>
    <row r="4418" spans="3:9" s="46" customFormat="1" x14ac:dyDescent="0.2">
      <c r="C4418" s="144"/>
      <c r="D4418" s="144"/>
      <c r="E4418" s="144"/>
      <c r="F4418" s="373"/>
      <c r="H4418" s="2168"/>
      <c r="I4418" s="70"/>
    </row>
    <row r="4419" spans="3:9" s="46" customFormat="1" x14ac:dyDescent="0.2">
      <c r="C4419" s="144"/>
      <c r="D4419" s="144"/>
      <c r="E4419" s="144"/>
      <c r="F4419" s="373"/>
      <c r="H4419" s="2168"/>
      <c r="I4419" s="70"/>
    </row>
    <row r="4420" spans="3:9" s="46" customFormat="1" x14ac:dyDescent="0.2">
      <c r="C4420" s="144"/>
      <c r="D4420" s="144"/>
      <c r="E4420" s="144"/>
      <c r="F4420" s="373"/>
      <c r="H4420" s="2168"/>
      <c r="I4420" s="70"/>
    </row>
    <row r="4421" spans="3:9" s="46" customFormat="1" x14ac:dyDescent="0.2">
      <c r="C4421" s="144"/>
      <c r="D4421" s="144"/>
      <c r="E4421" s="144"/>
      <c r="F4421" s="373"/>
      <c r="H4421" s="2168"/>
      <c r="I4421" s="70"/>
    </row>
    <row r="4422" spans="3:9" s="46" customFormat="1" x14ac:dyDescent="0.2">
      <c r="C4422" s="144"/>
      <c r="D4422" s="144"/>
      <c r="E4422" s="144"/>
      <c r="F4422" s="373"/>
      <c r="H4422" s="2168"/>
      <c r="I4422" s="70"/>
    </row>
    <row r="4423" spans="3:9" s="46" customFormat="1" x14ac:dyDescent="0.2">
      <c r="C4423" s="144"/>
      <c r="D4423" s="144"/>
      <c r="E4423" s="144"/>
      <c r="F4423" s="373"/>
      <c r="H4423" s="2168"/>
      <c r="I4423" s="70"/>
    </row>
    <row r="4424" spans="3:9" s="46" customFormat="1" x14ac:dyDescent="0.2">
      <c r="C4424" s="144"/>
      <c r="D4424" s="144"/>
      <c r="E4424" s="144"/>
      <c r="F4424" s="373"/>
      <c r="H4424" s="2168"/>
      <c r="I4424" s="70"/>
    </row>
    <row r="4425" spans="3:9" s="46" customFormat="1" x14ac:dyDescent="0.2">
      <c r="C4425" s="144"/>
      <c r="D4425" s="144"/>
      <c r="E4425" s="144"/>
      <c r="F4425" s="373"/>
      <c r="H4425" s="2168"/>
      <c r="I4425" s="70"/>
    </row>
    <row r="4426" spans="3:9" s="46" customFormat="1" x14ac:dyDescent="0.2">
      <c r="C4426" s="144"/>
      <c r="D4426" s="144"/>
      <c r="E4426" s="144"/>
      <c r="F4426" s="373"/>
      <c r="H4426" s="2168"/>
      <c r="I4426" s="70"/>
    </row>
    <row r="4427" spans="3:9" s="46" customFormat="1" x14ac:dyDescent="0.2">
      <c r="C4427" s="144"/>
      <c r="D4427" s="144"/>
      <c r="E4427" s="144"/>
      <c r="F4427" s="373"/>
      <c r="H4427" s="2168"/>
      <c r="I4427" s="70"/>
    </row>
    <row r="4428" spans="3:9" s="46" customFormat="1" x14ac:dyDescent="0.2">
      <c r="C4428" s="144"/>
      <c r="D4428" s="144"/>
      <c r="E4428" s="144"/>
      <c r="F4428" s="373"/>
      <c r="H4428" s="2168"/>
      <c r="I4428" s="70"/>
    </row>
    <row r="4429" spans="3:9" s="46" customFormat="1" x14ac:dyDescent="0.2">
      <c r="C4429" s="144"/>
      <c r="D4429" s="144"/>
      <c r="E4429" s="144"/>
      <c r="F4429" s="373"/>
      <c r="H4429" s="2168"/>
      <c r="I4429" s="70"/>
    </row>
    <row r="4430" spans="3:9" s="46" customFormat="1" x14ac:dyDescent="0.2">
      <c r="C4430" s="144"/>
      <c r="D4430" s="144"/>
      <c r="E4430" s="144"/>
      <c r="F4430" s="373"/>
      <c r="H4430" s="2168"/>
      <c r="I4430" s="70"/>
    </row>
    <row r="4431" spans="3:9" s="46" customFormat="1" x14ac:dyDescent="0.2">
      <c r="C4431" s="144"/>
      <c r="D4431" s="144"/>
      <c r="E4431" s="144"/>
      <c r="F4431" s="373"/>
      <c r="H4431" s="2168"/>
      <c r="I4431" s="70"/>
    </row>
    <row r="4432" spans="3:9" s="46" customFormat="1" x14ac:dyDescent="0.2">
      <c r="C4432" s="144"/>
      <c r="D4432" s="144"/>
      <c r="E4432" s="144"/>
      <c r="F4432" s="373"/>
      <c r="H4432" s="2168"/>
      <c r="I4432" s="70"/>
    </row>
    <row r="4433" spans="3:9" s="46" customFormat="1" x14ac:dyDescent="0.2">
      <c r="C4433" s="144"/>
      <c r="D4433" s="144"/>
      <c r="E4433" s="144"/>
      <c r="F4433" s="373"/>
      <c r="H4433" s="2168"/>
      <c r="I4433" s="70"/>
    </row>
    <row r="4434" spans="3:9" s="46" customFormat="1" x14ac:dyDescent="0.2">
      <c r="C4434" s="144"/>
      <c r="D4434" s="144"/>
      <c r="E4434" s="144"/>
      <c r="F4434" s="373"/>
      <c r="H4434" s="2168"/>
      <c r="I4434" s="70"/>
    </row>
    <row r="4435" spans="3:9" s="46" customFormat="1" x14ac:dyDescent="0.2">
      <c r="C4435" s="144"/>
      <c r="D4435" s="144"/>
      <c r="E4435" s="144"/>
      <c r="F4435" s="373"/>
      <c r="H4435" s="2168"/>
      <c r="I4435" s="70"/>
    </row>
    <row r="4436" spans="3:9" s="46" customFormat="1" x14ac:dyDescent="0.2">
      <c r="C4436" s="144"/>
      <c r="D4436" s="144"/>
      <c r="E4436" s="144"/>
      <c r="F4436" s="373"/>
      <c r="H4436" s="2168"/>
      <c r="I4436" s="70"/>
    </row>
    <row r="4437" spans="3:9" s="46" customFormat="1" x14ac:dyDescent="0.2">
      <c r="C4437" s="144"/>
      <c r="D4437" s="144"/>
      <c r="E4437" s="144"/>
      <c r="F4437" s="373"/>
      <c r="H4437" s="2168"/>
      <c r="I4437" s="70"/>
    </row>
    <row r="4438" spans="3:9" s="46" customFormat="1" x14ac:dyDescent="0.2">
      <c r="C4438" s="144"/>
      <c r="D4438" s="144"/>
      <c r="E4438" s="144"/>
      <c r="F4438" s="373"/>
      <c r="H4438" s="2168"/>
      <c r="I4438" s="70"/>
    </row>
    <row r="4439" spans="3:9" s="46" customFormat="1" x14ac:dyDescent="0.2">
      <c r="C4439" s="144"/>
      <c r="D4439" s="144"/>
      <c r="E4439" s="144"/>
      <c r="F4439" s="373"/>
      <c r="H4439" s="2168"/>
      <c r="I4439" s="70"/>
    </row>
    <row r="4440" spans="3:9" s="46" customFormat="1" x14ac:dyDescent="0.2">
      <c r="C4440" s="144"/>
      <c r="D4440" s="144"/>
      <c r="E4440" s="144"/>
      <c r="F4440" s="373"/>
      <c r="H4440" s="2168"/>
      <c r="I4440" s="70"/>
    </row>
    <row r="4441" spans="3:9" s="46" customFormat="1" x14ac:dyDescent="0.2">
      <c r="C4441" s="144"/>
      <c r="D4441" s="144"/>
      <c r="E4441" s="144"/>
      <c r="F4441" s="373"/>
      <c r="H4441" s="2168"/>
      <c r="I4441" s="70"/>
    </row>
    <row r="4442" spans="3:9" s="46" customFormat="1" x14ac:dyDescent="0.2">
      <c r="C4442" s="144"/>
      <c r="D4442" s="144"/>
      <c r="E4442" s="144"/>
      <c r="F4442" s="373"/>
      <c r="H4442" s="2168"/>
      <c r="I4442" s="70"/>
    </row>
    <row r="4443" spans="3:9" s="46" customFormat="1" x14ac:dyDescent="0.2">
      <c r="C4443" s="144"/>
      <c r="D4443" s="144"/>
      <c r="E4443" s="144"/>
      <c r="F4443" s="373"/>
      <c r="H4443" s="2168"/>
      <c r="I4443" s="70"/>
    </row>
    <row r="4444" spans="3:9" s="46" customFormat="1" x14ac:dyDescent="0.2">
      <c r="C4444" s="144"/>
      <c r="D4444" s="144"/>
      <c r="E4444" s="144"/>
      <c r="F4444" s="373"/>
      <c r="H4444" s="2168"/>
      <c r="I4444" s="70"/>
    </row>
    <row r="4445" spans="3:9" s="46" customFormat="1" x14ac:dyDescent="0.2">
      <c r="C4445" s="144"/>
      <c r="D4445" s="144"/>
      <c r="E4445" s="144"/>
      <c r="F4445" s="373"/>
      <c r="H4445" s="2168"/>
      <c r="I4445" s="70"/>
    </row>
    <row r="4446" spans="3:9" s="46" customFormat="1" x14ac:dyDescent="0.2">
      <c r="C4446" s="144"/>
      <c r="D4446" s="144"/>
      <c r="E4446" s="144"/>
      <c r="F4446" s="373"/>
      <c r="H4446" s="2168"/>
      <c r="I4446" s="70"/>
    </row>
    <row r="4447" spans="3:9" s="46" customFormat="1" x14ac:dyDescent="0.2">
      <c r="C4447" s="144"/>
      <c r="D4447" s="144"/>
      <c r="E4447" s="144"/>
      <c r="F4447" s="373"/>
      <c r="H4447" s="2168"/>
      <c r="I4447" s="70"/>
    </row>
    <row r="4448" spans="3:9" s="46" customFormat="1" x14ac:dyDescent="0.2">
      <c r="C4448" s="144"/>
      <c r="D4448" s="144"/>
      <c r="E4448" s="144"/>
      <c r="F4448" s="373"/>
      <c r="H4448" s="2168"/>
      <c r="I4448" s="70"/>
    </row>
    <row r="4449" spans="3:9" s="46" customFormat="1" x14ac:dyDescent="0.2">
      <c r="C4449" s="144"/>
      <c r="D4449" s="144"/>
      <c r="E4449" s="144"/>
      <c r="F4449" s="373"/>
      <c r="H4449" s="2168"/>
      <c r="I4449" s="70"/>
    </row>
    <row r="4450" spans="3:9" s="46" customFormat="1" x14ac:dyDescent="0.2">
      <c r="C4450" s="144"/>
      <c r="D4450" s="144"/>
      <c r="E4450" s="144"/>
      <c r="F4450" s="373"/>
      <c r="H4450" s="2168"/>
      <c r="I4450" s="70"/>
    </row>
    <row r="4451" spans="3:9" s="46" customFormat="1" x14ac:dyDescent="0.2">
      <c r="C4451" s="144"/>
      <c r="D4451" s="144"/>
      <c r="E4451" s="144"/>
      <c r="F4451" s="373"/>
      <c r="H4451" s="2168"/>
      <c r="I4451" s="70"/>
    </row>
    <row r="4452" spans="3:9" s="46" customFormat="1" x14ac:dyDescent="0.2">
      <c r="C4452" s="144"/>
      <c r="D4452" s="144"/>
      <c r="E4452" s="144"/>
      <c r="F4452" s="373"/>
      <c r="H4452" s="2168"/>
      <c r="I4452" s="70"/>
    </row>
    <row r="4453" spans="3:9" s="46" customFormat="1" x14ac:dyDescent="0.2">
      <c r="C4453" s="144"/>
      <c r="D4453" s="144"/>
      <c r="E4453" s="144"/>
      <c r="F4453" s="373"/>
      <c r="H4453" s="2168"/>
      <c r="I4453" s="70"/>
    </row>
    <row r="4454" spans="3:9" s="46" customFormat="1" x14ac:dyDescent="0.2">
      <c r="C4454" s="144"/>
      <c r="D4454" s="144"/>
      <c r="E4454" s="144"/>
      <c r="F4454" s="373"/>
      <c r="H4454" s="2168"/>
      <c r="I4454" s="70"/>
    </row>
    <row r="4455" spans="3:9" s="46" customFormat="1" x14ac:dyDescent="0.2">
      <c r="C4455" s="144"/>
      <c r="D4455" s="144"/>
      <c r="E4455" s="144"/>
      <c r="F4455" s="373"/>
      <c r="H4455" s="2168"/>
      <c r="I4455" s="70"/>
    </row>
    <row r="4456" spans="3:9" s="46" customFormat="1" x14ac:dyDescent="0.2">
      <c r="C4456" s="144"/>
      <c r="D4456" s="144"/>
      <c r="E4456" s="144"/>
      <c r="F4456" s="373"/>
      <c r="H4456" s="2168"/>
      <c r="I4456" s="70"/>
    </row>
    <row r="4457" spans="3:9" s="46" customFormat="1" x14ac:dyDescent="0.2">
      <c r="C4457" s="144"/>
      <c r="D4457" s="144"/>
      <c r="E4457" s="144"/>
      <c r="F4457" s="373"/>
      <c r="H4457" s="2168"/>
      <c r="I4457" s="70"/>
    </row>
    <row r="4458" spans="3:9" s="46" customFormat="1" x14ac:dyDescent="0.2">
      <c r="C4458" s="144"/>
      <c r="D4458" s="144"/>
      <c r="E4458" s="144"/>
      <c r="F4458" s="373"/>
      <c r="H4458" s="2168"/>
      <c r="I4458" s="70"/>
    </row>
    <row r="4459" spans="3:9" s="46" customFormat="1" x14ac:dyDescent="0.2">
      <c r="C4459" s="144"/>
      <c r="D4459" s="144"/>
      <c r="E4459" s="144"/>
      <c r="F4459" s="373"/>
      <c r="H4459" s="2168"/>
      <c r="I4459" s="70"/>
    </row>
    <row r="4460" spans="3:9" s="46" customFormat="1" x14ac:dyDescent="0.2">
      <c r="C4460" s="144"/>
      <c r="D4460" s="144"/>
      <c r="E4460" s="144"/>
      <c r="F4460" s="373"/>
      <c r="H4460" s="2168"/>
      <c r="I4460" s="70"/>
    </row>
    <row r="4461" spans="3:9" s="46" customFormat="1" x14ac:dyDescent="0.2">
      <c r="C4461" s="144"/>
      <c r="D4461" s="144"/>
      <c r="E4461" s="144"/>
      <c r="F4461" s="373"/>
      <c r="H4461" s="2168"/>
      <c r="I4461" s="70"/>
    </row>
    <row r="4462" spans="3:9" s="46" customFormat="1" x14ac:dyDescent="0.2">
      <c r="C4462" s="144"/>
      <c r="D4462" s="144"/>
      <c r="E4462" s="144"/>
      <c r="F4462" s="373"/>
      <c r="H4462" s="2168"/>
      <c r="I4462" s="70"/>
    </row>
    <row r="4463" spans="3:9" s="46" customFormat="1" x14ac:dyDescent="0.2">
      <c r="C4463" s="144"/>
      <c r="D4463" s="144"/>
      <c r="E4463" s="144"/>
      <c r="F4463" s="373"/>
      <c r="H4463" s="2168"/>
      <c r="I4463" s="70"/>
    </row>
    <row r="4464" spans="3:9" s="46" customFormat="1" x14ac:dyDescent="0.2">
      <c r="C4464" s="144"/>
      <c r="D4464" s="144"/>
      <c r="E4464" s="144"/>
      <c r="F4464" s="373"/>
      <c r="H4464" s="2168"/>
      <c r="I4464" s="70"/>
    </row>
    <row r="4465" spans="3:9" s="46" customFormat="1" x14ac:dyDescent="0.2">
      <c r="C4465" s="144"/>
      <c r="D4465" s="144"/>
      <c r="E4465" s="144"/>
      <c r="F4465" s="373"/>
      <c r="H4465" s="2168"/>
      <c r="I4465" s="70"/>
    </row>
    <row r="4466" spans="3:9" s="46" customFormat="1" x14ac:dyDescent="0.2">
      <c r="C4466" s="144"/>
      <c r="D4466" s="144"/>
      <c r="E4466" s="144"/>
      <c r="F4466" s="373"/>
      <c r="H4466" s="2168"/>
      <c r="I4466" s="70"/>
    </row>
    <row r="4467" spans="3:9" s="46" customFormat="1" x14ac:dyDescent="0.2">
      <c r="C4467" s="144"/>
      <c r="D4467" s="144"/>
      <c r="E4467" s="144"/>
      <c r="F4467" s="373"/>
      <c r="H4467" s="2168"/>
      <c r="I4467" s="70"/>
    </row>
    <row r="4468" spans="3:9" s="46" customFormat="1" x14ac:dyDescent="0.2">
      <c r="C4468" s="144"/>
      <c r="D4468" s="144"/>
      <c r="E4468" s="144"/>
      <c r="F4468" s="373"/>
      <c r="H4468" s="2168"/>
      <c r="I4468" s="70"/>
    </row>
    <row r="4469" spans="3:9" s="46" customFormat="1" x14ac:dyDescent="0.2">
      <c r="C4469" s="144"/>
      <c r="D4469" s="144"/>
      <c r="E4469" s="144"/>
      <c r="F4469" s="373"/>
      <c r="H4469" s="2168"/>
      <c r="I4469" s="70"/>
    </row>
    <row r="4470" spans="3:9" s="46" customFormat="1" x14ac:dyDescent="0.2">
      <c r="C4470" s="144"/>
      <c r="D4470" s="144"/>
      <c r="E4470" s="144"/>
      <c r="F4470" s="373"/>
      <c r="H4470" s="2168"/>
      <c r="I4470" s="70"/>
    </row>
    <row r="4471" spans="3:9" s="46" customFormat="1" x14ac:dyDescent="0.2">
      <c r="C4471" s="144"/>
      <c r="D4471" s="144"/>
      <c r="E4471" s="144"/>
      <c r="F4471" s="373"/>
      <c r="H4471" s="2168"/>
      <c r="I4471" s="70"/>
    </row>
    <row r="4472" spans="3:9" s="46" customFormat="1" x14ac:dyDescent="0.2">
      <c r="C4472" s="144"/>
      <c r="D4472" s="144"/>
      <c r="E4472" s="144"/>
      <c r="F4472" s="373"/>
      <c r="H4472" s="2168"/>
      <c r="I4472" s="70"/>
    </row>
    <row r="4473" spans="3:9" s="46" customFormat="1" x14ac:dyDescent="0.2">
      <c r="C4473" s="144"/>
      <c r="D4473" s="144"/>
      <c r="E4473" s="144"/>
      <c r="F4473" s="373"/>
      <c r="H4473" s="2168"/>
      <c r="I4473" s="70"/>
    </row>
    <row r="4474" spans="3:9" s="46" customFormat="1" x14ac:dyDescent="0.2">
      <c r="C4474" s="144"/>
      <c r="D4474" s="144"/>
      <c r="E4474" s="144"/>
      <c r="F4474" s="373"/>
      <c r="H4474" s="2168"/>
      <c r="I4474" s="70"/>
    </row>
    <row r="4475" spans="3:9" s="46" customFormat="1" x14ac:dyDescent="0.2">
      <c r="C4475" s="144"/>
      <c r="D4475" s="144"/>
      <c r="E4475" s="144"/>
      <c r="F4475" s="373"/>
      <c r="H4475" s="2168"/>
      <c r="I4475" s="70"/>
    </row>
    <row r="4476" spans="3:9" s="46" customFormat="1" x14ac:dyDescent="0.2">
      <c r="C4476" s="144"/>
      <c r="D4476" s="144"/>
      <c r="E4476" s="144"/>
      <c r="F4476" s="373"/>
      <c r="H4476" s="2168"/>
      <c r="I4476" s="70"/>
    </row>
    <row r="4477" spans="3:9" s="46" customFormat="1" x14ac:dyDescent="0.2">
      <c r="C4477" s="144"/>
      <c r="D4477" s="144"/>
      <c r="E4477" s="144"/>
      <c r="F4477" s="373"/>
      <c r="H4477" s="2168"/>
      <c r="I4477" s="70"/>
    </row>
    <row r="4478" spans="3:9" s="46" customFormat="1" x14ac:dyDescent="0.2">
      <c r="C4478" s="144"/>
      <c r="D4478" s="144"/>
      <c r="E4478" s="144"/>
      <c r="F4478" s="373"/>
      <c r="H4478" s="2168"/>
      <c r="I4478" s="70"/>
    </row>
    <row r="4479" spans="3:9" s="46" customFormat="1" x14ac:dyDescent="0.2">
      <c r="C4479" s="144"/>
      <c r="D4479" s="144"/>
      <c r="E4479" s="144"/>
      <c r="F4479" s="373"/>
      <c r="H4479" s="2168"/>
      <c r="I4479" s="70"/>
    </row>
    <row r="4480" spans="3:9" s="46" customFormat="1" x14ac:dyDescent="0.2">
      <c r="C4480" s="144"/>
      <c r="D4480" s="144"/>
      <c r="E4480" s="144"/>
      <c r="F4480" s="373"/>
      <c r="H4480" s="2168"/>
      <c r="I4480" s="70"/>
    </row>
    <row r="4481" spans="3:9" s="46" customFormat="1" x14ac:dyDescent="0.2">
      <c r="C4481" s="144"/>
      <c r="D4481" s="144"/>
      <c r="E4481" s="144"/>
      <c r="F4481" s="373"/>
      <c r="H4481" s="2168"/>
      <c r="I4481" s="70"/>
    </row>
    <row r="4482" spans="3:9" s="46" customFormat="1" x14ac:dyDescent="0.2">
      <c r="C4482" s="144"/>
      <c r="D4482" s="144"/>
      <c r="E4482" s="144"/>
      <c r="F4482" s="373"/>
      <c r="H4482" s="2168"/>
      <c r="I4482" s="70"/>
    </row>
    <row r="4483" spans="3:9" s="46" customFormat="1" x14ac:dyDescent="0.2">
      <c r="C4483" s="144"/>
      <c r="D4483" s="144"/>
      <c r="E4483" s="144"/>
      <c r="F4483" s="373"/>
      <c r="H4483" s="2168"/>
      <c r="I4483" s="70"/>
    </row>
    <row r="4484" spans="3:9" s="46" customFormat="1" x14ac:dyDescent="0.2">
      <c r="C4484" s="144"/>
      <c r="D4484" s="144"/>
      <c r="E4484" s="144"/>
      <c r="F4484" s="373"/>
      <c r="H4484" s="2168"/>
      <c r="I4484" s="70"/>
    </row>
    <row r="4485" spans="3:9" s="46" customFormat="1" x14ac:dyDescent="0.2">
      <c r="C4485" s="144"/>
      <c r="D4485" s="144"/>
      <c r="E4485" s="144"/>
      <c r="F4485" s="373"/>
      <c r="H4485" s="2168"/>
      <c r="I4485" s="70"/>
    </row>
    <row r="4486" spans="3:9" s="46" customFormat="1" x14ac:dyDescent="0.2">
      <c r="C4486" s="144"/>
      <c r="D4486" s="144"/>
      <c r="E4486" s="144"/>
      <c r="F4486" s="373"/>
      <c r="H4486" s="2168"/>
      <c r="I4486" s="70"/>
    </row>
    <row r="4487" spans="3:9" s="46" customFormat="1" x14ac:dyDescent="0.2">
      <c r="C4487" s="144"/>
      <c r="D4487" s="144"/>
      <c r="E4487" s="144"/>
      <c r="F4487" s="373"/>
      <c r="H4487" s="2168"/>
      <c r="I4487" s="70"/>
    </row>
    <row r="4488" spans="3:9" s="46" customFormat="1" x14ac:dyDescent="0.2">
      <c r="C4488" s="144"/>
      <c r="D4488" s="144"/>
      <c r="E4488" s="144"/>
      <c r="F4488" s="373"/>
      <c r="H4488" s="2168"/>
      <c r="I4488" s="70"/>
    </row>
    <row r="4489" spans="3:9" s="46" customFormat="1" x14ac:dyDescent="0.2">
      <c r="C4489" s="144"/>
      <c r="D4489" s="144"/>
      <c r="E4489" s="144"/>
      <c r="F4489" s="373"/>
      <c r="H4489" s="2168"/>
      <c r="I4489" s="70"/>
    </row>
    <row r="4490" spans="3:9" s="46" customFormat="1" x14ac:dyDescent="0.2">
      <c r="C4490" s="144"/>
      <c r="D4490" s="144"/>
      <c r="E4490" s="144"/>
      <c r="F4490" s="373"/>
      <c r="H4490" s="2168"/>
      <c r="I4490" s="70"/>
    </row>
    <row r="4491" spans="3:9" s="46" customFormat="1" x14ac:dyDescent="0.2">
      <c r="C4491" s="144"/>
      <c r="D4491" s="144"/>
      <c r="E4491" s="144"/>
      <c r="F4491" s="373"/>
      <c r="H4491" s="2168"/>
      <c r="I4491" s="70"/>
    </row>
    <row r="4492" spans="3:9" s="46" customFormat="1" x14ac:dyDescent="0.2">
      <c r="C4492" s="144"/>
      <c r="D4492" s="144"/>
      <c r="E4492" s="144"/>
      <c r="F4492" s="373"/>
      <c r="H4492" s="2168"/>
      <c r="I4492" s="70"/>
    </row>
    <row r="4493" spans="3:9" s="46" customFormat="1" x14ac:dyDescent="0.2">
      <c r="C4493" s="144"/>
      <c r="D4493" s="144"/>
      <c r="E4493" s="144"/>
      <c r="F4493" s="373"/>
      <c r="H4493" s="2168"/>
      <c r="I4493" s="70"/>
    </row>
    <row r="4494" spans="3:9" s="46" customFormat="1" x14ac:dyDescent="0.2">
      <c r="C4494" s="144"/>
      <c r="D4494" s="144"/>
      <c r="E4494" s="144"/>
      <c r="F4494" s="373"/>
      <c r="H4494" s="2168"/>
      <c r="I4494" s="70"/>
    </row>
    <row r="4495" spans="3:9" s="46" customFormat="1" x14ac:dyDescent="0.2">
      <c r="C4495" s="144"/>
      <c r="D4495" s="144"/>
      <c r="E4495" s="144"/>
      <c r="F4495" s="373"/>
      <c r="H4495" s="2168"/>
      <c r="I4495" s="70"/>
    </row>
    <row r="4496" spans="3:9" s="46" customFormat="1" x14ac:dyDescent="0.2">
      <c r="C4496" s="144"/>
      <c r="D4496" s="144"/>
      <c r="E4496" s="144"/>
      <c r="F4496" s="373"/>
      <c r="H4496" s="2168"/>
      <c r="I4496" s="70"/>
    </row>
    <row r="4497" spans="3:9" s="46" customFormat="1" x14ac:dyDescent="0.2">
      <c r="C4497" s="144"/>
      <c r="D4497" s="144"/>
      <c r="E4497" s="144"/>
      <c r="F4497" s="373"/>
      <c r="H4497" s="2168"/>
      <c r="I4497" s="70"/>
    </row>
    <row r="4498" spans="3:9" s="46" customFormat="1" x14ac:dyDescent="0.2">
      <c r="C4498" s="144"/>
      <c r="D4498" s="144"/>
      <c r="E4498" s="144"/>
      <c r="F4498" s="373"/>
      <c r="H4498" s="2168"/>
      <c r="I4498" s="70"/>
    </row>
    <row r="4499" spans="3:9" s="46" customFormat="1" x14ac:dyDescent="0.2">
      <c r="C4499" s="144"/>
      <c r="D4499" s="144"/>
      <c r="E4499" s="144"/>
      <c r="F4499" s="373"/>
      <c r="H4499" s="2168"/>
      <c r="I4499" s="70"/>
    </row>
    <row r="4500" spans="3:9" s="46" customFormat="1" x14ac:dyDescent="0.2">
      <c r="C4500" s="144"/>
      <c r="D4500" s="144"/>
      <c r="E4500" s="144"/>
      <c r="F4500" s="373"/>
      <c r="H4500" s="2168"/>
      <c r="I4500" s="70"/>
    </row>
    <row r="4501" spans="3:9" s="46" customFormat="1" x14ac:dyDescent="0.2">
      <c r="C4501" s="144"/>
      <c r="D4501" s="144"/>
      <c r="E4501" s="144"/>
      <c r="F4501" s="373"/>
      <c r="H4501" s="2168"/>
      <c r="I4501" s="70"/>
    </row>
    <row r="4502" spans="3:9" s="46" customFormat="1" x14ac:dyDescent="0.2">
      <c r="C4502" s="144"/>
      <c r="D4502" s="144"/>
      <c r="E4502" s="144"/>
      <c r="F4502" s="373"/>
      <c r="H4502" s="2168"/>
      <c r="I4502" s="70"/>
    </row>
    <row r="4503" spans="3:9" s="46" customFormat="1" x14ac:dyDescent="0.2">
      <c r="C4503" s="144"/>
      <c r="D4503" s="144"/>
      <c r="E4503" s="144"/>
      <c r="F4503" s="373"/>
      <c r="H4503" s="2168"/>
      <c r="I4503" s="70"/>
    </row>
    <row r="4504" spans="3:9" s="46" customFormat="1" x14ac:dyDescent="0.2">
      <c r="C4504" s="144"/>
      <c r="D4504" s="144"/>
      <c r="E4504" s="144"/>
      <c r="F4504" s="373"/>
      <c r="H4504" s="2168"/>
      <c r="I4504" s="70"/>
    </row>
    <row r="4505" spans="3:9" s="46" customFormat="1" x14ac:dyDescent="0.2">
      <c r="C4505" s="144"/>
      <c r="D4505" s="144"/>
      <c r="E4505" s="144"/>
      <c r="F4505" s="373"/>
      <c r="H4505" s="2168"/>
      <c r="I4505" s="70"/>
    </row>
    <row r="4506" spans="3:9" s="46" customFormat="1" x14ac:dyDescent="0.2">
      <c r="C4506" s="144"/>
      <c r="D4506" s="144"/>
      <c r="E4506" s="144"/>
      <c r="F4506" s="373"/>
      <c r="H4506" s="2168"/>
      <c r="I4506" s="70"/>
    </row>
    <row r="4507" spans="3:9" s="46" customFormat="1" x14ac:dyDescent="0.2">
      <c r="C4507" s="144"/>
      <c r="D4507" s="144"/>
      <c r="E4507" s="144"/>
      <c r="F4507" s="373"/>
      <c r="H4507" s="2168"/>
      <c r="I4507" s="70"/>
    </row>
    <row r="4508" spans="3:9" s="46" customFormat="1" x14ac:dyDescent="0.2">
      <c r="C4508" s="144"/>
      <c r="D4508" s="144"/>
      <c r="E4508" s="144"/>
      <c r="F4508" s="373"/>
      <c r="H4508" s="2168"/>
      <c r="I4508" s="70"/>
    </row>
    <row r="4509" spans="3:9" s="46" customFormat="1" x14ac:dyDescent="0.2">
      <c r="C4509" s="144"/>
      <c r="D4509" s="144"/>
      <c r="E4509" s="144"/>
      <c r="F4509" s="373"/>
      <c r="H4509" s="2168"/>
      <c r="I4509" s="70"/>
    </row>
    <row r="4510" spans="3:9" s="46" customFormat="1" x14ac:dyDescent="0.2">
      <c r="C4510" s="144"/>
      <c r="D4510" s="144"/>
      <c r="E4510" s="144"/>
      <c r="F4510" s="373"/>
      <c r="H4510" s="2168"/>
      <c r="I4510" s="70"/>
    </row>
    <row r="4511" spans="3:9" s="46" customFormat="1" x14ac:dyDescent="0.2">
      <c r="C4511" s="144"/>
      <c r="D4511" s="144"/>
      <c r="E4511" s="144"/>
      <c r="F4511" s="373"/>
      <c r="H4511" s="2168"/>
      <c r="I4511" s="70"/>
    </row>
    <row r="4512" spans="3:9" s="46" customFormat="1" x14ac:dyDescent="0.2">
      <c r="C4512" s="144"/>
      <c r="D4512" s="144"/>
      <c r="E4512" s="144"/>
      <c r="F4512" s="373"/>
      <c r="H4512" s="2168"/>
      <c r="I4512" s="70"/>
    </row>
    <row r="4513" spans="3:9" s="46" customFormat="1" x14ac:dyDescent="0.2">
      <c r="C4513" s="144"/>
      <c r="D4513" s="144"/>
      <c r="E4513" s="144"/>
      <c r="F4513" s="373"/>
      <c r="H4513" s="2168"/>
      <c r="I4513" s="70"/>
    </row>
    <row r="4514" spans="3:9" s="46" customFormat="1" x14ac:dyDescent="0.2">
      <c r="C4514" s="144"/>
      <c r="D4514" s="144"/>
      <c r="E4514" s="144"/>
      <c r="F4514" s="373"/>
      <c r="H4514" s="2168"/>
      <c r="I4514" s="70"/>
    </row>
    <row r="4515" spans="3:9" s="46" customFormat="1" x14ac:dyDescent="0.2">
      <c r="C4515" s="144"/>
      <c r="D4515" s="144"/>
      <c r="E4515" s="144"/>
      <c r="F4515" s="373"/>
      <c r="H4515" s="2168"/>
      <c r="I4515" s="70"/>
    </row>
    <row r="4516" spans="3:9" s="46" customFormat="1" x14ac:dyDescent="0.2">
      <c r="C4516" s="144"/>
      <c r="D4516" s="144"/>
      <c r="E4516" s="144"/>
      <c r="F4516" s="373"/>
      <c r="H4516" s="2168"/>
      <c r="I4516" s="70"/>
    </row>
    <row r="4517" spans="3:9" s="46" customFormat="1" x14ac:dyDescent="0.2">
      <c r="C4517" s="144"/>
      <c r="D4517" s="144"/>
      <c r="E4517" s="144"/>
      <c r="F4517" s="373"/>
      <c r="H4517" s="2168"/>
      <c r="I4517" s="70"/>
    </row>
    <row r="4518" spans="3:9" s="46" customFormat="1" x14ac:dyDescent="0.2">
      <c r="C4518" s="144"/>
      <c r="D4518" s="144"/>
      <c r="E4518" s="144"/>
      <c r="F4518" s="373"/>
      <c r="H4518" s="2168"/>
      <c r="I4518" s="70"/>
    </row>
    <row r="4519" spans="3:9" s="46" customFormat="1" x14ac:dyDescent="0.2">
      <c r="C4519" s="144"/>
      <c r="D4519" s="144"/>
      <c r="E4519" s="144"/>
      <c r="F4519" s="373"/>
      <c r="H4519" s="2168"/>
      <c r="I4519" s="70"/>
    </row>
    <row r="4520" spans="3:9" s="46" customFormat="1" x14ac:dyDescent="0.2">
      <c r="C4520" s="144"/>
      <c r="D4520" s="144"/>
      <c r="E4520" s="144"/>
      <c r="F4520" s="373"/>
      <c r="H4520" s="2168"/>
      <c r="I4520" s="70"/>
    </row>
    <row r="4521" spans="3:9" s="46" customFormat="1" x14ac:dyDescent="0.2">
      <c r="C4521" s="144"/>
      <c r="D4521" s="144"/>
      <c r="E4521" s="144"/>
      <c r="F4521" s="373"/>
      <c r="H4521" s="2168"/>
      <c r="I4521" s="70"/>
    </row>
    <row r="4522" spans="3:9" s="46" customFormat="1" x14ac:dyDescent="0.2">
      <c r="C4522" s="144"/>
      <c r="D4522" s="144"/>
      <c r="E4522" s="144"/>
      <c r="F4522" s="373"/>
      <c r="H4522" s="2168"/>
      <c r="I4522" s="70"/>
    </row>
    <row r="4523" spans="3:9" s="46" customFormat="1" x14ac:dyDescent="0.2">
      <c r="C4523" s="144"/>
      <c r="D4523" s="144"/>
      <c r="E4523" s="144"/>
      <c r="F4523" s="373"/>
      <c r="H4523" s="2168"/>
      <c r="I4523" s="70"/>
    </row>
    <row r="4524" spans="3:9" s="46" customFormat="1" x14ac:dyDescent="0.2">
      <c r="C4524" s="144"/>
      <c r="D4524" s="144"/>
      <c r="E4524" s="144"/>
      <c r="F4524" s="373"/>
      <c r="H4524" s="2168"/>
      <c r="I4524" s="70"/>
    </row>
    <row r="4525" spans="3:9" s="46" customFormat="1" x14ac:dyDescent="0.2">
      <c r="C4525" s="144"/>
      <c r="D4525" s="144"/>
      <c r="E4525" s="144"/>
      <c r="F4525" s="373"/>
      <c r="H4525" s="2168"/>
      <c r="I4525" s="70"/>
    </row>
    <row r="4526" spans="3:9" s="46" customFormat="1" x14ac:dyDescent="0.2">
      <c r="C4526" s="144"/>
      <c r="D4526" s="144"/>
      <c r="E4526" s="144"/>
      <c r="F4526" s="373"/>
      <c r="H4526" s="2168"/>
      <c r="I4526" s="70"/>
    </row>
    <row r="4527" spans="3:9" s="46" customFormat="1" x14ac:dyDescent="0.2">
      <c r="C4527" s="144"/>
      <c r="D4527" s="144"/>
      <c r="E4527" s="144"/>
      <c r="F4527" s="373"/>
      <c r="H4527" s="2168"/>
      <c r="I4527" s="70"/>
    </row>
    <row r="4528" spans="3:9" s="46" customFormat="1" x14ac:dyDescent="0.2">
      <c r="C4528" s="144"/>
      <c r="D4528" s="144"/>
      <c r="E4528" s="144"/>
      <c r="F4528" s="373"/>
      <c r="H4528" s="2168"/>
      <c r="I4528" s="70"/>
    </row>
    <row r="4529" spans="3:9" s="46" customFormat="1" x14ac:dyDescent="0.2">
      <c r="C4529" s="144"/>
      <c r="D4529" s="144"/>
      <c r="E4529" s="144"/>
      <c r="F4529" s="373"/>
      <c r="H4529" s="2168"/>
      <c r="I4529" s="70"/>
    </row>
    <row r="4530" spans="3:9" s="46" customFormat="1" x14ac:dyDescent="0.2">
      <c r="C4530" s="144"/>
      <c r="D4530" s="144"/>
      <c r="E4530" s="144"/>
      <c r="F4530" s="373"/>
      <c r="H4530" s="2168"/>
      <c r="I4530" s="70"/>
    </row>
    <row r="4531" spans="3:9" s="46" customFormat="1" x14ac:dyDescent="0.2">
      <c r="C4531" s="144"/>
      <c r="D4531" s="144"/>
      <c r="E4531" s="144"/>
      <c r="F4531" s="373"/>
      <c r="H4531" s="2168"/>
      <c r="I4531" s="70"/>
    </row>
    <row r="4532" spans="3:9" s="46" customFormat="1" x14ac:dyDescent="0.2">
      <c r="C4532" s="144"/>
      <c r="D4532" s="144"/>
      <c r="E4532" s="144"/>
      <c r="F4532" s="373"/>
      <c r="H4532" s="2168"/>
      <c r="I4532" s="70"/>
    </row>
    <row r="4533" spans="3:9" s="46" customFormat="1" x14ac:dyDescent="0.2">
      <c r="C4533" s="144"/>
      <c r="D4533" s="144"/>
      <c r="E4533" s="144"/>
      <c r="F4533" s="373"/>
      <c r="H4533" s="2168"/>
      <c r="I4533" s="70"/>
    </row>
    <row r="4534" spans="3:9" s="46" customFormat="1" x14ac:dyDescent="0.2">
      <c r="C4534" s="144"/>
      <c r="D4534" s="144"/>
      <c r="E4534" s="144"/>
      <c r="F4534" s="373"/>
      <c r="H4534" s="2168"/>
      <c r="I4534" s="70"/>
    </row>
    <row r="4535" spans="3:9" s="46" customFormat="1" x14ac:dyDescent="0.2">
      <c r="C4535" s="144"/>
      <c r="D4535" s="144"/>
      <c r="E4535" s="144"/>
      <c r="F4535" s="373"/>
      <c r="H4535" s="2168"/>
      <c r="I4535" s="70"/>
    </row>
    <row r="4536" spans="3:9" s="46" customFormat="1" x14ac:dyDescent="0.2">
      <c r="C4536" s="144"/>
      <c r="D4536" s="144"/>
      <c r="E4536" s="144"/>
      <c r="F4536" s="373"/>
      <c r="H4536" s="2168"/>
      <c r="I4536" s="70"/>
    </row>
    <row r="4537" spans="3:9" s="46" customFormat="1" x14ac:dyDescent="0.2">
      <c r="C4537" s="144"/>
      <c r="D4537" s="144"/>
      <c r="E4537" s="144"/>
      <c r="F4537" s="373"/>
      <c r="H4537" s="2168"/>
      <c r="I4537" s="70"/>
    </row>
    <row r="4538" spans="3:9" s="46" customFormat="1" x14ac:dyDescent="0.2">
      <c r="C4538" s="144"/>
      <c r="D4538" s="144"/>
      <c r="E4538" s="144"/>
      <c r="F4538" s="373"/>
      <c r="H4538" s="2168"/>
      <c r="I4538" s="70"/>
    </row>
    <row r="4539" spans="3:9" s="46" customFormat="1" x14ac:dyDescent="0.2">
      <c r="C4539" s="144"/>
      <c r="D4539" s="144"/>
      <c r="E4539" s="144"/>
      <c r="F4539" s="373"/>
      <c r="H4539" s="2168"/>
      <c r="I4539" s="70"/>
    </row>
    <row r="4540" spans="3:9" s="46" customFormat="1" x14ac:dyDescent="0.2">
      <c r="C4540" s="144"/>
      <c r="D4540" s="144"/>
      <c r="E4540" s="144"/>
      <c r="F4540" s="373"/>
      <c r="H4540" s="2168"/>
      <c r="I4540" s="70"/>
    </row>
    <row r="4541" spans="3:9" s="46" customFormat="1" x14ac:dyDescent="0.2">
      <c r="C4541" s="144"/>
      <c r="D4541" s="144"/>
      <c r="E4541" s="144"/>
      <c r="F4541" s="373"/>
      <c r="H4541" s="2168"/>
      <c r="I4541" s="70"/>
    </row>
    <row r="4542" spans="3:9" s="46" customFormat="1" x14ac:dyDescent="0.2">
      <c r="C4542" s="144"/>
      <c r="D4542" s="144"/>
      <c r="E4542" s="144"/>
      <c r="F4542" s="373"/>
      <c r="H4542" s="2168"/>
      <c r="I4542" s="70"/>
    </row>
    <row r="4543" spans="3:9" s="46" customFormat="1" x14ac:dyDescent="0.2">
      <c r="C4543" s="144"/>
      <c r="D4543" s="144"/>
      <c r="E4543" s="144"/>
      <c r="F4543" s="373"/>
      <c r="H4543" s="2168"/>
      <c r="I4543" s="70"/>
    </row>
    <row r="4544" spans="3:9" s="46" customFormat="1" x14ac:dyDescent="0.2">
      <c r="C4544" s="144"/>
      <c r="D4544" s="144"/>
      <c r="E4544" s="144"/>
      <c r="F4544" s="373"/>
      <c r="H4544" s="2168"/>
      <c r="I4544" s="70"/>
    </row>
    <row r="4545" spans="3:9" s="46" customFormat="1" x14ac:dyDescent="0.2">
      <c r="C4545" s="144"/>
      <c r="D4545" s="144"/>
      <c r="E4545" s="144"/>
      <c r="F4545" s="373"/>
      <c r="H4545" s="2168"/>
      <c r="I4545" s="70"/>
    </row>
    <row r="4546" spans="3:9" s="46" customFormat="1" x14ac:dyDescent="0.2">
      <c r="C4546" s="144"/>
      <c r="D4546" s="144"/>
      <c r="E4546" s="144"/>
      <c r="F4546" s="373"/>
      <c r="H4546" s="2168"/>
      <c r="I4546" s="70"/>
    </row>
    <row r="4547" spans="3:9" s="46" customFormat="1" x14ac:dyDescent="0.2">
      <c r="C4547" s="144"/>
      <c r="D4547" s="144"/>
      <c r="E4547" s="144"/>
      <c r="F4547" s="373"/>
      <c r="H4547" s="2168"/>
      <c r="I4547" s="70"/>
    </row>
    <row r="4548" spans="3:9" s="46" customFormat="1" x14ac:dyDescent="0.2">
      <c r="C4548" s="144"/>
      <c r="D4548" s="144"/>
      <c r="E4548" s="144"/>
      <c r="F4548" s="373"/>
      <c r="H4548" s="2168"/>
      <c r="I4548" s="70"/>
    </row>
    <row r="4549" spans="3:9" s="46" customFormat="1" x14ac:dyDescent="0.2">
      <c r="C4549" s="144"/>
      <c r="D4549" s="144"/>
      <c r="E4549" s="144"/>
      <c r="F4549" s="373"/>
      <c r="H4549" s="2168"/>
      <c r="I4549" s="70"/>
    </row>
    <row r="4550" spans="3:9" s="46" customFormat="1" x14ac:dyDescent="0.2">
      <c r="C4550" s="144"/>
      <c r="D4550" s="144"/>
      <c r="E4550" s="144"/>
      <c r="F4550" s="373"/>
      <c r="H4550" s="2168"/>
      <c r="I4550" s="70"/>
    </row>
    <row r="4551" spans="3:9" s="46" customFormat="1" x14ac:dyDescent="0.2">
      <c r="C4551" s="144"/>
      <c r="D4551" s="144"/>
      <c r="E4551" s="144"/>
      <c r="F4551" s="373"/>
      <c r="H4551" s="2168"/>
      <c r="I4551" s="70"/>
    </row>
    <row r="4552" spans="3:9" s="46" customFormat="1" x14ac:dyDescent="0.2">
      <c r="C4552" s="144"/>
      <c r="D4552" s="144"/>
      <c r="E4552" s="144"/>
      <c r="F4552" s="373"/>
      <c r="H4552" s="2168"/>
      <c r="I4552" s="70"/>
    </row>
    <row r="4553" spans="3:9" s="46" customFormat="1" x14ac:dyDescent="0.2">
      <c r="C4553" s="144"/>
      <c r="D4553" s="144"/>
      <c r="E4553" s="144"/>
      <c r="F4553" s="373"/>
      <c r="H4553" s="2168"/>
      <c r="I4553" s="70"/>
    </row>
    <row r="4554" spans="3:9" s="46" customFormat="1" x14ac:dyDescent="0.2">
      <c r="C4554" s="144"/>
      <c r="D4554" s="144"/>
      <c r="E4554" s="144"/>
      <c r="F4554" s="373"/>
      <c r="H4554" s="2168"/>
      <c r="I4554" s="70"/>
    </row>
    <row r="4555" spans="3:9" s="46" customFormat="1" x14ac:dyDescent="0.2">
      <c r="C4555" s="144"/>
      <c r="D4555" s="144"/>
      <c r="E4555" s="144"/>
      <c r="F4555" s="373"/>
      <c r="H4555" s="2168"/>
      <c r="I4555" s="70"/>
    </row>
    <row r="4556" spans="3:9" s="46" customFormat="1" x14ac:dyDescent="0.2">
      <c r="C4556" s="144"/>
      <c r="D4556" s="144"/>
      <c r="E4556" s="144"/>
      <c r="F4556" s="373"/>
      <c r="H4556" s="2168"/>
      <c r="I4556" s="70"/>
    </row>
    <row r="4557" spans="3:9" s="46" customFormat="1" x14ac:dyDescent="0.2">
      <c r="C4557" s="144"/>
      <c r="D4557" s="144"/>
      <c r="E4557" s="144"/>
      <c r="F4557" s="373"/>
      <c r="H4557" s="2168"/>
      <c r="I4557" s="70"/>
    </row>
    <row r="4558" spans="3:9" s="46" customFormat="1" x14ac:dyDescent="0.2">
      <c r="C4558" s="144"/>
      <c r="D4558" s="144"/>
      <c r="E4558" s="144"/>
      <c r="F4558" s="373"/>
      <c r="H4558" s="2168"/>
      <c r="I4558" s="70"/>
    </row>
    <row r="4559" spans="3:9" s="46" customFormat="1" x14ac:dyDescent="0.2">
      <c r="C4559" s="144"/>
      <c r="D4559" s="144"/>
      <c r="E4559" s="144"/>
      <c r="F4559" s="373"/>
      <c r="H4559" s="2168"/>
      <c r="I4559" s="70"/>
    </row>
    <row r="4560" spans="3:9" s="46" customFormat="1" x14ac:dyDescent="0.2">
      <c r="C4560" s="144"/>
      <c r="D4560" s="144"/>
      <c r="E4560" s="144"/>
      <c r="F4560" s="373"/>
      <c r="H4560" s="2168"/>
      <c r="I4560" s="70"/>
    </row>
    <row r="4561" spans="3:9" s="46" customFormat="1" x14ac:dyDescent="0.2">
      <c r="C4561" s="144"/>
      <c r="D4561" s="144"/>
      <c r="E4561" s="144"/>
      <c r="F4561" s="373"/>
      <c r="H4561" s="2168"/>
      <c r="I4561" s="70"/>
    </row>
    <row r="4562" spans="3:9" s="46" customFormat="1" x14ac:dyDescent="0.2">
      <c r="C4562" s="144"/>
      <c r="D4562" s="144"/>
      <c r="E4562" s="144"/>
      <c r="F4562" s="373"/>
      <c r="H4562" s="2168"/>
      <c r="I4562" s="70"/>
    </row>
    <row r="4563" spans="3:9" s="46" customFormat="1" x14ac:dyDescent="0.2">
      <c r="C4563" s="144"/>
      <c r="D4563" s="144"/>
      <c r="E4563" s="144"/>
      <c r="F4563" s="373"/>
      <c r="H4563" s="2168"/>
      <c r="I4563" s="70"/>
    </row>
    <row r="4564" spans="3:9" s="46" customFormat="1" x14ac:dyDescent="0.2">
      <c r="C4564" s="144"/>
      <c r="D4564" s="144"/>
      <c r="E4564" s="144"/>
      <c r="F4564" s="373"/>
      <c r="H4564" s="2168"/>
      <c r="I4564" s="70"/>
    </row>
    <row r="4565" spans="3:9" s="46" customFormat="1" x14ac:dyDescent="0.2">
      <c r="C4565" s="144"/>
      <c r="D4565" s="144"/>
      <c r="E4565" s="144"/>
      <c r="F4565" s="373"/>
      <c r="H4565" s="2168"/>
      <c r="I4565" s="70"/>
    </row>
    <row r="4566" spans="3:9" s="46" customFormat="1" x14ac:dyDescent="0.2">
      <c r="C4566" s="144"/>
      <c r="D4566" s="144"/>
      <c r="E4566" s="144"/>
      <c r="F4566" s="373"/>
      <c r="H4566" s="2168"/>
      <c r="I4566" s="70"/>
    </row>
    <row r="4567" spans="3:9" s="46" customFormat="1" x14ac:dyDescent="0.2">
      <c r="C4567" s="144"/>
      <c r="D4567" s="144"/>
      <c r="E4567" s="144"/>
      <c r="F4567" s="373"/>
      <c r="H4567" s="2168"/>
      <c r="I4567" s="70"/>
    </row>
    <row r="4568" spans="3:9" s="46" customFormat="1" x14ac:dyDescent="0.2">
      <c r="C4568" s="144"/>
      <c r="D4568" s="144"/>
      <c r="E4568" s="144"/>
      <c r="F4568" s="373"/>
      <c r="H4568" s="2168"/>
      <c r="I4568" s="70"/>
    </row>
    <row r="4569" spans="3:9" s="46" customFormat="1" x14ac:dyDescent="0.2">
      <c r="C4569" s="144"/>
      <c r="D4569" s="144"/>
      <c r="E4569" s="144"/>
      <c r="F4569" s="373"/>
      <c r="H4569" s="2168"/>
      <c r="I4569" s="70"/>
    </row>
    <row r="4570" spans="3:9" s="46" customFormat="1" x14ac:dyDescent="0.2">
      <c r="C4570" s="144"/>
      <c r="D4570" s="144"/>
      <c r="E4570" s="144"/>
      <c r="F4570" s="373"/>
      <c r="H4570" s="2168"/>
      <c r="I4570" s="70"/>
    </row>
    <row r="4571" spans="3:9" s="46" customFormat="1" x14ac:dyDescent="0.2">
      <c r="C4571" s="144"/>
      <c r="D4571" s="144"/>
      <c r="E4571" s="144"/>
      <c r="F4571" s="373"/>
      <c r="H4571" s="2168"/>
      <c r="I4571" s="70"/>
    </row>
    <row r="4572" spans="3:9" s="46" customFormat="1" x14ac:dyDescent="0.2">
      <c r="C4572" s="144"/>
      <c r="D4572" s="144"/>
      <c r="E4572" s="144"/>
      <c r="F4572" s="373"/>
      <c r="H4572" s="2168"/>
      <c r="I4572" s="70"/>
    </row>
    <row r="4573" spans="3:9" s="46" customFormat="1" x14ac:dyDescent="0.2">
      <c r="C4573" s="144"/>
      <c r="D4573" s="144"/>
      <c r="E4573" s="144"/>
      <c r="F4573" s="373"/>
      <c r="H4573" s="2168"/>
      <c r="I4573" s="70"/>
    </row>
    <row r="4574" spans="3:9" s="46" customFormat="1" x14ac:dyDescent="0.2">
      <c r="C4574" s="144"/>
      <c r="D4574" s="144"/>
      <c r="E4574" s="144"/>
      <c r="F4574" s="373"/>
      <c r="H4574" s="2168"/>
      <c r="I4574" s="70"/>
    </row>
    <row r="4575" spans="3:9" s="46" customFormat="1" x14ac:dyDescent="0.2">
      <c r="C4575" s="144"/>
      <c r="D4575" s="144"/>
      <c r="E4575" s="144"/>
      <c r="F4575" s="373"/>
      <c r="H4575" s="2168"/>
      <c r="I4575" s="70"/>
    </row>
    <row r="4576" spans="3:9" s="46" customFormat="1" x14ac:dyDescent="0.2">
      <c r="C4576" s="144"/>
      <c r="D4576" s="144"/>
      <c r="E4576" s="144"/>
      <c r="F4576" s="373"/>
      <c r="H4576" s="2168"/>
      <c r="I4576" s="70"/>
    </row>
    <row r="4577" spans="3:9" s="46" customFormat="1" x14ac:dyDescent="0.2">
      <c r="C4577" s="144"/>
      <c r="D4577" s="144"/>
      <c r="E4577" s="144"/>
      <c r="F4577" s="373"/>
      <c r="H4577" s="2168"/>
      <c r="I4577" s="70"/>
    </row>
    <row r="4578" spans="3:9" s="46" customFormat="1" x14ac:dyDescent="0.2">
      <c r="C4578" s="144"/>
      <c r="D4578" s="144"/>
      <c r="E4578" s="144"/>
      <c r="F4578" s="373"/>
      <c r="H4578" s="2168"/>
      <c r="I4578" s="70"/>
    </row>
    <row r="4579" spans="3:9" s="46" customFormat="1" x14ac:dyDescent="0.2">
      <c r="C4579" s="144"/>
      <c r="D4579" s="144"/>
      <c r="E4579" s="144"/>
      <c r="F4579" s="373"/>
      <c r="H4579" s="2168"/>
      <c r="I4579" s="70"/>
    </row>
    <row r="4580" spans="3:9" s="46" customFormat="1" x14ac:dyDescent="0.2">
      <c r="C4580" s="144"/>
      <c r="D4580" s="144"/>
      <c r="E4580" s="144"/>
      <c r="F4580" s="373"/>
      <c r="H4580" s="2168"/>
      <c r="I4580" s="70"/>
    </row>
    <row r="4581" spans="3:9" s="46" customFormat="1" x14ac:dyDescent="0.2">
      <c r="C4581" s="144"/>
      <c r="D4581" s="144"/>
      <c r="E4581" s="144"/>
      <c r="F4581" s="373"/>
      <c r="H4581" s="2168"/>
      <c r="I4581" s="70"/>
    </row>
    <row r="4582" spans="3:9" s="46" customFormat="1" x14ac:dyDescent="0.2">
      <c r="C4582" s="144"/>
      <c r="D4582" s="144"/>
      <c r="E4582" s="144"/>
      <c r="F4582" s="373"/>
      <c r="H4582" s="2168"/>
      <c r="I4582" s="70"/>
    </row>
    <row r="4583" spans="3:9" s="46" customFormat="1" x14ac:dyDescent="0.2">
      <c r="C4583" s="144"/>
      <c r="D4583" s="144"/>
      <c r="E4583" s="144"/>
      <c r="F4583" s="373"/>
      <c r="H4583" s="2168"/>
      <c r="I4583" s="70"/>
    </row>
    <row r="4584" spans="3:9" s="46" customFormat="1" x14ac:dyDescent="0.2">
      <c r="C4584" s="144"/>
      <c r="D4584" s="144"/>
      <c r="E4584" s="144"/>
      <c r="F4584" s="373"/>
      <c r="H4584" s="2168"/>
      <c r="I4584" s="70"/>
    </row>
    <row r="4585" spans="3:9" s="46" customFormat="1" x14ac:dyDescent="0.2">
      <c r="C4585" s="144"/>
      <c r="D4585" s="144"/>
      <c r="E4585" s="144"/>
      <c r="F4585" s="373"/>
      <c r="H4585" s="2168"/>
      <c r="I4585" s="70"/>
    </row>
    <row r="4586" spans="3:9" s="46" customFormat="1" x14ac:dyDescent="0.2">
      <c r="C4586" s="144"/>
      <c r="D4586" s="144"/>
      <c r="E4586" s="144"/>
      <c r="F4586" s="373"/>
      <c r="H4586" s="2168"/>
      <c r="I4586" s="70"/>
    </row>
    <row r="4587" spans="3:9" s="46" customFormat="1" x14ac:dyDescent="0.2">
      <c r="C4587" s="144"/>
      <c r="D4587" s="144"/>
      <c r="E4587" s="144"/>
      <c r="F4587" s="373"/>
      <c r="H4587" s="2168"/>
      <c r="I4587" s="70"/>
    </row>
    <row r="4588" spans="3:9" s="46" customFormat="1" x14ac:dyDescent="0.2">
      <c r="C4588" s="144"/>
      <c r="D4588" s="144"/>
      <c r="E4588" s="144"/>
      <c r="F4588" s="373"/>
      <c r="H4588" s="2168"/>
      <c r="I4588" s="70"/>
    </row>
    <row r="4589" spans="3:9" s="46" customFormat="1" x14ac:dyDescent="0.2">
      <c r="C4589" s="144"/>
      <c r="D4589" s="144"/>
      <c r="E4589" s="144"/>
      <c r="F4589" s="373"/>
      <c r="H4589" s="2168"/>
      <c r="I4589" s="70"/>
    </row>
    <row r="4590" spans="3:9" s="46" customFormat="1" x14ac:dyDescent="0.2">
      <c r="C4590" s="144"/>
      <c r="D4590" s="144"/>
      <c r="E4590" s="144"/>
      <c r="F4590" s="373"/>
      <c r="H4590" s="2168"/>
      <c r="I4590" s="70"/>
    </row>
    <row r="4591" spans="3:9" s="46" customFormat="1" x14ac:dyDescent="0.2">
      <c r="C4591" s="144"/>
      <c r="D4591" s="144"/>
      <c r="E4591" s="144"/>
      <c r="F4591" s="373"/>
      <c r="H4591" s="2168"/>
      <c r="I4591" s="70"/>
    </row>
    <row r="4592" spans="3:9" s="46" customFormat="1" x14ac:dyDescent="0.2">
      <c r="C4592" s="144"/>
      <c r="D4592" s="144"/>
      <c r="E4592" s="144"/>
      <c r="F4592" s="373"/>
      <c r="H4592" s="2168"/>
      <c r="I4592" s="70"/>
    </row>
    <row r="4593" spans="3:9" s="46" customFormat="1" x14ac:dyDescent="0.2">
      <c r="C4593" s="144"/>
      <c r="D4593" s="144"/>
      <c r="E4593" s="144"/>
      <c r="F4593" s="373"/>
      <c r="H4593" s="2168"/>
      <c r="I4593" s="70"/>
    </row>
    <row r="4594" spans="3:9" s="46" customFormat="1" x14ac:dyDescent="0.2">
      <c r="C4594" s="144"/>
      <c r="D4594" s="144"/>
      <c r="E4594" s="144"/>
      <c r="F4594" s="373"/>
      <c r="H4594" s="2168"/>
      <c r="I4594" s="70"/>
    </row>
    <row r="4595" spans="3:9" s="46" customFormat="1" x14ac:dyDescent="0.2">
      <c r="C4595" s="144"/>
      <c r="D4595" s="144"/>
      <c r="E4595" s="144"/>
      <c r="F4595" s="373"/>
      <c r="H4595" s="2168"/>
      <c r="I4595" s="70"/>
    </row>
    <row r="4596" spans="3:9" s="46" customFormat="1" x14ac:dyDescent="0.2">
      <c r="C4596" s="144"/>
      <c r="D4596" s="144"/>
      <c r="E4596" s="144"/>
      <c r="F4596" s="373"/>
      <c r="H4596" s="2168"/>
      <c r="I4596" s="70"/>
    </row>
    <row r="4597" spans="3:9" s="46" customFormat="1" x14ac:dyDescent="0.2">
      <c r="C4597" s="144"/>
      <c r="D4597" s="144"/>
      <c r="E4597" s="144"/>
      <c r="F4597" s="373"/>
      <c r="H4597" s="2168"/>
      <c r="I4597" s="70"/>
    </row>
    <row r="4598" spans="3:9" s="46" customFormat="1" x14ac:dyDescent="0.2">
      <c r="C4598" s="144"/>
      <c r="D4598" s="144"/>
      <c r="E4598" s="144"/>
      <c r="F4598" s="373"/>
      <c r="H4598" s="2168"/>
      <c r="I4598" s="70"/>
    </row>
    <row r="4599" spans="3:9" s="46" customFormat="1" x14ac:dyDescent="0.2">
      <c r="C4599" s="144"/>
      <c r="D4599" s="144"/>
      <c r="E4599" s="144"/>
      <c r="F4599" s="373"/>
      <c r="H4599" s="2168"/>
      <c r="I4599" s="70"/>
    </row>
    <row r="4600" spans="3:9" s="46" customFormat="1" x14ac:dyDescent="0.2">
      <c r="C4600" s="144"/>
      <c r="D4600" s="144"/>
      <c r="E4600" s="144"/>
      <c r="F4600" s="373"/>
      <c r="H4600" s="2168"/>
      <c r="I4600" s="70"/>
    </row>
    <row r="4601" spans="3:9" s="46" customFormat="1" x14ac:dyDescent="0.2">
      <c r="C4601" s="144"/>
      <c r="D4601" s="144"/>
      <c r="E4601" s="144"/>
      <c r="F4601" s="373"/>
      <c r="H4601" s="2168"/>
      <c r="I4601" s="70"/>
    </row>
    <row r="4602" spans="3:9" s="46" customFormat="1" x14ac:dyDescent="0.2">
      <c r="C4602" s="144"/>
      <c r="D4602" s="144"/>
      <c r="E4602" s="144"/>
      <c r="F4602" s="373"/>
      <c r="H4602" s="2168"/>
      <c r="I4602" s="70"/>
    </row>
    <row r="4603" spans="3:9" s="46" customFormat="1" x14ac:dyDescent="0.2">
      <c r="C4603" s="144"/>
      <c r="D4603" s="144"/>
      <c r="E4603" s="144"/>
      <c r="F4603" s="373"/>
      <c r="H4603" s="2168"/>
      <c r="I4603" s="70"/>
    </row>
    <row r="4604" spans="3:9" s="46" customFormat="1" x14ac:dyDescent="0.2">
      <c r="C4604" s="144"/>
      <c r="D4604" s="144"/>
      <c r="E4604" s="144"/>
      <c r="F4604" s="373"/>
      <c r="H4604" s="2168"/>
      <c r="I4604" s="70"/>
    </row>
    <row r="4605" spans="3:9" s="46" customFormat="1" x14ac:dyDescent="0.2">
      <c r="C4605" s="144"/>
      <c r="D4605" s="144"/>
      <c r="E4605" s="144"/>
      <c r="F4605" s="373"/>
      <c r="H4605" s="2168"/>
      <c r="I4605" s="70"/>
    </row>
    <row r="4606" spans="3:9" s="46" customFormat="1" x14ac:dyDescent="0.2">
      <c r="C4606" s="144"/>
      <c r="D4606" s="144"/>
      <c r="E4606" s="144"/>
      <c r="F4606" s="373"/>
      <c r="H4606" s="2168"/>
      <c r="I4606" s="70"/>
    </row>
    <row r="4607" spans="3:9" s="46" customFormat="1" x14ac:dyDescent="0.2">
      <c r="C4607" s="144"/>
      <c r="D4607" s="144"/>
      <c r="E4607" s="144"/>
      <c r="F4607" s="373"/>
      <c r="H4607" s="2168"/>
      <c r="I4607" s="70"/>
    </row>
    <row r="4608" spans="3:9" s="46" customFormat="1" x14ac:dyDescent="0.2">
      <c r="C4608" s="144"/>
      <c r="D4608" s="144"/>
      <c r="E4608" s="144"/>
      <c r="F4608" s="373"/>
      <c r="H4608" s="2168"/>
      <c r="I4608" s="70"/>
    </row>
    <row r="4609" spans="3:9" s="46" customFormat="1" x14ac:dyDescent="0.2">
      <c r="C4609" s="144"/>
      <c r="D4609" s="144"/>
      <c r="E4609" s="144"/>
      <c r="F4609" s="373"/>
      <c r="H4609" s="2168"/>
      <c r="I4609" s="70"/>
    </row>
    <row r="4610" spans="3:9" s="46" customFormat="1" x14ac:dyDescent="0.2">
      <c r="C4610" s="144"/>
      <c r="D4610" s="144"/>
      <c r="E4610" s="144"/>
      <c r="F4610" s="373"/>
      <c r="H4610" s="2168"/>
      <c r="I4610" s="70"/>
    </row>
    <row r="4611" spans="3:9" s="46" customFormat="1" x14ac:dyDescent="0.2">
      <c r="C4611" s="144"/>
      <c r="D4611" s="144"/>
      <c r="E4611" s="144"/>
      <c r="F4611" s="373"/>
      <c r="H4611" s="2168"/>
      <c r="I4611" s="70"/>
    </row>
    <row r="4612" spans="3:9" s="46" customFormat="1" x14ac:dyDescent="0.2">
      <c r="C4612" s="144"/>
      <c r="D4612" s="144"/>
      <c r="E4612" s="144"/>
      <c r="F4612" s="373"/>
      <c r="H4612" s="2168"/>
      <c r="I4612" s="70"/>
    </row>
    <row r="4613" spans="3:9" s="46" customFormat="1" x14ac:dyDescent="0.2">
      <c r="C4613" s="144"/>
      <c r="D4613" s="144"/>
      <c r="E4613" s="144"/>
      <c r="F4613" s="373"/>
      <c r="H4613" s="2168"/>
      <c r="I4613" s="70"/>
    </row>
    <row r="4614" spans="3:9" s="46" customFormat="1" x14ac:dyDescent="0.2">
      <c r="C4614" s="144"/>
      <c r="D4614" s="144"/>
      <c r="E4614" s="144"/>
      <c r="F4614" s="373"/>
      <c r="H4614" s="2168"/>
      <c r="I4614" s="70"/>
    </row>
    <row r="4615" spans="3:9" s="46" customFormat="1" x14ac:dyDescent="0.2">
      <c r="C4615" s="144"/>
      <c r="D4615" s="144"/>
      <c r="E4615" s="144"/>
      <c r="F4615" s="373"/>
      <c r="H4615" s="2168"/>
      <c r="I4615" s="70"/>
    </row>
    <row r="4616" spans="3:9" s="46" customFormat="1" x14ac:dyDescent="0.2">
      <c r="C4616" s="144"/>
      <c r="D4616" s="144"/>
      <c r="E4616" s="144"/>
      <c r="F4616" s="373"/>
      <c r="H4616" s="2168"/>
      <c r="I4616" s="70"/>
    </row>
    <row r="4617" spans="3:9" s="46" customFormat="1" x14ac:dyDescent="0.2">
      <c r="C4617" s="144"/>
      <c r="D4617" s="144"/>
      <c r="E4617" s="144"/>
      <c r="F4617" s="373"/>
      <c r="H4617" s="2168"/>
      <c r="I4617" s="70"/>
    </row>
    <row r="4618" spans="3:9" s="46" customFormat="1" x14ac:dyDescent="0.2">
      <c r="C4618" s="144"/>
      <c r="D4618" s="144"/>
      <c r="E4618" s="144"/>
      <c r="F4618" s="373"/>
      <c r="H4618" s="2168"/>
      <c r="I4618" s="70"/>
    </row>
    <row r="4619" spans="3:9" s="46" customFormat="1" x14ac:dyDescent="0.2">
      <c r="C4619" s="144"/>
      <c r="D4619" s="144"/>
      <c r="E4619" s="144"/>
      <c r="F4619" s="373"/>
      <c r="H4619" s="2168"/>
      <c r="I4619" s="70"/>
    </row>
    <row r="4620" spans="3:9" s="46" customFormat="1" x14ac:dyDescent="0.2">
      <c r="C4620" s="144"/>
      <c r="D4620" s="144"/>
      <c r="E4620" s="144"/>
      <c r="F4620" s="373"/>
      <c r="H4620" s="2168"/>
      <c r="I4620" s="70"/>
    </row>
    <row r="4621" spans="3:9" s="46" customFormat="1" x14ac:dyDescent="0.2">
      <c r="C4621" s="144"/>
      <c r="D4621" s="144"/>
      <c r="E4621" s="144"/>
      <c r="F4621" s="373"/>
      <c r="H4621" s="2168"/>
      <c r="I4621" s="70"/>
    </row>
    <row r="4622" spans="3:9" s="46" customFormat="1" x14ac:dyDescent="0.2">
      <c r="C4622" s="144"/>
      <c r="D4622" s="144"/>
      <c r="E4622" s="144"/>
      <c r="F4622" s="373"/>
      <c r="H4622" s="2168"/>
      <c r="I4622" s="70"/>
    </row>
    <row r="4623" spans="3:9" s="46" customFormat="1" x14ac:dyDescent="0.2">
      <c r="C4623" s="144"/>
      <c r="D4623" s="144"/>
      <c r="E4623" s="144"/>
      <c r="F4623" s="373"/>
      <c r="H4623" s="2168"/>
      <c r="I4623" s="70"/>
    </row>
    <row r="4624" spans="3:9" s="46" customFormat="1" x14ac:dyDescent="0.2">
      <c r="C4624" s="144"/>
      <c r="D4624" s="144"/>
      <c r="E4624" s="144"/>
      <c r="F4624" s="373"/>
      <c r="H4624" s="2168"/>
      <c r="I4624" s="70"/>
    </row>
    <row r="4625" spans="3:9" s="46" customFormat="1" x14ac:dyDescent="0.2">
      <c r="C4625" s="144"/>
      <c r="D4625" s="144"/>
      <c r="E4625" s="144"/>
      <c r="F4625" s="373"/>
      <c r="H4625" s="2168"/>
      <c r="I4625" s="70"/>
    </row>
    <row r="4626" spans="3:9" s="46" customFormat="1" x14ac:dyDescent="0.2">
      <c r="C4626" s="144"/>
      <c r="D4626" s="144"/>
      <c r="E4626" s="144"/>
      <c r="F4626" s="373"/>
      <c r="H4626" s="2168"/>
      <c r="I4626" s="70"/>
    </row>
    <row r="4627" spans="3:9" s="46" customFormat="1" x14ac:dyDescent="0.2">
      <c r="C4627" s="144"/>
      <c r="D4627" s="144"/>
      <c r="E4627" s="144"/>
      <c r="F4627" s="373"/>
      <c r="H4627" s="2168"/>
      <c r="I4627" s="70"/>
    </row>
    <row r="4628" spans="3:9" s="46" customFormat="1" x14ac:dyDescent="0.2">
      <c r="C4628" s="144"/>
      <c r="D4628" s="144"/>
      <c r="E4628" s="144"/>
      <c r="F4628" s="373"/>
      <c r="H4628" s="2168"/>
      <c r="I4628" s="70"/>
    </row>
    <row r="4629" spans="3:9" s="46" customFormat="1" x14ac:dyDescent="0.2">
      <c r="C4629" s="144"/>
      <c r="D4629" s="144"/>
      <c r="E4629" s="144"/>
      <c r="F4629" s="373"/>
      <c r="H4629" s="2168"/>
      <c r="I4629" s="70"/>
    </row>
    <row r="4630" spans="3:9" s="46" customFormat="1" x14ac:dyDescent="0.2">
      <c r="C4630" s="144"/>
      <c r="D4630" s="144"/>
      <c r="E4630" s="144"/>
      <c r="F4630" s="373"/>
      <c r="H4630" s="2168"/>
      <c r="I4630" s="70"/>
    </row>
    <row r="4631" spans="3:9" s="46" customFormat="1" x14ac:dyDescent="0.2">
      <c r="C4631" s="144"/>
      <c r="D4631" s="144"/>
      <c r="E4631" s="144"/>
      <c r="F4631" s="373"/>
      <c r="H4631" s="2168"/>
      <c r="I4631" s="70"/>
    </row>
    <row r="4632" spans="3:9" s="46" customFormat="1" x14ac:dyDescent="0.2">
      <c r="C4632" s="144"/>
      <c r="D4632" s="144"/>
      <c r="E4632" s="144"/>
      <c r="F4632" s="373"/>
      <c r="H4632" s="2168"/>
      <c r="I4632" s="70"/>
    </row>
    <row r="4633" spans="3:9" s="46" customFormat="1" x14ac:dyDescent="0.2">
      <c r="C4633" s="144"/>
      <c r="D4633" s="144"/>
      <c r="E4633" s="144"/>
      <c r="F4633" s="373"/>
      <c r="H4633" s="2168"/>
      <c r="I4633" s="70"/>
    </row>
    <row r="4634" spans="3:9" s="46" customFormat="1" x14ac:dyDescent="0.2">
      <c r="C4634" s="144"/>
      <c r="D4634" s="144"/>
      <c r="E4634" s="144"/>
      <c r="F4634" s="373"/>
      <c r="H4634" s="2168"/>
      <c r="I4634" s="70"/>
    </row>
    <row r="4635" spans="3:9" s="46" customFormat="1" x14ac:dyDescent="0.2">
      <c r="C4635" s="144"/>
      <c r="D4635" s="144"/>
      <c r="E4635" s="144"/>
      <c r="F4635" s="373"/>
      <c r="H4635" s="2168"/>
      <c r="I4635" s="70"/>
    </row>
    <row r="4636" spans="3:9" s="46" customFormat="1" x14ac:dyDescent="0.2">
      <c r="C4636" s="144"/>
      <c r="D4636" s="144"/>
      <c r="E4636" s="144"/>
      <c r="F4636" s="373"/>
      <c r="H4636" s="2168"/>
      <c r="I4636" s="70"/>
    </row>
    <row r="4637" spans="3:9" s="46" customFormat="1" x14ac:dyDescent="0.2">
      <c r="C4637" s="144"/>
      <c r="D4637" s="144"/>
      <c r="E4637" s="144"/>
      <c r="F4637" s="373"/>
      <c r="H4637" s="2168"/>
      <c r="I4637" s="70"/>
    </row>
    <row r="4638" spans="3:9" s="46" customFormat="1" x14ac:dyDescent="0.2">
      <c r="C4638" s="144"/>
      <c r="D4638" s="144"/>
      <c r="E4638" s="144"/>
      <c r="F4638" s="373"/>
      <c r="H4638" s="2168"/>
      <c r="I4638" s="70"/>
    </row>
    <row r="4639" spans="3:9" s="46" customFormat="1" x14ac:dyDescent="0.2">
      <c r="C4639" s="144"/>
      <c r="D4639" s="144"/>
      <c r="E4639" s="144"/>
      <c r="F4639" s="373"/>
      <c r="H4639" s="2168"/>
      <c r="I4639" s="70"/>
    </row>
    <row r="4640" spans="3:9" s="46" customFormat="1" x14ac:dyDescent="0.2">
      <c r="C4640" s="144"/>
      <c r="D4640" s="144"/>
      <c r="E4640" s="144"/>
      <c r="F4640" s="373"/>
      <c r="H4640" s="2168"/>
      <c r="I4640" s="70"/>
    </row>
    <row r="4641" spans="3:9" s="46" customFormat="1" x14ac:dyDescent="0.2">
      <c r="C4641" s="144"/>
      <c r="D4641" s="144"/>
      <c r="E4641" s="144"/>
      <c r="F4641" s="373"/>
      <c r="H4641" s="2168"/>
      <c r="I4641" s="70"/>
    </row>
    <row r="4642" spans="3:9" s="46" customFormat="1" x14ac:dyDescent="0.2">
      <c r="C4642" s="144"/>
      <c r="D4642" s="144"/>
      <c r="E4642" s="144"/>
      <c r="F4642" s="373"/>
      <c r="H4642" s="2168"/>
      <c r="I4642" s="70"/>
    </row>
    <row r="4643" spans="3:9" s="46" customFormat="1" x14ac:dyDescent="0.2">
      <c r="C4643" s="144"/>
      <c r="D4643" s="144"/>
      <c r="E4643" s="144"/>
      <c r="F4643" s="373"/>
      <c r="H4643" s="2168"/>
      <c r="I4643" s="70"/>
    </row>
    <row r="4644" spans="3:9" s="46" customFormat="1" x14ac:dyDescent="0.2">
      <c r="C4644" s="144"/>
      <c r="D4644" s="144"/>
      <c r="E4644" s="144"/>
      <c r="F4644" s="373"/>
      <c r="H4644" s="2168"/>
      <c r="I4644" s="70"/>
    </row>
    <row r="4645" spans="3:9" s="46" customFormat="1" x14ac:dyDescent="0.2">
      <c r="C4645" s="144"/>
      <c r="D4645" s="144"/>
      <c r="E4645" s="144"/>
      <c r="F4645" s="373"/>
      <c r="H4645" s="2168"/>
      <c r="I4645" s="70"/>
    </row>
    <row r="4646" spans="3:9" s="46" customFormat="1" x14ac:dyDescent="0.2">
      <c r="C4646" s="144"/>
      <c r="D4646" s="144"/>
      <c r="E4646" s="144"/>
      <c r="F4646" s="373"/>
      <c r="H4646" s="2168"/>
      <c r="I4646" s="70"/>
    </row>
    <row r="4647" spans="3:9" s="46" customFormat="1" x14ac:dyDescent="0.2">
      <c r="C4647" s="144"/>
      <c r="D4647" s="144"/>
      <c r="E4647" s="144"/>
      <c r="F4647" s="373"/>
      <c r="H4647" s="2168"/>
      <c r="I4647" s="70"/>
    </row>
    <row r="4648" spans="3:9" s="46" customFormat="1" x14ac:dyDescent="0.2">
      <c r="C4648" s="144"/>
      <c r="D4648" s="144"/>
      <c r="E4648" s="144"/>
      <c r="F4648" s="373"/>
      <c r="H4648" s="2168"/>
      <c r="I4648" s="70"/>
    </row>
    <row r="4649" spans="3:9" s="46" customFormat="1" x14ac:dyDescent="0.2">
      <c r="C4649" s="144"/>
      <c r="D4649" s="144"/>
      <c r="E4649" s="144"/>
      <c r="F4649" s="373"/>
      <c r="H4649" s="2168"/>
      <c r="I4649" s="70"/>
    </row>
    <row r="4650" spans="3:9" s="46" customFormat="1" x14ac:dyDescent="0.2">
      <c r="C4650" s="144"/>
      <c r="D4650" s="144"/>
      <c r="E4650" s="144"/>
      <c r="F4650" s="373"/>
      <c r="H4650" s="2168"/>
      <c r="I4650" s="70"/>
    </row>
    <row r="4651" spans="3:9" s="46" customFormat="1" x14ac:dyDescent="0.2">
      <c r="C4651" s="144"/>
      <c r="D4651" s="144"/>
      <c r="E4651" s="144"/>
      <c r="F4651" s="373"/>
      <c r="H4651" s="2168"/>
      <c r="I4651" s="70"/>
    </row>
    <row r="4652" spans="3:9" s="46" customFormat="1" x14ac:dyDescent="0.2">
      <c r="C4652" s="144"/>
      <c r="D4652" s="144"/>
      <c r="E4652" s="144"/>
      <c r="F4652" s="373"/>
      <c r="H4652" s="2168"/>
      <c r="I4652" s="70"/>
    </row>
    <row r="4653" spans="3:9" s="46" customFormat="1" x14ac:dyDescent="0.2">
      <c r="C4653" s="144"/>
      <c r="D4653" s="144"/>
      <c r="E4653" s="144"/>
      <c r="F4653" s="373"/>
      <c r="H4653" s="2168"/>
      <c r="I4653" s="70"/>
    </row>
    <row r="4654" spans="3:9" s="46" customFormat="1" x14ac:dyDescent="0.2">
      <c r="C4654" s="144"/>
      <c r="D4654" s="144"/>
      <c r="E4654" s="144"/>
      <c r="F4654" s="373"/>
      <c r="H4654" s="2168"/>
      <c r="I4654" s="70"/>
    </row>
    <row r="4655" spans="3:9" s="46" customFormat="1" x14ac:dyDescent="0.2">
      <c r="C4655" s="144"/>
      <c r="D4655" s="144"/>
      <c r="E4655" s="144"/>
      <c r="F4655" s="373"/>
      <c r="H4655" s="2168"/>
      <c r="I4655" s="70"/>
    </row>
    <row r="4656" spans="3:9" s="46" customFormat="1" x14ac:dyDescent="0.2">
      <c r="C4656" s="144"/>
      <c r="D4656" s="144"/>
      <c r="E4656" s="144"/>
      <c r="F4656" s="373"/>
      <c r="H4656" s="2168"/>
      <c r="I4656" s="70"/>
    </row>
    <row r="4657" spans="3:9" s="46" customFormat="1" x14ac:dyDescent="0.2">
      <c r="C4657" s="144"/>
      <c r="D4657" s="144"/>
      <c r="E4657" s="144"/>
      <c r="F4657" s="373"/>
      <c r="H4657" s="2168"/>
      <c r="I4657" s="70"/>
    </row>
    <row r="4658" spans="3:9" s="46" customFormat="1" x14ac:dyDescent="0.2">
      <c r="C4658" s="144"/>
      <c r="D4658" s="144"/>
      <c r="E4658" s="144"/>
      <c r="F4658" s="373"/>
      <c r="H4658" s="2168"/>
      <c r="I4658" s="70"/>
    </row>
    <row r="4659" spans="3:9" s="46" customFormat="1" x14ac:dyDescent="0.2">
      <c r="C4659" s="144"/>
      <c r="D4659" s="144"/>
      <c r="E4659" s="144"/>
      <c r="F4659" s="373"/>
      <c r="H4659" s="2168"/>
      <c r="I4659" s="70"/>
    </row>
    <row r="4660" spans="3:9" s="46" customFormat="1" x14ac:dyDescent="0.2">
      <c r="C4660" s="144"/>
      <c r="D4660" s="144"/>
      <c r="E4660" s="144"/>
      <c r="F4660" s="373"/>
      <c r="H4660" s="2168"/>
      <c r="I4660" s="70"/>
    </row>
    <row r="4661" spans="3:9" s="46" customFormat="1" x14ac:dyDescent="0.2">
      <c r="C4661" s="144"/>
      <c r="D4661" s="144"/>
      <c r="E4661" s="144"/>
      <c r="F4661" s="373"/>
      <c r="H4661" s="2168"/>
      <c r="I4661" s="70"/>
    </row>
    <row r="4662" spans="3:9" s="46" customFormat="1" x14ac:dyDescent="0.2">
      <c r="C4662" s="144"/>
      <c r="D4662" s="144"/>
      <c r="E4662" s="144"/>
      <c r="F4662" s="373"/>
      <c r="H4662" s="2168"/>
      <c r="I4662" s="70"/>
    </row>
    <row r="4663" spans="3:9" s="46" customFormat="1" x14ac:dyDescent="0.2">
      <c r="C4663" s="144"/>
      <c r="D4663" s="144"/>
      <c r="E4663" s="144"/>
      <c r="F4663" s="373"/>
      <c r="H4663" s="2168"/>
      <c r="I4663" s="70"/>
    </row>
    <row r="4664" spans="3:9" s="46" customFormat="1" x14ac:dyDescent="0.2">
      <c r="C4664" s="144"/>
      <c r="D4664" s="144"/>
      <c r="E4664" s="144"/>
      <c r="F4664" s="373"/>
      <c r="H4664" s="2168"/>
      <c r="I4664" s="70"/>
    </row>
    <row r="4665" spans="3:9" s="46" customFormat="1" x14ac:dyDescent="0.2">
      <c r="C4665" s="144"/>
      <c r="D4665" s="144"/>
      <c r="E4665" s="144"/>
      <c r="F4665" s="373"/>
      <c r="H4665" s="2168"/>
      <c r="I4665" s="70"/>
    </row>
    <row r="4666" spans="3:9" s="46" customFormat="1" x14ac:dyDescent="0.2">
      <c r="C4666" s="144"/>
      <c r="D4666" s="144"/>
      <c r="E4666" s="144"/>
      <c r="F4666" s="373"/>
      <c r="H4666" s="2168"/>
      <c r="I4666" s="70"/>
    </row>
    <row r="4667" spans="3:9" s="46" customFormat="1" x14ac:dyDescent="0.2">
      <c r="C4667" s="144"/>
      <c r="D4667" s="144"/>
      <c r="E4667" s="144"/>
      <c r="F4667" s="373"/>
      <c r="H4667" s="2168"/>
      <c r="I4667" s="70"/>
    </row>
    <row r="4668" spans="3:9" s="46" customFormat="1" x14ac:dyDescent="0.2">
      <c r="C4668" s="144"/>
      <c r="D4668" s="144"/>
      <c r="E4668" s="144"/>
      <c r="F4668" s="373"/>
      <c r="H4668" s="2168"/>
      <c r="I4668" s="70"/>
    </row>
    <row r="4669" spans="3:9" s="46" customFormat="1" x14ac:dyDescent="0.2">
      <c r="C4669" s="144"/>
      <c r="D4669" s="144"/>
      <c r="E4669" s="144"/>
      <c r="F4669" s="373"/>
      <c r="H4669" s="2168"/>
      <c r="I4669" s="70"/>
    </row>
    <row r="4670" spans="3:9" s="46" customFormat="1" x14ac:dyDescent="0.2">
      <c r="C4670" s="144"/>
      <c r="D4670" s="144"/>
      <c r="E4670" s="144"/>
      <c r="F4670" s="373"/>
      <c r="H4670" s="2168"/>
      <c r="I4670" s="70"/>
    </row>
    <row r="4671" spans="3:9" s="46" customFormat="1" x14ac:dyDescent="0.2">
      <c r="C4671" s="144"/>
      <c r="D4671" s="144"/>
      <c r="E4671" s="144"/>
      <c r="F4671" s="373"/>
      <c r="H4671" s="2168"/>
      <c r="I4671" s="70"/>
    </row>
    <row r="4672" spans="3:9" s="46" customFormat="1" x14ac:dyDescent="0.2">
      <c r="C4672" s="144"/>
      <c r="D4672" s="144"/>
      <c r="E4672" s="144"/>
      <c r="F4672" s="373"/>
      <c r="H4672" s="2168"/>
      <c r="I4672" s="70"/>
    </row>
    <row r="4673" spans="3:9" s="46" customFormat="1" x14ac:dyDescent="0.2">
      <c r="C4673" s="144"/>
      <c r="D4673" s="144"/>
      <c r="E4673" s="144"/>
      <c r="F4673" s="373"/>
      <c r="H4673" s="2168"/>
      <c r="I4673" s="70"/>
    </row>
    <row r="4674" spans="3:9" s="46" customFormat="1" x14ac:dyDescent="0.2">
      <c r="C4674" s="144"/>
      <c r="D4674" s="144"/>
      <c r="E4674" s="144"/>
      <c r="F4674" s="373"/>
      <c r="H4674" s="2168"/>
      <c r="I4674" s="70"/>
    </row>
    <row r="4675" spans="3:9" s="46" customFormat="1" x14ac:dyDescent="0.2">
      <c r="C4675" s="144"/>
      <c r="D4675" s="144"/>
      <c r="E4675" s="144"/>
      <c r="F4675" s="373"/>
      <c r="H4675" s="2168"/>
      <c r="I4675" s="70"/>
    </row>
    <row r="4676" spans="3:9" s="46" customFormat="1" x14ac:dyDescent="0.2">
      <c r="C4676" s="144"/>
      <c r="D4676" s="144"/>
      <c r="E4676" s="144"/>
      <c r="F4676" s="373"/>
      <c r="H4676" s="2168"/>
      <c r="I4676" s="70"/>
    </row>
    <row r="4677" spans="3:9" s="46" customFormat="1" x14ac:dyDescent="0.2">
      <c r="C4677" s="144"/>
      <c r="D4677" s="144"/>
      <c r="E4677" s="144"/>
      <c r="F4677" s="373"/>
      <c r="H4677" s="2168"/>
      <c r="I4677" s="70"/>
    </row>
    <row r="4678" spans="3:9" s="46" customFormat="1" x14ac:dyDescent="0.2">
      <c r="C4678" s="144"/>
      <c r="D4678" s="144"/>
      <c r="E4678" s="144"/>
      <c r="F4678" s="373"/>
      <c r="H4678" s="2168"/>
      <c r="I4678" s="70"/>
    </row>
    <row r="4679" spans="3:9" s="46" customFormat="1" x14ac:dyDescent="0.2">
      <c r="C4679" s="144"/>
      <c r="D4679" s="144"/>
      <c r="E4679" s="144"/>
      <c r="F4679" s="373"/>
      <c r="H4679" s="2168"/>
      <c r="I4679" s="70"/>
    </row>
    <row r="4680" spans="3:9" s="46" customFormat="1" x14ac:dyDescent="0.2">
      <c r="C4680" s="144"/>
      <c r="D4680" s="144"/>
      <c r="E4680" s="144"/>
      <c r="F4680" s="373"/>
      <c r="H4680" s="2168"/>
      <c r="I4680" s="70"/>
    </row>
    <row r="4681" spans="3:9" s="46" customFormat="1" x14ac:dyDescent="0.2">
      <c r="C4681" s="144"/>
      <c r="D4681" s="144"/>
      <c r="E4681" s="144"/>
      <c r="F4681" s="373"/>
      <c r="H4681" s="2168"/>
      <c r="I4681" s="70"/>
    </row>
    <row r="4682" spans="3:9" s="46" customFormat="1" x14ac:dyDescent="0.2">
      <c r="C4682" s="144"/>
      <c r="D4682" s="144"/>
      <c r="E4682" s="144"/>
      <c r="F4682" s="373"/>
      <c r="H4682" s="2168"/>
      <c r="I4682" s="70"/>
    </row>
    <row r="4683" spans="3:9" s="46" customFormat="1" x14ac:dyDescent="0.2">
      <c r="C4683" s="144"/>
      <c r="D4683" s="144"/>
      <c r="E4683" s="144"/>
      <c r="F4683" s="373"/>
      <c r="H4683" s="2168"/>
      <c r="I4683" s="70"/>
    </row>
    <row r="4684" spans="3:9" s="46" customFormat="1" x14ac:dyDescent="0.2">
      <c r="C4684" s="144"/>
      <c r="D4684" s="144"/>
      <c r="E4684" s="144"/>
      <c r="F4684" s="373"/>
      <c r="H4684" s="2168"/>
      <c r="I4684" s="70"/>
    </row>
    <row r="4685" spans="3:9" s="46" customFormat="1" x14ac:dyDescent="0.2">
      <c r="C4685" s="144"/>
      <c r="D4685" s="144"/>
      <c r="E4685" s="144"/>
      <c r="F4685" s="373"/>
      <c r="H4685" s="2168"/>
      <c r="I4685" s="70"/>
    </row>
    <row r="4686" spans="3:9" s="46" customFormat="1" x14ac:dyDescent="0.2">
      <c r="C4686" s="144"/>
      <c r="D4686" s="144"/>
      <c r="E4686" s="144"/>
      <c r="F4686" s="373"/>
      <c r="H4686" s="2168"/>
      <c r="I4686" s="70"/>
    </row>
    <row r="4687" spans="3:9" s="46" customFormat="1" x14ac:dyDescent="0.2">
      <c r="C4687" s="144"/>
      <c r="D4687" s="144"/>
      <c r="E4687" s="144"/>
      <c r="F4687" s="373"/>
      <c r="H4687" s="2168"/>
      <c r="I4687" s="70"/>
    </row>
    <row r="4688" spans="3:9" s="46" customFormat="1" x14ac:dyDescent="0.2">
      <c r="C4688" s="144"/>
      <c r="D4688" s="144"/>
      <c r="E4688" s="144"/>
      <c r="F4688" s="373"/>
      <c r="H4688" s="2168"/>
      <c r="I4688" s="70"/>
    </row>
    <row r="4689" spans="3:9" s="46" customFormat="1" x14ac:dyDescent="0.2">
      <c r="C4689" s="144"/>
      <c r="D4689" s="144"/>
      <c r="E4689" s="144"/>
      <c r="F4689" s="373"/>
      <c r="H4689" s="2168"/>
      <c r="I4689" s="70"/>
    </row>
    <row r="4690" spans="3:9" s="46" customFormat="1" x14ac:dyDescent="0.2">
      <c r="C4690" s="144"/>
      <c r="D4690" s="144"/>
      <c r="E4690" s="144"/>
      <c r="F4690" s="373"/>
      <c r="H4690" s="2168"/>
      <c r="I4690" s="70"/>
    </row>
    <row r="4691" spans="3:9" s="46" customFormat="1" x14ac:dyDescent="0.2">
      <c r="C4691" s="144"/>
      <c r="D4691" s="144"/>
      <c r="E4691" s="144"/>
      <c r="F4691" s="373"/>
      <c r="H4691" s="2168"/>
      <c r="I4691" s="70"/>
    </row>
    <row r="4692" spans="3:9" s="46" customFormat="1" x14ac:dyDescent="0.2">
      <c r="C4692" s="144"/>
      <c r="D4692" s="144"/>
      <c r="E4692" s="144"/>
      <c r="F4692" s="373"/>
      <c r="H4692" s="2168"/>
      <c r="I4692" s="70"/>
    </row>
    <row r="4693" spans="3:9" s="46" customFormat="1" x14ac:dyDescent="0.2">
      <c r="C4693" s="144"/>
      <c r="D4693" s="144"/>
      <c r="E4693" s="144"/>
      <c r="F4693" s="373"/>
      <c r="H4693" s="2168"/>
      <c r="I4693" s="70"/>
    </row>
    <row r="4694" spans="3:9" s="46" customFormat="1" x14ac:dyDescent="0.2">
      <c r="C4694" s="144"/>
      <c r="D4694" s="144"/>
      <c r="E4694" s="144"/>
      <c r="F4694" s="373"/>
      <c r="H4694" s="2168"/>
      <c r="I4694" s="70"/>
    </row>
    <row r="4695" spans="3:9" s="46" customFormat="1" x14ac:dyDescent="0.2">
      <c r="C4695" s="144"/>
      <c r="D4695" s="144"/>
      <c r="E4695" s="144"/>
      <c r="F4695" s="373"/>
      <c r="H4695" s="2168"/>
      <c r="I4695" s="70"/>
    </row>
    <row r="4696" spans="3:9" s="46" customFormat="1" x14ac:dyDescent="0.2">
      <c r="C4696" s="144"/>
      <c r="D4696" s="144"/>
      <c r="E4696" s="144"/>
      <c r="F4696" s="373"/>
      <c r="H4696" s="2168"/>
      <c r="I4696" s="70"/>
    </row>
    <row r="4697" spans="3:9" s="46" customFormat="1" x14ac:dyDescent="0.2">
      <c r="C4697" s="144"/>
      <c r="D4697" s="144"/>
      <c r="E4697" s="144"/>
      <c r="F4697" s="373"/>
      <c r="H4697" s="2168"/>
      <c r="I4697" s="70"/>
    </row>
    <row r="4698" spans="3:9" s="46" customFormat="1" x14ac:dyDescent="0.2">
      <c r="C4698" s="144"/>
      <c r="D4698" s="144"/>
      <c r="E4698" s="144"/>
      <c r="F4698" s="373"/>
      <c r="H4698" s="2168"/>
      <c r="I4698" s="70"/>
    </row>
    <row r="4699" spans="3:9" s="46" customFormat="1" x14ac:dyDescent="0.2">
      <c r="C4699" s="144"/>
      <c r="D4699" s="144"/>
      <c r="E4699" s="144"/>
      <c r="F4699" s="373"/>
      <c r="H4699" s="2168"/>
      <c r="I4699" s="70"/>
    </row>
    <row r="4700" spans="3:9" s="46" customFormat="1" x14ac:dyDescent="0.2">
      <c r="C4700" s="144"/>
      <c r="D4700" s="144"/>
      <c r="E4700" s="144"/>
      <c r="F4700" s="373"/>
      <c r="H4700" s="2168"/>
      <c r="I4700" s="70"/>
    </row>
    <row r="4701" spans="3:9" s="46" customFormat="1" x14ac:dyDescent="0.2">
      <c r="C4701" s="144"/>
      <c r="D4701" s="144"/>
      <c r="E4701" s="144"/>
      <c r="F4701" s="373"/>
      <c r="H4701" s="2168"/>
      <c r="I4701" s="70"/>
    </row>
    <row r="4702" spans="3:9" s="46" customFormat="1" x14ac:dyDescent="0.2">
      <c r="C4702" s="144"/>
      <c r="D4702" s="144"/>
      <c r="E4702" s="144"/>
      <c r="F4702" s="373"/>
      <c r="H4702" s="2168"/>
      <c r="I4702" s="70"/>
    </row>
    <row r="4703" spans="3:9" s="46" customFormat="1" x14ac:dyDescent="0.2">
      <c r="C4703" s="144"/>
      <c r="D4703" s="144"/>
      <c r="E4703" s="144"/>
      <c r="F4703" s="373"/>
      <c r="H4703" s="2168"/>
      <c r="I4703" s="70"/>
    </row>
    <row r="4704" spans="3:9" s="46" customFormat="1" x14ac:dyDescent="0.2">
      <c r="C4704" s="144"/>
      <c r="D4704" s="144"/>
      <c r="E4704" s="144"/>
      <c r="F4704" s="373"/>
      <c r="H4704" s="2168"/>
      <c r="I4704" s="70"/>
    </row>
    <row r="4705" spans="3:9" s="46" customFormat="1" x14ac:dyDescent="0.2">
      <c r="C4705" s="144"/>
      <c r="D4705" s="144"/>
      <c r="E4705" s="144"/>
      <c r="F4705" s="373"/>
      <c r="H4705" s="2168"/>
      <c r="I4705" s="70"/>
    </row>
    <row r="4706" spans="3:9" s="46" customFormat="1" x14ac:dyDescent="0.2">
      <c r="C4706" s="144"/>
      <c r="D4706" s="144"/>
      <c r="E4706" s="144"/>
      <c r="F4706" s="373"/>
      <c r="H4706" s="2168"/>
      <c r="I4706" s="70"/>
    </row>
    <row r="4707" spans="3:9" s="46" customFormat="1" x14ac:dyDescent="0.2">
      <c r="C4707" s="144"/>
      <c r="D4707" s="144"/>
      <c r="E4707" s="144"/>
      <c r="F4707" s="373"/>
      <c r="H4707" s="2168"/>
      <c r="I4707" s="70"/>
    </row>
    <row r="4708" spans="3:9" s="46" customFormat="1" x14ac:dyDescent="0.2">
      <c r="C4708" s="144"/>
      <c r="D4708" s="144"/>
      <c r="E4708" s="144"/>
      <c r="F4708" s="373"/>
      <c r="H4708" s="2168"/>
      <c r="I4708" s="70"/>
    </row>
    <row r="4709" spans="3:9" s="46" customFormat="1" x14ac:dyDescent="0.2">
      <c r="C4709" s="144"/>
      <c r="D4709" s="144"/>
      <c r="E4709" s="144"/>
      <c r="F4709" s="373"/>
      <c r="H4709" s="2168"/>
      <c r="I4709" s="70"/>
    </row>
    <row r="4710" spans="3:9" s="46" customFormat="1" x14ac:dyDescent="0.2">
      <c r="C4710" s="144"/>
      <c r="D4710" s="144"/>
      <c r="E4710" s="144"/>
      <c r="F4710" s="373"/>
      <c r="H4710" s="2168"/>
      <c r="I4710" s="70"/>
    </row>
    <row r="4711" spans="3:9" s="46" customFormat="1" x14ac:dyDescent="0.2">
      <c r="C4711" s="144"/>
      <c r="D4711" s="144"/>
      <c r="E4711" s="144"/>
      <c r="F4711" s="373"/>
      <c r="H4711" s="2168"/>
      <c r="I4711" s="70"/>
    </row>
    <row r="4712" spans="3:9" s="46" customFormat="1" x14ac:dyDescent="0.2">
      <c r="C4712" s="144"/>
      <c r="D4712" s="144"/>
      <c r="E4712" s="144"/>
      <c r="F4712" s="373"/>
      <c r="H4712" s="2168"/>
      <c r="I4712" s="70"/>
    </row>
    <row r="4713" spans="3:9" s="46" customFormat="1" x14ac:dyDescent="0.2">
      <c r="C4713" s="144"/>
      <c r="D4713" s="144"/>
      <c r="E4713" s="144"/>
      <c r="F4713" s="373"/>
      <c r="H4713" s="2168"/>
      <c r="I4713" s="70"/>
    </row>
    <row r="4714" spans="3:9" s="46" customFormat="1" x14ac:dyDescent="0.2">
      <c r="C4714" s="144"/>
      <c r="D4714" s="144"/>
      <c r="E4714" s="144"/>
      <c r="F4714" s="373"/>
      <c r="H4714" s="2168"/>
      <c r="I4714" s="70"/>
    </row>
    <row r="4715" spans="3:9" s="46" customFormat="1" x14ac:dyDescent="0.2">
      <c r="C4715" s="144"/>
      <c r="D4715" s="144"/>
      <c r="E4715" s="144"/>
      <c r="F4715" s="373"/>
      <c r="H4715" s="2168"/>
      <c r="I4715" s="70"/>
    </row>
    <row r="4716" spans="3:9" s="46" customFormat="1" x14ac:dyDescent="0.2">
      <c r="C4716" s="144"/>
      <c r="D4716" s="144"/>
      <c r="E4716" s="144"/>
      <c r="F4716" s="373"/>
      <c r="H4716" s="2168"/>
      <c r="I4716" s="70"/>
    </row>
    <row r="4717" spans="3:9" s="46" customFormat="1" x14ac:dyDescent="0.2">
      <c r="C4717" s="144"/>
      <c r="D4717" s="144"/>
      <c r="E4717" s="144"/>
      <c r="F4717" s="373"/>
      <c r="H4717" s="2168"/>
      <c r="I4717" s="70"/>
    </row>
    <row r="4718" spans="3:9" s="46" customFormat="1" x14ac:dyDescent="0.2">
      <c r="C4718" s="144"/>
      <c r="D4718" s="144"/>
      <c r="E4718" s="144"/>
      <c r="F4718" s="373"/>
      <c r="H4718" s="2168"/>
      <c r="I4718" s="70"/>
    </row>
    <row r="4719" spans="3:9" s="46" customFormat="1" x14ac:dyDescent="0.2">
      <c r="C4719" s="144"/>
      <c r="D4719" s="144"/>
      <c r="E4719" s="144"/>
      <c r="F4719" s="373"/>
      <c r="H4719" s="2168"/>
      <c r="I4719" s="70"/>
    </row>
    <row r="4720" spans="3:9" s="46" customFormat="1" x14ac:dyDescent="0.2">
      <c r="C4720" s="144"/>
      <c r="D4720" s="144"/>
      <c r="E4720" s="144"/>
      <c r="F4720" s="373"/>
      <c r="H4720" s="2168"/>
      <c r="I4720" s="70"/>
    </row>
    <row r="4721" spans="3:9" s="46" customFormat="1" x14ac:dyDescent="0.2">
      <c r="C4721" s="144"/>
      <c r="D4721" s="144"/>
      <c r="E4721" s="144"/>
      <c r="F4721" s="373"/>
      <c r="H4721" s="2168"/>
      <c r="I4721" s="70"/>
    </row>
    <row r="4722" spans="3:9" s="46" customFormat="1" x14ac:dyDescent="0.2">
      <c r="C4722" s="144"/>
      <c r="D4722" s="144"/>
      <c r="E4722" s="144"/>
      <c r="F4722" s="373"/>
      <c r="H4722" s="2168"/>
      <c r="I4722" s="70"/>
    </row>
    <row r="4723" spans="3:9" s="46" customFormat="1" x14ac:dyDescent="0.2">
      <c r="C4723" s="144"/>
      <c r="D4723" s="144"/>
      <c r="E4723" s="144"/>
      <c r="F4723" s="373"/>
      <c r="H4723" s="2168"/>
      <c r="I4723" s="70"/>
    </row>
    <row r="4724" spans="3:9" s="46" customFormat="1" x14ac:dyDescent="0.2">
      <c r="C4724" s="144"/>
      <c r="D4724" s="144"/>
      <c r="E4724" s="144"/>
      <c r="F4724" s="373"/>
      <c r="H4724" s="2168"/>
      <c r="I4724" s="70"/>
    </row>
    <row r="4725" spans="3:9" s="46" customFormat="1" x14ac:dyDescent="0.2">
      <c r="C4725" s="144"/>
      <c r="D4725" s="144"/>
      <c r="E4725" s="144"/>
      <c r="F4725" s="373"/>
      <c r="H4725" s="2168"/>
      <c r="I4725" s="70"/>
    </row>
    <row r="4726" spans="3:9" s="46" customFormat="1" x14ac:dyDescent="0.2">
      <c r="C4726" s="144"/>
      <c r="D4726" s="144"/>
      <c r="E4726" s="144"/>
      <c r="F4726" s="373"/>
      <c r="H4726" s="2168"/>
      <c r="I4726" s="70"/>
    </row>
    <row r="4727" spans="3:9" s="46" customFormat="1" x14ac:dyDescent="0.2">
      <c r="C4727" s="144"/>
      <c r="D4727" s="144"/>
      <c r="E4727" s="144"/>
      <c r="F4727" s="373"/>
      <c r="H4727" s="2168"/>
      <c r="I4727" s="70"/>
    </row>
    <row r="4728" spans="3:9" s="46" customFormat="1" x14ac:dyDescent="0.2">
      <c r="C4728" s="144"/>
      <c r="D4728" s="144"/>
      <c r="E4728" s="144"/>
      <c r="F4728" s="373"/>
      <c r="H4728" s="2168"/>
      <c r="I4728" s="70"/>
    </row>
    <row r="4729" spans="3:9" s="46" customFormat="1" x14ac:dyDescent="0.2">
      <c r="C4729" s="144"/>
      <c r="D4729" s="144"/>
      <c r="E4729" s="144"/>
      <c r="F4729" s="373"/>
      <c r="H4729" s="2168"/>
      <c r="I4729" s="70"/>
    </row>
    <row r="4730" spans="3:9" s="46" customFormat="1" x14ac:dyDescent="0.2">
      <c r="C4730" s="144"/>
      <c r="D4730" s="144"/>
      <c r="E4730" s="144"/>
      <c r="F4730" s="373"/>
      <c r="H4730" s="2168"/>
      <c r="I4730" s="70"/>
    </row>
    <row r="4731" spans="3:9" s="46" customFormat="1" x14ac:dyDescent="0.2">
      <c r="C4731" s="144"/>
      <c r="D4731" s="144"/>
      <c r="E4731" s="144"/>
      <c r="F4731" s="373"/>
      <c r="H4731" s="2168"/>
      <c r="I4731" s="70"/>
    </row>
    <row r="4732" spans="3:9" s="46" customFormat="1" x14ac:dyDescent="0.2">
      <c r="C4732" s="144"/>
      <c r="D4732" s="144"/>
      <c r="E4732" s="144"/>
      <c r="F4732" s="373"/>
      <c r="H4732" s="2168"/>
      <c r="I4732" s="70"/>
    </row>
    <row r="4733" spans="3:9" s="46" customFormat="1" x14ac:dyDescent="0.2">
      <c r="C4733" s="144"/>
      <c r="D4733" s="144"/>
      <c r="E4733" s="144"/>
      <c r="F4733" s="373"/>
      <c r="H4733" s="2168"/>
      <c r="I4733" s="70"/>
    </row>
    <row r="4734" spans="3:9" s="46" customFormat="1" x14ac:dyDescent="0.2">
      <c r="C4734" s="144"/>
      <c r="D4734" s="144"/>
      <c r="E4734" s="144"/>
      <c r="F4734" s="373"/>
      <c r="H4734" s="2168"/>
      <c r="I4734" s="70"/>
    </row>
    <row r="4735" spans="3:9" s="46" customFormat="1" x14ac:dyDescent="0.2">
      <c r="C4735" s="144"/>
      <c r="D4735" s="144"/>
      <c r="E4735" s="144"/>
      <c r="F4735" s="373"/>
      <c r="H4735" s="2168"/>
      <c r="I4735" s="70"/>
    </row>
    <row r="4736" spans="3:9" s="46" customFormat="1" x14ac:dyDescent="0.2">
      <c r="C4736" s="144"/>
      <c r="D4736" s="144"/>
      <c r="E4736" s="144"/>
      <c r="F4736" s="373"/>
      <c r="H4736" s="2168"/>
      <c r="I4736" s="70"/>
    </row>
    <row r="4737" spans="3:9" s="46" customFormat="1" x14ac:dyDescent="0.2">
      <c r="C4737" s="144"/>
      <c r="D4737" s="144"/>
      <c r="E4737" s="144"/>
      <c r="F4737" s="373"/>
      <c r="H4737" s="2168"/>
      <c r="I4737" s="70"/>
    </row>
    <row r="4738" spans="3:9" s="46" customFormat="1" x14ac:dyDescent="0.2">
      <c r="C4738" s="144"/>
      <c r="D4738" s="144"/>
      <c r="E4738" s="144"/>
      <c r="F4738" s="373"/>
      <c r="H4738" s="2168"/>
      <c r="I4738" s="70"/>
    </row>
    <row r="4739" spans="3:9" s="46" customFormat="1" x14ac:dyDescent="0.2">
      <c r="C4739" s="144"/>
      <c r="D4739" s="144"/>
      <c r="E4739" s="144"/>
      <c r="F4739" s="373"/>
      <c r="H4739" s="2168"/>
      <c r="I4739" s="70"/>
    </row>
    <row r="4740" spans="3:9" s="46" customFormat="1" x14ac:dyDescent="0.2">
      <c r="C4740" s="144"/>
      <c r="D4740" s="144"/>
      <c r="E4740" s="144"/>
      <c r="F4740" s="373"/>
      <c r="H4740" s="2168"/>
      <c r="I4740" s="70"/>
    </row>
    <row r="4741" spans="3:9" s="46" customFormat="1" x14ac:dyDescent="0.2">
      <c r="C4741" s="144"/>
      <c r="D4741" s="144"/>
      <c r="E4741" s="144"/>
      <c r="F4741" s="373"/>
      <c r="H4741" s="2168"/>
      <c r="I4741" s="70"/>
    </row>
    <row r="4742" spans="3:9" s="46" customFormat="1" x14ac:dyDescent="0.2">
      <c r="C4742" s="144"/>
      <c r="D4742" s="144"/>
      <c r="E4742" s="144"/>
      <c r="F4742" s="373"/>
      <c r="H4742" s="2168"/>
      <c r="I4742" s="70"/>
    </row>
    <row r="4743" spans="3:9" s="46" customFormat="1" x14ac:dyDescent="0.2">
      <c r="C4743" s="144"/>
      <c r="D4743" s="144"/>
      <c r="E4743" s="144"/>
      <c r="F4743" s="373"/>
      <c r="H4743" s="2168"/>
      <c r="I4743" s="70"/>
    </row>
    <row r="4744" spans="3:9" s="46" customFormat="1" x14ac:dyDescent="0.2">
      <c r="C4744" s="144"/>
      <c r="D4744" s="144"/>
      <c r="E4744" s="144"/>
      <c r="F4744" s="373"/>
      <c r="H4744" s="2168"/>
      <c r="I4744" s="70"/>
    </row>
    <row r="4745" spans="3:9" s="46" customFormat="1" x14ac:dyDescent="0.2">
      <c r="C4745" s="144"/>
      <c r="D4745" s="144"/>
      <c r="E4745" s="144"/>
      <c r="F4745" s="373"/>
      <c r="H4745" s="2168"/>
      <c r="I4745" s="70"/>
    </row>
    <row r="4746" spans="3:9" s="46" customFormat="1" x14ac:dyDescent="0.2">
      <c r="C4746" s="144"/>
      <c r="D4746" s="144"/>
      <c r="E4746" s="144"/>
      <c r="F4746" s="373"/>
      <c r="H4746" s="2168"/>
      <c r="I4746" s="70"/>
    </row>
    <row r="4747" spans="3:9" s="46" customFormat="1" x14ac:dyDescent="0.2">
      <c r="C4747" s="144"/>
      <c r="D4747" s="144"/>
      <c r="E4747" s="144"/>
      <c r="F4747" s="373"/>
      <c r="H4747" s="2168"/>
      <c r="I4747" s="70"/>
    </row>
    <row r="4748" spans="3:9" s="46" customFormat="1" x14ac:dyDescent="0.2">
      <c r="C4748" s="144"/>
      <c r="D4748" s="144"/>
      <c r="E4748" s="144"/>
      <c r="F4748" s="373"/>
      <c r="H4748" s="2168"/>
      <c r="I4748" s="70"/>
    </row>
    <row r="4749" spans="3:9" s="46" customFormat="1" x14ac:dyDescent="0.2">
      <c r="C4749" s="144"/>
      <c r="D4749" s="144"/>
      <c r="E4749" s="144"/>
      <c r="F4749" s="373"/>
      <c r="H4749" s="2168"/>
      <c r="I4749" s="70"/>
    </row>
    <row r="4750" spans="3:9" s="46" customFormat="1" x14ac:dyDescent="0.2">
      <c r="C4750" s="144"/>
      <c r="D4750" s="144"/>
      <c r="E4750" s="144"/>
      <c r="F4750" s="373"/>
      <c r="H4750" s="2168"/>
      <c r="I4750" s="70"/>
    </row>
    <row r="4751" spans="3:9" s="46" customFormat="1" x14ac:dyDescent="0.2">
      <c r="C4751" s="144"/>
      <c r="D4751" s="144"/>
      <c r="E4751" s="144"/>
      <c r="F4751" s="373"/>
      <c r="H4751" s="2168"/>
      <c r="I4751" s="70"/>
    </row>
    <row r="4752" spans="3:9" s="46" customFormat="1" x14ac:dyDescent="0.2">
      <c r="C4752" s="144"/>
      <c r="D4752" s="144"/>
      <c r="E4752" s="144"/>
      <c r="F4752" s="373"/>
      <c r="H4752" s="2168"/>
      <c r="I4752" s="70"/>
    </row>
    <row r="4753" spans="3:9" s="46" customFormat="1" x14ac:dyDescent="0.2">
      <c r="C4753" s="144"/>
      <c r="D4753" s="144"/>
      <c r="E4753" s="144"/>
      <c r="F4753" s="373"/>
      <c r="H4753" s="2168"/>
      <c r="I4753" s="70"/>
    </row>
    <row r="4754" spans="3:9" s="46" customFormat="1" x14ac:dyDescent="0.2">
      <c r="C4754" s="144"/>
      <c r="D4754" s="144"/>
      <c r="E4754" s="144"/>
      <c r="F4754" s="373"/>
      <c r="H4754" s="2168"/>
      <c r="I4754" s="70"/>
    </row>
    <row r="4755" spans="3:9" s="46" customFormat="1" x14ac:dyDescent="0.2">
      <c r="C4755" s="144"/>
      <c r="D4755" s="144"/>
      <c r="E4755" s="144"/>
      <c r="F4755" s="373"/>
      <c r="H4755" s="2168"/>
      <c r="I4755" s="70"/>
    </row>
    <row r="4756" spans="3:9" s="46" customFormat="1" x14ac:dyDescent="0.2">
      <c r="C4756" s="144"/>
      <c r="D4756" s="144"/>
      <c r="E4756" s="144"/>
      <c r="F4756" s="373"/>
      <c r="H4756" s="2168"/>
      <c r="I4756" s="70"/>
    </row>
    <row r="4757" spans="3:9" s="46" customFormat="1" x14ac:dyDescent="0.2">
      <c r="C4757" s="144"/>
      <c r="D4757" s="144"/>
      <c r="E4757" s="144"/>
      <c r="F4757" s="373"/>
      <c r="H4757" s="2168"/>
      <c r="I4757" s="70"/>
    </row>
    <row r="4758" spans="3:9" s="46" customFormat="1" x14ac:dyDescent="0.2">
      <c r="C4758" s="144"/>
      <c r="D4758" s="144"/>
      <c r="E4758" s="144"/>
      <c r="F4758" s="373"/>
      <c r="H4758" s="2168"/>
      <c r="I4758" s="70"/>
    </row>
    <row r="4759" spans="3:9" s="46" customFormat="1" x14ac:dyDescent="0.2">
      <c r="C4759" s="144"/>
      <c r="D4759" s="144"/>
      <c r="E4759" s="144"/>
      <c r="F4759" s="373"/>
      <c r="H4759" s="2168"/>
      <c r="I4759" s="70"/>
    </row>
    <row r="4760" spans="3:9" s="46" customFormat="1" x14ac:dyDescent="0.2">
      <c r="C4760" s="144"/>
      <c r="D4760" s="144"/>
      <c r="E4760" s="144"/>
      <c r="F4760" s="373"/>
      <c r="H4760" s="2168"/>
      <c r="I4760" s="70"/>
    </row>
    <row r="4761" spans="3:9" s="46" customFormat="1" x14ac:dyDescent="0.2">
      <c r="C4761" s="144"/>
      <c r="D4761" s="144"/>
      <c r="E4761" s="144"/>
      <c r="F4761" s="373"/>
      <c r="H4761" s="2168"/>
      <c r="I4761" s="70"/>
    </row>
    <row r="4762" spans="3:9" s="46" customFormat="1" x14ac:dyDescent="0.2">
      <c r="C4762" s="144"/>
      <c r="D4762" s="144"/>
      <c r="E4762" s="144"/>
      <c r="F4762" s="373"/>
      <c r="H4762" s="2168"/>
      <c r="I4762" s="70"/>
    </row>
    <row r="4763" spans="3:9" s="46" customFormat="1" x14ac:dyDescent="0.2">
      <c r="C4763" s="144"/>
      <c r="D4763" s="144"/>
      <c r="E4763" s="144"/>
      <c r="F4763" s="373"/>
      <c r="H4763" s="2168"/>
      <c r="I4763" s="70"/>
    </row>
    <row r="4764" spans="3:9" s="46" customFormat="1" x14ac:dyDescent="0.2">
      <c r="C4764" s="144"/>
      <c r="D4764" s="144"/>
      <c r="E4764" s="144"/>
      <c r="F4764" s="373"/>
      <c r="H4764" s="2168"/>
      <c r="I4764" s="70"/>
    </row>
    <row r="4765" spans="3:9" s="46" customFormat="1" x14ac:dyDescent="0.2">
      <c r="C4765" s="144"/>
      <c r="D4765" s="144"/>
      <c r="E4765" s="144"/>
      <c r="F4765" s="373"/>
      <c r="H4765" s="2168"/>
      <c r="I4765" s="70"/>
    </row>
    <row r="4766" spans="3:9" s="46" customFormat="1" x14ac:dyDescent="0.2">
      <c r="C4766" s="144"/>
      <c r="D4766" s="144"/>
      <c r="E4766" s="144"/>
      <c r="F4766" s="373"/>
      <c r="H4766" s="2168"/>
      <c r="I4766" s="70"/>
    </row>
    <row r="4767" spans="3:9" s="46" customFormat="1" x14ac:dyDescent="0.2">
      <c r="C4767" s="144"/>
      <c r="D4767" s="144"/>
      <c r="E4767" s="144"/>
      <c r="F4767" s="373"/>
      <c r="H4767" s="2168"/>
      <c r="I4767" s="70"/>
    </row>
    <row r="4768" spans="3:9" s="46" customFormat="1" x14ac:dyDescent="0.2">
      <c r="C4768" s="144"/>
      <c r="D4768" s="144"/>
      <c r="E4768" s="144"/>
      <c r="F4768" s="373"/>
      <c r="H4768" s="2168"/>
      <c r="I4768" s="70"/>
    </row>
    <row r="4769" spans="3:9" s="46" customFormat="1" x14ac:dyDescent="0.2">
      <c r="C4769" s="144"/>
      <c r="D4769" s="144"/>
      <c r="E4769" s="144"/>
      <c r="F4769" s="373"/>
      <c r="H4769" s="2168"/>
      <c r="I4769" s="70"/>
    </row>
    <row r="4770" spans="3:9" s="46" customFormat="1" x14ac:dyDescent="0.2">
      <c r="C4770" s="144"/>
      <c r="D4770" s="144"/>
      <c r="E4770" s="144"/>
      <c r="F4770" s="373"/>
      <c r="H4770" s="2168"/>
      <c r="I4770" s="70"/>
    </row>
    <row r="4771" spans="3:9" s="46" customFormat="1" x14ac:dyDescent="0.2">
      <c r="C4771" s="144"/>
      <c r="D4771" s="144"/>
      <c r="E4771" s="144"/>
      <c r="F4771" s="373"/>
      <c r="H4771" s="2168"/>
      <c r="I4771" s="70"/>
    </row>
    <row r="4772" spans="3:9" s="46" customFormat="1" x14ac:dyDescent="0.2">
      <c r="C4772" s="144"/>
      <c r="D4772" s="144"/>
      <c r="E4772" s="144"/>
      <c r="F4772" s="373"/>
      <c r="H4772" s="2168"/>
      <c r="I4772" s="70"/>
    </row>
    <row r="4773" spans="3:9" s="46" customFormat="1" x14ac:dyDescent="0.2">
      <c r="C4773" s="144"/>
      <c r="D4773" s="144"/>
      <c r="E4773" s="144"/>
      <c r="F4773" s="373"/>
      <c r="H4773" s="2168"/>
      <c r="I4773" s="70"/>
    </row>
    <row r="4774" spans="3:9" s="46" customFormat="1" x14ac:dyDescent="0.2">
      <c r="C4774" s="144"/>
      <c r="D4774" s="144"/>
      <c r="E4774" s="144"/>
      <c r="F4774" s="373"/>
      <c r="H4774" s="2168"/>
      <c r="I4774" s="70"/>
    </row>
    <row r="4775" spans="3:9" s="46" customFormat="1" x14ac:dyDescent="0.2">
      <c r="C4775" s="144"/>
      <c r="D4775" s="144"/>
      <c r="E4775" s="144"/>
      <c r="F4775" s="373"/>
      <c r="H4775" s="2168"/>
      <c r="I4775" s="70"/>
    </row>
    <row r="4776" spans="3:9" s="46" customFormat="1" x14ac:dyDescent="0.2">
      <c r="C4776" s="144"/>
      <c r="D4776" s="144"/>
      <c r="E4776" s="144"/>
      <c r="F4776" s="373"/>
      <c r="H4776" s="2168"/>
      <c r="I4776" s="70"/>
    </row>
    <row r="4777" spans="3:9" s="46" customFormat="1" x14ac:dyDescent="0.2">
      <c r="C4777" s="144"/>
      <c r="D4777" s="144"/>
      <c r="E4777" s="144"/>
      <c r="F4777" s="373"/>
      <c r="H4777" s="2168"/>
      <c r="I4777" s="70"/>
    </row>
    <row r="4778" spans="3:9" s="46" customFormat="1" x14ac:dyDescent="0.2">
      <c r="C4778" s="144"/>
      <c r="D4778" s="144"/>
      <c r="E4778" s="144"/>
      <c r="F4778" s="373"/>
      <c r="H4778" s="2168"/>
      <c r="I4778" s="70"/>
    </row>
    <row r="4779" spans="3:9" s="46" customFormat="1" x14ac:dyDescent="0.2">
      <c r="C4779" s="144"/>
      <c r="D4779" s="144"/>
      <c r="E4779" s="144"/>
      <c r="F4779" s="373"/>
      <c r="H4779" s="2168"/>
      <c r="I4779" s="70"/>
    </row>
    <row r="4780" spans="3:9" s="46" customFormat="1" x14ac:dyDescent="0.2">
      <c r="C4780" s="144"/>
      <c r="D4780" s="144"/>
      <c r="E4780" s="144"/>
      <c r="F4780" s="373"/>
      <c r="H4780" s="2168"/>
      <c r="I4780" s="70"/>
    </row>
    <row r="4781" spans="3:9" s="46" customFormat="1" x14ac:dyDescent="0.2">
      <c r="C4781" s="144"/>
      <c r="D4781" s="144"/>
      <c r="E4781" s="144"/>
      <c r="F4781" s="373"/>
      <c r="H4781" s="2168"/>
      <c r="I4781" s="70"/>
    </row>
    <row r="4782" spans="3:9" s="46" customFormat="1" x14ac:dyDescent="0.2">
      <c r="C4782" s="144"/>
      <c r="D4782" s="144"/>
      <c r="E4782" s="144"/>
      <c r="F4782" s="373"/>
      <c r="H4782" s="2168"/>
      <c r="I4782" s="70"/>
    </row>
    <row r="4783" spans="3:9" s="46" customFormat="1" x14ac:dyDescent="0.2">
      <c r="C4783" s="144"/>
      <c r="D4783" s="144"/>
      <c r="E4783" s="144"/>
      <c r="F4783" s="373"/>
      <c r="H4783" s="2168"/>
      <c r="I4783" s="70"/>
    </row>
    <row r="4784" spans="3:9" s="46" customFormat="1" x14ac:dyDescent="0.2">
      <c r="C4784" s="144"/>
      <c r="D4784" s="144"/>
      <c r="E4784" s="144"/>
      <c r="F4784" s="373"/>
      <c r="H4784" s="2168"/>
      <c r="I4784" s="70"/>
    </row>
    <row r="4785" spans="3:9" s="46" customFormat="1" x14ac:dyDescent="0.2">
      <c r="C4785" s="144"/>
      <c r="D4785" s="144"/>
      <c r="E4785" s="144"/>
      <c r="F4785" s="373"/>
      <c r="H4785" s="2168"/>
      <c r="I4785" s="70"/>
    </row>
    <row r="4786" spans="3:9" s="46" customFormat="1" x14ac:dyDescent="0.2">
      <c r="C4786" s="144"/>
      <c r="D4786" s="144"/>
      <c r="E4786" s="144"/>
      <c r="F4786" s="373"/>
      <c r="H4786" s="2168"/>
      <c r="I4786" s="70"/>
    </row>
    <row r="4787" spans="3:9" s="46" customFormat="1" x14ac:dyDescent="0.2">
      <c r="C4787" s="144"/>
      <c r="D4787" s="144"/>
      <c r="E4787" s="144"/>
      <c r="F4787" s="373"/>
      <c r="H4787" s="2168"/>
      <c r="I4787" s="70"/>
    </row>
    <row r="4788" spans="3:9" s="46" customFormat="1" x14ac:dyDescent="0.2">
      <c r="C4788" s="144"/>
      <c r="D4788" s="144"/>
      <c r="E4788" s="144"/>
      <c r="F4788" s="373"/>
      <c r="H4788" s="2168"/>
      <c r="I4788" s="70"/>
    </row>
    <row r="4789" spans="3:9" s="46" customFormat="1" x14ac:dyDescent="0.2">
      <c r="C4789" s="144"/>
      <c r="D4789" s="144"/>
      <c r="E4789" s="144"/>
      <c r="F4789" s="373"/>
      <c r="H4789" s="2168"/>
      <c r="I4789" s="70"/>
    </row>
    <row r="4790" spans="3:9" s="46" customFormat="1" x14ac:dyDescent="0.2">
      <c r="C4790" s="144"/>
      <c r="D4790" s="144"/>
      <c r="E4790" s="144"/>
      <c r="F4790" s="373"/>
      <c r="H4790" s="2168"/>
      <c r="I4790" s="70"/>
    </row>
    <row r="4791" spans="3:9" s="46" customFormat="1" x14ac:dyDescent="0.2">
      <c r="C4791" s="144"/>
      <c r="D4791" s="144"/>
      <c r="E4791" s="144"/>
      <c r="F4791" s="373"/>
      <c r="H4791" s="2168"/>
      <c r="I4791" s="70"/>
    </row>
    <row r="4792" spans="3:9" s="46" customFormat="1" x14ac:dyDescent="0.2">
      <c r="C4792" s="144"/>
      <c r="D4792" s="144"/>
      <c r="E4792" s="144"/>
      <c r="F4792" s="373"/>
      <c r="H4792" s="2168"/>
      <c r="I4792" s="70"/>
    </row>
    <row r="4793" spans="3:9" s="46" customFormat="1" x14ac:dyDescent="0.2">
      <c r="C4793" s="144"/>
      <c r="D4793" s="144"/>
      <c r="E4793" s="144"/>
      <c r="F4793" s="373"/>
      <c r="H4793" s="2168"/>
      <c r="I4793" s="70"/>
    </row>
    <row r="4794" spans="3:9" s="46" customFormat="1" x14ac:dyDescent="0.2">
      <c r="C4794" s="144"/>
      <c r="D4794" s="144"/>
      <c r="E4794" s="144"/>
      <c r="F4794" s="373"/>
      <c r="H4794" s="2168"/>
      <c r="I4794" s="70"/>
    </row>
    <row r="4795" spans="3:9" s="46" customFormat="1" x14ac:dyDescent="0.2">
      <c r="C4795" s="144"/>
      <c r="D4795" s="144"/>
      <c r="E4795" s="144"/>
      <c r="F4795" s="373"/>
      <c r="H4795" s="2168"/>
      <c r="I4795" s="70"/>
    </row>
    <row r="4796" spans="3:9" s="46" customFormat="1" x14ac:dyDescent="0.2">
      <c r="C4796" s="144"/>
      <c r="D4796" s="144"/>
      <c r="E4796" s="144"/>
      <c r="F4796" s="373"/>
      <c r="H4796" s="2168"/>
      <c r="I4796" s="70"/>
    </row>
    <row r="4797" spans="3:9" s="46" customFormat="1" x14ac:dyDescent="0.2">
      <c r="C4797" s="144"/>
      <c r="D4797" s="144"/>
      <c r="E4797" s="144"/>
      <c r="F4797" s="373"/>
      <c r="H4797" s="2168"/>
      <c r="I4797" s="70"/>
    </row>
    <row r="4798" spans="3:9" s="46" customFormat="1" x14ac:dyDescent="0.2">
      <c r="C4798" s="144"/>
      <c r="D4798" s="144"/>
      <c r="E4798" s="144"/>
      <c r="F4798" s="373"/>
      <c r="H4798" s="2168"/>
      <c r="I4798" s="70"/>
    </row>
    <row r="4799" spans="3:9" s="46" customFormat="1" x14ac:dyDescent="0.2">
      <c r="C4799" s="144"/>
      <c r="D4799" s="144"/>
      <c r="E4799" s="144"/>
      <c r="F4799" s="373"/>
      <c r="H4799" s="2168"/>
      <c r="I4799" s="70"/>
    </row>
    <row r="4800" spans="3:9" s="46" customFormat="1" x14ac:dyDescent="0.2">
      <c r="C4800" s="144"/>
      <c r="D4800" s="144"/>
      <c r="E4800" s="144"/>
      <c r="F4800" s="373"/>
      <c r="H4800" s="2168"/>
      <c r="I4800" s="70"/>
    </row>
    <row r="4801" spans="3:9" s="46" customFormat="1" x14ac:dyDescent="0.2">
      <c r="C4801" s="144"/>
      <c r="D4801" s="144"/>
      <c r="E4801" s="144"/>
      <c r="F4801" s="373"/>
      <c r="H4801" s="2168"/>
      <c r="I4801" s="70"/>
    </row>
    <row r="4802" spans="3:9" s="46" customFormat="1" x14ac:dyDescent="0.2">
      <c r="C4802" s="144"/>
      <c r="D4802" s="144"/>
      <c r="E4802" s="144"/>
      <c r="F4802" s="373"/>
      <c r="H4802" s="2168"/>
      <c r="I4802" s="70"/>
    </row>
    <row r="4803" spans="3:9" s="46" customFormat="1" x14ac:dyDescent="0.2">
      <c r="C4803" s="144"/>
      <c r="D4803" s="144"/>
      <c r="E4803" s="144"/>
      <c r="F4803" s="373"/>
      <c r="H4803" s="2168"/>
      <c r="I4803" s="70"/>
    </row>
    <row r="4804" spans="3:9" s="46" customFormat="1" x14ac:dyDescent="0.2">
      <c r="C4804" s="144"/>
      <c r="D4804" s="144"/>
      <c r="E4804" s="144"/>
      <c r="F4804" s="373"/>
      <c r="H4804" s="2168"/>
      <c r="I4804" s="70"/>
    </row>
    <row r="4805" spans="3:9" s="46" customFormat="1" x14ac:dyDescent="0.2">
      <c r="C4805" s="144"/>
      <c r="D4805" s="144"/>
      <c r="E4805" s="144"/>
      <c r="F4805" s="373"/>
      <c r="H4805" s="2168"/>
      <c r="I4805" s="70"/>
    </row>
    <row r="4806" spans="3:9" s="46" customFormat="1" x14ac:dyDescent="0.2">
      <c r="C4806" s="144"/>
      <c r="D4806" s="144"/>
      <c r="E4806" s="144"/>
      <c r="F4806" s="373"/>
      <c r="H4806" s="2168"/>
      <c r="I4806" s="70"/>
    </row>
    <row r="4807" spans="3:9" s="46" customFormat="1" x14ac:dyDescent="0.2">
      <c r="C4807" s="144"/>
      <c r="D4807" s="144"/>
      <c r="E4807" s="144"/>
      <c r="F4807" s="373"/>
      <c r="H4807" s="2168"/>
      <c r="I4807" s="70"/>
    </row>
    <row r="4808" spans="3:9" s="46" customFormat="1" x14ac:dyDescent="0.2">
      <c r="C4808" s="144"/>
      <c r="D4808" s="144"/>
      <c r="E4808" s="144"/>
      <c r="F4808" s="373"/>
      <c r="H4808" s="2168"/>
      <c r="I4808" s="70"/>
    </row>
    <row r="4809" spans="3:9" s="46" customFormat="1" x14ac:dyDescent="0.2">
      <c r="C4809" s="144"/>
      <c r="D4809" s="144"/>
      <c r="E4809" s="144"/>
      <c r="F4809" s="373"/>
      <c r="H4809" s="2168"/>
      <c r="I4809" s="70"/>
    </row>
    <row r="4810" spans="3:9" s="46" customFormat="1" x14ac:dyDescent="0.2">
      <c r="C4810" s="144"/>
      <c r="D4810" s="144"/>
      <c r="E4810" s="144"/>
      <c r="F4810" s="373"/>
      <c r="H4810" s="2168"/>
      <c r="I4810" s="70"/>
    </row>
    <row r="4811" spans="3:9" s="46" customFormat="1" x14ac:dyDescent="0.2">
      <c r="C4811" s="144"/>
      <c r="D4811" s="144"/>
      <c r="E4811" s="144"/>
      <c r="F4811" s="373"/>
      <c r="H4811" s="2168"/>
      <c r="I4811" s="70"/>
    </row>
    <row r="4812" spans="3:9" s="46" customFormat="1" x14ac:dyDescent="0.2">
      <c r="C4812" s="144"/>
      <c r="D4812" s="144"/>
      <c r="E4812" s="144"/>
      <c r="F4812" s="373"/>
      <c r="H4812" s="2168"/>
      <c r="I4812" s="70"/>
    </row>
    <row r="4813" spans="3:9" s="46" customFormat="1" x14ac:dyDescent="0.2">
      <c r="C4813" s="144"/>
      <c r="D4813" s="144"/>
      <c r="E4813" s="144"/>
      <c r="F4813" s="373"/>
      <c r="H4813" s="2168"/>
      <c r="I4813" s="70"/>
    </row>
    <row r="4814" spans="3:9" s="46" customFormat="1" x14ac:dyDescent="0.2">
      <c r="C4814" s="144"/>
      <c r="D4814" s="144"/>
      <c r="E4814" s="144"/>
      <c r="F4814" s="373"/>
      <c r="H4814" s="2168"/>
      <c r="I4814" s="70"/>
    </row>
    <row r="4815" spans="3:9" s="46" customFormat="1" x14ac:dyDescent="0.2">
      <c r="C4815" s="144"/>
      <c r="D4815" s="144"/>
      <c r="E4815" s="144"/>
      <c r="F4815" s="373"/>
      <c r="H4815" s="2168"/>
      <c r="I4815" s="70"/>
    </row>
    <row r="4816" spans="3:9" s="46" customFormat="1" x14ac:dyDescent="0.2">
      <c r="C4816" s="144"/>
      <c r="D4816" s="144"/>
      <c r="E4816" s="144"/>
      <c r="F4816" s="373"/>
      <c r="H4816" s="2168"/>
      <c r="I4816" s="70"/>
    </row>
    <row r="4817" spans="3:9" s="46" customFormat="1" x14ac:dyDescent="0.2">
      <c r="C4817" s="144"/>
      <c r="D4817" s="144"/>
      <c r="E4817" s="144"/>
      <c r="F4817" s="373"/>
      <c r="H4817" s="2168"/>
      <c r="I4817" s="70"/>
    </row>
    <row r="4818" spans="3:9" s="46" customFormat="1" x14ac:dyDescent="0.2">
      <c r="C4818" s="144"/>
      <c r="D4818" s="144"/>
      <c r="E4818" s="144"/>
      <c r="F4818" s="373"/>
      <c r="H4818" s="2168"/>
      <c r="I4818" s="70"/>
    </row>
    <row r="4819" spans="3:9" s="46" customFormat="1" x14ac:dyDescent="0.2">
      <c r="C4819" s="144"/>
      <c r="D4819" s="144"/>
      <c r="E4819" s="144"/>
      <c r="F4819" s="373"/>
      <c r="H4819" s="2168"/>
      <c r="I4819" s="70"/>
    </row>
    <row r="4820" spans="3:9" s="46" customFormat="1" x14ac:dyDescent="0.2">
      <c r="C4820" s="144"/>
      <c r="D4820" s="144"/>
      <c r="E4820" s="144"/>
      <c r="F4820" s="373"/>
      <c r="H4820" s="2168"/>
      <c r="I4820" s="70"/>
    </row>
    <row r="4821" spans="3:9" s="46" customFormat="1" x14ac:dyDescent="0.2">
      <c r="C4821" s="144"/>
      <c r="D4821" s="144"/>
      <c r="E4821" s="144"/>
      <c r="F4821" s="373"/>
      <c r="H4821" s="2168"/>
      <c r="I4821" s="70"/>
    </row>
    <row r="4822" spans="3:9" s="46" customFormat="1" x14ac:dyDescent="0.2">
      <c r="C4822" s="144"/>
      <c r="D4822" s="144"/>
      <c r="E4822" s="144"/>
      <c r="F4822" s="373"/>
      <c r="H4822" s="2168"/>
      <c r="I4822" s="70"/>
    </row>
    <row r="4823" spans="3:9" s="46" customFormat="1" x14ac:dyDescent="0.2">
      <c r="C4823" s="144"/>
      <c r="D4823" s="144"/>
      <c r="E4823" s="144"/>
      <c r="F4823" s="373"/>
      <c r="H4823" s="2168"/>
      <c r="I4823" s="70"/>
    </row>
    <row r="4824" spans="3:9" s="46" customFormat="1" x14ac:dyDescent="0.2">
      <c r="C4824" s="144"/>
      <c r="D4824" s="144"/>
      <c r="E4824" s="144"/>
      <c r="F4824" s="373"/>
      <c r="H4824" s="2168"/>
      <c r="I4824" s="70"/>
    </row>
    <row r="4825" spans="3:9" s="46" customFormat="1" x14ac:dyDescent="0.2">
      <c r="C4825" s="144"/>
      <c r="D4825" s="144"/>
      <c r="E4825" s="144"/>
      <c r="F4825" s="373"/>
      <c r="H4825" s="2168"/>
      <c r="I4825" s="70"/>
    </row>
    <row r="4826" spans="3:9" s="46" customFormat="1" x14ac:dyDescent="0.2">
      <c r="C4826" s="144"/>
      <c r="D4826" s="144"/>
      <c r="E4826" s="144"/>
      <c r="F4826" s="373"/>
      <c r="H4826" s="2168"/>
      <c r="I4826" s="70"/>
    </row>
    <row r="4827" spans="3:9" s="46" customFormat="1" x14ac:dyDescent="0.2">
      <c r="C4827" s="144"/>
      <c r="D4827" s="144"/>
      <c r="E4827" s="144"/>
      <c r="F4827" s="373"/>
      <c r="H4827" s="2168"/>
      <c r="I4827" s="70"/>
    </row>
    <row r="4828" spans="3:9" s="46" customFormat="1" x14ac:dyDescent="0.2">
      <c r="C4828" s="144"/>
      <c r="D4828" s="144"/>
      <c r="E4828" s="144"/>
      <c r="F4828" s="373"/>
      <c r="H4828" s="2168"/>
      <c r="I4828" s="70"/>
    </row>
    <row r="4829" spans="3:9" s="46" customFormat="1" x14ac:dyDescent="0.2">
      <c r="C4829" s="144"/>
      <c r="D4829" s="144"/>
      <c r="E4829" s="144"/>
      <c r="F4829" s="373"/>
      <c r="H4829" s="2168"/>
      <c r="I4829" s="70"/>
    </row>
    <row r="4830" spans="3:9" s="46" customFormat="1" x14ac:dyDescent="0.2">
      <c r="C4830" s="144"/>
      <c r="D4830" s="144"/>
      <c r="E4830" s="144"/>
      <c r="F4830" s="373"/>
      <c r="H4830" s="2168"/>
      <c r="I4830" s="70"/>
    </row>
    <row r="4831" spans="3:9" s="46" customFormat="1" x14ac:dyDescent="0.2">
      <c r="C4831" s="144"/>
      <c r="D4831" s="144"/>
      <c r="E4831" s="144"/>
      <c r="F4831" s="373"/>
      <c r="H4831" s="2168"/>
      <c r="I4831" s="70"/>
    </row>
    <row r="4832" spans="3:9" s="46" customFormat="1" x14ac:dyDescent="0.2">
      <c r="C4832" s="144"/>
      <c r="D4832" s="144"/>
      <c r="E4832" s="144"/>
      <c r="F4832" s="373"/>
      <c r="H4832" s="2168"/>
      <c r="I4832" s="70"/>
    </row>
    <row r="4833" spans="3:9" s="46" customFormat="1" x14ac:dyDescent="0.2">
      <c r="C4833" s="144"/>
      <c r="D4833" s="144"/>
      <c r="E4833" s="144"/>
      <c r="F4833" s="373"/>
      <c r="H4833" s="2168"/>
      <c r="I4833" s="70"/>
    </row>
    <row r="4834" spans="3:9" s="46" customFormat="1" x14ac:dyDescent="0.2">
      <c r="C4834" s="144"/>
      <c r="D4834" s="144"/>
      <c r="E4834" s="144"/>
      <c r="F4834" s="373"/>
      <c r="H4834" s="2168"/>
      <c r="I4834" s="70"/>
    </row>
    <row r="4835" spans="3:9" s="46" customFormat="1" x14ac:dyDescent="0.2">
      <c r="C4835" s="144"/>
      <c r="D4835" s="144"/>
      <c r="E4835" s="144"/>
      <c r="F4835" s="373"/>
      <c r="H4835" s="2168"/>
      <c r="I4835" s="70"/>
    </row>
    <row r="4836" spans="3:9" s="46" customFormat="1" x14ac:dyDescent="0.2">
      <c r="C4836" s="144"/>
      <c r="D4836" s="144"/>
      <c r="E4836" s="144"/>
      <c r="F4836" s="373"/>
      <c r="H4836" s="2168"/>
      <c r="I4836" s="70"/>
    </row>
    <row r="4837" spans="3:9" s="46" customFormat="1" x14ac:dyDescent="0.2">
      <c r="C4837" s="144"/>
      <c r="D4837" s="144"/>
      <c r="E4837" s="144"/>
      <c r="F4837" s="373"/>
      <c r="H4837" s="2168"/>
      <c r="I4837" s="70"/>
    </row>
    <row r="4838" spans="3:9" s="46" customFormat="1" x14ac:dyDescent="0.2">
      <c r="C4838" s="144"/>
      <c r="D4838" s="144"/>
      <c r="E4838" s="144"/>
      <c r="F4838" s="373"/>
      <c r="H4838" s="2168"/>
      <c r="I4838" s="70"/>
    </row>
    <row r="4839" spans="3:9" s="46" customFormat="1" x14ac:dyDescent="0.2">
      <c r="C4839" s="144"/>
      <c r="D4839" s="144"/>
      <c r="E4839" s="144"/>
      <c r="F4839" s="373"/>
      <c r="H4839" s="2168"/>
      <c r="I4839" s="70"/>
    </row>
    <row r="4840" spans="3:9" s="46" customFormat="1" x14ac:dyDescent="0.2">
      <c r="C4840" s="144"/>
      <c r="D4840" s="144"/>
      <c r="E4840" s="144"/>
      <c r="F4840" s="373"/>
      <c r="H4840" s="2168"/>
      <c r="I4840" s="70"/>
    </row>
    <row r="4841" spans="3:9" s="46" customFormat="1" x14ac:dyDescent="0.2">
      <c r="C4841" s="144"/>
      <c r="D4841" s="144"/>
      <c r="E4841" s="144"/>
      <c r="F4841" s="373"/>
      <c r="H4841" s="2168"/>
      <c r="I4841" s="70"/>
    </row>
    <row r="4842" spans="3:9" s="46" customFormat="1" x14ac:dyDescent="0.2">
      <c r="C4842" s="144"/>
      <c r="D4842" s="144"/>
      <c r="E4842" s="144"/>
      <c r="F4842" s="373"/>
      <c r="H4842" s="2168"/>
      <c r="I4842" s="70"/>
    </row>
    <row r="4843" spans="3:9" s="46" customFormat="1" x14ac:dyDescent="0.2">
      <c r="C4843" s="144"/>
      <c r="D4843" s="144"/>
      <c r="E4843" s="144"/>
      <c r="F4843" s="373"/>
      <c r="H4843" s="2168"/>
      <c r="I4843" s="70"/>
    </row>
    <row r="4844" spans="3:9" s="46" customFormat="1" x14ac:dyDescent="0.2">
      <c r="C4844" s="144"/>
      <c r="D4844" s="144"/>
      <c r="E4844" s="144"/>
      <c r="F4844" s="373"/>
      <c r="H4844" s="2168"/>
      <c r="I4844" s="70"/>
    </row>
    <row r="4845" spans="3:9" s="46" customFormat="1" x14ac:dyDescent="0.2">
      <c r="C4845" s="144"/>
      <c r="D4845" s="144"/>
      <c r="E4845" s="144"/>
      <c r="F4845" s="373"/>
      <c r="H4845" s="2168"/>
      <c r="I4845" s="70"/>
    </row>
    <row r="4846" spans="3:9" s="46" customFormat="1" x14ac:dyDescent="0.2">
      <c r="C4846" s="144"/>
      <c r="D4846" s="144"/>
      <c r="E4846" s="144"/>
      <c r="F4846" s="373"/>
      <c r="H4846" s="2168"/>
      <c r="I4846" s="70"/>
    </row>
    <row r="4847" spans="3:9" s="46" customFormat="1" x14ac:dyDescent="0.2">
      <c r="C4847" s="144"/>
      <c r="D4847" s="144"/>
      <c r="E4847" s="144"/>
      <c r="F4847" s="373"/>
      <c r="H4847" s="2168"/>
      <c r="I4847" s="70"/>
    </row>
    <row r="4848" spans="3:9" s="46" customFormat="1" x14ac:dyDescent="0.2">
      <c r="C4848" s="144"/>
      <c r="D4848" s="144"/>
      <c r="E4848" s="144"/>
      <c r="F4848" s="373"/>
      <c r="H4848" s="2168"/>
      <c r="I4848" s="70"/>
    </row>
    <row r="4849" spans="3:9" s="46" customFormat="1" x14ac:dyDescent="0.2">
      <c r="C4849" s="144"/>
      <c r="D4849" s="144"/>
      <c r="E4849" s="144"/>
      <c r="F4849" s="373"/>
      <c r="H4849" s="2168"/>
      <c r="I4849" s="70"/>
    </row>
    <row r="4850" spans="3:9" s="46" customFormat="1" x14ac:dyDescent="0.2">
      <c r="C4850" s="144"/>
      <c r="D4850" s="144"/>
      <c r="E4850" s="144"/>
      <c r="F4850" s="373"/>
      <c r="H4850" s="2168"/>
      <c r="I4850" s="70"/>
    </row>
    <row r="4851" spans="3:9" s="46" customFormat="1" x14ac:dyDescent="0.2">
      <c r="C4851" s="144"/>
      <c r="D4851" s="144"/>
      <c r="E4851" s="144"/>
      <c r="F4851" s="373"/>
      <c r="H4851" s="2168"/>
      <c r="I4851" s="70"/>
    </row>
    <row r="4852" spans="3:9" s="46" customFormat="1" x14ac:dyDescent="0.2">
      <c r="C4852" s="144"/>
      <c r="D4852" s="144"/>
      <c r="E4852" s="144"/>
      <c r="F4852" s="373"/>
      <c r="H4852" s="2168"/>
      <c r="I4852" s="70"/>
    </row>
    <row r="4853" spans="3:9" s="46" customFormat="1" x14ac:dyDescent="0.2">
      <c r="C4853" s="144"/>
      <c r="D4853" s="144"/>
      <c r="E4853" s="144"/>
      <c r="F4853" s="373"/>
      <c r="H4853" s="2168"/>
      <c r="I4853" s="70"/>
    </row>
    <row r="4854" spans="3:9" s="46" customFormat="1" x14ac:dyDescent="0.2">
      <c r="C4854" s="144"/>
      <c r="D4854" s="144"/>
      <c r="E4854" s="144"/>
      <c r="F4854" s="373"/>
      <c r="H4854" s="2168"/>
      <c r="I4854" s="70"/>
    </row>
    <row r="4855" spans="3:9" s="46" customFormat="1" x14ac:dyDescent="0.2">
      <c r="C4855" s="144"/>
      <c r="D4855" s="144"/>
      <c r="E4855" s="144"/>
      <c r="F4855" s="373"/>
      <c r="H4855" s="2168"/>
      <c r="I4855" s="70"/>
    </row>
    <row r="4856" spans="3:9" s="46" customFormat="1" x14ac:dyDescent="0.2">
      <c r="C4856" s="144"/>
      <c r="D4856" s="144"/>
      <c r="E4856" s="144"/>
      <c r="F4856" s="373"/>
      <c r="H4856" s="2168"/>
      <c r="I4856" s="70"/>
    </row>
    <row r="4857" spans="3:9" s="46" customFormat="1" x14ac:dyDescent="0.2">
      <c r="C4857" s="144"/>
      <c r="D4857" s="144"/>
      <c r="E4857" s="144"/>
      <c r="F4857" s="373"/>
      <c r="H4857" s="2168"/>
      <c r="I4857" s="70"/>
    </row>
    <row r="4858" spans="3:9" s="46" customFormat="1" x14ac:dyDescent="0.2">
      <c r="C4858" s="144"/>
      <c r="D4858" s="144"/>
      <c r="E4858" s="144"/>
      <c r="F4858" s="373"/>
      <c r="H4858" s="2168"/>
      <c r="I4858" s="70"/>
    </row>
    <row r="4859" spans="3:9" s="46" customFormat="1" x14ac:dyDescent="0.2">
      <c r="C4859" s="144"/>
      <c r="D4859" s="144"/>
      <c r="E4859" s="144"/>
      <c r="F4859" s="373"/>
      <c r="H4859" s="2168"/>
      <c r="I4859" s="70"/>
    </row>
    <row r="4860" spans="3:9" s="46" customFormat="1" x14ac:dyDescent="0.2">
      <c r="C4860" s="144"/>
      <c r="D4860" s="144"/>
      <c r="E4860" s="144"/>
      <c r="F4860" s="373"/>
      <c r="H4860" s="2168"/>
      <c r="I4860" s="70"/>
    </row>
    <row r="4861" spans="3:9" s="46" customFormat="1" x14ac:dyDescent="0.2">
      <c r="C4861" s="144"/>
      <c r="D4861" s="144"/>
      <c r="E4861" s="144"/>
      <c r="F4861" s="373"/>
      <c r="H4861" s="2168"/>
      <c r="I4861" s="70"/>
    </row>
    <row r="4862" spans="3:9" s="46" customFormat="1" x14ac:dyDescent="0.2">
      <c r="C4862" s="144"/>
      <c r="D4862" s="144"/>
      <c r="E4862" s="144"/>
      <c r="F4862" s="373"/>
      <c r="H4862" s="2168"/>
      <c r="I4862" s="70"/>
    </row>
    <row r="4863" spans="3:9" s="46" customFormat="1" x14ac:dyDescent="0.2">
      <c r="C4863" s="144"/>
      <c r="D4863" s="144"/>
      <c r="E4863" s="144"/>
      <c r="F4863" s="373"/>
      <c r="H4863" s="2168"/>
      <c r="I4863" s="70"/>
    </row>
    <row r="4864" spans="3:9" s="46" customFormat="1" x14ac:dyDescent="0.2">
      <c r="C4864" s="144"/>
      <c r="D4864" s="144"/>
      <c r="E4864" s="144"/>
      <c r="F4864" s="373"/>
      <c r="H4864" s="2168"/>
      <c r="I4864" s="70"/>
    </row>
    <row r="4865" spans="3:9" s="46" customFormat="1" x14ac:dyDescent="0.2">
      <c r="C4865" s="144"/>
      <c r="D4865" s="144"/>
      <c r="E4865" s="144"/>
      <c r="F4865" s="373"/>
      <c r="H4865" s="2168"/>
      <c r="I4865" s="70"/>
    </row>
    <row r="4866" spans="3:9" s="46" customFormat="1" x14ac:dyDescent="0.2">
      <c r="C4866" s="144"/>
      <c r="D4866" s="144"/>
      <c r="E4866" s="144"/>
      <c r="F4866" s="373"/>
      <c r="H4866" s="2168"/>
      <c r="I4866" s="70"/>
    </row>
    <row r="4867" spans="3:9" s="46" customFormat="1" x14ac:dyDescent="0.2">
      <c r="C4867" s="144"/>
      <c r="D4867" s="144"/>
      <c r="E4867" s="144"/>
      <c r="F4867" s="373"/>
      <c r="H4867" s="2168"/>
      <c r="I4867" s="70"/>
    </row>
    <row r="4868" spans="3:9" s="46" customFormat="1" x14ac:dyDescent="0.2">
      <c r="C4868" s="144"/>
      <c r="D4868" s="144"/>
      <c r="E4868" s="144"/>
      <c r="F4868" s="373"/>
      <c r="H4868" s="2168"/>
      <c r="I4868" s="70"/>
    </row>
    <row r="4869" spans="3:9" s="46" customFormat="1" x14ac:dyDescent="0.2">
      <c r="C4869" s="144"/>
      <c r="D4869" s="144"/>
      <c r="E4869" s="144"/>
      <c r="F4869" s="373"/>
      <c r="H4869" s="2168"/>
      <c r="I4869" s="70"/>
    </row>
    <row r="4870" spans="3:9" s="46" customFormat="1" x14ac:dyDescent="0.2">
      <c r="C4870" s="144"/>
      <c r="D4870" s="144"/>
      <c r="E4870" s="144"/>
      <c r="F4870" s="373"/>
      <c r="H4870" s="2168"/>
      <c r="I4870" s="70"/>
    </row>
    <row r="4871" spans="3:9" s="46" customFormat="1" x14ac:dyDescent="0.2">
      <c r="C4871" s="144"/>
      <c r="D4871" s="144"/>
      <c r="E4871" s="144"/>
      <c r="F4871" s="373"/>
      <c r="H4871" s="2168"/>
      <c r="I4871" s="70"/>
    </row>
    <row r="4872" spans="3:9" s="46" customFormat="1" x14ac:dyDescent="0.2">
      <c r="C4872" s="144"/>
      <c r="D4872" s="144"/>
      <c r="E4872" s="144"/>
      <c r="F4872" s="373"/>
      <c r="H4872" s="2168"/>
      <c r="I4872" s="70"/>
    </row>
    <row r="4873" spans="3:9" s="46" customFormat="1" x14ac:dyDescent="0.2">
      <c r="C4873" s="144"/>
      <c r="D4873" s="144"/>
      <c r="E4873" s="144"/>
      <c r="F4873" s="373"/>
      <c r="H4873" s="2168"/>
      <c r="I4873" s="70"/>
    </row>
    <row r="4874" spans="3:9" s="46" customFormat="1" x14ac:dyDescent="0.2">
      <c r="C4874" s="144"/>
      <c r="D4874" s="144"/>
      <c r="E4874" s="144"/>
      <c r="F4874" s="373"/>
      <c r="H4874" s="2168"/>
      <c r="I4874" s="70"/>
    </row>
    <row r="4875" spans="3:9" s="46" customFormat="1" x14ac:dyDescent="0.2">
      <c r="C4875" s="144"/>
      <c r="D4875" s="144"/>
      <c r="E4875" s="144"/>
      <c r="F4875" s="373"/>
      <c r="H4875" s="2168"/>
      <c r="I4875" s="70"/>
    </row>
    <row r="4876" spans="3:9" s="46" customFormat="1" x14ac:dyDescent="0.2">
      <c r="C4876" s="144"/>
      <c r="D4876" s="144"/>
      <c r="E4876" s="144"/>
      <c r="F4876" s="373"/>
      <c r="H4876" s="2168"/>
      <c r="I4876" s="70"/>
    </row>
    <row r="4877" spans="3:9" s="46" customFormat="1" x14ac:dyDescent="0.2">
      <c r="C4877" s="144"/>
      <c r="D4877" s="144"/>
      <c r="E4877" s="144"/>
      <c r="F4877" s="373"/>
      <c r="H4877" s="2168"/>
      <c r="I4877" s="70"/>
    </row>
    <row r="4878" spans="3:9" s="46" customFormat="1" x14ac:dyDescent="0.2">
      <c r="C4878" s="144"/>
      <c r="D4878" s="144"/>
      <c r="E4878" s="144"/>
      <c r="F4878" s="373"/>
      <c r="H4878" s="2168"/>
      <c r="I4878" s="70"/>
    </row>
    <row r="4879" spans="3:9" s="46" customFormat="1" x14ac:dyDescent="0.2">
      <c r="C4879" s="144"/>
      <c r="D4879" s="144"/>
      <c r="E4879" s="144"/>
      <c r="F4879" s="373"/>
      <c r="H4879" s="2168"/>
      <c r="I4879" s="70"/>
    </row>
    <row r="4880" spans="3:9" s="46" customFormat="1" x14ac:dyDescent="0.2">
      <c r="C4880" s="144"/>
      <c r="D4880" s="144"/>
      <c r="E4880" s="144"/>
      <c r="F4880" s="373"/>
      <c r="H4880" s="2168"/>
      <c r="I4880" s="70"/>
    </row>
    <row r="4881" spans="3:9" s="46" customFormat="1" x14ac:dyDescent="0.2">
      <c r="C4881" s="144"/>
      <c r="D4881" s="144"/>
      <c r="E4881" s="144"/>
      <c r="F4881" s="373"/>
      <c r="H4881" s="2168"/>
      <c r="I4881" s="70"/>
    </row>
    <row r="4882" spans="3:9" s="46" customFormat="1" x14ac:dyDescent="0.2">
      <c r="C4882" s="144"/>
      <c r="D4882" s="144"/>
      <c r="E4882" s="144"/>
      <c r="F4882" s="373"/>
      <c r="H4882" s="2168"/>
      <c r="I4882" s="70"/>
    </row>
    <row r="4883" spans="3:9" s="46" customFormat="1" x14ac:dyDescent="0.2">
      <c r="C4883" s="144"/>
      <c r="D4883" s="144"/>
      <c r="E4883" s="144"/>
      <c r="F4883" s="373"/>
      <c r="H4883" s="2168"/>
      <c r="I4883" s="70"/>
    </row>
    <row r="4884" spans="3:9" s="46" customFormat="1" x14ac:dyDescent="0.2">
      <c r="C4884" s="144"/>
      <c r="D4884" s="144"/>
      <c r="E4884" s="144"/>
      <c r="F4884" s="373"/>
      <c r="H4884" s="2168"/>
      <c r="I4884" s="70"/>
    </row>
    <row r="4885" spans="3:9" s="46" customFormat="1" x14ac:dyDescent="0.2">
      <c r="C4885" s="144"/>
      <c r="D4885" s="144"/>
      <c r="E4885" s="144"/>
      <c r="F4885" s="373"/>
      <c r="H4885" s="2168"/>
      <c r="I4885" s="70"/>
    </row>
    <row r="4886" spans="3:9" s="46" customFormat="1" x14ac:dyDescent="0.2">
      <c r="C4886" s="144"/>
      <c r="D4886" s="144"/>
      <c r="E4886" s="144"/>
      <c r="F4886" s="373"/>
      <c r="H4886" s="2168"/>
      <c r="I4886" s="70"/>
    </row>
    <row r="4887" spans="3:9" s="46" customFormat="1" x14ac:dyDescent="0.2">
      <c r="C4887" s="144"/>
      <c r="D4887" s="144"/>
      <c r="E4887" s="144"/>
      <c r="F4887" s="373"/>
      <c r="H4887" s="2168"/>
      <c r="I4887" s="70"/>
    </row>
    <row r="4888" spans="3:9" s="46" customFormat="1" x14ac:dyDescent="0.2">
      <c r="C4888" s="144"/>
      <c r="D4888" s="144"/>
      <c r="E4888" s="144"/>
      <c r="F4888" s="373"/>
      <c r="H4888" s="2168"/>
      <c r="I4888" s="70"/>
    </row>
    <row r="4889" spans="3:9" s="46" customFormat="1" x14ac:dyDescent="0.2">
      <c r="C4889" s="144"/>
      <c r="D4889" s="144"/>
      <c r="E4889" s="144"/>
      <c r="F4889" s="373"/>
      <c r="H4889" s="2168"/>
      <c r="I4889" s="70"/>
    </row>
    <row r="4890" spans="3:9" s="46" customFormat="1" x14ac:dyDescent="0.2">
      <c r="C4890" s="144"/>
      <c r="D4890" s="144"/>
      <c r="E4890" s="144"/>
      <c r="F4890" s="373"/>
      <c r="H4890" s="2168"/>
      <c r="I4890" s="70"/>
    </row>
    <row r="4891" spans="3:9" s="46" customFormat="1" x14ac:dyDescent="0.2">
      <c r="C4891" s="144"/>
      <c r="D4891" s="144"/>
      <c r="E4891" s="144"/>
      <c r="F4891" s="373"/>
      <c r="H4891" s="2168"/>
      <c r="I4891" s="70"/>
    </row>
    <row r="4892" spans="3:9" s="46" customFormat="1" x14ac:dyDescent="0.2">
      <c r="C4892" s="144"/>
      <c r="D4892" s="144"/>
      <c r="E4892" s="144"/>
      <c r="F4892" s="373"/>
      <c r="H4892" s="2168"/>
      <c r="I4892" s="70"/>
    </row>
    <row r="4893" spans="3:9" s="46" customFormat="1" x14ac:dyDescent="0.2">
      <c r="C4893" s="144"/>
      <c r="D4893" s="144"/>
      <c r="E4893" s="144"/>
      <c r="F4893" s="373"/>
      <c r="H4893" s="2168"/>
      <c r="I4893" s="70"/>
    </row>
    <row r="4894" spans="3:9" s="46" customFormat="1" x14ac:dyDescent="0.2">
      <c r="C4894" s="144"/>
      <c r="D4894" s="144"/>
      <c r="E4894" s="144"/>
      <c r="F4894" s="373"/>
      <c r="H4894" s="2168"/>
      <c r="I4894" s="70"/>
    </row>
    <row r="4895" spans="3:9" s="46" customFormat="1" x14ac:dyDescent="0.2">
      <c r="C4895" s="144"/>
      <c r="D4895" s="144"/>
      <c r="E4895" s="144"/>
      <c r="F4895" s="373"/>
      <c r="H4895" s="2168"/>
      <c r="I4895" s="70"/>
    </row>
    <row r="4896" spans="3:9" s="46" customFormat="1" x14ac:dyDescent="0.2">
      <c r="C4896" s="144"/>
      <c r="D4896" s="144"/>
      <c r="E4896" s="144"/>
      <c r="F4896" s="373"/>
      <c r="H4896" s="2168"/>
      <c r="I4896" s="70"/>
    </row>
    <row r="4897" spans="3:9" s="46" customFormat="1" x14ac:dyDescent="0.2">
      <c r="C4897" s="144"/>
      <c r="D4897" s="144"/>
      <c r="E4897" s="144"/>
      <c r="F4897" s="373"/>
      <c r="H4897" s="2168"/>
      <c r="I4897" s="70"/>
    </row>
    <row r="4898" spans="3:9" s="46" customFormat="1" x14ac:dyDescent="0.2">
      <c r="C4898" s="144"/>
      <c r="D4898" s="144"/>
      <c r="E4898" s="144"/>
      <c r="F4898" s="373"/>
      <c r="H4898" s="2168"/>
      <c r="I4898" s="70"/>
    </row>
    <row r="4899" spans="3:9" s="46" customFormat="1" x14ac:dyDescent="0.2">
      <c r="C4899" s="144"/>
      <c r="D4899" s="144"/>
      <c r="E4899" s="144"/>
      <c r="F4899" s="373"/>
      <c r="H4899" s="2168"/>
      <c r="I4899" s="70"/>
    </row>
    <row r="4900" spans="3:9" s="46" customFormat="1" x14ac:dyDescent="0.2">
      <c r="C4900" s="144"/>
      <c r="D4900" s="144"/>
      <c r="E4900" s="144"/>
      <c r="F4900" s="373"/>
      <c r="H4900" s="2168"/>
      <c r="I4900" s="70"/>
    </row>
    <row r="4901" spans="3:9" s="46" customFormat="1" x14ac:dyDescent="0.2">
      <c r="C4901" s="144"/>
      <c r="D4901" s="144"/>
      <c r="E4901" s="144"/>
      <c r="F4901" s="373"/>
      <c r="H4901" s="2168"/>
      <c r="I4901" s="70"/>
    </row>
    <row r="4902" spans="3:9" s="46" customFormat="1" x14ac:dyDescent="0.2">
      <c r="C4902" s="144"/>
      <c r="D4902" s="144"/>
      <c r="E4902" s="144"/>
      <c r="F4902" s="373"/>
      <c r="H4902" s="2168"/>
      <c r="I4902" s="70"/>
    </row>
    <row r="4903" spans="3:9" s="46" customFormat="1" x14ac:dyDescent="0.2">
      <c r="C4903" s="144"/>
      <c r="D4903" s="144"/>
      <c r="E4903" s="144"/>
      <c r="F4903" s="373"/>
      <c r="H4903" s="2168"/>
      <c r="I4903" s="70"/>
    </row>
    <row r="4904" spans="3:9" s="46" customFormat="1" x14ac:dyDescent="0.2">
      <c r="C4904" s="144"/>
      <c r="D4904" s="144"/>
      <c r="E4904" s="144"/>
      <c r="F4904" s="373"/>
      <c r="H4904" s="2168"/>
      <c r="I4904" s="70"/>
    </row>
    <row r="4905" spans="3:9" s="46" customFormat="1" x14ac:dyDescent="0.2">
      <c r="C4905" s="144"/>
      <c r="D4905" s="144"/>
      <c r="E4905" s="144"/>
      <c r="F4905" s="373"/>
      <c r="H4905" s="2168"/>
      <c r="I4905" s="70"/>
    </row>
    <row r="4906" spans="3:9" s="46" customFormat="1" x14ac:dyDescent="0.2">
      <c r="C4906" s="144"/>
      <c r="D4906" s="144"/>
      <c r="E4906" s="144"/>
      <c r="F4906" s="373"/>
      <c r="H4906" s="2168"/>
      <c r="I4906" s="70"/>
    </row>
    <row r="4907" spans="3:9" s="46" customFormat="1" x14ac:dyDescent="0.2">
      <c r="C4907" s="144"/>
      <c r="D4907" s="144"/>
      <c r="E4907" s="144"/>
      <c r="F4907" s="373"/>
      <c r="H4907" s="2168"/>
      <c r="I4907" s="70"/>
    </row>
    <row r="4908" spans="3:9" s="46" customFormat="1" x14ac:dyDescent="0.2">
      <c r="C4908" s="144"/>
      <c r="D4908" s="144"/>
      <c r="E4908" s="144"/>
      <c r="F4908" s="373"/>
      <c r="H4908" s="2168"/>
      <c r="I4908" s="70"/>
    </row>
    <row r="4909" spans="3:9" s="46" customFormat="1" x14ac:dyDescent="0.2">
      <c r="C4909" s="144"/>
      <c r="D4909" s="144"/>
      <c r="E4909" s="144"/>
      <c r="F4909" s="373"/>
      <c r="H4909" s="2168"/>
      <c r="I4909" s="70"/>
    </row>
    <row r="4910" spans="3:9" s="46" customFormat="1" x14ac:dyDescent="0.2">
      <c r="C4910" s="144"/>
      <c r="D4910" s="144"/>
      <c r="E4910" s="144"/>
      <c r="F4910" s="373"/>
      <c r="H4910" s="2168"/>
      <c r="I4910" s="70"/>
    </row>
    <row r="4911" spans="3:9" s="46" customFormat="1" x14ac:dyDescent="0.2">
      <c r="C4911" s="144"/>
      <c r="D4911" s="144"/>
      <c r="E4911" s="144"/>
      <c r="F4911" s="373"/>
      <c r="H4911" s="2168"/>
      <c r="I4911" s="70"/>
    </row>
    <row r="4912" spans="3:9" s="46" customFormat="1" x14ac:dyDescent="0.2">
      <c r="C4912" s="144"/>
      <c r="D4912" s="144"/>
      <c r="E4912" s="144"/>
      <c r="F4912" s="373"/>
      <c r="H4912" s="2168"/>
      <c r="I4912" s="70"/>
    </row>
    <row r="4913" spans="3:9" s="46" customFormat="1" x14ac:dyDescent="0.2">
      <c r="C4913" s="144"/>
      <c r="D4913" s="144"/>
      <c r="E4913" s="144"/>
      <c r="F4913" s="373"/>
      <c r="H4913" s="2168"/>
      <c r="I4913" s="70"/>
    </row>
    <row r="4914" spans="3:9" s="46" customFormat="1" x14ac:dyDescent="0.2">
      <c r="C4914" s="144"/>
      <c r="D4914" s="144"/>
      <c r="E4914" s="144"/>
      <c r="F4914" s="373"/>
      <c r="H4914" s="2168"/>
      <c r="I4914" s="70"/>
    </row>
    <row r="4915" spans="3:9" s="46" customFormat="1" x14ac:dyDescent="0.2">
      <c r="C4915" s="144"/>
      <c r="D4915" s="144"/>
      <c r="E4915" s="144"/>
      <c r="F4915" s="373"/>
      <c r="H4915" s="2168"/>
      <c r="I4915" s="70"/>
    </row>
    <row r="4916" spans="3:9" s="46" customFormat="1" x14ac:dyDescent="0.2">
      <c r="C4916" s="144"/>
      <c r="D4916" s="144"/>
      <c r="E4916" s="144"/>
      <c r="F4916" s="373"/>
      <c r="H4916" s="2168"/>
      <c r="I4916" s="70"/>
    </row>
    <row r="4917" spans="3:9" s="46" customFormat="1" x14ac:dyDescent="0.2">
      <c r="C4917" s="144"/>
      <c r="D4917" s="144"/>
      <c r="E4917" s="144"/>
      <c r="F4917" s="373"/>
      <c r="H4917" s="2168"/>
      <c r="I4917" s="70"/>
    </row>
    <row r="4918" spans="3:9" s="46" customFormat="1" x14ac:dyDescent="0.2">
      <c r="C4918" s="144"/>
      <c r="D4918" s="144"/>
      <c r="E4918" s="144"/>
      <c r="F4918" s="373"/>
      <c r="H4918" s="2168"/>
      <c r="I4918" s="70"/>
    </row>
    <row r="4919" spans="3:9" s="46" customFormat="1" x14ac:dyDescent="0.2">
      <c r="C4919" s="144"/>
      <c r="D4919" s="144"/>
      <c r="E4919" s="144"/>
      <c r="F4919" s="373"/>
      <c r="H4919" s="2168"/>
      <c r="I4919" s="70"/>
    </row>
    <row r="4920" spans="3:9" s="46" customFormat="1" x14ac:dyDescent="0.2">
      <c r="C4920" s="144"/>
      <c r="D4920" s="144"/>
      <c r="E4920" s="144"/>
      <c r="F4920" s="373"/>
      <c r="H4920" s="2168"/>
      <c r="I4920" s="70"/>
    </row>
    <row r="4921" spans="3:9" s="46" customFormat="1" x14ac:dyDescent="0.2">
      <c r="C4921" s="144"/>
      <c r="D4921" s="144"/>
      <c r="E4921" s="144"/>
      <c r="F4921" s="373"/>
      <c r="H4921" s="2168"/>
      <c r="I4921" s="70"/>
    </row>
    <row r="4922" spans="3:9" s="46" customFormat="1" x14ac:dyDescent="0.2">
      <c r="C4922" s="144"/>
      <c r="D4922" s="144"/>
      <c r="E4922" s="144"/>
      <c r="F4922" s="373"/>
      <c r="H4922" s="2168"/>
      <c r="I4922" s="70"/>
    </row>
    <row r="4923" spans="3:9" s="46" customFormat="1" x14ac:dyDescent="0.2">
      <c r="C4923" s="144"/>
      <c r="D4923" s="144"/>
      <c r="E4923" s="144"/>
      <c r="F4923" s="373"/>
      <c r="H4923" s="2168"/>
      <c r="I4923" s="70"/>
    </row>
    <row r="4924" spans="3:9" s="46" customFormat="1" x14ac:dyDescent="0.2">
      <c r="C4924" s="144"/>
      <c r="D4924" s="144"/>
      <c r="E4924" s="144"/>
      <c r="F4924" s="373"/>
      <c r="H4924" s="2168"/>
      <c r="I4924" s="70"/>
    </row>
    <row r="4925" spans="3:9" s="46" customFormat="1" x14ac:dyDescent="0.2">
      <c r="C4925" s="144"/>
      <c r="D4925" s="144"/>
      <c r="E4925" s="144"/>
      <c r="F4925" s="373"/>
      <c r="H4925" s="2168"/>
      <c r="I4925" s="70"/>
    </row>
    <row r="4926" spans="3:9" s="46" customFormat="1" x14ac:dyDescent="0.2">
      <c r="C4926" s="144"/>
      <c r="D4926" s="144"/>
      <c r="E4926" s="144"/>
      <c r="F4926" s="373"/>
      <c r="H4926" s="2168"/>
      <c r="I4926" s="70"/>
    </row>
    <row r="4927" spans="3:9" s="46" customFormat="1" x14ac:dyDescent="0.2">
      <c r="C4927" s="144"/>
      <c r="D4927" s="144"/>
      <c r="E4927" s="144"/>
      <c r="F4927" s="373"/>
      <c r="H4927" s="2168"/>
      <c r="I4927" s="70"/>
    </row>
    <row r="4928" spans="3:9" s="46" customFormat="1" x14ac:dyDescent="0.2">
      <c r="C4928" s="144"/>
      <c r="D4928" s="144"/>
      <c r="E4928" s="144"/>
      <c r="F4928" s="373"/>
      <c r="H4928" s="2168"/>
      <c r="I4928" s="70"/>
    </row>
    <row r="4929" spans="3:9" s="46" customFormat="1" x14ac:dyDescent="0.2">
      <c r="C4929" s="144"/>
      <c r="D4929" s="144"/>
      <c r="E4929" s="144"/>
      <c r="F4929" s="373"/>
      <c r="H4929" s="2168"/>
      <c r="I4929" s="70"/>
    </row>
    <row r="4930" spans="3:9" s="46" customFormat="1" x14ac:dyDescent="0.2">
      <c r="C4930" s="144"/>
      <c r="D4930" s="144"/>
      <c r="E4930" s="144"/>
      <c r="F4930" s="373"/>
      <c r="H4930" s="2168"/>
      <c r="I4930" s="70"/>
    </row>
    <row r="4931" spans="3:9" s="46" customFormat="1" x14ac:dyDescent="0.2">
      <c r="C4931" s="144"/>
      <c r="D4931" s="144"/>
      <c r="E4931" s="144"/>
      <c r="F4931" s="373"/>
      <c r="H4931" s="2168"/>
      <c r="I4931" s="70"/>
    </row>
    <row r="4932" spans="3:9" s="46" customFormat="1" x14ac:dyDescent="0.2">
      <c r="C4932" s="144"/>
      <c r="D4932" s="144"/>
      <c r="E4932" s="144"/>
      <c r="F4932" s="373"/>
      <c r="H4932" s="2168"/>
      <c r="I4932" s="70"/>
    </row>
    <row r="4933" spans="3:9" s="46" customFormat="1" x14ac:dyDescent="0.2">
      <c r="C4933" s="144"/>
      <c r="D4933" s="144"/>
      <c r="E4933" s="144"/>
      <c r="F4933" s="373"/>
      <c r="H4933" s="2168"/>
      <c r="I4933" s="70"/>
    </row>
    <row r="4934" spans="3:9" s="46" customFormat="1" x14ac:dyDescent="0.2">
      <c r="C4934" s="144"/>
      <c r="D4934" s="144"/>
      <c r="E4934" s="144"/>
      <c r="F4934" s="373"/>
      <c r="H4934" s="2168"/>
      <c r="I4934" s="70"/>
    </row>
    <row r="4935" spans="3:9" s="46" customFormat="1" x14ac:dyDescent="0.2">
      <c r="C4935" s="144"/>
      <c r="D4935" s="144"/>
      <c r="E4935" s="144"/>
      <c r="F4935" s="373"/>
      <c r="H4935" s="2168"/>
      <c r="I4935" s="70"/>
    </row>
    <row r="4936" spans="3:9" s="46" customFormat="1" x14ac:dyDescent="0.2">
      <c r="C4936" s="144"/>
      <c r="D4936" s="144"/>
      <c r="E4936" s="144"/>
      <c r="F4936" s="373"/>
      <c r="H4936" s="2168"/>
      <c r="I4936" s="70"/>
    </row>
    <row r="4937" spans="3:9" s="46" customFormat="1" x14ac:dyDescent="0.2">
      <c r="C4937" s="144"/>
      <c r="D4937" s="144"/>
      <c r="E4937" s="144"/>
      <c r="F4937" s="373"/>
      <c r="H4937" s="2168"/>
      <c r="I4937" s="70"/>
    </row>
    <row r="4938" spans="3:9" s="46" customFormat="1" x14ac:dyDescent="0.2">
      <c r="C4938" s="144"/>
      <c r="D4938" s="144"/>
      <c r="E4938" s="144"/>
      <c r="F4938" s="373"/>
      <c r="H4938" s="2168"/>
      <c r="I4938" s="70"/>
    </row>
    <row r="4939" spans="3:9" s="46" customFormat="1" x14ac:dyDescent="0.2">
      <c r="C4939" s="144"/>
      <c r="D4939" s="144"/>
      <c r="E4939" s="144"/>
      <c r="F4939" s="373"/>
      <c r="H4939" s="2168"/>
      <c r="I4939" s="70"/>
    </row>
    <row r="4940" spans="3:9" s="46" customFormat="1" x14ac:dyDescent="0.2">
      <c r="C4940" s="144"/>
      <c r="D4940" s="144"/>
      <c r="E4940" s="144"/>
      <c r="F4940" s="373"/>
      <c r="H4940" s="2168"/>
      <c r="I4940" s="70"/>
    </row>
    <row r="4941" spans="3:9" s="46" customFormat="1" x14ac:dyDescent="0.2">
      <c r="C4941" s="144"/>
      <c r="D4941" s="144"/>
      <c r="E4941" s="144"/>
      <c r="F4941" s="373"/>
      <c r="H4941" s="2168"/>
      <c r="I4941" s="70"/>
    </row>
    <row r="4942" spans="3:9" s="46" customFormat="1" x14ac:dyDescent="0.2">
      <c r="C4942" s="144"/>
      <c r="D4942" s="144"/>
      <c r="E4942" s="144"/>
      <c r="F4942" s="373"/>
      <c r="H4942" s="2168"/>
      <c r="I4942" s="70"/>
    </row>
    <row r="4943" spans="3:9" s="46" customFormat="1" x14ac:dyDescent="0.2">
      <c r="C4943" s="144"/>
      <c r="D4943" s="144"/>
      <c r="E4943" s="144"/>
      <c r="F4943" s="373"/>
      <c r="H4943" s="2168"/>
      <c r="I4943" s="70"/>
    </row>
    <row r="4944" spans="3:9" s="46" customFormat="1" x14ac:dyDescent="0.2">
      <c r="C4944" s="144"/>
      <c r="D4944" s="144"/>
      <c r="E4944" s="144"/>
      <c r="F4944" s="373"/>
      <c r="H4944" s="2168"/>
      <c r="I4944" s="70"/>
    </row>
    <row r="4945" spans="3:9" s="46" customFormat="1" x14ac:dyDescent="0.2">
      <c r="C4945" s="144"/>
      <c r="D4945" s="144"/>
      <c r="E4945" s="144"/>
      <c r="F4945" s="373"/>
      <c r="H4945" s="2168"/>
      <c r="I4945" s="70"/>
    </row>
    <row r="4946" spans="3:9" s="46" customFormat="1" x14ac:dyDescent="0.2">
      <c r="C4946" s="144"/>
      <c r="D4946" s="144"/>
      <c r="E4946" s="144"/>
      <c r="F4946" s="373"/>
      <c r="H4946" s="2168"/>
      <c r="I4946" s="70"/>
    </row>
    <row r="4947" spans="3:9" s="46" customFormat="1" x14ac:dyDescent="0.2">
      <c r="C4947" s="144"/>
      <c r="D4947" s="144"/>
      <c r="E4947" s="144"/>
      <c r="F4947" s="373"/>
      <c r="H4947" s="2168"/>
      <c r="I4947" s="70"/>
    </row>
    <row r="4948" spans="3:9" s="46" customFormat="1" x14ac:dyDescent="0.2">
      <c r="C4948" s="144"/>
      <c r="D4948" s="144"/>
      <c r="E4948" s="144"/>
      <c r="F4948" s="373"/>
      <c r="H4948" s="2168"/>
      <c r="I4948" s="70"/>
    </row>
    <row r="4949" spans="3:9" s="46" customFormat="1" x14ac:dyDescent="0.2">
      <c r="C4949" s="144"/>
      <c r="D4949" s="144"/>
      <c r="E4949" s="144"/>
      <c r="F4949" s="373"/>
      <c r="H4949" s="2168"/>
      <c r="I4949" s="70"/>
    </row>
    <row r="4950" spans="3:9" s="46" customFormat="1" x14ac:dyDescent="0.2">
      <c r="C4950" s="144"/>
      <c r="D4950" s="144"/>
      <c r="E4950" s="144"/>
      <c r="F4950" s="373"/>
      <c r="H4950" s="2168"/>
      <c r="I4950" s="70"/>
    </row>
    <row r="4951" spans="3:9" s="46" customFormat="1" x14ac:dyDescent="0.2">
      <c r="C4951" s="144"/>
      <c r="D4951" s="144"/>
      <c r="E4951" s="144"/>
      <c r="F4951" s="373"/>
      <c r="H4951" s="2168"/>
      <c r="I4951" s="70"/>
    </row>
    <row r="4952" spans="3:9" s="46" customFormat="1" x14ac:dyDescent="0.2">
      <c r="C4952" s="144"/>
      <c r="D4952" s="144"/>
      <c r="E4952" s="144"/>
      <c r="F4952" s="373"/>
      <c r="H4952" s="2168"/>
      <c r="I4952" s="70"/>
    </row>
    <row r="4953" spans="3:9" s="46" customFormat="1" x14ac:dyDescent="0.2">
      <c r="C4953" s="144"/>
      <c r="D4953" s="144"/>
      <c r="E4953" s="144"/>
      <c r="F4953" s="373"/>
      <c r="H4953" s="2168"/>
      <c r="I4953" s="70"/>
    </row>
    <row r="4954" spans="3:9" s="46" customFormat="1" x14ac:dyDescent="0.2">
      <c r="C4954" s="144"/>
      <c r="D4954" s="144"/>
      <c r="E4954" s="144"/>
      <c r="F4954" s="373"/>
      <c r="H4954" s="2168"/>
      <c r="I4954" s="70"/>
    </row>
    <row r="4955" spans="3:9" s="46" customFormat="1" x14ac:dyDescent="0.2">
      <c r="C4955" s="144"/>
      <c r="D4955" s="144"/>
      <c r="E4955" s="144"/>
      <c r="F4955" s="373"/>
      <c r="H4955" s="2168"/>
      <c r="I4955" s="70"/>
    </row>
    <row r="4956" spans="3:9" s="46" customFormat="1" x14ac:dyDescent="0.2">
      <c r="C4956" s="144"/>
      <c r="D4956" s="144"/>
      <c r="E4956" s="144"/>
      <c r="F4956" s="373"/>
      <c r="H4956" s="2168"/>
      <c r="I4956" s="70"/>
    </row>
    <row r="4957" spans="3:9" s="46" customFormat="1" x14ac:dyDescent="0.2">
      <c r="C4957" s="144"/>
      <c r="D4957" s="144"/>
      <c r="E4957" s="144"/>
      <c r="F4957" s="373"/>
      <c r="H4957" s="2168"/>
      <c r="I4957" s="70"/>
    </row>
    <row r="4958" spans="3:9" s="46" customFormat="1" x14ac:dyDescent="0.2">
      <c r="C4958" s="144"/>
      <c r="D4958" s="144"/>
      <c r="E4958" s="144"/>
      <c r="F4958" s="373"/>
      <c r="H4958" s="2168"/>
      <c r="I4958" s="70"/>
    </row>
    <row r="4959" spans="3:9" s="46" customFormat="1" x14ac:dyDescent="0.2">
      <c r="C4959" s="144"/>
      <c r="D4959" s="144"/>
      <c r="E4959" s="144"/>
      <c r="F4959" s="373"/>
      <c r="H4959" s="2168"/>
      <c r="I4959" s="70"/>
    </row>
    <row r="4960" spans="3:9" s="46" customFormat="1" x14ac:dyDescent="0.2">
      <c r="C4960" s="144"/>
      <c r="D4960" s="144"/>
      <c r="E4960" s="144"/>
      <c r="F4960" s="373"/>
      <c r="H4960" s="2168"/>
      <c r="I4960" s="70"/>
    </row>
    <row r="4961" spans="3:9" s="46" customFormat="1" x14ac:dyDescent="0.2">
      <c r="C4961" s="144"/>
      <c r="D4961" s="144"/>
      <c r="E4961" s="144"/>
      <c r="F4961" s="373"/>
      <c r="H4961" s="2168"/>
      <c r="I4961" s="70"/>
    </row>
    <row r="4962" spans="3:9" s="46" customFormat="1" x14ac:dyDescent="0.2">
      <c r="C4962" s="144"/>
      <c r="D4962" s="144"/>
      <c r="E4962" s="144"/>
      <c r="F4962" s="373"/>
      <c r="H4962" s="2168"/>
      <c r="I4962" s="70"/>
    </row>
    <row r="4963" spans="3:9" s="46" customFormat="1" x14ac:dyDescent="0.2">
      <c r="C4963" s="144"/>
      <c r="D4963" s="144"/>
      <c r="E4963" s="144"/>
      <c r="F4963" s="373"/>
      <c r="H4963" s="2168"/>
      <c r="I4963" s="70"/>
    </row>
    <row r="4964" spans="3:9" s="46" customFormat="1" x14ac:dyDescent="0.2">
      <c r="C4964" s="144"/>
      <c r="D4964" s="144"/>
      <c r="E4964" s="144"/>
      <c r="F4964" s="373"/>
      <c r="H4964" s="2168"/>
      <c r="I4964" s="70"/>
    </row>
    <row r="4965" spans="3:9" s="46" customFormat="1" x14ac:dyDescent="0.2">
      <c r="C4965" s="144"/>
      <c r="D4965" s="144"/>
      <c r="E4965" s="144"/>
      <c r="F4965" s="373"/>
      <c r="H4965" s="2168"/>
      <c r="I4965" s="70"/>
    </row>
    <row r="4966" spans="3:9" s="46" customFormat="1" x14ac:dyDescent="0.2">
      <c r="C4966" s="144"/>
      <c r="D4966" s="144"/>
      <c r="E4966" s="144"/>
      <c r="F4966" s="373"/>
      <c r="H4966" s="2168"/>
      <c r="I4966" s="70"/>
    </row>
    <row r="4967" spans="3:9" s="46" customFormat="1" x14ac:dyDescent="0.2">
      <c r="C4967" s="144"/>
      <c r="D4967" s="144"/>
      <c r="E4967" s="144"/>
      <c r="F4967" s="373"/>
      <c r="H4967" s="2168"/>
      <c r="I4967" s="70"/>
    </row>
    <row r="4968" spans="3:9" s="46" customFormat="1" x14ac:dyDescent="0.2">
      <c r="C4968" s="144"/>
      <c r="D4968" s="144"/>
      <c r="E4968" s="144"/>
      <c r="F4968" s="373"/>
      <c r="H4968" s="2168"/>
      <c r="I4968" s="70"/>
    </row>
    <row r="4969" spans="3:9" s="46" customFormat="1" x14ac:dyDescent="0.2">
      <c r="C4969" s="144"/>
      <c r="D4969" s="144"/>
      <c r="E4969" s="144"/>
      <c r="F4969" s="373"/>
      <c r="H4969" s="2168"/>
      <c r="I4969" s="70"/>
    </row>
    <row r="4970" spans="3:9" s="46" customFormat="1" x14ac:dyDescent="0.2">
      <c r="C4970" s="144"/>
      <c r="D4970" s="144"/>
      <c r="E4970" s="144"/>
      <c r="F4970" s="373"/>
      <c r="H4970" s="2168"/>
      <c r="I4970" s="70"/>
    </row>
    <row r="4971" spans="3:9" s="46" customFormat="1" x14ac:dyDescent="0.2">
      <c r="C4971" s="144"/>
      <c r="D4971" s="144"/>
      <c r="E4971" s="144"/>
      <c r="F4971" s="373"/>
      <c r="H4971" s="2168"/>
      <c r="I4971" s="70"/>
    </row>
    <row r="4972" spans="3:9" s="46" customFormat="1" x14ac:dyDescent="0.2">
      <c r="C4972" s="144"/>
      <c r="D4972" s="144"/>
      <c r="E4972" s="144"/>
      <c r="F4972" s="373"/>
      <c r="H4972" s="2168"/>
      <c r="I4972" s="70"/>
    </row>
    <row r="4973" spans="3:9" s="46" customFormat="1" x14ac:dyDescent="0.2">
      <c r="C4973" s="144"/>
      <c r="D4973" s="144"/>
      <c r="E4973" s="144"/>
      <c r="F4973" s="373"/>
      <c r="H4973" s="2168"/>
      <c r="I4973" s="70"/>
    </row>
    <row r="4974" spans="3:9" s="46" customFormat="1" x14ac:dyDescent="0.2">
      <c r="C4974" s="144"/>
      <c r="D4974" s="144"/>
      <c r="E4974" s="144"/>
      <c r="F4974" s="373"/>
      <c r="H4974" s="2168"/>
      <c r="I4974" s="70"/>
    </row>
    <row r="4975" spans="3:9" s="46" customFormat="1" x14ac:dyDescent="0.2">
      <c r="C4975" s="144"/>
      <c r="D4975" s="144"/>
      <c r="E4975" s="144"/>
      <c r="F4975" s="373"/>
      <c r="H4975" s="2168"/>
      <c r="I4975" s="70"/>
    </row>
    <row r="4976" spans="3:9" s="46" customFormat="1" x14ac:dyDescent="0.2">
      <c r="C4976" s="144"/>
      <c r="D4976" s="144"/>
      <c r="E4976" s="144"/>
      <c r="F4976" s="373"/>
      <c r="H4976" s="2168"/>
      <c r="I4976" s="70"/>
    </row>
    <row r="4977" spans="3:9" s="46" customFormat="1" x14ac:dyDescent="0.2">
      <c r="C4977" s="144"/>
      <c r="D4977" s="144"/>
      <c r="E4977" s="144"/>
      <c r="F4977" s="373"/>
      <c r="H4977" s="2168"/>
      <c r="I4977" s="70"/>
    </row>
    <row r="4978" spans="3:9" s="46" customFormat="1" x14ac:dyDescent="0.2">
      <c r="C4978" s="144"/>
      <c r="D4978" s="144"/>
      <c r="E4978" s="144"/>
      <c r="F4978" s="373"/>
      <c r="H4978" s="2168"/>
      <c r="I4978" s="70"/>
    </row>
    <row r="4979" spans="3:9" s="46" customFormat="1" x14ac:dyDescent="0.2">
      <c r="C4979" s="144"/>
      <c r="D4979" s="144"/>
      <c r="E4979" s="144"/>
      <c r="F4979" s="373"/>
      <c r="H4979" s="2168"/>
      <c r="I4979" s="70"/>
    </row>
    <row r="4980" spans="3:9" s="46" customFormat="1" x14ac:dyDescent="0.2">
      <c r="C4980" s="144"/>
      <c r="D4980" s="144"/>
      <c r="E4980" s="144"/>
      <c r="F4980" s="373"/>
      <c r="H4980" s="2168"/>
      <c r="I4980" s="70"/>
    </row>
    <row r="4981" spans="3:9" s="46" customFormat="1" x14ac:dyDescent="0.2">
      <c r="C4981" s="144"/>
      <c r="D4981" s="144"/>
      <c r="E4981" s="144"/>
      <c r="F4981" s="373"/>
      <c r="H4981" s="2168"/>
      <c r="I4981" s="70"/>
    </row>
    <row r="4982" spans="3:9" s="46" customFormat="1" x14ac:dyDescent="0.2">
      <c r="C4982" s="144"/>
      <c r="D4982" s="144"/>
      <c r="E4982" s="144"/>
      <c r="F4982" s="373"/>
      <c r="H4982" s="2168"/>
      <c r="I4982" s="70"/>
    </row>
    <row r="4983" spans="3:9" s="46" customFormat="1" x14ac:dyDescent="0.2">
      <c r="C4983" s="144"/>
      <c r="D4983" s="144"/>
      <c r="E4983" s="144"/>
      <c r="F4983" s="373"/>
      <c r="H4983" s="2168"/>
      <c r="I4983" s="70"/>
    </row>
    <row r="4984" spans="3:9" s="46" customFormat="1" x14ac:dyDescent="0.2">
      <c r="C4984" s="144"/>
      <c r="D4984" s="144"/>
      <c r="E4984" s="144"/>
      <c r="F4984" s="373"/>
      <c r="H4984" s="2168"/>
      <c r="I4984" s="70"/>
    </row>
    <row r="4985" spans="3:9" s="46" customFormat="1" x14ac:dyDescent="0.2">
      <c r="C4985" s="144"/>
      <c r="D4985" s="144"/>
      <c r="E4985" s="144"/>
      <c r="F4985" s="373"/>
      <c r="H4985" s="2168"/>
      <c r="I4985" s="70"/>
    </row>
    <row r="4986" spans="3:9" s="46" customFormat="1" x14ac:dyDescent="0.2">
      <c r="C4986" s="144"/>
      <c r="D4986" s="144"/>
      <c r="E4986" s="144"/>
      <c r="F4986" s="373"/>
      <c r="H4986" s="2168"/>
      <c r="I4986" s="70"/>
    </row>
    <row r="4987" spans="3:9" s="46" customFormat="1" x14ac:dyDescent="0.2">
      <c r="C4987" s="144"/>
      <c r="D4987" s="144"/>
      <c r="E4987" s="144"/>
      <c r="F4987" s="373"/>
      <c r="H4987" s="2168"/>
      <c r="I4987" s="70"/>
    </row>
    <row r="4988" spans="3:9" s="46" customFormat="1" x14ac:dyDescent="0.2">
      <c r="C4988" s="144"/>
      <c r="D4988" s="144"/>
      <c r="E4988" s="144"/>
      <c r="F4988" s="373"/>
      <c r="H4988" s="2168"/>
      <c r="I4988" s="70"/>
    </row>
    <row r="4989" spans="3:9" s="46" customFormat="1" x14ac:dyDescent="0.2">
      <c r="C4989" s="144"/>
      <c r="D4989" s="144"/>
      <c r="E4989" s="144"/>
      <c r="F4989" s="373"/>
      <c r="H4989" s="2168"/>
      <c r="I4989" s="70"/>
    </row>
    <row r="4990" spans="3:9" s="46" customFormat="1" x14ac:dyDescent="0.2">
      <c r="C4990" s="144"/>
      <c r="D4990" s="144"/>
      <c r="E4990" s="144"/>
      <c r="F4990" s="373"/>
      <c r="H4990" s="2168"/>
      <c r="I4990" s="70"/>
    </row>
    <row r="4991" spans="3:9" s="46" customFormat="1" x14ac:dyDescent="0.2">
      <c r="C4991" s="144"/>
      <c r="D4991" s="144"/>
      <c r="E4991" s="144"/>
      <c r="F4991" s="373"/>
      <c r="H4991" s="2168"/>
      <c r="I4991" s="70"/>
    </row>
    <row r="4992" spans="3:9" s="46" customFormat="1" x14ac:dyDescent="0.2">
      <c r="C4992" s="144"/>
      <c r="D4992" s="144"/>
      <c r="E4992" s="144"/>
      <c r="F4992" s="373"/>
      <c r="H4992" s="2168"/>
      <c r="I4992" s="70"/>
    </row>
    <row r="4993" spans="3:9" s="46" customFormat="1" x14ac:dyDescent="0.2">
      <c r="C4993" s="144"/>
      <c r="D4993" s="144"/>
      <c r="E4993" s="144"/>
      <c r="F4993" s="373"/>
      <c r="H4993" s="2168"/>
      <c r="I4993" s="70"/>
    </row>
    <row r="4994" spans="3:9" s="46" customFormat="1" x14ac:dyDescent="0.2">
      <c r="C4994" s="144"/>
      <c r="D4994" s="144"/>
      <c r="E4994" s="144"/>
      <c r="F4994" s="373"/>
      <c r="H4994" s="2168"/>
      <c r="I4994" s="70"/>
    </row>
    <row r="4995" spans="3:9" s="46" customFormat="1" x14ac:dyDescent="0.2">
      <c r="C4995" s="144"/>
      <c r="D4995" s="144"/>
      <c r="E4995" s="144"/>
      <c r="F4995" s="373"/>
      <c r="H4995" s="2168"/>
      <c r="I4995" s="70"/>
    </row>
    <row r="4996" spans="3:9" s="46" customFormat="1" x14ac:dyDescent="0.2">
      <c r="C4996" s="144"/>
      <c r="D4996" s="144"/>
      <c r="E4996" s="144"/>
      <c r="F4996" s="373"/>
      <c r="H4996" s="2168"/>
      <c r="I4996" s="70"/>
    </row>
    <row r="4997" spans="3:9" s="46" customFormat="1" x14ac:dyDescent="0.2">
      <c r="C4997" s="144"/>
      <c r="D4997" s="144"/>
      <c r="E4997" s="144"/>
      <c r="F4997" s="373"/>
      <c r="H4997" s="2168"/>
      <c r="I4997" s="70"/>
    </row>
    <row r="4998" spans="3:9" s="46" customFormat="1" x14ac:dyDescent="0.2">
      <c r="C4998" s="144"/>
      <c r="D4998" s="144"/>
      <c r="E4998" s="144"/>
      <c r="F4998" s="373"/>
      <c r="H4998" s="2168"/>
      <c r="I4998" s="70"/>
    </row>
    <row r="4999" spans="3:9" s="46" customFormat="1" x14ac:dyDescent="0.2">
      <c r="C4999" s="144"/>
      <c r="D4999" s="144"/>
      <c r="E4999" s="144"/>
      <c r="F4999" s="373"/>
      <c r="H4999" s="2168"/>
      <c r="I4999" s="70"/>
    </row>
    <row r="5000" spans="3:9" s="46" customFormat="1" x14ac:dyDescent="0.2">
      <c r="C5000" s="144"/>
      <c r="D5000" s="144"/>
      <c r="E5000" s="144"/>
      <c r="F5000" s="373"/>
      <c r="H5000" s="2168"/>
      <c r="I5000" s="70"/>
    </row>
    <row r="5001" spans="3:9" s="46" customFormat="1" x14ac:dyDescent="0.2">
      <c r="C5001" s="144"/>
      <c r="D5001" s="144"/>
      <c r="E5001" s="144"/>
      <c r="F5001" s="373"/>
      <c r="H5001" s="2168"/>
      <c r="I5001" s="70"/>
    </row>
    <row r="5002" spans="3:9" s="46" customFormat="1" x14ac:dyDescent="0.2">
      <c r="C5002" s="144"/>
      <c r="D5002" s="144"/>
      <c r="E5002" s="144"/>
      <c r="F5002" s="373"/>
      <c r="H5002" s="2168"/>
      <c r="I5002" s="70"/>
    </row>
    <row r="5003" spans="3:9" s="46" customFormat="1" x14ac:dyDescent="0.2">
      <c r="C5003" s="144"/>
      <c r="D5003" s="144"/>
      <c r="E5003" s="144"/>
      <c r="F5003" s="373"/>
      <c r="H5003" s="2168"/>
      <c r="I5003" s="70"/>
    </row>
    <row r="5004" spans="3:9" s="46" customFormat="1" x14ac:dyDescent="0.2">
      <c r="C5004" s="144"/>
      <c r="D5004" s="144"/>
      <c r="E5004" s="144"/>
      <c r="F5004" s="373"/>
      <c r="H5004" s="2168"/>
      <c r="I5004" s="70"/>
    </row>
    <row r="5005" spans="3:9" s="46" customFormat="1" x14ac:dyDescent="0.2">
      <c r="C5005" s="144"/>
      <c r="D5005" s="144"/>
      <c r="E5005" s="144"/>
      <c r="F5005" s="373"/>
      <c r="H5005" s="2168"/>
      <c r="I5005" s="70"/>
    </row>
    <row r="5006" spans="3:9" s="46" customFormat="1" x14ac:dyDescent="0.2">
      <c r="C5006" s="144"/>
      <c r="D5006" s="144"/>
      <c r="E5006" s="144"/>
      <c r="F5006" s="373"/>
      <c r="H5006" s="2168"/>
      <c r="I5006" s="70"/>
    </row>
    <row r="5007" spans="3:9" s="46" customFormat="1" x14ac:dyDescent="0.2">
      <c r="C5007" s="144"/>
      <c r="D5007" s="144"/>
      <c r="E5007" s="144"/>
      <c r="F5007" s="373"/>
      <c r="H5007" s="2168"/>
      <c r="I5007" s="70"/>
    </row>
    <row r="5008" spans="3:9" s="46" customFormat="1" x14ac:dyDescent="0.2">
      <c r="C5008" s="144"/>
      <c r="D5008" s="144"/>
      <c r="E5008" s="144"/>
      <c r="F5008" s="373"/>
      <c r="H5008" s="2168"/>
      <c r="I5008" s="70"/>
    </row>
    <row r="5009" spans="3:9" s="46" customFormat="1" x14ac:dyDescent="0.2">
      <c r="C5009" s="144"/>
      <c r="D5009" s="144"/>
      <c r="E5009" s="144"/>
      <c r="F5009" s="373"/>
      <c r="H5009" s="2168"/>
      <c r="I5009" s="70"/>
    </row>
    <row r="5010" spans="3:9" s="46" customFormat="1" x14ac:dyDescent="0.2">
      <c r="C5010" s="144"/>
      <c r="D5010" s="144"/>
      <c r="E5010" s="144"/>
      <c r="F5010" s="373"/>
      <c r="H5010" s="2168"/>
      <c r="I5010" s="70"/>
    </row>
    <row r="5011" spans="3:9" s="46" customFormat="1" x14ac:dyDescent="0.2">
      <c r="C5011" s="144"/>
      <c r="D5011" s="144"/>
      <c r="E5011" s="144"/>
      <c r="F5011" s="373"/>
      <c r="H5011" s="2168"/>
      <c r="I5011" s="70"/>
    </row>
    <row r="5012" spans="3:9" s="46" customFormat="1" x14ac:dyDescent="0.2">
      <c r="C5012" s="144"/>
      <c r="D5012" s="144"/>
      <c r="E5012" s="144"/>
      <c r="F5012" s="373"/>
      <c r="H5012" s="2168"/>
      <c r="I5012" s="70"/>
    </row>
    <row r="5013" spans="3:9" s="46" customFormat="1" x14ac:dyDescent="0.2">
      <c r="C5013" s="144"/>
      <c r="D5013" s="144"/>
      <c r="E5013" s="144"/>
      <c r="F5013" s="373"/>
      <c r="H5013" s="2168"/>
      <c r="I5013" s="70"/>
    </row>
    <row r="5014" spans="3:9" s="46" customFormat="1" x14ac:dyDescent="0.2">
      <c r="C5014" s="144"/>
      <c r="D5014" s="144"/>
      <c r="E5014" s="144"/>
      <c r="F5014" s="373"/>
      <c r="H5014" s="2168"/>
      <c r="I5014" s="70"/>
    </row>
    <row r="5015" spans="3:9" s="46" customFormat="1" x14ac:dyDescent="0.2">
      <c r="C5015" s="144"/>
      <c r="D5015" s="144"/>
      <c r="E5015" s="144"/>
      <c r="F5015" s="373"/>
      <c r="H5015" s="2168"/>
      <c r="I5015" s="70"/>
    </row>
    <row r="5016" spans="3:9" s="46" customFormat="1" x14ac:dyDescent="0.2">
      <c r="C5016" s="144"/>
      <c r="D5016" s="144"/>
      <c r="E5016" s="144"/>
      <c r="F5016" s="373"/>
      <c r="H5016" s="2168"/>
      <c r="I5016" s="70"/>
    </row>
    <row r="5017" spans="3:9" s="46" customFormat="1" x14ac:dyDescent="0.2">
      <c r="C5017" s="144"/>
      <c r="D5017" s="144"/>
      <c r="E5017" s="144"/>
      <c r="F5017" s="373"/>
      <c r="H5017" s="2168"/>
      <c r="I5017" s="70"/>
    </row>
    <row r="5018" spans="3:9" s="46" customFormat="1" x14ac:dyDescent="0.2">
      <c r="C5018" s="144"/>
      <c r="D5018" s="144"/>
      <c r="E5018" s="144"/>
      <c r="F5018" s="373"/>
      <c r="H5018" s="2168"/>
      <c r="I5018" s="70"/>
    </row>
    <row r="5019" spans="3:9" s="46" customFormat="1" x14ac:dyDescent="0.2">
      <c r="C5019" s="144"/>
      <c r="D5019" s="144"/>
      <c r="E5019" s="144"/>
      <c r="F5019" s="373"/>
      <c r="H5019" s="2168"/>
      <c r="I5019" s="70"/>
    </row>
    <row r="5020" spans="3:9" s="46" customFormat="1" x14ac:dyDescent="0.2">
      <c r="C5020" s="144"/>
      <c r="D5020" s="144"/>
      <c r="E5020" s="144"/>
      <c r="F5020" s="373"/>
      <c r="H5020" s="2168"/>
      <c r="I5020" s="70"/>
    </row>
    <row r="5021" spans="3:9" s="46" customFormat="1" x14ac:dyDescent="0.2">
      <c r="C5021" s="144"/>
      <c r="D5021" s="144"/>
      <c r="E5021" s="144"/>
      <c r="F5021" s="373"/>
      <c r="H5021" s="2168"/>
      <c r="I5021" s="70"/>
    </row>
    <row r="5022" spans="3:9" s="46" customFormat="1" x14ac:dyDescent="0.2">
      <c r="C5022" s="144"/>
      <c r="D5022" s="144"/>
      <c r="E5022" s="144"/>
      <c r="F5022" s="373"/>
      <c r="H5022" s="2168"/>
      <c r="I5022" s="70"/>
    </row>
    <row r="5023" spans="3:9" s="46" customFormat="1" x14ac:dyDescent="0.2">
      <c r="C5023" s="144"/>
      <c r="D5023" s="144"/>
      <c r="E5023" s="144"/>
      <c r="F5023" s="373"/>
      <c r="H5023" s="2168"/>
      <c r="I5023" s="70"/>
    </row>
    <row r="5024" spans="3:9" s="46" customFormat="1" x14ac:dyDescent="0.2">
      <c r="C5024" s="144"/>
      <c r="D5024" s="144"/>
      <c r="E5024" s="144"/>
      <c r="F5024" s="373"/>
      <c r="H5024" s="2168"/>
      <c r="I5024" s="70"/>
    </row>
    <row r="5025" spans="3:9" s="46" customFormat="1" x14ac:dyDescent="0.2">
      <c r="C5025" s="144"/>
      <c r="D5025" s="144"/>
      <c r="E5025" s="144"/>
      <c r="F5025" s="373"/>
      <c r="H5025" s="2168"/>
      <c r="I5025" s="70"/>
    </row>
    <row r="5026" spans="3:9" s="46" customFormat="1" x14ac:dyDescent="0.2">
      <c r="C5026" s="144"/>
      <c r="D5026" s="144"/>
      <c r="E5026" s="144"/>
      <c r="F5026" s="373"/>
      <c r="H5026" s="2168"/>
      <c r="I5026" s="70"/>
    </row>
    <row r="5027" spans="3:9" s="46" customFormat="1" x14ac:dyDescent="0.2">
      <c r="C5027" s="144"/>
      <c r="D5027" s="144"/>
      <c r="E5027" s="144"/>
      <c r="F5027" s="373"/>
      <c r="H5027" s="2168"/>
      <c r="I5027" s="70"/>
    </row>
    <row r="5028" spans="3:9" s="46" customFormat="1" x14ac:dyDescent="0.2">
      <c r="C5028" s="144"/>
      <c r="D5028" s="144"/>
      <c r="E5028" s="144"/>
      <c r="F5028" s="373"/>
      <c r="H5028" s="2168"/>
      <c r="I5028" s="70"/>
    </row>
    <row r="5029" spans="3:9" s="46" customFormat="1" x14ac:dyDescent="0.2">
      <c r="C5029" s="144"/>
      <c r="D5029" s="144"/>
      <c r="E5029" s="144"/>
      <c r="F5029" s="373"/>
      <c r="H5029" s="2168"/>
      <c r="I5029" s="70"/>
    </row>
    <row r="5030" spans="3:9" s="46" customFormat="1" x14ac:dyDescent="0.2">
      <c r="C5030" s="144"/>
      <c r="D5030" s="144"/>
      <c r="E5030" s="144"/>
      <c r="F5030" s="373"/>
      <c r="H5030" s="2168"/>
      <c r="I5030" s="70"/>
    </row>
    <row r="5031" spans="3:9" s="46" customFormat="1" x14ac:dyDescent="0.2">
      <c r="C5031" s="144"/>
      <c r="D5031" s="144"/>
      <c r="E5031" s="144"/>
      <c r="F5031" s="373"/>
      <c r="H5031" s="2168"/>
      <c r="I5031" s="70"/>
    </row>
    <row r="5032" spans="3:9" s="46" customFormat="1" x14ac:dyDescent="0.2">
      <c r="C5032" s="144"/>
      <c r="D5032" s="144"/>
      <c r="E5032" s="144"/>
      <c r="F5032" s="373"/>
      <c r="H5032" s="2168"/>
      <c r="I5032" s="70"/>
    </row>
    <row r="5033" spans="3:9" s="46" customFormat="1" x14ac:dyDescent="0.2">
      <c r="C5033" s="144"/>
      <c r="D5033" s="144"/>
      <c r="E5033" s="144"/>
      <c r="F5033" s="373"/>
      <c r="H5033" s="2168"/>
      <c r="I5033" s="70"/>
    </row>
    <row r="5034" spans="3:9" s="46" customFormat="1" x14ac:dyDescent="0.2">
      <c r="C5034" s="144"/>
      <c r="D5034" s="144"/>
      <c r="E5034" s="144"/>
      <c r="F5034" s="373"/>
      <c r="H5034" s="2168"/>
      <c r="I5034" s="70"/>
    </row>
    <row r="5035" spans="3:9" s="46" customFormat="1" x14ac:dyDescent="0.2">
      <c r="C5035" s="144"/>
      <c r="D5035" s="144"/>
      <c r="E5035" s="144"/>
      <c r="F5035" s="373"/>
      <c r="H5035" s="2168"/>
      <c r="I5035" s="70"/>
    </row>
    <row r="5036" spans="3:9" s="46" customFormat="1" x14ac:dyDescent="0.2">
      <c r="C5036" s="144"/>
      <c r="D5036" s="144"/>
      <c r="E5036" s="144"/>
      <c r="F5036" s="373"/>
      <c r="H5036" s="2168"/>
      <c r="I5036" s="70"/>
    </row>
    <row r="5037" spans="3:9" s="46" customFormat="1" x14ac:dyDescent="0.2">
      <c r="C5037" s="144"/>
      <c r="D5037" s="144"/>
      <c r="E5037" s="144"/>
      <c r="F5037" s="373"/>
      <c r="H5037" s="2168"/>
      <c r="I5037" s="70"/>
    </row>
    <row r="5038" spans="3:9" s="46" customFormat="1" x14ac:dyDescent="0.2">
      <c r="C5038" s="144"/>
      <c r="D5038" s="144"/>
      <c r="E5038" s="144"/>
      <c r="F5038" s="373"/>
      <c r="H5038" s="2168"/>
      <c r="I5038" s="70"/>
    </row>
    <row r="5039" spans="3:9" s="46" customFormat="1" x14ac:dyDescent="0.2">
      <c r="C5039" s="144"/>
      <c r="D5039" s="144"/>
      <c r="E5039" s="144"/>
      <c r="F5039" s="373"/>
      <c r="H5039" s="2168"/>
      <c r="I5039" s="70"/>
    </row>
    <row r="5040" spans="3:9" s="46" customFormat="1" x14ac:dyDescent="0.2">
      <c r="C5040" s="144"/>
      <c r="D5040" s="144"/>
      <c r="E5040" s="144"/>
      <c r="F5040" s="373"/>
      <c r="H5040" s="2168"/>
      <c r="I5040" s="70"/>
    </row>
    <row r="5041" spans="3:9" s="46" customFormat="1" x14ac:dyDescent="0.2">
      <c r="C5041" s="144"/>
      <c r="D5041" s="144"/>
      <c r="E5041" s="144"/>
      <c r="F5041" s="373"/>
      <c r="H5041" s="2168"/>
      <c r="I5041" s="70"/>
    </row>
    <row r="5042" spans="3:9" s="46" customFormat="1" x14ac:dyDescent="0.2">
      <c r="C5042" s="144"/>
      <c r="D5042" s="144"/>
      <c r="E5042" s="144"/>
      <c r="F5042" s="373"/>
      <c r="H5042" s="2168"/>
      <c r="I5042" s="70"/>
    </row>
    <row r="5043" spans="3:9" s="46" customFormat="1" x14ac:dyDescent="0.2">
      <c r="C5043" s="144"/>
      <c r="D5043" s="144"/>
      <c r="E5043" s="144"/>
      <c r="F5043" s="373"/>
      <c r="H5043" s="2168"/>
      <c r="I5043" s="70"/>
    </row>
    <row r="5044" spans="3:9" s="46" customFormat="1" x14ac:dyDescent="0.2">
      <c r="C5044" s="144"/>
      <c r="D5044" s="144"/>
      <c r="E5044" s="144"/>
      <c r="F5044" s="373"/>
      <c r="H5044" s="2168"/>
      <c r="I5044" s="70"/>
    </row>
    <row r="5045" spans="3:9" s="46" customFormat="1" x14ac:dyDescent="0.2">
      <c r="C5045" s="144"/>
      <c r="D5045" s="144"/>
      <c r="E5045" s="144"/>
      <c r="F5045" s="373"/>
      <c r="H5045" s="2168"/>
      <c r="I5045" s="70"/>
    </row>
    <row r="5046" spans="3:9" s="46" customFormat="1" x14ac:dyDescent="0.2">
      <c r="C5046" s="144"/>
      <c r="D5046" s="144"/>
      <c r="E5046" s="144"/>
      <c r="F5046" s="373"/>
      <c r="H5046" s="2168"/>
      <c r="I5046" s="70"/>
    </row>
    <row r="5047" spans="3:9" s="46" customFormat="1" x14ac:dyDescent="0.2">
      <c r="C5047" s="144"/>
      <c r="D5047" s="144"/>
      <c r="E5047" s="144"/>
      <c r="F5047" s="373"/>
      <c r="H5047" s="2168"/>
      <c r="I5047" s="70"/>
    </row>
    <row r="5048" spans="3:9" s="46" customFormat="1" x14ac:dyDescent="0.2">
      <c r="C5048" s="144"/>
      <c r="D5048" s="144"/>
      <c r="E5048" s="144"/>
      <c r="F5048" s="373"/>
      <c r="H5048" s="2168"/>
      <c r="I5048" s="70"/>
    </row>
    <row r="5049" spans="3:9" s="46" customFormat="1" x14ac:dyDescent="0.2">
      <c r="C5049" s="144"/>
      <c r="D5049" s="144"/>
      <c r="E5049" s="144"/>
      <c r="F5049" s="373"/>
      <c r="H5049" s="2168"/>
      <c r="I5049" s="70"/>
    </row>
    <row r="5050" spans="3:9" s="46" customFormat="1" x14ac:dyDescent="0.2">
      <c r="C5050" s="144"/>
      <c r="D5050" s="144"/>
      <c r="E5050" s="144"/>
      <c r="F5050" s="373"/>
      <c r="H5050" s="2168"/>
      <c r="I5050" s="70"/>
    </row>
    <row r="5051" spans="3:9" s="46" customFormat="1" x14ac:dyDescent="0.2">
      <c r="C5051" s="144"/>
      <c r="D5051" s="144"/>
      <c r="E5051" s="144"/>
      <c r="F5051" s="373"/>
      <c r="H5051" s="2168"/>
      <c r="I5051" s="70"/>
    </row>
    <row r="5052" spans="3:9" s="46" customFormat="1" x14ac:dyDescent="0.2">
      <c r="C5052" s="144"/>
      <c r="D5052" s="144"/>
      <c r="E5052" s="144"/>
      <c r="F5052" s="373"/>
      <c r="H5052" s="2168"/>
      <c r="I5052" s="70"/>
    </row>
    <row r="5053" spans="3:9" s="46" customFormat="1" x14ac:dyDescent="0.2">
      <c r="C5053" s="144"/>
      <c r="D5053" s="144"/>
      <c r="E5053" s="144"/>
      <c r="F5053" s="373"/>
      <c r="H5053" s="2168"/>
      <c r="I5053" s="70"/>
    </row>
    <row r="5054" spans="3:9" s="46" customFormat="1" x14ac:dyDescent="0.2">
      <c r="C5054" s="144"/>
      <c r="D5054" s="144"/>
      <c r="E5054" s="144"/>
      <c r="F5054" s="373"/>
      <c r="H5054" s="2168"/>
      <c r="I5054" s="70"/>
    </row>
    <row r="5055" spans="3:9" s="46" customFormat="1" x14ac:dyDescent="0.2">
      <c r="C5055" s="144"/>
      <c r="D5055" s="144"/>
      <c r="E5055" s="144"/>
      <c r="F5055" s="373"/>
      <c r="H5055" s="2168"/>
      <c r="I5055" s="70"/>
    </row>
    <row r="5056" spans="3:9" s="46" customFormat="1" x14ac:dyDescent="0.2">
      <c r="C5056" s="144"/>
      <c r="D5056" s="144"/>
      <c r="E5056" s="144"/>
      <c r="F5056" s="373"/>
      <c r="H5056" s="2168"/>
      <c r="I5056" s="70"/>
    </row>
    <row r="5057" spans="3:9" s="46" customFormat="1" x14ac:dyDescent="0.2">
      <c r="C5057" s="144"/>
      <c r="D5057" s="144"/>
      <c r="E5057" s="144"/>
      <c r="F5057" s="373"/>
      <c r="H5057" s="2168"/>
      <c r="I5057" s="70"/>
    </row>
    <row r="5058" spans="3:9" s="46" customFormat="1" x14ac:dyDescent="0.2">
      <c r="C5058" s="144"/>
      <c r="D5058" s="144"/>
      <c r="E5058" s="144"/>
      <c r="F5058" s="373"/>
      <c r="H5058" s="2168"/>
      <c r="I5058" s="70"/>
    </row>
    <row r="5059" spans="3:9" s="46" customFormat="1" x14ac:dyDescent="0.2">
      <c r="C5059" s="144"/>
      <c r="D5059" s="144"/>
      <c r="E5059" s="144"/>
      <c r="F5059" s="373"/>
      <c r="H5059" s="2168"/>
      <c r="I5059" s="70"/>
    </row>
    <row r="5060" spans="3:9" s="46" customFormat="1" x14ac:dyDescent="0.2">
      <c r="C5060" s="144"/>
      <c r="D5060" s="144"/>
      <c r="E5060" s="144"/>
      <c r="F5060" s="373"/>
      <c r="H5060" s="2168"/>
      <c r="I5060" s="70"/>
    </row>
    <row r="5061" spans="3:9" s="46" customFormat="1" x14ac:dyDescent="0.2">
      <c r="C5061" s="144"/>
      <c r="D5061" s="144"/>
      <c r="E5061" s="144"/>
      <c r="F5061" s="373"/>
      <c r="H5061" s="2168"/>
      <c r="I5061" s="70"/>
    </row>
    <row r="5062" spans="3:9" s="46" customFormat="1" x14ac:dyDescent="0.2">
      <c r="C5062" s="144"/>
      <c r="D5062" s="144"/>
      <c r="E5062" s="144"/>
      <c r="F5062" s="373"/>
      <c r="H5062" s="2168"/>
      <c r="I5062" s="70"/>
    </row>
    <row r="5063" spans="3:9" s="46" customFormat="1" x14ac:dyDescent="0.2">
      <c r="C5063" s="144"/>
      <c r="D5063" s="144"/>
      <c r="E5063" s="144"/>
      <c r="F5063" s="373"/>
      <c r="H5063" s="2168"/>
      <c r="I5063" s="70"/>
    </row>
    <row r="5064" spans="3:9" s="46" customFormat="1" x14ac:dyDescent="0.2">
      <c r="C5064" s="144"/>
      <c r="D5064" s="144"/>
      <c r="E5064" s="144"/>
      <c r="F5064" s="373"/>
      <c r="H5064" s="2168"/>
      <c r="I5064" s="70"/>
    </row>
    <row r="5065" spans="3:9" s="46" customFormat="1" x14ac:dyDescent="0.2">
      <c r="C5065" s="144"/>
      <c r="D5065" s="144"/>
      <c r="E5065" s="144"/>
      <c r="F5065" s="373"/>
      <c r="H5065" s="2168"/>
      <c r="I5065" s="70"/>
    </row>
    <row r="5066" spans="3:9" s="46" customFormat="1" x14ac:dyDescent="0.2">
      <c r="C5066" s="144"/>
      <c r="D5066" s="144"/>
      <c r="E5066" s="144"/>
      <c r="F5066" s="373"/>
      <c r="H5066" s="2168"/>
      <c r="I5066" s="70"/>
    </row>
    <row r="5067" spans="3:9" s="46" customFormat="1" x14ac:dyDescent="0.2">
      <c r="C5067" s="144"/>
      <c r="D5067" s="144"/>
      <c r="E5067" s="144"/>
      <c r="F5067" s="373"/>
      <c r="H5067" s="2168"/>
      <c r="I5067" s="70"/>
    </row>
    <row r="5068" spans="3:9" s="46" customFormat="1" x14ac:dyDescent="0.2">
      <c r="C5068" s="144"/>
      <c r="D5068" s="144"/>
      <c r="E5068" s="144"/>
      <c r="F5068" s="373"/>
      <c r="H5068" s="2168"/>
      <c r="I5068" s="70"/>
    </row>
    <row r="5069" spans="3:9" s="46" customFormat="1" x14ac:dyDescent="0.2">
      <c r="C5069" s="144"/>
      <c r="D5069" s="144"/>
      <c r="E5069" s="144"/>
      <c r="F5069" s="373"/>
      <c r="H5069" s="2168"/>
      <c r="I5069" s="70"/>
    </row>
    <row r="5070" spans="3:9" s="46" customFormat="1" x14ac:dyDescent="0.2">
      <c r="C5070" s="144"/>
      <c r="D5070" s="144"/>
      <c r="E5070" s="144"/>
      <c r="F5070" s="373"/>
      <c r="H5070" s="2168"/>
      <c r="I5070" s="70"/>
    </row>
    <row r="5071" spans="3:9" s="46" customFormat="1" x14ac:dyDescent="0.2">
      <c r="C5071" s="144"/>
      <c r="D5071" s="144"/>
      <c r="E5071" s="144"/>
      <c r="F5071" s="373"/>
      <c r="H5071" s="2168"/>
      <c r="I5071" s="70"/>
    </row>
    <row r="5072" spans="3:9" s="46" customFormat="1" x14ac:dyDescent="0.2">
      <c r="C5072" s="144"/>
      <c r="D5072" s="144"/>
      <c r="E5072" s="144"/>
      <c r="F5072" s="373"/>
      <c r="H5072" s="2168"/>
      <c r="I5072" s="70"/>
    </row>
    <row r="5073" spans="3:9" s="46" customFormat="1" x14ac:dyDescent="0.2">
      <c r="C5073" s="144"/>
      <c r="D5073" s="144"/>
      <c r="E5073" s="144"/>
      <c r="F5073" s="373"/>
      <c r="H5073" s="2168"/>
      <c r="I5073" s="70"/>
    </row>
    <row r="5074" spans="3:9" s="46" customFormat="1" x14ac:dyDescent="0.2">
      <c r="C5074" s="144"/>
      <c r="D5074" s="144"/>
      <c r="E5074" s="144"/>
      <c r="F5074" s="373"/>
      <c r="H5074" s="2168"/>
      <c r="I5074" s="70"/>
    </row>
    <row r="5075" spans="3:9" s="46" customFormat="1" x14ac:dyDescent="0.2">
      <c r="C5075" s="144"/>
      <c r="D5075" s="144"/>
      <c r="E5075" s="144"/>
      <c r="F5075" s="373"/>
      <c r="H5075" s="2168"/>
      <c r="I5075" s="70"/>
    </row>
    <row r="5076" spans="3:9" s="46" customFormat="1" x14ac:dyDescent="0.2">
      <c r="C5076" s="144"/>
      <c r="D5076" s="144"/>
      <c r="E5076" s="144"/>
      <c r="F5076" s="373"/>
      <c r="H5076" s="2168"/>
      <c r="I5076" s="70"/>
    </row>
    <row r="5077" spans="3:9" s="46" customFormat="1" x14ac:dyDescent="0.2">
      <c r="C5077" s="144"/>
      <c r="D5077" s="144"/>
      <c r="E5077" s="144"/>
      <c r="F5077" s="373"/>
      <c r="H5077" s="2168"/>
      <c r="I5077" s="70"/>
    </row>
    <row r="5078" spans="3:9" s="46" customFormat="1" x14ac:dyDescent="0.2">
      <c r="C5078" s="144"/>
      <c r="D5078" s="144"/>
      <c r="E5078" s="144"/>
      <c r="F5078" s="373"/>
      <c r="H5078" s="2168"/>
      <c r="I5078" s="70"/>
    </row>
    <row r="5079" spans="3:9" s="46" customFormat="1" x14ac:dyDescent="0.2">
      <c r="C5079" s="144"/>
      <c r="D5079" s="144"/>
      <c r="E5079" s="144"/>
      <c r="F5079" s="373"/>
      <c r="H5079" s="2168"/>
      <c r="I5079" s="70"/>
    </row>
    <row r="5080" spans="3:9" s="46" customFormat="1" x14ac:dyDescent="0.2">
      <c r="C5080" s="144"/>
      <c r="D5080" s="144"/>
      <c r="E5080" s="144"/>
      <c r="F5080" s="373"/>
      <c r="H5080" s="2168"/>
      <c r="I5080" s="70"/>
    </row>
    <row r="5081" spans="3:9" s="46" customFormat="1" x14ac:dyDescent="0.2">
      <c r="C5081" s="144"/>
      <c r="D5081" s="144"/>
      <c r="E5081" s="144"/>
      <c r="F5081" s="373"/>
      <c r="H5081" s="2168"/>
      <c r="I5081" s="70"/>
    </row>
    <row r="5082" spans="3:9" s="46" customFormat="1" x14ac:dyDescent="0.2">
      <c r="C5082" s="144"/>
      <c r="D5082" s="144"/>
      <c r="E5082" s="144"/>
      <c r="F5082" s="373"/>
      <c r="H5082" s="2168"/>
      <c r="I5082" s="70"/>
    </row>
    <row r="5083" spans="3:9" s="46" customFormat="1" x14ac:dyDescent="0.2">
      <c r="C5083" s="144"/>
      <c r="D5083" s="144"/>
      <c r="E5083" s="144"/>
      <c r="F5083" s="373"/>
      <c r="H5083" s="2168"/>
      <c r="I5083" s="70"/>
    </row>
    <row r="5084" spans="3:9" s="46" customFormat="1" x14ac:dyDescent="0.2">
      <c r="C5084" s="144"/>
      <c r="D5084" s="144"/>
      <c r="E5084" s="144"/>
      <c r="F5084" s="373"/>
      <c r="H5084" s="2168"/>
      <c r="I5084" s="70"/>
    </row>
    <row r="5085" spans="3:9" s="46" customFormat="1" x14ac:dyDescent="0.2">
      <c r="C5085" s="144"/>
      <c r="D5085" s="144"/>
      <c r="E5085" s="144"/>
      <c r="F5085" s="373"/>
      <c r="H5085" s="2168"/>
      <c r="I5085" s="70"/>
    </row>
    <row r="5086" spans="3:9" s="46" customFormat="1" x14ac:dyDescent="0.2">
      <c r="C5086" s="144"/>
      <c r="D5086" s="144"/>
      <c r="E5086" s="144"/>
      <c r="F5086" s="373"/>
      <c r="H5086" s="2168"/>
      <c r="I5086" s="70"/>
    </row>
    <row r="5087" spans="3:9" s="46" customFormat="1" x14ac:dyDescent="0.2">
      <c r="C5087" s="144"/>
      <c r="D5087" s="144"/>
      <c r="E5087" s="144"/>
      <c r="F5087" s="373"/>
      <c r="H5087" s="2168"/>
      <c r="I5087" s="70"/>
    </row>
    <row r="5088" spans="3:9" s="46" customFormat="1" x14ac:dyDescent="0.2">
      <c r="C5088" s="144"/>
      <c r="D5088" s="144"/>
      <c r="E5088" s="144"/>
      <c r="F5088" s="373"/>
      <c r="H5088" s="2168"/>
      <c r="I5088" s="70"/>
    </row>
    <row r="5089" spans="3:9" s="46" customFormat="1" x14ac:dyDescent="0.2">
      <c r="C5089" s="144"/>
      <c r="D5089" s="144"/>
      <c r="E5089" s="144"/>
      <c r="F5089" s="373"/>
      <c r="H5089" s="2168"/>
      <c r="I5089" s="70"/>
    </row>
    <row r="5090" spans="3:9" s="46" customFormat="1" x14ac:dyDescent="0.2">
      <c r="C5090" s="144"/>
      <c r="D5090" s="144"/>
      <c r="E5090" s="144"/>
      <c r="F5090" s="373"/>
      <c r="H5090" s="2168"/>
      <c r="I5090" s="70"/>
    </row>
    <row r="5091" spans="3:9" s="46" customFormat="1" x14ac:dyDescent="0.2">
      <c r="C5091" s="144"/>
      <c r="D5091" s="144"/>
      <c r="E5091" s="144"/>
      <c r="F5091" s="373"/>
      <c r="H5091" s="2168"/>
      <c r="I5091" s="70"/>
    </row>
    <row r="5092" spans="3:9" s="46" customFormat="1" x14ac:dyDescent="0.2">
      <c r="C5092" s="144"/>
      <c r="D5092" s="144"/>
      <c r="E5092" s="144"/>
      <c r="F5092" s="373"/>
      <c r="H5092" s="2168"/>
      <c r="I5092" s="70"/>
    </row>
    <row r="5093" spans="3:9" s="46" customFormat="1" x14ac:dyDescent="0.2">
      <c r="C5093" s="144"/>
      <c r="D5093" s="144"/>
      <c r="E5093" s="144"/>
      <c r="F5093" s="373"/>
      <c r="H5093" s="2168"/>
      <c r="I5093" s="70"/>
    </row>
    <row r="5094" spans="3:9" s="46" customFormat="1" x14ac:dyDescent="0.2">
      <c r="C5094" s="144"/>
      <c r="D5094" s="144"/>
      <c r="E5094" s="144"/>
      <c r="F5094" s="373"/>
      <c r="H5094" s="2168"/>
      <c r="I5094" s="70"/>
    </row>
    <row r="5095" spans="3:9" s="46" customFormat="1" x14ac:dyDescent="0.2">
      <c r="C5095" s="144"/>
      <c r="D5095" s="144"/>
      <c r="E5095" s="144"/>
      <c r="F5095" s="373"/>
      <c r="H5095" s="2168"/>
      <c r="I5095" s="70"/>
    </row>
    <row r="5096" spans="3:9" s="46" customFormat="1" x14ac:dyDescent="0.2">
      <c r="C5096" s="144"/>
      <c r="D5096" s="144"/>
      <c r="E5096" s="144"/>
      <c r="F5096" s="373"/>
      <c r="H5096" s="2168"/>
      <c r="I5096" s="70"/>
    </row>
    <row r="5097" spans="3:9" s="46" customFormat="1" x14ac:dyDescent="0.2">
      <c r="C5097" s="144"/>
      <c r="D5097" s="144"/>
      <c r="E5097" s="144"/>
      <c r="F5097" s="373"/>
      <c r="H5097" s="2168"/>
      <c r="I5097" s="70"/>
    </row>
    <row r="5098" spans="3:9" s="46" customFormat="1" x14ac:dyDescent="0.2">
      <c r="C5098" s="144"/>
      <c r="D5098" s="144"/>
      <c r="E5098" s="144"/>
      <c r="F5098" s="373"/>
      <c r="H5098" s="2168"/>
      <c r="I5098" s="70"/>
    </row>
    <row r="5099" spans="3:9" s="46" customFormat="1" x14ac:dyDescent="0.2">
      <c r="C5099" s="144"/>
      <c r="D5099" s="144"/>
      <c r="E5099" s="144"/>
      <c r="F5099" s="373"/>
      <c r="H5099" s="2168"/>
      <c r="I5099" s="70"/>
    </row>
    <row r="5100" spans="3:9" s="46" customFormat="1" x14ac:dyDescent="0.2">
      <c r="C5100" s="144"/>
      <c r="D5100" s="144"/>
      <c r="E5100" s="144"/>
      <c r="F5100" s="373"/>
      <c r="H5100" s="2168"/>
      <c r="I5100" s="70"/>
    </row>
    <row r="5101" spans="3:9" s="46" customFormat="1" x14ac:dyDescent="0.2">
      <c r="C5101" s="144"/>
      <c r="D5101" s="144"/>
      <c r="E5101" s="144"/>
      <c r="F5101" s="373"/>
      <c r="H5101" s="2168"/>
      <c r="I5101" s="70"/>
    </row>
    <row r="5102" spans="3:9" s="46" customFormat="1" x14ac:dyDescent="0.2">
      <c r="C5102" s="144"/>
      <c r="D5102" s="144"/>
      <c r="E5102" s="144"/>
      <c r="F5102" s="373"/>
      <c r="H5102" s="2168"/>
      <c r="I5102" s="70"/>
    </row>
    <row r="5103" spans="3:9" s="46" customFormat="1" x14ac:dyDescent="0.2">
      <c r="C5103" s="144"/>
      <c r="D5103" s="144"/>
      <c r="E5103" s="144"/>
      <c r="F5103" s="373"/>
      <c r="H5103" s="2168"/>
      <c r="I5103" s="70"/>
    </row>
    <row r="5104" spans="3:9" s="46" customFormat="1" x14ac:dyDescent="0.2">
      <c r="C5104" s="144"/>
      <c r="D5104" s="144"/>
      <c r="E5104" s="144"/>
      <c r="F5104" s="373"/>
      <c r="H5104" s="2168"/>
      <c r="I5104" s="70"/>
    </row>
    <row r="5105" spans="3:9" s="46" customFormat="1" x14ac:dyDescent="0.2">
      <c r="C5105" s="144"/>
      <c r="D5105" s="144"/>
      <c r="E5105" s="144"/>
      <c r="F5105" s="373"/>
      <c r="H5105" s="2168"/>
      <c r="I5105" s="70"/>
    </row>
    <row r="5106" spans="3:9" s="46" customFormat="1" x14ac:dyDescent="0.2">
      <c r="C5106" s="144"/>
      <c r="D5106" s="144"/>
      <c r="E5106" s="144"/>
      <c r="F5106" s="373"/>
      <c r="H5106" s="2168"/>
      <c r="I5106" s="70"/>
    </row>
    <row r="5107" spans="3:9" s="46" customFormat="1" x14ac:dyDescent="0.2">
      <c r="C5107" s="144"/>
      <c r="D5107" s="144"/>
      <c r="E5107" s="144"/>
      <c r="F5107" s="373"/>
      <c r="H5107" s="2168"/>
      <c r="I5107" s="70"/>
    </row>
    <row r="5108" spans="3:9" s="46" customFormat="1" x14ac:dyDescent="0.2">
      <c r="C5108" s="144"/>
      <c r="D5108" s="144"/>
      <c r="E5108" s="144"/>
      <c r="F5108" s="373"/>
      <c r="H5108" s="2168"/>
      <c r="I5108" s="70"/>
    </row>
    <row r="5109" spans="3:9" s="46" customFormat="1" x14ac:dyDescent="0.2">
      <c r="C5109" s="144"/>
      <c r="D5109" s="144"/>
      <c r="E5109" s="144"/>
      <c r="F5109" s="373"/>
      <c r="H5109" s="2168"/>
      <c r="I5109" s="70"/>
    </row>
    <row r="5110" spans="3:9" s="46" customFormat="1" x14ac:dyDescent="0.2">
      <c r="C5110" s="144"/>
      <c r="D5110" s="144"/>
      <c r="E5110" s="144"/>
      <c r="F5110" s="373"/>
      <c r="H5110" s="2168"/>
      <c r="I5110" s="70"/>
    </row>
    <row r="5111" spans="3:9" s="46" customFormat="1" x14ac:dyDescent="0.2">
      <c r="C5111" s="144"/>
      <c r="D5111" s="144"/>
      <c r="E5111" s="144"/>
      <c r="F5111" s="373"/>
      <c r="H5111" s="2168"/>
      <c r="I5111" s="70"/>
    </row>
    <row r="5112" spans="3:9" s="46" customFormat="1" x14ac:dyDescent="0.2">
      <c r="C5112" s="144"/>
      <c r="D5112" s="144"/>
      <c r="E5112" s="144"/>
      <c r="F5112" s="373"/>
      <c r="H5112" s="2168"/>
      <c r="I5112" s="70"/>
    </row>
    <row r="5113" spans="3:9" s="46" customFormat="1" x14ac:dyDescent="0.2">
      <c r="C5113" s="144"/>
      <c r="D5113" s="144"/>
      <c r="E5113" s="144"/>
      <c r="F5113" s="373"/>
      <c r="H5113" s="2168"/>
      <c r="I5113" s="70"/>
    </row>
    <row r="5114" spans="3:9" s="46" customFormat="1" x14ac:dyDescent="0.2">
      <c r="C5114" s="144"/>
      <c r="D5114" s="144"/>
      <c r="E5114" s="144"/>
      <c r="F5114" s="373"/>
      <c r="H5114" s="2168"/>
      <c r="I5114" s="70"/>
    </row>
    <row r="5115" spans="3:9" s="46" customFormat="1" x14ac:dyDescent="0.2">
      <c r="C5115" s="144"/>
      <c r="D5115" s="144"/>
      <c r="E5115" s="144"/>
      <c r="F5115" s="373"/>
      <c r="H5115" s="2168"/>
      <c r="I5115" s="70"/>
    </row>
    <row r="5116" spans="3:9" s="46" customFormat="1" x14ac:dyDescent="0.2">
      <c r="C5116" s="144"/>
      <c r="D5116" s="144"/>
      <c r="E5116" s="144"/>
      <c r="F5116" s="373"/>
      <c r="H5116" s="2168"/>
      <c r="I5116" s="70"/>
    </row>
    <row r="5117" spans="3:9" s="46" customFormat="1" x14ac:dyDescent="0.2">
      <c r="C5117" s="144"/>
      <c r="D5117" s="144"/>
      <c r="E5117" s="144"/>
      <c r="F5117" s="373"/>
      <c r="H5117" s="2168"/>
      <c r="I5117" s="70"/>
    </row>
    <row r="5118" spans="3:9" s="46" customFormat="1" x14ac:dyDescent="0.2">
      <c r="C5118" s="144"/>
      <c r="D5118" s="144"/>
      <c r="E5118" s="144"/>
      <c r="F5118" s="373"/>
      <c r="H5118" s="2168"/>
      <c r="I5118" s="70"/>
    </row>
    <row r="5119" spans="3:9" s="46" customFormat="1" x14ac:dyDescent="0.2">
      <c r="C5119" s="144"/>
      <c r="D5119" s="144"/>
      <c r="E5119" s="144"/>
      <c r="F5119" s="373"/>
      <c r="H5119" s="2168"/>
      <c r="I5119" s="70"/>
    </row>
    <row r="5120" spans="3:9" s="46" customFormat="1" x14ac:dyDescent="0.2">
      <c r="C5120" s="144"/>
      <c r="D5120" s="144"/>
      <c r="E5120" s="144"/>
      <c r="F5120" s="373"/>
      <c r="H5120" s="2168"/>
      <c r="I5120" s="70"/>
    </row>
    <row r="5121" spans="3:9" s="46" customFormat="1" x14ac:dyDescent="0.2">
      <c r="C5121" s="144"/>
      <c r="D5121" s="144"/>
      <c r="E5121" s="144"/>
      <c r="F5121" s="373"/>
      <c r="H5121" s="2168"/>
      <c r="I5121" s="70"/>
    </row>
    <row r="5122" spans="3:9" s="46" customFormat="1" x14ac:dyDescent="0.2">
      <c r="C5122" s="144"/>
      <c r="D5122" s="144"/>
      <c r="E5122" s="144"/>
      <c r="F5122" s="373"/>
      <c r="H5122" s="2168"/>
      <c r="I5122" s="70"/>
    </row>
    <row r="5123" spans="3:9" s="46" customFormat="1" x14ac:dyDescent="0.2">
      <c r="C5123" s="144"/>
      <c r="D5123" s="144"/>
      <c r="E5123" s="144"/>
      <c r="F5123" s="373"/>
      <c r="H5123" s="2168"/>
      <c r="I5123" s="70"/>
    </row>
    <row r="5124" spans="3:9" s="46" customFormat="1" x14ac:dyDescent="0.2">
      <c r="C5124" s="144"/>
      <c r="D5124" s="144"/>
      <c r="E5124" s="144"/>
      <c r="F5124" s="373"/>
      <c r="H5124" s="2168"/>
      <c r="I5124" s="70"/>
    </row>
    <row r="5125" spans="3:9" s="46" customFormat="1" x14ac:dyDescent="0.2">
      <c r="C5125" s="144"/>
      <c r="D5125" s="144"/>
      <c r="E5125" s="144"/>
      <c r="F5125" s="373"/>
      <c r="H5125" s="2168"/>
      <c r="I5125" s="70"/>
    </row>
    <row r="5126" spans="3:9" s="46" customFormat="1" x14ac:dyDescent="0.2">
      <c r="C5126" s="144"/>
      <c r="D5126" s="144"/>
      <c r="E5126" s="144"/>
      <c r="F5126" s="373"/>
      <c r="H5126" s="2168"/>
      <c r="I5126" s="70"/>
    </row>
    <row r="5127" spans="3:9" s="46" customFormat="1" x14ac:dyDescent="0.2">
      <c r="C5127" s="144"/>
      <c r="D5127" s="144"/>
      <c r="E5127" s="144"/>
      <c r="F5127" s="373"/>
      <c r="H5127" s="2168"/>
      <c r="I5127" s="70"/>
    </row>
    <row r="5128" spans="3:9" s="46" customFormat="1" x14ac:dyDescent="0.2">
      <c r="C5128" s="144"/>
      <c r="D5128" s="144"/>
      <c r="E5128" s="144"/>
      <c r="F5128" s="373"/>
      <c r="H5128" s="2168"/>
      <c r="I5128" s="70"/>
    </row>
    <row r="5129" spans="3:9" s="46" customFormat="1" x14ac:dyDescent="0.2">
      <c r="C5129" s="144"/>
      <c r="D5129" s="144"/>
      <c r="E5129" s="144"/>
      <c r="F5129" s="373"/>
      <c r="H5129" s="2168"/>
      <c r="I5129" s="70"/>
    </row>
    <row r="5130" spans="3:9" s="46" customFormat="1" x14ac:dyDescent="0.2">
      <c r="C5130" s="144"/>
      <c r="D5130" s="144"/>
      <c r="E5130" s="144"/>
      <c r="F5130" s="373"/>
      <c r="H5130" s="2168"/>
      <c r="I5130" s="70"/>
    </row>
    <row r="5131" spans="3:9" s="46" customFormat="1" x14ac:dyDescent="0.2">
      <c r="C5131" s="144"/>
      <c r="D5131" s="144"/>
      <c r="E5131" s="144"/>
      <c r="F5131" s="373"/>
      <c r="H5131" s="2168"/>
      <c r="I5131" s="70"/>
    </row>
    <row r="5132" spans="3:9" s="46" customFormat="1" x14ac:dyDescent="0.2">
      <c r="C5132" s="144"/>
      <c r="D5132" s="144"/>
      <c r="E5132" s="144"/>
      <c r="F5132" s="373"/>
      <c r="H5132" s="2168"/>
      <c r="I5132" s="70"/>
    </row>
    <row r="5133" spans="3:9" s="46" customFormat="1" x14ac:dyDescent="0.2">
      <c r="C5133" s="144"/>
      <c r="D5133" s="144"/>
      <c r="E5133" s="144"/>
      <c r="F5133" s="373"/>
      <c r="H5133" s="2168"/>
      <c r="I5133" s="70"/>
    </row>
    <row r="5134" spans="3:9" s="46" customFormat="1" x14ac:dyDescent="0.2">
      <c r="C5134" s="144"/>
      <c r="D5134" s="144"/>
      <c r="E5134" s="144"/>
      <c r="F5134" s="373"/>
      <c r="H5134" s="2168"/>
      <c r="I5134" s="70"/>
    </row>
    <row r="5135" spans="3:9" s="46" customFormat="1" x14ac:dyDescent="0.2">
      <c r="C5135" s="144"/>
      <c r="D5135" s="144"/>
      <c r="E5135" s="144"/>
      <c r="F5135" s="373"/>
      <c r="H5135" s="2168"/>
      <c r="I5135" s="70"/>
    </row>
    <row r="5136" spans="3:9" s="46" customFormat="1" x14ac:dyDescent="0.2">
      <c r="C5136" s="144"/>
      <c r="D5136" s="144"/>
      <c r="E5136" s="144"/>
      <c r="F5136" s="373"/>
      <c r="H5136" s="2168"/>
      <c r="I5136" s="70"/>
    </row>
    <row r="5137" spans="3:9" s="46" customFormat="1" x14ac:dyDescent="0.2">
      <c r="C5137" s="144"/>
      <c r="D5137" s="144"/>
      <c r="E5137" s="144"/>
      <c r="F5137" s="373"/>
      <c r="H5137" s="2168"/>
      <c r="I5137" s="70"/>
    </row>
    <row r="5138" spans="3:9" s="46" customFormat="1" x14ac:dyDescent="0.2">
      <c r="C5138" s="144"/>
      <c r="D5138" s="144"/>
      <c r="E5138" s="144"/>
      <c r="F5138" s="373"/>
      <c r="H5138" s="2168"/>
      <c r="I5138" s="70"/>
    </row>
    <row r="5139" spans="3:9" s="46" customFormat="1" x14ac:dyDescent="0.2">
      <c r="C5139" s="144"/>
      <c r="D5139" s="144"/>
      <c r="E5139" s="144"/>
      <c r="F5139" s="373"/>
      <c r="H5139" s="2168"/>
      <c r="I5139" s="70"/>
    </row>
    <row r="5140" spans="3:9" s="46" customFormat="1" x14ac:dyDescent="0.2">
      <c r="C5140" s="144"/>
      <c r="D5140" s="144"/>
      <c r="E5140" s="144"/>
      <c r="F5140" s="373"/>
      <c r="H5140" s="2168"/>
      <c r="I5140" s="70"/>
    </row>
    <row r="5141" spans="3:9" s="46" customFormat="1" x14ac:dyDescent="0.2">
      <c r="C5141" s="144"/>
      <c r="D5141" s="144"/>
      <c r="E5141" s="144"/>
      <c r="F5141" s="373"/>
      <c r="H5141" s="2168"/>
      <c r="I5141" s="70"/>
    </row>
    <row r="5142" spans="3:9" s="46" customFormat="1" x14ac:dyDescent="0.2">
      <c r="C5142" s="144"/>
      <c r="D5142" s="144"/>
      <c r="E5142" s="144"/>
      <c r="F5142" s="373"/>
      <c r="H5142" s="2168"/>
      <c r="I5142" s="70"/>
    </row>
    <row r="5143" spans="3:9" s="46" customFormat="1" x14ac:dyDescent="0.2">
      <c r="C5143" s="144"/>
      <c r="D5143" s="144"/>
      <c r="E5143" s="144"/>
      <c r="F5143" s="373"/>
      <c r="H5143" s="2168"/>
      <c r="I5143" s="70"/>
    </row>
    <row r="5144" spans="3:9" s="46" customFormat="1" x14ac:dyDescent="0.2">
      <c r="C5144" s="144"/>
      <c r="D5144" s="144"/>
      <c r="E5144" s="144"/>
      <c r="F5144" s="373"/>
      <c r="H5144" s="2168"/>
      <c r="I5144" s="70"/>
    </row>
    <row r="5145" spans="3:9" s="46" customFormat="1" x14ac:dyDescent="0.2">
      <c r="C5145" s="144"/>
      <c r="D5145" s="144"/>
      <c r="E5145" s="144"/>
      <c r="F5145" s="373"/>
      <c r="H5145" s="2168"/>
      <c r="I5145" s="70"/>
    </row>
    <row r="5146" spans="3:9" s="46" customFormat="1" x14ac:dyDescent="0.2">
      <c r="C5146" s="144"/>
      <c r="D5146" s="144"/>
      <c r="E5146" s="144"/>
      <c r="F5146" s="373"/>
      <c r="H5146" s="2168"/>
      <c r="I5146" s="70"/>
    </row>
    <row r="5147" spans="3:9" s="46" customFormat="1" x14ac:dyDescent="0.2">
      <c r="C5147" s="144"/>
      <c r="D5147" s="144"/>
      <c r="E5147" s="144"/>
      <c r="F5147" s="373"/>
      <c r="H5147" s="2168"/>
      <c r="I5147" s="70"/>
    </row>
    <row r="5148" spans="3:9" s="46" customFormat="1" x14ac:dyDescent="0.2">
      <c r="C5148" s="144"/>
      <c r="D5148" s="144"/>
      <c r="E5148" s="144"/>
      <c r="F5148" s="373"/>
      <c r="H5148" s="2168"/>
      <c r="I5148" s="70"/>
    </row>
    <row r="5149" spans="3:9" s="46" customFormat="1" x14ac:dyDescent="0.2">
      <c r="C5149" s="144"/>
      <c r="D5149" s="144"/>
      <c r="E5149" s="144"/>
      <c r="F5149" s="373"/>
      <c r="H5149" s="2168"/>
      <c r="I5149" s="70"/>
    </row>
    <row r="5150" spans="3:9" s="46" customFormat="1" x14ac:dyDescent="0.2">
      <c r="C5150" s="144"/>
      <c r="D5150" s="144"/>
      <c r="E5150" s="144"/>
      <c r="F5150" s="373"/>
      <c r="H5150" s="2168"/>
      <c r="I5150" s="70"/>
    </row>
    <row r="5151" spans="3:9" s="46" customFormat="1" x14ac:dyDescent="0.2">
      <c r="C5151" s="144"/>
      <c r="D5151" s="144"/>
      <c r="E5151" s="144"/>
      <c r="F5151" s="373"/>
      <c r="H5151" s="2168"/>
      <c r="I5151" s="70"/>
    </row>
    <row r="5152" spans="3:9" s="46" customFormat="1" x14ac:dyDescent="0.2">
      <c r="C5152" s="144"/>
      <c r="D5152" s="144"/>
      <c r="E5152" s="144"/>
      <c r="F5152" s="373"/>
      <c r="H5152" s="2168"/>
      <c r="I5152" s="70"/>
    </row>
    <row r="5153" spans="3:9" s="46" customFormat="1" x14ac:dyDescent="0.2">
      <c r="C5153" s="144"/>
      <c r="D5153" s="144"/>
      <c r="E5153" s="144"/>
      <c r="F5153" s="373"/>
      <c r="H5153" s="2168"/>
      <c r="I5153" s="70"/>
    </row>
    <row r="5154" spans="3:9" s="46" customFormat="1" x14ac:dyDescent="0.2">
      <c r="C5154" s="144"/>
      <c r="D5154" s="144"/>
      <c r="E5154" s="144"/>
      <c r="F5154" s="373"/>
      <c r="H5154" s="2168"/>
      <c r="I5154" s="70"/>
    </row>
    <row r="5155" spans="3:9" s="46" customFormat="1" x14ac:dyDescent="0.2">
      <c r="C5155" s="144"/>
      <c r="D5155" s="144"/>
      <c r="E5155" s="144"/>
      <c r="F5155" s="373"/>
      <c r="H5155" s="2168"/>
      <c r="I5155" s="70"/>
    </row>
    <row r="5156" spans="3:9" s="46" customFormat="1" x14ac:dyDescent="0.2">
      <c r="C5156" s="144"/>
      <c r="D5156" s="144"/>
      <c r="E5156" s="144"/>
      <c r="F5156" s="373"/>
      <c r="H5156" s="2168"/>
      <c r="I5156" s="70"/>
    </row>
    <row r="5157" spans="3:9" s="46" customFormat="1" x14ac:dyDescent="0.2">
      <c r="C5157" s="144"/>
      <c r="D5157" s="144"/>
      <c r="E5157" s="144"/>
      <c r="F5157" s="373"/>
      <c r="H5157" s="2168"/>
      <c r="I5157" s="70"/>
    </row>
    <row r="5158" spans="3:9" s="46" customFormat="1" x14ac:dyDescent="0.2">
      <c r="C5158" s="144"/>
      <c r="D5158" s="144"/>
      <c r="E5158" s="144"/>
      <c r="F5158" s="373"/>
      <c r="H5158" s="2168"/>
      <c r="I5158" s="70"/>
    </row>
    <row r="5159" spans="3:9" s="46" customFormat="1" x14ac:dyDescent="0.2">
      <c r="C5159" s="144"/>
      <c r="D5159" s="144"/>
      <c r="E5159" s="144"/>
      <c r="F5159" s="373"/>
      <c r="H5159" s="2168"/>
      <c r="I5159" s="70"/>
    </row>
    <row r="5160" spans="3:9" s="46" customFormat="1" x14ac:dyDescent="0.2">
      <c r="C5160" s="144"/>
      <c r="D5160" s="144"/>
      <c r="E5160" s="144"/>
      <c r="F5160" s="373"/>
      <c r="H5160" s="2168"/>
      <c r="I5160" s="70"/>
    </row>
    <row r="5161" spans="3:9" s="46" customFormat="1" x14ac:dyDescent="0.2">
      <c r="C5161" s="144"/>
      <c r="D5161" s="144"/>
      <c r="E5161" s="144"/>
      <c r="F5161" s="373"/>
      <c r="H5161" s="2168"/>
      <c r="I5161" s="70"/>
    </row>
    <row r="5162" spans="3:9" s="46" customFormat="1" x14ac:dyDescent="0.2">
      <c r="C5162" s="144"/>
      <c r="D5162" s="144"/>
      <c r="E5162" s="144"/>
      <c r="F5162" s="373"/>
      <c r="H5162" s="2168"/>
      <c r="I5162" s="70"/>
    </row>
    <row r="5163" spans="3:9" s="46" customFormat="1" x14ac:dyDescent="0.2">
      <c r="C5163" s="144"/>
      <c r="D5163" s="144"/>
      <c r="E5163" s="144"/>
      <c r="F5163" s="373"/>
      <c r="H5163" s="2168"/>
      <c r="I5163" s="70"/>
    </row>
    <row r="5164" spans="3:9" s="46" customFormat="1" x14ac:dyDescent="0.2">
      <c r="C5164" s="144"/>
      <c r="D5164" s="144"/>
      <c r="E5164" s="144"/>
      <c r="F5164" s="373"/>
      <c r="H5164" s="2168"/>
      <c r="I5164" s="70"/>
    </row>
    <row r="5165" spans="3:9" s="46" customFormat="1" x14ac:dyDescent="0.2">
      <c r="C5165" s="144"/>
      <c r="D5165" s="144"/>
      <c r="E5165" s="144"/>
      <c r="F5165" s="373"/>
      <c r="H5165" s="2168"/>
      <c r="I5165" s="70"/>
    </row>
    <row r="5166" spans="3:9" s="46" customFormat="1" x14ac:dyDescent="0.2">
      <c r="C5166" s="144"/>
      <c r="D5166" s="144"/>
      <c r="E5166" s="144"/>
      <c r="F5166" s="373"/>
      <c r="H5166" s="2168"/>
      <c r="I5166" s="70"/>
    </row>
    <row r="5167" spans="3:9" s="46" customFormat="1" x14ac:dyDescent="0.2">
      <c r="C5167" s="144"/>
      <c r="D5167" s="144"/>
      <c r="E5167" s="144"/>
      <c r="F5167" s="373"/>
      <c r="H5167" s="2168"/>
      <c r="I5167" s="70"/>
    </row>
    <row r="5168" spans="3:9" s="46" customFormat="1" x14ac:dyDescent="0.2">
      <c r="C5168" s="144"/>
      <c r="D5168" s="144"/>
      <c r="E5168" s="144"/>
      <c r="F5168" s="373"/>
      <c r="H5168" s="2168"/>
      <c r="I5168" s="70"/>
    </row>
    <row r="5169" spans="3:9" s="46" customFormat="1" x14ac:dyDescent="0.2">
      <c r="C5169" s="144"/>
      <c r="D5169" s="144"/>
      <c r="E5169" s="144"/>
      <c r="F5169" s="373"/>
      <c r="H5169" s="2168"/>
      <c r="I5169" s="70"/>
    </row>
    <row r="5170" spans="3:9" s="46" customFormat="1" x14ac:dyDescent="0.2">
      <c r="C5170" s="144"/>
      <c r="D5170" s="144"/>
      <c r="E5170" s="144"/>
      <c r="F5170" s="373"/>
      <c r="H5170" s="2168"/>
      <c r="I5170" s="70"/>
    </row>
    <row r="5171" spans="3:9" s="46" customFormat="1" x14ac:dyDescent="0.2">
      <c r="C5171" s="144"/>
      <c r="D5171" s="144"/>
      <c r="E5171" s="144"/>
      <c r="F5171" s="373"/>
      <c r="H5171" s="2168"/>
      <c r="I5171" s="70"/>
    </row>
    <row r="5172" spans="3:9" s="46" customFormat="1" x14ac:dyDescent="0.2">
      <c r="C5172" s="144"/>
      <c r="D5172" s="144"/>
      <c r="E5172" s="144"/>
      <c r="F5172" s="373"/>
      <c r="H5172" s="2168"/>
      <c r="I5172" s="70"/>
    </row>
    <row r="5173" spans="3:9" s="46" customFormat="1" x14ac:dyDescent="0.2">
      <c r="C5173" s="144"/>
      <c r="D5173" s="144"/>
      <c r="E5173" s="144"/>
      <c r="F5173" s="373"/>
      <c r="H5173" s="2168"/>
      <c r="I5173" s="70"/>
    </row>
    <row r="5174" spans="3:9" s="46" customFormat="1" x14ac:dyDescent="0.2">
      <c r="C5174" s="144"/>
      <c r="D5174" s="144"/>
      <c r="E5174" s="144"/>
      <c r="F5174" s="373"/>
      <c r="H5174" s="2168"/>
      <c r="I5174" s="70"/>
    </row>
    <row r="5175" spans="3:9" s="46" customFormat="1" x14ac:dyDescent="0.2">
      <c r="C5175" s="144"/>
      <c r="D5175" s="144"/>
      <c r="E5175" s="144"/>
      <c r="F5175" s="373"/>
      <c r="H5175" s="2168"/>
      <c r="I5175" s="70"/>
    </row>
    <row r="5176" spans="3:9" s="46" customFormat="1" x14ac:dyDescent="0.2">
      <c r="C5176" s="144"/>
      <c r="D5176" s="144"/>
      <c r="E5176" s="144"/>
      <c r="F5176" s="373"/>
      <c r="H5176" s="2168"/>
      <c r="I5176" s="70"/>
    </row>
    <row r="5177" spans="3:9" s="46" customFormat="1" x14ac:dyDescent="0.2">
      <c r="C5177" s="144"/>
      <c r="D5177" s="144"/>
      <c r="E5177" s="144"/>
      <c r="F5177" s="373"/>
      <c r="H5177" s="2168"/>
      <c r="I5177" s="70"/>
    </row>
    <row r="5178" spans="3:9" s="46" customFormat="1" x14ac:dyDescent="0.2">
      <c r="C5178" s="144"/>
      <c r="D5178" s="144"/>
      <c r="E5178" s="144"/>
      <c r="F5178" s="373"/>
      <c r="H5178" s="2168"/>
      <c r="I5178" s="70"/>
    </row>
    <row r="5179" spans="3:9" s="46" customFormat="1" x14ac:dyDescent="0.2">
      <c r="C5179" s="144"/>
      <c r="D5179" s="144"/>
      <c r="E5179" s="144"/>
      <c r="F5179" s="373"/>
      <c r="H5179" s="2168"/>
      <c r="I5179" s="70"/>
    </row>
    <row r="5180" spans="3:9" s="46" customFormat="1" x14ac:dyDescent="0.2">
      <c r="C5180" s="144"/>
      <c r="D5180" s="144"/>
      <c r="E5180" s="144"/>
      <c r="F5180" s="373"/>
      <c r="H5180" s="2168"/>
      <c r="I5180" s="70"/>
    </row>
    <row r="5181" spans="3:9" s="46" customFormat="1" x14ac:dyDescent="0.2">
      <c r="C5181" s="144"/>
      <c r="D5181" s="144"/>
      <c r="E5181" s="144"/>
      <c r="F5181" s="373"/>
      <c r="H5181" s="2168"/>
      <c r="I5181" s="70"/>
    </row>
    <row r="5182" spans="3:9" s="46" customFormat="1" x14ac:dyDescent="0.2">
      <c r="C5182" s="144"/>
      <c r="D5182" s="144"/>
      <c r="E5182" s="144"/>
      <c r="F5182" s="373"/>
      <c r="H5182" s="2168"/>
      <c r="I5182" s="70"/>
    </row>
    <row r="5183" spans="3:9" s="46" customFormat="1" x14ac:dyDescent="0.2">
      <c r="C5183" s="144"/>
      <c r="D5183" s="144"/>
      <c r="E5183" s="144"/>
      <c r="F5183" s="373"/>
      <c r="H5183" s="2168"/>
      <c r="I5183" s="70"/>
    </row>
    <row r="5184" spans="3:9" s="46" customFormat="1" x14ac:dyDescent="0.2">
      <c r="C5184" s="144"/>
      <c r="D5184" s="144"/>
      <c r="E5184" s="144"/>
      <c r="F5184" s="373"/>
      <c r="H5184" s="2168"/>
      <c r="I5184" s="70"/>
    </row>
    <row r="5185" spans="3:9" s="46" customFormat="1" x14ac:dyDescent="0.2">
      <c r="C5185" s="144"/>
      <c r="D5185" s="144"/>
      <c r="E5185" s="144"/>
      <c r="F5185" s="373"/>
      <c r="H5185" s="2168"/>
      <c r="I5185" s="70"/>
    </row>
    <row r="5186" spans="3:9" s="46" customFormat="1" x14ac:dyDescent="0.2">
      <c r="C5186" s="144"/>
      <c r="D5186" s="144"/>
      <c r="E5186" s="144"/>
      <c r="F5186" s="373"/>
      <c r="H5186" s="2168"/>
      <c r="I5186" s="70"/>
    </row>
    <row r="5187" spans="3:9" s="46" customFormat="1" x14ac:dyDescent="0.2">
      <c r="C5187" s="144"/>
      <c r="D5187" s="144"/>
      <c r="E5187" s="144"/>
      <c r="F5187" s="373"/>
      <c r="H5187" s="2168"/>
      <c r="I5187" s="70"/>
    </row>
    <row r="5188" spans="3:9" s="46" customFormat="1" x14ac:dyDescent="0.2">
      <c r="C5188" s="144"/>
      <c r="D5188" s="144"/>
      <c r="E5188" s="144"/>
      <c r="F5188" s="373"/>
      <c r="H5188" s="2168"/>
      <c r="I5188" s="70"/>
    </row>
    <row r="5189" spans="3:9" s="46" customFormat="1" x14ac:dyDescent="0.2">
      <c r="C5189" s="144"/>
      <c r="D5189" s="144"/>
      <c r="E5189" s="144"/>
      <c r="F5189" s="373"/>
      <c r="H5189" s="2168"/>
      <c r="I5189" s="70"/>
    </row>
    <row r="5190" spans="3:9" s="46" customFormat="1" x14ac:dyDescent="0.2">
      <c r="C5190" s="144"/>
      <c r="D5190" s="144"/>
      <c r="E5190" s="144"/>
      <c r="F5190" s="373"/>
      <c r="H5190" s="2168"/>
      <c r="I5190" s="70"/>
    </row>
    <row r="5191" spans="3:9" s="46" customFormat="1" x14ac:dyDescent="0.2">
      <c r="C5191" s="144"/>
      <c r="D5191" s="144"/>
      <c r="E5191" s="144"/>
      <c r="F5191" s="373"/>
      <c r="H5191" s="2168"/>
      <c r="I5191" s="70"/>
    </row>
    <row r="5192" spans="3:9" s="46" customFormat="1" x14ac:dyDescent="0.2">
      <c r="C5192" s="144"/>
      <c r="D5192" s="144"/>
      <c r="E5192" s="144"/>
      <c r="F5192" s="373"/>
      <c r="H5192" s="2168"/>
      <c r="I5192" s="70"/>
    </row>
    <row r="5193" spans="3:9" s="46" customFormat="1" x14ac:dyDescent="0.2">
      <c r="C5193" s="144"/>
      <c r="D5193" s="144"/>
      <c r="E5193" s="144"/>
      <c r="F5193" s="373"/>
      <c r="H5193" s="2168"/>
      <c r="I5193" s="70"/>
    </row>
    <row r="5194" spans="3:9" s="46" customFormat="1" x14ac:dyDescent="0.2">
      <c r="C5194" s="144"/>
      <c r="D5194" s="144"/>
      <c r="E5194" s="144"/>
      <c r="F5194" s="373"/>
      <c r="H5194" s="2168"/>
      <c r="I5194" s="70"/>
    </row>
    <row r="5195" spans="3:9" s="46" customFormat="1" x14ac:dyDescent="0.2">
      <c r="C5195" s="144"/>
      <c r="D5195" s="144"/>
      <c r="E5195" s="144"/>
      <c r="F5195" s="373"/>
      <c r="H5195" s="2168"/>
      <c r="I5195" s="70"/>
    </row>
    <row r="5196" spans="3:9" s="46" customFormat="1" x14ac:dyDescent="0.2">
      <c r="C5196" s="144"/>
      <c r="D5196" s="144"/>
      <c r="E5196" s="144"/>
      <c r="F5196" s="373"/>
      <c r="H5196" s="2168"/>
      <c r="I5196" s="70"/>
    </row>
    <row r="5197" spans="3:9" s="46" customFormat="1" x14ac:dyDescent="0.2">
      <c r="C5197" s="144"/>
      <c r="D5197" s="144"/>
      <c r="E5197" s="144"/>
      <c r="F5197" s="373"/>
      <c r="H5197" s="2168"/>
      <c r="I5197" s="70"/>
    </row>
    <row r="5198" spans="3:9" s="46" customFormat="1" x14ac:dyDescent="0.2">
      <c r="C5198" s="144"/>
      <c r="D5198" s="144"/>
      <c r="E5198" s="144"/>
      <c r="F5198" s="373"/>
      <c r="H5198" s="2168"/>
      <c r="I5198" s="70"/>
    </row>
    <row r="5199" spans="3:9" s="46" customFormat="1" x14ac:dyDescent="0.2">
      <c r="C5199" s="144"/>
      <c r="D5199" s="144"/>
      <c r="E5199" s="144"/>
      <c r="F5199" s="373"/>
      <c r="H5199" s="2168"/>
      <c r="I5199" s="70"/>
    </row>
    <row r="5200" spans="3:9" s="46" customFormat="1" x14ac:dyDescent="0.2">
      <c r="C5200" s="144"/>
      <c r="D5200" s="144"/>
      <c r="E5200" s="144"/>
      <c r="F5200" s="373"/>
      <c r="H5200" s="2168"/>
      <c r="I5200" s="70"/>
    </row>
    <row r="5201" spans="3:9" s="46" customFormat="1" x14ac:dyDescent="0.2">
      <c r="C5201" s="144"/>
      <c r="D5201" s="144"/>
      <c r="E5201" s="144"/>
      <c r="F5201" s="373"/>
      <c r="H5201" s="2168"/>
      <c r="I5201" s="70"/>
    </row>
    <row r="5202" spans="3:9" s="46" customFormat="1" x14ac:dyDescent="0.2">
      <c r="C5202" s="144"/>
      <c r="D5202" s="144"/>
      <c r="E5202" s="144"/>
      <c r="F5202" s="373"/>
      <c r="H5202" s="2168"/>
      <c r="I5202" s="70"/>
    </row>
    <row r="5203" spans="3:9" s="46" customFormat="1" x14ac:dyDescent="0.2">
      <c r="C5203" s="144"/>
      <c r="D5203" s="144"/>
      <c r="E5203" s="144"/>
      <c r="F5203" s="373"/>
      <c r="H5203" s="2168"/>
      <c r="I5203" s="70"/>
    </row>
    <row r="5204" spans="3:9" s="46" customFormat="1" x14ac:dyDescent="0.2">
      <c r="C5204" s="144"/>
      <c r="D5204" s="144"/>
      <c r="E5204" s="144"/>
      <c r="F5204" s="373"/>
      <c r="H5204" s="2168"/>
      <c r="I5204" s="70"/>
    </row>
    <row r="5205" spans="3:9" s="46" customFormat="1" x14ac:dyDescent="0.2">
      <c r="C5205" s="144"/>
      <c r="D5205" s="144"/>
      <c r="E5205" s="144"/>
      <c r="F5205" s="373"/>
      <c r="H5205" s="2168"/>
      <c r="I5205" s="70"/>
    </row>
    <row r="5206" spans="3:9" s="46" customFormat="1" x14ac:dyDescent="0.2">
      <c r="C5206" s="144"/>
      <c r="D5206" s="144"/>
      <c r="E5206" s="144"/>
      <c r="F5206" s="373"/>
      <c r="H5206" s="2168"/>
      <c r="I5206" s="70"/>
    </row>
    <row r="5207" spans="3:9" s="46" customFormat="1" x14ac:dyDescent="0.2">
      <c r="C5207" s="144"/>
      <c r="D5207" s="144"/>
      <c r="E5207" s="144"/>
      <c r="F5207" s="373"/>
      <c r="H5207" s="2168"/>
      <c r="I5207" s="70"/>
    </row>
    <row r="5208" spans="3:9" s="46" customFormat="1" x14ac:dyDescent="0.2">
      <c r="C5208" s="144"/>
      <c r="D5208" s="144"/>
      <c r="E5208" s="144"/>
      <c r="F5208" s="373"/>
      <c r="H5208" s="2168"/>
      <c r="I5208" s="70"/>
    </row>
    <row r="5209" spans="3:9" s="46" customFormat="1" x14ac:dyDescent="0.2">
      <c r="C5209" s="144"/>
      <c r="D5209" s="144"/>
      <c r="E5209" s="144"/>
      <c r="F5209" s="373"/>
      <c r="H5209" s="2168"/>
      <c r="I5209" s="70"/>
    </row>
    <row r="5210" spans="3:9" s="46" customFormat="1" x14ac:dyDescent="0.2">
      <c r="C5210" s="144"/>
      <c r="D5210" s="144"/>
      <c r="E5210" s="144"/>
      <c r="F5210" s="373"/>
      <c r="H5210" s="2168"/>
      <c r="I5210" s="70"/>
    </row>
    <row r="5211" spans="3:9" s="46" customFormat="1" x14ac:dyDescent="0.2">
      <c r="C5211" s="144"/>
      <c r="D5211" s="144"/>
      <c r="E5211" s="144"/>
      <c r="F5211" s="373"/>
      <c r="H5211" s="2168"/>
      <c r="I5211" s="70"/>
    </row>
    <row r="5212" spans="3:9" s="46" customFormat="1" x14ac:dyDescent="0.2">
      <c r="C5212" s="144"/>
      <c r="D5212" s="144"/>
      <c r="E5212" s="144"/>
      <c r="F5212" s="373"/>
      <c r="H5212" s="2168"/>
      <c r="I5212" s="70"/>
    </row>
    <row r="5213" spans="3:9" s="46" customFormat="1" x14ac:dyDescent="0.2">
      <c r="C5213" s="144"/>
      <c r="D5213" s="144"/>
      <c r="E5213" s="144"/>
      <c r="F5213" s="373"/>
      <c r="H5213" s="2168"/>
      <c r="I5213" s="70"/>
    </row>
    <row r="5214" spans="3:9" s="46" customFormat="1" x14ac:dyDescent="0.2">
      <c r="C5214" s="144"/>
      <c r="D5214" s="144"/>
      <c r="E5214" s="144"/>
      <c r="F5214" s="373"/>
      <c r="H5214" s="2168"/>
      <c r="I5214" s="70"/>
    </row>
    <row r="5215" spans="3:9" s="46" customFormat="1" x14ac:dyDescent="0.2">
      <c r="C5215" s="144"/>
      <c r="D5215" s="144"/>
      <c r="E5215" s="144"/>
      <c r="F5215" s="373"/>
      <c r="H5215" s="2168"/>
      <c r="I5215" s="70"/>
    </row>
    <row r="5216" spans="3:9" s="46" customFormat="1" x14ac:dyDescent="0.2">
      <c r="C5216" s="144"/>
      <c r="D5216" s="144"/>
      <c r="E5216" s="144"/>
      <c r="F5216" s="373"/>
      <c r="H5216" s="2168"/>
      <c r="I5216" s="70"/>
    </row>
    <row r="5217" spans="3:9" s="46" customFormat="1" x14ac:dyDescent="0.2">
      <c r="C5217" s="144"/>
      <c r="D5217" s="144"/>
      <c r="E5217" s="144"/>
      <c r="F5217" s="373"/>
      <c r="H5217" s="2168"/>
      <c r="I5217" s="70"/>
    </row>
    <row r="5218" spans="3:9" s="46" customFormat="1" x14ac:dyDescent="0.2">
      <c r="C5218" s="144"/>
      <c r="D5218" s="144"/>
      <c r="E5218" s="144"/>
      <c r="F5218" s="373"/>
      <c r="H5218" s="2168"/>
      <c r="I5218" s="70"/>
    </row>
    <row r="5219" spans="3:9" s="46" customFormat="1" x14ac:dyDescent="0.2">
      <c r="C5219" s="144"/>
      <c r="D5219" s="144"/>
      <c r="E5219" s="144"/>
      <c r="F5219" s="373"/>
      <c r="H5219" s="2168"/>
      <c r="I5219" s="70"/>
    </row>
    <row r="5220" spans="3:9" s="46" customFormat="1" x14ac:dyDescent="0.2">
      <c r="C5220" s="144"/>
      <c r="D5220" s="144"/>
      <c r="E5220" s="144"/>
      <c r="F5220" s="373"/>
      <c r="H5220" s="2168"/>
      <c r="I5220" s="70"/>
    </row>
    <row r="5221" spans="3:9" s="46" customFormat="1" x14ac:dyDescent="0.2">
      <c r="C5221" s="144"/>
      <c r="D5221" s="144"/>
      <c r="E5221" s="144"/>
      <c r="F5221" s="373"/>
      <c r="H5221" s="2168"/>
      <c r="I5221" s="70"/>
    </row>
    <row r="5222" spans="3:9" s="46" customFormat="1" x14ac:dyDescent="0.2">
      <c r="C5222" s="144"/>
      <c r="D5222" s="144"/>
      <c r="E5222" s="144"/>
      <c r="F5222" s="373"/>
      <c r="H5222" s="2168"/>
      <c r="I5222" s="70"/>
    </row>
    <row r="5223" spans="3:9" s="46" customFormat="1" x14ac:dyDescent="0.2">
      <c r="C5223" s="144"/>
      <c r="D5223" s="144"/>
      <c r="E5223" s="144"/>
      <c r="F5223" s="373"/>
      <c r="H5223" s="2168"/>
      <c r="I5223" s="70"/>
    </row>
    <row r="5224" spans="3:9" s="46" customFormat="1" x14ac:dyDescent="0.2">
      <c r="C5224" s="144"/>
      <c r="D5224" s="144"/>
      <c r="E5224" s="144"/>
      <c r="F5224" s="373"/>
      <c r="H5224" s="2168"/>
      <c r="I5224" s="70"/>
    </row>
    <row r="5225" spans="3:9" s="46" customFormat="1" x14ac:dyDescent="0.2">
      <c r="C5225" s="144"/>
      <c r="D5225" s="144"/>
      <c r="E5225" s="144"/>
      <c r="F5225" s="373"/>
      <c r="H5225" s="2168"/>
      <c r="I5225" s="70"/>
    </row>
    <row r="5226" spans="3:9" s="46" customFormat="1" x14ac:dyDescent="0.2">
      <c r="C5226" s="144"/>
      <c r="D5226" s="144"/>
      <c r="E5226" s="144"/>
      <c r="F5226" s="373"/>
      <c r="H5226" s="2168"/>
      <c r="I5226" s="70"/>
    </row>
    <row r="5227" spans="3:9" s="46" customFormat="1" x14ac:dyDescent="0.2">
      <c r="C5227" s="144"/>
      <c r="D5227" s="144"/>
      <c r="E5227" s="144"/>
      <c r="F5227" s="373"/>
      <c r="H5227" s="2168"/>
      <c r="I5227" s="70"/>
    </row>
    <row r="5228" spans="3:9" s="46" customFormat="1" x14ac:dyDescent="0.2">
      <c r="C5228" s="144"/>
      <c r="D5228" s="144"/>
      <c r="E5228" s="144"/>
      <c r="F5228" s="373"/>
      <c r="H5228" s="2168"/>
      <c r="I5228" s="70"/>
    </row>
    <row r="5229" spans="3:9" s="46" customFormat="1" x14ac:dyDescent="0.2">
      <c r="C5229" s="144"/>
      <c r="D5229" s="144"/>
      <c r="E5229" s="144"/>
      <c r="F5229" s="373"/>
      <c r="H5229" s="2168"/>
      <c r="I5229" s="70"/>
    </row>
    <row r="5230" spans="3:9" s="46" customFormat="1" x14ac:dyDescent="0.2">
      <c r="C5230" s="144"/>
      <c r="D5230" s="144"/>
      <c r="E5230" s="144"/>
      <c r="F5230" s="373"/>
      <c r="H5230" s="2168"/>
      <c r="I5230" s="70"/>
    </row>
    <row r="5231" spans="3:9" s="46" customFormat="1" x14ac:dyDescent="0.2">
      <c r="C5231" s="144"/>
      <c r="D5231" s="144"/>
      <c r="E5231" s="144"/>
      <c r="F5231" s="373"/>
      <c r="H5231" s="2168"/>
      <c r="I5231" s="70"/>
    </row>
    <row r="5232" spans="3:9" s="46" customFormat="1" x14ac:dyDescent="0.2">
      <c r="C5232" s="144"/>
      <c r="D5232" s="144"/>
      <c r="E5232" s="144"/>
      <c r="F5232" s="373"/>
      <c r="H5232" s="2168"/>
      <c r="I5232" s="70"/>
    </row>
    <row r="5233" spans="3:9" s="46" customFormat="1" x14ac:dyDescent="0.2">
      <c r="C5233" s="144"/>
      <c r="D5233" s="144"/>
      <c r="E5233" s="144"/>
      <c r="F5233" s="373"/>
      <c r="H5233" s="2168"/>
      <c r="I5233" s="70"/>
    </row>
    <row r="5234" spans="3:9" s="46" customFormat="1" x14ac:dyDescent="0.2">
      <c r="C5234" s="144"/>
      <c r="D5234" s="144"/>
      <c r="E5234" s="144"/>
      <c r="F5234" s="373"/>
      <c r="H5234" s="2168"/>
      <c r="I5234" s="70"/>
    </row>
    <row r="5235" spans="3:9" s="46" customFormat="1" x14ac:dyDescent="0.2">
      <c r="C5235" s="144"/>
      <c r="D5235" s="144"/>
      <c r="E5235" s="144"/>
      <c r="F5235" s="373"/>
      <c r="H5235" s="2168"/>
      <c r="I5235" s="70"/>
    </row>
    <row r="5236" spans="3:9" s="46" customFormat="1" x14ac:dyDescent="0.2">
      <c r="C5236" s="144"/>
      <c r="D5236" s="144"/>
      <c r="E5236" s="144"/>
      <c r="F5236" s="373"/>
      <c r="H5236" s="2168"/>
      <c r="I5236" s="70"/>
    </row>
    <row r="5237" spans="3:9" s="46" customFormat="1" x14ac:dyDescent="0.2">
      <c r="C5237" s="144"/>
      <c r="D5237" s="144"/>
      <c r="E5237" s="144"/>
      <c r="F5237" s="373"/>
      <c r="H5237" s="2168"/>
      <c r="I5237" s="70"/>
    </row>
    <row r="5238" spans="3:9" s="46" customFormat="1" x14ac:dyDescent="0.2">
      <c r="C5238" s="144"/>
      <c r="D5238" s="144"/>
      <c r="E5238" s="144"/>
      <c r="F5238" s="373"/>
      <c r="H5238" s="2168"/>
      <c r="I5238" s="70"/>
    </row>
    <row r="5239" spans="3:9" s="46" customFormat="1" x14ac:dyDescent="0.2">
      <c r="C5239" s="144"/>
      <c r="D5239" s="144"/>
      <c r="E5239" s="144"/>
      <c r="F5239" s="373"/>
      <c r="H5239" s="2168"/>
      <c r="I5239" s="70"/>
    </row>
    <row r="5240" spans="3:9" s="46" customFormat="1" x14ac:dyDescent="0.2">
      <c r="C5240" s="144"/>
      <c r="D5240" s="144"/>
      <c r="E5240" s="144"/>
      <c r="F5240" s="373"/>
      <c r="H5240" s="2168"/>
      <c r="I5240" s="70"/>
    </row>
    <row r="5241" spans="3:9" s="46" customFormat="1" x14ac:dyDescent="0.2">
      <c r="C5241" s="144"/>
      <c r="D5241" s="144"/>
      <c r="E5241" s="144"/>
      <c r="F5241" s="373"/>
      <c r="H5241" s="2168"/>
      <c r="I5241" s="70"/>
    </row>
    <row r="5242" spans="3:9" s="46" customFormat="1" x14ac:dyDescent="0.2">
      <c r="C5242" s="144"/>
      <c r="D5242" s="144"/>
      <c r="E5242" s="144"/>
      <c r="F5242" s="373"/>
      <c r="H5242" s="2168"/>
      <c r="I5242" s="70"/>
    </row>
    <row r="5243" spans="3:9" s="46" customFormat="1" x14ac:dyDescent="0.2">
      <c r="C5243" s="144"/>
      <c r="D5243" s="144"/>
      <c r="E5243" s="144"/>
      <c r="F5243" s="373"/>
      <c r="H5243" s="2168"/>
      <c r="I5243" s="70"/>
    </row>
    <row r="5244" spans="3:9" s="46" customFormat="1" x14ac:dyDescent="0.2">
      <c r="C5244" s="144"/>
      <c r="D5244" s="144"/>
      <c r="E5244" s="144"/>
      <c r="F5244" s="373"/>
      <c r="H5244" s="2168"/>
      <c r="I5244" s="70"/>
    </row>
    <row r="5245" spans="3:9" s="46" customFormat="1" x14ac:dyDescent="0.2">
      <c r="C5245" s="144"/>
      <c r="D5245" s="144"/>
      <c r="E5245" s="144"/>
      <c r="F5245" s="373"/>
      <c r="H5245" s="2168"/>
      <c r="I5245" s="70"/>
    </row>
    <row r="5246" spans="3:9" s="46" customFormat="1" x14ac:dyDescent="0.2">
      <c r="C5246" s="144"/>
      <c r="D5246" s="144"/>
      <c r="E5246" s="144"/>
      <c r="F5246" s="373"/>
      <c r="H5246" s="2168"/>
      <c r="I5246" s="70"/>
    </row>
    <row r="5247" spans="3:9" s="46" customFormat="1" x14ac:dyDescent="0.2">
      <c r="C5247" s="144"/>
      <c r="D5247" s="144"/>
      <c r="E5247" s="144"/>
      <c r="F5247" s="373"/>
      <c r="H5247" s="2168"/>
      <c r="I5247" s="70"/>
    </row>
    <row r="5248" spans="3:9" s="46" customFormat="1" x14ac:dyDescent="0.2">
      <c r="C5248" s="144"/>
      <c r="D5248" s="144"/>
      <c r="E5248" s="144"/>
      <c r="F5248" s="373"/>
      <c r="H5248" s="2168"/>
      <c r="I5248" s="70"/>
    </row>
    <row r="5249" spans="3:9" s="46" customFormat="1" x14ac:dyDescent="0.2">
      <c r="C5249" s="144"/>
      <c r="D5249" s="144"/>
      <c r="E5249" s="144"/>
      <c r="F5249" s="373"/>
      <c r="H5249" s="2168"/>
      <c r="I5249" s="70"/>
    </row>
    <row r="5250" spans="3:9" s="46" customFormat="1" x14ac:dyDescent="0.2">
      <c r="C5250" s="144"/>
      <c r="D5250" s="144"/>
      <c r="E5250" s="144"/>
      <c r="F5250" s="373"/>
      <c r="H5250" s="2168"/>
      <c r="I5250" s="70"/>
    </row>
    <row r="5251" spans="3:9" s="46" customFormat="1" x14ac:dyDescent="0.2">
      <c r="C5251" s="144"/>
      <c r="D5251" s="144"/>
      <c r="E5251" s="144"/>
      <c r="F5251" s="373"/>
      <c r="H5251" s="2168"/>
      <c r="I5251" s="70"/>
    </row>
    <row r="5252" spans="3:9" s="46" customFormat="1" x14ac:dyDescent="0.2">
      <c r="C5252" s="144"/>
      <c r="D5252" s="144"/>
      <c r="E5252" s="144"/>
      <c r="F5252" s="373"/>
      <c r="H5252" s="2168"/>
      <c r="I5252" s="70"/>
    </row>
    <row r="5253" spans="3:9" s="46" customFormat="1" x14ac:dyDescent="0.2">
      <c r="C5253" s="144"/>
      <c r="D5253" s="144"/>
      <c r="E5253" s="144"/>
      <c r="F5253" s="373"/>
      <c r="H5253" s="2168"/>
      <c r="I5253" s="70"/>
    </row>
    <row r="5254" spans="3:9" s="46" customFormat="1" x14ac:dyDescent="0.2">
      <c r="C5254" s="144"/>
      <c r="D5254" s="144"/>
      <c r="E5254" s="144"/>
      <c r="F5254" s="373"/>
      <c r="H5254" s="2168"/>
      <c r="I5254" s="70"/>
    </row>
    <row r="5255" spans="3:9" s="46" customFormat="1" x14ac:dyDescent="0.2">
      <c r="C5255" s="144"/>
      <c r="D5255" s="144"/>
      <c r="E5255" s="144"/>
      <c r="F5255" s="373"/>
      <c r="H5255" s="2168"/>
      <c r="I5255" s="70"/>
    </row>
    <row r="5256" spans="3:9" s="46" customFormat="1" x14ac:dyDescent="0.2">
      <c r="C5256" s="144"/>
      <c r="D5256" s="144"/>
      <c r="E5256" s="144"/>
      <c r="F5256" s="373"/>
      <c r="H5256" s="2168"/>
      <c r="I5256" s="70"/>
    </row>
    <row r="5257" spans="3:9" s="46" customFormat="1" x14ac:dyDescent="0.2">
      <c r="C5257" s="144"/>
      <c r="D5257" s="144"/>
      <c r="E5257" s="144"/>
      <c r="F5257" s="373"/>
      <c r="H5257" s="2168"/>
      <c r="I5257" s="70"/>
    </row>
    <row r="5258" spans="3:9" s="46" customFormat="1" x14ac:dyDescent="0.2">
      <c r="C5258" s="144"/>
      <c r="D5258" s="144"/>
      <c r="E5258" s="144"/>
      <c r="F5258" s="373"/>
      <c r="H5258" s="2168"/>
      <c r="I5258" s="70"/>
    </row>
    <row r="5259" spans="3:9" s="46" customFormat="1" x14ac:dyDescent="0.2">
      <c r="C5259" s="144"/>
      <c r="D5259" s="144"/>
      <c r="E5259" s="144"/>
      <c r="F5259" s="373"/>
      <c r="H5259" s="2168"/>
      <c r="I5259" s="70"/>
    </row>
    <row r="5260" spans="3:9" s="46" customFormat="1" x14ac:dyDescent="0.2">
      <c r="C5260" s="144"/>
      <c r="D5260" s="144"/>
      <c r="E5260" s="144"/>
      <c r="F5260" s="373"/>
      <c r="H5260" s="2168"/>
      <c r="I5260" s="70"/>
    </row>
    <row r="5261" spans="3:9" s="46" customFormat="1" x14ac:dyDescent="0.2">
      <c r="C5261" s="144"/>
      <c r="D5261" s="144"/>
      <c r="E5261" s="144"/>
      <c r="F5261" s="373"/>
      <c r="H5261" s="2168"/>
      <c r="I5261" s="70"/>
    </row>
    <row r="5262" spans="3:9" s="46" customFormat="1" x14ac:dyDescent="0.2">
      <c r="C5262" s="144"/>
      <c r="D5262" s="144"/>
      <c r="E5262" s="144"/>
      <c r="F5262" s="373"/>
      <c r="H5262" s="2168"/>
      <c r="I5262" s="70"/>
    </row>
    <row r="5263" spans="3:9" s="46" customFormat="1" x14ac:dyDescent="0.2">
      <c r="C5263" s="144"/>
      <c r="D5263" s="144"/>
      <c r="E5263" s="144"/>
      <c r="F5263" s="373"/>
      <c r="H5263" s="2168"/>
      <c r="I5263" s="70"/>
    </row>
    <row r="5264" spans="3:9" s="46" customFormat="1" x14ac:dyDescent="0.2">
      <c r="C5264" s="144"/>
      <c r="D5264" s="144"/>
      <c r="E5264" s="144"/>
      <c r="F5264" s="373"/>
      <c r="H5264" s="2168"/>
      <c r="I5264" s="70"/>
    </row>
    <row r="5265" spans="3:9" s="46" customFormat="1" x14ac:dyDescent="0.2">
      <c r="C5265" s="144"/>
      <c r="D5265" s="144"/>
      <c r="E5265" s="144"/>
      <c r="F5265" s="373"/>
      <c r="H5265" s="2168"/>
      <c r="I5265" s="70"/>
    </row>
    <row r="5266" spans="3:9" s="46" customFormat="1" x14ac:dyDescent="0.2">
      <c r="C5266" s="144"/>
      <c r="D5266" s="144"/>
      <c r="E5266" s="144"/>
      <c r="F5266" s="373"/>
      <c r="H5266" s="2168"/>
      <c r="I5266" s="70"/>
    </row>
    <row r="5267" spans="3:9" s="46" customFormat="1" x14ac:dyDescent="0.2">
      <c r="C5267" s="144"/>
      <c r="D5267" s="144"/>
      <c r="E5267" s="144"/>
      <c r="F5267" s="373"/>
      <c r="H5267" s="2168"/>
      <c r="I5267" s="70"/>
    </row>
    <row r="5268" spans="3:9" s="46" customFormat="1" x14ac:dyDescent="0.2">
      <c r="C5268" s="144"/>
      <c r="D5268" s="144"/>
      <c r="E5268" s="144"/>
      <c r="F5268" s="373"/>
      <c r="H5268" s="2168"/>
      <c r="I5268" s="70"/>
    </row>
    <row r="5269" spans="3:9" s="46" customFormat="1" x14ac:dyDescent="0.2">
      <c r="C5269" s="144"/>
      <c r="D5269" s="144"/>
      <c r="E5269" s="144"/>
      <c r="F5269" s="373"/>
      <c r="H5269" s="2168"/>
      <c r="I5269" s="70"/>
    </row>
    <row r="5270" spans="3:9" s="46" customFormat="1" x14ac:dyDescent="0.2">
      <c r="C5270" s="144"/>
      <c r="D5270" s="144"/>
      <c r="E5270" s="144"/>
      <c r="F5270" s="373"/>
      <c r="H5270" s="2168"/>
      <c r="I5270" s="70"/>
    </row>
    <row r="5271" spans="3:9" s="46" customFormat="1" x14ac:dyDescent="0.2">
      <c r="C5271" s="144"/>
      <c r="D5271" s="144"/>
      <c r="E5271" s="144"/>
      <c r="F5271" s="373"/>
      <c r="H5271" s="2168"/>
      <c r="I5271" s="70"/>
    </row>
    <row r="5272" spans="3:9" s="46" customFormat="1" x14ac:dyDescent="0.2">
      <c r="C5272" s="144"/>
      <c r="D5272" s="144"/>
      <c r="E5272" s="144"/>
      <c r="F5272" s="373"/>
      <c r="H5272" s="2168"/>
      <c r="I5272" s="70"/>
    </row>
    <row r="5273" spans="3:9" s="46" customFormat="1" x14ac:dyDescent="0.2">
      <c r="C5273" s="144"/>
      <c r="D5273" s="144"/>
      <c r="E5273" s="144"/>
      <c r="F5273" s="373"/>
      <c r="H5273" s="2168"/>
      <c r="I5273" s="70"/>
    </row>
    <row r="5274" spans="3:9" s="46" customFormat="1" x14ac:dyDescent="0.2">
      <c r="C5274" s="144"/>
      <c r="D5274" s="144"/>
      <c r="E5274" s="144"/>
      <c r="F5274" s="373"/>
      <c r="H5274" s="2168"/>
      <c r="I5274" s="70"/>
    </row>
    <row r="5275" spans="3:9" s="46" customFormat="1" x14ac:dyDescent="0.2">
      <c r="C5275" s="144"/>
      <c r="D5275" s="144"/>
      <c r="E5275" s="144"/>
      <c r="F5275" s="373"/>
      <c r="H5275" s="2168"/>
      <c r="I5275" s="70"/>
    </row>
    <row r="5276" spans="3:9" s="46" customFormat="1" x14ac:dyDescent="0.2">
      <c r="C5276" s="144"/>
      <c r="D5276" s="144"/>
      <c r="E5276" s="144"/>
      <c r="F5276" s="373"/>
      <c r="H5276" s="2168"/>
      <c r="I5276" s="70"/>
    </row>
    <row r="5277" spans="3:9" s="46" customFormat="1" x14ac:dyDescent="0.2">
      <c r="C5277" s="144"/>
      <c r="D5277" s="144"/>
      <c r="E5277" s="144"/>
      <c r="F5277" s="373"/>
      <c r="H5277" s="2168"/>
      <c r="I5277" s="70"/>
    </row>
    <row r="5278" spans="3:9" s="46" customFormat="1" x14ac:dyDescent="0.2">
      <c r="C5278" s="144"/>
      <c r="D5278" s="144"/>
      <c r="E5278" s="144"/>
      <c r="F5278" s="373"/>
      <c r="H5278" s="2168"/>
      <c r="I5278" s="70"/>
    </row>
    <row r="5279" spans="3:9" s="46" customFormat="1" x14ac:dyDescent="0.2">
      <c r="C5279" s="144"/>
      <c r="D5279" s="144"/>
      <c r="E5279" s="144"/>
      <c r="F5279" s="373"/>
      <c r="H5279" s="2168"/>
      <c r="I5279" s="70"/>
    </row>
    <row r="5280" spans="3:9" s="46" customFormat="1" x14ac:dyDescent="0.2">
      <c r="C5280" s="144"/>
      <c r="D5280" s="144"/>
      <c r="E5280" s="144"/>
      <c r="F5280" s="373"/>
      <c r="H5280" s="2168"/>
      <c r="I5280" s="70"/>
    </row>
    <row r="5281" spans="3:9" s="46" customFormat="1" x14ac:dyDescent="0.2">
      <c r="C5281" s="144"/>
      <c r="D5281" s="144"/>
      <c r="E5281" s="144"/>
      <c r="F5281" s="373"/>
      <c r="H5281" s="2168"/>
      <c r="I5281" s="70"/>
    </row>
    <row r="5282" spans="3:9" s="46" customFormat="1" x14ac:dyDescent="0.2">
      <c r="C5282" s="144"/>
      <c r="D5282" s="144"/>
      <c r="E5282" s="144"/>
      <c r="F5282" s="373"/>
      <c r="H5282" s="2168"/>
      <c r="I5282" s="70"/>
    </row>
    <row r="5283" spans="3:9" s="46" customFormat="1" x14ac:dyDescent="0.2">
      <c r="C5283" s="144"/>
      <c r="D5283" s="144"/>
      <c r="E5283" s="144"/>
      <c r="F5283" s="373"/>
      <c r="H5283" s="2168"/>
      <c r="I5283" s="70"/>
    </row>
    <row r="5284" spans="3:9" s="46" customFormat="1" x14ac:dyDescent="0.2">
      <c r="C5284" s="144"/>
      <c r="D5284" s="144"/>
      <c r="E5284" s="144"/>
      <c r="F5284" s="373"/>
      <c r="H5284" s="2168"/>
      <c r="I5284" s="70"/>
    </row>
    <row r="5285" spans="3:9" s="46" customFormat="1" x14ac:dyDescent="0.2">
      <c r="C5285" s="144"/>
      <c r="D5285" s="144"/>
      <c r="E5285" s="144"/>
      <c r="F5285" s="373"/>
      <c r="H5285" s="2168"/>
      <c r="I5285" s="70"/>
    </row>
    <row r="5286" spans="3:9" s="46" customFormat="1" x14ac:dyDescent="0.2">
      <c r="C5286" s="144"/>
      <c r="D5286" s="144"/>
      <c r="E5286" s="144"/>
      <c r="F5286" s="373"/>
      <c r="H5286" s="2168"/>
      <c r="I5286" s="70"/>
    </row>
    <row r="5287" spans="3:9" s="46" customFormat="1" x14ac:dyDescent="0.2">
      <c r="C5287" s="144"/>
      <c r="D5287" s="144"/>
      <c r="E5287" s="144"/>
      <c r="F5287" s="373"/>
      <c r="H5287" s="2168"/>
      <c r="I5287" s="70"/>
    </row>
    <row r="5288" spans="3:9" s="46" customFormat="1" x14ac:dyDescent="0.2">
      <c r="C5288" s="144"/>
      <c r="D5288" s="144"/>
      <c r="E5288" s="144"/>
      <c r="F5288" s="373"/>
      <c r="H5288" s="2168"/>
      <c r="I5288" s="70"/>
    </row>
    <row r="5289" spans="3:9" s="46" customFormat="1" x14ac:dyDescent="0.2">
      <c r="C5289" s="144"/>
      <c r="D5289" s="144"/>
      <c r="E5289" s="144"/>
      <c r="F5289" s="373"/>
      <c r="H5289" s="2168"/>
      <c r="I5289" s="70"/>
    </row>
    <row r="5290" spans="3:9" s="46" customFormat="1" x14ac:dyDescent="0.2">
      <c r="C5290" s="144"/>
      <c r="D5290" s="144"/>
      <c r="E5290" s="144"/>
      <c r="F5290" s="373"/>
      <c r="H5290" s="2168"/>
      <c r="I5290" s="70"/>
    </row>
    <row r="5291" spans="3:9" s="46" customFormat="1" x14ac:dyDescent="0.2">
      <c r="C5291" s="144"/>
      <c r="D5291" s="144"/>
      <c r="E5291" s="144"/>
      <c r="F5291" s="373"/>
      <c r="H5291" s="2168"/>
      <c r="I5291" s="70"/>
    </row>
    <row r="5292" spans="3:9" s="46" customFormat="1" x14ac:dyDescent="0.2">
      <c r="C5292" s="144"/>
      <c r="D5292" s="144"/>
      <c r="E5292" s="144"/>
      <c r="F5292" s="373"/>
      <c r="H5292" s="2168"/>
      <c r="I5292" s="70"/>
    </row>
    <row r="5293" spans="3:9" s="46" customFormat="1" x14ac:dyDescent="0.2">
      <c r="C5293" s="144"/>
      <c r="D5293" s="144"/>
      <c r="E5293" s="144"/>
      <c r="F5293" s="373"/>
      <c r="H5293" s="2168"/>
      <c r="I5293" s="70"/>
    </row>
    <row r="5294" spans="3:9" s="46" customFormat="1" x14ac:dyDescent="0.2">
      <c r="C5294" s="144"/>
      <c r="D5294" s="144"/>
      <c r="E5294" s="144"/>
      <c r="F5294" s="373"/>
      <c r="H5294" s="2168"/>
      <c r="I5294" s="70"/>
    </row>
    <row r="5295" spans="3:9" s="46" customFormat="1" x14ac:dyDescent="0.2">
      <c r="C5295" s="144"/>
      <c r="D5295" s="144"/>
      <c r="E5295" s="144"/>
      <c r="F5295" s="373"/>
      <c r="H5295" s="2168"/>
      <c r="I5295" s="70"/>
    </row>
    <row r="5296" spans="3:9" s="46" customFormat="1" x14ac:dyDescent="0.2">
      <c r="C5296" s="144"/>
      <c r="D5296" s="144"/>
      <c r="E5296" s="144"/>
      <c r="F5296" s="373"/>
      <c r="H5296" s="2168"/>
      <c r="I5296" s="70"/>
    </row>
    <row r="5297" spans="3:9" s="46" customFormat="1" x14ac:dyDescent="0.2">
      <c r="C5297" s="144"/>
      <c r="D5297" s="144"/>
      <c r="E5297" s="144"/>
      <c r="F5297" s="373"/>
      <c r="H5297" s="2168"/>
      <c r="I5297" s="70"/>
    </row>
    <row r="5298" spans="3:9" s="46" customFormat="1" x14ac:dyDescent="0.2">
      <c r="C5298" s="144"/>
      <c r="D5298" s="144"/>
      <c r="E5298" s="144"/>
      <c r="F5298" s="373"/>
      <c r="H5298" s="2168"/>
      <c r="I5298" s="70"/>
    </row>
    <row r="5299" spans="3:9" s="46" customFormat="1" x14ac:dyDescent="0.2">
      <c r="C5299" s="144"/>
      <c r="D5299" s="144"/>
      <c r="E5299" s="144"/>
      <c r="F5299" s="373"/>
      <c r="H5299" s="2168"/>
      <c r="I5299" s="70"/>
    </row>
    <row r="5300" spans="3:9" s="46" customFormat="1" x14ac:dyDescent="0.2">
      <c r="C5300" s="144"/>
      <c r="D5300" s="144"/>
      <c r="E5300" s="144"/>
      <c r="F5300" s="373"/>
      <c r="H5300" s="2168"/>
      <c r="I5300" s="70"/>
    </row>
    <row r="5301" spans="3:9" s="46" customFormat="1" x14ac:dyDescent="0.2">
      <c r="C5301" s="144"/>
      <c r="D5301" s="144"/>
      <c r="E5301" s="144"/>
      <c r="F5301" s="373"/>
      <c r="H5301" s="2168"/>
      <c r="I5301" s="70"/>
    </row>
    <row r="5302" spans="3:9" s="46" customFormat="1" x14ac:dyDescent="0.2">
      <c r="C5302" s="144"/>
      <c r="D5302" s="144"/>
      <c r="E5302" s="144"/>
      <c r="F5302" s="373"/>
      <c r="H5302" s="2168"/>
      <c r="I5302" s="70"/>
    </row>
    <row r="5303" spans="3:9" s="46" customFormat="1" x14ac:dyDescent="0.2">
      <c r="C5303" s="144"/>
      <c r="D5303" s="144"/>
      <c r="E5303" s="144"/>
      <c r="F5303" s="373"/>
      <c r="H5303" s="2168"/>
      <c r="I5303" s="70"/>
    </row>
    <row r="5304" spans="3:9" s="46" customFormat="1" x14ac:dyDescent="0.2">
      <c r="C5304" s="144"/>
      <c r="D5304" s="144"/>
      <c r="E5304" s="144"/>
      <c r="F5304" s="373"/>
      <c r="H5304" s="2168"/>
      <c r="I5304" s="70"/>
    </row>
    <row r="5305" spans="3:9" s="46" customFormat="1" x14ac:dyDescent="0.2">
      <c r="C5305" s="144"/>
      <c r="D5305" s="144"/>
      <c r="E5305" s="144"/>
      <c r="F5305" s="373"/>
      <c r="H5305" s="2168"/>
      <c r="I5305" s="70"/>
    </row>
    <row r="5306" spans="3:9" s="46" customFormat="1" x14ac:dyDescent="0.2">
      <c r="C5306" s="144"/>
      <c r="D5306" s="144"/>
      <c r="E5306" s="144"/>
      <c r="F5306" s="373"/>
      <c r="H5306" s="2168"/>
      <c r="I5306" s="70"/>
    </row>
    <row r="5307" spans="3:9" s="46" customFormat="1" x14ac:dyDescent="0.2">
      <c r="C5307" s="144"/>
      <c r="D5307" s="144"/>
      <c r="E5307" s="144"/>
      <c r="F5307" s="373"/>
      <c r="H5307" s="2168"/>
      <c r="I5307" s="70"/>
    </row>
    <row r="5308" spans="3:9" s="46" customFormat="1" x14ac:dyDescent="0.2">
      <c r="C5308" s="144"/>
      <c r="D5308" s="144"/>
      <c r="E5308" s="144"/>
      <c r="F5308" s="373"/>
      <c r="H5308" s="2168"/>
      <c r="I5308" s="70"/>
    </row>
    <row r="5309" spans="3:9" s="46" customFormat="1" x14ac:dyDescent="0.2">
      <c r="C5309" s="144"/>
      <c r="D5309" s="144"/>
      <c r="E5309" s="144"/>
      <c r="F5309" s="373"/>
      <c r="H5309" s="2168"/>
      <c r="I5309" s="70"/>
    </row>
    <row r="5310" spans="3:9" s="46" customFormat="1" x14ac:dyDescent="0.2">
      <c r="C5310" s="144"/>
      <c r="D5310" s="144"/>
      <c r="E5310" s="144"/>
      <c r="F5310" s="373"/>
      <c r="H5310" s="2168"/>
      <c r="I5310" s="70"/>
    </row>
    <row r="5311" spans="3:9" s="46" customFormat="1" x14ac:dyDescent="0.2">
      <c r="C5311" s="144"/>
      <c r="D5311" s="144"/>
      <c r="E5311" s="144"/>
      <c r="F5311" s="373"/>
      <c r="H5311" s="2168"/>
      <c r="I5311" s="70"/>
    </row>
    <row r="5312" spans="3:9" s="46" customFormat="1" x14ac:dyDescent="0.2">
      <c r="C5312" s="144"/>
      <c r="D5312" s="144"/>
      <c r="E5312" s="144"/>
      <c r="F5312" s="373"/>
      <c r="H5312" s="2168"/>
      <c r="I5312" s="70"/>
    </row>
    <row r="5313" spans="3:9" s="46" customFormat="1" x14ac:dyDescent="0.2">
      <c r="C5313" s="144"/>
      <c r="D5313" s="144"/>
      <c r="E5313" s="144"/>
      <c r="F5313" s="373"/>
      <c r="H5313" s="2168"/>
      <c r="I5313" s="70"/>
    </row>
    <row r="5314" spans="3:9" s="46" customFormat="1" x14ac:dyDescent="0.2">
      <c r="C5314" s="144"/>
      <c r="D5314" s="144"/>
      <c r="E5314" s="144"/>
      <c r="F5314" s="373"/>
      <c r="H5314" s="2168"/>
      <c r="I5314" s="70"/>
    </row>
    <row r="5315" spans="3:9" s="46" customFormat="1" x14ac:dyDescent="0.2">
      <c r="C5315" s="144"/>
      <c r="D5315" s="144"/>
      <c r="E5315" s="144"/>
      <c r="F5315" s="373"/>
      <c r="H5315" s="2168"/>
      <c r="I5315" s="70"/>
    </row>
    <row r="5316" spans="3:9" s="46" customFormat="1" x14ac:dyDescent="0.2">
      <c r="C5316" s="144"/>
      <c r="D5316" s="144"/>
      <c r="E5316" s="144"/>
      <c r="F5316" s="373"/>
      <c r="H5316" s="2168"/>
      <c r="I5316" s="70"/>
    </row>
    <row r="5317" spans="3:9" s="46" customFormat="1" x14ac:dyDescent="0.2">
      <c r="C5317" s="144"/>
      <c r="D5317" s="144"/>
      <c r="E5317" s="144"/>
      <c r="F5317" s="373"/>
      <c r="H5317" s="2168"/>
      <c r="I5317" s="70"/>
    </row>
    <row r="5318" spans="3:9" s="46" customFormat="1" x14ac:dyDescent="0.2">
      <c r="C5318" s="144"/>
      <c r="D5318" s="144"/>
      <c r="E5318" s="144"/>
      <c r="F5318" s="373"/>
      <c r="H5318" s="2168"/>
      <c r="I5318" s="70"/>
    </row>
    <row r="5319" spans="3:9" s="46" customFormat="1" x14ac:dyDescent="0.2">
      <c r="C5319" s="144"/>
      <c r="D5319" s="144"/>
      <c r="E5319" s="144"/>
      <c r="F5319" s="373"/>
      <c r="H5319" s="2168"/>
      <c r="I5319" s="70"/>
    </row>
    <row r="5320" spans="3:9" s="46" customFormat="1" x14ac:dyDescent="0.2">
      <c r="C5320" s="144"/>
      <c r="D5320" s="144"/>
      <c r="E5320" s="144"/>
      <c r="F5320" s="373"/>
      <c r="H5320" s="2168"/>
      <c r="I5320" s="70"/>
    </row>
    <row r="5321" spans="3:9" s="46" customFormat="1" x14ac:dyDescent="0.2">
      <c r="C5321" s="144"/>
      <c r="D5321" s="144"/>
      <c r="E5321" s="144"/>
      <c r="F5321" s="373"/>
      <c r="H5321" s="2168"/>
      <c r="I5321" s="70"/>
    </row>
    <row r="5322" spans="3:9" s="46" customFormat="1" x14ac:dyDescent="0.2">
      <c r="C5322" s="144"/>
      <c r="D5322" s="144"/>
      <c r="E5322" s="144"/>
      <c r="F5322" s="373"/>
      <c r="H5322" s="2168"/>
      <c r="I5322" s="70"/>
    </row>
    <row r="5323" spans="3:9" s="46" customFormat="1" x14ac:dyDescent="0.2">
      <c r="C5323" s="144"/>
      <c r="D5323" s="144"/>
      <c r="E5323" s="144"/>
      <c r="F5323" s="373"/>
      <c r="H5323" s="2168"/>
      <c r="I5323" s="70"/>
    </row>
    <row r="5324" spans="3:9" s="46" customFormat="1" x14ac:dyDescent="0.2">
      <c r="C5324" s="144"/>
      <c r="D5324" s="144"/>
      <c r="E5324" s="144"/>
      <c r="F5324" s="373"/>
      <c r="H5324" s="2168"/>
      <c r="I5324" s="70"/>
    </row>
    <row r="5325" spans="3:9" s="46" customFormat="1" x14ac:dyDescent="0.2">
      <c r="C5325" s="144"/>
      <c r="D5325" s="144"/>
      <c r="E5325" s="144"/>
      <c r="F5325" s="373"/>
      <c r="H5325" s="2168"/>
      <c r="I5325" s="70"/>
    </row>
    <row r="5326" spans="3:9" s="46" customFormat="1" x14ac:dyDescent="0.2">
      <c r="C5326" s="144"/>
      <c r="D5326" s="144"/>
      <c r="E5326" s="144"/>
      <c r="F5326" s="373"/>
      <c r="H5326" s="2168"/>
      <c r="I5326" s="70"/>
    </row>
    <row r="5327" spans="3:9" s="46" customFormat="1" x14ac:dyDescent="0.2">
      <c r="C5327" s="144"/>
      <c r="D5327" s="144"/>
      <c r="E5327" s="144"/>
      <c r="F5327" s="373"/>
      <c r="H5327" s="2168"/>
      <c r="I5327" s="70"/>
    </row>
    <row r="5328" spans="3:9" s="46" customFormat="1" x14ac:dyDescent="0.2">
      <c r="C5328" s="144"/>
      <c r="D5328" s="144"/>
      <c r="E5328" s="144"/>
      <c r="F5328" s="373"/>
      <c r="H5328" s="2168"/>
      <c r="I5328" s="70"/>
    </row>
    <row r="5329" spans="3:9" s="46" customFormat="1" x14ac:dyDescent="0.2">
      <c r="C5329" s="144"/>
      <c r="D5329" s="144"/>
      <c r="E5329" s="144"/>
      <c r="F5329" s="373"/>
      <c r="H5329" s="2168"/>
      <c r="I5329" s="70"/>
    </row>
    <row r="5330" spans="3:9" s="46" customFormat="1" x14ac:dyDescent="0.2">
      <c r="C5330" s="144"/>
      <c r="D5330" s="144"/>
      <c r="E5330" s="144"/>
      <c r="F5330" s="373"/>
      <c r="H5330" s="2168"/>
      <c r="I5330" s="70"/>
    </row>
    <row r="5331" spans="3:9" s="46" customFormat="1" x14ac:dyDescent="0.2">
      <c r="C5331" s="144"/>
      <c r="D5331" s="144"/>
      <c r="E5331" s="144"/>
      <c r="F5331" s="373"/>
      <c r="H5331" s="2168"/>
      <c r="I5331" s="70"/>
    </row>
    <row r="5332" spans="3:9" s="46" customFormat="1" x14ac:dyDescent="0.2">
      <c r="C5332" s="144"/>
      <c r="D5332" s="144"/>
      <c r="E5332" s="144"/>
      <c r="F5332" s="373"/>
      <c r="H5332" s="2168"/>
      <c r="I5332" s="70"/>
    </row>
    <row r="5333" spans="3:9" s="46" customFormat="1" x14ac:dyDescent="0.2">
      <c r="C5333" s="144"/>
      <c r="D5333" s="144"/>
      <c r="E5333" s="144"/>
      <c r="F5333" s="373"/>
      <c r="H5333" s="2168"/>
      <c r="I5333" s="70"/>
    </row>
    <row r="5334" spans="3:9" s="46" customFormat="1" x14ac:dyDescent="0.2">
      <c r="C5334" s="144"/>
      <c r="D5334" s="144"/>
      <c r="E5334" s="144"/>
      <c r="F5334" s="373"/>
      <c r="H5334" s="2168"/>
      <c r="I5334" s="70"/>
    </row>
    <row r="5335" spans="3:9" s="46" customFormat="1" x14ac:dyDescent="0.2">
      <c r="C5335" s="144"/>
      <c r="D5335" s="144"/>
      <c r="E5335" s="144"/>
      <c r="F5335" s="373"/>
      <c r="H5335" s="2168"/>
      <c r="I5335" s="70"/>
    </row>
    <row r="5336" spans="3:9" s="46" customFormat="1" x14ac:dyDescent="0.2">
      <c r="C5336" s="144"/>
      <c r="D5336" s="144"/>
      <c r="E5336" s="144"/>
      <c r="F5336" s="373"/>
      <c r="H5336" s="2168"/>
      <c r="I5336" s="70"/>
    </row>
    <row r="5337" spans="3:9" s="46" customFormat="1" x14ac:dyDescent="0.2">
      <c r="C5337" s="144"/>
      <c r="D5337" s="144"/>
      <c r="E5337" s="144"/>
      <c r="F5337" s="373"/>
      <c r="H5337" s="2168"/>
      <c r="I5337" s="70"/>
    </row>
    <row r="5338" spans="3:9" s="46" customFormat="1" x14ac:dyDescent="0.2">
      <c r="C5338" s="144"/>
      <c r="D5338" s="144"/>
      <c r="E5338" s="144"/>
      <c r="F5338" s="373"/>
      <c r="H5338" s="2168"/>
      <c r="I5338" s="70"/>
    </row>
    <row r="5339" spans="3:9" s="46" customFormat="1" x14ac:dyDescent="0.2">
      <c r="C5339" s="144"/>
      <c r="D5339" s="144"/>
      <c r="E5339" s="144"/>
      <c r="F5339" s="373"/>
      <c r="H5339" s="2168"/>
      <c r="I5339" s="70"/>
    </row>
    <row r="5340" spans="3:9" s="46" customFormat="1" x14ac:dyDescent="0.2">
      <c r="C5340" s="144"/>
      <c r="D5340" s="144"/>
      <c r="E5340" s="144"/>
      <c r="F5340" s="373"/>
      <c r="H5340" s="2168"/>
      <c r="I5340" s="70"/>
    </row>
    <row r="5341" spans="3:9" s="46" customFormat="1" x14ac:dyDescent="0.2">
      <c r="C5341" s="144"/>
      <c r="D5341" s="144"/>
      <c r="E5341" s="144"/>
      <c r="F5341" s="373"/>
      <c r="H5341" s="2168"/>
      <c r="I5341" s="70"/>
    </row>
    <row r="5342" spans="3:9" s="46" customFormat="1" x14ac:dyDescent="0.2">
      <c r="C5342" s="144"/>
      <c r="D5342" s="144"/>
      <c r="E5342" s="144"/>
      <c r="F5342" s="373"/>
      <c r="H5342" s="2168"/>
      <c r="I5342" s="70"/>
    </row>
    <row r="5343" spans="3:9" s="46" customFormat="1" x14ac:dyDescent="0.2">
      <c r="C5343" s="144"/>
      <c r="D5343" s="144"/>
      <c r="E5343" s="144"/>
      <c r="F5343" s="373"/>
      <c r="H5343" s="2168"/>
      <c r="I5343" s="70"/>
    </row>
    <row r="5344" spans="3:9" s="46" customFormat="1" x14ac:dyDescent="0.2">
      <c r="C5344" s="144"/>
      <c r="D5344" s="144"/>
      <c r="E5344" s="144"/>
      <c r="F5344" s="373"/>
      <c r="H5344" s="2168"/>
      <c r="I5344" s="70"/>
    </row>
    <row r="5345" spans="3:9" s="46" customFormat="1" x14ac:dyDescent="0.2">
      <c r="C5345" s="144"/>
      <c r="D5345" s="144"/>
      <c r="E5345" s="144"/>
      <c r="F5345" s="373"/>
      <c r="H5345" s="2168"/>
      <c r="I5345" s="70"/>
    </row>
    <row r="5346" spans="3:9" s="46" customFormat="1" x14ac:dyDescent="0.2">
      <c r="C5346" s="144"/>
      <c r="D5346" s="144"/>
      <c r="E5346" s="144"/>
      <c r="F5346" s="373"/>
      <c r="H5346" s="2168"/>
      <c r="I5346" s="70"/>
    </row>
    <row r="5347" spans="3:9" s="46" customFormat="1" x14ac:dyDescent="0.2">
      <c r="C5347" s="144"/>
      <c r="D5347" s="144"/>
      <c r="E5347" s="144"/>
      <c r="F5347" s="373"/>
      <c r="H5347" s="2168"/>
      <c r="I5347" s="70"/>
    </row>
    <row r="5348" spans="3:9" s="46" customFormat="1" x14ac:dyDescent="0.2">
      <c r="C5348" s="144"/>
      <c r="D5348" s="144"/>
      <c r="E5348" s="144"/>
      <c r="F5348" s="373"/>
      <c r="H5348" s="2168"/>
      <c r="I5348" s="70"/>
    </row>
    <row r="5349" spans="3:9" s="46" customFormat="1" x14ac:dyDescent="0.2">
      <c r="C5349" s="144"/>
      <c r="D5349" s="144"/>
      <c r="E5349" s="144"/>
      <c r="F5349" s="373"/>
      <c r="H5349" s="2168"/>
      <c r="I5349" s="70"/>
    </row>
    <row r="5350" spans="3:9" s="46" customFormat="1" x14ac:dyDescent="0.2">
      <c r="C5350" s="144"/>
      <c r="D5350" s="144"/>
      <c r="E5350" s="144"/>
      <c r="F5350" s="373"/>
      <c r="H5350" s="2168"/>
      <c r="I5350" s="70"/>
    </row>
    <row r="5351" spans="3:9" s="46" customFormat="1" x14ac:dyDescent="0.2">
      <c r="C5351" s="144"/>
      <c r="D5351" s="144"/>
      <c r="E5351" s="144"/>
      <c r="F5351" s="373"/>
      <c r="H5351" s="2168"/>
      <c r="I5351" s="70"/>
    </row>
    <row r="5352" spans="3:9" s="46" customFormat="1" x14ac:dyDescent="0.2">
      <c r="C5352" s="144"/>
      <c r="D5352" s="144"/>
      <c r="E5352" s="144"/>
      <c r="F5352" s="373"/>
      <c r="H5352" s="2168"/>
      <c r="I5352" s="70"/>
    </row>
    <row r="5353" spans="3:9" s="46" customFormat="1" x14ac:dyDescent="0.2">
      <c r="C5353" s="144"/>
      <c r="D5353" s="144"/>
      <c r="E5353" s="144"/>
      <c r="F5353" s="373"/>
      <c r="H5353" s="2168"/>
      <c r="I5353" s="70"/>
    </row>
    <row r="5354" spans="3:9" s="46" customFormat="1" x14ac:dyDescent="0.2">
      <c r="C5354" s="144"/>
      <c r="D5354" s="144"/>
      <c r="E5354" s="144"/>
      <c r="F5354" s="373"/>
      <c r="H5354" s="2168"/>
      <c r="I5354" s="70"/>
    </row>
    <row r="5355" spans="3:9" s="46" customFormat="1" x14ac:dyDescent="0.2">
      <c r="C5355" s="144"/>
      <c r="D5355" s="144"/>
      <c r="E5355" s="144"/>
      <c r="F5355" s="373"/>
      <c r="H5355" s="2168"/>
      <c r="I5355" s="70"/>
    </row>
    <row r="5356" spans="3:9" s="46" customFormat="1" x14ac:dyDescent="0.2">
      <c r="C5356" s="144"/>
      <c r="D5356" s="144"/>
      <c r="E5356" s="144"/>
      <c r="F5356" s="373"/>
      <c r="H5356" s="2168"/>
      <c r="I5356" s="70"/>
    </row>
    <row r="5357" spans="3:9" s="46" customFormat="1" x14ac:dyDescent="0.2">
      <c r="C5357" s="144"/>
      <c r="D5357" s="144"/>
      <c r="E5357" s="144"/>
      <c r="F5357" s="373"/>
      <c r="H5357" s="2168"/>
      <c r="I5357" s="70"/>
    </row>
    <row r="5358" spans="3:9" s="46" customFormat="1" x14ac:dyDescent="0.2">
      <c r="C5358" s="144"/>
      <c r="D5358" s="144"/>
      <c r="E5358" s="144"/>
      <c r="F5358" s="373"/>
      <c r="H5358" s="2168"/>
      <c r="I5358" s="70"/>
    </row>
    <row r="5359" spans="3:9" s="46" customFormat="1" x14ac:dyDescent="0.2">
      <c r="C5359" s="144"/>
      <c r="D5359" s="144"/>
      <c r="E5359" s="144"/>
      <c r="F5359" s="373"/>
      <c r="H5359" s="2168"/>
      <c r="I5359" s="70"/>
    </row>
    <row r="5360" spans="3:9" s="46" customFormat="1" x14ac:dyDescent="0.2">
      <c r="C5360" s="144"/>
      <c r="D5360" s="144"/>
      <c r="E5360" s="144"/>
      <c r="F5360" s="373"/>
      <c r="H5360" s="2168"/>
      <c r="I5360" s="70"/>
    </row>
    <row r="5361" spans="3:9" s="46" customFormat="1" x14ac:dyDescent="0.2">
      <c r="C5361" s="144"/>
      <c r="D5361" s="144"/>
      <c r="E5361" s="144"/>
      <c r="F5361" s="373"/>
      <c r="H5361" s="2168"/>
      <c r="I5361" s="70"/>
    </row>
    <row r="5362" spans="3:9" s="46" customFormat="1" x14ac:dyDescent="0.2">
      <c r="C5362" s="144"/>
      <c r="D5362" s="144"/>
      <c r="E5362" s="144"/>
      <c r="F5362" s="373"/>
      <c r="H5362" s="2168"/>
      <c r="I5362" s="70"/>
    </row>
    <row r="5363" spans="3:9" s="46" customFormat="1" x14ac:dyDescent="0.2">
      <c r="C5363" s="144"/>
      <c r="D5363" s="144"/>
      <c r="E5363" s="144"/>
      <c r="F5363" s="373"/>
      <c r="H5363" s="2168"/>
      <c r="I5363" s="70"/>
    </row>
    <row r="5364" spans="3:9" s="46" customFormat="1" x14ac:dyDescent="0.2">
      <c r="C5364" s="144"/>
      <c r="D5364" s="144"/>
      <c r="E5364" s="144"/>
      <c r="F5364" s="373"/>
      <c r="H5364" s="2168"/>
      <c r="I5364" s="70"/>
    </row>
    <row r="5365" spans="3:9" s="46" customFormat="1" x14ac:dyDescent="0.2">
      <c r="C5365" s="144"/>
      <c r="D5365" s="144"/>
      <c r="E5365" s="144"/>
      <c r="F5365" s="373"/>
      <c r="H5365" s="2168"/>
      <c r="I5365" s="70"/>
    </row>
    <row r="5366" spans="3:9" s="46" customFormat="1" x14ac:dyDescent="0.2">
      <c r="C5366" s="144"/>
      <c r="D5366" s="144"/>
      <c r="E5366" s="144"/>
      <c r="F5366" s="373"/>
      <c r="H5366" s="2168"/>
      <c r="I5366" s="70"/>
    </row>
    <row r="5367" spans="3:9" s="46" customFormat="1" x14ac:dyDescent="0.2">
      <c r="C5367" s="144"/>
      <c r="D5367" s="144"/>
      <c r="E5367" s="144"/>
      <c r="F5367" s="373"/>
      <c r="H5367" s="2168"/>
      <c r="I5367" s="70"/>
    </row>
    <row r="5368" spans="3:9" s="46" customFormat="1" x14ac:dyDescent="0.2">
      <c r="C5368" s="144"/>
      <c r="D5368" s="144"/>
      <c r="E5368" s="144"/>
      <c r="F5368" s="373"/>
      <c r="H5368" s="2168"/>
      <c r="I5368" s="70"/>
    </row>
    <row r="5369" spans="3:9" s="46" customFormat="1" x14ac:dyDescent="0.2">
      <c r="C5369" s="144"/>
      <c r="D5369" s="144"/>
      <c r="E5369" s="144"/>
      <c r="F5369" s="373"/>
      <c r="H5369" s="2168"/>
      <c r="I5369" s="70"/>
    </row>
    <row r="5370" spans="3:9" s="46" customFormat="1" x14ac:dyDescent="0.2">
      <c r="C5370" s="144"/>
      <c r="D5370" s="144"/>
      <c r="E5370" s="144"/>
      <c r="F5370" s="373"/>
      <c r="H5370" s="2168"/>
      <c r="I5370" s="70"/>
    </row>
    <row r="5371" spans="3:9" s="46" customFormat="1" x14ac:dyDescent="0.2">
      <c r="C5371" s="144"/>
      <c r="D5371" s="144"/>
      <c r="E5371" s="144"/>
      <c r="F5371" s="373"/>
      <c r="H5371" s="2168"/>
      <c r="I5371" s="70"/>
    </row>
    <row r="5372" spans="3:9" s="46" customFormat="1" x14ac:dyDescent="0.2">
      <c r="C5372" s="144"/>
      <c r="D5372" s="144"/>
      <c r="E5372" s="144"/>
      <c r="F5372" s="373"/>
      <c r="H5372" s="2168"/>
      <c r="I5372" s="70"/>
    </row>
    <row r="5373" spans="3:9" s="46" customFormat="1" x14ac:dyDescent="0.2">
      <c r="C5373" s="144"/>
      <c r="D5373" s="144"/>
      <c r="E5373" s="144"/>
      <c r="F5373" s="373"/>
      <c r="H5373" s="2168"/>
      <c r="I5373" s="70"/>
    </row>
    <row r="5374" spans="3:9" s="46" customFormat="1" x14ac:dyDescent="0.2">
      <c r="C5374" s="144"/>
      <c r="D5374" s="144"/>
      <c r="E5374" s="144"/>
      <c r="F5374" s="373"/>
      <c r="H5374" s="2168"/>
      <c r="I5374" s="70"/>
    </row>
    <row r="5375" spans="3:9" s="46" customFormat="1" x14ac:dyDescent="0.2">
      <c r="C5375" s="144"/>
      <c r="D5375" s="144"/>
      <c r="E5375" s="144"/>
      <c r="F5375" s="373"/>
      <c r="H5375" s="2168"/>
      <c r="I5375" s="70"/>
    </row>
    <row r="5376" spans="3:9" s="46" customFormat="1" x14ac:dyDescent="0.2">
      <c r="C5376" s="144"/>
      <c r="D5376" s="144"/>
      <c r="E5376" s="144"/>
      <c r="F5376" s="373"/>
      <c r="H5376" s="2168"/>
      <c r="I5376" s="70"/>
    </row>
    <row r="5377" spans="3:9" s="46" customFormat="1" x14ac:dyDescent="0.2">
      <c r="C5377" s="144"/>
      <c r="D5377" s="144"/>
      <c r="E5377" s="144"/>
      <c r="F5377" s="373"/>
      <c r="H5377" s="2168"/>
      <c r="I5377" s="70"/>
    </row>
    <row r="5378" spans="3:9" s="46" customFormat="1" x14ac:dyDescent="0.2">
      <c r="C5378" s="144"/>
      <c r="D5378" s="144"/>
      <c r="E5378" s="144"/>
      <c r="F5378" s="373"/>
      <c r="H5378" s="2168"/>
      <c r="I5378" s="70"/>
    </row>
    <row r="5379" spans="3:9" s="46" customFormat="1" x14ac:dyDescent="0.2">
      <c r="C5379" s="144"/>
      <c r="D5379" s="144"/>
      <c r="E5379" s="144"/>
      <c r="F5379" s="373"/>
      <c r="H5379" s="2168"/>
      <c r="I5379" s="70"/>
    </row>
    <row r="5380" spans="3:9" s="46" customFormat="1" x14ac:dyDescent="0.2">
      <c r="C5380" s="144"/>
      <c r="D5380" s="144"/>
      <c r="E5380" s="144"/>
      <c r="F5380" s="373"/>
      <c r="H5380" s="2168"/>
      <c r="I5380" s="70"/>
    </row>
    <row r="5381" spans="3:9" s="46" customFormat="1" x14ac:dyDescent="0.2">
      <c r="C5381" s="144"/>
      <c r="D5381" s="144"/>
      <c r="E5381" s="144"/>
      <c r="F5381" s="373"/>
      <c r="H5381" s="2168"/>
      <c r="I5381" s="70"/>
    </row>
    <row r="5382" spans="3:9" s="46" customFormat="1" x14ac:dyDescent="0.2">
      <c r="C5382" s="144"/>
      <c r="D5382" s="144"/>
      <c r="E5382" s="144"/>
      <c r="F5382" s="373"/>
      <c r="H5382" s="2168"/>
      <c r="I5382" s="70"/>
    </row>
    <row r="5383" spans="3:9" s="46" customFormat="1" x14ac:dyDescent="0.2">
      <c r="C5383" s="144"/>
      <c r="D5383" s="144"/>
      <c r="E5383" s="144"/>
      <c r="F5383" s="373"/>
      <c r="H5383" s="2168"/>
      <c r="I5383" s="70"/>
    </row>
    <row r="5384" spans="3:9" s="46" customFormat="1" x14ac:dyDescent="0.2">
      <c r="C5384" s="144"/>
      <c r="D5384" s="144"/>
      <c r="E5384" s="144"/>
      <c r="F5384" s="373"/>
      <c r="H5384" s="2168"/>
      <c r="I5384" s="70"/>
    </row>
    <row r="5385" spans="3:9" s="46" customFormat="1" x14ac:dyDescent="0.2">
      <c r="C5385" s="144"/>
      <c r="D5385" s="144"/>
      <c r="E5385" s="144"/>
      <c r="F5385" s="373"/>
      <c r="H5385" s="2168"/>
      <c r="I5385" s="70"/>
    </row>
    <row r="5386" spans="3:9" s="46" customFormat="1" x14ac:dyDescent="0.2">
      <c r="C5386" s="144"/>
      <c r="D5386" s="144"/>
      <c r="E5386" s="144"/>
      <c r="F5386" s="373"/>
      <c r="H5386" s="2168"/>
      <c r="I5386" s="70"/>
    </row>
    <row r="5387" spans="3:9" s="46" customFormat="1" x14ac:dyDescent="0.2">
      <c r="C5387" s="144"/>
      <c r="D5387" s="144"/>
      <c r="E5387" s="144"/>
      <c r="F5387" s="373"/>
      <c r="H5387" s="2168"/>
      <c r="I5387" s="70"/>
    </row>
    <row r="5388" spans="3:9" s="46" customFormat="1" x14ac:dyDescent="0.2">
      <c r="C5388" s="144"/>
      <c r="D5388" s="144"/>
      <c r="E5388" s="144"/>
      <c r="F5388" s="373"/>
      <c r="H5388" s="2168"/>
      <c r="I5388" s="70"/>
    </row>
    <row r="5389" spans="3:9" s="46" customFormat="1" x14ac:dyDescent="0.2">
      <c r="C5389" s="144"/>
      <c r="D5389" s="144"/>
      <c r="E5389" s="144"/>
      <c r="F5389" s="373"/>
      <c r="H5389" s="2168"/>
      <c r="I5389" s="70"/>
    </row>
    <row r="5390" spans="3:9" s="46" customFormat="1" x14ac:dyDescent="0.2">
      <c r="C5390" s="144"/>
      <c r="D5390" s="144"/>
      <c r="E5390" s="144"/>
      <c r="F5390" s="373"/>
      <c r="H5390" s="2168"/>
      <c r="I5390" s="70"/>
    </row>
    <row r="5391" spans="3:9" s="46" customFormat="1" x14ac:dyDescent="0.2">
      <c r="C5391" s="144"/>
      <c r="D5391" s="144"/>
      <c r="E5391" s="144"/>
      <c r="F5391" s="373"/>
      <c r="H5391" s="2168"/>
      <c r="I5391" s="70"/>
    </row>
    <row r="5392" spans="3:9" s="46" customFormat="1" x14ac:dyDescent="0.2">
      <c r="C5392" s="144"/>
      <c r="D5392" s="144"/>
      <c r="E5392" s="144"/>
      <c r="F5392" s="373"/>
      <c r="H5392" s="2168"/>
      <c r="I5392" s="70"/>
    </row>
    <row r="5393" spans="3:9" s="46" customFormat="1" x14ac:dyDescent="0.2">
      <c r="C5393" s="144"/>
      <c r="D5393" s="144"/>
      <c r="E5393" s="144"/>
      <c r="F5393" s="373"/>
      <c r="H5393" s="2168"/>
      <c r="I5393" s="70"/>
    </row>
    <row r="5394" spans="3:9" s="46" customFormat="1" x14ac:dyDescent="0.2">
      <c r="C5394" s="144"/>
      <c r="D5394" s="144"/>
      <c r="E5394" s="144"/>
      <c r="F5394" s="373"/>
      <c r="H5394" s="2168"/>
      <c r="I5394" s="70"/>
    </row>
    <row r="5395" spans="3:9" s="46" customFormat="1" x14ac:dyDescent="0.2">
      <c r="C5395" s="144"/>
      <c r="D5395" s="144"/>
      <c r="E5395" s="144"/>
      <c r="F5395" s="373"/>
      <c r="H5395" s="2168"/>
      <c r="I5395" s="70"/>
    </row>
    <row r="5396" spans="3:9" s="46" customFormat="1" x14ac:dyDescent="0.2">
      <c r="C5396" s="144"/>
      <c r="D5396" s="144"/>
      <c r="E5396" s="144"/>
      <c r="F5396" s="373"/>
      <c r="H5396" s="2168"/>
      <c r="I5396" s="70"/>
    </row>
    <row r="5397" spans="3:9" s="46" customFormat="1" x14ac:dyDescent="0.2">
      <c r="C5397" s="144"/>
      <c r="D5397" s="144"/>
      <c r="E5397" s="144"/>
      <c r="F5397" s="373"/>
      <c r="H5397" s="2168"/>
      <c r="I5397" s="70"/>
    </row>
    <row r="5398" spans="3:9" s="46" customFormat="1" x14ac:dyDescent="0.2">
      <c r="C5398" s="144"/>
      <c r="D5398" s="144"/>
      <c r="E5398" s="144"/>
      <c r="F5398" s="373"/>
      <c r="H5398" s="2168"/>
      <c r="I5398" s="70"/>
    </row>
    <row r="5399" spans="3:9" s="46" customFormat="1" x14ac:dyDescent="0.2">
      <c r="C5399" s="144"/>
      <c r="D5399" s="144"/>
      <c r="E5399" s="144"/>
      <c r="F5399" s="373"/>
      <c r="H5399" s="2168"/>
      <c r="I5399" s="70"/>
    </row>
    <row r="5400" spans="3:9" s="46" customFormat="1" x14ac:dyDescent="0.2">
      <c r="C5400" s="144"/>
      <c r="D5400" s="144"/>
      <c r="E5400" s="144"/>
      <c r="F5400" s="373"/>
      <c r="H5400" s="2168"/>
      <c r="I5400" s="70"/>
    </row>
    <row r="5401" spans="3:9" s="46" customFormat="1" x14ac:dyDescent="0.2">
      <c r="C5401" s="144"/>
      <c r="D5401" s="144"/>
      <c r="E5401" s="144"/>
      <c r="F5401" s="373"/>
      <c r="H5401" s="2168"/>
      <c r="I5401" s="70"/>
    </row>
    <row r="5402" spans="3:9" s="46" customFormat="1" x14ac:dyDescent="0.2">
      <c r="C5402" s="144"/>
      <c r="D5402" s="144"/>
      <c r="E5402" s="144"/>
      <c r="F5402" s="373"/>
      <c r="H5402" s="2168"/>
      <c r="I5402" s="70"/>
    </row>
    <row r="5403" spans="3:9" s="46" customFormat="1" x14ac:dyDescent="0.2">
      <c r="C5403" s="144"/>
      <c r="D5403" s="144"/>
      <c r="E5403" s="144"/>
      <c r="F5403" s="373"/>
      <c r="H5403" s="2168"/>
      <c r="I5403" s="70"/>
    </row>
    <row r="5404" spans="3:9" s="46" customFormat="1" x14ac:dyDescent="0.2">
      <c r="C5404" s="144"/>
      <c r="D5404" s="144"/>
      <c r="E5404" s="144"/>
      <c r="F5404" s="373"/>
      <c r="H5404" s="2168"/>
      <c r="I5404" s="70"/>
    </row>
    <row r="5405" spans="3:9" s="46" customFormat="1" x14ac:dyDescent="0.2">
      <c r="C5405" s="144"/>
      <c r="D5405" s="144"/>
      <c r="E5405" s="144"/>
      <c r="F5405" s="373"/>
      <c r="H5405" s="2168"/>
      <c r="I5405" s="70"/>
    </row>
    <row r="5406" spans="3:9" s="46" customFormat="1" x14ac:dyDescent="0.2">
      <c r="C5406" s="144"/>
      <c r="D5406" s="144"/>
      <c r="E5406" s="144"/>
      <c r="F5406" s="373"/>
      <c r="H5406" s="2168"/>
      <c r="I5406" s="70"/>
    </row>
    <row r="5407" spans="3:9" s="46" customFormat="1" x14ac:dyDescent="0.2">
      <c r="C5407" s="144"/>
      <c r="D5407" s="144"/>
      <c r="E5407" s="144"/>
      <c r="F5407" s="373"/>
      <c r="H5407" s="2168"/>
      <c r="I5407" s="70"/>
    </row>
    <row r="5408" spans="3:9" s="46" customFormat="1" x14ac:dyDescent="0.2">
      <c r="C5408" s="144"/>
      <c r="D5408" s="144"/>
      <c r="E5408" s="144"/>
      <c r="F5408" s="373"/>
      <c r="H5408" s="2168"/>
      <c r="I5408" s="70"/>
    </row>
    <row r="5409" spans="3:9" s="46" customFormat="1" x14ac:dyDescent="0.2">
      <c r="C5409" s="144"/>
      <c r="D5409" s="144"/>
      <c r="E5409" s="144"/>
      <c r="F5409" s="373"/>
      <c r="H5409" s="2168"/>
      <c r="I5409" s="70"/>
    </row>
    <row r="5410" spans="3:9" s="46" customFormat="1" x14ac:dyDescent="0.2">
      <c r="C5410" s="144"/>
      <c r="D5410" s="144"/>
      <c r="E5410" s="144"/>
      <c r="F5410" s="373"/>
      <c r="H5410" s="2168"/>
      <c r="I5410" s="70"/>
    </row>
    <row r="5411" spans="3:9" s="46" customFormat="1" x14ac:dyDescent="0.2">
      <c r="C5411" s="144"/>
      <c r="D5411" s="144"/>
      <c r="E5411" s="144"/>
      <c r="F5411" s="373"/>
      <c r="H5411" s="2168"/>
      <c r="I5411" s="70"/>
    </row>
    <row r="5412" spans="3:9" s="46" customFormat="1" x14ac:dyDescent="0.2">
      <c r="C5412" s="144"/>
      <c r="D5412" s="144"/>
      <c r="E5412" s="144"/>
      <c r="F5412" s="373"/>
      <c r="H5412" s="2168"/>
      <c r="I5412" s="70"/>
    </row>
    <row r="5413" spans="3:9" s="46" customFormat="1" x14ac:dyDescent="0.2">
      <c r="C5413" s="144"/>
      <c r="D5413" s="144"/>
      <c r="E5413" s="144"/>
      <c r="F5413" s="373"/>
      <c r="H5413" s="2168"/>
      <c r="I5413" s="70"/>
    </row>
    <row r="5414" spans="3:9" s="46" customFormat="1" x14ac:dyDescent="0.2">
      <c r="C5414" s="144"/>
      <c r="D5414" s="144"/>
      <c r="E5414" s="144"/>
      <c r="F5414" s="373"/>
      <c r="H5414" s="2168"/>
      <c r="I5414" s="70"/>
    </row>
    <row r="5415" spans="3:9" s="46" customFormat="1" x14ac:dyDescent="0.2">
      <c r="C5415" s="144"/>
      <c r="D5415" s="144"/>
      <c r="E5415" s="144"/>
      <c r="F5415" s="373"/>
      <c r="H5415" s="2168"/>
      <c r="I5415" s="70"/>
    </row>
    <row r="5416" spans="3:9" s="46" customFormat="1" x14ac:dyDescent="0.2">
      <c r="C5416" s="144"/>
      <c r="D5416" s="144"/>
      <c r="E5416" s="144"/>
      <c r="F5416" s="373"/>
      <c r="H5416" s="2168"/>
      <c r="I5416" s="70"/>
    </row>
    <row r="5417" spans="3:9" s="46" customFormat="1" x14ac:dyDescent="0.2">
      <c r="C5417" s="144"/>
      <c r="D5417" s="144"/>
      <c r="E5417" s="144"/>
      <c r="F5417" s="373"/>
      <c r="H5417" s="2168"/>
      <c r="I5417" s="70"/>
    </row>
    <row r="5418" spans="3:9" s="46" customFormat="1" x14ac:dyDescent="0.2">
      <c r="C5418" s="144"/>
      <c r="D5418" s="144"/>
      <c r="E5418" s="144"/>
      <c r="F5418" s="373"/>
      <c r="H5418" s="2168"/>
      <c r="I5418" s="70"/>
    </row>
    <row r="5419" spans="3:9" s="46" customFormat="1" x14ac:dyDescent="0.2">
      <c r="C5419" s="144"/>
      <c r="D5419" s="144"/>
      <c r="E5419" s="144"/>
      <c r="F5419" s="373"/>
      <c r="H5419" s="2168"/>
      <c r="I5419" s="70"/>
    </row>
    <row r="5420" spans="3:9" s="46" customFormat="1" x14ac:dyDescent="0.2">
      <c r="C5420" s="144"/>
      <c r="D5420" s="144"/>
      <c r="E5420" s="144"/>
      <c r="F5420" s="373"/>
      <c r="H5420" s="2168"/>
      <c r="I5420" s="70"/>
    </row>
    <row r="5421" spans="3:9" s="46" customFormat="1" x14ac:dyDescent="0.2">
      <c r="C5421" s="144"/>
      <c r="D5421" s="144"/>
      <c r="E5421" s="144"/>
      <c r="F5421" s="373"/>
      <c r="H5421" s="2168"/>
      <c r="I5421" s="70"/>
    </row>
    <row r="5422" spans="3:9" s="46" customFormat="1" x14ac:dyDescent="0.2">
      <c r="C5422" s="144"/>
      <c r="D5422" s="144"/>
      <c r="E5422" s="144"/>
      <c r="F5422" s="373"/>
      <c r="H5422" s="2168"/>
      <c r="I5422" s="70"/>
    </row>
    <row r="5423" spans="3:9" s="46" customFormat="1" x14ac:dyDescent="0.2">
      <c r="C5423" s="144"/>
      <c r="D5423" s="144"/>
      <c r="E5423" s="144"/>
      <c r="F5423" s="373"/>
      <c r="H5423" s="2168"/>
      <c r="I5423" s="70"/>
    </row>
    <row r="5424" spans="3:9" s="46" customFormat="1" x14ac:dyDescent="0.2">
      <c r="C5424" s="144"/>
      <c r="D5424" s="144"/>
      <c r="E5424" s="144"/>
      <c r="F5424" s="373"/>
      <c r="H5424" s="2168"/>
      <c r="I5424" s="70"/>
    </row>
    <row r="5425" spans="3:9" s="46" customFormat="1" x14ac:dyDescent="0.2">
      <c r="C5425" s="144"/>
      <c r="D5425" s="144"/>
      <c r="E5425" s="144"/>
      <c r="F5425" s="373"/>
      <c r="H5425" s="2168"/>
      <c r="I5425" s="70"/>
    </row>
    <row r="5426" spans="3:9" s="46" customFormat="1" x14ac:dyDescent="0.2">
      <c r="C5426" s="144"/>
      <c r="D5426" s="144"/>
      <c r="E5426" s="144"/>
      <c r="F5426" s="373"/>
      <c r="H5426" s="2168"/>
      <c r="I5426" s="70"/>
    </row>
    <row r="5427" spans="3:9" s="46" customFormat="1" x14ac:dyDescent="0.2">
      <c r="C5427" s="144"/>
      <c r="D5427" s="144"/>
      <c r="E5427" s="144"/>
      <c r="F5427" s="373"/>
      <c r="H5427" s="2168"/>
      <c r="I5427" s="70"/>
    </row>
    <row r="5428" spans="3:9" s="46" customFormat="1" x14ac:dyDescent="0.2">
      <c r="C5428" s="144"/>
      <c r="D5428" s="144"/>
      <c r="E5428" s="144"/>
      <c r="F5428" s="373"/>
      <c r="H5428" s="2168"/>
      <c r="I5428" s="70"/>
    </row>
    <row r="5429" spans="3:9" s="46" customFormat="1" x14ac:dyDescent="0.2">
      <c r="C5429" s="144"/>
      <c r="D5429" s="144"/>
      <c r="E5429" s="144"/>
      <c r="F5429" s="373"/>
      <c r="H5429" s="2168"/>
      <c r="I5429" s="70"/>
    </row>
    <row r="5430" spans="3:9" s="46" customFormat="1" x14ac:dyDescent="0.2">
      <c r="C5430" s="144"/>
      <c r="D5430" s="144"/>
      <c r="E5430" s="144"/>
      <c r="F5430" s="373"/>
      <c r="H5430" s="2168"/>
      <c r="I5430" s="70"/>
    </row>
    <row r="5431" spans="3:9" s="46" customFormat="1" x14ac:dyDescent="0.2">
      <c r="C5431" s="144"/>
      <c r="D5431" s="144"/>
      <c r="E5431" s="144"/>
      <c r="F5431" s="373"/>
      <c r="H5431" s="2168"/>
      <c r="I5431" s="70"/>
    </row>
    <row r="5432" spans="3:9" s="46" customFormat="1" x14ac:dyDescent="0.2">
      <c r="C5432" s="144"/>
      <c r="D5432" s="144"/>
      <c r="E5432" s="144"/>
      <c r="F5432" s="373"/>
      <c r="H5432" s="2168"/>
      <c r="I5432" s="70"/>
    </row>
    <row r="5433" spans="3:9" s="46" customFormat="1" x14ac:dyDescent="0.2">
      <c r="C5433" s="144"/>
      <c r="D5433" s="144"/>
      <c r="E5433" s="144"/>
      <c r="F5433" s="373"/>
      <c r="H5433" s="2168"/>
      <c r="I5433" s="70"/>
    </row>
    <row r="5434" spans="3:9" s="46" customFormat="1" x14ac:dyDescent="0.2">
      <c r="C5434" s="144"/>
      <c r="D5434" s="144"/>
      <c r="E5434" s="144"/>
      <c r="F5434" s="373"/>
      <c r="H5434" s="2168"/>
      <c r="I5434" s="70"/>
    </row>
    <row r="5435" spans="3:9" s="46" customFormat="1" x14ac:dyDescent="0.2">
      <c r="C5435" s="144"/>
      <c r="D5435" s="144"/>
      <c r="E5435" s="144"/>
      <c r="F5435" s="373"/>
      <c r="H5435" s="2168"/>
      <c r="I5435" s="70"/>
    </row>
    <row r="5436" spans="3:9" s="46" customFormat="1" x14ac:dyDescent="0.2">
      <c r="C5436" s="144"/>
      <c r="D5436" s="144"/>
      <c r="E5436" s="144"/>
      <c r="F5436" s="373"/>
      <c r="H5436" s="2168"/>
      <c r="I5436" s="70"/>
    </row>
    <row r="5437" spans="3:9" s="46" customFormat="1" x14ac:dyDescent="0.2">
      <c r="C5437" s="144"/>
      <c r="D5437" s="144"/>
      <c r="E5437" s="144"/>
      <c r="F5437" s="373"/>
      <c r="H5437" s="2168"/>
      <c r="I5437" s="70"/>
    </row>
    <row r="5438" spans="3:9" s="46" customFormat="1" x14ac:dyDescent="0.2">
      <c r="C5438" s="144"/>
      <c r="D5438" s="144"/>
      <c r="E5438" s="144"/>
      <c r="F5438" s="373"/>
      <c r="H5438" s="2168"/>
      <c r="I5438" s="70"/>
    </row>
    <row r="5439" spans="3:9" s="46" customFormat="1" x14ac:dyDescent="0.2">
      <c r="C5439" s="144"/>
      <c r="D5439" s="144"/>
      <c r="E5439" s="144"/>
      <c r="F5439" s="373"/>
      <c r="H5439" s="2168"/>
      <c r="I5439" s="70"/>
    </row>
    <row r="5440" spans="3:9" s="46" customFormat="1" x14ac:dyDescent="0.2">
      <c r="C5440" s="144"/>
      <c r="D5440" s="144"/>
      <c r="E5440" s="144"/>
      <c r="F5440" s="373"/>
      <c r="H5440" s="2168"/>
      <c r="I5440" s="70"/>
    </row>
    <row r="5441" spans="3:9" s="46" customFormat="1" x14ac:dyDescent="0.2">
      <c r="C5441" s="144"/>
      <c r="D5441" s="144"/>
      <c r="E5441" s="144"/>
      <c r="F5441" s="373"/>
      <c r="H5441" s="2168"/>
      <c r="I5441" s="70"/>
    </row>
    <row r="5442" spans="3:9" s="46" customFormat="1" x14ac:dyDescent="0.2">
      <c r="C5442" s="144"/>
      <c r="D5442" s="144"/>
      <c r="E5442" s="144"/>
      <c r="F5442" s="373"/>
      <c r="H5442" s="2168"/>
      <c r="I5442" s="70"/>
    </row>
    <row r="5443" spans="3:9" s="46" customFormat="1" x14ac:dyDescent="0.2">
      <c r="C5443" s="144"/>
      <c r="D5443" s="144"/>
      <c r="E5443" s="144"/>
      <c r="F5443" s="373"/>
      <c r="H5443" s="2168"/>
      <c r="I5443" s="70"/>
    </row>
    <row r="5444" spans="3:9" s="46" customFormat="1" x14ac:dyDescent="0.2">
      <c r="C5444" s="144"/>
      <c r="D5444" s="144"/>
      <c r="E5444" s="144"/>
      <c r="F5444" s="373"/>
      <c r="H5444" s="2168"/>
      <c r="I5444" s="70"/>
    </row>
    <row r="5445" spans="3:9" s="46" customFormat="1" x14ac:dyDescent="0.2">
      <c r="C5445" s="144"/>
      <c r="D5445" s="144"/>
      <c r="E5445" s="144"/>
      <c r="F5445" s="373"/>
      <c r="H5445" s="2168"/>
      <c r="I5445" s="70"/>
    </row>
    <row r="5446" spans="3:9" s="46" customFormat="1" x14ac:dyDescent="0.2">
      <c r="C5446" s="144"/>
      <c r="D5446" s="144"/>
      <c r="E5446" s="144"/>
      <c r="F5446" s="373"/>
      <c r="H5446" s="2168"/>
      <c r="I5446" s="70"/>
    </row>
    <row r="5447" spans="3:9" s="46" customFormat="1" x14ac:dyDescent="0.2">
      <c r="C5447" s="144"/>
      <c r="D5447" s="144"/>
      <c r="E5447" s="144"/>
      <c r="F5447" s="373"/>
      <c r="H5447" s="2168"/>
      <c r="I5447" s="70"/>
    </row>
    <row r="5448" spans="3:9" s="46" customFormat="1" x14ac:dyDescent="0.2">
      <c r="C5448" s="144"/>
      <c r="D5448" s="144"/>
      <c r="E5448" s="144"/>
      <c r="F5448" s="373"/>
      <c r="H5448" s="2168"/>
      <c r="I5448" s="70"/>
    </row>
    <row r="5449" spans="3:9" s="46" customFormat="1" x14ac:dyDescent="0.2">
      <c r="C5449" s="144"/>
      <c r="D5449" s="144"/>
      <c r="E5449" s="144"/>
      <c r="F5449" s="373"/>
      <c r="H5449" s="2168"/>
      <c r="I5449" s="70"/>
    </row>
    <row r="5450" spans="3:9" s="46" customFormat="1" x14ac:dyDescent="0.2">
      <c r="C5450" s="144"/>
      <c r="D5450" s="144"/>
      <c r="E5450" s="144"/>
      <c r="F5450" s="373"/>
      <c r="H5450" s="2168"/>
      <c r="I5450" s="70"/>
    </row>
    <row r="5451" spans="3:9" s="46" customFormat="1" x14ac:dyDescent="0.2">
      <c r="C5451" s="144"/>
      <c r="D5451" s="144"/>
      <c r="E5451" s="144"/>
      <c r="F5451" s="373"/>
      <c r="H5451" s="2168"/>
      <c r="I5451" s="70"/>
    </row>
    <row r="5452" spans="3:9" s="46" customFormat="1" x14ac:dyDescent="0.2">
      <c r="C5452" s="144"/>
      <c r="D5452" s="144"/>
      <c r="E5452" s="144"/>
      <c r="F5452" s="373"/>
      <c r="H5452" s="2168"/>
      <c r="I5452" s="70"/>
    </row>
    <row r="5453" spans="3:9" s="46" customFormat="1" x14ac:dyDescent="0.2">
      <c r="C5453" s="144"/>
      <c r="D5453" s="144"/>
      <c r="E5453" s="144"/>
      <c r="F5453" s="373"/>
      <c r="H5453" s="2168"/>
      <c r="I5453" s="70"/>
    </row>
    <row r="5454" spans="3:9" s="46" customFormat="1" x14ac:dyDescent="0.2">
      <c r="C5454" s="144"/>
      <c r="D5454" s="144"/>
      <c r="E5454" s="144"/>
      <c r="F5454" s="373"/>
      <c r="H5454" s="2168"/>
      <c r="I5454" s="70"/>
    </row>
    <row r="5455" spans="3:9" s="46" customFormat="1" x14ac:dyDescent="0.2">
      <c r="C5455" s="144"/>
      <c r="D5455" s="144"/>
      <c r="E5455" s="144"/>
      <c r="F5455" s="373"/>
      <c r="H5455" s="2168"/>
      <c r="I5455" s="70"/>
    </row>
    <row r="5456" spans="3:9" s="46" customFormat="1" x14ac:dyDescent="0.2">
      <c r="C5456" s="144"/>
      <c r="D5456" s="144"/>
      <c r="E5456" s="144"/>
      <c r="F5456" s="373"/>
      <c r="H5456" s="2168"/>
      <c r="I5456" s="70"/>
    </row>
    <row r="5457" spans="3:9" s="46" customFormat="1" x14ac:dyDescent="0.2">
      <c r="C5457" s="144"/>
      <c r="D5457" s="144"/>
      <c r="E5457" s="144"/>
      <c r="F5457" s="373"/>
      <c r="H5457" s="2168"/>
      <c r="I5457" s="70"/>
    </row>
    <row r="5458" spans="3:9" s="46" customFormat="1" x14ac:dyDescent="0.2">
      <c r="C5458" s="144"/>
      <c r="D5458" s="144"/>
      <c r="E5458" s="144"/>
      <c r="F5458" s="373"/>
      <c r="H5458" s="2168"/>
      <c r="I5458" s="70"/>
    </row>
    <row r="5459" spans="3:9" s="46" customFormat="1" x14ac:dyDescent="0.2">
      <c r="C5459" s="144"/>
      <c r="D5459" s="144"/>
      <c r="E5459" s="144"/>
      <c r="F5459" s="373"/>
      <c r="H5459" s="2168"/>
      <c r="I5459" s="70"/>
    </row>
    <row r="5460" spans="3:9" s="46" customFormat="1" x14ac:dyDescent="0.2">
      <c r="C5460" s="144"/>
      <c r="D5460" s="144"/>
      <c r="E5460" s="144"/>
      <c r="F5460" s="373"/>
      <c r="H5460" s="2168"/>
      <c r="I5460" s="70"/>
    </row>
    <row r="5461" spans="3:9" s="46" customFormat="1" x14ac:dyDescent="0.2">
      <c r="C5461" s="144"/>
      <c r="D5461" s="144"/>
      <c r="E5461" s="144"/>
      <c r="F5461" s="373"/>
      <c r="H5461" s="2168"/>
      <c r="I5461" s="70"/>
    </row>
    <row r="5462" spans="3:9" s="46" customFormat="1" x14ac:dyDescent="0.2">
      <c r="C5462" s="144"/>
      <c r="D5462" s="144"/>
      <c r="E5462" s="144"/>
      <c r="F5462" s="373"/>
      <c r="H5462" s="2168"/>
      <c r="I5462" s="70"/>
    </row>
    <row r="5463" spans="3:9" s="46" customFormat="1" x14ac:dyDescent="0.2">
      <c r="C5463" s="144"/>
      <c r="D5463" s="144"/>
      <c r="E5463" s="144"/>
      <c r="F5463" s="373"/>
      <c r="H5463" s="2168"/>
      <c r="I5463" s="70"/>
    </row>
    <row r="5464" spans="3:9" s="46" customFormat="1" x14ac:dyDescent="0.2">
      <c r="C5464" s="144"/>
      <c r="D5464" s="144"/>
      <c r="E5464" s="144"/>
      <c r="F5464" s="373"/>
      <c r="H5464" s="2168"/>
      <c r="I5464" s="70"/>
    </row>
    <row r="5465" spans="3:9" s="46" customFormat="1" x14ac:dyDescent="0.2">
      <c r="C5465" s="144"/>
      <c r="D5465" s="144"/>
      <c r="E5465" s="144"/>
      <c r="F5465" s="373"/>
      <c r="H5465" s="2168"/>
      <c r="I5465" s="70"/>
    </row>
    <row r="5466" spans="3:9" s="46" customFormat="1" x14ac:dyDescent="0.2">
      <c r="C5466" s="144"/>
      <c r="D5466" s="144"/>
      <c r="E5466" s="144"/>
      <c r="F5466" s="373"/>
      <c r="H5466" s="2168"/>
      <c r="I5466" s="70"/>
    </row>
    <row r="5467" spans="3:9" s="46" customFormat="1" x14ac:dyDescent="0.2">
      <c r="C5467" s="144"/>
      <c r="D5467" s="144"/>
      <c r="E5467" s="144"/>
      <c r="F5467" s="373"/>
      <c r="H5467" s="2168"/>
      <c r="I5467" s="70"/>
    </row>
    <row r="5468" spans="3:9" s="46" customFormat="1" x14ac:dyDescent="0.2">
      <c r="C5468" s="144"/>
      <c r="D5468" s="144"/>
      <c r="E5468" s="144"/>
      <c r="F5468" s="373"/>
      <c r="H5468" s="2168"/>
      <c r="I5468" s="70"/>
    </row>
    <row r="5469" spans="3:9" s="46" customFormat="1" x14ac:dyDescent="0.2">
      <c r="C5469" s="144"/>
      <c r="D5469" s="144"/>
      <c r="E5469" s="144"/>
      <c r="F5469" s="373"/>
      <c r="H5469" s="2168"/>
      <c r="I5469" s="70"/>
    </row>
    <row r="5470" spans="3:9" s="46" customFormat="1" x14ac:dyDescent="0.2">
      <c r="C5470" s="144"/>
      <c r="D5470" s="144"/>
      <c r="E5470" s="144"/>
      <c r="F5470" s="373"/>
      <c r="H5470" s="2168"/>
      <c r="I5470" s="70"/>
    </row>
    <row r="5471" spans="3:9" s="46" customFormat="1" x14ac:dyDescent="0.2">
      <c r="C5471" s="144"/>
      <c r="D5471" s="144"/>
      <c r="E5471" s="144"/>
      <c r="F5471" s="373"/>
      <c r="H5471" s="2168"/>
      <c r="I5471" s="70"/>
    </row>
    <row r="5472" spans="3:9" s="46" customFormat="1" x14ac:dyDescent="0.2">
      <c r="C5472" s="144"/>
      <c r="D5472" s="144"/>
      <c r="E5472" s="144"/>
      <c r="F5472" s="373"/>
      <c r="H5472" s="2168"/>
      <c r="I5472" s="70"/>
    </row>
    <row r="5473" spans="3:9" s="46" customFormat="1" x14ac:dyDescent="0.2">
      <c r="C5473" s="144"/>
      <c r="D5473" s="144"/>
      <c r="E5473" s="144"/>
      <c r="F5473" s="373"/>
      <c r="H5473" s="2168"/>
      <c r="I5473" s="70"/>
    </row>
    <row r="5474" spans="3:9" s="46" customFormat="1" x14ac:dyDescent="0.2">
      <c r="C5474" s="144"/>
      <c r="D5474" s="144"/>
      <c r="E5474" s="144"/>
      <c r="F5474" s="373"/>
      <c r="H5474" s="2168"/>
      <c r="I5474" s="70"/>
    </row>
    <row r="5475" spans="3:9" s="46" customFormat="1" x14ac:dyDescent="0.2">
      <c r="C5475" s="144"/>
      <c r="D5475" s="144"/>
      <c r="E5475" s="144"/>
      <c r="F5475" s="373"/>
      <c r="H5475" s="2168"/>
      <c r="I5475" s="70"/>
    </row>
    <row r="5476" spans="3:9" s="46" customFormat="1" x14ac:dyDescent="0.2">
      <c r="C5476" s="144"/>
      <c r="D5476" s="144"/>
      <c r="E5476" s="144"/>
      <c r="F5476" s="373"/>
      <c r="H5476" s="2168"/>
      <c r="I5476" s="70"/>
    </row>
    <row r="5477" spans="3:9" s="46" customFormat="1" x14ac:dyDescent="0.2">
      <c r="C5477" s="144"/>
      <c r="D5477" s="144"/>
      <c r="E5477" s="144"/>
      <c r="F5477" s="373"/>
      <c r="H5477" s="2168"/>
      <c r="I5477" s="70"/>
    </row>
    <row r="5478" spans="3:9" s="46" customFormat="1" x14ac:dyDescent="0.2">
      <c r="C5478" s="144"/>
      <c r="D5478" s="144"/>
      <c r="E5478" s="144"/>
      <c r="F5478" s="373"/>
      <c r="H5478" s="2168"/>
      <c r="I5478" s="70"/>
    </row>
    <row r="5479" spans="3:9" s="46" customFormat="1" x14ac:dyDescent="0.2">
      <c r="C5479" s="144"/>
      <c r="D5479" s="144"/>
      <c r="E5479" s="144"/>
      <c r="F5479" s="373"/>
      <c r="H5479" s="2168"/>
      <c r="I5479" s="70"/>
    </row>
    <row r="5480" spans="3:9" s="46" customFormat="1" x14ac:dyDescent="0.2">
      <c r="C5480" s="144"/>
      <c r="D5480" s="144"/>
      <c r="E5480" s="144"/>
      <c r="F5480" s="373"/>
      <c r="H5480" s="2168"/>
      <c r="I5480" s="70"/>
    </row>
    <row r="5481" spans="3:9" s="46" customFormat="1" x14ac:dyDescent="0.2">
      <c r="C5481" s="144"/>
      <c r="D5481" s="144"/>
      <c r="E5481" s="144"/>
      <c r="F5481" s="373"/>
      <c r="H5481" s="2168"/>
      <c r="I5481" s="70"/>
    </row>
    <row r="5482" spans="3:9" s="46" customFormat="1" x14ac:dyDescent="0.2">
      <c r="C5482" s="144"/>
      <c r="D5482" s="144"/>
      <c r="E5482" s="144"/>
      <c r="F5482" s="373"/>
      <c r="H5482" s="2168"/>
      <c r="I5482" s="70"/>
    </row>
    <row r="5483" spans="3:9" s="46" customFormat="1" x14ac:dyDescent="0.2">
      <c r="C5483" s="144"/>
      <c r="D5483" s="144"/>
      <c r="E5483" s="144"/>
      <c r="F5483" s="373"/>
      <c r="H5483" s="2168"/>
      <c r="I5483" s="70"/>
    </row>
    <row r="5484" spans="3:9" s="46" customFormat="1" x14ac:dyDescent="0.2">
      <c r="C5484" s="144"/>
      <c r="D5484" s="144"/>
      <c r="E5484" s="144"/>
      <c r="F5484" s="373"/>
      <c r="H5484" s="2168"/>
      <c r="I5484" s="70"/>
    </row>
    <row r="5485" spans="3:9" s="46" customFormat="1" x14ac:dyDescent="0.2">
      <c r="C5485" s="144"/>
      <c r="D5485" s="144"/>
      <c r="E5485" s="144"/>
      <c r="F5485" s="373"/>
      <c r="H5485" s="2168"/>
      <c r="I5485" s="70"/>
    </row>
    <row r="5486" spans="3:9" s="46" customFormat="1" x14ac:dyDescent="0.2">
      <c r="C5486" s="144"/>
      <c r="D5486" s="144"/>
      <c r="E5486" s="144"/>
      <c r="F5486" s="373"/>
      <c r="H5486" s="2168"/>
      <c r="I5486" s="70"/>
    </row>
    <row r="5487" spans="3:9" s="46" customFormat="1" x14ac:dyDescent="0.2">
      <c r="C5487" s="144"/>
      <c r="D5487" s="144"/>
      <c r="E5487" s="144"/>
      <c r="F5487" s="373"/>
      <c r="H5487" s="2168"/>
      <c r="I5487" s="70"/>
    </row>
    <row r="5488" spans="3:9" s="46" customFormat="1" x14ac:dyDescent="0.2">
      <c r="C5488" s="144"/>
      <c r="D5488" s="144"/>
      <c r="E5488" s="144"/>
      <c r="F5488" s="373"/>
      <c r="H5488" s="2168"/>
      <c r="I5488" s="70"/>
    </row>
    <row r="5489" spans="3:9" s="46" customFormat="1" x14ac:dyDescent="0.2">
      <c r="C5489" s="144"/>
      <c r="D5489" s="144"/>
      <c r="E5489" s="144"/>
      <c r="F5489" s="373"/>
      <c r="H5489" s="2168"/>
      <c r="I5489" s="70"/>
    </row>
    <row r="5490" spans="3:9" s="46" customFormat="1" x14ac:dyDescent="0.2">
      <c r="C5490" s="144"/>
      <c r="D5490" s="144"/>
      <c r="E5490" s="144"/>
      <c r="F5490" s="373"/>
      <c r="H5490" s="2168"/>
      <c r="I5490" s="70"/>
    </row>
    <row r="5491" spans="3:9" s="46" customFormat="1" x14ac:dyDescent="0.2">
      <c r="C5491" s="144"/>
      <c r="D5491" s="144"/>
      <c r="E5491" s="144"/>
      <c r="F5491" s="373"/>
      <c r="H5491" s="2168"/>
      <c r="I5491" s="70"/>
    </row>
    <row r="5492" spans="3:9" s="46" customFormat="1" x14ac:dyDescent="0.2">
      <c r="C5492" s="144"/>
      <c r="D5492" s="144"/>
      <c r="E5492" s="144"/>
      <c r="F5492" s="373"/>
      <c r="H5492" s="2168"/>
      <c r="I5492" s="70"/>
    </row>
    <row r="5493" spans="3:9" s="46" customFormat="1" x14ac:dyDescent="0.2">
      <c r="C5493" s="144"/>
      <c r="D5493" s="144"/>
      <c r="E5493" s="144"/>
      <c r="F5493" s="373"/>
      <c r="H5493" s="2168"/>
      <c r="I5493" s="70"/>
    </row>
    <row r="5494" spans="3:9" s="46" customFormat="1" x14ac:dyDescent="0.2">
      <c r="C5494" s="144"/>
      <c r="D5494" s="144"/>
      <c r="E5494" s="144"/>
      <c r="F5494" s="373"/>
      <c r="H5494" s="2168"/>
      <c r="I5494" s="70"/>
    </row>
    <row r="5495" spans="3:9" s="46" customFormat="1" x14ac:dyDescent="0.2">
      <c r="C5495" s="144"/>
      <c r="D5495" s="144"/>
      <c r="E5495" s="144"/>
      <c r="F5495" s="373"/>
      <c r="H5495" s="2168"/>
      <c r="I5495" s="70"/>
    </row>
    <row r="5496" spans="3:9" s="46" customFormat="1" x14ac:dyDescent="0.2">
      <c r="C5496" s="144"/>
      <c r="D5496" s="144"/>
      <c r="E5496" s="144"/>
      <c r="F5496" s="373"/>
      <c r="H5496" s="2168"/>
      <c r="I5496" s="70"/>
    </row>
    <row r="5497" spans="3:9" s="46" customFormat="1" x14ac:dyDescent="0.2">
      <c r="C5497" s="144"/>
      <c r="D5497" s="144"/>
      <c r="E5497" s="144"/>
      <c r="F5497" s="373"/>
      <c r="H5497" s="2168"/>
      <c r="I5497" s="70"/>
    </row>
    <row r="5498" spans="3:9" s="46" customFormat="1" x14ac:dyDescent="0.2">
      <c r="C5498" s="144"/>
      <c r="D5498" s="144"/>
      <c r="E5498" s="144"/>
      <c r="F5498" s="373"/>
      <c r="H5498" s="2168"/>
      <c r="I5498" s="70"/>
    </row>
    <row r="5499" spans="3:9" s="46" customFormat="1" x14ac:dyDescent="0.2">
      <c r="C5499" s="144"/>
      <c r="D5499" s="144"/>
      <c r="E5499" s="144"/>
      <c r="F5499" s="373"/>
      <c r="H5499" s="2168"/>
      <c r="I5499" s="70"/>
    </row>
    <row r="5500" spans="3:9" s="46" customFormat="1" x14ac:dyDescent="0.2">
      <c r="C5500" s="144"/>
      <c r="D5500" s="144"/>
      <c r="E5500" s="144"/>
      <c r="F5500" s="373"/>
      <c r="H5500" s="2168"/>
      <c r="I5500" s="70"/>
    </row>
    <row r="5501" spans="3:9" s="46" customFormat="1" x14ac:dyDescent="0.2">
      <c r="C5501" s="144"/>
      <c r="D5501" s="144"/>
      <c r="E5501" s="144"/>
      <c r="F5501" s="373"/>
      <c r="H5501" s="2168"/>
      <c r="I5501" s="70"/>
    </row>
    <row r="5502" spans="3:9" s="46" customFormat="1" x14ac:dyDescent="0.2">
      <c r="C5502" s="144"/>
      <c r="D5502" s="144"/>
      <c r="E5502" s="144"/>
      <c r="F5502" s="373"/>
      <c r="H5502" s="2168"/>
      <c r="I5502" s="70"/>
    </row>
    <row r="5503" spans="3:9" s="46" customFormat="1" x14ac:dyDescent="0.2">
      <c r="C5503" s="144"/>
      <c r="D5503" s="144"/>
      <c r="E5503" s="144"/>
      <c r="F5503" s="373"/>
      <c r="H5503" s="2168"/>
      <c r="I5503" s="70"/>
    </row>
    <row r="5504" spans="3:9" s="46" customFormat="1" x14ac:dyDescent="0.2">
      <c r="C5504" s="144"/>
      <c r="D5504" s="144"/>
      <c r="E5504" s="144"/>
      <c r="F5504" s="373"/>
      <c r="H5504" s="2168"/>
      <c r="I5504" s="70"/>
    </row>
    <row r="5505" spans="3:9" s="46" customFormat="1" x14ac:dyDescent="0.2">
      <c r="C5505" s="144"/>
      <c r="D5505" s="144"/>
      <c r="E5505" s="144"/>
      <c r="F5505" s="373"/>
      <c r="H5505" s="2168"/>
      <c r="I5505" s="70"/>
    </row>
    <row r="5506" spans="3:9" s="46" customFormat="1" x14ac:dyDescent="0.2">
      <c r="C5506" s="144"/>
      <c r="D5506" s="144"/>
      <c r="E5506" s="144"/>
      <c r="F5506" s="373"/>
      <c r="H5506" s="2168"/>
      <c r="I5506" s="70"/>
    </row>
    <row r="5507" spans="3:9" s="46" customFormat="1" x14ac:dyDescent="0.2">
      <c r="C5507" s="144"/>
      <c r="D5507" s="144"/>
      <c r="E5507" s="144"/>
      <c r="F5507" s="373"/>
      <c r="H5507" s="2168"/>
      <c r="I5507" s="70"/>
    </row>
    <row r="5508" spans="3:9" s="46" customFormat="1" x14ac:dyDescent="0.2">
      <c r="C5508" s="144"/>
      <c r="D5508" s="144"/>
      <c r="E5508" s="144"/>
      <c r="F5508" s="373"/>
      <c r="H5508" s="2168"/>
      <c r="I5508" s="70"/>
    </row>
    <row r="5509" spans="3:9" s="46" customFormat="1" x14ac:dyDescent="0.2">
      <c r="C5509" s="144"/>
      <c r="D5509" s="144"/>
      <c r="E5509" s="144"/>
      <c r="F5509" s="373"/>
      <c r="H5509" s="2168"/>
      <c r="I5509" s="70"/>
    </row>
    <row r="5510" spans="3:9" s="46" customFormat="1" x14ac:dyDescent="0.2">
      <c r="C5510" s="144"/>
      <c r="D5510" s="144"/>
      <c r="E5510" s="144"/>
      <c r="F5510" s="373"/>
      <c r="H5510" s="2168"/>
      <c r="I5510" s="70"/>
    </row>
    <row r="5511" spans="3:9" s="46" customFormat="1" x14ac:dyDescent="0.2">
      <c r="C5511" s="144"/>
      <c r="D5511" s="144"/>
      <c r="E5511" s="144"/>
      <c r="F5511" s="373"/>
      <c r="H5511" s="2168"/>
      <c r="I5511" s="70"/>
    </row>
    <row r="5512" spans="3:9" s="46" customFormat="1" x14ac:dyDescent="0.2">
      <c r="C5512" s="144"/>
      <c r="D5512" s="144"/>
      <c r="E5512" s="144"/>
      <c r="F5512" s="373"/>
      <c r="H5512" s="2168"/>
      <c r="I5512" s="70"/>
    </row>
    <row r="5513" spans="3:9" s="46" customFormat="1" x14ac:dyDescent="0.2">
      <c r="C5513" s="144"/>
      <c r="D5513" s="144"/>
      <c r="E5513" s="144"/>
      <c r="F5513" s="373"/>
      <c r="H5513" s="2168"/>
      <c r="I5513" s="70"/>
    </row>
    <row r="5514" spans="3:9" s="46" customFormat="1" x14ac:dyDescent="0.2">
      <c r="C5514" s="144"/>
      <c r="D5514" s="144"/>
      <c r="E5514" s="144"/>
      <c r="F5514" s="373"/>
      <c r="H5514" s="2168"/>
      <c r="I5514" s="70"/>
    </row>
    <row r="5515" spans="3:9" s="46" customFormat="1" x14ac:dyDescent="0.2">
      <c r="C5515" s="144"/>
      <c r="D5515" s="144"/>
      <c r="E5515" s="144"/>
      <c r="F5515" s="373"/>
      <c r="H5515" s="2168"/>
      <c r="I5515" s="70"/>
    </row>
    <row r="5516" spans="3:9" s="46" customFormat="1" x14ac:dyDescent="0.2">
      <c r="C5516" s="144"/>
      <c r="D5516" s="144"/>
      <c r="E5516" s="144"/>
      <c r="F5516" s="373"/>
      <c r="H5516" s="2168"/>
      <c r="I5516" s="70"/>
    </row>
    <row r="5517" spans="3:9" s="46" customFormat="1" x14ac:dyDescent="0.2">
      <c r="C5517" s="144"/>
      <c r="D5517" s="144"/>
      <c r="E5517" s="144"/>
      <c r="F5517" s="373"/>
      <c r="H5517" s="2168"/>
      <c r="I5517" s="70"/>
    </row>
    <row r="5518" spans="3:9" s="46" customFormat="1" x14ac:dyDescent="0.2">
      <c r="C5518" s="144"/>
      <c r="D5518" s="144"/>
      <c r="E5518" s="144"/>
      <c r="F5518" s="373"/>
      <c r="H5518" s="2168"/>
      <c r="I5518" s="70"/>
    </row>
    <row r="5519" spans="3:9" s="46" customFormat="1" x14ac:dyDescent="0.2">
      <c r="C5519" s="144"/>
      <c r="D5519" s="144"/>
      <c r="E5519" s="144"/>
      <c r="F5519" s="373"/>
      <c r="H5519" s="2168"/>
      <c r="I5519" s="70"/>
    </row>
    <row r="5520" spans="3:9" s="46" customFormat="1" x14ac:dyDescent="0.2">
      <c r="C5520" s="144"/>
      <c r="D5520" s="144"/>
      <c r="E5520" s="144"/>
      <c r="F5520" s="373"/>
      <c r="H5520" s="2168"/>
      <c r="I5520" s="70"/>
    </row>
    <row r="5521" spans="3:9" s="46" customFormat="1" x14ac:dyDescent="0.2">
      <c r="C5521" s="144"/>
      <c r="D5521" s="144"/>
      <c r="E5521" s="144"/>
      <c r="F5521" s="373"/>
      <c r="H5521" s="2168"/>
      <c r="I5521" s="70"/>
    </row>
    <row r="5522" spans="3:9" s="46" customFormat="1" x14ac:dyDescent="0.2">
      <c r="C5522" s="144"/>
      <c r="D5522" s="144"/>
      <c r="E5522" s="144"/>
      <c r="F5522" s="373"/>
      <c r="H5522" s="2168"/>
      <c r="I5522" s="70"/>
    </row>
    <row r="5523" spans="3:9" s="46" customFormat="1" x14ac:dyDescent="0.2">
      <c r="C5523" s="144"/>
      <c r="D5523" s="144"/>
      <c r="E5523" s="144"/>
      <c r="F5523" s="373"/>
      <c r="H5523" s="2168"/>
      <c r="I5523" s="70"/>
    </row>
    <row r="5524" spans="3:9" s="46" customFormat="1" x14ac:dyDescent="0.2">
      <c r="C5524" s="144"/>
      <c r="D5524" s="144"/>
      <c r="E5524" s="144"/>
      <c r="F5524" s="373"/>
      <c r="H5524" s="2168"/>
      <c r="I5524" s="70"/>
    </row>
    <row r="5525" spans="3:9" s="46" customFormat="1" x14ac:dyDescent="0.2">
      <c r="C5525" s="144"/>
      <c r="D5525" s="144"/>
      <c r="E5525" s="144"/>
      <c r="F5525" s="373"/>
      <c r="H5525" s="2168"/>
      <c r="I5525" s="70"/>
    </row>
    <row r="5526" spans="3:9" s="46" customFormat="1" x14ac:dyDescent="0.2">
      <c r="C5526" s="144"/>
      <c r="D5526" s="144"/>
      <c r="E5526" s="144"/>
      <c r="F5526" s="373"/>
      <c r="H5526" s="2168"/>
      <c r="I5526" s="70"/>
    </row>
    <row r="5527" spans="3:9" s="46" customFormat="1" x14ac:dyDescent="0.2">
      <c r="C5527" s="144"/>
      <c r="D5527" s="144"/>
      <c r="E5527" s="144"/>
      <c r="F5527" s="373"/>
      <c r="H5527" s="2168"/>
      <c r="I5527" s="70"/>
    </row>
    <row r="5528" spans="3:9" s="46" customFormat="1" x14ac:dyDescent="0.2">
      <c r="C5528" s="144"/>
      <c r="D5528" s="144"/>
      <c r="E5528" s="144"/>
      <c r="F5528" s="373"/>
      <c r="H5528" s="2168"/>
      <c r="I5528" s="70"/>
    </row>
    <row r="5529" spans="3:9" s="46" customFormat="1" x14ac:dyDescent="0.2">
      <c r="C5529" s="144"/>
      <c r="D5529" s="144"/>
      <c r="E5529" s="144"/>
      <c r="F5529" s="373"/>
      <c r="H5529" s="2168"/>
      <c r="I5529" s="70"/>
    </row>
    <row r="5530" spans="3:9" s="46" customFormat="1" x14ac:dyDescent="0.2">
      <c r="C5530" s="144"/>
      <c r="D5530" s="144"/>
      <c r="E5530" s="144"/>
      <c r="F5530" s="373"/>
      <c r="H5530" s="2168"/>
      <c r="I5530" s="70"/>
    </row>
    <row r="5531" spans="3:9" s="46" customFormat="1" x14ac:dyDescent="0.2">
      <c r="C5531" s="144"/>
      <c r="D5531" s="144"/>
      <c r="E5531" s="144"/>
      <c r="F5531" s="373"/>
      <c r="H5531" s="2168"/>
      <c r="I5531" s="70"/>
    </row>
    <row r="5532" spans="3:9" s="46" customFormat="1" x14ac:dyDescent="0.2">
      <c r="C5532" s="144"/>
      <c r="D5532" s="144"/>
      <c r="E5532" s="144"/>
      <c r="F5532" s="373"/>
      <c r="H5532" s="2168"/>
      <c r="I5532" s="70"/>
    </row>
    <row r="5533" spans="3:9" s="46" customFormat="1" x14ac:dyDescent="0.2">
      <c r="C5533" s="144"/>
      <c r="D5533" s="144"/>
      <c r="E5533" s="144"/>
      <c r="F5533" s="373"/>
      <c r="H5533" s="2168"/>
      <c r="I5533" s="70"/>
    </row>
    <row r="5534" spans="3:9" s="46" customFormat="1" x14ac:dyDescent="0.2">
      <c r="C5534" s="144"/>
      <c r="D5534" s="144"/>
      <c r="E5534" s="144"/>
      <c r="F5534" s="373"/>
      <c r="H5534" s="2168"/>
      <c r="I5534" s="70"/>
    </row>
    <row r="5535" spans="3:9" s="46" customFormat="1" x14ac:dyDescent="0.2">
      <c r="C5535" s="144"/>
      <c r="D5535" s="144"/>
      <c r="E5535" s="144"/>
      <c r="F5535" s="373"/>
      <c r="H5535" s="2168"/>
      <c r="I5535" s="70"/>
    </row>
    <row r="5536" spans="3:9" s="46" customFormat="1" x14ac:dyDescent="0.2">
      <c r="C5536" s="144"/>
      <c r="D5536" s="144"/>
      <c r="E5536" s="144"/>
      <c r="F5536" s="373"/>
      <c r="H5536" s="2168"/>
      <c r="I5536" s="70"/>
    </row>
    <row r="5537" spans="3:9" s="46" customFormat="1" x14ac:dyDescent="0.2">
      <c r="C5537" s="144"/>
      <c r="D5537" s="144"/>
      <c r="E5537" s="144"/>
      <c r="F5537" s="373"/>
      <c r="H5537" s="2168"/>
      <c r="I5537" s="70"/>
    </row>
    <row r="5538" spans="3:9" s="46" customFormat="1" x14ac:dyDescent="0.2">
      <c r="C5538" s="144"/>
      <c r="D5538" s="144"/>
      <c r="E5538" s="144"/>
      <c r="F5538" s="373"/>
      <c r="H5538" s="2168"/>
      <c r="I5538" s="70"/>
    </row>
    <row r="5539" spans="3:9" s="46" customFormat="1" x14ac:dyDescent="0.2">
      <c r="C5539" s="144"/>
      <c r="D5539" s="144"/>
      <c r="E5539" s="144"/>
      <c r="F5539" s="373"/>
      <c r="H5539" s="2168"/>
      <c r="I5539" s="70"/>
    </row>
    <row r="5540" spans="3:9" s="46" customFormat="1" x14ac:dyDescent="0.2">
      <c r="C5540" s="144"/>
      <c r="D5540" s="144"/>
      <c r="E5540" s="144"/>
      <c r="F5540" s="373"/>
      <c r="H5540" s="2168"/>
      <c r="I5540" s="70"/>
    </row>
    <row r="5541" spans="3:9" s="46" customFormat="1" x14ac:dyDescent="0.2">
      <c r="C5541" s="144"/>
      <c r="D5541" s="144"/>
      <c r="E5541" s="144"/>
      <c r="F5541" s="373"/>
      <c r="H5541" s="2168"/>
      <c r="I5541" s="70"/>
    </row>
    <row r="5542" spans="3:9" s="46" customFormat="1" x14ac:dyDescent="0.2">
      <c r="C5542" s="144"/>
      <c r="D5542" s="144"/>
      <c r="E5542" s="144"/>
      <c r="F5542" s="373"/>
      <c r="H5542" s="2168"/>
      <c r="I5542" s="70"/>
    </row>
    <row r="5543" spans="3:9" s="46" customFormat="1" x14ac:dyDescent="0.2">
      <c r="C5543" s="144"/>
      <c r="D5543" s="144"/>
      <c r="E5543" s="144"/>
      <c r="F5543" s="373"/>
      <c r="H5543" s="2168"/>
      <c r="I5543" s="70"/>
    </row>
    <row r="5544" spans="3:9" s="46" customFormat="1" x14ac:dyDescent="0.2">
      <c r="C5544" s="144"/>
      <c r="D5544" s="144"/>
      <c r="E5544" s="144"/>
      <c r="F5544" s="373"/>
      <c r="H5544" s="2168"/>
      <c r="I5544" s="70"/>
    </row>
    <row r="5545" spans="3:9" s="46" customFormat="1" x14ac:dyDescent="0.2">
      <c r="C5545" s="144"/>
      <c r="D5545" s="144"/>
      <c r="E5545" s="144"/>
      <c r="F5545" s="373"/>
      <c r="H5545" s="2168"/>
      <c r="I5545" s="70"/>
    </row>
    <row r="5546" spans="3:9" s="46" customFormat="1" x14ac:dyDescent="0.2">
      <c r="C5546" s="144"/>
      <c r="D5546" s="144"/>
      <c r="E5546" s="144"/>
      <c r="F5546" s="373"/>
      <c r="H5546" s="2168"/>
      <c r="I5546" s="70"/>
    </row>
    <row r="5547" spans="3:9" s="46" customFormat="1" x14ac:dyDescent="0.2">
      <c r="C5547" s="144"/>
      <c r="D5547" s="144"/>
      <c r="E5547" s="144"/>
      <c r="F5547" s="373"/>
      <c r="H5547" s="2168"/>
      <c r="I5547" s="70"/>
    </row>
    <row r="5548" spans="3:9" s="46" customFormat="1" x14ac:dyDescent="0.2">
      <c r="C5548" s="144"/>
      <c r="D5548" s="144"/>
      <c r="E5548" s="144"/>
      <c r="F5548" s="373"/>
      <c r="H5548" s="2168"/>
      <c r="I5548" s="70"/>
    </row>
    <row r="5549" spans="3:9" s="46" customFormat="1" x14ac:dyDescent="0.2">
      <c r="C5549" s="144"/>
      <c r="D5549" s="144"/>
      <c r="E5549" s="144"/>
      <c r="F5549" s="373"/>
      <c r="H5549" s="2168"/>
      <c r="I5549" s="70"/>
    </row>
    <row r="5550" spans="3:9" s="46" customFormat="1" x14ac:dyDescent="0.2">
      <c r="C5550" s="144"/>
      <c r="D5550" s="144"/>
      <c r="E5550" s="144"/>
      <c r="F5550" s="373"/>
      <c r="H5550" s="2168"/>
      <c r="I5550" s="70"/>
    </row>
    <row r="5551" spans="3:9" s="46" customFormat="1" x14ac:dyDescent="0.2">
      <c r="C5551" s="144"/>
      <c r="D5551" s="144"/>
      <c r="E5551" s="144"/>
      <c r="F5551" s="373"/>
      <c r="H5551" s="2168"/>
      <c r="I5551" s="70"/>
    </row>
    <row r="5552" spans="3:9" s="46" customFormat="1" x14ac:dyDescent="0.2">
      <c r="C5552" s="144"/>
      <c r="D5552" s="144"/>
      <c r="E5552" s="144"/>
      <c r="F5552" s="373"/>
      <c r="H5552" s="2168"/>
      <c r="I5552" s="70"/>
    </row>
    <row r="5553" spans="3:9" s="46" customFormat="1" x14ac:dyDescent="0.2">
      <c r="C5553" s="144"/>
      <c r="D5553" s="144"/>
      <c r="E5553" s="144"/>
      <c r="F5553" s="373"/>
      <c r="H5553" s="2168"/>
      <c r="I5553" s="70"/>
    </row>
    <row r="5554" spans="3:9" s="46" customFormat="1" x14ac:dyDescent="0.2">
      <c r="C5554" s="144"/>
      <c r="D5554" s="144"/>
      <c r="E5554" s="144"/>
      <c r="F5554" s="373"/>
      <c r="H5554" s="2168"/>
      <c r="I5554" s="70"/>
    </row>
    <row r="5555" spans="3:9" s="46" customFormat="1" x14ac:dyDescent="0.2">
      <c r="C5555" s="144"/>
      <c r="D5555" s="144"/>
      <c r="E5555" s="144"/>
      <c r="F5555" s="373"/>
      <c r="H5555" s="2168"/>
      <c r="I5555" s="70"/>
    </row>
    <row r="5556" spans="3:9" s="46" customFormat="1" x14ac:dyDescent="0.2">
      <c r="C5556" s="144"/>
      <c r="D5556" s="144"/>
      <c r="E5556" s="144"/>
      <c r="F5556" s="373"/>
      <c r="H5556" s="2168"/>
      <c r="I5556" s="70"/>
    </row>
    <row r="5557" spans="3:9" s="46" customFormat="1" x14ac:dyDescent="0.2">
      <c r="C5557" s="144"/>
      <c r="D5557" s="144"/>
      <c r="E5557" s="144"/>
      <c r="F5557" s="373"/>
      <c r="H5557" s="2168"/>
      <c r="I5557" s="70"/>
    </row>
    <row r="5558" spans="3:9" s="46" customFormat="1" x14ac:dyDescent="0.2">
      <c r="C5558" s="144"/>
      <c r="D5558" s="144"/>
      <c r="E5558" s="144"/>
      <c r="F5558" s="373"/>
      <c r="H5558" s="2168"/>
      <c r="I5558" s="70"/>
    </row>
    <row r="5559" spans="3:9" s="46" customFormat="1" x14ac:dyDescent="0.2">
      <c r="C5559" s="144"/>
      <c r="D5559" s="144"/>
      <c r="E5559" s="144"/>
      <c r="F5559" s="373"/>
      <c r="H5559" s="2168"/>
      <c r="I5559" s="70"/>
    </row>
    <row r="5560" spans="3:9" s="46" customFormat="1" x14ac:dyDescent="0.2">
      <c r="C5560" s="144"/>
      <c r="D5560" s="144"/>
      <c r="E5560" s="144"/>
      <c r="F5560" s="373"/>
      <c r="H5560" s="2168"/>
      <c r="I5560" s="70"/>
    </row>
    <row r="5561" spans="3:9" s="46" customFormat="1" x14ac:dyDescent="0.2">
      <c r="C5561" s="144"/>
      <c r="D5561" s="144"/>
      <c r="E5561" s="144"/>
      <c r="F5561" s="373"/>
      <c r="H5561" s="2168"/>
      <c r="I5561" s="70"/>
    </row>
    <row r="5562" spans="3:9" s="46" customFormat="1" x14ac:dyDescent="0.2">
      <c r="C5562" s="144"/>
      <c r="D5562" s="144"/>
      <c r="E5562" s="144"/>
      <c r="F5562" s="373"/>
      <c r="H5562" s="2168"/>
      <c r="I5562" s="70"/>
    </row>
    <row r="5563" spans="3:9" s="46" customFormat="1" x14ac:dyDescent="0.2">
      <c r="C5563" s="144"/>
      <c r="D5563" s="144"/>
      <c r="E5563" s="144"/>
      <c r="F5563" s="373"/>
      <c r="H5563" s="2168"/>
      <c r="I5563" s="70"/>
    </row>
    <row r="5564" spans="3:9" s="46" customFormat="1" x14ac:dyDescent="0.2">
      <c r="C5564" s="144"/>
      <c r="D5564" s="144"/>
      <c r="E5564" s="144"/>
      <c r="F5564" s="373"/>
      <c r="H5564" s="2168"/>
      <c r="I5564" s="70"/>
    </row>
    <row r="5565" spans="3:9" s="46" customFormat="1" x14ac:dyDescent="0.2">
      <c r="C5565" s="144"/>
      <c r="D5565" s="144"/>
      <c r="E5565" s="144"/>
      <c r="F5565" s="373"/>
      <c r="H5565" s="2168"/>
      <c r="I5565" s="70"/>
    </row>
    <row r="5566" spans="3:9" s="46" customFormat="1" x14ac:dyDescent="0.2">
      <c r="C5566" s="144"/>
      <c r="D5566" s="144"/>
      <c r="E5566" s="144"/>
      <c r="F5566" s="373"/>
      <c r="H5566" s="2168"/>
      <c r="I5566" s="70"/>
    </row>
    <row r="5567" spans="3:9" s="46" customFormat="1" x14ac:dyDescent="0.2">
      <c r="C5567" s="144"/>
      <c r="D5567" s="144"/>
      <c r="E5567" s="144"/>
      <c r="F5567" s="373"/>
      <c r="H5567" s="2168"/>
      <c r="I5567" s="70"/>
    </row>
    <row r="5568" spans="3:9" s="46" customFormat="1" x14ac:dyDescent="0.2">
      <c r="C5568" s="144"/>
      <c r="D5568" s="144"/>
      <c r="E5568" s="144"/>
      <c r="F5568" s="373"/>
      <c r="H5568" s="2168"/>
      <c r="I5568" s="70"/>
    </row>
    <row r="5569" spans="3:9" s="46" customFormat="1" x14ac:dyDescent="0.2">
      <c r="C5569" s="144"/>
      <c r="D5569" s="144"/>
      <c r="E5569" s="144"/>
      <c r="F5569" s="373"/>
      <c r="H5569" s="2168"/>
      <c r="I5569" s="70"/>
    </row>
    <row r="5570" spans="3:9" s="46" customFormat="1" x14ac:dyDescent="0.2">
      <c r="C5570" s="144"/>
      <c r="D5570" s="144"/>
      <c r="E5570" s="144"/>
      <c r="F5570" s="373"/>
      <c r="H5570" s="2168"/>
      <c r="I5570" s="70"/>
    </row>
    <row r="5571" spans="3:9" s="46" customFormat="1" x14ac:dyDescent="0.2">
      <c r="C5571" s="144"/>
      <c r="D5571" s="144"/>
      <c r="E5571" s="144"/>
      <c r="F5571" s="373"/>
      <c r="H5571" s="2168"/>
      <c r="I5571" s="70"/>
    </row>
    <row r="5572" spans="3:9" s="46" customFormat="1" x14ac:dyDescent="0.2">
      <c r="C5572" s="144"/>
      <c r="D5572" s="144"/>
      <c r="E5572" s="144"/>
      <c r="F5572" s="373"/>
      <c r="H5572" s="2168"/>
      <c r="I5572" s="70"/>
    </row>
    <row r="5573" spans="3:9" s="46" customFormat="1" x14ac:dyDescent="0.2">
      <c r="C5573" s="144"/>
      <c r="D5573" s="144"/>
      <c r="E5573" s="144"/>
      <c r="F5573" s="373"/>
      <c r="H5573" s="2168"/>
      <c r="I5573" s="70"/>
    </row>
    <row r="5574" spans="3:9" s="46" customFormat="1" x14ac:dyDescent="0.2">
      <c r="C5574" s="144"/>
      <c r="D5574" s="144"/>
      <c r="E5574" s="144"/>
      <c r="F5574" s="373"/>
      <c r="H5574" s="2168"/>
      <c r="I5574" s="70"/>
    </row>
    <row r="5575" spans="3:9" s="46" customFormat="1" x14ac:dyDescent="0.2">
      <c r="C5575" s="144"/>
      <c r="D5575" s="144"/>
      <c r="E5575" s="144"/>
      <c r="F5575" s="373"/>
      <c r="H5575" s="2168"/>
      <c r="I5575" s="70"/>
    </row>
    <row r="5576" spans="3:9" s="46" customFormat="1" x14ac:dyDescent="0.2">
      <c r="C5576" s="144"/>
      <c r="D5576" s="144"/>
      <c r="E5576" s="144"/>
      <c r="F5576" s="373"/>
      <c r="H5576" s="2168"/>
      <c r="I5576" s="70"/>
    </row>
    <row r="5577" spans="3:9" s="46" customFormat="1" x14ac:dyDescent="0.2">
      <c r="C5577" s="144"/>
      <c r="D5577" s="144"/>
      <c r="E5577" s="144"/>
      <c r="F5577" s="373"/>
      <c r="H5577" s="2168"/>
      <c r="I5577" s="70"/>
    </row>
    <row r="5578" spans="3:9" s="46" customFormat="1" x14ac:dyDescent="0.2">
      <c r="C5578" s="144"/>
      <c r="D5578" s="144"/>
      <c r="E5578" s="144"/>
      <c r="F5578" s="373"/>
      <c r="H5578" s="2168"/>
      <c r="I5578" s="70"/>
    </row>
    <row r="5579" spans="3:9" s="46" customFormat="1" x14ac:dyDescent="0.2">
      <c r="C5579" s="144"/>
      <c r="D5579" s="144"/>
      <c r="E5579" s="144"/>
      <c r="F5579" s="373"/>
      <c r="H5579" s="2168"/>
      <c r="I5579" s="70"/>
    </row>
    <row r="5580" spans="3:9" s="46" customFormat="1" x14ac:dyDescent="0.2">
      <c r="C5580" s="144"/>
      <c r="D5580" s="144"/>
      <c r="E5580" s="144"/>
      <c r="F5580" s="373"/>
      <c r="H5580" s="2168"/>
      <c r="I5580" s="70"/>
    </row>
    <row r="5581" spans="3:9" s="46" customFormat="1" x14ac:dyDescent="0.2">
      <c r="C5581" s="144"/>
      <c r="D5581" s="144"/>
      <c r="E5581" s="144"/>
      <c r="F5581" s="373"/>
      <c r="H5581" s="2168"/>
      <c r="I5581" s="70"/>
    </row>
    <row r="5582" spans="3:9" s="46" customFormat="1" x14ac:dyDescent="0.2">
      <c r="C5582" s="144"/>
      <c r="D5582" s="144"/>
      <c r="E5582" s="144"/>
      <c r="F5582" s="373"/>
      <c r="H5582" s="2168"/>
      <c r="I5582" s="70"/>
    </row>
    <row r="5583" spans="3:9" s="46" customFormat="1" x14ac:dyDescent="0.2">
      <c r="C5583" s="144"/>
      <c r="D5583" s="144"/>
      <c r="E5583" s="144"/>
      <c r="F5583" s="373"/>
      <c r="H5583" s="2168"/>
      <c r="I5583" s="70"/>
    </row>
    <row r="5584" spans="3:9" s="46" customFormat="1" x14ac:dyDescent="0.2">
      <c r="C5584" s="144"/>
      <c r="D5584" s="144"/>
      <c r="E5584" s="144"/>
      <c r="F5584" s="373"/>
      <c r="H5584" s="2168"/>
      <c r="I5584" s="70"/>
    </row>
    <row r="5585" spans="3:9" s="46" customFormat="1" x14ac:dyDescent="0.2">
      <c r="C5585" s="144"/>
      <c r="D5585" s="144"/>
      <c r="E5585" s="144"/>
      <c r="F5585" s="373"/>
      <c r="H5585" s="2168"/>
      <c r="I5585" s="70"/>
    </row>
    <row r="5586" spans="3:9" s="46" customFormat="1" x14ac:dyDescent="0.2">
      <c r="C5586" s="144"/>
      <c r="D5586" s="144"/>
      <c r="E5586" s="144"/>
      <c r="F5586" s="373"/>
      <c r="H5586" s="2168"/>
      <c r="I5586" s="70"/>
    </row>
    <row r="5587" spans="3:9" s="46" customFormat="1" x14ac:dyDescent="0.2">
      <c r="C5587" s="144"/>
      <c r="D5587" s="144"/>
      <c r="E5587" s="144"/>
      <c r="F5587" s="373"/>
      <c r="H5587" s="2168"/>
      <c r="I5587" s="70"/>
    </row>
    <row r="5588" spans="3:9" s="46" customFormat="1" x14ac:dyDescent="0.2">
      <c r="C5588" s="144"/>
      <c r="D5588" s="144"/>
      <c r="E5588" s="144"/>
      <c r="F5588" s="373"/>
      <c r="H5588" s="2168"/>
      <c r="I5588" s="70"/>
    </row>
    <row r="5589" spans="3:9" s="46" customFormat="1" x14ac:dyDescent="0.2">
      <c r="C5589" s="144"/>
      <c r="D5589" s="144"/>
      <c r="E5589" s="144"/>
      <c r="F5589" s="373"/>
      <c r="H5589" s="2168"/>
      <c r="I5589" s="70"/>
    </row>
    <row r="5590" spans="3:9" s="46" customFormat="1" x14ac:dyDescent="0.2">
      <c r="C5590" s="144"/>
      <c r="D5590" s="144"/>
      <c r="E5590" s="144"/>
      <c r="F5590" s="373"/>
      <c r="H5590" s="2168"/>
      <c r="I5590" s="70"/>
    </row>
    <row r="5591" spans="3:9" s="46" customFormat="1" x14ac:dyDescent="0.2">
      <c r="C5591" s="144"/>
      <c r="D5591" s="144"/>
      <c r="E5591" s="144"/>
      <c r="F5591" s="373"/>
      <c r="H5591" s="2168"/>
      <c r="I5591" s="70"/>
    </row>
    <row r="5592" spans="3:9" s="46" customFormat="1" x14ac:dyDescent="0.2">
      <c r="C5592" s="144"/>
      <c r="D5592" s="144"/>
      <c r="E5592" s="144"/>
      <c r="F5592" s="373"/>
      <c r="H5592" s="2168"/>
      <c r="I5592" s="70"/>
    </row>
    <row r="5593" spans="3:9" s="46" customFormat="1" x14ac:dyDescent="0.2">
      <c r="C5593" s="144"/>
      <c r="D5593" s="144"/>
      <c r="E5593" s="144"/>
      <c r="F5593" s="373"/>
      <c r="H5593" s="2168"/>
      <c r="I5593" s="70"/>
    </row>
    <row r="5594" spans="3:9" s="46" customFormat="1" x14ac:dyDescent="0.2">
      <c r="C5594" s="144"/>
      <c r="D5594" s="144"/>
      <c r="E5594" s="144"/>
      <c r="F5594" s="373"/>
      <c r="H5594" s="2168"/>
      <c r="I5594" s="70"/>
    </row>
    <row r="5595" spans="3:9" s="46" customFormat="1" x14ac:dyDescent="0.2">
      <c r="C5595" s="144"/>
      <c r="D5595" s="144"/>
      <c r="E5595" s="144"/>
      <c r="F5595" s="373"/>
      <c r="H5595" s="2168"/>
      <c r="I5595" s="70"/>
    </row>
    <row r="5596" spans="3:9" s="46" customFormat="1" x14ac:dyDescent="0.2">
      <c r="C5596" s="144"/>
      <c r="D5596" s="144"/>
      <c r="E5596" s="144"/>
      <c r="F5596" s="373"/>
      <c r="H5596" s="2168"/>
      <c r="I5596" s="70"/>
    </row>
    <row r="5597" spans="3:9" s="46" customFormat="1" x14ac:dyDescent="0.2">
      <c r="C5597" s="144"/>
      <c r="D5597" s="144"/>
      <c r="E5597" s="144"/>
      <c r="F5597" s="373"/>
      <c r="H5597" s="2168"/>
      <c r="I5597" s="70"/>
    </row>
    <row r="5598" spans="3:9" s="46" customFormat="1" x14ac:dyDescent="0.2">
      <c r="C5598" s="144"/>
      <c r="D5598" s="144"/>
      <c r="E5598" s="144"/>
      <c r="F5598" s="373"/>
      <c r="H5598" s="2168"/>
      <c r="I5598" s="70"/>
    </row>
    <row r="5599" spans="3:9" s="46" customFormat="1" x14ac:dyDescent="0.2">
      <c r="C5599" s="144"/>
      <c r="D5599" s="144"/>
      <c r="E5599" s="144"/>
      <c r="F5599" s="373"/>
      <c r="H5599" s="2168"/>
      <c r="I5599" s="70"/>
    </row>
    <row r="5600" spans="3:9" s="46" customFormat="1" x14ac:dyDescent="0.2">
      <c r="C5600" s="144"/>
      <c r="D5600" s="144"/>
      <c r="E5600" s="144"/>
      <c r="F5600" s="373"/>
      <c r="H5600" s="2168"/>
      <c r="I5600" s="70"/>
    </row>
    <row r="5601" spans="3:9" s="46" customFormat="1" x14ac:dyDescent="0.2">
      <c r="C5601" s="144"/>
      <c r="D5601" s="144"/>
      <c r="E5601" s="144"/>
      <c r="F5601" s="373"/>
      <c r="H5601" s="2168"/>
      <c r="I5601" s="70"/>
    </row>
    <row r="5602" spans="3:9" s="46" customFormat="1" x14ac:dyDescent="0.2">
      <c r="C5602" s="144"/>
      <c r="D5602" s="144"/>
      <c r="E5602" s="144"/>
      <c r="F5602" s="373"/>
      <c r="H5602" s="2168"/>
      <c r="I5602" s="70"/>
    </row>
    <row r="5603" spans="3:9" s="46" customFormat="1" x14ac:dyDescent="0.2">
      <c r="C5603" s="144"/>
      <c r="D5603" s="144"/>
      <c r="E5603" s="144"/>
      <c r="F5603" s="373"/>
      <c r="H5603" s="2168"/>
      <c r="I5603" s="70"/>
    </row>
    <row r="5604" spans="3:9" s="46" customFormat="1" x14ac:dyDescent="0.2">
      <c r="C5604" s="144"/>
      <c r="D5604" s="144"/>
      <c r="E5604" s="144"/>
      <c r="F5604" s="373"/>
      <c r="H5604" s="2168"/>
      <c r="I5604" s="70"/>
    </row>
    <row r="5605" spans="3:9" s="46" customFormat="1" x14ac:dyDescent="0.2">
      <c r="C5605" s="144"/>
      <c r="D5605" s="144"/>
      <c r="E5605" s="144"/>
      <c r="F5605" s="373"/>
      <c r="H5605" s="2168"/>
      <c r="I5605" s="70"/>
    </row>
    <row r="5606" spans="3:9" s="46" customFormat="1" x14ac:dyDescent="0.2">
      <c r="C5606" s="144"/>
      <c r="D5606" s="144"/>
      <c r="E5606" s="144"/>
      <c r="F5606" s="373"/>
      <c r="H5606" s="2168"/>
      <c r="I5606" s="70"/>
    </row>
    <row r="5607" spans="3:9" s="46" customFormat="1" x14ac:dyDescent="0.2">
      <c r="C5607" s="144"/>
      <c r="D5607" s="144"/>
      <c r="E5607" s="144"/>
      <c r="F5607" s="373"/>
      <c r="H5607" s="2168"/>
      <c r="I5607" s="70"/>
    </row>
    <row r="5608" spans="3:9" s="46" customFormat="1" x14ac:dyDescent="0.2">
      <c r="C5608" s="144"/>
      <c r="D5608" s="144"/>
      <c r="E5608" s="144"/>
      <c r="F5608" s="373"/>
      <c r="H5608" s="2168"/>
      <c r="I5608" s="70"/>
    </row>
    <row r="5609" spans="3:9" s="46" customFormat="1" x14ac:dyDescent="0.2">
      <c r="C5609" s="144"/>
      <c r="D5609" s="144"/>
      <c r="E5609" s="144"/>
      <c r="F5609" s="373"/>
      <c r="H5609" s="2168"/>
      <c r="I5609" s="70"/>
    </row>
    <row r="5610" spans="3:9" s="46" customFormat="1" x14ac:dyDescent="0.2">
      <c r="C5610" s="144"/>
      <c r="D5610" s="144"/>
      <c r="E5610" s="144"/>
      <c r="F5610" s="373"/>
      <c r="H5610" s="2168"/>
      <c r="I5610" s="70"/>
    </row>
    <row r="5611" spans="3:9" s="46" customFormat="1" x14ac:dyDescent="0.2">
      <c r="C5611" s="144"/>
      <c r="D5611" s="144"/>
      <c r="E5611" s="144"/>
      <c r="F5611" s="373"/>
      <c r="H5611" s="2168"/>
      <c r="I5611" s="70"/>
    </row>
    <row r="5612" spans="3:9" s="46" customFormat="1" x14ac:dyDescent="0.2">
      <c r="C5612" s="144"/>
      <c r="D5612" s="144"/>
      <c r="E5612" s="144"/>
      <c r="F5612" s="373"/>
      <c r="H5612" s="2168"/>
      <c r="I5612" s="70"/>
    </row>
    <row r="5613" spans="3:9" s="46" customFormat="1" x14ac:dyDescent="0.2">
      <c r="C5613" s="144"/>
      <c r="D5613" s="144"/>
      <c r="E5613" s="144"/>
      <c r="F5613" s="373"/>
      <c r="H5613" s="2168"/>
      <c r="I5613" s="70"/>
    </row>
    <row r="5614" spans="3:9" s="46" customFormat="1" x14ac:dyDescent="0.2">
      <c r="C5614" s="144"/>
      <c r="D5614" s="144"/>
      <c r="E5614" s="144"/>
      <c r="F5614" s="373"/>
      <c r="H5614" s="2168"/>
      <c r="I5614" s="70"/>
    </row>
    <row r="5615" spans="3:9" s="46" customFormat="1" x14ac:dyDescent="0.2">
      <c r="C5615" s="144"/>
      <c r="D5615" s="144"/>
      <c r="E5615" s="144"/>
      <c r="F5615" s="373"/>
      <c r="H5615" s="2168"/>
      <c r="I5615" s="70"/>
    </row>
    <row r="5616" spans="3:9" s="46" customFormat="1" x14ac:dyDescent="0.2">
      <c r="C5616" s="144"/>
      <c r="D5616" s="144"/>
      <c r="E5616" s="144"/>
      <c r="F5616" s="373"/>
      <c r="H5616" s="2168"/>
      <c r="I5616" s="70"/>
    </row>
    <row r="5617" spans="3:9" s="46" customFormat="1" x14ac:dyDescent="0.2">
      <c r="C5617" s="144"/>
      <c r="D5617" s="144"/>
      <c r="E5617" s="144"/>
      <c r="F5617" s="373"/>
      <c r="H5617" s="2168"/>
      <c r="I5617" s="70"/>
    </row>
    <row r="5618" spans="3:9" s="46" customFormat="1" x14ac:dyDescent="0.2">
      <c r="C5618" s="144"/>
      <c r="D5618" s="144"/>
      <c r="E5618" s="144"/>
      <c r="F5618" s="373"/>
      <c r="H5618" s="2168"/>
      <c r="I5618" s="70"/>
    </row>
    <row r="5619" spans="3:9" s="46" customFormat="1" x14ac:dyDescent="0.2">
      <c r="C5619" s="144"/>
      <c r="D5619" s="144"/>
      <c r="E5619" s="144"/>
      <c r="F5619" s="373"/>
      <c r="H5619" s="2168"/>
      <c r="I5619" s="70"/>
    </row>
    <row r="5620" spans="3:9" s="46" customFormat="1" x14ac:dyDescent="0.2">
      <c r="C5620" s="144"/>
      <c r="D5620" s="144"/>
      <c r="E5620" s="144"/>
      <c r="F5620" s="373"/>
      <c r="H5620" s="2168"/>
      <c r="I5620" s="70"/>
    </row>
    <row r="5621" spans="3:9" s="46" customFormat="1" x14ac:dyDescent="0.2">
      <c r="C5621" s="144"/>
      <c r="D5621" s="144"/>
      <c r="E5621" s="144"/>
      <c r="F5621" s="373"/>
      <c r="H5621" s="2168"/>
      <c r="I5621" s="70"/>
    </row>
    <row r="5622" spans="3:9" s="46" customFormat="1" x14ac:dyDescent="0.2">
      <c r="C5622" s="144"/>
      <c r="D5622" s="144"/>
      <c r="E5622" s="144"/>
      <c r="F5622" s="373"/>
      <c r="H5622" s="2168"/>
      <c r="I5622" s="70"/>
    </row>
    <row r="5623" spans="3:9" s="46" customFormat="1" x14ac:dyDescent="0.2">
      <c r="C5623" s="144"/>
      <c r="D5623" s="144"/>
      <c r="E5623" s="144"/>
      <c r="F5623" s="373"/>
      <c r="H5623" s="2168"/>
      <c r="I5623" s="70"/>
    </row>
    <row r="5624" spans="3:9" s="46" customFormat="1" x14ac:dyDescent="0.2">
      <c r="C5624" s="144"/>
      <c r="D5624" s="144"/>
      <c r="E5624" s="144"/>
      <c r="F5624" s="373"/>
      <c r="H5624" s="2168"/>
      <c r="I5624" s="70"/>
    </row>
    <row r="5625" spans="3:9" s="46" customFormat="1" x14ac:dyDescent="0.2">
      <c r="C5625" s="144"/>
      <c r="D5625" s="144"/>
      <c r="E5625" s="144"/>
      <c r="F5625" s="373"/>
      <c r="H5625" s="2168"/>
      <c r="I5625" s="70"/>
    </row>
    <row r="5626" spans="3:9" s="46" customFormat="1" x14ac:dyDescent="0.2">
      <c r="C5626" s="144"/>
      <c r="D5626" s="144"/>
      <c r="E5626" s="144"/>
      <c r="F5626" s="373"/>
      <c r="H5626" s="2168"/>
      <c r="I5626" s="70"/>
    </row>
    <row r="5627" spans="3:9" s="46" customFormat="1" x14ac:dyDescent="0.2">
      <c r="C5627" s="144"/>
      <c r="D5627" s="144"/>
      <c r="E5627" s="144"/>
      <c r="F5627" s="373"/>
      <c r="H5627" s="2168"/>
      <c r="I5627" s="70"/>
    </row>
    <row r="5628" spans="3:9" s="46" customFormat="1" x14ac:dyDescent="0.2">
      <c r="C5628" s="144"/>
      <c r="D5628" s="144"/>
      <c r="E5628" s="144"/>
      <c r="F5628" s="373"/>
      <c r="H5628" s="2168"/>
      <c r="I5628" s="70"/>
    </row>
    <row r="5629" spans="3:9" s="46" customFormat="1" x14ac:dyDescent="0.2">
      <c r="C5629" s="144"/>
      <c r="D5629" s="144"/>
      <c r="E5629" s="144"/>
      <c r="F5629" s="373"/>
      <c r="H5629" s="2168"/>
      <c r="I5629" s="70"/>
    </row>
    <row r="5630" spans="3:9" s="46" customFormat="1" x14ac:dyDescent="0.2">
      <c r="C5630" s="144"/>
      <c r="D5630" s="144"/>
      <c r="E5630" s="144"/>
      <c r="F5630" s="373"/>
      <c r="H5630" s="2168"/>
      <c r="I5630" s="70"/>
    </row>
    <row r="5631" spans="3:9" s="46" customFormat="1" x14ac:dyDescent="0.2">
      <c r="C5631" s="144"/>
      <c r="D5631" s="144"/>
      <c r="E5631" s="144"/>
      <c r="F5631" s="373"/>
      <c r="H5631" s="2168"/>
      <c r="I5631" s="70"/>
    </row>
    <row r="5632" spans="3:9" s="46" customFormat="1" x14ac:dyDescent="0.2">
      <c r="C5632" s="144"/>
      <c r="D5632" s="144"/>
      <c r="E5632" s="144"/>
      <c r="F5632" s="373"/>
      <c r="H5632" s="2168"/>
      <c r="I5632" s="70"/>
    </row>
    <row r="5633" spans="3:9" s="46" customFormat="1" x14ac:dyDescent="0.2">
      <c r="C5633" s="144"/>
      <c r="D5633" s="144"/>
      <c r="E5633" s="144"/>
      <c r="F5633" s="373"/>
      <c r="H5633" s="2168"/>
      <c r="I5633" s="70"/>
    </row>
    <row r="5634" spans="3:9" s="46" customFormat="1" x14ac:dyDescent="0.2">
      <c r="C5634" s="144"/>
      <c r="D5634" s="144"/>
      <c r="E5634" s="144"/>
      <c r="F5634" s="373"/>
      <c r="H5634" s="2168"/>
      <c r="I5634" s="70"/>
    </row>
    <row r="5635" spans="3:9" s="46" customFormat="1" x14ac:dyDescent="0.2">
      <c r="C5635" s="144"/>
      <c r="D5635" s="144"/>
      <c r="E5635" s="144"/>
      <c r="F5635" s="373"/>
      <c r="H5635" s="2168"/>
      <c r="I5635" s="70"/>
    </row>
    <row r="5636" spans="3:9" s="46" customFormat="1" x14ac:dyDescent="0.2">
      <c r="C5636" s="144"/>
      <c r="D5636" s="144"/>
      <c r="E5636" s="144"/>
      <c r="F5636" s="373"/>
      <c r="H5636" s="2168"/>
      <c r="I5636" s="70"/>
    </row>
    <row r="5637" spans="3:9" s="46" customFormat="1" x14ac:dyDescent="0.2">
      <c r="C5637" s="144"/>
      <c r="D5637" s="144"/>
      <c r="E5637" s="144"/>
      <c r="F5637" s="373"/>
      <c r="H5637" s="2168"/>
      <c r="I5637" s="70"/>
    </row>
    <row r="5638" spans="3:9" s="46" customFormat="1" x14ac:dyDescent="0.2">
      <c r="C5638" s="144"/>
      <c r="D5638" s="144"/>
      <c r="E5638" s="144"/>
      <c r="F5638" s="373"/>
      <c r="H5638" s="2168"/>
      <c r="I5638" s="70"/>
    </row>
    <row r="5639" spans="3:9" s="46" customFormat="1" x14ac:dyDescent="0.2">
      <c r="C5639" s="144"/>
      <c r="D5639" s="144"/>
      <c r="E5639" s="144"/>
      <c r="F5639" s="373"/>
      <c r="H5639" s="2168"/>
      <c r="I5639" s="70"/>
    </row>
    <row r="5640" spans="3:9" s="46" customFormat="1" x14ac:dyDescent="0.2">
      <c r="C5640" s="144"/>
      <c r="D5640" s="144"/>
      <c r="E5640" s="144"/>
      <c r="F5640" s="373"/>
      <c r="H5640" s="2168"/>
      <c r="I5640" s="70"/>
    </row>
    <row r="5641" spans="3:9" s="46" customFormat="1" x14ac:dyDescent="0.2">
      <c r="C5641" s="144"/>
      <c r="D5641" s="144"/>
      <c r="E5641" s="144"/>
      <c r="F5641" s="373"/>
      <c r="H5641" s="2168"/>
      <c r="I5641" s="70"/>
    </row>
    <row r="5642" spans="3:9" s="46" customFormat="1" x14ac:dyDescent="0.2">
      <c r="C5642" s="144"/>
      <c r="D5642" s="144"/>
      <c r="E5642" s="144"/>
      <c r="F5642" s="373"/>
      <c r="H5642" s="2168"/>
      <c r="I5642" s="70"/>
    </row>
    <row r="5643" spans="3:9" s="46" customFormat="1" x14ac:dyDescent="0.2">
      <c r="C5643" s="144"/>
      <c r="D5643" s="144"/>
      <c r="E5643" s="144"/>
      <c r="F5643" s="373"/>
      <c r="H5643" s="2168"/>
      <c r="I5643" s="70"/>
    </row>
    <row r="5644" spans="3:9" s="46" customFormat="1" x14ac:dyDescent="0.2">
      <c r="C5644" s="144"/>
      <c r="D5644" s="144"/>
      <c r="E5644" s="144"/>
      <c r="F5644" s="373"/>
      <c r="H5644" s="2168"/>
      <c r="I5644" s="70"/>
    </row>
    <row r="5645" spans="3:9" s="46" customFormat="1" x14ac:dyDescent="0.2">
      <c r="C5645" s="144"/>
      <c r="D5645" s="144"/>
      <c r="E5645" s="144"/>
      <c r="F5645" s="373"/>
      <c r="H5645" s="2168"/>
      <c r="I5645" s="70"/>
    </row>
    <row r="5646" spans="3:9" s="46" customFormat="1" x14ac:dyDescent="0.2">
      <c r="C5646" s="144"/>
      <c r="D5646" s="144"/>
      <c r="E5646" s="144"/>
      <c r="F5646" s="373"/>
      <c r="H5646" s="2168"/>
      <c r="I5646" s="70"/>
    </row>
    <row r="5647" spans="3:9" s="46" customFormat="1" x14ac:dyDescent="0.2">
      <c r="C5647" s="144"/>
      <c r="D5647" s="144"/>
      <c r="E5647" s="144"/>
      <c r="F5647" s="373"/>
      <c r="H5647" s="2168"/>
      <c r="I5647" s="70"/>
    </row>
    <row r="5648" spans="3:9" s="46" customFormat="1" x14ac:dyDescent="0.2">
      <c r="C5648" s="144"/>
      <c r="D5648" s="144"/>
      <c r="E5648" s="144"/>
      <c r="F5648" s="373"/>
      <c r="H5648" s="2168"/>
      <c r="I5648" s="70"/>
    </row>
    <row r="5649" spans="3:9" s="46" customFormat="1" x14ac:dyDescent="0.2">
      <c r="C5649" s="144"/>
      <c r="D5649" s="144"/>
      <c r="E5649" s="144"/>
      <c r="F5649" s="373"/>
      <c r="H5649" s="2168"/>
      <c r="I5649" s="70"/>
    </row>
    <row r="5650" spans="3:9" s="46" customFormat="1" x14ac:dyDescent="0.2">
      <c r="C5650" s="144"/>
      <c r="D5650" s="144"/>
      <c r="E5650" s="144"/>
      <c r="F5650" s="373"/>
      <c r="H5650" s="2168"/>
      <c r="I5650" s="70"/>
    </row>
    <row r="5651" spans="3:9" s="46" customFormat="1" x14ac:dyDescent="0.2">
      <c r="C5651" s="144"/>
      <c r="D5651" s="144"/>
      <c r="E5651" s="144"/>
      <c r="F5651" s="373"/>
      <c r="H5651" s="2168"/>
      <c r="I5651" s="70"/>
    </row>
    <row r="5652" spans="3:9" s="46" customFormat="1" x14ac:dyDescent="0.2">
      <c r="C5652" s="144"/>
      <c r="D5652" s="144"/>
      <c r="E5652" s="144"/>
      <c r="F5652" s="373"/>
      <c r="H5652" s="2168"/>
      <c r="I5652" s="70"/>
    </row>
    <row r="5653" spans="3:9" s="46" customFormat="1" x14ac:dyDescent="0.2">
      <c r="C5653" s="144"/>
      <c r="D5653" s="144"/>
      <c r="E5653" s="144"/>
      <c r="F5653" s="373"/>
      <c r="H5653" s="2168"/>
      <c r="I5653" s="70"/>
    </row>
    <row r="5654" spans="3:9" s="46" customFormat="1" x14ac:dyDescent="0.2">
      <c r="C5654" s="144"/>
      <c r="D5654" s="144"/>
      <c r="E5654" s="144"/>
      <c r="F5654" s="373"/>
      <c r="H5654" s="2168"/>
      <c r="I5654" s="70"/>
    </row>
    <row r="5655" spans="3:9" s="46" customFormat="1" x14ac:dyDescent="0.2">
      <c r="C5655" s="144"/>
      <c r="D5655" s="144"/>
      <c r="E5655" s="144"/>
      <c r="F5655" s="373"/>
      <c r="H5655" s="2168"/>
      <c r="I5655" s="70"/>
    </row>
    <row r="5656" spans="3:9" s="46" customFormat="1" x14ac:dyDescent="0.2">
      <c r="C5656" s="144"/>
      <c r="D5656" s="144"/>
      <c r="E5656" s="144"/>
      <c r="F5656" s="373"/>
      <c r="H5656" s="2168"/>
      <c r="I5656" s="70"/>
    </row>
    <row r="5657" spans="3:9" s="46" customFormat="1" x14ac:dyDescent="0.2">
      <c r="C5657" s="144"/>
      <c r="D5657" s="144"/>
      <c r="E5657" s="144"/>
      <c r="F5657" s="373"/>
      <c r="H5657" s="2168"/>
      <c r="I5657" s="70"/>
    </row>
    <row r="5658" spans="3:9" s="46" customFormat="1" x14ac:dyDescent="0.2">
      <c r="C5658" s="144"/>
      <c r="D5658" s="144"/>
      <c r="E5658" s="144"/>
      <c r="F5658" s="373"/>
      <c r="H5658" s="2168"/>
      <c r="I5658" s="70"/>
    </row>
    <row r="5659" spans="3:9" s="46" customFormat="1" x14ac:dyDescent="0.2">
      <c r="C5659" s="144"/>
      <c r="D5659" s="144"/>
      <c r="E5659" s="144"/>
      <c r="F5659" s="373"/>
      <c r="H5659" s="2168"/>
      <c r="I5659" s="70"/>
    </row>
    <row r="5660" spans="3:9" s="46" customFormat="1" x14ac:dyDescent="0.2">
      <c r="C5660" s="144"/>
      <c r="D5660" s="144"/>
      <c r="E5660" s="144"/>
      <c r="F5660" s="373"/>
      <c r="H5660" s="2168"/>
      <c r="I5660" s="70"/>
    </row>
    <row r="5661" spans="3:9" s="46" customFormat="1" x14ac:dyDescent="0.2">
      <c r="C5661" s="144"/>
      <c r="D5661" s="144"/>
      <c r="E5661" s="144"/>
      <c r="F5661" s="373"/>
      <c r="H5661" s="2168"/>
      <c r="I5661" s="70"/>
    </row>
    <row r="5662" spans="3:9" s="46" customFormat="1" x14ac:dyDescent="0.2">
      <c r="C5662" s="144"/>
      <c r="D5662" s="144"/>
      <c r="E5662" s="144"/>
      <c r="F5662" s="373"/>
      <c r="H5662" s="2168"/>
      <c r="I5662" s="70"/>
    </row>
    <row r="5663" spans="3:9" s="46" customFormat="1" x14ac:dyDescent="0.2">
      <c r="C5663" s="144"/>
      <c r="D5663" s="144"/>
      <c r="E5663" s="144"/>
      <c r="F5663" s="373"/>
      <c r="H5663" s="2168"/>
      <c r="I5663" s="70"/>
    </row>
    <row r="5664" spans="3:9" s="46" customFormat="1" x14ac:dyDescent="0.2">
      <c r="C5664" s="144"/>
      <c r="D5664" s="144"/>
      <c r="E5664" s="144"/>
      <c r="F5664" s="373"/>
      <c r="H5664" s="2168"/>
      <c r="I5664" s="70"/>
    </row>
    <row r="5665" spans="3:9" s="46" customFormat="1" x14ac:dyDescent="0.2">
      <c r="C5665" s="144"/>
      <c r="D5665" s="144"/>
      <c r="E5665" s="144"/>
      <c r="F5665" s="373"/>
      <c r="H5665" s="2168"/>
      <c r="I5665" s="70"/>
    </row>
    <row r="5666" spans="3:9" s="46" customFormat="1" x14ac:dyDescent="0.2">
      <c r="C5666" s="144"/>
      <c r="D5666" s="144"/>
      <c r="E5666" s="144"/>
      <c r="F5666" s="373"/>
      <c r="H5666" s="2168"/>
      <c r="I5666" s="70"/>
    </row>
    <row r="5667" spans="3:9" s="46" customFormat="1" x14ac:dyDescent="0.2">
      <c r="C5667" s="144"/>
      <c r="D5667" s="144"/>
      <c r="E5667" s="144"/>
      <c r="F5667" s="373"/>
      <c r="H5667" s="2168"/>
      <c r="I5667" s="70"/>
    </row>
    <row r="5668" spans="3:9" s="46" customFormat="1" x14ac:dyDescent="0.2">
      <c r="C5668" s="144"/>
      <c r="D5668" s="144"/>
      <c r="E5668" s="144"/>
      <c r="F5668" s="373"/>
      <c r="H5668" s="2168"/>
      <c r="I5668" s="70"/>
    </row>
    <row r="5669" spans="3:9" s="46" customFormat="1" x14ac:dyDescent="0.2">
      <c r="C5669" s="144"/>
      <c r="D5669" s="144"/>
      <c r="E5669" s="144"/>
      <c r="F5669" s="373"/>
      <c r="H5669" s="2168"/>
      <c r="I5669" s="70"/>
    </row>
    <row r="5670" spans="3:9" s="46" customFormat="1" x14ac:dyDescent="0.2">
      <c r="C5670" s="144"/>
      <c r="D5670" s="144"/>
      <c r="E5670" s="144"/>
      <c r="F5670" s="373"/>
      <c r="H5670" s="2168"/>
      <c r="I5670" s="70"/>
    </row>
    <row r="5671" spans="3:9" s="46" customFormat="1" x14ac:dyDescent="0.2">
      <c r="C5671" s="144"/>
      <c r="D5671" s="144"/>
      <c r="E5671" s="144"/>
      <c r="F5671" s="373"/>
      <c r="H5671" s="2168"/>
      <c r="I5671" s="70"/>
    </row>
    <row r="5672" spans="3:9" s="46" customFormat="1" x14ac:dyDescent="0.2">
      <c r="C5672" s="144"/>
      <c r="D5672" s="144"/>
      <c r="E5672" s="144"/>
      <c r="F5672" s="373"/>
      <c r="H5672" s="2168"/>
      <c r="I5672" s="70"/>
    </row>
    <row r="5673" spans="3:9" s="46" customFormat="1" x14ac:dyDescent="0.2">
      <c r="C5673" s="144"/>
      <c r="D5673" s="144"/>
      <c r="E5673" s="144"/>
      <c r="F5673" s="373"/>
      <c r="H5673" s="2168"/>
      <c r="I5673" s="70"/>
    </row>
    <row r="5674" spans="3:9" s="46" customFormat="1" x14ac:dyDescent="0.2">
      <c r="C5674" s="144"/>
      <c r="D5674" s="144"/>
      <c r="E5674" s="144"/>
      <c r="F5674" s="373"/>
      <c r="H5674" s="2168"/>
      <c r="I5674" s="70"/>
    </row>
    <row r="5675" spans="3:9" s="46" customFormat="1" x14ac:dyDescent="0.2">
      <c r="C5675" s="144"/>
      <c r="D5675" s="144"/>
      <c r="E5675" s="144"/>
      <c r="F5675" s="373"/>
      <c r="H5675" s="2168"/>
      <c r="I5675" s="70"/>
    </row>
    <row r="5676" spans="3:9" s="46" customFormat="1" x14ac:dyDescent="0.2">
      <c r="C5676" s="144"/>
      <c r="D5676" s="144"/>
      <c r="E5676" s="144"/>
      <c r="F5676" s="373"/>
      <c r="H5676" s="2168"/>
      <c r="I5676" s="70"/>
    </row>
    <row r="5677" spans="3:9" s="46" customFormat="1" x14ac:dyDescent="0.2">
      <c r="C5677" s="144"/>
      <c r="D5677" s="144"/>
      <c r="E5677" s="144"/>
      <c r="F5677" s="373"/>
      <c r="H5677" s="2168"/>
      <c r="I5677" s="70"/>
    </row>
    <row r="5678" spans="3:9" s="46" customFormat="1" x14ac:dyDescent="0.2">
      <c r="C5678" s="144"/>
      <c r="D5678" s="144"/>
      <c r="E5678" s="144"/>
      <c r="F5678" s="373"/>
      <c r="H5678" s="2168"/>
      <c r="I5678" s="70"/>
    </row>
    <row r="5679" spans="3:9" s="46" customFormat="1" x14ac:dyDescent="0.2">
      <c r="C5679" s="144"/>
      <c r="D5679" s="144"/>
      <c r="E5679" s="144"/>
      <c r="F5679" s="373"/>
      <c r="H5679" s="2168"/>
      <c r="I5679" s="70"/>
    </row>
    <row r="5680" spans="3:9" s="46" customFormat="1" x14ac:dyDescent="0.2">
      <c r="C5680" s="144"/>
      <c r="D5680" s="144"/>
      <c r="E5680" s="144"/>
      <c r="F5680" s="373"/>
      <c r="H5680" s="2168"/>
      <c r="I5680" s="70"/>
    </row>
    <row r="5681" spans="3:9" s="46" customFormat="1" x14ac:dyDescent="0.2">
      <c r="C5681" s="144"/>
      <c r="D5681" s="144"/>
      <c r="E5681" s="144"/>
      <c r="F5681" s="373"/>
      <c r="H5681" s="2168"/>
      <c r="I5681" s="70"/>
    </row>
    <row r="5682" spans="3:9" s="46" customFormat="1" x14ac:dyDescent="0.2">
      <c r="C5682" s="144"/>
      <c r="D5682" s="144"/>
      <c r="E5682" s="144"/>
      <c r="F5682" s="373"/>
      <c r="H5682" s="2168"/>
      <c r="I5682" s="70"/>
    </row>
    <row r="5683" spans="3:9" s="46" customFormat="1" x14ac:dyDescent="0.2">
      <c r="C5683" s="144"/>
      <c r="D5683" s="144"/>
      <c r="E5683" s="144"/>
      <c r="F5683" s="373"/>
      <c r="H5683" s="2168"/>
      <c r="I5683" s="70"/>
    </row>
    <row r="5684" spans="3:9" s="46" customFormat="1" x14ac:dyDescent="0.2">
      <c r="C5684" s="144"/>
      <c r="D5684" s="144"/>
      <c r="E5684" s="144"/>
      <c r="F5684" s="373"/>
      <c r="H5684" s="2168"/>
      <c r="I5684" s="70"/>
    </row>
    <row r="5685" spans="3:9" s="46" customFormat="1" x14ac:dyDescent="0.2">
      <c r="C5685" s="144"/>
      <c r="D5685" s="144"/>
      <c r="E5685" s="144"/>
      <c r="F5685" s="373"/>
      <c r="H5685" s="2168"/>
      <c r="I5685" s="70"/>
    </row>
    <row r="5686" spans="3:9" s="46" customFormat="1" x14ac:dyDescent="0.2">
      <c r="C5686" s="144"/>
      <c r="D5686" s="144"/>
      <c r="E5686" s="144"/>
      <c r="F5686" s="373"/>
      <c r="H5686" s="2168"/>
      <c r="I5686" s="70"/>
    </row>
    <row r="5687" spans="3:9" s="46" customFormat="1" x14ac:dyDescent="0.2">
      <c r="C5687" s="144"/>
      <c r="D5687" s="144"/>
      <c r="E5687" s="144"/>
      <c r="F5687" s="373"/>
      <c r="H5687" s="2168"/>
      <c r="I5687" s="70"/>
    </row>
    <row r="5688" spans="3:9" s="46" customFormat="1" x14ac:dyDescent="0.2">
      <c r="C5688" s="144"/>
      <c r="D5688" s="144"/>
      <c r="E5688" s="144"/>
      <c r="F5688" s="373"/>
      <c r="H5688" s="2168"/>
      <c r="I5688" s="70"/>
    </row>
    <row r="5689" spans="3:9" s="46" customFormat="1" x14ac:dyDescent="0.2">
      <c r="C5689" s="144"/>
      <c r="D5689" s="144"/>
      <c r="E5689" s="144"/>
      <c r="F5689" s="373"/>
      <c r="H5689" s="2168"/>
      <c r="I5689" s="70"/>
    </row>
    <row r="5690" spans="3:9" s="46" customFormat="1" x14ac:dyDescent="0.2">
      <c r="C5690" s="144"/>
      <c r="D5690" s="144"/>
      <c r="E5690" s="144"/>
      <c r="F5690" s="373"/>
      <c r="H5690" s="2168"/>
      <c r="I5690" s="70"/>
    </row>
    <row r="5691" spans="3:9" s="46" customFormat="1" x14ac:dyDescent="0.2">
      <c r="C5691" s="144"/>
      <c r="D5691" s="144"/>
      <c r="E5691" s="144"/>
      <c r="F5691" s="373"/>
      <c r="H5691" s="2168"/>
      <c r="I5691" s="70"/>
    </row>
    <row r="5692" spans="3:9" s="46" customFormat="1" x14ac:dyDescent="0.2">
      <c r="C5692" s="144"/>
      <c r="D5692" s="144"/>
      <c r="E5692" s="144"/>
      <c r="F5692" s="373"/>
      <c r="H5692" s="2168"/>
      <c r="I5692" s="70"/>
    </row>
    <row r="5693" spans="3:9" s="46" customFormat="1" x14ac:dyDescent="0.2">
      <c r="C5693" s="144"/>
      <c r="D5693" s="144"/>
      <c r="E5693" s="144"/>
      <c r="F5693" s="373"/>
      <c r="H5693" s="2168"/>
      <c r="I5693" s="70"/>
    </row>
    <row r="5694" spans="3:9" s="46" customFormat="1" x14ac:dyDescent="0.2">
      <c r="C5694" s="144"/>
      <c r="D5694" s="144"/>
      <c r="E5694" s="144"/>
      <c r="F5694" s="373"/>
      <c r="H5694" s="2168"/>
      <c r="I5694" s="70"/>
    </row>
    <row r="5695" spans="3:9" s="46" customFormat="1" x14ac:dyDescent="0.2">
      <c r="C5695" s="144"/>
      <c r="D5695" s="144"/>
      <c r="E5695" s="144"/>
      <c r="F5695" s="373"/>
      <c r="H5695" s="2168"/>
      <c r="I5695" s="70"/>
    </row>
    <row r="5696" spans="3:9" s="46" customFormat="1" x14ac:dyDescent="0.2">
      <c r="C5696" s="144"/>
      <c r="D5696" s="144"/>
      <c r="E5696" s="144"/>
      <c r="F5696" s="373"/>
      <c r="H5696" s="2168"/>
      <c r="I5696" s="70"/>
    </row>
    <row r="5697" spans="3:9" s="46" customFormat="1" x14ac:dyDescent="0.2">
      <c r="C5697" s="144"/>
      <c r="D5697" s="144"/>
      <c r="E5697" s="144"/>
      <c r="F5697" s="373"/>
      <c r="H5697" s="2168"/>
      <c r="I5697" s="70"/>
    </row>
    <row r="5698" spans="3:9" s="46" customFormat="1" x14ac:dyDescent="0.2">
      <c r="C5698" s="144"/>
      <c r="D5698" s="144"/>
      <c r="E5698" s="144"/>
      <c r="F5698" s="373"/>
      <c r="H5698" s="2168"/>
      <c r="I5698" s="70"/>
    </row>
    <row r="5699" spans="3:9" s="46" customFormat="1" x14ac:dyDescent="0.2">
      <c r="C5699" s="144"/>
      <c r="D5699" s="144"/>
      <c r="E5699" s="144"/>
      <c r="F5699" s="373"/>
      <c r="H5699" s="2168"/>
      <c r="I5699" s="70"/>
    </row>
    <row r="5700" spans="3:9" s="46" customFormat="1" x14ac:dyDescent="0.2">
      <c r="C5700" s="144"/>
      <c r="D5700" s="144"/>
      <c r="E5700" s="144"/>
      <c r="F5700" s="373"/>
      <c r="H5700" s="2168"/>
      <c r="I5700" s="70"/>
    </row>
    <row r="5701" spans="3:9" s="46" customFormat="1" x14ac:dyDescent="0.2">
      <c r="C5701" s="144"/>
      <c r="D5701" s="144"/>
      <c r="E5701" s="144"/>
      <c r="F5701" s="373"/>
      <c r="H5701" s="2168"/>
      <c r="I5701" s="70"/>
    </row>
    <row r="5702" spans="3:9" s="46" customFormat="1" x14ac:dyDescent="0.2">
      <c r="C5702" s="144"/>
      <c r="D5702" s="144"/>
      <c r="E5702" s="144"/>
      <c r="F5702" s="373"/>
      <c r="H5702" s="2168"/>
      <c r="I5702" s="70"/>
    </row>
    <row r="5703" spans="3:9" s="46" customFormat="1" x14ac:dyDescent="0.2">
      <c r="C5703" s="144"/>
      <c r="D5703" s="144"/>
      <c r="E5703" s="144"/>
      <c r="F5703" s="373"/>
      <c r="H5703" s="2168"/>
      <c r="I5703" s="70"/>
    </row>
    <row r="5704" spans="3:9" s="46" customFormat="1" x14ac:dyDescent="0.2">
      <c r="C5704" s="144"/>
      <c r="D5704" s="144"/>
      <c r="E5704" s="144"/>
      <c r="F5704" s="373"/>
      <c r="H5704" s="2168"/>
      <c r="I5704" s="70"/>
    </row>
    <row r="5705" spans="3:9" s="46" customFormat="1" x14ac:dyDescent="0.2">
      <c r="C5705" s="144"/>
      <c r="D5705" s="144"/>
      <c r="E5705" s="144"/>
      <c r="F5705" s="373"/>
      <c r="H5705" s="2168"/>
      <c r="I5705" s="70"/>
    </row>
    <row r="5706" spans="3:9" s="46" customFormat="1" x14ac:dyDescent="0.2">
      <c r="C5706" s="144"/>
      <c r="D5706" s="144"/>
      <c r="E5706" s="144"/>
      <c r="F5706" s="373"/>
      <c r="H5706" s="2168"/>
      <c r="I5706" s="70"/>
    </row>
    <row r="5707" spans="3:9" s="46" customFormat="1" x14ac:dyDescent="0.2">
      <c r="C5707" s="144"/>
      <c r="D5707" s="144"/>
      <c r="E5707" s="144"/>
      <c r="F5707" s="373"/>
      <c r="H5707" s="2168"/>
      <c r="I5707" s="70"/>
    </row>
    <row r="5708" spans="3:9" s="46" customFormat="1" x14ac:dyDescent="0.2">
      <c r="C5708" s="144"/>
      <c r="D5708" s="144"/>
      <c r="E5708" s="144"/>
      <c r="F5708" s="373"/>
      <c r="H5708" s="2168"/>
      <c r="I5708" s="70"/>
    </row>
    <row r="5709" spans="3:9" s="46" customFormat="1" x14ac:dyDescent="0.2">
      <c r="C5709" s="144"/>
      <c r="D5709" s="144"/>
      <c r="E5709" s="144"/>
      <c r="F5709" s="373"/>
      <c r="H5709" s="2168"/>
      <c r="I5709" s="70"/>
    </row>
    <row r="5710" spans="3:9" s="46" customFormat="1" x14ac:dyDescent="0.2">
      <c r="C5710" s="144"/>
      <c r="D5710" s="144"/>
      <c r="E5710" s="144"/>
      <c r="F5710" s="373"/>
      <c r="H5710" s="2168"/>
      <c r="I5710" s="70"/>
    </row>
    <row r="5711" spans="3:9" s="46" customFormat="1" x14ac:dyDescent="0.2">
      <c r="C5711" s="144"/>
      <c r="D5711" s="144"/>
      <c r="E5711" s="144"/>
      <c r="F5711" s="373"/>
      <c r="H5711" s="2168"/>
      <c r="I5711" s="70"/>
    </row>
    <row r="5712" spans="3:9" s="46" customFormat="1" x14ac:dyDescent="0.2">
      <c r="C5712" s="144"/>
      <c r="D5712" s="144"/>
      <c r="E5712" s="144"/>
      <c r="F5712" s="373"/>
      <c r="H5712" s="2168"/>
      <c r="I5712" s="70"/>
    </row>
    <row r="5713" spans="3:9" s="46" customFormat="1" x14ac:dyDescent="0.2">
      <c r="C5713" s="144"/>
      <c r="D5713" s="144"/>
      <c r="E5713" s="144"/>
      <c r="F5713" s="373"/>
      <c r="H5713" s="2168"/>
      <c r="I5713" s="70"/>
    </row>
    <row r="5714" spans="3:9" s="46" customFormat="1" x14ac:dyDescent="0.2">
      <c r="C5714" s="144"/>
      <c r="D5714" s="144"/>
      <c r="E5714" s="144"/>
      <c r="F5714" s="373"/>
      <c r="H5714" s="2168"/>
      <c r="I5714" s="70"/>
    </row>
    <row r="5715" spans="3:9" s="46" customFormat="1" x14ac:dyDescent="0.2">
      <c r="C5715" s="144"/>
      <c r="D5715" s="144"/>
      <c r="E5715" s="144"/>
      <c r="F5715" s="373"/>
      <c r="H5715" s="2168"/>
      <c r="I5715" s="70"/>
    </row>
    <row r="5716" spans="3:9" s="46" customFormat="1" x14ac:dyDescent="0.2">
      <c r="C5716" s="144"/>
      <c r="D5716" s="144"/>
      <c r="E5716" s="144"/>
      <c r="F5716" s="373"/>
      <c r="H5716" s="2168"/>
      <c r="I5716" s="70"/>
    </row>
    <row r="5717" spans="3:9" s="46" customFormat="1" x14ac:dyDescent="0.2">
      <c r="C5717" s="144"/>
      <c r="D5717" s="144"/>
      <c r="E5717" s="144"/>
      <c r="F5717" s="373"/>
      <c r="H5717" s="2168"/>
      <c r="I5717" s="70"/>
    </row>
    <row r="5718" spans="3:9" s="46" customFormat="1" x14ac:dyDescent="0.2">
      <c r="C5718" s="144"/>
      <c r="D5718" s="144"/>
      <c r="E5718" s="144"/>
      <c r="F5718" s="373"/>
      <c r="H5718" s="2168"/>
      <c r="I5718" s="70"/>
    </row>
    <row r="5719" spans="3:9" s="46" customFormat="1" x14ac:dyDescent="0.2">
      <c r="C5719" s="144"/>
      <c r="D5719" s="144"/>
      <c r="E5719" s="144"/>
      <c r="F5719" s="373"/>
      <c r="H5719" s="2168"/>
      <c r="I5719" s="70"/>
    </row>
    <row r="5720" spans="3:9" s="46" customFormat="1" x14ac:dyDescent="0.2">
      <c r="C5720" s="144"/>
      <c r="D5720" s="144"/>
      <c r="E5720" s="144"/>
      <c r="F5720" s="373"/>
      <c r="H5720" s="2168"/>
      <c r="I5720" s="70"/>
    </row>
    <row r="5721" spans="3:9" s="46" customFormat="1" x14ac:dyDescent="0.2">
      <c r="C5721" s="144"/>
      <c r="D5721" s="144"/>
      <c r="E5721" s="144"/>
      <c r="F5721" s="373"/>
      <c r="H5721" s="2168"/>
      <c r="I5721" s="70"/>
    </row>
    <row r="5722" spans="3:9" s="46" customFormat="1" x14ac:dyDescent="0.2">
      <c r="C5722" s="144"/>
      <c r="D5722" s="144"/>
      <c r="E5722" s="144"/>
      <c r="F5722" s="373"/>
      <c r="H5722" s="2168"/>
      <c r="I5722" s="70"/>
    </row>
    <row r="5723" spans="3:9" s="46" customFormat="1" x14ac:dyDescent="0.2">
      <c r="C5723" s="144"/>
      <c r="D5723" s="144"/>
      <c r="E5723" s="144"/>
      <c r="F5723" s="373"/>
      <c r="H5723" s="2168"/>
      <c r="I5723" s="70"/>
    </row>
    <row r="5724" spans="3:9" s="46" customFormat="1" x14ac:dyDescent="0.2">
      <c r="C5724" s="144"/>
      <c r="D5724" s="144"/>
      <c r="E5724" s="144"/>
      <c r="F5724" s="373"/>
      <c r="H5724" s="2168"/>
      <c r="I5724" s="70"/>
    </row>
    <row r="5725" spans="3:9" s="46" customFormat="1" x14ac:dyDescent="0.2">
      <c r="C5725" s="144"/>
      <c r="D5725" s="144"/>
      <c r="E5725" s="144"/>
      <c r="F5725" s="373"/>
      <c r="H5725" s="2168"/>
      <c r="I5725" s="70"/>
    </row>
    <row r="5726" spans="3:9" s="46" customFormat="1" x14ac:dyDescent="0.2">
      <c r="C5726" s="144"/>
      <c r="D5726" s="144"/>
      <c r="E5726" s="144"/>
      <c r="F5726" s="373"/>
      <c r="H5726" s="2168"/>
      <c r="I5726" s="70"/>
    </row>
    <row r="5727" spans="3:9" s="46" customFormat="1" x14ac:dyDescent="0.2">
      <c r="C5727" s="144"/>
      <c r="D5727" s="144"/>
      <c r="E5727" s="144"/>
      <c r="F5727" s="373"/>
      <c r="H5727" s="2168"/>
      <c r="I5727" s="70"/>
    </row>
    <row r="5728" spans="3:9" s="46" customFormat="1" x14ac:dyDescent="0.2">
      <c r="C5728" s="144"/>
      <c r="D5728" s="144"/>
      <c r="E5728" s="144"/>
      <c r="F5728" s="373"/>
      <c r="H5728" s="2168"/>
      <c r="I5728" s="70"/>
    </row>
    <row r="5729" spans="3:9" s="46" customFormat="1" x14ac:dyDescent="0.2">
      <c r="C5729" s="144"/>
      <c r="D5729" s="144"/>
      <c r="E5729" s="144"/>
      <c r="F5729" s="373"/>
      <c r="H5729" s="2168"/>
      <c r="I5729" s="70"/>
    </row>
    <row r="5730" spans="3:9" s="46" customFormat="1" x14ac:dyDescent="0.2">
      <c r="C5730" s="144"/>
      <c r="D5730" s="144"/>
      <c r="E5730" s="144"/>
      <c r="F5730" s="373"/>
      <c r="H5730" s="2168"/>
      <c r="I5730" s="70"/>
    </row>
    <row r="5731" spans="3:9" s="46" customFormat="1" x14ac:dyDescent="0.2">
      <c r="C5731" s="144"/>
      <c r="D5731" s="144"/>
      <c r="E5731" s="144"/>
      <c r="F5731" s="373"/>
      <c r="H5731" s="2168"/>
      <c r="I5731" s="70"/>
    </row>
    <row r="5732" spans="3:9" s="46" customFormat="1" x14ac:dyDescent="0.2">
      <c r="C5732" s="144"/>
      <c r="D5732" s="144"/>
      <c r="E5732" s="144"/>
      <c r="F5732" s="373"/>
      <c r="H5732" s="2168"/>
      <c r="I5732" s="70"/>
    </row>
    <row r="5733" spans="3:9" s="46" customFormat="1" x14ac:dyDescent="0.2">
      <c r="C5733" s="144"/>
      <c r="D5733" s="144"/>
      <c r="E5733" s="144"/>
      <c r="F5733" s="373"/>
      <c r="H5733" s="2168"/>
      <c r="I5733" s="70"/>
    </row>
    <row r="5734" spans="3:9" s="46" customFormat="1" x14ac:dyDescent="0.2">
      <c r="C5734" s="144"/>
      <c r="D5734" s="144"/>
      <c r="E5734" s="144"/>
      <c r="F5734" s="373"/>
      <c r="H5734" s="2168"/>
      <c r="I5734" s="70"/>
    </row>
    <row r="5735" spans="3:9" s="46" customFormat="1" x14ac:dyDescent="0.2">
      <c r="C5735" s="144"/>
      <c r="D5735" s="144"/>
      <c r="E5735" s="144"/>
      <c r="F5735" s="373"/>
      <c r="H5735" s="2168"/>
      <c r="I5735" s="70"/>
    </row>
    <row r="5736" spans="3:9" s="46" customFormat="1" x14ac:dyDescent="0.2">
      <c r="C5736" s="144"/>
      <c r="D5736" s="144"/>
      <c r="E5736" s="144"/>
      <c r="F5736" s="373"/>
      <c r="H5736" s="2168"/>
      <c r="I5736" s="70"/>
    </row>
    <row r="5737" spans="3:9" s="46" customFormat="1" x14ac:dyDescent="0.2">
      <c r="C5737" s="144"/>
      <c r="D5737" s="144"/>
      <c r="E5737" s="144"/>
      <c r="F5737" s="373"/>
      <c r="H5737" s="2168"/>
      <c r="I5737" s="70"/>
    </row>
    <row r="5738" spans="3:9" s="46" customFormat="1" x14ac:dyDescent="0.2">
      <c r="C5738" s="144"/>
      <c r="D5738" s="144"/>
      <c r="E5738" s="144"/>
      <c r="F5738" s="373"/>
      <c r="H5738" s="2168"/>
      <c r="I5738" s="70"/>
    </row>
    <row r="5739" spans="3:9" s="46" customFormat="1" x14ac:dyDescent="0.2">
      <c r="C5739" s="144"/>
      <c r="D5739" s="144"/>
      <c r="E5739" s="144"/>
      <c r="F5739" s="373"/>
      <c r="H5739" s="2168"/>
      <c r="I5739" s="70"/>
    </row>
    <row r="5740" spans="3:9" s="46" customFormat="1" x14ac:dyDescent="0.2">
      <c r="C5740" s="144"/>
      <c r="D5740" s="144"/>
      <c r="E5740" s="144"/>
      <c r="F5740" s="373"/>
      <c r="H5740" s="2168"/>
      <c r="I5740" s="70"/>
    </row>
    <row r="5741" spans="3:9" s="46" customFormat="1" x14ac:dyDescent="0.2">
      <c r="C5741" s="144"/>
      <c r="D5741" s="144"/>
      <c r="E5741" s="144"/>
      <c r="F5741" s="373"/>
      <c r="H5741" s="2168"/>
      <c r="I5741" s="70"/>
    </row>
    <row r="5742" spans="3:9" s="46" customFormat="1" x14ac:dyDescent="0.2">
      <c r="C5742" s="144"/>
      <c r="D5742" s="144"/>
      <c r="E5742" s="144"/>
      <c r="F5742" s="373"/>
      <c r="H5742" s="2168"/>
      <c r="I5742" s="70"/>
    </row>
    <row r="5743" spans="3:9" s="46" customFormat="1" x14ac:dyDescent="0.2">
      <c r="C5743" s="144"/>
      <c r="D5743" s="144"/>
      <c r="E5743" s="144"/>
      <c r="F5743" s="373"/>
      <c r="H5743" s="2168"/>
      <c r="I5743" s="70"/>
    </row>
    <row r="5744" spans="3:9" s="46" customFormat="1" x14ac:dyDescent="0.2">
      <c r="C5744" s="144"/>
      <c r="D5744" s="144"/>
      <c r="E5744" s="144"/>
      <c r="F5744" s="373"/>
      <c r="H5744" s="2168"/>
      <c r="I5744" s="70"/>
    </row>
    <row r="5745" spans="3:9" s="46" customFormat="1" x14ac:dyDescent="0.2">
      <c r="C5745" s="144"/>
      <c r="D5745" s="144"/>
      <c r="E5745" s="144"/>
      <c r="F5745" s="373"/>
      <c r="H5745" s="2168"/>
      <c r="I5745" s="70"/>
    </row>
    <row r="5746" spans="3:9" s="46" customFormat="1" x14ac:dyDescent="0.2">
      <c r="C5746" s="144"/>
      <c r="D5746" s="144"/>
      <c r="E5746" s="144"/>
      <c r="F5746" s="373"/>
      <c r="H5746" s="2168"/>
      <c r="I5746" s="70"/>
    </row>
    <row r="5747" spans="3:9" s="46" customFormat="1" x14ac:dyDescent="0.2">
      <c r="C5747" s="144"/>
      <c r="D5747" s="144"/>
      <c r="E5747" s="144"/>
      <c r="F5747" s="373"/>
      <c r="H5747" s="2168"/>
      <c r="I5747" s="70"/>
    </row>
    <row r="5748" spans="3:9" s="46" customFormat="1" x14ac:dyDescent="0.2">
      <c r="C5748" s="144"/>
      <c r="D5748" s="144"/>
      <c r="E5748" s="144"/>
      <c r="F5748" s="373"/>
      <c r="H5748" s="2168"/>
      <c r="I5748" s="70"/>
    </row>
    <row r="5749" spans="3:9" s="46" customFormat="1" x14ac:dyDescent="0.2">
      <c r="C5749" s="144"/>
      <c r="D5749" s="144"/>
      <c r="E5749" s="144"/>
      <c r="F5749" s="373"/>
      <c r="H5749" s="2168"/>
      <c r="I5749" s="70"/>
    </row>
    <row r="5750" spans="3:9" s="46" customFormat="1" x14ac:dyDescent="0.2">
      <c r="C5750" s="144"/>
      <c r="D5750" s="144"/>
      <c r="E5750" s="144"/>
      <c r="F5750" s="373"/>
      <c r="H5750" s="2168"/>
      <c r="I5750" s="70"/>
    </row>
    <row r="5751" spans="3:9" s="46" customFormat="1" x14ac:dyDescent="0.2">
      <c r="C5751" s="144"/>
      <c r="D5751" s="144"/>
      <c r="E5751" s="144"/>
      <c r="F5751" s="373"/>
      <c r="H5751" s="2168"/>
      <c r="I5751" s="70"/>
    </row>
    <row r="5752" spans="3:9" s="46" customFormat="1" x14ac:dyDescent="0.2">
      <c r="C5752" s="144"/>
      <c r="D5752" s="144"/>
      <c r="E5752" s="144"/>
      <c r="F5752" s="373"/>
      <c r="H5752" s="2168"/>
      <c r="I5752" s="70"/>
    </row>
    <row r="5753" spans="3:9" s="46" customFormat="1" x14ac:dyDescent="0.2">
      <c r="C5753" s="144"/>
      <c r="D5753" s="144"/>
      <c r="E5753" s="144"/>
      <c r="F5753" s="373"/>
      <c r="H5753" s="2168"/>
      <c r="I5753" s="70"/>
    </row>
    <row r="5754" spans="3:9" s="46" customFormat="1" x14ac:dyDescent="0.2">
      <c r="C5754" s="144"/>
      <c r="D5754" s="144"/>
      <c r="E5754" s="144"/>
      <c r="F5754" s="373"/>
      <c r="H5754" s="2168"/>
      <c r="I5754" s="70"/>
    </row>
    <row r="5755" spans="3:9" s="46" customFormat="1" x14ac:dyDescent="0.2">
      <c r="C5755" s="144"/>
      <c r="D5755" s="144"/>
      <c r="E5755" s="144"/>
      <c r="F5755" s="373"/>
      <c r="H5755" s="2168"/>
      <c r="I5755" s="70"/>
    </row>
    <row r="5756" spans="3:9" s="46" customFormat="1" x14ac:dyDescent="0.2">
      <c r="C5756" s="144"/>
      <c r="D5756" s="144"/>
      <c r="E5756" s="144"/>
      <c r="F5756" s="373"/>
      <c r="H5756" s="2168"/>
      <c r="I5756" s="70"/>
    </row>
    <row r="5757" spans="3:9" s="46" customFormat="1" x14ac:dyDescent="0.2">
      <c r="C5757" s="144"/>
      <c r="D5757" s="144"/>
      <c r="E5757" s="144"/>
      <c r="F5757" s="373"/>
      <c r="H5757" s="2168"/>
      <c r="I5757" s="70"/>
    </row>
    <row r="5758" spans="3:9" s="46" customFormat="1" x14ac:dyDescent="0.2">
      <c r="C5758" s="144"/>
      <c r="D5758" s="144"/>
      <c r="E5758" s="144"/>
      <c r="F5758" s="373"/>
      <c r="H5758" s="2168"/>
      <c r="I5758" s="70"/>
    </row>
    <row r="5759" spans="3:9" s="46" customFormat="1" x14ac:dyDescent="0.2">
      <c r="C5759" s="144"/>
      <c r="D5759" s="144"/>
      <c r="E5759" s="144"/>
      <c r="F5759" s="373"/>
      <c r="H5759" s="2168"/>
      <c r="I5759" s="70"/>
    </row>
    <row r="5760" spans="3:9" s="46" customFormat="1" x14ac:dyDescent="0.2">
      <c r="C5760" s="144"/>
      <c r="D5760" s="144"/>
      <c r="E5760" s="144"/>
      <c r="F5760" s="373"/>
      <c r="H5760" s="2168"/>
      <c r="I5760" s="70"/>
    </row>
    <row r="5761" spans="3:9" s="46" customFormat="1" x14ac:dyDescent="0.2">
      <c r="C5761" s="144"/>
      <c r="D5761" s="144"/>
      <c r="E5761" s="144"/>
      <c r="F5761" s="373"/>
      <c r="H5761" s="2168"/>
      <c r="I5761" s="70"/>
    </row>
    <row r="5762" spans="3:9" s="46" customFormat="1" x14ac:dyDescent="0.2">
      <c r="C5762" s="144"/>
      <c r="D5762" s="144"/>
      <c r="E5762" s="144"/>
      <c r="F5762" s="373"/>
      <c r="H5762" s="2168"/>
      <c r="I5762" s="70"/>
    </row>
    <row r="5763" spans="3:9" s="46" customFormat="1" x14ac:dyDescent="0.2">
      <c r="C5763" s="144"/>
      <c r="D5763" s="144"/>
      <c r="E5763" s="144"/>
      <c r="F5763" s="373"/>
      <c r="H5763" s="2168"/>
      <c r="I5763" s="70"/>
    </row>
    <row r="5764" spans="3:9" s="46" customFormat="1" x14ac:dyDescent="0.2">
      <c r="C5764" s="144"/>
      <c r="D5764" s="144"/>
      <c r="E5764" s="144"/>
      <c r="F5764" s="373"/>
      <c r="H5764" s="2168"/>
      <c r="I5764" s="70"/>
    </row>
    <row r="5765" spans="3:9" s="46" customFormat="1" x14ac:dyDescent="0.2">
      <c r="C5765" s="144"/>
      <c r="D5765" s="144"/>
      <c r="E5765" s="144"/>
      <c r="F5765" s="373"/>
      <c r="H5765" s="2168"/>
      <c r="I5765" s="70"/>
    </row>
    <row r="5766" spans="3:9" s="46" customFormat="1" x14ac:dyDescent="0.2">
      <c r="C5766" s="144"/>
      <c r="D5766" s="144"/>
      <c r="E5766" s="144"/>
      <c r="F5766" s="373"/>
      <c r="H5766" s="2168"/>
      <c r="I5766" s="70"/>
    </row>
    <row r="5767" spans="3:9" s="46" customFormat="1" x14ac:dyDescent="0.2">
      <c r="C5767" s="144"/>
      <c r="D5767" s="144"/>
      <c r="E5767" s="144"/>
      <c r="F5767" s="373"/>
      <c r="H5767" s="2168"/>
      <c r="I5767" s="70"/>
    </row>
    <row r="5768" spans="3:9" s="46" customFormat="1" x14ac:dyDescent="0.2">
      <c r="C5768" s="144"/>
      <c r="D5768" s="144"/>
      <c r="E5768" s="144"/>
      <c r="F5768" s="373"/>
      <c r="H5768" s="2168"/>
      <c r="I5768" s="70"/>
    </row>
    <row r="5769" spans="3:9" s="46" customFormat="1" x14ac:dyDescent="0.2">
      <c r="C5769" s="144"/>
      <c r="D5769" s="144"/>
      <c r="E5769" s="144"/>
      <c r="F5769" s="373"/>
      <c r="H5769" s="2168"/>
      <c r="I5769" s="70"/>
    </row>
    <row r="5770" spans="3:9" s="46" customFormat="1" x14ac:dyDescent="0.2">
      <c r="C5770" s="144"/>
      <c r="D5770" s="144"/>
      <c r="E5770" s="144"/>
      <c r="F5770" s="373"/>
      <c r="H5770" s="2168"/>
      <c r="I5770" s="70"/>
    </row>
    <row r="5771" spans="3:9" s="46" customFormat="1" x14ac:dyDescent="0.2">
      <c r="C5771" s="144"/>
      <c r="D5771" s="144"/>
      <c r="E5771" s="144"/>
      <c r="F5771" s="373"/>
      <c r="H5771" s="2168"/>
      <c r="I5771" s="70"/>
    </row>
    <row r="5772" spans="3:9" s="46" customFormat="1" x14ac:dyDescent="0.2">
      <c r="C5772" s="144"/>
      <c r="D5772" s="144"/>
      <c r="E5772" s="144"/>
      <c r="F5772" s="373"/>
      <c r="H5772" s="2168"/>
      <c r="I5772" s="70"/>
    </row>
    <row r="5773" spans="3:9" s="46" customFormat="1" x14ac:dyDescent="0.2">
      <c r="C5773" s="144"/>
      <c r="D5773" s="144"/>
      <c r="E5773" s="144"/>
      <c r="F5773" s="373"/>
      <c r="H5773" s="2168"/>
      <c r="I5773" s="70"/>
    </row>
    <row r="5774" spans="3:9" s="46" customFormat="1" x14ac:dyDescent="0.2">
      <c r="C5774" s="144"/>
      <c r="D5774" s="144"/>
      <c r="E5774" s="144"/>
      <c r="F5774" s="373"/>
      <c r="H5774" s="2168"/>
      <c r="I5774" s="70"/>
    </row>
    <row r="5775" spans="3:9" s="46" customFormat="1" x14ac:dyDescent="0.2">
      <c r="C5775" s="144"/>
      <c r="D5775" s="144"/>
      <c r="E5775" s="144"/>
      <c r="F5775" s="373"/>
      <c r="H5775" s="2168"/>
      <c r="I5775" s="70"/>
    </row>
    <row r="5776" spans="3:9" s="46" customFormat="1" x14ac:dyDescent="0.2">
      <c r="C5776" s="144"/>
      <c r="D5776" s="144"/>
      <c r="E5776" s="144"/>
      <c r="F5776" s="373"/>
      <c r="H5776" s="2168"/>
      <c r="I5776" s="70"/>
    </row>
    <row r="5777" spans="3:9" s="46" customFormat="1" x14ac:dyDescent="0.2">
      <c r="C5777" s="144"/>
      <c r="D5777" s="144"/>
      <c r="E5777" s="144"/>
      <c r="F5777" s="373"/>
      <c r="H5777" s="2168"/>
      <c r="I5777" s="70"/>
    </row>
    <row r="5778" spans="3:9" s="46" customFormat="1" x14ac:dyDescent="0.2">
      <c r="C5778" s="144"/>
      <c r="D5778" s="144"/>
      <c r="E5778" s="144"/>
      <c r="F5778" s="373"/>
      <c r="H5778" s="2168"/>
      <c r="I5778" s="70"/>
    </row>
    <row r="5779" spans="3:9" s="46" customFormat="1" x14ac:dyDescent="0.2">
      <c r="C5779" s="144"/>
      <c r="D5779" s="144"/>
      <c r="E5779" s="144"/>
      <c r="F5779" s="373"/>
      <c r="H5779" s="2168"/>
      <c r="I5779" s="70"/>
    </row>
    <row r="5780" spans="3:9" s="46" customFormat="1" x14ac:dyDescent="0.2">
      <c r="C5780" s="144"/>
      <c r="D5780" s="144"/>
      <c r="E5780" s="144"/>
      <c r="F5780" s="373"/>
      <c r="H5780" s="2168"/>
      <c r="I5780" s="70"/>
    </row>
    <row r="5781" spans="3:9" s="46" customFormat="1" x14ac:dyDescent="0.2">
      <c r="C5781" s="144"/>
      <c r="D5781" s="144"/>
      <c r="E5781" s="144"/>
      <c r="F5781" s="373"/>
      <c r="H5781" s="2168"/>
      <c r="I5781" s="70"/>
    </row>
    <row r="5782" spans="3:9" s="46" customFormat="1" x14ac:dyDescent="0.2">
      <c r="C5782" s="144"/>
      <c r="D5782" s="144"/>
      <c r="E5782" s="144"/>
      <c r="F5782" s="373"/>
      <c r="H5782" s="2168"/>
      <c r="I5782" s="70"/>
    </row>
    <row r="5783" spans="3:9" s="46" customFormat="1" x14ac:dyDescent="0.2">
      <c r="C5783" s="144"/>
      <c r="D5783" s="144"/>
      <c r="E5783" s="144"/>
      <c r="F5783" s="373"/>
      <c r="H5783" s="2168"/>
      <c r="I5783" s="70"/>
    </row>
    <row r="5784" spans="3:9" s="46" customFormat="1" x14ac:dyDescent="0.2">
      <c r="C5784" s="144"/>
      <c r="D5784" s="144"/>
      <c r="E5784" s="144"/>
      <c r="F5784" s="373"/>
      <c r="H5784" s="2168"/>
      <c r="I5784" s="70"/>
    </row>
    <row r="5785" spans="3:9" s="46" customFormat="1" x14ac:dyDescent="0.2">
      <c r="C5785" s="144"/>
      <c r="D5785" s="144"/>
      <c r="E5785" s="144"/>
      <c r="F5785" s="373"/>
      <c r="H5785" s="2168"/>
      <c r="I5785" s="70"/>
    </row>
    <row r="5786" spans="3:9" s="46" customFormat="1" x14ac:dyDescent="0.2">
      <c r="C5786" s="144"/>
      <c r="D5786" s="144"/>
      <c r="E5786" s="144"/>
      <c r="F5786" s="373"/>
      <c r="H5786" s="2168"/>
      <c r="I5786" s="70"/>
    </row>
    <row r="5787" spans="3:9" s="46" customFormat="1" x14ac:dyDescent="0.2">
      <c r="C5787" s="144"/>
      <c r="D5787" s="144"/>
      <c r="E5787" s="144"/>
      <c r="F5787" s="373"/>
      <c r="H5787" s="2168"/>
      <c r="I5787" s="70"/>
    </row>
    <row r="5788" spans="3:9" s="46" customFormat="1" x14ac:dyDescent="0.2">
      <c r="C5788" s="144"/>
      <c r="D5788" s="144"/>
      <c r="E5788" s="144"/>
      <c r="F5788" s="373"/>
      <c r="H5788" s="2168"/>
      <c r="I5788" s="70"/>
    </row>
    <row r="5789" spans="3:9" s="46" customFormat="1" x14ac:dyDescent="0.2">
      <c r="C5789" s="144"/>
      <c r="D5789" s="144"/>
      <c r="E5789" s="144"/>
      <c r="F5789" s="373"/>
      <c r="H5789" s="2168"/>
      <c r="I5789" s="70"/>
    </row>
    <row r="5790" spans="3:9" s="46" customFormat="1" x14ac:dyDescent="0.2">
      <c r="C5790" s="144"/>
      <c r="D5790" s="144"/>
      <c r="E5790" s="144"/>
      <c r="F5790" s="373"/>
      <c r="H5790" s="2168"/>
      <c r="I5790" s="70"/>
    </row>
    <row r="5791" spans="3:9" s="46" customFormat="1" x14ac:dyDescent="0.2">
      <c r="C5791" s="144"/>
      <c r="D5791" s="144"/>
      <c r="E5791" s="144"/>
      <c r="F5791" s="373"/>
      <c r="H5791" s="2168"/>
      <c r="I5791" s="70"/>
    </row>
    <row r="5792" spans="3:9" s="46" customFormat="1" x14ac:dyDescent="0.2">
      <c r="C5792" s="144"/>
      <c r="D5792" s="144"/>
      <c r="E5792" s="144"/>
      <c r="F5792" s="373"/>
      <c r="H5792" s="2168"/>
      <c r="I5792" s="70"/>
    </row>
    <row r="5793" spans="3:9" s="46" customFormat="1" x14ac:dyDescent="0.2">
      <c r="C5793" s="144"/>
      <c r="D5793" s="144"/>
      <c r="E5793" s="144"/>
      <c r="F5793" s="373"/>
      <c r="H5793" s="2168"/>
      <c r="I5793" s="70"/>
    </row>
    <row r="5794" spans="3:9" s="46" customFormat="1" x14ac:dyDescent="0.2">
      <c r="C5794" s="144"/>
      <c r="D5794" s="144"/>
      <c r="E5794" s="144"/>
      <c r="F5794" s="373"/>
      <c r="H5794" s="2168"/>
      <c r="I5794" s="70"/>
    </row>
    <row r="5795" spans="3:9" s="46" customFormat="1" x14ac:dyDescent="0.2">
      <c r="C5795" s="144"/>
      <c r="D5795" s="144"/>
      <c r="E5795" s="144"/>
      <c r="F5795" s="373"/>
      <c r="H5795" s="2168"/>
      <c r="I5795" s="70"/>
    </row>
    <row r="5796" spans="3:9" s="46" customFormat="1" x14ac:dyDescent="0.2">
      <c r="C5796" s="144"/>
      <c r="D5796" s="144"/>
      <c r="E5796" s="144"/>
      <c r="F5796" s="373"/>
      <c r="H5796" s="2168"/>
      <c r="I5796" s="70"/>
    </row>
    <row r="5797" spans="3:9" s="46" customFormat="1" x14ac:dyDescent="0.2">
      <c r="C5797" s="144"/>
      <c r="D5797" s="144"/>
      <c r="E5797" s="144"/>
      <c r="F5797" s="373"/>
      <c r="H5797" s="2168"/>
      <c r="I5797" s="70"/>
    </row>
    <row r="5798" spans="3:9" s="46" customFormat="1" x14ac:dyDescent="0.2">
      <c r="C5798" s="144"/>
      <c r="D5798" s="144"/>
      <c r="E5798" s="144"/>
      <c r="F5798" s="373"/>
      <c r="H5798" s="2168"/>
      <c r="I5798" s="70"/>
    </row>
    <row r="5799" spans="3:9" s="46" customFormat="1" x14ac:dyDescent="0.2">
      <c r="C5799" s="144"/>
      <c r="D5799" s="144"/>
      <c r="E5799" s="144"/>
      <c r="F5799" s="373"/>
      <c r="H5799" s="2168"/>
      <c r="I5799" s="70"/>
    </row>
    <row r="5800" spans="3:9" s="46" customFormat="1" x14ac:dyDescent="0.2">
      <c r="C5800" s="144"/>
      <c r="D5800" s="144"/>
      <c r="E5800" s="144"/>
      <c r="F5800" s="373"/>
      <c r="H5800" s="2168"/>
      <c r="I5800" s="70"/>
    </row>
    <row r="5801" spans="3:9" s="46" customFormat="1" x14ac:dyDescent="0.2">
      <c r="C5801" s="144"/>
      <c r="D5801" s="144"/>
      <c r="E5801" s="144"/>
      <c r="F5801" s="373"/>
      <c r="H5801" s="2168"/>
      <c r="I5801" s="70"/>
    </row>
    <row r="5802" spans="3:9" s="46" customFormat="1" x14ac:dyDescent="0.2">
      <c r="C5802" s="144"/>
      <c r="D5802" s="144"/>
      <c r="E5802" s="144"/>
      <c r="F5802" s="373"/>
      <c r="H5802" s="2168"/>
      <c r="I5802" s="70"/>
    </row>
    <row r="5803" spans="3:9" s="46" customFormat="1" x14ac:dyDescent="0.2">
      <c r="C5803" s="144"/>
      <c r="D5803" s="144"/>
      <c r="E5803" s="144"/>
      <c r="F5803" s="373"/>
      <c r="H5803" s="2168"/>
      <c r="I5803" s="70"/>
    </row>
    <row r="5804" spans="3:9" s="46" customFormat="1" x14ac:dyDescent="0.2">
      <c r="C5804" s="144"/>
      <c r="D5804" s="144"/>
      <c r="E5804" s="144"/>
      <c r="F5804" s="373"/>
      <c r="H5804" s="2168"/>
      <c r="I5804" s="70"/>
    </row>
    <row r="5805" spans="3:9" s="46" customFormat="1" x14ac:dyDescent="0.2">
      <c r="C5805" s="144"/>
      <c r="D5805" s="144"/>
      <c r="E5805" s="144"/>
      <c r="F5805" s="373"/>
      <c r="H5805" s="2168"/>
      <c r="I5805" s="70"/>
    </row>
    <row r="5806" spans="3:9" s="46" customFormat="1" x14ac:dyDescent="0.2">
      <c r="C5806" s="144"/>
      <c r="D5806" s="144"/>
      <c r="E5806" s="144"/>
      <c r="F5806" s="373"/>
      <c r="H5806" s="2168"/>
      <c r="I5806" s="70"/>
    </row>
    <row r="5807" spans="3:9" s="46" customFormat="1" x14ac:dyDescent="0.2">
      <c r="C5807" s="144"/>
      <c r="D5807" s="144"/>
      <c r="E5807" s="144"/>
      <c r="F5807" s="373"/>
      <c r="H5807" s="2168"/>
      <c r="I5807" s="70"/>
    </row>
    <row r="5808" spans="3:9" s="46" customFormat="1" x14ac:dyDescent="0.2">
      <c r="C5808" s="144"/>
      <c r="D5808" s="144"/>
      <c r="E5808" s="144"/>
      <c r="F5808" s="373"/>
      <c r="H5808" s="2168"/>
      <c r="I5808" s="70"/>
    </row>
    <row r="5809" spans="3:9" s="46" customFormat="1" x14ac:dyDescent="0.2">
      <c r="C5809" s="144"/>
      <c r="D5809" s="144"/>
      <c r="E5809" s="144"/>
      <c r="F5809" s="373"/>
      <c r="H5809" s="2168"/>
      <c r="I5809" s="70"/>
    </row>
    <row r="5810" spans="3:9" s="46" customFormat="1" x14ac:dyDescent="0.2">
      <c r="C5810" s="144"/>
      <c r="D5810" s="144"/>
      <c r="E5810" s="144"/>
      <c r="F5810" s="373"/>
      <c r="H5810" s="2168"/>
      <c r="I5810" s="70"/>
    </row>
    <row r="5811" spans="3:9" s="46" customFormat="1" x14ac:dyDescent="0.2">
      <c r="C5811" s="144"/>
      <c r="D5811" s="144"/>
      <c r="E5811" s="144"/>
      <c r="F5811" s="373"/>
      <c r="H5811" s="2168"/>
      <c r="I5811" s="70"/>
    </row>
    <row r="5812" spans="3:9" s="46" customFormat="1" x14ac:dyDescent="0.2">
      <c r="C5812" s="144"/>
      <c r="D5812" s="144"/>
      <c r="E5812" s="144"/>
      <c r="F5812" s="373"/>
      <c r="H5812" s="2168"/>
      <c r="I5812" s="70"/>
    </row>
    <row r="5813" spans="3:9" s="46" customFormat="1" x14ac:dyDescent="0.2">
      <c r="C5813" s="144"/>
      <c r="D5813" s="144"/>
      <c r="E5813" s="144"/>
      <c r="F5813" s="373"/>
      <c r="H5813" s="2168"/>
      <c r="I5813" s="70"/>
    </row>
    <row r="5814" spans="3:9" s="46" customFormat="1" x14ac:dyDescent="0.2">
      <c r="C5814" s="144"/>
      <c r="D5814" s="144"/>
      <c r="E5814" s="144"/>
      <c r="F5814" s="373"/>
      <c r="H5814" s="2168"/>
      <c r="I5814" s="70"/>
    </row>
    <row r="5815" spans="3:9" s="46" customFormat="1" x14ac:dyDescent="0.2">
      <c r="C5815" s="144"/>
      <c r="D5815" s="144"/>
      <c r="E5815" s="144"/>
      <c r="F5815" s="373"/>
      <c r="H5815" s="2168"/>
      <c r="I5815" s="70"/>
    </row>
    <row r="5816" spans="3:9" s="46" customFormat="1" x14ac:dyDescent="0.2">
      <c r="C5816" s="144"/>
      <c r="D5816" s="144"/>
      <c r="E5816" s="144"/>
      <c r="F5816" s="373"/>
      <c r="H5816" s="2168"/>
      <c r="I5816" s="70"/>
    </row>
    <row r="5817" spans="3:9" s="46" customFormat="1" x14ac:dyDescent="0.2">
      <c r="C5817" s="144"/>
      <c r="D5817" s="144"/>
      <c r="E5817" s="144"/>
      <c r="F5817" s="373"/>
      <c r="H5817" s="2168"/>
      <c r="I5817" s="70"/>
    </row>
    <row r="5818" spans="3:9" s="46" customFormat="1" x14ac:dyDescent="0.2">
      <c r="C5818" s="144"/>
      <c r="D5818" s="144"/>
      <c r="E5818" s="144"/>
      <c r="F5818" s="373"/>
      <c r="H5818" s="2168"/>
      <c r="I5818" s="70"/>
    </row>
    <row r="5819" spans="3:9" s="46" customFormat="1" x14ac:dyDescent="0.2">
      <c r="C5819" s="144"/>
      <c r="D5819" s="144"/>
      <c r="E5819" s="144"/>
      <c r="F5819" s="373"/>
      <c r="H5819" s="2168"/>
      <c r="I5819" s="70"/>
    </row>
    <row r="5820" spans="3:9" s="46" customFormat="1" x14ac:dyDescent="0.2">
      <c r="C5820" s="144"/>
      <c r="D5820" s="144"/>
      <c r="E5820" s="144"/>
      <c r="F5820" s="373"/>
      <c r="H5820" s="2168"/>
      <c r="I5820" s="70"/>
    </row>
    <row r="5821" spans="3:9" s="46" customFormat="1" x14ac:dyDescent="0.2">
      <c r="C5821" s="144"/>
      <c r="D5821" s="144"/>
      <c r="E5821" s="144"/>
      <c r="F5821" s="373"/>
      <c r="H5821" s="2168"/>
      <c r="I5821" s="70"/>
    </row>
    <row r="5822" spans="3:9" s="46" customFormat="1" x14ac:dyDescent="0.2">
      <c r="C5822" s="144"/>
      <c r="D5822" s="144"/>
      <c r="E5822" s="144"/>
      <c r="F5822" s="373"/>
      <c r="H5822" s="2168"/>
      <c r="I5822" s="70"/>
    </row>
    <row r="5823" spans="3:9" s="46" customFormat="1" x14ac:dyDescent="0.2">
      <c r="C5823" s="144"/>
      <c r="D5823" s="144"/>
      <c r="E5823" s="144"/>
      <c r="F5823" s="373"/>
      <c r="H5823" s="2168"/>
      <c r="I5823" s="70"/>
    </row>
    <row r="5824" spans="3:9" s="46" customFormat="1" x14ac:dyDescent="0.2">
      <c r="C5824" s="144"/>
      <c r="D5824" s="144"/>
      <c r="E5824" s="144"/>
      <c r="F5824" s="373"/>
      <c r="H5824" s="2168"/>
      <c r="I5824" s="70"/>
    </row>
    <row r="5825" spans="3:9" s="46" customFormat="1" x14ac:dyDescent="0.2">
      <c r="C5825" s="144"/>
      <c r="D5825" s="144"/>
      <c r="E5825" s="144"/>
      <c r="F5825" s="373"/>
      <c r="H5825" s="2168"/>
      <c r="I5825" s="70"/>
    </row>
    <row r="5826" spans="3:9" s="46" customFormat="1" x14ac:dyDescent="0.2">
      <c r="C5826" s="144"/>
      <c r="D5826" s="144"/>
      <c r="E5826" s="144"/>
      <c r="F5826" s="373"/>
      <c r="H5826" s="2168"/>
      <c r="I5826" s="70"/>
    </row>
    <row r="5827" spans="3:9" s="46" customFormat="1" x14ac:dyDescent="0.2">
      <c r="C5827" s="144"/>
      <c r="D5827" s="144"/>
      <c r="E5827" s="144"/>
      <c r="F5827" s="373"/>
      <c r="H5827" s="2168"/>
      <c r="I5827" s="70"/>
    </row>
    <row r="5828" spans="3:9" s="46" customFormat="1" x14ac:dyDescent="0.2">
      <c r="C5828" s="144"/>
      <c r="D5828" s="144"/>
      <c r="E5828" s="144"/>
      <c r="F5828" s="373"/>
      <c r="H5828" s="2168"/>
      <c r="I5828" s="70"/>
    </row>
    <row r="5829" spans="3:9" s="46" customFormat="1" x14ac:dyDescent="0.2">
      <c r="C5829" s="144"/>
      <c r="D5829" s="144"/>
      <c r="E5829" s="144"/>
      <c r="F5829" s="373"/>
      <c r="H5829" s="2168"/>
      <c r="I5829" s="70"/>
    </row>
    <row r="5830" spans="3:9" s="46" customFormat="1" x14ac:dyDescent="0.2">
      <c r="C5830" s="144"/>
      <c r="D5830" s="144"/>
      <c r="E5830" s="144"/>
      <c r="F5830" s="373"/>
      <c r="H5830" s="2168"/>
      <c r="I5830" s="70"/>
    </row>
    <row r="5831" spans="3:9" s="46" customFormat="1" x14ac:dyDescent="0.2">
      <c r="C5831" s="144"/>
      <c r="D5831" s="144"/>
      <c r="E5831" s="144"/>
      <c r="F5831" s="373"/>
      <c r="H5831" s="2168"/>
      <c r="I5831" s="70"/>
    </row>
    <row r="5832" spans="3:9" s="46" customFormat="1" x14ac:dyDescent="0.2">
      <c r="C5832" s="144"/>
      <c r="D5832" s="144"/>
      <c r="E5832" s="144"/>
      <c r="F5832" s="373"/>
      <c r="H5832" s="2168"/>
      <c r="I5832" s="70"/>
    </row>
    <row r="5833" spans="3:9" s="46" customFormat="1" x14ac:dyDescent="0.2">
      <c r="C5833" s="144"/>
      <c r="D5833" s="144"/>
      <c r="E5833" s="144"/>
      <c r="F5833" s="373"/>
      <c r="H5833" s="2168"/>
      <c r="I5833" s="70"/>
    </row>
    <row r="5834" spans="3:9" s="46" customFormat="1" x14ac:dyDescent="0.2">
      <c r="C5834" s="144"/>
      <c r="D5834" s="144"/>
      <c r="E5834" s="144"/>
      <c r="F5834" s="373"/>
      <c r="H5834" s="2168"/>
      <c r="I5834" s="70"/>
    </row>
    <row r="5835" spans="3:9" s="46" customFormat="1" x14ac:dyDescent="0.2">
      <c r="C5835" s="144"/>
      <c r="D5835" s="144"/>
      <c r="E5835" s="144"/>
      <c r="F5835" s="373"/>
      <c r="H5835" s="2168"/>
      <c r="I5835" s="70"/>
    </row>
    <row r="5836" spans="3:9" s="46" customFormat="1" x14ac:dyDescent="0.2">
      <c r="C5836" s="144"/>
      <c r="D5836" s="144"/>
      <c r="E5836" s="144"/>
      <c r="F5836" s="373"/>
      <c r="H5836" s="2168"/>
      <c r="I5836" s="70"/>
    </row>
    <row r="5837" spans="3:9" s="46" customFormat="1" x14ac:dyDescent="0.2">
      <c r="C5837" s="144"/>
      <c r="D5837" s="144"/>
      <c r="E5837" s="144"/>
      <c r="F5837" s="373"/>
      <c r="H5837" s="2168"/>
      <c r="I5837" s="70"/>
    </row>
    <row r="5838" spans="3:9" s="46" customFormat="1" x14ac:dyDescent="0.2">
      <c r="C5838" s="144"/>
      <c r="D5838" s="144"/>
      <c r="E5838" s="144"/>
      <c r="F5838" s="373"/>
      <c r="H5838" s="2168"/>
      <c r="I5838" s="70"/>
    </row>
    <row r="5839" spans="3:9" s="46" customFormat="1" x14ac:dyDescent="0.2">
      <c r="C5839" s="144"/>
      <c r="D5839" s="144"/>
      <c r="E5839" s="144"/>
      <c r="F5839" s="373"/>
      <c r="H5839" s="2168"/>
      <c r="I5839" s="70"/>
    </row>
    <row r="5840" spans="3:9" s="46" customFormat="1" x14ac:dyDescent="0.2">
      <c r="C5840" s="144"/>
      <c r="D5840" s="144"/>
      <c r="E5840" s="144"/>
      <c r="F5840" s="373"/>
      <c r="H5840" s="2168"/>
      <c r="I5840" s="70"/>
    </row>
    <row r="5841" spans="3:9" s="46" customFormat="1" x14ac:dyDescent="0.2">
      <c r="C5841" s="144"/>
      <c r="D5841" s="144"/>
      <c r="E5841" s="144"/>
      <c r="F5841" s="373"/>
      <c r="H5841" s="2168"/>
      <c r="I5841" s="70"/>
    </row>
    <row r="5842" spans="3:9" s="46" customFormat="1" x14ac:dyDescent="0.2">
      <c r="C5842" s="144"/>
      <c r="D5842" s="144"/>
      <c r="E5842" s="144"/>
      <c r="F5842" s="373"/>
      <c r="H5842" s="2168"/>
      <c r="I5842" s="70"/>
    </row>
    <row r="5843" spans="3:9" s="46" customFormat="1" x14ac:dyDescent="0.2">
      <c r="C5843" s="144"/>
      <c r="D5843" s="144"/>
      <c r="E5843" s="144"/>
      <c r="F5843" s="373"/>
      <c r="H5843" s="2168"/>
      <c r="I5843" s="70"/>
    </row>
    <row r="5844" spans="3:9" s="46" customFormat="1" x14ac:dyDescent="0.2">
      <c r="C5844" s="144"/>
      <c r="D5844" s="144"/>
      <c r="E5844" s="144"/>
      <c r="F5844" s="373"/>
      <c r="H5844" s="2168"/>
      <c r="I5844" s="70"/>
    </row>
    <row r="5845" spans="3:9" s="46" customFormat="1" x14ac:dyDescent="0.2">
      <c r="C5845" s="144"/>
      <c r="D5845" s="144"/>
      <c r="E5845" s="144"/>
      <c r="F5845" s="373"/>
      <c r="H5845" s="2168"/>
      <c r="I5845" s="70"/>
    </row>
    <row r="5846" spans="3:9" s="46" customFormat="1" x14ac:dyDescent="0.2">
      <c r="C5846" s="144"/>
      <c r="D5846" s="144"/>
      <c r="E5846" s="144"/>
      <c r="F5846" s="373"/>
      <c r="H5846" s="2168"/>
      <c r="I5846" s="70"/>
    </row>
    <row r="5847" spans="3:9" s="46" customFormat="1" x14ac:dyDescent="0.2">
      <c r="C5847" s="144"/>
      <c r="D5847" s="144"/>
      <c r="E5847" s="144"/>
      <c r="F5847" s="373"/>
      <c r="H5847" s="2168"/>
      <c r="I5847" s="70"/>
    </row>
    <row r="5848" spans="3:9" s="46" customFormat="1" x14ac:dyDescent="0.2">
      <c r="C5848" s="144"/>
      <c r="D5848" s="144"/>
      <c r="E5848" s="144"/>
      <c r="F5848" s="373"/>
      <c r="H5848" s="2168"/>
      <c r="I5848" s="70"/>
    </row>
    <row r="5849" spans="3:9" s="46" customFormat="1" x14ac:dyDescent="0.2">
      <c r="C5849" s="144"/>
      <c r="D5849" s="144"/>
      <c r="E5849" s="144"/>
      <c r="F5849" s="373"/>
      <c r="H5849" s="2168"/>
      <c r="I5849" s="70"/>
    </row>
    <row r="5850" spans="3:9" s="46" customFormat="1" x14ac:dyDescent="0.2">
      <c r="C5850" s="144"/>
      <c r="D5850" s="144"/>
      <c r="E5850" s="144"/>
      <c r="F5850" s="373"/>
      <c r="H5850" s="2168"/>
      <c r="I5850" s="70"/>
    </row>
    <row r="5851" spans="3:9" s="46" customFormat="1" x14ac:dyDescent="0.2">
      <c r="C5851" s="144"/>
      <c r="D5851" s="144"/>
      <c r="E5851" s="144"/>
      <c r="F5851" s="373"/>
      <c r="H5851" s="2168"/>
      <c r="I5851" s="70"/>
    </row>
    <row r="5852" spans="3:9" s="46" customFormat="1" x14ac:dyDescent="0.2">
      <c r="C5852" s="144"/>
      <c r="D5852" s="144"/>
      <c r="E5852" s="144"/>
      <c r="F5852" s="373"/>
      <c r="H5852" s="2168"/>
      <c r="I5852" s="70"/>
    </row>
    <row r="5853" spans="3:9" s="46" customFormat="1" x14ac:dyDescent="0.2">
      <c r="C5853" s="144"/>
      <c r="D5853" s="144"/>
      <c r="E5853" s="144"/>
      <c r="F5853" s="373"/>
      <c r="H5853" s="2168"/>
      <c r="I5853" s="70"/>
    </row>
    <row r="5854" spans="3:9" s="46" customFormat="1" x14ac:dyDescent="0.2">
      <c r="C5854" s="144"/>
      <c r="D5854" s="144"/>
      <c r="E5854" s="144"/>
      <c r="F5854" s="373"/>
      <c r="H5854" s="2168"/>
      <c r="I5854" s="70"/>
    </row>
  </sheetData>
  <mergeCells count="3">
    <mergeCell ref="A2:E2"/>
    <mergeCell ref="A1:S1"/>
    <mergeCell ref="H2:S2"/>
  </mergeCells>
  <phoneticPr fontId="9" type="noConversion"/>
  <printOptions horizontalCentered="1"/>
  <pageMargins left="0.39370078740157483" right="0.39370078740157483" top="0.39370078740157483" bottom="0.39370078740157483" header="0.39370078740157483" footer="0.39370078740157483"/>
  <pageSetup paperSize="9" scale="60" orientation="landscape"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114"/>
  <sheetViews>
    <sheetView topLeftCell="B1" zoomScaleNormal="100" workbookViewId="0">
      <selection activeCell="U33" sqref="U33"/>
    </sheetView>
  </sheetViews>
  <sheetFormatPr defaultColWidth="9.140625" defaultRowHeight="12.75" x14ac:dyDescent="0.2"/>
  <cols>
    <col min="1" max="1" width="49.5703125" style="1" bestFit="1" customWidth="1"/>
    <col min="2" max="2" width="10.28515625" style="1" customWidth="1"/>
    <col min="3" max="3" width="9.28515625" style="1" customWidth="1"/>
    <col min="4" max="4" width="10.85546875" style="1" customWidth="1"/>
    <col min="5" max="5" width="9.140625" style="1" customWidth="1"/>
    <col min="6" max="6" width="11.7109375" style="1" customWidth="1"/>
    <col min="7" max="7" width="9.140625" style="1" customWidth="1"/>
    <col min="8" max="10" width="9.5703125" style="1" customWidth="1"/>
    <col min="11" max="11" width="9.7109375" style="1" customWidth="1"/>
    <col min="12" max="13" width="10.28515625" style="1" bestFit="1" customWidth="1"/>
    <col min="14" max="14" width="11.140625" style="1" customWidth="1"/>
    <col min="15" max="16" width="10.28515625" style="1" bestFit="1" customWidth="1"/>
    <col min="17" max="17" width="13.28515625" style="1" customWidth="1"/>
    <col min="18" max="23" width="10.28515625" style="1" bestFit="1" customWidth="1"/>
    <col min="24" max="25" width="10.28515625" style="1" customWidth="1"/>
    <col min="26" max="35" width="9.140625" style="1"/>
    <col min="36" max="36" width="51.85546875" style="1" bestFit="1" customWidth="1"/>
    <col min="37" max="42" width="9.140625" style="1"/>
    <col min="43" max="43" width="24.85546875" style="1" bestFit="1" customWidth="1"/>
    <col min="44" max="16384" width="9.140625" style="1"/>
  </cols>
  <sheetData>
    <row r="1" spans="1:48" x14ac:dyDescent="0.2">
      <c r="A1" s="573" t="s">
        <v>4755</v>
      </c>
      <c r="B1" s="1997" t="s">
        <v>1954</v>
      </c>
      <c r="C1" s="1997" t="s">
        <v>1955</v>
      </c>
      <c r="D1" s="1997" t="s">
        <v>1956</v>
      </c>
      <c r="E1" s="1997" t="s">
        <v>293</v>
      </c>
      <c r="F1" s="1997" t="s">
        <v>2856</v>
      </c>
      <c r="G1" s="1997" t="s">
        <v>222</v>
      </c>
      <c r="H1" s="1997" t="s">
        <v>1087</v>
      </c>
      <c r="I1" s="1997" t="s">
        <v>1641</v>
      </c>
      <c r="J1" s="1798" t="s">
        <v>929</v>
      </c>
      <c r="K1" s="1997" t="str">
        <f>CIV!C1023</f>
        <v>2014/15</v>
      </c>
      <c r="L1" s="1997" t="str">
        <f>CIV!D1023</f>
        <v>2015/16</v>
      </c>
      <c r="M1" s="1997" t="str">
        <f>CIV!E1023</f>
        <v>2016/17</v>
      </c>
      <c r="N1" s="1997" t="str">
        <f>CIV!H1023</f>
        <v>2017/18</v>
      </c>
      <c r="O1" s="1997" t="str">
        <f>CIV!J1023</f>
        <v>2018/19</v>
      </c>
      <c r="P1" s="1997" t="str">
        <f>CIV!K1023</f>
        <v>2019/20</v>
      </c>
      <c r="Q1" s="1997" t="str">
        <f>CIV!L1023</f>
        <v>2020/21</v>
      </c>
      <c r="R1" s="1997" t="str">
        <f>CIV!M1023</f>
        <v>2021/22</v>
      </c>
      <c r="S1" s="1997" t="str">
        <f>CIV!N1023</f>
        <v>2022/23</v>
      </c>
      <c r="T1" s="1997" t="str">
        <f>CIV!O1023</f>
        <v>2023/24</v>
      </c>
      <c r="U1" s="1997" t="str">
        <f>CIV!P1023</f>
        <v>2024/25</v>
      </c>
      <c r="V1" s="1997" t="str">
        <f>CIV!Q1023</f>
        <v>2025/26</v>
      </c>
      <c r="W1" s="1997" t="str">
        <f>CIV!R1023</f>
        <v>2026/27</v>
      </c>
      <c r="X1" s="2301" t="str">
        <f>CIV!S1023</f>
        <v>2027/28</v>
      </c>
      <c r="Y1" s="1997"/>
    </row>
    <row r="2" spans="1:48" x14ac:dyDescent="0.2">
      <c r="A2" s="726" t="s">
        <v>1379</v>
      </c>
      <c r="B2" s="36">
        <v>1035000</v>
      </c>
      <c r="C2" s="36">
        <f>ROUND(B4*1.03,-3)</f>
        <v>1066000</v>
      </c>
      <c r="D2" s="36">
        <f t="shared" ref="D2:H2" si="0">ROUND(C4*1.03,-3)</f>
        <v>1201000</v>
      </c>
      <c r="E2" s="36">
        <f t="shared" si="0"/>
        <v>1342000</v>
      </c>
      <c r="F2" s="36">
        <f t="shared" si="0"/>
        <v>1592000</v>
      </c>
      <c r="G2" s="36">
        <f t="shared" si="0"/>
        <v>1640000</v>
      </c>
      <c r="H2" s="36">
        <f t="shared" si="0"/>
        <v>2068000</v>
      </c>
      <c r="I2" s="36">
        <v>2491000</v>
      </c>
      <c r="J2" s="36">
        <f>ROUND(I4*1.03,-3)</f>
        <v>2989000</v>
      </c>
      <c r="K2" s="36">
        <f t="shared" ref="K2:W2" si="1">ROUND(J4*1.03,-3)</f>
        <v>3609000</v>
      </c>
      <c r="L2" s="36">
        <f t="shared" si="1"/>
        <v>3717000</v>
      </c>
      <c r="M2" s="36">
        <f t="shared" si="1"/>
        <v>3829000</v>
      </c>
      <c r="N2" s="36">
        <f t="shared" si="1"/>
        <v>3944000</v>
      </c>
      <c r="O2" s="36">
        <f t="shared" si="1"/>
        <v>4062000</v>
      </c>
      <c r="P2" s="36">
        <f t="shared" si="1"/>
        <v>4184000</v>
      </c>
      <c r="Q2" s="36">
        <f t="shared" si="1"/>
        <v>4352000</v>
      </c>
      <c r="R2" s="36">
        <f t="shared" si="1"/>
        <v>4526000</v>
      </c>
      <c r="S2" s="36">
        <f t="shared" si="1"/>
        <v>4707000</v>
      </c>
      <c r="T2" s="36">
        <f t="shared" si="1"/>
        <v>4895000</v>
      </c>
      <c r="U2" s="36">
        <f t="shared" si="1"/>
        <v>5090000</v>
      </c>
      <c r="V2" s="36">
        <f t="shared" si="1"/>
        <v>5293000</v>
      </c>
      <c r="W2" s="36">
        <f t="shared" si="1"/>
        <v>5504000</v>
      </c>
      <c r="X2" s="36">
        <f>ROUND(W4*1.03,-3)</f>
        <v>5724000</v>
      </c>
      <c r="Y2" s="36"/>
      <c r="AJ2" s="1998" t="s">
        <v>4342</v>
      </c>
      <c r="AK2" s="1798" t="s">
        <v>1641</v>
      </c>
      <c r="AL2" s="1798" t="s">
        <v>929</v>
      </c>
      <c r="AM2" s="1798" t="s">
        <v>883</v>
      </c>
      <c r="AN2" s="1798" t="s">
        <v>2037</v>
      </c>
      <c r="AO2" s="1798" t="s">
        <v>1587</v>
      </c>
      <c r="AQ2" s="1998" t="s">
        <v>4358</v>
      </c>
      <c r="AR2" s="1798" t="s">
        <v>1641</v>
      </c>
      <c r="AS2" s="1798" t="s">
        <v>929</v>
      </c>
      <c r="AT2" s="1798" t="s">
        <v>883</v>
      </c>
      <c r="AU2" s="1798" t="s">
        <v>2037</v>
      </c>
      <c r="AV2" s="1798" t="s">
        <v>1587</v>
      </c>
    </row>
    <row r="3" spans="1:48" x14ac:dyDescent="0.2">
      <c r="A3" s="726" t="s">
        <v>3409</v>
      </c>
      <c r="B3" s="36"/>
      <c r="C3" s="36">
        <v>100000</v>
      </c>
      <c r="D3" s="36">
        <v>102000</v>
      </c>
      <c r="E3" s="36">
        <v>204000</v>
      </c>
      <c r="F3" s="36"/>
      <c r="G3" s="36">
        <v>368000</v>
      </c>
      <c r="H3" s="36">
        <v>350000</v>
      </c>
      <c r="I3" s="36">
        <v>411000</v>
      </c>
      <c r="J3" s="36">
        <v>515000</v>
      </c>
      <c r="K3" s="36"/>
      <c r="L3" s="36"/>
      <c r="M3" s="36"/>
      <c r="N3" s="36"/>
      <c r="O3" s="36"/>
      <c r="P3" s="36">
        <f>ROUND(O2*0.01,-3)</f>
        <v>41000</v>
      </c>
      <c r="Q3" s="36">
        <f t="shared" ref="Q3:W3" si="2">ROUND(P2*0.01,-3)</f>
        <v>42000</v>
      </c>
      <c r="R3" s="36">
        <f t="shared" si="2"/>
        <v>44000</v>
      </c>
      <c r="S3" s="36">
        <f t="shared" si="2"/>
        <v>45000</v>
      </c>
      <c r="T3" s="36">
        <f t="shared" si="2"/>
        <v>47000</v>
      </c>
      <c r="U3" s="36">
        <f t="shared" si="2"/>
        <v>49000</v>
      </c>
      <c r="V3" s="36">
        <f t="shared" si="2"/>
        <v>51000</v>
      </c>
      <c r="W3" s="36">
        <f t="shared" si="2"/>
        <v>53000</v>
      </c>
      <c r="X3" s="36">
        <f>ROUND(W2*0.01,-3)</f>
        <v>55000</v>
      </c>
      <c r="Y3" s="36"/>
      <c r="AJ3" s="573" t="s">
        <v>4348</v>
      </c>
      <c r="AK3" s="65">
        <v>2957100</v>
      </c>
      <c r="AL3" s="65">
        <v>3492800</v>
      </c>
      <c r="AM3" s="65">
        <v>3597600</v>
      </c>
      <c r="AN3" s="65">
        <v>3705500</v>
      </c>
      <c r="AO3" s="65">
        <v>3816700</v>
      </c>
      <c r="AR3" s="36">
        <f>I4</f>
        <v>2902000</v>
      </c>
      <c r="AS3" s="36">
        <f>J4</f>
        <v>3504000</v>
      </c>
      <c r="AT3" s="36">
        <f>K4</f>
        <v>3609000</v>
      </c>
      <c r="AU3" s="36">
        <f>L4</f>
        <v>3717000</v>
      </c>
      <c r="AV3" s="36">
        <f>M4</f>
        <v>3829000</v>
      </c>
    </row>
    <row r="4" spans="1:48" s="285" customFormat="1" x14ac:dyDescent="0.2">
      <c r="A4" s="285" t="s">
        <v>1504</v>
      </c>
      <c r="B4" s="511">
        <f t="shared" ref="B4:T4" si="3">SUM(B2:B3)</f>
        <v>1035000</v>
      </c>
      <c r="C4" s="511">
        <f t="shared" si="3"/>
        <v>1166000</v>
      </c>
      <c r="D4" s="511">
        <f t="shared" si="3"/>
        <v>1303000</v>
      </c>
      <c r="E4" s="511">
        <f t="shared" si="3"/>
        <v>1546000</v>
      </c>
      <c r="F4" s="511">
        <f t="shared" si="3"/>
        <v>1592000</v>
      </c>
      <c r="G4" s="511">
        <f t="shared" si="3"/>
        <v>2008000</v>
      </c>
      <c r="H4" s="511">
        <f t="shared" si="3"/>
        <v>2418000</v>
      </c>
      <c r="I4" s="511">
        <f t="shared" si="3"/>
        <v>2902000</v>
      </c>
      <c r="J4" s="511">
        <f t="shared" si="3"/>
        <v>3504000</v>
      </c>
      <c r="K4" s="511">
        <f t="shared" si="3"/>
        <v>3609000</v>
      </c>
      <c r="L4" s="511">
        <f t="shared" si="3"/>
        <v>3717000</v>
      </c>
      <c r="M4" s="511">
        <f t="shared" si="3"/>
        <v>3829000</v>
      </c>
      <c r="N4" s="511">
        <f t="shared" si="3"/>
        <v>3944000</v>
      </c>
      <c r="O4" s="511">
        <f t="shared" si="3"/>
        <v>4062000</v>
      </c>
      <c r="P4" s="511">
        <f t="shared" si="3"/>
        <v>4225000</v>
      </c>
      <c r="Q4" s="511">
        <f t="shared" si="3"/>
        <v>4394000</v>
      </c>
      <c r="R4" s="511">
        <f t="shared" si="3"/>
        <v>4570000</v>
      </c>
      <c r="S4" s="511">
        <f t="shared" si="3"/>
        <v>4752000</v>
      </c>
      <c r="T4" s="511">
        <f t="shared" si="3"/>
        <v>4942000</v>
      </c>
      <c r="U4" s="511">
        <f t="shared" ref="U4:V4" si="4">SUM(U2:U3)</f>
        <v>5139000</v>
      </c>
      <c r="V4" s="511">
        <f t="shared" si="4"/>
        <v>5344000</v>
      </c>
      <c r="W4" s="511">
        <f t="shared" ref="W4:X4" si="5">SUM(W2:W3)</f>
        <v>5557000</v>
      </c>
      <c r="X4" s="511">
        <f t="shared" si="5"/>
        <v>5779000</v>
      </c>
      <c r="Y4" s="27"/>
    </row>
    <row r="5" spans="1:48" x14ac:dyDescent="0.2">
      <c r="B5" s="843"/>
      <c r="C5" s="843"/>
      <c r="D5" s="843"/>
      <c r="E5" s="843"/>
      <c r="F5" s="843"/>
      <c r="G5" s="843"/>
      <c r="AJ5" s="726" t="s">
        <v>4349</v>
      </c>
      <c r="AK5" s="36">
        <v>2687900</v>
      </c>
      <c r="AL5" s="36">
        <v>2588300</v>
      </c>
      <c r="AM5" s="36">
        <v>2692600</v>
      </c>
      <c r="AN5" s="36">
        <v>2800500</v>
      </c>
      <c r="AO5" s="36">
        <v>2911700</v>
      </c>
    </row>
    <row r="6" spans="1:48" x14ac:dyDescent="0.2">
      <c r="A6" s="285" t="s">
        <v>2491</v>
      </c>
      <c r="B6" s="843"/>
      <c r="C6" s="843"/>
      <c r="D6" s="843"/>
      <c r="E6" s="843"/>
      <c r="F6" s="843"/>
      <c r="G6" s="843"/>
      <c r="I6" s="1997" t="s">
        <v>1641</v>
      </c>
      <c r="J6" s="1997" t="str">
        <f>J1</f>
        <v>2013/14</v>
      </c>
      <c r="K6" s="1997" t="str">
        <f>K1</f>
        <v>2014/15</v>
      </c>
      <c r="L6" s="1997" t="str">
        <f>L1</f>
        <v>2015/16</v>
      </c>
      <c r="M6" s="1997" t="str">
        <f>M1</f>
        <v>2016/17</v>
      </c>
      <c r="N6" s="1997" t="str">
        <f>N1</f>
        <v>2017/18</v>
      </c>
      <c r="O6" s="1997" t="str">
        <f t="shared" ref="O6:T6" si="6">O1</f>
        <v>2018/19</v>
      </c>
      <c r="P6" s="1997" t="str">
        <f t="shared" si="6"/>
        <v>2019/20</v>
      </c>
      <c r="Q6" s="1997" t="str">
        <f t="shared" si="6"/>
        <v>2020/21</v>
      </c>
      <c r="R6" s="1997" t="str">
        <f t="shared" si="6"/>
        <v>2021/22</v>
      </c>
      <c r="S6" s="1997" t="str">
        <f t="shared" si="6"/>
        <v>2022/23</v>
      </c>
      <c r="T6" s="1997" t="str">
        <f t="shared" si="6"/>
        <v>2023/24</v>
      </c>
      <c r="U6" s="1997" t="str">
        <f t="shared" ref="U6:V6" si="7">U1</f>
        <v>2024/25</v>
      </c>
      <c r="V6" s="1997" t="str">
        <f t="shared" si="7"/>
        <v>2025/26</v>
      </c>
      <c r="W6" s="1997" t="str">
        <f t="shared" ref="W6:X6" si="8">W1</f>
        <v>2026/27</v>
      </c>
      <c r="X6" s="2301" t="str">
        <f t="shared" si="8"/>
        <v>2027/28</v>
      </c>
      <c r="Y6" s="1997"/>
      <c r="AJ6" s="1" t="s">
        <v>4343</v>
      </c>
      <c r="AK6" s="36">
        <v>141200</v>
      </c>
      <c r="AL6" s="36">
        <v>141200</v>
      </c>
      <c r="AM6" s="36">
        <v>141200</v>
      </c>
      <c r="AN6" s="36">
        <v>141200</v>
      </c>
      <c r="AO6" s="36">
        <v>141200</v>
      </c>
    </row>
    <row r="7" spans="1:48" x14ac:dyDescent="0.2">
      <c r="A7" s="726" t="s">
        <v>4767</v>
      </c>
      <c r="I7" s="36">
        <v>1892000</v>
      </c>
      <c r="J7" s="36">
        <v>2005000</v>
      </c>
      <c r="K7" s="36">
        <v>2302000</v>
      </c>
      <c r="L7" s="36">
        <f>ROUND(SUM('Cap-Gen'!V143),-3)</f>
        <v>1480000</v>
      </c>
      <c r="M7" s="36">
        <f>ROUND(SUM('Cap-Gen'!AA143),-2)</f>
        <v>3248200</v>
      </c>
      <c r="N7" s="36">
        <f>ROUND(SUM('Cap-Gen'!AF143),-3)</f>
        <v>2927000</v>
      </c>
      <c r="O7" s="36">
        <f>ROUND(SUM('Cap-Gen'!AK143),-3)</f>
        <v>3337000</v>
      </c>
      <c r="P7" s="36">
        <f>ROUND(SUM('Cap-Gen'!AP143),-3)</f>
        <v>3423000</v>
      </c>
      <c r="Q7" s="36">
        <f>ROUND(SUM('Cap-Gen'!AU143),-3)</f>
        <v>3949000</v>
      </c>
      <c r="R7" s="36">
        <f>ROUND(SUM('Cap-Gen'!AZ143),-3)</f>
        <v>3387000</v>
      </c>
      <c r="S7" s="36">
        <f>ROUND(SUM('Cap-Gen'!BE143),-3)</f>
        <v>3582000</v>
      </c>
      <c r="T7" s="36">
        <f>ROUND(SUM('Cap-Gen'!BJ143),-3)</f>
        <v>3785000</v>
      </c>
      <c r="U7" s="36">
        <f>ROUND(SUM('Cap-Gen'!BO143),-3)</f>
        <v>4150000</v>
      </c>
      <c r="V7" s="36">
        <f>ROUND(SUM('Cap-Gen'!BT143),-3)</f>
        <v>4945000</v>
      </c>
      <c r="W7" s="36">
        <f>ROUND(SUM('Cap-Gen'!BY143),-3)</f>
        <v>5173000</v>
      </c>
      <c r="X7" s="36">
        <f>ROUND(SUM('Cap-Gen'!CD143),-3)</f>
        <v>5213000</v>
      </c>
      <c r="Y7" s="36"/>
      <c r="AJ7" s="1" t="s">
        <v>4344</v>
      </c>
      <c r="AK7" s="36">
        <v>0</v>
      </c>
      <c r="AL7" s="36">
        <v>460100</v>
      </c>
      <c r="AM7" s="36">
        <v>460100</v>
      </c>
      <c r="AN7" s="36">
        <v>460100</v>
      </c>
      <c r="AO7" s="36">
        <v>460100</v>
      </c>
    </row>
    <row r="8" spans="1:48" x14ac:dyDescent="0.2">
      <c r="A8" s="726" t="s">
        <v>4768</v>
      </c>
      <c r="I8" s="36"/>
      <c r="J8" s="36"/>
      <c r="K8" s="36"/>
      <c r="L8" s="36">
        <f>ROUND(SUM('Cap-Gen'!V141),-3)</f>
        <v>0</v>
      </c>
      <c r="M8" s="36">
        <f>ROUND(SUM('Cap-Gen'!AA141),-2)</f>
        <v>0</v>
      </c>
      <c r="N8" s="36">
        <f>ROUND(SUM('Cap-Gen'!AF141),-3)</f>
        <v>104000</v>
      </c>
      <c r="O8" s="36">
        <f>ROUND(SUM('Cap-Gen'!AK141),-3)</f>
        <v>108000</v>
      </c>
      <c r="P8" s="36">
        <f>ROUND(SUM('Cap-Gen'!AP141),-3)</f>
        <v>112000</v>
      </c>
      <c r="Q8" s="36">
        <f>ROUND(SUM('Cap-Gen'!AU141),-3)</f>
        <v>115000</v>
      </c>
      <c r="R8" s="36">
        <f>ROUND(SUM('Cap-Gen'!AZ141),-3)</f>
        <v>118000</v>
      </c>
      <c r="S8" s="36">
        <f>ROUND(SUM('Cap-Gen'!BE141),-3)</f>
        <v>121000</v>
      </c>
      <c r="T8" s="36">
        <f>ROUND(SUM('Cap-Gen'!BJ141),-3)</f>
        <v>124000</v>
      </c>
      <c r="U8" s="36">
        <f>ROUND(SUM('Cap-Gen'!BO141),-3)</f>
        <v>127000</v>
      </c>
      <c r="V8" s="36">
        <f>ROUND(SUM('Cap-Gen'!BT141),-3)</f>
        <v>130000</v>
      </c>
      <c r="W8" s="36">
        <f>ROUND(SUM('Cap-Gen'!BY141),-3)</f>
        <v>133000</v>
      </c>
      <c r="X8" s="36">
        <f>ROUND(SUM('Cap-Gen'!CD141),-3)</f>
        <v>136000</v>
      </c>
      <c r="Y8" s="36"/>
      <c r="AJ8" s="1" t="s">
        <v>4344</v>
      </c>
      <c r="AK8" s="36">
        <v>0</v>
      </c>
      <c r="AL8" s="36">
        <v>460100</v>
      </c>
      <c r="AM8" s="36">
        <v>460100</v>
      </c>
      <c r="AN8" s="36">
        <v>460100</v>
      </c>
      <c r="AO8" s="36">
        <v>460100</v>
      </c>
    </row>
    <row r="9" spans="1:48" x14ac:dyDescent="0.2">
      <c r="A9" s="726" t="s">
        <v>2238</v>
      </c>
      <c r="I9" s="36">
        <v>256000</v>
      </c>
      <c r="J9" s="36">
        <v>256000</v>
      </c>
      <c r="K9" s="36">
        <v>256000</v>
      </c>
      <c r="L9" s="36">
        <f>ROUND(('Debt-Gen'!J53+'Debt-Gen'!I53),-3)</f>
        <v>260000</v>
      </c>
      <c r="M9" s="36">
        <f>ROUND(('Debt-Gen'!K53+'Debt-Gen'!L53),-3)</f>
        <v>260000</v>
      </c>
      <c r="N9" s="36">
        <f>ROUND(('Debt-Gen'!M53+'Debt-Gen'!N53),-3)</f>
        <v>260000</v>
      </c>
      <c r="O9" s="36">
        <f>ROUND(('Debt-Gen'!P53+'Debt-Gen'!O53),-3)</f>
        <v>260000</v>
      </c>
      <c r="P9" s="36">
        <f>ROUND(('Debt-Gen'!Q53+'Debt-Gen'!R53),-3)</f>
        <v>260000</v>
      </c>
      <c r="Q9" s="36">
        <f>ROUND(('Debt-Gen'!S53+'Debt-Gen'!T53),-3)</f>
        <v>260000</v>
      </c>
      <c r="R9" s="36">
        <f>ROUND(('Debt-Gen'!U53+'Debt-Gen'!V53),-3)</f>
        <v>260000</v>
      </c>
      <c r="S9" s="36">
        <f>ROUND(('Debt-Gen'!W53+'Debt-Gen'!X53),-3)</f>
        <v>260000</v>
      </c>
      <c r="T9" s="36">
        <f>ROUND(('Debt-Gen'!Y53+'Debt-Gen'!Z53),-3)</f>
        <v>260000</v>
      </c>
      <c r="U9" s="36">
        <f>ROUND(('Debt-Gen'!AB53+'Debt-Gen'!AA53),-3)</f>
        <v>260000</v>
      </c>
      <c r="V9" s="36">
        <f>ROUND(('Debt-Gen'!AC53+'Debt-Gen'!AD53),-3)</f>
        <v>0</v>
      </c>
      <c r="W9" s="36">
        <f>ROUND(('Debt-Gen'!AE53+'Debt-Gen'!AF53),-3)</f>
        <v>0</v>
      </c>
      <c r="X9" s="36">
        <f>ROUND(('Debt-Gen'!AF53+'Debt-Gen'!AG53),-3)</f>
        <v>0</v>
      </c>
      <c r="Y9" s="36"/>
      <c r="AJ9" s="1" t="s">
        <v>4345</v>
      </c>
      <c r="AK9" s="36">
        <v>0</v>
      </c>
      <c r="AL9" s="36">
        <v>175700</v>
      </c>
      <c r="AM9" s="36">
        <v>175700</v>
      </c>
      <c r="AN9" s="36">
        <v>175700</v>
      </c>
      <c r="AO9" s="36">
        <v>175700</v>
      </c>
    </row>
    <row r="10" spans="1:48" x14ac:dyDescent="0.2">
      <c r="A10" s="726" t="s">
        <v>4331</v>
      </c>
      <c r="I10" s="36">
        <v>128000</v>
      </c>
      <c r="J10" s="36">
        <v>64000</v>
      </c>
      <c r="K10" s="36">
        <v>64000</v>
      </c>
      <c r="L10" s="36">
        <f>L9*0.25</f>
        <v>65000</v>
      </c>
      <c r="M10" s="36">
        <v>0</v>
      </c>
      <c r="N10" s="36">
        <f>ROUND(('Debt-Gen'!O54+'Debt-Gen'!N54),-3)</f>
        <v>0</v>
      </c>
      <c r="O10" s="36">
        <f>ROUND(('Debt-Gen'!P54+'Debt-Gen'!O54),-3)</f>
        <v>0</v>
      </c>
      <c r="P10" s="36">
        <f>ROUND(('Debt-Gen'!Q54+'Debt-Gen'!R54),-3)</f>
        <v>0</v>
      </c>
      <c r="Q10" s="36">
        <f>ROUND(('Debt-Gen'!S54+'Debt-Gen'!T54),-3)</f>
        <v>0</v>
      </c>
      <c r="R10" s="36">
        <f>ROUND(('Debt-Gen'!U54+'Debt-Gen'!V54),-3)</f>
        <v>0</v>
      </c>
      <c r="S10" s="36">
        <f>ROUND(('Debt-Gen'!W54+'Debt-Gen'!X54),-3)</f>
        <v>0</v>
      </c>
      <c r="T10" s="36">
        <f>ROUND(('Debt-Gen'!Y54+'Debt-Gen'!Z54),-3)</f>
        <v>0</v>
      </c>
      <c r="U10" s="36">
        <f>ROUND(('Debt-Gen'!Z54+'Debt-Gen'!AA54),-3)</f>
        <v>0</v>
      </c>
      <c r="V10" s="36">
        <f>ROUND(('Debt-Gen'!AA54+'Debt-Gen'!AB54),-3)</f>
        <v>0</v>
      </c>
      <c r="W10" s="36">
        <f>ROUND(('Debt-Gen'!AB54+'Debt-Gen'!AC54),-3)</f>
        <v>0</v>
      </c>
      <c r="X10" s="36">
        <f>ROUND(('Debt-Gen'!AC54+'Debt-Gen'!AD54),-3)</f>
        <v>0</v>
      </c>
      <c r="Y10" s="36"/>
      <c r="AJ10" s="1" t="s">
        <v>4346</v>
      </c>
      <c r="AK10" s="36">
        <v>256000</v>
      </c>
      <c r="AL10" s="36">
        <v>255500</v>
      </c>
      <c r="AM10" s="36">
        <v>256000</v>
      </c>
      <c r="AN10" s="36">
        <v>256000</v>
      </c>
      <c r="AO10" s="36">
        <v>256000</v>
      </c>
    </row>
    <row r="11" spans="1:48" x14ac:dyDescent="0.2">
      <c r="A11" s="726" t="s">
        <v>1547</v>
      </c>
      <c r="E11" s="726"/>
      <c r="I11" s="36">
        <v>399000</v>
      </c>
      <c r="J11" s="36">
        <v>745000</v>
      </c>
      <c r="K11" s="36">
        <v>899000</v>
      </c>
      <c r="L11" s="36">
        <f>ROUND(SUM('Debt-Gen'!I45:J50),-3)</f>
        <v>949000</v>
      </c>
      <c r="M11" s="36">
        <f>ROUND(SUM('Debt-Gen'!K45:L50),-3)</f>
        <v>949000</v>
      </c>
      <c r="N11" s="36">
        <f>ROUND(SUM('Debt-Gen'!M45:N50),-3)</f>
        <v>949000</v>
      </c>
      <c r="O11" s="36">
        <f>ROUND(SUM('Debt-Gen'!O45:P50),-3)</f>
        <v>949000</v>
      </c>
      <c r="P11" s="36">
        <f>ROUND(SUM('Debt-Gen'!Q45:R50),-3)</f>
        <v>999000</v>
      </c>
      <c r="Q11" s="36">
        <f>ROUND(SUM('Debt-Gen'!S45:T50),-3)</f>
        <v>599000</v>
      </c>
      <c r="R11" s="36">
        <f>ROUND(SUM('Debt-Gen'!U45:V50),-3)</f>
        <v>1349000</v>
      </c>
      <c r="S11" s="36">
        <f>ROUND(SUM('Debt-Gen'!W45:X50),-3)</f>
        <v>1349000</v>
      </c>
      <c r="T11" s="36">
        <f>ROUND(SUM('Debt-Gen'!Y45:Z50),-3)</f>
        <v>1349000</v>
      </c>
      <c r="U11" s="36">
        <f>ROUND(SUM('Debt-Gen'!AA45:AB50),-3)</f>
        <v>1195000</v>
      </c>
      <c r="V11" s="36">
        <f>ROUND(SUM('Debt-Gen'!AC45:AD50),-3)</f>
        <v>750000</v>
      </c>
      <c r="W11" s="36">
        <f>ROUND(SUM('Debt-Gen'!AE45:AF50),-3)</f>
        <v>750000</v>
      </c>
      <c r="X11" s="36">
        <f>ROUND(SUM('Debt-Gen'!AG45:AH50),-3)</f>
        <v>750000</v>
      </c>
      <c r="Y11" s="36"/>
      <c r="AJ11" s="1" t="s">
        <v>4347</v>
      </c>
      <c r="AK11" s="36">
        <v>0</v>
      </c>
      <c r="AL11" s="36">
        <v>0</v>
      </c>
      <c r="AM11" s="36">
        <v>0</v>
      </c>
      <c r="AN11" s="36">
        <v>0</v>
      </c>
      <c r="AO11" s="36">
        <v>0</v>
      </c>
    </row>
    <row r="12" spans="1:48" x14ac:dyDescent="0.2">
      <c r="A12" s="726" t="s">
        <v>4333</v>
      </c>
      <c r="I12" s="36">
        <f>284000+29000</f>
        <v>313000</v>
      </c>
      <c r="J12" s="36">
        <v>450000</v>
      </c>
      <c r="K12" s="36">
        <v>302000</v>
      </c>
      <c r="L12" s="36">
        <f>ROUND(K12*Assumptions!F5+K12,-3)</f>
        <v>309000</v>
      </c>
      <c r="M12" s="36">
        <f>ROUND(L12*Assumptions!G5+L12,-3)</f>
        <v>315000</v>
      </c>
      <c r="N12" s="36">
        <f>ROUND(M12*Assumptions!H5+M12,-3)</f>
        <v>320000</v>
      </c>
      <c r="O12" s="36">
        <f>ROUND(N12*Assumptions!I5+N12,-3)</f>
        <v>327000</v>
      </c>
      <c r="P12" s="36">
        <f>ROUND(O12*Assumptions!J5+O12,-3)</f>
        <v>335000</v>
      </c>
      <c r="Q12" s="36">
        <f>ROUND(P12*Assumptions!K5+P12,-3)</f>
        <v>343000</v>
      </c>
      <c r="R12" s="36">
        <f>ROUND(Q12*Assumptions!L5+Q12,-3)</f>
        <v>352000</v>
      </c>
      <c r="S12" s="36">
        <f>ROUND(R12*Assumptions!M5+R12,-3)</f>
        <v>361000</v>
      </c>
      <c r="T12" s="36">
        <f>ROUND(S12*Assumptions!N5+S12,-3)</f>
        <v>370000</v>
      </c>
      <c r="U12" s="36">
        <f>ROUND(T12*Assumptions!O5+T12,-3)</f>
        <v>379000</v>
      </c>
      <c r="V12" s="36">
        <f>ROUND(U12*Assumptions!P5+U12,-3)</f>
        <v>388000</v>
      </c>
      <c r="W12" s="36">
        <f>ROUND(V12*Assumptions!Q5+V12,-3)</f>
        <v>398000</v>
      </c>
      <c r="X12" s="36">
        <f>ROUND(W12*Assumptions!R5+W12,-3)</f>
        <v>408000</v>
      </c>
      <c r="Y12" s="36"/>
      <c r="Z12" s="1" t="s">
        <v>4332</v>
      </c>
      <c r="AJ12" s="1998" t="s">
        <v>4350</v>
      </c>
      <c r="AK12" s="1798" t="s">
        <v>1641</v>
      </c>
      <c r="AL12" s="1798" t="s">
        <v>929</v>
      </c>
      <c r="AM12" s="1798" t="s">
        <v>883</v>
      </c>
      <c r="AN12" s="1798" t="s">
        <v>2037</v>
      </c>
      <c r="AO12" s="1798" t="s">
        <v>1587</v>
      </c>
      <c r="AQ12" s="1998" t="s">
        <v>4358</v>
      </c>
      <c r="AR12" s="1798" t="s">
        <v>1641</v>
      </c>
      <c r="AS12" s="1798" t="s">
        <v>929</v>
      </c>
      <c r="AT12" s="1798" t="s">
        <v>883</v>
      </c>
      <c r="AU12" s="1798" t="s">
        <v>2037</v>
      </c>
      <c r="AV12" s="1798" t="s">
        <v>1587</v>
      </c>
    </row>
    <row r="13" spans="1:48" x14ac:dyDescent="0.2">
      <c r="A13" s="1" t="s">
        <v>2023</v>
      </c>
      <c r="I13" s="36">
        <v>40000</v>
      </c>
      <c r="J13" s="36">
        <v>41000</v>
      </c>
      <c r="K13" s="36">
        <v>42000</v>
      </c>
      <c r="L13" s="36">
        <f>ROUND(K13*Assumptions!F$5+K13,-3)</f>
        <v>43000</v>
      </c>
      <c r="M13" s="36">
        <f>ROUND(L13*Assumptions!G$5+L13,-3)</f>
        <v>44000</v>
      </c>
      <c r="N13" s="36">
        <f>ROUND(M13*Assumptions!H$5+M13,-3)</f>
        <v>45000</v>
      </c>
      <c r="O13" s="36">
        <f>ROUND(N13*Assumptions!I$5+N13,-3)</f>
        <v>46000</v>
      </c>
      <c r="P13" s="36">
        <f>ROUND(O13*Assumptions!J$5+O13,-3)</f>
        <v>47000</v>
      </c>
      <c r="Q13" s="36">
        <f>ROUND(P13*Assumptions!K$5+P13,-3)</f>
        <v>48000</v>
      </c>
      <c r="R13" s="36">
        <f>ROUND(Q13*Assumptions!L$5+Q13,-3)</f>
        <v>49000</v>
      </c>
      <c r="S13" s="36">
        <f>ROUND(R13*Assumptions!M$5+R13,-3)</f>
        <v>50000</v>
      </c>
      <c r="T13" s="36">
        <f>ROUND(S13*Assumptions!N$5+S13,-3)</f>
        <v>51000</v>
      </c>
      <c r="U13" s="36">
        <f>ROUND(T13*Assumptions!O$5+T13,-3)</f>
        <v>52000</v>
      </c>
      <c r="V13" s="36">
        <f>ROUND(U13*Assumptions!P$5+U13,-3)</f>
        <v>53000</v>
      </c>
      <c r="W13" s="36">
        <f>ROUND(V13*Assumptions!Q$5+V13,-3)</f>
        <v>54000</v>
      </c>
      <c r="X13" s="36">
        <f>ROUND(W13*Assumptions!R$5+W13,-3)</f>
        <v>55000</v>
      </c>
      <c r="Y13" s="36"/>
      <c r="Z13" s="245">
        <v>284000</v>
      </c>
      <c r="AA13" s="245">
        <f>ROUND(Z13*1.03,-3)</f>
        <v>293000</v>
      </c>
      <c r="AB13" s="245">
        <f t="shared" ref="AB13:AH13" si="9">ROUND(AA13*1.03,-3)</f>
        <v>302000</v>
      </c>
      <c r="AC13" s="245">
        <f t="shared" si="9"/>
        <v>311000</v>
      </c>
      <c r="AD13" s="245">
        <f t="shared" si="9"/>
        <v>320000</v>
      </c>
      <c r="AE13" s="245">
        <f t="shared" si="9"/>
        <v>330000</v>
      </c>
      <c r="AF13" s="245">
        <f t="shared" si="9"/>
        <v>340000</v>
      </c>
      <c r="AG13" s="245">
        <f t="shared" si="9"/>
        <v>350000</v>
      </c>
      <c r="AH13" s="245">
        <f t="shared" si="9"/>
        <v>361000</v>
      </c>
      <c r="AJ13" s="573" t="s">
        <v>4348</v>
      </c>
      <c r="AK13" s="65">
        <v>2902000</v>
      </c>
      <c r="AL13" s="65">
        <v>3504000</v>
      </c>
      <c r="AM13" s="65">
        <v>3609000</v>
      </c>
      <c r="AN13" s="65">
        <v>3717000</v>
      </c>
      <c r="AO13" s="65">
        <v>3829000</v>
      </c>
      <c r="AR13" s="36">
        <f>I4</f>
        <v>2902000</v>
      </c>
      <c r="AS13" s="36">
        <f>J4</f>
        <v>3504000</v>
      </c>
      <c r="AT13" s="36">
        <f>K4</f>
        <v>3609000</v>
      </c>
      <c r="AU13" s="36">
        <f>L4</f>
        <v>3717000</v>
      </c>
      <c r="AV13" s="36">
        <f>M4</f>
        <v>3829000</v>
      </c>
    </row>
    <row r="14" spans="1:48" x14ac:dyDescent="0.2">
      <c r="A14" s="1" t="s">
        <v>2024</v>
      </c>
      <c r="I14" s="36">
        <v>33000</v>
      </c>
      <c r="J14" s="36">
        <v>34000</v>
      </c>
      <c r="K14" s="36">
        <v>35000</v>
      </c>
      <c r="L14" s="36">
        <f>ROUND(K14*Assumptions!F$5+K14,-3)</f>
        <v>36000</v>
      </c>
      <c r="M14" s="36">
        <f>ROUND(L14*Assumptions!G$5+L14,-3)</f>
        <v>37000</v>
      </c>
      <c r="N14" s="36">
        <f>ROUND(M14*Assumptions!H$5+M14,-3)</f>
        <v>38000</v>
      </c>
      <c r="O14" s="36">
        <f>ROUND(N14*Assumptions!I$5+N14,-3)</f>
        <v>39000</v>
      </c>
      <c r="P14" s="36">
        <f>ROUND(O14*Assumptions!J$5+O14,-3)</f>
        <v>40000</v>
      </c>
      <c r="Q14" s="36">
        <f>ROUND(P14*Assumptions!K$5+P14,-3)</f>
        <v>41000</v>
      </c>
      <c r="R14" s="36">
        <f>ROUND(Q14*Assumptions!L$5+Q14,-3)</f>
        <v>42000</v>
      </c>
      <c r="S14" s="36">
        <f>ROUND(R14*Assumptions!M$5+R14,-3)</f>
        <v>43000</v>
      </c>
      <c r="T14" s="36">
        <f>ROUND(S14*Assumptions!N$5+S14,-3)</f>
        <v>44000</v>
      </c>
      <c r="U14" s="36">
        <f>ROUND(T14*Assumptions!O$5+T14,-3)</f>
        <v>45000</v>
      </c>
      <c r="V14" s="36">
        <f>ROUND(U14*Assumptions!P$5+U14,-3)</f>
        <v>46000</v>
      </c>
      <c r="W14" s="36">
        <f>ROUND(V14*Assumptions!Q$5+V14,-3)</f>
        <v>47000</v>
      </c>
      <c r="X14" s="36">
        <f>ROUND(W14*Assumptions!R$5+W14,-3)</f>
        <v>48000</v>
      </c>
      <c r="Y14" s="36"/>
      <c r="Z14" s="1798" t="str">
        <f t="shared" ref="Z14:AH14" si="10">I6</f>
        <v>2012/13</v>
      </c>
      <c r="AA14" s="1798" t="str">
        <f t="shared" si="10"/>
        <v>2013/14</v>
      </c>
      <c r="AB14" s="1798" t="str">
        <f t="shared" si="10"/>
        <v>2014/15</v>
      </c>
      <c r="AC14" s="1798" t="str">
        <f t="shared" si="10"/>
        <v>2015/16</v>
      </c>
      <c r="AD14" s="1798" t="str">
        <f t="shared" si="10"/>
        <v>2016/17</v>
      </c>
      <c r="AE14" s="1798" t="str">
        <f t="shared" si="10"/>
        <v>2017/18</v>
      </c>
      <c r="AF14" s="1798" t="str">
        <f t="shared" si="10"/>
        <v>2018/19</v>
      </c>
      <c r="AG14" s="1798" t="str">
        <f t="shared" si="10"/>
        <v>2019/20</v>
      </c>
      <c r="AH14" s="1798" t="str">
        <f t="shared" si="10"/>
        <v>2020/21</v>
      </c>
      <c r="AI14" s="245"/>
      <c r="AJ14" s="285"/>
      <c r="AK14" s="285"/>
      <c r="AL14" s="285"/>
      <c r="AM14" s="285"/>
      <c r="AN14" s="285"/>
      <c r="AO14" s="285"/>
    </row>
    <row r="15" spans="1:48" x14ac:dyDescent="0.2">
      <c r="A15" s="1" t="s">
        <v>3004</v>
      </c>
      <c r="I15" s="36">
        <v>24000</v>
      </c>
      <c r="J15" s="36">
        <v>25000</v>
      </c>
      <c r="K15" s="36">
        <v>26000</v>
      </c>
      <c r="L15" s="36">
        <f>ROUND(K15*Assumptions!F$5+K15,-3)</f>
        <v>27000</v>
      </c>
      <c r="M15" s="36">
        <f>ROUND(L15*Assumptions!G$5+L15,-3)</f>
        <v>28000</v>
      </c>
      <c r="N15" s="36">
        <f>ROUND(M15*Assumptions!H$5+M15,-3)</f>
        <v>28000</v>
      </c>
      <c r="O15" s="36">
        <f>ROUND(N15*Assumptions!I$5+N15,-3)</f>
        <v>29000</v>
      </c>
      <c r="P15" s="36">
        <f>ROUND(O15*Assumptions!J$5+O15,-3)</f>
        <v>30000</v>
      </c>
      <c r="Q15" s="36">
        <f>ROUND(P15*Assumptions!K$5+P15,-3)</f>
        <v>31000</v>
      </c>
      <c r="R15" s="36">
        <f>ROUND(Q15*Assumptions!L$5+Q15,-3)</f>
        <v>32000</v>
      </c>
      <c r="S15" s="36">
        <f>ROUND(R15*Assumptions!M$5+R15,-3)</f>
        <v>33000</v>
      </c>
      <c r="T15" s="36">
        <f>ROUND(S15*Assumptions!N$5+S15,-3)</f>
        <v>34000</v>
      </c>
      <c r="U15" s="36">
        <f>ROUND(T15*Assumptions!O$5+T15,-3)</f>
        <v>35000</v>
      </c>
      <c r="V15" s="36">
        <f>ROUND(U15*Assumptions!P$5+U15,-3)</f>
        <v>36000</v>
      </c>
      <c r="W15" s="36">
        <f>ROUND(V15*Assumptions!Q$5+V15,-3)</f>
        <v>37000</v>
      </c>
      <c r="X15" s="36">
        <f>ROUND(W15*Assumptions!R$5+W15,-3)</f>
        <v>38000</v>
      </c>
      <c r="Y15" s="36"/>
      <c r="AJ15" s="573" t="s">
        <v>2491</v>
      </c>
    </row>
    <row r="16" spans="1:48" x14ac:dyDescent="0.2">
      <c r="A16" s="1" t="s">
        <v>2025</v>
      </c>
      <c r="I16" s="36">
        <v>40000</v>
      </c>
      <c r="J16" s="36">
        <v>41000</v>
      </c>
      <c r="K16" s="36">
        <v>42000</v>
      </c>
      <c r="L16" s="36">
        <f>ROUND(K16*Assumptions!F$5+K16,-3)</f>
        <v>43000</v>
      </c>
      <c r="M16" s="36">
        <f>ROUND(L16*Assumptions!G$5+L16,-3)</f>
        <v>44000</v>
      </c>
      <c r="N16" s="36">
        <f>ROUND(M16*Assumptions!H$5+M16,-3)</f>
        <v>45000</v>
      </c>
      <c r="O16" s="36">
        <f>ROUND(N16*Assumptions!I$5+N16,-3)</f>
        <v>46000</v>
      </c>
      <c r="P16" s="36">
        <f>ROUND(O16*Assumptions!J$5+O16,-3)</f>
        <v>47000</v>
      </c>
      <c r="Q16" s="36">
        <f>ROUND(P16*Assumptions!K$5+P16,-3)</f>
        <v>48000</v>
      </c>
      <c r="R16" s="36">
        <f>ROUND(Q16*Assumptions!L$5+Q16,-3)</f>
        <v>49000</v>
      </c>
      <c r="S16" s="36">
        <f>ROUND(R16*Assumptions!M$5+R16,-3)</f>
        <v>50000</v>
      </c>
      <c r="T16" s="36">
        <f>ROUND(S16*Assumptions!N$5+S16,-3)</f>
        <v>51000</v>
      </c>
      <c r="U16" s="36">
        <f>ROUND(T16*Assumptions!O$5+T16,-3)</f>
        <v>52000</v>
      </c>
      <c r="V16" s="36">
        <f>ROUND(U16*Assumptions!P$5+U16,-3)</f>
        <v>53000</v>
      </c>
      <c r="W16" s="36">
        <f>ROUND(V16*Assumptions!Q$5+V16,-3)</f>
        <v>54000</v>
      </c>
      <c r="X16" s="36">
        <f>ROUND(W16*Assumptions!R$5+W16,-3)</f>
        <v>55000</v>
      </c>
      <c r="Y16" s="36"/>
      <c r="AJ16" s="726" t="s">
        <v>2237</v>
      </c>
      <c r="AK16" s="36">
        <v>1879000</v>
      </c>
      <c r="AL16" s="36">
        <v>2142000</v>
      </c>
      <c r="AM16" s="36">
        <v>2100000</v>
      </c>
      <c r="AN16" s="36">
        <v>2135000</v>
      </c>
      <c r="AO16" s="36">
        <v>2233000</v>
      </c>
      <c r="AR16" s="36">
        <f>AR65</f>
        <v>1892000</v>
      </c>
      <c r="AS16" s="36">
        <f t="shared" ref="AS16:AV16" si="11">AS65</f>
        <v>2005000</v>
      </c>
      <c r="AT16" s="36">
        <f t="shared" si="11"/>
        <v>2302000</v>
      </c>
      <c r="AU16" s="36">
        <f t="shared" si="11"/>
        <v>1480000</v>
      </c>
      <c r="AV16" s="36">
        <f t="shared" si="11"/>
        <v>3248200</v>
      </c>
    </row>
    <row r="17" spans="1:48" x14ac:dyDescent="0.2">
      <c r="A17" s="1" t="s">
        <v>2482</v>
      </c>
      <c r="I17" s="36">
        <v>-19000</v>
      </c>
      <c r="J17" s="36">
        <v>-20000</v>
      </c>
      <c r="K17" s="36">
        <v>-21000</v>
      </c>
      <c r="L17" s="36">
        <f>ROUND(K17*Assumptions!F$5+K17,-3)</f>
        <v>-22000</v>
      </c>
      <c r="M17" s="36">
        <f>ROUND(L17*Assumptions!G$5+L17,-3)</f>
        <v>-22000</v>
      </c>
      <c r="N17" s="36">
        <f>ROUND(M17*Assumptions!H$5+M17,-3)</f>
        <v>-22000</v>
      </c>
      <c r="O17" s="36">
        <f>ROUND(N17*Assumptions!I$5+N17,-3)</f>
        <v>-23000</v>
      </c>
      <c r="P17" s="36">
        <f>ROUND(O17*Assumptions!J$5+O17,-3)</f>
        <v>-24000</v>
      </c>
      <c r="Q17" s="36">
        <f>ROUND(P17*Assumptions!K$5+P17,-3)</f>
        <v>-25000</v>
      </c>
      <c r="R17" s="36">
        <f>ROUND(Q17*Assumptions!L$5+Q17,-3)</f>
        <v>-26000</v>
      </c>
      <c r="S17" s="36">
        <f>ROUND(R17*Assumptions!M$5+R17,-3)</f>
        <v>-27000</v>
      </c>
      <c r="T17" s="36">
        <f>ROUND(S17*Assumptions!N$5+S17,-3)</f>
        <v>-28000</v>
      </c>
      <c r="U17" s="36">
        <f>ROUND(T17*Assumptions!O$5+T17,-3)</f>
        <v>-29000</v>
      </c>
      <c r="V17" s="36">
        <f>ROUND(U17*Assumptions!P$5+U17,-3)</f>
        <v>-30000</v>
      </c>
      <c r="W17" s="36">
        <f>ROUND(V17*Assumptions!Q$5+V17,-3)</f>
        <v>-31000</v>
      </c>
      <c r="X17" s="36">
        <f>ROUND(W17*Assumptions!R$5+W17,-3)</f>
        <v>-32000</v>
      </c>
      <c r="Y17" s="36"/>
      <c r="AJ17" s="726" t="s">
        <v>2238</v>
      </c>
      <c r="AK17" s="36">
        <v>256000</v>
      </c>
      <c r="AL17" s="36">
        <v>256000</v>
      </c>
      <c r="AM17" s="36">
        <v>256000</v>
      </c>
      <c r="AN17" s="36">
        <v>256000</v>
      </c>
      <c r="AO17" s="36">
        <v>256000</v>
      </c>
      <c r="AR17" s="36">
        <f t="shared" ref="AR17:AV17" si="12">AR66</f>
        <v>256000</v>
      </c>
      <c r="AS17" s="36">
        <f t="shared" si="12"/>
        <v>256000</v>
      </c>
      <c r="AT17" s="36">
        <f t="shared" si="12"/>
        <v>256000</v>
      </c>
      <c r="AU17" s="36">
        <f t="shared" si="12"/>
        <v>260000</v>
      </c>
      <c r="AV17" s="36">
        <f t="shared" si="12"/>
        <v>260000</v>
      </c>
    </row>
    <row r="18" spans="1:48" x14ac:dyDescent="0.2">
      <c r="A18" s="1" t="s">
        <v>2026</v>
      </c>
      <c r="I18" s="36">
        <v>65000</v>
      </c>
      <c r="J18" s="36">
        <v>67000</v>
      </c>
      <c r="K18" s="36">
        <v>69000</v>
      </c>
      <c r="L18" s="36">
        <f>ROUND(K18*Assumptions!F$5+K18,-3)</f>
        <v>71000</v>
      </c>
      <c r="M18" s="36">
        <f>ROUND(L18*Assumptions!G$5+L18,-3)</f>
        <v>72000</v>
      </c>
      <c r="N18" s="36">
        <f>ROUND(M18*Assumptions!H$5+M18,-3)</f>
        <v>73000</v>
      </c>
      <c r="O18" s="36">
        <f>ROUND(N18*Assumptions!I$5+N18,-3)</f>
        <v>75000</v>
      </c>
      <c r="P18" s="36">
        <f>ROUND(O18*Assumptions!J$5+O18,-3)</f>
        <v>77000</v>
      </c>
      <c r="Q18" s="36">
        <f>ROUND(P18*Assumptions!K$5+P18,-3)</f>
        <v>79000</v>
      </c>
      <c r="R18" s="36">
        <f>ROUND(Q18*Assumptions!L$5+Q18,-3)</f>
        <v>81000</v>
      </c>
      <c r="S18" s="36">
        <f>ROUND(R18*Assumptions!M$5+R18,-3)</f>
        <v>83000</v>
      </c>
      <c r="T18" s="36">
        <f>ROUND(S18*Assumptions!N$5+S18,-3)</f>
        <v>85000</v>
      </c>
      <c r="U18" s="36">
        <f>ROUND(T18*Assumptions!O$5+T18,-3)</f>
        <v>87000</v>
      </c>
      <c r="V18" s="36">
        <f>ROUND(U18*Assumptions!P$5+U18,-3)</f>
        <v>89000</v>
      </c>
      <c r="W18" s="36">
        <f>ROUND(V18*Assumptions!Q$5+V18,-3)</f>
        <v>91000</v>
      </c>
      <c r="X18" s="36">
        <f>ROUND(W18*Assumptions!R$5+W18,-3)</f>
        <v>93000</v>
      </c>
      <c r="Y18" s="36"/>
      <c r="AJ18" s="726" t="s">
        <v>4351</v>
      </c>
      <c r="AK18" s="36">
        <v>128000</v>
      </c>
      <c r="AL18" s="36">
        <v>64000</v>
      </c>
      <c r="AM18" s="36">
        <v>64000</v>
      </c>
      <c r="AN18" s="36">
        <v>64000</v>
      </c>
      <c r="AO18" s="36">
        <v>0</v>
      </c>
      <c r="AR18" s="36">
        <f t="shared" ref="AR18:AV18" si="13">AR67</f>
        <v>128000</v>
      </c>
      <c r="AS18" s="36">
        <f t="shared" si="13"/>
        <v>64000</v>
      </c>
      <c r="AT18" s="36">
        <f t="shared" si="13"/>
        <v>64000</v>
      </c>
      <c r="AU18" s="36">
        <f t="shared" si="13"/>
        <v>65000</v>
      </c>
      <c r="AV18" s="36">
        <f t="shared" si="13"/>
        <v>0</v>
      </c>
    </row>
    <row r="19" spans="1:48" x14ac:dyDescent="0.2">
      <c r="A19" s="1" t="s">
        <v>2483</v>
      </c>
      <c r="I19" s="36">
        <v>-40500</v>
      </c>
      <c r="J19" s="36">
        <v>-42000</v>
      </c>
      <c r="K19" s="36">
        <v>-43000</v>
      </c>
      <c r="L19" s="36">
        <f>ROUND(K19*Assumptions!F$5+K19,-3)</f>
        <v>-44000</v>
      </c>
      <c r="M19" s="36">
        <f>ROUND(L19*Assumptions!G$5+L19,-3)</f>
        <v>-45000</v>
      </c>
      <c r="N19" s="36">
        <f>ROUND(M19*Assumptions!H$5+M19,-3)</f>
        <v>-46000</v>
      </c>
      <c r="O19" s="36">
        <f>ROUND(N19*Assumptions!I$5+N19,-3)</f>
        <v>-47000</v>
      </c>
      <c r="P19" s="36">
        <f>ROUND(O19*Assumptions!J$5+O19,-3)</f>
        <v>-48000</v>
      </c>
      <c r="Q19" s="36">
        <f>ROUND(P19*Assumptions!K$5+P19,-3)</f>
        <v>-49000</v>
      </c>
      <c r="R19" s="36">
        <f>ROUND(Q19*Assumptions!L$5+Q19,-3)</f>
        <v>-50000</v>
      </c>
      <c r="S19" s="36">
        <f>ROUND(R19*Assumptions!M$5+R19,-3)</f>
        <v>-51000</v>
      </c>
      <c r="T19" s="36">
        <f>ROUND(S19*Assumptions!N$5+S19,-3)</f>
        <v>-52000</v>
      </c>
      <c r="U19" s="36">
        <f>ROUND(T19*Assumptions!O$5+T19,-3)</f>
        <v>-53000</v>
      </c>
      <c r="V19" s="36">
        <f>ROUND(U19*Assumptions!P$5+U19,-3)</f>
        <v>-54000</v>
      </c>
      <c r="W19" s="36">
        <f>ROUND(V19*Assumptions!Q$5+V19,-3)</f>
        <v>-55000</v>
      </c>
      <c r="X19" s="36">
        <f>ROUND(W19*Assumptions!R$5+W19,-3)</f>
        <v>-56000</v>
      </c>
      <c r="Y19" s="36"/>
      <c r="AJ19" s="726" t="s">
        <v>1547</v>
      </c>
      <c r="AK19" s="36">
        <v>441000</v>
      </c>
      <c r="AL19" s="36">
        <v>932000</v>
      </c>
      <c r="AM19" s="36">
        <v>932000</v>
      </c>
      <c r="AN19" s="36">
        <v>982000</v>
      </c>
      <c r="AO19" s="36">
        <v>982000</v>
      </c>
      <c r="AR19" s="36">
        <f t="shared" ref="AR19:AV19" si="14">AR70</f>
        <v>399000</v>
      </c>
      <c r="AS19" s="36">
        <f t="shared" si="14"/>
        <v>745000</v>
      </c>
      <c r="AT19" s="36">
        <f t="shared" si="14"/>
        <v>899000</v>
      </c>
      <c r="AU19" s="36">
        <f t="shared" si="14"/>
        <v>949000</v>
      </c>
      <c r="AV19" s="36">
        <f t="shared" si="14"/>
        <v>949000</v>
      </c>
    </row>
    <row r="20" spans="1:48" x14ac:dyDescent="0.2">
      <c r="A20" s="1" t="s">
        <v>2027</v>
      </c>
      <c r="I20" s="36">
        <v>68000</v>
      </c>
      <c r="J20" s="36">
        <v>70000</v>
      </c>
      <c r="K20" s="36">
        <v>72000</v>
      </c>
      <c r="L20" s="36">
        <f>ROUND(K20*Assumptions!F$5+K20,-3)</f>
        <v>74000</v>
      </c>
      <c r="M20" s="36">
        <f>ROUND(L20*Assumptions!G$5+L20,-3)</f>
        <v>75000</v>
      </c>
      <c r="N20" s="36">
        <f>ROUND(M20*Assumptions!H$5+M20,-3)</f>
        <v>76000</v>
      </c>
      <c r="O20" s="36">
        <f>ROUND(N20*Assumptions!I$5+N20,-3)</f>
        <v>78000</v>
      </c>
      <c r="P20" s="36">
        <f>ROUND(O20*Assumptions!J$5+O20,-3)</f>
        <v>80000</v>
      </c>
      <c r="Q20" s="36">
        <f>ROUND(P20*Assumptions!K$5+P20,-3)</f>
        <v>82000</v>
      </c>
      <c r="R20" s="36">
        <f>ROUND(Q20*Assumptions!L$5+Q20,-3)</f>
        <v>84000</v>
      </c>
      <c r="S20" s="36">
        <f>ROUND(R20*Assumptions!M$5+R20,-3)</f>
        <v>86000</v>
      </c>
      <c r="T20" s="36">
        <f>ROUND(S20*Assumptions!N$5+S20,-3)</f>
        <v>88000</v>
      </c>
      <c r="U20" s="36">
        <f>ROUND(T20*Assumptions!O$5+T20,-3)</f>
        <v>90000</v>
      </c>
      <c r="V20" s="36">
        <f>ROUND(U20*Assumptions!P$5+U20,-3)</f>
        <v>92000</v>
      </c>
      <c r="W20" s="36">
        <f>ROUND(V20*Assumptions!Q$5+V20,-3)</f>
        <v>94000</v>
      </c>
      <c r="X20" s="36">
        <f>ROUND(W20*Assumptions!R$5+W20,-3)</f>
        <v>96000</v>
      </c>
      <c r="Y20" s="36"/>
      <c r="AJ20" s="726" t="s">
        <v>4352</v>
      </c>
      <c r="AK20" s="36">
        <v>284000</v>
      </c>
      <c r="AL20" s="36">
        <v>298000</v>
      </c>
      <c r="AM20" s="36">
        <v>313000</v>
      </c>
      <c r="AN20" s="36">
        <v>329000</v>
      </c>
      <c r="AO20" s="36">
        <v>339000</v>
      </c>
      <c r="AR20" s="36">
        <f t="shared" ref="AR20:AV20" si="15">AR72</f>
        <v>313000</v>
      </c>
      <c r="AS20" s="36">
        <f t="shared" si="15"/>
        <v>450000</v>
      </c>
      <c r="AT20" s="36">
        <f t="shared" si="15"/>
        <v>302000</v>
      </c>
      <c r="AU20" s="36">
        <f t="shared" si="15"/>
        <v>309000</v>
      </c>
      <c r="AV20" s="36">
        <f t="shared" si="15"/>
        <v>315000</v>
      </c>
    </row>
    <row r="21" spans="1:48" x14ac:dyDescent="0.2">
      <c r="A21" s="1" t="s">
        <v>2028</v>
      </c>
      <c r="I21" s="36">
        <v>92000</v>
      </c>
      <c r="J21" s="36">
        <v>95000</v>
      </c>
      <c r="K21" s="36">
        <v>98000</v>
      </c>
      <c r="L21" s="36">
        <f>ROUND(K21*Assumptions!F$5+K21,-3)</f>
        <v>100000</v>
      </c>
      <c r="M21" s="36">
        <f>ROUND(L21*Assumptions!G$5+L21,-3)</f>
        <v>102000</v>
      </c>
      <c r="N21" s="36">
        <f>ROUND(M21*Assumptions!H$5+M21,-3)</f>
        <v>104000</v>
      </c>
      <c r="O21" s="36">
        <f>ROUND(N21*Assumptions!I$5+N21,-3)</f>
        <v>106000</v>
      </c>
      <c r="P21" s="36">
        <f>ROUND(O21*Assumptions!J$5+O21,-3)</f>
        <v>109000</v>
      </c>
      <c r="Q21" s="36">
        <f>ROUND(P21*Assumptions!K$5+P21,-3)</f>
        <v>112000</v>
      </c>
      <c r="R21" s="36">
        <f>ROUND(Q21*Assumptions!L$5+Q21,-3)</f>
        <v>115000</v>
      </c>
      <c r="S21" s="36">
        <f>ROUND(R21*Assumptions!M$5+R21,-3)</f>
        <v>118000</v>
      </c>
      <c r="T21" s="36">
        <f>ROUND(S21*Assumptions!N$5+S21,-3)</f>
        <v>121000</v>
      </c>
      <c r="U21" s="36">
        <f>ROUND(T21*Assumptions!O$5+T21,-3)</f>
        <v>124000</v>
      </c>
      <c r="V21" s="36">
        <f>ROUND(U21*Assumptions!P$5+U21,-3)</f>
        <v>127000</v>
      </c>
      <c r="W21" s="36">
        <f>ROUND(V21*Assumptions!Q$5+V21,-3)</f>
        <v>130000</v>
      </c>
      <c r="X21" s="36">
        <f>ROUND(W21*Assumptions!R$5+W21,-3)</f>
        <v>133000</v>
      </c>
      <c r="Y21" s="36"/>
      <c r="AJ21" s="1" t="s">
        <v>2023</v>
      </c>
      <c r="AK21" s="36">
        <v>40000</v>
      </c>
      <c r="AL21" s="36">
        <v>41000</v>
      </c>
      <c r="AM21" s="36">
        <v>42000</v>
      </c>
      <c r="AN21" s="36">
        <v>43000</v>
      </c>
      <c r="AO21" s="36">
        <v>44000</v>
      </c>
      <c r="AR21" s="36">
        <f t="shared" ref="AR21:AV21" si="16">AR73</f>
        <v>40000</v>
      </c>
      <c r="AS21" s="36">
        <f t="shared" si="16"/>
        <v>41000</v>
      </c>
      <c r="AT21" s="36">
        <f t="shared" si="16"/>
        <v>42000</v>
      </c>
      <c r="AU21" s="36">
        <f t="shared" si="16"/>
        <v>43000</v>
      </c>
      <c r="AV21" s="36">
        <f t="shared" si="16"/>
        <v>44000</v>
      </c>
    </row>
    <row r="22" spans="1:48" x14ac:dyDescent="0.2">
      <c r="A22" s="1" t="s">
        <v>2480</v>
      </c>
      <c r="I22" s="36">
        <v>-9000</v>
      </c>
      <c r="J22" s="36">
        <v>-9000</v>
      </c>
      <c r="K22" s="36">
        <v>-9000</v>
      </c>
      <c r="L22" s="36">
        <f>ROUND(K22*Assumptions!F$5+K22,-3)</f>
        <v>-9000</v>
      </c>
      <c r="M22" s="36">
        <f>ROUND(L22*Assumptions!G$5+L22,-3)</f>
        <v>-9000</v>
      </c>
      <c r="N22" s="36">
        <f>ROUND(M22*Assumptions!H$5+M22,-3)</f>
        <v>-9000</v>
      </c>
      <c r="O22" s="36">
        <f>ROUND(N22*Assumptions!I$5+N22,-3)</f>
        <v>-9000</v>
      </c>
      <c r="P22" s="36">
        <f>ROUND(O22*Assumptions!J$5+O22,-3)</f>
        <v>-9000</v>
      </c>
      <c r="Q22" s="36">
        <f>ROUND(P22*Assumptions!K$5+P22,-3)</f>
        <v>-9000</v>
      </c>
      <c r="R22" s="36">
        <f>ROUND(Q22*Assumptions!L$5+Q22,-3)</f>
        <v>-9000</v>
      </c>
      <c r="S22" s="36">
        <f>ROUND(R22*Assumptions!M$5+R22,-3)</f>
        <v>-9000</v>
      </c>
      <c r="T22" s="36">
        <f>ROUND(S22*Assumptions!N$5+S22,-3)</f>
        <v>-9000</v>
      </c>
      <c r="U22" s="36">
        <f>ROUND(T22*Assumptions!O$5+T22,-3)</f>
        <v>-9000</v>
      </c>
      <c r="V22" s="36">
        <f>ROUND(U22*Assumptions!P$5+U22,-3)</f>
        <v>-9000</v>
      </c>
      <c r="W22" s="36">
        <f>ROUND(V22*Assumptions!Q$5+V22,-3)</f>
        <v>-9000</v>
      </c>
      <c r="X22" s="36">
        <f>ROUND(W22*Assumptions!R$5+W22,-3)</f>
        <v>-9000</v>
      </c>
      <c r="Y22" s="36"/>
      <c r="AJ22" s="1" t="s">
        <v>2024</v>
      </c>
      <c r="AK22" s="36">
        <v>33000</v>
      </c>
      <c r="AL22" s="36">
        <v>34000</v>
      </c>
      <c r="AM22" s="36">
        <v>35000</v>
      </c>
      <c r="AN22" s="36">
        <v>36000</v>
      </c>
      <c r="AO22" s="36">
        <v>37000</v>
      </c>
      <c r="AR22" s="36">
        <f t="shared" ref="AR22:AV22" si="17">AR75</f>
        <v>33000</v>
      </c>
      <c r="AS22" s="36">
        <f t="shared" si="17"/>
        <v>34000</v>
      </c>
      <c r="AT22" s="36">
        <f t="shared" si="17"/>
        <v>35000</v>
      </c>
      <c r="AU22" s="36">
        <f t="shared" si="17"/>
        <v>36000</v>
      </c>
      <c r="AV22" s="36">
        <f t="shared" si="17"/>
        <v>37000</v>
      </c>
    </row>
    <row r="23" spans="1:48" x14ac:dyDescent="0.2">
      <c r="A23" s="1" t="s">
        <v>2338</v>
      </c>
      <c r="I23" s="36">
        <v>60000</v>
      </c>
      <c r="J23" s="36">
        <v>62000</v>
      </c>
      <c r="K23" s="36">
        <v>64000</v>
      </c>
      <c r="L23" s="36">
        <f>ROUND(K23*Assumptions!F$5+K23,-3)</f>
        <v>66000</v>
      </c>
      <c r="M23" s="36">
        <f>ROUND(L23*Assumptions!G$5+L23,-3)</f>
        <v>67000</v>
      </c>
      <c r="N23" s="36">
        <f>ROUND(M23*Assumptions!H$5+M23,-3)</f>
        <v>68000</v>
      </c>
      <c r="O23" s="36">
        <f>ROUND(N23*Assumptions!I$5+N23,-3)</f>
        <v>70000</v>
      </c>
      <c r="P23" s="36">
        <f>ROUND(O23*Assumptions!J$5+O23,-3)</f>
        <v>72000</v>
      </c>
      <c r="Q23" s="36">
        <f>ROUND(P23*Assumptions!K$5+P23,-3)</f>
        <v>74000</v>
      </c>
      <c r="R23" s="36">
        <f>ROUND(Q23*Assumptions!L$5+Q23,-3)</f>
        <v>76000</v>
      </c>
      <c r="S23" s="36">
        <f>ROUND(R23*Assumptions!M$5+R23,-3)</f>
        <v>78000</v>
      </c>
      <c r="T23" s="36">
        <f>ROUND(S23*Assumptions!N$5+S23,-3)</f>
        <v>80000</v>
      </c>
      <c r="U23" s="36">
        <f>ROUND(T23*Assumptions!O$5+T23,-3)</f>
        <v>82000</v>
      </c>
      <c r="V23" s="36">
        <f>ROUND(U23*Assumptions!P$5+U23,-3)</f>
        <v>84000</v>
      </c>
      <c r="W23" s="36">
        <f>ROUND(V23*Assumptions!Q$5+V23,-3)</f>
        <v>86000</v>
      </c>
      <c r="X23" s="36">
        <f>ROUND(W23*Assumptions!R$5+W23,-3)</f>
        <v>88000</v>
      </c>
      <c r="Y23" s="36"/>
      <c r="AJ23" s="1" t="s">
        <v>4353</v>
      </c>
      <c r="AK23" s="36">
        <v>24000</v>
      </c>
      <c r="AL23" s="36">
        <v>25000</v>
      </c>
      <c r="AM23" s="36">
        <v>26000</v>
      </c>
      <c r="AN23" s="36">
        <v>27000</v>
      </c>
      <c r="AO23" s="36">
        <v>28000</v>
      </c>
      <c r="AR23" s="36">
        <f t="shared" ref="AR23:AV23" si="18">AR76</f>
        <v>24000</v>
      </c>
      <c r="AS23" s="36">
        <f t="shared" si="18"/>
        <v>25000</v>
      </c>
      <c r="AT23" s="36">
        <f t="shared" si="18"/>
        <v>26000</v>
      </c>
      <c r="AU23" s="36">
        <f t="shared" si="18"/>
        <v>27000</v>
      </c>
      <c r="AV23" s="36">
        <f t="shared" si="18"/>
        <v>28000</v>
      </c>
    </row>
    <row r="24" spans="1:48" x14ac:dyDescent="0.2">
      <c r="A24" s="1" t="s">
        <v>2481</v>
      </c>
      <c r="I24" s="36">
        <v>-73500</v>
      </c>
      <c r="J24" s="36">
        <v>-76000</v>
      </c>
      <c r="K24" s="36">
        <v>-78000</v>
      </c>
      <c r="L24" s="36">
        <f t="shared" ref="L24:X24" si="19">ROUND(K24*1.03,-3)</f>
        <v>-80000</v>
      </c>
      <c r="M24" s="36">
        <f t="shared" si="19"/>
        <v>-82000</v>
      </c>
      <c r="N24" s="36">
        <f t="shared" si="19"/>
        <v>-84000</v>
      </c>
      <c r="O24" s="36">
        <f t="shared" si="19"/>
        <v>-87000</v>
      </c>
      <c r="P24" s="36">
        <f t="shared" si="19"/>
        <v>-90000</v>
      </c>
      <c r="Q24" s="36">
        <f t="shared" si="19"/>
        <v>-93000</v>
      </c>
      <c r="R24" s="36">
        <f t="shared" si="19"/>
        <v>-96000</v>
      </c>
      <c r="S24" s="36">
        <f t="shared" si="19"/>
        <v>-99000</v>
      </c>
      <c r="T24" s="36">
        <f t="shared" si="19"/>
        <v>-102000</v>
      </c>
      <c r="U24" s="36">
        <f t="shared" si="19"/>
        <v>-105000</v>
      </c>
      <c r="V24" s="36">
        <f t="shared" si="19"/>
        <v>-108000</v>
      </c>
      <c r="W24" s="36">
        <f t="shared" si="19"/>
        <v>-111000</v>
      </c>
      <c r="X24" s="36">
        <f t="shared" si="19"/>
        <v>-114000</v>
      </c>
      <c r="Y24" s="36"/>
      <c r="AJ24" s="1" t="s">
        <v>2025</v>
      </c>
      <c r="AK24" s="36">
        <v>40000</v>
      </c>
      <c r="AL24" s="36">
        <v>41000</v>
      </c>
      <c r="AM24" s="36">
        <v>42000</v>
      </c>
      <c r="AN24" s="36">
        <v>43000</v>
      </c>
      <c r="AO24" s="36">
        <v>44000</v>
      </c>
      <c r="AR24" s="36">
        <f t="shared" ref="AR24:AV24" si="20">AR77</f>
        <v>40000</v>
      </c>
      <c r="AS24" s="36">
        <f t="shared" si="20"/>
        <v>41000</v>
      </c>
      <c r="AT24" s="36">
        <f t="shared" si="20"/>
        <v>42000</v>
      </c>
      <c r="AU24" s="36">
        <f t="shared" si="20"/>
        <v>43000</v>
      </c>
      <c r="AV24" s="36">
        <f t="shared" si="20"/>
        <v>44000</v>
      </c>
    </row>
    <row r="25" spans="1:48" x14ac:dyDescent="0.2">
      <c r="A25" s="726" t="s">
        <v>520</v>
      </c>
      <c r="I25" s="115">
        <v>-110000</v>
      </c>
      <c r="J25" s="115">
        <v>-121500</v>
      </c>
      <c r="K25" s="115">
        <v>-127700</v>
      </c>
      <c r="L25" s="36">
        <f>-'Sec 94'!E55</f>
        <v>-110000</v>
      </c>
      <c r="M25" s="36">
        <f>-'Sec 94'!F55</f>
        <v>-110000</v>
      </c>
      <c r="N25" s="115">
        <f>-'Sec 94'!G55</f>
        <v>-110000</v>
      </c>
      <c r="O25" s="115">
        <f>-'Sec 94'!H55</f>
        <v>-110000</v>
      </c>
      <c r="P25" s="115">
        <f>-'Sec 94'!I55</f>
        <v>-55000</v>
      </c>
      <c r="Q25" s="115">
        <v>0</v>
      </c>
      <c r="R25" s="115">
        <f>-'Sec 94'!K55</f>
        <v>0</v>
      </c>
      <c r="S25" s="115">
        <f>-'Sec 94'!L55</f>
        <v>0</v>
      </c>
      <c r="T25" s="115">
        <f>-'Sec 94'!M55</f>
        <v>0</v>
      </c>
      <c r="U25" s="115">
        <f>-'Sec 94'!N55</f>
        <v>0</v>
      </c>
      <c r="V25" s="115">
        <f>-'Sec 94'!O55</f>
        <v>0</v>
      </c>
      <c r="W25" s="115">
        <f>-'Sec 94'!P55</f>
        <v>0</v>
      </c>
      <c r="X25" s="115">
        <f>-'Sec 94'!Q55</f>
        <v>0</v>
      </c>
      <c r="Y25" s="115"/>
      <c r="AJ25" s="1" t="s">
        <v>2482</v>
      </c>
      <c r="AK25" s="36">
        <v>-19000</v>
      </c>
      <c r="AL25" s="36">
        <v>-20000</v>
      </c>
      <c r="AM25" s="36">
        <v>-21000</v>
      </c>
      <c r="AN25" s="36">
        <v>-22000</v>
      </c>
      <c r="AO25" s="36">
        <v>-23000</v>
      </c>
      <c r="AR25" s="36">
        <f t="shared" ref="AR25:AV25" si="21">AR78</f>
        <v>-19000</v>
      </c>
      <c r="AS25" s="36">
        <f t="shared" si="21"/>
        <v>-20000</v>
      </c>
      <c r="AT25" s="36">
        <f t="shared" si="21"/>
        <v>-21000</v>
      </c>
      <c r="AU25" s="36">
        <f t="shared" si="21"/>
        <v>-22000</v>
      </c>
      <c r="AV25" s="36">
        <f t="shared" si="21"/>
        <v>-22000</v>
      </c>
    </row>
    <row r="26" spans="1:48" x14ac:dyDescent="0.2">
      <c r="A26" s="726" t="s">
        <v>1209</v>
      </c>
      <c r="I26" s="115">
        <v>-256000</v>
      </c>
      <c r="J26" s="115">
        <v>-192000</v>
      </c>
      <c r="K26" s="115">
        <v>-192000</v>
      </c>
      <c r="L26" s="115">
        <f>-'Sec 94'!E59</f>
        <v>-195000</v>
      </c>
      <c r="M26" s="115">
        <f>-'Sec 94'!F59</f>
        <v>-130000</v>
      </c>
      <c r="N26" s="115">
        <f>-'Sec 94'!G59</f>
        <v>-130000</v>
      </c>
      <c r="O26" s="115">
        <f>-'Sec 94'!H59</f>
        <v>-130000</v>
      </c>
      <c r="P26" s="115">
        <f>-'Sec 94'!I59</f>
        <v>-130000</v>
      </c>
      <c r="Q26" s="115">
        <f>-'Sec 94'!J59</f>
        <v>-130000</v>
      </c>
      <c r="R26" s="115">
        <f>-'Sec 94'!K59</f>
        <v>-130000</v>
      </c>
      <c r="S26" s="115">
        <f>-'Sec 94'!L59</f>
        <v>-130000</v>
      </c>
      <c r="T26" s="115">
        <f>-'Sec 94'!M59</f>
        <v>-130000</v>
      </c>
      <c r="U26" s="115">
        <f>-'Sec 94'!N59</f>
        <v>-130000</v>
      </c>
      <c r="V26" s="115">
        <f>-'Sec 94'!O59</f>
        <v>0</v>
      </c>
      <c r="W26" s="115">
        <f>-'Sec 94'!P59</f>
        <v>0</v>
      </c>
      <c r="X26" s="115">
        <f>-'Sec 94'!Q59</f>
        <v>0</v>
      </c>
      <c r="Y26" s="115"/>
      <c r="AJ26" s="1" t="s">
        <v>2026</v>
      </c>
      <c r="AK26" s="36">
        <v>65000</v>
      </c>
      <c r="AL26" s="36">
        <v>67000</v>
      </c>
      <c r="AM26" s="36">
        <v>69000</v>
      </c>
      <c r="AN26" s="36">
        <v>71000</v>
      </c>
      <c r="AO26" s="36">
        <v>73000</v>
      </c>
      <c r="AR26" s="36">
        <f t="shared" ref="AR26:AV26" si="22">AR79</f>
        <v>65000</v>
      </c>
      <c r="AS26" s="36">
        <f t="shared" si="22"/>
        <v>67000</v>
      </c>
      <c r="AT26" s="36">
        <f t="shared" si="22"/>
        <v>69000</v>
      </c>
      <c r="AU26" s="36">
        <f t="shared" si="22"/>
        <v>71000</v>
      </c>
      <c r="AV26" s="36">
        <f t="shared" si="22"/>
        <v>72000</v>
      </c>
    </row>
    <row r="27" spans="1:48" x14ac:dyDescent="0.2">
      <c r="A27" s="726" t="s">
        <v>4329</v>
      </c>
      <c r="E27" s="726"/>
      <c r="I27" s="36"/>
      <c r="J27" s="36"/>
      <c r="K27" s="36">
        <v>-226000</v>
      </c>
      <c r="L27" s="36">
        <f>-'Cap-Gen'!E123</f>
        <v>-318600</v>
      </c>
      <c r="M27" s="36">
        <f>-'Cap-Gen'!F123</f>
        <v>-275500</v>
      </c>
      <c r="N27" s="36">
        <f>-'Cap-Gen'!G123</f>
        <v>-324000</v>
      </c>
      <c r="O27" s="36">
        <f>-'Cap-Gen'!H123</f>
        <v>-337000</v>
      </c>
      <c r="P27" s="36">
        <f>-'Cap-Gen'!I123</f>
        <v>-350000</v>
      </c>
      <c r="Q27" s="36">
        <f>-'Cap-Gen'!J123</f>
        <v>-359000</v>
      </c>
      <c r="R27" s="36">
        <f>-'Cap-Gen'!K123</f>
        <v>-368000</v>
      </c>
      <c r="S27" s="36">
        <f>-'Cap-Gen'!L123</f>
        <v>-377000</v>
      </c>
      <c r="T27" s="36">
        <f>-'Cap-Gen'!M123</f>
        <v>-386000</v>
      </c>
      <c r="U27" s="36">
        <f>-'Cap-Gen'!N123</f>
        <v>-396000</v>
      </c>
      <c r="V27" s="36">
        <f>-'Cap-Gen'!O123</f>
        <v>-406000</v>
      </c>
      <c r="W27" s="36">
        <f>-'Cap-Gen'!P123</f>
        <v>-416000</v>
      </c>
      <c r="X27" s="36">
        <f>-'Cap-Gen'!Q123</f>
        <v>-426000</v>
      </c>
      <c r="Y27" s="36"/>
      <c r="AJ27" s="1" t="s">
        <v>2483</v>
      </c>
      <c r="AK27" s="36">
        <v>-40500</v>
      </c>
      <c r="AL27" s="36">
        <v>-42000</v>
      </c>
      <c r="AM27" s="36">
        <v>-43000</v>
      </c>
      <c r="AN27" s="36">
        <v>-44000</v>
      </c>
      <c r="AO27" s="36">
        <v>-45000</v>
      </c>
      <c r="AR27" s="36">
        <f t="shared" ref="AR27:AV27" si="23">AR80</f>
        <v>-40500</v>
      </c>
      <c r="AS27" s="36">
        <f t="shared" si="23"/>
        <v>-42000</v>
      </c>
      <c r="AT27" s="36">
        <f t="shared" si="23"/>
        <v>-43000</v>
      </c>
      <c r="AU27" s="36">
        <f t="shared" si="23"/>
        <v>-44000</v>
      </c>
      <c r="AV27" s="36">
        <f t="shared" si="23"/>
        <v>-45000</v>
      </c>
    </row>
    <row r="28" spans="1:48" x14ac:dyDescent="0.2">
      <c r="A28" s="726" t="s">
        <v>4330</v>
      </c>
      <c r="E28" s="726"/>
      <c r="I28" s="36"/>
      <c r="J28" s="36"/>
      <c r="K28" s="36">
        <v>-283000</v>
      </c>
      <c r="L28" s="36">
        <f>-'Cap-Gen'!E124</f>
        <v>-320600</v>
      </c>
      <c r="M28" s="36">
        <f>-'Cap-Gen'!F124</f>
        <v>-291900</v>
      </c>
      <c r="N28" s="36">
        <f>-'Cap-Gen'!G124</f>
        <v>-314000</v>
      </c>
      <c r="O28" s="36">
        <f>-'Cap-Gen'!H124</f>
        <v>-327000</v>
      </c>
      <c r="P28" s="36">
        <f>-'Cap-Gen'!I124</f>
        <v>-340000</v>
      </c>
      <c r="Q28" s="36">
        <f>-'Cap-Gen'!J124</f>
        <v>-349000</v>
      </c>
      <c r="R28" s="36">
        <f>-'Cap-Gen'!K124</f>
        <v>-358000</v>
      </c>
      <c r="S28" s="36">
        <f>-'Cap-Gen'!L124</f>
        <v>-367000</v>
      </c>
      <c r="T28" s="36">
        <f>-'Cap-Gen'!M124</f>
        <v>-376000</v>
      </c>
      <c r="U28" s="36">
        <f>-'Cap-Gen'!N124</f>
        <v>-385000</v>
      </c>
      <c r="V28" s="36">
        <f>-'Cap-Gen'!O124</f>
        <v>-395000</v>
      </c>
      <c r="W28" s="36">
        <f>-'Cap-Gen'!P124</f>
        <v>-405000</v>
      </c>
      <c r="X28" s="36">
        <f>-'Cap-Gen'!Q124</f>
        <v>-415000</v>
      </c>
      <c r="Y28" s="36"/>
      <c r="AJ28" s="1" t="s">
        <v>2027</v>
      </c>
      <c r="AK28" s="36">
        <v>68000</v>
      </c>
      <c r="AL28" s="36">
        <v>70000</v>
      </c>
      <c r="AM28" s="36">
        <v>72000</v>
      </c>
      <c r="AN28" s="36">
        <v>74000</v>
      </c>
      <c r="AO28" s="36">
        <v>76000</v>
      </c>
      <c r="AR28" s="36">
        <f t="shared" ref="AR28:AV28" si="24">AR81</f>
        <v>68000</v>
      </c>
      <c r="AS28" s="36">
        <f t="shared" si="24"/>
        <v>70000</v>
      </c>
      <c r="AT28" s="36">
        <f t="shared" si="24"/>
        <v>72000</v>
      </c>
      <c r="AU28" s="36">
        <f t="shared" si="24"/>
        <v>74000</v>
      </c>
      <c r="AV28" s="36">
        <f t="shared" si="24"/>
        <v>75000</v>
      </c>
    </row>
    <row r="29" spans="1:48" x14ac:dyDescent="0.2">
      <c r="A29" s="726" t="s">
        <v>4425</v>
      </c>
      <c r="E29" s="726"/>
      <c r="I29" s="36"/>
      <c r="J29" s="36"/>
      <c r="K29" s="36">
        <v>-231000</v>
      </c>
      <c r="L29" s="36">
        <f>-'Cap-Gen'!E125</f>
        <v>-277000</v>
      </c>
      <c r="M29" s="36">
        <f>-'Cap-Gen'!F125</f>
        <v>-212600</v>
      </c>
      <c r="N29" s="36">
        <f>-'Cap-Gen'!G125</f>
        <v>-380800</v>
      </c>
      <c r="O29" s="36">
        <f>-'Cap-Gen'!H125</f>
        <v>-356000</v>
      </c>
      <c r="P29" s="36">
        <f>-'Cap-Gen'!I125</f>
        <v>-370000</v>
      </c>
      <c r="Q29" s="36">
        <f>-'Cap-Gen'!J125</f>
        <v>-379000</v>
      </c>
      <c r="R29" s="36">
        <f>-'Cap-Gen'!K125</f>
        <v>-388000</v>
      </c>
      <c r="S29" s="36">
        <f>-'Cap-Gen'!L125</f>
        <v>-398000</v>
      </c>
      <c r="T29" s="36">
        <f>-'Cap-Gen'!M125</f>
        <v>-408000</v>
      </c>
      <c r="U29" s="36">
        <f>-'Cap-Gen'!N125</f>
        <v>-418000</v>
      </c>
      <c r="V29" s="36">
        <f>-'Cap-Gen'!O125</f>
        <v>-428000</v>
      </c>
      <c r="W29" s="36">
        <f>-'Cap-Gen'!P125</f>
        <v>-439000</v>
      </c>
      <c r="X29" s="36">
        <f>-'Cap-Gen'!Q125</f>
        <v>-450000</v>
      </c>
      <c r="Y29" s="36"/>
      <c r="AJ29" s="1" t="s">
        <v>2483</v>
      </c>
      <c r="AK29" s="36">
        <v>-40500</v>
      </c>
      <c r="AL29" s="36">
        <v>-42000</v>
      </c>
      <c r="AM29" s="36">
        <v>-43000</v>
      </c>
      <c r="AN29" s="36">
        <v>-44000</v>
      </c>
      <c r="AO29" s="36">
        <v>-45000</v>
      </c>
      <c r="AR29" s="36">
        <f t="shared" ref="AR29:AV29" si="25">AR82</f>
        <v>92000</v>
      </c>
      <c r="AS29" s="36">
        <f t="shared" si="25"/>
        <v>95000</v>
      </c>
      <c r="AT29" s="36">
        <f t="shared" si="25"/>
        <v>98000</v>
      </c>
      <c r="AU29" s="36">
        <f t="shared" si="25"/>
        <v>100000</v>
      </c>
      <c r="AV29" s="36">
        <f t="shared" si="25"/>
        <v>102000</v>
      </c>
    </row>
    <row r="30" spans="1:48" x14ac:dyDescent="0.2">
      <c r="A30" s="726" t="s">
        <v>4426</v>
      </c>
      <c r="E30" s="726"/>
      <c r="I30" s="36"/>
      <c r="J30" s="36"/>
      <c r="K30" s="36">
        <v>-137000</v>
      </c>
      <c r="L30" s="36">
        <f>-'Cap-Gen'!E126</f>
        <v>-175500</v>
      </c>
      <c r="M30" s="36">
        <f>-'Cap-Gen'!F126</f>
        <v>-133800</v>
      </c>
      <c r="N30" s="36">
        <f>-'Cap-Gen'!G126</f>
        <v>-218900</v>
      </c>
      <c r="O30" s="36">
        <f>-'Cap-Gen'!H126</f>
        <v>-182000</v>
      </c>
      <c r="P30" s="36">
        <f>-'Cap-Gen'!I126</f>
        <v>-189000</v>
      </c>
      <c r="Q30" s="36">
        <f>-'Cap-Gen'!J126</f>
        <v>-194000</v>
      </c>
      <c r="R30" s="36">
        <f>-'Cap-Gen'!K126</f>
        <v>-199000</v>
      </c>
      <c r="S30" s="36">
        <f>-'Cap-Gen'!L126</f>
        <v>-204000</v>
      </c>
      <c r="T30" s="36">
        <f>-'Cap-Gen'!M126</f>
        <v>-209000</v>
      </c>
      <c r="U30" s="36">
        <f>-'Cap-Gen'!N126</f>
        <v>-214000</v>
      </c>
      <c r="V30" s="36">
        <f>-'Cap-Gen'!O126</f>
        <v>-219000</v>
      </c>
      <c r="W30" s="36">
        <f>-'Cap-Gen'!P126</f>
        <v>-224000</v>
      </c>
      <c r="X30" s="36">
        <f>-'Cap-Gen'!Q126</f>
        <v>-230000</v>
      </c>
      <c r="Y30" s="36"/>
      <c r="AJ30" s="1" t="s">
        <v>2027</v>
      </c>
      <c r="AK30" s="36">
        <v>68000</v>
      </c>
      <c r="AL30" s="36">
        <v>70000</v>
      </c>
      <c r="AM30" s="36">
        <v>72000</v>
      </c>
      <c r="AN30" s="36">
        <v>74000</v>
      </c>
      <c r="AO30" s="36">
        <v>76000</v>
      </c>
      <c r="AR30" s="36">
        <f t="shared" ref="AR30:AV30" si="26">AR83</f>
        <v>-9000</v>
      </c>
      <c r="AS30" s="36">
        <f t="shared" si="26"/>
        <v>-9000</v>
      </c>
      <c r="AT30" s="36">
        <f t="shared" si="26"/>
        <v>-9000</v>
      </c>
      <c r="AU30" s="36">
        <f t="shared" si="26"/>
        <v>-9000</v>
      </c>
      <c r="AV30" s="36">
        <f t="shared" si="26"/>
        <v>-9000</v>
      </c>
    </row>
    <row r="31" spans="1:48" x14ac:dyDescent="0.2">
      <c r="A31" s="726" t="s">
        <v>7084</v>
      </c>
      <c r="E31" s="726"/>
      <c r="I31" s="36"/>
      <c r="J31" s="36"/>
      <c r="K31" s="36"/>
      <c r="L31" s="36">
        <v>-8000</v>
      </c>
      <c r="M31" s="36">
        <v>-175000</v>
      </c>
      <c r="N31" s="36">
        <v>-170000</v>
      </c>
      <c r="O31" s="36"/>
      <c r="P31" s="36"/>
      <c r="Q31" s="36"/>
      <c r="R31" s="36"/>
      <c r="S31" s="36"/>
      <c r="T31" s="36"/>
      <c r="U31" s="36"/>
      <c r="V31" s="36"/>
      <c r="W31" s="36"/>
      <c r="X31" s="36"/>
      <c r="Y31" s="36"/>
      <c r="AK31" s="36"/>
      <c r="AL31" s="36"/>
      <c r="AM31" s="36"/>
      <c r="AN31" s="36"/>
      <c r="AO31" s="36"/>
      <c r="AR31" s="36"/>
      <c r="AS31" s="36"/>
      <c r="AT31" s="36"/>
      <c r="AU31" s="36"/>
      <c r="AV31" s="36"/>
    </row>
    <row r="32" spans="1:48" x14ac:dyDescent="0.2">
      <c r="A32" s="726" t="s">
        <v>6750</v>
      </c>
      <c r="E32" s="726"/>
      <c r="I32" s="36"/>
      <c r="J32" s="36"/>
      <c r="K32" s="36"/>
      <c r="L32" s="36"/>
      <c r="M32" s="36"/>
      <c r="N32" s="36">
        <v>200000</v>
      </c>
      <c r="O32" s="36">
        <f>N32</f>
        <v>200000</v>
      </c>
      <c r="P32" s="36">
        <f t="shared" ref="P32:W32" si="27">O32</f>
        <v>200000</v>
      </c>
      <c r="Q32" s="36">
        <f>P32</f>
        <v>200000</v>
      </c>
      <c r="R32" s="36">
        <f t="shared" si="27"/>
        <v>200000</v>
      </c>
      <c r="S32" s="36">
        <f t="shared" si="27"/>
        <v>200000</v>
      </c>
      <c r="T32" s="36">
        <f t="shared" si="27"/>
        <v>200000</v>
      </c>
      <c r="U32" s="36">
        <f t="shared" si="27"/>
        <v>200000</v>
      </c>
      <c r="V32" s="36">
        <f t="shared" si="27"/>
        <v>200000</v>
      </c>
      <c r="W32" s="36">
        <f t="shared" si="27"/>
        <v>200000</v>
      </c>
      <c r="X32" s="36">
        <f>W32</f>
        <v>200000</v>
      </c>
      <c r="Y32" s="36"/>
      <c r="AK32" s="36"/>
      <c r="AL32" s="36"/>
      <c r="AM32" s="36"/>
      <c r="AN32" s="36"/>
      <c r="AO32" s="36"/>
      <c r="AR32" s="36"/>
      <c r="AS32" s="36"/>
      <c r="AT32" s="36"/>
      <c r="AU32" s="36"/>
      <c r="AV32" s="36"/>
    </row>
    <row r="33" spans="1:48" x14ac:dyDescent="0.2">
      <c r="A33" s="726" t="s">
        <v>4337</v>
      </c>
      <c r="I33" s="36"/>
      <c r="J33" s="36"/>
      <c r="K33" s="36">
        <v>358000</v>
      </c>
      <c r="L33" s="36">
        <v>-100000</v>
      </c>
      <c r="M33" s="36"/>
      <c r="N33" s="36"/>
      <c r="O33" s="36"/>
      <c r="P33" s="36"/>
      <c r="Q33" s="36"/>
      <c r="R33" s="36"/>
      <c r="S33" s="36"/>
      <c r="T33" s="36"/>
      <c r="U33" s="36"/>
      <c r="V33" s="36"/>
      <c r="W33" s="36"/>
      <c r="X33" s="36"/>
      <c r="Y33" s="36"/>
      <c r="AJ33" s="1" t="s">
        <v>2028</v>
      </c>
      <c r="AK33" s="36">
        <v>92000</v>
      </c>
      <c r="AL33" s="36">
        <v>95000</v>
      </c>
      <c r="AM33" s="36">
        <v>98000</v>
      </c>
      <c r="AN33" s="36">
        <v>101000</v>
      </c>
      <c r="AO33" s="36">
        <v>104000</v>
      </c>
      <c r="AR33" s="36">
        <f t="shared" ref="AR33:AV33" si="28">AR82</f>
        <v>92000</v>
      </c>
      <c r="AS33" s="36">
        <f t="shared" si="28"/>
        <v>95000</v>
      </c>
      <c r="AT33" s="36">
        <f t="shared" si="28"/>
        <v>98000</v>
      </c>
      <c r="AU33" s="36">
        <f t="shared" si="28"/>
        <v>100000</v>
      </c>
      <c r="AV33" s="36">
        <f t="shared" si="28"/>
        <v>102000</v>
      </c>
    </row>
    <row r="34" spans="1:48" x14ac:dyDescent="0.2">
      <c r="A34" s="726" t="s">
        <v>4338</v>
      </c>
      <c r="I34" s="36"/>
      <c r="J34" s="36"/>
      <c r="K34" s="36">
        <v>30000</v>
      </c>
      <c r="L34" s="36"/>
      <c r="M34" s="36"/>
      <c r="N34" s="36"/>
      <c r="O34" s="36"/>
      <c r="P34" s="36"/>
      <c r="Q34" s="36"/>
      <c r="R34" s="36"/>
      <c r="S34" s="36"/>
      <c r="T34" s="36"/>
      <c r="U34" s="36"/>
      <c r="V34" s="36"/>
      <c r="W34" s="36"/>
      <c r="X34" s="36"/>
      <c r="Y34" s="36"/>
      <c r="AJ34" s="1" t="s">
        <v>2480</v>
      </c>
      <c r="AK34" s="36">
        <v>-9000</v>
      </c>
      <c r="AL34" s="36">
        <v>-9000</v>
      </c>
      <c r="AM34" s="36">
        <v>-9000</v>
      </c>
      <c r="AN34" s="36">
        <v>-9000</v>
      </c>
      <c r="AO34" s="36">
        <v>-9000</v>
      </c>
      <c r="AR34" s="36">
        <f t="shared" ref="AR34:AV34" si="29">AR83</f>
        <v>-9000</v>
      </c>
      <c r="AS34" s="36">
        <f t="shared" si="29"/>
        <v>-9000</v>
      </c>
      <c r="AT34" s="36">
        <f t="shared" si="29"/>
        <v>-9000</v>
      </c>
      <c r="AU34" s="36">
        <f t="shared" si="29"/>
        <v>-9000</v>
      </c>
      <c r="AV34" s="36">
        <f t="shared" si="29"/>
        <v>-9000</v>
      </c>
    </row>
    <row r="35" spans="1:48" x14ac:dyDescent="0.2">
      <c r="A35" s="726" t="s">
        <v>4339</v>
      </c>
      <c r="I35" s="36"/>
      <c r="J35" s="36"/>
      <c r="K35" s="36">
        <v>50000</v>
      </c>
      <c r="L35" s="36"/>
      <c r="M35" s="36"/>
      <c r="N35" s="36"/>
      <c r="O35" s="36"/>
      <c r="P35" s="36"/>
      <c r="Q35" s="36"/>
      <c r="R35" s="36"/>
      <c r="S35" s="36"/>
      <c r="T35" s="36"/>
      <c r="U35" s="36"/>
      <c r="V35" s="36"/>
      <c r="W35" s="36"/>
      <c r="X35" s="36"/>
      <c r="Y35" s="36"/>
      <c r="AJ35" s="1" t="s">
        <v>2338</v>
      </c>
      <c r="AK35" s="36">
        <v>60000</v>
      </c>
      <c r="AL35" s="36">
        <v>62000</v>
      </c>
      <c r="AM35" s="36">
        <v>64000</v>
      </c>
      <c r="AN35" s="36">
        <v>66000</v>
      </c>
      <c r="AO35" s="36">
        <v>68000</v>
      </c>
      <c r="AR35" s="36">
        <f t="shared" ref="AR35:AV35" si="30">AR84</f>
        <v>60000</v>
      </c>
      <c r="AS35" s="36">
        <f t="shared" si="30"/>
        <v>62000</v>
      </c>
      <c r="AT35" s="36">
        <f t="shared" si="30"/>
        <v>64000</v>
      </c>
      <c r="AU35" s="36">
        <f t="shared" si="30"/>
        <v>66000</v>
      </c>
      <c r="AV35" s="36">
        <f t="shared" si="30"/>
        <v>67000</v>
      </c>
    </row>
    <row r="36" spans="1:48" x14ac:dyDescent="0.2">
      <c r="A36" s="1" t="s">
        <v>3408</v>
      </c>
      <c r="I36" s="36">
        <v>0</v>
      </c>
      <c r="J36" s="36">
        <v>9000</v>
      </c>
      <c r="K36" s="36">
        <v>0</v>
      </c>
      <c r="L36" s="36">
        <v>0</v>
      </c>
      <c r="M36" s="36">
        <v>0</v>
      </c>
      <c r="N36" s="36">
        <v>0</v>
      </c>
      <c r="O36" s="36">
        <v>0</v>
      </c>
      <c r="P36" s="36">
        <v>0</v>
      </c>
      <c r="Q36" s="36">
        <v>0</v>
      </c>
      <c r="R36" s="36">
        <v>0</v>
      </c>
      <c r="S36" s="36">
        <v>0</v>
      </c>
      <c r="T36" s="36">
        <v>0</v>
      </c>
      <c r="U36" s="36">
        <v>0</v>
      </c>
      <c r="V36" s="36">
        <v>0</v>
      </c>
      <c r="W36" s="36">
        <v>0</v>
      </c>
      <c r="X36" s="36">
        <v>0</v>
      </c>
      <c r="Y36" s="36"/>
      <c r="AJ36" s="1" t="s">
        <v>2481</v>
      </c>
      <c r="AK36" s="36">
        <v>-73500</v>
      </c>
      <c r="AL36" s="36">
        <v>-76000</v>
      </c>
      <c r="AM36" s="36">
        <v>-78000</v>
      </c>
      <c r="AN36" s="36">
        <v>-80000</v>
      </c>
      <c r="AO36" s="36">
        <v>-82000</v>
      </c>
      <c r="AR36" s="36">
        <f t="shared" ref="AR36:AV36" si="31">AR85</f>
        <v>-73500</v>
      </c>
      <c r="AS36" s="36">
        <f t="shared" si="31"/>
        <v>-76000</v>
      </c>
      <c r="AT36" s="36">
        <f t="shared" si="31"/>
        <v>-78000</v>
      </c>
      <c r="AU36" s="36">
        <f t="shared" si="31"/>
        <v>-80000</v>
      </c>
      <c r="AV36" s="36">
        <f t="shared" si="31"/>
        <v>-82000</v>
      </c>
    </row>
    <row r="37" spans="1:48" s="285" customFormat="1" x14ac:dyDescent="0.2">
      <c r="A37" s="1999" t="s">
        <v>1504</v>
      </c>
      <c r="B37" s="1999"/>
      <c r="C37" s="1999"/>
      <c r="D37" s="1999"/>
      <c r="E37" s="1999"/>
      <c r="F37" s="1999"/>
      <c r="G37" s="1999"/>
      <c r="H37" s="1999"/>
      <c r="I37" s="511">
        <f t="shared" ref="I37:V37" si="32">ROUND(SUM(I7:I36),-3)</f>
        <v>2902000</v>
      </c>
      <c r="J37" s="511">
        <f t="shared" si="32"/>
        <v>3504000</v>
      </c>
      <c r="K37" s="511">
        <f t="shared" si="32"/>
        <v>3361000</v>
      </c>
      <c r="L37" s="511">
        <f t="shared" si="32"/>
        <v>1863000</v>
      </c>
      <c r="M37" s="511">
        <f t="shared" si="32"/>
        <v>3754000</v>
      </c>
      <c r="N37" s="511">
        <f t="shared" si="32"/>
        <v>3428000</v>
      </c>
      <c r="O37" s="511">
        <f t="shared" si="32"/>
        <v>4062000</v>
      </c>
      <c r="P37" s="511">
        <f t="shared" si="32"/>
        <v>4226000</v>
      </c>
      <c r="Q37" s="511">
        <f>ROUND(SUM(Q7:Q36),-3)</f>
        <v>4394000</v>
      </c>
      <c r="R37" s="511">
        <f t="shared" si="32"/>
        <v>4570000</v>
      </c>
      <c r="S37" s="511">
        <f t="shared" si="32"/>
        <v>4752000</v>
      </c>
      <c r="T37" s="511">
        <f t="shared" si="32"/>
        <v>4942000</v>
      </c>
      <c r="U37" s="511">
        <f t="shared" si="32"/>
        <v>5139000</v>
      </c>
      <c r="V37" s="511">
        <f t="shared" si="32"/>
        <v>5344000</v>
      </c>
      <c r="W37" s="511">
        <f t="shared" ref="W37:X37" si="33">ROUND(SUM(W7:W36),-3)</f>
        <v>5557000</v>
      </c>
      <c r="X37" s="511">
        <f t="shared" si="33"/>
        <v>5581000</v>
      </c>
      <c r="Y37" s="27"/>
      <c r="AJ37" s="726" t="s">
        <v>520</v>
      </c>
      <c r="AK37" s="36">
        <v>-110000</v>
      </c>
      <c r="AL37" s="36">
        <v>-283700</v>
      </c>
      <c r="AM37" s="36">
        <v>-161500</v>
      </c>
      <c r="AN37" s="36">
        <v>-163100</v>
      </c>
      <c r="AO37" s="36">
        <v>-167900</v>
      </c>
      <c r="AR37" s="36">
        <f t="shared" ref="AR37:AV37" si="34">AR86</f>
        <v>-110000</v>
      </c>
      <c r="AS37" s="36">
        <f t="shared" si="34"/>
        <v>-121500</v>
      </c>
      <c r="AT37" s="36">
        <f t="shared" si="34"/>
        <v>-127700</v>
      </c>
      <c r="AU37" s="36">
        <f t="shared" si="34"/>
        <v>-110000</v>
      </c>
      <c r="AV37" s="36">
        <f t="shared" si="34"/>
        <v>-110000</v>
      </c>
    </row>
    <row r="38" spans="1:48" s="285" customFormat="1" x14ac:dyDescent="0.2">
      <c r="A38" s="319"/>
      <c r="B38" s="319"/>
      <c r="C38" s="319"/>
      <c r="D38" s="319"/>
      <c r="E38" s="319"/>
      <c r="F38" s="319"/>
      <c r="G38" s="319"/>
      <c r="H38" s="319"/>
      <c r="I38" s="27"/>
      <c r="J38" s="27"/>
      <c r="K38" s="27"/>
      <c r="L38" s="27"/>
      <c r="M38" s="27"/>
      <c r="N38" s="27"/>
      <c r="O38" s="27"/>
      <c r="P38" s="27"/>
      <c r="Q38" s="27"/>
      <c r="R38" s="27"/>
      <c r="S38" s="27"/>
      <c r="T38" s="27"/>
      <c r="U38" s="27"/>
      <c r="V38" s="27"/>
      <c r="W38" s="27"/>
      <c r="X38" s="27"/>
      <c r="Y38" s="27"/>
      <c r="AJ38" s="726" t="s">
        <v>1209</v>
      </c>
      <c r="AK38" s="36">
        <v>-256000</v>
      </c>
      <c r="AL38" s="36">
        <v>-192000</v>
      </c>
      <c r="AM38" s="36">
        <v>-192000</v>
      </c>
      <c r="AN38" s="36">
        <v>-192000</v>
      </c>
      <c r="AO38" s="36">
        <v>-128000</v>
      </c>
      <c r="AR38" s="36">
        <f t="shared" ref="AR38:AV38" si="35">AR87</f>
        <v>-256000</v>
      </c>
      <c r="AS38" s="36">
        <f t="shared" si="35"/>
        <v>-192000</v>
      </c>
      <c r="AT38" s="36">
        <f t="shared" si="35"/>
        <v>-192000</v>
      </c>
      <c r="AU38" s="36">
        <f t="shared" si="35"/>
        <v>-195000</v>
      </c>
      <c r="AV38" s="36">
        <f t="shared" si="35"/>
        <v>-130000</v>
      </c>
    </row>
    <row r="39" spans="1:48" s="726" customFormat="1" x14ac:dyDescent="0.2">
      <c r="A39" s="772" t="s">
        <v>4336</v>
      </c>
      <c r="B39" s="772"/>
      <c r="C39" s="772"/>
      <c r="D39" s="772"/>
      <c r="E39" s="772"/>
      <c r="F39" s="772"/>
      <c r="G39" s="772"/>
      <c r="H39" s="772"/>
      <c r="I39" s="31"/>
      <c r="J39" s="31"/>
      <c r="K39" s="31">
        <v>248000</v>
      </c>
      <c r="L39" s="31">
        <f>1464000-157000+547000</f>
        <v>1854000</v>
      </c>
      <c r="M39" s="31">
        <f>-177000+1152700</f>
        <v>975700</v>
      </c>
      <c r="N39" s="31">
        <f>-2000</f>
        <v>-2000</v>
      </c>
      <c r="O39" s="31"/>
      <c r="P39" s="31">
        <v>-1000</v>
      </c>
      <c r="Q39" s="31"/>
      <c r="R39" s="31"/>
      <c r="S39" s="31"/>
      <c r="T39" s="31"/>
      <c r="U39" s="31"/>
      <c r="V39" s="31"/>
      <c r="W39" s="31"/>
      <c r="X39" s="31">
        <v>198000</v>
      </c>
      <c r="Y39" s="31"/>
      <c r="AK39" s="80"/>
      <c r="AL39" s="80"/>
      <c r="AM39" s="80"/>
      <c r="AN39" s="80"/>
      <c r="AO39" s="80"/>
      <c r="AR39" s="80"/>
      <c r="AS39" s="80"/>
      <c r="AT39" s="80"/>
      <c r="AU39" s="80"/>
      <c r="AV39" s="80"/>
    </row>
    <row r="40" spans="1:48" s="726" customFormat="1" x14ac:dyDescent="0.2">
      <c r="A40" s="772" t="s">
        <v>5980</v>
      </c>
      <c r="B40" s="772"/>
      <c r="C40" s="772"/>
      <c r="D40" s="772"/>
      <c r="E40" s="772"/>
      <c r="F40" s="772"/>
      <c r="G40" s="772"/>
      <c r="H40" s="772"/>
      <c r="I40" s="31"/>
      <c r="J40" s="31"/>
      <c r="K40" s="31"/>
      <c r="L40" s="31"/>
      <c r="M40" s="31">
        <f>-'Cap-Gen'!F122</f>
        <v>0</v>
      </c>
      <c r="N40" s="31">
        <f>-'Cap-Gen'!G122</f>
        <v>-389600</v>
      </c>
      <c r="O40" s="31">
        <f>-'Cap-Gen'!H122</f>
        <v>0</v>
      </c>
      <c r="P40" s="31">
        <f>-'Cap-Gen'!I122</f>
        <v>0</v>
      </c>
      <c r="Q40" s="31">
        <f>-'Cap-Gen'!J122</f>
        <v>0</v>
      </c>
      <c r="R40" s="31">
        <f>-'Cap-Gen'!K122</f>
        <v>0</v>
      </c>
      <c r="S40" s="31">
        <f>-'Cap-Gen'!L122</f>
        <v>0</v>
      </c>
      <c r="T40" s="31">
        <f>-'Cap-Gen'!M122</f>
        <v>0</v>
      </c>
      <c r="U40" s="31">
        <f>-'Cap-Gen'!N122</f>
        <v>0</v>
      </c>
      <c r="V40" s="31">
        <f>-'Cap-Gen'!O122</f>
        <v>0</v>
      </c>
      <c r="W40" s="31">
        <f>-'Cap-Gen'!P122</f>
        <v>0</v>
      </c>
      <c r="X40" s="31">
        <f>-'Cap-Gen'!Q122</f>
        <v>0</v>
      </c>
      <c r="Y40" s="31"/>
      <c r="AK40" s="80"/>
      <c r="AL40" s="80"/>
      <c r="AM40" s="80"/>
      <c r="AN40" s="80"/>
      <c r="AO40" s="80"/>
      <c r="AR40" s="80"/>
      <c r="AS40" s="80"/>
      <c r="AT40" s="80"/>
      <c r="AU40" s="80"/>
      <c r="AV40" s="80"/>
    </row>
    <row r="41" spans="1:48" s="726" customFormat="1" x14ac:dyDescent="0.2">
      <c r="A41" s="772" t="s">
        <v>6913</v>
      </c>
      <c r="B41" s="772"/>
      <c r="C41" s="772"/>
      <c r="D41" s="772"/>
      <c r="E41" s="772"/>
      <c r="F41" s="772"/>
      <c r="G41" s="772"/>
      <c r="H41" s="772"/>
      <c r="I41" s="31"/>
      <c r="J41" s="31"/>
      <c r="K41" s="31"/>
      <c r="L41" s="31"/>
      <c r="M41" s="31"/>
      <c r="N41" s="31">
        <v>-400</v>
      </c>
      <c r="O41" s="31"/>
      <c r="P41" s="31"/>
      <c r="Q41" s="31"/>
      <c r="R41" s="31"/>
      <c r="S41" s="31"/>
      <c r="T41" s="31"/>
      <c r="U41" s="31"/>
      <c r="V41" s="31"/>
      <c r="W41" s="31"/>
      <c r="X41" s="31"/>
      <c r="Y41" s="31"/>
      <c r="AK41" s="80"/>
      <c r="AL41" s="80"/>
      <c r="AM41" s="80"/>
      <c r="AN41" s="80"/>
      <c r="AO41" s="80"/>
      <c r="AR41" s="80"/>
      <c r="AS41" s="80"/>
      <c r="AT41" s="80"/>
      <c r="AU41" s="80"/>
      <c r="AV41" s="80"/>
    </row>
    <row r="42" spans="1:48" s="726" customFormat="1" x14ac:dyDescent="0.2">
      <c r="A42" s="772" t="s">
        <v>7035</v>
      </c>
      <c r="B42" s="772"/>
      <c r="C42" s="772"/>
      <c r="D42" s="772"/>
      <c r="E42" s="772"/>
      <c r="F42" s="772"/>
      <c r="G42" s="772"/>
      <c r="H42" s="772"/>
      <c r="I42" s="31"/>
      <c r="J42" s="31"/>
      <c r="K42" s="31"/>
      <c r="L42" s="31"/>
      <c r="M42" s="31">
        <v>-170000</v>
      </c>
      <c r="N42" s="31"/>
      <c r="O42" s="31"/>
      <c r="P42" s="31"/>
      <c r="Q42" s="31"/>
      <c r="R42" s="31"/>
      <c r="S42" s="31"/>
      <c r="T42" s="31"/>
      <c r="U42" s="31"/>
      <c r="V42" s="31"/>
      <c r="W42" s="31"/>
      <c r="X42" s="31"/>
      <c r="Y42" s="31"/>
      <c r="AK42" s="80"/>
      <c r="AL42" s="80"/>
      <c r="AM42" s="80"/>
      <c r="AN42" s="80"/>
      <c r="AO42" s="80"/>
      <c r="AR42" s="80"/>
      <c r="AS42" s="80"/>
      <c r="AT42" s="80"/>
      <c r="AU42" s="80"/>
      <c r="AV42" s="80"/>
    </row>
    <row r="43" spans="1:48" s="726" customFormat="1" x14ac:dyDescent="0.2">
      <c r="A43" s="772" t="s">
        <v>7036</v>
      </c>
      <c r="B43" s="772"/>
      <c r="C43" s="772"/>
      <c r="D43" s="772"/>
      <c r="E43" s="772"/>
      <c r="F43" s="772"/>
      <c r="G43" s="772"/>
      <c r="H43" s="772"/>
      <c r="I43" s="31"/>
      <c r="J43" s="31"/>
      <c r="K43" s="31"/>
      <c r="L43" s="31"/>
      <c r="M43" s="31">
        <v>106000</v>
      </c>
      <c r="N43" s="31"/>
      <c r="O43" s="31"/>
      <c r="P43" s="31"/>
      <c r="Q43" s="31"/>
      <c r="R43" s="31"/>
      <c r="S43" s="31"/>
      <c r="T43" s="31"/>
      <c r="U43" s="31"/>
      <c r="V43" s="31"/>
      <c r="W43" s="31"/>
      <c r="X43" s="31"/>
      <c r="Y43" s="31"/>
      <c r="AK43" s="80"/>
      <c r="AL43" s="80"/>
      <c r="AM43" s="80"/>
      <c r="AN43" s="80"/>
      <c r="AO43" s="80"/>
      <c r="AR43" s="80"/>
      <c r="AS43" s="80"/>
      <c r="AT43" s="80"/>
      <c r="AU43" s="80"/>
      <c r="AV43" s="80"/>
    </row>
    <row r="44" spans="1:48" s="726" customFormat="1" x14ac:dyDescent="0.2">
      <c r="A44" s="772" t="s">
        <v>7037</v>
      </c>
      <c r="B44" s="772"/>
      <c r="C44" s="772"/>
      <c r="D44" s="772"/>
      <c r="E44" s="772"/>
      <c r="F44" s="772"/>
      <c r="G44" s="772"/>
      <c r="H44" s="772"/>
      <c r="I44" s="31"/>
      <c r="J44" s="31"/>
      <c r="K44" s="31"/>
      <c r="L44" s="31"/>
      <c r="M44" s="31">
        <v>114000</v>
      </c>
      <c r="N44" s="31"/>
      <c r="O44" s="31"/>
      <c r="P44" s="31"/>
      <c r="Q44" s="31"/>
      <c r="R44" s="31"/>
      <c r="S44" s="31"/>
      <c r="T44" s="31"/>
      <c r="U44" s="31"/>
      <c r="V44" s="31"/>
      <c r="W44" s="31"/>
      <c r="X44" s="31"/>
      <c r="Y44" s="31"/>
      <c r="AK44" s="80"/>
      <c r="AL44" s="80"/>
      <c r="AM44" s="80"/>
      <c r="AN44" s="80"/>
      <c r="AO44" s="80"/>
      <c r="AR44" s="80"/>
      <c r="AS44" s="80"/>
      <c r="AT44" s="80"/>
      <c r="AU44" s="80"/>
      <c r="AV44" s="80"/>
    </row>
    <row r="45" spans="1:48" s="726" customFormat="1" x14ac:dyDescent="0.2">
      <c r="A45" s="772" t="s">
        <v>7039</v>
      </c>
      <c r="B45" s="772"/>
      <c r="C45" s="772"/>
      <c r="D45" s="772"/>
      <c r="E45" s="772"/>
      <c r="F45" s="772"/>
      <c r="G45" s="772"/>
      <c r="H45" s="772"/>
      <c r="I45" s="31"/>
      <c r="J45" s="31"/>
      <c r="K45" s="31"/>
      <c r="L45" s="31"/>
      <c r="M45" s="31">
        <v>-10000</v>
      </c>
      <c r="N45" s="31"/>
      <c r="O45" s="31"/>
      <c r="P45" s="31"/>
      <c r="Q45" s="31"/>
      <c r="R45" s="31"/>
      <c r="S45" s="31"/>
      <c r="T45" s="31"/>
      <c r="U45" s="31"/>
      <c r="V45" s="31"/>
      <c r="W45" s="31"/>
      <c r="X45" s="31"/>
      <c r="Y45" s="31"/>
      <c r="AK45" s="80"/>
      <c r="AL45" s="80"/>
      <c r="AM45" s="80"/>
      <c r="AN45" s="80"/>
      <c r="AO45" s="80"/>
      <c r="AR45" s="80"/>
      <c r="AS45" s="80"/>
      <c r="AT45" s="80"/>
      <c r="AU45" s="80"/>
      <c r="AV45" s="80"/>
    </row>
    <row r="46" spans="1:48" s="726" customFormat="1" x14ac:dyDescent="0.2">
      <c r="A46" s="772" t="s">
        <v>7038</v>
      </c>
      <c r="B46" s="772"/>
      <c r="C46" s="772"/>
      <c r="D46" s="772"/>
      <c r="E46" s="772"/>
      <c r="F46" s="772"/>
      <c r="G46" s="772"/>
      <c r="H46" s="772"/>
      <c r="I46" s="31"/>
      <c r="J46" s="31"/>
      <c r="K46" s="31"/>
      <c r="L46" s="31"/>
      <c r="M46" s="31">
        <v>17000</v>
      </c>
      <c r="N46" s="31"/>
      <c r="O46" s="31"/>
      <c r="P46" s="31"/>
      <c r="Q46" s="31"/>
      <c r="R46" s="31"/>
      <c r="S46" s="31"/>
      <c r="T46" s="31"/>
      <c r="U46" s="31"/>
      <c r="V46" s="31"/>
      <c r="W46" s="31"/>
      <c r="X46" s="31"/>
      <c r="Y46" s="31"/>
      <c r="AK46" s="80"/>
      <c r="AL46" s="80"/>
      <c r="AM46" s="80"/>
      <c r="AN46" s="80"/>
      <c r="AO46" s="80"/>
      <c r="AR46" s="80"/>
      <c r="AS46" s="80"/>
      <c r="AT46" s="80"/>
      <c r="AU46" s="80"/>
      <c r="AV46" s="80"/>
    </row>
    <row r="47" spans="1:48" s="726" customFormat="1" x14ac:dyDescent="0.2">
      <c r="A47" s="772" t="s">
        <v>7040</v>
      </c>
      <c r="B47" s="772"/>
      <c r="C47" s="772"/>
      <c r="D47" s="772"/>
      <c r="E47" s="772"/>
      <c r="F47" s="772"/>
      <c r="G47" s="772"/>
      <c r="H47" s="772"/>
      <c r="I47" s="31"/>
      <c r="J47" s="31"/>
      <c r="K47" s="31"/>
      <c r="L47" s="31"/>
      <c r="M47" s="31">
        <v>3000</v>
      </c>
      <c r="N47" s="31"/>
      <c r="O47" s="31"/>
      <c r="P47" s="31"/>
      <c r="Q47" s="31"/>
      <c r="R47" s="31"/>
      <c r="S47" s="31"/>
      <c r="T47" s="31"/>
      <c r="U47" s="31"/>
      <c r="V47" s="31"/>
      <c r="W47" s="31"/>
      <c r="X47" s="31"/>
      <c r="Y47" s="31"/>
      <c r="AK47" s="80"/>
      <c r="AL47" s="80"/>
      <c r="AM47" s="80"/>
      <c r="AN47" s="80"/>
      <c r="AO47" s="80"/>
      <c r="AR47" s="80"/>
      <c r="AS47" s="80"/>
      <c r="AT47" s="80"/>
      <c r="AU47" s="80"/>
      <c r="AV47" s="80"/>
    </row>
    <row r="48" spans="1:48" s="726" customFormat="1" x14ac:dyDescent="0.2">
      <c r="A48" s="772" t="s">
        <v>7041</v>
      </c>
      <c r="B48" s="772"/>
      <c r="C48" s="772"/>
      <c r="D48" s="772"/>
      <c r="E48" s="772"/>
      <c r="F48" s="772"/>
      <c r="G48" s="772"/>
      <c r="H48" s="772"/>
      <c r="I48" s="31"/>
      <c r="J48" s="31"/>
      <c r="K48" s="31"/>
      <c r="L48" s="31"/>
      <c r="M48" s="31">
        <v>-11000</v>
      </c>
      <c r="N48" s="31"/>
      <c r="O48" s="31"/>
      <c r="P48" s="31"/>
      <c r="Q48" s="31"/>
      <c r="R48" s="31"/>
      <c r="S48" s="31"/>
      <c r="T48" s="31"/>
      <c r="U48" s="31"/>
      <c r="V48" s="31"/>
      <c r="W48" s="31"/>
      <c r="X48" s="31"/>
      <c r="Y48" s="31"/>
      <c r="AK48" s="80"/>
      <c r="AL48" s="80"/>
      <c r="AM48" s="80"/>
      <c r="AN48" s="80"/>
      <c r="AO48" s="80"/>
      <c r="AR48" s="80"/>
      <c r="AS48" s="80"/>
      <c r="AT48" s="80"/>
      <c r="AU48" s="80"/>
      <c r="AV48" s="80"/>
    </row>
    <row r="49" spans="1:48" s="726" customFormat="1" x14ac:dyDescent="0.2">
      <c r="A49" s="772" t="s">
        <v>7042</v>
      </c>
      <c r="B49" s="772"/>
      <c r="C49" s="772"/>
      <c r="D49" s="772"/>
      <c r="E49" s="772"/>
      <c r="F49" s="772"/>
      <c r="G49" s="772"/>
      <c r="H49" s="772"/>
      <c r="I49" s="31"/>
      <c r="J49" s="31"/>
      <c r="K49" s="31"/>
      <c r="L49" s="31"/>
      <c r="M49" s="31">
        <v>3000</v>
      </c>
      <c r="N49" s="31"/>
      <c r="O49" s="31"/>
      <c r="P49" s="31"/>
      <c r="Q49" s="31"/>
      <c r="R49" s="31"/>
      <c r="S49" s="31"/>
      <c r="T49" s="31"/>
      <c r="U49" s="31"/>
      <c r="V49" s="31"/>
      <c r="W49" s="31"/>
      <c r="X49" s="31"/>
      <c r="Y49" s="31"/>
      <c r="AK49" s="80"/>
      <c r="AL49" s="80"/>
      <c r="AM49" s="80"/>
      <c r="AN49" s="80"/>
      <c r="AO49" s="80"/>
      <c r="AR49" s="80"/>
      <c r="AS49" s="80"/>
      <c r="AT49" s="80"/>
      <c r="AU49" s="80"/>
      <c r="AV49" s="80"/>
    </row>
    <row r="50" spans="1:48" s="726" customFormat="1" x14ac:dyDescent="0.2">
      <c r="A50" s="772" t="s">
        <v>5977</v>
      </c>
      <c r="B50" s="772"/>
      <c r="C50" s="772"/>
      <c r="D50" s="772"/>
      <c r="E50" s="772"/>
      <c r="F50" s="772"/>
      <c r="G50" s="772"/>
      <c r="H50" s="772"/>
      <c r="I50" s="31"/>
      <c r="J50" s="31"/>
      <c r="K50" s="31"/>
      <c r="L50" s="31"/>
      <c r="M50" s="31"/>
      <c r="N50" s="31"/>
      <c r="O50" s="31"/>
      <c r="P50" s="31"/>
      <c r="Q50" s="31"/>
      <c r="R50" s="31"/>
      <c r="S50" s="31"/>
      <c r="T50" s="31"/>
      <c r="U50" s="31"/>
      <c r="V50" s="31"/>
      <c r="W50" s="31"/>
      <c r="X50" s="31"/>
      <c r="Y50" s="31"/>
      <c r="AK50" s="80"/>
      <c r="AL50" s="80"/>
      <c r="AM50" s="80"/>
      <c r="AN50" s="80"/>
      <c r="AO50" s="80"/>
      <c r="AR50" s="80"/>
      <c r="AS50" s="80"/>
      <c r="AT50" s="80"/>
      <c r="AU50" s="80"/>
      <c r="AV50" s="80"/>
    </row>
    <row r="51" spans="1:48" s="726" customFormat="1" x14ac:dyDescent="0.2">
      <c r="A51" s="772" t="s">
        <v>5966</v>
      </c>
      <c r="B51" s="772"/>
      <c r="C51" s="772"/>
      <c r="D51" s="772"/>
      <c r="E51" s="772"/>
      <c r="F51" s="772"/>
      <c r="G51" s="772"/>
      <c r="H51" s="772"/>
      <c r="I51" s="31"/>
      <c r="J51" s="31"/>
      <c r="K51" s="31"/>
      <c r="L51" s="31"/>
      <c r="M51" s="31"/>
      <c r="N51" s="31"/>
      <c r="O51" s="31"/>
      <c r="P51" s="31"/>
      <c r="Q51" s="31"/>
      <c r="R51" s="31"/>
      <c r="S51" s="31"/>
      <c r="T51" s="31"/>
      <c r="U51" s="31"/>
      <c r="V51" s="31"/>
      <c r="W51" s="31"/>
      <c r="X51" s="31"/>
      <c r="Y51" s="31"/>
      <c r="AK51" s="80"/>
      <c r="AL51" s="80"/>
      <c r="AM51" s="80"/>
      <c r="AN51" s="80"/>
      <c r="AO51" s="80"/>
      <c r="AR51" s="80"/>
      <c r="AS51" s="80"/>
      <c r="AT51" s="80"/>
      <c r="AU51" s="80"/>
      <c r="AV51" s="80"/>
    </row>
    <row r="52" spans="1:48" s="726" customFormat="1" x14ac:dyDescent="0.2">
      <c r="A52" s="772" t="s">
        <v>6897</v>
      </c>
      <c r="B52" s="772"/>
      <c r="C52" s="772"/>
      <c r="D52" s="772"/>
      <c r="E52" s="772"/>
      <c r="F52" s="772"/>
      <c r="G52" s="772"/>
      <c r="H52" s="772"/>
      <c r="I52" s="31"/>
      <c r="J52" s="31"/>
      <c r="K52" s="31"/>
      <c r="L52" s="31"/>
      <c r="M52" s="31">
        <v>-22000</v>
      </c>
      <c r="N52" s="31"/>
      <c r="O52" s="31"/>
      <c r="P52" s="31"/>
      <c r="Q52" s="31"/>
      <c r="R52" s="31"/>
      <c r="S52" s="31"/>
      <c r="T52" s="31"/>
      <c r="U52" s="31"/>
      <c r="V52" s="31"/>
      <c r="W52" s="31"/>
      <c r="X52" s="31"/>
      <c r="Y52" s="31"/>
      <c r="AK52" s="80"/>
      <c r="AL52" s="80"/>
      <c r="AM52" s="80"/>
      <c r="AN52" s="80"/>
      <c r="AO52" s="80"/>
      <c r="AR52" s="80"/>
      <c r="AS52" s="80"/>
      <c r="AT52" s="80"/>
      <c r="AU52" s="80"/>
      <c r="AV52" s="80"/>
    </row>
    <row r="53" spans="1:48" s="726" customFormat="1" x14ac:dyDescent="0.2">
      <c r="A53" s="772" t="s">
        <v>7272</v>
      </c>
      <c r="B53" s="772"/>
      <c r="C53" s="772"/>
      <c r="D53" s="772"/>
      <c r="E53" s="772"/>
      <c r="F53" s="772"/>
      <c r="G53" s="772"/>
      <c r="H53" s="772"/>
      <c r="I53" s="31"/>
      <c r="J53" s="31"/>
      <c r="K53" s="31"/>
      <c r="L53" s="31"/>
      <c r="M53" s="31"/>
      <c r="N53" s="31">
        <f>38800+9700+34200</f>
        <v>82700</v>
      </c>
      <c r="O53" s="31"/>
      <c r="P53" s="31"/>
      <c r="Q53" s="31"/>
      <c r="R53" s="31"/>
      <c r="S53" s="31"/>
      <c r="T53" s="31"/>
      <c r="U53" s="31"/>
      <c r="V53" s="31"/>
      <c r="W53" s="31"/>
      <c r="X53" s="31"/>
      <c r="Y53" s="31"/>
      <c r="AK53" s="80"/>
      <c r="AL53" s="80"/>
      <c r="AM53" s="80"/>
      <c r="AN53" s="80"/>
      <c r="AO53" s="80"/>
      <c r="AR53" s="80"/>
      <c r="AS53" s="80"/>
      <c r="AT53" s="80"/>
      <c r="AU53" s="80"/>
      <c r="AV53" s="80"/>
    </row>
    <row r="54" spans="1:48" s="726" customFormat="1" x14ac:dyDescent="0.2">
      <c r="A54" s="772" t="s">
        <v>11894</v>
      </c>
      <c r="B54" s="772"/>
      <c r="C54" s="772"/>
      <c r="D54" s="772"/>
      <c r="E54" s="772"/>
      <c r="F54" s="772"/>
      <c r="G54" s="772"/>
      <c r="H54" s="772"/>
      <c r="I54" s="31"/>
      <c r="J54" s="31"/>
      <c r="K54" s="31"/>
      <c r="L54" s="31"/>
      <c r="M54" s="31"/>
      <c r="N54" s="31">
        <v>150000</v>
      </c>
      <c r="O54" s="31"/>
      <c r="P54" s="31"/>
      <c r="Q54" s="31"/>
      <c r="R54" s="31"/>
      <c r="S54" s="31"/>
      <c r="T54" s="31"/>
      <c r="U54" s="31"/>
      <c r="V54" s="31"/>
      <c r="W54" s="31"/>
      <c r="X54" s="31"/>
      <c r="Y54" s="31"/>
      <c r="AK54" s="2226"/>
      <c r="AL54" s="2226"/>
      <c r="AM54" s="2226"/>
      <c r="AN54" s="2226"/>
      <c r="AO54" s="2226"/>
      <c r="AR54" s="2226"/>
      <c r="AS54" s="2226"/>
      <c r="AT54" s="2226"/>
      <c r="AU54" s="2226"/>
      <c r="AV54" s="2226"/>
    </row>
    <row r="55" spans="1:48" s="726" customFormat="1" x14ac:dyDescent="0.2">
      <c r="A55" s="772" t="s">
        <v>11895</v>
      </c>
      <c r="B55" s="772"/>
      <c r="C55" s="772"/>
      <c r="D55" s="772"/>
      <c r="E55" s="772"/>
      <c r="F55" s="772"/>
      <c r="G55" s="772"/>
      <c r="H55" s="772"/>
      <c r="I55" s="31"/>
      <c r="J55" s="31"/>
      <c r="K55" s="31"/>
      <c r="L55" s="31"/>
      <c r="M55" s="31"/>
      <c r="N55" s="31">
        <v>315000</v>
      </c>
      <c r="O55" s="31"/>
      <c r="P55" s="31"/>
      <c r="Q55" s="31"/>
      <c r="R55" s="31"/>
      <c r="S55" s="31"/>
      <c r="T55" s="31"/>
      <c r="U55" s="31"/>
      <c r="V55" s="31"/>
      <c r="W55" s="31"/>
      <c r="X55" s="31"/>
      <c r="Y55" s="31"/>
      <c r="AK55" s="2226"/>
      <c r="AL55" s="2226"/>
      <c r="AM55" s="2226"/>
      <c r="AN55" s="2226"/>
      <c r="AO55" s="2226"/>
      <c r="AR55" s="2226"/>
      <c r="AS55" s="2226"/>
      <c r="AT55" s="2226"/>
      <c r="AU55" s="2226"/>
      <c r="AV55" s="2226"/>
    </row>
    <row r="56" spans="1:48" s="726" customFormat="1" x14ac:dyDescent="0.2">
      <c r="A56" s="772" t="s">
        <v>11896</v>
      </c>
      <c r="B56" s="772"/>
      <c r="C56" s="772"/>
      <c r="D56" s="772"/>
      <c r="E56" s="772"/>
      <c r="F56" s="772"/>
      <c r="G56" s="772"/>
      <c r="H56" s="772"/>
      <c r="I56" s="31"/>
      <c r="J56" s="31"/>
      <c r="K56" s="31"/>
      <c r="L56" s="31"/>
      <c r="M56" s="31"/>
      <c r="N56" s="31">
        <v>350000</v>
      </c>
      <c r="O56" s="31"/>
      <c r="P56" s="31"/>
      <c r="Q56" s="31"/>
      <c r="R56" s="31"/>
      <c r="S56" s="31"/>
      <c r="T56" s="31"/>
      <c r="U56" s="31"/>
      <c r="V56" s="31"/>
      <c r="W56" s="31"/>
      <c r="X56" s="31"/>
      <c r="Y56" s="31"/>
      <c r="AK56" s="2226"/>
      <c r="AL56" s="2226"/>
      <c r="AM56" s="2226"/>
      <c r="AN56" s="2226"/>
      <c r="AO56" s="2226"/>
      <c r="AR56" s="2226"/>
      <c r="AS56" s="2226"/>
      <c r="AT56" s="2226"/>
      <c r="AU56" s="2226"/>
      <c r="AV56" s="2226"/>
    </row>
    <row r="57" spans="1:48" s="726" customFormat="1" x14ac:dyDescent="0.2">
      <c r="A57" s="772" t="s">
        <v>11897</v>
      </c>
      <c r="B57" s="772"/>
      <c r="C57" s="772"/>
      <c r="D57" s="772"/>
      <c r="E57" s="772"/>
      <c r="F57" s="772"/>
      <c r="G57" s="772"/>
      <c r="H57" s="772"/>
      <c r="I57" s="31"/>
      <c r="J57" s="31"/>
      <c r="K57" s="31"/>
      <c r="L57" s="31"/>
      <c r="M57" s="31"/>
      <c r="N57" s="31">
        <f>-50000-110000</f>
        <v>-160000</v>
      </c>
      <c r="O57" s="31"/>
      <c r="P57" s="31"/>
      <c r="Q57" s="31"/>
      <c r="R57" s="31"/>
      <c r="S57" s="31"/>
      <c r="T57" s="31"/>
      <c r="U57" s="31"/>
      <c r="V57" s="31"/>
      <c r="W57" s="31"/>
      <c r="X57" s="31"/>
      <c r="Y57" s="31"/>
      <c r="AK57" s="2226"/>
      <c r="AL57" s="2226"/>
      <c r="AM57" s="2226"/>
      <c r="AN57" s="2226"/>
      <c r="AO57" s="2226"/>
      <c r="AR57" s="2226"/>
      <c r="AS57" s="2226"/>
      <c r="AT57" s="2226"/>
      <c r="AU57" s="2226"/>
      <c r="AV57" s="2226"/>
    </row>
    <row r="58" spans="1:48" s="726" customFormat="1" x14ac:dyDescent="0.2">
      <c r="A58" s="772" t="s">
        <v>11898</v>
      </c>
      <c r="B58" s="772"/>
      <c r="C58" s="772"/>
      <c r="D58" s="772"/>
      <c r="E58" s="772"/>
      <c r="F58" s="772"/>
      <c r="G58" s="772"/>
      <c r="H58" s="772"/>
      <c r="I58" s="31"/>
      <c r="J58" s="31"/>
      <c r="K58" s="31"/>
      <c r="L58" s="31"/>
      <c r="M58" s="31"/>
      <c r="N58" s="31">
        <v>170000</v>
      </c>
      <c r="O58" s="31"/>
      <c r="P58" s="31"/>
      <c r="Q58" s="31"/>
      <c r="R58" s="31"/>
      <c r="S58" s="31"/>
      <c r="T58" s="31"/>
      <c r="U58" s="31"/>
      <c r="V58" s="31"/>
      <c r="W58" s="31"/>
      <c r="X58" s="31"/>
      <c r="Y58" s="31"/>
      <c r="AK58" s="2226"/>
      <c r="AL58" s="2226"/>
      <c r="AM58" s="2226"/>
      <c r="AN58" s="2226"/>
      <c r="AO58" s="2226"/>
      <c r="AR58" s="2226"/>
      <c r="AS58" s="2226"/>
      <c r="AT58" s="2226"/>
      <c r="AU58" s="2226"/>
      <c r="AV58" s="2226"/>
    </row>
    <row r="59" spans="1:48" s="726" customFormat="1" x14ac:dyDescent="0.2">
      <c r="A59" s="772"/>
      <c r="B59" s="772"/>
      <c r="C59" s="772"/>
      <c r="D59" s="772"/>
      <c r="E59" s="772"/>
      <c r="F59" s="772"/>
      <c r="G59" s="772"/>
      <c r="H59" s="772"/>
      <c r="I59" s="31"/>
      <c r="J59" s="31"/>
      <c r="K59" s="31"/>
      <c r="L59" s="31"/>
      <c r="M59" s="31"/>
      <c r="N59" s="31"/>
      <c r="O59" s="31"/>
      <c r="P59" s="31"/>
      <c r="Q59" s="31"/>
      <c r="R59" s="31"/>
      <c r="S59" s="31"/>
      <c r="T59" s="31"/>
      <c r="U59" s="31"/>
      <c r="V59" s="31"/>
      <c r="W59" s="31"/>
      <c r="X59" s="31"/>
      <c r="Y59" s="31"/>
      <c r="AK59" s="80"/>
      <c r="AL59" s="80"/>
      <c r="AM59" s="80"/>
      <c r="AN59" s="80"/>
      <c r="AO59" s="80"/>
      <c r="AR59" s="80"/>
      <c r="AS59" s="80"/>
      <c r="AT59" s="80"/>
      <c r="AU59" s="80"/>
      <c r="AV59" s="80"/>
    </row>
    <row r="60" spans="1:48" s="285" customFormat="1" x14ac:dyDescent="0.2">
      <c r="A60" s="285" t="s">
        <v>1210</v>
      </c>
      <c r="I60" s="39">
        <f>ROUND(I37-I4,-3)+SUM(I39:I51)</f>
        <v>0</v>
      </c>
      <c r="J60" s="39">
        <f>ROUND(J37-J4,-3)+SUM(J39:J51)</f>
        <v>0</v>
      </c>
      <c r="K60" s="39">
        <f>ROUND(K37-K4,-3)+SUM(K39:K51)</f>
        <v>0</v>
      </c>
      <c r="L60" s="39">
        <f>ROUND(L37-L4,-3)+SUM(L39:L59)</f>
        <v>0</v>
      </c>
      <c r="M60" s="39">
        <f>ROUND(M37-M4,-3)+SUM(M39:M59)</f>
        <v>930700</v>
      </c>
      <c r="N60" s="39">
        <f>ROUND(N37-N4,-3)+SUM(N39:N58)</f>
        <v>-300</v>
      </c>
      <c r="O60" s="39">
        <f t="shared" ref="O60:X60" si="36">ROUND(O37-O4,-3)+SUM(O39:O51)</f>
        <v>0</v>
      </c>
      <c r="P60" s="39">
        <f t="shared" si="36"/>
        <v>0</v>
      </c>
      <c r="Q60" s="39">
        <f t="shared" si="36"/>
        <v>0</v>
      </c>
      <c r="R60" s="39">
        <f t="shared" si="36"/>
        <v>0</v>
      </c>
      <c r="S60" s="39">
        <f t="shared" si="36"/>
        <v>0</v>
      </c>
      <c r="T60" s="39">
        <f t="shared" si="36"/>
        <v>0</v>
      </c>
      <c r="U60" s="39">
        <f t="shared" si="36"/>
        <v>0</v>
      </c>
      <c r="V60" s="39">
        <f t="shared" si="36"/>
        <v>0</v>
      </c>
      <c r="W60" s="39">
        <f t="shared" si="36"/>
        <v>0</v>
      </c>
      <c r="X60" s="39">
        <f t="shared" si="36"/>
        <v>0</v>
      </c>
      <c r="Y60" s="39"/>
      <c r="AJ60" s="1"/>
      <c r="AK60" s="1"/>
      <c r="AL60" s="1"/>
      <c r="AM60" s="1"/>
      <c r="AN60" s="1"/>
      <c r="AO60" s="1"/>
    </row>
    <row r="61" spans="1:48" x14ac:dyDescent="0.2">
      <c r="K61" s="2000"/>
      <c r="AJ61" s="1998" t="s">
        <v>4354</v>
      </c>
      <c r="AK61" s="1798" t="s">
        <v>1641</v>
      </c>
      <c r="AL61" s="1798" t="s">
        <v>929</v>
      </c>
      <c r="AM61" s="1798" t="s">
        <v>883</v>
      </c>
      <c r="AN61" s="1798" t="s">
        <v>2037</v>
      </c>
      <c r="AO61" s="1798" t="s">
        <v>1587</v>
      </c>
      <c r="AQ61" s="1998" t="s">
        <v>4358</v>
      </c>
      <c r="AR61" s="1798" t="s">
        <v>1641</v>
      </c>
      <c r="AS61" s="1798" t="s">
        <v>929</v>
      </c>
      <c r="AT61" s="1798" t="s">
        <v>883</v>
      </c>
      <c r="AU61" s="1798" t="s">
        <v>2037</v>
      </c>
      <c r="AV61" s="1798" t="s">
        <v>1587</v>
      </c>
    </row>
    <row r="62" spans="1:48" x14ac:dyDescent="0.2">
      <c r="A62" s="285" t="s">
        <v>2492</v>
      </c>
      <c r="E62" s="1997" t="str">
        <f t="shared" ref="E62:X62" si="37">E1</f>
        <v>2008/09</v>
      </c>
      <c r="F62" s="1997" t="str">
        <f t="shared" si="37"/>
        <v>2009/10</v>
      </c>
      <c r="G62" s="1997" t="str">
        <f t="shared" si="37"/>
        <v>2010/11</v>
      </c>
      <c r="H62" s="1997" t="str">
        <f t="shared" si="37"/>
        <v>2011/12</v>
      </c>
      <c r="I62" s="1997" t="str">
        <f t="shared" si="37"/>
        <v>2012/13</v>
      </c>
      <c r="J62" s="1997" t="str">
        <f t="shared" si="37"/>
        <v>2013/14</v>
      </c>
      <c r="K62" s="1997" t="str">
        <f t="shared" si="37"/>
        <v>2014/15</v>
      </c>
      <c r="L62" s="1997" t="str">
        <f t="shared" si="37"/>
        <v>2015/16</v>
      </c>
      <c r="M62" s="1997" t="str">
        <f t="shared" si="37"/>
        <v>2016/17</v>
      </c>
      <c r="N62" s="1997" t="str">
        <f t="shared" si="37"/>
        <v>2017/18</v>
      </c>
      <c r="O62" s="1997" t="str">
        <f t="shared" si="37"/>
        <v>2018/19</v>
      </c>
      <c r="P62" s="1997" t="str">
        <f t="shared" si="37"/>
        <v>2019/20</v>
      </c>
      <c r="Q62" s="1997" t="str">
        <f t="shared" si="37"/>
        <v>2020/21</v>
      </c>
      <c r="R62" s="1997" t="str">
        <f t="shared" si="37"/>
        <v>2021/22</v>
      </c>
      <c r="S62" s="1997" t="str">
        <f t="shared" si="37"/>
        <v>2022/23</v>
      </c>
      <c r="T62" s="1997" t="str">
        <f t="shared" si="37"/>
        <v>2023/24</v>
      </c>
      <c r="U62" s="1997" t="str">
        <f t="shared" si="37"/>
        <v>2024/25</v>
      </c>
      <c r="V62" s="1997" t="str">
        <f t="shared" si="37"/>
        <v>2025/26</v>
      </c>
      <c r="W62" s="1997" t="str">
        <f t="shared" si="37"/>
        <v>2026/27</v>
      </c>
      <c r="X62" s="2301" t="str">
        <f t="shared" si="37"/>
        <v>2027/28</v>
      </c>
      <c r="Y62" s="1997"/>
      <c r="AJ62" s="573" t="s">
        <v>4348</v>
      </c>
      <c r="AK62" s="65">
        <v>2902000</v>
      </c>
      <c r="AL62" s="65">
        <v>3504000</v>
      </c>
      <c r="AM62" s="65">
        <v>3609000</v>
      </c>
      <c r="AN62" s="65">
        <v>3717000</v>
      </c>
      <c r="AO62" s="65">
        <v>3829000</v>
      </c>
      <c r="AR62" s="65">
        <f>I4</f>
        <v>2902000</v>
      </c>
      <c r="AS62" s="65">
        <f>J4</f>
        <v>3504000</v>
      </c>
      <c r="AT62" s="65">
        <f>K4</f>
        <v>3609000</v>
      </c>
      <c r="AU62" s="65">
        <f>L4</f>
        <v>3717000</v>
      </c>
      <c r="AV62" s="65">
        <f>M4</f>
        <v>3829000</v>
      </c>
    </row>
    <row r="63" spans="1:48" x14ac:dyDescent="0.2">
      <c r="A63" s="726" t="s">
        <v>1379</v>
      </c>
      <c r="E63" s="36">
        <v>249000</v>
      </c>
      <c r="F63" s="36">
        <v>250000</v>
      </c>
      <c r="G63" s="36">
        <v>250000</v>
      </c>
      <c r="H63" s="36">
        <f>122500+236500</f>
        <v>359000</v>
      </c>
      <c r="I63" s="36">
        <v>370000</v>
      </c>
      <c r="J63" s="36">
        <v>381000</v>
      </c>
      <c r="K63" s="36">
        <v>396000</v>
      </c>
      <c r="L63" s="36">
        <f>ROUND(K65*Assumptions!F$6+K65,-3)</f>
        <v>408000</v>
      </c>
      <c r="M63" s="36">
        <f>ROUND(L65*Assumptions!G$6+L65,-3)</f>
        <v>424000</v>
      </c>
      <c r="N63" s="36">
        <f>ROUND(M65*Assumptions!H$6+M65,-3)</f>
        <v>441000</v>
      </c>
      <c r="O63" s="36">
        <f>ROUND(N65*Assumptions!I$6+N65,-3)</f>
        <v>459000</v>
      </c>
      <c r="P63" s="36">
        <f>ROUND(O65*Assumptions!J$6+O65,-3)</f>
        <v>477000</v>
      </c>
      <c r="Q63" s="36">
        <f>ROUND(P65*Assumptions!K$6+P65,-3)</f>
        <v>489000</v>
      </c>
      <c r="R63" s="36">
        <f>ROUND(Q65*Assumptions!L$6+Q65,-3)</f>
        <v>501000</v>
      </c>
      <c r="S63" s="36">
        <f>ROUND(R65*Assumptions!M$6+R65,-3)</f>
        <v>514000</v>
      </c>
      <c r="T63" s="36">
        <f>ROUND(S65*Assumptions!N$6+S65,-3)</f>
        <v>527000</v>
      </c>
      <c r="U63" s="36">
        <f>ROUND(T65*Assumptions!O$6+T65,-3)</f>
        <v>540000</v>
      </c>
      <c r="V63" s="36">
        <f>ROUND(U65*Assumptions!P$6+U65,-3)</f>
        <v>554000</v>
      </c>
      <c r="W63" s="36">
        <f>ROUND(V65*Assumptions!Q$6+V65,-3)</f>
        <v>568000</v>
      </c>
      <c r="X63" s="36">
        <f>ROUND(W65*Assumptions!R$6+W65,-3)</f>
        <v>582000</v>
      </c>
      <c r="Y63" s="36"/>
      <c r="AJ63" s="285"/>
      <c r="AK63" s="285"/>
      <c r="AL63" s="285"/>
      <c r="AM63" s="285"/>
      <c r="AN63" s="285"/>
      <c r="AO63" s="285"/>
      <c r="AT63" s="36"/>
    </row>
    <row r="64" spans="1:48" x14ac:dyDescent="0.2">
      <c r="A64" s="726" t="s">
        <v>518</v>
      </c>
      <c r="E64" s="36"/>
      <c r="F64" s="36"/>
      <c r="G64" s="36">
        <v>100000</v>
      </c>
      <c r="H64" s="36"/>
      <c r="I64" s="36"/>
      <c r="J64" s="36"/>
      <c r="K64" s="36"/>
      <c r="L64" s="36"/>
      <c r="M64" s="36"/>
      <c r="N64" s="36"/>
      <c r="O64" s="36"/>
      <c r="P64" s="36"/>
      <c r="Q64" s="36"/>
      <c r="R64" s="36"/>
      <c r="S64" s="36"/>
      <c r="T64" s="36"/>
      <c r="U64" s="36"/>
      <c r="V64" s="36"/>
      <c r="W64" s="36"/>
      <c r="X64" s="36"/>
      <c r="Y64" s="36"/>
      <c r="AJ64" s="573" t="s">
        <v>2491</v>
      </c>
      <c r="AT64" s="36"/>
      <c r="AU64" s="36"/>
      <c r="AV64" s="36"/>
    </row>
    <row r="65" spans="1:48" s="285" customFormat="1" x14ac:dyDescent="0.2">
      <c r="A65" s="285" t="s">
        <v>1504</v>
      </c>
      <c r="B65" s="511">
        <f t="shared" ref="B65:N65" si="38">SUM(B63:B64)</f>
        <v>0</v>
      </c>
      <c r="C65" s="511">
        <f t="shared" si="38"/>
        <v>0</v>
      </c>
      <c r="D65" s="511">
        <f t="shared" si="38"/>
        <v>0</v>
      </c>
      <c r="E65" s="511">
        <f t="shared" si="38"/>
        <v>249000</v>
      </c>
      <c r="F65" s="511">
        <f t="shared" si="38"/>
        <v>250000</v>
      </c>
      <c r="G65" s="511">
        <f t="shared" si="38"/>
        <v>350000</v>
      </c>
      <c r="H65" s="511">
        <f t="shared" si="38"/>
        <v>359000</v>
      </c>
      <c r="I65" s="511">
        <f t="shared" si="38"/>
        <v>370000</v>
      </c>
      <c r="J65" s="511">
        <f t="shared" si="38"/>
        <v>381000</v>
      </c>
      <c r="K65" s="511">
        <f t="shared" si="38"/>
        <v>396000</v>
      </c>
      <c r="L65" s="511">
        <f t="shared" si="38"/>
        <v>408000</v>
      </c>
      <c r="M65" s="511">
        <f t="shared" si="38"/>
        <v>424000</v>
      </c>
      <c r="N65" s="511">
        <f t="shared" si="38"/>
        <v>441000</v>
      </c>
      <c r="O65" s="511">
        <f t="shared" ref="O65:T65" si="39">SUM(O63:O64)</f>
        <v>459000</v>
      </c>
      <c r="P65" s="511">
        <f t="shared" si="39"/>
        <v>477000</v>
      </c>
      <c r="Q65" s="511">
        <f t="shared" si="39"/>
        <v>489000</v>
      </c>
      <c r="R65" s="511">
        <f t="shared" si="39"/>
        <v>501000</v>
      </c>
      <c r="S65" s="511">
        <f t="shared" si="39"/>
        <v>514000</v>
      </c>
      <c r="T65" s="511">
        <f t="shared" si="39"/>
        <v>527000</v>
      </c>
      <c r="U65" s="511">
        <f t="shared" ref="U65:V65" si="40">SUM(U63:U64)</f>
        <v>540000</v>
      </c>
      <c r="V65" s="511">
        <f t="shared" si="40"/>
        <v>554000</v>
      </c>
      <c r="W65" s="511">
        <f t="shared" ref="W65:X65" si="41">SUM(W63:W64)</f>
        <v>568000</v>
      </c>
      <c r="X65" s="511">
        <f t="shared" si="41"/>
        <v>582000</v>
      </c>
      <c r="Y65" s="27"/>
      <c r="AJ65" s="726" t="s">
        <v>2237</v>
      </c>
      <c r="AK65" s="36">
        <v>1892000</v>
      </c>
      <c r="AL65" s="36">
        <v>2005000</v>
      </c>
      <c r="AM65" s="36">
        <v>1827000</v>
      </c>
      <c r="AN65" s="36">
        <v>1902000</v>
      </c>
      <c r="AO65" s="36">
        <v>1993000</v>
      </c>
      <c r="AQ65" s="726"/>
      <c r="AR65" s="36">
        <f>I7</f>
        <v>1892000</v>
      </c>
      <c r="AS65" s="36">
        <f>J7</f>
        <v>2005000</v>
      </c>
      <c r="AT65" s="36">
        <f>K7</f>
        <v>2302000</v>
      </c>
      <c r="AU65" s="36">
        <f>L7</f>
        <v>1480000</v>
      </c>
      <c r="AV65" s="36">
        <f>M7</f>
        <v>3248200</v>
      </c>
    </row>
    <row r="66" spans="1:48" x14ac:dyDescent="0.2">
      <c r="AJ66" s="726" t="s">
        <v>2238</v>
      </c>
      <c r="AK66" s="36">
        <v>256000</v>
      </c>
      <c r="AL66" s="36">
        <v>256000</v>
      </c>
      <c r="AM66" s="36">
        <v>256000</v>
      </c>
      <c r="AN66" s="36">
        <v>256000</v>
      </c>
      <c r="AO66" s="36">
        <v>256000</v>
      </c>
      <c r="AQ66" s="726"/>
      <c r="AR66" s="36">
        <f t="shared" ref="AR66:AV67" si="42">I9</f>
        <v>256000</v>
      </c>
      <c r="AS66" s="36">
        <f t="shared" si="42"/>
        <v>256000</v>
      </c>
      <c r="AT66" s="36">
        <f t="shared" si="42"/>
        <v>256000</v>
      </c>
      <c r="AU66" s="36">
        <f t="shared" si="42"/>
        <v>260000</v>
      </c>
      <c r="AV66" s="36">
        <f t="shared" si="42"/>
        <v>260000</v>
      </c>
    </row>
    <row r="67" spans="1:48" x14ac:dyDescent="0.2">
      <c r="A67" s="726" t="s">
        <v>519</v>
      </c>
      <c r="I67" s="36">
        <v>335000</v>
      </c>
      <c r="J67" s="36">
        <v>349000</v>
      </c>
      <c r="K67" s="36">
        <v>511000</v>
      </c>
      <c r="L67" s="36">
        <v>172000</v>
      </c>
      <c r="M67" s="36">
        <f>ROUND('Cap-Gen'!AA146+'Cap-Gen'!AA150,-3)</f>
        <v>1034000</v>
      </c>
      <c r="N67" s="36">
        <f>ROUND('Cap-Gen'!AF146+'Cap-Gen'!AF150,-3)</f>
        <v>366000</v>
      </c>
      <c r="O67" s="36">
        <f>ROUND('Cap-Gen'!AK146+'Cap-Gen'!AK150,-3)</f>
        <v>459000</v>
      </c>
      <c r="P67" s="36">
        <f>ROUND('Cap-Gen'!AP146+'Cap-Gen'!AP150,-3)</f>
        <v>477000</v>
      </c>
      <c r="Q67" s="36">
        <f>ROUND('Cap-Gen'!AU146+'Cap-Gen'!AU150,-3)</f>
        <v>489000</v>
      </c>
      <c r="R67" s="36">
        <f>ROUND('Cap-Gen'!AZ146+'Cap-Gen'!AZ150,-3)</f>
        <v>501000</v>
      </c>
      <c r="S67" s="36">
        <f>ROUND('Cap-Gen'!BE146+'Cap-Gen'!BE150,-3)</f>
        <v>514000</v>
      </c>
      <c r="T67" s="36">
        <f>ROUND('Cap-Gen'!BJ146+'Cap-Gen'!BJ150,-3)</f>
        <v>527000</v>
      </c>
      <c r="U67" s="36">
        <f>ROUND('Cap-Gen'!BO146+'Cap-Gen'!BO150,-3)</f>
        <v>540000</v>
      </c>
      <c r="V67" s="36">
        <f>ROUND('Cap-Gen'!BT146+'Cap-Gen'!BT150,-3)</f>
        <v>554000</v>
      </c>
      <c r="W67" s="36">
        <f>ROUND('Cap-Gen'!BY146+'Cap-Gen'!BY150,-3)</f>
        <v>568000</v>
      </c>
      <c r="X67" s="36">
        <f>ROUND('Cap-Gen'!CD146+'Cap-Gen'!CD150,-3)</f>
        <v>582000</v>
      </c>
      <c r="Y67" s="36"/>
      <c r="AJ67" s="726" t="s">
        <v>4351</v>
      </c>
      <c r="AK67" s="36">
        <v>128000</v>
      </c>
      <c r="AL67" s="36">
        <v>64000</v>
      </c>
      <c r="AM67" s="36">
        <v>64000</v>
      </c>
      <c r="AN67" s="36">
        <v>64000</v>
      </c>
      <c r="AO67" s="36">
        <v>0</v>
      </c>
      <c r="AQ67" s="726"/>
      <c r="AR67" s="36">
        <f t="shared" si="42"/>
        <v>128000</v>
      </c>
      <c r="AS67" s="36">
        <f t="shared" si="42"/>
        <v>64000</v>
      </c>
      <c r="AT67" s="36">
        <f t="shared" si="42"/>
        <v>64000</v>
      </c>
      <c r="AU67" s="36">
        <f t="shared" si="42"/>
        <v>65000</v>
      </c>
      <c r="AV67" s="36">
        <f t="shared" si="42"/>
        <v>0</v>
      </c>
    </row>
    <row r="68" spans="1:48" x14ac:dyDescent="0.2">
      <c r="A68" s="726" t="s">
        <v>4372</v>
      </c>
      <c r="I68" s="36"/>
      <c r="J68" s="36"/>
      <c r="K68" s="36"/>
      <c r="L68" s="36"/>
      <c r="M68" s="36"/>
      <c r="N68" s="36"/>
      <c r="O68" s="36"/>
      <c r="P68" s="36"/>
      <c r="Q68" s="36"/>
      <c r="R68" s="36"/>
      <c r="S68" s="36"/>
      <c r="T68" s="36"/>
      <c r="U68" s="36"/>
      <c r="V68" s="36"/>
      <c r="W68" s="36"/>
      <c r="X68" s="36"/>
      <c r="Y68" s="36"/>
      <c r="AJ68" s="726"/>
      <c r="AK68" s="36"/>
      <c r="AL68" s="36"/>
      <c r="AM68" s="36"/>
      <c r="AN68" s="36"/>
      <c r="AO68" s="36"/>
      <c r="AQ68" s="726"/>
      <c r="AR68" s="36"/>
      <c r="AS68" s="36"/>
      <c r="AT68" s="36"/>
      <c r="AU68" s="36"/>
      <c r="AV68" s="36"/>
    </row>
    <row r="69" spans="1:48" x14ac:dyDescent="0.2">
      <c r="A69" s="726" t="s">
        <v>4815</v>
      </c>
      <c r="I69" s="36"/>
      <c r="J69" s="36"/>
      <c r="K69" s="36"/>
      <c r="L69" s="36">
        <v>224000</v>
      </c>
      <c r="M69" s="36">
        <v>104000</v>
      </c>
      <c r="N69" s="36">
        <f>ROUND(M69*Assumptions!H$6+M69,-3)-33000</f>
        <v>75000</v>
      </c>
      <c r="O69" s="36"/>
      <c r="P69" s="36"/>
      <c r="Q69" s="36"/>
      <c r="R69" s="36"/>
      <c r="S69" s="36"/>
      <c r="T69" s="36"/>
      <c r="U69" s="36"/>
      <c r="V69" s="36"/>
      <c r="W69" s="36"/>
      <c r="X69" s="36"/>
      <c r="Y69" s="36"/>
      <c r="AJ69" s="726"/>
      <c r="AK69" s="36"/>
      <c r="AL69" s="36"/>
      <c r="AM69" s="36"/>
      <c r="AN69" s="36"/>
      <c r="AO69" s="36"/>
      <c r="AQ69" s="726"/>
      <c r="AR69" s="36"/>
      <c r="AS69" s="36"/>
      <c r="AT69" s="36"/>
      <c r="AU69" s="36"/>
      <c r="AV69" s="36"/>
    </row>
    <row r="70" spans="1:48" x14ac:dyDescent="0.2">
      <c r="A70" s="726" t="s">
        <v>4376</v>
      </c>
      <c r="I70" s="36">
        <v>5000</v>
      </c>
      <c r="J70" s="36">
        <v>5000</v>
      </c>
      <c r="K70" s="36">
        <f>ROUND(J70*Assumptions!E$5+J70,-3)</f>
        <v>5000</v>
      </c>
      <c r="L70" s="36">
        <v>0</v>
      </c>
      <c r="M70" s="36">
        <f>ROUND(L70*Assumptions!G$5+L70,-3)</f>
        <v>0</v>
      </c>
      <c r="N70" s="36">
        <f>ROUND(M70*Assumptions!H$5+M70,-3)</f>
        <v>0</v>
      </c>
      <c r="O70" s="36">
        <f>ROUND(N70*Assumptions!I$5+N70,-3)</f>
        <v>0</v>
      </c>
      <c r="P70" s="36">
        <f>ROUND(O70*Assumptions!J$5+O70,-3)</f>
        <v>0</v>
      </c>
      <c r="Q70" s="36">
        <f>ROUND(P70*Assumptions!K$5+P70,-3)</f>
        <v>0</v>
      </c>
      <c r="R70" s="36">
        <f>ROUND(Q70*Assumptions!L$5+Q70,-3)</f>
        <v>0</v>
      </c>
      <c r="S70" s="36">
        <f>ROUND(R70*Assumptions!M$5+R70,-3)</f>
        <v>0</v>
      </c>
      <c r="T70" s="36">
        <f>ROUND(S70*Assumptions!N$5+S70,-3)</f>
        <v>0</v>
      </c>
      <c r="U70" s="36">
        <f>ROUND(T70*Assumptions!O$5+T70,-3)</f>
        <v>0</v>
      </c>
      <c r="V70" s="36">
        <f>ROUND(U70*Assumptions!P$5+U70,-3)</f>
        <v>0</v>
      </c>
      <c r="W70" s="36">
        <f>ROUND(V70*Assumptions!Q$5+V70,-3)</f>
        <v>0</v>
      </c>
      <c r="X70" s="36">
        <f>ROUND(W70*Assumptions!R$5+W70,-3)</f>
        <v>0</v>
      </c>
      <c r="Y70" s="36"/>
      <c r="AJ70" s="726" t="s">
        <v>1547</v>
      </c>
      <c r="AK70" s="36">
        <v>410000</v>
      </c>
      <c r="AL70" s="36">
        <v>745000</v>
      </c>
      <c r="AM70" s="36">
        <v>886000</v>
      </c>
      <c r="AN70" s="36">
        <v>936000</v>
      </c>
      <c r="AO70" s="36">
        <v>936000</v>
      </c>
      <c r="AQ70" s="726"/>
      <c r="AR70" s="36">
        <f>I11</f>
        <v>399000</v>
      </c>
      <c r="AS70" s="36">
        <f>J11</f>
        <v>745000</v>
      </c>
      <c r="AT70" s="36">
        <f>K11</f>
        <v>899000</v>
      </c>
      <c r="AU70" s="36">
        <f>L11</f>
        <v>949000</v>
      </c>
      <c r="AV70" s="36">
        <f>M11</f>
        <v>949000</v>
      </c>
    </row>
    <row r="71" spans="1:48" x14ac:dyDescent="0.2">
      <c r="A71" s="726" t="s">
        <v>6423</v>
      </c>
      <c r="I71" s="36"/>
      <c r="J71" s="36"/>
      <c r="K71" s="36"/>
      <c r="L71" s="36"/>
      <c r="M71" s="36">
        <f>4000+26000</f>
        <v>30000</v>
      </c>
      <c r="N71" s="36"/>
      <c r="O71" s="36"/>
      <c r="P71" s="36"/>
      <c r="Q71" s="36"/>
      <c r="R71" s="36"/>
      <c r="S71" s="36"/>
      <c r="T71" s="36"/>
      <c r="U71" s="36"/>
      <c r="V71" s="36"/>
      <c r="W71" s="36"/>
      <c r="X71" s="36"/>
      <c r="Y71" s="36"/>
      <c r="AJ71" s="726"/>
      <c r="AK71" s="36"/>
      <c r="AL71" s="36"/>
      <c r="AM71" s="36"/>
      <c r="AN71" s="36"/>
      <c r="AO71" s="36"/>
      <c r="AQ71" s="726"/>
      <c r="AR71" s="36"/>
      <c r="AS71" s="36"/>
      <c r="AT71" s="36"/>
      <c r="AU71" s="36"/>
      <c r="AV71" s="36"/>
    </row>
    <row r="72" spans="1:48" x14ac:dyDescent="0.2">
      <c r="A72" s="726" t="s">
        <v>4377</v>
      </c>
      <c r="I72" s="36">
        <v>12000</v>
      </c>
      <c r="J72" s="36">
        <v>12000</v>
      </c>
      <c r="K72" s="36">
        <v>0</v>
      </c>
      <c r="L72" s="36">
        <v>0</v>
      </c>
      <c r="M72" s="36">
        <f>ROUND(L72*Assumptions!G$5+L72,-3)</f>
        <v>0</v>
      </c>
      <c r="N72" s="36">
        <f>ROUND(M72*Assumptions!H$5+M72,-3)</f>
        <v>0</v>
      </c>
      <c r="O72" s="36">
        <f>ROUND(N72*Assumptions!I$5+N72,-3)</f>
        <v>0</v>
      </c>
      <c r="P72" s="36">
        <f>ROUND(O72*Assumptions!J$5+O72,-3)</f>
        <v>0</v>
      </c>
      <c r="Q72" s="36">
        <f>ROUND(P72*Assumptions!K$5+P72,-3)</f>
        <v>0</v>
      </c>
      <c r="R72" s="36">
        <f>ROUND(Q72*Assumptions!L$5+Q72,-3)</f>
        <v>0</v>
      </c>
      <c r="S72" s="36">
        <f>ROUND(R72*Assumptions!M$5+R72,-3)</f>
        <v>0</v>
      </c>
      <c r="T72" s="36">
        <f>ROUND(S72*Assumptions!N$5+S72,-3)</f>
        <v>0</v>
      </c>
      <c r="U72" s="36">
        <f>ROUND(T72*Assumptions!O$5+T72,-3)</f>
        <v>0</v>
      </c>
      <c r="V72" s="36">
        <f>ROUND(U72*Assumptions!P$5+U72,-3)</f>
        <v>0</v>
      </c>
      <c r="W72" s="36">
        <f>ROUND(V72*Assumptions!Q$5+V72,-3)</f>
        <v>0</v>
      </c>
      <c r="X72" s="36">
        <f>ROUND(W72*Assumptions!R$5+W72,-3)</f>
        <v>0</v>
      </c>
      <c r="Y72" s="36"/>
      <c r="AJ72" s="726" t="s">
        <v>4352</v>
      </c>
      <c r="AK72" s="36">
        <v>284000</v>
      </c>
      <c r="AL72" s="36">
        <v>450000</v>
      </c>
      <c r="AM72" s="36">
        <v>473000</v>
      </c>
      <c r="AN72" s="80">
        <v>496000</v>
      </c>
      <c r="AO72" s="80">
        <v>511000</v>
      </c>
      <c r="AP72" s="726"/>
      <c r="AQ72" s="726"/>
      <c r="AR72" s="80">
        <f t="shared" ref="AR72:AV73" si="43">I12</f>
        <v>313000</v>
      </c>
      <c r="AS72" s="80">
        <f t="shared" si="43"/>
        <v>450000</v>
      </c>
      <c r="AT72" s="80">
        <f t="shared" si="43"/>
        <v>302000</v>
      </c>
      <c r="AU72" s="80">
        <f t="shared" si="43"/>
        <v>309000</v>
      </c>
      <c r="AV72" s="36">
        <f t="shared" si="43"/>
        <v>315000</v>
      </c>
    </row>
    <row r="73" spans="1:48" x14ac:dyDescent="0.2">
      <c r="A73" s="726" t="s">
        <v>4378</v>
      </c>
      <c r="I73" s="36">
        <v>15000</v>
      </c>
      <c r="J73" s="36">
        <v>15000</v>
      </c>
      <c r="K73" s="36">
        <f>ROUND(J73*Assumptions!E$5+J73,-3)</f>
        <v>15000</v>
      </c>
      <c r="L73" s="36">
        <v>0</v>
      </c>
      <c r="M73" s="36">
        <f>ROUND(L73*Assumptions!G$5+L73,-3)</f>
        <v>0</v>
      </c>
      <c r="N73" s="36">
        <f>ROUND(M73*Assumptions!H$5+M73,-3)</f>
        <v>0</v>
      </c>
      <c r="O73" s="36">
        <f>ROUND(N73*Assumptions!I$5+N73,-3)</f>
        <v>0</v>
      </c>
      <c r="P73" s="36">
        <f>ROUND(O73*Assumptions!J$5+O73,-3)</f>
        <v>0</v>
      </c>
      <c r="Q73" s="36">
        <f>ROUND(P73*Assumptions!K$5+P73,-3)</f>
        <v>0</v>
      </c>
      <c r="R73" s="36">
        <f>ROUND(Q73*Assumptions!L$5+Q73,-3)</f>
        <v>0</v>
      </c>
      <c r="S73" s="36">
        <f>ROUND(R73*Assumptions!M$5+R73,-3)</f>
        <v>0</v>
      </c>
      <c r="T73" s="36">
        <f>ROUND(S73*Assumptions!N$5+S73,-3)</f>
        <v>0</v>
      </c>
      <c r="U73" s="36">
        <f>ROUND(T73*Assumptions!O$5+T73,-3)</f>
        <v>0</v>
      </c>
      <c r="V73" s="36">
        <f>ROUND(U73*Assumptions!P$5+U73,-3)</f>
        <v>0</v>
      </c>
      <c r="W73" s="36">
        <f>ROUND(V73*Assumptions!Q$5+V73,-3)</f>
        <v>0</v>
      </c>
      <c r="X73" s="36">
        <f>ROUND(W73*Assumptions!R$5+W73,-3)</f>
        <v>0</v>
      </c>
      <c r="Y73" s="36"/>
      <c r="AJ73" s="1" t="s">
        <v>2023</v>
      </c>
      <c r="AK73" s="36">
        <v>40000</v>
      </c>
      <c r="AL73" s="36">
        <v>41000</v>
      </c>
      <c r="AM73" s="36">
        <v>42000</v>
      </c>
      <c r="AN73" s="36">
        <v>43000</v>
      </c>
      <c r="AO73" s="36">
        <v>44000</v>
      </c>
      <c r="AR73" s="36">
        <f t="shared" si="43"/>
        <v>40000</v>
      </c>
      <c r="AS73" s="36">
        <f t="shared" si="43"/>
        <v>41000</v>
      </c>
      <c r="AT73" s="36">
        <f t="shared" si="43"/>
        <v>42000</v>
      </c>
      <c r="AU73" s="36">
        <f t="shared" si="43"/>
        <v>43000</v>
      </c>
      <c r="AV73" s="36">
        <f t="shared" si="43"/>
        <v>44000</v>
      </c>
    </row>
    <row r="74" spans="1:48" x14ac:dyDescent="0.2">
      <c r="A74" s="726" t="s">
        <v>6365</v>
      </c>
      <c r="I74" s="36"/>
      <c r="J74" s="36"/>
      <c r="K74" s="36">
        <v>-25000</v>
      </c>
      <c r="L74" s="36">
        <v>12000</v>
      </c>
      <c r="M74" s="36"/>
      <c r="N74" s="36"/>
      <c r="O74" s="36"/>
      <c r="P74" s="36"/>
      <c r="Q74" s="36"/>
      <c r="R74" s="36"/>
      <c r="S74" s="36"/>
      <c r="T74" s="36"/>
      <c r="U74" s="36"/>
      <c r="V74" s="36"/>
      <c r="W74" s="36"/>
      <c r="X74" s="36"/>
      <c r="Y74" s="36"/>
      <c r="AK74" s="36"/>
      <c r="AL74" s="36"/>
      <c r="AM74" s="36"/>
      <c r="AN74" s="36"/>
      <c r="AO74" s="36"/>
      <c r="AR74" s="36"/>
      <c r="AS74" s="36"/>
      <c r="AT74" s="36"/>
      <c r="AU74" s="36"/>
      <c r="AV74" s="36"/>
    </row>
    <row r="75" spans="1:48" x14ac:dyDescent="0.2">
      <c r="A75" s="726" t="s">
        <v>4379</v>
      </c>
      <c r="I75" s="36">
        <v>3000</v>
      </c>
      <c r="J75" s="36">
        <v>0</v>
      </c>
      <c r="K75" s="36">
        <f>-120000+10000</f>
        <v>-110000</v>
      </c>
      <c r="L75" s="36">
        <v>0</v>
      </c>
      <c r="M75" s="36">
        <f>ROUND(L75*Assumptions!G$5+L75,-3)</f>
        <v>0</v>
      </c>
      <c r="N75" s="36">
        <f>ROUND(M75*Assumptions!H$5+M75,-3)</f>
        <v>0</v>
      </c>
      <c r="O75" s="36">
        <f>ROUND(N75*Assumptions!I$5+N75,-3)</f>
        <v>0</v>
      </c>
      <c r="P75" s="36">
        <f>ROUND(O75*Assumptions!J$5+O75,-3)</f>
        <v>0</v>
      </c>
      <c r="Q75" s="36">
        <f>ROUND(P75*Assumptions!K$5+P75,-3)</f>
        <v>0</v>
      </c>
      <c r="R75" s="36">
        <f>ROUND(Q75*Assumptions!L$5+Q75,-3)</f>
        <v>0</v>
      </c>
      <c r="S75" s="36">
        <f>ROUND(R75*Assumptions!M$5+R75,-3)</f>
        <v>0</v>
      </c>
      <c r="T75" s="36">
        <f>ROUND(S75*Assumptions!N$5+S75,-3)</f>
        <v>0</v>
      </c>
      <c r="U75" s="36">
        <f>ROUND(T75*Assumptions!O$5+T75,-3)</f>
        <v>0</v>
      </c>
      <c r="V75" s="36">
        <f>ROUND(U75*Assumptions!P$5+U75,-3)</f>
        <v>0</v>
      </c>
      <c r="W75" s="36">
        <f>ROUND(V75*Assumptions!Q$5+V75,-3)</f>
        <v>0</v>
      </c>
      <c r="X75" s="36">
        <f>ROUND(W75*Assumptions!R$5+W75,-3)</f>
        <v>0</v>
      </c>
      <c r="Y75" s="36"/>
      <c r="AJ75" s="1" t="s">
        <v>2024</v>
      </c>
      <c r="AK75" s="36">
        <v>33000</v>
      </c>
      <c r="AL75" s="36">
        <v>34000</v>
      </c>
      <c r="AM75" s="36">
        <v>35000</v>
      </c>
      <c r="AN75" s="36">
        <v>36000</v>
      </c>
      <c r="AO75" s="36">
        <v>37000</v>
      </c>
      <c r="AR75" s="36">
        <f t="shared" ref="AR75:AR87" si="44">I14</f>
        <v>33000</v>
      </c>
      <c r="AS75" s="36">
        <f t="shared" ref="AS75:AS87" si="45">J14</f>
        <v>34000</v>
      </c>
      <c r="AT75" s="36">
        <f t="shared" ref="AT75:AT87" si="46">K14</f>
        <v>35000</v>
      </c>
      <c r="AU75" s="36">
        <f t="shared" ref="AU75:AU87" si="47">L14</f>
        <v>36000</v>
      </c>
      <c r="AV75" s="36">
        <f t="shared" ref="AV75:AV87" si="48">M14</f>
        <v>37000</v>
      </c>
    </row>
    <row r="76" spans="1:48" s="285" customFormat="1" x14ac:dyDescent="0.2">
      <c r="A76" s="1999" t="s">
        <v>1504</v>
      </c>
      <c r="B76" s="1999"/>
      <c r="C76" s="1999"/>
      <c r="D76" s="1999"/>
      <c r="E76" s="1999"/>
      <c r="F76" s="1999"/>
      <c r="G76" s="1999"/>
      <c r="H76" s="1999"/>
      <c r="I76" s="511">
        <f t="shared" ref="I76:U76" si="49">SUM(I67:I75)</f>
        <v>370000</v>
      </c>
      <c r="J76" s="511">
        <f t="shared" si="49"/>
        <v>381000</v>
      </c>
      <c r="K76" s="511">
        <f t="shared" si="49"/>
        <v>396000</v>
      </c>
      <c r="L76" s="511">
        <f t="shared" si="49"/>
        <v>408000</v>
      </c>
      <c r="M76" s="511">
        <f t="shared" si="49"/>
        <v>1168000</v>
      </c>
      <c r="N76" s="511">
        <f t="shared" si="49"/>
        <v>441000</v>
      </c>
      <c r="O76" s="511">
        <f t="shared" si="49"/>
        <v>459000</v>
      </c>
      <c r="P76" s="511">
        <f t="shared" si="49"/>
        <v>477000</v>
      </c>
      <c r="Q76" s="511">
        <f t="shared" si="49"/>
        <v>489000</v>
      </c>
      <c r="R76" s="511">
        <f t="shared" si="49"/>
        <v>501000</v>
      </c>
      <c r="S76" s="511">
        <f t="shared" si="49"/>
        <v>514000</v>
      </c>
      <c r="T76" s="511">
        <f t="shared" si="49"/>
        <v>527000</v>
      </c>
      <c r="U76" s="511">
        <f t="shared" si="49"/>
        <v>540000</v>
      </c>
      <c r="V76" s="511">
        <f t="shared" ref="V76:W76" si="50">SUM(V67:V75)</f>
        <v>554000</v>
      </c>
      <c r="W76" s="511">
        <f t="shared" si="50"/>
        <v>568000</v>
      </c>
      <c r="X76" s="511">
        <f t="shared" ref="X76" si="51">SUM(X67:X75)</f>
        <v>582000</v>
      </c>
      <c r="Y76" s="27"/>
      <c r="AJ76" s="1" t="s">
        <v>3004</v>
      </c>
      <c r="AK76" s="36">
        <v>24000</v>
      </c>
      <c r="AL76" s="36">
        <v>25000</v>
      </c>
      <c r="AM76" s="36">
        <v>26000</v>
      </c>
      <c r="AN76" s="36">
        <v>27000</v>
      </c>
      <c r="AO76" s="36">
        <v>28000</v>
      </c>
      <c r="AQ76" s="1"/>
      <c r="AR76" s="36">
        <f t="shared" si="44"/>
        <v>24000</v>
      </c>
      <c r="AS76" s="36">
        <f t="shared" si="45"/>
        <v>25000</v>
      </c>
      <c r="AT76" s="36">
        <f t="shared" si="46"/>
        <v>26000</v>
      </c>
      <c r="AU76" s="36">
        <f t="shared" si="47"/>
        <v>27000</v>
      </c>
      <c r="AV76" s="36">
        <f t="shared" si="48"/>
        <v>28000</v>
      </c>
    </row>
    <row r="77" spans="1:48" s="285" customFormat="1" x14ac:dyDescent="0.2">
      <c r="A77" s="319"/>
      <c r="B77" s="319"/>
      <c r="C77" s="319"/>
      <c r="D77" s="319"/>
      <c r="E77" s="319"/>
      <c r="F77" s="319"/>
      <c r="G77" s="319"/>
      <c r="H77" s="319"/>
      <c r="I77" s="319"/>
      <c r="J77" s="319"/>
      <c r="K77" s="27"/>
      <c r="L77" s="27"/>
      <c r="M77" s="27"/>
      <c r="N77" s="27"/>
      <c r="O77" s="27"/>
      <c r="P77" s="27"/>
      <c r="Q77" s="27"/>
      <c r="R77" s="27"/>
      <c r="S77" s="27"/>
      <c r="T77" s="27"/>
      <c r="U77" s="27"/>
      <c r="V77" s="27"/>
      <c r="W77" s="27"/>
      <c r="X77" s="27"/>
      <c r="Y77" s="27"/>
      <c r="AJ77" s="1" t="s">
        <v>2025</v>
      </c>
      <c r="AK77" s="36">
        <v>40000</v>
      </c>
      <c r="AL77" s="36">
        <v>41000</v>
      </c>
      <c r="AM77" s="36">
        <v>42000</v>
      </c>
      <c r="AN77" s="36">
        <v>43000</v>
      </c>
      <c r="AO77" s="36">
        <v>44000</v>
      </c>
      <c r="AQ77" s="1"/>
      <c r="AR77" s="36">
        <f t="shared" si="44"/>
        <v>40000</v>
      </c>
      <c r="AS77" s="36">
        <f t="shared" si="45"/>
        <v>41000</v>
      </c>
      <c r="AT77" s="36">
        <f t="shared" si="46"/>
        <v>42000</v>
      </c>
      <c r="AU77" s="36">
        <f t="shared" si="47"/>
        <v>43000</v>
      </c>
      <c r="AV77" s="36">
        <f t="shared" si="48"/>
        <v>44000</v>
      </c>
    </row>
    <row r="78" spans="1:48" s="285" customFormat="1" x14ac:dyDescent="0.2">
      <c r="A78" s="285" t="s">
        <v>1210</v>
      </c>
      <c r="I78" s="39">
        <f t="shared" ref="I78:L78" si="52">I65-I76</f>
        <v>0</v>
      </c>
      <c r="J78" s="39">
        <f t="shared" si="52"/>
        <v>0</v>
      </c>
      <c r="K78" s="39">
        <f t="shared" si="52"/>
        <v>0</v>
      </c>
      <c r="L78" s="39">
        <f t="shared" si="52"/>
        <v>0</v>
      </c>
      <c r="M78" s="39">
        <f>M65-M76</f>
        <v>-744000</v>
      </c>
      <c r="N78" s="39">
        <f>N65-N76</f>
        <v>0</v>
      </c>
      <c r="O78" s="39">
        <f>O65-O76</f>
        <v>0</v>
      </c>
      <c r="P78" s="39">
        <f>P65-P76</f>
        <v>0</v>
      </c>
      <c r="Q78" s="39">
        <f t="shared" ref="Q78:V78" si="53">Q65-Q76</f>
        <v>0</v>
      </c>
      <c r="R78" s="39">
        <f t="shared" si="53"/>
        <v>0</v>
      </c>
      <c r="S78" s="39">
        <f t="shared" si="53"/>
        <v>0</v>
      </c>
      <c r="T78" s="39">
        <f t="shared" si="53"/>
        <v>0</v>
      </c>
      <c r="U78" s="39">
        <f t="shared" si="53"/>
        <v>0</v>
      </c>
      <c r="V78" s="39">
        <f t="shared" si="53"/>
        <v>0</v>
      </c>
      <c r="W78" s="39">
        <f t="shared" ref="W78:X78" si="54">W65-W76</f>
        <v>0</v>
      </c>
      <c r="X78" s="39">
        <f t="shared" si="54"/>
        <v>0</v>
      </c>
      <c r="Y78" s="39"/>
      <c r="AJ78" s="1" t="s">
        <v>2482</v>
      </c>
      <c r="AK78" s="36">
        <v>-19000</v>
      </c>
      <c r="AL78" s="36">
        <v>-20000</v>
      </c>
      <c r="AM78" s="36">
        <v>-21000</v>
      </c>
      <c r="AN78" s="36">
        <v>-22000</v>
      </c>
      <c r="AO78" s="36">
        <v>-23000</v>
      </c>
      <c r="AQ78" s="1"/>
      <c r="AR78" s="36">
        <f t="shared" si="44"/>
        <v>-19000</v>
      </c>
      <c r="AS78" s="36">
        <f t="shared" si="45"/>
        <v>-20000</v>
      </c>
      <c r="AT78" s="36">
        <f t="shared" si="46"/>
        <v>-21000</v>
      </c>
      <c r="AU78" s="36">
        <f t="shared" si="47"/>
        <v>-22000</v>
      </c>
      <c r="AV78" s="36">
        <f t="shared" si="48"/>
        <v>-22000</v>
      </c>
    </row>
    <row r="79" spans="1:48" x14ac:dyDescent="0.2">
      <c r="K79" s="2000"/>
      <c r="AJ79" s="1" t="s">
        <v>2026</v>
      </c>
      <c r="AK79" s="36">
        <v>65000</v>
      </c>
      <c r="AL79" s="36">
        <v>67000</v>
      </c>
      <c r="AM79" s="36">
        <v>69000</v>
      </c>
      <c r="AN79" s="36">
        <v>71000</v>
      </c>
      <c r="AO79" s="36">
        <v>73000</v>
      </c>
      <c r="AR79" s="36">
        <f t="shared" si="44"/>
        <v>65000</v>
      </c>
      <c r="AS79" s="36">
        <f t="shared" si="45"/>
        <v>67000</v>
      </c>
      <c r="AT79" s="36">
        <f t="shared" si="46"/>
        <v>69000</v>
      </c>
      <c r="AU79" s="36">
        <f t="shared" si="47"/>
        <v>71000</v>
      </c>
      <c r="AV79" s="36">
        <f t="shared" si="48"/>
        <v>72000</v>
      </c>
    </row>
    <row r="80" spans="1:48" x14ac:dyDescent="0.2">
      <c r="A80" s="285" t="s">
        <v>1906</v>
      </c>
      <c r="E80" s="2001" t="s">
        <v>293</v>
      </c>
      <c r="F80" s="2001" t="s">
        <v>2856</v>
      </c>
      <c r="G80" s="2001" t="s">
        <v>222</v>
      </c>
      <c r="H80" s="1997" t="str">
        <f t="shared" ref="H80:U80" si="55">H62</f>
        <v>2011/12</v>
      </c>
      <c r="I80" s="1997" t="str">
        <f t="shared" si="55"/>
        <v>2012/13</v>
      </c>
      <c r="J80" s="1997" t="str">
        <f t="shared" si="55"/>
        <v>2013/14</v>
      </c>
      <c r="K80" s="1997" t="str">
        <f t="shared" si="55"/>
        <v>2014/15</v>
      </c>
      <c r="L80" s="1997" t="str">
        <f t="shared" si="55"/>
        <v>2015/16</v>
      </c>
      <c r="M80" s="1997" t="str">
        <f t="shared" si="55"/>
        <v>2016/17</v>
      </c>
      <c r="N80" s="1997" t="str">
        <f t="shared" si="55"/>
        <v>2017/18</v>
      </c>
      <c r="O80" s="1997" t="str">
        <f t="shared" si="55"/>
        <v>2018/19</v>
      </c>
      <c r="P80" s="1997" t="str">
        <f t="shared" si="55"/>
        <v>2019/20</v>
      </c>
      <c r="Q80" s="1997" t="str">
        <f t="shared" si="55"/>
        <v>2020/21</v>
      </c>
      <c r="R80" s="1997" t="str">
        <f t="shared" si="55"/>
        <v>2021/22</v>
      </c>
      <c r="S80" s="1997" t="str">
        <f t="shared" si="55"/>
        <v>2022/23</v>
      </c>
      <c r="T80" s="1997" t="str">
        <f t="shared" si="55"/>
        <v>2023/24</v>
      </c>
      <c r="U80" s="1997" t="str">
        <f t="shared" si="55"/>
        <v>2024/25</v>
      </c>
      <c r="V80" s="1997" t="str">
        <f t="shared" ref="V80:W80" si="56">V62</f>
        <v>2025/26</v>
      </c>
      <c r="W80" s="1997" t="str">
        <f t="shared" si="56"/>
        <v>2026/27</v>
      </c>
      <c r="X80" s="2301" t="str">
        <f t="shared" ref="X80" si="57">X62</f>
        <v>2027/28</v>
      </c>
      <c r="Y80" s="1997"/>
      <c r="AJ80" s="1" t="s">
        <v>2483</v>
      </c>
      <c r="AK80" s="36">
        <v>-40500</v>
      </c>
      <c r="AL80" s="36">
        <v>-42000</v>
      </c>
      <c r="AM80" s="36">
        <v>-43000</v>
      </c>
      <c r="AN80" s="36">
        <v>-44000</v>
      </c>
      <c r="AO80" s="36">
        <v>-45000</v>
      </c>
      <c r="AR80" s="36">
        <f t="shared" si="44"/>
        <v>-40500</v>
      </c>
      <c r="AS80" s="36">
        <f t="shared" si="45"/>
        <v>-42000</v>
      </c>
      <c r="AT80" s="36">
        <f t="shared" si="46"/>
        <v>-43000</v>
      </c>
      <c r="AU80" s="36">
        <f t="shared" si="47"/>
        <v>-44000</v>
      </c>
      <c r="AV80" s="36">
        <f t="shared" si="48"/>
        <v>-45000</v>
      </c>
    </row>
    <row r="81" spans="1:48" x14ac:dyDescent="0.2">
      <c r="A81" s="726" t="s">
        <v>2196</v>
      </c>
      <c r="E81" s="36">
        <v>140000</v>
      </c>
      <c r="F81" s="36">
        <f>ROUND((E84*1.03)-30000,-3)</f>
        <v>114000</v>
      </c>
      <c r="G81" s="36">
        <f t="shared" ref="G81:H81" si="58">ROUND(F84*1.03,-3)</f>
        <v>117000</v>
      </c>
      <c r="H81" s="36">
        <f t="shared" si="58"/>
        <v>121000</v>
      </c>
      <c r="I81" s="36">
        <f>ROUND(H84*1.03,-3)</f>
        <v>192000</v>
      </c>
      <c r="J81" s="36">
        <f>ROUND(I84*1.03,-3)</f>
        <v>198000</v>
      </c>
      <c r="K81" s="36">
        <f>ROUND(J84*1.03,-3)+2000</f>
        <v>206000</v>
      </c>
      <c r="L81" s="36">
        <f>ROUND(K81*Assumptions!F$6+K81,-3)</f>
        <v>212000</v>
      </c>
      <c r="M81" s="36">
        <f>ROUND(L84*Assumptions!G$6+L84,-3)</f>
        <v>220000</v>
      </c>
      <c r="N81" s="36">
        <f>ROUND(M84*Assumptions!H$6+M84,-3)</f>
        <v>229000</v>
      </c>
      <c r="O81" s="36">
        <f>ROUND(N84*Assumptions!I$6+N84,-3)</f>
        <v>238000</v>
      </c>
      <c r="P81" s="36">
        <f>ROUND(O84*Assumptions!J$6+O84,-3)</f>
        <v>248000</v>
      </c>
      <c r="Q81" s="36">
        <f>ROUND(P84*Assumptions!K$6+P84,-3)</f>
        <v>254000</v>
      </c>
      <c r="R81" s="36">
        <f>ROUND(Q84*Assumptions!L$6+Q84,-3)</f>
        <v>260000</v>
      </c>
      <c r="S81" s="36">
        <f>ROUND(R84*Assumptions!M$6+R84,-3)</f>
        <v>267000</v>
      </c>
      <c r="T81" s="36">
        <f>ROUND(S84*Assumptions!N$6+S84,-3)</f>
        <v>274000</v>
      </c>
      <c r="U81" s="36">
        <f>ROUND(T84*Assumptions!O$6+T84,-3)</f>
        <v>281000</v>
      </c>
      <c r="V81" s="36">
        <f>ROUND(U84*Assumptions!P$6+U84,-3)</f>
        <v>288000</v>
      </c>
      <c r="W81" s="36">
        <f>ROUND(V84*Assumptions!Q$6+V84,-3)</f>
        <v>295000</v>
      </c>
      <c r="X81" s="36">
        <f>ROUND(W84*Assumptions!R$6+W84,-3)</f>
        <v>302000</v>
      </c>
      <c r="Y81" s="36"/>
      <c r="AJ81" s="1" t="s">
        <v>2027</v>
      </c>
      <c r="AK81" s="36">
        <v>68000</v>
      </c>
      <c r="AL81" s="36">
        <v>70000</v>
      </c>
      <c r="AM81" s="36">
        <v>72000</v>
      </c>
      <c r="AN81" s="36">
        <v>74000</v>
      </c>
      <c r="AO81" s="36">
        <v>76000</v>
      </c>
      <c r="AR81" s="36">
        <f t="shared" si="44"/>
        <v>68000</v>
      </c>
      <c r="AS81" s="36">
        <f t="shared" si="45"/>
        <v>70000</v>
      </c>
      <c r="AT81" s="36">
        <f t="shared" si="46"/>
        <v>72000</v>
      </c>
      <c r="AU81" s="36">
        <f t="shared" si="47"/>
        <v>74000</v>
      </c>
      <c r="AV81" s="36">
        <f t="shared" si="48"/>
        <v>75000</v>
      </c>
    </row>
    <row r="82" spans="1:48" x14ac:dyDescent="0.2">
      <c r="A82" s="726" t="s">
        <v>2197</v>
      </c>
      <c r="E82" s="36">
        <v>0</v>
      </c>
      <c r="F82" s="36">
        <v>0</v>
      </c>
      <c r="G82" s="36">
        <v>0</v>
      </c>
      <c r="H82" s="36">
        <v>65000</v>
      </c>
      <c r="I82" s="36"/>
      <c r="J82" s="36"/>
      <c r="K82" s="36"/>
      <c r="L82" s="36"/>
      <c r="M82" s="36"/>
      <c r="N82" s="36"/>
      <c r="O82" s="36"/>
      <c r="P82" s="36"/>
      <c r="Q82" s="36"/>
      <c r="R82" s="36"/>
      <c r="S82" s="36"/>
      <c r="T82" s="36"/>
      <c r="U82" s="36"/>
      <c r="V82" s="36"/>
      <c r="W82" s="36"/>
      <c r="X82" s="36"/>
      <c r="Y82" s="36"/>
      <c r="AJ82" s="1" t="s">
        <v>2028</v>
      </c>
      <c r="AK82" s="36">
        <v>92000</v>
      </c>
      <c r="AL82" s="36">
        <v>95000</v>
      </c>
      <c r="AM82" s="36">
        <v>98000</v>
      </c>
      <c r="AN82" s="36">
        <v>101000</v>
      </c>
      <c r="AO82" s="36">
        <v>104000</v>
      </c>
      <c r="AR82" s="36">
        <f t="shared" si="44"/>
        <v>92000</v>
      </c>
      <c r="AS82" s="36">
        <f t="shared" si="45"/>
        <v>95000</v>
      </c>
      <c r="AT82" s="36">
        <f t="shared" si="46"/>
        <v>98000</v>
      </c>
      <c r="AU82" s="36">
        <f t="shared" si="47"/>
        <v>100000</v>
      </c>
      <c r="AV82" s="36">
        <f t="shared" si="48"/>
        <v>102000</v>
      </c>
    </row>
    <row r="83" spans="1:48" x14ac:dyDescent="0.2">
      <c r="A83" s="726"/>
      <c r="E83" s="36"/>
      <c r="F83" s="36"/>
      <c r="G83" s="36"/>
      <c r="H83" s="36"/>
      <c r="I83" s="36"/>
      <c r="J83" s="36"/>
      <c r="K83" s="36"/>
      <c r="L83" s="36"/>
      <c r="M83" s="36"/>
      <c r="N83" s="36"/>
      <c r="O83" s="36"/>
      <c r="P83" s="36"/>
      <c r="Q83" s="36"/>
      <c r="R83" s="36"/>
      <c r="S83" s="36"/>
      <c r="T83" s="36"/>
      <c r="U83" s="36"/>
      <c r="V83" s="36"/>
      <c r="W83" s="36"/>
      <c r="X83" s="36"/>
      <c r="Y83" s="36"/>
      <c r="AJ83" s="1" t="s">
        <v>2480</v>
      </c>
      <c r="AK83" s="36">
        <v>-9000</v>
      </c>
      <c r="AL83" s="36">
        <v>-9000</v>
      </c>
      <c r="AM83" s="36">
        <v>-9000</v>
      </c>
      <c r="AN83" s="36">
        <v>-9000</v>
      </c>
      <c r="AO83" s="36">
        <v>-9000</v>
      </c>
      <c r="AR83" s="36">
        <f t="shared" si="44"/>
        <v>-9000</v>
      </c>
      <c r="AS83" s="36">
        <f t="shared" si="45"/>
        <v>-9000</v>
      </c>
      <c r="AT83" s="36">
        <f t="shared" si="46"/>
        <v>-9000</v>
      </c>
      <c r="AU83" s="36">
        <f t="shared" si="47"/>
        <v>-9000</v>
      </c>
      <c r="AV83" s="36">
        <f t="shared" si="48"/>
        <v>-9000</v>
      </c>
    </row>
    <row r="84" spans="1:48" x14ac:dyDescent="0.2">
      <c r="E84" s="511">
        <f t="shared" ref="E84:T84" si="59">SUM(E81:E83)</f>
        <v>140000</v>
      </c>
      <c r="F84" s="511">
        <f t="shared" si="59"/>
        <v>114000</v>
      </c>
      <c r="G84" s="511">
        <f t="shared" si="59"/>
        <v>117000</v>
      </c>
      <c r="H84" s="511">
        <f t="shared" si="59"/>
        <v>186000</v>
      </c>
      <c r="I84" s="511">
        <f t="shared" si="59"/>
        <v>192000</v>
      </c>
      <c r="J84" s="511">
        <f t="shared" si="59"/>
        <v>198000</v>
      </c>
      <c r="K84" s="511">
        <f t="shared" si="59"/>
        <v>206000</v>
      </c>
      <c r="L84" s="511">
        <f t="shared" si="59"/>
        <v>212000</v>
      </c>
      <c r="M84" s="511">
        <f t="shared" si="59"/>
        <v>220000</v>
      </c>
      <c r="N84" s="511">
        <f t="shared" si="59"/>
        <v>229000</v>
      </c>
      <c r="O84" s="511">
        <f t="shared" si="59"/>
        <v>238000</v>
      </c>
      <c r="P84" s="511">
        <f t="shared" si="59"/>
        <v>248000</v>
      </c>
      <c r="Q84" s="511">
        <f t="shared" si="59"/>
        <v>254000</v>
      </c>
      <c r="R84" s="511">
        <f t="shared" si="59"/>
        <v>260000</v>
      </c>
      <c r="S84" s="511">
        <f t="shared" si="59"/>
        <v>267000</v>
      </c>
      <c r="T84" s="511">
        <f t="shared" si="59"/>
        <v>274000</v>
      </c>
      <c r="U84" s="511">
        <f t="shared" ref="U84:V84" si="60">SUM(U81:U83)</f>
        <v>281000</v>
      </c>
      <c r="V84" s="511">
        <f t="shared" si="60"/>
        <v>288000</v>
      </c>
      <c r="W84" s="511">
        <f t="shared" ref="W84:X84" si="61">SUM(W81:W83)</f>
        <v>295000</v>
      </c>
      <c r="X84" s="511">
        <f t="shared" si="61"/>
        <v>302000</v>
      </c>
      <c r="Y84" s="27"/>
      <c r="AJ84" s="1" t="s">
        <v>2338</v>
      </c>
      <c r="AK84" s="36">
        <v>60000</v>
      </c>
      <c r="AL84" s="36">
        <v>62000</v>
      </c>
      <c r="AM84" s="36">
        <v>64000</v>
      </c>
      <c r="AN84" s="36">
        <v>66000</v>
      </c>
      <c r="AO84" s="36">
        <v>68000</v>
      </c>
      <c r="AR84" s="36">
        <f t="shared" si="44"/>
        <v>60000</v>
      </c>
      <c r="AS84" s="36">
        <f t="shared" si="45"/>
        <v>62000</v>
      </c>
      <c r="AT84" s="36">
        <f t="shared" si="46"/>
        <v>64000</v>
      </c>
      <c r="AU84" s="36">
        <f t="shared" si="47"/>
        <v>66000</v>
      </c>
      <c r="AV84" s="36">
        <f t="shared" si="48"/>
        <v>67000</v>
      </c>
    </row>
    <row r="85" spans="1:48" x14ac:dyDescent="0.2">
      <c r="AJ85" s="1" t="s">
        <v>2481</v>
      </c>
      <c r="AK85" s="36">
        <v>-73500</v>
      </c>
      <c r="AL85" s="36">
        <v>-76000</v>
      </c>
      <c r="AM85" s="36">
        <v>-78000</v>
      </c>
      <c r="AN85" s="36">
        <v>-80000</v>
      </c>
      <c r="AO85" s="36">
        <v>-82000</v>
      </c>
      <c r="AR85" s="36">
        <f t="shared" si="44"/>
        <v>-73500</v>
      </c>
      <c r="AS85" s="36">
        <f t="shared" si="45"/>
        <v>-76000</v>
      </c>
      <c r="AT85" s="36">
        <f t="shared" si="46"/>
        <v>-78000</v>
      </c>
      <c r="AU85" s="36">
        <f t="shared" si="47"/>
        <v>-80000</v>
      </c>
      <c r="AV85" s="36">
        <f t="shared" si="48"/>
        <v>-82000</v>
      </c>
    </row>
    <row r="86" spans="1:48" x14ac:dyDescent="0.2">
      <c r="A86" s="726" t="s">
        <v>519</v>
      </c>
      <c r="E86" s="843">
        <v>140000</v>
      </c>
      <c r="F86" s="843">
        <v>114000</v>
      </c>
      <c r="G86" s="843">
        <v>117000</v>
      </c>
      <c r="H86" s="843">
        <v>186000</v>
      </c>
      <c r="I86" s="843">
        <v>192000</v>
      </c>
      <c r="J86" s="843">
        <v>198000</v>
      </c>
      <c r="K86" s="843">
        <v>155400</v>
      </c>
      <c r="L86" s="36">
        <f>'Cap-Gen'!E99</f>
        <v>0</v>
      </c>
      <c r="M86" s="843">
        <f>SUM('Cap-Gen'!F99:F105)</f>
        <v>0</v>
      </c>
      <c r="N86" s="843">
        <f>'Cap-Gen'!G99</f>
        <v>204000</v>
      </c>
      <c r="O86" s="843">
        <f>'Cap-Gen'!H99</f>
        <v>238000</v>
      </c>
      <c r="P86" s="843">
        <f>'Cap-Gen'!I99</f>
        <v>248000</v>
      </c>
      <c r="Q86" s="843">
        <f>'Cap-Gen'!J99</f>
        <v>254000</v>
      </c>
      <c r="R86" s="843">
        <f>'Cap-Gen'!K99</f>
        <v>260000</v>
      </c>
      <c r="S86" s="843">
        <f>'Cap-Gen'!L99</f>
        <v>267000</v>
      </c>
      <c r="T86" s="843">
        <f>'Cap-Gen'!M99</f>
        <v>274000</v>
      </c>
      <c r="U86" s="843">
        <f>'Cap-Gen'!N99</f>
        <v>281000</v>
      </c>
      <c r="V86" s="843">
        <f>'Cap-Gen'!O99</f>
        <v>288000</v>
      </c>
      <c r="W86" s="843">
        <f>'Cap-Gen'!P99</f>
        <v>295000</v>
      </c>
      <c r="X86" s="843">
        <f>'Cap-Gen'!Q99</f>
        <v>302000</v>
      </c>
      <c r="Y86" s="843"/>
      <c r="AJ86" s="726" t="s">
        <v>520</v>
      </c>
      <c r="AK86" s="36">
        <v>-110000</v>
      </c>
      <c r="AL86" s="36">
        <v>-121500</v>
      </c>
      <c r="AM86" s="36">
        <v>-2500</v>
      </c>
      <c r="AN86" s="36">
        <v>-51500</v>
      </c>
      <c r="AO86" s="36">
        <v>-54500</v>
      </c>
      <c r="AQ86" s="726"/>
      <c r="AR86" s="36">
        <f t="shared" si="44"/>
        <v>-110000</v>
      </c>
      <c r="AS86" s="36">
        <f t="shared" si="45"/>
        <v>-121500</v>
      </c>
      <c r="AT86" s="36">
        <f t="shared" si="46"/>
        <v>-127700</v>
      </c>
      <c r="AU86" s="36">
        <f t="shared" si="47"/>
        <v>-110000</v>
      </c>
      <c r="AV86" s="36">
        <f t="shared" si="48"/>
        <v>-110000</v>
      </c>
    </row>
    <row r="87" spans="1:48" x14ac:dyDescent="0.2">
      <c r="A87" s="726" t="s">
        <v>4372</v>
      </c>
      <c r="E87" s="843"/>
      <c r="F87" s="843"/>
      <c r="G87" s="843"/>
      <c r="H87" s="843"/>
      <c r="I87" s="843"/>
      <c r="J87" s="843"/>
      <c r="K87" s="843"/>
      <c r="L87" s="36">
        <v>-9000</v>
      </c>
      <c r="M87" s="36">
        <v>-3000</v>
      </c>
      <c r="N87" s="843"/>
      <c r="O87" s="843"/>
      <c r="P87" s="843"/>
      <c r="Q87" s="843"/>
      <c r="R87" s="843"/>
      <c r="S87" s="843"/>
      <c r="T87" s="843"/>
      <c r="U87" s="843"/>
      <c r="V87" s="843"/>
      <c r="W87" s="843"/>
      <c r="X87" s="843"/>
      <c r="Y87" s="843"/>
      <c r="AJ87" s="726" t="s">
        <v>1209</v>
      </c>
      <c r="AK87" s="36">
        <v>-256000</v>
      </c>
      <c r="AL87" s="36">
        <v>-192000</v>
      </c>
      <c r="AM87" s="36">
        <v>-192000</v>
      </c>
      <c r="AN87" s="36">
        <v>-192000</v>
      </c>
      <c r="AO87" s="36">
        <v>-128000</v>
      </c>
      <c r="AQ87" s="726"/>
      <c r="AR87" s="36">
        <f t="shared" si="44"/>
        <v>-256000</v>
      </c>
      <c r="AS87" s="36">
        <f t="shared" si="45"/>
        <v>-192000</v>
      </c>
      <c r="AT87" s="36">
        <f t="shared" si="46"/>
        <v>-192000</v>
      </c>
      <c r="AU87" s="36">
        <f t="shared" si="47"/>
        <v>-195000</v>
      </c>
      <c r="AV87" s="36">
        <f t="shared" si="48"/>
        <v>-130000</v>
      </c>
    </row>
    <row r="88" spans="1:48" x14ac:dyDescent="0.2">
      <c r="A88" s="726" t="s">
        <v>5777</v>
      </c>
      <c r="E88" s="843"/>
      <c r="F88" s="843"/>
      <c r="G88" s="843"/>
      <c r="H88" s="843"/>
      <c r="I88" s="843"/>
      <c r="J88" s="843"/>
      <c r="K88" s="843"/>
      <c r="L88" s="843"/>
      <c r="M88" s="843"/>
      <c r="N88" s="843"/>
      <c r="O88" s="843"/>
      <c r="P88" s="36"/>
      <c r="Q88" s="36"/>
      <c r="R88" s="36"/>
      <c r="S88" s="36"/>
      <c r="T88" s="36"/>
      <c r="U88" s="36"/>
      <c r="V88" s="36"/>
      <c r="W88" s="36"/>
      <c r="X88" s="36"/>
      <c r="Y88" s="36"/>
      <c r="AJ88" s="726"/>
      <c r="AK88" s="36"/>
      <c r="AL88" s="36"/>
      <c r="AM88" s="36"/>
      <c r="AN88" s="36"/>
      <c r="AO88" s="36"/>
      <c r="AQ88" s="726"/>
      <c r="AR88" s="36"/>
      <c r="AS88" s="36"/>
      <c r="AT88" s="36"/>
      <c r="AU88" s="36"/>
      <c r="AV88" s="36"/>
    </row>
    <row r="89" spans="1:48" x14ac:dyDescent="0.2">
      <c r="A89" s="726" t="s">
        <v>4340</v>
      </c>
      <c r="E89" s="843"/>
      <c r="F89" s="843"/>
      <c r="G89" s="843"/>
      <c r="H89" s="843"/>
      <c r="I89" s="843"/>
      <c r="J89" s="843"/>
      <c r="K89" s="843">
        <v>30000</v>
      </c>
      <c r="L89" s="843">
        <v>21000</v>
      </c>
      <c r="M89" s="843"/>
      <c r="N89" s="843"/>
      <c r="O89" s="843"/>
      <c r="P89" s="36"/>
      <c r="Q89" s="36"/>
      <c r="R89" s="36"/>
      <c r="S89" s="36"/>
      <c r="T89" s="36"/>
      <c r="U89" s="36"/>
      <c r="V89" s="36"/>
      <c r="W89" s="36"/>
      <c r="X89" s="36"/>
      <c r="Y89" s="36"/>
      <c r="AJ89" s="1" t="s">
        <v>4355</v>
      </c>
      <c r="AK89" s="36">
        <v>5000</v>
      </c>
      <c r="AL89" s="36">
        <v>0</v>
      </c>
      <c r="AM89" s="36">
        <v>0</v>
      </c>
      <c r="AN89" s="36">
        <v>0</v>
      </c>
      <c r="AO89" s="36">
        <v>0</v>
      </c>
      <c r="AP89" s="36"/>
      <c r="AQ89" s="726" t="s">
        <v>4359</v>
      </c>
      <c r="AR89" s="36">
        <f t="shared" ref="AR89:AV90" si="62">I27</f>
        <v>0</v>
      </c>
      <c r="AS89" s="36">
        <f t="shared" si="62"/>
        <v>0</v>
      </c>
      <c r="AT89" s="36">
        <f t="shared" si="62"/>
        <v>-226000</v>
      </c>
      <c r="AU89" s="36">
        <f t="shared" si="62"/>
        <v>-318600</v>
      </c>
      <c r="AV89" s="36">
        <f t="shared" si="62"/>
        <v>-275500</v>
      </c>
    </row>
    <row r="90" spans="1:48" x14ac:dyDescent="0.2">
      <c r="A90" s="726" t="s">
        <v>4341</v>
      </c>
      <c r="E90" s="843"/>
      <c r="F90" s="843"/>
      <c r="G90" s="843"/>
      <c r="H90" s="843"/>
      <c r="I90" s="843"/>
      <c r="J90" s="843"/>
      <c r="K90" s="843">
        <v>10000</v>
      </c>
      <c r="L90" s="843"/>
      <c r="M90" s="843"/>
      <c r="N90" s="843"/>
      <c r="AJ90" s="1" t="s">
        <v>4356</v>
      </c>
      <c r="AK90" s="36">
        <v>-18000</v>
      </c>
      <c r="AL90" s="36">
        <v>0</v>
      </c>
      <c r="AM90" s="36">
        <v>0</v>
      </c>
      <c r="AN90" s="36">
        <v>0</v>
      </c>
      <c r="AO90" s="36">
        <v>0</v>
      </c>
      <c r="AQ90" s="726" t="s">
        <v>4360</v>
      </c>
      <c r="AR90" s="36">
        <f t="shared" si="62"/>
        <v>0</v>
      </c>
      <c r="AS90" s="36">
        <f t="shared" si="62"/>
        <v>0</v>
      </c>
      <c r="AT90" s="36">
        <f t="shared" si="62"/>
        <v>-283000</v>
      </c>
      <c r="AU90" s="36">
        <f t="shared" si="62"/>
        <v>-320600</v>
      </c>
      <c r="AV90" s="36">
        <f t="shared" si="62"/>
        <v>-291900</v>
      </c>
    </row>
    <row r="91" spans="1:48" x14ac:dyDescent="0.2">
      <c r="A91" s="726" t="s">
        <v>5914</v>
      </c>
      <c r="E91" s="843"/>
      <c r="F91" s="843"/>
      <c r="G91" s="843"/>
      <c r="H91" s="843"/>
      <c r="I91" s="843"/>
      <c r="J91" s="843"/>
      <c r="K91" s="843"/>
      <c r="L91" s="843">
        <v>200000</v>
      </c>
      <c r="M91" s="843">
        <v>25000</v>
      </c>
      <c r="N91" s="843">
        <v>25000</v>
      </c>
      <c r="AK91" s="36"/>
      <c r="AL91" s="36"/>
      <c r="AM91" s="36"/>
      <c r="AN91" s="36"/>
      <c r="AO91" s="36"/>
      <c r="AQ91" s="726"/>
      <c r="AR91" s="36"/>
      <c r="AS91" s="36"/>
      <c r="AT91" s="36"/>
      <c r="AU91" s="36"/>
      <c r="AV91" s="36"/>
    </row>
    <row r="92" spans="1:48" x14ac:dyDescent="0.2">
      <c r="A92" s="726" t="s">
        <v>4383</v>
      </c>
      <c r="E92" s="843"/>
      <c r="F92" s="843"/>
      <c r="G92" s="843"/>
      <c r="H92" s="843"/>
      <c r="I92" s="843"/>
      <c r="J92" s="843"/>
      <c r="K92" s="843">
        <v>10600</v>
      </c>
      <c r="L92" s="843"/>
      <c r="M92" s="843"/>
      <c r="N92" s="843"/>
      <c r="AJ92" s="1" t="s">
        <v>4357</v>
      </c>
      <c r="AK92" s="36">
        <v>0</v>
      </c>
      <c r="AL92" s="36">
        <v>9000</v>
      </c>
      <c r="AM92" s="36">
        <v>0</v>
      </c>
      <c r="AN92" s="36">
        <v>0</v>
      </c>
      <c r="AO92" s="36">
        <v>0</v>
      </c>
      <c r="AQ92" s="726" t="s">
        <v>4361</v>
      </c>
      <c r="AR92" s="36">
        <f>I33</f>
        <v>0</v>
      </c>
      <c r="AS92" s="36">
        <f>J33</f>
        <v>0</v>
      </c>
      <c r="AT92" s="36">
        <f>K33</f>
        <v>358000</v>
      </c>
      <c r="AU92" s="36">
        <f>L33</f>
        <v>-100000</v>
      </c>
      <c r="AV92" s="36">
        <f>M33</f>
        <v>0</v>
      </c>
    </row>
    <row r="93" spans="1:48" x14ac:dyDescent="0.2">
      <c r="A93" s="726" t="s">
        <v>6854</v>
      </c>
      <c r="E93" s="843"/>
      <c r="F93" s="843"/>
      <c r="G93" s="843"/>
      <c r="H93" s="843"/>
      <c r="I93" s="843"/>
      <c r="J93" s="843"/>
      <c r="K93" s="843"/>
      <c r="L93" s="36"/>
      <c r="M93" s="36">
        <v>15000</v>
      </c>
      <c r="N93" s="36"/>
      <c r="O93" s="36"/>
      <c r="P93" s="36"/>
      <c r="Q93" s="36"/>
      <c r="R93" s="36"/>
      <c r="S93" s="36"/>
      <c r="T93" s="36"/>
      <c r="U93" s="36"/>
      <c r="V93" s="36"/>
      <c r="W93" s="36"/>
      <c r="X93" s="36"/>
      <c r="Y93" s="36"/>
      <c r="AK93" s="36"/>
      <c r="AL93" s="36"/>
      <c r="AM93" s="36"/>
      <c r="AN93" s="36"/>
      <c r="AO93" s="36"/>
      <c r="AQ93" s="726"/>
      <c r="AR93" s="36"/>
      <c r="AS93" s="36"/>
      <c r="AT93" s="36"/>
      <c r="AU93" s="36"/>
      <c r="AV93" s="36"/>
    </row>
    <row r="94" spans="1:48" x14ac:dyDescent="0.2">
      <c r="A94" s="726" t="s">
        <v>6856</v>
      </c>
      <c r="E94" s="843"/>
      <c r="F94" s="843"/>
      <c r="G94" s="843"/>
      <c r="H94" s="843"/>
      <c r="I94" s="843"/>
      <c r="J94" s="843"/>
      <c r="K94" s="843"/>
      <c r="L94" s="36"/>
      <c r="M94" s="36">
        <v>11300</v>
      </c>
      <c r="N94" s="36"/>
      <c r="O94" s="36"/>
      <c r="P94" s="36"/>
      <c r="Q94" s="36"/>
      <c r="R94" s="36"/>
      <c r="S94" s="36"/>
      <c r="T94" s="36"/>
      <c r="U94" s="36"/>
      <c r="V94" s="36"/>
      <c r="W94" s="36"/>
      <c r="X94" s="36"/>
      <c r="Y94" s="36"/>
      <c r="AK94" s="36"/>
      <c r="AL94" s="36"/>
      <c r="AM94" s="36"/>
      <c r="AN94" s="36"/>
      <c r="AO94" s="36"/>
      <c r="AQ94" s="726"/>
      <c r="AR94" s="36"/>
      <c r="AS94" s="36"/>
      <c r="AT94" s="36"/>
      <c r="AU94" s="36"/>
      <c r="AV94" s="36"/>
    </row>
    <row r="95" spans="1:48" x14ac:dyDescent="0.2">
      <c r="A95" s="726" t="s">
        <v>6858</v>
      </c>
      <c r="E95" s="843"/>
      <c r="F95" s="843"/>
      <c r="G95" s="843"/>
      <c r="H95" s="843"/>
      <c r="I95" s="843"/>
      <c r="J95" s="843"/>
      <c r="K95" s="843"/>
      <c r="L95" s="36"/>
      <c r="M95" s="36">
        <v>-7000</v>
      </c>
      <c r="N95" s="36"/>
      <c r="O95" s="36"/>
      <c r="P95" s="36"/>
      <c r="Q95" s="36"/>
      <c r="R95" s="36"/>
      <c r="S95" s="36"/>
      <c r="T95" s="36"/>
      <c r="U95" s="36"/>
      <c r="V95" s="36"/>
      <c r="W95" s="36"/>
      <c r="X95" s="36"/>
      <c r="Y95" s="36"/>
      <c r="AK95" s="36"/>
      <c r="AL95" s="36"/>
      <c r="AM95" s="36"/>
      <c r="AN95" s="36"/>
      <c r="AO95" s="36"/>
      <c r="AQ95" s="726"/>
      <c r="AR95" s="36"/>
      <c r="AS95" s="36"/>
      <c r="AT95" s="36"/>
      <c r="AU95" s="36"/>
      <c r="AV95" s="36"/>
    </row>
    <row r="96" spans="1:48" x14ac:dyDescent="0.2">
      <c r="A96" s="726" t="s">
        <v>7034</v>
      </c>
      <c r="E96" s="843"/>
      <c r="F96" s="843"/>
      <c r="G96" s="843"/>
      <c r="H96" s="843"/>
      <c r="I96" s="843"/>
      <c r="J96" s="843"/>
      <c r="K96" s="843"/>
      <c r="M96" s="36">
        <v>-8000</v>
      </c>
      <c r="AK96" s="36"/>
      <c r="AL96" s="36"/>
      <c r="AM96" s="36"/>
      <c r="AN96" s="36"/>
      <c r="AO96" s="36"/>
      <c r="AQ96" s="726"/>
      <c r="AR96" s="36"/>
      <c r="AS96" s="36"/>
      <c r="AT96" s="36"/>
      <c r="AU96" s="36"/>
      <c r="AV96" s="36"/>
    </row>
    <row r="97" spans="1:48" x14ac:dyDescent="0.2">
      <c r="A97" s="726"/>
      <c r="E97" s="843"/>
      <c r="F97" s="843"/>
      <c r="G97" s="843"/>
      <c r="H97" s="843"/>
      <c r="I97" s="843"/>
      <c r="J97" s="843"/>
      <c r="K97" s="843"/>
      <c r="M97" s="36"/>
      <c r="AK97" s="36"/>
      <c r="AL97" s="36"/>
      <c r="AM97" s="36"/>
      <c r="AN97" s="36"/>
      <c r="AO97" s="36"/>
      <c r="AQ97" s="726"/>
      <c r="AR97" s="36"/>
      <c r="AS97" s="36"/>
      <c r="AT97" s="36"/>
      <c r="AU97" s="36"/>
      <c r="AV97" s="36"/>
    </row>
    <row r="98" spans="1:48" s="285" customFormat="1" x14ac:dyDescent="0.2">
      <c r="A98" s="285" t="s">
        <v>1210</v>
      </c>
      <c r="E98" s="39">
        <f>E86-E84</f>
        <v>0</v>
      </c>
      <c r="F98" s="39">
        <f>F86-F84</f>
        <v>0</v>
      </c>
      <c r="G98" s="39">
        <f>G86-G84</f>
        <v>0</v>
      </c>
      <c r="H98" s="39">
        <f>SUM(H86:H92)-H84</f>
        <v>0</v>
      </c>
      <c r="I98" s="39">
        <f>SUM(I86:I92)-I84</f>
        <v>0</v>
      </c>
      <c r="J98" s="39">
        <f>SUM(J86:J92)-J84</f>
        <v>0</v>
      </c>
      <c r="K98" s="39">
        <f>SUM(K86:K92)-K84</f>
        <v>0</v>
      </c>
      <c r="L98" s="39">
        <f>SUM(L86:L93)-L84</f>
        <v>0</v>
      </c>
      <c r="M98" s="39">
        <f>SUM(M86:M96)-M84</f>
        <v>-186700</v>
      </c>
      <c r="N98" s="39">
        <f>SUM(N86:N93)-N84</f>
        <v>0</v>
      </c>
      <c r="O98" s="39">
        <f>SUM(O86:O96)-O84</f>
        <v>0</v>
      </c>
      <c r="P98" s="39">
        <f t="shared" ref="P98:W98" si="63">SUM(P86:P93)-P84</f>
        <v>0</v>
      </c>
      <c r="Q98" s="39">
        <f t="shared" si="63"/>
        <v>0</v>
      </c>
      <c r="R98" s="39">
        <f t="shared" si="63"/>
        <v>0</v>
      </c>
      <c r="S98" s="39">
        <f t="shared" si="63"/>
        <v>0</v>
      </c>
      <c r="T98" s="39">
        <f t="shared" si="63"/>
        <v>0</v>
      </c>
      <c r="U98" s="39">
        <f t="shared" si="63"/>
        <v>0</v>
      </c>
      <c r="V98" s="39">
        <f t="shared" si="63"/>
        <v>0</v>
      </c>
      <c r="W98" s="39">
        <f t="shared" si="63"/>
        <v>0</v>
      </c>
      <c r="X98" s="39">
        <f t="shared" ref="X98" si="64">SUM(X86:X93)-X84</f>
        <v>0</v>
      </c>
      <c r="Y98" s="39"/>
      <c r="AJ98" s="1"/>
      <c r="AK98" s="1"/>
      <c r="AL98" s="1"/>
      <c r="AM98" s="1"/>
      <c r="AN98" s="1"/>
      <c r="AO98" s="36"/>
      <c r="AQ98" s="726" t="s">
        <v>4362</v>
      </c>
      <c r="AR98" s="36">
        <f t="shared" ref="AR98:AV100" si="65">I34</f>
        <v>0</v>
      </c>
      <c r="AS98" s="36">
        <f t="shared" si="65"/>
        <v>0</v>
      </c>
      <c r="AT98" s="36">
        <f t="shared" si="65"/>
        <v>30000</v>
      </c>
      <c r="AU98" s="36">
        <f t="shared" si="65"/>
        <v>0</v>
      </c>
      <c r="AV98" s="36">
        <f t="shared" si="65"/>
        <v>0</v>
      </c>
    </row>
    <row r="99" spans="1:48" ht="13.5" thickBot="1" x14ac:dyDescent="0.25">
      <c r="AJ99" s="285"/>
      <c r="AK99" s="285"/>
      <c r="AL99" s="285"/>
      <c r="AM99" s="285"/>
      <c r="AN99" s="285"/>
      <c r="AO99" s="285"/>
      <c r="AQ99" s="726" t="s">
        <v>4363</v>
      </c>
      <c r="AR99" s="36">
        <f t="shared" si="65"/>
        <v>0</v>
      </c>
      <c r="AS99" s="36">
        <f t="shared" si="65"/>
        <v>0</v>
      </c>
      <c r="AT99" s="36">
        <f t="shared" si="65"/>
        <v>50000</v>
      </c>
      <c r="AU99" s="36">
        <f t="shared" si="65"/>
        <v>0</v>
      </c>
      <c r="AV99" s="36">
        <f t="shared" si="65"/>
        <v>0</v>
      </c>
    </row>
    <row r="100" spans="1:48" s="285" customFormat="1" ht="13.5" thickBot="1" x14ac:dyDescent="0.25">
      <c r="A100" s="2002" t="s">
        <v>2293</v>
      </c>
      <c r="B100" s="2002"/>
      <c r="C100" s="2002"/>
      <c r="D100" s="2002"/>
      <c r="E100" s="2003">
        <f t="shared" ref="E100:W100" si="66">E98++E78+E60</f>
        <v>0</v>
      </c>
      <c r="F100" s="2003">
        <f t="shared" si="66"/>
        <v>0</v>
      </c>
      <c r="G100" s="2003">
        <f t="shared" si="66"/>
        <v>0</v>
      </c>
      <c r="H100" s="2003">
        <f t="shared" si="66"/>
        <v>0</v>
      </c>
      <c r="I100" s="2003">
        <f t="shared" si="66"/>
        <v>0</v>
      </c>
      <c r="J100" s="2003">
        <f t="shared" si="66"/>
        <v>0</v>
      </c>
      <c r="K100" s="2003">
        <f t="shared" si="66"/>
        <v>0</v>
      </c>
      <c r="L100" s="2003">
        <f t="shared" si="66"/>
        <v>0</v>
      </c>
      <c r="M100" s="2003">
        <f t="shared" si="66"/>
        <v>0</v>
      </c>
      <c r="N100" s="2003">
        <f t="shared" si="66"/>
        <v>-300</v>
      </c>
      <c r="O100" s="2003">
        <f t="shared" si="66"/>
        <v>0</v>
      </c>
      <c r="P100" s="2003">
        <f t="shared" si="66"/>
        <v>0</v>
      </c>
      <c r="Q100" s="2003">
        <f t="shared" si="66"/>
        <v>0</v>
      </c>
      <c r="R100" s="2003">
        <f t="shared" si="66"/>
        <v>0</v>
      </c>
      <c r="S100" s="2003">
        <f t="shared" si="66"/>
        <v>0</v>
      </c>
      <c r="T100" s="2003">
        <f t="shared" si="66"/>
        <v>0</v>
      </c>
      <c r="U100" s="2003">
        <f t="shared" si="66"/>
        <v>0</v>
      </c>
      <c r="V100" s="2003">
        <f t="shared" si="66"/>
        <v>0</v>
      </c>
      <c r="W100" s="2003">
        <f t="shared" si="66"/>
        <v>0</v>
      </c>
      <c r="X100" s="2003">
        <f t="shared" ref="X100" si="67">X98++X78+X60</f>
        <v>0</v>
      </c>
      <c r="Y100" s="27"/>
      <c r="AJ100" s="1"/>
      <c r="AK100" s="1"/>
      <c r="AL100" s="1"/>
      <c r="AM100" s="1"/>
      <c r="AN100" s="1"/>
      <c r="AO100" s="1"/>
      <c r="AQ100" s="726" t="s">
        <v>4364</v>
      </c>
      <c r="AR100" s="36">
        <f t="shared" si="65"/>
        <v>0</v>
      </c>
      <c r="AS100" s="36">
        <f t="shared" si="65"/>
        <v>9000</v>
      </c>
      <c r="AT100" s="36">
        <f t="shared" si="65"/>
        <v>0</v>
      </c>
      <c r="AU100" s="36">
        <f t="shared" si="65"/>
        <v>0</v>
      </c>
      <c r="AV100" s="36">
        <f t="shared" si="65"/>
        <v>0</v>
      </c>
    </row>
    <row r="101" spans="1:48" ht="13.5" thickTop="1" x14ac:dyDescent="0.2">
      <c r="AR101" s="65">
        <f>SUM(AR65:AR100)</f>
        <v>2902000</v>
      </c>
      <c r="AS101" s="65">
        <f>SUM(AS65:AS100)</f>
        <v>3503500</v>
      </c>
      <c r="AT101" s="65">
        <f>SUM(AT65:AT100)</f>
        <v>3729300</v>
      </c>
      <c r="AU101" s="65">
        <f>SUM(AU65:AU100)</f>
        <v>2323800</v>
      </c>
      <c r="AV101" s="65">
        <f>SUM(AV65:AV100)</f>
        <v>4275800</v>
      </c>
    </row>
    <row r="103" spans="1:48" x14ac:dyDescent="0.2">
      <c r="AQ103" s="726" t="s">
        <v>4365</v>
      </c>
      <c r="AT103" s="36">
        <f>AT65+AT89+AT90+AT92+AT99+AT98</f>
        <v>2231000</v>
      </c>
      <c r="AU103" s="36">
        <f>AU65+AU89+AU90+AU92+AU99+AU98</f>
        <v>740800</v>
      </c>
      <c r="AV103" s="36">
        <f>AV65+AV89+AV90+AV92+AV99+AV98</f>
        <v>2680800</v>
      </c>
    </row>
    <row r="104" spans="1:48" x14ac:dyDescent="0.2">
      <c r="AQ104" s="573" t="s">
        <v>4367</v>
      </c>
      <c r="AR104" s="573"/>
      <c r="AS104" s="573"/>
      <c r="AT104" s="65">
        <f>AT103-AM65</f>
        <v>404000</v>
      </c>
      <c r="AU104" s="65">
        <f>AU103-AN65</f>
        <v>-1161200</v>
      </c>
      <c r="AV104" s="65">
        <f>AV103-AO65</f>
        <v>687800</v>
      </c>
    </row>
    <row r="105" spans="1:48" x14ac:dyDescent="0.2">
      <c r="AQ105" s="726" t="s">
        <v>4366</v>
      </c>
      <c r="AT105" s="36">
        <f>AT72-AM72</f>
        <v>-171000</v>
      </c>
      <c r="AU105" s="36">
        <f>AU72-AN72</f>
        <v>-187000</v>
      </c>
      <c r="AV105" s="36">
        <f>AV72-AO72</f>
        <v>-196000</v>
      </c>
    </row>
    <row r="106" spans="1:48" x14ac:dyDescent="0.2">
      <c r="AQ106" s="726" t="s">
        <v>4368</v>
      </c>
      <c r="AT106" s="36">
        <f>AT86-AM86</f>
        <v>-125200</v>
      </c>
      <c r="AU106" s="36">
        <f>AU86-AN86</f>
        <v>-58500</v>
      </c>
      <c r="AV106" s="36">
        <f>AV86-AO86</f>
        <v>-55500</v>
      </c>
    </row>
    <row r="107" spans="1:48" x14ac:dyDescent="0.2">
      <c r="A107" s="1" t="s">
        <v>3412</v>
      </c>
      <c r="B107" s="2004" t="s">
        <v>3418</v>
      </c>
      <c r="C107" s="2001" t="s">
        <v>3419</v>
      </c>
      <c r="D107" s="2001" t="s">
        <v>3420</v>
      </c>
      <c r="E107" s="2001" t="s">
        <v>3421</v>
      </c>
      <c r="F107" s="2001" t="s">
        <v>3422</v>
      </c>
      <c r="G107" s="2001" t="s">
        <v>3423</v>
      </c>
      <c r="H107" s="2001" t="s">
        <v>3424</v>
      </c>
      <c r="I107" s="2001" t="s">
        <v>3425</v>
      </c>
      <c r="J107" s="2001" t="s">
        <v>3426</v>
      </c>
      <c r="K107" s="2001" t="s">
        <v>3427</v>
      </c>
      <c r="L107" s="2001" t="s">
        <v>3428</v>
      </c>
      <c r="M107" s="2001" t="s">
        <v>3429</v>
      </c>
      <c r="N107" s="2001" t="s">
        <v>3430</v>
      </c>
      <c r="O107" s="2001" t="s">
        <v>3431</v>
      </c>
      <c r="P107" s="2001" t="s">
        <v>3432</v>
      </c>
      <c r="Q107" s="2001" t="s">
        <v>3433</v>
      </c>
      <c r="R107" s="2001" t="s">
        <v>3434</v>
      </c>
      <c r="S107" s="2001" t="s">
        <v>3435</v>
      </c>
      <c r="T107" s="2001" t="s">
        <v>3463</v>
      </c>
      <c r="U107" s="2001" t="s">
        <v>5967</v>
      </c>
      <c r="V107" s="2001" t="s">
        <v>5968</v>
      </c>
      <c r="W107" s="2001" t="s">
        <v>5968</v>
      </c>
      <c r="X107" s="2001" t="s">
        <v>11922</v>
      </c>
      <c r="Y107" s="2001"/>
      <c r="AQ107" s="726" t="s">
        <v>4369</v>
      </c>
      <c r="AT107" s="36">
        <f>AT70-AM70</f>
        <v>13000</v>
      </c>
      <c r="AU107" s="36">
        <f>AU70-AN70</f>
        <v>13000</v>
      </c>
      <c r="AV107" s="36">
        <f>AV70-AO70</f>
        <v>13000</v>
      </c>
    </row>
    <row r="108" spans="1:48" x14ac:dyDescent="0.2">
      <c r="A108" s="1" t="str">
        <f>A2</f>
        <v>Funded from Revenue prior to SVs plus CPI</v>
      </c>
      <c r="B108" s="2005">
        <f t="shared" ref="B108:X108" si="68">B2/1000</f>
        <v>1035</v>
      </c>
      <c r="C108" s="2005">
        <f t="shared" si="68"/>
        <v>1066</v>
      </c>
      <c r="D108" s="2005">
        <f t="shared" si="68"/>
        <v>1201</v>
      </c>
      <c r="E108" s="2005">
        <f t="shared" si="68"/>
        <v>1342</v>
      </c>
      <c r="F108" s="2005">
        <f t="shared" si="68"/>
        <v>1592</v>
      </c>
      <c r="G108" s="2005">
        <f t="shared" si="68"/>
        <v>1640</v>
      </c>
      <c r="H108" s="2005">
        <f t="shared" si="68"/>
        <v>2068</v>
      </c>
      <c r="I108" s="2005">
        <f t="shared" si="68"/>
        <v>2491</v>
      </c>
      <c r="J108" s="2005">
        <f t="shared" si="68"/>
        <v>2989</v>
      </c>
      <c r="K108" s="2005">
        <f t="shared" si="68"/>
        <v>3609</v>
      </c>
      <c r="L108" s="2005">
        <f t="shared" si="68"/>
        <v>3717</v>
      </c>
      <c r="M108" s="2005">
        <f t="shared" si="68"/>
        <v>3829</v>
      </c>
      <c r="N108" s="2005">
        <f t="shared" si="68"/>
        <v>3944</v>
      </c>
      <c r="O108" s="2005">
        <f t="shared" si="68"/>
        <v>4062</v>
      </c>
      <c r="P108" s="2005">
        <f t="shared" si="68"/>
        <v>4184</v>
      </c>
      <c r="Q108" s="2005">
        <f t="shared" si="68"/>
        <v>4352</v>
      </c>
      <c r="R108" s="2005">
        <f t="shared" si="68"/>
        <v>4526</v>
      </c>
      <c r="S108" s="2005">
        <f t="shared" si="68"/>
        <v>4707</v>
      </c>
      <c r="T108" s="2005">
        <f t="shared" si="68"/>
        <v>4895</v>
      </c>
      <c r="U108" s="2005">
        <f t="shared" si="68"/>
        <v>5090</v>
      </c>
      <c r="V108" s="2005">
        <f t="shared" si="68"/>
        <v>5293</v>
      </c>
      <c r="W108" s="2005">
        <f t="shared" si="68"/>
        <v>5504</v>
      </c>
      <c r="X108" s="2005">
        <f t="shared" si="68"/>
        <v>5724</v>
      </c>
      <c r="Y108" s="2005"/>
      <c r="AQ108" s="573" t="s">
        <v>1504</v>
      </c>
      <c r="AR108" s="573"/>
      <c r="AS108" s="573"/>
      <c r="AT108" s="65">
        <f>SUM(AT105:AT107)</f>
        <v>-283200</v>
      </c>
      <c r="AU108" s="65">
        <f>SUM(AU105:AU107)</f>
        <v>-232500</v>
      </c>
      <c r="AV108" s="65">
        <f>SUM(AV105:AV107)</f>
        <v>-238500</v>
      </c>
    </row>
    <row r="109" spans="1:48" x14ac:dyDescent="0.2">
      <c r="A109" s="1" t="str">
        <f>A3</f>
        <v>Add Special Variation Plus Above CPI Increases</v>
      </c>
      <c r="B109" s="2005">
        <f t="shared" ref="B109:X109" si="69">B3/1000</f>
        <v>0</v>
      </c>
      <c r="C109" s="2005">
        <f t="shared" si="69"/>
        <v>100</v>
      </c>
      <c r="D109" s="2005">
        <f t="shared" si="69"/>
        <v>102</v>
      </c>
      <c r="E109" s="2005">
        <f t="shared" si="69"/>
        <v>204</v>
      </c>
      <c r="F109" s="2005">
        <f t="shared" si="69"/>
        <v>0</v>
      </c>
      <c r="G109" s="2005">
        <f t="shared" si="69"/>
        <v>368</v>
      </c>
      <c r="H109" s="2005">
        <f t="shared" si="69"/>
        <v>350</v>
      </c>
      <c r="I109" s="2005">
        <f t="shared" si="69"/>
        <v>411</v>
      </c>
      <c r="J109" s="2005">
        <f t="shared" si="69"/>
        <v>515</v>
      </c>
      <c r="K109" s="2005">
        <f t="shared" si="69"/>
        <v>0</v>
      </c>
      <c r="L109" s="2005">
        <f t="shared" si="69"/>
        <v>0</v>
      </c>
      <c r="M109" s="2005">
        <f t="shared" si="69"/>
        <v>0</v>
      </c>
      <c r="N109" s="2005">
        <f t="shared" si="69"/>
        <v>0</v>
      </c>
      <c r="O109" s="2005">
        <f t="shared" si="69"/>
        <v>0</v>
      </c>
      <c r="P109" s="2005">
        <f t="shared" si="69"/>
        <v>41</v>
      </c>
      <c r="Q109" s="2005">
        <f t="shared" si="69"/>
        <v>42</v>
      </c>
      <c r="R109" s="2005">
        <f t="shared" si="69"/>
        <v>44</v>
      </c>
      <c r="S109" s="2005">
        <f t="shared" si="69"/>
        <v>45</v>
      </c>
      <c r="T109" s="2005">
        <f t="shared" si="69"/>
        <v>47</v>
      </c>
      <c r="U109" s="2005">
        <f t="shared" si="69"/>
        <v>49</v>
      </c>
      <c r="V109" s="2005">
        <f t="shared" si="69"/>
        <v>51</v>
      </c>
      <c r="W109" s="2005">
        <f t="shared" si="69"/>
        <v>53</v>
      </c>
      <c r="X109" s="2005">
        <f t="shared" si="69"/>
        <v>55</v>
      </c>
      <c r="Y109" s="2005"/>
      <c r="AJ109" s="573"/>
      <c r="AK109" s="573"/>
      <c r="AL109" s="573"/>
      <c r="AM109" s="573"/>
      <c r="AN109" s="573"/>
      <c r="AO109" s="573"/>
      <c r="AT109" s="36">
        <f>AT108+AT104</f>
        <v>120800</v>
      </c>
      <c r="AU109" s="36">
        <f>AU108+AU104</f>
        <v>-1393700</v>
      </c>
      <c r="AV109" s="36">
        <f>AV108+AV104</f>
        <v>449300</v>
      </c>
    </row>
    <row r="110" spans="1:48" s="573" customFormat="1" x14ac:dyDescent="0.2">
      <c r="A110" s="573" t="s">
        <v>1504</v>
      </c>
      <c r="B110" s="65">
        <f>SUM(B108:B109)</f>
        <v>1035</v>
      </c>
      <c r="C110" s="65">
        <f t="shared" ref="C110:T110" si="70">SUM(C108:C109)</f>
        <v>1166</v>
      </c>
      <c r="D110" s="65">
        <f t="shared" si="70"/>
        <v>1303</v>
      </c>
      <c r="E110" s="65">
        <f t="shared" si="70"/>
        <v>1546</v>
      </c>
      <c r="F110" s="65">
        <f t="shared" si="70"/>
        <v>1592</v>
      </c>
      <c r="G110" s="65">
        <f t="shared" si="70"/>
        <v>2008</v>
      </c>
      <c r="H110" s="65">
        <f t="shared" si="70"/>
        <v>2418</v>
      </c>
      <c r="I110" s="65">
        <f t="shared" si="70"/>
        <v>2902</v>
      </c>
      <c r="J110" s="65">
        <f t="shared" ref="J110" si="71">SUM(J108:J109)</f>
        <v>3504</v>
      </c>
      <c r="K110" s="65">
        <f t="shared" si="70"/>
        <v>3609</v>
      </c>
      <c r="L110" s="65">
        <f t="shared" si="70"/>
        <v>3717</v>
      </c>
      <c r="M110" s="65">
        <f t="shared" si="70"/>
        <v>3829</v>
      </c>
      <c r="N110" s="65">
        <f t="shared" si="70"/>
        <v>3944</v>
      </c>
      <c r="O110" s="65">
        <f t="shared" si="70"/>
        <v>4062</v>
      </c>
      <c r="P110" s="65">
        <f t="shared" si="70"/>
        <v>4225</v>
      </c>
      <c r="Q110" s="65">
        <f t="shared" si="70"/>
        <v>4394</v>
      </c>
      <c r="R110" s="65">
        <f t="shared" si="70"/>
        <v>4570</v>
      </c>
      <c r="S110" s="65">
        <f t="shared" si="70"/>
        <v>4752</v>
      </c>
      <c r="T110" s="65">
        <f t="shared" si="70"/>
        <v>4942</v>
      </c>
      <c r="U110" s="65">
        <f t="shared" ref="U110:V110" si="72">SUM(U108:U109)</f>
        <v>5139</v>
      </c>
      <c r="V110" s="65">
        <f t="shared" si="72"/>
        <v>5344</v>
      </c>
      <c r="W110" s="65">
        <f t="shared" ref="W110:X110" si="73">SUM(W108:W109)</f>
        <v>5557</v>
      </c>
      <c r="X110" s="65">
        <f t="shared" si="73"/>
        <v>5779</v>
      </c>
      <c r="Y110" s="65"/>
      <c r="AJ110" s="1"/>
      <c r="AK110" s="1"/>
      <c r="AL110" s="1"/>
      <c r="AM110" s="1"/>
      <c r="AN110" s="1"/>
      <c r="AO110" s="1"/>
      <c r="AQ110" s="573" t="s">
        <v>4370</v>
      </c>
      <c r="AT110" s="65">
        <f>K39</f>
        <v>248000</v>
      </c>
    </row>
    <row r="111" spans="1:48" x14ac:dyDescent="0.2">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AT111" s="36">
        <f>AT110+AT109</f>
        <v>368800</v>
      </c>
    </row>
    <row r="112" spans="1:48" x14ac:dyDescent="0.2">
      <c r="A112" s="1" t="str">
        <f>A7</f>
        <v>Capital Roads - General Revenue Funded</v>
      </c>
      <c r="B112" s="36">
        <f t="shared" ref="B112:H112" si="74">B7/1000</f>
        <v>0</v>
      </c>
      <c r="C112" s="36">
        <f t="shared" si="74"/>
        <v>0</v>
      </c>
      <c r="D112" s="36">
        <f t="shared" si="74"/>
        <v>0</v>
      </c>
      <c r="E112" s="36">
        <f t="shared" si="74"/>
        <v>0</v>
      </c>
      <c r="F112" s="36">
        <f t="shared" si="74"/>
        <v>0</v>
      </c>
      <c r="G112" s="36">
        <f t="shared" si="74"/>
        <v>0</v>
      </c>
      <c r="H112" s="36">
        <f t="shared" si="74"/>
        <v>0</v>
      </c>
      <c r="I112" s="36">
        <f>I7/1000+42</f>
        <v>1934</v>
      </c>
      <c r="J112" s="36">
        <f>J7/1000+102</f>
        <v>2107</v>
      </c>
      <c r="K112" s="36">
        <f>K7/1000+102</f>
        <v>2404</v>
      </c>
      <c r="L112" s="36">
        <f t="shared" ref="L112:X112" si="75">L7/1000</f>
        <v>1480</v>
      </c>
      <c r="M112" s="36">
        <f t="shared" si="75"/>
        <v>3248.2</v>
      </c>
      <c r="N112" s="36">
        <f t="shared" si="75"/>
        <v>2927</v>
      </c>
      <c r="O112" s="36">
        <f t="shared" si="75"/>
        <v>3337</v>
      </c>
      <c r="P112" s="36">
        <f t="shared" si="75"/>
        <v>3423</v>
      </c>
      <c r="Q112" s="36">
        <f t="shared" si="75"/>
        <v>3949</v>
      </c>
      <c r="R112" s="36">
        <f t="shared" si="75"/>
        <v>3387</v>
      </c>
      <c r="S112" s="36">
        <f t="shared" si="75"/>
        <v>3582</v>
      </c>
      <c r="T112" s="36">
        <f t="shared" si="75"/>
        <v>3785</v>
      </c>
      <c r="U112" s="36">
        <f t="shared" si="75"/>
        <v>4150</v>
      </c>
      <c r="V112" s="36">
        <f t="shared" si="75"/>
        <v>4945</v>
      </c>
      <c r="W112" s="36">
        <f t="shared" si="75"/>
        <v>5173</v>
      </c>
      <c r="X112" s="36">
        <f t="shared" si="75"/>
        <v>5213</v>
      </c>
      <c r="Y112" s="36"/>
    </row>
    <row r="113" spans="1:41" x14ac:dyDescent="0.2">
      <c r="A113" s="726" t="s">
        <v>3413</v>
      </c>
      <c r="B113" s="36">
        <f t="shared" ref="B113:X113" si="76">(B9+B11+B10)/1000</f>
        <v>0</v>
      </c>
      <c r="C113" s="36">
        <f t="shared" si="76"/>
        <v>0</v>
      </c>
      <c r="D113" s="36">
        <f t="shared" si="76"/>
        <v>0</v>
      </c>
      <c r="E113" s="36">
        <f t="shared" si="76"/>
        <v>0</v>
      </c>
      <c r="F113" s="36">
        <f t="shared" si="76"/>
        <v>0</v>
      </c>
      <c r="G113" s="36">
        <f t="shared" si="76"/>
        <v>0</v>
      </c>
      <c r="H113" s="36">
        <f t="shared" si="76"/>
        <v>0</v>
      </c>
      <c r="I113" s="36">
        <f t="shared" si="76"/>
        <v>783</v>
      </c>
      <c r="J113" s="36">
        <f t="shared" si="76"/>
        <v>1065</v>
      </c>
      <c r="K113" s="36">
        <f t="shared" si="76"/>
        <v>1219</v>
      </c>
      <c r="L113" s="36">
        <f t="shared" si="76"/>
        <v>1274</v>
      </c>
      <c r="M113" s="36">
        <f t="shared" si="76"/>
        <v>1209</v>
      </c>
      <c r="N113" s="36">
        <f t="shared" si="76"/>
        <v>1209</v>
      </c>
      <c r="O113" s="36">
        <f t="shared" si="76"/>
        <v>1209</v>
      </c>
      <c r="P113" s="36">
        <f t="shared" si="76"/>
        <v>1259</v>
      </c>
      <c r="Q113" s="36">
        <f t="shared" si="76"/>
        <v>859</v>
      </c>
      <c r="R113" s="36">
        <f t="shared" si="76"/>
        <v>1609</v>
      </c>
      <c r="S113" s="36">
        <f t="shared" si="76"/>
        <v>1609</v>
      </c>
      <c r="T113" s="36">
        <f t="shared" si="76"/>
        <v>1609</v>
      </c>
      <c r="U113" s="36">
        <f t="shared" si="76"/>
        <v>1455</v>
      </c>
      <c r="V113" s="36">
        <f t="shared" si="76"/>
        <v>750</v>
      </c>
      <c r="W113" s="36">
        <f t="shared" si="76"/>
        <v>750</v>
      </c>
      <c r="X113" s="36">
        <f t="shared" si="76"/>
        <v>750</v>
      </c>
      <c r="Y113" s="36"/>
    </row>
    <row r="114" spans="1:41" x14ac:dyDescent="0.2">
      <c r="A114" s="726" t="s">
        <v>3414</v>
      </c>
      <c r="B114" s="36">
        <f t="shared" ref="B114:X114" si="77">(B25+B26)/1000</f>
        <v>0</v>
      </c>
      <c r="C114" s="36">
        <f t="shared" si="77"/>
        <v>0</v>
      </c>
      <c r="D114" s="36">
        <f t="shared" si="77"/>
        <v>0</v>
      </c>
      <c r="E114" s="36">
        <f t="shared" si="77"/>
        <v>0</v>
      </c>
      <c r="F114" s="36">
        <f t="shared" si="77"/>
        <v>0</v>
      </c>
      <c r="G114" s="36">
        <f t="shared" si="77"/>
        <v>0</v>
      </c>
      <c r="H114" s="36">
        <f t="shared" si="77"/>
        <v>0</v>
      </c>
      <c r="I114" s="36">
        <f t="shared" si="77"/>
        <v>-366</v>
      </c>
      <c r="J114" s="36">
        <f t="shared" si="77"/>
        <v>-313.5</v>
      </c>
      <c r="K114" s="36">
        <f t="shared" si="77"/>
        <v>-319.7</v>
      </c>
      <c r="L114" s="36">
        <f t="shared" si="77"/>
        <v>-305</v>
      </c>
      <c r="M114" s="36">
        <f t="shared" si="77"/>
        <v>-240</v>
      </c>
      <c r="N114" s="36">
        <f t="shared" si="77"/>
        <v>-240</v>
      </c>
      <c r="O114" s="36">
        <f t="shared" si="77"/>
        <v>-240</v>
      </c>
      <c r="P114" s="36">
        <f t="shared" si="77"/>
        <v>-185</v>
      </c>
      <c r="Q114" s="36">
        <f t="shared" si="77"/>
        <v>-130</v>
      </c>
      <c r="R114" s="36">
        <f t="shared" si="77"/>
        <v>-130</v>
      </c>
      <c r="S114" s="36">
        <f t="shared" si="77"/>
        <v>-130</v>
      </c>
      <c r="T114" s="36">
        <f t="shared" si="77"/>
        <v>-130</v>
      </c>
      <c r="U114" s="36">
        <f t="shared" si="77"/>
        <v>-130</v>
      </c>
      <c r="V114" s="36">
        <f t="shared" si="77"/>
        <v>0</v>
      </c>
      <c r="W114" s="36">
        <f t="shared" si="77"/>
        <v>0</v>
      </c>
      <c r="X114" s="36">
        <f t="shared" si="77"/>
        <v>0</v>
      </c>
      <c r="Y114" s="36"/>
    </row>
    <row r="115" spans="1:41" x14ac:dyDescent="0.2">
      <c r="A115" s="726" t="s">
        <v>3415</v>
      </c>
      <c r="B115" s="36">
        <f t="shared" ref="B115:X115" si="78">SUM(B13:B24)/1000</f>
        <v>0</v>
      </c>
      <c r="C115" s="36">
        <f t="shared" si="78"/>
        <v>0</v>
      </c>
      <c r="D115" s="36">
        <f t="shared" si="78"/>
        <v>0</v>
      </c>
      <c r="E115" s="36">
        <f t="shared" si="78"/>
        <v>0</v>
      </c>
      <c r="F115" s="36">
        <f t="shared" si="78"/>
        <v>0</v>
      </c>
      <c r="G115" s="36">
        <f t="shared" si="78"/>
        <v>0</v>
      </c>
      <c r="H115" s="36">
        <f t="shared" si="78"/>
        <v>0</v>
      </c>
      <c r="I115" s="36">
        <f t="shared" si="78"/>
        <v>280</v>
      </c>
      <c r="J115" s="36">
        <f t="shared" si="78"/>
        <v>288</v>
      </c>
      <c r="K115" s="36">
        <f t="shared" si="78"/>
        <v>297</v>
      </c>
      <c r="L115" s="36">
        <f t="shared" si="78"/>
        <v>305</v>
      </c>
      <c r="M115" s="36">
        <f t="shared" si="78"/>
        <v>311</v>
      </c>
      <c r="N115" s="36">
        <f t="shared" si="78"/>
        <v>316</v>
      </c>
      <c r="O115" s="36">
        <f t="shared" si="78"/>
        <v>323</v>
      </c>
      <c r="P115" s="36">
        <f t="shared" si="78"/>
        <v>331</v>
      </c>
      <c r="Q115" s="36">
        <f t="shared" si="78"/>
        <v>339</v>
      </c>
      <c r="R115" s="36">
        <f t="shared" si="78"/>
        <v>347</v>
      </c>
      <c r="S115" s="36">
        <f t="shared" si="78"/>
        <v>355</v>
      </c>
      <c r="T115" s="36">
        <f t="shared" si="78"/>
        <v>363</v>
      </c>
      <c r="U115" s="36">
        <f t="shared" si="78"/>
        <v>371</v>
      </c>
      <c r="V115" s="36">
        <f t="shared" si="78"/>
        <v>379</v>
      </c>
      <c r="W115" s="36">
        <f t="shared" si="78"/>
        <v>387</v>
      </c>
      <c r="X115" s="36">
        <f t="shared" si="78"/>
        <v>395</v>
      </c>
      <c r="Y115" s="36"/>
    </row>
    <row r="116" spans="1:41" x14ac:dyDescent="0.2">
      <c r="A116" s="726" t="s">
        <v>3416</v>
      </c>
      <c r="B116" s="36">
        <f t="shared" ref="B116:X116" si="79">B12/1000</f>
        <v>0</v>
      </c>
      <c r="C116" s="36">
        <f t="shared" si="79"/>
        <v>0</v>
      </c>
      <c r="D116" s="36">
        <f t="shared" si="79"/>
        <v>0</v>
      </c>
      <c r="E116" s="36">
        <f t="shared" si="79"/>
        <v>0</v>
      </c>
      <c r="F116" s="36">
        <f t="shared" si="79"/>
        <v>0</v>
      </c>
      <c r="G116" s="36">
        <f t="shared" si="79"/>
        <v>0</v>
      </c>
      <c r="H116" s="36">
        <f t="shared" si="79"/>
        <v>0</v>
      </c>
      <c r="I116" s="36">
        <f t="shared" si="79"/>
        <v>313</v>
      </c>
      <c r="J116" s="36">
        <f t="shared" si="79"/>
        <v>450</v>
      </c>
      <c r="K116" s="36">
        <f t="shared" si="79"/>
        <v>302</v>
      </c>
      <c r="L116" s="36">
        <f t="shared" si="79"/>
        <v>309</v>
      </c>
      <c r="M116" s="36">
        <f t="shared" si="79"/>
        <v>315</v>
      </c>
      <c r="N116" s="36">
        <f t="shared" si="79"/>
        <v>320</v>
      </c>
      <c r="O116" s="36">
        <f t="shared" si="79"/>
        <v>327</v>
      </c>
      <c r="P116" s="36">
        <f t="shared" si="79"/>
        <v>335</v>
      </c>
      <c r="Q116" s="36">
        <f t="shared" si="79"/>
        <v>343</v>
      </c>
      <c r="R116" s="36">
        <f t="shared" si="79"/>
        <v>352</v>
      </c>
      <c r="S116" s="36">
        <f t="shared" si="79"/>
        <v>361</v>
      </c>
      <c r="T116" s="36">
        <f t="shared" si="79"/>
        <v>370</v>
      </c>
      <c r="U116" s="36">
        <f t="shared" si="79"/>
        <v>379</v>
      </c>
      <c r="V116" s="36">
        <f t="shared" si="79"/>
        <v>388</v>
      </c>
      <c r="W116" s="36">
        <f t="shared" si="79"/>
        <v>398</v>
      </c>
      <c r="X116" s="36">
        <f t="shared" si="79"/>
        <v>408</v>
      </c>
      <c r="Y116" s="36"/>
      <c r="AJ116" s="573"/>
      <c r="AK116" s="573"/>
      <c r="AL116" s="573"/>
      <c r="AM116" s="573"/>
      <c r="AN116" s="573"/>
      <c r="AO116" s="573"/>
    </row>
    <row r="117" spans="1:41" s="573" customFormat="1" x14ac:dyDescent="0.2">
      <c r="A117" s="573" t="s">
        <v>1504</v>
      </c>
      <c r="B117" s="65">
        <f>SUM(B112:B116)</f>
        <v>0</v>
      </c>
      <c r="C117" s="65">
        <f t="shared" ref="C117:T117" si="80">SUM(C112:C116)</f>
        <v>0</v>
      </c>
      <c r="D117" s="65">
        <f t="shared" si="80"/>
        <v>0</v>
      </c>
      <c r="E117" s="65">
        <f t="shared" si="80"/>
        <v>0</v>
      </c>
      <c r="F117" s="65">
        <f t="shared" si="80"/>
        <v>0</v>
      </c>
      <c r="G117" s="65">
        <f t="shared" si="80"/>
        <v>0</v>
      </c>
      <c r="H117" s="65">
        <f t="shared" si="80"/>
        <v>0</v>
      </c>
      <c r="I117" s="65">
        <f t="shared" si="80"/>
        <v>2944</v>
      </c>
      <c r="J117" s="65">
        <f t="shared" ref="J117" si="81">SUM(J112:J116)</f>
        <v>3596.5</v>
      </c>
      <c r="K117" s="65">
        <f t="shared" si="80"/>
        <v>3902.3</v>
      </c>
      <c r="L117" s="65">
        <f t="shared" si="80"/>
        <v>3063</v>
      </c>
      <c r="M117" s="65">
        <f t="shared" si="80"/>
        <v>4843.2</v>
      </c>
      <c r="N117" s="65">
        <f t="shared" si="80"/>
        <v>4532</v>
      </c>
      <c r="O117" s="65">
        <f t="shared" si="80"/>
        <v>4956</v>
      </c>
      <c r="P117" s="65">
        <f t="shared" si="80"/>
        <v>5163</v>
      </c>
      <c r="Q117" s="65">
        <f t="shared" si="80"/>
        <v>5360</v>
      </c>
      <c r="R117" s="65">
        <f t="shared" si="80"/>
        <v>5565</v>
      </c>
      <c r="S117" s="65">
        <f t="shared" si="80"/>
        <v>5777</v>
      </c>
      <c r="T117" s="65">
        <f t="shared" si="80"/>
        <v>5997</v>
      </c>
      <c r="U117" s="65">
        <f t="shared" ref="U117:V117" si="82">SUM(U112:U116)</f>
        <v>6225</v>
      </c>
      <c r="V117" s="65">
        <f t="shared" si="82"/>
        <v>6462</v>
      </c>
      <c r="W117" s="65">
        <f t="shared" ref="W117:X117" si="83">SUM(W112:W116)</f>
        <v>6708</v>
      </c>
      <c r="X117" s="65">
        <f t="shared" si="83"/>
        <v>6766</v>
      </c>
      <c r="Y117" s="65"/>
      <c r="AJ117" s="1"/>
      <c r="AK117" s="1"/>
      <c r="AL117" s="1"/>
      <c r="AM117" s="1"/>
      <c r="AN117" s="1"/>
      <c r="AO117" s="1"/>
    </row>
    <row r="118" spans="1:41" x14ac:dyDescent="0.2">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row>
    <row r="119" spans="1:41" x14ac:dyDescent="0.2">
      <c r="B119" s="36"/>
      <c r="C119" s="36"/>
      <c r="D119" s="36"/>
      <c r="E119" s="36"/>
      <c r="F119" s="1777"/>
      <c r="G119" s="36"/>
      <c r="H119" s="36"/>
      <c r="I119" s="36"/>
      <c r="J119" s="36"/>
      <c r="K119" s="36"/>
      <c r="L119" s="36"/>
      <c r="M119" s="36"/>
      <c r="N119" s="36"/>
      <c r="O119" s="36"/>
      <c r="P119" s="36"/>
      <c r="Q119" s="36"/>
      <c r="R119" s="36"/>
      <c r="S119" s="36"/>
      <c r="T119" s="36"/>
      <c r="U119" s="36"/>
      <c r="V119" s="36"/>
      <c r="W119" s="36"/>
      <c r="X119" s="36"/>
      <c r="Y119" s="36"/>
    </row>
    <row r="120" spans="1:41" x14ac:dyDescent="0.2">
      <c r="A120" s="726" t="s">
        <v>3436</v>
      </c>
      <c r="B120" s="36"/>
      <c r="C120" s="36"/>
      <c r="D120" s="36"/>
      <c r="E120" s="36"/>
      <c r="F120" s="36">
        <f>F108</f>
        <v>1592</v>
      </c>
      <c r="G120" s="36">
        <f>F120*F121+F120</f>
        <v>1647.72</v>
      </c>
      <c r="H120" s="36">
        <f t="shared" ref="H120:X120" si="84">G120*G121+G120</f>
        <v>1705.3902</v>
      </c>
      <c r="I120" s="36">
        <f t="shared" si="84"/>
        <v>1765.078857</v>
      </c>
      <c r="J120" s="36">
        <f t="shared" ref="J120" si="85">I120*I121+I120</f>
        <v>1826.856616995</v>
      </c>
      <c r="K120" s="36">
        <f t="shared" ref="K120" si="86">J120*J121+J120</f>
        <v>1890.796598589825</v>
      </c>
      <c r="L120" s="36">
        <f>K120*K121+K120</f>
        <v>1956.9744795404688</v>
      </c>
      <c r="M120" s="36">
        <f t="shared" si="84"/>
        <v>2025.4685863243851</v>
      </c>
      <c r="N120" s="36">
        <f t="shared" si="84"/>
        <v>2096.3599868457386</v>
      </c>
      <c r="O120" s="36">
        <f t="shared" si="84"/>
        <v>2169.7325863853393</v>
      </c>
      <c r="P120" s="36">
        <f t="shared" si="84"/>
        <v>2245.6732269088261</v>
      </c>
      <c r="Q120" s="36">
        <f t="shared" si="84"/>
        <v>2324.2717898506348</v>
      </c>
      <c r="R120" s="36">
        <f t="shared" si="84"/>
        <v>2405.6213024954072</v>
      </c>
      <c r="S120" s="36">
        <f t="shared" si="84"/>
        <v>2489.8180480827464</v>
      </c>
      <c r="T120" s="36">
        <f t="shared" si="84"/>
        <v>2576.9616797656427</v>
      </c>
      <c r="U120" s="36">
        <f t="shared" si="84"/>
        <v>2667.1553385574402</v>
      </c>
      <c r="V120" s="36">
        <f t="shared" si="84"/>
        <v>2760.5057754069508</v>
      </c>
      <c r="W120" s="36">
        <f t="shared" si="84"/>
        <v>2857.123477546194</v>
      </c>
      <c r="X120" s="36">
        <f t="shared" si="84"/>
        <v>2957.1227992603108</v>
      </c>
      <c r="Y120" s="36"/>
    </row>
    <row r="121" spans="1:41" x14ac:dyDescent="0.2">
      <c r="B121" s="36"/>
      <c r="C121" s="36"/>
      <c r="D121" s="36"/>
      <c r="E121" s="36"/>
      <c r="F121" s="2006">
        <v>3.5000000000000003E-2</v>
      </c>
      <c r="G121" s="2006">
        <f>F121</f>
        <v>3.5000000000000003E-2</v>
      </c>
      <c r="H121" s="2006">
        <f t="shared" ref="H121:X121" si="87">G121</f>
        <v>3.5000000000000003E-2</v>
      </c>
      <c r="I121" s="2006">
        <f t="shared" si="87"/>
        <v>3.5000000000000003E-2</v>
      </c>
      <c r="J121" s="2006">
        <f t="shared" ref="J121" si="88">I121</f>
        <v>3.5000000000000003E-2</v>
      </c>
      <c r="K121" s="2006">
        <f t="shared" ref="K121" si="89">J121</f>
        <v>3.5000000000000003E-2</v>
      </c>
      <c r="L121" s="2006">
        <f>K121</f>
        <v>3.5000000000000003E-2</v>
      </c>
      <c r="M121" s="2006">
        <f t="shared" si="87"/>
        <v>3.5000000000000003E-2</v>
      </c>
      <c r="N121" s="2006">
        <f t="shared" si="87"/>
        <v>3.5000000000000003E-2</v>
      </c>
      <c r="O121" s="2006">
        <f t="shared" si="87"/>
        <v>3.5000000000000003E-2</v>
      </c>
      <c r="P121" s="2006">
        <f t="shared" si="87"/>
        <v>3.5000000000000003E-2</v>
      </c>
      <c r="Q121" s="2006">
        <f t="shared" si="87"/>
        <v>3.5000000000000003E-2</v>
      </c>
      <c r="R121" s="2006">
        <f t="shared" si="87"/>
        <v>3.5000000000000003E-2</v>
      </c>
      <c r="S121" s="2006">
        <f t="shared" si="87"/>
        <v>3.5000000000000003E-2</v>
      </c>
      <c r="T121" s="2006">
        <f t="shared" si="87"/>
        <v>3.5000000000000003E-2</v>
      </c>
      <c r="U121" s="2006">
        <f t="shared" si="87"/>
        <v>3.5000000000000003E-2</v>
      </c>
      <c r="V121" s="2006">
        <f t="shared" si="87"/>
        <v>3.5000000000000003E-2</v>
      </c>
      <c r="W121" s="2006">
        <f t="shared" si="87"/>
        <v>3.5000000000000003E-2</v>
      </c>
      <c r="X121" s="2006">
        <f t="shared" si="87"/>
        <v>3.5000000000000003E-2</v>
      </c>
      <c r="Y121" s="2006"/>
    </row>
    <row r="122" spans="1:41" x14ac:dyDescent="0.2">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row>
    <row r="123" spans="1:41" x14ac:dyDescent="0.2">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row>
    <row r="1114" spans="5:5" x14ac:dyDescent="0.2">
      <c r="E1114" s="1" t="s">
        <v>7245</v>
      </c>
    </row>
  </sheetData>
  <phoneticPr fontId="9" type="noConversion"/>
  <pageMargins left="0.74803149606299213" right="0.74803149606299213" top="0.98425196850393704" bottom="0.98425196850393704" header="0.51181102362204722" footer="0.51181102362204722"/>
  <pageSetup paperSize="8" scale="54"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109"/>
  <sheetViews>
    <sheetView workbookViewId="0">
      <pane xSplit="1" ySplit="2" topLeftCell="P3" activePane="bottomRight" state="frozen"/>
      <selection activeCell="E788" sqref="E788"/>
      <selection pane="topRight" activeCell="E788" sqref="E788"/>
      <selection pane="bottomLeft" activeCell="E788" sqref="E788"/>
      <selection pane="bottomRight" activeCell="W32" sqref="W32"/>
    </sheetView>
  </sheetViews>
  <sheetFormatPr defaultColWidth="9.140625" defaultRowHeight="12.75" x14ac:dyDescent="0.2"/>
  <cols>
    <col min="1" max="1" width="40.7109375" style="1" customWidth="1"/>
    <col min="2" max="2" width="12.85546875" style="1" customWidth="1"/>
    <col min="3" max="16" width="11.7109375" style="1" customWidth="1"/>
    <col min="17" max="17" width="11.5703125" style="1" customWidth="1"/>
    <col min="18" max="18" width="11.28515625" style="1" customWidth="1"/>
    <col min="19" max="19" width="11.5703125" style="1" customWidth="1"/>
    <col min="20" max="31" width="11.28515625" style="1" bestFit="1" customWidth="1"/>
    <col min="32" max="32" width="10.140625" style="1" customWidth="1"/>
    <col min="33" max="42" width="12.5703125" style="1" customWidth="1"/>
    <col min="43" max="43" width="11.7109375" style="1" customWidth="1"/>
    <col min="44" max="47" width="10.28515625" style="1" customWidth="1"/>
    <col min="48" max="48" width="11.28515625" style="1" bestFit="1" customWidth="1"/>
    <col min="49" max="50" width="10.28515625" style="1" customWidth="1"/>
    <col min="51" max="51" width="11.28515625" style="1" bestFit="1" customWidth="1"/>
    <col min="52" max="53" width="10.28515625" style="1" customWidth="1"/>
    <col min="54" max="55" width="12.42578125" style="1" customWidth="1"/>
    <col min="56" max="56" width="10.140625" style="1" bestFit="1" customWidth="1"/>
    <col min="57" max="57" width="10.28515625" style="1" bestFit="1" customWidth="1"/>
    <col min="58" max="58" width="10.140625" style="1" bestFit="1" customWidth="1"/>
    <col min="59" max="62" width="10.28515625" style="1" bestFit="1" customWidth="1"/>
    <col min="63" max="16384" width="9.140625" style="1"/>
  </cols>
  <sheetData>
    <row r="1" spans="1:61" x14ac:dyDescent="0.2">
      <c r="A1" s="2714" t="s">
        <v>2746</v>
      </c>
      <c r="B1" s="2715"/>
      <c r="C1" s="2715"/>
      <c r="D1" s="2715"/>
      <c r="E1" s="2715"/>
      <c r="F1" s="2715"/>
      <c r="G1" s="2715"/>
      <c r="H1" s="2715"/>
      <c r="I1" s="2715"/>
      <c r="J1" s="2715"/>
      <c r="K1" s="2715"/>
      <c r="L1" s="2715"/>
      <c r="M1" s="2715"/>
      <c r="N1" s="2715"/>
      <c r="O1" s="2715"/>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row>
    <row r="2" spans="1:61" ht="13.5" thickBot="1" x14ac:dyDescent="0.25">
      <c r="A2" s="2716" t="s">
        <v>4390</v>
      </c>
      <c r="B2" s="2705"/>
      <c r="C2" s="2705"/>
      <c r="D2" s="2705"/>
      <c r="E2" s="2705"/>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05"/>
      <c r="AZ2" s="2705"/>
      <c r="BA2" s="2705"/>
      <c r="BB2" s="2705"/>
      <c r="BC2" s="2705"/>
      <c r="BD2" s="2705"/>
      <c r="BE2" s="2705"/>
      <c r="BF2" s="2705"/>
      <c r="BG2" s="2705"/>
      <c r="BH2" s="2705"/>
      <c r="BI2" s="2705"/>
    </row>
    <row r="3" spans="1:61" ht="14.25" thickTop="1" thickBot="1" x14ac:dyDescent="0.25">
      <c r="A3" s="1889"/>
      <c r="B3" s="2680" t="s">
        <v>4324</v>
      </c>
      <c r="C3" s="2681"/>
      <c r="D3" s="2681"/>
      <c r="E3" s="2681"/>
      <c r="F3" s="2681"/>
      <c r="G3" s="2681"/>
      <c r="H3" s="2681"/>
      <c r="I3" s="2681"/>
      <c r="J3" s="2681"/>
      <c r="K3" s="2681"/>
      <c r="L3" s="2681"/>
      <c r="M3" s="2681"/>
      <c r="N3" s="2681"/>
      <c r="O3" s="2681"/>
      <c r="P3" s="2682"/>
      <c r="Q3" s="2680" t="s">
        <v>4325</v>
      </c>
      <c r="R3" s="2681"/>
      <c r="S3" s="2681"/>
      <c r="T3" s="2681"/>
      <c r="U3" s="2681"/>
      <c r="V3" s="2681"/>
      <c r="W3" s="2681"/>
      <c r="X3" s="2681"/>
      <c r="Y3" s="2681"/>
      <c r="Z3" s="2681"/>
      <c r="AA3" s="2681"/>
      <c r="AB3" s="2681"/>
      <c r="AC3" s="2681"/>
      <c r="AD3" s="2681"/>
      <c r="AE3" s="2682"/>
      <c r="AF3" s="2680" t="s">
        <v>161</v>
      </c>
      <c r="AG3" s="2681"/>
      <c r="AH3" s="2681"/>
      <c r="AI3" s="2681"/>
      <c r="AJ3" s="2681"/>
      <c r="AK3" s="2681"/>
      <c r="AL3" s="2681"/>
      <c r="AM3" s="2681"/>
      <c r="AN3" s="2681"/>
      <c r="AO3" s="2681"/>
      <c r="AP3" s="2681"/>
      <c r="AQ3" s="2681"/>
      <c r="AR3" s="2681"/>
      <c r="AS3" s="2681"/>
      <c r="AT3" s="2682"/>
      <c r="AU3" s="2680" t="s">
        <v>4326</v>
      </c>
      <c r="AV3" s="2681"/>
      <c r="AW3" s="2681"/>
      <c r="AX3" s="2681"/>
      <c r="AY3" s="2681"/>
      <c r="AZ3" s="2681"/>
      <c r="BA3" s="2681"/>
      <c r="BB3" s="2681"/>
      <c r="BC3" s="2681"/>
      <c r="BD3" s="2681"/>
      <c r="BE3" s="2681"/>
      <c r="BF3" s="2681"/>
      <c r="BG3" s="2681"/>
      <c r="BH3" s="2681"/>
      <c r="BI3" s="2682"/>
    </row>
    <row r="4" spans="1:61" x14ac:dyDescent="0.2">
      <c r="A4" s="1890" t="s">
        <v>228</v>
      </c>
      <c r="B4" s="1891" t="str">
        <f t="shared" ref="B4:N4" si="0">Q4</f>
        <v>2013/14</v>
      </c>
      <c r="C4" s="1892" t="str">
        <f t="shared" si="0"/>
        <v>2014/15</v>
      </c>
      <c r="D4" s="2330" t="str">
        <f t="shared" si="0"/>
        <v>2015/16</v>
      </c>
      <c r="E4" s="2326" t="str">
        <f t="shared" si="0"/>
        <v>2016/17</v>
      </c>
      <c r="F4" s="2326" t="str">
        <f t="shared" si="0"/>
        <v>2017/18</v>
      </c>
      <c r="G4" s="2326" t="str">
        <f t="shared" si="0"/>
        <v>2018/19</v>
      </c>
      <c r="H4" s="2326" t="str">
        <f t="shared" si="0"/>
        <v>2019/20</v>
      </c>
      <c r="I4" s="2326" t="str">
        <f t="shared" si="0"/>
        <v>2020/21</v>
      </c>
      <c r="J4" s="2326" t="str">
        <f t="shared" si="0"/>
        <v>2021/22</v>
      </c>
      <c r="K4" s="2326" t="str">
        <f t="shared" si="0"/>
        <v>2022/23</v>
      </c>
      <c r="L4" s="2326" t="str">
        <f t="shared" si="0"/>
        <v>2023/24</v>
      </c>
      <c r="M4" s="2326" t="str">
        <f t="shared" si="0"/>
        <v>2024/25</v>
      </c>
      <c r="N4" s="2326" t="str">
        <f t="shared" si="0"/>
        <v>2025/26</v>
      </c>
      <c r="O4" s="2326" t="str">
        <f>AD4</f>
        <v>2026/27</v>
      </c>
      <c r="P4" s="2328" t="str">
        <f>AE4</f>
        <v>2027/28</v>
      </c>
      <c r="Q4" s="2325" t="str">
        <f>SP!B3</f>
        <v>2013/14</v>
      </c>
      <c r="R4" s="1892" t="str">
        <f>SP!C3</f>
        <v>2014/15</v>
      </c>
      <c r="S4" s="1892" t="str">
        <f>CIV!D3</f>
        <v>2015/16</v>
      </c>
      <c r="T4" s="2325" t="str">
        <f>CIV!E3</f>
        <v>2016/17</v>
      </c>
      <c r="U4" s="2325" t="str">
        <f>CIV!H3</f>
        <v>2017/18</v>
      </c>
      <c r="V4" s="2325" t="str">
        <f>CIV!J3</f>
        <v>2018/19</v>
      </c>
      <c r="W4" s="2326" t="str">
        <f>CIV!K3</f>
        <v>2019/20</v>
      </c>
      <c r="X4" s="2326" t="str">
        <f>CIV!L3</f>
        <v>2020/21</v>
      </c>
      <c r="Y4" s="2326" t="str">
        <f>CIV!M3</f>
        <v>2021/22</v>
      </c>
      <c r="Z4" s="2326" t="str">
        <f>CIV!N3</f>
        <v>2022/23</v>
      </c>
      <c r="AA4" s="2326" t="str">
        <f>CIV!O3</f>
        <v>2023/24</v>
      </c>
      <c r="AB4" s="2326" t="str">
        <f>CIV!P3</f>
        <v>2024/25</v>
      </c>
      <c r="AC4" s="1892" t="str">
        <f>CIV!Q3</f>
        <v>2025/26</v>
      </c>
      <c r="AD4" s="1892" t="str">
        <f>CIV!R3</f>
        <v>2026/27</v>
      </c>
      <c r="AE4" s="2329" t="str">
        <f>CIV!S3</f>
        <v>2027/28</v>
      </c>
      <c r="AF4" s="2325" t="str">
        <f t="shared" ref="AF4:BI4" si="1">Q4</f>
        <v>2013/14</v>
      </c>
      <c r="AG4" s="1892" t="str">
        <f t="shared" si="1"/>
        <v>2014/15</v>
      </c>
      <c r="AH4" s="1892" t="str">
        <f t="shared" si="1"/>
        <v>2015/16</v>
      </c>
      <c r="AI4" s="1892" t="str">
        <f t="shared" si="1"/>
        <v>2016/17</v>
      </c>
      <c r="AJ4" s="1892" t="str">
        <f t="shared" si="1"/>
        <v>2017/18</v>
      </c>
      <c r="AK4" s="2325" t="str">
        <f t="shared" si="1"/>
        <v>2018/19</v>
      </c>
      <c r="AL4" s="2326" t="str">
        <f t="shared" si="1"/>
        <v>2019/20</v>
      </c>
      <c r="AM4" s="2326" t="str">
        <f t="shared" si="1"/>
        <v>2020/21</v>
      </c>
      <c r="AN4" s="2326" t="str">
        <f t="shared" si="1"/>
        <v>2021/22</v>
      </c>
      <c r="AO4" s="2326" t="str">
        <f t="shared" si="1"/>
        <v>2022/23</v>
      </c>
      <c r="AP4" s="2326" t="str">
        <f t="shared" si="1"/>
        <v>2023/24</v>
      </c>
      <c r="AQ4" s="2326" t="str">
        <f t="shared" si="1"/>
        <v>2024/25</v>
      </c>
      <c r="AR4" s="2326" t="str">
        <f t="shared" si="1"/>
        <v>2025/26</v>
      </c>
      <c r="AS4" s="2326" t="str">
        <f t="shared" si="1"/>
        <v>2026/27</v>
      </c>
      <c r="AT4" s="2328" t="str">
        <f t="shared" si="1"/>
        <v>2027/28</v>
      </c>
      <c r="AU4" s="2325" t="str">
        <f t="shared" si="1"/>
        <v>2013/14</v>
      </c>
      <c r="AV4" s="2325" t="str">
        <f t="shared" si="1"/>
        <v>2014/15</v>
      </c>
      <c r="AW4" s="2325" t="str">
        <f t="shared" si="1"/>
        <v>2015/16</v>
      </c>
      <c r="AX4" s="2325" t="str">
        <f t="shared" si="1"/>
        <v>2016/17</v>
      </c>
      <c r="AY4" s="2325" t="str">
        <f t="shared" si="1"/>
        <v>2017/18</v>
      </c>
      <c r="AZ4" s="2326" t="str">
        <f t="shared" si="1"/>
        <v>2018/19</v>
      </c>
      <c r="BA4" s="2326" t="str">
        <f t="shared" si="1"/>
        <v>2019/20</v>
      </c>
      <c r="BB4" s="2325" t="str">
        <f t="shared" si="1"/>
        <v>2020/21</v>
      </c>
      <c r="BC4" s="2325" t="str">
        <f t="shared" si="1"/>
        <v>2021/22</v>
      </c>
      <c r="BD4" s="2325" t="str">
        <f t="shared" si="1"/>
        <v>2022/23</v>
      </c>
      <c r="BE4" s="2023" t="str">
        <f t="shared" si="1"/>
        <v>2023/24</v>
      </c>
      <c r="BF4" s="2023" t="str">
        <f t="shared" si="1"/>
        <v>2024/25</v>
      </c>
      <c r="BG4" s="2023" t="str">
        <f t="shared" si="1"/>
        <v>2025/26</v>
      </c>
      <c r="BH4" s="2023" t="str">
        <f t="shared" si="1"/>
        <v>2026/27</v>
      </c>
      <c r="BI4" s="2327" t="str">
        <f t="shared" si="1"/>
        <v>2027/28</v>
      </c>
    </row>
    <row r="5" spans="1:61" x14ac:dyDescent="0.2">
      <c r="A5" s="656"/>
      <c r="B5" s="1893"/>
      <c r="C5" s="194"/>
      <c r="D5" s="1894"/>
      <c r="E5" s="1894"/>
      <c r="F5" s="1894"/>
      <c r="G5" s="1894"/>
      <c r="H5" s="1894"/>
      <c r="I5" s="1894"/>
      <c r="J5" s="1894"/>
      <c r="K5" s="1894"/>
      <c r="L5" s="79"/>
      <c r="M5" s="79"/>
      <c r="N5" s="79"/>
      <c r="O5" s="79"/>
      <c r="P5" s="587"/>
      <c r="Q5" s="77"/>
      <c r="R5" s="1300"/>
      <c r="S5" s="79"/>
      <c r="T5" s="1568"/>
      <c r="U5" s="1401"/>
      <c r="V5" s="1401"/>
      <c r="W5" s="1568"/>
      <c r="X5" s="1568"/>
      <c r="Y5" s="1568"/>
      <c r="Z5" s="1568"/>
      <c r="AA5" s="1568"/>
      <c r="AB5" s="1568"/>
      <c r="AC5" s="1300"/>
      <c r="AD5" s="1300"/>
      <c r="AE5" s="1567"/>
      <c r="AF5" s="1895"/>
      <c r="AG5" s="77"/>
      <c r="AH5" s="1894"/>
      <c r="AI5" s="1894"/>
      <c r="AJ5" s="1894"/>
      <c r="AK5" s="1894"/>
      <c r="AL5" s="1894"/>
      <c r="AM5" s="1894"/>
      <c r="AN5" s="1894"/>
      <c r="AO5" s="1894"/>
      <c r="AP5" s="1568"/>
      <c r="AQ5" s="1568"/>
      <c r="AR5" s="1568"/>
      <c r="AS5" s="1568"/>
      <c r="AT5" s="1896"/>
      <c r="AU5" s="1401"/>
      <c r="AV5" s="77"/>
      <c r="AW5" s="1897"/>
      <c r="AX5" s="1897"/>
      <c r="AY5" s="1897"/>
      <c r="AZ5" s="1568"/>
      <c r="BA5" s="1568"/>
      <c r="BB5" s="1897"/>
      <c r="BC5" s="1897"/>
      <c r="BD5" s="1897"/>
      <c r="BE5" s="210"/>
      <c r="BF5" s="210"/>
      <c r="BG5" s="210"/>
      <c r="BH5" s="210"/>
      <c r="BI5" s="318"/>
    </row>
    <row r="6" spans="1:61" s="1250" customFormat="1" x14ac:dyDescent="0.2">
      <c r="A6" s="656" t="s">
        <v>388</v>
      </c>
      <c r="B6" s="1898"/>
      <c r="C6" s="194"/>
      <c r="D6" s="1894"/>
      <c r="E6" s="1894"/>
      <c r="F6" s="1894"/>
      <c r="G6" s="1894"/>
      <c r="H6" s="1894"/>
      <c r="I6" s="1894"/>
      <c r="J6" s="1894"/>
      <c r="K6" s="1894"/>
      <c r="L6" s="79"/>
      <c r="M6" s="79"/>
      <c r="N6" s="79"/>
      <c r="O6" s="79"/>
      <c r="P6" s="587"/>
      <c r="Q6" s="77"/>
      <c r="R6" s="1300"/>
      <c r="S6" s="79"/>
      <c r="T6" s="1568"/>
      <c r="U6" s="77"/>
      <c r="V6" s="77"/>
      <c r="W6" s="79"/>
      <c r="X6" s="79"/>
      <c r="Y6" s="79"/>
      <c r="Z6" s="79"/>
      <c r="AA6" s="79"/>
      <c r="AB6" s="79"/>
      <c r="AC6" s="31"/>
      <c r="AD6" s="31"/>
      <c r="AE6" s="582"/>
      <c r="AF6" s="77"/>
      <c r="AG6" s="77"/>
      <c r="AH6" s="30"/>
      <c r="AI6" s="30"/>
      <c r="AJ6" s="30"/>
      <c r="AK6" s="30"/>
      <c r="AL6" s="30"/>
      <c r="AM6" s="30"/>
      <c r="AN6" s="30"/>
      <c r="AO6" s="30"/>
      <c r="AP6" s="79"/>
      <c r="AQ6" s="79"/>
      <c r="AR6" s="79"/>
      <c r="AS6" s="79"/>
      <c r="AT6" s="587"/>
      <c r="AU6" s="77"/>
      <c r="AV6" s="77"/>
      <c r="AW6" s="79"/>
      <c r="AX6" s="79"/>
      <c r="AY6" s="79"/>
      <c r="AZ6" s="79"/>
      <c r="BA6" s="79"/>
      <c r="BB6" s="79"/>
      <c r="BC6" s="79"/>
      <c r="BD6" s="79"/>
      <c r="BE6" s="79"/>
      <c r="BF6" s="79"/>
      <c r="BG6" s="79"/>
      <c r="BH6" s="79"/>
      <c r="BI6" s="78"/>
    </row>
    <row r="7" spans="1:61" s="1250" customFormat="1" x14ac:dyDescent="0.2">
      <c r="A7" s="1688" t="s">
        <v>2296</v>
      </c>
      <c r="B7" s="1899">
        <f t="shared" ref="B7:P12" si="2">Q7+AF7+AU7</f>
        <v>38830500</v>
      </c>
      <c r="C7" s="1300">
        <f t="shared" si="2"/>
        <v>41354600</v>
      </c>
      <c r="D7" s="1894">
        <f t="shared" si="2"/>
        <v>43946800</v>
      </c>
      <c r="E7" s="1894">
        <f t="shared" si="2"/>
        <v>46877300</v>
      </c>
      <c r="F7" s="1894">
        <f t="shared" si="2"/>
        <v>47544600</v>
      </c>
      <c r="G7" s="1894">
        <f t="shared" si="2"/>
        <v>48065200</v>
      </c>
      <c r="H7" s="1894">
        <f t="shared" si="2"/>
        <v>49373000</v>
      </c>
      <c r="I7" s="1894">
        <f t="shared" si="2"/>
        <v>50723500</v>
      </c>
      <c r="J7" s="1894">
        <f t="shared" si="2"/>
        <v>52130400</v>
      </c>
      <c r="K7" s="1894">
        <f t="shared" si="2"/>
        <v>53576500</v>
      </c>
      <c r="L7" s="79">
        <f t="shared" si="2"/>
        <v>55063400</v>
      </c>
      <c r="M7" s="79">
        <f t="shared" si="2"/>
        <v>56590100</v>
      </c>
      <c r="N7" s="79">
        <f t="shared" si="2"/>
        <v>58160200</v>
      </c>
      <c r="O7" s="79">
        <f t="shared" si="2"/>
        <v>59773200</v>
      </c>
      <c r="P7" s="587">
        <f t="shared" si="2"/>
        <v>61432100</v>
      </c>
      <c r="Q7" s="77">
        <f>ROUND(SUM(GM!B551:B565)+SUM(CIV!B1790:'CIV'!B1792)+CIV!B1985+CIV!B1987+CIV!B1988+CIV!B1986+CIV!B959,-2)</f>
        <v>24301300</v>
      </c>
      <c r="R7" s="77">
        <f>ROUND(SUM(GM!C551:C565)+SUM(CIV!C1790:'CIV'!C1792)+CIV!C1985+CIV!C1987+CIV!C1988+CIV!C1986+CIV!C959,-2)</f>
        <v>25256500</v>
      </c>
      <c r="S7" s="77">
        <f>ROUND(SUM(GM!D551:D565)+SUM(CIV!D1790:'CIV'!D1792)+CIV!D1985+CIV!D1987+CIV!D1988+CIV!D1986+CIV!D959,-2)</f>
        <v>26633600</v>
      </c>
      <c r="T7" s="77">
        <f>ROUND(SUM(GM!E551:E565)+SUM(CIV!E1790:'CIV'!E1792)+CIV!E1985+CIV!E1987+CIV!E1988+CIV!E1986+CIV!E959,-2)</f>
        <v>28107400</v>
      </c>
      <c r="U7" s="77">
        <f>ROUND(SUM(GM!H551:H565)+SUM(CIV!H1790:'CIV'!H1792)+CIV!H1985+CIV!H1987+CIV!H1988+CIV!H1986+CIV!H959,-2)</f>
        <v>28168100</v>
      </c>
      <c r="V7" s="77">
        <f>ROUND(SUM(GM!J551:J565)+SUM(CIV!J1790:'CIV'!J1792)+CIV!J1985+CIV!J1987+CIV!J1988+CIV!J1986+CIV!J959,-2)</f>
        <v>28200200</v>
      </c>
      <c r="W7" s="77">
        <f>ROUND(SUM(GM!K551:K565)+SUM(CIV!K1790:'CIV'!K1792)+CIV!K1985+CIV!K1987+CIV!K1988+CIV!K1986+CIV!K959,-2)</f>
        <v>29007500</v>
      </c>
      <c r="X7" s="77">
        <f>ROUND(SUM(GM!L551:L565)+SUM(CIV!L1790:'CIV'!L1792)+CIV!L1985+CIV!L1987+CIV!L1988+CIV!L1986+CIV!L959,-2)</f>
        <v>29837500</v>
      </c>
      <c r="Y7" s="77">
        <f>ROUND(SUM(GM!M551:M565)+SUM(CIV!M1790:'CIV'!M1792)+CIV!M1985+CIV!M1987+CIV!M1988+CIV!M1986+CIV!M959,-2)</f>
        <v>30691000</v>
      </c>
      <c r="Z7" s="77">
        <f>ROUND(SUM(GM!N551:N565)+SUM(CIV!N1790:'CIV'!N1792)+CIV!N1985+CIV!N1987+CIV!N1988+CIV!N1986+CIV!N959,-2)</f>
        <v>31569700</v>
      </c>
      <c r="AA7" s="77">
        <f>ROUND(SUM(GM!O551:O565)+SUM(CIV!O1790:'CIV'!O1792)+CIV!O1985+CIV!O1987+CIV!O1988+CIV!O1986+CIV!O959,-2)</f>
        <v>32473200</v>
      </c>
      <c r="AB7" s="79">
        <f>ROUND(SUM(GM!P551:P565)+SUM(CIV!P1790:'CIV'!P1792)+CIV!P1985+CIV!P1987+CIV!P1988+CIV!P1986+CIV!P959,-2)</f>
        <v>33402500</v>
      </c>
      <c r="AC7" s="31">
        <f>ROUND(SUM(GM!Q551:Q565)+SUM(CIV!Q1790:'CIV'!Q1792)+CIV!Q1985+CIV!Q1987+CIV!Q1988+CIV!Q1986+CIV!Q959,-2)</f>
        <v>34359200</v>
      </c>
      <c r="AD7" s="31">
        <f>ROUND(SUM(GM!R551:R565)+SUM(CIV!R1790:'CIV'!R1792)+CIV!R1985+CIV!R1987+CIV!R1988+CIV!R1986+CIV!R959,-2)</f>
        <v>35342800</v>
      </c>
      <c r="AE7" s="582">
        <f>ROUND(SUM(GM!S551:S565)+SUM(CIV!S1790:'CIV'!S1792)+CIV!S1985+CIV!S1987+CIV!S1988+CIV!S1986+CIV!S959,-2)</f>
        <v>36355300</v>
      </c>
      <c r="AF7" s="77">
        <f>'W&amp;W'!B43</f>
        <v>2860500</v>
      </c>
      <c r="AG7" s="77">
        <f>'W&amp;W'!C43</f>
        <v>3092600</v>
      </c>
      <c r="AH7" s="30">
        <f>'W&amp;W'!D43</f>
        <v>3226000</v>
      </c>
      <c r="AI7" s="30">
        <f>'W&amp;W'!E43</f>
        <v>3371900</v>
      </c>
      <c r="AJ7" s="30">
        <f>'W&amp;W'!H43</f>
        <v>3439500</v>
      </c>
      <c r="AK7" s="30">
        <f>'W&amp;W'!J43</f>
        <v>3524000</v>
      </c>
      <c r="AL7" s="30">
        <f>'W&amp;W'!K43</f>
        <v>3610500</v>
      </c>
      <c r="AM7" s="30">
        <f>'W&amp;W'!L43</f>
        <v>3707000</v>
      </c>
      <c r="AN7" s="30">
        <f>'W&amp;W'!M43</f>
        <v>3825400</v>
      </c>
      <c r="AO7" s="30">
        <f>'W&amp;W'!N43</f>
        <v>3947800</v>
      </c>
      <c r="AP7" s="79">
        <f>'W&amp;W'!O43</f>
        <v>4074200</v>
      </c>
      <c r="AQ7" s="79">
        <f>'W&amp;W'!P43</f>
        <v>4203600</v>
      </c>
      <c r="AR7" s="79">
        <f>'W&amp;W'!Q43</f>
        <v>4337000</v>
      </c>
      <c r="AS7" s="79">
        <f>'W&amp;W'!R43</f>
        <v>4474400</v>
      </c>
      <c r="AT7" s="587">
        <f>'W&amp;W'!S43</f>
        <v>4616800</v>
      </c>
      <c r="AU7" s="77">
        <f>'W&amp;W'!B106</f>
        <v>11668700</v>
      </c>
      <c r="AV7" s="77">
        <f>'W&amp;W'!C106</f>
        <v>13005500</v>
      </c>
      <c r="AW7" s="79">
        <f>'W&amp;W'!D106</f>
        <v>14087200</v>
      </c>
      <c r="AX7" s="79">
        <f>'W&amp;W'!E106</f>
        <v>15398000</v>
      </c>
      <c r="AY7" s="79">
        <f>'W&amp;W'!H106</f>
        <v>15937000</v>
      </c>
      <c r="AZ7" s="79">
        <f>'W&amp;W'!J106</f>
        <v>16341000</v>
      </c>
      <c r="BA7" s="79">
        <f>'W&amp;W'!K106</f>
        <v>16755000</v>
      </c>
      <c r="BB7" s="79">
        <f>'W&amp;W'!L106</f>
        <v>17179000</v>
      </c>
      <c r="BC7" s="79">
        <f>'W&amp;W'!M106</f>
        <v>17614000</v>
      </c>
      <c r="BD7" s="79">
        <f>'W&amp;W'!N106</f>
        <v>18059000</v>
      </c>
      <c r="BE7" s="79">
        <f>'W&amp;W'!O106</f>
        <v>18516000</v>
      </c>
      <c r="BF7" s="79">
        <f>'W&amp;W'!P106</f>
        <v>18984000</v>
      </c>
      <c r="BG7" s="79">
        <f>'W&amp;W'!Q106</f>
        <v>19464000</v>
      </c>
      <c r="BH7" s="79">
        <f>'W&amp;W'!R106</f>
        <v>19956000</v>
      </c>
      <c r="BI7" s="78">
        <f>'W&amp;W'!S106</f>
        <v>20460000</v>
      </c>
    </row>
    <row r="8" spans="1:61" x14ac:dyDescent="0.2">
      <c r="A8" s="1688" t="s">
        <v>2337</v>
      </c>
      <c r="B8" s="1899">
        <f t="shared" si="2"/>
        <v>16972500</v>
      </c>
      <c r="C8" s="31">
        <f t="shared" si="2"/>
        <v>17321100</v>
      </c>
      <c r="D8" s="30">
        <f t="shared" si="2"/>
        <v>18582000</v>
      </c>
      <c r="E8" s="30">
        <f t="shared" si="2"/>
        <v>20138200</v>
      </c>
      <c r="F8" s="30">
        <f t="shared" si="2"/>
        <v>19056700</v>
      </c>
      <c r="G8" s="30">
        <f t="shared" si="2"/>
        <v>19601400</v>
      </c>
      <c r="H8" s="30">
        <f t="shared" si="2"/>
        <v>20192300</v>
      </c>
      <c r="I8" s="30">
        <f t="shared" si="2"/>
        <v>20696400</v>
      </c>
      <c r="J8" s="30">
        <f t="shared" si="2"/>
        <v>21211600</v>
      </c>
      <c r="K8" s="30">
        <f t="shared" si="2"/>
        <v>21742400</v>
      </c>
      <c r="L8" s="79">
        <f t="shared" si="2"/>
        <v>22286900</v>
      </c>
      <c r="M8" s="79">
        <f t="shared" si="2"/>
        <v>22847100</v>
      </c>
      <c r="N8" s="79">
        <f t="shared" si="2"/>
        <v>23418700</v>
      </c>
      <c r="O8" s="79">
        <f t="shared" si="2"/>
        <v>24008400</v>
      </c>
      <c r="P8" s="587">
        <f t="shared" si="2"/>
        <v>24599200</v>
      </c>
      <c r="Q8" s="77">
        <f>ROUND(SUM(SP!B320:B324)+SUM(SP!B430:'SP'!B458)++SUM(SP!B601:B605)+SUM(DEH!B218:B233)+DEH!B307+SUM(DEH!B340:B354)+SUM(DEH!B406:B411)+SUM(CIV!B753:B759)+SUM(CIV!B1090:B1092)+SUM(CIV!B1169:B1174)+SUM(CIV!B1282:B1291)+CIV!B1486+SUM(CIV!B1596:B1597)+SP!B728+GM!B676++GM!B965+SUM(GM!B1019:B1024)+SUM(CIV!B1793:B1796),-2)</f>
        <v>9283800</v>
      </c>
      <c r="R8" s="77">
        <f>ROUND(SUM(SP!C320:C324)+SUM(SP!C430:'SP'!C458)++SUM(SP!C601:C605)+SUM(DEH!C218:C233)+DEH!C307+SUM(DEH!C340:C354)+SUM(DEH!C406:C411)+SUM(CIV!C753:C759)+SUM(CIV!C1090:C1092)+SUM(CIV!C1169:C1174)+SUM(CIV!C1282:C1291)+CIV!C1486+SUM(CIV!C1596:C1597)+SP!C728+GM!C676++GM!C965+SUM(GM!C1019:C1024)+SUM(CIV!C1793:C1796),-2)</f>
        <v>9850700</v>
      </c>
      <c r="S8" s="77">
        <f>ROUND(SUM(SP!D320:D324)+SUM(SP!D430:'SP'!D458)++SUM(SP!D601:D605)+SUM(DEH!D218:D233)+DEH!D307+SUM(DEH!D340:D354)+SUM(DEH!D406:D411)+SUM(CIV!D753:D759)+SUM(CIV!D1090:D1092)+SUM(CIV!D1169:D1174)+SUM(CIV!D1282:D1291)+CIV!D1486+SUM(CIV!D1596:D1597)+SP!D728+GM!D676++GM!D965+SUM(GM!D1019:D1024)+SUM(CIV!D1793:D1796),-2)</f>
        <v>10785800</v>
      </c>
      <c r="T8" s="77">
        <f>ROUND(SUM(SP!E320:E324)+SUM(SP!E430:'SP'!E458)++SUM(SP!E601:E605)+SUM(DEH!E218:E233)+DEH!E307+SUM(DEH!E340:E354)+SUM(DEH!E406:E411)+SUM(CIV!E753:E759)+SUM(CIV!E1090:E1092)+SUM(CIV!E1169:E1174)+SUM(CIV!E1282:E1291)+CIV!E1486+SUM(CIV!E1596:E1597)+SP!E728+GM!E676++GM!E965+SUM(GM!E1019:E1024)+SUM(CIV!E1793:E1796),-2)</f>
        <v>10998500</v>
      </c>
      <c r="U8" s="77">
        <f>ROUND(SUM(SP!H320:H324)+SUM(SP!H430:'SP'!H458)++SUM(SP!H601:H605)+SUM(DEH!H218:H233)+DEH!H307+SUM(DEH!H340:H354)+SUM(DEH!H406:H411)+SUM(CIV!H753:H759)+SUM(CIV!H1090:H1092)+SUM(CIV!H1169:H1174)+SUM(CIV!H1282:H1291)+CIV!H1486+SUM(CIV!H1596:H1597)+SP!H728+GM!H676++GM!H965+SUM(GM!H1019:H1024)+SUM(CIV!H1793:H1796),-2)</f>
        <v>10705500</v>
      </c>
      <c r="V8" s="77">
        <f>ROUND(SUM(SP!J320:J324)+SUM(SP!J430:'SP'!J458)++SUM(SP!J601:J605)+SUM(DEH!J218:J233)+DEH!J307+SUM(DEH!J340:J354)+SUM(DEH!J406:J411)+SUM(CIV!J753:J759)+SUM(CIV!J1090:J1092)+SUM(CIV!J1169:J1174)+SUM(CIV!J1282:J1291)+CIV!J1486+SUM(CIV!J1596:J1597)+SP!J728+GM!J676++GM!J965+SUM(GM!J1019:J1024)+SUM(CIV!J1793:J1796),-2)</f>
        <v>11016700</v>
      </c>
      <c r="W8" s="77">
        <f>ROUND(SUM(SP!K320:K324)+SUM(SP!K430:'SP'!K458)++SUM(SP!K601:K605)+SUM(DEH!K218:K233)+DEH!K307+SUM(DEH!K340:K354)+SUM(DEH!K406:K411)+SUM(CIV!K753:K759)+SUM(CIV!K1090:K1092)+SUM(CIV!K1169:K1174)+SUM(CIV!K1282:K1291)+CIV!K1486+SUM(CIV!K1596:K1597)+SP!K728+GM!K676++GM!K965+SUM(GM!K1019:K1024)+SUM(CIV!K1793:K1796),-2)</f>
        <v>11368400</v>
      </c>
      <c r="X8" s="77">
        <f>ROUND(SUM(SP!L320:L324)+SUM(SP!L430:'SP'!L458)++SUM(SP!L601:L605)+SUM(DEH!L218:L233)+DEH!L307+SUM(DEH!L340:L354)+SUM(DEH!L406:L411)+SUM(CIV!L753:L759)+SUM(CIV!L1090:L1092)+SUM(CIV!L1169:L1174)+SUM(CIV!L1282:L1291)+CIV!L1486+SUM(CIV!L1596:L1597)+SP!L728+GM!L676++GM!L965+SUM(GM!L1019:L1024)+SUM(CIV!L1793:L1796),-2)</f>
        <v>11615200</v>
      </c>
      <c r="Y8" s="77">
        <f>ROUND(SUM(SP!M320:M324)+SUM(SP!M430:'SP'!M458)++SUM(SP!M601:M605)+SUM(DEH!M218:M233)+DEH!M307+SUM(DEH!M340:M354)+SUM(DEH!M406:M411)+SUM(CIV!M753:M759)+SUM(CIV!M1090:M1092)+SUM(CIV!M1169:M1174)+SUM(CIV!M1282:M1291)+CIV!M1486+SUM(CIV!M1596:M1597)+SP!M728+GM!M676++GM!M965+SUM(GM!M1019:M1024)+SUM(CIV!M1793:M1796),-2)</f>
        <v>11865000</v>
      </c>
      <c r="Z8" s="77">
        <f>ROUND(SUM(SP!N320:N324)+SUM(SP!N430:'SP'!N458)++SUM(SP!N601:N605)+SUM(DEH!N218:N233)+DEH!N307+SUM(DEH!N340:N354)+SUM(DEH!N406:N411)+SUM(CIV!N753:N759)+SUM(CIV!N1090:N1092)+SUM(CIV!N1169:N1174)+SUM(CIV!N1282:N1291)+CIV!N1486+SUM(CIV!N1596:N1597)+SP!N728+GM!N676++GM!N965+SUM(GM!N1019:N1024)+SUM(CIV!N1793:N1796),-2)</f>
        <v>12123000</v>
      </c>
      <c r="AA8" s="79">
        <f>ROUND(SUM(SP!O320:O324)+SUM(SP!O430:'SP'!O458)++SUM(SP!O601:O605)+SUM(DEH!O218:O233)+DEH!O307+SUM(DEH!O340:O354)+SUM(DEH!O406:O411)+SUM(CIV!O753:O759)+SUM(CIV!O1090:O1092)+SUM(CIV!O1169:O1174)+SUM(CIV!O1282:O1291)+CIV!O1486+SUM(CIV!O1596:O1597)+SP!O728+GM!O676++GM!O965+SUM(GM!O1019:O1024)+SUM(CIV!O1793:O1796),-2)</f>
        <v>12386500</v>
      </c>
      <c r="AB8" s="79">
        <f>ROUND(SUM(SP!P320:P324)+SUM(SP!P430:'SP'!P458)++SUM(SP!P601:P605)+SUM(DEH!P218:P233)+DEH!P307+SUM(DEH!P340:P354)+SUM(DEH!P406:P411)+SUM(CIV!P753:P759)+SUM(CIV!P1090:P1092)+SUM(CIV!P1169:P1174)+SUM(CIV!P1282:P1291)+CIV!P1486+SUM(CIV!P1596:P1597)+SP!P728+GM!P676++GM!P965+SUM(GM!P1019:P1024)+SUM(CIV!P1793:P1796),-2)</f>
        <v>12657500</v>
      </c>
      <c r="AC8" s="31">
        <f>ROUND(SUM(SP!Q320:Q324)+SUM(SP!Q430:'SP'!Q458)++SUM(SP!Q601:Q605)+SUM(DEH!Q218:Q233)+DEH!Q307+SUM(DEH!Q340:Q354)+SUM(DEH!Q406:Q411)+SUM(CIV!Q753:Q759)+SUM(CIV!Q1090:Q1092)+SUM(CIV!Q1169:Q1174)+SUM(CIV!Q1282:Q1291)+CIV!Q1486+SUM(CIV!Q1596:Q1597)+SP!Q728+GM!Q676++GM!Q965+SUM(GM!Q1019:Q1024)+SUM(CIV!Q1793:Q1796),-2)</f>
        <v>12932500</v>
      </c>
      <c r="AD8" s="31">
        <f>ROUND(SUM(SP!R320:R324)+SUM(SP!R430:'SP'!R458)++SUM(SP!R601:R605)+SUM(DEH!R218:R233)+DEH!R307+SUM(DEH!R340:R354)+SUM(DEH!R406:R411)+SUM(CIV!R753:R759)+SUM(CIV!R1090:R1092)+SUM(CIV!R1169:R1174)+SUM(CIV!R1282:R1291)+CIV!R1486+SUM(CIV!R1596:R1597)+SP!R728+GM!R676++GM!R965+SUM(GM!R1019:R1024)+SUM(CIV!R1793:R1796),-2)</f>
        <v>13216500</v>
      </c>
      <c r="AE8" s="582">
        <f>ROUND(SUM(SP!S320:S324)+SUM(SP!S430:'SP'!S458)++SUM(SP!S601:S605)+SUM(DEH!S218:S233)+DEH!S307+SUM(DEH!S340:S354)+SUM(DEH!S406:S411)+SUM(CIV!S753:S759)+SUM(CIV!S1090:S1092)+SUM(CIV!S1169:S1174)+SUM(CIV!S1282:S1291)+CIV!S1486+SUM(CIV!S1596:S1597)+SP!S728+GM!S676++GM!S965+SUM(GM!S1019:S1024)+SUM(CIV!S1793:S1796),-2)</f>
        <v>13492300</v>
      </c>
      <c r="AF8" s="77">
        <f>'W&amp;W'!B44</f>
        <v>6590600</v>
      </c>
      <c r="AG8" s="77">
        <f>'W&amp;W'!C44</f>
        <v>6432000</v>
      </c>
      <c r="AH8" s="79">
        <f>'W&amp;W'!D44</f>
        <v>6654300</v>
      </c>
      <c r="AI8" s="79">
        <f>'W&amp;W'!E44</f>
        <v>7771200</v>
      </c>
      <c r="AJ8" s="79">
        <f>+'W&amp;W'!H44</f>
        <v>7000200</v>
      </c>
      <c r="AK8" s="79">
        <f>+'W&amp;W'!J44</f>
        <v>7161500</v>
      </c>
      <c r="AL8" s="79">
        <f>+'W&amp;W'!K44</f>
        <v>7327100</v>
      </c>
      <c r="AM8" s="79">
        <f>+'W&amp;W'!L44</f>
        <v>7509700</v>
      </c>
      <c r="AN8" s="79">
        <f>+'W&amp;W'!M44</f>
        <v>7735300</v>
      </c>
      <c r="AO8" s="79">
        <f>+'W&amp;W'!N44</f>
        <v>7967900</v>
      </c>
      <c r="AP8" s="79">
        <f>+'W&amp;W'!O44</f>
        <v>8207500</v>
      </c>
      <c r="AQ8" s="79">
        <f>+'W&amp;W'!P44</f>
        <v>8454100</v>
      </c>
      <c r="AR8" s="79">
        <f>+'W&amp;W'!Q44</f>
        <v>8706800</v>
      </c>
      <c r="AS8" s="79">
        <f>+'W&amp;W'!R44</f>
        <v>8967500</v>
      </c>
      <c r="AT8" s="587">
        <f>+'W&amp;W'!S44</f>
        <v>9236200</v>
      </c>
      <c r="AU8" s="77">
        <f>'W&amp;W'!B107</f>
        <v>1098100</v>
      </c>
      <c r="AV8" s="77">
        <f>'W&amp;W'!C107</f>
        <v>1038400</v>
      </c>
      <c r="AW8" s="79">
        <f>'W&amp;W'!D107</f>
        <v>1141900</v>
      </c>
      <c r="AX8" s="79">
        <f>'W&amp;W'!E107</f>
        <v>1368500</v>
      </c>
      <c r="AY8" s="79">
        <f>'W&amp;W'!H107</f>
        <v>1351000</v>
      </c>
      <c r="AZ8" s="79">
        <f>'W&amp;W'!J107</f>
        <v>1423200</v>
      </c>
      <c r="BA8" s="79">
        <f>'W&amp;W'!K107</f>
        <v>1496800</v>
      </c>
      <c r="BB8" s="79">
        <f>'W&amp;W'!L107</f>
        <v>1571500</v>
      </c>
      <c r="BC8" s="79">
        <f>'W&amp;W'!M107</f>
        <v>1611300</v>
      </c>
      <c r="BD8" s="79">
        <f>'W&amp;W'!N107</f>
        <v>1651500</v>
      </c>
      <c r="BE8" s="79">
        <f>'W&amp;W'!O107</f>
        <v>1692900</v>
      </c>
      <c r="BF8" s="79">
        <f>'W&amp;W'!P107</f>
        <v>1735500</v>
      </c>
      <c r="BG8" s="79">
        <f>'W&amp;W'!Q107</f>
        <v>1779400</v>
      </c>
      <c r="BH8" s="79">
        <f>'W&amp;W'!R107</f>
        <v>1824400</v>
      </c>
      <c r="BI8" s="78">
        <f>'W&amp;W'!S107</f>
        <v>1870700</v>
      </c>
    </row>
    <row r="9" spans="1:61" x14ac:dyDescent="0.2">
      <c r="A9" s="1688" t="s">
        <v>1661</v>
      </c>
      <c r="B9" s="1899">
        <f t="shared" si="2"/>
        <v>3487400</v>
      </c>
      <c r="C9" s="31">
        <f t="shared" si="2"/>
        <v>2539400</v>
      </c>
      <c r="D9" s="30">
        <f t="shared" si="2"/>
        <v>2133600</v>
      </c>
      <c r="E9" s="30">
        <f t="shared" si="2"/>
        <v>2299200</v>
      </c>
      <c r="F9" s="30">
        <f t="shared" si="2"/>
        <v>1659900</v>
      </c>
      <c r="G9" s="30">
        <f t="shared" si="2"/>
        <v>1856600</v>
      </c>
      <c r="H9" s="30">
        <f t="shared" si="2"/>
        <v>1900700</v>
      </c>
      <c r="I9" s="30">
        <f t="shared" si="2"/>
        <v>1589000</v>
      </c>
      <c r="J9" s="30">
        <f t="shared" si="2"/>
        <v>1635200</v>
      </c>
      <c r="K9" s="30">
        <f t="shared" si="2"/>
        <v>1563800</v>
      </c>
      <c r="L9" s="79">
        <f t="shared" si="2"/>
        <v>1583000</v>
      </c>
      <c r="M9" s="79">
        <f t="shared" si="2"/>
        <v>1663300</v>
      </c>
      <c r="N9" s="79">
        <f t="shared" si="2"/>
        <v>1799200</v>
      </c>
      <c r="O9" s="79">
        <f t="shared" si="2"/>
        <v>2097900</v>
      </c>
      <c r="P9" s="587">
        <f t="shared" si="2"/>
        <v>2406000</v>
      </c>
      <c r="Q9" s="77">
        <f>ROUND(SP!B59+SUM(CIV!B1032:'CIV'!B1034)+CIV!B1599+CIV!B1802+CIV!B1992+CIV!B1537+SUM(GM!B566:B572)+SUM(GM!B857:B860)+SUM(GM!B578:B582)+GM!B1029+GM!B616,-2)</f>
        <v>2105100</v>
      </c>
      <c r="R9" s="77">
        <f>ROUND(SP!C59+SUM(CIV!C1032:'CIV'!C1034)+CIV!C1599+CIV!C1802+CIV!C1992+CIV!C1537+SUM(GM!C566:C572)+SUM(GM!C857:C860)+SUM(GM!C578:C582)+GM!C1029+GM!C616,-2)</f>
        <v>1449300</v>
      </c>
      <c r="S9" s="77">
        <f>ROUND(SP!D59+SUM(CIV!D1032:'CIV'!D1034)+CIV!D1599+CIV!D1802+CIV!D1992+CIV!D1537+SUM(GM!D566:D572)+SUM(GM!D857:D860)+SUM(GM!D578:D582)+GM!D1029+GM!D616,-2)</f>
        <v>1298100</v>
      </c>
      <c r="T9" s="77">
        <f>ROUND(SP!E59+SUM(CIV!E1032:'CIV'!E1034)+CIV!E1599+CIV!E1802+CIV!E1992+CIV!E1537+SUM(GM!E566:E572)+SUM(GM!E857:E860)+SUM(GM!E578:E582)+GM!E1029+GM!E616,-2)</f>
        <v>1462800</v>
      </c>
      <c r="U9" s="77">
        <f>ROUND(SP!H59+SUM(CIV!H1032:'CIV'!H1034)+CIV!H1599+CIV!H1802+CIV!H1992+CIV!H1537+SUM(GM!H566:H572)+SUM(GM!H857:H860)+SUM(GM!H578:H582)+GM!H1029+GM!H616,-2)</f>
        <v>982900</v>
      </c>
      <c r="V9" s="77">
        <f>ROUND(SP!J59+SUM(CIV!J1032:'CIV'!J1034)+CIV!J1599+CIV!J1802+CIV!J1992+CIV!J1537+SUM(GM!J566:J572)+SUM(GM!J857:J860)+SUM(GM!J578:J582)+GM!J1029+GM!J616,-2)</f>
        <v>1116800</v>
      </c>
      <c r="W9" s="77">
        <f>ROUND(SP!K59+SUM(CIV!K1032:'CIV'!K1034)+CIV!K1599+CIV!K1802+CIV!K1992+CIV!K1537+SUM(GM!K566:K572)+SUM(GM!K857:K860)+SUM(GM!K578:K582)+GM!K1029+GM!K616,-2)</f>
        <v>1300400</v>
      </c>
      <c r="X9" s="77">
        <f>ROUND(SP!L59+SUM(CIV!L1032:'CIV'!L1034)+CIV!L1599+CIV!L1802+CIV!L1992+CIV!L1537+SUM(GM!L566:L572)+SUM(GM!L857:L860)+SUM(GM!L578:L582)+GM!L1029+GM!L616,-2)</f>
        <v>1043100</v>
      </c>
      <c r="Y9" s="77">
        <f>ROUND(SP!M59+SUM(CIV!M1032:'CIV'!M1034)+CIV!M1599+CIV!M1802+CIV!M1992+CIV!M1537+SUM(GM!M566:M572)+SUM(GM!M857:M860)+SUM(GM!M578:M582)+GM!M1029+GM!M616,-2)</f>
        <v>1014800</v>
      </c>
      <c r="Z9" s="77">
        <f>ROUND(SP!N59+SUM(CIV!N1032:'CIV'!N1034)+CIV!N1599+CIV!N1802+CIV!N1992+CIV!N1537+SUM(GM!N566:N572)+SUM(GM!N857:N860)+SUM(GM!N578:N582)+GM!N1029+GM!N616,-2)</f>
        <v>1042600</v>
      </c>
      <c r="AA9" s="77">
        <f>ROUND(SP!O59+SUM(CIV!O1032:'CIV'!O1034)+CIV!O1599+CIV!O1802+CIV!O1992+CIV!O1537+SUM(GM!O566:O572)+SUM(GM!O857:O860)+SUM(GM!O578:O582)+GM!O1029+GM!O616,-2)</f>
        <v>1139900</v>
      </c>
      <c r="AB9" s="79">
        <f>ROUND(SP!P59+SUM(CIV!P1032:'CIV'!P1034)+CIV!P1599+CIV!P1802+CIV!P1992+CIV!P1537+SUM(GM!P566:P572)+SUM(GM!P857:P860)+SUM(GM!P578:P582)+GM!P1029+GM!P616,-2)</f>
        <v>1231300</v>
      </c>
      <c r="AC9" s="31">
        <f>ROUND(SP!Q59+SUM(CIV!Q1032:'CIV'!Q1034)+CIV!Q1599+CIV!Q1802+CIV!Q1992+CIV!Q1537+SUM(GM!Q566:Q572)+SUM(GM!Q857:Q860)+SUM(GM!Q578:Q582)+GM!Q1029+GM!Q616,-2)</f>
        <v>1394700</v>
      </c>
      <c r="AD9" s="31">
        <f>ROUND(SP!R59+SUM(CIV!R1032:'CIV'!R1034)+CIV!R1599+CIV!R1802+CIV!R1992+CIV!R1537+SUM(GM!R566:R572)+SUM(GM!R857:R860)+SUM(GM!R578:R582)+GM!R1029+GM!R616,-2)</f>
        <v>1536700</v>
      </c>
      <c r="AE9" s="582">
        <f>ROUND(SP!S59+SUM(CIV!S1032:'CIV'!S1034)+CIV!S1599+CIV!S1802+CIV!S1992+CIV!S1537+SUM(GM!S566:S572)+SUM(GM!S857:S860)+SUM(GM!S578:S582)+GM!S1029+GM!S616,-2)</f>
        <v>1671200</v>
      </c>
      <c r="AF9" s="77">
        <f>'W&amp;W'!B47</f>
        <v>413500</v>
      </c>
      <c r="AG9" s="77">
        <f>'W&amp;W'!C47</f>
        <v>417400</v>
      </c>
      <c r="AH9" s="79">
        <f>'W&amp;W'!D47</f>
        <v>339000</v>
      </c>
      <c r="AI9" s="79">
        <f>'W&amp;W'!E47</f>
        <v>343900</v>
      </c>
      <c r="AJ9" s="30">
        <f>'W&amp;W'!H47</f>
        <v>368800</v>
      </c>
      <c r="AK9" s="30">
        <f>'W&amp;W'!J47</f>
        <v>468300</v>
      </c>
      <c r="AL9" s="30">
        <f>'W&amp;W'!K47</f>
        <v>382400</v>
      </c>
      <c r="AM9" s="30">
        <f>'W&amp;W'!L47</f>
        <v>356900</v>
      </c>
      <c r="AN9" s="30">
        <f>'W&amp;W'!M47</f>
        <v>380600</v>
      </c>
      <c r="AO9" s="30">
        <f>'W&amp;W'!N47</f>
        <v>277700</v>
      </c>
      <c r="AP9" s="79">
        <f>'W&amp;W'!O47</f>
        <v>212900</v>
      </c>
      <c r="AQ9" s="79">
        <f>'W&amp;W'!P47</f>
        <v>151800</v>
      </c>
      <c r="AR9" s="79">
        <f>'W&amp;W'!Q47</f>
        <v>100400</v>
      </c>
      <c r="AS9" s="79">
        <f>'W&amp;W'!R47</f>
        <v>138000</v>
      </c>
      <c r="AT9" s="587">
        <f>'W&amp;W'!S47</f>
        <v>182000</v>
      </c>
      <c r="AU9" s="77">
        <f>'W&amp;W'!B110</f>
        <v>968800</v>
      </c>
      <c r="AV9" s="77">
        <f>'W&amp;W'!C110</f>
        <v>672700</v>
      </c>
      <c r="AW9" s="79">
        <f>'W&amp;W'!D110</f>
        <v>496500</v>
      </c>
      <c r="AX9" s="79">
        <f>'W&amp;W'!E110</f>
        <v>492500</v>
      </c>
      <c r="AY9" s="79">
        <f>'W&amp;W'!H110</f>
        <v>308200</v>
      </c>
      <c r="AZ9" s="79">
        <f>'W&amp;W'!J110</f>
        <v>271500</v>
      </c>
      <c r="BA9" s="79">
        <f>'W&amp;W'!K110</f>
        <v>217900</v>
      </c>
      <c r="BB9" s="79">
        <f>'W&amp;W'!L110</f>
        <v>189000</v>
      </c>
      <c r="BC9" s="79">
        <f>'W&amp;W'!M110</f>
        <v>239800</v>
      </c>
      <c r="BD9" s="79">
        <f>'W&amp;W'!N110</f>
        <v>243500</v>
      </c>
      <c r="BE9" s="79">
        <f>'W&amp;W'!O110</f>
        <v>230200</v>
      </c>
      <c r="BF9" s="79">
        <f>'W&amp;W'!P110</f>
        <v>280200</v>
      </c>
      <c r="BG9" s="79">
        <f>'W&amp;W'!Q110</f>
        <v>304100</v>
      </c>
      <c r="BH9" s="79">
        <f>'W&amp;W'!R110</f>
        <v>423200</v>
      </c>
      <c r="BI9" s="78">
        <f>'W&amp;W'!S110</f>
        <v>552800</v>
      </c>
    </row>
    <row r="10" spans="1:61" x14ac:dyDescent="0.2">
      <c r="A10" s="1688" t="s">
        <v>665</v>
      </c>
      <c r="B10" s="1899">
        <f t="shared" si="2"/>
        <v>5800400</v>
      </c>
      <c r="C10" s="1300">
        <f t="shared" si="2"/>
        <v>5810400</v>
      </c>
      <c r="D10" s="1894">
        <f t="shared" si="2"/>
        <v>4204300</v>
      </c>
      <c r="E10" s="1894">
        <f t="shared" si="2"/>
        <v>5868900</v>
      </c>
      <c r="F10" s="1894">
        <f t="shared" si="2"/>
        <v>6395500</v>
      </c>
      <c r="G10" s="1894">
        <f t="shared" si="2"/>
        <v>6518700</v>
      </c>
      <c r="H10" s="1894">
        <f t="shared" si="2"/>
        <v>6581300</v>
      </c>
      <c r="I10" s="1894">
        <f t="shared" si="2"/>
        <v>6777100</v>
      </c>
      <c r="J10" s="1894">
        <f t="shared" si="2"/>
        <v>6952400</v>
      </c>
      <c r="K10" s="1894">
        <f t="shared" si="2"/>
        <v>7132900</v>
      </c>
      <c r="L10" s="79">
        <f t="shared" si="2"/>
        <v>7407000</v>
      </c>
      <c r="M10" s="79">
        <f t="shared" si="2"/>
        <v>7506700</v>
      </c>
      <c r="N10" s="79">
        <f t="shared" si="2"/>
        <v>7701200</v>
      </c>
      <c r="O10" s="79">
        <f t="shared" si="2"/>
        <v>7900700</v>
      </c>
      <c r="P10" s="587">
        <f t="shared" si="2"/>
        <v>8105500</v>
      </c>
      <c r="Q10" s="77">
        <f>ROUND('Cash-Gen'!A44-Q11-Q7-Q8-Q9-Q12,-2)</f>
        <v>4577300</v>
      </c>
      <c r="R10" s="1401">
        <f>ROUND('Cash-Gen'!B44-R11-R7-R8-R9-R12,-2)</f>
        <v>4544100</v>
      </c>
      <c r="S10" s="1401">
        <f>ROUND('Cash-Gen'!C44-S11-S7-S8-S9-S12,-2)</f>
        <v>2923300</v>
      </c>
      <c r="T10" s="1401">
        <f>ROUND('Cash-Gen'!D44-T11-T7-T8-T9-T12,-2)</f>
        <v>4651000</v>
      </c>
      <c r="U10" s="1401">
        <f>ROUND('Cash-Gen'!F44-U11-U7-U8-U9-U12-U32,-2)</f>
        <v>5091000</v>
      </c>
      <c r="V10" s="1401">
        <f>ROUND('Cash-Gen'!G44-V11-V7-V8-V9-V12-V32,-2)</f>
        <v>5183500</v>
      </c>
      <c r="W10" s="1401">
        <f>ROUND('Cash-Gen'!H44-W11-W7-W8-W9-W12-W32,-2)</f>
        <v>5212200</v>
      </c>
      <c r="X10" s="1401">
        <f>ROUND('Cash-Gen'!I44-X11-X7-X8-X9-X12-X32,-2)</f>
        <v>5373100</v>
      </c>
      <c r="Y10" s="1401">
        <f>ROUND('Cash-Gen'!J44-Y11-Y7-Y8-Y9-Y12-Y32,-2)</f>
        <v>5512700</v>
      </c>
      <c r="Z10" s="1401">
        <f>ROUND('Cash-Gen'!K44-Z11-Z7-Z8-Z9-Z12-Z32,-2)</f>
        <v>5656700</v>
      </c>
      <c r="AA10" s="1401">
        <f>ROUND('Cash-Gen'!L44-AA11-AA7-AA8-AA9-AA12-AA32,-2)</f>
        <v>5893400</v>
      </c>
      <c r="AB10" s="79">
        <f>ROUND('Cash-Gen'!M44-AB11-AB7-AB8-AB9-AB12-AB32,-2)</f>
        <v>5954700</v>
      </c>
      <c r="AC10" s="31">
        <f>ROUND('Cash-Gen'!N44-AC11-AC7-AC8-AC9-AC12-AC32,-2)</f>
        <v>6109800</v>
      </c>
      <c r="AD10" s="31">
        <f>ROUND('Cash-Gen'!O44-AD11-AD7-AD8-AD9-AD12-AD32,-2)</f>
        <v>6268900</v>
      </c>
      <c r="AE10" s="582">
        <f>ROUND('Cash-Gen'!P44-AE11-AE7-AE8-AE9-AE12-AE32,-2)</f>
        <v>6432200</v>
      </c>
      <c r="AF10" s="77">
        <f>'Cash-W'!A6-AF7-AF8-AF11-AF9</f>
        <v>672700</v>
      </c>
      <c r="AG10" s="77">
        <f>'Cash-W'!B6-AG7-AG8-AG11-AG9-AG12</f>
        <v>797900</v>
      </c>
      <c r="AH10" s="77">
        <f>'Cash-W'!C6-AH7-AH8-AH11-AH9</f>
        <v>822400</v>
      </c>
      <c r="AI10" s="77">
        <f>'Cash-W'!D6-AI7-AI8-AI11-AI9</f>
        <v>762900</v>
      </c>
      <c r="AJ10" s="30">
        <f>'Cash-W'!G6-AJ7-AJ8-AJ11-AJ9-AJ12</f>
        <v>825900</v>
      </c>
      <c r="AK10" s="30">
        <f>'Cash-W'!H6-AK7-AK8-AK11-AK9-AK12</f>
        <v>845200</v>
      </c>
      <c r="AL10" s="30">
        <f>'Cash-W'!I6-AL7-AL8-AL11-AL9-AL12</f>
        <v>866600</v>
      </c>
      <c r="AM10" s="30">
        <f>'Cash-W'!J6-AM7-AM8-AM11-AM9-AM12</f>
        <v>888600</v>
      </c>
      <c r="AN10" s="30">
        <f>'Cash-W'!K6-AN7-AN8-AN11-AN9-AN12</f>
        <v>911100</v>
      </c>
      <c r="AO10" s="30">
        <f>'Cash-W'!L6-AO7-AO8-AO11-AO9-AO12</f>
        <v>934100</v>
      </c>
      <c r="AP10" s="79">
        <f>'Cash-W'!M6-AP7-AP8-AP11-AP9-AP12</f>
        <v>957800</v>
      </c>
      <c r="AQ10" s="79">
        <f>'Cash-W'!N6-AQ7-AQ8-AQ11-AQ9-AQ12</f>
        <v>981900</v>
      </c>
      <c r="AR10" s="79">
        <f>'Cash-W'!O6-AR7-AR8-AR11-AR9-AR12</f>
        <v>1006700</v>
      </c>
      <c r="AS10" s="79">
        <f>'Cash-W'!P6-AS7-AS8-AS11-AS9-AS12</f>
        <v>1032100</v>
      </c>
      <c r="AT10" s="587">
        <f>'Cash-W'!Q6-AT7-AT8-AT11-AT9-AT12</f>
        <v>1058200</v>
      </c>
      <c r="AU10" s="77">
        <f>'W&amp;W'!B113-Summaries!AU7-Summaries!AU8-Summaries!AU9-Summaries!AU11-Summaries!AU12</f>
        <v>550400</v>
      </c>
      <c r="AV10" s="77">
        <f>'W&amp;W'!C113-Summaries!AV7-Summaries!AV8-Summaries!AV9-Summaries!AV11-Summaries!AV12</f>
        <v>468400</v>
      </c>
      <c r="AW10" s="77">
        <f>'W&amp;W'!D113-Summaries!AW7-Summaries!AW8-Summaries!AW9-Summaries!AW11-Summaries!AW12</f>
        <v>458600</v>
      </c>
      <c r="AX10" s="77">
        <f>'W&amp;W'!E113-Summaries!AX7-Summaries!AX8-Summaries!AX9-Summaries!AX11-Summaries!AX12</f>
        <v>455000</v>
      </c>
      <c r="AY10" s="77">
        <f>'W&amp;W'!H113-Summaries!AY7-Summaries!AY8-Summaries!AY9-Summaries!AY11-Summaries!AY12</f>
        <v>478600</v>
      </c>
      <c r="AZ10" s="77">
        <f>'W&amp;W'!J113-Summaries!AZ7-Summaries!AZ8-Summaries!AZ9-Summaries!AZ11-Summaries!AZ12</f>
        <v>490000</v>
      </c>
      <c r="BA10" s="77">
        <f>'W&amp;W'!K113-Summaries!BA7-Summaries!BA8-Summaries!BA9-Summaries!BA11-Summaries!BA12</f>
        <v>502500</v>
      </c>
      <c r="BB10" s="77">
        <f>'W&amp;W'!L113-Summaries!BB7-Summaries!BB8-Summaries!BB9-Summaries!BB11-Summaries!BB12</f>
        <v>515400</v>
      </c>
      <c r="BC10" s="77">
        <f>'W&amp;W'!M113-Summaries!BC7-Summaries!BC8-Summaries!BC9-Summaries!BC11-Summaries!BC12</f>
        <v>528600</v>
      </c>
      <c r="BD10" s="77">
        <f>'W&amp;W'!N113-Summaries!BD7-Summaries!BD8-Summaries!BD9-Summaries!BD11-Summaries!BD12</f>
        <v>542100</v>
      </c>
      <c r="BE10" s="79">
        <f>'W&amp;W'!O113-Summaries!BE7-Summaries!BE8-Summaries!BE9-Summaries!BE11-Summaries!BE12</f>
        <v>555800</v>
      </c>
      <c r="BF10" s="79">
        <f>'W&amp;W'!P113-Summaries!BF7-Summaries!BF8-Summaries!BF9-Summaries!BF11-Summaries!BF12</f>
        <v>570100</v>
      </c>
      <c r="BG10" s="79">
        <f>'W&amp;W'!Q113-Summaries!BG7-Summaries!BG8-Summaries!BG9-Summaries!BG11-Summaries!BG12</f>
        <v>584700</v>
      </c>
      <c r="BH10" s="79">
        <f>'W&amp;W'!R113-Summaries!BH7-Summaries!BH8-Summaries!BH9-Summaries!BH11-Summaries!BH12</f>
        <v>599700</v>
      </c>
      <c r="BI10" s="78">
        <f>'W&amp;W'!S113-Summaries!BI7-Summaries!BI8-Summaries!BI9-Summaries!BI11-Summaries!BI12</f>
        <v>615100</v>
      </c>
    </row>
    <row r="11" spans="1:61" x14ac:dyDescent="0.2">
      <c r="A11" s="1688" t="s">
        <v>677</v>
      </c>
      <c r="B11" s="1899">
        <f t="shared" si="2"/>
        <v>6082300</v>
      </c>
      <c r="C11" s="1300">
        <f t="shared" si="2"/>
        <v>7833600</v>
      </c>
      <c r="D11" s="1894">
        <f t="shared" si="2"/>
        <v>9389200</v>
      </c>
      <c r="E11" s="1894">
        <f t="shared" si="2"/>
        <v>12037300</v>
      </c>
      <c r="F11" s="1894">
        <f t="shared" si="2"/>
        <v>8038500</v>
      </c>
      <c r="G11" s="1894">
        <f t="shared" si="2"/>
        <v>7533900</v>
      </c>
      <c r="H11" s="1894">
        <f t="shared" si="2"/>
        <v>7767700</v>
      </c>
      <c r="I11" s="1894">
        <f t="shared" si="2"/>
        <v>7773200</v>
      </c>
      <c r="J11" s="1894">
        <f t="shared" si="2"/>
        <v>7879800</v>
      </c>
      <c r="K11" s="1894">
        <f t="shared" si="2"/>
        <v>7990800</v>
      </c>
      <c r="L11" s="79">
        <f t="shared" si="2"/>
        <v>8137800</v>
      </c>
      <c r="M11" s="79">
        <f t="shared" si="2"/>
        <v>8297800</v>
      </c>
      <c r="N11" s="79">
        <f t="shared" si="2"/>
        <v>8463500</v>
      </c>
      <c r="O11" s="79">
        <f t="shared" si="2"/>
        <v>8632700</v>
      </c>
      <c r="P11" s="587">
        <f t="shared" si="2"/>
        <v>8805500</v>
      </c>
      <c r="Q11" s="77">
        <f>ROUND(SUM(SP!B326:B335)+SUM(SP!B112:B114)++SUM(SP!B796:B797)+DEH!B235+SUM(CIV!B760:B764)+SUM(CIV!B962:B963)+SUM(CIV!B1026:B1030)+SUM(CIV!B1093:B1098)++SUM(CIV!B1292:B1297)+CIV!B1403+CIV!B1534++CIV!B1670+SUM(CIV!B1797:B1798)+CIV!B1990+GM!B448+SUM(GM!B573:B577)+SP!B672+SUM(GM!B727:B731)++SUM(CIV!B1164:B1168)+DEH!B127+CIV!B1231+++GM!B1027+SUM(GM!B854:B856),-2)</f>
        <v>5779700</v>
      </c>
      <c r="R11" s="77">
        <f>ROUND(SUM(SP!C326:C335)+SUM(SP!C112:C114)++SUM(SP!C796:C797)+DEH!C235+SUM(CIV!C760:C764)+SUM(CIV!C962:C963)+SUM(CIV!C1026:C1030)+SUM(CIV!C1093:C1098)++SUM(CIV!C1292:C1297)+CIV!C1403+CIV!C1534++CIV!C1670+SUM(CIV!C1797:C1798)+CIV!C1990+GM!C448+SUM(GM!C573:C577)+SP!C672+SUM(GM!C727:C731)++SUM(CIV!C1164:C1168)+DEH!C127+CIV!C1231+++GM!C1027+SUM(GM!C854:C856),-2)</f>
        <v>7529300</v>
      </c>
      <c r="S11" s="77">
        <f>ROUND(SUM(SP!D326:D335)+SUM(SP!D112:D114)+SUM(SP!D796:D797)+DEH!D235+SUM(CIV!D760:D764)+SUM(CIV!D962:D963)+SUM(CIV!D1026:D1030)+SUM(CIV!D1093:D1098)++SUM(CIV!D1292:D1297)+CIV!D1403+CIV!D1534++CIV!D1670+SUM(CIV!D1797:D1798)+CIV!D1990+GM!D448+SUM(GM!D573:D577)+SP!D672+SUM(GM!D727:D731)++SUM(CIV!D1164:D1168)+DEH!D127+CIV!D1231+++GM!D1027+SUM(GM!D854:D856),-2)+'Cap Inc'!B25+'Cap Inc'!B26+'Cap Inc'!B39+'Cap Inc'!B55+'Cap Inc'!B56+'Cap Inc'!B57</f>
        <v>9075200</v>
      </c>
      <c r="T11" s="77">
        <f>ROUND(SUM(SP!E326:E335)+SUM(SP!E112:E114)++SUM(SP!E796:E797)+DEH!E235+SUM(CIV!E760:E764)+SUM(CIV!E962:E963)+SUM(CIV!E1026:E1030)+SUM(CIV!E1093:E1098)++SUM(CIV!E1292:E1297)+CIV!E1403+CIV!E1534++CIV!E1670+SUM(CIV!E1797:E1798)+CIV!E1990+GM!E448+SUM(GM!E573:E577)+SP!E672+SUM(GM!E727:E731)++SUM(CIV!E1164:E1168)+DEH!E127+CIV!E1231+++GM!E1027+SUM(GM!E854:E856),-2)+'Cap Inc'!C25+'Cap Inc'!C26+'Cap Inc'!C39+'Cap Inc'!C55+'Cap Inc'!C56+'Cap Inc'!C57</f>
        <v>11718300</v>
      </c>
      <c r="U11" s="77">
        <f>ROUND(SUM(SP!H326:H335)+SUM(SP!H112:H114)++SUM(SP!H796:H797)+DEH!H235+SUM(CIV!H760:H764)+SUM(CIV!H962:H963)+SUM(CIV!H1026:H1030)+SUM(CIV!H1093:H1098)++SUM(CIV!H1292:H1297)+CIV!H1403+CIV!H1534++CIV!H1670+SUM(CIV!H1797:H1798)+CIV!H1990+GM!H448+SUM(GM!H573:H577)+SP!H672+SUM(GM!H727:H731)++SUM(CIV!H1164:H1168)+DEH!H127+CIV!H1231+++GM!H1027+SUM(GM!H854:H856),-2)+'Cap Inc'!F25+'Cap Inc'!F26+'Cap Inc'!F39+'Cap Inc'!F55+'Cap Inc'!F56+'Cap Inc'!F57</f>
        <v>7750900</v>
      </c>
      <c r="V11" s="77">
        <f>ROUND(SUM(SP!J326:J335)+SUM(SP!J112:J114)++SUM(SP!J796:J797)+DEH!J235+SUM(CIV!J760:J764)+SUM(CIV!J962:J963)+SUM(CIV!J1026:J1030)+SUM(CIV!J1093:J1098)++SUM(CIV!J1292:J1297)+CIV!J1403+CIV!J1534++CIV!J1670+SUM(CIV!J1797:J1798)+CIV!J1990+GM!J448+SUM(GM!J573:J577)+SP!J672+SUM(GM!J727:J731)++SUM(CIV!J1164:J1168)+DEH!J127+CIV!J1231+++GM!J1027+SUM(GM!J854:J856),-2)+'Cap Inc'!G25+'Cap Inc'!G26+'Cap Inc'!G39+'Cap Inc'!G55+'Cap Inc'!G56+'Cap Inc'!G57</f>
        <v>7244700</v>
      </c>
      <c r="W11" s="77">
        <f>ROUND(SUM(SP!K326:K335)+SUM(SP!K112:K114)++SUM(SP!K796:K797)+DEH!K235+SUM(CIV!K760:K764)+SUM(CIV!K962:K963)+SUM(CIV!K1026:K1030)+SUM(CIV!K1093:K1098)++SUM(CIV!K1292:K1297)+CIV!K1403+CIV!K1534++CIV!K1670+SUM(CIV!K1797:K1798)+CIV!K1990+GM!K448+SUM(GM!K573:K577)+SP!K672+SUM(GM!K727:K731)++SUM(CIV!K1164:K1168)+DEH!K127+CIV!K1231+++GM!K1027+SUM(GM!K854:K856),-2)+'Cap Inc'!H25+'Cap Inc'!H26+'Cap Inc'!H39+'Cap Inc'!H55+'Cap Inc'!H56+'Cap Inc'!H57</f>
        <v>7476700</v>
      </c>
      <c r="X11" s="77">
        <f>ROUND(SUM(SP!L326:L335)+SUM(SP!L112:L114)++SUM(SP!L796:L797)+DEH!L235+SUM(CIV!L760:L764)+SUM(CIV!L962:L963)+SUM(CIV!L1026:L1030)+SUM(CIV!L1093:L1098)++SUM(CIV!L1292:L1297)+CIV!L1403+CIV!L1534++CIV!L1670+SUM(CIV!L1797:L1798)+CIV!L1990+GM!L448+SUM(GM!L573:L577)+SP!L672+SUM(GM!L727:L731)++SUM(CIV!L1164:L1168)+DEH!L127+CIV!L1231+++GM!L1027+SUM(GM!L854:L856),-2)+'Cap Inc'!I25+'Cap Inc'!I26+'Cap Inc'!I39+'Cap Inc'!I55+'Cap Inc'!I56+'Cap Inc'!I57</f>
        <v>7480600</v>
      </c>
      <c r="Y11" s="77">
        <f>ROUND(SUM(SP!M326:M335)+SUM(SP!M112:M114)++SUM(SP!M796:M797)+DEH!M235+SUM(CIV!M760:M764)+SUM(CIV!M962:M963)+SUM(CIV!M1026:M1030)+SUM(CIV!M1093:M1098)++SUM(CIV!M1292:M1297)+CIV!M1403+CIV!M1534++CIV!M1670+SUM(CIV!M1797:M1798)+CIV!M1990+GM!M448+SUM(GM!M573:M577)+SP!M672+SUM(GM!M727:M731)++SUM(CIV!M1164:M1168)+DEH!M127+CIV!M1231+++GM!M1027+SUM(GM!M854:M856),-2)+'Cap Inc'!J25+'Cap Inc'!J26+'Cap Inc'!J39+'Cap Inc'!J55+'Cap Inc'!J56+'Cap Inc'!J57</f>
        <v>7585500</v>
      </c>
      <c r="Z11" s="77">
        <f>ROUND(SUM(SP!N326:N335)+SUM(SP!N112:N114)++SUM(SP!N796:N797)+DEH!N235+SUM(CIV!N760:N764)+SUM(CIV!N962:N963)+SUM(CIV!N1026:N1030)+SUM(CIV!N1093:N1098)++SUM(CIV!N1292:N1297)+CIV!N1403+CIV!N1534++CIV!N1670+SUM(CIV!N1797:N1798)+CIV!N1990+GM!N448+SUM(GM!N573:N577)+SP!N672+SUM(GM!N727:N731)++SUM(CIV!N1164:N1168)+DEH!N127+CIV!N1231+++GM!N1027+SUM(GM!N854:N856),-2)+'Cap Inc'!K25+'Cap Inc'!K26+'Cap Inc'!K39+'Cap Inc'!K55+'Cap Inc'!K56+'Cap Inc'!K57</f>
        <v>7694800</v>
      </c>
      <c r="AA11" s="77">
        <f>ROUND(SUM(SP!O326:O335)+SUM(SP!O112:O114)++SUM(SP!O796:O797)+DEH!O235+SUM(CIV!O760:O764)+SUM(CIV!O962:O963)+SUM(CIV!O1026:O1030)+SUM(CIV!O1093:O1098)++SUM(CIV!O1292:O1297)+CIV!O1403+CIV!O1534++CIV!O1670+SUM(CIV!O1797:O1798)+CIV!O1990+GM!O448+SUM(GM!O573:O577)+SP!O672+SUM(GM!O727:O731)++SUM(CIV!O1164:O1168)+DEH!O127+CIV!O1231+++GM!O1027+SUM(GM!O854:O856),-2)+'Cap Inc'!L25+'Cap Inc'!L26+'Cap Inc'!L39+'Cap Inc'!L55+'Cap Inc'!L56+'Cap Inc'!L57</f>
        <v>7840100</v>
      </c>
      <c r="AB11" s="77">
        <f>ROUND(SUM(SP!P326:P335)+SUM(SP!P112:P114)++SUM(SP!P796:P797)+DEH!P235+SUM(CIV!P760:P764)+SUM(CIV!P962:P963)+SUM(CIV!P1026:P1030)+SUM(CIV!P1093:P1098)++SUM(CIV!P1292:P1297)+CIV!P1403+CIV!P1534++CIV!P1670+SUM(CIV!P1797:P1798)+CIV!P1990+GM!P448+SUM(GM!P573:P577)+SP!P672+SUM(GM!P727:P731)++SUM(CIV!P1164:P1168)+DEH!P127+CIV!P1231+++GM!P1027+SUM(GM!P854:P856),-2)+'Cap Inc'!M25+'Cap Inc'!M26+'Cap Inc'!M39+'Cap Inc'!M55+'Cap Inc'!M56+'Cap Inc'!M57</f>
        <v>7998300</v>
      </c>
      <c r="AC11" s="77">
        <f>ROUND(SUM(SP!Q326:Q335)+SUM(SP!Q112:Q114)++SUM(SP!Q796:Q797)+DEH!Q235+SUM(CIV!Q760:Q764)+SUM(CIV!Q962:Q963)+SUM(CIV!Q1026:Q1030)+SUM(CIV!Q1093:Q1098)++SUM(CIV!Q1292:Q1297)+CIV!Q1403+CIV!Q1534++CIV!Q1670+SUM(CIV!Q1797:Q1798)+CIV!Q1990+GM!Q448+SUM(GM!Q573:Q577)+SP!Q672+SUM(GM!Q727:Q731)++SUM(CIV!Q1164:Q1168)+DEH!Q127+CIV!Q1231+++GM!Q1027+SUM(GM!Q854:Q856),-2)+'Cap Inc'!N25+'Cap Inc'!N26+'Cap Inc'!N39+'Cap Inc'!N55+'Cap Inc'!N56+'Cap Inc'!N57</f>
        <v>8162300</v>
      </c>
      <c r="AD11" s="77">
        <f>ROUND(SUM(SP!R326:R335)+SUM(SP!R112:R114)++SUM(SP!R796:R797)+DEH!R235+SUM(CIV!R760:R764)+SUM(CIV!R962:R963)+SUM(CIV!R1026:R1030)+SUM(CIV!R1093:R1098)++SUM(CIV!R1292:R1297)+CIV!R1403+CIV!R1534++CIV!R1670+SUM(CIV!R1797:R1798)+CIV!R1990+GM!R448+SUM(GM!R573:R577)+SP!R672+SUM(GM!R727:R731)++SUM(CIV!R1164:R1168)+DEH!R127+CIV!R1231+++GM!R1027+SUM(GM!R854:R856),-2)+'Cap Inc'!O25+'Cap Inc'!O26+'Cap Inc'!O39+'Cap Inc'!O55+'Cap Inc'!O56+'Cap Inc'!O57</f>
        <v>8329800</v>
      </c>
      <c r="AE11" s="582">
        <f>ROUND(SUM(SP!S326:S335)+SUM(SP!S112:S114)++SUM(SP!S796:S797)+DEH!S235+SUM(CIV!S760:S764)+SUM(CIV!S962:S963)+SUM(CIV!S1026:S1030)+SUM(CIV!S1093:S1098)++SUM(CIV!S1292:S1297)+CIV!S1403+CIV!S1534++CIV!S1670+SUM(CIV!S1797:S1798)+CIV!S1990+GM!S448+SUM(GM!S573:S577)+SP!S672+SUM(GM!S727:S731)++SUM(CIV!S1164:S1168)+DEH!S127+CIV!S1231+++GM!S1027+SUM(GM!S854:S856),-2)+'Cap Inc'!P25+'Cap Inc'!P26+'Cap Inc'!P39+'Cap Inc'!P55+'Cap Inc'!P56+'Cap Inc'!P57</f>
        <v>8500900</v>
      </c>
      <c r="AF11" s="77">
        <f>'W&amp;W'!B46</f>
        <v>151800</v>
      </c>
      <c r="AG11" s="77">
        <f>'W&amp;W'!C46</f>
        <v>152600</v>
      </c>
      <c r="AH11" s="77">
        <f>'W&amp;W'!D46</f>
        <v>157400</v>
      </c>
      <c r="AI11" s="77">
        <f>'W&amp;W'!E46</f>
        <v>159900</v>
      </c>
      <c r="AJ11" s="30">
        <f>'W&amp;W'!H46</f>
        <v>144000</v>
      </c>
      <c r="AK11" s="30">
        <f>'W&amp;W'!J46</f>
        <v>144700</v>
      </c>
      <c r="AL11" s="30">
        <f>'W&amp;W'!K46</f>
        <v>145500</v>
      </c>
      <c r="AM11" s="30">
        <f>'W&amp;W'!L46</f>
        <v>146200</v>
      </c>
      <c r="AN11" s="30">
        <f>'W&amp;W'!M46</f>
        <v>147000</v>
      </c>
      <c r="AO11" s="30">
        <f>'W&amp;W'!N46</f>
        <v>147800</v>
      </c>
      <c r="AP11" s="79">
        <f>'W&amp;W'!O46</f>
        <v>148600</v>
      </c>
      <c r="AQ11" s="79">
        <f>'W&amp;W'!P46</f>
        <v>149500</v>
      </c>
      <c r="AR11" s="79">
        <f>'W&amp;W'!Q46</f>
        <v>150300</v>
      </c>
      <c r="AS11" s="79">
        <f>'W&amp;W'!R46</f>
        <v>151100</v>
      </c>
      <c r="AT11" s="587">
        <f>'W&amp;W'!S46</f>
        <v>151900</v>
      </c>
      <c r="AU11" s="77">
        <f>'W&amp;W'!B108</f>
        <v>150800</v>
      </c>
      <c r="AV11" s="77">
        <f>'W&amp;W'!C108</f>
        <v>151700</v>
      </c>
      <c r="AW11" s="77">
        <f>'W&amp;W'!D108</f>
        <v>156600</v>
      </c>
      <c r="AX11" s="77">
        <f>'W&amp;W'!E108</f>
        <v>159100</v>
      </c>
      <c r="AY11" s="79">
        <f>'W&amp;W'!H108</f>
        <v>143600</v>
      </c>
      <c r="AZ11" s="79">
        <f>'W&amp;W'!J108</f>
        <v>144500</v>
      </c>
      <c r="BA11" s="79">
        <f>'W&amp;W'!K108</f>
        <v>145500</v>
      </c>
      <c r="BB11" s="79">
        <f>'W&amp;W'!L108</f>
        <v>146400</v>
      </c>
      <c r="BC11" s="79">
        <f>'W&amp;W'!M108</f>
        <v>147300</v>
      </c>
      <c r="BD11" s="79">
        <f>'W&amp;W'!N108</f>
        <v>148200</v>
      </c>
      <c r="BE11" s="79">
        <f>'W&amp;W'!O108</f>
        <v>149100</v>
      </c>
      <c r="BF11" s="79">
        <f>'W&amp;W'!P108</f>
        <v>150000</v>
      </c>
      <c r="BG11" s="79">
        <f>'W&amp;W'!Q108</f>
        <v>150900</v>
      </c>
      <c r="BH11" s="79">
        <f>'W&amp;W'!R108</f>
        <v>151800</v>
      </c>
      <c r="BI11" s="78">
        <f>'W&amp;W'!S108</f>
        <v>152700</v>
      </c>
    </row>
    <row r="12" spans="1:61" x14ac:dyDescent="0.2">
      <c r="A12" s="1688" t="s">
        <v>2150</v>
      </c>
      <c r="B12" s="641">
        <f t="shared" si="2"/>
        <v>83600</v>
      </c>
      <c r="C12" s="31">
        <f t="shared" si="2"/>
        <v>559100</v>
      </c>
      <c r="D12" s="30">
        <f t="shared" si="2"/>
        <v>34300</v>
      </c>
      <c r="E12" s="30">
        <f t="shared" si="2"/>
        <v>-346000</v>
      </c>
      <c r="F12" s="30">
        <f t="shared" si="2"/>
        <v>0</v>
      </c>
      <c r="G12" s="30">
        <f t="shared" si="2"/>
        <v>0</v>
      </c>
      <c r="H12" s="30">
        <f t="shared" si="2"/>
        <v>0</v>
      </c>
      <c r="I12" s="30">
        <f t="shared" si="2"/>
        <v>0</v>
      </c>
      <c r="J12" s="30">
        <f t="shared" si="2"/>
        <v>0</v>
      </c>
      <c r="K12" s="30">
        <f t="shared" si="2"/>
        <v>0</v>
      </c>
      <c r="L12" s="79">
        <f t="shared" si="2"/>
        <v>0</v>
      </c>
      <c r="M12" s="79">
        <f t="shared" si="2"/>
        <v>0</v>
      </c>
      <c r="N12" s="79">
        <f t="shared" si="2"/>
        <v>0</v>
      </c>
      <c r="O12" s="79">
        <f t="shared" si="2"/>
        <v>0</v>
      </c>
      <c r="P12" s="587">
        <f t="shared" si="2"/>
        <v>0</v>
      </c>
      <c r="Q12" s="77">
        <f>ROUND(+CIV!B487+CIV!B702+GM!B329,-2)</f>
        <v>57600</v>
      </c>
      <c r="R12" s="77">
        <f>ROUND(+CIV!C487+CIV!C702+GM!C329,-2)</f>
        <v>539900</v>
      </c>
      <c r="S12" s="77">
        <f>ROUND(+CIV!D487+CIV!D702+GM!D329,-2)</f>
        <v>0</v>
      </c>
      <c r="T12" s="77">
        <f>ROUND(+CIV!E487+CIV!E702+GM!E329,-2)</f>
        <v>-360400</v>
      </c>
      <c r="U12" s="77">
        <f>ROUND(+CIV!H487+CIV!H702+GM!H329,-2)</f>
        <v>0</v>
      </c>
      <c r="V12" s="77">
        <f>ROUND(+CIV!J487+CIV!J702+GM!J329,-2)</f>
        <v>0</v>
      </c>
      <c r="W12" s="77">
        <f>ROUND(+CIV!K487+CIV!K702+GM!K329,-2)</f>
        <v>0</v>
      </c>
      <c r="X12" s="77">
        <f>ROUND(+CIV!L487+CIV!L702+GM!L329,-2)</f>
        <v>0</v>
      </c>
      <c r="Y12" s="77">
        <f>ROUND(+CIV!M487+CIV!M702+GM!M329,-2)</f>
        <v>0</v>
      </c>
      <c r="Z12" s="77">
        <f>ROUND(+CIV!N487+CIV!N702+GM!N329,-2)</f>
        <v>0</v>
      </c>
      <c r="AA12" s="77">
        <f>ROUND(+CIV!O487+CIV!O702+GM!O329,-2)</f>
        <v>0</v>
      </c>
      <c r="AB12" s="79">
        <f>ROUND(+CIV!P487+CIV!P702+GM!P329,-2)</f>
        <v>0</v>
      </c>
      <c r="AC12" s="31">
        <f>ROUND(+CIV!Q487+CIV!Q702+GM!Q329,-2)</f>
        <v>0</v>
      </c>
      <c r="AD12" s="31">
        <f>ROUND(+CIV!R487+CIV!R702+GM!R329,-2)</f>
        <v>0</v>
      </c>
      <c r="AE12" s="582">
        <f>ROUND(+CIV!S487+CIV!S702+GM!S329,-2)</f>
        <v>0</v>
      </c>
      <c r="AF12" s="77">
        <f>'W&amp;W'!B199</f>
        <v>0</v>
      </c>
      <c r="AG12" s="77">
        <f>'W&amp;W'!C199</f>
        <v>0</v>
      </c>
      <c r="AH12" s="77">
        <f>'W&amp;W'!D199</f>
        <v>26000</v>
      </c>
      <c r="AI12" s="77">
        <f>'W&amp;W'!E199</f>
        <v>0</v>
      </c>
      <c r="AJ12" s="77">
        <f>'W&amp;W'!H199</f>
        <v>0</v>
      </c>
      <c r="AK12" s="77">
        <f>'W&amp;W'!J199</f>
        <v>0</v>
      </c>
      <c r="AL12" s="77">
        <f>'W&amp;W'!K199</f>
        <v>0</v>
      </c>
      <c r="AM12" s="77">
        <f>'W&amp;W'!L199</f>
        <v>0</v>
      </c>
      <c r="AN12" s="77">
        <f>'W&amp;W'!M199</f>
        <v>0</v>
      </c>
      <c r="AO12" s="77">
        <f>'W&amp;W'!N199</f>
        <v>0</v>
      </c>
      <c r="AP12" s="77">
        <f>'W&amp;W'!O199</f>
        <v>0</v>
      </c>
      <c r="AQ12" s="79">
        <f>'W&amp;W'!P199</f>
        <v>0</v>
      </c>
      <c r="AR12" s="79">
        <f>'W&amp;W'!Q199</f>
        <v>0</v>
      </c>
      <c r="AS12" s="79">
        <f>'W&amp;W'!R199</f>
        <v>0</v>
      </c>
      <c r="AT12" s="587">
        <f>'W&amp;W'!S199</f>
        <v>0</v>
      </c>
      <c r="AU12" s="77">
        <f>'W&amp;W'!B390</f>
        <v>26000</v>
      </c>
      <c r="AV12" s="77">
        <f>'W&amp;W'!C390</f>
        <v>19200</v>
      </c>
      <c r="AW12" s="77">
        <f>'W&amp;W'!D390</f>
        <v>8300</v>
      </c>
      <c r="AX12" s="77">
        <f>'W&amp;W'!E390</f>
        <v>14400</v>
      </c>
      <c r="AY12" s="77">
        <f>'W&amp;W'!H390</f>
        <v>0</v>
      </c>
      <c r="AZ12" s="77">
        <f>'W&amp;W'!J390</f>
        <v>0</v>
      </c>
      <c r="BA12" s="77">
        <f>'W&amp;W'!K390</f>
        <v>0</v>
      </c>
      <c r="BB12" s="77">
        <f>'W&amp;W'!L390</f>
        <v>0</v>
      </c>
      <c r="BC12" s="77">
        <f>'W&amp;W'!M390</f>
        <v>0</v>
      </c>
      <c r="BD12" s="77">
        <f>'W&amp;W'!N390</f>
        <v>0</v>
      </c>
      <c r="BE12" s="79">
        <f>'W&amp;W'!O390</f>
        <v>0</v>
      </c>
      <c r="BF12" s="79">
        <f>'W&amp;W'!P390</f>
        <v>0</v>
      </c>
      <c r="BG12" s="79">
        <f>'W&amp;W'!Q390</f>
        <v>0</v>
      </c>
      <c r="BH12" s="79">
        <f>'W&amp;W'!R390</f>
        <v>0</v>
      </c>
      <c r="BI12" s="78">
        <f>'W&amp;W'!S390</f>
        <v>0</v>
      </c>
    </row>
    <row r="13" spans="1:61" ht="13.5" thickBot="1" x14ac:dyDescent="0.25">
      <c r="A13" s="1688"/>
      <c r="B13" s="1899"/>
      <c r="C13" s="31"/>
      <c r="D13" s="30"/>
      <c r="E13" s="30"/>
      <c r="F13" s="30"/>
      <c r="G13" s="30"/>
      <c r="H13" s="30"/>
      <c r="I13" s="30"/>
      <c r="J13" s="30"/>
      <c r="K13" s="30"/>
      <c r="L13" s="79"/>
      <c r="M13" s="79"/>
      <c r="N13" s="79"/>
      <c r="O13" s="79"/>
      <c r="P13" s="587"/>
      <c r="Q13" s="77"/>
      <c r="R13" s="77"/>
      <c r="S13" s="79"/>
      <c r="T13" s="79"/>
      <c r="U13" s="77"/>
      <c r="V13" s="77"/>
      <c r="W13" s="79"/>
      <c r="X13" s="79"/>
      <c r="Y13" s="79"/>
      <c r="Z13" s="79"/>
      <c r="AA13" s="79"/>
      <c r="AB13" s="79"/>
      <c r="AC13" s="31"/>
      <c r="AD13" s="31"/>
      <c r="AE13" s="582"/>
      <c r="AF13" s="77"/>
      <c r="AG13" s="77"/>
      <c r="AH13" s="79"/>
      <c r="AI13" s="30"/>
      <c r="AJ13" s="30"/>
      <c r="AK13" s="30"/>
      <c r="AL13" s="30"/>
      <c r="AM13" s="30"/>
      <c r="AN13" s="30"/>
      <c r="AO13" s="30"/>
      <c r="AP13" s="79"/>
      <c r="AQ13" s="79"/>
      <c r="AR13" s="79"/>
      <c r="AS13" s="79"/>
      <c r="AT13" s="587"/>
      <c r="AU13" s="77"/>
      <c r="AV13" s="77"/>
      <c r="AW13" s="77"/>
      <c r="AX13" s="77"/>
      <c r="AY13" s="79"/>
      <c r="AZ13" s="79"/>
      <c r="BA13" s="79"/>
      <c r="BB13" s="79"/>
      <c r="BC13" s="79"/>
      <c r="BD13" s="79"/>
      <c r="BE13" s="79"/>
      <c r="BF13" s="79"/>
      <c r="BG13" s="79"/>
      <c r="BH13" s="79"/>
      <c r="BI13" s="78"/>
    </row>
    <row r="14" spans="1:61" s="285" customFormat="1" x14ac:dyDescent="0.2">
      <c r="A14" s="1900" t="s">
        <v>752</v>
      </c>
      <c r="B14" s="962">
        <f t="shared" ref="B14:BE14" si="3">SUM(B6:B13)</f>
        <v>71256700</v>
      </c>
      <c r="C14" s="124">
        <f t="shared" si="3"/>
        <v>75418200</v>
      </c>
      <c r="D14" s="323">
        <f t="shared" si="3"/>
        <v>78290200</v>
      </c>
      <c r="E14" s="323">
        <f t="shared" si="3"/>
        <v>86874900</v>
      </c>
      <c r="F14" s="323">
        <f t="shared" si="3"/>
        <v>82695200</v>
      </c>
      <c r="G14" s="323">
        <f t="shared" si="3"/>
        <v>83575800</v>
      </c>
      <c r="H14" s="323">
        <f t="shared" si="3"/>
        <v>85815000</v>
      </c>
      <c r="I14" s="323">
        <f t="shared" si="3"/>
        <v>87559200</v>
      </c>
      <c r="J14" s="323">
        <f t="shared" si="3"/>
        <v>89809400</v>
      </c>
      <c r="K14" s="323">
        <f t="shared" si="3"/>
        <v>92006400</v>
      </c>
      <c r="L14" s="16">
        <f t="shared" si="3"/>
        <v>94478100</v>
      </c>
      <c r="M14" s="16">
        <f t="shared" ref="M14" si="4">SUM(M6:M13)</f>
        <v>96905000</v>
      </c>
      <c r="N14" s="16">
        <f t="shared" ref="N14" si="5">SUM(N6:N13)</f>
        <v>99542800</v>
      </c>
      <c r="O14" s="16">
        <f t="shared" ref="O14" si="6">SUM(O6:O13)</f>
        <v>102412900</v>
      </c>
      <c r="P14" s="90">
        <f t="shared" ref="P14" si="7">SUM(P6:P13)</f>
        <v>105348300</v>
      </c>
      <c r="Q14" s="102">
        <f t="shared" si="3"/>
        <v>46104800</v>
      </c>
      <c r="R14" s="102">
        <f t="shared" si="3"/>
        <v>49169800</v>
      </c>
      <c r="S14" s="16">
        <f t="shared" si="3"/>
        <v>50716000</v>
      </c>
      <c r="T14" s="16">
        <f t="shared" ref="T14" si="8">SUM(T6:T13)</f>
        <v>56577600</v>
      </c>
      <c r="U14" s="102">
        <f t="shared" si="3"/>
        <v>52698400</v>
      </c>
      <c r="V14" s="102">
        <f t="shared" si="3"/>
        <v>52761900</v>
      </c>
      <c r="W14" s="16">
        <f t="shared" si="3"/>
        <v>54365200</v>
      </c>
      <c r="X14" s="16">
        <f t="shared" si="3"/>
        <v>55349500</v>
      </c>
      <c r="Y14" s="16">
        <f t="shared" si="3"/>
        <v>56669000</v>
      </c>
      <c r="Z14" s="16">
        <f t="shared" si="3"/>
        <v>58086800</v>
      </c>
      <c r="AA14" s="16">
        <f t="shared" si="3"/>
        <v>59733100</v>
      </c>
      <c r="AB14" s="16">
        <f t="shared" ref="AB14" si="9">SUM(AB6:AB13)</f>
        <v>61244300</v>
      </c>
      <c r="AC14" s="124">
        <f t="shared" ref="AC14" si="10">SUM(AC6:AC13)</f>
        <v>62958500</v>
      </c>
      <c r="AD14" s="124">
        <f t="shared" ref="AD14:AE14" si="11">SUM(AD6:AD13)</f>
        <v>64694700</v>
      </c>
      <c r="AE14" s="1254">
        <f t="shared" si="11"/>
        <v>66451900</v>
      </c>
      <c r="AF14" s="102">
        <f t="shared" si="3"/>
        <v>10689100</v>
      </c>
      <c r="AG14" s="102">
        <f t="shared" si="3"/>
        <v>10892500</v>
      </c>
      <c r="AH14" s="16">
        <f t="shared" si="3"/>
        <v>11225100</v>
      </c>
      <c r="AI14" s="323">
        <f t="shared" si="3"/>
        <v>12409800</v>
      </c>
      <c r="AJ14" s="323">
        <f t="shared" si="3"/>
        <v>11778400</v>
      </c>
      <c r="AK14" s="323">
        <f t="shared" si="3"/>
        <v>12143700</v>
      </c>
      <c r="AL14" s="323">
        <f t="shared" si="3"/>
        <v>12332100</v>
      </c>
      <c r="AM14" s="323">
        <f t="shared" si="3"/>
        <v>12608400</v>
      </c>
      <c r="AN14" s="323">
        <f t="shared" si="3"/>
        <v>12999400</v>
      </c>
      <c r="AO14" s="323">
        <f t="shared" si="3"/>
        <v>13275300</v>
      </c>
      <c r="AP14" s="16">
        <f t="shared" si="3"/>
        <v>13601000</v>
      </c>
      <c r="AQ14" s="16">
        <f t="shared" ref="AQ14:AR14" si="12">SUM(AQ6:AQ13)</f>
        <v>13940900</v>
      </c>
      <c r="AR14" s="16">
        <f t="shared" si="12"/>
        <v>14301200</v>
      </c>
      <c r="AS14" s="16">
        <f t="shared" ref="AS14" si="13">SUM(AS6:AS13)</f>
        <v>14763100</v>
      </c>
      <c r="AT14" s="90">
        <f t="shared" ref="AT14" si="14">SUM(AT6:AT13)</f>
        <v>15245100</v>
      </c>
      <c r="AU14" s="102">
        <f t="shared" si="3"/>
        <v>14462800</v>
      </c>
      <c r="AV14" s="102">
        <f t="shared" si="3"/>
        <v>15355900</v>
      </c>
      <c r="AW14" s="102">
        <f t="shared" si="3"/>
        <v>16349100</v>
      </c>
      <c r="AX14" s="102">
        <f t="shared" ref="AX14" si="15">SUM(AX6:AX13)</f>
        <v>17887500</v>
      </c>
      <c r="AY14" s="102">
        <f t="shared" si="3"/>
        <v>18218400</v>
      </c>
      <c r="AZ14" s="102">
        <f t="shared" si="3"/>
        <v>18670200</v>
      </c>
      <c r="BA14" s="102">
        <f t="shared" si="3"/>
        <v>19117700</v>
      </c>
      <c r="BB14" s="102">
        <f t="shared" si="3"/>
        <v>19601300</v>
      </c>
      <c r="BC14" s="102">
        <f t="shared" si="3"/>
        <v>20141000</v>
      </c>
      <c r="BD14" s="102">
        <f t="shared" si="3"/>
        <v>20644300</v>
      </c>
      <c r="BE14" s="16">
        <f t="shared" si="3"/>
        <v>21144000</v>
      </c>
      <c r="BF14" s="16">
        <f t="shared" ref="BF14" si="16">SUM(BF6:BF13)</f>
        <v>21719800</v>
      </c>
      <c r="BG14" s="16">
        <f t="shared" ref="BG14" si="17">SUM(BG6:BG13)</f>
        <v>22283100</v>
      </c>
      <c r="BH14" s="16">
        <f t="shared" ref="BH14" si="18">SUM(BH6:BH13)</f>
        <v>22955100</v>
      </c>
      <c r="BI14" s="60">
        <f t="shared" ref="BI14" si="19">SUM(BI6:BI13)</f>
        <v>23651300</v>
      </c>
    </row>
    <row r="15" spans="1:61" s="573" customFormat="1" x14ac:dyDescent="0.2">
      <c r="A15" s="823"/>
      <c r="B15" s="1853"/>
      <c r="C15" s="1300"/>
      <c r="D15" s="1894"/>
      <c r="E15" s="1894"/>
      <c r="F15" s="1894"/>
      <c r="G15" s="1894"/>
      <c r="H15" s="1894"/>
      <c r="I15" s="1894"/>
      <c r="J15" s="1894"/>
      <c r="K15" s="1894"/>
      <c r="L15" s="1568"/>
      <c r="M15" s="1568"/>
      <c r="N15" s="1568"/>
      <c r="O15" s="1568"/>
      <c r="P15" s="1896"/>
      <c r="Q15" s="1401"/>
      <c r="R15" s="1401"/>
      <c r="S15" s="1568"/>
      <c r="T15" s="1568"/>
      <c r="U15" s="77"/>
      <c r="V15" s="77"/>
      <c r="W15" s="79"/>
      <c r="X15" s="79"/>
      <c r="Y15" s="79"/>
      <c r="Z15" s="79"/>
      <c r="AA15" s="79"/>
      <c r="AB15" s="79"/>
      <c r="AC15" s="31"/>
      <c r="AD15" s="31"/>
      <c r="AE15" s="582"/>
      <c r="AF15" s="77"/>
      <c r="AG15" s="77"/>
      <c r="AH15" s="79"/>
      <c r="AI15" s="30"/>
      <c r="AJ15" s="30"/>
      <c r="AK15" s="30"/>
      <c r="AL15" s="30"/>
      <c r="AM15" s="30"/>
      <c r="AN15" s="30"/>
      <c r="AO15" s="30"/>
      <c r="AP15" s="79"/>
      <c r="AQ15" s="79"/>
      <c r="AR15" s="79"/>
      <c r="AS15" s="79"/>
      <c r="AT15" s="587"/>
      <c r="AU15" s="77"/>
      <c r="AV15" s="77"/>
      <c r="AW15" s="77"/>
      <c r="AX15" s="77"/>
      <c r="AY15" s="79"/>
      <c r="AZ15" s="79"/>
      <c r="BA15" s="79"/>
      <c r="BB15" s="79"/>
      <c r="BC15" s="79"/>
      <c r="BD15" s="79"/>
      <c r="BE15" s="79"/>
      <c r="BF15" s="79"/>
      <c r="BG15" s="79"/>
      <c r="BH15" s="79"/>
      <c r="BI15" s="78"/>
    </row>
    <row r="16" spans="1:61" s="573" customFormat="1" x14ac:dyDescent="0.2">
      <c r="A16" s="823" t="s">
        <v>2018</v>
      </c>
      <c r="B16" s="1901"/>
      <c r="C16" s="1300"/>
      <c r="D16" s="1894"/>
      <c r="E16" s="1894"/>
      <c r="F16" s="1894"/>
      <c r="G16" s="1894"/>
      <c r="H16" s="1894"/>
      <c r="I16" s="1894"/>
      <c r="J16" s="1894"/>
      <c r="K16" s="1894"/>
      <c r="L16" s="1568"/>
      <c r="M16" s="1568"/>
      <c r="N16" s="1568"/>
      <c r="O16" s="1568"/>
      <c r="P16" s="1896"/>
      <c r="Q16" s="1401"/>
      <c r="R16" s="1401"/>
      <c r="S16" s="1568"/>
      <c r="T16" s="1568"/>
      <c r="U16" s="77"/>
      <c r="V16" s="77"/>
      <c r="W16" s="79"/>
      <c r="X16" s="79"/>
      <c r="Y16" s="79"/>
      <c r="Z16" s="79"/>
      <c r="AA16" s="79"/>
      <c r="AB16" s="79"/>
      <c r="AC16" s="31"/>
      <c r="AD16" s="31"/>
      <c r="AE16" s="582"/>
      <c r="AF16" s="77"/>
      <c r="AG16" s="77"/>
      <c r="AH16" s="79"/>
      <c r="AI16" s="30"/>
      <c r="AJ16" s="30"/>
      <c r="AK16" s="30"/>
      <c r="AL16" s="30"/>
      <c r="AM16" s="30"/>
      <c r="AN16" s="30"/>
      <c r="AO16" s="30"/>
      <c r="AP16" s="79"/>
      <c r="AQ16" s="79"/>
      <c r="AR16" s="79"/>
      <c r="AS16" s="79"/>
      <c r="AT16" s="587"/>
      <c r="AU16" s="77"/>
      <c r="AV16" s="77"/>
      <c r="AW16" s="77"/>
      <c r="AX16" s="77"/>
      <c r="AY16" s="79"/>
      <c r="AZ16" s="79"/>
      <c r="BA16" s="79"/>
      <c r="BB16" s="79"/>
      <c r="BC16" s="79"/>
      <c r="BD16" s="79"/>
      <c r="BE16" s="79"/>
      <c r="BF16" s="79"/>
      <c r="BG16" s="79"/>
      <c r="BH16" s="79"/>
      <c r="BI16" s="78"/>
    </row>
    <row r="17" spans="1:61" s="726" customFormat="1" x14ac:dyDescent="0.2">
      <c r="A17" s="655" t="s">
        <v>1228</v>
      </c>
      <c r="B17" s="641">
        <f t="shared" ref="B17:P22" si="20">Q17+AF17+AU17</f>
        <v>19711000</v>
      </c>
      <c r="C17" s="31">
        <f t="shared" si="20"/>
        <v>20435100</v>
      </c>
      <c r="D17" s="30">
        <f t="shared" si="20"/>
        <v>21690000</v>
      </c>
      <c r="E17" s="30">
        <f t="shared" si="20"/>
        <v>22308000</v>
      </c>
      <c r="F17" s="30">
        <f t="shared" si="20"/>
        <v>23001000</v>
      </c>
      <c r="G17" s="30">
        <f t="shared" si="20"/>
        <v>23715000</v>
      </c>
      <c r="H17" s="30">
        <f t="shared" si="20"/>
        <v>24452000</v>
      </c>
      <c r="I17" s="30">
        <f t="shared" si="20"/>
        <v>25211000</v>
      </c>
      <c r="J17" s="30">
        <f t="shared" si="20"/>
        <v>25994000</v>
      </c>
      <c r="K17" s="30">
        <f t="shared" si="20"/>
        <v>26801000</v>
      </c>
      <c r="L17" s="79">
        <f t="shared" si="20"/>
        <v>27633000</v>
      </c>
      <c r="M17" s="79">
        <f t="shared" si="20"/>
        <v>28491000</v>
      </c>
      <c r="N17" s="79">
        <f t="shared" si="20"/>
        <v>29376000</v>
      </c>
      <c r="O17" s="79">
        <f t="shared" si="20"/>
        <v>30288000</v>
      </c>
      <c r="P17" s="587">
        <f t="shared" si="20"/>
        <v>31229000</v>
      </c>
      <c r="Q17" s="77">
        <f>ROUND(Salaries!J10,-2)</f>
        <v>14771400</v>
      </c>
      <c r="R17" s="77">
        <f>Salaries!K10</f>
        <v>15453100</v>
      </c>
      <c r="S17" s="77">
        <f>Salaries!L10</f>
        <v>16138000</v>
      </c>
      <c r="T17" s="77">
        <f>Salaries!M10</f>
        <v>15939000</v>
      </c>
      <c r="U17" s="77">
        <f>Salaries!N10</f>
        <v>16434000</v>
      </c>
      <c r="V17" s="77">
        <f>Salaries!O10</f>
        <v>16945000</v>
      </c>
      <c r="W17" s="77">
        <f>Salaries!P10</f>
        <v>17472000</v>
      </c>
      <c r="X17" s="77">
        <f>Salaries!Q10</f>
        <v>18015000</v>
      </c>
      <c r="Y17" s="77">
        <f>Salaries!R10</f>
        <v>18575000</v>
      </c>
      <c r="Z17" s="77">
        <f>Salaries!S10</f>
        <v>19152000</v>
      </c>
      <c r="AA17" s="79">
        <f>Salaries!T10</f>
        <v>19746000</v>
      </c>
      <c r="AB17" s="79">
        <f>Salaries!U10</f>
        <v>20359000</v>
      </c>
      <c r="AC17" s="31">
        <f>Salaries!V10</f>
        <v>20992000</v>
      </c>
      <c r="AD17" s="31">
        <f>Salaries!W10</f>
        <v>21644000</v>
      </c>
      <c r="AE17" s="582">
        <f>Salaries!X10</f>
        <v>22316000</v>
      </c>
      <c r="AF17" s="77">
        <f>Salaries!J11</f>
        <v>1429000</v>
      </c>
      <c r="AG17" s="77">
        <f>Salaries!K11</f>
        <v>1763000</v>
      </c>
      <c r="AH17" s="79">
        <f>Salaries!L11</f>
        <v>1876000</v>
      </c>
      <c r="AI17" s="79">
        <f>Salaries!M11</f>
        <v>1920000</v>
      </c>
      <c r="AJ17" s="30">
        <f>Salaries!N11</f>
        <v>1980000</v>
      </c>
      <c r="AK17" s="30">
        <f>Salaries!O11</f>
        <v>2041000</v>
      </c>
      <c r="AL17" s="30">
        <f>Salaries!P11</f>
        <v>2104000</v>
      </c>
      <c r="AM17" s="30">
        <f>Salaries!Q11</f>
        <v>2169000</v>
      </c>
      <c r="AN17" s="30">
        <f>Salaries!R11</f>
        <v>2236000</v>
      </c>
      <c r="AO17" s="30">
        <f>Salaries!S11</f>
        <v>2305000</v>
      </c>
      <c r="AP17" s="79">
        <f>Salaries!T11</f>
        <v>2377000</v>
      </c>
      <c r="AQ17" s="79">
        <f>Salaries!U11</f>
        <v>2451000</v>
      </c>
      <c r="AR17" s="79">
        <f>Salaries!V11</f>
        <v>2527000</v>
      </c>
      <c r="AS17" s="79">
        <f>Salaries!W11</f>
        <v>2605000</v>
      </c>
      <c r="AT17" s="587">
        <f>Salaries!X11</f>
        <v>2686000</v>
      </c>
      <c r="AU17" s="77">
        <f>Salaries!J12</f>
        <v>3510600</v>
      </c>
      <c r="AV17" s="77">
        <f>Salaries!K12</f>
        <v>3219000</v>
      </c>
      <c r="AW17" s="77">
        <f>Salaries!L12</f>
        <v>3676000</v>
      </c>
      <c r="AX17" s="77">
        <f>Salaries!M12</f>
        <v>4449000</v>
      </c>
      <c r="AY17" s="79">
        <f>Salaries!N12</f>
        <v>4587000</v>
      </c>
      <c r="AZ17" s="79">
        <f>Salaries!O12</f>
        <v>4729000</v>
      </c>
      <c r="BA17" s="79">
        <f>Salaries!P12</f>
        <v>4876000</v>
      </c>
      <c r="BB17" s="79">
        <f>Salaries!Q12</f>
        <v>5027000</v>
      </c>
      <c r="BC17" s="79">
        <f>Salaries!R12</f>
        <v>5183000</v>
      </c>
      <c r="BD17" s="79">
        <f>Salaries!S12</f>
        <v>5344000</v>
      </c>
      <c r="BE17" s="79">
        <f>Salaries!T12</f>
        <v>5510000</v>
      </c>
      <c r="BF17" s="79">
        <f>Salaries!U12</f>
        <v>5681000</v>
      </c>
      <c r="BG17" s="79">
        <f>Salaries!V12</f>
        <v>5857000</v>
      </c>
      <c r="BH17" s="79">
        <f>Salaries!W12</f>
        <v>6039000</v>
      </c>
      <c r="BI17" s="78">
        <f>Salaries!X12</f>
        <v>6227000</v>
      </c>
    </row>
    <row r="18" spans="1:61" s="726" customFormat="1" x14ac:dyDescent="0.2">
      <c r="A18" s="655" t="s">
        <v>2336</v>
      </c>
      <c r="B18" s="641">
        <f t="shared" si="20"/>
        <v>22518900</v>
      </c>
      <c r="C18" s="31">
        <f t="shared" si="20"/>
        <v>21906100</v>
      </c>
      <c r="D18" s="30">
        <f t="shared" si="20"/>
        <v>23953600</v>
      </c>
      <c r="E18" s="30">
        <f t="shared" si="20"/>
        <v>22932800</v>
      </c>
      <c r="F18" s="30">
        <f t="shared" si="20"/>
        <v>25632600</v>
      </c>
      <c r="G18" s="30">
        <f t="shared" si="20"/>
        <v>23229500</v>
      </c>
      <c r="H18" s="30">
        <f t="shared" si="20"/>
        <v>23958600</v>
      </c>
      <c r="I18" s="30">
        <f t="shared" si="20"/>
        <v>24068200</v>
      </c>
      <c r="J18" s="30">
        <f t="shared" si="20"/>
        <v>24624100</v>
      </c>
      <c r="K18" s="30">
        <f t="shared" si="20"/>
        <v>24967800</v>
      </c>
      <c r="L18" s="79">
        <f t="shared" si="20"/>
        <v>25580900</v>
      </c>
      <c r="M18" s="79">
        <f t="shared" si="20"/>
        <v>26036400</v>
      </c>
      <c r="N18" s="79">
        <f t="shared" si="20"/>
        <v>26378400</v>
      </c>
      <c r="O18" s="79">
        <f t="shared" si="20"/>
        <v>26762500</v>
      </c>
      <c r="P18" s="587">
        <f t="shared" si="20"/>
        <v>27190700</v>
      </c>
      <c r="Q18" s="77">
        <f>ROUND('Cash-Gen'!A45-Q17-Q19-Q20-Q21-Q22+Q29+Q33+Q34+Q30,-2)</f>
        <v>15428200</v>
      </c>
      <c r="R18" s="77">
        <f>'Cash-Gen'!B45-R17-R19-R20-R21-R22+R29+R33+R34+R30</f>
        <v>14881700</v>
      </c>
      <c r="S18" s="79">
        <f>'Cash-Gen'!C45-S16-S17-S19-S20-S21-S22+S29+S33+S34+S30</f>
        <v>17592600</v>
      </c>
      <c r="T18" s="79">
        <f>'Cash-Gen'!D45-T16-T17-T19-T20-T21-T22+T29+T33+T34+T30</f>
        <v>16790800</v>
      </c>
      <c r="U18" s="79">
        <f>'Cash-Gen'!F45-U16-U17-U19-U20-U21-U22+U29+U33+U34+U30</f>
        <v>19391000</v>
      </c>
      <c r="V18" s="79">
        <f>'Cash-Gen'!G45-V16-V17-V19-V20-V21-V22+V29+V33+V34+V30</f>
        <v>16855200</v>
      </c>
      <c r="W18" s="79">
        <f>'Cash-Gen'!H45-W16-W17-W19-W20-W21-W22+W29+W33+W34+W30</f>
        <v>17501900</v>
      </c>
      <c r="X18" s="79">
        <f>'Cash-Gen'!I45-X16-X17-X19-X20-X21-X22+X29+X33+X34+X30</f>
        <v>17487400</v>
      </c>
      <c r="Y18" s="79">
        <f>'Cash-Gen'!J45-Y16-Y17-Y19-Y20-Y21-Y22+Y29+Y33+Y34+Y30</f>
        <v>17902500</v>
      </c>
      <c r="Z18" s="79">
        <f>'Cash-Gen'!K45-Z16-Z17-Z19-Z20-Z21-Z22+Z29+Z33+Z34+Z30</f>
        <v>18083500</v>
      </c>
      <c r="AA18" s="79">
        <f>'Cash-Gen'!L45-AA16-AA17-AA19-AA20-AA21-AA22+AA29+AA33+AA34+AA30</f>
        <v>18618600</v>
      </c>
      <c r="AB18" s="79">
        <f>'Cash-Gen'!M45-AB16-AB17-AB19-AB20-AB21-AB22+AB29+AB33+AB34+AB30</f>
        <v>18944500</v>
      </c>
      <c r="AC18" s="31">
        <f>'Cash-Gen'!N45-AC16-AC17-AC19-AC20-AC21-AC22+AC29+AC33+AC34+AC30</f>
        <v>19222100</v>
      </c>
      <c r="AD18" s="31">
        <f>'Cash-Gen'!O45-AD16-AD17-AD19-AD20-AD21-AD22+AD29+AD33+AD34+AD30</f>
        <v>19458200</v>
      </c>
      <c r="AE18" s="582">
        <f>'Cash-Gen'!P45-AE16-AE17-AE19-AE20-AE21-AE22+AE29+AE33+AE34+AE30</f>
        <v>19778300</v>
      </c>
      <c r="AF18" s="77">
        <f>'Cash-W'!A7-AF17-AF19-AF20-AF21+AF29</f>
        <v>1802400</v>
      </c>
      <c r="AG18" s="77">
        <f>'Cash-W'!B7-AG17-AG19-AG20-AG21+AG29</f>
        <v>1354100</v>
      </c>
      <c r="AH18" s="79">
        <f>'Cash-W'!C7-AH17-AH19-AH20-AH21+AH29</f>
        <v>1264400</v>
      </c>
      <c r="AI18" s="79">
        <f>'Cash-W'!D7-AI17-AI19-AI20-AI21+AI29</f>
        <v>1267300</v>
      </c>
      <c r="AJ18" s="79">
        <f>'Cash-W'!G7-AJ17-AJ19-AJ20-AJ21-AJ22+AJ29</f>
        <v>1502200</v>
      </c>
      <c r="AK18" s="79">
        <f>'Cash-W'!H7-AK17-AK19-AK20-AK21-AK22+AK29</f>
        <v>1553100</v>
      </c>
      <c r="AL18" s="79">
        <f>'Cash-W'!I7-AL17-AL19-AL20-AL21-AL22+AL29</f>
        <v>1541700</v>
      </c>
      <c r="AM18" s="79">
        <f>'Cash-W'!J7-AM17-AM19-AM20-AM21-AM22+AM29</f>
        <v>1570500</v>
      </c>
      <c r="AN18" s="79">
        <f>'Cash-W'!K7-AN17-AN19-AN20-AN21-AN22+AN29</f>
        <v>1599700</v>
      </c>
      <c r="AO18" s="79">
        <f>'Cash-W'!L7-AO17-AO19-AO20-AO21-AO22+AO29</f>
        <v>1679300</v>
      </c>
      <c r="AP18" s="79">
        <f>'Cash-W'!M7-AP17-AP19-AP20-AP21-AP22+AP29</f>
        <v>1658200</v>
      </c>
      <c r="AQ18" s="79">
        <f>'Cash-W'!N7-AQ17-AQ19-AQ20-AQ21-AQ22+AQ29</f>
        <v>1687500</v>
      </c>
      <c r="AR18" s="79">
        <f>'Cash-W'!O7-AR17-AR19-AR20-AR21-AR22+AR29</f>
        <v>1717400</v>
      </c>
      <c r="AS18" s="79">
        <f>'Cash-W'!P7-AS17-AS19-AS20-AS21-AS22+AS29</f>
        <v>1748200</v>
      </c>
      <c r="AT18" s="587">
        <f>'Cash-W'!Q7-AT17-AT19-AT20-AT21-AT22+AT29</f>
        <v>1778700</v>
      </c>
      <c r="AU18" s="77">
        <f>'Cash-WW'!A7-AU17-AU19-AU20-AU21+'Cash-WW'!A10+AU33</f>
        <v>5288300</v>
      </c>
      <c r="AV18" s="77">
        <f>'Cash-WW'!B7-AV17-AV19-AV20-AV21+'Cash-WW'!B10+AV33</f>
        <v>5670300</v>
      </c>
      <c r="AW18" s="77">
        <f>'Cash-WW'!C7-AW17-AW19-AW20-AW21+'Cash-WW'!C10+AW33</f>
        <v>5096600</v>
      </c>
      <c r="AX18" s="77">
        <f>'Cash-WW'!D7-AX17-AX19-AX20-AX21+'Cash-WW'!D10+AX33</f>
        <v>4874700</v>
      </c>
      <c r="AY18" s="77">
        <f>'Cash-WW'!G7-AY17-AY19-AY20-AY21+'Cash-WW'!G10+AY33</f>
        <v>4739400</v>
      </c>
      <c r="AZ18" s="77">
        <f>'Cash-WW'!H7-AZ17-AZ19-AZ20-AZ21+'Cash-WW'!H10+AZ33</f>
        <v>4821200</v>
      </c>
      <c r="BA18" s="77">
        <f>'Cash-WW'!I7-BA17-BA19-BA20-BA21+'Cash-WW'!I10+BA33</f>
        <v>4915000</v>
      </c>
      <c r="BB18" s="77">
        <f>'Cash-WW'!J7-BB17-BB19-BB20-BB21+'Cash-WW'!J10+BB33</f>
        <v>5010300</v>
      </c>
      <c r="BC18" s="77">
        <f>'Cash-WW'!K7-BC17-BC19-BC20-BC21+'Cash-WW'!K10+BC33</f>
        <v>5121900</v>
      </c>
      <c r="BD18" s="77">
        <f>'Cash-WW'!L7-BD17-BD19-BD20-BD21+'Cash-WW'!L10+BD33</f>
        <v>5205000</v>
      </c>
      <c r="BE18" s="77">
        <f>'Cash-WW'!M7-BE17-BE19-BE20-BE21+'Cash-WW'!M10+BE33</f>
        <v>5304100</v>
      </c>
      <c r="BF18" s="79">
        <f>'Cash-WW'!N7-BF17-BF19-BF20-BF21+'Cash-WW'!N10+BF33</f>
        <v>5404400</v>
      </c>
      <c r="BG18" s="79">
        <f>'Cash-WW'!O7-BG17-BG19-BG20-BG21+'Cash-WW'!O10+BG33</f>
        <v>5438900</v>
      </c>
      <c r="BH18" s="79">
        <f>'Cash-WW'!P7-BH17-BH19-BH20-BH21+'Cash-WW'!P10+BH33</f>
        <v>5556100</v>
      </c>
      <c r="BI18" s="78">
        <f>'Cash-WW'!Q7-BI17-BI19-BI20-BI21+'Cash-WW'!Q10+BI33</f>
        <v>5633700</v>
      </c>
    </row>
    <row r="19" spans="1:61" s="726" customFormat="1" x14ac:dyDescent="0.2">
      <c r="A19" s="655" t="s">
        <v>2152</v>
      </c>
      <c r="B19" s="1902">
        <f t="shared" si="20"/>
        <v>6839800</v>
      </c>
      <c r="C19" s="1300">
        <f t="shared" si="20"/>
        <v>6561400</v>
      </c>
      <c r="D19" s="1894">
        <f t="shared" si="20"/>
        <v>5993600</v>
      </c>
      <c r="E19" s="1894">
        <f t="shared" si="20"/>
        <v>5523000</v>
      </c>
      <c r="F19" s="1894">
        <f t="shared" si="20"/>
        <v>5620400</v>
      </c>
      <c r="G19" s="1894">
        <f t="shared" si="20"/>
        <v>5173300</v>
      </c>
      <c r="H19" s="1894">
        <f t="shared" si="20"/>
        <v>4892600</v>
      </c>
      <c r="I19" s="1894">
        <f t="shared" si="20"/>
        <v>4490500</v>
      </c>
      <c r="J19" s="1894">
        <f t="shared" si="20"/>
        <v>4470600</v>
      </c>
      <c r="K19" s="1894">
        <f t="shared" si="20"/>
        <v>4109800</v>
      </c>
      <c r="L19" s="79">
        <f t="shared" si="20"/>
        <v>3790200</v>
      </c>
      <c r="M19" s="79">
        <f t="shared" si="20"/>
        <v>3490900</v>
      </c>
      <c r="N19" s="79">
        <f t="shared" si="20"/>
        <v>3212000</v>
      </c>
      <c r="O19" s="79">
        <f t="shared" si="20"/>
        <v>2952200</v>
      </c>
      <c r="P19" s="587">
        <f t="shared" si="20"/>
        <v>2690300</v>
      </c>
      <c r="Q19" s="77">
        <f>ROUND(SP!B132+SP!B574+DEH!B189+++CIV!B267+CIV!B333+CIV!B500+GM!B414+++CIV!B716+CIV!B640+GM!B350+'Cash-Gen'!A50+SP!B231+SP!B238,-2)</f>
        <v>1679000</v>
      </c>
      <c r="R19" s="77">
        <f>ROUND(SP!C132+SP!C574+DEH!C189+++CIV!C267+CIV!C333+CIV!C500+GM!C414+++CIV!C716+CIV!C640+GM!C350+'Cash-Gen'!B50+SP!C231+SP!C238,-2)</f>
        <v>1564600</v>
      </c>
      <c r="S19" s="77">
        <f>ROUND(SP!D132+SP!D574+DEH!D189+++CIV!D267+CIV!D333+CIV!D500+GM!D414+++CIV!D716+CIV!D640+GM!D350+'Cash-Gen'!C50+SP!D231+SP!D238,-2)</f>
        <v>1334300</v>
      </c>
      <c r="T19" s="77">
        <f>ROUND(SP!E132+SP!E574+DEH!E189+++CIV!E267+CIV!E333+CIV!E500+GM!E414+++CIV!E716+CIV!E640+GM!E350+'Cash-Gen'!D50+SP!E231+SP!E238,-2)</f>
        <v>1074400</v>
      </c>
      <c r="U19" s="77">
        <f>ROUND(SP!H132+SP!H574+DEH!H189+++CIV!H267+CIV!H333+CIV!H500+GM!H414+++CIV!H716+CIV!H640+GM!H350+'Cash-Gen'!F50+SP!H238+SP!H231,-2)</f>
        <v>1370500</v>
      </c>
      <c r="V19" s="77">
        <f>ROUND(SP!J132+SP!J574+DEH!J189+++CIV!J267+CIV!J333+CIV!J500+GM!J414+++CIV!J716+CIV!J640+GM!J350+'Cash-Gen'!G50+SP!J238+SP!J231,-2)</f>
        <v>1295000</v>
      </c>
      <c r="W19" s="77">
        <f>ROUND(SP!K132+SP!K574+DEH!K189+++CIV!K267+CIV!K333+CIV!K500+GM!K414+++CIV!K716+CIV!K640+GM!K350+'Cash-Gen'!H50+SP!K238+SP!K231,-2)</f>
        <v>1225600</v>
      </c>
      <c r="X19" s="77">
        <f>ROUND(SP!L132+SP!L574+DEH!L189+++CIV!L267+CIV!L333+CIV!L500+GM!L414+++CIV!L716+CIV!L640+GM!L350+'Cash-Gen'!I50+SP!L238+SP!L231,-2)</f>
        <v>1050700</v>
      </c>
      <c r="Y19" s="77">
        <f>ROUND(SP!M132+SP!M574+DEH!M189+++CIV!M267+CIV!M333+CIV!M500+GM!M414+++CIV!M716+CIV!M640+GM!M350+'Cash-Gen'!J50+SP!M238+SP!M231,-2)</f>
        <v>1231400</v>
      </c>
      <c r="Z19" s="77">
        <f>ROUND(SP!N132+SP!N574+DEH!N189+++CIV!N267+CIV!N333+CIV!N500+GM!N414+++CIV!N716+CIV!N640+GM!N350+'Cash-Gen'!K50+SP!N238+SP!N231,-2)</f>
        <v>1060600</v>
      </c>
      <c r="AA19" s="77">
        <f>ROUND(SP!O132+SP!O574+DEH!O189+++CIV!O267+CIV!O333+CIV!O500+GM!O414+++CIV!O716+CIV!O640+GM!O350+'Cash-Gen'!L50+SP!O238+SP!O231,-2)</f>
        <v>933900</v>
      </c>
      <c r="AB19" s="79">
        <f>ROUND(SP!P132+SP!P574+DEH!P189+++CIV!P267+CIV!P333+CIV!P500+GM!P414+++CIV!P716+CIV!P640+GM!P350+'Cash-Gen'!M50+SP!P238+SP!P231,-2)</f>
        <v>832600</v>
      </c>
      <c r="AC19" s="31">
        <f>ROUND(SP!Q132+SP!Q574+DEH!Q189+++CIV!Q267+CIV!Q333+CIV!Q500+GM!Q414+++CIV!Q716+CIV!Q640+GM!Q350+'Cash-Gen'!N50+SP!Q238+SP!Q231,-2)</f>
        <v>748700</v>
      </c>
      <c r="AD19" s="31">
        <f>ROUND(SP!R132+SP!R574+DEH!R189+++CIV!R267+CIV!R333+CIV!R500+GM!R414+++CIV!R716+CIV!R640+GM!R350+'Cash-Gen'!O50+SP!R238+SP!R231,-2)</f>
        <v>685900</v>
      </c>
      <c r="AE19" s="582">
        <f>ROUND(SP!S132+SP!S574+DEH!S189+++CIV!S267+CIV!S333+CIV!S500+GM!S414+++CIV!S716+CIV!S640+GM!S350+'Cash-Gen'!P50+SP!S238+SP!S231,-2)</f>
        <v>622000</v>
      </c>
      <c r="AF19" s="77">
        <f>'W&amp;W'!B75</f>
        <v>0</v>
      </c>
      <c r="AG19" s="77">
        <f>'W&amp;W'!C75</f>
        <v>0</v>
      </c>
      <c r="AH19" s="79">
        <f>'W&amp;W'!D75</f>
        <v>0</v>
      </c>
      <c r="AI19" s="79">
        <f>'W&amp;W'!E75</f>
        <v>0</v>
      </c>
      <c r="AJ19" s="30">
        <f>'W&amp;W'!H75</f>
        <v>0</v>
      </c>
      <c r="AK19" s="30">
        <f>'W&amp;W'!J75</f>
        <v>0</v>
      </c>
      <c r="AL19" s="30">
        <f>'W&amp;W'!K75</f>
        <v>0</v>
      </c>
      <c r="AM19" s="30">
        <f>'W&amp;W'!L75</f>
        <v>0</v>
      </c>
      <c r="AN19" s="30">
        <f>'W&amp;W'!M75</f>
        <v>0</v>
      </c>
      <c r="AO19" s="30">
        <f>'W&amp;W'!N75</f>
        <v>0</v>
      </c>
      <c r="AP19" s="79">
        <f>'W&amp;W'!O75</f>
        <v>0</v>
      </c>
      <c r="AQ19" s="79">
        <f>'W&amp;W'!P75</f>
        <v>0</v>
      </c>
      <c r="AR19" s="79">
        <f>'W&amp;W'!Q75</f>
        <v>0</v>
      </c>
      <c r="AS19" s="79">
        <f>'W&amp;W'!R75</f>
        <v>0</v>
      </c>
      <c r="AT19" s="587">
        <f>'W&amp;W'!S75</f>
        <v>0</v>
      </c>
      <c r="AU19" s="77">
        <f>'W&amp;W'!B138+'W&amp;W'!B524</f>
        <v>5160800</v>
      </c>
      <c r="AV19" s="77">
        <f>'W&amp;W'!C138+'W&amp;W'!C524</f>
        <v>4996800</v>
      </c>
      <c r="AW19" s="77">
        <f>'W&amp;W'!D138+'W&amp;W'!D524</f>
        <v>4659300</v>
      </c>
      <c r="AX19" s="77">
        <f>'W&amp;W'!E138+'W&amp;W'!E524</f>
        <v>4448600</v>
      </c>
      <c r="AY19" s="77">
        <f>'W&amp;W'!H138+'W&amp;W'!H524</f>
        <v>4249900</v>
      </c>
      <c r="AZ19" s="77">
        <f>'W&amp;W'!J138+'W&amp;W'!J524</f>
        <v>3878300</v>
      </c>
      <c r="BA19" s="77">
        <f>'W&amp;W'!K138+'W&amp;W'!K524</f>
        <v>3667000</v>
      </c>
      <c r="BB19" s="77">
        <f>'W&amp;W'!L138+'W&amp;W'!L524</f>
        <v>3439800</v>
      </c>
      <c r="BC19" s="77">
        <f>'W&amp;W'!M138+'W&amp;W'!M524</f>
        <v>3239200</v>
      </c>
      <c r="BD19" s="77">
        <f>'W&amp;W'!N138+'W&amp;W'!N524</f>
        <v>3049200</v>
      </c>
      <c r="BE19" s="79">
        <f>'W&amp;W'!O138+'W&amp;W'!O524</f>
        <v>2856300</v>
      </c>
      <c r="BF19" s="79">
        <f>'W&amp;W'!P138+'W&amp;W'!P524</f>
        <v>2658300</v>
      </c>
      <c r="BG19" s="79">
        <f>'W&amp;W'!Q138+'W&amp;W'!Q524</f>
        <v>2463300</v>
      </c>
      <c r="BH19" s="79">
        <f>'W&amp;W'!R138+'W&amp;W'!R524</f>
        <v>2266300</v>
      </c>
      <c r="BI19" s="78">
        <f>'W&amp;W'!S138+'W&amp;W'!S524</f>
        <v>2068300</v>
      </c>
    </row>
    <row r="20" spans="1:61" s="726" customFormat="1" x14ac:dyDescent="0.2">
      <c r="A20" s="655" t="s">
        <v>2035</v>
      </c>
      <c r="B20" s="1902">
        <f t="shared" si="20"/>
        <v>20368300</v>
      </c>
      <c r="C20" s="1300">
        <f t="shared" si="20"/>
        <v>17937300</v>
      </c>
      <c r="D20" s="1894">
        <f t="shared" si="20"/>
        <v>19197600</v>
      </c>
      <c r="E20" s="1894">
        <f t="shared" si="20"/>
        <v>15978600</v>
      </c>
      <c r="F20" s="1894">
        <f t="shared" si="20"/>
        <v>18538900</v>
      </c>
      <c r="G20" s="1894">
        <f t="shared" si="20"/>
        <v>19013400</v>
      </c>
      <c r="H20" s="1894">
        <f t="shared" si="20"/>
        <v>19486200</v>
      </c>
      <c r="I20" s="1894">
        <f t="shared" si="20"/>
        <v>19877800</v>
      </c>
      <c r="J20" s="1894">
        <f t="shared" si="20"/>
        <v>20276700</v>
      </c>
      <c r="K20" s="1894">
        <f t="shared" si="20"/>
        <v>20684000</v>
      </c>
      <c r="L20" s="79">
        <f t="shared" si="20"/>
        <v>21098600</v>
      </c>
      <c r="M20" s="79">
        <f t="shared" si="20"/>
        <v>21522000</v>
      </c>
      <c r="N20" s="79">
        <f t="shared" si="20"/>
        <v>21954300</v>
      </c>
      <c r="O20" s="79">
        <f t="shared" si="20"/>
        <v>22394300</v>
      </c>
      <c r="P20" s="587">
        <f t="shared" si="20"/>
        <v>22843000</v>
      </c>
      <c r="Q20" s="77">
        <f>ROUND('Cash-Gen'!A48,-2)</f>
        <v>15865700</v>
      </c>
      <c r="R20" s="1401">
        <f>'Cash-Gen'!B48</f>
        <v>14144300</v>
      </c>
      <c r="S20" s="1568">
        <f>'Cash-Gen'!C48</f>
        <v>14166800</v>
      </c>
      <c r="T20" s="1568">
        <f>'Cash-Gen'!D48</f>
        <v>11005700</v>
      </c>
      <c r="U20" s="77">
        <f>'Cash-Gen'!F48</f>
        <v>13383900</v>
      </c>
      <c r="V20" s="77">
        <f>'Cash-Gen'!G48</f>
        <v>13754800</v>
      </c>
      <c r="W20" s="79">
        <f>'Cash-Gen'!H48</f>
        <v>14122400</v>
      </c>
      <c r="X20" s="79">
        <f>'Cash-Gen'!I48</f>
        <v>14406200</v>
      </c>
      <c r="Y20" s="79">
        <f>'Cash-Gen'!J48</f>
        <v>14695800</v>
      </c>
      <c r="Z20" s="79">
        <f>'Cash-Gen'!K48</f>
        <v>14991200</v>
      </c>
      <c r="AA20" s="79">
        <f>'Cash-Gen'!L48</f>
        <v>15292300</v>
      </c>
      <c r="AB20" s="79">
        <f>'Cash-Gen'!M48</f>
        <v>15599600</v>
      </c>
      <c r="AC20" s="31">
        <f>'Cash-Gen'!N48</f>
        <v>15913100</v>
      </c>
      <c r="AD20" s="31">
        <f>'Cash-Gen'!O48</f>
        <v>16232700</v>
      </c>
      <c r="AE20" s="582">
        <f>'Cash-Gen'!P48</f>
        <v>16558400</v>
      </c>
      <c r="AF20" s="77">
        <f>'Cash-W'!A10</f>
        <v>1859500</v>
      </c>
      <c r="AG20" s="77">
        <f>'Cash-W'!B10</f>
        <v>1478700</v>
      </c>
      <c r="AH20" s="77">
        <f>'Cash-W'!C10</f>
        <v>1498900</v>
      </c>
      <c r="AI20" s="77">
        <f>'Cash-W'!D10</f>
        <v>1399600</v>
      </c>
      <c r="AJ20" s="77">
        <f>'Cash-W'!G10</f>
        <v>1380000</v>
      </c>
      <c r="AK20" s="77">
        <f>'Cash-W'!H10</f>
        <v>1407600</v>
      </c>
      <c r="AL20" s="77">
        <f>'Cash-W'!I10</f>
        <v>1435800</v>
      </c>
      <c r="AM20" s="77">
        <f>'Cash-W'!J10</f>
        <v>1464600</v>
      </c>
      <c r="AN20" s="77">
        <f>'Cash-W'!K10</f>
        <v>1493900</v>
      </c>
      <c r="AO20" s="77">
        <f>'Cash-W'!L10</f>
        <v>1523800</v>
      </c>
      <c r="AP20" s="77">
        <f>'Cash-W'!M10</f>
        <v>1554300</v>
      </c>
      <c r="AQ20" s="79">
        <f>'Cash-W'!N10</f>
        <v>1585400</v>
      </c>
      <c r="AR20" s="79">
        <f>'Cash-W'!O10</f>
        <v>1617200</v>
      </c>
      <c r="AS20" s="79">
        <f>'Cash-W'!P10</f>
        <v>1649600</v>
      </c>
      <c r="AT20" s="587">
        <f>'Cash-W'!Q10</f>
        <v>1682600</v>
      </c>
      <c r="AU20" s="77">
        <f>'Cash-WW'!A10</f>
        <v>2643100</v>
      </c>
      <c r="AV20" s="77">
        <f>'Cash-WW'!B10</f>
        <v>2314300</v>
      </c>
      <c r="AW20" s="77">
        <f>'Cash-WW'!C10</f>
        <v>3531900</v>
      </c>
      <c r="AX20" s="77">
        <f>'Cash-WW'!D10</f>
        <v>3573300</v>
      </c>
      <c r="AY20" s="79">
        <f>'Cash-WW'!G10</f>
        <v>3775000</v>
      </c>
      <c r="AZ20" s="79">
        <f>'Cash-WW'!H10</f>
        <v>3851000</v>
      </c>
      <c r="BA20" s="79">
        <f>'Cash-WW'!I10</f>
        <v>3928000</v>
      </c>
      <c r="BB20" s="79">
        <f>'Cash-WW'!J10</f>
        <v>4007000</v>
      </c>
      <c r="BC20" s="79">
        <f>'Cash-WW'!K10</f>
        <v>4087000</v>
      </c>
      <c r="BD20" s="79">
        <f>'Cash-WW'!L10</f>
        <v>4169000</v>
      </c>
      <c r="BE20" s="79">
        <f>'Cash-WW'!M10</f>
        <v>4252000</v>
      </c>
      <c r="BF20" s="79">
        <f>'Cash-WW'!N10</f>
        <v>4337000</v>
      </c>
      <c r="BG20" s="79">
        <f>'Cash-WW'!O10</f>
        <v>4424000</v>
      </c>
      <c r="BH20" s="79">
        <f>'Cash-WW'!P10</f>
        <v>4512000</v>
      </c>
      <c r="BI20" s="78">
        <f>'Cash-WW'!Q10</f>
        <v>4602000</v>
      </c>
    </row>
    <row r="21" spans="1:61" s="726" customFormat="1" x14ac:dyDescent="0.2">
      <c r="A21" s="655" t="s">
        <v>408</v>
      </c>
      <c r="B21" s="641">
        <f t="shared" si="20"/>
        <v>11258500</v>
      </c>
      <c r="C21" s="31">
        <f t="shared" si="20"/>
        <v>11427700</v>
      </c>
      <c r="D21" s="30">
        <f t="shared" si="20"/>
        <v>11605100</v>
      </c>
      <c r="E21" s="30">
        <f t="shared" si="20"/>
        <v>12188500</v>
      </c>
      <c r="F21" s="30">
        <f t="shared" si="20"/>
        <v>12063800</v>
      </c>
      <c r="G21" s="30">
        <f t="shared" si="20"/>
        <v>12289000</v>
      </c>
      <c r="H21" s="30">
        <f t="shared" si="20"/>
        <v>12590700</v>
      </c>
      <c r="I21" s="30">
        <f t="shared" si="20"/>
        <v>13169700</v>
      </c>
      <c r="J21" s="30">
        <f t="shared" si="20"/>
        <v>13275500</v>
      </c>
      <c r="K21" s="30">
        <f t="shared" si="20"/>
        <v>13681100</v>
      </c>
      <c r="L21" s="79">
        <f t="shared" si="20"/>
        <v>14011100</v>
      </c>
      <c r="M21" s="79">
        <f t="shared" si="20"/>
        <v>14703800</v>
      </c>
      <c r="N21" s="79">
        <f t="shared" si="20"/>
        <v>14802700</v>
      </c>
      <c r="O21" s="79">
        <f t="shared" si="20"/>
        <v>15198400</v>
      </c>
      <c r="P21" s="587">
        <f t="shared" si="20"/>
        <v>15613600</v>
      </c>
      <c r="Q21" s="77">
        <f>ROUND(++SUM(GM!B468:B481)+SUM(GM!B484:B486)+SUM(GM!B507:B510)+GM!B768++SUM(GM!B796:B798)+CIV!B320+SUM(CIV!B204:'CIV'!B206)+SP!B677+CIV!B857+CIV!B842+GM!B893+GM!B900+GM!B906+GM!B910+GM!B920+GM!B974+GM!B914+GM!B504+GM!B513+SUM(GM!B624:B635)+GM!B1071+GM!B1092+SP!B355+SP!B471+SP!B476+SP!B495+SP!B502+SP!B529+SP!B540+SP!B535+SP!B553+SP!B559+SP!B625+SP!B631+SP!B634+SP!B685+SP!B680+SP!B690+SP!B734+SP!B736+SP!B737+SP!B749+SP!B751+SP!B752+SP!B812+SP!B815+SP!B820+SP!B825+SP!B828+DEH!B251++DEH!B370+DEH!B437+DEH!B439+DEH!B438+CIV!B793++CIV!B778+CIV!B828+CIV!B836+CIV!B843+CIV!B842+CIV!B857+CIV!B908+CIV!B914++CIV!B923+CIV!B795+CIV!B1193+CIV!B1184+CIV!B1340+CIV!B1341+CIV!B1360+CIV!B1679+CIV!B1687+CIV!B1690+CIV!B1820+CIV!B1931,-2)</f>
        <v>4927500</v>
      </c>
      <c r="R21" s="77">
        <f>ROUND(++SUM(GM!C468:C481)+SUM(GM!C484:C486)+SUM(GM!C507:C510)+GM!C768++SUM(GM!C796:C798)+CIV!C320+SUM(CIV!C204:'CIV'!C206)+SP!C677+CIV!C857+CIV!C842+GM!C893+GM!C900+GM!C906+GM!C910+GM!C920+GM!C974+GM!C914+GM!C504+GM!C513+SUM(GM!C624:C635)+GM!C1071+GM!C1092+SP!C355+SP!C471+SP!C476+SP!C495+SP!C502+SP!C529+SP!C540+SP!C535+SP!C553+SP!C559+SP!C625+SP!C631+SP!C634+SP!C685+SP!C680+SP!C690+SP!C734+SP!C736+SP!C737+SP!C749+SP!C751+SP!C752+SP!C812+SP!C815+SP!C820+SP!C825+SP!C828+DEH!C251++DEH!C370+DEH!C437+DEH!C439+DEH!C438+CIV!C793++CIV!C778+CIV!C828+CIV!C836+CIV!C843+CIV!C842+CIV!C857+CIV!C908+CIV!C914++CIV!C923+CIV!C795+CIV!C1193+CIV!C1184+CIV!C1340+CIV!C1341+CIV!C1360+CIV!C1679+CIV!C1687+CIV!C1690+CIV!C1820+CIV!C1931,-2)</f>
        <v>4897100</v>
      </c>
      <c r="S21" s="77">
        <f>ROUND(++SUM(GM!D468:D481)+SUM(GM!D484:D486)+SUM(GM!D507:D510)+GM!D768++SUM(GM!D796:D798)+CIV!D320+SUM(CIV!D204:'CIV'!D206)+SP!D677+CIV!D857+CIV!D842+GM!D893+GM!D900+GM!D906+GM!D910+GM!D920+GM!D974+GM!D914+GM!D504+GM!D513+SUM(GM!D624:D635)+GM!D1071+GM!D1092+SP!D355+SP!D471+SP!D476+SP!D495+SP!D502+SP!D529+SP!D540+SP!D535+SP!D553+SP!D559+SP!D625+SP!D631+SP!D634+SP!D685+SP!D680+SP!D690+SP!D734+SP!D736+SP!D737+SP!D749+SP!D751+SP!D752+SP!D812+SP!D815+SP!D820+SP!D825+SP!D828+DEH!D251++DEH!D370+DEH!D437+DEH!D439+DEH!D438+CIV!D793++CIV!D778+CIV!D828+CIV!D836+CIV!D843+CIV!D842+CIV!D857+CIV!D908+CIV!D914++CIV!D923+CIV!D795+CIV!D1193+CIV!D1184+CIV!D1340+CIV!D1341+CIV!D1360+CIV!D1679+CIV!D1687+CIV!D1690+CIV!D1820+CIV!D1931,-2)</f>
        <v>5094400</v>
      </c>
      <c r="T21" s="77">
        <f>ROUND(++SUM(GM!E468:E481)+SUM(GM!E484:E486)+SUM(GM!E507:E510)+GM!E768++SUM(GM!E796:E798)+CIV!E320+SUM(CIV!E204:'CIV'!E206)+SP!E677+CIV!E857+CIV!E842+GM!E893+GM!E900+GM!E906+GM!E910+GM!E920+GM!E974+GM!E914+GM!E504+GM!E513+SUM(GM!E624:E635)+GM!E1071+GM!E1092+SP!E355+SP!E471+SP!E476+SP!E495+SP!E502+SP!E529+SP!E540+SP!E535+SP!E553+SP!E559+SP!E625+SP!E631+SP!E634+SP!E685+SP!E680+SP!E690+SP!E734+SP!E736+SP!E737+SP!E749+SP!E751+SP!E752+SP!E812+SP!E815+SP!E820+SP!E825+SP!E828+DEH!E251++DEH!E370+DEH!E437+DEH!E439+DEH!E438+CIV!E793++CIV!E778+CIV!E828+CIV!E836+CIV!E843+CIV!E842+CIV!E857+CIV!E908+CIV!E914++CIV!E923+CIV!E795+CIV!E1193+CIV!E1184+CIV!E1340+CIV!E1341+CIV!E1360+CIV!E1679+CIV!E1687+CIV!E1690+CIV!E1820+CIV!E1931,-2)</f>
        <v>5283600</v>
      </c>
      <c r="U21" s="77">
        <f>ROUND(++SUM(GM!H468:H481)+SUM(GM!H484:H486)+SUM(GM!H507:H510)+GM!H768++SUM(GM!H796:H798)+CIV!H320+SUM(CIV!H204:'CIV'!H206)+SP!H677+CIV!H857+CIV!H842+GM!H893+GM!H900+GM!H906+GM!H910+GM!H920+GM!H974+GM!H914+GM!H504+GM!H513+SUM(GM!H624:H635)+GM!H1071+GM!H1092+SP!H355+SP!H471+SP!H476+SP!H495+SP!H502+SP!H529+SP!H540+SP!H535+SP!H553+SP!H559+SP!H625+SP!H631+SP!H634+SP!H685+SP!H680+SP!H690+SP!H734+SP!H736+SP!H737+SP!H749+SP!H751+SP!H752+SP!H812+SP!H815+SP!H820+SP!H825+SP!H828+DEH!H251++DEH!H370+DEH!H437+DEH!H439+DEH!H438+CIV!H793++CIV!H778+CIV!H828+CIV!H836+CIV!H843+CIV!H842+CIV!H857+CIV!H908+CIV!H914++CIV!H923+CIV!H795+CIV!H1193+CIV!H1184+CIV!H1340+CIV!H1341+CIV!H1360+CIV!H1679+CIV!H1687+CIV!H1690+CIV!H1820+CIV!H1931,-2)</f>
        <v>5254600</v>
      </c>
      <c r="V21" s="77">
        <f>ROUND(++SUM(GM!J468:J481)+SUM(GM!J484:J486)+SUM(GM!J507:J510)+GM!J768++SUM(GM!J796:J798)+CIV!J320+SUM(CIV!J204:'CIV'!J206)+SP!J677+CIV!J857+CIV!J842+GM!J893+GM!J900+GM!J906+GM!J910+GM!J920+GM!J974+GM!J914+GM!J504+GM!J513+SUM(GM!J624:J635)+GM!J1071+GM!J1092+SP!J355+SP!J471+SP!J476+SP!J495+SP!J502+SP!J529+SP!J540+SP!J535+SP!J553+SP!J559+SP!J625+SP!J631+SP!J634+SP!J685+SP!J680+SP!J690+SP!J734+SP!J736+SP!J737+SP!J749+SP!J751+SP!J752+SP!J812+SP!J815+SP!J820+SP!J825+SP!J828+DEH!J251++DEH!J370+DEH!J437+DEH!J439+DEH!J438+CIV!J793++CIV!J778+CIV!J828+CIV!J836+CIV!J843+CIV!J842+CIV!J857+CIV!J908+CIV!J914++CIV!J923+CIV!J795+CIV!J1193+CIV!J1184+CIV!J1340+CIV!J1341+CIV!J1360+CIV!J1679+CIV!J1687+CIV!J1690+CIV!J1820+CIV!J1931,-2)</f>
        <v>5404800</v>
      </c>
      <c r="W21" s="77">
        <f>ROUND(++SUM(GM!K468:K481)+SUM(GM!K484:K486)+SUM(GM!K507:K510)+GM!K768++SUM(GM!K796:K798)+CIV!K320+SUM(CIV!K204:'CIV'!K206)+SP!K677+CIV!K857+CIV!K842+GM!K893+GM!K900+GM!K906+GM!K910+GM!K920+GM!K974+GM!K914+GM!K504+GM!K513+SUM(GM!K624:K635)+GM!K1071+GM!K1092+SP!K355+SP!K471+SP!K476+SP!K495+SP!K502+SP!K529+SP!K540+SP!K535+SP!K553+SP!K559+SP!K625+SP!K631+SP!K634+SP!K685+SP!K680+SP!K690+SP!K734+SP!K736+SP!K737+SP!K749+SP!K751+SP!K752+SP!K812+SP!K815+SP!K820+SP!K825+SP!K828+DEH!K251++DEH!K370+DEH!K437+DEH!K439+DEH!K438+CIV!K793++CIV!K778+CIV!K828+CIV!K836+CIV!K843+CIV!K842+CIV!K857+CIV!K908+CIV!K914++CIV!K923+CIV!K795+CIV!K1193+CIV!K1184+CIV!K1340+CIV!K1341+CIV!K1360+CIV!K1679+CIV!K1687+CIV!K1690+CIV!K1820+CIV!K1931,-2)</f>
        <v>5545000</v>
      </c>
      <c r="X21" s="77">
        <f>ROUND(++SUM(GM!L468:L481)+SUM(GM!L484:L486)+SUM(GM!L507:L510)+GM!L768++SUM(GM!L796:L798)+CIV!L320+SUM(CIV!L204:'CIV'!L206)+SP!L677+CIV!L857+CIV!L842+GM!L893+GM!L900+GM!L906+GM!L910+GM!L920+GM!L974+GM!L914+GM!L504+GM!L513+SUM(GM!L624:L635)+GM!L1071+GM!L1092+SP!L355+SP!L471+SP!L476+SP!L495+SP!L502+SP!L529+SP!L540+SP!L535+SP!L553+SP!L559+SP!L625+SP!L631+SP!L634+SP!L685+SP!L680+SP!L690+SP!L734+SP!L736+SP!L737+SP!L749+SP!L751+SP!L752+SP!L812+SP!L815+SP!L820+SP!L825+SP!L828+DEH!L251++DEH!L370+DEH!L437+DEH!L439+DEH!L438+CIV!L793++CIV!L778+CIV!L828+CIV!L836+CIV!L843+CIV!L842+CIV!L857+CIV!L908+CIV!L914++CIV!L923+CIV!L795+CIV!L1193+CIV!L1184+CIV!L1340+CIV!L1341+CIV!L1360+CIV!L1679+CIV!L1687+CIV!L1690+CIV!L1820+CIV!L1931,-2)</f>
        <v>5959000</v>
      </c>
      <c r="Y21" s="77">
        <f>ROUND(++SUM(GM!M468:M481)+SUM(GM!M484:M486)+SUM(GM!M507:M510)+GM!M768++SUM(GM!M796:M798)+CIV!M320+SUM(CIV!M204:'CIV'!M206)+SP!M677+CIV!M857+CIV!M842+GM!M893+GM!M900+GM!M906+GM!M910+GM!M920+GM!M974+GM!M914+GM!M504+GM!M513+SUM(GM!M624:M635)+GM!M1071+GM!M1092+SP!M355+SP!M471+SP!M476+SP!M495+SP!M502+SP!M529+SP!M540+SP!M535+SP!M553+SP!M559+SP!M625+SP!M631+SP!M634+SP!M685+SP!M680+SP!M690+SP!M734+SP!M736+SP!M737+SP!M749+SP!M751+SP!M752+SP!M812+SP!M815+SP!M820+SP!M825+SP!M828+DEH!M251++DEH!M370+DEH!M437+DEH!M439+DEH!M438+CIV!M793++CIV!M778+CIV!M828+CIV!M836+CIV!M843+CIV!M842+CIV!M857+CIV!M908+CIV!M914++CIV!M923+CIV!M795+CIV!M1193+CIV!M1184+CIV!M1340+CIV!M1341+CIV!M1360+CIV!M1679+CIV!M1687+CIV!M1690+CIV!M1820+CIV!M1931,-2)</f>
        <v>5836200</v>
      </c>
      <c r="Z21" s="77">
        <f>ROUND(++SUM(GM!N468:N481)+SUM(GM!N484:N486)+SUM(GM!N507:N510)+GM!N768++SUM(GM!N796:N798)+CIV!N320+SUM(CIV!N204:'CIV'!N206)+SP!N677+CIV!N857+CIV!N842+GM!N893+GM!N900+GM!N906+GM!N910+GM!N920+GM!N974+GM!N914+GM!N504+GM!N513+SUM(GM!N624:N635)+GM!N1071+GM!N1092+SP!N355+SP!N471+SP!N476+SP!N495+SP!N502+SP!N529+SP!N540+SP!N535+SP!N553+SP!N559+SP!N625+SP!N631+SP!N634+SP!N685+SP!N680+SP!N690+SP!N734+SP!N736+SP!N737+SP!N749+SP!N751+SP!N752+SP!N812+SP!N815+SP!N820+SP!N825+SP!N828+DEH!N251++DEH!N370+DEH!N437+DEH!N439+DEH!N438+CIV!N793++CIV!N778+CIV!N828+CIV!N836+CIV!N843+CIV!N842+CIV!N857+CIV!N908+CIV!N914++CIV!N923+CIV!N795+CIV!N1193+CIV!N1184+CIV!N1340+CIV!N1341+CIV!N1360+CIV!N1679+CIV!N1687+CIV!N1690+CIV!N1820+CIV!N1931,-2)</f>
        <v>5986800</v>
      </c>
      <c r="AA21" s="77">
        <f>ROUND(++SUM(GM!O468:O481)+SUM(GM!O484:O486)+SUM(GM!O507:O510)+GM!O768++SUM(GM!O796:O798)+CIV!O320+SUM(CIV!O204:'CIV'!O206)+SP!O677+CIV!O857+CIV!O842+GM!O893+GM!O900+GM!O906+GM!O910+GM!O920+GM!O974+GM!O914+GM!O504+GM!O513+SUM(GM!O624:O635)+GM!O1071+GM!O1092+SP!O355+SP!O471+SP!O476+SP!O495+SP!O502+SP!O529+SP!O540+SP!O535+SP!O553+SP!O559+SP!O625+SP!O631+SP!O634+SP!O685+SP!O680+SP!O690+SP!O734+SP!O736+SP!O737+SP!O749+SP!O751+SP!O752+SP!O812+SP!O815+SP!O820+SP!O825+SP!O828+DEH!O251++DEH!O370+DEH!O437+DEH!O439+DEH!O438+CIV!O793++CIV!O778+CIV!O828+CIV!O836+CIV!O843+CIV!O842+CIV!O857+CIV!O908+CIV!O914++CIV!O923+CIV!O795+CIV!O1193+CIV!O1184+CIV!O1340+CIV!O1341+CIV!O1360+CIV!O1679+CIV!O1687+CIV!O1690+CIV!O1820+CIV!O1931,-2)</f>
        <v>6140500</v>
      </c>
      <c r="AB21" s="79">
        <f>ROUND(++SUM(GM!P468:P481)+SUM(GM!P484:P486)+SUM(GM!P507:P510)+GM!P768++SUM(GM!P796:P798)+CIV!P320+SUM(CIV!P204:'CIV'!P206)+SP!P677+CIV!P857+CIV!P842+GM!P893+GM!P900+GM!P906+GM!P910+GM!P920+GM!P974+GM!P914+GM!P504+GM!P513+SUM(GM!P624:P635)+GM!P1071+GM!P1092+SP!P355+SP!P471+SP!P476+SP!P495+SP!P502+SP!P529+SP!P540+SP!P535+SP!P553+SP!P559+SP!P625+SP!P631+SP!P634+SP!P685+SP!P680+SP!P690+SP!P734+SP!P736+SP!P737+SP!P749+SP!P751+SP!P752+SP!P812+SP!P815+SP!P820+SP!P825+SP!P828+DEH!P251++DEH!P370+DEH!P437+DEH!P439+DEH!P438+CIV!P793++CIV!P778+CIV!P828+CIV!P836+CIV!P843+CIV!P842+CIV!P857+CIV!P908+CIV!P914++CIV!P923+CIV!P795+CIV!P1193+CIV!P1184+CIV!P1340+CIV!P1341+CIV!P1360+CIV!P1679+CIV!P1687+CIV!P1690+CIV!P1820+CIV!P1931,-2)</f>
        <v>6600300</v>
      </c>
      <c r="AC21" s="31">
        <f>ROUND(++SUM(GM!Q468:Q481)+SUM(GM!Q484:Q486)+SUM(GM!Q507:Q510)+GM!Q768++SUM(GM!Q796:Q798)+CIV!Q320+SUM(CIV!Q204:'CIV'!Q206)+SP!Q677+CIV!Q857+CIV!Q842+GM!Q893+GM!Q900+GM!Q906+GM!Q910+GM!Q920+GM!Q974+GM!Q914+GM!Q504+GM!Q513+SUM(GM!Q624:Q635)+GM!Q1071+GM!Q1092+SP!Q355+SP!Q471+SP!Q476+SP!Q495+SP!Q502+SP!Q529+SP!Q540+SP!Q535+SP!Q553+SP!Q559+SP!Q625+SP!Q631+SP!Q634+SP!Q685+SP!Q680+SP!Q690+SP!Q734+SP!Q736+SP!Q737+SP!Q749+SP!Q751+SP!Q752+SP!Q812+SP!Q815+SP!Q820+SP!Q825+SP!Q828+DEH!Q251++DEH!Q370+DEH!Q437+DEH!Q439+DEH!Q438+CIV!Q793++CIV!Q778+CIV!Q828+CIV!Q836+CIV!Q843+CIV!Q842+CIV!Q857+CIV!Q908+CIV!Q914++CIV!Q923+CIV!Q795+CIV!Q1193+CIV!Q1184+CIV!Q1340+CIV!Q1341+CIV!Q1360+CIV!Q1679+CIV!Q1687+CIV!Q1690+CIV!Q1820+CIV!Q1931,-2)</f>
        <v>6459500</v>
      </c>
      <c r="AD21" s="31">
        <f>ROUND(++SUM(GM!R468:R481)+SUM(GM!R484:R486)+SUM(GM!R507:R510)+GM!R768++SUM(GM!R796:R798)+CIV!R320+SUM(CIV!R204:'CIV'!R206)+SP!R677+CIV!R857+CIV!R842+GM!R893+GM!R900+GM!R906+GM!R910+GM!R920+GM!R974+GM!R914+GM!R504+GM!R513+SUM(GM!R624:R635)+GM!R1071+GM!R1092+SP!R355+SP!R471+SP!R476+SP!R495+SP!R502+SP!R529+SP!R540+SP!R535+SP!R553+SP!R559+SP!R625+SP!R631+SP!R634+SP!R685+SP!R680+SP!R690+SP!R734+SP!R736+SP!R737+SP!R749+SP!R751+SP!R752+SP!R812+SP!R815+SP!R820+SP!R825+SP!R828+DEH!R251++DEH!R370+DEH!R437+DEH!R439+DEH!R438+CIV!R793++CIV!R778+CIV!R828+CIV!R836+CIV!R843+CIV!R842+CIV!R857+CIV!R908+CIV!R914++CIV!R923+CIV!R795+CIV!R1193+CIV!R1184+CIV!R1340+CIV!R1341+CIV!R1360+CIV!R1679+CIV!R1687+CIV!R1690+CIV!R1820+CIV!R1931,-2)</f>
        <v>6625700</v>
      </c>
      <c r="AE21" s="582">
        <f>ROUND(++SUM(GM!S468:S481)+SUM(GM!S484:S486)+SUM(GM!S507:S510)+GM!S768++SUM(GM!S796:S798)+CIV!S320+SUM(CIV!S204:'CIV'!S206)+SP!S677+CIV!S857+CIV!S842+GM!S893+GM!S900+GM!S906+GM!S910+GM!S920+GM!S974+GM!S914+GM!S504+GM!S513+SUM(GM!S624:S635)+GM!S1071+GM!S1092+SP!S355+SP!S471+SP!S476+SP!S495+SP!S502+SP!S529+SP!S540+SP!S535+SP!S553+SP!S559+SP!S625+SP!S631+SP!S634+SP!S685+SP!S680+SP!S690+SP!S734+SP!S736+SP!S737+SP!S749+SP!S751+SP!S752+SP!S812+SP!S815+SP!S820+SP!S825+SP!S828+DEH!S251++DEH!S370+DEH!S437+DEH!S439+DEH!S438+CIV!S793++CIV!S778+CIV!S828+CIV!S836+CIV!S843+CIV!S842+CIV!S857+CIV!S908+CIV!S914++CIV!S923+CIV!S795+CIV!S1193+CIV!S1184+CIV!S1340+CIV!S1341+CIV!S1360+CIV!S1679+CIV!S1687+CIV!S1690+CIV!S1820+CIV!S1931,-2)</f>
        <v>6796000</v>
      </c>
      <c r="AF21" s="77">
        <f>SUM(+SUM('W&amp;W'!B216:'W&amp;W'!B219)++SUM('W&amp;W'!B233:'W&amp;W'!B245)++'W&amp;W'!B257++'W&amp;W'!B213+'W&amp;W'!B263+'W&amp;W'!B264)</f>
        <v>5909700</v>
      </c>
      <c r="AG21" s="77">
        <f>SUM(+SUM('W&amp;W'!C216:'W&amp;W'!C219)++SUM('W&amp;W'!C233:'W&amp;W'!C245)++'W&amp;W'!C257++'W&amp;W'!C213+'W&amp;W'!C263+'W&amp;W'!C264)</f>
        <v>6200600</v>
      </c>
      <c r="AH21" s="77">
        <f>SUM(SUM('W&amp;W'!D216:'W&amp;W'!D219)++SUM('W&amp;W'!D233:'W&amp;W'!D245)++'W&amp;W'!D257++'W&amp;W'!D213+'W&amp;W'!D263+'W&amp;W'!D264)</f>
        <v>6172600</v>
      </c>
      <c r="AI21" s="77">
        <f>SUM(SUM('W&amp;W'!E216:'W&amp;W'!E219)++SUM('W&amp;W'!E233:'W&amp;W'!E245)++'W&amp;W'!E257++'W&amp;W'!E213+'W&amp;W'!E263+'W&amp;W'!E264)</f>
        <v>6533400</v>
      </c>
      <c r="AJ21" s="77">
        <f>SUM(SUM('W&amp;W'!H216:'W&amp;W'!H219)++SUM('W&amp;W'!H233:'W&amp;W'!H245)++'W&amp;W'!H257++'W&amp;W'!H213+'W&amp;W'!H263+'W&amp;W'!H264)</f>
        <v>6363200</v>
      </c>
      <c r="AK21" s="77">
        <f>SUM(SUM('W&amp;W'!J216:'W&amp;W'!J219)++SUM('W&amp;W'!J233:'W&amp;W'!J245)++'W&amp;W'!J257++'W&amp;W'!J213+'W&amp;W'!J263+'W&amp;W'!J264)</f>
        <v>6510300</v>
      </c>
      <c r="AL21" s="77">
        <f>SUM(SUM('W&amp;W'!K216:'W&amp;W'!K219)++SUM('W&amp;W'!K233:'W&amp;W'!K245)++'W&amp;W'!K257++'W&amp;W'!K213+'W&amp;W'!K263+'W&amp;W'!K264)</f>
        <v>6661800</v>
      </c>
      <c r="AM21" s="77">
        <f>SUM(SUM('W&amp;W'!L216:'W&amp;W'!L219)++SUM('W&amp;W'!L233:'W&amp;W'!L245)++'W&amp;W'!L257++'W&amp;W'!L213+'W&amp;W'!L263+'W&amp;W'!L264)</f>
        <v>6816700</v>
      </c>
      <c r="AN21" s="77">
        <f>SUM(SUM('W&amp;W'!M216:'W&amp;W'!M219)++SUM('W&amp;W'!M233:'W&amp;W'!M245)++'W&amp;W'!M257++'W&amp;W'!M213+'W&amp;W'!M263+'W&amp;W'!M264)</f>
        <v>7035000</v>
      </c>
      <c r="AO21" s="77">
        <f>SUM(SUM('W&amp;W'!N216:'W&amp;W'!N219)++SUM('W&amp;W'!N233:'W&amp;W'!N245)++'W&amp;W'!N257++'W&amp;W'!N213+'W&amp;W'!N263+'W&amp;W'!N264)</f>
        <v>7229400</v>
      </c>
      <c r="AP21" s="77">
        <f>SUM(SUM('W&amp;W'!O216:'W&amp;W'!O219)++SUM('W&amp;W'!O233:'W&amp;W'!O245)++'W&amp;W'!O257++'W&amp;W'!O213+'W&amp;W'!O263+'W&amp;W'!O264)</f>
        <v>7445000</v>
      </c>
      <c r="AQ21" s="77">
        <f>SUM(SUM('W&amp;W'!P216:'W&amp;W'!P219)++SUM('W&amp;W'!P233:'W&amp;W'!P245)++'W&amp;W'!P257++'W&amp;W'!P213+'W&amp;W'!P263+'W&amp;W'!P264)</f>
        <v>7666900</v>
      </c>
      <c r="AR21" s="79">
        <f>SUM(SUM('W&amp;W'!Q216:'W&amp;W'!Q219)++SUM('W&amp;W'!Q233:'W&amp;W'!Q245)++'W&amp;W'!Q257++'W&amp;W'!Q213+'W&amp;W'!Q263+'W&amp;W'!Q264)</f>
        <v>7895300</v>
      </c>
      <c r="AS21" s="79">
        <f>SUM(SUM('W&amp;W'!R216:'W&amp;W'!R219)++SUM('W&amp;W'!R233:'W&amp;W'!R245)++'W&amp;W'!R257++'W&amp;W'!R213+'W&amp;W'!R263+'W&amp;W'!R264)</f>
        <v>8113300</v>
      </c>
      <c r="AT21" s="587">
        <f>SUM(SUM('W&amp;W'!S216:'W&amp;W'!S219)++SUM('W&amp;W'!S233:'W&amp;W'!S245)++'W&amp;W'!S257++'W&amp;W'!S213+'W&amp;W'!S263+'W&amp;W'!S264)</f>
        <v>8296400</v>
      </c>
      <c r="AU21" s="77">
        <f>SUM('W&amp;W'!B416:B423)+SUM('W&amp;W'!B438:B441)+'W&amp;W'!B429</f>
        <v>421300</v>
      </c>
      <c r="AV21" s="77">
        <f>SUM('W&amp;W'!C416:C423)+SUM('W&amp;W'!C438:C441)+'W&amp;W'!C429</f>
        <v>330000</v>
      </c>
      <c r="AW21" s="77">
        <f>SUM('W&amp;W'!D416:D423)+SUM('W&amp;W'!D438:D441)+'W&amp;W'!D429</f>
        <v>338100</v>
      </c>
      <c r="AX21" s="77">
        <f>SUM('W&amp;W'!E416:E423)+SUM('W&amp;W'!E438:E441)+'W&amp;W'!E429</f>
        <v>371500</v>
      </c>
      <c r="AY21" s="77">
        <f>SUM('W&amp;W'!H416:H423)+SUM('W&amp;W'!H438:H441)+'W&amp;W'!H429</f>
        <v>446000</v>
      </c>
      <c r="AZ21" s="77">
        <f>SUM('W&amp;W'!J416:J423)+SUM('W&amp;W'!J438:J441)+'W&amp;W'!J429</f>
        <v>373900</v>
      </c>
      <c r="BA21" s="77">
        <f>SUM('W&amp;W'!K416:K423)+SUM('W&amp;W'!K438:K441)+'W&amp;W'!K429</f>
        <v>383900</v>
      </c>
      <c r="BB21" s="77">
        <f>SUM('W&amp;W'!L416:L423)+SUM('W&amp;W'!L438:L441)+'W&amp;W'!L429</f>
        <v>394000</v>
      </c>
      <c r="BC21" s="77">
        <f>SUM('W&amp;W'!M416:M423)+SUM('W&amp;W'!M438:M441)+'W&amp;W'!M429</f>
        <v>404300</v>
      </c>
      <c r="BD21" s="77">
        <f>SUM('W&amp;W'!N416:N423)+SUM('W&amp;W'!N438:N441)+'W&amp;W'!N429</f>
        <v>464900</v>
      </c>
      <c r="BE21" s="77">
        <f>SUM('W&amp;W'!O416:O423)+SUM('W&amp;W'!O438:O441)+'W&amp;W'!O429</f>
        <v>425600</v>
      </c>
      <c r="BF21" s="79">
        <f>SUM('W&amp;W'!P416:P423)+SUM('W&amp;W'!P438:P441)+'W&amp;W'!P429</f>
        <v>436600</v>
      </c>
      <c r="BG21" s="79">
        <f>SUM('W&amp;W'!Q416:Q423)+SUM('W&amp;W'!Q438:Q441)+'W&amp;W'!Q429</f>
        <v>447900</v>
      </c>
      <c r="BH21" s="79">
        <f>SUM('W&amp;W'!R416:R423)+SUM('W&amp;W'!R438:R441)+'W&amp;W'!R429</f>
        <v>459400</v>
      </c>
      <c r="BI21" s="78">
        <f>SUM('W&amp;W'!S416:S423)+SUM('W&amp;W'!S438:S441)+'W&amp;W'!S429</f>
        <v>521200</v>
      </c>
    </row>
    <row r="22" spans="1:61" s="726" customFormat="1" x14ac:dyDescent="0.2">
      <c r="A22" s="655" t="s">
        <v>2289</v>
      </c>
      <c r="B22" s="641">
        <f t="shared" si="20"/>
        <v>4112900</v>
      </c>
      <c r="C22" s="31">
        <f t="shared" si="20"/>
        <v>15604300</v>
      </c>
      <c r="D22" s="30">
        <f t="shared" si="20"/>
        <v>74800</v>
      </c>
      <c r="E22" s="30">
        <f t="shared" si="20"/>
        <v>5657500</v>
      </c>
      <c r="F22" s="30">
        <f t="shared" si="20"/>
        <v>0</v>
      </c>
      <c r="G22" s="30">
        <f t="shared" si="20"/>
        <v>0</v>
      </c>
      <c r="H22" s="30">
        <f t="shared" si="20"/>
        <v>0</v>
      </c>
      <c r="I22" s="30">
        <f t="shared" si="20"/>
        <v>0</v>
      </c>
      <c r="J22" s="30">
        <f t="shared" si="20"/>
        <v>0</v>
      </c>
      <c r="K22" s="30">
        <f t="shared" si="20"/>
        <v>0</v>
      </c>
      <c r="L22" s="79">
        <f t="shared" si="20"/>
        <v>0</v>
      </c>
      <c r="M22" s="79">
        <f t="shared" si="20"/>
        <v>0</v>
      </c>
      <c r="N22" s="79">
        <f t="shared" si="20"/>
        <v>0</v>
      </c>
      <c r="O22" s="79">
        <f t="shared" si="20"/>
        <v>0</v>
      </c>
      <c r="P22" s="587">
        <f t="shared" si="20"/>
        <v>0</v>
      </c>
      <c r="Q22" s="77">
        <f>CIV!B55+CIV!B503+GM!B42</f>
        <v>3981600</v>
      </c>
      <c r="R22" s="77">
        <f>CIV!C55+CIV!C503+GM!C42</f>
        <v>3366900</v>
      </c>
      <c r="S22" s="77">
        <f>CIV!D55+CIV!D503+GM!D42</f>
        <v>0</v>
      </c>
      <c r="T22" s="77">
        <f>CIV!E55+CIV!E503+GM!E42</f>
        <v>5241100</v>
      </c>
      <c r="U22" s="77">
        <f>CIV!H55+CIV!H503+GM!H42</f>
        <v>0</v>
      </c>
      <c r="V22" s="77">
        <f>CIV!J55+CIV!J503+GM!J42</f>
        <v>0</v>
      </c>
      <c r="W22" s="77">
        <f>CIV!K55+CIV!K503+GM!K42</f>
        <v>0</v>
      </c>
      <c r="X22" s="77">
        <f>CIV!L55+CIV!L503+GM!L42</f>
        <v>0</v>
      </c>
      <c r="Y22" s="77">
        <f>CIV!M55+CIV!M503+GM!M42</f>
        <v>0</v>
      </c>
      <c r="Z22" s="77">
        <f>CIV!N55+CIV!N503+GM!N42</f>
        <v>0</v>
      </c>
      <c r="AA22" s="79">
        <f>CIV!O55+CIV!O503+GM!O42</f>
        <v>0</v>
      </c>
      <c r="AB22" s="79">
        <f>CIV!P55+CIV!P503+GM!P42</f>
        <v>0</v>
      </c>
      <c r="AC22" s="31">
        <f>CIV!Q55+CIV!Q503+GM!Q42</f>
        <v>0</v>
      </c>
      <c r="AD22" s="31">
        <f>CIV!R55+CIV!R503+GM!R42</f>
        <v>0</v>
      </c>
      <c r="AE22" s="582">
        <f>CIV!S55+CIV!S503+GM!S42</f>
        <v>0</v>
      </c>
      <c r="AF22" s="77">
        <f>'W&amp;W'!B79</f>
        <v>111000</v>
      </c>
      <c r="AG22" s="77">
        <f>'W&amp;W'!C79</f>
        <v>20600</v>
      </c>
      <c r="AH22" s="77">
        <f>'W&amp;W'!D79</f>
        <v>64000</v>
      </c>
      <c r="AI22" s="77">
        <f>'W&amp;W'!E79</f>
        <v>0</v>
      </c>
      <c r="AJ22" s="77">
        <f>'W&amp;W'!H79</f>
        <v>0</v>
      </c>
      <c r="AK22" s="77">
        <f>'W&amp;W'!J79</f>
        <v>0</v>
      </c>
      <c r="AL22" s="77">
        <f>'W&amp;W'!K79</f>
        <v>0</v>
      </c>
      <c r="AM22" s="77">
        <f>'W&amp;W'!L79</f>
        <v>0</v>
      </c>
      <c r="AN22" s="77">
        <f>'W&amp;W'!M79</f>
        <v>0</v>
      </c>
      <c r="AO22" s="77">
        <f>'W&amp;W'!N79</f>
        <v>0</v>
      </c>
      <c r="AP22" s="79">
        <f>'W&amp;W'!O79</f>
        <v>0</v>
      </c>
      <c r="AQ22" s="79">
        <f>'W&amp;W'!P79</f>
        <v>0</v>
      </c>
      <c r="AR22" s="79">
        <f>'W&amp;W'!Q79</f>
        <v>0</v>
      </c>
      <c r="AS22" s="79">
        <f>'W&amp;W'!R79</f>
        <v>0</v>
      </c>
      <c r="AT22" s="587">
        <f>'W&amp;W'!S79</f>
        <v>0</v>
      </c>
      <c r="AU22" s="77">
        <f>'W&amp;W'!B523</f>
        <v>20300</v>
      </c>
      <c r="AV22" s="77">
        <f>'W&amp;W'!C523</f>
        <v>12216800</v>
      </c>
      <c r="AW22" s="77">
        <f>'W&amp;W'!D523</f>
        <v>10800</v>
      </c>
      <c r="AX22" s="77">
        <f>'W&amp;W'!E523</f>
        <v>416400</v>
      </c>
      <c r="AY22" s="77">
        <f>'W&amp;W'!H523</f>
        <v>0</v>
      </c>
      <c r="AZ22" s="77">
        <f>'W&amp;W'!J523</f>
        <v>0</v>
      </c>
      <c r="BA22" s="77">
        <f>'W&amp;W'!K523</f>
        <v>0</v>
      </c>
      <c r="BB22" s="77">
        <f>'W&amp;W'!L523</f>
        <v>0</v>
      </c>
      <c r="BC22" s="77">
        <f>'W&amp;W'!M523</f>
        <v>0</v>
      </c>
      <c r="BD22" s="77">
        <f>'W&amp;W'!N523</f>
        <v>0</v>
      </c>
      <c r="BE22" s="79">
        <f>'W&amp;W'!O523</f>
        <v>0</v>
      </c>
      <c r="BF22" s="79">
        <f>'W&amp;W'!P523</f>
        <v>0</v>
      </c>
      <c r="BG22" s="79">
        <f>'W&amp;W'!Q523</f>
        <v>0</v>
      </c>
      <c r="BH22" s="79">
        <f>'W&amp;W'!R523</f>
        <v>0</v>
      </c>
      <c r="BI22" s="78">
        <f>'W&amp;W'!S523</f>
        <v>0</v>
      </c>
    </row>
    <row r="23" spans="1:61" s="726" customFormat="1" ht="13.5" thickBot="1" x14ac:dyDescent="0.25">
      <c r="A23" s="655"/>
      <c r="B23" s="641"/>
      <c r="C23" s="31"/>
      <c r="D23" s="30"/>
      <c r="E23" s="30"/>
      <c r="F23" s="30"/>
      <c r="G23" s="30"/>
      <c r="H23" s="30"/>
      <c r="I23" s="30"/>
      <c r="J23" s="30"/>
      <c r="K23" s="30"/>
      <c r="L23" s="79"/>
      <c r="M23" s="79"/>
      <c r="N23" s="79"/>
      <c r="O23" s="79"/>
      <c r="P23" s="587"/>
      <c r="Q23" s="77"/>
      <c r="R23" s="77"/>
      <c r="S23" s="79"/>
      <c r="T23" s="79"/>
      <c r="U23" s="77"/>
      <c r="V23" s="77"/>
      <c r="W23" s="79"/>
      <c r="X23" s="79"/>
      <c r="Y23" s="79"/>
      <c r="Z23" s="79"/>
      <c r="AA23" s="79"/>
      <c r="AB23" s="79"/>
      <c r="AC23" s="31"/>
      <c r="AD23" s="31"/>
      <c r="AE23" s="582"/>
      <c r="AF23" s="77"/>
      <c r="AG23" s="77"/>
      <c r="AH23" s="79"/>
      <c r="AI23" s="30"/>
      <c r="AJ23" s="30"/>
      <c r="AK23" s="30"/>
      <c r="AL23" s="30"/>
      <c r="AM23" s="30"/>
      <c r="AN23" s="30"/>
      <c r="AO23" s="30"/>
      <c r="AP23" s="79"/>
      <c r="AQ23" s="79"/>
      <c r="AR23" s="79"/>
      <c r="AS23" s="79"/>
      <c r="AT23" s="587"/>
      <c r="AU23" s="77"/>
      <c r="AV23" s="77"/>
      <c r="AW23" s="77"/>
      <c r="AX23" s="77"/>
      <c r="AY23" s="79"/>
      <c r="AZ23" s="79"/>
      <c r="BA23" s="79"/>
      <c r="BB23" s="79"/>
      <c r="BC23" s="79"/>
      <c r="BD23" s="79"/>
      <c r="BE23" s="79"/>
      <c r="BF23" s="79"/>
      <c r="BG23" s="79"/>
      <c r="BH23" s="79"/>
      <c r="BI23" s="78"/>
    </row>
    <row r="24" spans="1:61" s="285" customFormat="1" x14ac:dyDescent="0.2">
      <c r="A24" s="1900" t="s">
        <v>752</v>
      </c>
      <c r="B24" s="1903">
        <f t="shared" ref="B24:BE24" si="21">SUM(B17:B23)</f>
        <v>84809400</v>
      </c>
      <c r="C24" s="1904">
        <f t="shared" si="21"/>
        <v>93871900</v>
      </c>
      <c r="D24" s="1905">
        <f t="shared" si="21"/>
        <v>82514700</v>
      </c>
      <c r="E24" s="1905">
        <f t="shared" si="21"/>
        <v>84588400</v>
      </c>
      <c r="F24" s="1905">
        <f t="shared" si="21"/>
        <v>84856700</v>
      </c>
      <c r="G24" s="1905">
        <f t="shared" si="21"/>
        <v>83420200</v>
      </c>
      <c r="H24" s="1905">
        <f t="shared" si="21"/>
        <v>85380100</v>
      </c>
      <c r="I24" s="1905">
        <f t="shared" si="21"/>
        <v>86817200</v>
      </c>
      <c r="J24" s="1905">
        <f t="shared" si="21"/>
        <v>88640900</v>
      </c>
      <c r="K24" s="1905">
        <f t="shared" si="21"/>
        <v>90243700</v>
      </c>
      <c r="L24" s="1597">
        <f t="shared" si="21"/>
        <v>92113800</v>
      </c>
      <c r="M24" s="1597">
        <f t="shared" ref="M24" si="22">SUM(M17:M23)</f>
        <v>94244100</v>
      </c>
      <c r="N24" s="1597">
        <f t="shared" ref="N24" si="23">SUM(N17:N23)</f>
        <v>95723400</v>
      </c>
      <c r="O24" s="1597">
        <f t="shared" ref="O24" si="24">SUM(O17:O23)</f>
        <v>97595400</v>
      </c>
      <c r="P24" s="1906">
        <f t="shared" ref="P24" si="25">SUM(P17:P23)</f>
        <v>99566600</v>
      </c>
      <c r="Q24" s="1907">
        <f t="shared" si="21"/>
        <v>56653400</v>
      </c>
      <c r="R24" s="1907">
        <f t="shared" si="21"/>
        <v>54307700</v>
      </c>
      <c r="S24" s="1597">
        <f t="shared" si="21"/>
        <v>54326100</v>
      </c>
      <c r="T24" s="1597">
        <f t="shared" ref="T24" si="26">SUM(T17:T23)</f>
        <v>55334600</v>
      </c>
      <c r="U24" s="102">
        <f t="shared" si="21"/>
        <v>55834000</v>
      </c>
      <c r="V24" s="102">
        <f t="shared" si="21"/>
        <v>54254800</v>
      </c>
      <c r="W24" s="16">
        <f t="shared" si="21"/>
        <v>55866900</v>
      </c>
      <c r="X24" s="16">
        <f t="shared" si="21"/>
        <v>56918300</v>
      </c>
      <c r="Y24" s="16">
        <f t="shared" si="21"/>
        <v>58240900</v>
      </c>
      <c r="Z24" s="16">
        <f t="shared" si="21"/>
        <v>59274100</v>
      </c>
      <c r="AA24" s="16">
        <f t="shared" si="21"/>
        <v>60731300</v>
      </c>
      <c r="AB24" s="16">
        <f t="shared" ref="AB24:AC24" si="27">SUM(AB17:AB23)</f>
        <v>62336000</v>
      </c>
      <c r="AC24" s="124">
        <f t="shared" si="27"/>
        <v>63335400</v>
      </c>
      <c r="AD24" s="124">
        <f t="shared" ref="AD24:AE24" si="28">SUM(AD17:AD23)</f>
        <v>64646500</v>
      </c>
      <c r="AE24" s="1254">
        <f t="shared" si="28"/>
        <v>66070700</v>
      </c>
      <c r="AF24" s="102">
        <f t="shared" si="21"/>
        <v>11111600</v>
      </c>
      <c r="AG24" s="102">
        <f t="shared" si="21"/>
        <v>10817000</v>
      </c>
      <c r="AH24" s="16">
        <f t="shared" si="21"/>
        <v>10875900</v>
      </c>
      <c r="AI24" s="323">
        <f t="shared" si="21"/>
        <v>11120300</v>
      </c>
      <c r="AJ24" s="323">
        <f t="shared" si="21"/>
        <v>11225400</v>
      </c>
      <c r="AK24" s="323">
        <f t="shared" si="21"/>
        <v>11512000</v>
      </c>
      <c r="AL24" s="323">
        <f t="shared" si="21"/>
        <v>11743300</v>
      </c>
      <c r="AM24" s="323">
        <f t="shared" si="21"/>
        <v>12020800</v>
      </c>
      <c r="AN24" s="323">
        <f t="shared" si="21"/>
        <v>12364600</v>
      </c>
      <c r="AO24" s="323">
        <f t="shared" si="21"/>
        <v>12737500</v>
      </c>
      <c r="AP24" s="16">
        <f t="shared" si="21"/>
        <v>13034500</v>
      </c>
      <c r="AQ24" s="16">
        <f t="shared" ref="AQ24:AR24" si="29">SUM(AQ17:AQ23)</f>
        <v>13390800</v>
      </c>
      <c r="AR24" s="16">
        <f t="shared" si="29"/>
        <v>13756900</v>
      </c>
      <c r="AS24" s="16">
        <f t="shared" ref="AS24" si="30">SUM(AS17:AS23)</f>
        <v>14116100</v>
      </c>
      <c r="AT24" s="90">
        <f t="shared" ref="AT24" si="31">SUM(AT17:AT23)</f>
        <v>14443700</v>
      </c>
      <c r="AU24" s="102">
        <f t="shared" si="21"/>
        <v>17044400</v>
      </c>
      <c r="AV24" s="102">
        <f t="shared" si="21"/>
        <v>28747200</v>
      </c>
      <c r="AW24" s="102">
        <f t="shared" si="21"/>
        <v>17312700</v>
      </c>
      <c r="AX24" s="102">
        <f t="shared" ref="AX24" si="32">SUM(AX17:AX23)</f>
        <v>18133500</v>
      </c>
      <c r="AY24" s="102">
        <f t="shared" si="21"/>
        <v>17797300</v>
      </c>
      <c r="AZ24" s="102">
        <f t="shared" si="21"/>
        <v>17653400</v>
      </c>
      <c r="BA24" s="102">
        <f t="shared" si="21"/>
        <v>17769900</v>
      </c>
      <c r="BB24" s="102">
        <f t="shared" si="21"/>
        <v>17878100</v>
      </c>
      <c r="BC24" s="102">
        <f t="shared" si="21"/>
        <v>18035400</v>
      </c>
      <c r="BD24" s="102">
        <f t="shared" si="21"/>
        <v>18232100</v>
      </c>
      <c r="BE24" s="16">
        <f t="shared" si="21"/>
        <v>18348000</v>
      </c>
      <c r="BF24" s="16">
        <f t="shared" ref="BF24" si="33">SUM(BF17:BF23)</f>
        <v>18517300</v>
      </c>
      <c r="BG24" s="16">
        <f t="shared" ref="BG24" si="34">SUM(BG17:BG23)</f>
        <v>18631100</v>
      </c>
      <c r="BH24" s="16">
        <f t="shared" ref="BH24" si="35">SUM(BH17:BH23)</f>
        <v>18832800</v>
      </c>
      <c r="BI24" s="60">
        <f t="shared" ref="BI24" si="36">SUM(BI17:BI23)</f>
        <v>19052200</v>
      </c>
    </row>
    <row r="25" spans="1:61" s="726" customFormat="1" x14ac:dyDescent="0.2">
      <c r="A25" s="655"/>
      <c r="B25" s="1902"/>
      <c r="C25" s="1401"/>
      <c r="D25" s="1568"/>
      <c r="E25" s="1568"/>
      <c r="F25" s="1568"/>
      <c r="G25" s="1568"/>
      <c r="H25" s="1568"/>
      <c r="I25" s="1568"/>
      <c r="J25" s="1568"/>
      <c r="K25" s="1568"/>
      <c r="L25" s="1568"/>
      <c r="M25" s="1568"/>
      <c r="N25" s="1568"/>
      <c r="O25" s="1568"/>
      <c r="P25" s="1896"/>
      <c r="Q25" s="1401"/>
      <c r="R25" s="1401"/>
      <c r="S25" s="1568"/>
      <c r="T25" s="1568"/>
      <c r="U25" s="77"/>
      <c r="V25" s="77"/>
      <c r="W25" s="79"/>
      <c r="X25" s="79"/>
      <c r="Y25" s="79"/>
      <c r="Z25" s="79"/>
      <c r="AA25" s="79"/>
      <c r="AB25" s="79"/>
      <c r="AC25" s="31"/>
      <c r="AD25" s="31"/>
      <c r="AE25" s="582"/>
      <c r="AF25" s="77"/>
      <c r="AG25" s="77"/>
      <c r="AH25" s="79"/>
      <c r="AI25" s="30"/>
      <c r="AJ25" s="30"/>
      <c r="AK25" s="30"/>
      <c r="AL25" s="30"/>
      <c r="AM25" s="30"/>
      <c r="AN25" s="30"/>
      <c r="AO25" s="30"/>
      <c r="AP25" s="79"/>
      <c r="AQ25" s="79"/>
      <c r="AR25" s="79"/>
      <c r="AS25" s="79"/>
      <c r="AT25" s="587"/>
      <c r="AU25" s="77"/>
      <c r="AV25" s="77"/>
      <c r="AW25" s="77"/>
      <c r="AX25" s="77"/>
      <c r="AY25" s="79"/>
      <c r="AZ25" s="79"/>
      <c r="BA25" s="79"/>
      <c r="BB25" s="79"/>
      <c r="BC25" s="79"/>
      <c r="BD25" s="79"/>
      <c r="BE25" s="79"/>
      <c r="BF25" s="79"/>
      <c r="BG25" s="79"/>
      <c r="BH25" s="79"/>
      <c r="BI25" s="78"/>
    </row>
    <row r="26" spans="1:61" s="319" customFormat="1" x14ac:dyDescent="0.2">
      <c r="A26" s="656" t="s">
        <v>1181</v>
      </c>
      <c r="B26" s="132">
        <f t="shared" ref="B26:P26" si="37">Q26+AF26+AU26</f>
        <v>-13552700</v>
      </c>
      <c r="C26" s="27">
        <f t="shared" si="37"/>
        <v>-18453700</v>
      </c>
      <c r="D26" s="32">
        <f t="shared" si="37"/>
        <v>-4224500</v>
      </c>
      <c r="E26" s="32">
        <f t="shared" si="37"/>
        <v>2286500</v>
      </c>
      <c r="F26" s="32">
        <f t="shared" si="37"/>
        <v>-2161500</v>
      </c>
      <c r="G26" s="32">
        <f t="shared" si="37"/>
        <v>155600</v>
      </c>
      <c r="H26" s="32">
        <f t="shared" si="37"/>
        <v>434900</v>
      </c>
      <c r="I26" s="32">
        <f t="shared" si="37"/>
        <v>742000</v>
      </c>
      <c r="J26" s="32">
        <f t="shared" si="37"/>
        <v>1168500</v>
      </c>
      <c r="K26" s="32">
        <f t="shared" si="37"/>
        <v>1762700</v>
      </c>
      <c r="L26" s="21">
        <f t="shared" si="37"/>
        <v>2364300</v>
      </c>
      <c r="M26" s="21">
        <f t="shared" si="37"/>
        <v>2660900</v>
      </c>
      <c r="N26" s="21">
        <f t="shared" si="37"/>
        <v>3819400</v>
      </c>
      <c r="O26" s="21">
        <f t="shared" si="37"/>
        <v>4817500</v>
      </c>
      <c r="P26" s="64">
        <f t="shared" si="37"/>
        <v>5781700</v>
      </c>
      <c r="Q26" s="75">
        <f t="shared" ref="Q26:BE26" si="38">Q14-Q24</f>
        <v>-10548600</v>
      </c>
      <c r="R26" s="75">
        <f t="shared" si="38"/>
        <v>-5137900</v>
      </c>
      <c r="S26" s="21">
        <f t="shared" si="38"/>
        <v>-3610100</v>
      </c>
      <c r="T26" s="21">
        <f t="shared" ref="T26" si="39">T14-T24</f>
        <v>1243000</v>
      </c>
      <c r="U26" s="75">
        <f t="shared" si="38"/>
        <v>-3135600</v>
      </c>
      <c r="V26" s="75">
        <f t="shared" si="38"/>
        <v>-1492900</v>
      </c>
      <c r="W26" s="21">
        <f t="shared" si="38"/>
        <v>-1501700</v>
      </c>
      <c r="X26" s="21">
        <f t="shared" si="38"/>
        <v>-1568800</v>
      </c>
      <c r="Y26" s="21">
        <f t="shared" si="38"/>
        <v>-1571900</v>
      </c>
      <c r="Z26" s="21">
        <f t="shared" si="38"/>
        <v>-1187300</v>
      </c>
      <c r="AA26" s="21">
        <f t="shared" si="38"/>
        <v>-998200</v>
      </c>
      <c r="AB26" s="21">
        <f t="shared" ref="AB26:AC26" si="40">AB14-AB24</f>
        <v>-1091700</v>
      </c>
      <c r="AC26" s="27">
        <f t="shared" si="40"/>
        <v>-376900</v>
      </c>
      <c r="AD26" s="27">
        <f t="shared" ref="AD26:AE26" si="41">AD14-AD24</f>
        <v>48200</v>
      </c>
      <c r="AE26" s="283">
        <f t="shared" si="41"/>
        <v>381200</v>
      </c>
      <c r="AF26" s="75">
        <f t="shared" si="38"/>
        <v>-422500</v>
      </c>
      <c r="AG26" s="75">
        <f t="shared" si="38"/>
        <v>75500</v>
      </c>
      <c r="AH26" s="21">
        <f t="shared" si="38"/>
        <v>349200</v>
      </c>
      <c r="AI26" s="32">
        <f t="shared" si="38"/>
        <v>1289500</v>
      </c>
      <c r="AJ26" s="32">
        <f t="shared" si="38"/>
        <v>553000</v>
      </c>
      <c r="AK26" s="32">
        <f t="shared" si="38"/>
        <v>631700</v>
      </c>
      <c r="AL26" s="32">
        <f t="shared" si="38"/>
        <v>588800</v>
      </c>
      <c r="AM26" s="32">
        <f t="shared" si="38"/>
        <v>587600</v>
      </c>
      <c r="AN26" s="32">
        <f t="shared" si="38"/>
        <v>634800</v>
      </c>
      <c r="AO26" s="32">
        <f t="shared" si="38"/>
        <v>537800</v>
      </c>
      <c r="AP26" s="21">
        <f t="shared" si="38"/>
        <v>566500</v>
      </c>
      <c r="AQ26" s="21">
        <f t="shared" ref="AQ26:AR26" si="42">AQ14-AQ24</f>
        <v>550100</v>
      </c>
      <c r="AR26" s="21">
        <f t="shared" si="42"/>
        <v>544300</v>
      </c>
      <c r="AS26" s="21">
        <f t="shared" ref="AS26" si="43">AS14-AS24</f>
        <v>647000</v>
      </c>
      <c r="AT26" s="64">
        <f t="shared" ref="AT26" si="44">AT14-AT24</f>
        <v>801400</v>
      </c>
      <c r="AU26" s="75">
        <f t="shared" si="38"/>
        <v>-2581600</v>
      </c>
      <c r="AV26" s="75">
        <f t="shared" si="38"/>
        <v>-13391300</v>
      </c>
      <c r="AW26" s="75">
        <f t="shared" si="38"/>
        <v>-963600</v>
      </c>
      <c r="AX26" s="75">
        <f t="shared" ref="AX26" si="45">AX14-AX24</f>
        <v>-246000</v>
      </c>
      <c r="AY26" s="75">
        <f t="shared" si="38"/>
        <v>421100</v>
      </c>
      <c r="AZ26" s="75">
        <f t="shared" si="38"/>
        <v>1016800</v>
      </c>
      <c r="BA26" s="75">
        <f t="shared" si="38"/>
        <v>1347800</v>
      </c>
      <c r="BB26" s="75">
        <f t="shared" si="38"/>
        <v>1723200</v>
      </c>
      <c r="BC26" s="75">
        <f t="shared" si="38"/>
        <v>2105600</v>
      </c>
      <c r="BD26" s="75">
        <f t="shared" si="38"/>
        <v>2412200</v>
      </c>
      <c r="BE26" s="21">
        <f t="shared" si="38"/>
        <v>2796000</v>
      </c>
      <c r="BF26" s="21">
        <f t="shared" ref="BF26" si="46">BF14-BF24</f>
        <v>3202500</v>
      </c>
      <c r="BG26" s="21">
        <f t="shared" ref="BG26" si="47">BG14-BG24</f>
        <v>3652000</v>
      </c>
      <c r="BH26" s="21">
        <f t="shared" ref="BH26" si="48">BH14-BH24</f>
        <v>4122300</v>
      </c>
      <c r="BI26" s="62">
        <f t="shared" ref="BI26" si="49">BI14-BI24</f>
        <v>4599100</v>
      </c>
    </row>
    <row r="27" spans="1:61" s="319" customFormat="1" x14ac:dyDescent="0.2">
      <c r="A27" s="656"/>
      <c r="B27" s="132"/>
      <c r="C27" s="27"/>
      <c r="D27" s="32"/>
      <c r="E27" s="32"/>
      <c r="F27" s="32"/>
      <c r="G27" s="32"/>
      <c r="H27" s="32"/>
      <c r="I27" s="32"/>
      <c r="J27" s="32"/>
      <c r="K27" s="32"/>
      <c r="L27" s="21"/>
      <c r="M27" s="21"/>
      <c r="N27" s="21"/>
      <c r="O27" s="21"/>
      <c r="P27" s="64"/>
      <c r="Q27" s="75"/>
      <c r="R27" s="75"/>
      <c r="S27" s="21"/>
      <c r="T27" s="21"/>
      <c r="U27" s="75"/>
      <c r="V27" s="75"/>
      <c r="W27" s="21"/>
      <c r="X27" s="21"/>
      <c r="Y27" s="21"/>
      <c r="Z27" s="21"/>
      <c r="AA27" s="21"/>
      <c r="AB27" s="21"/>
      <c r="AC27" s="27"/>
      <c r="AD27" s="27"/>
      <c r="AE27" s="283"/>
      <c r="AF27" s="75"/>
      <c r="AG27" s="75"/>
      <c r="AH27" s="21"/>
      <c r="AI27" s="32"/>
      <c r="AJ27" s="32"/>
      <c r="AK27" s="32"/>
      <c r="AL27" s="32"/>
      <c r="AM27" s="32"/>
      <c r="AN27" s="32"/>
      <c r="AO27" s="32"/>
      <c r="AP27" s="21"/>
      <c r="AQ27" s="21"/>
      <c r="AR27" s="21"/>
      <c r="AS27" s="21"/>
      <c r="AT27" s="64"/>
      <c r="AU27" s="75"/>
      <c r="AV27" s="75"/>
      <c r="AW27" s="75"/>
      <c r="AX27" s="75"/>
      <c r="AY27" s="21"/>
      <c r="AZ27" s="21"/>
      <c r="BA27" s="21"/>
      <c r="BB27" s="21"/>
      <c r="BC27" s="21"/>
      <c r="BD27" s="21"/>
      <c r="BE27" s="21"/>
      <c r="BF27" s="21"/>
      <c r="BG27" s="21"/>
      <c r="BH27" s="21"/>
      <c r="BI27" s="62"/>
    </row>
    <row r="28" spans="1:61" s="319" customFormat="1" x14ac:dyDescent="0.2">
      <c r="A28" s="823" t="s">
        <v>4385</v>
      </c>
      <c r="B28" s="132"/>
      <c r="C28" s="27"/>
      <c r="D28" s="32"/>
      <c r="E28" s="32"/>
      <c r="F28" s="32"/>
      <c r="G28" s="32"/>
      <c r="H28" s="32"/>
      <c r="I28" s="32"/>
      <c r="J28" s="32"/>
      <c r="K28" s="32"/>
      <c r="L28" s="21"/>
      <c r="M28" s="21"/>
      <c r="N28" s="21"/>
      <c r="O28" s="21"/>
      <c r="P28" s="64"/>
      <c r="Q28" s="75"/>
      <c r="R28" s="75"/>
      <c r="S28" s="21"/>
      <c r="T28" s="21"/>
      <c r="U28" s="75"/>
      <c r="V28" s="75"/>
      <c r="W28" s="21"/>
      <c r="X28" s="21"/>
      <c r="Y28" s="21"/>
      <c r="Z28" s="21"/>
      <c r="AA28" s="21"/>
      <c r="AB28" s="21"/>
      <c r="AC28" s="27"/>
      <c r="AD28" s="27"/>
      <c r="AE28" s="283"/>
      <c r="AF28" s="75"/>
      <c r="AG28" s="75"/>
      <c r="AH28" s="21"/>
      <c r="AI28" s="32"/>
      <c r="AJ28" s="32"/>
      <c r="AK28" s="32"/>
      <c r="AL28" s="32"/>
      <c r="AM28" s="32"/>
      <c r="AN28" s="32"/>
      <c r="AO28" s="32"/>
      <c r="AP28" s="21"/>
      <c r="AQ28" s="21"/>
      <c r="AR28" s="21"/>
      <c r="AS28" s="21"/>
      <c r="AT28" s="64"/>
      <c r="AU28" s="75"/>
      <c r="AV28" s="75"/>
      <c r="AW28" s="75"/>
      <c r="AX28" s="75"/>
      <c r="AY28" s="75"/>
      <c r="AZ28" s="75"/>
      <c r="BA28" s="75"/>
      <c r="BB28" s="75"/>
      <c r="BC28" s="75"/>
      <c r="BD28" s="75"/>
      <c r="BE28" s="21"/>
      <c r="BF28" s="21"/>
      <c r="BG28" s="21"/>
      <c r="BH28" s="21"/>
      <c r="BI28" s="62"/>
    </row>
    <row r="29" spans="1:61" s="772" customFormat="1" x14ac:dyDescent="0.2">
      <c r="A29" s="655" t="s">
        <v>1943</v>
      </c>
      <c r="B29" s="641">
        <f t="shared" ref="B29:P34" si="50">Q29+AF29+AU29</f>
        <v>20368300</v>
      </c>
      <c r="C29" s="31">
        <f t="shared" si="50"/>
        <v>17937300</v>
      </c>
      <c r="D29" s="30">
        <f t="shared" si="50"/>
        <v>19197600</v>
      </c>
      <c r="E29" s="30">
        <f t="shared" si="50"/>
        <v>15978600</v>
      </c>
      <c r="F29" s="30">
        <f t="shared" si="50"/>
        <v>18538900</v>
      </c>
      <c r="G29" s="30">
        <f t="shared" si="50"/>
        <v>19013400</v>
      </c>
      <c r="H29" s="30">
        <f t="shared" si="50"/>
        <v>19486200</v>
      </c>
      <c r="I29" s="30">
        <f t="shared" si="50"/>
        <v>19877800</v>
      </c>
      <c r="J29" s="30">
        <f t="shared" si="50"/>
        <v>20276700</v>
      </c>
      <c r="K29" s="30">
        <f t="shared" si="50"/>
        <v>20684000</v>
      </c>
      <c r="L29" s="79">
        <f t="shared" si="50"/>
        <v>21098600</v>
      </c>
      <c r="M29" s="79">
        <f t="shared" si="50"/>
        <v>21522000</v>
      </c>
      <c r="N29" s="79">
        <f t="shared" si="50"/>
        <v>21954300</v>
      </c>
      <c r="O29" s="79">
        <f t="shared" si="50"/>
        <v>22394300</v>
      </c>
      <c r="P29" s="587">
        <f t="shared" si="50"/>
        <v>22843000</v>
      </c>
      <c r="Q29" s="77">
        <f t="shared" ref="Q29:BE29" si="51">Q20</f>
        <v>15865700</v>
      </c>
      <c r="R29" s="77">
        <f t="shared" si="51"/>
        <v>14144300</v>
      </c>
      <c r="S29" s="79">
        <f>S20</f>
        <v>14166800</v>
      </c>
      <c r="T29" s="79">
        <f>T20</f>
        <v>11005700</v>
      </c>
      <c r="U29" s="77">
        <f t="shared" si="51"/>
        <v>13383900</v>
      </c>
      <c r="V29" s="77">
        <f t="shared" si="51"/>
        <v>13754800</v>
      </c>
      <c r="W29" s="79">
        <f t="shared" si="51"/>
        <v>14122400</v>
      </c>
      <c r="X29" s="79">
        <f t="shared" si="51"/>
        <v>14406200</v>
      </c>
      <c r="Y29" s="79">
        <f t="shared" si="51"/>
        <v>14695800</v>
      </c>
      <c r="Z29" s="79">
        <f t="shared" si="51"/>
        <v>14991200</v>
      </c>
      <c r="AA29" s="79">
        <f t="shared" si="51"/>
        <v>15292300</v>
      </c>
      <c r="AB29" s="79">
        <f t="shared" ref="AB29:AC29" si="52">AB20</f>
        <v>15599600</v>
      </c>
      <c r="AC29" s="31">
        <f t="shared" si="52"/>
        <v>15913100</v>
      </c>
      <c r="AD29" s="31">
        <f t="shared" ref="AD29:AE29" si="53">AD20</f>
        <v>16232700</v>
      </c>
      <c r="AE29" s="582">
        <f t="shared" si="53"/>
        <v>16558400</v>
      </c>
      <c r="AF29" s="77">
        <f t="shared" si="51"/>
        <v>1859500</v>
      </c>
      <c r="AG29" s="77">
        <f t="shared" si="51"/>
        <v>1478700</v>
      </c>
      <c r="AH29" s="79">
        <f t="shared" si="51"/>
        <v>1498900</v>
      </c>
      <c r="AI29" s="79">
        <f t="shared" ref="AI29" si="54">AI20</f>
        <v>1399600</v>
      </c>
      <c r="AJ29" s="30">
        <f t="shared" si="51"/>
        <v>1380000</v>
      </c>
      <c r="AK29" s="30">
        <f t="shared" si="51"/>
        <v>1407600</v>
      </c>
      <c r="AL29" s="30">
        <f t="shared" si="51"/>
        <v>1435800</v>
      </c>
      <c r="AM29" s="30">
        <f t="shared" si="51"/>
        <v>1464600</v>
      </c>
      <c r="AN29" s="30">
        <f t="shared" si="51"/>
        <v>1493900</v>
      </c>
      <c r="AO29" s="30">
        <f t="shared" si="51"/>
        <v>1523800</v>
      </c>
      <c r="AP29" s="79">
        <f t="shared" si="51"/>
        <v>1554300</v>
      </c>
      <c r="AQ29" s="79">
        <f t="shared" ref="AQ29:AR29" si="55">AQ20</f>
        <v>1585400</v>
      </c>
      <c r="AR29" s="79">
        <f t="shared" si="55"/>
        <v>1617200</v>
      </c>
      <c r="AS29" s="79">
        <f t="shared" ref="AS29" si="56">AS20</f>
        <v>1649600</v>
      </c>
      <c r="AT29" s="587">
        <f t="shared" ref="AT29" si="57">AT20</f>
        <v>1682600</v>
      </c>
      <c r="AU29" s="77">
        <f t="shared" si="51"/>
        <v>2643100</v>
      </c>
      <c r="AV29" s="77">
        <f t="shared" si="51"/>
        <v>2314300</v>
      </c>
      <c r="AW29" s="77">
        <f t="shared" si="51"/>
        <v>3531900</v>
      </c>
      <c r="AX29" s="77">
        <f t="shared" ref="AX29" si="58">AX20</f>
        <v>3573300</v>
      </c>
      <c r="AY29" s="77">
        <f t="shared" si="51"/>
        <v>3775000</v>
      </c>
      <c r="AZ29" s="77">
        <f t="shared" si="51"/>
        <v>3851000</v>
      </c>
      <c r="BA29" s="77">
        <f t="shared" si="51"/>
        <v>3928000</v>
      </c>
      <c r="BB29" s="77">
        <f t="shared" si="51"/>
        <v>4007000</v>
      </c>
      <c r="BC29" s="77">
        <f t="shared" si="51"/>
        <v>4087000</v>
      </c>
      <c r="BD29" s="77">
        <f t="shared" si="51"/>
        <v>4169000</v>
      </c>
      <c r="BE29" s="79">
        <f t="shared" si="51"/>
        <v>4252000</v>
      </c>
      <c r="BF29" s="79">
        <f t="shared" ref="BF29" si="59">BF20</f>
        <v>4337000</v>
      </c>
      <c r="BG29" s="79">
        <f t="shared" ref="BG29" si="60">BG20</f>
        <v>4424000</v>
      </c>
      <c r="BH29" s="79">
        <f t="shared" ref="BH29" si="61">BH20</f>
        <v>4512000</v>
      </c>
      <c r="BI29" s="78">
        <f t="shared" ref="BI29" si="62">BI20</f>
        <v>4602000</v>
      </c>
    </row>
    <row r="30" spans="1:61" s="772" customFormat="1" x14ac:dyDescent="0.2">
      <c r="A30" s="655" t="s">
        <v>5292</v>
      </c>
      <c r="B30" s="641">
        <f t="shared" si="50"/>
        <v>289900</v>
      </c>
      <c r="C30" s="31">
        <f t="shared" si="50"/>
        <v>725700</v>
      </c>
      <c r="D30" s="30">
        <f t="shared" si="50"/>
        <v>-319800</v>
      </c>
      <c r="E30" s="30">
        <f t="shared" si="50"/>
        <v>403100</v>
      </c>
      <c r="F30" s="30">
        <f t="shared" si="50"/>
        <v>0</v>
      </c>
      <c r="G30" s="30">
        <f t="shared" si="50"/>
        <v>0</v>
      </c>
      <c r="H30" s="30">
        <f t="shared" si="50"/>
        <v>0</v>
      </c>
      <c r="I30" s="30">
        <f t="shared" si="50"/>
        <v>0</v>
      </c>
      <c r="J30" s="30">
        <f t="shared" si="50"/>
        <v>0</v>
      </c>
      <c r="K30" s="30">
        <f t="shared" si="50"/>
        <v>0</v>
      </c>
      <c r="L30" s="79">
        <f t="shared" si="50"/>
        <v>0</v>
      </c>
      <c r="M30" s="79">
        <f t="shared" si="50"/>
        <v>0</v>
      </c>
      <c r="N30" s="79">
        <f t="shared" si="50"/>
        <v>0</v>
      </c>
      <c r="O30" s="79">
        <f t="shared" si="50"/>
        <v>0</v>
      </c>
      <c r="P30" s="587">
        <f t="shared" si="50"/>
        <v>0</v>
      </c>
      <c r="Q30" s="77">
        <f>'Cash-Gen'!A49</f>
        <v>289900</v>
      </c>
      <c r="R30" s="77">
        <f>'Cash-Gen'!B49</f>
        <v>725700</v>
      </c>
      <c r="S30" s="77">
        <f>'Cash-Gen'!C49</f>
        <v>-319800</v>
      </c>
      <c r="T30" s="77">
        <f>'Cash-Gen'!D49</f>
        <v>403100</v>
      </c>
      <c r="U30" s="77">
        <f>'Cash-Gen'!F49</f>
        <v>0</v>
      </c>
      <c r="V30" s="77">
        <f>'Cash-Gen'!G49</f>
        <v>0</v>
      </c>
      <c r="W30" s="77">
        <f>'Cash-Gen'!H49</f>
        <v>0</v>
      </c>
      <c r="X30" s="77">
        <f>'Cash-Gen'!I49</f>
        <v>0</v>
      </c>
      <c r="Y30" s="77">
        <f>'Cash-Gen'!J49</f>
        <v>0</v>
      </c>
      <c r="Z30" s="77">
        <f>'Cash-Gen'!K49</f>
        <v>0</v>
      </c>
      <c r="AA30" s="79">
        <f>'Cash-Gen'!L49</f>
        <v>0</v>
      </c>
      <c r="AB30" s="79">
        <f>'Cash-Gen'!M49</f>
        <v>0</v>
      </c>
      <c r="AC30" s="31">
        <f>'Cash-Gen'!N49</f>
        <v>0</v>
      </c>
      <c r="AD30" s="31">
        <f>'Cash-Gen'!O49</f>
        <v>0</v>
      </c>
      <c r="AE30" s="582">
        <f>'Cash-Gen'!P49</f>
        <v>0</v>
      </c>
      <c r="AF30" s="77">
        <v>0</v>
      </c>
      <c r="AG30" s="77">
        <v>0</v>
      </c>
      <c r="AH30" s="79">
        <v>0</v>
      </c>
      <c r="AI30" s="79">
        <v>0</v>
      </c>
      <c r="AJ30" s="30">
        <v>0</v>
      </c>
      <c r="AK30" s="30">
        <v>0</v>
      </c>
      <c r="AL30" s="30">
        <v>0</v>
      </c>
      <c r="AM30" s="30">
        <v>0</v>
      </c>
      <c r="AN30" s="30">
        <v>0</v>
      </c>
      <c r="AO30" s="30">
        <v>0</v>
      </c>
      <c r="AP30" s="79">
        <v>0</v>
      </c>
      <c r="AQ30" s="79">
        <v>0</v>
      </c>
      <c r="AR30" s="79">
        <v>0</v>
      </c>
      <c r="AS30" s="79">
        <v>0</v>
      </c>
      <c r="AT30" s="587">
        <v>0</v>
      </c>
      <c r="AU30" s="77">
        <v>0</v>
      </c>
      <c r="AV30" s="77">
        <v>0</v>
      </c>
      <c r="AW30" s="77">
        <v>0</v>
      </c>
      <c r="AX30" s="77">
        <v>0</v>
      </c>
      <c r="AY30" s="77">
        <v>0</v>
      </c>
      <c r="AZ30" s="77">
        <v>0</v>
      </c>
      <c r="BA30" s="77">
        <v>0</v>
      </c>
      <c r="BB30" s="77">
        <v>0</v>
      </c>
      <c r="BC30" s="77">
        <v>0</v>
      </c>
      <c r="BD30" s="77">
        <v>0</v>
      </c>
      <c r="BE30" s="79">
        <v>0</v>
      </c>
      <c r="BF30" s="79">
        <v>0</v>
      </c>
      <c r="BG30" s="79">
        <v>0</v>
      </c>
      <c r="BH30" s="79">
        <v>0</v>
      </c>
      <c r="BI30" s="78">
        <v>0</v>
      </c>
    </row>
    <row r="31" spans="1:61" s="772" customFormat="1" x14ac:dyDescent="0.2">
      <c r="A31" s="655" t="s">
        <v>5356</v>
      </c>
      <c r="B31" s="641">
        <f t="shared" si="50"/>
        <v>333000</v>
      </c>
      <c r="C31" s="31">
        <f t="shared" si="50"/>
        <v>-30000</v>
      </c>
      <c r="D31" s="30">
        <f t="shared" si="50"/>
        <v>-163000</v>
      </c>
      <c r="E31" s="30">
        <f t="shared" si="50"/>
        <v>150000</v>
      </c>
      <c r="F31" s="30">
        <f t="shared" si="50"/>
        <v>0</v>
      </c>
      <c r="G31" s="30">
        <f t="shared" si="50"/>
        <v>0</v>
      </c>
      <c r="H31" s="30">
        <f t="shared" si="50"/>
        <v>0</v>
      </c>
      <c r="I31" s="30">
        <f t="shared" si="50"/>
        <v>0</v>
      </c>
      <c r="J31" s="30">
        <f t="shared" si="50"/>
        <v>0</v>
      </c>
      <c r="K31" s="30">
        <f t="shared" si="50"/>
        <v>0</v>
      </c>
      <c r="L31" s="79">
        <f t="shared" si="50"/>
        <v>0</v>
      </c>
      <c r="M31" s="79">
        <f t="shared" si="50"/>
        <v>0</v>
      </c>
      <c r="N31" s="79">
        <f t="shared" si="50"/>
        <v>0</v>
      </c>
      <c r="O31" s="79">
        <f t="shared" si="50"/>
        <v>0</v>
      </c>
      <c r="P31" s="587">
        <f t="shared" si="50"/>
        <v>0</v>
      </c>
      <c r="Q31" s="77">
        <f>'Cash-Gen'!A66</f>
        <v>333000</v>
      </c>
      <c r="R31" s="77">
        <f>'Cash-Gen'!B66</f>
        <v>-30000</v>
      </c>
      <c r="S31" s="77">
        <f>'Cash-Gen'!C66</f>
        <v>-163000</v>
      </c>
      <c r="T31" s="77">
        <f>'Cash-Gen'!D66</f>
        <v>150000</v>
      </c>
      <c r="U31" s="77">
        <f>'Cash-Gen'!F66</f>
        <v>0</v>
      </c>
      <c r="V31" s="77">
        <f>'Cash-Gen'!G66</f>
        <v>0</v>
      </c>
      <c r="W31" s="77">
        <f>'Cash-Gen'!H66</f>
        <v>0</v>
      </c>
      <c r="X31" s="77">
        <f>'Cash-Gen'!I66</f>
        <v>0</v>
      </c>
      <c r="Y31" s="77">
        <f>'Cash-Gen'!J66</f>
        <v>0</v>
      </c>
      <c r="Z31" s="77">
        <f>'Cash-Gen'!K66</f>
        <v>0</v>
      </c>
      <c r="AA31" s="77">
        <f>'Cash-Gen'!L66</f>
        <v>0</v>
      </c>
      <c r="AB31" s="79">
        <f>'Cash-Gen'!M66</f>
        <v>0</v>
      </c>
      <c r="AC31" s="31">
        <f>'Cash-Gen'!N66</f>
        <v>0</v>
      </c>
      <c r="AD31" s="31">
        <f>'Cash-Gen'!O66</f>
        <v>0</v>
      </c>
      <c r="AE31" s="582">
        <f>'Cash-Gen'!P66</f>
        <v>0</v>
      </c>
      <c r="AF31" s="77">
        <v>0</v>
      </c>
      <c r="AG31" s="77">
        <v>0</v>
      </c>
      <c r="AH31" s="79">
        <v>0</v>
      </c>
      <c r="AI31" s="79">
        <v>0</v>
      </c>
      <c r="AJ31" s="30">
        <v>0</v>
      </c>
      <c r="AK31" s="30">
        <v>0</v>
      </c>
      <c r="AL31" s="30">
        <v>0</v>
      </c>
      <c r="AM31" s="30">
        <v>0</v>
      </c>
      <c r="AN31" s="30">
        <v>0</v>
      </c>
      <c r="AO31" s="30">
        <v>0</v>
      </c>
      <c r="AP31" s="79">
        <v>0</v>
      </c>
      <c r="AQ31" s="79">
        <v>0</v>
      </c>
      <c r="AR31" s="79">
        <v>0</v>
      </c>
      <c r="AS31" s="79">
        <v>0</v>
      </c>
      <c r="AT31" s="587">
        <v>0</v>
      </c>
      <c r="AU31" s="77">
        <v>0</v>
      </c>
      <c r="AV31" s="77">
        <v>0</v>
      </c>
      <c r="AW31" s="77">
        <v>0</v>
      </c>
      <c r="AX31" s="77">
        <v>0</v>
      </c>
      <c r="AY31" s="77">
        <v>0</v>
      </c>
      <c r="AZ31" s="77">
        <v>0</v>
      </c>
      <c r="BA31" s="77">
        <v>0</v>
      </c>
      <c r="BB31" s="77">
        <v>0</v>
      </c>
      <c r="BC31" s="77">
        <v>0</v>
      </c>
      <c r="BD31" s="77">
        <v>0</v>
      </c>
      <c r="BE31" s="79">
        <v>0</v>
      </c>
      <c r="BF31" s="79">
        <v>0</v>
      </c>
      <c r="BG31" s="79">
        <v>0</v>
      </c>
      <c r="BH31" s="79">
        <v>0</v>
      </c>
      <c r="BI31" s="78">
        <v>0</v>
      </c>
    </row>
    <row r="32" spans="1:61" s="772" customFormat="1" x14ac:dyDescent="0.2">
      <c r="A32" s="655" t="s">
        <v>5318</v>
      </c>
      <c r="B32" s="641">
        <f t="shared" si="50"/>
        <v>0</v>
      </c>
      <c r="C32" s="31">
        <f t="shared" si="50"/>
        <v>-460100</v>
      </c>
      <c r="D32" s="30">
        <f t="shared" si="50"/>
        <v>0</v>
      </c>
      <c r="E32" s="30">
        <f t="shared" si="50"/>
        <v>-360400</v>
      </c>
      <c r="F32" s="30">
        <f t="shared" si="50"/>
        <v>0</v>
      </c>
      <c r="G32" s="30">
        <f t="shared" si="50"/>
        <v>0</v>
      </c>
      <c r="H32" s="30">
        <f t="shared" si="50"/>
        <v>0</v>
      </c>
      <c r="I32" s="30">
        <f t="shared" si="50"/>
        <v>0</v>
      </c>
      <c r="J32" s="30">
        <f t="shared" si="50"/>
        <v>0</v>
      </c>
      <c r="K32" s="30">
        <f t="shared" si="50"/>
        <v>0</v>
      </c>
      <c r="L32" s="79">
        <f t="shared" si="50"/>
        <v>0</v>
      </c>
      <c r="M32" s="79">
        <f t="shared" si="50"/>
        <v>0</v>
      </c>
      <c r="N32" s="79">
        <f t="shared" si="50"/>
        <v>0</v>
      </c>
      <c r="O32" s="79">
        <f t="shared" si="50"/>
        <v>0</v>
      </c>
      <c r="P32" s="587">
        <f t="shared" si="50"/>
        <v>0</v>
      </c>
      <c r="Q32" s="77">
        <f>'Cash-Gen'!A67</f>
        <v>0</v>
      </c>
      <c r="R32" s="77">
        <f>'Cash-Gen'!B67</f>
        <v>-460100</v>
      </c>
      <c r="S32" s="77">
        <f>'Cash-Gen'!C67</f>
        <v>0</v>
      </c>
      <c r="T32" s="77">
        <f>'Cash-Gen'!D67</f>
        <v>-360400</v>
      </c>
      <c r="U32" s="77">
        <f>'Cash-Gen'!F67</f>
        <v>0</v>
      </c>
      <c r="V32" s="77">
        <f>'Cash-Gen'!G67</f>
        <v>0</v>
      </c>
      <c r="W32" s="77">
        <f>'Cash-Gen'!H67</f>
        <v>0</v>
      </c>
      <c r="X32" s="77">
        <f>'Cash-Gen'!I67</f>
        <v>0</v>
      </c>
      <c r="Y32" s="77">
        <f>'Cash-Gen'!J67</f>
        <v>0</v>
      </c>
      <c r="Z32" s="77">
        <f>'Cash-Gen'!K67</f>
        <v>0</v>
      </c>
      <c r="AA32" s="77">
        <f>'Cash-Gen'!L67</f>
        <v>0</v>
      </c>
      <c r="AB32" s="79">
        <f>'Cash-Gen'!M67</f>
        <v>0</v>
      </c>
      <c r="AC32" s="31">
        <f>'Cash-Gen'!N67</f>
        <v>0</v>
      </c>
      <c r="AD32" s="31">
        <f>'Cash-Gen'!O67</f>
        <v>0</v>
      </c>
      <c r="AE32" s="582">
        <f>'Cash-Gen'!P67</f>
        <v>0</v>
      </c>
      <c r="AF32" s="77">
        <v>0</v>
      </c>
      <c r="AG32" s="77">
        <v>0</v>
      </c>
      <c r="AH32" s="79">
        <v>0</v>
      </c>
      <c r="AI32" s="79">
        <v>0</v>
      </c>
      <c r="AJ32" s="30">
        <v>0</v>
      </c>
      <c r="AK32" s="30">
        <v>0</v>
      </c>
      <c r="AL32" s="30">
        <v>0</v>
      </c>
      <c r="AM32" s="30">
        <v>0</v>
      </c>
      <c r="AN32" s="30">
        <v>0</v>
      </c>
      <c r="AO32" s="30">
        <v>0</v>
      </c>
      <c r="AP32" s="79">
        <v>0</v>
      </c>
      <c r="AQ32" s="79">
        <v>0</v>
      </c>
      <c r="AR32" s="79">
        <v>0</v>
      </c>
      <c r="AS32" s="79">
        <v>0</v>
      </c>
      <c r="AT32" s="587">
        <v>0</v>
      </c>
      <c r="AU32" s="77">
        <v>0</v>
      </c>
      <c r="AV32" s="77">
        <v>0</v>
      </c>
      <c r="AW32" s="77">
        <v>0</v>
      </c>
      <c r="AX32" s="77">
        <v>0</v>
      </c>
      <c r="AY32" s="77">
        <v>0</v>
      </c>
      <c r="AZ32" s="77">
        <v>0</v>
      </c>
      <c r="BA32" s="77">
        <v>0</v>
      </c>
      <c r="BB32" s="77">
        <v>0</v>
      </c>
      <c r="BC32" s="77">
        <v>0</v>
      </c>
      <c r="BD32" s="77">
        <v>0</v>
      </c>
      <c r="BE32" s="79">
        <v>0</v>
      </c>
      <c r="BF32" s="79">
        <v>0</v>
      </c>
      <c r="BG32" s="79">
        <v>0</v>
      </c>
      <c r="BH32" s="79">
        <v>0</v>
      </c>
      <c r="BI32" s="78">
        <v>0</v>
      </c>
    </row>
    <row r="33" spans="1:61" s="772" customFormat="1" x14ac:dyDescent="0.2">
      <c r="A33" s="655" t="s">
        <v>4384</v>
      </c>
      <c r="B33" s="1902">
        <f t="shared" si="50"/>
        <v>563300</v>
      </c>
      <c r="C33" s="1300">
        <f t="shared" si="50"/>
        <v>580500</v>
      </c>
      <c r="D33" s="1894">
        <f t="shared" si="50"/>
        <v>491900</v>
      </c>
      <c r="E33" s="1894">
        <f t="shared" si="50"/>
        <v>401300</v>
      </c>
      <c r="F33" s="1894">
        <f t="shared" si="50"/>
        <v>313100</v>
      </c>
      <c r="G33" s="1894">
        <f t="shared" si="50"/>
        <v>204200</v>
      </c>
      <c r="H33" s="1894">
        <f t="shared" si="50"/>
        <v>117000</v>
      </c>
      <c r="I33" s="1894">
        <f t="shared" si="50"/>
        <v>20600</v>
      </c>
      <c r="J33" s="1894">
        <f t="shared" si="50"/>
        <v>21400</v>
      </c>
      <c r="K33" s="1894">
        <f t="shared" si="50"/>
        <v>22100</v>
      </c>
      <c r="L33" s="79">
        <f t="shared" si="50"/>
        <v>22900</v>
      </c>
      <c r="M33" s="79">
        <f t="shared" si="50"/>
        <v>23800</v>
      </c>
      <c r="N33" s="79">
        <f t="shared" si="50"/>
        <v>24700</v>
      </c>
      <c r="O33" s="79">
        <f t="shared" si="50"/>
        <v>25600</v>
      </c>
      <c r="P33" s="587">
        <f t="shared" si="50"/>
        <v>25600</v>
      </c>
      <c r="Q33" s="77">
        <f>'Cash-Gen'!A50</f>
        <v>169300</v>
      </c>
      <c r="R33" s="77">
        <f>'Cash-Gen'!B50</f>
        <v>231300</v>
      </c>
      <c r="S33" s="77">
        <f>'Cash-Gen'!C50</f>
        <v>190800</v>
      </c>
      <c r="T33" s="77">
        <f>'Cash-Gen'!D50</f>
        <v>152000</v>
      </c>
      <c r="U33" s="77">
        <f>'Cash-Gen'!F50</f>
        <v>119100</v>
      </c>
      <c r="V33" s="77">
        <f>'Cash-Gen'!G50</f>
        <v>70200</v>
      </c>
      <c r="W33" s="77">
        <f>'Cash-Gen'!H50</f>
        <v>48000</v>
      </c>
      <c r="X33" s="77">
        <f>'Cash-Gen'!I50</f>
        <v>20600</v>
      </c>
      <c r="Y33" s="77">
        <f>'Cash-Gen'!J50</f>
        <v>21400</v>
      </c>
      <c r="Z33" s="77">
        <f>'Cash-Gen'!K50</f>
        <v>22100</v>
      </c>
      <c r="AA33" s="79">
        <f>'Cash-Gen'!L50</f>
        <v>22900</v>
      </c>
      <c r="AB33" s="79">
        <f>'Cash-Gen'!M50</f>
        <v>23800</v>
      </c>
      <c r="AC33" s="31">
        <f>'Cash-Gen'!N50</f>
        <v>24700</v>
      </c>
      <c r="AD33" s="31">
        <f>'Cash-Gen'!O50</f>
        <v>25600</v>
      </c>
      <c r="AE33" s="582">
        <f>'Cash-Gen'!P50</f>
        <v>25600</v>
      </c>
      <c r="AF33" s="77">
        <v>0</v>
      </c>
      <c r="AG33" s="77">
        <v>0</v>
      </c>
      <c r="AH33" s="79">
        <v>0</v>
      </c>
      <c r="AI33" s="79">
        <v>0</v>
      </c>
      <c r="AJ33" s="30">
        <v>0</v>
      </c>
      <c r="AK33" s="30">
        <v>0</v>
      </c>
      <c r="AL33" s="30">
        <v>0</v>
      </c>
      <c r="AM33" s="30">
        <v>0</v>
      </c>
      <c r="AN33" s="30">
        <v>0</v>
      </c>
      <c r="AO33" s="30">
        <v>0</v>
      </c>
      <c r="AP33" s="79">
        <v>0</v>
      </c>
      <c r="AQ33" s="79">
        <v>0</v>
      </c>
      <c r="AR33" s="79">
        <v>0</v>
      </c>
      <c r="AS33" s="79">
        <v>0</v>
      </c>
      <c r="AT33" s="587">
        <v>0</v>
      </c>
      <c r="AU33" s="77">
        <f>'W&amp;W'!B524</f>
        <v>394000</v>
      </c>
      <c r="AV33" s="77">
        <f>'W&amp;W'!C524</f>
        <v>349200</v>
      </c>
      <c r="AW33" s="77">
        <f>'W&amp;W'!D524</f>
        <v>301100</v>
      </c>
      <c r="AX33" s="77">
        <f>'W&amp;W'!E524</f>
        <v>249300</v>
      </c>
      <c r="AY33" s="77">
        <f>'W&amp;W'!H524</f>
        <v>194000</v>
      </c>
      <c r="AZ33" s="77">
        <f>'W&amp;W'!J524</f>
        <v>134000</v>
      </c>
      <c r="BA33" s="77">
        <f>'W&amp;W'!K524</f>
        <v>69000</v>
      </c>
      <c r="BB33" s="77">
        <f>'W&amp;W'!L524</f>
        <v>0</v>
      </c>
      <c r="BC33" s="77">
        <f>'W&amp;W'!M524</f>
        <v>0</v>
      </c>
      <c r="BD33" s="77">
        <f>'W&amp;W'!N524</f>
        <v>0</v>
      </c>
      <c r="BE33" s="79">
        <f>'W&amp;W'!O524</f>
        <v>0</v>
      </c>
      <c r="BF33" s="79">
        <f>'W&amp;W'!P524</f>
        <v>0</v>
      </c>
      <c r="BG33" s="79">
        <f>'W&amp;W'!Q524</f>
        <v>0</v>
      </c>
      <c r="BH33" s="79">
        <f>'W&amp;W'!R524</f>
        <v>0</v>
      </c>
      <c r="BI33" s="78">
        <f>'W&amp;W'!S524</f>
        <v>0</v>
      </c>
    </row>
    <row r="34" spans="1:61" s="772" customFormat="1" x14ac:dyDescent="0.2">
      <c r="A34" s="655" t="s">
        <v>4455</v>
      </c>
      <c r="B34" s="1902">
        <f t="shared" si="50"/>
        <v>3987700</v>
      </c>
      <c r="C34" s="1300">
        <f t="shared" si="50"/>
        <v>15564500</v>
      </c>
      <c r="D34" s="1894">
        <f t="shared" si="50"/>
        <v>10800</v>
      </c>
      <c r="E34" s="1894">
        <f t="shared" si="50"/>
        <v>5657500</v>
      </c>
      <c r="F34" s="1894">
        <f t="shared" si="50"/>
        <v>0</v>
      </c>
      <c r="G34" s="1894">
        <f t="shared" si="50"/>
        <v>0</v>
      </c>
      <c r="H34" s="1894">
        <f t="shared" si="50"/>
        <v>0</v>
      </c>
      <c r="I34" s="1894">
        <f t="shared" si="50"/>
        <v>0</v>
      </c>
      <c r="J34" s="1894">
        <f t="shared" si="50"/>
        <v>0</v>
      </c>
      <c r="K34" s="1894">
        <f t="shared" si="50"/>
        <v>0</v>
      </c>
      <c r="L34" s="79">
        <f t="shared" si="50"/>
        <v>0</v>
      </c>
      <c r="M34" s="79">
        <f t="shared" si="50"/>
        <v>0</v>
      </c>
      <c r="N34" s="79">
        <f t="shared" si="50"/>
        <v>0</v>
      </c>
      <c r="O34" s="79">
        <f t="shared" si="50"/>
        <v>0</v>
      </c>
      <c r="P34" s="587">
        <f t="shared" si="50"/>
        <v>0</v>
      </c>
      <c r="Q34" s="77">
        <f>'Cash-Gen'!A51</f>
        <v>3967400</v>
      </c>
      <c r="R34" s="77">
        <f>'Cash-Gen'!B51</f>
        <v>3347700</v>
      </c>
      <c r="S34" s="77">
        <f>'Cash-Gen'!C51</f>
        <v>0</v>
      </c>
      <c r="T34" s="77">
        <f>'Cash-Gen'!D51</f>
        <v>5241100</v>
      </c>
      <c r="U34" s="77">
        <f>'Cash-Gen'!F51</f>
        <v>0</v>
      </c>
      <c r="V34" s="77">
        <f>'Cash-Gen'!G51</f>
        <v>0</v>
      </c>
      <c r="W34" s="77">
        <f>'Cash-Gen'!H51</f>
        <v>0</v>
      </c>
      <c r="X34" s="77">
        <f>'Cash-Gen'!I51</f>
        <v>0</v>
      </c>
      <c r="Y34" s="77">
        <f>'Cash-Gen'!J51</f>
        <v>0</v>
      </c>
      <c r="Z34" s="77">
        <f>'Cash-Gen'!K51</f>
        <v>0</v>
      </c>
      <c r="AA34" s="79">
        <f>'Cash-Gen'!L51</f>
        <v>0</v>
      </c>
      <c r="AB34" s="79">
        <f>'Cash-Gen'!M51</f>
        <v>0</v>
      </c>
      <c r="AC34" s="31">
        <f>'Cash-Gen'!N51</f>
        <v>0</v>
      </c>
      <c r="AD34" s="31">
        <f>'Cash-Gen'!O51</f>
        <v>0</v>
      </c>
      <c r="AE34" s="582">
        <f>'Cash-Gen'!P51</f>
        <v>0</v>
      </c>
      <c r="AF34" s="77">
        <v>0</v>
      </c>
      <c r="AG34" s="77">
        <v>0</v>
      </c>
      <c r="AH34" s="79">
        <v>0</v>
      </c>
      <c r="AI34" s="79">
        <v>0</v>
      </c>
      <c r="AJ34" s="30">
        <v>0</v>
      </c>
      <c r="AK34" s="30">
        <v>0</v>
      </c>
      <c r="AL34" s="30">
        <v>0</v>
      </c>
      <c r="AM34" s="30">
        <v>0</v>
      </c>
      <c r="AN34" s="30">
        <v>0</v>
      </c>
      <c r="AO34" s="30">
        <v>0</v>
      </c>
      <c r="AP34" s="79">
        <v>0</v>
      </c>
      <c r="AQ34" s="79">
        <v>0</v>
      </c>
      <c r="AR34" s="79">
        <v>0</v>
      </c>
      <c r="AS34" s="79">
        <v>0</v>
      </c>
      <c r="AT34" s="587">
        <v>0</v>
      </c>
      <c r="AU34" s="77">
        <f>'W&amp;W'!B149</f>
        <v>20300</v>
      </c>
      <c r="AV34" s="77">
        <f>'W&amp;W'!C149</f>
        <v>12216800</v>
      </c>
      <c r="AW34" s="77">
        <f>'W&amp;W'!D149</f>
        <v>10800</v>
      </c>
      <c r="AX34" s="77">
        <f>'W&amp;W'!E149</f>
        <v>416400</v>
      </c>
      <c r="AY34" s="77">
        <f>'W&amp;W'!H149</f>
        <v>0</v>
      </c>
      <c r="AZ34" s="77">
        <f>'W&amp;W'!J149</f>
        <v>0</v>
      </c>
      <c r="BA34" s="77">
        <f>'W&amp;W'!K149</f>
        <v>0</v>
      </c>
      <c r="BB34" s="77">
        <f>'W&amp;W'!L149</f>
        <v>0</v>
      </c>
      <c r="BC34" s="77">
        <f>'W&amp;W'!M149</f>
        <v>0</v>
      </c>
      <c r="BD34" s="77">
        <f>'W&amp;W'!N149</f>
        <v>0</v>
      </c>
      <c r="BE34" s="79">
        <f>'W&amp;W'!O149</f>
        <v>0</v>
      </c>
      <c r="BF34" s="79">
        <f>'W&amp;W'!P149</f>
        <v>0</v>
      </c>
      <c r="BG34" s="79">
        <f>'W&amp;W'!Q149</f>
        <v>0</v>
      </c>
      <c r="BH34" s="79">
        <f>'W&amp;W'!R149</f>
        <v>0</v>
      </c>
      <c r="BI34" s="78">
        <f>'W&amp;W'!S149</f>
        <v>0</v>
      </c>
    </row>
    <row r="35" spans="1:61" s="319" customFormat="1" ht="13.5" thickBot="1" x14ac:dyDescent="0.25">
      <c r="A35" s="656"/>
      <c r="B35" s="132"/>
      <c r="C35" s="27"/>
      <c r="D35" s="32"/>
      <c r="E35" s="32"/>
      <c r="F35" s="32"/>
      <c r="G35" s="32"/>
      <c r="H35" s="32"/>
      <c r="I35" s="32"/>
      <c r="J35" s="32"/>
      <c r="K35" s="32"/>
      <c r="L35" s="21"/>
      <c r="M35" s="21"/>
      <c r="N35" s="21"/>
      <c r="O35" s="21"/>
      <c r="P35" s="64"/>
      <c r="Q35" s="75"/>
      <c r="R35" s="75"/>
      <c r="S35" s="21"/>
      <c r="T35" s="21"/>
      <c r="U35" s="75"/>
      <c r="V35" s="75"/>
      <c r="W35" s="21"/>
      <c r="X35" s="21"/>
      <c r="Y35" s="21"/>
      <c r="Z35" s="21"/>
      <c r="AA35" s="21"/>
      <c r="AB35" s="21"/>
      <c r="AC35" s="27"/>
      <c r="AD35" s="27"/>
      <c r="AE35" s="283"/>
      <c r="AF35" s="75"/>
      <c r="AG35" s="75"/>
      <c r="AH35" s="21"/>
      <c r="AI35" s="32"/>
      <c r="AJ35" s="32"/>
      <c r="AK35" s="32"/>
      <c r="AL35" s="32"/>
      <c r="AM35" s="32"/>
      <c r="AN35" s="32"/>
      <c r="AO35" s="32"/>
      <c r="AP35" s="21"/>
      <c r="AQ35" s="21"/>
      <c r="AR35" s="21"/>
      <c r="AS35" s="21"/>
      <c r="AT35" s="64"/>
      <c r="AU35" s="75"/>
      <c r="AV35" s="75"/>
      <c r="AW35" s="75"/>
      <c r="AX35" s="75"/>
      <c r="AY35" s="21"/>
      <c r="AZ35" s="21"/>
      <c r="BA35" s="21"/>
      <c r="BB35" s="21"/>
      <c r="BC35" s="21"/>
      <c r="BD35" s="21"/>
      <c r="BE35" s="21"/>
      <c r="BF35" s="21"/>
      <c r="BG35" s="21"/>
      <c r="BH35" s="21"/>
      <c r="BI35" s="62"/>
    </row>
    <row r="36" spans="1:61" s="319" customFormat="1" x14ac:dyDescent="0.2">
      <c r="A36" s="1900" t="s">
        <v>503</v>
      </c>
      <c r="B36" s="962">
        <f t="shared" ref="B36:BF36" si="63">SUM(B26:B35)</f>
        <v>11989500</v>
      </c>
      <c r="C36" s="124">
        <f t="shared" si="63"/>
        <v>15864200</v>
      </c>
      <c r="D36" s="323">
        <f t="shared" si="63"/>
        <v>14993000</v>
      </c>
      <c r="E36" s="323">
        <f t="shared" si="63"/>
        <v>24516600</v>
      </c>
      <c r="F36" s="323">
        <f t="shared" si="63"/>
        <v>16690500</v>
      </c>
      <c r="G36" s="323">
        <f t="shared" si="63"/>
        <v>19373200</v>
      </c>
      <c r="H36" s="323">
        <f t="shared" si="63"/>
        <v>20038100</v>
      </c>
      <c r="I36" s="323">
        <f t="shared" si="63"/>
        <v>20640400</v>
      </c>
      <c r="J36" s="323">
        <f t="shared" si="63"/>
        <v>21466600</v>
      </c>
      <c r="K36" s="323">
        <f t="shared" si="63"/>
        <v>22468800</v>
      </c>
      <c r="L36" s="16">
        <f t="shared" si="63"/>
        <v>23485800</v>
      </c>
      <c r="M36" s="16">
        <f t="shared" si="63"/>
        <v>24206700</v>
      </c>
      <c r="N36" s="16">
        <f t="shared" ref="N36" si="64">SUM(N26:N35)</f>
        <v>25798400</v>
      </c>
      <c r="O36" s="16">
        <f t="shared" ref="O36" si="65">SUM(O26:O35)</f>
        <v>27237400</v>
      </c>
      <c r="P36" s="90">
        <f t="shared" ref="P36" si="66">SUM(P26:P35)</f>
        <v>28650300</v>
      </c>
      <c r="Q36" s="102">
        <f t="shared" si="63"/>
        <v>10076700</v>
      </c>
      <c r="R36" s="102">
        <f t="shared" si="63"/>
        <v>12821000</v>
      </c>
      <c r="S36" s="16">
        <f t="shared" si="63"/>
        <v>10264700</v>
      </c>
      <c r="T36" s="16">
        <f t="shared" ref="T36" si="67">SUM(T26:T35)</f>
        <v>17834500</v>
      </c>
      <c r="U36" s="102">
        <f t="shared" si="63"/>
        <v>10367400</v>
      </c>
      <c r="V36" s="102">
        <f t="shared" si="63"/>
        <v>12332100</v>
      </c>
      <c r="W36" s="16">
        <f t="shared" si="63"/>
        <v>12668700</v>
      </c>
      <c r="X36" s="16">
        <f t="shared" si="63"/>
        <v>12858000</v>
      </c>
      <c r="Y36" s="16">
        <f t="shared" si="63"/>
        <v>13145300</v>
      </c>
      <c r="Z36" s="16">
        <f t="shared" si="63"/>
        <v>13826000</v>
      </c>
      <c r="AA36" s="16">
        <f t="shared" si="63"/>
        <v>14317000</v>
      </c>
      <c r="AB36" s="16">
        <f t="shared" si="63"/>
        <v>14531700</v>
      </c>
      <c r="AC36" s="124">
        <f t="shared" ref="AC36" si="68">SUM(AC26:AC35)</f>
        <v>15560900</v>
      </c>
      <c r="AD36" s="124">
        <f t="shared" ref="AD36:AE36" si="69">SUM(AD26:AD35)</f>
        <v>16306500</v>
      </c>
      <c r="AE36" s="1254">
        <f t="shared" si="69"/>
        <v>16965200</v>
      </c>
      <c r="AF36" s="102">
        <f t="shared" si="63"/>
        <v>1437000</v>
      </c>
      <c r="AG36" s="102">
        <f t="shared" si="63"/>
        <v>1554200</v>
      </c>
      <c r="AH36" s="16">
        <f t="shared" si="63"/>
        <v>1848100</v>
      </c>
      <c r="AI36" s="323">
        <f t="shared" si="63"/>
        <v>2689100</v>
      </c>
      <c r="AJ36" s="323">
        <f t="shared" si="63"/>
        <v>1933000</v>
      </c>
      <c r="AK36" s="323">
        <f t="shared" si="63"/>
        <v>2039300</v>
      </c>
      <c r="AL36" s="323">
        <f t="shared" si="63"/>
        <v>2024600</v>
      </c>
      <c r="AM36" s="323">
        <f t="shared" si="63"/>
        <v>2052200</v>
      </c>
      <c r="AN36" s="323">
        <f t="shared" si="63"/>
        <v>2128700</v>
      </c>
      <c r="AO36" s="323">
        <f t="shared" si="63"/>
        <v>2061600</v>
      </c>
      <c r="AP36" s="16">
        <f t="shared" si="63"/>
        <v>2120800</v>
      </c>
      <c r="AQ36" s="16">
        <f t="shared" si="63"/>
        <v>2135500</v>
      </c>
      <c r="AR36" s="16">
        <f t="shared" ref="AR36" si="70">SUM(AR26:AR35)</f>
        <v>2161500</v>
      </c>
      <c r="AS36" s="16">
        <f t="shared" ref="AS36" si="71">SUM(AS26:AS35)</f>
        <v>2296600</v>
      </c>
      <c r="AT36" s="90">
        <f t="shared" ref="AT36" si="72">SUM(AT26:AT35)</f>
        <v>2484000</v>
      </c>
      <c r="AU36" s="102">
        <f t="shared" si="63"/>
        <v>475800</v>
      </c>
      <c r="AV36" s="102">
        <f t="shared" si="63"/>
        <v>1489000</v>
      </c>
      <c r="AW36" s="102">
        <f t="shared" si="63"/>
        <v>2880200</v>
      </c>
      <c r="AX36" s="102">
        <f t="shared" ref="AX36" si="73">SUM(AX26:AX35)</f>
        <v>3993000</v>
      </c>
      <c r="AY36" s="102">
        <f t="shared" si="63"/>
        <v>4390100</v>
      </c>
      <c r="AZ36" s="102">
        <f t="shared" si="63"/>
        <v>5001800</v>
      </c>
      <c r="BA36" s="102">
        <f t="shared" si="63"/>
        <v>5344800</v>
      </c>
      <c r="BB36" s="102">
        <f t="shared" si="63"/>
        <v>5730200</v>
      </c>
      <c r="BC36" s="102">
        <f t="shared" si="63"/>
        <v>6192600</v>
      </c>
      <c r="BD36" s="102">
        <f t="shared" si="63"/>
        <v>6581200</v>
      </c>
      <c r="BE36" s="16">
        <f t="shared" si="63"/>
        <v>7048000</v>
      </c>
      <c r="BF36" s="16">
        <f t="shared" si="63"/>
        <v>7539500</v>
      </c>
      <c r="BG36" s="16">
        <f t="shared" ref="BG36" si="74">SUM(BG26:BG35)</f>
        <v>8076000</v>
      </c>
      <c r="BH36" s="16">
        <f t="shared" ref="BH36" si="75">SUM(BH26:BH35)</f>
        <v>8634300</v>
      </c>
      <c r="BI36" s="60">
        <f t="shared" ref="BI36" si="76">SUM(BI26:BI35)</f>
        <v>9201100</v>
      </c>
    </row>
    <row r="37" spans="1:61" s="319" customFormat="1" x14ac:dyDescent="0.2">
      <c r="A37" s="1908"/>
      <c r="B37" s="1909"/>
      <c r="C37" s="27"/>
      <c r="D37" s="32"/>
      <c r="E37" s="32"/>
      <c r="F37" s="32"/>
      <c r="G37" s="32"/>
      <c r="H37" s="32"/>
      <c r="I37" s="32"/>
      <c r="J37" s="32"/>
      <c r="K37" s="32"/>
      <c r="L37" s="21"/>
      <c r="M37" s="21"/>
      <c r="N37" s="21"/>
      <c r="O37" s="21"/>
      <c r="P37" s="64"/>
      <c r="Q37" s="75"/>
      <c r="R37" s="75"/>
      <c r="S37" s="21"/>
      <c r="T37" s="21"/>
      <c r="U37" s="75"/>
      <c r="V37" s="75"/>
      <c r="W37" s="21"/>
      <c r="X37" s="21"/>
      <c r="Y37" s="21"/>
      <c r="Z37" s="21"/>
      <c r="AA37" s="21"/>
      <c r="AB37" s="21"/>
      <c r="AC37" s="27"/>
      <c r="AD37" s="27"/>
      <c r="AE37" s="283"/>
      <c r="AF37" s="75"/>
      <c r="AG37" s="75"/>
      <c r="AH37" s="21"/>
      <c r="AI37" s="32"/>
      <c r="AJ37" s="32"/>
      <c r="AK37" s="32"/>
      <c r="AL37" s="32"/>
      <c r="AM37" s="32"/>
      <c r="AN37" s="32"/>
      <c r="AO37" s="32"/>
      <c r="AP37" s="21"/>
      <c r="AQ37" s="21"/>
      <c r="AR37" s="21"/>
      <c r="AS37" s="21"/>
      <c r="AT37" s="64"/>
      <c r="AU37" s="75"/>
      <c r="AV37" s="75"/>
      <c r="AW37" s="75"/>
      <c r="AX37" s="75"/>
      <c r="AY37" s="21"/>
      <c r="AZ37" s="21"/>
      <c r="BA37" s="21"/>
      <c r="BB37" s="21"/>
      <c r="BC37" s="21"/>
      <c r="BD37" s="21"/>
      <c r="BE37" s="21"/>
      <c r="BF37" s="21"/>
      <c r="BG37" s="21"/>
      <c r="BH37" s="21"/>
      <c r="BI37" s="62"/>
    </row>
    <row r="38" spans="1:61" s="319" customFormat="1" x14ac:dyDescent="0.2">
      <c r="A38" s="1908" t="s">
        <v>192</v>
      </c>
      <c r="B38" s="1909"/>
      <c r="C38" s="27"/>
      <c r="D38" s="21"/>
      <c r="E38" s="21"/>
      <c r="F38" s="21"/>
      <c r="G38" s="21"/>
      <c r="H38" s="21"/>
      <c r="I38" s="21"/>
      <c r="J38" s="21"/>
      <c r="K38" s="21"/>
      <c r="L38" s="21"/>
      <c r="M38" s="21"/>
      <c r="N38" s="21"/>
      <c r="O38" s="21"/>
      <c r="P38" s="64"/>
      <c r="Q38" s="75"/>
      <c r="R38" s="75"/>
      <c r="S38" s="21"/>
      <c r="T38" s="21"/>
      <c r="U38" s="75"/>
      <c r="V38" s="75"/>
      <c r="W38" s="21"/>
      <c r="X38" s="21"/>
      <c r="Y38" s="21"/>
      <c r="Z38" s="21"/>
      <c r="AA38" s="21"/>
      <c r="AB38" s="21"/>
      <c r="AC38" s="27"/>
      <c r="AD38" s="27"/>
      <c r="AE38" s="283"/>
      <c r="AF38" s="75"/>
      <c r="AG38" s="75"/>
      <c r="AH38" s="27"/>
      <c r="AI38" s="32"/>
      <c r="AJ38" s="32"/>
      <c r="AK38" s="32"/>
      <c r="AL38" s="32"/>
      <c r="AM38" s="32"/>
      <c r="AN38" s="32"/>
      <c r="AO38" s="32"/>
      <c r="AP38" s="21"/>
      <c r="AQ38" s="21"/>
      <c r="AR38" s="21"/>
      <c r="AS38" s="21"/>
      <c r="AT38" s="64"/>
      <c r="AU38" s="75"/>
      <c r="AV38" s="75"/>
      <c r="AW38" s="21"/>
      <c r="AX38" s="21"/>
      <c r="AY38" s="21"/>
      <c r="AZ38" s="21"/>
      <c r="BA38" s="21"/>
      <c r="BB38" s="21"/>
      <c r="BC38" s="21"/>
      <c r="BD38" s="21"/>
      <c r="BE38" s="21"/>
      <c r="BF38" s="21"/>
      <c r="BG38" s="21"/>
      <c r="BH38" s="21"/>
      <c r="BI38" s="62"/>
    </row>
    <row r="39" spans="1:61" s="726" customFormat="1" x14ac:dyDescent="0.2">
      <c r="A39" s="656" t="s">
        <v>1647</v>
      </c>
      <c r="B39" s="1893"/>
      <c r="C39" s="1300"/>
      <c r="D39" s="1894"/>
      <c r="E39" s="1894"/>
      <c r="F39" s="1894"/>
      <c r="G39" s="1894"/>
      <c r="H39" s="1894"/>
      <c r="I39" s="1894"/>
      <c r="J39" s="1894"/>
      <c r="K39" s="1894"/>
      <c r="L39" s="1568"/>
      <c r="M39" s="1568"/>
      <c r="N39" s="1568"/>
      <c r="O39" s="1568"/>
      <c r="P39" s="1896"/>
      <c r="Q39" s="1401"/>
      <c r="R39" s="1401"/>
      <c r="S39" s="1568"/>
      <c r="T39" s="1568"/>
      <c r="U39" s="77"/>
      <c r="V39" s="77"/>
      <c r="W39" s="79"/>
      <c r="X39" s="79"/>
      <c r="Y39" s="79"/>
      <c r="Z39" s="79"/>
      <c r="AA39" s="79"/>
      <c r="AB39" s="79"/>
      <c r="AC39" s="31"/>
      <c r="AD39" s="31"/>
      <c r="AE39" s="582"/>
      <c r="AF39" s="77"/>
      <c r="AG39" s="77"/>
      <c r="AH39" s="79"/>
      <c r="AI39" s="30"/>
      <c r="AJ39" s="30"/>
      <c r="AK39" s="30"/>
      <c r="AL39" s="30"/>
      <c r="AM39" s="30"/>
      <c r="AN39" s="30"/>
      <c r="AO39" s="30"/>
      <c r="AP39" s="79"/>
      <c r="AQ39" s="79"/>
      <c r="AR39" s="79"/>
      <c r="AS39" s="79"/>
      <c r="AT39" s="587"/>
      <c r="AU39" s="77"/>
      <c r="AV39" s="77"/>
      <c r="AW39" s="77"/>
      <c r="AX39" s="77"/>
      <c r="AY39" s="79"/>
      <c r="AZ39" s="79"/>
      <c r="BA39" s="79"/>
      <c r="BB39" s="79"/>
      <c r="BC39" s="79"/>
      <c r="BD39" s="79"/>
      <c r="BE39" s="79"/>
      <c r="BF39" s="79"/>
      <c r="BG39" s="79"/>
      <c r="BH39" s="79"/>
      <c r="BI39" s="78"/>
    </row>
    <row r="40" spans="1:61" s="726" customFormat="1" x14ac:dyDescent="0.2">
      <c r="A40" s="655" t="s">
        <v>785</v>
      </c>
      <c r="B40" s="641">
        <f t="shared" ref="B40:P45" si="77">Q40+AF40+AU40</f>
        <v>7074000</v>
      </c>
      <c r="C40" s="31">
        <f t="shared" si="77"/>
        <v>4969600</v>
      </c>
      <c r="D40" s="30">
        <f t="shared" si="77"/>
        <v>8258000</v>
      </c>
      <c r="E40" s="30">
        <f t="shared" si="77"/>
        <v>7315700</v>
      </c>
      <c r="F40" s="30">
        <f t="shared" si="77"/>
        <v>10925500</v>
      </c>
      <c r="G40" s="30">
        <f t="shared" si="77"/>
        <v>3716900</v>
      </c>
      <c r="H40" s="30">
        <f t="shared" si="77"/>
        <v>297100</v>
      </c>
      <c r="I40" s="30">
        <f t="shared" si="77"/>
        <v>303100</v>
      </c>
      <c r="J40" s="30">
        <f t="shared" si="77"/>
        <v>309300</v>
      </c>
      <c r="K40" s="30">
        <f t="shared" si="77"/>
        <v>315600</v>
      </c>
      <c r="L40" s="79">
        <f t="shared" si="77"/>
        <v>322000</v>
      </c>
      <c r="M40" s="79">
        <f t="shared" si="77"/>
        <v>328700</v>
      </c>
      <c r="N40" s="79">
        <f t="shared" si="77"/>
        <v>335400</v>
      </c>
      <c r="O40" s="79">
        <f t="shared" si="77"/>
        <v>342200</v>
      </c>
      <c r="P40" s="587">
        <f t="shared" si="77"/>
        <v>349300</v>
      </c>
      <c r="Q40" s="77">
        <f>'Cash-Gen'!A56</f>
        <v>6861200</v>
      </c>
      <c r="R40" s="1401">
        <f>'Cap Inc'!A116</f>
        <v>4752500</v>
      </c>
      <c r="S40" s="1401">
        <f>'Cap Inc'!B116</f>
        <v>8258000</v>
      </c>
      <c r="T40" s="1401">
        <f>'Cap Inc'!C116</f>
        <v>7315700</v>
      </c>
      <c r="U40" s="1401">
        <f>'Cap Inc'!F116-'Cap Inc'!F39-'Cap Inc'!F55-'Cap Inc'!F56-'Cap Inc'!F57</f>
        <v>10925500</v>
      </c>
      <c r="V40" s="1401">
        <f>'Cap Inc'!G116-'Cap Inc'!G39-'Cap Inc'!G55-'Cap Inc'!G56-'Cap Inc'!G57</f>
        <v>3716900</v>
      </c>
      <c r="W40" s="1401">
        <f>'Cap Inc'!H116-'Cap Inc'!H39-'Cap Inc'!H55-'Cap Inc'!H56-'Cap Inc'!H57</f>
        <v>297100</v>
      </c>
      <c r="X40" s="1401">
        <f>'Cap Inc'!I116-'Cap Inc'!I39-'Cap Inc'!I55-'Cap Inc'!I56-'Cap Inc'!I57</f>
        <v>303100</v>
      </c>
      <c r="Y40" s="1401">
        <f>'Cap Inc'!J116-'Cap Inc'!J39-'Cap Inc'!J55-'Cap Inc'!J56-'Cap Inc'!J57</f>
        <v>309300</v>
      </c>
      <c r="Z40" s="1401">
        <f>'Cap Inc'!K116-'Cap Inc'!K39-'Cap Inc'!K55-'Cap Inc'!K56-'Cap Inc'!K57</f>
        <v>315600</v>
      </c>
      <c r="AA40" s="1401">
        <f>'Cap Inc'!L116-'Cap Inc'!L39-'Cap Inc'!L55-'Cap Inc'!L56-'Cap Inc'!L57</f>
        <v>322000</v>
      </c>
      <c r="AB40" s="1401">
        <f>'Cap Inc'!M116-'Cap Inc'!M39-'Cap Inc'!M55-'Cap Inc'!M56-'Cap Inc'!M57</f>
        <v>328700</v>
      </c>
      <c r="AC40" s="1300">
        <f>'Cap Inc'!N116-'Cap Inc'!N39-'Cap Inc'!N55-'Cap Inc'!N56-'Cap Inc'!N57</f>
        <v>335400</v>
      </c>
      <c r="AD40" s="1300">
        <f>'Cap Inc'!O116-'Cap Inc'!O39-'Cap Inc'!O55-'Cap Inc'!O56-'Cap Inc'!O57</f>
        <v>342200</v>
      </c>
      <c r="AE40" s="1567">
        <f>'Cap Inc'!P116-'Cap Inc'!P39-'Cap Inc'!P55-'Cap Inc'!P56-'Cap Inc'!P57</f>
        <v>349300</v>
      </c>
      <c r="AF40" s="1401">
        <f>'Cap Inc'!O116-'Cap Inc'!O25-'Cap Inc'!O26-'Cap Inc'!O39-'Cap Inc'!O55-'Cap Inc'!O56-'Cap Inc'!O57</f>
        <v>212800</v>
      </c>
      <c r="AG40" s="1401">
        <f>'Cap Inc'!P116-'Cap Inc'!P25-'Cap Inc'!P26-'Cap Inc'!P39-'Cap Inc'!P55-'Cap Inc'!P56-'Cap Inc'!P57</f>
        <v>217100</v>
      </c>
      <c r="AH40" s="1401">
        <f>'Cap Inc'!Q116-'Cap Inc'!Q25-'Cap Inc'!Q26-'Cap Inc'!Q39-'Cap Inc'!Q55-'Cap Inc'!Q56-'Cap Inc'!Q57</f>
        <v>0</v>
      </c>
      <c r="AI40" s="1401">
        <f>'Cap Inc'!R116-'Cap Inc'!R25-'Cap Inc'!R26-'Cap Inc'!R39-'Cap Inc'!R55-'Cap Inc'!R56-'Cap Inc'!R57</f>
        <v>0</v>
      </c>
      <c r="AJ40" s="1401">
        <f>'Cap Inc'!S116-'Cap Inc'!S25-'Cap Inc'!S26-'Cap Inc'!S39-'Cap Inc'!S55-'Cap Inc'!S56-'Cap Inc'!S57</f>
        <v>0</v>
      </c>
      <c r="AK40" s="1401">
        <f>'Cap Inc'!T116-'Cap Inc'!T25-'Cap Inc'!T26-'Cap Inc'!T39-'Cap Inc'!T55-'Cap Inc'!T56-'Cap Inc'!T57</f>
        <v>0</v>
      </c>
      <c r="AL40" s="1401">
        <f>'Cap Inc'!U116-'Cap Inc'!U25-'Cap Inc'!U26-'Cap Inc'!U39-'Cap Inc'!U55-'Cap Inc'!U56-'Cap Inc'!U57</f>
        <v>0</v>
      </c>
      <c r="AM40" s="1401">
        <f>'Cap Inc'!V116-'Cap Inc'!V25-'Cap Inc'!V26-'Cap Inc'!V39-'Cap Inc'!V55-'Cap Inc'!V56-'Cap Inc'!V57</f>
        <v>0</v>
      </c>
      <c r="AN40" s="1401">
        <f>'Cap Inc'!W116-'Cap Inc'!W25-'Cap Inc'!W26-'Cap Inc'!W39-'Cap Inc'!W55-'Cap Inc'!W56-'Cap Inc'!W57</f>
        <v>0</v>
      </c>
      <c r="AO40" s="1401">
        <f>'Cap Inc'!X116-'Cap Inc'!X25-'Cap Inc'!X26-'Cap Inc'!X39-'Cap Inc'!X55-'Cap Inc'!X56-'Cap Inc'!X57</f>
        <v>0</v>
      </c>
      <c r="AP40" s="1401">
        <f>'Cap Inc'!Y116-'Cap Inc'!Y25-'Cap Inc'!Y26-'Cap Inc'!Y39-'Cap Inc'!Y55-'Cap Inc'!Y56-'Cap Inc'!Y57</f>
        <v>0</v>
      </c>
      <c r="AQ40" s="1401">
        <f>'Cap Inc'!Z116-'Cap Inc'!Z25-'Cap Inc'!Z26-'Cap Inc'!Z39-'Cap Inc'!Z55-'Cap Inc'!Z56-'Cap Inc'!Z57</f>
        <v>0</v>
      </c>
      <c r="AR40" s="1568">
        <f>'Cap Inc'!AA116-'Cap Inc'!AA25-'Cap Inc'!AA26-'Cap Inc'!AA39-'Cap Inc'!AA55-'Cap Inc'!AA56-'Cap Inc'!AA57</f>
        <v>0</v>
      </c>
      <c r="AS40" s="1568">
        <f>'Cap Inc'!AB116-'Cap Inc'!AB25-'Cap Inc'!AB26-'Cap Inc'!AB39-'Cap Inc'!AB55-'Cap Inc'!AB56-'Cap Inc'!AB57</f>
        <v>0</v>
      </c>
      <c r="AT40" s="1401">
        <f>'Cap Inc'!AC116-'Cap Inc'!AC25-'Cap Inc'!AC26-'Cap Inc'!AC39-'Cap Inc'!AC55-'Cap Inc'!AC56-'Cap Inc'!AC57</f>
        <v>0</v>
      </c>
      <c r="AU40" s="1401">
        <f>'Cap Inc'!AB116-'Cap Inc'!AB25-'Cap Inc'!AB26-'Cap Inc'!AB39-'Cap Inc'!AB55-'Cap Inc'!AB56-'Cap Inc'!AB57</f>
        <v>0</v>
      </c>
      <c r="AV40" s="1401">
        <f>'Cap Inc'!AC116-'Cap Inc'!AC25-'Cap Inc'!AC26-'Cap Inc'!AC39-'Cap Inc'!AC55-'Cap Inc'!AC56-'Cap Inc'!AC57</f>
        <v>0</v>
      </c>
      <c r="AW40" s="1401">
        <f>'Cap Inc'!AD116-'Cap Inc'!AD25-'Cap Inc'!AD26-'Cap Inc'!AD39-'Cap Inc'!AD55-'Cap Inc'!AD56-'Cap Inc'!AD57</f>
        <v>0</v>
      </c>
      <c r="AX40" s="1401">
        <f>'Cap Inc'!AE116-'Cap Inc'!AE25-'Cap Inc'!AE26-'Cap Inc'!AE39-'Cap Inc'!AE55-'Cap Inc'!AE56-'Cap Inc'!AE57</f>
        <v>0</v>
      </c>
      <c r="AY40" s="1401">
        <f>'Cap Inc'!AF116-'Cap Inc'!AF25-'Cap Inc'!AF26-'Cap Inc'!AF39-'Cap Inc'!AF55-'Cap Inc'!AF56-'Cap Inc'!AF57</f>
        <v>0</v>
      </c>
      <c r="AZ40" s="1401">
        <f>'Cap Inc'!AG116-'Cap Inc'!AG25-'Cap Inc'!AG26-'Cap Inc'!AG39-'Cap Inc'!AG55-'Cap Inc'!AG56-'Cap Inc'!AG57</f>
        <v>0</v>
      </c>
      <c r="BA40" s="1401">
        <f>'Cap Inc'!AH116-'Cap Inc'!AH25-'Cap Inc'!AH26-'Cap Inc'!AH39-'Cap Inc'!AH55-'Cap Inc'!AH56-'Cap Inc'!AH57</f>
        <v>0</v>
      </c>
      <c r="BB40" s="1401">
        <f>'Cap Inc'!AI116-'Cap Inc'!AI25-'Cap Inc'!AI26-'Cap Inc'!AI39-'Cap Inc'!AI55-'Cap Inc'!AI56-'Cap Inc'!AI57</f>
        <v>0</v>
      </c>
      <c r="BC40" s="1401">
        <f>'Cap Inc'!AJ116-'Cap Inc'!AJ25-'Cap Inc'!AJ26-'Cap Inc'!AJ39-'Cap Inc'!AJ55-'Cap Inc'!AJ56-'Cap Inc'!AJ57</f>
        <v>0</v>
      </c>
      <c r="BD40" s="1401">
        <f>'Cap Inc'!AK116-'Cap Inc'!AK25-'Cap Inc'!AK26-'Cap Inc'!AK39-'Cap Inc'!AK55-'Cap Inc'!AK56-'Cap Inc'!AK57</f>
        <v>0</v>
      </c>
      <c r="BE40" s="1401">
        <f>'Cap Inc'!AL116-'Cap Inc'!AL25-'Cap Inc'!AL26-'Cap Inc'!AL39-'Cap Inc'!AL55-'Cap Inc'!AL56-'Cap Inc'!AL57</f>
        <v>0</v>
      </c>
      <c r="BF40" s="1401">
        <f>'Cap Inc'!AM116-'Cap Inc'!AM25-'Cap Inc'!AM26-'Cap Inc'!AM39-'Cap Inc'!AM55-'Cap Inc'!AM56-'Cap Inc'!AM57</f>
        <v>0</v>
      </c>
      <c r="BG40" s="1568">
        <f>'Cap Inc'!AN116-'Cap Inc'!AN25-'Cap Inc'!AN26-'Cap Inc'!AN39-'Cap Inc'!AN55-'Cap Inc'!AN56-'Cap Inc'!AN57</f>
        <v>0</v>
      </c>
      <c r="BH40" s="1568">
        <f>'Cap Inc'!AO116-'Cap Inc'!AO25-'Cap Inc'!AO26-'Cap Inc'!AO39-'Cap Inc'!AO55-'Cap Inc'!AO56-'Cap Inc'!AO57</f>
        <v>0</v>
      </c>
      <c r="BI40" s="1566">
        <f>'Cap Inc'!AP116-'Cap Inc'!AP25-'Cap Inc'!AP26-'Cap Inc'!AP39-'Cap Inc'!AP55-'Cap Inc'!AP56-'Cap Inc'!AP57</f>
        <v>0</v>
      </c>
    </row>
    <row r="41" spans="1:61" s="726" customFormat="1" x14ac:dyDescent="0.2">
      <c r="A41" s="655" t="s">
        <v>2252</v>
      </c>
      <c r="B41" s="641">
        <f t="shared" si="77"/>
        <v>6705800</v>
      </c>
      <c r="C41" s="31">
        <f t="shared" si="77"/>
        <v>11482800</v>
      </c>
      <c r="D41" s="30">
        <f t="shared" si="77"/>
        <v>6756000</v>
      </c>
      <c r="E41" s="30">
        <f t="shared" si="77"/>
        <v>4996900</v>
      </c>
      <c r="F41" s="30">
        <f t="shared" si="77"/>
        <v>8004800</v>
      </c>
      <c r="G41" s="30">
        <f t="shared" si="77"/>
        <v>11226700</v>
      </c>
      <c r="H41" s="30">
        <f t="shared" si="77"/>
        <v>11493200</v>
      </c>
      <c r="I41" s="30">
        <f t="shared" si="77"/>
        <v>17764400</v>
      </c>
      <c r="J41" s="30">
        <f t="shared" si="77"/>
        <v>18190300</v>
      </c>
      <c r="K41" s="30">
        <f t="shared" si="77"/>
        <v>10625900</v>
      </c>
      <c r="L41" s="79">
        <f t="shared" si="77"/>
        <v>10871200</v>
      </c>
      <c r="M41" s="79">
        <f t="shared" si="77"/>
        <v>11130200</v>
      </c>
      <c r="N41" s="79">
        <f t="shared" si="77"/>
        <v>11394000</v>
      </c>
      <c r="O41" s="79">
        <f t="shared" si="77"/>
        <v>11663500</v>
      </c>
      <c r="P41" s="587">
        <f t="shared" si="77"/>
        <v>11937800</v>
      </c>
      <c r="Q41" s="77">
        <f>ROUND('Cash-Gen'!A57+'Cash-Gen'!A55,-2)</f>
        <v>4053100</v>
      </c>
      <c r="R41" s="1401">
        <f>'Cash-Gen'!B57++'Cash-Gen'!B55</f>
        <v>8587100</v>
      </c>
      <c r="S41" s="1568">
        <f>'Cash-Gen'!C57+'Cash-Gen'!C55</f>
        <v>3226100</v>
      </c>
      <c r="T41" s="1568">
        <f>'Cash-Gen'!D57+'Cash-Gen'!D55</f>
        <v>3791300</v>
      </c>
      <c r="U41" s="1568">
        <f>'Cash-Gen'!F57++'Cash-Gen'!F55</f>
        <v>5084300</v>
      </c>
      <c r="V41" s="1568">
        <f>'Cash-Gen'!G57++'Cash-Gen'!G55</f>
        <v>8251200</v>
      </c>
      <c r="W41" s="1568">
        <f>'Cash-Gen'!H57++'Cash-Gen'!H55</f>
        <v>8457700</v>
      </c>
      <c r="X41" s="1568">
        <f>'Cash-Gen'!I57++'Cash-Gen'!I55</f>
        <v>14668900</v>
      </c>
      <c r="Y41" s="1568">
        <f>'Cash-Gen'!J57++'Cash-Gen'!J55</f>
        <v>15034800</v>
      </c>
      <c r="Z41" s="1568">
        <f>'Cash-Gen'!K57++'Cash-Gen'!K55</f>
        <v>7410400</v>
      </c>
      <c r="AA41" s="1568">
        <f>'Cash-Gen'!L57++'Cash-Gen'!L55</f>
        <v>7595700</v>
      </c>
      <c r="AB41" s="1568">
        <f>'Cash-Gen'!M57++'Cash-Gen'!M55</f>
        <v>7784700</v>
      </c>
      <c r="AC41" s="31">
        <f>'Cash-Gen'!N57++'Cash-Gen'!N55</f>
        <v>7978500</v>
      </c>
      <c r="AD41" s="31">
        <f>'Cash-Gen'!O57++'Cash-Gen'!O55</f>
        <v>8178000</v>
      </c>
      <c r="AE41" s="582">
        <f>'Cash-Gen'!P57++'Cash-Gen'!P55</f>
        <v>8382300</v>
      </c>
      <c r="AF41" s="77">
        <f>'Cash-W'!A18+'Cash-W'!A16</f>
        <v>638500</v>
      </c>
      <c r="AG41" s="77">
        <f>'Cash-W'!B18+'Cash-W'!B16</f>
        <v>764300</v>
      </c>
      <c r="AH41" s="77">
        <f>'Cash-W'!C18+'Cash-W'!C16</f>
        <v>1059900</v>
      </c>
      <c r="AI41" s="77">
        <f>'Cash-W'!D18+'Cash-W'!D16</f>
        <v>469100</v>
      </c>
      <c r="AJ41" s="77">
        <f>'Cash-W'!G18+'Cash-W'!G16</f>
        <v>775000</v>
      </c>
      <c r="AK41" s="77">
        <f>'Cash-W'!H18+'Cash-W'!H16</f>
        <v>800000</v>
      </c>
      <c r="AL41" s="77">
        <f>'Cash-W'!I18+'Cash-W'!I16</f>
        <v>820000</v>
      </c>
      <c r="AM41" s="77">
        <f>'Cash-W'!J18+'Cash-W'!J16</f>
        <v>840000</v>
      </c>
      <c r="AN41" s="77">
        <f>'Cash-W'!K18+'Cash-W'!K16</f>
        <v>860000</v>
      </c>
      <c r="AO41" s="77">
        <f>'Cash-W'!L18+'Cash-W'!L16</f>
        <v>880000</v>
      </c>
      <c r="AP41" s="77">
        <f>'Cash-W'!M18+'Cash-W'!M16</f>
        <v>900000</v>
      </c>
      <c r="AQ41" s="79">
        <f>'Cash-W'!N18+'Cash-W'!N16</f>
        <v>920000</v>
      </c>
      <c r="AR41" s="79">
        <f>'Cash-W'!O18+'Cash-W'!O16</f>
        <v>940000</v>
      </c>
      <c r="AS41" s="79">
        <f>'Cash-W'!P18+'Cash-W'!P16</f>
        <v>960000</v>
      </c>
      <c r="AT41" s="587">
        <f>'Cash-W'!Q18+'Cash-W'!Q16</f>
        <v>980000</v>
      </c>
      <c r="AU41" s="77">
        <f>'Cash-WW'!A18+'Cash-WW'!A16</f>
        <v>2014200</v>
      </c>
      <c r="AV41" s="77">
        <f>'Cash-WW'!B18+'Cash-WW'!B16</f>
        <v>2131400</v>
      </c>
      <c r="AW41" s="77">
        <f>'Cash-WW'!C18+'Cash-WW'!C16</f>
        <v>2470000</v>
      </c>
      <c r="AX41" s="77">
        <f>'Cash-WW'!D18+'Cash-WW'!D16</f>
        <v>736500</v>
      </c>
      <c r="AY41" s="77">
        <f>'Cash-WW'!G18+'Cash-WW'!G16</f>
        <v>2145500</v>
      </c>
      <c r="AZ41" s="77">
        <f>'Cash-WW'!H18+'Cash-WW'!H16</f>
        <v>2175500</v>
      </c>
      <c r="BA41" s="77">
        <f>'Cash-WW'!I18+'Cash-WW'!I16</f>
        <v>2215500</v>
      </c>
      <c r="BB41" s="77">
        <f>'Cash-WW'!J18+'Cash-WW'!J16</f>
        <v>2255500</v>
      </c>
      <c r="BC41" s="77">
        <f>'Cash-WW'!K18+'Cash-WW'!K16</f>
        <v>2295500</v>
      </c>
      <c r="BD41" s="77">
        <f>'Cash-WW'!L18+'Cash-WW'!L16</f>
        <v>2335500</v>
      </c>
      <c r="BE41" s="77">
        <f>'Cash-WW'!M18+'Cash-WW'!M16</f>
        <v>2375500</v>
      </c>
      <c r="BF41" s="79">
        <f>'Cash-WW'!N18+'Cash-WW'!N16</f>
        <v>2425500</v>
      </c>
      <c r="BG41" s="79">
        <f>'Cash-WW'!O18+'Cash-WW'!O16</f>
        <v>2475500</v>
      </c>
      <c r="BH41" s="79">
        <f>'Cash-WW'!P18+'Cash-WW'!P16</f>
        <v>2525500</v>
      </c>
      <c r="BI41" s="78">
        <f>'Cash-WW'!Q18+'Cash-WW'!Q16</f>
        <v>2575500</v>
      </c>
    </row>
    <row r="42" spans="1:61" s="726" customFormat="1" x14ac:dyDescent="0.2">
      <c r="A42" s="655" t="s">
        <v>72</v>
      </c>
      <c r="B42" s="641">
        <f t="shared" si="77"/>
        <v>-1489300</v>
      </c>
      <c r="C42" s="31">
        <f t="shared" si="77"/>
        <v>-498500</v>
      </c>
      <c r="D42" s="30">
        <f t="shared" si="77"/>
        <v>1730500</v>
      </c>
      <c r="E42" s="30">
        <f t="shared" si="77"/>
        <v>5219200</v>
      </c>
      <c r="F42" s="30">
        <f t="shared" si="77"/>
        <v>200000</v>
      </c>
      <c r="G42" s="30">
        <f t="shared" si="77"/>
        <v>200000</v>
      </c>
      <c r="H42" s="30">
        <f t="shared" si="77"/>
        <v>200000</v>
      </c>
      <c r="I42" s="30">
        <f t="shared" si="77"/>
        <v>200000</v>
      </c>
      <c r="J42" s="30">
        <f t="shared" si="77"/>
        <v>200000</v>
      </c>
      <c r="K42" s="30">
        <f t="shared" si="77"/>
        <v>200000</v>
      </c>
      <c r="L42" s="79">
        <f t="shared" si="77"/>
        <v>200000</v>
      </c>
      <c r="M42" s="79">
        <f t="shared" si="77"/>
        <v>200000</v>
      </c>
      <c r="N42" s="79">
        <f t="shared" si="77"/>
        <v>200000</v>
      </c>
      <c r="O42" s="79">
        <f t="shared" si="77"/>
        <v>200000</v>
      </c>
      <c r="P42" s="587">
        <f t="shared" si="77"/>
        <v>200000</v>
      </c>
      <c r="Q42" s="77">
        <f>'Cash-Gen'!A76</f>
        <v>-1957800</v>
      </c>
      <c r="R42" s="77">
        <f>'Cash-Gen'!B76</f>
        <v>-498500</v>
      </c>
      <c r="S42" s="77">
        <f>'Cash-Gen'!C76</f>
        <v>2036000</v>
      </c>
      <c r="T42" s="77">
        <f>'Cash-Gen'!D76</f>
        <v>5524700</v>
      </c>
      <c r="U42" s="77">
        <f>'Cash-Gen'!F76</f>
        <v>200000</v>
      </c>
      <c r="V42" s="77">
        <f>'Cash-Gen'!G76</f>
        <v>200000</v>
      </c>
      <c r="W42" s="79">
        <f>'Cash-Gen'!H76</f>
        <v>200000</v>
      </c>
      <c r="X42" s="79">
        <f>'Cash-Gen'!I76</f>
        <v>200000</v>
      </c>
      <c r="Y42" s="79">
        <f>'Cash-Gen'!J76</f>
        <v>200000</v>
      </c>
      <c r="Z42" s="79">
        <f>'Cash-Gen'!K76</f>
        <v>200000</v>
      </c>
      <c r="AA42" s="79">
        <f>'Cash-Gen'!L76</f>
        <v>200000</v>
      </c>
      <c r="AB42" s="79">
        <f>'Cash-Gen'!M76</f>
        <v>200000</v>
      </c>
      <c r="AC42" s="31">
        <f>'Cash-Gen'!N76</f>
        <v>200000</v>
      </c>
      <c r="AD42" s="31">
        <f>'Cash-Gen'!O76</f>
        <v>200000</v>
      </c>
      <c r="AE42" s="582">
        <f>'Cash-Gen'!P76</f>
        <v>200000</v>
      </c>
      <c r="AF42" s="77">
        <f>'Cash-W'!A35</f>
        <v>0</v>
      </c>
      <c r="AG42" s="77">
        <f>'Cash-W'!B35</f>
        <v>0</v>
      </c>
      <c r="AH42" s="77">
        <f>'Cash-W'!C35</f>
        <v>0</v>
      </c>
      <c r="AI42" s="77">
        <f>'Cash-W'!D35</f>
        <v>0</v>
      </c>
      <c r="AJ42" s="77">
        <f>'Cash-W'!G35</f>
        <v>0</v>
      </c>
      <c r="AK42" s="77">
        <f>'Cash-W'!H35</f>
        <v>0</v>
      </c>
      <c r="AL42" s="77">
        <f>'Cash-W'!I35</f>
        <v>0</v>
      </c>
      <c r="AM42" s="77">
        <f>'Cash-W'!J35</f>
        <v>0</v>
      </c>
      <c r="AN42" s="77">
        <f>'Cash-W'!K35</f>
        <v>0</v>
      </c>
      <c r="AO42" s="77">
        <f>'Cash-W'!L35</f>
        <v>0</v>
      </c>
      <c r="AP42" s="79">
        <f>'Cash-W'!M35</f>
        <v>0</v>
      </c>
      <c r="AQ42" s="79">
        <f>'Cash-W'!N35</f>
        <v>0</v>
      </c>
      <c r="AR42" s="79">
        <f>'Cash-W'!O35</f>
        <v>0</v>
      </c>
      <c r="AS42" s="79">
        <f>'Cash-W'!P35</f>
        <v>0</v>
      </c>
      <c r="AT42" s="587">
        <f>'Cash-W'!Q35</f>
        <v>0</v>
      </c>
      <c r="AU42" s="77">
        <f>'Cash-WW'!A35</f>
        <v>468500</v>
      </c>
      <c r="AV42" s="77">
        <f>'Cash-WW'!B35</f>
        <v>0</v>
      </c>
      <c r="AW42" s="77">
        <f>'Cash-WW'!C35</f>
        <v>-305500</v>
      </c>
      <c r="AX42" s="77">
        <f>'Cash-WW'!D35</f>
        <v>-305500</v>
      </c>
      <c r="AY42" s="77">
        <f>'Cash-WW'!G35</f>
        <v>0</v>
      </c>
      <c r="AZ42" s="77">
        <f>'Cash-WW'!H35</f>
        <v>0</v>
      </c>
      <c r="BA42" s="77">
        <f>'Cash-WW'!I35</f>
        <v>0</v>
      </c>
      <c r="BB42" s="77">
        <f>'Cash-WW'!J35</f>
        <v>0</v>
      </c>
      <c r="BC42" s="77">
        <f>'Cash-WW'!K35</f>
        <v>0</v>
      </c>
      <c r="BD42" s="77">
        <f>'Cash-WW'!L35</f>
        <v>0</v>
      </c>
      <c r="BE42" s="79">
        <f>'Cash-WW'!M35</f>
        <v>0</v>
      </c>
      <c r="BF42" s="79">
        <f>'Cash-WW'!N35</f>
        <v>0</v>
      </c>
      <c r="BG42" s="79">
        <f>'Cash-WW'!O35</f>
        <v>0</v>
      </c>
      <c r="BH42" s="79">
        <f>'Cash-WW'!P35</f>
        <v>0</v>
      </c>
      <c r="BI42" s="78">
        <f>'Cash-WW'!Q35</f>
        <v>0</v>
      </c>
    </row>
    <row r="43" spans="1:61" s="726" customFormat="1" x14ac:dyDescent="0.2">
      <c r="A43" s="655" t="s">
        <v>1953</v>
      </c>
      <c r="B43" s="641">
        <f t="shared" si="77"/>
        <v>1805200</v>
      </c>
      <c r="C43" s="31">
        <f t="shared" si="77"/>
        <v>2809800</v>
      </c>
      <c r="D43" s="30">
        <f t="shared" si="77"/>
        <v>2286400</v>
      </c>
      <c r="E43" s="30">
        <f t="shared" si="77"/>
        <v>1310300</v>
      </c>
      <c r="F43" s="30">
        <f t="shared" si="77"/>
        <v>8105000</v>
      </c>
      <c r="G43" s="30">
        <f t="shared" si="77"/>
        <v>7655000</v>
      </c>
      <c r="H43" s="30">
        <f t="shared" si="77"/>
        <v>4655000</v>
      </c>
      <c r="I43" s="30">
        <f t="shared" si="77"/>
        <v>2940000</v>
      </c>
      <c r="J43" s="30">
        <f t="shared" si="77"/>
        <v>1400000</v>
      </c>
      <c r="K43" s="30">
        <f t="shared" si="77"/>
        <v>960000</v>
      </c>
      <c r="L43" s="79">
        <f t="shared" si="77"/>
        <v>960000</v>
      </c>
      <c r="M43" s="79">
        <f t="shared" si="77"/>
        <v>960000</v>
      </c>
      <c r="N43" s="79">
        <f t="shared" si="77"/>
        <v>960000</v>
      </c>
      <c r="O43" s="79">
        <f t="shared" si="77"/>
        <v>960000</v>
      </c>
      <c r="P43" s="587">
        <f t="shared" si="77"/>
        <v>960000</v>
      </c>
      <c r="Q43" s="77">
        <f>'Cash-Gen'!A77</f>
        <v>1805200</v>
      </c>
      <c r="R43" s="77">
        <f>'Cash-Gen'!B77</f>
        <v>2809800</v>
      </c>
      <c r="S43" s="77">
        <f>'Cash-Gen'!C77</f>
        <v>2286400</v>
      </c>
      <c r="T43" s="77">
        <f>'Cash-Gen'!D77</f>
        <v>1310300</v>
      </c>
      <c r="U43" s="77">
        <f>'Cash-Gen'!F77</f>
        <v>8105000</v>
      </c>
      <c r="V43" s="77">
        <f>'Cash-Gen'!G77</f>
        <v>7655000</v>
      </c>
      <c r="W43" s="79">
        <f>'Cash-Gen'!H77</f>
        <v>4655000</v>
      </c>
      <c r="X43" s="79">
        <f>'Cash-Gen'!I77</f>
        <v>2940000</v>
      </c>
      <c r="Y43" s="79">
        <f>'Cash-Gen'!J77</f>
        <v>1400000</v>
      </c>
      <c r="Z43" s="79">
        <f>'Cash-Gen'!K77</f>
        <v>960000</v>
      </c>
      <c r="AA43" s="79">
        <f>'Cash-Gen'!L77</f>
        <v>960000</v>
      </c>
      <c r="AB43" s="79">
        <f>'Cash-Gen'!M77</f>
        <v>960000</v>
      </c>
      <c r="AC43" s="31">
        <f>'Cash-Gen'!N77</f>
        <v>960000</v>
      </c>
      <c r="AD43" s="31">
        <f>'Cash-Gen'!O77</f>
        <v>960000</v>
      </c>
      <c r="AE43" s="582">
        <f>'Cash-Gen'!P77</f>
        <v>960000</v>
      </c>
      <c r="AF43" s="77"/>
      <c r="AG43" s="77"/>
      <c r="AH43" s="79"/>
      <c r="AI43" s="79"/>
      <c r="AJ43" s="30"/>
      <c r="AK43" s="30"/>
      <c r="AL43" s="30"/>
      <c r="AM43" s="30"/>
      <c r="AN43" s="30"/>
      <c r="AO43" s="30"/>
      <c r="AP43" s="79"/>
      <c r="AQ43" s="79"/>
      <c r="AR43" s="79"/>
      <c r="AS43" s="79"/>
      <c r="AT43" s="587"/>
      <c r="AU43" s="77"/>
      <c r="AV43" s="77"/>
      <c r="AW43" s="77"/>
      <c r="AX43" s="77"/>
      <c r="AY43" s="79"/>
      <c r="AZ43" s="79"/>
      <c r="BA43" s="79"/>
      <c r="BB43" s="79"/>
      <c r="BC43" s="79"/>
      <c r="BD43" s="79"/>
      <c r="BE43" s="79"/>
      <c r="BF43" s="79"/>
      <c r="BG43" s="79"/>
      <c r="BH43" s="79"/>
      <c r="BI43" s="78"/>
    </row>
    <row r="44" spans="1:61" s="726" customFormat="1" x14ac:dyDescent="0.2">
      <c r="A44" s="655" t="s">
        <v>344</v>
      </c>
      <c r="B44" s="641">
        <f t="shared" si="77"/>
        <v>1890000</v>
      </c>
      <c r="C44" s="31">
        <f t="shared" si="77"/>
        <v>725000</v>
      </c>
      <c r="D44" s="30">
        <f t="shared" si="77"/>
        <v>500000</v>
      </c>
      <c r="E44" s="30">
        <f t="shared" si="77"/>
        <v>5169600</v>
      </c>
      <c r="F44" s="30">
        <f t="shared" si="77"/>
        <v>8847800</v>
      </c>
      <c r="G44" s="30">
        <f t="shared" si="77"/>
        <v>2500000</v>
      </c>
      <c r="H44" s="30">
        <f t="shared" si="77"/>
        <v>0</v>
      </c>
      <c r="I44" s="30">
        <f t="shared" si="77"/>
        <v>8340000</v>
      </c>
      <c r="J44" s="30">
        <f t="shared" si="77"/>
        <v>0</v>
      </c>
      <c r="K44" s="30">
        <f t="shared" si="77"/>
        <v>0</v>
      </c>
      <c r="L44" s="79">
        <f t="shared" si="77"/>
        <v>0</v>
      </c>
      <c r="M44" s="79">
        <f t="shared" si="77"/>
        <v>0</v>
      </c>
      <c r="N44" s="79">
        <f t="shared" si="77"/>
        <v>0</v>
      </c>
      <c r="O44" s="79">
        <f t="shared" si="77"/>
        <v>0</v>
      </c>
      <c r="P44" s="587">
        <f t="shared" si="77"/>
        <v>1130700</v>
      </c>
      <c r="Q44" s="77">
        <f>'Cash-Gen'!A75</f>
        <v>1200000</v>
      </c>
      <c r="R44" s="1401">
        <f>'Cash-Gen'!B75</f>
        <v>725000</v>
      </c>
      <c r="S44" s="1568">
        <f>'Cash-Gen'!C75</f>
        <v>500000</v>
      </c>
      <c r="T44" s="1568">
        <f>'Cash-Gen'!D75</f>
        <v>3076900</v>
      </c>
      <c r="U44" s="77">
        <f>'Cash-Gen'!F75</f>
        <v>8847800</v>
      </c>
      <c r="V44" s="77">
        <f>'Cash-Gen'!G75</f>
        <v>2500000</v>
      </c>
      <c r="W44" s="79">
        <f>'Cash-Gen'!H75</f>
        <v>0</v>
      </c>
      <c r="X44" s="79">
        <f>'Cash-Gen'!I75</f>
        <v>8340000</v>
      </c>
      <c r="Y44" s="79">
        <f>'Cash-Gen'!J75</f>
        <v>0</v>
      </c>
      <c r="Z44" s="79">
        <f>'Cash-Gen'!K75</f>
        <v>0</v>
      </c>
      <c r="AA44" s="79">
        <f>'Cash-Gen'!L75</f>
        <v>0</v>
      </c>
      <c r="AB44" s="79">
        <f>'Cash-Gen'!M75</f>
        <v>0</v>
      </c>
      <c r="AC44" s="31">
        <f>'Cash-Gen'!N75</f>
        <v>0</v>
      </c>
      <c r="AD44" s="31">
        <f>'Cash-Gen'!O75</f>
        <v>0</v>
      </c>
      <c r="AE44" s="582">
        <f>'Cash-Gen'!P75</f>
        <v>0</v>
      </c>
      <c r="AF44" s="77"/>
      <c r="AG44" s="77"/>
      <c r="AH44" s="79"/>
      <c r="AI44" s="79"/>
      <c r="AJ44" s="30"/>
      <c r="AK44" s="30"/>
      <c r="AL44" s="30"/>
      <c r="AM44" s="30"/>
      <c r="AN44" s="30"/>
      <c r="AO44" s="30"/>
      <c r="AP44" s="79">
        <f>'Cash-W'!G34</f>
        <v>0</v>
      </c>
      <c r="AQ44" s="79">
        <f>'Cash-W'!H34</f>
        <v>0</v>
      </c>
      <c r="AR44" s="79">
        <f>'Cash-W'!I34</f>
        <v>0</v>
      </c>
      <c r="AS44" s="79">
        <f>'Cash-W'!J34</f>
        <v>0</v>
      </c>
      <c r="AT44" s="587">
        <f>'Cash-W'!K34</f>
        <v>0</v>
      </c>
      <c r="AU44" s="1199">
        <f>'Cash-WW'!A36</f>
        <v>690000</v>
      </c>
      <c r="AV44" s="77">
        <f>'Cash-WW'!B36</f>
        <v>0</v>
      </c>
      <c r="AW44" s="77">
        <f>'Cash-WW'!C36</f>
        <v>0</v>
      </c>
      <c r="AX44" s="77">
        <f>'Cash-WW'!D36</f>
        <v>2092700</v>
      </c>
      <c r="AY44" s="79">
        <f>'Cash-WW'!G36</f>
        <v>0</v>
      </c>
      <c r="AZ44" s="79">
        <f>'Cash-WW'!H36</f>
        <v>0</v>
      </c>
      <c r="BA44" s="79">
        <f>'Cash-WW'!I36</f>
        <v>0</v>
      </c>
      <c r="BB44" s="79">
        <f>'Cash-WW'!J36</f>
        <v>0</v>
      </c>
      <c r="BC44" s="79">
        <f>'Cash-WW'!K36</f>
        <v>0</v>
      </c>
      <c r="BD44" s="79">
        <f>'Cash-WW'!L36</f>
        <v>0</v>
      </c>
      <c r="BE44" s="79">
        <f>'Cash-WW'!M36</f>
        <v>0</v>
      </c>
      <c r="BF44" s="79">
        <f>'Cash-WW'!N36</f>
        <v>0</v>
      </c>
      <c r="BG44" s="79">
        <f>'Cash-WW'!O36</f>
        <v>0</v>
      </c>
      <c r="BH44" s="79">
        <f>'Cash-WW'!P36</f>
        <v>0</v>
      </c>
      <c r="BI44" s="78">
        <f>'Cash-WW'!Q36</f>
        <v>1130700</v>
      </c>
    </row>
    <row r="45" spans="1:61" s="726" customFormat="1" x14ac:dyDescent="0.2">
      <c r="A45" s="655" t="s">
        <v>3168</v>
      </c>
      <c r="B45" s="641">
        <f t="shared" si="77"/>
        <v>697200</v>
      </c>
      <c r="C45" s="31">
        <f t="shared" si="77"/>
        <v>545200</v>
      </c>
      <c r="D45" s="30">
        <f t="shared" si="77"/>
        <v>92000</v>
      </c>
      <c r="E45" s="30">
        <f t="shared" si="77"/>
        <v>440000</v>
      </c>
      <c r="F45" s="30">
        <f t="shared" si="77"/>
        <v>0</v>
      </c>
      <c r="G45" s="30">
        <f t="shared" si="77"/>
        <v>0</v>
      </c>
      <c r="H45" s="30">
        <f t="shared" si="77"/>
        <v>0</v>
      </c>
      <c r="I45" s="30">
        <f t="shared" si="77"/>
        <v>0</v>
      </c>
      <c r="J45" s="30">
        <f t="shared" si="77"/>
        <v>0</v>
      </c>
      <c r="K45" s="30">
        <f t="shared" si="77"/>
        <v>0</v>
      </c>
      <c r="L45" s="79">
        <f t="shared" si="77"/>
        <v>0</v>
      </c>
      <c r="M45" s="79">
        <f t="shared" si="77"/>
        <v>0</v>
      </c>
      <c r="N45" s="79">
        <f t="shared" si="77"/>
        <v>0</v>
      </c>
      <c r="O45" s="79">
        <f t="shared" si="77"/>
        <v>0</v>
      </c>
      <c r="P45" s="587">
        <f t="shared" si="77"/>
        <v>0</v>
      </c>
      <c r="Q45" s="77"/>
      <c r="R45" s="1401"/>
      <c r="S45" s="1568"/>
      <c r="T45" s="1568"/>
      <c r="U45" s="77"/>
      <c r="V45" s="77"/>
      <c r="W45" s="79"/>
      <c r="X45" s="79"/>
      <c r="Y45" s="79"/>
      <c r="Z45" s="79"/>
      <c r="AA45" s="79"/>
      <c r="AB45" s="79"/>
      <c r="AC45" s="31"/>
      <c r="AD45" s="31"/>
      <c r="AE45" s="582"/>
      <c r="AF45" s="77">
        <f>'Cash-W'!A34</f>
        <v>137600</v>
      </c>
      <c r="AG45" s="1199">
        <f>'Cash-W'!B34</f>
        <v>136200</v>
      </c>
      <c r="AH45" s="1200">
        <f>'Cash-W'!C34</f>
        <v>23000</v>
      </c>
      <c r="AI45" s="1200">
        <f>'Cash-W'!D34</f>
        <v>100000</v>
      </c>
      <c r="AJ45" s="1200">
        <f>'Cash-W'!G34</f>
        <v>0</v>
      </c>
      <c r="AK45" s="1200">
        <f>'Cash-W'!H34</f>
        <v>0</v>
      </c>
      <c r="AL45" s="1200">
        <f>'Cash-W'!I34</f>
        <v>0</v>
      </c>
      <c r="AM45" s="1200">
        <f>'Cash-W'!J34</f>
        <v>0</v>
      </c>
      <c r="AN45" s="1200">
        <f>'Cash-W'!K34</f>
        <v>0</v>
      </c>
      <c r="AO45" s="1200">
        <f>'Cash-W'!L34</f>
        <v>0</v>
      </c>
      <c r="AP45" s="79">
        <f>'Cash-W'!M34</f>
        <v>0</v>
      </c>
      <c r="AQ45" s="79">
        <f>'Cash-W'!N34</f>
        <v>0</v>
      </c>
      <c r="AR45" s="79">
        <f>'Cash-W'!O34</f>
        <v>0</v>
      </c>
      <c r="AS45" s="79">
        <f>'Cash-W'!P34</f>
        <v>0</v>
      </c>
      <c r="AT45" s="587">
        <f>'Cash-W'!Q34</f>
        <v>0</v>
      </c>
      <c r="AU45" s="1199">
        <f>'Cash-WW'!A34</f>
        <v>559600</v>
      </c>
      <c r="AV45" s="77">
        <f>'Cash-WW'!B34</f>
        <v>409000</v>
      </c>
      <c r="AW45" s="1199">
        <f>'Cash-WW'!C34</f>
        <v>69000</v>
      </c>
      <c r="AX45" s="1199">
        <f>'Cash-WW'!D34</f>
        <v>340000</v>
      </c>
      <c r="AY45" s="1200">
        <f>'Cash-WW'!G34</f>
        <v>0</v>
      </c>
      <c r="AZ45" s="1200">
        <f>'Cash-WW'!H34</f>
        <v>0</v>
      </c>
      <c r="BA45" s="1200">
        <f>'Cash-WW'!I34</f>
        <v>0</v>
      </c>
      <c r="BB45" s="1200">
        <f>'Cash-WW'!J34</f>
        <v>0</v>
      </c>
      <c r="BC45" s="1200">
        <f>'Cash-WW'!K34</f>
        <v>0</v>
      </c>
      <c r="BD45" s="1200">
        <f>'Cash-WW'!L34</f>
        <v>0</v>
      </c>
      <c r="BE45" s="1200">
        <f>'Cash-WW'!M34</f>
        <v>0</v>
      </c>
      <c r="BF45" s="1200">
        <f>'Cash-WW'!N34</f>
        <v>0</v>
      </c>
      <c r="BG45" s="1200">
        <f>'Cash-WW'!O34</f>
        <v>0</v>
      </c>
      <c r="BH45" s="1200">
        <f>'Cash-WW'!P34</f>
        <v>0</v>
      </c>
      <c r="BI45" s="1303">
        <f>'Cash-WW'!Q34</f>
        <v>0</v>
      </c>
    </row>
    <row r="46" spans="1:61" s="726" customFormat="1" ht="13.5" thickBot="1" x14ac:dyDescent="0.25">
      <c r="A46" s="655"/>
      <c r="B46" s="641"/>
      <c r="C46" s="31"/>
      <c r="D46" s="30"/>
      <c r="E46" s="30"/>
      <c r="F46" s="30"/>
      <c r="G46" s="30"/>
      <c r="H46" s="30"/>
      <c r="I46" s="30"/>
      <c r="J46" s="30"/>
      <c r="K46" s="30"/>
      <c r="L46" s="79"/>
      <c r="M46" s="79"/>
      <c r="N46" s="79"/>
      <c r="O46" s="79"/>
      <c r="P46" s="587"/>
      <c r="Q46" s="77"/>
      <c r="R46" s="662"/>
      <c r="S46" s="661"/>
      <c r="T46" s="661"/>
      <c r="U46" s="77"/>
      <c r="V46" s="77"/>
      <c r="W46" s="79"/>
      <c r="X46" s="79"/>
      <c r="Y46" s="79"/>
      <c r="Z46" s="79"/>
      <c r="AA46" s="79"/>
      <c r="AB46" s="79"/>
      <c r="AC46" s="31"/>
      <c r="AD46" s="31"/>
      <c r="AE46" s="582"/>
      <c r="AF46" s="77"/>
      <c r="AG46" s="77"/>
      <c r="AH46" s="79"/>
      <c r="AI46" s="79"/>
      <c r="AJ46" s="30"/>
      <c r="AK46" s="30"/>
      <c r="AL46" s="30"/>
      <c r="AM46" s="30"/>
      <c r="AN46" s="30"/>
      <c r="AO46" s="30"/>
      <c r="AP46" s="79"/>
      <c r="AQ46" s="79"/>
      <c r="AR46" s="79"/>
      <c r="AS46" s="79"/>
      <c r="AT46" s="587"/>
      <c r="AU46" s="77"/>
      <c r="AV46" s="77"/>
      <c r="AW46" s="77"/>
      <c r="AX46" s="77"/>
      <c r="AY46" s="79"/>
      <c r="AZ46" s="79"/>
      <c r="BA46" s="79"/>
      <c r="BB46" s="79"/>
      <c r="BC46" s="79"/>
      <c r="BD46" s="79"/>
      <c r="BE46" s="79"/>
      <c r="BF46" s="79"/>
      <c r="BG46" s="79"/>
      <c r="BH46" s="79"/>
      <c r="BI46" s="78"/>
    </row>
    <row r="47" spans="1:61" s="285" customFormat="1" x14ac:dyDescent="0.2">
      <c r="A47" s="1900" t="s">
        <v>752</v>
      </c>
      <c r="B47" s="962">
        <f t="shared" ref="B47:P47" si="78">Q47+AF47+AU47</f>
        <v>16682900</v>
      </c>
      <c r="C47" s="124">
        <f t="shared" si="78"/>
        <v>20033900</v>
      </c>
      <c r="D47" s="323">
        <f t="shared" si="78"/>
        <v>19622900</v>
      </c>
      <c r="E47" s="323">
        <f t="shared" si="78"/>
        <v>24451700</v>
      </c>
      <c r="F47" s="323">
        <f t="shared" si="78"/>
        <v>36083100</v>
      </c>
      <c r="G47" s="323">
        <f t="shared" si="78"/>
        <v>25298600</v>
      </c>
      <c r="H47" s="323">
        <f t="shared" si="78"/>
        <v>16645300</v>
      </c>
      <c r="I47" s="323">
        <f t="shared" si="78"/>
        <v>29547500</v>
      </c>
      <c r="J47" s="323">
        <f t="shared" si="78"/>
        <v>20099600</v>
      </c>
      <c r="K47" s="323">
        <f t="shared" si="78"/>
        <v>12101500</v>
      </c>
      <c r="L47" s="16">
        <f t="shared" si="78"/>
        <v>12353200</v>
      </c>
      <c r="M47" s="16">
        <f t="shared" si="78"/>
        <v>12618900</v>
      </c>
      <c r="N47" s="16">
        <f t="shared" si="78"/>
        <v>12889400</v>
      </c>
      <c r="O47" s="16">
        <f t="shared" si="78"/>
        <v>13165700</v>
      </c>
      <c r="P47" s="90">
        <f t="shared" si="78"/>
        <v>14577800</v>
      </c>
      <c r="Q47" s="102">
        <f t="shared" ref="Q47:AG47" si="79">SUM(Q39:Q46)</f>
        <v>11961700</v>
      </c>
      <c r="R47" s="1907">
        <f t="shared" si="79"/>
        <v>16375900</v>
      </c>
      <c r="S47" s="1597">
        <f t="shared" si="79"/>
        <v>16306500</v>
      </c>
      <c r="T47" s="1597">
        <f t="shared" si="79"/>
        <v>21018900</v>
      </c>
      <c r="U47" s="102">
        <f t="shared" si="79"/>
        <v>33162600</v>
      </c>
      <c r="V47" s="102">
        <f t="shared" si="79"/>
        <v>22323100</v>
      </c>
      <c r="W47" s="16">
        <f t="shared" si="79"/>
        <v>13609800</v>
      </c>
      <c r="X47" s="16">
        <f t="shared" si="79"/>
        <v>26452000</v>
      </c>
      <c r="Y47" s="16">
        <f t="shared" si="79"/>
        <v>16944100</v>
      </c>
      <c r="Z47" s="16">
        <f t="shared" si="79"/>
        <v>8886000</v>
      </c>
      <c r="AA47" s="16">
        <f t="shared" si="79"/>
        <v>9077700</v>
      </c>
      <c r="AB47" s="16">
        <f t="shared" si="79"/>
        <v>9273400</v>
      </c>
      <c r="AC47" s="124">
        <f t="shared" si="79"/>
        <v>9473900</v>
      </c>
      <c r="AD47" s="124">
        <f t="shared" si="79"/>
        <v>9680200</v>
      </c>
      <c r="AE47" s="1254">
        <f t="shared" si="79"/>
        <v>9891600</v>
      </c>
      <c r="AF47" s="102">
        <f t="shared" si="79"/>
        <v>988900</v>
      </c>
      <c r="AG47" s="102">
        <f t="shared" si="79"/>
        <v>1117600</v>
      </c>
      <c r="AH47" s="16">
        <f>SUM(AH40:AH46)</f>
        <v>1082900</v>
      </c>
      <c r="AI47" s="16">
        <f>SUM(AI40:AI46)</f>
        <v>569100</v>
      </c>
      <c r="AJ47" s="323">
        <f t="shared" ref="AJ47:AT47" si="80">SUM(AJ39:AJ46)</f>
        <v>775000</v>
      </c>
      <c r="AK47" s="323">
        <f t="shared" si="80"/>
        <v>800000</v>
      </c>
      <c r="AL47" s="323">
        <f t="shared" si="80"/>
        <v>820000</v>
      </c>
      <c r="AM47" s="323">
        <f t="shared" si="80"/>
        <v>840000</v>
      </c>
      <c r="AN47" s="323">
        <f t="shared" si="80"/>
        <v>860000</v>
      </c>
      <c r="AO47" s="323">
        <f t="shared" si="80"/>
        <v>880000</v>
      </c>
      <c r="AP47" s="16">
        <f t="shared" si="80"/>
        <v>900000</v>
      </c>
      <c r="AQ47" s="16">
        <f t="shared" si="80"/>
        <v>920000</v>
      </c>
      <c r="AR47" s="16">
        <f t="shared" si="80"/>
        <v>940000</v>
      </c>
      <c r="AS47" s="16">
        <f t="shared" si="80"/>
        <v>960000</v>
      </c>
      <c r="AT47" s="90">
        <f t="shared" si="80"/>
        <v>980000</v>
      </c>
      <c r="AU47" s="102">
        <f>SUM(AU40:AU46)</f>
        <v>3732300</v>
      </c>
      <c r="AV47" s="102">
        <f>SUM(AV40:AV46)</f>
        <v>2540400</v>
      </c>
      <c r="AW47" s="102">
        <f t="shared" ref="AW47:BI47" si="81">SUM(AW39:AW46)</f>
        <v>2233500</v>
      </c>
      <c r="AX47" s="102">
        <f t="shared" si="81"/>
        <v>2863700</v>
      </c>
      <c r="AY47" s="102">
        <f t="shared" si="81"/>
        <v>2145500</v>
      </c>
      <c r="AZ47" s="102">
        <f t="shared" si="81"/>
        <v>2175500</v>
      </c>
      <c r="BA47" s="102">
        <f t="shared" si="81"/>
        <v>2215500</v>
      </c>
      <c r="BB47" s="102">
        <f t="shared" si="81"/>
        <v>2255500</v>
      </c>
      <c r="BC47" s="102">
        <f t="shared" si="81"/>
        <v>2295500</v>
      </c>
      <c r="BD47" s="102">
        <f t="shared" si="81"/>
        <v>2335500</v>
      </c>
      <c r="BE47" s="16">
        <f t="shared" si="81"/>
        <v>2375500</v>
      </c>
      <c r="BF47" s="16">
        <f t="shared" si="81"/>
        <v>2425500</v>
      </c>
      <c r="BG47" s="16">
        <f t="shared" si="81"/>
        <v>2475500</v>
      </c>
      <c r="BH47" s="16">
        <f t="shared" si="81"/>
        <v>2525500</v>
      </c>
      <c r="BI47" s="60">
        <f t="shared" si="81"/>
        <v>3706200</v>
      </c>
    </row>
    <row r="48" spans="1:61" s="726" customFormat="1" x14ac:dyDescent="0.2">
      <c r="A48" s="656" t="s">
        <v>1066</v>
      </c>
      <c r="B48" s="1902"/>
      <c r="C48" s="1300"/>
      <c r="D48" s="1894"/>
      <c r="E48" s="1894"/>
      <c r="F48" s="1894"/>
      <c r="G48" s="1894"/>
      <c r="H48" s="1894"/>
      <c r="I48" s="1894"/>
      <c r="J48" s="1894"/>
      <c r="K48" s="1894"/>
      <c r="L48" s="1568"/>
      <c r="M48" s="1568"/>
      <c r="N48" s="1568"/>
      <c r="O48" s="1568"/>
      <c r="P48" s="1896"/>
      <c r="Q48" s="1401"/>
      <c r="R48" s="1401"/>
      <c r="S48" s="1568"/>
      <c r="T48" s="1568"/>
      <c r="U48" s="77"/>
      <c r="V48" s="77"/>
      <c r="W48" s="79"/>
      <c r="X48" s="79"/>
      <c r="Y48" s="79"/>
      <c r="Z48" s="79"/>
      <c r="AA48" s="79"/>
      <c r="AB48" s="79"/>
      <c r="AC48" s="31"/>
      <c r="AD48" s="31"/>
      <c r="AE48" s="582"/>
      <c r="AF48" s="77"/>
      <c r="AG48" s="77"/>
      <c r="AH48" s="79"/>
      <c r="AI48" s="79"/>
      <c r="AJ48" s="30"/>
      <c r="AK48" s="30"/>
      <c r="AL48" s="30"/>
      <c r="AM48" s="30"/>
      <c r="AN48" s="30"/>
      <c r="AO48" s="30"/>
      <c r="AP48" s="79"/>
      <c r="AQ48" s="79"/>
      <c r="AR48" s="79"/>
      <c r="AS48" s="79"/>
      <c r="AT48" s="587"/>
      <c r="AU48" s="77"/>
      <c r="AV48" s="77"/>
      <c r="AW48" s="77"/>
      <c r="AX48" s="77"/>
      <c r="AY48" s="79"/>
      <c r="AZ48" s="79"/>
      <c r="BA48" s="79"/>
      <c r="BB48" s="79"/>
      <c r="BC48" s="79"/>
      <c r="BD48" s="79"/>
      <c r="BE48" s="79"/>
      <c r="BF48" s="79"/>
      <c r="BG48" s="79"/>
      <c r="BH48" s="79"/>
      <c r="BI48" s="78"/>
    </row>
    <row r="49" spans="1:61" s="726" customFormat="1" x14ac:dyDescent="0.2">
      <c r="A49" s="655" t="s">
        <v>273</v>
      </c>
      <c r="B49" s="641">
        <f t="shared" ref="B49:P50" si="82">Q49+AF49+AU49</f>
        <v>40263700</v>
      </c>
      <c r="C49" s="31">
        <f t="shared" si="82"/>
        <v>31784100</v>
      </c>
      <c r="D49" s="30">
        <f t="shared" si="82"/>
        <v>28336600</v>
      </c>
      <c r="E49" s="30">
        <f t="shared" si="82"/>
        <v>28819300</v>
      </c>
      <c r="F49" s="30">
        <f t="shared" si="82"/>
        <v>56528900</v>
      </c>
      <c r="G49" s="30">
        <f t="shared" si="82"/>
        <v>50862800</v>
      </c>
      <c r="H49" s="30">
        <f t="shared" si="82"/>
        <v>42346100</v>
      </c>
      <c r="I49" s="30">
        <f t="shared" si="82"/>
        <v>43629800</v>
      </c>
      <c r="J49" s="30">
        <f t="shared" si="82"/>
        <v>37661700</v>
      </c>
      <c r="K49" s="30">
        <f t="shared" si="82"/>
        <v>22922500</v>
      </c>
      <c r="L49" s="79">
        <f t="shared" si="82"/>
        <v>24026900</v>
      </c>
      <c r="M49" s="79">
        <f t="shared" si="82"/>
        <v>28412400</v>
      </c>
      <c r="N49" s="79">
        <f t="shared" si="82"/>
        <v>19447100</v>
      </c>
      <c r="O49" s="79">
        <f t="shared" si="82"/>
        <v>22836300</v>
      </c>
      <c r="P49" s="587">
        <f t="shared" si="82"/>
        <v>19361500</v>
      </c>
      <c r="Q49" s="77">
        <f>ROUND(-SUM('Cash-Gen'!A80),-2)+'Cash-Gen'!A55</f>
        <v>29662200</v>
      </c>
      <c r="R49" s="1401">
        <f>-SUM('Cash-Gen'!B80)+'Cash-Gen'!B55</f>
        <v>23896500</v>
      </c>
      <c r="S49" s="1568">
        <f>-SUM('Cash-Gen'!C80)+'Cash-Gen'!C55</f>
        <v>23896800</v>
      </c>
      <c r="T49" s="1568">
        <f>-SUM('Cash-Gen'!D80)+'Cash-Gen'!D55</f>
        <v>25127300</v>
      </c>
      <c r="U49" s="1568">
        <f>-SUM('Cash-Gen'!F80)+'Cash-Gen'!F55</f>
        <v>43037600</v>
      </c>
      <c r="V49" s="1568">
        <f>-SUM('Cash-Gen'!G80)+'Cash-Gen'!G55</f>
        <v>37364400</v>
      </c>
      <c r="W49" s="1568">
        <f>-SUM('Cash-Gen'!H80)+'Cash-Gen'!H55</f>
        <v>33123900</v>
      </c>
      <c r="X49" s="1568">
        <f>-SUM('Cash-Gen'!I80)+'Cash-Gen'!I55</f>
        <v>38198800</v>
      </c>
      <c r="Y49" s="1568">
        <f>-SUM('Cash-Gen'!J80)+'Cash-Gen'!J55</f>
        <v>25975100</v>
      </c>
      <c r="Z49" s="1568">
        <f>-SUM('Cash-Gen'!K80)+'Cash-Gen'!K55</f>
        <v>13059900</v>
      </c>
      <c r="AA49" s="79">
        <f>-SUM('Cash-Gen'!L80)+'Cash-Gen'!L55</f>
        <v>17636100</v>
      </c>
      <c r="AB49" s="79">
        <f>-SUM('Cash-Gen'!M80)+'Cash-Gen'!M55</f>
        <v>17973500</v>
      </c>
      <c r="AC49" s="31">
        <f>-SUM('Cash-Gen'!N80)+'Cash-Gen'!N55</f>
        <v>15724000</v>
      </c>
      <c r="AD49" s="31">
        <f>-SUM('Cash-Gen'!O80)+'Cash-Gen'!O55</f>
        <v>19209100</v>
      </c>
      <c r="AE49" s="582">
        <f>-SUM('Cash-Gen'!P80)+'Cash-Gen'!P55</f>
        <v>17485300</v>
      </c>
      <c r="AF49" s="77">
        <f>-'Cash-W'!A40</f>
        <v>1827100</v>
      </c>
      <c r="AG49" s="77">
        <f>-'Cash-W'!B40</f>
        <v>2821700</v>
      </c>
      <c r="AH49" s="79">
        <f>-'Cash-W'!C40</f>
        <v>1427000</v>
      </c>
      <c r="AI49" s="79">
        <f>-'Cash-W'!D40</f>
        <v>1131500</v>
      </c>
      <c r="AJ49" s="30">
        <f>-'Cash-W'!G40</f>
        <v>4000700</v>
      </c>
      <c r="AK49" s="30">
        <f>-'Cash-W'!H40</f>
        <v>5018000</v>
      </c>
      <c r="AL49" s="30">
        <f>-'Cash-W'!I40</f>
        <v>3400000</v>
      </c>
      <c r="AM49" s="30">
        <f>-'Cash-W'!J40</f>
        <v>1990100</v>
      </c>
      <c r="AN49" s="30">
        <f>-'Cash-W'!K40</f>
        <v>5836000</v>
      </c>
      <c r="AO49" s="30">
        <f>-'Cash-W'!L40</f>
        <v>4662000</v>
      </c>
      <c r="AP49" s="79">
        <f>-'Cash-W'!M40</f>
        <v>4630800</v>
      </c>
      <c r="AQ49" s="79">
        <f>-'Cash-W'!N40</f>
        <v>4377000</v>
      </c>
      <c r="AR49" s="79">
        <f>-'Cash-W'!O40</f>
        <v>1791600</v>
      </c>
      <c r="AS49" s="79">
        <f>-'Cash-W'!P40</f>
        <v>1751000</v>
      </c>
      <c r="AT49" s="587">
        <f>-'Cash-W'!Q40</f>
        <v>0</v>
      </c>
      <c r="AU49" s="77">
        <f>-'Cash-WW'!A39+'Cash-WW'!A16</f>
        <v>8774400</v>
      </c>
      <c r="AV49" s="77">
        <f>-'Cash-WW'!B39+'Cash-WW'!B16</f>
        <v>5065900</v>
      </c>
      <c r="AW49" s="77">
        <f>-'Cash-WW'!C39+'Cash-WW'!C16</f>
        <v>3012800</v>
      </c>
      <c r="AX49" s="77">
        <f>-'Cash-WW'!D39+'Cash-WW'!D16</f>
        <v>2560500</v>
      </c>
      <c r="AY49" s="77">
        <f>-'Cash-WW'!G39+'Cash-WW'!G16</f>
        <v>9490600</v>
      </c>
      <c r="AZ49" s="77">
        <f>-'Cash-WW'!H39+'Cash-WW'!H16</f>
        <v>8480400</v>
      </c>
      <c r="BA49" s="77">
        <f>-'Cash-WW'!I39+'Cash-WW'!I16</f>
        <v>5822200</v>
      </c>
      <c r="BB49" s="77">
        <f>-'Cash-WW'!J39+'Cash-WW'!J16</f>
        <v>3440900</v>
      </c>
      <c r="BC49" s="77">
        <f>-'Cash-WW'!K39+'Cash-WW'!K16</f>
        <v>5850600</v>
      </c>
      <c r="BD49" s="77">
        <f>-'Cash-WW'!L39+'Cash-WW'!L16</f>
        <v>5200600</v>
      </c>
      <c r="BE49" s="79">
        <f>-'Cash-WW'!M39+'Cash-WW'!M16</f>
        <v>1760000</v>
      </c>
      <c r="BF49" s="79">
        <f>-'Cash-WW'!N39+'Cash-WW'!N16</f>
        <v>6061900</v>
      </c>
      <c r="BG49" s="79">
        <f>-'Cash-WW'!O39+'Cash-WW'!O16</f>
        <v>1931500</v>
      </c>
      <c r="BH49" s="79">
        <f>-'Cash-WW'!P39+'Cash-WW'!P16</f>
        <v>1876200</v>
      </c>
      <c r="BI49" s="78">
        <f>-'Cash-WW'!Q39+'Cash-WW'!Q16</f>
        <v>1876200</v>
      </c>
    </row>
    <row r="50" spans="1:61" s="726" customFormat="1" x14ac:dyDescent="0.2">
      <c r="A50" s="655" t="s">
        <v>142</v>
      </c>
      <c r="B50" s="641">
        <f t="shared" si="82"/>
        <v>5601000</v>
      </c>
      <c r="C50" s="31">
        <f t="shared" si="82"/>
        <v>5583300</v>
      </c>
      <c r="D50" s="30">
        <f t="shared" si="82"/>
        <v>6582200</v>
      </c>
      <c r="E50" s="30">
        <f t="shared" si="82"/>
        <v>6654100</v>
      </c>
      <c r="F50" s="30">
        <f t="shared" si="82"/>
        <v>6381300</v>
      </c>
      <c r="G50" s="30">
        <f t="shared" si="82"/>
        <v>6458800</v>
      </c>
      <c r="H50" s="30">
        <f t="shared" si="82"/>
        <v>6682400</v>
      </c>
      <c r="I50" s="30">
        <f t="shared" si="82"/>
        <v>5584500</v>
      </c>
      <c r="J50" s="30">
        <f t="shared" si="82"/>
        <v>6290200</v>
      </c>
      <c r="K50" s="30">
        <f t="shared" si="82"/>
        <v>6027100</v>
      </c>
      <c r="L50" s="79">
        <f t="shared" si="82"/>
        <v>5493800</v>
      </c>
      <c r="M50" s="79">
        <f t="shared" si="82"/>
        <v>5425000</v>
      </c>
      <c r="N50" s="79">
        <f t="shared" si="82"/>
        <v>4999400</v>
      </c>
      <c r="O50" s="79">
        <f t="shared" si="82"/>
        <v>5200400</v>
      </c>
      <c r="P50" s="587">
        <f>AE50+AT50+BI50</f>
        <v>5462300</v>
      </c>
      <c r="Q50" s="77">
        <f>ROUND(-'Cash-Gen'!A81,-2)</f>
        <v>3216200</v>
      </c>
      <c r="R50" s="77">
        <f>-'Cash-Gen'!B81</f>
        <v>3395400</v>
      </c>
      <c r="S50" s="79">
        <f>-'Cash-Gen'!C81</f>
        <v>3788900</v>
      </c>
      <c r="T50" s="79">
        <f>-'Cash-Gen'!D81</f>
        <v>3696200</v>
      </c>
      <c r="U50" s="77">
        <f>-'Cash-Gen'!F81</f>
        <v>3285700</v>
      </c>
      <c r="V50" s="77">
        <f>-'Cash-Gen'!G81</f>
        <v>3324800</v>
      </c>
      <c r="W50" s="79">
        <f>-'Cash-Gen'!H81</f>
        <v>3402100</v>
      </c>
      <c r="X50" s="79">
        <f>-'Cash-Gen'!I81</f>
        <v>3131000</v>
      </c>
      <c r="Y50" s="79">
        <f>-'Cash-Gen'!J81</f>
        <v>3636100</v>
      </c>
      <c r="Z50" s="79">
        <f>-'Cash-Gen'!K81</f>
        <v>3183000</v>
      </c>
      <c r="AA50" s="79">
        <f>-'Cash-Gen'!L81</f>
        <v>2456800</v>
      </c>
      <c r="AB50" s="79">
        <f>-'Cash-Gen'!M81</f>
        <v>2190000</v>
      </c>
      <c r="AC50" s="31">
        <f>-'Cash-Gen'!N81</f>
        <v>1569400</v>
      </c>
      <c r="AD50" s="31">
        <f>-'Cash-Gen'!O81</f>
        <v>1573400</v>
      </c>
      <c r="AE50" s="582">
        <f>-'Cash-Gen'!P81</f>
        <v>1637300</v>
      </c>
      <c r="AF50" s="77">
        <f>-'Cash-W'!A41</f>
        <v>0</v>
      </c>
      <c r="AG50" s="77">
        <f>-'Cash-W'!B41</f>
        <v>0</v>
      </c>
      <c r="AH50" s="79">
        <f>-'Cash-W'!C41</f>
        <v>0</v>
      </c>
      <c r="AI50" s="79">
        <f>-'Cash-W'!D41</f>
        <v>0</v>
      </c>
      <c r="AJ50" s="30">
        <f>-'Cash-W'!G41</f>
        <v>0</v>
      </c>
      <c r="AK50" s="30">
        <f>-'Cash-W'!H41</f>
        <v>0</v>
      </c>
      <c r="AL50" s="30">
        <f>-'Cash-W'!I41</f>
        <v>0</v>
      </c>
      <c r="AM50" s="30">
        <f>-'Cash-W'!J41</f>
        <v>0</v>
      </c>
      <c r="AN50" s="30">
        <f>-'Cash-W'!K41</f>
        <v>0</v>
      </c>
      <c r="AO50" s="30">
        <f>-'Cash-W'!L41</f>
        <v>0</v>
      </c>
      <c r="AP50" s="79">
        <f>-'Cash-W'!M41</f>
        <v>0</v>
      </c>
      <c r="AQ50" s="79">
        <f>-'Cash-W'!N41</f>
        <v>0</v>
      </c>
      <c r="AR50" s="79">
        <f>-'Cash-W'!A41</f>
        <v>0</v>
      </c>
      <c r="AS50" s="79">
        <f>-'Cash-W'!B41</f>
        <v>0</v>
      </c>
      <c r="AT50" s="587">
        <f>-'Cash-W'!C41</f>
        <v>0</v>
      </c>
      <c r="AU50" s="77">
        <f>-'Cash-WW'!A40</f>
        <v>2384800</v>
      </c>
      <c r="AV50" s="77">
        <f>-'Cash-WW'!B40</f>
        <v>2187900</v>
      </c>
      <c r="AW50" s="77">
        <f>-'Cash-WW'!C40</f>
        <v>2793300</v>
      </c>
      <c r="AX50" s="77">
        <f>-'Cash-WW'!D40</f>
        <v>2957900</v>
      </c>
      <c r="AY50" s="77">
        <f>-'Cash-WW'!G40</f>
        <v>3095600</v>
      </c>
      <c r="AZ50" s="77">
        <f>-'Cash-WW'!H40</f>
        <v>3134000</v>
      </c>
      <c r="BA50" s="77">
        <f>-'Cash-WW'!I40</f>
        <v>3280300</v>
      </c>
      <c r="BB50" s="77">
        <f>-'Cash-WW'!J40</f>
        <v>2453500</v>
      </c>
      <c r="BC50" s="77">
        <f>-'Cash-WW'!K40</f>
        <v>2654100</v>
      </c>
      <c r="BD50" s="77">
        <f>-'Cash-WW'!L40</f>
        <v>2844100</v>
      </c>
      <c r="BE50" s="79">
        <f>-'Cash-WW'!M40</f>
        <v>3037000</v>
      </c>
      <c r="BF50" s="79">
        <f>-'Cash-WW'!N40</f>
        <v>3235000</v>
      </c>
      <c r="BG50" s="79">
        <f>-'Cash-WW'!O40</f>
        <v>3430000</v>
      </c>
      <c r="BH50" s="79">
        <f>-'Cash-WW'!P40</f>
        <v>3627000</v>
      </c>
      <c r="BI50" s="78">
        <f>-'Cash-WW'!Q40</f>
        <v>3825000</v>
      </c>
    </row>
    <row r="51" spans="1:61" s="726" customFormat="1" ht="13.5" thickBot="1" x14ac:dyDescent="0.25">
      <c r="A51" s="655"/>
      <c r="B51" s="641"/>
      <c r="C51" s="31"/>
      <c r="D51" s="30"/>
      <c r="E51" s="30"/>
      <c r="F51" s="30"/>
      <c r="G51" s="30"/>
      <c r="H51" s="30"/>
      <c r="I51" s="30"/>
      <c r="J51" s="30"/>
      <c r="K51" s="30"/>
      <c r="L51" s="79"/>
      <c r="M51" s="79"/>
      <c r="N51" s="79"/>
      <c r="O51" s="79"/>
      <c r="P51" s="587"/>
      <c r="Q51" s="77"/>
      <c r="R51" s="77"/>
      <c r="S51" s="79"/>
      <c r="T51" s="79"/>
      <c r="U51" s="77"/>
      <c r="V51" s="77"/>
      <c r="W51" s="79"/>
      <c r="X51" s="79"/>
      <c r="Y51" s="79"/>
      <c r="Z51" s="79"/>
      <c r="AA51" s="79"/>
      <c r="AB51" s="79"/>
      <c r="AC51" s="31"/>
      <c r="AD51" s="31"/>
      <c r="AE51" s="582"/>
      <c r="AF51" s="77"/>
      <c r="AG51" s="77"/>
      <c r="AH51" s="79"/>
      <c r="AI51" s="79"/>
      <c r="AJ51" s="30"/>
      <c r="AK51" s="30"/>
      <c r="AL51" s="30"/>
      <c r="AM51" s="30"/>
      <c r="AN51" s="30"/>
      <c r="AO51" s="30"/>
      <c r="AP51" s="79"/>
      <c r="AQ51" s="79"/>
      <c r="AR51" s="79"/>
      <c r="AS51" s="79"/>
      <c r="AT51" s="587"/>
      <c r="AU51" s="77"/>
      <c r="AV51" s="77"/>
      <c r="AW51" s="77"/>
      <c r="AX51" s="77"/>
      <c r="AY51" s="79"/>
      <c r="AZ51" s="79"/>
      <c r="BA51" s="79"/>
      <c r="BB51" s="79"/>
      <c r="BC51" s="79"/>
      <c r="BD51" s="79"/>
      <c r="BE51" s="79"/>
      <c r="BF51" s="79"/>
      <c r="BG51" s="79"/>
      <c r="BH51" s="79"/>
      <c r="BI51" s="78"/>
    </row>
    <row r="52" spans="1:61" s="285" customFormat="1" x14ac:dyDescent="0.2">
      <c r="A52" s="1900" t="s">
        <v>752</v>
      </c>
      <c r="B52" s="962">
        <f t="shared" ref="B52:P52" si="83">Q52+AF52+AU52</f>
        <v>45864700</v>
      </c>
      <c r="C52" s="124">
        <f t="shared" si="83"/>
        <v>37367400</v>
      </c>
      <c r="D52" s="323">
        <f t="shared" si="83"/>
        <v>34918800</v>
      </c>
      <c r="E52" s="323">
        <f t="shared" si="83"/>
        <v>35473400</v>
      </c>
      <c r="F52" s="323">
        <f t="shared" si="83"/>
        <v>62910200</v>
      </c>
      <c r="G52" s="323">
        <f t="shared" si="83"/>
        <v>57321600</v>
      </c>
      <c r="H52" s="323">
        <f t="shared" si="83"/>
        <v>49028500</v>
      </c>
      <c r="I52" s="323">
        <f t="shared" si="83"/>
        <v>49214300</v>
      </c>
      <c r="J52" s="323">
        <f t="shared" si="83"/>
        <v>43951900</v>
      </c>
      <c r="K52" s="323">
        <f t="shared" si="83"/>
        <v>28949600</v>
      </c>
      <c r="L52" s="16">
        <f t="shared" si="83"/>
        <v>29520700</v>
      </c>
      <c r="M52" s="16">
        <f t="shared" si="83"/>
        <v>33837400</v>
      </c>
      <c r="N52" s="16">
        <f t="shared" si="83"/>
        <v>24446500</v>
      </c>
      <c r="O52" s="16">
        <f t="shared" si="83"/>
        <v>28036700</v>
      </c>
      <c r="P52" s="90">
        <f t="shared" si="83"/>
        <v>24823800</v>
      </c>
      <c r="Q52" s="102">
        <f t="shared" ref="Q52:BG52" si="84">SUM(Q49:Q51)</f>
        <v>32878400</v>
      </c>
      <c r="R52" s="102">
        <f t="shared" si="84"/>
        <v>27291900</v>
      </c>
      <c r="S52" s="16">
        <f t="shared" si="84"/>
        <v>27685700</v>
      </c>
      <c r="T52" s="16">
        <f t="shared" ref="T52" si="85">SUM(T49:T51)</f>
        <v>28823500</v>
      </c>
      <c r="U52" s="102">
        <f t="shared" si="84"/>
        <v>46323300</v>
      </c>
      <c r="V52" s="102">
        <f t="shared" si="84"/>
        <v>40689200</v>
      </c>
      <c r="W52" s="16">
        <f t="shared" si="84"/>
        <v>36526000</v>
      </c>
      <c r="X52" s="16">
        <f t="shared" si="84"/>
        <v>41329800</v>
      </c>
      <c r="Y52" s="16">
        <f t="shared" si="84"/>
        <v>29611200</v>
      </c>
      <c r="Z52" s="16">
        <f t="shared" si="84"/>
        <v>16242900</v>
      </c>
      <c r="AA52" s="16">
        <f t="shared" si="84"/>
        <v>20092900</v>
      </c>
      <c r="AB52" s="16">
        <f t="shared" si="84"/>
        <v>20163500</v>
      </c>
      <c r="AC52" s="124">
        <f t="shared" si="84"/>
        <v>17293400</v>
      </c>
      <c r="AD52" s="124">
        <f t="shared" ref="AD52:AE52" si="86">SUM(AD49:AD51)</f>
        <v>20782500</v>
      </c>
      <c r="AE52" s="1254">
        <f t="shared" si="86"/>
        <v>19122600</v>
      </c>
      <c r="AF52" s="102">
        <f t="shared" si="84"/>
        <v>1827100</v>
      </c>
      <c r="AG52" s="102">
        <f t="shared" si="84"/>
        <v>2821700</v>
      </c>
      <c r="AH52" s="16">
        <f t="shared" si="84"/>
        <v>1427000</v>
      </c>
      <c r="AI52" s="16">
        <f t="shared" ref="AI52" si="87">SUM(AI49:AI51)</f>
        <v>1131500</v>
      </c>
      <c r="AJ52" s="323">
        <f t="shared" si="84"/>
        <v>4000700</v>
      </c>
      <c r="AK52" s="323">
        <f t="shared" si="84"/>
        <v>5018000</v>
      </c>
      <c r="AL52" s="323">
        <f t="shared" si="84"/>
        <v>3400000</v>
      </c>
      <c r="AM52" s="323">
        <f t="shared" si="84"/>
        <v>1990100</v>
      </c>
      <c r="AN52" s="323">
        <f t="shared" si="84"/>
        <v>5836000</v>
      </c>
      <c r="AO52" s="323">
        <f t="shared" si="84"/>
        <v>4662000</v>
      </c>
      <c r="AP52" s="16">
        <f t="shared" si="84"/>
        <v>4630800</v>
      </c>
      <c r="AQ52" s="16">
        <f t="shared" si="84"/>
        <v>4377000</v>
      </c>
      <c r="AR52" s="16">
        <f t="shared" si="84"/>
        <v>1791600</v>
      </c>
      <c r="AS52" s="16">
        <f t="shared" ref="AS52" si="88">SUM(AS49:AS51)</f>
        <v>1751000</v>
      </c>
      <c r="AT52" s="90">
        <f t="shared" ref="AT52" si="89">SUM(AT49:AT51)</f>
        <v>0</v>
      </c>
      <c r="AU52" s="102">
        <f t="shared" si="84"/>
        <v>11159200</v>
      </c>
      <c r="AV52" s="102">
        <f t="shared" si="84"/>
        <v>7253800</v>
      </c>
      <c r="AW52" s="102">
        <f t="shared" si="84"/>
        <v>5806100</v>
      </c>
      <c r="AX52" s="102">
        <f t="shared" ref="AX52" si="90">SUM(AX49:AX51)</f>
        <v>5518400</v>
      </c>
      <c r="AY52" s="102">
        <f t="shared" si="84"/>
        <v>12586200</v>
      </c>
      <c r="AZ52" s="102">
        <f t="shared" si="84"/>
        <v>11614400</v>
      </c>
      <c r="BA52" s="102">
        <f t="shared" si="84"/>
        <v>9102500</v>
      </c>
      <c r="BB52" s="102">
        <f t="shared" si="84"/>
        <v>5894400</v>
      </c>
      <c r="BC52" s="102">
        <f t="shared" si="84"/>
        <v>8504700</v>
      </c>
      <c r="BD52" s="102">
        <f t="shared" si="84"/>
        <v>8044700</v>
      </c>
      <c r="BE52" s="16">
        <f t="shared" si="84"/>
        <v>4797000</v>
      </c>
      <c r="BF52" s="16">
        <f t="shared" si="84"/>
        <v>9296900</v>
      </c>
      <c r="BG52" s="16">
        <f t="shared" si="84"/>
        <v>5361500</v>
      </c>
      <c r="BH52" s="16">
        <f t="shared" ref="BH52" si="91">SUM(BH49:BH51)</f>
        <v>5503200</v>
      </c>
      <c r="BI52" s="60">
        <f t="shared" ref="BI52" si="92">SUM(BI49:BI51)</f>
        <v>5701200</v>
      </c>
    </row>
    <row r="53" spans="1:61" s="726" customFormat="1" x14ac:dyDescent="0.2">
      <c r="A53" s="655"/>
      <c r="B53" s="641"/>
      <c r="C53" s="31"/>
      <c r="D53" s="30"/>
      <c r="E53" s="30"/>
      <c r="F53" s="30"/>
      <c r="G53" s="30"/>
      <c r="H53" s="30"/>
      <c r="I53" s="30"/>
      <c r="J53" s="30"/>
      <c r="K53" s="30"/>
      <c r="L53" s="79"/>
      <c r="M53" s="79"/>
      <c r="N53" s="79"/>
      <c r="O53" s="79"/>
      <c r="P53" s="587"/>
      <c r="Q53" s="77"/>
      <c r="R53" s="77"/>
      <c r="S53" s="79"/>
      <c r="T53" s="79"/>
      <c r="U53" s="77"/>
      <c r="V53" s="77"/>
      <c r="W53" s="79"/>
      <c r="X53" s="79"/>
      <c r="Y53" s="79"/>
      <c r="Z53" s="79"/>
      <c r="AA53" s="79"/>
      <c r="AB53" s="79"/>
      <c r="AC53" s="31"/>
      <c r="AD53" s="31"/>
      <c r="AE53" s="582"/>
      <c r="AF53" s="77"/>
      <c r="AG53" s="77"/>
      <c r="AH53" s="79"/>
      <c r="AI53" s="79"/>
      <c r="AJ53" s="30"/>
      <c r="AK53" s="30"/>
      <c r="AL53" s="30"/>
      <c r="AM53" s="30"/>
      <c r="AN53" s="30"/>
      <c r="AO53" s="30"/>
      <c r="AP53" s="79"/>
      <c r="AQ53" s="79"/>
      <c r="AR53" s="79"/>
      <c r="AS53" s="79"/>
      <c r="AT53" s="587"/>
      <c r="AU53" s="77"/>
      <c r="AV53" s="77"/>
      <c r="AW53" s="77"/>
      <c r="AX53" s="77"/>
      <c r="AY53" s="79"/>
      <c r="AZ53" s="79"/>
      <c r="BA53" s="79"/>
      <c r="BB53" s="79"/>
      <c r="BC53" s="79"/>
      <c r="BD53" s="79"/>
      <c r="BE53" s="79"/>
      <c r="BF53" s="79"/>
      <c r="BG53" s="79"/>
      <c r="BH53" s="79"/>
      <c r="BI53" s="78"/>
    </row>
    <row r="54" spans="1:61" s="285" customFormat="1" x14ac:dyDescent="0.2">
      <c r="A54" s="656" t="s">
        <v>331</v>
      </c>
      <c r="B54" s="132">
        <f t="shared" ref="B54:P54" si="93">Q54+AF54+AU54</f>
        <v>-29181800</v>
      </c>
      <c r="C54" s="27">
        <f t="shared" si="93"/>
        <v>-17333500</v>
      </c>
      <c r="D54" s="32">
        <f t="shared" si="93"/>
        <v>-15295900</v>
      </c>
      <c r="E54" s="32">
        <f t="shared" si="93"/>
        <v>-11021700</v>
      </c>
      <c r="F54" s="32">
        <f t="shared" si="93"/>
        <v>-26827100</v>
      </c>
      <c r="G54" s="32">
        <f t="shared" si="93"/>
        <v>-32023000</v>
      </c>
      <c r="H54" s="32">
        <f t="shared" si="93"/>
        <v>-32383200</v>
      </c>
      <c r="I54" s="32">
        <f t="shared" si="93"/>
        <v>-19666800</v>
      </c>
      <c r="J54" s="32">
        <f t="shared" si="93"/>
        <v>-23852300</v>
      </c>
      <c r="K54" s="32">
        <f t="shared" si="93"/>
        <v>-16848100</v>
      </c>
      <c r="L54" s="21">
        <f t="shared" si="93"/>
        <v>-17167500</v>
      </c>
      <c r="M54" s="21">
        <f t="shared" si="93"/>
        <v>-21218500</v>
      </c>
      <c r="N54" s="21">
        <f t="shared" si="93"/>
        <v>-11557100</v>
      </c>
      <c r="O54" s="21">
        <f t="shared" si="93"/>
        <v>-14871000</v>
      </c>
      <c r="P54" s="64">
        <f t="shared" si="93"/>
        <v>-10246000</v>
      </c>
      <c r="Q54" s="75">
        <f t="shared" ref="Q54:BG54" si="94">Q47-Q52</f>
        <v>-20916700</v>
      </c>
      <c r="R54" s="75">
        <f t="shared" si="94"/>
        <v>-10916000</v>
      </c>
      <c r="S54" s="21">
        <f t="shared" si="94"/>
        <v>-11379200</v>
      </c>
      <c r="T54" s="21">
        <f t="shared" ref="T54" si="95">T47-T52</f>
        <v>-7804600</v>
      </c>
      <c r="U54" s="75">
        <f t="shared" si="94"/>
        <v>-13160700</v>
      </c>
      <c r="V54" s="75">
        <f t="shared" si="94"/>
        <v>-18366100</v>
      </c>
      <c r="W54" s="21">
        <f t="shared" si="94"/>
        <v>-22916200</v>
      </c>
      <c r="X54" s="21">
        <f t="shared" si="94"/>
        <v>-14877800</v>
      </c>
      <c r="Y54" s="21">
        <f t="shared" si="94"/>
        <v>-12667100</v>
      </c>
      <c r="Z54" s="21">
        <f t="shared" si="94"/>
        <v>-7356900</v>
      </c>
      <c r="AA54" s="21">
        <f t="shared" si="94"/>
        <v>-11015200</v>
      </c>
      <c r="AB54" s="21">
        <f t="shared" si="94"/>
        <v>-10890100</v>
      </c>
      <c r="AC54" s="27">
        <f t="shared" si="94"/>
        <v>-7819500</v>
      </c>
      <c r="AD54" s="27">
        <f t="shared" ref="AD54:AE54" si="96">AD47-AD52</f>
        <v>-11102300</v>
      </c>
      <c r="AE54" s="283">
        <f t="shared" si="96"/>
        <v>-9231000</v>
      </c>
      <c r="AF54" s="75">
        <f t="shared" si="94"/>
        <v>-838200</v>
      </c>
      <c r="AG54" s="75">
        <f t="shared" si="94"/>
        <v>-1704100</v>
      </c>
      <c r="AH54" s="21">
        <f t="shared" si="94"/>
        <v>-344100</v>
      </c>
      <c r="AI54" s="21">
        <f t="shared" ref="AI54" si="97">AI47-AI52</f>
        <v>-562400</v>
      </c>
      <c r="AJ54" s="32">
        <f t="shared" si="94"/>
        <v>-3225700</v>
      </c>
      <c r="AK54" s="32">
        <f t="shared" si="94"/>
        <v>-4218000</v>
      </c>
      <c r="AL54" s="32">
        <f t="shared" si="94"/>
        <v>-2580000</v>
      </c>
      <c r="AM54" s="32">
        <f t="shared" si="94"/>
        <v>-1150100</v>
      </c>
      <c r="AN54" s="32">
        <f t="shared" si="94"/>
        <v>-4976000</v>
      </c>
      <c r="AO54" s="32">
        <f t="shared" si="94"/>
        <v>-3782000</v>
      </c>
      <c r="AP54" s="21">
        <f t="shared" si="94"/>
        <v>-3730800</v>
      </c>
      <c r="AQ54" s="21">
        <f t="shared" si="94"/>
        <v>-3457000</v>
      </c>
      <c r="AR54" s="21">
        <f t="shared" si="94"/>
        <v>-851600</v>
      </c>
      <c r="AS54" s="21">
        <f t="shared" ref="AS54" si="98">AS47-AS52</f>
        <v>-791000</v>
      </c>
      <c r="AT54" s="64">
        <f t="shared" ref="AT54" si="99">AT47-AT52</f>
        <v>980000</v>
      </c>
      <c r="AU54" s="75">
        <f t="shared" si="94"/>
        <v>-7426900</v>
      </c>
      <c r="AV54" s="75">
        <f t="shared" si="94"/>
        <v>-4713400</v>
      </c>
      <c r="AW54" s="75">
        <f t="shared" si="94"/>
        <v>-3572600</v>
      </c>
      <c r="AX54" s="75">
        <f t="shared" ref="AX54" si="100">AX47-AX52</f>
        <v>-2654700</v>
      </c>
      <c r="AY54" s="75">
        <f t="shared" si="94"/>
        <v>-10440700</v>
      </c>
      <c r="AZ54" s="75">
        <f t="shared" si="94"/>
        <v>-9438900</v>
      </c>
      <c r="BA54" s="75">
        <f t="shared" si="94"/>
        <v>-6887000</v>
      </c>
      <c r="BB54" s="75">
        <f t="shared" si="94"/>
        <v>-3638900</v>
      </c>
      <c r="BC54" s="75">
        <f t="shared" si="94"/>
        <v>-6209200</v>
      </c>
      <c r="BD54" s="75">
        <f t="shared" si="94"/>
        <v>-5709200</v>
      </c>
      <c r="BE54" s="21">
        <f t="shared" si="94"/>
        <v>-2421500</v>
      </c>
      <c r="BF54" s="21">
        <f t="shared" si="94"/>
        <v>-6871400</v>
      </c>
      <c r="BG54" s="21">
        <f t="shared" si="94"/>
        <v>-2886000</v>
      </c>
      <c r="BH54" s="21">
        <f t="shared" ref="BH54" si="101">BH47-BH52</f>
        <v>-2977700</v>
      </c>
      <c r="BI54" s="62">
        <f t="shared" ref="BI54" si="102">BI47-BI52</f>
        <v>-1995000</v>
      </c>
    </row>
    <row r="55" spans="1:61" s="726" customFormat="1" ht="13.5" thickBot="1" x14ac:dyDescent="0.25">
      <c r="A55" s="655"/>
      <c r="B55" s="641"/>
      <c r="C55" s="31"/>
      <c r="D55" s="30"/>
      <c r="E55" s="30"/>
      <c r="F55" s="30"/>
      <c r="G55" s="30"/>
      <c r="H55" s="30"/>
      <c r="I55" s="30"/>
      <c r="J55" s="30"/>
      <c r="K55" s="30"/>
      <c r="L55" s="79"/>
      <c r="M55" s="79"/>
      <c r="N55" s="79"/>
      <c r="O55" s="79"/>
      <c r="P55" s="587"/>
      <c r="Q55" s="77"/>
      <c r="R55" s="77"/>
      <c r="S55" s="79"/>
      <c r="T55" s="79"/>
      <c r="U55" s="77"/>
      <c r="V55" s="77"/>
      <c r="W55" s="79"/>
      <c r="X55" s="79"/>
      <c r="Y55" s="79"/>
      <c r="Z55" s="79"/>
      <c r="AA55" s="79"/>
      <c r="AB55" s="79"/>
      <c r="AC55" s="31"/>
      <c r="AD55" s="31"/>
      <c r="AE55" s="582"/>
      <c r="AF55" s="77"/>
      <c r="AG55" s="77"/>
      <c r="AH55" s="79"/>
      <c r="AI55" s="79"/>
      <c r="AJ55" s="30"/>
      <c r="AK55" s="30"/>
      <c r="AL55" s="30"/>
      <c r="AM55" s="30"/>
      <c r="AN55" s="30"/>
      <c r="AO55" s="30"/>
      <c r="AP55" s="79"/>
      <c r="AQ55" s="79"/>
      <c r="AR55" s="79"/>
      <c r="AS55" s="79"/>
      <c r="AT55" s="587"/>
      <c r="AU55" s="77"/>
      <c r="AV55" s="77"/>
      <c r="AW55" s="77"/>
      <c r="AX55" s="77"/>
      <c r="AY55" s="79"/>
      <c r="AZ55" s="79"/>
      <c r="BA55" s="79"/>
      <c r="BB55" s="79"/>
      <c r="BC55" s="79"/>
      <c r="BD55" s="79"/>
      <c r="BE55" s="79"/>
      <c r="BF55" s="79"/>
      <c r="BG55" s="79"/>
      <c r="BH55" s="79"/>
      <c r="BI55" s="78"/>
    </row>
    <row r="56" spans="1:61" s="285" customFormat="1" ht="13.5" thickBot="1" x14ac:dyDescent="0.25">
      <c r="A56" s="1910" t="s">
        <v>74</v>
      </c>
      <c r="B56" s="963">
        <f t="shared" ref="B56:P56" si="103">Q56+AF56+AU56</f>
        <v>-17192300</v>
      </c>
      <c r="C56" s="794">
        <f t="shared" si="103"/>
        <v>-1469300</v>
      </c>
      <c r="D56" s="324">
        <f t="shared" si="103"/>
        <v>-302900</v>
      </c>
      <c r="E56" s="324">
        <f t="shared" si="103"/>
        <v>13494900</v>
      </c>
      <c r="F56" s="324">
        <f t="shared" si="103"/>
        <v>-10136600</v>
      </c>
      <c r="G56" s="324">
        <f t="shared" si="103"/>
        <v>-12649800</v>
      </c>
      <c r="H56" s="324">
        <f t="shared" si="103"/>
        <v>-12345100</v>
      </c>
      <c r="I56" s="324">
        <f t="shared" si="103"/>
        <v>973600</v>
      </c>
      <c r="J56" s="324">
        <f t="shared" si="103"/>
        <v>-2385700</v>
      </c>
      <c r="K56" s="324">
        <f t="shared" si="103"/>
        <v>5620700</v>
      </c>
      <c r="L56" s="325">
        <f t="shared" si="103"/>
        <v>6318300</v>
      </c>
      <c r="M56" s="325">
        <f t="shared" si="103"/>
        <v>2988200</v>
      </c>
      <c r="N56" s="325">
        <f t="shared" si="103"/>
        <v>14241300</v>
      </c>
      <c r="O56" s="325">
        <f t="shared" si="103"/>
        <v>12366400</v>
      </c>
      <c r="P56" s="327">
        <f t="shared" si="103"/>
        <v>18404300</v>
      </c>
      <c r="Q56" s="326">
        <f t="shared" ref="Q56:BI56" si="104">Q54+Q36</f>
        <v>-10840000</v>
      </c>
      <c r="R56" s="326">
        <f t="shared" si="104"/>
        <v>1905000</v>
      </c>
      <c r="S56" s="325">
        <f t="shared" si="104"/>
        <v>-1114500</v>
      </c>
      <c r="T56" s="325">
        <f t="shared" si="104"/>
        <v>10029900</v>
      </c>
      <c r="U56" s="326">
        <f t="shared" si="104"/>
        <v>-2793300</v>
      </c>
      <c r="V56" s="326">
        <f t="shared" si="104"/>
        <v>-6034000</v>
      </c>
      <c r="W56" s="325">
        <f t="shared" si="104"/>
        <v>-10247500</v>
      </c>
      <c r="X56" s="325">
        <f t="shared" si="104"/>
        <v>-2019800</v>
      </c>
      <c r="Y56" s="325">
        <f t="shared" si="104"/>
        <v>478200</v>
      </c>
      <c r="Z56" s="325">
        <f t="shared" si="104"/>
        <v>6469100</v>
      </c>
      <c r="AA56" s="325">
        <f t="shared" si="104"/>
        <v>3301800</v>
      </c>
      <c r="AB56" s="325">
        <f t="shared" si="104"/>
        <v>3641600</v>
      </c>
      <c r="AC56" s="794">
        <f t="shared" si="104"/>
        <v>7741400</v>
      </c>
      <c r="AD56" s="794">
        <f t="shared" si="104"/>
        <v>5204200</v>
      </c>
      <c r="AE56" s="1255">
        <f t="shared" si="104"/>
        <v>7734200</v>
      </c>
      <c r="AF56" s="326">
        <f t="shared" si="104"/>
        <v>598800</v>
      </c>
      <c r="AG56" s="326">
        <f t="shared" si="104"/>
        <v>-149900</v>
      </c>
      <c r="AH56" s="325">
        <f t="shared" si="104"/>
        <v>1504000</v>
      </c>
      <c r="AI56" s="325">
        <f t="shared" si="104"/>
        <v>2126700</v>
      </c>
      <c r="AJ56" s="324">
        <f t="shared" si="104"/>
        <v>-1292700</v>
      </c>
      <c r="AK56" s="324">
        <f t="shared" si="104"/>
        <v>-2178700</v>
      </c>
      <c r="AL56" s="324">
        <f t="shared" si="104"/>
        <v>-555400</v>
      </c>
      <c r="AM56" s="324">
        <f t="shared" si="104"/>
        <v>902100</v>
      </c>
      <c r="AN56" s="324">
        <f t="shared" si="104"/>
        <v>-2847300</v>
      </c>
      <c r="AO56" s="324">
        <f t="shared" si="104"/>
        <v>-1720400</v>
      </c>
      <c r="AP56" s="325">
        <f t="shared" si="104"/>
        <v>-1610000</v>
      </c>
      <c r="AQ56" s="325">
        <f t="shared" si="104"/>
        <v>-1321500</v>
      </c>
      <c r="AR56" s="325">
        <f t="shared" si="104"/>
        <v>1309900</v>
      </c>
      <c r="AS56" s="325">
        <f t="shared" si="104"/>
        <v>1505600</v>
      </c>
      <c r="AT56" s="327">
        <f t="shared" si="104"/>
        <v>3464000</v>
      </c>
      <c r="AU56" s="326">
        <f t="shared" si="104"/>
        <v>-6951100</v>
      </c>
      <c r="AV56" s="326">
        <f t="shared" si="104"/>
        <v>-3224400</v>
      </c>
      <c r="AW56" s="326">
        <f t="shared" si="104"/>
        <v>-692400</v>
      </c>
      <c r="AX56" s="326">
        <f t="shared" si="104"/>
        <v>1338300</v>
      </c>
      <c r="AY56" s="326">
        <f t="shared" si="104"/>
        <v>-6050600</v>
      </c>
      <c r="AZ56" s="326">
        <f t="shared" si="104"/>
        <v>-4437100</v>
      </c>
      <c r="BA56" s="326">
        <f t="shared" si="104"/>
        <v>-1542200</v>
      </c>
      <c r="BB56" s="326">
        <f t="shared" si="104"/>
        <v>2091300</v>
      </c>
      <c r="BC56" s="326">
        <f t="shared" si="104"/>
        <v>-16600</v>
      </c>
      <c r="BD56" s="326">
        <f t="shared" si="104"/>
        <v>872000</v>
      </c>
      <c r="BE56" s="325">
        <f t="shared" si="104"/>
        <v>4626500</v>
      </c>
      <c r="BF56" s="325">
        <f t="shared" si="104"/>
        <v>668100</v>
      </c>
      <c r="BG56" s="325">
        <f t="shared" si="104"/>
        <v>5190000</v>
      </c>
      <c r="BH56" s="325">
        <f t="shared" si="104"/>
        <v>5656600</v>
      </c>
      <c r="BI56" s="1049">
        <f t="shared" si="104"/>
        <v>7206100</v>
      </c>
    </row>
    <row r="57" spans="1:61" s="573" customFormat="1" ht="13.5" thickTop="1" x14ac:dyDescent="0.2">
      <c r="A57" s="823" t="s">
        <v>579</v>
      </c>
      <c r="B57" s="1902"/>
      <c r="C57" s="1300"/>
      <c r="D57" s="1894"/>
      <c r="E57" s="1894"/>
      <c r="F57" s="1894"/>
      <c r="G57" s="1894"/>
      <c r="H57" s="1894"/>
      <c r="I57" s="1894"/>
      <c r="J57" s="1894"/>
      <c r="K57" s="1894"/>
      <c r="L57" s="1568"/>
      <c r="M57" s="1568"/>
      <c r="N57" s="1568"/>
      <c r="O57" s="1568"/>
      <c r="P57" s="1896"/>
      <c r="Q57" s="1401"/>
      <c r="R57" s="1401"/>
      <c r="S57" s="1568"/>
      <c r="T57" s="1568"/>
      <c r="U57" s="1401"/>
      <c r="V57" s="1401"/>
      <c r="W57" s="1568"/>
      <c r="X57" s="1568"/>
      <c r="Y57" s="1568"/>
      <c r="Z57" s="1568"/>
      <c r="AA57" s="1568"/>
      <c r="AB57" s="1568"/>
      <c r="AC57" s="1300"/>
      <c r="AD57" s="1300"/>
      <c r="AE57" s="1567"/>
      <c r="AF57" s="1401"/>
      <c r="AG57" s="1401"/>
      <c r="AH57" s="1568"/>
      <c r="AI57" s="1568"/>
      <c r="AJ57" s="1894"/>
      <c r="AK57" s="1894"/>
      <c r="AL57" s="1894"/>
      <c r="AM57" s="1894"/>
      <c r="AN57" s="1894"/>
      <c r="AO57" s="1894"/>
      <c r="AP57" s="1568"/>
      <c r="AQ57" s="1568"/>
      <c r="AR57" s="1568"/>
      <c r="AS57" s="1568"/>
      <c r="AT57" s="1896"/>
      <c r="AU57" s="1401"/>
      <c r="AV57" s="1401"/>
      <c r="AW57" s="1401"/>
      <c r="AX57" s="1401"/>
      <c r="AY57" s="1568"/>
      <c r="AZ57" s="1568"/>
      <c r="BA57" s="1568"/>
      <c r="BB57" s="1568"/>
      <c r="BC57" s="1568"/>
      <c r="BD57" s="1568"/>
      <c r="BE57" s="1568"/>
      <c r="BF57" s="1568"/>
      <c r="BG57" s="1568"/>
      <c r="BH57" s="1568"/>
      <c r="BI57" s="1566"/>
    </row>
    <row r="58" spans="1:61" s="726" customFormat="1" x14ac:dyDescent="0.2">
      <c r="A58" s="655" t="s">
        <v>243</v>
      </c>
      <c r="B58" s="641">
        <f t="shared" ref="B58:P60" si="105">Q58+AF58+AU58</f>
        <v>1315600</v>
      </c>
      <c r="C58" s="31">
        <f t="shared" si="105"/>
        <v>401500</v>
      </c>
      <c r="D58" s="30">
        <f t="shared" si="105"/>
        <v>1122800</v>
      </c>
      <c r="E58" s="30">
        <f t="shared" si="105"/>
        <v>956900</v>
      </c>
      <c r="F58" s="30">
        <f t="shared" si="105"/>
        <v>1292400</v>
      </c>
      <c r="G58" s="30">
        <f t="shared" si="105"/>
        <v>869800</v>
      </c>
      <c r="H58" s="30">
        <f t="shared" si="105"/>
        <v>-11898000</v>
      </c>
      <c r="I58" s="30">
        <f t="shared" si="105"/>
        <v>-868800</v>
      </c>
      <c r="J58" s="30">
        <f t="shared" si="105"/>
        <v>269000</v>
      </c>
      <c r="K58" s="30">
        <f t="shared" si="105"/>
        <v>3765700</v>
      </c>
      <c r="L58" s="79">
        <f t="shared" si="105"/>
        <v>4517700</v>
      </c>
      <c r="M58" s="79">
        <f t="shared" si="105"/>
        <v>6664100</v>
      </c>
      <c r="N58" s="79">
        <f t="shared" si="105"/>
        <v>8054600</v>
      </c>
      <c r="O58" s="79">
        <f t="shared" si="105"/>
        <v>6164000</v>
      </c>
      <c r="P58" s="587">
        <f t="shared" si="105"/>
        <v>8668400</v>
      </c>
      <c r="Q58" s="77">
        <f>'Cash-Gen'!A87</f>
        <v>453400</v>
      </c>
      <c r="R58" s="77">
        <f>'Cash-Gen'!B87</f>
        <v>-275200</v>
      </c>
      <c r="S58" s="79">
        <f>'Cash-Gen'!C87</f>
        <v>-1630500</v>
      </c>
      <c r="T58" s="79">
        <f>'Cash-Gen'!D87</f>
        <v>155300</v>
      </c>
      <c r="U58" s="77">
        <f>'Cash-Gen'!F87</f>
        <v>2168400</v>
      </c>
      <c r="V58" s="77">
        <f>'Cash-Gen'!G87</f>
        <v>5569100</v>
      </c>
      <c r="W58" s="79">
        <f>'Cash-Gen'!H87</f>
        <v>-9762200</v>
      </c>
      <c r="X58" s="79">
        <f>'Cash-Gen'!I87</f>
        <v>-1938900</v>
      </c>
      <c r="Y58" s="79">
        <f>'Cash-Gen'!J87</f>
        <v>638000</v>
      </c>
      <c r="Z58" s="79">
        <f>'Cash-Gen'!K87</f>
        <v>6174600</v>
      </c>
      <c r="AA58" s="79">
        <f>'Cash-Gen'!L87</f>
        <v>4436400</v>
      </c>
      <c r="AB58" s="79">
        <f>'Cash-Gen'!M87</f>
        <v>6693200</v>
      </c>
      <c r="AC58" s="31">
        <f>'Cash-Gen'!N87</f>
        <v>7010000</v>
      </c>
      <c r="AD58" s="31">
        <f>'Cash-Gen'!O87</f>
        <v>5120300</v>
      </c>
      <c r="AE58" s="582">
        <f>'Cash-Gen'!P87</f>
        <v>7625200</v>
      </c>
      <c r="AF58" s="77">
        <f>AF56-AF59-AF60</f>
        <v>-380300</v>
      </c>
      <c r="AG58" s="77">
        <f>AG56-AG59</f>
        <v>-852200</v>
      </c>
      <c r="AH58" s="79">
        <f t="shared" ref="AH58:AP58" si="106">AH56-AH59</f>
        <v>1043000</v>
      </c>
      <c r="AI58" s="79">
        <f t="shared" ref="AI58" si="107">AI56-AI59</f>
        <v>275300</v>
      </c>
      <c r="AJ58" s="30">
        <f t="shared" si="106"/>
        <v>306400</v>
      </c>
      <c r="AK58" s="30">
        <f t="shared" si="106"/>
        <v>-2112600</v>
      </c>
      <c r="AL58" s="30">
        <f t="shared" si="106"/>
        <v>-116900</v>
      </c>
      <c r="AM58" s="30">
        <f t="shared" si="106"/>
        <v>773400</v>
      </c>
      <c r="AN58" s="30">
        <f t="shared" si="106"/>
        <v>-612300</v>
      </c>
      <c r="AO58" s="30">
        <f t="shared" si="106"/>
        <v>-2167700</v>
      </c>
      <c r="AP58" s="79">
        <f t="shared" si="106"/>
        <v>-50100</v>
      </c>
      <c r="AQ58" s="79">
        <f t="shared" ref="AQ58:AR58" si="108">AQ56-AQ59</f>
        <v>-114400</v>
      </c>
      <c r="AR58" s="79">
        <f t="shared" si="108"/>
        <v>1004300</v>
      </c>
      <c r="AS58" s="79">
        <f t="shared" ref="AS58" si="109">AS56-AS59</f>
        <v>1051500</v>
      </c>
      <c r="AT58" s="587">
        <f t="shared" ref="AT58" si="110">AT56-AT59</f>
        <v>1100200</v>
      </c>
      <c r="AU58" s="641">
        <f>AU56-AU59-AU60</f>
        <v>1242500</v>
      </c>
      <c r="AV58" s="77">
        <f>AV56-AV59</f>
        <v>1528900</v>
      </c>
      <c r="AW58" s="77">
        <f t="shared" ref="AW58:BE58" si="111">AW56-AW59</f>
        <v>1710300</v>
      </c>
      <c r="AX58" s="77">
        <f t="shared" ref="AX58" si="112">AX56-AX59</f>
        <v>526300</v>
      </c>
      <c r="AY58" s="77">
        <f t="shared" si="111"/>
        <v>-1182400</v>
      </c>
      <c r="AZ58" s="77">
        <f t="shared" si="111"/>
        <v>-2586700</v>
      </c>
      <c r="BA58" s="77">
        <f t="shared" si="111"/>
        <v>-2018900</v>
      </c>
      <c r="BB58" s="77">
        <f t="shared" si="111"/>
        <v>296700</v>
      </c>
      <c r="BC58" s="77">
        <f t="shared" si="111"/>
        <v>243300</v>
      </c>
      <c r="BD58" s="77">
        <f t="shared" si="111"/>
        <v>-241200</v>
      </c>
      <c r="BE58" s="79">
        <f t="shared" si="111"/>
        <v>131400</v>
      </c>
      <c r="BF58" s="79">
        <f t="shared" ref="BF58" si="113">BF56-BF59</f>
        <v>85300</v>
      </c>
      <c r="BG58" s="79">
        <f t="shared" ref="BG58" si="114">BG56-BG59</f>
        <v>40300</v>
      </c>
      <c r="BH58" s="79">
        <f t="shared" ref="BH58" si="115">BH56-BH59</f>
        <v>-7800</v>
      </c>
      <c r="BI58" s="78">
        <f t="shared" ref="BI58" si="116">BI56-BI59</f>
        <v>-57000</v>
      </c>
    </row>
    <row r="59" spans="1:61" s="726" customFormat="1" x14ac:dyDescent="0.2">
      <c r="A59" s="655" t="s">
        <v>1308</v>
      </c>
      <c r="B59" s="641">
        <f t="shared" si="105"/>
        <v>-18507900</v>
      </c>
      <c r="C59" s="31">
        <f t="shared" si="105"/>
        <v>-1870800</v>
      </c>
      <c r="D59" s="30">
        <f t="shared" si="105"/>
        <v>-1420500</v>
      </c>
      <c r="E59" s="30">
        <f t="shared" si="105"/>
        <v>10427700</v>
      </c>
      <c r="F59" s="30">
        <f t="shared" si="105"/>
        <v>-11489000</v>
      </c>
      <c r="G59" s="30">
        <f t="shared" si="105"/>
        <v>-13147300</v>
      </c>
      <c r="H59" s="30">
        <f t="shared" si="105"/>
        <v>53300</v>
      </c>
      <c r="I59" s="30">
        <f t="shared" si="105"/>
        <v>2395000</v>
      </c>
      <c r="J59" s="30">
        <f t="shared" si="105"/>
        <v>-2221900</v>
      </c>
      <c r="K59" s="30">
        <f t="shared" si="105"/>
        <v>2244700</v>
      </c>
      <c r="L59" s="79">
        <f t="shared" si="105"/>
        <v>2032200</v>
      </c>
      <c r="M59" s="79">
        <f t="shared" si="105"/>
        <v>-3462400</v>
      </c>
      <c r="N59" s="79">
        <f t="shared" si="105"/>
        <v>6468000</v>
      </c>
      <c r="O59" s="79">
        <f t="shared" si="105"/>
        <v>6358700</v>
      </c>
      <c r="P59" s="587">
        <f t="shared" si="105"/>
        <v>9547600</v>
      </c>
      <c r="Q59" s="77">
        <f>'Cash-Gen'!A86</f>
        <v>-11293400</v>
      </c>
      <c r="R59" s="77">
        <f>'Cash-Gen'!B86</f>
        <v>2180200</v>
      </c>
      <c r="S59" s="79">
        <f>'Cash-Gen'!C86</f>
        <v>521200</v>
      </c>
      <c r="T59" s="79">
        <f>'Cash-Gen'!D86</f>
        <v>7764300</v>
      </c>
      <c r="U59" s="77">
        <f>'Cash-Gen'!F86</f>
        <v>-5021700</v>
      </c>
      <c r="V59" s="77">
        <f>'Cash-Gen'!G86</f>
        <v>-11230800</v>
      </c>
      <c r="W59" s="79">
        <f>'Cash-Gen'!H86</f>
        <v>15100</v>
      </c>
      <c r="X59" s="79">
        <f>'Cash-Gen'!I86</f>
        <v>471700</v>
      </c>
      <c r="Y59" s="79">
        <f>'Cash-Gen'!J86</f>
        <v>273000</v>
      </c>
      <c r="Z59" s="79">
        <f>'Cash-Gen'!K86</f>
        <v>684200</v>
      </c>
      <c r="AA59" s="79">
        <f>'Cash-Gen'!L86</f>
        <v>-903000</v>
      </c>
      <c r="AB59" s="79">
        <f>'Cash-Gen'!M86</f>
        <v>-2838100</v>
      </c>
      <c r="AC59" s="31">
        <f>'Cash-Gen'!N86</f>
        <v>1012700</v>
      </c>
      <c r="AD59" s="31">
        <f>'Cash-Gen'!O86</f>
        <v>240200</v>
      </c>
      <c r="AE59" s="582">
        <f>'Cash-Gen'!P86</f>
        <v>-79300</v>
      </c>
      <c r="AF59" s="77">
        <f>'Cash-W'!A51</f>
        <v>979100</v>
      </c>
      <c r="AG59" s="77">
        <f>'Cash-W'!B51</f>
        <v>702300</v>
      </c>
      <c r="AH59" s="79">
        <f>'Cash-W'!C51</f>
        <v>461000</v>
      </c>
      <c r="AI59" s="79">
        <f>'Cash-W'!D51</f>
        <v>1851400</v>
      </c>
      <c r="AJ59" s="30">
        <f>'Cash-W'!G51</f>
        <v>-1599100</v>
      </c>
      <c r="AK59" s="30">
        <f>'Cash-W'!H51</f>
        <v>-66100</v>
      </c>
      <c r="AL59" s="30">
        <f>'Cash-W'!I51</f>
        <v>-438500</v>
      </c>
      <c r="AM59" s="30">
        <f>'Cash-W'!J51</f>
        <v>128700</v>
      </c>
      <c r="AN59" s="30">
        <f>'Cash-W'!K51</f>
        <v>-2235000</v>
      </c>
      <c r="AO59" s="30">
        <f>'Cash-W'!L51</f>
        <v>447300</v>
      </c>
      <c r="AP59" s="79">
        <f>'Cash-W'!M51</f>
        <v>-1559900</v>
      </c>
      <c r="AQ59" s="79">
        <f>'Cash-W'!N51</f>
        <v>-1207100</v>
      </c>
      <c r="AR59" s="79">
        <f>'Cash-W'!O51</f>
        <v>305600</v>
      </c>
      <c r="AS59" s="79">
        <f>'Cash-W'!P51</f>
        <v>454100</v>
      </c>
      <c r="AT59" s="587">
        <f>'Cash-W'!Q51</f>
        <v>2363800</v>
      </c>
      <c r="AU59" s="77">
        <f>'Cash-WW'!A51</f>
        <v>-8193600</v>
      </c>
      <c r="AV59" s="77">
        <f>'Cash-WW'!B51</f>
        <v>-4753300</v>
      </c>
      <c r="AW59" s="77">
        <f>'Cash-WW'!C51</f>
        <v>-2402700</v>
      </c>
      <c r="AX59" s="77">
        <f>'Cash-WW'!D51</f>
        <v>812000</v>
      </c>
      <c r="AY59" s="77">
        <f>'Cash-WW'!G51</f>
        <v>-4868200</v>
      </c>
      <c r="AZ59" s="77">
        <f>'Cash-WW'!H51</f>
        <v>-1850400</v>
      </c>
      <c r="BA59" s="77">
        <f>'Cash-WW'!I51</f>
        <v>476700</v>
      </c>
      <c r="BB59" s="77">
        <f>'Cash-WW'!J51</f>
        <v>1794600</v>
      </c>
      <c r="BC59" s="77">
        <f>'Cash-WW'!K51</f>
        <v>-259900</v>
      </c>
      <c r="BD59" s="77">
        <f>'Cash-WW'!L51</f>
        <v>1113200</v>
      </c>
      <c r="BE59" s="79">
        <f>'Cash-WW'!M51</f>
        <v>4495100</v>
      </c>
      <c r="BF59" s="79">
        <f>'Cash-WW'!N51</f>
        <v>582800</v>
      </c>
      <c r="BG59" s="79">
        <f>'Cash-WW'!O51</f>
        <v>5149700</v>
      </c>
      <c r="BH59" s="79">
        <f>'Cash-WW'!P51</f>
        <v>5664400</v>
      </c>
      <c r="BI59" s="78">
        <f>'Cash-WW'!Q51</f>
        <v>7263100</v>
      </c>
    </row>
    <row r="60" spans="1:61" s="726" customFormat="1" x14ac:dyDescent="0.2">
      <c r="A60" s="655" t="s">
        <v>2083</v>
      </c>
      <c r="B60" s="641">
        <f t="shared" si="105"/>
        <v>0</v>
      </c>
      <c r="C60" s="31">
        <f t="shared" si="105"/>
        <v>0</v>
      </c>
      <c r="D60" s="30">
        <f t="shared" si="105"/>
        <v>-5200</v>
      </c>
      <c r="E60" s="30">
        <f t="shared" si="105"/>
        <v>2110300</v>
      </c>
      <c r="F60" s="30">
        <f t="shared" si="105"/>
        <v>60000</v>
      </c>
      <c r="G60" s="30">
        <f t="shared" si="105"/>
        <v>-372300</v>
      </c>
      <c r="H60" s="30">
        <f t="shared" si="105"/>
        <v>-500400</v>
      </c>
      <c r="I60" s="30">
        <f t="shared" si="105"/>
        <v>-552600</v>
      </c>
      <c r="J60" s="30">
        <f t="shared" si="105"/>
        <v>-432800</v>
      </c>
      <c r="K60" s="30">
        <f t="shared" si="105"/>
        <v>-389700</v>
      </c>
      <c r="L60" s="79">
        <f t="shared" si="105"/>
        <v>-231600</v>
      </c>
      <c r="M60" s="79">
        <f t="shared" si="105"/>
        <v>-213500</v>
      </c>
      <c r="N60" s="79">
        <f t="shared" si="105"/>
        <v>-281300</v>
      </c>
      <c r="O60" s="79">
        <f t="shared" si="105"/>
        <v>-156300</v>
      </c>
      <c r="P60" s="587">
        <f t="shared" si="105"/>
        <v>188302</v>
      </c>
      <c r="Q60" s="77">
        <f>ROUND('Cash-Gen'!A88,-2)</f>
        <v>0</v>
      </c>
      <c r="R60" s="77">
        <f>'Cash-Gen'!B88</f>
        <v>0</v>
      </c>
      <c r="S60" s="79">
        <f>'Cash-Gen'!C88</f>
        <v>-5200</v>
      </c>
      <c r="T60" s="79">
        <f>'Cash-Gen'!D88</f>
        <v>2110300</v>
      </c>
      <c r="U60" s="77">
        <f>'Cash-Gen'!F88</f>
        <v>60000</v>
      </c>
      <c r="V60" s="77">
        <f>'Cash-Gen'!G88</f>
        <v>-372300</v>
      </c>
      <c r="W60" s="79">
        <f>'Cash-Gen'!H88</f>
        <v>-500400</v>
      </c>
      <c r="X60" s="79">
        <f>'Cash-Gen'!I88</f>
        <v>-552600</v>
      </c>
      <c r="Y60" s="79">
        <f>'Cash-Gen'!J88</f>
        <v>-432800</v>
      </c>
      <c r="Z60" s="79">
        <f>'Cash-Gen'!K88</f>
        <v>-389700</v>
      </c>
      <c r="AA60" s="79">
        <f>'Cash-Gen'!L88</f>
        <v>-231600</v>
      </c>
      <c r="AB60" s="79">
        <f>'Cash-Gen'!M88</f>
        <v>-213500</v>
      </c>
      <c r="AC60" s="31">
        <f>'Cash-Gen'!N88</f>
        <v>-281300</v>
      </c>
      <c r="AD60" s="31">
        <f>'Cash-Gen'!O88</f>
        <v>-156300</v>
      </c>
      <c r="AE60" s="582">
        <f>'Cash-Gen'!P88</f>
        <v>188300</v>
      </c>
      <c r="AF60" s="77">
        <v>0</v>
      </c>
      <c r="AG60" s="77">
        <v>0</v>
      </c>
      <c r="AH60" s="79">
        <v>0</v>
      </c>
      <c r="AI60" s="79">
        <v>0</v>
      </c>
      <c r="AJ60" s="30">
        <v>0</v>
      </c>
      <c r="AK60" s="30">
        <v>0</v>
      </c>
      <c r="AL60" s="30">
        <v>0</v>
      </c>
      <c r="AM60" s="30">
        <v>0</v>
      </c>
      <c r="AN60" s="30">
        <v>0</v>
      </c>
      <c r="AO60" s="30">
        <v>0</v>
      </c>
      <c r="AP60" s="79">
        <v>0</v>
      </c>
      <c r="AQ60" s="79">
        <v>0</v>
      </c>
      <c r="AR60" s="79">
        <v>0</v>
      </c>
      <c r="AS60" s="79">
        <v>0</v>
      </c>
      <c r="AT60" s="587">
        <v>1</v>
      </c>
      <c r="AU60" s="77">
        <v>0</v>
      </c>
      <c r="AV60" s="77">
        <v>0</v>
      </c>
      <c r="AW60" s="77">
        <v>0</v>
      </c>
      <c r="AX60" s="77">
        <v>0</v>
      </c>
      <c r="AY60" s="77">
        <v>0</v>
      </c>
      <c r="AZ60" s="77">
        <v>0</v>
      </c>
      <c r="BA60" s="77">
        <v>0</v>
      </c>
      <c r="BB60" s="77">
        <v>0</v>
      </c>
      <c r="BC60" s="77">
        <v>0</v>
      </c>
      <c r="BD60" s="77">
        <v>0</v>
      </c>
      <c r="BE60" s="79">
        <v>0</v>
      </c>
      <c r="BF60" s="79">
        <v>0</v>
      </c>
      <c r="BG60" s="79">
        <v>0</v>
      </c>
      <c r="BH60" s="79">
        <v>0</v>
      </c>
      <c r="BI60" s="78">
        <v>1</v>
      </c>
    </row>
    <row r="61" spans="1:61" s="726" customFormat="1" x14ac:dyDescent="0.2">
      <c r="A61" s="655"/>
      <c r="B61" s="641"/>
      <c r="C61" s="31"/>
      <c r="D61" s="30"/>
      <c r="E61" s="30"/>
      <c r="F61" s="30"/>
      <c r="G61" s="30"/>
      <c r="H61" s="30"/>
      <c r="I61" s="30"/>
      <c r="J61" s="30"/>
      <c r="K61" s="30"/>
      <c r="L61" s="79"/>
      <c r="M61" s="79"/>
      <c r="N61" s="79"/>
      <c r="O61" s="79"/>
      <c r="P61" s="587"/>
      <c r="Q61" s="77"/>
      <c r="R61" s="77"/>
      <c r="S61" s="79"/>
      <c r="T61" s="79"/>
      <c r="U61" s="77"/>
      <c r="V61" s="77"/>
      <c r="W61" s="79"/>
      <c r="X61" s="79"/>
      <c r="Y61" s="79"/>
      <c r="Z61" s="79"/>
      <c r="AA61" s="79"/>
      <c r="AB61" s="79"/>
      <c r="AC61" s="31"/>
      <c r="AD61" s="31"/>
      <c r="AE61" s="582"/>
      <c r="AF61" s="77"/>
      <c r="AG61" s="77"/>
      <c r="AH61" s="79"/>
      <c r="AI61" s="79"/>
      <c r="AJ61" s="30"/>
      <c r="AK61" s="30"/>
      <c r="AL61" s="30"/>
      <c r="AM61" s="30"/>
      <c r="AN61" s="30"/>
      <c r="AO61" s="30"/>
      <c r="AP61" s="79"/>
      <c r="AQ61" s="79"/>
      <c r="AR61" s="79"/>
      <c r="AS61" s="79"/>
      <c r="AT61" s="587"/>
      <c r="AU61" s="77"/>
      <c r="AV61" s="77"/>
      <c r="AW61" s="77"/>
      <c r="AX61" s="77"/>
      <c r="AY61" s="77"/>
      <c r="AZ61" s="77"/>
      <c r="BA61" s="77"/>
      <c r="BB61" s="77"/>
      <c r="BC61" s="77"/>
      <c r="BD61" s="77"/>
      <c r="BE61" s="79"/>
      <c r="BF61" s="79"/>
      <c r="BG61" s="79"/>
      <c r="BH61" s="79"/>
      <c r="BI61" s="78"/>
    </row>
    <row r="62" spans="1:61" s="726" customFormat="1" x14ac:dyDescent="0.2">
      <c r="A62" s="655" t="s">
        <v>88</v>
      </c>
      <c r="B62" s="641">
        <f>ROUND(B56-B58-B59-B60,-3)</f>
        <v>0</v>
      </c>
      <c r="C62" s="31">
        <f t="shared" ref="C62:L62" si="117">ROUND(C56-C58-C59-C60,-3)</f>
        <v>0</v>
      </c>
      <c r="D62" s="30">
        <f t="shared" si="117"/>
        <v>0</v>
      </c>
      <c r="E62" s="30">
        <f>ROUND(E56-E58-E59-E60,-3)</f>
        <v>0</v>
      </c>
      <c r="F62" s="30">
        <f t="shared" si="117"/>
        <v>0</v>
      </c>
      <c r="G62" s="30">
        <f t="shared" si="117"/>
        <v>0</v>
      </c>
      <c r="H62" s="30">
        <f>ROUND(H56-H58-H59-H60,-3)</f>
        <v>0</v>
      </c>
      <c r="I62" s="30">
        <f>ROUND(I56-I58-I59-I60,-3)</f>
        <v>0</v>
      </c>
      <c r="J62" s="30">
        <f t="shared" si="117"/>
        <v>0</v>
      </c>
      <c r="K62" s="30">
        <f t="shared" si="117"/>
        <v>0</v>
      </c>
      <c r="L62" s="79">
        <f t="shared" si="117"/>
        <v>0</v>
      </c>
      <c r="M62" s="79">
        <f t="shared" ref="M62" si="118">ROUND(M56-M58-M59-M60,-3)</f>
        <v>0</v>
      </c>
      <c r="N62" s="79">
        <f t="shared" ref="N62" si="119">ROUND(N56-N58-N59-N60,-3)</f>
        <v>0</v>
      </c>
      <c r="O62" s="79">
        <f t="shared" ref="O62" si="120">ROUND(O56-O58-O59-O60,-3)</f>
        <v>0</v>
      </c>
      <c r="P62" s="587">
        <f t="shared" ref="P62" si="121">ROUND(P56-P58-P59-P60,-3)</f>
        <v>0</v>
      </c>
      <c r="Q62" s="77">
        <f>ROUND(Q56-Q58-Q59-Q60,-3)</f>
        <v>0</v>
      </c>
      <c r="R62" s="77">
        <f t="shared" ref="R62:AA62" si="122">ROUND(R56-R58-R59-R60,-3)</f>
        <v>0</v>
      </c>
      <c r="S62" s="77">
        <f>ROUND(S56-S58-S59-S60,-3)</f>
        <v>0</v>
      </c>
      <c r="T62" s="77">
        <f>ROUND(T56-T58-T59-T60,-3)</f>
        <v>0</v>
      </c>
      <c r="U62" s="77">
        <f t="shared" si="122"/>
        <v>0</v>
      </c>
      <c r="V62" s="77">
        <f t="shared" si="122"/>
        <v>0</v>
      </c>
      <c r="W62" s="77">
        <f>ROUND(W56-W58-W59-W60,-3)</f>
        <v>0</v>
      </c>
      <c r="X62" s="77">
        <f>ROUND(X56-X58-X59-X60,-3)</f>
        <v>0</v>
      </c>
      <c r="Y62" s="77">
        <f t="shared" si="122"/>
        <v>0</v>
      </c>
      <c r="Z62" s="77">
        <f t="shared" si="122"/>
        <v>0</v>
      </c>
      <c r="AA62" s="79">
        <f t="shared" si="122"/>
        <v>0</v>
      </c>
      <c r="AB62" s="79">
        <f t="shared" ref="AB62:AC62" si="123">ROUND(AB56-AB58-AB59-AB60,-3)</f>
        <v>0</v>
      </c>
      <c r="AC62" s="31">
        <f t="shared" si="123"/>
        <v>0</v>
      </c>
      <c r="AD62" s="31">
        <f t="shared" ref="AD62:AE62" si="124">ROUND(AD56-AD58-AD59-AD60,-3)</f>
        <v>0</v>
      </c>
      <c r="AE62" s="582">
        <f t="shared" si="124"/>
        <v>0</v>
      </c>
      <c r="AF62" s="77">
        <f t="shared" ref="AF62:BE62" si="125">AF56-AF58-AF59-AF60</f>
        <v>0</v>
      </c>
      <c r="AG62" s="77">
        <f t="shared" si="125"/>
        <v>0</v>
      </c>
      <c r="AH62" s="79">
        <f t="shared" si="125"/>
        <v>0</v>
      </c>
      <c r="AI62" s="79">
        <f t="shared" ref="AI62" si="126">AI56-AI58-AI59-AI60</f>
        <v>0</v>
      </c>
      <c r="AJ62" s="30">
        <f t="shared" si="125"/>
        <v>0</v>
      </c>
      <c r="AK62" s="30">
        <f t="shared" si="125"/>
        <v>0</v>
      </c>
      <c r="AL62" s="30">
        <f t="shared" si="125"/>
        <v>0</v>
      </c>
      <c r="AM62" s="30">
        <f t="shared" si="125"/>
        <v>0</v>
      </c>
      <c r="AN62" s="30">
        <f t="shared" si="125"/>
        <v>0</v>
      </c>
      <c r="AO62" s="30">
        <f t="shared" si="125"/>
        <v>0</v>
      </c>
      <c r="AP62" s="79">
        <f t="shared" si="125"/>
        <v>0</v>
      </c>
      <c r="AQ62" s="79">
        <f t="shared" ref="AQ62:AR62" si="127">AQ56-AQ58-AQ59-AQ60</f>
        <v>0</v>
      </c>
      <c r="AR62" s="79">
        <f t="shared" si="127"/>
        <v>0</v>
      </c>
      <c r="AS62" s="79">
        <f t="shared" ref="AS62" si="128">AS56-AS58-AS59-AS60</f>
        <v>0</v>
      </c>
      <c r="AT62" s="587">
        <f t="shared" ref="AT62" si="129">AT56-AT58-AT59-AT60</f>
        <v>-1</v>
      </c>
      <c r="AU62" s="77">
        <f t="shared" si="125"/>
        <v>0</v>
      </c>
      <c r="AV62" s="77">
        <f t="shared" si="125"/>
        <v>0</v>
      </c>
      <c r="AW62" s="77">
        <f t="shared" si="125"/>
        <v>0</v>
      </c>
      <c r="AX62" s="77">
        <f t="shared" ref="AX62" si="130">AX56-AX58-AX59-AX60</f>
        <v>0</v>
      </c>
      <c r="AY62" s="77">
        <f t="shared" si="125"/>
        <v>0</v>
      </c>
      <c r="AZ62" s="77">
        <f t="shared" si="125"/>
        <v>0</v>
      </c>
      <c r="BA62" s="77">
        <f t="shared" si="125"/>
        <v>0</v>
      </c>
      <c r="BB62" s="77">
        <f t="shared" si="125"/>
        <v>0</v>
      </c>
      <c r="BC62" s="77">
        <f t="shared" si="125"/>
        <v>0</v>
      </c>
      <c r="BD62" s="77">
        <f t="shared" si="125"/>
        <v>0</v>
      </c>
      <c r="BE62" s="79">
        <f t="shared" si="125"/>
        <v>0</v>
      </c>
      <c r="BF62" s="79">
        <f t="shared" ref="BF62" si="131">BF56-BF58-BF59-BF60</f>
        <v>0</v>
      </c>
      <c r="BG62" s="79">
        <f t="shared" ref="BG62" si="132">BG56-BG58-BG59-BG60</f>
        <v>0</v>
      </c>
      <c r="BH62" s="79">
        <f t="shared" ref="BH62" si="133">BH56-BH58-BH59-BH60</f>
        <v>0</v>
      </c>
      <c r="BI62" s="78">
        <f t="shared" ref="BI62" si="134">BI56-BI58-BI59-BI60</f>
        <v>-1</v>
      </c>
    </row>
    <row r="63" spans="1:61" s="726" customFormat="1" ht="13.5" thickBot="1" x14ac:dyDescent="0.25">
      <c r="A63" s="676"/>
      <c r="B63" s="1911"/>
      <c r="C63" s="1912"/>
      <c r="D63" s="1913"/>
      <c r="E63" s="1913"/>
      <c r="F63" s="1913"/>
      <c r="G63" s="1913"/>
      <c r="H63" s="1913"/>
      <c r="I63" s="1913"/>
      <c r="J63" s="1913"/>
      <c r="K63" s="1913"/>
      <c r="L63" s="1598"/>
      <c r="M63" s="1598"/>
      <c r="N63" s="1598"/>
      <c r="O63" s="1598"/>
      <c r="P63" s="1914"/>
      <c r="Q63" s="1599"/>
      <c r="R63" s="1599"/>
      <c r="S63" s="1598"/>
      <c r="T63" s="1598"/>
      <c r="U63" s="1599"/>
      <c r="V63" s="1599"/>
      <c r="W63" s="1598"/>
      <c r="X63" s="1598"/>
      <c r="Y63" s="1598"/>
      <c r="Z63" s="1598"/>
      <c r="AA63" s="1598"/>
      <c r="AB63" s="1598"/>
      <c r="AC63" s="1912"/>
      <c r="AD63" s="1912"/>
      <c r="AE63" s="1915"/>
      <c r="AF63" s="1599"/>
      <c r="AG63" s="1599"/>
      <c r="AH63" s="1598"/>
      <c r="AI63" s="1913"/>
      <c r="AJ63" s="1913"/>
      <c r="AK63" s="1913"/>
      <c r="AL63" s="1913"/>
      <c r="AM63" s="1913"/>
      <c r="AN63" s="1913"/>
      <c r="AO63" s="1913"/>
      <c r="AP63" s="1598"/>
      <c r="AQ63" s="1598"/>
      <c r="AR63" s="1598"/>
      <c r="AS63" s="1598"/>
      <c r="AT63" s="1914"/>
      <c r="AU63" s="1599"/>
      <c r="AV63" s="1599"/>
      <c r="AW63" s="1599"/>
      <c r="AX63" s="1598"/>
      <c r="AY63" s="1598"/>
      <c r="AZ63" s="1598"/>
      <c r="BA63" s="1598"/>
      <c r="BB63" s="1598"/>
      <c r="BC63" s="1598"/>
      <c r="BD63" s="1598"/>
      <c r="BE63" s="1598"/>
      <c r="BF63" s="1598"/>
      <c r="BG63" s="1598"/>
      <c r="BH63" s="1598"/>
      <c r="BI63" s="1916"/>
    </row>
    <row r="64" spans="1:61" ht="14.25" thickTop="1" thickBot="1" x14ac:dyDescent="0.25"/>
    <row r="65" spans="1:31" x14ac:dyDescent="0.2">
      <c r="A65" s="1863"/>
      <c r="B65" s="1600"/>
      <c r="C65" s="1600"/>
      <c r="D65" s="1600"/>
      <c r="E65" s="1600"/>
      <c r="F65" s="1600"/>
      <c r="G65" s="1600"/>
      <c r="H65" s="1600"/>
      <c r="I65" s="1600"/>
      <c r="J65" s="1600"/>
      <c r="K65" s="1600"/>
      <c r="L65" s="1600"/>
      <c r="M65" s="1600"/>
      <c r="N65" s="1600"/>
      <c r="O65" s="1600"/>
      <c r="P65" s="1600"/>
      <c r="Q65" s="1863"/>
      <c r="R65" s="1600"/>
      <c r="S65" s="1600"/>
      <c r="T65" s="1600"/>
      <c r="U65" s="1600"/>
      <c r="V65" s="1600"/>
      <c r="W65" s="1600"/>
      <c r="X65" s="1600"/>
      <c r="Y65" s="1600"/>
      <c r="Z65" s="1600"/>
      <c r="AA65" s="1600"/>
      <c r="AB65" s="1600"/>
      <c r="AC65" s="1600"/>
      <c r="AD65" s="1600"/>
      <c r="AE65" s="1917"/>
    </row>
    <row r="66" spans="1:31" x14ac:dyDescent="0.2">
      <c r="A66" s="816" t="s">
        <v>3303</v>
      </c>
      <c r="B66" s="2705" t="s">
        <v>3728</v>
      </c>
      <c r="C66" s="2705"/>
      <c r="D66" s="2705"/>
      <c r="E66" s="2705"/>
      <c r="F66" s="2705"/>
      <c r="G66" s="2705"/>
      <c r="H66" s="2705"/>
      <c r="I66" s="2705"/>
      <c r="J66" s="2705"/>
      <c r="K66" s="2705"/>
      <c r="L66" s="2705"/>
      <c r="M66" s="2705"/>
      <c r="N66" s="2705"/>
      <c r="O66" s="2705"/>
      <c r="P66" s="2706"/>
      <c r="Q66" s="2721" t="s">
        <v>3729</v>
      </c>
      <c r="R66" s="2722"/>
      <c r="S66" s="2722"/>
      <c r="T66" s="2722"/>
      <c r="U66" s="2722"/>
      <c r="V66" s="2722"/>
      <c r="W66" s="2722"/>
      <c r="X66" s="2722"/>
      <c r="Y66" s="2722"/>
      <c r="Z66" s="2722"/>
      <c r="AA66" s="2722"/>
      <c r="AB66" s="2722"/>
      <c r="AC66" s="2722"/>
      <c r="AD66" s="2722"/>
      <c r="AE66" s="2723"/>
    </row>
    <row r="67" spans="1:31" ht="13.5" thickBot="1" x14ac:dyDescent="0.25">
      <c r="A67" s="1857"/>
      <c r="B67" s="1601"/>
      <c r="C67" s="1601"/>
      <c r="D67" s="1601"/>
      <c r="E67" s="1601"/>
      <c r="F67" s="1601"/>
      <c r="G67" s="1601"/>
      <c r="H67" s="1601"/>
      <c r="I67" s="1601"/>
      <c r="J67" s="1601"/>
      <c r="K67" s="1601"/>
      <c r="L67" s="1601"/>
      <c r="M67" s="1601"/>
      <c r="N67" s="1601"/>
      <c r="O67" s="1601"/>
      <c r="P67" s="1601"/>
      <c r="Q67" s="1918"/>
      <c r="R67" s="1601"/>
      <c r="S67" s="1601"/>
      <c r="T67" s="1601"/>
      <c r="U67" s="1601"/>
      <c r="V67" s="1601"/>
      <c r="W67" s="1601"/>
      <c r="X67" s="1601"/>
      <c r="Y67" s="1601"/>
      <c r="Z67" s="1601"/>
      <c r="AA67" s="1601"/>
      <c r="AB67" s="1601"/>
      <c r="AC67" s="1601"/>
      <c r="AD67" s="1601"/>
      <c r="AE67" s="1919"/>
    </row>
    <row r="68" spans="1:31" x14ac:dyDescent="0.2">
      <c r="A68" s="1920" t="s">
        <v>388</v>
      </c>
      <c r="B68" s="2297" t="str">
        <f t="shared" ref="B68:P68" si="135">B4</f>
        <v>2013/14</v>
      </c>
      <c r="C68" s="2295" t="str">
        <f t="shared" si="135"/>
        <v>2014/15</v>
      </c>
      <c r="D68" s="2295" t="str">
        <f t="shared" si="135"/>
        <v>2015/16</v>
      </c>
      <c r="E68" s="2295" t="str">
        <f t="shared" si="135"/>
        <v>2016/17</v>
      </c>
      <c r="F68" s="2295" t="str">
        <f t="shared" si="135"/>
        <v>2017/18</v>
      </c>
      <c r="G68" s="2295" t="str">
        <f t="shared" si="135"/>
        <v>2018/19</v>
      </c>
      <c r="H68" s="2295" t="str">
        <f t="shared" si="135"/>
        <v>2019/20</v>
      </c>
      <c r="I68" s="2295" t="str">
        <f t="shared" si="135"/>
        <v>2020/21</v>
      </c>
      <c r="J68" s="2295" t="str">
        <f t="shared" si="135"/>
        <v>2021/22</v>
      </c>
      <c r="K68" s="2295" t="str">
        <f t="shared" si="135"/>
        <v>2022/23</v>
      </c>
      <c r="L68" s="2295" t="str">
        <f t="shared" si="135"/>
        <v>2023/24</v>
      </c>
      <c r="M68" s="2295" t="str">
        <f t="shared" si="135"/>
        <v>2024/25</v>
      </c>
      <c r="N68" s="2295" t="str">
        <f t="shared" si="135"/>
        <v>2025/26</v>
      </c>
      <c r="O68" s="2295" t="str">
        <f t="shared" si="135"/>
        <v>2026/27</v>
      </c>
      <c r="P68" s="2296" t="str">
        <f t="shared" si="135"/>
        <v>2027/28</v>
      </c>
      <c r="Q68" s="2297" t="str">
        <f t="shared" ref="Q68:AE68" si="136">B68</f>
        <v>2013/14</v>
      </c>
      <c r="R68" s="2295" t="str">
        <f t="shared" si="136"/>
        <v>2014/15</v>
      </c>
      <c r="S68" s="2295" t="str">
        <f t="shared" si="136"/>
        <v>2015/16</v>
      </c>
      <c r="T68" s="2295" t="str">
        <f t="shared" si="136"/>
        <v>2016/17</v>
      </c>
      <c r="U68" s="2295" t="str">
        <f t="shared" si="136"/>
        <v>2017/18</v>
      </c>
      <c r="V68" s="2295" t="str">
        <f t="shared" si="136"/>
        <v>2018/19</v>
      </c>
      <c r="W68" s="2295" t="str">
        <f t="shared" si="136"/>
        <v>2019/20</v>
      </c>
      <c r="X68" s="2295" t="str">
        <f t="shared" si="136"/>
        <v>2020/21</v>
      </c>
      <c r="Y68" s="2295" t="str">
        <f t="shared" si="136"/>
        <v>2021/22</v>
      </c>
      <c r="Z68" s="2295" t="str">
        <f t="shared" si="136"/>
        <v>2022/23</v>
      </c>
      <c r="AA68" s="2295" t="str">
        <f t="shared" si="136"/>
        <v>2023/24</v>
      </c>
      <c r="AB68" s="2295" t="str">
        <f t="shared" si="136"/>
        <v>2024/25</v>
      </c>
      <c r="AC68" s="2295" t="str">
        <f t="shared" si="136"/>
        <v>2025/26</v>
      </c>
      <c r="AD68" s="2295" t="str">
        <f t="shared" si="136"/>
        <v>2026/27</v>
      </c>
      <c r="AE68" s="2296" t="str">
        <f t="shared" si="136"/>
        <v>2027/28</v>
      </c>
    </row>
    <row r="69" spans="1:31" x14ac:dyDescent="0.2">
      <c r="A69" s="1921" t="s">
        <v>2296</v>
      </c>
      <c r="B69" s="1602">
        <f t="shared" ref="B69:AE69" si="137">B7/1000</f>
        <v>38830.5</v>
      </c>
      <c r="C69" s="1602">
        <f t="shared" si="137"/>
        <v>41354.6</v>
      </c>
      <c r="D69" s="1602">
        <f t="shared" si="137"/>
        <v>43946.8</v>
      </c>
      <c r="E69" s="1602">
        <f t="shared" si="137"/>
        <v>46877.3</v>
      </c>
      <c r="F69" s="1602">
        <f t="shared" si="137"/>
        <v>47544.6</v>
      </c>
      <c r="G69" s="1602">
        <f t="shared" si="137"/>
        <v>48065.2</v>
      </c>
      <c r="H69" s="1602">
        <f t="shared" si="137"/>
        <v>49373</v>
      </c>
      <c r="I69" s="1602">
        <f t="shared" si="137"/>
        <v>50723.5</v>
      </c>
      <c r="J69" s="1602">
        <f t="shared" si="137"/>
        <v>52130.400000000001</v>
      </c>
      <c r="K69" s="1602">
        <f t="shared" si="137"/>
        <v>53576.5</v>
      </c>
      <c r="L69" s="1602">
        <f t="shared" si="137"/>
        <v>55063.4</v>
      </c>
      <c r="M69" s="1602">
        <f t="shared" si="137"/>
        <v>56590.1</v>
      </c>
      <c r="N69" s="1602">
        <f t="shared" si="137"/>
        <v>58160.2</v>
      </c>
      <c r="O69" s="1602">
        <f t="shared" si="137"/>
        <v>59773.2</v>
      </c>
      <c r="P69" s="1922">
        <f t="shared" si="137"/>
        <v>61432.1</v>
      </c>
      <c r="Q69" s="1923">
        <f t="shared" si="137"/>
        <v>24301.3</v>
      </c>
      <c r="R69" s="1602">
        <f t="shared" si="137"/>
        <v>25256.5</v>
      </c>
      <c r="S69" s="1602">
        <f t="shared" si="137"/>
        <v>26633.599999999999</v>
      </c>
      <c r="T69" s="1602">
        <f t="shared" si="137"/>
        <v>28107.4</v>
      </c>
      <c r="U69" s="1602">
        <f t="shared" si="137"/>
        <v>28168.1</v>
      </c>
      <c r="V69" s="1602">
        <f t="shared" si="137"/>
        <v>28200.2</v>
      </c>
      <c r="W69" s="1602">
        <f t="shared" si="137"/>
        <v>29007.5</v>
      </c>
      <c r="X69" s="1602">
        <f t="shared" si="137"/>
        <v>29837.5</v>
      </c>
      <c r="Y69" s="1602">
        <f t="shared" si="137"/>
        <v>30691</v>
      </c>
      <c r="Z69" s="1602">
        <f t="shared" si="137"/>
        <v>31569.7</v>
      </c>
      <c r="AA69" s="1602">
        <f t="shared" si="137"/>
        <v>32473.200000000001</v>
      </c>
      <c r="AB69" s="1602">
        <f t="shared" si="137"/>
        <v>33402.5</v>
      </c>
      <c r="AC69" s="1602">
        <f t="shared" si="137"/>
        <v>34359.199999999997</v>
      </c>
      <c r="AD69" s="1602">
        <f t="shared" si="137"/>
        <v>35342.800000000003</v>
      </c>
      <c r="AE69" s="1922">
        <f t="shared" si="137"/>
        <v>36355.300000000003</v>
      </c>
    </row>
    <row r="70" spans="1:31" x14ac:dyDescent="0.2">
      <c r="A70" s="1921" t="s">
        <v>2337</v>
      </c>
      <c r="B70" s="1602">
        <f t="shared" ref="B70:AE70" si="138">B8/1000</f>
        <v>16972.5</v>
      </c>
      <c r="C70" s="1602">
        <f t="shared" si="138"/>
        <v>17321.099999999999</v>
      </c>
      <c r="D70" s="1602">
        <f t="shared" si="138"/>
        <v>18582</v>
      </c>
      <c r="E70" s="1602">
        <f t="shared" si="138"/>
        <v>20138.2</v>
      </c>
      <c r="F70" s="1602">
        <f t="shared" si="138"/>
        <v>19056.7</v>
      </c>
      <c r="G70" s="1602">
        <f t="shared" si="138"/>
        <v>19601.400000000001</v>
      </c>
      <c r="H70" s="1602">
        <f t="shared" si="138"/>
        <v>20192.3</v>
      </c>
      <c r="I70" s="1602">
        <f t="shared" si="138"/>
        <v>20696.400000000001</v>
      </c>
      <c r="J70" s="1602">
        <f t="shared" si="138"/>
        <v>21211.599999999999</v>
      </c>
      <c r="K70" s="1602">
        <f t="shared" si="138"/>
        <v>21742.400000000001</v>
      </c>
      <c r="L70" s="1602">
        <f t="shared" si="138"/>
        <v>22286.9</v>
      </c>
      <c r="M70" s="1602">
        <f t="shared" si="138"/>
        <v>22847.1</v>
      </c>
      <c r="N70" s="1602">
        <f t="shared" si="138"/>
        <v>23418.7</v>
      </c>
      <c r="O70" s="1602">
        <f t="shared" si="138"/>
        <v>24008.400000000001</v>
      </c>
      <c r="P70" s="1922">
        <f t="shared" si="138"/>
        <v>24599.200000000001</v>
      </c>
      <c r="Q70" s="1923">
        <f t="shared" si="138"/>
        <v>9283.7999999999993</v>
      </c>
      <c r="R70" s="1602">
        <f t="shared" si="138"/>
        <v>9850.7000000000007</v>
      </c>
      <c r="S70" s="1602">
        <f t="shared" si="138"/>
        <v>10785.8</v>
      </c>
      <c r="T70" s="1602">
        <f t="shared" si="138"/>
        <v>10998.5</v>
      </c>
      <c r="U70" s="1602">
        <f t="shared" si="138"/>
        <v>10705.5</v>
      </c>
      <c r="V70" s="1602">
        <f t="shared" si="138"/>
        <v>11016.7</v>
      </c>
      <c r="W70" s="1602">
        <f t="shared" si="138"/>
        <v>11368.4</v>
      </c>
      <c r="X70" s="1602">
        <f t="shared" si="138"/>
        <v>11615.2</v>
      </c>
      <c r="Y70" s="1602">
        <f t="shared" si="138"/>
        <v>11865</v>
      </c>
      <c r="Z70" s="1602">
        <f t="shared" si="138"/>
        <v>12123</v>
      </c>
      <c r="AA70" s="1602">
        <f t="shared" si="138"/>
        <v>12386.5</v>
      </c>
      <c r="AB70" s="1602">
        <f t="shared" si="138"/>
        <v>12657.5</v>
      </c>
      <c r="AC70" s="1602">
        <f t="shared" si="138"/>
        <v>12932.5</v>
      </c>
      <c r="AD70" s="1602">
        <f t="shared" si="138"/>
        <v>13216.5</v>
      </c>
      <c r="AE70" s="1922">
        <f t="shared" si="138"/>
        <v>13492.3</v>
      </c>
    </row>
    <row r="71" spans="1:31" x14ac:dyDescent="0.2">
      <c r="A71" s="1921" t="s">
        <v>1661</v>
      </c>
      <c r="B71" s="1602">
        <f t="shared" ref="B71:AE71" si="139">B9/1000</f>
        <v>3487.4</v>
      </c>
      <c r="C71" s="1602">
        <f t="shared" si="139"/>
        <v>2539.4</v>
      </c>
      <c r="D71" s="1602">
        <f t="shared" si="139"/>
        <v>2133.6</v>
      </c>
      <c r="E71" s="1602">
        <f t="shared" si="139"/>
        <v>2299.1999999999998</v>
      </c>
      <c r="F71" s="1602">
        <f t="shared" si="139"/>
        <v>1659.9</v>
      </c>
      <c r="G71" s="1602">
        <f t="shared" si="139"/>
        <v>1856.6</v>
      </c>
      <c r="H71" s="1602">
        <f t="shared" si="139"/>
        <v>1900.7</v>
      </c>
      <c r="I71" s="1602">
        <f t="shared" si="139"/>
        <v>1589</v>
      </c>
      <c r="J71" s="1602">
        <f t="shared" si="139"/>
        <v>1635.2</v>
      </c>
      <c r="K71" s="1602">
        <f t="shared" si="139"/>
        <v>1563.8</v>
      </c>
      <c r="L71" s="1602">
        <f t="shared" si="139"/>
        <v>1583</v>
      </c>
      <c r="M71" s="1602">
        <f t="shared" si="139"/>
        <v>1663.3</v>
      </c>
      <c r="N71" s="1602">
        <f t="shared" si="139"/>
        <v>1799.2</v>
      </c>
      <c r="O71" s="1602">
        <f t="shared" si="139"/>
        <v>2097.9</v>
      </c>
      <c r="P71" s="1922">
        <f t="shared" si="139"/>
        <v>2406</v>
      </c>
      <c r="Q71" s="1923">
        <f t="shared" si="139"/>
        <v>2105.1</v>
      </c>
      <c r="R71" s="1602">
        <f t="shared" si="139"/>
        <v>1449.3</v>
      </c>
      <c r="S71" s="1602">
        <f t="shared" si="139"/>
        <v>1298.0999999999999</v>
      </c>
      <c r="T71" s="1602">
        <f t="shared" si="139"/>
        <v>1462.8</v>
      </c>
      <c r="U71" s="1602">
        <f t="shared" si="139"/>
        <v>982.9</v>
      </c>
      <c r="V71" s="1602">
        <f t="shared" si="139"/>
        <v>1116.8</v>
      </c>
      <c r="W71" s="1602">
        <f t="shared" si="139"/>
        <v>1300.4000000000001</v>
      </c>
      <c r="X71" s="1602">
        <f t="shared" si="139"/>
        <v>1043.0999999999999</v>
      </c>
      <c r="Y71" s="1602">
        <f t="shared" si="139"/>
        <v>1014.8</v>
      </c>
      <c r="Z71" s="1602">
        <f t="shared" si="139"/>
        <v>1042.5999999999999</v>
      </c>
      <c r="AA71" s="1602">
        <f t="shared" si="139"/>
        <v>1139.9000000000001</v>
      </c>
      <c r="AB71" s="1602">
        <f t="shared" si="139"/>
        <v>1231.3</v>
      </c>
      <c r="AC71" s="1602">
        <f t="shared" si="139"/>
        <v>1394.7</v>
      </c>
      <c r="AD71" s="1602">
        <f t="shared" si="139"/>
        <v>1536.7</v>
      </c>
      <c r="AE71" s="1922">
        <f t="shared" si="139"/>
        <v>1671.2</v>
      </c>
    </row>
    <row r="72" spans="1:31" x14ac:dyDescent="0.2">
      <c r="A72" s="1921" t="s">
        <v>2828</v>
      </c>
      <c r="B72" s="1602">
        <f t="shared" ref="B72:AE72" si="140">B11/1000</f>
        <v>6082.3</v>
      </c>
      <c r="C72" s="1602">
        <f t="shared" si="140"/>
        <v>7833.6</v>
      </c>
      <c r="D72" s="1602">
        <f t="shared" si="140"/>
        <v>9389.2000000000007</v>
      </c>
      <c r="E72" s="1602">
        <f t="shared" si="140"/>
        <v>12037.3</v>
      </c>
      <c r="F72" s="1602">
        <f t="shared" si="140"/>
        <v>8038.5</v>
      </c>
      <c r="G72" s="1602">
        <f t="shared" si="140"/>
        <v>7533.9</v>
      </c>
      <c r="H72" s="1602">
        <f t="shared" si="140"/>
        <v>7767.7</v>
      </c>
      <c r="I72" s="1602">
        <f t="shared" si="140"/>
        <v>7773.2</v>
      </c>
      <c r="J72" s="1602">
        <f t="shared" si="140"/>
        <v>7879.8</v>
      </c>
      <c r="K72" s="1602">
        <f t="shared" si="140"/>
        <v>7990.8</v>
      </c>
      <c r="L72" s="1602">
        <f t="shared" si="140"/>
        <v>8137.8</v>
      </c>
      <c r="M72" s="1602">
        <f t="shared" si="140"/>
        <v>8297.7999999999993</v>
      </c>
      <c r="N72" s="1602">
        <f t="shared" si="140"/>
        <v>8463.5</v>
      </c>
      <c r="O72" s="1602">
        <f t="shared" si="140"/>
        <v>8632.7000000000007</v>
      </c>
      <c r="P72" s="1922">
        <f t="shared" si="140"/>
        <v>8805.5</v>
      </c>
      <c r="Q72" s="1923">
        <f t="shared" si="140"/>
        <v>5779.7</v>
      </c>
      <c r="R72" s="1602">
        <f t="shared" si="140"/>
        <v>7529.3</v>
      </c>
      <c r="S72" s="1602">
        <f t="shared" si="140"/>
        <v>9075.2000000000007</v>
      </c>
      <c r="T72" s="1602">
        <f t="shared" si="140"/>
        <v>11718.3</v>
      </c>
      <c r="U72" s="1602">
        <f t="shared" si="140"/>
        <v>7750.9</v>
      </c>
      <c r="V72" s="1602">
        <f t="shared" si="140"/>
        <v>7244.7</v>
      </c>
      <c r="W72" s="1602">
        <f t="shared" si="140"/>
        <v>7476.7</v>
      </c>
      <c r="X72" s="1602">
        <f t="shared" si="140"/>
        <v>7480.6</v>
      </c>
      <c r="Y72" s="1602">
        <f t="shared" si="140"/>
        <v>7585.5</v>
      </c>
      <c r="Z72" s="1602">
        <f t="shared" si="140"/>
        <v>7694.8</v>
      </c>
      <c r="AA72" s="1602">
        <f t="shared" si="140"/>
        <v>7840.1</v>
      </c>
      <c r="AB72" s="1602">
        <f t="shared" si="140"/>
        <v>7998.3</v>
      </c>
      <c r="AC72" s="1602">
        <f t="shared" si="140"/>
        <v>8162.3</v>
      </c>
      <c r="AD72" s="1602">
        <f t="shared" si="140"/>
        <v>8329.7999999999993</v>
      </c>
      <c r="AE72" s="1922">
        <f t="shared" si="140"/>
        <v>8500.9</v>
      </c>
    </row>
    <row r="73" spans="1:31" x14ac:dyDescent="0.2">
      <c r="A73" s="1921" t="s">
        <v>420</v>
      </c>
      <c r="B73" s="1602">
        <f t="shared" ref="B73:AE73" si="141">B10/1000</f>
        <v>5800.4</v>
      </c>
      <c r="C73" s="1602">
        <f t="shared" si="141"/>
        <v>5810.4</v>
      </c>
      <c r="D73" s="1602">
        <f t="shared" si="141"/>
        <v>4204.3</v>
      </c>
      <c r="E73" s="1602">
        <f t="shared" si="141"/>
        <v>5868.9</v>
      </c>
      <c r="F73" s="1602">
        <f t="shared" si="141"/>
        <v>6395.5</v>
      </c>
      <c r="G73" s="1602">
        <f t="shared" si="141"/>
        <v>6518.7</v>
      </c>
      <c r="H73" s="1602">
        <f t="shared" si="141"/>
        <v>6581.3</v>
      </c>
      <c r="I73" s="1602">
        <f t="shared" si="141"/>
        <v>6777.1</v>
      </c>
      <c r="J73" s="1602">
        <f t="shared" si="141"/>
        <v>6952.4</v>
      </c>
      <c r="K73" s="1602">
        <f t="shared" si="141"/>
        <v>7132.9</v>
      </c>
      <c r="L73" s="1602">
        <f t="shared" si="141"/>
        <v>7407</v>
      </c>
      <c r="M73" s="1602">
        <f t="shared" si="141"/>
        <v>7506.7</v>
      </c>
      <c r="N73" s="1602">
        <f t="shared" si="141"/>
        <v>7701.2</v>
      </c>
      <c r="O73" s="1602">
        <f t="shared" si="141"/>
        <v>7900.7</v>
      </c>
      <c r="P73" s="1922">
        <f t="shared" si="141"/>
        <v>8105.5</v>
      </c>
      <c r="Q73" s="1923">
        <f t="shared" si="141"/>
        <v>4577.3</v>
      </c>
      <c r="R73" s="1602">
        <f t="shared" si="141"/>
        <v>4544.1000000000004</v>
      </c>
      <c r="S73" s="1602">
        <f t="shared" si="141"/>
        <v>2923.3</v>
      </c>
      <c r="T73" s="1602">
        <f t="shared" si="141"/>
        <v>4651</v>
      </c>
      <c r="U73" s="1602">
        <f t="shared" si="141"/>
        <v>5091</v>
      </c>
      <c r="V73" s="1602">
        <f t="shared" si="141"/>
        <v>5183.5</v>
      </c>
      <c r="W73" s="1602">
        <f t="shared" si="141"/>
        <v>5212.2</v>
      </c>
      <c r="X73" s="1602">
        <f t="shared" si="141"/>
        <v>5373.1</v>
      </c>
      <c r="Y73" s="1602">
        <f t="shared" si="141"/>
        <v>5512.7</v>
      </c>
      <c r="Z73" s="1602">
        <f t="shared" si="141"/>
        <v>5656.7</v>
      </c>
      <c r="AA73" s="1602">
        <f t="shared" si="141"/>
        <v>5893.4</v>
      </c>
      <c r="AB73" s="1602">
        <f t="shared" si="141"/>
        <v>5954.7</v>
      </c>
      <c r="AC73" s="1602">
        <f t="shared" si="141"/>
        <v>6109.8</v>
      </c>
      <c r="AD73" s="1602">
        <f t="shared" si="141"/>
        <v>6268.9</v>
      </c>
      <c r="AE73" s="1922">
        <f t="shared" si="141"/>
        <v>6432.2</v>
      </c>
    </row>
    <row r="74" spans="1:31" x14ac:dyDescent="0.2">
      <c r="A74" s="1924" t="s">
        <v>752</v>
      </c>
      <c r="B74" s="92">
        <f>SUM(B69:B73)</f>
        <v>71173.100000000006</v>
      </c>
      <c r="C74" s="92">
        <f>SUM(C69:C73)</f>
        <v>74859.099999999991</v>
      </c>
      <c r="D74" s="92">
        <f t="shared" ref="D74:L74" si="142">SUM(D69:D73)</f>
        <v>78255.900000000009</v>
      </c>
      <c r="E74" s="92">
        <f t="shared" si="142"/>
        <v>87220.9</v>
      </c>
      <c r="F74" s="92">
        <f t="shared" si="142"/>
        <v>82695.199999999997</v>
      </c>
      <c r="G74" s="92">
        <f t="shared" si="142"/>
        <v>83575.8</v>
      </c>
      <c r="H74" s="92">
        <f t="shared" si="142"/>
        <v>85815</v>
      </c>
      <c r="I74" s="92">
        <f t="shared" si="142"/>
        <v>87559.2</v>
      </c>
      <c r="J74" s="92">
        <f t="shared" si="142"/>
        <v>89809.4</v>
      </c>
      <c r="K74" s="92">
        <f t="shared" si="142"/>
        <v>92006.399999999994</v>
      </c>
      <c r="L74" s="92">
        <f t="shared" si="142"/>
        <v>94478.1</v>
      </c>
      <c r="M74" s="92">
        <f t="shared" ref="M74:N74" si="143">SUM(M69:M73)</f>
        <v>96905</v>
      </c>
      <c r="N74" s="92">
        <f t="shared" si="143"/>
        <v>99542.799999999988</v>
      </c>
      <c r="O74" s="92">
        <f t="shared" ref="O74" si="144">SUM(O69:O73)</f>
        <v>102412.9</v>
      </c>
      <c r="P74" s="1252">
        <f t="shared" ref="P74" si="145">SUM(P69:P73)</f>
        <v>105348.3</v>
      </c>
      <c r="Q74" s="1821">
        <f>SUM(Q69:Q73)</f>
        <v>46047.199999999997</v>
      </c>
      <c r="R74" s="92">
        <f>SUM(R69:R73)</f>
        <v>48629.9</v>
      </c>
      <c r="S74" s="92">
        <f t="shared" ref="S74:AA74" si="146">SUM(S69:S73)</f>
        <v>50716</v>
      </c>
      <c r="T74" s="92">
        <f t="shared" ref="T74" si="147">SUM(T69:T73)</f>
        <v>56938</v>
      </c>
      <c r="U74" s="92">
        <f t="shared" si="146"/>
        <v>52698.400000000001</v>
      </c>
      <c r="V74" s="92">
        <f t="shared" si="146"/>
        <v>52761.9</v>
      </c>
      <c r="W74" s="92">
        <f t="shared" si="146"/>
        <v>54365.2</v>
      </c>
      <c r="X74" s="92">
        <f t="shared" si="146"/>
        <v>55349.499999999993</v>
      </c>
      <c r="Y74" s="92">
        <f t="shared" si="146"/>
        <v>56669</v>
      </c>
      <c r="Z74" s="92">
        <f t="shared" si="146"/>
        <v>58086.799999999996</v>
      </c>
      <c r="AA74" s="92">
        <f t="shared" si="146"/>
        <v>59733.1</v>
      </c>
      <c r="AB74" s="92">
        <f t="shared" ref="AB74:AC74" si="148">SUM(AB69:AB73)</f>
        <v>61244.3</v>
      </c>
      <c r="AC74" s="92">
        <f t="shared" si="148"/>
        <v>62958.5</v>
      </c>
      <c r="AD74" s="92">
        <f t="shared" ref="AD74" si="149">SUM(AD69:AD73)</f>
        <v>64694.700000000004</v>
      </c>
      <c r="AE74" s="1252">
        <f t="shared" ref="AE74" si="150">SUM(AE69:AE73)</f>
        <v>66451.900000000009</v>
      </c>
    </row>
    <row r="75" spans="1:31" x14ac:dyDescent="0.2">
      <c r="A75" s="1924"/>
      <c r="B75" s="1250"/>
      <c r="C75" s="115"/>
      <c r="D75" s="115"/>
      <c r="E75" s="115"/>
      <c r="F75" s="115"/>
      <c r="G75" s="115"/>
      <c r="H75" s="115"/>
      <c r="I75" s="115"/>
      <c r="J75" s="115"/>
      <c r="K75" s="115"/>
      <c r="L75" s="115"/>
      <c r="M75" s="115"/>
      <c r="N75" s="115"/>
      <c r="O75" s="115"/>
      <c r="P75" s="1846"/>
      <c r="Q75" s="1283"/>
      <c r="R75" s="115"/>
      <c r="S75" s="115"/>
      <c r="T75" s="115"/>
      <c r="U75" s="115"/>
      <c r="V75" s="115"/>
      <c r="W75" s="115"/>
      <c r="X75" s="115"/>
      <c r="Y75" s="115"/>
      <c r="Z75" s="115"/>
      <c r="AA75" s="115"/>
      <c r="AB75" s="115"/>
      <c r="AC75" s="115"/>
      <c r="AD75" s="115"/>
      <c r="AE75" s="1846"/>
    </row>
    <row r="76" spans="1:31" x14ac:dyDescent="0.2">
      <c r="A76" s="1924" t="s">
        <v>2018</v>
      </c>
      <c r="B76" s="1250"/>
      <c r="C76" s="115"/>
      <c r="D76" s="115"/>
      <c r="E76" s="115"/>
      <c r="F76" s="115"/>
      <c r="G76" s="115"/>
      <c r="H76" s="115"/>
      <c r="I76" s="115"/>
      <c r="J76" s="115"/>
      <c r="K76" s="115"/>
      <c r="L76" s="115"/>
      <c r="M76" s="115"/>
      <c r="N76" s="115"/>
      <c r="O76" s="115"/>
      <c r="P76" s="1846"/>
      <c r="Q76" s="1283"/>
      <c r="R76" s="115"/>
      <c r="S76" s="115"/>
      <c r="T76" s="115"/>
      <c r="U76" s="115"/>
      <c r="V76" s="115"/>
      <c r="W76" s="115"/>
      <c r="X76" s="115"/>
      <c r="Y76" s="115"/>
      <c r="Z76" s="115"/>
      <c r="AA76" s="115"/>
      <c r="AB76" s="115"/>
      <c r="AC76" s="115"/>
      <c r="AD76" s="115"/>
      <c r="AE76" s="1846"/>
    </row>
    <row r="77" spans="1:31" x14ac:dyDescent="0.2">
      <c r="A77" s="1921" t="s">
        <v>1228</v>
      </c>
      <c r="B77" s="1602">
        <f t="shared" ref="B77:AE77" si="151">B17/1000</f>
        <v>19711</v>
      </c>
      <c r="C77" s="1602">
        <f t="shared" si="151"/>
        <v>20435.099999999999</v>
      </c>
      <c r="D77" s="1602">
        <f t="shared" si="151"/>
        <v>21690</v>
      </c>
      <c r="E77" s="1602">
        <f t="shared" si="151"/>
        <v>22308</v>
      </c>
      <c r="F77" s="1602">
        <f t="shared" si="151"/>
        <v>23001</v>
      </c>
      <c r="G77" s="1602">
        <f t="shared" si="151"/>
        <v>23715</v>
      </c>
      <c r="H77" s="1602">
        <f t="shared" si="151"/>
        <v>24452</v>
      </c>
      <c r="I77" s="1602">
        <f t="shared" si="151"/>
        <v>25211</v>
      </c>
      <c r="J77" s="1602">
        <f t="shared" si="151"/>
        <v>25994</v>
      </c>
      <c r="K77" s="1602">
        <f t="shared" si="151"/>
        <v>26801</v>
      </c>
      <c r="L77" s="1602">
        <f t="shared" si="151"/>
        <v>27633</v>
      </c>
      <c r="M77" s="1602">
        <f t="shared" si="151"/>
        <v>28491</v>
      </c>
      <c r="N77" s="1602">
        <f t="shared" si="151"/>
        <v>29376</v>
      </c>
      <c r="O77" s="1602">
        <f t="shared" si="151"/>
        <v>30288</v>
      </c>
      <c r="P77" s="1922">
        <f t="shared" si="151"/>
        <v>31229</v>
      </c>
      <c r="Q77" s="1923">
        <f t="shared" si="151"/>
        <v>14771.4</v>
      </c>
      <c r="R77" s="1602">
        <f t="shared" si="151"/>
        <v>15453.1</v>
      </c>
      <c r="S77" s="1602">
        <f t="shared" si="151"/>
        <v>16138</v>
      </c>
      <c r="T77" s="1602">
        <f t="shared" si="151"/>
        <v>15939</v>
      </c>
      <c r="U77" s="1602">
        <f t="shared" si="151"/>
        <v>16434</v>
      </c>
      <c r="V77" s="1602">
        <f t="shared" si="151"/>
        <v>16945</v>
      </c>
      <c r="W77" s="1602">
        <f t="shared" si="151"/>
        <v>17472</v>
      </c>
      <c r="X77" s="1602">
        <f t="shared" si="151"/>
        <v>18015</v>
      </c>
      <c r="Y77" s="1602">
        <f t="shared" si="151"/>
        <v>18575</v>
      </c>
      <c r="Z77" s="1602">
        <f t="shared" si="151"/>
        <v>19152</v>
      </c>
      <c r="AA77" s="1602">
        <f t="shared" si="151"/>
        <v>19746</v>
      </c>
      <c r="AB77" s="1602">
        <f t="shared" si="151"/>
        <v>20359</v>
      </c>
      <c r="AC77" s="1602">
        <f t="shared" si="151"/>
        <v>20992</v>
      </c>
      <c r="AD77" s="1602">
        <f t="shared" si="151"/>
        <v>21644</v>
      </c>
      <c r="AE77" s="1922">
        <f t="shared" si="151"/>
        <v>22316</v>
      </c>
    </row>
    <row r="78" spans="1:31" x14ac:dyDescent="0.2">
      <c r="A78" s="1921" t="s">
        <v>2336</v>
      </c>
      <c r="B78" s="1602">
        <f t="shared" ref="B78:AE78" si="152">B18/1000</f>
        <v>22518.9</v>
      </c>
      <c r="C78" s="1602">
        <f t="shared" si="152"/>
        <v>21906.1</v>
      </c>
      <c r="D78" s="1602">
        <f t="shared" si="152"/>
        <v>23953.599999999999</v>
      </c>
      <c r="E78" s="1602">
        <f t="shared" si="152"/>
        <v>22932.799999999999</v>
      </c>
      <c r="F78" s="1602">
        <f t="shared" si="152"/>
        <v>25632.6</v>
      </c>
      <c r="G78" s="1602">
        <f t="shared" si="152"/>
        <v>23229.5</v>
      </c>
      <c r="H78" s="1602">
        <f t="shared" si="152"/>
        <v>23958.6</v>
      </c>
      <c r="I78" s="1602">
        <f t="shared" si="152"/>
        <v>24068.2</v>
      </c>
      <c r="J78" s="1602">
        <f t="shared" si="152"/>
        <v>24624.1</v>
      </c>
      <c r="K78" s="1602">
        <f t="shared" si="152"/>
        <v>24967.8</v>
      </c>
      <c r="L78" s="1602">
        <f t="shared" si="152"/>
        <v>25580.9</v>
      </c>
      <c r="M78" s="1602">
        <f t="shared" si="152"/>
        <v>26036.400000000001</v>
      </c>
      <c r="N78" s="1602">
        <f t="shared" si="152"/>
        <v>26378.400000000001</v>
      </c>
      <c r="O78" s="1602">
        <f t="shared" si="152"/>
        <v>26762.5</v>
      </c>
      <c r="P78" s="1922">
        <f t="shared" si="152"/>
        <v>27190.7</v>
      </c>
      <c r="Q78" s="1923">
        <f t="shared" si="152"/>
        <v>15428.2</v>
      </c>
      <c r="R78" s="1602">
        <f t="shared" si="152"/>
        <v>14881.7</v>
      </c>
      <c r="S78" s="1602">
        <f t="shared" si="152"/>
        <v>17592.599999999999</v>
      </c>
      <c r="T78" s="1602">
        <f t="shared" si="152"/>
        <v>16790.8</v>
      </c>
      <c r="U78" s="1602">
        <f t="shared" si="152"/>
        <v>19391</v>
      </c>
      <c r="V78" s="1602">
        <f t="shared" si="152"/>
        <v>16855.2</v>
      </c>
      <c r="W78" s="1602">
        <f t="shared" si="152"/>
        <v>17501.900000000001</v>
      </c>
      <c r="X78" s="1602">
        <f t="shared" si="152"/>
        <v>17487.400000000001</v>
      </c>
      <c r="Y78" s="1602">
        <f t="shared" si="152"/>
        <v>17902.5</v>
      </c>
      <c r="Z78" s="1602">
        <f t="shared" si="152"/>
        <v>18083.5</v>
      </c>
      <c r="AA78" s="1602">
        <f t="shared" si="152"/>
        <v>18618.599999999999</v>
      </c>
      <c r="AB78" s="1602">
        <f t="shared" si="152"/>
        <v>18944.5</v>
      </c>
      <c r="AC78" s="1602">
        <f t="shared" si="152"/>
        <v>19222.099999999999</v>
      </c>
      <c r="AD78" s="1602">
        <f t="shared" si="152"/>
        <v>19458.2</v>
      </c>
      <c r="AE78" s="1922">
        <f t="shared" si="152"/>
        <v>19778.3</v>
      </c>
    </row>
    <row r="79" spans="1:31" x14ac:dyDescent="0.2">
      <c r="A79" s="1921" t="s">
        <v>2152</v>
      </c>
      <c r="B79" s="1602">
        <f t="shared" ref="B79:AE79" si="153">B19/1000</f>
        <v>6839.8</v>
      </c>
      <c r="C79" s="1602">
        <f t="shared" si="153"/>
        <v>6561.4</v>
      </c>
      <c r="D79" s="1602">
        <f t="shared" si="153"/>
        <v>5993.6</v>
      </c>
      <c r="E79" s="1602">
        <f t="shared" si="153"/>
        <v>5523</v>
      </c>
      <c r="F79" s="1602">
        <f t="shared" si="153"/>
        <v>5620.4</v>
      </c>
      <c r="G79" s="1602">
        <f t="shared" si="153"/>
        <v>5173.3</v>
      </c>
      <c r="H79" s="1602">
        <f t="shared" si="153"/>
        <v>4892.6000000000004</v>
      </c>
      <c r="I79" s="1602">
        <f t="shared" si="153"/>
        <v>4490.5</v>
      </c>
      <c r="J79" s="1602">
        <f t="shared" si="153"/>
        <v>4470.6000000000004</v>
      </c>
      <c r="K79" s="1602">
        <f t="shared" si="153"/>
        <v>4109.8</v>
      </c>
      <c r="L79" s="1602">
        <f t="shared" si="153"/>
        <v>3790.2</v>
      </c>
      <c r="M79" s="1602">
        <f t="shared" si="153"/>
        <v>3490.9</v>
      </c>
      <c r="N79" s="1602">
        <f t="shared" si="153"/>
        <v>3212</v>
      </c>
      <c r="O79" s="1602">
        <f t="shared" si="153"/>
        <v>2952.2</v>
      </c>
      <c r="P79" s="1922">
        <f t="shared" si="153"/>
        <v>2690.3</v>
      </c>
      <c r="Q79" s="1923">
        <f t="shared" si="153"/>
        <v>1679</v>
      </c>
      <c r="R79" s="1602">
        <f t="shared" si="153"/>
        <v>1564.6</v>
      </c>
      <c r="S79" s="1602">
        <f t="shared" si="153"/>
        <v>1334.3</v>
      </c>
      <c r="T79" s="1602">
        <f t="shared" si="153"/>
        <v>1074.4000000000001</v>
      </c>
      <c r="U79" s="1602">
        <f t="shared" si="153"/>
        <v>1370.5</v>
      </c>
      <c r="V79" s="1602">
        <f t="shared" si="153"/>
        <v>1295</v>
      </c>
      <c r="W79" s="1602">
        <f t="shared" si="153"/>
        <v>1225.5999999999999</v>
      </c>
      <c r="X79" s="1602">
        <f t="shared" si="153"/>
        <v>1050.7</v>
      </c>
      <c r="Y79" s="1602">
        <f t="shared" si="153"/>
        <v>1231.4000000000001</v>
      </c>
      <c r="Z79" s="1602">
        <f t="shared" si="153"/>
        <v>1060.5999999999999</v>
      </c>
      <c r="AA79" s="1602">
        <f t="shared" si="153"/>
        <v>933.9</v>
      </c>
      <c r="AB79" s="1602">
        <f t="shared" si="153"/>
        <v>832.6</v>
      </c>
      <c r="AC79" s="1602">
        <f t="shared" si="153"/>
        <v>748.7</v>
      </c>
      <c r="AD79" s="1602">
        <f t="shared" si="153"/>
        <v>685.9</v>
      </c>
      <c r="AE79" s="1922">
        <f t="shared" si="153"/>
        <v>622</v>
      </c>
    </row>
    <row r="80" spans="1:31" x14ac:dyDescent="0.2">
      <c r="A80" s="1921" t="s">
        <v>2035</v>
      </c>
      <c r="B80" s="1602">
        <f t="shared" ref="B80:AE80" si="154">B20/1000</f>
        <v>20368.3</v>
      </c>
      <c r="C80" s="1602">
        <f t="shared" si="154"/>
        <v>17937.3</v>
      </c>
      <c r="D80" s="1602">
        <f t="shared" si="154"/>
        <v>19197.599999999999</v>
      </c>
      <c r="E80" s="1602">
        <f t="shared" si="154"/>
        <v>15978.6</v>
      </c>
      <c r="F80" s="1602">
        <f t="shared" si="154"/>
        <v>18538.900000000001</v>
      </c>
      <c r="G80" s="1602">
        <f t="shared" si="154"/>
        <v>19013.400000000001</v>
      </c>
      <c r="H80" s="1602">
        <f t="shared" si="154"/>
        <v>19486.2</v>
      </c>
      <c r="I80" s="1602">
        <f t="shared" si="154"/>
        <v>19877.8</v>
      </c>
      <c r="J80" s="1602">
        <f t="shared" si="154"/>
        <v>20276.7</v>
      </c>
      <c r="K80" s="1602">
        <f t="shared" si="154"/>
        <v>20684</v>
      </c>
      <c r="L80" s="1602">
        <f t="shared" si="154"/>
        <v>21098.6</v>
      </c>
      <c r="M80" s="1602">
        <f t="shared" si="154"/>
        <v>21522</v>
      </c>
      <c r="N80" s="1602">
        <f t="shared" si="154"/>
        <v>21954.3</v>
      </c>
      <c r="O80" s="1602">
        <f t="shared" si="154"/>
        <v>22394.3</v>
      </c>
      <c r="P80" s="1922">
        <f t="shared" si="154"/>
        <v>22843</v>
      </c>
      <c r="Q80" s="1923">
        <f t="shared" si="154"/>
        <v>15865.7</v>
      </c>
      <c r="R80" s="1602">
        <f t="shared" si="154"/>
        <v>14144.3</v>
      </c>
      <c r="S80" s="1602">
        <f t="shared" si="154"/>
        <v>14166.8</v>
      </c>
      <c r="T80" s="1602">
        <f t="shared" si="154"/>
        <v>11005.7</v>
      </c>
      <c r="U80" s="1602">
        <f t="shared" si="154"/>
        <v>13383.9</v>
      </c>
      <c r="V80" s="1602">
        <f t="shared" si="154"/>
        <v>13754.8</v>
      </c>
      <c r="W80" s="1602">
        <f t="shared" si="154"/>
        <v>14122.4</v>
      </c>
      <c r="X80" s="1602">
        <f t="shared" si="154"/>
        <v>14406.2</v>
      </c>
      <c r="Y80" s="1602">
        <f t="shared" si="154"/>
        <v>14695.8</v>
      </c>
      <c r="Z80" s="1602">
        <f t="shared" si="154"/>
        <v>14991.2</v>
      </c>
      <c r="AA80" s="1602">
        <f t="shared" si="154"/>
        <v>15292.3</v>
      </c>
      <c r="AB80" s="1602">
        <f t="shared" si="154"/>
        <v>15599.6</v>
      </c>
      <c r="AC80" s="1602">
        <f t="shared" si="154"/>
        <v>15913.1</v>
      </c>
      <c r="AD80" s="1602">
        <f t="shared" si="154"/>
        <v>16232.7</v>
      </c>
      <c r="AE80" s="1922">
        <f t="shared" si="154"/>
        <v>16558.400000000001</v>
      </c>
    </row>
    <row r="81" spans="1:31" x14ac:dyDescent="0.2">
      <c r="A81" s="1921" t="s">
        <v>408</v>
      </c>
      <c r="B81" s="1602">
        <f t="shared" ref="B81:AE81" si="155">B21/1000</f>
        <v>11258.5</v>
      </c>
      <c r="C81" s="1602">
        <f t="shared" si="155"/>
        <v>11427.7</v>
      </c>
      <c r="D81" s="1602">
        <f t="shared" si="155"/>
        <v>11605.1</v>
      </c>
      <c r="E81" s="1602">
        <f t="shared" si="155"/>
        <v>12188.5</v>
      </c>
      <c r="F81" s="1602">
        <f t="shared" si="155"/>
        <v>12063.8</v>
      </c>
      <c r="G81" s="1602">
        <f t="shared" si="155"/>
        <v>12289</v>
      </c>
      <c r="H81" s="1602">
        <f t="shared" si="155"/>
        <v>12590.7</v>
      </c>
      <c r="I81" s="1602">
        <f t="shared" si="155"/>
        <v>13169.7</v>
      </c>
      <c r="J81" s="1602">
        <f t="shared" si="155"/>
        <v>13275.5</v>
      </c>
      <c r="K81" s="1602">
        <f t="shared" si="155"/>
        <v>13681.1</v>
      </c>
      <c r="L81" s="1602">
        <f t="shared" si="155"/>
        <v>14011.1</v>
      </c>
      <c r="M81" s="1602">
        <f t="shared" si="155"/>
        <v>14703.8</v>
      </c>
      <c r="N81" s="1602">
        <f t="shared" si="155"/>
        <v>14802.7</v>
      </c>
      <c r="O81" s="1602">
        <f t="shared" si="155"/>
        <v>15198.4</v>
      </c>
      <c r="P81" s="1922">
        <f t="shared" si="155"/>
        <v>15613.6</v>
      </c>
      <c r="Q81" s="1923">
        <f t="shared" si="155"/>
        <v>4927.5</v>
      </c>
      <c r="R81" s="1602">
        <f t="shared" si="155"/>
        <v>4897.1000000000004</v>
      </c>
      <c r="S81" s="1602">
        <f t="shared" si="155"/>
        <v>5094.3999999999996</v>
      </c>
      <c r="T81" s="1602">
        <f t="shared" si="155"/>
        <v>5283.6</v>
      </c>
      <c r="U81" s="1602">
        <f t="shared" si="155"/>
        <v>5254.6</v>
      </c>
      <c r="V81" s="1602">
        <f t="shared" si="155"/>
        <v>5404.8</v>
      </c>
      <c r="W81" s="1602">
        <f t="shared" si="155"/>
        <v>5545</v>
      </c>
      <c r="X81" s="1602">
        <f t="shared" si="155"/>
        <v>5959</v>
      </c>
      <c r="Y81" s="1602">
        <f t="shared" si="155"/>
        <v>5836.2</v>
      </c>
      <c r="Z81" s="1602">
        <f t="shared" si="155"/>
        <v>5986.8</v>
      </c>
      <c r="AA81" s="1602">
        <f t="shared" si="155"/>
        <v>6140.5</v>
      </c>
      <c r="AB81" s="1602">
        <f t="shared" si="155"/>
        <v>6600.3</v>
      </c>
      <c r="AC81" s="1602">
        <f t="shared" si="155"/>
        <v>6459.5</v>
      </c>
      <c r="AD81" s="1602">
        <f t="shared" si="155"/>
        <v>6625.7</v>
      </c>
      <c r="AE81" s="1922">
        <f t="shared" si="155"/>
        <v>6796</v>
      </c>
    </row>
    <row r="82" spans="1:31" x14ac:dyDescent="0.2">
      <c r="A82" s="1924" t="s">
        <v>752</v>
      </c>
      <c r="B82" s="818">
        <f>SUM(B77:B81)</f>
        <v>80696.5</v>
      </c>
      <c r="C82" s="818">
        <f>SUM(C77:C81)</f>
        <v>78267.599999999991</v>
      </c>
      <c r="D82" s="818">
        <f t="shared" ref="D82:L82" si="156">SUM(D77:D81)</f>
        <v>82439.899999999994</v>
      </c>
      <c r="E82" s="818">
        <f t="shared" si="156"/>
        <v>78930.900000000009</v>
      </c>
      <c r="F82" s="818">
        <f t="shared" si="156"/>
        <v>84856.7</v>
      </c>
      <c r="G82" s="818">
        <f t="shared" si="156"/>
        <v>83420.200000000012</v>
      </c>
      <c r="H82" s="818">
        <f t="shared" si="156"/>
        <v>85380.099999999991</v>
      </c>
      <c r="I82" s="818">
        <f t="shared" si="156"/>
        <v>86817.2</v>
      </c>
      <c r="J82" s="818">
        <f t="shared" si="156"/>
        <v>88640.9</v>
      </c>
      <c r="K82" s="818">
        <f t="shared" si="156"/>
        <v>90243.700000000012</v>
      </c>
      <c r="L82" s="818">
        <f t="shared" si="156"/>
        <v>92113.8</v>
      </c>
      <c r="M82" s="818">
        <f t="shared" ref="M82:N82" si="157">SUM(M77:M81)</f>
        <v>94244.1</v>
      </c>
      <c r="N82" s="818">
        <f t="shared" si="157"/>
        <v>95723.4</v>
      </c>
      <c r="O82" s="818">
        <f t="shared" ref="O82" si="158">SUM(O77:O81)</f>
        <v>97595.4</v>
      </c>
      <c r="P82" s="1925">
        <f t="shared" ref="P82" si="159">SUM(P77:P81)</f>
        <v>99566.6</v>
      </c>
      <c r="Q82" s="1926">
        <f>SUM(Q77:Q81)</f>
        <v>52671.8</v>
      </c>
      <c r="R82" s="818">
        <f>SUM(R77:R81)</f>
        <v>50940.799999999996</v>
      </c>
      <c r="S82" s="818">
        <f t="shared" ref="S82:AA82" si="160">SUM(S77:S81)</f>
        <v>54326.1</v>
      </c>
      <c r="T82" s="818">
        <f t="shared" ref="T82" si="161">SUM(T77:T81)</f>
        <v>50093.499999999993</v>
      </c>
      <c r="U82" s="818">
        <f t="shared" si="160"/>
        <v>55834</v>
      </c>
      <c r="V82" s="818">
        <f t="shared" si="160"/>
        <v>54254.8</v>
      </c>
      <c r="W82" s="818">
        <f t="shared" si="160"/>
        <v>55866.9</v>
      </c>
      <c r="X82" s="818">
        <f t="shared" si="160"/>
        <v>56918.3</v>
      </c>
      <c r="Y82" s="818">
        <f t="shared" si="160"/>
        <v>58240.899999999994</v>
      </c>
      <c r="Z82" s="818">
        <f t="shared" si="160"/>
        <v>59274.100000000006</v>
      </c>
      <c r="AA82" s="818">
        <f t="shared" si="160"/>
        <v>60731.3</v>
      </c>
      <c r="AB82" s="818">
        <f t="shared" ref="AB82:AC82" si="162">SUM(AB77:AB81)</f>
        <v>62336</v>
      </c>
      <c r="AC82" s="818">
        <f t="shared" si="162"/>
        <v>63335.399999999994</v>
      </c>
      <c r="AD82" s="818">
        <f t="shared" ref="AD82" si="163">SUM(AD77:AD81)</f>
        <v>64646.5</v>
      </c>
      <c r="AE82" s="1925">
        <f t="shared" ref="AE82" si="164">SUM(AE77:AE81)</f>
        <v>66070.700000000012</v>
      </c>
    </row>
    <row r="83" spans="1:31" x14ac:dyDescent="0.2">
      <c r="A83" s="1924"/>
      <c r="B83" s="1250"/>
      <c r="C83" s="115"/>
      <c r="D83" s="115"/>
      <c r="E83" s="115"/>
      <c r="F83" s="115"/>
      <c r="G83" s="115"/>
      <c r="H83" s="115"/>
      <c r="I83" s="115"/>
      <c r="J83" s="115"/>
      <c r="K83" s="115"/>
      <c r="L83" s="115"/>
      <c r="M83" s="115"/>
      <c r="N83" s="115"/>
      <c r="O83" s="115"/>
      <c r="P83" s="1846"/>
      <c r="Q83" s="1283"/>
      <c r="R83" s="115"/>
      <c r="S83" s="115"/>
      <c r="T83" s="115"/>
      <c r="U83" s="115"/>
      <c r="V83" s="115"/>
      <c r="W83" s="115"/>
      <c r="X83" s="115"/>
      <c r="Y83" s="115"/>
      <c r="Z83" s="115"/>
      <c r="AA83" s="115"/>
      <c r="AB83" s="115"/>
      <c r="AC83" s="115"/>
      <c r="AD83" s="115"/>
      <c r="AE83" s="1846"/>
    </row>
    <row r="84" spans="1:31" ht="13.5" thickBot="1" x14ac:dyDescent="0.25">
      <c r="A84" s="1927" t="s">
        <v>3304</v>
      </c>
      <c r="B84" s="1603">
        <f>B74-B82</f>
        <v>-9523.3999999999942</v>
      </c>
      <c r="C84" s="1603">
        <f>C74-C82</f>
        <v>-3408.5</v>
      </c>
      <c r="D84" s="1603">
        <f t="shared" ref="D84:L84" si="165">D74-D82</f>
        <v>-4183.9999999999854</v>
      </c>
      <c r="E84" s="1603">
        <f t="shared" si="165"/>
        <v>8289.9999999999854</v>
      </c>
      <c r="F84" s="1603">
        <f t="shared" si="165"/>
        <v>-2161.5</v>
      </c>
      <c r="G84" s="1603">
        <f t="shared" si="165"/>
        <v>155.59999999999127</v>
      </c>
      <c r="H84" s="1603">
        <f t="shared" si="165"/>
        <v>434.90000000000873</v>
      </c>
      <c r="I84" s="1603">
        <f t="shared" si="165"/>
        <v>742</v>
      </c>
      <c r="J84" s="1603">
        <f t="shared" si="165"/>
        <v>1168.5</v>
      </c>
      <c r="K84" s="1603">
        <f t="shared" si="165"/>
        <v>1762.6999999999825</v>
      </c>
      <c r="L84" s="1603">
        <f t="shared" si="165"/>
        <v>2364.3000000000029</v>
      </c>
      <c r="M84" s="1603">
        <f t="shared" ref="M84:N84" si="166">M74-M82</f>
        <v>2660.8999999999942</v>
      </c>
      <c r="N84" s="1603">
        <f t="shared" si="166"/>
        <v>3819.3999999999942</v>
      </c>
      <c r="O84" s="1603">
        <f t="shared" ref="O84" si="167">O74-O82</f>
        <v>4817.5</v>
      </c>
      <c r="P84" s="1928">
        <f t="shared" ref="P84" si="168">P74-P82</f>
        <v>5781.6999999999971</v>
      </c>
      <c r="Q84" s="1823">
        <f>Q74-Q82</f>
        <v>-6624.6000000000058</v>
      </c>
      <c r="R84" s="1603">
        <f>R74-R82</f>
        <v>-2310.8999999999942</v>
      </c>
      <c r="S84" s="1603">
        <f t="shared" ref="S84:AA84" si="169">S74-S82</f>
        <v>-3610.0999999999985</v>
      </c>
      <c r="T84" s="1603">
        <f t="shared" si="169"/>
        <v>6844.5000000000073</v>
      </c>
      <c r="U84" s="1603">
        <f t="shared" si="169"/>
        <v>-3135.5999999999985</v>
      </c>
      <c r="V84" s="1603">
        <f t="shared" si="169"/>
        <v>-1492.9000000000015</v>
      </c>
      <c r="W84" s="1603">
        <f t="shared" si="169"/>
        <v>-1501.7000000000044</v>
      </c>
      <c r="X84" s="1603">
        <f t="shared" si="169"/>
        <v>-1568.8000000000102</v>
      </c>
      <c r="Y84" s="1603">
        <f t="shared" si="169"/>
        <v>-1571.8999999999942</v>
      </c>
      <c r="Z84" s="1603">
        <f t="shared" si="169"/>
        <v>-1187.3000000000102</v>
      </c>
      <c r="AA84" s="1603">
        <f t="shared" si="169"/>
        <v>-998.20000000000437</v>
      </c>
      <c r="AB84" s="1603">
        <f t="shared" ref="AB84:AC84" si="170">AB74-AB82</f>
        <v>-1091.6999999999971</v>
      </c>
      <c r="AC84" s="1603">
        <f t="shared" si="170"/>
        <v>-376.89999999999418</v>
      </c>
      <c r="AD84" s="1603">
        <f t="shared" ref="AD84" si="171">AD74-AD82</f>
        <v>48.200000000004366</v>
      </c>
      <c r="AE84" s="1928">
        <f t="shared" ref="AE84" si="172">AE74-AE82</f>
        <v>381.19999999999709</v>
      </c>
    </row>
    <row r="85" spans="1:31" x14ac:dyDescent="0.2">
      <c r="A85" s="1863"/>
      <c r="B85" s="1600"/>
      <c r="C85" s="1600"/>
      <c r="D85" s="1600"/>
      <c r="E85" s="1600"/>
      <c r="F85" s="1600"/>
      <c r="G85" s="1600"/>
      <c r="H85" s="1600"/>
      <c r="I85" s="1600"/>
      <c r="J85" s="1600"/>
      <c r="K85" s="1600"/>
      <c r="L85" s="1600"/>
      <c r="M85" s="1600"/>
      <c r="N85" s="1600"/>
      <c r="O85" s="1600"/>
      <c r="P85" s="1917"/>
      <c r="Q85" s="1842"/>
      <c r="R85" s="1250"/>
      <c r="S85" s="1250"/>
      <c r="T85" s="1250"/>
      <c r="U85" s="1250"/>
      <c r="V85" s="1250"/>
      <c r="W85" s="1250"/>
      <c r="X85" s="1250"/>
      <c r="Y85" s="1250"/>
      <c r="Z85" s="1250"/>
      <c r="AA85" s="1250"/>
      <c r="AB85" s="1250"/>
      <c r="AC85" s="1250"/>
      <c r="AD85" s="1250"/>
      <c r="AE85" s="1919"/>
    </row>
    <row r="86" spans="1:31" x14ac:dyDescent="0.2">
      <c r="A86" s="816" t="s">
        <v>3305</v>
      </c>
      <c r="B86" s="1250"/>
      <c r="C86" s="1250"/>
      <c r="D86" s="1250"/>
      <c r="E86" s="1250"/>
      <c r="F86" s="1250"/>
      <c r="G86" s="1250"/>
      <c r="H86" s="1250"/>
      <c r="I86" s="1250"/>
      <c r="J86" s="1250"/>
      <c r="K86" s="1250"/>
      <c r="L86" s="1250"/>
      <c r="M86" s="1250"/>
      <c r="N86" s="1250"/>
      <c r="O86" s="1250"/>
      <c r="P86" s="1919"/>
      <c r="Q86" s="1842"/>
      <c r="R86" s="1250"/>
      <c r="S86" s="1250"/>
      <c r="T86" s="1250"/>
      <c r="U86" s="1250"/>
      <c r="V86" s="1250"/>
      <c r="W86" s="1250"/>
      <c r="X86" s="1250"/>
      <c r="Y86" s="1250"/>
      <c r="Z86" s="1250"/>
      <c r="AA86" s="1250"/>
      <c r="AB86" s="1250"/>
      <c r="AC86" s="1250"/>
      <c r="AD86" s="1250"/>
      <c r="AE86" s="1919"/>
    </row>
    <row r="87" spans="1:31" s="573" customFormat="1" x14ac:dyDescent="0.2">
      <c r="A87" s="816" t="s">
        <v>1504</v>
      </c>
      <c r="B87" s="818">
        <f t="shared" ref="B87" si="173">SUM(B88:B90)</f>
        <v>-13552.7</v>
      </c>
      <c r="C87" s="818">
        <f t="shared" ref="C87:L87" si="174">SUM(C88:C90)</f>
        <v>-18453.699999999997</v>
      </c>
      <c r="D87" s="818">
        <f t="shared" si="174"/>
        <v>-4224.5</v>
      </c>
      <c r="E87" s="818">
        <f t="shared" si="174"/>
        <v>2286.5</v>
      </c>
      <c r="F87" s="818">
        <f t="shared" si="174"/>
        <v>-2161.5</v>
      </c>
      <c r="G87" s="818">
        <f t="shared" si="174"/>
        <v>155.59999999999991</v>
      </c>
      <c r="H87" s="818">
        <f t="shared" si="174"/>
        <v>434.89999999999986</v>
      </c>
      <c r="I87" s="818">
        <f t="shared" si="174"/>
        <v>742.00000000000023</v>
      </c>
      <c r="J87" s="818">
        <f t="shared" si="174"/>
        <v>1168.4999999999995</v>
      </c>
      <c r="K87" s="818">
        <f t="shared" si="174"/>
        <v>1762.7</v>
      </c>
      <c r="L87" s="818">
        <f t="shared" si="174"/>
        <v>2364.3000000000002</v>
      </c>
      <c r="M87" s="818">
        <f t="shared" ref="M87:N87" si="175">SUM(M88:M90)</f>
        <v>2660.8999999999996</v>
      </c>
      <c r="N87" s="818">
        <f t="shared" si="175"/>
        <v>3819.4</v>
      </c>
      <c r="O87" s="818">
        <f>SUM(O88:O90)</f>
        <v>4817.5</v>
      </c>
      <c r="P87" s="1925">
        <f>SUM(P88:P90)</f>
        <v>5781.7</v>
      </c>
      <c r="Q87" s="1125">
        <f>Q74</f>
        <v>46047.199999999997</v>
      </c>
      <c r="R87" s="31">
        <f>R74</f>
        <v>48629.9</v>
      </c>
      <c r="S87" s="31">
        <f t="shared" ref="S87:AB87" si="176">S74</f>
        <v>50716</v>
      </c>
      <c r="T87" s="31">
        <f t="shared" si="176"/>
        <v>56938</v>
      </c>
      <c r="U87" s="31">
        <f t="shared" si="176"/>
        <v>52698.400000000001</v>
      </c>
      <c r="V87" s="31">
        <f t="shared" si="176"/>
        <v>52761.9</v>
      </c>
      <c r="W87" s="31">
        <f t="shared" si="176"/>
        <v>54365.2</v>
      </c>
      <c r="X87" s="31">
        <f t="shared" si="176"/>
        <v>55349.499999999993</v>
      </c>
      <c r="Y87" s="31">
        <f t="shared" si="176"/>
        <v>56669</v>
      </c>
      <c r="Z87" s="31">
        <f t="shared" si="176"/>
        <v>58086.799999999996</v>
      </c>
      <c r="AA87" s="31">
        <f t="shared" si="176"/>
        <v>59733.1</v>
      </c>
      <c r="AB87" s="31">
        <f t="shared" si="176"/>
        <v>61244.3</v>
      </c>
      <c r="AC87" s="31">
        <f t="shared" ref="AC87:AD87" si="177">AC74</f>
        <v>62958.5</v>
      </c>
      <c r="AD87" s="31">
        <f t="shared" si="177"/>
        <v>64694.700000000004</v>
      </c>
      <c r="AE87" s="587">
        <f t="shared" ref="AE87" si="178">AE74</f>
        <v>66451.900000000009</v>
      </c>
    </row>
    <row r="88" spans="1:31" x14ac:dyDescent="0.2">
      <c r="A88" s="815" t="s">
        <v>1732</v>
      </c>
      <c r="B88" s="1602">
        <f t="shared" ref="B88:P88" si="179">AF26/1000</f>
        <v>-422.5</v>
      </c>
      <c r="C88" s="1602">
        <f t="shared" si="179"/>
        <v>75.5</v>
      </c>
      <c r="D88" s="1602">
        <f t="shared" si="179"/>
        <v>349.2</v>
      </c>
      <c r="E88" s="1602">
        <f t="shared" si="179"/>
        <v>1289.5</v>
      </c>
      <c r="F88" s="1602">
        <f t="shared" si="179"/>
        <v>553</v>
      </c>
      <c r="G88" s="1602">
        <f t="shared" si="179"/>
        <v>631.70000000000005</v>
      </c>
      <c r="H88" s="1602">
        <f t="shared" si="179"/>
        <v>588.79999999999995</v>
      </c>
      <c r="I88" s="1602">
        <f t="shared" si="179"/>
        <v>587.6</v>
      </c>
      <c r="J88" s="1602">
        <f t="shared" si="179"/>
        <v>634.79999999999995</v>
      </c>
      <c r="K88" s="1602">
        <f t="shared" si="179"/>
        <v>537.79999999999995</v>
      </c>
      <c r="L88" s="1602">
        <f t="shared" si="179"/>
        <v>566.5</v>
      </c>
      <c r="M88" s="1602">
        <f t="shared" si="179"/>
        <v>550.1</v>
      </c>
      <c r="N88" s="1602">
        <f t="shared" si="179"/>
        <v>544.29999999999995</v>
      </c>
      <c r="O88" s="1602">
        <f t="shared" si="179"/>
        <v>647</v>
      </c>
      <c r="P88" s="1922">
        <f t="shared" si="179"/>
        <v>801.4</v>
      </c>
      <c r="Q88" s="1283">
        <f>Q82</f>
        <v>52671.8</v>
      </c>
      <c r="R88" s="115">
        <f>R82</f>
        <v>50940.799999999996</v>
      </c>
      <c r="S88" s="115">
        <f t="shared" ref="S88:AB88" si="180">S82</f>
        <v>54326.1</v>
      </c>
      <c r="T88" s="115">
        <f t="shared" si="180"/>
        <v>50093.499999999993</v>
      </c>
      <c r="U88" s="115">
        <f t="shared" si="180"/>
        <v>55834</v>
      </c>
      <c r="V88" s="115">
        <f t="shared" si="180"/>
        <v>54254.8</v>
      </c>
      <c r="W88" s="115">
        <f t="shared" si="180"/>
        <v>55866.9</v>
      </c>
      <c r="X88" s="115">
        <f t="shared" si="180"/>
        <v>56918.3</v>
      </c>
      <c r="Y88" s="115">
        <f t="shared" si="180"/>
        <v>58240.899999999994</v>
      </c>
      <c r="Z88" s="115">
        <f t="shared" si="180"/>
        <v>59274.100000000006</v>
      </c>
      <c r="AA88" s="115">
        <f t="shared" si="180"/>
        <v>60731.3</v>
      </c>
      <c r="AB88" s="115">
        <f t="shared" si="180"/>
        <v>62336</v>
      </c>
      <c r="AC88" s="115">
        <f t="shared" ref="AC88:AD88" si="181">AC82</f>
        <v>63335.399999999994</v>
      </c>
      <c r="AD88" s="115">
        <f t="shared" si="181"/>
        <v>64646.5</v>
      </c>
      <c r="AE88" s="1846">
        <f t="shared" ref="AE88" si="182">AE82</f>
        <v>66070.700000000012</v>
      </c>
    </row>
    <row r="89" spans="1:31" x14ac:dyDescent="0.2">
      <c r="A89" s="815" t="s">
        <v>3289</v>
      </c>
      <c r="B89" s="1602">
        <f t="shared" ref="B89:P89" si="183">AU26/1000</f>
        <v>-2581.6</v>
      </c>
      <c r="C89" s="1602">
        <f t="shared" si="183"/>
        <v>-13391.3</v>
      </c>
      <c r="D89" s="1602">
        <f t="shared" si="183"/>
        <v>-963.6</v>
      </c>
      <c r="E89" s="1602">
        <f t="shared" si="183"/>
        <v>-246</v>
      </c>
      <c r="F89" s="1602">
        <f t="shared" si="183"/>
        <v>421.1</v>
      </c>
      <c r="G89" s="1602">
        <f t="shared" si="183"/>
        <v>1016.8</v>
      </c>
      <c r="H89" s="1602">
        <f t="shared" si="183"/>
        <v>1347.8</v>
      </c>
      <c r="I89" s="1602">
        <f t="shared" si="183"/>
        <v>1723.2</v>
      </c>
      <c r="J89" s="1602">
        <f t="shared" si="183"/>
        <v>2105.6</v>
      </c>
      <c r="K89" s="1602">
        <f t="shared" si="183"/>
        <v>2412.1999999999998</v>
      </c>
      <c r="L89" s="1602">
        <f t="shared" si="183"/>
        <v>2796</v>
      </c>
      <c r="M89" s="1602">
        <f t="shared" si="183"/>
        <v>3202.5</v>
      </c>
      <c r="N89" s="1602">
        <f t="shared" si="183"/>
        <v>3652</v>
      </c>
      <c r="O89" s="1602">
        <f t="shared" si="183"/>
        <v>4122.3</v>
      </c>
      <c r="P89" s="1922">
        <f t="shared" si="183"/>
        <v>4599.1000000000004</v>
      </c>
      <c r="Q89" s="1821">
        <f>Q84</f>
        <v>-6624.6000000000058</v>
      </c>
      <c r="R89" s="92">
        <f>R84</f>
        <v>-2310.8999999999942</v>
      </c>
      <c r="S89" s="92">
        <f t="shared" ref="S89:AB89" si="184">S84</f>
        <v>-3610.0999999999985</v>
      </c>
      <c r="T89" s="92">
        <f t="shared" si="184"/>
        <v>6844.5000000000073</v>
      </c>
      <c r="U89" s="92">
        <f t="shared" si="184"/>
        <v>-3135.5999999999985</v>
      </c>
      <c r="V89" s="92">
        <f t="shared" si="184"/>
        <v>-1492.9000000000015</v>
      </c>
      <c r="W89" s="92">
        <f t="shared" si="184"/>
        <v>-1501.7000000000044</v>
      </c>
      <c r="X89" s="92">
        <f t="shared" si="184"/>
        <v>-1568.8000000000102</v>
      </c>
      <c r="Y89" s="92">
        <f t="shared" si="184"/>
        <v>-1571.8999999999942</v>
      </c>
      <c r="Z89" s="92">
        <f t="shared" si="184"/>
        <v>-1187.3000000000102</v>
      </c>
      <c r="AA89" s="92">
        <f t="shared" si="184"/>
        <v>-998.20000000000437</v>
      </c>
      <c r="AB89" s="92">
        <f t="shared" si="184"/>
        <v>-1091.6999999999971</v>
      </c>
      <c r="AC89" s="92">
        <f t="shared" ref="AC89:AD89" si="185">AC84</f>
        <v>-376.89999999999418</v>
      </c>
      <c r="AD89" s="92">
        <f t="shared" si="185"/>
        <v>48.200000000004366</v>
      </c>
      <c r="AE89" s="1252">
        <f t="shared" ref="AE89" si="186">AE84</f>
        <v>381.19999999999709</v>
      </c>
    </row>
    <row r="90" spans="1:31" x14ac:dyDescent="0.2">
      <c r="A90" s="815" t="s">
        <v>2203</v>
      </c>
      <c r="B90" s="1602">
        <f t="shared" ref="B90:P90" si="187">Q26/1000</f>
        <v>-10548.6</v>
      </c>
      <c r="C90" s="1602">
        <f t="shared" si="187"/>
        <v>-5137.8999999999996</v>
      </c>
      <c r="D90" s="1602">
        <f t="shared" si="187"/>
        <v>-3610.1</v>
      </c>
      <c r="E90" s="1602">
        <f t="shared" si="187"/>
        <v>1243</v>
      </c>
      <c r="F90" s="1602">
        <f t="shared" si="187"/>
        <v>-3135.6</v>
      </c>
      <c r="G90" s="1602">
        <f t="shared" si="187"/>
        <v>-1492.9</v>
      </c>
      <c r="H90" s="1602">
        <f t="shared" si="187"/>
        <v>-1501.7</v>
      </c>
      <c r="I90" s="1602">
        <f t="shared" si="187"/>
        <v>-1568.8</v>
      </c>
      <c r="J90" s="1602">
        <f t="shared" si="187"/>
        <v>-1571.9</v>
      </c>
      <c r="K90" s="1602">
        <f t="shared" si="187"/>
        <v>-1187.3</v>
      </c>
      <c r="L90" s="1602">
        <f t="shared" si="187"/>
        <v>-998.2</v>
      </c>
      <c r="M90" s="1602">
        <f t="shared" si="187"/>
        <v>-1091.7</v>
      </c>
      <c r="N90" s="1602">
        <f t="shared" si="187"/>
        <v>-376.9</v>
      </c>
      <c r="O90" s="1602">
        <f t="shared" si="187"/>
        <v>48.2</v>
      </c>
      <c r="P90" s="1922">
        <f t="shared" si="187"/>
        <v>381.2</v>
      </c>
      <c r="Q90" s="1923"/>
      <c r="R90" s="1250"/>
      <c r="S90" s="1250"/>
      <c r="T90" s="1250"/>
      <c r="U90" s="1250"/>
      <c r="V90" s="1250"/>
      <c r="W90" s="1250"/>
      <c r="X90" s="1250"/>
      <c r="Y90" s="1250"/>
      <c r="Z90" s="1250"/>
      <c r="AA90" s="1250"/>
      <c r="AB90" s="1250"/>
      <c r="AC90" s="1250"/>
      <c r="AD90" s="1250"/>
      <c r="AE90" s="1919"/>
    </row>
    <row r="91" spans="1:31" s="573" customFormat="1" ht="13.5" thickBot="1" x14ac:dyDescent="0.25">
      <c r="A91" s="817"/>
      <c r="B91" s="1604"/>
      <c r="C91" s="1929"/>
      <c r="D91" s="1929"/>
      <c r="E91" s="1929"/>
      <c r="F91" s="1929"/>
      <c r="G91" s="1929"/>
      <c r="H91" s="1929"/>
      <c r="I91" s="1929"/>
      <c r="J91" s="1929"/>
      <c r="K91" s="1929"/>
      <c r="L91" s="1929"/>
      <c r="M91" s="1929"/>
      <c r="N91" s="1929"/>
      <c r="O91" s="1929"/>
      <c r="P91" s="1930"/>
      <c r="Q91" s="1931"/>
      <c r="R91" s="1604"/>
      <c r="S91" s="1604"/>
      <c r="T91" s="1604"/>
      <c r="U91" s="1604"/>
      <c r="V91" s="1604"/>
      <c r="W91" s="1604"/>
      <c r="X91" s="1604"/>
      <c r="Y91" s="1604"/>
      <c r="Z91" s="1604"/>
      <c r="AA91" s="1604"/>
      <c r="AB91" s="1604"/>
      <c r="AC91" s="1604"/>
      <c r="AD91" s="1604"/>
      <c r="AE91" s="1932"/>
    </row>
    <row r="92" spans="1:31" s="573" customFormat="1" ht="13.5" thickBot="1" x14ac:dyDescent="0.25">
      <c r="A92" s="542"/>
      <c r="B92" s="542"/>
      <c r="C92" s="818"/>
      <c r="D92" s="818"/>
      <c r="E92" s="818"/>
      <c r="F92" s="818"/>
      <c r="G92" s="818"/>
      <c r="H92" s="818"/>
      <c r="I92" s="818"/>
      <c r="J92" s="818"/>
      <c r="K92" s="818"/>
      <c r="L92" s="818"/>
      <c r="M92" s="818"/>
    </row>
    <row r="93" spans="1:31" s="573" customFormat="1" ht="36" x14ac:dyDescent="0.2">
      <c r="A93" s="2717" t="s">
        <v>3328</v>
      </c>
      <c r="B93" s="2719" t="s">
        <v>3314</v>
      </c>
      <c r="C93" s="2719" t="s">
        <v>3315</v>
      </c>
      <c r="D93" s="2719" t="s">
        <v>4757</v>
      </c>
      <c r="E93" s="818"/>
      <c r="G93" s="1684" t="s">
        <v>3314</v>
      </c>
      <c r="H93" s="2719" t="s">
        <v>3315</v>
      </c>
      <c r="I93" s="2719" t="s">
        <v>4757</v>
      </c>
      <c r="K93" s="1684" t="s">
        <v>3314</v>
      </c>
      <c r="L93" s="1684" t="s">
        <v>3315</v>
      </c>
      <c r="M93" s="1684" t="s">
        <v>4757</v>
      </c>
      <c r="N93" s="818"/>
      <c r="O93" s="818"/>
      <c r="P93" s="818"/>
      <c r="Q93" s="2719" t="s">
        <v>3314</v>
      </c>
      <c r="R93" s="2719" t="s">
        <v>3315</v>
      </c>
      <c r="S93" s="2719" t="s">
        <v>4757</v>
      </c>
    </row>
    <row r="94" spans="1:31" s="573" customFormat="1" ht="13.5" thickBot="1" x14ac:dyDescent="0.25">
      <c r="A94" s="2718"/>
      <c r="B94" s="2720"/>
      <c r="C94" s="2720"/>
      <c r="D94" s="2720"/>
      <c r="E94" s="818"/>
      <c r="G94" s="1685"/>
      <c r="H94" s="2720"/>
      <c r="I94" s="2720"/>
      <c r="K94" s="1685"/>
      <c r="L94" s="1685"/>
      <c r="M94" s="1685"/>
      <c r="N94" s="818"/>
      <c r="O94" s="818"/>
      <c r="P94" s="818"/>
      <c r="Q94" s="2720"/>
      <c r="R94" s="2720"/>
      <c r="S94" s="2720"/>
    </row>
    <row r="95" spans="1:31" s="573" customFormat="1" x14ac:dyDescent="0.2">
      <c r="A95" s="1924"/>
      <c r="B95" s="1933"/>
      <c r="C95" s="1933"/>
      <c r="D95" s="1605"/>
      <c r="E95" s="818"/>
      <c r="G95" s="1934"/>
      <c r="H95" s="1933"/>
      <c r="I95" s="1605"/>
      <c r="K95" s="1934"/>
      <c r="L95" s="1933"/>
      <c r="M95" s="1605"/>
      <c r="N95" s="818"/>
      <c r="O95" s="818"/>
      <c r="P95" s="818"/>
      <c r="Q95" s="1934"/>
      <c r="R95" s="1933"/>
      <c r="S95" s="1605"/>
    </row>
    <row r="96" spans="1:31" s="573" customFormat="1" x14ac:dyDescent="0.2">
      <c r="A96" s="1935" t="s">
        <v>3306</v>
      </c>
      <c r="B96" s="1606"/>
      <c r="C96" s="1606"/>
      <c r="D96" s="1606"/>
      <c r="E96" s="818"/>
      <c r="G96" s="1936"/>
      <c r="H96" s="1606"/>
      <c r="I96" s="1606"/>
      <c r="K96" s="1936"/>
      <c r="L96" s="1606"/>
      <c r="M96" s="1606"/>
      <c r="N96" s="818"/>
      <c r="O96" s="818"/>
      <c r="P96" s="818"/>
      <c r="Q96" s="1936"/>
      <c r="R96" s="1606"/>
      <c r="S96" s="1606"/>
    </row>
    <row r="97" spans="1:19" s="573" customFormat="1" x14ac:dyDescent="0.2">
      <c r="A97" s="1937" t="s">
        <v>214</v>
      </c>
      <c r="B97" s="1607">
        <f>SP!C61/1000</f>
        <v>450.2</v>
      </c>
      <c r="C97" s="1607">
        <f>SP!C80/1000</f>
        <v>1150.0999999999999</v>
      </c>
      <c r="D97" s="1607">
        <f t="shared" ref="D97:D102" si="188">B97-C97</f>
        <v>-699.89999999999986</v>
      </c>
      <c r="E97" s="818"/>
      <c r="G97" s="1938">
        <f>SP!D61/1000</f>
        <v>358.7</v>
      </c>
      <c r="H97" s="1607">
        <f>SP!D80/1000</f>
        <v>1205.0999999999999</v>
      </c>
      <c r="I97" s="1607">
        <f t="shared" ref="I97:I102" si="189">G97-H97</f>
        <v>-846.39999999999986</v>
      </c>
      <c r="K97" s="1938">
        <f>SP!E61/1000</f>
        <v>302.2</v>
      </c>
      <c r="L97" s="1607">
        <f>SP!E80/1000</f>
        <v>1263</v>
      </c>
      <c r="M97" s="1607">
        <f>K97-L97</f>
        <v>-960.8</v>
      </c>
      <c r="N97" s="818"/>
      <c r="O97" s="818"/>
      <c r="P97" s="818"/>
      <c r="Q97" s="1938">
        <f>SP!H61/1000</f>
        <v>206.9</v>
      </c>
      <c r="R97" s="1607">
        <f>SP!H80/1000</f>
        <v>1412.5</v>
      </c>
      <c r="S97" s="1607">
        <f t="shared" ref="S97:S102" si="190">Q97-R97</f>
        <v>-1205.5999999999999</v>
      </c>
    </row>
    <row r="98" spans="1:19" s="573" customFormat="1" x14ac:dyDescent="0.2">
      <c r="A98" s="1937" t="s">
        <v>550</v>
      </c>
      <c r="B98" s="1607">
        <f>SP!C115/1000</f>
        <v>489.4</v>
      </c>
      <c r="C98" s="1607">
        <f>SP!C139/1000</f>
        <v>2107.1999999999998</v>
      </c>
      <c r="D98" s="1607">
        <f t="shared" si="188"/>
        <v>-1617.7999999999997</v>
      </c>
      <c r="E98" s="818"/>
      <c r="G98" s="1938">
        <f>SP!D115/1000</f>
        <v>520.4</v>
      </c>
      <c r="H98" s="1607">
        <f>SP!D139/1000</f>
        <v>2177.6999999999998</v>
      </c>
      <c r="I98" s="1607">
        <f t="shared" si="189"/>
        <v>-1657.2999999999997</v>
      </c>
      <c r="K98" s="1938">
        <f>SP!E115/1000</f>
        <v>552.29999999999995</v>
      </c>
      <c r="L98" s="1607">
        <f>SP!E139/1000</f>
        <v>2274.1</v>
      </c>
      <c r="M98" s="1607">
        <f t="shared" ref="M98:M102" si="191">K98-L98</f>
        <v>-1721.8</v>
      </c>
      <c r="N98" s="818"/>
      <c r="O98" s="818"/>
      <c r="P98" s="818"/>
      <c r="Q98" s="1938">
        <f>SP!H115/1000</f>
        <v>569.6</v>
      </c>
      <c r="R98" s="1607">
        <f>SP!H139/1000</f>
        <v>2323.4</v>
      </c>
      <c r="S98" s="1607">
        <f t="shared" si="190"/>
        <v>-1753.8000000000002</v>
      </c>
    </row>
    <row r="99" spans="1:19" s="573" customFormat="1" x14ac:dyDescent="0.2">
      <c r="A99" s="1937" t="s">
        <v>3484</v>
      </c>
      <c r="B99" s="1607">
        <f>SP!C176/1000</f>
        <v>136.30000000000001</v>
      </c>
      <c r="C99" s="1607">
        <f>SP!C192/1000</f>
        <v>1549.9</v>
      </c>
      <c r="D99" s="1607">
        <f t="shared" si="188"/>
        <v>-1413.6000000000001</v>
      </c>
      <c r="E99" s="818"/>
      <c r="G99" s="1938">
        <f>SP!D176/1000</f>
        <v>111.9</v>
      </c>
      <c r="H99" s="1607">
        <f>SP!D192/1000</f>
        <v>1571</v>
      </c>
      <c r="I99" s="1607">
        <f t="shared" si="189"/>
        <v>-1459.1</v>
      </c>
      <c r="K99" s="1938">
        <f>SP!E176/1000</f>
        <v>118.3</v>
      </c>
      <c r="L99" s="1607">
        <f>SP!E192/1000</f>
        <v>1628.1</v>
      </c>
      <c r="M99" s="1607">
        <f t="shared" si="191"/>
        <v>-1509.8</v>
      </c>
      <c r="N99" s="1939"/>
      <c r="O99" s="1939"/>
      <c r="P99" s="1939"/>
      <c r="Q99" s="1938">
        <f>SP!H176/1000</f>
        <v>78</v>
      </c>
      <c r="R99" s="1607">
        <f>SP!H192/1000</f>
        <v>1598.2</v>
      </c>
      <c r="S99" s="1607">
        <f t="shared" si="190"/>
        <v>-1520.2</v>
      </c>
    </row>
    <row r="100" spans="1:19" s="573" customFormat="1" x14ac:dyDescent="0.2">
      <c r="A100" s="1937" t="s">
        <v>384</v>
      </c>
      <c r="B100" s="1607">
        <f>SP!C222/1000</f>
        <v>354.1</v>
      </c>
      <c r="C100" s="1607">
        <f>SP!C243/1000</f>
        <v>822.1</v>
      </c>
      <c r="D100" s="1607">
        <f t="shared" si="188"/>
        <v>-468</v>
      </c>
      <c r="E100" s="818"/>
      <c r="G100" s="1938">
        <f>SP!D222/1000</f>
        <v>407.3</v>
      </c>
      <c r="H100" s="1607">
        <f>SP!D243/1000</f>
        <v>792.8</v>
      </c>
      <c r="I100" s="1607">
        <f t="shared" si="189"/>
        <v>-385.49999999999994</v>
      </c>
      <c r="K100" s="1938">
        <f>SP!E222/1000</f>
        <v>435.4</v>
      </c>
      <c r="L100" s="1607">
        <f>SP!E243/1000</f>
        <v>772.4</v>
      </c>
      <c r="M100" s="1607">
        <f t="shared" si="191"/>
        <v>-337</v>
      </c>
      <c r="N100" s="1939"/>
      <c r="O100" s="1939"/>
      <c r="P100" s="1939"/>
      <c r="Q100" s="1938">
        <f>SP!H222/1000</f>
        <v>388</v>
      </c>
      <c r="R100" s="1607">
        <f>SP!H243/1000</f>
        <v>1386.2</v>
      </c>
      <c r="S100" s="1607">
        <f t="shared" si="190"/>
        <v>-998.2</v>
      </c>
    </row>
    <row r="101" spans="1:19" s="573" customFormat="1" x14ac:dyDescent="0.2">
      <c r="A101" s="1937" t="s">
        <v>3246</v>
      </c>
      <c r="B101" s="1607">
        <f>SP!C798/1000</f>
        <v>139.69999999999999</v>
      </c>
      <c r="C101" s="1607">
        <f>SP!C833/1000</f>
        <v>532.4</v>
      </c>
      <c r="D101" s="1607">
        <f t="shared" si="188"/>
        <v>-392.7</v>
      </c>
      <c r="E101" s="818"/>
      <c r="G101" s="1938">
        <f>SP!D798/1000</f>
        <v>141.6</v>
      </c>
      <c r="H101" s="1607">
        <f>SP!D833/1000</f>
        <v>590.70000000000005</v>
      </c>
      <c r="I101" s="1607">
        <f t="shared" si="189"/>
        <v>-449.1</v>
      </c>
      <c r="K101" s="1938">
        <f>SP!E798/1000</f>
        <v>108.3</v>
      </c>
      <c r="L101" s="1607">
        <f>SP!E833/1000</f>
        <v>610.79999999999995</v>
      </c>
      <c r="M101" s="1607">
        <f t="shared" si="191"/>
        <v>-502.49999999999994</v>
      </c>
      <c r="N101" s="1939"/>
      <c r="O101" s="1939"/>
      <c r="P101" s="1939"/>
      <c r="Q101" s="1938">
        <f>SP!H798/1000</f>
        <v>60.7</v>
      </c>
      <c r="R101" s="1607">
        <f>SP!H833/1000</f>
        <v>509.7</v>
      </c>
      <c r="S101" s="1607">
        <f t="shared" si="190"/>
        <v>-449</v>
      </c>
    </row>
    <row r="102" spans="1:19" s="573" customFormat="1" x14ac:dyDescent="0.2">
      <c r="A102" s="1940" t="s">
        <v>752</v>
      </c>
      <c r="B102" s="1608">
        <f>SUM(B97:B101)</f>
        <v>1569.7</v>
      </c>
      <c r="C102" s="1608">
        <f>SUM(C97:C101)</f>
        <v>6161.7</v>
      </c>
      <c r="D102" s="1608">
        <f t="shared" si="188"/>
        <v>-4592</v>
      </c>
      <c r="E102" s="818"/>
      <c r="G102" s="1941">
        <f>SUM(G97:G101)</f>
        <v>1539.8999999999999</v>
      </c>
      <c r="H102" s="1608">
        <f>SUM(H97:H101)</f>
        <v>6337.2999999999993</v>
      </c>
      <c r="I102" s="1608">
        <f t="shared" si="189"/>
        <v>-4797.3999999999996</v>
      </c>
      <c r="K102" s="1941">
        <f>SUM(K97:K101)</f>
        <v>1516.4999999999998</v>
      </c>
      <c r="L102" s="1608">
        <f>SUM(L97:L101)</f>
        <v>6548.4</v>
      </c>
      <c r="M102" s="1608">
        <f t="shared" si="191"/>
        <v>-5031.8999999999996</v>
      </c>
      <c r="N102" s="1939"/>
      <c r="O102" s="1939"/>
      <c r="P102" s="1939"/>
      <c r="Q102" s="1941">
        <f>SUM(Q97:Q101)</f>
        <v>1303.2</v>
      </c>
      <c r="R102" s="1608">
        <f>SUM(R97:R101)</f>
        <v>7230</v>
      </c>
      <c r="S102" s="1608">
        <f t="shared" si="190"/>
        <v>-5926.8</v>
      </c>
    </row>
    <row r="103" spans="1:19" s="573" customFormat="1" x14ac:dyDescent="0.2">
      <c r="A103" s="1937"/>
      <c r="B103" s="1609"/>
      <c r="C103" s="1609"/>
      <c r="D103" s="1609"/>
      <c r="E103" s="818"/>
      <c r="G103" s="1942"/>
      <c r="H103" s="1609"/>
      <c r="I103" s="1609"/>
      <c r="K103" s="1942"/>
      <c r="L103" s="1609"/>
      <c r="M103" s="1609"/>
      <c r="N103" s="1939"/>
      <c r="O103" s="1939"/>
      <c r="P103" s="1939"/>
      <c r="Q103" s="1942"/>
      <c r="R103" s="1609"/>
      <c r="S103" s="1609"/>
    </row>
    <row r="104" spans="1:19" s="573" customFormat="1" x14ac:dyDescent="0.2">
      <c r="A104" s="1935" t="s">
        <v>3307</v>
      </c>
      <c r="B104" s="1609"/>
      <c r="C104" s="1609"/>
      <c r="D104" s="1609"/>
      <c r="E104" s="818"/>
      <c r="G104" s="1942"/>
      <c r="H104" s="1609"/>
      <c r="I104" s="1609"/>
      <c r="K104" s="1942"/>
      <c r="L104" s="1609"/>
      <c r="M104" s="1609"/>
      <c r="N104" s="1939"/>
      <c r="O104" s="1939"/>
      <c r="P104" s="1939"/>
      <c r="Q104" s="1942"/>
      <c r="R104" s="1609"/>
      <c r="S104" s="1609"/>
    </row>
    <row r="105" spans="1:19" s="573" customFormat="1" x14ac:dyDescent="0.2">
      <c r="A105" s="1937" t="s">
        <v>1238</v>
      </c>
      <c r="B105" s="1607">
        <f>DEH!C56/1000</f>
        <v>342.8</v>
      </c>
      <c r="C105" s="1607">
        <f>DEH!C64/1000</f>
        <v>1277.9000000000001</v>
      </c>
      <c r="D105" s="1607">
        <f>B105-C105</f>
        <v>-935.10000000000014</v>
      </c>
      <c r="E105" s="818"/>
      <c r="G105" s="1938">
        <f>DEH!D56/1000</f>
        <v>642</v>
      </c>
      <c r="H105" s="1607">
        <f>DEH!D64/1000</f>
        <v>1303.3</v>
      </c>
      <c r="I105" s="1607">
        <f>G105-H105</f>
        <v>-661.3</v>
      </c>
      <c r="K105" s="1938">
        <f>DEH!E56/1000</f>
        <v>801.1</v>
      </c>
      <c r="L105" s="1607">
        <f>DEH!E64/1000</f>
        <v>1889.6</v>
      </c>
      <c r="M105" s="1607">
        <f t="shared" ref="M105:M109" si="192">K105-L105</f>
        <v>-1088.5</v>
      </c>
      <c r="N105" s="1939"/>
      <c r="O105" s="1939"/>
      <c r="P105" s="1939"/>
      <c r="Q105" s="1938">
        <f>DEH!H56/1000</f>
        <v>798.9</v>
      </c>
      <c r="R105" s="1607">
        <f>DEH!H64/1000</f>
        <v>1727.5</v>
      </c>
      <c r="S105" s="1607">
        <f>Q105-R105</f>
        <v>-928.6</v>
      </c>
    </row>
    <row r="106" spans="1:19" s="573" customFormat="1" x14ac:dyDescent="0.2">
      <c r="A106" s="1937" t="s">
        <v>2650</v>
      </c>
      <c r="B106" s="1607">
        <f>DEH!C91/1000</f>
        <v>1144</v>
      </c>
      <c r="C106" s="1607">
        <f>DEH!C99/1000</f>
        <v>926.9</v>
      </c>
      <c r="D106" s="1607">
        <f>B106-C106</f>
        <v>217.10000000000002</v>
      </c>
      <c r="E106" s="818"/>
      <c r="G106" s="1938">
        <f>DEH!D91/1000</f>
        <v>1387.4</v>
      </c>
      <c r="H106" s="1607">
        <f>DEH!D99/1000</f>
        <v>1070.5999999999999</v>
      </c>
      <c r="I106" s="1607">
        <f>G106-H106</f>
        <v>316.80000000000018</v>
      </c>
      <c r="K106" s="1938">
        <f>DEH!E91/1000</f>
        <v>1479.8</v>
      </c>
      <c r="L106" s="1607">
        <f>DEH!E99/1000</f>
        <v>1115.0999999999999</v>
      </c>
      <c r="M106" s="1607">
        <f t="shared" si="192"/>
        <v>364.70000000000005</v>
      </c>
      <c r="N106" s="1939"/>
      <c r="O106" s="1939"/>
      <c r="P106" s="1939"/>
      <c r="Q106" s="1938">
        <f>DEH!H91/1000</f>
        <v>1360.6</v>
      </c>
      <c r="R106" s="1607">
        <f>DEH!H99/1000</f>
        <v>1173.5</v>
      </c>
      <c r="S106" s="1607">
        <f>Q106-R106</f>
        <v>187.09999999999991</v>
      </c>
    </row>
    <row r="107" spans="1:19" s="573" customFormat="1" x14ac:dyDescent="0.2">
      <c r="A107" s="1937" t="s">
        <v>3308</v>
      </c>
      <c r="B107" s="1607">
        <f>DEH!C131/1000</f>
        <v>238.1</v>
      </c>
      <c r="C107" s="1607">
        <f>DEH!C150/1000</f>
        <v>763.4</v>
      </c>
      <c r="D107" s="1607">
        <f>B107-C107</f>
        <v>-525.29999999999995</v>
      </c>
      <c r="E107" s="818"/>
      <c r="G107" s="1938">
        <f>DEH!D131/1000</f>
        <v>262.39999999999998</v>
      </c>
      <c r="H107" s="1607">
        <f>DEH!D150/1000</f>
        <v>956.7</v>
      </c>
      <c r="I107" s="1607">
        <f>G107-H107</f>
        <v>-694.30000000000007</v>
      </c>
      <c r="K107" s="1938">
        <f>DEH!E131/1000</f>
        <v>272.7</v>
      </c>
      <c r="L107" s="1607">
        <f>DEH!E150/1000</f>
        <v>1110.3</v>
      </c>
      <c r="M107" s="1607">
        <f t="shared" si="192"/>
        <v>-837.59999999999991</v>
      </c>
      <c r="N107" s="80"/>
      <c r="O107" s="2226"/>
      <c r="P107" s="2226"/>
      <c r="Q107" s="1938">
        <f>DEH!H131/1000</f>
        <v>393.5</v>
      </c>
      <c r="R107" s="1607">
        <f>DEH!H150/1000</f>
        <v>1688.4</v>
      </c>
      <c r="S107" s="1607">
        <f>Q107-R107</f>
        <v>-1294.9000000000001</v>
      </c>
    </row>
    <row r="108" spans="1:19" s="573" customFormat="1" x14ac:dyDescent="0.2">
      <c r="A108" s="1937" t="s">
        <v>2661</v>
      </c>
      <c r="B108" s="1607">
        <f>DEH!C180/1000</f>
        <v>313.89999999999998</v>
      </c>
      <c r="C108" s="1607">
        <f>DEH!C194/1000</f>
        <v>524.1</v>
      </c>
      <c r="D108" s="1607">
        <f>B108-C108</f>
        <v>-210.20000000000005</v>
      </c>
      <c r="E108" s="818"/>
      <c r="G108" s="1938">
        <f>DEH!D180/1000</f>
        <v>233.1</v>
      </c>
      <c r="H108" s="1607">
        <f>DEH!D194/1000</f>
        <v>547.20000000000005</v>
      </c>
      <c r="I108" s="1607">
        <f>G108-H108</f>
        <v>-314.10000000000002</v>
      </c>
      <c r="K108" s="1938">
        <f>DEH!E180/1000</f>
        <v>183.3</v>
      </c>
      <c r="L108" s="1607">
        <f>DEH!E194/1000</f>
        <v>572.29999999999995</v>
      </c>
      <c r="M108" s="1607">
        <f t="shared" si="192"/>
        <v>-388.99999999999994</v>
      </c>
      <c r="N108" s="1939"/>
      <c r="O108" s="1939"/>
      <c r="P108" s="1939"/>
      <c r="Q108" s="1938">
        <f>DEH!H180/1000</f>
        <v>230</v>
      </c>
      <c r="R108" s="1607">
        <f>DEH!H194/1000</f>
        <v>561.70000000000005</v>
      </c>
      <c r="S108" s="1607">
        <f>Q108-R108</f>
        <v>-331.70000000000005</v>
      </c>
    </row>
    <row r="109" spans="1:19" s="573" customFormat="1" x14ac:dyDescent="0.2">
      <c r="A109" s="1940" t="s">
        <v>752</v>
      </c>
      <c r="B109" s="1608">
        <f>SUM(B105:B108)</f>
        <v>2038.7999999999997</v>
      </c>
      <c r="C109" s="1608">
        <f>SUM(C105:C108)</f>
        <v>3492.3</v>
      </c>
      <c r="D109" s="1608">
        <f>B109-C109</f>
        <v>-1453.5000000000005</v>
      </c>
      <c r="E109" s="818"/>
      <c r="G109" s="1941">
        <f>SUM(G105:G108)</f>
        <v>2524.9</v>
      </c>
      <c r="H109" s="1608">
        <f>SUM(H105:H108)</f>
        <v>3877.7999999999993</v>
      </c>
      <c r="I109" s="1608">
        <f>G109-H109</f>
        <v>-1352.8999999999992</v>
      </c>
      <c r="K109" s="1941">
        <f>SUM(K105:K108)</f>
        <v>2736.9</v>
      </c>
      <c r="L109" s="1608">
        <f>SUM(L105:L108)</f>
        <v>4687.3</v>
      </c>
      <c r="M109" s="1608">
        <f t="shared" si="192"/>
        <v>-1950.4</v>
      </c>
      <c r="N109" s="1939"/>
      <c r="O109" s="1939"/>
      <c r="P109" s="1939"/>
      <c r="Q109" s="1941">
        <f>SUM(Q105:Q108)</f>
        <v>2783</v>
      </c>
      <c r="R109" s="1608">
        <f>SUM(R105:R108)</f>
        <v>5151.0999999999995</v>
      </c>
      <c r="S109" s="1608">
        <f>Q109-R109</f>
        <v>-2368.0999999999995</v>
      </c>
    </row>
    <row r="110" spans="1:19" s="573" customFormat="1" x14ac:dyDescent="0.2">
      <c r="A110" s="1937"/>
      <c r="B110" s="1609"/>
      <c r="C110" s="1609"/>
      <c r="D110" s="1609"/>
      <c r="E110" s="818"/>
      <c r="G110" s="1942"/>
      <c r="H110" s="1609"/>
      <c r="I110" s="1609"/>
      <c r="K110" s="1942"/>
      <c r="L110" s="1609"/>
      <c r="M110" s="1609"/>
      <c r="N110" s="1939"/>
      <c r="O110" s="1939"/>
      <c r="P110" s="1939"/>
      <c r="Q110" s="1942"/>
      <c r="R110" s="1609"/>
      <c r="S110" s="1609"/>
    </row>
    <row r="111" spans="1:19" s="573" customFormat="1" x14ac:dyDescent="0.2">
      <c r="A111" s="1935" t="s">
        <v>299</v>
      </c>
      <c r="B111" s="1609"/>
      <c r="C111" s="1609"/>
      <c r="D111" s="1609"/>
      <c r="E111" s="818"/>
      <c r="G111" s="1942"/>
      <c r="H111" s="1609"/>
      <c r="I111" s="1609"/>
      <c r="K111" s="1942"/>
      <c r="L111" s="1609"/>
      <c r="M111" s="1609"/>
      <c r="N111" s="1939"/>
      <c r="O111" s="1939"/>
      <c r="P111" s="1939"/>
      <c r="Q111" s="1942"/>
      <c r="R111" s="1609"/>
      <c r="S111" s="1609"/>
    </row>
    <row r="112" spans="1:19" s="573" customFormat="1" x14ac:dyDescent="0.2">
      <c r="A112" s="1937" t="s">
        <v>563</v>
      </c>
      <c r="B112" s="1607">
        <f>CIV!C81/1000</f>
        <v>321.8</v>
      </c>
      <c r="C112" s="1607">
        <f>CIV!C105/1000</f>
        <v>2505.1</v>
      </c>
      <c r="D112" s="1607">
        <f t="shared" ref="D112:D124" si="193">B112-C112</f>
        <v>-2183.2999999999997</v>
      </c>
      <c r="E112" s="818"/>
      <c r="G112" s="1938">
        <f>CIV!D81/1000</f>
        <v>254.4</v>
      </c>
      <c r="H112" s="1607">
        <f>CIV!D105/1000</f>
        <v>2621.9</v>
      </c>
      <c r="I112" s="1607">
        <f t="shared" ref="I112:I124" si="194">G112-H112</f>
        <v>-2367.5</v>
      </c>
      <c r="K112" s="1938">
        <f>CIV!E81/1000</f>
        <v>408.6</v>
      </c>
      <c r="L112" s="1607">
        <f>CIV!E105/1000</f>
        <v>2655.9</v>
      </c>
      <c r="M112" s="1607">
        <f t="shared" ref="M112:M124" si="195">K112-L112</f>
        <v>-2247.3000000000002</v>
      </c>
      <c r="N112" s="65"/>
      <c r="O112" s="65"/>
      <c r="P112" s="65"/>
      <c r="Q112" s="1938">
        <f>CIV!H81/1000</f>
        <v>295.60000000000002</v>
      </c>
      <c r="R112" s="1607">
        <f>CIV!H105/1000</f>
        <v>2603.8000000000002</v>
      </c>
      <c r="S112" s="1607">
        <f t="shared" ref="S112:S124" si="196">Q112-R112</f>
        <v>-2308.2000000000003</v>
      </c>
    </row>
    <row r="113" spans="1:19" s="573" customFormat="1" x14ac:dyDescent="0.2">
      <c r="A113" s="1937" t="s">
        <v>3788</v>
      </c>
      <c r="B113" s="1607">
        <f>CIV!C132/1000</f>
        <v>0</v>
      </c>
      <c r="C113" s="1607">
        <f>CIV!C164/1000</f>
        <v>3726.4</v>
      </c>
      <c r="D113" s="1607">
        <f t="shared" si="193"/>
        <v>-3726.4</v>
      </c>
      <c r="E113" s="818"/>
      <c r="G113" s="1938">
        <f>CIV!D132/1000</f>
        <v>0</v>
      </c>
      <c r="H113" s="1607">
        <f>CIV!D164/1000</f>
        <v>3713.2</v>
      </c>
      <c r="I113" s="1607">
        <f t="shared" si="194"/>
        <v>-3713.2</v>
      </c>
      <c r="K113" s="1938">
        <f>CIV!E132/1000</f>
        <v>0</v>
      </c>
      <c r="L113" s="1607">
        <f>CIV!E164/1000</f>
        <v>3414.8</v>
      </c>
      <c r="M113" s="1607">
        <f t="shared" si="195"/>
        <v>-3414.8</v>
      </c>
      <c r="N113" s="818"/>
      <c r="O113" s="818"/>
      <c r="P113" s="818"/>
      <c r="Q113" s="1938">
        <f>CIV!H132/1000</f>
        <v>0</v>
      </c>
      <c r="R113" s="1607">
        <f>CIV!H164/1000</f>
        <v>3662.1</v>
      </c>
      <c r="S113" s="1607">
        <f t="shared" si="196"/>
        <v>-3662.1</v>
      </c>
    </row>
    <row r="114" spans="1:19" s="573" customFormat="1" x14ac:dyDescent="0.2">
      <c r="A114" s="1937" t="s">
        <v>1241</v>
      </c>
      <c r="B114" s="1607">
        <f>CIV!C196/1000</f>
        <v>291.7</v>
      </c>
      <c r="C114" s="1607">
        <f>CIV!C218/1000</f>
        <v>2343.1999999999998</v>
      </c>
      <c r="D114" s="1607">
        <f t="shared" si="193"/>
        <v>-2051.5</v>
      </c>
      <c r="E114" s="818"/>
      <c r="G114" s="1938">
        <f>CIV!D196/1000</f>
        <v>374.6</v>
      </c>
      <c r="H114" s="1607">
        <f>CIV!D218/1000</f>
        <v>2213.9</v>
      </c>
      <c r="I114" s="1607">
        <f t="shared" si="194"/>
        <v>-1839.3000000000002</v>
      </c>
      <c r="K114" s="1938">
        <f>CIV!E196/1000</f>
        <v>554</v>
      </c>
      <c r="L114" s="1607">
        <f>CIV!E218/1000</f>
        <v>2033.8</v>
      </c>
      <c r="M114" s="1607">
        <f t="shared" si="195"/>
        <v>-1479.8</v>
      </c>
      <c r="N114" s="818"/>
      <c r="O114" s="818"/>
      <c r="P114" s="818"/>
      <c r="Q114" s="1938">
        <f>CIV!H196/1000</f>
        <v>531</v>
      </c>
      <c r="R114" s="1607">
        <f>CIV!H218/1000</f>
        <v>2469.9</v>
      </c>
      <c r="S114" s="1607">
        <f t="shared" si="196"/>
        <v>-1938.9</v>
      </c>
    </row>
    <row r="115" spans="1:19" s="573" customFormat="1" x14ac:dyDescent="0.2">
      <c r="A115" s="1937" t="s">
        <v>717</v>
      </c>
      <c r="B115" s="1607">
        <f>CIV!C254/1000</f>
        <v>413.8</v>
      </c>
      <c r="C115" s="1607">
        <f>CIV!C274/1000</f>
        <v>12830.1</v>
      </c>
      <c r="D115" s="1607">
        <f t="shared" si="193"/>
        <v>-12416.300000000001</v>
      </c>
      <c r="E115" s="818"/>
      <c r="G115" s="1938">
        <f>CIV!D254/1000</f>
        <v>350.5</v>
      </c>
      <c r="H115" s="1607">
        <f>CIV!D274/1000</f>
        <v>9730.2999999999993</v>
      </c>
      <c r="I115" s="1607">
        <f t="shared" si="194"/>
        <v>-9379.7999999999993</v>
      </c>
      <c r="K115" s="1938">
        <f>CIV!E254/1000</f>
        <v>1636.9</v>
      </c>
      <c r="L115" s="1607">
        <f>CIV!E274/1000</f>
        <v>11869.9</v>
      </c>
      <c r="M115" s="1607">
        <f t="shared" si="195"/>
        <v>-10233</v>
      </c>
      <c r="N115" s="818"/>
      <c r="O115" s="818"/>
      <c r="P115" s="818"/>
      <c r="Q115" s="1938">
        <f>CIV!H254/1000</f>
        <v>947.5</v>
      </c>
      <c r="R115" s="1607">
        <f>CIV!H274/1000</f>
        <v>8419.6</v>
      </c>
      <c r="S115" s="1607">
        <f t="shared" si="196"/>
        <v>-7472.1</v>
      </c>
    </row>
    <row r="116" spans="1:19" s="573" customFormat="1" x14ac:dyDescent="0.2">
      <c r="A116" s="1937" t="s">
        <v>1160</v>
      </c>
      <c r="B116" s="1607">
        <f>CIV!C314/1000</f>
        <v>896.5</v>
      </c>
      <c r="C116" s="1607">
        <f>CIV!C340/1000</f>
        <v>2286.8000000000002</v>
      </c>
      <c r="D116" s="1607">
        <f t="shared" si="193"/>
        <v>-1390.3000000000002</v>
      </c>
      <c r="E116" s="818"/>
      <c r="G116" s="1938">
        <f>CIV!D314/1000</f>
        <v>1375.2</v>
      </c>
      <c r="H116" s="1607">
        <f>CIV!D340/1000</f>
        <v>2871.4</v>
      </c>
      <c r="I116" s="1607">
        <f t="shared" si="194"/>
        <v>-1496.2</v>
      </c>
      <c r="K116" s="1938">
        <f>CIV!E314/1000</f>
        <v>967.8</v>
      </c>
      <c r="L116" s="1607">
        <f>CIV!E340/1000</f>
        <v>2384.3000000000002</v>
      </c>
      <c r="M116" s="1607">
        <f t="shared" si="195"/>
        <v>-1416.5000000000002</v>
      </c>
      <c r="N116" s="818"/>
      <c r="O116" s="818"/>
      <c r="P116" s="818"/>
      <c r="Q116" s="1938">
        <f>CIV!H314/1000</f>
        <v>808.1</v>
      </c>
      <c r="R116" s="1607">
        <f>CIV!H340/1000</f>
        <v>2321</v>
      </c>
      <c r="S116" s="1607">
        <f t="shared" si="196"/>
        <v>-1512.9</v>
      </c>
    </row>
    <row r="117" spans="1:19" s="573" customFormat="1" x14ac:dyDescent="0.2">
      <c r="A117" s="1937" t="s">
        <v>3043</v>
      </c>
      <c r="B117" s="1607">
        <f>CIV!C371/1000</f>
        <v>866.5</v>
      </c>
      <c r="C117" s="1607">
        <f>CIV!C379/1000</f>
        <v>669.2</v>
      </c>
      <c r="D117" s="1607">
        <f t="shared" si="193"/>
        <v>197.29999999999995</v>
      </c>
      <c r="E117" s="818"/>
      <c r="G117" s="1938">
        <f>CIV!D371/1000</f>
        <v>876</v>
      </c>
      <c r="H117" s="1607">
        <f>CIV!D379/1000</f>
        <v>770</v>
      </c>
      <c r="I117" s="1607">
        <f t="shared" si="194"/>
        <v>106</v>
      </c>
      <c r="K117" s="1938">
        <f>CIV!E371/1000</f>
        <v>1003.2</v>
      </c>
      <c r="L117" s="1607">
        <f>CIV!E379/1000</f>
        <v>915.1</v>
      </c>
      <c r="M117" s="1607">
        <f t="shared" si="195"/>
        <v>88.100000000000023</v>
      </c>
      <c r="N117" s="818"/>
      <c r="O117" s="818"/>
      <c r="P117" s="818"/>
      <c r="Q117" s="1938">
        <f>CIV!H371/1000</f>
        <v>746</v>
      </c>
      <c r="R117" s="1607">
        <f>CIV!H379/1000</f>
        <v>586</v>
      </c>
      <c r="S117" s="1607">
        <f t="shared" si="196"/>
        <v>160</v>
      </c>
    </row>
    <row r="118" spans="1:19" s="573" customFormat="1" x14ac:dyDescent="0.2">
      <c r="A118" s="1937" t="s">
        <v>278</v>
      </c>
      <c r="B118" s="1607">
        <f>CIV!C418/1000</f>
        <v>963.1</v>
      </c>
      <c r="C118" s="1607">
        <f>CIV!C451/1000</f>
        <v>3448.9</v>
      </c>
      <c r="D118" s="1607">
        <f t="shared" si="193"/>
        <v>-2485.8000000000002</v>
      </c>
      <c r="E118" s="818"/>
      <c r="G118" s="1938">
        <f>CIV!D418/1000</f>
        <v>1049.5999999999999</v>
      </c>
      <c r="H118" s="1607">
        <f>CIV!D451/1000</f>
        <v>3699.5</v>
      </c>
      <c r="I118" s="1607">
        <f t="shared" si="194"/>
        <v>-2649.9</v>
      </c>
      <c r="K118" s="1938">
        <f>CIV!E418/1000</f>
        <v>878.7</v>
      </c>
      <c r="L118" s="1607">
        <f>CIV!E451/1000</f>
        <v>5443.6</v>
      </c>
      <c r="M118" s="1607">
        <f t="shared" si="195"/>
        <v>-4564.9000000000005</v>
      </c>
      <c r="N118" s="818"/>
      <c r="O118" s="818"/>
      <c r="P118" s="818"/>
      <c r="Q118" s="1938">
        <f>CIV!H418/1000</f>
        <v>826.1</v>
      </c>
      <c r="R118" s="1607">
        <f>CIV!H451/1000</f>
        <v>3906.1</v>
      </c>
      <c r="S118" s="1607">
        <f t="shared" si="196"/>
        <v>-3080</v>
      </c>
    </row>
    <row r="119" spans="1:19" s="573" customFormat="1" x14ac:dyDescent="0.2">
      <c r="A119" s="1937" t="s">
        <v>376</v>
      </c>
      <c r="B119" s="1607">
        <f>CIV!C489/1000</f>
        <v>326.89999999999998</v>
      </c>
      <c r="C119" s="1607">
        <f>CIV!C508/1000</f>
        <v>40.9</v>
      </c>
      <c r="D119" s="1607">
        <f t="shared" si="193"/>
        <v>286</v>
      </c>
      <c r="E119" s="818"/>
      <c r="G119" s="1938">
        <f>CIV!D489/1000</f>
        <v>284</v>
      </c>
      <c r="H119" s="1607">
        <f>CIV!D508/1000</f>
        <v>-205.9</v>
      </c>
      <c r="I119" s="1607">
        <f t="shared" si="194"/>
        <v>489.9</v>
      </c>
      <c r="K119" s="1938">
        <f>CIV!E489/1000</f>
        <v>265.2</v>
      </c>
      <c r="L119" s="1607">
        <f>CIV!E508/1000</f>
        <v>-17.5</v>
      </c>
      <c r="M119" s="1607">
        <f t="shared" si="195"/>
        <v>282.7</v>
      </c>
      <c r="N119" s="818"/>
      <c r="O119" s="818"/>
      <c r="P119" s="818"/>
      <c r="Q119" s="1938">
        <f>CIV!H489/1000</f>
        <v>247.9</v>
      </c>
      <c r="R119" s="1607">
        <f>CIV!H508/1000</f>
        <v>173.7</v>
      </c>
      <c r="S119" s="1607">
        <f t="shared" si="196"/>
        <v>74.200000000000017</v>
      </c>
    </row>
    <row r="120" spans="1:19" s="573" customFormat="1" x14ac:dyDescent="0.2">
      <c r="A120" s="1937" t="s">
        <v>532</v>
      </c>
      <c r="B120" s="1607">
        <f>CIV!C535/1000</f>
        <v>181.9</v>
      </c>
      <c r="C120" s="1607">
        <f>CIV!C547/1000</f>
        <v>277</v>
      </c>
      <c r="D120" s="1607">
        <f t="shared" si="193"/>
        <v>-95.1</v>
      </c>
      <c r="E120" s="818"/>
      <c r="G120" s="1938">
        <f>CIV!D535/1000</f>
        <v>172.3</v>
      </c>
      <c r="H120" s="1607">
        <f>CIV!D547/1000</f>
        <v>330</v>
      </c>
      <c r="I120" s="1607">
        <f t="shared" si="194"/>
        <v>-157.69999999999999</v>
      </c>
      <c r="K120" s="1938">
        <f>CIV!E535/1000</f>
        <v>200.1</v>
      </c>
      <c r="L120" s="1607">
        <f>CIV!E547/1000</f>
        <v>352.7</v>
      </c>
      <c r="M120" s="1607">
        <f t="shared" si="195"/>
        <v>-152.6</v>
      </c>
      <c r="N120" s="818"/>
      <c r="O120" s="818"/>
      <c r="P120" s="818"/>
      <c r="Q120" s="1938">
        <f>CIV!H535/1000</f>
        <v>206.5</v>
      </c>
      <c r="R120" s="1607">
        <f>CIV!H547/1000</f>
        <v>423.6</v>
      </c>
      <c r="S120" s="1607">
        <f t="shared" si="196"/>
        <v>-217.10000000000002</v>
      </c>
    </row>
    <row r="121" spans="1:19" s="573" customFormat="1" x14ac:dyDescent="0.2">
      <c r="A121" s="1937" t="s">
        <v>3327</v>
      </c>
      <c r="B121" s="1607">
        <f>CIV!C578/1000</f>
        <v>475.7</v>
      </c>
      <c r="C121" s="1607">
        <f>CIV!C600/1000</f>
        <v>227.8</v>
      </c>
      <c r="D121" s="1607">
        <f t="shared" si="193"/>
        <v>247.89999999999998</v>
      </c>
      <c r="E121" s="818"/>
      <c r="G121" s="1938">
        <f>CIV!D578/1000</f>
        <v>377.2</v>
      </c>
      <c r="H121" s="1607">
        <f>CIV!D600/1000</f>
        <v>188.4</v>
      </c>
      <c r="I121" s="1607">
        <f t="shared" si="194"/>
        <v>188.79999999999998</v>
      </c>
      <c r="K121" s="1938">
        <f>CIV!E578/1000</f>
        <v>69.099999999999994</v>
      </c>
      <c r="L121" s="1607">
        <f>CIV!E600/1000</f>
        <v>144.5</v>
      </c>
      <c r="M121" s="1607">
        <f t="shared" si="195"/>
        <v>-75.400000000000006</v>
      </c>
      <c r="N121" s="818"/>
      <c r="O121" s="818"/>
      <c r="P121" s="818"/>
      <c r="Q121" s="1938">
        <f>CIV!H578/1000</f>
        <v>67.900000000000006</v>
      </c>
      <c r="R121" s="1607">
        <f>CIV!H600/1000</f>
        <v>687.8</v>
      </c>
      <c r="S121" s="1607">
        <f t="shared" si="196"/>
        <v>-619.9</v>
      </c>
    </row>
    <row r="122" spans="1:19" s="573" customFormat="1" x14ac:dyDescent="0.2">
      <c r="A122" s="1937" t="s">
        <v>3773</v>
      </c>
      <c r="B122" s="1607">
        <f>CIV!C634/1000</f>
        <v>3958.3</v>
      </c>
      <c r="C122" s="1607">
        <f>CIV!C677/1000</f>
        <v>2612</v>
      </c>
      <c r="D122" s="1607">
        <f t="shared" si="193"/>
        <v>1346.3000000000002</v>
      </c>
      <c r="E122" s="818"/>
      <c r="G122" s="1938">
        <f>CIV!D634/1000</f>
        <v>3844.5</v>
      </c>
      <c r="H122" s="1607">
        <f>CIV!D677/1000</f>
        <v>3544.3</v>
      </c>
      <c r="I122" s="1607">
        <f t="shared" si="194"/>
        <v>300.19999999999982</v>
      </c>
      <c r="K122" s="1938">
        <f>CIV!E634/1000</f>
        <v>3350.4</v>
      </c>
      <c r="L122" s="1607">
        <f>CIV!E677/1000</f>
        <v>1463</v>
      </c>
      <c r="M122" s="1607">
        <f t="shared" si="195"/>
        <v>1887.4</v>
      </c>
      <c r="N122" s="818"/>
      <c r="O122" s="818"/>
      <c r="P122" s="818"/>
      <c r="Q122" s="1938">
        <f>CIV!H634/1000</f>
        <v>2111</v>
      </c>
      <c r="R122" s="1607">
        <f>CIV!H677/1000</f>
        <v>2413.1</v>
      </c>
      <c r="S122" s="1607">
        <f t="shared" si="196"/>
        <v>-302.09999999999991</v>
      </c>
    </row>
    <row r="123" spans="1:19" s="573" customFormat="1" x14ac:dyDescent="0.2">
      <c r="A123" s="1937" t="s">
        <v>1077</v>
      </c>
      <c r="B123" s="1607">
        <f>CIV!C704/1000</f>
        <v>5865.1</v>
      </c>
      <c r="C123" s="1607">
        <f>CIV!C731/1000</f>
        <v>5865.1</v>
      </c>
      <c r="D123" s="1607">
        <f t="shared" si="193"/>
        <v>0</v>
      </c>
      <c r="E123" s="818"/>
      <c r="G123" s="1938">
        <f>CIV!D704/1000</f>
        <v>6079.5</v>
      </c>
      <c r="H123" s="1607">
        <f>CIV!D731/1000</f>
        <v>5916.8</v>
      </c>
      <c r="I123" s="1607">
        <f t="shared" si="194"/>
        <v>162.69999999999982</v>
      </c>
      <c r="K123" s="1938">
        <f>CIV!E704/1000</f>
        <v>6308.1</v>
      </c>
      <c r="L123" s="1607">
        <f>CIV!E731/1000</f>
        <v>6006.8</v>
      </c>
      <c r="M123" s="1607">
        <f t="shared" si="195"/>
        <v>301.30000000000018</v>
      </c>
      <c r="N123" s="818"/>
      <c r="O123" s="818"/>
      <c r="P123" s="818"/>
      <c r="Q123" s="1938">
        <f>CIV!H704/1000</f>
        <v>6506.8</v>
      </c>
      <c r="R123" s="1607">
        <f>CIV!H731/1000</f>
        <v>6094.2</v>
      </c>
      <c r="S123" s="1607">
        <f t="shared" si="196"/>
        <v>412.60000000000036</v>
      </c>
    </row>
    <row r="124" spans="1:19" s="573" customFormat="1" x14ac:dyDescent="0.2">
      <c r="A124" s="1940" t="s">
        <v>752</v>
      </c>
      <c r="B124" s="1608">
        <f>SUM(B112:B123)</f>
        <v>14561.300000000001</v>
      </c>
      <c r="C124" s="1608">
        <f>SUM(C112:C123)</f>
        <v>36832.500000000007</v>
      </c>
      <c r="D124" s="1608">
        <f t="shared" si="193"/>
        <v>-22271.200000000004</v>
      </c>
      <c r="E124" s="818"/>
      <c r="G124" s="1941">
        <f>SUM(G112:G123)</f>
        <v>15037.8</v>
      </c>
      <c r="H124" s="1608">
        <f>SUM(H112:H123)</f>
        <v>35393.800000000003</v>
      </c>
      <c r="I124" s="1608">
        <f t="shared" si="194"/>
        <v>-20356.000000000004</v>
      </c>
      <c r="K124" s="1941">
        <f>SUM(K112:K123)</f>
        <v>15642.1</v>
      </c>
      <c r="L124" s="1608">
        <f>SUM(L112:L123)</f>
        <v>36666.9</v>
      </c>
      <c r="M124" s="1608">
        <f t="shared" si="195"/>
        <v>-21024.800000000003</v>
      </c>
      <c r="N124" s="818"/>
      <c r="O124" s="818"/>
      <c r="P124" s="818"/>
      <c r="Q124" s="1941">
        <f>SUM(Q112:Q123)</f>
        <v>13294.4</v>
      </c>
      <c r="R124" s="1608">
        <f>SUM(R112:R123)</f>
        <v>33760.899999999994</v>
      </c>
      <c r="S124" s="1608">
        <f t="shared" si="196"/>
        <v>-20466.499999999993</v>
      </c>
    </row>
    <row r="125" spans="1:19" s="573" customFormat="1" x14ac:dyDescent="0.2">
      <c r="A125" s="1940"/>
      <c r="B125" s="1609"/>
      <c r="C125" s="1609"/>
      <c r="D125" s="1609"/>
      <c r="E125" s="818"/>
      <c r="G125" s="1942"/>
      <c r="H125" s="1609"/>
      <c r="I125" s="1609"/>
      <c r="K125" s="1942"/>
      <c r="L125" s="1609"/>
      <c r="M125" s="1609"/>
      <c r="N125" s="818"/>
      <c r="O125" s="818"/>
      <c r="P125" s="818"/>
      <c r="Q125" s="1942"/>
      <c r="R125" s="1609"/>
      <c r="S125" s="1609"/>
    </row>
    <row r="126" spans="1:19" s="573" customFormat="1" x14ac:dyDescent="0.2">
      <c r="A126" s="1935" t="s">
        <v>467</v>
      </c>
      <c r="B126" s="1609"/>
      <c r="C126" s="1609"/>
      <c r="D126" s="1609"/>
      <c r="E126" s="818"/>
      <c r="G126" s="1942"/>
      <c r="H126" s="1609"/>
      <c r="I126" s="1609"/>
      <c r="K126" s="1942"/>
      <c r="L126" s="1609"/>
      <c r="M126" s="1609"/>
      <c r="N126" s="818"/>
      <c r="O126" s="818"/>
      <c r="P126" s="818"/>
      <c r="Q126" s="1942"/>
      <c r="R126" s="1609"/>
      <c r="S126" s="1609"/>
    </row>
    <row r="127" spans="1:19" s="573" customFormat="1" x14ac:dyDescent="0.2">
      <c r="A127" s="1937" t="s">
        <v>3309</v>
      </c>
      <c r="B127" s="1607">
        <f>GM!C69/1000</f>
        <v>17.399999999999999</v>
      </c>
      <c r="C127" s="1607">
        <f>GM!C106/1000</f>
        <v>1838.6</v>
      </c>
      <c r="D127" s="1607">
        <f t="shared" ref="D127:D134" si="197">B127-C127</f>
        <v>-1821.1999999999998</v>
      </c>
      <c r="E127" s="818"/>
      <c r="G127" s="1938">
        <f>GM!D69/1000</f>
        <v>46.8</v>
      </c>
      <c r="H127" s="1607">
        <f>GM!D106/1000</f>
        <v>1997.6</v>
      </c>
      <c r="I127" s="1607">
        <f t="shared" ref="I127:I134" si="198">G127-H127</f>
        <v>-1950.8</v>
      </c>
      <c r="K127" s="1938">
        <f>GM!E69/1000</f>
        <v>21.1</v>
      </c>
      <c r="L127" s="1607">
        <f>GM!E106/1000</f>
        <v>2388.1999999999998</v>
      </c>
      <c r="M127" s="1607">
        <f t="shared" ref="M127:M134" si="199">K127-L127</f>
        <v>-2367.1</v>
      </c>
      <c r="N127" s="818"/>
      <c r="O127" s="818"/>
      <c r="P127" s="818"/>
      <c r="Q127" s="1938">
        <f>GM!H69/1000</f>
        <v>22</v>
      </c>
      <c r="R127" s="1607">
        <f>GM!H106/1000</f>
        <v>2316.6</v>
      </c>
      <c r="S127" s="1607">
        <f t="shared" ref="S127:S134" si="200">Q127-R127</f>
        <v>-2294.6</v>
      </c>
    </row>
    <row r="128" spans="1:19" s="573" customFormat="1" x14ac:dyDescent="0.2">
      <c r="A128" s="1937" t="s">
        <v>1005</v>
      </c>
      <c r="B128" s="1607">
        <f>GM!C152/1000</f>
        <v>22370.9</v>
      </c>
      <c r="C128" s="1607">
        <v>0</v>
      </c>
      <c r="D128" s="1607">
        <f t="shared" si="197"/>
        <v>22370.9</v>
      </c>
      <c r="E128" s="818"/>
      <c r="G128" s="1938">
        <f>GM!D152/1000</f>
        <v>23415.4</v>
      </c>
      <c r="H128" s="1607">
        <v>0</v>
      </c>
      <c r="I128" s="1607">
        <f t="shared" si="198"/>
        <v>23415.4</v>
      </c>
      <c r="K128" s="1938">
        <f>GM!E152/1000</f>
        <v>27343.3</v>
      </c>
      <c r="L128" s="1607">
        <v>0</v>
      </c>
      <c r="M128" s="1607">
        <f t="shared" si="199"/>
        <v>27343.3</v>
      </c>
      <c r="N128" s="818"/>
      <c r="O128" s="818"/>
      <c r="P128" s="818"/>
      <c r="Q128" s="1938">
        <f>GM!H152/1000</f>
        <v>26165.7</v>
      </c>
      <c r="R128" s="1607">
        <v>0</v>
      </c>
      <c r="S128" s="1607">
        <f t="shared" si="200"/>
        <v>26165.7</v>
      </c>
    </row>
    <row r="129" spans="1:19" s="573" customFormat="1" x14ac:dyDescent="0.2">
      <c r="A129" s="1937" t="s">
        <v>87</v>
      </c>
      <c r="B129" s="1607">
        <f>GM!C183/1000</f>
        <v>203.9</v>
      </c>
      <c r="C129" s="1607">
        <f>GM!C197/1000</f>
        <v>-3774.6</v>
      </c>
      <c r="D129" s="1607">
        <f t="shared" si="197"/>
        <v>3978.5</v>
      </c>
      <c r="E129" s="818"/>
      <c r="G129" s="1938">
        <f>GM!D183/1000</f>
        <v>274</v>
      </c>
      <c r="H129" s="1607">
        <f>GM!D197/1000</f>
        <v>-4086.9</v>
      </c>
      <c r="I129" s="1607">
        <f t="shared" si="198"/>
        <v>4360.8999999999996</v>
      </c>
      <c r="K129" s="1938">
        <f>GM!E183/1000</f>
        <v>260.2</v>
      </c>
      <c r="L129" s="1607">
        <f>GM!E197/1000</f>
        <v>-4256.8</v>
      </c>
      <c r="M129" s="1607">
        <f t="shared" si="199"/>
        <v>4517</v>
      </c>
      <c r="N129" s="818"/>
      <c r="O129" s="818"/>
      <c r="P129" s="818"/>
      <c r="Q129" s="1938">
        <f>GM!H183/1000</f>
        <v>235.8</v>
      </c>
      <c r="R129" s="1607">
        <f>GM!H197/1000</f>
        <v>-4396.7</v>
      </c>
      <c r="S129" s="1607">
        <f t="shared" si="200"/>
        <v>4632.5</v>
      </c>
    </row>
    <row r="130" spans="1:19" s="573" customFormat="1" x14ac:dyDescent="0.2">
      <c r="A130" s="1937" t="s">
        <v>2273</v>
      </c>
      <c r="B130" s="1607">
        <f>GM!C224/1000</f>
        <v>17.600000000000001</v>
      </c>
      <c r="C130" s="1607">
        <f>GM!C236/1000</f>
        <v>1913</v>
      </c>
      <c r="D130" s="1607">
        <f t="shared" si="197"/>
        <v>-1895.4</v>
      </c>
      <c r="E130" s="818"/>
      <c r="G130" s="1938">
        <f>GM!D224/1000</f>
        <v>3.1</v>
      </c>
      <c r="H130" s="1607">
        <f>GM!D236/1000</f>
        <v>2049.1999999999998</v>
      </c>
      <c r="I130" s="1607">
        <f t="shared" si="198"/>
        <v>-2046.1</v>
      </c>
      <c r="K130" s="1938">
        <f>GM!E224/1000</f>
        <v>231.1</v>
      </c>
      <c r="L130" s="1607">
        <f>GM!E236/1000</f>
        <v>2375</v>
      </c>
      <c r="M130" s="1607">
        <f t="shared" si="199"/>
        <v>-2143.9</v>
      </c>
      <c r="N130" s="818"/>
      <c r="O130" s="818"/>
      <c r="P130" s="818"/>
      <c r="Q130" s="1938">
        <f>GM!H224/1000</f>
        <v>103</v>
      </c>
      <c r="R130" s="1607">
        <f>GM!H236/1000</f>
        <v>2603</v>
      </c>
      <c r="S130" s="1607">
        <f t="shared" si="200"/>
        <v>-2500</v>
      </c>
    </row>
    <row r="131" spans="1:19" s="573" customFormat="1" x14ac:dyDescent="0.2">
      <c r="A131" s="1937" t="s">
        <v>2253</v>
      </c>
      <c r="B131" s="1607">
        <f>GM!C267/1000</f>
        <v>295.39999999999998</v>
      </c>
      <c r="C131" s="1607">
        <f>GM!C292/1000</f>
        <v>1366.3</v>
      </c>
      <c r="D131" s="1607">
        <f t="shared" si="197"/>
        <v>-1070.9000000000001</v>
      </c>
      <c r="E131" s="818"/>
      <c r="G131" s="1938">
        <f>GM!D267/1000</f>
        <v>191.4</v>
      </c>
      <c r="H131" s="1607">
        <f>GM!D292/1000</f>
        <v>1282.2</v>
      </c>
      <c r="I131" s="1607">
        <f t="shared" si="198"/>
        <v>-1090.8</v>
      </c>
      <c r="K131" s="1938">
        <f>GM!E267/1000</f>
        <v>446.5</v>
      </c>
      <c r="L131" s="1607">
        <f>GM!E292/1000</f>
        <v>781.5</v>
      </c>
      <c r="M131" s="1607">
        <f t="shared" si="199"/>
        <v>-335</v>
      </c>
      <c r="N131" s="818"/>
      <c r="O131" s="818"/>
      <c r="P131" s="818"/>
      <c r="Q131" s="1938">
        <f>GM!H267/1000</f>
        <v>173.1</v>
      </c>
      <c r="R131" s="1607">
        <f>GM!H292/1000</f>
        <v>1159.0999999999999</v>
      </c>
      <c r="S131" s="1607">
        <f t="shared" si="200"/>
        <v>-985.99999999999989</v>
      </c>
    </row>
    <row r="132" spans="1:19" s="573" customFormat="1" x14ac:dyDescent="0.2">
      <c r="A132" s="1937" t="s">
        <v>2499</v>
      </c>
      <c r="B132" s="1607">
        <f>GM!C331/1000</f>
        <v>3385.1</v>
      </c>
      <c r="C132" s="1607">
        <f>GM!C357/1000</f>
        <v>2115</v>
      </c>
      <c r="D132" s="1607">
        <f t="shared" si="197"/>
        <v>1270.0999999999999</v>
      </c>
      <c r="E132" s="818"/>
      <c r="G132" s="1938">
        <f>GM!D331/1000</f>
        <v>2570.8000000000002</v>
      </c>
      <c r="H132" s="1607">
        <f>GM!D357/1000</f>
        <v>2961.7</v>
      </c>
      <c r="I132" s="1607">
        <f t="shared" si="198"/>
        <v>-390.89999999999964</v>
      </c>
      <c r="K132" s="1938">
        <f>GM!E331/1000</f>
        <v>2599.8000000000002</v>
      </c>
      <c r="L132" s="1607">
        <f>GM!E357/1000</f>
        <v>1772.5</v>
      </c>
      <c r="M132" s="1607">
        <f t="shared" si="199"/>
        <v>827.30000000000018</v>
      </c>
      <c r="N132" s="818"/>
      <c r="O132" s="818"/>
      <c r="P132" s="818"/>
      <c r="Q132" s="1938">
        <f>GM!H331/1000</f>
        <v>2521.8000000000002</v>
      </c>
      <c r="R132" s="1607">
        <f>GM!H357/1000</f>
        <v>2519.6999999999998</v>
      </c>
      <c r="S132" s="1607">
        <f t="shared" si="200"/>
        <v>2.1000000000003638</v>
      </c>
    </row>
    <row r="133" spans="1:19" s="573" customFormat="1" x14ac:dyDescent="0.2">
      <c r="A133" s="1937" t="s">
        <v>2093</v>
      </c>
      <c r="B133" s="1607">
        <f>GM!C400/1000</f>
        <v>4709.7</v>
      </c>
      <c r="C133" s="1607">
        <f>GM!C420/1000</f>
        <v>4362.8999999999996</v>
      </c>
      <c r="D133" s="1607">
        <f t="shared" si="197"/>
        <v>346.80000000000018</v>
      </c>
      <c r="E133" s="818"/>
      <c r="G133" s="1938">
        <f>GM!D400/1000</f>
        <v>5111.8999999999996</v>
      </c>
      <c r="H133" s="1607">
        <f>GM!D420/1000</f>
        <v>4513.3999999999996</v>
      </c>
      <c r="I133" s="1607">
        <f t="shared" si="198"/>
        <v>598.5</v>
      </c>
      <c r="K133" s="1938">
        <f>GM!E400/1000</f>
        <v>5780.1</v>
      </c>
      <c r="L133" s="1607">
        <f>GM!E420/1000</f>
        <v>4371.6000000000004</v>
      </c>
      <c r="M133" s="1607">
        <f t="shared" si="199"/>
        <v>1408.5</v>
      </c>
      <c r="N133" s="818"/>
      <c r="O133" s="818"/>
      <c r="P133" s="818"/>
      <c r="Q133" s="1938">
        <f>GM!H400/1000</f>
        <v>6096.4</v>
      </c>
      <c r="R133" s="1607">
        <f>GM!H420/1000</f>
        <v>5490.3</v>
      </c>
      <c r="S133" s="1607">
        <f t="shared" si="200"/>
        <v>606.09999999999945</v>
      </c>
    </row>
    <row r="134" spans="1:19" s="573" customFormat="1" x14ac:dyDescent="0.2">
      <c r="A134" s="1924" t="s">
        <v>752</v>
      </c>
      <c r="B134" s="1608">
        <f>SUM(B127:B133)</f>
        <v>31000.000000000004</v>
      </c>
      <c r="C134" s="1608">
        <f>SUM(C127:C133)</f>
        <v>7821.2</v>
      </c>
      <c r="D134" s="1608">
        <f t="shared" si="197"/>
        <v>23178.800000000003</v>
      </c>
      <c r="E134" s="818"/>
      <c r="G134" s="1941">
        <f>SUM(G127:G133)</f>
        <v>31613.4</v>
      </c>
      <c r="H134" s="1608">
        <f>SUM(H127:H133)</f>
        <v>8717.1999999999989</v>
      </c>
      <c r="I134" s="1608">
        <f t="shared" si="198"/>
        <v>22896.200000000004</v>
      </c>
      <c r="K134" s="1941">
        <f>SUM(K127:K133)</f>
        <v>36682.1</v>
      </c>
      <c r="L134" s="1608">
        <f>SUM(L127:L133)</f>
        <v>7432</v>
      </c>
      <c r="M134" s="1608">
        <f t="shared" si="199"/>
        <v>29250.1</v>
      </c>
      <c r="N134" s="818"/>
      <c r="O134" s="818"/>
      <c r="P134" s="818"/>
      <c r="Q134" s="1941">
        <f>SUM(Q127:Q133)</f>
        <v>35317.799999999996</v>
      </c>
      <c r="R134" s="1608">
        <f>SUM(R127:R133)</f>
        <v>9692</v>
      </c>
      <c r="S134" s="1608">
        <f t="shared" si="200"/>
        <v>25625.799999999996</v>
      </c>
    </row>
    <row r="135" spans="1:19" s="573" customFormat="1" x14ac:dyDescent="0.2">
      <c r="A135" s="1924"/>
      <c r="B135" s="1610"/>
      <c r="C135" s="1610"/>
      <c r="D135" s="1610"/>
      <c r="E135" s="818"/>
      <c r="G135" s="1943"/>
      <c r="H135" s="1610"/>
      <c r="I135" s="1610"/>
      <c r="K135" s="1943"/>
      <c r="L135" s="1610"/>
      <c r="M135" s="1610"/>
      <c r="N135" s="818"/>
      <c r="O135" s="818"/>
      <c r="P135" s="818"/>
      <c r="Q135" s="1943"/>
      <c r="R135" s="1610"/>
      <c r="S135" s="1610"/>
    </row>
    <row r="136" spans="1:19" s="573" customFormat="1" x14ac:dyDescent="0.2">
      <c r="A136" s="1924" t="s">
        <v>3310</v>
      </c>
      <c r="B136" s="1608">
        <f>B134+B124+B109+B102</f>
        <v>49169.8</v>
      </c>
      <c r="C136" s="1608">
        <f>C134+C124+C109+C102</f>
        <v>54307.700000000004</v>
      </c>
      <c r="D136" s="1608">
        <f>B136-C136</f>
        <v>-5137.9000000000015</v>
      </c>
      <c r="E136" s="818"/>
      <c r="G136" s="1941">
        <f>G134+G124+G109+G102</f>
        <v>50716</v>
      </c>
      <c r="H136" s="1608">
        <f>H134+H124+H109+H102</f>
        <v>54326.100000000006</v>
      </c>
      <c r="I136" s="1608">
        <f>G136-H136</f>
        <v>-3610.1000000000058</v>
      </c>
      <c r="K136" s="1941">
        <f>K134+K124+K109+K102</f>
        <v>56577.599999999999</v>
      </c>
      <c r="L136" s="1608">
        <f>L134+L124+L109+L102</f>
        <v>55334.600000000006</v>
      </c>
      <c r="M136" s="1608">
        <f t="shared" ref="M136" si="201">K136-L136</f>
        <v>1242.9999999999927</v>
      </c>
      <c r="N136" s="818"/>
      <c r="O136" s="818"/>
      <c r="P136" s="818"/>
      <c r="Q136" s="1941">
        <f>Q134+Q124+Q109+Q102</f>
        <v>52698.399999999994</v>
      </c>
      <c r="R136" s="1608">
        <f>R134+R124+R109+R102</f>
        <v>55833.999999999993</v>
      </c>
      <c r="S136" s="1608">
        <f>Q136-R136</f>
        <v>-3135.5999999999985</v>
      </c>
    </row>
    <row r="137" spans="1:19" s="573" customFormat="1" x14ac:dyDescent="0.2">
      <c r="A137" s="1935"/>
      <c r="B137" s="1609"/>
      <c r="C137" s="1609"/>
      <c r="D137" s="1609"/>
      <c r="E137" s="818"/>
      <c r="G137" s="1938"/>
      <c r="H137" s="1609"/>
      <c r="I137" s="1609"/>
      <c r="K137" s="1942"/>
      <c r="L137" s="1609"/>
      <c r="M137" s="1609"/>
      <c r="N137" s="818"/>
      <c r="O137" s="818"/>
      <c r="P137" s="818"/>
      <c r="Q137" s="1942"/>
      <c r="R137" s="1609"/>
      <c r="S137" s="1609"/>
    </row>
    <row r="138" spans="1:19" s="573" customFormat="1" x14ac:dyDescent="0.2">
      <c r="A138" s="1935" t="s">
        <v>3311</v>
      </c>
      <c r="B138" s="1609"/>
      <c r="C138" s="1609"/>
      <c r="D138" s="1609"/>
      <c r="E138" s="818"/>
      <c r="G138" s="1938"/>
      <c r="H138" s="1609"/>
      <c r="I138" s="1609"/>
      <c r="K138" s="1942"/>
      <c r="L138" s="1609"/>
      <c r="M138" s="1609"/>
      <c r="N138" s="818"/>
      <c r="O138" s="818"/>
      <c r="P138" s="818"/>
      <c r="Q138" s="1942"/>
      <c r="R138" s="1609"/>
      <c r="S138" s="1609"/>
    </row>
    <row r="139" spans="1:19" s="573" customFormat="1" x14ac:dyDescent="0.2">
      <c r="A139" s="1937" t="s">
        <v>3312</v>
      </c>
      <c r="B139" s="1607">
        <f>'W&amp;W'!C50/1000</f>
        <v>10892.5</v>
      </c>
      <c r="C139" s="1607">
        <f>'W&amp;W'!C81/1000</f>
        <v>10817</v>
      </c>
      <c r="D139" s="1607">
        <f>B139-C139</f>
        <v>75.5</v>
      </c>
      <c r="E139" s="818"/>
      <c r="G139" s="1938">
        <f>'W&amp;W'!D50/1000</f>
        <v>11199.1</v>
      </c>
      <c r="H139" s="1607">
        <f>'W&amp;W'!D81/1000</f>
        <v>10849.9</v>
      </c>
      <c r="I139" s="1607">
        <f t="shared" ref="I139:I140" si="202">G139-H139</f>
        <v>349.20000000000073</v>
      </c>
      <c r="K139" s="1938">
        <f>'W&amp;W'!E50/1000</f>
        <v>12409.8</v>
      </c>
      <c r="L139" s="1607">
        <f>'W&amp;W'!E81/1000</f>
        <v>11120.3</v>
      </c>
      <c r="M139" s="1607">
        <f t="shared" ref="M139:M140" si="203">K139-L139</f>
        <v>1289.5</v>
      </c>
      <c r="N139" s="818"/>
      <c r="O139" s="818"/>
      <c r="P139" s="818"/>
      <c r="Q139" s="1938">
        <f>'W&amp;W'!H50/1000</f>
        <v>11778.4</v>
      </c>
      <c r="R139" s="1607">
        <f>'W&amp;W'!H81/1000</f>
        <v>11225.4</v>
      </c>
      <c r="S139" s="1607">
        <f>Q139-R139</f>
        <v>553</v>
      </c>
    </row>
    <row r="140" spans="1:19" s="573" customFormat="1" x14ac:dyDescent="0.2">
      <c r="A140" s="1937" t="s">
        <v>3313</v>
      </c>
      <c r="B140" s="1607">
        <f>'W&amp;W'!C113/1000</f>
        <v>15355.9</v>
      </c>
      <c r="C140" s="1607">
        <f>'W&amp;W'!C145/1000</f>
        <v>28747.200000000001</v>
      </c>
      <c r="D140" s="1607">
        <f>B140-C140</f>
        <v>-13391.300000000001</v>
      </c>
      <c r="E140" s="818"/>
      <c r="G140" s="1938">
        <f>'W&amp;W'!D113/1000</f>
        <v>16349.1</v>
      </c>
      <c r="H140" s="1607">
        <f>'W&amp;W'!D145/1000</f>
        <v>17312.7</v>
      </c>
      <c r="I140" s="1607">
        <f t="shared" si="202"/>
        <v>-963.60000000000036</v>
      </c>
      <c r="K140" s="1938">
        <f>'W&amp;W'!E113/1000</f>
        <v>17887.5</v>
      </c>
      <c r="L140" s="1607">
        <f>'W&amp;W'!E145/1000</f>
        <v>18133.5</v>
      </c>
      <c r="M140" s="1607">
        <f t="shared" si="203"/>
        <v>-246</v>
      </c>
      <c r="N140" s="818"/>
      <c r="O140" s="818"/>
      <c r="P140" s="818"/>
      <c r="Q140" s="1938">
        <f>'W&amp;W'!H113/1000</f>
        <v>18218.400000000001</v>
      </c>
      <c r="R140" s="1607">
        <f>'W&amp;W'!H145/1000</f>
        <v>17797.3</v>
      </c>
      <c r="S140" s="1607">
        <f>Q140-R140</f>
        <v>421.10000000000218</v>
      </c>
    </row>
    <row r="141" spans="1:19" s="573" customFormat="1" x14ac:dyDescent="0.2">
      <c r="A141" s="1940"/>
      <c r="B141" s="1609"/>
      <c r="C141" s="1609"/>
      <c r="D141" s="1607"/>
      <c r="E141" s="818"/>
      <c r="G141" s="1938"/>
      <c r="H141" s="1609"/>
      <c r="I141" s="1607"/>
      <c r="K141" s="1942"/>
      <c r="L141" s="1609"/>
      <c r="M141" s="1607"/>
      <c r="N141" s="818"/>
      <c r="O141" s="818"/>
      <c r="P141" s="818"/>
      <c r="Q141" s="1942"/>
      <c r="R141" s="1609"/>
      <c r="S141" s="1607"/>
    </row>
    <row r="142" spans="1:19" s="573" customFormat="1" ht="24" x14ac:dyDescent="0.2">
      <c r="A142" s="1940" t="s">
        <v>3316</v>
      </c>
      <c r="B142" s="1608">
        <f>B136+B139+B140</f>
        <v>75418.2</v>
      </c>
      <c r="C142" s="1608">
        <f>C136+C139+C140</f>
        <v>93871.900000000009</v>
      </c>
      <c r="D142" s="1608">
        <f>B142-C142</f>
        <v>-18453.700000000012</v>
      </c>
      <c r="E142" s="818"/>
      <c r="G142" s="1941">
        <f>G136+G139+G140</f>
        <v>78264.2</v>
      </c>
      <c r="H142" s="1608">
        <f>H136+H139+H140</f>
        <v>82488.700000000012</v>
      </c>
      <c r="I142" s="1608">
        <f>G142-H142</f>
        <v>-4224.5000000000146</v>
      </c>
      <c r="K142" s="1941">
        <f>K136+K139+K140</f>
        <v>86874.9</v>
      </c>
      <c r="L142" s="1608">
        <f>L136+L139+L140</f>
        <v>84588.400000000009</v>
      </c>
      <c r="M142" s="1608">
        <f t="shared" ref="M142" si="204">K142-L142</f>
        <v>2286.4999999999854</v>
      </c>
      <c r="N142" s="818"/>
      <c r="O142" s="818"/>
      <c r="P142" s="818"/>
      <c r="Q142" s="1941">
        <f>Q136+Q139+Q140</f>
        <v>82695.199999999997</v>
      </c>
      <c r="R142" s="1608">
        <f>R136+R139+R140</f>
        <v>84856.7</v>
      </c>
      <c r="S142" s="1608">
        <f>Q142-R142</f>
        <v>-2161.5</v>
      </c>
    </row>
    <row r="143" spans="1:19" s="573" customFormat="1" ht="13.5" thickBot="1" x14ac:dyDescent="0.25">
      <c r="A143" s="1944"/>
      <c r="B143" s="1945"/>
      <c r="C143" s="1611"/>
      <c r="D143" s="1611"/>
      <c r="E143" s="818"/>
      <c r="G143" s="1946"/>
      <c r="H143" s="1611"/>
      <c r="I143" s="1611"/>
      <c r="K143" s="1946"/>
      <c r="L143" s="1611"/>
      <c r="M143" s="1611"/>
      <c r="N143" s="818"/>
      <c r="O143" s="818"/>
      <c r="P143" s="818"/>
      <c r="Q143" s="1946"/>
      <c r="R143" s="1611"/>
      <c r="S143" s="1611"/>
    </row>
    <row r="144" spans="1:19" s="573" customFormat="1" x14ac:dyDescent="0.2">
      <c r="A144" s="542"/>
      <c r="B144" s="542"/>
      <c r="C144" s="818"/>
      <c r="D144" s="818"/>
      <c r="E144" s="818"/>
      <c r="F144" s="818"/>
      <c r="G144" s="818"/>
      <c r="H144" s="818"/>
      <c r="I144" s="818"/>
      <c r="J144" s="818"/>
      <c r="K144" s="818"/>
      <c r="L144" s="818"/>
      <c r="M144" s="818"/>
    </row>
    <row r="145" spans="1:13" s="573" customFormat="1" ht="13.5" thickBot="1" x14ac:dyDescent="0.25">
      <c r="A145" s="542"/>
      <c r="B145" s="542"/>
      <c r="C145" s="818"/>
      <c r="D145" s="818"/>
      <c r="E145" s="818"/>
      <c r="F145" s="818"/>
      <c r="G145" s="818"/>
      <c r="H145" s="818"/>
      <c r="I145" s="818"/>
      <c r="J145" s="818"/>
      <c r="K145" s="818"/>
      <c r="L145" s="818"/>
      <c r="M145" s="818"/>
    </row>
    <row r="146" spans="1:13" s="573" customFormat="1" ht="13.5" thickBot="1" x14ac:dyDescent="0.25">
      <c r="A146" s="819" t="s">
        <v>3329</v>
      </c>
      <c r="B146" s="1947" t="s">
        <v>2203</v>
      </c>
      <c r="C146" s="1948" t="s">
        <v>1732</v>
      </c>
      <c r="D146" s="1948" t="s">
        <v>3289</v>
      </c>
      <c r="E146" s="1949" t="s">
        <v>1504</v>
      </c>
      <c r="F146" s="818"/>
      <c r="G146" s="818"/>
      <c r="H146" s="818"/>
      <c r="I146" s="818"/>
      <c r="J146" s="818"/>
      <c r="K146" s="818"/>
      <c r="L146" s="818"/>
      <c r="M146" s="818"/>
    </row>
    <row r="147" spans="1:13" s="573" customFormat="1" x14ac:dyDescent="0.2">
      <c r="A147" s="816"/>
      <c r="B147" s="1950"/>
      <c r="C147" s="1951"/>
      <c r="D147" s="1951"/>
      <c r="E147" s="1952"/>
      <c r="F147" s="818"/>
      <c r="G147" s="818"/>
      <c r="H147" s="818"/>
      <c r="I147" s="818"/>
      <c r="J147" s="818"/>
      <c r="K147" s="818"/>
      <c r="L147" s="818"/>
      <c r="M147" s="818"/>
    </row>
    <row r="148" spans="1:13" s="573" customFormat="1" x14ac:dyDescent="0.2">
      <c r="A148" s="1953" t="s">
        <v>167</v>
      </c>
      <c r="B148" s="1934"/>
      <c r="C148" s="1934"/>
      <c r="D148" s="1934"/>
      <c r="E148" s="1605"/>
      <c r="F148" s="818"/>
      <c r="G148" s="818"/>
      <c r="H148" s="818"/>
      <c r="I148" s="818"/>
      <c r="J148" s="818"/>
      <c r="K148" s="818"/>
      <c r="L148" s="818"/>
      <c r="M148" s="818"/>
    </row>
    <row r="149" spans="1:13" s="573" customFormat="1" x14ac:dyDescent="0.2">
      <c r="A149" s="1954" t="s">
        <v>2296</v>
      </c>
      <c r="B149" s="1955">
        <f>S7/1000</f>
        <v>26633.599999999999</v>
      </c>
      <c r="C149" s="1955">
        <f>AH7/1000</f>
        <v>3226</v>
      </c>
      <c r="D149" s="1955">
        <f>AW7/1000</f>
        <v>14087.2</v>
      </c>
      <c r="E149" s="1607">
        <f>SUM(B149:D149)</f>
        <v>43946.8</v>
      </c>
      <c r="F149" s="818"/>
      <c r="G149" s="818"/>
      <c r="H149" s="818"/>
      <c r="I149" s="818"/>
      <c r="J149" s="818"/>
      <c r="K149" s="818"/>
      <c r="L149" s="818"/>
      <c r="M149" s="818"/>
    </row>
    <row r="150" spans="1:13" s="573" customFormat="1" x14ac:dyDescent="0.2">
      <c r="A150" s="1954" t="s">
        <v>2337</v>
      </c>
      <c r="B150" s="1955">
        <f>S8/1000</f>
        <v>10785.8</v>
      </c>
      <c r="C150" s="1955">
        <f>AH8/1000</f>
        <v>6654.3</v>
      </c>
      <c r="D150" s="1955">
        <f>AW8/1000</f>
        <v>1141.9000000000001</v>
      </c>
      <c r="E150" s="1607">
        <f>SUM(B150:D150)</f>
        <v>18582</v>
      </c>
      <c r="F150" s="818"/>
      <c r="G150" s="818"/>
      <c r="H150" s="818"/>
      <c r="I150" s="818"/>
      <c r="J150" s="818"/>
      <c r="K150" s="818"/>
      <c r="L150" s="818"/>
      <c r="M150" s="818"/>
    </row>
    <row r="151" spans="1:13" s="573" customFormat="1" x14ac:dyDescent="0.2">
      <c r="A151" s="1954" t="s">
        <v>1661</v>
      </c>
      <c r="B151" s="1955">
        <f>S9/1000</f>
        <v>1298.0999999999999</v>
      </c>
      <c r="C151" s="1955">
        <f>AH9/1000</f>
        <v>339</v>
      </c>
      <c r="D151" s="1955">
        <f>AW9/1000</f>
        <v>496.5</v>
      </c>
      <c r="E151" s="1607">
        <f>SUM(B151:D151)</f>
        <v>2133.6</v>
      </c>
      <c r="F151" s="818"/>
      <c r="G151" s="818"/>
      <c r="H151" s="818"/>
      <c r="I151" s="818"/>
      <c r="J151" s="818"/>
      <c r="K151" s="818"/>
      <c r="L151" s="818"/>
      <c r="M151" s="818"/>
    </row>
    <row r="152" spans="1:13" s="573" customFormat="1" x14ac:dyDescent="0.2">
      <c r="A152" s="1954" t="s">
        <v>677</v>
      </c>
      <c r="B152" s="1955">
        <f>S10/1000</f>
        <v>2923.3</v>
      </c>
      <c r="C152" s="1955">
        <f>AH10/1000</f>
        <v>822.4</v>
      </c>
      <c r="D152" s="1955">
        <f>AW10/1000</f>
        <v>458.6</v>
      </c>
      <c r="E152" s="1607">
        <f>SUM(B152:D152)</f>
        <v>4204.3</v>
      </c>
      <c r="F152" s="818"/>
      <c r="G152" s="818"/>
      <c r="H152" s="818"/>
      <c r="I152" s="818"/>
      <c r="J152" s="818"/>
      <c r="K152" s="818"/>
      <c r="L152" s="818"/>
      <c r="M152" s="818"/>
    </row>
    <row r="153" spans="1:13" s="573" customFormat="1" x14ac:dyDescent="0.2">
      <c r="A153" s="1954" t="s">
        <v>420</v>
      </c>
      <c r="B153" s="1955">
        <f>S11/1000</f>
        <v>9075.2000000000007</v>
      </c>
      <c r="C153" s="1955">
        <f>AH11/1000</f>
        <v>157.4</v>
      </c>
      <c r="D153" s="1955">
        <f>AW11/1000</f>
        <v>156.6</v>
      </c>
      <c r="E153" s="1607">
        <f>SUM(B153:D153)</f>
        <v>9389.2000000000007</v>
      </c>
      <c r="F153" s="818"/>
      <c r="G153" s="818"/>
      <c r="H153" s="818"/>
      <c r="I153" s="818"/>
      <c r="J153" s="818"/>
      <c r="K153" s="818"/>
      <c r="L153" s="818"/>
      <c r="M153" s="818"/>
    </row>
    <row r="154" spans="1:13" s="573" customFormat="1" x14ac:dyDescent="0.2">
      <c r="A154" s="1953" t="s">
        <v>752</v>
      </c>
      <c r="B154" s="1956">
        <f>SUM(B149:B153)</f>
        <v>50716</v>
      </c>
      <c r="C154" s="1956">
        <f>SUM(C149:C153)</f>
        <v>11199.099999999999</v>
      </c>
      <c r="D154" s="1956">
        <f>SUM(D149:D153)</f>
        <v>16340.800000000001</v>
      </c>
      <c r="E154" s="1608">
        <f>SUM(E149:E153)</f>
        <v>78255.899999999994</v>
      </c>
      <c r="F154" s="818"/>
      <c r="G154" s="818"/>
      <c r="H154" s="818"/>
      <c r="I154" s="818"/>
      <c r="J154" s="818"/>
      <c r="K154" s="818"/>
      <c r="L154" s="818"/>
      <c r="M154" s="818"/>
    </row>
    <row r="155" spans="1:13" s="573" customFormat="1" x14ac:dyDescent="0.2">
      <c r="A155" s="1953"/>
      <c r="B155" s="1956"/>
      <c r="C155" s="1956"/>
      <c r="D155" s="1956"/>
      <c r="E155" s="1608"/>
      <c r="F155" s="818"/>
      <c r="G155" s="818"/>
      <c r="H155" s="818"/>
      <c r="I155" s="818"/>
      <c r="J155" s="818"/>
      <c r="K155" s="818"/>
      <c r="L155" s="818"/>
      <c r="M155" s="818"/>
    </row>
    <row r="156" spans="1:13" s="573" customFormat="1" x14ac:dyDescent="0.2">
      <c r="A156" s="1953" t="s">
        <v>2018</v>
      </c>
      <c r="B156" s="1955"/>
      <c r="C156" s="1956"/>
      <c r="D156" s="1956"/>
      <c r="E156" s="1957"/>
      <c r="F156" s="818"/>
      <c r="G156" s="818"/>
      <c r="H156" s="818"/>
      <c r="I156" s="818"/>
      <c r="J156" s="818"/>
      <c r="K156" s="818"/>
      <c r="L156" s="818"/>
      <c r="M156" s="818"/>
    </row>
    <row r="157" spans="1:13" s="573" customFormat="1" x14ac:dyDescent="0.2">
      <c r="A157" s="1954" t="s">
        <v>1228</v>
      </c>
      <c r="B157" s="1955">
        <f>S17/1000</f>
        <v>16138</v>
      </c>
      <c r="C157" s="1955">
        <f>AH17/1000</f>
        <v>1876</v>
      </c>
      <c r="D157" s="1955">
        <f>AW17/1000</f>
        <v>3676</v>
      </c>
      <c r="E157" s="1607">
        <f>SUM(B157:D157)</f>
        <v>21690</v>
      </c>
      <c r="F157" s="818"/>
      <c r="G157" s="818"/>
      <c r="H157" s="818"/>
      <c r="I157" s="818"/>
      <c r="J157" s="818"/>
      <c r="K157" s="818"/>
      <c r="L157" s="818"/>
      <c r="M157" s="818"/>
    </row>
    <row r="158" spans="1:13" s="573" customFormat="1" x14ac:dyDescent="0.2">
      <c r="A158" s="1954" t="s">
        <v>2336</v>
      </c>
      <c r="B158" s="1955">
        <f>S18/1000</f>
        <v>17592.599999999999</v>
      </c>
      <c r="C158" s="1955">
        <f>AH18/1000</f>
        <v>1264.4000000000001</v>
      </c>
      <c r="D158" s="1955">
        <f>AW18/1000</f>
        <v>5096.6000000000004</v>
      </c>
      <c r="E158" s="1607">
        <f>SUM(B158:D158)</f>
        <v>23953.599999999999</v>
      </c>
      <c r="F158" s="818"/>
      <c r="G158" s="818"/>
      <c r="H158" s="818"/>
      <c r="I158" s="818"/>
      <c r="J158" s="818"/>
      <c r="K158" s="818"/>
      <c r="L158" s="818"/>
      <c r="M158" s="818"/>
    </row>
    <row r="159" spans="1:13" s="573" customFormat="1" x14ac:dyDescent="0.2">
      <c r="A159" s="1954" t="s">
        <v>2624</v>
      </c>
      <c r="B159" s="1955">
        <f>S19/1000</f>
        <v>1334.3</v>
      </c>
      <c r="C159" s="1955">
        <f>AH19/1000</f>
        <v>0</v>
      </c>
      <c r="D159" s="1955">
        <f>AW19/1000</f>
        <v>4659.3</v>
      </c>
      <c r="E159" s="1607">
        <f>SUM(B159:D159)</f>
        <v>5993.6</v>
      </c>
      <c r="F159" s="818"/>
      <c r="G159" s="818"/>
      <c r="H159" s="818"/>
      <c r="I159" s="818"/>
      <c r="J159" s="818"/>
      <c r="K159" s="818"/>
      <c r="L159" s="818"/>
      <c r="M159" s="818"/>
    </row>
    <row r="160" spans="1:13" s="573" customFormat="1" x14ac:dyDescent="0.2">
      <c r="A160" s="1954" t="s">
        <v>2035</v>
      </c>
      <c r="B160" s="1955">
        <f>S20/1000</f>
        <v>14166.8</v>
      </c>
      <c r="C160" s="1955">
        <f>AH20/1000+AH33/1000</f>
        <v>1498.9</v>
      </c>
      <c r="D160" s="1955">
        <f>AW20/1000</f>
        <v>3531.9</v>
      </c>
      <c r="E160" s="1607">
        <f>SUM(B160:D160)</f>
        <v>19197.599999999999</v>
      </c>
      <c r="F160" s="818"/>
      <c r="G160" s="818"/>
      <c r="H160" s="818"/>
      <c r="I160" s="818"/>
      <c r="J160" s="818"/>
      <c r="K160" s="818"/>
      <c r="L160" s="818"/>
      <c r="M160" s="818"/>
    </row>
    <row r="161" spans="1:13" s="573" customFormat="1" x14ac:dyDescent="0.2">
      <c r="A161" s="1954" t="s">
        <v>408</v>
      </c>
      <c r="B161" s="1955">
        <f>S21/1000+S22/1000</f>
        <v>5094.3999999999996</v>
      </c>
      <c r="C161" s="1955">
        <f>AH21/1000+AH22/1000</f>
        <v>6236.6</v>
      </c>
      <c r="D161" s="1955">
        <f>AW21/1000</f>
        <v>338.1</v>
      </c>
      <c r="E161" s="1607">
        <f>SUM(B161:D161)</f>
        <v>11669.1</v>
      </c>
      <c r="F161" s="818"/>
      <c r="G161" s="818"/>
      <c r="H161" s="818"/>
      <c r="I161" s="818"/>
      <c r="J161" s="818"/>
      <c r="K161" s="818"/>
      <c r="L161" s="818"/>
      <c r="M161" s="818"/>
    </row>
    <row r="162" spans="1:13" s="573" customFormat="1" x14ac:dyDescent="0.2">
      <c r="A162" s="1953" t="s">
        <v>752</v>
      </c>
      <c r="B162" s="1956">
        <f>SUM(B157:B161)</f>
        <v>54326.1</v>
      </c>
      <c r="C162" s="1956">
        <f t="shared" ref="C162:E162" si="205">SUM(C157:C161)</f>
        <v>10875.900000000001</v>
      </c>
      <c r="D162" s="1956">
        <f t="shared" si="205"/>
        <v>17301.900000000001</v>
      </c>
      <c r="E162" s="1956">
        <f t="shared" si="205"/>
        <v>82503.899999999994</v>
      </c>
      <c r="F162" s="818"/>
      <c r="G162" s="818"/>
      <c r="H162" s="818"/>
      <c r="I162" s="818"/>
      <c r="J162" s="818"/>
      <c r="K162" s="818"/>
      <c r="L162" s="818"/>
      <c r="M162" s="818"/>
    </row>
    <row r="163" spans="1:13" s="573" customFormat="1" x14ac:dyDescent="0.2">
      <c r="A163" s="1953"/>
      <c r="B163" s="1955"/>
      <c r="C163" s="1958"/>
      <c r="D163" s="1958"/>
      <c r="E163" s="1959"/>
      <c r="F163" s="818"/>
      <c r="G163" s="818"/>
      <c r="H163" s="818"/>
      <c r="I163" s="818"/>
      <c r="J163" s="818"/>
      <c r="K163" s="818"/>
      <c r="L163" s="818"/>
      <c r="M163" s="818"/>
    </row>
    <row r="164" spans="1:13" s="573" customFormat="1" x14ac:dyDescent="0.2">
      <c r="A164" s="1953" t="s">
        <v>3317</v>
      </c>
      <c r="B164" s="1960">
        <f>B154-B162</f>
        <v>-3610.0999999999985</v>
      </c>
      <c r="C164" s="1960">
        <f>C154-C162</f>
        <v>323.19999999999709</v>
      </c>
      <c r="D164" s="1960">
        <f>D154-D162</f>
        <v>-961.10000000000036</v>
      </c>
      <c r="E164" s="1961">
        <f>E154-E162</f>
        <v>-4248</v>
      </c>
      <c r="F164" s="818"/>
      <c r="G164" s="818"/>
      <c r="H164" s="818"/>
      <c r="I164" s="818"/>
      <c r="J164" s="818"/>
      <c r="K164" s="818"/>
      <c r="L164" s="818"/>
      <c r="M164" s="818"/>
    </row>
    <row r="165" spans="1:13" s="573" customFormat="1" x14ac:dyDescent="0.2">
      <c r="A165" s="1954"/>
      <c r="B165" s="1955"/>
      <c r="C165" s="1955"/>
      <c r="D165" s="1955"/>
      <c r="E165" s="1962"/>
      <c r="F165" s="818"/>
      <c r="G165" s="818"/>
      <c r="H165" s="818"/>
      <c r="I165" s="818"/>
      <c r="J165" s="818"/>
      <c r="K165" s="818"/>
      <c r="L165" s="818"/>
      <c r="M165" s="818"/>
    </row>
    <row r="166" spans="1:13" s="573" customFormat="1" x14ac:dyDescent="0.2">
      <c r="A166" s="1954" t="s">
        <v>3318</v>
      </c>
      <c r="B166" s="1955">
        <f>B160+S33/1000</f>
        <v>14357.599999999999</v>
      </c>
      <c r="C166" s="1955">
        <f>C160</f>
        <v>1498.9</v>
      </c>
      <c r="D166" s="1955">
        <f>D160+AW33/1000</f>
        <v>3833</v>
      </c>
      <c r="E166" s="1607">
        <f>SUM(B166:D166)</f>
        <v>19689.5</v>
      </c>
      <c r="F166" s="818"/>
      <c r="G166" s="818"/>
      <c r="H166" s="818"/>
      <c r="I166" s="818"/>
      <c r="J166" s="818"/>
      <c r="K166" s="818"/>
      <c r="L166" s="818"/>
      <c r="M166" s="818"/>
    </row>
    <row r="167" spans="1:13" s="573" customFormat="1" x14ac:dyDescent="0.2">
      <c r="A167" s="1963"/>
      <c r="B167" s="1955"/>
      <c r="C167" s="1955"/>
      <c r="D167" s="1955"/>
      <c r="E167" s="1962"/>
      <c r="F167" s="818"/>
      <c r="G167" s="818"/>
      <c r="H167" s="818"/>
      <c r="I167" s="818"/>
      <c r="J167" s="818"/>
      <c r="K167" s="818"/>
      <c r="L167" s="818"/>
      <c r="M167" s="818"/>
    </row>
    <row r="168" spans="1:13" s="573" customFormat="1" x14ac:dyDescent="0.2">
      <c r="A168" s="1953" t="s">
        <v>3319</v>
      </c>
      <c r="B168" s="1956">
        <f>B166+B164</f>
        <v>10747.5</v>
      </c>
      <c r="C168" s="1956">
        <f t="shared" ref="C168:E168" si="206">C166+C164</f>
        <v>1822.0999999999972</v>
      </c>
      <c r="D168" s="1956">
        <f t="shared" si="206"/>
        <v>2871.8999999999996</v>
      </c>
      <c r="E168" s="1956">
        <f t="shared" si="206"/>
        <v>15441.5</v>
      </c>
      <c r="F168" s="818"/>
      <c r="G168" s="818"/>
      <c r="H168" s="818"/>
      <c r="I168" s="818"/>
      <c r="J168" s="818"/>
      <c r="K168" s="818"/>
      <c r="L168" s="818"/>
      <c r="M168" s="818"/>
    </row>
    <row r="169" spans="1:13" s="573" customFormat="1" x14ac:dyDescent="0.2">
      <c r="A169" s="1954"/>
      <c r="B169" s="1955"/>
      <c r="C169" s="1955"/>
      <c r="D169" s="1955"/>
      <c r="E169" s="1962"/>
      <c r="F169" s="818"/>
      <c r="G169" s="818"/>
      <c r="H169" s="818"/>
      <c r="I169" s="818"/>
      <c r="J169" s="818"/>
      <c r="K169" s="818"/>
      <c r="L169" s="818"/>
      <c r="M169" s="818"/>
    </row>
    <row r="170" spans="1:13" s="573" customFormat="1" x14ac:dyDescent="0.2">
      <c r="A170" s="1954" t="s">
        <v>3320</v>
      </c>
      <c r="B170" s="1955">
        <f>D43/1000</f>
        <v>2286.4</v>
      </c>
      <c r="C170" s="1955">
        <v>0</v>
      </c>
      <c r="D170" s="1955">
        <v>0</v>
      </c>
      <c r="E170" s="1607">
        <f>SUM(B170:D170)</f>
        <v>2286.4</v>
      </c>
      <c r="F170" s="818"/>
      <c r="G170" s="818"/>
      <c r="H170" s="818"/>
      <c r="I170" s="818"/>
      <c r="J170" s="818"/>
      <c r="K170" s="818"/>
      <c r="L170" s="818"/>
      <c r="M170" s="818"/>
    </row>
    <row r="171" spans="1:13" s="573" customFormat="1" x14ac:dyDescent="0.2">
      <c r="A171" s="1954"/>
      <c r="B171" s="1955"/>
      <c r="C171" s="1955"/>
      <c r="D171" s="1955"/>
      <c r="E171" s="1962"/>
      <c r="F171" s="818"/>
      <c r="G171" s="818"/>
      <c r="H171" s="818"/>
      <c r="I171" s="818"/>
      <c r="J171" s="818"/>
      <c r="K171" s="818"/>
      <c r="L171" s="818"/>
      <c r="M171" s="818"/>
    </row>
    <row r="172" spans="1:13" s="573" customFormat="1" x14ac:dyDescent="0.2">
      <c r="A172" s="1954" t="s">
        <v>3321</v>
      </c>
      <c r="B172" s="1955">
        <f>D42/1000</f>
        <v>1730.5</v>
      </c>
      <c r="C172" s="1955">
        <v>0</v>
      </c>
      <c r="D172" s="1955">
        <v>0</v>
      </c>
      <c r="E172" s="1607">
        <f>SUM(B172:D172)</f>
        <v>1730.5</v>
      </c>
      <c r="F172" s="818"/>
      <c r="G172" s="818"/>
      <c r="H172" s="818"/>
      <c r="I172" s="818"/>
      <c r="J172" s="818"/>
      <c r="K172" s="818"/>
      <c r="L172" s="818"/>
      <c r="M172" s="818"/>
    </row>
    <row r="173" spans="1:13" s="573" customFormat="1" x14ac:dyDescent="0.2">
      <c r="A173" s="1954"/>
      <c r="B173" s="1955"/>
      <c r="C173" s="1955"/>
      <c r="D173" s="1955"/>
      <c r="E173" s="1962"/>
      <c r="F173" s="818"/>
      <c r="G173" s="818"/>
      <c r="H173" s="818"/>
      <c r="I173" s="818"/>
      <c r="J173" s="818"/>
      <c r="K173" s="818"/>
      <c r="L173" s="818"/>
      <c r="M173" s="818"/>
    </row>
    <row r="174" spans="1:13" s="573" customFormat="1" x14ac:dyDescent="0.2">
      <c r="A174" s="1953" t="s">
        <v>2167</v>
      </c>
      <c r="B174" s="1956">
        <f>SUM(B168:B173)</f>
        <v>14764.4</v>
      </c>
      <c r="C174" s="1956">
        <f t="shared" ref="C174:E174" si="207">SUM(C168:C173)</f>
        <v>1822.0999999999972</v>
      </c>
      <c r="D174" s="1956">
        <f t="shared" si="207"/>
        <v>2871.8999999999996</v>
      </c>
      <c r="E174" s="1956">
        <f t="shared" si="207"/>
        <v>19458.400000000001</v>
      </c>
      <c r="F174" s="818"/>
      <c r="G174" s="818"/>
      <c r="H174" s="818"/>
      <c r="I174" s="818"/>
      <c r="J174" s="818"/>
      <c r="K174" s="818"/>
      <c r="L174" s="818"/>
      <c r="M174" s="818"/>
    </row>
    <row r="175" spans="1:13" s="573" customFormat="1" x14ac:dyDescent="0.2">
      <c r="A175" s="1954"/>
      <c r="B175" s="1955"/>
      <c r="C175" s="1955"/>
      <c r="D175" s="1955"/>
      <c r="E175" s="1962"/>
      <c r="F175" s="818"/>
      <c r="G175" s="818"/>
      <c r="H175" s="818"/>
      <c r="I175" s="818"/>
      <c r="J175" s="818"/>
      <c r="K175" s="818"/>
      <c r="L175" s="818"/>
      <c r="M175" s="818"/>
    </row>
    <row r="176" spans="1:13" s="573" customFormat="1" x14ac:dyDescent="0.2">
      <c r="A176" s="1964" t="s">
        <v>3322</v>
      </c>
      <c r="B176" s="1955"/>
      <c r="C176" s="1955"/>
      <c r="D176" s="1955"/>
      <c r="E176" s="1962"/>
      <c r="F176" s="818"/>
      <c r="G176" s="818"/>
      <c r="H176" s="818"/>
      <c r="I176" s="818"/>
      <c r="J176" s="818"/>
      <c r="K176" s="818"/>
      <c r="L176" s="818"/>
      <c r="M176" s="818"/>
    </row>
    <row r="177" spans="1:17" s="573" customFormat="1" x14ac:dyDescent="0.2">
      <c r="A177" s="1954"/>
      <c r="B177" s="1955"/>
      <c r="C177" s="1955"/>
      <c r="D177" s="1955"/>
      <c r="E177" s="1962"/>
      <c r="F177" s="818"/>
      <c r="G177" s="818"/>
      <c r="H177" s="818"/>
      <c r="I177" s="818"/>
      <c r="J177" s="818"/>
      <c r="K177" s="818"/>
      <c r="L177" s="818"/>
      <c r="M177" s="818"/>
    </row>
    <row r="178" spans="1:17" s="573" customFormat="1" x14ac:dyDescent="0.2">
      <c r="A178" s="1953" t="s">
        <v>1865</v>
      </c>
      <c r="B178" s="1955"/>
      <c r="C178" s="1955"/>
      <c r="D178" s="1955"/>
      <c r="E178" s="1962"/>
      <c r="F178" s="818"/>
      <c r="G178" s="818"/>
      <c r="H178" s="818"/>
      <c r="I178" s="818"/>
      <c r="J178" s="818"/>
      <c r="K178" s="818"/>
      <c r="L178" s="818"/>
      <c r="M178" s="818"/>
    </row>
    <row r="179" spans="1:17" s="573" customFormat="1" x14ac:dyDescent="0.2">
      <c r="A179" s="1954" t="s">
        <v>3323</v>
      </c>
      <c r="B179" s="1955">
        <f>('Cap-Gen'!E7+++'Cap-Gen'!E14++'Cap-Gen'!E60+'Cap-Gen'!E73+'Cap-Gen'!E82++'Cap-Gen'!E93++'Cap-Gen'!E10+'Cap-Gen'!E11+'Cap-Gen'!E49+'Cap-Gen'!E55+'Cap-Gen'!E61++'Cap-Gen'!E99+'Cap-Gen'!E110++'Cap-Gen'!E83)/1000</f>
        <v>1810.7</v>
      </c>
      <c r="C179" s="1955">
        <v>0</v>
      </c>
      <c r="D179" s="1955">
        <v>0</v>
      </c>
      <c r="E179" s="1607">
        <f>SUM(B179:D179)</f>
        <v>1810.7</v>
      </c>
      <c r="F179" s="818"/>
      <c r="G179" s="818"/>
      <c r="H179" s="818"/>
      <c r="I179" s="818"/>
      <c r="J179" s="818"/>
      <c r="K179" s="818"/>
      <c r="L179" s="818"/>
      <c r="M179" s="818"/>
    </row>
    <row r="180" spans="1:17" s="573" customFormat="1" x14ac:dyDescent="0.2">
      <c r="A180" s="1954" t="s">
        <v>1351</v>
      </c>
      <c r="B180" s="1955">
        <f>('Cap-Gen'!E30+'Cap-Gen'!E51++'Cap-Gen'!E217+'Cap-Gen'!E203++'Cap-Gen'!E79)/1000</f>
        <v>1905.6</v>
      </c>
      <c r="C180" s="1955">
        <f>'Cap-Water'!E64/1000</f>
        <v>64.8</v>
      </c>
      <c r="D180" s="1955">
        <f>SUM('Cap-WW'!G104:G110)/1000</f>
        <v>87.2</v>
      </c>
      <c r="E180" s="1607">
        <f>SUM(B180:D180)</f>
        <v>2057.6</v>
      </c>
      <c r="F180" s="818"/>
      <c r="G180" s="818"/>
      <c r="H180" s="818"/>
      <c r="I180" s="818"/>
      <c r="J180" s="818"/>
      <c r="K180" s="818"/>
      <c r="L180" s="818"/>
      <c r="M180" s="818"/>
    </row>
    <row r="181" spans="1:17" s="573" customFormat="1" x14ac:dyDescent="0.2">
      <c r="A181" s="1954" t="s">
        <v>1864</v>
      </c>
      <c r="B181" s="1955">
        <f>'Cap-Gen'!E221/1000-Summaries!B180-Summaries!B179+'Cash-Gen'!C55/1000</f>
        <v>20180.5</v>
      </c>
      <c r="C181" s="1955">
        <f>'Cap-Water'!E73/1000-Summaries!C180-Summaries!C179</f>
        <v>1362.2</v>
      </c>
      <c r="D181" s="1955">
        <f>AW49/1000-D180</f>
        <v>2925.6000000000004</v>
      </c>
      <c r="E181" s="1607">
        <f>SUM(B181:D181)</f>
        <v>24468.300000000003</v>
      </c>
      <c r="F181" s="818"/>
      <c r="G181" s="818"/>
      <c r="H181" s="818"/>
      <c r="I181" s="818"/>
      <c r="J181" s="818"/>
      <c r="K181" s="818"/>
      <c r="L181" s="818"/>
      <c r="M181" s="818"/>
    </row>
    <row r="182" spans="1:17" s="573" customFormat="1" x14ac:dyDescent="0.2">
      <c r="A182" s="1954" t="s">
        <v>3324</v>
      </c>
      <c r="B182" s="1955">
        <f>S50/1000</f>
        <v>3788.9</v>
      </c>
      <c r="C182" s="1955">
        <f>AG50/1000</f>
        <v>0</v>
      </c>
      <c r="D182" s="1955">
        <f>AW50/1000</f>
        <v>2793.3</v>
      </c>
      <c r="E182" s="1607">
        <f>SUM(B182:D182)</f>
        <v>6582.2000000000007</v>
      </c>
      <c r="F182" s="818"/>
      <c r="G182" s="818"/>
      <c r="H182" s="818"/>
      <c r="I182" s="818"/>
      <c r="J182" s="818"/>
      <c r="K182" s="818"/>
      <c r="L182" s="818"/>
      <c r="M182" s="818"/>
    </row>
    <row r="183" spans="1:17" s="573" customFormat="1" x14ac:dyDescent="0.2">
      <c r="A183" s="1953" t="s">
        <v>1504</v>
      </c>
      <c r="B183" s="1956">
        <f>SUM(B179:B182)</f>
        <v>27685.7</v>
      </c>
      <c r="C183" s="1956">
        <f>SUM(C179:C182)</f>
        <v>1427</v>
      </c>
      <c r="D183" s="1956">
        <f>SUM(D179:D182)</f>
        <v>5806.1</v>
      </c>
      <c r="E183" s="1957">
        <f>SUM(E179:E182)</f>
        <v>34918.800000000003</v>
      </c>
      <c r="F183" s="818"/>
      <c r="G183" s="818"/>
      <c r="H183" s="818"/>
      <c r="I183" s="818"/>
      <c r="J183" s="818"/>
      <c r="K183" s="818"/>
      <c r="L183" s="818"/>
      <c r="M183" s="818"/>
    </row>
    <row r="184" spans="1:17" s="573" customFormat="1" x14ac:dyDescent="0.2">
      <c r="A184" s="1954"/>
      <c r="B184" s="1955"/>
      <c r="C184" s="1955"/>
      <c r="D184" s="1955"/>
      <c r="E184" s="1962"/>
      <c r="F184" s="818"/>
      <c r="G184" s="818"/>
      <c r="H184" s="818"/>
      <c r="I184" s="818"/>
      <c r="J184" s="818"/>
      <c r="K184" s="818"/>
      <c r="L184" s="818"/>
      <c r="M184" s="818"/>
    </row>
    <row r="185" spans="1:17" s="573" customFormat="1" x14ac:dyDescent="0.2">
      <c r="A185" s="1953" t="s">
        <v>877</v>
      </c>
      <c r="B185" s="1955"/>
      <c r="C185" s="1955"/>
      <c r="D185" s="1955"/>
      <c r="E185" s="1962"/>
      <c r="F185" s="818"/>
      <c r="G185" s="818"/>
      <c r="H185" s="818"/>
      <c r="I185" s="818"/>
      <c r="J185" s="818"/>
      <c r="K185" s="818"/>
      <c r="L185" s="818"/>
      <c r="M185" s="818"/>
    </row>
    <row r="186" spans="1:17" s="573" customFormat="1" x14ac:dyDescent="0.2">
      <c r="A186" s="1954" t="s">
        <v>2167</v>
      </c>
      <c r="B186" s="1955">
        <f>B174</f>
        <v>14764.4</v>
      </c>
      <c r="C186" s="1955">
        <f>C174</f>
        <v>1822.0999999999972</v>
      </c>
      <c r="D186" s="1955">
        <f>D174</f>
        <v>2871.8999999999996</v>
      </c>
      <c r="E186" s="1955">
        <f>E174</f>
        <v>19458.400000000001</v>
      </c>
      <c r="F186" s="818"/>
      <c r="G186" s="818"/>
      <c r="H186" s="818"/>
      <c r="I186" s="818"/>
      <c r="J186" s="818"/>
      <c r="K186" s="818"/>
      <c r="L186" s="818"/>
      <c r="M186" s="818"/>
    </row>
    <row r="187" spans="1:17" s="573" customFormat="1" x14ac:dyDescent="0.2">
      <c r="A187" s="1954" t="s">
        <v>3325</v>
      </c>
      <c r="B187" s="1955">
        <f>-(S58/1000+S59/1000)</f>
        <v>1109.3</v>
      </c>
      <c r="C187" s="1955">
        <f>-AH59/1000-AH58/1000</f>
        <v>-1504</v>
      </c>
      <c r="D187" s="1955">
        <f>-AW59/1000-AW58/1000</f>
        <v>692.39999999999986</v>
      </c>
      <c r="E187" s="1607">
        <f>SUM(B187:D187)</f>
        <v>297.69999999999982</v>
      </c>
      <c r="F187" s="818"/>
      <c r="G187" s="818"/>
      <c r="H187" s="818"/>
      <c r="I187" s="818"/>
      <c r="J187" s="818"/>
      <c r="K187" s="818"/>
      <c r="L187" s="818"/>
      <c r="M187" s="818"/>
    </row>
    <row r="188" spans="1:17" s="573" customFormat="1" x14ac:dyDescent="0.2">
      <c r="A188" s="1954" t="s">
        <v>267</v>
      </c>
      <c r="B188" s="1955">
        <f>-S60/1000</f>
        <v>5.2</v>
      </c>
      <c r="C188" s="1955">
        <v>0</v>
      </c>
      <c r="D188" s="1955">
        <v>0</v>
      </c>
      <c r="E188" s="1607">
        <f>SUM(B188:D188)</f>
        <v>5.2</v>
      </c>
      <c r="F188" s="818"/>
      <c r="G188" s="818"/>
      <c r="H188" s="818"/>
      <c r="I188" s="818"/>
      <c r="J188" s="818"/>
      <c r="K188" s="818"/>
      <c r="L188" s="818"/>
      <c r="M188" s="818"/>
    </row>
    <row r="189" spans="1:17" s="573" customFormat="1" x14ac:dyDescent="0.2">
      <c r="A189" s="1954" t="s">
        <v>2668</v>
      </c>
      <c r="B189" s="1955">
        <f>S40/1000+S41/1000</f>
        <v>11484.1</v>
      </c>
      <c r="C189" s="1955">
        <f>AH40/1000+AH41/1000+AH45/1000</f>
        <v>1082.9000000000001</v>
      </c>
      <c r="D189" s="1955">
        <f>AW40/1000+AW41/1000+AW45/1000</f>
        <v>2539</v>
      </c>
      <c r="E189" s="1607">
        <f>SUM(B189:D189)</f>
        <v>15106</v>
      </c>
      <c r="F189" s="818"/>
      <c r="G189" s="818"/>
      <c r="H189" s="818"/>
      <c r="I189" s="818"/>
      <c r="J189" s="818"/>
      <c r="K189" s="818"/>
      <c r="L189" s="818"/>
      <c r="M189" s="818"/>
    </row>
    <row r="190" spans="1:17" s="573" customFormat="1" x14ac:dyDescent="0.2">
      <c r="A190" s="1954" t="s">
        <v>268</v>
      </c>
      <c r="B190" s="1955">
        <f>S44/1000</f>
        <v>500</v>
      </c>
      <c r="C190" s="1955">
        <f>AH44/1000</f>
        <v>0</v>
      </c>
      <c r="D190" s="1955">
        <f>AW44/1000</f>
        <v>0</v>
      </c>
      <c r="E190" s="1607">
        <f>SUM(B190:D190)</f>
        <v>500</v>
      </c>
      <c r="F190" s="818"/>
      <c r="G190" s="818"/>
      <c r="H190" s="818"/>
      <c r="I190" s="818"/>
      <c r="J190" s="818"/>
      <c r="K190" s="818"/>
      <c r="L190" s="818"/>
      <c r="M190" s="818"/>
    </row>
    <row r="191" spans="1:17" s="573" customFormat="1" x14ac:dyDescent="0.2">
      <c r="A191" s="1953" t="s">
        <v>1504</v>
      </c>
      <c r="B191" s="1956">
        <f>SUM(B186:B190)</f>
        <v>27863</v>
      </c>
      <c r="C191" s="1956">
        <f>SUM(C186:C190)</f>
        <v>1400.9999999999973</v>
      </c>
      <c r="D191" s="1956">
        <f>SUM(D186:D190)</f>
        <v>6103.2999999999993</v>
      </c>
      <c r="E191" s="1957">
        <f>SUM(E186:E190)</f>
        <v>35367.300000000003</v>
      </c>
      <c r="F191" s="818"/>
      <c r="G191" s="818"/>
      <c r="H191" s="818"/>
      <c r="I191" s="818"/>
      <c r="J191" s="818"/>
      <c r="K191" s="818"/>
      <c r="L191" s="818"/>
      <c r="M191" s="818"/>
    </row>
    <row r="192" spans="1:17" s="573" customFormat="1" ht="13.5" thickBot="1" x14ac:dyDescent="0.25">
      <c r="A192" s="1965"/>
      <c r="B192" s="1966"/>
      <c r="C192" s="1966"/>
      <c r="D192" s="1946"/>
      <c r="E192" s="1611"/>
      <c r="F192" s="818"/>
      <c r="G192" s="818"/>
      <c r="H192" s="818"/>
      <c r="I192" s="818"/>
      <c r="J192" s="818"/>
      <c r="K192" s="818"/>
      <c r="L192" s="36"/>
      <c r="M192" s="36"/>
      <c r="N192" s="36"/>
      <c r="O192" s="36"/>
      <c r="P192" s="36"/>
      <c r="Q192" s="36"/>
    </row>
    <row r="193" spans="1:19" s="573" customFormat="1" x14ac:dyDescent="0.2">
      <c r="A193" s="542"/>
      <c r="B193" s="542"/>
      <c r="C193" s="818"/>
      <c r="D193" s="818"/>
      <c r="E193" s="818"/>
      <c r="F193" s="818"/>
      <c r="G193" s="818"/>
      <c r="H193" s="818"/>
      <c r="I193" s="818"/>
      <c r="J193" s="818"/>
      <c r="K193" s="818"/>
      <c r="L193" s="36"/>
      <c r="M193" s="36"/>
      <c r="N193" s="36"/>
      <c r="O193" s="36"/>
      <c r="P193" s="36"/>
      <c r="Q193" s="36"/>
    </row>
    <row r="194" spans="1:19" x14ac:dyDescent="0.2">
      <c r="K194" s="36"/>
      <c r="L194" s="36"/>
      <c r="M194" s="36"/>
      <c r="N194" s="36"/>
      <c r="O194" s="36"/>
      <c r="P194" s="36"/>
      <c r="Q194" s="36"/>
    </row>
    <row r="195" spans="1:19" x14ac:dyDescent="0.2">
      <c r="A195" s="1967" t="s">
        <v>419</v>
      </c>
      <c r="B195" s="1967"/>
      <c r="C195" s="1968" t="s">
        <v>418</v>
      </c>
      <c r="D195" s="1968"/>
      <c r="E195" s="1968">
        <v>985</v>
      </c>
      <c r="F195" s="1968" t="s">
        <v>1735</v>
      </c>
      <c r="G195" s="1969">
        <v>11600000</v>
      </c>
      <c r="H195" s="1968"/>
      <c r="J195" s="1612"/>
      <c r="K195" s="1678"/>
      <c r="L195" s="36"/>
      <c r="M195" s="36"/>
      <c r="N195" s="36"/>
      <c r="O195" s="36"/>
      <c r="P195" s="36"/>
      <c r="Q195" s="36"/>
      <c r="R195" s="1612"/>
      <c r="S195" s="1612"/>
    </row>
    <row r="196" spans="1:19" x14ac:dyDescent="0.2">
      <c r="A196" s="1970" t="str">
        <f>SP!G849</f>
        <v>Strategic Planning</v>
      </c>
      <c r="B196" s="1970"/>
      <c r="C196" s="9">
        <f>SP!H95</f>
        <v>-1151600</v>
      </c>
      <c r="D196" s="9">
        <f t="shared" ref="D196:D221" si="208">IF(C196&lt;0,C196," ")</f>
        <v>-1151600</v>
      </c>
      <c r="E196" s="547">
        <f t="shared" ref="E196:E221" si="209">IF(D196=" ",0,(D196/$D$222*$E$195))</f>
        <v>36.211293144177851</v>
      </c>
      <c r="F196" s="547">
        <f t="shared" ref="F196:F201" si="210">E196</f>
        <v>36.211293144177851</v>
      </c>
      <c r="G196" s="549">
        <f t="shared" ref="G196:G221" si="211">IF(D196=" ",0,(D196/$D$222*$G$195))</f>
        <v>426447.71621569851</v>
      </c>
      <c r="H196" s="698">
        <f t="shared" ref="H196:H221" si="212">G196/$G$222</f>
        <v>3.6762734156525735E-2</v>
      </c>
      <c r="J196" s="1885"/>
      <c r="K196" s="36"/>
      <c r="L196" s="36"/>
      <c r="M196" s="36"/>
      <c r="N196" s="36"/>
      <c r="O196" s="36"/>
      <c r="P196" s="36"/>
      <c r="Q196" s="36"/>
      <c r="R196" s="783"/>
      <c r="S196" s="783"/>
    </row>
    <row r="197" spans="1:19" x14ac:dyDescent="0.2">
      <c r="A197" s="1971" t="s">
        <v>3489</v>
      </c>
      <c r="B197" s="1970"/>
      <c r="C197" s="9">
        <f>SP!H153</f>
        <v>-938900</v>
      </c>
      <c r="D197" s="9">
        <f>IF(C197&lt;0,C197," ")</f>
        <v>-938900</v>
      </c>
      <c r="E197" s="547">
        <f t="shared" si="209"/>
        <v>29.523083651501029</v>
      </c>
      <c r="F197" s="547">
        <f t="shared" si="210"/>
        <v>29.523083651501029</v>
      </c>
      <c r="G197" s="549">
        <f t="shared" si="211"/>
        <v>347683.01559128118</v>
      </c>
      <c r="H197" s="698">
        <f t="shared" si="212"/>
        <v>2.9972673757869068E-2</v>
      </c>
      <c r="J197" s="1972"/>
      <c r="K197" s="36"/>
      <c r="L197" s="36"/>
      <c r="M197" s="36"/>
      <c r="N197" s="36"/>
      <c r="O197" s="36"/>
      <c r="P197" s="36"/>
      <c r="Q197" s="36"/>
      <c r="R197" s="783"/>
      <c r="S197" s="783"/>
    </row>
    <row r="198" spans="1:19" x14ac:dyDescent="0.2">
      <c r="A198" s="1971" t="s">
        <v>3484</v>
      </c>
      <c r="B198" s="1970"/>
      <c r="C198" s="9">
        <f>SP!H207</f>
        <v>-1366800</v>
      </c>
      <c r="D198" s="9">
        <f>IF(C198&lt;0,C198," ")</f>
        <v>-1366800</v>
      </c>
      <c r="E198" s="547">
        <f t="shared" si="209"/>
        <v>42.978113467751207</v>
      </c>
      <c r="F198" s="547">
        <f t="shared" si="210"/>
        <v>42.978113467751207</v>
      </c>
      <c r="G198" s="549">
        <f t="shared" si="211"/>
        <v>506138.18906184158</v>
      </c>
      <c r="H198" s="698">
        <f t="shared" si="212"/>
        <v>4.3632602505331172E-2</v>
      </c>
      <c r="J198" s="1972"/>
      <c r="K198" s="36"/>
      <c r="L198" s="36"/>
      <c r="M198" s="36"/>
      <c r="N198" s="36"/>
      <c r="O198" s="36"/>
      <c r="P198" s="36"/>
      <c r="Q198" s="36"/>
      <c r="R198" s="783"/>
      <c r="S198" s="783"/>
    </row>
    <row r="199" spans="1:19" x14ac:dyDescent="0.2">
      <c r="A199" s="1971" t="s">
        <v>384</v>
      </c>
      <c r="B199" s="1970"/>
      <c r="C199" s="9">
        <f>SP!H258</f>
        <v>-1155100</v>
      </c>
      <c r="D199" s="9">
        <f>IF(C199&lt;0,C199," ")</f>
        <v>-1155100</v>
      </c>
      <c r="E199" s="547">
        <f t="shared" si="209"/>
        <v>36.321348307432999</v>
      </c>
      <c r="F199" s="547">
        <f t="shared" si="210"/>
        <v>36.321348307432999</v>
      </c>
      <c r="G199" s="549">
        <f t="shared" si="211"/>
        <v>427743.79732611449</v>
      </c>
      <c r="H199" s="698">
        <f t="shared" si="212"/>
        <v>3.6874465286734007E-2</v>
      </c>
      <c r="J199" s="1972"/>
      <c r="K199" s="36"/>
      <c r="L199" s="36"/>
      <c r="M199" s="36"/>
      <c r="N199" s="36"/>
      <c r="O199" s="36"/>
      <c r="P199" s="36"/>
      <c r="Q199" s="36"/>
      <c r="R199" s="783"/>
      <c r="S199" s="783"/>
    </row>
    <row r="200" spans="1:19" x14ac:dyDescent="0.2">
      <c r="A200" s="1973" t="str">
        <f>SP!F11</f>
        <v>Tourism</v>
      </c>
      <c r="B200" s="1973"/>
      <c r="C200" s="9">
        <f>SP!H312</f>
        <v>-422900</v>
      </c>
      <c r="D200" s="9">
        <f>IF(C200&lt;0,C200," ")</f>
        <v>-422900</v>
      </c>
      <c r="E200" s="547">
        <f t="shared" si="209"/>
        <v>13.297808154457115</v>
      </c>
      <c r="F200" s="547">
        <f t="shared" si="210"/>
        <v>13.297808154457115</v>
      </c>
      <c r="G200" s="549">
        <f t="shared" si="211"/>
        <v>156603.62902710916</v>
      </c>
      <c r="H200" s="698">
        <f t="shared" si="212"/>
        <v>1.3500312847164582E-2</v>
      </c>
      <c r="J200" s="783"/>
      <c r="K200" s="36"/>
      <c r="L200" s="36"/>
      <c r="M200" s="36"/>
      <c r="N200" s="36"/>
      <c r="O200" s="36"/>
      <c r="P200" s="36"/>
      <c r="Q200" s="36"/>
      <c r="R200" s="783"/>
      <c r="S200" s="783"/>
    </row>
    <row r="201" spans="1:19" x14ac:dyDescent="0.2">
      <c r="A201" s="1973" t="str">
        <f>DEH!F9</f>
        <v>Environmental and Public Health</v>
      </c>
      <c r="B201" s="1973"/>
      <c r="C201" s="9">
        <f>DEH!H165</f>
        <v>-1204300</v>
      </c>
      <c r="D201" s="9">
        <f t="shared" si="208"/>
        <v>-1204300</v>
      </c>
      <c r="E201" s="547">
        <f t="shared" si="209"/>
        <v>37.868409459476716</v>
      </c>
      <c r="F201" s="547">
        <f t="shared" si="210"/>
        <v>37.868409459476716</v>
      </c>
      <c r="G201" s="549">
        <f t="shared" si="211"/>
        <v>445962.99464967503</v>
      </c>
      <c r="H201" s="698">
        <f t="shared" si="212"/>
        <v>3.844508574566164E-2</v>
      </c>
      <c r="J201" s="783"/>
      <c r="K201" s="36"/>
      <c r="L201" s="36"/>
      <c r="M201" s="36"/>
      <c r="N201" s="36"/>
      <c r="O201" s="36"/>
      <c r="P201" s="36"/>
      <c r="Q201" s="36"/>
      <c r="R201" s="783"/>
      <c r="S201" s="783"/>
    </row>
    <row r="202" spans="1:19" x14ac:dyDescent="0.2">
      <c r="A202" s="1973" t="str">
        <f>DEH!F7</f>
        <v>Development Services</v>
      </c>
      <c r="B202" s="1973"/>
      <c r="C202" s="9">
        <f>DEH!H79</f>
        <v>-905600</v>
      </c>
      <c r="D202" s="9">
        <f t="shared" si="208"/>
        <v>-905600</v>
      </c>
      <c r="E202" s="547">
        <f t="shared" si="209"/>
        <v>28.475987383959239</v>
      </c>
      <c r="F202" s="547">
        <f>E202</f>
        <v>28.475987383959239</v>
      </c>
      <c r="G202" s="549">
        <f t="shared" si="211"/>
        <v>335351.72959789558</v>
      </c>
      <c r="H202" s="698">
        <f t="shared" si="212"/>
        <v>2.8909631861887549E-2</v>
      </c>
      <c r="J202" s="783"/>
      <c r="K202" s="36"/>
      <c r="L202" s="36"/>
      <c r="M202" s="36"/>
      <c r="N202" s="36"/>
      <c r="O202" s="36"/>
      <c r="P202" s="36"/>
      <c r="Q202" s="36"/>
      <c r="R202" s="783"/>
      <c r="S202" s="783"/>
    </row>
    <row r="203" spans="1:19" x14ac:dyDescent="0.2">
      <c r="A203" s="1973" t="str">
        <f>DEH!F8</f>
        <v>Building Services</v>
      </c>
      <c r="B203" s="1973"/>
      <c r="C203" s="9">
        <f>DEH!H114</f>
        <v>187100</v>
      </c>
      <c r="D203" s="9" t="str">
        <f t="shared" si="208"/>
        <v xml:space="preserve"> </v>
      </c>
      <c r="E203" s="547">
        <f t="shared" si="209"/>
        <v>0</v>
      </c>
      <c r="F203" s="547"/>
      <c r="G203" s="549">
        <f t="shared" si="211"/>
        <v>0</v>
      </c>
      <c r="H203" s="698">
        <f t="shared" si="212"/>
        <v>0</v>
      </c>
      <c r="J203" s="783"/>
      <c r="K203" s="36"/>
      <c r="L203" s="36"/>
      <c r="M203" s="36"/>
      <c r="N203" s="36"/>
      <c r="O203" s="36"/>
      <c r="P203" s="36"/>
      <c r="Q203" s="36"/>
      <c r="R203" s="783"/>
      <c r="S203" s="783"/>
    </row>
    <row r="204" spans="1:19" x14ac:dyDescent="0.2">
      <c r="A204" s="1973" t="str">
        <f>DEH!F10</f>
        <v>Public Order</v>
      </c>
      <c r="B204" s="1973"/>
      <c r="C204" s="9">
        <f>DEH!H209</f>
        <v>-329000</v>
      </c>
      <c r="D204" s="9">
        <f t="shared" si="208"/>
        <v>-329000</v>
      </c>
      <c r="E204" s="547">
        <f t="shared" si="209"/>
        <v>10.345185345983426</v>
      </c>
      <c r="F204" s="1974">
        <f>E204+E218</f>
        <v>17.187472067217449</v>
      </c>
      <c r="G204" s="549">
        <f t="shared" si="211"/>
        <v>121831.62437909415</v>
      </c>
      <c r="H204" s="698">
        <f t="shared" si="212"/>
        <v>1.0502726239577083E-2</v>
      </c>
      <c r="J204" s="783"/>
      <c r="K204" s="36"/>
      <c r="L204" s="36"/>
      <c r="M204" s="36"/>
      <c r="N204" s="36"/>
      <c r="O204" s="36"/>
      <c r="P204" s="36"/>
      <c r="Q204" s="36"/>
      <c r="R204" s="783"/>
      <c r="S204" s="783"/>
    </row>
    <row r="205" spans="1:19" x14ac:dyDescent="0.2">
      <c r="A205" s="1973" t="str">
        <f>GM!G1126</f>
        <v>Communications</v>
      </c>
      <c r="B205" s="1973"/>
      <c r="C205" s="9">
        <f>GM!H120</f>
        <v>-2276900</v>
      </c>
      <c r="D205" s="9">
        <f t="shared" si="208"/>
        <v>-2276900</v>
      </c>
      <c r="E205" s="547">
        <f t="shared" si="209"/>
        <v>71.595600347324208</v>
      </c>
      <c r="F205" s="547">
        <f>E205</f>
        <v>71.595600347324208</v>
      </c>
      <c r="G205" s="549">
        <f t="shared" si="211"/>
        <v>843156.30865884339</v>
      </c>
      <c r="H205" s="698">
        <f t="shared" si="212"/>
        <v>7.2685888677486502E-2</v>
      </c>
      <c r="J205" s="783"/>
      <c r="K205" s="36"/>
      <c r="L205" s="36"/>
      <c r="M205" s="36"/>
      <c r="N205" s="36"/>
      <c r="O205" s="36"/>
      <c r="P205" s="36"/>
      <c r="Q205" s="36"/>
      <c r="R205" s="36"/>
      <c r="S205" s="783"/>
    </row>
    <row r="206" spans="1:19" x14ac:dyDescent="0.2">
      <c r="A206" s="1973" t="str">
        <f>GM!G1128</f>
        <v xml:space="preserve">Financial Services - General Purpose </v>
      </c>
      <c r="B206" s="1973"/>
      <c r="C206" s="9">
        <f>GM!H165</f>
        <v>26165700</v>
      </c>
      <c r="D206" s="9"/>
      <c r="E206" s="547">
        <f t="shared" si="209"/>
        <v>0</v>
      </c>
      <c r="F206" s="547"/>
      <c r="G206" s="549">
        <f t="shared" si="211"/>
        <v>0</v>
      </c>
      <c r="H206" s="698">
        <f t="shared" si="212"/>
        <v>0</v>
      </c>
      <c r="J206" s="783"/>
      <c r="K206" s="36"/>
      <c r="L206" s="36"/>
      <c r="M206" s="36"/>
      <c r="N206" s="36"/>
      <c r="O206" s="36"/>
      <c r="P206" s="36"/>
      <c r="Q206" s="36"/>
      <c r="R206" s="36"/>
      <c r="S206" s="783"/>
    </row>
    <row r="207" spans="1:19" x14ac:dyDescent="0.2">
      <c r="A207" s="1975" t="s">
        <v>3864</v>
      </c>
      <c r="B207" s="1973"/>
      <c r="C207" s="9">
        <f>GM!H212</f>
        <v>4632500</v>
      </c>
      <c r="D207" s="9" t="str">
        <f t="shared" si="208"/>
        <v xml:space="preserve"> </v>
      </c>
      <c r="E207" s="547">
        <f t="shared" si="209"/>
        <v>0</v>
      </c>
      <c r="F207" s="547">
        <f>E207</f>
        <v>0</v>
      </c>
      <c r="G207" s="549">
        <f t="shared" si="211"/>
        <v>0</v>
      </c>
      <c r="H207" s="698">
        <f t="shared" si="212"/>
        <v>0</v>
      </c>
      <c r="J207" s="783"/>
      <c r="K207" s="36"/>
      <c r="L207" s="36"/>
      <c r="M207" s="36"/>
      <c r="N207" s="36"/>
      <c r="O207" s="36"/>
      <c r="P207" s="36"/>
      <c r="Q207" s="36"/>
      <c r="R207" s="36"/>
      <c r="S207" s="783"/>
    </row>
    <row r="208" spans="1:19" x14ac:dyDescent="0.2">
      <c r="A208" s="1973" t="str">
        <f>GM!G1129</f>
        <v>Information Services</v>
      </c>
      <c r="B208" s="1973"/>
      <c r="C208" s="9">
        <f>GM!H251</f>
        <v>-2470600</v>
      </c>
      <c r="D208" s="9">
        <f t="shared" si="208"/>
        <v>-2470600</v>
      </c>
      <c r="E208" s="547">
        <f t="shared" si="209"/>
        <v>77.686367525187379</v>
      </c>
      <c r="F208" s="547">
        <f>E208</f>
        <v>77.686367525187379</v>
      </c>
      <c r="G208" s="549">
        <f t="shared" si="211"/>
        <v>914885.14039814589</v>
      </c>
      <c r="H208" s="698">
        <f t="shared" si="212"/>
        <v>7.8869408655012574E-2</v>
      </c>
      <c r="J208" s="783"/>
      <c r="K208" s="36"/>
      <c r="L208" s="36"/>
      <c r="M208" s="36"/>
      <c r="N208" s="36"/>
      <c r="O208" s="36"/>
      <c r="P208" s="36"/>
      <c r="Q208" s="36"/>
      <c r="R208" s="36"/>
      <c r="S208" s="783"/>
    </row>
    <row r="209" spans="1:32" x14ac:dyDescent="0.2">
      <c r="A209" s="1973" t="str">
        <f>GM!G1130</f>
        <v xml:space="preserve">Human Resources and Risk </v>
      </c>
      <c r="B209" s="1973"/>
      <c r="C209" s="9">
        <f>GM!H307</f>
        <v>-669000</v>
      </c>
      <c r="D209" s="9">
        <f t="shared" si="208"/>
        <v>-669000</v>
      </c>
      <c r="E209" s="547">
        <f t="shared" si="209"/>
        <v>21.036258347911584</v>
      </c>
      <c r="F209" s="547">
        <f>E209</f>
        <v>21.036258347911584</v>
      </c>
      <c r="G209" s="549">
        <f t="shared" si="211"/>
        <v>247736.64653378108</v>
      </c>
      <c r="H209" s="698">
        <f t="shared" si="212"/>
        <v>2.1356607459808715E-2</v>
      </c>
      <c r="J209" s="783"/>
      <c r="K209" s="36"/>
      <c r="L209" s="36"/>
      <c r="M209" s="36"/>
      <c r="N209" s="36"/>
      <c r="O209" s="36"/>
      <c r="P209" s="36"/>
      <c r="Q209" s="36"/>
      <c r="R209" s="36"/>
      <c r="S209" s="783"/>
    </row>
    <row r="210" spans="1:32" x14ac:dyDescent="0.2">
      <c r="A210" s="1973" t="str">
        <f>GM!G1131</f>
        <v>Property Management</v>
      </c>
      <c r="B210" s="1973"/>
      <c r="C210" s="9">
        <f>GM!H373</f>
        <v>400000</v>
      </c>
      <c r="D210" s="9" t="str">
        <f t="shared" si="208"/>
        <v xml:space="preserve"> </v>
      </c>
      <c r="E210" s="547">
        <f t="shared" si="209"/>
        <v>0</v>
      </c>
      <c r="F210" s="547">
        <f>E210</f>
        <v>0</v>
      </c>
      <c r="G210" s="549">
        <f t="shared" si="211"/>
        <v>0</v>
      </c>
      <c r="H210" s="698">
        <f t="shared" si="212"/>
        <v>0</v>
      </c>
      <c r="J210" s="783"/>
      <c r="K210" s="36"/>
      <c r="L210" s="36"/>
      <c r="M210" s="36"/>
      <c r="N210" s="36"/>
      <c r="O210" s="36"/>
      <c r="P210" s="36"/>
      <c r="Q210" s="36"/>
      <c r="R210" s="36"/>
      <c r="S210" s="783"/>
    </row>
    <row r="211" spans="1:32" x14ac:dyDescent="0.2">
      <c r="A211" s="1973" t="str">
        <f>CIV!G2053</f>
        <v>Engineering Management</v>
      </c>
      <c r="B211" s="1973"/>
      <c r="C211" s="9">
        <f>CIV!H120</f>
        <v>-2216700</v>
      </c>
      <c r="D211" s="9">
        <f t="shared" si="208"/>
        <v>-2216700</v>
      </c>
      <c r="E211" s="547">
        <f t="shared" si="209"/>
        <v>69.702651539335747</v>
      </c>
      <c r="F211" s="547"/>
      <c r="G211" s="549">
        <f t="shared" si="211"/>
        <v>820863.71355969005</v>
      </c>
      <c r="H211" s="698">
        <f t="shared" si="212"/>
        <v>7.0764113237904311E-2</v>
      </c>
      <c r="J211" s="783"/>
      <c r="K211" s="36"/>
      <c r="L211" s="36"/>
      <c r="M211" s="36"/>
      <c r="N211" s="36"/>
      <c r="O211" s="36"/>
      <c r="P211" s="36"/>
      <c r="Q211" s="36"/>
      <c r="R211" s="36"/>
      <c r="S211" s="783"/>
    </row>
    <row r="212" spans="1:32" x14ac:dyDescent="0.2">
      <c r="A212" s="1973" t="str">
        <f>CIV!G2054</f>
        <v>Procurement and Building Management</v>
      </c>
      <c r="B212" s="1973"/>
      <c r="C212" s="9">
        <f>CIV!H180</f>
        <v>-2427600</v>
      </c>
      <c r="D212" s="9">
        <f t="shared" ref="D212" si="213">IF(C212&lt;0,C212," ")</f>
        <v>-2427600</v>
      </c>
      <c r="E212" s="547">
        <f t="shared" si="209"/>
        <v>76.334261233767066</v>
      </c>
      <c r="F212" s="547">
        <f>E212</f>
        <v>76.334261233767066</v>
      </c>
      <c r="G212" s="549">
        <f t="shared" si="211"/>
        <v>898961.85818446497</v>
      </c>
      <c r="H212" s="698">
        <f t="shared" si="212"/>
        <v>7.7496711912453872E-2</v>
      </c>
      <c r="J212" s="783"/>
      <c r="K212" s="36"/>
      <c r="L212" s="36"/>
      <c r="M212" s="36"/>
      <c r="N212" s="36"/>
      <c r="O212" s="36"/>
      <c r="P212" s="36"/>
      <c r="Q212" s="36"/>
      <c r="R212" s="36"/>
      <c r="S212" s="783"/>
    </row>
    <row r="213" spans="1:32" x14ac:dyDescent="0.2">
      <c r="A213" s="1973" t="str">
        <f>CIV!G2055</f>
        <v>Stormwater and Environmental Protection</v>
      </c>
      <c r="B213" s="1973"/>
      <c r="C213" s="9">
        <f>CIV!H234</f>
        <v>-834300</v>
      </c>
      <c r="D213" s="9">
        <f t="shared" si="208"/>
        <v>-834300</v>
      </c>
      <c r="E213" s="547">
        <f t="shared" si="209"/>
        <v>26.234006486790189</v>
      </c>
      <c r="F213" s="9">
        <f>E213</f>
        <v>26.234006486790189</v>
      </c>
      <c r="G213" s="549">
        <f t="shared" si="211"/>
        <v>308948.70583428041</v>
      </c>
      <c r="H213" s="698">
        <f t="shared" si="212"/>
        <v>2.6633509123644861E-2</v>
      </c>
      <c r="J213" s="783"/>
      <c r="K213" s="36"/>
      <c r="L213" s="36"/>
      <c r="M213" s="36"/>
      <c r="N213" s="36"/>
      <c r="O213" s="36"/>
      <c r="P213" s="36"/>
      <c r="Q213" s="36"/>
      <c r="R213" s="36"/>
      <c r="S213" s="783"/>
      <c r="V213" s="1613"/>
      <c r="W213" s="1613"/>
    </row>
    <row r="214" spans="1:32" x14ac:dyDescent="0.2">
      <c r="A214" s="1973" t="s">
        <v>3073</v>
      </c>
      <c r="B214" s="1973"/>
      <c r="C214" s="9">
        <f>CIV!H291+CIV!H355</f>
        <v>-9564600</v>
      </c>
      <c r="D214" s="9">
        <f t="shared" si="208"/>
        <v>-9564600</v>
      </c>
      <c r="E214" s="547">
        <f t="shared" si="209"/>
        <v>300.75246127718253</v>
      </c>
      <c r="F214" s="547">
        <f>E214+E211</f>
        <v>370.45511281651829</v>
      </c>
      <c r="G214" s="549">
        <f t="shared" si="211"/>
        <v>3541856.39676682</v>
      </c>
      <c r="H214" s="698">
        <f t="shared" si="212"/>
        <v>0.30533244799713966</v>
      </c>
      <c r="J214" s="783"/>
      <c r="K214" s="36"/>
      <c r="L214" s="36"/>
      <c r="M214" s="36"/>
      <c r="N214" s="36"/>
      <c r="O214" s="36"/>
      <c r="P214" s="36"/>
      <c r="Q214" s="36"/>
      <c r="R214" s="36"/>
      <c r="S214" s="783"/>
    </row>
    <row r="215" spans="1:32" x14ac:dyDescent="0.2">
      <c r="A215" s="1973" t="str">
        <f>CIV!G2058</f>
        <v>Roads and Maritime Services</v>
      </c>
      <c r="B215" s="1973"/>
      <c r="C215" s="9">
        <f>CIV!H394</f>
        <v>0</v>
      </c>
      <c r="D215" s="9" t="str">
        <f t="shared" si="208"/>
        <v xml:space="preserve"> </v>
      </c>
      <c r="E215" s="547">
        <f t="shared" si="209"/>
        <v>0</v>
      </c>
      <c r="F215" s="547"/>
      <c r="G215" s="549">
        <f t="shared" si="211"/>
        <v>0</v>
      </c>
      <c r="H215" s="698">
        <f t="shared" si="212"/>
        <v>0</v>
      </c>
      <c r="J215" s="783"/>
      <c r="K215" s="36"/>
      <c r="L215" s="36"/>
      <c r="M215" s="36"/>
      <c r="N215" s="36"/>
      <c r="O215" s="36"/>
      <c r="P215" s="36"/>
      <c r="Q215" s="36"/>
      <c r="R215" s="36"/>
      <c r="S215" s="783"/>
    </row>
    <row r="216" spans="1:32" x14ac:dyDescent="0.2">
      <c r="A216" s="1973" t="str">
        <f>CIV!G2059</f>
        <v>Open Spaces and Reserves</v>
      </c>
      <c r="B216" s="1973"/>
      <c r="C216" s="9">
        <f>CIV!H465</f>
        <v>-3173700</v>
      </c>
      <c r="D216" s="9">
        <f t="shared" si="208"/>
        <v>-3173700</v>
      </c>
      <c r="E216" s="547">
        <f t="shared" si="209"/>
        <v>99.794877606527649</v>
      </c>
      <c r="F216" s="547">
        <f>E216</f>
        <v>99.794877606527649</v>
      </c>
      <c r="G216" s="549">
        <f t="shared" si="211"/>
        <v>1175249.3200362648</v>
      </c>
      <c r="H216" s="698">
        <f t="shared" si="212"/>
        <v>0.10131459655485042</v>
      </c>
      <c r="J216" s="783"/>
      <c r="K216" s="36"/>
      <c r="L216" s="36"/>
      <c r="M216" s="36"/>
      <c r="N216" s="36"/>
      <c r="O216" s="36"/>
      <c r="P216" s="36"/>
      <c r="Q216" s="36"/>
      <c r="R216" s="36"/>
      <c r="S216" s="783"/>
    </row>
    <row r="217" spans="1:32" x14ac:dyDescent="0.2">
      <c r="A217" s="1973" t="str">
        <f>CIV!G2060</f>
        <v>Fleet Management and Workshop</v>
      </c>
      <c r="B217" s="1973"/>
      <c r="C217" s="9">
        <f>CIV!H523</f>
        <v>0</v>
      </c>
      <c r="D217" s="9" t="str">
        <f t="shared" si="208"/>
        <v xml:space="preserve"> </v>
      </c>
      <c r="E217" s="547">
        <f t="shared" si="209"/>
        <v>0</v>
      </c>
      <c r="F217" s="547"/>
      <c r="G217" s="549">
        <f t="shared" si="211"/>
        <v>0</v>
      </c>
      <c r="H217" s="698">
        <f t="shared" si="212"/>
        <v>0</v>
      </c>
      <c r="J217" s="783"/>
      <c r="K217" s="36"/>
      <c r="L217" s="36"/>
      <c r="M217" s="36"/>
      <c r="N217" s="36"/>
      <c r="O217" s="36"/>
      <c r="P217" s="36"/>
      <c r="Q217" s="36"/>
      <c r="R217" s="36"/>
      <c r="S217" s="783"/>
    </row>
    <row r="218" spans="1:32" x14ac:dyDescent="0.2">
      <c r="A218" s="1973" t="str">
        <f>CIV!F14</f>
        <v>Rural Fire Service</v>
      </c>
      <c r="B218" s="1973"/>
      <c r="C218" s="9">
        <f>CIV!H562</f>
        <v>-217600</v>
      </c>
      <c r="D218" s="9">
        <f t="shared" si="208"/>
        <v>-217600</v>
      </c>
      <c r="E218" s="547">
        <f t="shared" si="209"/>
        <v>6.8422867212340224</v>
      </c>
      <c r="F218" s="547"/>
      <c r="G218" s="549">
        <f t="shared" si="211"/>
        <v>80579.214178999653</v>
      </c>
      <c r="H218" s="698">
        <f t="shared" si="212"/>
        <v>6.9464839809482461E-3</v>
      </c>
      <c r="J218" s="783"/>
      <c r="K218" s="36"/>
      <c r="L218" s="36"/>
      <c r="M218" s="36"/>
      <c r="N218" s="36"/>
      <c r="O218" s="36"/>
      <c r="P218" s="36"/>
      <c r="Q218" s="36"/>
      <c r="R218" s="36"/>
      <c r="S218" s="783"/>
    </row>
    <row r="219" spans="1:32" x14ac:dyDescent="0.2">
      <c r="A219" s="1973" t="str">
        <f>CIV!G2062</f>
        <v>Quarries and Sandpit</v>
      </c>
      <c r="B219" s="1973"/>
      <c r="C219" s="9">
        <f>CIV!H617</f>
        <v>0</v>
      </c>
      <c r="D219" s="9" t="str">
        <f t="shared" si="208"/>
        <v xml:space="preserve"> </v>
      </c>
      <c r="E219" s="547">
        <f t="shared" si="209"/>
        <v>0</v>
      </c>
      <c r="F219" s="547"/>
      <c r="G219" s="549">
        <f t="shared" si="211"/>
        <v>0</v>
      </c>
      <c r="H219" s="698">
        <f t="shared" si="212"/>
        <v>0</v>
      </c>
      <c r="J219" s="783"/>
      <c r="K219" s="36"/>
      <c r="L219" s="36"/>
      <c r="M219" s="36"/>
      <c r="N219" s="36"/>
      <c r="O219" s="36"/>
      <c r="P219" s="36"/>
      <c r="Q219" s="36"/>
      <c r="R219" s="36"/>
      <c r="S219" s="783"/>
    </row>
    <row r="220" spans="1:32" x14ac:dyDescent="0.2">
      <c r="A220" s="1973" t="str">
        <f>CIV!G2063</f>
        <v>Waste - Landfill and Resource Recovery</v>
      </c>
      <c r="B220" s="1973"/>
      <c r="C220" s="9">
        <f>CIV!H689</f>
        <v>0</v>
      </c>
      <c r="D220" s="9" t="str">
        <f t="shared" si="208"/>
        <v xml:space="preserve"> </v>
      </c>
      <c r="E220" s="547">
        <f t="shared" si="209"/>
        <v>0</v>
      </c>
      <c r="F220" s="547"/>
      <c r="G220" s="549">
        <f t="shared" si="211"/>
        <v>0</v>
      </c>
      <c r="H220" s="698">
        <f t="shared" si="212"/>
        <v>0</v>
      </c>
      <c r="J220" s="783"/>
      <c r="K220" s="36"/>
      <c r="L220" s="36"/>
      <c r="M220" s="36"/>
      <c r="N220" s="36"/>
      <c r="O220" s="36"/>
      <c r="P220" s="36"/>
      <c r="Q220" s="36"/>
      <c r="R220" s="36"/>
      <c r="S220" s="783"/>
    </row>
    <row r="221" spans="1:32" x14ac:dyDescent="0.2">
      <c r="A221" s="1973" t="str">
        <f>CIV!G2064</f>
        <v>Waste - Domestic</v>
      </c>
      <c r="B221" s="1973"/>
      <c r="C221" s="9">
        <f>CIV!H746</f>
        <v>0</v>
      </c>
      <c r="D221" s="9" t="str">
        <f t="shared" si="208"/>
        <v xml:space="preserve"> </v>
      </c>
      <c r="E221" s="547">
        <f t="shared" si="209"/>
        <v>0</v>
      </c>
      <c r="F221" s="547"/>
      <c r="G221" s="549">
        <f t="shared" si="211"/>
        <v>0</v>
      </c>
      <c r="H221" s="698">
        <f t="shared" si="212"/>
        <v>0</v>
      </c>
      <c r="J221" s="783"/>
      <c r="K221" s="36"/>
      <c r="L221" s="36"/>
      <c r="M221" s="36"/>
      <c r="N221" s="36"/>
      <c r="O221" s="36"/>
      <c r="P221" s="36"/>
      <c r="Q221" s="36"/>
      <c r="R221" s="36"/>
      <c r="S221" s="783"/>
    </row>
    <row r="222" spans="1:32" s="285" customFormat="1" x14ac:dyDescent="0.2">
      <c r="A222" s="1545"/>
      <c r="B222" s="1545"/>
      <c r="C222" s="9">
        <f t="shared" ref="C222:H222" si="214">SUM(C196:C221)</f>
        <v>60100</v>
      </c>
      <c r="D222" s="9">
        <f t="shared" si="214"/>
        <v>-31325200</v>
      </c>
      <c r="E222" s="1561">
        <f t="shared" si="214"/>
        <v>985</v>
      </c>
      <c r="F222" s="1561">
        <f t="shared" si="214"/>
        <v>985</v>
      </c>
      <c r="G222" s="644">
        <f t="shared" si="214"/>
        <v>11600000</v>
      </c>
      <c r="H222" s="1976">
        <f t="shared" si="214"/>
        <v>0.99999999999999989</v>
      </c>
      <c r="J222" s="1614"/>
      <c r="K222" s="36"/>
      <c r="L222" s="36"/>
      <c r="M222" s="36"/>
      <c r="N222" s="36"/>
      <c r="O222" s="36"/>
      <c r="P222" s="36"/>
      <c r="Q222" s="36"/>
      <c r="R222" s="36"/>
      <c r="S222" s="1614"/>
    </row>
    <row r="223" spans="1:32" s="285" customFormat="1" x14ac:dyDescent="0.2">
      <c r="A223" s="1545" t="s">
        <v>88</v>
      </c>
      <c r="B223" s="1545"/>
      <c r="C223" s="9">
        <f>('Cash-Gen'!F88)-C222</f>
        <v>-100</v>
      </c>
      <c r="D223" s="9"/>
      <c r="E223" s="9">
        <f>E222-E195</f>
        <v>0</v>
      </c>
      <c r="F223" s="9">
        <f>F222-E195</f>
        <v>0</v>
      </c>
      <c r="G223" s="644"/>
      <c r="H223" s="644"/>
      <c r="I223" s="1615"/>
      <c r="K223" s="36"/>
      <c r="L223" s="36"/>
      <c r="M223" s="36"/>
      <c r="N223" s="36"/>
      <c r="O223" s="36"/>
      <c r="P223" s="36"/>
      <c r="Q223" s="36"/>
      <c r="R223" s="36"/>
      <c r="S223" s="1615"/>
      <c r="T223" s="1615"/>
      <c r="U223" s="1615"/>
      <c r="V223" s="1615"/>
      <c r="W223" s="1615"/>
      <c r="X223" s="1615"/>
    </row>
    <row r="224" spans="1:32" x14ac:dyDescent="0.2">
      <c r="A224" s="1977"/>
      <c r="B224" s="1977"/>
      <c r="C224" s="322"/>
      <c r="D224" s="322"/>
      <c r="E224" s="845"/>
      <c r="F224" s="845"/>
      <c r="G224" s="846"/>
      <c r="H224" s="846"/>
      <c r="I224" s="245"/>
      <c r="K224" s="36"/>
      <c r="L224" s="36"/>
      <c r="M224" s="36"/>
      <c r="N224" s="36"/>
      <c r="O224" s="36"/>
      <c r="P224" s="36"/>
      <c r="Q224" s="36"/>
      <c r="R224" s="36"/>
      <c r="S224" s="245"/>
      <c r="T224" s="245"/>
      <c r="U224" s="245"/>
      <c r="V224" s="245"/>
      <c r="W224" s="245"/>
      <c r="X224" s="245"/>
      <c r="Y224" s="245"/>
      <c r="Z224" s="245"/>
      <c r="AA224" s="245"/>
      <c r="AB224" s="245"/>
      <c r="AC224" s="245"/>
      <c r="AD224" s="245"/>
      <c r="AE224" s="245"/>
      <c r="AF224" s="245"/>
    </row>
    <row r="225" spans="1:18" x14ac:dyDescent="0.2">
      <c r="K225" s="36"/>
      <c r="L225" s="36"/>
      <c r="M225" s="36"/>
      <c r="N225" s="36"/>
      <c r="O225" s="36"/>
      <c r="P225" s="36"/>
      <c r="Q225" s="36"/>
      <c r="R225" s="36"/>
    </row>
    <row r="226" spans="1:18" ht="13.5" thickBot="1" x14ac:dyDescent="0.25">
      <c r="K226" s="36"/>
      <c r="L226" s="36"/>
      <c r="M226" s="36"/>
      <c r="N226" s="36"/>
      <c r="O226" s="36"/>
      <c r="P226" s="36"/>
      <c r="Q226" s="36"/>
      <c r="R226" s="36"/>
    </row>
    <row r="227" spans="1:18" x14ac:dyDescent="0.2">
      <c r="A227" s="1978" t="s">
        <v>4817</v>
      </c>
      <c r="B227" s="1979" t="s">
        <v>2203</v>
      </c>
      <c r="C227" s="1979" t="s">
        <v>1732</v>
      </c>
      <c r="D227" s="1979" t="s">
        <v>3289</v>
      </c>
      <c r="E227" s="1980" t="s">
        <v>4246</v>
      </c>
      <c r="K227" s="36"/>
      <c r="L227" s="36"/>
      <c r="M227" s="36"/>
      <c r="N227" s="36"/>
      <c r="O227" s="36"/>
      <c r="P227" s="36"/>
      <c r="Q227" s="36"/>
      <c r="R227" s="36"/>
    </row>
    <row r="228" spans="1:18" x14ac:dyDescent="0.2">
      <c r="A228" s="1981" t="s">
        <v>4818</v>
      </c>
      <c r="B228" s="1982"/>
      <c r="C228" s="1982"/>
      <c r="D228" s="1982"/>
      <c r="E228" s="1983"/>
      <c r="K228" s="36"/>
      <c r="L228" s="36"/>
      <c r="M228" s="36"/>
      <c r="N228" s="36"/>
      <c r="O228" s="36"/>
      <c r="P228" s="36"/>
      <c r="Q228" s="36"/>
      <c r="R228" s="36"/>
    </row>
    <row r="229" spans="1:18" x14ac:dyDescent="0.2">
      <c r="A229" s="1984" t="s">
        <v>2296</v>
      </c>
      <c r="B229" s="9">
        <f>LTFP!F39/1000</f>
        <v>27609.1</v>
      </c>
      <c r="C229" s="9">
        <f>LTFP!F70/1000</f>
        <v>3439.5</v>
      </c>
      <c r="D229" s="9">
        <f>LTFP!F101/1000</f>
        <v>15937</v>
      </c>
      <c r="E229" s="76">
        <f>LTFP!F8/1000</f>
        <v>46985.599999999999</v>
      </c>
      <c r="K229" s="36"/>
      <c r="L229" s="36"/>
      <c r="M229" s="36"/>
      <c r="N229" s="36"/>
      <c r="O229" s="36"/>
      <c r="P229" s="36"/>
      <c r="Q229" s="36"/>
      <c r="R229" s="36"/>
    </row>
    <row r="230" spans="1:18" x14ac:dyDescent="0.2">
      <c r="A230" s="1984" t="s">
        <v>2337</v>
      </c>
      <c r="B230" s="9">
        <f>LTFP!F40/1000</f>
        <v>10705.5</v>
      </c>
      <c r="C230" s="9">
        <f>LTFP!F71/1000</f>
        <v>7000.2</v>
      </c>
      <c r="D230" s="9">
        <f>LTFP!F102/1000</f>
        <v>1351</v>
      </c>
      <c r="E230" s="76">
        <f>LTFP!F9/1000</f>
        <v>19056.7</v>
      </c>
      <c r="K230" s="36"/>
      <c r="L230" s="36"/>
      <c r="M230" s="36"/>
      <c r="N230" s="36"/>
      <c r="O230" s="36"/>
      <c r="P230" s="36"/>
      <c r="Q230" s="36"/>
      <c r="R230" s="36"/>
    </row>
    <row r="231" spans="1:18" x14ac:dyDescent="0.2">
      <c r="A231" s="1984" t="s">
        <v>4154</v>
      </c>
      <c r="B231" s="9">
        <f>LTFP!F41/1000</f>
        <v>982.9</v>
      </c>
      <c r="C231" s="9">
        <f>LTFP!F72/1000</f>
        <v>368.8</v>
      </c>
      <c r="D231" s="9">
        <f>LTFP!F103/1000</f>
        <v>308.2</v>
      </c>
      <c r="E231" s="76">
        <f>LTFP!F10/1000</f>
        <v>1659.9</v>
      </c>
      <c r="K231" s="36"/>
      <c r="L231" s="36"/>
      <c r="M231" s="36"/>
      <c r="N231" s="36"/>
      <c r="O231" s="36"/>
      <c r="P231" s="36"/>
      <c r="Q231" s="36"/>
      <c r="R231" s="36"/>
    </row>
    <row r="232" spans="1:18" x14ac:dyDescent="0.2">
      <c r="A232" s="1984" t="s">
        <v>420</v>
      </c>
      <c r="B232" s="9">
        <f>LTFP!F42/1000</f>
        <v>5091</v>
      </c>
      <c r="C232" s="9">
        <f>LTFP!F73/1000</f>
        <v>825.9</v>
      </c>
      <c r="D232" s="9">
        <f>LTFP!F104/1000</f>
        <v>478.6</v>
      </c>
      <c r="E232" s="76">
        <f>LTFP!F11/1000</f>
        <v>6395.5</v>
      </c>
      <c r="K232" s="36"/>
      <c r="L232" s="36"/>
      <c r="M232" s="36"/>
      <c r="N232" s="36"/>
      <c r="O232" s="36"/>
      <c r="P232" s="36"/>
      <c r="Q232" s="36"/>
      <c r="R232" s="36"/>
    </row>
    <row r="233" spans="1:18" x14ac:dyDescent="0.2">
      <c r="A233" s="1984" t="s">
        <v>677</v>
      </c>
      <c r="B233" s="9">
        <f>LTFP!F43/1000</f>
        <v>7750.9</v>
      </c>
      <c r="C233" s="9">
        <f>LTFP!F74/1000</f>
        <v>144</v>
      </c>
      <c r="D233" s="9">
        <f>LTFP!F105/1000</f>
        <v>143.6</v>
      </c>
      <c r="E233" s="76">
        <f>LTFP!F12/1000</f>
        <v>8038.5</v>
      </c>
      <c r="K233" s="36"/>
      <c r="L233" s="36"/>
      <c r="M233" s="36"/>
      <c r="N233" s="36"/>
      <c r="O233" s="36"/>
      <c r="P233" s="36"/>
      <c r="Q233" s="36"/>
      <c r="R233" s="36"/>
    </row>
    <row r="234" spans="1:18" x14ac:dyDescent="0.2">
      <c r="A234" s="1984" t="s">
        <v>2668</v>
      </c>
      <c r="B234" s="9">
        <f>LTFP!F44/1000</f>
        <v>16009.8</v>
      </c>
      <c r="C234" s="9">
        <f>LTFP!F75/1000</f>
        <v>775</v>
      </c>
      <c r="D234" s="9">
        <f>LTFP!F106/1000</f>
        <v>2145.5</v>
      </c>
      <c r="E234" s="76">
        <f>LTFP!F13/1000</f>
        <v>18930.3</v>
      </c>
      <c r="K234" s="36"/>
      <c r="L234" s="36"/>
      <c r="M234" s="36"/>
      <c r="N234" s="36"/>
      <c r="O234" s="36"/>
      <c r="P234" s="36"/>
      <c r="Q234" s="36"/>
      <c r="R234" s="36"/>
    </row>
    <row r="235" spans="1:18" s="573" customFormat="1" x14ac:dyDescent="0.2">
      <c r="A235" s="1985" t="s">
        <v>752</v>
      </c>
      <c r="B235" s="63">
        <f>SUM(B229:B234)</f>
        <v>68149.2</v>
      </c>
      <c r="C235" s="63">
        <f t="shared" ref="C235:E235" si="215">SUM(C229:C234)</f>
        <v>12553.4</v>
      </c>
      <c r="D235" s="63">
        <f t="shared" si="215"/>
        <v>20363.899999999998</v>
      </c>
      <c r="E235" s="1062">
        <f t="shared" si="215"/>
        <v>101066.5</v>
      </c>
      <c r="K235" s="36"/>
      <c r="L235" s="36"/>
      <c r="M235" s="36"/>
      <c r="N235" s="36"/>
      <c r="O235" s="36"/>
      <c r="P235" s="36"/>
      <c r="Q235" s="36"/>
      <c r="R235" s="36"/>
    </row>
    <row r="236" spans="1:18" x14ac:dyDescent="0.2">
      <c r="A236" s="1981" t="s">
        <v>4819</v>
      </c>
      <c r="B236" s="9"/>
      <c r="C236" s="9"/>
      <c r="D236" s="9"/>
      <c r="E236" s="76"/>
      <c r="K236" s="36"/>
      <c r="L236" s="36"/>
      <c r="M236" s="36"/>
      <c r="N236" s="36"/>
      <c r="O236" s="36"/>
      <c r="P236" s="36"/>
      <c r="Q236" s="36"/>
      <c r="R236" s="36"/>
    </row>
    <row r="237" spans="1:18" x14ac:dyDescent="0.2">
      <c r="A237" s="1984" t="s">
        <v>4160</v>
      </c>
      <c r="B237" s="9">
        <f>LTFP!F46/1000</f>
        <v>0</v>
      </c>
      <c r="C237" s="9">
        <f>LTFP!F86</f>
        <v>0</v>
      </c>
      <c r="D237" s="9">
        <f>LTFP!F108/1000</f>
        <v>0</v>
      </c>
      <c r="E237" s="76">
        <f>LTFP!F15/1000</f>
        <v>0</v>
      </c>
      <c r="K237" s="36"/>
      <c r="L237" s="36"/>
      <c r="M237" s="36"/>
      <c r="N237" s="36"/>
      <c r="O237" s="36"/>
      <c r="P237" s="36"/>
      <c r="Q237" s="36"/>
      <c r="R237" s="36"/>
    </row>
    <row r="238" spans="1:18" s="573" customFormat="1" x14ac:dyDescent="0.2">
      <c r="A238" s="1985" t="s">
        <v>4155</v>
      </c>
      <c r="B238" s="63">
        <f>B237+B235</f>
        <v>68149.2</v>
      </c>
      <c r="C238" s="63">
        <f t="shared" ref="C238:E238" si="216">C237+C235</f>
        <v>12553.4</v>
      </c>
      <c r="D238" s="63">
        <f t="shared" si="216"/>
        <v>20363.899999999998</v>
      </c>
      <c r="E238" s="1062">
        <f t="shared" si="216"/>
        <v>101066.5</v>
      </c>
      <c r="K238" s="36"/>
      <c r="L238" s="36"/>
      <c r="M238" s="36"/>
      <c r="N238" s="36"/>
      <c r="O238" s="36"/>
      <c r="P238" s="36"/>
      <c r="Q238" s="36"/>
      <c r="R238" s="36"/>
    </row>
    <row r="239" spans="1:18" x14ac:dyDescent="0.2">
      <c r="A239" s="1985"/>
      <c r="B239" s="9"/>
      <c r="C239" s="9"/>
      <c r="D239" s="9"/>
      <c r="E239" s="76"/>
      <c r="K239" s="36"/>
      <c r="L239" s="36"/>
      <c r="M239" s="36"/>
      <c r="N239" s="36"/>
      <c r="O239" s="36"/>
      <c r="P239" s="36"/>
      <c r="Q239" s="36"/>
      <c r="R239" s="36"/>
    </row>
    <row r="240" spans="1:18" x14ac:dyDescent="0.2">
      <c r="A240" s="1985" t="s">
        <v>4820</v>
      </c>
      <c r="B240" s="9"/>
      <c r="C240" s="9"/>
      <c r="D240" s="9"/>
      <c r="E240" s="76"/>
      <c r="K240" s="36"/>
      <c r="L240" s="36"/>
      <c r="M240" s="36"/>
      <c r="N240" s="36"/>
      <c r="O240" s="36"/>
      <c r="P240" s="36"/>
      <c r="Q240" s="36"/>
      <c r="R240" s="36"/>
    </row>
    <row r="241" spans="1:18" x14ac:dyDescent="0.2">
      <c r="A241" s="1984" t="s">
        <v>4821</v>
      </c>
      <c r="B241" s="9">
        <f>LTFP!F50/1000</f>
        <v>16434</v>
      </c>
      <c r="C241" s="9">
        <f>LTFP!F81/1000</f>
        <v>1980</v>
      </c>
      <c r="D241" s="9">
        <f>LTFP!F112/1000</f>
        <v>4587</v>
      </c>
      <c r="E241" s="76">
        <f>LTFP!F19/1000</f>
        <v>23001</v>
      </c>
      <c r="K241" s="36"/>
      <c r="L241" s="36"/>
      <c r="M241" s="36"/>
      <c r="N241" s="36"/>
      <c r="O241" s="36"/>
      <c r="P241" s="36"/>
      <c r="Q241" s="36"/>
      <c r="R241" s="36"/>
    </row>
    <row r="242" spans="1:18" x14ac:dyDescent="0.2">
      <c r="A242" s="1984" t="s">
        <v>2336</v>
      </c>
      <c r="B242" s="9">
        <f>LTFP!F51/1000</f>
        <v>1370.5</v>
      </c>
      <c r="C242" s="9">
        <f>LTFP!F82/1000</f>
        <v>0</v>
      </c>
      <c r="D242" s="9">
        <f>LTFP!F113/1000</f>
        <v>4249.8999999999996</v>
      </c>
      <c r="E242" s="76">
        <f>LTFP!F20/1000</f>
        <v>5620.4</v>
      </c>
      <c r="K242" s="36"/>
      <c r="L242" s="36"/>
      <c r="M242" s="36"/>
      <c r="N242" s="36"/>
      <c r="O242" s="36"/>
      <c r="P242" s="36"/>
      <c r="Q242" s="36"/>
      <c r="R242" s="36"/>
    </row>
    <row r="243" spans="1:18" x14ac:dyDescent="0.2">
      <c r="A243" s="1984" t="s">
        <v>2152</v>
      </c>
      <c r="B243" s="9">
        <f>LTFP!F52/1000</f>
        <v>19391</v>
      </c>
      <c r="C243" s="9">
        <f>LTFP!F83/1000</f>
        <v>1502.2</v>
      </c>
      <c r="D243" s="9">
        <f>LTFP!F114/1000</f>
        <v>4739.3999999999996</v>
      </c>
      <c r="E243" s="76">
        <f>LTFP!F21/1000</f>
        <v>25632.6</v>
      </c>
      <c r="K243" s="36"/>
      <c r="L243" s="36"/>
      <c r="M243" s="36"/>
      <c r="N243" s="36"/>
      <c r="O243" s="36"/>
      <c r="P243" s="36"/>
      <c r="Q243" s="36"/>
      <c r="R243" s="36"/>
    </row>
    <row r="244" spans="1:18" x14ac:dyDescent="0.2">
      <c r="A244" s="1984" t="s">
        <v>4157</v>
      </c>
      <c r="B244" s="9">
        <f>LTFP!F53/1000</f>
        <v>13383.9</v>
      </c>
      <c r="C244" s="9">
        <f>LTFP!F84/1000</f>
        <v>1380</v>
      </c>
      <c r="D244" s="9">
        <f>LTFP!F115/1000</f>
        <v>3775</v>
      </c>
      <c r="E244" s="76">
        <f>LTFP!F22/1000</f>
        <v>18538.900000000001</v>
      </c>
      <c r="K244" s="36"/>
      <c r="L244" s="36"/>
      <c r="M244" s="36"/>
      <c r="N244" s="36"/>
      <c r="O244" s="36"/>
      <c r="P244" s="36"/>
      <c r="Q244" s="36"/>
      <c r="R244" s="36"/>
    </row>
    <row r="245" spans="1:18" x14ac:dyDescent="0.2">
      <c r="A245" s="1984" t="s">
        <v>408</v>
      </c>
      <c r="B245" s="9">
        <f>LTFP!F54/1000</f>
        <v>4695.6000000000004</v>
      </c>
      <c r="C245" s="9">
        <f>LTFP!F85/1000</f>
        <v>6363.2</v>
      </c>
      <c r="D245" s="9">
        <f>LTFP!F116/1000</f>
        <v>446</v>
      </c>
      <c r="E245" s="76">
        <f>LTFP!F23/1000</f>
        <v>11504.8</v>
      </c>
      <c r="K245" s="36"/>
      <c r="L245" s="36"/>
      <c r="M245" s="36"/>
      <c r="N245" s="36"/>
      <c r="O245" s="36"/>
      <c r="P245" s="36"/>
      <c r="Q245" s="36"/>
      <c r="R245" s="36"/>
    </row>
    <row r="246" spans="1:18" x14ac:dyDescent="0.2">
      <c r="A246" s="1984" t="s">
        <v>4158</v>
      </c>
      <c r="B246" s="9">
        <f>LTFP!F55/1000</f>
        <v>0</v>
      </c>
      <c r="C246" s="9">
        <f>LTFP!F86/1000</f>
        <v>0</v>
      </c>
      <c r="D246" s="9">
        <f>LTFP!F117/1000</f>
        <v>0</v>
      </c>
      <c r="E246" s="76">
        <f>LTFP!F24/1000</f>
        <v>0</v>
      </c>
      <c r="K246" s="36"/>
      <c r="L246" s="36"/>
      <c r="M246" s="36"/>
      <c r="N246" s="36"/>
      <c r="O246" s="36"/>
      <c r="P246" s="36"/>
      <c r="Q246" s="36"/>
      <c r="R246" s="36"/>
    </row>
    <row r="247" spans="1:18" x14ac:dyDescent="0.2">
      <c r="A247" s="1985" t="s">
        <v>4822</v>
      </c>
      <c r="B247" s="63">
        <f>SUM(B241:B246)</f>
        <v>55275</v>
      </c>
      <c r="C247" s="63">
        <f>SUM(C241:C246)</f>
        <v>11225.4</v>
      </c>
      <c r="D247" s="63">
        <f t="shared" ref="D247:E247" si="217">SUM(D241:D246)</f>
        <v>17797.3</v>
      </c>
      <c r="E247" s="1062">
        <f t="shared" si="217"/>
        <v>84297.7</v>
      </c>
      <c r="K247" s="36"/>
      <c r="L247" s="36"/>
      <c r="M247" s="36"/>
      <c r="N247" s="36"/>
      <c r="O247" s="36"/>
      <c r="P247" s="36"/>
      <c r="Q247" s="36"/>
      <c r="R247" s="36"/>
    </row>
    <row r="248" spans="1:18" x14ac:dyDescent="0.2">
      <c r="A248" s="1985"/>
      <c r="B248" s="9"/>
      <c r="C248" s="9"/>
      <c r="D248" s="9"/>
      <c r="E248" s="76"/>
      <c r="K248" s="36"/>
      <c r="L248" s="36"/>
      <c r="M248" s="36"/>
      <c r="N248" s="36"/>
      <c r="O248" s="36"/>
      <c r="P248" s="36"/>
      <c r="Q248" s="36"/>
      <c r="R248" s="36"/>
    </row>
    <row r="249" spans="1:18" s="573" customFormat="1" x14ac:dyDescent="0.2">
      <c r="A249" s="1985" t="s">
        <v>4823</v>
      </c>
      <c r="B249" s="63">
        <f>B238-B247</f>
        <v>12874.199999999997</v>
      </c>
      <c r="C249" s="63">
        <f t="shared" ref="C249:E249" si="218">C238-C247</f>
        <v>1328</v>
      </c>
      <c r="D249" s="63">
        <f t="shared" si="218"/>
        <v>2566.5999999999985</v>
      </c>
      <c r="E249" s="1062">
        <f t="shared" si="218"/>
        <v>16768.800000000003</v>
      </c>
      <c r="K249" s="36"/>
      <c r="L249" s="36"/>
      <c r="M249" s="36"/>
      <c r="N249" s="36"/>
      <c r="O249" s="36"/>
      <c r="P249" s="36"/>
      <c r="Q249" s="36"/>
      <c r="R249" s="36"/>
    </row>
    <row r="250" spans="1:18" x14ac:dyDescent="0.2">
      <c r="A250" s="1984"/>
      <c r="B250" s="9"/>
      <c r="C250" s="9"/>
      <c r="D250" s="9"/>
      <c r="E250" s="76"/>
      <c r="K250" s="36"/>
      <c r="L250" s="36"/>
      <c r="M250" s="36"/>
      <c r="N250" s="36"/>
      <c r="O250" s="36"/>
      <c r="P250" s="36"/>
      <c r="Q250" s="36"/>
      <c r="R250" s="36"/>
    </row>
    <row r="251" spans="1:18" ht="24.75" thickBot="1" x14ac:dyDescent="0.25">
      <c r="A251" s="1986" t="s">
        <v>4824</v>
      </c>
      <c r="B251" s="1098">
        <f>B249-B234</f>
        <v>-3135.6000000000022</v>
      </c>
      <c r="C251" s="1098">
        <f t="shared" ref="C251:E251" si="219">C249-C234</f>
        <v>553</v>
      </c>
      <c r="D251" s="1098">
        <f t="shared" si="219"/>
        <v>421.09999999999854</v>
      </c>
      <c r="E251" s="1099">
        <f t="shared" si="219"/>
        <v>-2161.4999999999964</v>
      </c>
      <c r="K251" s="36"/>
      <c r="L251" s="36"/>
      <c r="M251" s="36"/>
      <c r="N251" s="36"/>
      <c r="O251" s="36"/>
      <c r="P251" s="36"/>
      <c r="Q251" s="36"/>
      <c r="R251" s="36"/>
    </row>
    <row r="252" spans="1:18" x14ac:dyDescent="0.2">
      <c r="A252" s="1987"/>
      <c r="B252" s="858"/>
      <c r="C252" s="92"/>
      <c r="D252" s="92"/>
      <c r="E252" s="92"/>
      <c r="K252" s="36"/>
      <c r="L252" s="36"/>
      <c r="M252" s="36"/>
      <c r="N252" s="36"/>
      <c r="O252" s="36"/>
      <c r="P252" s="36"/>
      <c r="Q252" s="36"/>
      <c r="R252" s="36"/>
    </row>
    <row r="253" spans="1:18" x14ac:dyDescent="0.2">
      <c r="A253" s="1987"/>
      <c r="B253" s="92"/>
      <c r="C253" s="92"/>
      <c r="D253" s="92"/>
      <c r="E253" s="92"/>
    </row>
    <row r="254" spans="1:18" ht="13.5" thickBot="1" x14ac:dyDescent="0.25">
      <c r="A254" s="1987"/>
      <c r="B254" s="92"/>
      <c r="C254" s="92"/>
      <c r="D254" s="92"/>
      <c r="E254" s="92"/>
    </row>
    <row r="255" spans="1:18" ht="13.5" thickTop="1" x14ac:dyDescent="0.2">
      <c r="A255" s="1889" t="s">
        <v>5359</v>
      </c>
      <c r="B255" s="1988" t="str">
        <f>R4</f>
        <v>2014/15</v>
      </c>
      <c r="C255" s="1989" t="s">
        <v>5281</v>
      </c>
      <c r="D255" s="1989" t="s">
        <v>1169</v>
      </c>
      <c r="F255" s="2705"/>
      <c r="G255" s="2705"/>
    </row>
    <row r="256" spans="1:18" s="1250" customFormat="1" x14ac:dyDescent="0.2">
      <c r="A256" s="656"/>
      <c r="B256" s="77"/>
      <c r="C256" s="77"/>
      <c r="D256" s="77"/>
    </row>
    <row r="257" spans="1:7" s="1250" customFormat="1" x14ac:dyDescent="0.2">
      <c r="A257" s="823" t="s">
        <v>2296</v>
      </c>
      <c r="B257" s="77"/>
      <c r="C257" s="77"/>
      <c r="D257" s="77"/>
    </row>
    <row r="258" spans="1:7" s="1250" customFormat="1" x14ac:dyDescent="0.2">
      <c r="A258" s="655" t="s">
        <v>1784</v>
      </c>
      <c r="B258" s="679">
        <f>GM!C552+GM!C561+GM!C562+GM!C563+GM!C557+GM!C558</f>
        <v>12575400</v>
      </c>
      <c r="C258" s="679">
        <v>12576</v>
      </c>
      <c r="D258" s="679">
        <f>B258/1000-C258</f>
        <v>-0.6000000000003638</v>
      </c>
    </row>
    <row r="259" spans="1:7" s="1250" customFormat="1" x14ac:dyDescent="0.2">
      <c r="A259" s="655" t="s">
        <v>5282</v>
      </c>
      <c r="B259" s="679">
        <f>GM!C554+GM!C565</f>
        <v>1386700</v>
      </c>
      <c r="C259" s="679">
        <v>1387</v>
      </c>
      <c r="D259" s="679">
        <f t="shared" ref="D259:D260" si="220">B259/1000-C259</f>
        <v>-0.29999999999995453</v>
      </c>
    </row>
    <row r="260" spans="1:7" s="1250" customFormat="1" x14ac:dyDescent="0.2">
      <c r="A260" s="655" t="s">
        <v>1785</v>
      </c>
      <c r="B260" s="679">
        <f>GM!C553+GM!C564</f>
        <v>3644400</v>
      </c>
      <c r="C260" s="679">
        <v>3381</v>
      </c>
      <c r="D260" s="679">
        <f t="shared" si="220"/>
        <v>263.40000000000009</v>
      </c>
    </row>
    <row r="261" spans="1:7" s="542" customFormat="1" x14ac:dyDescent="0.2">
      <c r="A261" s="823" t="s">
        <v>752</v>
      </c>
      <c r="B261" s="1204">
        <f t="shared" ref="B261" si="221">SUM(B258:B260)</f>
        <v>17606500</v>
      </c>
      <c r="C261" s="1204">
        <f>SUM(C258:C260)</f>
        <v>17344</v>
      </c>
      <c r="D261" s="1204">
        <f t="shared" ref="D261" si="222">SUM(D258:D260)</f>
        <v>262.49999999999977</v>
      </c>
    </row>
    <row r="262" spans="1:7" s="1250" customFormat="1" x14ac:dyDescent="0.2">
      <c r="A262" s="1688"/>
      <c r="B262" s="679"/>
      <c r="C262" s="679"/>
      <c r="D262" s="679"/>
    </row>
    <row r="263" spans="1:7" x14ac:dyDescent="0.2">
      <c r="A263" s="823" t="s">
        <v>60</v>
      </c>
      <c r="B263" s="269"/>
      <c r="C263" s="269"/>
      <c r="D263" s="269"/>
    </row>
    <row r="264" spans="1:7" s="726" customFormat="1" x14ac:dyDescent="0.2">
      <c r="A264" s="655" t="s">
        <v>3526</v>
      </c>
      <c r="B264" s="679">
        <f>CIV!C1985+CIV!C1987+CIV!C1988+CIV!C1986</f>
        <v>5664200</v>
      </c>
      <c r="C264" s="679">
        <v>5662</v>
      </c>
      <c r="D264" s="679">
        <f t="shared" ref="D264:D268" si="223">B264/1000-C264</f>
        <v>2.1999999999998181</v>
      </c>
    </row>
    <row r="265" spans="1:7" s="726" customFormat="1" x14ac:dyDescent="0.2">
      <c r="A265" s="655" t="s">
        <v>402</v>
      </c>
      <c r="B265" s="679">
        <f>CIV!C959</f>
        <v>284000</v>
      </c>
      <c r="C265" s="679">
        <v>284</v>
      </c>
      <c r="D265" s="679">
        <f t="shared" si="223"/>
        <v>0</v>
      </c>
    </row>
    <row r="266" spans="1:7" s="726" customFormat="1" x14ac:dyDescent="0.2">
      <c r="A266" s="655" t="s">
        <v>1732</v>
      </c>
      <c r="B266" s="679">
        <f>'W&amp;W'!C171+'W&amp;W'!C172+'W&amp;W'!C173+'W&amp;W'!C174</f>
        <v>3092600</v>
      </c>
      <c r="C266" s="679">
        <v>3091</v>
      </c>
      <c r="D266" s="679">
        <f t="shared" si="223"/>
        <v>1.5999999999999091</v>
      </c>
    </row>
    <row r="267" spans="1:7" s="726" customFormat="1" x14ac:dyDescent="0.2">
      <c r="A267" s="655" t="s">
        <v>3289</v>
      </c>
      <c r="B267" s="679">
        <f>'W&amp;W'!C356+'W&amp;W'!C357+'W&amp;W'!C358+'W&amp;W'!C359</f>
        <v>13005500</v>
      </c>
      <c r="C267" s="679">
        <v>12776</v>
      </c>
      <c r="D267" s="679">
        <f t="shared" si="223"/>
        <v>229.5</v>
      </c>
    </row>
    <row r="268" spans="1:7" s="726" customFormat="1" x14ac:dyDescent="0.2">
      <c r="A268" s="655" t="s">
        <v>5283</v>
      </c>
      <c r="B268" s="679">
        <f>SUM(CIV!C1792:'CIV'!C1790)</f>
        <v>1701800</v>
      </c>
      <c r="C268" s="679">
        <v>1669</v>
      </c>
      <c r="D268" s="679">
        <f t="shared" si="223"/>
        <v>32.799999999999955</v>
      </c>
    </row>
    <row r="269" spans="1:7" x14ac:dyDescent="0.2">
      <c r="A269" s="823" t="s">
        <v>752</v>
      </c>
      <c r="B269" s="1204">
        <f t="shared" ref="B269" si="224">SUM(B264:B268)</f>
        <v>23748100</v>
      </c>
      <c r="C269" s="1204">
        <f>SUM(C264:C268)</f>
        <v>23482</v>
      </c>
      <c r="D269" s="1204">
        <f t="shared" ref="D269" si="225">SUM(D264:D268)</f>
        <v>266.09999999999968</v>
      </c>
    </row>
    <row r="270" spans="1:7" x14ac:dyDescent="0.2">
      <c r="A270" s="656"/>
      <c r="B270" s="269"/>
      <c r="C270" s="269"/>
      <c r="D270" s="269"/>
    </row>
    <row r="271" spans="1:7" x14ac:dyDescent="0.2">
      <c r="A271" s="823" t="s">
        <v>1504</v>
      </c>
      <c r="B271" s="1204">
        <f>B269+B261</f>
        <v>41354600</v>
      </c>
      <c r="C271" s="1204">
        <f t="shared" ref="C271:D271" si="226">C269+C261</f>
        <v>40826</v>
      </c>
      <c r="D271" s="1204">
        <f t="shared" si="226"/>
        <v>528.59999999999945</v>
      </c>
      <c r="F271" s="905"/>
      <c r="G271" s="905"/>
    </row>
    <row r="272" spans="1:7" x14ac:dyDescent="0.2">
      <c r="A272" s="823"/>
      <c r="B272" s="733"/>
      <c r="C272" s="733"/>
      <c r="D272" s="733"/>
    </row>
    <row r="273" spans="1:4" x14ac:dyDescent="0.2">
      <c r="A273" s="823" t="s">
        <v>823</v>
      </c>
      <c r="B273" s="733"/>
      <c r="C273" s="733"/>
      <c r="D273" s="733"/>
    </row>
    <row r="274" spans="1:4" s="726" customFormat="1" x14ac:dyDescent="0.2">
      <c r="A274" s="655" t="s">
        <v>1732</v>
      </c>
      <c r="B274" s="679">
        <f>'W&amp;W'!C44</f>
        <v>6432000</v>
      </c>
      <c r="C274" s="679">
        <v>6132</v>
      </c>
      <c r="D274" s="679">
        <f t="shared" ref="D274:D276" si="227">B274/1000-C274</f>
        <v>300</v>
      </c>
    </row>
    <row r="275" spans="1:4" s="726" customFormat="1" x14ac:dyDescent="0.2">
      <c r="A275" s="655" t="s">
        <v>2204</v>
      </c>
      <c r="B275" s="679">
        <f>'W&amp;W'!C107</f>
        <v>1038400</v>
      </c>
      <c r="C275" s="679">
        <v>1044</v>
      </c>
      <c r="D275" s="679">
        <f t="shared" si="227"/>
        <v>-5.5999999999999091</v>
      </c>
    </row>
    <row r="276" spans="1:4" s="726" customFormat="1" x14ac:dyDescent="0.2">
      <c r="A276" s="655" t="s">
        <v>5319</v>
      </c>
      <c r="B276" s="679">
        <f>CIV!C1794+CIV!C1795+CIV!C1796</f>
        <v>1956100</v>
      </c>
      <c r="C276" s="679">
        <v>1956</v>
      </c>
      <c r="D276" s="679">
        <f t="shared" si="227"/>
        <v>9.9999999999909051E-2</v>
      </c>
    </row>
    <row r="277" spans="1:4" x14ac:dyDescent="0.2">
      <c r="A277" s="823" t="s">
        <v>752</v>
      </c>
      <c r="B277" s="1204">
        <f>SUM(B274:B276)</f>
        <v>9426500</v>
      </c>
      <c r="C277" s="1204">
        <f>SUM(C274:C276)</f>
        <v>9132</v>
      </c>
      <c r="D277" s="1204">
        <f t="shared" ref="D277" si="228">SUM(D274:D276)</f>
        <v>294.5</v>
      </c>
    </row>
    <row r="278" spans="1:4" s="726" customFormat="1" x14ac:dyDescent="0.2">
      <c r="A278" s="655"/>
      <c r="B278" s="679"/>
      <c r="C278" s="679"/>
      <c r="D278" s="679"/>
    </row>
    <row r="279" spans="1:4" s="726" customFormat="1" x14ac:dyDescent="0.2">
      <c r="A279" s="655" t="s">
        <v>5320</v>
      </c>
      <c r="B279" s="679">
        <f>DEH!C52+DEH!C89</f>
        <v>1481700</v>
      </c>
      <c r="C279" s="679">
        <v>1515</v>
      </c>
      <c r="D279" s="679">
        <f t="shared" ref="D279:D280" si="229">B279/1000-C279</f>
        <v>-33.299999999999955</v>
      </c>
    </row>
    <row r="280" spans="1:4" s="726" customFormat="1" x14ac:dyDescent="0.2">
      <c r="A280" s="655" t="s">
        <v>875</v>
      </c>
      <c r="B280" s="679">
        <f>CIV!C1091+CIV!C1092</f>
        <v>190100</v>
      </c>
      <c r="C280" s="679">
        <v>192</v>
      </c>
      <c r="D280" s="679">
        <f t="shared" si="229"/>
        <v>-1.9000000000000057</v>
      </c>
    </row>
    <row r="281" spans="1:4" x14ac:dyDescent="0.2">
      <c r="A281" s="823" t="s">
        <v>752</v>
      </c>
      <c r="B281" s="1204">
        <f>SUM(B278:B280)</f>
        <v>1671800</v>
      </c>
      <c r="C281" s="1204">
        <f>SUM(C278:C280)</f>
        <v>1707</v>
      </c>
      <c r="D281" s="1204">
        <f t="shared" ref="D281" si="230">SUM(D278:D280)</f>
        <v>-35.19999999999996</v>
      </c>
    </row>
    <row r="282" spans="1:4" s="726" customFormat="1" x14ac:dyDescent="0.2">
      <c r="A282" s="655"/>
      <c r="B282" s="679"/>
      <c r="C282" s="679"/>
      <c r="D282" s="679"/>
    </row>
    <row r="283" spans="1:4" s="726" customFormat="1" x14ac:dyDescent="0.2">
      <c r="A283" s="655" t="s">
        <v>5321</v>
      </c>
      <c r="B283" s="679">
        <f>GM!C1020+GM!C1021+GM!C1023+GM!C1031+GM!C1032+GM!C1033+GM!C1034+GM!C1036+GM!C1037+GM!C1038+GM!C1039+GM!C1040+GM!C1041</f>
        <v>4423400</v>
      </c>
      <c r="C283" s="679">
        <v>4423</v>
      </c>
      <c r="D283" s="679">
        <f t="shared" ref="D283:D289" si="231">B283/1000-C283</f>
        <v>0.3999999999996362</v>
      </c>
    </row>
    <row r="284" spans="1:4" s="726" customFormat="1" x14ac:dyDescent="0.2">
      <c r="A284" s="655" t="s">
        <v>1215</v>
      </c>
      <c r="B284" s="679">
        <f>CIV!C1484</f>
        <v>403200</v>
      </c>
      <c r="C284" s="679">
        <v>403</v>
      </c>
      <c r="D284" s="679">
        <f t="shared" si="231"/>
        <v>0.19999999999998863</v>
      </c>
    </row>
    <row r="285" spans="1:4" s="726" customFormat="1" x14ac:dyDescent="0.2">
      <c r="A285" s="655" t="s">
        <v>5322</v>
      </c>
      <c r="B285" s="679">
        <f>CIV!C1170+CIV!C1171+CIV!C1172</f>
        <v>444000</v>
      </c>
      <c r="C285" s="679">
        <v>443</v>
      </c>
      <c r="D285" s="679">
        <f t="shared" si="231"/>
        <v>1</v>
      </c>
    </row>
    <row r="286" spans="1:4" s="726" customFormat="1" x14ac:dyDescent="0.2">
      <c r="A286" s="655" t="s">
        <v>5323</v>
      </c>
      <c r="B286" s="679">
        <f>+CIV!C1597+CIV!C1595</f>
        <v>200200</v>
      </c>
      <c r="C286" s="679">
        <v>292</v>
      </c>
      <c r="D286" s="679">
        <f t="shared" si="231"/>
        <v>-91.800000000000011</v>
      </c>
    </row>
    <row r="287" spans="1:4" s="726" customFormat="1" x14ac:dyDescent="0.2">
      <c r="A287" s="655" t="s">
        <v>5324</v>
      </c>
      <c r="B287" s="679">
        <f>CIV!C1725</f>
        <v>218200</v>
      </c>
      <c r="C287" s="679">
        <v>218</v>
      </c>
      <c r="D287" s="679">
        <f t="shared" si="231"/>
        <v>0.19999999999998863</v>
      </c>
    </row>
    <row r="288" spans="1:4" s="726" customFormat="1" x14ac:dyDescent="0.2">
      <c r="A288" s="655" t="s">
        <v>384</v>
      </c>
      <c r="B288" s="679">
        <f>SP!C728</f>
        <v>354100</v>
      </c>
      <c r="C288" s="679">
        <v>354</v>
      </c>
      <c r="D288" s="679">
        <f t="shared" si="231"/>
        <v>0.10000000000002274</v>
      </c>
    </row>
    <row r="289" spans="1:11" s="726" customFormat="1" x14ac:dyDescent="0.2">
      <c r="A289" s="1971" t="s">
        <v>1739</v>
      </c>
      <c r="B289" s="679"/>
      <c r="C289" s="679">
        <v>1338</v>
      </c>
      <c r="D289" s="679">
        <f t="shared" si="231"/>
        <v>-1338</v>
      </c>
    </row>
    <row r="290" spans="1:11" x14ac:dyDescent="0.2">
      <c r="A290" s="1990" t="s">
        <v>752</v>
      </c>
      <c r="B290" s="1204">
        <f>SUM(B283:B289)</f>
        <v>6043100</v>
      </c>
      <c r="C290" s="1204">
        <f t="shared" ref="C290:D290" si="232">SUM(C283:C289)</f>
        <v>7471</v>
      </c>
      <c r="D290" s="1204">
        <f t="shared" si="232"/>
        <v>-1427.9000000000003</v>
      </c>
    </row>
    <row r="291" spans="1:11" s="726" customFormat="1" x14ac:dyDescent="0.2">
      <c r="A291" s="1971"/>
      <c r="B291" s="679"/>
      <c r="C291" s="679"/>
      <c r="D291" s="679"/>
    </row>
    <row r="292" spans="1:11" s="573" customFormat="1" x14ac:dyDescent="0.2">
      <c r="A292" s="1990" t="s">
        <v>5325</v>
      </c>
      <c r="B292" s="733">
        <f>B290+B281+B277</f>
        <v>17141400</v>
      </c>
      <c r="C292" s="733">
        <f t="shared" ref="C292:D292" si="233">C290+C281+C277</f>
        <v>18310</v>
      </c>
      <c r="D292" s="733">
        <f t="shared" si="233"/>
        <v>-1168.6000000000004</v>
      </c>
      <c r="F292" s="80"/>
      <c r="G292" s="65"/>
    </row>
    <row r="293" spans="1:11" s="726" customFormat="1" x14ac:dyDescent="0.2">
      <c r="A293" s="1971"/>
      <c r="B293" s="679"/>
      <c r="C293" s="679"/>
      <c r="D293" s="679"/>
    </row>
    <row r="294" spans="1:11" s="726" customFormat="1" x14ac:dyDescent="0.2">
      <c r="A294" s="1990" t="s">
        <v>5326</v>
      </c>
      <c r="B294" s="679"/>
      <c r="C294" s="679"/>
      <c r="D294" s="679"/>
    </row>
    <row r="295" spans="1:11" s="726" customFormat="1" x14ac:dyDescent="0.2">
      <c r="A295" s="1971" t="s">
        <v>1888</v>
      </c>
      <c r="B295" s="679">
        <f>SUM(GM!C566:C572)</f>
        <v>85900</v>
      </c>
      <c r="C295" s="679">
        <v>85</v>
      </c>
      <c r="D295" s="679">
        <f t="shared" ref="D295:D297" si="234">B295/1000-C295</f>
        <v>0.90000000000000568</v>
      </c>
    </row>
    <row r="296" spans="1:11" s="726" customFormat="1" x14ac:dyDescent="0.2">
      <c r="A296" s="1971" t="s">
        <v>5327</v>
      </c>
      <c r="B296" s="679">
        <f>SP!C59+SUM(CIV!C1032:C1034)+CIV!C1599+CIV!C1992+SUM(GM!C578:C580)+GM!C1029+'W&amp;W'!C47+'W&amp;W'!C110+CIV!C1802+SUM(GM!C858:C860)+CIV!C1537+GM!C616</f>
        <v>2483500</v>
      </c>
      <c r="C296" s="679">
        <v>2444</v>
      </c>
      <c r="D296" s="679">
        <f t="shared" si="234"/>
        <v>39.5</v>
      </c>
    </row>
    <row r="297" spans="1:11" s="726" customFormat="1" x14ac:dyDescent="0.2">
      <c r="A297" s="1971" t="s">
        <v>4275</v>
      </c>
      <c r="B297" s="679">
        <f>GM!C581</f>
        <v>-30000</v>
      </c>
      <c r="C297" s="679">
        <v>-29</v>
      </c>
      <c r="D297" s="679">
        <f t="shared" si="234"/>
        <v>-1</v>
      </c>
    </row>
    <row r="298" spans="1:11" x14ac:dyDescent="0.2">
      <c r="A298" s="1990" t="s">
        <v>752</v>
      </c>
      <c r="B298" s="1204">
        <f>SUM(B295:B297)</f>
        <v>2539400</v>
      </c>
      <c r="C298" s="1204">
        <f>SUM(C295:C297)</f>
        <v>2500</v>
      </c>
      <c r="D298" s="1204">
        <f>SUM(D295:D297)</f>
        <v>39.400000000000006</v>
      </c>
      <c r="F298" s="65"/>
      <c r="G298" s="65"/>
    </row>
    <row r="299" spans="1:11" s="726" customFormat="1" x14ac:dyDescent="0.2">
      <c r="A299" s="1971"/>
      <c r="B299" s="679"/>
      <c r="C299" s="679"/>
      <c r="D299" s="679"/>
    </row>
    <row r="300" spans="1:11" s="726" customFormat="1" x14ac:dyDescent="0.2">
      <c r="A300" s="1990" t="s">
        <v>420</v>
      </c>
      <c r="B300" s="679"/>
      <c r="C300" s="679"/>
      <c r="D300" s="679"/>
      <c r="F300" s="80"/>
      <c r="G300" s="80"/>
    </row>
    <row r="301" spans="1:11" s="726" customFormat="1" x14ac:dyDescent="0.2">
      <c r="A301" s="1971" t="s">
        <v>5328</v>
      </c>
      <c r="B301" s="679">
        <f>GM!C862</f>
        <v>460100</v>
      </c>
      <c r="C301" s="679">
        <v>460</v>
      </c>
      <c r="D301" s="679">
        <f t="shared" ref="D301:D313" si="235">B301/1000-C301</f>
        <v>0.10000000000002274</v>
      </c>
      <c r="F301" s="80"/>
      <c r="G301" s="80"/>
    </row>
    <row r="302" spans="1:11" s="726" customFormat="1" x14ac:dyDescent="0.2">
      <c r="A302" s="1971" t="s">
        <v>5329</v>
      </c>
      <c r="B302" s="679">
        <f>SUM(GM!C828:C839)</f>
        <v>1462100</v>
      </c>
      <c r="C302" s="679">
        <v>1462</v>
      </c>
      <c r="D302" s="679">
        <f t="shared" si="235"/>
        <v>9.9999999999909051E-2</v>
      </c>
      <c r="G302" s="80"/>
      <c r="I302" s="80"/>
      <c r="J302" s="80"/>
      <c r="K302" s="80"/>
    </row>
    <row r="303" spans="1:11" s="726" customFormat="1" x14ac:dyDescent="0.2">
      <c r="A303" s="1971" t="s">
        <v>5330</v>
      </c>
      <c r="B303" s="679">
        <f>SUM(GM!C839:C854)+SUM(GM!C862)+SUM(SP!C430:C458)+'W&amp;W'!C187+'W&amp;W'!C386+'W&amp;W'!C387+SP!C612</f>
        <v>1458600</v>
      </c>
      <c r="C303" s="679">
        <v>1429</v>
      </c>
      <c r="D303" s="679">
        <f t="shared" si="235"/>
        <v>29.599999999999909</v>
      </c>
      <c r="F303" s="80"/>
      <c r="G303" s="80"/>
      <c r="I303" s="80"/>
      <c r="J303" s="80"/>
      <c r="K303" s="80"/>
    </row>
    <row r="304" spans="1:11" s="726" customFormat="1" x14ac:dyDescent="0.2">
      <c r="A304" s="1971" t="s">
        <v>5331</v>
      </c>
      <c r="B304" s="679">
        <f>DEH!C413</f>
        <v>195500</v>
      </c>
      <c r="C304" s="679">
        <v>216</v>
      </c>
      <c r="D304" s="679">
        <f t="shared" si="235"/>
        <v>-20.5</v>
      </c>
      <c r="F304" s="80"/>
      <c r="G304" s="80"/>
      <c r="I304" s="80"/>
      <c r="J304" s="80"/>
      <c r="K304" s="80"/>
    </row>
    <row r="305" spans="1:11" s="726" customFormat="1" x14ac:dyDescent="0.2">
      <c r="A305" s="1971" t="s">
        <v>5332</v>
      </c>
      <c r="B305" s="679">
        <f>DEH!C415+DEH!C414</f>
        <v>60000</v>
      </c>
      <c r="C305" s="679">
        <v>98</v>
      </c>
      <c r="D305" s="679">
        <f t="shared" si="235"/>
        <v>-38</v>
      </c>
      <c r="F305" s="80"/>
      <c r="G305" s="80"/>
      <c r="I305" s="80"/>
      <c r="J305" s="80"/>
      <c r="K305" s="80"/>
    </row>
    <row r="306" spans="1:11" s="726" customFormat="1" x14ac:dyDescent="0.2">
      <c r="A306" s="1971" t="s">
        <v>5337</v>
      </c>
      <c r="B306" s="679">
        <f>GM!C612</f>
        <v>28200</v>
      </c>
      <c r="C306" s="679">
        <v>28</v>
      </c>
      <c r="D306" s="679">
        <f t="shared" ref="D306:D307" si="236">B306/1000-C306</f>
        <v>0.19999999999999929</v>
      </c>
      <c r="F306" s="80"/>
      <c r="G306" s="80"/>
      <c r="I306" s="80"/>
      <c r="J306" s="80"/>
      <c r="K306" s="80"/>
    </row>
    <row r="307" spans="1:11" s="726" customFormat="1" x14ac:dyDescent="0.2">
      <c r="A307" s="1971" t="s">
        <v>5336</v>
      </c>
      <c r="B307" s="679">
        <f>DEH!C54</f>
        <v>5100</v>
      </c>
      <c r="C307" s="679">
        <v>10</v>
      </c>
      <c r="D307" s="679">
        <f t="shared" si="236"/>
        <v>-4.9000000000000004</v>
      </c>
      <c r="F307" s="80"/>
      <c r="G307" s="80"/>
      <c r="I307" s="80"/>
      <c r="J307" s="80"/>
      <c r="K307" s="80"/>
    </row>
    <row r="308" spans="1:11" s="726" customFormat="1" x14ac:dyDescent="0.2">
      <c r="A308" s="1971" t="s">
        <v>5333</v>
      </c>
      <c r="B308" s="679">
        <f>GM!C607+GM!C608+GM!C609+GM!C610</f>
        <v>27000</v>
      </c>
      <c r="C308" s="679">
        <v>44</v>
      </c>
      <c r="D308" s="679">
        <f t="shared" si="235"/>
        <v>-17</v>
      </c>
      <c r="F308" s="80"/>
      <c r="G308" s="80"/>
      <c r="I308" s="80"/>
      <c r="J308" s="80"/>
      <c r="K308" s="80"/>
    </row>
    <row r="309" spans="1:11" s="726" customFormat="1" x14ac:dyDescent="0.2">
      <c r="A309" s="1971" t="s">
        <v>5334</v>
      </c>
      <c r="B309" s="679">
        <f>CIV!C821</f>
        <v>178300</v>
      </c>
      <c r="C309" s="679">
        <v>227</v>
      </c>
      <c r="D309" s="679">
        <f t="shared" si="235"/>
        <v>-48.699999999999989</v>
      </c>
      <c r="F309" s="80"/>
      <c r="G309" s="80"/>
      <c r="I309" s="80"/>
      <c r="J309" s="80"/>
      <c r="K309" s="80"/>
    </row>
    <row r="310" spans="1:11" s="726" customFormat="1" x14ac:dyDescent="0.2">
      <c r="A310" s="1991" t="s">
        <v>5343</v>
      </c>
      <c r="B310" s="679"/>
      <c r="C310" s="679">
        <v>62</v>
      </c>
      <c r="D310" s="679">
        <f t="shared" si="235"/>
        <v>-62</v>
      </c>
      <c r="F310" s="80"/>
      <c r="G310" s="80"/>
      <c r="I310" s="80"/>
      <c r="J310" s="80"/>
      <c r="K310" s="80"/>
    </row>
    <row r="311" spans="1:11" s="726" customFormat="1" x14ac:dyDescent="0.2">
      <c r="A311" s="1991" t="s">
        <v>5344</v>
      </c>
      <c r="B311" s="679">
        <f>CIV!C1732</f>
        <v>223900</v>
      </c>
      <c r="C311" s="679">
        <v>224</v>
      </c>
      <c r="D311" s="679">
        <f t="shared" si="235"/>
        <v>-9.9999999999994316E-2</v>
      </c>
      <c r="F311" s="80"/>
      <c r="G311" s="80"/>
      <c r="I311" s="80"/>
    </row>
    <row r="312" spans="1:11" s="726" customFormat="1" x14ac:dyDescent="0.2">
      <c r="A312" s="1971" t="s">
        <v>5335</v>
      </c>
      <c r="B312" s="679">
        <f>CIV!C1791</f>
        <v>79700</v>
      </c>
      <c r="C312" s="679">
        <v>80</v>
      </c>
      <c r="D312" s="679">
        <f t="shared" si="235"/>
        <v>-0.29999999999999716</v>
      </c>
      <c r="F312" s="80"/>
      <c r="G312" s="80"/>
      <c r="I312" s="80"/>
    </row>
    <row r="313" spans="1:11" s="726" customFormat="1" x14ac:dyDescent="0.2">
      <c r="A313" s="1971" t="s">
        <v>1739</v>
      </c>
      <c r="B313" s="679"/>
      <c r="C313" s="679">
        <v>136</v>
      </c>
      <c r="D313" s="679">
        <f t="shared" si="235"/>
        <v>-136</v>
      </c>
      <c r="F313" s="80"/>
      <c r="G313" s="80"/>
      <c r="I313" s="80"/>
    </row>
    <row r="314" spans="1:11" s="726" customFormat="1" x14ac:dyDescent="0.2">
      <c r="A314" s="1971"/>
      <c r="B314" s="1204">
        <f t="shared" ref="B314:C314" si="237">SUM(B301:B313)</f>
        <v>4178500</v>
      </c>
      <c r="C314" s="1204">
        <f t="shared" si="237"/>
        <v>4476</v>
      </c>
      <c r="D314" s="1204">
        <f>SUM(D301:D313)</f>
        <v>-297.50000000000011</v>
      </c>
      <c r="F314" s="1409"/>
      <c r="G314" s="1409"/>
      <c r="I314" s="80"/>
    </row>
    <row r="315" spans="1:11" x14ac:dyDescent="0.2">
      <c r="A315" s="1545"/>
      <c r="B315" s="440"/>
      <c r="C315" s="440"/>
      <c r="D315" s="440"/>
      <c r="I315" s="80"/>
    </row>
    <row r="316" spans="1:11" x14ac:dyDescent="0.2">
      <c r="A316" s="1990" t="s">
        <v>2828</v>
      </c>
      <c r="B316" s="440"/>
      <c r="C316" s="440"/>
      <c r="D316" s="440"/>
      <c r="I316" s="80"/>
    </row>
    <row r="317" spans="1:11" x14ac:dyDescent="0.2">
      <c r="A317" s="1971" t="s">
        <v>1481</v>
      </c>
      <c r="B317" s="679">
        <f>GM!C575</f>
        <v>3717800</v>
      </c>
      <c r="C317" s="707">
        <v>3718</v>
      </c>
      <c r="D317" s="679">
        <f t="shared" ref="D317:D318" si="238">B317/1000-C317</f>
        <v>-0.1999999999998181</v>
      </c>
      <c r="I317" s="80"/>
    </row>
    <row r="318" spans="1:11" x14ac:dyDescent="0.2">
      <c r="A318" s="1971" t="s">
        <v>5312</v>
      </c>
      <c r="B318" s="679">
        <f>GM!C576</f>
        <v>339400</v>
      </c>
      <c r="C318" s="707">
        <v>340</v>
      </c>
      <c r="D318" s="679">
        <f t="shared" si="238"/>
        <v>-0.60000000000002274</v>
      </c>
    </row>
    <row r="319" spans="1:11" s="726" customFormat="1" x14ac:dyDescent="0.2">
      <c r="A319" s="655" t="s">
        <v>5293</v>
      </c>
      <c r="B319" s="679"/>
      <c r="C319" s="707"/>
      <c r="D319" s="679"/>
    </row>
    <row r="320" spans="1:11" s="726" customFormat="1" x14ac:dyDescent="0.2">
      <c r="A320" s="655" t="s">
        <v>5294</v>
      </c>
      <c r="B320" s="679">
        <f>'W&amp;W'!C182</f>
        <v>152600</v>
      </c>
      <c r="C320" s="707">
        <v>153</v>
      </c>
      <c r="D320" s="679">
        <f t="shared" ref="D320:D331" si="239">B320/1000-C320</f>
        <v>-0.40000000000000568</v>
      </c>
    </row>
    <row r="321" spans="1:11" s="726" customFormat="1" x14ac:dyDescent="0.2">
      <c r="A321" s="655" t="s">
        <v>5295</v>
      </c>
      <c r="B321" s="679">
        <f>'W&amp;W'!C370</f>
        <v>151700</v>
      </c>
      <c r="C321" s="707">
        <v>152</v>
      </c>
      <c r="D321" s="679">
        <f t="shared" si="239"/>
        <v>-0.30000000000001137</v>
      </c>
    </row>
    <row r="322" spans="1:11" s="726" customFormat="1" x14ac:dyDescent="0.2">
      <c r="A322" s="655" t="s">
        <v>5296</v>
      </c>
      <c r="B322" s="679">
        <f>CIV!C1990</f>
        <v>151800</v>
      </c>
      <c r="C322" s="707">
        <v>152</v>
      </c>
      <c r="D322" s="679">
        <f t="shared" si="239"/>
        <v>-0.19999999999998863</v>
      </c>
    </row>
    <row r="323" spans="1:11" s="726" customFormat="1" x14ac:dyDescent="0.2">
      <c r="A323" s="655" t="s">
        <v>5297</v>
      </c>
      <c r="B323" s="679">
        <f>CIV!C1666</f>
        <v>96900</v>
      </c>
      <c r="C323" s="707">
        <v>97</v>
      </c>
      <c r="D323" s="679">
        <f t="shared" si="239"/>
        <v>-9.9999999999994316E-2</v>
      </c>
    </row>
    <row r="324" spans="1:11" s="726" customFormat="1" x14ac:dyDescent="0.2">
      <c r="A324" s="655" t="s">
        <v>1903</v>
      </c>
      <c r="B324" s="679">
        <f>SP!C669+SP!C670</f>
        <v>136300</v>
      </c>
      <c r="C324" s="707">
        <v>131</v>
      </c>
      <c r="D324" s="679">
        <f t="shared" si="239"/>
        <v>5.3000000000000114</v>
      </c>
    </row>
    <row r="325" spans="1:11" s="726" customFormat="1" x14ac:dyDescent="0.2">
      <c r="A325" s="655" t="s">
        <v>4440</v>
      </c>
      <c r="B325" s="679">
        <f>CIV!C1028+CIV!C1097+GM!C1027</f>
        <v>354000</v>
      </c>
      <c r="C325" s="707">
        <v>354</v>
      </c>
      <c r="D325" s="679">
        <f t="shared" si="239"/>
        <v>0</v>
      </c>
    </row>
    <row r="326" spans="1:11" s="726" customFormat="1" x14ac:dyDescent="0.2">
      <c r="A326" s="655" t="s">
        <v>532</v>
      </c>
      <c r="B326" s="679">
        <f>CIV!C1667+CIV!C1668</f>
        <v>85000</v>
      </c>
      <c r="C326" s="707">
        <v>85</v>
      </c>
      <c r="D326" s="679">
        <f t="shared" si="239"/>
        <v>0</v>
      </c>
    </row>
    <row r="327" spans="1:11" s="726" customFormat="1" x14ac:dyDescent="0.2">
      <c r="A327" s="655" t="s">
        <v>713</v>
      </c>
      <c r="B327" s="679">
        <f>CIV!C1096</f>
        <v>98000</v>
      </c>
      <c r="C327" s="707">
        <v>98</v>
      </c>
      <c r="D327" s="679">
        <f t="shared" si="239"/>
        <v>0</v>
      </c>
    </row>
    <row r="328" spans="1:11" s="726" customFormat="1" x14ac:dyDescent="0.2">
      <c r="A328" s="655" t="s">
        <v>1739</v>
      </c>
      <c r="B328" s="679" t="e">
        <f>SUM(SP!C113)+SP!#REF!+SP!C797+CIV!C1403+CIV!C1165</f>
        <v>#REF!</v>
      </c>
      <c r="C328" s="707">
        <v>129</v>
      </c>
      <c r="D328" s="679" t="e">
        <f t="shared" si="239"/>
        <v>#REF!</v>
      </c>
    </row>
    <row r="329" spans="1:11" x14ac:dyDescent="0.2">
      <c r="A329" s="823" t="s">
        <v>752</v>
      </c>
      <c r="B329" s="1204" t="e">
        <f t="shared" ref="B329" si="240">SUM(B317:B328)</f>
        <v>#REF!</v>
      </c>
      <c r="C329" s="1204">
        <f>SUM(C317:C328)</f>
        <v>5409</v>
      </c>
      <c r="D329" s="1204" t="e">
        <f t="shared" ref="D329" si="241">SUM(D317:D328)</f>
        <v>#REF!</v>
      </c>
      <c r="F329" s="1992"/>
    </row>
    <row r="330" spans="1:11" x14ac:dyDescent="0.2">
      <c r="A330" s="823"/>
      <c r="B330" s="733"/>
      <c r="C330" s="733"/>
      <c r="D330" s="733"/>
    </row>
    <row r="331" spans="1:11" x14ac:dyDescent="0.2">
      <c r="A331" s="823" t="s">
        <v>785</v>
      </c>
      <c r="B331" s="269"/>
      <c r="C331" s="707"/>
      <c r="D331" s="679">
        <f t="shared" si="239"/>
        <v>0</v>
      </c>
    </row>
    <row r="332" spans="1:11" s="726" customFormat="1" x14ac:dyDescent="0.2">
      <c r="A332" s="655" t="s">
        <v>5298</v>
      </c>
      <c r="B332" s="679">
        <f>'Cap Inc'!A29</f>
        <v>350000</v>
      </c>
      <c r="C332" s="707">
        <v>350</v>
      </c>
      <c r="D332" s="679">
        <f t="shared" ref="D332:D337" si="242">B332/1000-C332</f>
        <v>0</v>
      </c>
    </row>
    <row r="333" spans="1:11" s="726" customFormat="1" x14ac:dyDescent="0.2">
      <c r="A333" s="655" t="s">
        <v>5299</v>
      </c>
      <c r="B333" s="679">
        <f>+'Cap Inc'!A77</f>
        <v>281800</v>
      </c>
      <c r="C333" s="707">
        <v>282</v>
      </c>
      <c r="D333" s="679">
        <f t="shared" si="242"/>
        <v>-0.19999999999998863</v>
      </c>
    </row>
    <row r="334" spans="1:11" s="726" customFormat="1" x14ac:dyDescent="0.2">
      <c r="A334" s="655" t="s">
        <v>5300</v>
      </c>
      <c r="B334" s="679">
        <f>'Cap Inc'!A8</f>
        <v>180000</v>
      </c>
      <c r="C334" s="707">
        <v>180</v>
      </c>
      <c r="D334" s="679">
        <f t="shared" si="242"/>
        <v>0</v>
      </c>
    </row>
    <row r="335" spans="1:11" s="726" customFormat="1" x14ac:dyDescent="0.2">
      <c r="A335" s="655" t="s">
        <v>5301</v>
      </c>
      <c r="B335" s="679">
        <f>'Cap Inc'!A93</f>
        <v>154500</v>
      </c>
      <c r="C335" s="707">
        <v>154</v>
      </c>
      <c r="D335" s="679">
        <f t="shared" si="242"/>
        <v>0.5</v>
      </c>
      <c r="K335" s="80"/>
    </row>
    <row r="336" spans="1:11" s="726" customFormat="1" x14ac:dyDescent="0.2">
      <c r="A336" s="655" t="s">
        <v>5302</v>
      </c>
      <c r="B336" s="679">
        <f>'Cap Inc'!A34</f>
        <v>136400</v>
      </c>
      <c r="C336" s="707">
        <v>136</v>
      </c>
      <c r="D336" s="679">
        <f t="shared" si="242"/>
        <v>0.40000000000000568</v>
      </c>
      <c r="K336" s="80"/>
    </row>
    <row r="337" spans="1:11" s="726" customFormat="1" x14ac:dyDescent="0.2">
      <c r="A337" s="655" t="s">
        <v>1739</v>
      </c>
      <c r="B337" s="679">
        <f>'Cap Inc'!A90+'Cap Inc'!A76+'Cap Inc'!A110+'Cap Inc'!A114+'Cap Inc'!A87</f>
        <v>88000</v>
      </c>
      <c r="C337" s="707">
        <v>88</v>
      </c>
      <c r="D337" s="679">
        <f t="shared" si="242"/>
        <v>0</v>
      </c>
      <c r="K337" s="80"/>
    </row>
    <row r="338" spans="1:11" x14ac:dyDescent="0.2">
      <c r="A338" s="823" t="s">
        <v>752</v>
      </c>
      <c r="B338" s="1204">
        <f>SUM(B332:B337)</f>
        <v>1190700</v>
      </c>
      <c r="C338" s="1204">
        <f>SUM(C332:C337)</f>
        <v>1190</v>
      </c>
      <c r="D338" s="1204">
        <f>SUM(D331:D337)</f>
        <v>0.70000000000001705</v>
      </c>
      <c r="F338" s="36"/>
      <c r="G338" s="36"/>
      <c r="H338" s="36"/>
      <c r="I338" s="36"/>
      <c r="K338" s="80"/>
    </row>
    <row r="339" spans="1:11" x14ac:dyDescent="0.2">
      <c r="A339" s="656"/>
      <c r="B339" s="269"/>
      <c r="C339" s="707"/>
      <c r="D339" s="1182"/>
      <c r="K339" s="80"/>
    </row>
    <row r="340" spans="1:11" x14ac:dyDescent="0.2">
      <c r="A340" s="823" t="s">
        <v>5303</v>
      </c>
      <c r="B340" s="1993"/>
      <c r="C340" s="440"/>
      <c r="D340" s="440"/>
    </row>
    <row r="341" spans="1:11" s="726" customFormat="1" x14ac:dyDescent="0.2">
      <c r="A341" s="655" t="s">
        <v>5306</v>
      </c>
      <c r="B341" s="679">
        <f>GM!C728+GM!C730+GM!C731+CIV!C1293+CIV!C1294+CIV!C1295</f>
        <v>188700</v>
      </c>
      <c r="C341" s="707">
        <v>333</v>
      </c>
      <c r="D341" s="679">
        <f t="shared" ref="D341:D344" si="243">B341/1000-C341</f>
        <v>-144.30000000000001</v>
      </c>
    </row>
    <row r="342" spans="1:11" s="726" customFormat="1" x14ac:dyDescent="0.2">
      <c r="A342" s="655" t="s">
        <v>5307</v>
      </c>
      <c r="B342" s="679">
        <f>CIV!C1030</f>
        <v>238800</v>
      </c>
      <c r="C342" s="707">
        <v>887</v>
      </c>
      <c r="D342" s="679">
        <f t="shared" si="243"/>
        <v>-648.20000000000005</v>
      </c>
    </row>
    <row r="343" spans="1:11" s="726" customFormat="1" x14ac:dyDescent="0.2">
      <c r="A343" s="655" t="s">
        <v>3854</v>
      </c>
      <c r="B343" s="679">
        <f>CIV!C1234+SUM(CIV!C762:C764)</f>
        <v>917500</v>
      </c>
      <c r="C343" s="707">
        <v>921</v>
      </c>
      <c r="D343" s="679">
        <f t="shared" si="243"/>
        <v>-3.5</v>
      </c>
    </row>
    <row r="344" spans="1:11" s="726" customFormat="1" x14ac:dyDescent="0.2">
      <c r="A344" s="655" t="s">
        <v>1739</v>
      </c>
      <c r="B344" s="679" t="e">
        <f>SUM(SP!C326:'SP'!C335)+SUM(GM!C854:'GM'!C856)+CIV!C761+CIV!C1296+CIV!C1297++CIV!C1534+CIV!C1798+CIV!#REF!+CIV!C1098</f>
        <v>#REF!</v>
      </c>
      <c r="C344" s="707">
        <v>611</v>
      </c>
      <c r="D344" s="679" t="e">
        <f t="shared" si="243"/>
        <v>#REF!</v>
      </c>
    </row>
    <row r="345" spans="1:11" x14ac:dyDescent="0.2">
      <c r="A345" s="823" t="s">
        <v>752</v>
      </c>
      <c r="B345" s="1204" t="e">
        <f>SUM(B341:B344)</f>
        <v>#REF!</v>
      </c>
      <c r="C345" s="1204">
        <f>SUM(C341:C344)</f>
        <v>2752</v>
      </c>
      <c r="D345" s="1204" t="e">
        <f>SUM(D341:D344)</f>
        <v>#REF!</v>
      </c>
      <c r="F345" s="1992"/>
    </row>
    <row r="346" spans="1:11" x14ac:dyDescent="0.2">
      <c r="A346" s="823"/>
      <c r="B346" s="733"/>
      <c r="C346" s="733"/>
      <c r="D346" s="733"/>
    </row>
    <row r="347" spans="1:11" x14ac:dyDescent="0.2">
      <c r="A347" s="823" t="s">
        <v>2252</v>
      </c>
      <c r="B347" s="269"/>
      <c r="C347" s="707"/>
      <c r="D347" s="679"/>
    </row>
    <row r="348" spans="1:11" s="726" customFormat="1" x14ac:dyDescent="0.2">
      <c r="A348" s="655" t="s">
        <v>5309</v>
      </c>
      <c r="B348" s="679">
        <f>'Sec 94'!C28</f>
        <v>2924000</v>
      </c>
      <c r="C348" s="707">
        <v>2924</v>
      </c>
      <c r="D348" s="679">
        <f t="shared" ref="D348:D354" si="244">B348/1000-C348</f>
        <v>0</v>
      </c>
    </row>
    <row r="349" spans="1:11" s="726" customFormat="1" x14ac:dyDescent="0.2">
      <c r="A349" s="655" t="s">
        <v>5304</v>
      </c>
      <c r="B349" s="679">
        <f>'Cash-W'!B18</f>
        <v>454900</v>
      </c>
      <c r="C349" s="707">
        <v>455</v>
      </c>
      <c r="D349" s="679">
        <f t="shared" si="244"/>
        <v>-0.10000000000002274</v>
      </c>
    </row>
    <row r="350" spans="1:11" s="726" customFormat="1" x14ac:dyDescent="0.2">
      <c r="A350" s="655" t="s">
        <v>5305</v>
      </c>
      <c r="B350" s="679">
        <f>'Cash-WW'!B18</f>
        <v>1385900</v>
      </c>
      <c r="C350" s="707">
        <v>1386</v>
      </c>
      <c r="D350" s="679">
        <f t="shared" si="244"/>
        <v>-9.9999999999909051E-2</v>
      </c>
    </row>
    <row r="351" spans="1:11" s="726" customFormat="1" x14ac:dyDescent="0.2">
      <c r="A351" s="655" t="s">
        <v>5308</v>
      </c>
      <c r="B351" s="679">
        <f>'Cash-Gen'!B55+'Cash-W'!B16+'Cash-WW'!B16</f>
        <v>6718000</v>
      </c>
      <c r="C351" s="707">
        <v>6718</v>
      </c>
      <c r="D351" s="679">
        <f t="shared" si="244"/>
        <v>0</v>
      </c>
    </row>
    <row r="352" spans="1:11" s="726" customFormat="1" x14ac:dyDescent="0.2">
      <c r="A352" s="655" t="s">
        <v>5307</v>
      </c>
      <c r="B352" s="679">
        <f>'Cap Inc'!A42+'Cap Inc'!A43</f>
        <v>350000</v>
      </c>
      <c r="C352" s="707">
        <v>374</v>
      </c>
      <c r="D352" s="679">
        <f t="shared" si="244"/>
        <v>-24</v>
      </c>
    </row>
    <row r="353" spans="1:9" s="726" customFormat="1" x14ac:dyDescent="0.2">
      <c r="A353" s="655" t="s">
        <v>5310</v>
      </c>
      <c r="B353" s="679">
        <f>'Cap Inc'!A39+'Cap Inc'!A59+'Cap Inc'!A61+'Cap Inc'!A62+'Cap Inc'!A72+'Cap Inc'!A41</f>
        <v>1992000</v>
      </c>
      <c r="C353" s="707">
        <v>1835</v>
      </c>
      <c r="D353" s="679">
        <f t="shared" si="244"/>
        <v>157</v>
      </c>
    </row>
    <row r="354" spans="1:9" s="726" customFormat="1" x14ac:dyDescent="0.2">
      <c r="A354" s="655" t="s">
        <v>5311</v>
      </c>
      <c r="B354" s="679">
        <f>'Cap Inc'!A14</f>
        <v>600000</v>
      </c>
      <c r="C354" s="707">
        <v>600</v>
      </c>
      <c r="D354" s="679">
        <f t="shared" si="244"/>
        <v>0</v>
      </c>
    </row>
    <row r="355" spans="1:9" s="726" customFormat="1" x14ac:dyDescent="0.2">
      <c r="A355" s="655" t="s">
        <v>5360</v>
      </c>
      <c r="B355" s="679">
        <f>'Cap Inc'!A86++'Cap Inc'!A79+'Cap Inc'!A75+'Cap Inc'!A80</f>
        <v>516000</v>
      </c>
      <c r="C355" s="707">
        <v>517</v>
      </c>
      <c r="D355" s="679">
        <f>B355/1000-C355</f>
        <v>-1</v>
      </c>
    </row>
    <row r="356" spans="1:9" s="726" customFormat="1" x14ac:dyDescent="0.2">
      <c r="A356" s="655" t="s">
        <v>5361</v>
      </c>
      <c r="B356" s="679">
        <f>AG40+AV40</f>
        <v>217100</v>
      </c>
      <c r="C356" s="707">
        <v>0</v>
      </c>
      <c r="D356" s="679">
        <f t="shared" ref="D356" si="245">B356/1000-C356</f>
        <v>217.1</v>
      </c>
    </row>
    <row r="357" spans="1:9" x14ac:dyDescent="0.2">
      <c r="A357" s="823" t="s">
        <v>752</v>
      </c>
      <c r="B357" s="1204">
        <f>SUM(B348:B356)</f>
        <v>15157900</v>
      </c>
      <c r="C357" s="1204">
        <f>SUM(C348:C356)</f>
        <v>14809</v>
      </c>
      <c r="D357" s="1204">
        <f>SUM(D347:D356)</f>
        <v>348.90000000000009</v>
      </c>
    </row>
    <row r="358" spans="1:9" x14ac:dyDescent="0.2">
      <c r="A358" s="656"/>
      <c r="B358" s="1182"/>
      <c r="C358" s="707"/>
      <c r="D358" s="1182"/>
    </row>
    <row r="359" spans="1:9" x14ac:dyDescent="0.2">
      <c r="A359" s="823" t="s">
        <v>5338</v>
      </c>
      <c r="B359" s="1182"/>
      <c r="C359" s="707"/>
      <c r="D359" s="1182"/>
    </row>
    <row r="360" spans="1:9" x14ac:dyDescent="0.2">
      <c r="A360" s="823" t="s">
        <v>5339</v>
      </c>
      <c r="B360" s="269" t="e">
        <f>B345+B329</f>
        <v>#REF!</v>
      </c>
      <c r="C360" s="269">
        <f>C329+C345</f>
        <v>8161</v>
      </c>
      <c r="D360" s="269" t="e">
        <f>D329+D345</f>
        <v>#REF!</v>
      </c>
      <c r="F360" s="1992"/>
      <c r="G360" s="1992"/>
    </row>
    <row r="361" spans="1:9" x14ac:dyDescent="0.2">
      <c r="A361" s="823" t="s">
        <v>5340</v>
      </c>
      <c r="B361" s="269">
        <f>B357+B338</f>
        <v>16348600</v>
      </c>
      <c r="C361" s="269">
        <f>C338+C357</f>
        <v>15999</v>
      </c>
      <c r="D361" s="269">
        <f>D338+D357</f>
        <v>349.60000000000014</v>
      </c>
      <c r="E361" s="36"/>
      <c r="F361" s="36"/>
      <c r="G361" s="36"/>
      <c r="H361" s="1994"/>
      <c r="I361" s="245"/>
    </row>
    <row r="362" spans="1:9" s="726" customFormat="1" ht="13.5" thickBot="1" x14ac:dyDescent="0.25">
      <c r="A362" s="655"/>
      <c r="B362" s="77"/>
      <c r="C362" s="77"/>
      <c r="D362" s="77"/>
      <c r="F362" s="80"/>
      <c r="G362" s="80"/>
    </row>
    <row r="363" spans="1:9" s="285" customFormat="1" ht="13.5" thickBot="1" x14ac:dyDescent="0.25">
      <c r="A363" s="1995" t="s">
        <v>5341</v>
      </c>
      <c r="B363" s="1996" t="e">
        <f>B361+B360+B314+B298+B292+B271</f>
        <v>#REF!</v>
      </c>
      <c r="C363" s="1996">
        <f>C361+C360+C314+C298+C292+C271</f>
        <v>90272</v>
      </c>
      <c r="D363" s="1996" t="e">
        <f>D361+D360+D314+D298+D292+D271</f>
        <v>#REF!</v>
      </c>
      <c r="G363" s="39"/>
    </row>
    <row r="364" spans="1:9" ht="13.5" thickTop="1" x14ac:dyDescent="0.2"/>
    <row r="1109" spans="5:5" x14ac:dyDescent="0.2">
      <c r="E1109" s="1" t="s">
        <v>7245</v>
      </c>
    </row>
  </sheetData>
  <mergeCells count="18">
    <mergeCell ref="B66:P66"/>
    <mergeCell ref="Q66:AE66"/>
    <mergeCell ref="F255:G255"/>
    <mergeCell ref="H93:H94"/>
    <mergeCell ref="R93:R94"/>
    <mergeCell ref="S93:S94"/>
    <mergeCell ref="D93:D94"/>
    <mergeCell ref="A93:A94"/>
    <mergeCell ref="B93:B94"/>
    <mergeCell ref="C93:C94"/>
    <mergeCell ref="I93:I94"/>
    <mergeCell ref="Q93:Q94"/>
    <mergeCell ref="A1:BI1"/>
    <mergeCell ref="A2:BI2"/>
    <mergeCell ref="AU3:BI3"/>
    <mergeCell ref="AF3:AT3"/>
    <mergeCell ref="Q3:AE3"/>
    <mergeCell ref="B3:P3"/>
  </mergeCells>
  <phoneticPr fontId="9" type="noConversion"/>
  <printOptions horizontalCentered="1"/>
  <pageMargins left="0.39370078740157483" right="0.39370078740157483" top="0.39370078740157483" bottom="0.39370078740157483" header="0.39370078740157483" footer="0.39370078740157483"/>
  <pageSetup paperSize="8" fitToHeight="2" orientation="landscape"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109"/>
  <sheetViews>
    <sheetView topLeftCell="C1" workbookViewId="0">
      <selection activeCell="R47" sqref="R47"/>
    </sheetView>
  </sheetViews>
  <sheetFormatPr defaultColWidth="9.140625" defaultRowHeight="12.75" x14ac:dyDescent="0.2"/>
  <cols>
    <col min="1" max="1" width="10.140625" style="1" bestFit="1" customWidth="1"/>
    <col min="2" max="2" width="34" style="1" customWidth="1"/>
    <col min="3" max="3" width="15.28515625" style="1" customWidth="1"/>
    <col min="4" max="4" width="13.85546875" style="1" bestFit="1" customWidth="1"/>
    <col min="5" max="5" width="11.85546875" style="1" customWidth="1"/>
    <col min="6" max="7" width="12.7109375" style="1" bestFit="1" customWidth="1"/>
    <col min="8" max="8" width="11.5703125" style="1" customWidth="1"/>
    <col min="9" max="9" width="13.7109375" style="1" customWidth="1"/>
    <col min="10" max="10" width="14.85546875" style="1" customWidth="1"/>
    <col min="11" max="11" width="14" style="1" bestFit="1" customWidth="1"/>
    <col min="12" max="12" width="12.5703125" style="1" customWidth="1"/>
    <col min="13" max="13" width="13.42578125" style="1" bestFit="1" customWidth="1"/>
    <col min="14" max="14" width="11.42578125" style="1" bestFit="1" customWidth="1"/>
    <col min="15" max="15" width="14" style="1" bestFit="1" customWidth="1"/>
    <col min="16" max="17" width="10.28515625" style="1" bestFit="1" customWidth="1"/>
    <col min="18" max="18" width="10.140625" style="1" bestFit="1" customWidth="1"/>
    <col min="19" max="19" width="14" style="1" bestFit="1" customWidth="1"/>
    <col min="20" max="20" width="11.42578125" style="1" bestFit="1" customWidth="1"/>
    <col min="21" max="21" width="14.7109375" style="1" bestFit="1" customWidth="1"/>
    <col min="22" max="16384" width="9.140625" style="1"/>
  </cols>
  <sheetData>
    <row r="1" spans="1:15" s="36" customFormat="1" x14ac:dyDescent="0.2">
      <c r="A1" s="1804"/>
      <c r="B1" s="1805"/>
      <c r="C1" s="1805"/>
      <c r="D1" s="1806"/>
      <c r="E1" s="1806"/>
      <c r="F1" s="1806"/>
      <c r="G1" s="1806"/>
      <c r="H1" s="1806"/>
      <c r="I1" s="1806"/>
      <c r="J1" s="1806"/>
      <c r="K1" s="1806"/>
      <c r="L1" s="1806"/>
      <c r="M1" s="1806"/>
      <c r="N1" s="1806"/>
      <c r="O1" s="1807"/>
    </row>
    <row r="2" spans="1:15" s="36" customFormat="1" x14ac:dyDescent="0.2">
      <c r="A2" s="2727" t="s">
        <v>3627</v>
      </c>
      <c r="B2" s="2728"/>
      <c r="C2" s="2728"/>
      <c r="D2" s="2728"/>
      <c r="E2" s="2728"/>
      <c r="F2" s="2728"/>
      <c r="G2" s="2728"/>
      <c r="H2" s="2728"/>
      <c r="I2" s="2728"/>
      <c r="J2" s="2728"/>
      <c r="K2" s="2728"/>
      <c r="L2" s="2728"/>
      <c r="M2" s="2728"/>
      <c r="N2" s="2728"/>
      <c r="O2" s="2729"/>
    </row>
    <row r="3" spans="1:15" s="36" customFormat="1" x14ac:dyDescent="0.2">
      <c r="A3" s="1283"/>
      <c r="B3" s="115"/>
      <c r="C3" s="1808"/>
      <c r="D3" s="1808"/>
      <c r="E3" s="384"/>
      <c r="F3" s="384"/>
      <c r="G3" s="384"/>
      <c r="H3" s="384"/>
      <c r="I3" s="384"/>
      <c r="J3" s="384"/>
      <c r="K3" s="384"/>
      <c r="L3" s="384"/>
      <c r="M3" s="115"/>
      <c r="N3" s="1808"/>
      <c r="O3" s="1809"/>
    </row>
    <row r="4" spans="1:15" s="36" customFormat="1" x14ac:dyDescent="0.2">
      <c r="A4" s="1810"/>
      <c r="B4" s="1811" t="s">
        <v>228</v>
      </c>
      <c r="C4" s="1812" t="str">
        <f>Checks!A2</f>
        <v>2013/14</v>
      </c>
      <c r="D4" s="1813" t="str">
        <f>Checks!B2</f>
        <v>2014/15</v>
      </c>
      <c r="E4" s="1813" t="str">
        <f>Checks!C2</f>
        <v>2015/16</v>
      </c>
      <c r="F4" s="1813" t="str">
        <f>Checks!D2</f>
        <v>2016/17</v>
      </c>
      <c r="G4" s="1814"/>
      <c r="H4" s="1813" t="str">
        <f>Checks!G2</f>
        <v>2017/18</v>
      </c>
      <c r="I4" s="1815" t="str">
        <f>C4</f>
        <v>2013/14</v>
      </c>
      <c r="J4" s="1813" t="str">
        <f>D4</f>
        <v>2014/15</v>
      </c>
      <c r="K4" s="1813" t="str">
        <f>E4</f>
        <v>2015/16</v>
      </c>
      <c r="L4" s="1813" t="str">
        <f>F4</f>
        <v>2016/17</v>
      </c>
      <c r="M4" s="1813" t="str">
        <f>H4</f>
        <v>2017/18</v>
      </c>
      <c r="N4" s="1816"/>
      <c r="O4" s="1817"/>
    </row>
    <row r="5" spans="1:15" s="36" customFormat="1" x14ac:dyDescent="0.2">
      <c r="A5" s="1283"/>
      <c r="B5" s="79"/>
      <c r="C5" s="1040"/>
      <c r="D5" s="220"/>
      <c r="E5" s="584"/>
      <c r="F5" s="584"/>
      <c r="G5" s="1818"/>
      <c r="H5" s="1818"/>
      <c r="I5" s="1808"/>
      <c r="J5" s="1818"/>
      <c r="K5" s="1818"/>
      <c r="L5" s="1818"/>
      <c r="M5" s="48"/>
      <c r="N5" s="1808"/>
      <c r="O5" s="1809"/>
    </row>
    <row r="6" spans="1:15" s="36" customFormat="1" x14ac:dyDescent="0.2">
      <c r="A6" s="1283"/>
      <c r="B6" s="63" t="s">
        <v>419</v>
      </c>
      <c r="C6" s="1040" t="s">
        <v>4468</v>
      </c>
      <c r="D6" s="220" t="str">
        <f>C6</f>
        <v xml:space="preserve">Charge </v>
      </c>
      <c r="E6" s="220" t="str">
        <f>D6</f>
        <v xml:space="preserve">Charge </v>
      </c>
      <c r="F6" s="220" t="str">
        <f>E6</f>
        <v xml:space="preserve">Charge </v>
      </c>
      <c r="G6" s="220" t="s">
        <v>5933</v>
      </c>
      <c r="H6" s="220"/>
      <c r="I6" s="384" t="s">
        <v>4467</v>
      </c>
      <c r="J6" s="220" t="str">
        <f>I6</f>
        <v>% Op Exp</v>
      </c>
      <c r="K6" s="220" t="str">
        <f>J6</f>
        <v>% Op Exp</v>
      </c>
      <c r="L6" s="220" t="str">
        <f>K6</f>
        <v>% Op Exp</v>
      </c>
      <c r="M6" s="220" t="str">
        <f>L6</f>
        <v>% Op Exp</v>
      </c>
      <c r="O6" s="1809"/>
    </row>
    <row r="7" spans="1:15" s="36" customFormat="1" x14ac:dyDescent="0.2">
      <c r="A7" s="1283"/>
      <c r="B7" s="79" t="s">
        <v>1732</v>
      </c>
      <c r="C7" s="913">
        <f>'W&amp;W'!B72</f>
        <v>1197300</v>
      </c>
      <c r="D7" s="97">
        <f>'W&amp;W'!C72</f>
        <v>1160000</v>
      </c>
      <c r="E7" s="97">
        <f>'W&amp;W'!D72</f>
        <v>1301000</v>
      </c>
      <c r="F7" s="97">
        <f>'W&amp;W'!E72</f>
        <v>1319000</v>
      </c>
      <c r="G7" s="1077">
        <f>(F7-E7)/E7</f>
        <v>1.3835511145272867E-2</v>
      </c>
      <c r="H7" s="97">
        <f>'W&amp;W'!H72</f>
        <v>1382000</v>
      </c>
      <c r="I7" s="1819">
        <f>C7/'W&amp;W'!B14</f>
        <v>0.10775225890060837</v>
      </c>
      <c r="J7" s="1077">
        <f>D7/C113</f>
        <v>0.10263670146876659</v>
      </c>
      <c r="K7" s="1077">
        <f>E7/'W&amp;W'!D14</f>
        <v>0.11990893925289633</v>
      </c>
      <c r="L7" s="1077">
        <f>F7/'W&amp;W'!E14</f>
        <v>0.11861190795212359</v>
      </c>
      <c r="M7" s="1077">
        <f>H7/'W&amp;W'!H14</f>
        <v>0.12311365296559589</v>
      </c>
      <c r="O7" s="1809"/>
    </row>
    <row r="8" spans="1:15" s="36" customFormat="1" x14ac:dyDescent="0.2">
      <c r="A8" s="1283"/>
      <c r="B8" s="79" t="s">
        <v>3289</v>
      </c>
      <c r="C8" s="913">
        <f>'W&amp;W'!B135</f>
        <v>1729000</v>
      </c>
      <c r="D8" s="97">
        <f>'W&amp;W'!C135</f>
        <v>1777000</v>
      </c>
      <c r="E8" s="97">
        <f>'W&amp;W'!D135</f>
        <v>1888000</v>
      </c>
      <c r="F8" s="97">
        <f>'W&amp;W'!E135</f>
        <v>1950000</v>
      </c>
      <c r="G8" s="1077">
        <f t="shared" ref="G8:G16" si="0">(F8-E8)/E8</f>
        <v>3.283898305084746E-2</v>
      </c>
      <c r="H8" s="97">
        <f>'W&amp;W'!H135</f>
        <v>2094000</v>
      </c>
      <c r="I8" s="1819">
        <f>C8/'W&amp;W'!B15</f>
        <v>0.1014409424796414</v>
      </c>
      <c r="J8" s="1077">
        <f>D8/C114</f>
        <v>0.1049163680161537</v>
      </c>
      <c r="K8" s="1077">
        <f>E8/'W&amp;W'!D15</f>
        <v>0.10905289180774808</v>
      </c>
      <c r="L8" s="1077">
        <f>F8/'W&amp;W'!E15</f>
        <v>0.10753577632558524</v>
      </c>
      <c r="M8" s="1077">
        <f>H8/'W&amp;W'!H15</f>
        <v>0.11765829648317441</v>
      </c>
      <c r="O8" s="1809"/>
    </row>
    <row r="9" spans="1:15" s="36" customFormat="1" x14ac:dyDescent="0.2">
      <c r="A9" s="1283"/>
      <c r="B9" s="79" t="s">
        <v>3525</v>
      </c>
      <c r="C9" s="1283">
        <f>CIV!B1842</f>
        <v>525000</v>
      </c>
      <c r="D9" s="646">
        <f>CIV!C1842</f>
        <v>562000</v>
      </c>
      <c r="E9" s="646">
        <f>CIV!D1842</f>
        <v>555000</v>
      </c>
      <c r="F9" s="646">
        <f>CIV!E1842</f>
        <v>644400</v>
      </c>
      <c r="G9" s="1077">
        <f t="shared" si="0"/>
        <v>0.16108108108108107</v>
      </c>
      <c r="H9" s="646">
        <f>CIV!H1842</f>
        <v>531000</v>
      </c>
      <c r="I9" s="1819">
        <f>C9/CIV!B32</f>
        <v>0.21052209479509182</v>
      </c>
      <c r="J9" s="1077">
        <f>D9/C110</f>
        <v>8.5696858798414155E-2</v>
      </c>
      <c r="K9" s="1077">
        <f>E9/(CIV!D32-CIV!D1848-CIV!D1849-CIV!D1850)</f>
        <v>8.1626049740414458E-2</v>
      </c>
      <c r="L9" s="1077">
        <f>F9/(CIV!E32-CIV!E1848-CIV!E1849-CIV!E1850)</f>
        <v>0.13438438438438438</v>
      </c>
      <c r="M9" s="1077">
        <f>H9/(CIV!H32-CIV!H1848-CIV!H1849-CIV!H1850)</f>
        <v>9.1932132963988916E-2</v>
      </c>
      <c r="O9" s="1820"/>
    </row>
    <row r="10" spans="1:15" s="36" customFormat="1" x14ac:dyDescent="0.2">
      <c r="A10" s="1283"/>
      <c r="B10" s="79" t="s">
        <v>3526</v>
      </c>
      <c r="C10" s="1283">
        <f>CIV!B2008</f>
        <v>406000</v>
      </c>
      <c r="D10" s="646">
        <f>CIV!C2008</f>
        <v>619000</v>
      </c>
      <c r="E10" s="646">
        <f>CIV!D2008</f>
        <v>630000</v>
      </c>
      <c r="F10" s="646">
        <f>CIV!E2008</f>
        <v>637000</v>
      </c>
      <c r="G10" s="1077">
        <f t="shared" si="0"/>
        <v>1.1111111111111112E-2</v>
      </c>
      <c r="H10" s="646">
        <f>CIV!H2008</f>
        <v>688000</v>
      </c>
      <c r="I10" s="1819">
        <f>C10/CIV!B33</f>
        <v>6.6747772334199193E-2</v>
      </c>
      <c r="J10" s="1077">
        <f>D10/C111</f>
        <v>9.6504630351407814E-2</v>
      </c>
      <c r="K10" s="1077">
        <f>E10/(CIV!D33-CIV!D2010)</f>
        <v>9.6393653319460801E-2</v>
      </c>
      <c r="L10" s="1077">
        <f>F10/(CIV!E33-CIV!E2010)</f>
        <v>9.5832706484128172E-2</v>
      </c>
      <c r="M10" s="1077">
        <f>H10/(CIV!H33-CIV!H2010)</f>
        <v>0.10231700425329407</v>
      </c>
      <c r="O10" s="1820"/>
    </row>
    <row r="11" spans="1:15" s="36" customFormat="1" x14ac:dyDescent="0.2">
      <c r="A11" s="1283"/>
      <c r="B11" s="79" t="s">
        <v>3327</v>
      </c>
      <c r="C11" s="1283">
        <f>CIV!B1749</f>
        <v>23000</v>
      </c>
      <c r="D11" s="646">
        <f>CIV!C1749</f>
        <v>36000</v>
      </c>
      <c r="E11" s="646">
        <f>CIV!D1749</f>
        <v>51000</v>
      </c>
      <c r="F11" s="646">
        <f>CIV!E1749</f>
        <v>34000</v>
      </c>
      <c r="G11" s="1077">
        <f t="shared" si="0"/>
        <v>-0.33333333333333331</v>
      </c>
      <c r="H11" s="646">
        <f>CIV!H1749</f>
        <v>0</v>
      </c>
      <c r="I11" s="1819">
        <f>C11/CIV!B31</f>
        <v>0.1332560834298957</v>
      </c>
      <c r="J11" s="1077">
        <f>D11/C109</f>
        <v>6.1802575107296136E-2</v>
      </c>
      <c r="K11" s="1077">
        <f>E11/CIV!D31</f>
        <v>0.27070063694267515</v>
      </c>
      <c r="L11" s="1077">
        <f>F11/CIV!E31</f>
        <v>0.23529411764705882</v>
      </c>
      <c r="M11" s="1077">
        <f>H11/CIV!H31</f>
        <v>0</v>
      </c>
      <c r="O11" s="1820"/>
    </row>
    <row r="12" spans="1:15" s="36" customFormat="1" x14ac:dyDescent="0.2">
      <c r="A12" s="1283"/>
      <c r="B12" s="79" t="s">
        <v>3560</v>
      </c>
      <c r="C12" s="1283">
        <f>CIV!B1632</f>
        <v>221000</v>
      </c>
      <c r="D12" s="646">
        <f>CIV!C1632</f>
        <v>337000</v>
      </c>
      <c r="E12" s="646">
        <f>CIV!D1632</f>
        <v>342000</v>
      </c>
      <c r="F12" s="646">
        <f>CIV!E1632</f>
        <v>344000</v>
      </c>
      <c r="G12" s="1077">
        <f t="shared" si="0"/>
        <v>5.8479532163742687E-3</v>
      </c>
      <c r="H12" s="646">
        <f>CIV!H1632</f>
        <v>356000</v>
      </c>
      <c r="I12" s="1819">
        <f>C12/(CIV!B29-CIV!B495)</f>
        <v>5.83559979931874E-2</v>
      </c>
      <c r="J12" s="1077">
        <f>D12/C107</f>
        <v>8.5993518589400089E-2</v>
      </c>
      <c r="K12" s="1077">
        <f>E12/(CIV!D29-CIV!D495)</f>
        <v>9.5903087406410362E-2</v>
      </c>
      <c r="L12" s="1077">
        <f>F12/(CIV!E29-CIV!E495)</f>
        <v>9.2329164206344946E-2</v>
      </c>
      <c r="M12" s="1077">
        <f>H12/(CIV!H29-CIV!H495)</f>
        <v>9.0133427855280154E-2</v>
      </c>
      <c r="O12" s="1820"/>
    </row>
    <row r="13" spans="1:15" s="36" customFormat="1" x14ac:dyDescent="0.2">
      <c r="A13" s="1283"/>
      <c r="B13" s="79" t="s">
        <v>3527</v>
      </c>
      <c r="C13" s="913">
        <f>NEWLOG!B35</f>
        <v>89000</v>
      </c>
      <c r="D13" s="97">
        <f>NEWLOG!C35</f>
        <v>69000</v>
      </c>
      <c r="E13" s="97">
        <f>NEWLOG!D35</f>
        <v>61000</v>
      </c>
      <c r="F13" s="97">
        <f>NEWLOG!E35</f>
        <v>69000</v>
      </c>
      <c r="G13" s="1077">
        <f t="shared" si="0"/>
        <v>0.13114754098360656</v>
      </c>
      <c r="H13" s="97">
        <f>NEWLOG!H35</f>
        <v>73000</v>
      </c>
      <c r="I13" s="1819">
        <f>C13/NEWLOG!B51</f>
        <v>0.17732616058975892</v>
      </c>
      <c r="J13" s="1077">
        <f>D13/C112</f>
        <v>0.14096016343207354</v>
      </c>
      <c r="K13" s="1077">
        <f>E13/NEWLOG!D51</f>
        <v>0.12831299957930165</v>
      </c>
      <c r="L13" s="1077">
        <f>F13/NEWLOG!E51</f>
        <v>0.14468442021388131</v>
      </c>
      <c r="M13" s="1077">
        <f>H13/NEWLOG!H51</f>
        <v>0.13995398773006135</v>
      </c>
      <c r="O13" s="1820"/>
    </row>
    <row r="14" spans="1:15" s="36" customFormat="1" x14ac:dyDescent="0.2">
      <c r="A14" s="1283"/>
      <c r="B14" s="79" t="s">
        <v>1704</v>
      </c>
      <c r="C14" s="913">
        <f>GM!B989</f>
        <v>74000</v>
      </c>
      <c r="D14" s="97">
        <f>GM!C989</f>
        <v>17000</v>
      </c>
      <c r="E14" s="97">
        <f>GM!D989</f>
        <v>19000</v>
      </c>
      <c r="F14" s="97">
        <f>GM!E989</f>
        <v>24000</v>
      </c>
      <c r="G14" s="1077">
        <f t="shared" si="0"/>
        <v>0.26315789473684209</v>
      </c>
      <c r="H14" s="97">
        <f>GM!H989</f>
        <v>25000</v>
      </c>
      <c r="I14" s="1819">
        <f>C14/GM!B997</f>
        <v>9.9905494802214126E-2</v>
      </c>
      <c r="J14" s="1077">
        <f>D14/C89</f>
        <v>6.1795710650672485E-2</v>
      </c>
      <c r="K14" s="1077">
        <f>E14/GM!D997</f>
        <v>7.1806500377928947E-2</v>
      </c>
      <c r="L14" s="1077">
        <f>F14/GM!E997</f>
        <v>8.778346744696415E-2</v>
      </c>
      <c r="M14" s="1077">
        <f>H14/GM!H997</f>
        <v>8.3277814790139904E-2</v>
      </c>
      <c r="O14" s="1820"/>
    </row>
    <row r="15" spans="1:15" s="36" customFormat="1" x14ac:dyDescent="0.2">
      <c r="A15" s="1283"/>
      <c r="B15" s="79" t="s">
        <v>2886</v>
      </c>
      <c r="C15" s="913">
        <f>SUM(GM!B932:B936)</f>
        <v>362000</v>
      </c>
      <c r="D15" s="97">
        <f>SUM(GM!C932:C936)</f>
        <v>178000</v>
      </c>
      <c r="E15" s="97">
        <f>SUM(GM!D932:D936)</f>
        <v>230000</v>
      </c>
      <c r="F15" s="97">
        <f>SUM(GM!E932:G936)</f>
        <v>185000</v>
      </c>
      <c r="G15" s="1077">
        <f t="shared" si="0"/>
        <v>-0.19565217391304349</v>
      </c>
      <c r="H15" s="97">
        <f>SUM(GM!H932:H936)</f>
        <v>210000</v>
      </c>
      <c r="I15" s="1819">
        <f>C15/GM!B939</f>
        <v>0.13832632785632404</v>
      </c>
      <c r="J15" s="1077">
        <f>D15/C88</f>
        <v>4.7407249580525744E-2</v>
      </c>
      <c r="K15" s="1077">
        <f>E15/GM!D939</f>
        <v>8.5276778762374397E-2</v>
      </c>
      <c r="L15" s="1077">
        <f>F15/GM!E939</f>
        <v>0.12340737775998932</v>
      </c>
      <c r="M15" s="1077">
        <f>H15/GM!H939</f>
        <v>9.4615904482991661E-2</v>
      </c>
      <c r="O15" s="1820"/>
    </row>
    <row r="16" spans="1:15" s="36" customFormat="1" x14ac:dyDescent="0.2">
      <c r="A16" s="1283"/>
      <c r="B16" s="79" t="s">
        <v>1393</v>
      </c>
      <c r="C16" s="1283">
        <f>GM!B1102</f>
        <v>294000</v>
      </c>
      <c r="D16" s="646">
        <f>GM!C1102</f>
        <v>302000</v>
      </c>
      <c r="E16" s="646">
        <f>GM!D1102</f>
        <v>325000</v>
      </c>
      <c r="F16" s="646">
        <f>GM!E1102</f>
        <v>378000</v>
      </c>
      <c r="G16" s="1077">
        <f t="shared" si="0"/>
        <v>0.16307692307692306</v>
      </c>
      <c r="H16" s="646">
        <f>GM!H1102</f>
        <v>410000</v>
      </c>
      <c r="I16" s="1819">
        <f>C16/GM!B1107</f>
        <v>4.5905939666479295E-2</v>
      </c>
      <c r="J16" s="1077">
        <f>D16/C90</f>
        <v>6.9383816569406787E-2</v>
      </c>
      <c r="K16" s="1077">
        <f>E16/GM!D1107</f>
        <v>7.2007798998537681E-2</v>
      </c>
      <c r="L16" s="1077">
        <f>F16/GM!E1107</f>
        <v>8.646719736480922E-2</v>
      </c>
      <c r="M16" s="1077">
        <f>H16/GM!H1107</f>
        <v>7.4677157896654092E-2</v>
      </c>
      <c r="O16" s="1820"/>
    </row>
    <row r="17" spans="1:15" s="65" customFormat="1" x14ac:dyDescent="0.2">
      <c r="A17" s="1821"/>
      <c r="B17" s="63" t="s">
        <v>1504</v>
      </c>
      <c r="C17" s="1821">
        <f>SUM(C7:C16)</f>
        <v>4920300</v>
      </c>
      <c r="D17" s="732">
        <f>SUM(D7:D16)</f>
        <v>5057000</v>
      </c>
      <c r="E17" s="732">
        <f>SUM(E7:E16)</f>
        <v>5402000</v>
      </c>
      <c r="F17" s="732">
        <f>SUM(F7:F16)</f>
        <v>5584400</v>
      </c>
      <c r="G17" s="1822">
        <f>(F17-E17)/E17</f>
        <v>3.3765272121436506E-2</v>
      </c>
      <c r="H17" s="732">
        <f>SUM(H7:H16)</f>
        <v>5769000</v>
      </c>
      <c r="I17" s="1819"/>
      <c r="J17" s="63"/>
      <c r="K17" s="63"/>
      <c r="L17" s="63"/>
      <c r="M17" s="63"/>
      <c r="N17" s="384"/>
      <c r="O17" s="1068"/>
    </row>
    <row r="18" spans="1:15" s="65" customFormat="1" x14ac:dyDescent="0.2">
      <c r="A18" s="1821"/>
      <c r="B18" s="79" t="s">
        <v>3886</v>
      </c>
      <c r="C18" s="1125">
        <v>81000</v>
      </c>
      <c r="D18" s="732"/>
      <c r="E18" s="220"/>
      <c r="F18" s="220"/>
      <c r="G18" s="48"/>
      <c r="H18" s="48"/>
      <c r="I18" s="36"/>
      <c r="J18" s="63"/>
      <c r="K18" s="63"/>
      <c r="L18" s="63"/>
      <c r="M18" s="79"/>
      <c r="N18" s="384"/>
      <c r="O18" s="1068"/>
    </row>
    <row r="19" spans="1:15" s="65" customFormat="1" x14ac:dyDescent="0.2">
      <c r="A19" s="1821"/>
      <c r="B19" s="63" t="s">
        <v>3578</v>
      </c>
      <c r="C19" s="1821">
        <f>C18+C17</f>
        <v>5001300</v>
      </c>
      <c r="D19" s="1822">
        <f>(D17-C19)/C19</f>
        <v>1.1137104352868254E-2</v>
      </c>
      <c r="E19" s="1822">
        <f>(E17-D17)/D17</f>
        <v>6.8222266165710893E-2</v>
      </c>
      <c r="F19" s="1822">
        <f>(F17-E17)/E17</f>
        <v>3.3765272121436506E-2</v>
      </c>
      <c r="G19" s="63"/>
      <c r="H19" s="1822">
        <f>(H17-F17)/F17</f>
        <v>3.3056371320106012E-2</v>
      </c>
      <c r="I19" s="92"/>
      <c r="J19" s="63"/>
      <c r="K19" s="63"/>
      <c r="L19" s="63"/>
      <c r="M19" s="63"/>
      <c r="N19" s="384"/>
      <c r="O19" s="1068"/>
    </row>
    <row r="20" spans="1:15" s="65" customFormat="1" ht="13.5" thickBot="1" x14ac:dyDescent="0.25">
      <c r="A20" s="1821"/>
      <c r="B20" s="1098"/>
      <c r="C20" s="1823"/>
      <c r="D20" s="1098"/>
      <c r="E20" s="499"/>
      <c r="F20" s="499"/>
      <c r="G20" s="499"/>
      <c r="H20" s="499"/>
      <c r="I20" s="1682"/>
      <c r="J20" s="1098"/>
      <c r="K20" s="1098"/>
      <c r="L20" s="1098"/>
      <c r="M20" s="499"/>
      <c r="N20" s="1682"/>
      <c r="O20" s="1824"/>
    </row>
    <row r="21" spans="1:15" s="65" customFormat="1" x14ac:dyDescent="0.2">
      <c r="A21" s="1825"/>
      <c r="B21" s="1826"/>
      <c r="C21" s="1826"/>
      <c r="D21" s="1826"/>
      <c r="E21" s="1826"/>
      <c r="F21" s="858"/>
      <c r="G21" s="858"/>
      <c r="H21" s="858"/>
      <c r="I21" s="858"/>
      <c r="J21" s="858"/>
      <c r="K21" s="858"/>
      <c r="L21" s="858"/>
      <c r="M21" s="1263"/>
      <c r="N21" s="1263"/>
      <c r="O21" s="1827"/>
    </row>
    <row r="22" spans="1:15" s="65" customFormat="1" x14ac:dyDescent="0.2">
      <c r="A22" s="1040"/>
      <c r="B22" s="92" t="s">
        <v>3814</v>
      </c>
      <c r="C22" s="56" t="s">
        <v>3815</v>
      </c>
      <c r="D22" s="1768" t="str">
        <f>E4</f>
        <v>2015/16</v>
      </c>
      <c r="E22" s="1828" t="s">
        <v>1587</v>
      </c>
      <c r="F22" s="1828" t="s">
        <v>2144</v>
      </c>
      <c r="G22" s="384" t="s">
        <v>3848</v>
      </c>
      <c r="J22" s="92"/>
      <c r="K22" s="92"/>
      <c r="L22" s="92"/>
      <c r="M22" s="384"/>
      <c r="N22" s="384"/>
      <c r="O22" s="1068"/>
    </row>
    <row r="23" spans="1:15" s="65" customFormat="1" x14ac:dyDescent="0.2">
      <c r="A23" s="1283"/>
      <c r="B23" s="31"/>
      <c r="C23" s="885"/>
      <c r="D23" s="115"/>
      <c r="E23" s="115"/>
      <c r="F23" s="115"/>
      <c r="G23" s="885"/>
      <c r="J23" s="56" t="s">
        <v>4469</v>
      </c>
      <c r="K23" s="1679" t="str">
        <f>E4</f>
        <v>2015/16</v>
      </c>
      <c r="L23" s="1679" t="str">
        <f>F4</f>
        <v>2016/17</v>
      </c>
      <c r="M23" s="1828" t="s">
        <v>2144</v>
      </c>
      <c r="N23" s="384" t="s">
        <v>3816</v>
      </c>
      <c r="O23" s="1068"/>
    </row>
    <row r="24" spans="1:15" s="65" customFormat="1" x14ac:dyDescent="0.2">
      <c r="A24" s="1283"/>
      <c r="B24" s="31" t="s">
        <v>3841</v>
      </c>
      <c r="C24" s="885" t="s">
        <v>3824</v>
      </c>
      <c r="D24" s="115">
        <f>ROUND(SUM(K24)*D51+K25+K26,-2)</f>
        <v>521700</v>
      </c>
      <c r="E24" s="115">
        <f>ROUND(SUM(L24)*F51+L25+L26,-2)</f>
        <v>516200</v>
      </c>
      <c r="F24" s="115">
        <f>ROUND(SUM(M24)*H51+M25+M26,-2)</f>
        <v>556700</v>
      </c>
      <c r="G24" s="885"/>
      <c r="J24" s="31" t="s">
        <v>3839</v>
      </c>
      <c r="K24" s="80">
        <v>323000</v>
      </c>
      <c r="L24" s="80">
        <v>313000</v>
      </c>
      <c r="M24" s="80">
        <f>ROUND(L24*1.03,-3)</f>
        <v>322000</v>
      </c>
      <c r="N24" s="1829">
        <v>4</v>
      </c>
      <c r="O24" s="1068"/>
    </row>
    <row r="25" spans="1:15" s="65" customFormat="1" x14ac:dyDescent="0.2">
      <c r="A25" s="1283"/>
      <c r="B25" s="31" t="s">
        <v>3864</v>
      </c>
      <c r="C25" s="885" t="s">
        <v>3746</v>
      </c>
      <c r="D25" s="115">
        <f>(SUM(GM!D621:D645)-K27)</f>
        <v>869300</v>
      </c>
      <c r="E25" s="115">
        <f>(SUM(GM!E621:G645)-L27)</f>
        <v>885000</v>
      </c>
      <c r="F25" s="115">
        <f>(SUM(GM!H621:H645)-M27)</f>
        <v>916300</v>
      </c>
      <c r="G25" s="885"/>
      <c r="J25" s="31" t="s">
        <v>3840</v>
      </c>
      <c r="K25" s="31">
        <f>GM!D641</f>
        <v>99300</v>
      </c>
      <c r="L25" s="31">
        <f>GM!E641</f>
        <v>101600</v>
      </c>
      <c r="M25" s="31">
        <f>GM!H641</f>
        <v>103600</v>
      </c>
      <c r="N25" s="92"/>
      <c r="O25" s="1068"/>
    </row>
    <row r="26" spans="1:15" s="65" customFormat="1" x14ac:dyDescent="0.2">
      <c r="A26" s="1283"/>
      <c r="B26" s="31" t="s">
        <v>3646</v>
      </c>
      <c r="C26" s="885" t="s">
        <v>3825</v>
      </c>
      <c r="D26" s="115">
        <f>ROUND(K30*D51,-2)</f>
        <v>338400</v>
      </c>
      <c r="E26" s="115">
        <f>ROUND(L30*F51,-2)</f>
        <v>421600</v>
      </c>
      <c r="F26" s="115">
        <f>ROUND(M30*H51,-2)</f>
        <v>460800</v>
      </c>
      <c r="G26" s="885"/>
      <c r="J26" s="31" t="s">
        <v>22</v>
      </c>
      <c r="K26" s="31">
        <f>GM!D637</f>
        <v>23500</v>
      </c>
      <c r="L26" s="31">
        <f>GM!E637</f>
        <v>27600</v>
      </c>
      <c r="M26" s="31">
        <f>GM!H637</f>
        <v>30400</v>
      </c>
      <c r="N26" s="92"/>
      <c r="O26" s="1068"/>
    </row>
    <row r="27" spans="1:15" s="65" customFormat="1" x14ac:dyDescent="0.2">
      <c r="A27" s="1283"/>
      <c r="B27" s="31" t="s">
        <v>2273</v>
      </c>
      <c r="C27" s="885" t="s">
        <v>3791</v>
      </c>
      <c r="D27" s="115">
        <f>GM!D703-K30</f>
        <v>1775200</v>
      </c>
      <c r="E27" s="115">
        <f>GM!E703-L30-GM!E682-GM!E688</f>
        <v>1757700</v>
      </c>
      <c r="F27" s="115">
        <f>GM!H703-M30-GM!H682-GM!H688</f>
        <v>1891000</v>
      </c>
      <c r="G27" s="1830"/>
      <c r="J27" s="92" t="s">
        <v>1504</v>
      </c>
      <c r="K27" s="92">
        <f>SUM(K24:K26)</f>
        <v>445800</v>
      </c>
      <c r="L27" s="92">
        <f>SUM(L24:L26)</f>
        <v>442200</v>
      </c>
      <c r="M27" s="65">
        <f>SUM(M24:M26)</f>
        <v>456000</v>
      </c>
      <c r="N27" s="92"/>
      <c r="O27" s="1068"/>
    </row>
    <row r="28" spans="1:15" s="65" customFormat="1" x14ac:dyDescent="0.2">
      <c r="A28" s="1283"/>
      <c r="B28" s="31" t="s">
        <v>357</v>
      </c>
      <c r="C28" s="885" t="s">
        <v>3792</v>
      </c>
      <c r="D28" s="115">
        <f>GM!D807</f>
        <v>1282200</v>
      </c>
      <c r="E28" s="115">
        <f>GM!E807</f>
        <v>781500</v>
      </c>
      <c r="F28" s="115">
        <f>GM!H807</f>
        <v>1159100</v>
      </c>
      <c r="G28" s="1829"/>
      <c r="J28" s="92"/>
      <c r="M28" s="92"/>
      <c r="O28" s="1068"/>
    </row>
    <row r="29" spans="1:15" s="65" customFormat="1" x14ac:dyDescent="0.2">
      <c r="A29" s="1283"/>
      <c r="B29" s="31" t="s">
        <v>3865</v>
      </c>
      <c r="C29" s="885" t="s">
        <v>3746</v>
      </c>
      <c r="D29" s="115">
        <f>SUM(CIV!D826:D861)+CIV!D863</f>
        <v>1758100</v>
      </c>
      <c r="E29" s="115">
        <f>SUM(CIV!E826:G861)+CIV!E863</f>
        <v>1150500</v>
      </c>
      <c r="F29" s="115">
        <f>SUM(CIV!H826:H861)+CIV!H863</f>
        <v>1779400</v>
      </c>
      <c r="G29" s="1829"/>
      <c r="J29" s="56" t="s">
        <v>3817</v>
      </c>
      <c r="N29" s="384" t="s">
        <v>3748</v>
      </c>
      <c r="O29" s="1068"/>
    </row>
    <row r="30" spans="1:15" s="65" customFormat="1" x14ac:dyDescent="0.2">
      <c r="A30" s="1283"/>
      <c r="B30" s="31" t="s">
        <v>6989</v>
      </c>
      <c r="C30" s="885" t="s">
        <v>3746</v>
      </c>
      <c r="D30" s="115">
        <f>ROUND(GM!D106,-2)</f>
        <v>1997600</v>
      </c>
      <c r="E30" s="115">
        <f>ROUND(GM!E106,-2)+GM!E682+GM!E688</f>
        <v>2664500</v>
      </c>
      <c r="F30" s="115">
        <f>ROUND(GM!H106,-2)+GM!E682+GM!E688-GM!E461-GM!E465-SUM(GM!E102:G104)</f>
        <v>2488100</v>
      </c>
      <c r="G30" s="1829"/>
      <c r="J30" s="92" t="s">
        <v>1287</v>
      </c>
      <c r="K30" s="80">
        <v>274000</v>
      </c>
      <c r="L30" s="80">
        <v>341000</v>
      </c>
      <c r="M30" s="80">
        <f>ROUND(L30*1.03,-3)</f>
        <v>351000</v>
      </c>
      <c r="N30" s="1829">
        <v>4</v>
      </c>
      <c r="O30" s="1068"/>
    </row>
    <row r="31" spans="1:15" s="65" customFormat="1" x14ac:dyDescent="0.2">
      <c r="A31" s="1283"/>
      <c r="B31" s="31" t="s">
        <v>3744</v>
      </c>
      <c r="C31" s="885" t="s">
        <v>3826</v>
      </c>
      <c r="D31" s="115">
        <f>ROUND(CIV!D770*D51,-2)</f>
        <v>976200</v>
      </c>
      <c r="E31" s="115">
        <f>ROUND(CIV!E770*F51,-2)</f>
        <v>1029700</v>
      </c>
      <c r="F31" s="115">
        <f>ROUND(CIV!H770*H51,-2)</f>
        <v>967500</v>
      </c>
      <c r="G31" s="1829"/>
      <c r="J31" s="92"/>
      <c r="N31" s="92"/>
      <c r="O31" s="1068"/>
    </row>
    <row r="32" spans="1:15" s="65" customFormat="1" x14ac:dyDescent="0.2">
      <c r="A32" s="1283"/>
      <c r="B32" s="31" t="s">
        <v>3810</v>
      </c>
      <c r="C32" s="885" t="s">
        <v>3825</v>
      </c>
      <c r="D32" s="115">
        <f>ROUND(CIV!D771*D51*G32,-2)</f>
        <v>471400</v>
      </c>
      <c r="E32" s="115">
        <f>ROUND(CIV!E771*F51*G32,-2)</f>
        <v>457800</v>
      </c>
      <c r="F32" s="115">
        <f>ROUND(CIV!H771*H51*G32,-2)</f>
        <v>545400</v>
      </c>
      <c r="G32" s="600">
        <v>0.5</v>
      </c>
      <c r="J32" s="56" t="s">
        <v>3822</v>
      </c>
      <c r="N32" s="384" t="s">
        <v>3816</v>
      </c>
      <c r="O32" s="1068"/>
    </row>
    <row r="33" spans="1:15" s="65" customFormat="1" x14ac:dyDescent="0.2">
      <c r="A33" s="1283"/>
      <c r="B33" s="31" t="s">
        <v>1238</v>
      </c>
      <c r="C33" s="885" t="s">
        <v>3825</v>
      </c>
      <c r="D33" s="115">
        <f>ROUND(DEH!D259*G33,-3)</f>
        <v>652000</v>
      </c>
      <c r="E33" s="115" t="e">
        <f>ROUND(DEH!#REF!*G33,-3)</f>
        <v>#REF!</v>
      </c>
      <c r="F33" s="115">
        <f>ROUND((DEH!H259-82000)*G33,-3)</f>
        <v>823000</v>
      </c>
      <c r="G33" s="600">
        <v>0.5</v>
      </c>
      <c r="J33" s="58" t="s">
        <v>1287</v>
      </c>
      <c r="K33" s="31">
        <f>GM!D461</f>
        <v>315400</v>
      </c>
      <c r="L33" s="31">
        <v>327000</v>
      </c>
      <c r="M33" s="80">
        <f>ROUND(L33*1.03,-3)</f>
        <v>337000</v>
      </c>
      <c r="N33" s="1829">
        <v>4.4000000000000004</v>
      </c>
      <c r="O33" s="1068"/>
    </row>
    <row r="34" spans="1:15" s="65" customFormat="1" x14ac:dyDescent="0.2">
      <c r="A34" s="1283"/>
      <c r="B34" s="31" t="s">
        <v>3849</v>
      </c>
      <c r="C34" s="1831" t="s">
        <v>3746</v>
      </c>
      <c r="D34" s="115">
        <f>ROUND(K50*G34,-3)</f>
        <v>137000</v>
      </c>
      <c r="E34" s="115">
        <f>ROUND(L50*G34,-3)</f>
        <v>143000</v>
      </c>
      <c r="F34" s="115">
        <f>ROUND(M50*G34,-3)</f>
        <v>147000</v>
      </c>
      <c r="G34" s="600">
        <v>0.25</v>
      </c>
      <c r="J34" s="58"/>
      <c r="K34" s="31"/>
      <c r="L34" s="31"/>
      <c r="M34" s="80"/>
      <c r="N34" s="1829"/>
      <c r="O34" s="1068"/>
    </row>
    <row r="35" spans="1:15" s="65" customFormat="1" x14ac:dyDescent="0.2">
      <c r="A35" s="1283"/>
      <c r="B35" s="31" t="s">
        <v>3731</v>
      </c>
      <c r="C35" s="885" t="s">
        <v>3747</v>
      </c>
      <c r="D35" s="115">
        <f>ROUND((K35*D51)/2,-2)</f>
        <v>194800</v>
      </c>
      <c r="E35" s="115">
        <f>ROUND((L35*F51)/2,-2)</f>
        <v>202100</v>
      </c>
      <c r="F35" s="115">
        <f>ROUND((M35*H51)/2,-2)</f>
        <v>221200</v>
      </c>
      <c r="I35" s="1829"/>
      <c r="J35" s="56" t="s">
        <v>1504</v>
      </c>
      <c r="K35" s="92">
        <f>SUM(K33:K34)</f>
        <v>315400</v>
      </c>
      <c r="L35" s="92">
        <f>SUM(L33:L34)</f>
        <v>327000</v>
      </c>
      <c r="M35" s="65">
        <f>SUM(M33:M34)</f>
        <v>337000</v>
      </c>
      <c r="N35" s="1832">
        <f>SUM(N33:N34)</f>
        <v>4.4000000000000004</v>
      </c>
      <c r="O35" s="1068"/>
    </row>
    <row r="36" spans="1:15" s="65" customFormat="1" x14ac:dyDescent="0.2">
      <c r="A36" s="1283"/>
      <c r="B36" s="31" t="s">
        <v>3751</v>
      </c>
      <c r="C36" s="885" t="s">
        <v>3746</v>
      </c>
      <c r="D36" s="115">
        <f>ROUND(K40*D51,-2)</f>
        <v>153200</v>
      </c>
      <c r="E36" s="115">
        <f>ROUND(L40*F51,-2)</f>
        <v>0</v>
      </c>
      <c r="F36" s="115">
        <f>ROUND(M40*H51,-2)</f>
        <v>0</v>
      </c>
      <c r="I36" s="1829"/>
      <c r="J36" s="92"/>
      <c r="N36" s="92"/>
      <c r="O36" s="1068"/>
    </row>
    <row r="37" spans="1:15" s="65" customFormat="1" x14ac:dyDescent="0.2">
      <c r="A37" s="1283"/>
      <c r="B37" s="31" t="s">
        <v>3752</v>
      </c>
      <c r="C37" s="885" t="s">
        <v>3750</v>
      </c>
      <c r="D37" s="115">
        <f>ROUND(K43*D51,-2)</f>
        <v>121000</v>
      </c>
      <c r="E37" s="115">
        <f>ROUND(L43*F51,-2)</f>
        <v>111300</v>
      </c>
      <c r="F37" s="115">
        <f>ROUND(M43*H51,-2)</f>
        <v>122100</v>
      </c>
      <c r="I37" s="1829"/>
      <c r="J37" s="56" t="s">
        <v>5924</v>
      </c>
      <c r="N37" s="384" t="s">
        <v>3816</v>
      </c>
      <c r="O37" s="1068"/>
    </row>
    <row r="38" spans="1:15" s="65" customFormat="1" x14ac:dyDescent="0.2">
      <c r="A38" s="1283"/>
      <c r="B38" s="92" t="s">
        <v>3556</v>
      </c>
      <c r="C38" s="92"/>
      <c r="D38" s="92">
        <f>SUM(D23:D37)</f>
        <v>11248100</v>
      </c>
      <c r="E38" s="92" t="e">
        <f>SUM(E23:E37)</f>
        <v>#REF!</v>
      </c>
      <c r="F38" s="92">
        <f>SUM(F23:F37)</f>
        <v>12077600</v>
      </c>
      <c r="I38" s="92"/>
      <c r="J38" s="58" t="s">
        <v>3724</v>
      </c>
      <c r="K38" s="80">
        <v>78000</v>
      </c>
      <c r="L38" s="80">
        <v>0</v>
      </c>
      <c r="M38" s="80">
        <v>0</v>
      </c>
      <c r="N38" s="1829">
        <v>1</v>
      </c>
      <c r="O38" s="1068"/>
    </row>
    <row r="39" spans="1:15" s="65" customFormat="1" x14ac:dyDescent="0.2">
      <c r="A39" s="1283"/>
      <c r="B39" s="92"/>
      <c r="C39" s="92"/>
      <c r="D39" s="92"/>
      <c r="E39" s="1808"/>
      <c r="F39" s="92"/>
      <c r="G39" s="92"/>
      <c r="H39" s="92"/>
      <c r="J39" s="58" t="s">
        <v>3749</v>
      </c>
      <c r="K39" s="80">
        <f>92000/2</f>
        <v>46000</v>
      </c>
      <c r="L39" s="80">
        <v>0</v>
      </c>
      <c r="M39" s="80">
        <v>0</v>
      </c>
      <c r="N39" s="1829">
        <v>0.5</v>
      </c>
      <c r="O39" s="1068"/>
    </row>
    <row r="40" spans="1:15" s="65" customFormat="1" x14ac:dyDescent="0.2">
      <c r="A40" s="1283"/>
      <c r="B40" s="92"/>
      <c r="C40" s="92"/>
      <c r="D40" s="92"/>
      <c r="E40" s="92"/>
      <c r="F40" s="92"/>
      <c r="G40" s="92"/>
      <c r="H40" s="92"/>
      <c r="J40" s="56" t="s">
        <v>1504</v>
      </c>
      <c r="K40" s="92">
        <f>SUM(K38:K39)</f>
        <v>124000</v>
      </c>
      <c r="L40" s="92">
        <f>SUM(L38:L39)</f>
        <v>0</v>
      </c>
      <c r="M40" s="65">
        <f>SUM(M38:M39)</f>
        <v>0</v>
      </c>
      <c r="N40" s="1832">
        <f>SUM(N38:N39)</f>
        <v>1.5</v>
      </c>
      <c r="O40" s="1068"/>
    </row>
    <row r="41" spans="1:15" s="65" customFormat="1" x14ac:dyDescent="0.2">
      <c r="A41" s="1283"/>
      <c r="B41" s="92" t="s">
        <v>3628</v>
      </c>
      <c r="C41" s="1679" t="s">
        <v>5931</v>
      </c>
      <c r="D41" s="92" t="s">
        <v>4470</v>
      </c>
      <c r="E41" s="1679" t="s">
        <v>4471</v>
      </c>
      <c r="F41" s="1833" t="s">
        <v>5937</v>
      </c>
      <c r="G41" s="1679" t="s">
        <v>6742</v>
      </c>
      <c r="H41" s="1768" t="s">
        <v>6743</v>
      </c>
      <c r="J41" s="92"/>
      <c r="N41" s="92"/>
      <c r="O41" s="1068"/>
    </row>
    <row r="42" spans="1:15" s="65" customFormat="1" x14ac:dyDescent="0.2">
      <c r="A42" s="1283"/>
      <c r="B42" s="772" t="s">
        <v>3813</v>
      </c>
      <c r="C42" s="115">
        <v>69064</v>
      </c>
      <c r="D42" s="31">
        <v>17266</v>
      </c>
      <c r="E42" s="115">
        <f t="shared" ref="E42:E48" si="1">F42*4</f>
        <v>71908</v>
      </c>
      <c r="F42" s="31">
        <v>17977</v>
      </c>
      <c r="G42" s="115">
        <f t="shared" ref="G42:G48" si="2">H42*4</f>
        <v>71908</v>
      </c>
      <c r="H42" s="31">
        <v>17977</v>
      </c>
      <c r="J42" s="56" t="s">
        <v>3752</v>
      </c>
      <c r="N42" s="384" t="s">
        <v>3816</v>
      </c>
      <c r="O42" s="1068"/>
    </row>
    <row r="43" spans="1:15" s="65" customFormat="1" x14ac:dyDescent="0.2">
      <c r="A43" s="1283"/>
      <c r="B43" s="1250" t="s">
        <v>3525</v>
      </c>
      <c r="C43" s="115">
        <v>6932</v>
      </c>
      <c r="D43" s="31">
        <v>1733</v>
      </c>
      <c r="E43" s="115">
        <f t="shared" si="1"/>
        <v>67016</v>
      </c>
      <c r="F43" s="31">
        <f>15947+248+559</f>
        <v>16754</v>
      </c>
      <c r="G43" s="115">
        <v>6932</v>
      </c>
      <c r="H43" s="31">
        <v>1733</v>
      </c>
      <c r="J43" s="58" t="s">
        <v>3725</v>
      </c>
      <c r="K43" s="80">
        <f>98000*N43</f>
        <v>98000</v>
      </c>
      <c r="L43" s="80">
        <v>90000</v>
      </c>
      <c r="M43" s="80">
        <f>ROUND(L43*1.03,-3)</f>
        <v>93000</v>
      </c>
      <c r="N43" s="1829">
        <v>1</v>
      </c>
      <c r="O43" s="1068"/>
    </row>
    <row r="44" spans="1:15" s="65" customFormat="1" x14ac:dyDescent="0.2">
      <c r="A44" s="1283"/>
      <c r="B44" s="1250" t="s">
        <v>3526</v>
      </c>
      <c r="C44" s="115">
        <v>69404</v>
      </c>
      <c r="D44" s="31">
        <v>17351</v>
      </c>
      <c r="E44" s="115">
        <f t="shared" si="1"/>
        <v>63896</v>
      </c>
      <c r="F44" s="31">
        <f>13508+2439+27</f>
        <v>15974</v>
      </c>
      <c r="G44" s="115">
        <f t="shared" si="2"/>
        <v>63896</v>
      </c>
      <c r="H44" s="31">
        <f>13508+2439+27</f>
        <v>15974</v>
      </c>
      <c r="J44" s="92"/>
      <c r="N44" s="92"/>
      <c r="O44" s="1068"/>
    </row>
    <row r="45" spans="1:15" s="65" customFormat="1" x14ac:dyDescent="0.2">
      <c r="A45" s="1283"/>
      <c r="B45" s="1250" t="s">
        <v>402</v>
      </c>
      <c r="C45" s="115">
        <v>0</v>
      </c>
      <c r="D45" s="31">
        <v>13390</v>
      </c>
      <c r="E45" s="115">
        <f t="shared" si="1"/>
        <v>55840</v>
      </c>
      <c r="F45" s="31">
        <f>8628+4280+617+435</f>
        <v>13960</v>
      </c>
      <c r="G45" s="115">
        <v>55840</v>
      </c>
      <c r="H45" s="31">
        <v>13960</v>
      </c>
      <c r="J45" s="92" t="s">
        <v>3823</v>
      </c>
      <c r="N45" s="384" t="s">
        <v>3816</v>
      </c>
      <c r="O45" s="1068"/>
    </row>
    <row r="46" spans="1:15" s="65" customFormat="1" x14ac:dyDescent="0.2">
      <c r="A46" s="1283"/>
      <c r="B46" s="1250" t="s">
        <v>1732</v>
      </c>
      <c r="C46" s="115">
        <v>61468</v>
      </c>
      <c r="D46" s="31">
        <v>15367</v>
      </c>
      <c r="E46" s="115">
        <f t="shared" si="1"/>
        <v>55892</v>
      </c>
      <c r="F46" s="31">
        <f>13551+96+32+9+21+264</f>
        <v>13973</v>
      </c>
      <c r="G46" s="115">
        <f t="shared" si="2"/>
        <v>55892</v>
      </c>
      <c r="H46" s="31">
        <f>13551+96+32+9+21+264</f>
        <v>13973</v>
      </c>
      <c r="J46" s="31" t="s">
        <v>3818</v>
      </c>
      <c r="K46" s="80">
        <f>178000*N46</f>
        <v>178000</v>
      </c>
      <c r="L46" s="80">
        <v>183000</v>
      </c>
      <c r="M46" s="80">
        <f t="shared" ref="M46:M49" si="3">ROUND(L46*1.03,-3)</f>
        <v>188000</v>
      </c>
      <c r="N46" s="1829">
        <v>1</v>
      </c>
      <c r="O46" s="1068"/>
    </row>
    <row r="47" spans="1:15" s="65" customFormat="1" x14ac:dyDescent="0.2">
      <c r="A47" s="1283"/>
      <c r="B47" s="1250" t="s">
        <v>3289</v>
      </c>
      <c r="C47" s="115">
        <v>61308</v>
      </c>
      <c r="D47" s="31">
        <v>15327</v>
      </c>
      <c r="E47" s="115">
        <f t="shared" si="1"/>
        <v>55120</v>
      </c>
      <c r="F47" s="31">
        <f>13349+431</f>
        <v>13780</v>
      </c>
      <c r="G47" s="115">
        <f t="shared" si="2"/>
        <v>55120</v>
      </c>
      <c r="H47" s="31">
        <f>13349+431</f>
        <v>13780</v>
      </c>
      <c r="J47" s="31" t="s">
        <v>3819</v>
      </c>
      <c r="K47" s="80">
        <f>220000*N47</f>
        <v>220000</v>
      </c>
      <c r="L47" s="80">
        <v>237000</v>
      </c>
      <c r="M47" s="80">
        <f t="shared" si="3"/>
        <v>244000</v>
      </c>
      <c r="N47" s="1829">
        <v>1</v>
      </c>
      <c r="O47" s="1068"/>
    </row>
    <row r="48" spans="1:15" s="65" customFormat="1" x14ac:dyDescent="0.2">
      <c r="A48" s="1283"/>
      <c r="B48" s="1250" t="s">
        <v>2577</v>
      </c>
      <c r="C48" s="115">
        <v>912</v>
      </c>
      <c r="D48" s="31">
        <v>228</v>
      </c>
      <c r="E48" s="115">
        <f t="shared" si="1"/>
        <v>0</v>
      </c>
      <c r="F48" s="31">
        <v>0</v>
      </c>
      <c r="G48" s="115">
        <f t="shared" si="2"/>
        <v>0</v>
      </c>
      <c r="H48" s="31">
        <v>0</v>
      </c>
      <c r="J48" s="31" t="s">
        <v>3820</v>
      </c>
      <c r="K48" s="80">
        <f>72000*N48</f>
        <v>72000</v>
      </c>
      <c r="L48" s="80">
        <v>74000</v>
      </c>
      <c r="M48" s="80">
        <f t="shared" si="3"/>
        <v>76000</v>
      </c>
      <c r="N48" s="1829">
        <v>1</v>
      </c>
      <c r="O48" s="1068"/>
    </row>
    <row r="49" spans="1:15" s="65" customFormat="1" x14ac:dyDescent="0.2">
      <c r="A49" s="1283"/>
      <c r="B49" s="92"/>
      <c r="C49" s="502">
        <f t="shared" ref="C49:H49" si="4">SUM(C42:C48)</f>
        <v>269088</v>
      </c>
      <c r="D49" s="502">
        <f t="shared" si="4"/>
        <v>80662</v>
      </c>
      <c r="E49" s="502">
        <f t="shared" si="4"/>
        <v>369672</v>
      </c>
      <c r="F49" s="502">
        <f t="shared" si="4"/>
        <v>92418</v>
      </c>
      <c r="G49" s="502">
        <f t="shared" si="4"/>
        <v>309588</v>
      </c>
      <c r="H49" s="502">
        <f t="shared" si="4"/>
        <v>77397</v>
      </c>
      <c r="J49" s="31" t="s">
        <v>1287</v>
      </c>
      <c r="K49" s="80">
        <f>77000*N49</f>
        <v>77000</v>
      </c>
      <c r="L49" s="80">
        <v>78000</v>
      </c>
      <c r="M49" s="80">
        <f t="shared" si="3"/>
        <v>80000</v>
      </c>
      <c r="N49" s="1829">
        <v>1</v>
      </c>
      <c r="O49" s="1068"/>
    </row>
    <row r="50" spans="1:15" s="65" customFormat="1" x14ac:dyDescent="0.2">
      <c r="A50" s="1283"/>
      <c r="B50" s="92"/>
      <c r="C50" s="31"/>
      <c r="D50" s="1829"/>
      <c r="F50" s="92"/>
      <c r="G50" s="92"/>
      <c r="H50" s="92"/>
      <c r="J50" s="56" t="s">
        <v>1504</v>
      </c>
      <c r="K50" s="92">
        <f>SUM(K46:K49)</f>
        <v>547000</v>
      </c>
      <c r="L50" s="92">
        <f>SUM(L46:L49)</f>
        <v>572000</v>
      </c>
      <c r="M50" s="65">
        <f>SUM(M46:M49)</f>
        <v>588000</v>
      </c>
      <c r="N50" s="1832">
        <f>SUM(N46:N49)</f>
        <v>4</v>
      </c>
      <c r="O50" s="1068"/>
    </row>
    <row r="51" spans="1:15" s="65" customFormat="1" x14ac:dyDescent="0.2">
      <c r="A51" s="1283"/>
      <c r="B51" s="56" t="s">
        <v>3821</v>
      </c>
      <c r="C51" s="92"/>
      <c r="D51" s="1067">
        <f>1+D61</f>
        <v>1.2350957354221062</v>
      </c>
      <c r="E51" s="1067"/>
      <c r="F51" s="1067">
        <f>1+F61</f>
        <v>1.2363734136373414</v>
      </c>
      <c r="H51" s="1067">
        <f>1+H61</f>
        <v>1.3127044900800557</v>
      </c>
      <c r="J51" s="92"/>
      <c r="K51" s="92"/>
      <c r="L51" s="92"/>
      <c r="M51" s="92"/>
      <c r="N51" s="92"/>
      <c r="O51" s="1068"/>
    </row>
    <row r="52" spans="1:15" s="65" customFormat="1" x14ac:dyDescent="0.2">
      <c r="A52" s="1283"/>
      <c r="B52" s="92"/>
      <c r="C52" s="92"/>
      <c r="D52" s="92"/>
      <c r="E52" s="92"/>
      <c r="F52" s="92"/>
      <c r="G52" s="92"/>
      <c r="H52" s="92"/>
      <c r="I52" s="92"/>
      <c r="J52" s="92" t="s">
        <v>6918</v>
      </c>
      <c r="K52" s="92"/>
      <c r="L52" s="92"/>
      <c r="M52" s="92">
        <f>GM!H682+GM!H688</f>
        <v>361000</v>
      </c>
      <c r="N52" s="92"/>
      <c r="O52" s="1068"/>
    </row>
    <row r="53" spans="1:15" s="65" customFormat="1" x14ac:dyDescent="0.2">
      <c r="A53" s="1283"/>
      <c r="B53" s="56" t="s">
        <v>3827</v>
      </c>
      <c r="C53" s="92"/>
      <c r="D53" s="384" t="str">
        <f>D22</f>
        <v>2015/16</v>
      </c>
      <c r="F53" s="384" t="str">
        <f>E22</f>
        <v>2016/17</v>
      </c>
      <c r="G53" s="92"/>
      <c r="H53" s="1828" t="s">
        <v>2144</v>
      </c>
      <c r="I53" s="92"/>
      <c r="J53" s="92"/>
      <c r="K53" s="92"/>
      <c r="L53" s="92"/>
      <c r="M53" s="92"/>
      <c r="N53" s="92"/>
      <c r="O53" s="1068"/>
    </row>
    <row r="54" spans="1:15" s="80" customFormat="1" x14ac:dyDescent="0.2">
      <c r="A54" s="1125"/>
      <c r="B54" s="31" t="s">
        <v>3828</v>
      </c>
      <c r="C54" s="31"/>
      <c r="D54" s="80">
        <v>13788000</v>
      </c>
      <c r="F54" s="80">
        <v>13947000</v>
      </c>
      <c r="G54" s="1834">
        <f>(F54-D54)/D54</f>
        <v>1.1531766753698868E-2</v>
      </c>
      <c r="H54" s="31">
        <f>ROUND(F54*1.03,-3)</f>
        <v>14365000</v>
      </c>
      <c r="I54" s="31" t="s">
        <v>6744</v>
      </c>
      <c r="J54" s="31"/>
      <c r="L54" s="31"/>
      <c r="M54" s="31"/>
      <c r="N54" s="31"/>
      <c r="O54" s="601"/>
    </row>
    <row r="55" spans="1:15" s="80" customFormat="1" x14ac:dyDescent="0.2">
      <c r="A55" s="1125"/>
      <c r="B55" s="31"/>
      <c r="C55" s="31"/>
      <c r="D55" s="31"/>
      <c r="E55" s="31"/>
      <c r="F55" s="31"/>
      <c r="G55" s="31"/>
      <c r="H55" s="31"/>
      <c r="J55" s="31"/>
      <c r="K55" s="31"/>
      <c r="L55" s="31"/>
      <c r="M55" s="31"/>
      <c r="N55" s="31"/>
      <c r="O55" s="601"/>
    </row>
    <row r="56" spans="1:15" s="80" customFormat="1" x14ac:dyDescent="0.2">
      <c r="A56" s="1125"/>
      <c r="B56" s="92" t="s">
        <v>3852</v>
      </c>
      <c r="C56" s="31"/>
      <c r="D56" s="31"/>
      <c r="E56" s="31"/>
      <c r="F56" s="31"/>
      <c r="G56" s="31"/>
      <c r="H56" s="31"/>
      <c r="I56" s="31"/>
      <c r="J56" s="31"/>
      <c r="K56" s="31"/>
      <c r="L56" s="31"/>
      <c r="M56" s="31"/>
      <c r="N56" s="31"/>
      <c r="O56" s="601"/>
    </row>
    <row r="57" spans="1:15" s="80" customFormat="1" x14ac:dyDescent="0.2">
      <c r="A57" s="1125"/>
      <c r="B57" s="31" t="s">
        <v>465</v>
      </c>
      <c r="C57" s="31"/>
      <c r="D57" s="31">
        <f>D23</f>
        <v>0</v>
      </c>
      <c r="F57" s="31">
        <f>E23</f>
        <v>0</v>
      </c>
      <c r="G57" s="31"/>
      <c r="H57" s="31">
        <f>M52+SUM(GM!H499:H528)</f>
        <v>1011700</v>
      </c>
      <c r="I57" s="31"/>
      <c r="J57" s="31"/>
      <c r="K57" s="31"/>
      <c r="L57" s="31"/>
      <c r="M57" s="31"/>
      <c r="N57" s="31"/>
      <c r="O57" s="601"/>
    </row>
    <row r="58" spans="1:15" s="80" customFormat="1" x14ac:dyDescent="0.2">
      <c r="A58" s="1125"/>
      <c r="B58" s="31" t="s">
        <v>3829</v>
      </c>
      <c r="C58" s="31"/>
      <c r="D58" s="31">
        <f>D25+K24</f>
        <v>1192300</v>
      </c>
      <c r="F58" s="31">
        <f>E25+L24</f>
        <v>1198000</v>
      </c>
      <c r="G58" s="31"/>
      <c r="H58" s="31">
        <f>F25+M24</f>
        <v>1238300</v>
      </c>
      <c r="I58" s="31"/>
      <c r="J58" s="31"/>
      <c r="K58" s="31"/>
      <c r="L58" s="31"/>
      <c r="M58" s="31"/>
      <c r="N58" s="31"/>
      <c r="O58" s="601"/>
    </row>
    <row r="59" spans="1:15" s="80" customFormat="1" x14ac:dyDescent="0.2">
      <c r="A59" s="1125"/>
      <c r="B59" s="31" t="s">
        <v>2273</v>
      </c>
      <c r="C59" s="31"/>
      <c r="D59" s="31">
        <f>D27+K30</f>
        <v>2049200</v>
      </c>
      <c r="F59" s="31">
        <f>E27+L30</f>
        <v>2098700</v>
      </c>
      <c r="G59" s="31"/>
      <c r="H59" s="31">
        <f>F27+M30</f>
        <v>2242000</v>
      </c>
      <c r="I59" s="31"/>
      <c r="J59" s="31"/>
      <c r="K59" s="31"/>
      <c r="L59" s="31"/>
      <c r="M59" s="31"/>
      <c r="N59" s="31"/>
      <c r="O59" s="601"/>
    </row>
    <row r="60" spans="1:15" s="80" customFormat="1" x14ac:dyDescent="0.2">
      <c r="A60" s="1125"/>
      <c r="B60" s="92" t="s">
        <v>1504</v>
      </c>
      <c r="C60" s="92"/>
      <c r="D60" s="92">
        <f>SUM(D57:D59)</f>
        <v>3241500</v>
      </c>
      <c r="F60" s="92">
        <f>SUM(F57:F59)</f>
        <v>3296700</v>
      </c>
      <c r="G60" s="31"/>
      <c r="H60" s="92">
        <f>SUM(H57:H59)</f>
        <v>4492000</v>
      </c>
      <c r="I60" s="31"/>
      <c r="J60" s="31"/>
      <c r="K60" s="31"/>
      <c r="L60" s="31"/>
      <c r="M60" s="31"/>
      <c r="N60" s="31"/>
      <c r="O60" s="601"/>
    </row>
    <row r="61" spans="1:15" s="80" customFormat="1" x14ac:dyDescent="0.2">
      <c r="A61" s="1125"/>
      <c r="B61" s="31" t="s">
        <v>3830</v>
      </c>
      <c r="C61" s="31"/>
      <c r="D61" s="1831">
        <f>D60/D54</f>
        <v>0.23509573542210618</v>
      </c>
      <c r="F61" s="1831">
        <f>F60/F54</f>
        <v>0.23637341363734135</v>
      </c>
      <c r="G61" s="833"/>
      <c r="H61" s="1831">
        <f>H60/H54</f>
        <v>0.31270449008005569</v>
      </c>
      <c r="I61" s="31"/>
      <c r="J61" s="31"/>
      <c r="K61" s="31"/>
      <c r="L61" s="31"/>
      <c r="M61" s="31"/>
      <c r="N61" s="31"/>
      <c r="O61" s="601"/>
    </row>
    <row r="62" spans="1:15" s="80" customFormat="1" x14ac:dyDescent="0.2">
      <c r="A62" s="1125"/>
      <c r="B62" s="31"/>
      <c r="C62" s="31"/>
      <c r="D62" s="31"/>
      <c r="E62" s="599"/>
      <c r="F62" s="31"/>
      <c r="G62" s="833"/>
      <c r="H62" s="833"/>
      <c r="I62" s="31"/>
      <c r="J62" s="31"/>
      <c r="K62" s="1831"/>
      <c r="L62" s="31"/>
      <c r="M62" s="31"/>
      <c r="N62" s="31"/>
      <c r="O62" s="601"/>
    </row>
    <row r="63" spans="1:15" s="80" customFormat="1" x14ac:dyDescent="0.2">
      <c r="A63" s="1125"/>
      <c r="B63" s="92" t="s">
        <v>3831</v>
      </c>
      <c r="C63" s="31"/>
      <c r="D63" s="31"/>
      <c r="E63" s="599"/>
      <c r="F63" s="31"/>
      <c r="G63" s="833"/>
      <c r="H63" s="833"/>
      <c r="I63" s="31"/>
      <c r="J63" s="31"/>
      <c r="K63" s="1831"/>
      <c r="L63" s="31"/>
      <c r="M63" s="31"/>
      <c r="N63" s="31"/>
      <c r="O63" s="601"/>
    </row>
    <row r="64" spans="1:15" s="80" customFormat="1" x14ac:dyDescent="0.2">
      <c r="A64" s="1125"/>
      <c r="B64" s="31" t="s">
        <v>1017</v>
      </c>
      <c r="C64" s="31" t="s">
        <v>3867</v>
      </c>
      <c r="D64" s="31"/>
      <c r="E64" s="599"/>
      <c r="F64" s="31"/>
      <c r="G64" s="833"/>
      <c r="H64" s="833"/>
      <c r="I64" s="31"/>
      <c r="J64" s="31"/>
      <c r="K64" s="1831"/>
      <c r="L64" s="31"/>
      <c r="M64" s="31"/>
      <c r="N64" s="31"/>
      <c r="O64" s="601"/>
    </row>
    <row r="65" spans="1:17" s="80" customFormat="1" x14ac:dyDescent="0.2">
      <c r="A65" s="1125"/>
      <c r="B65" s="31" t="s">
        <v>3732</v>
      </c>
      <c r="C65" s="31" t="s">
        <v>3838</v>
      </c>
      <c r="D65" s="31"/>
      <c r="E65" s="599"/>
      <c r="F65" s="31"/>
      <c r="G65" s="833"/>
      <c r="H65" s="833"/>
      <c r="I65" s="31"/>
      <c r="J65" s="31"/>
      <c r="K65" s="1831"/>
      <c r="L65" s="31"/>
      <c r="M65" s="31"/>
      <c r="N65" s="31"/>
      <c r="O65" s="601"/>
    </row>
    <row r="66" spans="1:17" s="80" customFormat="1" x14ac:dyDescent="0.2">
      <c r="A66" s="1125"/>
      <c r="B66" s="31" t="s">
        <v>87</v>
      </c>
      <c r="C66" s="31" t="s">
        <v>3868</v>
      </c>
      <c r="D66" s="31"/>
      <c r="E66" s="599"/>
      <c r="F66" s="31"/>
      <c r="G66" s="833"/>
      <c r="H66" s="833"/>
      <c r="I66" s="31"/>
      <c r="J66" s="31"/>
      <c r="K66" s="1831"/>
      <c r="L66" s="31"/>
      <c r="M66" s="31"/>
      <c r="N66" s="31"/>
      <c r="O66" s="601"/>
    </row>
    <row r="67" spans="1:17" s="80" customFormat="1" x14ac:dyDescent="0.2">
      <c r="A67" s="1125"/>
      <c r="B67" s="31" t="s">
        <v>3646</v>
      </c>
      <c r="C67" s="31" t="s">
        <v>3842</v>
      </c>
      <c r="D67" s="31"/>
      <c r="E67" s="599"/>
      <c r="F67" s="31"/>
      <c r="G67" s="833"/>
      <c r="H67" s="833"/>
      <c r="I67" s="31"/>
      <c r="J67" s="31"/>
      <c r="K67" s="1831"/>
      <c r="L67" s="31"/>
      <c r="M67" s="31"/>
      <c r="N67" s="31"/>
      <c r="O67" s="601"/>
    </row>
    <row r="68" spans="1:17" s="80" customFormat="1" x14ac:dyDescent="0.2">
      <c r="A68" s="1125"/>
      <c r="B68" s="31" t="s">
        <v>2273</v>
      </c>
      <c r="C68" s="31" t="s">
        <v>3869</v>
      </c>
      <c r="D68" s="31"/>
      <c r="E68" s="599"/>
      <c r="F68" s="31"/>
      <c r="G68" s="833"/>
      <c r="H68" s="833"/>
      <c r="I68" s="31"/>
      <c r="J68" s="31"/>
      <c r="K68" s="1831"/>
      <c r="L68" s="31"/>
      <c r="M68" s="31"/>
      <c r="N68" s="31"/>
      <c r="O68" s="601"/>
    </row>
    <row r="69" spans="1:17" s="80" customFormat="1" x14ac:dyDescent="0.2">
      <c r="A69" s="1125"/>
      <c r="B69" s="31" t="s">
        <v>3832</v>
      </c>
      <c r="C69" s="31" t="s">
        <v>3870</v>
      </c>
      <c r="D69" s="31"/>
      <c r="E69" s="599"/>
      <c r="F69" s="31"/>
      <c r="G69" s="833"/>
      <c r="H69" s="833"/>
      <c r="I69" s="31"/>
      <c r="J69" s="31"/>
      <c r="K69" s="1831"/>
      <c r="L69" s="31"/>
      <c r="M69" s="31"/>
      <c r="N69" s="31"/>
      <c r="O69" s="601"/>
    </row>
    <row r="70" spans="1:17" s="80" customFormat="1" x14ac:dyDescent="0.2">
      <c r="A70" s="1125"/>
      <c r="B70" s="31" t="s">
        <v>3833</v>
      </c>
      <c r="C70" s="31" t="s">
        <v>3867</v>
      </c>
      <c r="D70" s="31"/>
      <c r="E70" s="599"/>
      <c r="F70" s="31"/>
      <c r="G70" s="833"/>
      <c r="H70" s="833"/>
      <c r="I70" s="31"/>
      <c r="J70" s="31"/>
      <c r="K70" s="1831"/>
      <c r="L70" s="31"/>
      <c r="M70" s="31"/>
      <c r="N70" s="31"/>
      <c r="O70" s="601"/>
    </row>
    <row r="71" spans="1:17" s="80" customFormat="1" x14ac:dyDescent="0.2">
      <c r="A71" s="1125"/>
      <c r="B71" s="31" t="s">
        <v>771</v>
      </c>
      <c r="C71" s="31" t="s">
        <v>3867</v>
      </c>
      <c r="D71" s="31"/>
      <c r="E71" s="599"/>
      <c r="F71" s="31"/>
      <c r="G71" s="833"/>
      <c r="H71" s="833"/>
      <c r="I71" s="31"/>
      <c r="J71" s="31"/>
      <c r="K71" s="1831"/>
      <c r="L71" s="31"/>
      <c r="M71" s="31"/>
      <c r="N71" s="31"/>
      <c r="O71" s="601"/>
    </row>
    <row r="72" spans="1:17" s="80" customFormat="1" x14ac:dyDescent="0.2">
      <c r="A72" s="1125"/>
      <c r="B72" s="31" t="s">
        <v>3834</v>
      </c>
      <c r="C72" s="31" t="s">
        <v>3846</v>
      </c>
      <c r="D72" s="31"/>
      <c r="E72" s="599"/>
      <c r="F72" s="31"/>
      <c r="G72" s="833"/>
      <c r="H72" s="833"/>
      <c r="I72" s="31"/>
      <c r="J72" s="31"/>
      <c r="K72" s="1831"/>
      <c r="L72" s="31"/>
      <c r="M72" s="31"/>
      <c r="N72" s="31"/>
      <c r="O72" s="601"/>
    </row>
    <row r="73" spans="1:17" s="80" customFormat="1" x14ac:dyDescent="0.2">
      <c r="A73" s="1125"/>
      <c r="B73" s="31" t="s">
        <v>3835</v>
      </c>
      <c r="C73" s="31" t="s">
        <v>3850</v>
      </c>
      <c r="D73" s="31"/>
      <c r="E73" s="599"/>
      <c r="F73" s="31"/>
      <c r="G73" s="833"/>
      <c r="H73" s="833"/>
      <c r="I73" s="31"/>
      <c r="J73" s="31"/>
      <c r="K73" s="1831"/>
      <c r="L73" s="31"/>
      <c r="M73" s="31"/>
      <c r="N73" s="31"/>
      <c r="O73" s="601"/>
    </row>
    <row r="74" spans="1:17" s="80" customFormat="1" x14ac:dyDescent="0.2">
      <c r="A74" s="1125"/>
      <c r="B74" s="31" t="s">
        <v>3836</v>
      </c>
      <c r="C74" s="31" t="s">
        <v>3866</v>
      </c>
      <c r="D74" s="31"/>
      <c r="E74" s="599"/>
      <c r="F74" s="31"/>
      <c r="G74" s="833"/>
      <c r="H74" s="833"/>
      <c r="I74" s="31"/>
      <c r="J74" s="31"/>
      <c r="K74" s="1831"/>
      <c r="L74" s="31"/>
      <c r="M74" s="31"/>
      <c r="N74" s="31"/>
      <c r="O74" s="601"/>
    </row>
    <row r="75" spans="1:17" s="80" customFormat="1" x14ac:dyDescent="0.2">
      <c r="A75" s="1125"/>
      <c r="B75" s="31" t="s">
        <v>3837</v>
      </c>
      <c r="C75" s="31" t="s">
        <v>3851</v>
      </c>
      <c r="D75" s="31"/>
      <c r="E75" s="599"/>
      <c r="F75" s="31"/>
      <c r="G75" s="833"/>
      <c r="H75" s="833"/>
      <c r="I75" s="31"/>
      <c r="J75" s="31"/>
      <c r="K75" s="1831"/>
      <c r="L75" s="31"/>
      <c r="M75" s="31"/>
      <c r="N75" s="31"/>
      <c r="O75" s="601"/>
    </row>
    <row r="76" spans="1:17" s="80" customFormat="1" x14ac:dyDescent="0.2">
      <c r="A76" s="1125"/>
      <c r="B76" s="31" t="s">
        <v>3731</v>
      </c>
      <c r="C76" s="31" t="s">
        <v>3844</v>
      </c>
      <c r="D76" s="31"/>
      <c r="E76" s="599"/>
      <c r="F76" s="31"/>
      <c r="G76" s="833"/>
      <c r="H76" s="833"/>
      <c r="I76" s="31"/>
      <c r="J76" s="31"/>
      <c r="K76" s="1831"/>
      <c r="L76" s="31"/>
      <c r="M76" s="31"/>
      <c r="N76" s="31"/>
      <c r="O76" s="601"/>
    </row>
    <row r="77" spans="1:17" s="80" customFormat="1" x14ac:dyDescent="0.2">
      <c r="A77" s="1125"/>
      <c r="B77" s="31" t="s">
        <v>3751</v>
      </c>
      <c r="C77" s="31" t="s">
        <v>3843</v>
      </c>
      <c r="D77" s="31"/>
      <c r="E77" s="599"/>
      <c r="F77" s="31"/>
      <c r="G77" s="833"/>
      <c r="H77" s="833"/>
      <c r="I77" s="31"/>
      <c r="J77" s="31"/>
      <c r="K77" s="1831"/>
      <c r="L77" s="31"/>
      <c r="M77" s="31"/>
      <c r="N77" s="31"/>
      <c r="O77" s="601"/>
    </row>
    <row r="78" spans="1:17" s="80" customFormat="1" x14ac:dyDescent="0.2">
      <c r="A78" s="1125"/>
      <c r="B78" s="31" t="s">
        <v>3752</v>
      </c>
      <c r="C78" s="31" t="s">
        <v>3845</v>
      </c>
      <c r="D78" s="31"/>
      <c r="E78" s="599"/>
      <c r="F78" s="31"/>
      <c r="G78" s="833"/>
      <c r="H78" s="833"/>
      <c r="I78" s="31"/>
      <c r="J78" s="31"/>
      <c r="K78" s="1831"/>
      <c r="L78" s="31"/>
      <c r="M78" s="31"/>
      <c r="N78" s="31"/>
      <c r="O78" s="601"/>
      <c r="P78" s="1"/>
      <c r="Q78" s="1"/>
    </row>
    <row r="79" spans="1:17" s="65" customFormat="1" ht="13.5" thickBot="1" x14ac:dyDescent="0.25">
      <c r="A79" s="1835"/>
      <c r="B79" s="1682"/>
      <c r="C79" s="1682"/>
      <c r="D79" s="1682"/>
      <c r="E79" s="1682"/>
      <c r="F79" s="1603"/>
      <c r="G79" s="1603"/>
      <c r="H79" s="1603"/>
      <c r="I79" s="1603"/>
      <c r="J79" s="1603"/>
      <c r="K79" s="1603"/>
      <c r="L79" s="1603"/>
      <c r="M79" s="1682"/>
      <c r="N79" s="1682"/>
      <c r="O79" s="1824"/>
      <c r="P79" s="1"/>
      <c r="Q79" s="1"/>
    </row>
    <row r="80" spans="1:17" ht="13.5" thickBot="1" x14ac:dyDescent="0.25"/>
    <row r="81" spans="1:21" ht="13.5" thickBot="1" x14ac:dyDescent="0.25">
      <c r="A81" s="1836"/>
      <c r="B81" s="1837" t="s">
        <v>4472</v>
      </c>
      <c r="C81" s="2680" t="s">
        <v>5925</v>
      </c>
      <c r="D81" s="2681"/>
      <c r="E81" s="2681"/>
      <c r="F81" s="2681"/>
      <c r="G81" s="2681"/>
      <c r="H81" s="2681"/>
      <c r="I81" s="2682"/>
      <c r="J81" s="2680" t="s">
        <v>5926</v>
      </c>
      <c r="K81" s="2681"/>
      <c r="L81" s="2681"/>
      <c r="M81" s="2681"/>
      <c r="N81" s="2681"/>
      <c r="O81" s="2682"/>
      <c r="P81" s="2680" t="s">
        <v>6745</v>
      </c>
      <c r="Q81" s="2681"/>
      <c r="R81" s="2681"/>
      <c r="S81" s="2681"/>
      <c r="T81" s="2681"/>
      <c r="U81" s="2682"/>
    </row>
    <row r="82" spans="1:21" ht="13.5" thickBot="1" x14ac:dyDescent="0.25">
      <c r="A82" s="1838"/>
      <c r="B82" s="1839" t="s">
        <v>3621</v>
      </c>
      <c r="C82" s="1296" t="s">
        <v>3626</v>
      </c>
      <c r="D82" s="1296" t="s">
        <v>3735</v>
      </c>
      <c r="E82" s="1296" t="s">
        <v>3745</v>
      </c>
      <c r="F82" s="1296" t="s">
        <v>3624</v>
      </c>
      <c r="G82" s="1296" t="s">
        <v>3625</v>
      </c>
      <c r="H82" s="1840"/>
      <c r="I82" s="1841" t="s">
        <v>5927</v>
      </c>
      <c r="J82" s="1296" t="s">
        <v>3626</v>
      </c>
      <c r="K82" s="1296" t="s">
        <v>3735</v>
      </c>
      <c r="L82" s="1296" t="s">
        <v>3745</v>
      </c>
      <c r="M82" s="1296" t="s">
        <v>3624</v>
      </c>
      <c r="N82" s="1296" t="s">
        <v>3625</v>
      </c>
      <c r="O82" s="1841" t="str">
        <f>I82</f>
        <v>Assets (Note9a)</v>
      </c>
      <c r="P82" s="1296" t="s">
        <v>3626</v>
      </c>
      <c r="Q82" s="1296" t="s">
        <v>3735</v>
      </c>
      <c r="R82" s="1296" t="s">
        <v>3745</v>
      </c>
      <c r="S82" s="1296" t="s">
        <v>3624</v>
      </c>
      <c r="T82" s="1296" t="s">
        <v>3625</v>
      </c>
      <c r="U82" s="1841" t="str">
        <f>O82</f>
        <v>Assets (Note9a)</v>
      </c>
    </row>
    <row r="83" spans="1:21" x14ac:dyDescent="0.2">
      <c r="A83" s="1842"/>
      <c r="B83" s="1843" t="s">
        <v>771</v>
      </c>
      <c r="C83" s="48">
        <v>1040600</v>
      </c>
      <c r="D83" s="48">
        <v>0</v>
      </c>
      <c r="E83" s="48"/>
      <c r="F83" s="1844">
        <v>2</v>
      </c>
      <c r="G83" s="1844">
        <v>16.5</v>
      </c>
      <c r="H83" s="1845"/>
      <c r="I83" s="1846">
        <v>0</v>
      </c>
      <c r="J83" s="48">
        <f>GM!D19</f>
        <v>1997600</v>
      </c>
      <c r="K83" s="48">
        <f>GM!D7</f>
        <v>46800</v>
      </c>
      <c r="L83" s="48"/>
      <c r="M83" s="1844">
        <v>4</v>
      </c>
      <c r="N83" s="1844">
        <f>3.5+16.5</f>
        <v>20</v>
      </c>
      <c r="O83" s="1846">
        <v>0</v>
      </c>
      <c r="P83" s="48">
        <f>GM!E19</f>
        <v>2388200</v>
      </c>
      <c r="Q83" s="48">
        <f>GM!E7</f>
        <v>21100</v>
      </c>
      <c r="R83" s="48"/>
      <c r="S83" s="1844">
        <v>5</v>
      </c>
      <c r="T83" s="1844">
        <v>21</v>
      </c>
      <c r="U83" s="1846">
        <v>0</v>
      </c>
    </row>
    <row r="84" spans="1:21" x14ac:dyDescent="0.2">
      <c r="A84" s="1842"/>
      <c r="B84" s="1843" t="s">
        <v>1017</v>
      </c>
      <c r="C84" s="48">
        <v>566500</v>
      </c>
      <c r="D84" s="48">
        <v>29000</v>
      </c>
      <c r="E84" s="48"/>
      <c r="F84" s="1844">
        <v>3.6</v>
      </c>
      <c r="G84" s="1844">
        <v>5</v>
      </c>
      <c r="H84" s="1845"/>
      <c r="I84" s="1846">
        <v>0</v>
      </c>
      <c r="J84" s="48">
        <f>D30</f>
        <v>1997600</v>
      </c>
      <c r="K84" s="48">
        <f>GM!D448</f>
        <v>4300</v>
      </c>
      <c r="L84" s="48"/>
      <c r="M84" s="1844">
        <v>1</v>
      </c>
      <c r="N84" s="1844">
        <v>1</v>
      </c>
      <c r="O84" s="1846">
        <v>0</v>
      </c>
      <c r="P84" s="48"/>
      <c r="Q84" s="48"/>
      <c r="R84" s="48"/>
      <c r="S84" s="1844"/>
      <c r="T84" s="1844"/>
      <c r="U84" s="1846">
        <v>0</v>
      </c>
    </row>
    <row r="85" spans="1:21" x14ac:dyDescent="0.2">
      <c r="A85" s="1842"/>
      <c r="B85" s="1843" t="s">
        <v>87</v>
      </c>
      <c r="C85" s="48">
        <v>-3744300</v>
      </c>
      <c r="D85" s="48">
        <v>22529500</v>
      </c>
      <c r="E85" s="48">
        <v>69064</v>
      </c>
      <c r="F85" s="1844">
        <v>12.4</v>
      </c>
      <c r="G85" s="1844">
        <v>16.5</v>
      </c>
      <c r="H85" s="1845"/>
      <c r="I85" s="1846">
        <v>0</v>
      </c>
      <c r="J85" s="48">
        <f>GM!D20</f>
        <v>-4086900</v>
      </c>
      <c r="K85" s="48">
        <f>GM!D8+GM!D9</f>
        <v>23689400</v>
      </c>
      <c r="L85" s="48">
        <f>E42</f>
        <v>71908</v>
      </c>
      <c r="M85" s="1844">
        <f>8+4.2</f>
        <v>12.2</v>
      </c>
      <c r="N85" s="1844">
        <v>8.5</v>
      </c>
      <c r="O85" s="1846">
        <v>0</v>
      </c>
      <c r="P85" s="48">
        <f>GM!E20</f>
        <v>-4256800</v>
      </c>
      <c r="Q85" s="48">
        <f>GM!E8+GM!E9</f>
        <v>27603500</v>
      </c>
      <c r="R85" s="48">
        <f>G42</f>
        <v>71908</v>
      </c>
      <c r="S85" s="1844">
        <f>8+4.2</f>
        <v>12.2</v>
      </c>
      <c r="T85" s="1844">
        <v>8.5</v>
      </c>
      <c r="U85" s="1846">
        <v>0</v>
      </c>
    </row>
    <row r="86" spans="1:21" x14ac:dyDescent="0.2">
      <c r="A86" s="1842"/>
      <c r="B86" s="1843" t="s">
        <v>2273</v>
      </c>
      <c r="C86" s="48">
        <v>1634300</v>
      </c>
      <c r="D86" s="48">
        <v>8500</v>
      </c>
      <c r="E86" s="48"/>
      <c r="F86" s="1844">
        <v>8.8000000000000007</v>
      </c>
      <c r="G86" s="1844">
        <v>13</v>
      </c>
      <c r="H86" s="1845"/>
      <c r="I86" s="1846">
        <v>0</v>
      </c>
      <c r="J86" s="48">
        <f>GM!D21</f>
        <v>2049200</v>
      </c>
      <c r="K86" s="48">
        <f>GM!D10</f>
        <v>3100</v>
      </c>
      <c r="L86" s="48"/>
      <c r="M86" s="1844">
        <f>10+4</f>
        <v>14</v>
      </c>
      <c r="N86" s="1844">
        <v>20</v>
      </c>
      <c r="O86" s="1846">
        <v>0</v>
      </c>
      <c r="P86" s="48">
        <f>GM!E21</f>
        <v>2375000</v>
      </c>
      <c r="Q86" s="48">
        <f>GM!E10</f>
        <v>231100</v>
      </c>
      <c r="R86" s="48"/>
      <c r="S86" s="1844">
        <f>10+4</f>
        <v>14</v>
      </c>
      <c r="T86" s="1844">
        <v>20</v>
      </c>
      <c r="U86" s="1846">
        <v>0</v>
      </c>
    </row>
    <row r="87" spans="1:21" x14ac:dyDescent="0.2">
      <c r="A87" s="1842"/>
      <c r="B87" s="782" t="s">
        <v>3622</v>
      </c>
      <c r="C87" s="48">
        <v>1915100</v>
      </c>
      <c r="D87" s="48">
        <v>299000</v>
      </c>
      <c r="E87" s="48"/>
      <c r="F87" s="1844">
        <v>7.2</v>
      </c>
      <c r="G87" s="1844">
        <v>13</v>
      </c>
      <c r="H87" s="1845"/>
      <c r="I87" s="1846">
        <v>0</v>
      </c>
      <c r="J87" s="48">
        <f>GM!D22</f>
        <v>1282200</v>
      </c>
      <c r="K87" s="48">
        <f>GM!D11</f>
        <v>191400</v>
      </c>
      <c r="L87" s="48"/>
      <c r="M87" s="1844">
        <v>8.4</v>
      </c>
      <c r="N87" s="1844">
        <v>15</v>
      </c>
      <c r="O87" s="1846">
        <v>0</v>
      </c>
      <c r="P87" s="48">
        <f>GM!E22</f>
        <v>781500</v>
      </c>
      <c r="Q87" s="48">
        <f>GM!E11</f>
        <v>446500</v>
      </c>
      <c r="R87" s="48"/>
      <c r="S87" s="1844">
        <v>8.4</v>
      </c>
      <c r="T87" s="1844">
        <v>15</v>
      </c>
      <c r="U87" s="1846">
        <v>0</v>
      </c>
    </row>
    <row r="88" spans="1:21" x14ac:dyDescent="0.2">
      <c r="A88" s="1842"/>
      <c r="B88" s="1843" t="s">
        <v>2499</v>
      </c>
      <c r="C88" s="48">
        <v>3754700</v>
      </c>
      <c r="D88" s="48">
        <v>2594700</v>
      </c>
      <c r="E88" s="48"/>
      <c r="F88" s="1844">
        <v>2</v>
      </c>
      <c r="G88" s="1844">
        <v>3.5</v>
      </c>
      <c r="H88" s="1845"/>
      <c r="I88" s="1846">
        <v>0</v>
      </c>
      <c r="J88" s="48">
        <f>GM!D939</f>
        <v>2697100</v>
      </c>
      <c r="K88" s="48">
        <f>GM!D864</f>
        <v>2149200</v>
      </c>
      <c r="L88" s="48"/>
      <c r="M88" s="1844">
        <v>2</v>
      </c>
      <c r="N88" s="1844">
        <v>3.5</v>
      </c>
      <c r="O88" s="1846">
        <v>0</v>
      </c>
      <c r="P88" s="48">
        <f>GM!E939</f>
        <v>1499100</v>
      </c>
      <c r="Q88" s="48">
        <f>GM!E864</f>
        <v>2186400</v>
      </c>
      <c r="R88" s="48"/>
      <c r="S88" s="1844">
        <v>2</v>
      </c>
      <c r="T88" s="1844">
        <v>3.5</v>
      </c>
      <c r="U88" s="1846">
        <v>0</v>
      </c>
    </row>
    <row r="89" spans="1:21" x14ac:dyDescent="0.2">
      <c r="A89" s="1842"/>
      <c r="B89" s="1843" t="s">
        <v>1704</v>
      </c>
      <c r="C89" s="48">
        <v>275100</v>
      </c>
      <c r="D89" s="48">
        <v>409500</v>
      </c>
      <c r="E89" s="48"/>
      <c r="F89" s="1844">
        <v>0</v>
      </c>
      <c r="G89" s="1844">
        <v>0.5</v>
      </c>
      <c r="H89" s="1845"/>
      <c r="I89" s="1846">
        <v>0</v>
      </c>
      <c r="J89" s="48">
        <f>GM!D997</f>
        <v>264600</v>
      </c>
      <c r="K89" s="48">
        <f>GM!D965</f>
        <v>421600</v>
      </c>
      <c r="L89" s="48"/>
      <c r="M89" s="1844"/>
      <c r="N89" s="1844">
        <v>1</v>
      </c>
      <c r="O89" s="1846">
        <v>0</v>
      </c>
      <c r="P89" s="48">
        <f>GM!E997</f>
        <v>273400</v>
      </c>
      <c r="Q89" s="48">
        <f>GM!E965</f>
        <v>413400</v>
      </c>
      <c r="R89" s="48"/>
      <c r="S89" s="1844"/>
      <c r="T89" s="1844">
        <v>1</v>
      </c>
      <c r="U89" s="1846">
        <v>0</v>
      </c>
    </row>
    <row r="90" spans="1:21" x14ac:dyDescent="0.2">
      <c r="A90" s="1842"/>
      <c r="B90" s="1843" t="s">
        <v>2093</v>
      </c>
      <c r="C90" s="48">
        <v>4352600</v>
      </c>
      <c r="D90" s="48">
        <v>4831100</v>
      </c>
      <c r="E90" s="48"/>
      <c r="F90" s="1844">
        <v>6</v>
      </c>
      <c r="G90" s="1844">
        <v>10</v>
      </c>
      <c r="H90" s="1845"/>
      <c r="I90" s="1846">
        <v>0</v>
      </c>
      <c r="J90" s="48">
        <f>GM!D24</f>
        <v>4513400</v>
      </c>
      <c r="K90" s="48">
        <f>GM!D13</f>
        <v>5111900</v>
      </c>
      <c r="L90" s="48"/>
      <c r="M90" s="1844">
        <v>6</v>
      </c>
      <c r="N90" s="1844">
        <v>11</v>
      </c>
      <c r="O90" s="1846">
        <v>0</v>
      </c>
      <c r="P90" s="48">
        <f>GM!E24</f>
        <v>4371600</v>
      </c>
      <c r="Q90" s="48">
        <f>GM!E13</f>
        <v>5780100</v>
      </c>
      <c r="R90" s="48"/>
      <c r="S90" s="1844">
        <v>6</v>
      </c>
      <c r="T90" s="1844">
        <v>11</v>
      </c>
      <c r="U90" s="1846">
        <v>0</v>
      </c>
    </row>
    <row r="91" spans="1:21" x14ac:dyDescent="0.2">
      <c r="A91" s="1842"/>
      <c r="B91" s="1250" t="s">
        <v>214</v>
      </c>
      <c r="C91" s="48">
        <v>1415850</v>
      </c>
      <c r="D91" s="48">
        <v>369800</v>
      </c>
      <c r="E91" s="48"/>
      <c r="F91" s="1844">
        <v>7.8</v>
      </c>
      <c r="G91" s="1844">
        <v>12.5</v>
      </c>
      <c r="H91" s="1845"/>
      <c r="I91" s="1846">
        <v>0</v>
      </c>
      <c r="J91" s="48">
        <f>SP!D17</f>
        <v>1205100</v>
      </c>
      <c r="K91" s="48">
        <f>SP!D7</f>
        <v>358700</v>
      </c>
      <c r="L91" s="48"/>
      <c r="M91" s="1844"/>
      <c r="N91" s="1844">
        <v>12.5</v>
      </c>
      <c r="O91" s="1846">
        <v>0</v>
      </c>
      <c r="P91" s="48" t="e">
        <f>SP!#REF!</f>
        <v>#REF!</v>
      </c>
      <c r="Q91" s="48" t="e">
        <f>SP!#REF!</f>
        <v>#REF!</v>
      </c>
      <c r="R91" s="48"/>
      <c r="S91" s="1844"/>
      <c r="T91" s="1844">
        <v>12.5</v>
      </c>
      <c r="U91" s="1846">
        <v>0</v>
      </c>
    </row>
    <row r="92" spans="1:21" x14ac:dyDescent="0.2">
      <c r="A92" s="1842"/>
      <c r="B92" s="1250" t="s">
        <v>3489</v>
      </c>
      <c r="C92" s="48">
        <v>1602100</v>
      </c>
      <c r="D92" s="48">
        <v>378700</v>
      </c>
      <c r="E92" s="48"/>
      <c r="F92" s="1844">
        <v>2.2000000000000002</v>
      </c>
      <c r="G92" s="1844">
        <v>4.5</v>
      </c>
      <c r="H92" s="1845"/>
      <c r="I92" s="1846">
        <v>0</v>
      </c>
      <c r="J92" s="48">
        <f>SP!D18</f>
        <v>2177700</v>
      </c>
      <c r="K92" s="48">
        <f>SP!D8</f>
        <v>520400</v>
      </c>
      <c r="L92" s="48"/>
      <c r="M92" s="1844">
        <v>17.399999999999999</v>
      </c>
      <c r="N92" s="1844"/>
      <c r="O92" s="1846">
        <v>0</v>
      </c>
      <c r="P92" s="48" t="e">
        <f>SP!#REF!</f>
        <v>#REF!</v>
      </c>
      <c r="Q92" s="48" t="e">
        <f>SP!#REF!</f>
        <v>#REF!</v>
      </c>
      <c r="R92" s="48"/>
      <c r="S92" s="1844">
        <v>17.399999999999999</v>
      </c>
      <c r="T92" s="1844"/>
      <c r="U92" s="1846">
        <v>0</v>
      </c>
    </row>
    <row r="93" spans="1:21" x14ac:dyDescent="0.2">
      <c r="A93" s="1842"/>
      <c r="B93" s="1250" t="s">
        <v>2871</v>
      </c>
      <c r="C93" s="48">
        <v>1643700</v>
      </c>
      <c r="D93" s="48">
        <v>112000</v>
      </c>
      <c r="E93" s="48"/>
      <c r="F93" s="1844">
        <v>0</v>
      </c>
      <c r="G93" s="1844">
        <v>0</v>
      </c>
      <c r="H93" s="1845"/>
      <c r="I93" s="1846">
        <v>0</v>
      </c>
      <c r="J93" s="48">
        <f>SP!D19</f>
        <v>1571000</v>
      </c>
      <c r="K93" s="48">
        <f>SP!D9</f>
        <v>111900</v>
      </c>
      <c r="L93" s="48"/>
      <c r="M93" s="1844"/>
      <c r="N93" s="1844"/>
      <c r="O93" s="1846">
        <v>0</v>
      </c>
      <c r="P93" s="48" t="e">
        <f>SP!#REF!</f>
        <v>#REF!</v>
      </c>
      <c r="Q93" s="48" t="e">
        <f>SP!#REF!</f>
        <v>#REF!</v>
      </c>
      <c r="R93" s="48"/>
      <c r="S93" s="1844"/>
      <c r="T93" s="1844"/>
      <c r="U93" s="1846">
        <v>0</v>
      </c>
    </row>
    <row r="94" spans="1:21" x14ac:dyDescent="0.2">
      <c r="A94" s="1842"/>
      <c r="B94" s="1250" t="s">
        <v>384</v>
      </c>
      <c r="C94" s="48">
        <v>909000</v>
      </c>
      <c r="D94" s="48">
        <v>352000</v>
      </c>
      <c r="E94" s="48"/>
      <c r="F94" s="1844">
        <v>0</v>
      </c>
      <c r="G94" s="1844">
        <v>0</v>
      </c>
      <c r="H94" s="1845"/>
      <c r="I94" s="1846">
        <v>0</v>
      </c>
      <c r="J94" s="48">
        <f>SP!D20</f>
        <v>792800</v>
      </c>
      <c r="K94" s="48">
        <f>SP!D10</f>
        <v>407300</v>
      </c>
      <c r="L94" s="48"/>
      <c r="M94" s="1844"/>
      <c r="N94" s="1844"/>
      <c r="O94" s="1846">
        <v>0</v>
      </c>
      <c r="P94" s="48" t="e">
        <f>SP!#REF!</f>
        <v>#REF!</v>
      </c>
      <c r="Q94" s="48" t="e">
        <f>SP!#REF!</f>
        <v>#REF!</v>
      </c>
      <c r="R94" s="48"/>
      <c r="S94" s="1844"/>
      <c r="T94" s="1844"/>
      <c r="U94" s="1846">
        <v>0</v>
      </c>
    </row>
    <row r="95" spans="1:21" x14ac:dyDescent="0.2">
      <c r="A95" s="1842"/>
      <c r="B95" s="1250" t="s">
        <v>3246</v>
      </c>
      <c r="C95" s="48">
        <v>919500</v>
      </c>
      <c r="D95" s="48">
        <v>141000</v>
      </c>
      <c r="E95" s="48"/>
      <c r="F95" s="1844">
        <v>5</v>
      </c>
      <c r="G95" s="1844">
        <v>6.5</v>
      </c>
      <c r="H95" s="1845"/>
      <c r="I95" s="1846">
        <v>0</v>
      </c>
      <c r="J95" s="48">
        <f>SP!D21</f>
        <v>590700</v>
      </c>
      <c r="K95" s="48">
        <f>SP!D11</f>
        <v>141600</v>
      </c>
      <c r="L95" s="48"/>
      <c r="M95" s="1844">
        <v>2.25</v>
      </c>
      <c r="N95" s="1844">
        <v>5</v>
      </c>
      <c r="O95" s="1846">
        <v>0</v>
      </c>
      <c r="P95" s="48" t="e">
        <f>SP!#REF!</f>
        <v>#REF!</v>
      </c>
      <c r="Q95" s="48" t="e">
        <f>SP!#REF!</f>
        <v>#REF!</v>
      </c>
      <c r="R95" s="48"/>
      <c r="S95" s="1844">
        <v>2.25</v>
      </c>
      <c r="T95" s="1844">
        <v>5</v>
      </c>
      <c r="U95" s="1846">
        <v>0</v>
      </c>
    </row>
    <row r="96" spans="1:21" x14ac:dyDescent="0.2">
      <c r="A96" s="1842"/>
      <c r="B96" s="1250" t="s">
        <v>1238</v>
      </c>
      <c r="C96" s="48">
        <v>1173000</v>
      </c>
      <c r="D96" s="48">
        <v>324000</v>
      </c>
      <c r="E96" s="48"/>
      <c r="F96" s="1844">
        <v>9</v>
      </c>
      <c r="G96" s="1844">
        <v>13.5</v>
      </c>
      <c r="H96" s="1845"/>
      <c r="I96" s="1846">
        <v>0</v>
      </c>
      <c r="J96" s="48">
        <f>DEH!D16</f>
        <v>1303300</v>
      </c>
      <c r="K96" s="48">
        <f>DEH!D7</f>
        <v>642000</v>
      </c>
      <c r="L96" s="48"/>
      <c r="M96" s="1844">
        <v>8.6999999999999993</v>
      </c>
      <c r="N96" s="1844">
        <v>13.5</v>
      </c>
      <c r="O96" s="1846">
        <v>0</v>
      </c>
      <c r="P96" s="48" t="e">
        <f>DEH!#REF!</f>
        <v>#REF!</v>
      </c>
      <c r="Q96" s="48" t="e">
        <f>DEH!#REF!</f>
        <v>#REF!</v>
      </c>
      <c r="R96" s="48"/>
      <c r="S96" s="1844">
        <v>8.6999999999999993</v>
      </c>
      <c r="T96" s="1844">
        <v>13.5</v>
      </c>
      <c r="U96" s="1846">
        <v>0</v>
      </c>
    </row>
    <row r="97" spans="1:23" x14ac:dyDescent="0.2">
      <c r="A97" s="1842"/>
      <c r="B97" s="1250" t="s">
        <v>2650</v>
      </c>
      <c r="C97" s="48">
        <v>739100</v>
      </c>
      <c r="D97" s="48">
        <v>1090000</v>
      </c>
      <c r="E97" s="48"/>
      <c r="F97" s="1844">
        <v>7</v>
      </c>
      <c r="G97" s="1844">
        <v>14</v>
      </c>
      <c r="H97" s="1845"/>
      <c r="I97" s="1846">
        <v>0</v>
      </c>
      <c r="J97" s="48">
        <f>DEH!D17</f>
        <v>1070600</v>
      </c>
      <c r="K97" s="48">
        <f>DEH!D8</f>
        <v>1387400</v>
      </c>
      <c r="L97" s="48"/>
      <c r="M97" s="1844">
        <v>7</v>
      </c>
      <c r="N97" s="1844">
        <v>14</v>
      </c>
      <c r="O97" s="1846">
        <v>0</v>
      </c>
      <c r="P97" s="48" t="e">
        <f>DEH!#REF!</f>
        <v>#REF!</v>
      </c>
      <c r="Q97" s="48" t="e">
        <f>DEH!#REF!</f>
        <v>#REF!</v>
      </c>
      <c r="R97" s="48"/>
      <c r="S97" s="1844">
        <v>7</v>
      </c>
      <c r="T97" s="1844">
        <v>14</v>
      </c>
      <c r="U97" s="1846">
        <v>0</v>
      </c>
    </row>
    <row r="98" spans="1:23" x14ac:dyDescent="0.2">
      <c r="A98" s="1842"/>
      <c r="B98" s="1250" t="s">
        <v>3132</v>
      </c>
      <c r="C98" s="48">
        <v>688100</v>
      </c>
      <c r="D98" s="48">
        <v>238000</v>
      </c>
      <c r="E98" s="48"/>
      <c r="F98" s="1844">
        <v>5.8</v>
      </c>
      <c r="G98" s="1844">
        <v>10</v>
      </c>
      <c r="H98" s="1845"/>
      <c r="I98" s="1846">
        <v>0</v>
      </c>
      <c r="J98" s="48">
        <f>DEH!D18</f>
        <v>956700</v>
      </c>
      <c r="K98" s="48">
        <f>DEH!D9</f>
        <v>262400</v>
      </c>
      <c r="L98" s="48"/>
      <c r="M98" s="1844">
        <v>6.8</v>
      </c>
      <c r="N98" s="1844">
        <v>15</v>
      </c>
      <c r="O98" s="1846">
        <v>0</v>
      </c>
      <c r="P98" s="48" t="e">
        <f>DEH!#REF!</f>
        <v>#REF!</v>
      </c>
      <c r="Q98" s="48" t="e">
        <f>DEH!#REF!</f>
        <v>#REF!</v>
      </c>
      <c r="R98" s="48"/>
      <c r="S98" s="1844">
        <v>6.8</v>
      </c>
      <c r="T98" s="1844">
        <v>15</v>
      </c>
      <c r="U98" s="1846">
        <v>0</v>
      </c>
    </row>
    <row r="99" spans="1:23" x14ac:dyDescent="0.2">
      <c r="A99" s="1842"/>
      <c r="B99" s="1250" t="s">
        <v>2661</v>
      </c>
      <c r="C99" s="48">
        <v>1145300</v>
      </c>
      <c r="D99" s="48">
        <v>248000</v>
      </c>
      <c r="E99" s="48"/>
      <c r="F99" s="1844">
        <v>12.4</v>
      </c>
      <c r="G99" s="1844">
        <v>20</v>
      </c>
      <c r="H99" s="1845"/>
      <c r="I99" s="1846">
        <v>0</v>
      </c>
      <c r="J99" s="48">
        <f>DEH!D19</f>
        <v>547200</v>
      </c>
      <c r="K99" s="48">
        <f>DEH!D10</f>
        <v>233100</v>
      </c>
      <c r="L99" s="48"/>
      <c r="M99" s="1844">
        <f>7.9+4</f>
        <v>11.9</v>
      </c>
      <c r="N99" s="1844">
        <f>9.5+12.5</f>
        <v>22</v>
      </c>
      <c r="O99" s="1846">
        <v>0</v>
      </c>
      <c r="P99" s="48" t="e">
        <f>DEH!#REF!</f>
        <v>#REF!</v>
      </c>
      <c r="Q99" s="48" t="e">
        <f>DEH!#REF!</f>
        <v>#REF!</v>
      </c>
      <c r="R99" s="48"/>
      <c r="S99" s="1844">
        <f>7.9+4</f>
        <v>11.9</v>
      </c>
      <c r="T99" s="1844">
        <f>9.5+12.5</f>
        <v>22</v>
      </c>
      <c r="U99" s="1846">
        <v>0</v>
      </c>
    </row>
    <row r="100" spans="1:23" x14ac:dyDescent="0.2">
      <c r="A100" s="1842"/>
      <c r="B100" s="782" t="s">
        <v>563</v>
      </c>
      <c r="C100" s="48">
        <v>2452700</v>
      </c>
      <c r="D100" s="48">
        <v>331800</v>
      </c>
      <c r="E100" s="48"/>
      <c r="F100" s="1844">
        <v>30.4</v>
      </c>
      <c r="G100" s="1844">
        <v>17</v>
      </c>
      <c r="H100" s="1845"/>
      <c r="I100" s="1846">
        <v>0</v>
      </c>
      <c r="J100" s="48">
        <f>CIV!D22</f>
        <v>2621900</v>
      </c>
      <c r="K100" s="48">
        <f>CIV!D6</f>
        <v>254400</v>
      </c>
      <c r="L100" s="48"/>
      <c r="M100" s="1844">
        <f>4+8.5+11</f>
        <v>23.5</v>
      </c>
      <c r="N100" s="1844">
        <v>72</v>
      </c>
      <c r="O100" s="1846">
        <v>0</v>
      </c>
      <c r="P100" s="48">
        <f>CIV!E22</f>
        <v>2655900</v>
      </c>
      <c r="Q100" s="48">
        <f>CIV!E6</f>
        <v>408600</v>
      </c>
      <c r="R100" s="48"/>
      <c r="S100" s="1844">
        <f>4+8.5+11</f>
        <v>23.5</v>
      </c>
      <c r="T100" s="1844">
        <v>72</v>
      </c>
      <c r="U100" s="1846">
        <v>0</v>
      </c>
    </row>
    <row r="101" spans="1:23" x14ac:dyDescent="0.2">
      <c r="A101" s="1842"/>
      <c r="B101" s="782" t="s">
        <v>3788</v>
      </c>
      <c r="C101" s="48">
        <v>3444400</v>
      </c>
      <c r="D101" s="48">
        <v>0</v>
      </c>
      <c r="E101" s="48"/>
      <c r="F101" s="1844">
        <v>0</v>
      </c>
      <c r="G101" s="1844">
        <v>29.5</v>
      </c>
      <c r="H101" s="1845"/>
      <c r="I101" s="1846">
        <v>0</v>
      </c>
      <c r="J101" s="48">
        <f>CIV!D23</f>
        <v>3713200</v>
      </c>
      <c r="K101" s="48">
        <f>CIV!D7</f>
        <v>0</v>
      </c>
      <c r="L101" s="48"/>
      <c r="M101" s="1844">
        <v>5</v>
      </c>
      <c r="N101" s="1844">
        <f>14.5+13.5</f>
        <v>28</v>
      </c>
      <c r="O101" s="1846">
        <v>0</v>
      </c>
      <c r="P101" s="48">
        <f>CIV!E23</f>
        <v>3414800</v>
      </c>
      <c r="Q101" s="48">
        <f>CIV!E7</f>
        <v>0</v>
      </c>
      <c r="R101" s="48"/>
      <c r="S101" s="1844">
        <v>5</v>
      </c>
      <c r="T101" s="1844">
        <f>14.5+13.5</f>
        <v>28</v>
      </c>
      <c r="U101" s="1846">
        <v>0</v>
      </c>
    </row>
    <row r="102" spans="1:23" x14ac:dyDescent="0.2">
      <c r="A102" s="1842"/>
      <c r="B102" s="782" t="s">
        <v>3623</v>
      </c>
      <c r="C102" s="48">
        <v>2662400</v>
      </c>
      <c r="D102" s="48">
        <v>293100</v>
      </c>
      <c r="E102" s="48"/>
      <c r="F102" s="1844">
        <v>0</v>
      </c>
      <c r="G102" s="1844">
        <v>4</v>
      </c>
      <c r="H102" s="1845"/>
      <c r="I102" s="1846">
        <v>71218</v>
      </c>
      <c r="J102" s="48">
        <f>CIV!D24</f>
        <v>2213900</v>
      </c>
      <c r="K102" s="48">
        <f>CIV!D8</f>
        <v>374600</v>
      </c>
      <c r="L102" s="48"/>
      <c r="M102" s="1844"/>
      <c r="N102" s="1844"/>
      <c r="O102" s="1846">
        <v>111539</v>
      </c>
      <c r="P102" s="48">
        <f>CIV!E24</f>
        <v>2033800</v>
      </c>
      <c r="Q102" s="48">
        <f>CIV!E8</f>
        <v>554000</v>
      </c>
      <c r="R102" s="48"/>
      <c r="S102" s="1844"/>
      <c r="T102" s="1844"/>
      <c r="U102" s="1846">
        <v>72231</v>
      </c>
    </row>
    <row r="103" spans="1:23" x14ac:dyDescent="0.2">
      <c r="A103" s="1842"/>
      <c r="B103" s="1843" t="s">
        <v>717</v>
      </c>
      <c r="C103" s="48">
        <v>8782500</v>
      </c>
      <c r="D103" s="48">
        <v>175500</v>
      </c>
      <c r="E103" s="48"/>
      <c r="F103" s="1844">
        <v>56</v>
      </c>
      <c r="G103" s="1844">
        <v>14</v>
      </c>
      <c r="H103" s="1845"/>
      <c r="I103" s="1846">
        <v>411116</v>
      </c>
      <c r="J103" s="48">
        <f>CIV!D25</f>
        <v>9730300</v>
      </c>
      <c r="K103" s="48">
        <f>CIV!D9</f>
        <v>350500</v>
      </c>
      <c r="L103" s="48"/>
      <c r="M103" s="1844">
        <v>61</v>
      </c>
      <c r="N103" s="1844">
        <v>12.5</v>
      </c>
      <c r="O103" s="1846">
        <f>507136+48097</f>
        <v>555233</v>
      </c>
      <c r="P103" s="48">
        <f>CIV!E25</f>
        <v>11869900</v>
      </c>
      <c r="Q103" s="48">
        <f>CIV!E9</f>
        <v>1636900</v>
      </c>
      <c r="R103" s="48"/>
      <c r="S103" s="1844">
        <v>61</v>
      </c>
      <c r="T103" s="1844">
        <v>12.5</v>
      </c>
      <c r="U103" s="1846">
        <f>424378+32104+20364+3710</f>
        <v>480556</v>
      </c>
    </row>
    <row r="104" spans="1:23" x14ac:dyDescent="0.2">
      <c r="A104" s="1842"/>
      <c r="B104" s="1843" t="s">
        <v>1160</v>
      </c>
      <c r="C104" s="48">
        <v>2441100</v>
      </c>
      <c r="D104" s="48">
        <v>805300</v>
      </c>
      <c r="E104" s="48"/>
      <c r="F104" s="1844">
        <v>0</v>
      </c>
      <c r="G104" s="1844">
        <v>4</v>
      </c>
      <c r="H104" s="1845"/>
      <c r="I104" s="1846">
        <v>0</v>
      </c>
      <c r="J104" s="48">
        <f>CIV!D26</f>
        <v>2871400</v>
      </c>
      <c r="K104" s="48">
        <f>CIV!D10</f>
        <v>1375200</v>
      </c>
      <c r="L104" s="48"/>
      <c r="M104" s="1844">
        <v>5</v>
      </c>
      <c r="N104" s="1844">
        <v>0.5</v>
      </c>
      <c r="O104" s="1846">
        <v>0</v>
      </c>
      <c r="P104" s="48">
        <f>CIV!E26</f>
        <v>2384300</v>
      </c>
      <c r="Q104" s="48">
        <f>CIV!E10</f>
        <v>967800</v>
      </c>
      <c r="R104" s="48"/>
      <c r="S104" s="1844">
        <v>5</v>
      </c>
      <c r="T104" s="1844">
        <v>0.5</v>
      </c>
      <c r="U104" s="1846">
        <v>0</v>
      </c>
    </row>
    <row r="105" spans="1:23" x14ac:dyDescent="0.2">
      <c r="A105" s="1842"/>
      <c r="B105" s="1843" t="s">
        <v>3043</v>
      </c>
      <c r="C105" s="48">
        <v>817000</v>
      </c>
      <c r="D105" s="48">
        <v>866500</v>
      </c>
      <c r="E105" s="48"/>
      <c r="F105" s="1844">
        <v>0</v>
      </c>
      <c r="G105" s="1844">
        <v>4</v>
      </c>
      <c r="H105" s="1845"/>
      <c r="I105" s="1846">
        <v>0</v>
      </c>
      <c r="J105" s="48">
        <f>CIV!D27</f>
        <v>770000</v>
      </c>
      <c r="K105" s="48">
        <f>CIV!D11</f>
        <v>876000</v>
      </c>
      <c r="L105" s="48"/>
      <c r="M105" s="1844"/>
      <c r="N105" s="1844"/>
      <c r="O105" s="1846">
        <v>0</v>
      </c>
      <c r="P105" s="48">
        <f>CIV!E27</f>
        <v>915100</v>
      </c>
      <c r="Q105" s="48">
        <f>CIV!E11</f>
        <v>1003200</v>
      </c>
      <c r="R105" s="48"/>
      <c r="S105" s="1844"/>
      <c r="T105" s="1844"/>
      <c r="U105" s="1846">
        <v>0</v>
      </c>
    </row>
    <row r="106" spans="1:23" x14ac:dyDescent="0.2">
      <c r="A106" s="1842"/>
      <c r="B106" s="1843" t="s">
        <v>491</v>
      </c>
      <c r="C106" s="48">
        <v>3795700</v>
      </c>
      <c r="D106" s="48">
        <v>910500</v>
      </c>
      <c r="E106" s="48"/>
      <c r="F106" s="1844">
        <v>34.5</v>
      </c>
      <c r="G106" s="1844">
        <v>9</v>
      </c>
      <c r="H106" s="1845"/>
      <c r="I106" s="1846">
        <v>0</v>
      </c>
      <c r="J106" s="48">
        <f>CIV!D28</f>
        <v>3699500</v>
      </c>
      <c r="K106" s="48">
        <f>CIV!D12</f>
        <v>1049600</v>
      </c>
      <c r="L106" s="48"/>
      <c r="M106" s="1844">
        <f>5+24+6.3-0.5</f>
        <v>34.799999999999997</v>
      </c>
      <c r="N106" s="1844">
        <v>9.5</v>
      </c>
      <c r="O106" s="1846">
        <v>0</v>
      </c>
      <c r="P106" s="48">
        <f>CIV!E28</f>
        <v>5443600</v>
      </c>
      <c r="Q106" s="48">
        <f>CIV!E12</f>
        <v>878700</v>
      </c>
      <c r="R106" s="48"/>
      <c r="S106" s="1844">
        <f>5+24+6.3-0.5</f>
        <v>34.799999999999997</v>
      </c>
      <c r="T106" s="1844">
        <v>9.5</v>
      </c>
      <c r="U106" s="1846">
        <v>0</v>
      </c>
    </row>
    <row r="107" spans="1:23" x14ac:dyDescent="0.2">
      <c r="A107" s="1842"/>
      <c r="B107" s="1843" t="s">
        <v>376</v>
      </c>
      <c r="C107" s="48">
        <v>3918900</v>
      </c>
      <c r="D107" s="48">
        <v>258900</v>
      </c>
      <c r="E107" s="48"/>
      <c r="F107" s="1844">
        <v>14</v>
      </c>
      <c r="G107" s="1844">
        <v>5</v>
      </c>
      <c r="H107" s="1845"/>
      <c r="I107" s="1846">
        <v>0</v>
      </c>
      <c r="J107" s="48">
        <f>CIV!D29-CIV!D1620-CIV!D1621</f>
        <v>3566100</v>
      </c>
      <c r="K107" s="48">
        <f>CIV!D13</f>
        <v>284000</v>
      </c>
      <c r="L107" s="48"/>
      <c r="M107" s="1844">
        <v>11</v>
      </c>
      <c r="N107" s="1844">
        <v>3.5</v>
      </c>
      <c r="O107" s="1846">
        <v>0</v>
      </c>
      <c r="P107" s="48">
        <f>CIV!E29-CIV!E1620-CIV!E1621</f>
        <v>3725800</v>
      </c>
      <c r="Q107" s="48">
        <f>CIV!E13</f>
        <v>265200</v>
      </c>
      <c r="R107" s="48"/>
      <c r="S107" s="1844">
        <v>11</v>
      </c>
      <c r="T107" s="1844">
        <v>3.5</v>
      </c>
      <c r="U107" s="1846">
        <v>0</v>
      </c>
    </row>
    <row r="108" spans="1:23" x14ac:dyDescent="0.2">
      <c r="A108" s="1842"/>
      <c r="B108" s="1843" t="s">
        <v>532</v>
      </c>
      <c r="C108" s="48">
        <v>359600</v>
      </c>
      <c r="D108" s="48">
        <v>214000</v>
      </c>
      <c r="E108" s="48"/>
      <c r="F108" s="1844">
        <v>0</v>
      </c>
      <c r="G108" s="1844">
        <v>1</v>
      </c>
      <c r="H108" s="1845"/>
      <c r="I108" s="1846">
        <v>0</v>
      </c>
      <c r="J108" s="48">
        <f>CIV!D30</f>
        <v>330000</v>
      </c>
      <c r="K108" s="48">
        <f>CIV!D14</f>
        <v>172300</v>
      </c>
      <c r="L108" s="48"/>
      <c r="M108" s="1844"/>
      <c r="N108" s="1844"/>
      <c r="O108" s="1846">
        <v>0</v>
      </c>
      <c r="P108" s="48">
        <f>CIV!E30</f>
        <v>352700</v>
      </c>
      <c r="Q108" s="48">
        <f>CIV!E14</f>
        <v>200100</v>
      </c>
      <c r="R108" s="48"/>
      <c r="S108" s="1844"/>
      <c r="T108" s="1844"/>
      <c r="U108" s="1846">
        <v>0</v>
      </c>
    </row>
    <row r="109" spans="1:23" x14ac:dyDescent="0.2">
      <c r="A109" s="1842"/>
      <c r="B109" s="1843" t="s">
        <v>1932</v>
      </c>
      <c r="C109" s="48">
        <v>582500</v>
      </c>
      <c r="D109" s="48">
        <v>280000</v>
      </c>
      <c r="E109" s="48"/>
      <c r="F109" s="1844">
        <v>0</v>
      </c>
      <c r="G109" s="1844">
        <v>2</v>
      </c>
      <c r="H109" s="1845"/>
      <c r="I109" s="1846">
        <v>0</v>
      </c>
      <c r="J109" s="48">
        <f>CIV!D31</f>
        <v>188400</v>
      </c>
      <c r="K109" s="48">
        <f>CIV!D15</f>
        <v>377200</v>
      </c>
      <c r="L109" s="48"/>
      <c r="M109" s="1844"/>
      <c r="N109" s="1844"/>
      <c r="O109" s="1846">
        <v>0</v>
      </c>
      <c r="P109" s="48">
        <f>CIV!E31</f>
        <v>144500</v>
      </c>
      <c r="Q109" s="48">
        <f>CIV!E15</f>
        <v>69100</v>
      </c>
      <c r="R109" s="48"/>
      <c r="S109" s="1844"/>
      <c r="T109" s="1844"/>
      <c r="U109" s="1846">
        <v>8</v>
      </c>
    </row>
    <row r="110" spans="1:23" x14ac:dyDescent="0.2">
      <c r="A110" s="1842"/>
      <c r="B110" s="1843" t="s">
        <v>3063</v>
      </c>
      <c r="C110" s="48">
        <v>6558000</v>
      </c>
      <c r="D110" s="48">
        <v>4050000</v>
      </c>
      <c r="E110" s="48">
        <v>6932</v>
      </c>
      <c r="F110" s="1844">
        <v>16.399999999999999</v>
      </c>
      <c r="G110" s="1844">
        <v>5</v>
      </c>
      <c r="H110" s="1845"/>
      <c r="I110" s="1846">
        <v>0</v>
      </c>
      <c r="J110" s="48">
        <f>CIV!D32-J120</f>
        <v>6799300</v>
      </c>
      <c r="K110" s="48">
        <f>CIV!D16</f>
        <v>3844500</v>
      </c>
      <c r="L110" s="48">
        <f>E43</f>
        <v>67016</v>
      </c>
      <c r="M110" s="1844">
        <f>14.7-M111+0.5</f>
        <v>10.199999999999999</v>
      </c>
      <c r="N110" s="1844">
        <v>3</v>
      </c>
      <c r="O110" s="1846">
        <v>0</v>
      </c>
      <c r="P110" s="48">
        <f>CIV!E32-P120</f>
        <v>4795200</v>
      </c>
      <c r="Q110" s="48">
        <f>CIV!E16</f>
        <v>3350400</v>
      </c>
      <c r="R110" s="48">
        <f>G43</f>
        <v>6932</v>
      </c>
      <c r="S110" s="1844">
        <f>(14.7+0.5)/2</f>
        <v>7.6</v>
      </c>
      <c r="T110" s="1844">
        <v>3</v>
      </c>
      <c r="U110" s="1846">
        <v>368</v>
      </c>
    </row>
    <row r="111" spans="1:23" x14ac:dyDescent="0.2">
      <c r="A111" s="1842"/>
      <c r="B111" s="1843" t="s">
        <v>2756</v>
      </c>
      <c r="C111" s="48">
        <v>6414200</v>
      </c>
      <c r="D111" s="48">
        <v>5852500</v>
      </c>
      <c r="E111" s="48">
        <v>69404</v>
      </c>
      <c r="F111" s="1844">
        <v>5.3</v>
      </c>
      <c r="G111" s="1844">
        <v>5</v>
      </c>
      <c r="H111" s="1845"/>
      <c r="I111" s="1846">
        <v>0</v>
      </c>
      <c r="J111" s="48">
        <f>CIV!D33-J121</f>
        <v>6535700</v>
      </c>
      <c r="K111" s="48">
        <f>CIV!D17</f>
        <v>6079500</v>
      </c>
      <c r="L111" s="48">
        <f>E44</f>
        <v>63896</v>
      </c>
      <c r="M111" s="1844">
        <v>5</v>
      </c>
      <c r="N111" s="1844">
        <v>3</v>
      </c>
      <c r="O111" s="1846">
        <v>0</v>
      </c>
      <c r="P111" s="48">
        <f>CIV!E33-P121</f>
        <v>6647000</v>
      </c>
      <c r="Q111" s="48">
        <f>CIV!E17</f>
        <v>6308100</v>
      </c>
      <c r="R111" s="48">
        <f>G44</f>
        <v>63896</v>
      </c>
      <c r="S111" s="1844">
        <f>S110</f>
        <v>7.6</v>
      </c>
      <c r="T111" s="1844">
        <v>3</v>
      </c>
      <c r="U111" s="1846">
        <v>0</v>
      </c>
      <c r="W111" s="36"/>
    </row>
    <row r="112" spans="1:23" x14ac:dyDescent="0.2">
      <c r="A112" s="1842"/>
      <c r="B112" s="782" t="s">
        <v>3527</v>
      </c>
      <c r="C112" s="48">
        <v>489500</v>
      </c>
      <c r="D112" s="48">
        <v>268500</v>
      </c>
      <c r="E112" s="48"/>
      <c r="F112" s="1844">
        <v>4</v>
      </c>
      <c r="G112" s="1844">
        <v>2</v>
      </c>
      <c r="H112" s="1845"/>
      <c r="I112" s="1846">
        <v>0</v>
      </c>
      <c r="J112" s="48">
        <f>NEWLOG!D51</f>
        <v>475400</v>
      </c>
      <c r="K112" s="48">
        <f>NEWLOG!D20</f>
        <v>243500</v>
      </c>
      <c r="L112" s="48"/>
      <c r="M112" s="1844">
        <v>4</v>
      </c>
      <c r="N112" s="1844">
        <v>3</v>
      </c>
      <c r="O112" s="1846">
        <v>0</v>
      </c>
      <c r="P112" s="48" t="e">
        <f>NEWLOG!#REF!</f>
        <v>#REF!</v>
      </c>
      <c r="Q112" s="48" t="e">
        <f>NEWLOG!#REF!</f>
        <v>#REF!</v>
      </c>
      <c r="R112" s="48"/>
      <c r="S112" s="1844">
        <v>4</v>
      </c>
      <c r="T112" s="1844">
        <v>3</v>
      </c>
      <c r="U112" s="1846">
        <v>0</v>
      </c>
    </row>
    <row r="113" spans="1:28" x14ac:dyDescent="0.2">
      <c r="A113" s="1842"/>
      <c r="B113" s="782" t="s">
        <v>1732</v>
      </c>
      <c r="C113" s="48">
        <v>11302000</v>
      </c>
      <c r="D113" s="48">
        <v>10736800</v>
      </c>
      <c r="E113" s="48">
        <v>61468</v>
      </c>
      <c r="F113" s="1844">
        <v>12.2</v>
      </c>
      <c r="G113" s="1844">
        <v>19</v>
      </c>
      <c r="H113" s="1845"/>
      <c r="I113" s="1846">
        <v>105492</v>
      </c>
      <c r="J113" s="48">
        <f>'W&amp;W'!D14</f>
        <v>10849900</v>
      </c>
      <c r="K113" s="48">
        <f>'W&amp;W'!D7</f>
        <v>11199100</v>
      </c>
      <c r="L113" s="48">
        <f>E46</f>
        <v>55892</v>
      </c>
      <c r="M113" s="1844">
        <f>37/2+1</f>
        <v>19.5</v>
      </c>
      <c r="N113" s="1844">
        <f>4+21/2+9.5/2</f>
        <v>19.25</v>
      </c>
      <c r="O113" s="1846">
        <v>107447</v>
      </c>
      <c r="P113" s="48" t="e">
        <f>'W&amp;W'!#REF!</f>
        <v>#REF!</v>
      </c>
      <c r="Q113" s="48" t="e">
        <f>'W&amp;W'!#REF!</f>
        <v>#REF!</v>
      </c>
      <c r="R113" s="48">
        <f>G46</f>
        <v>55892</v>
      </c>
      <c r="S113" s="1844">
        <f>37/2+1</f>
        <v>19.5</v>
      </c>
      <c r="T113" s="1844">
        <f>4+21/2+9.5/2</f>
        <v>19.25</v>
      </c>
      <c r="U113" s="1846">
        <v>67127</v>
      </c>
    </row>
    <row r="114" spans="1:28" ht="13.5" thickBot="1" x14ac:dyDescent="0.25">
      <c r="A114" s="1842"/>
      <c r="B114" s="782" t="s">
        <v>3289</v>
      </c>
      <c r="C114" s="48">
        <v>16937300</v>
      </c>
      <c r="D114" s="48">
        <v>15354400</v>
      </c>
      <c r="E114" s="48">
        <v>62220</v>
      </c>
      <c r="F114" s="1844">
        <v>20.399999999999999</v>
      </c>
      <c r="G114" s="1844">
        <v>19</v>
      </c>
      <c r="H114" s="1845"/>
      <c r="I114" s="1846">
        <v>194434</v>
      </c>
      <c r="J114" s="48">
        <f>'W&amp;W'!D15</f>
        <v>17312700</v>
      </c>
      <c r="K114" s="48">
        <f>'W&amp;W'!D8</f>
        <v>16349100</v>
      </c>
      <c r="L114" s="48">
        <f>E47</f>
        <v>55120</v>
      </c>
      <c r="M114" s="1844">
        <f>37/2+1</f>
        <v>19.5</v>
      </c>
      <c r="N114" s="1844">
        <f>4+21/2+9.5/2</f>
        <v>19.25</v>
      </c>
      <c r="O114" s="1846">
        <v>240362</v>
      </c>
      <c r="P114" s="48" t="e">
        <f>'W&amp;W'!#REF!</f>
        <v>#REF!</v>
      </c>
      <c r="Q114" s="48" t="e">
        <f>'W&amp;W'!#REF!</f>
        <v>#REF!</v>
      </c>
      <c r="R114" s="48">
        <f>G47</f>
        <v>55120</v>
      </c>
      <c r="S114" s="1844">
        <f>37/2+1</f>
        <v>19.5</v>
      </c>
      <c r="T114" s="1844">
        <f>4+21/2+9.5/2</f>
        <v>19.25</v>
      </c>
      <c r="U114" s="1846">
        <v>189566</v>
      </c>
    </row>
    <row r="115" spans="1:28" s="573" customFormat="1" ht="13.5" thickBot="1" x14ac:dyDescent="0.25">
      <c r="A115" s="819"/>
      <c r="B115" s="1847" t="s">
        <v>2615</v>
      </c>
      <c r="C115" s="1848">
        <f>SUM(C83:C114)</f>
        <v>90988050</v>
      </c>
      <c r="D115" s="1849">
        <f>SUM(D83:D114)</f>
        <v>74352600</v>
      </c>
      <c r="E115" s="1849">
        <f>SUM(E83:E114)</f>
        <v>269088</v>
      </c>
      <c r="F115" s="1850">
        <f>SUM(F83:F114)</f>
        <v>284.39999999999998</v>
      </c>
      <c r="G115" s="219">
        <f>SUM(G83:G114)</f>
        <v>298.5</v>
      </c>
      <c r="H115" s="1677"/>
      <c r="I115" s="1851">
        <f t="shared" ref="I115:U115" si="5">SUM(I83:I114)</f>
        <v>782260</v>
      </c>
      <c r="J115" s="1849">
        <f t="shared" si="5"/>
        <v>92607600</v>
      </c>
      <c r="K115" s="1849">
        <f t="shared" si="5"/>
        <v>78512000</v>
      </c>
      <c r="L115" s="1849">
        <f t="shared" si="5"/>
        <v>313832</v>
      </c>
      <c r="M115" s="1850">
        <f t="shared" si="5"/>
        <v>300.14999999999998</v>
      </c>
      <c r="N115" s="219">
        <f t="shared" si="5"/>
        <v>335.5</v>
      </c>
      <c r="O115" s="1851">
        <f t="shared" si="5"/>
        <v>1014581</v>
      </c>
      <c r="P115" s="1849" t="e">
        <f t="shared" si="5"/>
        <v>#REF!</v>
      </c>
      <c r="Q115" s="1849" t="e">
        <f t="shared" si="5"/>
        <v>#REF!</v>
      </c>
      <c r="R115" s="1849">
        <f t="shared" si="5"/>
        <v>253748</v>
      </c>
      <c r="S115" s="1850">
        <f t="shared" si="5"/>
        <v>300.14999999999998</v>
      </c>
      <c r="T115" s="219">
        <f t="shared" si="5"/>
        <v>335.5</v>
      </c>
      <c r="U115" s="1851">
        <f t="shared" si="5"/>
        <v>809856</v>
      </c>
    </row>
    <row r="116" spans="1:28" s="573" customFormat="1" x14ac:dyDescent="0.2">
      <c r="A116" s="816"/>
      <c r="B116" s="1852"/>
      <c r="C116" s="1853"/>
      <c r="D116" s="63"/>
      <c r="E116" s="220"/>
      <c r="F116" s="220"/>
      <c r="G116" s="384"/>
      <c r="H116" s="384"/>
      <c r="I116" s="1252"/>
      <c r="J116" s="63"/>
      <c r="K116" s="63"/>
      <c r="L116" s="220"/>
      <c r="M116" s="220"/>
      <c r="N116" s="384"/>
      <c r="O116" s="1252"/>
      <c r="P116" s="63"/>
      <c r="Q116" s="63"/>
      <c r="R116" s="220"/>
      <c r="S116" s="220"/>
      <c r="T116" s="384"/>
      <c r="U116" s="1252"/>
    </row>
    <row r="117" spans="1:28" s="573" customFormat="1" x14ac:dyDescent="0.2">
      <c r="A117" s="816"/>
      <c r="B117" s="1852" t="s">
        <v>3723</v>
      </c>
      <c r="C117" s="1853">
        <v>-7692700</v>
      </c>
      <c r="D117" s="63">
        <v>74459500</v>
      </c>
      <c r="E117" s="1854"/>
      <c r="F117" s="220"/>
      <c r="G117" s="384"/>
      <c r="H117" s="384"/>
      <c r="I117" s="1855"/>
      <c r="J117" s="63"/>
      <c r="K117" s="63"/>
      <c r="L117" s="1854"/>
      <c r="M117" s="220"/>
      <c r="N117" s="384"/>
      <c r="O117" s="1855"/>
      <c r="P117" s="63"/>
      <c r="Q117" s="63"/>
      <c r="R117" s="1854"/>
      <c r="S117" s="220"/>
      <c r="T117" s="384"/>
      <c r="U117" s="1855"/>
    </row>
    <row r="118" spans="1:28" s="726" customFormat="1" x14ac:dyDescent="0.2">
      <c r="A118" s="815"/>
      <c r="B118" s="782" t="s">
        <v>3721</v>
      </c>
      <c r="C118" s="641"/>
      <c r="D118" s="79"/>
      <c r="E118" s="922"/>
      <c r="F118" s="584"/>
      <c r="G118" s="599"/>
      <c r="H118" s="599"/>
      <c r="I118" s="1856"/>
      <c r="J118" s="79"/>
      <c r="K118" s="79"/>
      <c r="L118" s="922"/>
      <c r="M118" s="584"/>
      <c r="N118" s="599"/>
      <c r="O118" s="1856"/>
      <c r="P118" s="79"/>
      <c r="Q118" s="79"/>
      <c r="R118" s="922"/>
      <c r="S118" s="584"/>
      <c r="T118" s="599"/>
      <c r="U118" s="1856"/>
    </row>
    <row r="119" spans="1:28" s="726" customFormat="1" x14ac:dyDescent="0.2">
      <c r="A119" s="815"/>
      <c r="B119" s="782" t="s">
        <v>4476</v>
      </c>
      <c r="C119" s="641"/>
      <c r="D119" s="79"/>
      <c r="E119" s="922"/>
      <c r="F119" s="584"/>
      <c r="G119" s="599"/>
      <c r="H119" s="599"/>
      <c r="I119" s="1856"/>
      <c r="J119" s="79">
        <v>0</v>
      </c>
      <c r="K119" s="79"/>
      <c r="L119" s="922"/>
      <c r="M119" s="584"/>
      <c r="N119" s="599"/>
      <c r="O119" s="1856"/>
      <c r="P119" s="79">
        <v>0</v>
      </c>
      <c r="Q119" s="79"/>
      <c r="R119" s="922"/>
      <c r="S119" s="584"/>
      <c r="T119" s="599"/>
      <c r="U119" s="1856"/>
    </row>
    <row r="120" spans="1:28" s="726" customFormat="1" x14ac:dyDescent="0.2">
      <c r="A120" s="815"/>
      <c r="B120" s="782" t="s">
        <v>4475</v>
      </c>
      <c r="C120" s="641">
        <v>-3250000</v>
      </c>
      <c r="D120" s="79"/>
      <c r="E120" s="922"/>
      <c r="F120" s="584"/>
      <c r="G120" s="599"/>
      <c r="H120" s="599"/>
      <c r="I120" s="1856"/>
      <c r="J120" s="79">
        <f>CIV!D1848+CIV!D1849+CIV!D1850</f>
        <v>-3255000</v>
      </c>
      <c r="K120" s="79"/>
      <c r="L120" s="922"/>
      <c r="M120" s="584"/>
      <c r="N120" s="599"/>
      <c r="O120" s="1856"/>
      <c r="P120" s="79">
        <f>CIV!E1848+CIV!E1849+CIV!E1850</f>
        <v>-3332200</v>
      </c>
      <c r="Q120" s="79"/>
      <c r="R120" s="922"/>
      <c r="S120" s="584"/>
      <c r="T120" s="599"/>
      <c r="U120" s="1856"/>
    </row>
    <row r="121" spans="1:28" s="726" customFormat="1" x14ac:dyDescent="0.2">
      <c r="A121" s="815"/>
      <c r="B121" s="782" t="s">
        <v>3722</v>
      </c>
      <c r="C121" s="641">
        <v>-575000</v>
      </c>
      <c r="D121" s="79"/>
      <c r="E121" s="922"/>
      <c r="F121" s="584"/>
      <c r="G121" s="599"/>
      <c r="H121" s="599"/>
      <c r="I121" s="1856"/>
      <c r="J121" s="79">
        <f>CIV!D2010</f>
        <v>-618900</v>
      </c>
      <c r="K121" s="79"/>
      <c r="L121" s="922"/>
      <c r="M121" s="584"/>
      <c r="N121" s="599"/>
      <c r="O121" s="1856"/>
      <c r="P121" s="79">
        <f>CIV!E2010</f>
        <v>-640200</v>
      </c>
      <c r="Q121" s="79"/>
      <c r="R121" s="922"/>
      <c r="S121" s="584"/>
      <c r="T121" s="599"/>
      <c r="U121" s="1856"/>
    </row>
    <row r="122" spans="1:28" s="726" customFormat="1" x14ac:dyDescent="0.2">
      <c r="A122" s="815"/>
      <c r="B122" s="782" t="s">
        <v>3738</v>
      </c>
      <c r="C122" s="641">
        <v>-3867700</v>
      </c>
      <c r="D122" s="79"/>
      <c r="E122" s="922"/>
      <c r="F122" s="584"/>
      <c r="G122" s="599"/>
      <c r="H122" s="599"/>
      <c r="I122" s="1856"/>
      <c r="J122" s="79">
        <f>CIV!D1621+CIV!D1620</f>
        <v>-3772000</v>
      </c>
      <c r="K122" s="79"/>
      <c r="L122" s="922"/>
      <c r="M122" s="584"/>
      <c r="N122" s="599"/>
      <c r="O122" s="1856"/>
      <c r="P122" s="79">
        <f>CIV!E1621+CIV!E1620</f>
        <v>-3743300</v>
      </c>
      <c r="Q122" s="79"/>
      <c r="R122" s="922"/>
      <c r="S122" s="584"/>
      <c r="T122" s="599"/>
      <c r="U122" s="1856"/>
    </row>
    <row r="123" spans="1:28" s="573" customFormat="1" x14ac:dyDescent="0.2">
      <c r="A123" s="816"/>
      <c r="B123" s="1852" t="s">
        <v>400</v>
      </c>
      <c r="C123" s="1853">
        <f>ROUND(SUM(C118:C122)-C117,-3)</f>
        <v>0</v>
      </c>
      <c r="D123" s="63">
        <f>ROUND(D115-D117,-3)</f>
        <v>-107000</v>
      </c>
      <c r="E123" s="1854"/>
      <c r="F123" s="220"/>
      <c r="G123" s="384"/>
      <c r="H123" s="384"/>
      <c r="I123" s="1855"/>
      <c r="J123" s="63">
        <f>ROUND(SUM(J118:J122)-J117,-3)</f>
        <v>-7646000</v>
      </c>
      <c r="K123" s="63">
        <f>K115-K117</f>
        <v>78512000</v>
      </c>
      <c r="L123" s="1854"/>
      <c r="M123" s="220"/>
      <c r="N123" s="384"/>
      <c r="O123" s="1855"/>
      <c r="P123" s="63">
        <f>ROUND(SUM(P118:P122)-P117,-3)</f>
        <v>-7716000</v>
      </c>
      <c r="Q123" s="63" t="e">
        <f>Q115-Q117</f>
        <v>#REF!</v>
      </c>
      <c r="R123" s="1854"/>
      <c r="S123" s="220"/>
      <c r="T123" s="384"/>
      <c r="U123" s="1855"/>
    </row>
    <row r="124" spans="1:28" ht="13.5" thickBot="1" x14ac:dyDescent="0.25">
      <c r="A124" s="1857"/>
      <c r="B124" s="1858"/>
      <c r="C124" s="1859"/>
      <c r="D124" s="1860"/>
      <c r="E124" s="1861"/>
      <c r="F124" s="1860"/>
      <c r="G124" s="1601"/>
      <c r="H124" s="1601"/>
      <c r="I124" s="1862"/>
      <c r="J124" s="1860"/>
      <c r="K124" s="1860"/>
      <c r="L124" s="1861"/>
      <c r="M124" s="1860"/>
      <c r="N124" s="1601"/>
      <c r="O124" s="1862"/>
      <c r="P124" s="1860"/>
      <c r="Q124" s="1860"/>
      <c r="R124" s="1861"/>
      <c r="S124" s="1860"/>
      <c r="T124" s="1601"/>
      <c r="U124" s="1862"/>
    </row>
    <row r="125" spans="1:28" ht="13.5" thickBot="1" x14ac:dyDescent="0.25">
      <c r="A125" s="1250"/>
      <c r="B125" s="1843"/>
      <c r="C125" s="1250"/>
      <c r="D125" s="1250"/>
      <c r="E125" s="1250"/>
      <c r="F125" s="1250"/>
      <c r="G125" s="1728"/>
      <c r="H125" s="1728"/>
      <c r="I125" s="1250"/>
      <c r="J125" s="1250"/>
      <c r="K125" s="1250"/>
      <c r="L125" s="1250"/>
      <c r="M125" s="1250"/>
      <c r="N125" s="115"/>
      <c r="O125" s="115"/>
      <c r="P125" s="1250"/>
      <c r="Q125" s="1250"/>
      <c r="R125" s="1250"/>
      <c r="S125" s="1250"/>
      <c r="T125" s="1250"/>
      <c r="U125" s="1250"/>
      <c r="V125" s="1250"/>
      <c r="W125" s="1250"/>
    </row>
    <row r="126" spans="1:28" ht="13.5" thickBot="1" x14ac:dyDescent="0.25">
      <c r="A126" s="1863"/>
      <c r="B126" s="1863"/>
      <c r="C126" s="2724" t="s">
        <v>4477</v>
      </c>
      <c r="D126" s="2725"/>
      <c r="E126" s="2725"/>
      <c r="F126" s="2725"/>
      <c r="G126" s="2725"/>
      <c r="H126" s="2725"/>
      <c r="I126" s="2725"/>
      <c r="J126" s="2725"/>
      <c r="K126" s="2725"/>
      <c r="L126" s="2725"/>
      <c r="M126" s="2725"/>
      <c r="N126" s="2725"/>
      <c r="O126" s="2725"/>
      <c r="P126" s="2725"/>
      <c r="Q126" s="2725"/>
      <c r="R126" s="2725"/>
      <c r="S126" s="2725"/>
      <c r="T126" s="2726"/>
      <c r="V126" s="1250"/>
      <c r="W126" s="1250"/>
      <c r="X126" s="1250"/>
      <c r="Y126" s="1250"/>
      <c r="Z126" s="1250"/>
      <c r="AA126" s="1250"/>
      <c r="AB126" s="1250"/>
    </row>
    <row r="127" spans="1:28" ht="13.5" thickBot="1" x14ac:dyDescent="0.25">
      <c r="A127" s="1250"/>
      <c r="B127" s="1864" t="s">
        <v>228</v>
      </c>
      <c r="C127" s="1835" t="s">
        <v>3557</v>
      </c>
      <c r="D127" s="499" t="s">
        <v>3628</v>
      </c>
      <c r="E127" s="499" t="s">
        <v>3558</v>
      </c>
      <c r="F127" s="499" t="s">
        <v>3647</v>
      </c>
      <c r="G127" s="499" t="s">
        <v>3737</v>
      </c>
      <c r="H127" s="499"/>
      <c r="I127" s="499" t="s">
        <v>3559</v>
      </c>
      <c r="J127" s="1296" t="s">
        <v>3743</v>
      </c>
      <c r="K127" s="1296" t="s">
        <v>3645</v>
      </c>
      <c r="L127" s="499" t="s">
        <v>3643</v>
      </c>
      <c r="M127" s="499" t="s">
        <v>3644</v>
      </c>
      <c r="N127" s="499" t="s">
        <v>3809</v>
      </c>
      <c r="O127" s="499" t="s">
        <v>3726</v>
      </c>
      <c r="P127" s="499" t="s">
        <v>3736</v>
      </c>
      <c r="Q127" s="499" t="s">
        <v>3733</v>
      </c>
      <c r="R127" s="499" t="s">
        <v>3734</v>
      </c>
      <c r="S127" s="499" t="s">
        <v>1504</v>
      </c>
      <c r="T127" s="1865" t="s">
        <v>3740</v>
      </c>
      <c r="U127" s="1250"/>
      <c r="V127" s="1250"/>
      <c r="W127" s="1250"/>
      <c r="X127" s="1250"/>
      <c r="Y127" s="1250"/>
      <c r="Z127" s="1250"/>
    </row>
    <row r="128" spans="1:28" x14ac:dyDescent="0.2">
      <c r="A128" s="1250"/>
      <c r="B128" s="1866" t="s">
        <v>771</v>
      </c>
      <c r="C128" s="1283"/>
      <c r="D128" s="48"/>
      <c r="E128" s="48"/>
      <c r="F128" s="48"/>
      <c r="G128" s="48"/>
      <c r="H128" s="48"/>
      <c r="I128" s="48"/>
      <c r="J128" s="48"/>
      <c r="K128" s="48"/>
      <c r="L128" s="48"/>
      <c r="M128" s="48"/>
      <c r="N128" s="48"/>
      <c r="O128" s="48"/>
      <c r="P128" s="48"/>
      <c r="Q128" s="48"/>
      <c r="R128" s="48"/>
      <c r="S128" s="48"/>
      <c r="T128" s="1867"/>
      <c r="U128" s="1250"/>
      <c r="V128" s="1250"/>
      <c r="W128" s="1250"/>
      <c r="X128" s="1250"/>
      <c r="Y128" s="1250"/>
      <c r="Z128" s="1250"/>
    </row>
    <row r="129" spans="1:26" x14ac:dyDescent="0.2">
      <c r="A129" s="1250"/>
      <c r="B129" s="1866" t="s">
        <v>1017</v>
      </c>
      <c r="C129" s="1283"/>
      <c r="D129" s="48"/>
      <c r="E129" s="48"/>
      <c r="F129" s="48"/>
      <c r="G129" s="48"/>
      <c r="H129" s="48"/>
      <c r="I129" s="48"/>
      <c r="J129" s="48"/>
      <c r="K129" s="48"/>
      <c r="L129" s="48"/>
      <c r="M129" s="48"/>
      <c r="N129" s="48"/>
      <c r="O129" s="48"/>
      <c r="P129" s="48"/>
      <c r="Q129" s="48"/>
      <c r="R129" s="48"/>
      <c r="S129" s="48"/>
      <c r="T129" s="1867"/>
      <c r="U129" s="1250"/>
      <c r="V129" s="1250"/>
      <c r="W129" s="1250"/>
      <c r="X129" s="1250"/>
      <c r="Y129" s="1250"/>
      <c r="Z129" s="1250"/>
    </row>
    <row r="130" spans="1:26" x14ac:dyDescent="0.2">
      <c r="A130" s="1250"/>
      <c r="B130" s="1866" t="s">
        <v>87</v>
      </c>
      <c r="C130" s="1283"/>
      <c r="D130" s="48">
        <f>ROUND(L85/($L$115)*$D$24,-2)</f>
        <v>119500</v>
      </c>
      <c r="E130" s="48"/>
      <c r="F130" s="48"/>
      <c r="G130" s="48"/>
      <c r="H130" s="48"/>
      <c r="I130" s="48"/>
      <c r="J130" s="48"/>
      <c r="K130" s="48"/>
      <c r="L130" s="48"/>
      <c r="M130" s="48"/>
      <c r="N130" s="48"/>
      <c r="O130" s="48"/>
      <c r="P130" s="48"/>
      <c r="Q130" s="48"/>
      <c r="R130" s="48"/>
      <c r="S130" s="48"/>
      <c r="T130" s="1867"/>
      <c r="U130" s="1250"/>
      <c r="V130" s="1250"/>
      <c r="W130" s="1250"/>
      <c r="X130" s="1250"/>
      <c r="Y130" s="1250"/>
      <c r="Z130" s="1250"/>
    </row>
    <row r="131" spans="1:26" x14ac:dyDescent="0.2">
      <c r="A131" s="1250"/>
      <c r="B131" s="1866" t="s">
        <v>2273</v>
      </c>
      <c r="C131" s="1283"/>
      <c r="D131" s="48"/>
      <c r="E131" s="48"/>
      <c r="F131" s="48"/>
      <c r="G131" s="48"/>
      <c r="H131" s="48"/>
      <c r="I131" s="48"/>
      <c r="J131" s="48"/>
      <c r="K131" s="48"/>
      <c r="L131" s="48"/>
      <c r="M131" s="48"/>
      <c r="N131" s="48"/>
      <c r="O131" s="48"/>
      <c r="P131" s="48"/>
      <c r="Q131" s="48"/>
      <c r="R131" s="48"/>
      <c r="S131" s="48"/>
      <c r="T131" s="1867"/>
      <c r="U131" s="1250"/>
      <c r="V131" s="1250"/>
      <c r="W131" s="1250"/>
      <c r="X131" s="1250"/>
      <c r="Y131" s="1250"/>
      <c r="Z131" s="1250"/>
    </row>
    <row r="132" spans="1:26" ht="13.5" thickBot="1" x14ac:dyDescent="0.25">
      <c r="A132" s="1250"/>
      <c r="B132" s="1868" t="s">
        <v>3622</v>
      </c>
      <c r="C132" s="1869"/>
      <c r="D132" s="1870"/>
      <c r="E132" s="1870"/>
      <c r="F132" s="1870"/>
      <c r="G132" s="1870"/>
      <c r="H132" s="1870"/>
      <c r="I132" s="1870"/>
      <c r="J132" s="1870"/>
      <c r="K132" s="1870"/>
      <c r="L132" s="1870"/>
      <c r="M132" s="1870"/>
      <c r="N132" s="1870"/>
      <c r="O132" s="1870"/>
      <c r="P132" s="1870"/>
      <c r="Q132" s="1870"/>
      <c r="R132" s="1870"/>
      <c r="S132" s="1870"/>
      <c r="T132" s="1871"/>
      <c r="U132" s="1250"/>
      <c r="V132" s="1250"/>
      <c r="W132" s="1250"/>
      <c r="X132" s="1250"/>
      <c r="Y132" s="1250"/>
      <c r="Z132" s="1250"/>
    </row>
    <row r="133" spans="1:26" x14ac:dyDescent="0.2">
      <c r="A133" s="1250"/>
      <c r="B133" s="1866" t="s">
        <v>2499</v>
      </c>
      <c r="C133" s="1283">
        <f t="shared" ref="C133:C159" si="6">ROUND(J88/($J$115-SUM($J$83:$J$87))*$D$23,-2)</f>
        <v>0</v>
      </c>
      <c r="D133" s="48">
        <f t="shared" ref="D133:D159" si="7">ROUND(L88/($L$115)*$D$24,-2)</f>
        <v>0</v>
      </c>
      <c r="E133" s="48">
        <f t="shared" ref="E133:E159" si="8">ROUND((J88/($J$115-SUM($J$83:$J$87)))*($D$25+$D$129),-2)</f>
        <v>26200</v>
      </c>
      <c r="F133" s="48">
        <f t="shared" ref="F133:F159" si="9">ROUND(O88/$O$115*$D$26,-2)</f>
        <v>0</v>
      </c>
      <c r="G133" s="48">
        <f t="shared" ref="G133:G159" si="10">ROUND(N88/($N$115-SUM($N$83:$N$87))*($D$27),-2)</f>
        <v>22900</v>
      </c>
      <c r="H133" s="48"/>
      <c r="I133" s="48">
        <f t="shared" ref="I133:I159" si="11">ROUND(M88/($M$115-SUM($M$83:$M$87))*($D$28),-2)</f>
        <v>9800</v>
      </c>
      <c r="J133" s="48">
        <f t="shared" ref="J133:J159" si="12">ROUND(J88/($J$115-$J$84-$J$85-$J$86-$J$87)*$D$29,-2)</f>
        <v>51900</v>
      </c>
      <c r="K133" s="48">
        <f t="shared" ref="K133:K159" si="13">ROUND(J88/($J$115-SUM($J$83:$J$87))*($D$30),-2)</f>
        <v>60300</v>
      </c>
      <c r="L133" s="48"/>
      <c r="M133" s="48">
        <f t="shared" ref="M133:M159" si="14">ROUND(O88/$O$115*$D$32,-2)</f>
        <v>0</v>
      </c>
      <c r="N133" s="48">
        <f t="shared" ref="N133:N159" si="15">ROUND(O88/$O$115*$D$33,-2)</f>
        <v>0</v>
      </c>
      <c r="O133" s="48">
        <f t="shared" ref="O133:O159" si="16">ROUND(J88/($J$115-SUM($J$83:$J$87))*($D$34),-2)</f>
        <v>4100</v>
      </c>
      <c r="P133" s="48">
        <f t="shared" ref="P133:P159" si="17">ROUND(K88/SUM($K$88:$K$114)*$D$35,-2)</f>
        <v>7700</v>
      </c>
      <c r="Q133" s="48">
        <f t="shared" ref="Q133:Q159" si="18">ROUND(J88/($J$115-SUM($J$83:$J$87))*($D$36),-2)</f>
        <v>4600</v>
      </c>
      <c r="R133" s="48"/>
      <c r="S133" s="48">
        <f>ROUND(SUM(C133:R133),-3)</f>
        <v>188000</v>
      </c>
      <c r="T133" s="1872">
        <f>S133/D88</f>
        <v>7.2455389833121359E-2</v>
      </c>
      <c r="U133" s="1250"/>
      <c r="V133" s="1250"/>
      <c r="W133" s="1250"/>
      <c r="X133" s="1250"/>
      <c r="Y133" s="1250"/>
      <c r="Z133" s="1250"/>
    </row>
    <row r="134" spans="1:26" x14ac:dyDescent="0.2">
      <c r="A134" s="1250"/>
      <c r="B134" s="1866" t="s">
        <v>1704</v>
      </c>
      <c r="C134" s="1283">
        <f t="shared" si="6"/>
        <v>0</v>
      </c>
      <c r="D134" s="48">
        <f t="shared" si="7"/>
        <v>0</v>
      </c>
      <c r="E134" s="48">
        <f t="shared" si="8"/>
        <v>2600</v>
      </c>
      <c r="F134" s="48">
        <f t="shared" si="9"/>
        <v>0</v>
      </c>
      <c r="G134" s="48">
        <f t="shared" si="10"/>
        <v>6600</v>
      </c>
      <c r="H134" s="48"/>
      <c r="I134" s="48">
        <f t="shared" si="11"/>
        <v>0</v>
      </c>
      <c r="J134" s="48">
        <f t="shared" si="12"/>
        <v>5100</v>
      </c>
      <c r="K134" s="48">
        <f t="shared" si="13"/>
        <v>5900</v>
      </c>
      <c r="L134" s="48"/>
      <c r="M134" s="48">
        <f t="shared" si="14"/>
        <v>0</v>
      </c>
      <c r="N134" s="48">
        <f t="shared" si="15"/>
        <v>0</v>
      </c>
      <c r="O134" s="48">
        <f t="shared" si="16"/>
        <v>400</v>
      </c>
      <c r="P134" s="48">
        <f t="shared" si="17"/>
        <v>1500</v>
      </c>
      <c r="Q134" s="48">
        <f t="shared" si="18"/>
        <v>500</v>
      </c>
      <c r="R134" s="48"/>
      <c r="S134" s="48">
        <f>ROUND(SUM(C134:R134),-3)</f>
        <v>23000</v>
      </c>
      <c r="T134" s="1872">
        <f>S134/D89</f>
        <v>5.6166056166056168E-2</v>
      </c>
      <c r="U134" s="1250"/>
      <c r="V134" s="1250"/>
      <c r="W134" s="1250"/>
      <c r="X134" s="1250"/>
      <c r="Y134" s="1250"/>
      <c r="Z134" s="1250"/>
    </row>
    <row r="135" spans="1:26" x14ac:dyDescent="0.2">
      <c r="A135" s="1250"/>
      <c r="B135" s="1866" t="s">
        <v>2093</v>
      </c>
      <c r="C135" s="1283">
        <f t="shared" si="6"/>
        <v>0</v>
      </c>
      <c r="D135" s="48">
        <f t="shared" si="7"/>
        <v>0</v>
      </c>
      <c r="E135" s="48">
        <f t="shared" si="8"/>
        <v>43900</v>
      </c>
      <c r="F135" s="48">
        <f t="shared" si="9"/>
        <v>0</v>
      </c>
      <c r="G135" s="48">
        <f t="shared" si="10"/>
        <v>72100</v>
      </c>
      <c r="H135" s="48"/>
      <c r="I135" s="48">
        <f t="shared" si="11"/>
        <v>29500</v>
      </c>
      <c r="J135" s="48">
        <f t="shared" si="12"/>
        <v>86800</v>
      </c>
      <c r="K135" s="48">
        <f t="shared" si="13"/>
        <v>100900</v>
      </c>
      <c r="L135" s="48"/>
      <c r="M135" s="48">
        <f t="shared" si="14"/>
        <v>0</v>
      </c>
      <c r="N135" s="48">
        <f t="shared" si="15"/>
        <v>0</v>
      </c>
      <c r="O135" s="48">
        <f t="shared" si="16"/>
        <v>6900</v>
      </c>
      <c r="P135" s="48">
        <f t="shared" si="17"/>
        <v>18200</v>
      </c>
      <c r="Q135" s="48">
        <f t="shared" si="18"/>
        <v>7700</v>
      </c>
      <c r="R135" s="48"/>
      <c r="S135" s="48">
        <f>ROUND(SUM(C135:R135),-3)</f>
        <v>366000</v>
      </c>
      <c r="T135" s="1872">
        <f>S135/D90</f>
        <v>7.5759143880275714E-2</v>
      </c>
      <c r="U135" s="1250"/>
      <c r="V135" s="1250"/>
      <c r="W135" s="1250"/>
      <c r="X135" s="1250"/>
      <c r="Y135" s="1250"/>
      <c r="Z135" s="1250"/>
    </row>
    <row r="136" spans="1:26" x14ac:dyDescent="0.2">
      <c r="A136" s="1250"/>
      <c r="B136" s="1866" t="s">
        <v>214</v>
      </c>
      <c r="C136" s="1283">
        <f t="shared" si="6"/>
        <v>0</v>
      </c>
      <c r="D136" s="48">
        <f t="shared" si="7"/>
        <v>0</v>
      </c>
      <c r="E136" s="48">
        <f t="shared" si="8"/>
        <v>11700</v>
      </c>
      <c r="F136" s="48">
        <f t="shared" si="9"/>
        <v>0</v>
      </c>
      <c r="G136" s="48">
        <f t="shared" si="10"/>
        <v>81900</v>
      </c>
      <c r="H136" s="48"/>
      <c r="I136" s="48">
        <f t="shared" si="11"/>
        <v>0</v>
      </c>
      <c r="J136" s="48">
        <f t="shared" si="12"/>
        <v>23200</v>
      </c>
      <c r="K136" s="48">
        <f t="shared" si="13"/>
        <v>26900</v>
      </c>
      <c r="L136" s="48"/>
      <c r="M136" s="48">
        <f t="shared" si="14"/>
        <v>0</v>
      </c>
      <c r="N136" s="48">
        <f t="shared" si="15"/>
        <v>0</v>
      </c>
      <c r="O136" s="48">
        <f t="shared" si="16"/>
        <v>1800</v>
      </c>
      <c r="P136" s="48">
        <f t="shared" si="17"/>
        <v>1300</v>
      </c>
      <c r="Q136" s="48">
        <f t="shared" si="18"/>
        <v>2100</v>
      </c>
      <c r="R136" s="48"/>
      <c r="S136" s="48"/>
      <c r="T136" s="1872"/>
      <c r="U136" s="1250"/>
      <c r="V136" s="1250"/>
      <c r="W136" s="1250"/>
      <c r="X136" s="1250"/>
      <c r="Y136" s="1250"/>
      <c r="Z136" s="1250"/>
    </row>
    <row r="137" spans="1:26" x14ac:dyDescent="0.2">
      <c r="A137" s="1250"/>
      <c r="B137" s="1866" t="s">
        <v>3489</v>
      </c>
      <c r="C137" s="1283">
        <f t="shared" si="6"/>
        <v>0</v>
      </c>
      <c r="D137" s="48">
        <f t="shared" si="7"/>
        <v>0</v>
      </c>
      <c r="E137" s="48">
        <f t="shared" si="8"/>
        <v>21200</v>
      </c>
      <c r="F137" s="48">
        <f t="shared" si="9"/>
        <v>0</v>
      </c>
      <c r="G137" s="48">
        <f t="shared" si="10"/>
        <v>0</v>
      </c>
      <c r="H137" s="48"/>
      <c r="I137" s="48">
        <f t="shared" si="11"/>
        <v>85600</v>
      </c>
      <c r="J137" s="48">
        <f t="shared" si="12"/>
        <v>41900</v>
      </c>
      <c r="K137" s="48">
        <f t="shared" si="13"/>
        <v>48700</v>
      </c>
      <c r="L137" s="48"/>
      <c r="M137" s="48">
        <f t="shared" si="14"/>
        <v>0</v>
      </c>
      <c r="N137" s="48">
        <f t="shared" si="15"/>
        <v>0</v>
      </c>
      <c r="O137" s="48">
        <f t="shared" si="16"/>
        <v>3300</v>
      </c>
      <c r="P137" s="48">
        <f t="shared" si="17"/>
        <v>1900</v>
      </c>
      <c r="Q137" s="48">
        <f t="shared" si="18"/>
        <v>3700</v>
      </c>
      <c r="R137" s="48"/>
      <c r="S137" s="48"/>
      <c r="T137" s="1872"/>
      <c r="U137" s="1250"/>
      <c r="V137" s="1250"/>
      <c r="W137" s="1250"/>
      <c r="X137" s="1250"/>
      <c r="Y137" s="1250"/>
      <c r="Z137" s="1250"/>
    </row>
    <row r="138" spans="1:26" x14ac:dyDescent="0.2">
      <c r="A138" s="1250"/>
      <c r="B138" s="1866" t="s">
        <v>2871</v>
      </c>
      <c r="C138" s="1283">
        <f t="shared" si="6"/>
        <v>0</v>
      </c>
      <c r="D138" s="48">
        <f t="shared" si="7"/>
        <v>0</v>
      </c>
      <c r="E138" s="48">
        <f t="shared" si="8"/>
        <v>15300</v>
      </c>
      <c r="F138" s="48">
        <f t="shared" si="9"/>
        <v>0</v>
      </c>
      <c r="G138" s="48">
        <f t="shared" si="10"/>
        <v>0</v>
      </c>
      <c r="H138" s="48"/>
      <c r="I138" s="48">
        <f t="shared" si="11"/>
        <v>0</v>
      </c>
      <c r="J138" s="48">
        <f t="shared" si="12"/>
        <v>30200</v>
      </c>
      <c r="K138" s="48">
        <f t="shared" si="13"/>
        <v>35100</v>
      </c>
      <c r="L138" s="48"/>
      <c r="M138" s="48">
        <f t="shared" si="14"/>
        <v>0</v>
      </c>
      <c r="N138" s="48">
        <f t="shared" si="15"/>
        <v>0</v>
      </c>
      <c r="O138" s="48">
        <f t="shared" si="16"/>
        <v>2400</v>
      </c>
      <c r="P138" s="48">
        <f t="shared" si="17"/>
        <v>400</v>
      </c>
      <c r="Q138" s="48">
        <f t="shared" si="18"/>
        <v>2700</v>
      </c>
      <c r="R138" s="48"/>
      <c r="S138" s="48"/>
      <c r="T138" s="1872"/>
      <c r="U138" s="1250"/>
      <c r="V138" s="1250"/>
      <c r="W138" s="1250"/>
      <c r="X138" s="1250"/>
      <c r="Y138" s="1250"/>
      <c r="Z138" s="1250"/>
    </row>
    <row r="139" spans="1:26" x14ac:dyDescent="0.2">
      <c r="A139" s="1250"/>
      <c r="B139" s="1866" t="s">
        <v>384</v>
      </c>
      <c r="C139" s="1283">
        <f t="shared" si="6"/>
        <v>0</v>
      </c>
      <c r="D139" s="48">
        <f t="shared" si="7"/>
        <v>0</v>
      </c>
      <c r="E139" s="48">
        <f t="shared" si="8"/>
        <v>7700</v>
      </c>
      <c r="F139" s="48">
        <f t="shared" si="9"/>
        <v>0</v>
      </c>
      <c r="G139" s="48">
        <f t="shared" si="10"/>
        <v>0</v>
      </c>
      <c r="H139" s="48"/>
      <c r="I139" s="48">
        <f t="shared" si="11"/>
        <v>0</v>
      </c>
      <c r="J139" s="48">
        <f t="shared" si="12"/>
        <v>15300</v>
      </c>
      <c r="K139" s="48">
        <f t="shared" si="13"/>
        <v>17700</v>
      </c>
      <c r="L139" s="48"/>
      <c r="M139" s="48">
        <f t="shared" si="14"/>
        <v>0</v>
      </c>
      <c r="N139" s="48">
        <f t="shared" si="15"/>
        <v>0</v>
      </c>
      <c r="O139" s="48">
        <f t="shared" si="16"/>
        <v>1200</v>
      </c>
      <c r="P139" s="48">
        <f t="shared" si="17"/>
        <v>1500</v>
      </c>
      <c r="Q139" s="48">
        <f t="shared" si="18"/>
        <v>1400</v>
      </c>
      <c r="R139" s="48"/>
      <c r="S139" s="48"/>
      <c r="T139" s="1872"/>
      <c r="U139" s="1250"/>
      <c r="V139" s="1250"/>
      <c r="W139" s="1250"/>
      <c r="X139" s="1250"/>
      <c r="Y139" s="1250"/>
      <c r="Z139" s="1250"/>
    </row>
    <row r="140" spans="1:26" x14ac:dyDescent="0.2">
      <c r="A140" s="1250"/>
      <c r="B140" s="1866" t="s">
        <v>3246</v>
      </c>
      <c r="C140" s="1283">
        <f t="shared" si="6"/>
        <v>0</v>
      </c>
      <c r="D140" s="48">
        <f t="shared" si="7"/>
        <v>0</v>
      </c>
      <c r="E140" s="48">
        <f t="shared" si="8"/>
        <v>5700</v>
      </c>
      <c r="F140" s="48">
        <f t="shared" si="9"/>
        <v>0</v>
      </c>
      <c r="G140" s="48">
        <f t="shared" si="10"/>
        <v>32800</v>
      </c>
      <c r="H140" s="48"/>
      <c r="I140" s="48">
        <f t="shared" si="11"/>
        <v>11100</v>
      </c>
      <c r="J140" s="48">
        <f t="shared" si="12"/>
        <v>11400</v>
      </c>
      <c r="K140" s="48">
        <f t="shared" si="13"/>
        <v>13200</v>
      </c>
      <c r="L140" s="48"/>
      <c r="M140" s="48">
        <f t="shared" si="14"/>
        <v>0</v>
      </c>
      <c r="N140" s="48">
        <f t="shared" si="15"/>
        <v>0</v>
      </c>
      <c r="O140" s="48">
        <f t="shared" si="16"/>
        <v>900</v>
      </c>
      <c r="P140" s="48">
        <f t="shared" si="17"/>
        <v>500</v>
      </c>
      <c r="Q140" s="48">
        <f t="shared" si="18"/>
        <v>1000</v>
      </c>
      <c r="R140" s="48"/>
      <c r="S140" s="48"/>
      <c r="T140" s="1872"/>
      <c r="U140" s="1250"/>
      <c r="V140" s="1250"/>
      <c r="W140" s="1250"/>
      <c r="X140" s="1250"/>
      <c r="Y140" s="1250"/>
      <c r="Z140" s="1250"/>
    </row>
    <row r="141" spans="1:26" x14ac:dyDescent="0.2">
      <c r="A141" s="1250"/>
      <c r="B141" s="1866" t="s">
        <v>1238</v>
      </c>
      <c r="C141" s="1283">
        <f t="shared" si="6"/>
        <v>0</v>
      </c>
      <c r="D141" s="48">
        <f t="shared" si="7"/>
        <v>0</v>
      </c>
      <c r="E141" s="48">
        <f t="shared" si="8"/>
        <v>12700</v>
      </c>
      <c r="F141" s="48">
        <f t="shared" si="9"/>
        <v>0</v>
      </c>
      <c r="G141" s="48">
        <f t="shared" si="10"/>
        <v>88400</v>
      </c>
      <c r="H141" s="48"/>
      <c r="I141" s="48">
        <f t="shared" si="11"/>
        <v>42800</v>
      </c>
      <c r="J141" s="48">
        <f t="shared" si="12"/>
        <v>25100</v>
      </c>
      <c r="K141" s="48">
        <f t="shared" si="13"/>
        <v>29100</v>
      </c>
      <c r="L141" s="48"/>
      <c r="M141" s="48">
        <f t="shared" si="14"/>
        <v>0</v>
      </c>
      <c r="N141" s="48">
        <f t="shared" si="15"/>
        <v>0</v>
      </c>
      <c r="O141" s="48">
        <f t="shared" si="16"/>
        <v>2000</v>
      </c>
      <c r="P141" s="48">
        <f t="shared" si="17"/>
        <v>2300</v>
      </c>
      <c r="Q141" s="48">
        <f t="shared" si="18"/>
        <v>2200</v>
      </c>
      <c r="R141" s="48"/>
      <c r="S141" s="48"/>
      <c r="T141" s="1872"/>
      <c r="U141" s="1250"/>
      <c r="V141" s="1250"/>
      <c r="W141" s="1250"/>
      <c r="X141" s="1250"/>
      <c r="Y141" s="1250"/>
      <c r="Z141" s="1250"/>
    </row>
    <row r="142" spans="1:26" x14ac:dyDescent="0.2">
      <c r="A142" s="1250"/>
      <c r="B142" s="1866" t="s">
        <v>2650</v>
      </c>
      <c r="C142" s="1283">
        <f t="shared" si="6"/>
        <v>0</v>
      </c>
      <c r="D142" s="48">
        <f t="shared" si="7"/>
        <v>0</v>
      </c>
      <c r="E142" s="48">
        <f t="shared" si="8"/>
        <v>10400</v>
      </c>
      <c r="F142" s="48">
        <f t="shared" si="9"/>
        <v>0</v>
      </c>
      <c r="G142" s="48">
        <f t="shared" si="10"/>
        <v>91700</v>
      </c>
      <c r="H142" s="48"/>
      <c r="I142" s="48">
        <f t="shared" si="11"/>
        <v>34400</v>
      </c>
      <c r="J142" s="48">
        <f t="shared" si="12"/>
        <v>20600</v>
      </c>
      <c r="K142" s="48">
        <f t="shared" si="13"/>
        <v>23900</v>
      </c>
      <c r="L142" s="48"/>
      <c r="M142" s="48">
        <f t="shared" si="14"/>
        <v>0</v>
      </c>
      <c r="N142" s="48">
        <f t="shared" si="15"/>
        <v>0</v>
      </c>
      <c r="O142" s="48">
        <f t="shared" si="16"/>
        <v>1600</v>
      </c>
      <c r="P142" s="48">
        <f t="shared" si="17"/>
        <v>5000</v>
      </c>
      <c r="Q142" s="48">
        <f t="shared" si="18"/>
        <v>1800</v>
      </c>
      <c r="R142" s="48"/>
      <c r="S142" s="48"/>
      <c r="T142" s="1872"/>
      <c r="U142" s="1250"/>
      <c r="V142" s="1250"/>
      <c r="W142" s="1250"/>
      <c r="X142" s="1250"/>
      <c r="Y142" s="1250"/>
      <c r="Z142" s="1250"/>
    </row>
    <row r="143" spans="1:26" x14ac:dyDescent="0.2">
      <c r="A143" s="1250"/>
      <c r="B143" s="1866" t="s">
        <v>3132</v>
      </c>
      <c r="C143" s="1283">
        <f t="shared" si="6"/>
        <v>0</v>
      </c>
      <c r="D143" s="48">
        <f t="shared" si="7"/>
        <v>0</v>
      </c>
      <c r="E143" s="48">
        <f t="shared" si="8"/>
        <v>9300</v>
      </c>
      <c r="F143" s="48">
        <f t="shared" si="9"/>
        <v>0</v>
      </c>
      <c r="G143" s="48">
        <f t="shared" si="10"/>
        <v>98300</v>
      </c>
      <c r="H143" s="48"/>
      <c r="I143" s="48">
        <f t="shared" si="11"/>
        <v>33500</v>
      </c>
      <c r="J143" s="48">
        <f t="shared" si="12"/>
        <v>18400</v>
      </c>
      <c r="K143" s="48">
        <f t="shared" si="13"/>
        <v>21400</v>
      </c>
      <c r="L143" s="48"/>
      <c r="M143" s="48">
        <f t="shared" si="14"/>
        <v>0</v>
      </c>
      <c r="N143" s="48">
        <f t="shared" si="15"/>
        <v>0</v>
      </c>
      <c r="O143" s="48">
        <f t="shared" si="16"/>
        <v>1500</v>
      </c>
      <c r="P143" s="48">
        <f t="shared" si="17"/>
        <v>900</v>
      </c>
      <c r="Q143" s="48">
        <f t="shared" si="18"/>
        <v>1600</v>
      </c>
      <c r="R143" s="48"/>
      <c r="S143" s="48"/>
      <c r="T143" s="1872"/>
      <c r="U143" s="1250"/>
      <c r="V143" s="1250"/>
      <c r="W143" s="1250"/>
      <c r="X143" s="1250"/>
      <c r="Y143" s="1250"/>
      <c r="Z143" s="1250"/>
    </row>
    <row r="144" spans="1:26" x14ac:dyDescent="0.2">
      <c r="A144" s="1250"/>
      <c r="B144" s="1866" t="s">
        <v>2661</v>
      </c>
      <c r="C144" s="1283">
        <f t="shared" si="6"/>
        <v>0</v>
      </c>
      <c r="D144" s="48">
        <f t="shared" si="7"/>
        <v>0</v>
      </c>
      <c r="E144" s="48">
        <f t="shared" si="8"/>
        <v>5300</v>
      </c>
      <c r="F144" s="48">
        <f t="shared" si="9"/>
        <v>0</v>
      </c>
      <c r="G144" s="48">
        <f t="shared" si="10"/>
        <v>144100</v>
      </c>
      <c r="H144" s="48"/>
      <c r="I144" s="48">
        <f t="shared" si="11"/>
        <v>58600</v>
      </c>
      <c r="J144" s="48">
        <f t="shared" si="12"/>
        <v>10500</v>
      </c>
      <c r="K144" s="48">
        <f t="shared" si="13"/>
        <v>12200</v>
      </c>
      <c r="L144" s="48"/>
      <c r="M144" s="48">
        <f t="shared" si="14"/>
        <v>0</v>
      </c>
      <c r="N144" s="48">
        <f t="shared" si="15"/>
        <v>0</v>
      </c>
      <c r="O144" s="48">
        <f t="shared" si="16"/>
        <v>800</v>
      </c>
      <c r="P144" s="48">
        <f t="shared" si="17"/>
        <v>800</v>
      </c>
      <c r="Q144" s="48">
        <f t="shared" si="18"/>
        <v>900</v>
      </c>
      <c r="R144" s="48"/>
      <c r="S144" s="48"/>
      <c r="T144" s="1872"/>
      <c r="U144" s="1250"/>
      <c r="V144" s="1250"/>
      <c r="W144" s="1250"/>
      <c r="X144" s="1250"/>
      <c r="Y144" s="1250"/>
      <c r="Z144" s="1250"/>
    </row>
    <row r="145" spans="1:26" x14ac:dyDescent="0.2">
      <c r="A145" s="1250"/>
      <c r="B145" s="1866" t="s">
        <v>563</v>
      </c>
      <c r="C145" s="1283">
        <f t="shared" si="6"/>
        <v>0</v>
      </c>
      <c r="D145" s="48">
        <f t="shared" si="7"/>
        <v>0</v>
      </c>
      <c r="E145" s="48">
        <f t="shared" si="8"/>
        <v>25500</v>
      </c>
      <c r="F145" s="48">
        <f t="shared" si="9"/>
        <v>0</v>
      </c>
      <c r="G145" s="48">
        <f t="shared" si="10"/>
        <v>471600</v>
      </c>
      <c r="H145" s="48"/>
      <c r="I145" s="48">
        <f t="shared" si="11"/>
        <v>115600</v>
      </c>
      <c r="J145" s="48">
        <f t="shared" si="12"/>
        <v>50500</v>
      </c>
      <c r="K145" s="48">
        <f t="shared" si="13"/>
        <v>58600</v>
      </c>
      <c r="L145" s="48">
        <f t="shared" ref="L145:L159" si="19">ROUND(J100/SUM($J$100:$J$114)*$D$31,-2)</f>
        <v>35700</v>
      </c>
      <c r="M145" s="48">
        <f t="shared" si="14"/>
        <v>0</v>
      </c>
      <c r="N145" s="48">
        <f t="shared" si="15"/>
        <v>0</v>
      </c>
      <c r="O145" s="48">
        <f t="shared" si="16"/>
        <v>4000</v>
      </c>
      <c r="P145" s="48">
        <f t="shared" si="17"/>
        <v>900</v>
      </c>
      <c r="Q145" s="48">
        <f t="shared" si="18"/>
        <v>4500</v>
      </c>
      <c r="R145" s="48">
        <f>ROUND(D37/3,-2)</f>
        <v>40300</v>
      </c>
      <c r="S145" s="48"/>
      <c r="T145" s="1872"/>
      <c r="U145" s="1250"/>
      <c r="V145" s="1250"/>
      <c r="W145" s="1250"/>
      <c r="X145" s="1250"/>
      <c r="Y145" s="1250"/>
      <c r="Z145" s="1250"/>
    </row>
    <row r="146" spans="1:26" x14ac:dyDescent="0.2">
      <c r="A146" s="1250"/>
      <c r="B146" s="1866" t="s">
        <v>3788</v>
      </c>
      <c r="C146" s="1283">
        <f t="shared" si="6"/>
        <v>0</v>
      </c>
      <c r="D146" s="48">
        <f t="shared" si="7"/>
        <v>0</v>
      </c>
      <c r="E146" s="48">
        <f t="shared" si="8"/>
        <v>36100</v>
      </c>
      <c r="F146" s="48">
        <f t="shared" si="9"/>
        <v>0</v>
      </c>
      <c r="G146" s="48">
        <f t="shared" si="10"/>
        <v>183400</v>
      </c>
      <c r="H146" s="48"/>
      <c r="I146" s="48">
        <f t="shared" si="11"/>
        <v>24600</v>
      </c>
      <c r="J146" s="48">
        <f t="shared" si="12"/>
        <v>71500</v>
      </c>
      <c r="K146" s="48">
        <f t="shared" si="13"/>
        <v>83000</v>
      </c>
      <c r="L146" s="48">
        <f t="shared" si="19"/>
        <v>50600</v>
      </c>
      <c r="M146" s="48">
        <f t="shared" si="14"/>
        <v>0</v>
      </c>
      <c r="N146" s="48">
        <f t="shared" si="15"/>
        <v>0</v>
      </c>
      <c r="O146" s="48">
        <f t="shared" si="16"/>
        <v>5700</v>
      </c>
      <c r="P146" s="48">
        <f t="shared" si="17"/>
        <v>0</v>
      </c>
      <c r="Q146" s="48">
        <f t="shared" si="18"/>
        <v>6400</v>
      </c>
      <c r="R146" s="48"/>
      <c r="S146" s="48"/>
      <c r="T146" s="1872"/>
      <c r="U146" s="1250"/>
      <c r="V146" s="1250"/>
      <c r="W146" s="1250"/>
      <c r="X146" s="1250"/>
      <c r="Y146" s="1250"/>
      <c r="Z146" s="1250"/>
    </row>
    <row r="147" spans="1:26" x14ac:dyDescent="0.2">
      <c r="A147" s="1250"/>
      <c r="B147" s="1866" t="s">
        <v>3623</v>
      </c>
      <c r="C147" s="1283">
        <f t="shared" si="6"/>
        <v>0</v>
      </c>
      <c r="D147" s="48">
        <f t="shared" si="7"/>
        <v>0</v>
      </c>
      <c r="E147" s="48">
        <f t="shared" si="8"/>
        <v>21500</v>
      </c>
      <c r="F147" s="48">
        <f t="shared" si="9"/>
        <v>37200</v>
      </c>
      <c r="G147" s="48">
        <f t="shared" si="10"/>
        <v>0</v>
      </c>
      <c r="H147" s="48"/>
      <c r="I147" s="48">
        <f t="shared" si="11"/>
        <v>0</v>
      </c>
      <c r="J147" s="48">
        <f t="shared" si="12"/>
        <v>42600</v>
      </c>
      <c r="K147" s="48">
        <f t="shared" si="13"/>
        <v>49500</v>
      </c>
      <c r="L147" s="48">
        <f t="shared" si="19"/>
        <v>30200</v>
      </c>
      <c r="M147" s="48">
        <f t="shared" si="14"/>
        <v>51800</v>
      </c>
      <c r="N147" s="48">
        <f t="shared" si="15"/>
        <v>71700</v>
      </c>
      <c r="O147" s="48">
        <f t="shared" si="16"/>
        <v>3400</v>
      </c>
      <c r="P147" s="48">
        <f t="shared" si="17"/>
        <v>1300</v>
      </c>
      <c r="Q147" s="48">
        <f t="shared" si="18"/>
        <v>3800</v>
      </c>
      <c r="R147" s="48"/>
      <c r="S147" s="48"/>
      <c r="T147" s="1872"/>
      <c r="U147" s="1250"/>
      <c r="V147" s="1250"/>
      <c r="W147" s="1250"/>
      <c r="X147" s="1250"/>
      <c r="Y147" s="1250"/>
      <c r="Z147" s="1250"/>
    </row>
    <row r="148" spans="1:26" x14ac:dyDescent="0.2">
      <c r="A148" s="1250"/>
      <c r="B148" s="1866" t="s">
        <v>717</v>
      </c>
      <c r="C148" s="1283">
        <f t="shared" si="6"/>
        <v>0</v>
      </c>
      <c r="D148" s="48">
        <f t="shared" si="7"/>
        <v>0</v>
      </c>
      <c r="E148" s="48">
        <f t="shared" si="8"/>
        <v>94600</v>
      </c>
      <c r="F148" s="48">
        <f t="shared" si="9"/>
        <v>185200</v>
      </c>
      <c r="G148" s="48">
        <f t="shared" si="10"/>
        <v>81900</v>
      </c>
      <c r="H148" s="48"/>
      <c r="I148" s="48">
        <f t="shared" si="11"/>
        <v>300200</v>
      </c>
      <c r="J148" s="48">
        <f t="shared" si="12"/>
        <v>187200</v>
      </c>
      <c r="K148" s="48">
        <f t="shared" si="13"/>
        <v>217500</v>
      </c>
      <c r="L148" s="48">
        <f t="shared" si="19"/>
        <v>132500</v>
      </c>
      <c r="M148" s="48">
        <f t="shared" si="14"/>
        <v>258000</v>
      </c>
      <c r="N148" s="48">
        <f t="shared" si="15"/>
        <v>356800</v>
      </c>
      <c r="O148" s="48">
        <f t="shared" si="16"/>
        <v>14900</v>
      </c>
      <c r="P148" s="48">
        <f t="shared" si="17"/>
        <v>1300</v>
      </c>
      <c r="Q148" s="48">
        <f t="shared" si="18"/>
        <v>16700</v>
      </c>
      <c r="R148" s="48"/>
      <c r="S148" s="48"/>
      <c r="T148" s="1872"/>
      <c r="U148" s="1250"/>
      <c r="V148" s="1250"/>
      <c r="W148" s="1250"/>
      <c r="X148" s="1250"/>
      <c r="Y148" s="1250"/>
      <c r="Z148" s="1250"/>
    </row>
    <row r="149" spans="1:26" x14ac:dyDescent="0.2">
      <c r="A149" s="1250"/>
      <c r="B149" s="1866" t="s">
        <v>1160</v>
      </c>
      <c r="C149" s="1283">
        <f t="shared" si="6"/>
        <v>0</v>
      </c>
      <c r="D149" s="48">
        <f t="shared" si="7"/>
        <v>0</v>
      </c>
      <c r="E149" s="48">
        <f t="shared" si="8"/>
        <v>27900</v>
      </c>
      <c r="F149" s="48">
        <f t="shared" si="9"/>
        <v>0</v>
      </c>
      <c r="G149" s="48">
        <f t="shared" si="10"/>
        <v>3300</v>
      </c>
      <c r="H149" s="48"/>
      <c r="I149" s="48">
        <f t="shared" si="11"/>
        <v>24600</v>
      </c>
      <c r="J149" s="48">
        <f t="shared" si="12"/>
        <v>55300</v>
      </c>
      <c r="K149" s="48">
        <f t="shared" si="13"/>
        <v>64200</v>
      </c>
      <c r="L149" s="48">
        <f t="shared" si="19"/>
        <v>39100</v>
      </c>
      <c r="M149" s="48">
        <f t="shared" si="14"/>
        <v>0</v>
      </c>
      <c r="N149" s="48">
        <f t="shared" si="15"/>
        <v>0</v>
      </c>
      <c r="O149" s="48">
        <f t="shared" si="16"/>
        <v>4400</v>
      </c>
      <c r="P149" s="48">
        <f t="shared" si="17"/>
        <v>4900</v>
      </c>
      <c r="Q149" s="48">
        <f t="shared" si="18"/>
        <v>4900</v>
      </c>
      <c r="R149" s="48"/>
      <c r="S149" s="48"/>
      <c r="T149" s="1872"/>
      <c r="U149" s="1250"/>
      <c r="V149" s="1250"/>
      <c r="W149" s="1250"/>
      <c r="X149" s="1250"/>
      <c r="Y149" s="1250"/>
      <c r="Z149" s="1250"/>
    </row>
    <row r="150" spans="1:26" x14ac:dyDescent="0.2">
      <c r="A150" s="1250"/>
      <c r="B150" s="1866" t="s">
        <v>3043</v>
      </c>
      <c r="C150" s="1283">
        <f t="shared" si="6"/>
        <v>0</v>
      </c>
      <c r="D150" s="48">
        <f t="shared" si="7"/>
        <v>0</v>
      </c>
      <c r="E150" s="48">
        <f t="shared" si="8"/>
        <v>7500</v>
      </c>
      <c r="F150" s="48">
        <f t="shared" si="9"/>
        <v>0</v>
      </c>
      <c r="G150" s="48">
        <f t="shared" si="10"/>
        <v>0</v>
      </c>
      <c r="H150" s="48"/>
      <c r="I150" s="48">
        <f t="shared" si="11"/>
        <v>0</v>
      </c>
      <c r="J150" s="48">
        <f t="shared" si="12"/>
        <v>14800</v>
      </c>
      <c r="K150" s="48">
        <f t="shared" si="13"/>
        <v>17200</v>
      </c>
      <c r="L150" s="48">
        <f t="shared" si="19"/>
        <v>10500</v>
      </c>
      <c r="M150" s="48">
        <f t="shared" si="14"/>
        <v>0</v>
      </c>
      <c r="N150" s="48">
        <f t="shared" si="15"/>
        <v>0</v>
      </c>
      <c r="O150" s="48">
        <f t="shared" si="16"/>
        <v>1200</v>
      </c>
      <c r="P150" s="48">
        <f t="shared" si="17"/>
        <v>3100</v>
      </c>
      <c r="Q150" s="48">
        <f t="shared" si="18"/>
        <v>1300</v>
      </c>
      <c r="R150" s="48"/>
      <c r="S150" s="48"/>
      <c r="T150" s="1872"/>
      <c r="U150" s="1250"/>
      <c r="V150" s="1250"/>
      <c r="W150" s="1250"/>
      <c r="X150" s="1250"/>
      <c r="Y150" s="1250"/>
      <c r="Z150" s="1250"/>
    </row>
    <row r="151" spans="1:26" x14ac:dyDescent="0.2">
      <c r="A151" s="1250"/>
      <c r="B151" s="1866" t="s">
        <v>491</v>
      </c>
      <c r="C151" s="1283">
        <f t="shared" si="6"/>
        <v>0</v>
      </c>
      <c r="D151" s="48">
        <f t="shared" si="7"/>
        <v>0</v>
      </c>
      <c r="E151" s="48">
        <f t="shared" si="8"/>
        <v>36000</v>
      </c>
      <c r="F151" s="48">
        <f t="shared" si="9"/>
        <v>0</v>
      </c>
      <c r="G151" s="48">
        <f t="shared" si="10"/>
        <v>62200</v>
      </c>
      <c r="H151" s="48"/>
      <c r="I151" s="48">
        <f t="shared" si="11"/>
        <v>171300</v>
      </c>
      <c r="J151" s="48">
        <f t="shared" si="12"/>
        <v>71200</v>
      </c>
      <c r="K151" s="48">
        <f t="shared" si="13"/>
        <v>82700</v>
      </c>
      <c r="L151" s="48">
        <f t="shared" si="19"/>
        <v>50400</v>
      </c>
      <c r="M151" s="48">
        <f t="shared" si="14"/>
        <v>0</v>
      </c>
      <c r="N151" s="48">
        <f t="shared" si="15"/>
        <v>0</v>
      </c>
      <c r="O151" s="48">
        <f t="shared" si="16"/>
        <v>5700</v>
      </c>
      <c r="P151" s="48">
        <f t="shared" si="17"/>
        <v>3700</v>
      </c>
      <c r="Q151" s="48">
        <f t="shared" si="18"/>
        <v>6300</v>
      </c>
      <c r="R151" s="48"/>
      <c r="S151" s="48"/>
      <c r="T151" s="1872"/>
      <c r="U151" s="1250"/>
      <c r="V151" s="1250"/>
      <c r="W151" s="1250"/>
      <c r="X151" s="1250"/>
      <c r="Y151" s="1250"/>
      <c r="Z151" s="1250"/>
    </row>
    <row r="152" spans="1:26" x14ac:dyDescent="0.2">
      <c r="A152" s="1250"/>
      <c r="B152" s="1866" t="s">
        <v>376</v>
      </c>
      <c r="C152" s="1283">
        <f t="shared" si="6"/>
        <v>0</v>
      </c>
      <c r="D152" s="48">
        <f t="shared" si="7"/>
        <v>0</v>
      </c>
      <c r="E152" s="48">
        <f t="shared" si="8"/>
        <v>34700</v>
      </c>
      <c r="F152" s="48">
        <f t="shared" si="9"/>
        <v>0</v>
      </c>
      <c r="G152" s="48">
        <f t="shared" si="10"/>
        <v>22900</v>
      </c>
      <c r="H152" s="48"/>
      <c r="I152" s="48">
        <f t="shared" si="11"/>
        <v>54100</v>
      </c>
      <c r="J152" s="48">
        <f t="shared" si="12"/>
        <v>68600</v>
      </c>
      <c r="K152" s="48">
        <f t="shared" si="13"/>
        <v>79700</v>
      </c>
      <c r="L152" s="48">
        <f t="shared" si="19"/>
        <v>48600</v>
      </c>
      <c r="M152" s="48">
        <f t="shared" si="14"/>
        <v>0</v>
      </c>
      <c r="N152" s="48">
        <f t="shared" si="15"/>
        <v>0</v>
      </c>
      <c r="O152" s="48">
        <f t="shared" si="16"/>
        <v>5500</v>
      </c>
      <c r="P152" s="48">
        <f t="shared" si="17"/>
        <v>1000</v>
      </c>
      <c r="Q152" s="48">
        <f t="shared" si="18"/>
        <v>6100</v>
      </c>
      <c r="R152" s="48"/>
      <c r="S152" s="48">
        <f>ROUND(SUM(C152:R152),-3)</f>
        <v>321000</v>
      </c>
      <c r="T152" s="1872">
        <f>S152/D107</f>
        <v>1.2398609501738123</v>
      </c>
      <c r="U152" s="1250"/>
      <c r="V152" s="1250"/>
      <c r="W152" s="1250"/>
      <c r="X152" s="1250"/>
      <c r="Y152" s="1250"/>
      <c r="Z152" s="1250"/>
    </row>
    <row r="153" spans="1:26" x14ac:dyDescent="0.2">
      <c r="A153" s="1250"/>
      <c r="B153" s="1866" t="s">
        <v>532</v>
      </c>
      <c r="C153" s="1283">
        <f t="shared" si="6"/>
        <v>0</v>
      </c>
      <c r="D153" s="48">
        <f t="shared" si="7"/>
        <v>0</v>
      </c>
      <c r="E153" s="48">
        <f t="shared" si="8"/>
        <v>3200</v>
      </c>
      <c r="F153" s="48">
        <f t="shared" si="9"/>
        <v>0</v>
      </c>
      <c r="G153" s="48">
        <f t="shared" si="10"/>
        <v>0</v>
      </c>
      <c r="H153" s="48"/>
      <c r="I153" s="48">
        <f t="shared" si="11"/>
        <v>0</v>
      </c>
      <c r="J153" s="48">
        <f t="shared" si="12"/>
        <v>6400</v>
      </c>
      <c r="K153" s="48">
        <f t="shared" si="13"/>
        <v>7400</v>
      </c>
      <c r="L153" s="48">
        <f t="shared" si="19"/>
        <v>4500</v>
      </c>
      <c r="M153" s="48">
        <f t="shared" si="14"/>
        <v>0</v>
      </c>
      <c r="N153" s="48">
        <f t="shared" si="15"/>
        <v>0</v>
      </c>
      <c r="O153" s="48">
        <f t="shared" si="16"/>
        <v>500</v>
      </c>
      <c r="P153" s="48">
        <f t="shared" si="17"/>
        <v>600</v>
      </c>
      <c r="Q153" s="48">
        <f t="shared" si="18"/>
        <v>600</v>
      </c>
      <c r="R153" s="48"/>
      <c r="S153" s="48"/>
      <c r="T153" s="1872"/>
      <c r="U153" s="1250"/>
      <c r="V153" s="1250"/>
      <c r="W153" s="1250"/>
      <c r="X153" s="1250"/>
      <c r="Y153" s="1250"/>
      <c r="Z153" s="1250"/>
    </row>
    <row r="154" spans="1:26" x14ac:dyDescent="0.2">
      <c r="A154" s="1250"/>
      <c r="B154" s="1866" t="s">
        <v>1932</v>
      </c>
      <c r="C154" s="1283">
        <f t="shared" si="6"/>
        <v>0</v>
      </c>
      <c r="D154" s="48">
        <f t="shared" si="7"/>
        <v>0</v>
      </c>
      <c r="E154" s="48">
        <f t="shared" si="8"/>
        <v>1800</v>
      </c>
      <c r="F154" s="48">
        <f t="shared" si="9"/>
        <v>0</v>
      </c>
      <c r="G154" s="48">
        <f t="shared" si="10"/>
        <v>0</v>
      </c>
      <c r="H154" s="48"/>
      <c r="I154" s="48">
        <f t="shared" si="11"/>
        <v>0</v>
      </c>
      <c r="J154" s="48">
        <f t="shared" si="12"/>
        <v>3600</v>
      </c>
      <c r="K154" s="48">
        <f t="shared" si="13"/>
        <v>4200</v>
      </c>
      <c r="L154" s="48">
        <f t="shared" si="19"/>
        <v>2600</v>
      </c>
      <c r="M154" s="48">
        <f t="shared" si="14"/>
        <v>0</v>
      </c>
      <c r="N154" s="48">
        <f t="shared" si="15"/>
        <v>0</v>
      </c>
      <c r="O154" s="48">
        <f t="shared" si="16"/>
        <v>300</v>
      </c>
      <c r="P154" s="48">
        <f t="shared" si="17"/>
        <v>1300</v>
      </c>
      <c r="Q154" s="48">
        <f t="shared" si="18"/>
        <v>300</v>
      </c>
      <c r="R154" s="48"/>
      <c r="S154" s="48">
        <f t="shared" ref="S154:S159" si="20">ROUND(SUM(C154:R154),-3)</f>
        <v>14000</v>
      </c>
      <c r="T154" s="1872">
        <f t="shared" ref="T154:T159" si="21">S154/D109</f>
        <v>0.05</v>
      </c>
      <c r="U154" s="1250"/>
      <c r="V154" s="1250"/>
      <c r="W154" s="1250"/>
      <c r="X154" s="1250"/>
      <c r="Y154" s="1250"/>
      <c r="Z154" s="1250"/>
    </row>
    <row r="155" spans="1:26" x14ac:dyDescent="0.2">
      <c r="A155" s="1250"/>
      <c r="B155" s="1866" t="s">
        <v>3063</v>
      </c>
      <c r="C155" s="1283">
        <f t="shared" si="6"/>
        <v>0</v>
      </c>
      <c r="D155" s="48">
        <f t="shared" si="7"/>
        <v>111400</v>
      </c>
      <c r="E155" s="48">
        <f t="shared" si="8"/>
        <v>66100</v>
      </c>
      <c r="F155" s="48">
        <f t="shared" si="9"/>
        <v>0</v>
      </c>
      <c r="G155" s="48">
        <f t="shared" si="10"/>
        <v>19700</v>
      </c>
      <c r="H155" s="48"/>
      <c r="I155" s="48">
        <f t="shared" si="11"/>
        <v>50200</v>
      </c>
      <c r="J155" s="48">
        <f t="shared" si="12"/>
        <v>130800</v>
      </c>
      <c r="K155" s="48">
        <f t="shared" si="13"/>
        <v>152000</v>
      </c>
      <c r="L155" s="48">
        <f t="shared" si="19"/>
        <v>92600</v>
      </c>
      <c r="M155" s="48">
        <f t="shared" si="14"/>
        <v>0</v>
      </c>
      <c r="N155" s="48">
        <f t="shared" si="15"/>
        <v>0</v>
      </c>
      <c r="O155" s="48">
        <f t="shared" si="16"/>
        <v>10400</v>
      </c>
      <c r="P155" s="48">
        <f t="shared" si="17"/>
        <v>13700</v>
      </c>
      <c r="Q155" s="48">
        <f t="shared" si="18"/>
        <v>11700</v>
      </c>
      <c r="R155" s="48"/>
      <c r="S155" s="48">
        <f t="shared" si="20"/>
        <v>659000</v>
      </c>
      <c r="T155" s="1872">
        <f t="shared" si="21"/>
        <v>0.16271604938271605</v>
      </c>
      <c r="U155" s="1250"/>
      <c r="V155" s="1250"/>
      <c r="W155" s="1250"/>
      <c r="X155" s="1250"/>
      <c r="Y155" s="1250"/>
      <c r="Z155" s="1250"/>
    </row>
    <row r="156" spans="1:26" x14ac:dyDescent="0.2">
      <c r="A156" s="1250"/>
      <c r="B156" s="1866" t="s">
        <v>2756</v>
      </c>
      <c r="C156" s="1283">
        <f t="shared" si="6"/>
        <v>0</v>
      </c>
      <c r="D156" s="48">
        <f t="shared" si="7"/>
        <v>106200</v>
      </c>
      <c r="E156" s="48">
        <f t="shared" si="8"/>
        <v>63600</v>
      </c>
      <c r="F156" s="48">
        <f t="shared" si="9"/>
        <v>0</v>
      </c>
      <c r="G156" s="48">
        <f t="shared" si="10"/>
        <v>19700</v>
      </c>
      <c r="H156" s="48"/>
      <c r="I156" s="48">
        <f t="shared" si="11"/>
        <v>24600</v>
      </c>
      <c r="J156" s="48">
        <f t="shared" si="12"/>
        <v>125800</v>
      </c>
      <c r="K156" s="48">
        <f t="shared" si="13"/>
        <v>146100</v>
      </c>
      <c r="L156" s="48">
        <f t="shared" si="19"/>
        <v>89000</v>
      </c>
      <c r="M156" s="48">
        <f t="shared" si="14"/>
        <v>0</v>
      </c>
      <c r="N156" s="48">
        <f t="shared" si="15"/>
        <v>0</v>
      </c>
      <c r="O156" s="48">
        <f t="shared" si="16"/>
        <v>10000</v>
      </c>
      <c r="P156" s="48">
        <f t="shared" si="17"/>
        <v>21700</v>
      </c>
      <c r="Q156" s="48">
        <f t="shared" si="18"/>
        <v>11200</v>
      </c>
      <c r="R156" s="48"/>
      <c r="S156" s="48">
        <f t="shared" si="20"/>
        <v>618000</v>
      </c>
      <c r="T156" s="1872">
        <f t="shared" si="21"/>
        <v>0.10559589918838104</v>
      </c>
      <c r="U156" s="1250"/>
      <c r="V156" s="1250"/>
      <c r="W156" s="1250"/>
      <c r="X156" s="1250"/>
      <c r="Y156" s="1250"/>
      <c r="Z156" s="1250"/>
    </row>
    <row r="157" spans="1:26" x14ac:dyDescent="0.2">
      <c r="A157" s="1250"/>
      <c r="B157" s="1866" t="s">
        <v>3527</v>
      </c>
      <c r="C157" s="1283">
        <f t="shared" si="6"/>
        <v>0</v>
      </c>
      <c r="D157" s="48">
        <f t="shared" si="7"/>
        <v>0</v>
      </c>
      <c r="E157" s="48">
        <f t="shared" si="8"/>
        <v>4600</v>
      </c>
      <c r="F157" s="48">
        <f t="shared" si="9"/>
        <v>0</v>
      </c>
      <c r="G157" s="48">
        <f t="shared" si="10"/>
        <v>19700</v>
      </c>
      <c r="H157" s="48"/>
      <c r="I157" s="48">
        <f t="shared" si="11"/>
        <v>19700</v>
      </c>
      <c r="J157" s="48">
        <f t="shared" si="12"/>
        <v>9100</v>
      </c>
      <c r="K157" s="48">
        <f t="shared" si="13"/>
        <v>10600</v>
      </c>
      <c r="L157" s="48">
        <f t="shared" si="19"/>
        <v>6500</v>
      </c>
      <c r="M157" s="48">
        <f t="shared" si="14"/>
        <v>0</v>
      </c>
      <c r="N157" s="48">
        <f t="shared" si="15"/>
        <v>0</v>
      </c>
      <c r="O157" s="48">
        <f t="shared" si="16"/>
        <v>700</v>
      </c>
      <c r="P157" s="48">
        <f t="shared" si="17"/>
        <v>900</v>
      </c>
      <c r="Q157" s="48">
        <f t="shared" si="18"/>
        <v>800</v>
      </c>
      <c r="R157" s="48"/>
      <c r="S157" s="48">
        <f t="shared" si="20"/>
        <v>73000</v>
      </c>
      <c r="T157" s="1872">
        <f t="shared" si="21"/>
        <v>0.27188081936685288</v>
      </c>
      <c r="U157" s="1250"/>
      <c r="V157" s="1250"/>
      <c r="W157" s="1250"/>
      <c r="X157" s="1250"/>
      <c r="Y157" s="1250"/>
      <c r="Z157" s="1250"/>
    </row>
    <row r="158" spans="1:26" x14ac:dyDescent="0.2">
      <c r="A158" s="1250"/>
      <c r="B158" s="1866" t="s">
        <v>1732</v>
      </c>
      <c r="C158" s="1283">
        <f t="shared" si="6"/>
        <v>0</v>
      </c>
      <c r="D158" s="48">
        <f t="shared" si="7"/>
        <v>92900</v>
      </c>
      <c r="E158" s="48">
        <f t="shared" si="8"/>
        <v>105500</v>
      </c>
      <c r="F158" s="48">
        <f t="shared" si="9"/>
        <v>35800</v>
      </c>
      <c r="G158" s="48">
        <f t="shared" si="10"/>
        <v>126100</v>
      </c>
      <c r="H158" s="48"/>
      <c r="I158" s="48">
        <f t="shared" si="11"/>
        <v>96000</v>
      </c>
      <c r="J158" s="48">
        <f t="shared" si="12"/>
        <v>208800</v>
      </c>
      <c r="K158" s="48">
        <f t="shared" si="13"/>
        <v>242500</v>
      </c>
      <c r="L158" s="48">
        <f t="shared" si="19"/>
        <v>147800</v>
      </c>
      <c r="M158" s="48">
        <f t="shared" si="14"/>
        <v>49900</v>
      </c>
      <c r="N158" s="48">
        <f t="shared" si="15"/>
        <v>69000</v>
      </c>
      <c r="O158" s="48">
        <f t="shared" si="16"/>
        <v>16600</v>
      </c>
      <c r="P158" s="48">
        <f t="shared" si="17"/>
        <v>40000</v>
      </c>
      <c r="Q158" s="48">
        <f t="shared" si="18"/>
        <v>18600</v>
      </c>
      <c r="R158" s="48">
        <f>R145</f>
        <v>40300</v>
      </c>
      <c r="S158" s="48">
        <f t="shared" si="20"/>
        <v>1290000</v>
      </c>
      <c r="T158" s="1872">
        <f t="shared" si="21"/>
        <v>0.12014752999031368</v>
      </c>
      <c r="U158" s="1250"/>
      <c r="V158" s="1250"/>
      <c r="W158" s="1250"/>
      <c r="X158" s="1250"/>
      <c r="Y158" s="1250"/>
      <c r="Z158" s="1250"/>
    </row>
    <row r="159" spans="1:26" ht="13.5" thickBot="1" x14ac:dyDescent="0.25">
      <c r="A159" s="1250"/>
      <c r="B159" s="1866" t="s">
        <v>3289</v>
      </c>
      <c r="C159" s="1283">
        <f t="shared" si="6"/>
        <v>0</v>
      </c>
      <c r="D159" s="48">
        <f t="shared" si="7"/>
        <v>91600</v>
      </c>
      <c r="E159" s="48">
        <f t="shared" si="8"/>
        <v>168400</v>
      </c>
      <c r="F159" s="48">
        <f t="shared" si="9"/>
        <v>80200</v>
      </c>
      <c r="G159" s="48">
        <f t="shared" si="10"/>
        <v>126100</v>
      </c>
      <c r="H159" s="48"/>
      <c r="I159" s="48">
        <f t="shared" si="11"/>
        <v>96000</v>
      </c>
      <c r="J159" s="48">
        <f t="shared" si="12"/>
        <v>333100</v>
      </c>
      <c r="K159" s="48">
        <f t="shared" si="13"/>
        <v>387000</v>
      </c>
      <c r="L159" s="48">
        <f t="shared" si="19"/>
        <v>235800</v>
      </c>
      <c r="M159" s="48">
        <f t="shared" si="14"/>
        <v>111700</v>
      </c>
      <c r="N159" s="48">
        <f t="shared" si="15"/>
        <v>154500</v>
      </c>
      <c r="O159" s="48">
        <f t="shared" si="16"/>
        <v>26500</v>
      </c>
      <c r="P159" s="48">
        <f t="shared" si="17"/>
        <v>58400</v>
      </c>
      <c r="Q159" s="48">
        <f t="shared" si="18"/>
        <v>29700</v>
      </c>
      <c r="R159" s="48">
        <f>R158</f>
        <v>40300</v>
      </c>
      <c r="S159" s="48">
        <f t="shared" si="20"/>
        <v>1939000</v>
      </c>
      <c r="T159" s="1872">
        <f t="shared" si="21"/>
        <v>0.12628301985098733</v>
      </c>
      <c r="U159" s="1250"/>
      <c r="V159" s="1250"/>
      <c r="W159" s="1250"/>
      <c r="X159" s="1250"/>
      <c r="Y159" s="1250"/>
      <c r="Z159" s="1250"/>
    </row>
    <row r="160" spans="1:26" ht="13.5" thickBot="1" x14ac:dyDescent="0.25">
      <c r="A160" s="1250"/>
      <c r="B160" s="1873" t="s">
        <v>2615</v>
      </c>
      <c r="C160" s="1874">
        <f>SUM(C128:C159)</f>
        <v>0</v>
      </c>
      <c r="D160" s="1849">
        <f>SUM(D128:D159)</f>
        <v>521600</v>
      </c>
      <c r="E160" s="1849">
        <f>SUM(E128:E159)</f>
        <v>869000</v>
      </c>
      <c r="F160" s="1849">
        <f>SUM(F128:F159)</f>
        <v>338400</v>
      </c>
      <c r="G160" s="1849">
        <f>SUM(G128:G159)</f>
        <v>1775400</v>
      </c>
      <c r="H160" s="1849"/>
      <c r="I160" s="1849">
        <f>SUM(I128:I159)</f>
        <v>1282200</v>
      </c>
      <c r="J160" s="1849">
        <f>SUM(J128:J159)</f>
        <v>1719700</v>
      </c>
      <c r="K160" s="1849">
        <f>SUM(K133:K159)</f>
        <v>1997500</v>
      </c>
      <c r="L160" s="1849">
        <f t="shared" ref="L160:S160" si="22">SUM(L128:L159)</f>
        <v>976400</v>
      </c>
      <c r="M160" s="1849">
        <f t="shared" si="22"/>
        <v>471400</v>
      </c>
      <c r="N160" s="1849">
        <f t="shared" si="22"/>
        <v>652000</v>
      </c>
      <c r="O160" s="1849">
        <f t="shared" si="22"/>
        <v>136700</v>
      </c>
      <c r="P160" s="1849">
        <f t="shared" si="22"/>
        <v>194800</v>
      </c>
      <c r="Q160" s="1849">
        <f t="shared" si="22"/>
        <v>153100</v>
      </c>
      <c r="R160" s="1849">
        <f t="shared" si="22"/>
        <v>120900</v>
      </c>
      <c r="S160" s="1849">
        <f t="shared" si="22"/>
        <v>5491000</v>
      </c>
      <c r="T160" s="1875">
        <f>S160/J115</f>
        <v>5.929318975980373E-2</v>
      </c>
      <c r="U160" s="1250"/>
      <c r="V160" s="1250"/>
      <c r="W160" s="1250"/>
      <c r="X160" s="1250"/>
      <c r="Y160" s="1250"/>
      <c r="Z160" s="1250"/>
    </row>
    <row r="161" spans="1:28" x14ac:dyDescent="0.2">
      <c r="A161" s="1250"/>
      <c r="B161" s="1876"/>
      <c r="C161" s="1821"/>
      <c r="D161" s="63"/>
      <c r="E161" s="63"/>
      <c r="F161" s="63"/>
      <c r="G161" s="63"/>
      <c r="H161" s="63"/>
      <c r="I161" s="63"/>
      <c r="J161" s="63"/>
      <c r="K161" s="63"/>
      <c r="L161" s="63"/>
      <c r="M161" s="63"/>
      <c r="N161" s="63"/>
      <c r="O161" s="63"/>
      <c r="P161" s="63"/>
      <c r="Q161" s="63"/>
      <c r="R161" s="63"/>
      <c r="S161" s="63"/>
      <c r="T161" s="1062"/>
      <c r="U161" s="1250"/>
      <c r="V161" s="1250"/>
      <c r="W161" s="1250"/>
      <c r="X161" s="1250"/>
      <c r="Y161" s="1250"/>
      <c r="Z161" s="1250"/>
    </row>
    <row r="162" spans="1:28" x14ac:dyDescent="0.2">
      <c r="A162" s="1250"/>
      <c r="B162" s="1876" t="s">
        <v>3739</v>
      </c>
      <c r="C162" s="1821">
        <f>ROUND(C160/$F$115,-2)</f>
        <v>0</v>
      </c>
      <c r="D162" s="63">
        <f t="shared" ref="D162:F162" si="23">ROUND(D160/$F$115,-2)</f>
        <v>1800</v>
      </c>
      <c r="E162" s="63">
        <f t="shared" si="23"/>
        <v>3100</v>
      </c>
      <c r="F162" s="63">
        <f t="shared" si="23"/>
        <v>1200</v>
      </c>
      <c r="G162" s="63">
        <f>ROUND(G160/$F$115,-2)</f>
        <v>6200</v>
      </c>
      <c r="H162" s="63"/>
      <c r="I162" s="63">
        <f t="shared" ref="I162:S162" si="24">ROUND(I160/$F$115,-2)</f>
        <v>4500</v>
      </c>
      <c r="J162" s="63">
        <f t="shared" si="24"/>
        <v>6000</v>
      </c>
      <c r="K162" s="63">
        <f t="shared" si="24"/>
        <v>7000</v>
      </c>
      <c r="L162" s="63">
        <f t="shared" si="24"/>
        <v>3400</v>
      </c>
      <c r="M162" s="63">
        <f t="shared" si="24"/>
        <v>1700</v>
      </c>
      <c r="N162" s="63">
        <f t="shared" si="24"/>
        <v>2300</v>
      </c>
      <c r="O162" s="63">
        <f t="shared" si="24"/>
        <v>500</v>
      </c>
      <c r="P162" s="63">
        <f t="shared" si="24"/>
        <v>700</v>
      </c>
      <c r="Q162" s="63">
        <f t="shared" si="24"/>
        <v>500</v>
      </c>
      <c r="R162" s="63">
        <f t="shared" si="24"/>
        <v>400</v>
      </c>
      <c r="S162" s="63">
        <f t="shared" si="24"/>
        <v>19300</v>
      </c>
      <c r="T162" s="1062"/>
      <c r="U162" s="1250"/>
      <c r="V162" s="1250"/>
      <c r="W162" s="1250"/>
      <c r="X162" s="1250"/>
      <c r="Y162" s="1250"/>
      <c r="Z162" s="1250"/>
    </row>
    <row r="163" spans="1:28" ht="13.5" thickBot="1" x14ac:dyDescent="0.25">
      <c r="A163" s="1250"/>
      <c r="B163" s="1868"/>
      <c r="C163" s="1823"/>
      <c r="D163" s="1098"/>
      <c r="E163" s="1098"/>
      <c r="F163" s="1098"/>
      <c r="G163" s="1098"/>
      <c r="H163" s="1098"/>
      <c r="I163" s="1098"/>
      <c r="J163" s="1098"/>
      <c r="K163" s="1098"/>
      <c r="L163" s="1098"/>
      <c r="M163" s="1098"/>
      <c r="N163" s="1098"/>
      <c r="O163" s="1098"/>
      <c r="P163" s="1098"/>
      <c r="Q163" s="1098"/>
      <c r="R163" s="1098"/>
      <c r="S163" s="1098"/>
      <c r="T163" s="1099"/>
      <c r="U163" s="1250"/>
      <c r="V163" s="1250"/>
      <c r="W163" s="1250"/>
      <c r="X163" s="1250"/>
      <c r="Y163" s="1250"/>
      <c r="Z163" s="1250"/>
    </row>
    <row r="164" spans="1:28" x14ac:dyDescent="0.2">
      <c r="A164" s="1250"/>
      <c r="B164" s="1866"/>
      <c r="C164" s="1821"/>
      <c r="D164" s="63"/>
      <c r="E164" s="63"/>
      <c r="F164" s="63"/>
      <c r="G164" s="63"/>
      <c r="H164" s="63"/>
      <c r="I164" s="63"/>
      <c r="J164" s="63"/>
      <c r="K164" s="63"/>
      <c r="L164" s="63"/>
      <c r="M164" s="63"/>
      <c r="N164" s="63"/>
      <c r="O164" s="63"/>
      <c r="P164" s="63"/>
      <c r="Q164" s="63"/>
      <c r="R164" s="63"/>
      <c r="S164" s="63"/>
      <c r="T164" s="1062"/>
      <c r="U164" s="1250"/>
      <c r="V164" s="1250"/>
      <c r="W164" s="1250"/>
      <c r="X164" s="1250"/>
      <c r="Y164" s="1250"/>
      <c r="Z164" s="1250"/>
    </row>
    <row r="165" spans="1:28" x14ac:dyDescent="0.2">
      <c r="A165" s="1250"/>
      <c r="B165" s="1877" t="s">
        <v>400</v>
      </c>
      <c r="C165" s="1821">
        <f t="shared" ref="C165:P165" si="25">C160-C167</f>
        <v>0</v>
      </c>
      <c r="D165" s="63">
        <f t="shared" si="25"/>
        <v>-100</v>
      </c>
      <c r="E165" s="63">
        <f t="shared" si="25"/>
        <v>-300</v>
      </c>
      <c r="F165" s="63">
        <f t="shared" si="25"/>
        <v>0</v>
      </c>
      <c r="G165" s="63">
        <f t="shared" si="25"/>
        <v>200</v>
      </c>
      <c r="H165" s="63"/>
      <c r="I165" s="63">
        <f t="shared" si="25"/>
        <v>0</v>
      </c>
      <c r="J165" s="63">
        <f t="shared" si="25"/>
        <v>-38400</v>
      </c>
      <c r="K165" s="63">
        <f t="shared" si="25"/>
        <v>-100</v>
      </c>
      <c r="L165" s="63">
        <f t="shared" si="25"/>
        <v>200</v>
      </c>
      <c r="M165" s="63">
        <f t="shared" si="25"/>
        <v>0</v>
      </c>
      <c r="N165" s="63">
        <f t="shared" si="25"/>
        <v>0</v>
      </c>
      <c r="O165" s="63">
        <f t="shared" si="25"/>
        <v>-300</v>
      </c>
      <c r="P165" s="63">
        <f t="shared" si="25"/>
        <v>0</v>
      </c>
      <c r="Q165" s="63">
        <f>Q160-Q167</f>
        <v>-100</v>
      </c>
      <c r="R165" s="63">
        <f>R160-R167</f>
        <v>-100</v>
      </c>
      <c r="S165" s="1189"/>
      <c r="T165" s="1878"/>
      <c r="U165" s="1250"/>
      <c r="V165" s="1250"/>
      <c r="W165" s="1250"/>
      <c r="X165" s="1250"/>
      <c r="Y165" s="1250"/>
      <c r="Z165" s="1250"/>
    </row>
    <row r="166" spans="1:28" x14ac:dyDescent="0.2">
      <c r="A166" s="1250"/>
      <c r="B166" s="1879"/>
      <c r="C166" s="1821"/>
      <c r="D166" s="63"/>
      <c r="E166" s="63"/>
      <c r="F166" s="63"/>
      <c r="G166" s="63"/>
      <c r="H166" s="63"/>
      <c r="I166" s="63"/>
      <c r="J166" s="63"/>
      <c r="K166" s="63"/>
      <c r="L166" s="63"/>
      <c r="M166" s="63"/>
      <c r="N166" s="63"/>
      <c r="O166" s="63"/>
      <c r="P166" s="63"/>
      <c r="Q166" s="63"/>
      <c r="R166" s="63"/>
      <c r="S166" s="1189"/>
      <c r="T166" s="1878"/>
      <c r="U166" s="1250"/>
      <c r="V166" s="1250"/>
      <c r="W166" s="1250"/>
      <c r="X166" s="1250"/>
      <c r="Y166" s="1250"/>
      <c r="Z166" s="1250"/>
    </row>
    <row r="167" spans="1:28" x14ac:dyDescent="0.2">
      <c r="A167" s="1250"/>
      <c r="B167" s="1876" t="s">
        <v>3642</v>
      </c>
      <c r="C167" s="1821">
        <f>ROUND(E23,-2)</f>
        <v>0</v>
      </c>
      <c r="D167" s="63">
        <f>D24</f>
        <v>521700</v>
      </c>
      <c r="E167" s="63">
        <f>D25</f>
        <v>869300</v>
      </c>
      <c r="F167" s="63">
        <f>D26</f>
        <v>338400</v>
      </c>
      <c r="G167" s="63">
        <f>D27</f>
        <v>1775200</v>
      </c>
      <c r="H167" s="63"/>
      <c r="I167" s="63">
        <f>D28</f>
        <v>1282200</v>
      </c>
      <c r="J167" s="63">
        <f>D29</f>
        <v>1758100</v>
      </c>
      <c r="K167" s="63">
        <f>D30</f>
        <v>1997600</v>
      </c>
      <c r="L167" s="63">
        <f>D31</f>
        <v>976200</v>
      </c>
      <c r="M167" s="63">
        <f>D32</f>
        <v>471400</v>
      </c>
      <c r="N167" s="63">
        <f>D33</f>
        <v>652000</v>
      </c>
      <c r="O167" s="63">
        <f>D34</f>
        <v>137000</v>
      </c>
      <c r="P167" s="63">
        <f>D35</f>
        <v>194800</v>
      </c>
      <c r="Q167" s="63">
        <f>D36</f>
        <v>153200</v>
      </c>
      <c r="R167" s="63">
        <f>D37</f>
        <v>121000</v>
      </c>
      <c r="S167" s="63">
        <f>SUM(C167:R167)</f>
        <v>11248100</v>
      </c>
      <c r="T167" s="1062"/>
      <c r="U167" s="1250"/>
      <c r="V167" s="1250"/>
      <c r="W167" s="1250"/>
      <c r="X167" s="1250"/>
      <c r="Y167" s="1250"/>
      <c r="Z167" s="1250"/>
    </row>
    <row r="168" spans="1:28" ht="13.5" thickBot="1" x14ac:dyDescent="0.25">
      <c r="A168" s="1250"/>
      <c r="B168" s="1880"/>
      <c r="C168" s="1857"/>
      <c r="D168" s="1860"/>
      <c r="E168" s="1870"/>
      <c r="F168" s="1870"/>
      <c r="G168" s="1860"/>
      <c r="H168" s="1860"/>
      <c r="I168" s="1860"/>
      <c r="J168" s="1860"/>
      <c r="K168" s="1860"/>
      <c r="L168" s="1860"/>
      <c r="M168" s="1860"/>
      <c r="N168" s="1860"/>
      <c r="O168" s="1860"/>
      <c r="P168" s="1860"/>
      <c r="Q168" s="1860"/>
      <c r="R168" s="1860"/>
      <c r="S168" s="1860"/>
      <c r="T168" s="1881"/>
      <c r="U168" s="1250"/>
      <c r="V168" s="1250"/>
      <c r="W168" s="1250"/>
      <c r="X168" s="1250"/>
      <c r="Y168" s="1250"/>
      <c r="Z168" s="1250"/>
    </row>
    <row r="169" spans="1:28" ht="13.5" thickBot="1" x14ac:dyDescent="0.25">
      <c r="A169" s="1250"/>
      <c r="B169" s="1843"/>
      <c r="C169" s="1250"/>
      <c r="D169" s="1250"/>
      <c r="E169" s="1250"/>
      <c r="F169" s="1250"/>
      <c r="G169" s="1728"/>
      <c r="H169" s="1728"/>
      <c r="I169" s="1250"/>
      <c r="J169" s="1250"/>
      <c r="K169" s="1250"/>
      <c r="L169" s="1250"/>
      <c r="M169" s="1250"/>
      <c r="N169" s="115"/>
      <c r="O169" s="115"/>
      <c r="P169" s="1250"/>
      <c r="Q169" s="1250"/>
      <c r="R169" s="1250"/>
      <c r="S169" s="1250"/>
      <c r="T169" s="1250"/>
      <c r="U169" s="1250"/>
      <c r="V169" s="1250"/>
      <c r="W169" s="1250"/>
    </row>
    <row r="170" spans="1:28" ht="13.5" thickBot="1" x14ac:dyDescent="0.25">
      <c r="A170" s="1863"/>
      <c r="B170" s="1863"/>
      <c r="C170" s="2724" t="s">
        <v>5928</v>
      </c>
      <c r="D170" s="2725"/>
      <c r="E170" s="2725"/>
      <c r="F170" s="2725"/>
      <c r="G170" s="2725"/>
      <c r="H170" s="2725"/>
      <c r="I170" s="2725"/>
      <c r="J170" s="2725"/>
      <c r="K170" s="2725"/>
      <c r="L170" s="2725"/>
      <c r="M170" s="2725"/>
      <c r="N170" s="2725"/>
      <c r="O170" s="2725"/>
      <c r="P170" s="2725"/>
      <c r="Q170" s="2725"/>
      <c r="R170" s="2725"/>
      <c r="S170" s="2725"/>
      <c r="T170" s="2726"/>
      <c r="V170" s="1250"/>
      <c r="W170" s="1250"/>
      <c r="X170" s="1250"/>
      <c r="Y170" s="1250"/>
      <c r="Z170" s="1250"/>
      <c r="AA170" s="1250"/>
      <c r="AB170" s="1250"/>
    </row>
    <row r="171" spans="1:28" ht="13.5" thickBot="1" x14ac:dyDescent="0.25">
      <c r="A171" s="1250"/>
      <c r="B171" s="1864" t="str">
        <f t="shared" ref="B171:B204" si="26">B127</f>
        <v>Item</v>
      </c>
      <c r="C171" s="1835" t="s">
        <v>3557</v>
      </c>
      <c r="D171" s="499" t="s">
        <v>3628</v>
      </c>
      <c r="E171" s="499" t="s">
        <v>3558</v>
      </c>
      <c r="F171" s="499" t="s">
        <v>3647</v>
      </c>
      <c r="G171" s="499" t="s">
        <v>3737</v>
      </c>
      <c r="H171" s="499"/>
      <c r="I171" s="499" t="s">
        <v>3559</v>
      </c>
      <c r="J171" s="1296" t="s">
        <v>3743</v>
      </c>
      <c r="K171" s="1296" t="s">
        <v>3645</v>
      </c>
      <c r="L171" s="499" t="s">
        <v>3643</v>
      </c>
      <c r="M171" s="499" t="s">
        <v>3644</v>
      </c>
      <c r="N171" s="499" t="s">
        <v>3809</v>
      </c>
      <c r="O171" s="499" t="s">
        <v>3726</v>
      </c>
      <c r="P171" s="499" t="s">
        <v>3736</v>
      </c>
      <c r="Q171" s="499" t="s">
        <v>3733</v>
      </c>
      <c r="R171" s="499" t="s">
        <v>3734</v>
      </c>
      <c r="S171" s="499" t="s">
        <v>1504</v>
      </c>
      <c r="T171" s="1865" t="s">
        <v>3740</v>
      </c>
      <c r="U171" s="1250"/>
      <c r="V171" s="1250"/>
      <c r="W171" s="1250"/>
      <c r="X171" s="1250"/>
      <c r="Y171" s="1250"/>
      <c r="Z171" s="1250"/>
    </row>
    <row r="172" spans="1:28" x14ac:dyDescent="0.2">
      <c r="A172" s="1250"/>
      <c r="B172" s="1866" t="str">
        <f t="shared" si="26"/>
        <v>Governance</v>
      </c>
      <c r="C172" s="1283"/>
      <c r="D172" s="48"/>
      <c r="E172" s="48"/>
      <c r="F172" s="48"/>
      <c r="G172" s="48"/>
      <c r="H172" s="48"/>
      <c r="I172" s="48"/>
      <c r="J172" s="48"/>
      <c r="K172" s="48"/>
      <c r="L172" s="48"/>
      <c r="M172" s="48"/>
      <c r="N172" s="48"/>
      <c r="O172" s="48"/>
      <c r="P172" s="48"/>
      <c r="Q172" s="48"/>
      <c r="R172" s="48"/>
      <c r="S172" s="48"/>
      <c r="T172" s="1867"/>
      <c r="U172" s="1250"/>
      <c r="V172" s="1250"/>
      <c r="W172" s="1250"/>
      <c r="X172" s="1250"/>
      <c r="Y172" s="1250"/>
      <c r="Z172" s="1250"/>
    </row>
    <row r="173" spans="1:28" x14ac:dyDescent="0.2">
      <c r="A173" s="1250"/>
      <c r="B173" s="1866" t="str">
        <f t="shared" si="26"/>
        <v>Administrative Services</v>
      </c>
      <c r="C173" s="1283"/>
      <c r="D173" s="48"/>
      <c r="E173" s="48"/>
      <c r="F173" s="48"/>
      <c r="G173" s="48"/>
      <c r="H173" s="48"/>
      <c r="I173" s="48"/>
      <c r="J173" s="48"/>
      <c r="K173" s="48"/>
      <c r="L173" s="48"/>
      <c r="M173" s="48"/>
      <c r="N173" s="48"/>
      <c r="O173" s="48"/>
      <c r="P173" s="48"/>
      <c r="Q173" s="48"/>
      <c r="R173" s="48"/>
      <c r="S173" s="48"/>
      <c r="T173" s="1867"/>
      <c r="U173" s="1250"/>
      <c r="V173" s="1250"/>
      <c r="W173" s="1250"/>
      <c r="X173" s="1250"/>
      <c r="Y173" s="1250"/>
      <c r="Z173" s="1250"/>
    </row>
    <row r="174" spans="1:28" x14ac:dyDescent="0.2">
      <c r="A174" s="1250"/>
      <c r="B174" s="1866" t="str">
        <f t="shared" si="26"/>
        <v>Financial Services</v>
      </c>
      <c r="C174" s="1283"/>
      <c r="D174" s="48">
        <f>ROUND(L85/($L$115)*$E$24,-2)</f>
        <v>118300</v>
      </c>
      <c r="E174" s="48"/>
      <c r="F174" s="48"/>
      <c r="G174" s="48"/>
      <c r="H174" s="48"/>
      <c r="I174" s="48"/>
      <c r="J174" s="48"/>
      <c r="K174" s="48"/>
      <c r="L174" s="48"/>
      <c r="M174" s="48"/>
      <c r="N174" s="48"/>
      <c r="O174" s="48"/>
      <c r="P174" s="48"/>
      <c r="Q174" s="48"/>
      <c r="R174" s="48"/>
      <c r="S174" s="48"/>
      <c r="T174" s="1867"/>
      <c r="U174" s="1250"/>
      <c r="V174" s="1250"/>
      <c r="W174" s="1250"/>
      <c r="X174" s="1250"/>
      <c r="Y174" s="1250"/>
      <c r="Z174" s="1250"/>
    </row>
    <row r="175" spans="1:28" x14ac:dyDescent="0.2">
      <c r="A175" s="1250"/>
      <c r="B175" s="1866" t="str">
        <f t="shared" si="26"/>
        <v>Information Services</v>
      </c>
      <c r="C175" s="1283"/>
      <c r="D175" s="48"/>
      <c r="E175" s="48"/>
      <c r="F175" s="48"/>
      <c r="G175" s="48"/>
      <c r="H175" s="48"/>
      <c r="I175" s="48"/>
      <c r="J175" s="48"/>
      <c r="K175" s="48"/>
      <c r="L175" s="48"/>
      <c r="M175" s="48"/>
      <c r="N175" s="48"/>
      <c r="O175" s="48"/>
      <c r="P175" s="48"/>
      <c r="Q175" s="48"/>
      <c r="R175" s="48"/>
      <c r="S175" s="48"/>
      <c r="T175" s="1867"/>
      <c r="U175" s="1250"/>
      <c r="V175" s="1250"/>
      <c r="W175" s="1250"/>
      <c r="X175" s="1250"/>
      <c r="Y175" s="1250"/>
      <c r="Z175" s="1250"/>
    </row>
    <row r="176" spans="1:28" ht="13.5" thickBot="1" x14ac:dyDescent="0.25">
      <c r="A176" s="1250"/>
      <c r="B176" s="1868" t="str">
        <f t="shared" si="26"/>
        <v>Human Resources and Risk</v>
      </c>
      <c r="C176" s="1869"/>
      <c r="D176" s="1870"/>
      <c r="E176" s="1870"/>
      <c r="F176" s="1870"/>
      <c r="G176" s="1870"/>
      <c r="H176" s="1870"/>
      <c r="I176" s="1870"/>
      <c r="J176" s="1870"/>
      <c r="K176" s="1870"/>
      <c r="L176" s="1870"/>
      <c r="M176" s="1870"/>
      <c r="N176" s="1870"/>
      <c r="O176" s="1870"/>
      <c r="P176" s="1870"/>
      <c r="Q176" s="1870"/>
      <c r="R176" s="1870"/>
      <c r="S176" s="1870"/>
      <c r="T176" s="1871"/>
      <c r="U176" s="1250"/>
      <c r="V176" s="1250"/>
      <c r="W176" s="1250"/>
      <c r="X176" s="1250"/>
      <c r="Y176" s="1250"/>
      <c r="Z176" s="1250"/>
    </row>
    <row r="177" spans="1:26" x14ac:dyDescent="0.2">
      <c r="A177" s="1250"/>
      <c r="B177" s="1866" t="str">
        <f t="shared" si="26"/>
        <v>Property Management</v>
      </c>
      <c r="C177" s="1283">
        <f t="shared" ref="C177:C203" si="27">ROUND(J88/($J$115-SUM($J$83:$J$87))*$E$23,-2)</f>
        <v>0</v>
      </c>
      <c r="D177" s="48">
        <f t="shared" ref="D177:D203" si="28">ROUND(L88/($L$115)*$E$24,-2)</f>
        <v>0</v>
      </c>
      <c r="E177" s="48">
        <f t="shared" ref="E177:E203" si="29">ROUND((J88/($J$115-SUM($J$83:$J$87)))*($E$25+$D$174),-2)</f>
        <v>30300</v>
      </c>
      <c r="F177" s="48">
        <f t="shared" ref="F177:F203" si="30">ROUND(O88/$O$115*$E$26,-2)</f>
        <v>0</v>
      </c>
      <c r="G177" s="48">
        <f t="shared" ref="G177:G203" si="31">ROUND(N88/($N$115-SUM($N$83:$N$87))*($E$27),-2)</f>
        <v>22700</v>
      </c>
      <c r="H177" s="48"/>
      <c r="I177" s="48">
        <f t="shared" ref="I177:I203" si="32">ROUND(M88/($M$115-SUM($M$83:$M$87))*($E$28),-2)</f>
        <v>6000</v>
      </c>
      <c r="J177" s="48">
        <f t="shared" ref="J177:J203" si="33">ROUND(J88/($J$115-SUM($J$83:$J$87))*$E$29,-2)</f>
        <v>34700</v>
      </c>
      <c r="K177" s="48">
        <f t="shared" ref="K177:K203" si="34">ROUND(J88/($J$115-SUM($J$83:$J$87))*($E$30),-2)</f>
        <v>80400</v>
      </c>
      <c r="L177" s="48"/>
      <c r="M177" s="48">
        <f t="shared" ref="M177:M203" si="35">ROUND(O88/$O$115*$E$32,-2)</f>
        <v>0</v>
      </c>
      <c r="N177" s="48" t="e">
        <f t="shared" ref="N177:N203" si="36">ROUND(O88/$O$115*$E$33,-2)</f>
        <v>#REF!</v>
      </c>
      <c r="O177" s="48">
        <f t="shared" ref="O177:O203" si="37">ROUND(J88/($J$115-SUM($J$83:$J$87))*($E$34),-2)</f>
        <v>4300</v>
      </c>
      <c r="P177" s="48">
        <f t="shared" ref="P177:P203" si="38">ROUND(K88/SUM($K$88:$K$114)*$E$35,-2)</f>
        <v>8000</v>
      </c>
      <c r="Q177" s="48">
        <f t="shared" ref="Q177:Q203" si="39">ROUND(J88/($J$115-SUM($J$83:$J$87))*($E$36),-2)</f>
        <v>0</v>
      </c>
      <c r="R177" s="48"/>
      <c r="S177" s="48" t="e">
        <f>ROUND(SUM(C177:R177),-3)</f>
        <v>#REF!</v>
      </c>
      <c r="T177" s="1872" t="e">
        <f>S177/J88</f>
        <v>#REF!</v>
      </c>
      <c r="U177" s="1250"/>
      <c r="V177" s="1250"/>
      <c r="W177" s="1250"/>
      <c r="X177" s="1250"/>
      <c r="Y177" s="1250"/>
      <c r="Z177" s="1250"/>
    </row>
    <row r="178" spans="1:26" x14ac:dyDescent="0.2">
      <c r="A178" s="1250"/>
      <c r="B178" s="1866" t="str">
        <f t="shared" si="26"/>
        <v>Flat Rock</v>
      </c>
      <c r="C178" s="1283">
        <f t="shared" si="27"/>
        <v>0</v>
      </c>
      <c r="D178" s="48">
        <f t="shared" si="28"/>
        <v>0</v>
      </c>
      <c r="E178" s="48">
        <f t="shared" si="29"/>
        <v>3000</v>
      </c>
      <c r="F178" s="48">
        <f t="shared" si="30"/>
        <v>0</v>
      </c>
      <c r="G178" s="48">
        <f t="shared" si="31"/>
        <v>6500</v>
      </c>
      <c r="H178" s="48"/>
      <c r="I178" s="48">
        <f t="shared" si="32"/>
        <v>0</v>
      </c>
      <c r="J178" s="48">
        <f t="shared" si="33"/>
        <v>3400</v>
      </c>
      <c r="K178" s="48">
        <f t="shared" si="34"/>
        <v>7900</v>
      </c>
      <c r="L178" s="48"/>
      <c r="M178" s="48">
        <f t="shared" si="35"/>
        <v>0</v>
      </c>
      <c r="N178" s="48" t="e">
        <f t="shared" si="36"/>
        <v>#REF!</v>
      </c>
      <c r="O178" s="48">
        <f t="shared" si="37"/>
        <v>400</v>
      </c>
      <c r="P178" s="48">
        <f t="shared" si="38"/>
        <v>1600</v>
      </c>
      <c r="Q178" s="48">
        <f t="shared" si="39"/>
        <v>0</v>
      </c>
      <c r="R178" s="48"/>
      <c r="S178" s="48" t="e">
        <f>ROUND(SUM(C178:R178),-3)</f>
        <v>#REF!</v>
      </c>
      <c r="T178" s="1872" t="e">
        <f>S178/J89</f>
        <v>#REF!</v>
      </c>
      <c r="U178" s="1250"/>
      <c r="V178" s="1250"/>
      <c r="W178" s="1250"/>
      <c r="X178" s="1250"/>
      <c r="Y178" s="1250"/>
      <c r="Z178" s="1250"/>
    </row>
    <row r="179" spans="1:26" x14ac:dyDescent="0.2">
      <c r="A179" s="1250"/>
      <c r="B179" s="1866" t="str">
        <f t="shared" si="26"/>
        <v>Ballina Byron Gateway Airport</v>
      </c>
      <c r="C179" s="1283">
        <f t="shared" si="27"/>
        <v>0</v>
      </c>
      <c r="D179" s="48">
        <f t="shared" si="28"/>
        <v>0</v>
      </c>
      <c r="E179" s="48">
        <f t="shared" si="29"/>
        <v>50700</v>
      </c>
      <c r="F179" s="48">
        <f t="shared" si="30"/>
        <v>0</v>
      </c>
      <c r="G179" s="48">
        <f t="shared" si="31"/>
        <v>71300</v>
      </c>
      <c r="H179" s="48"/>
      <c r="I179" s="48">
        <f t="shared" si="32"/>
        <v>18000</v>
      </c>
      <c r="J179" s="48">
        <f t="shared" si="33"/>
        <v>58100</v>
      </c>
      <c r="K179" s="48">
        <f t="shared" si="34"/>
        <v>134600</v>
      </c>
      <c r="L179" s="48"/>
      <c r="M179" s="48">
        <f t="shared" si="35"/>
        <v>0</v>
      </c>
      <c r="N179" s="48" t="e">
        <f t="shared" si="36"/>
        <v>#REF!</v>
      </c>
      <c r="O179" s="48">
        <f t="shared" si="37"/>
        <v>7200</v>
      </c>
      <c r="P179" s="48">
        <f t="shared" si="38"/>
        <v>18900</v>
      </c>
      <c r="Q179" s="48">
        <f t="shared" si="39"/>
        <v>0</v>
      </c>
      <c r="R179" s="48"/>
      <c r="S179" s="48" t="e">
        <f>ROUND(SUM(C179:R179),-3)</f>
        <v>#REF!</v>
      </c>
      <c r="T179" s="1872" t="e">
        <f>S179/J90</f>
        <v>#REF!</v>
      </c>
      <c r="U179" s="1250"/>
      <c r="V179" s="1250"/>
      <c r="W179" s="1250"/>
      <c r="X179" s="1250"/>
      <c r="Y179" s="1250"/>
      <c r="Z179" s="1250"/>
    </row>
    <row r="180" spans="1:26" x14ac:dyDescent="0.2">
      <c r="A180" s="1250"/>
      <c r="B180" s="1866" t="str">
        <f t="shared" si="26"/>
        <v>Strategic Planning</v>
      </c>
      <c r="C180" s="1283">
        <f t="shared" si="27"/>
        <v>0</v>
      </c>
      <c r="D180" s="48">
        <f t="shared" si="28"/>
        <v>0</v>
      </c>
      <c r="E180" s="48">
        <f t="shared" si="29"/>
        <v>13500</v>
      </c>
      <c r="F180" s="48">
        <f t="shared" si="30"/>
        <v>0</v>
      </c>
      <c r="G180" s="48">
        <f t="shared" si="31"/>
        <v>81100</v>
      </c>
      <c r="H180" s="48"/>
      <c r="I180" s="48">
        <f t="shared" si="32"/>
        <v>0</v>
      </c>
      <c r="J180" s="48">
        <f t="shared" si="33"/>
        <v>15500</v>
      </c>
      <c r="K180" s="48">
        <f t="shared" si="34"/>
        <v>35900</v>
      </c>
      <c r="L180" s="48"/>
      <c r="M180" s="48">
        <f t="shared" si="35"/>
        <v>0</v>
      </c>
      <c r="N180" s="48" t="e">
        <f t="shared" si="36"/>
        <v>#REF!</v>
      </c>
      <c r="O180" s="48">
        <f t="shared" si="37"/>
        <v>1900</v>
      </c>
      <c r="P180" s="48">
        <f t="shared" si="38"/>
        <v>1300</v>
      </c>
      <c r="Q180" s="48">
        <f t="shared" si="39"/>
        <v>0</v>
      </c>
      <c r="R180" s="48"/>
      <c r="S180" s="48"/>
      <c r="T180" s="1872"/>
      <c r="U180" s="1250"/>
      <c r="V180" s="1250"/>
      <c r="W180" s="1250"/>
      <c r="X180" s="1250"/>
      <c r="Y180" s="1250"/>
      <c r="Z180" s="1250"/>
    </row>
    <row r="181" spans="1:26" x14ac:dyDescent="0.2">
      <c r="A181" s="1250"/>
      <c r="B181" s="1866" t="str">
        <f t="shared" si="26"/>
        <v>Community Centres and Halls</v>
      </c>
      <c r="C181" s="1283">
        <f t="shared" si="27"/>
        <v>0</v>
      </c>
      <c r="D181" s="48">
        <f t="shared" si="28"/>
        <v>0</v>
      </c>
      <c r="E181" s="48">
        <f t="shared" si="29"/>
        <v>24400</v>
      </c>
      <c r="F181" s="48">
        <f t="shared" si="30"/>
        <v>0</v>
      </c>
      <c r="G181" s="48">
        <f t="shared" si="31"/>
        <v>0</v>
      </c>
      <c r="H181" s="48"/>
      <c r="I181" s="48">
        <f t="shared" si="32"/>
        <v>52200</v>
      </c>
      <c r="J181" s="48">
        <f t="shared" si="33"/>
        <v>28000</v>
      </c>
      <c r="K181" s="48">
        <f t="shared" si="34"/>
        <v>64900</v>
      </c>
      <c r="L181" s="48"/>
      <c r="M181" s="48">
        <f t="shared" si="35"/>
        <v>0</v>
      </c>
      <c r="N181" s="48" t="e">
        <f t="shared" si="36"/>
        <v>#REF!</v>
      </c>
      <c r="O181" s="48">
        <f t="shared" si="37"/>
        <v>3500</v>
      </c>
      <c r="P181" s="48">
        <f t="shared" si="38"/>
        <v>1900</v>
      </c>
      <c r="Q181" s="48">
        <f t="shared" si="39"/>
        <v>0</v>
      </c>
      <c r="R181" s="48"/>
      <c r="S181" s="48"/>
      <c r="T181" s="1872"/>
      <c r="U181" s="1250"/>
      <c r="V181" s="1250"/>
      <c r="W181" s="1250"/>
      <c r="X181" s="1250"/>
      <c r="Y181" s="1250"/>
      <c r="Z181" s="1250"/>
    </row>
    <row r="182" spans="1:26" x14ac:dyDescent="0.2">
      <c r="A182" s="1250"/>
      <c r="B182" s="1866" t="str">
        <f t="shared" si="26"/>
        <v>Library Services</v>
      </c>
      <c r="C182" s="1283">
        <f t="shared" si="27"/>
        <v>0</v>
      </c>
      <c r="D182" s="48">
        <f t="shared" si="28"/>
        <v>0</v>
      </c>
      <c r="E182" s="48">
        <f t="shared" si="29"/>
        <v>17600</v>
      </c>
      <c r="F182" s="48">
        <f t="shared" si="30"/>
        <v>0</v>
      </c>
      <c r="G182" s="48">
        <f t="shared" si="31"/>
        <v>0</v>
      </c>
      <c r="H182" s="48"/>
      <c r="I182" s="48">
        <f t="shared" si="32"/>
        <v>0</v>
      </c>
      <c r="J182" s="48">
        <f t="shared" si="33"/>
        <v>20200</v>
      </c>
      <c r="K182" s="48">
        <f t="shared" si="34"/>
        <v>46800</v>
      </c>
      <c r="L182" s="48"/>
      <c r="M182" s="48">
        <f t="shared" si="35"/>
        <v>0</v>
      </c>
      <c r="N182" s="48" t="e">
        <f t="shared" si="36"/>
        <v>#REF!</v>
      </c>
      <c r="O182" s="48">
        <f t="shared" si="37"/>
        <v>2500</v>
      </c>
      <c r="P182" s="48">
        <f t="shared" si="38"/>
        <v>400</v>
      </c>
      <c r="Q182" s="48">
        <f t="shared" si="39"/>
        <v>0</v>
      </c>
      <c r="R182" s="48"/>
      <c r="S182" s="48"/>
      <c r="T182" s="1872"/>
      <c r="U182" s="1250"/>
      <c r="V182" s="1250"/>
      <c r="W182" s="1250"/>
      <c r="X182" s="1250"/>
      <c r="Y182" s="1250"/>
      <c r="Z182" s="1250"/>
    </row>
    <row r="183" spans="1:26" x14ac:dyDescent="0.2">
      <c r="A183" s="1250"/>
      <c r="B183" s="1866" t="str">
        <f t="shared" si="26"/>
        <v>Swimming Pools</v>
      </c>
      <c r="C183" s="1283">
        <f t="shared" si="27"/>
        <v>0</v>
      </c>
      <c r="D183" s="48">
        <f t="shared" si="28"/>
        <v>0</v>
      </c>
      <c r="E183" s="48">
        <f t="shared" si="29"/>
        <v>8900</v>
      </c>
      <c r="F183" s="48">
        <f t="shared" si="30"/>
        <v>0</v>
      </c>
      <c r="G183" s="48">
        <f t="shared" si="31"/>
        <v>0</v>
      </c>
      <c r="H183" s="48"/>
      <c r="I183" s="48">
        <f t="shared" si="32"/>
        <v>0</v>
      </c>
      <c r="J183" s="48">
        <f t="shared" si="33"/>
        <v>10200</v>
      </c>
      <c r="K183" s="48">
        <f t="shared" si="34"/>
        <v>23600</v>
      </c>
      <c r="L183" s="48"/>
      <c r="M183" s="48">
        <f t="shared" si="35"/>
        <v>0</v>
      </c>
      <c r="N183" s="48" t="e">
        <f t="shared" si="36"/>
        <v>#REF!</v>
      </c>
      <c r="O183" s="48">
        <f t="shared" si="37"/>
        <v>1300</v>
      </c>
      <c r="P183" s="48">
        <f t="shared" si="38"/>
        <v>1500</v>
      </c>
      <c r="Q183" s="48">
        <f t="shared" si="39"/>
        <v>0</v>
      </c>
      <c r="R183" s="48"/>
      <c r="S183" s="48"/>
      <c r="T183" s="1872"/>
      <c r="U183" s="1250"/>
      <c r="V183" s="1250"/>
      <c r="W183" s="1250"/>
      <c r="X183" s="1250"/>
      <c r="Y183" s="1250"/>
      <c r="Z183" s="1250"/>
    </row>
    <row r="184" spans="1:26" x14ac:dyDescent="0.2">
      <c r="A184" s="1250"/>
      <c r="B184" s="1866" t="str">
        <f t="shared" si="26"/>
        <v>Tourism and Communications</v>
      </c>
      <c r="C184" s="1283">
        <f t="shared" si="27"/>
        <v>0</v>
      </c>
      <c r="D184" s="48">
        <f t="shared" si="28"/>
        <v>0</v>
      </c>
      <c r="E184" s="48">
        <f t="shared" si="29"/>
        <v>6600</v>
      </c>
      <c r="F184" s="48">
        <f t="shared" si="30"/>
        <v>0</v>
      </c>
      <c r="G184" s="48">
        <f t="shared" si="31"/>
        <v>32400</v>
      </c>
      <c r="H184" s="48"/>
      <c r="I184" s="48">
        <f t="shared" si="32"/>
        <v>6700</v>
      </c>
      <c r="J184" s="48">
        <f t="shared" si="33"/>
        <v>7600</v>
      </c>
      <c r="K184" s="48">
        <f t="shared" si="34"/>
        <v>17600</v>
      </c>
      <c r="L184" s="48"/>
      <c r="M184" s="48">
        <f t="shared" si="35"/>
        <v>0</v>
      </c>
      <c r="N184" s="48" t="e">
        <f t="shared" si="36"/>
        <v>#REF!</v>
      </c>
      <c r="O184" s="48">
        <f t="shared" si="37"/>
        <v>900</v>
      </c>
      <c r="P184" s="48">
        <f t="shared" si="38"/>
        <v>500</v>
      </c>
      <c r="Q184" s="48">
        <f t="shared" si="39"/>
        <v>0</v>
      </c>
      <c r="R184" s="48"/>
      <c r="S184" s="48"/>
      <c r="T184" s="1872"/>
      <c r="U184" s="1250"/>
      <c r="V184" s="1250"/>
      <c r="W184" s="1250"/>
      <c r="X184" s="1250"/>
      <c r="Y184" s="1250"/>
      <c r="Z184" s="1250"/>
    </row>
    <row r="185" spans="1:26" x14ac:dyDescent="0.2">
      <c r="A185" s="1250"/>
      <c r="B185" s="1866" t="str">
        <f t="shared" si="26"/>
        <v>Development Services</v>
      </c>
      <c r="C185" s="1283">
        <f t="shared" si="27"/>
        <v>0</v>
      </c>
      <c r="D185" s="48">
        <f t="shared" si="28"/>
        <v>0</v>
      </c>
      <c r="E185" s="48">
        <f t="shared" si="29"/>
        <v>14600</v>
      </c>
      <c r="F185" s="48">
        <f t="shared" si="30"/>
        <v>0</v>
      </c>
      <c r="G185" s="48">
        <f t="shared" si="31"/>
        <v>87600</v>
      </c>
      <c r="H185" s="48"/>
      <c r="I185" s="48">
        <f t="shared" si="32"/>
        <v>26100</v>
      </c>
      <c r="J185" s="48">
        <f t="shared" si="33"/>
        <v>16800</v>
      </c>
      <c r="K185" s="48">
        <f t="shared" si="34"/>
        <v>38900</v>
      </c>
      <c r="L185" s="48"/>
      <c r="M185" s="48">
        <f t="shared" si="35"/>
        <v>0</v>
      </c>
      <c r="N185" s="48" t="e">
        <f t="shared" si="36"/>
        <v>#REF!</v>
      </c>
      <c r="O185" s="48">
        <f t="shared" si="37"/>
        <v>2100</v>
      </c>
      <c r="P185" s="48">
        <f t="shared" si="38"/>
        <v>2400</v>
      </c>
      <c r="Q185" s="48">
        <f t="shared" si="39"/>
        <v>0</v>
      </c>
      <c r="R185" s="48"/>
      <c r="S185" s="48"/>
      <c r="T185" s="1872"/>
      <c r="U185" s="1250"/>
      <c r="V185" s="1250"/>
      <c r="W185" s="1250"/>
      <c r="X185" s="1250"/>
      <c r="Y185" s="1250"/>
      <c r="Z185" s="1250"/>
    </row>
    <row r="186" spans="1:26" x14ac:dyDescent="0.2">
      <c r="A186" s="1250"/>
      <c r="B186" s="1866" t="str">
        <f t="shared" si="26"/>
        <v>Building Services</v>
      </c>
      <c r="C186" s="1283">
        <f t="shared" si="27"/>
        <v>0</v>
      </c>
      <c r="D186" s="48">
        <f t="shared" si="28"/>
        <v>0</v>
      </c>
      <c r="E186" s="48">
        <f t="shared" si="29"/>
        <v>12000</v>
      </c>
      <c r="F186" s="48">
        <f t="shared" si="30"/>
        <v>0</v>
      </c>
      <c r="G186" s="48">
        <f t="shared" si="31"/>
        <v>90800</v>
      </c>
      <c r="H186" s="48"/>
      <c r="I186" s="48">
        <f t="shared" si="32"/>
        <v>21000</v>
      </c>
      <c r="J186" s="48">
        <f t="shared" si="33"/>
        <v>13800</v>
      </c>
      <c r="K186" s="48">
        <f t="shared" si="34"/>
        <v>31900</v>
      </c>
      <c r="L186" s="48"/>
      <c r="M186" s="48">
        <f t="shared" si="35"/>
        <v>0</v>
      </c>
      <c r="N186" s="48" t="e">
        <f t="shared" si="36"/>
        <v>#REF!</v>
      </c>
      <c r="O186" s="48">
        <f t="shared" si="37"/>
        <v>1700</v>
      </c>
      <c r="P186" s="48">
        <f t="shared" si="38"/>
        <v>5100</v>
      </c>
      <c r="Q186" s="48">
        <f t="shared" si="39"/>
        <v>0</v>
      </c>
      <c r="R186" s="48"/>
      <c r="S186" s="48"/>
      <c r="T186" s="1872"/>
      <c r="U186" s="1250"/>
      <c r="V186" s="1250"/>
      <c r="W186" s="1250"/>
      <c r="X186" s="1250"/>
      <c r="Y186" s="1250"/>
      <c r="Z186" s="1250"/>
    </row>
    <row r="187" spans="1:26" x14ac:dyDescent="0.2">
      <c r="A187" s="1250"/>
      <c r="B187" s="1866" t="str">
        <f t="shared" si="26"/>
        <v>Environmental and Public Health</v>
      </c>
      <c r="C187" s="1283">
        <f t="shared" si="27"/>
        <v>0</v>
      </c>
      <c r="D187" s="48">
        <f t="shared" si="28"/>
        <v>0</v>
      </c>
      <c r="E187" s="48">
        <f t="shared" si="29"/>
        <v>10700</v>
      </c>
      <c r="F187" s="48">
        <f t="shared" si="30"/>
        <v>0</v>
      </c>
      <c r="G187" s="48">
        <f t="shared" si="31"/>
        <v>97300</v>
      </c>
      <c r="H187" s="48"/>
      <c r="I187" s="48">
        <f t="shared" si="32"/>
        <v>20400</v>
      </c>
      <c r="J187" s="48">
        <f t="shared" si="33"/>
        <v>12300</v>
      </c>
      <c r="K187" s="48">
        <f t="shared" si="34"/>
        <v>28500</v>
      </c>
      <c r="L187" s="48"/>
      <c r="M187" s="48">
        <f t="shared" si="35"/>
        <v>0</v>
      </c>
      <c r="N187" s="48" t="e">
        <f t="shared" si="36"/>
        <v>#REF!</v>
      </c>
      <c r="O187" s="48">
        <f t="shared" si="37"/>
        <v>1500</v>
      </c>
      <c r="P187" s="48">
        <f t="shared" si="38"/>
        <v>1000</v>
      </c>
      <c r="Q187" s="48">
        <f t="shared" si="39"/>
        <v>0</v>
      </c>
      <c r="R187" s="48"/>
      <c r="S187" s="48"/>
      <c r="T187" s="1872"/>
      <c r="U187" s="1250"/>
      <c r="V187" s="1250"/>
      <c r="W187" s="1250"/>
      <c r="X187" s="1250"/>
      <c r="Y187" s="1250"/>
      <c r="Z187" s="1250"/>
    </row>
    <row r="188" spans="1:26" x14ac:dyDescent="0.2">
      <c r="A188" s="1250"/>
      <c r="B188" s="1866" t="str">
        <f t="shared" si="26"/>
        <v>Administration and Public Order</v>
      </c>
      <c r="C188" s="1283">
        <f t="shared" si="27"/>
        <v>0</v>
      </c>
      <c r="D188" s="48">
        <f t="shared" si="28"/>
        <v>0</v>
      </c>
      <c r="E188" s="48">
        <f t="shared" si="29"/>
        <v>6100</v>
      </c>
      <c r="F188" s="48">
        <f t="shared" si="30"/>
        <v>0</v>
      </c>
      <c r="G188" s="48">
        <f t="shared" si="31"/>
        <v>142700</v>
      </c>
      <c r="H188" s="48"/>
      <c r="I188" s="48">
        <f t="shared" si="32"/>
        <v>35700</v>
      </c>
      <c r="J188" s="48">
        <f t="shared" si="33"/>
        <v>7000</v>
      </c>
      <c r="K188" s="48">
        <f t="shared" si="34"/>
        <v>16300</v>
      </c>
      <c r="L188" s="48"/>
      <c r="M188" s="48">
        <f t="shared" si="35"/>
        <v>0</v>
      </c>
      <c r="N188" s="48" t="e">
        <f t="shared" si="36"/>
        <v>#REF!</v>
      </c>
      <c r="O188" s="48">
        <f t="shared" si="37"/>
        <v>900</v>
      </c>
      <c r="P188" s="48">
        <f t="shared" si="38"/>
        <v>900</v>
      </c>
      <c r="Q188" s="48">
        <f t="shared" si="39"/>
        <v>0</v>
      </c>
      <c r="R188" s="48"/>
      <c r="S188" s="48"/>
      <c r="T188" s="1872"/>
      <c r="U188" s="1250"/>
      <c r="V188" s="1250"/>
      <c r="W188" s="1250"/>
      <c r="X188" s="1250"/>
      <c r="Y188" s="1250"/>
      <c r="Z188" s="1250"/>
    </row>
    <row r="189" spans="1:26" x14ac:dyDescent="0.2">
      <c r="A189" s="1250"/>
      <c r="B189" s="1866" t="str">
        <f t="shared" si="26"/>
        <v>Engineering Management</v>
      </c>
      <c r="C189" s="1283">
        <f t="shared" si="27"/>
        <v>0</v>
      </c>
      <c r="D189" s="48">
        <f t="shared" si="28"/>
        <v>0</v>
      </c>
      <c r="E189" s="48">
        <f t="shared" si="29"/>
        <v>29400</v>
      </c>
      <c r="F189" s="48">
        <f t="shared" si="30"/>
        <v>0</v>
      </c>
      <c r="G189" s="48">
        <f t="shared" si="31"/>
        <v>467000</v>
      </c>
      <c r="H189" s="48"/>
      <c r="I189" s="48">
        <f t="shared" si="32"/>
        <v>70500</v>
      </c>
      <c r="J189" s="48">
        <f t="shared" si="33"/>
        <v>33800</v>
      </c>
      <c r="K189" s="48">
        <f t="shared" si="34"/>
        <v>78200</v>
      </c>
      <c r="L189" s="48">
        <f t="shared" ref="L189:L203" si="40">ROUND(J100/SUM($J$100:$J$114)*$E$31,-2)</f>
        <v>37700</v>
      </c>
      <c r="M189" s="48">
        <f t="shared" si="35"/>
        <v>0</v>
      </c>
      <c r="N189" s="48" t="e">
        <f t="shared" si="36"/>
        <v>#REF!</v>
      </c>
      <c r="O189" s="48">
        <f t="shared" si="37"/>
        <v>4200</v>
      </c>
      <c r="P189" s="48">
        <f t="shared" si="38"/>
        <v>900</v>
      </c>
      <c r="Q189" s="48">
        <f t="shared" si="39"/>
        <v>0</v>
      </c>
      <c r="R189" s="48">
        <f>ROUND(E37/3,-2)</f>
        <v>37100</v>
      </c>
      <c r="S189" s="48"/>
      <c r="T189" s="1872"/>
      <c r="U189" s="1250"/>
      <c r="V189" s="1250"/>
      <c r="W189" s="1250"/>
      <c r="X189" s="1250"/>
      <c r="Y189" s="1250"/>
      <c r="Z189" s="1250"/>
    </row>
    <row r="190" spans="1:26" x14ac:dyDescent="0.2">
      <c r="A190" s="1250"/>
      <c r="B190" s="1866" t="str">
        <f t="shared" si="26"/>
        <v>Procurement and Building Management</v>
      </c>
      <c r="C190" s="1283">
        <f t="shared" si="27"/>
        <v>0</v>
      </c>
      <c r="D190" s="48">
        <f t="shared" si="28"/>
        <v>0</v>
      </c>
      <c r="E190" s="48">
        <f t="shared" si="29"/>
        <v>41700</v>
      </c>
      <c r="F190" s="48">
        <f t="shared" si="30"/>
        <v>0</v>
      </c>
      <c r="G190" s="48">
        <f t="shared" si="31"/>
        <v>181600</v>
      </c>
      <c r="H190" s="48"/>
      <c r="I190" s="48">
        <f t="shared" si="32"/>
        <v>15000</v>
      </c>
      <c r="J190" s="48">
        <f t="shared" si="33"/>
        <v>47800</v>
      </c>
      <c r="K190" s="48">
        <f t="shared" si="34"/>
        <v>110700</v>
      </c>
      <c r="L190" s="48">
        <f t="shared" si="40"/>
        <v>53300</v>
      </c>
      <c r="M190" s="48">
        <f t="shared" si="35"/>
        <v>0</v>
      </c>
      <c r="N190" s="48" t="e">
        <f t="shared" si="36"/>
        <v>#REF!</v>
      </c>
      <c r="O190" s="48">
        <f t="shared" si="37"/>
        <v>5900</v>
      </c>
      <c r="P190" s="48">
        <f t="shared" si="38"/>
        <v>0</v>
      </c>
      <c r="Q190" s="48">
        <f t="shared" si="39"/>
        <v>0</v>
      </c>
      <c r="R190" s="48"/>
      <c r="S190" s="48"/>
      <c r="T190" s="1872"/>
      <c r="U190" s="1250"/>
      <c r="V190" s="1250"/>
      <c r="W190" s="1250"/>
      <c r="X190" s="1250"/>
      <c r="Y190" s="1250"/>
      <c r="Z190" s="1250"/>
    </row>
    <row r="191" spans="1:26" x14ac:dyDescent="0.2">
      <c r="A191" s="1250"/>
      <c r="B191" s="1866" t="str">
        <f t="shared" si="26"/>
        <v>Stormwater and Env</v>
      </c>
      <c r="C191" s="1283">
        <f t="shared" si="27"/>
        <v>0</v>
      </c>
      <c r="D191" s="48">
        <f t="shared" si="28"/>
        <v>0</v>
      </c>
      <c r="E191" s="48">
        <f t="shared" si="29"/>
        <v>24900</v>
      </c>
      <c r="F191" s="48">
        <f t="shared" si="30"/>
        <v>46300</v>
      </c>
      <c r="G191" s="48">
        <f t="shared" si="31"/>
        <v>0</v>
      </c>
      <c r="H191" s="48"/>
      <c r="I191" s="48">
        <f t="shared" si="32"/>
        <v>0</v>
      </c>
      <c r="J191" s="48">
        <f t="shared" si="33"/>
        <v>28500</v>
      </c>
      <c r="K191" s="48">
        <f t="shared" si="34"/>
        <v>66000</v>
      </c>
      <c r="L191" s="48">
        <f t="shared" si="40"/>
        <v>31800</v>
      </c>
      <c r="M191" s="48">
        <f t="shared" si="35"/>
        <v>50300</v>
      </c>
      <c r="N191" s="48" t="e">
        <f t="shared" si="36"/>
        <v>#REF!</v>
      </c>
      <c r="O191" s="48">
        <f t="shared" si="37"/>
        <v>3500</v>
      </c>
      <c r="P191" s="48">
        <f t="shared" si="38"/>
        <v>1400</v>
      </c>
      <c r="Q191" s="48">
        <f t="shared" si="39"/>
        <v>0</v>
      </c>
      <c r="R191" s="48"/>
      <c r="S191" s="48"/>
      <c r="T191" s="1872"/>
      <c r="U191" s="1250"/>
      <c r="V191" s="1250"/>
      <c r="W191" s="1250"/>
      <c r="X191" s="1250"/>
      <c r="Y191" s="1250"/>
      <c r="Z191" s="1250"/>
    </row>
    <row r="192" spans="1:26" x14ac:dyDescent="0.2">
      <c r="A192" s="1250"/>
      <c r="B192" s="1866" t="str">
        <f t="shared" si="26"/>
        <v>Roads and Bridges</v>
      </c>
      <c r="C192" s="1283">
        <f t="shared" si="27"/>
        <v>0</v>
      </c>
      <c r="D192" s="48">
        <f t="shared" si="28"/>
        <v>0</v>
      </c>
      <c r="E192" s="48">
        <f t="shared" si="29"/>
        <v>109200</v>
      </c>
      <c r="F192" s="48">
        <f t="shared" si="30"/>
        <v>230700</v>
      </c>
      <c r="G192" s="48">
        <f t="shared" si="31"/>
        <v>81100</v>
      </c>
      <c r="H192" s="48"/>
      <c r="I192" s="48">
        <f t="shared" si="32"/>
        <v>183000</v>
      </c>
      <c r="J192" s="48">
        <f t="shared" si="33"/>
        <v>125300</v>
      </c>
      <c r="K192" s="48">
        <f t="shared" si="34"/>
        <v>290100</v>
      </c>
      <c r="L192" s="48">
        <f t="shared" si="40"/>
        <v>139800</v>
      </c>
      <c r="M192" s="48">
        <f t="shared" si="35"/>
        <v>250500</v>
      </c>
      <c r="N192" s="48" t="e">
        <f t="shared" si="36"/>
        <v>#REF!</v>
      </c>
      <c r="O192" s="48">
        <f t="shared" si="37"/>
        <v>15600</v>
      </c>
      <c r="P192" s="48">
        <f t="shared" si="38"/>
        <v>1300</v>
      </c>
      <c r="Q192" s="48">
        <f t="shared" si="39"/>
        <v>0</v>
      </c>
      <c r="R192" s="48"/>
      <c r="S192" s="48"/>
      <c r="T192" s="1872"/>
      <c r="U192" s="1250"/>
      <c r="V192" s="1250"/>
      <c r="W192" s="1250"/>
      <c r="X192" s="1250"/>
      <c r="Y192" s="1250"/>
      <c r="Z192" s="1250"/>
    </row>
    <row r="193" spans="1:26" x14ac:dyDescent="0.2">
      <c r="A193" s="1250"/>
      <c r="B193" s="1866" t="str">
        <f t="shared" si="26"/>
        <v>Ancillary Transport Services</v>
      </c>
      <c r="C193" s="1283">
        <f t="shared" si="27"/>
        <v>0</v>
      </c>
      <c r="D193" s="48">
        <f t="shared" si="28"/>
        <v>0</v>
      </c>
      <c r="E193" s="48">
        <f t="shared" si="29"/>
        <v>32200</v>
      </c>
      <c r="F193" s="48">
        <f t="shared" si="30"/>
        <v>0</v>
      </c>
      <c r="G193" s="48">
        <f t="shared" si="31"/>
        <v>3200</v>
      </c>
      <c r="H193" s="48"/>
      <c r="I193" s="48">
        <f t="shared" si="32"/>
        <v>15000</v>
      </c>
      <c r="J193" s="48">
        <f t="shared" si="33"/>
        <v>37000</v>
      </c>
      <c r="K193" s="48">
        <f t="shared" si="34"/>
        <v>85600</v>
      </c>
      <c r="L193" s="48">
        <f t="shared" si="40"/>
        <v>41200</v>
      </c>
      <c r="M193" s="48">
        <f t="shared" si="35"/>
        <v>0</v>
      </c>
      <c r="N193" s="48" t="e">
        <f t="shared" si="36"/>
        <v>#REF!</v>
      </c>
      <c r="O193" s="48">
        <f t="shared" si="37"/>
        <v>4600</v>
      </c>
      <c r="P193" s="48">
        <f t="shared" si="38"/>
        <v>5100</v>
      </c>
      <c r="Q193" s="48">
        <f t="shared" si="39"/>
        <v>0</v>
      </c>
      <c r="R193" s="48"/>
      <c r="S193" s="48"/>
      <c r="T193" s="1872"/>
      <c r="U193" s="1250"/>
      <c r="V193" s="1250"/>
      <c r="W193" s="1250"/>
      <c r="X193" s="1250"/>
      <c r="Y193" s="1250"/>
      <c r="Z193" s="1250"/>
    </row>
    <row r="194" spans="1:26" x14ac:dyDescent="0.2">
      <c r="A194" s="1250"/>
      <c r="B194" s="1866" t="str">
        <f t="shared" si="26"/>
        <v>Roads and Maritime Services</v>
      </c>
      <c r="C194" s="1283">
        <f t="shared" si="27"/>
        <v>0</v>
      </c>
      <c r="D194" s="48">
        <f t="shared" si="28"/>
        <v>0</v>
      </c>
      <c r="E194" s="48">
        <f t="shared" si="29"/>
        <v>8600</v>
      </c>
      <c r="F194" s="48">
        <f t="shared" si="30"/>
        <v>0</v>
      </c>
      <c r="G194" s="48">
        <f t="shared" si="31"/>
        <v>0</v>
      </c>
      <c r="H194" s="48"/>
      <c r="I194" s="48">
        <f t="shared" si="32"/>
        <v>0</v>
      </c>
      <c r="J194" s="48">
        <f t="shared" si="33"/>
        <v>9900</v>
      </c>
      <c r="K194" s="48">
        <f t="shared" si="34"/>
        <v>23000</v>
      </c>
      <c r="L194" s="48">
        <f t="shared" si="40"/>
        <v>11100</v>
      </c>
      <c r="M194" s="48">
        <f t="shared" si="35"/>
        <v>0</v>
      </c>
      <c r="N194" s="48" t="e">
        <f t="shared" si="36"/>
        <v>#REF!</v>
      </c>
      <c r="O194" s="48">
        <f t="shared" si="37"/>
        <v>1200</v>
      </c>
      <c r="P194" s="48">
        <f t="shared" si="38"/>
        <v>3200</v>
      </c>
      <c r="Q194" s="48">
        <f t="shared" si="39"/>
        <v>0</v>
      </c>
      <c r="R194" s="48"/>
      <c r="S194" s="48"/>
      <c r="T194" s="1872"/>
      <c r="U194" s="1250"/>
      <c r="V194" s="1250"/>
      <c r="W194" s="1250"/>
      <c r="X194" s="1250"/>
      <c r="Y194" s="1250"/>
      <c r="Z194" s="1250"/>
    </row>
    <row r="195" spans="1:26" x14ac:dyDescent="0.2">
      <c r="A195" s="1250"/>
      <c r="B195" s="1866" t="str">
        <f t="shared" si="26"/>
        <v>Open Spaces and Reserves</v>
      </c>
      <c r="C195" s="1283">
        <f t="shared" si="27"/>
        <v>0</v>
      </c>
      <c r="D195" s="48">
        <f t="shared" si="28"/>
        <v>0</v>
      </c>
      <c r="E195" s="48">
        <f t="shared" si="29"/>
        <v>41500</v>
      </c>
      <c r="F195" s="48">
        <f t="shared" si="30"/>
        <v>0</v>
      </c>
      <c r="G195" s="48">
        <f t="shared" si="31"/>
        <v>61600</v>
      </c>
      <c r="H195" s="48"/>
      <c r="I195" s="48">
        <f t="shared" si="32"/>
        <v>104400</v>
      </c>
      <c r="J195" s="48">
        <f t="shared" si="33"/>
        <v>47600</v>
      </c>
      <c r="K195" s="48">
        <f t="shared" si="34"/>
        <v>110300</v>
      </c>
      <c r="L195" s="48">
        <f t="shared" si="40"/>
        <v>53100</v>
      </c>
      <c r="M195" s="48">
        <f t="shared" si="35"/>
        <v>0</v>
      </c>
      <c r="N195" s="48" t="e">
        <f t="shared" si="36"/>
        <v>#REF!</v>
      </c>
      <c r="O195" s="48">
        <f t="shared" si="37"/>
        <v>5900</v>
      </c>
      <c r="P195" s="48">
        <f t="shared" si="38"/>
        <v>3900</v>
      </c>
      <c r="Q195" s="48">
        <f t="shared" si="39"/>
        <v>0</v>
      </c>
      <c r="R195" s="48"/>
      <c r="S195" s="48"/>
      <c r="T195" s="1872"/>
      <c r="U195" s="1250"/>
      <c r="V195" s="1250"/>
      <c r="W195" s="1250"/>
      <c r="X195" s="1250"/>
      <c r="Y195" s="1250"/>
      <c r="Z195" s="1250"/>
    </row>
    <row r="196" spans="1:26" x14ac:dyDescent="0.2">
      <c r="A196" s="1250"/>
      <c r="B196" s="1866" t="str">
        <f t="shared" si="26"/>
        <v>Fleet Management and Workshop</v>
      </c>
      <c r="C196" s="1283">
        <f t="shared" si="27"/>
        <v>0</v>
      </c>
      <c r="D196" s="48">
        <f t="shared" si="28"/>
        <v>0</v>
      </c>
      <c r="E196" s="48">
        <f t="shared" si="29"/>
        <v>40000</v>
      </c>
      <c r="F196" s="48">
        <f t="shared" si="30"/>
        <v>0</v>
      </c>
      <c r="G196" s="48">
        <f t="shared" si="31"/>
        <v>22700</v>
      </c>
      <c r="H196" s="48"/>
      <c r="I196" s="48">
        <f t="shared" si="32"/>
        <v>33000</v>
      </c>
      <c r="J196" s="48">
        <f t="shared" si="33"/>
        <v>45900</v>
      </c>
      <c r="K196" s="48">
        <f t="shared" si="34"/>
        <v>106300</v>
      </c>
      <c r="L196" s="48">
        <f t="shared" si="40"/>
        <v>51200</v>
      </c>
      <c r="M196" s="48">
        <f t="shared" si="35"/>
        <v>0</v>
      </c>
      <c r="N196" s="48" t="e">
        <f t="shared" si="36"/>
        <v>#REF!</v>
      </c>
      <c r="O196" s="48">
        <f t="shared" si="37"/>
        <v>5700</v>
      </c>
      <c r="P196" s="48">
        <f t="shared" si="38"/>
        <v>1100</v>
      </c>
      <c r="Q196" s="48">
        <f t="shared" si="39"/>
        <v>0</v>
      </c>
      <c r="R196" s="48"/>
      <c r="S196" s="48" t="e">
        <f>ROUND(SUM(C196:R196),-3)</f>
        <v>#REF!</v>
      </c>
      <c r="T196" s="1872" t="e">
        <f>S196/J107</f>
        <v>#REF!</v>
      </c>
      <c r="U196" s="1250"/>
      <c r="V196" s="1250"/>
      <c r="W196" s="1250"/>
      <c r="X196" s="1250"/>
      <c r="Y196" s="1250"/>
      <c r="Z196" s="1250"/>
    </row>
    <row r="197" spans="1:26" x14ac:dyDescent="0.2">
      <c r="A197" s="1250"/>
      <c r="B197" s="1866" t="str">
        <f t="shared" si="26"/>
        <v>Rural Fire Service</v>
      </c>
      <c r="C197" s="1283">
        <f t="shared" si="27"/>
        <v>0</v>
      </c>
      <c r="D197" s="48">
        <f t="shared" si="28"/>
        <v>0</v>
      </c>
      <c r="E197" s="48">
        <f t="shared" si="29"/>
        <v>3700</v>
      </c>
      <c r="F197" s="48">
        <f t="shared" si="30"/>
        <v>0</v>
      </c>
      <c r="G197" s="48">
        <f t="shared" si="31"/>
        <v>0</v>
      </c>
      <c r="H197" s="48"/>
      <c r="I197" s="48">
        <f t="shared" si="32"/>
        <v>0</v>
      </c>
      <c r="J197" s="48">
        <f t="shared" si="33"/>
        <v>4200</v>
      </c>
      <c r="K197" s="48">
        <f t="shared" si="34"/>
        <v>9800</v>
      </c>
      <c r="L197" s="48">
        <f t="shared" si="40"/>
        <v>4700</v>
      </c>
      <c r="M197" s="48">
        <f t="shared" si="35"/>
        <v>0</v>
      </c>
      <c r="N197" s="48" t="e">
        <f t="shared" si="36"/>
        <v>#REF!</v>
      </c>
      <c r="O197" s="48">
        <f t="shared" si="37"/>
        <v>500</v>
      </c>
      <c r="P197" s="48">
        <f t="shared" si="38"/>
        <v>600</v>
      </c>
      <c r="Q197" s="48">
        <f t="shared" si="39"/>
        <v>0</v>
      </c>
      <c r="R197" s="48"/>
      <c r="S197" s="48"/>
      <c r="T197" s="1872"/>
      <c r="U197" s="1250"/>
      <c r="V197" s="1250"/>
      <c r="W197" s="1250"/>
      <c r="X197" s="1250"/>
      <c r="Y197" s="1250"/>
      <c r="Z197" s="1250"/>
    </row>
    <row r="198" spans="1:26" x14ac:dyDescent="0.2">
      <c r="A198" s="1250"/>
      <c r="B198" s="1866" t="str">
        <f t="shared" si="26"/>
        <v>Quarries and Sandpit</v>
      </c>
      <c r="C198" s="1283">
        <f t="shared" si="27"/>
        <v>0</v>
      </c>
      <c r="D198" s="48">
        <f t="shared" si="28"/>
        <v>0</v>
      </c>
      <c r="E198" s="48">
        <f t="shared" si="29"/>
        <v>2100</v>
      </c>
      <c r="F198" s="48">
        <f t="shared" si="30"/>
        <v>0</v>
      </c>
      <c r="G198" s="48">
        <f t="shared" si="31"/>
        <v>0</v>
      </c>
      <c r="H198" s="48"/>
      <c r="I198" s="48">
        <f t="shared" si="32"/>
        <v>0</v>
      </c>
      <c r="J198" s="48">
        <f t="shared" si="33"/>
        <v>2400</v>
      </c>
      <c r="K198" s="48">
        <f t="shared" si="34"/>
        <v>5600</v>
      </c>
      <c r="L198" s="48">
        <f t="shared" si="40"/>
        <v>2700</v>
      </c>
      <c r="M198" s="48">
        <f t="shared" si="35"/>
        <v>0</v>
      </c>
      <c r="N198" s="48" t="e">
        <f t="shared" si="36"/>
        <v>#REF!</v>
      </c>
      <c r="O198" s="48">
        <f t="shared" si="37"/>
        <v>300</v>
      </c>
      <c r="P198" s="48">
        <f t="shared" si="38"/>
        <v>1400</v>
      </c>
      <c r="Q198" s="48">
        <f t="shared" si="39"/>
        <v>0</v>
      </c>
      <c r="R198" s="48"/>
      <c r="S198" s="48" t="e">
        <f t="shared" ref="S198:S202" si="41">ROUND(SUM(C198:R198),-3)</f>
        <v>#REF!</v>
      </c>
      <c r="T198" s="1872" t="e">
        <f t="shared" ref="T198:T204" si="42">S198/J109</f>
        <v>#REF!</v>
      </c>
      <c r="U198" s="1250"/>
      <c r="V198" s="1250"/>
      <c r="W198" s="1250"/>
      <c r="X198" s="1250"/>
      <c r="Y198" s="1250"/>
      <c r="Z198" s="1250"/>
    </row>
    <row r="199" spans="1:26" x14ac:dyDescent="0.2">
      <c r="A199" s="1250"/>
      <c r="B199" s="1866" t="str">
        <f t="shared" si="26"/>
        <v>Landfill and Resource Management</v>
      </c>
      <c r="C199" s="1283">
        <f t="shared" si="27"/>
        <v>0</v>
      </c>
      <c r="D199" s="48">
        <f t="shared" si="28"/>
        <v>110200</v>
      </c>
      <c r="E199" s="48">
        <f t="shared" si="29"/>
        <v>76300</v>
      </c>
      <c r="F199" s="48">
        <f t="shared" si="30"/>
        <v>0</v>
      </c>
      <c r="G199" s="48">
        <f t="shared" si="31"/>
        <v>19500</v>
      </c>
      <c r="H199" s="48"/>
      <c r="I199" s="48">
        <f t="shared" si="32"/>
        <v>30600</v>
      </c>
      <c r="J199" s="48">
        <f t="shared" si="33"/>
        <v>87500</v>
      </c>
      <c r="K199" s="48">
        <f t="shared" si="34"/>
        <v>202700</v>
      </c>
      <c r="L199" s="48">
        <f t="shared" si="40"/>
        <v>97700</v>
      </c>
      <c r="M199" s="48">
        <f t="shared" si="35"/>
        <v>0</v>
      </c>
      <c r="N199" s="48" t="e">
        <f t="shared" si="36"/>
        <v>#REF!</v>
      </c>
      <c r="O199" s="48">
        <f t="shared" si="37"/>
        <v>10900</v>
      </c>
      <c r="P199" s="48">
        <f t="shared" si="38"/>
        <v>14200</v>
      </c>
      <c r="Q199" s="48">
        <f t="shared" si="39"/>
        <v>0</v>
      </c>
      <c r="R199" s="48"/>
      <c r="S199" s="48" t="e">
        <f t="shared" si="41"/>
        <v>#REF!</v>
      </c>
      <c r="T199" s="1872" t="e">
        <f t="shared" si="42"/>
        <v>#REF!</v>
      </c>
      <c r="U199" s="1250"/>
      <c r="V199" s="1250"/>
      <c r="W199" s="1250"/>
      <c r="X199" s="1250"/>
      <c r="Y199" s="1250"/>
      <c r="Z199" s="1250"/>
    </row>
    <row r="200" spans="1:26" x14ac:dyDescent="0.2">
      <c r="A200" s="1250"/>
      <c r="B200" s="1866" t="str">
        <f t="shared" si="26"/>
        <v>Waste - Domestic</v>
      </c>
      <c r="C200" s="1283">
        <f t="shared" si="27"/>
        <v>0</v>
      </c>
      <c r="D200" s="48">
        <f t="shared" si="28"/>
        <v>105100</v>
      </c>
      <c r="E200" s="48">
        <f t="shared" si="29"/>
        <v>73400</v>
      </c>
      <c r="F200" s="48">
        <f t="shared" si="30"/>
        <v>0</v>
      </c>
      <c r="G200" s="48">
        <f t="shared" si="31"/>
        <v>19500</v>
      </c>
      <c r="H200" s="48"/>
      <c r="I200" s="48">
        <f t="shared" si="32"/>
        <v>15000</v>
      </c>
      <c r="J200" s="48">
        <f t="shared" si="33"/>
        <v>84100</v>
      </c>
      <c r="K200" s="48">
        <f t="shared" si="34"/>
        <v>194900</v>
      </c>
      <c r="L200" s="48">
        <f t="shared" si="40"/>
        <v>93900</v>
      </c>
      <c r="M200" s="48">
        <f t="shared" si="35"/>
        <v>0</v>
      </c>
      <c r="N200" s="48" t="e">
        <f t="shared" si="36"/>
        <v>#REF!</v>
      </c>
      <c r="O200" s="48">
        <f t="shared" si="37"/>
        <v>10500</v>
      </c>
      <c r="P200" s="48">
        <f t="shared" si="38"/>
        <v>22500</v>
      </c>
      <c r="Q200" s="48">
        <f t="shared" si="39"/>
        <v>0</v>
      </c>
      <c r="R200" s="48"/>
      <c r="S200" s="48" t="e">
        <f t="shared" si="41"/>
        <v>#REF!</v>
      </c>
      <c r="T200" s="1872" t="e">
        <f t="shared" si="42"/>
        <v>#REF!</v>
      </c>
      <c r="U200" s="1250"/>
      <c r="V200" s="1250"/>
      <c r="W200" s="1250"/>
      <c r="X200" s="1250"/>
      <c r="Y200" s="1250"/>
      <c r="Z200" s="1250"/>
    </row>
    <row r="201" spans="1:26" x14ac:dyDescent="0.2">
      <c r="A201" s="1250"/>
      <c r="B201" s="1866" t="str">
        <f t="shared" si="26"/>
        <v>NEWLOG</v>
      </c>
      <c r="C201" s="1283">
        <f t="shared" si="27"/>
        <v>0</v>
      </c>
      <c r="D201" s="48">
        <f t="shared" si="28"/>
        <v>0</v>
      </c>
      <c r="E201" s="48">
        <f t="shared" si="29"/>
        <v>5300</v>
      </c>
      <c r="F201" s="48">
        <f t="shared" si="30"/>
        <v>0</v>
      </c>
      <c r="G201" s="48">
        <f t="shared" si="31"/>
        <v>19500</v>
      </c>
      <c r="H201" s="48"/>
      <c r="I201" s="48">
        <f t="shared" si="32"/>
        <v>12000</v>
      </c>
      <c r="J201" s="48">
        <f t="shared" si="33"/>
        <v>6100</v>
      </c>
      <c r="K201" s="48">
        <f t="shared" si="34"/>
        <v>14200</v>
      </c>
      <c r="L201" s="48">
        <f t="shared" si="40"/>
        <v>6800</v>
      </c>
      <c r="M201" s="48">
        <f t="shared" si="35"/>
        <v>0</v>
      </c>
      <c r="N201" s="48" t="e">
        <f t="shared" si="36"/>
        <v>#REF!</v>
      </c>
      <c r="O201" s="48">
        <f t="shared" si="37"/>
        <v>800</v>
      </c>
      <c r="P201" s="48">
        <f t="shared" si="38"/>
        <v>900</v>
      </c>
      <c r="Q201" s="48">
        <f t="shared" si="39"/>
        <v>0</v>
      </c>
      <c r="R201" s="48"/>
      <c r="S201" s="48" t="e">
        <f t="shared" si="41"/>
        <v>#REF!</v>
      </c>
      <c r="T201" s="1872" t="e">
        <f t="shared" si="42"/>
        <v>#REF!</v>
      </c>
      <c r="U201" s="1250"/>
      <c r="V201" s="1250"/>
      <c r="W201" s="1250"/>
      <c r="X201" s="1250"/>
      <c r="Y201" s="1250"/>
      <c r="Z201" s="1250"/>
    </row>
    <row r="202" spans="1:26" x14ac:dyDescent="0.2">
      <c r="A202" s="1250"/>
      <c r="B202" s="1866" t="str">
        <f t="shared" si="26"/>
        <v>Water</v>
      </c>
      <c r="C202" s="1283">
        <f t="shared" si="27"/>
        <v>0</v>
      </c>
      <c r="D202" s="48">
        <f t="shared" si="28"/>
        <v>91900</v>
      </c>
      <c r="E202" s="48">
        <f t="shared" si="29"/>
        <v>121800</v>
      </c>
      <c r="F202" s="48">
        <f t="shared" si="30"/>
        <v>44600</v>
      </c>
      <c r="G202" s="48">
        <f t="shared" si="31"/>
        <v>124900</v>
      </c>
      <c r="H202" s="48"/>
      <c r="I202" s="48">
        <f t="shared" si="32"/>
        <v>58500</v>
      </c>
      <c r="J202" s="48">
        <f t="shared" si="33"/>
        <v>139700</v>
      </c>
      <c r="K202" s="48">
        <f t="shared" si="34"/>
        <v>323500</v>
      </c>
      <c r="L202" s="48">
        <f t="shared" si="40"/>
        <v>155900</v>
      </c>
      <c r="M202" s="48">
        <f t="shared" si="35"/>
        <v>48500</v>
      </c>
      <c r="N202" s="48" t="e">
        <f t="shared" si="36"/>
        <v>#REF!</v>
      </c>
      <c r="O202" s="48">
        <f t="shared" si="37"/>
        <v>17400</v>
      </c>
      <c r="P202" s="48">
        <f t="shared" si="38"/>
        <v>41500</v>
      </c>
      <c r="Q202" s="48">
        <f t="shared" si="39"/>
        <v>0</v>
      </c>
      <c r="R202" s="48">
        <f>R189</f>
        <v>37100</v>
      </c>
      <c r="S202" s="48" t="e">
        <f t="shared" si="41"/>
        <v>#REF!</v>
      </c>
      <c r="T202" s="1872" t="e">
        <f t="shared" si="42"/>
        <v>#REF!</v>
      </c>
      <c r="U202" s="1250"/>
      <c r="V202" s="1250"/>
      <c r="W202" s="1250"/>
      <c r="X202" s="1250"/>
      <c r="Y202" s="1250"/>
      <c r="Z202" s="1250"/>
    </row>
    <row r="203" spans="1:26" ht="13.5" thickBot="1" x14ac:dyDescent="0.25">
      <c r="A203" s="1250"/>
      <c r="B203" s="1866" t="str">
        <f t="shared" si="26"/>
        <v>Wastewater</v>
      </c>
      <c r="C203" s="1283">
        <f t="shared" si="27"/>
        <v>0</v>
      </c>
      <c r="D203" s="48">
        <f t="shared" si="28"/>
        <v>90700</v>
      </c>
      <c r="E203" s="48">
        <f t="shared" si="29"/>
        <v>194400</v>
      </c>
      <c r="F203" s="48">
        <f t="shared" si="30"/>
        <v>99900</v>
      </c>
      <c r="G203" s="48">
        <f t="shared" si="31"/>
        <v>124900</v>
      </c>
      <c r="H203" s="48"/>
      <c r="I203" s="48">
        <f t="shared" si="32"/>
        <v>58500</v>
      </c>
      <c r="J203" s="48">
        <f t="shared" si="33"/>
        <v>222900</v>
      </c>
      <c r="K203" s="48">
        <f t="shared" si="34"/>
        <v>516200</v>
      </c>
      <c r="L203" s="48">
        <f t="shared" si="40"/>
        <v>248700</v>
      </c>
      <c r="M203" s="48">
        <f t="shared" si="35"/>
        <v>108500</v>
      </c>
      <c r="N203" s="48" t="e">
        <f t="shared" si="36"/>
        <v>#REF!</v>
      </c>
      <c r="O203" s="48">
        <f t="shared" si="37"/>
        <v>27700</v>
      </c>
      <c r="P203" s="48">
        <f t="shared" si="38"/>
        <v>60500</v>
      </c>
      <c r="Q203" s="48">
        <f t="shared" si="39"/>
        <v>0</v>
      </c>
      <c r="R203" s="48">
        <f>R202</f>
        <v>37100</v>
      </c>
      <c r="S203" s="48" t="e">
        <f>ROUND(SUM(C203:R203),-3)</f>
        <v>#REF!</v>
      </c>
      <c r="T203" s="1872" t="e">
        <f t="shared" si="42"/>
        <v>#REF!</v>
      </c>
      <c r="U203" s="1250"/>
      <c r="V203" s="1250"/>
      <c r="W203" s="1250"/>
      <c r="X203" s="1250"/>
      <c r="Y203" s="1250"/>
      <c r="Z203" s="1250"/>
    </row>
    <row r="204" spans="1:26" ht="13.5" thickBot="1" x14ac:dyDescent="0.25">
      <c r="A204" s="1250"/>
      <c r="B204" s="1873" t="str">
        <f t="shared" si="26"/>
        <v>Totals</v>
      </c>
      <c r="C204" s="1874">
        <f>SUM(C172:C203)</f>
        <v>0</v>
      </c>
      <c r="D204" s="1849">
        <f>SUM(D172:D203)</f>
        <v>516200</v>
      </c>
      <c r="E204" s="1849">
        <f>SUM(E172:E203)</f>
        <v>1002900</v>
      </c>
      <c r="F204" s="1849">
        <f>SUM(F172:F203)</f>
        <v>421500</v>
      </c>
      <c r="G204" s="1849">
        <f>SUM(G172:G203)</f>
        <v>1757900</v>
      </c>
      <c r="H204" s="1849"/>
      <c r="I204" s="1849">
        <f>SUM(I172:I203)</f>
        <v>781600</v>
      </c>
      <c r="J204" s="1849">
        <f>SUM(J172:J203)</f>
        <v>1150300</v>
      </c>
      <c r="K204" s="1849">
        <f>SUM(K177:K203)</f>
        <v>2664400</v>
      </c>
      <c r="L204" s="1849">
        <f t="shared" ref="L204:S204" si="43">SUM(L172:L203)</f>
        <v>1029600</v>
      </c>
      <c r="M204" s="1849">
        <f t="shared" si="43"/>
        <v>457800</v>
      </c>
      <c r="N204" s="1849" t="e">
        <f t="shared" si="43"/>
        <v>#REF!</v>
      </c>
      <c r="O204" s="1849">
        <f t="shared" si="43"/>
        <v>142900</v>
      </c>
      <c r="P204" s="1849">
        <f t="shared" si="43"/>
        <v>202000</v>
      </c>
      <c r="Q204" s="1849">
        <f t="shared" si="43"/>
        <v>0</v>
      </c>
      <c r="R204" s="1849">
        <f t="shared" si="43"/>
        <v>111300</v>
      </c>
      <c r="S204" s="1849" t="e">
        <f t="shared" si="43"/>
        <v>#REF!</v>
      </c>
      <c r="T204" s="1875" t="e">
        <f t="shared" si="42"/>
        <v>#REF!</v>
      </c>
      <c r="U204" s="1250"/>
      <c r="V204" s="1250"/>
      <c r="W204" s="1250"/>
      <c r="X204" s="1250"/>
      <c r="Y204" s="1250"/>
      <c r="Z204" s="1250"/>
    </row>
    <row r="205" spans="1:26" x14ac:dyDescent="0.2">
      <c r="A205" s="1250"/>
      <c r="B205" s="1876"/>
      <c r="C205" s="1821"/>
      <c r="D205" s="63"/>
      <c r="E205" s="63"/>
      <c r="F205" s="63"/>
      <c r="G205" s="63"/>
      <c r="H205" s="63"/>
      <c r="I205" s="63"/>
      <c r="J205" s="63"/>
      <c r="K205" s="63"/>
      <c r="L205" s="63"/>
      <c r="M205" s="63"/>
      <c r="N205" s="63"/>
      <c r="O205" s="63"/>
      <c r="P205" s="63"/>
      <c r="Q205" s="63"/>
      <c r="R205" s="63"/>
      <c r="S205" s="63"/>
      <c r="T205" s="1062"/>
      <c r="U205" s="1250"/>
      <c r="V205" s="1250"/>
      <c r="W205" s="1250"/>
      <c r="X205" s="1250"/>
      <c r="Y205" s="1250"/>
      <c r="Z205" s="1250"/>
    </row>
    <row r="206" spans="1:26" x14ac:dyDescent="0.2">
      <c r="A206" s="1250"/>
      <c r="B206" s="1876" t="s">
        <v>3739</v>
      </c>
      <c r="C206" s="1821">
        <f>ROUND(C204/$F$115,-2)</f>
        <v>0</v>
      </c>
      <c r="D206" s="63">
        <f t="shared" ref="D206:F206" si="44">ROUND(D204/$F$115,-2)</f>
        <v>1800</v>
      </c>
      <c r="E206" s="63">
        <f t="shared" si="44"/>
        <v>3500</v>
      </c>
      <c r="F206" s="63">
        <f t="shared" si="44"/>
        <v>1500</v>
      </c>
      <c r="G206" s="63">
        <f>ROUND(G204/$F$115,-2)</f>
        <v>6200</v>
      </c>
      <c r="H206" s="63"/>
      <c r="I206" s="63">
        <f t="shared" ref="I206:S206" si="45">ROUND(I204/$F$115,-2)</f>
        <v>2700</v>
      </c>
      <c r="J206" s="63">
        <f t="shared" si="45"/>
        <v>4000</v>
      </c>
      <c r="K206" s="63">
        <f t="shared" si="45"/>
        <v>9400</v>
      </c>
      <c r="L206" s="63">
        <f t="shared" si="45"/>
        <v>3600</v>
      </c>
      <c r="M206" s="63">
        <f t="shared" si="45"/>
        <v>1600</v>
      </c>
      <c r="N206" s="63" t="e">
        <f t="shared" si="45"/>
        <v>#REF!</v>
      </c>
      <c r="O206" s="63">
        <f t="shared" si="45"/>
        <v>500</v>
      </c>
      <c r="P206" s="63">
        <f t="shared" si="45"/>
        <v>700</v>
      </c>
      <c r="Q206" s="63">
        <f t="shared" si="45"/>
        <v>0</v>
      </c>
      <c r="R206" s="63">
        <f t="shared" si="45"/>
        <v>400</v>
      </c>
      <c r="S206" s="63" t="e">
        <f t="shared" si="45"/>
        <v>#REF!</v>
      </c>
      <c r="T206" s="1062"/>
      <c r="U206" s="1250"/>
      <c r="V206" s="1250"/>
      <c r="W206" s="1250"/>
      <c r="X206" s="1250"/>
      <c r="Y206" s="1250"/>
      <c r="Z206" s="1250"/>
    </row>
    <row r="207" spans="1:26" ht="13.5" thickBot="1" x14ac:dyDescent="0.25">
      <c r="A207" s="1250"/>
      <c r="B207" s="1868"/>
      <c r="C207" s="1823"/>
      <c r="D207" s="1098"/>
      <c r="E207" s="1098"/>
      <c r="F207" s="1098"/>
      <c r="G207" s="1098"/>
      <c r="H207" s="1098"/>
      <c r="I207" s="1098"/>
      <c r="J207" s="1098"/>
      <c r="K207" s="1098"/>
      <c r="L207" s="1098"/>
      <c r="M207" s="1098"/>
      <c r="N207" s="1098"/>
      <c r="O207" s="1098"/>
      <c r="P207" s="1098"/>
      <c r="Q207" s="1098"/>
      <c r="R207" s="1098"/>
      <c r="S207" s="1098"/>
      <c r="T207" s="1099"/>
      <c r="U207" s="1250"/>
      <c r="V207" s="1250"/>
      <c r="W207" s="1250"/>
      <c r="X207" s="1250"/>
      <c r="Y207" s="1250"/>
      <c r="Z207" s="1250"/>
    </row>
    <row r="208" spans="1:26" x14ac:dyDescent="0.2">
      <c r="A208" s="1250"/>
      <c r="B208" s="1866"/>
      <c r="C208" s="1821"/>
      <c r="D208" s="63"/>
      <c r="E208" s="63"/>
      <c r="F208" s="63"/>
      <c r="G208" s="63"/>
      <c r="H208" s="63"/>
      <c r="I208" s="63"/>
      <c r="J208" s="63"/>
      <c r="K208" s="63"/>
      <c r="L208" s="63"/>
      <c r="M208" s="63"/>
      <c r="N208" s="63"/>
      <c r="O208" s="63"/>
      <c r="P208" s="63"/>
      <c r="Q208" s="63"/>
      <c r="R208" s="63"/>
      <c r="S208" s="63"/>
      <c r="T208" s="1062"/>
      <c r="U208" s="1250"/>
      <c r="V208" s="1250"/>
      <c r="W208" s="1250"/>
      <c r="X208" s="1250"/>
      <c r="Y208" s="1250"/>
      <c r="Z208" s="1250"/>
    </row>
    <row r="209" spans="1:39" x14ac:dyDescent="0.2">
      <c r="A209" s="1250"/>
      <c r="B209" s="1877" t="s">
        <v>400</v>
      </c>
      <c r="C209" s="1821">
        <f>C204-C211</f>
        <v>0</v>
      </c>
      <c r="D209" s="63">
        <f t="shared" ref="D209:R209" si="46">D204-D211</f>
        <v>0</v>
      </c>
      <c r="E209" s="63">
        <f t="shared" si="46"/>
        <v>-400</v>
      </c>
      <c r="F209" s="63">
        <f t="shared" si="46"/>
        <v>-100</v>
      </c>
      <c r="G209" s="63">
        <f t="shared" si="46"/>
        <v>200</v>
      </c>
      <c r="H209" s="63"/>
      <c r="I209" s="63">
        <f t="shared" si="46"/>
        <v>100</v>
      </c>
      <c r="J209" s="63">
        <f t="shared" si="46"/>
        <v>-200</v>
      </c>
      <c r="K209" s="63">
        <f t="shared" si="46"/>
        <v>-100</v>
      </c>
      <c r="L209" s="63">
        <f t="shared" si="46"/>
        <v>-100</v>
      </c>
      <c r="M209" s="63">
        <f t="shared" si="46"/>
        <v>0</v>
      </c>
      <c r="N209" s="63" t="e">
        <f t="shared" si="46"/>
        <v>#REF!</v>
      </c>
      <c r="O209" s="63">
        <f t="shared" si="46"/>
        <v>-100</v>
      </c>
      <c r="P209" s="63">
        <f t="shared" si="46"/>
        <v>-100</v>
      </c>
      <c r="Q209" s="63">
        <f t="shared" si="46"/>
        <v>0</v>
      </c>
      <c r="R209" s="63">
        <f t="shared" si="46"/>
        <v>0</v>
      </c>
      <c r="S209" s="1189"/>
      <c r="T209" s="1878"/>
      <c r="U209" s="1250"/>
      <c r="V209" s="1250"/>
      <c r="W209" s="1250"/>
      <c r="X209" s="1250"/>
      <c r="Y209" s="1250"/>
      <c r="Z209" s="1250"/>
    </row>
    <row r="210" spans="1:39" x14ac:dyDescent="0.2">
      <c r="A210" s="1250"/>
      <c r="B210" s="1879"/>
      <c r="C210" s="1821"/>
      <c r="D210" s="63"/>
      <c r="E210" s="63"/>
      <c r="F210" s="63"/>
      <c r="G210" s="63"/>
      <c r="H210" s="63"/>
      <c r="I210" s="63"/>
      <c r="J210" s="63"/>
      <c r="K210" s="63"/>
      <c r="L210" s="63"/>
      <c r="M210" s="63"/>
      <c r="N210" s="63"/>
      <c r="O210" s="63"/>
      <c r="P210" s="63"/>
      <c r="Q210" s="63"/>
      <c r="R210" s="63"/>
      <c r="S210" s="1189"/>
      <c r="T210" s="1878"/>
      <c r="U210" s="1250"/>
      <c r="V210" s="1250"/>
      <c r="W210" s="1250"/>
      <c r="X210" s="1250"/>
      <c r="Y210" s="1250"/>
      <c r="Z210" s="1250"/>
    </row>
    <row r="211" spans="1:39" x14ac:dyDescent="0.2">
      <c r="A211" s="1250"/>
      <c r="B211" s="1876" t="s">
        <v>3642</v>
      </c>
      <c r="C211" s="1821">
        <f>ROUND(E23,-2)</f>
        <v>0</v>
      </c>
      <c r="D211" s="63">
        <f>E24</f>
        <v>516200</v>
      </c>
      <c r="E211" s="63">
        <f>E25+D174</f>
        <v>1003300</v>
      </c>
      <c r="F211" s="63">
        <f>E26</f>
        <v>421600</v>
      </c>
      <c r="G211" s="63">
        <f>E27</f>
        <v>1757700</v>
      </c>
      <c r="H211" s="63"/>
      <c r="I211" s="63">
        <f>E28</f>
        <v>781500</v>
      </c>
      <c r="J211" s="63">
        <f>E29</f>
        <v>1150500</v>
      </c>
      <c r="K211" s="63">
        <f>E30</f>
        <v>2664500</v>
      </c>
      <c r="L211" s="63">
        <f>E31</f>
        <v>1029700</v>
      </c>
      <c r="M211" s="63">
        <f>E32</f>
        <v>457800</v>
      </c>
      <c r="N211" s="63" t="e">
        <f>E33</f>
        <v>#REF!</v>
      </c>
      <c r="O211" s="63">
        <f>E34</f>
        <v>143000</v>
      </c>
      <c r="P211" s="63">
        <f>E35</f>
        <v>202100</v>
      </c>
      <c r="Q211" s="63">
        <f>E36</f>
        <v>0</v>
      </c>
      <c r="R211" s="63">
        <f>E37</f>
        <v>111300</v>
      </c>
      <c r="S211" s="63" t="e">
        <f>SUM(C211:R211)</f>
        <v>#REF!</v>
      </c>
      <c r="T211" s="1062"/>
      <c r="U211" s="1250"/>
      <c r="V211" s="1250"/>
      <c r="W211" s="1250"/>
      <c r="X211" s="1250"/>
      <c r="Y211" s="1250"/>
      <c r="Z211" s="1250"/>
    </row>
    <row r="212" spans="1:39" ht="13.5" thickBot="1" x14ac:dyDescent="0.25">
      <c r="A212" s="1250"/>
      <c r="B212" s="1880"/>
      <c r="C212" s="1857"/>
      <c r="D212" s="1860"/>
      <c r="E212" s="1870"/>
      <c r="F212" s="1870"/>
      <c r="G212" s="1860"/>
      <c r="H212" s="1860"/>
      <c r="I212" s="1860"/>
      <c r="J212" s="1860"/>
      <c r="K212" s="1860"/>
      <c r="L212" s="1860"/>
      <c r="M212" s="1860"/>
      <c r="N212" s="1860"/>
      <c r="O212" s="1860"/>
      <c r="P212" s="1860"/>
      <c r="Q212" s="1860"/>
      <c r="R212" s="1860"/>
      <c r="S212" s="1860"/>
      <c r="T212" s="1881"/>
      <c r="U212" s="1250"/>
      <c r="V212" s="1250"/>
      <c r="W212" s="1250"/>
      <c r="X212" s="1250"/>
      <c r="Y212" s="1250"/>
      <c r="Z212" s="1250"/>
    </row>
    <row r="213" spans="1:39" ht="12" customHeight="1" x14ac:dyDescent="0.2">
      <c r="A213" s="1250"/>
      <c r="B213" s="1250"/>
      <c r="C213" s="1250"/>
      <c r="D213" s="1250"/>
      <c r="E213" s="115"/>
      <c r="F213" s="115"/>
      <c r="G213" s="1250"/>
      <c r="H213" s="1250"/>
      <c r="I213" s="1250"/>
      <c r="J213" s="1250"/>
      <c r="K213" s="1250"/>
      <c r="L213" s="1250"/>
      <c r="M213" s="1250"/>
      <c r="N213" s="1250"/>
      <c r="O213" s="1250"/>
      <c r="P213" s="1250"/>
      <c r="Q213" s="1250"/>
      <c r="R213" s="1250"/>
      <c r="S213" s="1250"/>
      <c r="T213" s="1250"/>
      <c r="U213" s="1250"/>
      <c r="V213" s="1250"/>
      <c r="W213" s="1250"/>
      <c r="X213" s="1250"/>
      <c r="Y213" s="1250"/>
      <c r="Z213" s="1250"/>
    </row>
    <row r="214" spans="1:39" ht="13.5" thickBot="1" x14ac:dyDescent="0.25">
      <c r="A214" s="1250"/>
      <c r="B214" s="1843"/>
      <c r="C214" s="1250"/>
      <c r="D214" s="1250"/>
      <c r="E214" s="1250"/>
      <c r="F214" s="1250"/>
      <c r="G214" s="1728"/>
      <c r="H214" s="1728"/>
      <c r="I214" s="1250"/>
      <c r="J214" s="1250"/>
      <c r="K214" s="1250"/>
      <c r="L214" s="1250"/>
      <c r="M214" s="1250"/>
      <c r="N214" s="115"/>
      <c r="O214" s="115"/>
      <c r="P214" s="1250"/>
      <c r="Q214" s="1250"/>
      <c r="R214" s="1250"/>
      <c r="S214" s="1250"/>
      <c r="T214" s="1250"/>
      <c r="U214" s="1250"/>
      <c r="V214" s="1250"/>
      <c r="W214" s="1250"/>
    </row>
    <row r="215" spans="1:39" ht="13.5" thickBot="1" x14ac:dyDescent="0.25">
      <c r="A215" s="1863"/>
      <c r="B215" s="1863"/>
      <c r="C215" s="2724" t="s">
        <v>6710</v>
      </c>
      <c r="D215" s="2725"/>
      <c r="E215" s="2725"/>
      <c r="F215" s="2725"/>
      <c r="G215" s="2725"/>
      <c r="H215" s="2725"/>
      <c r="I215" s="2725"/>
      <c r="J215" s="2725"/>
      <c r="K215" s="2725"/>
      <c r="L215" s="2725"/>
      <c r="M215" s="2725"/>
      <c r="N215" s="2725"/>
      <c r="O215" s="2725"/>
      <c r="P215" s="2725"/>
      <c r="Q215" s="2725"/>
      <c r="R215" s="2725"/>
      <c r="S215" s="2725"/>
      <c r="T215" s="2726"/>
      <c r="V215" s="1250"/>
      <c r="W215" s="1250"/>
      <c r="X215" s="1250"/>
      <c r="Y215" s="1250"/>
      <c r="Z215" s="1250"/>
      <c r="AA215" s="1250"/>
      <c r="AB215" s="1250"/>
    </row>
    <row r="216" spans="1:39" ht="13.5" thickBot="1" x14ac:dyDescent="0.25">
      <c r="A216" s="1250"/>
      <c r="B216" s="1864" t="str">
        <f>B172</f>
        <v>Governance</v>
      </c>
      <c r="C216" s="1835" t="s">
        <v>3557</v>
      </c>
      <c r="D216" s="499" t="s">
        <v>3628</v>
      </c>
      <c r="E216" s="499" t="s">
        <v>3558</v>
      </c>
      <c r="F216" s="499" t="s">
        <v>3647</v>
      </c>
      <c r="G216" s="499" t="s">
        <v>3737</v>
      </c>
      <c r="H216" s="499"/>
      <c r="I216" s="499" t="s">
        <v>3559</v>
      </c>
      <c r="J216" s="1296" t="s">
        <v>3743</v>
      </c>
      <c r="K216" s="1296" t="s">
        <v>3645</v>
      </c>
      <c r="L216" s="499" t="s">
        <v>3643</v>
      </c>
      <c r="M216" s="499" t="s">
        <v>3644</v>
      </c>
      <c r="N216" s="499" t="s">
        <v>3809</v>
      </c>
      <c r="O216" s="499" t="s">
        <v>3726</v>
      </c>
      <c r="P216" s="499" t="s">
        <v>3736</v>
      </c>
      <c r="Q216" s="499" t="s">
        <v>3733</v>
      </c>
      <c r="R216" s="499" t="s">
        <v>3734</v>
      </c>
      <c r="S216" s="499" t="s">
        <v>1504</v>
      </c>
      <c r="T216" s="1865" t="s">
        <v>3740</v>
      </c>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row>
    <row r="217" spans="1:39" x14ac:dyDescent="0.2">
      <c r="A217" s="1250"/>
      <c r="B217" s="1866" t="str">
        <f t="shared" ref="B217:B249" si="47">B172</f>
        <v>Governance</v>
      </c>
      <c r="C217" s="1283"/>
      <c r="D217" s="48"/>
      <c r="E217" s="48"/>
      <c r="F217" s="48"/>
      <c r="G217" s="48"/>
      <c r="H217" s="48"/>
      <c r="I217" s="48"/>
      <c r="J217" s="48"/>
      <c r="K217" s="48"/>
      <c r="L217" s="48"/>
      <c r="M217" s="48"/>
      <c r="N217" s="48"/>
      <c r="O217" s="48"/>
      <c r="P217" s="48"/>
      <c r="Q217" s="48"/>
      <c r="R217" s="48"/>
      <c r="S217" s="48"/>
      <c r="T217" s="1867"/>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row>
    <row r="218" spans="1:39" x14ac:dyDescent="0.2">
      <c r="A218" s="1250"/>
      <c r="B218" s="1866" t="str">
        <f t="shared" si="47"/>
        <v>Administrative Services</v>
      </c>
      <c r="C218" s="1283"/>
      <c r="D218" s="48"/>
      <c r="E218" s="48"/>
      <c r="F218" s="48"/>
      <c r="G218" s="48"/>
      <c r="H218" s="48"/>
      <c r="I218" s="48"/>
      <c r="J218" s="48"/>
      <c r="K218" s="48"/>
      <c r="L218" s="48"/>
      <c r="M218" s="48"/>
      <c r="N218" s="48"/>
      <c r="O218" s="48"/>
      <c r="P218" s="48"/>
      <c r="Q218" s="48"/>
      <c r="R218" s="48"/>
      <c r="S218" s="48"/>
      <c r="T218" s="1867"/>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row>
    <row r="219" spans="1:39" x14ac:dyDescent="0.2">
      <c r="A219" s="1250"/>
      <c r="B219" s="1866" t="str">
        <f t="shared" si="47"/>
        <v>Financial Services</v>
      </c>
      <c r="C219" s="1283"/>
      <c r="D219" s="48"/>
      <c r="E219" s="48"/>
      <c r="F219" s="48"/>
      <c r="G219" s="48"/>
      <c r="H219" s="48"/>
      <c r="I219" s="48"/>
      <c r="J219" s="48"/>
      <c r="K219" s="48"/>
      <c r="L219" s="48"/>
      <c r="M219" s="48"/>
      <c r="N219" s="48"/>
      <c r="O219" s="48"/>
      <c r="P219" s="48"/>
      <c r="Q219" s="48"/>
      <c r="R219" s="48"/>
      <c r="S219" s="48"/>
      <c r="T219" s="1867"/>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row>
    <row r="220" spans="1:39" x14ac:dyDescent="0.2">
      <c r="A220" s="1250"/>
      <c r="B220" s="1866" t="str">
        <f t="shared" si="47"/>
        <v>Information Services</v>
      </c>
      <c r="C220" s="1283"/>
      <c r="D220" s="48">
        <f>ROUND(R85/($R$115)*$F$24,-2)</f>
        <v>157800</v>
      </c>
      <c r="E220" s="48"/>
      <c r="F220" s="48"/>
      <c r="G220" s="48"/>
      <c r="H220" s="48"/>
      <c r="I220" s="48"/>
      <c r="J220" s="48"/>
      <c r="K220" s="48"/>
      <c r="L220" s="48"/>
      <c r="M220" s="48"/>
      <c r="N220" s="48"/>
      <c r="O220" s="48"/>
      <c r="P220" s="48"/>
      <c r="Q220" s="48"/>
      <c r="R220" s="48"/>
      <c r="S220" s="48"/>
      <c r="T220" s="1867"/>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row>
    <row r="221" spans="1:39" ht="13.5" thickBot="1" x14ac:dyDescent="0.25">
      <c r="A221" s="1250"/>
      <c r="B221" s="1868" t="str">
        <f t="shared" si="47"/>
        <v>Human Resources and Risk</v>
      </c>
      <c r="C221" s="1869"/>
      <c r="D221" s="1870"/>
      <c r="E221" s="1870"/>
      <c r="F221" s="1870"/>
      <c r="G221" s="1870"/>
      <c r="H221" s="1870"/>
      <c r="I221" s="1870"/>
      <c r="J221" s="1870"/>
      <c r="K221" s="1870"/>
      <c r="L221" s="1870"/>
      <c r="M221" s="1870"/>
      <c r="N221" s="1870"/>
      <c r="O221" s="1870"/>
      <c r="P221" s="1870"/>
      <c r="Q221" s="1870"/>
      <c r="R221" s="1870"/>
      <c r="S221" s="1870"/>
      <c r="T221" s="1871"/>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row>
    <row r="222" spans="1:39" x14ac:dyDescent="0.2">
      <c r="A222" s="1250"/>
      <c r="B222" s="1866" t="str">
        <f t="shared" si="47"/>
        <v>Property Management</v>
      </c>
      <c r="C222" s="1283" t="e">
        <f t="shared" ref="C222:C248" si="48">ROUND(P88/($P$115-SUM($P$83:$P$87))*$F$23,-2)</f>
        <v>#REF!</v>
      </c>
      <c r="D222" s="48">
        <f t="shared" ref="D222:D248" si="49">ROUND(R88/($R$115)*$F$24,-2)</f>
        <v>0</v>
      </c>
      <c r="E222" s="48" t="e">
        <f t="shared" ref="E222:E248" si="50">ROUND((P88/($P$115-SUM($P$83:$P$87)))*($F$25+$D$220),-2)</f>
        <v>#REF!</v>
      </c>
      <c r="F222" s="48">
        <f t="shared" ref="F222:F248" si="51">ROUND(U88/$U$115*$F$26,-2)</f>
        <v>0</v>
      </c>
      <c r="G222" s="48">
        <f t="shared" ref="G222:G248" si="52">ROUND(T88/($T$115-SUM($T$83:$T$87))*($F$27),-2)</f>
        <v>24400</v>
      </c>
      <c r="H222" s="48"/>
      <c r="I222" s="48">
        <f t="shared" ref="I222:I248" si="53">ROUND(S88/($S$115-SUM($S$83:$S$87))*($F$28),-2)</f>
        <v>8900</v>
      </c>
      <c r="J222" s="48" t="e">
        <f t="shared" ref="J222:J248" si="54">ROUND(P88/($P$115-SUM($P$83:$P$87))*$F$29,-2)</f>
        <v>#REF!</v>
      </c>
      <c r="K222" s="48" t="e">
        <f t="shared" ref="K222:K248" si="55">ROUND(P88/($P$115-SUM($P$83:$P$87))*($F$30),-2)</f>
        <v>#REF!</v>
      </c>
      <c r="L222" s="48"/>
      <c r="M222" s="48">
        <f t="shared" ref="M222:M248" si="56">ROUND(U88/$U$115*$F$32,-2)</f>
        <v>0</v>
      </c>
      <c r="N222" s="48">
        <f t="shared" ref="N222:N248" si="57">ROUND(U88/$U$115*$F$33,-2)</f>
        <v>0</v>
      </c>
      <c r="O222" s="48" t="e">
        <f t="shared" ref="O222:O248" si="58">ROUND(P88/($P$115-SUM($P$83:$P$87))*($F$34),-2)</f>
        <v>#REF!</v>
      </c>
      <c r="P222" s="48" t="e">
        <f t="shared" ref="P222:P248" si="59">ROUND(Q88/SUM($Q$88:$Q$114)*$F$35,-2)</f>
        <v>#REF!</v>
      </c>
      <c r="Q222" s="48" t="e">
        <f t="shared" ref="Q222:Q248" si="60">ROUND(P88/($P$115-SUM($P$83:$P$87))*($F$36),-2)</f>
        <v>#REF!</v>
      </c>
      <c r="R222" s="48"/>
      <c r="S222" s="48" t="e">
        <f>ROUND(SUM(C222:R222),-3)</f>
        <v>#REF!</v>
      </c>
      <c r="T222" s="1872" t="e">
        <f>S222/K88</f>
        <v>#REF!</v>
      </c>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row>
    <row r="223" spans="1:39" x14ac:dyDescent="0.2">
      <c r="A223" s="1250"/>
      <c r="B223" s="1866" t="str">
        <f t="shared" si="47"/>
        <v>Flat Rock</v>
      </c>
      <c r="C223" s="1283" t="e">
        <f t="shared" si="48"/>
        <v>#REF!</v>
      </c>
      <c r="D223" s="48">
        <f t="shared" si="49"/>
        <v>0</v>
      </c>
      <c r="E223" s="48" t="e">
        <f t="shared" si="50"/>
        <v>#REF!</v>
      </c>
      <c r="F223" s="48">
        <f t="shared" si="51"/>
        <v>0</v>
      </c>
      <c r="G223" s="48">
        <f t="shared" si="52"/>
        <v>7000</v>
      </c>
      <c r="H223" s="48"/>
      <c r="I223" s="48">
        <f t="shared" si="53"/>
        <v>0</v>
      </c>
      <c r="J223" s="48" t="e">
        <f t="shared" si="54"/>
        <v>#REF!</v>
      </c>
      <c r="K223" s="48" t="e">
        <f t="shared" si="55"/>
        <v>#REF!</v>
      </c>
      <c r="L223" s="48"/>
      <c r="M223" s="48">
        <f t="shared" si="56"/>
        <v>0</v>
      </c>
      <c r="N223" s="48">
        <f t="shared" si="57"/>
        <v>0</v>
      </c>
      <c r="O223" s="48" t="e">
        <f t="shared" si="58"/>
        <v>#REF!</v>
      </c>
      <c r="P223" s="48" t="e">
        <f t="shared" si="59"/>
        <v>#REF!</v>
      </c>
      <c r="Q223" s="48" t="e">
        <f t="shared" si="60"/>
        <v>#REF!</v>
      </c>
      <c r="R223" s="48"/>
      <c r="S223" s="48" t="e">
        <f>ROUND(SUM(C223:R223),-3)</f>
        <v>#REF!</v>
      </c>
      <c r="T223" s="1872" t="e">
        <f>S223/K89</f>
        <v>#REF!</v>
      </c>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row>
    <row r="224" spans="1:39" x14ac:dyDescent="0.2">
      <c r="A224" s="1250"/>
      <c r="B224" s="1866" t="str">
        <f t="shared" si="47"/>
        <v>Ballina Byron Gateway Airport</v>
      </c>
      <c r="C224" s="1283" t="e">
        <f t="shared" si="48"/>
        <v>#REF!</v>
      </c>
      <c r="D224" s="48">
        <f t="shared" si="49"/>
        <v>0</v>
      </c>
      <c r="E224" s="48" t="e">
        <f t="shared" si="50"/>
        <v>#REF!</v>
      </c>
      <c r="F224" s="48">
        <f t="shared" si="51"/>
        <v>0</v>
      </c>
      <c r="G224" s="48">
        <f t="shared" si="52"/>
        <v>76800</v>
      </c>
      <c r="H224" s="48"/>
      <c r="I224" s="48">
        <f t="shared" si="53"/>
        <v>26700</v>
      </c>
      <c r="J224" s="48" t="e">
        <f t="shared" si="54"/>
        <v>#REF!</v>
      </c>
      <c r="K224" s="48" t="e">
        <f t="shared" si="55"/>
        <v>#REF!</v>
      </c>
      <c r="L224" s="48"/>
      <c r="M224" s="48">
        <f t="shared" si="56"/>
        <v>0</v>
      </c>
      <c r="N224" s="48">
        <f t="shared" si="57"/>
        <v>0</v>
      </c>
      <c r="O224" s="48" t="e">
        <f t="shared" si="58"/>
        <v>#REF!</v>
      </c>
      <c r="P224" s="48" t="e">
        <f t="shared" si="59"/>
        <v>#REF!</v>
      </c>
      <c r="Q224" s="48" t="e">
        <f t="shared" si="60"/>
        <v>#REF!</v>
      </c>
      <c r="R224" s="48"/>
      <c r="S224" s="48" t="e">
        <f>ROUND(SUM(C224:R224),-3)</f>
        <v>#REF!</v>
      </c>
      <c r="T224" s="1872" t="e">
        <f>S224/K90</f>
        <v>#REF!</v>
      </c>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row>
    <row r="225" spans="1:39" x14ac:dyDescent="0.2">
      <c r="A225" s="1250"/>
      <c r="B225" s="1866" t="str">
        <f t="shared" si="47"/>
        <v>Strategic Planning</v>
      </c>
      <c r="C225" s="1283" t="e">
        <f t="shared" si="48"/>
        <v>#REF!</v>
      </c>
      <c r="D225" s="48">
        <f t="shared" si="49"/>
        <v>0</v>
      </c>
      <c r="E225" s="48" t="e">
        <f t="shared" si="50"/>
        <v>#REF!</v>
      </c>
      <c r="F225" s="48">
        <f t="shared" si="51"/>
        <v>0</v>
      </c>
      <c r="G225" s="48">
        <f t="shared" si="52"/>
        <v>87200</v>
      </c>
      <c r="H225" s="48"/>
      <c r="I225" s="48">
        <f t="shared" si="53"/>
        <v>0</v>
      </c>
      <c r="J225" s="48" t="e">
        <f t="shared" si="54"/>
        <v>#REF!</v>
      </c>
      <c r="K225" s="48" t="e">
        <f t="shared" si="55"/>
        <v>#REF!</v>
      </c>
      <c r="L225" s="48"/>
      <c r="M225" s="48">
        <f t="shared" si="56"/>
        <v>0</v>
      </c>
      <c r="N225" s="48">
        <f t="shared" si="57"/>
        <v>0</v>
      </c>
      <c r="O225" s="48" t="e">
        <f t="shared" si="58"/>
        <v>#REF!</v>
      </c>
      <c r="P225" s="48" t="e">
        <f t="shared" si="59"/>
        <v>#REF!</v>
      </c>
      <c r="Q225" s="48" t="e">
        <f t="shared" si="60"/>
        <v>#REF!</v>
      </c>
      <c r="R225" s="48"/>
      <c r="S225" s="48"/>
      <c r="T225" s="1872"/>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row>
    <row r="226" spans="1:39" x14ac:dyDescent="0.2">
      <c r="A226" s="1250"/>
      <c r="B226" s="1866" t="str">
        <f t="shared" si="47"/>
        <v>Community Centres and Halls</v>
      </c>
      <c r="C226" s="1283" t="e">
        <f t="shared" si="48"/>
        <v>#REF!</v>
      </c>
      <c r="D226" s="48">
        <f t="shared" si="49"/>
        <v>0</v>
      </c>
      <c r="E226" s="48" t="e">
        <f t="shared" si="50"/>
        <v>#REF!</v>
      </c>
      <c r="F226" s="48">
        <f t="shared" si="51"/>
        <v>0</v>
      </c>
      <c r="G226" s="48">
        <f t="shared" si="52"/>
        <v>0</v>
      </c>
      <c r="H226" s="48"/>
      <c r="I226" s="48">
        <f t="shared" si="53"/>
        <v>77400</v>
      </c>
      <c r="J226" s="48" t="e">
        <f t="shared" si="54"/>
        <v>#REF!</v>
      </c>
      <c r="K226" s="48" t="e">
        <f t="shared" si="55"/>
        <v>#REF!</v>
      </c>
      <c r="L226" s="48"/>
      <c r="M226" s="48">
        <f t="shared" si="56"/>
        <v>0</v>
      </c>
      <c r="N226" s="48">
        <f t="shared" si="57"/>
        <v>0</v>
      </c>
      <c r="O226" s="48" t="e">
        <f t="shared" si="58"/>
        <v>#REF!</v>
      </c>
      <c r="P226" s="48" t="e">
        <f t="shared" si="59"/>
        <v>#REF!</v>
      </c>
      <c r="Q226" s="48" t="e">
        <f t="shared" si="60"/>
        <v>#REF!</v>
      </c>
      <c r="R226" s="48"/>
      <c r="S226" s="48"/>
      <c r="T226" s="1872"/>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row>
    <row r="227" spans="1:39" x14ac:dyDescent="0.2">
      <c r="A227" s="1250"/>
      <c r="B227" s="1866" t="str">
        <f t="shared" si="47"/>
        <v>Library Services</v>
      </c>
      <c r="C227" s="1283" t="e">
        <f t="shared" si="48"/>
        <v>#REF!</v>
      </c>
      <c r="D227" s="48">
        <f t="shared" si="49"/>
        <v>0</v>
      </c>
      <c r="E227" s="48" t="e">
        <f t="shared" si="50"/>
        <v>#REF!</v>
      </c>
      <c r="F227" s="48">
        <f t="shared" si="51"/>
        <v>0</v>
      </c>
      <c r="G227" s="48">
        <f t="shared" si="52"/>
        <v>0</v>
      </c>
      <c r="H227" s="48"/>
      <c r="I227" s="48">
        <f t="shared" si="53"/>
        <v>0</v>
      </c>
      <c r="J227" s="48" t="e">
        <f t="shared" si="54"/>
        <v>#REF!</v>
      </c>
      <c r="K227" s="48" t="e">
        <f t="shared" si="55"/>
        <v>#REF!</v>
      </c>
      <c r="L227" s="48"/>
      <c r="M227" s="48">
        <f t="shared" si="56"/>
        <v>0</v>
      </c>
      <c r="N227" s="48">
        <f t="shared" si="57"/>
        <v>0</v>
      </c>
      <c r="O227" s="48" t="e">
        <f t="shared" si="58"/>
        <v>#REF!</v>
      </c>
      <c r="P227" s="48" t="e">
        <f t="shared" si="59"/>
        <v>#REF!</v>
      </c>
      <c r="Q227" s="48" t="e">
        <f t="shared" si="60"/>
        <v>#REF!</v>
      </c>
      <c r="R227" s="48"/>
      <c r="S227" s="48"/>
      <c r="T227" s="1872"/>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row>
    <row r="228" spans="1:39" x14ac:dyDescent="0.2">
      <c r="A228" s="1250"/>
      <c r="B228" s="1866" t="str">
        <f t="shared" si="47"/>
        <v>Swimming Pools</v>
      </c>
      <c r="C228" s="1283" t="e">
        <f t="shared" si="48"/>
        <v>#REF!</v>
      </c>
      <c r="D228" s="48">
        <f t="shared" si="49"/>
        <v>0</v>
      </c>
      <c r="E228" s="48" t="e">
        <f t="shared" si="50"/>
        <v>#REF!</v>
      </c>
      <c r="F228" s="48">
        <f t="shared" si="51"/>
        <v>0</v>
      </c>
      <c r="G228" s="48">
        <f t="shared" si="52"/>
        <v>0</v>
      </c>
      <c r="H228" s="48"/>
      <c r="I228" s="48">
        <f t="shared" si="53"/>
        <v>0</v>
      </c>
      <c r="J228" s="48" t="e">
        <f t="shared" si="54"/>
        <v>#REF!</v>
      </c>
      <c r="K228" s="48" t="e">
        <f t="shared" si="55"/>
        <v>#REF!</v>
      </c>
      <c r="L228" s="48"/>
      <c r="M228" s="48">
        <f t="shared" si="56"/>
        <v>0</v>
      </c>
      <c r="N228" s="48">
        <f t="shared" si="57"/>
        <v>0</v>
      </c>
      <c r="O228" s="48" t="e">
        <f t="shared" si="58"/>
        <v>#REF!</v>
      </c>
      <c r="P228" s="48" t="e">
        <f t="shared" si="59"/>
        <v>#REF!</v>
      </c>
      <c r="Q228" s="48" t="e">
        <f t="shared" si="60"/>
        <v>#REF!</v>
      </c>
      <c r="R228" s="48"/>
      <c r="S228" s="48"/>
      <c r="T228" s="1872"/>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row>
    <row r="229" spans="1:39" x14ac:dyDescent="0.2">
      <c r="A229" s="1250"/>
      <c r="B229" s="1866" t="str">
        <f t="shared" si="47"/>
        <v>Tourism and Communications</v>
      </c>
      <c r="C229" s="1283" t="e">
        <f t="shared" si="48"/>
        <v>#REF!</v>
      </c>
      <c r="D229" s="48">
        <f t="shared" si="49"/>
        <v>0</v>
      </c>
      <c r="E229" s="48" t="e">
        <f t="shared" si="50"/>
        <v>#REF!</v>
      </c>
      <c r="F229" s="48">
        <f t="shared" si="51"/>
        <v>0</v>
      </c>
      <c r="G229" s="48">
        <f t="shared" si="52"/>
        <v>34900</v>
      </c>
      <c r="H229" s="48"/>
      <c r="I229" s="48">
        <f t="shared" si="53"/>
        <v>10000</v>
      </c>
      <c r="J229" s="48" t="e">
        <f t="shared" si="54"/>
        <v>#REF!</v>
      </c>
      <c r="K229" s="48" t="e">
        <f t="shared" si="55"/>
        <v>#REF!</v>
      </c>
      <c r="L229" s="48"/>
      <c r="M229" s="48">
        <f t="shared" si="56"/>
        <v>0</v>
      </c>
      <c r="N229" s="48">
        <f t="shared" si="57"/>
        <v>0</v>
      </c>
      <c r="O229" s="48" t="e">
        <f t="shared" si="58"/>
        <v>#REF!</v>
      </c>
      <c r="P229" s="48" t="e">
        <f t="shared" si="59"/>
        <v>#REF!</v>
      </c>
      <c r="Q229" s="48" t="e">
        <f t="shared" si="60"/>
        <v>#REF!</v>
      </c>
      <c r="R229" s="48"/>
      <c r="S229" s="48"/>
      <c r="T229" s="1872"/>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row>
    <row r="230" spans="1:39" x14ac:dyDescent="0.2">
      <c r="A230" s="1250"/>
      <c r="B230" s="1866" t="str">
        <f t="shared" si="47"/>
        <v>Development Services</v>
      </c>
      <c r="C230" s="1283" t="e">
        <f t="shared" si="48"/>
        <v>#REF!</v>
      </c>
      <c r="D230" s="48">
        <f t="shared" si="49"/>
        <v>0</v>
      </c>
      <c r="E230" s="48" t="e">
        <f t="shared" si="50"/>
        <v>#REF!</v>
      </c>
      <c r="F230" s="48">
        <f t="shared" si="51"/>
        <v>0</v>
      </c>
      <c r="G230" s="48">
        <f t="shared" si="52"/>
        <v>94200</v>
      </c>
      <c r="H230" s="48"/>
      <c r="I230" s="48">
        <f t="shared" si="53"/>
        <v>38700</v>
      </c>
      <c r="J230" s="48" t="e">
        <f t="shared" si="54"/>
        <v>#REF!</v>
      </c>
      <c r="K230" s="48" t="e">
        <f t="shared" si="55"/>
        <v>#REF!</v>
      </c>
      <c r="L230" s="48"/>
      <c r="M230" s="48">
        <f t="shared" si="56"/>
        <v>0</v>
      </c>
      <c r="N230" s="48">
        <f t="shared" si="57"/>
        <v>0</v>
      </c>
      <c r="O230" s="48" t="e">
        <f t="shared" si="58"/>
        <v>#REF!</v>
      </c>
      <c r="P230" s="48" t="e">
        <f t="shared" si="59"/>
        <v>#REF!</v>
      </c>
      <c r="Q230" s="48" t="e">
        <f t="shared" si="60"/>
        <v>#REF!</v>
      </c>
      <c r="R230" s="48"/>
      <c r="S230" s="48"/>
      <c r="T230" s="1872"/>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row>
    <row r="231" spans="1:39" x14ac:dyDescent="0.2">
      <c r="A231" s="1250"/>
      <c r="B231" s="1866" t="str">
        <f t="shared" si="47"/>
        <v>Building Services</v>
      </c>
      <c r="C231" s="1283" t="e">
        <f t="shared" si="48"/>
        <v>#REF!</v>
      </c>
      <c r="D231" s="48">
        <f t="shared" si="49"/>
        <v>0</v>
      </c>
      <c r="E231" s="48" t="e">
        <f t="shared" si="50"/>
        <v>#REF!</v>
      </c>
      <c r="F231" s="48">
        <f t="shared" si="51"/>
        <v>0</v>
      </c>
      <c r="G231" s="48">
        <f t="shared" si="52"/>
        <v>97700</v>
      </c>
      <c r="H231" s="48"/>
      <c r="I231" s="48">
        <f t="shared" si="53"/>
        <v>31100</v>
      </c>
      <c r="J231" s="48" t="e">
        <f t="shared" si="54"/>
        <v>#REF!</v>
      </c>
      <c r="K231" s="48" t="e">
        <f t="shared" si="55"/>
        <v>#REF!</v>
      </c>
      <c r="L231" s="48"/>
      <c r="M231" s="48">
        <f t="shared" si="56"/>
        <v>0</v>
      </c>
      <c r="N231" s="48">
        <f t="shared" si="57"/>
        <v>0</v>
      </c>
      <c r="O231" s="48" t="e">
        <f t="shared" si="58"/>
        <v>#REF!</v>
      </c>
      <c r="P231" s="48" t="e">
        <f t="shared" si="59"/>
        <v>#REF!</v>
      </c>
      <c r="Q231" s="48" t="e">
        <f t="shared" si="60"/>
        <v>#REF!</v>
      </c>
      <c r="R231" s="48"/>
      <c r="S231" s="48"/>
      <c r="T231" s="1872"/>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row>
    <row r="232" spans="1:39" x14ac:dyDescent="0.2">
      <c r="A232" s="1250"/>
      <c r="B232" s="1866" t="str">
        <f t="shared" si="47"/>
        <v>Environmental and Public Health</v>
      </c>
      <c r="C232" s="1283" t="e">
        <f t="shared" si="48"/>
        <v>#REF!</v>
      </c>
      <c r="D232" s="48">
        <f t="shared" si="49"/>
        <v>0</v>
      </c>
      <c r="E232" s="48" t="e">
        <f t="shared" si="50"/>
        <v>#REF!</v>
      </c>
      <c r="F232" s="48">
        <f t="shared" si="51"/>
        <v>0</v>
      </c>
      <c r="G232" s="48">
        <f t="shared" si="52"/>
        <v>104700</v>
      </c>
      <c r="H232" s="48"/>
      <c r="I232" s="48">
        <f t="shared" si="53"/>
        <v>30300</v>
      </c>
      <c r="J232" s="48" t="e">
        <f t="shared" si="54"/>
        <v>#REF!</v>
      </c>
      <c r="K232" s="48" t="e">
        <f t="shared" si="55"/>
        <v>#REF!</v>
      </c>
      <c r="L232" s="48"/>
      <c r="M232" s="48">
        <f t="shared" si="56"/>
        <v>0</v>
      </c>
      <c r="N232" s="48">
        <f t="shared" si="57"/>
        <v>0</v>
      </c>
      <c r="O232" s="48" t="e">
        <f t="shared" si="58"/>
        <v>#REF!</v>
      </c>
      <c r="P232" s="48" t="e">
        <f t="shared" si="59"/>
        <v>#REF!</v>
      </c>
      <c r="Q232" s="48" t="e">
        <f t="shared" si="60"/>
        <v>#REF!</v>
      </c>
      <c r="R232" s="48"/>
      <c r="S232" s="48"/>
      <c r="T232" s="1872"/>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row>
    <row r="233" spans="1:39" x14ac:dyDescent="0.2">
      <c r="A233" s="1250"/>
      <c r="B233" s="1866" t="str">
        <f t="shared" si="47"/>
        <v>Administration and Public Order</v>
      </c>
      <c r="C233" s="1283" t="e">
        <f t="shared" si="48"/>
        <v>#REF!</v>
      </c>
      <c r="D233" s="48">
        <f t="shared" si="49"/>
        <v>0</v>
      </c>
      <c r="E233" s="48" t="e">
        <f t="shared" si="50"/>
        <v>#REF!</v>
      </c>
      <c r="F233" s="48">
        <f t="shared" si="51"/>
        <v>0</v>
      </c>
      <c r="G233" s="48">
        <f t="shared" si="52"/>
        <v>153500</v>
      </c>
      <c r="H233" s="48"/>
      <c r="I233" s="48">
        <f t="shared" si="53"/>
        <v>52900</v>
      </c>
      <c r="J233" s="48" t="e">
        <f t="shared" si="54"/>
        <v>#REF!</v>
      </c>
      <c r="K233" s="48" t="e">
        <f t="shared" si="55"/>
        <v>#REF!</v>
      </c>
      <c r="L233" s="48"/>
      <c r="M233" s="48">
        <f t="shared" si="56"/>
        <v>0</v>
      </c>
      <c r="N233" s="48">
        <f t="shared" si="57"/>
        <v>0</v>
      </c>
      <c r="O233" s="48" t="e">
        <f t="shared" si="58"/>
        <v>#REF!</v>
      </c>
      <c r="P233" s="48" t="e">
        <f t="shared" si="59"/>
        <v>#REF!</v>
      </c>
      <c r="Q233" s="48" t="e">
        <f t="shared" si="60"/>
        <v>#REF!</v>
      </c>
      <c r="R233" s="48"/>
      <c r="S233" s="48"/>
      <c r="T233" s="1872"/>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row>
    <row r="234" spans="1:39" x14ac:dyDescent="0.2">
      <c r="A234" s="1250"/>
      <c r="B234" s="1866" t="str">
        <f t="shared" si="47"/>
        <v>Engineering Management</v>
      </c>
      <c r="C234" s="1283" t="e">
        <f t="shared" si="48"/>
        <v>#REF!</v>
      </c>
      <c r="D234" s="48">
        <f t="shared" si="49"/>
        <v>0</v>
      </c>
      <c r="E234" s="48" t="e">
        <f t="shared" si="50"/>
        <v>#REF!</v>
      </c>
      <c r="F234" s="48">
        <f t="shared" si="51"/>
        <v>0</v>
      </c>
      <c r="G234" s="48">
        <f t="shared" si="52"/>
        <v>502400</v>
      </c>
      <c r="H234" s="48"/>
      <c r="I234" s="48">
        <f t="shared" si="53"/>
        <v>104500</v>
      </c>
      <c r="J234" s="48" t="e">
        <f t="shared" si="54"/>
        <v>#REF!</v>
      </c>
      <c r="K234" s="48" t="e">
        <f t="shared" si="55"/>
        <v>#REF!</v>
      </c>
      <c r="L234" s="48" t="e">
        <f t="shared" ref="L234:L248" si="61">ROUND(P100/SUM($P$100:$P$114)*$F$31,-2)</f>
        <v>#REF!</v>
      </c>
      <c r="M234" s="48">
        <f t="shared" si="56"/>
        <v>0</v>
      </c>
      <c r="N234" s="48">
        <f t="shared" si="57"/>
        <v>0</v>
      </c>
      <c r="O234" s="48" t="e">
        <f t="shared" si="58"/>
        <v>#REF!</v>
      </c>
      <c r="P234" s="48" t="e">
        <f t="shared" si="59"/>
        <v>#REF!</v>
      </c>
      <c r="Q234" s="48" t="e">
        <f t="shared" si="60"/>
        <v>#REF!</v>
      </c>
      <c r="R234" s="48">
        <f>ROUND(F37/3,-2)</f>
        <v>40700</v>
      </c>
      <c r="S234" s="48"/>
      <c r="T234" s="1872"/>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row>
    <row r="235" spans="1:39" x14ac:dyDescent="0.2">
      <c r="A235" s="1250"/>
      <c r="B235" s="1866" t="str">
        <f t="shared" si="47"/>
        <v>Procurement and Building Management</v>
      </c>
      <c r="C235" s="1283" t="e">
        <f t="shared" si="48"/>
        <v>#REF!</v>
      </c>
      <c r="D235" s="48">
        <f t="shared" si="49"/>
        <v>0</v>
      </c>
      <c r="E235" s="48" t="e">
        <f t="shared" si="50"/>
        <v>#REF!</v>
      </c>
      <c r="F235" s="48">
        <f t="shared" si="51"/>
        <v>0</v>
      </c>
      <c r="G235" s="48">
        <f t="shared" si="52"/>
        <v>195400</v>
      </c>
      <c r="H235" s="48"/>
      <c r="I235" s="48">
        <f t="shared" si="53"/>
        <v>22200</v>
      </c>
      <c r="J235" s="48" t="e">
        <f t="shared" si="54"/>
        <v>#REF!</v>
      </c>
      <c r="K235" s="48" t="e">
        <f t="shared" si="55"/>
        <v>#REF!</v>
      </c>
      <c r="L235" s="48" t="e">
        <f t="shared" si="61"/>
        <v>#REF!</v>
      </c>
      <c r="M235" s="48">
        <f t="shared" si="56"/>
        <v>0</v>
      </c>
      <c r="N235" s="48">
        <f t="shared" si="57"/>
        <v>0</v>
      </c>
      <c r="O235" s="48" t="e">
        <f t="shared" si="58"/>
        <v>#REF!</v>
      </c>
      <c r="P235" s="48" t="e">
        <f t="shared" si="59"/>
        <v>#REF!</v>
      </c>
      <c r="Q235" s="48" t="e">
        <f t="shared" si="60"/>
        <v>#REF!</v>
      </c>
      <c r="R235" s="48"/>
      <c r="S235" s="48"/>
      <c r="T235" s="1872"/>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row>
    <row r="236" spans="1:39" x14ac:dyDescent="0.2">
      <c r="A236" s="1250"/>
      <c r="B236" s="1866" t="str">
        <f t="shared" si="47"/>
        <v>Stormwater and Env</v>
      </c>
      <c r="C236" s="1283" t="e">
        <f t="shared" si="48"/>
        <v>#REF!</v>
      </c>
      <c r="D236" s="48">
        <f t="shared" si="49"/>
        <v>0</v>
      </c>
      <c r="E236" s="48" t="e">
        <f t="shared" si="50"/>
        <v>#REF!</v>
      </c>
      <c r="F236" s="48">
        <f t="shared" si="51"/>
        <v>41100</v>
      </c>
      <c r="G236" s="48">
        <f t="shared" si="52"/>
        <v>0</v>
      </c>
      <c r="H236" s="48"/>
      <c r="I236" s="48">
        <f t="shared" si="53"/>
        <v>0</v>
      </c>
      <c r="J236" s="48" t="e">
        <f t="shared" si="54"/>
        <v>#REF!</v>
      </c>
      <c r="K236" s="48" t="e">
        <f t="shared" si="55"/>
        <v>#REF!</v>
      </c>
      <c r="L236" s="48" t="e">
        <f t="shared" si="61"/>
        <v>#REF!</v>
      </c>
      <c r="M236" s="48">
        <f t="shared" si="56"/>
        <v>48600</v>
      </c>
      <c r="N236" s="48">
        <f t="shared" si="57"/>
        <v>73400</v>
      </c>
      <c r="O236" s="48" t="e">
        <f t="shared" si="58"/>
        <v>#REF!</v>
      </c>
      <c r="P236" s="48" t="e">
        <f t="shared" si="59"/>
        <v>#REF!</v>
      </c>
      <c r="Q236" s="48" t="e">
        <f t="shared" si="60"/>
        <v>#REF!</v>
      </c>
      <c r="R236" s="48"/>
      <c r="S236" s="48"/>
      <c r="T236" s="1872"/>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row>
    <row r="237" spans="1:39" x14ac:dyDescent="0.2">
      <c r="A237" s="1250"/>
      <c r="B237" s="1866" t="str">
        <f t="shared" si="47"/>
        <v>Roads and Bridges</v>
      </c>
      <c r="C237" s="1283" t="e">
        <f t="shared" si="48"/>
        <v>#REF!</v>
      </c>
      <c r="D237" s="48">
        <f t="shared" si="49"/>
        <v>0</v>
      </c>
      <c r="E237" s="48" t="e">
        <f t="shared" si="50"/>
        <v>#REF!</v>
      </c>
      <c r="F237" s="48">
        <f t="shared" si="51"/>
        <v>273400</v>
      </c>
      <c r="G237" s="48">
        <f t="shared" si="52"/>
        <v>87200</v>
      </c>
      <c r="H237" s="48"/>
      <c r="I237" s="48">
        <f t="shared" si="53"/>
        <v>271400</v>
      </c>
      <c r="J237" s="48" t="e">
        <f t="shared" si="54"/>
        <v>#REF!</v>
      </c>
      <c r="K237" s="48" t="e">
        <f t="shared" si="55"/>
        <v>#REF!</v>
      </c>
      <c r="L237" s="48" t="e">
        <f t="shared" si="61"/>
        <v>#REF!</v>
      </c>
      <c r="M237" s="48">
        <f t="shared" si="56"/>
        <v>323600</v>
      </c>
      <c r="N237" s="48">
        <f t="shared" si="57"/>
        <v>488400</v>
      </c>
      <c r="O237" s="48" t="e">
        <f t="shared" si="58"/>
        <v>#REF!</v>
      </c>
      <c r="P237" s="48" t="e">
        <f t="shared" si="59"/>
        <v>#REF!</v>
      </c>
      <c r="Q237" s="48" t="e">
        <f t="shared" si="60"/>
        <v>#REF!</v>
      </c>
      <c r="R237" s="48"/>
      <c r="S237" s="48"/>
      <c r="T237" s="1872"/>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row>
    <row r="238" spans="1:39" x14ac:dyDescent="0.2">
      <c r="A238" s="1250"/>
      <c r="B238" s="1866" t="str">
        <f t="shared" si="47"/>
        <v>Ancillary Transport Services</v>
      </c>
      <c r="C238" s="1283" t="e">
        <f t="shared" si="48"/>
        <v>#REF!</v>
      </c>
      <c r="D238" s="48">
        <f t="shared" si="49"/>
        <v>0</v>
      </c>
      <c r="E238" s="48" t="e">
        <f t="shared" si="50"/>
        <v>#REF!</v>
      </c>
      <c r="F238" s="48">
        <f t="shared" si="51"/>
        <v>0</v>
      </c>
      <c r="G238" s="48">
        <f t="shared" si="52"/>
        <v>3500</v>
      </c>
      <c r="H238" s="48"/>
      <c r="I238" s="48">
        <f t="shared" si="53"/>
        <v>22200</v>
      </c>
      <c r="J238" s="48" t="e">
        <f t="shared" si="54"/>
        <v>#REF!</v>
      </c>
      <c r="K238" s="48" t="e">
        <f t="shared" si="55"/>
        <v>#REF!</v>
      </c>
      <c r="L238" s="48" t="e">
        <f t="shared" si="61"/>
        <v>#REF!</v>
      </c>
      <c r="M238" s="48">
        <f t="shared" si="56"/>
        <v>0</v>
      </c>
      <c r="N238" s="48">
        <f t="shared" si="57"/>
        <v>0</v>
      </c>
      <c r="O238" s="48" t="e">
        <f t="shared" si="58"/>
        <v>#REF!</v>
      </c>
      <c r="P238" s="48" t="e">
        <f t="shared" si="59"/>
        <v>#REF!</v>
      </c>
      <c r="Q238" s="48" t="e">
        <f t="shared" si="60"/>
        <v>#REF!</v>
      </c>
      <c r="R238" s="48"/>
      <c r="S238" s="48"/>
      <c r="T238" s="1872"/>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row>
    <row r="239" spans="1:39" x14ac:dyDescent="0.2">
      <c r="A239" s="1250"/>
      <c r="B239" s="1866" t="str">
        <f t="shared" si="47"/>
        <v>Roads and Maritime Services</v>
      </c>
      <c r="C239" s="1283" t="e">
        <f t="shared" si="48"/>
        <v>#REF!</v>
      </c>
      <c r="D239" s="48">
        <f t="shared" si="49"/>
        <v>0</v>
      </c>
      <c r="E239" s="48" t="e">
        <f t="shared" si="50"/>
        <v>#REF!</v>
      </c>
      <c r="F239" s="48">
        <f t="shared" si="51"/>
        <v>0</v>
      </c>
      <c r="G239" s="48">
        <f t="shared" si="52"/>
        <v>0</v>
      </c>
      <c r="H239" s="48"/>
      <c r="I239" s="48">
        <f t="shared" si="53"/>
        <v>0</v>
      </c>
      <c r="J239" s="48" t="e">
        <f t="shared" si="54"/>
        <v>#REF!</v>
      </c>
      <c r="K239" s="48" t="e">
        <f t="shared" si="55"/>
        <v>#REF!</v>
      </c>
      <c r="L239" s="48" t="e">
        <f t="shared" si="61"/>
        <v>#REF!</v>
      </c>
      <c r="M239" s="48">
        <f t="shared" si="56"/>
        <v>0</v>
      </c>
      <c r="N239" s="48">
        <f t="shared" si="57"/>
        <v>0</v>
      </c>
      <c r="O239" s="48" t="e">
        <f t="shared" si="58"/>
        <v>#REF!</v>
      </c>
      <c r="P239" s="48" t="e">
        <f t="shared" si="59"/>
        <v>#REF!</v>
      </c>
      <c r="Q239" s="48" t="e">
        <f t="shared" si="60"/>
        <v>#REF!</v>
      </c>
      <c r="R239" s="48"/>
      <c r="S239" s="48"/>
      <c r="T239" s="1872"/>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row>
    <row r="240" spans="1:39" x14ac:dyDescent="0.2">
      <c r="A240" s="1250"/>
      <c r="B240" s="1866" t="str">
        <f t="shared" si="47"/>
        <v>Open Spaces and Reserves</v>
      </c>
      <c r="C240" s="1283" t="e">
        <f t="shared" si="48"/>
        <v>#REF!</v>
      </c>
      <c r="D240" s="48">
        <f t="shared" si="49"/>
        <v>0</v>
      </c>
      <c r="E240" s="48" t="e">
        <f t="shared" si="50"/>
        <v>#REF!</v>
      </c>
      <c r="F240" s="48">
        <f t="shared" si="51"/>
        <v>0</v>
      </c>
      <c r="G240" s="48">
        <f t="shared" si="52"/>
        <v>66300</v>
      </c>
      <c r="H240" s="48"/>
      <c r="I240" s="48">
        <f t="shared" si="53"/>
        <v>154800</v>
      </c>
      <c r="J240" s="48" t="e">
        <f t="shared" si="54"/>
        <v>#REF!</v>
      </c>
      <c r="K240" s="48" t="e">
        <f t="shared" si="55"/>
        <v>#REF!</v>
      </c>
      <c r="L240" s="48" t="e">
        <f t="shared" si="61"/>
        <v>#REF!</v>
      </c>
      <c r="M240" s="48">
        <f t="shared" si="56"/>
        <v>0</v>
      </c>
      <c r="N240" s="48">
        <f t="shared" si="57"/>
        <v>0</v>
      </c>
      <c r="O240" s="48" t="e">
        <f t="shared" si="58"/>
        <v>#REF!</v>
      </c>
      <c r="P240" s="48" t="e">
        <f t="shared" si="59"/>
        <v>#REF!</v>
      </c>
      <c r="Q240" s="48" t="e">
        <f t="shared" si="60"/>
        <v>#REF!</v>
      </c>
      <c r="R240" s="48"/>
      <c r="S240" s="48"/>
      <c r="T240" s="1872"/>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row>
    <row r="241" spans="1:39" x14ac:dyDescent="0.2">
      <c r="A241" s="1250"/>
      <c r="B241" s="1866" t="str">
        <f t="shared" si="47"/>
        <v>Fleet Management and Workshop</v>
      </c>
      <c r="C241" s="1283" t="e">
        <f t="shared" si="48"/>
        <v>#REF!</v>
      </c>
      <c r="D241" s="48">
        <f t="shared" si="49"/>
        <v>0</v>
      </c>
      <c r="E241" s="48" t="e">
        <f t="shared" si="50"/>
        <v>#REF!</v>
      </c>
      <c r="F241" s="48">
        <f t="shared" si="51"/>
        <v>0</v>
      </c>
      <c r="G241" s="48">
        <f t="shared" si="52"/>
        <v>24400</v>
      </c>
      <c r="H241" s="48"/>
      <c r="I241" s="48">
        <f t="shared" si="53"/>
        <v>48900</v>
      </c>
      <c r="J241" s="48" t="e">
        <f t="shared" si="54"/>
        <v>#REF!</v>
      </c>
      <c r="K241" s="48" t="e">
        <f t="shared" si="55"/>
        <v>#REF!</v>
      </c>
      <c r="L241" s="48" t="e">
        <f t="shared" si="61"/>
        <v>#REF!</v>
      </c>
      <c r="M241" s="48">
        <f t="shared" si="56"/>
        <v>0</v>
      </c>
      <c r="N241" s="48">
        <f t="shared" si="57"/>
        <v>0</v>
      </c>
      <c r="O241" s="48" t="e">
        <f t="shared" si="58"/>
        <v>#REF!</v>
      </c>
      <c r="P241" s="48" t="e">
        <f t="shared" si="59"/>
        <v>#REF!</v>
      </c>
      <c r="Q241" s="48" t="e">
        <f t="shared" si="60"/>
        <v>#REF!</v>
      </c>
      <c r="R241" s="48"/>
      <c r="S241" s="48" t="e">
        <f>ROUND(SUM(C241:R241),-3)</f>
        <v>#REF!</v>
      </c>
      <c r="T241" s="1872" t="e">
        <f>S241/K107</f>
        <v>#REF!</v>
      </c>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row>
    <row r="242" spans="1:39" x14ac:dyDescent="0.2">
      <c r="A242" s="1250"/>
      <c r="B242" s="1866" t="str">
        <f t="shared" si="47"/>
        <v>Rural Fire Service</v>
      </c>
      <c r="C242" s="1283" t="e">
        <f t="shared" si="48"/>
        <v>#REF!</v>
      </c>
      <c r="D242" s="48">
        <f t="shared" si="49"/>
        <v>0</v>
      </c>
      <c r="E242" s="48" t="e">
        <f t="shared" si="50"/>
        <v>#REF!</v>
      </c>
      <c r="F242" s="48">
        <f t="shared" si="51"/>
        <v>0</v>
      </c>
      <c r="G242" s="48">
        <f t="shared" si="52"/>
        <v>0</v>
      </c>
      <c r="H242" s="48"/>
      <c r="I242" s="48">
        <f t="shared" si="53"/>
        <v>0</v>
      </c>
      <c r="J242" s="48" t="e">
        <f t="shared" si="54"/>
        <v>#REF!</v>
      </c>
      <c r="K242" s="48" t="e">
        <f t="shared" si="55"/>
        <v>#REF!</v>
      </c>
      <c r="L242" s="48" t="e">
        <f t="shared" si="61"/>
        <v>#REF!</v>
      </c>
      <c r="M242" s="48">
        <f t="shared" si="56"/>
        <v>0</v>
      </c>
      <c r="N242" s="48">
        <f t="shared" si="57"/>
        <v>0</v>
      </c>
      <c r="O242" s="48" t="e">
        <f t="shared" si="58"/>
        <v>#REF!</v>
      </c>
      <c r="P242" s="48" t="e">
        <f t="shared" si="59"/>
        <v>#REF!</v>
      </c>
      <c r="Q242" s="48" t="e">
        <f t="shared" si="60"/>
        <v>#REF!</v>
      </c>
      <c r="R242" s="48"/>
      <c r="S242" s="48"/>
      <c r="T242" s="1872"/>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row>
    <row r="243" spans="1:39" x14ac:dyDescent="0.2">
      <c r="A243" s="1250"/>
      <c r="B243" s="1866" t="str">
        <f t="shared" si="47"/>
        <v>Quarries and Sandpit</v>
      </c>
      <c r="C243" s="1283" t="e">
        <f t="shared" si="48"/>
        <v>#REF!</v>
      </c>
      <c r="D243" s="48">
        <f t="shared" si="49"/>
        <v>0</v>
      </c>
      <c r="E243" s="48" t="e">
        <f t="shared" si="50"/>
        <v>#REF!</v>
      </c>
      <c r="F243" s="48">
        <f t="shared" si="51"/>
        <v>0</v>
      </c>
      <c r="G243" s="48">
        <f t="shared" si="52"/>
        <v>0</v>
      </c>
      <c r="H243" s="48"/>
      <c r="I243" s="48">
        <f t="shared" si="53"/>
        <v>0</v>
      </c>
      <c r="J243" s="48" t="e">
        <f t="shared" si="54"/>
        <v>#REF!</v>
      </c>
      <c r="K243" s="48" t="e">
        <f t="shared" si="55"/>
        <v>#REF!</v>
      </c>
      <c r="L243" s="48" t="e">
        <f t="shared" si="61"/>
        <v>#REF!</v>
      </c>
      <c r="M243" s="48">
        <f t="shared" si="56"/>
        <v>0</v>
      </c>
      <c r="N243" s="48">
        <f t="shared" si="57"/>
        <v>0</v>
      </c>
      <c r="O243" s="48" t="e">
        <f t="shared" si="58"/>
        <v>#REF!</v>
      </c>
      <c r="P243" s="48" t="e">
        <f t="shared" si="59"/>
        <v>#REF!</v>
      </c>
      <c r="Q243" s="48" t="e">
        <f t="shared" si="60"/>
        <v>#REF!</v>
      </c>
      <c r="R243" s="48"/>
      <c r="S243" s="48"/>
      <c r="T243" s="1872">
        <f t="shared" ref="T243:T248" si="62">S243/K109</f>
        <v>0</v>
      </c>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row>
    <row r="244" spans="1:39" x14ac:dyDescent="0.2">
      <c r="A244" s="1250"/>
      <c r="B244" s="1866" t="str">
        <f t="shared" si="47"/>
        <v>Landfill and Resource Management</v>
      </c>
      <c r="C244" s="1283" t="e">
        <f t="shared" si="48"/>
        <v>#REF!</v>
      </c>
      <c r="D244" s="48">
        <f t="shared" si="49"/>
        <v>15200</v>
      </c>
      <c r="E244" s="48" t="e">
        <f t="shared" si="50"/>
        <v>#REF!</v>
      </c>
      <c r="F244" s="48">
        <f t="shared" si="51"/>
        <v>200</v>
      </c>
      <c r="G244" s="48">
        <f t="shared" si="52"/>
        <v>20900</v>
      </c>
      <c r="H244" s="48"/>
      <c r="I244" s="48">
        <f t="shared" si="53"/>
        <v>33800</v>
      </c>
      <c r="J244" s="48" t="e">
        <f t="shared" si="54"/>
        <v>#REF!</v>
      </c>
      <c r="K244" s="48" t="e">
        <f t="shared" si="55"/>
        <v>#REF!</v>
      </c>
      <c r="L244" s="48" t="e">
        <f t="shared" si="61"/>
        <v>#REF!</v>
      </c>
      <c r="M244" s="48">
        <f t="shared" si="56"/>
        <v>200</v>
      </c>
      <c r="N244" s="48">
        <f t="shared" si="57"/>
        <v>400</v>
      </c>
      <c r="O244" s="48" t="e">
        <f t="shared" si="58"/>
        <v>#REF!</v>
      </c>
      <c r="P244" s="48" t="e">
        <f t="shared" si="59"/>
        <v>#REF!</v>
      </c>
      <c r="Q244" s="48" t="e">
        <f t="shared" si="60"/>
        <v>#REF!</v>
      </c>
      <c r="R244" s="48"/>
      <c r="S244" s="48" t="e">
        <f t="shared" ref="S244:S246" si="63">ROUND(SUM(C244:R244),-3)</f>
        <v>#REF!</v>
      </c>
      <c r="T244" s="1872" t="e">
        <f t="shared" si="62"/>
        <v>#REF!</v>
      </c>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row>
    <row r="245" spans="1:39" x14ac:dyDescent="0.2">
      <c r="A245" s="1250"/>
      <c r="B245" s="1866" t="str">
        <f t="shared" si="47"/>
        <v>Waste - Domestic</v>
      </c>
      <c r="C245" s="1283" t="e">
        <f t="shared" si="48"/>
        <v>#REF!</v>
      </c>
      <c r="D245" s="48">
        <f t="shared" si="49"/>
        <v>140200</v>
      </c>
      <c r="E245" s="48" t="e">
        <f t="shared" si="50"/>
        <v>#REF!</v>
      </c>
      <c r="F245" s="48">
        <f t="shared" si="51"/>
        <v>0</v>
      </c>
      <c r="G245" s="48">
        <f t="shared" si="52"/>
        <v>20900</v>
      </c>
      <c r="H245" s="48"/>
      <c r="I245" s="48">
        <f t="shared" si="53"/>
        <v>33800</v>
      </c>
      <c r="J245" s="48" t="e">
        <f t="shared" si="54"/>
        <v>#REF!</v>
      </c>
      <c r="K245" s="48" t="e">
        <f t="shared" si="55"/>
        <v>#REF!</v>
      </c>
      <c r="L245" s="48" t="e">
        <f t="shared" si="61"/>
        <v>#REF!</v>
      </c>
      <c r="M245" s="48">
        <f t="shared" si="56"/>
        <v>0</v>
      </c>
      <c r="N245" s="48">
        <f t="shared" si="57"/>
        <v>0</v>
      </c>
      <c r="O245" s="48" t="e">
        <f t="shared" si="58"/>
        <v>#REF!</v>
      </c>
      <c r="P245" s="48" t="e">
        <f t="shared" si="59"/>
        <v>#REF!</v>
      </c>
      <c r="Q245" s="48" t="e">
        <f t="shared" si="60"/>
        <v>#REF!</v>
      </c>
      <c r="R245" s="48"/>
      <c r="S245" s="48" t="e">
        <f t="shared" si="63"/>
        <v>#REF!</v>
      </c>
      <c r="T245" s="1872" t="e">
        <f t="shared" si="62"/>
        <v>#REF!</v>
      </c>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row>
    <row r="246" spans="1:39" x14ac:dyDescent="0.2">
      <c r="A246" s="1250"/>
      <c r="B246" s="1866" t="str">
        <f t="shared" si="47"/>
        <v>NEWLOG</v>
      </c>
      <c r="C246" s="1283" t="e">
        <f t="shared" si="48"/>
        <v>#REF!</v>
      </c>
      <c r="D246" s="48">
        <f t="shared" si="49"/>
        <v>0</v>
      </c>
      <c r="E246" s="48" t="e">
        <f t="shared" si="50"/>
        <v>#REF!</v>
      </c>
      <c r="F246" s="48">
        <f t="shared" si="51"/>
        <v>0</v>
      </c>
      <c r="G246" s="48">
        <f t="shared" si="52"/>
        <v>20900</v>
      </c>
      <c r="H246" s="48"/>
      <c r="I246" s="48">
        <f t="shared" si="53"/>
        <v>17800</v>
      </c>
      <c r="J246" s="48" t="e">
        <f t="shared" si="54"/>
        <v>#REF!</v>
      </c>
      <c r="K246" s="48" t="e">
        <f t="shared" si="55"/>
        <v>#REF!</v>
      </c>
      <c r="L246" s="48" t="e">
        <f t="shared" si="61"/>
        <v>#REF!</v>
      </c>
      <c r="M246" s="48">
        <f t="shared" si="56"/>
        <v>0</v>
      </c>
      <c r="N246" s="48">
        <f t="shared" si="57"/>
        <v>0</v>
      </c>
      <c r="O246" s="48" t="e">
        <f t="shared" si="58"/>
        <v>#REF!</v>
      </c>
      <c r="P246" s="48" t="e">
        <f t="shared" si="59"/>
        <v>#REF!</v>
      </c>
      <c r="Q246" s="48" t="e">
        <f t="shared" si="60"/>
        <v>#REF!</v>
      </c>
      <c r="R246" s="48"/>
      <c r="S246" s="48" t="e">
        <f t="shared" si="63"/>
        <v>#REF!</v>
      </c>
      <c r="T246" s="1872" t="e">
        <f t="shared" si="62"/>
        <v>#REF!</v>
      </c>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row>
    <row r="247" spans="1:39" x14ac:dyDescent="0.2">
      <c r="A247" s="1250"/>
      <c r="B247" s="1866" t="str">
        <f t="shared" si="47"/>
        <v>Water</v>
      </c>
      <c r="C247" s="1283" t="e">
        <f t="shared" si="48"/>
        <v>#REF!</v>
      </c>
      <c r="D247" s="48">
        <f t="shared" si="49"/>
        <v>122600</v>
      </c>
      <c r="E247" s="48" t="e">
        <f t="shared" si="50"/>
        <v>#REF!</v>
      </c>
      <c r="F247" s="48">
        <f t="shared" si="51"/>
        <v>38200</v>
      </c>
      <c r="G247" s="48">
        <f t="shared" si="52"/>
        <v>134300</v>
      </c>
      <c r="H247" s="48"/>
      <c r="I247" s="48">
        <f t="shared" si="53"/>
        <v>86700</v>
      </c>
      <c r="J247" s="48" t="e">
        <f t="shared" si="54"/>
        <v>#REF!</v>
      </c>
      <c r="K247" s="48" t="e">
        <f t="shared" si="55"/>
        <v>#REF!</v>
      </c>
      <c r="L247" s="48" t="e">
        <f t="shared" si="61"/>
        <v>#REF!</v>
      </c>
      <c r="M247" s="48">
        <f t="shared" si="56"/>
        <v>45200</v>
      </c>
      <c r="N247" s="48">
        <f t="shared" si="57"/>
        <v>68200</v>
      </c>
      <c r="O247" s="48" t="e">
        <f t="shared" si="58"/>
        <v>#REF!</v>
      </c>
      <c r="P247" s="48" t="e">
        <f t="shared" si="59"/>
        <v>#REF!</v>
      </c>
      <c r="Q247" s="48" t="e">
        <f t="shared" si="60"/>
        <v>#REF!</v>
      </c>
      <c r="R247" s="48">
        <f>R234</f>
        <v>40700</v>
      </c>
      <c r="S247" s="48" t="e">
        <f>ROUND(SUM(C247:R247),-3)</f>
        <v>#REF!</v>
      </c>
      <c r="T247" s="1872" t="e">
        <f t="shared" si="62"/>
        <v>#REF!</v>
      </c>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row>
    <row r="248" spans="1:39" ht="13.5" thickBot="1" x14ac:dyDescent="0.25">
      <c r="A248" s="1250"/>
      <c r="B248" s="1866" t="str">
        <f t="shared" si="47"/>
        <v>Wastewater</v>
      </c>
      <c r="C248" s="1283" t="e">
        <f t="shared" si="48"/>
        <v>#REF!</v>
      </c>
      <c r="D248" s="48">
        <f t="shared" si="49"/>
        <v>120900</v>
      </c>
      <c r="E248" s="48" t="e">
        <f t="shared" si="50"/>
        <v>#REF!</v>
      </c>
      <c r="F248" s="48">
        <f t="shared" si="51"/>
        <v>107900</v>
      </c>
      <c r="G248" s="48">
        <f t="shared" si="52"/>
        <v>134300</v>
      </c>
      <c r="H248" s="48"/>
      <c r="I248" s="48">
        <f t="shared" si="53"/>
        <v>86700</v>
      </c>
      <c r="J248" s="48" t="e">
        <f t="shared" si="54"/>
        <v>#REF!</v>
      </c>
      <c r="K248" s="48" t="e">
        <f t="shared" si="55"/>
        <v>#REF!</v>
      </c>
      <c r="L248" s="48" t="e">
        <f t="shared" si="61"/>
        <v>#REF!</v>
      </c>
      <c r="M248" s="48">
        <f t="shared" si="56"/>
        <v>127700</v>
      </c>
      <c r="N248" s="48">
        <f t="shared" si="57"/>
        <v>192600</v>
      </c>
      <c r="O248" s="48" t="e">
        <f t="shared" si="58"/>
        <v>#REF!</v>
      </c>
      <c r="P248" s="48" t="e">
        <f t="shared" si="59"/>
        <v>#REF!</v>
      </c>
      <c r="Q248" s="48" t="e">
        <f t="shared" si="60"/>
        <v>#REF!</v>
      </c>
      <c r="R248" s="48">
        <f>R247</f>
        <v>40700</v>
      </c>
      <c r="S248" s="48" t="e">
        <f>ROUND(SUM(C248:R248),-3)</f>
        <v>#REF!</v>
      </c>
      <c r="T248" s="1872" t="e">
        <f t="shared" si="62"/>
        <v>#REF!</v>
      </c>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row>
    <row r="249" spans="1:39" ht="13.5" thickBot="1" x14ac:dyDescent="0.25">
      <c r="A249" s="1250"/>
      <c r="B249" s="1873" t="str">
        <f t="shared" si="47"/>
        <v>Totals</v>
      </c>
      <c r="C249" s="1874" t="e">
        <f>SUM(C218:C248)</f>
        <v>#REF!</v>
      </c>
      <c r="D249" s="1849">
        <f>SUM(D218:D248)</f>
        <v>556700</v>
      </c>
      <c r="E249" s="1849" t="e">
        <f>SUM(E218:E248)</f>
        <v>#REF!</v>
      </c>
      <c r="F249" s="1849">
        <f>SUM(F218:F248)</f>
        <v>460800</v>
      </c>
      <c r="G249" s="1849">
        <f>SUM(G218:G248)</f>
        <v>1890900</v>
      </c>
      <c r="H249" s="1849"/>
      <c r="I249" s="1849">
        <f>SUM(I218:I248)</f>
        <v>1158800</v>
      </c>
      <c r="J249" s="1849" t="e">
        <f>SUM(J218:J248)</f>
        <v>#REF!</v>
      </c>
      <c r="K249" s="1849" t="e">
        <f>SUM(K222:K248)</f>
        <v>#REF!</v>
      </c>
      <c r="L249" s="1849" t="e">
        <f t="shared" ref="L249:S249" si="64">SUM(L218:L248)</f>
        <v>#REF!</v>
      </c>
      <c r="M249" s="1849">
        <f t="shared" si="64"/>
        <v>545300</v>
      </c>
      <c r="N249" s="1849">
        <f t="shared" si="64"/>
        <v>823000</v>
      </c>
      <c r="O249" s="1849" t="e">
        <f t="shared" si="64"/>
        <v>#REF!</v>
      </c>
      <c r="P249" s="1849" t="e">
        <f t="shared" si="64"/>
        <v>#REF!</v>
      </c>
      <c r="Q249" s="1849" t="e">
        <f t="shared" si="64"/>
        <v>#REF!</v>
      </c>
      <c r="R249" s="1849">
        <f t="shared" si="64"/>
        <v>122100</v>
      </c>
      <c r="S249" s="1849" t="e">
        <f t="shared" si="64"/>
        <v>#REF!</v>
      </c>
      <c r="T249" s="1875" t="e">
        <f>S249/J160</f>
        <v>#REF!</v>
      </c>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row>
    <row r="250" spans="1:39" x14ac:dyDescent="0.2">
      <c r="A250" s="1250"/>
      <c r="B250" s="1876"/>
      <c r="C250" s="1821"/>
      <c r="D250" s="63"/>
      <c r="E250" s="63"/>
      <c r="F250" s="63"/>
      <c r="G250" s="63"/>
      <c r="H250" s="63"/>
      <c r="I250" s="63"/>
      <c r="J250" s="63"/>
      <c r="K250" s="63"/>
      <c r="L250" s="63"/>
      <c r="M250" s="63"/>
      <c r="N250" s="63"/>
      <c r="O250" s="63"/>
      <c r="P250" s="63"/>
      <c r="Q250" s="63"/>
      <c r="R250" s="63"/>
      <c r="S250" s="63"/>
      <c r="T250" s="1062"/>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row>
    <row r="251" spans="1:39" x14ac:dyDescent="0.2">
      <c r="A251" s="1250"/>
      <c r="B251" s="1876" t="s">
        <v>3739</v>
      </c>
      <c r="C251" s="1821" t="e">
        <f>ROUND(C249/$F$115,-2)</f>
        <v>#REF!</v>
      </c>
      <c r="D251" s="63">
        <f t="shared" ref="D251:F251" si="65">ROUND(D249/$F$115,-2)</f>
        <v>2000</v>
      </c>
      <c r="E251" s="63" t="e">
        <f t="shared" si="65"/>
        <v>#REF!</v>
      </c>
      <c r="F251" s="63">
        <f t="shared" si="65"/>
        <v>1600</v>
      </c>
      <c r="G251" s="63">
        <f>ROUND(G249/$F$115,-2)</f>
        <v>6600</v>
      </c>
      <c r="H251" s="63"/>
      <c r="I251" s="63">
        <f t="shared" ref="I251:S251" si="66">ROUND(I249/$F$115,-2)</f>
        <v>4100</v>
      </c>
      <c r="J251" s="63" t="e">
        <f t="shared" si="66"/>
        <v>#REF!</v>
      </c>
      <c r="K251" s="63" t="e">
        <f t="shared" si="66"/>
        <v>#REF!</v>
      </c>
      <c r="L251" s="63" t="e">
        <f t="shared" si="66"/>
        <v>#REF!</v>
      </c>
      <c r="M251" s="63">
        <f t="shared" si="66"/>
        <v>1900</v>
      </c>
      <c r="N251" s="63">
        <f t="shared" si="66"/>
        <v>2900</v>
      </c>
      <c r="O251" s="63" t="e">
        <f t="shared" si="66"/>
        <v>#REF!</v>
      </c>
      <c r="P251" s="63" t="e">
        <f t="shared" si="66"/>
        <v>#REF!</v>
      </c>
      <c r="Q251" s="63" t="e">
        <f t="shared" si="66"/>
        <v>#REF!</v>
      </c>
      <c r="R251" s="63">
        <f t="shared" si="66"/>
        <v>400</v>
      </c>
      <c r="S251" s="63" t="e">
        <f t="shared" si="66"/>
        <v>#REF!</v>
      </c>
      <c r="T251" s="1062"/>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row>
    <row r="252" spans="1:39" ht="13.5" thickBot="1" x14ac:dyDescent="0.25">
      <c r="A252" s="1250"/>
      <c r="B252" s="1868"/>
      <c r="C252" s="1823"/>
      <c r="D252" s="1098"/>
      <c r="E252" s="1098"/>
      <c r="F252" s="1098"/>
      <c r="G252" s="1098"/>
      <c r="H252" s="1098"/>
      <c r="I252" s="1098"/>
      <c r="J252" s="1098"/>
      <c r="K252" s="1098"/>
      <c r="L252" s="1098"/>
      <c r="M252" s="1098"/>
      <c r="N252" s="1098"/>
      <c r="O252" s="1098"/>
      <c r="P252" s="1098"/>
      <c r="Q252" s="1098"/>
      <c r="R252" s="1098"/>
      <c r="S252" s="1098"/>
      <c r="T252" s="1099"/>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row>
    <row r="253" spans="1:39" ht="12" customHeight="1" x14ac:dyDescent="0.2">
      <c r="A253" s="1250"/>
      <c r="B253" s="1866"/>
      <c r="C253" s="1821"/>
      <c r="D253" s="63"/>
      <c r="E253" s="63"/>
      <c r="F253" s="63"/>
      <c r="G253" s="63"/>
      <c r="H253" s="63"/>
      <c r="I253" s="63"/>
      <c r="J253" s="63"/>
      <c r="K253" s="63"/>
      <c r="L253" s="63"/>
      <c r="M253" s="63"/>
      <c r="N253" s="63"/>
      <c r="O253" s="63"/>
      <c r="P253" s="63"/>
      <c r="Q253" s="63"/>
      <c r="R253" s="63"/>
      <c r="S253" s="63"/>
      <c r="T253" s="1062"/>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row>
    <row r="254" spans="1:39" x14ac:dyDescent="0.2">
      <c r="A254" s="1250"/>
      <c r="B254" s="1877" t="s">
        <v>400</v>
      </c>
      <c r="C254" s="1821" t="e">
        <f>C249-C256</f>
        <v>#REF!</v>
      </c>
      <c r="D254" s="63">
        <f t="shared" ref="D254:G254" si="67">D249-D256</f>
        <v>0</v>
      </c>
      <c r="E254" s="63" t="e">
        <f t="shared" si="67"/>
        <v>#REF!</v>
      </c>
      <c r="F254" s="63">
        <f t="shared" si="67"/>
        <v>0</v>
      </c>
      <c r="G254" s="63">
        <f t="shared" si="67"/>
        <v>-100</v>
      </c>
      <c r="H254" s="63"/>
      <c r="I254" s="63">
        <f t="shared" ref="I254:R254" si="68">I249-I256</f>
        <v>-300</v>
      </c>
      <c r="J254" s="63" t="e">
        <f t="shared" si="68"/>
        <v>#REF!</v>
      </c>
      <c r="K254" s="63" t="e">
        <f t="shared" si="68"/>
        <v>#REF!</v>
      </c>
      <c r="L254" s="63" t="e">
        <f t="shared" si="68"/>
        <v>#REF!</v>
      </c>
      <c r="M254" s="63">
        <f t="shared" si="68"/>
        <v>-100</v>
      </c>
      <c r="N254" s="63">
        <f t="shared" si="68"/>
        <v>0</v>
      </c>
      <c r="O254" s="63" t="e">
        <f t="shared" si="68"/>
        <v>#REF!</v>
      </c>
      <c r="P254" s="63" t="e">
        <f t="shared" si="68"/>
        <v>#REF!</v>
      </c>
      <c r="Q254" s="63" t="e">
        <f t="shared" si="68"/>
        <v>#REF!</v>
      </c>
      <c r="R254" s="63">
        <f t="shared" si="68"/>
        <v>122100</v>
      </c>
      <c r="S254" s="1189"/>
      <c r="T254" s="1878"/>
      <c r="U254" s="1250"/>
      <c r="V254" s="1250"/>
      <c r="W254" s="1250"/>
      <c r="X254" s="1250"/>
      <c r="Y254" s="1250"/>
      <c r="Z254" s="1250"/>
    </row>
    <row r="255" spans="1:39" x14ac:dyDescent="0.2">
      <c r="A255" s="1250"/>
      <c r="B255" s="1879"/>
      <c r="C255" s="1821"/>
      <c r="D255" s="63"/>
      <c r="E255" s="63"/>
      <c r="F255" s="63"/>
      <c r="G255" s="63"/>
      <c r="H255" s="63"/>
      <c r="I255" s="63"/>
      <c r="J255" s="63"/>
      <c r="K255" s="63"/>
      <c r="L255" s="63"/>
      <c r="M255" s="63"/>
      <c r="N255" s="63"/>
      <c r="O255" s="63"/>
      <c r="P255" s="63"/>
      <c r="Q255" s="63"/>
      <c r="R255" s="63"/>
      <c r="S255" s="1189"/>
      <c r="T255" s="1878"/>
      <c r="U255" s="1250"/>
      <c r="V255" s="1250"/>
      <c r="W255" s="1250"/>
      <c r="X255" s="1250"/>
      <c r="Y255" s="1250"/>
      <c r="Z255" s="1250"/>
    </row>
    <row r="256" spans="1:39" x14ac:dyDescent="0.2">
      <c r="A256" s="1250"/>
      <c r="B256" s="1876" t="s">
        <v>3642</v>
      </c>
      <c r="C256" s="1821">
        <f>ROUND(F23,-2)</f>
        <v>0</v>
      </c>
      <c r="D256" s="63">
        <f>F24</f>
        <v>556700</v>
      </c>
      <c r="E256" s="63">
        <f>F25+D220</f>
        <v>1074100</v>
      </c>
      <c r="F256" s="63">
        <f>F26</f>
        <v>460800</v>
      </c>
      <c r="G256" s="63">
        <f>F27</f>
        <v>1891000</v>
      </c>
      <c r="H256" s="63"/>
      <c r="I256" s="63">
        <f>F28</f>
        <v>1159100</v>
      </c>
      <c r="J256" s="63">
        <f>F29</f>
        <v>1779400</v>
      </c>
      <c r="K256" s="63">
        <f>F30</f>
        <v>2488100</v>
      </c>
      <c r="L256" s="63">
        <f>F31</f>
        <v>967500</v>
      </c>
      <c r="M256" s="63">
        <f>F32</f>
        <v>545400</v>
      </c>
      <c r="N256" s="63">
        <f>F33</f>
        <v>823000</v>
      </c>
      <c r="O256" s="63">
        <f>F34</f>
        <v>147000</v>
      </c>
      <c r="P256" s="63">
        <f>F35</f>
        <v>221200</v>
      </c>
      <c r="Q256" s="63">
        <f>F36</f>
        <v>0</v>
      </c>
      <c r="R256" s="63">
        <f>F369</f>
        <v>0</v>
      </c>
      <c r="S256" s="63">
        <f>SUM(C256:R256)</f>
        <v>12113300</v>
      </c>
      <c r="T256" s="1062"/>
      <c r="U256" s="1250"/>
      <c r="V256" s="1250"/>
      <c r="W256" s="1250"/>
      <c r="X256" s="1250"/>
      <c r="Y256" s="1250"/>
      <c r="Z256" s="1250"/>
    </row>
    <row r="257" spans="1:26" ht="13.5" thickBot="1" x14ac:dyDescent="0.25">
      <c r="A257" s="1250"/>
      <c r="B257" s="1880"/>
      <c r="C257" s="1857"/>
      <c r="D257" s="1860"/>
      <c r="E257" s="1870"/>
      <c r="F257" s="1870"/>
      <c r="G257" s="1860"/>
      <c r="H257" s="1860"/>
      <c r="I257" s="1860"/>
      <c r="J257" s="1860"/>
      <c r="K257" s="1860"/>
      <c r="L257" s="1860"/>
      <c r="M257" s="1860"/>
      <c r="N257" s="1860"/>
      <c r="O257" s="1860"/>
      <c r="P257" s="1860"/>
      <c r="Q257" s="1860"/>
      <c r="R257" s="1860"/>
      <c r="S257" s="1860"/>
      <c r="T257" s="1881"/>
      <c r="U257" s="1250"/>
      <c r="V257" s="1250"/>
      <c r="W257" s="1250"/>
      <c r="X257" s="1250"/>
      <c r="Y257" s="1250"/>
      <c r="Z257" s="1250"/>
    </row>
    <row r="258" spans="1:26" s="1250" customFormat="1" x14ac:dyDescent="0.2">
      <c r="B258" s="1843"/>
      <c r="E258" s="115"/>
      <c r="F258" s="115"/>
      <c r="K258" s="115"/>
      <c r="L258" s="115"/>
    </row>
    <row r="259" spans="1:26" x14ac:dyDescent="0.2">
      <c r="A259" s="1250"/>
      <c r="B259" s="1882" t="s">
        <v>3811</v>
      </c>
      <c r="C259" s="1596" t="s">
        <v>4473</v>
      </c>
      <c r="D259" s="1596" t="s">
        <v>4474</v>
      </c>
      <c r="E259" s="1596" t="s">
        <v>5929</v>
      </c>
      <c r="F259" s="1596" t="s">
        <v>5930</v>
      </c>
      <c r="G259" s="1596" t="s">
        <v>4633</v>
      </c>
      <c r="H259" s="1596" t="s">
        <v>1169</v>
      </c>
      <c r="I259" s="1883" t="s">
        <v>2144</v>
      </c>
      <c r="J259" s="1596" t="s">
        <v>1169</v>
      </c>
      <c r="K259" s="115"/>
      <c r="L259" s="1250"/>
      <c r="M259" s="1250"/>
      <c r="N259" s="1250"/>
      <c r="O259" s="1250"/>
      <c r="P259" s="1250"/>
      <c r="Q259" s="1250"/>
      <c r="R259" s="1250"/>
      <c r="S259" s="1250"/>
    </row>
    <row r="260" spans="1:26" x14ac:dyDescent="0.2">
      <c r="A260" s="1250"/>
      <c r="B260" s="1884"/>
      <c r="C260" s="1281"/>
      <c r="D260" s="1281"/>
      <c r="E260" s="1281"/>
      <c r="F260" s="1281"/>
      <c r="G260" s="1281"/>
      <c r="H260" s="1281"/>
      <c r="I260" s="1281"/>
      <c r="J260" s="1281"/>
      <c r="K260" s="115"/>
      <c r="L260" s="1250"/>
      <c r="M260" s="1250"/>
      <c r="N260" s="1250"/>
      <c r="O260" s="1250"/>
      <c r="P260" s="1250"/>
      <c r="Q260" s="1250"/>
      <c r="R260" s="1250"/>
      <c r="S260" s="1250"/>
    </row>
    <row r="261" spans="1:26" x14ac:dyDescent="0.2">
      <c r="A261" s="1250"/>
      <c r="B261" s="1125" t="s">
        <v>1017</v>
      </c>
      <c r="C261" s="1281"/>
      <c r="D261" s="48">
        <f>-SUM(C$133+C$134+C$135+C$152+C$155+C$156+C$157+C$158+C$159+C154)</f>
        <v>0</v>
      </c>
      <c r="E261" s="1281"/>
      <c r="F261" s="48">
        <f>-(C$177+C$178+C$179+C$196+C$198+C$199+C$200+C$201+C$202+C$203)</f>
        <v>0</v>
      </c>
      <c r="G261" s="1281"/>
      <c r="H261" s="1281"/>
      <c r="I261" s="1281"/>
      <c r="J261" s="1281"/>
      <c r="L261" s="1250"/>
      <c r="M261" s="115"/>
      <c r="N261" s="115"/>
      <c r="O261" s="115"/>
      <c r="P261" s="115"/>
      <c r="Q261" s="115"/>
      <c r="R261" s="115"/>
      <c r="S261" s="115"/>
      <c r="T261" s="115"/>
    </row>
    <row r="262" spans="1:26" x14ac:dyDescent="0.2">
      <c r="A262" s="1250"/>
      <c r="B262" s="1125" t="s">
        <v>87</v>
      </c>
      <c r="C262" s="1281"/>
      <c r="D262" s="48">
        <f>-SUM(D$133+D$134+D$135+D$152+D$155+D$156+D$157+D$158+D$159+E133+E134+E135+E152+E155+E156+E157+E158+E159+D154+E154)</f>
        <v>-919500</v>
      </c>
      <c r="E262" s="1281"/>
      <c r="F262" s="48">
        <f>-(D$177+D$178+D$179+D$196+D$198+D$199+D$200+D$201+D$202+D$203+E177+E178+E179+E196+E198+E199+E200+E201+E202+E203)</f>
        <v>-995200</v>
      </c>
      <c r="G262" s="1281"/>
      <c r="H262" s="1281"/>
      <c r="I262" s="1281"/>
      <c r="J262" s="1281"/>
      <c r="L262" s="1250"/>
      <c r="M262" s="1250"/>
      <c r="N262" s="115"/>
      <c r="O262" s="1250"/>
      <c r="P262" s="1250"/>
      <c r="Q262" s="1250"/>
      <c r="R262" s="1250"/>
      <c r="S262" s="1250"/>
    </row>
    <row r="263" spans="1:26" x14ac:dyDescent="0.2">
      <c r="A263" s="1250"/>
      <c r="B263" s="1125" t="s">
        <v>2273</v>
      </c>
      <c r="C263" s="1281"/>
      <c r="D263" s="48">
        <f>-SUM(F$133+F$134+F$135+F$152+F$155+F$156+F$157+F$158+F$159+G133+G134+G135+G152+G155+G156+G157+G158+G159+F154+G154)</f>
        <v>-551800</v>
      </c>
      <c r="E263" s="1281"/>
      <c r="F263" s="48">
        <f>-(F$177+F$178+F$179+F$196+F$198+F$199+F$200+F$201+F$202+F$203+G177+G178+G179+G196+G198+G199+G200+G201+G202+G203)</f>
        <v>-576000</v>
      </c>
      <c r="G263" s="1281"/>
      <c r="H263" s="1281"/>
      <c r="I263" s="1281"/>
      <c r="J263" s="1281"/>
      <c r="L263" s="1250"/>
      <c r="M263" s="1250"/>
      <c r="N263" s="1250"/>
      <c r="O263" s="1250"/>
      <c r="P263" s="1250"/>
      <c r="Q263" s="1250"/>
      <c r="R263" s="1250"/>
      <c r="S263" s="1250"/>
    </row>
    <row r="264" spans="1:26" x14ac:dyDescent="0.2">
      <c r="A264" s="1250"/>
      <c r="B264" s="1125" t="s">
        <v>357</v>
      </c>
      <c r="C264" s="1281"/>
      <c r="D264" s="48">
        <f>-SUM(I$133+I$134+I$135+I$152+I$155+I$156+I$157+I$158+I$159+I154)</f>
        <v>-379900</v>
      </c>
      <c r="E264" s="1281"/>
      <c r="F264" s="48">
        <f>-(I$177+I$178+I$179+I$196+I$198+I$199+I$200+I$201+I$202+I$203)</f>
        <v>-231600</v>
      </c>
      <c r="G264" s="1281"/>
      <c r="H264" s="1281"/>
      <c r="I264" s="1281"/>
      <c r="J264" s="1281"/>
      <c r="L264" s="1250"/>
      <c r="M264" s="1250"/>
      <c r="N264" s="1250"/>
      <c r="O264" s="1250"/>
      <c r="P264" s="1250"/>
      <c r="Q264" s="1250"/>
      <c r="R264" s="1250"/>
      <c r="S264" s="1250"/>
    </row>
    <row r="265" spans="1:26" x14ac:dyDescent="0.2">
      <c r="A265" s="1250"/>
      <c r="B265" s="1125" t="s">
        <v>3812</v>
      </c>
      <c r="C265" s="1281"/>
      <c r="D265" s="48">
        <f>-SUM(J$133+J$134+J$135+J$152+J$155+J$156+J$157+J$158+J$159+J154)</f>
        <v>-1023600</v>
      </c>
      <c r="E265" s="1281"/>
      <c r="F265" s="48">
        <f>-(J$177+J$178+J$179+J$196+J$198+J$199+J$200+J$201+J$202+J$203)</f>
        <v>-684800</v>
      </c>
      <c r="G265" s="1281"/>
      <c r="H265" s="1281"/>
      <c r="I265" s="1281"/>
      <c r="J265" s="1281"/>
      <c r="L265" s="1250"/>
      <c r="M265" s="1250"/>
      <c r="N265" s="1250"/>
      <c r="O265" s="1250"/>
      <c r="P265" s="1250"/>
      <c r="Q265" s="1250"/>
      <c r="R265" s="1250"/>
      <c r="S265" s="1250"/>
    </row>
    <row r="266" spans="1:26" x14ac:dyDescent="0.2">
      <c r="A266" s="1250"/>
      <c r="B266" s="1125" t="s">
        <v>771</v>
      </c>
      <c r="C266" s="1281"/>
      <c r="D266" s="48">
        <f>-SUM(K$133+K$134+K$135+K$152+K$155+K$156+K$157+K$158+K$159+K154)</f>
        <v>-1189200</v>
      </c>
      <c r="E266" s="1281"/>
      <c r="F266" s="48">
        <f>-(K$177+K$178+K$179+K$196+K$198+K$199+K$200+K$201+K$202+K$203)</f>
        <v>-1586300</v>
      </c>
      <c r="G266" s="1281"/>
      <c r="H266" s="1281"/>
      <c r="I266" s="1281"/>
      <c r="J266" s="1281"/>
      <c r="L266" s="1250"/>
      <c r="M266" s="1250"/>
      <c r="N266" s="1250"/>
      <c r="O266" s="1250"/>
      <c r="P266" s="1250"/>
      <c r="Q266" s="1250"/>
      <c r="R266" s="1250"/>
      <c r="S266" s="1250"/>
    </row>
    <row r="267" spans="1:26" x14ac:dyDescent="0.2">
      <c r="A267" s="1250"/>
      <c r="B267" s="1125" t="s">
        <v>563</v>
      </c>
      <c r="C267" s="1281"/>
      <c r="D267" s="48">
        <f>-SUM(L$133+L$134+L$135+L$152+L$155+L$156+L$157+L$158+L$159+M133+M134+M135+M152+M155+M156+M157+M158+M159+L154+M154)</f>
        <v>-784500</v>
      </c>
      <c r="E267" s="1281"/>
      <c r="F267" s="48">
        <f>-(L$177+L$178+L$179+L$196+L$198+L$199+L$200+L$201+L$202+L$203+M202+M203)</f>
        <v>-813900</v>
      </c>
      <c r="G267" s="1281"/>
      <c r="H267" s="1281"/>
      <c r="I267" s="1281"/>
      <c r="J267" s="1281"/>
      <c r="L267" s="1250"/>
      <c r="M267" s="1250"/>
      <c r="N267" s="1250"/>
      <c r="O267" s="1250"/>
      <c r="P267" s="1250"/>
      <c r="Q267" s="1250"/>
      <c r="R267" s="1250"/>
      <c r="S267" s="1250"/>
    </row>
    <row r="268" spans="1:26" x14ac:dyDescent="0.2">
      <c r="A268" s="1250"/>
      <c r="B268" s="1125" t="s">
        <v>1238</v>
      </c>
      <c r="C268" s="1281"/>
      <c r="D268" s="48">
        <f>-SUM(N$133+N$134+N$135+N$152+N$155+N$156+N$157+N$158+N$159+N154)</f>
        <v>-223500</v>
      </c>
      <c r="E268" s="1281"/>
      <c r="F268" s="48" t="e">
        <f>-(N$177+N$178+N$179+N$196+N$198+N$199+N$200+N$201+N$202+N$203)</f>
        <v>#REF!</v>
      </c>
      <c r="G268" s="1281"/>
      <c r="H268" s="1281"/>
      <c r="I268" s="1281"/>
      <c r="J268" s="1281"/>
      <c r="L268" s="1250"/>
      <c r="M268" s="1250"/>
      <c r="N268" s="1250"/>
      <c r="O268" s="1250"/>
      <c r="P268" s="1250"/>
      <c r="Q268" s="1250"/>
      <c r="R268" s="1250"/>
      <c r="S268" s="1250"/>
    </row>
    <row r="269" spans="1:26" x14ac:dyDescent="0.2">
      <c r="A269" s="1250"/>
      <c r="B269" s="1125" t="s">
        <v>214</v>
      </c>
      <c r="C269" s="1281"/>
      <c r="D269" s="48">
        <f>-SUM(O$133+O$134+O$135+O$152+O$155+O$156+O$157+O$158+O$159+O154)/2</f>
        <v>-40700</v>
      </c>
      <c r="E269" s="1281"/>
      <c r="F269" s="48">
        <f>-(O$177+O$178+O$179+O$196+O$198+O$199+O$200+O$201+O$202+O$203+R202+R203)/2</f>
        <v>-79700</v>
      </c>
      <c r="G269" s="1281"/>
      <c r="H269" s="1281"/>
      <c r="I269" s="1281"/>
      <c r="J269" s="1281"/>
      <c r="L269" s="1250"/>
      <c r="M269" s="1250"/>
      <c r="N269" s="1250"/>
      <c r="O269" s="1250"/>
      <c r="P269" s="1250"/>
      <c r="Q269" s="1250"/>
      <c r="R269" s="1250"/>
      <c r="S269" s="1250"/>
    </row>
    <row r="270" spans="1:26" x14ac:dyDescent="0.2">
      <c r="A270" s="1250"/>
      <c r="B270" s="1125" t="s">
        <v>2661</v>
      </c>
      <c r="C270" s="1281"/>
      <c r="D270" s="48">
        <f>D269</f>
        <v>-40700</v>
      </c>
      <c r="E270" s="1281"/>
      <c r="F270" s="48">
        <f>F269</f>
        <v>-79700</v>
      </c>
      <c r="G270" s="1281"/>
      <c r="H270" s="1281"/>
      <c r="I270" s="1281"/>
      <c r="J270" s="1281"/>
      <c r="L270" s="1250"/>
      <c r="M270" s="1250"/>
      <c r="N270" s="1250"/>
      <c r="O270" s="1250"/>
      <c r="P270" s="1250"/>
      <c r="Q270" s="1250"/>
      <c r="R270" s="1250"/>
      <c r="S270" s="1250"/>
    </row>
    <row r="271" spans="1:26" x14ac:dyDescent="0.2">
      <c r="A271" s="1250"/>
      <c r="B271" s="1125" t="s">
        <v>3483</v>
      </c>
      <c r="C271" s="1281"/>
      <c r="D271" s="48">
        <f>-SUM(P$133+P$134+P$135+P$152+P$155+P$156+P$157+P$158+P$159+R159+R158+R156+R155+R157+R152+R135+R134+R133+P154+R154)</f>
        <v>-245000</v>
      </c>
      <c r="E271" s="1281"/>
      <c r="F271" s="48">
        <f>-(P$177+P$178+P$179+P$196+P$198+P$199+P$200+P$201+P$202+P$203)</f>
        <v>-170600</v>
      </c>
      <c r="G271" s="1281"/>
      <c r="H271" s="1281"/>
      <c r="I271" s="1281"/>
      <c r="J271" s="1281"/>
      <c r="L271" s="1250"/>
      <c r="M271" s="1250"/>
      <c r="N271" s="1250"/>
      <c r="O271" s="1250"/>
      <c r="P271" s="1250"/>
      <c r="Q271" s="1250"/>
      <c r="R271" s="1250"/>
      <c r="S271" s="1250"/>
    </row>
    <row r="272" spans="1:26" x14ac:dyDescent="0.2">
      <c r="A272" s="1250"/>
      <c r="B272" s="1125" t="s">
        <v>3246</v>
      </c>
      <c r="C272" s="1281"/>
      <c r="D272" s="48">
        <f>-SUM(Q$133+Q$134+Q$135+Q$152+Q$155+Q$156+Q$157+Q$158+Q$159+Q154)</f>
        <v>-91200</v>
      </c>
      <c r="E272" s="1281"/>
      <c r="F272" s="48">
        <f>-(Q$177+Q$178+Q$179+Q$196+Q$198+Q$199+Q$200+Q$201+Q$202+Q$203)</f>
        <v>0</v>
      </c>
      <c r="G272" s="1281"/>
      <c r="H272" s="1281"/>
      <c r="I272" s="1281"/>
      <c r="J272" s="1281"/>
      <c r="L272" s="1250"/>
      <c r="M272" s="1250"/>
      <c r="O272" s="1250"/>
      <c r="P272" s="1250"/>
      <c r="Q272" s="1250"/>
      <c r="R272" s="1250"/>
      <c r="S272" s="1250"/>
    </row>
    <row r="273" spans="1:19" s="573" customFormat="1" x14ac:dyDescent="0.2">
      <c r="A273" s="542"/>
      <c r="B273" s="1821" t="s">
        <v>6687</v>
      </c>
      <c r="C273" s="1189"/>
      <c r="D273" s="92"/>
      <c r="E273" s="1189"/>
      <c r="F273" s="63"/>
      <c r="G273" s="63">
        <f>GM!E646</f>
        <v>-5584000</v>
      </c>
      <c r="H273" s="63" t="e">
        <f>-G273+F284</f>
        <v>#REF!</v>
      </c>
      <c r="I273" s="63">
        <v>-5769000</v>
      </c>
      <c r="J273" s="63">
        <f>I273-G273</f>
        <v>-185000</v>
      </c>
      <c r="L273" s="1885"/>
      <c r="M273" s="542"/>
      <c r="O273" s="542"/>
      <c r="P273" s="542"/>
      <c r="Q273" s="542"/>
      <c r="R273" s="542"/>
      <c r="S273" s="542"/>
    </row>
    <row r="274" spans="1:19" x14ac:dyDescent="0.2">
      <c r="A274" s="1250"/>
      <c r="B274" s="1283" t="s">
        <v>1732</v>
      </c>
      <c r="C274" s="48">
        <f>S158</f>
        <v>1290000</v>
      </c>
      <c r="E274" s="48" t="e">
        <f>S202</f>
        <v>#REF!</v>
      </c>
      <c r="F274" s="48"/>
      <c r="G274" s="48" t="e">
        <f>'W&amp;W'!#REF!</f>
        <v>#REF!</v>
      </c>
      <c r="H274" s="48" t="e">
        <f>E274-G274</f>
        <v>#REF!</v>
      </c>
      <c r="I274" s="48" t="e">
        <f>S247</f>
        <v>#REF!</v>
      </c>
      <c r="J274" s="48" t="e">
        <f>I274-G274</f>
        <v>#REF!</v>
      </c>
      <c r="L274" s="245"/>
      <c r="M274" s="1250"/>
      <c r="O274" s="1250"/>
      <c r="P274" s="1250"/>
      <c r="Q274" s="1250"/>
      <c r="R274" s="1250"/>
      <c r="S274" s="1250"/>
    </row>
    <row r="275" spans="1:19" x14ac:dyDescent="0.2">
      <c r="A275" s="1250"/>
      <c r="B275" s="1283" t="s">
        <v>3289</v>
      </c>
      <c r="C275" s="48">
        <f>S159</f>
        <v>1939000</v>
      </c>
      <c r="E275" s="48" t="e">
        <f>S203</f>
        <v>#REF!</v>
      </c>
      <c r="F275" s="48"/>
      <c r="G275" s="48" t="e">
        <f>'W&amp;W'!#REF!</f>
        <v>#REF!</v>
      </c>
      <c r="H275" s="48" t="e">
        <f t="shared" ref="H275:H283" si="69">E275-G275</f>
        <v>#REF!</v>
      </c>
      <c r="I275" s="48" t="e">
        <f>S248</f>
        <v>#REF!</v>
      </c>
      <c r="J275" s="48" t="e">
        <f t="shared" ref="J275:J283" si="70">I275-G275</f>
        <v>#REF!</v>
      </c>
      <c r="L275" s="245"/>
      <c r="M275" s="1250"/>
      <c r="O275" s="1250"/>
      <c r="P275" s="1250"/>
      <c r="Q275" s="1250"/>
      <c r="R275" s="1250"/>
      <c r="S275" s="1250"/>
    </row>
    <row r="276" spans="1:19" x14ac:dyDescent="0.2">
      <c r="A276" s="1250"/>
      <c r="B276" s="1283" t="s">
        <v>3525</v>
      </c>
      <c r="C276" s="48">
        <f>S155</f>
        <v>659000</v>
      </c>
      <c r="E276" s="48" t="e">
        <f>S199</f>
        <v>#REF!</v>
      </c>
      <c r="F276" s="48"/>
      <c r="G276" s="48">
        <f>CIV!E1842</f>
        <v>644400</v>
      </c>
      <c r="H276" s="48" t="e">
        <f t="shared" si="69"/>
        <v>#REF!</v>
      </c>
      <c r="I276" s="48" t="e">
        <f>S244</f>
        <v>#REF!</v>
      </c>
      <c r="J276" s="48" t="e">
        <f t="shared" si="70"/>
        <v>#REF!</v>
      </c>
      <c r="L276" s="245"/>
      <c r="M276" s="1250"/>
      <c r="O276" s="1250"/>
      <c r="P276" s="1250"/>
      <c r="Q276" s="1250"/>
      <c r="R276" s="1250"/>
      <c r="S276" s="1250"/>
    </row>
    <row r="277" spans="1:19" x14ac:dyDescent="0.2">
      <c r="A277" s="1250"/>
      <c r="B277" s="1283" t="s">
        <v>3526</v>
      </c>
      <c r="C277" s="48">
        <f>S156</f>
        <v>618000</v>
      </c>
      <c r="E277" s="48" t="e">
        <f>S200</f>
        <v>#REF!</v>
      </c>
      <c r="F277" s="48"/>
      <c r="G277" s="48">
        <f>CIV!E2008</f>
        <v>637000</v>
      </c>
      <c r="H277" s="48" t="e">
        <f t="shared" si="69"/>
        <v>#REF!</v>
      </c>
      <c r="I277" s="48" t="e">
        <f>S245</f>
        <v>#REF!</v>
      </c>
      <c r="J277" s="48" t="e">
        <f t="shared" si="70"/>
        <v>#REF!</v>
      </c>
      <c r="L277" s="245"/>
      <c r="M277" s="1250"/>
      <c r="N277" s="245"/>
      <c r="O277" s="1250"/>
      <c r="P277" s="1250"/>
      <c r="Q277" s="1250"/>
      <c r="R277" s="1250"/>
      <c r="S277" s="1250"/>
    </row>
    <row r="278" spans="1:19" x14ac:dyDescent="0.2">
      <c r="A278" s="1250"/>
      <c r="B278" s="1283" t="s">
        <v>3327</v>
      </c>
      <c r="C278" s="48">
        <f>S154</f>
        <v>14000</v>
      </c>
      <c r="E278" s="48" t="e">
        <f>S198</f>
        <v>#REF!</v>
      </c>
      <c r="F278" s="48"/>
      <c r="G278" s="48">
        <f>CIV!E1749</f>
        <v>34000</v>
      </c>
      <c r="H278" s="48" t="e">
        <f t="shared" si="69"/>
        <v>#REF!</v>
      </c>
      <c r="I278" s="48">
        <f>S243</f>
        <v>0</v>
      </c>
      <c r="J278" s="48">
        <f t="shared" si="70"/>
        <v>-34000</v>
      </c>
      <c r="L278" s="245"/>
      <c r="M278" s="1250"/>
      <c r="O278" s="1250"/>
      <c r="P278" s="1250"/>
      <c r="Q278" s="1250"/>
      <c r="R278" s="1250"/>
      <c r="S278" s="1250"/>
    </row>
    <row r="279" spans="1:19" x14ac:dyDescent="0.2">
      <c r="A279" s="1250"/>
      <c r="B279" s="1283" t="s">
        <v>3560</v>
      </c>
      <c r="C279" s="48">
        <f>S152</f>
        <v>321000</v>
      </c>
      <c r="E279" s="48" t="e">
        <f>S196</f>
        <v>#REF!</v>
      </c>
      <c r="F279" s="48"/>
      <c r="G279" s="48">
        <f>CIV!E1632</f>
        <v>344000</v>
      </c>
      <c r="H279" s="48" t="e">
        <f t="shared" si="69"/>
        <v>#REF!</v>
      </c>
      <c r="I279" s="48" t="e">
        <f>S241</f>
        <v>#REF!</v>
      </c>
      <c r="J279" s="48" t="e">
        <f t="shared" si="70"/>
        <v>#REF!</v>
      </c>
      <c r="L279" s="245"/>
      <c r="M279" s="1250"/>
      <c r="O279" s="1250"/>
      <c r="P279" s="1250"/>
      <c r="Q279" s="1250"/>
      <c r="R279" s="1250"/>
      <c r="S279" s="1250"/>
    </row>
    <row r="280" spans="1:19" x14ac:dyDescent="0.2">
      <c r="A280" s="1250"/>
      <c r="B280" s="1283" t="s">
        <v>3527</v>
      </c>
      <c r="C280" s="48">
        <f>S157</f>
        <v>73000</v>
      </c>
      <c r="E280" s="48" t="e">
        <f>S201</f>
        <v>#REF!</v>
      </c>
      <c r="F280" s="48"/>
      <c r="G280" s="48" t="e">
        <f>NEWLOG!#REF!</f>
        <v>#REF!</v>
      </c>
      <c r="H280" s="48" t="e">
        <f t="shared" si="69"/>
        <v>#REF!</v>
      </c>
      <c r="I280" s="48" t="e">
        <f>S246</f>
        <v>#REF!</v>
      </c>
      <c r="J280" s="48" t="e">
        <f t="shared" si="70"/>
        <v>#REF!</v>
      </c>
      <c r="L280" s="245"/>
      <c r="M280" s="1250"/>
      <c r="O280" s="1250"/>
      <c r="P280" s="1250"/>
      <c r="Q280" s="1250"/>
      <c r="R280" s="1250"/>
      <c r="S280" s="1250"/>
    </row>
    <row r="281" spans="1:19" x14ac:dyDescent="0.2">
      <c r="A281" s="1250"/>
      <c r="B281" s="1283" t="s">
        <v>1704</v>
      </c>
      <c r="C281" s="48">
        <f>S134</f>
        <v>23000</v>
      </c>
      <c r="E281" s="48" t="e">
        <f>S178</f>
        <v>#REF!</v>
      </c>
      <c r="F281" s="48"/>
      <c r="G281" s="48">
        <f>GM!E989</f>
        <v>24000</v>
      </c>
      <c r="H281" s="48" t="e">
        <f t="shared" si="69"/>
        <v>#REF!</v>
      </c>
      <c r="I281" s="48" t="e">
        <f>S223</f>
        <v>#REF!</v>
      </c>
      <c r="J281" s="48" t="e">
        <f t="shared" si="70"/>
        <v>#REF!</v>
      </c>
      <c r="L281" s="245"/>
      <c r="M281" s="1250"/>
      <c r="O281" s="1250"/>
      <c r="P281" s="1250"/>
      <c r="Q281" s="1250"/>
      <c r="R281" s="1250"/>
      <c r="S281" s="1250"/>
    </row>
    <row r="282" spans="1:19" x14ac:dyDescent="0.2">
      <c r="A282" s="1250"/>
      <c r="B282" s="1283" t="s">
        <v>2886</v>
      </c>
      <c r="C282" s="48">
        <f>S133</f>
        <v>188000</v>
      </c>
      <c r="E282" s="48" t="e">
        <f>S177</f>
        <v>#REF!</v>
      </c>
      <c r="F282" s="48"/>
      <c r="G282" s="48">
        <f>GM!E933+GM!E934+GM!E935+GM!E936</f>
        <v>185000</v>
      </c>
      <c r="H282" s="48" t="e">
        <f t="shared" si="69"/>
        <v>#REF!</v>
      </c>
      <c r="I282" s="48" t="e">
        <f>S222</f>
        <v>#REF!</v>
      </c>
      <c r="J282" s="48" t="e">
        <f t="shared" si="70"/>
        <v>#REF!</v>
      </c>
      <c r="L282" s="245"/>
      <c r="M282" s="1250"/>
      <c r="O282" s="1250"/>
      <c r="P282" s="1250"/>
      <c r="Q282" s="1250"/>
      <c r="R282" s="1250"/>
      <c r="S282" s="1250"/>
    </row>
    <row r="283" spans="1:19" x14ac:dyDescent="0.2">
      <c r="A283" s="1250"/>
      <c r="B283" s="1283" t="s">
        <v>1393</v>
      </c>
      <c r="C283" s="48">
        <f>S135</f>
        <v>366000</v>
      </c>
      <c r="E283" s="48" t="e">
        <f>S179</f>
        <v>#REF!</v>
      </c>
      <c r="F283" s="48"/>
      <c r="G283" s="48">
        <f>GM!E1102</f>
        <v>378000</v>
      </c>
      <c r="H283" s="48" t="e">
        <f t="shared" si="69"/>
        <v>#REF!</v>
      </c>
      <c r="I283" s="48" t="e">
        <f>S224</f>
        <v>#REF!</v>
      </c>
      <c r="J283" s="48" t="e">
        <f t="shared" si="70"/>
        <v>#REF!</v>
      </c>
      <c r="L283" s="245"/>
      <c r="M283" s="1250"/>
      <c r="O283" s="1250"/>
      <c r="P283" s="1250"/>
      <c r="Q283" s="1250"/>
      <c r="R283" s="1250"/>
      <c r="S283" s="1250"/>
    </row>
    <row r="284" spans="1:19" x14ac:dyDescent="0.2">
      <c r="A284" s="1250"/>
      <c r="B284" s="1886" t="s">
        <v>1504</v>
      </c>
      <c r="C284" s="63">
        <f>SUM(C274:C283)</f>
        <v>5491000</v>
      </c>
      <c r="D284" s="63">
        <f t="shared" ref="D284:H284" si="71">SUM(D261:D283)</f>
        <v>-5489600</v>
      </c>
      <c r="E284" s="63" t="e">
        <f t="shared" si="71"/>
        <v>#REF!</v>
      </c>
      <c r="F284" s="63" t="e">
        <f t="shared" si="71"/>
        <v>#REF!</v>
      </c>
      <c r="G284" s="63" t="e">
        <f t="shared" si="71"/>
        <v>#REF!</v>
      </c>
      <c r="H284" s="63" t="e">
        <f t="shared" si="71"/>
        <v>#REF!</v>
      </c>
      <c r="I284" s="63" t="e">
        <f>SUM(I261:I283)</f>
        <v>#REF!</v>
      </c>
      <c r="J284" s="63" t="e">
        <f>SUM(J261:J283)</f>
        <v>#REF!</v>
      </c>
      <c r="L284" s="245"/>
      <c r="M284" s="1250"/>
      <c r="O284" s="1250"/>
      <c r="P284" s="1250"/>
      <c r="Q284" s="1250"/>
      <c r="R284" s="1250"/>
      <c r="S284" s="1250"/>
    </row>
    <row r="285" spans="1:19" ht="13.5" thickBot="1" x14ac:dyDescent="0.25">
      <c r="A285" s="1250"/>
      <c r="B285" s="1887"/>
      <c r="C285" s="1860"/>
      <c r="D285" s="1870">
        <f>ROUND(D284+C284,-3)</f>
        <v>1000</v>
      </c>
      <c r="E285" s="1860"/>
      <c r="F285" s="1870"/>
      <c r="G285" s="1888"/>
      <c r="H285" s="1888"/>
      <c r="I285" s="1888"/>
      <c r="J285" s="1888"/>
      <c r="M285" s="1250"/>
      <c r="O285" s="1250"/>
      <c r="P285" s="1250"/>
      <c r="Q285" s="1250"/>
      <c r="R285" s="1250"/>
      <c r="S285" s="1250"/>
    </row>
    <row r="1109" spans="5:5" x14ac:dyDescent="0.2">
      <c r="E1109" s="1" t="s">
        <v>7245</v>
      </c>
    </row>
  </sheetData>
  <mergeCells count="7">
    <mergeCell ref="C215:T215"/>
    <mergeCell ref="P81:U81"/>
    <mergeCell ref="C170:T170"/>
    <mergeCell ref="C126:T126"/>
    <mergeCell ref="A2:O2"/>
    <mergeCell ref="J81:O81"/>
    <mergeCell ref="C81:I81"/>
  </mergeCells>
  <pageMargins left="0.70866141732283472" right="0.70866141732283472" top="0.74803149606299213" bottom="0.74803149606299213" header="0.31496062992125984" footer="0.31496062992125984"/>
  <pageSetup paperSize="8" scale="1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109"/>
  <sheetViews>
    <sheetView workbookViewId="0">
      <pane ySplit="3" topLeftCell="A146" activePane="bottomLeft" state="frozen"/>
      <selection activeCell="E788" sqref="E788"/>
      <selection pane="bottomLeft" activeCell="O298" sqref="O298"/>
    </sheetView>
  </sheetViews>
  <sheetFormatPr defaultColWidth="9.140625" defaultRowHeight="12.75" x14ac:dyDescent="0.2"/>
  <cols>
    <col min="1" max="1" width="2.85546875" style="1" customWidth="1"/>
    <col min="2" max="2" width="3" style="1" customWidth="1"/>
    <col min="3" max="3" width="37.5703125" style="1" customWidth="1"/>
    <col min="4" max="4" width="9" style="1" customWidth="1"/>
    <col min="5" max="5" width="10.42578125" style="1" bestFit="1" customWidth="1"/>
    <col min="6" max="6" width="11.5703125" style="1" bestFit="1" customWidth="1"/>
    <col min="7" max="16" width="8.140625" style="1" bestFit="1" customWidth="1"/>
    <col min="17" max="16384" width="9.140625" style="1"/>
  </cols>
  <sheetData>
    <row r="1" spans="1:16" x14ac:dyDescent="0.2">
      <c r="C1" s="726" t="s">
        <v>3437</v>
      </c>
    </row>
    <row r="2" spans="1:16" x14ac:dyDescent="0.2">
      <c r="C2" s="726" t="s">
        <v>3438</v>
      </c>
      <c r="D2" s="1798" t="e">
        <f>SP!#REF!</f>
        <v>#REF!</v>
      </c>
      <c r="E2" s="1798">
        <f>SP!B2</f>
        <v>0</v>
      </c>
      <c r="F2" s="2730" t="str">
        <f>SP!A2</f>
        <v>ACTUAL</v>
      </c>
      <c r="G2" s="2730"/>
      <c r="H2" s="2730"/>
      <c r="I2" s="2730"/>
      <c r="J2" s="2730"/>
      <c r="K2" s="2730"/>
      <c r="L2" s="2730"/>
      <c r="M2" s="2730"/>
      <c r="N2" s="2730"/>
      <c r="O2" s="2730"/>
      <c r="P2" s="2730"/>
    </row>
    <row r="3" spans="1:16" x14ac:dyDescent="0.2">
      <c r="A3" s="1376"/>
      <c r="B3" s="1376"/>
      <c r="C3" s="1376"/>
      <c r="D3" s="1799" t="str">
        <f>SP!A3</f>
        <v>2012/13</v>
      </c>
      <c r="E3" s="1799" t="str">
        <f>SP!B3</f>
        <v>2013/14</v>
      </c>
      <c r="F3" s="1799" t="str">
        <f>SP!C3</f>
        <v>2014/15</v>
      </c>
      <c r="G3" s="1799" t="str">
        <f>SP!D3</f>
        <v>2015/16</v>
      </c>
      <c r="H3" s="1799" t="e">
        <f>SP!#REF!</f>
        <v>#REF!</v>
      </c>
      <c r="I3" s="1799" t="str">
        <f>SP!H3</f>
        <v>2017/18</v>
      </c>
      <c r="J3" s="1799" t="str">
        <f>SP!J3</f>
        <v>2018/19</v>
      </c>
      <c r="K3" s="1799" t="str">
        <f>SP!K3</f>
        <v>2019/20</v>
      </c>
      <c r="L3" s="1799" t="str">
        <f>SP!L3</f>
        <v>2020/21</v>
      </c>
      <c r="M3" s="1799" t="str">
        <f>SP!M3</f>
        <v>2021/22</v>
      </c>
      <c r="N3" s="1799" t="str">
        <f>SP!N3</f>
        <v>2022/23</v>
      </c>
      <c r="O3" s="1799" t="str">
        <f>SP!O3</f>
        <v>2023/24</v>
      </c>
      <c r="P3" s="1799" t="str">
        <f>SP!P3</f>
        <v>2024/25</v>
      </c>
    </row>
    <row r="4" spans="1:16" x14ac:dyDescent="0.2">
      <c r="A4" s="285" t="s">
        <v>2897</v>
      </c>
      <c r="B4" s="285"/>
    </row>
    <row r="5" spans="1:16" x14ac:dyDescent="0.2">
      <c r="A5" s="1" t="s">
        <v>2898</v>
      </c>
    </row>
    <row r="6" spans="1:16" x14ac:dyDescent="0.2">
      <c r="B6" s="1" t="s">
        <v>2899</v>
      </c>
      <c r="D6" s="843">
        <v>3350</v>
      </c>
      <c r="E6" s="843">
        <v>3844</v>
      </c>
      <c r="F6" s="843">
        <v>4096</v>
      </c>
      <c r="G6" s="843">
        <v>4028</v>
      </c>
      <c r="H6" s="843">
        <v>4234</v>
      </c>
      <c r="I6" s="843">
        <v>4379</v>
      </c>
      <c r="J6" s="843">
        <v>4515</v>
      </c>
      <c r="K6" s="843">
        <v>4655</v>
      </c>
      <c r="L6" s="843">
        <v>4799</v>
      </c>
      <c r="M6" s="843">
        <v>4948</v>
      </c>
      <c r="N6" s="820">
        <v>5101</v>
      </c>
    </row>
    <row r="7" spans="1:16" x14ac:dyDescent="0.2">
      <c r="B7" s="1" t="s">
        <v>2900</v>
      </c>
      <c r="D7" s="843">
        <v>134</v>
      </c>
      <c r="E7" s="843">
        <v>146</v>
      </c>
      <c r="F7" s="843">
        <v>172</v>
      </c>
      <c r="G7" s="843">
        <v>177</v>
      </c>
      <c r="H7" s="843">
        <v>183</v>
      </c>
      <c r="I7" s="843">
        <v>188</v>
      </c>
      <c r="J7" s="843">
        <v>194</v>
      </c>
      <c r="K7" s="843">
        <v>200</v>
      </c>
      <c r="L7" s="843">
        <v>207</v>
      </c>
      <c r="M7" s="843">
        <v>213</v>
      </c>
      <c r="N7" s="820">
        <v>220</v>
      </c>
    </row>
    <row r="8" spans="1:16" x14ac:dyDescent="0.2">
      <c r="B8" s="1" t="s">
        <v>1007</v>
      </c>
      <c r="D8" s="843">
        <v>94.86</v>
      </c>
      <c r="E8" s="843">
        <v>97.797600000000003</v>
      </c>
      <c r="F8" s="843">
        <v>99.753551999999999</v>
      </c>
      <c r="G8" s="843">
        <v>102.83105519999999</v>
      </c>
      <c r="H8" s="843">
        <v>104.887676304</v>
      </c>
      <c r="I8" s="843">
        <v>108.111592249344</v>
      </c>
      <c r="J8" s="843">
        <v>110.27382409433086</v>
      </c>
      <c r="K8" s="843">
        <v>114.82261933822203</v>
      </c>
      <c r="L8" s="843">
        <v>117.11907172498647</v>
      </c>
      <c r="M8" s="843">
        <v>120.68044757948095</v>
      </c>
      <c r="N8" s="820">
        <v>123.09405653107055</v>
      </c>
    </row>
    <row r="9" spans="1:16" x14ac:dyDescent="0.2">
      <c r="B9" s="1" t="s">
        <v>2901</v>
      </c>
      <c r="D9" s="843">
        <v>562.02</v>
      </c>
      <c r="E9" s="843">
        <v>573.2604</v>
      </c>
      <c r="F9" s="843">
        <v>584.72560799999997</v>
      </c>
      <c r="G9" s="843">
        <v>596.42012016000001</v>
      </c>
      <c r="H9" s="843">
        <v>608.34852256320005</v>
      </c>
      <c r="I9" s="843">
        <v>620.51549301446403</v>
      </c>
      <c r="J9" s="843">
        <v>632.92580287475323</v>
      </c>
      <c r="K9" s="843">
        <v>645.58431893224827</v>
      </c>
      <c r="L9" s="843">
        <v>658.49600531089322</v>
      </c>
      <c r="M9" s="843">
        <v>671.66592541711111</v>
      </c>
      <c r="N9" s="820">
        <v>685.09924392545327</v>
      </c>
    </row>
    <row r="10" spans="1:16" x14ac:dyDescent="0.2">
      <c r="B10" s="1" t="s">
        <v>2902</v>
      </c>
      <c r="D10" s="843">
        <v>251.81326882499999</v>
      </c>
      <c r="E10" s="843">
        <v>258.81610290152628</v>
      </c>
      <c r="F10" s="843">
        <v>266.01377929551262</v>
      </c>
      <c r="G10" s="843">
        <v>273.41172205848528</v>
      </c>
      <c r="H10" s="843">
        <v>281.01550632417076</v>
      </c>
      <c r="I10" s="843">
        <v>288.83086251935561</v>
      </c>
      <c r="J10" s="843">
        <v>296.86368069218599</v>
      </c>
      <c r="K10" s="843">
        <v>305.12001496118512</v>
      </c>
      <c r="L10" s="843">
        <v>313.60608808835747</v>
      </c>
      <c r="M10" s="843">
        <v>322.32829617984373</v>
      </c>
      <c r="N10" s="820">
        <v>331.29321351768596</v>
      </c>
    </row>
    <row r="11" spans="1:16" x14ac:dyDescent="0.2">
      <c r="B11" s="1" t="s">
        <v>2903</v>
      </c>
      <c r="D11" s="843">
        <v>102</v>
      </c>
      <c r="E11" s="843">
        <v>104.03999999999999</v>
      </c>
      <c r="F11" s="843">
        <v>106.12079999999999</v>
      </c>
      <c r="G11" s="843">
        <v>108.243216</v>
      </c>
      <c r="H11" s="843">
        <v>110.40808032</v>
      </c>
      <c r="I11" s="843">
        <v>112.61624192640001</v>
      </c>
      <c r="J11" s="843">
        <v>114.86856676492798</v>
      </c>
      <c r="K11" s="843">
        <v>118.33759748122881</v>
      </c>
      <c r="L11" s="843">
        <v>120.7043494308534</v>
      </c>
      <c r="M11" s="843">
        <v>124.33743083946523</v>
      </c>
      <c r="N11" s="820">
        <v>126.82417945625451</v>
      </c>
    </row>
    <row r="12" spans="1:16" x14ac:dyDescent="0.2">
      <c r="B12" s="1" t="s">
        <v>713</v>
      </c>
      <c r="D12" s="843">
        <v>400.7835</v>
      </c>
      <c r="E12" s="843">
        <v>411.86516377500004</v>
      </c>
      <c r="F12" s="843">
        <v>423.25323555337883</v>
      </c>
      <c r="G12" s="843">
        <v>434.95618751642974</v>
      </c>
      <c r="H12" s="843">
        <v>446.98272610125906</v>
      </c>
      <c r="I12" s="843">
        <v>459.34179847795895</v>
      </c>
      <c r="J12" s="843">
        <v>472.04259920587441</v>
      </c>
      <c r="K12" s="843">
        <v>485.09457707391692</v>
      </c>
      <c r="L12" s="843">
        <v>498.50744213001076</v>
      </c>
      <c r="M12" s="843">
        <v>512.29117290490569</v>
      </c>
      <c r="N12" s="1800">
        <v>526.45602383572623</v>
      </c>
    </row>
    <row r="13" spans="1:16" x14ac:dyDescent="0.2">
      <c r="A13" s="285"/>
      <c r="B13" s="285"/>
      <c r="C13" s="285" t="s">
        <v>2904</v>
      </c>
      <c r="D13" s="1801">
        <f>SUM(D6:D12)</f>
        <v>4895.4767688249995</v>
      </c>
      <c r="E13" s="1801">
        <f t="shared" ref="E13:O13" si="0">SUM(E6:E12)</f>
        <v>5435.7792666765263</v>
      </c>
      <c r="F13" s="1801">
        <f t="shared" si="0"/>
        <v>5747.866974848891</v>
      </c>
      <c r="G13" s="1801">
        <f t="shared" si="0"/>
        <v>5720.8623009349149</v>
      </c>
      <c r="H13" s="1801">
        <f t="shared" si="0"/>
        <v>5968.6425116126302</v>
      </c>
      <c r="I13" s="1801">
        <f t="shared" si="0"/>
        <v>6156.415988187523</v>
      </c>
      <c r="J13" s="1801">
        <f t="shared" si="0"/>
        <v>6335.9744736320727</v>
      </c>
      <c r="K13" s="1801">
        <f t="shared" si="0"/>
        <v>6523.9591277868021</v>
      </c>
      <c r="L13" s="1801">
        <f t="shared" si="0"/>
        <v>6714.432956685102</v>
      </c>
      <c r="M13" s="1801">
        <f t="shared" si="0"/>
        <v>6912.3032729208062</v>
      </c>
      <c r="N13" s="1801">
        <f t="shared" si="0"/>
        <v>7113.7667172661904</v>
      </c>
      <c r="O13" s="1801">
        <f t="shared" si="0"/>
        <v>0</v>
      </c>
      <c r="P13" s="1801">
        <f t="shared" ref="P13" si="1">SUM(P6:P12)</f>
        <v>0</v>
      </c>
    </row>
    <row r="15" spans="1:16" x14ac:dyDescent="0.2">
      <c r="A15" s="726" t="s">
        <v>2905</v>
      </c>
      <c r="B15" s="726"/>
    </row>
    <row r="16" spans="1:16" x14ac:dyDescent="0.2">
      <c r="B16" s="726" t="s">
        <v>2906</v>
      </c>
      <c r="D16" s="843">
        <v>2071.0250249999999</v>
      </c>
      <c r="E16" s="843">
        <v>3151.9027999999998</v>
      </c>
      <c r="F16" s="843">
        <v>1920.4549</v>
      </c>
      <c r="G16" s="843">
        <v>3805.1290249999997</v>
      </c>
      <c r="H16" s="843">
        <v>3211.9183499999999</v>
      </c>
      <c r="I16" s="843">
        <v>2192.1703499999999</v>
      </c>
      <c r="J16" s="843">
        <v>4894.2423500000004</v>
      </c>
      <c r="K16" s="842">
        <v>5382.1067199999998</v>
      </c>
      <c r="L16" s="843">
        <v>3231.4354499999999</v>
      </c>
      <c r="M16" s="843">
        <v>4470.6024500000003</v>
      </c>
      <c r="N16" s="843">
        <v>2658</v>
      </c>
    </row>
    <row r="17" spans="1:16" x14ac:dyDescent="0.2">
      <c r="B17" s="726" t="s">
        <v>3439</v>
      </c>
      <c r="C17" s="726"/>
      <c r="D17" s="843">
        <v>2293.0029999999997</v>
      </c>
      <c r="E17" s="843">
        <v>3000</v>
      </c>
      <c r="F17" s="843">
        <v>0</v>
      </c>
      <c r="G17" s="843">
        <v>0</v>
      </c>
      <c r="H17" s="843">
        <v>0</v>
      </c>
      <c r="I17" s="843">
        <v>0</v>
      </c>
      <c r="J17" s="843">
        <v>0</v>
      </c>
      <c r="K17" s="843">
        <v>0</v>
      </c>
      <c r="L17" s="843">
        <v>0</v>
      </c>
      <c r="M17" s="843">
        <v>0</v>
      </c>
      <c r="N17" s="843">
        <v>0</v>
      </c>
    </row>
    <row r="18" spans="1:16" x14ac:dyDescent="0.2">
      <c r="B18" s="726" t="s">
        <v>3440</v>
      </c>
      <c r="C18" s="726"/>
      <c r="D18" s="843">
        <v>836.20150000000001</v>
      </c>
      <c r="E18" s="843">
        <v>600</v>
      </c>
      <c r="F18" s="843">
        <v>0</v>
      </c>
      <c r="G18" s="843">
        <v>0</v>
      </c>
      <c r="H18" s="843">
        <v>0</v>
      </c>
      <c r="I18" s="843">
        <v>0</v>
      </c>
      <c r="J18" s="843">
        <v>0</v>
      </c>
      <c r="K18" s="843">
        <v>0</v>
      </c>
      <c r="L18" s="843">
        <v>0</v>
      </c>
      <c r="M18" s="843">
        <v>0</v>
      </c>
      <c r="N18" s="843">
        <v>0</v>
      </c>
    </row>
    <row r="19" spans="1:16" x14ac:dyDescent="0.2">
      <c r="B19" s="1" t="s">
        <v>2900</v>
      </c>
      <c r="D19" s="843">
        <v>0</v>
      </c>
      <c r="E19" s="843">
        <v>0</v>
      </c>
      <c r="F19" s="843">
        <v>0</v>
      </c>
      <c r="G19" s="843">
        <v>0</v>
      </c>
      <c r="H19" s="843">
        <v>0</v>
      </c>
      <c r="I19" s="843">
        <v>0</v>
      </c>
      <c r="J19" s="843">
        <v>0</v>
      </c>
      <c r="K19" s="843">
        <v>0</v>
      </c>
      <c r="L19" s="843">
        <v>0</v>
      </c>
      <c r="M19" s="843">
        <v>0</v>
      </c>
      <c r="N19" s="843">
        <v>0</v>
      </c>
    </row>
    <row r="20" spans="1:16" x14ac:dyDescent="0.2">
      <c r="B20" s="1" t="s">
        <v>1007</v>
      </c>
      <c r="D20" s="843">
        <v>20.177414784000003</v>
      </c>
      <c r="E20" s="843">
        <v>20.7867727104768</v>
      </c>
      <c r="F20" s="843">
        <v>21.4145332463332</v>
      </c>
      <c r="G20" s="842">
        <v>22.731075359999998</v>
      </c>
      <c r="H20" s="843">
        <v>22.727501965313714</v>
      </c>
      <c r="I20" s="843">
        <v>23.413872524666193</v>
      </c>
      <c r="J20" s="843">
        <v>24.120971474911105</v>
      </c>
      <c r="K20" s="843">
        <v>34.874962638875516</v>
      </c>
      <c r="L20" s="843">
        <v>25.599877442819718</v>
      </c>
      <c r="M20" s="843">
        <v>26.372993741592872</v>
      </c>
      <c r="N20" s="843">
        <v>27.354234784682344</v>
      </c>
    </row>
    <row r="21" spans="1:16" x14ac:dyDescent="0.2">
      <c r="B21" s="1" t="s">
        <v>2901</v>
      </c>
      <c r="D21" s="843">
        <v>0</v>
      </c>
      <c r="E21" s="843">
        <v>0</v>
      </c>
      <c r="F21" s="843">
        <v>22.285367999999998</v>
      </c>
      <c r="G21" s="843">
        <v>0</v>
      </c>
      <c r="H21" s="843">
        <v>0</v>
      </c>
      <c r="I21" s="843">
        <v>0</v>
      </c>
      <c r="J21" s="843">
        <v>0</v>
      </c>
      <c r="K21" s="842">
        <v>0</v>
      </c>
      <c r="L21" s="843">
        <v>0</v>
      </c>
      <c r="M21" s="843">
        <v>0</v>
      </c>
      <c r="N21" s="843">
        <v>0</v>
      </c>
    </row>
    <row r="22" spans="1:16" x14ac:dyDescent="0.2">
      <c r="B22" s="726" t="s">
        <v>2907</v>
      </c>
      <c r="D22" s="843">
        <v>3.5251199999999998</v>
      </c>
      <c r="E22" s="843">
        <v>14.4449136</v>
      </c>
      <c r="F22" s="843">
        <v>61.405739711999999</v>
      </c>
      <c r="G22" s="843">
        <v>2.45279127456</v>
      </c>
      <c r="H22" s="843">
        <v>61.015921508044805</v>
      </c>
      <c r="I22" s="843">
        <v>15.02525899782029</v>
      </c>
      <c r="J22" s="843">
        <v>1.7689759281798909</v>
      </c>
      <c r="K22" s="843">
        <v>89.04611295617218</v>
      </c>
      <c r="L22" s="843">
        <v>24.556762100051245</v>
      </c>
      <c r="M22" s="843">
        <v>26.20594204104729</v>
      </c>
      <c r="N22" s="843">
        <v>36.057854943444909</v>
      </c>
    </row>
    <row r="23" spans="1:16" x14ac:dyDescent="0.2">
      <c r="B23" s="1" t="s">
        <v>2903</v>
      </c>
      <c r="D23" s="843">
        <v>45.070740000000001</v>
      </c>
      <c r="E23" s="843">
        <v>36.7240392</v>
      </c>
      <c r="F23" s="843">
        <v>159.13662926400002</v>
      </c>
      <c r="G23" s="843">
        <v>70.274743123679997</v>
      </c>
      <c r="H23" s="843">
        <v>138.19834617694562</v>
      </c>
      <c r="I23" s="843">
        <v>117.55277489124377</v>
      </c>
      <c r="J23" s="843">
        <v>180.74224374761121</v>
      </c>
      <c r="K23" s="843">
        <v>150.60978347155523</v>
      </c>
      <c r="L23" s="843">
        <v>196.80664910815352</v>
      </c>
      <c r="M23" s="843">
        <v>232.31351857376083</v>
      </c>
      <c r="N23" s="843">
        <v>294.67971108953253</v>
      </c>
    </row>
    <row r="24" spans="1:16" x14ac:dyDescent="0.2">
      <c r="A24" s="285"/>
      <c r="B24" s="285"/>
      <c r="C24" s="285" t="s">
        <v>2908</v>
      </c>
      <c r="D24" s="1801">
        <f>SUM(D16:D23)</f>
        <v>5269.0027997839998</v>
      </c>
      <c r="E24" s="1801">
        <f t="shared" ref="E24:O24" si="2">SUM(E16:E23)</f>
        <v>6823.8585255104772</v>
      </c>
      <c r="F24" s="1801">
        <f t="shared" si="2"/>
        <v>2184.6971702223332</v>
      </c>
      <c r="G24" s="1801">
        <f t="shared" si="2"/>
        <v>3900.5876347582393</v>
      </c>
      <c r="H24" s="1801">
        <f t="shared" si="2"/>
        <v>3433.8601196503041</v>
      </c>
      <c r="I24" s="1801">
        <f t="shared" si="2"/>
        <v>2348.1622564137301</v>
      </c>
      <c r="J24" s="1801">
        <f t="shared" si="2"/>
        <v>5100.8745411507034</v>
      </c>
      <c r="K24" s="1801">
        <f t="shared" si="2"/>
        <v>5656.6375790666025</v>
      </c>
      <c r="L24" s="1801">
        <f t="shared" si="2"/>
        <v>3478.3987386510248</v>
      </c>
      <c r="M24" s="1801">
        <f t="shared" si="2"/>
        <v>4755.4949043564011</v>
      </c>
      <c r="N24" s="1801">
        <f t="shared" si="2"/>
        <v>3016.09180081766</v>
      </c>
      <c r="O24" s="1801">
        <f t="shared" si="2"/>
        <v>0</v>
      </c>
      <c r="P24" s="1801">
        <f t="shared" ref="P24" si="3">SUM(P16:P23)</f>
        <v>0</v>
      </c>
    </row>
    <row r="25" spans="1:16" x14ac:dyDescent="0.2">
      <c r="A25" s="285"/>
      <c r="B25" s="285"/>
      <c r="C25" s="285" t="s">
        <v>2927</v>
      </c>
      <c r="D25" s="1801">
        <f>D13+D24</f>
        <v>10164.479568609</v>
      </c>
      <c r="E25" s="1801">
        <f t="shared" ref="E25:O25" si="4">E13+E24</f>
        <v>12259.637792187004</v>
      </c>
      <c r="F25" s="1801">
        <f t="shared" si="4"/>
        <v>7932.5641450712246</v>
      </c>
      <c r="G25" s="1801">
        <f t="shared" si="4"/>
        <v>9621.4499356931537</v>
      </c>
      <c r="H25" s="1801">
        <f t="shared" si="4"/>
        <v>9402.5026312629343</v>
      </c>
      <c r="I25" s="1801">
        <f t="shared" si="4"/>
        <v>8504.5782446012527</v>
      </c>
      <c r="J25" s="1801">
        <f t="shared" si="4"/>
        <v>11436.849014782776</v>
      </c>
      <c r="K25" s="1801">
        <f t="shared" si="4"/>
        <v>12180.596706853405</v>
      </c>
      <c r="L25" s="1801">
        <f t="shared" si="4"/>
        <v>10192.831695336126</v>
      </c>
      <c r="M25" s="1801">
        <f t="shared" si="4"/>
        <v>11667.798177277207</v>
      </c>
      <c r="N25" s="1801">
        <f t="shared" si="4"/>
        <v>10129.858518083851</v>
      </c>
      <c r="O25" s="1801">
        <f t="shared" si="4"/>
        <v>0</v>
      </c>
      <c r="P25" s="1801">
        <f t="shared" ref="P25" si="5">P13+P24</f>
        <v>0</v>
      </c>
    </row>
    <row r="26" spans="1:16" x14ac:dyDescent="0.2">
      <c r="C26" s="726"/>
    </row>
    <row r="27" spans="1:16" x14ac:dyDescent="0.2">
      <c r="A27" s="285" t="s">
        <v>2909</v>
      </c>
      <c r="B27" s="285"/>
    </row>
    <row r="28" spans="1:16" x14ac:dyDescent="0.2">
      <c r="A28" s="1" t="s">
        <v>2898</v>
      </c>
    </row>
    <row r="29" spans="1:16" x14ac:dyDescent="0.2">
      <c r="B29" s="1" t="s">
        <v>2899</v>
      </c>
      <c r="D29" s="843">
        <f>ROUND(SUM(CIV!A1039:A1055)+SUM(CIV!A1245:A1253),-3)/1000</f>
        <v>3915</v>
      </c>
      <c r="E29" s="843">
        <f>ROUND(SUM(CIV!B1039:B1055)+SUM(CIV!B1245:B1253),-3)/1000</f>
        <v>3284</v>
      </c>
      <c r="F29" s="843">
        <f>ROUND(SUM(CIV!C1039:C1055)+SUM(CIV!C1245:C1253),-3)/1000</f>
        <v>3266</v>
      </c>
      <c r="G29" s="843">
        <f>ROUND(SUM(CIV!D1039:D1055)+SUM(CIV!D1245:D1253),-3)/1000</f>
        <v>3599</v>
      </c>
      <c r="H29" s="843">
        <f>ROUND(SUM(CIV!E1039:G1055)+SUM(CIV!E1245:G1253),-3)/1000</f>
        <v>3388</v>
      </c>
      <c r="I29" s="843">
        <f>ROUND(SUM(CIV!H1039:H1055)+SUM(CIV!H1245:H1253),-3)/1000</f>
        <v>3171</v>
      </c>
      <c r="J29" s="843">
        <f>ROUND(SUM(CIV!J1039:J1055)+SUM(CIV!J1245:J1253),-3)/1000</f>
        <v>3409</v>
      </c>
      <c r="K29" s="843">
        <f>ROUND(SUM(CIV!K1039:K1055)+SUM(CIV!K1245:K1253),-3)/1000</f>
        <v>3495</v>
      </c>
      <c r="L29" s="843">
        <f>ROUND(SUM(CIV!L1039:L1055)+SUM(CIV!L1245:L1253),-3)/1000</f>
        <v>3583</v>
      </c>
      <c r="M29" s="843">
        <f>ROUND(SUM(CIV!M1039:M1055)+SUM(CIV!M1245:M1253),-3)/1000</f>
        <v>3674</v>
      </c>
      <c r="N29" s="843">
        <f>ROUND(SUM(CIV!N1039:N1055)+SUM(CIV!N1245:N1253),-3)/1000</f>
        <v>3767</v>
      </c>
      <c r="O29" s="843">
        <f>ROUND(SUM(CIV!O1039:O1055)+SUM(CIV!O1245:O1253),-3)/1000</f>
        <v>3862</v>
      </c>
      <c r="P29" s="843">
        <f>ROUND(SUM(CIV!P1039:P1055)+SUM(CIV!P1245:P1253),-3)/1000</f>
        <v>3959</v>
      </c>
    </row>
    <row r="30" spans="1:16" x14ac:dyDescent="0.2">
      <c r="B30" s="1" t="s">
        <v>2900</v>
      </c>
      <c r="D30" s="843">
        <f>ROUND(SUM(CIV!A1119:A1124),-3)/1000</f>
        <v>119</v>
      </c>
      <c r="E30" s="843">
        <f>ROUND(SUM(CIV!B1119:B1124),-3)/1000</f>
        <v>191</v>
      </c>
      <c r="F30" s="843">
        <f>ROUND(SUM(CIV!C1119:C1124),-3)/1000</f>
        <v>131</v>
      </c>
      <c r="G30" s="843">
        <f>ROUND(SUM(CIV!D1119:D1124),-3)/1000</f>
        <v>152</v>
      </c>
      <c r="H30" s="843">
        <f>ROUND(SUM(CIV!E1119:G1124),-3)/1000</f>
        <v>128</v>
      </c>
      <c r="I30" s="843">
        <f>ROUND(SUM(CIV!H1119:H1124),-3)/1000</f>
        <v>179</v>
      </c>
      <c r="J30" s="843">
        <f>ROUND(SUM(CIV!J1119:J1124),-3)/1000</f>
        <v>183</v>
      </c>
      <c r="K30" s="843">
        <f>ROUND(SUM(CIV!K1119:K1124),-3)/1000</f>
        <v>188</v>
      </c>
      <c r="L30" s="843">
        <f>ROUND(SUM(CIV!L1119:L1124),-3)/1000</f>
        <v>193</v>
      </c>
      <c r="M30" s="843">
        <f>ROUND(SUM(CIV!M1119:M1124),-3)/1000</f>
        <v>199</v>
      </c>
      <c r="N30" s="843">
        <f>ROUND(SUM(CIV!N1119:N1124),-3)/1000</f>
        <v>204</v>
      </c>
      <c r="O30" s="843">
        <f>ROUND(SUM(CIV!O1119:O1124),-3)/1000</f>
        <v>209</v>
      </c>
      <c r="P30" s="843">
        <f>ROUND(SUM(CIV!P1119:P1124),-3)/1000</f>
        <v>215</v>
      </c>
    </row>
    <row r="31" spans="1:16" x14ac:dyDescent="0.2">
      <c r="B31" s="1" t="s">
        <v>1007</v>
      </c>
      <c r="D31" s="843">
        <f>ROUND(CIV!A1057,-3)/1000</f>
        <v>37</v>
      </c>
      <c r="E31" s="843">
        <f>ROUND(CIV!B1057,-3)/1000</f>
        <v>15</v>
      </c>
      <c r="F31" s="843">
        <f>ROUND(CIV!C1057,-3)/1000</f>
        <v>10</v>
      </c>
      <c r="G31" s="843">
        <f>ROUND(CIV!D1057,-3)/1000</f>
        <v>13</v>
      </c>
      <c r="H31" s="843">
        <f>ROUND(CIV!E1057,-3)/1000</f>
        <v>33</v>
      </c>
      <c r="I31" s="843">
        <f>ROUND(CIV!H1057,-3)/1000</f>
        <v>22</v>
      </c>
      <c r="J31" s="843">
        <f>ROUND(CIV!J1057,-3)/1000</f>
        <v>23</v>
      </c>
      <c r="K31" s="843">
        <f>ROUND(CIV!K1057,-3)/1000</f>
        <v>23</v>
      </c>
      <c r="L31" s="843">
        <f>ROUND(CIV!L1057,-3)/1000</f>
        <v>24</v>
      </c>
      <c r="M31" s="843">
        <f>ROUND(CIV!M1057,-3)/1000</f>
        <v>24</v>
      </c>
      <c r="N31" s="843">
        <f>ROUND(CIV!N1057,-3)/1000</f>
        <v>25</v>
      </c>
      <c r="O31" s="843">
        <f>ROUND(CIV!O1057,-3)/1000</f>
        <v>26</v>
      </c>
      <c r="P31" s="843">
        <f>ROUND(CIV!P1057,-3)/1000</f>
        <v>27</v>
      </c>
    </row>
    <row r="32" spans="1:16" x14ac:dyDescent="0.2">
      <c r="B32" s="1" t="s">
        <v>2901</v>
      </c>
      <c r="D32" s="843">
        <f>ROUND(SUM(CIV!A1180:A1198),-3)/1000</f>
        <v>630</v>
      </c>
      <c r="E32" s="843">
        <f>ROUND(SUM(CIV!B1180:B1198),-3)/1000</f>
        <v>668</v>
      </c>
      <c r="F32" s="843">
        <f>ROUND(SUM(CIV!C1180:C1198),-3)/1000</f>
        <v>745</v>
      </c>
      <c r="G32" s="843">
        <f>ROUND(SUM(CIV!D1180:D1198),-3)/1000</f>
        <v>733</v>
      </c>
      <c r="H32" s="843">
        <f>ROUND(SUM(CIV!E1180:G1198),-3)/1000</f>
        <v>659</v>
      </c>
      <c r="I32" s="843">
        <f>ROUND(SUM(CIV!H1180:H1198),-3)/1000</f>
        <v>716</v>
      </c>
      <c r="J32" s="843">
        <f>ROUND(SUM(CIV!J1180:J1198),-3)/1000</f>
        <v>632</v>
      </c>
      <c r="K32" s="843">
        <f>ROUND(SUM(CIV!K1180:K1198),-3)/1000</f>
        <v>749</v>
      </c>
      <c r="L32" s="843">
        <f>ROUND(SUM(CIV!L1180:L1198),-3)/1000</f>
        <v>667</v>
      </c>
      <c r="M32" s="843">
        <f>ROUND(SUM(CIV!M1180:M1198),-3)/1000</f>
        <v>787</v>
      </c>
      <c r="N32" s="843">
        <f>ROUND(SUM(CIV!N1180:N1198),-3)/1000</f>
        <v>703</v>
      </c>
      <c r="O32" s="843">
        <f>ROUND(SUM(CIV!O1180:O1198),-3)/1000</f>
        <v>826</v>
      </c>
      <c r="P32" s="843">
        <f>ROUND(SUM(CIV!P1180:P1198),-3)/1000</f>
        <v>741</v>
      </c>
    </row>
    <row r="33" spans="1:16" x14ac:dyDescent="0.2">
      <c r="B33" s="1" t="s">
        <v>3406</v>
      </c>
      <c r="D33" s="843">
        <f>ROUND(SUM(CIV!A1059:A1059),-3)/1000</f>
        <v>299</v>
      </c>
      <c r="E33" s="843">
        <f>ROUND(SUM(CIV!B1059:B1059),-3)/1000</f>
        <v>258</v>
      </c>
      <c r="F33" s="843">
        <f>ROUND(SUM(CIV!C1059:C1059),-3)/1000</f>
        <v>297</v>
      </c>
      <c r="G33" s="843">
        <f>ROUND(SUM(CIV!D1059:D1059),-3)/1000</f>
        <v>287</v>
      </c>
      <c r="H33" s="843">
        <f>ROUND(SUM(CIV!E1059:G1059),-3)/1000</f>
        <v>275</v>
      </c>
      <c r="I33" s="843">
        <f>ROUND(SUM(CIV!H1059:H1059),-3)/1000</f>
        <v>298</v>
      </c>
      <c r="J33" s="843">
        <f>ROUND(SUM(CIV!J1059:J1059),-3)/1000</f>
        <v>305</v>
      </c>
      <c r="K33" s="843">
        <f>ROUND(SUM(CIV!K1059:K1059),-3)/1000</f>
        <v>313</v>
      </c>
      <c r="L33" s="843">
        <f>ROUND(SUM(CIV!L1059:L1059),-3)/1000</f>
        <v>321</v>
      </c>
      <c r="M33" s="843">
        <f>ROUND(SUM(CIV!M1059:M1059),-3)/1000</f>
        <v>329</v>
      </c>
      <c r="N33" s="843">
        <f>ROUND(SUM(CIV!N1059:N1059),-3)/1000</f>
        <v>337</v>
      </c>
      <c r="O33" s="843">
        <f>ROUND(SUM(CIV!O1059:O1059),-3)/1000</f>
        <v>345</v>
      </c>
      <c r="P33" s="843">
        <f>ROUND(SUM(CIV!P1059:P1059),-3)/1000</f>
        <v>354</v>
      </c>
    </row>
    <row r="34" spans="1:16" x14ac:dyDescent="0.2">
      <c r="B34" s="1" t="s">
        <v>2903</v>
      </c>
      <c r="D34" s="843">
        <f>ROUND(SUM(CIV!A1112:A1117)+CIV!A1254,-3)/1000</f>
        <v>218</v>
      </c>
      <c r="E34" s="843">
        <f>ROUND(SUM(CIV!B1112:B1117)+CIV!B1254,-3)/1000</f>
        <v>221</v>
      </c>
      <c r="F34" s="843">
        <f>ROUND(SUM(CIV!C1112:C1117)+CIV!C1254,-3)/1000</f>
        <v>217</v>
      </c>
      <c r="G34" s="843">
        <f>ROUND(SUM(CIV!D1112:D1117)+CIV!D1254,-3)/1000</f>
        <v>231</v>
      </c>
      <c r="H34" s="843">
        <f>ROUND(SUM(CIV!E1112:G1117)+CIV!E1254,-3)/1000</f>
        <v>370</v>
      </c>
      <c r="I34" s="843">
        <f>ROUND(SUM(CIV!H1112:H1117)+CIV!H1254,-3)/1000</f>
        <v>256</v>
      </c>
      <c r="J34" s="843">
        <f>ROUND(SUM(CIV!J1112:J1117)+CIV!J1254,-3)/1000</f>
        <v>237</v>
      </c>
      <c r="K34" s="843">
        <f>ROUND(SUM(CIV!K1112:K1117)+CIV!K1254,-3)/1000</f>
        <v>243</v>
      </c>
      <c r="L34" s="843">
        <f>ROUND(SUM(CIV!L1112:L1117)+CIV!L1254,-3)/1000</f>
        <v>250</v>
      </c>
      <c r="M34" s="843">
        <f>ROUND(SUM(CIV!M1112:M1117)+CIV!M1254,-3)/1000</f>
        <v>256</v>
      </c>
      <c r="N34" s="843">
        <f>ROUND(SUM(CIV!N1112:N1117)+CIV!N1254,-3)/1000</f>
        <v>263</v>
      </c>
      <c r="O34" s="843">
        <f>ROUND(SUM(CIV!O1112:O1117)+CIV!O1254,-3)/1000</f>
        <v>270</v>
      </c>
      <c r="P34" s="843">
        <f>ROUND(SUM(CIV!P1112:P1117)+CIV!P1254,-3)/1000</f>
        <v>277</v>
      </c>
    </row>
    <row r="35" spans="1:16" x14ac:dyDescent="0.2">
      <c r="B35" s="1" t="s">
        <v>713</v>
      </c>
      <c r="D35" s="843">
        <f>ROUND(CIV!A1108,-3)/1000</f>
        <v>407</v>
      </c>
      <c r="E35" s="843">
        <f>ROUND(CIV!B1108,-3)/1000</f>
        <v>450</v>
      </c>
      <c r="F35" s="843">
        <f>ROUND(CIV!C1108,-3)/1000</f>
        <v>506</v>
      </c>
      <c r="G35" s="843">
        <f>ROUND(CIV!D1108,-3)/1000</f>
        <v>469</v>
      </c>
      <c r="H35" s="843">
        <f>ROUND(CIV!E1108,-3)/1000</f>
        <v>586</v>
      </c>
      <c r="I35" s="843">
        <f>ROUND(CIV!H1108,-3)/1000</f>
        <v>540</v>
      </c>
      <c r="J35" s="843">
        <f>ROUND(CIV!J1108,-3)/1000</f>
        <v>553</v>
      </c>
      <c r="K35" s="843">
        <f>ROUND(CIV!K1108,-3)/1000</f>
        <v>566</v>
      </c>
      <c r="L35" s="843">
        <f>ROUND(CIV!L1108,-3)/1000</f>
        <v>581</v>
      </c>
      <c r="M35" s="843">
        <f>ROUND(CIV!M1108,-3)/1000</f>
        <v>595</v>
      </c>
      <c r="N35" s="843">
        <f>ROUND(CIV!N1108,-3)/1000</f>
        <v>610</v>
      </c>
      <c r="O35" s="843">
        <f>ROUND(CIV!O1108,-3)/1000</f>
        <v>625</v>
      </c>
      <c r="P35" s="843">
        <f>ROUND(CIV!P1108,-3)/1000</f>
        <v>641</v>
      </c>
    </row>
    <row r="36" spans="1:16" x14ac:dyDescent="0.2">
      <c r="A36" s="285"/>
      <c r="B36" s="285"/>
      <c r="C36" s="285" t="s">
        <v>2910</v>
      </c>
      <c r="D36" s="1801">
        <f>SUM(D29:D35)</f>
        <v>5625</v>
      </c>
      <c r="E36" s="1801">
        <f t="shared" ref="E36:O36" si="6">SUM(E29:E35)</f>
        <v>5087</v>
      </c>
      <c r="F36" s="1801">
        <f t="shared" si="6"/>
        <v>5172</v>
      </c>
      <c r="G36" s="1801">
        <f t="shared" si="6"/>
        <v>5484</v>
      </c>
      <c r="H36" s="1801">
        <f t="shared" si="6"/>
        <v>5439</v>
      </c>
      <c r="I36" s="1801">
        <f t="shared" si="6"/>
        <v>5182</v>
      </c>
      <c r="J36" s="1801">
        <f t="shared" si="6"/>
        <v>5342</v>
      </c>
      <c r="K36" s="1801">
        <f t="shared" si="6"/>
        <v>5577</v>
      </c>
      <c r="L36" s="1801">
        <f t="shared" si="6"/>
        <v>5619</v>
      </c>
      <c r="M36" s="1801">
        <f t="shared" si="6"/>
        <v>5864</v>
      </c>
      <c r="N36" s="1801">
        <f t="shared" si="6"/>
        <v>5909</v>
      </c>
      <c r="O36" s="1801">
        <f t="shared" si="6"/>
        <v>6163</v>
      </c>
      <c r="P36" s="1801">
        <f t="shared" ref="P36" si="7">SUM(P29:P35)</f>
        <v>6214</v>
      </c>
    </row>
    <row r="38" spans="1:16" x14ac:dyDescent="0.2">
      <c r="A38" s="726" t="s">
        <v>2905</v>
      </c>
      <c r="B38" s="726"/>
    </row>
    <row r="39" spans="1:16" x14ac:dyDescent="0.2">
      <c r="B39" s="726" t="s">
        <v>2906</v>
      </c>
      <c r="D39" s="843">
        <v>4530</v>
      </c>
      <c r="E39" s="843" t="e">
        <f>ROUND(SUM('Cap-Gen'!#REF!)+'Cap-Gen'!#REF!+'Cap-Gen'!#REF!,-3)/1000-1100</f>
        <v>#REF!</v>
      </c>
      <c r="F39" s="843" t="e">
        <f>ROUND(SUM('Cap-Gen'!#REF!)+'Cap-Gen'!#REF!+'Cap-Gen'!#REF!,-3)/1000</f>
        <v>#REF!</v>
      </c>
      <c r="G39" s="843" t="e">
        <f>ROUND(SUM('Cap-Gen'!E118:E128)+'Cap-Gen'!#REF!+'Cap-Gen'!#REF!,-3)/1000</f>
        <v>#REF!</v>
      </c>
      <c r="H39" s="843" t="e">
        <f>ROUND(SUM('Cap-Gen'!F118:F128)+'Cap-Gen'!#REF!+'Cap-Gen'!#REF!,-3)/1000</f>
        <v>#REF!</v>
      </c>
      <c r="I39" s="843" t="e">
        <f>ROUND(SUM('Cap-Gen'!G118:G128)+'Cap-Gen'!#REF!+'Cap-Gen'!#REF!,-3)/1000</f>
        <v>#REF!</v>
      </c>
      <c r="J39" s="843" t="e">
        <f>ROUND(SUM('Cap-Gen'!H118:H128)+'Cap-Gen'!#REF!+'Cap-Gen'!#REF!,-3)/1000</f>
        <v>#REF!</v>
      </c>
      <c r="K39" s="843" t="e">
        <f>ROUND(SUM('Cap-Gen'!I118:I128)+'Cap-Gen'!#REF!+'Cap-Gen'!#REF!,-3)/1000</f>
        <v>#REF!</v>
      </c>
      <c r="L39" s="843" t="e">
        <f>ROUND(SUM('Cap-Gen'!J118:J128)+'Cap-Gen'!#REF!+'Cap-Gen'!#REF!,-3)/1000</f>
        <v>#REF!</v>
      </c>
      <c r="M39" s="843" t="e">
        <f>ROUND(SUM('Cap-Gen'!K118:K128)+'Cap-Gen'!#REF!+'Cap-Gen'!#REF!,-3)/1000</f>
        <v>#REF!</v>
      </c>
      <c r="N39" s="843" t="e">
        <f>ROUND(SUM('Cap-Gen'!L118:L128)+'Cap-Gen'!#REF!+'Cap-Gen'!#REF!,-3)/1000</f>
        <v>#REF!</v>
      </c>
      <c r="O39" s="843" t="e">
        <f>ROUND(SUM('Cap-Gen'!M118:M128)+'Cap-Gen'!#REF!+'Cap-Gen'!#REF!,-3)/1000</f>
        <v>#REF!</v>
      </c>
      <c r="P39" s="843" t="e">
        <f>ROUND(SUM('Cap-Gen'!#REF!)+'Cap-Gen'!#REF!+'Cap-Gen'!#REF!,-3)/1000</f>
        <v>#REF!</v>
      </c>
    </row>
    <row r="40" spans="1:16" x14ac:dyDescent="0.2">
      <c r="B40" s="1" t="s">
        <v>2900</v>
      </c>
      <c r="D40" s="843">
        <v>211</v>
      </c>
      <c r="E40" s="843" t="e">
        <f>ROUND('Cap-Gen'!#REF!,-3)/1000+185</f>
        <v>#REF!</v>
      </c>
      <c r="F40" s="843" t="e">
        <f>ROUND('Cap-Gen'!#REF!,-3)/1000+190</f>
        <v>#REF!</v>
      </c>
      <c r="G40" s="843">
        <f>ROUND('Cap-Gen'!E146,-3)/1000</f>
        <v>374</v>
      </c>
      <c r="H40" s="843">
        <f>ROUND('Cap-Gen'!F146,-3)/1000</f>
        <v>1257</v>
      </c>
      <c r="I40" s="843">
        <f>ROUND('Cap-Gen'!G146,-3)/1000</f>
        <v>440</v>
      </c>
      <c r="J40" s="843">
        <f>ROUND('Cap-Gen'!H146,-3)/1000</f>
        <v>459</v>
      </c>
      <c r="K40" s="843">
        <f>ROUND('Cap-Gen'!I146,-3)/1000</f>
        <v>477</v>
      </c>
      <c r="L40" s="843">
        <f>ROUND('Cap-Gen'!J146,-3)/1000</f>
        <v>489</v>
      </c>
      <c r="M40" s="843">
        <f>ROUND('Cap-Gen'!K146,-3)/1000</f>
        <v>501</v>
      </c>
      <c r="N40" s="843">
        <f>ROUND('Cap-Gen'!L146,-3)/1000</f>
        <v>514</v>
      </c>
      <c r="O40" s="843">
        <f>ROUND('Cap-Gen'!M146,-3)/1000</f>
        <v>527</v>
      </c>
      <c r="P40" s="843" t="e">
        <f>ROUND('Cap-Gen'!#REF!,-3)/1000</f>
        <v>#REF!</v>
      </c>
    </row>
    <row r="41" spans="1:16" x14ac:dyDescent="0.2">
      <c r="B41" s="1" t="s">
        <v>1007</v>
      </c>
      <c r="D41" s="843">
        <v>1062</v>
      </c>
      <c r="E41" s="843" t="e">
        <f>ROUND('Cap-Gen'!#REF!,-3)/1000</f>
        <v>#REF!</v>
      </c>
      <c r="F41" s="843" t="e">
        <f>ROUND('Cap-Gen'!#REF!,-3)/1000</f>
        <v>#REF!</v>
      </c>
      <c r="G41" s="843">
        <f>ROUND('Cap-Gen'!E141,-3)/1000</f>
        <v>96</v>
      </c>
      <c r="H41" s="843">
        <f>ROUND('Cap-Gen'!F141,-3)/1000</f>
        <v>90</v>
      </c>
      <c r="I41" s="843">
        <f>ROUND('Cap-Gen'!G141,-3)/1000</f>
        <v>174</v>
      </c>
      <c r="J41" s="843">
        <f>ROUND('Cap-Gen'!H141,-3)/1000</f>
        <v>108</v>
      </c>
      <c r="K41" s="843">
        <f>ROUND('Cap-Gen'!I141,-3)/1000</f>
        <v>112</v>
      </c>
      <c r="L41" s="843">
        <f>ROUND('Cap-Gen'!J141,-3)/1000</f>
        <v>115</v>
      </c>
      <c r="M41" s="843">
        <f>ROUND('Cap-Gen'!K141,-3)/1000</f>
        <v>118</v>
      </c>
      <c r="N41" s="843">
        <f>ROUND('Cap-Gen'!L141,-3)/1000</f>
        <v>121</v>
      </c>
      <c r="O41" s="843">
        <f>ROUND('Cap-Gen'!M141,-3)/1000</f>
        <v>124</v>
      </c>
      <c r="P41" s="843" t="e">
        <f>ROUND('Cap-Gen'!#REF!,-3)/1000</f>
        <v>#REF!</v>
      </c>
    </row>
    <row r="42" spans="1:16" x14ac:dyDescent="0.2">
      <c r="B42" s="1" t="s">
        <v>2901</v>
      </c>
      <c r="D42" s="843">
        <v>261</v>
      </c>
      <c r="E42" s="843" t="e">
        <f>ROUND(SUM('Cap-Gen'!#REF!),-3)/1000</f>
        <v>#REF!</v>
      </c>
      <c r="F42" s="843" t="e">
        <f>ROUND(SUM('Cap-Gen'!#REF!),-3)/1000</f>
        <v>#REF!</v>
      </c>
      <c r="G42" s="843" t="e">
        <f>ROUND(SUM('Cap-Gen'!#REF!),-3)/1000</f>
        <v>#REF!</v>
      </c>
      <c r="H42" s="843" t="e">
        <f>ROUND(SUM('Cap-Gen'!#REF!),-3)/1000</f>
        <v>#REF!</v>
      </c>
      <c r="I42" s="843" t="e">
        <f>ROUND(SUM('Cap-Gen'!#REF!),-3)/1000</f>
        <v>#REF!</v>
      </c>
      <c r="J42" s="843" t="e">
        <f>ROUND(SUM('Cap-Gen'!#REF!),-3)/1000</f>
        <v>#REF!</v>
      </c>
      <c r="K42" s="843" t="e">
        <f>ROUND(SUM('Cap-Gen'!#REF!),-3)/1000</f>
        <v>#REF!</v>
      </c>
      <c r="L42" s="843" t="e">
        <f>ROUND(SUM('Cap-Gen'!#REF!),-3)/1000</f>
        <v>#REF!</v>
      </c>
      <c r="M42" s="843" t="e">
        <f>ROUND(SUM('Cap-Gen'!#REF!),-3)/1000</f>
        <v>#REF!</v>
      </c>
      <c r="N42" s="843" t="e">
        <f>ROUND(SUM('Cap-Gen'!#REF!),-3)/1000</f>
        <v>#REF!</v>
      </c>
      <c r="O42" s="843" t="e">
        <f>ROUND(SUM('Cap-Gen'!#REF!),-3)/1000</f>
        <v>#REF!</v>
      </c>
      <c r="P42" s="843" t="e">
        <f>ROUND(SUM('Cap-Gen'!#REF!),-3)/1000</f>
        <v>#REF!</v>
      </c>
    </row>
    <row r="43" spans="1:16" x14ac:dyDescent="0.2">
      <c r="B43" s="726" t="s">
        <v>2907</v>
      </c>
      <c r="D43" s="843">
        <v>0</v>
      </c>
      <c r="E43" s="843">
        <v>0</v>
      </c>
      <c r="F43" s="843">
        <v>0</v>
      </c>
      <c r="G43" s="843">
        <v>0</v>
      </c>
      <c r="H43" s="843">
        <v>0</v>
      </c>
      <c r="I43" s="843">
        <v>0</v>
      </c>
      <c r="J43" s="843">
        <v>0</v>
      </c>
      <c r="K43" s="843">
        <v>0</v>
      </c>
      <c r="L43" s="843">
        <v>0</v>
      </c>
      <c r="M43" s="843">
        <v>0</v>
      </c>
      <c r="N43" s="843">
        <v>0</v>
      </c>
      <c r="O43" s="843">
        <v>0</v>
      </c>
      <c r="P43" s="843">
        <v>0</v>
      </c>
    </row>
    <row r="44" spans="1:16" x14ac:dyDescent="0.2">
      <c r="B44" s="1" t="s">
        <v>2903</v>
      </c>
      <c r="D44" s="843">
        <v>0</v>
      </c>
      <c r="E44" s="843">
        <v>0</v>
      </c>
      <c r="F44" s="843">
        <v>0</v>
      </c>
      <c r="G44" s="843">
        <v>0</v>
      </c>
      <c r="H44" s="843">
        <v>0</v>
      </c>
      <c r="I44" s="843">
        <v>0</v>
      </c>
      <c r="J44" s="843">
        <v>0</v>
      </c>
      <c r="K44" s="843">
        <v>0</v>
      </c>
      <c r="L44" s="843">
        <v>0</v>
      </c>
      <c r="M44" s="843">
        <v>0</v>
      </c>
      <c r="N44" s="843">
        <v>0</v>
      </c>
      <c r="O44" s="843">
        <v>0</v>
      </c>
      <c r="P44" s="843">
        <v>0</v>
      </c>
    </row>
    <row r="45" spans="1:16" x14ac:dyDescent="0.2">
      <c r="A45" s="285"/>
      <c r="B45" s="285"/>
      <c r="C45" s="285" t="s">
        <v>2911</v>
      </c>
      <c r="D45" s="1802">
        <f>SUM(D39:D44)</f>
        <v>6064</v>
      </c>
      <c r="E45" s="1802" t="e">
        <f t="shared" ref="E45:O45" si="8">SUM(E39:E44)</f>
        <v>#REF!</v>
      </c>
      <c r="F45" s="1802" t="e">
        <f t="shared" si="8"/>
        <v>#REF!</v>
      </c>
      <c r="G45" s="1802" t="e">
        <f t="shared" si="8"/>
        <v>#REF!</v>
      </c>
      <c r="H45" s="1802" t="e">
        <f t="shared" si="8"/>
        <v>#REF!</v>
      </c>
      <c r="I45" s="1802" t="e">
        <f t="shared" si="8"/>
        <v>#REF!</v>
      </c>
      <c r="J45" s="1802" t="e">
        <f t="shared" si="8"/>
        <v>#REF!</v>
      </c>
      <c r="K45" s="1802" t="e">
        <f t="shared" si="8"/>
        <v>#REF!</v>
      </c>
      <c r="L45" s="1802" t="e">
        <f t="shared" si="8"/>
        <v>#REF!</v>
      </c>
      <c r="M45" s="1802" t="e">
        <f t="shared" si="8"/>
        <v>#REF!</v>
      </c>
      <c r="N45" s="1802" t="e">
        <f t="shared" si="8"/>
        <v>#REF!</v>
      </c>
      <c r="O45" s="1802" t="e">
        <f t="shared" si="8"/>
        <v>#REF!</v>
      </c>
      <c r="P45" s="1802" t="e">
        <f t="shared" ref="P45" si="9">SUM(P39:P44)</f>
        <v>#REF!</v>
      </c>
    </row>
    <row r="46" spans="1:16" x14ac:dyDescent="0.2">
      <c r="C46" s="285" t="s">
        <v>2928</v>
      </c>
      <c r="D46" s="1802">
        <f>D36+D45</f>
        <v>11689</v>
      </c>
      <c r="E46" s="1802" t="e">
        <f t="shared" ref="E46:O46" si="10">E36+E45</f>
        <v>#REF!</v>
      </c>
      <c r="F46" s="1802" t="e">
        <f t="shared" si="10"/>
        <v>#REF!</v>
      </c>
      <c r="G46" s="1802" t="e">
        <f t="shared" si="10"/>
        <v>#REF!</v>
      </c>
      <c r="H46" s="1802" t="e">
        <f t="shared" si="10"/>
        <v>#REF!</v>
      </c>
      <c r="I46" s="1802" t="e">
        <f t="shared" si="10"/>
        <v>#REF!</v>
      </c>
      <c r="J46" s="1802" t="e">
        <f t="shared" si="10"/>
        <v>#REF!</v>
      </c>
      <c r="K46" s="1802" t="e">
        <f t="shared" si="10"/>
        <v>#REF!</v>
      </c>
      <c r="L46" s="1802" t="e">
        <f t="shared" si="10"/>
        <v>#REF!</v>
      </c>
      <c r="M46" s="1802" t="e">
        <f t="shared" si="10"/>
        <v>#REF!</v>
      </c>
      <c r="N46" s="1802" t="e">
        <f t="shared" si="10"/>
        <v>#REF!</v>
      </c>
      <c r="O46" s="1802" t="e">
        <f t="shared" si="10"/>
        <v>#REF!</v>
      </c>
      <c r="P46" s="1802" t="e">
        <f t="shared" ref="P46" si="11">P36+P45</f>
        <v>#REF!</v>
      </c>
    </row>
    <row r="47" spans="1:16" s="285" customFormat="1" x14ac:dyDescent="0.2">
      <c r="C47" s="285" t="s">
        <v>2929</v>
      </c>
      <c r="D47" s="1802">
        <f>D46-D25</f>
        <v>1524.5204313909999</v>
      </c>
      <c r="E47" s="1802" t="e">
        <f t="shared" ref="E47:O47" si="12">E46-E25</f>
        <v>#REF!</v>
      </c>
      <c r="F47" s="1802" t="e">
        <f t="shared" si="12"/>
        <v>#REF!</v>
      </c>
      <c r="G47" s="1802" t="e">
        <f t="shared" si="12"/>
        <v>#REF!</v>
      </c>
      <c r="H47" s="1802" t="e">
        <f t="shared" si="12"/>
        <v>#REF!</v>
      </c>
      <c r="I47" s="1802" t="e">
        <f t="shared" si="12"/>
        <v>#REF!</v>
      </c>
      <c r="J47" s="1802" t="e">
        <f t="shared" si="12"/>
        <v>#REF!</v>
      </c>
      <c r="K47" s="1802" t="e">
        <f t="shared" si="12"/>
        <v>#REF!</v>
      </c>
      <c r="L47" s="1802" t="e">
        <f t="shared" si="12"/>
        <v>#REF!</v>
      </c>
      <c r="M47" s="1802" t="e">
        <f t="shared" si="12"/>
        <v>#REF!</v>
      </c>
      <c r="N47" s="1802" t="e">
        <f t="shared" si="12"/>
        <v>#REF!</v>
      </c>
      <c r="O47" s="1802" t="e">
        <f t="shared" si="12"/>
        <v>#REF!</v>
      </c>
      <c r="P47" s="1802" t="e">
        <f t="shared" ref="P47" si="13">P46-P25</f>
        <v>#REF!</v>
      </c>
    </row>
    <row r="48" spans="1:16" s="285" customFormat="1" x14ac:dyDescent="0.2">
      <c r="C48" s="285" t="s">
        <v>2930</v>
      </c>
      <c r="D48" s="1802">
        <f>D47</f>
        <v>1524.5204313909999</v>
      </c>
      <c r="E48" s="1802" t="e">
        <f t="shared" ref="E48:P48" si="14">D48+E47</f>
        <v>#REF!</v>
      </c>
      <c r="F48" s="1802" t="e">
        <f t="shared" si="14"/>
        <v>#REF!</v>
      </c>
      <c r="G48" s="1802" t="e">
        <f t="shared" si="14"/>
        <v>#REF!</v>
      </c>
      <c r="H48" s="1802" t="e">
        <f t="shared" si="14"/>
        <v>#REF!</v>
      </c>
      <c r="I48" s="1802" t="e">
        <f t="shared" si="14"/>
        <v>#REF!</v>
      </c>
      <c r="J48" s="1802" t="e">
        <f t="shared" si="14"/>
        <v>#REF!</v>
      </c>
      <c r="K48" s="1802" t="e">
        <f t="shared" si="14"/>
        <v>#REF!</v>
      </c>
      <c r="L48" s="1802" t="e">
        <f t="shared" si="14"/>
        <v>#REF!</v>
      </c>
      <c r="M48" s="1802" t="e">
        <f t="shared" si="14"/>
        <v>#REF!</v>
      </c>
      <c r="N48" s="1802" t="e">
        <f t="shared" si="14"/>
        <v>#REF!</v>
      </c>
      <c r="O48" s="1802" t="e">
        <f t="shared" si="14"/>
        <v>#REF!</v>
      </c>
      <c r="P48" s="1802" t="e">
        <f t="shared" si="14"/>
        <v>#REF!</v>
      </c>
    </row>
    <row r="49" spans="1:16" x14ac:dyDescent="0.2">
      <c r="A49" s="726" t="s">
        <v>61</v>
      </c>
      <c r="D49" s="843"/>
      <c r="E49" s="843"/>
      <c r="F49" s="843"/>
      <c r="G49" s="843"/>
      <c r="H49" s="843"/>
      <c r="I49" s="843"/>
      <c r="J49" s="843"/>
      <c r="K49" s="843"/>
      <c r="L49" s="843"/>
      <c r="M49" s="843"/>
      <c r="N49" s="843"/>
      <c r="O49" s="843"/>
      <c r="P49" s="843"/>
    </row>
    <row r="50" spans="1:16" x14ac:dyDescent="0.2">
      <c r="D50" s="843"/>
      <c r="E50" s="843"/>
      <c r="F50" s="843"/>
      <c r="G50" s="843"/>
      <c r="H50" s="843"/>
      <c r="I50" s="843"/>
      <c r="J50" s="843"/>
      <c r="K50" s="843"/>
      <c r="L50" s="843"/>
      <c r="M50" s="843"/>
      <c r="N50" s="843"/>
      <c r="O50" s="843"/>
      <c r="P50" s="843"/>
    </row>
    <row r="51" spans="1:16" x14ac:dyDescent="0.2">
      <c r="C51" s="726" t="s">
        <v>3441</v>
      </c>
      <c r="D51" s="843"/>
      <c r="E51" s="843"/>
      <c r="F51" s="843"/>
      <c r="G51" s="843"/>
      <c r="H51" s="843"/>
      <c r="I51" s="843"/>
      <c r="J51" s="843"/>
      <c r="K51" s="843"/>
      <c r="L51" s="843"/>
      <c r="M51" s="843"/>
      <c r="N51" s="843"/>
      <c r="O51" s="843"/>
      <c r="P51" s="843"/>
    </row>
    <row r="52" spans="1:16" x14ac:dyDescent="0.2">
      <c r="C52" s="726" t="s">
        <v>3442</v>
      </c>
      <c r="D52" s="843"/>
      <c r="E52" s="843"/>
      <c r="F52" s="843"/>
      <c r="G52" s="843"/>
      <c r="H52" s="843"/>
      <c r="I52" s="843"/>
      <c r="J52" s="843"/>
      <c r="K52" s="843"/>
      <c r="L52" s="843"/>
      <c r="M52" s="843"/>
      <c r="N52" s="843"/>
      <c r="O52" s="843"/>
      <c r="P52" s="843"/>
    </row>
    <row r="53" spans="1:16" x14ac:dyDescent="0.2">
      <c r="C53" s="726" t="s">
        <v>3443</v>
      </c>
      <c r="D53" s="843"/>
      <c r="E53" s="843"/>
      <c r="F53" s="843"/>
      <c r="G53" s="843"/>
      <c r="H53" s="843"/>
      <c r="I53" s="843"/>
      <c r="J53" s="843"/>
      <c r="K53" s="843"/>
      <c r="L53" s="843"/>
      <c r="M53" s="843"/>
      <c r="N53" s="843"/>
      <c r="O53" s="843"/>
      <c r="P53" s="843"/>
    </row>
    <row r="54" spans="1:16" x14ac:dyDescent="0.2">
      <c r="C54" s="1" t="s">
        <v>3444</v>
      </c>
      <c r="D54" s="843"/>
      <c r="E54" s="843"/>
      <c r="F54" s="843"/>
      <c r="G54" s="843"/>
      <c r="H54" s="843"/>
      <c r="I54" s="843"/>
      <c r="J54" s="843"/>
      <c r="K54" s="843"/>
      <c r="L54" s="843"/>
      <c r="M54" s="843"/>
      <c r="N54" s="843"/>
      <c r="O54" s="843"/>
      <c r="P54" s="843"/>
    </row>
    <row r="55" spans="1:16" x14ac:dyDescent="0.2">
      <c r="C55" s="1" t="s">
        <v>3445</v>
      </c>
      <c r="D55" s="843"/>
      <c r="E55" s="843"/>
      <c r="F55" s="843"/>
      <c r="G55" s="843"/>
      <c r="H55" s="843"/>
      <c r="I55" s="843"/>
      <c r="J55" s="843"/>
      <c r="K55" s="843"/>
      <c r="L55" s="843"/>
      <c r="M55" s="843"/>
      <c r="N55" s="843"/>
      <c r="O55" s="843"/>
      <c r="P55" s="843"/>
    </row>
    <row r="56" spans="1:16" x14ac:dyDescent="0.2">
      <c r="C56" s="1" t="s">
        <v>3446</v>
      </c>
      <c r="D56" s="843"/>
      <c r="E56" s="843"/>
      <c r="F56" s="843"/>
      <c r="G56" s="843"/>
      <c r="H56" s="843"/>
      <c r="I56" s="843"/>
      <c r="J56" s="843"/>
      <c r="K56" s="843"/>
      <c r="L56" s="843"/>
      <c r="M56" s="843"/>
      <c r="N56" s="843"/>
      <c r="O56" s="843"/>
      <c r="P56" s="843"/>
    </row>
    <row r="57" spans="1:16" x14ac:dyDescent="0.2">
      <c r="C57" s="1" t="s">
        <v>3447</v>
      </c>
      <c r="D57" s="843"/>
      <c r="E57" s="843"/>
      <c r="F57" s="843"/>
      <c r="G57" s="843"/>
      <c r="H57" s="843"/>
      <c r="I57" s="843"/>
      <c r="J57" s="843"/>
      <c r="K57" s="843"/>
      <c r="L57" s="843"/>
      <c r="M57" s="843"/>
      <c r="N57" s="843"/>
      <c r="O57" s="843"/>
      <c r="P57" s="843"/>
    </row>
    <row r="58" spans="1:16" x14ac:dyDescent="0.2">
      <c r="C58" s="1" t="s">
        <v>3448</v>
      </c>
      <c r="D58" s="843"/>
      <c r="E58" s="843"/>
      <c r="F58" s="843"/>
      <c r="G58" s="843"/>
      <c r="H58" s="843"/>
      <c r="I58" s="843"/>
      <c r="J58" s="843"/>
      <c r="K58" s="843"/>
      <c r="L58" s="843"/>
      <c r="M58" s="843"/>
      <c r="N58" s="843"/>
      <c r="O58" s="843"/>
      <c r="P58" s="843"/>
    </row>
    <row r="59" spans="1:16" x14ac:dyDescent="0.2">
      <c r="C59" s="1" t="s">
        <v>3449</v>
      </c>
      <c r="D59" s="843"/>
      <c r="E59" s="843"/>
      <c r="F59" s="843"/>
      <c r="G59" s="843"/>
      <c r="H59" s="843"/>
      <c r="I59" s="843"/>
      <c r="J59" s="843"/>
      <c r="K59" s="843"/>
      <c r="L59" s="843"/>
      <c r="M59" s="843"/>
      <c r="N59" s="843"/>
      <c r="O59" s="843"/>
      <c r="P59" s="843"/>
    </row>
    <row r="60" spans="1:16" x14ac:dyDescent="0.2">
      <c r="D60" s="843"/>
      <c r="E60" s="843"/>
      <c r="F60" s="843"/>
      <c r="G60" s="843"/>
      <c r="H60" s="843"/>
      <c r="I60" s="843"/>
      <c r="J60" s="843"/>
      <c r="K60" s="843"/>
      <c r="L60" s="843"/>
      <c r="M60" s="843"/>
      <c r="N60" s="843"/>
      <c r="O60" s="843"/>
      <c r="P60" s="843"/>
    </row>
    <row r="61" spans="1:16" x14ac:dyDescent="0.2">
      <c r="D61" s="843"/>
      <c r="E61" s="843"/>
      <c r="F61" s="843"/>
      <c r="G61" s="843"/>
      <c r="H61" s="843"/>
      <c r="I61" s="843"/>
      <c r="J61" s="843"/>
      <c r="K61" s="843"/>
      <c r="L61" s="843"/>
      <c r="M61" s="843"/>
      <c r="N61" s="843"/>
      <c r="O61" s="843"/>
      <c r="P61" s="843"/>
    </row>
    <row r="62" spans="1:16" x14ac:dyDescent="0.2">
      <c r="D62" s="843"/>
      <c r="E62" s="843"/>
      <c r="F62" s="843"/>
      <c r="G62" s="843"/>
      <c r="H62" s="843"/>
      <c r="I62" s="843"/>
      <c r="J62" s="843"/>
      <c r="K62" s="843"/>
      <c r="L62" s="843"/>
      <c r="M62" s="843"/>
      <c r="N62" s="843"/>
      <c r="O62" s="843"/>
      <c r="P62" s="843"/>
    </row>
    <row r="63" spans="1:16" x14ac:dyDescent="0.2">
      <c r="D63" s="843"/>
      <c r="E63" s="843"/>
      <c r="F63" s="843"/>
      <c r="G63" s="843"/>
      <c r="H63" s="843"/>
      <c r="I63" s="843"/>
      <c r="J63" s="843"/>
      <c r="K63" s="843"/>
      <c r="L63" s="843"/>
      <c r="M63" s="843"/>
      <c r="N63" s="843"/>
      <c r="O63" s="843"/>
      <c r="P63" s="843"/>
    </row>
    <row r="64" spans="1:16" x14ac:dyDescent="0.2">
      <c r="D64" s="843"/>
      <c r="E64" s="843"/>
      <c r="F64" s="843"/>
      <c r="G64" s="843"/>
      <c r="H64" s="843"/>
      <c r="I64" s="843"/>
      <c r="J64" s="843"/>
      <c r="K64" s="843"/>
      <c r="L64" s="843"/>
      <c r="M64" s="843"/>
      <c r="N64" s="843"/>
      <c r="O64" s="843"/>
      <c r="P64" s="843"/>
    </row>
    <row r="65" spans="4:16" x14ac:dyDescent="0.2">
      <c r="D65" s="843"/>
      <c r="E65" s="843"/>
      <c r="F65" s="843"/>
      <c r="G65" s="843"/>
      <c r="H65" s="843"/>
      <c r="I65" s="843"/>
      <c r="J65" s="843"/>
      <c r="K65" s="843"/>
      <c r="L65" s="843"/>
      <c r="M65" s="843"/>
      <c r="N65" s="843"/>
      <c r="O65" s="843"/>
      <c r="P65" s="843"/>
    </row>
    <row r="66" spans="4:16" x14ac:dyDescent="0.2">
      <c r="D66" s="843"/>
      <c r="E66" s="843"/>
      <c r="F66" s="843"/>
      <c r="G66" s="843"/>
      <c r="H66" s="843"/>
      <c r="I66" s="843"/>
      <c r="J66" s="843"/>
      <c r="K66" s="843"/>
      <c r="L66" s="843"/>
      <c r="M66" s="843"/>
      <c r="N66" s="843"/>
      <c r="O66" s="843"/>
      <c r="P66" s="843"/>
    </row>
    <row r="67" spans="4:16" x14ac:dyDescent="0.2">
      <c r="D67" s="843"/>
      <c r="E67" s="843"/>
      <c r="F67" s="843"/>
      <c r="G67" s="843"/>
      <c r="H67" s="843"/>
      <c r="I67" s="843"/>
      <c r="J67" s="843"/>
      <c r="K67" s="843"/>
      <c r="L67" s="843"/>
      <c r="M67" s="843"/>
      <c r="N67" s="843"/>
      <c r="O67" s="843"/>
      <c r="P67" s="843"/>
    </row>
    <row r="68" spans="4:16" x14ac:dyDescent="0.2">
      <c r="D68" s="843"/>
      <c r="E68" s="843"/>
      <c r="F68" s="843"/>
      <c r="G68" s="843"/>
      <c r="H68" s="843"/>
      <c r="I68" s="843"/>
      <c r="J68" s="843"/>
      <c r="K68" s="843"/>
      <c r="L68" s="843"/>
      <c r="M68" s="843"/>
      <c r="N68" s="843"/>
      <c r="O68" s="843"/>
      <c r="P68" s="843"/>
    </row>
    <row r="69" spans="4:16" x14ac:dyDescent="0.2">
      <c r="D69" s="843"/>
      <c r="E69" s="843"/>
      <c r="F69" s="843"/>
      <c r="G69" s="843"/>
      <c r="H69" s="843"/>
      <c r="I69" s="843"/>
      <c r="J69" s="843"/>
      <c r="K69" s="843"/>
      <c r="L69" s="843"/>
      <c r="M69" s="843"/>
      <c r="N69" s="843"/>
      <c r="O69" s="843"/>
      <c r="P69" s="843"/>
    </row>
    <row r="70" spans="4:16" x14ac:dyDescent="0.2">
      <c r="D70" s="843"/>
      <c r="E70" s="843"/>
      <c r="F70" s="843"/>
      <c r="G70" s="843"/>
      <c r="H70" s="843"/>
      <c r="I70" s="843"/>
      <c r="J70" s="843"/>
      <c r="K70" s="843"/>
      <c r="L70" s="843"/>
      <c r="M70" s="843"/>
      <c r="N70" s="843"/>
      <c r="O70" s="843"/>
      <c r="P70" s="843"/>
    </row>
    <row r="71" spans="4:16" x14ac:dyDescent="0.2">
      <c r="D71" s="843"/>
      <c r="E71" s="843"/>
      <c r="F71" s="843"/>
      <c r="G71" s="843"/>
      <c r="H71" s="843"/>
      <c r="I71" s="843"/>
      <c r="J71" s="843"/>
      <c r="K71" s="843"/>
      <c r="L71" s="843"/>
      <c r="M71" s="843"/>
      <c r="N71" s="843"/>
      <c r="O71" s="843"/>
      <c r="P71" s="843"/>
    </row>
    <row r="72" spans="4:16" x14ac:dyDescent="0.2">
      <c r="D72" s="843"/>
      <c r="E72" s="843"/>
      <c r="F72" s="843"/>
      <c r="G72" s="843"/>
      <c r="H72" s="843"/>
      <c r="I72" s="843"/>
      <c r="J72" s="843"/>
      <c r="K72" s="843"/>
      <c r="L72" s="843"/>
      <c r="M72" s="843"/>
      <c r="N72" s="843"/>
      <c r="O72" s="843"/>
      <c r="P72" s="843"/>
    </row>
    <row r="73" spans="4:16" x14ac:dyDescent="0.2">
      <c r="D73" s="843"/>
      <c r="E73" s="843"/>
      <c r="F73" s="843"/>
      <c r="G73" s="843"/>
      <c r="H73" s="843"/>
      <c r="I73" s="843"/>
      <c r="J73" s="843"/>
      <c r="K73" s="843"/>
      <c r="L73" s="843"/>
      <c r="M73" s="843"/>
      <c r="N73" s="843"/>
      <c r="O73" s="843"/>
      <c r="P73" s="843"/>
    </row>
    <row r="74" spans="4:16" x14ac:dyDescent="0.2">
      <c r="D74" s="843"/>
      <c r="E74" s="843"/>
      <c r="F74" s="843"/>
      <c r="G74" s="843"/>
      <c r="H74" s="843"/>
      <c r="I74" s="843"/>
      <c r="J74" s="843"/>
      <c r="K74" s="843"/>
      <c r="L74" s="843"/>
      <c r="M74" s="843"/>
      <c r="N74" s="843"/>
      <c r="O74" s="843"/>
      <c r="P74" s="843"/>
    </row>
    <row r="75" spans="4:16" x14ac:dyDescent="0.2">
      <c r="D75" s="843"/>
      <c r="E75" s="843"/>
      <c r="F75" s="843"/>
      <c r="G75" s="843"/>
      <c r="H75" s="843"/>
      <c r="I75" s="843"/>
      <c r="J75" s="843"/>
      <c r="K75" s="843"/>
      <c r="L75" s="843"/>
      <c r="M75" s="843"/>
      <c r="N75" s="843"/>
      <c r="O75" s="843"/>
      <c r="P75" s="843"/>
    </row>
    <row r="76" spans="4:16" x14ac:dyDescent="0.2">
      <c r="D76" s="843"/>
      <c r="E76" s="843"/>
      <c r="F76" s="843"/>
      <c r="G76" s="843"/>
      <c r="H76" s="843"/>
      <c r="I76" s="843"/>
      <c r="J76" s="843"/>
      <c r="K76" s="843"/>
      <c r="L76" s="843"/>
      <c r="M76" s="843"/>
      <c r="N76" s="843"/>
      <c r="O76" s="843"/>
      <c r="P76" s="843"/>
    </row>
    <row r="77" spans="4:16" x14ac:dyDescent="0.2">
      <c r="D77" s="843"/>
      <c r="E77" s="843"/>
      <c r="F77" s="843"/>
      <c r="G77" s="843"/>
      <c r="H77" s="843"/>
      <c r="I77" s="843"/>
      <c r="J77" s="843"/>
      <c r="K77" s="843"/>
      <c r="L77" s="843"/>
      <c r="M77" s="843"/>
      <c r="N77" s="843"/>
      <c r="O77" s="843"/>
      <c r="P77" s="843"/>
    </row>
    <row r="78" spans="4:16" x14ac:dyDescent="0.2">
      <c r="D78" s="843"/>
      <c r="E78" s="843"/>
      <c r="F78" s="843"/>
      <c r="G78" s="843"/>
      <c r="H78" s="843"/>
      <c r="I78" s="843"/>
      <c r="J78" s="843"/>
      <c r="K78" s="843"/>
      <c r="L78" s="843"/>
      <c r="M78" s="843"/>
      <c r="N78" s="843"/>
      <c r="O78" s="843"/>
      <c r="P78" s="843"/>
    </row>
    <row r="79" spans="4:16" x14ac:dyDescent="0.2">
      <c r="D79" s="843"/>
      <c r="E79" s="843"/>
      <c r="F79" s="843"/>
      <c r="G79" s="843"/>
      <c r="H79" s="843"/>
      <c r="I79" s="843"/>
      <c r="J79" s="843"/>
      <c r="K79" s="843"/>
      <c r="L79" s="843"/>
      <c r="M79" s="843"/>
      <c r="N79" s="843"/>
      <c r="O79" s="843"/>
      <c r="P79" s="843"/>
    </row>
    <row r="80" spans="4:16" x14ac:dyDescent="0.2">
      <c r="D80" s="843"/>
      <c r="E80" s="843"/>
      <c r="F80" s="843"/>
      <c r="G80" s="843"/>
      <c r="H80" s="843"/>
      <c r="I80" s="843"/>
      <c r="J80" s="843"/>
      <c r="K80" s="843"/>
      <c r="L80" s="843"/>
      <c r="M80" s="843"/>
      <c r="N80" s="843"/>
      <c r="O80" s="843"/>
      <c r="P80" s="843"/>
    </row>
    <row r="81" spans="4:16" x14ac:dyDescent="0.2">
      <c r="D81" s="843"/>
      <c r="E81" s="843"/>
      <c r="F81" s="843"/>
      <c r="G81" s="843"/>
      <c r="H81" s="843"/>
      <c r="I81" s="843"/>
      <c r="J81" s="843"/>
      <c r="K81" s="843"/>
      <c r="L81" s="843"/>
      <c r="M81" s="843"/>
      <c r="N81" s="843"/>
      <c r="O81" s="843"/>
      <c r="P81" s="843"/>
    </row>
    <row r="82" spans="4:16" x14ac:dyDescent="0.2">
      <c r="D82" s="843"/>
      <c r="E82" s="843"/>
      <c r="F82" s="843"/>
      <c r="G82" s="843"/>
      <c r="H82" s="843"/>
      <c r="I82" s="843"/>
      <c r="J82" s="843"/>
      <c r="K82" s="843"/>
      <c r="L82" s="843"/>
      <c r="M82" s="843"/>
      <c r="N82" s="843"/>
      <c r="O82" s="843"/>
      <c r="P82" s="843"/>
    </row>
    <row r="83" spans="4:16" x14ac:dyDescent="0.2">
      <c r="D83" s="843"/>
      <c r="E83" s="843"/>
      <c r="F83" s="843"/>
      <c r="G83" s="843"/>
      <c r="H83" s="843"/>
      <c r="I83" s="843"/>
      <c r="J83" s="843"/>
      <c r="K83" s="843"/>
      <c r="L83" s="843"/>
      <c r="M83" s="843"/>
      <c r="N83" s="843"/>
      <c r="O83" s="843"/>
      <c r="P83" s="843"/>
    </row>
    <row r="84" spans="4:16" x14ac:dyDescent="0.2">
      <c r="D84" s="843"/>
      <c r="E84" s="843"/>
      <c r="F84" s="843"/>
      <c r="G84" s="843"/>
      <c r="H84" s="843"/>
      <c r="I84" s="843"/>
      <c r="J84" s="843"/>
      <c r="K84" s="843"/>
      <c r="L84" s="843"/>
      <c r="M84" s="843"/>
      <c r="N84" s="843"/>
      <c r="O84" s="843"/>
      <c r="P84" s="843"/>
    </row>
    <row r="85" spans="4:16" x14ac:dyDescent="0.2">
      <c r="D85" s="843"/>
      <c r="E85" s="843"/>
      <c r="F85" s="843"/>
      <c r="G85" s="843"/>
      <c r="H85" s="843"/>
      <c r="I85" s="843"/>
      <c r="J85" s="843"/>
      <c r="K85" s="843"/>
      <c r="L85" s="843"/>
      <c r="M85" s="843"/>
      <c r="N85" s="843"/>
      <c r="O85" s="843"/>
      <c r="P85" s="843"/>
    </row>
    <row r="86" spans="4:16" x14ac:dyDescent="0.2">
      <c r="D86" s="843"/>
      <c r="E86" s="843"/>
      <c r="F86" s="843"/>
      <c r="G86" s="843"/>
      <c r="H86" s="843"/>
      <c r="I86" s="843"/>
      <c r="J86" s="843"/>
      <c r="K86" s="843"/>
      <c r="L86" s="843"/>
      <c r="M86" s="843"/>
      <c r="N86" s="843"/>
      <c r="O86" s="843"/>
      <c r="P86" s="843"/>
    </row>
    <row r="87" spans="4:16" x14ac:dyDescent="0.2">
      <c r="D87" s="843"/>
      <c r="E87" s="843"/>
      <c r="F87" s="843"/>
      <c r="G87" s="843"/>
      <c r="H87" s="843"/>
      <c r="I87" s="843"/>
      <c r="J87" s="843"/>
      <c r="K87" s="843"/>
      <c r="L87" s="843"/>
      <c r="M87" s="843"/>
      <c r="N87" s="843"/>
      <c r="O87" s="843"/>
      <c r="P87" s="843"/>
    </row>
    <row r="88" spans="4:16" x14ac:dyDescent="0.2">
      <c r="D88" s="843"/>
      <c r="E88" s="843"/>
      <c r="F88" s="843"/>
      <c r="G88" s="843"/>
      <c r="H88" s="843"/>
      <c r="I88" s="843"/>
      <c r="J88" s="843"/>
      <c r="K88" s="843"/>
      <c r="L88" s="843"/>
      <c r="M88" s="843"/>
      <c r="N88" s="843"/>
      <c r="O88" s="843"/>
      <c r="P88" s="843"/>
    </row>
    <row r="89" spans="4:16" x14ac:dyDescent="0.2">
      <c r="D89" s="843"/>
      <c r="E89" s="843"/>
      <c r="F89" s="843"/>
      <c r="G89" s="843"/>
      <c r="H89" s="843"/>
      <c r="I89" s="843"/>
      <c r="J89" s="843"/>
      <c r="K89" s="843"/>
      <c r="L89" s="843"/>
      <c r="M89" s="843"/>
      <c r="N89" s="843"/>
      <c r="O89" s="843"/>
      <c r="P89" s="843"/>
    </row>
    <row r="90" spans="4:16" x14ac:dyDescent="0.2">
      <c r="D90" s="843"/>
      <c r="E90" s="843"/>
      <c r="F90" s="843"/>
      <c r="G90" s="843"/>
      <c r="H90" s="843"/>
      <c r="I90" s="843"/>
      <c r="J90" s="843"/>
      <c r="K90" s="843"/>
      <c r="L90" s="843"/>
      <c r="M90" s="843"/>
      <c r="N90" s="843"/>
      <c r="O90" s="843"/>
      <c r="P90" s="843"/>
    </row>
    <row r="91" spans="4:16" x14ac:dyDescent="0.2">
      <c r="D91" s="843"/>
      <c r="E91" s="843"/>
      <c r="F91" s="843"/>
      <c r="G91" s="843"/>
      <c r="H91" s="843"/>
      <c r="I91" s="843"/>
      <c r="J91" s="843"/>
      <c r="K91" s="843"/>
      <c r="L91" s="843"/>
      <c r="M91" s="843"/>
      <c r="N91" s="843"/>
      <c r="O91" s="843"/>
      <c r="P91" s="843"/>
    </row>
    <row r="92" spans="4:16" x14ac:dyDescent="0.2">
      <c r="D92" s="843"/>
      <c r="E92" s="843"/>
      <c r="F92" s="843"/>
      <c r="G92" s="843"/>
      <c r="H92" s="843"/>
      <c r="I92" s="843"/>
      <c r="J92" s="843"/>
      <c r="K92" s="843"/>
      <c r="L92" s="843"/>
      <c r="M92" s="843"/>
      <c r="N92" s="843"/>
      <c r="O92" s="843"/>
      <c r="P92" s="843"/>
    </row>
    <row r="93" spans="4:16" x14ac:dyDescent="0.2">
      <c r="D93" s="843"/>
      <c r="E93" s="843"/>
      <c r="F93" s="843"/>
      <c r="G93" s="843"/>
      <c r="H93" s="843"/>
      <c r="I93" s="843"/>
      <c r="J93" s="843"/>
      <c r="K93" s="843"/>
      <c r="L93" s="843"/>
      <c r="M93" s="843"/>
      <c r="N93" s="843"/>
      <c r="O93" s="843"/>
      <c r="P93" s="843"/>
    </row>
    <row r="94" spans="4:16" x14ac:dyDescent="0.2">
      <c r="D94" s="843"/>
      <c r="E94" s="843"/>
      <c r="F94" s="843"/>
      <c r="G94" s="843"/>
      <c r="H94" s="843"/>
      <c r="I94" s="843"/>
      <c r="J94" s="843"/>
      <c r="K94" s="843"/>
      <c r="L94" s="843"/>
      <c r="M94" s="843"/>
      <c r="N94" s="843"/>
      <c r="O94" s="843"/>
      <c r="P94" s="843"/>
    </row>
    <row r="95" spans="4:16" x14ac:dyDescent="0.2">
      <c r="D95" s="843"/>
      <c r="E95" s="843"/>
      <c r="F95" s="843"/>
      <c r="G95" s="843"/>
      <c r="H95" s="843"/>
      <c r="I95" s="843"/>
      <c r="J95" s="843"/>
      <c r="K95" s="843"/>
      <c r="L95" s="843"/>
      <c r="M95" s="843"/>
      <c r="N95" s="843"/>
      <c r="O95" s="843"/>
      <c r="P95" s="843"/>
    </row>
    <row r="96" spans="4:16" x14ac:dyDescent="0.2">
      <c r="D96" s="843"/>
      <c r="E96" s="843"/>
      <c r="F96" s="843"/>
      <c r="G96" s="843"/>
      <c r="H96" s="843"/>
      <c r="I96" s="843"/>
      <c r="J96" s="843"/>
      <c r="K96" s="843"/>
      <c r="L96" s="843"/>
      <c r="M96" s="843"/>
      <c r="N96" s="843"/>
      <c r="O96" s="843"/>
      <c r="P96" s="843"/>
    </row>
    <row r="97" spans="4:16" x14ac:dyDescent="0.2">
      <c r="D97" s="843"/>
      <c r="E97" s="843"/>
      <c r="F97" s="843"/>
      <c r="G97" s="843"/>
      <c r="H97" s="843"/>
      <c r="I97" s="843"/>
      <c r="J97" s="843"/>
      <c r="K97" s="843"/>
      <c r="L97" s="843"/>
      <c r="M97" s="843"/>
      <c r="N97" s="843"/>
      <c r="O97" s="843"/>
      <c r="P97" s="843"/>
    </row>
    <row r="98" spans="4:16" x14ac:dyDescent="0.2">
      <c r="D98" s="843"/>
      <c r="E98" s="843"/>
      <c r="F98" s="843"/>
      <c r="G98" s="843"/>
      <c r="H98" s="843"/>
      <c r="I98" s="843"/>
      <c r="J98" s="843"/>
      <c r="K98" s="843"/>
      <c r="L98" s="843"/>
      <c r="M98" s="843"/>
      <c r="N98" s="843"/>
      <c r="O98" s="843"/>
      <c r="P98" s="843"/>
    </row>
    <row r="99" spans="4:16" x14ac:dyDescent="0.2">
      <c r="D99" s="843"/>
      <c r="E99" s="843"/>
      <c r="F99" s="843"/>
      <c r="G99" s="843"/>
      <c r="H99" s="843"/>
      <c r="I99" s="843"/>
      <c r="J99" s="843"/>
      <c r="K99" s="843"/>
      <c r="L99" s="843"/>
      <c r="M99" s="843"/>
      <c r="N99" s="843"/>
      <c r="O99" s="843"/>
      <c r="P99" s="843"/>
    </row>
    <row r="100" spans="4:16" x14ac:dyDescent="0.2">
      <c r="D100" s="843"/>
      <c r="E100" s="843"/>
      <c r="F100" s="843"/>
      <c r="G100" s="843"/>
      <c r="H100" s="843"/>
      <c r="I100" s="843"/>
      <c r="J100" s="843"/>
      <c r="K100" s="843"/>
      <c r="L100" s="843"/>
      <c r="M100" s="843"/>
      <c r="N100" s="843"/>
      <c r="O100" s="843"/>
      <c r="P100" s="843"/>
    </row>
    <row r="101" spans="4:16" x14ac:dyDescent="0.2">
      <c r="D101" s="843"/>
      <c r="E101" s="843"/>
      <c r="F101" s="843"/>
      <c r="G101" s="843"/>
      <c r="H101" s="843"/>
      <c r="I101" s="843"/>
      <c r="J101" s="843"/>
      <c r="K101" s="843"/>
      <c r="L101" s="843"/>
      <c r="M101" s="843"/>
      <c r="N101" s="843"/>
      <c r="O101" s="843"/>
      <c r="P101" s="843"/>
    </row>
    <row r="102" spans="4:16" x14ac:dyDescent="0.2">
      <c r="D102" s="843"/>
      <c r="E102" s="843"/>
      <c r="F102" s="843"/>
      <c r="G102" s="843"/>
      <c r="H102" s="843"/>
      <c r="I102" s="843"/>
      <c r="J102" s="843"/>
      <c r="K102" s="843"/>
      <c r="L102" s="843"/>
      <c r="M102" s="843"/>
      <c r="N102" s="843"/>
      <c r="O102" s="843"/>
      <c r="P102" s="843"/>
    </row>
    <row r="103" spans="4:16" x14ac:dyDescent="0.2">
      <c r="D103" s="843"/>
      <c r="E103" s="843"/>
      <c r="F103" s="843"/>
      <c r="G103" s="843"/>
      <c r="H103" s="843"/>
      <c r="I103" s="843"/>
      <c r="J103" s="843"/>
      <c r="K103" s="843"/>
      <c r="L103" s="843"/>
      <c r="M103" s="843"/>
      <c r="N103" s="843"/>
      <c r="O103" s="843"/>
      <c r="P103" s="843"/>
    </row>
    <row r="104" spans="4:16" x14ac:dyDescent="0.2">
      <c r="D104" s="843"/>
      <c r="E104" s="843"/>
      <c r="F104" s="843"/>
      <c r="G104" s="843"/>
      <c r="H104" s="843"/>
      <c r="I104" s="843"/>
      <c r="J104" s="843"/>
      <c r="K104" s="843"/>
      <c r="L104" s="843"/>
      <c r="M104" s="843"/>
      <c r="N104" s="843"/>
      <c r="O104" s="843"/>
      <c r="P104" s="843"/>
    </row>
    <row r="105" spans="4:16" x14ac:dyDescent="0.2">
      <c r="D105" s="843"/>
      <c r="E105" s="843"/>
      <c r="F105" s="843"/>
      <c r="G105" s="843"/>
      <c r="H105" s="843"/>
      <c r="I105" s="843"/>
      <c r="J105" s="843"/>
      <c r="K105" s="843"/>
      <c r="L105" s="843"/>
      <c r="M105" s="843"/>
      <c r="N105" s="843"/>
      <c r="O105" s="843"/>
      <c r="P105" s="843"/>
    </row>
    <row r="106" spans="4:16" x14ac:dyDescent="0.2">
      <c r="D106" s="843"/>
      <c r="E106" s="843"/>
      <c r="F106" s="843"/>
      <c r="G106" s="843"/>
      <c r="H106" s="843"/>
      <c r="I106" s="843"/>
      <c r="J106" s="843"/>
      <c r="K106" s="843"/>
      <c r="L106" s="843"/>
      <c r="M106" s="843"/>
      <c r="N106" s="843"/>
      <c r="O106" s="843"/>
      <c r="P106" s="843"/>
    </row>
    <row r="107" spans="4:16" x14ac:dyDescent="0.2">
      <c r="D107" s="843"/>
      <c r="E107" s="843"/>
      <c r="F107" s="843"/>
      <c r="G107" s="843"/>
      <c r="H107" s="843"/>
      <c r="I107" s="843"/>
      <c r="J107" s="843"/>
      <c r="K107" s="843"/>
      <c r="L107" s="843"/>
      <c r="M107" s="843"/>
      <c r="N107" s="843"/>
      <c r="O107" s="843"/>
      <c r="P107" s="843"/>
    </row>
    <row r="108" spans="4:16" x14ac:dyDescent="0.2">
      <c r="D108" s="843"/>
      <c r="E108" s="843"/>
      <c r="F108" s="843"/>
      <c r="G108" s="843"/>
      <c r="H108" s="843"/>
      <c r="I108" s="843"/>
      <c r="J108" s="843"/>
      <c r="K108" s="843"/>
      <c r="L108" s="843"/>
      <c r="M108" s="843"/>
      <c r="N108" s="843"/>
      <c r="O108" s="843"/>
      <c r="P108" s="843"/>
    </row>
    <row r="109" spans="4:16" x14ac:dyDescent="0.2">
      <c r="D109" s="843"/>
      <c r="E109" s="843"/>
      <c r="F109" s="843"/>
      <c r="G109" s="843"/>
      <c r="H109" s="843"/>
      <c r="I109" s="843"/>
      <c r="J109" s="843"/>
      <c r="K109" s="843"/>
      <c r="L109" s="843"/>
      <c r="M109" s="843"/>
      <c r="N109" s="843"/>
      <c r="O109" s="843"/>
      <c r="P109" s="843"/>
    </row>
    <row r="110" spans="4:16" x14ac:dyDescent="0.2">
      <c r="D110" s="843"/>
      <c r="E110" s="843"/>
      <c r="F110" s="843"/>
      <c r="G110" s="843"/>
      <c r="H110" s="843"/>
      <c r="I110" s="843"/>
      <c r="J110" s="843"/>
      <c r="K110" s="843"/>
      <c r="L110" s="843"/>
      <c r="M110" s="843"/>
      <c r="N110" s="843"/>
      <c r="O110" s="843"/>
      <c r="P110" s="843"/>
    </row>
    <row r="111" spans="4:16" x14ac:dyDescent="0.2">
      <c r="D111" s="843"/>
      <c r="E111" s="843"/>
      <c r="F111" s="843"/>
      <c r="G111" s="843"/>
      <c r="H111" s="843"/>
      <c r="I111" s="843"/>
      <c r="J111" s="843"/>
      <c r="K111" s="843"/>
      <c r="L111" s="843"/>
      <c r="M111" s="843"/>
      <c r="N111" s="843"/>
      <c r="O111" s="843"/>
      <c r="P111" s="843"/>
    </row>
    <row r="112" spans="4:16" x14ac:dyDescent="0.2">
      <c r="D112" s="843"/>
      <c r="E112" s="843"/>
      <c r="F112" s="843"/>
      <c r="G112" s="843"/>
      <c r="H112" s="843"/>
      <c r="I112" s="843"/>
      <c r="J112" s="843"/>
      <c r="K112" s="843"/>
      <c r="L112" s="843"/>
      <c r="M112" s="843"/>
      <c r="N112" s="843"/>
      <c r="O112" s="843"/>
      <c r="P112" s="843"/>
    </row>
    <row r="113" spans="4:16" x14ac:dyDescent="0.2">
      <c r="D113" s="843"/>
      <c r="E113" s="843"/>
      <c r="F113" s="843"/>
      <c r="G113" s="843"/>
      <c r="H113" s="843"/>
      <c r="I113" s="843"/>
      <c r="J113" s="843"/>
      <c r="K113" s="843"/>
      <c r="L113" s="843"/>
      <c r="M113" s="843"/>
      <c r="N113" s="843"/>
      <c r="O113" s="843"/>
      <c r="P113" s="843"/>
    </row>
    <row r="114" spans="4:16" x14ac:dyDescent="0.2">
      <c r="D114" s="843"/>
      <c r="E114" s="843"/>
      <c r="F114" s="843"/>
      <c r="G114" s="843"/>
      <c r="H114" s="843"/>
      <c r="I114" s="843"/>
      <c r="J114" s="843"/>
      <c r="K114" s="843"/>
      <c r="L114" s="843"/>
      <c r="M114" s="843"/>
      <c r="N114" s="843"/>
      <c r="O114" s="843"/>
      <c r="P114" s="843"/>
    </row>
    <row r="115" spans="4:16" x14ac:dyDescent="0.2">
      <c r="D115" s="843"/>
      <c r="E115" s="843"/>
      <c r="F115" s="843"/>
      <c r="G115" s="843"/>
      <c r="H115" s="843"/>
      <c r="I115" s="843"/>
      <c r="J115" s="843"/>
      <c r="K115" s="843"/>
      <c r="L115" s="843"/>
      <c r="M115" s="843"/>
      <c r="N115" s="843"/>
      <c r="O115" s="843"/>
      <c r="P115" s="843"/>
    </row>
    <row r="116" spans="4:16" x14ac:dyDescent="0.2">
      <c r="D116" s="843"/>
      <c r="E116" s="843"/>
      <c r="F116" s="843"/>
      <c r="G116" s="843"/>
      <c r="H116" s="843"/>
      <c r="I116" s="843"/>
      <c r="J116" s="843"/>
      <c r="K116" s="843"/>
      <c r="L116" s="843"/>
      <c r="M116" s="843"/>
      <c r="N116" s="843"/>
      <c r="O116" s="843"/>
      <c r="P116" s="843"/>
    </row>
    <row r="117" spans="4:16" x14ac:dyDescent="0.2">
      <c r="D117" s="843"/>
      <c r="E117" s="843"/>
      <c r="F117" s="843"/>
      <c r="G117" s="843"/>
      <c r="H117" s="843"/>
      <c r="I117" s="843"/>
      <c r="J117" s="843"/>
      <c r="K117" s="843"/>
      <c r="L117" s="843"/>
      <c r="M117" s="843"/>
      <c r="N117" s="843"/>
      <c r="O117" s="843"/>
      <c r="P117" s="843"/>
    </row>
    <row r="118" spans="4:16" x14ac:dyDescent="0.2">
      <c r="D118" s="843"/>
      <c r="E118" s="843"/>
      <c r="F118" s="843"/>
      <c r="G118" s="843"/>
      <c r="H118" s="843"/>
      <c r="I118" s="843"/>
      <c r="J118" s="843"/>
      <c r="K118" s="843"/>
      <c r="L118" s="843"/>
      <c r="M118" s="843"/>
      <c r="N118" s="843"/>
      <c r="O118" s="843"/>
      <c r="P118" s="843"/>
    </row>
    <row r="119" spans="4:16" x14ac:dyDescent="0.2">
      <c r="D119" s="843"/>
      <c r="E119" s="843"/>
      <c r="F119" s="843"/>
      <c r="G119" s="843"/>
      <c r="H119" s="843"/>
      <c r="I119" s="843"/>
      <c r="J119" s="843"/>
      <c r="K119" s="843"/>
      <c r="L119" s="843"/>
      <c r="M119" s="843"/>
      <c r="N119" s="843"/>
      <c r="O119" s="843"/>
      <c r="P119" s="843"/>
    </row>
    <row r="120" spans="4:16" x14ac:dyDescent="0.2">
      <c r="D120" s="843"/>
      <c r="E120" s="843"/>
      <c r="F120" s="843"/>
      <c r="G120" s="843"/>
      <c r="H120" s="843"/>
      <c r="I120" s="843"/>
      <c r="J120" s="843"/>
      <c r="K120" s="843"/>
      <c r="L120" s="843"/>
      <c r="M120" s="843"/>
      <c r="N120" s="843"/>
      <c r="O120" s="843"/>
      <c r="P120" s="843"/>
    </row>
    <row r="121" spans="4:16" x14ac:dyDescent="0.2">
      <c r="D121" s="843"/>
      <c r="E121" s="843"/>
      <c r="F121" s="843"/>
      <c r="G121" s="843"/>
      <c r="H121" s="843"/>
      <c r="I121" s="843"/>
      <c r="J121" s="843"/>
      <c r="K121" s="843"/>
      <c r="L121" s="843"/>
      <c r="M121" s="843"/>
      <c r="N121" s="843"/>
      <c r="O121" s="843"/>
      <c r="P121" s="843"/>
    </row>
    <row r="122" spans="4:16" x14ac:dyDescent="0.2">
      <c r="D122" s="843"/>
      <c r="E122" s="843"/>
      <c r="F122" s="843"/>
      <c r="G122" s="843"/>
      <c r="H122" s="843"/>
      <c r="I122" s="843"/>
      <c r="J122" s="843"/>
      <c r="K122" s="843"/>
      <c r="L122" s="843"/>
      <c r="M122" s="843"/>
      <c r="N122" s="843"/>
      <c r="O122" s="843"/>
      <c r="P122" s="843"/>
    </row>
    <row r="123" spans="4:16" x14ac:dyDescent="0.2">
      <c r="D123" s="843"/>
      <c r="E123" s="843"/>
      <c r="F123" s="843"/>
      <c r="G123" s="843"/>
      <c r="H123" s="843"/>
      <c r="I123" s="843"/>
      <c r="J123" s="843"/>
      <c r="K123" s="843"/>
      <c r="L123" s="843"/>
      <c r="M123" s="843"/>
      <c r="N123" s="843"/>
      <c r="O123" s="843"/>
      <c r="P123" s="843"/>
    </row>
    <row r="124" spans="4:16" x14ac:dyDescent="0.2">
      <c r="D124" s="843"/>
      <c r="E124" s="843"/>
      <c r="F124" s="843"/>
      <c r="G124" s="843"/>
      <c r="H124" s="843"/>
      <c r="I124" s="843"/>
      <c r="J124" s="843"/>
      <c r="K124" s="843"/>
      <c r="L124" s="843"/>
      <c r="M124" s="843"/>
      <c r="N124" s="843"/>
      <c r="O124" s="843"/>
      <c r="P124" s="843"/>
    </row>
    <row r="125" spans="4:16" x14ac:dyDescent="0.2">
      <c r="D125" s="843"/>
      <c r="E125" s="843"/>
      <c r="F125" s="843"/>
      <c r="G125" s="843"/>
      <c r="H125" s="843"/>
      <c r="I125" s="843"/>
      <c r="J125" s="843"/>
      <c r="K125" s="843"/>
      <c r="L125" s="843"/>
      <c r="M125" s="843"/>
      <c r="N125" s="843"/>
      <c r="O125" s="843"/>
      <c r="P125" s="843"/>
    </row>
    <row r="126" spans="4:16" x14ac:dyDescent="0.2">
      <c r="D126" s="843"/>
      <c r="E126" s="843"/>
      <c r="F126" s="843"/>
      <c r="G126" s="843"/>
      <c r="H126" s="843"/>
      <c r="I126" s="843"/>
      <c r="J126" s="843"/>
      <c r="K126" s="843"/>
      <c r="L126" s="843"/>
      <c r="M126" s="843"/>
      <c r="N126" s="843"/>
      <c r="O126" s="843"/>
      <c r="P126" s="843"/>
    </row>
    <row r="127" spans="4:16" x14ac:dyDescent="0.2">
      <c r="D127" s="843"/>
      <c r="E127" s="843"/>
      <c r="F127" s="843"/>
      <c r="G127" s="843"/>
      <c r="H127" s="843"/>
      <c r="I127" s="843"/>
      <c r="J127" s="843"/>
      <c r="K127" s="843"/>
      <c r="L127" s="843"/>
      <c r="M127" s="843"/>
      <c r="N127" s="843"/>
      <c r="O127" s="843"/>
      <c r="P127" s="843"/>
    </row>
    <row r="128" spans="4:16" x14ac:dyDescent="0.2">
      <c r="D128" s="843"/>
      <c r="E128" s="843"/>
      <c r="F128" s="843"/>
      <c r="G128" s="843"/>
      <c r="H128" s="843"/>
      <c r="I128" s="843"/>
      <c r="J128" s="843"/>
      <c r="K128" s="843"/>
      <c r="L128" s="843"/>
      <c r="M128" s="843"/>
      <c r="N128" s="843"/>
      <c r="O128" s="843"/>
      <c r="P128" s="843"/>
    </row>
    <row r="129" spans="4:16" x14ac:dyDescent="0.2">
      <c r="D129" s="843"/>
      <c r="E129" s="843"/>
      <c r="F129" s="843"/>
      <c r="G129" s="843"/>
      <c r="H129" s="843"/>
      <c r="I129" s="843"/>
      <c r="J129" s="843"/>
      <c r="K129" s="843"/>
      <c r="L129" s="843"/>
      <c r="M129" s="843"/>
      <c r="N129" s="843"/>
      <c r="O129" s="843"/>
      <c r="P129" s="843"/>
    </row>
    <row r="130" spans="4:16" x14ac:dyDescent="0.2">
      <c r="D130" s="843"/>
      <c r="E130" s="843"/>
      <c r="F130" s="843"/>
      <c r="G130" s="843"/>
      <c r="H130" s="843"/>
      <c r="I130" s="843"/>
      <c r="J130" s="843"/>
      <c r="K130" s="843"/>
      <c r="L130" s="843"/>
      <c r="M130" s="843"/>
      <c r="N130" s="843"/>
      <c r="O130" s="843"/>
      <c r="P130" s="843"/>
    </row>
    <row r="131" spans="4:16" x14ac:dyDescent="0.2">
      <c r="D131" s="843"/>
      <c r="E131" s="843"/>
      <c r="F131" s="843"/>
      <c r="G131" s="843"/>
      <c r="H131" s="843"/>
      <c r="I131" s="843"/>
      <c r="J131" s="843"/>
      <c r="K131" s="843"/>
      <c r="L131" s="843"/>
      <c r="M131" s="843"/>
      <c r="N131" s="843"/>
      <c r="O131" s="843"/>
      <c r="P131" s="843"/>
    </row>
    <row r="132" spans="4:16" x14ac:dyDescent="0.2">
      <c r="D132" s="843"/>
      <c r="E132" s="843"/>
      <c r="F132" s="843"/>
      <c r="G132" s="843"/>
      <c r="H132" s="843"/>
      <c r="I132" s="843"/>
      <c r="J132" s="843"/>
      <c r="K132" s="843"/>
      <c r="L132" s="843"/>
      <c r="M132" s="843"/>
      <c r="N132" s="843"/>
      <c r="O132" s="843"/>
      <c r="P132" s="843"/>
    </row>
    <row r="133" spans="4:16" x14ac:dyDescent="0.2">
      <c r="D133" s="843"/>
      <c r="E133" s="843"/>
      <c r="F133" s="843"/>
      <c r="G133" s="843"/>
      <c r="H133" s="843"/>
      <c r="I133" s="843"/>
      <c r="J133" s="843"/>
      <c r="K133" s="843"/>
      <c r="L133" s="843"/>
      <c r="M133" s="843"/>
      <c r="N133" s="843"/>
      <c r="O133" s="843"/>
      <c r="P133" s="843"/>
    </row>
    <row r="134" spans="4:16" x14ac:dyDescent="0.2">
      <c r="D134" s="843"/>
      <c r="E134" s="843"/>
      <c r="F134" s="843"/>
      <c r="G134" s="843"/>
      <c r="H134" s="843"/>
      <c r="I134" s="843"/>
      <c r="J134" s="843"/>
      <c r="K134" s="843"/>
      <c r="L134" s="843"/>
      <c r="M134" s="843"/>
      <c r="N134" s="843"/>
      <c r="O134" s="843"/>
      <c r="P134" s="843"/>
    </row>
    <row r="135" spans="4:16" x14ac:dyDescent="0.2">
      <c r="D135" s="843"/>
      <c r="E135" s="843"/>
      <c r="F135" s="843"/>
      <c r="G135" s="843"/>
      <c r="H135" s="843"/>
      <c r="I135" s="843"/>
      <c r="J135" s="843"/>
      <c r="K135" s="843"/>
      <c r="L135" s="843"/>
      <c r="M135" s="843"/>
      <c r="N135" s="843"/>
      <c r="O135" s="843"/>
      <c r="P135" s="843"/>
    </row>
    <row r="136" spans="4:16" x14ac:dyDescent="0.2">
      <c r="D136" s="843"/>
      <c r="E136" s="843"/>
      <c r="F136" s="843"/>
      <c r="G136" s="843"/>
      <c r="H136" s="843"/>
      <c r="I136" s="843"/>
      <c r="J136" s="843"/>
      <c r="K136" s="843"/>
      <c r="L136" s="843"/>
      <c r="M136" s="843"/>
      <c r="N136" s="843"/>
      <c r="O136" s="843"/>
      <c r="P136" s="843"/>
    </row>
    <row r="137" spans="4:16" x14ac:dyDescent="0.2">
      <c r="D137" s="843"/>
      <c r="E137" s="843"/>
      <c r="F137" s="843"/>
      <c r="G137" s="843"/>
      <c r="H137" s="843"/>
      <c r="I137" s="843"/>
      <c r="J137" s="843"/>
      <c r="K137" s="843"/>
      <c r="L137" s="843"/>
      <c r="M137" s="843"/>
      <c r="N137" s="843"/>
      <c r="O137" s="843"/>
      <c r="P137" s="843"/>
    </row>
    <row r="138" spans="4:16" x14ac:dyDescent="0.2">
      <c r="D138" s="843"/>
      <c r="E138" s="843"/>
      <c r="F138" s="843"/>
      <c r="G138" s="843"/>
      <c r="H138" s="843"/>
      <c r="I138" s="843"/>
      <c r="J138" s="843"/>
      <c r="K138" s="843"/>
      <c r="L138" s="843"/>
      <c r="M138" s="843"/>
      <c r="N138" s="843"/>
      <c r="O138" s="843"/>
      <c r="P138" s="843"/>
    </row>
    <row r="139" spans="4:16" x14ac:dyDescent="0.2">
      <c r="D139" s="843"/>
      <c r="E139" s="843"/>
      <c r="F139" s="843"/>
      <c r="G139" s="843"/>
      <c r="H139" s="843"/>
      <c r="I139" s="843"/>
      <c r="J139" s="843"/>
      <c r="K139" s="843"/>
      <c r="L139" s="843"/>
      <c r="M139" s="843"/>
      <c r="N139" s="843"/>
      <c r="O139" s="843"/>
      <c r="P139" s="843"/>
    </row>
    <row r="140" spans="4:16" x14ac:dyDescent="0.2">
      <c r="D140" s="843"/>
      <c r="E140" s="843"/>
      <c r="F140" s="843"/>
      <c r="G140" s="843"/>
      <c r="H140" s="843"/>
      <c r="I140" s="843"/>
      <c r="J140" s="843"/>
      <c r="K140" s="843"/>
      <c r="L140" s="843"/>
      <c r="M140" s="843"/>
      <c r="N140" s="843"/>
      <c r="O140" s="843"/>
      <c r="P140" s="843"/>
    </row>
    <row r="141" spans="4:16" x14ac:dyDescent="0.2">
      <c r="D141" s="843"/>
      <c r="E141" s="843"/>
      <c r="F141" s="843"/>
      <c r="G141" s="843"/>
      <c r="H141" s="843"/>
      <c r="I141" s="843"/>
      <c r="J141" s="843"/>
      <c r="K141" s="843"/>
      <c r="L141" s="843"/>
      <c r="M141" s="843"/>
      <c r="N141" s="843"/>
      <c r="O141" s="843"/>
      <c r="P141" s="843"/>
    </row>
    <row r="142" spans="4:16" x14ac:dyDescent="0.2">
      <c r="D142" s="843"/>
      <c r="E142" s="843"/>
      <c r="F142" s="843"/>
      <c r="G142" s="843"/>
      <c r="H142" s="843"/>
      <c r="I142" s="843"/>
      <c r="J142" s="843"/>
      <c r="K142" s="843"/>
      <c r="L142" s="843"/>
      <c r="M142" s="843"/>
      <c r="N142" s="843"/>
      <c r="O142" s="843"/>
      <c r="P142" s="843"/>
    </row>
    <row r="143" spans="4:16" x14ac:dyDescent="0.2">
      <c r="D143" s="843"/>
      <c r="E143" s="843"/>
      <c r="F143" s="843"/>
      <c r="G143" s="843"/>
      <c r="H143" s="843"/>
      <c r="I143" s="843"/>
      <c r="J143" s="843"/>
      <c r="K143" s="843"/>
      <c r="L143" s="843"/>
      <c r="M143" s="843"/>
      <c r="N143" s="843"/>
      <c r="O143" s="843"/>
      <c r="P143" s="843"/>
    </row>
    <row r="144" spans="4:16" x14ac:dyDescent="0.2">
      <c r="D144" s="843"/>
      <c r="E144" s="843"/>
      <c r="F144" s="843"/>
      <c r="G144" s="843"/>
      <c r="H144" s="843"/>
      <c r="I144" s="843"/>
      <c r="J144" s="843"/>
      <c r="K144" s="843"/>
      <c r="L144" s="843"/>
      <c r="M144" s="843"/>
      <c r="N144" s="843"/>
      <c r="O144" s="843"/>
      <c r="P144" s="843"/>
    </row>
    <row r="145" spans="1:16" x14ac:dyDescent="0.2">
      <c r="D145" s="724" t="e">
        <f>SP!#REF!</f>
        <v>#REF!</v>
      </c>
      <c r="E145" s="724">
        <f>SP!B2</f>
        <v>0</v>
      </c>
      <c r="F145" s="724">
        <f>E145</f>
        <v>0</v>
      </c>
      <c r="G145" s="1">
        <f t="shared" ref="G145:P145" si="15">$E145</f>
        <v>0</v>
      </c>
      <c r="H145" s="1">
        <f t="shared" si="15"/>
        <v>0</v>
      </c>
      <c r="I145" s="1">
        <f t="shared" si="15"/>
        <v>0</v>
      </c>
      <c r="J145" s="1">
        <f t="shared" si="15"/>
        <v>0</v>
      </c>
      <c r="K145" s="1">
        <f t="shared" si="15"/>
        <v>0</v>
      </c>
      <c r="L145" s="1">
        <f t="shared" si="15"/>
        <v>0</v>
      </c>
      <c r="M145" s="1">
        <f t="shared" si="15"/>
        <v>0</v>
      </c>
      <c r="N145" s="1">
        <f t="shared" si="15"/>
        <v>0</v>
      </c>
      <c r="O145" s="1">
        <f t="shared" si="15"/>
        <v>0</v>
      </c>
      <c r="P145" s="1">
        <f t="shared" si="15"/>
        <v>0</v>
      </c>
    </row>
    <row r="146" spans="1:16" x14ac:dyDescent="0.2">
      <c r="A146" s="1376"/>
      <c r="B146" s="1376"/>
      <c r="C146" s="1376"/>
      <c r="D146" s="1803" t="str">
        <f>SP!A3</f>
        <v>2012/13</v>
      </c>
      <c r="E146" s="1803" t="str">
        <f>SP!B3</f>
        <v>2013/14</v>
      </c>
      <c r="F146" s="1803" t="str">
        <f>SP!C3</f>
        <v>2014/15</v>
      </c>
      <c r="G146" s="1803" t="str">
        <f>SP!D3</f>
        <v>2015/16</v>
      </c>
      <c r="H146" s="1803" t="e">
        <f>SP!#REF!</f>
        <v>#REF!</v>
      </c>
      <c r="I146" s="1803" t="str">
        <f>SP!H3</f>
        <v>2017/18</v>
      </c>
      <c r="J146" s="1803" t="str">
        <f>SP!J3</f>
        <v>2018/19</v>
      </c>
      <c r="K146" s="1803" t="str">
        <f>SP!K3</f>
        <v>2019/20</v>
      </c>
      <c r="L146" s="1803" t="str">
        <f>SP!L3</f>
        <v>2020/21</v>
      </c>
      <c r="M146" s="1803" t="str">
        <f>SP!M3</f>
        <v>2021/22</v>
      </c>
      <c r="N146" s="1803" t="str">
        <f>SP!N3</f>
        <v>2022/23</v>
      </c>
      <c r="O146" s="1803" t="str">
        <f>SP!O3</f>
        <v>2023/24</v>
      </c>
      <c r="P146" s="1803" t="str">
        <f>SP!P3</f>
        <v>2024/25</v>
      </c>
    </row>
    <row r="147" spans="1:16" x14ac:dyDescent="0.2">
      <c r="A147" s="285" t="s">
        <v>2912</v>
      </c>
      <c r="B147" s="285"/>
      <c r="D147" s="843"/>
      <c r="E147" s="843"/>
      <c r="F147" s="843"/>
      <c r="G147" s="843"/>
      <c r="H147" s="843"/>
      <c r="I147" s="843"/>
      <c r="J147" s="843"/>
      <c r="K147" s="843"/>
      <c r="L147" s="843"/>
      <c r="M147" s="843"/>
      <c r="N147" s="843"/>
      <c r="O147" s="843"/>
      <c r="P147" s="843"/>
    </row>
    <row r="148" spans="1:16" x14ac:dyDescent="0.2">
      <c r="A148" s="1" t="s">
        <v>2898</v>
      </c>
      <c r="D148" s="843"/>
      <c r="E148" s="843"/>
      <c r="F148" s="843"/>
      <c r="G148" s="843"/>
      <c r="H148" s="843"/>
      <c r="I148" s="843"/>
      <c r="J148" s="843"/>
      <c r="K148" s="843"/>
      <c r="L148" s="843"/>
      <c r="M148" s="843"/>
      <c r="N148" s="843"/>
      <c r="O148" s="843"/>
      <c r="P148" s="843"/>
    </row>
    <row r="149" spans="1:16" x14ac:dyDescent="0.2">
      <c r="C149" s="1" t="s">
        <v>2913</v>
      </c>
      <c r="D149" s="843">
        <v>255</v>
      </c>
      <c r="E149" s="843">
        <v>260.10000000000002</v>
      </c>
      <c r="F149" s="843">
        <v>265.30199999999996</v>
      </c>
      <c r="G149" s="843">
        <v>270.60804000000002</v>
      </c>
      <c r="H149" s="843">
        <v>276.0202008</v>
      </c>
      <c r="I149" s="843">
        <v>281.54060481600004</v>
      </c>
      <c r="J149" s="843">
        <v>287.17141691231996</v>
      </c>
      <c r="K149" s="843">
        <v>292.91484525056637</v>
      </c>
      <c r="L149" s="843">
        <v>298.77314215557772</v>
      </c>
      <c r="M149" s="843">
        <v>304.7486049986893</v>
      </c>
      <c r="N149" s="843">
        <v>310.84357709866299</v>
      </c>
    </row>
    <row r="150" spans="1:16" x14ac:dyDescent="0.2">
      <c r="C150" s="1" t="s">
        <v>2914</v>
      </c>
      <c r="D150" s="843">
        <v>36.72</v>
      </c>
      <c r="E150" s="843">
        <v>38.494799999999998</v>
      </c>
      <c r="F150" s="843">
        <v>39.264696000000001</v>
      </c>
      <c r="G150" s="843">
        <v>40.049989920000002</v>
      </c>
      <c r="H150" s="843">
        <v>40.850989718400001</v>
      </c>
      <c r="I150" s="843">
        <v>42.794171932032</v>
      </c>
      <c r="J150" s="843">
        <v>43.650055370672632</v>
      </c>
      <c r="K150" s="843">
        <v>45.694715859088355</v>
      </c>
      <c r="L150" s="843">
        <v>46.608610176270119</v>
      </c>
      <c r="M150" s="843">
        <v>48.759776799790288</v>
      </c>
      <c r="N150" s="843">
        <v>49.734972335786082</v>
      </c>
    </row>
    <row r="151" spans="1:16" x14ac:dyDescent="0.2">
      <c r="C151" s="1" t="s">
        <v>2915</v>
      </c>
      <c r="D151" s="843">
        <v>20.399999999999999</v>
      </c>
      <c r="E151" s="843">
        <v>20.808</v>
      </c>
      <c r="F151" s="843">
        <v>21.224159999999998</v>
      </c>
      <c r="G151" s="843">
        <v>21.648643199999999</v>
      </c>
      <c r="H151" s="843">
        <v>22.081616064000002</v>
      </c>
      <c r="I151" s="843">
        <v>22.523248385280002</v>
      </c>
      <c r="J151" s="843">
        <v>22.973713352985598</v>
      </c>
      <c r="K151" s="843">
        <v>23.43318762004531</v>
      </c>
      <c r="L151" s="843">
        <v>23.901851372446217</v>
      </c>
      <c r="M151" s="843">
        <v>24.379888399895144</v>
      </c>
      <c r="N151" s="843">
        <v>24.867486167893041</v>
      </c>
    </row>
    <row r="152" spans="1:16" x14ac:dyDescent="0.2">
      <c r="C152" s="726" t="s">
        <v>3229</v>
      </c>
      <c r="D152" s="843">
        <v>21.42</v>
      </c>
      <c r="E152" s="843">
        <v>22.8888</v>
      </c>
      <c r="F152" s="843">
        <v>24.407783999999999</v>
      </c>
      <c r="G152" s="843">
        <v>25.978371840000001</v>
      </c>
      <c r="H152" s="843">
        <v>27.602020079999999</v>
      </c>
      <c r="I152" s="843">
        <v>29.280222900864</v>
      </c>
      <c r="J152" s="843">
        <v>31.014513026530555</v>
      </c>
      <c r="K152" s="843">
        <v>32.806462668063432</v>
      </c>
      <c r="L152" s="843">
        <v>34.657684490047018</v>
      </c>
      <c r="M152" s="843">
        <v>36.569832599842712</v>
      </c>
      <c r="N152" s="843">
        <v>38.544603560234215</v>
      </c>
    </row>
    <row r="153" spans="1:16" x14ac:dyDescent="0.2">
      <c r="A153" s="285"/>
      <c r="B153" s="285"/>
      <c r="C153" s="285" t="s">
        <v>2933</v>
      </c>
      <c r="D153" s="1801">
        <f>SUM(D149:D152)</f>
        <v>333.54</v>
      </c>
      <c r="E153" s="1801">
        <f t="shared" ref="E153:O153" si="16">SUM(E149:E152)</f>
        <v>342.29160000000002</v>
      </c>
      <c r="F153" s="1801">
        <f t="shared" si="16"/>
        <v>350.19863999999995</v>
      </c>
      <c r="G153" s="1801">
        <f t="shared" si="16"/>
        <v>358.28504495999999</v>
      </c>
      <c r="H153" s="1801">
        <f t="shared" si="16"/>
        <v>366.55482666239999</v>
      </c>
      <c r="I153" s="1801">
        <f t="shared" si="16"/>
        <v>376.138248034176</v>
      </c>
      <c r="J153" s="1801">
        <f t="shared" si="16"/>
        <v>384.80969866250877</v>
      </c>
      <c r="K153" s="1801">
        <f t="shared" si="16"/>
        <v>394.8492113977635</v>
      </c>
      <c r="L153" s="1801">
        <f t="shared" si="16"/>
        <v>403.9412881943411</v>
      </c>
      <c r="M153" s="1801">
        <f t="shared" si="16"/>
        <v>414.45810279821745</v>
      </c>
      <c r="N153" s="1801">
        <f t="shared" si="16"/>
        <v>423.99063916257637</v>
      </c>
      <c r="O153" s="1801">
        <f t="shared" si="16"/>
        <v>0</v>
      </c>
      <c r="P153" s="1801">
        <f t="shared" ref="P153" si="17">SUM(P149:P152)</f>
        <v>0</v>
      </c>
    </row>
    <row r="154" spans="1:16" x14ac:dyDescent="0.2">
      <c r="C154" s="726"/>
    </row>
    <row r="155" spans="1:16" x14ac:dyDescent="0.2">
      <c r="A155" s="726" t="s">
        <v>2905</v>
      </c>
      <c r="B155" s="726"/>
    </row>
    <row r="156" spans="1:16" x14ac:dyDescent="0.2">
      <c r="C156" s="285" t="s">
        <v>2934</v>
      </c>
      <c r="D156" s="1802">
        <v>510</v>
      </c>
      <c r="E156" s="1802">
        <v>364.14</v>
      </c>
      <c r="F156" s="1802">
        <v>318.36239999999998</v>
      </c>
      <c r="G156" s="1802">
        <v>324.729648</v>
      </c>
      <c r="H156" s="1802">
        <v>331.22424096000003</v>
      </c>
      <c r="I156" s="1802">
        <v>337.84872577920004</v>
      </c>
      <c r="J156" s="1802">
        <v>344.60570029478396</v>
      </c>
      <c r="K156" s="1802">
        <v>351.49781430067964</v>
      </c>
      <c r="L156" s="1802">
        <v>358.52777058669324</v>
      </c>
      <c r="M156" s="1802">
        <v>365.69832599842715</v>
      </c>
      <c r="N156" s="1802">
        <v>373.01229251839561</v>
      </c>
      <c r="O156" s="1802"/>
      <c r="P156" s="1802"/>
    </row>
    <row r="157" spans="1:16" x14ac:dyDescent="0.2">
      <c r="C157" s="285" t="s">
        <v>2931</v>
      </c>
      <c r="D157" s="1802">
        <f t="shared" ref="D157:O157" si="18">D153+D156</f>
        <v>843.54</v>
      </c>
      <c r="E157" s="1802">
        <f t="shared" si="18"/>
        <v>706.4316</v>
      </c>
      <c r="F157" s="1802">
        <f t="shared" si="18"/>
        <v>668.56103999999993</v>
      </c>
      <c r="G157" s="1802">
        <f t="shared" si="18"/>
        <v>683.01469296000005</v>
      </c>
      <c r="H157" s="1802">
        <f t="shared" si="18"/>
        <v>697.77906762240002</v>
      </c>
      <c r="I157" s="1802">
        <f t="shared" si="18"/>
        <v>713.98697381337604</v>
      </c>
      <c r="J157" s="1802">
        <f t="shared" si="18"/>
        <v>729.41539895729272</v>
      </c>
      <c r="K157" s="1802">
        <f t="shared" si="18"/>
        <v>746.34702569844308</v>
      </c>
      <c r="L157" s="1802">
        <f t="shared" si="18"/>
        <v>762.46905878103439</v>
      </c>
      <c r="M157" s="1802">
        <f t="shared" si="18"/>
        <v>780.1564287966446</v>
      </c>
      <c r="N157" s="1802">
        <f t="shared" si="18"/>
        <v>797.00293168097198</v>
      </c>
      <c r="O157" s="1802">
        <f t="shared" si="18"/>
        <v>0</v>
      </c>
      <c r="P157" s="1802">
        <f t="shared" ref="P157" si="19">P153+P156</f>
        <v>0</v>
      </c>
    </row>
    <row r="159" spans="1:16" x14ac:dyDescent="0.2">
      <c r="A159" s="285" t="s">
        <v>2916</v>
      </c>
      <c r="B159" s="285"/>
    </row>
    <row r="160" spans="1:16" x14ac:dyDescent="0.2">
      <c r="A160" s="1" t="s">
        <v>2898</v>
      </c>
    </row>
    <row r="161" spans="1:16" x14ac:dyDescent="0.2">
      <c r="C161" s="1" t="s">
        <v>2913</v>
      </c>
      <c r="D161" s="1">
        <f>ROUND(SUM(CIV!A974:A976),-3)/1000</f>
        <v>319</v>
      </c>
      <c r="E161" s="1">
        <f>ROUND(SUM(CIV!B974:B976),-3)/1000</f>
        <v>203</v>
      </c>
      <c r="F161" s="1">
        <f>ROUND(SUM(CIV!C974:C976),-3)/1000</f>
        <v>250</v>
      </c>
      <c r="G161" s="1">
        <f>ROUND(SUM(CIV!D974:D976),-3)/1000</f>
        <v>253</v>
      </c>
      <c r="H161" s="1">
        <f>ROUND(SUM(CIV!E974:G976),-3)/1000</f>
        <v>194</v>
      </c>
      <c r="I161" s="1">
        <f>ROUND(SUM(CIV!H974:H976),-3)/1000</f>
        <v>223</v>
      </c>
      <c r="J161" s="1">
        <f>ROUND(SUM(CIV!J974:J976),-3)/1000</f>
        <v>228</v>
      </c>
      <c r="K161" s="1">
        <f>ROUND(SUM(CIV!K974:K976),-3)/1000</f>
        <v>234</v>
      </c>
      <c r="L161" s="1">
        <f>ROUND(SUM(CIV!L974:L976),-3)/1000</f>
        <v>240</v>
      </c>
      <c r="M161" s="1">
        <f>ROUND(SUM(CIV!M974:M976),-3)/1000</f>
        <v>246</v>
      </c>
      <c r="N161" s="1">
        <f>ROUND(SUM(CIV!N974:N976),-3)/1000</f>
        <v>252</v>
      </c>
      <c r="O161" s="1">
        <f>ROUND(SUM(CIV!O974:O976),-3)/1000</f>
        <v>259</v>
      </c>
      <c r="P161" s="1">
        <f>ROUND(SUM(CIV!P974:P976),-3)/1000</f>
        <v>265</v>
      </c>
    </row>
    <row r="162" spans="1:16" x14ac:dyDescent="0.2">
      <c r="C162" s="1" t="s">
        <v>2914</v>
      </c>
    </row>
    <row r="163" spans="1:16" x14ac:dyDescent="0.2">
      <c r="C163" s="1" t="s">
        <v>2915</v>
      </c>
    </row>
    <row r="164" spans="1:16" x14ac:dyDescent="0.2">
      <c r="C164" s="1" t="s">
        <v>1798</v>
      </c>
      <c r="D164" s="843">
        <f>ROUND(SUM(CIV!A977:A981),-3)/1000</f>
        <v>24</v>
      </c>
      <c r="E164" s="843">
        <f>ROUND(SUM(CIV!B977:B981),-3)/1000</f>
        <v>44</v>
      </c>
      <c r="F164" s="843">
        <f>ROUND(SUM(CIV!C977:C981),-3)/1000</f>
        <v>39</v>
      </c>
      <c r="G164" s="843">
        <f>ROUND(SUM(CIV!D977:D981),-3)/1000</f>
        <v>20</v>
      </c>
      <c r="H164" s="843">
        <f>ROUND(SUM(CIV!E977:G981),-3)/1000</f>
        <v>23</v>
      </c>
      <c r="I164" s="843">
        <f>ROUND(SUM(CIV!H977:H981),-3)/1000</f>
        <v>26</v>
      </c>
      <c r="J164" s="843">
        <f>ROUND(SUM(CIV!J977:J981),-3)/1000</f>
        <v>27</v>
      </c>
      <c r="K164" s="843">
        <f>ROUND(SUM(CIV!K977:K981),-3)/1000</f>
        <v>28</v>
      </c>
      <c r="L164" s="843">
        <f>ROUND(SUM(CIV!L977:L981),-3)/1000</f>
        <v>29</v>
      </c>
      <c r="M164" s="843">
        <f>ROUND(SUM(CIV!M977:M981),-3)/1000</f>
        <v>30</v>
      </c>
      <c r="N164" s="843">
        <f>ROUND(SUM(CIV!N977:N981),-3)/1000</f>
        <v>30</v>
      </c>
      <c r="O164" s="843">
        <f>ROUND(SUM(CIV!O977:O981),-3)/1000</f>
        <v>31</v>
      </c>
      <c r="P164" s="843">
        <f>ROUND(SUM(CIV!P977:P981),-3)/1000</f>
        <v>33</v>
      </c>
    </row>
    <row r="165" spans="1:16" x14ac:dyDescent="0.2">
      <c r="A165" s="285"/>
      <c r="B165" s="285"/>
      <c r="C165" s="285" t="s">
        <v>2935</v>
      </c>
      <c r="D165" s="285">
        <f>SUM(D161:D164)</f>
        <v>343</v>
      </c>
      <c r="E165" s="285">
        <f t="shared" ref="E165:O165" si="20">SUM(E161:E164)</f>
        <v>247</v>
      </c>
      <c r="F165" s="285">
        <f t="shared" si="20"/>
        <v>289</v>
      </c>
      <c r="G165" s="285">
        <f t="shared" si="20"/>
        <v>273</v>
      </c>
      <c r="H165" s="285">
        <f t="shared" si="20"/>
        <v>217</v>
      </c>
      <c r="I165" s="285">
        <f t="shared" si="20"/>
        <v>249</v>
      </c>
      <c r="J165" s="285">
        <f t="shared" si="20"/>
        <v>255</v>
      </c>
      <c r="K165" s="285">
        <f t="shared" si="20"/>
        <v>262</v>
      </c>
      <c r="L165" s="285">
        <f t="shared" si="20"/>
        <v>269</v>
      </c>
      <c r="M165" s="285">
        <f t="shared" si="20"/>
        <v>276</v>
      </c>
      <c r="N165" s="285">
        <f t="shared" si="20"/>
        <v>282</v>
      </c>
      <c r="O165" s="285">
        <f t="shared" si="20"/>
        <v>290</v>
      </c>
      <c r="P165" s="285">
        <f t="shared" ref="P165" si="21">SUM(P161:P164)</f>
        <v>298</v>
      </c>
    </row>
    <row r="167" spans="1:16" x14ac:dyDescent="0.2">
      <c r="A167" s="726" t="s">
        <v>2905</v>
      </c>
      <c r="B167" s="726"/>
    </row>
    <row r="168" spans="1:16" x14ac:dyDescent="0.2">
      <c r="A168" s="285"/>
      <c r="B168" s="285"/>
      <c r="C168" s="285" t="s">
        <v>2936</v>
      </c>
      <c r="D168" s="285">
        <v>162</v>
      </c>
      <c r="E168" s="285" t="e">
        <f>ROUND(SUM('Cap-Gen'!#REF!),-3)/1000</f>
        <v>#REF!</v>
      </c>
      <c r="F168" s="285" t="e">
        <f>ROUND(SUM('Cap-Gen'!#REF!),-3)/1000</f>
        <v>#REF!</v>
      </c>
      <c r="G168" s="285">
        <f>ROUND(SUM('Cap-Gen'!E113:E115),-3)/1000</f>
        <v>303</v>
      </c>
      <c r="H168" s="285">
        <f>ROUND(SUM('Cap-Gen'!F113:F115),-3)/1000</f>
        <v>255</v>
      </c>
      <c r="I168" s="285">
        <f>ROUND(SUM('Cap-Gen'!G113:G115),-3)/1000</f>
        <v>354</v>
      </c>
      <c r="J168" s="285">
        <f>ROUND(SUM('Cap-Gen'!H113:H115),-3)/1000</f>
        <v>474</v>
      </c>
      <c r="K168" s="285">
        <f>ROUND(SUM('Cap-Gen'!I113:I115),-3)/1000</f>
        <v>493</v>
      </c>
      <c r="L168" s="285">
        <f>ROUND(SUM('Cap-Gen'!J113:J115),-3)/1000</f>
        <v>506</v>
      </c>
      <c r="M168" s="285">
        <f>ROUND(SUM('Cap-Gen'!K113:K115),-3)/1000</f>
        <v>519</v>
      </c>
      <c r="N168" s="285">
        <f>ROUND(SUM('Cap-Gen'!L113:L115),-3)/1000</f>
        <v>532</v>
      </c>
      <c r="O168" s="285">
        <f>ROUND(SUM('Cap-Gen'!M113:M115),-3)/1000</f>
        <v>546</v>
      </c>
      <c r="P168" s="285" t="e">
        <f>ROUND(SUM('Cap-Gen'!#REF!),-3)/1000</f>
        <v>#REF!</v>
      </c>
    </row>
    <row r="169" spans="1:16" x14ac:dyDescent="0.2">
      <c r="A169" s="285"/>
      <c r="B169" s="285"/>
      <c r="C169" s="285" t="s">
        <v>2932</v>
      </c>
      <c r="D169" s="285">
        <f>D165+D168</f>
        <v>505</v>
      </c>
      <c r="E169" s="285" t="e">
        <f t="shared" ref="E169:O169" si="22">E165+E168</f>
        <v>#REF!</v>
      </c>
      <c r="F169" s="285" t="e">
        <f t="shared" si="22"/>
        <v>#REF!</v>
      </c>
      <c r="G169" s="285">
        <f t="shared" si="22"/>
        <v>576</v>
      </c>
      <c r="H169" s="285">
        <f t="shared" si="22"/>
        <v>472</v>
      </c>
      <c r="I169" s="285">
        <f t="shared" si="22"/>
        <v>603</v>
      </c>
      <c r="J169" s="285">
        <f t="shared" si="22"/>
        <v>729</v>
      </c>
      <c r="K169" s="285">
        <f t="shared" si="22"/>
        <v>755</v>
      </c>
      <c r="L169" s="285">
        <f t="shared" si="22"/>
        <v>775</v>
      </c>
      <c r="M169" s="285">
        <f t="shared" si="22"/>
        <v>795</v>
      </c>
      <c r="N169" s="285">
        <f t="shared" si="22"/>
        <v>814</v>
      </c>
      <c r="O169" s="285">
        <f t="shared" si="22"/>
        <v>836</v>
      </c>
      <c r="P169" s="285" t="e">
        <f t="shared" ref="P169" si="23">P165+P168</f>
        <v>#REF!</v>
      </c>
    </row>
    <row r="170" spans="1:16" x14ac:dyDescent="0.2">
      <c r="C170" s="285" t="s">
        <v>2929</v>
      </c>
      <c r="D170" s="1801">
        <f>D169-D157</f>
        <v>-338.53999999999996</v>
      </c>
      <c r="E170" s="1801" t="e">
        <f t="shared" ref="E170:O170" si="24">E169-E157</f>
        <v>#REF!</v>
      </c>
      <c r="F170" s="1801" t="e">
        <f t="shared" si="24"/>
        <v>#REF!</v>
      </c>
      <c r="G170" s="1801">
        <f t="shared" si="24"/>
        <v>-107.01469296000005</v>
      </c>
      <c r="H170" s="1801">
        <f t="shared" si="24"/>
        <v>-225.77906762240002</v>
      </c>
      <c r="I170" s="1801">
        <f t="shared" si="24"/>
        <v>-110.98697381337604</v>
      </c>
      <c r="J170" s="1801">
        <f t="shared" si="24"/>
        <v>-0.41539895729272303</v>
      </c>
      <c r="K170" s="1801">
        <f t="shared" si="24"/>
        <v>8.6529743015569238</v>
      </c>
      <c r="L170" s="1801">
        <f t="shared" si="24"/>
        <v>12.530941218965609</v>
      </c>
      <c r="M170" s="1801">
        <f t="shared" si="24"/>
        <v>14.843571203355395</v>
      </c>
      <c r="N170" s="1801">
        <f t="shared" si="24"/>
        <v>16.997068319028017</v>
      </c>
      <c r="O170" s="1801">
        <f t="shared" si="24"/>
        <v>836</v>
      </c>
      <c r="P170" s="1801" t="e">
        <f t="shared" ref="P170" si="25">P169-P157</f>
        <v>#REF!</v>
      </c>
    </row>
    <row r="171" spans="1:16" s="285" customFormat="1" x14ac:dyDescent="0.2">
      <c r="C171" s="285" t="s">
        <v>2930</v>
      </c>
      <c r="D171" s="1801">
        <f>D170</f>
        <v>-338.53999999999996</v>
      </c>
      <c r="E171" s="1801" t="e">
        <f>D171+E170</f>
        <v>#REF!</v>
      </c>
      <c r="F171" s="1801" t="e">
        <f>E171+F170</f>
        <v>#REF!</v>
      </c>
      <c r="G171" s="1801" t="e">
        <f t="shared" ref="G171:P171" si="26">F171+G170</f>
        <v>#REF!</v>
      </c>
      <c r="H171" s="1801" t="e">
        <f t="shared" si="26"/>
        <v>#REF!</v>
      </c>
      <c r="I171" s="1801" t="e">
        <f t="shared" si="26"/>
        <v>#REF!</v>
      </c>
      <c r="J171" s="1801" t="e">
        <f t="shared" si="26"/>
        <v>#REF!</v>
      </c>
      <c r="K171" s="1801" t="e">
        <f t="shared" si="26"/>
        <v>#REF!</v>
      </c>
      <c r="L171" s="1801" t="e">
        <f t="shared" si="26"/>
        <v>#REF!</v>
      </c>
      <c r="M171" s="1801" t="e">
        <f t="shared" si="26"/>
        <v>#REF!</v>
      </c>
      <c r="N171" s="1801" t="e">
        <f t="shared" si="26"/>
        <v>#REF!</v>
      </c>
      <c r="O171" s="1801" t="e">
        <f t="shared" si="26"/>
        <v>#REF!</v>
      </c>
      <c r="P171" s="1801" t="e">
        <f t="shared" si="26"/>
        <v>#REF!</v>
      </c>
    </row>
    <row r="172" spans="1:16" x14ac:dyDescent="0.2">
      <c r="A172" s="726" t="s">
        <v>61</v>
      </c>
      <c r="D172" s="843"/>
      <c r="E172" s="843"/>
      <c r="F172" s="843"/>
      <c r="G172" s="843"/>
      <c r="H172" s="843"/>
      <c r="I172" s="843"/>
      <c r="J172" s="843"/>
      <c r="K172" s="843"/>
      <c r="L172" s="843"/>
      <c r="M172" s="843"/>
      <c r="N172" s="843"/>
      <c r="O172" s="843"/>
      <c r="P172" s="843"/>
    </row>
    <row r="173" spans="1:16" x14ac:dyDescent="0.2">
      <c r="D173" s="843"/>
      <c r="E173" s="843"/>
      <c r="F173" s="843"/>
      <c r="G173" s="843"/>
      <c r="H173" s="843"/>
      <c r="I173" s="843"/>
      <c r="J173" s="843"/>
      <c r="K173" s="843"/>
      <c r="L173" s="843"/>
      <c r="M173" s="843"/>
      <c r="N173" s="843"/>
      <c r="O173" s="843"/>
      <c r="P173" s="843"/>
    </row>
    <row r="174" spans="1:16" x14ac:dyDescent="0.2">
      <c r="D174" s="843"/>
      <c r="E174" s="843"/>
      <c r="F174" s="843"/>
      <c r="G174" s="843"/>
      <c r="H174" s="843"/>
      <c r="I174" s="843"/>
      <c r="J174" s="843"/>
      <c r="K174" s="843"/>
      <c r="L174" s="843"/>
      <c r="M174" s="843"/>
      <c r="N174" s="843"/>
      <c r="O174" s="843"/>
      <c r="P174" s="843"/>
    </row>
    <row r="175" spans="1:16" x14ac:dyDescent="0.2">
      <c r="D175" s="843"/>
      <c r="E175" s="843"/>
      <c r="F175" s="843"/>
      <c r="G175" s="843"/>
      <c r="H175" s="843"/>
      <c r="I175" s="843"/>
      <c r="J175" s="843"/>
      <c r="K175" s="843"/>
      <c r="L175" s="843"/>
      <c r="M175" s="843"/>
      <c r="N175" s="843"/>
      <c r="O175" s="843"/>
      <c r="P175" s="843"/>
    </row>
    <row r="176" spans="1:16" x14ac:dyDescent="0.2">
      <c r="D176" s="843"/>
      <c r="E176" s="843"/>
      <c r="F176" s="843"/>
      <c r="G176" s="843"/>
      <c r="H176" s="843"/>
      <c r="I176" s="843"/>
      <c r="J176" s="843"/>
      <c r="K176" s="843"/>
      <c r="L176" s="843"/>
      <c r="M176" s="843"/>
      <c r="N176" s="843"/>
      <c r="O176" s="843"/>
      <c r="P176" s="843"/>
    </row>
    <row r="177" spans="4:16" x14ac:dyDescent="0.2">
      <c r="D177" s="843"/>
      <c r="E177" s="843"/>
      <c r="F177" s="843"/>
      <c r="G177" s="843"/>
      <c r="H177" s="843"/>
      <c r="I177" s="843"/>
      <c r="J177" s="843"/>
      <c r="K177" s="843"/>
      <c r="L177" s="843"/>
      <c r="M177" s="843"/>
      <c r="N177" s="843"/>
      <c r="O177" s="843"/>
      <c r="P177" s="843"/>
    </row>
    <row r="178" spans="4:16" x14ac:dyDescent="0.2">
      <c r="D178" s="843"/>
      <c r="E178" s="843"/>
      <c r="F178" s="843"/>
      <c r="G178" s="843"/>
      <c r="H178" s="843"/>
      <c r="I178" s="843"/>
      <c r="J178" s="843"/>
      <c r="K178" s="843"/>
      <c r="L178" s="843"/>
      <c r="M178" s="843"/>
      <c r="N178" s="843"/>
      <c r="O178" s="843"/>
      <c r="P178" s="843"/>
    </row>
    <row r="179" spans="4:16" x14ac:dyDescent="0.2">
      <c r="D179" s="843"/>
      <c r="E179" s="843"/>
      <c r="F179" s="843"/>
      <c r="G179" s="843"/>
      <c r="H179" s="843"/>
      <c r="I179" s="843"/>
      <c r="J179" s="843"/>
      <c r="K179" s="843"/>
      <c r="L179" s="843"/>
      <c r="M179" s="843"/>
      <c r="N179" s="843"/>
      <c r="O179" s="843"/>
      <c r="P179" s="843"/>
    </row>
    <row r="180" spans="4:16" x14ac:dyDescent="0.2">
      <c r="D180" s="843"/>
      <c r="E180" s="843"/>
      <c r="F180" s="843"/>
      <c r="G180" s="843"/>
      <c r="H180" s="843"/>
      <c r="I180" s="843"/>
      <c r="J180" s="843"/>
      <c r="K180" s="843"/>
      <c r="L180" s="843"/>
      <c r="M180" s="843"/>
      <c r="N180" s="843"/>
      <c r="O180" s="843"/>
      <c r="P180" s="843"/>
    </row>
    <row r="181" spans="4:16" x14ac:dyDescent="0.2">
      <c r="D181" s="843"/>
      <c r="E181" s="843"/>
      <c r="F181" s="843"/>
      <c r="G181" s="843"/>
      <c r="H181" s="843"/>
      <c r="I181" s="843"/>
      <c r="J181" s="843"/>
      <c r="K181" s="843"/>
      <c r="L181" s="843"/>
      <c r="M181" s="843"/>
      <c r="N181" s="843"/>
      <c r="O181" s="843"/>
      <c r="P181" s="843"/>
    </row>
    <row r="182" spans="4:16" x14ac:dyDescent="0.2">
      <c r="D182" s="843"/>
      <c r="E182" s="843"/>
      <c r="F182" s="843"/>
      <c r="G182" s="843"/>
      <c r="H182" s="843"/>
      <c r="I182" s="843"/>
      <c r="J182" s="843"/>
      <c r="K182" s="843"/>
      <c r="L182" s="843"/>
      <c r="M182" s="843"/>
      <c r="N182" s="843"/>
      <c r="O182" s="843"/>
      <c r="P182" s="843"/>
    </row>
    <row r="183" spans="4:16" x14ac:dyDescent="0.2">
      <c r="D183" s="843"/>
      <c r="E183" s="843"/>
      <c r="F183" s="843"/>
      <c r="G183" s="843"/>
      <c r="H183" s="843"/>
      <c r="I183" s="843"/>
      <c r="J183" s="843"/>
      <c r="K183" s="843"/>
      <c r="L183" s="843"/>
      <c r="M183" s="843"/>
      <c r="N183" s="843"/>
      <c r="O183" s="843"/>
      <c r="P183" s="843"/>
    </row>
    <row r="184" spans="4:16" x14ac:dyDescent="0.2">
      <c r="D184" s="843"/>
      <c r="E184" s="843"/>
      <c r="F184" s="843"/>
      <c r="G184" s="843"/>
      <c r="H184" s="843"/>
      <c r="I184" s="843"/>
      <c r="J184" s="843"/>
      <c r="K184" s="843"/>
      <c r="L184" s="843"/>
      <c r="M184" s="843"/>
      <c r="N184" s="843"/>
      <c r="O184" s="843"/>
      <c r="P184" s="843"/>
    </row>
    <row r="185" spans="4:16" x14ac:dyDescent="0.2">
      <c r="D185" s="843"/>
      <c r="E185" s="843"/>
      <c r="F185" s="843"/>
      <c r="G185" s="843"/>
      <c r="H185" s="843"/>
      <c r="I185" s="843"/>
      <c r="J185" s="843"/>
      <c r="K185" s="843"/>
      <c r="L185" s="843"/>
      <c r="M185" s="843"/>
      <c r="N185" s="843"/>
      <c r="O185" s="843"/>
      <c r="P185" s="843"/>
    </row>
    <row r="186" spans="4:16" x14ac:dyDescent="0.2">
      <c r="D186" s="843"/>
      <c r="E186" s="843"/>
      <c r="F186" s="843"/>
      <c r="G186" s="843"/>
      <c r="H186" s="843"/>
      <c r="I186" s="843"/>
      <c r="J186" s="843"/>
      <c r="K186" s="843"/>
      <c r="L186" s="843"/>
      <c r="M186" s="843"/>
      <c r="N186" s="843"/>
      <c r="O186" s="843"/>
      <c r="P186" s="843"/>
    </row>
    <row r="187" spans="4:16" x14ac:dyDescent="0.2">
      <c r="D187" s="843"/>
      <c r="E187" s="843"/>
      <c r="F187" s="843"/>
      <c r="G187" s="843"/>
      <c r="H187" s="843"/>
      <c r="I187" s="843"/>
      <c r="J187" s="843"/>
      <c r="K187" s="843"/>
      <c r="L187" s="843"/>
      <c r="M187" s="843"/>
      <c r="N187" s="843"/>
      <c r="O187" s="843"/>
      <c r="P187" s="843"/>
    </row>
    <row r="188" spans="4:16" x14ac:dyDescent="0.2">
      <c r="D188" s="843"/>
      <c r="E188" s="843"/>
      <c r="F188" s="843"/>
      <c r="G188" s="843"/>
      <c r="H188" s="843"/>
      <c r="I188" s="843"/>
      <c r="J188" s="843"/>
      <c r="K188" s="843"/>
      <c r="L188" s="843"/>
      <c r="M188" s="843"/>
      <c r="N188" s="843"/>
      <c r="O188" s="843"/>
      <c r="P188" s="843"/>
    </row>
    <row r="189" spans="4:16" x14ac:dyDescent="0.2">
      <c r="D189" s="843"/>
      <c r="E189" s="843"/>
      <c r="F189" s="843"/>
      <c r="G189" s="843"/>
      <c r="H189" s="843"/>
      <c r="I189" s="843"/>
      <c r="J189" s="843"/>
      <c r="K189" s="843"/>
      <c r="L189" s="843"/>
      <c r="M189" s="843"/>
      <c r="N189" s="843"/>
      <c r="O189" s="843"/>
      <c r="P189" s="843"/>
    </row>
    <row r="190" spans="4:16" x14ac:dyDescent="0.2">
      <c r="D190" s="843"/>
      <c r="E190" s="843"/>
      <c r="F190" s="843"/>
      <c r="G190" s="843"/>
      <c r="H190" s="843"/>
      <c r="I190" s="843"/>
      <c r="J190" s="843"/>
      <c r="K190" s="843"/>
      <c r="L190" s="843"/>
      <c r="M190" s="843"/>
      <c r="N190" s="843"/>
      <c r="O190" s="843"/>
      <c r="P190" s="843"/>
    </row>
    <row r="191" spans="4:16" x14ac:dyDescent="0.2">
      <c r="D191" s="843"/>
      <c r="E191" s="843"/>
      <c r="F191" s="843"/>
      <c r="G191" s="843"/>
      <c r="H191" s="843"/>
      <c r="I191" s="843"/>
      <c r="J191" s="843"/>
      <c r="K191" s="843"/>
      <c r="L191" s="843"/>
      <c r="M191" s="843"/>
      <c r="N191" s="843"/>
      <c r="O191" s="843"/>
      <c r="P191" s="843"/>
    </row>
    <row r="192" spans="4:16" x14ac:dyDescent="0.2">
      <c r="D192" s="843"/>
      <c r="E192" s="843"/>
      <c r="F192" s="843"/>
      <c r="G192" s="843"/>
      <c r="H192" s="843"/>
      <c r="I192" s="843"/>
      <c r="J192" s="843"/>
      <c r="K192" s="843"/>
      <c r="L192" s="843"/>
      <c r="M192" s="843"/>
      <c r="N192" s="843"/>
      <c r="O192" s="843"/>
      <c r="P192" s="843"/>
    </row>
    <row r="193" spans="4:16" x14ac:dyDescent="0.2">
      <c r="D193" s="843"/>
      <c r="E193" s="843"/>
      <c r="F193" s="843"/>
      <c r="G193" s="843"/>
      <c r="H193" s="843"/>
      <c r="I193" s="843"/>
      <c r="J193" s="843"/>
      <c r="K193" s="843"/>
      <c r="L193" s="843"/>
      <c r="M193" s="843"/>
      <c r="N193" s="843"/>
      <c r="O193" s="843"/>
      <c r="P193" s="843"/>
    </row>
    <row r="194" spans="4:16" x14ac:dyDescent="0.2">
      <c r="D194" s="843"/>
      <c r="E194" s="843"/>
      <c r="F194" s="843"/>
      <c r="G194" s="843"/>
      <c r="H194" s="843"/>
      <c r="I194" s="843"/>
      <c r="J194" s="843"/>
      <c r="K194" s="843"/>
      <c r="L194" s="843"/>
      <c r="M194" s="843"/>
      <c r="N194" s="843"/>
      <c r="O194" s="843"/>
      <c r="P194" s="843"/>
    </row>
    <row r="195" spans="4:16" x14ac:dyDescent="0.2">
      <c r="D195" s="843"/>
      <c r="E195" s="843"/>
      <c r="F195" s="843"/>
      <c r="G195" s="843"/>
      <c r="H195" s="843"/>
      <c r="I195" s="843"/>
      <c r="J195" s="843"/>
      <c r="K195" s="843"/>
      <c r="L195" s="843"/>
      <c r="M195" s="843"/>
      <c r="N195" s="843"/>
      <c r="O195" s="843"/>
      <c r="P195" s="843"/>
    </row>
    <row r="196" spans="4:16" x14ac:dyDescent="0.2">
      <c r="D196" s="843"/>
      <c r="E196" s="843"/>
      <c r="F196" s="843"/>
      <c r="G196" s="843"/>
      <c r="H196" s="843"/>
      <c r="I196" s="843"/>
      <c r="J196" s="843"/>
      <c r="K196" s="843"/>
      <c r="L196" s="843"/>
      <c r="M196" s="843"/>
      <c r="N196" s="843"/>
      <c r="O196" s="843"/>
      <c r="P196" s="843"/>
    </row>
    <row r="197" spans="4:16" x14ac:dyDescent="0.2">
      <c r="D197" s="843"/>
      <c r="E197" s="843"/>
      <c r="F197" s="843"/>
      <c r="G197" s="843"/>
      <c r="H197" s="843"/>
      <c r="I197" s="843"/>
      <c r="J197" s="843"/>
      <c r="K197" s="843"/>
      <c r="L197" s="843"/>
      <c r="M197" s="843"/>
      <c r="N197" s="843"/>
      <c r="O197" s="843"/>
      <c r="P197" s="843"/>
    </row>
    <row r="198" spans="4:16" x14ac:dyDescent="0.2">
      <c r="D198" s="843"/>
      <c r="E198" s="843"/>
      <c r="F198" s="843"/>
      <c r="G198" s="843"/>
      <c r="H198" s="843"/>
      <c r="I198" s="843"/>
      <c r="J198" s="843"/>
      <c r="K198" s="843"/>
      <c r="L198" s="843"/>
      <c r="M198" s="843"/>
      <c r="N198" s="843"/>
      <c r="O198" s="843"/>
      <c r="P198" s="843"/>
    </row>
    <row r="199" spans="4:16" x14ac:dyDescent="0.2">
      <c r="D199" s="843"/>
      <c r="E199" s="843"/>
      <c r="F199" s="843"/>
      <c r="G199" s="843"/>
      <c r="H199" s="843"/>
      <c r="I199" s="843"/>
      <c r="J199" s="843"/>
      <c r="K199" s="843"/>
      <c r="L199" s="843"/>
      <c r="M199" s="843"/>
      <c r="N199" s="843"/>
      <c r="O199" s="843"/>
      <c r="P199" s="843"/>
    </row>
    <row r="200" spans="4:16" x14ac:dyDescent="0.2">
      <c r="D200" s="843"/>
      <c r="E200" s="843"/>
      <c r="F200" s="843"/>
      <c r="G200" s="843"/>
      <c r="H200" s="843"/>
      <c r="I200" s="843"/>
      <c r="J200" s="843"/>
      <c r="K200" s="843"/>
      <c r="L200" s="843"/>
      <c r="M200" s="843"/>
      <c r="N200" s="843"/>
      <c r="O200" s="843"/>
      <c r="P200" s="843"/>
    </row>
    <row r="201" spans="4:16" x14ac:dyDescent="0.2">
      <c r="D201" s="843"/>
      <c r="E201" s="843"/>
      <c r="F201" s="843"/>
      <c r="G201" s="843"/>
      <c r="H201" s="843"/>
      <c r="I201" s="843"/>
      <c r="J201" s="843"/>
      <c r="K201" s="843"/>
      <c r="L201" s="843"/>
      <c r="M201" s="843"/>
      <c r="N201" s="843"/>
      <c r="O201" s="843"/>
      <c r="P201" s="843"/>
    </row>
    <row r="202" spans="4:16" x14ac:dyDescent="0.2">
      <c r="D202" s="843"/>
      <c r="E202" s="843"/>
      <c r="F202" s="843"/>
      <c r="G202" s="843"/>
      <c r="H202" s="843"/>
      <c r="I202" s="843"/>
      <c r="J202" s="843"/>
      <c r="K202" s="843"/>
      <c r="L202" s="843"/>
      <c r="M202" s="843"/>
      <c r="N202" s="843"/>
      <c r="O202" s="843"/>
      <c r="P202" s="843"/>
    </row>
    <row r="203" spans="4:16" x14ac:dyDescent="0.2">
      <c r="D203" s="843"/>
      <c r="E203" s="843"/>
      <c r="F203" s="843"/>
      <c r="G203" s="843"/>
      <c r="H203" s="843"/>
      <c r="I203" s="843"/>
      <c r="J203" s="843"/>
      <c r="K203" s="843"/>
      <c r="L203" s="843"/>
      <c r="M203" s="843"/>
      <c r="N203" s="843"/>
      <c r="O203" s="843"/>
      <c r="P203" s="843"/>
    </row>
    <row r="204" spans="4:16" x14ac:dyDescent="0.2">
      <c r="D204" s="843"/>
      <c r="E204" s="843"/>
      <c r="F204" s="843"/>
      <c r="G204" s="843"/>
      <c r="H204" s="843"/>
      <c r="I204" s="843"/>
      <c r="J204" s="843"/>
      <c r="K204" s="843"/>
      <c r="L204" s="843"/>
      <c r="M204" s="843"/>
      <c r="N204" s="843"/>
      <c r="O204" s="843"/>
      <c r="P204" s="843"/>
    </row>
    <row r="205" spans="4:16" x14ac:dyDescent="0.2">
      <c r="D205" s="843"/>
      <c r="E205" s="843"/>
      <c r="F205" s="843"/>
      <c r="G205" s="843"/>
      <c r="H205" s="843"/>
      <c r="I205" s="843"/>
      <c r="J205" s="843"/>
      <c r="K205" s="843"/>
      <c r="L205" s="843"/>
      <c r="M205" s="843"/>
      <c r="N205" s="843"/>
      <c r="O205" s="843"/>
      <c r="P205" s="843"/>
    </row>
    <row r="206" spans="4:16" x14ac:dyDescent="0.2">
      <c r="D206" s="843"/>
      <c r="E206" s="843"/>
      <c r="F206" s="843"/>
      <c r="G206" s="843"/>
      <c r="H206" s="843"/>
      <c r="I206" s="843"/>
      <c r="J206" s="843"/>
      <c r="K206" s="843"/>
      <c r="L206" s="843"/>
      <c r="M206" s="843"/>
      <c r="N206" s="843"/>
      <c r="O206" s="843"/>
      <c r="P206" s="843"/>
    </row>
    <row r="207" spans="4:16" x14ac:dyDescent="0.2">
      <c r="D207" s="843"/>
      <c r="E207" s="843"/>
      <c r="F207" s="843"/>
      <c r="G207" s="843"/>
      <c r="H207" s="843"/>
      <c r="I207" s="843"/>
      <c r="J207" s="843"/>
      <c r="K207" s="843"/>
      <c r="L207" s="843"/>
      <c r="M207" s="843"/>
      <c r="N207" s="843"/>
      <c r="O207" s="843"/>
      <c r="P207" s="843"/>
    </row>
    <row r="208" spans="4:16" x14ac:dyDescent="0.2">
      <c r="D208" s="843"/>
      <c r="E208" s="843"/>
      <c r="F208" s="843"/>
      <c r="G208" s="843"/>
      <c r="H208" s="843"/>
      <c r="I208" s="843"/>
      <c r="J208" s="843"/>
      <c r="K208" s="843"/>
      <c r="L208" s="843"/>
      <c r="M208" s="843"/>
      <c r="N208" s="843"/>
      <c r="O208" s="843"/>
      <c r="P208" s="843"/>
    </row>
    <row r="209" spans="4:16" x14ac:dyDescent="0.2">
      <c r="D209" s="843"/>
      <c r="E209" s="843"/>
      <c r="F209" s="843"/>
      <c r="G209" s="843"/>
      <c r="H209" s="843"/>
      <c r="I209" s="843"/>
      <c r="J209" s="843"/>
      <c r="K209" s="843"/>
      <c r="L209" s="843"/>
      <c r="M209" s="843"/>
      <c r="N209" s="843"/>
      <c r="O209" s="843"/>
      <c r="P209" s="843"/>
    </row>
    <row r="210" spans="4:16" x14ac:dyDescent="0.2">
      <c r="D210" s="843"/>
      <c r="E210" s="843"/>
      <c r="F210" s="843"/>
      <c r="G210" s="843"/>
      <c r="H210" s="843"/>
      <c r="I210" s="843"/>
      <c r="J210" s="843"/>
      <c r="K210" s="843"/>
      <c r="L210" s="843"/>
      <c r="M210" s="843"/>
      <c r="N210" s="843"/>
      <c r="O210" s="843"/>
      <c r="P210" s="843"/>
    </row>
    <row r="211" spans="4:16" x14ac:dyDescent="0.2">
      <c r="D211" s="843"/>
      <c r="E211" s="843"/>
      <c r="F211" s="843"/>
      <c r="G211" s="843"/>
      <c r="H211" s="843"/>
      <c r="I211" s="843"/>
      <c r="J211" s="843"/>
      <c r="K211" s="843"/>
      <c r="L211" s="843"/>
      <c r="M211" s="843"/>
      <c r="N211" s="843"/>
      <c r="O211" s="843"/>
      <c r="P211" s="843"/>
    </row>
    <row r="212" spans="4:16" x14ac:dyDescent="0.2">
      <c r="D212" s="843"/>
      <c r="E212" s="843"/>
      <c r="F212" s="843"/>
      <c r="G212" s="843"/>
      <c r="H212" s="843"/>
      <c r="I212" s="843"/>
      <c r="J212" s="843"/>
      <c r="K212" s="843"/>
      <c r="L212" s="843"/>
      <c r="M212" s="843"/>
      <c r="N212" s="843"/>
      <c r="O212" s="843"/>
      <c r="P212" s="843"/>
    </row>
    <row r="213" spans="4:16" x14ac:dyDescent="0.2">
      <c r="D213" s="843"/>
      <c r="E213" s="843"/>
      <c r="F213" s="843"/>
      <c r="G213" s="843"/>
      <c r="H213" s="843"/>
      <c r="I213" s="843"/>
      <c r="J213" s="843"/>
      <c r="K213" s="843"/>
      <c r="L213" s="843"/>
      <c r="M213" s="843"/>
      <c r="N213" s="843"/>
      <c r="O213" s="843"/>
      <c r="P213" s="843"/>
    </row>
    <row r="214" spans="4:16" x14ac:dyDescent="0.2">
      <c r="D214" s="843"/>
      <c r="E214" s="843"/>
      <c r="F214" s="843"/>
      <c r="G214" s="843"/>
      <c r="H214" s="843"/>
      <c r="I214" s="843"/>
      <c r="J214" s="843"/>
      <c r="K214" s="843"/>
      <c r="L214" s="843"/>
      <c r="M214" s="843"/>
      <c r="N214" s="843"/>
      <c r="O214" s="843"/>
      <c r="P214" s="843"/>
    </row>
    <row r="215" spans="4:16" x14ac:dyDescent="0.2">
      <c r="D215" s="843"/>
      <c r="E215" s="843"/>
      <c r="F215" s="843"/>
      <c r="G215" s="843"/>
      <c r="H215" s="843"/>
      <c r="I215" s="843"/>
      <c r="J215" s="843"/>
      <c r="K215" s="843"/>
      <c r="L215" s="843"/>
      <c r="M215" s="843"/>
      <c r="N215" s="843"/>
      <c r="O215" s="843"/>
      <c r="P215" s="843"/>
    </row>
    <row r="216" spans="4:16" x14ac:dyDescent="0.2">
      <c r="D216" s="843"/>
      <c r="E216" s="843"/>
      <c r="F216" s="843"/>
      <c r="G216" s="843"/>
      <c r="H216" s="843"/>
      <c r="I216" s="843"/>
      <c r="J216" s="843"/>
      <c r="K216" s="843"/>
      <c r="L216" s="843"/>
      <c r="M216" s="843"/>
      <c r="N216" s="843"/>
      <c r="O216" s="843"/>
      <c r="P216" s="843"/>
    </row>
    <row r="217" spans="4:16" x14ac:dyDescent="0.2">
      <c r="D217" s="843"/>
      <c r="E217" s="843"/>
      <c r="F217" s="843"/>
      <c r="G217" s="843"/>
      <c r="H217" s="843"/>
      <c r="I217" s="843"/>
      <c r="J217" s="843"/>
      <c r="K217" s="843"/>
      <c r="L217" s="843"/>
      <c r="M217" s="843"/>
      <c r="N217" s="843"/>
      <c r="O217" s="843"/>
      <c r="P217" s="843"/>
    </row>
    <row r="218" spans="4:16" x14ac:dyDescent="0.2">
      <c r="D218" s="843"/>
      <c r="E218" s="843"/>
      <c r="F218" s="843"/>
      <c r="G218" s="843"/>
      <c r="H218" s="843"/>
      <c r="I218" s="843"/>
      <c r="J218" s="843"/>
      <c r="K218" s="843"/>
      <c r="L218" s="843"/>
      <c r="M218" s="843"/>
      <c r="N218" s="843"/>
      <c r="O218" s="843"/>
      <c r="P218" s="843"/>
    </row>
    <row r="219" spans="4:16" x14ac:dyDescent="0.2">
      <c r="D219" s="843"/>
      <c r="E219" s="843"/>
      <c r="F219" s="843"/>
      <c r="G219" s="843"/>
      <c r="H219" s="843"/>
      <c r="I219" s="843"/>
      <c r="J219" s="843"/>
      <c r="K219" s="843"/>
      <c r="L219" s="843"/>
      <c r="M219" s="843"/>
      <c r="N219" s="843"/>
      <c r="O219" s="843"/>
      <c r="P219" s="843"/>
    </row>
    <row r="220" spans="4:16" x14ac:dyDescent="0.2">
      <c r="D220" s="843"/>
      <c r="E220" s="843"/>
      <c r="F220" s="843"/>
      <c r="G220" s="843"/>
      <c r="H220" s="843"/>
      <c r="I220" s="843"/>
      <c r="J220" s="843"/>
      <c r="K220" s="843"/>
      <c r="L220" s="843"/>
      <c r="M220" s="843"/>
      <c r="N220" s="843"/>
      <c r="O220" s="843"/>
      <c r="P220" s="843"/>
    </row>
    <row r="221" spans="4:16" x14ac:dyDescent="0.2">
      <c r="D221" s="843"/>
      <c r="E221" s="843"/>
      <c r="F221" s="843"/>
      <c r="G221" s="843"/>
      <c r="H221" s="843"/>
      <c r="I221" s="843"/>
      <c r="J221" s="843"/>
      <c r="K221" s="843"/>
      <c r="L221" s="843"/>
      <c r="M221" s="843"/>
      <c r="N221" s="843"/>
      <c r="O221" s="843"/>
      <c r="P221" s="843"/>
    </row>
    <row r="222" spans="4:16" x14ac:dyDescent="0.2">
      <c r="D222" s="843"/>
      <c r="E222" s="843"/>
      <c r="F222" s="843"/>
      <c r="G222" s="843"/>
      <c r="H222" s="843"/>
      <c r="I222" s="843"/>
      <c r="J222" s="843"/>
      <c r="K222" s="843"/>
      <c r="L222" s="843"/>
      <c r="M222" s="843"/>
      <c r="N222" s="843"/>
      <c r="O222" s="843"/>
      <c r="P222" s="843"/>
    </row>
    <row r="223" spans="4:16" x14ac:dyDescent="0.2">
      <c r="D223" s="843"/>
      <c r="E223" s="843"/>
      <c r="F223" s="843"/>
      <c r="G223" s="843"/>
      <c r="H223" s="843"/>
      <c r="I223" s="843"/>
      <c r="J223" s="843"/>
      <c r="K223" s="843"/>
      <c r="L223" s="843"/>
      <c r="M223" s="843"/>
      <c r="N223" s="843"/>
      <c r="O223" s="843"/>
      <c r="P223" s="843"/>
    </row>
    <row r="224" spans="4:16" x14ac:dyDescent="0.2">
      <c r="D224" s="843"/>
      <c r="E224" s="843"/>
      <c r="F224" s="843"/>
      <c r="G224" s="843"/>
      <c r="H224" s="843"/>
      <c r="I224" s="843"/>
      <c r="J224" s="843"/>
      <c r="K224" s="843"/>
      <c r="L224" s="843"/>
      <c r="M224" s="843"/>
      <c r="N224" s="843"/>
      <c r="O224" s="843"/>
      <c r="P224" s="843"/>
    </row>
    <row r="225" spans="4:16" x14ac:dyDescent="0.2">
      <c r="D225" s="843"/>
      <c r="E225" s="843"/>
      <c r="F225" s="843"/>
      <c r="G225" s="843"/>
      <c r="H225" s="843"/>
      <c r="I225" s="843"/>
      <c r="J225" s="843"/>
      <c r="K225" s="843"/>
      <c r="L225" s="843"/>
      <c r="M225" s="843"/>
      <c r="N225" s="843"/>
      <c r="O225" s="843"/>
      <c r="P225" s="843"/>
    </row>
    <row r="226" spans="4:16" x14ac:dyDescent="0.2">
      <c r="D226" s="843"/>
      <c r="E226" s="843"/>
      <c r="F226" s="843"/>
      <c r="G226" s="843"/>
      <c r="H226" s="843"/>
      <c r="I226" s="843"/>
      <c r="J226" s="843"/>
      <c r="K226" s="843"/>
      <c r="L226" s="843"/>
      <c r="M226" s="843"/>
      <c r="N226" s="843"/>
      <c r="O226" s="843"/>
      <c r="P226" s="843"/>
    </row>
    <row r="227" spans="4:16" x14ac:dyDescent="0.2">
      <c r="D227" s="843"/>
      <c r="E227" s="843"/>
      <c r="F227" s="843"/>
      <c r="G227" s="843"/>
      <c r="H227" s="843"/>
      <c r="I227" s="843"/>
      <c r="J227" s="843"/>
      <c r="K227" s="843"/>
      <c r="L227" s="843"/>
      <c r="M227" s="843"/>
      <c r="N227" s="843"/>
      <c r="O227" s="843"/>
      <c r="P227" s="843"/>
    </row>
    <row r="228" spans="4:16" x14ac:dyDescent="0.2">
      <c r="D228" s="843"/>
      <c r="E228" s="843"/>
      <c r="F228" s="843"/>
      <c r="G228" s="843"/>
      <c r="H228" s="843"/>
      <c r="I228" s="843"/>
      <c r="J228" s="843"/>
      <c r="K228" s="843"/>
      <c r="L228" s="843"/>
      <c r="M228" s="843"/>
      <c r="N228" s="843"/>
      <c r="O228" s="843"/>
      <c r="P228" s="843"/>
    </row>
    <row r="229" spans="4:16" x14ac:dyDescent="0.2">
      <c r="D229" s="843"/>
      <c r="E229" s="843"/>
      <c r="F229" s="843"/>
      <c r="G229" s="843"/>
      <c r="H229" s="843"/>
      <c r="I229" s="843"/>
      <c r="J229" s="843"/>
      <c r="K229" s="843"/>
      <c r="L229" s="843"/>
      <c r="M229" s="843"/>
      <c r="N229" s="843"/>
      <c r="O229" s="843"/>
      <c r="P229" s="843"/>
    </row>
    <row r="230" spans="4:16" x14ac:dyDescent="0.2">
      <c r="D230" s="843"/>
      <c r="E230" s="843"/>
      <c r="F230" s="843"/>
      <c r="G230" s="843"/>
      <c r="H230" s="843"/>
      <c r="I230" s="843"/>
      <c r="J230" s="843"/>
      <c r="K230" s="843"/>
      <c r="L230" s="843"/>
      <c r="M230" s="843"/>
      <c r="N230" s="843"/>
      <c r="O230" s="843"/>
      <c r="P230" s="843"/>
    </row>
    <row r="231" spans="4:16" x14ac:dyDescent="0.2">
      <c r="D231" s="843"/>
      <c r="E231" s="843"/>
      <c r="F231" s="843"/>
      <c r="G231" s="843"/>
      <c r="H231" s="843"/>
      <c r="I231" s="843"/>
      <c r="J231" s="843"/>
      <c r="K231" s="843"/>
      <c r="L231" s="843"/>
      <c r="M231" s="843"/>
      <c r="N231" s="843"/>
      <c r="O231" s="843"/>
      <c r="P231" s="843"/>
    </row>
    <row r="232" spans="4:16" x14ac:dyDescent="0.2">
      <c r="D232" s="843"/>
      <c r="E232" s="843"/>
      <c r="F232" s="843"/>
      <c r="G232" s="843"/>
      <c r="H232" s="843"/>
      <c r="I232" s="843"/>
      <c r="J232" s="843"/>
      <c r="K232" s="843"/>
      <c r="L232" s="843"/>
      <c r="M232" s="843"/>
      <c r="N232" s="843"/>
      <c r="O232" s="843"/>
      <c r="P232" s="843"/>
    </row>
    <row r="233" spans="4:16" x14ac:dyDescent="0.2">
      <c r="D233" s="843"/>
      <c r="E233" s="843"/>
      <c r="F233" s="843"/>
      <c r="G233" s="843"/>
      <c r="H233" s="843"/>
      <c r="I233" s="843"/>
      <c r="J233" s="843"/>
      <c r="K233" s="843"/>
      <c r="L233" s="843"/>
      <c r="M233" s="843"/>
      <c r="N233" s="843"/>
      <c r="O233" s="843"/>
      <c r="P233" s="843"/>
    </row>
    <row r="234" spans="4:16" x14ac:dyDescent="0.2">
      <c r="D234" s="843"/>
      <c r="E234" s="843"/>
      <c r="F234" s="843"/>
      <c r="G234" s="843"/>
      <c r="H234" s="843"/>
      <c r="I234" s="843"/>
      <c r="J234" s="843"/>
      <c r="K234" s="843"/>
      <c r="L234" s="843"/>
      <c r="M234" s="843"/>
      <c r="N234" s="843"/>
      <c r="O234" s="843"/>
      <c r="P234" s="843"/>
    </row>
    <row r="235" spans="4:16" x14ac:dyDescent="0.2">
      <c r="D235" s="843"/>
      <c r="E235" s="843"/>
      <c r="F235" s="843"/>
      <c r="G235" s="843"/>
      <c r="H235" s="843"/>
      <c r="I235" s="843"/>
      <c r="J235" s="843"/>
      <c r="K235" s="843"/>
      <c r="L235" s="843"/>
      <c r="M235" s="843"/>
      <c r="N235" s="843"/>
      <c r="O235" s="843"/>
      <c r="P235" s="843"/>
    </row>
    <row r="236" spans="4:16" x14ac:dyDescent="0.2">
      <c r="D236" s="843"/>
      <c r="E236" s="843"/>
      <c r="F236" s="843"/>
      <c r="G236" s="843"/>
      <c r="H236" s="843"/>
      <c r="I236" s="843"/>
      <c r="J236" s="843"/>
      <c r="K236" s="843"/>
      <c r="L236" s="843"/>
      <c r="M236" s="843"/>
      <c r="N236" s="843"/>
      <c r="O236" s="843"/>
      <c r="P236" s="843"/>
    </row>
    <row r="237" spans="4:16" x14ac:dyDescent="0.2">
      <c r="D237" s="843"/>
      <c r="E237" s="843"/>
      <c r="F237" s="843"/>
      <c r="G237" s="843"/>
      <c r="H237" s="843"/>
      <c r="I237" s="843"/>
      <c r="J237" s="843"/>
      <c r="K237" s="843"/>
      <c r="L237" s="843"/>
      <c r="M237" s="843"/>
      <c r="N237" s="843"/>
      <c r="O237" s="843"/>
      <c r="P237" s="843"/>
    </row>
    <row r="238" spans="4:16" x14ac:dyDescent="0.2">
      <c r="D238" s="843"/>
      <c r="E238" s="843"/>
      <c r="F238" s="843"/>
      <c r="G238" s="843"/>
      <c r="H238" s="843"/>
      <c r="I238" s="843"/>
      <c r="J238" s="843"/>
      <c r="K238" s="843"/>
      <c r="L238" s="843"/>
      <c r="M238" s="843"/>
      <c r="N238" s="843"/>
      <c r="O238" s="843"/>
      <c r="P238" s="843"/>
    </row>
    <row r="239" spans="4:16" x14ac:dyDescent="0.2">
      <c r="D239" s="843"/>
      <c r="E239" s="843"/>
      <c r="F239" s="843"/>
      <c r="G239" s="843"/>
      <c r="H239" s="843"/>
      <c r="I239" s="843"/>
      <c r="J239" s="843"/>
      <c r="K239" s="843"/>
      <c r="L239" s="843"/>
      <c r="M239" s="843"/>
      <c r="N239" s="843"/>
      <c r="O239" s="843"/>
      <c r="P239" s="843"/>
    </row>
    <row r="240" spans="4:16" x14ac:dyDescent="0.2">
      <c r="D240" s="843"/>
      <c r="E240" s="843"/>
      <c r="F240" s="843"/>
      <c r="G240" s="843"/>
      <c r="H240" s="843"/>
      <c r="I240" s="843"/>
      <c r="J240" s="843"/>
      <c r="K240" s="843"/>
      <c r="L240" s="843"/>
      <c r="M240" s="843"/>
      <c r="N240" s="843"/>
      <c r="O240" s="843"/>
      <c r="P240" s="843"/>
    </row>
    <row r="241" spans="4:16" x14ac:dyDescent="0.2">
      <c r="D241" s="843"/>
      <c r="E241" s="843"/>
      <c r="F241" s="843"/>
      <c r="G241" s="843"/>
      <c r="H241" s="843"/>
      <c r="I241" s="843"/>
      <c r="J241" s="843"/>
      <c r="K241" s="843"/>
      <c r="L241" s="843"/>
      <c r="M241" s="843"/>
      <c r="N241" s="843"/>
      <c r="O241" s="843"/>
      <c r="P241" s="843"/>
    </row>
    <row r="242" spans="4:16" x14ac:dyDescent="0.2">
      <c r="D242" s="843"/>
      <c r="E242" s="843"/>
      <c r="F242" s="843"/>
      <c r="G242" s="843"/>
      <c r="H242" s="843"/>
      <c r="I242" s="843"/>
      <c r="J242" s="843"/>
      <c r="K242" s="843"/>
      <c r="L242" s="843"/>
      <c r="M242" s="843"/>
      <c r="N242" s="843"/>
      <c r="O242" s="843"/>
      <c r="P242" s="843"/>
    </row>
    <row r="243" spans="4:16" x14ac:dyDescent="0.2">
      <c r="D243" s="843"/>
      <c r="E243" s="843"/>
      <c r="F243" s="843"/>
      <c r="G243" s="843"/>
      <c r="H243" s="843"/>
      <c r="I243" s="843"/>
      <c r="J243" s="843"/>
      <c r="K243" s="843"/>
      <c r="L243" s="843"/>
      <c r="M243" s="843"/>
      <c r="N243" s="843"/>
      <c r="O243" s="843"/>
      <c r="P243" s="843"/>
    </row>
    <row r="244" spans="4:16" x14ac:dyDescent="0.2">
      <c r="D244" s="843"/>
      <c r="E244" s="843"/>
      <c r="F244" s="843"/>
      <c r="G244" s="843"/>
      <c r="H244" s="843"/>
      <c r="I244" s="843"/>
      <c r="J244" s="843"/>
      <c r="K244" s="843"/>
      <c r="L244" s="843"/>
      <c r="M244" s="843"/>
      <c r="N244" s="843"/>
      <c r="O244" s="843"/>
      <c r="P244" s="843"/>
    </row>
    <row r="245" spans="4:16" x14ac:dyDescent="0.2">
      <c r="D245" s="843"/>
      <c r="E245" s="843"/>
      <c r="F245" s="843"/>
      <c r="G245" s="843"/>
      <c r="H245" s="843"/>
      <c r="I245" s="843"/>
      <c r="J245" s="843"/>
      <c r="K245" s="843"/>
      <c r="L245" s="843"/>
      <c r="M245" s="843"/>
      <c r="N245" s="843"/>
      <c r="O245" s="843"/>
      <c r="P245" s="843"/>
    </row>
    <row r="246" spans="4:16" x14ac:dyDescent="0.2">
      <c r="D246" s="843"/>
      <c r="E246" s="843"/>
      <c r="F246" s="843"/>
      <c r="G246" s="843"/>
      <c r="H246" s="843"/>
      <c r="I246" s="843"/>
      <c r="J246" s="843"/>
      <c r="K246" s="843"/>
      <c r="L246" s="843"/>
      <c r="M246" s="843"/>
      <c r="N246" s="843"/>
      <c r="O246" s="843"/>
      <c r="P246" s="843"/>
    </row>
    <row r="247" spans="4:16" x14ac:dyDescent="0.2">
      <c r="D247" s="843"/>
      <c r="E247" s="843"/>
      <c r="F247" s="843"/>
      <c r="G247" s="843"/>
      <c r="H247" s="843"/>
      <c r="I247" s="843"/>
      <c r="J247" s="843"/>
      <c r="K247" s="843"/>
      <c r="L247" s="843"/>
      <c r="M247" s="843"/>
      <c r="N247" s="843"/>
      <c r="O247" s="843"/>
      <c r="P247" s="843"/>
    </row>
    <row r="248" spans="4:16" x14ac:dyDescent="0.2">
      <c r="D248" s="843"/>
      <c r="E248" s="843"/>
      <c r="F248" s="843"/>
      <c r="G248" s="843"/>
      <c r="H248" s="843"/>
      <c r="I248" s="843"/>
      <c r="J248" s="843"/>
      <c r="K248" s="843"/>
      <c r="L248" s="843"/>
      <c r="M248" s="843"/>
      <c r="N248" s="843"/>
      <c r="O248" s="843"/>
      <c r="P248" s="843"/>
    </row>
    <row r="249" spans="4:16" x14ac:dyDescent="0.2">
      <c r="D249" s="843"/>
      <c r="E249" s="843"/>
      <c r="F249" s="843"/>
      <c r="G249" s="843"/>
      <c r="H249" s="843"/>
      <c r="I249" s="843"/>
      <c r="J249" s="843"/>
      <c r="K249" s="843"/>
      <c r="L249" s="843"/>
      <c r="M249" s="843"/>
      <c r="N249" s="843"/>
      <c r="O249" s="843"/>
      <c r="P249" s="843"/>
    </row>
    <row r="250" spans="4:16" x14ac:dyDescent="0.2">
      <c r="D250" s="843"/>
      <c r="E250" s="843"/>
      <c r="F250" s="843"/>
      <c r="G250" s="843"/>
      <c r="H250" s="843"/>
      <c r="I250" s="843"/>
      <c r="J250" s="843"/>
      <c r="K250" s="843"/>
      <c r="L250" s="843"/>
      <c r="M250" s="843"/>
      <c r="N250" s="843"/>
      <c r="O250" s="843"/>
      <c r="P250" s="843"/>
    </row>
    <row r="251" spans="4:16" x14ac:dyDescent="0.2">
      <c r="D251" s="843"/>
      <c r="E251" s="843"/>
      <c r="F251" s="843"/>
      <c r="G251" s="843"/>
      <c r="H251" s="843"/>
      <c r="I251" s="843"/>
      <c r="J251" s="843"/>
      <c r="K251" s="843"/>
      <c r="L251" s="843"/>
      <c r="M251" s="843"/>
      <c r="N251" s="843"/>
      <c r="O251" s="843"/>
      <c r="P251" s="843"/>
    </row>
    <row r="252" spans="4:16" x14ac:dyDescent="0.2">
      <c r="D252" s="843"/>
      <c r="E252" s="843"/>
      <c r="F252" s="843"/>
      <c r="G252" s="843"/>
      <c r="H252" s="843"/>
      <c r="I252" s="843"/>
      <c r="J252" s="843"/>
      <c r="K252" s="843"/>
      <c r="L252" s="843"/>
      <c r="M252" s="843"/>
      <c r="N252" s="843"/>
      <c r="O252" s="843"/>
      <c r="P252" s="843"/>
    </row>
    <row r="253" spans="4:16" x14ac:dyDescent="0.2">
      <c r="D253" s="843"/>
      <c r="E253" s="843"/>
      <c r="F253" s="843"/>
      <c r="G253" s="843"/>
      <c r="H253" s="843"/>
      <c r="I253" s="843"/>
      <c r="J253" s="843"/>
      <c r="K253" s="843"/>
      <c r="L253" s="843"/>
      <c r="M253" s="843"/>
      <c r="N253" s="843"/>
      <c r="O253" s="843"/>
      <c r="P253" s="843"/>
    </row>
    <row r="254" spans="4:16" x14ac:dyDescent="0.2">
      <c r="D254" s="843"/>
      <c r="E254" s="843"/>
      <c r="F254" s="843"/>
      <c r="G254" s="843"/>
      <c r="H254" s="843"/>
      <c r="I254" s="843"/>
      <c r="J254" s="843"/>
      <c r="K254" s="843"/>
      <c r="L254" s="843"/>
      <c r="M254" s="843"/>
      <c r="N254" s="843"/>
      <c r="O254" s="843"/>
      <c r="P254" s="843"/>
    </row>
    <row r="255" spans="4:16" x14ac:dyDescent="0.2">
      <c r="D255" s="843"/>
      <c r="E255" s="843"/>
      <c r="F255" s="843"/>
      <c r="G255" s="843"/>
      <c r="H255" s="843"/>
      <c r="I255" s="843"/>
      <c r="J255" s="843"/>
      <c r="K255" s="843"/>
      <c r="L255" s="843"/>
      <c r="M255" s="843"/>
      <c r="N255" s="843"/>
      <c r="O255" s="843"/>
      <c r="P255" s="843"/>
    </row>
    <row r="256" spans="4:16" x14ac:dyDescent="0.2">
      <c r="D256" s="843"/>
      <c r="E256" s="843"/>
      <c r="F256" s="843"/>
      <c r="G256" s="843"/>
      <c r="H256" s="843"/>
      <c r="I256" s="843"/>
      <c r="J256" s="843"/>
      <c r="K256" s="843"/>
      <c r="L256" s="843"/>
      <c r="M256" s="843"/>
      <c r="N256" s="843"/>
      <c r="O256" s="843"/>
      <c r="P256" s="843"/>
    </row>
    <row r="257" spans="1:16" x14ac:dyDescent="0.2">
      <c r="D257" s="843"/>
      <c r="E257" s="843"/>
      <c r="F257" s="843"/>
      <c r="G257" s="843"/>
      <c r="H257" s="843"/>
      <c r="I257" s="843"/>
      <c r="J257" s="843"/>
      <c r="K257" s="843"/>
      <c r="L257" s="843"/>
      <c r="M257" s="843"/>
      <c r="N257" s="843"/>
      <c r="O257" s="843"/>
      <c r="P257" s="843"/>
    </row>
    <row r="258" spans="1:16" x14ac:dyDescent="0.2">
      <c r="D258" s="843"/>
      <c r="E258" s="843"/>
      <c r="F258" s="843"/>
      <c r="G258" s="843"/>
      <c r="H258" s="843"/>
      <c r="I258" s="843"/>
      <c r="J258" s="843"/>
      <c r="K258" s="843"/>
      <c r="L258" s="843"/>
      <c r="M258" s="843"/>
      <c r="N258" s="843"/>
      <c r="O258" s="843"/>
      <c r="P258" s="843"/>
    </row>
    <row r="259" spans="1:16" x14ac:dyDescent="0.2">
      <c r="D259" s="843"/>
      <c r="E259" s="843"/>
      <c r="F259" s="843"/>
      <c r="G259" s="843"/>
      <c r="H259" s="843"/>
      <c r="I259" s="843"/>
      <c r="J259" s="843"/>
      <c r="K259" s="843"/>
      <c r="L259" s="843"/>
      <c r="M259" s="843"/>
      <c r="N259" s="843"/>
      <c r="O259" s="843"/>
      <c r="P259" s="843"/>
    </row>
    <row r="260" spans="1:16" x14ac:dyDescent="0.2">
      <c r="D260" s="843"/>
      <c r="E260" s="843"/>
      <c r="F260" s="843"/>
      <c r="G260" s="843"/>
      <c r="H260" s="843"/>
      <c r="I260" s="843"/>
      <c r="J260" s="843"/>
      <c r="K260" s="843"/>
      <c r="L260" s="843"/>
      <c r="M260" s="843"/>
      <c r="N260" s="843"/>
      <c r="O260" s="843"/>
      <c r="P260" s="843"/>
    </row>
    <row r="261" spans="1:16" x14ac:dyDescent="0.2">
      <c r="D261" s="843"/>
      <c r="E261" s="843"/>
      <c r="F261" s="843"/>
      <c r="G261" s="843"/>
      <c r="H261" s="843"/>
      <c r="I261" s="843"/>
      <c r="J261" s="843"/>
      <c r="K261" s="843"/>
      <c r="L261" s="843"/>
      <c r="M261" s="843"/>
      <c r="N261" s="843"/>
      <c r="O261" s="843"/>
      <c r="P261" s="843"/>
    </row>
    <row r="262" spans="1:16" x14ac:dyDescent="0.2">
      <c r="D262" s="843"/>
      <c r="E262" s="843"/>
      <c r="F262" s="843"/>
      <c r="G262" s="843"/>
      <c r="H262" s="843"/>
      <c r="I262" s="843"/>
      <c r="J262" s="843"/>
      <c r="K262" s="843"/>
      <c r="L262" s="843"/>
      <c r="M262" s="843"/>
      <c r="N262" s="843"/>
      <c r="O262" s="843"/>
      <c r="P262" s="843"/>
    </row>
    <row r="263" spans="1:16" x14ac:dyDescent="0.2">
      <c r="D263" s="843"/>
      <c r="E263" s="843"/>
      <c r="F263" s="843"/>
      <c r="G263" s="843"/>
      <c r="H263" s="843"/>
      <c r="I263" s="843"/>
      <c r="J263" s="843"/>
      <c r="K263" s="843"/>
      <c r="L263" s="843"/>
      <c r="M263" s="843"/>
      <c r="N263" s="843"/>
      <c r="O263" s="843"/>
      <c r="P263" s="843"/>
    </row>
    <row r="264" spans="1:16" x14ac:dyDescent="0.2">
      <c r="D264" s="843"/>
      <c r="E264" s="843"/>
      <c r="F264" s="843"/>
      <c r="G264" s="843"/>
      <c r="H264" s="843"/>
      <c r="I264" s="843"/>
      <c r="J264" s="843"/>
      <c r="K264" s="843"/>
      <c r="L264" s="843"/>
      <c r="M264" s="843"/>
      <c r="N264" s="843"/>
      <c r="O264" s="843"/>
      <c r="P264" s="843"/>
    </row>
    <row r="265" spans="1:16" x14ac:dyDescent="0.2">
      <c r="D265" s="843"/>
      <c r="E265" s="843"/>
      <c r="F265" s="843"/>
      <c r="G265" s="843"/>
      <c r="H265" s="843"/>
      <c r="I265" s="843"/>
      <c r="J265" s="843"/>
      <c r="K265" s="843"/>
      <c r="L265" s="843"/>
      <c r="M265" s="843"/>
      <c r="N265" s="843"/>
      <c r="O265" s="843"/>
      <c r="P265" s="843"/>
    </row>
    <row r="266" spans="1:16" x14ac:dyDescent="0.2">
      <c r="D266" s="724" t="e">
        <f>SP!#REF!</f>
        <v>#REF!</v>
      </c>
      <c r="E266" s="724">
        <f>SP!B2</f>
        <v>0</v>
      </c>
      <c r="F266" s="724">
        <f>E266</f>
        <v>0</v>
      </c>
      <c r="G266" s="1">
        <f t="shared" ref="G266:P266" si="27">$E266</f>
        <v>0</v>
      </c>
      <c r="H266" s="1">
        <f t="shared" si="27"/>
        <v>0</v>
      </c>
      <c r="I266" s="1">
        <f t="shared" si="27"/>
        <v>0</v>
      </c>
      <c r="J266" s="1">
        <f t="shared" si="27"/>
        <v>0</v>
      </c>
      <c r="K266" s="1">
        <f t="shared" si="27"/>
        <v>0</v>
      </c>
      <c r="L266" s="1">
        <f t="shared" si="27"/>
        <v>0</v>
      </c>
      <c r="M266" s="1">
        <f t="shared" si="27"/>
        <v>0</v>
      </c>
      <c r="N266" s="1">
        <f t="shared" si="27"/>
        <v>0</v>
      </c>
      <c r="O266" s="1">
        <f t="shared" si="27"/>
        <v>0</v>
      </c>
      <c r="P266" s="1">
        <f t="shared" si="27"/>
        <v>0</v>
      </c>
    </row>
    <row r="267" spans="1:16" x14ac:dyDescent="0.2">
      <c r="A267" s="1376"/>
      <c r="B267" s="1376"/>
      <c r="C267" s="821"/>
      <c r="D267" s="1803" t="str">
        <f>SP!A3</f>
        <v>2012/13</v>
      </c>
      <c r="E267" s="1803" t="str">
        <f>SP!B3</f>
        <v>2013/14</v>
      </c>
      <c r="F267" s="1803" t="str">
        <f>SP!C3</f>
        <v>2014/15</v>
      </c>
      <c r="G267" s="1803" t="str">
        <f>SP!D3</f>
        <v>2015/16</v>
      </c>
      <c r="H267" s="1803" t="e">
        <f>SP!#REF!</f>
        <v>#REF!</v>
      </c>
      <c r="I267" s="1803" t="str">
        <f>SP!H3</f>
        <v>2017/18</v>
      </c>
      <c r="J267" s="1803" t="str">
        <f>SP!J3</f>
        <v>2018/19</v>
      </c>
      <c r="K267" s="1803" t="str">
        <f>SP!K3</f>
        <v>2019/20</v>
      </c>
      <c r="L267" s="1803" t="str">
        <f>SP!L3</f>
        <v>2020/21</v>
      </c>
      <c r="M267" s="1803" t="str">
        <f>SP!M3</f>
        <v>2021/22</v>
      </c>
      <c r="N267" s="1803" t="str">
        <f>SP!N3</f>
        <v>2022/23</v>
      </c>
      <c r="O267" s="1803" t="str">
        <f>SP!O3</f>
        <v>2023/24</v>
      </c>
      <c r="P267" s="1803" t="str">
        <f>SP!P3</f>
        <v>2024/25</v>
      </c>
    </row>
    <row r="268" spans="1:16" x14ac:dyDescent="0.2">
      <c r="A268" s="285" t="s">
        <v>2917</v>
      </c>
      <c r="B268" s="285"/>
    </row>
    <row r="269" spans="1:16" x14ac:dyDescent="0.2">
      <c r="A269" s="1" t="s">
        <v>2898</v>
      </c>
    </row>
    <row r="270" spans="1:16" x14ac:dyDescent="0.2">
      <c r="C270" s="726" t="s">
        <v>2918</v>
      </c>
      <c r="D270" s="843">
        <v>5534.52</v>
      </c>
      <c r="E270" s="843">
        <v>5645.2103999999999</v>
      </c>
      <c r="F270" s="843">
        <v>5758.1146079999999</v>
      </c>
      <c r="G270" s="843">
        <v>5873.27690016</v>
      </c>
      <c r="H270" s="843">
        <v>5990.7424381631999</v>
      </c>
      <c r="I270" s="843">
        <v>6110.5572869264643</v>
      </c>
      <c r="J270" s="843">
        <v>6232.7684326649924</v>
      </c>
      <c r="K270" s="843">
        <v>6357.423801318293</v>
      </c>
      <c r="L270" s="843">
        <v>6484.5722773446587</v>
      </c>
      <c r="M270" s="843">
        <v>6614.2637228915519</v>
      </c>
      <c r="N270" s="843">
        <v>6746.5489973493823</v>
      </c>
      <c r="O270" s="843"/>
      <c r="P270" s="843"/>
    </row>
    <row r="271" spans="1:16" x14ac:dyDescent="0.2">
      <c r="C271" s="726" t="s">
        <v>2919</v>
      </c>
      <c r="D271" s="843">
        <v>651.78</v>
      </c>
      <c r="E271" s="843">
        <v>664.81560000000002</v>
      </c>
      <c r="F271" s="843">
        <v>678.11191199999996</v>
      </c>
      <c r="G271" s="843">
        <v>691.67415024000002</v>
      </c>
      <c r="H271" s="843">
        <v>705.50763324479999</v>
      </c>
      <c r="I271" s="843">
        <v>719.61778590969607</v>
      </c>
      <c r="J271" s="843">
        <v>734.01014162788977</v>
      </c>
      <c r="K271" s="843">
        <v>748.6903444604477</v>
      </c>
      <c r="L271" s="843">
        <v>763.66415134965666</v>
      </c>
      <c r="M271" s="843">
        <v>778.93743437664978</v>
      </c>
      <c r="N271" s="843">
        <v>794.51618306418266</v>
      </c>
      <c r="O271" s="843"/>
      <c r="P271" s="843"/>
    </row>
    <row r="272" spans="1:16" x14ac:dyDescent="0.2">
      <c r="C272" s="726" t="s">
        <v>2920</v>
      </c>
      <c r="D272" s="843">
        <v>117.3</v>
      </c>
      <c r="E272" s="843">
        <v>119.646</v>
      </c>
      <c r="F272" s="843">
        <v>122.03891999999999</v>
      </c>
      <c r="G272" s="843">
        <v>124.4796984</v>
      </c>
      <c r="H272" s="843">
        <v>126.969292368</v>
      </c>
      <c r="I272" s="843">
        <v>129.50867821536002</v>
      </c>
      <c r="J272" s="843">
        <v>132.09885177966717</v>
      </c>
      <c r="K272" s="843">
        <v>134.74082881526053</v>
      </c>
      <c r="L272" s="843">
        <v>137.43564539156574</v>
      </c>
      <c r="M272" s="843">
        <v>140.18435829939708</v>
      </c>
      <c r="N272" s="842">
        <v>142.98804546538497</v>
      </c>
      <c r="O272" s="842"/>
      <c r="P272" s="842"/>
    </row>
    <row r="273" spans="1:16" x14ac:dyDescent="0.2">
      <c r="C273" s="726" t="s">
        <v>2921</v>
      </c>
      <c r="D273" s="843">
        <v>110.16</v>
      </c>
      <c r="E273" s="843">
        <v>112.36320000000001</v>
      </c>
      <c r="F273" s="843">
        <v>114.61046399999999</v>
      </c>
      <c r="G273" s="843">
        <v>116.90267328</v>
      </c>
      <c r="H273" s="843">
        <v>119.2407267456</v>
      </c>
      <c r="I273" s="843">
        <v>121.62554128051201</v>
      </c>
      <c r="J273" s="843">
        <v>124.05805210612222</v>
      </c>
      <c r="K273" s="843">
        <v>126.53921314824467</v>
      </c>
      <c r="L273" s="843">
        <v>129.06999741120956</v>
      </c>
      <c r="M273" s="843">
        <v>131.65139735943376</v>
      </c>
      <c r="N273" s="842">
        <v>134.28442530662241</v>
      </c>
      <c r="O273" s="842"/>
      <c r="P273" s="842"/>
    </row>
    <row r="274" spans="1:16" x14ac:dyDescent="0.2">
      <c r="C274" s="726" t="s">
        <v>2922</v>
      </c>
      <c r="D274" s="843">
        <v>278.45999999999998</v>
      </c>
      <c r="E274" s="843">
        <v>284.0292</v>
      </c>
      <c r="F274" s="843">
        <v>289.70978399999996</v>
      </c>
      <c r="G274" s="843">
        <v>295.50397967999999</v>
      </c>
      <c r="H274" s="843">
        <v>301.4140592736</v>
      </c>
      <c r="I274" s="843">
        <v>307.442340459072</v>
      </c>
      <c r="J274" s="843">
        <v>313.59118726825341</v>
      </c>
      <c r="K274" s="843">
        <v>319.86301101361846</v>
      </c>
      <c r="L274" s="843">
        <v>326.26027123389088</v>
      </c>
      <c r="M274" s="843">
        <v>332.78547665856871</v>
      </c>
      <c r="N274" s="843">
        <v>339.44118619173997</v>
      </c>
      <c r="O274" s="843"/>
      <c r="P274" s="843"/>
    </row>
    <row r="275" spans="1:16" x14ac:dyDescent="0.2">
      <c r="A275" s="285"/>
      <c r="B275" s="285"/>
      <c r="C275" s="285" t="s">
        <v>2937</v>
      </c>
      <c r="D275" s="1801">
        <f>SUM(D270:D274)</f>
        <v>6692.22</v>
      </c>
      <c r="E275" s="1801">
        <f t="shared" ref="E275:O275" si="28">SUM(E270:E274)</f>
        <v>6826.0643999999993</v>
      </c>
      <c r="F275" s="1801">
        <f t="shared" si="28"/>
        <v>6962.5856880000001</v>
      </c>
      <c r="G275" s="1801">
        <f t="shared" si="28"/>
        <v>7101.8374017600008</v>
      </c>
      <c r="H275" s="1801">
        <f t="shared" si="28"/>
        <v>7243.8741497952005</v>
      </c>
      <c r="I275" s="1801">
        <f t="shared" si="28"/>
        <v>7388.7516327911044</v>
      </c>
      <c r="J275" s="1801">
        <f t="shared" si="28"/>
        <v>7536.5266654469242</v>
      </c>
      <c r="K275" s="1801">
        <f t="shared" si="28"/>
        <v>7687.257198755864</v>
      </c>
      <c r="L275" s="1801">
        <f t="shared" si="28"/>
        <v>7841.0023427309825</v>
      </c>
      <c r="M275" s="1801">
        <f t="shared" si="28"/>
        <v>7997.8223895856008</v>
      </c>
      <c r="N275" s="1801">
        <f t="shared" si="28"/>
        <v>8157.7788373773119</v>
      </c>
      <c r="O275" s="1801">
        <f t="shared" si="28"/>
        <v>0</v>
      </c>
      <c r="P275" s="1801">
        <f t="shared" ref="P275" si="29">SUM(P270:P274)</f>
        <v>0</v>
      </c>
    </row>
    <row r="277" spans="1:16" x14ac:dyDescent="0.2">
      <c r="A277" s="726" t="s">
        <v>2905</v>
      </c>
      <c r="B277" s="726"/>
    </row>
    <row r="278" spans="1:16" x14ac:dyDescent="0.2">
      <c r="C278" s="726" t="s">
        <v>2918</v>
      </c>
      <c r="D278" s="843">
        <v>0</v>
      </c>
      <c r="E278" s="843">
        <v>0</v>
      </c>
      <c r="F278" s="843">
        <v>0</v>
      </c>
      <c r="G278" s="843">
        <v>0</v>
      </c>
      <c r="H278" s="843">
        <v>0</v>
      </c>
      <c r="I278" s="843">
        <v>0</v>
      </c>
      <c r="J278" s="843">
        <v>0</v>
      </c>
      <c r="K278" s="843">
        <v>0</v>
      </c>
      <c r="L278" s="843">
        <v>0</v>
      </c>
      <c r="M278" s="843">
        <v>15.570871414413633</v>
      </c>
      <c r="N278" s="843">
        <v>0</v>
      </c>
      <c r="O278" s="843"/>
      <c r="P278" s="843"/>
    </row>
    <row r="279" spans="1:16" x14ac:dyDescent="0.2">
      <c r="C279" s="726" t="s">
        <v>2919</v>
      </c>
      <c r="D279" s="843">
        <v>0</v>
      </c>
      <c r="E279" s="843">
        <v>1128.7820299392001</v>
      </c>
      <c r="F279" s="843">
        <v>95.422125427199987</v>
      </c>
      <c r="G279" s="843">
        <v>1090.6021847545344</v>
      </c>
      <c r="H279" s="843">
        <v>0</v>
      </c>
      <c r="I279" s="843">
        <v>70.416593658745853</v>
      </c>
      <c r="J279" s="843">
        <v>0</v>
      </c>
      <c r="K279" s="843">
        <v>1317.7719045988817</v>
      </c>
      <c r="L279" s="843">
        <v>0</v>
      </c>
      <c r="M279" s="843">
        <v>0</v>
      </c>
      <c r="N279" s="843">
        <v>33.571106326655602</v>
      </c>
      <c r="O279" s="843"/>
      <c r="P279" s="843"/>
    </row>
    <row r="280" spans="1:16" x14ac:dyDescent="0.2">
      <c r="C280" s="726" t="s">
        <v>2920</v>
      </c>
      <c r="D280" s="843">
        <v>0</v>
      </c>
      <c r="E280" s="843">
        <v>0</v>
      </c>
      <c r="F280" s="843">
        <v>95.743818387692315</v>
      </c>
      <c r="G280" s="843">
        <v>0</v>
      </c>
      <c r="H280" s="843">
        <v>56.14713249626903</v>
      </c>
      <c r="I280" s="843">
        <v>20.626628028528668</v>
      </c>
      <c r="J280" s="843">
        <v>0</v>
      </c>
      <c r="K280" s="843">
        <v>0</v>
      </c>
      <c r="L280" s="843">
        <v>0</v>
      </c>
      <c r="M280" s="843">
        <v>66.73061688076919</v>
      </c>
      <c r="N280" s="843">
        <v>0</v>
      </c>
      <c r="O280" s="843"/>
      <c r="P280" s="843"/>
    </row>
    <row r="281" spans="1:16" x14ac:dyDescent="0.2">
      <c r="C281" s="726" t="s">
        <v>2921</v>
      </c>
      <c r="D281" s="843">
        <v>0</v>
      </c>
      <c r="E281" s="843">
        <v>8.9192742911999989</v>
      </c>
      <c r="F281" s="843">
        <v>61.475717142855856</v>
      </c>
      <c r="G281" s="843">
        <v>12.63287408678304</v>
      </c>
      <c r="H281" s="843">
        <v>0</v>
      </c>
      <c r="I281" s="843">
        <v>574.28215312376051</v>
      </c>
      <c r="J281" s="843">
        <v>0</v>
      </c>
      <c r="K281" s="843">
        <v>0</v>
      </c>
      <c r="L281" s="843">
        <v>0</v>
      </c>
      <c r="M281" s="843">
        <v>0</v>
      </c>
      <c r="N281" s="843">
        <v>205.15676088511759</v>
      </c>
      <c r="O281" s="843"/>
      <c r="P281" s="843"/>
    </row>
    <row r="282" spans="1:16" x14ac:dyDescent="0.2">
      <c r="C282" s="726" t="s">
        <v>2922</v>
      </c>
      <c r="D282" s="843">
        <v>37.256519999999995</v>
      </c>
      <c r="E282" s="843">
        <v>50.292936000000005</v>
      </c>
      <c r="F282" s="843">
        <v>42.073713576000003</v>
      </c>
      <c r="G282" s="843">
        <v>114.74538598512002</v>
      </c>
      <c r="H282" s="843">
        <v>134.47262550654719</v>
      </c>
      <c r="I282" s="843">
        <v>156.34512866642115</v>
      </c>
      <c r="J282" s="843">
        <v>167.38877286118833</v>
      </c>
      <c r="K282" s="843">
        <v>146.94248960901814</v>
      </c>
      <c r="L282" s="843">
        <v>92.33404694432835</v>
      </c>
      <c r="M282" s="843">
        <v>0</v>
      </c>
      <c r="N282" s="843">
        <v>0</v>
      </c>
      <c r="O282" s="843"/>
      <c r="P282" s="843"/>
    </row>
    <row r="283" spans="1:16" x14ac:dyDescent="0.2">
      <c r="C283" s="726" t="s">
        <v>3450</v>
      </c>
      <c r="D283" s="843">
        <v>1500</v>
      </c>
      <c r="E283" s="843">
        <v>843.5</v>
      </c>
      <c r="F283" s="843">
        <v>537.5</v>
      </c>
      <c r="G283" s="843">
        <v>1211.9000000000001</v>
      </c>
      <c r="H283" s="843">
        <v>516.79999999999995</v>
      </c>
      <c r="I283" s="843">
        <v>4872.1000000000004</v>
      </c>
      <c r="J283" s="843">
        <v>537.9</v>
      </c>
      <c r="K283" s="843">
        <v>554.1</v>
      </c>
      <c r="L283" s="843">
        <v>570.79999999999995</v>
      </c>
      <c r="M283" s="843">
        <v>588.1</v>
      </c>
      <c r="N283" s="843">
        <v>0</v>
      </c>
      <c r="O283" s="843"/>
      <c r="P283" s="843"/>
    </row>
    <row r="284" spans="1:16" x14ac:dyDescent="0.2">
      <c r="C284" s="285" t="s">
        <v>2938</v>
      </c>
      <c r="D284" s="1801">
        <f>SUM(D278:D283)</f>
        <v>1537.2565199999999</v>
      </c>
      <c r="E284" s="1801">
        <f t="shared" ref="E284:O284" si="30">SUM(E278:E283)</f>
        <v>2031.4942402304002</v>
      </c>
      <c r="F284" s="1801">
        <f t="shared" si="30"/>
        <v>832.21537453374822</v>
      </c>
      <c r="G284" s="1801">
        <f t="shared" si="30"/>
        <v>2429.8804448264373</v>
      </c>
      <c r="H284" s="1801">
        <f t="shared" si="30"/>
        <v>707.41975800281614</v>
      </c>
      <c r="I284" s="1801">
        <f t="shared" si="30"/>
        <v>5693.7705034774563</v>
      </c>
      <c r="J284" s="1801">
        <f t="shared" si="30"/>
        <v>705.28877286118836</v>
      </c>
      <c r="K284" s="1801">
        <f t="shared" si="30"/>
        <v>2018.8143942079</v>
      </c>
      <c r="L284" s="1801">
        <f t="shared" si="30"/>
        <v>663.13404694432825</v>
      </c>
      <c r="M284" s="1801">
        <f t="shared" si="30"/>
        <v>670.40148829518284</v>
      </c>
      <c r="N284" s="1801">
        <f t="shared" si="30"/>
        <v>238.7278672117732</v>
      </c>
      <c r="O284" s="1801">
        <f t="shared" si="30"/>
        <v>0</v>
      </c>
      <c r="P284" s="1801">
        <f t="shared" ref="P284" si="31">SUM(P278:P283)</f>
        <v>0</v>
      </c>
    </row>
    <row r="285" spans="1:16" x14ac:dyDescent="0.2">
      <c r="C285" s="285" t="s">
        <v>2939</v>
      </c>
      <c r="D285" s="1801">
        <f>D275+D284</f>
        <v>8229.4765200000002</v>
      </c>
      <c r="E285" s="1801">
        <f t="shared" ref="E285:O285" si="32">E275+E284</f>
        <v>8857.5586402303998</v>
      </c>
      <c r="F285" s="1801">
        <f t="shared" si="32"/>
        <v>7794.8010625337483</v>
      </c>
      <c r="G285" s="1801">
        <f t="shared" si="32"/>
        <v>9531.7178465864381</v>
      </c>
      <c r="H285" s="1801">
        <f t="shared" si="32"/>
        <v>7951.2939077980163</v>
      </c>
      <c r="I285" s="1801">
        <f t="shared" si="32"/>
        <v>13082.522136268561</v>
      </c>
      <c r="J285" s="1801">
        <f t="shared" si="32"/>
        <v>8241.8154383081128</v>
      </c>
      <c r="K285" s="1801">
        <f t="shared" si="32"/>
        <v>9706.0715929637645</v>
      </c>
      <c r="L285" s="1801">
        <f t="shared" si="32"/>
        <v>8504.1363896753101</v>
      </c>
      <c r="M285" s="1801">
        <f t="shared" si="32"/>
        <v>8668.2238778807841</v>
      </c>
      <c r="N285" s="1801">
        <f t="shared" si="32"/>
        <v>8396.5067045890846</v>
      </c>
      <c r="O285" s="1801">
        <f t="shared" si="32"/>
        <v>0</v>
      </c>
      <c r="P285" s="1801">
        <f t="shared" ref="P285" si="33">P275+P284</f>
        <v>0</v>
      </c>
    </row>
    <row r="287" spans="1:16" x14ac:dyDescent="0.2">
      <c r="A287" s="285" t="s">
        <v>2923</v>
      </c>
      <c r="B287" s="285"/>
    </row>
    <row r="288" spans="1:16" x14ac:dyDescent="0.2">
      <c r="A288" s="1" t="s">
        <v>2898</v>
      </c>
    </row>
    <row r="289" spans="1:16" x14ac:dyDescent="0.2">
      <c r="C289" s="726" t="s">
        <v>2918</v>
      </c>
      <c r="D289" s="801">
        <f>ROUND(SUM('W&amp;W'!A263:A264)+SUM('W&amp;W'!A297:A309),-3)/1000</f>
        <v>5490</v>
      </c>
      <c r="E289" s="843">
        <f>ROUND(SUM('W&amp;W'!B263:B264)+SUM('W&amp;W'!B297:B309),-3)/1000</f>
        <v>5811</v>
      </c>
      <c r="F289" s="843">
        <f>ROUND(SUM('W&amp;W'!C263:C264)+SUM('W&amp;W'!C297:C309),-3)/1000</f>
        <v>6061</v>
      </c>
      <c r="G289" s="843">
        <f>ROUND(SUM('W&amp;W'!D263:D264)+SUM('W&amp;W'!D297:D309),-3)/1000</f>
        <v>5929</v>
      </c>
      <c r="H289" s="843" t="e">
        <f>ROUND(SUM('W&amp;W'!#REF!)+SUM('W&amp;W'!#REF!),-3)/1000</f>
        <v>#REF!</v>
      </c>
      <c r="I289" s="843">
        <f>ROUND(SUM('W&amp;W'!H263:H264)+SUM('W&amp;W'!H297:H309),-3)/1000</f>
        <v>6219</v>
      </c>
      <c r="J289" s="843">
        <f>ROUND(SUM('W&amp;W'!J263:J264)+SUM('W&amp;W'!J297:J309),-3)/1000</f>
        <v>6363</v>
      </c>
      <c r="K289" s="843">
        <f>ROUND(SUM('W&amp;W'!K263:K264)+SUM('W&amp;W'!K297:K309),-3)/1000</f>
        <v>6511</v>
      </c>
      <c r="L289" s="843">
        <f>ROUND(SUM('W&amp;W'!L263:L264)+SUM('W&amp;W'!L297:L309),-3)/1000</f>
        <v>6661</v>
      </c>
      <c r="M289" s="843">
        <f>ROUND(SUM('W&amp;W'!M263:M264)+SUM('W&amp;W'!M297:M309),-3)/1000</f>
        <v>6861</v>
      </c>
      <c r="N289" s="843">
        <f>ROUND(SUM('W&amp;W'!N263:N264)+SUM('W&amp;W'!N297:N309),-3)/1000</f>
        <v>7066</v>
      </c>
      <c r="O289" s="843">
        <f>ROUND(SUM('W&amp;W'!O263:O264)+SUM('W&amp;W'!O297:O309),-3)/1000</f>
        <v>7277</v>
      </c>
      <c r="P289" s="843">
        <f>ROUND(SUM('W&amp;W'!P263:P264)+SUM('W&amp;W'!P297:P309),-3)/1000</f>
        <v>7494</v>
      </c>
    </row>
    <row r="290" spans="1:16" x14ac:dyDescent="0.2">
      <c r="C290" s="726" t="s">
        <v>2919</v>
      </c>
      <c r="D290" s="843">
        <f>ROUND(SUM('W&amp;W'!A306:A309),-3)/1000</f>
        <v>219</v>
      </c>
      <c r="E290" s="843">
        <f>ROUND(SUM('W&amp;W'!B306:B309),-3)/1000</f>
        <v>193</v>
      </c>
      <c r="F290" s="843">
        <f>ROUND(SUM('W&amp;W'!C306:C309),-3)/1000</f>
        <v>173</v>
      </c>
      <c r="G290" s="843">
        <f>ROUND(SUM('W&amp;W'!D306:D309),-3)/1000</f>
        <v>83</v>
      </c>
      <c r="H290" s="843" t="e">
        <f>ROUND(SUM('W&amp;W'!#REF!),-3)/1000</f>
        <v>#REF!</v>
      </c>
      <c r="I290" s="843">
        <f>ROUND(SUM('W&amp;W'!H306:H309),-3)/1000</f>
        <v>70</v>
      </c>
      <c r="J290" s="843">
        <f>ROUND(SUM('W&amp;W'!J306:J309),-3)/1000</f>
        <v>72</v>
      </c>
      <c r="K290" s="843">
        <f>ROUND(SUM('W&amp;W'!K306:K309),-3)/1000</f>
        <v>74</v>
      </c>
      <c r="L290" s="843">
        <f>ROUND(SUM('W&amp;W'!L306:L309),-3)/1000</f>
        <v>76</v>
      </c>
      <c r="M290" s="843">
        <f>ROUND(SUM('W&amp;W'!M306:M309),-3)/1000</f>
        <v>78</v>
      </c>
      <c r="N290" s="843">
        <f>ROUND(SUM('W&amp;W'!N306:N309),-3)/1000</f>
        <v>80</v>
      </c>
      <c r="O290" s="843">
        <f>ROUND(SUM('W&amp;W'!O306:O309),-3)/1000</f>
        <v>82</v>
      </c>
      <c r="P290" s="843">
        <f>ROUND(SUM('W&amp;W'!P306:P309),-3)/1000</f>
        <v>84</v>
      </c>
    </row>
    <row r="291" spans="1:16" x14ac:dyDescent="0.2">
      <c r="C291" s="726" t="s">
        <v>2920</v>
      </c>
      <c r="D291" s="843">
        <f>ROUND(SUM('W&amp;W'!A277:A281)+SUM('W&amp;W'!A267:A270),-3)/1000</f>
        <v>38</v>
      </c>
      <c r="E291" s="843">
        <f>ROUND(SUM('W&amp;W'!B277:B281)+SUM('W&amp;W'!B267:B270),-3)/1000</f>
        <v>48</v>
      </c>
      <c r="F291" s="843">
        <f>ROUND(SUM('W&amp;W'!C277:C281)+SUM('W&amp;W'!C267:C270),-3)/1000</f>
        <v>43</v>
      </c>
      <c r="G291" s="843">
        <f>ROUND(SUM('W&amp;W'!D277:D281)+SUM('W&amp;W'!D267:D270),-3)/1000</f>
        <v>37</v>
      </c>
      <c r="H291" s="843" t="e">
        <f>ROUND(SUM('W&amp;W'!#REF!)+SUM('W&amp;W'!#REF!),-3)/1000</f>
        <v>#REF!</v>
      </c>
      <c r="I291" s="843">
        <f>ROUND(SUM('W&amp;W'!H277:H281)+SUM('W&amp;W'!H267:H270),-3)/1000</f>
        <v>45</v>
      </c>
      <c r="J291" s="843">
        <f>ROUND(SUM('W&amp;W'!J277:J281)+SUM('W&amp;W'!J267:J270),-3)/1000</f>
        <v>46</v>
      </c>
      <c r="K291" s="843">
        <f>ROUND(SUM('W&amp;W'!K277:K281)+SUM('W&amp;W'!K267:K270),-3)/1000</f>
        <v>48</v>
      </c>
      <c r="L291" s="843">
        <f>ROUND(SUM('W&amp;W'!L277:L281)+SUM('W&amp;W'!L267:L270),-3)/1000</f>
        <v>50</v>
      </c>
      <c r="M291" s="843">
        <f>ROUND(SUM('W&amp;W'!M277:M281)+SUM('W&amp;W'!M267:M270),-3)/1000</f>
        <v>52</v>
      </c>
      <c r="N291" s="843">
        <f>ROUND(SUM('W&amp;W'!N277:N281)+SUM('W&amp;W'!N267:N270),-3)/1000</f>
        <v>54</v>
      </c>
      <c r="O291" s="843">
        <f>ROUND(SUM('W&amp;W'!O277:O281)+SUM('W&amp;W'!O267:O270),-3)/1000</f>
        <v>56</v>
      </c>
      <c r="P291" s="843">
        <f>ROUND(SUM('W&amp;W'!P277:P281)+SUM('W&amp;W'!P267:P270),-3)/1000</f>
        <v>58</v>
      </c>
    </row>
    <row r="292" spans="1:16" x14ac:dyDescent="0.2">
      <c r="C292" s="726" t="s">
        <v>2921</v>
      </c>
      <c r="D292" s="843">
        <f>ROUND(SUM('W&amp;W'!A285:A292)+'W&amp;W'!A294,-3)/1000</f>
        <v>69</v>
      </c>
      <c r="E292" s="843">
        <f>ROUND(SUM('W&amp;W'!B285:B292)+'W&amp;W'!B294,-3)/1000</f>
        <v>63</v>
      </c>
      <c r="F292" s="843">
        <f>ROUND(SUM('W&amp;W'!C285:C292)+'W&amp;W'!C294,-3)/1000</f>
        <v>78</v>
      </c>
      <c r="G292" s="843">
        <f>ROUND(SUM('W&amp;W'!D285:D292)+'W&amp;W'!D294,-3)/1000</f>
        <v>34</v>
      </c>
      <c r="H292" s="843" t="e">
        <f>ROUND(SUM('W&amp;W'!#REF!)+'W&amp;W'!#REF!,-3)/1000</f>
        <v>#REF!</v>
      </c>
      <c r="I292" s="843">
        <f>ROUND(SUM('W&amp;W'!H285:H292)+'W&amp;W'!H294,-3)/1000</f>
        <v>30</v>
      </c>
      <c r="J292" s="843">
        <f>ROUND(SUM('W&amp;W'!J285:J292)+'W&amp;W'!J294,-3)/1000</f>
        <v>31</v>
      </c>
      <c r="K292" s="843">
        <f>ROUND(SUM('W&amp;W'!K285:K292)+'W&amp;W'!K294,-3)/1000</f>
        <v>32</v>
      </c>
      <c r="L292" s="843">
        <f>ROUND(SUM('W&amp;W'!L285:L292)+'W&amp;W'!L294,-3)/1000</f>
        <v>32</v>
      </c>
      <c r="M292" s="843">
        <f>ROUND(SUM('W&amp;W'!M285:M292)+'W&amp;W'!M294,-3)/1000</f>
        <v>33</v>
      </c>
      <c r="N292" s="843">
        <f>ROUND(SUM('W&amp;W'!N285:N292)+'W&amp;W'!N294,-3)/1000</f>
        <v>34</v>
      </c>
      <c r="O292" s="843">
        <f>ROUND(SUM('W&amp;W'!O285:O292)+'W&amp;W'!O294,-3)/1000</f>
        <v>35</v>
      </c>
      <c r="P292" s="843">
        <f>ROUND(SUM('W&amp;W'!P285:P292)+'W&amp;W'!P294,-3)/1000</f>
        <v>36</v>
      </c>
    </row>
    <row r="293" spans="1:16" x14ac:dyDescent="0.2">
      <c r="C293" s="726" t="s">
        <v>3407</v>
      </c>
      <c r="D293" s="843" t="e">
        <f>ROUND('W&amp;W'!#REF!,-3)/1000</f>
        <v>#REF!</v>
      </c>
      <c r="E293" s="843" t="e">
        <f>ROUND('W&amp;W'!#REF!,-3)/1000</f>
        <v>#REF!</v>
      </c>
      <c r="F293" s="843" t="e">
        <f>ROUND('W&amp;W'!#REF!,-3)/1000</f>
        <v>#REF!</v>
      </c>
      <c r="G293" s="843" t="e">
        <f>ROUND('W&amp;W'!#REF!,-3)/1000</f>
        <v>#REF!</v>
      </c>
      <c r="H293" s="843" t="e">
        <f>ROUND('W&amp;W'!#REF!,-3)/1000</f>
        <v>#REF!</v>
      </c>
      <c r="I293" s="843" t="e">
        <f>ROUND('W&amp;W'!#REF!,-3)/1000</f>
        <v>#REF!</v>
      </c>
      <c r="J293" s="843" t="e">
        <f>ROUND('W&amp;W'!#REF!,-3)/1000</f>
        <v>#REF!</v>
      </c>
      <c r="K293" s="843" t="e">
        <f>ROUND('W&amp;W'!#REF!,-3)/1000</f>
        <v>#REF!</v>
      </c>
      <c r="L293" s="843" t="e">
        <f>ROUND('W&amp;W'!#REF!,-3)/1000</f>
        <v>#REF!</v>
      </c>
      <c r="M293" s="843" t="e">
        <f>ROUND('W&amp;W'!#REF!,-3)/1000</f>
        <v>#REF!</v>
      </c>
      <c r="N293" s="843" t="e">
        <f>ROUND('W&amp;W'!#REF!,-3)/1000</f>
        <v>#REF!</v>
      </c>
      <c r="O293" s="843" t="e">
        <f>ROUND('W&amp;W'!#REF!,-3)/1000</f>
        <v>#REF!</v>
      </c>
      <c r="P293" s="843" t="e">
        <f>ROUND('W&amp;W'!#REF!,-3)/1000</f>
        <v>#REF!</v>
      </c>
    </row>
    <row r="294" spans="1:16" x14ac:dyDescent="0.2">
      <c r="C294" s="726" t="s">
        <v>2922</v>
      </c>
      <c r="D294" s="843">
        <f>ROUND(SUM('W&amp;W'!A315:A324),-3)/1000</f>
        <v>333</v>
      </c>
      <c r="E294" s="843">
        <f>ROUND(SUM('W&amp;W'!B315:B324),-3)/1000</f>
        <v>376</v>
      </c>
      <c r="F294" s="843">
        <f>ROUND(SUM('W&amp;W'!C315:C324),-3)/1000</f>
        <v>233</v>
      </c>
      <c r="G294" s="843">
        <f>ROUND(SUM('W&amp;W'!D315:D324),-3)/1000</f>
        <v>245</v>
      </c>
      <c r="H294" s="843" t="e">
        <f>ROUND(SUM('W&amp;W'!#REF!),-3)/1000</f>
        <v>#REF!</v>
      </c>
      <c r="I294" s="843">
        <f>ROUND(SUM('W&amp;W'!H315:H324),-3)/1000</f>
        <v>257</v>
      </c>
      <c r="J294" s="843">
        <f>ROUND(SUM('W&amp;W'!J315:J324),-3)/1000</f>
        <v>263</v>
      </c>
      <c r="K294" s="843">
        <f>ROUND(SUM('W&amp;W'!K315:K324),-3)/1000</f>
        <v>270</v>
      </c>
      <c r="L294" s="843">
        <f>ROUND(SUM('W&amp;W'!L315:L324),-3)/1000</f>
        <v>277</v>
      </c>
      <c r="M294" s="843">
        <f>ROUND(SUM('W&amp;W'!M315:M324),-3)/1000</f>
        <v>285</v>
      </c>
      <c r="N294" s="843">
        <f>ROUND(SUM('W&amp;W'!N315:N324),-3)/1000</f>
        <v>292</v>
      </c>
      <c r="O294" s="843">
        <f>ROUND(SUM('W&amp;W'!O315:O324),-3)/1000</f>
        <v>300</v>
      </c>
      <c r="P294" s="843">
        <f>ROUND(SUM('W&amp;W'!P315:P324),-3)/1000</f>
        <v>307</v>
      </c>
    </row>
    <row r="295" spans="1:16" x14ac:dyDescent="0.2">
      <c r="A295" s="285"/>
      <c r="B295" s="285"/>
      <c r="C295" s="285" t="s">
        <v>2940</v>
      </c>
      <c r="D295" s="1802" t="e">
        <f>SUM(D289:D294)</f>
        <v>#REF!</v>
      </c>
      <c r="E295" s="1802" t="e">
        <f t="shared" ref="E295:O295" si="34">SUM(E289:E294)</f>
        <v>#REF!</v>
      </c>
      <c r="F295" s="1802" t="e">
        <f t="shared" si="34"/>
        <v>#REF!</v>
      </c>
      <c r="G295" s="1802" t="e">
        <f t="shared" si="34"/>
        <v>#REF!</v>
      </c>
      <c r="H295" s="1802" t="e">
        <f t="shared" si="34"/>
        <v>#REF!</v>
      </c>
      <c r="I295" s="1802" t="e">
        <f t="shared" si="34"/>
        <v>#REF!</v>
      </c>
      <c r="J295" s="1802" t="e">
        <f t="shared" si="34"/>
        <v>#REF!</v>
      </c>
      <c r="K295" s="1802" t="e">
        <f t="shared" si="34"/>
        <v>#REF!</v>
      </c>
      <c r="L295" s="1802" t="e">
        <f t="shared" si="34"/>
        <v>#REF!</v>
      </c>
      <c r="M295" s="1802" t="e">
        <f t="shared" si="34"/>
        <v>#REF!</v>
      </c>
      <c r="N295" s="1802" t="e">
        <f t="shared" si="34"/>
        <v>#REF!</v>
      </c>
      <c r="O295" s="1802" t="e">
        <f t="shared" si="34"/>
        <v>#REF!</v>
      </c>
      <c r="P295" s="1802" t="e">
        <f t="shared" ref="P295" si="35">SUM(P289:P294)</f>
        <v>#REF!</v>
      </c>
    </row>
    <row r="297" spans="1:16" x14ac:dyDescent="0.2">
      <c r="A297" s="726" t="s">
        <v>2905</v>
      </c>
    </row>
    <row r="298" spans="1:16" x14ac:dyDescent="0.2">
      <c r="C298" s="726" t="s">
        <v>2918</v>
      </c>
      <c r="D298" s="843">
        <v>0</v>
      </c>
      <c r="E298" s="843">
        <v>0</v>
      </c>
      <c r="F298" s="843">
        <v>0</v>
      </c>
      <c r="G298" s="843">
        <v>0</v>
      </c>
      <c r="H298" s="843">
        <v>0</v>
      </c>
      <c r="I298" s="843">
        <v>0</v>
      </c>
      <c r="J298" s="843">
        <v>0</v>
      </c>
      <c r="K298" s="843">
        <v>0</v>
      </c>
      <c r="L298" s="843">
        <v>0</v>
      </c>
      <c r="M298" s="843">
        <v>0</v>
      </c>
      <c r="N298" s="843">
        <v>0</v>
      </c>
      <c r="O298" s="843">
        <v>0</v>
      </c>
      <c r="P298" s="843">
        <v>0</v>
      </c>
    </row>
    <row r="299" spans="1:16" x14ac:dyDescent="0.2">
      <c r="C299" s="726" t="s">
        <v>2919</v>
      </c>
      <c r="D299" s="843">
        <v>142</v>
      </c>
      <c r="E299" s="843" t="e">
        <f>ROUND(SUM('Cap-Water'!#REF!)+'Cap-Water'!#REF!,-3)/1000</f>
        <v>#REF!</v>
      </c>
      <c r="F299" s="843" t="e">
        <f>ROUND(SUM('Cap-Water'!#REF!)+'Cap-Water'!#REF!,-3)/1000</f>
        <v>#REF!</v>
      </c>
      <c r="G299" s="843">
        <f>ROUND(SUM('Cap-Water'!E40:E56)+'Cap-Water'!E9,-3)/1000</f>
        <v>0</v>
      </c>
      <c r="H299" s="843">
        <f>ROUND(SUM('Cap-Water'!F40:F56)+'Cap-Water'!F9,-3)/1000</f>
        <v>471</v>
      </c>
      <c r="I299" s="843">
        <f>ROUND(SUM('Cap-Water'!G40:G56)+'Cap-Water'!G9,-3)/1000</f>
        <v>2045</v>
      </c>
      <c r="J299" s="843">
        <f>ROUND(SUM('Cap-Water'!H40:H56)+'Cap-Water'!H9,-3)/1000</f>
        <v>3505</v>
      </c>
      <c r="K299" s="843">
        <f>ROUND(SUM('Cap-Water'!I40:I56)+'Cap-Water'!I9,-3)/1000</f>
        <v>3022</v>
      </c>
      <c r="L299" s="843">
        <f>ROUND(SUM('Cap-Water'!J40:J56)+'Cap-Water'!J9,-3)/1000</f>
        <v>1505</v>
      </c>
      <c r="M299" s="843">
        <f>ROUND(SUM('Cap-Water'!K40:K56)+'Cap-Water'!K9,-3)/1000</f>
        <v>4401</v>
      </c>
      <c r="N299" s="843">
        <f>ROUND(SUM('Cap-Water'!L40:L56)+'Cap-Water'!L9,-3)/1000</f>
        <v>1053</v>
      </c>
      <c r="O299" s="843">
        <f>ROUND(SUM('Cap-Water'!M40:M56)+'Cap-Water'!M9,-3)/1000</f>
        <v>3603</v>
      </c>
      <c r="P299" s="843" t="e">
        <f>ROUND(SUM('Cap-Water'!#REF!)+'Cap-Water'!#REF!,-3)/1000</f>
        <v>#REF!</v>
      </c>
    </row>
    <row r="300" spans="1:16" x14ac:dyDescent="0.2">
      <c r="C300" s="726" t="s">
        <v>2920</v>
      </c>
      <c r="D300" s="843">
        <v>3</v>
      </c>
      <c r="E300" s="843" t="e">
        <f>ROUND(SUM('Cap-Water'!#REF!)+SUM('Cap-WW'!#REF!),-3)/1000</f>
        <v>#REF!</v>
      </c>
      <c r="F300" s="843" t="e">
        <f>ROUND(SUM('Cap-Water'!#REF!)+SUM('Cap-WW'!#REF!),-3)/1000</f>
        <v>#REF!</v>
      </c>
      <c r="G300" s="843" t="e">
        <f>ROUND(SUM('Cap-Water'!E32:E37)+SUM('Cap-WW'!#REF!),-3)/1000</f>
        <v>#REF!</v>
      </c>
      <c r="H300" s="843" t="e">
        <f>ROUND(SUM('Cap-Water'!F32:F37)+SUM('Cap-WW'!#REF!),-3)/1000</f>
        <v>#REF!</v>
      </c>
      <c r="I300" s="843" t="e">
        <f>ROUND(SUM('Cap-Water'!G32:G37)+SUM('Cap-WW'!#REF!),-3)/1000</f>
        <v>#REF!</v>
      </c>
      <c r="J300" s="843" t="e">
        <f>ROUND(SUM('Cap-Water'!H32:H37)+SUM('Cap-WW'!#REF!),-3)/1000</f>
        <v>#REF!</v>
      </c>
      <c r="K300" s="843" t="e">
        <f>ROUND(SUM('Cap-Water'!I32:I37)+SUM('Cap-WW'!#REF!),-3)/1000</f>
        <v>#REF!</v>
      </c>
      <c r="L300" s="843" t="e">
        <f>ROUND(SUM('Cap-Water'!J32:J37)+SUM('Cap-WW'!#REF!),-3)/1000</f>
        <v>#REF!</v>
      </c>
      <c r="M300" s="843" t="e">
        <f>ROUND(SUM('Cap-Water'!K32:K37)+SUM('Cap-WW'!#REF!),-3)/1000</f>
        <v>#REF!</v>
      </c>
      <c r="N300" s="843" t="e">
        <f>ROUND(SUM('Cap-Water'!L32:L37)+SUM('Cap-WW'!#REF!),-3)/1000</f>
        <v>#REF!</v>
      </c>
      <c r="O300" s="843" t="e">
        <f>ROUND(SUM('Cap-Water'!M32:M37)+SUM('Cap-WW'!#REF!),-3)/1000</f>
        <v>#REF!</v>
      </c>
      <c r="P300" s="843" t="e">
        <f>ROUND(SUM('Cap-Water'!#REF!)+SUM('Cap-WW'!#REF!),-3)/1000</f>
        <v>#REF!</v>
      </c>
    </row>
    <row r="301" spans="1:16" x14ac:dyDescent="0.2">
      <c r="C301" s="726" t="s">
        <v>2921</v>
      </c>
      <c r="D301" s="843">
        <v>0</v>
      </c>
      <c r="E301" s="843" t="e">
        <f>ROUND(SUM('Cap-Water'!#REF!),-3)/1000</f>
        <v>#REF!</v>
      </c>
      <c r="F301" s="843" t="e">
        <f>ROUND(SUM('Cap-Water'!#REF!),-3)/1000</f>
        <v>#REF!</v>
      </c>
      <c r="G301" s="843">
        <f>ROUND(SUM('Cap-Water'!E16:E16),-3)/1000</f>
        <v>0</v>
      </c>
      <c r="H301" s="843">
        <f>ROUND(SUM('Cap-Water'!F16:F16),-3)/1000</f>
        <v>0</v>
      </c>
      <c r="I301" s="843">
        <f>ROUND(SUM('Cap-Water'!G16:G16),-3)/1000</f>
        <v>0</v>
      </c>
      <c r="J301" s="843">
        <f>ROUND(SUM('Cap-Water'!H16:H16),-3)/1000</f>
        <v>0</v>
      </c>
      <c r="K301" s="843">
        <f>ROUND(SUM('Cap-Water'!I16:I16),-3)/1000</f>
        <v>0</v>
      </c>
      <c r="L301" s="843">
        <f>ROUND(SUM('Cap-Water'!J16:J16),-3)/1000</f>
        <v>0</v>
      </c>
      <c r="M301" s="843">
        <f>ROUND(SUM('Cap-Water'!K16:K16),-3)/1000</f>
        <v>1077</v>
      </c>
      <c r="N301" s="843">
        <f>ROUND(SUM('Cap-Water'!L16:L16),-3)/1000</f>
        <v>0</v>
      </c>
      <c r="O301" s="843">
        <f>ROUND(SUM('Cap-Water'!M16:M16),-3)/1000</f>
        <v>0</v>
      </c>
      <c r="P301" s="843" t="e">
        <f>ROUND(SUM('Cap-Water'!#REF!),-3)/1000</f>
        <v>#REF!</v>
      </c>
    </row>
    <row r="302" spans="1:16" x14ac:dyDescent="0.2">
      <c r="C302" s="726" t="s">
        <v>3407</v>
      </c>
      <c r="D302" s="843">
        <v>0</v>
      </c>
      <c r="E302" s="843" t="e">
        <f>ROUND('Cap-Water'!#REF!,-3)/1000</f>
        <v>#REF!</v>
      </c>
      <c r="F302" s="843" t="e">
        <f>ROUND('Cap-Water'!#REF!,-3)/1000</f>
        <v>#REF!</v>
      </c>
      <c r="G302" s="843" t="e">
        <f>ROUND('Cap-Water'!#REF!,-3)/1000</f>
        <v>#REF!</v>
      </c>
      <c r="H302" s="843" t="e">
        <f>ROUND('Cap-Water'!#REF!,-3)/1000</f>
        <v>#REF!</v>
      </c>
      <c r="I302" s="843" t="e">
        <f>ROUND('Cap-Water'!#REF!,-3)/1000</f>
        <v>#REF!</v>
      </c>
      <c r="J302" s="843" t="e">
        <f>ROUND('Cap-Water'!#REF!,-3)/1000</f>
        <v>#REF!</v>
      </c>
      <c r="K302" s="843" t="e">
        <f>ROUND('Cap-Water'!#REF!,-3)/1000</f>
        <v>#REF!</v>
      </c>
      <c r="L302" s="843" t="e">
        <f>ROUND('Cap-Water'!#REF!,-3)/1000</f>
        <v>#REF!</v>
      </c>
      <c r="M302" s="843" t="e">
        <f>ROUND('Cap-Water'!#REF!,-3)/1000</f>
        <v>#REF!</v>
      </c>
      <c r="N302" s="843" t="e">
        <f>ROUND('Cap-Water'!#REF!,-3)/1000</f>
        <v>#REF!</v>
      </c>
      <c r="O302" s="843" t="e">
        <f>ROUND('Cap-Water'!#REF!,-3)/1000</f>
        <v>#REF!</v>
      </c>
      <c r="P302" s="843" t="e">
        <f>ROUND('Cap-Water'!#REF!,-3)/1000</f>
        <v>#REF!</v>
      </c>
    </row>
    <row r="303" spans="1:16" x14ac:dyDescent="0.2">
      <c r="C303" s="726" t="s">
        <v>2922</v>
      </c>
      <c r="D303" s="843">
        <v>0</v>
      </c>
      <c r="E303" s="843">
        <v>0</v>
      </c>
      <c r="F303" s="843">
        <v>0</v>
      </c>
      <c r="G303" s="843">
        <v>0</v>
      </c>
      <c r="H303" s="843">
        <v>0</v>
      </c>
      <c r="I303" s="843">
        <v>0</v>
      </c>
      <c r="J303" s="843">
        <v>0</v>
      </c>
      <c r="K303" s="843">
        <v>0</v>
      </c>
      <c r="L303" s="843">
        <v>0</v>
      </c>
      <c r="M303" s="843">
        <v>0</v>
      </c>
      <c r="N303" s="843">
        <v>0</v>
      </c>
      <c r="O303" s="843">
        <v>0</v>
      </c>
      <c r="P303" s="843">
        <v>0</v>
      </c>
    </row>
    <row r="304" spans="1:16" x14ac:dyDescent="0.2">
      <c r="C304" s="285" t="s">
        <v>2941</v>
      </c>
      <c r="D304" s="1802">
        <f>SUM(D298:D303)</f>
        <v>145</v>
      </c>
      <c r="E304" s="1802" t="e">
        <f t="shared" ref="E304:O304" si="36">SUM(E298:E303)</f>
        <v>#REF!</v>
      </c>
      <c r="F304" s="1802" t="e">
        <f t="shared" si="36"/>
        <v>#REF!</v>
      </c>
      <c r="G304" s="1802" t="e">
        <f t="shared" si="36"/>
        <v>#REF!</v>
      </c>
      <c r="H304" s="1802" t="e">
        <f t="shared" si="36"/>
        <v>#REF!</v>
      </c>
      <c r="I304" s="1802" t="e">
        <f t="shared" si="36"/>
        <v>#REF!</v>
      </c>
      <c r="J304" s="1802" t="e">
        <f t="shared" si="36"/>
        <v>#REF!</v>
      </c>
      <c r="K304" s="1802" t="e">
        <f t="shared" si="36"/>
        <v>#REF!</v>
      </c>
      <c r="L304" s="1802" t="e">
        <f t="shared" si="36"/>
        <v>#REF!</v>
      </c>
      <c r="M304" s="1802" t="e">
        <f t="shared" si="36"/>
        <v>#REF!</v>
      </c>
      <c r="N304" s="1802" t="e">
        <f t="shared" si="36"/>
        <v>#REF!</v>
      </c>
      <c r="O304" s="1802" t="e">
        <f t="shared" si="36"/>
        <v>#REF!</v>
      </c>
      <c r="P304" s="1802" t="e">
        <f t="shared" ref="P304" si="37">SUM(P298:P303)</f>
        <v>#REF!</v>
      </c>
    </row>
    <row r="305" spans="3:16" x14ac:dyDescent="0.2">
      <c r="C305" s="285" t="s">
        <v>2942</v>
      </c>
      <c r="D305" s="1801" t="e">
        <f>D295+D304</f>
        <v>#REF!</v>
      </c>
      <c r="E305" s="1801" t="e">
        <f t="shared" ref="E305:O305" si="38">E295+E304</f>
        <v>#REF!</v>
      </c>
      <c r="F305" s="1801" t="e">
        <f t="shared" si="38"/>
        <v>#REF!</v>
      </c>
      <c r="G305" s="1801" t="e">
        <f t="shared" si="38"/>
        <v>#REF!</v>
      </c>
      <c r="H305" s="1801" t="e">
        <f t="shared" si="38"/>
        <v>#REF!</v>
      </c>
      <c r="I305" s="1801" t="e">
        <f t="shared" si="38"/>
        <v>#REF!</v>
      </c>
      <c r="J305" s="1801" t="e">
        <f t="shared" si="38"/>
        <v>#REF!</v>
      </c>
      <c r="K305" s="1801" t="e">
        <f t="shared" si="38"/>
        <v>#REF!</v>
      </c>
      <c r="L305" s="1801" t="e">
        <f t="shared" si="38"/>
        <v>#REF!</v>
      </c>
      <c r="M305" s="1801" t="e">
        <f t="shared" si="38"/>
        <v>#REF!</v>
      </c>
      <c r="N305" s="1801" t="e">
        <f t="shared" si="38"/>
        <v>#REF!</v>
      </c>
      <c r="O305" s="1801" t="e">
        <f t="shared" si="38"/>
        <v>#REF!</v>
      </c>
      <c r="P305" s="1801" t="e">
        <f t="shared" ref="P305" si="39">P295+P304</f>
        <v>#REF!</v>
      </c>
    </row>
    <row r="306" spans="3:16" x14ac:dyDescent="0.2">
      <c r="C306" s="285" t="s">
        <v>2929</v>
      </c>
      <c r="D306" s="1801" t="e">
        <f>D305-D285</f>
        <v>#REF!</v>
      </c>
      <c r="E306" s="1801" t="e">
        <f t="shared" ref="E306:O306" si="40">E305-E285</f>
        <v>#REF!</v>
      </c>
      <c r="F306" s="1801" t="e">
        <f t="shared" si="40"/>
        <v>#REF!</v>
      </c>
      <c r="G306" s="1801" t="e">
        <f t="shared" si="40"/>
        <v>#REF!</v>
      </c>
      <c r="H306" s="1801" t="e">
        <f t="shared" si="40"/>
        <v>#REF!</v>
      </c>
      <c r="I306" s="1801" t="e">
        <f t="shared" si="40"/>
        <v>#REF!</v>
      </c>
      <c r="J306" s="1801" t="e">
        <f t="shared" si="40"/>
        <v>#REF!</v>
      </c>
      <c r="K306" s="1801" t="e">
        <f t="shared" si="40"/>
        <v>#REF!</v>
      </c>
      <c r="L306" s="1801" t="e">
        <f t="shared" si="40"/>
        <v>#REF!</v>
      </c>
      <c r="M306" s="1801" t="e">
        <f t="shared" si="40"/>
        <v>#REF!</v>
      </c>
      <c r="N306" s="1801" t="e">
        <f t="shared" si="40"/>
        <v>#REF!</v>
      </c>
      <c r="O306" s="1801" t="e">
        <f t="shared" si="40"/>
        <v>#REF!</v>
      </c>
      <c r="P306" s="1801" t="e">
        <f t="shared" ref="P306" si="41">P305-P285</f>
        <v>#REF!</v>
      </c>
    </row>
    <row r="307" spans="3:16" x14ac:dyDescent="0.2">
      <c r="C307" s="285" t="s">
        <v>2930</v>
      </c>
      <c r="D307" s="1801" t="e">
        <f>D306</f>
        <v>#REF!</v>
      </c>
      <c r="E307" s="1801" t="e">
        <f>D307+E306</f>
        <v>#REF!</v>
      </c>
      <c r="F307" s="1801" t="e">
        <f t="shared" ref="F307:P307" si="42">E307+F306</f>
        <v>#REF!</v>
      </c>
      <c r="G307" s="1801" t="e">
        <f t="shared" si="42"/>
        <v>#REF!</v>
      </c>
      <c r="H307" s="1801" t="e">
        <f t="shared" si="42"/>
        <v>#REF!</v>
      </c>
      <c r="I307" s="1801" t="e">
        <f t="shared" si="42"/>
        <v>#REF!</v>
      </c>
      <c r="J307" s="1801" t="e">
        <f t="shared" si="42"/>
        <v>#REF!</v>
      </c>
      <c r="K307" s="1801" t="e">
        <f t="shared" si="42"/>
        <v>#REF!</v>
      </c>
      <c r="L307" s="1801" t="e">
        <f t="shared" si="42"/>
        <v>#REF!</v>
      </c>
      <c r="M307" s="1801" t="e">
        <f t="shared" si="42"/>
        <v>#REF!</v>
      </c>
      <c r="N307" s="1801" t="e">
        <f t="shared" si="42"/>
        <v>#REF!</v>
      </c>
      <c r="O307" s="1801" t="e">
        <f t="shared" si="42"/>
        <v>#REF!</v>
      </c>
      <c r="P307" s="1801" t="e">
        <f t="shared" si="42"/>
        <v>#REF!</v>
      </c>
    </row>
    <row r="308" spans="3:16" x14ac:dyDescent="0.2">
      <c r="C308" s="573"/>
    </row>
    <row r="309" spans="3:16" x14ac:dyDescent="0.2">
      <c r="D309" s="843"/>
      <c r="E309" s="843"/>
      <c r="F309" s="843"/>
      <c r="G309" s="843"/>
      <c r="H309" s="843"/>
      <c r="I309" s="843"/>
      <c r="J309" s="843"/>
      <c r="K309" s="843"/>
      <c r="L309" s="843"/>
      <c r="M309" s="843"/>
      <c r="N309" s="843"/>
      <c r="O309" s="843"/>
      <c r="P309" s="843"/>
    </row>
    <row r="310" spans="3:16" x14ac:dyDescent="0.2">
      <c r="D310" s="843"/>
      <c r="E310" s="843"/>
      <c r="F310" s="843"/>
      <c r="G310" s="843"/>
      <c r="H310" s="843"/>
      <c r="I310" s="843"/>
      <c r="J310" s="843"/>
      <c r="K310" s="843"/>
      <c r="L310" s="843"/>
      <c r="M310" s="843"/>
      <c r="N310" s="843"/>
      <c r="O310" s="843"/>
      <c r="P310" s="843"/>
    </row>
    <row r="311" spans="3:16" x14ac:dyDescent="0.2">
      <c r="D311" s="843"/>
      <c r="E311" s="843"/>
      <c r="F311" s="843"/>
      <c r="G311" s="843"/>
      <c r="H311" s="843"/>
      <c r="I311" s="843"/>
      <c r="J311" s="843"/>
      <c r="K311" s="843"/>
      <c r="L311" s="843"/>
      <c r="M311" s="843"/>
      <c r="N311" s="843"/>
      <c r="O311" s="843"/>
      <c r="P311" s="843"/>
    </row>
    <row r="312" spans="3:16" x14ac:dyDescent="0.2">
      <c r="D312" s="843"/>
      <c r="E312" s="843"/>
      <c r="F312" s="843"/>
      <c r="G312" s="843"/>
      <c r="H312" s="843"/>
      <c r="I312" s="843"/>
      <c r="J312" s="843"/>
      <c r="K312" s="843"/>
      <c r="L312" s="843"/>
      <c r="M312" s="843"/>
      <c r="N312" s="843"/>
      <c r="O312" s="843"/>
      <c r="P312" s="843"/>
    </row>
    <row r="313" spans="3:16" x14ac:dyDescent="0.2">
      <c r="D313" s="843"/>
      <c r="E313" s="843"/>
      <c r="F313" s="843"/>
      <c r="G313" s="843"/>
      <c r="H313" s="843"/>
      <c r="I313" s="843"/>
      <c r="J313" s="843"/>
      <c r="K313" s="843"/>
      <c r="L313" s="843"/>
      <c r="M313" s="843"/>
      <c r="N313" s="843"/>
      <c r="O313" s="843"/>
      <c r="P313" s="843"/>
    </row>
    <row r="314" spans="3:16" x14ac:dyDescent="0.2">
      <c r="D314" s="843"/>
      <c r="E314" s="843"/>
      <c r="F314" s="843"/>
      <c r="G314" s="843"/>
      <c r="H314" s="843"/>
      <c r="I314" s="843"/>
      <c r="J314" s="843"/>
      <c r="K314" s="843"/>
      <c r="L314" s="843"/>
      <c r="M314" s="843"/>
      <c r="N314" s="843"/>
      <c r="O314" s="843"/>
      <c r="P314" s="843"/>
    </row>
    <row r="315" spans="3:16" x14ac:dyDescent="0.2">
      <c r="D315" s="843"/>
      <c r="E315" s="843"/>
      <c r="F315" s="843"/>
      <c r="G315" s="843"/>
      <c r="H315" s="843"/>
      <c r="I315" s="843"/>
      <c r="J315" s="843"/>
      <c r="K315" s="843"/>
      <c r="L315" s="843"/>
      <c r="M315" s="843"/>
      <c r="N315" s="843"/>
      <c r="O315" s="843"/>
      <c r="P315" s="843"/>
    </row>
    <row r="316" spans="3:16" x14ac:dyDescent="0.2">
      <c r="D316" s="843"/>
      <c r="E316" s="843"/>
      <c r="F316" s="843"/>
      <c r="G316" s="843"/>
      <c r="H316" s="843"/>
      <c r="I316" s="843"/>
      <c r="J316" s="843"/>
      <c r="K316" s="843"/>
      <c r="L316" s="843"/>
      <c r="M316" s="843"/>
      <c r="N316" s="843"/>
      <c r="O316" s="843"/>
      <c r="P316" s="843"/>
    </row>
    <row r="317" spans="3:16" x14ac:dyDescent="0.2">
      <c r="D317" s="843"/>
      <c r="E317" s="843"/>
      <c r="F317" s="843"/>
      <c r="G317" s="843"/>
      <c r="H317" s="843"/>
      <c r="I317" s="843"/>
      <c r="J317" s="843"/>
      <c r="K317" s="843"/>
      <c r="L317" s="843"/>
      <c r="M317" s="843"/>
      <c r="N317" s="843"/>
      <c r="O317" s="843"/>
      <c r="P317" s="843"/>
    </row>
    <row r="318" spans="3:16" x14ac:dyDescent="0.2">
      <c r="D318" s="843"/>
      <c r="E318" s="843"/>
      <c r="F318" s="843"/>
      <c r="G318" s="843"/>
      <c r="H318" s="843"/>
      <c r="I318" s="843"/>
      <c r="J318" s="843"/>
      <c r="K318" s="843"/>
      <c r="L318" s="843"/>
      <c r="M318" s="843"/>
      <c r="N318" s="843"/>
      <c r="O318" s="843"/>
      <c r="P318" s="843"/>
    </row>
    <row r="319" spans="3:16" x14ac:dyDescent="0.2">
      <c r="D319" s="843"/>
      <c r="E319" s="843"/>
      <c r="F319" s="843"/>
      <c r="G319" s="843"/>
      <c r="H319" s="843"/>
      <c r="I319" s="843"/>
      <c r="J319" s="843"/>
      <c r="K319" s="843"/>
      <c r="L319" s="843"/>
      <c r="M319" s="843"/>
      <c r="N319" s="843"/>
      <c r="O319" s="843"/>
      <c r="P319" s="843"/>
    </row>
    <row r="320" spans="3:16" x14ac:dyDescent="0.2">
      <c r="D320" s="843"/>
      <c r="E320" s="843"/>
      <c r="F320" s="843"/>
      <c r="G320" s="843"/>
      <c r="H320" s="843"/>
      <c r="I320" s="843"/>
      <c r="J320" s="843"/>
      <c r="K320" s="843"/>
      <c r="L320" s="843"/>
      <c r="M320" s="843"/>
      <c r="N320" s="843"/>
      <c r="O320" s="843"/>
      <c r="P320" s="843"/>
    </row>
    <row r="321" spans="4:16" x14ac:dyDescent="0.2">
      <c r="D321" s="843"/>
      <c r="E321" s="843"/>
      <c r="F321" s="843"/>
      <c r="G321" s="843"/>
      <c r="H321" s="843"/>
      <c r="I321" s="843"/>
      <c r="J321" s="843"/>
      <c r="K321" s="843"/>
      <c r="L321" s="843"/>
      <c r="M321" s="843"/>
      <c r="N321" s="843"/>
      <c r="O321" s="843"/>
      <c r="P321" s="843"/>
    </row>
    <row r="322" spans="4:16" x14ac:dyDescent="0.2">
      <c r="D322" s="843"/>
      <c r="E322" s="843"/>
      <c r="F322" s="843"/>
      <c r="G322" s="843"/>
      <c r="H322" s="843"/>
      <c r="I322" s="843"/>
      <c r="J322" s="843"/>
      <c r="K322" s="843"/>
      <c r="L322" s="843"/>
      <c r="M322" s="843"/>
      <c r="N322" s="843"/>
      <c r="O322" s="843"/>
      <c r="P322" s="843"/>
    </row>
    <row r="323" spans="4:16" x14ac:dyDescent="0.2">
      <c r="D323" s="843"/>
      <c r="E323" s="843"/>
      <c r="F323" s="843"/>
      <c r="G323" s="843"/>
      <c r="H323" s="843"/>
      <c r="I323" s="843"/>
      <c r="J323" s="843"/>
      <c r="K323" s="843"/>
      <c r="L323" s="843"/>
      <c r="M323" s="843"/>
      <c r="N323" s="843"/>
      <c r="O323" s="843"/>
      <c r="P323" s="843"/>
    </row>
    <row r="324" spans="4:16" x14ac:dyDescent="0.2">
      <c r="D324" s="843"/>
      <c r="E324" s="843"/>
      <c r="F324" s="843"/>
      <c r="G324" s="843"/>
      <c r="H324" s="843"/>
      <c r="I324" s="843"/>
      <c r="J324" s="843"/>
      <c r="K324" s="843"/>
      <c r="L324" s="843"/>
      <c r="M324" s="843"/>
      <c r="N324" s="843"/>
      <c r="O324" s="843"/>
      <c r="P324" s="843"/>
    </row>
    <row r="325" spans="4:16" x14ac:dyDescent="0.2">
      <c r="D325" s="843"/>
      <c r="E325" s="843"/>
      <c r="F325" s="843"/>
      <c r="G325" s="843"/>
      <c r="H325" s="843"/>
      <c r="I325" s="843"/>
      <c r="J325" s="843"/>
      <c r="K325" s="843"/>
      <c r="L325" s="843"/>
      <c r="M325" s="843"/>
      <c r="N325" s="843"/>
      <c r="O325" s="843"/>
      <c r="P325" s="843"/>
    </row>
    <row r="326" spans="4:16" x14ac:dyDescent="0.2">
      <c r="D326" s="843"/>
      <c r="E326" s="843"/>
      <c r="F326" s="843"/>
      <c r="G326" s="843"/>
      <c r="H326" s="843"/>
      <c r="I326" s="843"/>
      <c r="J326" s="843"/>
      <c r="K326" s="843"/>
      <c r="L326" s="843"/>
      <c r="M326" s="843"/>
      <c r="N326" s="843"/>
      <c r="O326" s="843"/>
      <c r="P326" s="843"/>
    </row>
    <row r="327" spans="4:16" x14ac:dyDescent="0.2">
      <c r="D327" s="843"/>
      <c r="E327" s="843"/>
      <c r="F327" s="843"/>
      <c r="G327" s="843"/>
      <c r="H327" s="843"/>
      <c r="I327" s="843"/>
      <c r="J327" s="843"/>
      <c r="K327" s="843"/>
      <c r="L327" s="843"/>
      <c r="M327" s="843"/>
      <c r="N327" s="843"/>
      <c r="O327" s="843"/>
      <c r="P327" s="843"/>
    </row>
    <row r="328" spans="4:16" x14ac:dyDescent="0.2">
      <c r="D328" s="843"/>
      <c r="E328" s="843"/>
      <c r="F328" s="843"/>
      <c r="G328" s="843"/>
      <c r="H328" s="843"/>
      <c r="I328" s="843"/>
      <c r="J328" s="843"/>
      <c r="K328" s="843"/>
      <c r="L328" s="843"/>
      <c r="M328" s="843"/>
      <c r="N328" s="843"/>
      <c r="O328" s="843"/>
      <c r="P328" s="843"/>
    </row>
    <row r="329" spans="4:16" x14ac:dyDescent="0.2">
      <c r="D329" s="843"/>
      <c r="E329" s="843"/>
      <c r="F329" s="843"/>
      <c r="G329" s="843"/>
      <c r="H329" s="843"/>
      <c r="I329" s="843"/>
      <c r="J329" s="843"/>
      <c r="K329" s="843"/>
      <c r="L329" s="843"/>
      <c r="M329" s="843"/>
      <c r="N329" s="843"/>
      <c r="O329" s="843"/>
      <c r="P329" s="843"/>
    </row>
    <row r="330" spans="4:16" x14ac:dyDescent="0.2">
      <c r="D330" s="843"/>
      <c r="E330" s="843"/>
      <c r="F330" s="843"/>
      <c r="G330" s="843"/>
      <c r="H330" s="843"/>
      <c r="I330" s="843"/>
      <c r="J330" s="843"/>
      <c r="K330" s="843"/>
      <c r="L330" s="843"/>
      <c r="M330" s="843"/>
      <c r="N330" s="843"/>
      <c r="O330" s="843"/>
      <c r="P330" s="843"/>
    </row>
    <row r="331" spans="4:16" x14ac:dyDescent="0.2">
      <c r="D331" s="843"/>
      <c r="E331" s="843"/>
      <c r="F331" s="843"/>
      <c r="G331" s="843"/>
      <c r="H331" s="843"/>
      <c r="I331" s="843"/>
      <c r="J331" s="843"/>
      <c r="K331" s="843"/>
      <c r="L331" s="843"/>
      <c r="M331" s="843"/>
      <c r="N331" s="843"/>
      <c r="O331" s="843"/>
      <c r="P331" s="843"/>
    </row>
    <row r="332" spans="4:16" x14ac:dyDescent="0.2">
      <c r="D332" s="843"/>
      <c r="E332" s="843"/>
      <c r="F332" s="843"/>
      <c r="G332" s="843"/>
      <c r="H332" s="843"/>
      <c r="I332" s="843"/>
      <c r="J332" s="843"/>
      <c r="K332" s="843"/>
      <c r="L332" s="843"/>
      <c r="M332" s="843"/>
      <c r="N332" s="843"/>
      <c r="O332" s="843"/>
      <c r="P332" s="843"/>
    </row>
    <row r="333" spans="4:16" x14ac:dyDescent="0.2">
      <c r="D333" s="843"/>
      <c r="E333" s="843"/>
      <c r="F333" s="843"/>
      <c r="G333" s="843"/>
      <c r="H333" s="843"/>
      <c r="I333" s="843"/>
      <c r="J333" s="843"/>
      <c r="K333" s="843"/>
      <c r="L333" s="843"/>
      <c r="M333" s="843"/>
      <c r="N333" s="843"/>
      <c r="O333" s="843"/>
      <c r="P333" s="843"/>
    </row>
    <row r="334" spans="4:16" x14ac:dyDescent="0.2">
      <c r="D334" s="843"/>
      <c r="E334" s="843"/>
      <c r="F334" s="843"/>
      <c r="G334" s="843"/>
      <c r="H334" s="843"/>
      <c r="I334" s="843"/>
      <c r="J334" s="843"/>
      <c r="K334" s="843"/>
      <c r="L334" s="843"/>
      <c r="M334" s="843"/>
      <c r="N334" s="843"/>
      <c r="O334" s="843"/>
      <c r="P334" s="843"/>
    </row>
    <row r="335" spans="4:16" x14ac:dyDescent="0.2">
      <c r="D335" s="843"/>
      <c r="E335" s="843"/>
      <c r="F335" s="843"/>
      <c r="G335" s="843"/>
      <c r="H335" s="843"/>
      <c r="I335" s="843"/>
      <c r="J335" s="843"/>
      <c r="K335" s="843"/>
      <c r="L335" s="843"/>
      <c r="M335" s="843"/>
      <c r="N335" s="843"/>
      <c r="O335" s="843"/>
      <c r="P335" s="843"/>
    </row>
    <row r="336" spans="4:16" x14ac:dyDescent="0.2">
      <c r="D336" s="843"/>
      <c r="E336" s="843"/>
      <c r="F336" s="843"/>
      <c r="G336" s="843"/>
      <c r="H336" s="843"/>
      <c r="I336" s="843"/>
      <c r="J336" s="843"/>
      <c r="K336" s="843"/>
      <c r="L336" s="843"/>
      <c r="M336" s="843"/>
      <c r="N336" s="843"/>
      <c r="O336" s="843"/>
      <c r="P336" s="843"/>
    </row>
    <row r="337" spans="4:16" x14ac:dyDescent="0.2">
      <c r="D337" s="843"/>
      <c r="E337" s="843"/>
      <c r="F337" s="843"/>
      <c r="G337" s="843"/>
      <c r="H337" s="843"/>
      <c r="I337" s="843"/>
      <c r="J337" s="843"/>
      <c r="K337" s="843"/>
      <c r="L337" s="843"/>
      <c r="M337" s="843"/>
      <c r="N337" s="843"/>
      <c r="O337" s="843"/>
      <c r="P337" s="843"/>
    </row>
    <row r="338" spans="4:16" x14ac:dyDescent="0.2">
      <c r="D338" s="843"/>
      <c r="E338" s="843"/>
      <c r="F338" s="843"/>
      <c r="G338" s="843"/>
      <c r="H338" s="843"/>
      <c r="I338" s="843"/>
      <c r="J338" s="843"/>
      <c r="K338" s="843"/>
      <c r="L338" s="843"/>
      <c r="M338" s="843"/>
      <c r="N338" s="843"/>
      <c r="O338" s="843"/>
      <c r="P338" s="843"/>
    </row>
    <row r="339" spans="4:16" x14ac:dyDescent="0.2">
      <c r="D339" s="843"/>
      <c r="E339" s="843"/>
      <c r="F339" s="843"/>
      <c r="G339" s="843"/>
      <c r="H339" s="843"/>
      <c r="I339" s="843"/>
      <c r="J339" s="843"/>
      <c r="K339" s="843"/>
      <c r="L339" s="843"/>
      <c r="M339" s="843"/>
      <c r="N339" s="843"/>
      <c r="O339" s="843"/>
      <c r="P339" s="843"/>
    </row>
    <row r="340" spans="4:16" x14ac:dyDescent="0.2">
      <c r="D340" s="843"/>
      <c r="E340" s="843"/>
      <c r="F340" s="843"/>
      <c r="G340" s="843"/>
      <c r="H340" s="843"/>
      <c r="I340" s="843"/>
      <c r="J340" s="843"/>
      <c r="K340" s="843"/>
      <c r="L340" s="843"/>
      <c r="M340" s="843"/>
      <c r="N340" s="843"/>
      <c r="O340" s="843"/>
      <c r="P340" s="843"/>
    </row>
    <row r="341" spans="4:16" x14ac:dyDescent="0.2">
      <c r="D341" s="843"/>
      <c r="E341" s="843"/>
      <c r="F341" s="843"/>
      <c r="G341" s="843"/>
      <c r="H341" s="843"/>
      <c r="I341" s="843"/>
      <c r="J341" s="843"/>
      <c r="K341" s="843"/>
      <c r="L341" s="843"/>
      <c r="M341" s="843"/>
      <c r="N341" s="843"/>
      <c r="O341" s="843"/>
      <c r="P341" s="843"/>
    </row>
    <row r="342" spans="4:16" x14ac:dyDescent="0.2">
      <c r="D342" s="843"/>
      <c r="E342" s="843"/>
      <c r="F342" s="843"/>
      <c r="G342" s="843"/>
      <c r="H342" s="843"/>
      <c r="I342" s="843"/>
      <c r="J342" s="843"/>
      <c r="K342" s="843"/>
      <c r="L342" s="843"/>
      <c r="M342" s="843"/>
      <c r="N342" s="843"/>
      <c r="O342" s="843"/>
      <c r="P342" s="843"/>
    </row>
    <row r="343" spans="4:16" x14ac:dyDescent="0.2">
      <c r="D343" s="843"/>
      <c r="E343" s="843"/>
      <c r="F343" s="843"/>
      <c r="G343" s="843"/>
      <c r="H343" s="843"/>
      <c r="I343" s="843"/>
      <c r="J343" s="843"/>
      <c r="K343" s="843"/>
      <c r="L343" s="843"/>
      <c r="M343" s="843"/>
      <c r="N343" s="843"/>
      <c r="O343" s="843"/>
      <c r="P343" s="843"/>
    </row>
    <row r="344" spans="4:16" x14ac:dyDescent="0.2">
      <c r="D344" s="843"/>
      <c r="E344" s="843"/>
      <c r="F344" s="843"/>
      <c r="G344" s="843"/>
      <c r="H344" s="843"/>
      <c r="I344" s="843"/>
      <c r="J344" s="843"/>
      <c r="K344" s="843"/>
      <c r="L344" s="843"/>
      <c r="M344" s="843"/>
      <c r="N344" s="843"/>
      <c r="O344" s="843"/>
      <c r="P344" s="843"/>
    </row>
    <row r="345" spans="4:16" x14ac:dyDescent="0.2">
      <c r="D345" s="843"/>
      <c r="E345" s="843"/>
      <c r="F345" s="843"/>
      <c r="G345" s="843"/>
      <c r="H345" s="843"/>
      <c r="I345" s="843"/>
      <c r="J345" s="843"/>
      <c r="K345" s="843"/>
      <c r="L345" s="843"/>
      <c r="M345" s="843"/>
      <c r="N345" s="843"/>
      <c r="O345" s="843"/>
      <c r="P345" s="843"/>
    </row>
    <row r="346" spans="4:16" x14ac:dyDescent="0.2">
      <c r="D346" s="843"/>
      <c r="E346" s="843"/>
      <c r="F346" s="843"/>
      <c r="G346" s="843"/>
      <c r="H346" s="843"/>
      <c r="I346" s="843"/>
      <c r="J346" s="843"/>
      <c r="K346" s="843"/>
      <c r="L346" s="843"/>
      <c r="M346" s="843"/>
      <c r="N346" s="843"/>
      <c r="O346" s="843"/>
      <c r="P346" s="843"/>
    </row>
    <row r="347" spans="4:16" x14ac:dyDescent="0.2">
      <c r="D347" s="843"/>
      <c r="E347" s="843"/>
      <c r="F347" s="843"/>
      <c r="G347" s="843"/>
      <c r="H347" s="843"/>
      <c r="I347" s="843"/>
      <c r="J347" s="843"/>
      <c r="K347" s="843"/>
      <c r="L347" s="843"/>
      <c r="M347" s="843"/>
      <c r="N347" s="843"/>
      <c r="O347" s="843"/>
      <c r="P347" s="843"/>
    </row>
    <row r="348" spans="4:16" x14ac:dyDescent="0.2">
      <c r="D348" s="843"/>
      <c r="E348" s="843"/>
      <c r="F348" s="843"/>
      <c r="G348" s="843"/>
      <c r="H348" s="843"/>
      <c r="I348" s="843"/>
      <c r="J348" s="843"/>
      <c r="K348" s="843"/>
      <c r="L348" s="843"/>
      <c r="M348" s="843"/>
      <c r="N348" s="843"/>
      <c r="O348" s="843"/>
      <c r="P348" s="843"/>
    </row>
    <row r="349" spans="4:16" x14ac:dyDescent="0.2">
      <c r="D349" s="843"/>
      <c r="E349" s="843"/>
      <c r="F349" s="843"/>
      <c r="G349" s="843"/>
      <c r="H349" s="843"/>
      <c r="I349" s="843"/>
      <c r="J349" s="843"/>
      <c r="K349" s="843"/>
      <c r="L349" s="843"/>
      <c r="M349" s="843"/>
      <c r="N349" s="843"/>
      <c r="O349" s="843"/>
      <c r="P349" s="843"/>
    </row>
    <row r="350" spans="4:16" x14ac:dyDescent="0.2">
      <c r="D350" s="843"/>
      <c r="E350" s="843"/>
      <c r="F350" s="843"/>
      <c r="G350" s="843"/>
      <c r="H350" s="843"/>
      <c r="I350" s="843"/>
      <c r="J350" s="843"/>
      <c r="K350" s="843"/>
      <c r="L350" s="843"/>
      <c r="M350" s="843"/>
      <c r="N350" s="843"/>
      <c r="O350" s="843"/>
      <c r="P350" s="843"/>
    </row>
    <row r="351" spans="4:16" x14ac:dyDescent="0.2">
      <c r="D351" s="843"/>
      <c r="E351" s="843"/>
      <c r="F351" s="843"/>
      <c r="G351" s="843"/>
      <c r="H351" s="843"/>
      <c r="I351" s="843"/>
      <c r="J351" s="843"/>
      <c r="K351" s="843"/>
      <c r="L351" s="843"/>
      <c r="M351" s="843"/>
      <c r="N351" s="843"/>
      <c r="O351" s="843"/>
      <c r="P351" s="843"/>
    </row>
    <row r="352" spans="4:16" x14ac:dyDescent="0.2">
      <c r="D352" s="843"/>
      <c r="E352" s="843"/>
      <c r="F352" s="843"/>
      <c r="G352" s="843"/>
      <c r="H352" s="843"/>
      <c r="I352" s="843"/>
      <c r="J352" s="843"/>
      <c r="K352" s="843"/>
      <c r="L352" s="843"/>
      <c r="M352" s="843"/>
      <c r="N352" s="843"/>
      <c r="O352" s="843"/>
      <c r="P352" s="843"/>
    </row>
    <row r="353" spans="4:16" x14ac:dyDescent="0.2">
      <c r="D353" s="843"/>
      <c r="E353" s="843"/>
      <c r="F353" s="843"/>
      <c r="G353" s="843"/>
      <c r="H353" s="843"/>
      <c r="I353" s="843"/>
      <c r="J353" s="843"/>
      <c r="K353" s="843"/>
      <c r="L353" s="843"/>
      <c r="M353" s="843"/>
      <c r="N353" s="843"/>
      <c r="O353" s="843"/>
      <c r="P353" s="843"/>
    </row>
    <row r="354" spans="4:16" x14ac:dyDescent="0.2">
      <c r="D354" s="843"/>
      <c r="E354" s="843"/>
      <c r="F354" s="843"/>
      <c r="G354" s="843"/>
      <c r="H354" s="843"/>
      <c r="I354" s="843"/>
      <c r="J354" s="843"/>
      <c r="K354" s="843"/>
      <c r="L354" s="843"/>
      <c r="M354" s="843"/>
      <c r="N354" s="843"/>
      <c r="O354" s="843"/>
      <c r="P354" s="843"/>
    </row>
    <row r="355" spans="4:16" x14ac:dyDescent="0.2">
      <c r="D355" s="843"/>
      <c r="E355" s="843"/>
      <c r="F355" s="843"/>
      <c r="G355" s="843"/>
      <c r="H355" s="843"/>
      <c r="I355" s="843"/>
      <c r="J355" s="843"/>
      <c r="K355" s="843"/>
      <c r="L355" s="843"/>
      <c r="M355" s="843"/>
      <c r="N355" s="843"/>
      <c r="O355" s="843"/>
      <c r="P355" s="843"/>
    </row>
    <row r="356" spans="4:16" x14ac:dyDescent="0.2">
      <c r="D356" s="843"/>
      <c r="E356" s="843"/>
      <c r="F356" s="843"/>
      <c r="G356" s="843"/>
      <c r="H356" s="843"/>
      <c r="I356" s="843"/>
      <c r="J356" s="843"/>
      <c r="K356" s="843"/>
      <c r="L356" s="843"/>
      <c r="M356" s="843"/>
      <c r="N356" s="843"/>
      <c r="O356" s="843"/>
      <c r="P356" s="843"/>
    </row>
    <row r="357" spans="4:16" x14ac:dyDescent="0.2">
      <c r="D357" s="843"/>
      <c r="E357" s="843"/>
      <c r="F357" s="843"/>
      <c r="G357" s="843"/>
      <c r="H357" s="843"/>
      <c r="I357" s="843"/>
      <c r="J357" s="843"/>
      <c r="K357" s="843"/>
      <c r="L357" s="843"/>
      <c r="M357" s="843"/>
      <c r="N357" s="843"/>
      <c r="O357" s="843"/>
      <c r="P357" s="843"/>
    </row>
    <row r="358" spans="4:16" x14ac:dyDescent="0.2">
      <c r="D358" s="843"/>
      <c r="E358" s="843"/>
      <c r="F358" s="843"/>
      <c r="G358" s="843"/>
      <c r="H358" s="843"/>
      <c r="I358" s="843"/>
      <c r="J358" s="843"/>
      <c r="K358" s="843"/>
      <c r="L358" s="843"/>
      <c r="M358" s="843"/>
      <c r="N358" s="843"/>
      <c r="O358" s="843"/>
      <c r="P358" s="843"/>
    </row>
    <row r="359" spans="4:16" x14ac:dyDescent="0.2">
      <c r="D359" s="843"/>
      <c r="E359" s="843"/>
      <c r="F359" s="843"/>
      <c r="G359" s="843"/>
      <c r="H359" s="843"/>
      <c r="I359" s="843"/>
      <c r="J359" s="843"/>
      <c r="K359" s="843"/>
      <c r="L359" s="843"/>
      <c r="M359" s="843"/>
      <c r="N359" s="843"/>
      <c r="O359" s="843"/>
      <c r="P359" s="843"/>
    </row>
    <row r="360" spans="4:16" x14ac:dyDescent="0.2">
      <c r="D360" s="843"/>
      <c r="E360" s="843"/>
      <c r="F360" s="843"/>
      <c r="G360" s="843"/>
      <c r="H360" s="843"/>
      <c r="I360" s="843"/>
      <c r="J360" s="843"/>
      <c r="K360" s="843"/>
      <c r="L360" s="843"/>
      <c r="M360" s="843"/>
      <c r="N360" s="843"/>
      <c r="O360" s="843"/>
      <c r="P360" s="843"/>
    </row>
    <row r="361" spans="4:16" x14ac:dyDescent="0.2">
      <c r="D361" s="843"/>
      <c r="E361" s="843"/>
      <c r="F361" s="843"/>
      <c r="G361" s="843"/>
      <c r="H361" s="843"/>
      <c r="I361" s="843"/>
      <c r="J361" s="843"/>
      <c r="K361" s="843"/>
      <c r="L361" s="843"/>
      <c r="M361" s="843"/>
      <c r="N361" s="843"/>
      <c r="O361" s="843"/>
      <c r="P361" s="843"/>
    </row>
    <row r="362" spans="4:16" x14ac:dyDescent="0.2">
      <c r="D362" s="843"/>
      <c r="E362" s="843"/>
      <c r="F362" s="843"/>
      <c r="G362" s="843"/>
      <c r="H362" s="843"/>
      <c r="I362" s="843"/>
      <c r="J362" s="843"/>
      <c r="K362" s="843"/>
      <c r="L362" s="843"/>
      <c r="M362" s="843"/>
      <c r="N362" s="843"/>
      <c r="O362" s="843"/>
      <c r="P362" s="843"/>
    </row>
    <row r="363" spans="4:16" x14ac:dyDescent="0.2">
      <c r="D363" s="843"/>
      <c r="E363" s="843"/>
      <c r="F363" s="843"/>
      <c r="G363" s="843"/>
      <c r="H363" s="843"/>
      <c r="I363" s="843"/>
      <c r="J363" s="843"/>
      <c r="K363" s="843"/>
      <c r="L363" s="843"/>
      <c r="M363" s="843"/>
      <c r="N363" s="843"/>
      <c r="O363" s="843"/>
      <c r="P363" s="843"/>
    </row>
    <row r="364" spans="4:16" x14ac:dyDescent="0.2">
      <c r="D364" s="843"/>
      <c r="E364" s="843"/>
      <c r="F364" s="843"/>
      <c r="G364" s="843"/>
      <c r="H364" s="843"/>
      <c r="I364" s="843"/>
      <c r="J364" s="843"/>
      <c r="K364" s="843"/>
      <c r="L364" s="843"/>
      <c r="M364" s="843"/>
      <c r="N364" s="843"/>
      <c r="O364" s="843"/>
      <c r="P364" s="843"/>
    </row>
    <row r="365" spans="4:16" x14ac:dyDescent="0.2">
      <c r="D365" s="843"/>
      <c r="E365" s="843"/>
      <c r="F365" s="843"/>
      <c r="G365" s="843"/>
      <c r="H365" s="843"/>
      <c r="I365" s="843"/>
      <c r="J365" s="843"/>
      <c r="K365" s="843"/>
      <c r="L365" s="843"/>
      <c r="M365" s="843"/>
      <c r="N365" s="843"/>
      <c r="O365" s="843"/>
      <c r="P365" s="843"/>
    </row>
    <row r="366" spans="4:16" x14ac:dyDescent="0.2">
      <c r="D366" s="843"/>
      <c r="E366" s="843"/>
      <c r="F366" s="843"/>
      <c r="G366" s="843"/>
      <c r="H366" s="843"/>
      <c r="I366" s="843"/>
      <c r="J366" s="843"/>
      <c r="K366" s="843"/>
      <c r="L366" s="843"/>
      <c r="M366" s="843"/>
      <c r="N366" s="843"/>
      <c r="O366" s="843"/>
      <c r="P366" s="843"/>
    </row>
    <row r="367" spans="4:16" x14ac:dyDescent="0.2">
      <c r="D367" s="843"/>
      <c r="E367" s="843"/>
      <c r="F367" s="843"/>
      <c r="G367" s="843"/>
      <c r="H367" s="843"/>
      <c r="I367" s="843"/>
      <c r="J367" s="843"/>
      <c r="K367" s="843"/>
      <c r="L367" s="843"/>
      <c r="M367" s="843"/>
      <c r="N367" s="843"/>
      <c r="O367" s="843"/>
      <c r="P367" s="843"/>
    </row>
    <row r="368" spans="4:16" x14ac:dyDescent="0.2">
      <c r="D368" s="843"/>
      <c r="E368" s="843"/>
      <c r="F368" s="843"/>
      <c r="G368" s="843"/>
      <c r="H368" s="843"/>
      <c r="I368" s="843"/>
      <c r="J368" s="843"/>
      <c r="K368" s="843"/>
      <c r="L368" s="843"/>
      <c r="M368" s="843"/>
      <c r="N368" s="843"/>
      <c r="O368" s="843"/>
      <c r="P368" s="843"/>
    </row>
    <row r="369" spans="4:16" x14ac:dyDescent="0.2">
      <c r="D369" s="843"/>
      <c r="E369" s="843"/>
      <c r="F369" s="843"/>
      <c r="G369" s="843"/>
      <c r="H369" s="843"/>
      <c r="I369" s="843"/>
      <c r="J369" s="843"/>
      <c r="K369" s="843"/>
      <c r="L369" s="843"/>
      <c r="M369" s="843"/>
      <c r="N369" s="843"/>
      <c r="O369" s="843"/>
      <c r="P369" s="843"/>
    </row>
    <row r="370" spans="4:16" x14ac:dyDescent="0.2">
      <c r="D370" s="843"/>
      <c r="E370" s="843"/>
      <c r="F370" s="843"/>
      <c r="G370" s="843"/>
      <c r="H370" s="843"/>
      <c r="I370" s="843"/>
      <c r="J370" s="843"/>
      <c r="K370" s="843"/>
      <c r="L370" s="843"/>
      <c r="M370" s="843"/>
      <c r="N370" s="843"/>
      <c r="O370" s="843"/>
      <c r="P370" s="843"/>
    </row>
    <row r="371" spans="4:16" x14ac:dyDescent="0.2">
      <c r="D371" s="843"/>
      <c r="E371" s="843"/>
      <c r="F371" s="843"/>
      <c r="G371" s="843"/>
      <c r="H371" s="843"/>
      <c r="I371" s="843"/>
      <c r="J371" s="843"/>
      <c r="K371" s="843"/>
      <c r="L371" s="843"/>
      <c r="M371" s="843"/>
      <c r="N371" s="843"/>
      <c r="O371" s="843"/>
      <c r="P371" s="843"/>
    </row>
    <row r="372" spans="4:16" x14ac:dyDescent="0.2">
      <c r="D372" s="843"/>
      <c r="E372" s="843"/>
      <c r="F372" s="843"/>
      <c r="G372" s="843"/>
      <c r="H372" s="843"/>
      <c r="I372" s="843"/>
      <c r="J372" s="843"/>
      <c r="K372" s="843"/>
      <c r="L372" s="843"/>
      <c r="M372" s="843"/>
      <c r="N372" s="843"/>
      <c r="O372" s="843"/>
      <c r="P372" s="843"/>
    </row>
    <row r="373" spans="4:16" x14ac:dyDescent="0.2">
      <c r="D373" s="843"/>
      <c r="E373" s="843"/>
      <c r="F373" s="843"/>
      <c r="G373" s="843"/>
      <c r="H373" s="843"/>
      <c r="I373" s="843"/>
      <c r="J373" s="843"/>
      <c r="K373" s="843"/>
      <c r="L373" s="843"/>
      <c r="M373" s="843"/>
      <c r="N373" s="843"/>
      <c r="O373" s="843"/>
      <c r="P373" s="843"/>
    </row>
    <row r="374" spans="4:16" x14ac:dyDescent="0.2">
      <c r="D374" s="843"/>
      <c r="E374" s="843"/>
      <c r="F374" s="843"/>
      <c r="G374" s="843"/>
      <c r="H374" s="843"/>
      <c r="I374" s="843"/>
      <c r="J374" s="843"/>
      <c r="K374" s="843"/>
      <c r="L374" s="843"/>
      <c r="M374" s="843"/>
      <c r="N374" s="843"/>
      <c r="O374" s="843"/>
      <c r="P374" s="843"/>
    </row>
    <row r="375" spans="4:16" x14ac:dyDescent="0.2">
      <c r="D375" s="843"/>
      <c r="E375" s="843"/>
      <c r="F375" s="843"/>
      <c r="G375" s="843"/>
      <c r="H375" s="843"/>
      <c r="I375" s="843"/>
      <c r="J375" s="843"/>
      <c r="K375" s="843"/>
      <c r="L375" s="843"/>
      <c r="M375" s="843"/>
      <c r="N375" s="843"/>
      <c r="O375" s="843"/>
      <c r="P375" s="843"/>
    </row>
    <row r="376" spans="4:16" x14ac:dyDescent="0.2">
      <c r="D376" s="843"/>
      <c r="E376" s="843"/>
      <c r="F376" s="843"/>
      <c r="G376" s="843"/>
      <c r="H376" s="843"/>
      <c r="I376" s="843"/>
      <c r="J376" s="843"/>
      <c r="K376" s="843"/>
      <c r="L376" s="843"/>
      <c r="M376" s="843"/>
      <c r="N376" s="843"/>
      <c r="O376" s="843"/>
      <c r="P376" s="843"/>
    </row>
    <row r="377" spans="4:16" x14ac:dyDescent="0.2">
      <c r="D377" s="843"/>
      <c r="E377" s="843"/>
      <c r="F377" s="843"/>
      <c r="G377" s="843"/>
      <c r="H377" s="843"/>
      <c r="I377" s="843"/>
      <c r="J377" s="843"/>
      <c r="K377" s="843"/>
      <c r="L377" s="843"/>
      <c r="M377" s="843"/>
      <c r="N377" s="843"/>
      <c r="O377" s="843"/>
      <c r="P377" s="843"/>
    </row>
    <row r="378" spans="4:16" x14ac:dyDescent="0.2">
      <c r="D378" s="843"/>
      <c r="E378" s="843"/>
      <c r="F378" s="843"/>
      <c r="G378" s="843"/>
      <c r="H378" s="843"/>
      <c r="I378" s="843"/>
      <c r="J378" s="843"/>
      <c r="K378" s="843"/>
      <c r="L378" s="843"/>
      <c r="M378" s="843"/>
      <c r="N378" s="843"/>
      <c r="O378" s="843"/>
      <c r="P378" s="843"/>
    </row>
    <row r="379" spans="4:16" x14ac:dyDescent="0.2">
      <c r="D379" s="843"/>
      <c r="E379" s="843"/>
      <c r="F379" s="843"/>
      <c r="G379" s="843"/>
      <c r="H379" s="843"/>
      <c r="I379" s="843"/>
      <c r="J379" s="843"/>
      <c r="K379" s="843"/>
      <c r="L379" s="843"/>
      <c r="M379" s="843"/>
      <c r="N379" s="843"/>
      <c r="O379" s="843"/>
      <c r="P379" s="843"/>
    </row>
    <row r="380" spans="4:16" x14ac:dyDescent="0.2">
      <c r="D380" s="843"/>
      <c r="E380" s="843"/>
      <c r="F380" s="843"/>
      <c r="G380" s="843"/>
      <c r="H380" s="843"/>
      <c r="I380" s="843"/>
      <c r="J380" s="843"/>
      <c r="K380" s="843"/>
      <c r="L380" s="843"/>
      <c r="M380" s="843"/>
      <c r="N380" s="843"/>
      <c r="O380" s="843"/>
      <c r="P380" s="843"/>
    </row>
    <row r="381" spans="4:16" x14ac:dyDescent="0.2">
      <c r="E381" s="843"/>
      <c r="F381" s="843"/>
      <c r="G381" s="843"/>
      <c r="H381" s="843"/>
      <c r="I381" s="843"/>
      <c r="J381" s="843"/>
      <c r="K381" s="843"/>
      <c r="L381" s="843"/>
      <c r="M381" s="843"/>
      <c r="N381" s="843"/>
      <c r="O381" s="843"/>
      <c r="P381" s="843"/>
    </row>
    <row r="382" spans="4:16" x14ac:dyDescent="0.2">
      <c r="E382" s="843"/>
      <c r="F382" s="843"/>
      <c r="G382" s="843"/>
      <c r="H382" s="843"/>
      <c r="I382" s="843"/>
      <c r="J382" s="843"/>
      <c r="K382" s="843"/>
      <c r="L382" s="843"/>
      <c r="M382" s="843"/>
      <c r="N382" s="843"/>
      <c r="O382" s="843"/>
      <c r="P382" s="843"/>
    </row>
    <row r="383" spans="4:16" x14ac:dyDescent="0.2">
      <c r="D383" s="843"/>
      <c r="E383" s="843"/>
      <c r="F383" s="843"/>
      <c r="G383" s="843"/>
      <c r="H383" s="843"/>
      <c r="I383" s="843"/>
      <c r="J383" s="843"/>
      <c r="K383" s="843"/>
      <c r="L383" s="843"/>
      <c r="M383" s="843"/>
      <c r="N383" s="843"/>
      <c r="O383" s="843"/>
      <c r="P383" s="843"/>
    </row>
    <row r="384" spans="4:16" x14ac:dyDescent="0.2">
      <c r="D384" s="843"/>
      <c r="E384" s="843"/>
      <c r="F384" s="843"/>
      <c r="G384" s="843"/>
      <c r="H384" s="843"/>
      <c r="I384" s="843"/>
      <c r="J384" s="843"/>
      <c r="K384" s="843"/>
      <c r="L384" s="843"/>
      <c r="M384" s="843"/>
      <c r="N384" s="843"/>
      <c r="O384" s="843"/>
      <c r="P384" s="843"/>
    </row>
    <row r="385" spans="4:16" x14ac:dyDescent="0.2">
      <c r="D385" s="843"/>
      <c r="E385" s="843"/>
      <c r="F385" s="843"/>
      <c r="G385" s="843"/>
      <c r="H385" s="843"/>
      <c r="I385" s="843"/>
      <c r="J385" s="843"/>
      <c r="K385" s="843"/>
      <c r="L385" s="843"/>
      <c r="M385" s="843"/>
      <c r="N385" s="843"/>
      <c r="O385" s="843"/>
      <c r="P385" s="843"/>
    </row>
    <row r="386" spans="4:16" x14ac:dyDescent="0.2">
      <c r="D386" s="843"/>
      <c r="E386" s="843"/>
      <c r="F386" s="843"/>
      <c r="G386" s="843"/>
      <c r="H386" s="843"/>
      <c r="I386" s="843"/>
      <c r="J386" s="843"/>
      <c r="K386" s="843"/>
      <c r="L386" s="843"/>
      <c r="M386" s="843"/>
      <c r="N386" s="843"/>
      <c r="O386" s="843"/>
      <c r="P386" s="843"/>
    </row>
    <row r="387" spans="4:16" x14ac:dyDescent="0.2">
      <c r="D387" s="843"/>
      <c r="E387" s="843"/>
      <c r="F387" s="843"/>
      <c r="G387" s="843"/>
      <c r="H387" s="843"/>
      <c r="I387" s="843"/>
      <c r="J387" s="843"/>
      <c r="K387" s="843"/>
      <c r="L387" s="843"/>
      <c r="M387" s="843"/>
      <c r="N387" s="843"/>
      <c r="O387" s="843"/>
      <c r="P387" s="843"/>
    </row>
    <row r="388" spans="4:16" x14ac:dyDescent="0.2">
      <c r="D388" s="843"/>
      <c r="E388" s="843"/>
      <c r="F388" s="843"/>
      <c r="G388" s="843"/>
      <c r="H388" s="843"/>
      <c r="I388" s="843"/>
      <c r="J388" s="843"/>
      <c r="K388" s="843"/>
      <c r="L388" s="843"/>
      <c r="M388" s="843"/>
      <c r="N388" s="843"/>
      <c r="O388" s="843"/>
      <c r="P388" s="843"/>
    </row>
    <row r="389" spans="4:16" x14ac:dyDescent="0.2">
      <c r="D389" s="843"/>
      <c r="E389" s="843"/>
      <c r="F389" s="843"/>
      <c r="G389" s="843"/>
      <c r="H389" s="843"/>
      <c r="I389" s="843"/>
      <c r="J389" s="843"/>
      <c r="K389" s="843"/>
      <c r="L389" s="843"/>
      <c r="M389" s="843"/>
      <c r="N389" s="843"/>
      <c r="O389" s="843"/>
      <c r="P389" s="843"/>
    </row>
    <row r="390" spans="4:16" x14ac:dyDescent="0.2">
      <c r="D390" s="843"/>
      <c r="E390" s="843"/>
      <c r="F390" s="843"/>
      <c r="G390" s="843"/>
      <c r="H390" s="843"/>
      <c r="I390" s="843"/>
      <c r="J390" s="843"/>
      <c r="K390" s="843"/>
      <c r="L390" s="843"/>
      <c r="M390" s="843"/>
      <c r="N390" s="843"/>
      <c r="O390" s="843"/>
      <c r="P390" s="843"/>
    </row>
    <row r="391" spans="4:16" x14ac:dyDescent="0.2">
      <c r="D391" s="843"/>
      <c r="E391" s="843"/>
      <c r="F391" s="843"/>
      <c r="G391" s="843"/>
      <c r="H391" s="843"/>
      <c r="I391" s="843"/>
      <c r="J391" s="843"/>
      <c r="K391" s="843"/>
      <c r="L391" s="843"/>
      <c r="M391" s="843"/>
      <c r="N391" s="843"/>
      <c r="O391" s="843"/>
      <c r="P391" s="843"/>
    </row>
    <row r="392" spans="4:16" x14ac:dyDescent="0.2">
      <c r="D392" s="843"/>
      <c r="E392" s="843"/>
      <c r="F392" s="843"/>
      <c r="G392" s="843"/>
      <c r="H392" s="843"/>
      <c r="I392" s="843"/>
      <c r="J392" s="843"/>
      <c r="K392" s="843"/>
      <c r="L392" s="843"/>
      <c r="M392" s="843"/>
      <c r="N392" s="843"/>
      <c r="O392" s="843"/>
      <c r="P392" s="843"/>
    </row>
    <row r="393" spans="4:16" x14ac:dyDescent="0.2">
      <c r="D393" s="843"/>
      <c r="E393" s="843"/>
      <c r="F393" s="843"/>
      <c r="G393" s="843"/>
      <c r="H393" s="843"/>
      <c r="I393" s="843"/>
      <c r="J393" s="843"/>
      <c r="K393" s="843"/>
      <c r="L393" s="843"/>
      <c r="M393" s="843"/>
      <c r="N393" s="843"/>
      <c r="O393" s="843"/>
      <c r="P393" s="843"/>
    </row>
    <row r="394" spans="4:16" x14ac:dyDescent="0.2">
      <c r="D394" s="843"/>
      <c r="E394" s="843"/>
      <c r="F394" s="843"/>
      <c r="G394" s="843"/>
      <c r="H394" s="843"/>
      <c r="I394" s="843"/>
      <c r="J394" s="843"/>
      <c r="K394" s="843"/>
      <c r="L394" s="843"/>
      <c r="M394" s="843"/>
      <c r="N394" s="843"/>
      <c r="O394" s="843"/>
      <c r="P394" s="843"/>
    </row>
    <row r="395" spans="4:16" x14ac:dyDescent="0.2">
      <c r="D395" s="843"/>
      <c r="E395" s="843"/>
      <c r="F395" s="843"/>
      <c r="G395" s="843"/>
      <c r="H395" s="843"/>
      <c r="I395" s="843"/>
      <c r="J395" s="843"/>
      <c r="K395" s="843"/>
      <c r="L395" s="843"/>
      <c r="M395" s="843"/>
      <c r="N395" s="843"/>
      <c r="O395" s="843"/>
      <c r="P395" s="843"/>
    </row>
    <row r="396" spans="4:16" x14ac:dyDescent="0.2">
      <c r="D396" s="843"/>
      <c r="E396" s="843"/>
      <c r="F396" s="843"/>
      <c r="G396" s="843"/>
      <c r="H396" s="843"/>
      <c r="I396" s="843"/>
      <c r="J396" s="843"/>
      <c r="K396" s="843"/>
      <c r="L396" s="843"/>
      <c r="M396" s="843"/>
      <c r="N396" s="843"/>
      <c r="O396" s="843"/>
      <c r="P396" s="843"/>
    </row>
    <row r="397" spans="4:16" x14ac:dyDescent="0.2">
      <c r="D397" s="843"/>
      <c r="E397" s="843"/>
      <c r="F397" s="843"/>
      <c r="G397" s="843"/>
      <c r="H397" s="843"/>
      <c r="I397" s="843"/>
      <c r="J397" s="843"/>
      <c r="K397" s="843"/>
      <c r="L397" s="843"/>
      <c r="M397" s="843"/>
      <c r="N397" s="843"/>
      <c r="O397" s="843"/>
      <c r="P397" s="843"/>
    </row>
    <row r="398" spans="4:16" x14ac:dyDescent="0.2">
      <c r="D398" s="843"/>
      <c r="E398" s="843"/>
      <c r="F398" s="843"/>
      <c r="G398" s="843"/>
      <c r="H398" s="843"/>
      <c r="I398" s="843"/>
      <c r="J398" s="843"/>
      <c r="K398" s="843"/>
      <c r="L398" s="843"/>
      <c r="M398" s="843"/>
      <c r="N398" s="843"/>
      <c r="O398" s="843"/>
      <c r="P398" s="843"/>
    </row>
    <row r="399" spans="4:16" x14ac:dyDescent="0.2">
      <c r="D399" s="843"/>
      <c r="E399" s="843"/>
      <c r="F399" s="843"/>
      <c r="G399" s="843"/>
      <c r="H399" s="843"/>
      <c r="I399" s="843"/>
      <c r="J399" s="843"/>
      <c r="K399" s="843"/>
      <c r="L399" s="843"/>
      <c r="M399" s="843"/>
      <c r="N399" s="843"/>
      <c r="O399" s="843"/>
      <c r="P399" s="843"/>
    </row>
    <row r="400" spans="4:16" x14ac:dyDescent="0.2">
      <c r="D400" s="843"/>
      <c r="E400" s="843"/>
      <c r="F400" s="843"/>
      <c r="G400" s="843"/>
      <c r="H400" s="843"/>
      <c r="I400" s="843"/>
      <c r="J400" s="843"/>
      <c r="K400" s="843"/>
      <c r="L400" s="843"/>
      <c r="M400" s="843"/>
      <c r="N400" s="843"/>
      <c r="O400" s="843"/>
      <c r="P400" s="843"/>
    </row>
    <row r="401" spans="1:16" x14ac:dyDescent="0.2">
      <c r="D401" s="843"/>
      <c r="E401" s="843"/>
      <c r="F401" s="843"/>
      <c r="G401" s="843"/>
      <c r="H401" s="843"/>
      <c r="I401" s="843"/>
      <c r="J401" s="843"/>
      <c r="K401" s="843"/>
      <c r="L401" s="843"/>
      <c r="M401" s="843"/>
      <c r="N401" s="843"/>
      <c r="O401" s="843"/>
      <c r="P401" s="843"/>
    </row>
    <row r="402" spans="1:16" x14ac:dyDescent="0.2">
      <c r="D402" s="724" t="e">
        <f>SP!#REF!</f>
        <v>#REF!</v>
      </c>
      <c r="E402" s="724">
        <f>SP!B2</f>
        <v>0</v>
      </c>
      <c r="F402" s="724">
        <f>E402</f>
        <v>0</v>
      </c>
      <c r="G402" s="1">
        <f t="shared" ref="G402:P402" si="43">$E402</f>
        <v>0</v>
      </c>
      <c r="H402" s="1">
        <f t="shared" si="43"/>
        <v>0</v>
      </c>
      <c r="I402" s="1">
        <f t="shared" si="43"/>
        <v>0</v>
      </c>
      <c r="J402" s="1">
        <f t="shared" si="43"/>
        <v>0</v>
      </c>
      <c r="K402" s="1">
        <f t="shared" si="43"/>
        <v>0</v>
      </c>
      <c r="L402" s="1">
        <f t="shared" si="43"/>
        <v>0</v>
      </c>
      <c r="M402" s="1">
        <f t="shared" si="43"/>
        <v>0</v>
      </c>
      <c r="N402" s="1">
        <f t="shared" si="43"/>
        <v>0</v>
      </c>
      <c r="O402" s="1">
        <f t="shared" si="43"/>
        <v>0</v>
      </c>
      <c r="P402" s="1">
        <f t="shared" si="43"/>
        <v>0</v>
      </c>
    </row>
    <row r="403" spans="1:16" x14ac:dyDescent="0.2">
      <c r="A403" s="1376"/>
      <c r="B403" s="1376"/>
      <c r="C403" s="1376"/>
      <c r="D403" s="1803" t="str">
        <f>SP!A3</f>
        <v>2012/13</v>
      </c>
      <c r="E403" s="1803" t="str">
        <f>SP!B3</f>
        <v>2013/14</v>
      </c>
      <c r="F403" s="1803" t="str">
        <f>SP!C3</f>
        <v>2014/15</v>
      </c>
      <c r="G403" s="1803" t="str">
        <f>SP!D3</f>
        <v>2015/16</v>
      </c>
      <c r="H403" s="1803" t="e">
        <f>SP!#REF!</f>
        <v>#REF!</v>
      </c>
      <c r="I403" s="1803" t="str">
        <f>SP!H3</f>
        <v>2017/18</v>
      </c>
      <c r="J403" s="1803" t="str">
        <f>SP!J3</f>
        <v>2018/19</v>
      </c>
      <c r="K403" s="1803" t="str">
        <f>SP!K3</f>
        <v>2019/20</v>
      </c>
      <c r="L403" s="1803" t="str">
        <f>SP!L3</f>
        <v>2020/21</v>
      </c>
      <c r="M403" s="1803" t="str">
        <f>SP!M3</f>
        <v>2021/22</v>
      </c>
      <c r="N403" s="1803" t="str">
        <f>SP!N3</f>
        <v>2022/23</v>
      </c>
      <c r="O403" s="1803" t="str">
        <f>SP!O3</f>
        <v>2023/24</v>
      </c>
      <c r="P403" s="1803" t="str">
        <f>SP!P3</f>
        <v>2024/25</v>
      </c>
    </row>
    <row r="404" spans="1:16" x14ac:dyDescent="0.2">
      <c r="A404" s="285" t="s">
        <v>2924</v>
      </c>
      <c r="B404" s="285"/>
    </row>
    <row r="405" spans="1:16" x14ac:dyDescent="0.2">
      <c r="A405" s="1" t="s">
        <v>2898</v>
      </c>
    </row>
    <row r="406" spans="1:16" x14ac:dyDescent="0.2">
      <c r="C406" s="726" t="s">
        <v>3230</v>
      </c>
      <c r="D406" s="801">
        <v>2550</v>
      </c>
      <c r="E406" s="801">
        <v>2601</v>
      </c>
      <c r="F406" s="801">
        <v>2653.02</v>
      </c>
      <c r="G406" s="801">
        <v>2706.0803999999998</v>
      </c>
      <c r="H406" s="801">
        <v>2760.2020080000002</v>
      </c>
      <c r="I406" s="801">
        <v>2815.40604816</v>
      </c>
      <c r="J406" s="801">
        <v>2871.7141691231996</v>
      </c>
      <c r="K406" s="801">
        <v>2929.148452505664</v>
      </c>
      <c r="L406" s="801">
        <v>2987.7314215557772</v>
      </c>
      <c r="M406" s="801">
        <v>3047.4860499868928</v>
      </c>
      <c r="N406" s="801">
        <v>3108.4357709866299</v>
      </c>
      <c r="O406" s="820"/>
      <c r="P406" s="820"/>
    </row>
    <row r="407" spans="1:16" x14ac:dyDescent="0.2">
      <c r="C407" s="726" t="s">
        <v>2919</v>
      </c>
      <c r="D407" s="843">
        <v>915.96</v>
      </c>
      <c r="E407" s="843">
        <v>934.27919999999995</v>
      </c>
      <c r="F407" s="843">
        <v>952.9647839999999</v>
      </c>
      <c r="G407" s="843">
        <v>972.02407968</v>
      </c>
      <c r="H407" s="843">
        <v>991.4645612736</v>
      </c>
      <c r="I407" s="843">
        <v>1011.293852499072</v>
      </c>
      <c r="J407" s="843">
        <v>1031.5197295490532</v>
      </c>
      <c r="K407" s="843">
        <v>1053.3217835210367</v>
      </c>
      <c r="L407" s="843">
        <v>1074.3882191914574</v>
      </c>
      <c r="M407" s="843">
        <v>1095.8759835752867</v>
      </c>
      <c r="N407" s="843">
        <v>1117.7935032467922</v>
      </c>
      <c r="O407" s="820"/>
      <c r="P407" s="820"/>
    </row>
    <row r="408" spans="1:16" x14ac:dyDescent="0.2">
      <c r="C408" s="726" t="s">
        <v>2925</v>
      </c>
      <c r="D408" s="843">
        <v>1273.98</v>
      </c>
      <c r="E408" s="843">
        <v>1299.4595999999999</v>
      </c>
      <c r="F408" s="843">
        <v>1325.4487919999999</v>
      </c>
      <c r="G408" s="843">
        <v>1351.9577678399999</v>
      </c>
      <c r="H408" s="843">
        <v>1378.9969231968</v>
      </c>
      <c r="I408" s="843">
        <v>1406.5768616607361</v>
      </c>
      <c r="J408" s="843">
        <v>1434.7083988939505</v>
      </c>
      <c r="K408" s="843">
        <v>1463.4025668718295</v>
      </c>
      <c r="L408" s="843">
        <v>1492.6706182092662</v>
      </c>
      <c r="M408" s="843">
        <v>1522.5240305734517</v>
      </c>
      <c r="N408" s="843">
        <v>1552.9745111849204</v>
      </c>
      <c r="O408" s="820"/>
      <c r="P408" s="820"/>
    </row>
    <row r="409" spans="1:16" x14ac:dyDescent="0.2">
      <c r="A409" s="285"/>
      <c r="B409" s="285"/>
      <c r="C409" s="285" t="s">
        <v>2943</v>
      </c>
      <c r="D409" s="1802">
        <f>SUM(D406:D408)</f>
        <v>4739.9400000000005</v>
      </c>
      <c r="E409" s="1802">
        <f t="shared" ref="E409:O409" si="44">SUM(E406:E408)</f>
        <v>4834.7388000000001</v>
      </c>
      <c r="F409" s="1802">
        <f t="shared" si="44"/>
        <v>4931.4335759999994</v>
      </c>
      <c r="G409" s="1802">
        <f t="shared" si="44"/>
        <v>5030.0622475199998</v>
      </c>
      <c r="H409" s="1802">
        <f t="shared" si="44"/>
        <v>5130.6634924704003</v>
      </c>
      <c r="I409" s="1802">
        <f t="shared" si="44"/>
        <v>5233.2767623198088</v>
      </c>
      <c r="J409" s="1802">
        <f t="shared" si="44"/>
        <v>5337.9422975662028</v>
      </c>
      <c r="K409" s="1802">
        <f t="shared" si="44"/>
        <v>5445.8728028985297</v>
      </c>
      <c r="L409" s="1802">
        <f t="shared" si="44"/>
        <v>5554.7902589565001</v>
      </c>
      <c r="M409" s="1802">
        <f t="shared" si="44"/>
        <v>5665.8860641356314</v>
      </c>
      <c r="N409" s="1802">
        <f t="shared" si="44"/>
        <v>5779.2037854183427</v>
      </c>
      <c r="O409" s="1802">
        <f t="shared" si="44"/>
        <v>0</v>
      </c>
      <c r="P409" s="1802">
        <f t="shared" ref="P409" si="45">SUM(P406:P408)</f>
        <v>0</v>
      </c>
    </row>
    <row r="410" spans="1:16" x14ac:dyDescent="0.2">
      <c r="C410" s="772"/>
    </row>
    <row r="411" spans="1:16" x14ac:dyDescent="0.2">
      <c r="A411" s="726" t="s">
        <v>2905</v>
      </c>
      <c r="B411" s="726"/>
    </row>
    <row r="412" spans="1:16" x14ac:dyDescent="0.2">
      <c r="C412" s="726" t="s">
        <v>2918</v>
      </c>
      <c r="D412" s="843">
        <v>0</v>
      </c>
      <c r="E412" s="843">
        <v>0</v>
      </c>
      <c r="F412" s="843">
        <v>0</v>
      </c>
      <c r="G412" s="843">
        <v>0</v>
      </c>
      <c r="H412" s="843">
        <v>0</v>
      </c>
      <c r="I412" s="801">
        <v>0</v>
      </c>
      <c r="J412" s="843">
        <v>0</v>
      </c>
      <c r="K412" s="801">
        <v>0</v>
      </c>
      <c r="L412" s="843">
        <v>0</v>
      </c>
      <c r="M412" s="843">
        <v>0</v>
      </c>
      <c r="N412" s="801">
        <v>0</v>
      </c>
      <c r="O412" s="843"/>
      <c r="P412" s="843"/>
    </row>
    <row r="413" spans="1:16" x14ac:dyDescent="0.2">
      <c r="C413" s="726" t="s">
        <v>2919</v>
      </c>
      <c r="D413" s="843">
        <v>0</v>
      </c>
      <c r="E413" s="843">
        <v>0</v>
      </c>
      <c r="F413" s="843">
        <v>1304.1200260956443</v>
      </c>
      <c r="G413" s="801">
        <v>0</v>
      </c>
      <c r="H413" s="843">
        <v>0</v>
      </c>
      <c r="I413" s="843">
        <v>0</v>
      </c>
      <c r="J413" s="843">
        <v>0</v>
      </c>
      <c r="K413" s="843">
        <v>0</v>
      </c>
      <c r="L413" s="843">
        <v>2949.1172272772351</v>
      </c>
      <c r="M413" s="801">
        <v>0</v>
      </c>
      <c r="N413" s="843">
        <v>809.25016861865925</v>
      </c>
      <c r="O413" s="843"/>
      <c r="P413" s="843"/>
    </row>
    <row r="414" spans="1:16" x14ac:dyDescent="0.2">
      <c r="C414" s="726" t="s">
        <v>2925</v>
      </c>
      <c r="D414" s="843">
        <v>193.83893766158781</v>
      </c>
      <c r="E414" s="843">
        <v>129.97249000553271</v>
      </c>
      <c r="F414" s="843">
        <v>387.39411370630279</v>
      </c>
      <c r="G414" s="843">
        <v>84.996761963930794</v>
      </c>
      <c r="H414" s="843">
        <v>56.764740290995704</v>
      </c>
      <c r="I414" s="843">
        <v>818.32113192382724</v>
      </c>
      <c r="J414" s="843">
        <v>265.6810827200074</v>
      </c>
      <c r="K414" s="843">
        <v>246.96987187462457</v>
      </c>
      <c r="L414" s="843">
        <v>0</v>
      </c>
      <c r="M414" s="843">
        <v>0</v>
      </c>
      <c r="N414" s="843">
        <v>0</v>
      </c>
      <c r="O414" s="843"/>
      <c r="P414" s="843"/>
    </row>
    <row r="415" spans="1:16" x14ac:dyDescent="0.2">
      <c r="C415" s="726" t="s">
        <v>3450</v>
      </c>
      <c r="D415" s="843">
        <v>7696</v>
      </c>
      <c r="E415" s="843">
        <v>6384</v>
      </c>
      <c r="F415" s="843">
        <v>1568</v>
      </c>
      <c r="G415" s="843">
        <v>2532</v>
      </c>
      <c r="H415" s="843">
        <v>2497</v>
      </c>
      <c r="I415" s="843">
        <v>512</v>
      </c>
      <c r="J415" s="843">
        <v>528</v>
      </c>
      <c r="K415" s="843">
        <v>544</v>
      </c>
      <c r="L415" s="843">
        <v>560</v>
      </c>
      <c r="M415" s="843">
        <v>577</v>
      </c>
      <c r="N415" s="843">
        <v>146</v>
      </c>
      <c r="O415" s="843"/>
      <c r="P415" s="843"/>
    </row>
    <row r="416" spans="1:16" x14ac:dyDescent="0.2">
      <c r="C416" s="285" t="s">
        <v>2944</v>
      </c>
      <c r="D416" s="1802">
        <f t="shared" ref="D416:N416" si="46">SUM(D412:D415)</f>
        <v>7889.8389376615878</v>
      </c>
      <c r="E416" s="1802">
        <f t="shared" si="46"/>
        <v>6513.9724900055326</v>
      </c>
      <c r="F416" s="1802">
        <f t="shared" si="46"/>
        <v>3259.5141398019468</v>
      </c>
      <c r="G416" s="1802">
        <f t="shared" si="46"/>
        <v>2616.996761963931</v>
      </c>
      <c r="H416" s="1802">
        <f t="shared" si="46"/>
        <v>2553.7647402909956</v>
      </c>
      <c r="I416" s="1802">
        <f t="shared" si="46"/>
        <v>1330.3211319238271</v>
      </c>
      <c r="J416" s="1802">
        <f t="shared" si="46"/>
        <v>793.68108272000745</v>
      </c>
      <c r="K416" s="1802">
        <f t="shared" si="46"/>
        <v>790.96987187462457</v>
      </c>
      <c r="L416" s="1802">
        <f t="shared" si="46"/>
        <v>3509.1172272772351</v>
      </c>
      <c r="M416" s="1802">
        <f t="shared" si="46"/>
        <v>577</v>
      </c>
      <c r="N416" s="1802">
        <f t="shared" si="46"/>
        <v>955.25016861865925</v>
      </c>
      <c r="O416" s="1802">
        <f>SUM(O412:O415)</f>
        <v>0</v>
      </c>
      <c r="P416" s="1802">
        <f>SUM(P412:P415)</f>
        <v>0</v>
      </c>
    </row>
    <row r="417" spans="1:16" x14ac:dyDescent="0.2">
      <c r="C417" s="285" t="s">
        <v>2945</v>
      </c>
      <c r="D417" s="1801">
        <f>D409+D416</f>
        <v>12629.778937661587</v>
      </c>
      <c r="E417" s="1801">
        <f t="shared" ref="E417:O417" si="47">E409+E416</f>
        <v>11348.711290005533</v>
      </c>
      <c r="F417" s="1801">
        <f t="shared" si="47"/>
        <v>8190.9477158019463</v>
      </c>
      <c r="G417" s="1801">
        <f t="shared" si="47"/>
        <v>7647.0590094839308</v>
      </c>
      <c r="H417" s="1801">
        <f t="shared" si="47"/>
        <v>7684.4282327613964</v>
      </c>
      <c r="I417" s="1801">
        <f t="shared" si="47"/>
        <v>6563.5978942436359</v>
      </c>
      <c r="J417" s="1801">
        <f t="shared" si="47"/>
        <v>6131.6233802862098</v>
      </c>
      <c r="K417" s="1801">
        <f t="shared" si="47"/>
        <v>6236.8426747731546</v>
      </c>
      <c r="L417" s="1801">
        <f t="shared" si="47"/>
        <v>9063.9074862337347</v>
      </c>
      <c r="M417" s="1801">
        <f t="shared" si="47"/>
        <v>6242.8860641356314</v>
      </c>
      <c r="N417" s="1801">
        <f t="shared" si="47"/>
        <v>6734.4539540370024</v>
      </c>
      <c r="O417" s="1801">
        <f t="shared" si="47"/>
        <v>0</v>
      </c>
      <c r="P417" s="1801">
        <f t="shared" ref="P417" si="48">P409+P416</f>
        <v>0</v>
      </c>
    </row>
    <row r="418" spans="1:16" x14ac:dyDescent="0.2">
      <c r="C418" s="726"/>
    </row>
    <row r="419" spans="1:16" x14ac:dyDescent="0.2">
      <c r="A419" s="285" t="s">
        <v>2926</v>
      </c>
      <c r="B419" s="285"/>
    </row>
    <row r="420" spans="1:16" x14ac:dyDescent="0.2">
      <c r="A420" s="1" t="s">
        <v>2898</v>
      </c>
    </row>
    <row r="421" spans="1:16" x14ac:dyDescent="0.2">
      <c r="C421" s="726" t="s">
        <v>2918</v>
      </c>
      <c r="D421" s="843">
        <f>ROUND(SUM('W&amp;W'!A449:A452)+SUM('W&amp;W'!A463:A484),-3)/1000</f>
        <v>1945</v>
      </c>
      <c r="E421" s="843">
        <f>ROUND(SUM('W&amp;W'!B449:B452)+SUM('W&amp;W'!B463:B484),-3)/1000</f>
        <v>2430</v>
      </c>
      <c r="F421" s="843">
        <f>ROUND(SUM('W&amp;W'!C449:C452)+SUM('W&amp;W'!C463:C484),-3)/1000</f>
        <v>2581</v>
      </c>
      <c r="G421" s="843">
        <f>ROUND(SUM('W&amp;W'!D449:D452)+SUM('W&amp;W'!D463:D484),-3)/1000</f>
        <v>2011</v>
      </c>
      <c r="H421" s="843" t="e">
        <f>ROUND(SUM('W&amp;W'!#REF!)+SUM('W&amp;W'!#REF!),-3)/1000</f>
        <v>#REF!</v>
      </c>
      <c r="I421" s="843">
        <f>ROUND(SUM('W&amp;W'!H449:H452)+SUM('W&amp;W'!H463:H484),-3)/1000</f>
        <v>1870</v>
      </c>
      <c r="J421" s="843">
        <f>ROUND(SUM('W&amp;W'!J449:J452)+SUM('W&amp;W'!J463:J484),-3)/1000</f>
        <v>1914</v>
      </c>
      <c r="K421" s="843">
        <f>ROUND(SUM('W&amp;W'!K449:K452)+SUM('W&amp;W'!K463:K484),-3)/1000</f>
        <v>1963</v>
      </c>
      <c r="L421" s="843">
        <f>ROUND(SUM('W&amp;W'!L449:L452)+SUM('W&amp;W'!L463:L484),-3)/1000</f>
        <v>2012</v>
      </c>
      <c r="M421" s="843">
        <f>ROUND(SUM('W&amp;W'!M449:M452)+SUM('W&amp;W'!M463:M484),-3)/1000</f>
        <v>2063</v>
      </c>
      <c r="N421" s="843">
        <f>ROUND(SUM('W&amp;W'!N449:N452)+SUM('W&amp;W'!N463:N484),-3)/1000</f>
        <v>2116</v>
      </c>
      <c r="O421" s="843">
        <f>ROUND(SUM('W&amp;W'!O449:O452)+SUM('W&amp;W'!O463:O484),-3)/1000</f>
        <v>2169</v>
      </c>
      <c r="P421" s="843">
        <f>ROUND(SUM('W&amp;W'!P449:P452)+SUM('W&amp;W'!P463:P484),-3)/1000</f>
        <v>2224</v>
      </c>
    </row>
    <row r="422" spans="1:16" x14ac:dyDescent="0.2">
      <c r="C422" s="726" t="s">
        <v>2919</v>
      </c>
      <c r="D422" s="843">
        <f>ROUND('W&amp;W'!A444+'W&amp;W'!A504,-3)/1000</f>
        <v>553</v>
      </c>
      <c r="E422" s="843">
        <f>ROUND('W&amp;W'!B444+'W&amp;W'!B504,-3)/1000</f>
        <v>522</v>
      </c>
      <c r="F422" s="843">
        <f>ROUND('W&amp;W'!C444+'W&amp;W'!C504,-3)/1000</f>
        <v>600</v>
      </c>
      <c r="G422" s="843">
        <f>ROUND('W&amp;W'!D444+'W&amp;W'!D504,-3)/1000</f>
        <v>555</v>
      </c>
      <c r="H422" s="843" t="e">
        <f>ROUND('W&amp;W'!#REF!+'W&amp;W'!#REF!,-3)/1000</f>
        <v>#REF!</v>
      </c>
      <c r="I422" s="843">
        <f>ROUND('W&amp;W'!H444+'W&amp;W'!H504,-3)/1000</f>
        <v>373</v>
      </c>
      <c r="J422" s="843">
        <f>ROUND('W&amp;W'!J444+'W&amp;W'!J504,-3)/1000</f>
        <v>382</v>
      </c>
      <c r="K422" s="843">
        <f>ROUND('W&amp;W'!K444+'W&amp;W'!K504,-3)/1000</f>
        <v>391</v>
      </c>
      <c r="L422" s="843">
        <f>ROUND('W&amp;W'!L444+'W&amp;W'!L504,-3)/1000</f>
        <v>401</v>
      </c>
      <c r="M422" s="843">
        <f>ROUND('W&amp;W'!M444+'W&amp;W'!M504,-3)/1000</f>
        <v>411</v>
      </c>
      <c r="N422" s="843">
        <f>ROUND('W&amp;W'!N444+'W&amp;W'!N504,-3)/1000</f>
        <v>422</v>
      </c>
      <c r="O422" s="843">
        <f>ROUND('W&amp;W'!O444+'W&amp;W'!O504,-3)/1000</f>
        <v>433</v>
      </c>
      <c r="P422" s="843">
        <f>ROUND('W&amp;W'!P444+'W&amp;W'!P504,-3)/1000</f>
        <v>443</v>
      </c>
    </row>
    <row r="423" spans="1:16" x14ac:dyDescent="0.2">
      <c r="C423" s="726" t="s">
        <v>2925</v>
      </c>
      <c r="D423" s="843">
        <f>ROUND(SUM('W&amp;W'!A453:A459),-3)/1000</f>
        <v>1469</v>
      </c>
      <c r="E423" s="843">
        <f>ROUND(SUM('W&amp;W'!B453:B459),-3)/1000</f>
        <v>1418</v>
      </c>
      <c r="F423" s="843">
        <f>ROUND(SUM('W&amp;W'!C453:C459),-3)/1000</f>
        <v>1435</v>
      </c>
      <c r="G423" s="843">
        <f>ROUND(SUM('W&amp;W'!D453:D459),-3)/1000</f>
        <v>1318</v>
      </c>
      <c r="H423" s="843" t="e">
        <f>ROUND(SUM('W&amp;W'!#REF!),-3)/1000</f>
        <v>#REF!</v>
      </c>
      <c r="I423" s="843">
        <f>ROUND(SUM('W&amp;W'!H453:H459),-3)/1000</f>
        <v>1534</v>
      </c>
      <c r="J423" s="843">
        <f>ROUND(SUM('W&amp;W'!J453:J459),-3)/1000</f>
        <v>1570</v>
      </c>
      <c r="K423" s="843">
        <f>ROUND(SUM('W&amp;W'!K453:K459),-3)/1000</f>
        <v>1609</v>
      </c>
      <c r="L423" s="843">
        <f>ROUND(SUM('W&amp;W'!L453:L459),-3)/1000</f>
        <v>1650</v>
      </c>
      <c r="M423" s="843">
        <f>ROUND(SUM('W&amp;W'!M453:M459),-3)/1000</f>
        <v>1691</v>
      </c>
      <c r="N423" s="843">
        <f>ROUND(SUM('W&amp;W'!N453:N459),-3)/1000</f>
        <v>1733</v>
      </c>
      <c r="O423" s="843">
        <f>ROUND(SUM('W&amp;W'!O453:O459),-3)/1000</f>
        <v>1777</v>
      </c>
      <c r="P423" s="843">
        <f>ROUND(SUM('W&amp;W'!P453:P459),-3)/1000</f>
        <v>1822</v>
      </c>
    </row>
    <row r="424" spans="1:16" x14ac:dyDescent="0.2">
      <c r="A424" s="285"/>
      <c r="B424" s="285"/>
      <c r="C424" s="285" t="s">
        <v>2946</v>
      </c>
      <c r="D424" s="1802">
        <f>SUM(D421:D423)</f>
        <v>3967</v>
      </c>
      <c r="E424" s="1802">
        <f t="shared" ref="E424:O424" si="49">SUM(E421:E423)</f>
        <v>4370</v>
      </c>
      <c r="F424" s="1802">
        <f t="shared" si="49"/>
        <v>4616</v>
      </c>
      <c r="G424" s="1802">
        <f t="shared" si="49"/>
        <v>3884</v>
      </c>
      <c r="H424" s="1802" t="e">
        <f t="shared" si="49"/>
        <v>#REF!</v>
      </c>
      <c r="I424" s="1802">
        <f t="shared" si="49"/>
        <v>3777</v>
      </c>
      <c r="J424" s="1802">
        <f t="shared" si="49"/>
        <v>3866</v>
      </c>
      <c r="K424" s="1802">
        <f t="shared" si="49"/>
        <v>3963</v>
      </c>
      <c r="L424" s="1802">
        <f t="shared" si="49"/>
        <v>4063</v>
      </c>
      <c r="M424" s="1802">
        <f t="shared" si="49"/>
        <v>4165</v>
      </c>
      <c r="N424" s="1802">
        <f t="shared" si="49"/>
        <v>4271</v>
      </c>
      <c r="O424" s="1802">
        <f t="shared" si="49"/>
        <v>4379</v>
      </c>
      <c r="P424" s="1802">
        <f t="shared" ref="P424" si="50">SUM(P421:P423)</f>
        <v>4489</v>
      </c>
    </row>
    <row r="426" spans="1:16" x14ac:dyDescent="0.2">
      <c r="A426" s="726" t="s">
        <v>2905</v>
      </c>
      <c r="B426" s="726"/>
    </row>
    <row r="427" spans="1:16" x14ac:dyDescent="0.2">
      <c r="C427" s="726" t="s">
        <v>2918</v>
      </c>
      <c r="D427" s="843">
        <v>7657</v>
      </c>
      <c r="E427" s="843" t="e">
        <f>ROUND(SUM('Cap-WW'!#REF!)/100*40+SUM('Cap-WW'!#REF!)/100*64,-3)/1000</f>
        <v>#REF!</v>
      </c>
      <c r="F427" s="843" t="e">
        <f>ROUND(SUM('Cap-WW'!#REF!)/100*40+SUM('Cap-WW'!#REF!)/100*64,-3)/1000</f>
        <v>#REF!</v>
      </c>
      <c r="G427" s="843">
        <f>ROUND(SUM('Cap-WW'!F35:F49)/100*40+SUM('Cap-WW'!F117:F117)/100*64,-3)/1000</f>
        <v>188</v>
      </c>
      <c r="H427" s="843">
        <f>ROUND(SUM('Cap-WW'!G35:G49)/100*40+SUM('Cap-WW'!G117:G117)/100*64,-3)/1000</f>
        <v>194</v>
      </c>
      <c r="I427" s="843">
        <f>ROUND(SUM('Cap-WW'!H35:H49)/100*40+SUM('Cap-WW'!H117:H117)/100*64,-3)/1000</f>
        <v>46</v>
      </c>
      <c r="J427" s="843">
        <f>ROUND(SUM('Cap-WW'!I35:I49)/100*40+SUM('Cap-WW'!I117:I117)/100*64,-3)/1000</f>
        <v>400</v>
      </c>
      <c r="K427" s="843">
        <f>ROUND(SUM('Cap-WW'!J35:J49)/100*40+SUM('Cap-WW'!J117:J117)/100*64,-3)/1000</f>
        <v>200</v>
      </c>
      <c r="L427" s="843">
        <f>ROUND(SUM('Cap-WW'!K35:K49)/100*40+SUM('Cap-WW'!K117:K117)/100*64,-3)/1000</f>
        <v>200</v>
      </c>
      <c r="M427" s="843">
        <f>ROUND(SUM('Cap-WW'!L35:L49)/100*40+SUM('Cap-WW'!L117:L117)/100*64,-3)/1000</f>
        <v>200</v>
      </c>
      <c r="N427" s="843">
        <f>ROUND(SUM('Cap-WW'!M35:M49)/100*40+SUM('Cap-WW'!M117:M117)/100*64,-3)/1000</f>
        <v>0</v>
      </c>
      <c r="O427" s="843">
        <f>ROUND(SUM('Cap-WW'!N35:N49)/100*40+SUM('Cap-WW'!N117:N117)/100*64,-3)/1000</f>
        <v>0</v>
      </c>
      <c r="P427" s="843" t="e">
        <f>ROUND(SUM('Cap-WW'!#REF!)/100*40+SUM('Cap-WW'!#REF!)/100*64,-3)/1000</f>
        <v>#REF!</v>
      </c>
    </row>
    <row r="428" spans="1:16" x14ac:dyDescent="0.2">
      <c r="C428" s="726" t="s">
        <v>2919</v>
      </c>
      <c r="D428" s="843">
        <v>1371</v>
      </c>
      <c r="E428" s="843" t="e">
        <f>ROUND(SUM('Cap-WW'!#REF!)+SUM('Cap-WW'!#REF!),-3)/1000</f>
        <v>#REF!</v>
      </c>
      <c r="F428" s="843" t="e">
        <f>ROUND(SUM('Cap-WW'!#REF!)+SUM('Cap-WW'!#REF!),-3)/1000</f>
        <v>#REF!</v>
      </c>
      <c r="G428" s="843">
        <f>ROUND(SUM('Cap-WW'!F69:F69)+SUM('Cap-WW'!F94:F97),-3)/1000</f>
        <v>114</v>
      </c>
      <c r="H428" s="843">
        <f>ROUND(SUM('Cap-WW'!G69:G69)+SUM('Cap-WW'!G94:G97),-3)/1000</f>
        <v>97</v>
      </c>
      <c r="I428" s="843">
        <f>ROUND(SUM('Cap-WW'!H69:H69)+SUM('Cap-WW'!H94:H97),-3)/1000</f>
        <v>200</v>
      </c>
      <c r="J428" s="843">
        <f>ROUND(SUM('Cap-WW'!I69:I69)+SUM('Cap-WW'!I94:I97),-3)/1000</f>
        <v>521</v>
      </c>
      <c r="K428" s="843">
        <f>ROUND(SUM('Cap-WW'!J69:J69)+SUM('Cap-WW'!J94:J97),-3)/1000</f>
        <v>475</v>
      </c>
      <c r="L428" s="843">
        <f>ROUND(SUM('Cap-WW'!K69:K69)+SUM('Cap-WW'!K94:K97),-3)/1000</f>
        <v>489</v>
      </c>
      <c r="M428" s="843">
        <f>ROUND(SUM('Cap-WW'!L69:L69)+SUM('Cap-WW'!L94:L97),-3)/1000</f>
        <v>504</v>
      </c>
      <c r="N428" s="843">
        <f>ROUND(SUM('Cap-WW'!M69:M69)+SUM('Cap-WW'!M94:M97),-3)/1000</f>
        <v>519</v>
      </c>
      <c r="O428" s="843">
        <f>ROUND(SUM('Cap-WW'!N69:N69)+SUM('Cap-WW'!N94:N97),-3)/1000</f>
        <v>535</v>
      </c>
      <c r="P428" s="843" t="e">
        <f>ROUND(SUM('Cap-WW'!#REF!)+SUM('Cap-WW'!#REF!),-3)/1000</f>
        <v>#REF!</v>
      </c>
    </row>
    <row r="429" spans="1:16" x14ac:dyDescent="0.2">
      <c r="C429" s="726" t="s">
        <v>2925</v>
      </c>
      <c r="D429" s="843">
        <v>205</v>
      </c>
      <c r="E429" s="843" t="e">
        <f>ROUND(SUM('Cap-WW'!#REF!)+SUM('Cap-WW'!#REF!),-3)/1000</f>
        <v>#REF!</v>
      </c>
      <c r="F429" s="843" t="e">
        <f>ROUND(SUM('Cap-WW'!#REF!)+SUM('Cap-WW'!#REF!),-3)/1000</f>
        <v>#REF!</v>
      </c>
      <c r="G429" s="843" t="e">
        <f>ROUND(SUM('Cap-WW'!F5:F17)+SUM('Cap-WW'!#REF!),-3)/1000</f>
        <v>#REF!</v>
      </c>
      <c r="H429" s="843" t="e">
        <f>ROUND(SUM('Cap-WW'!G5:G17)+SUM('Cap-WW'!#REF!),-3)/1000</f>
        <v>#REF!</v>
      </c>
      <c r="I429" s="843" t="e">
        <f>ROUND(SUM('Cap-WW'!H5:H17)+SUM('Cap-WW'!#REF!),-3)/1000</f>
        <v>#REF!</v>
      </c>
      <c r="J429" s="843" t="e">
        <f>ROUND(SUM('Cap-WW'!I5:I17)+SUM('Cap-WW'!#REF!),-3)/1000</f>
        <v>#REF!</v>
      </c>
      <c r="K429" s="843" t="e">
        <f>ROUND(SUM('Cap-WW'!J5:J17)+SUM('Cap-WW'!#REF!),-3)/1000</f>
        <v>#REF!</v>
      </c>
      <c r="L429" s="843" t="e">
        <f>ROUND(SUM('Cap-WW'!K5:K17)+SUM('Cap-WW'!#REF!),-3)/1000</f>
        <v>#REF!</v>
      </c>
      <c r="M429" s="843" t="e">
        <f>ROUND(SUM('Cap-WW'!L5:L17)+SUM('Cap-WW'!#REF!),-3)/1000</f>
        <v>#REF!</v>
      </c>
      <c r="N429" s="843" t="e">
        <f>ROUND(SUM('Cap-WW'!M5:M17)+SUM('Cap-WW'!#REF!),-3)/1000</f>
        <v>#REF!</v>
      </c>
      <c r="O429" s="843" t="e">
        <f>ROUND(SUM('Cap-WW'!N5:N17)+SUM('Cap-WW'!#REF!),-3)/1000</f>
        <v>#REF!</v>
      </c>
      <c r="P429" s="843" t="e">
        <f>ROUND(SUM('Cap-WW'!#REF!)+SUM('Cap-WW'!#REF!),-3)/1000</f>
        <v>#REF!</v>
      </c>
    </row>
    <row r="430" spans="1:16" x14ac:dyDescent="0.2">
      <c r="C430" s="285" t="s">
        <v>2947</v>
      </c>
      <c r="D430" s="1802">
        <f>SUM(D427:D429)</f>
        <v>9233</v>
      </c>
      <c r="E430" s="1802" t="e">
        <f t="shared" ref="E430:O430" si="51">SUM(E427:E429)</f>
        <v>#REF!</v>
      </c>
      <c r="F430" s="1802" t="e">
        <f t="shared" si="51"/>
        <v>#REF!</v>
      </c>
      <c r="G430" s="1802" t="e">
        <f t="shared" si="51"/>
        <v>#REF!</v>
      </c>
      <c r="H430" s="1802" t="e">
        <f t="shared" si="51"/>
        <v>#REF!</v>
      </c>
      <c r="I430" s="1802" t="e">
        <f t="shared" si="51"/>
        <v>#REF!</v>
      </c>
      <c r="J430" s="1802" t="e">
        <f t="shared" si="51"/>
        <v>#REF!</v>
      </c>
      <c r="K430" s="1802" t="e">
        <f t="shared" si="51"/>
        <v>#REF!</v>
      </c>
      <c r="L430" s="1802" t="e">
        <f t="shared" si="51"/>
        <v>#REF!</v>
      </c>
      <c r="M430" s="1802" t="e">
        <f t="shared" si="51"/>
        <v>#REF!</v>
      </c>
      <c r="N430" s="1802" t="e">
        <f t="shared" si="51"/>
        <v>#REF!</v>
      </c>
      <c r="O430" s="1802" t="e">
        <f t="shared" si="51"/>
        <v>#REF!</v>
      </c>
      <c r="P430" s="1802" t="e">
        <f t="shared" ref="P430" si="52">SUM(P427:P429)</f>
        <v>#REF!</v>
      </c>
    </row>
    <row r="431" spans="1:16" x14ac:dyDescent="0.2">
      <c r="C431" s="285" t="s">
        <v>2948</v>
      </c>
      <c r="D431" s="1802">
        <f>D424+D430</f>
        <v>13200</v>
      </c>
      <c r="E431" s="1802" t="e">
        <f t="shared" ref="E431:O431" si="53">E424+E430</f>
        <v>#REF!</v>
      </c>
      <c r="F431" s="1802" t="e">
        <f t="shared" si="53"/>
        <v>#REF!</v>
      </c>
      <c r="G431" s="1802" t="e">
        <f t="shared" si="53"/>
        <v>#REF!</v>
      </c>
      <c r="H431" s="1802" t="e">
        <f t="shared" si="53"/>
        <v>#REF!</v>
      </c>
      <c r="I431" s="1802" t="e">
        <f t="shared" si="53"/>
        <v>#REF!</v>
      </c>
      <c r="J431" s="1802" t="e">
        <f t="shared" si="53"/>
        <v>#REF!</v>
      </c>
      <c r="K431" s="1802" t="e">
        <f t="shared" si="53"/>
        <v>#REF!</v>
      </c>
      <c r="L431" s="1802" t="e">
        <f t="shared" si="53"/>
        <v>#REF!</v>
      </c>
      <c r="M431" s="1802" t="e">
        <f t="shared" si="53"/>
        <v>#REF!</v>
      </c>
      <c r="N431" s="1802" t="e">
        <f t="shared" si="53"/>
        <v>#REF!</v>
      </c>
      <c r="O431" s="1802" t="e">
        <f t="shared" si="53"/>
        <v>#REF!</v>
      </c>
      <c r="P431" s="1802" t="e">
        <f t="shared" ref="P431" si="54">P424+P430</f>
        <v>#REF!</v>
      </c>
    </row>
    <row r="432" spans="1:16" x14ac:dyDescent="0.2">
      <c r="C432" s="285" t="s">
        <v>2929</v>
      </c>
      <c r="D432" s="1801">
        <f>D431-D417</f>
        <v>570.22106233841259</v>
      </c>
      <c r="E432" s="1801" t="e">
        <f t="shared" ref="E432:G432" si="55">E431-E417</f>
        <v>#REF!</v>
      </c>
      <c r="F432" s="1801" t="e">
        <f t="shared" si="55"/>
        <v>#REF!</v>
      </c>
      <c r="G432" s="1801" t="e">
        <f t="shared" si="55"/>
        <v>#REF!</v>
      </c>
      <c r="H432" s="1801" t="e">
        <f t="shared" ref="H432:O432" si="56">H431-H417</f>
        <v>#REF!</v>
      </c>
      <c r="I432" s="1801" t="e">
        <f t="shared" si="56"/>
        <v>#REF!</v>
      </c>
      <c r="J432" s="1801" t="e">
        <f t="shared" si="56"/>
        <v>#REF!</v>
      </c>
      <c r="K432" s="1801" t="e">
        <f t="shared" si="56"/>
        <v>#REF!</v>
      </c>
      <c r="L432" s="1801" t="e">
        <f t="shared" si="56"/>
        <v>#REF!</v>
      </c>
      <c r="M432" s="1801" t="e">
        <f t="shared" si="56"/>
        <v>#REF!</v>
      </c>
      <c r="N432" s="1801" t="e">
        <f t="shared" si="56"/>
        <v>#REF!</v>
      </c>
      <c r="O432" s="1801" t="e">
        <f t="shared" si="56"/>
        <v>#REF!</v>
      </c>
      <c r="P432" s="1801" t="e">
        <f t="shared" ref="P432" si="57">P431-P417</f>
        <v>#REF!</v>
      </c>
    </row>
    <row r="433" spans="3:16" x14ac:dyDescent="0.2">
      <c r="C433" s="285" t="s">
        <v>2930</v>
      </c>
      <c r="D433" s="1801">
        <f>D432</f>
        <v>570.22106233841259</v>
      </c>
      <c r="E433" s="1801" t="e">
        <f>D433+E432</f>
        <v>#REF!</v>
      </c>
      <c r="F433" s="1801" t="e">
        <f t="shared" ref="F433:P433" si="58">E433+F432</f>
        <v>#REF!</v>
      </c>
      <c r="G433" s="1801" t="e">
        <f t="shared" si="58"/>
        <v>#REF!</v>
      </c>
      <c r="H433" s="1801" t="e">
        <f t="shared" si="58"/>
        <v>#REF!</v>
      </c>
      <c r="I433" s="1801" t="e">
        <f t="shared" si="58"/>
        <v>#REF!</v>
      </c>
      <c r="J433" s="1801" t="e">
        <f t="shared" si="58"/>
        <v>#REF!</v>
      </c>
      <c r="K433" s="1801" t="e">
        <f t="shared" si="58"/>
        <v>#REF!</v>
      </c>
      <c r="L433" s="1801" t="e">
        <f t="shared" si="58"/>
        <v>#REF!</v>
      </c>
      <c r="M433" s="1801" t="e">
        <f t="shared" si="58"/>
        <v>#REF!</v>
      </c>
      <c r="N433" s="1801" t="e">
        <f t="shared" si="58"/>
        <v>#REF!</v>
      </c>
      <c r="O433" s="1801" t="e">
        <f t="shared" si="58"/>
        <v>#REF!</v>
      </c>
      <c r="P433" s="1801" t="e">
        <f t="shared" si="58"/>
        <v>#REF!</v>
      </c>
    </row>
    <row r="435" spans="3:16" x14ac:dyDescent="0.2">
      <c r="D435" s="843"/>
      <c r="E435" s="843"/>
      <c r="F435" s="843"/>
      <c r="G435" s="843"/>
      <c r="H435" s="843"/>
      <c r="I435" s="843"/>
      <c r="J435" s="843"/>
      <c r="K435" s="843"/>
      <c r="L435" s="843"/>
      <c r="M435" s="843"/>
      <c r="N435" s="843"/>
      <c r="O435" s="843"/>
      <c r="P435" s="843"/>
    </row>
    <row r="436" spans="3:16" x14ac:dyDescent="0.2">
      <c r="D436" s="843"/>
      <c r="E436" s="843"/>
      <c r="F436" s="843"/>
      <c r="G436" s="843"/>
      <c r="H436" s="843"/>
      <c r="I436" s="843"/>
      <c r="J436" s="843"/>
      <c r="K436" s="843"/>
      <c r="L436" s="843"/>
      <c r="M436" s="843"/>
      <c r="N436" s="843"/>
      <c r="O436" s="843"/>
      <c r="P436" s="843"/>
    </row>
    <row r="437" spans="3:16" x14ac:dyDescent="0.2">
      <c r="D437" s="843"/>
      <c r="E437" s="843"/>
      <c r="F437" s="843"/>
      <c r="G437" s="843"/>
      <c r="H437" s="843"/>
      <c r="I437" s="843"/>
      <c r="J437" s="843"/>
      <c r="K437" s="843"/>
      <c r="L437" s="843"/>
      <c r="M437" s="843"/>
      <c r="N437" s="843"/>
      <c r="O437" s="843"/>
      <c r="P437" s="843"/>
    </row>
    <row r="438" spans="3:16" x14ac:dyDescent="0.2">
      <c r="D438" s="843"/>
      <c r="E438" s="843"/>
      <c r="F438" s="843"/>
      <c r="G438" s="843"/>
      <c r="H438" s="843"/>
      <c r="I438" s="843"/>
      <c r="J438" s="843"/>
      <c r="K438" s="843"/>
      <c r="L438" s="843"/>
      <c r="M438" s="843"/>
      <c r="N438" s="843"/>
      <c r="O438" s="843"/>
      <c r="P438" s="843"/>
    </row>
    <row r="439" spans="3:16" x14ac:dyDescent="0.2">
      <c r="D439" s="843"/>
      <c r="E439" s="843"/>
      <c r="F439" s="843"/>
      <c r="G439" s="843"/>
      <c r="H439" s="843"/>
      <c r="I439" s="843"/>
      <c r="J439" s="843"/>
      <c r="K439" s="843"/>
      <c r="L439" s="843"/>
      <c r="M439" s="843"/>
      <c r="N439" s="843"/>
      <c r="O439" s="843"/>
      <c r="P439" s="843"/>
    </row>
    <row r="440" spans="3:16" x14ac:dyDescent="0.2">
      <c r="D440" s="843"/>
      <c r="E440" s="843"/>
      <c r="F440" s="843"/>
      <c r="G440" s="843"/>
      <c r="H440" s="843"/>
      <c r="I440" s="843"/>
      <c r="J440" s="843"/>
      <c r="K440" s="843"/>
      <c r="L440" s="843"/>
      <c r="M440" s="843"/>
      <c r="N440" s="843"/>
      <c r="O440" s="843"/>
      <c r="P440" s="843"/>
    </row>
    <row r="441" spans="3:16" x14ac:dyDescent="0.2">
      <c r="D441" s="843"/>
      <c r="E441" s="843"/>
      <c r="F441" s="843"/>
      <c r="G441" s="843"/>
      <c r="H441" s="843"/>
      <c r="I441" s="843"/>
      <c r="J441" s="843"/>
      <c r="K441" s="843"/>
      <c r="L441" s="843"/>
      <c r="M441" s="843"/>
      <c r="N441" s="843"/>
      <c r="O441" s="843"/>
      <c r="P441" s="843"/>
    </row>
    <row r="442" spans="3:16" x14ac:dyDescent="0.2">
      <c r="D442" s="843"/>
      <c r="E442" s="843"/>
      <c r="F442" s="843"/>
      <c r="G442" s="843"/>
      <c r="H442" s="843"/>
      <c r="I442" s="843"/>
      <c r="J442" s="843"/>
      <c r="K442" s="843"/>
      <c r="L442" s="843"/>
      <c r="M442" s="843"/>
      <c r="N442" s="843"/>
      <c r="O442" s="843"/>
      <c r="P442" s="843"/>
    </row>
    <row r="443" spans="3:16" x14ac:dyDescent="0.2">
      <c r="D443" s="843"/>
      <c r="E443" s="843"/>
      <c r="F443" s="843"/>
      <c r="G443" s="843"/>
      <c r="H443" s="843"/>
      <c r="I443" s="843"/>
      <c r="J443" s="843"/>
      <c r="K443" s="843"/>
      <c r="L443" s="843"/>
      <c r="M443" s="843"/>
      <c r="N443" s="843"/>
      <c r="O443" s="843"/>
      <c r="P443" s="843"/>
    </row>
    <row r="444" spans="3:16" x14ac:dyDescent="0.2">
      <c r="D444" s="843"/>
      <c r="E444" s="843"/>
      <c r="F444" s="843"/>
      <c r="G444" s="843"/>
      <c r="H444" s="843"/>
      <c r="I444" s="843"/>
      <c r="J444" s="843"/>
      <c r="K444" s="843"/>
      <c r="L444" s="843"/>
      <c r="M444" s="843"/>
      <c r="N444" s="843"/>
      <c r="O444" s="843"/>
      <c r="P444" s="843"/>
    </row>
    <row r="445" spans="3:16" x14ac:dyDescent="0.2">
      <c r="D445" s="843"/>
      <c r="E445" s="843"/>
      <c r="F445" s="843"/>
      <c r="G445" s="843"/>
      <c r="H445" s="843"/>
      <c r="I445" s="843"/>
      <c r="J445" s="843"/>
      <c r="K445" s="843"/>
      <c r="L445" s="843"/>
      <c r="M445" s="843"/>
      <c r="N445" s="843"/>
      <c r="O445" s="843"/>
      <c r="P445" s="843"/>
    </row>
    <row r="446" spans="3:16" x14ac:dyDescent="0.2">
      <c r="D446" s="843"/>
      <c r="E446" s="843"/>
      <c r="F446" s="843"/>
      <c r="G446" s="843"/>
      <c r="H446" s="843"/>
      <c r="I446" s="843"/>
      <c r="J446" s="843"/>
      <c r="K446" s="843"/>
      <c r="L446" s="843"/>
      <c r="M446" s="843"/>
      <c r="N446" s="843"/>
      <c r="O446" s="843"/>
      <c r="P446" s="843"/>
    </row>
    <row r="447" spans="3:16" x14ac:dyDescent="0.2">
      <c r="D447" s="843"/>
      <c r="E447" s="843"/>
      <c r="F447" s="843"/>
      <c r="G447" s="843"/>
      <c r="H447" s="843"/>
      <c r="I447" s="843"/>
      <c r="J447" s="843"/>
      <c r="K447" s="843"/>
      <c r="L447" s="843"/>
      <c r="M447" s="843"/>
      <c r="N447" s="843"/>
      <c r="O447" s="843"/>
      <c r="P447" s="843"/>
    </row>
    <row r="448" spans="3:16" x14ac:dyDescent="0.2">
      <c r="D448" s="843"/>
      <c r="E448" s="843"/>
      <c r="F448" s="843"/>
      <c r="G448" s="843"/>
      <c r="H448" s="843"/>
      <c r="I448" s="843"/>
      <c r="J448" s="843"/>
      <c r="K448" s="843"/>
      <c r="L448" s="843"/>
      <c r="M448" s="843"/>
      <c r="N448" s="843"/>
      <c r="O448" s="843"/>
      <c r="P448" s="843"/>
    </row>
    <row r="449" spans="4:16" x14ac:dyDescent="0.2">
      <c r="D449" s="843"/>
      <c r="E449" s="843"/>
      <c r="F449" s="843"/>
      <c r="G449" s="843"/>
      <c r="H449" s="843"/>
      <c r="I449" s="843"/>
      <c r="J449" s="843"/>
      <c r="K449" s="843"/>
      <c r="L449" s="843"/>
      <c r="M449" s="843"/>
      <c r="N449" s="843"/>
      <c r="O449" s="843"/>
      <c r="P449" s="843"/>
    </row>
    <row r="450" spans="4:16" x14ac:dyDescent="0.2">
      <c r="D450" s="843"/>
      <c r="E450" s="843"/>
      <c r="F450" s="843"/>
      <c r="G450" s="843"/>
      <c r="H450" s="843"/>
      <c r="I450" s="843"/>
      <c r="J450" s="843"/>
      <c r="K450" s="843"/>
      <c r="L450" s="843"/>
      <c r="M450" s="843"/>
      <c r="N450" s="843"/>
      <c r="O450" s="843"/>
      <c r="P450" s="843"/>
    </row>
    <row r="451" spans="4:16" x14ac:dyDescent="0.2">
      <c r="D451" s="843"/>
      <c r="E451" s="843"/>
      <c r="F451" s="843"/>
      <c r="G451" s="843"/>
      <c r="H451" s="843"/>
      <c r="I451" s="843"/>
      <c r="J451" s="843"/>
      <c r="K451" s="843"/>
      <c r="L451" s="843"/>
      <c r="M451" s="843"/>
      <c r="N451" s="843"/>
      <c r="O451" s="843"/>
      <c r="P451" s="843"/>
    </row>
    <row r="452" spans="4:16" x14ac:dyDescent="0.2">
      <c r="D452" s="843"/>
      <c r="E452" s="843"/>
      <c r="F452" s="843"/>
      <c r="G452" s="843"/>
      <c r="H452" s="843"/>
      <c r="I452" s="843"/>
      <c r="J452" s="843"/>
      <c r="K452" s="843"/>
      <c r="L452" s="843"/>
      <c r="M452" s="843"/>
      <c r="N452" s="843"/>
      <c r="O452" s="843"/>
      <c r="P452" s="843"/>
    </row>
    <row r="453" spans="4:16" x14ac:dyDescent="0.2">
      <c r="D453" s="843"/>
      <c r="E453" s="843"/>
      <c r="F453" s="843"/>
      <c r="G453" s="843"/>
      <c r="H453" s="843"/>
      <c r="I453" s="843"/>
      <c r="J453" s="843"/>
      <c r="K453" s="843"/>
      <c r="L453" s="843"/>
      <c r="M453" s="843"/>
      <c r="N453" s="843"/>
      <c r="O453" s="843"/>
      <c r="P453" s="843"/>
    </row>
    <row r="454" spans="4:16" x14ac:dyDescent="0.2">
      <c r="D454" s="843"/>
      <c r="E454" s="843"/>
      <c r="F454" s="843"/>
      <c r="G454" s="843"/>
      <c r="H454" s="843"/>
      <c r="I454" s="843"/>
      <c r="J454" s="843"/>
      <c r="K454" s="843"/>
      <c r="L454" s="843"/>
      <c r="M454" s="843"/>
      <c r="N454" s="843"/>
      <c r="O454" s="843"/>
      <c r="P454" s="843"/>
    </row>
    <row r="455" spans="4:16" x14ac:dyDescent="0.2">
      <c r="D455" s="843"/>
      <c r="E455" s="843"/>
      <c r="F455" s="843"/>
      <c r="G455" s="843"/>
      <c r="H455" s="843"/>
      <c r="I455" s="843"/>
      <c r="J455" s="843"/>
      <c r="K455" s="843"/>
      <c r="L455" s="843"/>
      <c r="M455" s="843"/>
      <c r="N455" s="843"/>
      <c r="O455" s="843"/>
      <c r="P455" s="843"/>
    </row>
    <row r="456" spans="4:16" x14ac:dyDescent="0.2">
      <c r="D456" s="843"/>
      <c r="E456" s="843"/>
      <c r="F456" s="843"/>
      <c r="G456" s="843"/>
      <c r="H456" s="843"/>
      <c r="I456" s="843"/>
      <c r="J456" s="843"/>
      <c r="K456" s="843"/>
      <c r="L456" s="843"/>
      <c r="M456" s="843"/>
      <c r="N456" s="843"/>
      <c r="O456" s="843"/>
      <c r="P456" s="843"/>
    </row>
    <row r="457" spans="4:16" x14ac:dyDescent="0.2">
      <c r="D457" s="843"/>
      <c r="E457" s="843"/>
      <c r="F457" s="843"/>
      <c r="G457" s="843"/>
      <c r="H457" s="843"/>
      <c r="I457" s="843"/>
      <c r="J457" s="843"/>
      <c r="K457" s="843"/>
      <c r="L457" s="843"/>
      <c r="M457" s="843"/>
      <c r="N457" s="843"/>
      <c r="O457" s="843"/>
      <c r="P457" s="843"/>
    </row>
    <row r="458" spans="4:16" x14ac:dyDescent="0.2">
      <c r="D458" s="843"/>
      <c r="E458" s="843"/>
      <c r="F458" s="843"/>
      <c r="G458" s="843"/>
      <c r="H458" s="843"/>
      <c r="I458" s="843"/>
      <c r="J458" s="843"/>
      <c r="K458" s="843"/>
      <c r="L458" s="843"/>
      <c r="M458" s="843"/>
      <c r="N458" s="843"/>
      <c r="O458" s="843"/>
      <c r="P458" s="843"/>
    </row>
    <row r="459" spans="4:16" x14ac:dyDescent="0.2">
      <c r="D459" s="843"/>
      <c r="E459" s="843"/>
      <c r="F459" s="843"/>
      <c r="G459" s="843"/>
      <c r="H459" s="843"/>
      <c r="I459" s="843"/>
      <c r="J459" s="843"/>
      <c r="K459" s="843"/>
      <c r="L459" s="843"/>
      <c r="M459" s="843"/>
      <c r="N459" s="843"/>
      <c r="O459" s="843"/>
      <c r="P459" s="843"/>
    </row>
    <row r="460" spans="4:16" x14ac:dyDescent="0.2">
      <c r="D460" s="843"/>
      <c r="E460" s="843"/>
      <c r="F460" s="843"/>
      <c r="G460" s="843"/>
      <c r="H460" s="843"/>
      <c r="I460" s="843"/>
      <c r="J460" s="843"/>
      <c r="K460" s="843"/>
      <c r="L460" s="843"/>
      <c r="M460" s="843"/>
      <c r="N460" s="843"/>
      <c r="O460" s="843"/>
      <c r="P460" s="843"/>
    </row>
    <row r="461" spans="4:16" x14ac:dyDescent="0.2">
      <c r="D461" s="843"/>
      <c r="E461" s="843"/>
      <c r="F461" s="843"/>
      <c r="G461" s="843"/>
      <c r="H461" s="843"/>
      <c r="I461" s="843"/>
      <c r="J461" s="843"/>
      <c r="K461" s="843"/>
      <c r="L461" s="843"/>
      <c r="M461" s="843"/>
      <c r="N461" s="843"/>
      <c r="O461" s="843"/>
      <c r="P461" s="843"/>
    </row>
    <row r="462" spans="4:16" x14ac:dyDescent="0.2">
      <c r="D462" s="843"/>
      <c r="E462" s="843"/>
      <c r="F462" s="843"/>
      <c r="G462" s="843"/>
      <c r="H462" s="843"/>
      <c r="I462" s="843"/>
      <c r="J462" s="843"/>
      <c r="K462" s="843"/>
      <c r="L462" s="843"/>
      <c r="M462" s="843"/>
      <c r="N462" s="843"/>
      <c r="O462" s="843"/>
      <c r="P462" s="843"/>
    </row>
    <row r="463" spans="4:16" x14ac:dyDescent="0.2">
      <c r="D463" s="843"/>
      <c r="E463" s="843"/>
      <c r="F463" s="843"/>
      <c r="G463" s="843"/>
      <c r="H463" s="843"/>
      <c r="I463" s="843"/>
      <c r="J463" s="843"/>
      <c r="K463" s="843"/>
      <c r="L463" s="843"/>
      <c r="M463" s="843"/>
      <c r="N463" s="843"/>
      <c r="O463" s="843"/>
      <c r="P463" s="843"/>
    </row>
    <row r="464" spans="4:16" x14ac:dyDescent="0.2">
      <c r="D464" s="843"/>
      <c r="E464" s="843"/>
      <c r="F464" s="843"/>
      <c r="G464" s="843"/>
      <c r="H464" s="843"/>
      <c r="I464" s="843"/>
      <c r="J464" s="843"/>
      <c r="K464" s="843"/>
      <c r="L464" s="843"/>
      <c r="M464" s="843"/>
      <c r="N464" s="843"/>
      <c r="O464" s="843"/>
      <c r="P464" s="843"/>
    </row>
    <row r="465" spans="4:16" x14ac:dyDescent="0.2">
      <c r="D465" s="843"/>
      <c r="E465" s="843"/>
      <c r="F465" s="843"/>
      <c r="G465" s="843"/>
      <c r="H465" s="843"/>
      <c r="I465" s="843"/>
      <c r="J465" s="843"/>
      <c r="K465" s="843"/>
      <c r="L465" s="843"/>
      <c r="M465" s="843"/>
      <c r="N465" s="843"/>
      <c r="O465" s="843"/>
      <c r="P465" s="843"/>
    </row>
    <row r="466" spans="4:16" x14ac:dyDescent="0.2">
      <c r="D466" s="843"/>
      <c r="E466" s="843"/>
      <c r="F466" s="843"/>
      <c r="G466" s="843"/>
      <c r="H466" s="843"/>
      <c r="I466" s="843"/>
      <c r="J466" s="843"/>
      <c r="K466" s="843"/>
      <c r="L466" s="843"/>
      <c r="M466" s="843"/>
      <c r="N466" s="843"/>
      <c r="O466" s="843"/>
      <c r="P466" s="843"/>
    </row>
    <row r="467" spans="4:16" x14ac:dyDescent="0.2">
      <c r="D467" s="843"/>
      <c r="E467" s="843"/>
      <c r="F467" s="843"/>
      <c r="G467" s="843"/>
      <c r="H467" s="843"/>
      <c r="I467" s="843"/>
      <c r="J467" s="843"/>
      <c r="K467" s="843"/>
      <c r="L467" s="843"/>
      <c r="M467" s="843"/>
      <c r="N467" s="843"/>
      <c r="O467" s="843"/>
      <c r="P467" s="843"/>
    </row>
    <row r="468" spans="4:16" x14ac:dyDescent="0.2">
      <c r="D468" s="843"/>
      <c r="E468" s="843"/>
      <c r="F468" s="843"/>
      <c r="G468" s="843"/>
      <c r="H468" s="843"/>
      <c r="I468" s="843"/>
      <c r="J468" s="843"/>
      <c r="K468" s="843"/>
      <c r="L468" s="843"/>
      <c r="M468" s="843"/>
      <c r="N468" s="843"/>
      <c r="O468" s="843"/>
      <c r="P468" s="843"/>
    </row>
    <row r="469" spans="4:16" x14ac:dyDescent="0.2">
      <c r="D469" s="843"/>
      <c r="E469" s="843"/>
      <c r="F469" s="843"/>
      <c r="G469" s="843"/>
      <c r="H469" s="843"/>
      <c r="I469" s="843"/>
      <c r="J469" s="843"/>
      <c r="K469" s="843"/>
      <c r="L469" s="843"/>
      <c r="M469" s="843"/>
      <c r="N469" s="843"/>
      <c r="O469" s="843"/>
      <c r="P469" s="843"/>
    </row>
    <row r="470" spans="4:16" x14ac:dyDescent="0.2">
      <c r="D470" s="843"/>
      <c r="E470" s="843"/>
      <c r="F470" s="843"/>
      <c r="G470" s="843"/>
      <c r="H470" s="843"/>
      <c r="I470" s="843"/>
      <c r="J470" s="843"/>
      <c r="K470" s="843"/>
      <c r="L470" s="843"/>
      <c r="M470" s="843"/>
      <c r="N470" s="843"/>
      <c r="O470" s="843"/>
      <c r="P470" s="843"/>
    </row>
    <row r="471" spans="4:16" x14ac:dyDescent="0.2">
      <c r="D471" s="843"/>
      <c r="E471" s="843"/>
      <c r="F471" s="843"/>
      <c r="G471" s="843"/>
      <c r="H471" s="843"/>
      <c r="I471" s="843"/>
      <c r="J471" s="843"/>
      <c r="K471" s="843"/>
      <c r="L471" s="843"/>
      <c r="M471" s="843"/>
      <c r="N471" s="843"/>
      <c r="O471" s="843"/>
      <c r="P471" s="843"/>
    </row>
    <row r="472" spans="4:16" x14ac:dyDescent="0.2">
      <c r="D472" s="843"/>
      <c r="E472" s="843"/>
      <c r="F472" s="843"/>
      <c r="G472" s="843"/>
      <c r="H472" s="843"/>
      <c r="I472" s="843"/>
      <c r="J472" s="843"/>
      <c r="K472" s="843"/>
      <c r="L472" s="843"/>
      <c r="M472" s="843"/>
      <c r="N472" s="843"/>
      <c r="O472" s="843"/>
      <c r="P472" s="843"/>
    </row>
    <row r="473" spans="4:16" x14ac:dyDescent="0.2">
      <c r="D473" s="843"/>
      <c r="E473" s="843"/>
      <c r="F473" s="843"/>
      <c r="G473" s="843"/>
      <c r="H473" s="843"/>
      <c r="I473" s="843"/>
      <c r="J473" s="843"/>
      <c r="K473" s="843"/>
      <c r="L473" s="843"/>
      <c r="M473" s="843"/>
      <c r="N473" s="843"/>
      <c r="O473" s="843"/>
      <c r="P473" s="843"/>
    </row>
    <row r="474" spans="4:16" x14ac:dyDescent="0.2">
      <c r="D474" s="843"/>
      <c r="E474" s="843"/>
      <c r="F474" s="843"/>
      <c r="G474" s="843"/>
      <c r="H474" s="843"/>
      <c r="I474" s="843"/>
      <c r="J474" s="843"/>
      <c r="K474" s="843"/>
      <c r="L474" s="843"/>
      <c r="M474" s="843"/>
      <c r="N474" s="843"/>
      <c r="O474" s="843"/>
      <c r="P474" s="843"/>
    </row>
    <row r="475" spans="4:16" x14ac:dyDescent="0.2">
      <c r="D475" s="843"/>
      <c r="E475" s="843"/>
      <c r="F475" s="843"/>
      <c r="G475" s="843"/>
      <c r="H475" s="843"/>
      <c r="I475" s="843"/>
      <c r="J475" s="843"/>
      <c r="K475" s="843"/>
      <c r="L475" s="843"/>
      <c r="M475" s="843"/>
      <c r="N475" s="843"/>
      <c r="O475" s="843"/>
      <c r="P475" s="843"/>
    </row>
    <row r="476" spans="4:16" x14ac:dyDescent="0.2">
      <c r="D476" s="843"/>
      <c r="E476" s="843"/>
      <c r="F476" s="843"/>
      <c r="G476" s="843"/>
      <c r="H476" s="843"/>
      <c r="I476" s="843"/>
      <c r="J476" s="843"/>
      <c r="K476" s="843"/>
      <c r="L476" s="843"/>
      <c r="M476" s="843"/>
      <c r="N476" s="843"/>
      <c r="O476" s="843"/>
      <c r="P476" s="843"/>
    </row>
    <row r="477" spans="4:16" x14ac:dyDescent="0.2">
      <c r="D477" s="843"/>
      <c r="E477" s="843"/>
      <c r="F477" s="843"/>
      <c r="G477" s="843"/>
      <c r="H477" s="843"/>
      <c r="I477" s="843"/>
      <c r="J477" s="843"/>
      <c r="K477" s="843"/>
      <c r="L477" s="843"/>
      <c r="M477" s="843"/>
      <c r="N477" s="843"/>
      <c r="O477" s="843"/>
      <c r="P477" s="843"/>
    </row>
    <row r="478" spans="4:16" x14ac:dyDescent="0.2">
      <c r="D478" s="843"/>
      <c r="E478" s="843"/>
      <c r="F478" s="843"/>
      <c r="G478" s="843"/>
      <c r="H478" s="843"/>
      <c r="I478" s="843"/>
      <c r="J478" s="843"/>
      <c r="K478" s="843"/>
      <c r="L478" s="843"/>
      <c r="M478" s="843"/>
      <c r="N478" s="843"/>
      <c r="O478" s="843"/>
      <c r="P478" s="843"/>
    </row>
    <row r="479" spans="4:16" x14ac:dyDescent="0.2">
      <c r="D479" s="843"/>
      <c r="E479" s="843"/>
      <c r="F479" s="843"/>
      <c r="G479" s="843"/>
      <c r="H479" s="843"/>
      <c r="I479" s="843"/>
      <c r="J479" s="843"/>
      <c r="K479" s="843"/>
      <c r="L479" s="843"/>
      <c r="M479" s="843"/>
      <c r="N479" s="843"/>
      <c r="O479" s="843"/>
      <c r="P479" s="843"/>
    </row>
    <row r="480" spans="4:16" x14ac:dyDescent="0.2">
      <c r="D480" s="843"/>
      <c r="E480" s="843"/>
      <c r="F480" s="843"/>
      <c r="G480" s="843"/>
      <c r="H480" s="843"/>
      <c r="I480" s="843"/>
      <c r="J480" s="843"/>
      <c r="K480" s="843"/>
      <c r="L480" s="843"/>
      <c r="M480" s="843"/>
      <c r="N480" s="843"/>
      <c r="O480" s="843"/>
      <c r="P480" s="843"/>
    </row>
    <row r="481" spans="4:16" x14ac:dyDescent="0.2">
      <c r="D481" s="843"/>
      <c r="E481" s="843"/>
      <c r="F481" s="843"/>
      <c r="G481" s="843"/>
      <c r="H481" s="843"/>
      <c r="I481" s="843"/>
      <c r="J481" s="843"/>
      <c r="K481" s="843"/>
      <c r="L481" s="843"/>
      <c r="M481" s="843"/>
      <c r="N481" s="843"/>
      <c r="O481" s="843"/>
      <c r="P481" s="843"/>
    </row>
    <row r="482" spans="4:16" x14ac:dyDescent="0.2">
      <c r="D482" s="843"/>
      <c r="E482" s="843"/>
      <c r="F482" s="843"/>
      <c r="G482" s="843"/>
      <c r="H482" s="843"/>
      <c r="I482" s="843"/>
      <c r="J482" s="843"/>
      <c r="K482" s="843"/>
      <c r="L482" s="843"/>
      <c r="M482" s="843"/>
      <c r="N482" s="843"/>
      <c r="O482" s="843"/>
      <c r="P482" s="843"/>
    </row>
    <row r="483" spans="4:16" x14ac:dyDescent="0.2">
      <c r="D483" s="843"/>
      <c r="E483" s="843"/>
      <c r="F483" s="843"/>
      <c r="G483" s="843"/>
      <c r="H483" s="843"/>
      <c r="I483" s="843"/>
      <c r="J483" s="843"/>
      <c r="K483" s="843"/>
      <c r="L483" s="843"/>
      <c r="M483" s="843"/>
      <c r="N483" s="843"/>
      <c r="O483" s="843"/>
      <c r="P483" s="843"/>
    </row>
    <row r="484" spans="4:16" x14ac:dyDescent="0.2">
      <c r="D484" s="843"/>
      <c r="E484" s="843"/>
      <c r="F484" s="843"/>
      <c r="G484" s="843"/>
      <c r="H484" s="843"/>
      <c r="I484" s="843"/>
      <c r="J484" s="843"/>
      <c r="K484" s="843"/>
      <c r="L484" s="843"/>
      <c r="M484" s="843"/>
      <c r="N484" s="843"/>
      <c r="O484" s="843"/>
      <c r="P484" s="843"/>
    </row>
    <row r="485" spans="4:16" x14ac:dyDescent="0.2">
      <c r="D485" s="843"/>
      <c r="E485" s="843"/>
      <c r="F485" s="843"/>
      <c r="G485" s="843"/>
      <c r="H485" s="843"/>
      <c r="I485" s="843"/>
      <c r="J485" s="843"/>
      <c r="K485" s="843"/>
      <c r="L485" s="843"/>
      <c r="M485" s="843"/>
      <c r="N485" s="843"/>
      <c r="O485" s="843"/>
      <c r="P485" s="843"/>
    </row>
    <row r="486" spans="4:16" x14ac:dyDescent="0.2">
      <c r="D486" s="843"/>
      <c r="E486" s="843"/>
      <c r="F486" s="843"/>
      <c r="G486" s="843"/>
      <c r="H486" s="843"/>
      <c r="I486" s="843"/>
      <c r="J486" s="843"/>
      <c r="K486" s="843"/>
      <c r="L486" s="843"/>
      <c r="M486" s="843"/>
      <c r="N486" s="843"/>
      <c r="O486" s="843"/>
      <c r="P486" s="843"/>
    </row>
    <row r="487" spans="4:16" x14ac:dyDescent="0.2">
      <c r="D487" s="843"/>
      <c r="E487" s="843"/>
      <c r="F487" s="843"/>
      <c r="G487" s="843"/>
      <c r="H487" s="843"/>
      <c r="I487" s="843"/>
      <c r="J487" s="843"/>
      <c r="K487" s="843"/>
      <c r="L487" s="843"/>
      <c r="M487" s="843"/>
      <c r="N487" s="843"/>
      <c r="O487" s="843"/>
      <c r="P487" s="843"/>
    </row>
    <row r="488" spans="4:16" x14ac:dyDescent="0.2">
      <c r="D488" s="843"/>
      <c r="E488" s="843"/>
      <c r="F488" s="843"/>
      <c r="G488" s="843"/>
      <c r="H488" s="843"/>
      <c r="I488" s="843"/>
      <c r="J488" s="843"/>
      <c r="K488" s="843"/>
      <c r="L488" s="843"/>
      <c r="M488" s="843"/>
      <c r="N488" s="843"/>
      <c r="O488" s="843"/>
      <c r="P488" s="843"/>
    </row>
    <row r="489" spans="4:16" x14ac:dyDescent="0.2">
      <c r="D489" s="843"/>
      <c r="E489" s="843"/>
      <c r="F489" s="843"/>
      <c r="G489" s="843"/>
      <c r="H489" s="843"/>
      <c r="I489" s="843"/>
      <c r="J489" s="843"/>
      <c r="K489" s="843"/>
      <c r="L489" s="843"/>
      <c r="M489" s="843"/>
      <c r="N489" s="843"/>
      <c r="O489" s="843"/>
      <c r="P489" s="843"/>
    </row>
    <row r="490" spans="4:16" x14ac:dyDescent="0.2">
      <c r="D490" s="843"/>
      <c r="E490" s="843"/>
      <c r="F490" s="843"/>
      <c r="G490" s="843"/>
      <c r="H490" s="843"/>
      <c r="I490" s="843"/>
      <c r="J490" s="843"/>
      <c r="K490" s="843"/>
      <c r="L490" s="843"/>
      <c r="M490" s="843"/>
      <c r="N490" s="843"/>
      <c r="O490" s="843"/>
      <c r="P490" s="843"/>
    </row>
    <row r="491" spans="4:16" x14ac:dyDescent="0.2">
      <c r="D491" s="843"/>
      <c r="E491" s="843"/>
      <c r="F491" s="843"/>
      <c r="G491" s="843"/>
      <c r="H491" s="843"/>
      <c r="I491" s="843"/>
      <c r="J491" s="843"/>
      <c r="K491" s="843"/>
      <c r="L491" s="843"/>
      <c r="M491" s="843"/>
      <c r="N491" s="843"/>
      <c r="O491" s="843"/>
      <c r="P491" s="843"/>
    </row>
    <row r="492" spans="4:16" x14ac:dyDescent="0.2">
      <c r="D492" s="843"/>
      <c r="E492" s="843"/>
      <c r="F492" s="843"/>
      <c r="G492" s="843"/>
      <c r="H492" s="843"/>
      <c r="I492" s="843"/>
      <c r="J492" s="843"/>
      <c r="K492" s="843"/>
      <c r="L492" s="843"/>
      <c r="M492" s="843"/>
      <c r="N492" s="843"/>
      <c r="O492" s="843"/>
      <c r="P492" s="843"/>
    </row>
    <row r="493" spans="4:16" x14ac:dyDescent="0.2">
      <c r="D493" s="843"/>
      <c r="E493" s="843"/>
      <c r="F493" s="843"/>
      <c r="G493" s="843"/>
      <c r="H493" s="843"/>
      <c r="I493" s="843"/>
      <c r="J493" s="843"/>
      <c r="K493" s="843"/>
      <c r="L493" s="843"/>
      <c r="M493" s="843"/>
      <c r="N493" s="843"/>
      <c r="O493" s="843"/>
      <c r="P493" s="843"/>
    </row>
    <row r="494" spans="4:16" x14ac:dyDescent="0.2">
      <c r="D494" s="843"/>
      <c r="E494" s="843"/>
      <c r="F494" s="843"/>
      <c r="G494" s="843"/>
      <c r="H494" s="843"/>
      <c r="I494" s="843"/>
      <c r="J494" s="843"/>
      <c r="K494" s="843"/>
      <c r="L494" s="843"/>
      <c r="M494" s="843"/>
      <c r="N494" s="843"/>
      <c r="O494" s="843"/>
      <c r="P494" s="843"/>
    </row>
    <row r="495" spans="4:16" x14ac:dyDescent="0.2">
      <c r="D495" s="843"/>
      <c r="E495" s="843"/>
      <c r="F495" s="843"/>
      <c r="G495" s="843"/>
      <c r="H495" s="843"/>
      <c r="I495" s="843"/>
      <c r="J495" s="843"/>
      <c r="K495" s="843"/>
      <c r="L495" s="843"/>
      <c r="M495" s="843"/>
      <c r="N495" s="843"/>
      <c r="O495" s="843"/>
      <c r="P495" s="843"/>
    </row>
    <row r="496" spans="4:16" x14ac:dyDescent="0.2">
      <c r="D496" s="843"/>
      <c r="E496" s="843"/>
      <c r="F496" s="843"/>
      <c r="G496" s="843"/>
      <c r="H496" s="843"/>
      <c r="I496" s="843"/>
      <c r="J496" s="843"/>
      <c r="K496" s="843"/>
      <c r="L496" s="843"/>
      <c r="M496" s="843"/>
      <c r="N496" s="843"/>
      <c r="O496" s="843"/>
      <c r="P496" s="843"/>
    </row>
    <row r="497" spans="4:16" x14ac:dyDescent="0.2">
      <c r="D497" s="843"/>
      <c r="E497" s="843"/>
      <c r="F497" s="843"/>
      <c r="G497" s="843"/>
      <c r="H497" s="843"/>
      <c r="I497" s="843"/>
      <c r="J497" s="843"/>
      <c r="K497" s="843"/>
      <c r="L497" s="843"/>
      <c r="M497" s="843"/>
      <c r="N497" s="843"/>
      <c r="O497" s="843"/>
      <c r="P497" s="843"/>
    </row>
    <row r="498" spans="4:16" x14ac:dyDescent="0.2">
      <c r="D498" s="843"/>
      <c r="E498" s="843"/>
      <c r="F498" s="843"/>
      <c r="G498" s="843"/>
      <c r="H498" s="843"/>
      <c r="I498" s="843"/>
      <c r="J498" s="843"/>
      <c r="K498" s="843"/>
      <c r="L498" s="843"/>
      <c r="M498" s="843"/>
      <c r="N498" s="843"/>
      <c r="O498" s="843"/>
      <c r="P498" s="843"/>
    </row>
    <row r="499" spans="4:16" x14ac:dyDescent="0.2">
      <c r="D499" s="843"/>
      <c r="E499" s="843"/>
      <c r="F499" s="843"/>
      <c r="G499" s="843"/>
      <c r="H499" s="843"/>
      <c r="I499" s="843"/>
      <c r="J499" s="843"/>
      <c r="K499" s="843"/>
      <c r="L499" s="843"/>
      <c r="M499" s="843"/>
      <c r="N499" s="843"/>
      <c r="O499" s="843"/>
      <c r="P499" s="843"/>
    </row>
    <row r="500" spans="4:16" x14ac:dyDescent="0.2">
      <c r="D500" s="843"/>
      <c r="E500" s="843"/>
      <c r="F500" s="843"/>
      <c r="G500" s="843"/>
      <c r="H500" s="843"/>
      <c r="I500" s="843"/>
      <c r="J500" s="843"/>
      <c r="K500" s="843"/>
      <c r="L500" s="843"/>
      <c r="M500" s="843"/>
      <c r="N500" s="843"/>
      <c r="O500" s="843"/>
      <c r="P500" s="843"/>
    </row>
    <row r="501" spans="4:16" x14ac:dyDescent="0.2">
      <c r="D501" s="843"/>
      <c r="E501" s="843"/>
      <c r="F501" s="843"/>
      <c r="G501" s="843"/>
      <c r="H501" s="843"/>
      <c r="I501" s="843"/>
      <c r="J501" s="843"/>
      <c r="K501" s="843"/>
      <c r="L501" s="843"/>
      <c r="M501" s="843"/>
      <c r="N501" s="843"/>
      <c r="O501" s="843"/>
      <c r="P501" s="843"/>
    </row>
    <row r="502" spans="4:16" x14ac:dyDescent="0.2">
      <c r="D502" s="843"/>
      <c r="E502" s="843"/>
      <c r="F502" s="843"/>
      <c r="G502" s="843"/>
      <c r="H502" s="843"/>
      <c r="I502" s="843"/>
      <c r="J502" s="843"/>
      <c r="K502" s="843"/>
      <c r="L502" s="843"/>
      <c r="M502" s="843"/>
      <c r="N502" s="843"/>
      <c r="O502" s="843"/>
      <c r="P502" s="843"/>
    </row>
    <row r="503" spans="4:16" x14ac:dyDescent="0.2">
      <c r="D503" s="843"/>
      <c r="E503" s="843"/>
      <c r="F503" s="843"/>
      <c r="G503" s="843"/>
      <c r="H503" s="843"/>
      <c r="I503" s="843"/>
      <c r="J503" s="843"/>
      <c r="K503" s="843"/>
      <c r="L503" s="843"/>
      <c r="M503" s="843"/>
      <c r="N503" s="843"/>
      <c r="O503" s="843"/>
      <c r="P503" s="843"/>
    </row>
    <row r="504" spans="4:16" x14ac:dyDescent="0.2">
      <c r="D504" s="843"/>
      <c r="E504" s="843"/>
      <c r="F504" s="843"/>
      <c r="G504" s="843"/>
      <c r="H504" s="843"/>
      <c r="I504" s="843"/>
      <c r="J504" s="843"/>
      <c r="K504" s="843"/>
      <c r="L504" s="843"/>
      <c r="M504" s="843"/>
      <c r="N504" s="843"/>
      <c r="O504" s="843"/>
      <c r="P504" s="843"/>
    </row>
    <row r="505" spans="4:16" x14ac:dyDescent="0.2">
      <c r="D505" s="843"/>
      <c r="E505" s="843"/>
      <c r="F505" s="843"/>
      <c r="G505" s="843"/>
      <c r="H505" s="843"/>
      <c r="I505" s="843"/>
      <c r="J505" s="843"/>
      <c r="K505" s="843"/>
      <c r="L505" s="843"/>
      <c r="M505" s="843"/>
      <c r="N505" s="843"/>
      <c r="O505" s="843"/>
      <c r="P505" s="843"/>
    </row>
    <row r="506" spans="4:16" x14ac:dyDescent="0.2">
      <c r="D506" s="843"/>
      <c r="E506" s="843"/>
      <c r="F506" s="843"/>
      <c r="G506" s="843"/>
      <c r="H506" s="843"/>
      <c r="I506" s="843"/>
      <c r="J506" s="843"/>
      <c r="K506" s="843"/>
      <c r="L506" s="843"/>
      <c r="M506" s="843"/>
      <c r="N506" s="843"/>
      <c r="O506" s="843"/>
      <c r="P506" s="843"/>
    </row>
    <row r="507" spans="4:16" x14ac:dyDescent="0.2">
      <c r="D507" s="843"/>
      <c r="E507" s="843"/>
      <c r="F507" s="843"/>
      <c r="G507" s="843"/>
      <c r="H507" s="843"/>
      <c r="I507" s="843"/>
      <c r="J507" s="843"/>
      <c r="K507" s="843"/>
      <c r="L507" s="843"/>
      <c r="M507" s="843"/>
      <c r="N507" s="843"/>
      <c r="O507" s="843"/>
      <c r="P507" s="843"/>
    </row>
    <row r="508" spans="4:16" x14ac:dyDescent="0.2">
      <c r="D508" s="843"/>
      <c r="E508" s="843"/>
      <c r="F508" s="843"/>
      <c r="G508" s="843"/>
      <c r="H508" s="843"/>
      <c r="I508" s="843"/>
      <c r="J508" s="843"/>
      <c r="K508" s="843"/>
      <c r="L508" s="843"/>
      <c r="M508" s="843"/>
      <c r="N508" s="843"/>
      <c r="O508" s="843"/>
      <c r="P508" s="843"/>
    </row>
    <row r="509" spans="4:16" x14ac:dyDescent="0.2">
      <c r="D509" s="843"/>
      <c r="E509" s="843"/>
      <c r="F509" s="843"/>
      <c r="G509" s="843"/>
      <c r="H509" s="843"/>
      <c r="I509" s="843"/>
      <c r="J509" s="843"/>
      <c r="K509" s="843"/>
      <c r="L509" s="843"/>
      <c r="M509" s="843"/>
      <c r="N509" s="843"/>
      <c r="O509" s="843"/>
      <c r="P509" s="843"/>
    </row>
    <row r="510" spans="4:16" x14ac:dyDescent="0.2">
      <c r="D510" s="843"/>
      <c r="E510" s="843"/>
      <c r="F510" s="843"/>
      <c r="G510" s="843"/>
      <c r="H510" s="843"/>
      <c r="I510" s="843"/>
      <c r="J510" s="843"/>
      <c r="K510" s="843"/>
      <c r="L510" s="843"/>
      <c r="M510" s="843"/>
      <c r="N510" s="843"/>
      <c r="O510" s="843"/>
      <c r="P510" s="843"/>
    </row>
    <row r="511" spans="4:16" x14ac:dyDescent="0.2">
      <c r="D511" s="843"/>
      <c r="E511" s="843"/>
      <c r="F511" s="843"/>
      <c r="G511" s="843"/>
      <c r="H511" s="843"/>
      <c r="I511" s="843"/>
      <c r="J511" s="843"/>
      <c r="K511" s="843"/>
      <c r="L511" s="843"/>
      <c r="M511" s="843"/>
      <c r="N511" s="843"/>
      <c r="O511" s="843"/>
      <c r="P511" s="843"/>
    </row>
    <row r="512" spans="4:16" x14ac:dyDescent="0.2">
      <c r="D512" s="843"/>
      <c r="E512" s="843"/>
      <c r="F512" s="843"/>
      <c r="G512" s="843"/>
      <c r="H512" s="843"/>
      <c r="I512" s="843"/>
      <c r="J512" s="843"/>
      <c r="K512" s="843"/>
      <c r="L512" s="843"/>
      <c r="M512" s="843"/>
      <c r="N512" s="843"/>
      <c r="O512" s="843"/>
      <c r="P512" s="843"/>
    </row>
    <row r="513" spans="4:16" x14ac:dyDescent="0.2">
      <c r="D513" s="843"/>
      <c r="E513" s="843"/>
      <c r="F513" s="843"/>
      <c r="G513" s="843"/>
      <c r="H513" s="843"/>
      <c r="I513" s="843"/>
      <c r="J513" s="843"/>
      <c r="K513" s="843"/>
      <c r="L513" s="843"/>
      <c r="M513" s="843"/>
      <c r="N513" s="843"/>
      <c r="O513" s="843"/>
      <c r="P513" s="843"/>
    </row>
    <row r="514" spans="4:16" x14ac:dyDescent="0.2">
      <c r="D514" s="843"/>
      <c r="E514" s="843"/>
      <c r="F514" s="843"/>
      <c r="G514" s="843"/>
      <c r="H514" s="843"/>
      <c r="I514" s="843"/>
      <c r="J514" s="843"/>
      <c r="K514" s="843"/>
      <c r="L514" s="843"/>
      <c r="M514" s="843"/>
      <c r="N514" s="843"/>
      <c r="O514" s="843"/>
      <c r="P514" s="843"/>
    </row>
    <row r="515" spans="4:16" x14ac:dyDescent="0.2">
      <c r="D515" s="843"/>
      <c r="E515" s="843"/>
      <c r="F515" s="843"/>
      <c r="G515" s="843"/>
      <c r="H515" s="843"/>
      <c r="I515" s="843"/>
      <c r="J515" s="843"/>
      <c r="K515" s="843"/>
      <c r="L515" s="843"/>
      <c r="M515" s="843"/>
      <c r="N515" s="843"/>
      <c r="O515" s="843"/>
      <c r="P515" s="843"/>
    </row>
    <row r="516" spans="4:16" x14ac:dyDescent="0.2">
      <c r="D516" s="843"/>
      <c r="E516" s="843"/>
      <c r="F516" s="843"/>
      <c r="G516" s="843"/>
      <c r="H516" s="843"/>
      <c r="I516" s="843"/>
      <c r="J516" s="843"/>
      <c r="K516" s="843"/>
      <c r="L516" s="843"/>
      <c r="M516" s="843"/>
      <c r="N516" s="843"/>
      <c r="O516" s="843"/>
      <c r="P516" s="843"/>
    </row>
    <row r="517" spans="4:16" x14ac:dyDescent="0.2">
      <c r="D517" s="843"/>
      <c r="E517" s="843"/>
      <c r="F517" s="843"/>
      <c r="G517" s="843"/>
      <c r="H517" s="843"/>
      <c r="I517" s="843"/>
      <c r="J517" s="843"/>
      <c r="K517" s="843"/>
      <c r="L517" s="843"/>
      <c r="M517" s="843"/>
      <c r="N517" s="843"/>
      <c r="O517" s="843"/>
      <c r="P517" s="843"/>
    </row>
    <row r="518" spans="4:16" x14ac:dyDescent="0.2">
      <c r="D518" s="843"/>
      <c r="E518" s="843"/>
      <c r="F518" s="843"/>
      <c r="G518" s="843"/>
      <c r="H518" s="843"/>
      <c r="I518" s="843"/>
      <c r="J518" s="843"/>
      <c r="K518" s="843"/>
      <c r="L518" s="843"/>
      <c r="M518" s="843"/>
      <c r="N518" s="843"/>
      <c r="O518" s="843"/>
      <c r="P518" s="843"/>
    </row>
    <row r="519" spans="4:16" x14ac:dyDescent="0.2">
      <c r="D519" s="843"/>
      <c r="E519" s="843"/>
      <c r="F519" s="843"/>
      <c r="G519" s="843"/>
      <c r="H519" s="843"/>
      <c r="I519" s="843"/>
      <c r="J519" s="843"/>
      <c r="K519" s="843"/>
      <c r="L519" s="843"/>
      <c r="M519" s="843"/>
      <c r="N519" s="843"/>
      <c r="O519" s="843"/>
      <c r="P519" s="843"/>
    </row>
    <row r="520" spans="4:16" x14ac:dyDescent="0.2">
      <c r="D520" s="843"/>
      <c r="E520" s="843"/>
      <c r="F520" s="843"/>
      <c r="G520" s="843"/>
      <c r="H520" s="843"/>
      <c r="I520" s="843"/>
      <c r="J520" s="843"/>
      <c r="K520" s="843"/>
      <c r="L520" s="843"/>
      <c r="M520" s="843"/>
      <c r="N520" s="843"/>
      <c r="O520" s="843"/>
      <c r="P520" s="843"/>
    </row>
    <row r="521" spans="4:16" x14ac:dyDescent="0.2">
      <c r="D521" s="843"/>
      <c r="E521" s="843"/>
      <c r="F521" s="843"/>
      <c r="G521" s="843"/>
      <c r="H521" s="843"/>
      <c r="I521" s="843"/>
      <c r="J521" s="843"/>
      <c r="K521" s="843"/>
      <c r="L521" s="843"/>
      <c r="M521" s="843"/>
      <c r="N521" s="843"/>
      <c r="O521" s="843"/>
      <c r="P521" s="843"/>
    </row>
    <row r="522" spans="4:16" x14ac:dyDescent="0.2">
      <c r="D522" s="843"/>
      <c r="E522" s="843"/>
      <c r="F522" s="843"/>
      <c r="G522" s="843"/>
      <c r="H522" s="843"/>
      <c r="I522" s="843"/>
      <c r="J522" s="843"/>
      <c r="K522" s="843"/>
      <c r="L522" s="843"/>
      <c r="M522" s="843"/>
      <c r="N522" s="843"/>
      <c r="O522" s="843"/>
      <c r="P522" s="843"/>
    </row>
    <row r="523" spans="4:16" x14ac:dyDescent="0.2">
      <c r="D523" s="843"/>
      <c r="E523" s="843"/>
      <c r="F523" s="843"/>
      <c r="G523" s="843"/>
      <c r="H523" s="843"/>
      <c r="I523" s="843"/>
      <c r="J523" s="843"/>
      <c r="K523" s="843"/>
      <c r="L523" s="843"/>
      <c r="M523" s="843"/>
      <c r="N523" s="843"/>
      <c r="O523" s="843"/>
      <c r="P523" s="843"/>
    </row>
    <row r="524" spans="4:16" x14ac:dyDescent="0.2">
      <c r="D524" s="843"/>
      <c r="E524" s="843"/>
      <c r="F524" s="843"/>
      <c r="G524" s="843"/>
      <c r="H524" s="843"/>
      <c r="I524" s="843"/>
      <c r="J524" s="843"/>
      <c r="K524" s="843"/>
      <c r="L524" s="843"/>
      <c r="M524" s="843"/>
      <c r="N524" s="843"/>
      <c r="O524" s="843"/>
      <c r="P524" s="843"/>
    </row>
    <row r="525" spans="4:16" x14ac:dyDescent="0.2">
      <c r="D525" s="843"/>
      <c r="E525" s="843"/>
      <c r="F525" s="843"/>
      <c r="G525" s="843"/>
      <c r="H525" s="843"/>
      <c r="I525" s="843"/>
      <c r="J525" s="843"/>
      <c r="K525" s="843"/>
      <c r="L525" s="843"/>
      <c r="M525" s="843"/>
      <c r="N525" s="843"/>
      <c r="O525" s="843"/>
      <c r="P525" s="843"/>
    </row>
    <row r="526" spans="4:16" x14ac:dyDescent="0.2">
      <c r="D526" s="843"/>
      <c r="E526" s="843"/>
      <c r="F526" s="843"/>
      <c r="G526" s="843"/>
      <c r="H526" s="843"/>
      <c r="I526" s="843"/>
      <c r="J526" s="843"/>
      <c r="K526" s="843"/>
      <c r="L526" s="843"/>
      <c r="M526" s="843"/>
      <c r="N526" s="843"/>
      <c r="O526" s="843"/>
      <c r="P526" s="843"/>
    </row>
    <row r="527" spans="4:16" x14ac:dyDescent="0.2">
      <c r="D527" s="843"/>
      <c r="E527" s="843"/>
      <c r="F527" s="843"/>
      <c r="G527" s="843"/>
      <c r="H527" s="843"/>
      <c r="I527" s="843"/>
      <c r="J527" s="843"/>
      <c r="K527" s="843"/>
      <c r="L527" s="843"/>
      <c r="M527" s="843"/>
      <c r="N527" s="843"/>
      <c r="O527" s="843"/>
      <c r="P527" s="843"/>
    </row>
    <row r="1109" spans="5:5" x14ac:dyDescent="0.2">
      <c r="E1109" s="1" t="s">
        <v>7245</v>
      </c>
    </row>
  </sheetData>
  <mergeCells count="1">
    <mergeCell ref="F2:P2"/>
  </mergeCells>
  <pageMargins left="0.70866141732283472" right="0.70866141732283472" top="0.74803149606299213" bottom="0.74803149606299213" header="0.31496062992125984" footer="0.31496062992125984"/>
  <pageSetup paperSize="8" scale="85" orientation="portrait" r:id="rId1"/>
  <rowBreaks count="7" manualBreakCount="7">
    <brk id="98" max="16383" man="1"/>
    <brk id="144" max="16383" man="1"/>
    <brk id="219" max="16383" man="1"/>
    <brk id="265" max="16383" man="1"/>
    <brk id="355" max="16383" man="1"/>
    <brk id="401" max="16383" man="1"/>
    <brk id="481"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7030A0"/>
    <pageSetUpPr fitToPage="1"/>
  </sheetPr>
  <dimension ref="A1:V1112"/>
  <sheetViews>
    <sheetView workbookViewId="0">
      <pane ySplit="2" topLeftCell="A3" activePane="bottomLeft" state="frozen"/>
      <selection activeCell="E788" sqref="E788"/>
      <selection pane="bottomLeft" activeCell="K10" sqref="K10"/>
    </sheetView>
  </sheetViews>
  <sheetFormatPr defaultColWidth="9.140625" defaultRowHeight="12.75" x14ac:dyDescent="0.2"/>
  <cols>
    <col min="1" max="1" width="11.7109375" style="1" customWidth="1"/>
    <col min="2" max="2" width="10.85546875" style="1" customWidth="1"/>
    <col min="3" max="3" width="25.85546875" style="1" customWidth="1"/>
    <col min="4" max="5" width="10.28515625" style="1" customWidth="1"/>
    <col min="6" max="6" width="12.28515625" style="1" bestFit="1" customWidth="1"/>
    <col min="7" max="18" width="10.28515625" style="1" bestFit="1" customWidth="1"/>
    <col min="19" max="16384" width="9.140625" style="1"/>
  </cols>
  <sheetData>
    <row r="1" spans="1:19" ht="17.25" thickTop="1" thickBot="1" x14ac:dyDescent="0.3">
      <c r="A1" s="2570" t="s">
        <v>809</v>
      </c>
      <c r="B1" s="2571"/>
      <c r="C1" s="2571"/>
      <c r="D1" s="2571"/>
      <c r="E1" s="2571"/>
      <c r="F1" s="2571"/>
      <c r="G1" s="2571"/>
      <c r="H1" s="2571"/>
      <c r="I1" s="2571"/>
      <c r="J1" s="2571"/>
      <c r="K1" s="2571"/>
      <c r="L1" s="2571"/>
      <c r="M1" s="2571"/>
      <c r="N1" s="2571"/>
      <c r="O1" s="2571"/>
      <c r="P1" s="2571"/>
      <c r="Q1" s="2571"/>
      <c r="R1" s="2572"/>
    </row>
    <row r="2" spans="1:19" s="246" customFormat="1" ht="13.5" thickBot="1" x14ac:dyDescent="0.25">
      <c r="A2" s="1686" t="s">
        <v>1025</v>
      </c>
      <c r="B2" s="1687"/>
      <c r="C2" s="1687"/>
      <c r="D2" s="2141" t="str">
        <f>SP!B51</f>
        <v>2013/14</v>
      </c>
      <c r="E2" s="2142" t="str">
        <f>SP!C3</f>
        <v>2014/15</v>
      </c>
      <c r="F2" s="2142" t="str">
        <f>SP!D3</f>
        <v>2015/16</v>
      </c>
      <c r="G2" s="2142" t="str">
        <f>SP!E3</f>
        <v>2016/17</v>
      </c>
      <c r="H2" s="2142" t="str">
        <f>SP!H3</f>
        <v>2017/18</v>
      </c>
      <c r="I2" s="2142" t="str">
        <f>SP!J3</f>
        <v>2018/19</v>
      </c>
      <c r="J2" s="2142" t="str">
        <f>SP!K3</f>
        <v>2019/20</v>
      </c>
      <c r="K2" s="2142" t="str">
        <f>SP!L3</f>
        <v>2020/21</v>
      </c>
      <c r="L2" s="2142" t="str">
        <f>SP!M3</f>
        <v>2021/22</v>
      </c>
      <c r="M2" s="2142" t="str">
        <f>SP!N3</f>
        <v>2022/23</v>
      </c>
      <c r="N2" s="2142" t="str">
        <f>SP!O3</f>
        <v>2023/24</v>
      </c>
      <c r="O2" s="2142" t="str">
        <f>SP!P3</f>
        <v>2024/25</v>
      </c>
      <c r="P2" s="2142" t="str">
        <f>SP!Q3</f>
        <v>2025/26</v>
      </c>
      <c r="Q2" s="2142" t="str">
        <f>SP!R3</f>
        <v>2026/27</v>
      </c>
      <c r="R2" s="2360" t="str">
        <f>SP!S3</f>
        <v>2027/28</v>
      </c>
    </row>
    <row r="3" spans="1:19" x14ac:dyDescent="0.2">
      <c r="A3" s="1688"/>
      <c r="B3" s="1250"/>
      <c r="C3" s="1250"/>
      <c r="D3" s="2239"/>
      <c r="E3" s="2242"/>
      <c r="F3" s="2242"/>
      <c r="G3" s="2242"/>
      <c r="H3" s="2242"/>
      <c r="I3" s="2242"/>
      <c r="J3" s="2242"/>
      <c r="K3" s="2242"/>
      <c r="L3" s="2242"/>
      <c r="M3" s="2242"/>
      <c r="N3" s="2242"/>
      <c r="O3" s="2242"/>
      <c r="P3" s="2242"/>
      <c r="Q3" s="2242"/>
      <c r="R3" s="2361"/>
    </row>
    <row r="4" spans="1:19" x14ac:dyDescent="0.2">
      <c r="A4" s="656" t="s">
        <v>1972</v>
      </c>
      <c r="B4" s="1250"/>
      <c r="C4" s="1250"/>
      <c r="D4" s="1689"/>
      <c r="E4" s="1274"/>
      <c r="F4" s="1274"/>
      <c r="G4" s="1274"/>
      <c r="H4" s="1274"/>
      <c r="I4" s="1274"/>
      <c r="J4" s="1274"/>
      <c r="K4" s="1691"/>
      <c r="L4" s="1691"/>
      <c r="M4" s="1691"/>
      <c r="N4" s="1274"/>
      <c r="O4" s="1274"/>
      <c r="P4" s="1274"/>
      <c r="Q4" s="1274"/>
      <c r="R4" s="1690"/>
    </row>
    <row r="5" spans="1:19" s="1695" customFormat="1" x14ac:dyDescent="0.2">
      <c r="A5" s="575" t="s">
        <v>818</v>
      </c>
      <c r="B5" s="1692"/>
      <c r="C5" s="1692"/>
      <c r="D5" s="1693">
        <v>0.03</v>
      </c>
      <c r="E5" s="1275">
        <v>0.03</v>
      </c>
      <c r="F5" s="1275">
        <v>2.4E-2</v>
      </c>
      <c r="G5" s="1275">
        <v>0.02</v>
      </c>
      <c r="H5" s="1275">
        <v>1.4999999999999999E-2</v>
      </c>
      <c r="I5" s="1275">
        <v>2.3E-2</v>
      </c>
      <c r="J5" s="1275">
        <v>2.5000000000000001E-2</v>
      </c>
      <c r="K5" s="1694">
        <f t="shared" ref="K5:P5" si="0">J5</f>
        <v>2.5000000000000001E-2</v>
      </c>
      <c r="L5" s="1694">
        <f>K5</f>
        <v>2.5000000000000001E-2</v>
      </c>
      <c r="M5" s="1694">
        <f t="shared" si="0"/>
        <v>2.5000000000000001E-2</v>
      </c>
      <c r="N5" s="1275">
        <f t="shared" si="0"/>
        <v>2.5000000000000001E-2</v>
      </c>
      <c r="O5" s="1275">
        <f t="shared" si="0"/>
        <v>2.5000000000000001E-2</v>
      </c>
      <c r="P5" s="1275">
        <f t="shared" si="0"/>
        <v>2.5000000000000001E-2</v>
      </c>
      <c r="Q5" s="1275">
        <f t="shared" ref="Q5:R9" si="1">P5</f>
        <v>2.5000000000000001E-2</v>
      </c>
      <c r="R5" s="2362">
        <f t="shared" si="1"/>
        <v>2.5000000000000001E-2</v>
      </c>
    </row>
    <row r="6" spans="1:19" s="1695" customFormat="1" x14ac:dyDescent="0.2">
      <c r="A6" s="575" t="s">
        <v>3885</v>
      </c>
      <c r="B6" s="1692"/>
      <c r="C6" s="1692"/>
      <c r="D6" s="1693">
        <v>0.03</v>
      </c>
      <c r="E6" s="1275">
        <v>0.03</v>
      </c>
      <c r="F6" s="1275">
        <v>0.03</v>
      </c>
      <c r="G6" s="1275">
        <v>0.04</v>
      </c>
      <c r="H6" s="1275">
        <f>G6</f>
        <v>0.04</v>
      </c>
      <c r="I6" s="1275">
        <f t="shared" ref="I6:P6" si="2">H6</f>
        <v>0.04</v>
      </c>
      <c r="J6" s="1275">
        <f t="shared" si="2"/>
        <v>0.04</v>
      </c>
      <c r="K6" s="1275">
        <f>K5</f>
        <v>2.5000000000000001E-2</v>
      </c>
      <c r="L6" s="1275">
        <f t="shared" si="2"/>
        <v>2.5000000000000001E-2</v>
      </c>
      <c r="M6" s="1275">
        <f t="shared" si="2"/>
        <v>2.5000000000000001E-2</v>
      </c>
      <c r="N6" s="1275">
        <f t="shared" si="2"/>
        <v>2.5000000000000001E-2</v>
      </c>
      <c r="O6" s="1275">
        <f t="shared" si="2"/>
        <v>2.5000000000000001E-2</v>
      </c>
      <c r="P6" s="1275">
        <f t="shared" si="2"/>
        <v>2.5000000000000001E-2</v>
      </c>
      <c r="Q6" s="1275">
        <f t="shared" si="1"/>
        <v>2.5000000000000001E-2</v>
      </c>
      <c r="R6" s="2362">
        <f t="shared" si="1"/>
        <v>2.5000000000000001E-2</v>
      </c>
    </row>
    <row r="7" spans="1:19" s="573" customFormat="1" x14ac:dyDescent="0.2">
      <c r="A7" s="575" t="s">
        <v>3637</v>
      </c>
      <c r="B7" s="542"/>
      <c r="C7" s="542"/>
      <c r="D7" s="1693">
        <v>5.8999999999999997E-2</v>
      </c>
      <c r="E7" s="1275">
        <v>2.3E-2</v>
      </c>
      <c r="F7" s="1275">
        <v>5.4100000000000002E-2</v>
      </c>
      <c r="G7" s="1275">
        <v>5.3400000000000003E-2</v>
      </c>
      <c r="H7" s="1275">
        <v>1.4999999999999999E-2</v>
      </c>
      <c r="I7" s="1275">
        <v>2.3E-2</v>
      </c>
      <c r="J7" s="1275">
        <v>2.5000000000000001E-2</v>
      </c>
      <c r="K7" s="1275">
        <f t="shared" ref="K7:P7" si="3">J7</f>
        <v>2.5000000000000001E-2</v>
      </c>
      <c r="L7" s="1275">
        <f t="shared" si="3"/>
        <v>2.5000000000000001E-2</v>
      </c>
      <c r="M7" s="1275">
        <f t="shared" si="3"/>
        <v>2.5000000000000001E-2</v>
      </c>
      <c r="N7" s="1275">
        <f t="shared" si="3"/>
        <v>2.5000000000000001E-2</v>
      </c>
      <c r="O7" s="1275">
        <f t="shared" si="3"/>
        <v>2.5000000000000001E-2</v>
      </c>
      <c r="P7" s="1275">
        <f t="shared" si="3"/>
        <v>2.5000000000000001E-2</v>
      </c>
      <c r="Q7" s="1275">
        <f t="shared" si="1"/>
        <v>2.5000000000000001E-2</v>
      </c>
      <c r="R7" s="2362">
        <f t="shared" si="1"/>
        <v>2.5000000000000001E-2</v>
      </c>
    </row>
    <row r="8" spans="1:19" s="573" customFormat="1" x14ac:dyDescent="0.2">
      <c r="A8" s="575" t="s">
        <v>3636</v>
      </c>
      <c r="B8" s="542"/>
      <c r="C8" s="542"/>
      <c r="D8" s="1693">
        <v>5.0000000000000001E-3</v>
      </c>
      <c r="E8" s="829">
        <v>5.0000000000000001E-3</v>
      </c>
      <c r="F8" s="829">
        <f>E8</f>
        <v>5.0000000000000001E-3</v>
      </c>
      <c r="G8" s="829">
        <f t="shared" ref="G8:L8" si="4">F8</f>
        <v>5.0000000000000001E-3</v>
      </c>
      <c r="H8" s="829">
        <f>G8</f>
        <v>5.0000000000000001E-3</v>
      </c>
      <c r="I8" s="829">
        <f t="shared" si="4"/>
        <v>5.0000000000000001E-3</v>
      </c>
      <c r="J8" s="829">
        <f t="shared" si="4"/>
        <v>5.0000000000000001E-3</v>
      </c>
      <c r="K8" s="831">
        <f t="shared" si="4"/>
        <v>5.0000000000000001E-3</v>
      </c>
      <c r="L8" s="831">
        <f t="shared" si="4"/>
        <v>5.0000000000000001E-3</v>
      </c>
      <c r="M8" s="831">
        <f>L8</f>
        <v>5.0000000000000001E-3</v>
      </c>
      <c r="N8" s="829">
        <f>M8</f>
        <v>5.0000000000000001E-3</v>
      </c>
      <c r="O8" s="829">
        <f>N8</f>
        <v>5.0000000000000001E-3</v>
      </c>
      <c r="P8" s="829">
        <f>O8</f>
        <v>5.0000000000000001E-3</v>
      </c>
      <c r="Q8" s="829">
        <f t="shared" si="1"/>
        <v>5.0000000000000001E-3</v>
      </c>
      <c r="R8" s="2363">
        <f t="shared" si="1"/>
        <v>5.0000000000000001E-3</v>
      </c>
    </row>
    <row r="9" spans="1:19" s="573" customFormat="1" x14ac:dyDescent="0.2">
      <c r="A9" s="575" t="s">
        <v>4374</v>
      </c>
      <c r="B9" s="542"/>
      <c r="C9" s="542"/>
      <c r="D9" s="1693">
        <v>0</v>
      </c>
      <c r="E9" s="829">
        <v>0</v>
      </c>
      <c r="F9" s="829">
        <v>0</v>
      </c>
      <c r="G9" s="829">
        <v>0</v>
      </c>
      <c r="H9" s="829">
        <v>3.4000000000000002E-2</v>
      </c>
      <c r="I9" s="829">
        <v>-3.4000000000000002E-2</v>
      </c>
      <c r="J9" s="829">
        <v>0</v>
      </c>
      <c r="K9" s="831">
        <v>0</v>
      </c>
      <c r="L9" s="831">
        <v>0</v>
      </c>
      <c r="M9" s="831">
        <v>0</v>
      </c>
      <c r="N9" s="829">
        <f>M9</f>
        <v>0</v>
      </c>
      <c r="O9" s="829">
        <f>N9</f>
        <v>0</v>
      </c>
      <c r="P9" s="829">
        <f>O9</f>
        <v>0</v>
      </c>
      <c r="Q9" s="829">
        <f t="shared" si="1"/>
        <v>0</v>
      </c>
      <c r="R9" s="2363">
        <f t="shared" si="1"/>
        <v>0</v>
      </c>
      <c r="S9" s="1696"/>
    </row>
    <row r="10" spans="1:19" s="573" customFormat="1" x14ac:dyDescent="0.2">
      <c r="A10" s="575" t="s">
        <v>7256</v>
      </c>
      <c r="B10" s="542"/>
      <c r="C10" s="542"/>
      <c r="D10" s="1693">
        <f t="shared" ref="D10:J10" si="5">D9+D7</f>
        <v>5.8999999999999997E-2</v>
      </c>
      <c r="E10" s="829">
        <f t="shared" si="5"/>
        <v>2.3E-2</v>
      </c>
      <c r="F10" s="829">
        <f t="shared" si="5"/>
        <v>5.4100000000000002E-2</v>
      </c>
      <c r="G10" s="829">
        <f t="shared" si="5"/>
        <v>5.3400000000000003E-2</v>
      </c>
      <c r="H10" s="829">
        <f t="shared" si="5"/>
        <v>4.9000000000000002E-2</v>
      </c>
      <c r="I10" s="829">
        <f>I9+I7</f>
        <v>-1.1000000000000003E-2</v>
      </c>
      <c r="J10" s="829">
        <f t="shared" si="5"/>
        <v>2.5000000000000001E-2</v>
      </c>
      <c r="K10" s="831">
        <f t="shared" ref="K10:P10" si="6">K9+K7</f>
        <v>2.5000000000000001E-2</v>
      </c>
      <c r="L10" s="831">
        <f t="shared" si="6"/>
        <v>2.5000000000000001E-2</v>
      </c>
      <c r="M10" s="831">
        <f t="shared" si="6"/>
        <v>2.5000000000000001E-2</v>
      </c>
      <c r="N10" s="829">
        <f t="shared" si="6"/>
        <v>2.5000000000000001E-2</v>
      </c>
      <c r="O10" s="829">
        <f t="shared" si="6"/>
        <v>2.5000000000000001E-2</v>
      </c>
      <c r="P10" s="829">
        <f t="shared" si="6"/>
        <v>2.5000000000000001E-2</v>
      </c>
      <c r="Q10" s="829">
        <f t="shared" ref="Q10:R10" si="7">Q9+Q7</f>
        <v>2.5000000000000001E-2</v>
      </c>
      <c r="R10" s="2363">
        <f t="shared" si="7"/>
        <v>2.5000000000000001E-2</v>
      </c>
      <c r="S10" s="1696"/>
    </row>
    <row r="11" spans="1:19" s="573" customFormat="1" x14ac:dyDescent="0.2">
      <c r="A11" s="575" t="s">
        <v>4375</v>
      </c>
      <c r="B11" s="542"/>
      <c r="C11" s="542"/>
      <c r="D11" s="1693">
        <f t="shared" ref="D11:P11" si="8">SUM(D7:D9)</f>
        <v>6.4000000000000001E-2</v>
      </c>
      <c r="E11" s="829">
        <f t="shared" si="8"/>
        <v>2.8000000000000001E-2</v>
      </c>
      <c r="F11" s="829">
        <f t="shared" si="8"/>
        <v>5.91E-2</v>
      </c>
      <c r="G11" s="829">
        <f t="shared" si="8"/>
        <v>5.8400000000000001E-2</v>
      </c>
      <c r="H11" s="829">
        <f>SUM(H7:H9)</f>
        <v>5.4000000000000006E-2</v>
      </c>
      <c r="I11" s="829">
        <f>SUM(I7:I9)</f>
        <v>-6.0000000000000019E-3</v>
      </c>
      <c r="J11" s="829">
        <f t="shared" si="8"/>
        <v>3.0000000000000002E-2</v>
      </c>
      <c r="K11" s="829">
        <f t="shared" si="8"/>
        <v>3.0000000000000002E-2</v>
      </c>
      <c r="L11" s="831">
        <f t="shared" si="8"/>
        <v>3.0000000000000002E-2</v>
      </c>
      <c r="M11" s="831">
        <f t="shared" si="8"/>
        <v>3.0000000000000002E-2</v>
      </c>
      <c r="N11" s="829">
        <f t="shared" si="8"/>
        <v>3.0000000000000002E-2</v>
      </c>
      <c r="O11" s="829">
        <f t="shared" si="8"/>
        <v>3.0000000000000002E-2</v>
      </c>
      <c r="P11" s="829">
        <f t="shared" si="8"/>
        <v>3.0000000000000002E-2</v>
      </c>
      <c r="Q11" s="829">
        <f t="shared" ref="Q11:R11" si="9">SUM(Q7:Q9)</f>
        <v>3.0000000000000002E-2</v>
      </c>
      <c r="R11" s="2363">
        <f t="shared" si="9"/>
        <v>3.0000000000000002E-2</v>
      </c>
    </row>
    <row r="12" spans="1:19" s="573" customFormat="1" x14ac:dyDescent="0.2">
      <c r="A12" s="575" t="s">
        <v>3635</v>
      </c>
      <c r="B12" s="542"/>
      <c r="C12" s="542"/>
      <c r="D12" s="1693">
        <v>0.03</v>
      </c>
      <c r="E12" s="829">
        <v>0</v>
      </c>
      <c r="F12" s="829">
        <v>0</v>
      </c>
      <c r="G12" s="829">
        <v>0</v>
      </c>
      <c r="H12" s="829">
        <v>0.02</v>
      </c>
      <c r="I12" s="829">
        <f>H12</f>
        <v>0.02</v>
      </c>
      <c r="J12" s="829">
        <f t="shared" ref="J12:P12" si="10">I12</f>
        <v>0.02</v>
      </c>
      <c r="K12" s="831">
        <f t="shared" si="10"/>
        <v>0.02</v>
      </c>
      <c r="L12" s="831">
        <f t="shared" si="10"/>
        <v>0.02</v>
      </c>
      <c r="M12" s="831">
        <f t="shared" si="10"/>
        <v>0.02</v>
      </c>
      <c r="N12" s="829">
        <f t="shared" si="10"/>
        <v>0.02</v>
      </c>
      <c r="O12" s="829">
        <f t="shared" si="10"/>
        <v>0.02</v>
      </c>
      <c r="P12" s="829">
        <f t="shared" si="10"/>
        <v>0.02</v>
      </c>
      <c r="Q12" s="829">
        <f t="shared" ref="Q12:R18" si="11">P12</f>
        <v>0.02</v>
      </c>
      <c r="R12" s="2363">
        <f t="shared" si="11"/>
        <v>0.02</v>
      </c>
    </row>
    <row r="13" spans="1:19" s="573" customFormat="1" x14ac:dyDescent="0.2">
      <c r="A13" s="575" t="s">
        <v>3634</v>
      </c>
      <c r="B13" s="542"/>
      <c r="C13" s="542"/>
      <c r="D13" s="1693">
        <v>3.2500000000000001E-2</v>
      </c>
      <c r="E13" s="829">
        <v>2.7E-2</v>
      </c>
      <c r="F13" s="829">
        <v>2.8000000000000001E-2</v>
      </c>
      <c r="G13" s="829">
        <v>0.02</v>
      </c>
      <c r="H13" s="829">
        <f t="shared" ref="G13:L14" si="12">G13</f>
        <v>0.02</v>
      </c>
      <c r="I13" s="829">
        <f>I5</f>
        <v>2.3E-2</v>
      </c>
      <c r="J13" s="829">
        <f t="shared" si="12"/>
        <v>2.3E-2</v>
      </c>
      <c r="K13" s="831">
        <f t="shared" si="12"/>
        <v>2.3E-2</v>
      </c>
      <c r="L13" s="831">
        <f t="shared" si="12"/>
        <v>2.3E-2</v>
      </c>
      <c r="M13" s="831">
        <f t="shared" ref="M13:P15" si="13">L13</f>
        <v>2.3E-2</v>
      </c>
      <c r="N13" s="829">
        <f t="shared" si="13"/>
        <v>2.3E-2</v>
      </c>
      <c r="O13" s="829">
        <f t="shared" si="13"/>
        <v>2.3E-2</v>
      </c>
      <c r="P13" s="829">
        <f t="shared" si="13"/>
        <v>2.3E-2</v>
      </c>
      <c r="Q13" s="829">
        <f t="shared" si="11"/>
        <v>2.3E-2</v>
      </c>
      <c r="R13" s="2363">
        <f t="shared" si="11"/>
        <v>2.3E-2</v>
      </c>
    </row>
    <row r="14" spans="1:19" s="573" customFormat="1" x14ac:dyDescent="0.2">
      <c r="A14" s="575" t="s">
        <v>3633</v>
      </c>
      <c r="B14" s="542"/>
      <c r="C14" s="542"/>
      <c r="D14" s="1693">
        <v>0.04</v>
      </c>
      <c r="E14" s="829">
        <v>0.04</v>
      </c>
      <c r="F14" s="829">
        <v>4.4999999999999998E-2</v>
      </c>
      <c r="G14" s="829">
        <f t="shared" si="12"/>
        <v>4.4999999999999998E-2</v>
      </c>
      <c r="H14" s="829">
        <f t="shared" si="12"/>
        <v>4.4999999999999998E-2</v>
      </c>
      <c r="I14" s="829">
        <f t="shared" si="12"/>
        <v>4.4999999999999998E-2</v>
      </c>
      <c r="J14" s="829">
        <f t="shared" si="12"/>
        <v>4.4999999999999998E-2</v>
      </c>
      <c r="K14" s="831">
        <f t="shared" si="12"/>
        <v>4.4999999999999998E-2</v>
      </c>
      <c r="L14" s="831">
        <f t="shared" si="12"/>
        <v>4.4999999999999998E-2</v>
      </c>
      <c r="M14" s="829">
        <f t="shared" si="13"/>
        <v>4.4999999999999998E-2</v>
      </c>
      <c r="N14" s="964">
        <f t="shared" si="13"/>
        <v>4.4999999999999998E-2</v>
      </c>
      <c r="O14" s="829">
        <f t="shared" si="13"/>
        <v>4.4999999999999998E-2</v>
      </c>
      <c r="P14" s="829">
        <f t="shared" si="13"/>
        <v>4.4999999999999998E-2</v>
      </c>
      <c r="Q14" s="829">
        <f t="shared" si="11"/>
        <v>4.4999999999999998E-2</v>
      </c>
      <c r="R14" s="2363">
        <f t="shared" si="11"/>
        <v>4.4999999999999998E-2</v>
      </c>
    </row>
    <row r="15" spans="1:19" s="573" customFormat="1" x14ac:dyDescent="0.2">
      <c r="A15" s="575" t="s">
        <v>3632</v>
      </c>
      <c r="B15" s="542"/>
      <c r="C15" s="542"/>
      <c r="D15" s="1693">
        <v>0.06</v>
      </c>
      <c r="E15" s="829">
        <v>0.06</v>
      </c>
      <c r="F15" s="829">
        <f t="shared" ref="F15:L15" si="14">E15</f>
        <v>0.06</v>
      </c>
      <c r="G15" s="829">
        <f t="shared" si="14"/>
        <v>0.06</v>
      </c>
      <c r="H15" s="829">
        <f t="shared" si="14"/>
        <v>0.06</v>
      </c>
      <c r="I15" s="829">
        <f t="shared" si="14"/>
        <v>0.06</v>
      </c>
      <c r="J15" s="829">
        <f t="shared" si="14"/>
        <v>0.06</v>
      </c>
      <c r="K15" s="831">
        <f t="shared" si="14"/>
        <v>0.06</v>
      </c>
      <c r="L15" s="831">
        <f t="shared" si="14"/>
        <v>0.06</v>
      </c>
      <c r="M15" s="829">
        <f t="shared" si="13"/>
        <v>0.06</v>
      </c>
      <c r="N15" s="964">
        <f t="shared" si="13"/>
        <v>0.06</v>
      </c>
      <c r="O15" s="829">
        <f t="shared" si="13"/>
        <v>0.06</v>
      </c>
      <c r="P15" s="829">
        <f t="shared" si="13"/>
        <v>0.06</v>
      </c>
      <c r="Q15" s="829">
        <f t="shared" si="11"/>
        <v>0.06</v>
      </c>
      <c r="R15" s="2363">
        <f t="shared" si="11"/>
        <v>0.06</v>
      </c>
    </row>
    <row r="16" spans="1:19" s="573" customFormat="1" x14ac:dyDescent="0.2">
      <c r="A16" s="575" t="s">
        <v>3631</v>
      </c>
      <c r="B16" s="542"/>
      <c r="C16" s="542"/>
      <c r="D16" s="1693">
        <v>0.02</v>
      </c>
      <c r="E16" s="829">
        <v>0.02</v>
      </c>
      <c r="F16" s="829">
        <v>0.03</v>
      </c>
      <c r="G16" s="829">
        <f t="shared" ref="G16" si="15">F16</f>
        <v>0.03</v>
      </c>
      <c r="H16" s="829">
        <f t="shared" ref="H16" si="16">G16</f>
        <v>0.03</v>
      </c>
      <c r="I16" s="829">
        <f t="shared" ref="I16" si="17">H16</f>
        <v>0.03</v>
      </c>
      <c r="J16" s="829">
        <f t="shared" ref="J16" si="18">I16</f>
        <v>0.03</v>
      </c>
      <c r="K16" s="831">
        <f t="shared" ref="K16" si="19">J16</f>
        <v>0.03</v>
      </c>
      <c r="L16" s="831">
        <f t="shared" ref="L16" si="20">K16</f>
        <v>0.03</v>
      </c>
      <c r="M16" s="829">
        <f t="shared" ref="M16" si="21">L16</f>
        <v>0.03</v>
      </c>
      <c r="N16" s="964">
        <f t="shared" ref="N16:P16" si="22">M16</f>
        <v>0.03</v>
      </c>
      <c r="O16" s="829">
        <f t="shared" si="22"/>
        <v>0.03</v>
      </c>
      <c r="P16" s="829">
        <f t="shared" si="22"/>
        <v>0.03</v>
      </c>
      <c r="Q16" s="829">
        <f t="shared" si="11"/>
        <v>0.03</v>
      </c>
      <c r="R16" s="2363">
        <f t="shared" si="11"/>
        <v>0.03</v>
      </c>
    </row>
    <row r="17" spans="1:22" s="573" customFormat="1" x14ac:dyDescent="0.2">
      <c r="A17" s="575" t="s">
        <v>3710</v>
      </c>
      <c r="B17" s="542"/>
      <c r="C17" s="542"/>
      <c r="D17" s="1693">
        <v>8.0000000000000002E-3</v>
      </c>
      <c r="E17" s="829">
        <v>8.5000000000000006E-3</v>
      </c>
      <c r="F17" s="829">
        <f t="shared" ref="F17" si="23">E17</f>
        <v>8.5000000000000006E-3</v>
      </c>
      <c r="G17" s="829">
        <f t="shared" ref="G17" si="24">F17</f>
        <v>8.5000000000000006E-3</v>
      </c>
      <c r="H17" s="829">
        <f t="shared" ref="H17:H18" si="25">G17</f>
        <v>8.5000000000000006E-3</v>
      </c>
      <c r="I17" s="829">
        <f t="shared" ref="I17:I18" si="26">H17</f>
        <v>8.5000000000000006E-3</v>
      </c>
      <c r="J17" s="829">
        <f t="shared" ref="J17:J18" si="27">I17</f>
        <v>8.5000000000000006E-3</v>
      </c>
      <c r="K17" s="831">
        <f t="shared" ref="K17:K18" si="28">J17</f>
        <v>8.5000000000000006E-3</v>
      </c>
      <c r="L17" s="831">
        <f t="shared" ref="L17:L18" si="29">K17</f>
        <v>8.5000000000000006E-3</v>
      </c>
      <c r="M17" s="829">
        <f t="shared" ref="M17:M18" si="30">L17</f>
        <v>8.5000000000000006E-3</v>
      </c>
      <c r="N17" s="964">
        <f t="shared" ref="N17:P18" si="31">M17</f>
        <v>8.5000000000000006E-3</v>
      </c>
      <c r="O17" s="829">
        <f t="shared" si="31"/>
        <v>8.5000000000000006E-3</v>
      </c>
      <c r="P17" s="829">
        <f t="shared" si="31"/>
        <v>8.5000000000000006E-3</v>
      </c>
      <c r="Q17" s="829">
        <f t="shared" si="11"/>
        <v>8.5000000000000006E-3</v>
      </c>
      <c r="R17" s="2363">
        <f t="shared" si="11"/>
        <v>8.5000000000000006E-3</v>
      </c>
    </row>
    <row r="18" spans="1:22" s="573" customFormat="1" x14ac:dyDescent="0.2">
      <c r="A18" s="575" t="s">
        <v>2035</v>
      </c>
      <c r="B18" s="542"/>
      <c r="C18" s="542"/>
      <c r="D18" s="1693"/>
      <c r="E18" s="829">
        <v>0.03</v>
      </c>
      <c r="F18" s="829">
        <f>E18</f>
        <v>0.03</v>
      </c>
      <c r="G18" s="829">
        <v>0.02</v>
      </c>
      <c r="H18" s="829">
        <f t="shared" si="25"/>
        <v>0.02</v>
      </c>
      <c r="I18" s="829">
        <f t="shared" si="26"/>
        <v>0.02</v>
      </c>
      <c r="J18" s="829">
        <f t="shared" si="27"/>
        <v>0.02</v>
      </c>
      <c r="K18" s="831">
        <f t="shared" si="28"/>
        <v>0.02</v>
      </c>
      <c r="L18" s="831">
        <f t="shared" si="29"/>
        <v>0.02</v>
      </c>
      <c r="M18" s="829">
        <f t="shared" si="30"/>
        <v>0.02</v>
      </c>
      <c r="N18" s="964">
        <f t="shared" si="31"/>
        <v>0.02</v>
      </c>
      <c r="O18" s="829">
        <f t="shared" si="31"/>
        <v>0.02</v>
      </c>
      <c r="P18" s="829">
        <f t="shared" si="31"/>
        <v>0.02</v>
      </c>
      <c r="Q18" s="829">
        <f t="shared" si="11"/>
        <v>0.02</v>
      </c>
      <c r="R18" s="2363">
        <f t="shared" si="11"/>
        <v>0.02</v>
      </c>
    </row>
    <row r="19" spans="1:22" s="573" customFormat="1" x14ac:dyDescent="0.2">
      <c r="A19" s="575"/>
      <c r="B19" s="542"/>
      <c r="C19" s="542"/>
      <c r="D19" s="1693"/>
      <c r="E19" s="829"/>
      <c r="F19" s="829"/>
      <c r="G19" s="829"/>
      <c r="H19" s="829"/>
      <c r="I19" s="829"/>
      <c r="J19" s="831"/>
      <c r="K19" s="831"/>
      <c r="L19" s="831"/>
      <c r="M19" s="829"/>
      <c r="N19" s="964"/>
      <c r="O19" s="829"/>
      <c r="P19" s="829"/>
      <c r="Q19" s="829"/>
      <c r="R19" s="2363"/>
    </row>
    <row r="20" spans="1:22" s="573" customFormat="1" x14ac:dyDescent="0.2">
      <c r="A20" s="575" t="s">
        <v>11963</v>
      </c>
      <c r="B20" s="542"/>
      <c r="C20" s="542"/>
      <c r="D20" s="1693"/>
      <c r="E20" s="829"/>
      <c r="F20" s="829"/>
      <c r="G20" s="829"/>
      <c r="H20" s="829"/>
      <c r="I20" s="829"/>
      <c r="J20" s="831"/>
      <c r="K20" s="831"/>
      <c r="L20" s="831"/>
      <c r="M20" s="829"/>
      <c r="N20" s="964"/>
      <c r="O20" s="829"/>
      <c r="P20" s="829"/>
      <c r="Q20" s="829"/>
      <c r="R20" s="2363"/>
    </row>
    <row r="21" spans="1:22" s="573" customFormat="1" x14ac:dyDescent="0.2">
      <c r="A21" s="575"/>
      <c r="B21" s="542"/>
      <c r="C21" s="542"/>
      <c r="D21" s="1697"/>
      <c r="E21" s="829"/>
      <c r="F21" s="829"/>
      <c r="G21" s="829"/>
      <c r="H21" s="829"/>
      <c r="I21" s="829"/>
      <c r="J21" s="831"/>
      <c r="K21" s="831"/>
      <c r="L21" s="831"/>
      <c r="M21" s="829"/>
      <c r="N21" s="964"/>
      <c r="O21" s="829"/>
      <c r="P21" s="829"/>
      <c r="Q21" s="829"/>
      <c r="R21" s="2363"/>
    </row>
    <row r="22" spans="1:22" s="573" customFormat="1" x14ac:dyDescent="0.2">
      <c r="A22" s="574" t="s">
        <v>808</v>
      </c>
      <c r="B22" s="542"/>
      <c r="C22" s="542"/>
      <c r="D22" s="1697"/>
      <c r="E22" s="829"/>
      <c r="F22" s="829"/>
      <c r="G22" s="829"/>
      <c r="H22" s="829"/>
      <c r="I22" s="829"/>
      <c r="J22" s="831"/>
      <c r="K22" s="831"/>
      <c r="L22" s="831"/>
      <c r="M22" s="829"/>
      <c r="N22" s="964"/>
      <c r="O22" s="829"/>
      <c r="P22" s="829"/>
      <c r="Q22" s="829"/>
      <c r="R22" s="2363"/>
    </row>
    <row r="23" spans="1:22" s="573" customFormat="1" x14ac:dyDescent="0.2">
      <c r="A23" s="575" t="s">
        <v>3287</v>
      </c>
      <c r="B23" s="542"/>
      <c r="C23" s="542"/>
      <c r="D23" s="1697"/>
      <c r="E23" s="829">
        <v>0.08</v>
      </c>
      <c r="F23" s="829">
        <v>2.4E-2</v>
      </c>
      <c r="G23" s="829">
        <v>0.02</v>
      </c>
      <c r="H23" s="829">
        <v>0.02</v>
      </c>
      <c r="I23" s="829">
        <f>I5</f>
        <v>2.3E-2</v>
      </c>
      <c r="J23" s="829">
        <f t="shared" ref="J23:P23" si="32">I23</f>
        <v>2.3E-2</v>
      </c>
      <c r="K23" s="829">
        <f t="shared" si="32"/>
        <v>2.3E-2</v>
      </c>
      <c r="L23" s="829">
        <f t="shared" si="32"/>
        <v>2.3E-2</v>
      </c>
      <c r="M23" s="829">
        <f t="shared" si="32"/>
        <v>2.3E-2</v>
      </c>
      <c r="N23" s="829">
        <f t="shared" si="32"/>
        <v>2.3E-2</v>
      </c>
      <c r="O23" s="829">
        <f t="shared" si="32"/>
        <v>2.3E-2</v>
      </c>
      <c r="P23" s="829">
        <f t="shared" si="32"/>
        <v>2.3E-2</v>
      </c>
      <c r="Q23" s="829">
        <f t="shared" ref="Q23:R25" si="33">P23</f>
        <v>2.3E-2</v>
      </c>
      <c r="R23" s="2363">
        <f t="shared" si="33"/>
        <v>2.3E-2</v>
      </c>
    </row>
    <row r="24" spans="1:22" s="573" customFormat="1" x14ac:dyDescent="0.2">
      <c r="A24" s="575" t="s">
        <v>3288</v>
      </c>
      <c r="B24" s="542"/>
      <c r="C24" s="542"/>
      <c r="D24" s="830"/>
      <c r="E24" s="829">
        <v>0.08</v>
      </c>
      <c r="F24" s="829">
        <v>2.4E-2</v>
      </c>
      <c r="G24" s="829">
        <v>0.02</v>
      </c>
      <c r="H24" s="829">
        <f>H23</f>
        <v>0.02</v>
      </c>
      <c r="I24" s="829">
        <f>I23</f>
        <v>2.3E-2</v>
      </c>
      <c r="J24" s="829">
        <f t="shared" ref="J24:P24" si="34">I24</f>
        <v>2.3E-2</v>
      </c>
      <c r="K24" s="829">
        <f t="shared" si="34"/>
        <v>2.3E-2</v>
      </c>
      <c r="L24" s="829">
        <f t="shared" si="34"/>
        <v>2.3E-2</v>
      </c>
      <c r="M24" s="829">
        <f t="shared" si="34"/>
        <v>2.3E-2</v>
      </c>
      <c r="N24" s="829">
        <f t="shared" si="34"/>
        <v>2.3E-2</v>
      </c>
      <c r="O24" s="829">
        <f t="shared" si="34"/>
        <v>2.3E-2</v>
      </c>
      <c r="P24" s="829">
        <f t="shared" si="34"/>
        <v>2.3E-2</v>
      </c>
      <c r="Q24" s="829">
        <f t="shared" si="33"/>
        <v>2.3E-2</v>
      </c>
      <c r="R24" s="2363">
        <f t="shared" si="33"/>
        <v>2.3E-2</v>
      </c>
    </row>
    <row r="25" spans="1:22" s="573" customFormat="1" x14ac:dyDescent="0.2">
      <c r="A25" s="575" t="s">
        <v>3766</v>
      </c>
      <c r="B25" s="542"/>
      <c r="C25" s="542"/>
      <c r="D25" s="830"/>
      <c r="E25" s="829">
        <v>3.5000000000000003E-2</v>
      </c>
      <c r="F25" s="829">
        <v>2.4E-2</v>
      </c>
      <c r="G25" s="829">
        <v>0.02</v>
      </c>
      <c r="H25" s="829">
        <f>H23</f>
        <v>0.02</v>
      </c>
      <c r="I25" s="829">
        <f>I23</f>
        <v>2.3E-2</v>
      </c>
      <c r="J25" s="829">
        <f>J23</f>
        <v>2.3E-2</v>
      </c>
      <c r="K25" s="829">
        <f t="shared" ref="K25:P25" si="35">J25</f>
        <v>2.3E-2</v>
      </c>
      <c r="L25" s="829">
        <f t="shared" si="35"/>
        <v>2.3E-2</v>
      </c>
      <c r="M25" s="829">
        <f t="shared" si="35"/>
        <v>2.3E-2</v>
      </c>
      <c r="N25" s="964">
        <f t="shared" si="35"/>
        <v>2.3E-2</v>
      </c>
      <c r="O25" s="829">
        <f t="shared" si="35"/>
        <v>2.3E-2</v>
      </c>
      <c r="P25" s="829">
        <f t="shared" si="35"/>
        <v>2.3E-2</v>
      </c>
      <c r="Q25" s="829">
        <f t="shared" si="33"/>
        <v>2.3E-2</v>
      </c>
      <c r="R25" s="2363">
        <f t="shared" si="33"/>
        <v>2.3E-2</v>
      </c>
    </row>
    <row r="26" spans="1:22" x14ac:dyDescent="0.2">
      <c r="A26" s="655" t="s">
        <v>3769</v>
      </c>
      <c r="B26" s="1250"/>
      <c r="C26" s="1250"/>
      <c r="D26" s="1697">
        <v>0</v>
      </c>
      <c r="E26" s="1276">
        <v>70</v>
      </c>
      <c r="F26" s="1276">
        <f t="shared" ref="F26:P26" si="36">E26*F25+E26</f>
        <v>71.680000000000007</v>
      </c>
      <c r="G26" s="1276">
        <f t="shared" si="36"/>
        <v>73.113600000000005</v>
      </c>
      <c r="H26" s="1276"/>
      <c r="I26" s="1276">
        <f t="shared" ref="I26" si="37">H26*I25+H26</f>
        <v>0</v>
      </c>
      <c r="J26" s="1276">
        <f t="shared" ref="J26" si="38">I26*J25+I26</f>
        <v>0</v>
      </c>
      <c r="K26" s="1698">
        <f t="shared" si="36"/>
        <v>0</v>
      </c>
      <c r="L26" s="1698">
        <f t="shared" si="36"/>
        <v>0</v>
      </c>
      <c r="M26" s="1698">
        <f t="shared" si="36"/>
        <v>0</v>
      </c>
      <c r="N26" s="1698">
        <f t="shared" si="36"/>
        <v>0</v>
      </c>
      <c r="O26" s="1698">
        <f t="shared" si="36"/>
        <v>0</v>
      </c>
      <c r="P26" s="1698">
        <f t="shared" si="36"/>
        <v>0</v>
      </c>
      <c r="Q26" s="1698">
        <f>P26*Q25+P26</f>
        <v>0</v>
      </c>
      <c r="R26" s="2364">
        <f>Q26*R25+Q26</f>
        <v>0</v>
      </c>
      <c r="S26" s="1699"/>
      <c r="T26" s="1699"/>
      <c r="U26" s="1699"/>
      <c r="V26" s="1699"/>
    </row>
    <row r="27" spans="1:22" x14ac:dyDescent="0.2">
      <c r="A27" s="655" t="s">
        <v>3767</v>
      </c>
      <c r="B27" s="1250"/>
      <c r="C27" s="1250"/>
      <c r="D27" s="1697">
        <v>408</v>
      </c>
      <c r="E27" s="1276">
        <f>422-E26</f>
        <v>352</v>
      </c>
      <c r="F27" s="1276">
        <f>ROUND(E27*F25+E27,)</f>
        <v>360</v>
      </c>
      <c r="G27" s="1276">
        <f t="shared" ref="G27:P27" si="39">ROUND(F27*G25+F27,)</f>
        <v>367</v>
      </c>
      <c r="H27" s="1698">
        <f t="shared" si="39"/>
        <v>374</v>
      </c>
      <c r="I27" s="1698">
        <f t="shared" si="39"/>
        <v>383</v>
      </c>
      <c r="J27" s="1698">
        <f t="shared" si="39"/>
        <v>392</v>
      </c>
      <c r="K27" s="1698">
        <f t="shared" si="39"/>
        <v>401</v>
      </c>
      <c r="L27" s="1698">
        <f t="shared" si="39"/>
        <v>410</v>
      </c>
      <c r="M27" s="1698">
        <f t="shared" si="39"/>
        <v>419</v>
      </c>
      <c r="N27" s="1698">
        <f t="shared" si="39"/>
        <v>429</v>
      </c>
      <c r="O27" s="1698">
        <f t="shared" si="39"/>
        <v>439</v>
      </c>
      <c r="P27" s="1698">
        <f t="shared" si="39"/>
        <v>449</v>
      </c>
      <c r="Q27" s="1698">
        <f>ROUND(P27*Q25+P27,)</f>
        <v>459</v>
      </c>
      <c r="R27" s="2364">
        <f>ROUND(Q27*R25+Q27,)</f>
        <v>470</v>
      </c>
      <c r="S27" s="1700"/>
      <c r="T27" s="1700"/>
      <c r="U27" s="1700"/>
      <c r="V27" s="1700"/>
    </row>
    <row r="28" spans="1:22" x14ac:dyDescent="0.2">
      <c r="A28" s="655" t="s">
        <v>3768</v>
      </c>
      <c r="B28" s="1250"/>
      <c r="C28" s="1250"/>
      <c r="D28" s="1697">
        <v>408</v>
      </c>
      <c r="E28" s="1276">
        <f>377-E26</f>
        <v>307</v>
      </c>
      <c r="F28" s="1276">
        <f>ROUND(E28*F25+E28,)</f>
        <v>314</v>
      </c>
      <c r="G28" s="1276">
        <f t="shared" ref="G28:P28" si="40">ROUND(F28*G25+F28,)</f>
        <v>320</v>
      </c>
      <c r="H28" s="1698">
        <f t="shared" si="40"/>
        <v>326</v>
      </c>
      <c r="I28" s="1698">
        <f t="shared" si="40"/>
        <v>333</v>
      </c>
      <c r="J28" s="1698">
        <f t="shared" si="40"/>
        <v>341</v>
      </c>
      <c r="K28" s="1698">
        <f t="shared" si="40"/>
        <v>349</v>
      </c>
      <c r="L28" s="1698">
        <f t="shared" si="40"/>
        <v>357</v>
      </c>
      <c r="M28" s="1698">
        <f t="shared" si="40"/>
        <v>365</v>
      </c>
      <c r="N28" s="1698">
        <f t="shared" si="40"/>
        <v>373</v>
      </c>
      <c r="O28" s="1698">
        <f t="shared" si="40"/>
        <v>382</v>
      </c>
      <c r="P28" s="1698">
        <f t="shared" si="40"/>
        <v>391</v>
      </c>
      <c r="Q28" s="1698">
        <f>ROUND(P28*Q25+P28,)</f>
        <v>400</v>
      </c>
      <c r="R28" s="2364">
        <f>ROUND(Q28*R25+Q28,)</f>
        <v>409</v>
      </c>
    </row>
    <row r="29" spans="1:22" x14ac:dyDescent="0.2">
      <c r="A29" s="655" t="s">
        <v>3877</v>
      </c>
      <c r="B29" s="1250"/>
      <c r="C29" s="1250"/>
      <c r="D29" s="1697">
        <v>37</v>
      </c>
      <c r="E29" s="1276">
        <v>38</v>
      </c>
      <c r="F29" s="1276">
        <f>ROUND(E29*F25+E29,)</f>
        <v>39</v>
      </c>
      <c r="G29" s="1276">
        <f t="shared" ref="G29:P29" si="41">ROUND(F29*G25+F29,)</f>
        <v>40</v>
      </c>
      <c r="H29" s="1698">
        <f t="shared" si="41"/>
        <v>41</v>
      </c>
      <c r="I29" s="1698">
        <f t="shared" si="41"/>
        <v>42</v>
      </c>
      <c r="J29" s="1698">
        <f t="shared" si="41"/>
        <v>43</v>
      </c>
      <c r="K29" s="1698">
        <f t="shared" si="41"/>
        <v>44</v>
      </c>
      <c r="L29" s="1698">
        <f t="shared" si="41"/>
        <v>45</v>
      </c>
      <c r="M29" s="1698">
        <f t="shared" si="41"/>
        <v>46</v>
      </c>
      <c r="N29" s="1698">
        <f t="shared" si="41"/>
        <v>47</v>
      </c>
      <c r="O29" s="1698">
        <f t="shared" si="41"/>
        <v>48</v>
      </c>
      <c r="P29" s="1698">
        <f t="shared" si="41"/>
        <v>49</v>
      </c>
      <c r="Q29" s="1698">
        <f>ROUND(P29*Q25+P29,)</f>
        <v>50</v>
      </c>
      <c r="R29" s="2364">
        <f>ROUND(Q29*R25+Q29,)</f>
        <v>51</v>
      </c>
    </row>
    <row r="30" spans="1:22" x14ac:dyDescent="0.2">
      <c r="A30" s="655" t="s">
        <v>3771</v>
      </c>
      <c r="B30" s="1250"/>
      <c r="C30" s="1250"/>
      <c r="D30" s="1697"/>
      <c r="E30" s="1276">
        <v>14364</v>
      </c>
      <c r="F30" s="1276">
        <v>14488</v>
      </c>
      <c r="G30" s="1276">
        <v>14880</v>
      </c>
      <c r="H30" s="1698">
        <f t="shared" ref="H30:P30" si="42">G30*H8*0.75+G30</f>
        <v>14935.8</v>
      </c>
      <c r="I30" s="1698">
        <f t="shared" si="42"/>
        <v>14991.809249999998</v>
      </c>
      <c r="J30" s="1698">
        <f t="shared" si="42"/>
        <v>15048.028534687499</v>
      </c>
      <c r="K30" s="1701">
        <f t="shared" si="42"/>
        <v>15104.458641692578</v>
      </c>
      <c r="L30" s="1701">
        <f t="shared" si="42"/>
        <v>15161.100361598925</v>
      </c>
      <c r="M30" s="1701">
        <f t="shared" si="42"/>
        <v>15217.954487954921</v>
      </c>
      <c r="N30" s="1698">
        <f t="shared" si="42"/>
        <v>15275.021817284753</v>
      </c>
      <c r="O30" s="1698">
        <f t="shared" si="42"/>
        <v>15332.303149099571</v>
      </c>
      <c r="P30" s="1698">
        <f t="shared" si="42"/>
        <v>15389.799285908693</v>
      </c>
      <c r="Q30" s="1698">
        <f>P30*Q8*0.75+P30</f>
        <v>15447.51103323085</v>
      </c>
      <c r="R30" s="2364">
        <f>Q30*R8*0.75+Q30</f>
        <v>15505.439199605466</v>
      </c>
    </row>
    <row r="31" spans="1:22" x14ac:dyDescent="0.2">
      <c r="A31" s="655" t="s">
        <v>3772</v>
      </c>
      <c r="B31" s="1250"/>
      <c r="C31" s="1250"/>
      <c r="D31" s="1697"/>
      <c r="E31" s="1276">
        <v>2647</v>
      </c>
      <c r="F31" s="1276">
        <v>2658</v>
      </c>
      <c r="G31" s="1276">
        <v>2712</v>
      </c>
      <c r="H31" s="1698">
        <f t="shared" ref="H31:P31" si="43">G31</f>
        <v>2712</v>
      </c>
      <c r="I31" s="1698">
        <f t="shared" si="43"/>
        <v>2712</v>
      </c>
      <c r="J31" s="1698">
        <f t="shared" si="43"/>
        <v>2712</v>
      </c>
      <c r="K31" s="1701">
        <f t="shared" si="43"/>
        <v>2712</v>
      </c>
      <c r="L31" s="1701">
        <f t="shared" si="43"/>
        <v>2712</v>
      </c>
      <c r="M31" s="1701">
        <f t="shared" si="43"/>
        <v>2712</v>
      </c>
      <c r="N31" s="1698">
        <f t="shared" si="43"/>
        <v>2712</v>
      </c>
      <c r="O31" s="1698">
        <f t="shared" si="43"/>
        <v>2712</v>
      </c>
      <c r="P31" s="1698">
        <f t="shared" si="43"/>
        <v>2712</v>
      </c>
      <c r="Q31" s="1698">
        <f>P31</f>
        <v>2712</v>
      </c>
      <c r="R31" s="2364">
        <f>Q31</f>
        <v>2712</v>
      </c>
    </row>
    <row r="32" spans="1:22" s="573" customFormat="1" x14ac:dyDescent="0.2">
      <c r="A32" s="575" t="s">
        <v>4244</v>
      </c>
      <c r="B32" s="542"/>
      <c r="C32" s="542"/>
      <c r="D32" s="830"/>
      <c r="E32" s="1277">
        <f t="shared" ref="E32:P32" si="44">E31+E30</f>
        <v>17011</v>
      </c>
      <c r="F32" s="1276">
        <f t="shared" si="44"/>
        <v>17146</v>
      </c>
      <c r="G32" s="1277">
        <f t="shared" si="44"/>
        <v>17592</v>
      </c>
      <c r="H32" s="659">
        <f t="shared" si="44"/>
        <v>17647.8</v>
      </c>
      <c r="I32" s="659">
        <f t="shared" si="44"/>
        <v>17703.809249999998</v>
      </c>
      <c r="J32" s="659">
        <f t="shared" si="44"/>
        <v>17760.028534687499</v>
      </c>
      <c r="K32" s="659">
        <f t="shared" si="44"/>
        <v>17816.458641692578</v>
      </c>
      <c r="L32" s="659">
        <f t="shared" si="44"/>
        <v>17873.100361598925</v>
      </c>
      <c r="M32" s="659">
        <f t="shared" si="44"/>
        <v>17929.954487954921</v>
      </c>
      <c r="N32" s="1698">
        <f t="shared" si="44"/>
        <v>17987.021817284753</v>
      </c>
      <c r="O32" s="1698">
        <f t="shared" si="44"/>
        <v>18044.303149099571</v>
      </c>
      <c r="P32" s="1698">
        <f t="shared" si="44"/>
        <v>18101.799285908695</v>
      </c>
      <c r="Q32" s="1698">
        <f t="shared" ref="Q32:R32" si="45">Q31+Q30</f>
        <v>18159.51103323085</v>
      </c>
      <c r="R32" s="2364">
        <f t="shared" si="45"/>
        <v>18217.439199605466</v>
      </c>
    </row>
    <row r="33" spans="1:18" s="573" customFormat="1" x14ac:dyDescent="0.2">
      <c r="A33" s="575" t="s">
        <v>6736</v>
      </c>
      <c r="B33" s="542"/>
      <c r="C33" s="542"/>
      <c r="D33" s="830"/>
      <c r="E33" s="1277"/>
      <c r="F33" s="946">
        <f>(F32-E32)/E32</f>
        <v>7.9360413849861849E-3</v>
      </c>
      <c r="G33" s="946">
        <f>(G32-F32)/F32</f>
        <v>2.6011897818733233E-2</v>
      </c>
      <c r="H33" s="946">
        <f t="shared" ref="H33:P33" si="46">(H32-G32)/G32</f>
        <v>3.1718963165074622E-3</v>
      </c>
      <c r="I33" s="946">
        <f t="shared" si="46"/>
        <v>3.1737242035834016E-3</v>
      </c>
      <c r="J33" s="946">
        <f t="shared" si="46"/>
        <v>3.1755473578377194E-3</v>
      </c>
      <c r="K33" s="1702">
        <f t="shared" si="46"/>
        <v>3.1773657849064759E-3</v>
      </c>
      <c r="L33" s="1702">
        <f t="shared" si="46"/>
        <v>3.1791794904627649E-3</v>
      </c>
      <c r="M33" s="1702">
        <f t="shared" si="46"/>
        <v>3.1809884802163251E-3</v>
      </c>
      <c r="N33" s="1703">
        <f t="shared" si="46"/>
        <v>3.182792759912938E-3</v>
      </c>
      <c r="O33" s="1703">
        <f t="shared" si="46"/>
        <v>3.1845923353344338E-3</v>
      </c>
      <c r="P33" s="1703">
        <f t="shared" si="46"/>
        <v>3.1863872122982789E-3</v>
      </c>
      <c r="Q33" s="1703">
        <f>(Q32-P32)/P32</f>
        <v>3.1881773966569564E-3</v>
      </c>
      <c r="R33" s="2365">
        <f>(R32-Q32)/Q32</f>
        <v>3.1899628942987463E-3</v>
      </c>
    </row>
    <row r="34" spans="1:18" x14ac:dyDescent="0.2">
      <c r="A34" s="655" t="s">
        <v>3878</v>
      </c>
      <c r="B34" s="1250"/>
      <c r="C34" s="1250"/>
      <c r="D34" s="1697"/>
      <c r="E34" s="1276">
        <v>584</v>
      </c>
      <c r="F34" s="1276">
        <v>601</v>
      </c>
      <c r="G34" s="1276">
        <v>583</v>
      </c>
      <c r="H34" s="1698">
        <f t="shared" ref="H34" si="47">G34</f>
        <v>583</v>
      </c>
      <c r="I34" s="1698">
        <f t="shared" ref="I34" si="48">H34</f>
        <v>583</v>
      </c>
      <c r="J34" s="1698">
        <f t="shared" ref="J34" si="49">I34</f>
        <v>583</v>
      </c>
      <c r="K34" s="1701">
        <f t="shared" ref="K34" si="50">J34</f>
        <v>583</v>
      </c>
      <c r="L34" s="1701">
        <f t="shared" ref="L34" si="51">K34</f>
        <v>583</v>
      </c>
      <c r="M34" s="1701">
        <f t="shared" ref="M34" si="52">L34</f>
        <v>583</v>
      </c>
      <c r="N34" s="1698">
        <f t="shared" ref="N34:P34" si="53">M34</f>
        <v>583</v>
      </c>
      <c r="O34" s="1698">
        <f t="shared" si="53"/>
        <v>583</v>
      </c>
      <c r="P34" s="1698">
        <f t="shared" si="53"/>
        <v>583</v>
      </c>
      <c r="Q34" s="1698">
        <f>P34</f>
        <v>583</v>
      </c>
      <c r="R34" s="2364">
        <f>Q34</f>
        <v>583</v>
      </c>
    </row>
    <row r="35" spans="1:18" x14ac:dyDescent="0.2">
      <c r="A35" s="655"/>
      <c r="B35" s="1250"/>
      <c r="C35" s="1250"/>
      <c r="D35" s="1697"/>
      <c r="E35" s="1276"/>
      <c r="F35" s="1276"/>
      <c r="G35" s="1276"/>
      <c r="H35" s="1698"/>
      <c r="I35" s="1698"/>
      <c r="J35" s="1698"/>
      <c r="K35" s="1701"/>
      <c r="L35" s="1701"/>
      <c r="M35" s="1701"/>
      <c r="N35" s="1698"/>
      <c r="O35" s="1698"/>
      <c r="P35" s="1698"/>
      <c r="Q35" s="1698"/>
      <c r="R35" s="2364"/>
    </row>
    <row r="36" spans="1:18" x14ac:dyDescent="0.2">
      <c r="A36" s="823" t="s">
        <v>6804</v>
      </c>
      <c r="B36" s="1250"/>
      <c r="C36" s="1250"/>
      <c r="D36" s="1697"/>
      <c r="E36" s="1276"/>
      <c r="F36" s="1276"/>
      <c r="G36" s="1276"/>
      <c r="H36" s="1698"/>
      <c r="I36" s="1698"/>
      <c r="J36" s="1698"/>
      <c r="K36" s="1701"/>
      <c r="L36" s="1701"/>
      <c r="M36" s="1701"/>
      <c r="N36" s="1698"/>
      <c r="O36" s="1698"/>
      <c r="P36" s="1698"/>
      <c r="Q36" s="1698"/>
      <c r="R36" s="2364"/>
    </row>
    <row r="37" spans="1:18" x14ac:dyDescent="0.2">
      <c r="A37" s="655" t="s">
        <v>402</v>
      </c>
      <c r="B37" s="1250"/>
      <c r="C37" s="1250"/>
      <c r="D37" s="1704"/>
      <c r="E37" s="1698"/>
      <c r="F37" s="1698">
        <f>IF(SUM(F$9:F$9)=0,0,'Cap-Gen'!E114)</f>
        <v>0</v>
      </c>
      <c r="G37" s="1698">
        <f>IF(SUM(G$9:G$9)=0,0,'Cap-Gen'!F114)</f>
        <v>0</v>
      </c>
      <c r="H37" s="1698">
        <f>IF(SUM(H$9:H$9)=0,0,'Cap-Gen'!G114)</f>
        <v>0</v>
      </c>
      <c r="I37" s="1698">
        <f>IF(SUM(I$9:I$9)=0,0,'Cap-Gen'!H114)</f>
        <v>0</v>
      </c>
      <c r="J37" s="1698">
        <f>IF(SUM(J$9:J$9)=0,0,'Cap-Gen'!I114)</f>
        <v>0</v>
      </c>
      <c r="K37" s="1698">
        <f>IF(SUM(K$9:K$9)=0,0,'Cap-Gen'!J114)</f>
        <v>0</v>
      </c>
      <c r="L37" s="1698">
        <f>IF(SUM(L$9:L$9)=0,0,'Cap-Gen'!K114)</f>
        <v>0</v>
      </c>
      <c r="M37" s="1698">
        <f>IF(SUM(M$9:M$9)=0,0,'Cap-Gen'!L114)</f>
        <v>0</v>
      </c>
      <c r="N37" s="1698">
        <f>IF(SUM(N$9:N$9)=0,0,'Cap-Gen'!M114)</f>
        <v>0</v>
      </c>
      <c r="O37" s="1698">
        <f>IF(SUM(O$9:O$9)=0,0,'Cap-Gen'!N114)</f>
        <v>0</v>
      </c>
      <c r="P37" s="1698">
        <f>IF(SUM(P$9:P$9)=0,0,'Cap-Gen'!O114)</f>
        <v>0</v>
      </c>
      <c r="Q37" s="1698">
        <f>IF(SUM(Q$9:Q$9)=0,0,'Cap-Gen'!P114)</f>
        <v>0</v>
      </c>
      <c r="R37" s="2364">
        <f>IF(SUM(R$9:R$9)=0,0,'Cap-Gen'!R114)</f>
        <v>0</v>
      </c>
    </row>
    <row r="38" spans="1:18" x14ac:dyDescent="0.2">
      <c r="A38" s="655" t="s">
        <v>580</v>
      </c>
      <c r="B38" s="1250"/>
      <c r="C38" s="1250"/>
      <c r="D38" s="1704"/>
      <c r="E38" s="1698"/>
      <c r="F38" s="1698">
        <f>IF(SUM(F$9:F$9)=0,0,'Cap-Gen'!E122)</f>
        <v>0</v>
      </c>
      <c r="G38" s="1698">
        <f>IF(SUM(G$9:G$9)=0,0,'Cap-Gen'!F122)</f>
        <v>0</v>
      </c>
      <c r="H38" s="1698">
        <f>IF(SUM(H$9:H$9)=0,0,'Cap-Gen'!G122)</f>
        <v>389600</v>
      </c>
      <c r="I38" s="1698">
        <f>IF(SUM(I$9:I$9)=0,0,'Cap-Gen'!H122)</f>
        <v>0</v>
      </c>
      <c r="J38" s="1698">
        <f>IF(SUM(J$9:J$9)=0,0,'Cap-Gen'!I122)</f>
        <v>0</v>
      </c>
      <c r="K38" s="1698">
        <f>IF(SUM(K$9:K$9)=0,0,'Cap-Gen'!J122)</f>
        <v>0</v>
      </c>
      <c r="L38" s="1698">
        <f>IF(SUM(L$9:L$9)=0,0,'Cap-Gen'!K122)</f>
        <v>0</v>
      </c>
      <c r="M38" s="1698">
        <f>IF(SUM(M$9:M$9)=0,0,'Cap-Gen'!L122)</f>
        <v>0</v>
      </c>
      <c r="N38" s="1698">
        <f>IF(SUM(N$9:N$9)=0,0,'Cap-Gen'!M122)</f>
        <v>0</v>
      </c>
      <c r="O38" s="1698">
        <f>IF(SUM(O$9:O$9)=0,0,'Cap-Gen'!N122)</f>
        <v>0</v>
      </c>
      <c r="P38" s="1698">
        <f>IF(SUM(P$9:P$9)=0,0,'Cap-Gen'!O122)</f>
        <v>0</v>
      </c>
      <c r="Q38" s="1698">
        <f>IF(SUM(Q$9:Q$9)=0,0,'Cap-Gen'!P122)</f>
        <v>0</v>
      </c>
      <c r="R38" s="2364">
        <f>IF(SUM(R$9:R$9)=0,0,'Cap-Gen'!R122)</f>
        <v>0</v>
      </c>
    </row>
    <row r="39" spans="1:18" x14ac:dyDescent="0.2">
      <c r="A39" s="655" t="s">
        <v>3655</v>
      </c>
      <c r="B39" s="1250"/>
      <c r="C39" s="1250"/>
      <c r="D39" s="1697"/>
      <c r="E39" s="1276"/>
      <c r="F39" s="1698">
        <f>IF(SUM(F$9:F$9)=0,0,'Cap-Gen'!E100)</f>
        <v>0</v>
      </c>
      <c r="G39" s="1698">
        <f>IF(SUM(G$9:G$9)=0,0,'Cap-Gen'!F100)</f>
        <v>0</v>
      </c>
      <c r="H39" s="1698">
        <f>IF(SUM(H$9:H$9)=0,0,'Cap-Gen'!G100)</f>
        <v>0</v>
      </c>
      <c r="I39" s="1698">
        <f>IF(SUM(I$9:I$9)=0,0,'Cap-Gen'!H100)</f>
        <v>0</v>
      </c>
      <c r="J39" s="1698">
        <f>IF(SUM(J$9:J$9)=0,0,'Cap-Gen'!I100)</f>
        <v>0</v>
      </c>
      <c r="K39" s="1698">
        <f>IF(SUM(K$9:K$9)=0,0,'Cap-Gen'!J100)</f>
        <v>0</v>
      </c>
      <c r="L39" s="1698">
        <f>IF(SUM(L$9:L$9)=0,0,'Cap-Gen'!K100)</f>
        <v>0</v>
      </c>
      <c r="M39" s="1698">
        <f>IF(SUM(M$9:M$9)=0,0,'Cap-Gen'!L100)</f>
        <v>0</v>
      </c>
      <c r="N39" s="1698">
        <f>IF(SUM(N$9:N$9)=0,0,'Cap-Gen'!M100)</f>
        <v>0</v>
      </c>
      <c r="O39" s="1698">
        <f>IF(SUM(O$9:O$9)=0,0,'Cap-Gen'!N100)</f>
        <v>0</v>
      </c>
      <c r="P39" s="1698">
        <f>IF(SUM(P$9:P$9)=0,0,'Cap-Gen'!O100)</f>
        <v>0</v>
      </c>
      <c r="Q39" s="1698">
        <f>IF(SUM(Q$9:Q$9)=0,0,'Cap-Gen'!P100)</f>
        <v>0</v>
      </c>
      <c r="R39" s="2364">
        <f>IF(SUM(R$9:R$9)=0,0,'Cap-Gen'!R100)</f>
        <v>0</v>
      </c>
    </row>
    <row r="40" spans="1:18" x14ac:dyDescent="0.2">
      <c r="A40" s="655" t="s">
        <v>3855</v>
      </c>
      <c r="B40" s="1250"/>
      <c r="C40" s="1250"/>
      <c r="D40" s="1697"/>
      <c r="E40" s="1276"/>
      <c r="F40" s="1698">
        <f>IF(SUM(F$9:F$9)=0,0,'Cap-Gen'!E182)</f>
        <v>0</v>
      </c>
      <c r="G40" s="1698">
        <f>IF(SUM(G$9:G$9)=0,0,'Cap-Gen'!F182)</f>
        <v>0</v>
      </c>
      <c r="H40" s="1698">
        <f>IF(SUM(H$9:H$9)=0,0,'Cap-Gen'!G182)</f>
        <v>0</v>
      </c>
      <c r="I40" s="1698">
        <f>IF(SUM(I$9:I$9)=0,0,'Cap-Gen'!H182)</f>
        <v>0</v>
      </c>
      <c r="J40" s="1698">
        <f>IF(SUM(J$9:J$9)=0,0,'Cap-Gen'!I182)</f>
        <v>0</v>
      </c>
      <c r="K40" s="1698">
        <f>IF(SUM(K$9:K$9)=0,0,'Cap-Gen'!J182)</f>
        <v>0</v>
      </c>
      <c r="L40" s="1698">
        <f>IF(SUM(L$9:L$9)=0,0,'Cap-Gen'!K182)</f>
        <v>0</v>
      </c>
      <c r="M40" s="1698">
        <f>IF(SUM(M$9:M$9)=0,0,'Cap-Gen'!L182)</f>
        <v>0</v>
      </c>
      <c r="N40" s="1698">
        <f>IF(SUM(N$9:N$9)=0,0,'Cap-Gen'!M182)</f>
        <v>0</v>
      </c>
      <c r="O40" s="1698">
        <f>IF(SUM(O$9:O$9)=0,0,'Cap-Gen'!N182)</f>
        <v>0</v>
      </c>
      <c r="P40" s="1698">
        <f>IF(SUM(P$9:P$9)=0,0,'Cap-Gen'!O182)</f>
        <v>0</v>
      </c>
      <c r="Q40" s="1698">
        <f>IF(SUM(Q$9:Q$9)=0,0,'Cap-Gen'!P182)</f>
        <v>0</v>
      </c>
      <c r="R40" s="2364">
        <f>IF(SUM(R$9:R$9)=0,0,'Cap-Gen'!R182)</f>
        <v>0</v>
      </c>
    </row>
    <row r="41" spans="1:18" x14ac:dyDescent="0.2">
      <c r="A41" s="655" t="s">
        <v>6805</v>
      </c>
      <c r="B41" s="1250"/>
      <c r="C41" s="1250"/>
      <c r="D41" s="1697"/>
      <c r="E41" s="1276"/>
      <c r="F41" s="1698">
        <f>IF(SUM(F$9:F$9)=0,0,CIV!D988)</f>
        <v>0</v>
      </c>
      <c r="G41" s="1698">
        <f>IF(SUM(G$9:G$9)=0,0,CIV!E988)</f>
        <v>0</v>
      </c>
      <c r="H41" s="1698">
        <f>IF(SUM(H$9:H$9)=0,0,DEH!H383)</f>
        <v>307600</v>
      </c>
      <c r="I41" s="1698">
        <f>IF(SUM(I$9:I$9)=0,0,DEH!J383)</f>
        <v>0</v>
      </c>
      <c r="J41" s="1698">
        <f>IF(SUM(J$9:J$9)=0,0,DEH!K383)</f>
        <v>0</v>
      </c>
      <c r="K41" s="1698">
        <f>IF(SUM(K$9:K$9)=0,0,DEH!L383)</f>
        <v>0</v>
      </c>
      <c r="L41" s="1698">
        <f>IF(SUM(L$9:L$9)=0,0,DEH!M383)</f>
        <v>0</v>
      </c>
      <c r="M41" s="1698">
        <f>IF(SUM(M$9:M$9)=0,0,DEH!N383)</f>
        <v>0</v>
      </c>
      <c r="N41" s="1698">
        <f>IF(SUM(N$9:N$9)=0,0,DEH!O383)</f>
        <v>0</v>
      </c>
      <c r="O41" s="1698">
        <f>IF(SUM(O$9:O$9)=0,0,DEH!P383)</f>
        <v>0</v>
      </c>
      <c r="P41" s="1698">
        <f>IF(SUM(P$9:P$9)=0,0,DEH!Q383)</f>
        <v>0</v>
      </c>
      <c r="Q41" s="1698">
        <f>IF(SUM(Q$9:Q$9)=0,0,DEH!R383)</f>
        <v>0</v>
      </c>
      <c r="R41" s="2364">
        <f>IF(SUM(R$9:R$9)=0,0,DEH!S383)</f>
        <v>0</v>
      </c>
    </row>
    <row r="42" spans="1:18" s="573" customFormat="1" x14ac:dyDescent="0.2">
      <c r="A42" s="802" t="s">
        <v>2411</v>
      </c>
      <c r="B42" s="542"/>
      <c r="C42" s="542"/>
      <c r="D42" s="830"/>
      <c r="E42" s="732"/>
      <c r="F42" s="1705">
        <f>SUM(F37:F41)</f>
        <v>0</v>
      </c>
      <c r="G42" s="1705">
        <f t="shared" ref="G42:H42" si="54">SUM(G37:G41)</f>
        <v>0</v>
      </c>
      <c r="H42" s="1705">
        <f t="shared" si="54"/>
        <v>697200</v>
      </c>
      <c r="I42" s="1705">
        <f t="shared" ref="I42" si="55">SUM(I37:I41)</f>
        <v>0</v>
      </c>
      <c r="J42" s="1705">
        <f t="shared" ref="J42" si="56">SUM(J37:J41)</f>
        <v>0</v>
      </c>
      <c r="K42" s="1705">
        <f t="shared" ref="K42" si="57">SUM(K37:K41)</f>
        <v>0</v>
      </c>
      <c r="L42" s="1705">
        <f t="shared" ref="L42" si="58">SUM(L37:L41)</f>
        <v>0</v>
      </c>
      <c r="M42" s="1706">
        <f t="shared" ref="M42" si="59">SUM(M37:M41)</f>
        <v>0</v>
      </c>
      <c r="N42" s="1705">
        <f t="shared" ref="N42" si="60">SUM(N37:N41)</f>
        <v>0</v>
      </c>
      <c r="O42" s="1705">
        <f t="shared" ref="O42" si="61">SUM(O37:O41)</f>
        <v>0</v>
      </c>
      <c r="P42" s="1705">
        <f t="shared" ref="P42" si="62">SUM(P37:P41)</f>
        <v>0</v>
      </c>
      <c r="Q42" s="1705">
        <f t="shared" ref="Q42:R42" si="63">SUM(Q37:Q41)</f>
        <v>0</v>
      </c>
      <c r="R42" s="2366">
        <f t="shared" si="63"/>
        <v>0</v>
      </c>
    </row>
    <row r="43" spans="1:18" s="573" customFormat="1" x14ac:dyDescent="0.2">
      <c r="A43" s="575"/>
      <c r="B43" s="542"/>
      <c r="C43" s="542"/>
      <c r="D43" s="830"/>
      <c r="E43" s="1277"/>
      <c r="F43" s="1276"/>
      <c r="G43" s="1277"/>
      <c r="H43" s="1277"/>
      <c r="I43" s="1277"/>
      <c r="J43" s="1277"/>
      <c r="K43" s="1707"/>
      <c r="L43" s="1707"/>
      <c r="M43" s="1707"/>
      <c r="N43" s="1276"/>
      <c r="O43" s="1276"/>
      <c r="P43" s="1276"/>
      <c r="Q43" s="1276"/>
      <c r="R43" s="2367"/>
    </row>
    <row r="44" spans="1:18" s="573" customFormat="1" x14ac:dyDescent="0.2">
      <c r="A44" s="802" t="s">
        <v>4399</v>
      </c>
      <c r="B44" s="542"/>
      <c r="C44" s="542"/>
      <c r="D44" s="830"/>
      <c r="E44" s="1277"/>
      <c r="F44" s="1276"/>
      <c r="G44" s="1277"/>
      <c r="H44" s="1277"/>
      <c r="I44" s="1277"/>
      <c r="J44" s="1277"/>
      <c r="K44" s="1707"/>
      <c r="L44" s="1707"/>
      <c r="M44" s="1707"/>
      <c r="N44" s="1707"/>
      <c r="O44" s="1707"/>
      <c r="P44" s="1276"/>
      <c r="Q44" s="1276"/>
      <c r="R44" s="2367"/>
    </row>
    <row r="45" spans="1:18" s="726" customFormat="1" x14ac:dyDescent="0.2">
      <c r="A45" s="575" t="s">
        <v>4401</v>
      </c>
      <c r="B45" s="772"/>
      <c r="C45" s="772"/>
      <c r="D45" s="1708"/>
      <c r="E45" s="659">
        <v>0</v>
      </c>
      <c r="F45" s="1559">
        <v>0</v>
      </c>
      <c r="G45" s="659">
        <f>ROUND(F45*G$6+F45,-3)</f>
        <v>0</v>
      </c>
      <c r="H45" s="659">
        <f t="shared" ref="H45" si="64">ROUND(G45*H$6+G45,-3)</f>
        <v>0</v>
      </c>
      <c r="I45" s="659">
        <f t="shared" ref="I45:I47" si="65">H45</f>
        <v>0</v>
      </c>
      <c r="J45" s="659">
        <v>0</v>
      </c>
      <c r="K45" s="1591">
        <v>500000</v>
      </c>
      <c r="L45" s="1591">
        <v>500000</v>
      </c>
      <c r="M45" s="1591">
        <v>500000</v>
      </c>
      <c r="N45" s="1591">
        <v>500000</v>
      </c>
      <c r="O45" s="1591">
        <v>500000</v>
      </c>
      <c r="P45" s="1559">
        <f>+M45</f>
        <v>500000</v>
      </c>
      <c r="Q45" s="1559">
        <v>1000000</v>
      </c>
      <c r="R45" s="2368">
        <f t="shared" ref="Q45:R47" si="66">Q45</f>
        <v>1000000</v>
      </c>
    </row>
    <row r="46" spans="1:18" s="726" customFormat="1" x14ac:dyDescent="0.2">
      <c r="A46" s="575" t="s">
        <v>4402</v>
      </c>
      <c r="B46" s="772"/>
      <c r="C46" s="772"/>
      <c r="D46" s="1708"/>
      <c r="E46" s="659">
        <v>0</v>
      </c>
      <c r="F46" s="1559">
        <v>0</v>
      </c>
      <c r="G46" s="659">
        <f t="shared" ref="G46:H47" si="67">ROUND(F46*G$6+F46,-3)</f>
        <v>0</v>
      </c>
      <c r="H46" s="659">
        <f t="shared" si="67"/>
        <v>0</v>
      </c>
      <c r="I46" s="659">
        <f t="shared" si="65"/>
        <v>0</v>
      </c>
      <c r="J46" s="659">
        <v>0</v>
      </c>
      <c r="K46" s="1591">
        <v>250000</v>
      </c>
      <c r="L46" s="1591">
        <v>250000</v>
      </c>
      <c r="M46" s="1591">
        <f>L46</f>
        <v>250000</v>
      </c>
      <c r="N46" s="1591">
        <f t="shared" ref="N46:O46" si="68">M46</f>
        <v>250000</v>
      </c>
      <c r="O46" s="1591">
        <f t="shared" si="68"/>
        <v>250000</v>
      </c>
      <c r="P46" s="1559">
        <f t="shared" ref="P46:P47" si="69">+M46</f>
        <v>250000</v>
      </c>
      <c r="Q46" s="1559">
        <f t="shared" si="66"/>
        <v>250000</v>
      </c>
      <c r="R46" s="2368">
        <f t="shared" si="66"/>
        <v>250000</v>
      </c>
    </row>
    <row r="47" spans="1:18" s="726" customFormat="1" x14ac:dyDescent="0.2">
      <c r="A47" s="575" t="s">
        <v>4763</v>
      </c>
      <c r="B47" s="772"/>
      <c r="C47" s="772"/>
      <c r="D47" s="1708"/>
      <c r="E47" s="659">
        <v>0</v>
      </c>
      <c r="F47" s="1559">
        <v>0</v>
      </c>
      <c r="G47" s="659">
        <f t="shared" si="67"/>
        <v>0</v>
      </c>
      <c r="H47" s="659">
        <f t="shared" si="67"/>
        <v>0</v>
      </c>
      <c r="I47" s="659">
        <f t="shared" si="65"/>
        <v>0</v>
      </c>
      <c r="J47" s="659">
        <v>0</v>
      </c>
      <c r="K47" s="1591">
        <v>250000</v>
      </c>
      <c r="L47" s="1591">
        <v>250000</v>
      </c>
      <c r="M47" s="1591">
        <f>L47</f>
        <v>250000</v>
      </c>
      <c r="N47" s="1591">
        <f t="shared" ref="N47:O47" si="70">M47</f>
        <v>250000</v>
      </c>
      <c r="O47" s="1591">
        <f t="shared" si="70"/>
        <v>250000</v>
      </c>
      <c r="P47" s="1559">
        <f t="shared" si="69"/>
        <v>250000</v>
      </c>
      <c r="Q47" s="1559">
        <f t="shared" si="66"/>
        <v>250000</v>
      </c>
      <c r="R47" s="2368">
        <f t="shared" si="66"/>
        <v>250000</v>
      </c>
    </row>
    <row r="48" spans="1:18" s="573" customFormat="1" x14ac:dyDescent="0.2">
      <c r="A48" s="802" t="s">
        <v>4400</v>
      </c>
      <c r="B48" s="542"/>
      <c r="C48" s="542"/>
      <c r="D48" s="830"/>
      <c r="E48" s="732">
        <f t="shared" ref="E48:P48" si="71">SUM(E45:E47)</f>
        <v>0</v>
      </c>
      <c r="F48" s="1705">
        <f t="shared" si="71"/>
        <v>0</v>
      </c>
      <c r="G48" s="732">
        <f t="shared" si="71"/>
        <v>0</v>
      </c>
      <c r="H48" s="732">
        <f t="shared" si="71"/>
        <v>0</v>
      </c>
      <c r="I48" s="732">
        <f t="shared" si="71"/>
        <v>0</v>
      </c>
      <c r="J48" s="732">
        <f t="shared" si="71"/>
        <v>0</v>
      </c>
      <c r="K48" s="1706">
        <f t="shared" si="71"/>
        <v>1000000</v>
      </c>
      <c r="L48" s="1706">
        <f t="shared" si="71"/>
        <v>1000000</v>
      </c>
      <c r="M48" s="1706">
        <f t="shared" si="71"/>
        <v>1000000</v>
      </c>
      <c r="N48" s="1705">
        <f t="shared" si="71"/>
        <v>1000000</v>
      </c>
      <c r="O48" s="1705">
        <f t="shared" si="71"/>
        <v>1000000</v>
      </c>
      <c r="P48" s="1705">
        <f t="shared" si="71"/>
        <v>1000000</v>
      </c>
      <c r="Q48" s="1705">
        <f t="shared" ref="Q48:R48" si="72">SUM(Q45:Q47)</f>
        <v>1500000</v>
      </c>
      <c r="R48" s="2366">
        <f t="shared" si="72"/>
        <v>1500000</v>
      </c>
    </row>
    <row r="49" spans="1:18" s="573" customFormat="1" x14ac:dyDescent="0.2">
      <c r="A49" s="575"/>
      <c r="B49" s="542"/>
      <c r="C49" s="542"/>
      <c r="D49" s="830"/>
      <c r="E49" s="659"/>
      <c r="F49" s="1698"/>
      <c r="G49" s="659"/>
      <c r="H49" s="659"/>
      <c r="I49" s="659"/>
      <c r="J49" s="659"/>
      <c r="K49" s="1591"/>
      <c r="L49" s="1591"/>
      <c r="M49" s="1591"/>
      <c r="N49" s="1698"/>
      <c r="O49" s="1698"/>
      <c r="P49" s="1698"/>
      <c r="Q49" s="1698"/>
      <c r="R49" s="2364"/>
    </row>
    <row r="50" spans="1:18" s="573" customFormat="1" x14ac:dyDescent="0.2">
      <c r="A50" s="802" t="s">
        <v>3239</v>
      </c>
      <c r="B50" s="542"/>
      <c r="C50" s="542"/>
      <c r="D50" s="830"/>
      <c r="E50" s="829"/>
      <c r="F50" s="829"/>
      <c r="G50" s="829"/>
      <c r="H50" s="829"/>
      <c r="I50" s="829"/>
      <c r="J50" s="829"/>
      <c r="K50" s="831"/>
      <c r="L50" s="831"/>
      <c r="M50" s="831"/>
      <c r="N50" s="829"/>
      <c r="O50" s="829"/>
      <c r="P50" s="829"/>
      <c r="Q50" s="829"/>
      <c r="R50" s="2363"/>
    </row>
    <row r="51" spans="1:18" s="573" customFormat="1" x14ac:dyDescent="0.2">
      <c r="A51" s="575" t="s">
        <v>3240</v>
      </c>
      <c r="B51" s="542"/>
      <c r="C51" s="542"/>
      <c r="D51" s="1090">
        <v>0.09</v>
      </c>
      <c r="E51" s="829">
        <v>0.1</v>
      </c>
      <c r="F51" s="829">
        <v>7.0000000000000007E-2</v>
      </c>
      <c r="G51" s="829">
        <v>7.0000000000000007E-2</v>
      </c>
      <c r="H51" s="829">
        <v>0.03</v>
      </c>
      <c r="I51" s="829">
        <v>2.5000000000000001E-2</v>
      </c>
      <c r="J51" s="829">
        <v>2.5000000000000001E-2</v>
      </c>
      <c r="K51" s="831">
        <v>2.5000000000000001E-2</v>
      </c>
      <c r="L51" s="831">
        <v>2.5000000000000001E-2</v>
      </c>
      <c r="M51" s="831">
        <v>2.5000000000000001E-2</v>
      </c>
      <c r="N51" s="829">
        <v>2.5000000000000001E-2</v>
      </c>
      <c r="O51" s="829">
        <v>2.5000000000000001E-2</v>
      </c>
      <c r="P51" s="829">
        <v>2.5000000000000001E-2</v>
      </c>
      <c r="Q51" s="829">
        <v>2.5000000000000001E-2</v>
      </c>
      <c r="R51" s="2363">
        <v>2.5000000000000001E-2</v>
      </c>
    </row>
    <row r="52" spans="1:18" s="573" customFormat="1" x14ac:dyDescent="0.2">
      <c r="A52" s="575" t="s">
        <v>3241</v>
      </c>
      <c r="B52" s="542"/>
      <c r="C52" s="542"/>
      <c r="D52" s="1090">
        <v>0.09</v>
      </c>
      <c r="E52" s="829">
        <v>0.1</v>
      </c>
      <c r="F52" s="829">
        <f t="shared" ref="F52:I52" si="73">F51</f>
        <v>7.0000000000000007E-2</v>
      </c>
      <c r="G52" s="829">
        <f t="shared" si="73"/>
        <v>7.0000000000000007E-2</v>
      </c>
      <c r="H52" s="829">
        <f t="shared" si="73"/>
        <v>0.03</v>
      </c>
      <c r="I52" s="829">
        <f t="shared" si="73"/>
        <v>2.5000000000000001E-2</v>
      </c>
      <c r="J52" s="829">
        <f t="shared" ref="J52:Q52" si="74">J51</f>
        <v>2.5000000000000001E-2</v>
      </c>
      <c r="K52" s="831">
        <f t="shared" si="74"/>
        <v>2.5000000000000001E-2</v>
      </c>
      <c r="L52" s="831">
        <f t="shared" si="74"/>
        <v>2.5000000000000001E-2</v>
      </c>
      <c r="M52" s="831">
        <f t="shared" si="74"/>
        <v>2.5000000000000001E-2</v>
      </c>
      <c r="N52" s="829">
        <f t="shared" si="74"/>
        <v>2.5000000000000001E-2</v>
      </c>
      <c r="O52" s="829">
        <f t="shared" si="74"/>
        <v>2.5000000000000001E-2</v>
      </c>
      <c r="P52" s="829">
        <f t="shared" si="74"/>
        <v>2.5000000000000001E-2</v>
      </c>
      <c r="Q52" s="829">
        <f t="shared" si="74"/>
        <v>2.5000000000000001E-2</v>
      </c>
      <c r="R52" s="2363">
        <f t="shared" ref="R52" si="75">R51</f>
        <v>2.5000000000000001E-2</v>
      </c>
    </row>
    <row r="53" spans="1:18" s="573" customFormat="1" x14ac:dyDescent="0.2">
      <c r="A53" s="575" t="s">
        <v>3880</v>
      </c>
      <c r="B53" s="542"/>
      <c r="C53" s="542"/>
      <c r="D53" s="1709"/>
      <c r="E53" s="1106">
        <v>14031</v>
      </c>
      <c r="F53" s="1106">
        <v>14159</v>
      </c>
      <c r="G53" s="1106">
        <v>14416</v>
      </c>
      <c r="H53" s="1106">
        <f t="shared" ref="H53:P53" si="76">G53*H56+G53</f>
        <v>14524.12</v>
      </c>
      <c r="I53" s="1106">
        <f t="shared" si="76"/>
        <v>14633.0509</v>
      </c>
      <c r="J53" s="1106">
        <f t="shared" si="76"/>
        <v>14742.79878175</v>
      </c>
      <c r="K53" s="1106">
        <f t="shared" si="76"/>
        <v>14853.369772613125</v>
      </c>
      <c r="L53" s="1106">
        <f t="shared" si="76"/>
        <v>14964.770045907724</v>
      </c>
      <c r="M53" s="1106">
        <f t="shared" si="76"/>
        <v>15077.005821252033</v>
      </c>
      <c r="N53" s="1106">
        <f t="shared" si="76"/>
        <v>15190.083364911423</v>
      </c>
      <c r="O53" s="1106">
        <f t="shared" si="76"/>
        <v>15304.008990148259</v>
      </c>
      <c r="P53" s="1106">
        <f t="shared" si="76"/>
        <v>15418.789057574371</v>
      </c>
      <c r="Q53" s="1106">
        <f>P53*Q56+P53</f>
        <v>15534.429975506178</v>
      </c>
      <c r="R53" s="1107">
        <f>Q53*R56+Q53</f>
        <v>15650.938200322475</v>
      </c>
    </row>
    <row r="54" spans="1:18" s="573" customFormat="1" x14ac:dyDescent="0.2">
      <c r="A54" s="575" t="s">
        <v>3881</v>
      </c>
      <c r="B54" s="542"/>
      <c r="C54" s="542"/>
      <c r="D54" s="1709"/>
      <c r="E54" s="1106">
        <v>467</v>
      </c>
      <c r="F54" s="1106">
        <v>488</v>
      </c>
      <c r="G54" s="1106">
        <v>432</v>
      </c>
      <c r="H54" s="1106">
        <f t="shared" ref="H54:M54" si="77">G54</f>
        <v>432</v>
      </c>
      <c r="I54" s="1106">
        <f t="shared" si="77"/>
        <v>432</v>
      </c>
      <c r="J54" s="1106">
        <f t="shared" si="77"/>
        <v>432</v>
      </c>
      <c r="K54" s="1106">
        <f t="shared" si="77"/>
        <v>432</v>
      </c>
      <c r="L54" s="1106">
        <f t="shared" si="77"/>
        <v>432</v>
      </c>
      <c r="M54" s="1106">
        <f t="shared" si="77"/>
        <v>432</v>
      </c>
      <c r="N54" s="1106">
        <f>M54</f>
        <v>432</v>
      </c>
      <c r="O54" s="1106">
        <f>N54</f>
        <v>432</v>
      </c>
      <c r="P54" s="1106">
        <f>O54</f>
        <v>432</v>
      </c>
      <c r="Q54" s="1106">
        <f>P54</f>
        <v>432</v>
      </c>
      <c r="R54" s="1107">
        <f>Q54</f>
        <v>432</v>
      </c>
    </row>
    <row r="55" spans="1:18" s="573" customFormat="1" x14ac:dyDescent="0.2">
      <c r="A55" s="575" t="s">
        <v>570</v>
      </c>
      <c r="B55" s="542"/>
      <c r="C55" s="542"/>
      <c r="D55" s="1709">
        <v>1380</v>
      </c>
      <c r="E55" s="1106">
        <f>D55*E57+D55</f>
        <v>1380</v>
      </c>
      <c r="F55" s="1106">
        <v>1203</v>
      </c>
      <c r="G55" s="1106">
        <f t="shared" ref="G55:P55" si="78">F55*G57+F55</f>
        <v>1203</v>
      </c>
      <c r="H55" s="1106">
        <f t="shared" si="78"/>
        <v>1203</v>
      </c>
      <c r="I55" s="1106">
        <f t="shared" si="78"/>
        <v>1203</v>
      </c>
      <c r="J55" s="1106">
        <f t="shared" si="78"/>
        <v>1203</v>
      </c>
      <c r="K55" s="1106">
        <f t="shared" si="78"/>
        <v>1203</v>
      </c>
      <c r="L55" s="1106">
        <f t="shared" si="78"/>
        <v>1203</v>
      </c>
      <c r="M55" s="1106">
        <f t="shared" si="78"/>
        <v>1203</v>
      </c>
      <c r="N55" s="1710">
        <f t="shared" si="78"/>
        <v>1203</v>
      </c>
      <c r="O55" s="1106">
        <f t="shared" si="78"/>
        <v>1203</v>
      </c>
      <c r="P55" s="1106">
        <f t="shared" si="78"/>
        <v>1203</v>
      </c>
      <c r="Q55" s="1106">
        <f>P55*Q57+P55</f>
        <v>1203</v>
      </c>
      <c r="R55" s="1107">
        <f>Q55*R57+Q55</f>
        <v>1203</v>
      </c>
    </row>
    <row r="56" spans="1:18" s="573" customFormat="1" x14ac:dyDescent="0.2">
      <c r="A56" s="575" t="s">
        <v>2534</v>
      </c>
      <c r="B56" s="542"/>
      <c r="C56" s="542"/>
      <c r="D56" s="832"/>
      <c r="E56" s="829">
        <v>7.4999999999999997E-3</v>
      </c>
      <c r="F56" s="829">
        <f>E56</f>
        <v>7.4999999999999997E-3</v>
      </c>
      <c r="G56" s="829">
        <f t="shared" ref="G56:P56" si="79">F56</f>
        <v>7.4999999999999997E-3</v>
      </c>
      <c r="H56" s="829">
        <f t="shared" si="79"/>
        <v>7.4999999999999997E-3</v>
      </c>
      <c r="I56" s="829">
        <f t="shared" si="79"/>
        <v>7.4999999999999997E-3</v>
      </c>
      <c r="J56" s="829">
        <f t="shared" si="79"/>
        <v>7.4999999999999997E-3</v>
      </c>
      <c r="K56" s="831">
        <f t="shared" si="79"/>
        <v>7.4999999999999997E-3</v>
      </c>
      <c r="L56" s="831">
        <f t="shared" si="79"/>
        <v>7.4999999999999997E-3</v>
      </c>
      <c r="M56" s="829">
        <f t="shared" si="79"/>
        <v>7.4999999999999997E-3</v>
      </c>
      <c r="N56" s="964">
        <f t="shared" si="79"/>
        <v>7.4999999999999997E-3</v>
      </c>
      <c r="O56" s="829">
        <f t="shared" si="79"/>
        <v>7.4999999999999997E-3</v>
      </c>
      <c r="P56" s="829">
        <f t="shared" si="79"/>
        <v>7.4999999999999997E-3</v>
      </c>
      <c r="Q56" s="829">
        <f>P56</f>
        <v>7.4999999999999997E-3</v>
      </c>
      <c r="R56" s="2363">
        <f>Q56</f>
        <v>7.4999999999999997E-3</v>
      </c>
    </row>
    <row r="57" spans="1:18" s="573" customFormat="1" x14ac:dyDescent="0.2">
      <c r="A57" s="575" t="s">
        <v>976</v>
      </c>
      <c r="B57" s="542"/>
      <c r="C57" s="542"/>
      <c r="D57" s="832"/>
      <c r="E57" s="829">
        <v>0</v>
      </c>
      <c r="F57" s="829">
        <f t="shared" ref="F57:P57" si="80">E57</f>
        <v>0</v>
      </c>
      <c r="G57" s="829">
        <f t="shared" si="80"/>
        <v>0</v>
      </c>
      <c r="H57" s="829">
        <f t="shared" si="80"/>
        <v>0</v>
      </c>
      <c r="I57" s="829">
        <f t="shared" si="80"/>
        <v>0</v>
      </c>
      <c r="J57" s="829">
        <f t="shared" si="80"/>
        <v>0</v>
      </c>
      <c r="K57" s="831">
        <f t="shared" si="80"/>
        <v>0</v>
      </c>
      <c r="L57" s="831">
        <f t="shared" si="80"/>
        <v>0</v>
      </c>
      <c r="M57" s="829">
        <f t="shared" si="80"/>
        <v>0</v>
      </c>
      <c r="N57" s="964">
        <f t="shared" si="80"/>
        <v>0</v>
      </c>
      <c r="O57" s="829">
        <f t="shared" si="80"/>
        <v>0</v>
      </c>
      <c r="P57" s="829">
        <f t="shared" si="80"/>
        <v>0</v>
      </c>
      <c r="Q57" s="829">
        <f>P57</f>
        <v>0</v>
      </c>
      <c r="R57" s="2363">
        <f>Q57</f>
        <v>0</v>
      </c>
    </row>
    <row r="58" spans="1:18" x14ac:dyDescent="0.2">
      <c r="A58" s="655" t="s">
        <v>3879</v>
      </c>
      <c r="B58" s="1250"/>
      <c r="C58" s="1250"/>
      <c r="D58" s="1711">
        <v>734</v>
      </c>
      <c r="E58" s="1276">
        <f t="shared" ref="E58:P58" si="81">ROUND(D58*E51+D58,)</f>
        <v>807</v>
      </c>
      <c r="F58" s="1276">
        <f t="shared" si="81"/>
        <v>863</v>
      </c>
      <c r="G58" s="1276">
        <v>925</v>
      </c>
      <c r="H58" s="1276">
        <f t="shared" si="81"/>
        <v>953</v>
      </c>
      <c r="I58" s="1276">
        <f t="shared" si="81"/>
        <v>977</v>
      </c>
      <c r="J58" s="1276">
        <f t="shared" si="81"/>
        <v>1001</v>
      </c>
      <c r="K58" s="1276">
        <f t="shared" si="81"/>
        <v>1026</v>
      </c>
      <c r="L58" s="1276">
        <f t="shared" si="81"/>
        <v>1052</v>
      </c>
      <c r="M58" s="1276">
        <f t="shared" si="81"/>
        <v>1078</v>
      </c>
      <c r="N58" s="1712">
        <f t="shared" si="81"/>
        <v>1105</v>
      </c>
      <c r="O58" s="1276">
        <f t="shared" si="81"/>
        <v>1133</v>
      </c>
      <c r="P58" s="1276">
        <f t="shared" si="81"/>
        <v>1161</v>
      </c>
      <c r="Q58" s="1276">
        <f>ROUND(P58*Q51+P58,)</f>
        <v>1190</v>
      </c>
      <c r="R58" s="2367">
        <f>ROUND(Q58*R51+Q58,)</f>
        <v>1220</v>
      </c>
    </row>
    <row r="59" spans="1:18" x14ac:dyDescent="0.2">
      <c r="A59" s="655" t="s">
        <v>3882</v>
      </c>
      <c r="B59" s="1250"/>
      <c r="C59" s="1250"/>
      <c r="D59" s="1711">
        <v>553</v>
      </c>
      <c r="E59" s="1276">
        <f t="shared" ref="E59:P59" si="82">ROUND(D59*E51+D59,)</f>
        <v>608</v>
      </c>
      <c r="F59" s="1276">
        <f t="shared" si="82"/>
        <v>651</v>
      </c>
      <c r="G59" s="1276">
        <f t="shared" si="82"/>
        <v>697</v>
      </c>
      <c r="H59" s="1276">
        <f t="shared" si="82"/>
        <v>718</v>
      </c>
      <c r="I59" s="1276">
        <f t="shared" si="82"/>
        <v>736</v>
      </c>
      <c r="J59" s="1276">
        <f t="shared" si="82"/>
        <v>754</v>
      </c>
      <c r="K59" s="1276">
        <f t="shared" si="82"/>
        <v>773</v>
      </c>
      <c r="L59" s="1276">
        <f t="shared" si="82"/>
        <v>792</v>
      </c>
      <c r="M59" s="1276">
        <f t="shared" si="82"/>
        <v>812</v>
      </c>
      <c r="N59" s="1712">
        <f t="shared" si="82"/>
        <v>832</v>
      </c>
      <c r="O59" s="1276">
        <f t="shared" si="82"/>
        <v>853</v>
      </c>
      <c r="P59" s="1276">
        <f t="shared" si="82"/>
        <v>874</v>
      </c>
      <c r="Q59" s="1276">
        <f>ROUND(P59*Q51+P59,)</f>
        <v>896</v>
      </c>
      <c r="R59" s="2367">
        <f>ROUND(Q59*R51+Q59,)</f>
        <v>918</v>
      </c>
    </row>
    <row r="60" spans="1:18" x14ac:dyDescent="0.2">
      <c r="A60" s="655" t="s">
        <v>3883</v>
      </c>
      <c r="B60" s="1250"/>
      <c r="C60" s="1250"/>
      <c r="D60" s="1709">
        <v>640000</v>
      </c>
      <c r="E60" s="1276">
        <f t="shared" ref="E60:P60" si="83">ROUND(D60*E52+D60,-2)</f>
        <v>704000</v>
      </c>
      <c r="F60" s="1276">
        <f t="shared" si="83"/>
        <v>753300</v>
      </c>
      <c r="G60" s="1276">
        <f t="shared" si="83"/>
        <v>806000</v>
      </c>
      <c r="H60" s="1276">
        <f t="shared" si="83"/>
        <v>830200</v>
      </c>
      <c r="I60" s="1276">
        <f t="shared" si="83"/>
        <v>851000</v>
      </c>
      <c r="J60" s="1276">
        <f t="shared" si="83"/>
        <v>872300</v>
      </c>
      <c r="K60" s="1713">
        <f t="shared" si="83"/>
        <v>894100</v>
      </c>
      <c r="L60" s="1713">
        <f t="shared" si="83"/>
        <v>916500</v>
      </c>
      <c r="M60" s="1276">
        <f t="shared" si="83"/>
        <v>939400</v>
      </c>
      <c r="N60" s="1712">
        <f t="shared" si="83"/>
        <v>962900</v>
      </c>
      <c r="O60" s="1276">
        <f t="shared" si="83"/>
        <v>987000</v>
      </c>
      <c r="P60" s="1276">
        <f t="shared" si="83"/>
        <v>1011700</v>
      </c>
      <c r="Q60" s="1276">
        <f>ROUND(P60*Q52+P60,-2)</f>
        <v>1037000</v>
      </c>
      <c r="R60" s="2367">
        <f>ROUND(Q60*R52+Q60,-2)</f>
        <v>1062900</v>
      </c>
    </row>
    <row r="61" spans="1:18" s="573" customFormat="1" x14ac:dyDescent="0.2">
      <c r="A61" s="576"/>
      <c r="B61" s="542"/>
      <c r="C61" s="542"/>
      <c r="D61" s="832"/>
      <c r="E61" s="829"/>
      <c r="F61" s="1276"/>
      <c r="G61" s="829"/>
      <c r="H61" s="829"/>
      <c r="I61" s="829"/>
      <c r="J61" s="829"/>
      <c r="K61" s="831"/>
      <c r="L61" s="831"/>
      <c r="M61" s="829"/>
      <c r="N61" s="964"/>
      <c r="O61" s="829"/>
      <c r="P61" s="829"/>
      <c r="Q61" s="829"/>
      <c r="R61" s="2363"/>
    </row>
    <row r="62" spans="1:18" s="573" customFormat="1" x14ac:dyDescent="0.2">
      <c r="A62" s="574" t="s">
        <v>807</v>
      </c>
      <c r="B62" s="542"/>
      <c r="C62" s="542"/>
      <c r="D62" s="1711"/>
      <c r="E62" s="829"/>
      <c r="F62" s="1276"/>
      <c r="G62" s="829"/>
      <c r="H62" s="829"/>
      <c r="I62" s="829"/>
      <c r="J62" s="829"/>
      <c r="K62" s="831"/>
      <c r="L62" s="831"/>
      <c r="M62" s="829"/>
      <c r="N62" s="964"/>
      <c r="O62" s="829"/>
      <c r="P62" s="829"/>
      <c r="Q62" s="829"/>
      <c r="R62" s="2363"/>
    </row>
    <row r="63" spans="1:18" s="726" customFormat="1" x14ac:dyDescent="0.2">
      <c r="A63" s="575" t="s">
        <v>4245</v>
      </c>
      <c r="B63" s="772"/>
      <c r="C63" s="772"/>
      <c r="D63" s="1714"/>
      <c r="E63" s="829">
        <v>0.06</v>
      </c>
      <c r="F63" s="829">
        <v>0</v>
      </c>
      <c r="G63" s="829">
        <v>1.7999999999999999E-2</v>
      </c>
      <c r="H63" s="829">
        <v>0.02</v>
      </c>
      <c r="I63" s="829">
        <f>I5</f>
        <v>2.3E-2</v>
      </c>
      <c r="J63" s="829">
        <f>I63</f>
        <v>2.3E-2</v>
      </c>
      <c r="K63" s="829">
        <f t="shared" ref="K63:P63" si="84">J63</f>
        <v>2.3E-2</v>
      </c>
      <c r="L63" s="829">
        <v>0.03</v>
      </c>
      <c r="M63" s="829">
        <v>0.03</v>
      </c>
      <c r="N63" s="964">
        <f t="shared" si="84"/>
        <v>0.03</v>
      </c>
      <c r="O63" s="829">
        <f t="shared" si="84"/>
        <v>0.03</v>
      </c>
      <c r="P63" s="829">
        <f t="shared" si="84"/>
        <v>0.03</v>
      </c>
      <c r="Q63" s="829">
        <f t="shared" ref="Q63:R65" si="85">P63</f>
        <v>0.03</v>
      </c>
      <c r="R63" s="2363">
        <f t="shared" si="85"/>
        <v>0.03</v>
      </c>
    </row>
    <row r="64" spans="1:18" s="573" customFormat="1" x14ac:dyDescent="0.2">
      <c r="A64" s="575" t="s">
        <v>2440</v>
      </c>
      <c r="B64" s="542"/>
      <c r="C64" s="542"/>
      <c r="D64" s="1715">
        <v>0.08</v>
      </c>
      <c r="E64" s="829">
        <v>0.06</v>
      </c>
      <c r="F64" s="829">
        <v>0.03</v>
      </c>
      <c r="G64" s="829">
        <v>2.8000000000000001E-2</v>
      </c>
      <c r="H64" s="829">
        <f t="shared" ref="H64:J65" si="86">H63</f>
        <v>0.02</v>
      </c>
      <c r="I64" s="829">
        <f t="shared" si="86"/>
        <v>2.3E-2</v>
      </c>
      <c r="J64" s="829">
        <f t="shared" si="86"/>
        <v>2.3E-2</v>
      </c>
      <c r="K64" s="829">
        <v>2.5000000000000001E-2</v>
      </c>
      <c r="L64" s="829">
        <v>0.03</v>
      </c>
      <c r="M64" s="829">
        <f>L64</f>
        <v>0.03</v>
      </c>
      <c r="N64" s="964">
        <f t="shared" ref="N64:P65" si="87">M64</f>
        <v>0.03</v>
      </c>
      <c r="O64" s="829">
        <f t="shared" si="87"/>
        <v>0.03</v>
      </c>
      <c r="P64" s="829">
        <f t="shared" si="87"/>
        <v>0.03</v>
      </c>
      <c r="Q64" s="829">
        <f t="shared" si="85"/>
        <v>0.03</v>
      </c>
      <c r="R64" s="2363">
        <f t="shared" si="85"/>
        <v>0.03</v>
      </c>
    </row>
    <row r="65" spans="1:18" s="573" customFormat="1" x14ac:dyDescent="0.2">
      <c r="A65" s="575" t="s">
        <v>4405</v>
      </c>
      <c r="B65" s="542"/>
      <c r="C65" s="542"/>
      <c r="D65" s="1715">
        <v>0.08</v>
      </c>
      <c r="E65" s="829">
        <v>0.06</v>
      </c>
      <c r="F65" s="829">
        <f>F64</f>
        <v>0.03</v>
      </c>
      <c r="G65" s="829">
        <f t="shared" ref="G65" si="88">G64</f>
        <v>2.8000000000000001E-2</v>
      </c>
      <c r="H65" s="829">
        <f t="shared" si="86"/>
        <v>0.02</v>
      </c>
      <c r="I65" s="829">
        <f t="shared" si="86"/>
        <v>2.3E-2</v>
      </c>
      <c r="J65" s="829">
        <f t="shared" si="86"/>
        <v>2.3E-2</v>
      </c>
      <c r="K65" s="829">
        <f>K64</f>
        <v>2.5000000000000001E-2</v>
      </c>
      <c r="L65" s="829">
        <f>L64</f>
        <v>0.03</v>
      </c>
      <c r="M65" s="829">
        <f>L65</f>
        <v>0.03</v>
      </c>
      <c r="N65" s="829">
        <f t="shared" si="87"/>
        <v>0.03</v>
      </c>
      <c r="O65" s="829">
        <f t="shared" si="87"/>
        <v>0.03</v>
      </c>
      <c r="P65" s="829">
        <f t="shared" si="87"/>
        <v>0.03</v>
      </c>
      <c r="Q65" s="829">
        <f t="shared" si="85"/>
        <v>0.03</v>
      </c>
      <c r="R65" s="2363">
        <f t="shared" si="85"/>
        <v>0.03</v>
      </c>
    </row>
    <row r="66" spans="1:18" s="573" customFormat="1" x14ac:dyDescent="0.2">
      <c r="A66" s="575" t="s">
        <v>2532</v>
      </c>
      <c r="B66" s="542"/>
      <c r="C66" s="542"/>
      <c r="D66" s="1716"/>
      <c r="E66" s="1106">
        <v>13647</v>
      </c>
      <c r="F66" s="1106">
        <v>14063</v>
      </c>
      <c r="G66" s="1106">
        <f>F66*G68+F66</f>
        <v>14168.4725</v>
      </c>
      <c r="H66" s="1106">
        <f t="shared" ref="H66:P66" si="89">G66*H68+G66</f>
        <v>14239.314862499999</v>
      </c>
      <c r="I66" s="1106">
        <f t="shared" si="89"/>
        <v>14310.5114368125</v>
      </c>
      <c r="J66" s="1106">
        <f t="shared" si="89"/>
        <v>14382.063993996562</v>
      </c>
      <c r="K66" s="1106">
        <f t="shared" si="89"/>
        <v>14453.974313966544</v>
      </c>
      <c r="L66" s="1106">
        <f t="shared" si="89"/>
        <v>14526.244185536378</v>
      </c>
      <c r="M66" s="1106">
        <f t="shared" si="89"/>
        <v>14598.87540646406</v>
      </c>
      <c r="N66" s="1106">
        <f t="shared" si="89"/>
        <v>14671.86978349638</v>
      </c>
      <c r="O66" s="1106">
        <f t="shared" si="89"/>
        <v>14745.229132413862</v>
      </c>
      <c r="P66" s="1106">
        <f t="shared" si="89"/>
        <v>14818.955278075931</v>
      </c>
      <c r="Q66" s="1106">
        <f>P66*Q68+P66</f>
        <v>14893.050054466312</v>
      </c>
      <c r="R66" s="1107">
        <f>Q66*R68+Q66</f>
        <v>14967.515304738643</v>
      </c>
    </row>
    <row r="67" spans="1:18" s="573" customFormat="1" x14ac:dyDescent="0.2">
      <c r="A67" s="575" t="s">
        <v>2533</v>
      </c>
      <c r="B67" s="542"/>
      <c r="C67" s="542"/>
      <c r="D67" s="1697"/>
      <c r="E67" s="1106">
        <v>344</v>
      </c>
      <c r="F67" s="1106">
        <v>311</v>
      </c>
      <c r="G67" s="1106">
        <f t="shared" ref="G67:P67" si="90">F67</f>
        <v>311</v>
      </c>
      <c r="H67" s="1106">
        <f t="shared" si="90"/>
        <v>311</v>
      </c>
      <c r="I67" s="1106">
        <f t="shared" si="90"/>
        <v>311</v>
      </c>
      <c r="J67" s="1106">
        <f t="shared" si="90"/>
        <v>311</v>
      </c>
      <c r="K67" s="1106">
        <f t="shared" si="90"/>
        <v>311</v>
      </c>
      <c r="L67" s="1106">
        <f t="shared" si="90"/>
        <v>311</v>
      </c>
      <c r="M67" s="1106">
        <f t="shared" si="90"/>
        <v>311</v>
      </c>
      <c r="N67" s="1106">
        <f t="shared" si="90"/>
        <v>311</v>
      </c>
      <c r="O67" s="1106">
        <f t="shared" si="90"/>
        <v>311</v>
      </c>
      <c r="P67" s="1106">
        <f t="shared" si="90"/>
        <v>311</v>
      </c>
      <c r="Q67" s="1106">
        <f>P67</f>
        <v>311</v>
      </c>
      <c r="R67" s="1107">
        <f>Q67</f>
        <v>311</v>
      </c>
    </row>
    <row r="68" spans="1:18" s="573" customFormat="1" x14ac:dyDescent="0.2">
      <c r="A68" s="575" t="s">
        <v>2534</v>
      </c>
      <c r="B68" s="542"/>
      <c r="C68" s="542"/>
      <c r="D68" s="1697"/>
      <c r="E68" s="829">
        <v>7.4999999999999997E-3</v>
      </c>
      <c r="F68" s="829">
        <f>E68</f>
        <v>7.4999999999999997E-3</v>
      </c>
      <c r="G68" s="829">
        <f t="shared" ref="G68:P68" si="91">F68</f>
        <v>7.4999999999999997E-3</v>
      </c>
      <c r="H68" s="829">
        <v>5.0000000000000001E-3</v>
      </c>
      <c r="I68" s="829">
        <f t="shared" si="91"/>
        <v>5.0000000000000001E-3</v>
      </c>
      <c r="J68" s="829">
        <f t="shared" si="91"/>
        <v>5.0000000000000001E-3</v>
      </c>
      <c r="K68" s="829">
        <f t="shared" si="91"/>
        <v>5.0000000000000001E-3</v>
      </c>
      <c r="L68" s="829">
        <f t="shared" si="91"/>
        <v>5.0000000000000001E-3</v>
      </c>
      <c r="M68" s="829">
        <f t="shared" si="91"/>
        <v>5.0000000000000001E-3</v>
      </c>
      <c r="N68" s="829">
        <f t="shared" si="91"/>
        <v>5.0000000000000001E-3</v>
      </c>
      <c r="O68" s="829">
        <f t="shared" si="91"/>
        <v>5.0000000000000001E-3</v>
      </c>
      <c r="P68" s="829">
        <f t="shared" si="91"/>
        <v>5.0000000000000001E-3</v>
      </c>
      <c r="Q68" s="829">
        <f>P68</f>
        <v>5.0000000000000001E-3</v>
      </c>
      <c r="R68" s="2363">
        <f>Q68</f>
        <v>5.0000000000000001E-3</v>
      </c>
    </row>
    <row r="69" spans="1:18" x14ac:dyDescent="0.2">
      <c r="A69" s="655" t="s">
        <v>2535</v>
      </c>
      <c r="B69" s="1250"/>
      <c r="C69" s="1250"/>
      <c r="D69" s="1697">
        <v>178</v>
      </c>
      <c r="E69" s="1276">
        <f t="shared" ref="E69:P69" si="92">(D69*E64+D69)</f>
        <v>188.68</v>
      </c>
      <c r="F69" s="1276">
        <v>195</v>
      </c>
      <c r="G69" s="1276">
        <f t="shared" si="92"/>
        <v>200.46</v>
      </c>
      <c r="H69" s="1276">
        <f t="shared" si="92"/>
        <v>204.4692</v>
      </c>
      <c r="I69" s="1276">
        <f t="shared" si="92"/>
        <v>209.17199160000001</v>
      </c>
      <c r="J69" s="1276">
        <f t="shared" si="92"/>
        <v>213.98294740680001</v>
      </c>
      <c r="K69" s="1276">
        <f t="shared" si="92"/>
        <v>219.33252109197002</v>
      </c>
      <c r="L69" s="1276">
        <f t="shared" si="92"/>
        <v>225.91249672472912</v>
      </c>
      <c r="M69" s="1276">
        <f t="shared" si="92"/>
        <v>232.68987162647099</v>
      </c>
      <c r="N69" s="1276">
        <f t="shared" si="92"/>
        <v>239.67056777526511</v>
      </c>
      <c r="O69" s="1276">
        <f t="shared" si="92"/>
        <v>246.86068480852308</v>
      </c>
      <c r="P69" s="1276">
        <f t="shared" si="92"/>
        <v>254.26650535277878</v>
      </c>
      <c r="Q69" s="1276">
        <f>(P69*Q64+P69)</f>
        <v>261.89450051336212</v>
      </c>
      <c r="R69" s="2367">
        <f>(Q69*R64+Q69)</f>
        <v>269.75133552876298</v>
      </c>
    </row>
    <row r="70" spans="1:18" x14ac:dyDescent="0.2">
      <c r="A70" s="655" t="s">
        <v>2536</v>
      </c>
      <c r="B70" s="1250"/>
      <c r="C70" s="1250"/>
      <c r="D70" s="1697">
        <v>1.91</v>
      </c>
      <c r="E70" s="1278">
        <f t="shared" ref="E70:P70" si="93">D70*E65+D70</f>
        <v>2.0246</v>
      </c>
      <c r="F70" s="1278">
        <v>2.08</v>
      </c>
      <c r="G70" s="1278">
        <f t="shared" si="93"/>
        <v>2.1382400000000001</v>
      </c>
      <c r="H70" s="1278">
        <f t="shared" si="93"/>
        <v>2.1810048000000002</v>
      </c>
      <c r="I70" s="1278">
        <f t="shared" si="93"/>
        <v>2.2311679104000004</v>
      </c>
      <c r="J70" s="1278">
        <f t="shared" si="93"/>
        <v>2.2824847723392003</v>
      </c>
      <c r="K70" s="1278">
        <f t="shared" si="93"/>
        <v>2.3395468916476805</v>
      </c>
      <c r="L70" s="1278">
        <f t="shared" si="93"/>
        <v>2.4097332983971107</v>
      </c>
      <c r="M70" s="1278">
        <f t="shared" si="93"/>
        <v>2.4820252973490242</v>
      </c>
      <c r="N70" s="1278">
        <f t="shared" si="93"/>
        <v>2.5564860562694949</v>
      </c>
      <c r="O70" s="1278">
        <f t="shared" si="93"/>
        <v>2.6331806379575795</v>
      </c>
      <c r="P70" s="1278">
        <f t="shared" si="93"/>
        <v>2.7121760570963067</v>
      </c>
      <c r="Q70" s="1278">
        <f>P70*Q65+P70</f>
        <v>2.7935413388091961</v>
      </c>
      <c r="R70" s="2369">
        <f>Q70*R65+Q70</f>
        <v>2.8773475789734722</v>
      </c>
    </row>
    <row r="71" spans="1:18" x14ac:dyDescent="0.2">
      <c r="A71" s="655" t="s">
        <v>2537</v>
      </c>
      <c r="B71" s="1250"/>
      <c r="C71" s="1250"/>
      <c r="D71" s="1697">
        <v>2.87</v>
      </c>
      <c r="E71" s="1278">
        <f t="shared" ref="E71:P71" si="94">D71*E65+D71</f>
        <v>3.0422000000000002</v>
      </c>
      <c r="F71" s="1278">
        <v>3.13</v>
      </c>
      <c r="G71" s="1278">
        <f t="shared" si="94"/>
        <v>3.2176399999999998</v>
      </c>
      <c r="H71" s="1278">
        <f t="shared" si="94"/>
        <v>3.2819927999999998</v>
      </c>
      <c r="I71" s="1278">
        <f t="shared" si="94"/>
        <v>3.3574786343999996</v>
      </c>
      <c r="J71" s="1278">
        <f t="shared" si="94"/>
        <v>3.4347006429911997</v>
      </c>
      <c r="K71" s="1278">
        <f t="shared" si="94"/>
        <v>3.5205681590659799</v>
      </c>
      <c r="L71" s="1278">
        <f>K71*L65+K71</f>
        <v>3.6261852038379594</v>
      </c>
      <c r="M71" s="1278">
        <f t="shared" si="94"/>
        <v>3.7349707599530984</v>
      </c>
      <c r="N71" s="1278">
        <f t="shared" si="94"/>
        <v>3.8470198827516913</v>
      </c>
      <c r="O71" s="1278">
        <f t="shared" si="94"/>
        <v>3.962430479234242</v>
      </c>
      <c r="P71" s="1278">
        <f t="shared" si="94"/>
        <v>4.081303393611269</v>
      </c>
      <c r="Q71" s="1278">
        <f>P71*Q65+P71</f>
        <v>4.2037424954196068</v>
      </c>
      <c r="R71" s="2369">
        <f>Q71*R65+Q71</f>
        <v>4.3298547702821946</v>
      </c>
    </row>
    <row r="72" spans="1:18" x14ac:dyDescent="0.2">
      <c r="A72" s="655" t="s">
        <v>2538</v>
      </c>
      <c r="B72" s="1250"/>
      <c r="C72" s="1250"/>
      <c r="D72" s="1709">
        <v>1974000</v>
      </c>
      <c r="E72" s="1276">
        <v>2045000</v>
      </c>
      <c r="F72" s="1276">
        <f t="shared" ref="F72:P72" si="95">E72*F73+E72</f>
        <v>2045000</v>
      </c>
      <c r="G72" s="1276">
        <f t="shared" si="95"/>
        <v>2045000</v>
      </c>
      <c r="H72" s="1276">
        <f t="shared" si="95"/>
        <v>2045000</v>
      </c>
      <c r="I72" s="1276">
        <f t="shared" si="95"/>
        <v>2045000</v>
      </c>
      <c r="J72" s="1276">
        <f t="shared" si="95"/>
        <v>2045000</v>
      </c>
      <c r="K72" s="1276">
        <f t="shared" si="95"/>
        <v>2045000</v>
      </c>
      <c r="L72" s="1276">
        <f t="shared" si="95"/>
        <v>2045000</v>
      </c>
      <c r="M72" s="1276">
        <f t="shared" si="95"/>
        <v>2045000</v>
      </c>
      <c r="N72" s="1276">
        <f t="shared" si="95"/>
        <v>2045000</v>
      </c>
      <c r="O72" s="1276">
        <f t="shared" si="95"/>
        <v>2045000</v>
      </c>
      <c r="P72" s="1276">
        <f t="shared" si="95"/>
        <v>2045000</v>
      </c>
      <c r="Q72" s="1276">
        <f>P72*Q73+P72</f>
        <v>2045000</v>
      </c>
      <c r="R72" s="2367">
        <f>Q72*R73+Q72</f>
        <v>2045000</v>
      </c>
    </row>
    <row r="73" spans="1:18" s="573" customFormat="1" x14ac:dyDescent="0.2">
      <c r="A73" s="575" t="s">
        <v>540</v>
      </c>
      <c r="B73" s="542"/>
      <c r="C73" s="542"/>
      <c r="D73" s="1717">
        <v>0</v>
      </c>
      <c r="E73" s="1279">
        <f>D73</f>
        <v>0</v>
      </c>
      <c r="F73" s="1279">
        <v>0</v>
      </c>
      <c r="G73" s="1279">
        <v>0</v>
      </c>
      <c r="H73" s="1279">
        <f t="shared" ref="F73:P74" si="96">G73</f>
        <v>0</v>
      </c>
      <c r="I73" s="1279">
        <f t="shared" si="96"/>
        <v>0</v>
      </c>
      <c r="J73" s="1279">
        <f t="shared" si="96"/>
        <v>0</v>
      </c>
      <c r="K73" s="1279">
        <f t="shared" si="96"/>
        <v>0</v>
      </c>
      <c r="L73" s="1279">
        <f t="shared" si="96"/>
        <v>0</v>
      </c>
      <c r="M73" s="1279">
        <f t="shared" si="96"/>
        <v>0</v>
      </c>
      <c r="N73" s="1279">
        <f t="shared" si="96"/>
        <v>0</v>
      </c>
      <c r="O73" s="1279">
        <f t="shared" si="96"/>
        <v>0</v>
      </c>
      <c r="P73" s="1279">
        <f t="shared" si="96"/>
        <v>0</v>
      </c>
      <c r="Q73" s="1279">
        <f>P73</f>
        <v>0</v>
      </c>
      <c r="R73" s="2370">
        <f>Q73</f>
        <v>0</v>
      </c>
    </row>
    <row r="74" spans="1:18" x14ac:dyDescent="0.2">
      <c r="A74" s="655" t="s">
        <v>2540</v>
      </c>
      <c r="B74" s="1250"/>
      <c r="C74" s="1250"/>
      <c r="D74" s="1717">
        <v>0.08</v>
      </c>
      <c r="E74" s="1279">
        <v>0.08</v>
      </c>
      <c r="F74" s="1279">
        <f t="shared" si="96"/>
        <v>0.08</v>
      </c>
      <c r="G74" s="1279">
        <f t="shared" si="96"/>
        <v>0.08</v>
      </c>
      <c r="H74" s="1279">
        <f t="shared" si="96"/>
        <v>0.08</v>
      </c>
      <c r="I74" s="1279">
        <f t="shared" si="96"/>
        <v>0.08</v>
      </c>
      <c r="J74" s="1279">
        <f t="shared" si="96"/>
        <v>0.08</v>
      </c>
      <c r="K74" s="1279">
        <f t="shared" si="96"/>
        <v>0.08</v>
      </c>
      <c r="L74" s="1279">
        <f t="shared" si="96"/>
        <v>0.08</v>
      </c>
      <c r="M74" s="1279">
        <f t="shared" si="96"/>
        <v>0.08</v>
      </c>
      <c r="N74" s="1279">
        <f t="shared" si="96"/>
        <v>0.08</v>
      </c>
      <c r="O74" s="1279">
        <f t="shared" si="96"/>
        <v>0.08</v>
      </c>
      <c r="P74" s="1279">
        <f t="shared" si="96"/>
        <v>0.08</v>
      </c>
      <c r="Q74" s="1279">
        <f>P74</f>
        <v>0.08</v>
      </c>
      <c r="R74" s="2370">
        <f>Q74</f>
        <v>0.08</v>
      </c>
    </row>
    <row r="75" spans="1:18" x14ac:dyDescent="0.2">
      <c r="A75" s="655" t="s">
        <v>2539</v>
      </c>
      <c r="B75" s="1250"/>
      <c r="C75" s="1250"/>
      <c r="D75" s="1718"/>
      <c r="E75" s="1276">
        <f>E72/E66</f>
        <v>149.84978383527516</v>
      </c>
      <c r="F75" s="1276">
        <f t="shared" ref="F75:N75" si="97">F72/F66</f>
        <v>145.41705183815685</v>
      </c>
      <c r="G75" s="1276">
        <f t="shared" si="97"/>
        <v>144.33454276740136</v>
      </c>
      <c r="H75" s="1276">
        <f t="shared" si="97"/>
        <v>143.61646046507599</v>
      </c>
      <c r="I75" s="1276">
        <f t="shared" si="97"/>
        <v>142.9019507115184</v>
      </c>
      <c r="J75" s="1276">
        <f t="shared" si="97"/>
        <v>142.19099573285411</v>
      </c>
      <c r="K75" s="1276">
        <f t="shared" si="97"/>
        <v>141.48357784363594</v>
      </c>
      <c r="L75" s="1276">
        <f t="shared" si="97"/>
        <v>140.77967944640392</v>
      </c>
      <c r="M75" s="1276">
        <f t="shared" si="97"/>
        <v>140.07928303124768</v>
      </c>
      <c r="N75" s="1276">
        <f t="shared" si="97"/>
        <v>139.38237117537082</v>
      </c>
      <c r="O75" s="1276">
        <f t="shared" ref="O75:P75" si="98">O72/O66</f>
        <v>138.68892654265753</v>
      </c>
      <c r="P75" s="1276">
        <f t="shared" si="98"/>
        <v>137.99893188324134</v>
      </c>
      <c r="Q75" s="1276">
        <f t="shared" ref="Q75:R75" si="99">Q72/Q66</f>
        <v>137.31237003307595</v>
      </c>
      <c r="R75" s="2367">
        <f t="shared" si="99"/>
        <v>136.62922391350841</v>
      </c>
    </row>
    <row r="76" spans="1:18" x14ac:dyDescent="0.2">
      <c r="A76" s="655" t="s">
        <v>2352</v>
      </c>
      <c r="B76" s="1250"/>
      <c r="C76" s="1250"/>
      <c r="D76" s="1709">
        <v>557000</v>
      </c>
      <c r="E76" s="1276">
        <v>558000</v>
      </c>
      <c r="F76" s="1276">
        <f t="shared" ref="F76:P76" si="100">E76*F77+E76</f>
        <v>558000</v>
      </c>
      <c r="G76" s="1276">
        <f t="shared" si="100"/>
        <v>558000</v>
      </c>
      <c r="H76" s="1276">
        <f t="shared" si="100"/>
        <v>558000</v>
      </c>
      <c r="I76" s="1276">
        <f t="shared" si="100"/>
        <v>558000</v>
      </c>
      <c r="J76" s="1276">
        <f t="shared" si="100"/>
        <v>558000</v>
      </c>
      <c r="K76" s="1276">
        <f t="shared" si="100"/>
        <v>558000</v>
      </c>
      <c r="L76" s="1276">
        <f t="shared" si="100"/>
        <v>558000</v>
      </c>
      <c r="M76" s="1276">
        <f t="shared" si="100"/>
        <v>558000</v>
      </c>
      <c r="N76" s="1276">
        <f t="shared" si="100"/>
        <v>558000</v>
      </c>
      <c r="O76" s="1276">
        <f t="shared" si="100"/>
        <v>558000</v>
      </c>
      <c r="P76" s="1276">
        <f t="shared" si="100"/>
        <v>558000</v>
      </c>
      <c r="Q76" s="1276">
        <f>P76*Q77+P76</f>
        <v>558000</v>
      </c>
      <c r="R76" s="2367">
        <f>Q76*R77+Q76</f>
        <v>558000</v>
      </c>
    </row>
    <row r="77" spans="1:18" s="573" customFormat="1" x14ac:dyDescent="0.2">
      <c r="A77" s="575" t="s">
        <v>468</v>
      </c>
      <c r="B77" s="542"/>
      <c r="C77" s="542"/>
      <c r="D77" s="1717">
        <v>0</v>
      </c>
      <c r="E77" s="1279">
        <f>D77</f>
        <v>0</v>
      </c>
      <c r="F77" s="1279">
        <f t="shared" ref="F77:P77" si="101">E77</f>
        <v>0</v>
      </c>
      <c r="G77" s="1279">
        <f t="shared" si="101"/>
        <v>0</v>
      </c>
      <c r="H77" s="1279">
        <f t="shared" si="101"/>
        <v>0</v>
      </c>
      <c r="I77" s="1279">
        <f t="shared" si="101"/>
        <v>0</v>
      </c>
      <c r="J77" s="1279">
        <f t="shared" si="101"/>
        <v>0</v>
      </c>
      <c r="K77" s="1279">
        <f t="shared" si="101"/>
        <v>0</v>
      </c>
      <c r="L77" s="1279">
        <f t="shared" si="101"/>
        <v>0</v>
      </c>
      <c r="M77" s="1279">
        <f t="shared" si="101"/>
        <v>0</v>
      </c>
      <c r="N77" s="1279">
        <f t="shared" si="101"/>
        <v>0</v>
      </c>
      <c r="O77" s="1279">
        <f t="shared" si="101"/>
        <v>0</v>
      </c>
      <c r="P77" s="1279">
        <f t="shared" si="101"/>
        <v>0</v>
      </c>
      <c r="Q77" s="1279">
        <f>P77</f>
        <v>0</v>
      </c>
      <c r="R77" s="2370">
        <f>Q77</f>
        <v>0</v>
      </c>
    </row>
    <row r="78" spans="1:18" x14ac:dyDescent="0.2">
      <c r="A78" s="655" t="s">
        <v>469</v>
      </c>
      <c r="B78" s="1250"/>
      <c r="C78" s="1250"/>
      <c r="D78" s="1717">
        <v>0.7</v>
      </c>
      <c r="E78" s="1279">
        <f>D78-0.02</f>
        <v>0.67999999999999994</v>
      </c>
      <c r="F78" s="1279">
        <f t="shared" ref="F78:P78" si="102">E78-0.02</f>
        <v>0.65999999999999992</v>
      </c>
      <c r="G78" s="1279">
        <f t="shared" si="102"/>
        <v>0.6399999999999999</v>
      </c>
      <c r="H78" s="1279">
        <f t="shared" si="102"/>
        <v>0.61999999999999988</v>
      </c>
      <c r="I78" s="1279">
        <f t="shared" si="102"/>
        <v>0.59999999999999987</v>
      </c>
      <c r="J78" s="1279">
        <f t="shared" si="102"/>
        <v>0.57999999999999985</v>
      </c>
      <c r="K78" s="1279">
        <f t="shared" si="102"/>
        <v>0.55999999999999983</v>
      </c>
      <c r="L78" s="1279">
        <f t="shared" si="102"/>
        <v>0.53999999999999981</v>
      </c>
      <c r="M78" s="1279">
        <f t="shared" si="102"/>
        <v>0.5199999999999998</v>
      </c>
      <c r="N78" s="1279">
        <f t="shared" si="102"/>
        <v>0.49999999999999978</v>
      </c>
      <c r="O78" s="1279">
        <f t="shared" si="102"/>
        <v>0.47999999999999976</v>
      </c>
      <c r="P78" s="1279">
        <f t="shared" si="102"/>
        <v>0.45999999999999974</v>
      </c>
      <c r="Q78" s="1279">
        <f>P78-0.02</f>
        <v>0.43999999999999972</v>
      </c>
      <c r="R78" s="2370">
        <f>Q78-0.02</f>
        <v>0.41999999999999971</v>
      </c>
    </row>
    <row r="79" spans="1:18" x14ac:dyDescent="0.2">
      <c r="A79" s="655" t="s">
        <v>2376</v>
      </c>
      <c r="B79" s="1250"/>
      <c r="C79" s="1250"/>
      <c r="D79" s="1709">
        <v>3200</v>
      </c>
      <c r="E79" s="1276">
        <v>3541</v>
      </c>
      <c r="F79" s="1276">
        <f>ROUND(F81*E79+E79,)</f>
        <v>3541</v>
      </c>
      <c r="G79" s="1276">
        <f t="shared" ref="G79:M79" si="103">ROUND(G81*F79+F79,)</f>
        <v>3541</v>
      </c>
      <c r="H79" s="1276">
        <f t="shared" si="103"/>
        <v>3541</v>
      </c>
      <c r="I79" s="1276">
        <f t="shared" si="103"/>
        <v>3541</v>
      </c>
      <c r="J79" s="1276">
        <f t="shared" si="103"/>
        <v>3541</v>
      </c>
      <c r="K79" s="1276">
        <f t="shared" si="103"/>
        <v>4249</v>
      </c>
      <c r="L79" s="1276">
        <f t="shared" si="103"/>
        <v>4249</v>
      </c>
      <c r="M79" s="1276">
        <f t="shared" si="103"/>
        <v>4249</v>
      </c>
      <c r="N79" s="1276">
        <f>ROUND(N81*M79+M79,)</f>
        <v>4249</v>
      </c>
      <c r="O79" s="1276">
        <f>ROUND(O81*N79+N79,)</f>
        <v>4249</v>
      </c>
      <c r="P79" s="1276">
        <f>ROUND(P81*O79+O79,)</f>
        <v>4249</v>
      </c>
      <c r="Q79" s="1276">
        <f>ROUND(Q81*P79+P79,)</f>
        <v>4249</v>
      </c>
      <c r="R79" s="2367">
        <f>ROUND(R81*Q79+Q79,)</f>
        <v>4249</v>
      </c>
    </row>
    <row r="80" spans="1:18" x14ac:dyDescent="0.2">
      <c r="A80" s="655" t="s">
        <v>2375</v>
      </c>
      <c r="B80" s="1250"/>
      <c r="C80" s="1250"/>
      <c r="D80" s="1709">
        <v>200</v>
      </c>
      <c r="E80" s="1276">
        <f>D80</f>
        <v>200</v>
      </c>
      <c r="F80" s="1276">
        <f t="shared" ref="F80:P80" si="104">E80</f>
        <v>200</v>
      </c>
      <c r="G80" s="1276">
        <f t="shared" si="104"/>
        <v>200</v>
      </c>
      <c r="H80" s="1276">
        <f t="shared" si="104"/>
        <v>200</v>
      </c>
      <c r="I80" s="1276">
        <f t="shared" si="104"/>
        <v>200</v>
      </c>
      <c r="J80" s="1276">
        <f t="shared" si="104"/>
        <v>200</v>
      </c>
      <c r="K80" s="1276">
        <f t="shared" si="104"/>
        <v>200</v>
      </c>
      <c r="L80" s="1276">
        <f t="shared" si="104"/>
        <v>200</v>
      </c>
      <c r="M80" s="1276">
        <f t="shared" si="104"/>
        <v>200</v>
      </c>
      <c r="N80" s="1276">
        <f t="shared" si="104"/>
        <v>200</v>
      </c>
      <c r="O80" s="1276">
        <f t="shared" si="104"/>
        <v>200</v>
      </c>
      <c r="P80" s="1276">
        <f t="shared" si="104"/>
        <v>200</v>
      </c>
      <c r="Q80" s="1276">
        <f>P80</f>
        <v>200</v>
      </c>
      <c r="R80" s="2367">
        <f>Q80</f>
        <v>200</v>
      </c>
    </row>
    <row r="81" spans="1:18" x14ac:dyDescent="0.2">
      <c r="A81" s="655" t="s">
        <v>2377</v>
      </c>
      <c r="B81" s="1250"/>
      <c r="C81" s="1250"/>
      <c r="D81" s="1717">
        <v>0</v>
      </c>
      <c r="E81" s="1279">
        <f>D81</f>
        <v>0</v>
      </c>
      <c r="F81" s="1279">
        <v>0</v>
      </c>
      <c r="G81" s="1279">
        <v>0</v>
      </c>
      <c r="H81" s="1279">
        <f>G81</f>
        <v>0</v>
      </c>
      <c r="I81" s="1279">
        <f>H81</f>
        <v>0</v>
      </c>
      <c r="J81" s="1279">
        <f>I81</f>
        <v>0</v>
      </c>
      <c r="K81" s="1279">
        <v>0.2</v>
      </c>
      <c r="L81" s="1279">
        <v>0</v>
      </c>
      <c r="M81" s="1279">
        <f>L81</f>
        <v>0</v>
      </c>
      <c r="N81" s="1279">
        <f>M81</f>
        <v>0</v>
      </c>
      <c r="O81" s="1279">
        <f>N81</f>
        <v>0</v>
      </c>
      <c r="P81" s="1279">
        <f>O81</f>
        <v>0</v>
      </c>
      <c r="Q81" s="1279">
        <f>P81</f>
        <v>0</v>
      </c>
      <c r="R81" s="2370">
        <f>Q81</f>
        <v>0</v>
      </c>
    </row>
    <row r="82" spans="1:18" ht="13.5" thickBot="1" x14ac:dyDescent="0.25">
      <c r="A82" s="1719"/>
      <c r="B82" s="1720"/>
      <c r="C82" s="1720"/>
      <c r="D82" s="2241"/>
      <c r="E82" s="2244"/>
      <c r="F82" s="2245"/>
      <c r="G82" s="2244"/>
      <c r="H82" s="2244"/>
      <c r="I82" s="2244"/>
      <c r="J82" s="2244"/>
      <c r="K82" s="2244"/>
      <c r="L82" s="2244"/>
      <c r="M82" s="2244"/>
      <c r="N82" s="2244"/>
      <c r="O82" s="2244"/>
      <c r="P82" s="2244"/>
      <c r="Q82" s="2244"/>
      <c r="R82" s="2371"/>
    </row>
    <row r="83" spans="1:18" ht="13.5" thickTop="1" x14ac:dyDescent="0.2">
      <c r="A83" s="1721"/>
      <c r="B83" s="1722"/>
      <c r="C83" s="1722"/>
      <c r="D83" s="1281"/>
      <c r="E83" s="1281"/>
      <c r="F83" s="1281"/>
      <c r="G83" s="1281"/>
      <c r="H83" s="1281"/>
      <c r="I83" s="1281"/>
      <c r="J83" s="1281"/>
      <c r="K83" s="1281"/>
      <c r="L83" s="1281"/>
      <c r="M83" s="1281"/>
      <c r="N83" s="1726"/>
      <c r="O83" s="1281"/>
      <c r="P83" s="1281"/>
      <c r="Q83" s="1281"/>
      <c r="R83" s="1727"/>
    </row>
    <row r="84" spans="1:18" x14ac:dyDescent="0.2">
      <c r="A84" s="1725" t="s">
        <v>2820</v>
      </c>
      <c r="B84" s="1250"/>
      <c r="C84" s="2340" t="s">
        <v>793</v>
      </c>
      <c r="D84" s="210" t="str">
        <f t="shared" ref="D84:P84" si="105">D2</f>
        <v>2013/14</v>
      </c>
      <c r="E84" s="210" t="str">
        <f t="shared" si="105"/>
        <v>2014/15</v>
      </c>
      <c r="F84" s="210" t="str">
        <f t="shared" si="105"/>
        <v>2015/16</v>
      </c>
      <c r="G84" s="210" t="str">
        <f t="shared" si="105"/>
        <v>2016/17</v>
      </c>
      <c r="H84" s="210" t="str">
        <f t="shared" si="105"/>
        <v>2017/18</v>
      </c>
      <c r="I84" s="210" t="str">
        <f t="shared" si="105"/>
        <v>2018/19</v>
      </c>
      <c r="J84" s="210" t="str">
        <f t="shared" si="105"/>
        <v>2019/20</v>
      </c>
      <c r="K84" s="210" t="str">
        <f t="shared" si="105"/>
        <v>2020/21</v>
      </c>
      <c r="L84" s="210" t="str">
        <f t="shared" si="105"/>
        <v>2021/22</v>
      </c>
      <c r="M84" s="210" t="str">
        <f t="shared" si="105"/>
        <v>2022/23</v>
      </c>
      <c r="N84" s="440" t="str">
        <f t="shared" si="105"/>
        <v>2023/24</v>
      </c>
      <c r="O84" s="210" t="str">
        <f t="shared" si="105"/>
        <v>2024/25</v>
      </c>
      <c r="P84" s="210" t="str">
        <f t="shared" si="105"/>
        <v>2025/26</v>
      </c>
      <c r="Q84" s="210" t="str">
        <f t="shared" ref="Q84:R84" si="106">Q2</f>
        <v>2026/27</v>
      </c>
      <c r="R84" s="318" t="str">
        <f t="shared" si="106"/>
        <v>2027/28</v>
      </c>
    </row>
    <row r="85" spans="1:18" x14ac:dyDescent="0.2">
      <c r="A85" s="1688"/>
      <c r="B85" s="1250"/>
      <c r="C85" s="1250"/>
      <c r="D85" s="1281"/>
      <c r="E85" s="1281"/>
      <c r="F85" s="1281"/>
      <c r="G85" s="1281"/>
      <c r="H85" s="1281"/>
      <c r="I85" s="1281"/>
      <c r="J85" s="1281"/>
      <c r="K85" s="1281"/>
      <c r="L85" s="1281"/>
      <c r="M85" s="1281"/>
      <c r="N85" s="1726"/>
      <c r="O85" s="1281"/>
      <c r="P85" s="1281"/>
      <c r="Q85" s="1281"/>
      <c r="R85" s="1727"/>
    </row>
    <row r="86" spans="1:18" x14ac:dyDescent="0.2">
      <c r="A86" s="656" t="s">
        <v>1154</v>
      </c>
      <c r="B86" s="1250"/>
      <c r="C86" s="1728" t="s">
        <v>1757</v>
      </c>
      <c r="D86" s="1274"/>
      <c r="E86" s="1274">
        <v>1</v>
      </c>
      <c r="F86" s="1274">
        <v>1</v>
      </c>
      <c r="G86" s="1274">
        <v>1</v>
      </c>
      <c r="H86" s="1274">
        <v>1</v>
      </c>
      <c r="I86" s="1274">
        <v>1</v>
      </c>
      <c r="J86" s="1274">
        <v>1</v>
      </c>
      <c r="K86" s="1274">
        <v>1</v>
      </c>
      <c r="L86" s="1274">
        <v>1</v>
      </c>
      <c r="M86" s="1274">
        <v>1</v>
      </c>
      <c r="N86" s="728">
        <v>1</v>
      </c>
      <c r="O86" s="1274">
        <v>1</v>
      </c>
      <c r="P86" s="1274">
        <v>1</v>
      </c>
      <c r="Q86" s="1274">
        <v>1</v>
      </c>
      <c r="R86" s="1690">
        <v>1</v>
      </c>
    </row>
    <row r="87" spans="1:18" x14ac:dyDescent="0.2">
      <c r="A87" s="656" t="s">
        <v>513</v>
      </c>
      <c r="B87" s="1250"/>
      <c r="C87" s="1728" t="s">
        <v>339</v>
      </c>
      <c r="D87" s="1274"/>
      <c r="E87" s="1274">
        <v>4</v>
      </c>
      <c r="F87" s="1274">
        <v>1</v>
      </c>
      <c r="G87" s="1274">
        <v>1</v>
      </c>
      <c r="H87" s="1274">
        <v>1</v>
      </c>
      <c r="I87" s="1274">
        <v>1</v>
      </c>
      <c r="J87" s="1274">
        <v>1</v>
      </c>
      <c r="K87" s="1274">
        <v>1</v>
      </c>
      <c r="L87" s="1274">
        <v>1</v>
      </c>
      <c r="M87" s="1274">
        <v>1</v>
      </c>
      <c r="N87" s="728">
        <v>1</v>
      </c>
      <c r="O87" s="1274">
        <v>1</v>
      </c>
      <c r="P87" s="1274">
        <v>1</v>
      </c>
      <c r="Q87" s="1274">
        <v>1</v>
      </c>
      <c r="R87" s="1690">
        <v>1</v>
      </c>
    </row>
    <row r="88" spans="1:18" x14ac:dyDescent="0.2">
      <c r="A88" s="656" t="s">
        <v>1403</v>
      </c>
      <c r="B88" s="1250"/>
      <c r="C88" s="1728" t="s">
        <v>1544</v>
      </c>
      <c r="D88" s="1274"/>
      <c r="E88" s="1274">
        <v>1</v>
      </c>
      <c r="F88" s="1274">
        <v>1</v>
      </c>
      <c r="G88" s="1274">
        <v>1</v>
      </c>
      <c r="H88" s="1274">
        <v>1</v>
      </c>
      <c r="I88" s="1274">
        <v>1</v>
      </c>
      <c r="J88" s="1274">
        <v>1</v>
      </c>
      <c r="K88" s="1274">
        <v>1</v>
      </c>
      <c r="L88" s="1274">
        <v>1</v>
      </c>
      <c r="M88" s="1274">
        <v>1</v>
      </c>
      <c r="N88" s="728">
        <v>1</v>
      </c>
      <c r="O88" s="1274">
        <v>1</v>
      </c>
      <c r="P88" s="1274">
        <v>1</v>
      </c>
      <c r="Q88" s="1274">
        <v>1</v>
      </c>
      <c r="R88" s="1690">
        <v>1</v>
      </c>
    </row>
    <row r="89" spans="1:18" x14ac:dyDescent="0.2">
      <c r="A89" s="823" t="s">
        <v>3307</v>
      </c>
      <c r="B89" s="1250"/>
      <c r="C89" s="1728"/>
      <c r="D89" s="1274"/>
      <c r="E89" s="1274"/>
      <c r="F89" s="1274"/>
      <c r="G89" s="1274"/>
      <c r="H89" s="1274"/>
      <c r="I89" s="1274"/>
      <c r="J89" s="1274"/>
      <c r="K89" s="1274"/>
      <c r="L89" s="1274"/>
      <c r="M89" s="1274"/>
      <c r="N89" s="728"/>
      <c r="O89" s="1274"/>
      <c r="P89" s="1274"/>
      <c r="Q89" s="1274"/>
      <c r="R89" s="1690"/>
    </row>
    <row r="90" spans="1:18" x14ac:dyDescent="0.2">
      <c r="A90" s="1688" t="s">
        <v>2819</v>
      </c>
      <c r="B90" s="1250"/>
      <c r="C90" s="1728" t="s">
        <v>1321</v>
      </c>
      <c r="D90" s="1274"/>
      <c r="E90" s="1274">
        <v>3</v>
      </c>
      <c r="F90" s="1274">
        <f>E90</f>
        <v>3</v>
      </c>
      <c r="G90" s="1274">
        <f t="shared" ref="G90:L90" si="107">F90</f>
        <v>3</v>
      </c>
      <c r="H90" s="1274">
        <f t="shared" si="107"/>
        <v>3</v>
      </c>
      <c r="I90" s="1274">
        <f t="shared" si="107"/>
        <v>3</v>
      </c>
      <c r="J90" s="1274">
        <f t="shared" si="107"/>
        <v>3</v>
      </c>
      <c r="K90" s="1274">
        <f t="shared" si="107"/>
        <v>3</v>
      </c>
      <c r="L90" s="1274">
        <f t="shared" si="107"/>
        <v>3</v>
      </c>
      <c r="M90" s="1274">
        <f t="shared" ref="M90:P92" si="108">L90</f>
        <v>3</v>
      </c>
      <c r="N90" s="728">
        <f t="shared" si="108"/>
        <v>3</v>
      </c>
      <c r="O90" s="1274">
        <f t="shared" si="108"/>
        <v>3</v>
      </c>
      <c r="P90" s="1274">
        <f t="shared" si="108"/>
        <v>3</v>
      </c>
      <c r="Q90" s="1274">
        <f t="shared" ref="Q90:R92" si="109">P90</f>
        <v>3</v>
      </c>
      <c r="R90" s="1690">
        <f t="shared" si="109"/>
        <v>3</v>
      </c>
    </row>
    <row r="91" spans="1:18" x14ac:dyDescent="0.2">
      <c r="A91" s="1688" t="s">
        <v>884</v>
      </c>
      <c r="B91" s="1250"/>
      <c r="C91" s="1728" t="s">
        <v>1190</v>
      </c>
      <c r="D91" s="1274"/>
      <c r="E91" s="1274">
        <v>5</v>
      </c>
      <c r="F91" s="1274">
        <f>E91</f>
        <v>5</v>
      </c>
      <c r="G91" s="1274">
        <f t="shared" ref="G91:L91" si="110">F91</f>
        <v>5</v>
      </c>
      <c r="H91" s="1274">
        <f t="shared" si="110"/>
        <v>5</v>
      </c>
      <c r="I91" s="1274">
        <f t="shared" si="110"/>
        <v>5</v>
      </c>
      <c r="J91" s="1274">
        <f t="shared" si="110"/>
        <v>5</v>
      </c>
      <c r="K91" s="1274">
        <f t="shared" si="110"/>
        <v>5</v>
      </c>
      <c r="L91" s="1274">
        <f t="shared" si="110"/>
        <v>5</v>
      </c>
      <c r="M91" s="1274">
        <f t="shared" si="108"/>
        <v>5</v>
      </c>
      <c r="N91" s="728">
        <f t="shared" si="108"/>
        <v>5</v>
      </c>
      <c r="O91" s="1274">
        <f t="shared" si="108"/>
        <v>5</v>
      </c>
      <c r="P91" s="1274">
        <f t="shared" si="108"/>
        <v>5</v>
      </c>
      <c r="Q91" s="1274">
        <f t="shared" si="109"/>
        <v>5</v>
      </c>
      <c r="R91" s="1690">
        <f t="shared" si="109"/>
        <v>5</v>
      </c>
    </row>
    <row r="92" spans="1:18" x14ac:dyDescent="0.2">
      <c r="A92" s="1688" t="s">
        <v>978</v>
      </c>
      <c r="B92" s="1250"/>
      <c r="C92" s="1728" t="s">
        <v>2772</v>
      </c>
      <c r="D92" s="1274"/>
      <c r="E92" s="1274">
        <v>2</v>
      </c>
      <c r="F92" s="1274">
        <f>E92</f>
        <v>2</v>
      </c>
      <c r="G92" s="1274">
        <f t="shared" ref="G92:L92" si="111">F92</f>
        <v>2</v>
      </c>
      <c r="H92" s="1274">
        <f t="shared" si="111"/>
        <v>2</v>
      </c>
      <c r="I92" s="1274">
        <f t="shared" si="111"/>
        <v>2</v>
      </c>
      <c r="J92" s="1274">
        <f t="shared" si="111"/>
        <v>2</v>
      </c>
      <c r="K92" s="1274">
        <f t="shared" si="111"/>
        <v>2</v>
      </c>
      <c r="L92" s="1274">
        <f t="shared" si="111"/>
        <v>2</v>
      </c>
      <c r="M92" s="1274">
        <f t="shared" si="108"/>
        <v>2</v>
      </c>
      <c r="N92" s="728">
        <f t="shared" si="108"/>
        <v>2</v>
      </c>
      <c r="O92" s="1274">
        <f t="shared" si="108"/>
        <v>2</v>
      </c>
      <c r="P92" s="1274">
        <f t="shared" si="108"/>
        <v>2</v>
      </c>
      <c r="Q92" s="1274">
        <f t="shared" si="109"/>
        <v>2</v>
      </c>
      <c r="R92" s="1690">
        <f t="shared" si="109"/>
        <v>2</v>
      </c>
    </row>
    <row r="93" spans="1:18" x14ac:dyDescent="0.2">
      <c r="A93" s="1688"/>
      <c r="B93" s="1250"/>
      <c r="C93" s="1728"/>
      <c r="D93" s="1274"/>
      <c r="E93" s="1274"/>
      <c r="F93" s="1274"/>
      <c r="G93" s="1274"/>
      <c r="H93" s="1274"/>
      <c r="I93" s="1274"/>
      <c r="J93" s="1274"/>
      <c r="K93" s="1274"/>
      <c r="L93" s="1274"/>
      <c r="M93" s="1274"/>
      <c r="N93" s="728"/>
      <c r="O93" s="1274"/>
      <c r="P93" s="1274"/>
      <c r="Q93" s="1274"/>
      <c r="R93" s="1690"/>
    </row>
    <row r="94" spans="1:18" x14ac:dyDescent="0.2">
      <c r="A94" s="1688"/>
      <c r="B94" s="1250"/>
      <c r="C94" s="1728"/>
      <c r="D94" s="1274"/>
      <c r="E94" s="1274"/>
      <c r="F94" s="1274"/>
      <c r="G94" s="1274"/>
      <c r="H94" s="1274"/>
      <c r="I94" s="1274"/>
      <c r="J94" s="1274"/>
      <c r="K94" s="1274"/>
      <c r="L94" s="1274"/>
      <c r="M94" s="1274"/>
      <c r="N94" s="728"/>
      <c r="O94" s="1274"/>
      <c r="P94" s="1274"/>
      <c r="Q94" s="1274"/>
      <c r="R94" s="1690"/>
    </row>
    <row r="95" spans="1:18" x14ac:dyDescent="0.2">
      <c r="A95" s="656" t="s">
        <v>2275</v>
      </c>
      <c r="B95" s="1250"/>
      <c r="C95" s="1728" t="s">
        <v>2019</v>
      </c>
      <c r="D95" s="1274"/>
      <c r="E95" s="1274">
        <v>9</v>
      </c>
      <c r="F95" s="1274">
        <f>E95</f>
        <v>9</v>
      </c>
      <c r="G95" s="1274">
        <f t="shared" ref="G95:L95" si="112">F95</f>
        <v>9</v>
      </c>
      <c r="H95" s="1274">
        <f t="shared" si="112"/>
        <v>9</v>
      </c>
      <c r="I95" s="1274">
        <f t="shared" si="112"/>
        <v>9</v>
      </c>
      <c r="J95" s="1274">
        <f t="shared" si="112"/>
        <v>9</v>
      </c>
      <c r="K95" s="1274">
        <f t="shared" si="112"/>
        <v>9</v>
      </c>
      <c r="L95" s="1274">
        <f t="shared" si="112"/>
        <v>9</v>
      </c>
      <c r="M95" s="1274">
        <f t="shared" ref="M95:R95" si="113">L95</f>
        <v>9</v>
      </c>
      <c r="N95" s="728">
        <f t="shared" si="113"/>
        <v>9</v>
      </c>
      <c r="O95" s="1274">
        <f t="shared" si="113"/>
        <v>9</v>
      </c>
      <c r="P95" s="1274">
        <f t="shared" si="113"/>
        <v>9</v>
      </c>
      <c r="Q95" s="1274">
        <f t="shared" si="113"/>
        <v>9</v>
      </c>
      <c r="R95" s="1690">
        <f t="shared" si="113"/>
        <v>9</v>
      </c>
    </row>
    <row r="96" spans="1:18" x14ac:dyDescent="0.2">
      <c r="A96" s="1688"/>
      <c r="B96" s="1250"/>
      <c r="C96" s="1250"/>
      <c r="D96" s="1274"/>
      <c r="E96" s="1274"/>
      <c r="F96" s="1274"/>
      <c r="G96" s="1274"/>
      <c r="H96" s="1274"/>
      <c r="I96" s="1274"/>
      <c r="J96" s="1274"/>
      <c r="K96" s="1274"/>
      <c r="L96" s="1274"/>
      <c r="M96" s="1274"/>
      <c r="N96" s="728"/>
      <c r="O96" s="1274"/>
      <c r="P96" s="1274"/>
      <c r="Q96" s="1274"/>
      <c r="R96" s="1690"/>
    </row>
    <row r="97" spans="1:18" s="285" customFormat="1" x14ac:dyDescent="0.2">
      <c r="A97" s="656" t="s">
        <v>1504</v>
      </c>
      <c r="B97" s="319"/>
      <c r="C97" s="319"/>
      <c r="D97" s="210"/>
      <c r="E97" s="210">
        <f>SUM(E86:E96)</f>
        <v>25</v>
      </c>
      <c r="F97" s="210">
        <f t="shared" ref="F97:L97" si="114">SUM(F86:F96)</f>
        <v>22</v>
      </c>
      <c r="G97" s="210">
        <f t="shared" si="114"/>
        <v>22</v>
      </c>
      <c r="H97" s="210">
        <f t="shared" si="114"/>
        <v>22</v>
      </c>
      <c r="I97" s="210">
        <f t="shared" si="114"/>
        <v>22</v>
      </c>
      <c r="J97" s="210">
        <f t="shared" si="114"/>
        <v>22</v>
      </c>
      <c r="K97" s="210">
        <f t="shared" si="114"/>
        <v>22</v>
      </c>
      <c r="L97" s="210">
        <f t="shared" si="114"/>
        <v>22</v>
      </c>
      <c r="M97" s="210">
        <f t="shared" ref="M97:R97" si="115">SUM(M86:M96)</f>
        <v>22</v>
      </c>
      <c r="N97" s="440">
        <f t="shared" si="115"/>
        <v>22</v>
      </c>
      <c r="O97" s="210">
        <f t="shared" si="115"/>
        <v>22</v>
      </c>
      <c r="P97" s="210">
        <f t="shared" si="115"/>
        <v>22</v>
      </c>
      <c r="Q97" s="210">
        <f t="shared" si="115"/>
        <v>22</v>
      </c>
      <c r="R97" s="318">
        <f t="shared" si="115"/>
        <v>22</v>
      </c>
    </row>
    <row r="98" spans="1:18" s="542" customFormat="1" x14ac:dyDescent="0.2">
      <c r="A98" s="823"/>
      <c r="B98" s="502"/>
      <c r="C98" s="502"/>
      <c r="D98" s="732"/>
      <c r="E98" s="732"/>
      <c r="F98" s="732"/>
      <c r="G98" s="732"/>
      <c r="H98" s="732"/>
      <c r="I98" s="732"/>
      <c r="J98" s="732"/>
      <c r="K98" s="732"/>
      <c r="L98" s="732"/>
      <c r="M98" s="732"/>
      <c r="N98" s="733"/>
      <c r="O98" s="732"/>
      <c r="P98" s="732"/>
      <c r="Q98" s="732"/>
      <c r="R98" s="734"/>
    </row>
    <row r="99" spans="1:18" s="542" customFormat="1" x14ac:dyDescent="0.2">
      <c r="A99" s="823" t="s">
        <v>4391</v>
      </c>
      <c r="B99" s="502"/>
      <c r="C99" s="502"/>
      <c r="D99" s="732"/>
      <c r="E99" s="732"/>
      <c r="F99" s="732"/>
      <c r="G99" s="732"/>
      <c r="H99" s="732"/>
      <c r="I99" s="732"/>
      <c r="J99" s="732"/>
      <c r="K99" s="732"/>
      <c r="L99" s="732"/>
      <c r="M99" s="732"/>
      <c r="N99" s="733"/>
      <c r="O99" s="732"/>
      <c r="P99" s="732"/>
      <c r="Q99" s="732"/>
      <c r="R99" s="734"/>
    </row>
    <row r="100" spans="1:18" s="542" customFormat="1" x14ac:dyDescent="0.2">
      <c r="A100" s="823" t="s">
        <v>2296</v>
      </c>
      <c r="B100" s="502"/>
      <c r="C100" s="502"/>
      <c r="D100" s="732"/>
      <c r="E100" s="732"/>
      <c r="F100" s="732"/>
      <c r="G100" s="732"/>
      <c r="H100" s="732"/>
      <c r="I100" s="732"/>
      <c r="J100" s="732"/>
      <c r="K100" s="732"/>
      <c r="L100" s="732"/>
      <c r="M100" s="732"/>
      <c r="N100" s="679"/>
      <c r="O100" s="659"/>
      <c r="P100" s="659"/>
      <c r="Q100" s="659"/>
      <c r="R100" s="660"/>
    </row>
    <row r="101" spans="1:18" s="726" customFormat="1" x14ac:dyDescent="0.2">
      <c r="A101" s="655" t="s">
        <v>4386</v>
      </c>
      <c r="B101" s="774"/>
      <c r="C101" s="774"/>
      <c r="D101" s="659">
        <v>266000</v>
      </c>
      <c r="E101" s="659">
        <f>ROUND(D101*Assumptions!E7+D101,-3)</f>
        <v>272000</v>
      </c>
      <c r="F101" s="659">
        <f>ROUND(E101*Assumptions!F7+E101,-3)</f>
        <v>287000</v>
      </c>
      <c r="G101" s="659">
        <f>ROUND(F101*Assumptions!G7+F101,-3)</f>
        <v>302000</v>
      </c>
      <c r="H101" s="659">
        <f>ROUND(G101*Assumptions!H7+G101,-3)</f>
        <v>307000</v>
      </c>
      <c r="I101" s="659">
        <f>ROUND(H101*Assumptions!I7+H101,-3)</f>
        <v>314000</v>
      </c>
      <c r="J101" s="659">
        <f>ROUND(I101*Assumptions!J7+I101,-3)</f>
        <v>322000</v>
      </c>
      <c r="K101" s="659">
        <f>ROUND(J101*Assumptions!K7+J101,-3)</f>
        <v>330000</v>
      </c>
      <c r="L101" s="659">
        <f>ROUND(K101*Assumptions!L7+K101,-3)</f>
        <v>338000</v>
      </c>
      <c r="M101" s="659">
        <f>ROUND(L101*Assumptions!M7+L101,-3)</f>
        <v>346000</v>
      </c>
      <c r="N101" s="679">
        <f>ROUND(M101*Assumptions!N7+M101,-3)</f>
        <v>355000</v>
      </c>
      <c r="O101" s="659">
        <f>ROUND(N101*Assumptions!O7+N101,-3)</f>
        <v>364000</v>
      </c>
      <c r="P101" s="659">
        <f>ROUND(O101*Assumptions!P7+O101,-3)</f>
        <v>373000</v>
      </c>
      <c r="Q101" s="659">
        <f>ROUND(P101*Assumptions!Q7+P101,-3)</f>
        <v>382000</v>
      </c>
      <c r="R101" s="660">
        <f>ROUND(Q101*Assumptions!R7+Q101,-3)</f>
        <v>392000</v>
      </c>
    </row>
    <row r="102" spans="1:18" s="726" customFormat="1" x14ac:dyDescent="0.2">
      <c r="A102" s="823" t="s">
        <v>60</v>
      </c>
      <c r="B102" s="774"/>
      <c r="C102" s="774"/>
      <c r="D102" s="659"/>
      <c r="E102" s="659"/>
      <c r="F102" s="659"/>
      <c r="G102" s="659"/>
      <c r="H102" s="659"/>
      <c r="I102" s="659"/>
      <c r="J102" s="659"/>
      <c r="K102" s="659"/>
      <c r="L102" s="659"/>
      <c r="M102" s="659"/>
      <c r="N102" s="679"/>
      <c r="O102" s="659"/>
      <c r="P102" s="659"/>
      <c r="Q102" s="659"/>
      <c r="R102" s="660"/>
    </row>
    <row r="103" spans="1:18" s="726" customFormat="1" x14ac:dyDescent="0.2">
      <c r="A103" s="655" t="s">
        <v>3526</v>
      </c>
      <c r="B103" s="774"/>
      <c r="C103" s="774"/>
      <c r="D103" s="659">
        <v>4000</v>
      </c>
      <c r="E103" s="659">
        <f>ROUND(D103*Assumptions!E25+D103,-3)</f>
        <v>4000</v>
      </c>
      <c r="F103" s="659">
        <f>ROUND(E103*Assumptions!F25+E103,-3)</f>
        <v>4000</v>
      </c>
      <c r="G103" s="659">
        <f>ROUND(F103*Assumptions!G25+F103,-3)</f>
        <v>4000</v>
      </c>
      <c r="H103" s="659">
        <f>ROUND(G103*Assumptions!H25+G103,-3)</f>
        <v>4000</v>
      </c>
      <c r="I103" s="659">
        <f>ROUND(H103*Assumptions!I25+H103,-3)</f>
        <v>4000</v>
      </c>
      <c r="J103" s="659">
        <f>ROUND(I103*Assumptions!J25+I103,-3)</f>
        <v>4000</v>
      </c>
      <c r="K103" s="659">
        <f>ROUND(J103*Assumptions!K25+J103,-3)</f>
        <v>4000</v>
      </c>
      <c r="L103" s="659">
        <f>ROUND(K103*Assumptions!L25+K103,-3)</f>
        <v>4000</v>
      </c>
      <c r="M103" s="659">
        <f>ROUND(L103*Assumptions!M25+L103,-3)</f>
        <v>4000</v>
      </c>
      <c r="N103" s="679">
        <f>ROUND(M103*Assumptions!N25+M103,-3)</f>
        <v>4000</v>
      </c>
      <c r="O103" s="659">
        <f>ROUND(N103*Assumptions!O25+N103,-3)</f>
        <v>4000</v>
      </c>
      <c r="P103" s="659">
        <f>ROUND(O103*Assumptions!P25+O103,-3)</f>
        <v>4000</v>
      </c>
      <c r="Q103" s="659">
        <f>ROUND(P103*Assumptions!Q25+P103,-3)</f>
        <v>4000</v>
      </c>
      <c r="R103" s="660">
        <f>ROUND(Q103*Assumptions!R25+Q103,-3)</f>
        <v>4000</v>
      </c>
    </row>
    <row r="104" spans="1:18" s="726" customFormat="1" x14ac:dyDescent="0.2">
      <c r="A104" s="655" t="s">
        <v>4389</v>
      </c>
      <c r="B104" s="774"/>
      <c r="C104" s="774"/>
      <c r="D104" s="659">
        <v>37000</v>
      </c>
      <c r="E104" s="659">
        <f>ROUND(D104*Assumptions!E23+D104,-3)</f>
        <v>40000</v>
      </c>
      <c r="F104" s="659">
        <f>ROUND(E104*Assumptions!F23+E104,-3)</f>
        <v>41000</v>
      </c>
      <c r="G104" s="659">
        <f>ROUND(F104*Assumptions!G23+F104,-3)</f>
        <v>42000</v>
      </c>
      <c r="H104" s="659">
        <f>ROUND(G104*Assumptions!H23+G104,-3)</f>
        <v>43000</v>
      </c>
      <c r="I104" s="659">
        <f>ROUND(H104*Assumptions!I23+H104,-3)</f>
        <v>44000</v>
      </c>
      <c r="J104" s="659">
        <f>ROUND(I104*Assumptions!J23+I104,-3)</f>
        <v>45000</v>
      </c>
      <c r="K104" s="659">
        <f>ROUND(J104*Assumptions!K23+J104,-3)</f>
        <v>46000</v>
      </c>
      <c r="L104" s="659">
        <f>ROUND(K104*Assumptions!L23+K104,-3)</f>
        <v>47000</v>
      </c>
      <c r="M104" s="659">
        <f>ROUND(L104*Assumptions!M23+L104,-3)</f>
        <v>48000</v>
      </c>
      <c r="N104" s="679">
        <f>ROUND(M104*Assumptions!N23+M104,-3)</f>
        <v>49000</v>
      </c>
      <c r="O104" s="659">
        <f>ROUND(N104*Assumptions!O23+N104,-3)</f>
        <v>50000</v>
      </c>
      <c r="P104" s="659">
        <f>ROUND(O104*Assumptions!P23+O104,-3)</f>
        <v>51000</v>
      </c>
      <c r="Q104" s="659">
        <f>ROUND(P104*Assumptions!Q23+P104,-3)</f>
        <v>52000</v>
      </c>
      <c r="R104" s="660">
        <f>ROUND(Q104*Assumptions!R23+Q104,-3)</f>
        <v>53000</v>
      </c>
    </row>
    <row r="105" spans="1:18" s="726" customFormat="1" x14ac:dyDescent="0.2">
      <c r="A105" s="655" t="s">
        <v>4437</v>
      </c>
      <c r="B105" s="774"/>
      <c r="C105" s="774"/>
      <c r="D105" s="659">
        <v>269000</v>
      </c>
      <c r="E105" s="659"/>
      <c r="F105" s="659"/>
      <c r="G105" s="659"/>
      <c r="H105" s="659"/>
      <c r="I105" s="659"/>
      <c r="J105" s="659"/>
      <c r="K105" s="659"/>
      <c r="L105" s="659"/>
      <c r="M105" s="659"/>
      <c r="N105" s="679"/>
      <c r="O105" s="659"/>
      <c r="P105" s="659"/>
      <c r="Q105" s="659"/>
      <c r="R105" s="660"/>
    </row>
    <row r="106" spans="1:18" s="726" customFormat="1" x14ac:dyDescent="0.2">
      <c r="A106" s="655" t="s">
        <v>4388</v>
      </c>
      <c r="B106" s="774"/>
      <c r="C106" s="774"/>
      <c r="D106" s="659">
        <v>234000</v>
      </c>
      <c r="E106" s="659">
        <f>ROUND(D106*Assumptions!E51+D106,-3)</f>
        <v>257000</v>
      </c>
      <c r="F106" s="659">
        <f>ROUND(E106*Assumptions!F51+E106,-3)</f>
        <v>275000</v>
      </c>
      <c r="G106" s="659">
        <f>ROUND(F106*Assumptions!G51+F106,-3)</f>
        <v>294000</v>
      </c>
      <c r="H106" s="659">
        <f>ROUND(G106*Assumptions!H51+G106,-3)</f>
        <v>303000</v>
      </c>
      <c r="I106" s="659">
        <f>ROUND(H106*Assumptions!I51+H106,-3)</f>
        <v>311000</v>
      </c>
      <c r="J106" s="659">
        <f>ROUND(I106*Assumptions!J51+I106,-3)</f>
        <v>319000</v>
      </c>
      <c r="K106" s="659">
        <f>ROUND(J106*Assumptions!K51+J106,-3)</f>
        <v>327000</v>
      </c>
      <c r="L106" s="659">
        <f>ROUND(K106*Assumptions!L51+K106,-3)</f>
        <v>335000</v>
      </c>
      <c r="M106" s="659">
        <f>ROUND(L106*Assumptions!M51+L106,-3)</f>
        <v>343000</v>
      </c>
      <c r="N106" s="679">
        <f>ROUND(M106*Assumptions!N51+M106,-3)</f>
        <v>352000</v>
      </c>
      <c r="O106" s="659">
        <f>ROUND(N106*Assumptions!O51+N106,-3)</f>
        <v>361000</v>
      </c>
      <c r="P106" s="659">
        <f>ROUND(O106*Assumptions!P51+O106,-3)</f>
        <v>370000</v>
      </c>
      <c r="Q106" s="659">
        <f>ROUND(P106*Assumptions!Q51+P106,-3)</f>
        <v>379000</v>
      </c>
      <c r="R106" s="660">
        <f>ROUND(Q106*Assumptions!R51+Q106,-3)</f>
        <v>388000</v>
      </c>
    </row>
    <row r="107" spans="1:18" s="726" customFormat="1" x14ac:dyDescent="0.2">
      <c r="A107" s="655" t="s">
        <v>4387</v>
      </c>
      <c r="B107" s="774"/>
      <c r="C107" s="774"/>
      <c r="D107" s="659">
        <v>2000</v>
      </c>
      <c r="E107" s="659">
        <f>ROUND(D107*Assumptions!E64+D107,-3)</f>
        <v>2000</v>
      </c>
      <c r="F107" s="659">
        <f>ROUND(E107*Assumptions!F64+E107,-3)</f>
        <v>2000</v>
      </c>
      <c r="G107" s="659">
        <f>ROUND(F107*Assumptions!G64+F107,-3)</f>
        <v>2000</v>
      </c>
      <c r="H107" s="659">
        <f>ROUND(G107*Assumptions!H64+G107,-3)</f>
        <v>2000</v>
      </c>
      <c r="I107" s="659">
        <f>ROUND(H107*Assumptions!I64+H107,-3)</f>
        <v>2000</v>
      </c>
      <c r="J107" s="659">
        <f>ROUND(I107*Assumptions!J64+I107,-3)</f>
        <v>2000</v>
      </c>
      <c r="K107" s="659">
        <f>ROUND(J107*Assumptions!K64+J107,-3)</f>
        <v>2000</v>
      </c>
      <c r="L107" s="659">
        <f>ROUND(K107*Assumptions!L64+K107,-3)</f>
        <v>2000</v>
      </c>
      <c r="M107" s="659">
        <f>ROUND(L107*Assumptions!M64+L107,-3)</f>
        <v>2000</v>
      </c>
      <c r="N107" s="679">
        <f>ROUND(M107*Assumptions!N64+M107,-3)</f>
        <v>2000</v>
      </c>
      <c r="O107" s="659">
        <f>ROUND(N107*Assumptions!O64+N107,-3)</f>
        <v>2000</v>
      </c>
      <c r="P107" s="659">
        <f>ROUND(O107*Assumptions!P64+O107,-3)</f>
        <v>2000</v>
      </c>
      <c r="Q107" s="659">
        <f>ROUND(P107*Assumptions!Q64+P107,-3)</f>
        <v>2000</v>
      </c>
      <c r="R107" s="660">
        <f>ROUND(Q107*Assumptions!R64+Q107,-3)</f>
        <v>2000</v>
      </c>
    </row>
    <row r="108" spans="1:18" s="573" customFormat="1" x14ac:dyDescent="0.2">
      <c r="A108" s="823" t="s">
        <v>4694</v>
      </c>
      <c r="B108" s="502"/>
      <c r="C108" s="502"/>
      <c r="D108" s="732">
        <f>SUM(D101:D107)</f>
        <v>812000</v>
      </c>
      <c r="E108" s="732">
        <f t="shared" ref="E108:O108" si="116">SUM(E101:E107)</f>
        <v>575000</v>
      </c>
      <c r="F108" s="732">
        <f t="shared" si="116"/>
        <v>609000</v>
      </c>
      <c r="G108" s="732">
        <f t="shared" si="116"/>
        <v>644000</v>
      </c>
      <c r="H108" s="732">
        <f t="shared" si="116"/>
        <v>659000</v>
      </c>
      <c r="I108" s="732">
        <f t="shared" si="116"/>
        <v>675000</v>
      </c>
      <c r="J108" s="732">
        <f t="shared" si="116"/>
        <v>692000</v>
      </c>
      <c r="K108" s="732">
        <f t="shared" si="116"/>
        <v>709000</v>
      </c>
      <c r="L108" s="732">
        <f t="shared" si="116"/>
        <v>726000</v>
      </c>
      <c r="M108" s="732">
        <f t="shared" si="116"/>
        <v>743000</v>
      </c>
      <c r="N108" s="733">
        <f t="shared" si="116"/>
        <v>762000</v>
      </c>
      <c r="O108" s="732">
        <f t="shared" si="116"/>
        <v>781000</v>
      </c>
      <c r="P108" s="732">
        <f t="shared" ref="P108" si="117">SUM(P101:P107)</f>
        <v>800000</v>
      </c>
      <c r="Q108" s="732">
        <f t="shared" ref="Q108:R108" si="118">SUM(Q101:Q107)</f>
        <v>819000</v>
      </c>
      <c r="R108" s="734">
        <f t="shared" si="118"/>
        <v>839000</v>
      </c>
    </row>
    <row r="109" spans="1:18" s="573" customFormat="1" x14ac:dyDescent="0.2">
      <c r="A109" s="823"/>
      <c r="B109" s="502"/>
      <c r="C109" s="502"/>
      <c r="D109" s="732"/>
      <c r="E109" s="732"/>
      <c r="F109" s="732"/>
      <c r="G109" s="732"/>
      <c r="H109" s="732"/>
      <c r="I109" s="732"/>
      <c r="J109" s="732"/>
      <c r="K109" s="732"/>
      <c r="L109" s="732"/>
      <c r="M109" s="732"/>
      <c r="N109" s="733"/>
      <c r="O109" s="732"/>
      <c r="P109" s="732"/>
      <c r="Q109" s="732"/>
      <c r="R109" s="734"/>
    </row>
    <row r="110" spans="1:18" s="573" customFormat="1" x14ac:dyDescent="0.2">
      <c r="A110" s="823" t="s">
        <v>823</v>
      </c>
      <c r="B110" s="502"/>
      <c r="C110" s="502"/>
      <c r="D110" s="732"/>
      <c r="E110" s="732"/>
      <c r="F110" s="732"/>
      <c r="G110" s="732"/>
      <c r="H110" s="732"/>
      <c r="I110" s="732"/>
      <c r="J110" s="732"/>
      <c r="K110" s="732"/>
      <c r="L110" s="732"/>
      <c r="M110" s="732"/>
      <c r="N110" s="733"/>
      <c r="O110" s="732"/>
      <c r="P110" s="732"/>
      <c r="Q110" s="732"/>
      <c r="R110" s="734"/>
    </row>
    <row r="111" spans="1:18" s="726" customFormat="1" x14ac:dyDescent="0.2">
      <c r="A111" s="655" t="s">
        <v>4404</v>
      </c>
      <c r="B111" s="774"/>
      <c r="C111" s="774"/>
      <c r="D111" s="659">
        <v>289000</v>
      </c>
      <c r="E111" s="659">
        <f>ROUND(D111*Assumptions!E65+D111,-3)</f>
        <v>306000</v>
      </c>
      <c r="F111" s="659">
        <f>ROUND(E111*Assumptions!F65+E111,-3)</f>
        <v>315000</v>
      </c>
      <c r="G111" s="659">
        <f>ROUND(F111*Assumptions!G65+F111,-3)</f>
        <v>324000</v>
      </c>
      <c r="H111" s="659">
        <f>ROUND(G111*Assumptions!H65+G111,-3)</f>
        <v>330000</v>
      </c>
      <c r="I111" s="659">
        <f>ROUND(H111*Assumptions!I65+H111,-3)</f>
        <v>338000</v>
      </c>
      <c r="J111" s="659">
        <f>ROUND(I111*Assumptions!J65+I111,-3)</f>
        <v>346000</v>
      </c>
      <c r="K111" s="659">
        <f>ROUND(J111*Assumptions!K65+J111,-3)</f>
        <v>355000</v>
      </c>
      <c r="L111" s="659">
        <f>ROUND(K111*Assumptions!L65+K111,-3)</f>
        <v>366000</v>
      </c>
      <c r="M111" s="659">
        <f>ROUND(L111*Assumptions!M65+L111,-3)</f>
        <v>377000</v>
      </c>
      <c r="N111" s="679">
        <f>ROUND(M111*Assumptions!N65+M111,-3)</f>
        <v>388000</v>
      </c>
      <c r="O111" s="659">
        <f>ROUND(N111*Assumptions!O65+N111,-3)</f>
        <v>400000</v>
      </c>
      <c r="P111" s="659">
        <f>ROUND(O111*Assumptions!P65+O111,-3)</f>
        <v>412000</v>
      </c>
      <c r="Q111" s="659">
        <f>ROUND(P111*Assumptions!Q65+P111,-3)</f>
        <v>424000</v>
      </c>
      <c r="R111" s="660">
        <f>ROUND(Q111*Assumptions!R65+Q111,-3)</f>
        <v>437000</v>
      </c>
    </row>
    <row r="112" spans="1:18" s="573" customFormat="1" x14ac:dyDescent="0.2">
      <c r="A112" s="823"/>
      <c r="B112" s="502"/>
      <c r="C112" s="502"/>
      <c r="D112" s="732"/>
      <c r="E112" s="732"/>
      <c r="F112" s="732"/>
      <c r="G112" s="732"/>
      <c r="H112" s="732"/>
      <c r="I112" s="732"/>
      <c r="J112" s="732"/>
      <c r="K112" s="732"/>
      <c r="L112" s="732"/>
      <c r="M112" s="732"/>
      <c r="N112" s="733"/>
      <c r="O112" s="732"/>
      <c r="P112" s="732"/>
      <c r="Q112" s="732"/>
      <c r="R112" s="734"/>
    </row>
    <row r="113" spans="1:18" s="573" customFormat="1" x14ac:dyDescent="0.2">
      <c r="A113" s="823" t="s">
        <v>2668</v>
      </c>
      <c r="B113" s="502"/>
      <c r="C113" s="502"/>
      <c r="D113" s="732"/>
      <c r="E113" s="732"/>
      <c r="F113" s="732"/>
      <c r="G113" s="732"/>
      <c r="H113" s="732"/>
      <c r="I113" s="732"/>
      <c r="J113" s="732"/>
      <c r="K113" s="732"/>
      <c r="L113" s="732"/>
      <c r="M113" s="732"/>
      <c r="N113" s="733"/>
      <c r="O113" s="732"/>
      <c r="P113" s="732"/>
      <c r="Q113" s="732"/>
      <c r="R113" s="734"/>
    </row>
    <row r="114" spans="1:18" s="726" customFormat="1" x14ac:dyDescent="0.2">
      <c r="A114" s="655" t="s">
        <v>4431</v>
      </c>
      <c r="B114" s="774"/>
      <c r="C114" s="774"/>
      <c r="D114" s="659">
        <v>71000</v>
      </c>
      <c r="E114" s="659">
        <f>'Cap Inc'!A25</f>
        <v>103800</v>
      </c>
      <c r="F114" s="659">
        <f>'Cap Inc'!B25</f>
        <v>330000</v>
      </c>
      <c r="G114" s="659">
        <v>106400</v>
      </c>
      <c r="H114" s="659">
        <f>'Cap Inc'!F25</f>
        <v>107900</v>
      </c>
      <c r="I114" s="659">
        <f>'Cap Inc'!G25</f>
        <v>109900</v>
      </c>
      <c r="J114" s="659">
        <f>'Cap Inc'!H25</f>
        <v>112100</v>
      </c>
      <c r="K114" s="659">
        <f>'Cap Inc'!I25</f>
        <v>114400</v>
      </c>
      <c r="L114" s="659">
        <f>'Cap Inc'!J25</f>
        <v>116800</v>
      </c>
      <c r="M114" s="659">
        <f>'Cap Inc'!K25</f>
        <v>119200</v>
      </c>
      <c r="N114" s="679">
        <f>'Cap Inc'!L25</f>
        <v>121600</v>
      </c>
      <c r="O114" s="659">
        <f>'Cap Inc'!M25</f>
        <v>124200</v>
      </c>
      <c r="P114" s="659">
        <f>'Cap Inc'!N25</f>
        <v>126800</v>
      </c>
      <c r="Q114" s="659">
        <f>'Cap Inc'!O25</f>
        <v>129400</v>
      </c>
      <c r="R114" s="660">
        <f>'Cap Inc'!P25</f>
        <v>132200</v>
      </c>
    </row>
    <row r="115" spans="1:18" s="726" customFormat="1" x14ac:dyDescent="0.2">
      <c r="A115" s="655" t="s">
        <v>4432</v>
      </c>
      <c r="B115" s="774"/>
      <c r="C115" s="774"/>
      <c r="D115" s="659">
        <v>60000</v>
      </c>
      <c r="E115" s="659"/>
      <c r="F115" s="659"/>
      <c r="G115" s="659"/>
      <c r="H115" s="659"/>
      <c r="I115" s="659"/>
      <c r="J115" s="659"/>
      <c r="K115" s="659"/>
      <c r="L115" s="659"/>
      <c r="M115" s="659"/>
      <c r="N115" s="679"/>
      <c r="O115" s="659"/>
      <c r="P115" s="659"/>
      <c r="Q115" s="659"/>
      <c r="R115" s="660"/>
    </row>
    <row r="116" spans="1:18" s="726" customFormat="1" x14ac:dyDescent="0.2">
      <c r="A116" s="655" t="s">
        <v>4433</v>
      </c>
      <c r="B116" s="774"/>
      <c r="C116" s="774"/>
      <c r="D116" s="659">
        <v>40000</v>
      </c>
      <c r="E116" s="659"/>
      <c r="F116" s="659"/>
      <c r="G116" s="659"/>
      <c r="H116" s="659"/>
      <c r="I116" s="659"/>
      <c r="J116" s="659"/>
      <c r="K116" s="659"/>
      <c r="L116" s="659"/>
      <c r="M116" s="659"/>
      <c r="N116" s="679"/>
      <c r="O116" s="659"/>
      <c r="P116" s="659"/>
      <c r="Q116" s="659"/>
      <c r="R116" s="660"/>
    </row>
    <row r="117" spans="1:18" s="573" customFormat="1" x14ac:dyDescent="0.2">
      <c r="A117" s="823" t="s">
        <v>4434</v>
      </c>
      <c r="B117" s="502"/>
      <c r="C117" s="502"/>
      <c r="D117" s="732">
        <f t="shared" ref="D117:O117" si="119">SUM(D114:D116)</f>
        <v>171000</v>
      </c>
      <c r="E117" s="732">
        <f t="shared" si="119"/>
        <v>103800</v>
      </c>
      <c r="F117" s="732">
        <f t="shared" si="119"/>
        <v>330000</v>
      </c>
      <c r="G117" s="732">
        <f t="shared" si="119"/>
        <v>106400</v>
      </c>
      <c r="H117" s="732">
        <f t="shared" si="119"/>
        <v>107900</v>
      </c>
      <c r="I117" s="732">
        <f t="shared" si="119"/>
        <v>109900</v>
      </c>
      <c r="J117" s="732">
        <f t="shared" si="119"/>
        <v>112100</v>
      </c>
      <c r="K117" s="732">
        <f t="shared" si="119"/>
        <v>114400</v>
      </c>
      <c r="L117" s="732">
        <f t="shared" si="119"/>
        <v>116800</v>
      </c>
      <c r="M117" s="732">
        <f t="shared" si="119"/>
        <v>119200</v>
      </c>
      <c r="N117" s="733">
        <f t="shared" si="119"/>
        <v>121600</v>
      </c>
      <c r="O117" s="732">
        <f t="shared" si="119"/>
        <v>124200</v>
      </c>
      <c r="P117" s="732">
        <f t="shared" ref="P117" si="120">SUM(P114:P116)</f>
        <v>126800</v>
      </c>
      <c r="Q117" s="732">
        <f t="shared" ref="Q117:R117" si="121">SUM(Q114:Q116)</f>
        <v>129400</v>
      </c>
      <c r="R117" s="734">
        <f t="shared" si="121"/>
        <v>132200</v>
      </c>
    </row>
    <row r="118" spans="1:18" s="573" customFormat="1" x14ac:dyDescent="0.2">
      <c r="A118" s="823"/>
      <c r="B118" s="502"/>
      <c r="C118" s="502"/>
      <c r="D118" s="732"/>
      <c r="E118" s="732"/>
      <c r="F118" s="732"/>
      <c r="G118" s="732"/>
      <c r="H118" s="732"/>
      <c r="I118" s="732"/>
      <c r="J118" s="732"/>
      <c r="K118" s="732"/>
      <c r="L118" s="732"/>
      <c r="M118" s="732"/>
      <c r="N118" s="733"/>
      <c r="O118" s="732"/>
      <c r="P118" s="732"/>
      <c r="Q118" s="732"/>
      <c r="R118" s="734"/>
    </row>
    <row r="119" spans="1:18" s="573" customFormat="1" x14ac:dyDescent="0.2">
      <c r="A119" s="823" t="s">
        <v>4693</v>
      </c>
      <c r="B119" s="502"/>
      <c r="C119" s="502"/>
      <c r="D119" s="732">
        <f t="shared" ref="D119:O119" si="122">D117+D111+D108</f>
        <v>1272000</v>
      </c>
      <c r="E119" s="732">
        <f t="shared" si="122"/>
        <v>984800</v>
      </c>
      <c r="F119" s="732">
        <f t="shared" si="122"/>
        <v>1254000</v>
      </c>
      <c r="G119" s="732">
        <f t="shared" si="122"/>
        <v>1074400</v>
      </c>
      <c r="H119" s="732">
        <f t="shared" si="122"/>
        <v>1096900</v>
      </c>
      <c r="I119" s="732">
        <f t="shared" si="122"/>
        <v>1122900</v>
      </c>
      <c r="J119" s="732">
        <f t="shared" si="122"/>
        <v>1150100</v>
      </c>
      <c r="K119" s="732">
        <f t="shared" si="122"/>
        <v>1178400</v>
      </c>
      <c r="L119" s="732">
        <f t="shared" si="122"/>
        <v>1208800</v>
      </c>
      <c r="M119" s="732">
        <f t="shared" si="122"/>
        <v>1239200</v>
      </c>
      <c r="N119" s="733">
        <f t="shared" si="122"/>
        <v>1271600</v>
      </c>
      <c r="O119" s="732">
        <f t="shared" si="122"/>
        <v>1305200</v>
      </c>
      <c r="P119" s="732">
        <f t="shared" ref="P119" si="123">P117+P111+P108</f>
        <v>1338800</v>
      </c>
      <c r="Q119" s="732">
        <f t="shared" ref="Q119:R119" si="124">Q117+Q111+Q108</f>
        <v>1372400</v>
      </c>
      <c r="R119" s="734">
        <f t="shared" si="124"/>
        <v>1408200</v>
      </c>
    </row>
    <row r="120" spans="1:18" s="573" customFormat="1" x14ac:dyDescent="0.2">
      <c r="A120" s="823"/>
      <c r="B120" s="502"/>
      <c r="C120" s="502"/>
      <c r="D120" s="732"/>
      <c r="E120" s="732"/>
      <c r="F120" s="732"/>
      <c r="G120" s="732"/>
      <c r="H120" s="732"/>
      <c r="I120" s="732"/>
      <c r="J120" s="732"/>
      <c r="K120" s="732"/>
      <c r="L120" s="732"/>
      <c r="M120" s="732"/>
      <c r="N120" s="733"/>
      <c r="O120" s="732"/>
      <c r="P120" s="732"/>
      <c r="Q120" s="732"/>
      <c r="R120" s="734"/>
    </row>
    <row r="121" spans="1:18" s="573" customFormat="1" x14ac:dyDescent="0.2">
      <c r="A121" s="823" t="s">
        <v>4275</v>
      </c>
      <c r="B121" s="502"/>
      <c r="C121" s="502"/>
      <c r="D121" s="732"/>
      <c r="E121" s="732"/>
      <c r="F121" s="732"/>
      <c r="G121" s="732"/>
      <c r="H121" s="732"/>
      <c r="I121" s="732"/>
      <c r="J121" s="732"/>
      <c r="K121" s="732"/>
      <c r="L121" s="732"/>
      <c r="M121" s="732"/>
      <c r="N121" s="733"/>
      <c r="O121" s="732"/>
      <c r="P121" s="732"/>
      <c r="Q121" s="732"/>
      <c r="R121" s="734"/>
    </row>
    <row r="122" spans="1:18" s="726" customFormat="1" x14ac:dyDescent="0.2">
      <c r="A122" s="655" t="s">
        <v>1649</v>
      </c>
      <c r="B122" s="774"/>
      <c r="C122" s="774"/>
      <c r="D122" s="659">
        <v>333000</v>
      </c>
      <c r="E122" s="659"/>
      <c r="F122" s="659"/>
      <c r="G122" s="659"/>
      <c r="H122" s="659"/>
      <c r="I122" s="659"/>
      <c r="J122" s="659"/>
      <c r="K122" s="659"/>
      <c r="L122" s="659"/>
      <c r="M122" s="659"/>
      <c r="N122" s="679"/>
      <c r="O122" s="659"/>
      <c r="P122" s="659"/>
      <c r="Q122" s="659"/>
      <c r="R122" s="660"/>
    </row>
    <row r="123" spans="1:18" s="726" customFormat="1" ht="13.5" thickBot="1" x14ac:dyDescent="0.25">
      <c r="A123" s="676"/>
      <c r="B123" s="941"/>
      <c r="C123" s="941"/>
      <c r="D123" s="677"/>
      <c r="E123" s="677"/>
      <c r="F123" s="677"/>
      <c r="G123" s="677"/>
      <c r="H123" s="677"/>
      <c r="I123" s="677"/>
      <c r="J123" s="677"/>
      <c r="K123" s="677"/>
      <c r="L123" s="677"/>
      <c r="M123" s="677"/>
      <c r="N123" s="965"/>
      <c r="O123" s="677"/>
      <c r="P123" s="677"/>
      <c r="Q123" s="677"/>
      <c r="R123" s="678"/>
    </row>
    <row r="124" spans="1:18" ht="13.5" thickTop="1" x14ac:dyDescent="0.2">
      <c r="A124" s="1729"/>
      <c r="B124" s="1722"/>
      <c r="C124" s="1723"/>
      <c r="D124" s="1280"/>
      <c r="E124" s="1722"/>
      <c r="F124" s="1280"/>
      <c r="G124" s="1280"/>
      <c r="H124" s="1280"/>
      <c r="I124" s="1280"/>
      <c r="J124" s="1280"/>
      <c r="K124" s="1280"/>
      <c r="L124" s="1280"/>
      <c r="M124" s="1280"/>
      <c r="N124" s="1280"/>
      <c r="O124" s="1280"/>
      <c r="P124" s="1280"/>
      <c r="Q124" s="1280"/>
      <c r="R124" s="1724"/>
    </row>
    <row r="125" spans="1:18" x14ac:dyDescent="0.2">
      <c r="A125" s="823" t="s">
        <v>1784</v>
      </c>
      <c r="B125" s="1250"/>
      <c r="C125" s="1726"/>
      <c r="D125" s="1281"/>
      <c r="E125" s="1250"/>
      <c r="F125" s="1281"/>
      <c r="G125" s="1281"/>
      <c r="H125" s="1281"/>
      <c r="I125" s="1281"/>
      <c r="J125" s="1281"/>
      <c r="K125" s="1281"/>
      <c r="L125" s="1281"/>
      <c r="M125" s="1281"/>
      <c r="N125" s="1281"/>
      <c r="O125" s="1281"/>
      <c r="P125" s="1281"/>
      <c r="Q125" s="1281"/>
      <c r="R125" s="1727"/>
    </row>
    <row r="126" spans="1:18" x14ac:dyDescent="0.2">
      <c r="A126" s="655" t="s">
        <v>1156</v>
      </c>
      <c r="B126" s="1250"/>
      <c r="C126" s="1726"/>
      <c r="D126" s="2243"/>
      <c r="E126" s="1730">
        <v>859</v>
      </c>
      <c r="F126" s="1106">
        <f t="shared" ref="F126:P126" si="125">E126*(F7+F9)+E126</f>
        <v>905.47190000000001</v>
      </c>
      <c r="G126" s="1106">
        <f t="shared" si="125"/>
        <v>953.82409945999996</v>
      </c>
      <c r="H126" s="1106">
        <f t="shared" si="125"/>
        <v>1000.56148033354</v>
      </c>
      <c r="I126" s="1106">
        <f t="shared" si="125"/>
        <v>989.55530404987098</v>
      </c>
      <c r="J126" s="1106">
        <f t="shared" si="125"/>
        <v>1014.2941866511178</v>
      </c>
      <c r="K126" s="1106">
        <f t="shared" si="125"/>
        <v>1039.6515413173956</v>
      </c>
      <c r="L126" s="1106">
        <f t="shared" si="125"/>
        <v>1065.6428298503306</v>
      </c>
      <c r="M126" s="1106">
        <f t="shared" si="125"/>
        <v>1092.2839005965889</v>
      </c>
      <c r="N126" s="1106">
        <f t="shared" si="125"/>
        <v>1119.5909981115035</v>
      </c>
      <c r="O126" s="1106">
        <f t="shared" si="125"/>
        <v>1147.5807730642912</v>
      </c>
      <c r="P126" s="1106">
        <f t="shared" si="125"/>
        <v>1176.2702923908985</v>
      </c>
      <c r="Q126" s="1106">
        <f>P126*(Q7+Q9)+P126</f>
        <v>1205.677049700671</v>
      </c>
      <c r="R126" s="1107">
        <f>Q126*(R7+R9)+Q126</f>
        <v>1235.8189759431878</v>
      </c>
    </row>
    <row r="127" spans="1:18" x14ac:dyDescent="0.2">
      <c r="A127" s="655" t="s">
        <v>4912</v>
      </c>
      <c r="B127" s="1250"/>
      <c r="C127" s="1726"/>
      <c r="D127" s="2243">
        <f>E127/E$126*100</f>
        <v>125.37834691501746</v>
      </c>
      <c r="E127" s="1730">
        <v>1077</v>
      </c>
      <c r="F127" s="1106">
        <f>E127*F$5+E127</f>
        <v>1102.848</v>
      </c>
      <c r="G127" s="1106">
        <f t="shared" ref="G127:P127" si="126">F127*G$5+F127</f>
        <v>1124.9049599999998</v>
      </c>
      <c r="H127" s="1106">
        <f t="shared" si="126"/>
        <v>1141.7785343999999</v>
      </c>
      <c r="I127" s="1106">
        <f t="shared" si="126"/>
        <v>1168.0394406911998</v>
      </c>
      <c r="J127" s="1106">
        <f t="shared" si="126"/>
        <v>1197.2404267084798</v>
      </c>
      <c r="K127" s="1106">
        <f t="shared" si="126"/>
        <v>1227.1714373761918</v>
      </c>
      <c r="L127" s="1106">
        <f t="shared" si="126"/>
        <v>1257.8507233105965</v>
      </c>
      <c r="M127" s="1106">
        <f t="shared" si="126"/>
        <v>1289.2969913933614</v>
      </c>
      <c r="N127" s="1106">
        <f t="shared" si="126"/>
        <v>1321.5294161781953</v>
      </c>
      <c r="O127" s="1106">
        <f t="shared" si="126"/>
        <v>1354.5676515826501</v>
      </c>
      <c r="P127" s="1106">
        <f t="shared" si="126"/>
        <v>1388.4318428722163</v>
      </c>
      <c r="Q127" s="1106">
        <f t="shared" ref="Q127:R131" si="127">P127*Q$5+P127</f>
        <v>1423.1426389440217</v>
      </c>
      <c r="R127" s="1107">
        <f t="shared" si="127"/>
        <v>1458.7212049176221</v>
      </c>
    </row>
    <row r="128" spans="1:18" x14ac:dyDescent="0.2">
      <c r="A128" s="655" t="s">
        <v>4913</v>
      </c>
      <c r="B128" s="1250"/>
      <c r="C128" s="1726"/>
      <c r="D128" s="2243">
        <f t="shared" ref="D128:D131" si="128">E128/E$126*100</f>
        <v>117.11292200232828</v>
      </c>
      <c r="E128" s="1730">
        <v>1006</v>
      </c>
      <c r="F128" s="1106">
        <f t="shared" ref="F128:P131" si="129">E128*F$5+E128</f>
        <v>1030.144</v>
      </c>
      <c r="G128" s="1106">
        <f t="shared" si="129"/>
        <v>1050.7468799999999</v>
      </c>
      <c r="H128" s="1106">
        <f t="shared" si="129"/>
        <v>1066.5080831999999</v>
      </c>
      <c r="I128" s="1106">
        <f t="shared" si="129"/>
        <v>1091.0377691135998</v>
      </c>
      <c r="J128" s="1106">
        <f t="shared" si="129"/>
        <v>1118.3137133414398</v>
      </c>
      <c r="K128" s="1106">
        <f t="shared" si="129"/>
        <v>1146.2715561749758</v>
      </c>
      <c r="L128" s="1106">
        <f t="shared" si="129"/>
        <v>1174.9283450793503</v>
      </c>
      <c r="M128" s="1106">
        <f t="shared" si="129"/>
        <v>1204.3015537063341</v>
      </c>
      <c r="N128" s="1106">
        <f t="shared" si="129"/>
        <v>1234.4090925489925</v>
      </c>
      <c r="O128" s="1106">
        <f t="shared" si="129"/>
        <v>1265.2693198627173</v>
      </c>
      <c r="P128" s="1106">
        <f t="shared" si="129"/>
        <v>1296.9010528592853</v>
      </c>
      <c r="Q128" s="1106">
        <f t="shared" si="127"/>
        <v>1329.3235791807674</v>
      </c>
      <c r="R128" s="1107">
        <f t="shared" si="127"/>
        <v>1362.5566686602865</v>
      </c>
    </row>
    <row r="129" spans="1:18" x14ac:dyDescent="0.2">
      <c r="A129" s="655" t="s">
        <v>4914</v>
      </c>
      <c r="B129" s="1250"/>
      <c r="C129" s="1726"/>
      <c r="D129" s="2243">
        <f t="shared" si="128"/>
        <v>132.01396973224681</v>
      </c>
      <c r="E129" s="1731">
        <v>1134</v>
      </c>
      <c r="F129" s="1106">
        <f t="shared" si="129"/>
        <v>1161.2159999999999</v>
      </c>
      <c r="G129" s="1106">
        <f t="shared" si="129"/>
        <v>1184.4403199999999</v>
      </c>
      <c r="H129" s="1106">
        <f t="shared" si="129"/>
        <v>1202.2069248</v>
      </c>
      <c r="I129" s="1106">
        <f t="shared" si="129"/>
        <v>1229.8576840704</v>
      </c>
      <c r="J129" s="1106">
        <f t="shared" si="129"/>
        <v>1260.60412617216</v>
      </c>
      <c r="K129" s="1106">
        <f t="shared" si="129"/>
        <v>1292.1192293264639</v>
      </c>
      <c r="L129" s="1106">
        <f t="shared" si="129"/>
        <v>1324.4222100596255</v>
      </c>
      <c r="M129" s="1106">
        <f t="shared" si="129"/>
        <v>1357.5327653111162</v>
      </c>
      <c r="N129" s="1106">
        <f t="shared" si="129"/>
        <v>1391.4710844438941</v>
      </c>
      <c r="O129" s="1106">
        <f t="shared" si="129"/>
        <v>1426.2578615549915</v>
      </c>
      <c r="P129" s="1106">
        <f t="shared" si="129"/>
        <v>1461.9143080938663</v>
      </c>
      <c r="Q129" s="1106">
        <f t="shared" si="127"/>
        <v>1498.462165796213</v>
      </c>
      <c r="R129" s="1107">
        <f t="shared" si="127"/>
        <v>1535.9237199411182</v>
      </c>
    </row>
    <row r="130" spans="1:18" x14ac:dyDescent="0.2">
      <c r="A130" s="655" t="s">
        <v>4916</v>
      </c>
      <c r="B130" s="1250"/>
      <c r="C130" s="1726"/>
      <c r="D130" s="2243">
        <f t="shared" si="128"/>
        <v>91.385331781140863</v>
      </c>
      <c r="E130" s="1731">
        <v>785</v>
      </c>
      <c r="F130" s="1106">
        <f>E130*0.05+E130</f>
        <v>824.25</v>
      </c>
      <c r="G130" s="1106">
        <f t="shared" ref="G130:I130" si="130">F130*0.05+F130</f>
        <v>865.46249999999998</v>
      </c>
      <c r="H130" s="1106">
        <f t="shared" si="130"/>
        <v>908.73562500000003</v>
      </c>
      <c r="I130" s="1106">
        <f t="shared" si="130"/>
        <v>954.17240624999999</v>
      </c>
      <c r="J130" s="1106">
        <f t="shared" si="129"/>
        <v>978.02671640624999</v>
      </c>
      <c r="K130" s="1106">
        <f t="shared" si="129"/>
        <v>1002.4773843164062</v>
      </c>
      <c r="L130" s="1106">
        <f t="shared" si="129"/>
        <v>1027.5393189243164</v>
      </c>
      <c r="M130" s="1106">
        <f t="shared" si="129"/>
        <v>1053.2278018974243</v>
      </c>
      <c r="N130" s="1106">
        <f t="shared" si="129"/>
        <v>1079.5584969448601</v>
      </c>
      <c r="O130" s="1106">
        <f t="shared" si="129"/>
        <v>1106.5474593684817</v>
      </c>
      <c r="P130" s="1106">
        <f t="shared" si="129"/>
        <v>1134.2111458526938</v>
      </c>
      <c r="Q130" s="1106">
        <f t="shared" si="127"/>
        <v>1162.5664244990112</v>
      </c>
      <c r="R130" s="1107">
        <f t="shared" si="127"/>
        <v>1191.6305851114864</v>
      </c>
    </row>
    <row r="131" spans="1:18" x14ac:dyDescent="0.2">
      <c r="A131" s="655" t="s">
        <v>4915</v>
      </c>
      <c r="B131" s="1250"/>
      <c r="C131" s="1726"/>
      <c r="D131" s="2243">
        <f t="shared" si="128"/>
        <v>148.66123399301514</v>
      </c>
      <c r="E131" s="1730">
        <v>1277</v>
      </c>
      <c r="F131" s="1106">
        <f t="shared" si="129"/>
        <v>1307.6479999999999</v>
      </c>
      <c r="G131" s="1106">
        <f t="shared" si="129"/>
        <v>1333.8009599999998</v>
      </c>
      <c r="H131" s="1106">
        <f t="shared" si="129"/>
        <v>1353.8079743999997</v>
      </c>
      <c r="I131" s="1106">
        <f t="shared" si="129"/>
        <v>1384.9455578111997</v>
      </c>
      <c r="J131" s="1106">
        <f t="shared" si="129"/>
        <v>1419.5691967564796</v>
      </c>
      <c r="K131" s="1106">
        <f t="shared" si="129"/>
        <v>1455.0584266753917</v>
      </c>
      <c r="L131" s="1106">
        <f t="shared" si="129"/>
        <v>1491.4348873422766</v>
      </c>
      <c r="M131" s="1106">
        <f t="shared" si="129"/>
        <v>1528.7207595258335</v>
      </c>
      <c r="N131" s="1106">
        <f t="shared" si="129"/>
        <v>1566.9387785139793</v>
      </c>
      <c r="O131" s="1106">
        <f t="shared" si="129"/>
        <v>1606.1122479768287</v>
      </c>
      <c r="P131" s="1106">
        <f t="shared" si="129"/>
        <v>1646.2650541762494</v>
      </c>
      <c r="Q131" s="1106">
        <f t="shared" si="127"/>
        <v>1687.4216805306555</v>
      </c>
      <c r="R131" s="1107">
        <f t="shared" si="127"/>
        <v>1729.6072225439218</v>
      </c>
    </row>
    <row r="132" spans="1:18" ht="13.5" thickBot="1" x14ac:dyDescent="0.25">
      <c r="A132" s="1719"/>
      <c r="B132" s="1720"/>
      <c r="C132" s="1732"/>
      <c r="D132" s="1282"/>
      <c r="E132" s="1720"/>
      <c r="F132" s="1282"/>
      <c r="G132" s="1282"/>
      <c r="H132" s="1282"/>
      <c r="I132" s="1282"/>
      <c r="J132" s="1282"/>
      <c r="K132" s="1282"/>
      <c r="L132" s="1282"/>
      <c r="M132" s="1282"/>
      <c r="N132" s="1282"/>
      <c r="O132" s="677"/>
      <c r="P132" s="677"/>
      <c r="Q132" s="677"/>
      <c r="R132" s="678"/>
    </row>
    <row r="133" spans="1:18" ht="13.5" thickTop="1" x14ac:dyDescent="0.2"/>
    <row r="1112" spans="5:5" x14ac:dyDescent="0.2">
      <c r="E1112" s="1" t="s">
        <v>7245</v>
      </c>
    </row>
  </sheetData>
  <mergeCells count="1">
    <mergeCell ref="A1:R1"/>
  </mergeCells>
  <phoneticPr fontId="9" type="noConversion"/>
  <printOptions horizontalCentered="1" verticalCentered="1"/>
  <pageMargins left="0" right="0" top="0" bottom="0" header="0" footer="0"/>
  <pageSetup paperSize="8" scale="34" orientation="landscape"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R1109"/>
  <sheetViews>
    <sheetView zoomScaleNormal="100" workbookViewId="0">
      <pane ySplit="4" topLeftCell="A5" activePane="bottomLeft" state="frozen"/>
      <selection activeCell="E788" sqref="E788"/>
      <selection pane="bottomLeft" activeCell="A18" sqref="A18"/>
    </sheetView>
  </sheetViews>
  <sheetFormatPr defaultColWidth="9.140625" defaultRowHeight="12.75" x14ac:dyDescent="0.2"/>
  <cols>
    <col min="1" max="1" width="65.28515625" style="1777" bestFit="1" customWidth="1"/>
    <col min="2" max="2" width="10.85546875" style="1777" bestFit="1" customWidth="1"/>
    <col min="3" max="3" width="12" style="80" bestFit="1" customWidth="1"/>
    <col min="4" max="4" width="12.28515625" style="80" bestFit="1" customWidth="1"/>
    <col min="5" max="5" width="10.140625" style="80" customWidth="1"/>
    <col min="6" max="6" width="9.140625" style="80"/>
    <col min="7" max="8" width="10.28515625" style="80" bestFit="1" customWidth="1"/>
    <col min="9" max="16" width="11.28515625" style="80" bestFit="1" customWidth="1"/>
    <col min="17" max="18" width="11.28515625" style="2226" bestFit="1" customWidth="1"/>
    <col min="19" max="20" width="10.140625" style="1777" bestFit="1" customWidth="1"/>
    <col min="21" max="16384" width="9.140625" style="1777"/>
  </cols>
  <sheetData>
    <row r="2" spans="1:18" x14ac:dyDescent="0.2">
      <c r="A2" s="2685" t="s">
        <v>5860</v>
      </c>
      <c r="B2" s="2685"/>
      <c r="C2" s="2685"/>
      <c r="D2" s="2685"/>
      <c r="E2" s="2685"/>
      <c r="F2" s="2685"/>
      <c r="G2" s="2685"/>
      <c r="H2" s="2685"/>
      <c r="I2" s="2685"/>
      <c r="J2" s="2685"/>
      <c r="K2" s="2685"/>
      <c r="L2" s="2685"/>
      <c r="M2" s="2685"/>
      <c r="N2" s="2685"/>
      <c r="O2" s="2685"/>
      <c r="P2" s="1679"/>
      <c r="Q2" s="2300"/>
      <c r="R2" s="2300"/>
    </row>
    <row r="3" spans="1:18" ht="13.5" thickBot="1" x14ac:dyDescent="0.25"/>
    <row r="4" spans="1:18" ht="13.5" thickBot="1" x14ac:dyDescent="0.25">
      <c r="A4" s="1778" t="s">
        <v>5852</v>
      </c>
      <c r="B4" s="1779" t="s">
        <v>5861</v>
      </c>
      <c r="C4" s="1780" t="s">
        <v>5864</v>
      </c>
      <c r="D4" s="1780" t="s">
        <v>5878</v>
      </c>
      <c r="E4" s="1780" t="s">
        <v>5850</v>
      </c>
      <c r="F4" s="1781" t="str">
        <f>Assumptions!F2</f>
        <v>2015/16</v>
      </c>
      <c r="G4" s="1581" t="str">
        <f>Assumptions!G2</f>
        <v>2016/17</v>
      </c>
      <c r="H4" s="1581" t="str">
        <f>Assumptions!H2</f>
        <v>2017/18</v>
      </c>
      <c r="I4" s="1581" t="str">
        <f>Assumptions!I2</f>
        <v>2018/19</v>
      </c>
      <c r="J4" s="1581" t="str">
        <f>Assumptions!J2</f>
        <v>2019/20</v>
      </c>
      <c r="K4" s="1581" t="str">
        <f>Assumptions!K2</f>
        <v>2020/21</v>
      </c>
      <c r="L4" s="1581" t="str">
        <f>Assumptions!L2</f>
        <v>2021/22</v>
      </c>
      <c r="M4" s="1581" t="str">
        <f>Assumptions!M2</f>
        <v>2022/23</v>
      </c>
      <c r="N4" s="1581" t="str">
        <f>Assumptions!N2</f>
        <v>2023/24</v>
      </c>
      <c r="O4" s="1581" t="str">
        <f>Assumptions!O2</f>
        <v>2024/25</v>
      </c>
      <c r="P4" s="1581" t="str">
        <f>Assumptions!P2</f>
        <v>2025/26</v>
      </c>
      <c r="Q4" s="1581" t="str">
        <f>Assumptions!Q2</f>
        <v>2026/27</v>
      </c>
      <c r="R4" s="2299" t="str">
        <f>Assumptions!R2</f>
        <v>2027/28</v>
      </c>
    </row>
    <row r="5" spans="1:18" x14ac:dyDescent="0.2">
      <c r="A5" s="1782"/>
      <c r="B5" s="1783"/>
      <c r="C5" s="1784"/>
      <c r="D5" s="1784"/>
      <c r="E5" s="1784"/>
      <c r="F5" s="152"/>
      <c r="G5" s="150"/>
      <c r="H5" s="150"/>
      <c r="I5" s="150"/>
      <c r="J5" s="150"/>
      <c r="K5" s="150"/>
      <c r="L5" s="150"/>
      <c r="M5" s="150"/>
      <c r="N5" s="150"/>
      <c r="O5" s="150"/>
      <c r="P5" s="150"/>
      <c r="Q5" s="150"/>
      <c r="R5" s="1298"/>
    </row>
    <row r="6" spans="1:18" s="80" customFormat="1" ht="15" customHeight="1" x14ac:dyDescent="0.2">
      <c r="A6" s="1785" t="s">
        <v>5853</v>
      </c>
      <c r="B6" s="1786" t="s">
        <v>5862</v>
      </c>
      <c r="C6" s="237">
        <v>3886480</v>
      </c>
      <c r="D6" s="685">
        <f>1-(E6/C6)</f>
        <v>0.49594877627055844</v>
      </c>
      <c r="E6" s="237">
        <v>1958985</v>
      </c>
      <c r="F6" s="89"/>
      <c r="G6" s="9"/>
      <c r="H6" s="9"/>
      <c r="I6" s="9"/>
      <c r="J6" s="9"/>
      <c r="K6" s="9">
        <f>ROUND(C6*1.03*1.03*1.03*1.03*1.03,-3)</f>
        <v>4505000</v>
      </c>
      <c r="L6" s="9"/>
      <c r="M6" s="9"/>
      <c r="N6" s="9"/>
      <c r="O6" s="9"/>
      <c r="P6" s="9"/>
      <c r="Q6" s="9"/>
      <c r="R6" s="49"/>
    </row>
    <row r="7" spans="1:18" s="80" customFormat="1" ht="15" customHeight="1" x14ac:dyDescent="0.2">
      <c r="A7" s="1785" t="s">
        <v>5857</v>
      </c>
      <c r="B7" s="1786" t="s">
        <v>5862</v>
      </c>
      <c r="C7" s="237">
        <v>9582603</v>
      </c>
      <c r="D7" s="685">
        <f>1-(E7/C7)</f>
        <v>0.73851447252901958</v>
      </c>
      <c r="E7" s="237">
        <v>2505712</v>
      </c>
      <c r="F7" s="89"/>
      <c r="G7" s="9"/>
      <c r="H7" s="9"/>
      <c r="I7" s="9"/>
      <c r="J7" s="9"/>
      <c r="K7" s="9">
        <f t="shared" ref="K7:K9" si="0">ROUND(C7*1.03*1.03*1.03*1.03*1.03,-3)</f>
        <v>11109000</v>
      </c>
      <c r="L7" s="9"/>
      <c r="M7" s="9"/>
      <c r="N7" s="9"/>
      <c r="O7" s="9"/>
      <c r="P7" s="9"/>
      <c r="Q7" s="9"/>
      <c r="R7" s="49"/>
    </row>
    <row r="8" spans="1:18" s="80" customFormat="1" ht="15" customHeight="1" x14ac:dyDescent="0.2">
      <c r="A8" s="1785" t="s">
        <v>5855</v>
      </c>
      <c r="B8" s="1786" t="s">
        <v>5862</v>
      </c>
      <c r="C8" s="237">
        <v>5343911</v>
      </c>
      <c r="D8" s="685">
        <f t="shared" ref="D8:D24" si="1">1-(E8/C8)</f>
        <v>0.49594894076641616</v>
      </c>
      <c r="E8" s="237">
        <v>2693604</v>
      </c>
      <c r="F8" s="89"/>
      <c r="G8" s="9"/>
      <c r="H8" s="9"/>
      <c r="I8" s="9"/>
      <c r="J8" s="9"/>
      <c r="K8" s="9">
        <f t="shared" si="0"/>
        <v>6195000</v>
      </c>
      <c r="L8" s="9"/>
      <c r="M8" s="9"/>
      <c r="N8" s="9"/>
      <c r="O8" s="9"/>
      <c r="P8" s="9"/>
      <c r="Q8" s="9"/>
      <c r="R8" s="49"/>
    </row>
    <row r="9" spans="1:18" s="80" customFormat="1" ht="15" customHeight="1" x14ac:dyDescent="0.2">
      <c r="A9" s="1785" t="s">
        <v>5858</v>
      </c>
      <c r="B9" s="1786" t="s">
        <v>5862</v>
      </c>
      <c r="C9" s="237">
        <v>133598</v>
      </c>
      <c r="D9" s="685">
        <f>1-(E9/C9)</f>
        <v>0.73851404961152112</v>
      </c>
      <c r="E9" s="237">
        <v>34934</v>
      </c>
      <c r="F9" s="89"/>
      <c r="G9" s="9"/>
      <c r="H9" s="9"/>
      <c r="I9" s="9"/>
      <c r="J9" s="9"/>
      <c r="K9" s="9">
        <f t="shared" si="0"/>
        <v>155000</v>
      </c>
      <c r="L9" s="9"/>
      <c r="M9" s="9"/>
      <c r="N9" s="9"/>
      <c r="O9" s="9"/>
      <c r="P9" s="9"/>
      <c r="Q9" s="9"/>
      <c r="R9" s="49"/>
    </row>
    <row r="10" spans="1:18" s="80" customFormat="1" ht="15" customHeight="1" x14ac:dyDescent="0.2">
      <c r="A10" s="1785" t="s">
        <v>5854</v>
      </c>
      <c r="B10" s="1786" t="s">
        <v>5862</v>
      </c>
      <c r="C10" s="237">
        <v>7165698</v>
      </c>
      <c r="D10" s="685">
        <f>1-(E10/C10)</f>
        <v>0.98576021484578336</v>
      </c>
      <c r="E10" s="237">
        <v>102038</v>
      </c>
      <c r="F10" s="89"/>
      <c r="G10" s="9"/>
      <c r="H10" s="9"/>
      <c r="I10" s="9"/>
      <c r="J10" s="9"/>
      <c r="K10" s="9"/>
      <c r="L10" s="9">
        <f>ROUND(C10*1.03*1.03*1.03*1.03*1.03*1.03,-3)</f>
        <v>8556000</v>
      </c>
      <c r="M10" s="9"/>
      <c r="N10" s="9"/>
      <c r="O10" s="9"/>
      <c r="P10" s="9"/>
      <c r="Q10" s="9"/>
      <c r="R10" s="49"/>
    </row>
    <row r="11" spans="1:18" s="80" customFormat="1" ht="15" customHeight="1" x14ac:dyDescent="0.2">
      <c r="A11" s="1785" t="s">
        <v>5856</v>
      </c>
      <c r="B11" s="1786" t="s">
        <v>5862</v>
      </c>
      <c r="C11" s="237">
        <v>4007933</v>
      </c>
      <c r="D11" s="685">
        <f t="shared" si="1"/>
        <v>0.98576024100203274</v>
      </c>
      <c r="E11" s="237">
        <v>57072</v>
      </c>
      <c r="F11" s="89"/>
      <c r="G11" s="9"/>
      <c r="H11" s="9"/>
      <c r="I11" s="9"/>
      <c r="J11" s="9"/>
      <c r="K11" s="9"/>
      <c r="L11" s="9">
        <f>ROUND(C11*1.03*1.03*1.03*1.03*1.03*1.03,-3)</f>
        <v>4786000</v>
      </c>
      <c r="M11" s="9"/>
      <c r="N11" s="9"/>
      <c r="O11" s="9"/>
      <c r="P11" s="9"/>
      <c r="Q11" s="9"/>
      <c r="R11" s="49"/>
    </row>
    <row r="12" spans="1:18" s="80" customFormat="1" ht="15" customHeight="1" x14ac:dyDescent="0.2">
      <c r="A12" s="1785" t="s">
        <v>5859</v>
      </c>
      <c r="B12" s="1786" t="s">
        <v>5862</v>
      </c>
      <c r="C12" s="237">
        <v>15303017</v>
      </c>
      <c r="D12" s="685">
        <f t="shared" si="1"/>
        <v>1</v>
      </c>
      <c r="E12" s="237">
        <v>0</v>
      </c>
      <c r="F12" s="89"/>
      <c r="G12" s="9"/>
      <c r="H12" s="9"/>
      <c r="I12" s="9"/>
      <c r="J12" s="9">
        <f>ROUND(C12*1.03*1.03*1.03*1.03,-3)</f>
        <v>17224000</v>
      </c>
      <c r="K12" s="9"/>
      <c r="L12" s="9"/>
      <c r="M12" s="9"/>
      <c r="N12" s="9"/>
      <c r="O12" s="9"/>
      <c r="P12" s="9"/>
      <c r="Q12" s="9"/>
      <c r="R12" s="49"/>
    </row>
    <row r="13" spans="1:18" s="80" customFormat="1" ht="15" customHeight="1" x14ac:dyDescent="0.2">
      <c r="A13" s="1785" t="s">
        <v>5865</v>
      </c>
      <c r="B13" s="1786" t="s">
        <v>5873</v>
      </c>
      <c r="C13" s="237">
        <v>667989</v>
      </c>
      <c r="D13" s="685">
        <f t="shared" si="1"/>
        <v>1</v>
      </c>
      <c r="E13" s="237">
        <v>0</v>
      </c>
      <c r="F13" s="89"/>
      <c r="G13" s="9"/>
      <c r="H13" s="9"/>
      <c r="I13" s="9"/>
      <c r="J13" s="9"/>
      <c r="K13" s="9"/>
      <c r="L13" s="9"/>
      <c r="M13" s="9"/>
      <c r="N13" s="9"/>
      <c r="O13" s="9"/>
      <c r="P13" s="9"/>
      <c r="Q13" s="9"/>
      <c r="R13" s="49"/>
    </row>
    <row r="14" spans="1:18" s="80" customFormat="1" ht="15" customHeight="1" x14ac:dyDescent="0.2">
      <c r="A14" s="1785" t="s">
        <v>5866</v>
      </c>
      <c r="B14" s="1786" t="s">
        <v>5873</v>
      </c>
      <c r="C14" s="237">
        <v>607263</v>
      </c>
      <c r="D14" s="685">
        <f t="shared" si="1"/>
        <v>1</v>
      </c>
      <c r="E14" s="237">
        <v>0</v>
      </c>
      <c r="F14" s="89"/>
      <c r="G14" s="9"/>
      <c r="H14" s="9"/>
      <c r="I14" s="9"/>
      <c r="J14" s="9"/>
      <c r="K14" s="9"/>
      <c r="L14" s="9"/>
      <c r="M14" s="9"/>
      <c r="N14" s="9"/>
      <c r="O14" s="9"/>
      <c r="P14" s="9"/>
      <c r="Q14" s="9"/>
      <c r="R14" s="49"/>
    </row>
    <row r="15" spans="1:18" s="80" customFormat="1" ht="15" customHeight="1" x14ac:dyDescent="0.2">
      <c r="A15" s="1785" t="s">
        <v>5867</v>
      </c>
      <c r="B15" s="1786" t="s">
        <v>5873</v>
      </c>
      <c r="C15" s="237">
        <v>109307</v>
      </c>
      <c r="D15" s="685">
        <f t="shared" si="1"/>
        <v>1</v>
      </c>
      <c r="E15" s="237">
        <v>0</v>
      </c>
      <c r="F15" s="89"/>
      <c r="G15" s="9"/>
      <c r="H15" s="9"/>
      <c r="I15" s="9"/>
      <c r="J15" s="9"/>
      <c r="K15" s="9"/>
      <c r="L15" s="9"/>
      <c r="M15" s="9"/>
      <c r="N15" s="9"/>
      <c r="O15" s="9"/>
      <c r="P15" s="9"/>
      <c r="Q15" s="9"/>
      <c r="R15" s="49"/>
    </row>
    <row r="16" spans="1:18" s="80" customFormat="1" ht="15" customHeight="1" x14ac:dyDescent="0.2">
      <c r="A16" s="1785" t="s">
        <v>5868</v>
      </c>
      <c r="B16" s="1786" t="s">
        <v>5873</v>
      </c>
      <c r="C16" s="237">
        <v>19432402</v>
      </c>
      <c r="D16" s="685">
        <f t="shared" si="1"/>
        <v>1</v>
      </c>
      <c r="E16" s="237">
        <v>0</v>
      </c>
      <c r="F16" s="89"/>
      <c r="G16" s="9"/>
      <c r="H16" s="9"/>
      <c r="I16" s="9"/>
      <c r="J16" s="9"/>
      <c r="K16" s="9"/>
      <c r="L16" s="9"/>
      <c r="M16" s="9"/>
      <c r="N16" s="9"/>
      <c r="O16" s="9"/>
      <c r="P16" s="9"/>
      <c r="Q16" s="9"/>
      <c r="R16" s="49"/>
    </row>
    <row r="17" spans="1:18" s="80" customFormat="1" ht="15" customHeight="1" x14ac:dyDescent="0.2">
      <c r="A17" s="1785" t="s">
        <v>5869</v>
      </c>
      <c r="B17" s="1786" t="s">
        <v>5873</v>
      </c>
      <c r="C17" s="237">
        <v>12145</v>
      </c>
      <c r="D17" s="685">
        <f t="shared" si="1"/>
        <v>1</v>
      </c>
      <c r="E17" s="237">
        <v>0</v>
      </c>
      <c r="F17" s="89"/>
      <c r="G17" s="9"/>
      <c r="H17" s="9"/>
      <c r="I17" s="9"/>
      <c r="J17" s="9"/>
      <c r="K17" s="9"/>
      <c r="L17" s="9"/>
      <c r="M17" s="9"/>
      <c r="N17" s="9"/>
      <c r="O17" s="9"/>
      <c r="P17" s="9"/>
      <c r="Q17" s="9"/>
      <c r="R17" s="49"/>
    </row>
    <row r="18" spans="1:18" s="80" customFormat="1" ht="15" customHeight="1" x14ac:dyDescent="0.2">
      <c r="A18" s="1785" t="s">
        <v>5870</v>
      </c>
      <c r="B18" s="1786" t="s">
        <v>5873</v>
      </c>
      <c r="C18" s="237">
        <v>4683750</v>
      </c>
      <c r="D18" s="685">
        <f t="shared" si="1"/>
        <v>1</v>
      </c>
      <c r="E18" s="237">
        <v>0</v>
      </c>
      <c r="F18" s="89"/>
      <c r="G18" s="9"/>
      <c r="H18" s="9"/>
      <c r="I18" s="9"/>
      <c r="J18" s="9"/>
      <c r="K18" s="9"/>
      <c r="L18" s="9"/>
      <c r="M18" s="9"/>
      <c r="N18" s="9"/>
      <c r="O18" s="9"/>
      <c r="P18" s="9"/>
      <c r="Q18" s="9"/>
      <c r="R18" s="49"/>
    </row>
    <row r="19" spans="1:18" s="80" customFormat="1" ht="15" customHeight="1" x14ac:dyDescent="0.2">
      <c r="A19" s="1785" t="s">
        <v>5871</v>
      </c>
      <c r="B19" s="1786" t="s">
        <v>5873</v>
      </c>
      <c r="C19" s="237">
        <v>10590659</v>
      </c>
      <c r="D19" s="685">
        <f t="shared" si="1"/>
        <v>0.48535289447049523</v>
      </c>
      <c r="E19" s="237">
        <v>5450452</v>
      </c>
      <c r="F19" s="89"/>
      <c r="G19" s="9"/>
      <c r="H19" s="9"/>
      <c r="I19" s="9"/>
      <c r="J19" s="9"/>
      <c r="K19" s="9"/>
      <c r="L19" s="9"/>
      <c r="M19" s="9"/>
      <c r="N19" s="9"/>
      <c r="O19" s="9"/>
      <c r="P19" s="9"/>
      <c r="Q19" s="9"/>
      <c r="R19" s="49"/>
    </row>
    <row r="20" spans="1:18" s="80" customFormat="1" ht="15" customHeight="1" x14ac:dyDescent="0.2">
      <c r="A20" s="1785" t="s">
        <v>5872</v>
      </c>
      <c r="B20" s="1786" t="s">
        <v>5873</v>
      </c>
      <c r="C20" s="237">
        <v>97162</v>
      </c>
      <c r="D20" s="685">
        <f t="shared" si="1"/>
        <v>0.48535435664148541</v>
      </c>
      <c r="E20" s="237">
        <v>50004</v>
      </c>
      <c r="F20" s="89"/>
      <c r="G20" s="9"/>
      <c r="H20" s="9"/>
      <c r="I20" s="9"/>
      <c r="J20" s="9"/>
      <c r="K20" s="9"/>
      <c r="L20" s="9"/>
      <c r="M20" s="9"/>
      <c r="N20" s="9"/>
      <c r="O20" s="9"/>
      <c r="P20" s="9"/>
      <c r="Q20" s="9"/>
      <c r="R20" s="49"/>
    </row>
    <row r="21" spans="1:18" s="80" customFormat="1" ht="15" customHeight="1" x14ac:dyDescent="0.2">
      <c r="A21" s="1787" t="s">
        <v>5874</v>
      </c>
      <c r="B21" s="1786" t="s">
        <v>5873</v>
      </c>
      <c r="C21" s="237">
        <v>157888</v>
      </c>
      <c r="D21" s="685">
        <f t="shared" si="1"/>
        <v>1</v>
      </c>
      <c r="E21" s="237">
        <v>0</v>
      </c>
      <c r="F21" s="89"/>
      <c r="G21" s="9"/>
      <c r="H21" s="9"/>
      <c r="I21" s="9"/>
      <c r="J21" s="9"/>
      <c r="K21" s="9"/>
      <c r="L21" s="9"/>
      <c r="M21" s="9"/>
      <c r="N21" s="9"/>
      <c r="O21" s="9"/>
      <c r="P21" s="9"/>
      <c r="Q21" s="9"/>
      <c r="R21" s="49"/>
    </row>
    <row r="22" spans="1:18" s="80" customFormat="1" ht="15" customHeight="1" x14ac:dyDescent="0.2">
      <c r="A22" s="1787" t="s">
        <v>5875</v>
      </c>
      <c r="B22" s="1786" t="s">
        <v>5873</v>
      </c>
      <c r="C22" s="237">
        <v>2793408</v>
      </c>
      <c r="D22" s="685">
        <f t="shared" si="1"/>
        <v>0.71573468680550789</v>
      </c>
      <c r="E22" s="237">
        <v>794069</v>
      </c>
      <c r="F22" s="89"/>
      <c r="G22" s="9"/>
      <c r="H22" s="9"/>
      <c r="I22" s="9"/>
      <c r="J22" s="9"/>
      <c r="K22" s="9"/>
      <c r="L22" s="9"/>
      <c r="M22" s="9"/>
      <c r="N22" s="9"/>
      <c r="O22" s="9"/>
      <c r="P22" s="9"/>
      <c r="Q22" s="9"/>
      <c r="R22" s="49"/>
    </row>
    <row r="23" spans="1:18" s="80" customFormat="1" ht="15" customHeight="1" x14ac:dyDescent="0.2">
      <c r="A23" s="1787" t="s">
        <v>5876</v>
      </c>
      <c r="B23" s="1786" t="s">
        <v>5873</v>
      </c>
      <c r="C23" s="237">
        <v>3018600</v>
      </c>
      <c r="D23" s="685">
        <f t="shared" si="1"/>
        <v>1</v>
      </c>
      <c r="E23" s="237">
        <v>0</v>
      </c>
      <c r="F23" s="89"/>
      <c r="G23" s="9"/>
      <c r="H23" s="9"/>
      <c r="I23" s="9"/>
      <c r="J23" s="9"/>
      <c r="K23" s="9"/>
      <c r="L23" s="9"/>
      <c r="M23" s="9"/>
      <c r="N23" s="9"/>
      <c r="O23" s="9"/>
      <c r="P23" s="9"/>
      <c r="Q23" s="9"/>
      <c r="R23" s="49"/>
    </row>
    <row r="24" spans="1:18" s="80" customFormat="1" ht="15" customHeight="1" x14ac:dyDescent="0.2">
      <c r="A24" s="1787" t="s">
        <v>5877</v>
      </c>
      <c r="B24" s="1786" t="s">
        <v>5873</v>
      </c>
      <c r="C24" s="237">
        <v>3360044</v>
      </c>
      <c r="D24" s="685">
        <f t="shared" si="1"/>
        <v>0.46027462735607039</v>
      </c>
      <c r="E24" s="237">
        <v>1813501</v>
      </c>
      <c r="F24" s="89"/>
      <c r="G24" s="9"/>
      <c r="H24" s="9"/>
      <c r="I24" s="9"/>
      <c r="J24" s="9"/>
      <c r="K24" s="9"/>
      <c r="L24" s="9"/>
      <c r="M24" s="9"/>
      <c r="N24" s="9"/>
      <c r="O24" s="9"/>
      <c r="P24" s="9"/>
      <c r="Q24" s="9"/>
      <c r="R24" s="49"/>
    </row>
    <row r="25" spans="1:18" s="80" customFormat="1" ht="15" customHeight="1" x14ac:dyDescent="0.2">
      <c r="A25" s="1787"/>
      <c r="B25" s="1786"/>
      <c r="C25" s="237"/>
      <c r="D25" s="237"/>
      <c r="E25" s="237"/>
      <c r="F25" s="89"/>
      <c r="G25" s="9"/>
      <c r="H25" s="9"/>
      <c r="I25" s="9"/>
      <c r="J25" s="9"/>
      <c r="K25" s="9"/>
      <c r="L25" s="9"/>
      <c r="M25" s="9"/>
      <c r="N25" s="9"/>
      <c r="O25" s="9"/>
      <c r="P25" s="9"/>
      <c r="Q25" s="9"/>
      <c r="R25" s="49"/>
    </row>
    <row r="26" spans="1:18" s="80" customFormat="1" ht="15" customHeight="1" x14ac:dyDescent="0.2">
      <c r="A26" s="1785"/>
      <c r="B26" s="1786"/>
      <c r="C26" s="237"/>
      <c r="D26" s="237"/>
      <c r="E26" s="237"/>
      <c r="F26" s="89"/>
      <c r="G26" s="9"/>
      <c r="H26" s="9"/>
      <c r="I26" s="9"/>
      <c r="J26" s="9"/>
      <c r="K26" s="9"/>
      <c r="L26" s="9"/>
      <c r="M26" s="9"/>
      <c r="N26" s="9"/>
      <c r="O26" s="9"/>
      <c r="P26" s="9"/>
      <c r="Q26" s="9"/>
      <c r="R26" s="49"/>
    </row>
    <row r="27" spans="1:18" s="80" customFormat="1" ht="15" customHeight="1" x14ac:dyDescent="0.2">
      <c r="A27" s="1785"/>
      <c r="B27" s="1786"/>
      <c r="C27" s="237"/>
      <c r="D27" s="237"/>
      <c r="E27" s="1788"/>
      <c r="F27" s="89"/>
      <c r="G27" s="9"/>
      <c r="H27" s="9"/>
      <c r="I27" s="9"/>
      <c r="J27" s="9"/>
      <c r="K27" s="9"/>
      <c r="L27" s="9"/>
      <c r="M27" s="9"/>
      <c r="N27" s="9"/>
      <c r="O27" s="9"/>
      <c r="P27" s="9"/>
      <c r="Q27" s="9"/>
      <c r="R27" s="49"/>
    </row>
    <row r="28" spans="1:18" s="80" customFormat="1" ht="15" customHeight="1" x14ac:dyDescent="0.2">
      <c r="A28" s="1785"/>
      <c r="B28" s="1786"/>
      <c r="C28" s="237"/>
      <c r="D28" s="237"/>
      <c r="E28" s="1788"/>
      <c r="F28" s="89"/>
      <c r="G28" s="9"/>
      <c r="H28" s="9"/>
      <c r="I28" s="9"/>
      <c r="J28" s="9"/>
      <c r="K28" s="9"/>
      <c r="L28" s="9"/>
      <c r="M28" s="9"/>
      <c r="N28" s="9"/>
      <c r="O28" s="9"/>
      <c r="P28" s="9"/>
      <c r="Q28" s="9"/>
      <c r="R28" s="49"/>
    </row>
    <row r="29" spans="1:18" s="80" customFormat="1" ht="15" customHeight="1" x14ac:dyDescent="0.2">
      <c r="A29" s="1785"/>
      <c r="B29" s="1786"/>
      <c r="C29" s="1788"/>
      <c r="D29" s="1788"/>
      <c r="E29" s="1788"/>
      <c r="F29" s="89"/>
      <c r="G29" s="9"/>
      <c r="H29" s="9"/>
      <c r="I29" s="9"/>
      <c r="J29" s="9"/>
      <c r="K29" s="9"/>
      <c r="L29" s="9"/>
      <c r="M29" s="9"/>
      <c r="N29" s="9"/>
      <c r="O29" s="9"/>
      <c r="P29" s="9"/>
      <c r="Q29" s="9"/>
      <c r="R29" s="49"/>
    </row>
    <row r="30" spans="1:18" x14ac:dyDescent="0.2">
      <c r="A30" s="1785"/>
      <c r="B30" s="1789"/>
      <c r="C30" s="1788"/>
      <c r="D30" s="1788"/>
      <c r="E30" s="1788"/>
      <c r="F30" s="89"/>
      <c r="G30" s="9"/>
      <c r="H30" s="9"/>
      <c r="I30" s="9"/>
      <c r="J30" s="9"/>
      <c r="K30" s="9"/>
      <c r="L30" s="9"/>
      <c r="M30" s="9"/>
      <c r="N30" s="9"/>
      <c r="O30" s="9"/>
      <c r="P30" s="9"/>
      <c r="Q30" s="9"/>
      <c r="R30" s="49"/>
    </row>
    <row r="31" spans="1:18" s="1793" customFormat="1" ht="13.5" thickBot="1" x14ac:dyDescent="0.25">
      <c r="A31" s="1790" t="s">
        <v>1504</v>
      </c>
      <c r="B31" s="1791"/>
      <c r="C31" s="1792">
        <f>SUM(C6:C30)</f>
        <v>90953857</v>
      </c>
      <c r="D31" s="1792"/>
      <c r="E31" s="1792">
        <f>SUM(E6:E30)</f>
        <v>15460371</v>
      </c>
      <c r="F31" s="1097">
        <f>SUM(F6:F30)</f>
        <v>0</v>
      </c>
      <c r="G31" s="1096">
        <f t="shared" ref="G31:O31" si="2">SUM(G5:G30)</f>
        <v>0</v>
      </c>
      <c r="H31" s="1096">
        <f t="shared" si="2"/>
        <v>0</v>
      </c>
      <c r="I31" s="1096">
        <f t="shared" si="2"/>
        <v>0</v>
      </c>
      <c r="J31" s="1096">
        <f t="shared" si="2"/>
        <v>17224000</v>
      </c>
      <c r="K31" s="1096">
        <f t="shared" si="2"/>
        <v>21964000</v>
      </c>
      <c r="L31" s="1096">
        <f t="shared" si="2"/>
        <v>13342000</v>
      </c>
      <c r="M31" s="1096">
        <f t="shared" si="2"/>
        <v>0</v>
      </c>
      <c r="N31" s="1096">
        <f t="shared" si="2"/>
        <v>0</v>
      </c>
      <c r="O31" s="1096">
        <f t="shared" si="2"/>
        <v>0</v>
      </c>
      <c r="P31" s="1096">
        <f t="shared" ref="P31:Q31" si="3">SUM(P5:P30)</f>
        <v>0</v>
      </c>
      <c r="Q31" s="1096">
        <f t="shared" si="3"/>
        <v>0</v>
      </c>
      <c r="R31" s="1251">
        <f t="shared" ref="R31" si="4">SUM(R5:R30)</f>
        <v>0</v>
      </c>
    </row>
    <row r="32" spans="1:18" ht="13.5" thickTop="1" x14ac:dyDescent="0.2">
      <c r="A32" s="1785"/>
      <c r="B32" s="1789"/>
      <c r="C32" s="1788"/>
      <c r="D32" s="1788"/>
      <c r="E32" s="1788"/>
      <c r="F32" s="89"/>
      <c r="G32" s="9"/>
      <c r="H32" s="9"/>
      <c r="I32" s="9"/>
      <c r="J32" s="9"/>
      <c r="K32" s="9"/>
      <c r="L32" s="9"/>
      <c r="M32" s="9"/>
      <c r="N32" s="9"/>
      <c r="O32" s="9"/>
      <c r="P32" s="9"/>
      <c r="Q32" s="9"/>
      <c r="R32" s="49"/>
    </row>
    <row r="33" spans="1:18" s="1793" customFormat="1" x14ac:dyDescent="0.2">
      <c r="A33" s="1782"/>
      <c r="B33" s="1783"/>
      <c r="C33" s="1794"/>
      <c r="D33" s="1794"/>
      <c r="E33" s="1794"/>
      <c r="F33" s="107"/>
      <c r="G33" s="63"/>
      <c r="H33" s="63"/>
      <c r="I33" s="63"/>
      <c r="J33" s="63"/>
      <c r="K33" s="63"/>
      <c r="L33" s="63"/>
      <c r="M33" s="63"/>
      <c r="N33" s="63"/>
      <c r="O33" s="63"/>
      <c r="P33" s="63"/>
      <c r="Q33" s="63"/>
      <c r="R33" s="1252"/>
    </row>
    <row r="34" spans="1:18" s="1793" customFormat="1" x14ac:dyDescent="0.2">
      <c r="A34" s="1782" t="s">
        <v>5863</v>
      </c>
      <c r="B34" s="1783"/>
      <c r="C34" s="1794">
        <f>E31</f>
        <v>15460371</v>
      </c>
      <c r="D34" s="1794"/>
      <c r="E34" s="1794"/>
      <c r="F34" s="107">
        <f t="shared" ref="F34:H34" si="5">F31-F35</f>
        <v>0</v>
      </c>
      <c r="G34" s="63">
        <f t="shared" si="5"/>
        <v>0</v>
      </c>
      <c r="H34" s="63">
        <f t="shared" si="5"/>
        <v>0</v>
      </c>
      <c r="I34" s="63">
        <f>I31-I35</f>
        <v>0</v>
      </c>
      <c r="J34" s="63">
        <f t="shared" ref="J34:O34" si="6">J31-J35</f>
        <v>17224000</v>
      </c>
      <c r="K34" s="63">
        <f>K31-K35</f>
        <v>8338720.1218385231</v>
      </c>
      <c r="L34" s="63">
        <f t="shared" si="6"/>
        <v>189987.08834374882</v>
      </c>
      <c r="M34" s="63">
        <f t="shared" si="6"/>
        <v>0</v>
      </c>
      <c r="N34" s="63">
        <f t="shared" si="6"/>
        <v>0</v>
      </c>
      <c r="O34" s="63">
        <f t="shared" si="6"/>
        <v>0</v>
      </c>
      <c r="P34" s="63">
        <f t="shared" ref="P34:Q34" si="7">P31-P35</f>
        <v>0</v>
      </c>
      <c r="Q34" s="63">
        <f t="shared" si="7"/>
        <v>0</v>
      </c>
      <c r="R34" s="1252">
        <f t="shared" ref="R34" si="8">R31-R35</f>
        <v>0</v>
      </c>
    </row>
    <row r="35" spans="1:18" s="1793" customFormat="1" x14ac:dyDescent="0.2">
      <c r="A35" s="1782" t="s">
        <v>2148</v>
      </c>
      <c r="B35" s="1783"/>
      <c r="C35" s="1794">
        <f>C31-C34</f>
        <v>75493486</v>
      </c>
      <c r="D35" s="1794"/>
      <c r="E35" s="1794"/>
      <c r="F35" s="107"/>
      <c r="G35" s="63"/>
      <c r="H35" s="63">
        <f>H12*D12</f>
        <v>0</v>
      </c>
      <c r="I35" s="63">
        <f>I9*D9+I7*D7+I8*D8+I6*D6+I12*D12</f>
        <v>0</v>
      </c>
      <c r="J35" s="63">
        <f>J11*D11+J10*D10+J9*D9+J7*D7+J8*D8+J6*D6</f>
        <v>0</v>
      </c>
      <c r="K35" s="63">
        <f>K11*D11+K10*D10+K9*D9+K8*D8+K7*D7+K6*D6</f>
        <v>13625279.878161477</v>
      </c>
      <c r="L35" s="63">
        <f>L11*D11+L10*D10</f>
        <v>13152012.911656251</v>
      </c>
      <c r="M35" s="63"/>
      <c r="N35" s="63"/>
      <c r="O35" s="63"/>
      <c r="P35" s="63"/>
      <c r="Q35" s="63"/>
      <c r="R35" s="1252"/>
    </row>
    <row r="36" spans="1:18" s="1793" customFormat="1" x14ac:dyDescent="0.2">
      <c r="A36" s="1782"/>
      <c r="B36" s="1783"/>
      <c r="C36" s="1794"/>
      <c r="D36" s="1794"/>
      <c r="E36" s="1794"/>
      <c r="F36" s="107"/>
      <c r="G36" s="63"/>
      <c r="H36" s="63"/>
      <c r="I36" s="63"/>
      <c r="J36" s="63"/>
      <c r="K36" s="63"/>
      <c r="L36" s="63"/>
      <c r="M36" s="63"/>
      <c r="N36" s="63"/>
      <c r="O36" s="63"/>
      <c r="P36" s="63"/>
      <c r="Q36" s="63"/>
      <c r="R36" s="1252"/>
    </row>
    <row r="37" spans="1:18" s="1793" customFormat="1" x14ac:dyDescent="0.2">
      <c r="A37" s="1782" t="s">
        <v>88</v>
      </c>
      <c r="B37" s="1783"/>
      <c r="C37" s="1794"/>
      <c r="D37" s="1794"/>
      <c r="E37" s="1794"/>
      <c r="F37" s="107"/>
      <c r="G37" s="63"/>
      <c r="H37" s="63"/>
      <c r="I37" s="63"/>
      <c r="J37" s="63"/>
      <c r="K37" s="63"/>
      <c r="L37" s="63"/>
      <c r="M37" s="63"/>
      <c r="N37" s="63"/>
      <c r="O37" s="63"/>
      <c r="P37" s="63"/>
      <c r="Q37" s="63"/>
      <c r="R37" s="1252"/>
    </row>
    <row r="38" spans="1:18" s="1793" customFormat="1" x14ac:dyDescent="0.2">
      <c r="A38" s="1782"/>
      <c r="B38" s="1783"/>
      <c r="C38" s="1794"/>
      <c r="D38" s="1794"/>
      <c r="E38" s="1794"/>
      <c r="F38" s="107"/>
      <c r="G38" s="63"/>
      <c r="H38" s="63"/>
      <c r="I38" s="63"/>
      <c r="J38" s="63"/>
      <c r="K38" s="63"/>
      <c r="L38" s="63"/>
      <c r="M38" s="63"/>
      <c r="N38" s="63"/>
      <c r="O38" s="63"/>
      <c r="P38" s="63"/>
      <c r="Q38" s="63"/>
      <c r="R38" s="1252"/>
    </row>
    <row r="39" spans="1:18" s="1793" customFormat="1" x14ac:dyDescent="0.2">
      <c r="A39" s="1782" t="s">
        <v>5851</v>
      </c>
      <c r="B39" s="1783"/>
      <c r="C39" s="1794"/>
      <c r="D39" s="1794"/>
      <c r="E39" s="1794"/>
      <c r="F39" s="107"/>
      <c r="G39" s="63"/>
      <c r="H39" s="63"/>
      <c r="I39" s="63"/>
      <c r="J39" s="63"/>
      <c r="K39" s="63"/>
      <c r="L39" s="63"/>
      <c r="M39" s="63"/>
      <c r="N39" s="63"/>
      <c r="O39" s="79"/>
      <c r="P39" s="79"/>
      <c r="Q39" s="79"/>
      <c r="R39" s="587"/>
    </row>
    <row r="40" spans="1:18" x14ac:dyDescent="0.2">
      <c r="A40" s="1785" t="s">
        <v>4639</v>
      </c>
      <c r="B40" s="1789"/>
      <c r="C40" s="1788"/>
      <c r="D40" s="1788"/>
      <c r="E40" s="1788"/>
      <c r="F40" s="77">
        <f>'Sec 94'!C9</f>
        <v>2272700</v>
      </c>
      <c r="G40" s="79">
        <f>F43</f>
        <v>2908500</v>
      </c>
      <c r="H40" s="79">
        <f t="shared" ref="H40:R40" si="9">G43</f>
        <v>3873100</v>
      </c>
      <c r="I40" s="79">
        <f t="shared" si="9"/>
        <v>6373100</v>
      </c>
      <c r="J40" s="79">
        <f t="shared" si="9"/>
        <v>11981100</v>
      </c>
      <c r="K40" s="79">
        <f t="shared" si="9"/>
        <v>17729100</v>
      </c>
      <c r="L40" s="79">
        <f t="shared" si="9"/>
        <v>15995820.121838523</v>
      </c>
      <c r="M40" s="79">
        <f t="shared" si="9"/>
        <v>15032807.210182274</v>
      </c>
      <c r="N40" s="79">
        <f t="shared" si="9"/>
        <v>19526807.210182272</v>
      </c>
      <c r="O40" s="79">
        <f t="shared" si="9"/>
        <v>24132807.210182272</v>
      </c>
      <c r="P40" s="79">
        <f t="shared" si="9"/>
        <v>28853807.210182272</v>
      </c>
      <c r="Q40" s="79">
        <f t="shared" si="9"/>
        <v>33692807.210182272</v>
      </c>
      <c r="R40" s="587">
        <f t="shared" si="9"/>
        <v>38652807.210182272</v>
      </c>
    </row>
    <row r="41" spans="1:18" x14ac:dyDescent="0.2">
      <c r="A41" s="1785" t="s">
        <v>5879</v>
      </c>
      <c r="B41" s="1789"/>
      <c r="C41" s="1788"/>
      <c r="D41" s="1788"/>
      <c r="E41" s="1788"/>
      <c r="F41" s="77">
        <f>'Sec 94'!E25</f>
        <v>768300</v>
      </c>
      <c r="G41" s="79">
        <f>'Sec 94'!F25</f>
        <v>964600</v>
      </c>
      <c r="H41" s="79">
        <f>'Sec 94'!G25</f>
        <v>2500000</v>
      </c>
      <c r="I41" s="79">
        <f>'Sec 94'!H25</f>
        <v>5608000</v>
      </c>
      <c r="J41" s="79">
        <f>'Sec 94'!I25</f>
        <v>5748000</v>
      </c>
      <c r="K41" s="79">
        <f>'Sec 94'!J25</f>
        <v>11892000</v>
      </c>
      <c r="L41" s="79">
        <f>'Sec 94'!K25</f>
        <v>12189000</v>
      </c>
      <c r="M41" s="79">
        <f>'Sec 94'!L25</f>
        <v>4494000</v>
      </c>
      <c r="N41" s="79">
        <f>'Sec 94'!M25</f>
        <v>4606000</v>
      </c>
      <c r="O41" s="79">
        <f>'Sec 94'!N25</f>
        <v>4721000</v>
      </c>
      <c r="P41" s="79">
        <f>'Sec 94'!O25</f>
        <v>4839000</v>
      </c>
      <c r="Q41" s="79">
        <f>'Sec 94'!P25</f>
        <v>4960000</v>
      </c>
      <c r="R41" s="587">
        <f>'Sec 94'!Q25</f>
        <v>5084000</v>
      </c>
    </row>
    <row r="42" spans="1:18" x14ac:dyDescent="0.2">
      <c r="A42" s="1785" t="s">
        <v>5880</v>
      </c>
      <c r="B42" s="1789"/>
      <c r="C42" s="1788"/>
      <c r="D42" s="1788"/>
      <c r="E42" s="1788"/>
      <c r="F42" s="77">
        <f>'Sec 94'!E78</f>
        <v>132500</v>
      </c>
      <c r="G42" s="79">
        <f>G35</f>
        <v>0</v>
      </c>
      <c r="H42" s="79">
        <f t="shared" ref="H42:O42" si="10">H35</f>
        <v>0</v>
      </c>
      <c r="I42" s="79">
        <f t="shared" si="10"/>
        <v>0</v>
      </c>
      <c r="J42" s="79">
        <f t="shared" si="10"/>
        <v>0</v>
      </c>
      <c r="K42" s="79">
        <f t="shared" si="10"/>
        <v>13625279.878161477</v>
      </c>
      <c r="L42" s="79">
        <f t="shared" si="10"/>
        <v>13152012.911656251</v>
      </c>
      <c r="M42" s="79">
        <f t="shared" si="10"/>
        <v>0</v>
      </c>
      <c r="N42" s="79">
        <f t="shared" si="10"/>
        <v>0</v>
      </c>
      <c r="O42" s="79">
        <f t="shared" si="10"/>
        <v>0</v>
      </c>
      <c r="P42" s="79">
        <f t="shared" ref="P42:Q42" si="11">P35</f>
        <v>0</v>
      </c>
      <c r="Q42" s="79">
        <f t="shared" si="11"/>
        <v>0</v>
      </c>
      <c r="R42" s="587">
        <f t="shared" ref="R42" si="12">R35</f>
        <v>0</v>
      </c>
    </row>
    <row r="43" spans="1:18" s="1793" customFormat="1" ht="13.5" thickBot="1" x14ac:dyDescent="0.25">
      <c r="A43" s="1790" t="s">
        <v>4638</v>
      </c>
      <c r="B43" s="1791"/>
      <c r="C43" s="1792"/>
      <c r="D43" s="1792"/>
      <c r="E43" s="1792"/>
      <c r="F43" s="1097">
        <f>F40+F41-F42</f>
        <v>2908500</v>
      </c>
      <c r="G43" s="1096">
        <f t="shared" ref="G43:O43" si="13">G40+G41-G42</f>
        <v>3873100</v>
      </c>
      <c r="H43" s="1096">
        <f t="shared" si="13"/>
        <v>6373100</v>
      </c>
      <c r="I43" s="1096">
        <f t="shared" si="13"/>
        <v>11981100</v>
      </c>
      <c r="J43" s="1096">
        <f t="shared" si="13"/>
        <v>17729100</v>
      </c>
      <c r="K43" s="1096">
        <f t="shared" si="13"/>
        <v>15995820.121838523</v>
      </c>
      <c r="L43" s="1096">
        <f t="shared" si="13"/>
        <v>15032807.210182274</v>
      </c>
      <c r="M43" s="1096">
        <f t="shared" si="13"/>
        <v>19526807.210182272</v>
      </c>
      <c r="N43" s="1096">
        <f t="shared" si="13"/>
        <v>24132807.210182272</v>
      </c>
      <c r="O43" s="1096">
        <f t="shared" si="13"/>
        <v>28853807.210182272</v>
      </c>
      <c r="P43" s="1096">
        <f t="shared" ref="P43:Q43" si="14">P40+P41-P42</f>
        <v>33692807.210182272</v>
      </c>
      <c r="Q43" s="1096">
        <f t="shared" si="14"/>
        <v>38652807.210182272</v>
      </c>
      <c r="R43" s="1251">
        <f t="shared" ref="R43" si="15">R40+R41-R42</f>
        <v>43736807.210182272</v>
      </c>
    </row>
    <row r="44" spans="1:18" ht="14.25" thickTop="1" thickBot="1" x14ac:dyDescent="0.25">
      <c r="A44" s="1795"/>
      <c r="B44" s="1796"/>
      <c r="C44" s="1797"/>
      <c r="D44" s="1797"/>
      <c r="E44" s="1797"/>
      <c r="F44" s="42"/>
      <c r="G44" s="68"/>
      <c r="H44" s="68"/>
      <c r="I44" s="68"/>
      <c r="J44" s="68"/>
      <c r="K44" s="68"/>
      <c r="L44" s="68"/>
      <c r="M44" s="68"/>
      <c r="N44" s="68"/>
      <c r="O44" s="68"/>
      <c r="P44" s="68"/>
      <c r="Q44" s="68"/>
      <c r="R44" s="1253"/>
    </row>
    <row r="1109" spans="5:5" x14ac:dyDescent="0.2">
      <c r="E1109" s="80" t="s">
        <v>7245</v>
      </c>
    </row>
  </sheetData>
  <mergeCells count="1">
    <mergeCell ref="A2:O2"/>
  </mergeCells>
  <pageMargins left="0.70866141732283472" right="0.70866141732283472" top="0.74803149606299213" bottom="0.74803149606299213" header="0.31496062992125984" footer="0.31496062992125984"/>
  <pageSetup paperSize="8" scale="4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I1109"/>
  <sheetViews>
    <sheetView topLeftCell="Q1" workbookViewId="0">
      <selection activeCell="AG8" sqref="AG8"/>
    </sheetView>
  </sheetViews>
  <sheetFormatPr defaultColWidth="9.140625" defaultRowHeight="12.75" x14ac:dyDescent="0.2"/>
  <cols>
    <col min="1" max="2" width="11.28515625" style="34" bestFit="1" customWidth="1"/>
    <col min="3" max="3" width="11.140625" style="882" bestFit="1" customWidth="1"/>
    <col min="4" max="4" width="40.7109375" style="34" customWidth="1"/>
    <col min="5" max="5" width="11.28515625" style="34" bestFit="1" customWidth="1"/>
    <col min="6" max="6" width="6.7109375" style="34" bestFit="1" customWidth="1"/>
    <col min="7" max="18" width="11.28515625" style="34" bestFit="1" customWidth="1"/>
    <col min="19" max="19" width="12.5703125" style="34" customWidth="1"/>
    <col min="20" max="20" width="42.28515625" style="34" bestFit="1" customWidth="1"/>
    <col min="21" max="22" width="12.7109375" style="34" customWidth="1"/>
    <col min="23" max="23" width="2.42578125" style="34" bestFit="1" customWidth="1"/>
    <col min="24" max="25" width="12.7109375" style="34" customWidth="1"/>
    <col min="26" max="26" width="10.140625" style="34" bestFit="1" customWidth="1"/>
    <col min="27" max="28" width="12.7109375" style="34" customWidth="1"/>
    <col min="29" max="16384" width="9.140625" style="34"/>
  </cols>
  <sheetData>
    <row r="1" spans="1:35" s="1757" customFormat="1" ht="19.5" thickTop="1" thickBot="1" x14ac:dyDescent="0.3">
      <c r="A1" s="2731" t="s">
        <v>5558</v>
      </c>
      <c r="B1" s="2732"/>
      <c r="C1" s="2732"/>
      <c r="D1" s="2732"/>
      <c r="E1" s="2732"/>
      <c r="F1" s="2732"/>
      <c r="G1" s="2732"/>
      <c r="H1" s="2732"/>
      <c r="I1" s="2732"/>
      <c r="J1" s="2732"/>
      <c r="K1" s="2732"/>
      <c r="L1" s="2732"/>
      <c r="M1" s="2732"/>
      <c r="N1" s="2732"/>
      <c r="O1" s="2732"/>
      <c r="P1" s="2733"/>
      <c r="Q1" s="2335"/>
      <c r="R1" s="2335"/>
    </row>
    <row r="2" spans="1:35" x14ac:dyDescent="0.2">
      <c r="A2" s="2591" t="s">
        <v>1824</v>
      </c>
      <c r="B2" s="2577"/>
      <c r="C2" s="2592"/>
      <c r="D2" s="1758" t="s">
        <v>4478</v>
      </c>
      <c r="E2" s="2576" t="s">
        <v>2215</v>
      </c>
      <c r="F2" s="2577"/>
      <c r="G2" s="2577"/>
      <c r="H2" s="2577"/>
      <c r="I2" s="2577"/>
      <c r="J2" s="2577"/>
      <c r="K2" s="2577"/>
      <c r="L2" s="2577"/>
      <c r="M2" s="2577"/>
      <c r="N2" s="2577"/>
      <c r="O2" s="2577"/>
      <c r="P2" s="2578"/>
      <c r="Q2" s="2334"/>
      <c r="R2" s="2334"/>
    </row>
    <row r="3" spans="1:35" ht="13.5" thickBot="1" x14ac:dyDescent="0.25">
      <c r="A3" s="541" t="str">
        <f>LTFP!A34</f>
        <v>2013/14</v>
      </c>
      <c r="B3" s="28" t="str">
        <f>LTFP!B34</f>
        <v>2014/15</v>
      </c>
      <c r="C3" s="1759"/>
      <c r="D3" s="1760"/>
      <c r="E3" s="94" t="str">
        <f>LTFP!C34</f>
        <v>2015/16</v>
      </c>
      <c r="F3" s="1436" t="s">
        <v>492</v>
      </c>
      <c r="G3" s="94" t="str">
        <f>LTFP!D34</f>
        <v>2016/17</v>
      </c>
      <c r="H3" s="94" t="str">
        <f>LTFP!F34</f>
        <v>2017/18</v>
      </c>
      <c r="I3" s="1622" t="str">
        <f>LTFP!H34</f>
        <v>2018/19</v>
      </c>
      <c r="J3" s="44" t="str">
        <f>LTFP!I34</f>
        <v>2019/20</v>
      </c>
      <c r="K3" s="94" t="str">
        <f>LTFP!J34</f>
        <v>2020/21</v>
      </c>
      <c r="L3" s="1761" t="str">
        <f>LTFP!K34</f>
        <v>2021/22</v>
      </c>
      <c r="M3" s="94" t="str">
        <f>LTFP!L34</f>
        <v>2022/23</v>
      </c>
      <c r="N3" s="847" t="str">
        <f>LTFP!M34</f>
        <v>2023/24</v>
      </c>
      <c r="O3" s="94" t="str">
        <f>LTFP!N34</f>
        <v>2024/25</v>
      </c>
      <c r="P3" s="1762" t="str">
        <f>LTFP!O34</f>
        <v>2025/26</v>
      </c>
      <c r="Q3" s="1762" t="str">
        <f>LTFP!P34</f>
        <v>2026/27</v>
      </c>
      <c r="R3" s="1762" t="str">
        <f>LTFP!Q34</f>
        <v>2027/28</v>
      </c>
      <c r="T3" s="65" t="s">
        <v>5778</v>
      </c>
      <c r="U3" s="1679" t="str">
        <f>B3</f>
        <v>2014/15</v>
      </c>
      <c r="V3" s="1679" t="str">
        <f t="shared" ref="V3:AG3" si="0">E3</f>
        <v>2015/16</v>
      </c>
      <c r="W3" s="1679" t="str">
        <f t="shared" si="0"/>
        <v>%</v>
      </c>
      <c r="X3" s="1679" t="str">
        <f t="shared" si="0"/>
        <v>2016/17</v>
      </c>
      <c r="Y3" s="1679" t="str">
        <f t="shared" si="0"/>
        <v>2017/18</v>
      </c>
      <c r="Z3" s="1679" t="str">
        <f t="shared" si="0"/>
        <v>2018/19</v>
      </c>
      <c r="AA3" s="1679" t="str">
        <f t="shared" si="0"/>
        <v>2019/20</v>
      </c>
      <c r="AB3" s="1679" t="str">
        <f t="shared" si="0"/>
        <v>2020/21</v>
      </c>
      <c r="AC3" s="1679" t="str">
        <f t="shared" si="0"/>
        <v>2021/22</v>
      </c>
      <c r="AD3" s="1679" t="str">
        <f t="shared" si="0"/>
        <v>2022/23</v>
      </c>
      <c r="AE3" s="1679" t="str">
        <f t="shared" si="0"/>
        <v>2023/24</v>
      </c>
      <c r="AF3" s="1679" t="str">
        <f t="shared" si="0"/>
        <v>2024/25</v>
      </c>
      <c r="AG3" s="1679" t="str">
        <f t="shared" si="0"/>
        <v>2025/26</v>
      </c>
      <c r="AH3" s="2333" t="str">
        <f t="shared" ref="AH3:AI3" si="1">Q3</f>
        <v>2026/27</v>
      </c>
      <c r="AI3" s="2333" t="str">
        <f t="shared" si="1"/>
        <v>2027/28</v>
      </c>
    </row>
    <row r="4" spans="1:35" x14ac:dyDescent="0.2">
      <c r="A4" s="528"/>
      <c r="B4" s="150"/>
      <c r="C4" s="1763"/>
      <c r="D4" s="1764"/>
      <c r="E4" s="1765"/>
      <c r="F4" s="1766"/>
      <c r="G4" s="1765"/>
      <c r="H4" s="1765"/>
      <c r="I4" s="1767"/>
      <c r="J4" s="1765"/>
      <c r="K4" s="1765"/>
      <c r="L4" s="1768"/>
      <c r="M4" s="1765"/>
      <c r="N4" s="1767"/>
      <c r="O4" s="1765"/>
      <c r="P4" s="1769"/>
      <c r="Q4" s="1769"/>
      <c r="R4" s="1769"/>
      <c r="T4" s="65" t="s">
        <v>5779</v>
      </c>
    </row>
    <row r="5" spans="1:35" x14ac:dyDescent="0.2">
      <c r="A5" s="528"/>
      <c r="B5" s="150"/>
      <c r="C5" s="1763"/>
      <c r="D5" s="1770" t="s">
        <v>5634</v>
      </c>
      <c r="E5" s="1765"/>
      <c r="F5" s="1766"/>
      <c r="G5" s="1765"/>
      <c r="H5" s="1765"/>
      <c r="I5" s="1767"/>
      <c r="J5" s="1765"/>
      <c r="K5" s="1765"/>
      <c r="L5" s="1768"/>
      <c r="M5" s="1765"/>
      <c r="N5" s="1767"/>
      <c r="O5" s="1765"/>
      <c r="P5" s="1769"/>
      <c r="Q5" s="1769"/>
      <c r="R5" s="1769"/>
      <c r="T5" s="34" t="s">
        <v>2296</v>
      </c>
      <c r="U5" s="34">
        <f>ROUND(B8+B9+B10+B11+B12,-3)-2000</f>
        <v>527000</v>
      </c>
      <c r="V5" s="34">
        <f>ROUND(U5*Assumptions!F5+U5,-3)</f>
        <v>540000</v>
      </c>
      <c r="X5" s="34">
        <f>ROUND(V5*Assumptions!G5+V5,-3)</f>
        <v>551000</v>
      </c>
      <c r="Y5" s="34">
        <f>ROUND(X5*Assumptions!H5+X5,-3)</f>
        <v>559000</v>
      </c>
      <c r="Z5" s="34">
        <f>ROUND(Y5*Assumptions!I5+Y5,-3)</f>
        <v>572000</v>
      </c>
      <c r="AA5" s="34">
        <f>ROUND(Z5*Assumptions!J5+Z5,-3)</f>
        <v>586000</v>
      </c>
      <c r="AB5" s="34">
        <f>ROUND(AA5*Assumptions!K5+AA5,-3)</f>
        <v>601000</v>
      </c>
      <c r="AC5" s="34">
        <f>ROUND(AB5*Assumptions!L5+AB5,-3)</f>
        <v>616000</v>
      </c>
      <c r="AD5" s="34">
        <f>ROUND(AC5*Assumptions!M5+AC5,-3)</f>
        <v>631000</v>
      </c>
      <c r="AE5" s="34">
        <f>ROUND(AD5*Assumptions!N5+AD5,-3)</f>
        <v>647000</v>
      </c>
      <c r="AF5" s="34">
        <f>ROUND(AE5*Assumptions!O5+AE5,-3)</f>
        <v>663000</v>
      </c>
      <c r="AG5" s="34">
        <f>ROUND(AF5*Assumptions!P5+AF5,-3)</f>
        <v>680000</v>
      </c>
      <c r="AH5" s="34">
        <f>ROUND(AG5*Assumptions!Q5+AG5,-3)</f>
        <v>697000</v>
      </c>
      <c r="AI5" s="34">
        <f>ROUND(AH5*Assumptions!R5+AH5,-3)</f>
        <v>714000</v>
      </c>
    </row>
    <row r="6" spans="1:35" x14ac:dyDescent="0.2">
      <c r="A6" s="54"/>
      <c r="B6" s="9"/>
      <c r="C6" s="584"/>
      <c r="D6" s="46"/>
      <c r="E6" s="9"/>
      <c r="F6" s="9"/>
      <c r="G6" s="9"/>
      <c r="H6" s="9"/>
      <c r="I6" s="89"/>
      <c r="J6" s="9"/>
      <c r="K6" s="9"/>
      <c r="L6" s="46"/>
      <c r="M6" s="9"/>
      <c r="N6" s="89"/>
      <c r="O6" s="9"/>
      <c r="P6" s="61"/>
      <c r="Q6" s="61"/>
      <c r="R6" s="61"/>
      <c r="T6" s="34" t="s">
        <v>2337</v>
      </c>
      <c r="U6" s="34">
        <v>-220000</v>
      </c>
    </row>
    <row r="7" spans="1:35" x14ac:dyDescent="0.2">
      <c r="A7" s="45"/>
      <c r="B7" s="9"/>
      <c r="C7" s="584"/>
      <c r="D7" s="92" t="s">
        <v>5559</v>
      </c>
      <c r="E7" s="9"/>
      <c r="F7" s="9"/>
      <c r="G7" s="9"/>
      <c r="H7" s="9"/>
      <c r="I7" s="89"/>
      <c r="J7" s="9"/>
      <c r="K7" s="9"/>
      <c r="L7" s="46"/>
      <c r="M7" s="9"/>
      <c r="N7" s="89"/>
      <c r="O7" s="9"/>
      <c r="P7" s="61"/>
      <c r="Q7" s="61"/>
      <c r="R7" s="61"/>
      <c r="T7" s="34" t="s">
        <v>4154</v>
      </c>
      <c r="U7" s="34">
        <v>0</v>
      </c>
    </row>
    <row r="8" spans="1:35" x14ac:dyDescent="0.2">
      <c r="A8" s="45"/>
      <c r="B8" s="9">
        <v>263123.92</v>
      </c>
      <c r="C8" s="584" t="s">
        <v>1785</v>
      </c>
      <c r="D8" s="1250" t="s">
        <v>5560</v>
      </c>
      <c r="E8" s="9"/>
      <c r="F8" s="9"/>
      <c r="G8" s="9"/>
      <c r="H8" s="9"/>
      <c r="I8" s="89"/>
      <c r="J8" s="9"/>
      <c r="K8" s="9"/>
      <c r="L8" s="46"/>
      <c r="M8" s="9"/>
      <c r="N8" s="89"/>
      <c r="O8" s="9"/>
      <c r="P8" s="61"/>
      <c r="Q8" s="61"/>
      <c r="R8" s="61"/>
      <c r="T8" s="34" t="s">
        <v>420</v>
      </c>
      <c r="U8" s="34">
        <v>605400</v>
      </c>
      <c r="V8" s="34">
        <f>ROUND(U8*Assumptions!F5+U8,-3)</f>
        <v>620000</v>
      </c>
      <c r="X8" s="34">
        <f>ROUND(V8*Assumptions!G5+V8,-3)</f>
        <v>632000</v>
      </c>
      <c r="Y8" s="34">
        <f>ROUND(W8*Assumptions!H5+W8,-3)</f>
        <v>0</v>
      </c>
      <c r="Z8" s="34">
        <f>ROUND(X8*Assumptions!I5+X8,-3)</f>
        <v>647000</v>
      </c>
      <c r="AA8" s="34">
        <f>ROUND(Y8*Assumptions!J5+Y8,-3)</f>
        <v>0</v>
      </c>
      <c r="AB8" s="34">
        <f>ROUND(Z8*Assumptions!K5+Z8,-3)</f>
        <v>663000</v>
      </c>
      <c r="AC8" s="34">
        <f>ROUND(AA8*Assumptions!L5+AA8,-3)</f>
        <v>0</v>
      </c>
      <c r="AD8" s="34">
        <f>ROUND(AB8*Assumptions!M5+AB8,-3)</f>
        <v>680000</v>
      </c>
      <c r="AE8" s="34">
        <f>ROUND(AC8*Assumptions!N5+AC8,-3)</f>
        <v>0</v>
      </c>
      <c r="AF8" s="34">
        <f>ROUND(AD8*Assumptions!O5+AD8,-3)</f>
        <v>697000</v>
      </c>
      <c r="AG8" s="34">
        <f>ROUND(AE8*Assumptions!P5+AE8,-3)</f>
        <v>0</v>
      </c>
      <c r="AH8" s="34">
        <f>ROUND(AF8*Assumptions!Q5+AF8,-3)</f>
        <v>714000</v>
      </c>
      <c r="AI8" s="34">
        <f>ROUND(AG8*Assumptions!R5+AG8,-3)</f>
        <v>0</v>
      </c>
    </row>
    <row r="9" spans="1:35" x14ac:dyDescent="0.2">
      <c r="A9" s="45"/>
      <c r="B9" s="9">
        <v>1731.56</v>
      </c>
      <c r="C9" s="584"/>
      <c r="D9" s="1250" t="s">
        <v>5561</v>
      </c>
      <c r="E9" s="9"/>
      <c r="F9" s="9"/>
      <c r="G9" s="9"/>
      <c r="H9" s="9"/>
      <c r="I9" s="89"/>
      <c r="J9" s="9"/>
      <c r="K9" s="9"/>
      <c r="L9" s="46"/>
      <c r="M9" s="9"/>
      <c r="N9" s="89"/>
      <c r="O9" s="9"/>
      <c r="P9" s="61"/>
      <c r="Q9" s="61"/>
      <c r="R9" s="61"/>
      <c r="T9" s="34" t="s">
        <v>4164</v>
      </c>
      <c r="U9" s="34">
        <v>-316700</v>
      </c>
    </row>
    <row r="10" spans="1:35" x14ac:dyDescent="0.2">
      <c r="A10" s="45"/>
      <c r="B10" s="9">
        <v>228473.51</v>
      </c>
      <c r="C10" s="584"/>
      <c r="D10" s="1250" t="s">
        <v>5563</v>
      </c>
      <c r="E10" s="9"/>
      <c r="F10" s="9"/>
      <c r="G10" s="9"/>
      <c r="H10" s="9"/>
      <c r="I10" s="89"/>
      <c r="J10" s="9"/>
      <c r="K10" s="9"/>
      <c r="L10" s="46"/>
      <c r="M10" s="9"/>
      <c r="N10" s="89"/>
      <c r="O10" s="9"/>
      <c r="P10" s="61"/>
      <c r="Q10" s="61"/>
      <c r="R10" s="61"/>
      <c r="T10" s="34" t="s">
        <v>4165</v>
      </c>
      <c r="U10" s="34">
        <v>571600</v>
      </c>
    </row>
    <row r="11" spans="1:35" x14ac:dyDescent="0.2">
      <c r="A11" s="45"/>
      <c r="B11" s="9">
        <v>33265.839999999997</v>
      </c>
      <c r="C11" s="584"/>
      <c r="D11" s="772" t="s">
        <v>5574</v>
      </c>
      <c r="E11" s="9"/>
      <c r="F11" s="9"/>
      <c r="G11" s="9"/>
      <c r="H11" s="9"/>
      <c r="I11" s="89"/>
      <c r="J11" s="9"/>
      <c r="K11" s="9"/>
      <c r="L11" s="46"/>
      <c r="M11" s="9"/>
      <c r="N11" s="89"/>
      <c r="O11" s="9"/>
      <c r="P11" s="61"/>
      <c r="Q11" s="61"/>
      <c r="R11" s="61"/>
      <c r="T11" s="65" t="s">
        <v>5776</v>
      </c>
      <c r="U11" s="65">
        <f>SUM(U5:U10)</f>
        <v>1167300</v>
      </c>
      <c r="V11" s="65">
        <f t="shared" ref="V11:AF11" si="2">SUM(V5:V10)</f>
        <v>1160000</v>
      </c>
      <c r="W11" s="65">
        <f t="shared" si="2"/>
        <v>0</v>
      </c>
      <c r="X11" s="65">
        <f t="shared" si="2"/>
        <v>1183000</v>
      </c>
      <c r="Y11" s="65">
        <f t="shared" si="2"/>
        <v>559000</v>
      </c>
      <c r="Z11" s="65">
        <f t="shared" si="2"/>
        <v>1219000</v>
      </c>
      <c r="AA11" s="65">
        <f t="shared" si="2"/>
        <v>586000</v>
      </c>
      <c r="AB11" s="65">
        <f t="shared" si="2"/>
        <v>1264000</v>
      </c>
      <c r="AC11" s="65">
        <f t="shared" si="2"/>
        <v>616000</v>
      </c>
      <c r="AD11" s="65">
        <f t="shared" si="2"/>
        <v>1311000</v>
      </c>
      <c r="AE11" s="65">
        <f t="shared" si="2"/>
        <v>647000</v>
      </c>
      <c r="AF11" s="65">
        <f t="shared" si="2"/>
        <v>1360000</v>
      </c>
      <c r="AG11" s="65">
        <f t="shared" ref="AG11:AI11" si="3">SUM(AG5:AG10)</f>
        <v>680000</v>
      </c>
      <c r="AH11" s="65">
        <f t="shared" si="3"/>
        <v>1411000</v>
      </c>
      <c r="AI11" s="65">
        <f t="shared" si="3"/>
        <v>714000</v>
      </c>
    </row>
    <row r="12" spans="1:35" x14ac:dyDescent="0.2">
      <c r="A12" s="45"/>
      <c r="B12" s="9">
        <v>2384.16</v>
      </c>
      <c r="C12" s="584"/>
      <c r="D12" s="772" t="s">
        <v>3526</v>
      </c>
      <c r="E12" s="9"/>
      <c r="F12" s="9"/>
      <c r="G12" s="9"/>
      <c r="H12" s="9"/>
      <c r="I12" s="89"/>
      <c r="J12" s="9"/>
      <c r="K12" s="9"/>
      <c r="L12" s="46"/>
      <c r="M12" s="9"/>
      <c r="N12" s="89"/>
      <c r="O12" s="9"/>
      <c r="P12" s="61"/>
      <c r="Q12" s="61"/>
      <c r="R12" s="61"/>
    </row>
    <row r="13" spans="1:35" x14ac:dyDescent="0.2">
      <c r="A13" s="45"/>
      <c r="B13" s="9">
        <v>300124.59999999998</v>
      </c>
      <c r="C13" s="584"/>
      <c r="D13" s="1250" t="s">
        <v>5562</v>
      </c>
      <c r="E13" s="9"/>
      <c r="F13" s="9"/>
      <c r="G13" s="9"/>
      <c r="H13" s="9"/>
      <c r="I13" s="89"/>
      <c r="J13" s="9"/>
      <c r="K13" s="9"/>
      <c r="L13" s="46"/>
      <c r="M13" s="9"/>
      <c r="N13" s="89"/>
      <c r="O13" s="9"/>
      <c r="P13" s="61"/>
      <c r="Q13" s="61"/>
      <c r="R13" s="61"/>
      <c r="T13" s="65" t="s">
        <v>5780</v>
      </c>
    </row>
    <row r="14" spans="1:35" s="65" customFormat="1" x14ac:dyDescent="0.2">
      <c r="A14" s="1771">
        <f>SUM(A8:A13)</f>
        <v>0</v>
      </c>
      <c r="B14" s="791">
        <f>SUM(B8:B13)</f>
        <v>829103.59</v>
      </c>
      <c r="C14" s="1772"/>
      <c r="D14" s="1773" t="s">
        <v>752</v>
      </c>
      <c r="E14" s="791">
        <f t="shared" ref="E14:O14" si="4">SUM(E8:E13)</f>
        <v>0</v>
      </c>
      <c r="F14" s="791">
        <f t="shared" si="4"/>
        <v>0</v>
      </c>
      <c r="G14" s="791">
        <f t="shared" si="4"/>
        <v>0</v>
      </c>
      <c r="H14" s="791">
        <f t="shared" si="4"/>
        <v>0</v>
      </c>
      <c r="I14" s="865">
        <f t="shared" si="4"/>
        <v>0</v>
      </c>
      <c r="J14" s="791">
        <f t="shared" si="4"/>
        <v>0</v>
      </c>
      <c r="K14" s="791">
        <f t="shared" si="4"/>
        <v>0</v>
      </c>
      <c r="L14" s="1508">
        <f t="shared" si="4"/>
        <v>0</v>
      </c>
      <c r="M14" s="791">
        <f t="shared" si="4"/>
        <v>0</v>
      </c>
      <c r="N14" s="865">
        <f t="shared" si="4"/>
        <v>0</v>
      </c>
      <c r="O14" s="791">
        <f t="shared" si="4"/>
        <v>0</v>
      </c>
      <c r="P14" s="1001">
        <f t="shared" ref="P14:Q14" si="5">SUM(P8:P13)</f>
        <v>0</v>
      </c>
      <c r="Q14" s="1001">
        <f t="shared" si="5"/>
        <v>0</v>
      </c>
      <c r="R14" s="1001">
        <f t="shared" ref="R14" si="6">SUM(R8:R13)</f>
        <v>0</v>
      </c>
      <c r="T14" s="80" t="s">
        <v>4156</v>
      </c>
      <c r="U14" s="34">
        <v>0</v>
      </c>
    </row>
    <row r="15" spans="1:35" x14ac:dyDescent="0.2">
      <c r="A15" s="45"/>
      <c r="B15" s="9"/>
      <c r="C15" s="584"/>
      <c r="D15" s="46"/>
      <c r="E15" s="9"/>
      <c r="F15" s="9"/>
      <c r="G15" s="9"/>
      <c r="H15" s="9"/>
      <c r="I15" s="89"/>
      <c r="J15" s="9"/>
      <c r="K15" s="9"/>
      <c r="L15" s="46"/>
      <c r="M15" s="9"/>
      <c r="N15" s="89"/>
      <c r="O15" s="9"/>
      <c r="P15" s="61"/>
      <c r="Q15" s="61"/>
      <c r="R15" s="61"/>
      <c r="T15" s="80" t="s">
        <v>2152</v>
      </c>
      <c r="U15" s="34">
        <v>600</v>
      </c>
    </row>
    <row r="16" spans="1:35" x14ac:dyDescent="0.2">
      <c r="A16" s="45"/>
      <c r="B16" s="9"/>
      <c r="C16" s="584"/>
      <c r="D16" s="92" t="s">
        <v>5564</v>
      </c>
      <c r="E16" s="9"/>
      <c r="F16" s="9"/>
      <c r="G16" s="9"/>
      <c r="H16" s="9"/>
      <c r="I16" s="89"/>
      <c r="J16" s="9"/>
      <c r="K16" s="9"/>
      <c r="L16" s="46"/>
      <c r="M16" s="9"/>
      <c r="N16" s="89"/>
      <c r="O16" s="9"/>
      <c r="P16" s="61"/>
      <c r="Q16" s="61"/>
      <c r="R16" s="61"/>
      <c r="T16" s="80" t="s">
        <v>2336</v>
      </c>
      <c r="U16" s="34">
        <v>-2879600</v>
      </c>
    </row>
    <row r="17" spans="1:35" x14ac:dyDescent="0.2">
      <c r="A17" s="45"/>
      <c r="B17" s="9"/>
      <c r="C17" s="584"/>
      <c r="D17" s="46" t="s">
        <v>5565</v>
      </c>
      <c r="E17" s="9"/>
      <c r="F17" s="9"/>
      <c r="G17" s="9"/>
      <c r="H17" s="9"/>
      <c r="I17" s="89"/>
      <c r="J17" s="9"/>
      <c r="K17" s="9"/>
      <c r="L17" s="46"/>
      <c r="M17" s="9"/>
      <c r="N17" s="89"/>
      <c r="O17" s="9"/>
      <c r="P17" s="61"/>
      <c r="Q17" s="61"/>
      <c r="R17" s="61"/>
      <c r="T17" s="80" t="s">
        <v>4157</v>
      </c>
      <c r="U17" s="34">
        <v>-1700</v>
      </c>
    </row>
    <row r="18" spans="1:35" x14ac:dyDescent="0.2">
      <c r="A18" s="45"/>
      <c r="B18" s="9"/>
      <c r="C18" s="584"/>
      <c r="D18" s="46" t="s">
        <v>5566</v>
      </c>
      <c r="E18" s="9"/>
      <c r="F18" s="9"/>
      <c r="G18" s="9"/>
      <c r="H18" s="9"/>
      <c r="I18" s="89"/>
      <c r="J18" s="9"/>
      <c r="K18" s="9"/>
      <c r="L18" s="46"/>
      <c r="M18" s="9"/>
      <c r="N18" s="89"/>
      <c r="O18" s="9"/>
      <c r="P18" s="61"/>
      <c r="Q18" s="61"/>
      <c r="R18" s="61"/>
      <c r="T18" s="80" t="s">
        <v>408</v>
      </c>
      <c r="U18" s="34">
        <v>3668500</v>
      </c>
      <c r="V18" s="34">
        <f>V11</f>
        <v>1160000</v>
      </c>
      <c r="X18" s="34">
        <f>X11</f>
        <v>1183000</v>
      </c>
      <c r="Y18" s="34">
        <f t="shared" ref="Y18:AF18" si="7">Y11</f>
        <v>559000</v>
      </c>
      <c r="Z18" s="34">
        <f t="shared" si="7"/>
        <v>1219000</v>
      </c>
      <c r="AA18" s="34">
        <f t="shared" si="7"/>
        <v>586000</v>
      </c>
      <c r="AB18" s="34">
        <f t="shared" si="7"/>
        <v>1264000</v>
      </c>
      <c r="AC18" s="34">
        <f t="shared" si="7"/>
        <v>616000</v>
      </c>
      <c r="AD18" s="34">
        <f t="shared" si="7"/>
        <v>1311000</v>
      </c>
      <c r="AE18" s="34">
        <f t="shared" si="7"/>
        <v>647000</v>
      </c>
      <c r="AF18" s="34">
        <f t="shared" si="7"/>
        <v>1360000</v>
      </c>
      <c r="AG18" s="34">
        <f t="shared" ref="AG18:AI18" si="8">AG11</f>
        <v>680000</v>
      </c>
      <c r="AH18" s="34">
        <f t="shared" si="8"/>
        <v>1411000</v>
      </c>
      <c r="AI18" s="34">
        <f t="shared" si="8"/>
        <v>714000</v>
      </c>
    </row>
    <row r="19" spans="1:35" x14ac:dyDescent="0.2">
      <c r="A19" s="45"/>
      <c r="B19" s="9"/>
      <c r="C19" s="584"/>
      <c r="D19" s="46" t="s">
        <v>5567</v>
      </c>
      <c r="E19" s="9"/>
      <c r="F19" s="9"/>
      <c r="G19" s="9"/>
      <c r="H19" s="9"/>
      <c r="I19" s="89"/>
      <c r="J19" s="9"/>
      <c r="K19" s="9"/>
      <c r="L19" s="46"/>
      <c r="M19" s="9"/>
      <c r="N19" s="89"/>
      <c r="O19" s="9"/>
      <c r="P19" s="61"/>
      <c r="Q19" s="61"/>
      <c r="R19" s="61"/>
      <c r="T19" s="80" t="s">
        <v>4158</v>
      </c>
      <c r="U19" s="80">
        <v>1853000</v>
      </c>
    </row>
    <row r="20" spans="1:35" x14ac:dyDescent="0.2">
      <c r="A20" s="45"/>
      <c r="B20" s="9">
        <v>81182.070000000007</v>
      </c>
      <c r="C20" s="584"/>
      <c r="D20" s="31" t="s">
        <v>5571</v>
      </c>
      <c r="E20" s="9"/>
      <c r="F20" s="9"/>
      <c r="G20" s="9"/>
      <c r="H20" s="9"/>
      <c r="I20" s="89"/>
      <c r="J20" s="9"/>
      <c r="K20" s="9"/>
      <c r="L20" s="46"/>
      <c r="M20" s="9"/>
      <c r="N20" s="89"/>
      <c r="O20" s="9"/>
      <c r="P20" s="61"/>
      <c r="Q20" s="61"/>
      <c r="R20" s="61"/>
      <c r="T20" s="65" t="s">
        <v>5776</v>
      </c>
      <c r="U20" s="65">
        <f>SUM(U14:U19)</f>
        <v>2640800</v>
      </c>
      <c r="V20" s="65">
        <f t="shared" ref="V20:AF20" si="9">SUM(V14:V19)</f>
        <v>1160000</v>
      </c>
      <c r="W20" s="65"/>
      <c r="X20" s="65">
        <f t="shared" si="9"/>
        <v>1183000</v>
      </c>
      <c r="Y20" s="65">
        <f t="shared" si="9"/>
        <v>559000</v>
      </c>
      <c r="Z20" s="65">
        <f t="shared" si="9"/>
        <v>1219000</v>
      </c>
      <c r="AA20" s="65">
        <f t="shared" si="9"/>
        <v>586000</v>
      </c>
      <c r="AB20" s="65">
        <f t="shared" si="9"/>
        <v>1264000</v>
      </c>
      <c r="AC20" s="65">
        <f t="shared" si="9"/>
        <v>616000</v>
      </c>
      <c r="AD20" s="65">
        <f t="shared" si="9"/>
        <v>1311000</v>
      </c>
      <c r="AE20" s="65">
        <f t="shared" si="9"/>
        <v>647000</v>
      </c>
      <c r="AF20" s="65">
        <f t="shared" si="9"/>
        <v>1360000</v>
      </c>
      <c r="AG20" s="65">
        <f t="shared" ref="AG20:AI20" si="10">SUM(AG14:AG19)</f>
        <v>680000</v>
      </c>
      <c r="AH20" s="65">
        <f t="shared" si="10"/>
        <v>1411000</v>
      </c>
      <c r="AI20" s="65">
        <f t="shared" si="10"/>
        <v>714000</v>
      </c>
    </row>
    <row r="21" spans="1:35" x14ac:dyDescent="0.2">
      <c r="A21" s="45"/>
      <c r="B21" s="9">
        <v>0</v>
      </c>
      <c r="C21" s="584"/>
      <c r="D21" s="31" t="s">
        <v>5572</v>
      </c>
      <c r="E21" s="9"/>
      <c r="F21" s="9"/>
      <c r="G21" s="9"/>
      <c r="H21" s="9"/>
      <c r="I21" s="89"/>
      <c r="J21" s="9"/>
      <c r="K21" s="9"/>
      <c r="L21" s="46"/>
      <c r="M21" s="9"/>
      <c r="N21" s="89"/>
      <c r="O21" s="9"/>
      <c r="P21" s="61"/>
      <c r="Q21" s="61"/>
      <c r="R21" s="61"/>
      <c r="T21" s="65"/>
      <c r="U21" s="65"/>
    </row>
    <row r="22" spans="1:35" x14ac:dyDescent="0.2">
      <c r="A22" s="45"/>
      <c r="B22" s="9">
        <v>2931884</v>
      </c>
      <c r="C22" s="584"/>
      <c r="D22" s="46" t="s">
        <v>5568</v>
      </c>
      <c r="E22" s="9"/>
      <c r="F22" s="9"/>
      <c r="G22" s="9"/>
      <c r="H22" s="9"/>
      <c r="I22" s="89"/>
      <c r="J22" s="9"/>
      <c r="K22" s="9"/>
      <c r="L22" s="46"/>
      <c r="M22" s="9"/>
      <c r="N22" s="89"/>
      <c r="O22" s="9"/>
      <c r="P22" s="61"/>
      <c r="Q22" s="61"/>
      <c r="R22" s="61"/>
      <c r="T22" s="65"/>
      <c r="U22" s="65"/>
      <c r="AA22" s="65"/>
    </row>
    <row r="23" spans="1:35" x14ac:dyDescent="0.2">
      <c r="A23" s="45"/>
      <c r="B23" s="9">
        <v>505263</v>
      </c>
      <c r="C23" s="584"/>
      <c r="D23" s="31" t="s">
        <v>5573</v>
      </c>
      <c r="E23" s="9"/>
      <c r="F23" s="9"/>
      <c r="G23" s="9"/>
      <c r="H23" s="9"/>
      <c r="I23" s="89"/>
      <c r="J23" s="9"/>
      <c r="K23" s="9"/>
      <c r="L23" s="46"/>
      <c r="M23" s="9"/>
      <c r="N23" s="89"/>
      <c r="O23" s="9"/>
      <c r="P23" s="61"/>
      <c r="Q23" s="61"/>
      <c r="R23" s="61"/>
      <c r="T23" s="65"/>
      <c r="U23" s="65"/>
      <c r="AA23" s="65"/>
    </row>
    <row r="24" spans="1:35" s="65" customFormat="1" x14ac:dyDescent="0.2">
      <c r="A24" s="1771">
        <f>SUM(A16:A23)</f>
        <v>0</v>
      </c>
      <c r="B24" s="791">
        <f>SUM(B16:B23)</f>
        <v>3518329.07</v>
      </c>
      <c r="C24" s="1772"/>
      <c r="D24" s="1508" t="s">
        <v>752</v>
      </c>
      <c r="E24" s="791">
        <f>SUM(E16:E23)</f>
        <v>0</v>
      </c>
      <c r="F24" s="791"/>
      <c r="G24" s="791">
        <f t="shared" ref="G24:O24" si="11">SUM(G16:G23)</f>
        <v>0</v>
      </c>
      <c r="H24" s="791">
        <f t="shared" si="11"/>
        <v>0</v>
      </c>
      <c r="I24" s="865">
        <f t="shared" si="11"/>
        <v>0</v>
      </c>
      <c r="J24" s="791">
        <f t="shared" si="11"/>
        <v>0</v>
      </c>
      <c r="K24" s="791">
        <f t="shared" si="11"/>
        <v>0</v>
      </c>
      <c r="L24" s="1508">
        <f t="shared" si="11"/>
        <v>0</v>
      </c>
      <c r="M24" s="791">
        <f t="shared" si="11"/>
        <v>0</v>
      </c>
      <c r="N24" s="865">
        <f t="shared" si="11"/>
        <v>0</v>
      </c>
      <c r="O24" s="791">
        <f t="shared" si="11"/>
        <v>0</v>
      </c>
      <c r="P24" s="1001">
        <f t="shared" ref="P24:Q24" si="12">SUM(P16:P23)</f>
        <v>0</v>
      </c>
      <c r="Q24" s="1001">
        <f t="shared" si="12"/>
        <v>0</v>
      </c>
      <c r="R24" s="1001">
        <f t="shared" ref="R24" si="13">SUM(R16:R23)</f>
        <v>0</v>
      </c>
    </row>
    <row r="25" spans="1:35" s="65" customFormat="1" x14ac:dyDescent="0.2">
      <c r="A25" s="1774"/>
      <c r="B25" s="63"/>
      <c r="C25" s="584"/>
      <c r="D25" s="92"/>
      <c r="E25" s="63"/>
      <c r="F25" s="63"/>
      <c r="G25" s="63"/>
      <c r="H25" s="63"/>
      <c r="I25" s="107"/>
      <c r="J25" s="63"/>
      <c r="K25" s="63"/>
      <c r="L25" s="92"/>
      <c r="M25" s="63"/>
      <c r="N25" s="107"/>
      <c r="O25" s="63"/>
      <c r="P25" s="106"/>
      <c r="Q25" s="106"/>
      <c r="R25" s="106"/>
    </row>
    <row r="26" spans="1:35" s="65" customFormat="1" x14ac:dyDescent="0.2">
      <c r="A26" s="1774"/>
      <c r="B26" s="63"/>
      <c r="C26" s="584"/>
      <c r="D26" s="92" t="s">
        <v>5575</v>
      </c>
      <c r="E26" s="63"/>
      <c r="F26" s="63"/>
      <c r="G26" s="63"/>
      <c r="H26" s="63"/>
      <c r="I26" s="107"/>
      <c r="J26" s="63"/>
      <c r="K26" s="63"/>
      <c r="L26" s="92"/>
      <c r="M26" s="63"/>
      <c r="N26" s="107"/>
      <c r="O26" s="63"/>
      <c r="P26" s="106"/>
      <c r="Q26" s="106"/>
      <c r="R26" s="106"/>
    </row>
    <row r="27" spans="1:35" s="65" customFormat="1" x14ac:dyDescent="0.2">
      <c r="A27" s="1774"/>
      <c r="B27" s="9"/>
      <c r="C27" s="584" t="s">
        <v>5576</v>
      </c>
      <c r="D27" s="31" t="s">
        <v>5577</v>
      </c>
      <c r="E27" s="63"/>
      <c r="F27" s="63"/>
      <c r="G27" s="63"/>
      <c r="H27" s="63"/>
      <c r="I27" s="107"/>
      <c r="J27" s="63"/>
      <c r="K27" s="63"/>
      <c r="L27" s="92"/>
      <c r="M27" s="63"/>
      <c r="N27" s="107"/>
      <c r="O27" s="63"/>
      <c r="P27" s="106"/>
      <c r="Q27" s="106"/>
      <c r="R27" s="106"/>
    </row>
    <row r="28" spans="1:35" s="65" customFormat="1" x14ac:dyDescent="0.2">
      <c r="A28" s="1774"/>
      <c r="B28" s="9">
        <v>194116.65</v>
      </c>
      <c r="C28" s="584" t="s">
        <v>5578</v>
      </c>
      <c r="D28" s="31" t="s">
        <v>1733</v>
      </c>
      <c r="E28" s="63"/>
      <c r="F28" s="63"/>
      <c r="G28" s="63"/>
      <c r="H28" s="63"/>
      <c r="I28" s="107"/>
      <c r="J28" s="63"/>
      <c r="K28" s="63"/>
      <c r="L28" s="92"/>
      <c r="M28" s="63"/>
      <c r="N28" s="107"/>
      <c r="O28" s="63"/>
      <c r="P28" s="106"/>
      <c r="Q28" s="106"/>
      <c r="R28" s="106"/>
    </row>
    <row r="29" spans="1:35" s="65" customFormat="1" x14ac:dyDescent="0.2">
      <c r="A29" s="1774"/>
      <c r="B29" s="9"/>
      <c r="C29" s="584" t="s">
        <v>5579</v>
      </c>
      <c r="D29" s="31" t="s">
        <v>5580</v>
      </c>
      <c r="E29" s="63"/>
      <c r="F29" s="63"/>
      <c r="G29" s="63"/>
      <c r="H29" s="63"/>
      <c r="I29" s="107"/>
      <c r="J29" s="63"/>
      <c r="K29" s="63"/>
      <c r="L29" s="92"/>
      <c r="M29" s="63"/>
      <c r="N29" s="107"/>
      <c r="O29" s="63"/>
      <c r="P29" s="106"/>
      <c r="Q29" s="106"/>
      <c r="R29" s="106"/>
    </row>
    <row r="30" spans="1:35" s="65" customFormat="1" x14ac:dyDescent="0.2">
      <c r="A30" s="1774"/>
      <c r="B30" s="9">
        <v>247635.28</v>
      </c>
      <c r="C30" s="584" t="s">
        <v>5581</v>
      </c>
      <c r="D30" s="31" t="s">
        <v>5582</v>
      </c>
      <c r="E30" s="63"/>
      <c r="F30" s="63"/>
      <c r="G30" s="63"/>
      <c r="H30" s="63"/>
      <c r="I30" s="107"/>
      <c r="J30" s="63"/>
      <c r="K30" s="63"/>
      <c r="L30" s="92"/>
      <c r="M30" s="63"/>
      <c r="N30" s="107"/>
      <c r="O30" s="63"/>
      <c r="P30" s="106"/>
      <c r="Q30" s="106"/>
      <c r="R30" s="106"/>
    </row>
    <row r="31" spans="1:35" s="65" customFormat="1" x14ac:dyDescent="0.2">
      <c r="A31" s="1774"/>
      <c r="B31" s="9"/>
      <c r="C31" s="584" t="s">
        <v>5583</v>
      </c>
      <c r="D31" s="31" t="s">
        <v>5580</v>
      </c>
      <c r="E31" s="63"/>
      <c r="F31" s="63"/>
      <c r="G31" s="63"/>
      <c r="H31" s="63"/>
      <c r="I31" s="107"/>
      <c r="J31" s="63"/>
      <c r="K31" s="63"/>
      <c r="L31" s="92"/>
      <c r="M31" s="63"/>
      <c r="N31" s="107"/>
      <c r="O31" s="63"/>
      <c r="P31" s="106"/>
      <c r="Q31" s="106"/>
      <c r="R31" s="106"/>
    </row>
    <row r="32" spans="1:35" s="65" customFormat="1" x14ac:dyDescent="0.2">
      <c r="A32" s="1774"/>
      <c r="B32" s="9"/>
      <c r="C32" s="584" t="s">
        <v>5584</v>
      </c>
      <c r="D32" s="31" t="s">
        <v>5585</v>
      </c>
      <c r="E32" s="63"/>
      <c r="F32" s="63"/>
      <c r="G32" s="63"/>
      <c r="H32" s="63"/>
      <c r="I32" s="107"/>
      <c r="J32" s="63"/>
      <c r="K32" s="63"/>
      <c r="L32" s="92"/>
      <c r="M32" s="63"/>
      <c r="N32" s="107"/>
      <c r="O32" s="63"/>
      <c r="P32" s="106"/>
      <c r="Q32" s="106"/>
      <c r="R32" s="106"/>
    </row>
    <row r="33" spans="1:18" s="65" customFormat="1" x14ac:dyDescent="0.2">
      <c r="A33" s="1774"/>
      <c r="B33" s="9"/>
      <c r="C33" s="584" t="s">
        <v>5586</v>
      </c>
      <c r="D33" s="31" t="s">
        <v>5587</v>
      </c>
      <c r="E33" s="63"/>
      <c r="F33" s="63"/>
      <c r="G33" s="63"/>
      <c r="H33" s="63"/>
      <c r="I33" s="107"/>
      <c r="J33" s="63"/>
      <c r="K33" s="63"/>
      <c r="L33" s="92"/>
      <c r="M33" s="63"/>
      <c r="N33" s="107"/>
      <c r="O33" s="63"/>
      <c r="P33" s="106"/>
      <c r="Q33" s="106"/>
      <c r="R33" s="106"/>
    </row>
    <row r="34" spans="1:18" s="65" customFormat="1" x14ac:dyDescent="0.2">
      <c r="A34" s="1774"/>
      <c r="B34" s="9"/>
      <c r="C34" s="584" t="s">
        <v>5588</v>
      </c>
      <c r="D34" s="31" t="s">
        <v>5589</v>
      </c>
      <c r="E34" s="63"/>
      <c r="F34" s="63"/>
      <c r="G34" s="63"/>
      <c r="H34" s="63"/>
      <c r="I34" s="107"/>
      <c r="J34" s="63"/>
      <c r="K34" s="63"/>
      <c r="L34" s="92"/>
      <c r="M34" s="63"/>
      <c r="N34" s="107"/>
      <c r="O34" s="63"/>
      <c r="P34" s="106"/>
      <c r="Q34" s="106"/>
      <c r="R34" s="106"/>
    </row>
    <row r="35" spans="1:18" s="65" customFormat="1" x14ac:dyDescent="0.2">
      <c r="A35" s="1774"/>
      <c r="B35" s="9"/>
      <c r="C35" s="584" t="s">
        <v>5590</v>
      </c>
      <c r="D35" s="31" t="s">
        <v>5591</v>
      </c>
      <c r="E35" s="63"/>
      <c r="F35" s="63"/>
      <c r="G35" s="63"/>
      <c r="H35" s="63"/>
      <c r="I35" s="107"/>
      <c r="J35" s="63"/>
      <c r="K35" s="63"/>
      <c r="L35" s="92"/>
      <c r="M35" s="63"/>
      <c r="N35" s="107"/>
      <c r="O35" s="63"/>
      <c r="P35" s="106"/>
      <c r="Q35" s="106"/>
      <c r="R35" s="106"/>
    </row>
    <row r="36" spans="1:18" s="65" customFormat="1" x14ac:dyDescent="0.2">
      <c r="A36" s="1774"/>
      <c r="B36" s="9">
        <v>103800</v>
      </c>
      <c r="C36" s="584" t="s">
        <v>5592</v>
      </c>
      <c r="D36" s="31" t="s">
        <v>5593</v>
      </c>
      <c r="E36" s="63"/>
      <c r="F36" s="63"/>
      <c r="G36" s="63"/>
      <c r="H36" s="63"/>
      <c r="I36" s="107"/>
      <c r="J36" s="63"/>
      <c r="K36" s="63"/>
      <c r="L36" s="92"/>
      <c r="M36" s="63"/>
      <c r="N36" s="107"/>
      <c r="O36" s="63"/>
      <c r="P36" s="106"/>
      <c r="Q36" s="106"/>
      <c r="R36" s="106"/>
    </row>
    <row r="37" spans="1:18" s="65" customFormat="1" x14ac:dyDescent="0.2">
      <c r="A37" s="1774"/>
      <c r="B37" s="9">
        <v>0</v>
      </c>
      <c r="C37" s="584" t="s">
        <v>5594</v>
      </c>
      <c r="D37" s="31" t="s">
        <v>5593</v>
      </c>
      <c r="E37" s="63"/>
      <c r="F37" s="63"/>
      <c r="G37" s="63"/>
      <c r="H37" s="63"/>
      <c r="I37" s="107"/>
      <c r="J37" s="63"/>
      <c r="K37" s="63"/>
      <c r="L37" s="92"/>
      <c r="M37" s="63"/>
      <c r="N37" s="107"/>
      <c r="O37" s="63"/>
      <c r="P37" s="106"/>
      <c r="Q37" s="106"/>
      <c r="R37" s="106"/>
    </row>
    <row r="38" spans="1:18" s="65" customFormat="1" x14ac:dyDescent="0.2">
      <c r="A38" s="1774"/>
      <c r="B38" s="9"/>
      <c r="C38" s="584" t="s">
        <v>5595</v>
      </c>
      <c r="D38" s="31" t="s">
        <v>5596</v>
      </c>
      <c r="E38" s="63"/>
      <c r="F38" s="63"/>
      <c r="G38" s="63"/>
      <c r="H38" s="63"/>
      <c r="I38" s="107"/>
      <c r="J38" s="63"/>
      <c r="K38" s="63"/>
      <c r="L38" s="92"/>
      <c r="M38" s="63"/>
      <c r="N38" s="107"/>
      <c r="O38" s="63"/>
      <c r="P38" s="106"/>
      <c r="Q38" s="106"/>
      <c r="R38" s="106"/>
    </row>
    <row r="39" spans="1:18" s="65" customFormat="1" x14ac:dyDescent="0.2">
      <c r="A39" s="1774"/>
      <c r="B39" s="9">
        <v>104927.94</v>
      </c>
      <c r="C39" s="584" t="s">
        <v>5597</v>
      </c>
      <c r="D39" s="31" t="s">
        <v>5598</v>
      </c>
      <c r="E39" s="63"/>
      <c r="F39" s="63"/>
      <c r="G39" s="63"/>
      <c r="H39" s="63"/>
      <c r="I39" s="107"/>
      <c r="J39" s="63"/>
      <c r="K39" s="63"/>
      <c r="L39" s="92"/>
      <c r="M39" s="63"/>
      <c r="N39" s="107"/>
      <c r="O39" s="63"/>
      <c r="P39" s="106"/>
      <c r="Q39" s="106"/>
      <c r="R39" s="106"/>
    </row>
    <row r="40" spans="1:18" s="65" customFormat="1" x14ac:dyDescent="0.2">
      <c r="A40" s="1774"/>
      <c r="B40" s="9"/>
      <c r="C40" s="584" t="s">
        <v>5599</v>
      </c>
      <c r="D40" s="31" t="s">
        <v>5580</v>
      </c>
      <c r="E40" s="63"/>
      <c r="F40" s="63"/>
      <c r="G40" s="63"/>
      <c r="H40" s="63"/>
      <c r="I40" s="107"/>
      <c r="J40" s="63"/>
      <c r="K40" s="63"/>
      <c r="L40" s="92"/>
      <c r="M40" s="63"/>
      <c r="N40" s="107"/>
      <c r="O40" s="63"/>
      <c r="P40" s="106"/>
      <c r="Q40" s="106"/>
      <c r="R40" s="106"/>
    </row>
    <row r="41" spans="1:18" s="65" customFormat="1" x14ac:dyDescent="0.2">
      <c r="A41" s="1774"/>
      <c r="B41" s="9"/>
      <c r="C41" s="584" t="s">
        <v>5600</v>
      </c>
      <c r="D41" s="31" t="s">
        <v>5580</v>
      </c>
      <c r="E41" s="63"/>
      <c r="F41" s="63"/>
      <c r="G41" s="63"/>
      <c r="H41" s="63"/>
      <c r="I41" s="107"/>
      <c r="J41" s="63"/>
      <c r="K41" s="63"/>
      <c r="L41" s="92"/>
      <c r="M41" s="63"/>
      <c r="N41" s="107"/>
      <c r="O41" s="63"/>
      <c r="P41" s="106"/>
      <c r="Q41" s="106"/>
      <c r="R41" s="106"/>
    </row>
    <row r="42" spans="1:18" s="65" customFormat="1" x14ac:dyDescent="0.2">
      <c r="A42" s="1774"/>
      <c r="B42" s="9">
        <v>9033.74</v>
      </c>
      <c r="C42" s="584" t="s">
        <v>5601</v>
      </c>
      <c r="D42" s="31" t="s">
        <v>1075</v>
      </c>
      <c r="E42" s="63"/>
      <c r="F42" s="63"/>
      <c r="G42" s="63"/>
      <c r="H42" s="63"/>
      <c r="I42" s="107"/>
      <c r="J42" s="63"/>
      <c r="K42" s="63"/>
      <c r="L42" s="92"/>
      <c r="M42" s="63"/>
      <c r="N42" s="107"/>
      <c r="O42" s="63"/>
      <c r="P42" s="106"/>
      <c r="Q42" s="106"/>
      <c r="R42" s="106"/>
    </row>
    <row r="43" spans="1:18" s="65" customFormat="1" x14ac:dyDescent="0.2">
      <c r="A43" s="1774"/>
      <c r="B43" s="9">
        <v>34254</v>
      </c>
      <c r="C43" s="584" t="s">
        <v>5602</v>
      </c>
      <c r="D43" s="31" t="s">
        <v>5603</v>
      </c>
      <c r="E43" s="63"/>
      <c r="F43" s="63"/>
      <c r="G43" s="63"/>
      <c r="H43" s="63"/>
      <c r="I43" s="107"/>
      <c r="J43" s="63"/>
      <c r="K43" s="63"/>
      <c r="L43" s="92"/>
      <c r="M43" s="63"/>
      <c r="N43" s="107"/>
      <c r="O43" s="63"/>
      <c r="P43" s="106"/>
      <c r="Q43" s="106"/>
      <c r="R43" s="106"/>
    </row>
    <row r="44" spans="1:18" s="65" customFormat="1" x14ac:dyDescent="0.2">
      <c r="A44" s="1774"/>
      <c r="B44" s="9">
        <v>432696</v>
      </c>
      <c r="C44" s="584" t="s">
        <v>5604</v>
      </c>
      <c r="D44" s="31" t="s">
        <v>5605</v>
      </c>
      <c r="E44" s="63"/>
      <c r="F44" s="63"/>
      <c r="G44" s="63"/>
      <c r="H44" s="63"/>
      <c r="I44" s="107"/>
      <c r="J44" s="63"/>
      <c r="K44" s="63"/>
      <c r="L44" s="92"/>
      <c r="M44" s="63"/>
      <c r="N44" s="107"/>
      <c r="O44" s="63"/>
      <c r="P44" s="106"/>
      <c r="Q44" s="106"/>
      <c r="R44" s="106"/>
    </row>
    <row r="45" spans="1:18" s="65" customFormat="1" x14ac:dyDescent="0.2">
      <c r="A45" s="1774"/>
      <c r="B45" s="9"/>
      <c r="C45" s="584" t="s">
        <v>5606</v>
      </c>
      <c r="D45" s="31" t="s">
        <v>5607</v>
      </c>
      <c r="E45" s="63"/>
      <c r="F45" s="63"/>
      <c r="G45" s="63"/>
      <c r="H45" s="63"/>
      <c r="I45" s="107"/>
      <c r="J45" s="63"/>
      <c r="K45" s="63"/>
      <c r="L45" s="92"/>
      <c r="M45" s="63"/>
      <c r="N45" s="107"/>
      <c r="O45" s="63"/>
      <c r="P45" s="106"/>
      <c r="Q45" s="106"/>
      <c r="R45" s="106"/>
    </row>
    <row r="46" spans="1:18" s="65" customFormat="1" x14ac:dyDescent="0.2">
      <c r="A46" s="1774"/>
      <c r="B46" s="9">
        <v>982354.8</v>
      </c>
      <c r="C46" s="584" t="s">
        <v>5608</v>
      </c>
      <c r="D46" s="31" t="s">
        <v>5609</v>
      </c>
      <c r="E46" s="63"/>
      <c r="F46" s="63"/>
      <c r="G46" s="63"/>
      <c r="H46" s="63"/>
      <c r="I46" s="107"/>
      <c r="J46" s="63"/>
      <c r="K46" s="63"/>
      <c r="L46" s="92"/>
      <c r="M46" s="63"/>
      <c r="N46" s="107"/>
      <c r="O46" s="63"/>
      <c r="P46" s="106"/>
      <c r="Q46" s="106"/>
      <c r="R46" s="106"/>
    </row>
    <row r="47" spans="1:18" s="65" customFormat="1" x14ac:dyDescent="0.2">
      <c r="A47" s="1774"/>
      <c r="B47" s="9">
        <v>314877.78000000003</v>
      </c>
      <c r="C47" s="584" t="s">
        <v>5610</v>
      </c>
      <c r="D47" s="31" t="s">
        <v>5611</v>
      </c>
      <c r="E47" s="63"/>
      <c r="F47" s="63"/>
      <c r="G47" s="63"/>
      <c r="H47" s="63"/>
      <c r="I47" s="107"/>
      <c r="J47" s="63"/>
      <c r="K47" s="63"/>
      <c r="L47" s="92"/>
      <c r="M47" s="63"/>
      <c r="N47" s="107"/>
      <c r="O47" s="63"/>
      <c r="P47" s="106"/>
      <c r="Q47" s="106"/>
      <c r="R47" s="106"/>
    </row>
    <row r="48" spans="1:18" s="65" customFormat="1" x14ac:dyDescent="0.2">
      <c r="A48" s="1774"/>
      <c r="B48" s="9">
        <v>1992358.08</v>
      </c>
      <c r="C48" s="584" t="s">
        <v>5612</v>
      </c>
      <c r="D48" s="31" t="s">
        <v>5613</v>
      </c>
      <c r="E48" s="63"/>
      <c r="F48" s="63"/>
      <c r="G48" s="63"/>
      <c r="H48" s="63"/>
      <c r="I48" s="107"/>
      <c r="J48" s="63"/>
      <c r="K48" s="63"/>
      <c r="L48" s="92"/>
      <c r="M48" s="63"/>
      <c r="N48" s="107"/>
      <c r="O48" s="63"/>
      <c r="P48" s="106"/>
      <c r="Q48" s="106"/>
      <c r="R48" s="106"/>
    </row>
    <row r="49" spans="1:21" s="65" customFormat="1" x14ac:dyDescent="0.2">
      <c r="A49" s="1774"/>
      <c r="B49" s="9">
        <v>530504.52</v>
      </c>
      <c r="C49" s="584" t="s">
        <v>5614</v>
      </c>
      <c r="D49" s="31" t="s">
        <v>5615</v>
      </c>
      <c r="E49" s="63"/>
      <c r="F49" s="63"/>
      <c r="G49" s="63"/>
      <c r="H49" s="63"/>
      <c r="I49" s="107"/>
      <c r="J49" s="63"/>
      <c r="K49" s="63"/>
      <c r="L49" s="92"/>
      <c r="M49" s="63"/>
      <c r="N49" s="107"/>
      <c r="O49" s="63"/>
      <c r="P49" s="106"/>
      <c r="Q49" s="106"/>
      <c r="R49" s="106"/>
    </row>
    <row r="50" spans="1:21" s="65" customFormat="1" x14ac:dyDescent="0.2">
      <c r="A50" s="1774"/>
      <c r="B50" s="9">
        <v>54000</v>
      </c>
      <c r="C50" s="584" t="s">
        <v>5616</v>
      </c>
      <c r="D50" s="31" t="s">
        <v>5617</v>
      </c>
      <c r="E50" s="63"/>
      <c r="F50" s="63"/>
      <c r="G50" s="63"/>
      <c r="H50" s="63"/>
      <c r="I50" s="107"/>
      <c r="J50" s="63"/>
      <c r="K50" s="63"/>
      <c r="L50" s="92"/>
      <c r="M50" s="63"/>
      <c r="N50" s="107"/>
      <c r="O50" s="63"/>
      <c r="P50" s="106"/>
      <c r="Q50" s="106"/>
      <c r="R50" s="106"/>
    </row>
    <row r="51" spans="1:21" s="65" customFormat="1" x14ac:dyDescent="0.2">
      <c r="A51" s="1774"/>
      <c r="B51" s="9">
        <v>3290</v>
      </c>
      <c r="C51" s="584" t="s">
        <v>5618</v>
      </c>
      <c r="D51" s="31" t="s">
        <v>5619</v>
      </c>
      <c r="E51" s="63"/>
      <c r="F51" s="63"/>
      <c r="G51" s="63"/>
      <c r="H51" s="63"/>
      <c r="I51" s="107"/>
      <c r="J51" s="63"/>
      <c r="K51" s="63"/>
      <c r="L51" s="92"/>
      <c r="M51" s="63"/>
      <c r="N51" s="107"/>
      <c r="O51" s="63"/>
      <c r="P51" s="106"/>
      <c r="Q51" s="106"/>
      <c r="R51" s="106"/>
    </row>
    <row r="52" spans="1:21" s="65" customFormat="1" x14ac:dyDescent="0.2">
      <c r="A52" s="1774"/>
      <c r="B52" s="9">
        <v>105200</v>
      </c>
      <c r="C52" s="584" t="s">
        <v>5620</v>
      </c>
      <c r="D52" s="31" t="s">
        <v>5621</v>
      </c>
      <c r="E52" s="63"/>
      <c r="F52" s="63"/>
      <c r="G52" s="63"/>
      <c r="H52" s="63"/>
      <c r="I52" s="107"/>
      <c r="J52" s="63"/>
      <c r="K52" s="63"/>
      <c r="L52" s="92"/>
      <c r="M52" s="63"/>
      <c r="N52" s="107"/>
      <c r="O52" s="63"/>
      <c r="P52" s="106"/>
      <c r="Q52" s="106"/>
      <c r="R52" s="106"/>
    </row>
    <row r="53" spans="1:21" s="65" customFormat="1" x14ac:dyDescent="0.2">
      <c r="A53" s="1774"/>
      <c r="B53" s="9">
        <v>440000</v>
      </c>
      <c r="C53" s="584" t="s">
        <v>5622</v>
      </c>
      <c r="D53" s="31" t="s">
        <v>5623</v>
      </c>
      <c r="E53" s="63"/>
      <c r="F53" s="63"/>
      <c r="G53" s="63"/>
      <c r="H53" s="63"/>
      <c r="I53" s="107"/>
      <c r="J53" s="63"/>
      <c r="K53" s="63"/>
      <c r="L53" s="92"/>
      <c r="M53" s="63"/>
      <c r="N53" s="107"/>
      <c r="O53" s="63"/>
      <c r="P53" s="106"/>
      <c r="Q53" s="106"/>
      <c r="R53" s="106"/>
    </row>
    <row r="54" spans="1:21" s="65" customFormat="1" x14ac:dyDescent="0.2">
      <c r="A54" s="1774"/>
      <c r="B54" s="9">
        <v>393.75</v>
      </c>
      <c r="C54" s="584" t="s">
        <v>5624</v>
      </c>
      <c r="D54" s="31" t="s">
        <v>5625</v>
      </c>
      <c r="E54" s="63"/>
      <c r="F54" s="63"/>
      <c r="G54" s="63"/>
      <c r="H54" s="63"/>
      <c r="I54" s="107"/>
      <c r="J54" s="63"/>
      <c r="K54" s="63"/>
      <c r="L54" s="92"/>
      <c r="M54" s="63"/>
      <c r="N54" s="107"/>
      <c r="O54" s="63"/>
      <c r="P54" s="106"/>
      <c r="Q54" s="106"/>
      <c r="R54" s="106"/>
    </row>
    <row r="55" spans="1:21" s="65" customFormat="1" x14ac:dyDescent="0.2">
      <c r="A55" s="1774"/>
      <c r="B55" s="9">
        <v>241445.18</v>
      </c>
      <c r="C55" s="584" t="s">
        <v>5626</v>
      </c>
      <c r="D55" s="31" t="s">
        <v>5627</v>
      </c>
      <c r="E55" s="63"/>
      <c r="F55" s="63"/>
      <c r="G55" s="63"/>
      <c r="H55" s="63"/>
      <c r="I55" s="107"/>
      <c r="J55" s="63"/>
      <c r="K55" s="63"/>
      <c r="L55" s="92"/>
      <c r="M55" s="63"/>
      <c r="N55" s="107"/>
      <c r="O55" s="63"/>
      <c r="P55" s="106"/>
      <c r="Q55" s="106"/>
      <c r="R55" s="106"/>
    </row>
    <row r="56" spans="1:21" s="65" customFormat="1" x14ac:dyDescent="0.2">
      <c r="A56" s="1774"/>
      <c r="B56" s="9">
        <v>210423.67999999999</v>
      </c>
      <c r="C56" s="584" t="s">
        <v>5628</v>
      </c>
      <c r="D56" s="31" t="s">
        <v>5629</v>
      </c>
      <c r="E56" s="63"/>
      <c r="F56" s="63"/>
      <c r="G56" s="63"/>
      <c r="H56" s="63"/>
      <c r="I56" s="107"/>
      <c r="J56" s="63"/>
      <c r="K56" s="63"/>
      <c r="L56" s="92"/>
      <c r="M56" s="63"/>
      <c r="N56" s="107"/>
      <c r="O56" s="63"/>
      <c r="P56" s="106"/>
      <c r="Q56" s="106"/>
      <c r="R56" s="106"/>
      <c r="T56" s="34"/>
      <c r="U56" s="34"/>
    </row>
    <row r="57" spans="1:21" s="65" customFormat="1" x14ac:dyDescent="0.2">
      <c r="A57" s="1774"/>
      <c r="B57" s="9">
        <v>118954.85</v>
      </c>
      <c r="C57" s="584" t="s">
        <v>5630</v>
      </c>
      <c r="D57" s="31" t="s">
        <v>5631</v>
      </c>
      <c r="E57" s="63"/>
      <c r="F57" s="63"/>
      <c r="G57" s="63"/>
      <c r="H57" s="63"/>
      <c r="I57" s="107"/>
      <c r="J57" s="63"/>
      <c r="K57" s="63"/>
      <c r="L57" s="92"/>
      <c r="M57" s="63"/>
      <c r="N57" s="107"/>
      <c r="O57" s="63"/>
      <c r="P57" s="106"/>
      <c r="Q57" s="106"/>
      <c r="R57" s="106"/>
      <c r="T57" s="34"/>
      <c r="U57" s="34"/>
    </row>
    <row r="58" spans="1:21" s="65" customFormat="1" x14ac:dyDescent="0.2">
      <c r="A58" s="1774"/>
      <c r="B58" s="9">
        <v>29462.07</v>
      </c>
      <c r="C58" s="584" t="s">
        <v>5632</v>
      </c>
      <c r="D58" s="31" t="s">
        <v>5633</v>
      </c>
      <c r="E58" s="63"/>
      <c r="F58" s="63"/>
      <c r="G58" s="63"/>
      <c r="H58" s="63"/>
      <c r="I58" s="107"/>
      <c r="J58" s="63"/>
      <c r="K58" s="63"/>
      <c r="L58" s="92"/>
      <c r="M58" s="63"/>
      <c r="N58" s="107"/>
      <c r="O58" s="63"/>
      <c r="P58" s="106"/>
      <c r="Q58" s="106"/>
      <c r="R58" s="106"/>
      <c r="T58" s="34"/>
      <c r="U58" s="34"/>
    </row>
    <row r="59" spans="1:21" s="65" customFormat="1" x14ac:dyDescent="0.2">
      <c r="A59" s="1771">
        <f>SUM(A51:A58)</f>
        <v>0</v>
      </c>
      <c r="B59" s="791">
        <f>SUM(B27:B58)</f>
        <v>6149728.3200000003</v>
      </c>
      <c r="C59" s="1772"/>
      <c r="D59" s="1508" t="s">
        <v>752</v>
      </c>
      <c r="E59" s="791">
        <f t="shared" ref="E59:O59" si="14">SUM(E27:E58)</f>
        <v>0</v>
      </c>
      <c r="F59" s="791"/>
      <c r="G59" s="791">
        <f t="shared" si="14"/>
        <v>0</v>
      </c>
      <c r="H59" s="791">
        <f t="shared" si="14"/>
        <v>0</v>
      </c>
      <c r="I59" s="865">
        <f t="shared" si="14"/>
        <v>0</v>
      </c>
      <c r="J59" s="791">
        <f t="shared" si="14"/>
        <v>0</v>
      </c>
      <c r="K59" s="791">
        <f t="shared" si="14"/>
        <v>0</v>
      </c>
      <c r="L59" s="1508">
        <f t="shared" si="14"/>
        <v>0</v>
      </c>
      <c r="M59" s="791">
        <f t="shared" si="14"/>
        <v>0</v>
      </c>
      <c r="N59" s="865">
        <f t="shared" si="14"/>
        <v>0</v>
      </c>
      <c r="O59" s="791">
        <f t="shared" si="14"/>
        <v>0</v>
      </c>
      <c r="P59" s="1001">
        <f t="shared" ref="P59:Q59" si="15">SUM(P27:P58)</f>
        <v>0</v>
      </c>
      <c r="Q59" s="1001">
        <f t="shared" si="15"/>
        <v>0</v>
      </c>
      <c r="R59" s="1001">
        <f t="shared" ref="R59" si="16">SUM(R27:R58)</f>
        <v>0</v>
      </c>
      <c r="T59" s="34"/>
      <c r="U59" s="34"/>
    </row>
    <row r="60" spans="1:21" s="65" customFormat="1" x14ac:dyDescent="0.2">
      <c r="A60" s="1774"/>
      <c r="B60" s="63"/>
      <c r="C60" s="584"/>
      <c r="D60" s="92"/>
      <c r="E60" s="63"/>
      <c r="F60" s="63"/>
      <c r="G60" s="63"/>
      <c r="H60" s="63"/>
      <c r="I60" s="107"/>
      <c r="J60" s="63"/>
      <c r="K60" s="63"/>
      <c r="L60" s="92"/>
      <c r="M60" s="63"/>
      <c r="N60" s="107"/>
      <c r="O60" s="63"/>
      <c r="P60" s="106"/>
      <c r="Q60" s="106"/>
      <c r="R60" s="106"/>
    </row>
    <row r="61" spans="1:21" x14ac:dyDescent="0.2">
      <c r="A61" s="45"/>
      <c r="B61" s="9"/>
      <c r="C61" s="584"/>
      <c r="D61" s="46"/>
      <c r="E61" s="9"/>
      <c r="F61" s="9"/>
      <c r="G61" s="9"/>
      <c r="H61" s="9"/>
      <c r="I61" s="89"/>
      <c r="J61" s="9"/>
      <c r="K61" s="9"/>
      <c r="L61" s="46"/>
      <c r="M61" s="9"/>
      <c r="N61" s="89"/>
      <c r="O61" s="9"/>
      <c r="P61" s="61"/>
      <c r="Q61" s="61"/>
      <c r="R61" s="61"/>
    </row>
    <row r="62" spans="1:21" s="65" customFormat="1" x14ac:dyDescent="0.2">
      <c r="A62" s="1774">
        <f>A24+A14+A59</f>
        <v>0</v>
      </c>
      <c r="B62" s="63">
        <f>B24+B14+B59</f>
        <v>10497160.98</v>
      </c>
      <c r="C62" s="584"/>
      <c r="D62" s="1775" t="s">
        <v>5570</v>
      </c>
      <c r="E62" s="63">
        <f>E24+E14+E59</f>
        <v>0</v>
      </c>
      <c r="F62" s="220"/>
      <c r="G62" s="63">
        <f t="shared" ref="G62:O62" si="17">G24+G14+G59</f>
        <v>0</v>
      </c>
      <c r="H62" s="63">
        <f t="shared" si="17"/>
        <v>0</v>
      </c>
      <c r="I62" s="107">
        <f t="shared" si="17"/>
        <v>0</v>
      </c>
      <c r="J62" s="63">
        <f t="shared" si="17"/>
        <v>0</v>
      </c>
      <c r="K62" s="63">
        <f t="shared" si="17"/>
        <v>0</v>
      </c>
      <c r="L62" s="92">
        <f t="shared" si="17"/>
        <v>0</v>
      </c>
      <c r="M62" s="63">
        <f t="shared" si="17"/>
        <v>0</v>
      </c>
      <c r="N62" s="63">
        <f t="shared" si="17"/>
        <v>0</v>
      </c>
      <c r="O62" s="63">
        <f t="shared" si="17"/>
        <v>0</v>
      </c>
      <c r="P62" s="106">
        <f t="shared" ref="P62:Q62" si="18">P24+P14+P59</f>
        <v>0</v>
      </c>
      <c r="Q62" s="106">
        <f t="shared" si="18"/>
        <v>0</v>
      </c>
      <c r="R62" s="106">
        <f t="shared" ref="R62" si="19">R24+R14+R59</f>
        <v>0</v>
      </c>
      <c r="T62" s="34"/>
      <c r="U62" s="34"/>
    </row>
    <row r="63" spans="1:21" x14ac:dyDescent="0.2">
      <c r="A63" s="45"/>
      <c r="B63" s="9"/>
      <c r="C63" s="584"/>
      <c r="D63" s="46"/>
      <c r="E63" s="9"/>
      <c r="F63" s="9"/>
      <c r="G63" s="9"/>
      <c r="H63" s="9"/>
      <c r="I63" s="89"/>
      <c r="J63" s="9"/>
      <c r="K63" s="9"/>
      <c r="L63" s="46"/>
      <c r="M63" s="9"/>
      <c r="N63" s="89"/>
      <c r="O63" s="9"/>
      <c r="P63" s="61"/>
      <c r="Q63" s="61"/>
      <c r="R63" s="61"/>
    </row>
    <row r="64" spans="1:21" x14ac:dyDescent="0.2">
      <c r="A64" s="45"/>
      <c r="B64" s="9"/>
      <c r="C64" s="584"/>
      <c r="D64" s="46"/>
      <c r="E64" s="9"/>
      <c r="F64" s="9"/>
      <c r="G64" s="9"/>
      <c r="H64" s="9"/>
      <c r="I64" s="89"/>
      <c r="J64" s="9"/>
      <c r="K64" s="9"/>
      <c r="L64" s="46"/>
      <c r="M64" s="9"/>
      <c r="N64" s="89"/>
      <c r="O64" s="9"/>
      <c r="P64" s="61"/>
      <c r="Q64" s="61"/>
      <c r="R64" s="61"/>
    </row>
    <row r="65" spans="1:21" s="65" customFormat="1" x14ac:dyDescent="0.2">
      <c r="A65" s="1774"/>
      <c r="B65" s="63"/>
      <c r="C65" s="220"/>
      <c r="D65" s="92" t="s">
        <v>5635</v>
      </c>
      <c r="E65" s="63"/>
      <c r="F65" s="63"/>
      <c r="G65" s="63"/>
      <c r="H65" s="63"/>
      <c r="I65" s="107"/>
      <c r="J65" s="63"/>
      <c r="K65" s="63"/>
      <c r="L65" s="92"/>
      <c r="M65" s="63"/>
      <c r="N65" s="107"/>
      <c r="O65" s="63"/>
      <c r="P65" s="106"/>
      <c r="Q65" s="106"/>
      <c r="R65" s="106"/>
      <c r="T65" s="34"/>
      <c r="U65" s="34"/>
    </row>
    <row r="66" spans="1:21" x14ac:dyDescent="0.2">
      <c r="A66" s="45"/>
      <c r="B66" s="9"/>
      <c r="C66" s="584"/>
      <c r="D66" s="46"/>
      <c r="E66" s="9"/>
      <c r="F66" s="9"/>
      <c r="G66" s="9"/>
      <c r="H66" s="9"/>
      <c r="I66" s="89"/>
      <c r="J66" s="9"/>
      <c r="K66" s="9"/>
      <c r="L66" s="46"/>
      <c r="M66" s="9"/>
      <c r="N66" s="89"/>
      <c r="O66" s="9"/>
      <c r="P66" s="61"/>
      <c r="Q66" s="61"/>
      <c r="R66" s="61"/>
    </row>
    <row r="67" spans="1:21" x14ac:dyDescent="0.2">
      <c r="A67" s="45"/>
      <c r="B67" s="9"/>
      <c r="C67" s="584"/>
      <c r="D67" s="92" t="s">
        <v>5646</v>
      </c>
      <c r="E67" s="9"/>
      <c r="F67" s="9"/>
      <c r="G67" s="9"/>
      <c r="H67" s="9"/>
      <c r="I67" s="89"/>
      <c r="J67" s="9"/>
      <c r="K67" s="9"/>
      <c r="L67" s="46"/>
      <c r="M67" s="9"/>
      <c r="N67" s="89"/>
      <c r="O67" s="9"/>
      <c r="P67" s="61"/>
      <c r="Q67" s="61"/>
      <c r="R67" s="61"/>
    </row>
    <row r="68" spans="1:21" x14ac:dyDescent="0.2">
      <c r="A68" s="45"/>
      <c r="B68" s="9">
        <v>3290</v>
      </c>
      <c r="C68" s="584"/>
      <c r="D68" s="772" t="s">
        <v>5636</v>
      </c>
      <c r="E68" s="9"/>
      <c r="F68" s="9"/>
      <c r="G68" s="9"/>
      <c r="H68" s="9"/>
      <c r="I68" s="89"/>
      <c r="J68" s="9"/>
      <c r="K68" s="9"/>
      <c r="L68" s="46"/>
      <c r="M68" s="9"/>
      <c r="N68" s="89"/>
      <c r="O68" s="9"/>
      <c r="P68" s="61"/>
      <c r="Q68" s="61"/>
      <c r="R68" s="61"/>
    </row>
    <row r="69" spans="1:21" x14ac:dyDescent="0.2">
      <c r="A69" s="45"/>
      <c r="B69" s="9">
        <v>530504.52</v>
      </c>
      <c r="C69" s="584"/>
      <c r="D69" s="772" t="s">
        <v>5637</v>
      </c>
      <c r="E69" s="9"/>
      <c r="F69" s="9"/>
      <c r="G69" s="9"/>
      <c r="H69" s="9"/>
      <c r="I69" s="89"/>
      <c r="J69" s="9"/>
      <c r="K69" s="9"/>
      <c r="L69" s="46"/>
      <c r="M69" s="9"/>
      <c r="N69" s="89"/>
      <c r="O69" s="9"/>
      <c r="P69" s="61"/>
      <c r="Q69" s="61"/>
      <c r="R69" s="61"/>
    </row>
    <row r="70" spans="1:21" x14ac:dyDescent="0.2">
      <c r="A70" s="45"/>
      <c r="B70" s="9">
        <v>314877.78000000003</v>
      </c>
      <c r="C70" s="584"/>
      <c r="D70" s="1250" t="s">
        <v>577</v>
      </c>
      <c r="E70" s="9"/>
      <c r="F70" s="9"/>
      <c r="G70" s="9"/>
      <c r="H70" s="9"/>
      <c r="I70" s="89"/>
      <c r="J70" s="9"/>
      <c r="K70" s="9"/>
      <c r="L70" s="46"/>
      <c r="M70" s="9"/>
      <c r="N70" s="89"/>
      <c r="O70" s="9"/>
      <c r="P70" s="61"/>
      <c r="Q70" s="61"/>
      <c r="R70" s="61"/>
    </row>
    <row r="71" spans="1:21" x14ac:dyDescent="0.2">
      <c r="A71" s="45"/>
      <c r="B71" s="9">
        <v>194116.65</v>
      </c>
      <c r="C71" s="584"/>
      <c r="D71" s="1250" t="s">
        <v>5638</v>
      </c>
      <c r="E71" s="9"/>
      <c r="F71" s="9"/>
      <c r="G71" s="9"/>
      <c r="H71" s="9"/>
      <c r="I71" s="89"/>
      <c r="J71" s="9"/>
      <c r="K71" s="9"/>
      <c r="L71" s="46"/>
      <c r="M71" s="9"/>
      <c r="N71" s="89"/>
      <c r="O71" s="9"/>
      <c r="P71" s="61"/>
      <c r="Q71" s="61"/>
      <c r="R71" s="61"/>
    </row>
    <row r="72" spans="1:21" x14ac:dyDescent="0.2">
      <c r="A72" s="45"/>
      <c r="B72" s="9">
        <v>247635.28</v>
      </c>
      <c r="C72" s="584"/>
      <c r="D72" s="1250" t="s">
        <v>5639</v>
      </c>
      <c r="E72" s="9"/>
      <c r="F72" s="9"/>
      <c r="G72" s="9"/>
      <c r="H72" s="9"/>
      <c r="I72" s="89"/>
      <c r="J72" s="9"/>
      <c r="K72" s="9"/>
      <c r="L72" s="46"/>
      <c r="M72" s="9"/>
      <c r="N72" s="89"/>
      <c r="O72" s="9"/>
      <c r="P72" s="61"/>
      <c r="Q72" s="61"/>
      <c r="R72" s="61"/>
    </row>
    <row r="73" spans="1:21" x14ac:dyDescent="0.2">
      <c r="A73" s="45"/>
      <c r="B73" s="9">
        <v>9033.74</v>
      </c>
      <c r="C73" s="584"/>
      <c r="D73" s="1250" t="s">
        <v>5322</v>
      </c>
      <c r="E73" s="9"/>
      <c r="F73" s="9"/>
      <c r="G73" s="9"/>
      <c r="H73" s="9"/>
      <c r="I73" s="89"/>
      <c r="J73" s="9"/>
      <c r="K73" s="9"/>
      <c r="L73" s="46"/>
      <c r="M73" s="9"/>
      <c r="N73" s="89"/>
      <c r="O73" s="9"/>
      <c r="P73" s="61"/>
      <c r="Q73" s="61"/>
      <c r="R73" s="61"/>
    </row>
    <row r="74" spans="1:21" x14ac:dyDescent="0.2">
      <c r="A74" s="45"/>
      <c r="B74" s="9"/>
      <c r="C74" s="584"/>
      <c r="D74" s="1250" t="s">
        <v>5640</v>
      </c>
      <c r="E74" s="9"/>
      <c r="F74" s="9"/>
      <c r="G74" s="9"/>
      <c r="H74" s="9"/>
      <c r="I74" s="89"/>
      <c r="J74" s="9"/>
      <c r="K74" s="9"/>
      <c r="L74" s="46"/>
      <c r="M74" s="9"/>
      <c r="N74" s="89"/>
      <c r="O74" s="9"/>
      <c r="P74" s="61"/>
      <c r="Q74" s="61"/>
      <c r="R74" s="61"/>
    </row>
    <row r="75" spans="1:21" x14ac:dyDescent="0.2">
      <c r="A75" s="45"/>
      <c r="B75" s="9"/>
      <c r="C75" s="584"/>
      <c r="D75" s="1250" t="s">
        <v>5640</v>
      </c>
      <c r="E75" s="9"/>
      <c r="F75" s="9"/>
      <c r="G75" s="9"/>
      <c r="H75" s="9"/>
      <c r="I75" s="89"/>
      <c r="J75" s="9"/>
      <c r="K75" s="9"/>
      <c r="L75" s="46"/>
      <c r="M75" s="9"/>
      <c r="N75" s="89"/>
      <c r="O75" s="9"/>
      <c r="P75" s="61"/>
      <c r="Q75" s="61"/>
      <c r="R75" s="61"/>
    </row>
    <row r="76" spans="1:21" x14ac:dyDescent="0.2">
      <c r="A76" s="45"/>
      <c r="B76" s="9">
        <v>705607.47</v>
      </c>
      <c r="C76" s="584"/>
      <c r="D76" s="1250" t="s">
        <v>5641</v>
      </c>
      <c r="E76" s="9"/>
      <c r="F76" s="9"/>
      <c r="G76" s="9"/>
      <c r="H76" s="9"/>
      <c r="I76" s="89"/>
      <c r="J76" s="9"/>
      <c r="K76" s="9"/>
      <c r="L76" s="46"/>
      <c r="M76" s="9"/>
      <c r="N76" s="89"/>
      <c r="O76" s="9"/>
      <c r="P76" s="61"/>
      <c r="Q76" s="61"/>
      <c r="R76" s="61"/>
    </row>
    <row r="77" spans="1:21" x14ac:dyDescent="0.2">
      <c r="A77" s="45"/>
      <c r="B77" s="9">
        <v>2931884</v>
      </c>
      <c r="C77" s="584"/>
      <c r="D77" s="1250" t="s">
        <v>856</v>
      </c>
      <c r="E77" s="9"/>
      <c r="F77" s="9"/>
      <c r="G77" s="9"/>
      <c r="H77" s="9"/>
      <c r="I77" s="89"/>
      <c r="J77" s="9"/>
      <c r="K77" s="9"/>
      <c r="L77" s="46"/>
      <c r="M77" s="9"/>
      <c r="N77" s="89"/>
      <c r="O77" s="9"/>
      <c r="P77" s="61"/>
      <c r="Q77" s="61"/>
      <c r="R77" s="61"/>
    </row>
    <row r="78" spans="1:21" x14ac:dyDescent="0.2">
      <c r="A78" s="45"/>
      <c r="B78" s="9">
        <v>432696</v>
      </c>
      <c r="C78" s="584"/>
      <c r="D78" s="1250" t="s">
        <v>5642</v>
      </c>
      <c r="E78" s="9"/>
      <c r="F78" s="9"/>
      <c r="G78" s="9"/>
      <c r="H78" s="9"/>
      <c r="I78" s="89"/>
      <c r="J78" s="9"/>
      <c r="K78" s="9"/>
      <c r="L78" s="46"/>
      <c r="M78" s="9"/>
      <c r="N78" s="89"/>
      <c r="O78" s="9"/>
      <c r="P78" s="61"/>
      <c r="Q78" s="61"/>
      <c r="R78" s="61"/>
      <c r="T78" s="65"/>
      <c r="U78" s="65"/>
    </row>
    <row r="79" spans="1:21" x14ac:dyDescent="0.2">
      <c r="A79" s="45"/>
      <c r="B79" s="9">
        <v>34254</v>
      </c>
      <c r="C79" s="584"/>
      <c r="D79" s="1250" t="s">
        <v>5643</v>
      </c>
      <c r="E79" s="9"/>
      <c r="F79" s="9"/>
      <c r="G79" s="9"/>
      <c r="H79" s="9"/>
      <c r="I79" s="89"/>
      <c r="J79" s="9"/>
      <c r="K79" s="9"/>
      <c r="L79" s="46"/>
      <c r="M79" s="9"/>
      <c r="N79" s="89"/>
      <c r="O79" s="9"/>
      <c r="P79" s="61"/>
      <c r="Q79" s="61"/>
      <c r="R79" s="61"/>
      <c r="T79" s="65"/>
      <c r="U79" s="65"/>
    </row>
    <row r="80" spans="1:21" x14ac:dyDescent="0.2">
      <c r="A80" s="45"/>
      <c r="B80" s="9">
        <v>-193842</v>
      </c>
      <c r="C80" s="584"/>
      <c r="D80" s="1250" t="s">
        <v>5644</v>
      </c>
      <c r="E80" s="9"/>
      <c r="F80" s="9"/>
      <c r="G80" s="9"/>
      <c r="H80" s="9"/>
      <c r="I80" s="89"/>
      <c r="J80" s="9"/>
      <c r="K80" s="9"/>
      <c r="L80" s="46"/>
      <c r="M80" s="9"/>
      <c r="N80" s="89"/>
      <c r="O80" s="9"/>
      <c r="P80" s="61"/>
      <c r="Q80" s="61"/>
      <c r="R80" s="61"/>
      <c r="T80" s="65"/>
      <c r="U80" s="65"/>
    </row>
    <row r="81" spans="1:21" x14ac:dyDescent="0.2">
      <c r="A81" s="45"/>
      <c r="B81" s="9">
        <v>81182.070000000007</v>
      </c>
      <c r="C81" s="584"/>
      <c r="D81" s="1250" t="s">
        <v>5645</v>
      </c>
      <c r="E81" s="9"/>
      <c r="F81" s="9"/>
      <c r="G81" s="9"/>
      <c r="H81" s="9"/>
      <c r="I81" s="89"/>
      <c r="J81" s="9"/>
      <c r="K81" s="9"/>
      <c r="L81" s="46"/>
      <c r="M81" s="9"/>
      <c r="N81" s="89"/>
      <c r="O81" s="9"/>
      <c r="P81" s="61"/>
      <c r="Q81" s="61"/>
      <c r="R81" s="61"/>
      <c r="T81" s="65"/>
      <c r="U81" s="65"/>
    </row>
    <row r="82" spans="1:21" x14ac:dyDescent="0.2">
      <c r="A82" s="45"/>
      <c r="B82" s="9">
        <v>505263</v>
      </c>
      <c r="C82" s="584"/>
      <c r="D82" s="1250" t="s">
        <v>5569</v>
      </c>
      <c r="E82" s="9"/>
      <c r="F82" s="9"/>
      <c r="G82" s="9"/>
      <c r="H82" s="9"/>
      <c r="I82" s="89"/>
      <c r="J82" s="9"/>
      <c r="K82" s="9"/>
      <c r="L82" s="46"/>
      <c r="M82" s="9"/>
      <c r="N82" s="89"/>
      <c r="O82" s="9"/>
      <c r="P82" s="61"/>
      <c r="Q82" s="61"/>
      <c r="R82" s="61"/>
      <c r="T82" s="65"/>
      <c r="U82" s="65"/>
    </row>
    <row r="83" spans="1:21" s="65" customFormat="1" x14ac:dyDescent="0.2">
      <c r="A83" s="1771">
        <f>SUM(A67:A82)</f>
        <v>0</v>
      </c>
      <c r="B83" s="791">
        <f>SUM(B67:B82)</f>
        <v>5796502.5099999998</v>
      </c>
      <c r="C83" s="1772"/>
      <c r="D83" s="1508" t="s">
        <v>752</v>
      </c>
      <c r="E83" s="791">
        <f>SUM(E67:E82)</f>
        <v>0</v>
      </c>
      <c r="F83" s="791"/>
      <c r="G83" s="791">
        <f t="shared" ref="G83:O83" si="20">SUM(G67:G82)</f>
        <v>0</v>
      </c>
      <c r="H83" s="791">
        <f t="shared" si="20"/>
        <v>0</v>
      </c>
      <c r="I83" s="865">
        <f t="shared" si="20"/>
        <v>0</v>
      </c>
      <c r="J83" s="791">
        <f t="shared" si="20"/>
        <v>0</v>
      </c>
      <c r="K83" s="791">
        <f t="shared" si="20"/>
        <v>0</v>
      </c>
      <c r="L83" s="1508">
        <f t="shared" si="20"/>
        <v>0</v>
      </c>
      <c r="M83" s="791">
        <f t="shared" si="20"/>
        <v>0</v>
      </c>
      <c r="N83" s="865">
        <f t="shared" si="20"/>
        <v>0</v>
      </c>
      <c r="O83" s="791">
        <f t="shared" si="20"/>
        <v>0</v>
      </c>
      <c r="P83" s="1001">
        <f t="shared" ref="P83:Q83" si="21">SUM(P67:P82)</f>
        <v>0</v>
      </c>
      <c r="Q83" s="1001">
        <f t="shared" si="21"/>
        <v>0</v>
      </c>
      <c r="R83" s="1001">
        <f t="shared" ref="R83" si="22">SUM(R67:R82)</f>
        <v>0</v>
      </c>
    </row>
    <row r="84" spans="1:21" s="65" customFormat="1" x14ac:dyDescent="0.2">
      <c r="A84" s="1774"/>
      <c r="B84" s="63"/>
      <c r="C84" s="584"/>
      <c r="D84" s="92"/>
      <c r="E84" s="63"/>
      <c r="F84" s="63"/>
      <c r="G84" s="63"/>
      <c r="H84" s="63"/>
      <c r="I84" s="107"/>
      <c r="J84" s="63"/>
      <c r="K84" s="63"/>
      <c r="L84" s="92"/>
      <c r="M84" s="63"/>
      <c r="N84" s="107"/>
      <c r="O84" s="63"/>
      <c r="P84" s="106"/>
      <c r="Q84" s="106"/>
      <c r="R84" s="106"/>
    </row>
    <row r="85" spans="1:21" s="65" customFormat="1" x14ac:dyDescent="0.2">
      <c r="A85" s="1774"/>
      <c r="B85" s="63"/>
      <c r="C85" s="584"/>
      <c r="D85" s="92" t="s">
        <v>5647</v>
      </c>
      <c r="E85" s="63"/>
      <c r="F85" s="63"/>
      <c r="G85" s="63"/>
      <c r="H85" s="63"/>
      <c r="I85" s="107"/>
      <c r="J85" s="63"/>
      <c r="K85" s="63"/>
      <c r="L85" s="92"/>
      <c r="M85" s="63"/>
      <c r="N85" s="107"/>
      <c r="O85" s="63"/>
      <c r="P85" s="106"/>
      <c r="Q85" s="106"/>
      <c r="R85" s="106"/>
    </row>
    <row r="86" spans="1:21" s="65" customFormat="1" x14ac:dyDescent="0.2">
      <c r="A86" s="1774"/>
      <c r="B86" s="9">
        <v>34000</v>
      </c>
      <c r="C86" s="584" t="s">
        <v>5705</v>
      </c>
      <c r="D86" s="31" t="s">
        <v>5648</v>
      </c>
      <c r="E86" s="63"/>
      <c r="F86" s="63"/>
      <c r="G86" s="63"/>
      <c r="H86" s="63"/>
      <c r="I86" s="107"/>
      <c r="J86" s="63"/>
      <c r="K86" s="63"/>
      <c r="L86" s="92"/>
      <c r="M86" s="63"/>
      <c r="N86" s="107"/>
      <c r="O86" s="63"/>
      <c r="P86" s="106"/>
      <c r="Q86" s="106"/>
      <c r="R86" s="106"/>
    </row>
    <row r="87" spans="1:21" s="65" customFormat="1" x14ac:dyDescent="0.2">
      <c r="A87" s="1774"/>
      <c r="B87" s="9">
        <v>20000</v>
      </c>
      <c r="C87" s="584" t="s">
        <v>5706</v>
      </c>
      <c r="D87" s="31" t="s">
        <v>5649</v>
      </c>
      <c r="E87" s="63"/>
      <c r="F87" s="63"/>
      <c r="G87" s="63"/>
      <c r="H87" s="63"/>
      <c r="I87" s="107"/>
      <c r="J87" s="63"/>
      <c r="K87" s="63"/>
      <c r="L87" s="92"/>
      <c r="M87" s="63"/>
      <c r="N87" s="107"/>
      <c r="O87" s="63"/>
      <c r="P87" s="106"/>
      <c r="Q87" s="106"/>
      <c r="R87" s="106"/>
    </row>
    <row r="88" spans="1:21" s="65" customFormat="1" x14ac:dyDescent="0.2">
      <c r="A88" s="1774"/>
      <c r="B88" s="9">
        <v>8185.05</v>
      </c>
      <c r="C88" s="584" t="s">
        <v>5707</v>
      </c>
      <c r="D88" s="31" t="s">
        <v>5650</v>
      </c>
      <c r="E88" s="63"/>
      <c r="F88" s="63"/>
      <c r="G88" s="63"/>
      <c r="H88" s="63"/>
      <c r="I88" s="107"/>
      <c r="J88" s="63"/>
      <c r="K88" s="63"/>
      <c r="L88" s="92"/>
      <c r="M88" s="63"/>
      <c r="N88" s="107"/>
      <c r="O88" s="63"/>
      <c r="P88" s="106"/>
      <c r="Q88" s="106"/>
      <c r="R88" s="106"/>
    </row>
    <row r="89" spans="1:21" s="65" customFormat="1" x14ac:dyDescent="0.2">
      <c r="A89" s="1774"/>
      <c r="B89" s="9">
        <v>8557.0499999999993</v>
      </c>
      <c r="C89" s="584" t="s">
        <v>5708</v>
      </c>
      <c r="D89" s="31" t="s">
        <v>2261</v>
      </c>
      <c r="E89" s="63"/>
      <c r="F89" s="63"/>
      <c r="G89" s="63"/>
      <c r="H89" s="63"/>
      <c r="I89" s="107"/>
      <c r="J89" s="63"/>
      <c r="K89" s="63"/>
      <c r="L89" s="92"/>
      <c r="M89" s="63"/>
      <c r="N89" s="107"/>
      <c r="O89" s="63"/>
      <c r="P89" s="106"/>
      <c r="Q89" s="106"/>
      <c r="R89" s="106"/>
    </row>
    <row r="90" spans="1:21" s="65" customFormat="1" x14ac:dyDescent="0.2">
      <c r="A90" s="1774"/>
      <c r="B90" s="9">
        <v>6216.76</v>
      </c>
      <c r="C90" s="584" t="s">
        <v>5709</v>
      </c>
      <c r="D90" s="31" t="s">
        <v>5651</v>
      </c>
      <c r="E90" s="63"/>
      <c r="F90" s="63"/>
      <c r="G90" s="63"/>
      <c r="H90" s="63"/>
      <c r="I90" s="107"/>
      <c r="J90" s="63"/>
      <c r="K90" s="63"/>
      <c r="L90" s="92"/>
      <c r="M90" s="63"/>
      <c r="N90" s="107"/>
      <c r="O90" s="63"/>
      <c r="P90" s="106"/>
      <c r="Q90" s="106"/>
      <c r="R90" s="106"/>
    </row>
    <row r="91" spans="1:21" s="65" customFormat="1" x14ac:dyDescent="0.2">
      <c r="A91" s="1774"/>
      <c r="B91" s="9">
        <v>2439.94</v>
      </c>
      <c r="C91" s="584" t="s">
        <v>5710</v>
      </c>
      <c r="D91" s="31" t="s">
        <v>5652</v>
      </c>
      <c r="E91" s="63"/>
      <c r="F91" s="63"/>
      <c r="G91" s="63"/>
      <c r="H91" s="63"/>
      <c r="I91" s="107"/>
      <c r="J91" s="63"/>
      <c r="K91" s="63"/>
      <c r="L91" s="92"/>
      <c r="M91" s="63"/>
      <c r="N91" s="107"/>
      <c r="O91" s="63"/>
      <c r="P91" s="106"/>
      <c r="Q91" s="106"/>
      <c r="R91" s="106"/>
    </row>
    <row r="92" spans="1:21" s="65" customFormat="1" x14ac:dyDescent="0.2">
      <c r="A92" s="1774"/>
      <c r="B92" s="9">
        <v>29060.04</v>
      </c>
      <c r="C92" s="584" t="s">
        <v>5711</v>
      </c>
      <c r="D92" s="31" t="s">
        <v>5653</v>
      </c>
      <c r="E92" s="63"/>
      <c r="F92" s="63"/>
      <c r="G92" s="63"/>
      <c r="H92" s="63"/>
      <c r="I92" s="107"/>
      <c r="J92" s="63"/>
      <c r="K92" s="63"/>
      <c r="L92" s="92"/>
      <c r="M92" s="63"/>
      <c r="N92" s="107"/>
      <c r="O92" s="63"/>
      <c r="P92" s="106"/>
      <c r="Q92" s="106"/>
      <c r="R92" s="106"/>
    </row>
    <row r="93" spans="1:21" s="65" customFormat="1" x14ac:dyDescent="0.2">
      <c r="A93" s="1774"/>
      <c r="B93" s="9">
        <v>51882.06</v>
      </c>
      <c r="C93" s="584" t="s">
        <v>5712</v>
      </c>
      <c r="D93" s="31" t="s">
        <v>5654</v>
      </c>
      <c r="E93" s="63"/>
      <c r="F93" s="63"/>
      <c r="G93" s="63"/>
      <c r="H93" s="63"/>
      <c r="I93" s="107"/>
      <c r="J93" s="63"/>
      <c r="K93" s="63"/>
      <c r="L93" s="92"/>
      <c r="M93" s="63"/>
      <c r="N93" s="107"/>
      <c r="O93" s="63"/>
      <c r="P93" s="106"/>
      <c r="Q93" s="106"/>
      <c r="R93" s="106"/>
    </row>
    <row r="94" spans="1:21" s="65" customFormat="1" x14ac:dyDescent="0.2">
      <c r="A94" s="1774"/>
      <c r="B94" s="9">
        <v>780.5</v>
      </c>
      <c r="C94" s="584" t="s">
        <v>5713</v>
      </c>
      <c r="D94" s="31" t="s">
        <v>2125</v>
      </c>
      <c r="E94" s="63"/>
      <c r="F94" s="63"/>
      <c r="G94" s="63"/>
      <c r="H94" s="63"/>
      <c r="I94" s="107"/>
      <c r="J94" s="63"/>
      <c r="K94" s="63"/>
      <c r="L94" s="92"/>
      <c r="M94" s="63"/>
      <c r="N94" s="107"/>
      <c r="O94" s="63"/>
      <c r="P94" s="106"/>
      <c r="Q94" s="106"/>
      <c r="R94" s="106"/>
    </row>
    <row r="95" spans="1:21" s="65" customFormat="1" x14ac:dyDescent="0.2">
      <c r="A95" s="1774"/>
      <c r="B95" s="9">
        <v>6335.13</v>
      </c>
      <c r="C95" s="584" t="s">
        <v>5714</v>
      </c>
      <c r="D95" s="31" t="s">
        <v>5655</v>
      </c>
      <c r="E95" s="63"/>
      <c r="F95" s="63"/>
      <c r="G95" s="63"/>
      <c r="H95" s="63"/>
      <c r="I95" s="107"/>
      <c r="J95" s="63"/>
      <c r="K95" s="63"/>
      <c r="L95" s="92"/>
      <c r="M95" s="63"/>
      <c r="N95" s="107"/>
      <c r="O95" s="63"/>
      <c r="P95" s="106"/>
      <c r="Q95" s="106"/>
      <c r="R95" s="106"/>
    </row>
    <row r="96" spans="1:21" s="65" customFormat="1" x14ac:dyDescent="0.2">
      <c r="A96" s="1774"/>
      <c r="B96" s="9">
        <v>1218.2</v>
      </c>
      <c r="C96" s="584" t="s">
        <v>5715</v>
      </c>
      <c r="D96" s="31" t="s">
        <v>5656</v>
      </c>
      <c r="E96" s="63"/>
      <c r="F96" s="63"/>
      <c r="G96" s="63"/>
      <c r="H96" s="63"/>
      <c r="I96" s="107"/>
      <c r="J96" s="63"/>
      <c r="K96" s="63"/>
      <c r="L96" s="92"/>
      <c r="M96" s="63"/>
      <c r="N96" s="107"/>
      <c r="O96" s="63"/>
      <c r="P96" s="106"/>
      <c r="Q96" s="106"/>
      <c r="R96" s="106"/>
    </row>
    <row r="97" spans="1:18" s="65" customFormat="1" x14ac:dyDescent="0.2">
      <c r="A97" s="1774"/>
      <c r="B97" s="9">
        <v>5950.68</v>
      </c>
      <c r="C97" s="584" t="s">
        <v>5716</v>
      </c>
      <c r="D97" s="31" t="s">
        <v>5657</v>
      </c>
      <c r="E97" s="63"/>
      <c r="F97" s="63"/>
      <c r="G97" s="63"/>
      <c r="H97" s="63"/>
      <c r="I97" s="107"/>
      <c r="J97" s="63"/>
      <c r="K97" s="63"/>
      <c r="L97" s="92"/>
      <c r="M97" s="63"/>
      <c r="N97" s="107"/>
      <c r="O97" s="63"/>
      <c r="P97" s="106"/>
      <c r="Q97" s="106"/>
      <c r="R97" s="106"/>
    </row>
    <row r="98" spans="1:18" s="65" customFormat="1" x14ac:dyDescent="0.2">
      <c r="A98" s="1774"/>
      <c r="B98" s="9">
        <v>78671.42</v>
      </c>
      <c r="C98" s="584" t="s">
        <v>5717</v>
      </c>
      <c r="D98" s="31" t="s">
        <v>5658</v>
      </c>
      <c r="E98" s="63"/>
      <c r="F98" s="63"/>
      <c r="G98" s="63"/>
      <c r="H98" s="63"/>
      <c r="I98" s="107"/>
      <c r="J98" s="63"/>
      <c r="K98" s="63"/>
      <c r="L98" s="92"/>
      <c r="M98" s="63"/>
      <c r="N98" s="107"/>
      <c r="O98" s="63"/>
      <c r="P98" s="106"/>
      <c r="Q98" s="106"/>
      <c r="R98" s="106"/>
    </row>
    <row r="99" spans="1:18" s="65" customFormat="1" x14ac:dyDescent="0.2">
      <c r="A99" s="1774"/>
      <c r="B99" s="9">
        <v>40</v>
      </c>
      <c r="C99" s="584" t="s">
        <v>5718</v>
      </c>
      <c r="D99" s="31" t="s">
        <v>5659</v>
      </c>
      <c r="E99" s="63"/>
      <c r="F99" s="63"/>
      <c r="G99" s="63"/>
      <c r="H99" s="63"/>
      <c r="I99" s="107"/>
      <c r="J99" s="63"/>
      <c r="K99" s="63"/>
      <c r="L99" s="92"/>
      <c r="M99" s="63"/>
      <c r="N99" s="107"/>
      <c r="O99" s="63"/>
      <c r="P99" s="106"/>
      <c r="Q99" s="106"/>
      <c r="R99" s="106"/>
    </row>
    <row r="100" spans="1:18" s="65" customFormat="1" x14ac:dyDescent="0.2">
      <c r="A100" s="1774"/>
      <c r="B100" s="9">
        <v>22278.41</v>
      </c>
      <c r="C100" s="584" t="s">
        <v>5719</v>
      </c>
      <c r="D100" s="31" t="s">
        <v>5660</v>
      </c>
      <c r="E100" s="63"/>
      <c r="F100" s="63"/>
      <c r="G100" s="63"/>
      <c r="H100" s="63"/>
      <c r="I100" s="107"/>
      <c r="J100" s="63"/>
      <c r="K100" s="63"/>
      <c r="L100" s="92"/>
      <c r="M100" s="63"/>
      <c r="N100" s="107"/>
      <c r="O100" s="63"/>
      <c r="P100" s="106"/>
      <c r="Q100" s="106"/>
      <c r="R100" s="106"/>
    </row>
    <row r="101" spans="1:18" s="65" customFormat="1" x14ac:dyDescent="0.2">
      <c r="A101" s="1774"/>
      <c r="B101" s="9">
        <v>28934.12</v>
      </c>
      <c r="C101" s="584" t="s">
        <v>5720</v>
      </c>
      <c r="D101" s="31" t="s">
        <v>5661</v>
      </c>
      <c r="E101" s="63"/>
      <c r="F101" s="63"/>
      <c r="G101" s="63"/>
      <c r="H101" s="63"/>
      <c r="I101" s="107"/>
      <c r="J101" s="63"/>
      <c r="K101" s="63"/>
      <c r="L101" s="92"/>
      <c r="M101" s="63"/>
      <c r="N101" s="107"/>
      <c r="O101" s="63"/>
      <c r="P101" s="106"/>
      <c r="Q101" s="106"/>
      <c r="R101" s="106"/>
    </row>
    <row r="102" spans="1:18" s="65" customFormat="1" x14ac:dyDescent="0.2">
      <c r="A102" s="1774"/>
      <c r="B102" s="9">
        <v>41955.93</v>
      </c>
      <c r="C102" s="584" t="s">
        <v>5721</v>
      </c>
      <c r="D102" s="31" t="s">
        <v>5662</v>
      </c>
      <c r="E102" s="63"/>
      <c r="F102" s="63"/>
      <c r="G102" s="63"/>
      <c r="H102" s="63"/>
      <c r="I102" s="107"/>
      <c r="J102" s="63"/>
      <c r="K102" s="63"/>
      <c r="L102" s="92"/>
      <c r="M102" s="63"/>
      <c r="N102" s="107"/>
      <c r="O102" s="63"/>
      <c r="P102" s="106"/>
      <c r="Q102" s="106"/>
      <c r="R102" s="106"/>
    </row>
    <row r="103" spans="1:18" s="65" customFormat="1" x14ac:dyDescent="0.2">
      <c r="A103" s="1774"/>
      <c r="B103" s="9">
        <v>66255.42</v>
      </c>
      <c r="C103" s="584" t="s">
        <v>5722</v>
      </c>
      <c r="D103" s="31" t="s">
        <v>5663</v>
      </c>
      <c r="E103" s="63"/>
      <c r="F103" s="63"/>
      <c r="G103" s="63"/>
      <c r="H103" s="63"/>
      <c r="I103" s="107"/>
      <c r="J103" s="63"/>
      <c r="K103" s="63"/>
      <c r="L103" s="92"/>
      <c r="M103" s="63"/>
      <c r="N103" s="107"/>
      <c r="O103" s="63"/>
      <c r="P103" s="106"/>
      <c r="Q103" s="106"/>
      <c r="R103" s="106"/>
    </row>
    <row r="104" spans="1:18" s="65" customFormat="1" x14ac:dyDescent="0.2">
      <c r="A104" s="1774"/>
      <c r="B104" s="9">
        <v>34783.370000000003</v>
      </c>
      <c r="C104" s="584" t="s">
        <v>5723</v>
      </c>
      <c r="D104" s="31" t="s">
        <v>5664</v>
      </c>
      <c r="E104" s="63"/>
      <c r="F104" s="63"/>
      <c r="G104" s="63"/>
      <c r="H104" s="63"/>
      <c r="I104" s="107"/>
      <c r="J104" s="63"/>
      <c r="K104" s="63"/>
      <c r="L104" s="92"/>
      <c r="M104" s="63"/>
      <c r="N104" s="107"/>
      <c r="O104" s="63"/>
      <c r="P104" s="106"/>
      <c r="Q104" s="106"/>
      <c r="R104" s="106"/>
    </row>
    <row r="105" spans="1:18" s="65" customFormat="1" x14ac:dyDescent="0.2">
      <c r="A105" s="1774"/>
      <c r="B105" s="9"/>
      <c r="C105" s="584" t="s">
        <v>5724</v>
      </c>
      <c r="D105" s="31" t="s">
        <v>5665</v>
      </c>
      <c r="E105" s="63"/>
      <c r="F105" s="63"/>
      <c r="G105" s="63"/>
      <c r="H105" s="63"/>
      <c r="I105" s="107"/>
      <c r="J105" s="63"/>
      <c r="K105" s="63"/>
      <c r="L105" s="92"/>
      <c r="M105" s="63"/>
      <c r="N105" s="107"/>
      <c r="O105" s="63"/>
      <c r="P105" s="106"/>
      <c r="Q105" s="106"/>
      <c r="R105" s="106"/>
    </row>
    <row r="106" spans="1:18" s="65" customFormat="1" x14ac:dyDescent="0.2">
      <c r="A106" s="1774"/>
      <c r="B106" s="9"/>
      <c r="C106" s="584" t="s">
        <v>5725</v>
      </c>
      <c r="D106" s="31" t="s">
        <v>5665</v>
      </c>
      <c r="E106" s="63"/>
      <c r="F106" s="63"/>
      <c r="G106" s="63"/>
      <c r="H106" s="63"/>
      <c r="I106" s="107"/>
      <c r="J106" s="63"/>
      <c r="K106" s="63"/>
      <c r="L106" s="92"/>
      <c r="M106" s="63"/>
      <c r="N106" s="107"/>
      <c r="O106" s="63"/>
      <c r="P106" s="106"/>
      <c r="Q106" s="106"/>
      <c r="R106" s="106"/>
    </row>
    <row r="107" spans="1:18" s="65" customFormat="1" x14ac:dyDescent="0.2">
      <c r="A107" s="1774"/>
      <c r="B107" s="9"/>
      <c r="C107" s="584" t="s">
        <v>5726</v>
      </c>
      <c r="D107" s="31" t="s">
        <v>5665</v>
      </c>
      <c r="E107" s="63"/>
      <c r="F107" s="63"/>
      <c r="G107" s="63"/>
      <c r="H107" s="63"/>
      <c r="I107" s="107"/>
      <c r="J107" s="63"/>
      <c r="K107" s="63"/>
      <c r="L107" s="92"/>
      <c r="M107" s="63"/>
      <c r="N107" s="107"/>
      <c r="O107" s="63"/>
      <c r="P107" s="106"/>
      <c r="Q107" s="106"/>
      <c r="R107" s="106"/>
    </row>
    <row r="108" spans="1:18" s="65" customFormat="1" x14ac:dyDescent="0.2">
      <c r="A108" s="1774"/>
      <c r="B108" s="9"/>
      <c r="C108" s="584" t="s">
        <v>5727</v>
      </c>
      <c r="D108" s="31" t="s">
        <v>5665</v>
      </c>
      <c r="E108" s="63"/>
      <c r="F108" s="63"/>
      <c r="G108" s="63"/>
      <c r="H108" s="63"/>
      <c r="I108" s="107"/>
      <c r="J108" s="63"/>
      <c r="K108" s="63"/>
      <c r="L108" s="92"/>
      <c r="M108" s="63"/>
      <c r="N108" s="107"/>
      <c r="O108" s="63"/>
      <c r="P108" s="106"/>
      <c r="Q108" s="106"/>
      <c r="R108" s="106"/>
    </row>
    <row r="109" spans="1:18" s="65" customFormat="1" x14ac:dyDescent="0.2">
      <c r="A109" s="1774"/>
      <c r="B109" s="9"/>
      <c r="C109" s="584" t="s">
        <v>5728</v>
      </c>
      <c r="D109" s="31" t="s">
        <v>5665</v>
      </c>
      <c r="E109" s="63"/>
      <c r="F109" s="63"/>
      <c r="G109" s="63"/>
      <c r="H109" s="63"/>
      <c r="I109" s="107"/>
      <c r="J109" s="63"/>
      <c r="K109" s="63"/>
      <c r="L109" s="92"/>
      <c r="M109" s="63"/>
      <c r="N109" s="107"/>
      <c r="O109" s="63"/>
      <c r="P109" s="106"/>
      <c r="Q109" s="106"/>
      <c r="R109" s="106"/>
    </row>
    <row r="110" spans="1:18" s="65" customFormat="1" x14ac:dyDescent="0.2">
      <c r="A110" s="1774"/>
      <c r="B110" s="9"/>
      <c r="C110" s="584" t="s">
        <v>5729</v>
      </c>
      <c r="D110" s="31" t="s">
        <v>5665</v>
      </c>
      <c r="E110" s="63"/>
      <c r="F110" s="63"/>
      <c r="G110" s="63"/>
      <c r="H110" s="63"/>
      <c r="I110" s="107"/>
      <c r="J110" s="63"/>
      <c r="K110" s="63"/>
      <c r="L110" s="92"/>
      <c r="M110" s="63"/>
      <c r="N110" s="107"/>
      <c r="O110" s="63"/>
      <c r="P110" s="106"/>
      <c r="Q110" s="106"/>
      <c r="R110" s="106"/>
    </row>
    <row r="111" spans="1:18" s="65" customFormat="1" x14ac:dyDescent="0.2">
      <c r="A111" s="1774"/>
      <c r="B111" s="9"/>
      <c r="C111" s="584" t="s">
        <v>5730</v>
      </c>
      <c r="D111" s="31" t="s">
        <v>5665</v>
      </c>
      <c r="E111" s="63"/>
      <c r="F111" s="63"/>
      <c r="G111" s="63"/>
      <c r="H111" s="63"/>
      <c r="I111" s="107"/>
      <c r="J111" s="63"/>
      <c r="K111" s="63"/>
      <c r="L111" s="92"/>
      <c r="M111" s="63"/>
      <c r="N111" s="107"/>
      <c r="O111" s="63"/>
      <c r="P111" s="106"/>
      <c r="Q111" s="106"/>
      <c r="R111" s="106"/>
    </row>
    <row r="112" spans="1:18" s="65" customFormat="1" x14ac:dyDescent="0.2">
      <c r="A112" s="1774"/>
      <c r="B112" s="9"/>
      <c r="C112" s="584" t="s">
        <v>5731</v>
      </c>
      <c r="D112" s="31" t="s">
        <v>5665</v>
      </c>
      <c r="E112" s="63"/>
      <c r="F112" s="63"/>
      <c r="G112" s="63"/>
      <c r="H112" s="63"/>
      <c r="I112" s="107"/>
      <c r="J112" s="63"/>
      <c r="K112" s="63"/>
      <c r="L112" s="92"/>
      <c r="M112" s="63"/>
      <c r="N112" s="107"/>
      <c r="O112" s="63"/>
      <c r="P112" s="106"/>
      <c r="Q112" s="106"/>
      <c r="R112" s="106"/>
    </row>
    <row r="113" spans="1:18" s="65" customFormat="1" x14ac:dyDescent="0.2">
      <c r="A113" s="1774"/>
      <c r="B113" s="9"/>
      <c r="C113" s="584" t="s">
        <v>5732</v>
      </c>
      <c r="D113" s="31" t="s">
        <v>5666</v>
      </c>
      <c r="E113" s="63"/>
      <c r="F113" s="63"/>
      <c r="G113" s="63"/>
      <c r="H113" s="63"/>
      <c r="I113" s="107"/>
      <c r="J113" s="63"/>
      <c r="K113" s="63"/>
      <c r="L113" s="92"/>
      <c r="M113" s="63"/>
      <c r="N113" s="107"/>
      <c r="O113" s="63"/>
      <c r="P113" s="106"/>
      <c r="Q113" s="106"/>
      <c r="R113" s="106"/>
    </row>
    <row r="114" spans="1:18" s="65" customFormat="1" x14ac:dyDescent="0.2">
      <c r="A114" s="1774"/>
      <c r="B114" s="9"/>
      <c r="C114" s="584" t="s">
        <v>5733</v>
      </c>
      <c r="D114" s="31" t="s">
        <v>5666</v>
      </c>
      <c r="E114" s="63"/>
      <c r="F114" s="63"/>
      <c r="G114" s="63"/>
      <c r="H114" s="63"/>
      <c r="I114" s="107"/>
      <c r="J114" s="63"/>
      <c r="K114" s="63"/>
      <c r="L114" s="92"/>
      <c r="M114" s="63"/>
      <c r="N114" s="107"/>
      <c r="O114" s="63"/>
      <c r="P114" s="106"/>
      <c r="Q114" s="106"/>
      <c r="R114" s="106"/>
    </row>
    <row r="115" spans="1:18" s="65" customFormat="1" x14ac:dyDescent="0.2">
      <c r="A115" s="1774"/>
      <c r="B115" s="9"/>
      <c r="C115" s="584" t="s">
        <v>5734</v>
      </c>
      <c r="D115" s="31" t="s">
        <v>5666</v>
      </c>
      <c r="E115" s="63"/>
      <c r="F115" s="63"/>
      <c r="G115" s="63"/>
      <c r="H115" s="63"/>
      <c r="I115" s="107"/>
      <c r="J115" s="63"/>
      <c r="K115" s="63"/>
      <c r="L115" s="92"/>
      <c r="M115" s="63"/>
      <c r="N115" s="107"/>
      <c r="O115" s="63"/>
      <c r="P115" s="106"/>
      <c r="Q115" s="106"/>
      <c r="R115" s="106"/>
    </row>
    <row r="116" spans="1:18" s="65" customFormat="1" x14ac:dyDescent="0.2">
      <c r="A116" s="1774"/>
      <c r="B116" s="9"/>
      <c r="C116" s="584" t="s">
        <v>5735</v>
      </c>
      <c r="D116" s="31" t="s">
        <v>5667</v>
      </c>
      <c r="E116" s="63"/>
      <c r="F116" s="63"/>
      <c r="G116" s="63"/>
      <c r="H116" s="63"/>
      <c r="I116" s="107"/>
      <c r="J116" s="63"/>
      <c r="K116" s="63"/>
      <c r="L116" s="92"/>
      <c r="M116" s="63"/>
      <c r="N116" s="107"/>
      <c r="O116" s="63"/>
      <c r="P116" s="106"/>
      <c r="Q116" s="106"/>
      <c r="R116" s="106"/>
    </row>
    <row r="117" spans="1:18" s="65" customFormat="1" x14ac:dyDescent="0.2">
      <c r="A117" s="1774"/>
      <c r="B117" s="9">
        <v>12000</v>
      </c>
      <c r="C117" s="584" t="s">
        <v>5736</v>
      </c>
      <c r="D117" s="31" t="s">
        <v>5667</v>
      </c>
      <c r="E117" s="63"/>
      <c r="F117" s="63"/>
      <c r="G117" s="63"/>
      <c r="H117" s="63"/>
      <c r="I117" s="107"/>
      <c r="J117" s="63"/>
      <c r="K117" s="63"/>
      <c r="L117" s="92"/>
      <c r="M117" s="63"/>
      <c r="N117" s="107"/>
      <c r="O117" s="63"/>
      <c r="P117" s="106"/>
      <c r="Q117" s="106"/>
      <c r="R117" s="106"/>
    </row>
    <row r="118" spans="1:18" s="65" customFormat="1" x14ac:dyDescent="0.2">
      <c r="A118" s="1774"/>
      <c r="B118" s="9">
        <v>10800</v>
      </c>
      <c r="C118" s="584" t="s">
        <v>5737</v>
      </c>
      <c r="D118" s="31" t="s">
        <v>5668</v>
      </c>
      <c r="E118" s="63"/>
      <c r="F118" s="63"/>
      <c r="G118" s="63"/>
      <c r="H118" s="63"/>
      <c r="I118" s="107"/>
      <c r="J118" s="63"/>
      <c r="K118" s="63"/>
      <c r="L118" s="92"/>
      <c r="M118" s="63"/>
      <c r="N118" s="107"/>
      <c r="O118" s="63"/>
      <c r="P118" s="106"/>
      <c r="Q118" s="106"/>
      <c r="R118" s="106"/>
    </row>
    <row r="119" spans="1:18" s="65" customFormat="1" x14ac:dyDescent="0.2">
      <c r="A119" s="1774"/>
      <c r="B119" s="9"/>
      <c r="C119" s="584" t="s">
        <v>5738</v>
      </c>
      <c r="D119" s="31" t="s">
        <v>5669</v>
      </c>
      <c r="E119" s="63"/>
      <c r="F119" s="63"/>
      <c r="G119" s="63"/>
      <c r="H119" s="63"/>
      <c r="I119" s="107"/>
      <c r="J119" s="63"/>
      <c r="K119" s="63"/>
      <c r="L119" s="92"/>
      <c r="M119" s="63"/>
      <c r="N119" s="107"/>
      <c r="O119" s="63"/>
      <c r="P119" s="106"/>
      <c r="Q119" s="106"/>
      <c r="R119" s="106"/>
    </row>
    <row r="120" spans="1:18" s="65" customFormat="1" x14ac:dyDescent="0.2">
      <c r="A120" s="1774"/>
      <c r="B120" s="9">
        <v>1992357.88</v>
      </c>
      <c r="C120" s="584" t="s">
        <v>5739</v>
      </c>
      <c r="D120" s="31" t="s">
        <v>5670</v>
      </c>
      <c r="E120" s="63"/>
      <c r="F120" s="63"/>
      <c r="G120" s="63"/>
      <c r="H120" s="63"/>
      <c r="I120" s="107"/>
      <c r="J120" s="63"/>
      <c r="K120" s="63"/>
      <c r="L120" s="92"/>
      <c r="M120" s="63"/>
      <c r="N120" s="107"/>
      <c r="O120" s="63"/>
      <c r="P120" s="106"/>
      <c r="Q120" s="106"/>
      <c r="R120" s="106"/>
    </row>
    <row r="121" spans="1:18" s="65" customFormat="1" x14ac:dyDescent="0.2">
      <c r="A121" s="1774"/>
      <c r="B121" s="9">
        <v>982354.8</v>
      </c>
      <c r="C121" s="584" t="s">
        <v>5740</v>
      </c>
      <c r="D121" s="31" t="s">
        <v>5671</v>
      </c>
      <c r="E121" s="63"/>
      <c r="F121" s="63"/>
      <c r="G121" s="63"/>
      <c r="H121" s="63"/>
      <c r="I121" s="107"/>
      <c r="J121" s="63"/>
      <c r="K121" s="63"/>
      <c r="L121" s="92"/>
      <c r="M121" s="63"/>
      <c r="N121" s="107"/>
      <c r="O121" s="63"/>
      <c r="P121" s="106"/>
      <c r="Q121" s="106"/>
      <c r="R121" s="106"/>
    </row>
    <row r="122" spans="1:18" s="65" customFormat="1" x14ac:dyDescent="0.2">
      <c r="A122" s="1774"/>
      <c r="B122" s="9">
        <v>3648.33</v>
      </c>
      <c r="C122" s="584" t="s">
        <v>5741</v>
      </c>
      <c r="D122" s="31" t="s">
        <v>5672</v>
      </c>
      <c r="E122" s="63"/>
      <c r="F122" s="63"/>
      <c r="G122" s="63"/>
      <c r="H122" s="63"/>
      <c r="I122" s="107"/>
      <c r="J122" s="63"/>
      <c r="K122" s="63"/>
      <c r="L122" s="92"/>
      <c r="M122" s="63"/>
      <c r="N122" s="107"/>
      <c r="O122" s="63"/>
      <c r="P122" s="106"/>
      <c r="Q122" s="106"/>
      <c r="R122" s="106"/>
    </row>
    <row r="123" spans="1:18" s="65" customFormat="1" x14ac:dyDescent="0.2">
      <c r="A123" s="1774"/>
      <c r="B123" s="9">
        <v>7734.64</v>
      </c>
      <c r="C123" s="584" t="s">
        <v>5742</v>
      </c>
      <c r="D123" s="31" t="s">
        <v>5673</v>
      </c>
      <c r="E123" s="63"/>
      <c r="F123" s="63"/>
      <c r="G123" s="63"/>
      <c r="H123" s="63"/>
      <c r="I123" s="107"/>
      <c r="J123" s="63"/>
      <c r="K123" s="63"/>
      <c r="L123" s="92"/>
      <c r="M123" s="63"/>
      <c r="N123" s="107"/>
      <c r="O123" s="63"/>
      <c r="P123" s="106"/>
      <c r="Q123" s="106"/>
      <c r="R123" s="106"/>
    </row>
    <row r="124" spans="1:18" s="65" customFormat="1" x14ac:dyDescent="0.2">
      <c r="A124" s="1774"/>
      <c r="B124" s="9">
        <v>40984.28</v>
      </c>
      <c r="C124" s="584" t="s">
        <v>5743</v>
      </c>
      <c r="D124" s="31" t="s">
        <v>5674</v>
      </c>
      <c r="E124" s="63"/>
      <c r="F124" s="63"/>
      <c r="G124" s="63"/>
      <c r="H124" s="63"/>
      <c r="I124" s="107"/>
      <c r="J124" s="63"/>
      <c r="K124" s="63"/>
      <c r="L124" s="92"/>
      <c r="M124" s="63"/>
      <c r="N124" s="107"/>
      <c r="O124" s="63"/>
      <c r="P124" s="106"/>
      <c r="Q124" s="106"/>
      <c r="R124" s="106"/>
    </row>
    <row r="125" spans="1:18" s="65" customFormat="1" x14ac:dyDescent="0.2">
      <c r="A125" s="1774"/>
      <c r="B125" s="9">
        <v>8977.59</v>
      </c>
      <c r="C125" s="584" t="s">
        <v>5744</v>
      </c>
      <c r="D125" s="31" t="s">
        <v>5675</v>
      </c>
      <c r="E125" s="63"/>
      <c r="F125" s="63"/>
      <c r="G125" s="63"/>
      <c r="H125" s="63"/>
      <c r="I125" s="107"/>
      <c r="J125" s="63"/>
      <c r="K125" s="63"/>
      <c r="L125" s="92"/>
      <c r="M125" s="63"/>
      <c r="N125" s="107"/>
      <c r="O125" s="63"/>
      <c r="P125" s="106"/>
      <c r="Q125" s="106"/>
      <c r="R125" s="106"/>
    </row>
    <row r="126" spans="1:18" s="65" customFormat="1" x14ac:dyDescent="0.2">
      <c r="A126" s="1774"/>
      <c r="B126" s="9"/>
      <c r="C126" s="584" t="s">
        <v>5745</v>
      </c>
      <c r="D126" s="31" t="s">
        <v>5676</v>
      </c>
      <c r="E126" s="63"/>
      <c r="F126" s="63"/>
      <c r="G126" s="63"/>
      <c r="H126" s="63"/>
      <c r="I126" s="107"/>
      <c r="J126" s="63"/>
      <c r="K126" s="63"/>
      <c r="L126" s="92"/>
      <c r="M126" s="63"/>
      <c r="N126" s="107"/>
      <c r="O126" s="63"/>
      <c r="P126" s="106"/>
      <c r="Q126" s="106"/>
      <c r="R126" s="106"/>
    </row>
    <row r="127" spans="1:18" s="65" customFormat="1" x14ac:dyDescent="0.2">
      <c r="A127" s="1774"/>
      <c r="B127" s="9">
        <v>52563.75</v>
      </c>
      <c r="C127" s="584" t="s">
        <v>5746</v>
      </c>
      <c r="D127" s="31" t="s">
        <v>5677</v>
      </c>
      <c r="E127" s="63"/>
      <c r="F127" s="63"/>
      <c r="G127" s="63"/>
      <c r="H127" s="63"/>
      <c r="I127" s="107"/>
      <c r="J127" s="63"/>
      <c r="K127" s="63"/>
      <c r="L127" s="92"/>
      <c r="M127" s="63"/>
      <c r="N127" s="107"/>
      <c r="O127" s="63"/>
      <c r="P127" s="106"/>
      <c r="Q127" s="106"/>
      <c r="R127" s="106"/>
    </row>
    <row r="128" spans="1:18" s="65" customFormat="1" x14ac:dyDescent="0.2">
      <c r="A128" s="1774"/>
      <c r="B128" s="9">
        <v>10987.13</v>
      </c>
      <c r="C128" s="584" t="s">
        <v>5747</v>
      </c>
      <c r="D128" s="31" t="s">
        <v>5678</v>
      </c>
      <c r="E128" s="63"/>
      <c r="F128" s="63"/>
      <c r="G128" s="63"/>
      <c r="H128" s="63"/>
      <c r="I128" s="107"/>
      <c r="J128" s="63"/>
      <c r="K128" s="63"/>
      <c r="L128" s="92"/>
      <c r="M128" s="63"/>
      <c r="N128" s="107"/>
      <c r="O128" s="63"/>
      <c r="P128" s="106"/>
      <c r="Q128" s="106"/>
      <c r="R128" s="106"/>
    </row>
    <row r="129" spans="1:18" s="65" customFormat="1" x14ac:dyDescent="0.2">
      <c r="A129" s="1774"/>
      <c r="B129" s="9">
        <v>8312.6200000000008</v>
      </c>
      <c r="C129" s="584" t="s">
        <v>5748</v>
      </c>
      <c r="D129" s="31" t="s">
        <v>5679</v>
      </c>
      <c r="E129" s="63"/>
      <c r="F129" s="63"/>
      <c r="G129" s="63"/>
      <c r="H129" s="63"/>
      <c r="I129" s="107"/>
      <c r="J129" s="63"/>
      <c r="K129" s="63"/>
      <c r="L129" s="92"/>
      <c r="M129" s="63"/>
      <c r="N129" s="107"/>
      <c r="O129" s="63"/>
      <c r="P129" s="106"/>
      <c r="Q129" s="106"/>
      <c r="R129" s="106"/>
    </row>
    <row r="130" spans="1:18" s="65" customFormat="1" x14ac:dyDescent="0.2">
      <c r="A130" s="1774"/>
      <c r="B130" s="9">
        <v>50242.57</v>
      </c>
      <c r="C130" s="584" t="s">
        <v>5749</v>
      </c>
      <c r="D130" s="31" t="s">
        <v>5680</v>
      </c>
      <c r="E130" s="63"/>
      <c r="F130" s="63"/>
      <c r="G130" s="63"/>
      <c r="H130" s="63"/>
      <c r="I130" s="107"/>
      <c r="J130" s="63"/>
      <c r="K130" s="63"/>
      <c r="L130" s="92"/>
      <c r="M130" s="63"/>
      <c r="N130" s="107"/>
      <c r="O130" s="63"/>
      <c r="P130" s="106"/>
      <c r="Q130" s="106"/>
      <c r="R130" s="106"/>
    </row>
    <row r="131" spans="1:18" s="65" customFormat="1" x14ac:dyDescent="0.2">
      <c r="A131" s="1774"/>
      <c r="B131" s="9"/>
      <c r="C131" s="584" t="s">
        <v>5750</v>
      </c>
      <c r="D131" s="31" t="s">
        <v>5681</v>
      </c>
      <c r="E131" s="63"/>
      <c r="F131" s="63"/>
      <c r="G131" s="63"/>
      <c r="H131" s="63"/>
      <c r="I131" s="107"/>
      <c r="J131" s="63"/>
      <c r="K131" s="63"/>
      <c r="L131" s="92"/>
      <c r="M131" s="63"/>
      <c r="N131" s="107"/>
      <c r="O131" s="63"/>
      <c r="P131" s="106"/>
      <c r="Q131" s="106"/>
      <c r="R131" s="106"/>
    </row>
    <row r="132" spans="1:18" s="65" customFormat="1" x14ac:dyDescent="0.2">
      <c r="A132" s="1774"/>
      <c r="B132" s="9">
        <v>15696.8</v>
      </c>
      <c r="C132" s="584" t="s">
        <v>5751</v>
      </c>
      <c r="D132" s="31" t="s">
        <v>5682</v>
      </c>
      <c r="E132" s="63"/>
      <c r="F132" s="63"/>
      <c r="G132" s="63"/>
      <c r="H132" s="63"/>
      <c r="I132" s="107"/>
      <c r="J132" s="63"/>
      <c r="K132" s="63"/>
      <c r="L132" s="92"/>
      <c r="M132" s="63"/>
      <c r="N132" s="107"/>
      <c r="O132" s="63"/>
      <c r="P132" s="106"/>
      <c r="Q132" s="106"/>
      <c r="R132" s="106"/>
    </row>
    <row r="133" spans="1:18" s="65" customFormat="1" x14ac:dyDescent="0.2">
      <c r="A133" s="1774"/>
      <c r="B133" s="9">
        <v>3258.59</v>
      </c>
      <c r="C133" s="584" t="s">
        <v>5752</v>
      </c>
      <c r="D133" s="31" t="s">
        <v>5683</v>
      </c>
      <c r="E133" s="63"/>
      <c r="F133" s="63"/>
      <c r="G133" s="63"/>
      <c r="H133" s="63"/>
      <c r="I133" s="107"/>
      <c r="J133" s="63"/>
      <c r="K133" s="63"/>
      <c r="L133" s="92"/>
      <c r="M133" s="63"/>
      <c r="N133" s="107"/>
      <c r="O133" s="63"/>
      <c r="P133" s="106"/>
      <c r="Q133" s="106"/>
      <c r="R133" s="106"/>
    </row>
    <row r="134" spans="1:18" s="65" customFormat="1" x14ac:dyDescent="0.2">
      <c r="A134" s="1774"/>
      <c r="B134" s="9">
        <v>12136.87</v>
      </c>
      <c r="C134" s="584" t="s">
        <v>5753</v>
      </c>
      <c r="D134" s="31" t="s">
        <v>5684</v>
      </c>
      <c r="E134" s="63"/>
      <c r="F134" s="63"/>
      <c r="G134" s="63"/>
      <c r="H134" s="63"/>
      <c r="I134" s="107"/>
      <c r="J134" s="63"/>
      <c r="K134" s="63"/>
      <c r="L134" s="92"/>
      <c r="M134" s="63"/>
      <c r="N134" s="107"/>
      <c r="O134" s="63"/>
      <c r="P134" s="106"/>
      <c r="Q134" s="106"/>
      <c r="R134" s="106"/>
    </row>
    <row r="135" spans="1:18" s="65" customFormat="1" x14ac:dyDescent="0.2">
      <c r="A135" s="1774"/>
      <c r="B135" s="9">
        <v>10326.24</v>
      </c>
      <c r="C135" s="584" t="s">
        <v>5754</v>
      </c>
      <c r="D135" s="31" t="s">
        <v>5685</v>
      </c>
      <c r="E135" s="63"/>
      <c r="F135" s="63"/>
      <c r="G135" s="63"/>
      <c r="H135" s="63"/>
      <c r="I135" s="107"/>
      <c r="J135" s="63"/>
      <c r="K135" s="63"/>
      <c r="L135" s="92"/>
      <c r="M135" s="63"/>
      <c r="N135" s="107"/>
      <c r="O135" s="63"/>
      <c r="P135" s="106"/>
      <c r="Q135" s="106"/>
      <c r="R135" s="106"/>
    </row>
    <row r="136" spans="1:18" s="65" customFormat="1" x14ac:dyDescent="0.2">
      <c r="A136" s="1774"/>
      <c r="B136" s="9">
        <v>6090.17</v>
      </c>
      <c r="C136" s="584" t="s">
        <v>5755</v>
      </c>
      <c r="D136" s="31" t="s">
        <v>5686</v>
      </c>
      <c r="E136" s="63"/>
      <c r="F136" s="63"/>
      <c r="G136" s="63"/>
      <c r="H136" s="63"/>
      <c r="I136" s="107"/>
      <c r="J136" s="63"/>
      <c r="K136" s="63"/>
      <c r="L136" s="92"/>
      <c r="M136" s="63"/>
      <c r="N136" s="107"/>
      <c r="O136" s="63"/>
      <c r="P136" s="106"/>
      <c r="Q136" s="106"/>
      <c r="R136" s="106"/>
    </row>
    <row r="137" spans="1:18" s="65" customFormat="1" x14ac:dyDescent="0.2">
      <c r="A137" s="1774"/>
      <c r="B137" s="9">
        <v>1855.74</v>
      </c>
      <c r="C137" s="584" t="s">
        <v>5756</v>
      </c>
      <c r="D137" s="31" t="s">
        <v>5687</v>
      </c>
      <c r="E137" s="63"/>
      <c r="F137" s="63"/>
      <c r="G137" s="63"/>
      <c r="H137" s="63"/>
      <c r="I137" s="107"/>
      <c r="J137" s="63"/>
      <c r="K137" s="63"/>
      <c r="L137" s="92"/>
      <c r="M137" s="63"/>
      <c r="N137" s="107"/>
      <c r="O137" s="63"/>
      <c r="P137" s="106"/>
      <c r="Q137" s="106"/>
      <c r="R137" s="106"/>
    </row>
    <row r="138" spans="1:18" s="65" customFormat="1" x14ac:dyDescent="0.2">
      <c r="A138" s="1774"/>
      <c r="B138" s="9">
        <v>43324.39</v>
      </c>
      <c r="C138" s="584" t="s">
        <v>5757</v>
      </c>
      <c r="D138" s="31" t="s">
        <v>5688</v>
      </c>
      <c r="E138" s="63"/>
      <c r="F138" s="63"/>
      <c r="G138" s="63"/>
      <c r="H138" s="63"/>
      <c r="I138" s="107"/>
      <c r="J138" s="63"/>
      <c r="K138" s="63"/>
      <c r="L138" s="92"/>
      <c r="M138" s="63"/>
      <c r="N138" s="107"/>
      <c r="O138" s="63"/>
      <c r="P138" s="106"/>
      <c r="Q138" s="106"/>
      <c r="R138" s="106"/>
    </row>
    <row r="139" spans="1:18" s="65" customFormat="1" x14ac:dyDescent="0.2">
      <c r="A139" s="1774"/>
      <c r="B139" s="9">
        <v>19036</v>
      </c>
      <c r="C139" s="584" t="s">
        <v>5758</v>
      </c>
      <c r="D139" s="31" t="s">
        <v>5689</v>
      </c>
      <c r="E139" s="63"/>
      <c r="F139" s="63"/>
      <c r="G139" s="63"/>
      <c r="H139" s="63"/>
      <c r="I139" s="107"/>
      <c r="J139" s="63"/>
      <c r="K139" s="63"/>
      <c r="L139" s="92"/>
      <c r="M139" s="63"/>
      <c r="N139" s="107"/>
      <c r="O139" s="63"/>
      <c r="P139" s="106"/>
      <c r="Q139" s="106"/>
      <c r="R139" s="106"/>
    </row>
    <row r="140" spans="1:18" s="65" customFormat="1" x14ac:dyDescent="0.2">
      <c r="A140" s="1774"/>
      <c r="B140" s="9">
        <v>2690.61</v>
      </c>
      <c r="C140" s="584" t="s">
        <v>5759</v>
      </c>
      <c r="D140" s="31" t="s">
        <v>5690</v>
      </c>
      <c r="E140" s="63"/>
      <c r="F140" s="63"/>
      <c r="G140" s="63"/>
      <c r="H140" s="63"/>
      <c r="I140" s="107"/>
      <c r="J140" s="63"/>
      <c r="K140" s="63"/>
      <c r="L140" s="92"/>
      <c r="M140" s="63"/>
      <c r="N140" s="107"/>
      <c r="O140" s="63"/>
      <c r="P140" s="106"/>
      <c r="Q140" s="106"/>
      <c r="R140" s="106"/>
    </row>
    <row r="141" spans="1:18" s="65" customFormat="1" x14ac:dyDescent="0.2">
      <c r="A141" s="1774"/>
      <c r="B141" s="9">
        <v>5013.82</v>
      </c>
      <c r="C141" s="584" t="s">
        <v>5760</v>
      </c>
      <c r="D141" s="31" t="s">
        <v>5691</v>
      </c>
      <c r="E141" s="63"/>
      <c r="F141" s="63"/>
      <c r="G141" s="63"/>
      <c r="H141" s="63"/>
      <c r="I141" s="107"/>
      <c r="J141" s="63"/>
      <c r="K141" s="63"/>
      <c r="L141" s="92"/>
      <c r="M141" s="63"/>
      <c r="N141" s="107"/>
      <c r="O141" s="63"/>
      <c r="P141" s="106"/>
      <c r="Q141" s="106"/>
      <c r="R141" s="106"/>
    </row>
    <row r="142" spans="1:18" s="65" customFormat="1" x14ac:dyDescent="0.2">
      <c r="A142" s="1774"/>
      <c r="B142" s="9">
        <v>19758.07</v>
      </c>
      <c r="C142" s="584" t="s">
        <v>5761</v>
      </c>
      <c r="D142" s="31" t="s">
        <v>5692</v>
      </c>
      <c r="E142" s="63"/>
      <c r="F142" s="63"/>
      <c r="G142" s="63"/>
      <c r="H142" s="63"/>
      <c r="I142" s="107"/>
      <c r="J142" s="63"/>
      <c r="K142" s="63"/>
      <c r="L142" s="92"/>
      <c r="M142" s="63"/>
      <c r="N142" s="107"/>
      <c r="O142" s="63"/>
      <c r="P142" s="106"/>
      <c r="Q142" s="106"/>
      <c r="R142" s="106"/>
    </row>
    <row r="143" spans="1:18" s="65" customFormat="1" x14ac:dyDescent="0.2">
      <c r="A143" s="1774"/>
      <c r="B143" s="9"/>
      <c r="C143" s="584" t="s">
        <v>5762</v>
      </c>
      <c r="D143" s="31" t="s">
        <v>5693</v>
      </c>
      <c r="E143" s="63"/>
      <c r="F143" s="63"/>
      <c r="G143" s="63"/>
      <c r="H143" s="63"/>
      <c r="I143" s="107"/>
      <c r="J143" s="63"/>
      <c r="K143" s="63"/>
      <c r="L143" s="92"/>
      <c r="M143" s="63"/>
      <c r="N143" s="107"/>
      <c r="O143" s="63"/>
      <c r="P143" s="106"/>
      <c r="Q143" s="106"/>
      <c r="R143" s="106"/>
    </row>
    <row r="144" spans="1:18" s="65" customFormat="1" x14ac:dyDescent="0.2">
      <c r="A144" s="1774"/>
      <c r="B144" s="9">
        <v>38000</v>
      </c>
      <c r="C144" s="584" t="s">
        <v>5763</v>
      </c>
      <c r="D144" s="31" t="s">
        <v>5694</v>
      </c>
      <c r="E144" s="63"/>
      <c r="F144" s="63"/>
      <c r="G144" s="63"/>
      <c r="H144" s="63"/>
      <c r="I144" s="107"/>
      <c r="J144" s="63"/>
      <c r="K144" s="63"/>
      <c r="L144" s="92"/>
      <c r="M144" s="63"/>
      <c r="N144" s="107"/>
      <c r="O144" s="63"/>
      <c r="P144" s="106"/>
      <c r="Q144" s="106"/>
      <c r="R144" s="106"/>
    </row>
    <row r="145" spans="1:21" s="65" customFormat="1" x14ac:dyDescent="0.2">
      <c r="A145" s="1774"/>
      <c r="B145" s="9">
        <v>36200</v>
      </c>
      <c r="C145" s="584" t="s">
        <v>5764</v>
      </c>
      <c r="D145" s="31" t="s">
        <v>5695</v>
      </c>
      <c r="E145" s="63"/>
      <c r="F145" s="63"/>
      <c r="G145" s="63"/>
      <c r="H145" s="63"/>
      <c r="I145" s="107"/>
      <c r="J145" s="63"/>
      <c r="K145" s="63"/>
      <c r="L145" s="92"/>
      <c r="M145" s="63"/>
      <c r="N145" s="107"/>
      <c r="O145" s="63"/>
      <c r="P145" s="106"/>
      <c r="Q145" s="106"/>
      <c r="R145" s="106"/>
    </row>
    <row r="146" spans="1:21" s="65" customFormat="1" x14ac:dyDescent="0.2">
      <c r="A146" s="1774"/>
      <c r="B146" s="9">
        <v>100000</v>
      </c>
      <c r="C146" s="584" t="s">
        <v>5765</v>
      </c>
      <c r="D146" s="31" t="s">
        <v>5696</v>
      </c>
      <c r="E146" s="63"/>
      <c r="F146" s="63"/>
      <c r="G146" s="63"/>
      <c r="H146" s="63"/>
      <c r="I146" s="107"/>
      <c r="J146" s="63"/>
      <c r="K146" s="63"/>
      <c r="L146" s="92"/>
      <c r="M146" s="63"/>
      <c r="N146" s="107"/>
      <c r="O146" s="63"/>
      <c r="P146" s="106"/>
      <c r="Q146" s="106"/>
      <c r="R146" s="106"/>
    </row>
    <row r="147" spans="1:21" s="65" customFormat="1" x14ac:dyDescent="0.2">
      <c r="A147" s="1774"/>
      <c r="B147" s="9">
        <v>0</v>
      </c>
      <c r="C147" s="584" t="s">
        <v>5766</v>
      </c>
      <c r="D147" s="31" t="s">
        <v>5697</v>
      </c>
      <c r="E147" s="63"/>
      <c r="F147" s="63"/>
      <c r="G147" s="63"/>
      <c r="H147" s="63"/>
      <c r="I147" s="107"/>
      <c r="J147" s="63"/>
      <c r="K147" s="63"/>
      <c r="L147" s="92"/>
      <c r="M147" s="63"/>
      <c r="N147" s="107"/>
      <c r="O147" s="63"/>
      <c r="P147" s="106"/>
      <c r="Q147" s="106"/>
      <c r="R147" s="106"/>
    </row>
    <row r="148" spans="1:21" s="65" customFormat="1" x14ac:dyDescent="0.2">
      <c r="A148" s="1774"/>
      <c r="B148" s="9">
        <v>112921.3</v>
      </c>
      <c r="C148" s="584" t="s">
        <v>5767</v>
      </c>
      <c r="D148" s="31" t="s">
        <v>5698</v>
      </c>
      <c r="E148" s="63"/>
      <c r="F148" s="63"/>
      <c r="G148" s="63"/>
      <c r="H148" s="63"/>
      <c r="I148" s="107"/>
      <c r="J148" s="63"/>
      <c r="K148" s="63"/>
      <c r="L148" s="92"/>
      <c r="M148" s="63"/>
      <c r="N148" s="107"/>
      <c r="O148" s="63"/>
      <c r="P148" s="106"/>
      <c r="Q148" s="106"/>
      <c r="R148" s="106"/>
    </row>
    <row r="149" spans="1:21" s="65" customFormat="1" x14ac:dyDescent="0.2">
      <c r="A149" s="1774"/>
      <c r="B149" s="9"/>
      <c r="C149" s="584" t="s">
        <v>5768</v>
      </c>
      <c r="D149" s="31" t="s">
        <v>5699</v>
      </c>
      <c r="E149" s="63"/>
      <c r="F149" s="63"/>
      <c r="G149" s="63"/>
      <c r="H149" s="63"/>
      <c r="I149" s="107"/>
      <c r="J149" s="63"/>
      <c r="K149" s="63"/>
      <c r="L149" s="92"/>
      <c r="M149" s="63"/>
      <c r="N149" s="107"/>
      <c r="O149" s="63"/>
      <c r="P149" s="106"/>
      <c r="Q149" s="106"/>
      <c r="R149" s="106"/>
    </row>
    <row r="150" spans="1:21" s="65" customFormat="1" x14ac:dyDescent="0.2">
      <c r="A150" s="1774"/>
      <c r="B150" s="9">
        <v>69000</v>
      </c>
      <c r="C150" s="584" t="s">
        <v>5769</v>
      </c>
      <c r="D150" s="31" t="s">
        <v>5700</v>
      </c>
      <c r="E150" s="63"/>
      <c r="F150" s="63"/>
      <c r="G150" s="63"/>
      <c r="H150" s="63"/>
      <c r="I150" s="107"/>
      <c r="J150" s="63"/>
      <c r="K150" s="63"/>
      <c r="L150" s="92"/>
      <c r="M150" s="63"/>
      <c r="N150" s="107"/>
      <c r="O150" s="63"/>
      <c r="P150" s="106"/>
      <c r="Q150" s="106"/>
      <c r="R150" s="106"/>
    </row>
    <row r="151" spans="1:21" s="65" customFormat="1" x14ac:dyDescent="0.2">
      <c r="A151" s="1774"/>
      <c r="B151" s="9">
        <v>340000</v>
      </c>
      <c r="C151" s="584" t="s">
        <v>5770</v>
      </c>
      <c r="D151" s="31" t="s">
        <v>5701</v>
      </c>
      <c r="E151" s="63"/>
      <c r="F151" s="63"/>
      <c r="G151" s="63"/>
      <c r="H151" s="63"/>
      <c r="I151" s="107"/>
      <c r="J151" s="63"/>
      <c r="K151" s="63"/>
      <c r="L151" s="92"/>
      <c r="M151" s="63"/>
      <c r="N151" s="107"/>
      <c r="O151" s="63"/>
      <c r="P151" s="106"/>
      <c r="Q151" s="106"/>
      <c r="R151" s="106"/>
    </row>
    <row r="152" spans="1:21" s="65" customFormat="1" x14ac:dyDescent="0.2">
      <c r="A152" s="1774"/>
      <c r="B152" s="9"/>
      <c r="C152" s="584" t="s">
        <v>5771</v>
      </c>
      <c r="D152" s="31" t="s">
        <v>5702</v>
      </c>
      <c r="E152" s="63"/>
      <c r="F152" s="63"/>
      <c r="G152" s="63"/>
      <c r="H152" s="63"/>
      <c r="I152" s="107"/>
      <c r="J152" s="63"/>
      <c r="K152" s="63"/>
      <c r="L152" s="92"/>
      <c r="M152" s="63"/>
      <c r="N152" s="107"/>
      <c r="O152" s="63"/>
      <c r="P152" s="106"/>
      <c r="Q152" s="106"/>
      <c r="R152" s="106"/>
      <c r="T152" s="34"/>
      <c r="U152" s="34"/>
    </row>
    <row r="153" spans="1:21" s="65" customFormat="1" x14ac:dyDescent="0.2">
      <c r="A153" s="1774"/>
      <c r="B153" s="9">
        <v>43000</v>
      </c>
      <c r="C153" s="584" t="s">
        <v>5772</v>
      </c>
      <c r="D153" s="31" t="s">
        <v>5703</v>
      </c>
      <c r="E153" s="63"/>
      <c r="F153" s="63"/>
      <c r="G153" s="63"/>
      <c r="H153" s="63"/>
      <c r="I153" s="107"/>
      <c r="J153" s="63"/>
      <c r="K153" s="63"/>
      <c r="L153" s="92"/>
      <c r="M153" s="63"/>
      <c r="N153" s="107"/>
      <c r="O153" s="63"/>
      <c r="P153" s="106"/>
      <c r="Q153" s="106"/>
      <c r="R153" s="106"/>
      <c r="T153" s="34"/>
      <c r="U153" s="34"/>
    </row>
    <row r="154" spans="1:21" s="65" customFormat="1" x14ac:dyDescent="0.2">
      <c r="A154" s="1774"/>
      <c r="B154" s="9"/>
      <c r="C154" s="584" t="s">
        <v>5773</v>
      </c>
      <c r="D154" s="31" t="s">
        <v>5704</v>
      </c>
      <c r="E154" s="63"/>
      <c r="F154" s="63"/>
      <c r="G154" s="63"/>
      <c r="H154" s="63"/>
      <c r="I154" s="107"/>
      <c r="J154" s="63"/>
      <c r="K154" s="63"/>
      <c r="L154" s="92"/>
      <c r="M154" s="63"/>
      <c r="N154" s="107"/>
      <c r="O154" s="63"/>
      <c r="P154" s="106"/>
      <c r="Q154" s="106"/>
      <c r="R154" s="106"/>
      <c r="T154" s="80"/>
      <c r="U154" s="80"/>
    </row>
    <row r="155" spans="1:21" s="65" customFormat="1" x14ac:dyDescent="0.2">
      <c r="A155" s="1771">
        <f>SUM(A86:A154)</f>
        <v>0</v>
      </c>
      <c r="B155" s="791">
        <f>SUM(B86:B154)</f>
        <v>4506816.2699999996</v>
      </c>
      <c r="C155" s="1772"/>
      <c r="D155" s="1508" t="s">
        <v>752</v>
      </c>
      <c r="E155" s="791">
        <f>SUM(E86:E154)</f>
        <v>0</v>
      </c>
      <c r="F155" s="791"/>
      <c r="G155" s="791">
        <f t="shared" ref="G155:O155" si="23">SUM(G86:G154)</f>
        <v>0</v>
      </c>
      <c r="H155" s="791">
        <f t="shared" si="23"/>
        <v>0</v>
      </c>
      <c r="I155" s="865">
        <f t="shared" si="23"/>
        <v>0</v>
      </c>
      <c r="J155" s="791">
        <f t="shared" si="23"/>
        <v>0</v>
      </c>
      <c r="K155" s="791">
        <f t="shared" si="23"/>
        <v>0</v>
      </c>
      <c r="L155" s="1508">
        <f t="shared" si="23"/>
        <v>0</v>
      </c>
      <c r="M155" s="791">
        <f t="shared" si="23"/>
        <v>0</v>
      </c>
      <c r="N155" s="865">
        <f t="shared" si="23"/>
        <v>0</v>
      </c>
      <c r="O155" s="791">
        <f t="shared" si="23"/>
        <v>0</v>
      </c>
      <c r="P155" s="1001">
        <f t="shared" ref="P155:Q155" si="24">SUM(P86:P154)</f>
        <v>0</v>
      </c>
      <c r="Q155" s="1001">
        <f t="shared" si="24"/>
        <v>0</v>
      </c>
      <c r="R155" s="1001">
        <f t="shared" ref="R155" si="25">SUM(R86:R154)</f>
        <v>0</v>
      </c>
      <c r="T155" s="34"/>
      <c r="U155" s="34"/>
    </row>
    <row r="156" spans="1:21" s="65" customFormat="1" x14ac:dyDescent="0.2">
      <c r="A156" s="1774"/>
      <c r="B156" s="63"/>
      <c r="C156" s="584"/>
      <c r="D156" s="92"/>
      <c r="E156" s="63"/>
      <c r="F156" s="63"/>
      <c r="G156" s="63"/>
      <c r="H156" s="63"/>
      <c r="I156" s="107"/>
      <c r="J156" s="63"/>
      <c r="K156" s="63"/>
      <c r="L156" s="92"/>
      <c r="M156" s="63"/>
      <c r="N156" s="107"/>
      <c r="O156" s="63"/>
      <c r="P156" s="106"/>
      <c r="Q156" s="106"/>
      <c r="R156" s="106"/>
      <c r="T156" s="34"/>
      <c r="U156" s="34"/>
    </row>
    <row r="157" spans="1:21" x14ac:dyDescent="0.2">
      <c r="A157" s="45"/>
      <c r="B157" s="9"/>
      <c r="C157" s="584"/>
      <c r="D157" s="46"/>
      <c r="E157" s="9"/>
      <c r="F157" s="9"/>
      <c r="G157" s="9"/>
      <c r="H157" s="9"/>
      <c r="I157" s="89"/>
      <c r="J157" s="9"/>
      <c r="K157" s="9"/>
      <c r="L157" s="46"/>
      <c r="M157" s="9"/>
      <c r="N157" s="89"/>
      <c r="O157" s="9"/>
      <c r="P157" s="61"/>
      <c r="Q157" s="61"/>
      <c r="R157" s="61"/>
    </row>
    <row r="158" spans="1:21" s="65" customFormat="1" x14ac:dyDescent="0.2">
      <c r="A158" s="1774">
        <f>A83+A155</f>
        <v>0</v>
      </c>
      <c r="B158" s="63">
        <f>B83++B155</f>
        <v>10303318.779999999</v>
      </c>
      <c r="C158" s="584"/>
      <c r="D158" s="1775" t="s">
        <v>5774</v>
      </c>
      <c r="E158" s="63">
        <f t="shared" ref="E158:O158" si="26">E83++E155</f>
        <v>0</v>
      </c>
      <c r="F158" s="220"/>
      <c r="G158" s="63">
        <f t="shared" si="26"/>
        <v>0</v>
      </c>
      <c r="H158" s="63">
        <f t="shared" si="26"/>
        <v>0</v>
      </c>
      <c r="I158" s="107">
        <f t="shared" si="26"/>
        <v>0</v>
      </c>
      <c r="J158" s="63">
        <f t="shared" si="26"/>
        <v>0</v>
      </c>
      <c r="K158" s="63">
        <f t="shared" si="26"/>
        <v>0</v>
      </c>
      <c r="L158" s="92">
        <f t="shared" si="26"/>
        <v>0</v>
      </c>
      <c r="M158" s="63">
        <f t="shared" si="26"/>
        <v>0</v>
      </c>
      <c r="N158" s="63">
        <f t="shared" si="26"/>
        <v>0</v>
      </c>
      <c r="O158" s="63">
        <f t="shared" si="26"/>
        <v>0</v>
      </c>
      <c r="P158" s="106">
        <f t="shared" ref="P158:Q158" si="27">P83++P155</f>
        <v>0</v>
      </c>
      <c r="Q158" s="106">
        <f t="shared" si="27"/>
        <v>0</v>
      </c>
      <c r="R158" s="106">
        <f t="shared" ref="R158" si="28">R83++R155</f>
        <v>0</v>
      </c>
      <c r="T158" s="34"/>
      <c r="U158" s="34"/>
    </row>
    <row r="159" spans="1:21" s="80" customFormat="1" ht="13.5" thickBot="1" x14ac:dyDescent="0.25">
      <c r="A159" s="591"/>
      <c r="B159" s="592"/>
      <c r="C159" s="751"/>
      <c r="D159" s="1776"/>
      <c r="E159" s="87"/>
      <c r="F159" s="87"/>
      <c r="G159" s="592"/>
      <c r="H159" s="592"/>
      <c r="I159" s="593"/>
      <c r="J159" s="592"/>
      <c r="K159" s="592"/>
      <c r="L159" s="208"/>
      <c r="M159" s="592"/>
      <c r="N159" s="592"/>
      <c r="O159" s="592"/>
      <c r="P159" s="594"/>
      <c r="Q159" s="594"/>
      <c r="R159" s="594"/>
      <c r="T159" s="34"/>
      <c r="U159" s="34"/>
    </row>
    <row r="160" spans="1:21" ht="13.5" thickTop="1" x14ac:dyDescent="0.2"/>
    <row r="381" spans="4:4" x14ac:dyDescent="0.2">
      <c r="D381" s="882"/>
    </row>
    <row r="382" spans="4:4" x14ac:dyDescent="0.2">
      <c r="D382" s="882"/>
    </row>
    <row r="1109" spans="5:5" x14ac:dyDescent="0.2">
      <c r="E1109" s="34" t="s">
        <v>7245</v>
      </c>
    </row>
  </sheetData>
  <mergeCells count="3">
    <mergeCell ref="A2:C2"/>
    <mergeCell ref="E2:P2"/>
    <mergeCell ref="A1:P1"/>
  </mergeCells>
  <printOptions horizontalCentered="1"/>
  <pageMargins left="0.39370078740157483" right="0.39370078740157483" top="0.39370078740157483" bottom="0" header="0" footer="0"/>
  <pageSetup paperSize="9" scale="75" fitToHeight="3"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9"/>
  <sheetViews>
    <sheetView topLeftCell="G1" workbookViewId="0">
      <selection activeCell="X29" sqref="X29"/>
    </sheetView>
  </sheetViews>
  <sheetFormatPr defaultColWidth="9.140625" defaultRowHeight="12.75" x14ac:dyDescent="0.2"/>
  <cols>
    <col min="1" max="1" width="34.5703125" style="1" bestFit="1" customWidth="1"/>
    <col min="2" max="3" width="9.140625" style="1"/>
    <col min="4" max="4" width="6.140625" style="1" bestFit="1" customWidth="1"/>
    <col min="5" max="5" width="9.140625" style="1"/>
    <col min="6" max="6" width="7.28515625" style="1" customWidth="1"/>
    <col min="7" max="15" width="9.140625" style="1"/>
    <col min="16" max="16" width="10.28515625" style="1" bestFit="1" customWidth="1"/>
    <col min="17" max="17" width="9.140625" style="1"/>
    <col min="18" max="18" width="5.85546875" style="724" customWidth="1"/>
    <col min="19" max="19" width="3" style="724" customWidth="1"/>
    <col min="20" max="20" width="56.42578125" style="1" customWidth="1"/>
    <col min="21" max="21" width="14.42578125" style="245" customWidth="1"/>
    <col min="22" max="16384" width="9.140625" style="1"/>
  </cols>
  <sheetData>
    <row r="1" spans="1:21" s="39" customFormat="1" ht="14.25" thickTop="1" thickBot="1" x14ac:dyDescent="0.25">
      <c r="A1" s="1733" t="s">
        <v>4478</v>
      </c>
      <c r="B1" s="2638" t="s">
        <v>1824</v>
      </c>
      <c r="C1" s="2568"/>
      <c r="D1" s="2331"/>
      <c r="E1" s="2638" t="s">
        <v>2215</v>
      </c>
      <c r="F1" s="2568"/>
      <c r="G1" s="2568"/>
      <c r="H1" s="2568"/>
      <c r="I1" s="2568"/>
      <c r="J1" s="2568"/>
      <c r="K1" s="2568"/>
      <c r="L1" s="2568"/>
      <c r="M1" s="2568"/>
      <c r="N1" s="2568"/>
      <c r="O1" s="2568"/>
      <c r="P1" s="2569"/>
      <c r="R1" s="1734"/>
      <c r="S1" s="1735"/>
      <c r="T1" s="1722"/>
      <c r="U1" s="1736"/>
    </row>
    <row r="2" spans="1:21" s="34" customFormat="1" ht="13.5" thickBot="1" x14ac:dyDescent="0.25">
      <c r="A2" s="1737"/>
      <c r="B2" s="1581" t="str">
        <f>CIV!D1981</f>
        <v>2015/16</v>
      </c>
      <c r="C2" s="1581" t="str">
        <f>CIV!E1981</f>
        <v>2016/17</v>
      </c>
      <c r="D2" s="1581"/>
      <c r="E2" s="1581" t="str">
        <f>CIV!H1981</f>
        <v>2017/18</v>
      </c>
      <c r="F2" s="2332" t="s">
        <v>492</v>
      </c>
      <c r="G2" s="1581" t="str">
        <f>CIV!J1981</f>
        <v>2018/19</v>
      </c>
      <c r="H2" s="1581" t="str">
        <f>CIV!K1981</f>
        <v>2019/20</v>
      </c>
      <c r="I2" s="1581" t="str">
        <f>CIV!L1981</f>
        <v>2020/21</v>
      </c>
      <c r="J2" s="1581" t="str">
        <f>CIV!M1981</f>
        <v>2021/22</v>
      </c>
      <c r="K2" s="1581" t="str">
        <f>CIV!N1981</f>
        <v>2022/23</v>
      </c>
      <c r="L2" s="1581" t="str">
        <f>CIV!O1981</f>
        <v>2023/24</v>
      </c>
      <c r="M2" s="1581" t="str">
        <f>CIV!P1981</f>
        <v>2024/25</v>
      </c>
      <c r="N2" s="1581" t="str">
        <f>CIV!Q1981</f>
        <v>2025/26</v>
      </c>
      <c r="O2" s="1581" t="str">
        <f>CIV!R1981</f>
        <v>2026/27</v>
      </c>
      <c r="P2" s="2298" t="str">
        <f>CIV!S1981</f>
        <v>2027/28</v>
      </c>
      <c r="R2" s="1738"/>
      <c r="S2" s="1728"/>
      <c r="T2" s="1250"/>
      <c r="U2" s="835"/>
    </row>
    <row r="3" spans="1:21" s="34" customFormat="1" x14ac:dyDescent="0.2">
      <c r="A3" s="1569"/>
      <c r="B3" s="9"/>
      <c r="C3" s="9"/>
      <c r="D3" s="9"/>
      <c r="E3" s="9"/>
      <c r="F3" s="9"/>
      <c r="G3" s="9"/>
      <c r="H3" s="9"/>
      <c r="I3" s="9"/>
      <c r="J3" s="9"/>
      <c r="K3" s="9"/>
      <c r="L3" s="9"/>
      <c r="M3" s="9"/>
      <c r="N3" s="9"/>
      <c r="O3" s="9"/>
      <c r="P3" s="61"/>
      <c r="R3" s="2716" t="s">
        <v>6711</v>
      </c>
      <c r="S3" s="2705"/>
      <c r="T3" s="2705"/>
      <c r="U3" s="2734"/>
    </row>
    <row r="4" spans="1:21" s="34" customFormat="1" x14ac:dyDescent="0.2">
      <c r="A4" s="1570" t="s">
        <v>1056</v>
      </c>
      <c r="B4" s="9"/>
      <c r="C4" s="9"/>
      <c r="D4" s="9"/>
      <c r="E4" s="9"/>
      <c r="F4" s="9"/>
      <c r="G4" s="9"/>
      <c r="H4" s="9"/>
      <c r="I4" s="9"/>
      <c r="J4" s="9"/>
      <c r="K4" s="9"/>
      <c r="L4" s="9"/>
      <c r="M4" s="9"/>
      <c r="N4" s="9"/>
      <c r="O4" s="9"/>
      <c r="P4" s="61"/>
      <c r="R4" s="1739"/>
      <c r="S4" s="1683"/>
      <c r="T4" s="542"/>
      <c r="U4" s="835"/>
    </row>
    <row r="5" spans="1:21" s="34" customFormat="1" x14ac:dyDescent="0.2">
      <c r="A5" s="444" t="s">
        <v>60</v>
      </c>
      <c r="B5" s="136"/>
      <c r="C5" s="134"/>
      <c r="D5" s="134"/>
      <c r="E5" s="402">
        <f>(E6-C6)/C6</f>
        <v>3.3920982213127657E-2</v>
      </c>
      <c r="F5" s="134"/>
      <c r="G5" s="402">
        <f>(G6-E6)/E6</f>
        <v>2.3003729923117913E-2</v>
      </c>
      <c r="H5" s="402">
        <f t="shared" ref="H5:P5" si="0">(H6-G6)/G6</f>
        <v>2.300732186439669E-2</v>
      </c>
      <c r="I5" s="402">
        <f t="shared" si="0"/>
        <v>2.2999039888277908E-2</v>
      </c>
      <c r="J5" s="402">
        <f t="shared" si="0"/>
        <v>2.2993899577663068E-2</v>
      </c>
      <c r="K5" s="402">
        <f t="shared" si="0"/>
        <v>2.2991381706978037E-2</v>
      </c>
      <c r="L5" s="402">
        <f t="shared" si="0"/>
        <v>2.2991004701470228E-2</v>
      </c>
      <c r="M5" s="402">
        <f t="shared" si="0"/>
        <v>2.3005605291820524E-2</v>
      </c>
      <c r="N5" s="402">
        <f t="shared" si="0"/>
        <v>2.3007608610974058E-2</v>
      </c>
      <c r="O5" s="402">
        <f t="shared" si="0"/>
        <v>2.2997842365782461E-2</v>
      </c>
      <c r="P5" s="1412">
        <f t="shared" si="0"/>
        <v>2.3001910622565198E-2</v>
      </c>
      <c r="R5" s="2716" t="s">
        <v>6734</v>
      </c>
      <c r="S5" s="2705"/>
      <c r="T5" s="2705"/>
      <c r="U5" s="2734"/>
    </row>
    <row r="6" spans="1:21" s="34" customFormat="1" x14ac:dyDescent="0.2">
      <c r="A6" s="1740" t="s">
        <v>337</v>
      </c>
      <c r="B6" s="136">
        <f>6134600+21700</f>
        <v>6156300</v>
      </c>
      <c r="C6" s="134">
        <f>6329000+24000</f>
        <v>6353000</v>
      </c>
      <c r="D6" s="134"/>
      <c r="E6" s="134">
        <f>CIV!H1985+CIV!H1986</f>
        <v>6568500</v>
      </c>
      <c r="F6" s="85"/>
      <c r="G6" s="134">
        <f>CIV!J1985+CIV!J1986</f>
        <v>6719600</v>
      </c>
      <c r="H6" s="134">
        <f>CIV!K1985+CIV!K1986</f>
        <v>6874200</v>
      </c>
      <c r="I6" s="134">
        <f>CIV!L1985+CIV!L1986</f>
        <v>7032300</v>
      </c>
      <c r="J6" s="134">
        <f>CIV!M1985+CIV!M1986</f>
        <v>7194000</v>
      </c>
      <c r="K6" s="134">
        <f>CIV!N1985+CIV!N1986</f>
        <v>7359400</v>
      </c>
      <c r="L6" s="134">
        <f>CIV!O1985+CIV!O1986</f>
        <v>7528600</v>
      </c>
      <c r="M6" s="134">
        <f>CIV!P1985+CIV!P1986</f>
        <v>7701800</v>
      </c>
      <c r="N6" s="134">
        <f>CIV!Q1985+CIV!Q1986</f>
        <v>7879000</v>
      </c>
      <c r="O6" s="134">
        <f>CIV!R1985+CIV!R1986</f>
        <v>8060200</v>
      </c>
      <c r="P6" s="135">
        <f>CIV!S1985+CIV!S1986</f>
        <v>8245600</v>
      </c>
      <c r="R6" s="1739"/>
      <c r="S6" s="1683"/>
      <c r="T6" s="542"/>
      <c r="U6" s="835"/>
    </row>
    <row r="7" spans="1:21" s="34" customFormat="1" x14ac:dyDescent="0.2">
      <c r="A7" s="1740"/>
      <c r="B7" s="136"/>
      <c r="C7" s="134"/>
      <c r="D7" s="134"/>
      <c r="E7" s="134"/>
      <c r="F7" s="134"/>
      <c r="G7" s="134"/>
      <c r="H7" s="134"/>
      <c r="I7" s="134"/>
      <c r="J7" s="134"/>
      <c r="K7" s="134"/>
      <c r="L7" s="134"/>
      <c r="M7" s="134"/>
      <c r="N7" s="134"/>
      <c r="O7" s="134"/>
      <c r="P7" s="135"/>
      <c r="R7" s="2716" t="s">
        <v>6712</v>
      </c>
      <c r="S7" s="2705"/>
      <c r="T7" s="2705"/>
      <c r="U7" s="2734"/>
    </row>
    <row r="8" spans="1:21" s="65" customFormat="1" x14ac:dyDescent="0.2">
      <c r="A8" s="1741" t="s">
        <v>420</v>
      </c>
      <c r="B8" s="1410"/>
      <c r="C8" s="1004"/>
      <c r="D8" s="1004"/>
      <c r="E8" s="1004"/>
      <c r="F8" s="1004"/>
      <c r="G8" s="1004"/>
      <c r="H8" s="1004"/>
      <c r="I8" s="1004"/>
      <c r="J8" s="1004"/>
      <c r="K8" s="1004"/>
      <c r="L8" s="1004"/>
      <c r="M8" s="1004"/>
      <c r="N8" s="1004"/>
      <c r="O8" s="1004"/>
      <c r="P8" s="1411"/>
      <c r="R8" s="1739"/>
      <c r="S8" s="1683"/>
      <c r="T8" s="542"/>
      <c r="U8" s="835"/>
    </row>
    <row r="9" spans="1:21" s="80" customFormat="1" x14ac:dyDescent="0.2">
      <c r="A9" s="559" t="s">
        <v>6735</v>
      </c>
      <c r="B9" s="707">
        <f>SUM(CIV!D1987:D1990)</f>
        <v>-124400</v>
      </c>
      <c r="C9" s="706">
        <f>SUM(CIV!E1987:G1990)</f>
        <v>-122800</v>
      </c>
      <c r="D9" s="706"/>
      <c r="E9" s="706">
        <f>SUM(CIV!H1987:H1990)</f>
        <v>-110700</v>
      </c>
      <c r="F9" s="706"/>
      <c r="G9" s="706">
        <f>SUM(CIV!J1987:J1990)</f>
        <v>-134600</v>
      </c>
      <c r="H9" s="706">
        <f>SUM(CIV!K1987:K1990)</f>
        <v>-135700</v>
      </c>
      <c r="I9" s="706">
        <f>SUM(CIV!L1987:L1990)</f>
        <v>-136800</v>
      </c>
      <c r="J9" s="706">
        <f>SUM(CIV!M1987:M1990)</f>
        <v>-137900</v>
      </c>
      <c r="K9" s="706">
        <f>SUM(CIV!N1987:N1990)</f>
        <v>-139000</v>
      </c>
      <c r="L9" s="706">
        <f>SUM(CIV!O1987:O1990)</f>
        <v>-140100</v>
      </c>
      <c r="M9" s="706">
        <f>SUM(CIV!P1987:P1990)</f>
        <v>-141200</v>
      </c>
      <c r="N9" s="706">
        <f>SUM(CIV!Q1987:Q1990)</f>
        <v>-142300</v>
      </c>
      <c r="O9" s="706">
        <f>SUM(CIV!R1987:R1990)</f>
        <v>-143400</v>
      </c>
      <c r="P9" s="1003">
        <f>SUM(CIV!S1987:S1990)</f>
        <v>-144500</v>
      </c>
      <c r="R9" s="1742"/>
      <c r="S9" s="920"/>
      <c r="T9" s="772"/>
      <c r="U9" s="1743"/>
    </row>
    <row r="10" spans="1:21" s="80" customFormat="1" x14ac:dyDescent="0.2">
      <c r="A10" s="559" t="s">
        <v>2624</v>
      </c>
      <c r="B10" s="707">
        <f>SUM(CIV!D1992)</f>
        <v>47600</v>
      </c>
      <c r="C10" s="707">
        <f>SUM(CIV!E1992)</f>
        <v>47800</v>
      </c>
      <c r="D10" s="707"/>
      <c r="E10" s="707">
        <f>SUM(CIV!H1992)</f>
        <v>49000</v>
      </c>
      <c r="F10" s="707"/>
      <c r="G10" s="707">
        <f>SUM(CIV!J1992)</f>
        <v>61000</v>
      </c>
      <c r="H10" s="707">
        <f>SUM(CIV!K1992)</f>
        <v>38000</v>
      </c>
      <c r="I10" s="707">
        <f>SUM(CIV!L1992)</f>
        <v>53000</v>
      </c>
      <c r="J10" s="707">
        <f>SUM(CIV!M1992)</f>
        <v>23000</v>
      </c>
      <c r="K10" s="707">
        <f>SUM(CIV!N1992)</f>
        <v>38000</v>
      </c>
      <c r="L10" s="707">
        <f>SUM(CIV!O1992)</f>
        <v>53000</v>
      </c>
      <c r="M10" s="707">
        <f>SUM(CIV!P1992)</f>
        <v>19000</v>
      </c>
      <c r="N10" s="706">
        <f>SUM(CIV!Q1992)</f>
        <v>34000</v>
      </c>
      <c r="O10" s="706">
        <f>SUM(CIV!R1992)</f>
        <v>34000</v>
      </c>
      <c r="P10" s="1003">
        <f>SUM(CIV!S1992)</f>
        <v>16000</v>
      </c>
      <c r="R10" s="1742"/>
      <c r="S10" s="920"/>
      <c r="T10" s="772"/>
      <c r="U10" s="1743"/>
    </row>
    <row r="11" spans="1:21" s="34" customFormat="1" x14ac:dyDescent="0.2">
      <c r="A11" s="559" t="s">
        <v>420</v>
      </c>
      <c r="B11" s="136">
        <f>SUM(CIV!D1987:D1995)-B9-B10</f>
        <v>0</v>
      </c>
      <c r="C11" s="134">
        <f>SUM(CIV!E1987:G1995)-C9-C10</f>
        <v>0</v>
      </c>
      <c r="D11" s="134"/>
      <c r="E11" s="134">
        <f>SUM(CIV!H1987:H1995)-E9-E10</f>
        <v>0</v>
      </c>
      <c r="F11" s="85"/>
      <c r="G11" s="134">
        <f>SUM(CIV!J1987:J1995)-G9-G10</f>
        <v>0</v>
      </c>
      <c r="H11" s="134">
        <f>SUM(CIV!K1987:K1995)-H9-H10</f>
        <v>0</v>
      </c>
      <c r="I11" s="134">
        <f>SUM(CIV!L1987:L1995)-I9-I10</f>
        <v>0</v>
      </c>
      <c r="J11" s="134">
        <f>SUM(CIV!M1987:M1995)-J9-J10</f>
        <v>0</v>
      </c>
      <c r="K11" s="134">
        <f>SUM(CIV!N1987:N1995)-K9-K10</f>
        <v>0</v>
      </c>
      <c r="L11" s="134">
        <f>SUM(CIV!O1987:O1995)-L9-L10</f>
        <v>0</v>
      </c>
      <c r="M11" s="134">
        <f>SUM(CIV!P1987:P1995)-M9-M10</f>
        <v>0</v>
      </c>
      <c r="N11" s="134">
        <f>SUM(CIV!Q1987:Q1995)-N9-N10</f>
        <v>0</v>
      </c>
      <c r="O11" s="134">
        <f>SUM(CIV!R1987:R1995)-O9-O10</f>
        <v>0</v>
      </c>
      <c r="P11" s="135">
        <f>SUM(CIV!S1987:S1995)-P9-P10</f>
        <v>0</v>
      </c>
      <c r="R11" s="1739" t="s">
        <v>6713</v>
      </c>
      <c r="S11" s="1744" t="s">
        <v>6714</v>
      </c>
      <c r="T11" s="912"/>
      <c r="U11" s="1745" t="s">
        <v>6715</v>
      </c>
    </row>
    <row r="12" spans="1:21" s="34" customFormat="1" ht="13.5" thickBot="1" x14ac:dyDescent="0.25">
      <c r="A12" s="1569"/>
      <c r="B12" s="9"/>
      <c r="C12" s="9"/>
      <c r="D12" s="9"/>
      <c r="E12" s="9"/>
      <c r="F12" s="9"/>
      <c r="G12" s="9"/>
      <c r="H12" s="9"/>
      <c r="I12" s="9"/>
      <c r="J12" s="9"/>
      <c r="K12" s="9"/>
      <c r="L12" s="9"/>
      <c r="M12" s="9"/>
      <c r="N12" s="9"/>
      <c r="O12" s="9"/>
      <c r="P12" s="61"/>
      <c r="R12" s="1739"/>
      <c r="S12" s="1744"/>
      <c r="T12" s="912"/>
      <c r="U12" s="1746"/>
    </row>
    <row r="13" spans="1:21" s="39" customFormat="1" x14ac:dyDescent="0.2">
      <c r="A13" s="1571"/>
      <c r="B13" s="16">
        <f t="shared" ref="B13:C13" si="1">SUM(B6:B12)</f>
        <v>6079500</v>
      </c>
      <c r="C13" s="16">
        <f t="shared" si="1"/>
        <v>6278000</v>
      </c>
      <c r="D13" s="16"/>
      <c r="E13" s="16">
        <f>SUM(E6:E12)</f>
        <v>6506800</v>
      </c>
      <c r="F13" s="16"/>
      <c r="G13" s="16">
        <f t="shared" ref="G13:N13" si="2">SUM(G6:G12)</f>
        <v>6646000</v>
      </c>
      <c r="H13" s="16">
        <f t="shared" si="2"/>
        <v>6776500</v>
      </c>
      <c r="I13" s="16">
        <f t="shared" si="2"/>
        <v>6948500</v>
      </c>
      <c r="J13" s="16">
        <f t="shared" si="2"/>
        <v>7079100</v>
      </c>
      <c r="K13" s="16">
        <f t="shared" si="2"/>
        <v>7258400</v>
      </c>
      <c r="L13" s="16">
        <f t="shared" si="2"/>
        <v>7441500</v>
      </c>
      <c r="M13" s="16">
        <f t="shared" si="2"/>
        <v>7579600</v>
      </c>
      <c r="N13" s="16">
        <f t="shared" si="2"/>
        <v>7770700</v>
      </c>
      <c r="O13" s="16">
        <f t="shared" ref="O13" si="3">SUM(O6:O12)</f>
        <v>7950800</v>
      </c>
      <c r="P13" s="60">
        <f t="shared" ref="P13" si="4">SUM(P6:P12)</f>
        <v>8117100</v>
      </c>
      <c r="R13" s="1739"/>
      <c r="S13" s="1747" t="s">
        <v>6716</v>
      </c>
      <c r="T13" s="912" t="s">
        <v>6733</v>
      </c>
      <c r="U13" s="947" t="s">
        <v>6717</v>
      </c>
    </row>
    <row r="14" spans="1:21" s="34" customFormat="1" x14ac:dyDescent="0.2">
      <c r="A14" s="1570" t="s">
        <v>2169</v>
      </c>
      <c r="B14" s="9"/>
      <c r="C14" s="9"/>
      <c r="D14" s="9"/>
      <c r="E14" s="9"/>
      <c r="F14" s="9"/>
      <c r="G14" s="9"/>
      <c r="H14" s="9"/>
      <c r="I14" s="9"/>
      <c r="J14" s="9"/>
      <c r="K14" s="9"/>
      <c r="L14" s="9"/>
      <c r="M14" s="9"/>
      <c r="N14" s="9"/>
      <c r="O14" s="9"/>
      <c r="P14" s="61"/>
      <c r="R14" s="1738"/>
      <c r="S14" s="1728"/>
      <c r="T14" s="1726"/>
      <c r="U14" s="835"/>
    </row>
    <row r="15" spans="1:21" s="34" customFormat="1" x14ac:dyDescent="0.2">
      <c r="A15" s="559" t="s">
        <v>465</v>
      </c>
      <c r="B15" s="9">
        <f>SUM(CIV!D1999:D2006)</f>
        <v>243000</v>
      </c>
      <c r="C15" s="9">
        <f>SUM(CIV!E1999:G2006)</f>
        <v>244300</v>
      </c>
      <c r="D15" s="9"/>
      <c r="E15" s="9">
        <f>SUM(CIV!H1999:H2006)</f>
        <v>261000</v>
      </c>
      <c r="F15" s="9">
        <f>(E15-C15)/C15</f>
        <v>6.8358575521899306E-2</v>
      </c>
      <c r="G15" s="9">
        <f>SUM(CIV!J1999:J2006)</f>
        <v>266000</v>
      </c>
      <c r="H15" s="9">
        <f>SUM(CIV!K1999:K2006)</f>
        <v>272000</v>
      </c>
      <c r="I15" s="9">
        <f>SUM(CIV!L1999:L2006)</f>
        <v>278000</v>
      </c>
      <c r="J15" s="9">
        <f>SUM(CIV!M1999:M2006)</f>
        <v>284000</v>
      </c>
      <c r="K15" s="9">
        <f>SUM(CIV!N1999:N2006)</f>
        <v>290000</v>
      </c>
      <c r="L15" s="9">
        <f>SUM(CIV!O1999:O2006)</f>
        <v>296000</v>
      </c>
      <c r="M15" s="9">
        <f>SUM(CIV!P1999:P2006)</f>
        <v>302000</v>
      </c>
      <c r="N15" s="9">
        <f>SUM(CIV!Q1999:Q2006)</f>
        <v>308000</v>
      </c>
      <c r="O15" s="9">
        <f>SUM(CIV!R1999:R2006)</f>
        <v>315000</v>
      </c>
      <c r="P15" s="61">
        <f>SUM(CIV!S1999:S2006)</f>
        <v>322000</v>
      </c>
      <c r="R15" s="1738"/>
      <c r="S15" s="1728"/>
      <c r="T15" s="662" t="s">
        <v>6732</v>
      </c>
      <c r="U15" s="51">
        <f>SUM(E17:E22)</f>
        <v>4964600</v>
      </c>
    </row>
    <row r="16" spans="1:21" s="34" customFormat="1" x14ac:dyDescent="0.2">
      <c r="A16" s="559" t="s">
        <v>1636</v>
      </c>
      <c r="B16" s="9">
        <f>CIV!D2008</f>
        <v>630000</v>
      </c>
      <c r="C16" s="9">
        <f>CIV!E2008</f>
        <v>637000</v>
      </c>
      <c r="D16" s="9"/>
      <c r="E16" s="9">
        <f>CIV!H2008</f>
        <v>688000</v>
      </c>
      <c r="F16" s="9">
        <f t="shared" ref="F16:F23" si="5">(E16-C16)/C16</f>
        <v>8.0062794348508631E-2</v>
      </c>
      <c r="G16" s="9">
        <f>CIV!J2008</f>
        <v>704000</v>
      </c>
      <c r="H16" s="9">
        <f>CIV!K2008</f>
        <v>722000</v>
      </c>
      <c r="I16" s="9">
        <f>CIV!L2008</f>
        <v>740000</v>
      </c>
      <c r="J16" s="9">
        <f>CIV!M2008</f>
        <v>759000</v>
      </c>
      <c r="K16" s="9">
        <f>CIV!N2008</f>
        <v>778000</v>
      </c>
      <c r="L16" s="9">
        <f>CIV!O2008</f>
        <v>797000</v>
      </c>
      <c r="M16" s="9">
        <f>CIV!P2008</f>
        <v>817000</v>
      </c>
      <c r="N16" s="9">
        <f>CIV!Q2008</f>
        <v>837000</v>
      </c>
      <c r="O16" s="9">
        <f>CIV!R2008</f>
        <v>858000</v>
      </c>
      <c r="P16" s="61">
        <f>CIV!S2008</f>
        <v>879000</v>
      </c>
      <c r="R16" s="1738"/>
      <c r="S16" s="1728"/>
      <c r="T16" s="1726" t="s">
        <v>465</v>
      </c>
      <c r="U16" s="51">
        <f>E15+E16</f>
        <v>949000</v>
      </c>
    </row>
    <row r="17" spans="1:23" s="34" customFormat="1" x14ac:dyDescent="0.2">
      <c r="A17" s="25" t="s">
        <v>4320</v>
      </c>
      <c r="B17" s="9">
        <f>CIV!D2010</f>
        <v>-618900</v>
      </c>
      <c r="C17" s="9">
        <f>CIV!E2010</f>
        <v>-640200</v>
      </c>
      <c r="D17" s="9"/>
      <c r="E17" s="9">
        <f>CIV!H2010</f>
        <v>-630000</v>
      </c>
      <c r="F17" s="9">
        <f t="shared" si="5"/>
        <v>-1.5932521087160263E-2</v>
      </c>
      <c r="G17" s="9">
        <f>CIV!J2010</f>
        <v>-644000</v>
      </c>
      <c r="H17" s="9">
        <f>CIV!K2010</f>
        <v>-660000</v>
      </c>
      <c r="I17" s="9">
        <f>CIV!L2010</f>
        <v>-677000</v>
      </c>
      <c r="J17" s="9">
        <f>CIV!M2010</f>
        <v>-694000</v>
      </c>
      <c r="K17" s="9">
        <f>CIV!N2010</f>
        <v>-711000</v>
      </c>
      <c r="L17" s="9">
        <f>CIV!O2010</f>
        <v>-729000</v>
      </c>
      <c r="M17" s="9">
        <f>CIV!P2010</f>
        <v>-747000</v>
      </c>
      <c r="N17" s="9">
        <f>CIV!Q2010</f>
        <v>-766000</v>
      </c>
      <c r="O17" s="9">
        <f>CIV!R2010</f>
        <v>-785000</v>
      </c>
      <c r="P17" s="61">
        <f>CIV!S2010</f>
        <v>-805000</v>
      </c>
      <c r="R17" s="1738"/>
      <c r="S17" s="1728"/>
      <c r="T17" s="1726" t="s">
        <v>6718</v>
      </c>
      <c r="U17" s="51">
        <f>E19</f>
        <v>0</v>
      </c>
    </row>
    <row r="18" spans="1:23" s="34" customFormat="1" x14ac:dyDescent="0.2">
      <c r="A18" s="559" t="s">
        <v>4723</v>
      </c>
      <c r="B18" s="9">
        <f>SUM(CIV!D2012:D2013)</f>
        <v>2900</v>
      </c>
      <c r="C18" s="9">
        <f>SUM(CIV!E2012:G2013)</f>
        <v>3400</v>
      </c>
      <c r="D18" s="9"/>
      <c r="E18" s="9">
        <f>SUM(CIV!H2012:H2013)</f>
        <v>3000</v>
      </c>
      <c r="F18" s="9">
        <f t="shared" si="5"/>
        <v>-0.11764705882352941</v>
      </c>
      <c r="G18" s="9">
        <f>SUM(CIV!J2012:J2013)</f>
        <v>3000</v>
      </c>
      <c r="H18" s="9">
        <f>SUM(CIV!K2012:K2013)</f>
        <v>3000</v>
      </c>
      <c r="I18" s="9">
        <f>SUM(CIV!L2012:L2013)</f>
        <v>3000</v>
      </c>
      <c r="J18" s="9">
        <f>SUM(CIV!M2012:M2013)</f>
        <v>3000</v>
      </c>
      <c r="K18" s="9">
        <f>SUM(CIV!N2012:N2013)</f>
        <v>3000</v>
      </c>
      <c r="L18" s="9">
        <f>SUM(CIV!O2012:O2013)</f>
        <v>3000</v>
      </c>
      <c r="M18" s="9">
        <f>SUM(CIV!P2012:P2013)</f>
        <v>3000</v>
      </c>
      <c r="N18" s="9">
        <f>SUM(CIV!Q2012:Q2013)</f>
        <v>3000</v>
      </c>
      <c r="O18" s="9">
        <f>SUM(CIV!R2012:R2013)</f>
        <v>3000</v>
      </c>
      <c r="P18" s="61">
        <f>SUM(CIV!S2012:S2013)</f>
        <v>3000</v>
      </c>
      <c r="R18" s="1738"/>
      <c r="S18" s="1728"/>
      <c r="T18" s="1726" t="s">
        <v>6719</v>
      </c>
      <c r="U18" s="51">
        <f>-E9</f>
        <v>110700</v>
      </c>
    </row>
    <row r="19" spans="1:23" s="34" customFormat="1" x14ac:dyDescent="0.2">
      <c r="A19" s="559" t="s">
        <v>1112</v>
      </c>
      <c r="B19" s="9">
        <f>CIV!D2016</f>
        <v>8000</v>
      </c>
      <c r="C19" s="9">
        <f>CIV!E2016</f>
        <v>0</v>
      </c>
      <c r="D19" s="9"/>
      <c r="E19" s="9">
        <f>CIV!H2016</f>
        <v>0</v>
      </c>
      <c r="F19" s="9">
        <v>0</v>
      </c>
      <c r="G19" s="9">
        <f>CIV!J2016</f>
        <v>0</v>
      </c>
      <c r="H19" s="9">
        <f>CIV!K2016</f>
        <v>0</v>
      </c>
      <c r="I19" s="9">
        <f>CIV!L2016</f>
        <v>0</v>
      </c>
      <c r="J19" s="9">
        <f>CIV!M2016</f>
        <v>0</v>
      </c>
      <c r="K19" s="9">
        <f>CIV!N2016</f>
        <v>0</v>
      </c>
      <c r="L19" s="9">
        <f>CIV!O2016</f>
        <v>0</v>
      </c>
      <c r="M19" s="9">
        <f>CIV!P2016</f>
        <v>0</v>
      </c>
      <c r="N19" s="9">
        <f>CIV!Q2016</f>
        <v>0</v>
      </c>
      <c r="O19" s="9">
        <f>CIV!R2016</f>
        <v>0</v>
      </c>
      <c r="P19" s="61">
        <f>CIV!S2016</f>
        <v>0</v>
      </c>
      <c r="R19" s="1738"/>
      <c r="S19" s="1728"/>
      <c r="T19" s="1726" t="s">
        <v>2035</v>
      </c>
      <c r="U19" s="51">
        <f>E23</f>
        <v>180600</v>
      </c>
    </row>
    <row r="20" spans="1:23" s="34" customFormat="1" x14ac:dyDescent="0.2">
      <c r="A20" s="559" t="s">
        <v>406</v>
      </c>
      <c r="B20" s="9">
        <f>SUM(CIV!D2018:D2023)</f>
        <v>3591400</v>
      </c>
      <c r="C20" s="9">
        <f>SUM(CIV!E2018:G2023)</f>
        <v>3614400</v>
      </c>
      <c r="D20" s="9"/>
      <c r="E20" s="9">
        <f>SUM(CIV!H2018:H2023)</f>
        <v>3641900</v>
      </c>
      <c r="F20" s="9">
        <f t="shared" si="5"/>
        <v>7.6084550686144311E-3</v>
      </c>
      <c r="G20" s="9">
        <f>SUM(CIV!J2018:J2023)</f>
        <v>3725000</v>
      </c>
      <c r="H20" s="9">
        <f>SUM(CIV!K2018:K2023)</f>
        <v>3813000</v>
      </c>
      <c r="I20" s="9">
        <f>SUM(CIV!L2018:L2023)</f>
        <v>3903000</v>
      </c>
      <c r="J20" s="9">
        <f>SUM(CIV!M2018:M2023)</f>
        <v>3997000</v>
      </c>
      <c r="K20" s="9">
        <f>SUM(CIV!N2018:N2023)</f>
        <v>4093000</v>
      </c>
      <c r="L20" s="9">
        <f>SUM(CIV!O2018:O2023)</f>
        <v>4191000</v>
      </c>
      <c r="M20" s="9">
        <f>SUM(CIV!P2018:P2023)</f>
        <v>4291000</v>
      </c>
      <c r="N20" s="9">
        <f>SUM(CIV!Q2018:Q2023)</f>
        <v>4394000</v>
      </c>
      <c r="O20" s="9">
        <f>SUM(CIV!R2018:R2023)</f>
        <v>4499000</v>
      </c>
      <c r="P20" s="61">
        <f>SUM(CIV!S2018:S2023)</f>
        <v>4606000</v>
      </c>
      <c r="R20" s="1738"/>
      <c r="S20" s="1728"/>
      <c r="T20" s="662" t="s">
        <v>6740</v>
      </c>
      <c r="U20" s="51">
        <f>SUM(E25:E32)</f>
        <v>0</v>
      </c>
    </row>
    <row r="21" spans="1:23" s="34" customFormat="1" x14ac:dyDescent="0.2">
      <c r="A21" s="559" t="s">
        <v>2382</v>
      </c>
      <c r="B21" s="9">
        <f>SUM(CIV!D2025:D2029)</f>
        <v>1507300</v>
      </c>
      <c r="C21" s="9">
        <f>SUM(CIV!E2025:G2029)</f>
        <v>1572900</v>
      </c>
      <c r="D21" s="9"/>
      <c r="E21" s="9">
        <f>SUM(CIV!H2025:H2029)</f>
        <v>1548700</v>
      </c>
      <c r="F21" s="9">
        <f t="shared" si="5"/>
        <v>-1.5385593489732341E-2</v>
      </c>
      <c r="G21" s="9">
        <f>SUM(CIV!J2025:J2029)</f>
        <v>1584000</v>
      </c>
      <c r="H21" s="9">
        <f>SUM(CIV!K2025:K2029)</f>
        <v>1622000</v>
      </c>
      <c r="I21" s="9">
        <f>SUM(CIV!L2025:L2029)</f>
        <v>1660000</v>
      </c>
      <c r="J21" s="9">
        <f>SUM(CIV!M2025:M2029)</f>
        <v>1699000</v>
      </c>
      <c r="K21" s="9">
        <f>SUM(CIV!N2025:N2029)</f>
        <v>1739000</v>
      </c>
      <c r="L21" s="9">
        <f>SUM(CIV!O2025:O2029)</f>
        <v>1780000</v>
      </c>
      <c r="M21" s="9">
        <f>SUM(CIV!P2025:P2029)</f>
        <v>1821000</v>
      </c>
      <c r="N21" s="9">
        <f>SUM(CIV!Q2025:Q2029)</f>
        <v>1864000</v>
      </c>
      <c r="O21" s="9">
        <f>SUM(CIV!R2025:R2029)</f>
        <v>1908000</v>
      </c>
      <c r="P21" s="61">
        <f>SUM(CIV!S2025:S2029)</f>
        <v>1953000</v>
      </c>
      <c r="R21" s="1738"/>
      <c r="S21" s="1728"/>
      <c r="T21" s="1726"/>
      <c r="U21" s="51"/>
    </row>
    <row r="22" spans="1:23" s="34" customFormat="1" x14ac:dyDescent="0.2">
      <c r="A22" s="559" t="s">
        <v>499</v>
      </c>
      <c r="B22" s="9">
        <f>CIV!D2030</f>
        <v>375900</v>
      </c>
      <c r="C22" s="9">
        <f>CIV!E2030</f>
        <v>383700</v>
      </c>
      <c r="D22" s="9"/>
      <c r="E22" s="9">
        <f>CIV!H2030</f>
        <v>401000</v>
      </c>
      <c r="F22" s="9">
        <f t="shared" si="5"/>
        <v>4.5087307792546258E-2</v>
      </c>
      <c r="G22" s="9">
        <f>CIV!J2030</f>
        <v>410000</v>
      </c>
      <c r="H22" s="9">
        <f>CIV!K2030</f>
        <v>420000</v>
      </c>
      <c r="I22" s="9">
        <f>CIV!L2030</f>
        <v>431000</v>
      </c>
      <c r="J22" s="9">
        <f>CIV!M2030</f>
        <v>442000</v>
      </c>
      <c r="K22" s="9">
        <f>CIV!N2030</f>
        <v>453000</v>
      </c>
      <c r="L22" s="9">
        <f>CIV!O2030</f>
        <v>464000</v>
      </c>
      <c r="M22" s="9">
        <f>CIV!P2030</f>
        <v>476000</v>
      </c>
      <c r="N22" s="9">
        <f>CIV!Q2030</f>
        <v>488000</v>
      </c>
      <c r="O22" s="9">
        <f>CIV!R2030</f>
        <v>500000</v>
      </c>
      <c r="P22" s="61">
        <f>CIV!S2030</f>
        <v>513000</v>
      </c>
      <c r="R22" s="1739"/>
      <c r="S22" s="1683"/>
      <c r="T22" s="912" t="s">
        <v>6720</v>
      </c>
      <c r="U22" s="1748">
        <f>SUM(U15:U21)</f>
        <v>6204900</v>
      </c>
      <c r="W22" s="34">
        <f>U22-U18</f>
        <v>6094200</v>
      </c>
    </row>
    <row r="23" spans="1:23" s="34" customFormat="1" x14ac:dyDescent="0.2">
      <c r="A23" s="559" t="s">
        <v>2035</v>
      </c>
      <c r="B23" s="9">
        <f>CIV!D2032</f>
        <v>177200</v>
      </c>
      <c r="C23" s="9">
        <f>CIV!E2032</f>
        <v>177200</v>
      </c>
      <c r="D23" s="9"/>
      <c r="E23" s="9">
        <f>CIV!H2032</f>
        <v>180600</v>
      </c>
      <c r="F23" s="9">
        <f t="shared" si="5"/>
        <v>1.9187358916478554E-2</v>
      </c>
      <c r="G23" s="9">
        <f>CIV!J2032</f>
        <v>184300</v>
      </c>
      <c r="H23" s="9">
        <f>CIV!K2032</f>
        <v>188000</v>
      </c>
      <c r="I23" s="9">
        <f>CIV!L2032</f>
        <v>191800</v>
      </c>
      <c r="J23" s="9">
        <f>CIV!M2032</f>
        <v>195700</v>
      </c>
      <c r="K23" s="9">
        <f>CIV!N2032</f>
        <v>199700</v>
      </c>
      <c r="L23" s="9">
        <f>CIV!O2032</f>
        <v>203700</v>
      </c>
      <c r="M23" s="9">
        <f>CIV!P2032</f>
        <v>207800</v>
      </c>
      <c r="N23" s="9">
        <f>CIV!Q2032</f>
        <v>212000</v>
      </c>
      <c r="O23" s="9">
        <f>CIV!R2032</f>
        <v>216300</v>
      </c>
      <c r="P23" s="61">
        <f>CIV!S2032</f>
        <v>220700</v>
      </c>
      <c r="R23" s="1738"/>
      <c r="S23" s="1728"/>
      <c r="T23" s="1726"/>
      <c r="U23" s="51"/>
    </row>
    <row r="24" spans="1:23" s="34" customFormat="1" x14ac:dyDescent="0.2">
      <c r="A24" s="655"/>
      <c r="B24" s="9"/>
      <c r="C24" s="9"/>
      <c r="D24" s="9"/>
      <c r="E24" s="9"/>
      <c r="F24" s="9"/>
      <c r="G24" s="9"/>
      <c r="H24" s="9"/>
      <c r="I24" s="9"/>
      <c r="J24" s="9"/>
      <c r="K24" s="9"/>
      <c r="L24" s="9"/>
      <c r="M24" s="9"/>
      <c r="N24" s="9"/>
      <c r="O24" s="9"/>
      <c r="P24" s="61"/>
      <c r="R24" s="1738"/>
      <c r="S24" s="1728"/>
      <c r="T24" s="1250" t="s">
        <v>6721</v>
      </c>
      <c r="U24" s="51"/>
    </row>
    <row r="25" spans="1:23" s="34" customFormat="1" x14ac:dyDescent="0.2">
      <c r="A25" s="823" t="s">
        <v>6709</v>
      </c>
      <c r="B25" s="9"/>
      <c r="C25" s="9"/>
      <c r="D25" s="9"/>
      <c r="E25" s="9"/>
      <c r="F25" s="9"/>
      <c r="G25" s="9"/>
      <c r="H25" s="9"/>
      <c r="I25" s="9"/>
      <c r="J25" s="9"/>
      <c r="K25" s="9"/>
      <c r="L25" s="9"/>
      <c r="M25" s="9"/>
      <c r="N25" s="9"/>
      <c r="O25" s="9"/>
      <c r="P25" s="61"/>
      <c r="R25" s="1738"/>
      <c r="S25" s="1728"/>
      <c r="T25" s="1250" t="s">
        <v>6722</v>
      </c>
      <c r="U25" s="51"/>
    </row>
    <row r="26" spans="1:23" s="34" customFormat="1" x14ac:dyDescent="0.2">
      <c r="A26" s="655" t="s">
        <v>6738</v>
      </c>
      <c r="B26" s="79"/>
      <c r="C26" s="79"/>
      <c r="D26" s="79"/>
      <c r="E26" s="79"/>
      <c r="F26" s="79"/>
      <c r="G26" s="79"/>
      <c r="H26" s="79"/>
      <c r="I26" s="79"/>
      <c r="J26" s="79"/>
      <c r="K26" s="79"/>
      <c r="L26" s="79"/>
      <c r="M26" s="79"/>
      <c r="N26" s="79"/>
      <c r="O26" s="79"/>
      <c r="P26" s="78"/>
      <c r="R26" s="1738"/>
      <c r="S26" s="1728"/>
      <c r="T26" s="1250" t="s">
        <v>6723</v>
      </c>
      <c r="U26" s="51"/>
    </row>
    <row r="27" spans="1:23" s="34" customFormat="1" x14ac:dyDescent="0.2">
      <c r="A27" s="655" t="s">
        <v>6737</v>
      </c>
      <c r="B27" s="79"/>
      <c r="C27" s="79"/>
      <c r="D27" s="79"/>
      <c r="E27" s="79"/>
      <c r="F27" s="79"/>
      <c r="G27" s="79"/>
      <c r="H27" s="79"/>
      <c r="I27" s="79"/>
      <c r="J27" s="79"/>
      <c r="K27" s="79"/>
      <c r="L27" s="79"/>
      <c r="M27" s="79"/>
      <c r="N27" s="79"/>
      <c r="O27" s="79"/>
      <c r="P27" s="78"/>
      <c r="R27" s="1738"/>
      <c r="S27" s="1728"/>
      <c r="T27" s="1726" t="s">
        <v>6724</v>
      </c>
      <c r="U27" s="51"/>
    </row>
    <row r="28" spans="1:23" s="34" customFormat="1" x14ac:dyDescent="0.2">
      <c r="A28" s="655" t="s">
        <v>6739</v>
      </c>
      <c r="B28" s="79"/>
      <c r="C28" s="79"/>
      <c r="D28" s="79"/>
      <c r="E28" s="79"/>
      <c r="F28" s="79"/>
      <c r="G28" s="79"/>
      <c r="H28" s="79"/>
      <c r="I28" s="79"/>
      <c r="J28" s="79"/>
      <c r="K28" s="79"/>
      <c r="L28" s="79"/>
      <c r="M28" s="79"/>
      <c r="N28" s="79"/>
      <c r="O28" s="79"/>
      <c r="P28" s="78"/>
      <c r="R28" s="1738"/>
      <c r="S28" s="1728"/>
      <c r="T28" s="1726"/>
      <c r="U28" s="51"/>
    </row>
    <row r="29" spans="1:23" s="39" customFormat="1" x14ac:dyDescent="0.2">
      <c r="A29" s="655" t="s">
        <v>6741</v>
      </c>
      <c r="B29" s="79"/>
      <c r="C29" s="79"/>
      <c r="D29" s="79"/>
      <c r="E29" s="79"/>
      <c r="F29" s="79"/>
      <c r="G29" s="79"/>
      <c r="H29" s="79"/>
      <c r="I29" s="79"/>
      <c r="J29" s="79"/>
      <c r="K29" s="79"/>
      <c r="L29" s="79"/>
      <c r="M29" s="79"/>
      <c r="N29" s="79"/>
      <c r="O29" s="79"/>
      <c r="P29" s="78"/>
      <c r="R29" s="1738"/>
      <c r="S29" s="1747" t="s">
        <v>6725</v>
      </c>
      <c r="T29" s="912" t="s">
        <v>6726</v>
      </c>
      <c r="U29" s="51"/>
    </row>
    <row r="30" spans="1:23" s="34" customFormat="1" x14ac:dyDescent="0.2">
      <c r="A30" s="655"/>
      <c r="B30" s="79"/>
      <c r="C30" s="79"/>
      <c r="D30" s="79"/>
      <c r="E30" s="79"/>
      <c r="F30" s="79"/>
      <c r="G30" s="79"/>
      <c r="H30" s="79"/>
      <c r="I30" s="79"/>
      <c r="J30" s="79"/>
      <c r="K30" s="79"/>
      <c r="L30" s="79"/>
      <c r="M30" s="79"/>
      <c r="N30" s="79"/>
      <c r="O30" s="79"/>
      <c r="P30" s="78"/>
      <c r="R30" s="1738"/>
      <c r="S30" s="1728"/>
      <c r="T30" s="1726"/>
      <c r="U30" s="51"/>
    </row>
    <row r="31" spans="1:23" s="39" customFormat="1" x14ac:dyDescent="0.2">
      <c r="A31" s="655"/>
      <c r="B31" s="79"/>
      <c r="C31" s="79"/>
      <c r="D31" s="79"/>
      <c r="E31" s="79"/>
      <c r="F31" s="79"/>
      <c r="G31" s="79"/>
      <c r="H31" s="79"/>
      <c r="I31" s="79"/>
      <c r="J31" s="79"/>
      <c r="K31" s="79"/>
      <c r="L31" s="79"/>
      <c r="M31" s="79"/>
      <c r="N31" s="79"/>
      <c r="O31" s="79"/>
      <c r="P31" s="78"/>
      <c r="R31" s="1738"/>
      <c r="S31" s="1728"/>
      <c r="T31" s="1726" t="s">
        <v>60</v>
      </c>
      <c r="U31" s="51">
        <f>E6</f>
        <v>6568500</v>
      </c>
    </row>
    <row r="32" spans="1:23" s="34" customFormat="1" x14ac:dyDescent="0.2">
      <c r="A32" s="655"/>
      <c r="B32" s="9"/>
      <c r="C32" s="9"/>
      <c r="D32" s="9"/>
      <c r="E32" s="9"/>
      <c r="F32" s="9"/>
      <c r="G32" s="9"/>
      <c r="H32" s="9"/>
      <c r="I32" s="9"/>
      <c r="J32" s="9"/>
      <c r="K32" s="9"/>
      <c r="L32" s="9"/>
      <c r="M32" s="9"/>
      <c r="N32" s="9"/>
      <c r="O32" s="9"/>
      <c r="P32" s="61"/>
      <c r="R32" s="1738"/>
      <c r="S32" s="1728"/>
      <c r="T32" s="1726" t="s">
        <v>599</v>
      </c>
      <c r="U32" s="51">
        <f>E10</f>
        <v>49000</v>
      </c>
    </row>
    <row r="33" spans="1:24" s="39" customFormat="1" ht="13.5" thickBot="1" x14ac:dyDescent="0.25">
      <c r="A33" s="1569"/>
      <c r="B33" s="9"/>
      <c r="C33" s="9"/>
      <c r="D33" s="9"/>
      <c r="E33" s="9"/>
      <c r="F33" s="9"/>
      <c r="G33" s="9"/>
      <c r="H33" s="9"/>
      <c r="I33" s="9"/>
      <c r="J33" s="9"/>
      <c r="K33" s="9"/>
      <c r="L33" s="9"/>
      <c r="M33" s="9"/>
      <c r="N33" s="9"/>
      <c r="O33" s="9"/>
      <c r="P33" s="61"/>
      <c r="R33" s="1738"/>
      <c r="S33" s="1728"/>
      <c r="T33" s="1726"/>
      <c r="U33" s="51"/>
    </row>
    <row r="34" spans="1:24" s="34" customFormat="1" x14ac:dyDescent="0.2">
      <c r="A34" s="1572" t="s">
        <v>556</v>
      </c>
      <c r="B34" s="16">
        <f>SUM(B14:B33)</f>
        <v>5916800</v>
      </c>
      <c r="C34" s="16">
        <f>SUM(C14:C33)</f>
        <v>5992700</v>
      </c>
      <c r="D34" s="16"/>
      <c r="E34" s="16">
        <f t="shared" ref="E34:N34" si="6">SUM(E14:E33)</f>
        <v>6094200</v>
      </c>
      <c r="F34" s="16"/>
      <c r="G34" s="16">
        <f t="shared" si="6"/>
        <v>6232300</v>
      </c>
      <c r="H34" s="16">
        <f t="shared" si="6"/>
        <v>6380000</v>
      </c>
      <c r="I34" s="16">
        <f t="shared" si="6"/>
        <v>6529800</v>
      </c>
      <c r="J34" s="16">
        <f t="shared" si="6"/>
        <v>6685700</v>
      </c>
      <c r="K34" s="16">
        <f t="shared" si="6"/>
        <v>6844700</v>
      </c>
      <c r="L34" s="16">
        <f t="shared" si="6"/>
        <v>7005700</v>
      </c>
      <c r="M34" s="16">
        <f t="shared" si="6"/>
        <v>7170800</v>
      </c>
      <c r="N34" s="16">
        <f t="shared" si="6"/>
        <v>7340000</v>
      </c>
      <c r="O34" s="16">
        <f t="shared" ref="O34" si="7">SUM(O14:O33)</f>
        <v>7514300</v>
      </c>
      <c r="P34" s="60">
        <f t="shared" ref="P34" si="8">SUM(P14:P33)</f>
        <v>7691700</v>
      </c>
      <c r="R34" s="1739"/>
      <c r="S34" s="1683"/>
      <c r="T34" s="912" t="s">
        <v>6727</v>
      </c>
      <c r="U34" s="1748">
        <f>SUM(U30:U33)</f>
        <v>6617500</v>
      </c>
      <c r="W34" s="34">
        <f>U34+U18</f>
        <v>6728200</v>
      </c>
    </row>
    <row r="35" spans="1:24" s="34" customFormat="1" x14ac:dyDescent="0.2">
      <c r="A35" s="1573"/>
      <c r="B35" s="9"/>
      <c r="C35" s="9"/>
      <c r="D35" s="9"/>
      <c r="E35" s="9"/>
      <c r="F35" s="9"/>
      <c r="G35" s="9"/>
      <c r="H35" s="9"/>
      <c r="I35" s="9"/>
      <c r="J35" s="9"/>
      <c r="K35" s="9"/>
      <c r="L35" s="9"/>
      <c r="M35" s="9"/>
      <c r="N35" s="9"/>
      <c r="O35" s="9"/>
      <c r="P35" s="61"/>
      <c r="R35" s="1738"/>
      <c r="S35" s="1728"/>
      <c r="T35" s="1726"/>
      <c r="U35" s="51"/>
    </row>
    <row r="36" spans="1:24" s="34" customFormat="1" x14ac:dyDescent="0.2">
      <c r="A36" s="1574" t="s">
        <v>1002</v>
      </c>
      <c r="B36" s="21">
        <f>B13-B34</f>
        <v>162700</v>
      </c>
      <c r="C36" s="21">
        <f>C13-C34</f>
        <v>285300</v>
      </c>
      <c r="D36" s="21"/>
      <c r="E36" s="21">
        <f t="shared" ref="E36:N36" si="9">E13-E34</f>
        <v>412600</v>
      </c>
      <c r="F36" s="21"/>
      <c r="G36" s="21">
        <f t="shared" si="9"/>
        <v>413700</v>
      </c>
      <c r="H36" s="21">
        <f t="shared" si="9"/>
        <v>396500</v>
      </c>
      <c r="I36" s="21">
        <f t="shared" si="9"/>
        <v>418700</v>
      </c>
      <c r="J36" s="21">
        <f t="shared" si="9"/>
        <v>393400</v>
      </c>
      <c r="K36" s="21">
        <f t="shared" si="9"/>
        <v>413700</v>
      </c>
      <c r="L36" s="21">
        <f t="shared" si="9"/>
        <v>435800</v>
      </c>
      <c r="M36" s="21">
        <f t="shared" si="9"/>
        <v>408800</v>
      </c>
      <c r="N36" s="21">
        <f t="shared" si="9"/>
        <v>430700</v>
      </c>
      <c r="O36" s="21">
        <f t="shared" ref="O36" si="10">O13-O34</f>
        <v>436500</v>
      </c>
      <c r="P36" s="62">
        <f t="shared" ref="P36" si="11">P13-P34</f>
        <v>425400</v>
      </c>
      <c r="R36" s="1739" t="s">
        <v>6728</v>
      </c>
      <c r="S36" s="1744" t="s">
        <v>6729</v>
      </c>
      <c r="T36" s="912"/>
      <c r="U36" s="51"/>
    </row>
    <row r="37" spans="1:24" s="34" customFormat="1" x14ac:dyDescent="0.2">
      <c r="A37" s="1575" t="s">
        <v>1943</v>
      </c>
      <c r="B37" s="9">
        <f>B23</f>
        <v>177200</v>
      </c>
      <c r="C37" s="9">
        <f t="shared" ref="C37:N37" si="12">C23</f>
        <v>177200</v>
      </c>
      <c r="D37" s="9"/>
      <c r="E37" s="9">
        <f t="shared" si="12"/>
        <v>180600</v>
      </c>
      <c r="F37" s="9">
        <f>F23</f>
        <v>1.9187358916478554E-2</v>
      </c>
      <c r="G37" s="9">
        <f t="shared" si="12"/>
        <v>184300</v>
      </c>
      <c r="H37" s="9">
        <f t="shared" si="12"/>
        <v>188000</v>
      </c>
      <c r="I37" s="9">
        <f t="shared" si="12"/>
        <v>191800</v>
      </c>
      <c r="J37" s="9">
        <f t="shared" si="12"/>
        <v>195700</v>
      </c>
      <c r="K37" s="9">
        <f t="shared" si="12"/>
        <v>199700</v>
      </c>
      <c r="L37" s="9">
        <f t="shared" si="12"/>
        <v>203700</v>
      </c>
      <c r="M37" s="9">
        <f t="shared" si="12"/>
        <v>207800</v>
      </c>
      <c r="N37" s="9">
        <f t="shared" si="12"/>
        <v>212000</v>
      </c>
      <c r="O37" s="9">
        <f t="shared" ref="O37" si="13">O23</f>
        <v>216300</v>
      </c>
      <c r="P37" s="61">
        <f t="shared" ref="P37" si="14">P23</f>
        <v>220700</v>
      </c>
      <c r="R37" s="1738"/>
      <c r="S37" s="1728"/>
      <c r="T37" s="1726"/>
      <c r="U37" s="51"/>
    </row>
    <row r="38" spans="1:24" s="34" customFormat="1" x14ac:dyDescent="0.2">
      <c r="A38" s="1576" t="s">
        <v>1659</v>
      </c>
      <c r="B38" s="280">
        <f t="shared" ref="B38:N38" si="15">B36+B37</f>
        <v>339900</v>
      </c>
      <c r="C38" s="280">
        <f>C36+C37</f>
        <v>462500</v>
      </c>
      <c r="D38" s="280"/>
      <c r="E38" s="280">
        <f>E36+E37</f>
        <v>593200</v>
      </c>
      <c r="F38" s="280"/>
      <c r="G38" s="280">
        <f t="shared" si="15"/>
        <v>598000</v>
      </c>
      <c r="H38" s="280">
        <f t="shared" si="15"/>
        <v>584500</v>
      </c>
      <c r="I38" s="280">
        <f t="shared" si="15"/>
        <v>610500</v>
      </c>
      <c r="J38" s="280">
        <f t="shared" si="15"/>
        <v>589100</v>
      </c>
      <c r="K38" s="280">
        <f t="shared" si="15"/>
        <v>613400</v>
      </c>
      <c r="L38" s="280">
        <f t="shared" si="15"/>
        <v>639500</v>
      </c>
      <c r="M38" s="280">
        <f t="shared" si="15"/>
        <v>616600</v>
      </c>
      <c r="N38" s="280">
        <f t="shared" si="15"/>
        <v>642700</v>
      </c>
      <c r="O38" s="280">
        <f t="shared" ref="O38" si="16">O36+O37</f>
        <v>652800</v>
      </c>
      <c r="P38" s="282">
        <f t="shared" ref="P38" si="17">P36+P37</f>
        <v>646100</v>
      </c>
      <c r="R38" s="1738"/>
      <c r="S38" s="1749" t="s">
        <v>6716</v>
      </c>
      <c r="T38" s="1726" t="s">
        <v>6720</v>
      </c>
      <c r="U38" s="51">
        <f>U22</f>
        <v>6204900</v>
      </c>
    </row>
    <row r="39" spans="1:24" s="34" customFormat="1" ht="13.5" thickBot="1" x14ac:dyDescent="0.25">
      <c r="A39" s="1577"/>
      <c r="B39" s="37"/>
      <c r="C39" s="37"/>
      <c r="D39" s="37"/>
      <c r="E39" s="68"/>
      <c r="F39" s="21"/>
      <c r="G39" s="68"/>
      <c r="H39" s="68"/>
      <c r="I39" s="68"/>
      <c r="J39" s="68"/>
      <c r="K39" s="68"/>
      <c r="L39" s="68"/>
      <c r="M39" s="68"/>
      <c r="N39" s="68"/>
      <c r="O39" s="68"/>
      <c r="P39" s="108"/>
      <c r="R39" s="1738"/>
      <c r="S39" s="1728"/>
      <c r="T39" s="1726"/>
      <c r="U39" s="51"/>
    </row>
    <row r="40" spans="1:24" s="34" customFormat="1" ht="13.5" thickTop="1" x14ac:dyDescent="0.2">
      <c r="A40" s="1578"/>
      <c r="B40" s="109"/>
      <c r="C40" s="109"/>
      <c r="D40" s="109"/>
      <c r="E40" s="74"/>
      <c r="F40" s="109"/>
      <c r="G40" s="74"/>
      <c r="H40" s="74"/>
      <c r="I40" s="74"/>
      <c r="J40" s="74"/>
      <c r="K40" s="74"/>
      <c r="L40" s="74"/>
      <c r="M40" s="74"/>
      <c r="N40" s="74"/>
      <c r="O40" s="74"/>
      <c r="P40" s="110"/>
      <c r="R40" s="1738"/>
      <c r="S40" s="1750" t="s">
        <v>6725</v>
      </c>
      <c r="T40" s="1726" t="s">
        <v>6730</v>
      </c>
      <c r="U40" s="51">
        <f>U34-U38</f>
        <v>412600</v>
      </c>
      <c r="W40" s="34">
        <f>U40-E36</f>
        <v>0</v>
      </c>
      <c r="X40" s="80"/>
    </row>
    <row r="41" spans="1:24" s="34" customFormat="1" x14ac:dyDescent="0.2">
      <c r="A41" s="1574" t="s">
        <v>192</v>
      </c>
      <c r="B41" s="21"/>
      <c r="C41" s="21"/>
      <c r="D41" s="21"/>
      <c r="E41" s="9"/>
      <c r="F41" s="21"/>
      <c r="G41" s="9"/>
      <c r="H41" s="9"/>
      <c r="I41" s="9"/>
      <c r="J41" s="9"/>
      <c r="K41" s="9"/>
      <c r="L41" s="9"/>
      <c r="M41" s="9"/>
      <c r="N41" s="9"/>
      <c r="O41" s="9"/>
      <c r="P41" s="61"/>
      <c r="R41" s="1738"/>
      <c r="S41" s="1728"/>
      <c r="T41" s="1726"/>
      <c r="U41" s="51"/>
      <c r="X41" s="80"/>
    </row>
    <row r="42" spans="1:24" s="39" customFormat="1" ht="13.5" thickBot="1" x14ac:dyDescent="0.25">
      <c r="A42" s="445" t="str">
        <f>CIV!G2042</f>
        <v>Less Loan Principal Repayments</v>
      </c>
      <c r="B42" s="89">
        <f>CIV!D2042</f>
        <v>162600</v>
      </c>
      <c r="C42" s="9">
        <f>CIV!E2042</f>
        <v>0</v>
      </c>
      <c r="D42" s="9"/>
      <c r="E42" s="9">
        <f>CIV!H2042</f>
        <v>0</v>
      </c>
      <c r="F42" s="9">
        <v>0</v>
      </c>
      <c r="G42" s="9">
        <f>CIV!J2042</f>
        <v>0</v>
      </c>
      <c r="H42" s="9">
        <f>CIV!K2042</f>
        <v>0</v>
      </c>
      <c r="I42" s="9">
        <f>CIV!L2042</f>
        <v>0</v>
      </c>
      <c r="J42" s="9">
        <f>CIV!M2042</f>
        <v>0</v>
      </c>
      <c r="K42" s="9">
        <f>CIV!N2042</f>
        <v>0</v>
      </c>
      <c r="L42" s="9">
        <f>CIV!O2042</f>
        <v>0</v>
      </c>
      <c r="M42" s="9">
        <f>CIV!P2042</f>
        <v>0</v>
      </c>
      <c r="N42" s="9">
        <f>CIV!Q2042</f>
        <v>0</v>
      </c>
      <c r="O42" s="9">
        <f>CIV!R2042</f>
        <v>0</v>
      </c>
      <c r="P42" s="61">
        <f>CIV!S2042</f>
        <v>0</v>
      </c>
      <c r="R42" s="1739"/>
      <c r="S42" s="542"/>
      <c r="T42" s="1751" t="s">
        <v>6731</v>
      </c>
      <c r="U42" s="1752">
        <f>SUM(U38:U41)</f>
        <v>6617500</v>
      </c>
    </row>
    <row r="43" spans="1:24" s="34" customFormat="1" ht="13.5" thickTop="1" x14ac:dyDescent="0.2">
      <c r="A43" s="445" t="str">
        <f>CIV!G2043</f>
        <v>Less Transfer to Reserves</v>
      </c>
      <c r="B43" s="9">
        <f>CIV!D2043</f>
        <v>339900</v>
      </c>
      <c r="C43" s="9">
        <f>CIV!E2043</f>
        <v>478500</v>
      </c>
      <c r="D43" s="9"/>
      <c r="E43" s="9">
        <f>E38</f>
        <v>593200</v>
      </c>
      <c r="F43" s="9">
        <f t="shared" ref="F43" si="18">(E43-C43)/C43</f>
        <v>0.23970741901776385</v>
      </c>
      <c r="G43" s="9">
        <f t="shared" ref="G43:N43" si="19">G38</f>
        <v>598000</v>
      </c>
      <c r="H43" s="9">
        <f t="shared" si="19"/>
        <v>584500</v>
      </c>
      <c r="I43" s="9">
        <f t="shared" si="19"/>
        <v>610500</v>
      </c>
      <c r="J43" s="9">
        <f t="shared" si="19"/>
        <v>589100</v>
      </c>
      <c r="K43" s="9">
        <f t="shared" si="19"/>
        <v>613400</v>
      </c>
      <c r="L43" s="9">
        <f t="shared" si="19"/>
        <v>639500</v>
      </c>
      <c r="M43" s="9">
        <f t="shared" si="19"/>
        <v>616600</v>
      </c>
      <c r="N43" s="9">
        <f t="shared" si="19"/>
        <v>642700</v>
      </c>
      <c r="O43" s="9">
        <f t="shared" ref="O43" si="20">O38</f>
        <v>652800</v>
      </c>
      <c r="P43" s="61">
        <f t="shared" ref="P43" si="21">P38</f>
        <v>646100</v>
      </c>
      <c r="R43" s="1738"/>
      <c r="S43" s="1728"/>
      <c r="T43" s="1250"/>
      <c r="U43" s="835"/>
    </row>
    <row r="44" spans="1:24" x14ac:dyDescent="0.2">
      <c r="A44" s="445" t="str">
        <f>CIV!G2044</f>
        <v>Add Transfer from Reserves</v>
      </c>
      <c r="B44" s="9">
        <f>CIV!D2044</f>
        <v>541900</v>
      </c>
      <c r="C44" s="9">
        <f>CIV!E2044</f>
        <v>0</v>
      </c>
      <c r="D44" s="9"/>
      <c r="E44" s="9">
        <f>E46</f>
        <v>0</v>
      </c>
      <c r="F44" s="9">
        <v>0</v>
      </c>
      <c r="G44" s="9">
        <f t="shared" ref="G44:N44" si="22">G46</f>
        <v>1533000</v>
      </c>
      <c r="H44" s="9">
        <f t="shared" si="22"/>
        <v>0</v>
      </c>
      <c r="I44" s="9">
        <f t="shared" si="22"/>
        <v>1800000</v>
      </c>
      <c r="J44" s="9">
        <f t="shared" si="22"/>
        <v>0</v>
      </c>
      <c r="K44" s="9">
        <f t="shared" si="22"/>
        <v>0</v>
      </c>
      <c r="L44" s="9">
        <f t="shared" si="22"/>
        <v>2000000</v>
      </c>
      <c r="M44" s="9">
        <f t="shared" si="22"/>
        <v>0</v>
      </c>
      <c r="N44" s="9">
        <f t="shared" si="22"/>
        <v>0</v>
      </c>
      <c r="O44" s="9">
        <f t="shared" ref="O44" si="23">O46</f>
        <v>2200000</v>
      </c>
      <c r="P44" s="61">
        <f t="shared" ref="P44" si="24">P46</f>
        <v>0</v>
      </c>
      <c r="R44" s="1738"/>
      <c r="S44" s="1728"/>
      <c r="T44" s="1250"/>
      <c r="U44" s="835"/>
    </row>
    <row r="45" spans="1:24" ht="13.5" thickBot="1" x14ac:dyDescent="0.25">
      <c r="A45" s="445" t="str">
        <f>CIV!G2045</f>
        <v>Add Capital Income Applied</v>
      </c>
      <c r="B45" s="9">
        <f>CIV!D2045</f>
        <v>0</v>
      </c>
      <c r="C45" s="9">
        <f>CIV!E2045</f>
        <v>0</v>
      </c>
      <c r="D45" s="9"/>
      <c r="E45" s="9">
        <f>CIV!H2045</f>
        <v>0</v>
      </c>
      <c r="F45" s="9">
        <v>0</v>
      </c>
      <c r="G45" s="9">
        <f>CIV!J2045</f>
        <v>0</v>
      </c>
      <c r="H45" s="9">
        <f>CIV!K2045</f>
        <v>0</v>
      </c>
      <c r="I45" s="9">
        <f>CIV!L2045</f>
        <v>0</v>
      </c>
      <c r="J45" s="9">
        <f>CIV!M2045</f>
        <v>0</v>
      </c>
      <c r="K45" s="9">
        <f>CIV!N2045</f>
        <v>0</v>
      </c>
      <c r="L45" s="9">
        <f>CIV!O2045</f>
        <v>0</v>
      </c>
      <c r="M45" s="9">
        <f>CIV!P2045</f>
        <v>0</v>
      </c>
      <c r="N45" s="9">
        <f>CIV!Q2045</f>
        <v>0</v>
      </c>
      <c r="O45" s="9">
        <f>CIV!R2045</f>
        <v>0</v>
      </c>
      <c r="P45" s="61">
        <f>CIV!S2045</f>
        <v>0</v>
      </c>
      <c r="R45" s="1753"/>
      <c r="S45" s="1754"/>
      <c r="T45" s="1720"/>
      <c r="U45" s="1755"/>
    </row>
    <row r="46" spans="1:24" ht="13.5" thickTop="1" x14ac:dyDescent="0.2">
      <c r="A46" s="445" t="str">
        <f>CIV!G2046</f>
        <v>Less Capital Expenditure</v>
      </c>
      <c r="B46" s="9">
        <f>CIV!D2046</f>
        <v>379300</v>
      </c>
      <c r="C46" s="9">
        <f>CIV!E2046</f>
        <v>0</v>
      </c>
      <c r="D46" s="9"/>
      <c r="E46" s="9">
        <f>CIV!H2046</f>
        <v>0</v>
      </c>
      <c r="F46" s="9">
        <v>0</v>
      </c>
      <c r="G46" s="9">
        <f>CIV!J2046</f>
        <v>1533000</v>
      </c>
      <c r="H46" s="9">
        <f>CIV!K2046</f>
        <v>0</v>
      </c>
      <c r="I46" s="9">
        <f>CIV!L2046</f>
        <v>1800000</v>
      </c>
      <c r="J46" s="9">
        <f>CIV!M2046</f>
        <v>0</v>
      </c>
      <c r="K46" s="9">
        <f>CIV!N2046</f>
        <v>0</v>
      </c>
      <c r="L46" s="9">
        <f>CIV!O2046</f>
        <v>2000000</v>
      </c>
      <c r="M46" s="9">
        <f>CIV!P2046</f>
        <v>0</v>
      </c>
      <c r="N46" s="9">
        <f>CIV!Q2046</f>
        <v>0</v>
      </c>
      <c r="O46" s="9">
        <f>CIV!R2046</f>
        <v>2200000</v>
      </c>
      <c r="P46" s="61">
        <f>CIV!S2046</f>
        <v>0</v>
      </c>
    </row>
    <row r="47" spans="1:24" x14ac:dyDescent="0.2">
      <c r="A47" s="1579" t="s">
        <v>2447</v>
      </c>
      <c r="B47" s="280">
        <f t="shared" ref="B47:N47" si="25">B38-B42-B43+B44++B45-B46</f>
        <v>0</v>
      </c>
      <c r="C47" s="280">
        <f t="shared" si="25"/>
        <v>-16000</v>
      </c>
      <c r="D47" s="280"/>
      <c r="E47" s="280">
        <f t="shared" si="25"/>
        <v>0</v>
      </c>
      <c r="F47" s="280"/>
      <c r="G47" s="280">
        <f t="shared" si="25"/>
        <v>0</v>
      </c>
      <c r="H47" s="280">
        <f t="shared" si="25"/>
        <v>0</v>
      </c>
      <c r="I47" s="280">
        <f t="shared" si="25"/>
        <v>0</v>
      </c>
      <c r="J47" s="280">
        <f t="shared" si="25"/>
        <v>0</v>
      </c>
      <c r="K47" s="280">
        <f t="shared" si="25"/>
        <v>0</v>
      </c>
      <c r="L47" s="280">
        <f t="shared" si="25"/>
        <v>0</v>
      </c>
      <c r="M47" s="280">
        <f t="shared" si="25"/>
        <v>0</v>
      </c>
      <c r="N47" s="280">
        <f t="shared" si="25"/>
        <v>0</v>
      </c>
      <c r="O47" s="280">
        <f t="shared" ref="O47" si="26">O38-O42-O43+O44++O45-O46</f>
        <v>0</v>
      </c>
      <c r="P47" s="282">
        <f t="shared" ref="P47" si="27">P38-P42-P43+P44++P45-P46</f>
        <v>0</v>
      </c>
    </row>
    <row r="48" spans="1:24" ht="13.5" thickBot="1" x14ac:dyDescent="0.25">
      <c r="A48" s="1580"/>
      <c r="B48" s="37"/>
      <c r="C48" s="37"/>
      <c r="D48" s="37"/>
      <c r="E48" s="23"/>
      <c r="F48" s="37"/>
      <c r="G48" s="23"/>
      <c r="H48" s="23"/>
      <c r="I48" s="23"/>
      <c r="J48" s="23"/>
      <c r="K48" s="23"/>
      <c r="L48" s="23"/>
      <c r="M48" s="23"/>
      <c r="N48" s="23"/>
      <c r="O48" s="23"/>
      <c r="P48" s="112"/>
      <c r="T48" s="573"/>
    </row>
    <row r="49" spans="1:21" ht="13.5" thickTop="1" x14ac:dyDescent="0.2">
      <c r="T49" s="726"/>
    </row>
    <row r="50" spans="1:21" x14ac:dyDescent="0.2">
      <c r="A50" s="726" t="s">
        <v>400</v>
      </c>
    </row>
    <row r="51" spans="1:21" x14ac:dyDescent="0.2">
      <c r="A51" s="726" t="s">
        <v>2226</v>
      </c>
      <c r="B51" s="36">
        <f>B13-CIV!D1996</f>
        <v>0</v>
      </c>
      <c r="C51" s="36">
        <f>C13-CIV!E1996</f>
        <v>-30100</v>
      </c>
      <c r="D51" s="36"/>
      <c r="E51" s="36">
        <f>E13-CIV!H1996</f>
        <v>0</v>
      </c>
      <c r="F51" s="36"/>
      <c r="G51" s="36">
        <f>G13-CIV!J1996</f>
        <v>0</v>
      </c>
      <c r="H51" s="36">
        <f>H13-CIV!K1996</f>
        <v>0</v>
      </c>
      <c r="I51" s="36">
        <f>I13-CIV!L1996</f>
        <v>0</v>
      </c>
      <c r="J51" s="36">
        <f>J13-CIV!M1996</f>
        <v>0</v>
      </c>
      <c r="K51" s="36">
        <f>K13-CIV!N1996</f>
        <v>0</v>
      </c>
      <c r="L51" s="36">
        <f>L13-CIV!O1996</f>
        <v>0</v>
      </c>
      <c r="M51" s="36">
        <f>M13-CIV!P1996</f>
        <v>0</v>
      </c>
      <c r="N51" s="36">
        <f>N13-CIV!Q1996</f>
        <v>0</v>
      </c>
      <c r="O51" s="36">
        <f>O13-CIV!R1996</f>
        <v>0</v>
      </c>
      <c r="P51" s="36">
        <f>P13-CIV!S1996</f>
        <v>0</v>
      </c>
    </row>
    <row r="52" spans="1:21" x14ac:dyDescent="0.2">
      <c r="A52" s="772" t="s">
        <v>2227</v>
      </c>
      <c r="B52" s="36">
        <f>B34-CIV!D2034</f>
        <v>0</v>
      </c>
      <c r="C52" s="36">
        <f>C34-CIV!E2034</f>
        <v>-14100</v>
      </c>
      <c r="D52" s="36"/>
      <c r="E52" s="36">
        <f>E34-CIV!H2034</f>
        <v>0</v>
      </c>
      <c r="F52" s="36"/>
      <c r="G52" s="36">
        <f>G34-CIV!J2034</f>
        <v>0</v>
      </c>
      <c r="H52" s="36">
        <f>H34-CIV!K2034</f>
        <v>0</v>
      </c>
      <c r="I52" s="36">
        <f>I34-CIV!L2034</f>
        <v>0</v>
      </c>
      <c r="J52" s="36">
        <f>J34-CIV!M2034</f>
        <v>0</v>
      </c>
      <c r="K52" s="36">
        <f>K34-CIV!N2034</f>
        <v>0</v>
      </c>
      <c r="L52" s="36">
        <f>L34-CIV!O2034</f>
        <v>0</v>
      </c>
      <c r="M52" s="36">
        <f>M34-CIV!P2034</f>
        <v>0</v>
      </c>
      <c r="N52" s="36">
        <f>N34-CIV!Q2034</f>
        <v>0</v>
      </c>
      <c r="O52" s="36">
        <f>O34-CIV!R2034</f>
        <v>0</v>
      </c>
      <c r="P52" s="36">
        <f>P34-CIV!S2034</f>
        <v>0</v>
      </c>
    </row>
    <row r="53" spans="1:21" x14ac:dyDescent="0.2">
      <c r="T53" s="573"/>
      <c r="U53" s="1756"/>
    </row>
    <row r="54" spans="1:21" x14ac:dyDescent="0.2">
      <c r="A54" s="726" t="s">
        <v>6708</v>
      </c>
      <c r="B54" s="36">
        <f>'Res-Bal'!B159+B43-B44</f>
        <v>1384400</v>
      </c>
      <c r="C54" s="36">
        <f>B54+C43-C44</f>
        <v>1862900</v>
      </c>
      <c r="D54" s="36"/>
      <c r="E54" s="36">
        <f>C54+E43-E44</f>
        <v>2456100</v>
      </c>
      <c r="F54" s="36"/>
      <c r="G54" s="36">
        <f>E54+G43-G44</f>
        <v>1521100</v>
      </c>
      <c r="H54" s="36">
        <f t="shared" ref="H54:P54" si="28">G54+H43-H44</f>
        <v>2105600</v>
      </c>
      <c r="I54" s="36">
        <f t="shared" si="28"/>
        <v>916100</v>
      </c>
      <c r="J54" s="36">
        <f t="shared" si="28"/>
        <v>1505200</v>
      </c>
      <c r="K54" s="36">
        <f t="shared" si="28"/>
        <v>2118600</v>
      </c>
      <c r="L54" s="36">
        <f t="shared" si="28"/>
        <v>758100</v>
      </c>
      <c r="M54" s="36">
        <f t="shared" si="28"/>
        <v>1374700</v>
      </c>
      <c r="N54" s="36">
        <f t="shared" si="28"/>
        <v>2017400</v>
      </c>
      <c r="O54" s="36">
        <f t="shared" si="28"/>
        <v>470200</v>
      </c>
      <c r="P54" s="36">
        <f t="shared" si="28"/>
        <v>1116300</v>
      </c>
    </row>
    <row r="55" spans="1:21" x14ac:dyDescent="0.2">
      <c r="A55" s="726" t="s">
        <v>6707</v>
      </c>
      <c r="B55" s="36">
        <f>'Res-Bal'!D159</f>
        <v>1384400</v>
      </c>
      <c r="C55" s="36">
        <f>'Res-Bal'!G159</f>
        <v>1862900</v>
      </c>
      <c r="D55" s="36"/>
      <c r="E55" s="36">
        <f>'Res-Bal'!J159</f>
        <v>2456100</v>
      </c>
      <c r="F55" s="36"/>
      <c r="G55" s="36">
        <f>'Res-Bal'!M159</f>
        <v>1521100</v>
      </c>
      <c r="H55" s="36">
        <f>'Res-Bal'!P159</f>
        <v>2105600</v>
      </c>
      <c r="I55" s="36">
        <f>'Res-Bal'!S159</f>
        <v>916100</v>
      </c>
      <c r="J55" s="36">
        <f>'Res-Bal'!V159</f>
        <v>1505200</v>
      </c>
      <c r="K55" s="36">
        <f>'Res-Bal'!Y159</f>
        <v>2118600</v>
      </c>
      <c r="L55" s="36">
        <f>'Res-Bal'!AB159</f>
        <v>758100</v>
      </c>
      <c r="M55" s="36">
        <f>'Res-Bal'!AE159</f>
        <v>1374700</v>
      </c>
      <c r="N55" s="36">
        <f>'Res-Bal'!AH159</f>
        <v>2017400</v>
      </c>
      <c r="O55" s="36">
        <f>'Res-Bal'!AI159</f>
        <v>2017400</v>
      </c>
      <c r="P55" s="36">
        <f>'Res-Bal'!AJ159</f>
        <v>-1547200</v>
      </c>
    </row>
    <row r="56" spans="1:21" x14ac:dyDescent="0.2">
      <c r="A56" s="726" t="s">
        <v>88</v>
      </c>
      <c r="B56" s="36">
        <f>B55-B54</f>
        <v>0</v>
      </c>
      <c r="C56" s="36">
        <f t="shared" ref="C56:N56" si="29">C55-C54</f>
        <v>0</v>
      </c>
      <c r="D56" s="36">
        <f>D55-D54</f>
        <v>0</v>
      </c>
      <c r="E56" s="36">
        <f t="shared" si="29"/>
        <v>0</v>
      </c>
      <c r="F56" s="36"/>
      <c r="G56" s="36">
        <f t="shared" si="29"/>
        <v>0</v>
      </c>
      <c r="H56" s="36">
        <f t="shared" si="29"/>
        <v>0</v>
      </c>
      <c r="I56" s="36">
        <f t="shared" si="29"/>
        <v>0</v>
      </c>
      <c r="J56" s="36">
        <f t="shared" si="29"/>
        <v>0</v>
      </c>
      <c r="K56" s="36">
        <f t="shared" si="29"/>
        <v>0</v>
      </c>
      <c r="L56" s="36">
        <f t="shared" si="29"/>
        <v>0</v>
      </c>
      <c r="M56" s="36">
        <f t="shared" si="29"/>
        <v>0</v>
      </c>
      <c r="N56" s="36">
        <f t="shared" si="29"/>
        <v>0</v>
      </c>
      <c r="O56" s="36">
        <f t="shared" ref="O56" si="30">O55-O54</f>
        <v>1547200</v>
      </c>
      <c r="P56" s="36">
        <f t="shared" ref="P56" si="31">P55-P54</f>
        <v>-2663500</v>
      </c>
    </row>
    <row r="57" spans="1:21" x14ac:dyDescent="0.2">
      <c r="B57" s="36"/>
      <c r="C57" s="36"/>
      <c r="D57" s="36"/>
      <c r="E57" s="36"/>
      <c r="F57" s="36"/>
      <c r="G57" s="36"/>
      <c r="H57" s="36"/>
      <c r="I57" s="36"/>
      <c r="J57" s="36"/>
      <c r="K57" s="36"/>
      <c r="L57" s="36"/>
      <c r="M57" s="36"/>
      <c r="N57" s="36"/>
      <c r="O57" s="36"/>
      <c r="P57" s="36"/>
    </row>
    <row r="58" spans="1:21" ht="12" customHeight="1" x14ac:dyDescent="0.2">
      <c r="B58" s="36"/>
      <c r="C58" s="36"/>
      <c r="D58" s="36"/>
      <c r="E58" s="36"/>
      <c r="F58" s="36"/>
      <c r="G58" s="36"/>
      <c r="H58" s="36"/>
      <c r="I58" s="36"/>
      <c r="J58" s="36"/>
      <c r="K58" s="36"/>
      <c r="L58" s="36"/>
      <c r="M58" s="36"/>
      <c r="N58" s="36"/>
      <c r="O58" s="36"/>
      <c r="P58" s="36"/>
    </row>
    <row r="1109" spans="6:6" x14ac:dyDescent="0.2">
      <c r="F1109" s="1" t="s">
        <v>7245</v>
      </c>
    </row>
  </sheetData>
  <mergeCells count="5">
    <mergeCell ref="B1:C1"/>
    <mergeCell ref="E1:P1"/>
    <mergeCell ref="R7:U7"/>
    <mergeCell ref="R5:U5"/>
    <mergeCell ref="R3:U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92"/>
  <sheetViews>
    <sheetView topLeftCell="D1" workbookViewId="0">
      <selection activeCell="T43" sqref="T43"/>
    </sheetView>
  </sheetViews>
  <sheetFormatPr defaultRowHeight="12.75" x14ac:dyDescent="0.2"/>
  <cols>
    <col min="1" max="3" width="10.28515625" hidden="1" customWidth="1"/>
    <col min="4" max="4" width="23.5703125" customWidth="1"/>
    <col min="5" max="5" width="10.140625" hidden="1" customWidth="1"/>
    <col min="6" max="6" width="6.140625" style="96" hidden="1" customWidth="1"/>
    <col min="7" max="7" width="10.42578125" bestFit="1" customWidth="1"/>
    <col min="8" max="8" width="8.7109375" style="46" hidden="1" customWidth="1"/>
    <col min="9" max="13" width="10.42578125" bestFit="1" customWidth="1"/>
    <col min="14" max="14" width="10.140625" bestFit="1" customWidth="1"/>
    <col min="15" max="15" width="10.42578125" bestFit="1" customWidth="1"/>
    <col min="16" max="16" width="10.140625" customWidth="1"/>
    <col min="17" max="18" width="11.140625" bestFit="1" customWidth="1"/>
  </cols>
  <sheetData>
    <row r="1" spans="1:20" s="1250" customFormat="1" x14ac:dyDescent="0.2">
      <c r="A1" s="1863"/>
      <c r="B1" s="1600"/>
      <c r="C1" s="1600"/>
      <c r="D1" s="1600"/>
      <c r="E1" s="1600"/>
      <c r="F1" s="1600"/>
      <c r="G1" s="1600"/>
      <c r="H1" s="1600"/>
      <c r="I1" s="1600"/>
      <c r="J1" s="1600"/>
      <c r="K1" s="1600"/>
      <c r="L1" s="1600"/>
      <c r="M1" s="1600"/>
      <c r="N1" s="1600"/>
      <c r="O1" s="1600"/>
      <c r="P1" s="1600"/>
      <c r="Q1" s="1600"/>
      <c r="R1" s="1917"/>
    </row>
    <row r="2" spans="1:20" s="1" customFormat="1" x14ac:dyDescent="0.2">
      <c r="A2" s="2704" t="s">
        <v>11973</v>
      </c>
      <c r="B2" s="2705"/>
      <c r="C2" s="2705"/>
      <c r="D2" s="2705"/>
      <c r="E2" s="2705"/>
      <c r="F2" s="2705"/>
      <c r="G2" s="2705"/>
      <c r="H2" s="2705"/>
      <c r="I2" s="2705"/>
      <c r="J2" s="2705"/>
      <c r="K2" s="2705"/>
      <c r="L2" s="2705"/>
      <c r="M2" s="2705"/>
      <c r="N2" s="2705"/>
      <c r="O2" s="2705"/>
      <c r="P2" s="2705"/>
      <c r="Q2" s="2705"/>
      <c r="R2" s="2706"/>
    </row>
    <row r="3" spans="1:20" s="1250" customFormat="1" ht="13.5" thickBot="1" x14ac:dyDescent="0.25">
      <c r="A3" s="1857"/>
      <c r="B3" s="1601"/>
      <c r="C3" s="1601"/>
      <c r="D3" s="1601"/>
      <c r="E3" s="1601"/>
      <c r="F3" s="2150"/>
      <c r="G3" s="1601"/>
      <c r="H3" s="2150"/>
      <c r="I3" s="1601"/>
      <c r="J3" s="1601"/>
      <c r="K3" s="1601"/>
      <c r="L3" s="1601"/>
      <c r="M3" s="1601"/>
      <c r="N3" s="1601"/>
      <c r="O3" s="1601"/>
      <c r="P3" s="1601"/>
      <c r="Q3" s="1601"/>
      <c r="R3" s="1862"/>
    </row>
    <row r="4" spans="1:20" s="1250" customFormat="1" x14ac:dyDescent="0.2">
      <c r="A4" s="2724" t="s">
        <v>1824</v>
      </c>
      <c r="B4" s="2725"/>
      <c r="C4" s="2735"/>
      <c r="D4" s="2159" t="s">
        <v>4478</v>
      </c>
      <c r="E4" s="2736" t="s">
        <v>2215</v>
      </c>
      <c r="F4" s="2725"/>
      <c r="G4" s="2725"/>
      <c r="H4" s="2725"/>
      <c r="I4" s="2725"/>
      <c r="J4" s="2725"/>
      <c r="K4" s="2725"/>
      <c r="L4" s="2725"/>
      <c r="M4" s="2725"/>
      <c r="N4" s="2725"/>
      <c r="O4" s="2725"/>
      <c r="P4" s="2725"/>
      <c r="Q4" s="2725"/>
      <c r="R4" s="2725"/>
    </row>
    <row r="5" spans="1:20" s="1" customFormat="1" ht="13.5" thickBot="1" x14ac:dyDescent="0.25">
      <c r="A5" s="1124" t="str">
        <f>Summaries!B68</f>
        <v>2013/14</v>
      </c>
      <c r="B5" s="2156" t="str">
        <f>Summaries!C68</f>
        <v>2014/15</v>
      </c>
      <c r="C5" s="1123" t="str">
        <f>Summaries!D68</f>
        <v>2015/16</v>
      </c>
      <c r="D5" s="2160"/>
      <c r="E5" s="1123" t="str">
        <f>Summaries!E68</f>
        <v>2016/17</v>
      </c>
      <c r="F5" s="2156" t="s">
        <v>492</v>
      </c>
      <c r="G5" s="1123" t="str">
        <f>Summaries!F68</f>
        <v>2017/18</v>
      </c>
      <c r="H5" s="2156" t="s">
        <v>492</v>
      </c>
      <c r="I5" s="1123" t="str">
        <f>Summaries!G68</f>
        <v>2018/19</v>
      </c>
      <c r="J5" s="2156" t="str">
        <f>Summaries!H68</f>
        <v>2019/20</v>
      </c>
      <c r="K5" s="2156" t="str">
        <f>Summaries!I68</f>
        <v>2020/21</v>
      </c>
      <c r="L5" s="2156" t="str">
        <f>Summaries!J68</f>
        <v>2021/22</v>
      </c>
      <c r="M5" s="2156" t="str">
        <f>Summaries!K68</f>
        <v>2022/23</v>
      </c>
      <c r="N5" s="2156" t="str">
        <f>Summaries!L68</f>
        <v>2023/24</v>
      </c>
      <c r="O5" s="2156" t="str">
        <f>Summaries!M68</f>
        <v>2024/25</v>
      </c>
      <c r="P5" s="2156" t="str">
        <f>Summaries!N68</f>
        <v>2025/26</v>
      </c>
      <c r="Q5" s="2156" t="str">
        <f>Summaries!O68</f>
        <v>2026/27</v>
      </c>
      <c r="R5" s="2155" t="str">
        <f>Summaries!P68</f>
        <v>2027/28</v>
      </c>
    </row>
    <row r="6" spans="1:20" s="1" customFormat="1" x14ac:dyDescent="0.2">
      <c r="A6" s="2302"/>
      <c r="B6" s="220"/>
      <c r="C6" s="2303"/>
      <c r="D6" s="2159" t="s">
        <v>388</v>
      </c>
      <c r="E6" s="2303"/>
      <c r="F6" s="85"/>
      <c r="G6" s="2303"/>
      <c r="H6" s="85"/>
      <c r="I6" s="2303"/>
      <c r="J6" s="220"/>
      <c r="K6" s="220"/>
      <c r="L6" s="220"/>
      <c r="M6" s="220"/>
      <c r="N6" s="220"/>
      <c r="O6" s="220"/>
      <c r="P6" s="220"/>
      <c r="Q6" s="220"/>
      <c r="R6" s="2304"/>
    </row>
    <row r="7" spans="1:20" s="1" customFormat="1" x14ac:dyDescent="0.2">
      <c r="A7" s="1923">
        <f>Summaries!B69*1000</f>
        <v>38830500</v>
      </c>
      <c r="B7" s="2157">
        <f>Summaries!C69*1000</f>
        <v>41354600</v>
      </c>
      <c r="C7" s="1602">
        <f>Summaries!D69*1000</f>
        <v>43946800</v>
      </c>
      <c r="D7" s="2130" t="s">
        <v>2296</v>
      </c>
      <c r="E7" s="1602">
        <f>Summaries!E69*1000</f>
        <v>46877300</v>
      </c>
      <c r="F7" s="85">
        <f t="shared" ref="F7:F19" si="0">IF(B7=E7,0,IF(B7=0,100,(E7-B7)/B7*100))</f>
        <v>13.354499862167691</v>
      </c>
      <c r="G7" s="1602">
        <f>Summaries!F69*1000</f>
        <v>47544600</v>
      </c>
      <c r="H7" s="85">
        <f>IF(E7=G7,0,IF(E7=0,100,(G7-E7)/E7*100))</f>
        <v>1.4235034867622496</v>
      </c>
      <c r="I7" s="1602">
        <f>Summaries!G69*1000</f>
        <v>48065200</v>
      </c>
      <c r="J7" s="2157">
        <f>Summaries!H69*1000</f>
        <v>49373000</v>
      </c>
      <c r="K7" s="2157">
        <f>Summaries!I69*1000</f>
        <v>50723500</v>
      </c>
      <c r="L7" s="2157">
        <f>Summaries!J69*1000</f>
        <v>52130400</v>
      </c>
      <c r="M7" s="2157">
        <f>Summaries!K69*1000</f>
        <v>53576500</v>
      </c>
      <c r="N7" s="2157">
        <f>Summaries!L69*1000</f>
        <v>55063400</v>
      </c>
      <c r="O7" s="2157">
        <f>Summaries!M69*1000</f>
        <v>56590100</v>
      </c>
      <c r="P7" s="2157">
        <f>Summaries!N69*1000</f>
        <v>58160200</v>
      </c>
      <c r="Q7" s="2157">
        <f>Summaries!O69*1000</f>
        <v>59773200</v>
      </c>
      <c r="R7" s="1922">
        <f>Summaries!P69*1000</f>
        <v>61432100</v>
      </c>
      <c r="T7" s="36"/>
    </row>
    <row r="8" spans="1:20" s="1" customFormat="1" x14ac:dyDescent="0.2">
      <c r="A8" s="1923">
        <f>Summaries!B70*1000</f>
        <v>16972500</v>
      </c>
      <c r="B8" s="2157">
        <f>Summaries!C70*1000</f>
        <v>17321100</v>
      </c>
      <c r="C8" s="1602">
        <f>Summaries!D70*1000</f>
        <v>18582000</v>
      </c>
      <c r="D8" s="2130" t="s">
        <v>2337</v>
      </c>
      <c r="E8" s="1602">
        <f>Summaries!E70*1000</f>
        <v>20138200</v>
      </c>
      <c r="F8" s="85">
        <f t="shared" si="0"/>
        <v>16.263978615676834</v>
      </c>
      <c r="G8" s="1602">
        <f>Summaries!F70*1000</f>
        <v>19056700</v>
      </c>
      <c r="H8" s="85">
        <f>IF(E8=G8,0,IF(E8=0,100,(G8-E8)/E8*100))</f>
        <v>-5.3703906009474531</v>
      </c>
      <c r="I8" s="1602">
        <f>Summaries!G70*1000</f>
        <v>19601400</v>
      </c>
      <c r="J8" s="2157">
        <f>Summaries!H70*1000</f>
        <v>20192300</v>
      </c>
      <c r="K8" s="2157">
        <f>Summaries!I70*1000</f>
        <v>20696400</v>
      </c>
      <c r="L8" s="2157">
        <f>Summaries!J70*1000</f>
        <v>21211600</v>
      </c>
      <c r="M8" s="2157">
        <f>Summaries!K70*1000</f>
        <v>21742400</v>
      </c>
      <c r="N8" s="2157">
        <f>Summaries!L70*1000</f>
        <v>22286900</v>
      </c>
      <c r="O8" s="2157">
        <f>Summaries!M70*1000</f>
        <v>22847100</v>
      </c>
      <c r="P8" s="2157">
        <f>Summaries!N70*1000</f>
        <v>23418700</v>
      </c>
      <c r="Q8" s="2157">
        <f>Summaries!O70*1000</f>
        <v>24008400</v>
      </c>
      <c r="R8" s="1922">
        <f>Summaries!P70*1000</f>
        <v>24599200</v>
      </c>
      <c r="T8" s="36"/>
    </row>
    <row r="9" spans="1:20" s="1" customFormat="1" x14ac:dyDescent="0.2">
      <c r="A9" s="1923">
        <f>Summaries!B71*1000</f>
        <v>3487400</v>
      </c>
      <c r="B9" s="2157">
        <f>Summaries!C71*1000</f>
        <v>2539400</v>
      </c>
      <c r="C9" s="1602">
        <f>Summaries!D71*1000</f>
        <v>2133600</v>
      </c>
      <c r="D9" s="2130" t="s">
        <v>1661</v>
      </c>
      <c r="E9" s="1602">
        <f>Summaries!E71*1000</f>
        <v>2299200</v>
      </c>
      <c r="F9" s="85">
        <f t="shared" si="0"/>
        <v>-9.4589273056627547</v>
      </c>
      <c r="G9" s="1602">
        <f>Summaries!F71*1000</f>
        <v>1659900</v>
      </c>
      <c r="H9" s="85">
        <f t="shared" ref="H9:H12" si="1">IF(E9=G9,0,IF(E9=0,100,(G9-E9)/E9*100))</f>
        <v>-27.805323590814197</v>
      </c>
      <c r="I9" s="1602">
        <f>Summaries!G71*1000</f>
        <v>1856600</v>
      </c>
      <c r="J9" s="2157">
        <f>Summaries!H71*1000</f>
        <v>1900700</v>
      </c>
      <c r="K9" s="2157">
        <f>Summaries!I71*1000</f>
        <v>1589000</v>
      </c>
      <c r="L9" s="2157">
        <f>Summaries!J71*1000</f>
        <v>1635200</v>
      </c>
      <c r="M9" s="2157">
        <f>Summaries!K71*1000</f>
        <v>1563800</v>
      </c>
      <c r="N9" s="2157">
        <f>Summaries!L71*1000</f>
        <v>1583000</v>
      </c>
      <c r="O9" s="2157">
        <f>Summaries!M71*1000</f>
        <v>1663300</v>
      </c>
      <c r="P9" s="2157">
        <f>Summaries!N71*1000</f>
        <v>1799200</v>
      </c>
      <c r="Q9" s="2157">
        <f>Summaries!O71*1000</f>
        <v>2097900</v>
      </c>
      <c r="R9" s="1922">
        <f>Summaries!P71*1000</f>
        <v>2406000</v>
      </c>
      <c r="T9" s="36"/>
    </row>
    <row r="10" spans="1:20" s="1" customFormat="1" x14ac:dyDescent="0.2">
      <c r="A10" s="1923">
        <f>Summaries!B72*1000</f>
        <v>6082300</v>
      </c>
      <c r="B10" s="2157">
        <f>Summaries!C72*1000</f>
        <v>7833600</v>
      </c>
      <c r="C10" s="1602">
        <f>Summaries!D72*1000</f>
        <v>9389200</v>
      </c>
      <c r="D10" s="2130" t="s">
        <v>2828</v>
      </c>
      <c r="E10" s="1602">
        <f>Summaries!E72*1000</f>
        <v>12037300</v>
      </c>
      <c r="F10" s="85">
        <f t="shared" si="0"/>
        <v>53.662428513071895</v>
      </c>
      <c r="G10" s="1602">
        <f>Summaries!F72*1000</f>
        <v>8038500</v>
      </c>
      <c r="H10" s="85">
        <f t="shared" si="1"/>
        <v>-33.220074269146735</v>
      </c>
      <c r="I10" s="1602">
        <f>Summaries!G72*1000</f>
        <v>7533900</v>
      </c>
      <c r="J10" s="2157">
        <f>Summaries!H72*1000</f>
        <v>7767700</v>
      </c>
      <c r="K10" s="2157">
        <f>Summaries!I72*1000</f>
        <v>7773200</v>
      </c>
      <c r="L10" s="2157">
        <f>Summaries!J72*1000</f>
        <v>7879800</v>
      </c>
      <c r="M10" s="2157">
        <f>Summaries!K72*1000</f>
        <v>7990800</v>
      </c>
      <c r="N10" s="2157">
        <f>Summaries!L72*1000</f>
        <v>8137800</v>
      </c>
      <c r="O10" s="2157">
        <f>Summaries!M72*1000</f>
        <v>8297799.9999999991</v>
      </c>
      <c r="P10" s="2157">
        <f>Summaries!N72*1000</f>
        <v>8463500</v>
      </c>
      <c r="Q10" s="2157">
        <f>Summaries!O72*1000</f>
        <v>8632700</v>
      </c>
      <c r="R10" s="1922">
        <f>Summaries!P72*1000</f>
        <v>8805500</v>
      </c>
      <c r="T10" s="36"/>
    </row>
    <row r="11" spans="1:20" s="1" customFormat="1" x14ac:dyDescent="0.2">
      <c r="A11" s="1923">
        <f>Summaries!B73*1000</f>
        <v>5800400</v>
      </c>
      <c r="B11" s="2157">
        <f>Summaries!C73*1000</f>
        <v>5810400</v>
      </c>
      <c r="C11" s="1602">
        <f>Summaries!D73*1000</f>
        <v>4204300</v>
      </c>
      <c r="D11" s="2130" t="s">
        <v>420</v>
      </c>
      <c r="E11" s="1602">
        <f>Summaries!E73*1000</f>
        <v>5868900</v>
      </c>
      <c r="F11" s="85">
        <f t="shared" si="0"/>
        <v>1.0068153655514251</v>
      </c>
      <c r="G11" s="1602">
        <f>Summaries!F73*1000</f>
        <v>6395500</v>
      </c>
      <c r="H11" s="85">
        <f t="shared" si="1"/>
        <v>8.9727206120397351</v>
      </c>
      <c r="I11" s="1602">
        <f>Summaries!G73*1000</f>
        <v>6518700</v>
      </c>
      <c r="J11" s="2157">
        <f>Summaries!H73*1000</f>
        <v>6581300</v>
      </c>
      <c r="K11" s="2157">
        <f>Summaries!I73*1000</f>
        <v>6777100</v>
      </c>
      <c r="L11" s="2157">
        <f>Summaries!J73*1000</f>
        <v>6952400</v>
      </c>
      <c r="M11" s="2157">
        <f>Summaries!K73*1000</f>
        <v>7132900</v>
      </c>
      <c r="N11" s="2157">
        <f>Summaries!L73*1000</f>
        <v>7407000</v>
      </c>
      <c r="O11" s="2157">
        <f>Summaries!M73*1000</f>
        <v>7506700</v>
      </c>
      <c r="P11" s="2157">
        <f>Summaries!N73*1000</f>
        <v>7701200</v>
      </c>
      <c r="Q11" s="2157">
        <f>Summaries!O73*1000</f>
        <v>7900700</v>
      </c>
      <c r="R11" s="1922">
        <f>Summaries!P73*1000</f>
        <v>8105500</v>
      </c>
      <c r="T11" s="36"/>
    </row>
    <row r="12" spans="1:20" s="1" customFormat="1" x14ac:dyDescent="0.2">
      <c r="A12" s="1821">
        <f>SUM(A7:A11)</f>
        <v>71173100</v>
      </c>
      <c r="B12" s="63">
        <f>SUM(B7:B11)</f>
        <v>74859100</v>
      </c>
      <c r="C12" s="92">
        <f>SUM(C7:C11)</f>
        <v>78255900</v>
      </c>
      <c r="D12" s="2129" t="s">
        <v>752</v>
      </c>
      <c r="E12" s="92">
        <f>SUM(E7:E11)</f>
        <v>87220900</v>
      </c>
      <c r="F12" s="126">
        <f t="shared" si="0"/>
        <v>16.51342321775175</v>
      </c>
      <c r="G12" s="92">
        <f>SUM(G7:G11)</f>
        <v>82695200</v>
      </c>
      <c r="H12" s="126">
        <f t="shared" si="1"/>
        <v>-5.1887792948708391</v>
      </c>
      <c r="I12" s="92">
        <f t="shared" ref="I12:Q12" si="2">SUM(I7:I11)</f>
        <v>83575800</v>
      </c>
      <c r="J12" s="63">
        <f t="shared" si="2"/>
        <v>85815000</v>
      </c>
      <c r="K12" s="63">
        <f t="shared" si="2"/>
        <v>87559200</v>
      </c>
      <c r="L12" s="63">
        <f t="shared" si="2"/>
        <v>89809400</v>
      </c>
      <c r="M12" s="63">
        <f t="shared" si="2"/>
        <v>92006400</v>
      </c>
      <c r="N12" s="63">
        <f t="shared" si="2"/>
        <v>94478100</v>
      </c>
      <c r="O12" s="63">
        <f t="shared" si="2"/>
        <v>96905000</v>
      </c>
      <c r="P12" s="63">
        <f t="shared" si="2"/>
        <v>99542800</v>
      </c>
      <c r="Q12" s="63">
        <f t="shared" si="2"/>
        <v>102412900</v>
      </c>
      <c r="R12" s="1252">
        <f t="shared" ref="R12" si="3">SUM(R7:R11)</f>
        <v>105348300</v>
      </c>
      <c r="T12" s="36"/>
    </row>
    <row r="13" spans="1:20" s="1" customFormat="1" x14ac:dyDescent="0.2">
      <c r="A13" s="1283"/>
      <c r="B13" s="48"/>
      <c r="C13" s="115"/>
      <c r="D13" s="2129"/>
      <c r="E13" s="115"/>
      <c r="F13" s="85"/>
      <c r="G13" s="115"/>
      <c r="H13" s="85"/>
      <c r="I13" s="115"/>
      <c r="J13" s="48"/>
      <c r="K13" s="48"/>
      <c r="L13" s="48"/>
      <c r="M13" s="48"/>
      <c r="N13" s="48"/>
      <c r="O13" s="48"/>
      <c r="P13" s="48"/>
      <c r="Q13" s="48"/>
      <c r="R13" s="1846"/>
      <c r="T13" s="36"/>
    </row>
    <row r="14" spans="1:20" s="1" customFormat="1" x14ac:dyDescent="0.2">
      <c r="A14" s="1283"/>
      <c r="B14" s="48"/>
      <c r="C14" s="115"/>
      <c r="D14" s="2129" t="s">
        <v>2018</v>
      </c>
      <c r="E14" s="115"/>
      <c r="F14" s="85"/>
      <c r="G14" s="115"/>
      <c r="H14" s="85"/>
      <c r="I14" s="115"/>
      <c r="J14" s="48"/>
      <c r="K14" s="48"/>
      <c r="L14" s="48"/>
      <c r="M14" s="48"/>
      <c r="N14" s="48"/>
      <c r="O14" s="48"/>
      <c r="P14" s="48"/>
      <c r="Q14" s="48"/>
      <c r="R14" s="1846"/>
      <c r="T14" s="36"/>
    </row>
    <row r="15" spans="1:20" s="1" customFormat="1" x14ac:dyDescent="0.2">
      <c r="A15" s="1923">
        <f>Summaries!B77*1000</f>
        <v>19711000</v>
      </c>
      <c r="B15" s="2157">
        <f>Summaries!C77*1000</f>
        <v>20435100</v>
      </c>
      <c r="C15" s="1602">
        <f>Summaries!D77*1000</f>
        <v>21690000</v>
      </c>
      <c r="D15" s="2130" t="s">
        <v>1228</v>
      </c>
      <c r="E15" s="1602">
        <f>Summaries!E77*1000</f>
        <v>22308000</v>
      </c>
      <c r="F15" s="85">
        <f t="shared" si="0"/>
        <v>9.1651129673943359</v>
      </c>
      <c r="G15" s="1602">
        <f>Summaries!F77*1000</f>
        <v>23001000</v>
      </c>
      <c r="H15" s="85">
        <f t="shared" ref="H15:H19" si="4">IF(E15=G15,0,IF(E15=0,100,(G15-E15)/E15*100))</f>
        <v>3.1065088757396451</v>
      </c>
      <c r="I15" s="1602">
        <f>Summaries!G77*1000</f>
        <v>23715000</v>
      </c>
      <c r="J15" s="2157">
        <f>Summaries!H77*1000</f>
        <v>24452000</v>
      </c>
      <c r="K15" s="2157">
        <f>Summaries!I77*1000</f>
        <v>25211000</v>
      </c>
      <c r="L15" s="2157">
        <f>Summaries!J77*1000</f>
        <v>25994000</v>
      </c>
      <c r="M15" s="2157">
        <f>Summaries!K77*1000</f>
        <v>26801000</v>
      </c>
      <c r="N15" s="2157">
        <f>Summaries!L77*1000</f>
        <v>27633000</v>
      </c>
      <c r="O15" s="2157">
        <f>Summaries!M77*1000</f>
        <v>28491000</v>
      </c>
      <c r="P15" s="2157">
        <f>Summaries!N77*1000</f>
        <v>29376000</v>
      </c>
      <c r="Q15" s="2157">
        <f>Summaries!O77*1000</f>
        <v>30288000</v>
      </c>
      <c r="R15" s="1922">
        <f>Summaries!P77*1000</f>
        <v>31229000</v>
      </c>
      <c r="T15" s="36"/>
    </row>
    <row r="16" spans="1:20" s="1" customFormat="1" x14ac:dyDescent="0.2">
      <c r="A16" s="1923">
        <f>Summaries!B78*1000</f>
        <v>22518900</v>
      </c>
      <c r="B16" s="2157">
        <f>Summaries!C78*1000</f>
        <v>21906100</v>
      </c>
      <c r="C16" s="1602">
        <f>Summaries!D78*1000</f>
        <v>23953600</v>
      </c>
      <c r="D16" s="2130" t="s">
        <v>2336</v>
      </c>
      <c r="E16" s="1602">
        <f>Summaries!E78*1000</f>
        <v>22932800</v>
      </c>
      <c r="F16" s="85">
        <f t="shared" si="0"/>
        <v>4.6868223919364924</v>
      </c>
      <c r="G16" s="1602">
        <f>Summaries!F78*1000</f>
        <v>25632600</v>
      </c>
      <c r="H16" s="85">
        <f t="shared" si="4"/>
        <v>11.772657503662876</v>
      </c>
      <c r="I16" s="1602">
        <f>Summaries!G78*1000</f>
        <v>23229500</v>
      </c>
      <c r="J16" s="2157">
        <f>Summaries!H78*1000</f>
        <v>23958600</v>
      </c>
      <c r="K16" s="2157">
        <f>Summaries!I78*1000</f>
        <v>24068200</v>
      </c>
      <c r="L16" s="2157">
        <f>Summaries!J78*1000</f>
        <v>24624100</v>
      </c>
      <c r="M16" s="2157">
        <f>Summaries!K78*1000</f>
        <v>24967800</v>
      </c>
      <c r="N16" s="2157">
        <f>Summaries!L78*1000</f>
        <v>25580900</v>
      </c>
      <c r="O16" s="2157">
        <f>Summaries!M78*1000</f>
        <v>26036400</v>
      </c>
      <c r="P16" s="2157">
        <f>Summaries!N78*1000</f>
        <v>26378400</v>
      </c>
      <c r="Q16" s="2157">
        <f>Summaries!O78*1000</f>
        <v>26762500</v>
      </c>
      <c r="R16" s="1922">
        <f>Summaries!P78*1000</f>
        <v>27190700</v>
      </c>
      <c r="T16" s="36"/>
    </row>
    <row r="17" spans="1:20" s="1" customFormat="1" x14ac:dyDescent="0.2">
      <c r="A17" s="1923">
        <f>Summaries!B79*1000</f>
        <v>6839800</v>
      </c>
      <c r="B17" s="2157">
        <f>Summaries!C79*1000</f>
        <v>6561400</v>
      </c>
      <c r="C17" s="1602">
        <f>Summaries!D79*1000</f>
        <v>5993600</v>
      </c>
      <c r="D17" s="2130" t="s">
        <v>2152</v>
      </c>
      <c r="E17" s="1602">
        <f>Summaries!E79*1000</f>
        <v>5523000</v>
      </c>
      <c r="F17" s="85">
        <f t="shared" si="0"/>
        <v>-15.825890815984394</v>
      </c>
      <c r="G17" s="1602">
        <f>Summaries!F79*1000</f>
        <v>5620400</v>
      </c>
      <c r="H17" s="85">
        <f t="shared" si="4"/>
        <v>1.7635343110628283</v>
      </c>
      <c r="I17" s="1602">
        <f>Summaries!G79*1000</f>
        <v>5173300</v>
      </c>
      <c r="J17" s="2157">
        <f>Summaries!H79*1000</f>
        <v>4892600</v>
      </c>
      <c r="K17" s="2157">
        <f>Summaries!I79*1000</f>
        <v>4490500</v>
      </c>
      <c r="L17" s="2157">
        <f>Summaries!J79*1000</f>
        <v>4470600</v>
      </c>
      <c r="M17" s="2157">
        <f>Summaries!K79*1000</f>
        <v>4109800</v>
      </c>
      <c r="N17" s="2157">
        <f>Summaries!L79*1000</f>
        <v>3790200</v>
      </c>
      <c r="O17" s="2157">
        <f>Summaries!M79*1000</f>
        <v>3490900</v>
      </c>
      <c r="P17" s="2157">
        <f>Summaries!N79*1000</f>
        <v>3212000</v>
      </c>
      <c r="Q17" s="2157">
        <f>Summaries!O79*1000</f>
        <v>2952200</v>
      </c>
      <c r="R17" s="1922">
        <f>Summaries!P79*1000</f>
        <v>2690300</v>
      </c>
      <c r="T17" s="36"/>
    </row>
    <row r="18" spans="1:20" s="1" customFormat="1" x14ac:dyDescent="0.2">
      <c r="A18" s="1923">
        <f>Summaries!B80*1000</f>
        <v>20368300</v>
      </c>
      <c r="B18" s="2157">
        <f>Summaries!C80*1000</f>
        <v>17937300</v>
      </c>
      <c r="C18" s="1602">
        <f>Summaries!D80*1000</f>
        <v>19197600</v>
      </c>
      <c r="D18" s="2130" t="s">
        <v>2035</v>
      </c>
      <c r="E18" s="1602">
        <f>Summaries!E80*1000</f>
        <v>15978600</v>
      </c>
      <c r="F18" s="85">
        <f t="shared" si="0"/>
        <v>-10.919703634326236</v>
      </c>
      <c r="G18" s="1602">
        <f>Summaries!F80*1000</f>
        <v>18538900</v>
      </c>
      <c r="H18" s="85">
        <f t="shared" si="4"/>
        <v>16.023306172005057</v>
      </c>
      <c r="I18" s="1602">
        <f>Summaries!G80*1000</f>
        <v>19013400</v>
      </c>
      <c r="J18" s="2157">
        <f>Summaries!H80*1000</f>
        <v>19486200</v>
      </c>
      <c r="K18" s="2157">
        <f>Summaries!I80*1000</f>
        <v>19877800</v>
      </c>
      <c r="L18" s="2157">
        <f>Summaries!J80*1000</f>
        <v>20276700</v>
      </c>
      <c r="M18" s="2157">
        <f>Summaries!K80*1000</f>
        <v>20684000</v>
      </c>
      <c r="N18" s="2157">
        <f>Summaries!L80*1000</f>
        <v>21098600</v>
      </c>
      <c r="O18" s="2157">
        <f>Summaries!M80*1000</f>
        <v>21522000</v>
      </c>
      <c r="P18" s="2157">
        <f>Summaries!N80*1000</f>
        <v>21954300</v>
      </c>
      <c r="Q18" s="2157">
        <f>Summaries!O80*1000</f>
        <v>22394300</v>
      </c>
      <c r="R18" s="1922">
        <f>Summaries!P80*1000</f>
        <v>22843000</v>
      </c>
      <c r="T18" s="36"/>
    </row>
    <row r="19" spans="1:20" s="1" customFormat="1" x14ac:dyDescent="0.2">
      <c r="A19" s="1923">
        <f>Summaries!B81*1000</f>
        <v>11258500</v>
      </c>
      <c r="B19" s="2157">
        <f>Summaries!C81*1000</f>
        <v>11427700</v>
      </c>
      <c r="C19" s="1602">
        <f>Summaries!D81*1000</f>
        <v>11605100</v>
      </c>
      <c r="D19" s="2130" t="s">
        <v>408</v>
      </c>
      <c r="E19" s="1602">
        <f>Summaries!E81*1000</f>
        <v>12188500</v>
      </c>
      <c r="F19" s="85">
        <f t="shared" si="0"/>
        <v>6.6575076349571658</v>
      </c>
      <c r="G19" s="1602">
        <f>Summaries!F81*1000</f>
        <v>12063800</v>
      </c>
      <c r="H19" s="85">
        <f t="shared" si="4"/>
        <v>-1.023095540878697</v>
      </c>
      <c r="I19" s="1602">
        <f>Summaries!G81*1000</f>
        <v>12289000</v>
      </c>
      <c r="J19" s="2157">
        <f>Summaries!H81*1000</f>
        <v>12590700</v>
      </c>
      <c r="K19" s="2157">
        <f>Summaries!I81*1000</f>
        <v>13169700</v>
      </c>
      <c r="L19" s="2157">
        <f>Summaries!J81*1000</f>
        <v>13275500</v>
      </c>
      <c r="M19" s="2157">
        <f>Summaries!K81*1000</f>
        <v>13681100</v>
      </c>
      <c r="N19" s="2157">
        <f>Summaries!L81*1000</f>
        <v>14011100</v>
      </c>
      <c r="O19" s="2157">
        <f>Summaries!M81*1000</f>
        <v>14703800</v>
      </c>
      <c r="P19" s="2157">
        <f>Summaries!N81*1000</f>
        <v>14802700</v>
      </c>
      <c r="Q19" s="2157">
        <f>Summaries!O81*1000</f>
        <v>15198400</v>
      </c>
      <c r="R19" s="1922">
        <f>Summaries!P81*1000</f>
        <v>15613600</v>
      </c>
      <c r="T19" s="36"/>
    </row>
    <row r="20" spans="1:20" s="1" customFormat="1" x14ac:dyDescent="0.2">
      <c r="A20" s="1926">
        <f>SUM(A15:A19)</f>
        <v>80696500</v>
      </c>
      <c r="B20" s="2158">
        <f>SUM(B15:B19)</f>
        <v>78267600</v>
      </c>
      <c r="C20" s="818">
        <f>SUM(C15:C19)</f>
        <v>82439900</v>
      </c>
      <c r="D20" s="2129" t="s">
        <v>752</v>
      </c>
      <c r="E20" s="818">
        <f>SUM(E15:E19)</f>
        <v>78930900</v>
      </c>
      <c r="F20" s="126">
        <f>IF(B20=E20,0,IF(B20=0,100,(E20-B20)/B20*100))</f>
        <v>0.84747711696794081</v>
      </c>
      <c r="G20" s="818">
        <f>SUM(G15:G19)</f>
        <v>84856700</v>
      </c>
      <c r="H20" s="126">
        <f t="shared" ref="H20" si="5">IF(E20=G20,0,IF(E20=0,100,(G20-E20)/E20*100))</f>
        <v>7.5075794143991761</v>
      </c>
      <c r="I20" s="818">
        <f t="shared" ref="I20:Q20" si="6">SUM(I15:I19)</f>
        <v>83420200</v>
      </c>
      <c r="J20" s="2158">
        <f t="shared" si="6"/>
        <v>85380100</v>
      </c>
      <c r="K20" s="2158">
        <f t="shared" si="6"/>
        <v>86817200</v>
      </c>
      <c r="L20" s="2158">
        <f t="shared" si="6"/>
        <v>88640900</v>
      </c>
      <c r="M20" s="2158">
        <f t="shared" si="6"/>
        <v>90243700</v>
      </c>
      <c r="N20" s="2158">
        <f t="shared" si="6"/>
        <v>92113800</v>
      </c>
      <c r="O20" s="2158">
        <f t="shared" si="6"/>
        <v>94244100</v>
      </c>
      <c r="P20" s="2158">
        <f t="shared" si="6"/>
        <v>95723400</v>
      </c>
      <c r="Q20" s="2158">
        <f t="shared" si="6"/>
        <v>97595400</v>
      </c>
      <c r="R20" s="1925">
        <f t="shared" ref="R20" si="7">SUM(R15:R19)</f>
        <v>99566600</v>
      </c>
      <c r="T20" s="36"/>
    </row>
    <row r="21" spans="1:20" s="1" customFormat="1" x14ac:dyDescent="0.2">
      <c r="A21" s="1283"/>
      <c r="B21" s="48"/>
      <c r="C21" s="115"/>
      <c r="D21" s="2129"/>
      <c r="E21" s="115"/>
      <c r="F21" s="85"/>
      <c r="G21" s="115"/>
      <c r="H21" s="85"/>
      <c r="I21" s="115"/>
      <c r="J21" s="48"/>
      <c r="K21" s="48"/>
      <c r="L21" s="48"/>
      <c r="M21" s="48"/>
      <c r="N21" s="48"/>
      <c r="O21" s="48"/>
      <c r="P21" s="48"/>
      <c r="Q21" s="48"/>
      <c r="R21" s="1846"/>
      <c r="T21" s="36"/>
    </row>
    <row r="22" spans="1:20" s="1" customFormat="1" x14ac:dyDescent="0.2">
      <c r="A22" s="1821">
        <f>A12-A20</f>
        <v>-9523400</v>
      </c>
      <c r="B22" s="63">
        <f>B12-B20</f>
        <v>-3408500</v>
      </c>
      <c r="C22" s="92">
        <f>C12-C20</f>
        <v>-4184000</v>
      </c>
      <c r="D22" s="2129" t="s">
        <v>3304</v>
      </c>
      <c r="E22" s="92">
        <f>E12-E20</f>
        <v>8290000</v>
      </c>
      <c r="F22" s="126">
        <f>IF(B22=E22,0,IF(B22=0,100,(E22-B22)/B22*100))</f>
        <v>-343.21549068505203</v>
      </c>
      <c r="G22" s="92">
        <f>G12-G20</f>
        <v>-2161500</v>
      </c>
      <c r="H22" s="220">
        <f>IF(E22=G22,0,IF(E22=0,100,(G22-E22)/E22*100))</f>
        <v>-126.07358262967429</v>
      </c>
      <c r="I22" s="92">
        <f t="shared" ref="I22:Q22" si="8">I12-I20</f>
        <v>155600</v>
      </c>
      <c r="J22" s="63">
        <f t="shared" si="8"/>
        <v>434900</v>
      </c>
      <c r="K22" s="63">
        <f t="shared" si="8"/>
        <v>742000</v>
      </c>
      <c r="L22" s="63">
        <f t="shared" si="8"/>
        <v>1168500</v>
      </c>
      <c r="M22" s="63">
        <f t="shared" si="8"/>
        <v>1762700</v>
      </c>
      <c r="N22" s="63">
        <f t="shared" si="8"/>
        <v>2364300</v>
      </c>
      <c r="O22" s="63">
        <f t="shared" si="8"/>
        <v>2660900</v>
      </c>
      <c r="P22" s="63">
        <f t="shared" si="8"/>
        <v>3819400</v>
      </c>
      <c r="Q22" s="63">
        <f t="shared" si="8"/>
        <v>4817500</v>
      </c>
      <c r="R22" s="1252">
        <f t="shared" ref="R22" si="9">R12-R20</f>
        <v>5781700</v>
      </c>
      <c r="T22" s="36"/>
    </row>
    <row r="23" spans="1:20" s="1" customFormat="1" ht="13.5" thickBot="1" x14ac:dyDescent="0.25">
      <c r="A23" s="1869"/>
      <c r="B23" s="1870"/>
      <c r="C23" s="2151"/>
      <c r="D23" s="2160"/>
      <c r="E23" s="2151"/>
      <c r="F23" s="1522"/>
      <c r="G23" s="2151"/>
      <c r="H23" s="1522"/>
      <c r="I23" s="2151"/>
      <c r="J23" s="1870"/>
      <c r="K23" s="1870"/>
      <c r="L23" s="1870"/>
      <c r="M23" s="1870"/>
      <c r="N23" s="1870"/>
      <c r="O23" s="1870"/>
      <c r="P23" s="1870"/>
      <c r="Q23" s="1870"/>
      <c r="R23" s="2152"/>
    </row>
    <row r="24" spans="1:20" s="1" customFormat="1" x14ac:dyDescent="0.2">
      <c r="A24" s="115"/>
      <c r="B24" s="115"/>
      <c r="C24" s="115"/>
      <c r="D24" s="2148"/>
      <c r="E24" s="115"/>
      <c r="F24" s="70"/>
      <c r="G24" s="115"/>
      <c r="H24" s="70"/>
      <c r="I24" s="115"/>
      <c r="J24" s="115"/>
      <c r="K24" s="115"/>
      <c r="L24" s="115"/>
      <c r="M24" s="115"/>
      <c r="N24" s="115"/>
      <c r="O24" s="115"/>
      <c r="P24" s="115"/>
      <c r="Q24" s="115"/>
      <c r="R24" s="115"/>
    </row>
    <row r="25" spans="1:20" s="1" customFormat="1" x14ac:dyDescent="0.2">
      <c r="A25" s="115"/>
      <c r="B25" s="115"/>
      <c r="C25" s="115"/>
      <c r="D25" s="2148"/>
      <c r="E25" s="115"/>
      <c r="F25" s="70"/>
      <c r="G25" s="115"/>
      <c r="H25" s="70"/>
      <c r="I25" s="115"/>
      <c r="J25" s="115"/>
      <c r="K25" s="115"/>
      <c r="L25" s="115"/>
      <c r="M25" s="115"/>
      <c r="N25" s="115"/>
      <c r="O25" s="115"/>
      <c r="P25" s="115"/>
      <c r="Q25" s="115"/>
      <c r="R25" s="115"/>
    </row>
    <row r="26" spans="1:20" s="1250" customFormat="1" ht="13.5" thickBot="1" x14ac:dyDescent="0.25">
      <c r="A26" s="115"/>
      <c r="B26" s="115"/>
      <c r="C26" s="115"/>
      <c r="D26" s="2148"/>
      <c r="E26" s="115"/>
      <c r="F26" s="70"/>
      <c r="G26" s="115"/>
      <c r="H26" s="70"/>
      <c r="I26" s="115"/>
      <c r="J26" s="115"/>
      <c r="K26" s="115"/>
      <c r="L26" s="115"/>
      <c r="M26" s="115"/>
      <c r="N26" s="115"/>
      <c r="O26" s="115"/>
      <c r="P26" s="115"/>
      <c r="Q26" s="115"/>
      <c r="R26" s="115"/>
    </row>
    <row r="27" spans="1:20" s="2146" customFormat="1" x14ac:dyDescent="0.2">
      <c r="A27" s="1863"/>
      <c r="B27" s="1600"/>
      <c r="C27" s="1600"/>
      <c r="D27" s="2145"/>
      <c r="E27" s="1600"/>
      <c r="F27" s="2153"/>
      <c r="G27" s="1600"/>
      <c r="H27" s="2153"/>
      <c r="I27" s="1600"/>
      <c r="J27" s="1600"/>
      <c r="K27" s="1600"/>
      <c r="L27" s="1600"/>
      <c r="M27" s="1600"/>
      <c r="N27" s="1600"/>
      <c r="O27" s="1600"/>
      <c r="P27" s="1600"/>
      <c r="Q27" s="1600"/>
      <c r="R27" s="1917"/>
    </row>
    <row r="28" spans="1:20" s="1" customFormat="1" x14ac:dyDescent="0.2">
      <c r="A28" s="2704" t="s">
        <v>11974</v>
      </c>
      <c r="B28" s="2705"/>
      <c r="C28" s="2705"/>
      <c r="D28" s="2705"/>
      <c r="E28" s="2705"/>
      <c r="F28" s="2705"/>
      <c r="G28" s="2705"/>
      <c r="H28" s="2705"/>
      <c r="I28" s="2705"/>
      <c r="J28" s="2705"/>
      <c r="K28" s="2705"/>
      <c r="L28" s="2705"/>
      <c r="M28" s="2705"/>
      <c r="N28" s="2705"/>
      <c r="O28" s="2705"/>
      <c r="P28" s="2705"/>
      <c r="Q28" s="2705"/>
      <c r="R28" s="2706"/>
    </row>
    <row r="29" spans="1:20" s="2146" customFormat="1" ht="13.5" thickBot="1" x14ac:dyDescent="0.25">
      <c r="A29" s="1857"/>
      <c r="B29" s="1601"/>
      <c r="C29" s="1601"/>
      <c r="D29" s="2147"/>
      <c r="E29" s="1601"/>
      <c r="F29" s="2154"/>
      <c r="G29" s="1601"/>
      <c r="H29" s="2161"/>
      <c r="I29" s="1601"/>
      <c r="J29" s="1601"/>
      <c r="K29" s="1601"/>
      <c r="L29" s="1601"/>
      <c r="M29" s="1601"/>
      <c r="N29" s="1601"/>
      <c r="O29" s="1601"/>
      <c r="P29" s="1601"/>
      <c r="Q29" s="1601"/>
      <c r="R29" s="1862"/>
    </row>
    <row r="30" spans="1:20" s="1250" customFormat="1" x14ac:dyDescent="0.2">
      <c r="A30" s="2724" t="s">
        <v>1824</v>
      </c>
      <c r="B30" s="2725"/>
      <c r="C30" s="2735"/>
      <c r="D30" s="2159" t="s">
        <v>4478</v>
      </c>
      <c r="E30" s="2736" t="s">
        <v>2215</v>
      </c>
      <c r="F30" s="2725"/>
      <c r="G30" s="2725"/>
      <c r="H30" s="2725"/>
      <c r="I30" s="2725"/>
      <c r="J30" s="2725"/>
      <c r="K30" s="2725"/>
      <c r="L30" s="2725"/>
      <c r="M30" s="2725"/>
      <c r="N30" s="2725"/>
      <c r="O30" s="2725"/>
      <c r="P30" s="2725"/>
      <c r="Q30" s="2725"/>
      <c r="R30" s="2725"/>
    </row>
    <row r="31" spans="1:20" ht="13.5" thickBot="1" x14ac:dyDescent="0.25">
      <c r="A31" s="1835" t="str">
        <f>Summaries!Q68</f>
        <v>2013/14</v>
      </c>
      <c r="B31" s="2156" t="str">
        <f>Summaries!R68</f>
        <v>2014/15</v>
      </c>
      <c r="C31" s="2156" t="str">
        <f>Summaries!S68</f>
        <v>2015/16</v>
      </c>
      <c r="D31" s="2162"/>
      <c r="E31" s="2156" t="str">
        <f>Summaries!T68</f>
        <v>2016/17</v>
      </c>
      <c r="F31" s="2156" t="str">
        <f>F5</f>
        <v>%</v>
      </c>
      <c r="G31" s="2156" t="str">
        <f>Summaries!U68</f>
        <v>2017/18</v>
      </c>
      <c r="H31" s="1441" t="str">
        <f>H5</f>
        <v>%</v>
      </c>
      <c r="I31" s="2156" t="str">
        <f>Summaries!V68</f>
        <v>2018/19</v>
      </c>
      <c r="J31" s="2156" t="str">
        <f>Summaries!W68</f>
        <v>2019/20</v>
      </c>
      <c r="K31" s="2156" t="str">
        <f>Summaries!X68</f>
        <v>2020/21</v>
      </c>
      <c r="L31" s="2156" t="str">
        <f>Summaries!Y68</f>
        <v>2021/22</v>
      </c>
      <c r="M31" s="2156" t="str">
        <f>Summaries!Z68</f>
        <v>2022/23</v>
      </c>
      <c r="N31" s="2156" t="str">
        <f>Summaries!AA68</f>
        <v>2023/24</v>
      </c>
      <c r="O31" s="2156" t="str">
        <f>Summaries!AB68</f>
        <v>2024/25</v>
      </c>
      <c r="P31" s="2156" t="str">
        <f>Summaries!AC68</f>
        <v>2025/26</v>
      </c>
      <c r="Q31" s="2156" t="str">
        <f>Summaries!AD68</f>
        <v>2026/27</v>
      </c>
      <c r="R31" s="2156" t="str">
        <f>Summaries!AE68</f>
        <v>2027/28</v>
      </c>
    </row>
    <row r="32" spans="1:20" s="1" customFormat="1" x14ac:dyDescent="0.2">
      <c r="A32" s="2302"/>
      <c r="B32" s="220"/>
      <c r="C32" s="220"/>
      <c r="D32" s="2148" t="s">
        <v>388</v>
      </c>
      <c r="E32" s="220"/>
      <c r="F32" s="85"/>
      <c r="G32" s="220"/>
      <c r="H32" s="21"/>
      <c r="I32" s="220"/>
      <c r="J32" s="220"/>
      <c r="K32" s="220"/>
      <c r="L32" s="220"/>
      <c r="M32" s="220"/>
      <c r="N32" s="220"/>
      <c r="O32" s="220"/>
      <c r="P32" s="220"/>
      <c r="Q32" s="220"/>
      <c r="R32" s="2304"/>
    </row>
    <row r="33" spans="1:18" x14ac:dyDescent="0.2">
      <c r="A33" s="1923">
        <f>Summaries!Q69*1000</f>
        <v>24301300</v>
      </c>
      <c r="B33" s="2157">
        <f>Summaries!R69*1000</f>
        <v>25256500</v>
      </c>
      <c r="C33" s="2157">
        <f>Summaries!S69*1000</f>
        <v>26633600</v>
      </c>
      <c r="D33" s="2146" t="str">
        <f t="shared" ref="D33:D38" si="10">D7</f>
        <v>Rates and Annual Charges</v>
      </c>
      <c r="E33" s="2157">
        <f>Summaries!T69*1000</f>
        <v>28107400</v>
      </c>
      <c r="F33" s="85">
        <f t="shared" ref="F33:F46" si="11">IF(B33=E33,0,IF(B33=0,100,(E33-B33)/B33*100))</f>
        <v>11.287787302278621</v>
      </c>
      <c r="G33" s="2157">
        <f>Summaries!U69*1000</f>
        <v>28168100</v>
      </c>
      <c r="H33" s="85">
        <f>IF(E33=G33,0,IF(E33=0,100,(G33-E33)/E33*100))</f>
        <v>0.21595736354127382</v>
      </c>
      <c r="I33" s="2157">
        <f>Summaries!V69*1000</f>
        <v>28200200</v>
      </c>
      <c r="J33" s="2157">
        <f>Summaries!W69*1000</f>
        <v>29007500</v>
      </c>
      <c r="K33" s="2157">
        <f>Summaries!X69*1000</f>
        <v>29837500</v>
      </c>
      <c r="L33" s="2157">
        <f>Summaries!Y69*1000</f>
        <v>30691000</v>
      </c>
      <c r="M33" s="2157">
        <f>Summaries!Z69*1000</f>
        <v>31569700</v>
      </c>
      <c r="N33" s="2157">
        <f>Summaries!AA69*1000</f>
        <v>32473200</v>
      </c>
      <c r="O33" s="2157">
        <f>Summaries!AB69*1000</f>
        <v>33402500</v>
      </c>
      <c r="P33" s="2157">
        <f>Summaries!AC69*1000</f>
        <v>34359200</v>
      </c>
      <c r="Q33" s="2157">
        <f>Summaries!AD69*1000</f>
        <v>35342800</v>
      </c>
      <c r="R33" s="1922">
        <f>Summaries!AE69*1000</f>
        <v>36355300</v>
      </c>
    </row>
    <row r="34" spans="1:18" x14ac:dyDescent="0.2">
      <c r="A34" s="1923">
        <f>Summaries!Q70*1000</f>
        <v>9283800</v>
      </c>
      <c r="B34" s="2157">
        <f>Summaries!R70*1000</f>
        <v>9850700</v>
      </c>
      <c r="C34" s="2157">
        <f>Summaries!S70*1000</f>
        <v>10785800</v>
      </c>
      <c r="D34" s="2146" t="str">
        <f t="shared" si="10"/>
        <v>User Charges and Fees</v>
      </c>
      <c r="E34" s="2157">
        <f>Summaries!T70*1000</f>
        <v>10998500</v>
      </c>
      <c r="F34" s="85">
        <f t="shared" si="11"/>
        <v>11.651963819830064</v>
      </c>
      <c r="G34" s="2157">
        <f>Summaries!U70*1000</f>
        <v>10705500</v>
      </c>
      <c r="H34" s="85">
        <f t="shared" ref="H34:H38" si="12">IF(E34=G34,0,IF(E34=0,100,(G34-E34)/E34*100))</f>
        <v>-2.6639996363140428</v>
      </c>
      <c r="I34" s="2157">
        <f>Summaries!V70*1000</f>
        <v>11016700</v>
      </c>
      <c r="J34" s="2157">
        <f>Summaries!W70*1000</f>
        <v>11368400</v>
      </c>
      <c r="K34" s="2157">
        <f>Summaries!X70*1000</f>
        <v>11615200</v>
      </c>
      <c r="L34" s="2157">
        <f>Summaries!Y70*1000</f>
        <v>11865000</v>
      </c>
      <c r="M34" s="2157">
        <f>Summaries!Z70*1000</f>
        <v>12123000</v>
      </c>
      <c r="N34" s="2157">
        <f>Summaries!AA70*1000</f>
        <v>12386500</v>
      </c>
      <c r="O34" s="2157">
        <f>Summaries!AB70*1000</f>
        <v>12657500</v>
      </c>
      <c r="P34" s="2157">
        <f>Summaries!AC70*1000</f>
        <v>12932500</v>
      </c>
      <c r="Q34" s="2157">
        <f>Summaries!AD70*1000</f>
        <v>13216500</v>
      </c>
      <c r="R34" s="1922">
        <f>Summaries!AE70*1000</f>
        <v>13492300</v>
      </c>
    </row>
    <row r="35" spans="1:18" x14ac:dyDescent="0.2">
      <c r="A35" s="1923">
        <f>Summaries!Q71*1000</f>
        <v>2105100</v>
      </c>
      <c r="B35" s="2157">
        <f>Summaries!R71*1000</f>
        <v>1449300</v>
      </c>
      <c r="C35" s="2157">
        <f>Summaries!S71*1000</f>
        <v>1298100</v>
      </c>
      <c r="D35" s="2146" t="str">
        <f t="shared" si="10"/>
        <v>Investment Revenues</v>
      </c>
      <c r="E35" s="2157">
        <f>Summaries!T71*1000</f>
        <v>1462800</v>
      </c>
      <c r="F35" s="85">
        <f t="shared" si="11"/>
        <v>0.93148416476919893</v>
      </c>
      <c r="G35" s="2157">
        <f>Summaries!U71*1000</f>
        <v>982900</v>
      </c>
      <c r="H35" s="85">
        <f t="shared" si="12"/>
        <v>-32.806945583811867</v>
      </c>
      <c r="I35" s="2157">
        <f>Summaries!V71*1000</f>
        <v>1116800</v>
      </c>
      <c r="J35" s="2157">
        <f>Summaries!W71*1000</f>
        <v>1300400</v>
      </c>
      <c r="K35" s="2157">
        <f>Summaries!X71*1000</f>
        <v>1043099.9999999999</v>
      </c>
      <c r="L35" s="2157">
        <f>Summaries!Y71*1000</f>
        <v>1014800</v>
      </c>
      <c r="M35" s="2157">
        <f>Summaries!Z71*1000</f>
        <v>1042599.9999999999</v>
      </c>
      <c r="N35" s="2157">
        <f>Summaries!AA71*1000</f>
        <v>1139900</v>
      </c>
      <c r="O35" s="2157">
        <f>Summaries!AB71*1000</f>
        <v>1231300</v>
      </c>
      <c r="P35" s="2157">
        <f>Summaries!AC71*1000</f>
        <v>1394700</v>
      </c>
      <c r="Q35" s="2157">
        <f>Summaries!AD71*1000</f>
        <v>1536700</v>
      </c>
      <c r="R35" s="1922">
        <f>Summaries!AE71*1000</f>
        <v>1671200</v>
      </c>
    </row>
    <row r="36" spans="1:18" x14ac:dyDescent="0.2">
      <c r="A36" s="1923">
        <f>Summaries!Q72*1000</f>
        <v>5779700</v>
      </c>
      <c r="B36" s="2157">
        <f>Summaries!R72*1000</f>
        <v>7529300</v>
      </c>
      <c r="C36" s="2157">
        <f>Summaries!S72*1000</f>
        <v>9075200</v>
      </c>
      <c r="D36" s="2146" t="str">
        <f t="shared" si="10"/>
        <v>Operating Grants</v>
      </c>
      <c r="E36" s="2157">
        <f>Summaries!T72*1000</f>
        <v>11718300</v>
      </c>
      <c r="F36" s="85">
        <f t="shared" si="11"/>
        <v>55.635982096609247</v>
      </c>
      <c r="G36" s="2157">
        <f>Summaries!U72*1000</f>
        <v>7750900</v>
      </c>
      <c r="H36" s="85">
        <f t="shared" si="12"/>
        <v>-33.856446754222027</v>
      </c>
      <c r="I36" s="2157">
        <f>Summaries!V72*1000</f>
        <v>7244700</v>
      </c>
      <c r="J36" s="2157">
        <f>Summaries!W72*1000</f>
        <v>7476700</v>
      </c>
      <c r="K36" s="2157">
        <f>Summaries!X72*1000</f>
        <v>7480600</v>
      </c>
      <c r="L36" s="2157">
        <f>Summaries!Y72*1000</f>
        <v>7585500</v>
      </c>
      <c r="M36" s="2157">
        <f>Summaries!Z72*1000</f>
        <v>7694800</v>
      </c>
      <c r="N36" s="2157">
        <f>Summaries!AA72*1000</f>
        <v>7840100</v>
      </c>
      <c r="O36" s="2157">
        <f>Summaries!AB72*1000</f>
        <v>7998300</v>
      </c>
      <c r="P36" s="2157">
        <f>Summaries!AC72*1000</f>
        <v>8162300</v>
      </c>
      <c r="Q36" s="2157">
        <f>Summaries!AD72*1000</f>
        <v>8329799.9999999991</v>
      </c>
      <c r="R36" s="1922">
        <f>Summaries!AE72*1000</f>
        <v>8500900</v>
      </c>
    </row>
    <row r="37" spans="1:18" x14ac:dyDescent="0.2">
      <c r="A37" s="1923">
        <f>Summaries!Q73*1000</f>
        <v>4577300</v>
      </c>
      <c r="B37" s="2157">
        <f>Summaries!R73*1000</f>
        <v>4544100</v>
      </c>
      <c r="C37" s="2157">
        <f>Summaries!S73*1000</f>
        <v>2923300</v>
      </c>
      <c r="D37" s="2146" t="str">
        <f t="shared" si="10"/>
        <v>Other Revenues</v>
      </c>
      <c r="E37" s="2157">
        <f>Summaries!T73*1000</f>
        <v>4651000</v>
      </c>
      <c r="F37" s="85">
        <f t="shared" si="11"/>
        <v>2.3525010453115027</v>
      </c>
      <c r="G37" s="2157">
        <f>Summaries!U73*1000</f>
        <v>5091000</v>
      </c>
      <c r="H37" s="85">
        <f t="shared" si="12"/>
        <v>9.4603311115889053</v>
      </c>
      <c r="I37" s="2157">
        <f>Summaries!V73*1000</f>
        <v>5183500</v>
      </c>
      <c r="J37" s="2157">
        <f>Summaries!W73*1000</f>
        <v>5212200</v>
      </c>
      <c r="K37" s="2157">
        <f>Summaries!X73*1000</f>
        <v>5373100</v>
      </c>
      <c r="L37" s="2157">
        <f>Summaries!Y73*1000</f>
        <v>5512700</v>
      </c>
      <c r="M37" s="2157">
        <f>Summaries!Z73*1000</f>
        <v>5656700</v>
      </c>
      <c r="N37" s="2157">
        <f>Summaries!AA73*1000</f>
        <v>5893400</v>
      </c>
      <c r="O37" s="2157">
        <f>Summaries!AB73*1000</f>
        <v>5954700</v>
      </c>
      <c r="P37" s="2157">
        <f>Summaries!AC73*1000</f>
        <v>6109800</v>
      </c>
      <c r="Q37" s="2157">
        <f>Summaries!AD73*1000</f>
        <v>6268900</v>
      </c>
      <c r="R37" s="1922">
        <f>Summaries!AE73*1000</f>
        <v>6432200</v>
      </c>
    </row>
    <row r="38" spans="1:18" x14ac:dyDescent="0.2">
      <c r="A38" s="1821">
        <f>SUM(A33:A37)</f>
        <v>46047200</v>
      </c>
      <c r="B38" s="63">
        <f>SUM(B33:B37)</f>
        <v>48629900</v>
      </c>
      <c r="C38" s="63">
        <f>SUM(C33:C37)</f>
        <v>50716000</v>
      </c>
      <c r="D38" s="2149" t="str">
        <f t="shared" si="10"/>
        <v>Sub Total</v>
      </c>
      <c r="E38" s="63">
        <f>SUM(E33:E37)</f>
        <v>56938000</v>
      </c>
      <c r="F38" s="126">
        <f t="shared" si="11"/>
        <v>17.084345227935898</v>
      </c>
      <c r="G38" s="63">
        <f>SUM(G33:G37)</f>
        <v>52698400</v>
      </c>
      <c r="H38" s="126">
        <f t="shared" si="12"/>
        <v>-7.4459938880887977</v>
      </c>
      <c r="I38" s="63">
        <f t="shared" ref="I38:Q38" si="13">SUM(I33:I37)</f>
        <v>52761900</v>
      </c>
      <c r="J38" s="63">
        <f t="shared" si="13"/>
        <v>54365200</v>
      </c>
      <c r="K38" s="63">
        <f t="shared" si="13"/>
        <v>55349500</v>
      </c>
      <c r="L38" s="63">
        <f t="shared" si="13"/>
        <v>56669000</v>
      </c>
      <c r="M38" s="63">
        <f t="shared" si="13"/>
        <v>58086800</v>
      </c>
      <c r="N38" s="63">
        <f t="shared" si="13"/>
        <v>59733100</v>
      </c>
      <c r="O38" s="63">
        <f t="shared" si="13"/>
        <v>61244300</v>
      </c>
      <c r="P38" s="63">
        <f t="shared" si="13"/>
        <v>62958500</v>
      </c>
      <c r="Q38" s="63">
        <f t="shared" si="13"/>
        <v>64694700</v>
      </c>
      <c r="R38" s="1252">
        <f t="shared" ref="R38" si="14">SUM(R33:R37)</f>
        <v>66451900</v>
      </c>
    </row>
    <row r="39" spans="1:18" x14ac:dyDescent="0.2">
      <c r="A39" s="1283"/>
      <c r="B39" s="48"/>
      <c r="C39" s="48"/>
      <c r="D39" s="2146"/>
      <c r="E39" s="48"/>
      <c r="F39" s="85"/>
      <c r="G39" s="48"/>
      <c r="H39" s="48"/>
      <c r="I39" s="48"/>
      <c r="J39" s="48"/>
      <c r="K39" s="48"/>
      <c r="L39" s="48"/>
      <c r="M39" s="48"/>
      <c r="N39" s="48"/>
      <c r="O39" s="48"/>
      <c r="P39" s="48"/>
      <c r="Q39" s="48"/>
      <c r="R39" s="1846"/>
    </row>
    <row r="40" spans="1:18" x14ac:dyDescent="0.2">
      <c r="A40" s="1283"/>
      <c r="B40" s="48"/>
      <c r="C40" s="48"/>
      <c r="D40" s="2146" t="str">
        <f t="shared" ref="D40:D46" si="15">D14</f>
        <v>Operating Expenses</v>
      </c>
      <c r="E40" s="48"/>
      <c r="F40" s="85"/>
      <c r="G40" s="48"/>
      <c r="H40" s="48"/>
      <c r="I40" s="48"/>
      <c r="J40" s="48"/>
      <c r="K40" s="48"/>
      <c r="L40" s="48"/>
      <c r="M40" s="48"/>
      <c r="N40" s="48"/>
      <c r="O40" s="48"/>
      <c r="P40" s="48"/>
      <c r="Q40" s="48"/>
      <c r="R40" s="1846"/>
    </row>
    <row r="41" spans="1:18" x14ac:dyDescent="0.2">
      <c r="A41" s="1923">
        <f>Summaries!Q77*1000</f>
        <v>14771400</v>
      </c>
      <c r="B41" s="2157">
        <f>Summaries!R77*1000</f>
        <v>15453100</v>
      </c>
      <c r="C41" s="2157">
        <f>Summaries!S77*1000</f>
        <v>16138000</v>
      </c>
      <c r="D41" s="2146" t="str">
        <f t="shared" si="15"/>
        <v>Employee Costs</v>
      </c>
      <c r="E41" s="2157">
        <f>Summaries!T77*1000</f>
        <v>15939000</v>
      </c>
      <c r="F41" s="85">
        <f t="shared" si="11"/>
        <v>3.1443529130077459</v>
      </c>
      <c r="G41" s="2157">
        <f>Summaries!U77*1000</f>
        <v>16434000</v>
      </c>
      <c r="H41" s="85">
        <f t="shared" ref="H41:H46" si="16">IF(E41=G41,0,IF(E41=0,100,(G41-E41)/E41*100))</f>
        <v>3.1055900621118013</v>
      </c>
      <c r="I41" s="2157">
        <f>Summaries!V77*1000</f>
        <v>16945000</v>
      </c>
      <c r="J41" s="2157">
        <f>Summaries!W77*1000</f>
        <v>17472000</v>
      </c>
      <c r="K41" s="2157">
        <f>Summaries!X77*1000</f>
        <v>18015000</v>
      </c>
      <c r="L41" s="2157">
        <f>Summaries!Y77*1000</f>
        <v>18575000</v>
      </c>
      <c r="M41" s="2157">
        <f>Summaries!Z77*1000</f>
        <v>19152000</v>
      </c>
      <c r="N41" s="2157">
        <f>Summaries!AA77*1000</f>
        <v>19746000</v>
      </c>
      <c r="O41" s="2157">
        <f>Summaries!AB77*1000</f>
        <v>20359000</v>
      </c>
      <c r="P41" s="2157">
        <f>Summaries!AC77*1000</f>
        <v>20992000</v>
      </c>
      <c r="Q41" s="2157">
        <f>Summaries!AD77*1000</f>
        <v>21644000</v>
      </c>
      <c r="R41" s="1922">
        <f>Summaries!AE77*1000</f>
        <v>22316000</v>
      </c>
    </row>
    <row r="42" spans="1:18" x14ac:dyDescent="0.2">
      <c r="A42" s="1923">
        <f>Summaries!Q78*1000</f>
        <v>15428200</v>
      </c>
      <c r="B42" s="2157">
        <f>Summaries!R78*1000</f>
        <v>14881700</v>
      </c>
      <c r="C42" s="2157">
        <f>Summaries!S78*1000</f>
        <v>17592600</v>
      </c>
      <c r="D42" s="2146" t="str">
        <f t="shared" si="15"/>
        <v>Materials and Contracts</v>
      </c>
      <c r="E42" s="2157">
        <f>Summaries!T78*1000</f>
        <v>16790800</v>
      </c>
      <c r="F42" s="85">
        <f t="shared" si="11"/>
        <v>12.828507495783411</v>
      </c>
      <c r="G42" s="2157">
        <f>Summaries!U78*1000</f>
        <v>19391000</v>
      </c>
      <c r="H42" s="85">
        <f t="shared" si="16"/>
        <v>15.485861305000356</v>
      </c>
      <c r="I42" s="2157">
        <f>Summaries!V78*1000</f>
        <v>16855200</v>
      </c>
      <c r="J42" s="2157">
        <f>Summaries!W78*1000</f>
        <v>17501900</v>
      </c>
      <c r="K42" s="2157">
        <f>Summaries!X78*1000</f>
        <v>17487400</v>
      </c>
      <c r="L42" s="2157">
        <f>Summaries!Y78*1000</f>
        <v>17902500</v>
      </c>
      <c r="M42" s="2157">
        <f>Summaries!Z78*1000</f>
        <v>18083500</v>
      </c>
      <c r="N42" s="2157">
        <f>Summaries!AA78*1000</f>
        <v>18618600</v>
      </c>
      <c r="O42" s="2157">
        <f>Summaries!AB78*1000</f>
        <v>18944500</v>
      </c>
      <c r="P42" s="2157">
        <f>Summaries!AC78*1000</f>
        <v>19222100</v>
      </c>
      <c r="Q42" s="2157">
        <f>Summaries!AD78*1000</f>
        <v>19458200</v>
      </c>
      <c r="R42" s="1922">
        <f>Summaries!AE78*1000</f>
        <v>19778300</v>
      </c>
    </row>
    <row r="43" spans="1:18" x14ac:dyDescent="0.2">
      <c r="A43" s="1923">
        <f>Summaries!Q79*1000</f>
        <v>1679000</v>
      </c>
      <c r="B43" s="2157">
        <f>Summaries!R79*1000</f>
        <v>1564600</v>
      </c>
      <c r="C43" s="2157">
        <f>Summaries!S79*1000</f>
        <v>1334300</v>
      </c>
      <c r="D43" s="2146" t="str">
        <f t="shared" si="15"/>
        <v>Borrowing Costs</v>
      </c>
      <c r="E43" s="2157">
        <f>Summaries!T79*1000</f>
        <v>1074400</v>
      </c>
      <c r="F43" s="85">
        <f t="shared" si="11"/>
        <v>-31.33069155055605</v>
      </c>
      <c r="G43" s="2157">
        <f>Summaries!U79*1000</f>
        <v>1370500</v>
      </c>
      <c r="H43" s="85">
        <f t="shared" si="16"/>
        <v>27.55956813104989</v>
      </c>
      <c r="I43" s="2157">
        <f>Summaries!V79*1000</f>
        <v>1295000</v>
      </c>
      <c r="J43" s="2157">
        <f>Summaries!W79*1000</f>
        <v>1225600</v>
      </c>
      <c r="K43" s="2157">
        <f>Summaries!X79*1000</f>
        <v>1050700</v>
      </c>
      <c r="L43" s="2157">
        <f>Summaries!Y79*1000</f>
        <v>1231400</v>
      </c>
      <c r="M43" s="2157">
        <f>Summaries!Z79*1000</f>
        <v>1060600</v>
      </c>
      <c r="N43" s="2157">
        <f>Summaries!AA79*1000</f>
        <v>933900</v>
      </c>
      <c r="O43" s="2157">
        <f>Summaries!AB79*1000</f>
        <v>832600</v>
      </c>
      <c r="P43" s="2157">
        <f>Summaries!AC79*1000</f>
        <v>748700</v>
      </c>
      <c r="Q43" s="2157">
        <f>Summaries!AD79*1000</f>
        <v>685900</v>
      </c>
      <c r="R43" s="1922">
        <f>Summaries!AE79*1000</f>
        <v>622000</v>
      </c>
    </row>
    <row r="44" spans="1:18" x14ac:dyDescent="0.2">
      <c r="A44" s="1923">
        <f>Summaries!Q80*1000</f>
        <v>15865700</v>
      </c>
      <c r="B44" s="2157">
        <f>Summaries!R80*1000</f>
        <v>14144300</v>
      </c>
      <c r="C44" s="2157">
        <f>Summaries!S80*1000</f>
        <v>14166800</v>
      </c>
      <c r="D44" s="2146" t="str">
        <f t="shared" si="15"/>
        <v>Depreciation</v>
      </c>
      <c r="E44" s="2157">
        <f>Summaries!T80*1000</f>
        <v>11005700</v>
      </c>
      <c r="F44" s="85">
        <f t="shared" si="11"/>
        <v>-22.189857398386629</v>
      </c>
      <c r="G44" s="2157">
        <f>Summaries!U80*1000</f>
        <v>13383900</v>
      </c>
      <c r="H44" s="85">
        <f t="shared" si="16"/>
        <v>21.608802711322316</v>
      </c>
      <c r="I44" s="2157">
        <f>Summaries!V80*1000</f>
        <v>13754800</v>
      </c>
      <c r="J44" s="2157">
        <f>Summaries!W80*1000</f>
        <v>14122400</v>
      </c>
      <c r="K44" s="2157">
        <f>Summaries!X80*1000</f>
        <v>14406200</v>
      </c>
      <c r="L44" s="2157">
        <f>Summaries!Y80*1000</f>
        <v>14695800</v>
      </c>
      <c r="M44" s="2157">
        <f>Summaries!Z80*1000</f>
        <v>14991200</v>
      </c>
      <c r="N44" s="2157">
        <f>Summaries!AA80*1000</f>
        <v>15292300</v>
      </c>
      <c r="O44" s="2157">
        <f>Summaries!AB80*1000</f>
        <v>15599600</v>
      </c>
      <c r="P44" s="2157">
        <f>Summaries!AC80*1000</f>
        <v>15913100</v>
      </c>
      <c r="Q44" s="2157">
        <f>Summaries!AD80*1000</f>
        <v>16232700</v>
      </c>
      <c r="R44" s="1922">
        <f>Summaries!AE80*1000</f>
        <v>16558400.000000002</v>
      </c>
    </row>
    <row r="45" spans="1:18" x14ac:dyDescent="0.2">
      <c r="A45" s="1923">
        <f>Summaries!Q81*1000</f>
        <v>4927500</v>
      </c>
      <c r="B45" s="2157">
        <f>Summaries!R81*1000</f>
        <v>4897100</v>
      </c>
      <c r="C45" s="2157">
        <f>Summaries!S81*1000</f>
        <v>5094400</v>
      </c>
      <c r="D45" s="2146" t="str">
        <f t="shared" si="15"/>
        <v>Other Expenses</v>
      </c>
      <c r="E45" s="2157">
        <f>Summaries!T81*1000</f>
        <v>5283600</v>
      </c>
      <c r="F45" s="85">
        <f t="shared" si="11"/>
        <v>7.8924261297502598</v>
      </c>
      <c r="G45" s="2157">
        <f>Summaries!U81*1000</f>
        <v>5254600</v>
      </c>
      <c r="H45" s="85">
        <f t="shared" si="16"/>
        <v>-0.54886819592701952</v>
      </c>
      <c r="I45" s="2157">
        <f>Summaries!V81*1000</f>
        <v>5404800</v>
      </c>
      <c r="J45" s="2157">
        <f>Summaries!W81*1000</f>
        <v>5545000</v>
      </c>
      <c r="K45" s="2157">
        <f>Summaries!X81*1000</f>
        <v>5959000</v>
      </c>
      <c r="L45" s="2157">
        <f>Summaries!Y81*1000</f>
        <v>5836200</v>
      </c>
      <c r="M45" s="2157">
        <f>Summaries!Z81*1000</f>
        <v>5986800</v>
      </c>
      <c r="N45" s="2157">
        <f>Summaries!AA81*1000</f>
        <v>6140500</v>
      </c>
      <c r="O45" s="2157">
        <f>Summaries!AB81*1000</f>
        <v>6600300</v>
      </c>
      <c r="P45" s="2157">
        <f>Summaries!AC81*1000</f>
        <v>6459500</v>
      </c>
      <c r="Q45" s="2157">
        <f>Summaries!AD81*1000</f>
        <v>6625700</v>
      </c>
      <c r="R45" s="1922">
        <f>Summaries!AE81*1000</f>
        <v>6796000</v>
      </c>
    </row>
    <row r="46" spans="1:18" x14ac:dyDescent="0.2">
      <c r="A46" s="1926">
        <f>SUM(A41:A45)</f>
        <v>52671800</v>
      </c>
      <c r="B46" s="2158">
        <f>SUM(B41:B45)</f>
        <v>50940800</v>
      </c>
      <c r="C46" s="2158">
        <f>SUM(C41:C45)</f>
        <v>54326100</v>
      </c>
      <c r="D46" s="2146" t="str">
        <f t="shared" si="15"/>
        <v>Sub Total</v>
      </c>
      <c r="E46" s="2158">
        <f>SUM(E41:E45)</f>
        <v>50093500</v>
      </c>
      <c r="F46" s="126">
        <f t="shared" si="11"/>
        <v>-1.6633032853822476</v>
      </c>
      <c r="G46" s="2158">
        <f>SUM(G41:G45)</f>
        <v>55834000</v>
      </c>
      <c r="H46" s="126">
        <f t="shared" si="16"/>
        <v>11.459570602972441</v>
      </c>
      <c r="I46" s="2158">
        <f t="shared" ref="I46:Q46" si="17">SUM(I41:I45)</f>
        <v>54254800</v>
      </c>
      <c r="J46" s="2158">
        <f t="shared" si="17"/>
        <v>55866900</v>
      </c>
      <c r="K46" s="2158">
        <f t="shared" si="17"/>
        <v>56918300</v>
      </c>
      <c r="L46" s="2158">
        <f t="shared" si="17"/>
        <v>58240900</v>
      </c>
      <c r="M46" s="2158">
        <f t="shared" si="17"/>
        <v>59274100</v>
      </c>
      <c r="N46" s="2158">
        <f t="shared" si="17"/>
        <v>60731300</v>
      </c>
      <c r="O46" s="2158">
        <f t="shared" si="17"/>
        <v>62336000</v>
      </c>
      <c r="P46" s="2158">
        <f t="shared" si="17"/>
        <v>63335400</v>
      </c>
      <c r="Q46" s="2158">
        <f t="shared" si="17"/>
        <v>64646500</v>
      </c>
      <c r="R46" s="1925">
        <f t="shared" ref="R46" si="18">SUM(R41:R45)</f>
        <v>66070700</v>
      </c>
    </row>
    <row r="47" spans="1:18" x14ac:dyDescent="0.2">
      <c r="A47" s="1283"/>
      <c r="B47" s="48"/>
      <c r="C47" s="48"/>
      <c r="D47" s="2146"/>
      <c r="E47" s="48"/>
      <c r="F47" s="85"/>
      <c r="G47" s="48"/>
      <c r="H47" s="9"/>
      <c r="I47" s="48"/>
      <c r="J47" s="48"/>
      <c r="K47" s="48"/>
      <c r="L47" s="48"/>
      <c r="M47" s="48"/>
      <c r="N47" s="48"/>
      <c r="O47" s="48"/>
      <c r="P47" s="48"/>
      <c r="Q47" s="48"/>
      <c r="R47" s="1846"/>
    </row>
    <row r="48" spans="1:18" x14ac:dyDescent="0.2">
      <c r="A48" s="1821">
        <f>A38-A46</f>
        <v>-6624600</v>
      </c>
      <c r="B48" s="63">
        <f>B38-B46</f>
        <v>-2310900</v>
      </c>
      <c r="C48" s="63">
        <f>C38-C46</f>
        <v>-3610100</v>
      </c>
      <c r="D48" s="2149" t="str">
        <f>D22</f>
        <v>Result – Surplus/(Deficit)</v>
      </c>
      <c r="E48" s="63">
        <f>E38-E46</f>
        <v>6844500</v>
      </c>
      <c r="F48" s="220">
        <f t="shared" ref="F48" si="19">IF(B48=E48,0,IF(B48=0,100,(E48-B48)/B48*100))</f>
        <v>-396.18330520576399</v>
      </c>
      <c r="G48" s="63">
        <f>G38-G46</f>
        <v>-3135600</v>
      </c>
      <c r="H48" s="220">
        <f>IF(E48=G48,0,IF(E48=0,100,(G48-E48)/E48*100))</f>
        <v>-145.81196581196579</v>
      </c>
      <c r="I48" s="63">
        <f t="shared" ref="I48:Q48" si="20">I38-I46</f>
        <v>-1492900</v>
      </c>
      <c r="J48" s="63">
        <f t="shared" si="20"/>
        <v>-1501700</v>
      </c>
      <c r="K48" s="63">
        <f t="shared" si="20"/>
        <v>-1568800</v>
      </c>
      <c r="L48" s="63">
        <f t="shared" si="20"/>
        <v>-1571900</v>
      </c>
      <c r="M48" s="63">
        <f t="shared" si="20"/>
        <v>-1187300</v>
      </c>
      <c r="N48" s="63">
        <f t="shared" si="20"/>
        <v>-998200</v>
      </c>
      <c r="O48" s="63">
        <f t="shared" si="20"/>
        <v>-1091700</v>
      </c>
      <c r="P48" s="63">
        <f t="shared" si="20"/>
        <v>-376900</v>
      </c>
      <c r="Q48" s="63">
        <f t="shared" si="20"/>
        <v>48200</v>
      </c>
      <c r="R48" s="1252">
        <f t="shared" ref="R48" si="21">R38-R46</f>
        <v>381200</v>
      </c>
    </row>
    <row r="49" spans="1:18" s="2146" customFormat="1" ht="13.5" thickBot="1" x14ac:dyDescent="0.25">
      <c r="A49" s="1857"/>
      <c r="B49" s="1860"/>
      <c r="C49" s="1860"/>
      <c r="D49" s="2147"/>
      <c r="E49" s="1860"/>
      <c r="F49" s="1522"/>
      <c r="G49" s="1860"/>
      <c r="H49" s="1522"/>
      <c r="I49" s="1860"/>
      <c r="J49" s="1860"/>
      <c r="K49" s="1860"/>
      <c r="L49" s="1860"/>
      <c r="M49" s="1860"/>
      <c r="N49" s="1860"/>
      <c r="O49" s="1860"/>
      <c r="P49" s="1860"/>
      <c r="Q49" s="1860"/>
      <c r="R49" s="1862"/>
    </row>
    <row r="50" spans="1:18" s="1250" customFormat="1" x14ac:dyDescent="0.2">
      <c r="A50" s="115"/>
      <c r="B50" s="115"/>
      <c r="C50" s="115"/>
      <c r="D50" s="2148"/>
      <c r="E50" s="115"/>
      <c r="F50" s="70"/>
      <c r="G50" s="115"/>
      <c r="H50" s="70"/>
      <c r="I50" s="115"/>
      <c r="J50" s="115"/>
      <c r="K50" s="115"/>
      <c r="L50" s="115"/>
      <c r="M50" s="115"/>
      <c r="N50" s="115"/>
      <c r="O50" s="115"/>
      <c r="P50" s="115"/>
      <c r="Q50" s="115"/>
      <c r="R50" s="115"/>
    </row>
    <row r="51" spans="1:18" x14ac:dyDescent="0.2">
      <c r="F51" s="70"/>
    </row>
    <row r="52" spans="1:18" x14ac:dyDescent="0.2">
      <c r="F52" s="70"/>
    </row>
    <row r="53" spans="1:18" x14ac:dyDescent="0.2">
      <c r="F53" s="70"/>
    </row>
    <row r="54" spans="1:18" x14ac:dyDescent="0.2">
      <c r="F54" s="70"/>
    </row>
    <row r="55" spans="1:18" x14ac:dyDescent="0.2">
      <c r="F55" s="70"/>
    </row>
    <row r="56" spans="1:18" x14ac:dyDescent="0.2">
      <c r="F56" s="70"/>
    </row>
    <row r="57" spans="1:18" x14ac:dyDescent="0.2">
      <c r="F57" s="70"/>
    </row>
    <row r="58" spans="1:18" x14ac:dyDescent="0.2">
      <c r="F58" s="70"/>
    </row>
    <row r="59" spans="1:18" x14ac:dyDescent="0.2">
      <c r="F59" s="70"/>
    </row>
    <row r="60" spans="1:18" x14ac:dyDescent="0.2">
      <c r="F60" s="70"/>
    </row>
    <row r="61" spans="1:18" x14ac:dyDescent="0.2">
      <c r="F61" s="70"/>
    </row>
    <row r="62" spans="1:18" x14ac:dyDescent="0.2">
      <c r="F62" s="70"/>
    </row>
    <row r="63" spans="1:18" x14ac:dyDescent="0.2">
      <c r="F63" s="70"/>
    </row>
    <row r="64" spans="1:18" x14ac:dyDescent="0.2">
      <c r="F64" s="70"/>
    </row>
    <row r="65" spans="6:6" x14ac:dyDescent="0.2">
      <c r="F65" s="70"/>
    </row>
    <row r="66" spans="6:6" x14ac:dyDescent="0.2">
      <c r="F66" s="70"/>
    </row>
    <row r="67" spans="6:6" x14ac:dyDescent="0.2">
      <c r="F67" s="70"/>
    </row>
    <row r="68" spans="6:6" x14ac:dyDescent="0.2">
      <c r="F68" s="70"/>
    </row>
    <row r="69" spans="6:6" x14ac:dyDescent="0.2">
      <c r="F69" s="70"/>
    </row>
    <row r="70" spans="6:6" x14ac:dyDescent="0.2">
      <c r="F70" s="70"/>
    </row>
    <row r="71" spans="6:6" x14ac:dyDescent="0.2">
      <c r="F71" s="70"/>
    </row>
    <row r="72" spans="6:6" x14ac:dyDescent="0.2">
      <c r="F72" s="70"/>
    </row>
    <row r="73" spans="6:6" x14ac:dyDescent="0.2">
      <c r="F73" s="70"/>
    </row>
    <row r="74" spans="6:6" x14ac:dyDescent="0.2">
      <c r="F74" s="70"/>
    </row>
    <row r="75" spans="6:6" x14ac:dyDescent="0.2">
      <c r="F75" s="70"/>
    </row>
    <row r="76" spans="6:6" x14ac:dyDescent="0.2">
      <c r="F76" s="70"/>
    </row>
    <row r="77" spans="6:6" x14ac:dyDescent="0.2">
      <c r="F77" s="70"/>
    </row>
    <row r="78" spans="6:6" x14ac:dyDescent="0.2">
      <c r="F78" s="70"/>
    </row>
    <row r="79" spans="6:6" x14ac:dyDescent="0.2">
      <c r="F79" s="70"/>
    </row>
    <row r="80" spans="6:6" x14ac:dyDescent="0.2">
      <c r="F80" s="70"/>
    </row>
    <row r="81" spans="6:6" x14ac:dyDescent="0.2">
      <c r="F81" s="70"/>
    </row>
    <row r="82" spans="6:6" x14ac:dyDescent="0.2">
      <c r="F82" s="70"/>
    </row>
    <row r="83" spans="6:6" x14ac:dyDescent="0.2">
      <c r="F83" s="70"/>
    </row>
    <row r="84" spans="6:6" x14ac:dyDescent="0.2">
      <c r="F84" s="70"/>
    </row>
    <row r="85" spans="6:6" x14ac:dyDescent="0.2">
      <c r="F85" s="70"/>
    </row>
    <row r="86" spans="6:6" x14ac:dyDescent="0.2">
      <c r="F86" s="70"/>
    </row>
    <row r="87" spans="6:6" x14ac:dyDescent="0.2">
      <c r="F87" s="70"/>
    </row>
    <row r="88" spans="6:6" x14ac:dyDescent="0.2">
      <c r="F88" s="70"/>
    </row>
    <row r="89" spans="6:6" x14ac:dyDescent="0.2">
      <c r="F89" s="70"/>
    </row>
    <row r="90" spans="6:6" x14ac:dyDescent="0.2">
      <c r="F90" s="70"/>
    </row>
    <row r="91" spans="6:6" x14ac:dyDescent="0.2">
      <c r="F91" s="70"/>
    </row>
    <row r="92" spans="6:6" x14ac:dyDescent="0.2">
      <c r="F92" s="70"/>
    </row>
    <row r="93" spans="6:6" x14ac:dyDescent="0.2">
      <c r="F93" s="70"/>
    </row>
    <row r="94" spans="6:6" x14ac:dyDescent="0.2">
      <c r="F94" s="70"/>
    </row>
    <row r="95" spans="6:6" x14ac:dyDescent="0.2">
      <c r="F95" s="70"/>
    </row>
    <row r="96" spans="6:6" x14ac:dyDescent="0.2">
      <c r="F96" s="70"/>
    </row>
    <row r="97" spans="6:6" x14ac:dyDescent="0.2">
      <c r="F97" s="70"/>
    </row>
    <row r="98" spans="6:6" x14ac:dyDescent="0.2">
      <c r="F98" s="70"/>
    </row>
    <row r="99" spans="6:6" x14ac:dyDescent="0.2">
      <c r="F99" s="70"/>
    </row>
    <row r="100" spans="6:6" x14ac:dyDescent="0.2">
      <c r="F100" s="70"/>
    </row>
    <row r="101" spans="6:6" x14ac:dyDescent="0.2">
      <c r="F101" s="70"/>
    </row>
    <row r="102" spans="6:6" x14ac:dyDescent="0.2">
      <c r="F102" s="70"/>
    </row>
    <row r="103" spans="6:6" x14ac:dyDescent="0.2">
      <c r="F103" s="70"/>
    </row>
    <row r="104" spans="6:6" x14ac:dyDescent="0.2">
      <c r="F104" s="70"/>
    </row>
    <row r="105" spans="6:6" x14ac:dyDescent="0.2">
      <c r="F105" s="70"/>
    </row>
    <row r="106" spans="6:6" x14ac:dyDescent="0.2">
      <c r="F106" s="70"/>
    </row>
    <row r="107" spans="6:6" x14ac:dyDescent="0.2">
      <c r="F107" s="70"/>
    </row>
    <row r="108" spans="6:6" x14ac:dyDescent="0.2">
      <c r="F108" s="70"/>
    </row>
    <row r="109" spans="6:6" x14ac:dyDescent="0.2">
      <c r="F109" s="70"/>
    </row>
    <row r="110" spans="6:6" x14ac:dyDescent="0.2">
      <c r="F110" s="70"/>
    </row>
    <row r="111" spans="6:6" x14ac:dyDescent="0.2">
      <c r="F111" s="70"/>
    </row>
    <row r="112" spans="6:6" x14ac:dyDescent="0.2">
      <c r="F112" s="70"/>
    </row>
    <row r="113" spans="6:6" x14ac:dyDescent="0.2">
      <c r="F113" s="70"/>
    </row>
    <row r="114" spans="6:6" x14ac:dyDescent="0.2">
      <c r="F114" s="70"/>
    </row>
    <row r="115" spans="6:6" x14ac:dyDescent="0.2">
      <c r="F115" s="70"/>
    </row>
    <row r="116" spans="6:6" x14ac:dyDescent="0.2">
      <c r="F116" s="70"/>
    </row>
    <row r="117" spans="6:6" x14ac:dyDescent="0.2">
      <c r="F117" s="70"/>
    </row>
    <row r="118" spans="6:6" x14ac:dyDescent="0.2">
      <c r="F118" s="70"/>
    </row>
    <row r="119" spans="6:6" x14ac:dyDescent="0.2">
      <c r="F119" s="70"/>
    </row>
    <row r="120" spans="6:6" x14ac:dyDescent="0.2">
      <c r="F120" s="70"/>
    </row>
    <row r="121" spans="6:6" x14ac:dyDescent="0.2">
      <c r="F121" s="70"/>
    </row>
    <row r="122" spans="6:6" x14ac:dyDescent="0.2">
      <c r="F122" s="70"/>
    </row>
    <row r="123" spans="6:6" x14ac:dyDescent="0.2">
      <c r="F123" s="70"/>
    </row>
    <row r="124" spans="6:6" x14ac:dyDescent="0.2">
      <c r="F124" s="70"/>
    </row>
    <row r="125" spans="6:6" x14ac:dyDescent="0.2">
      <c r="F125" s="70"/>
    </row>
    <row r="126" spans="6:6" x14ac:dyDescent="0.2">
      <c r="F126" s="70"/>
    </row>
    <row r="127" spans="6:6" x14ac:dyDescent="0.2">
      <c r="F127" s="70"/>
    </row>
    <row r="128" spans="6:6" x14ac:dyDescent="0.2">
      <c r="F128" s="70"/>
    </row>
    <row r="129" spans="6:6" x14ac:dyDescent="0.2">
      <c r="F129" s="70"/>
    </row>
    <row r="130" spans="6:6" x14ac:dyDescent="0.2">
      <c r="F130" s="70"/>
    </row>
    <row r="131" spans="6:6" x14ac:dyDescent="0.2">
      <c r="F131" s="70"/>
    </row>
    <row r="132" spans="6:6" x14ac:dyDescent="0.2">
      <c r="F132" s="70"/>
    </row>
    <row r="133" spans="6:6" x14ac:dyDescent="0.2">
      <c r="F133" s="70"/>
    </row>
    <row r="134" spans="6:6" x14ac:dyDescent="0.2">
      <c r="F134" s="70"/>
    </row>
    <row r="135" spans="6:6" x14ac:dyDescent="0.2">
      <c r="F135" s="70"/>
    </row>
    <row r="136" spans="6:6" x14ac:dyDescent="0.2">
      <c r="F136" s="70"/>
    </row>
    <row r="137" spans="6:6" x14ac:dyDescent="0.2">
      <c r="F137" s="70"/>
    </row>
    <row r="138" spans="6:6" x14ac:dyDescent="0.2">
      <c r="F138" s="70"/>
    </row>
    <row r="139" spans="6:6" x14ac:dyDescent="0.2">
      <c r="F139" s="70"/>
    </row>
    <row r="140" spans="6:6" x14ac:dyDescent="0.2">
      <c r="F140" s="70"/>
    </row>
    <row r="141" spans="6:6" x14ac:dyDescent="0.2">
      <c r="F141" s="70"/>
    </row>
    <row r="142" spans="6:6" x14ac:dyDescent="0.2">
      <c r="F142" s="70"/>
    </row>
    <row r="143" spans="6:6" x14ac:dyDescent="0.2">
      <c r="F143" s="70"/>
    </row>
    <row r="144" spans="6:6" x14ac:dyDescent="0.2">
      <c r="F144" s="70"/>
    </row>
    <row r="145" spans="6:6" x14ac:dyDescent="0.2">
      <c r="F145" s="70"/>
    </row>
    <row r="146" spans="6:6" x14ac:dyDescent="0.2">
      <c r="F146" s="70"/>
    </row>
    <row r="147" spans="6:6" x14ac:dyDescent="0.2">
      <c r="F147" s="70"/>
    </row>
    <row r="148" spans="6:6" x14ac:dyDescent="0.2">
      <c r="F148" s="70"/>
    </row>
    <row r="149" spans="6:6" x14ac:dyDescent="0.2">
      <c r="F149" s="70"/>
    </row>
    <row r="150" spans="6:6" x14ac:dyDescent="0.2">
      <c r="F150" s="70"/>
    </row>
    <row r="151" spans="6:6" x14ac:dyDescent="0.2">
      <c r="F151" s="70"/>
    </row>
    <row r="152" spans="6:6" x14ac:dyDescent="0.2">
      <c r="F152" s="70"/>
    </row>
    <row r="153" spans="6:6" x14ac:dyDescent="0.2">
      <c r="F153" s="70"/>
    </row>
    <row r="154" spans="6:6" x14ac:dyDescent="0.2">
      <c r="F154" s="70"/>
    </row>
    <row r="155" spans="6:6" x14ac:dyDescent="0.2">
      <c r="F155" s="70"/>
    </row>
    <row r="156" spans="6:6" x14ac:dyDescent="0.2">
      <c r="F156" s="70"/>
    </row>
    <row r="157" spans="6:6" x14ac:dyDescent="0.2">
      <c r="F157" s="70"/>
    </row>
    <row r="158" spans="6:6" x14ac:dyDescent="0.2">
      <c r="F158" s="70"/>
    </row>
    <row r="159" spans="6:6" x14ac:dyDescent="0.2">
      <c r="F159" s="70"/>
    </row>
    <row r="160" spans="6:6" x14ac:dyDescent="0.2">
      <c r="F160" s="70"/>
    </row>
    <row r="161" spans="6:6" x14ac:dyDescent="0.2">
      <c r="F161" s="70"/>
    </row>
    <row r="162" spans="6:6" x14ac:dyDescent="0.2">
      <c r="F162" s="70"/>
    </row>
    <row r="163" spans="6:6" x14ac:dyDescent="0.2">
      <c r="F163" s="70"/>
    </row>
    <row r="164" spans="6:6" x14ac:dyDescent="0.2">
      <c r="F164" s="70"/>
    </row>
    <row r="165" spans="6:6" x14ac:dyDescent="0.2">
      <c r="F165" s="70"/>
    </row>
    <row r="166" spans="6:6" x14ac:dyDescent="0.2">
      <c r="F166" s="70"/>
    </row>
    <row r="167" spans="6:6" x14ac:dyDescent="0.2">
      <c r="F167" s="70"/>
    </row>
    <row r="168" spans="6:6" x14ac:dyDescent="0.2">
      <c r="F168" s="70"/>
    </row>
    <row r="169" spans="6:6" x14ac:dyDescent="0.2">
      <c r="F169" s="70"/>
    </row>
    <row r="170" spans="6:6" x14ac:dyDescent="0.2">
      <c r="F170" s="70"/>
    </row>
    <row r="171" spans="6:6" x14ac:dyDescent="0.2">
      <c r="F171" s="70"/>
    </row>
    <row r="172" spans="6:6" x14ac:dyDescent="0.2">
      <c r="F172" s="70"/>
    </row>
    <row r="173" spans="6:6" x14ac:dyDescent="0.2">
      <c r="F173" s="70"/>
    </row>
    <row r="174" spans="6:6" x14ac:dyDescent="0.2">
      <c r="F174" s="70"/>
    </row>
    <row r="175" spans="6:6" x14ac:dyDescent="0.2">
      <c r="F175" s="70"/>
    </row>
    <row r="176" spans="6:6" x14ac:dyDescent="0.2">
      <c r="F176" s="70"/>
    </row>
    <row r="177" spans="6:6" x14ac:dyDescent="0.2">
      <c r="F177" s="70"/>
    </row>
    <row r="178" spans="6:6" x14ac:dyDescent="0.2">
      <c r="F178" s="70"/>
    </row>
    <row r="179" spans="6:6" x14ac:dyDescent="0.2">
      <c r="F179" s="70"/>
    </row>
    <row r="180" spans="6:6" x14ac:dyDescent="0.2">
      <c r="F180" s="70"/>
    </row>
    <row r="181" spans="6:6" x14ac:dyDescent="0.2">
      <c r="F181" s="70"/>
    </row>
    <row r="182" spans="6:6" x14ac:dyDescent="0.2">
      <c r="F182" s="70"/>
    </row>
    <row r="183" spans="6:6" x14ac:dyDescent="0.2">
      <c r="F183" s="70"/>
    </row>
    <row r="184" spans="6:6" x14ac:dyDescent="0.2">
      <c r="F184" s="70"/>
    </row>
    <row r="185" spans="6:6" x14ac:dyDescent="0.2">
      <c r="F185" s="70"/>
    </row>
    <row r="186" spans="6:6" x14ac:dyDescent="0.2">
      <c r="F186" s="70"/>
    </row>
    <row r="187" spans="6:6" x14ac:dyDescent="0.2">
      <c r="F187" s="70"/>
    </row>
    <row r="188" spans="6:6" x14ac:dyDescent="0.2">
      <c r="F188" s="70"/>
    </row>
    <row r="189" spans="6:6" x14ac:dyDescent="0.2">
      <c r="F189" s="70"/>
    </row>
    <row r="190" spans="6:6" x14ac:dyDescent="0.2">
      <c r="F190" s="70"/>
    </row>
    <row r="191" spans="6:6" x14ac:dyDescent="0.2">
      <c r="F191" s="70"/>
    </row>
    <row r="192" spans="6:6" x14ac:dyDescent="0.2">
      <c r="F192" s="70"/>
    </row>
    <row r="193" spans="6:6" x14ac:dyDescent="0.2">
      <c r="F193" s="70"/>
    </row>
    <row r="194" spans="6:6" x14ac:dyDescent="0.2">
      <c r="F194" s="70"/>
    </row>
    <row r="195" spans="6:6" x14ac:dyDescent="0.2">
      <c r="F195" s="70"/>
    </row>
    <row r="196" spans="6:6" x14ac:dyDescent="0.2">
      <c r="F196" s="70"/>
    </row>
    <row r="197" spans="6:6" x14ac:dyDescent="0.2">
      <c r="F197" s="70"/>
    </row>
    <row r="198" spans="6:6" x14ac:dyDescent="0.2">
      <c r="F198" s="70"/>
    </row>
    <row r="199" spans="6:6" x14ac:dyDescent="0.2">
      <c r="F199" s="70"/>
    </row>
    <row r="200" spans="6:6" x14ac:dyDescent="0.2">
      <c r="F200" s="70"/>
    </row>
    <row r="201" spans="6:6" x14ac:dyDescent="0.2">
      <c r="F201" s="70"/>
    </row>
    <row r="202" spans="6:6" x14ac:dyDescent="0.2">
      <c r="F202" s="70"/>
    </row>
    <row r="203" spans="6:6" x14ac:dyDescent="0.2">
      <c r="F203" s="70"/>
    </row>
    <row r="204" spans="6:6" x14ac:dyDescent="0.2">
      <c r="F204" s="70"/>
    </row>
    <row r="205" spans="6:6" x14ac:dyDescent="0.2">
      <c r="F205" s="70"/>
    </row>
    <row r="206" spans="6:6" x14ac:dyDescent="0.2">
      <c r="F206" s="70"/>
    </row>
    <row r="207" spans="6:6" x14ac:dyDescent="0.2">
      <c r="F207" s="70"/>
    </row>
    <row r="208" spans="6:6" x14ac:dyDescent="0.2">
      <c r="F208" s="70"/>
    </row>
    <row r="209" spans="6:6" x14ac:dyDescent="0.2">
      <c r="F209" s="70"/>
    </row>
    <row r="210" spans="6:6" x14ac:dyDescent="0.2">
      <c r="F210" s="70"/>
    </row>
    <row r="211" spans="6:6" x14ac:dyDescent="0.2">
      <c r="F211" s="70"/>
    </row>
    <row r="212" spans="6:6" x14ac:dyDescent="0.2">
      <c r="F212" s="70"/>
    </row>
    <row r="213" spans="6:6" x14ac:dyDescent="0.2">
      <c r="F213" s="70"/>
    </row>
    <row r="214" spans="6:6" x14ac:dyDescent="0.2">
      <c r="F214" s="70"/>
    </row>
    <row r="215" spans="6:6" x14ac:dyDescent="0.2">
      <c r="F215" s="70"/>
    </row>
    <row r="216" spans="6:6" x14ac:dyDescent="0.2">
      <c r="F216" s="70"/>
    </row>
    <row r="217" spans="6:6" x14ac:dyDescent="0.2">
      <c r="F217" s="70"/>
    </row>
    <row r="218" spans="6:6" x14ac:dyDescent="0.2">
      <c r="F218" s="70"/>
    </row>
    <row r="219" spans="6:6" x14ac:dyDescent="0.2">
      <c r="F219" s="70"/>
    </row>
    <row r="220" spans="6:6" x14ac:dyDescent="0.2">
      <c r="F220" s="70"/>
    </row>
    <row r="221" spans="6:6" x14ac:dyDescent="0.2">
      <c r="F221" s="70"/>
    </row>
    <row r="222" spans="6:6" x14ac:dyDescent="0.2">
      <c r="F222" s="70"/>
    </row>
    <row r="223" spans="6:6" x14ac:dyDescent="0.2">
      <c r="F223" s="70"/>
    </row>
    <row r="224" spans="6:6" x14ac:dyDescent="0.2">
      <c r="F224" s="70"/>
    </row>
    <row r="225" spans="6:6" x14ac:dyDescent="0.2">
      <c r="F225" s="70"/>
    </row>
    <row r="226" spans="6:6" x14ac:dyDescent="0.2">
      <c r="F226" s="70"/>
    </row>
    <row r="227" spans="6:6" x14ac:dyDescent="0.2">
      <c r="F227" s="70"/>
    </row>
    <row r="228" spans="6:6" x14ac:dyDescent="0.2">
      <c r="F228" s="70"/>
    </row>
    <row r="229" spans="6:6" x14ac:dyDescent="0.2">
      <c r="F229" s="70"/>
    </row>
    <row r="230" spans="6:6" x14ac:dyDescent="0.2">
      <c r="F230" s="70"/>
    </row>
    <row r="231" spans="6:6" x14ac:dyDescent="0.2">
      <c r="F231" s="70"/>
    </row>
    <row r="232" spans="6:6" x14ac:dyDescent="0.2">
      <c r="F232" s="70"/>
    </row>
    <row r="233" spans="6:6" x14ac:dyDescent="0.2">
      <c r="F233" s="70"/>
    </row>
    <row r="234" spans="6:6" x14ac:dyDescent="0.2">
      <c r="F234" s="70"/>
    </row>
    <row r="235" spans="6:6" x14ac:dyDescent="0.2">
      <c r="F235" s="70"/>
    </row>
    <row r="236" spans="6:6" x14ac:dyDescent="0.2">
      <c r="F236" s="70"/>
    </row>
    <row r="237" spans="6:6" x14ac:dyDescent="0.2">
      <c r="F237" s="70"/>
    </row>
    <row r="238" spans="6:6" x14ac:dyDescent="0.2">
      <c r="F238" s="70"/>
    </row>
    <row r="239" spans="6:6" x14ac:dyDescent="0.2">
      <c r="F239" s="70"/>
    </row>
    <row r="240" spans="6:6" x14ac:dyDescent="0.2">
      <c r="F240" s="70"/>
    </row>
    <row r="241" spans="6:6" x14ac:dyDescent="0.2">
      <c r="F241" s="70"/>
    </row>
    <row r="242" spans="6:6" x14ac:dyDescent="0.2">
      <c r="F242" s="70"/>
    </row>
    <row r="243" spans="6:6" x14ac:dyDescent="0.2">
      <c r="F243" s="70"/>
    </row>
    <row r="244" spans="6:6" x14ac:dyDescent="0.2">
      <c r="F244" s="70"/>
    </row>
    <row r="245" spans="6:6" x14ac:dyDescent="0.2">
      <c r="F245" s="70"/>
    </row>
    <row r="246" spans="6:6" x14ac:dyDescent="0.2">
      <c r="F246" s="70"/>
    </row>
    <row r="247" spans="6:6" x14ac:dyDescent="0.2">
      <c r="F247" s="70"/>
    </row>
    <row r="248" spans="6:6" x14ac:dyDescent="0.2">
      <c r="F248" s="70"/>
    </row>
    <row r="249" spans="6:6" x14ac:dyDescent="0.2">
      <c r="F249" s="70"/>
    </row>
    <row r="250" spans="6:6" x14ac:dyDescent="0.2">
      <c r="F250" s="70"/>
    </row>
    <row r="251" spans="6:6" x14ac:dyDescent="0.2">
      <c r="F251" s="70"/>
    </row>
    <row r="252" spans="6:6" x14ac:dyDescent="0.2">
      <c r="F252" s="70"/>
    </row>
    <row r="253" spans="6:6" x14ac:dyDescent="0.2">
      <c r="F253" s="70"/>
    </row>
    <row r="254" spans="6:6" x14ac:dyDescent="0.2">
      <c r="F254" s="70"/>
    </row>
    <row r="255" spans="6:6" x14ac:dyDescent="0.2">
      <c r="F255" s="70"/>
    </row>
    <row r="256" spans="6:6" x14ac:dyDescent="0.2">
      <c r="F256" s="70"/>
    </row>
    <row r="257" spans="6:6" x14ac:dyDescent="0.2">
      <c r="F257" s="70"/>
    </row>
    <row r="258" spans="6:6" x14ac:dyDescent="0.2">
      <c r="F258" s="70"/>
    </row>
    <row r="259" spans="6:6" x14ac:dyDescent="0.2">
      <c r="F259" s="70"/>
    </row>
    <row r="260" spans="6:6" x14ac:dyDescent="0.2">
      <c r="F260" s="70"/>
    </row>
    <row r="261" spans="6:6" x14ac:dyDescent="0.2">
      <c r="F261" s="70"/>
    </row>
    <row r="262" spans="6:6" x14ac:dyDescent="0.2">
      <c r="F262" s="70"/>
    </row>
    <row r="263" spans="6:6" x14ac:dyDescent="0.2">
      <c r="F263" s="70"/>
    </row>
    <row r="264" spans="6:6" x14ac:dyDescent="0.2">
      <c r="F264" s="70"/>
    </row>
    <row r="265" spans="6:6" x14ac:dyDescent="0.2">
      <c r="F265" s="70"/>
    </row>
    <row r="266" spans="6:6" x14ac:dyDescent="0.2">
      <c r="F266" s="70"/>
    </row>
    <row r="267" spans="6:6" x14ac:dyDescent="0.2">
      <c r="F267" s="70"/>
    </row>
    <row r="268" spans="6:6" x14ac:dyDescent="0.2">
      <c r="F268" s="70"/>
    </row>
    <row r="269" spans="6:6" x14ac:dyDescent="0.2">
      <c r="F269" s="70"/>
    </row>
    <row r="270" spans="6:6" x14ac:dyDescent="0.2">
      <c r="F270" s="70"/>
    </row>
    <row r="271" spans="6:6" x14ac:dyDescent="0.2">
      <c r="F271" s="70"/>
    </row>
    <row r="272" spans="6:6" x14ac:dyDescent="0.2">
      <c r="F272" s="70"/>
    </row>
    <row r="273" spans="6:6" x14ac:dyDescent="0.2">
      <c r="F273" s="70"/>
    </row>
    <row r="274" spans="6:6" x14ac:dyDescent="0.2">
      <c r="F274" s="70"/>
    </row>
    <row r="275" spans="6:6" x14ac:dyDescent="0.2">
      <c r="F275" s="70"/>
    </row>
    <row r="276" spans="6:6" x14ac:dyDescent="0.2">
      <c r="F276" s="70"/>
    </row>
    <row r="277" spans="6:6" x14ac:dyDescent="0.2">
      <c r="F277" s="70"/>
    </row>
    <row r="278" spans="6:6" x14ac:dyDescent="0.2">
      <c r="F278" s="70"/>
    </row>
    <row r="279" spans="6:6" x14ac:dyDescent="0.2">
      <c r="F279" s="70"/>
    </row>
    <row r="280" spans="6:6" x14ac:dyDescent="0.2">
      <c r="F280" s="70"/>
    </row>
    <row r="281" spans="6:6" x14ac:dyDescent="0.2">
      <c r="F281" s="70"/>
    </row>
    <row r="282" spans="6:6" x14ac:dyDescent="0.2">
      <c r="F282" s="70"/>
    </row>
    <row r="283" spans="6:6" x14ac:dyDescent="0.2">
      <c r="F283" s="70"/>
    </row>
    <row r="284" spans="6:6" x14ac:dyDescent="0.2">
      <c r="F284" s="70"/>
    </row>
    <row r="285" spans="6:6" x14ac:dyDescent="0.2">
      <c r="F285" s="70"/>
    </row>
    <row r="286" spans="6:6" x14ac:dyDescent="0.2">
      <c r="F286" s="70"/>
    </row>
    <row r="287" spans="6:6" x14ac:dyDescent="0.2">
      <c r="F287" s="70"/>
    </row>
    <row r="288" spans="6:6" x14ac:dyDescent="0.2">
      <c r="F288" s="70"/>
    </row>
    <row r="289" spans="6:6" x14ac:dyDescent="0.2">
      <c r="F289" s="70"/>
    </row>
    <row r="290" spans="6:6" x14ac:dyDescent="0.2">
      <c r="F290" s="70"/>
    </row>
    <row r="291" spans="6:6" x14ac:dyDescent="0.2">
      <c r="F291" s="70"/>
    </row>
    <row r="292" spans="6:6" x14ac:dyDescent="0.2">
      <c r="F292" s="70"/>
    </row>
    <row r="293" spans="6:6" x14ac:dyDescent="0.2">
      <c r="F293" s="70"/>
    </row>
    <row r="294" spans="6:6" x14ac:dyDescent="0.2">
      <c r="F294" s="70"/>
    </row>
    <row r="295" spans="6:6" x14ac:dyDescent="0.2">
      <c r="F295" s="70"/>
    </row>
    <row r="296" spans="6:6" x14ac:dyDescent="0.2">
      <c r="F296" s="70"/>
    </row>
    <row r="297" spans="6:6" x14ac:dyDescent="0.2">
      <c r="F297" s="70"/>
    </row>
    <row r="298" spans="6:6" x14ac:dyDescent="0.2">
      <c r="F298" s="70"/>
    </row>
    <row r="299" spans="6:6" x14ac:dyDescent="0.2">
      <c r="F299" s="70"/>
    </row>
    <row r="300" spans="6:6" x14ac:dyDescent="0.2">
      <c r="F300" s="70"/>
    </row>
    <row r="301" spans="6:6" x14ac:dyDescent="0.2">
      <c r="F301" s="70"/>
    </row>
    <row r="302" spans="6:6" x14ac:dyDescent="0.2">
      <c r="F302" s="70"/>
    </row>
    <row r="303" spans="6:6" x14ac:dyDescent="0.2">
      <c r="F303" s="70"/>
    </row>
    <row r="304" spans="6:6" x14ac:dyDescent="0.2">
      <c r="F304" s="70"/>
    </row>
    <row r="305" spans="6:6" x14ac:dyDescent="0.2">
      <c r="F305" s="70"/>
    </row>
    <row r="306" spans="6:6" x14ac:dyDescent="0.2">
      <c r="F306" s="70"/>
    </row>
    <row r="307" spans="6:6" x14ac:dyDescent="0.2">
      <c r="F307" s="70"/>
    </row>
    <row r="308" spans="6:6" x14ac:dyDescent="0.2">
      <c r="F308" s="70"/>
    </row>
    <row r="309" spans="6:6" x14ac:dyDescent="0.2">
      <c r="F309" s="70"/>
    </row>
    <row r="310" spans="6:6" x14ac:dyDescent="0.2">
      <c r="F310" s="70"/>
    </row>
    <row r="311" spans="6:6" x14ac:dyDescent="0.2">
      <c r="F311" s="70"/>
    </row>
    <row r="312" spans="6:6" x14ac:dyDescent="0.2">
      <c r="F312" s="70"/>
    </row>
    <row r="313" spans="6:6" x14ac:dyDescent="0.2">
      <c r="F313" s="70"/>
    </row>
    <row r="314" spans="6:6" x14ac:dyDescent="0.2">
      <c r="F314" s="70"/>
    </row>
    <row r="315" spans="6:6" x14ac:dyDescent="0.2">
      <c r="F315" s="70"/>
    </row>
    <row r="316" spans="6:6" x14ac:dyDescent="0.2">
      <c r="F316" s="70"/>
    </row>
    <row r="317" spans="6:6" x14ac:dyDescent="0.2">
      <c r="F317" s="70"/>
    </row>
    <row r="318" spans="6:6" x14ac:dyDescent="0.2">
      <c r="F318" s="70"/>
    </row>
    <row r="319" spans="6:6" x14ac:dyDescent="0.2">
      <c r="F319" s="70"/>
    </row>
    <row r="320" spans="6:6" x14ac:dyDescent="0.2">
      <c r="F320" s="70"/>
    </row>
    <row r="321" spans="6:6" x14ac:dyDescent="0.2">
      <c r="F321" s="70"/>
    </row>
    <row r="322" spans="6:6" x14ac:dyDescent="0.2">
      <c r="F322" s="70"/>
    </row>
    <row r="323" spans="6:6" x14ac:dyDescent="0.2">
      <c r="F323" s="70"/>
    </row>
    <row r="324" spans="6:6" x14ac:dyDescent="0.2">
      <c r="F324" s="70"/>
    </row>
    <row r="325" spans="6:6" x14ac:dyDescent="0.2">
      <c r="F325" s="70"/>
    </row>
    <row r="326" spans="6:6" x14ac:dyDescent="0.2">
      <c r="F326" s="70"/>
    </row>
    <row r="327" spans="6:6" x14ac:dyDescent="0.2">
      <c r="F327" s="70"/>
    </row>
    <row r="328" spans="6:6" x14ac:dyDescent="0.2">
      <c r="F328" s="70"/>
    </row>
    <row r="329" spans="6:6" x14ac:dyDescent="0.2">
      <c r="F329" s="70"/>
    </row>
    <row r="330" spans="6:6" x14ac:dyDescent="0.2">
      <c r="F330" s="70"/>
    </row>
    <row r="331" spans="6:6" x14ac:dyDescent="0.2">
      <c r="F331" s="70"/>
    </row>
    <row r="332" spans="6:6" x14ac:dyDescent="0.2">
      <c r="F332" s="70"/>
    </row>
    <row r="333" spans="6:6" x14ac:dyDescent="0.2">
      <c r="F333" s="70"/>
    </row>
    <row r="334" spans="6:6" x14ac:dyDescent="0.2">
      <c r="F334" s="70"/>
    </row>
    <row r="335" spans="6:6" x14ac:dyDescent="0.2">
      <c r="F335" s="70"/>
    </row>
    <row r="336" spans="6:6" x14ac:dyDescent="0.2">
      <c r="F336" s="70"/>
    </row>
    <row r="337" spans="6:6" x14ac:dyDescent="0.2">
      <c r="F337" s="70"/>
    </row>
    <row r="338" spans="6:6" x14ac:dyDescent="0.2">
      <c r="F338" s="70"/>
    </row>
    <row r="339" spans="6:6" x14ac:dyDescent="0.2">
      <c r="F339" s="70"/>
    </row>
    <row r="340" spans="6:6" x14ac:dyDescent="0.2">
      <c r="F340" s="70"/>
    </row>
    <row r="341" spans="6:6" x14ac:dyDescent="0.2">
      <c r="F341" s="70"/>
    </row>
    <row r="342" spans="6:6" x14ac:dyDescent="0.2">
      <c r="F342" s="70"/>
    </row>
    <row r="343" spans="6:6" x14ac:dyDescent="0.2">
      <c r="F343" s="70"/>
    </row>
    <row r="344" spans="6:6" x14ac:dyDescent="0.2">
      <c r="F344" s="70"/>
    </row>
    <row r="345" spans="6:6" x14ac:dyDescent="0.2">
      <c r="F345" s="70"/>
    </row>
    <row r="346" spans="6:6" x14ac:dyDescent="0.2">
      <c r="F346" s="70"/>
    </row>
    <row r="347" spans="6:6" x14ac:dyDescent="0.2">
      <c r="F347" s="70"/>
    </row>
    <row r="348" spans="6:6" x14ac:dyDescent="0.2">
      <c r="F348" s="70"/>
    </row>
    <row r="349" spans="6:6" x14ac:dyDescent="0.2">
      <c r="F349" s="70"/>
    </row>
    <row r="350" spans="6:6" x14ac:dyDescent="0.2">
      <c r="F350" s="70"/>
    </row>
    <row r="351" spans="6:6" x14ac:dyDescent="0.2">
      <c r="F351" s="70"/>
    </row>
    <row r="352" spans="6:6" x14ac:dyDescent="0.2">
      <c r="F352" s="70"/>
    </row>
    <row r="353" spans="6:6" x14ac:dyDescent="0.2">
      <c r="F353" s="70"/>
    </row>
    <row r="354" spans="6:6" x14ac:dyDescent="0.2">
      <c r="F354" s="70"/>
    </row>
    <row r="355" spans="6:6" x14ac:dyDescent="0.2">
      <c r="F355" s="70"/>
    </row>
    <row r="356" spans="6:6" x14ac:dyDescent="0.2">
      <c r="F356" s="70"/>
    </row>
    <row r="357" spans="6:6" x14ac:dyDescent="0.2">
      <c r="F357" s="70"/>
    </row>
    <row r="358" spans="6:6" x14ac:dyDescent="0.2">
      <c r="F358" s="70"/>
    </row>
    <row r="359" spans="6:6" x14ac:dyDescent="0.2">
      <c r="F359" s="70"/>
    </row>
    <row r="360" spans="6:6" x14ac:dyDescent="0.2">
      <c r="F360" s="70"/>
    </row>
    <row r="361" spans="6:6" x14ac:dyDescent="0.2">
      <c r="F361" s="70"/>
    </row>
    <row r="362" spans="6:6" x14ac:dyDescent="0.2">
      <c r="F362" s="70"/>
    </row>
    <row r="363" spans="6:6" x14ac:dyDescent="0.2">
      <c r="F363" s="70"/>
    </row>
    <row r="364" spans="6:6" x14ac:dyDescent="0.2">
      <c r="F364" s="70"/>
    </row>
    <row r="365" spans="6:6" x14ac:dyDescent="0.2">
      <c r="F365" s="70"/>
    </row>
    <row r="366" spans="6:6" x14ac:dyDescent="0.2">
      <c r="F366" s="70"/>
    </row>
    <row r="367" spans="6:6" x14ac:dyDescent="0.2">
      <c r="F367" s="70"/>
    </row>
    <row r="368" spans="6:6" x14ac:dyDescent="0.2">
      <c r="F368" s="70"/>
    </row>
    <row r="369" spans="6:6" x14ac:dyDescent="0.2">
      <c r="F369" s="70"/>
    </row>
    <row r="370" spans="6:6" x14ac:dyDescent="0.2">
      <c r="F370" s="70"/>
    </row>
    <row r="371" spans="6:6" x14ac:dyDescent="0.2">
      <c r="F371" s="70"/>
    </row>
    <row r="372" spans="6:6" x14ac:dyDescent="0.2">
      <c r="F372" s="70"/>
    </row>
    <row r="373" spans="6:6" x14ac:dyDescent="0.2">
      <c r="F373" s="70"/>
    </row>
    <row r="374" spans="6:6" x14ac:dyDescent="0.2">
      <c r="F374" s="70"/>
    </row>
    <row r="375" spans="6:6" x14ac:dyDescent="0.2">
      <c r="F375" s="70"/>
    </row>
    <row r="376" spans="6:6" x14ac:dyDescent="0.2">
      <c r="F376" s="70"/>
    </row>
    <row r="377" spans="6:6" x14ac:dyDescent="0.2">
      <c r="F377" s="70"/>
    </row>
    <row r="378" spans="6:6" x14ac:dyDescent="0.2">
      <c r="F378" s="70"/>
    </row>
    <row r="379" spans="6:6" x14ac:dyDescent="0.2">
      <c r="F379" s="70"/>
    </row>
    <row r="380" spans="6:6" x14ac:dyDescent="0.2">
      <c r="F380" s="70"/>
    </row>
    <row r="381" spans="6:6" x14ac:dyDescent="0.2">
      <c r="F381" s="70"/>
    </row>
    <row r="382" spans="6:6" x14ac:dyDescent="0.2">
      <c r="F382" s="70"/>
    </row>
    <row r="383" spans="6:6" x14ac:dyDescent="0.2">
      <c r="F383" s="70"/>
    </row>
    <row r="384" spans="6:6" x14ac:dyDescent="0.2">
      <c r="F384" s="70"/>
    </row>
    <row r="385" spans="6:6" x14ac:dyDescent="0.2">
      <c r="F385" s="70"/>
    </row>
    <row r="386" spans="6:6" x14ac:dyDescent="0.2">
      <c r="F386" s="70"/>
    </row>
    <row r="387" spans="6:6" x14ac:dyDescent="0.2">
      <c r="F387" s="70"/>
    </row>
    <row r="388" spans="6:6" x14ac:dyDescent="0.2">
      <c r="F388" s="70"/>
    </row>
    <row r="389" spans="6:6" x14ac:dyDescent="0.2">
      <c r="F389" s="70"/>
    </row>
    <row r="390" spans="6:6" x14ac:dyDescent="0.2">
      <c r="F390" s="70"/>
    </row>
    <row r="391" spans="6:6" x14ac:dyDescent="0.2">
      <c r="F391" s="70"/>
    </row>
    <row r="392" spans="6:6" x14ac:dyDescent="0.2">
      <c r="F392" s="70"/>
    </row>
    <row r="393" spans="6:6" x14ac:dyDescent="0.2">
      <c r="F393" s="70"/>
    </row>
    <row r="394" spans="6:6" x14ac:dyDescent="0.2">
      <c r="F394" s="70"/>
    </row>
    <row r="395" spans="6:6" x14ac:dyDescent="0.2">
      <c r="F395" s="70"/>
    </row>
    <row r="396" spans="6:6" x14ac:dyDescent="0.2">
      <c r="F396" s="70"/>
    </row>
    <row r="397" spans="6:6" x14ac:dyDescent="0.2">
      <c r="F397" s="70"/>
    </row>
    <row r="398" spans="6:6" x14ac:dyDescent="0.2">
      <c r="F398" s="70"/>
    </row>
    <row r="399" spans="6:6" x14ac:dyDescent="0.2">
      <c r="F399" s="70"/>
    </row>
    <row r="400" spans="6:6" x14ac:dyDescent="0.2">
      <c r="F400" s="70"/>
    </row>
    <row r="401" spans="6:6" x14ac:dyDescent="0.2">
      <c r="F401" s="70"/>
    </row>
    <row r="402" spans="6:6" x14ac:dyDescent="0.2">
      <c r="F402" s="70"/>
    </row>
    <row r="403" spans="6:6" x14ac:dyDescent="0.2">
      <c r="F403" s="70"/>
    </row>
    <row r="404" spans="6:6" x14ac:dyDescent="0.2">
      <c r="F404" s="70"/>
    </row>
    <row r="405" spans="6:6" x14ac:dyDescent="0.2">
      <c r="F405" s="70"/>
    </row>
    <row r="406" spans="6:6" x14ac:dyDescent="0.2">
      <c r="F406" s="70"/>
    </row>
    <row r="407" spans="6:6" x14ac:dyDescent="0.2">
      <c r="F407" s="70"/>
    </row>
    <row r="408" spans="6:6" x14ac:dyDescent="0.2">
      <c r="F408" s="70"/>
    </row>
    <row r="409" spans="6:6" x14ac:dyDescent="0.2">
      <c r="F409" s="70"/>
    </row>
    <row r="410" spans="6:6" x14ac:dyDescent="0.2">
      <c r="F410" s="70"/>
    </row>
    <row r="411" spans="6:6" x14ac:dyDescent="0.2">
      <c r="F411" s="70"/>
    </row>
    <row r="412" spans="6:6" x14ac:dyDescent="0.2">
      <c r="F412" s="70"/>
    </row>
    <row r="413" spans="6:6" x14ac:dyDescent="0.2">
      <c r="F413" s="70"/>
    </row>
    <row r="414" spans="6:6" x14ac:dyDescent="0.2">
      <c r="F414" s="70"/>
    </row>
    <row r="415" spans="6:6" x14ac:dyDescent="0.2">
      <c r="F415" s="70"/>
    </row>
    <row r="416" spans="6:6" x14ac:dyDescent="0.2">
      <c r="F416" s="70"/>
    </row>
    <row r="417" spans="6:6" x14ac:dyDescent="0.2">
      <c r="F417" s="70"/>
    </row>
    <row r="418" spans="6:6" x14ac:dyDescent="0.2">
      <c r="F418" s="70"/>
    </row>
    <row r="419" spans="6:6" x14ac:dyDescent="0.2">
      <c r="F419" s="70"/>
    </row>
    <row r="420" spans="6:6" x14ac:dyDescent="0.2">
      <c r="F420" s="70"/>
    </row>
    <row r="421" spans="6:6" x14ac:dyDescent="0.2">
      <c r="F421" s="70"/>
    </row>
    <row r="422" spans="6:6" x14ac:dyDescent="0.2">
      <c r="F422" s="70"/>
    </row>
    <row r="423" spans="6:6" x14ac:dyDescent="0.2">
      <c r="F423" s="70"/>
    </row>
    <row r="424" spans="6:6" x14ac:dyDescent="0.2">
      <c r="F424" s="70"/>
    </row>
    <row r="425" spans="6:6" x14ac:dyDescent="0.2">
      <c r="F425" s="70"/>
    </row>
    <row r="426" spans="6:6" x14ac:dyDescent="0.2">
      <c r="F426" s="70"/>
    </row>
    <row r="427" spans="6:6" x14ac:dyDescent="0.2">
      <c r="F427" s="70"/>
    </row>
    <row r="428" spans="6:6" x14ac:dyDescent="0.2">
      <c r="F428" s="70"/>
    </row>
    <row r="429" spans="6:6" x14ac:dyDescent="0.2">
      <c r="F429" s="70"/>
    </row>
    <row r="430" spans="6:6" x14ac:dyDescent="0.2">
      <c r="F430" s="70"/>
    </row>
    <row r="431" spans="6:6" x14ac:dyDescent="0.2">
      <c r="F431" s="70"/>
    </row>
    <row r="432" spans="6:6" x14ac:dyDescent="0.2">
      <c r="F432" s="70"/>
    </row>
    <row r="433" spans="6:6" x14ac:dyDescent="0.2">
      <c r="F433" s="70"/>
    </row>
    <row r="434" spans="6:6" x14ac:dyDescent="0.2">
      <c r="F434" s="70"/>
    </row>
    <row r="435" spans="6:6" x14ac:dyDescent="0.2">
      <c r="F435" s="70"/>
    </row>
    <row r="436" spans="6:6" x14ac:dyDescent="0.2">
      <c r="F436" s="70"/>
    </row>
    <row r="437" spans="6:6" x14ac:dyDescent="0.2">
      <c r="F437" s="70"/>
    </row>
    <row r="438" spans="6:6" x14ac:dyDescent="0.2">
      <c r="F438" s="70"/>
    </row>
    <row r="439" spans="6:6" x14ac:dyDescent="0.2">
      <c r="F439" s="70"/>
    </row>
    <row r="440" spans="6:6" x14ac:dyDescent="0.2">
      <c r="F440" s="70"/>
    </row>
    <row r="441" spans="6:6" x14ac:dyDescent="0.2">
      <c r="F441" s="70"/>
    </row>
    <row r="442" spans="6:6" x14ac:dyDescent="0.2">
      <c r="F442" s="70"/>
    </row>
    <row r="443" spans="6:6" x14ac:dyDescent="0.2">
      <c r="F443" s="70"/>
    </row>
    <row r="444" spans="6:6" x14ac:dyDescent="0.2">
      <c r="F444" s="70"/>
    </row>
    <row r="445" spans="6:6" x14ac:dyDescent="0.2">
      <c r="F445" s="70"/>
    </row>
    <row r="446" spans="6:6" x14ac:dyDescent="0.2">
      <c r="F446" s="70"/>
    </row>
    <row r="447" spans="6:6" x14ac:dyDescent="0.2">
      <c r="F447" s="70"/>
    </row>
    <row r="448" spans="6:6" x14ac:dyDescent="0.2">
      <c r="F448" s="70"/>
    </row>
    <row r="449" spans="6:6" x14ac:dyDescent="0.2">
      <c r="F449" s="70"/>
    </row>
    <row r="450" spans="6:6" x14ac:dyDescent="0.2">
      <c r="F450" s="70"/>
    </row>
    <row r="451" spans="6:6" x14ac:dyDescent="0.2">
      <c r="F451" s="70"/>
    </row>
    <row r="452" spans="6:6" x14ac:dyDescent="0.2">
      <c r="F452" s="70"/>
    </row>
    <row r="453" spans="6:6" x14ac:dyDescent="0.2">
      <c r="F453" s="70"/>
    </row>
    <row r="454" spans="6:6" x14ac:dyDescent="0.2">
      <c r="F454" s="70"/>
    </row>
    <row r="455" spans="6:6" x14ac:dyDescent="0.2">
      <c r="F455" s="70"/>
    </row>
    <row r="456" spans="6:6" x14ac:dyDescent="0.2">
      <c r="F456" s="70"/>
    </row>
    <row r="457" spans="6:6" x14ac:dyDescent="0.2">
      <c r="F457" s="70"/>
    </row>
    <row r="458" spans="6:6" x14ac:dyDescent="0.2">
      <c r="F458" s="70"/>
    </row>
    <row r="459" spans="6:6" x14ac:dyDescent="0.2">
      <c r="F459" s="70"/>
    </row>
    <row r="460" spans="6:6" x14ac:dyDescent="0.2">
      <c r="F460" s="70"/>
    </row>
    <row r="461" spans="6:6" x14ac:dyDescent="0.2">
      <c r="F461" s="70"/>
    </row>
    <row r="462" spans="6:6" x14ac:dyDescent="0.2">
      <c r="F462" s="70"/>
    </row>
    <row r="463" spans="6:6" x14ac:dyDescent="0.2">
      <c r="F463" s="70"/>
    </row>
    <row r="464" spans="6:6" x14ac:dyDescent="0.2">
      <c r="F464" s="70"/>
    </row>
    <row r="465" spans="6:6" x14ac:dyDescent="0.2">
      <c r="F465" s="70"/>
    </row>
    <row r="466" spans="6:6" x14ac:dyDescent="0.2">
      <c r="F466" s="70"/>
    </row>
    <row r="467" spans="6:6" x14ac:dyDescent="0.2">
      <c r="F467" s="70"/>
    </row>
    <row r="468" spans="6:6" x14ac:dyDescent="0.2">
      <c r="F468" s="70"/>
    </row>
    <row r="469" spans="6:6" x14ac:dyDescent="0.2">
      <c r="F469" s="70"/>
    </row>
    <row r="470" spans="6:6" x14ac:dyDescent="0.2">
      <c r="F470" s="70"/>
    </row>
    <row r="471" spans="6:6" x14ac:dyDescent="0.2">
      <c r="F471" s="70"/>
    </row>
    <row r="472" spans="6:6" x14ac:dyDescent="0.2">
      <c r="F472" s="70"/>
    </row>
    <row r="473" spans="6:6" x14ac:dyDescent="0.2">
      <c r="F473" s="70"/>
    </row>
    <row r="474" spans="6:6" x14ac:dyDescent="0.2">
      <c r="F474" s="70"/>
    </row>
    <row r="475" spans="6:6" x14ac:dyDescent="0.2">
      <c r="F475" s="70"/>
    </row>
    <row r="476" spans="6:6" x14ac:dyDescent="0.2">
      <c r="F476" s="70"/>
    </row>
    <row r="477" spans="6:6" x14ac:dyDescent="0.2">
      <c r="F477" s="70"/>
    </row>
    <row r="478" spans="6:6" x14ac:dyDescent="0.2">
      <c r="F478" s="70"/>
    </row>
    <row r="479" spans="6:6" x14ac:dyDescent="0.2">
      <c r="F479" s="70"/>
    </row>
    <row r="480" spans="6:6" x14ac:dyDescent="0.2">
      <c r="F480" s="70"/>
    </row>
    <row r="481" spans="6:6" x14ac:dyDescent="0.2">
      <c r="F481" s="70"/>
    </row>
    <row r="482" spans="6:6" x14ac:dyDescent="0.2">
      <c r="F482" s="70"/>
    </row>
    <row r="483" spans="6:6" x14ac:dyDescent="0.2">
      <c r="F483" s="70"/>
    </row>
    <row r="484" spans="6:6" x14ac:dyDescent="0.2">
      <c r="F484" s="70"/>
    </row>
    <row r="485" spans="6:6" x14ac:dyDescent="0.2">
      <c r="F485" s="70"/>
    </row>
    <row r="486" spans="6:6" x14ac:dyDescent="0.2">
      <c r="F486" s="70"/>
    </row>
    <row r="487" spans="6:6" x14ac:dyDescent="0.2">
      <c r="F487" s="70"/>
    </row>
    <row r="488" spans="6:6" x14ac:dyDescent="0.2">
      <c r="F488" s="70"/>
    </row>
    <row r="489" spans="6:6" x14ac:dyDescent="0.2">
      <c r="F489" s="70"/>
    </row>
    <row r="490" spans="6:6" x14ac:dyDescent="0.2">
      <c r="F490" s="70"/>
    </row>
    <row r="491" spans="6:6" x14ac:dyDescent="0.2">
      <c r="F491" s="70"/>
    </row>
    <row r="492" spans="6:6" x14ac:dyDescent="0.2">
      <c r="F492" s="70"/>
    </row>
    <row r="493" spans="6:6" x14ac:dyDescent="0.2">
      <c r="F493" s="70"/>
    </row>
    <row r="494" spans="6:6" x14ac:dyDescent="0.2">
      <c r="F494" s="70"/>
    </row>
    <row r="495" spans="6:6" x14ac:dyDescent="0.2">
      <c r="F495" s="70"/>
    </row>
    <row r="496" spans="6:6" x14ac:dyDescent="0.2">
      <c r="F496" s="70"/>
    </row>
    <row r="497" spans="6:6" x14ac:dyDescent="0.2">
      <c r="F497" s="70"/>
    </row>
    <row r="498" spans="6:6" x14ac:dyDescent="0.2">
      <c r="F498" s="70"/>
    </row>
    <row r="499" spans="6:6" x14ac:dyDescent="0.2">
      <c r="F499" s="70"/>
    </row>
    <row r="500" spans="6:6" x14ac:dyDescent="0.2">
      <c r="F500" s="70"/>
    </row>
    <row r="501" spans="6:6" x14ac:dyDescent="0.2">
      <c r="F501" s="70"/>
    </row>
    <row r="502" spans="6:6" x14ac:dyDescent="0.2">
      <c r="F502" s="70"/>
    </row>
    <row r="503" spans="6:6" x14ac:dyDescent="0.2">
      <c r="F503" s="70"/>
    </row>
    <row r="504" spans="6:6" x14ac:dyDescent="0.2">
      <c r="F504" s="70"/>
    </row>
    <row r="505" spans="6:6" x14ac:dyDescent="0.2">
      <c r="F505" s="70"/>
    </row>
    <row r="506" spans="6:6" x14ac:dyDescent="0.2">
      <c r="F506" s="70"/>
    </row>
    <row r="507" spans="6:6" x14ac:dyDescent="0.2">
      <c r="F507" s="70"/>
    </row>
    <row r="508" spans="6:6" x14ac:dyDescent="0.2">
      <c r="F508" s="70"/>
    </row>
    <row r="509" spans="6:6" x14ac:dyDescent="0.2">
      <c r="F509" s="70"/>
    </row>
    <row r="510" spans="6:6" x14ac:dyDescent="0.2">
      <c r="F510" s="70"/>
    </row>
    <row r="511" spans="6:6" x14ac:dyDescent="0.2">
      <c r="F511" s="70"/>
    </row>
    <row r="512" spans="6:6" x14ac:dyDescent="0.2">
      <c r="F512" s="70"/>
    </row>
    <row r="513" spans="6:6" x14ac:dyDescent="0.2">
      <c r="F513" s="70"/>
    </row>
    <row r="514" spans="6:6" x14ac:dyDescent="0.2">
      <c r="F514" s="70"/>
    </row>
    <row r="515" spans="6:6" x14ac:dyDescent="0.2">
      <c r="F515" s="70"/>
    </row>
    <row r="516" spans="6:6" x14ac:dyDescent="0.2">
      <c r="F516" s="70"/>
    </row>
    <row r="517" spans="6:6" x14ac:dyDescent="0.2">
      <c r="F517" s="70"/>
    </row>
    <row r="518" spans="6:6" x14ac:dyDescent="0.2">
      <c r="F518" s="70"/>
    </row>
    <row r="519" spans="6:6" x14ac:dyDescent="0.2">
      <c r="F519" s="70"/>
    </row>
    <row r="520" spans="6:6" x14ac:dyDescent="0.2">
      <c r="F520" s="70"/>
    </row>
    <row r="521" spans="6:6" x14ac:dyDescent="0.2">
      <c r="F521" s="70"/>
    </row>
    <row r="522" spans="6:6" x14ac:dyDescent="0.2">
      <c r="F522" s="70"/>
    </row>
    <row r="523" spans="6:6" x14ac:dyDescent="0.2">
      <c r="F523" s="70"/>
    </row>
    <row r="524" spans="6:6" x14ac:dyDescent="0.2">
      <c r="F524" s="70"/>
    </row>
    <row r="525" spans="6:6" x14ac:dyDescent="0.2">
      <c r="F525" s="70"/>
    </row>
    <row r="526" spans="6:6" x14ac:dyDescent="0.2">
      <c r="F526" s="70"/>
    </row>
    <row r="527" spans="6:6" x14ac:dyDescent="0.2">
      <c r="F527" s="70"/>
    </row>
    <row r="528" spans="6:6" x14ac:dyDescent="0.2">
      <c r="F528" s="70"/>
    </row>
    <row r="529" spans="6:6" x14ac:dyDescent="0.2">
      <c r="F529" s="70"/>
    </row>
    <row r="530" spans="6:6" x14ac:dyDescent="0.2">
      <c r="F530" s="70"/>
    </row>
    <row r="531" spans="6:6" x14ac:dyDescent="0.2">
      <c r="F531" s="70"/>
    </row>
    <row r="532" spans="6:6" x14ac:dyDescent="0.2">
      <c r="F532" s="70"/>
    </row>
    <row r="533" spans="6:6" x14ac:dyDescent="0.2">
      <c r="F533" s="70"/>
    </row>
    <row r="534" spans="6:6" x14ac:dyDescent="0.2">
      <c r="F534" s="70"/>
    </row>
    <row r="535" spans="6:6" x14ac:dyDescent="0.2">
      <c r="F535" s="70"/>
    </row>
    <row r="536" spans="6:6" x14ac:dyDescent="0.2">
      <c r="F536" s="70"/>
    </row>
    <row r="537" spans="6:6" x14ac:dyDescent="0.2">
      <c r="F537" s="70"/>
    </row>
    <row r="538" spans="6:6" x14ac:dyDescent="0.2">
      <c r="F538" s="70"/>
    </row>
    <row r="539" spans="6:6" x14ac:dyDescent="0.2">
      <c r="F539" s="70"/>
    </row>
    <row r="540" spans="6:6" x14ac:dyDescent="0.2">
      <c r="F540" s="70"/>
    </row>
    <row r="541" spans="6:6" x14ac:dyDescent="0.2">
      <c r="F541" s="70"/>
    </row>
    <row r="542" spans="6:6" x14ac:dyDescent="0.2">
      <c r="F542" s="70"/>
    </row>
    <row r="543" spans="6:6" x14ac:dyDescent="0.2">
      <c r="F543" s="70"/>
    </row>
    <row r="544" spans="6:6" x14ac:dyDescent="0.2">
      <c r="F544" s="70"/>
    </row>
    <row r="545" spans="6:6" x14ac:dyDescent="0.2">
      <c r="F545" s="70"/>
    </row>
    <row r="546" spans="6:6" x14ac:dyDescent="0.2">
      <c r="F546" s="70"/>
    </row>
    <row r="547" spans="6:6" x14ac:dyDescent="0.2">
      <c r="F547" s="70"/>
    </row>
    <row r="548" spans="6:6" x14ac:dyDescent="0.2">
      <c r="F548" s="70"/>
    </row>
    <row r="549" spans="6:6" x14ac:dyDescent="0.2">
      <c r="F549" s="70"/>
    </row>
    <row r="550" spans="6:6" x14ac:dyDescent="0.2">
      <c r="F550" s="70"/>
    </row>
    <row r="551" spans="6:6" x14ac:dyDescent="0.2">
      <c r="F551" s="70"/>
    </row>
    <row r="552" spans="6:6" x14ac:dyDescent="0.2">
      <c r="F552" s="70"/>
    </row>
    <row r="553" spans="6:6" x14ac:dyDescent="0.2">
      <c r="F553" s="70"/>
    </row>
    <row r="554" spans="6:6" x14ac:dyDescent="0.2">
      <c r="F554" s="70"/>
    </row>
    <row r="555" spans="6:6" x14ac:dyDescent="0.2">
      <c r="F555" s="70"/>
    </row>
    <row r="556" spans="6:6" x14ac:dyDescent="0.2">
      <c r="F556" s="70"/>
    </row>
    <row r="557" spans="6:6" x14ac:dyDescent="0.2">
      <c r="F557" s="70"/>
    </row>
    <row r="558" spans="6:6" x14ac:dyDescent="0.2">
      <c r="F558" s="70"/>
    </row>
    <row r="559" spans="6:6" x14ac:dyDescent="0.2">
      <c r="F559" s="70"/>
    </row>
    <row r="560" spans="6:6" x14ac:dyDescent="0.2">
      <c r="F560" s="70"/>
    </row>
    <row r="561" spans="6:6" x14ac:dyDescent="0.2">
      <c r="F561" s="70"/>
    </row>
    <row r="562" spans="6:6" x14ac:dyDescent="0.2">
      <c r="F562" s="70"/>
    </row>
    <row r="563" spans="6:6" x14ac:dyDescent="0.2">
      <c r="F563" s="70"/>
    </row>
    <row r="564" spans="6:6" x14ac:dyDescent="0.2">
      <c r="F564" s="70"/>
    </row>
    <row r="565" spans="6:6" x14ac:dyDescent="0.2">
      <c r="F565" s="70"/>
    </row>
    <row r="566" spans="6:6" x14ac:dyDescent="0.2">
      <c r="F566" s="70"/>
    </row>
    <row r="567" spans="6:6" x14ac:dyDescent="0.2">
      <c r="F567" s="70"/>
    </row>
    <row r="568" spans="6:6" x14ac:dyDescent="0.2">
      <c r="F568" s="70"/>
    </row>
    <row r="569" spans="6:6" x14ac:dyDescent="0.2">
      <c r="F569" s="70"/>
    </row>
    <row r="570" spans="6:6" x14ac:dyDescent="0.2">
      <c r="F570" s="70"/>
    </row>
    <row r="571" spans="6:6" x14ac:dyDescent="0.2">
      <c r="F571" s="70"/>
    </row>
    <row r="572" spans="6:6" x14ac:dyDescent="0.2">
      <c r="F572" s="70"/>
    </row>
    <row r="573" spans="6:6" x14ac:dyDescent="0.2">
      <c r="F573" s="70"/>
    </row>
    <row r="574" spans="6:6" x14ac:dyDescent="0.2">
      <c r="F574" s="70"/>
    </row>
    <row r="575" spans="6:6" x14ac:dyDescent="0.2">
      <c r="F575" s="70"/>
    </row>
    <row r="576" spans="6:6" x14ac:dyDescent="0.2">
      <c r="F576" s="70"/>
    </row>
    <row r="577" spans="6:6" x14ac:dyDescent="0.2">
      <c r="F577" s="70"/>
    </row>
    <row r="578" spans="6:6" x14ac:dyDescent="0.2">
      <c r="F578" s="70"/>
    </row>
    <row r="579" spans="6:6" x14ac:dyDescent="0.2">
      <c r="F579" s="70"/>
    </row>
    <row r="580" spans="6:6" x14ac:dyDescent="0.2">
      <c r="F580" s="70"/>
    </row>
    <row r="581" spans="6:6" x14ac:dyDescent="0.2">
      <c r="F581" s="70"/>
    </row>
    <row r="582" spans="6:6" x14ac:dyDescent="0.2">
      <c r="F582" s="70"/>
    </row>
    <row r="583" spans="6:6" x14ac:dyDescent="0.2">
      <c r="F583" s="70"/>
    </row>
    <row r="584" spans="6:6" x14ac:dyDescent="0.2">
      <c r="F584" s="70"/>
    </row>
    <row r="585" spans="6:6" x14ac:dyDescent="0.2">
      <c r="F585" s="70"/>
    </row>
    <row r="586" spans="6:6" x14ac:dyDescent="0.2">
      <c r="F586" s="70"/>
    </row>
    <row r="587" spans="6:6" x14ac:dyDescent="0.2">
      <c r="F587" s="70"/>
    </row>
    <row r="588" spans="6:6" x14ac:dyDescent="0.2">
      <c r="F588" s="70"/>
    </row>
    <row r="589" spans="6:6" x14ac:dyDescent="0.2">
      <c r="F589" s="70"/>
    </row>
    <row r="590" spans="6:6" x14ac:dyDescent="0.2">
      <c r="F590" s="70"/>
    </row>
    <row r="591" spans="6:6" x14ac:dyDescent="0.2">
      <c r="F591" s="70"/>
    </row>
    <row r="592" spans="6:6" x14ac:dyDescent="0.2">
      <c r="F592" s="70"/>
    </row>
    <row r="593" spans="6:6" x14ac:dyDescent="0.2">
      <c r="F593" s="70"/>
    </row>
    <row r="594" spans="6:6" x14ac:dyDescent="0.2">
      <c r="F594" s="70"/>
    </row>
    <row r="595" spans="6:6" x14ac:dyDescent="0.2">
      <c r="F595" s="70"/>
    </row>
    <row r="596" spans="6:6" x14ac:dyDescent="0.2">
      <c r="F596" s="70"/>
    </row>
    <row r="597" spans="6:6" x14ac:dyDescent="0.2">
      <c r="F597" s="70"/>
    </row>
    <row r="598" spans="6:6" x14ac:dyDescent="0.2">
      <c r="F598" s="70"/>
    </row>
    <row r="599" spans="6:6" x14ac:dyDescent="0.2">
      <c r="F599" s="70"/>
    </row>
    <row r="600" spans="6:6" x14ac:dyDescent="0.2">
      <c r="F600" s="70"/>
    </row>
    <row r="601" spans="6:6" x14ac:dyDescent="0.2">
      <c r="F601" s="70"/>
    </row>
    <row r="602" spans="6:6" x14ac:dyDescent="0.2">
      <c r="F602" s="70"/>
    </row>
    <row r="603" spans="6:6" x14ac:dyDescent="0.2">
      <c r="F603" s="70"/>
    </row>
    <row r="604" spans="6:6" x14ac:dyDescent="0.2">
      <c r="F604" s="70"/>
    </row>
    <row r="605" spans="6:6" x14ac:dyDescent="0.2">
      <c r="F605" s="70"/>
    </row>
    <row r="606" spans="6:6" x14ac:dyDescent="0.2">
      <c r="F606" s="70"/>
    </row>
    <row r="607" spans="6:6" x14ac:dyDescent="0.2">
      <c r="F607" s="70"/>
    </row>
    <row r="608" spans="6:6" x14ac:dyDescent="0.2">
      <c r="F608" s="70"/>
    </row>
    <row r="609" spans="6:6" x14ac:dyDescent="0.2">
      <c r="F609" s="70"/>
    </row>
    <row r="610" spans="6:6" x14ac:dyDescent="0.2">
      <c r="F610" s="70"/>
    </row>
    <row r="611" spans="6:6" x14ac:dyDescent="0.2">
      <c r="F611" s="70"/>
    </row>
    <row r="612" spans="6:6" x14ac:dyDescent="0.2">
      <c r="F612" s="70"/>
    </row>
    <row r="613" spans="6:6" x14ac:dyDescent="0.2">
      <c r="F613" s="70"/>
    </row>
    <row r="614" spans="6:6" x14ac:dyDescent="0.2">
      <c r="F614" s="70"/>
    </row>
    <row r="615" spans="6:6" x14ac:dyDescent="0.2">
      <c r="F615" s="70"/>
    </row>
    <row r="616" spans="6:6" x14ac:dyDescent="0.2">
      <c r="F616" s="70"/>
    </row>
    <row r="617" spans="6:6" x14ac:dyDescent="0.2">
      <c r="F617" s="70"/>
    </row>
    <row r="618" spans="6:6" x14ac:dyDescent="0.2">
      <c r="F618" s="70"/>
    </row>
    <row r="619" spans="6:6" x14ac:dyDescent="0.2">
      <c r="F619" s="70"/>
    </row>
    <row r="620" spans="6:6" x14ac:dyDescent="0.2">
      <c r="F620" s="70"/>
    </row>
    <row r="621" spans="6:6" x14ac:dyDescent="0.2">
      <c r="F621" s="70"/>
    </row>
    <row r="622" spans="6:6" x14ac:dyDescent="0.2">
      <c r="F622" s="70"/>
    </row>
    <row r="623" spans="6:6" x14ac:dyDescent="0.2">
      <c r="F623" s="70"/>
    </row>
    <row r="624" spans="6:6" x14ac:dyDescent="0.2">
      <c r="F624" s="70"/>
    </row>
    <row r="625" spans="6:6" x14ac:dyDescent="0.2">
      <c r="F625" s="70"/>
    </row>
    <row r="626" spans="6:6" x14ac:dyDescent="0.2">
      <c r="F626" s="70"/>
    </row>
    <row r="627" spans="6:6" x14ac:dyDescent="0.2">
      <c r="F627" s="70"/>
    </row>
    <row r="628" spans="6:6" x14ac:dyDescent="0.2">
      <c r="F628" s="70"/>
    </row>
    <row r="629" spans="6:6" x14ac:dyDescent="0.2">
      <c r="F629" s="70"/>
    </row>
    <row r="630" spans="6:6" x14ac:dyDescent="0.2">
      <c r="F630" s="70"/>
    </row>
    <row r="631" spans="6:6" x14ac:dyDescent="0.2">
      <c r="F631" s="70"/>
    </row>
    <row r="632" spans="6:6" x14ac:dyDescent="0.2">
      <c r="F632" s="70"/>
    </row>
    <row r="633" spans="6:6" x14ac:dyDescent="0.2">
      <c r="F633" s="70"/>
    </row>
    <row r="634" spans="6:6" x14ac:dyDescent="0.2">
      <c r="F634" s="70"/>
    </row>
    <row r="635" spans="6:6" x14ac:dyDescent="0.2">
      <c r="F635" s="70"/>
    </row>
    <row r="636" spans="6:6" x14ac:dyDescent="0.2">
      <c r="F636" s="70"/>
    </row>
    <row r="637" spans="6:6" x14ac:dyDescent="0.2">
      <c r="F637" s="70"/>
    </row>
    <row r="638" spans="6:6" x14ac:dyDescent="0.2">
      <c r="F638" s="70"/>
    </row>
    <row r="639" spans="6:6" x14ac:dyDescent="0.2">
      <c r="F639" s="70"/>
    </row>
    <row r="640" spans="6:6" x14ac:dyDescent="0.2">
      <c r="F640" s="70"/>
    </row>
    <row r="641" spans="6:6" x14ac:dyDescent="0.2">
      <c r="F641" s="70"/>
    </row>
    <row r="642" spans="6:6" x14ac:dyDescent="0.2">
      <c r="F642" s="70"/>
    </row>
    <row r="643" spans="6:6" x14ac:dyDescent="0.2">
      <c r="F643" s="70"/>
    </row>
    <row r="644" spans="6:6" x14ac:dyDescent="0.2">
      <c r="F644" s="70"/>
    </row>
    <row r="645" spans="6:6" x14ac:dyDescent="0.2">
      <c r="F645" s="70"/>
    </row>
    <row r="646" spans="6:6" x14ac:dyDescent="0.2">
      <c r="F646" s="70"/>
    </row>
    <row r="647" spans="6:6" x14ac:dyDescent="0.2">
      <c r="F647" s="70"/>
    </row>
    <row r="648" spans="6:6" x14ac:dyDescent="0.2">
      <c r="F648" s="70"/>
    </row>
    <row r="649" spans="6:6" x14ac:dyDescent="0.2">
      <c r="F649" s="70"/>
    </row>
    <row r="650" spans="6:6" x14ac:dyDescent="0.2">
      <c r="F650" s="70"/>
    </row>
    <row r="651" spans="6:6" x14ac:dyDescent="0.2">
      <c r="F651" s="70"/>
    </row>
    <row r="652" spans="6:6" x14ac:dyDescent="0.2">
      <c r="F652" s="70"/>
    </row>
    <row r="653" spans="6:6" x14ac:dyDescent="0.2">
      <c r="F653" s="70"/>
    </row>
    <row r="654" spans="6:6" x14ac:dyDescent="0.2">
      <c r="F654" s="70"/>
    </row>
    <row r="655" spans="6:6" x14ac:dyDescent="0.2">
      <c r="F655" s="70"/>
    </row>
    <row r="656" spans="6:6" x14ac:dyDescent="0.2">
      <c r="F656" s="70"/>
    </row>
    <row r="657" spans="6:6" x14ac:dyDescent="0.2">
      <c r="F657" s="70"/>
    </row>
    <row r="658" spans="6:6" x14ac:dyDescent="0.2">
      <c r="F658" s="70"/>
    </row>
    <row r="659" spans="6:6" x14ac:dyDescent="0.2">
      <c r="F659" s="70"/>
    </row>
    <row r="660" spans="6:6" x14ac:dyDescent="0.2">
      <c r="F660" s="70"/>
    </row>
    <row r="661" spans="6:6" x14ac:dyDescent="0.2">
      <c r="F661" s="70"/>
    </row>
    <row r="662" spans="6:6" x14ac:dyDescent="0.2">
      <c r="F662" s="70"/>
    </row>
    <row r="663" spans="6:6" x14ac:dyDescent="0.2">
      <c r="F663" s="70"/>
    </row>
    <row r="664" spans="6:6" x14ac:dyDescent="0.2">
      <c r="F664" s="70"/>
    </row>
    <row r="665" spans="6:6" x14ac:dyDescent="0.2">
      <c r="F665" s="70"/>
    </row>
    <row r="666" spans="6:6" x14ac:dyDescent="0.2">
      <c r="F666" s="70"/>
    </row>
    <row r="667" spans="6:6" x14ac:dyDescent="0.2">
      <c r="F667" s="70"/>
    </row>
    <row r="668" spans="6:6" x14ac:dyDescent="0.2">
      <c r="F668" s="70"/>
    </row>
    <row r="669" spans="6:6" x14ac:dyDescent="0.2">
      <c r="F669" s="70"/>
    </row>
    <row r="670" spans="6:6" x14ac:dyDescent="0.2">
      <c r="F670" s="70"/>
    </row>
    <row r="671" spans="6:6" x14ac:dyDescent="0.2">
      <c r="F671" s="70"/>
    </row>
    <row r="672" spans="6:6" x14ac:dyDescent="0.2">
      <c r="F672" s="70"/>
    </row>
    <row r="673" spans="6:6" x14ac:dyDescent="0.2">
      <c r="F673" s="70"/>
    </row>
    <row r="674" spans="6:6" x14ac:dyDescent="0.2">
      <c r="F674" s="70"/>
    </row>
    <row r="675" spans="6:6" x14ac:dyDescent="0.2">
      <c r="F675" s="70"/>
    </row>
    <row r="676" spans="6:6" x14ac:dyDescent="0.2">
      <c r="F676" s="70"/>
    </row>
    <row r="677" spans="6:6" x14ac:dyDescent="0.2">
      <c r="F677" s="70"/>
    </row>
    <row r="678" spans="6:6" x14ac:dyDescent="0.2">
      <c r="F678" s="70"/>
    </row>
    <row r="679" spans="6:6" x14ac:dyDescent="0.2">
      <c r="F679" s="70"/>
    </row>
    <row r="680" spans="6:6" x14ac:dyDescent="0.2">
      <c r="F680" s="70"/>
    </row>
    <row r="681" spans="6:6" x14ac:dyDescent="0.2">
      <c r="F681" s="70"/>
    </row>
    <row r="682" spans="6:6" x14ac:dyDescent="0.2">
      <c r="F682" s="70"/>
    </row>
    <row r="683" spans="6:6" x14ac:dyDescent="0.2">
      <c r="F683" s="70"/>
    </row>
    <row r="684" spans="6:6" x14ac:dyDescent="0.2">
      <c r="F684" s="70"/>
    </row>
    <row r="685" spans="6:6" x14ac:dyDescent="0.2">
      <c r="F685" s="70"/>
    </row>
    <row r="686" spans="6:6" x14ac:dyDescent="0.2">
      <c r="F686" s="70"/>
    </row>
    <row r="687" spans="6:6" x14ac:dyDescent="0.2">
      <c r="F687" s="70"/>
    </row>
    <row r="688" spans="6:6" x14ac:dyDescent="0.2">
      <c r="F688" s="70"/>
    </row>
    <row r="689" spans="6:6" x14ac:dyDescent="0.2">
      <c r="F689" s="70"/>
    </row>
    <row r="690" spans="6:6" x14ac:dyDescent="0.2">
      <c r="F690" s="70"/>
    </row>
    <row r="691" spans="6:6" x14ac:dyDescent="0.2">
      <c r="F691" s="70"/>
    </row>
    <row r="692" spans="6:6" x14ac:dyDescent="0.2">
      <c r="F692" s="70"/>
    </row>
    <row r="693" spans="6:6" x14ac:dyDescent="0.2">
      <c r="F693" s="70"/>
    </row>
    <row r="694" spans="6:6" x14ac:dyDescent="0.2">
      <c r="F694" s="70"/>
    </row>
    <row r="695" spans="6:6" x14ac:dyDescent="0.2">
      <c r="F695" s="70"/>
    </row>
    <row r="696" spans="6:6" x14ac:dyDescent="0.2">
      <c r="F696" s="70"/>
    </row>
    <row r="697" spans="6:6" x14ac:dyDescent="0.2">
      <c r="F697" s="70"/>
    </row>
    <row r="698" spans="6:6" x14ac:dyDescent="0.2">
      <c r="F698" s="70"/>
    </row>
    <row r="699" spans="6:6" x14ac:dyDescent="0.2">
      <c r="F699" s="70"/>
    </row>
    <row r="700" spans="6:6" x14ac:dyDescent="0.2">
      <c r="F700" s="70"/>
    </row>
    <row r="701" spans="6:6" x14ac:dyDescent="0.2">
      <c r="F701" s="70"/>
    </row>
    <row r="702" spans="6:6" x14ac:dyDescent="0.2">
      <c r="F702" s="70"/>
    </row>
    <row r="703" spans="6:6" x14ac:dyDescent="0.2">
      <c r="F703" s="70"/>
    </row>
    <row r="704" spans="6:6" x14ac:dyDescent="0.2">
      <c r="F704" s="70"/>
    </row>
    <row r="705" spans="6:6" x14ac:dyDescent="0.2">
      <c r="F705" s="70"/>
    </row>
    <row r="706" spans="6:6" x14ac:dyDescent="0.2">
      <c r="F706" s="70"/>
    </row>
    <row r="707" spans="6:6" x14ac:dyDescent="0.2">
      <c r="F707" s="70"/>
    </row>
    <row r="708" spans="6:6" x14ac:dyDescent="0.2">
      <c r="F708" s="70"/>
    </row>
    <row r="709" spans="6:6" x14ac:dyDescent="0.2">
      <c r="F709" s="70"/>
    </row>
    <row r="710" spans="6:6" x14ac:dyDescent="0.2">
      <c r="F710" s="70"/>
    </row>
    <row r="711" spans="6:6" x14ac:dyDescent="0.2">
      <c r="F711" s="70"/>
    </row>
    <row r="712" spans="6:6" x14ac:dyDescent="0.2">
      <c r="F712" s="70"/>
    </row>
    <row r="713" spans="6:6" x14ac:dyDescent="0.2">
      <c r="F713" s="70"/>
    </row>
    <row r="714" spans="6:6" x14ac:dyDescent="0.2">
      <c r="F714" s="70"/>
    </row>
    <row r="715" spans="6:6" x14ac:dyDescent="0.2">
      <c r="F715" s="70"/>
    </row>
    <row r="716" spans="6:6" x14ac:dyDescent="0.2">
      <c r="F716" s="70"/>
    </row>
    <row r="717" spans="6:6" x14ac:dyDescent="0.2">
      <c r="F717" s="70"/>
    </row>
    <row r="718" spans="6:6" x14ac:dyDescent="0.2">
      <c r="F718" s="70"/>
    </row>
    <row r="719" spans="6:6" x14ac:dyDescent="0.2">
      <c r="F719" s="70"/>
    </row>
    <row r="720" spans="6:6" x14ac:dyDescent="0.2">
      <c r="F720" s="70"/>
    </row>
    <row r="721" spans="6:6" x14ac:dyDescent="0.2">
      <c r="F721" s="70"/>
    </row>
    <row r="722" spans="6:6" x14ac:dyDescent="0.2">
      <c r="F722" s="70"/>
    </row>
    <row r="723" spans="6:6" x14ac:dyDescent="0.2">
      <c r="F723" s="70"/>
    </row>
    <row r="724" spans="6:6" x14ac:dyDescent="0.2">
      <c r="F724" s="70"/>
    </row>
    <row r="725" spans="6:6" x14ac:dyDescent="0.2">
      <c r="F725" s="70"/>
    </row>
    <row r="726" spans="6:6" x14ac:dyDescent="0.2">
      <c r="F726" s="70"/>
    </row>
    <row r="727" spans="6:6" x14ac:dyDescent="0.2">
      <c r="F727" s="70"/>
    </row>
    <row r="728" spans="6:6" x14ac:dyDescent="0.2">
      <c r="F728" s="70"/>
    </row>
    <row r="729" spans="6:6" x14ac:dyDescent="0.2">
      <c r="F729" s="70"/>
    </row>
    <row r="730" spans="6:6" x14ac:dyDescent="0.2">
      <c r="F730" s="70"/>
    </row>
    <row r="731" spans="6:6" x14ac:dyDescent="0.2">
      <c r="F731" s="70"/>
    </row>
    <row r="732" spans="6:6" x14ac:dyDescent="0.2">
      <c r="F732" s="70"/>
    </row>
    <row r="733" spans="6:6" x14ac:dyDescent="0.2">
      <c r="F733" s="70"/>
    </row>
    <row r="734" spans="6:6" x14ac:dyDescent="0.2">
      <c r="F734" s="70"/>
    </row>
    <row r="735" spans="6:6" x14ac:dyDescent="0.2">
      <c r="F735" s="70"/>
    </row>
    <row r="736" spans="6:6" x14ac:dyDescent="0.2">
      <c r="F736" s="70"/>
    </row>
    <row r="737" spans="6:6" x14ac:dyDescent="0.2">
      <c r="F737" s="70"/>
    </row>
    <row r="738" spans="6:6" x14ac:dyDescent="0.2">
      <c r="F738" s="70"/>
    </row>
    <row r="739" spans="6:6" x14ac:dyDescent="0.2">
      <c r="F739" s="70"/>
    </row>
    <row r="740" spans="6:6" x14ac:dyDescent="0.2">
      <c r="F740" s="70"/>
    </row>
    <row r="741" spans="6:6" x14ac:dyDescent="0.2">
      <c r="F741" s="70"/>
    </row>
    <row r="742" spans="6:6" x14ac:dyDescent="0.2">
      <c r="F742" s="70"/>
    </row>
    <row r="743" spans="6:6" x14ac:dyDescent="0.2">
      <c r="F743" s="70"/>
    </row>
    <row r="744" spans="6:6" x14ac:dyDescent="0.2">
      <c r="F744" s="70"/>
    </row>
    <row r="745" spans="6:6" x14ac:dyDescent="0.2">
      <c r="F745" s="70"/>
    </row>
    <row r="746" spans="6:6" x14ac:dyDescent="0.2">
      <c r="F746" s="70"/>
    </row>
    <row r="747" spans="6:6" x14ac:dyDescent="0.2">
      <c r="F747" s="70"/>
    </row>
    <row r="748" spans="6:6" x14ac:dyDescent="0.2">
      <c r="F748" s="70"/>
    </row>
    <row r="749" spans="6:6" x14ac:dyDescent="0.2">
      <c r="F749" s="70"/>
    </row>
    <row r="750" spans="6:6" x14ac:dyDescent="0.2">
      <c r="F750" s="70"/>
    </row>
    <row r="751" spans="6:6" x14ac:dyDescent="0.2">
      <c r="F751" s="70"/>
    </row>
    <row r="752" spans="6:6" x14ac:dyDescent="0.2">
      <c r="F752" s="70"/>
    </row>
    <row r="753" spans="6:6" x14ac:dyDescent="0.2">
      <c r="F753" s="70"/>
    </row>
    <row r="754" spans="6:6" x14ac:dyDescent="0.2">
      <c r="F754" s="70"/>
    </row>
    <row r="755" spans="6:6" x14ac:dyDescent="0.2">
      <c r="F755" s="70"/>
    </row>
    <row r="756" spans="6:6" x14ac:dyDescent="0.2">
      <c r="F756" s="70"/>
    </row>
    <row r="757" spans="6:6" x14ac:dyDescent="0.2">
      <c r="F757" s="70"/>
    </row>
    <row r="758" spans="6:6" x14ac:dyDescent="0.2">
      <c r="F758" s="70"/>
    </row>
    <row r="759" spans="6:6" x14ac:dyDescent="0.2">
      <c r="F759" s="70"/>
    </row>
    <row r="760" spans="6:6" x14ac:dyDescent="0.2">
      <c r="F760" s="70"/>
    </row>
    <row r="761" spans="6:6" x14ac:dyDescent="0.2">
      <c r="F761" s="70"/>
    </row>
    <row r="762" spans="6:6" x14ac:dyDescent="0.2">
      <c r="F762" s="70"/>
    </row>
    <row r="763" spans="6:6" x14ac:dyDescent="0.2">
      <c r="F763" s="70"/>
    </row>
    <row r="764" spans="6:6" x14ac:dyDescent="0.2">
      <c r="F764" s="70"/>
    </row>
    <row r="765" spans="6:6" x14ac:dyDescent="0.2">
      <c r="F765" s="70"/>
    </row>
    <row r="766" spans="6:6" x14ac:dyDescent="0.2">
      <c r="F766" s="70"/>
    </row>
    <row r="767" spans="6:6" x14ac:dyDescent="0.2">
      <c r="F767" s="70"/>
    </row>
    <row r="768" spans="6:6" x14ac:dyDescent="0.2">
      <c r="F768" s="70"/>
    </row>
    <row r="769" spans="6:6" x14ac:dyDescent="0.2">
      <c r="F769" s="70"/>
    </row>
    <row r="770" spans="6:6" x14ac:dyDescent="0.2">
      <c r="F770" s="70"/>
    </row>
    <row r="771" spans="6:6" x14ac:dyDescent="0.2">
      <c r="F771" s="70"/>
    </row>
    <row r="772" spans="6:6" x14ac:dyDescent="0.2">
      <c r="F772" s="70"/>
    </row>
    <row r="773" spans="6:6" x14ac:dyDescent="0.2">
      <c r="F773" s="70"/>
    </row>
    <row r="774" spans="6:6" x14ac:dyDescent="0.2">
      <c r="F774" s="70"/>
    </row>
    <row r="775" spans="6:6" x14ac:dyDescent="0.2">
      <c r="F775" s="70"/>
    </row>
    <row r="776" spans="6:6" x14ac:dyDescent="0.2">
      <c r="F776" s="70"/>
    </row>
    <row r="777" spans="6:6" x14ac:dyDescent="0.2">
      <c r="F777" s="70"/>
    </row>
    <row r="778" spans="6:6" x14ac:dyDescent="0.2">
      <c r="F778" s="70"/>
    </row>
    <row r="779" spans="6:6" x14ac:dyDescent="0.2">
      <c r="F779" s="70"/>
    </row>
    <row r="780" spans="6:6" x14ac:dyDescent="0.2">
      <c r="F780" s="70"/>
    </row>
    <row r="781" spans="6:6" x14ac:dyDescent="0.2">
      <c r="F781" s="70"/>
    </row>
    <row r="782" spans="6:6" x14ac:dyDescent="0.2">
      <c r="F782" s="70"/>
    </row>
    <row r="783" spans="6:6" x14ac:dyDescent="0.2">
      <c r="F783" s="70"/>
    </row>
    <row r="784" spans="6:6" x14ac:dyDescent="0.2">
      <c r="F784" s="70"/>
    </row>
    <row r="785" spans="6:6" x14ac:dyDescent="0.2">
      <c r="F785" s="70"/>
    </row>
    <row r="786" spans="6:6" x14ac:dyDescent="0.2">
      <c r="F786" s="70"/>
    </row>
    <row r="787" spans="6:6" x14ac:dyDescent="0.2">
      <c r="F787" s="70"/>
    </row>
    <row r="788" spans="6:6" x14ac:dyDescent="0.2">
      <c r="F788" s="70"/>
    </row>
    <row r="789" spans="6:6" x14ac:dyDescent="0.2">
      <c r="F789" s="70"/>
    </row>
    <row r="790" spans="6:6" x14ac:dyDescent="0.2">
      <c r="F790" s="70"/>
    </row>
    <row r="791" spans="6:6" x14ac:dyDescent="0.2">
      <c r="F791" s="70"/>
    </row>
    <row r="792" spans="6:6" x14ac:dyDescent="0.2">
      <c r="F792" s="70"/>
    </row>
    <row r="793" spans="6:6" x14ac:dyDescent="0.2">
      <c r="F793" s="70"/>
    </row>
    <row r="794" spans="6:6" x14ac:dyDescent="0.2">
      <c r="F794" s="70"/>
    </row>
    <row r="795" spans="6:6" x14ac:dyDescent="0.2">
      <c r="F795" s="70"/>
    </row>
    <row r="796" spans="6:6" x14ac:dyDescent="0.2">
      <c r="F796" s="70"/>
    </row>
    <row r="797" spans="6:6" x14ac:dyDescent="0.2">
      <c r="F797" s="70"/>
    </row>
    <row r="798" spans="6:6" x14ac:dyDescent="0.2">
      <c r="F798" s="70"/>
    </row>
    <row r="799" spans="6:6" x14ac:dyDescent="0.2">
      <c r="F799" s="70"/>
    </row>
    <row r="800" spans="6:6" x14ac:dyDescent="0.2">
      <c r="F800" s="70"/>
    </row>
    <row r="801" spans="6:6" x14ac:dyDescent="0.2">
      <c r="F801" s="70"/>
    </row>
    <row r="802" spans="6:6" x14ac:dyDescent="0.2">
      <c r="F802" s="70"/>
    </row>
    <row r="803" spans="6:6" x14ac:dyDescent="0.2">
      <c r="F803" s="70"/>
    </row>
    <row r="804" spans="6:6" x14ac:dyDescent="0.2">
      <c r="F804" s="70"/>
    </row>
    <row r="805" spans="6:6" x14ac:dyDescent="0.2">
      <c r="F805" s="70"/>
    </row>
    <row r="806" spans="6:6" x14ac:dyDescent="0.2">
      <c r="F806" s="70"/>
    </row>
    <row r="807" spans="6:6" x14ac:dyDescent="0.2">
      <c r="F807" s="70"/>
    </row>
    <row r="808" spans="6:6" x14ac:dyDescent="0.2">
      <c r="F808" s="70"/>
    </row>
    <row r="809" spans="6:6" x14ac:dyDescent="0.2">
      <c r="F809" s="70"/>
    </row>
    <row r="810" spans="6:6" x14ac:dyDescent="0.2">
      <c r="F810" s="70"/>
    </row>
    <row r="811" spans="6:6" x14ac:dyDescent="0.2">
      <c r="F811" s="70"/>
    </row>
    <row r="812" spans="6:6" x14ac:dyDescent="0.2">
      <c r="F812" s="70"/>
    </row>
    <row r="813" spans="6:6" x14ac:dyDescent="0.2">
      <c r="F813" s="70"/>
    </row>
    <row r="814" spans="6:6" x14ac:dyDescent="0.2">
      <c r="F814" s="70"/>
    </row>
    <row r="815" spans="6:6" x14ac:dyDescent="0.2">
      <c r="F815" s="70"/>
    </row>
    <row r="816" spans="6:6" x14ac:dyDescent="0.2">
      <c r="F816" s="70"/>
    </row>
    <row r="817" spans="6:6" x14ac:dyDescent="0.2">
      <c r="F817" s="70"/>
    </row>
    <row r="818" spans="6:6" x14ac:dyDescent="0.2">
      <c r="F818" s="70"/>
    </row>
    <row r="819" spans="6:6" x14ac:dyDescent="0.2">
      <c r="F819" s="70"/>
    </row>
    <row r="820" spans="6:6" x14ac:dyDescent="0.2">
      <c r="F820" s="70"/>
    </row>
    <row r="821" spans="6:6" x14ac:dyDescent="0.2">
      <c r="F821" s="70"/>
    </row>
    <row r="822" spans="6:6" x14ac:dyDescent="0.2">
      <c r="F822" s="70"/>
    </row>
    <row r="823" spans="6:6" x14ac:dyDescent="0.2">
      <c r="F823" s="70"/>
    </row>
    <row r="824" spans="6:6" x14ac:dyDescent="0.2">
      <c r="F824" s="70"/>
    </row>
    <row r="825" spans="6:6" x14ac:dyDescent="0.2">
      <c r="F825" s="70"/>
    </row>
    <row r="826" spans="6:6" x14ac:dyDescent="0.2">
      <c r="F826" s="70"/>
    </row>
    <row r="827" spans="6:6" x14ac:dyDescent="0.2">
      <c r="F827" s="70"/>
    </row>
    <row r="828" spans="6:6" x14ac:dyDescent="0.2">
      <c r="F828" s="70"/>
    </row>
    <row r="829" spans="6:6" x14ac:dyDescent="0.2">
      <c r="F829" s="70"/>
    </row>
    <row r="830" spans="6:6" x14ac:dyDescent="0.2">
      <c r="F830" s="70"/>
    </row>
    <row r="831" spans="6:6" x14ac:dyDescent="0.2">
      <c r="F831" s="70"/>
    </row>
    <row r="832" spans="6:6" x14ac:dyDescent="0.2">
      <c r="F832" s="70"/>
    </row>
    <row r="833" spans="6:6" x14ac:dyDescent="0.2">
      <c r="F833" s="70"/>
    </row>
    <row r="834" spans="6:6" x14ac:dyDescent="0.2">
      <c r="F834" s="70"/>
    </row>
    <row r="835" spans="6:6" x14ac:dyDescent="0.2">
      <c r="F835" s="70"/>
    </row>
    <row r="836" spans="6:6" x14ac:dyDescent="0.2">
      <c r="F836" s="70"/>
    </row>
    <row r="837" spans="6:6" x14ac:dyDescent="0.2">
      <c r="F837" s="70"/>
    </row>
    <row r="838" spans="6:6" x14ac:dyDescent="0.2">
      <c r="F838" s="70"/>
    </row>
    <row r="839" spans="6:6" x14ac:dyDescent="0.2">
      <c r="F839" s="70"/>
    </row>
    <row r="840" spans="6:6" x14ac:dyDescent="0.2">
      <c r="F840" s="70"/>
    </row>
    <row r="841" spans="6:6" x14ac:dyDescent="0.2">
      <c r="F841" s="70"/>
    </row>
    <row r="842" spans="6:6" x14ac:dyDescent="0.2">
      <c r="F842" s="70"/>
    </row>
    <row r="843" spans="6:6" x14ac:dyDescent="0.2">
      <c r="F843" s="70"/>
    </row>
    <row r="844" spans="6:6" x14ac:dyDescent="0.2">
      <c r="F844" s="70"/>
    </row>
    <row r="845" spans="6:6" x14ac:dyDescent="0.2">
      <c r="F845" s="70"/>
    </row>
    <row r="846" spans="6:6" x14ac:dyDescent="0.2">
      <c r="F846" s="70"/>
    </row>
    <row r="847" spans="6:6" x14ac:dyDescent="0.2">
      <c r="F847" s="70"/>
    </row>
    <row r="848" spans="6:6" x14ac:dyDescent="0.2">
      <c r="F848" s="70"/>
    </row>
    <row r="849" spans="6:6" x14ac:dyDescent="0.2">
      <c r="F849" s="70"/>
    </row>
    <row r="850" spans="6:6" x14ac:dyDescent="0.2">
      <c r="F850" s="70"/>
    </row>
    <row r="851" spans="6:6" x14ac:dyDescent="0.2">
      <c r="F851" s="70"/>
    </row>
    <row r="852" spans="6:6" x14ac:dyDescent="0.2">
      <c r="F852" s="70"/>
    </row>
    <row r="853" spans="6:6" x14ac:dyDescent="0.2">
      <c r="F853" s="70"/>
    </row>
    <row r="854" spans="6:6" x14ac:dyDescent="0.2">
      <c r="F854" s="70"/>
    </row>
    <row r="855" spans="6:6" x14ac:dyDescent="0.2">
      <c r="F855" s="70"/>
    </row>
    <row r="856" spans="6:6" x14ac:dyDescent="0.2">
      <c r="F856" s="70"/>
    </row>
    <row r="857" spans="6:6" x14ac:dyDescent="0.2">
      <c r="F857" s="70"/>
    </row>
    <row r="858" spans="6:6" x14ac:dyDescent="0.2">
      <c r="F858" s="70"/>
    </row>
    <row r="859" spans="6:6" x14ac:dyDescent="0.2">
      <c r="F859" s="70"/>
    </row>
    <row r="860" spans="6:6" x14ac:dyDescent="0.2">
      <c r="F860" s="70"/>
    </row>
    <row r="861" spans="6:6" x14ac:dyDescent="0.2">
      <c r="F861" s="70"/>
    </row>
    <row r="862" spans="6:6" x14ac:dyDescent="0.2">
      <c r="F862" s="70"/>
    </row>
    <row r="863" spans="6:6" x14ac:dyDescent="0.2">
      <c r="F863" s="70"/>
    </row>
    <row r="864" spans="6:6" x14ac:dyDescent="0.2">
      <c r="F864" s="70"/>
    </row>
    <row r="865" spans="6:6" x14ac:dyDescent="0.2">
      <c r="F865" s="70"/>
    </row>
    <row r="866" spans="6:6" x14ac:dyDescent="0.2">
      <c r="F866" s="70"/>
    </row>
    <row r="867" spans="6:6" x14ac:dyDescent="0.2">
      <c r="F867" s="70"/>
    </row>
    <row r="868" spans="6:6" x14ac:dyDescent="0.2">
      <c r="F868" s="70"/>
    </row>
    <row r="869" spans="6:6" x14ac:dyDescent="0.2">
      <c r="F869" s="70"/>
    </row>
    <row r="870" spans="6:6" x14ac:dyDescent="0.2">
      <c r="F870" s="70"/>
    </row>
    <row r="871" spans="6:6" x14ac:dyDescent="0.2">
      <c r="F871" s="70"/>
    </row>
    <row r="872" spans="6:6" x14ac:dyDescent="0.2">
      <c r="F872" s="70"/>
    </row>
    <row r="873" spans="6:6" x14ac:dyDescent="0.2">
      <c r="F873" s="70"/>
    </row>
    <row r="874" spans="6:6" x14ac:dyDescent="0.2">
      <c r="F874" s="70"/>
    </row>
    <row r="875" spans="6:6" x14ac:dyDescent="0.2">
      <c r="F875" s="70"/>
    </row>
    <row r="876" spans="6:6" x14ac:dyDescent="0.2">
      <c r="F876" s="70"/>
    </row>
    <row r="877" spans="6:6" x14ac:dyDescent="0.2">
      <c r="F877" s="70"/>
    </row>
    <row r="878" spans="6:6" x14ac:dyDescent="0.2">
      <c r="F878" s="70"/>
    </row>
    <row r="879" spans="6:6" x14ac:dyDescent="0.2">
      <c r="F879" s="70"/>
    </row>
    <row r="880" spans="6:6" x14ac:dyDescent="0.2">
      <c r="F880" s="70"/>
    </row>
    <row r="881" spans="6:6" x14ac:dyDescent="0.2">
      <c r="F881" s="70"/>
    </row>
    <row r="882" spans="6:6" x14ac:dyDescent="0.2">
      <c r="F882" s="70"/>
    </row>
    <row r="883" spans="6:6" x14ac:dyDescent="0.2">
      <c r="F883" s="70"/>
    </row>
    <row r="884" spans="6:6" x14ac:dyDescent="0.2">
      <c r="F884" s="70"/>
    </row>
    <row r="885" spans="6:6" x14ac:dyDescent="0.2">
      <c r="F885" s="70"/>
    </row>
    <row r="886" spans="6:6" x14ac:dyDescent="0.2">
      <c r="F886" s="70"/>
    </row>
    <row r="887" spans="6:6" x14ac:dyDescent="0.2">
      <c r="F887" s="70"/>
    </row>
    <row r="888" spans="6:6" x14ac:dyDescent="0.2">
      <c r="F888" s="70"/>
    </row>
    <row r="889" spans="6:6" x14ac:dyDescent="0.2">
      <c r="F889" s="70"/>
    </row>
    <row r="890" spans="6:6" x14ac:dyDescent="0.2">
      <c r="F890" s="70"/>
    </row>
    <row r="891" spans="6:6" x14ac:dyDescent="0.2">
      <c r="F891" s="70"/>
    </row>
    <row r="892" spans="6:6" x14ac:dyDescent="0.2">
      <c r="F892" s="70"/>
    </row>
    <row r="893" spans="6:6" x14ac:dyDescent="0.2">
      <c r="F893" s="70"/>
    </row>
    <row r="894" spans="6:6" x14ac:dyDescent="0.2">
      <c r="F894" s="70"/>
    </row>
    <row r="895" spans="6:6" x14ac:dyDescent="0.2">
      <c r="F895" s="70"/>
    </row>
    <row r="896" spans="6:6" x14ac:dyDescent="0.2">
      <c r="F896" s="70"/>
    </row>
    <row r="897" spans="6:6" x14ac:dyDescent="0.2">
      <c r="F897" s="70"/>
    </row>
    <row r="898" spans="6:6" x14ac:dyDescent="0.2">
      <c r="F898" s="70"/>
    </row>
    <row r="899" spans="6:6" x14ac:dyDescent="0.2">
      <c r="F899" s="70"/>
    </row>
    <row r="900" spans="6:6" x14ac:dyDescent="0.2">
      <c r="F900" s="70"/>
    </row>
    <row r="901" spans="6:6" x14ac:dyDescent="0.2">
      <c r="F901" s="70"/>
    </row>
    <row r="902" spans="6:6" x14ac:dyDescent="0.2">
      <c r="F902" s="70"/>
    </row>
    <row r="903" spans="6:6" x14ac:dyDescent="0.2">
      <c r="F903" s="70"/>
    </row>
    <row r="904" spans="6:6" x14ac:dyDescent="0.2">
      <c r="F904" s="70"/>
    </row>
    <row r="905" spans="6:6" x14ac:dyDescent="0.2">
      <c r="F905" s="70"/>
    </row>
    <row r="906" spans="6:6" x14ac:dyDescent="0.2">
      <c r="F906" s="70"/>
    </row>
    <row r="907" spans="6:6" x14ac:dyDescent="0.2">
      <c r="F907" s="70"/>
    </row>
    <row r="908" spans="6:6" x14ac:dyDescent="0.2">
      <c r="F908" s="70"/>
    </row>
    <row r="909" spans="6:6" x14ac:dyDescent="0.2">
      <c r="F909" s="70"/>
    </row>
    <row r="910" spans="6:6" x14ac:dyDescent="0.2">
      <c r="F910" s="70"/>
    </row>
    <row r="911" spans="6:6" x14ac:dyDescent="0.2">
      <c r="F911" s="70"/>
    </row>
    <row r="912" spans="6:6" x14ac:dyDescent="0.2">
      <c r="F912" s="70"/>
    </row>
    <row r="913" spans="6:6" x14ac:dyDescent="0.2">
      <c r="F913" s="70"/>
    </row>
    <row r="914" spans="6:6" x14ac:dyDescent="0.2">
      <c r="F914" s="70"/>
    </row>
    <row r="915" spans="6:6" x14ac:dyDescent="0.2">
      <c r="F915" s="70"/>
    </row>
    <row r="916" spans="6:6" x14ac:dyDescent="0.2">
      <c r="F916" s="70"/>
    </row>
    <row r="917" spans="6:6" x14ac:dyDescent="0.2">
      <c r="F917" s="70"/>
    </row>
    <row r="918" spans="6:6" x14ac:dyDescent="0.2">
      <c r="F918" s="70"/>
    </row>
    <row r="919" spans="6:6" x14ac:dyDescent="0.2">
      <c r="F919" s="70"/>
    </row>
    <row r="920" spans="6:6" x14ac:dyDescent="0.2">
      <c r="F920" s="70"/>
    </row>
    <row r="921" spans="6:6" x14ac:dyDescent="0.2">
      <c r="F921" s="70"/>
    </row>
    <row r="922" spans="6:6" x14ac:dyDescent="0.2">
      <c r="F922" s="70"/>
    </row>
    <row r="923" spans="6:6" x14ac:dyDescent="0.2">
      <c r="F923" s="70"/>
    </row>
    <row r="924" spans="6:6" x14ac:dyDescent="0.2">
      <c r="F924" s="70"/>
    </row>
    <row r="925" spans="6:6" x14ac:dyDescent="0.2">
      <c r="F925" s="70"/>
    </row>
    <row r="926" spans="6:6" x14ac:dyDescent="0.2">
      <c r="F926" s="70"/>
    </row>
    <row r="927" spans="6:6" x14ac:dyDescent="0.2">
      <c r="F927" s="70"/>
    </row>
    <row r="928" spans="6:6" x14ac:dyDescent="0.2">
      <c r="F928" s="70"/>
    </row>
    <row r="929" spans="6:6" x14ac:dyDescent="0.2">
      <c r="F929" s="70"/>
    </row>
    <row r="930" spans="6:6" x14ac:dyDescent="0.2">
      <c r="F930" s="70"/>
    </row>
    <row r="931" spans="6:6" x14ac:dyDescent="0.2">
      <c r="F931" s="70"/>
    </row>
    <row r="932" spans="6:6" x14ac:dyDescent="0.2">
      <c r="F932" s="70"/>
    </row>
    <row r="933" spans="6:6" x14ac:dyDescent="0.2">
      <c r="F933" s="70"/>
    </row>
    <row r="934" spans="6:6" x14ac:dyDescent="0.2">
      <c r="F934" s="70"/>
    </row>
    <row r="935" spans="6:6" x14ac:dyDescent="0.2">
      <c r="F935" s="70"/>
    </row>
    <row r="936" spans="6:6" x14ac:dyDescent="0.2">
      <c r="F936" s="70"/>
    </row>
    <row r="937" spans="6:6" x14ac:dyDescent="0.2">
      <c r="F937" s="70"/>
    </row>
    <row r="938" spans="6:6" x14ac:dyDescent="0.2">
      <c r="F938" s="70"/>
    </row>
    <row r="939" spans="6:6" x14ac:dyDescent="0.2">
      <c r="F939" s="70"/>
    </row>
    <row r="940" spans="6:6" x14ac:dyDescent="0.2">
      <c r="F940" s="70"/>
    </row>
    <row r="941" spans="6:6" x14ac:dyDescent="0.2">
      <c r="F941" s="70"/>
    </row>
    <row r="942" spans="6:6" x14ac:dyDescent="0.2">
      <c r="F942" s="70"/>
    </row>
    <row r="943" spans="6:6" x14ac:dyDescent="0.2">
      <c r="F943" s="70"/>
    </row>
    <row r="944" spans="6:6" x14ac:dyDescent="0.2">
      <c r="F944" s="70"/>
    </row>
    <row r="945" spans="6:6" x14ac:dyDescent="0.2">
      <c r="F945" s="70"/>
    </row>
    <row r="946" spans="6:6" x14ac:dyDescent="0.2">
      <c r="F946" s="70"/>
    </row>
    <row r="947" spans="6:6" x14ac:dyDescent="0.2">
      <c r="F947" s="70"/>
    </row>
    <row r="948" spans="6:6" x14ac:dyDescent="0.2">
      <c r="F948" s="70"/>
    </row>
    <row r="949" spans="6:6" x14ac:dyDescent="0.2">
      <c r="F949" s="70"/>
    </row>
    <row r="950" spans="6:6" x14ac:dyDescent="0.2">
      <c r="F950" s="70"/>
    </row>
    <row r="951" spans="6:6" x14ac:dyDescent="0.2">
      <c r="F951" s="70"/>
    </row>
    <row r="952" spans="6:6" x14ac:dyDescent="0.2">
      <c r="F952" s="70"/>
    </row>
    <row r="953" spans="6:6" x14ac:dyDescent="0.2">
      <c r="F953" s="70"/>
    </row>
    <row r="954" spans="6:6" x14ac:dyDescent="0.2">
      <c r="F954" s="70"/>
    </row>
    <row r="955" spans="6:6" x14ac:dyDescent="0.2">
      <c r="F955" s="70"/>
    </row>
    <row r="956" spans="6:6" x14ac:dyDescent="0.2">
      <c r="F956" s="70"/>
    </row>
    <row r="957" spans="6:6" x14ac:dyDescent="0.2">
      <c r="F957" s="70"/>
    </row>
    <row r="958" spans="6:6" x14ac:dyDescent="0.2">
      <c r="F958" s="70"/>
    </row>
    <row r="959" spans="6:6" x14ac:dyDescent="0.2">
      <c r="F959" s="70"/>
    </row>
    <row r="960" spans="6:6" x14ac:dyDescent="0.2">
      <c r="F960" s="70"/>
    </row>
    <row r="961" spans="6:6" x14ac:dyDescent="0.2">
      <c r="F961" s="70"/>
    </row>
    <row r="962" spans="6:6" x14ac:dyDescent="0.2">
      <c r="F962" s="70"/>
    </row>
    <row r="963" spans="6:6" x14ac:dyDescent="0.2">
      <c r="F963" s="70"/>
    </row>
    <row r="964" spans="6:6" x14ac:dyDescent="0.2">
      <c r="F964" s="70"/>
    </row>
    <row r="965" spans="6:6" x14ac:dyDescent="0.2">
      <c r="F965" s="70"/>
    </row>
    <row r="966" spans="6:6" x14ac:dyDescent="0.2">
      <c r="F966" s="70"/>
    </row>
    <row r="967" spans="6:6" x14ac:dyDescent="0.2">
      <c r="F967" s="70"/>
    </row>
    <row r="968" spans="6:6" x14ac:dyDescent="0.2">
      <c r="F968" s="70"/>
    </row>
    <row r="969" spans="6:6" x14ac:dyDescent="0.2">
      <c r="F969" s="70"/>
    </row>
    <row r="970" spans="6:6" x14ac:dyDescent="0.2">
      <c r="F970" s="70"/>
    </row>
    <row r="971" spans="6:6" x14ac:dyDescent="0.2">
      <c r="F971" s="70"/>
    </row>
    <row r="972" spans="6:6" x14ac:dyDescent="0.2">
      <c r="F972" s="70"/>
    </row>
    <row r="973" spans="6:6" x14ac:dyDescent="0.2">
      <c r="F973" s="70"/>
    </row>
    <row r="974" spans="6:6" x14ac:dyDescent="0.2">
      <c r="F974" s="70"/>
    </row>
    <row r="975" spans="6:6" x14ac:dyDescent="0.2">
      <c r="F975" s="70"/>
    </row>
    <row r="976" spans="6:6" x14ac:dyDescent="0.2">
      <c r="F976" s="70"/>
    </row>
    <row r="977" spans="6:6" x14ac:dyDescent="0.2">
      <c r="F977" s="70"/>
    </row>
    <row r="978" spans="6:6" x14ac:dyDescent="0.2">
      <c r="F978" s="70"/>
    </row>
    <row r="979" spans="6:6" x14ac:dyDescent="0.2">
      <c r="F979" s="70"/>
    </row>
    <row r="980" spans="6:6" x14ac:dyDescent="0.2">
      <c r="F980" s="70"/>
    </row>
    <row r="981" spans="6:6" x14ac:dyDescent="0.2">
      <c r="F981" s="70"/>
    </row>
    <row r="982" spans="6:6" x14ac:dyDescent="0.2">
      <c r="F982" s="70"/>
    </row>
    <row r="983" spans="6:6" x14ac:dyDescent="0.2">
      <c r="F983" s="70"/>
    </row>
    <row r="984" spans="6:6" x14ac:dyDescent="0.2">
      <c r="F984" s="70"/>
    </row>
    <row r="985" spans="6:6" x14ac:dyDescent="0.2">
      <c r="F985" s="70"/>
    </row>
    <row r="986" spans="6:6" x14ac:dyDescent="0.2">
      <c r="F986" s="70"/>
    </row>
    <row r="987" spans="6:6" x14ac:dyDescent="0.2">
      <c r="F987" s="70"/>
    </row>
    <row r="988" spans="6:6" x14ac:dyDescent="0.2">
      <c r="F988" s="70"/>
    </row>
    <row r="989" spans="6:6" x14ac:dyDescent="0.2">
      <c r="F989" s="70"/>
    </row>
    <row r="990" spans="6:6" x14ac:dyDescent="0.2">
      <c r="F990" s="70"/>
    </row>
    <row r="991" spans="6:6" x14ac:dyDescent="0.2">
      <c r="F991" s="70"/>
    </row>
    <row r="992" spans="6:6" x14ac:dyDescent="0.2">
      <c r="F992" s="70"/>
    </row>
    <row r="993" spans="6:6" x14ac:dyDescent="0.2">
      <c r="F993" s="70"/>
    </row>
    <row r="994" spans="6:6" x14ac:dyDescent="0.2">
      <c r="F994" s="70"/>
    </row>
    <row r="995" spans="6:6" x14ac:dyDescent="0.2">
      <c r="F995" s="70"/>
    </row>
    <row r="996" spans="6:6" x14ac:dyDescent="0.2">
      <c r="F996" s="70"/>
    </row>
    <row r="997" spans="6:6" x14ac:dyDescent="0.2">
      <c r="F997" s="70"/>
    </row>
    <row r="998" spans="6:6" x14ac:dyDescent="0.2">
      <c r="F998" s="70"/>
    </row>
    <row r="999" spans="6:6" x14ac:dyDescent="0.2">
      <c r="F999" s="70"/>
    </row>
    <row r="1000" spans="6:6" x14ac:dyDescent="0.2">
      <c r="F1000" s="70"/>
    </row>
    <row r="1001" spans="6:6" x14ac:dyDescent="0.2">
      <c r="F1001" s="70"/>
    </row>
    <row r="1002" spans="6:6" x14ac:dyDescent="0.2">
      <c r="F1002" s="70"/>
    </row>
    <row r="1003" spans="6:6" x14ac:dyDescent="0.2">
      <c r="F1003" s="70"/>
    </row>
    <row r="1004" spans="6:6" x14ac:dyDescent="0.2">
      <c r="F1004" s="70"/>
    </row>
    <row r="1005" spans="6:6" x14ac:dyDescent="0.2">
      <c r="F1005" s="70"/>
    </row>
    <row r="1006" spans="6:6" x14ac:dyDescent="0.2">
      <c r="F1006" s="70"/>
    </row>
    <row r="1007" spans="6:6" x14ac:dyDescent="0.2">
      <c r="F1007" s="70"/>
    </row>
    <row r="1008" spans="6:6" x14ac:dyDescent="0.2">
      <c r="F1008" s="70"/>
    </row>
    <row r="1009" spans="6:6" x14ac:dyDescent="0.2">
      <c r="F1009" s="70"/>
    </row>
    <row r="1010" spans="6:6" x14ac:dyDescent="0.2">
      <c r="F1010" s="70"/>
    </row>
    <row r="1011" spans="6:6" x14ac:dyDescent="0.2">
      <c r="F1011" s="70"/>
    </row>
    <row r="1012" spans="6:6" x14ac:dyDescent="0.2">
      <c r="F1012" s="70"/>
    </row>
    <row r="1013" spans="6:6" x14ac:dyDescent="0.2">
      <c r="F1013" s="70"/>
    </row>
    <row r="1014" spans="6:6" x14ac:dyDescent="0.2">
      <c r="F1014" s="70"/>
    </row>
    <row r="1015" spans="6:6" x14ac:dyDescent="0.2">
      <c r="F1015" s="70"/>
    </row>
    <row r="1016" spans="6:6" x14ac:dyDescent="0.2">
      <c r="F1016" s="70"/>
    </row>
    <row r="1017" spans="6:6" x14ac:dyDescent="0.2">
      <c r="F1017" s="70"/>
    </row>
    <row r="1018" spans="6:6" x14ac:dyDescent="0.2">
      <c r="F1018" s="70"/>
    </row>
    <row r="1019" spans="6:6" x14ac:dyDescent="0.2">
      <c r="F1019" s="70"/>
    </row>
    <row r="1020" spans="6:6" x14ac:dyDescent="0.2">
      <c r="F1020" s="70"/>
    </row>
    <row r="1021" spans="6:6" x14ac:dyDescent="0.2">
      <c r="F1021" s="70"/>
    </row>
    <row r="1022" spans="6:6" x14ac:dyDescent="0.2">
      <c r="F1022" s="70"/>
    </row>
    <row r="1023" spans="6:6" x14ac:dyDescent="0.2">
      <c r="F1023" s="70"/>
    </row>
    <row r="1024" spans="6:6" x14ac:dyDescent="0.2">
      <c r="F1024" s="70"/>
    </row>
    <row r="1025" spans="6:6" x14ac:dyDescent="0.2">
      <c r="F1025" s="70"/>
    </row>
    <row r="1026" spans="6:6" x14ac:dyDescent="0.2">
      <c r="F1026" s="70"/>
    </row>
    <row r="1027" spans="6:6" x14ac:dyDescent="0.2">
      <c r="F1027" s="70"/>
    </row>
    <row r="1028" spans="6:6" x14ac:dyDescent="0.2">
      <c r="F1028" s="70"/>
    </row>
    <row r="1029" spans="6:6" x14ac:dyDescent="0.2">
      <c r="F1029" s="70"/>
    </row>
    <row r="1030" spans="6:6" x14ac:dyDescent="0.2">
      <c r="F1030" s="70"/>
    </row>
    <row r="1031" spans="6:6" x14ac:dyDescent="0.2">
      <c r="F1031" s="70"/>
    </row>
    <row r="1032" spans="6:6" x14ac:dyDescent="0.2">
      <c r="F1032" s="70"/>
    </row>
    <row r="1033" spans="6:6" x14ac:dyDescent="0.2">
      <c r="F1033" s="70"/>
    </row>
    <row r="1034" spans="6:6" x14ac:dyDescent="0.2">
      <c r="F1034" s="70"/>
    </row>
    <row r="1035" spans="6:6" x14ac:dyDescent="0.2">
      <c r="F1035" s="70"/>
    </row>
    <row r="1036" spans="6:6" x14ac:dyDescent="0.2">
      <c r="F1036" s="70"/>
    </row>
    <row r="1037" spans="6:6" x14ac:dyDescent="0.2">
      <c r="F1037" s="70"/>
    </row>
    <row r="1038" spans="6:6" x14ac:dyDescent="0.2">
      <c r="F1038" s="70"/>
    </row>
    <row r="1039" spans="6:6" x14ac:dyDescent="0.2">
      <c r="F1039" s="70"/>
    </row>
    <row r="1040" spans="6:6" x14ac:dyDescent="0.2">
      <c r="F1040" s="70"/>
    </row>
    <row r="1041" spans="6:6" x14ac:dyDescent="0.2">
      <c r="F1041" s="70"/>
    </row>
    <row r="1042" spans="6:6" x14ac:dyDescent="0.2">
      <c r="F1042" s="70"/>
    </row>
    <row r="1043" spans="6:6" x14ac:dyDescent="0.2">
      <c r="F1043" s="70"/>
    </row>
    <row r="1044" spans="6:6" x14ac:dyDescent="0.2">
      <c r="F1044" s="70"/>
    </row>
    <row r="1045" spans="6:6" x14ac:dyDescent="0.2">
      <c r="F1045" s="70"/>
    </row>
    <row r="1046" spans="6:6" x14ac:dyDescent="0.2">
      <c r="F1046" s="70"/>
    </row>
    <row r="1047" spans="6:6" x14ac:dyDescent="0.2">
      <c r="F1047" s="70"/>
    </row>
    <row r="1048" spans="6:6" x14ac:dyDescent="0.2">
      <c r="F1048" s="70"/>
    </row>
    <row r="1049" spans="6:6" x14ac:dyDescent="0.2">
      <c r="F1049" s="70"/>
    </row>
    <row r="1050" spans="6:6" x14ac:dyDescent="0.2">
      <c r="F1050" s="70"/>
    </row>
    <row r="1051" spans="6:6" x14ac:dyDescent="0.2">
      <c r="F1051" s="70"/>
    </row>
    <row r="1052" spans="6:6" x14ac:dyDescent="0.2">
      <c r="F1052" s="70"/>
    </row>
    <row r="1053" spans="6:6" x14ac:dyDescent="0.2">
      <c r="F1053" s="70"/>
    </row>
    <row r="1054" spans="6:6" x14ac:dyDescent="0.2">
      <c r="F1054" s="70"/>
    </row>
    <row r="1055" spans="6:6" x14ac:dyDescent="0.2">
      <c r="F1055" s="70"/>
    </row>
    <row r="1056" spans="6:6" x14ac:dyDescent="0.2">
      <c r="F1056" s="70"/>
    </row>
    <row r="1057" spans="6:6" x14ac:dyDescent="0.2">
      <c r="F1057" s="70"/>
    </row>
    <row r="1058" spans="6:6" x14ac:dyDescent="0.2">
      <c r="F1058" s="70"/>
    </row>
    <row r="1059" spans="6:6" x14ac:dyDescent="0.2">
      <c r="F1059" s="70"/>
    </row>
    <row r="1060" spans="6:6" x14ac:dyDescent="0.2">
      <c r="F1060" s="70"/>
    </row>
    <row r="1061" spans="6:6" x14ac:dyDescent="0.2">
      <c r="F1061" s="70"/>
    </row>
    <row r="1062" spans="6:6" x14ac:dyDescent="0.2">
      <c r="F1062" s="70"/>
    </row>
    <row r="1063" spans="6:6" x14ac:dyDescent="0.2">
      <c r="F1063" s="70"/>
    </row>
    <row r="1064" spans="6:6" x14ac:dyDescent="0.2">
      <c r="F1064" s="70"/>
    </row>
    <row r="1065" spans="6:6" x14ac:dyDescent="0.2">
      <c r="F1065" s="70"/>
    </row>
    <row r="1066" spans="6:6" x14ac:dyDescent="0.2">
      <c r="F1066" s="70"/>
    </row>
    <row r="1067" spans="6:6" x14ac:dyDescent="0.2">
      <c r="F1067" s="70"/>
    </row>
    <row r="1068" spans="6:6" x14ac:dyDescent="0.2">
      <c r="F1068" s="70"/>
    </row>
    <row r="1069" spans="6:6" x14ac:dyDescent="0.2">
      <c r="F1069" s="70"/>
    </row>
    <row r="1070" spans="6:6" x14ac:dyDescent="0.2">
      <c r="F1070" s="70"/>
    </row>
    <row r="1071" spans="6:6" x14ac:dyDescent="0.2">
      <c r="F1071" s="70"/>
    </row>
    <row r="1072" spans="6:6" x14ac:dyDescent="0.2">
      <c r="F1072" s="70"/>
    </row>
    <row r="1073" spans="6:6" x14ac:dyDescent="0.2">
      <c r="F1073" s="70"/>
    </row>
    <row r="1074" spans="6:6" x14ac:dyDescent="0.2">
      <c r="F1074" s="70"/>
    </row>
    <row r="1075" spans="6:6" x14ac:dyDescent="0.2">
      <c r="F1075" s="70"/>
    </row>
    <row r="1076" spans="6:6" x14ac:dyDescent="0.2">
      <c r="F1076" s="70"/>
    </row>
    <row r="1077" spans="6:6" x14ac:dyDescent="0.2">
      <c r="F1077" s="70"/>
    </row>
    <row r="1078" spans="6:6" x14ac:dyDescent="0.2">
      <c r="F1078" s="70"/>
    </row>
    <row r="1079" spans="6:6" x14ac:dyDescent="0.2">
      <c r="F1079" s="70"/>
    </row>
    <row r="1080" spans="6:6" x14ac:dyDescent="0.2">
      <c r="F1080" s="70"/>
    </row>
    <row r="1081" spans="6:6" x14ac:dyDescent="0.2">
      <c r="F1081" s="70"/>
    </row>
    <row r="1082" spans="6:6" x14ac:dyDescent="0.2">
      <c r="F1082" s="70"/>
    </row>
    <row r="1083" spans="6:6" x14ac:dyDescent="0.2">
      <c r="F1083" s="70"/>
    </row>
    <row r="1084" spans="6:6" x14ac:dyDescent="0.2">
      <c r="F1084" s="70"/>
    </row>
    <row r="1085" spans="6:6" x14ac:dyDescent="0.2">
      <c r="F1085" s="70"/>
    </row>
    <row r="1086" spans="6:6" x14ac:dyDescent="0.2">
      <c r="F1086" s="70"/>
    </row>
    <row r="1087" spans="6:6" x14ac:dyDescent="0.2">
      <c r="F1087" s="70"/>
    </row>
    <row r="1088" spans="6:6" x14ac:dyDescent="0.2">
      <c r="F1088" s="70"/>
    </row>
    <row r="1089" spans="6:6" x14ac:dyDescent="0.2">
      <c r="F1089" s="70"/>
    </row>
    <row r="1090" spans="6:6" x14ac:dyDescent="0.2">
      <c r="F1090" s="70"/>
    </row>
    <row r="1091" spans="6:6" x14ac:dyDescent="0.2">
      <c r="F1091" s="70"/>
    </row>
    <row r="1092" spans="6:6" x14ac:dyDescent="0.2">
      <c r="F1092" s="70"/>
    </row>
    <row r="1093" spans="6:6" x14ac:dyDescent="0.2">
      <c r="F1093" s="70"/>
    </row>
    <row r="1094" spans="6:6" x14ac:dyDescent="0.2">
      <c r="F1094" s="70"/>
    </row>
    <row r="1095" spans="6:6" x14ac:dyDescent="0.2">
      <c r="F1095" s="70"/>
    </row>
    <row r="1096" spans="6:6" x14ac:dyDescent="0.2">
      <c r="F1096" s="70"/>
    </row>
    <row r="1097" spans="6:6" x14ac:dyDescent="0.2">
      <c r="F1097" s="70"/>
    </row>
    <row r="1098" spans="6:6" x14ac:dyDescent="0.2">
      <c r="F1098" s="70"/>
    </row>
    <row r="1099" spans="6:6" x14ac:dyDescent="0.2">
      <c r="F1099" s="70"/>
    </row>
    <row r="1100" spans="6:6" x14ac:dyDescent="0.2">
      <c r="F1100" s="70"/>
    </row>
    <row r="1101" spans="6:6" x14ac:dyDescent="0.2">
      <c r="F1101" s="70"/>
    </row>
    <row r="1102" spans="6:6" x14ac:dyDescent="0.2">
      <c r="F1102" s="70"/>
    </row>
    <row r="1103" spans="6:6" x14ac:dyDescent="0.2">
      <c r="F1103" s="70"/>
    </row>
    <row r="1104" spans="6:6" x14ac:dyDescent="0.2">
      <c r="F1104" s="70"/>
    </row>
    <row r="1105" spans="6:6" x14ac:dyDescent="0.2">
      <c r="F1105" s="70"/>
    </row>
    <row r="1106" spans="6:6" x14ac:dyDescent="0.2">
      <c r="F1106" s="70"/>
    </row>
    <row r="1107" spans="6:6" x14ac:dyDescent="0.2">
      <c r="F1107" s="70"/>
    </row>
    <row r="1108" spans="6:6" x14ac:dyDescent="0.2">
      <c r="F1108" s="70"/>
    </row>
    <row r="1109" spans="6:6" x14ac:dyDescent="0.2">
      <c r="F1109" s="70"/>
    </row>
    <row r="1110" spans="6:6" x14ac:dyDescent="0.2">
      <c r="F1110" s="70"/>
    </row>
    <row r="1111" spans="6:6" x14ac:dyDescent="0.2">
      <c r="F1111" s="70"/>
    </row>
    <row r="1112" spans="6:6" x14ac:dyDescent="0.2">
      <c r="F1112" s="70"/>
    </row>
    <row r="1113" spans="6:6" x14ac:dyDescent="0.2">
      <c r="F1113" s="70"/>
    </row>
    <row r="1114" spans="6:6" x14ac:dyDescent="0.2">
      <c r="F1114" s="70"/>
    </row>
    <row r="1115" spans="6:6" x14ac:dyDescent="0.2">
      <c r="F1115" s="70"/>
    </row>
    <row r="1116" spans="6:6" x14ac:dyDescent="0.2">
      <c r="F1116" s="70"/>
    </row>
    <row r="1117" spans="6:6" x14ac:dyDescent="0.2">
      <c r="F1117" s="70"/>
    </row>
    <row r="1118" spans="6:6" x14ac:dyDescent="0.2">
      <c r="F1118" s="70"/>
    </row>
    <row r="1119" spans="6:6" x14ac:dyDescent="0.2">
      <c r="F1119" s="70"/>
    </row>
    <row r="1120" spans="6:6" x14ac:dyDescent="0.2">
      <c r="F1120" s="70"/>
    </row>
    <row r="1121" spans="6:6" x14ac:dyDescent="0.2">
      <c r="F1121" s="70"/>
    </row>
    <row r="1122" spans="6:6" x14ac:dyDescent="0.2">
      <c r="F1122" s="70"/>
    </row>
    <row r="1123" spans="6:6" x14ac:dyDescent="0.2">
      <c r="F1123" s="70"/>
    </row>
    <row r="1124" spans="6:6" x14ac:dyDescent="0.2">
      <c r="F1124" s="70"/>
    </row>
    <row r="1125" spans="6:6" x14ac:dyDescent="0.2">
      <c r="F1125" s="70"/>
    </row>
    <row r="1126" spans="6:6" x14ac:dyDescent="0.2">
      <c r="F1126" s="70"/>
    </row>
    <row r="1127" spans="6:6" x14ac:dyDescent="0.2">
      <c r="F1127" s="70"/>
    </row>
    <row r="1128" spans="6:6" x14ac:dyDescent="0.2">
      <c r="F1128" s="70"/>
    </row>
    <row r="1129" spans="6:6" x14ac:dyDescent="0.2">
      <c r="F1129" s="70"/>
    </row>
    <row r="1130" spans="6:6" x14ac:dyDescent="0.2">
      <c r="F1130" s="70"/>
    </row>
    <row r="1131" spans="6:6" x14ac:dyDescent="0.2">
      <c r="F1131" s="70"/>
    </row>
    <row r="1132" spans="6:6" x14ac:dyDescent="0.2">
      <c r="F1132" s="70"/>
    </row>
    <row r="1133" spans="6:6" x14ac:dyDescent="0.2">
      <c r="F1133" s="70"/>
    </row>
    <row r="1134" spans="6:6" x14ac:dyDescent="0.2">
      <c r="F1134" s="70"/>
    </row>
    <row r="1135" spans="6:6" x14ac:dyDescent="0.2">
      <c r="F1135" s="70"/>
    </row>
    <row r="1136" spans="6:6" x14ac:dyDescent="0.2">
      <c r="F1136" s="70"/>
    </row>
    <row r="1137" spans="6:6" x14ac:dyDescent="0.2">
      <c r="F1137" s="70"/>
    </row>
    <row r="1138" spans="6:6" x14ac:dyDescent="0.2">
      <c r="F1138" s="70"/>
    </row>
    <row r="1139" spans="6:6" x14ac:dyDescent="0.2">
      <c r="F1139" s="70"/>
    </row>
    <row r="1140" spans="6:6" x14ac:dyDescent="0.2">
      <c r="F1140" s="70"/>
    </row>
    <row r="1141" spans="6:6" x14ac:dyDescent="0.2">
      <c r="F1141" s="70"/>
    </row>
    <row r="1142" spans="6:6" x14ac:dyDescent="0.2">
      <c r="F1142" s="70"/>
    </row>
    <row r="1143" spans="6:6" x14ac:dyDescent="0.2">
      <c r="F1143" s="70"/>
    </row>
    <row r="1144" spans="6:6" x14ac:dyDescent="0.2">
      <c r="F1144" s="70"/>
    </row>
    <row r="1145" spans="6:6" x14ac:dyDescent="0.2">
      <c r="F1145" s="70"/>
    </row>
    <row r="1146" spans="6:6" x14ac:dyDescent="0.2">
      <c r="F1146" s="70"/>
    </row>
    <row r="1147" spans="6:6" x14ac:dyDescent="0.2">
      <c r="F1147" s="70"/>
    </row>
    <row r="1148" spans="6:6" x14ac:dyDescent="0.2">
      <c r="F1148" s="70"/>
    </row>
    <row r="1149" spans="6:6" x14ac:dyDescent="0.2">
      <c r="F1149" s="70"/>
    </row>
    <row r="1150" spans="6:6" x14ac:dyDescent="0.2">
      <c r="F1150" s="70"/>
    </row>
    <row r="1151" spans="6:6" x14ac:dyDescent="0.2">
      <c r="F1151" s="70"/>
    </row>
    <row r="1152" spans="6:6" x14ac:dyDescent="0.2">
      <c r="F1152" s="70"/>
    </row>
    <row r="1153" spans="6:6" x14ac:dyDescent="0.2">
      <c r="F1153" s="70"/>
    </row>
    <row r="1154" spans="6:6" x14ac:dyDescent="0.2">
      <c r="F1154" s="70"/>
    </row>
    <row r="1155" spans="6:6" x14ac:dyDescent="0.2">
      <c r="F1155" s="70"/>
    </row>
    <row r="1156" spans="6:6" x14ac:dyDescent="0.2">
      <c r="F1156" s="70"/>
    </row>
    <row r="1157" spans="6:6" x14ac:dyDescent="0.2">
      <c r="F1157" s="70"/>
    </row>
    <row r="1158" spans="6:6" x14ac:dyDescent="0.2">
      <c r="F1158" s="70"/>
    </row>
    <row r="1159" spans="6:6" x14ac:dyDescent="0.2">
      <c r="F1159" s="70"/>
    </row>
    <row r="1160" spans="6:6" x14ac:dyDescent="0.2">
      <c r="F1160" s="70"/>
    </row>
    <row r="1161" spans="6:6" x14ac:dyDescent="0.2">
      <c r="F1161" s="70"/>
    </row>
    <row r="1162" spans="6:6" x14ac:dyDescent="0.2">
      <c r="F1162" s="70"/>
    </row>
    <row r="1163" spans="6:6" x14ac:dyDescent="0.2">
      <c r="F1163" s="70"/>
    </row>
    <row r="1164" spans="6:6" x14ac:dyDescent="0.2">
      <c r="F1164" s="70"/>
    </row>
    <row r="1165" spans="6:6" x14ac:dyDescent="0.2">
      <c r="F1165" s="70"/>
    </row>
    <row r="1166" spans="6:6" x14ac:dyDescent="0.2">
      <c r="F1166" s="70"/>
    </row>
    <row r="1167" spans="6:6" x14ac:dyDescent="0.2">
      <c r="F1167" s="70"/>
    </row>
    <row r="1168" spans="6:6" x14ac:dyDescent="0.2">
      <c r="F1168" s="70"/>
    </row>
    <row r="1169" spans="6:6" x14ac:dyDescent="0.2">
      <c r="F1169" s="70"/>
    </row>
    <row r="1170" spans="6:6" x14ac:dyDescent="0.2">
      <c r="F1170" s="70"/>
    </row>
    <row r="1171" spans="6:6" x14ac:dyDescent="0.2">
      <c r="F1171" s="70"/>
    </row>
    <row r="1172" spans="6:6" x14ac:dyDescent="0.2">
      <c r="F1172" s="70"/>
    </row>
    <row r="1173" spans="6:6" x14ac:dyDescent="0.2">
      <c r="F1173" s="70"/>
    </row>
    <row r="1174" spans="6:6" x14ac:dyDescent="0.2">
      <c r="F1174" s="70"/>
    </row>
    <row r="1175" spans="6:6" x14ac:dyDescent="0.2">
      <c r="F1175" s="70"/>
    </row>
    <row r="1176" spans="6:6" x14ac:dyDescent="0.2">
      <c r="F1176" s="70"/>
    </row>
    <row r="1177" spans="6:6" x14ac:dyDescent="0.2">
      <c r="F1177" s="70"/>
    </row>
    <row r="1178" spans="6:6" x14ac:dyDescent="0.2">
      <c r="F1178" s="70"/>
    </row>
    <row r="1179" spans="6:6" x14ac:dyDescent="0.2">
      <c r="F1179" s="70"/>
    </row>
    <row r="1180" spans="6:6" x14ac:dyDescent="0.2">
      <c r="F1180" s="70"/>
    </row>
    <row r="1181" spans="6:6" x14ac:dyDescent="0.2">
      <c r="F1181" s="70"/>
    </row>
    <row r="1182" spans="6:6" x14ac:dyDescent="0.2">
      <c r="F1182" s="70"/>
    </row>
    <row r="1183" spans="6:6" x14ac:dyDescent="0.2">
      <c r="F1183" s="70"/>
    </row>
    <row r="1184" spans="6:6" x14ac:dyDescent="0.2">
      <c r="F1184" s="70"/>
    </row>
    <row r="1185" spans="6:6" x14ac:dyDescent="0.2">
      <c r="F1185" s="70"/>
    </row>
    <row r="1186" spans="6:6" x14ac:dyDescent="0.2">
      <c r="F1186" s="70"/>
    </row>
    <row r="1187" spans="6:6" x14ac:dyDescent="0.2">
      <c r="F1187" s="70"/>
    </row>
    <row r="1188" spans="6:6" x14ac:dyDescent="0.2">
      <c r="F1188" s="70"/>
    </row>
    <row r="1189" spans="6:6" x14ac:dyDescent="0.2">
      <c r="F1189" s="70"/>
    </row>
    <row r="1190" spans="6:6" x14ac:dyDescent="0.2">
      <c r="F1190" s="70"/>
    </row>
    <row r="1191" spans="6:6" x14ac:dyDescent="0.2">
      <c r="F1191" s="70"/>
    </row>
    <row r="1192" spans="6:6" x14ac:dyDescent="0.2">
      <c r="F1192" s="70"/>
    </row>
    <row r="1193" spans="6:6" x14ac:dyDescent="0.2">
      <c r="F1193" s="70"/>
    </row>
    <row r="1194" spans="6:6" x14ac:dyDescent="0.2">
      <c r="F1194" s="70"/>
    </row>
    <row r="1195" spans="6:6" x14ac:dyDescent="0.2">
      <c r="F1195" s="70"/>
    </row>
    <row r="1196" spans="6:6" x14ac:dyDescent="0.2">
      <c r="F1196" s="70"/>
    </row>
    <row r="1197" spans="6:6" x14ac:dyDescent="0.2">
      <c r="F1197" s="70"/>
    </row>
    <row r="1198" spans="6:6" x14ac:dyDescent="0.2">
      <c r="F1198" s="70"/>
    </row>
    <row r="1199" spans="6:6" x14ac:dyDescent="0.2">
      <c r="F1199" s="70"/>
    </row>
    <row r="1200" spans="6:6" x14ac:dyDescent="0.2">
      <c r="F1200" s="70"/>
    </row>
    <row r="1201" spans="6:6" x14ac:dyDescent="0.2">
      <c r="F1201" s="70"/>
    </row>
    <row r="1202" spans="6:6" x14ac:dyDescent="0.2">
      <c r="F1202" s="70"/>
    </row>
    <row r="1203" spans="6:6" x14ac:dyDescent="0.2">
      <c r="F1203" s="70"/>
    </row>
    <row r="1204" spans="6:6" x14ac:dyDescent="0.2">
      <c r="F1204" s="70"/>
    </row>
    <row r="1205" spans="6:6" x14ac:dyDescent="0.2">
      <c r="F1205" s="70"/>
    </row>
    <row r="1206" spans="6:6" x14ac:dyDescent="0.2">
      <c r="F1206" s="70"/>
    </row>
    <row r="1207" spans="6:6" x14ac:dyDescent="0.2">
      <c r="F1207" s="70"/>
    </row>
    <row r="1208" spans="6:6" x14ac:dyDescent="0.2">
      <c r="F1208" s="70"/>
    </row>
    <row r="1209" spans="6:6" x14ac:dyDescent="0.2">
      <c r="F1209" s="70"/>
    </row>
    <row r="1210" spans="6:6" x14ac:dyDescent="0.2">
      <c r="F1210" s="70"/>
    </row>
    <row r="1211" spans="6:6" x14ac:dyDescent="0.2">
      <c r="F1211" s="70"/>
    </row>
    <row r="1212" spans="6:6" x14ac:dyDescent="0.2">
      <c r="F1212" s="70"/>
    </row>
    <row r="1213" spans="6:6" x14ac:dyDescent="0.2">
      <c r="F1213" s="70"/>
    </row>
    <row r="1214" spans="6:6" x14ac:dyDescent="0.2">
      <c r="F1214" s="70"/>
    </row>
    <row r="1215" spans="6:6" x14ac:dyDescent="0.2">
      <c r="F1215" s="70"/>
    </row>
    <row r="1216" spans="6:6" x14ac:dyDescent="0.2">
      <c r="F1216" s="70"/>
    </row>
    <row r="1217" spans="6:6" x14ac:dyDescent="0.2">
      <c r="F1217" s="70"/>
    </row>
    <row r="1218" spans="6:6" x14ac:dyDescent="0.2">
      <c r="F1218" s="70"/>
    </row>
    <row r="1219" spans="6:6" x14ac:dyDescent="0.2">
      <c r="F1219" s="70"/>
    </row>
    <row r="1220" spans="6:6" x14ac:dyDescent="0.2">
      <c r="F1220" s="70"/>
    </row>
    <row r="1221" spans="6:6" x14ac:dyDescent="0.2">
      <c r="F1221" s="70"/>
    </row>
    <row r="1222" spans="6:6" x14ac:dyDescent="0.2">
      <c r="F1222" s="70"/>
    </row>
    <row r="1223" spans="6:6" x14ac:dyDescent="0.2">
      <c r="F1223" s="70"/>
    </row>
    <row r="1224" spans="6:6" x14ac:dyDescent="0.2">
      <c r="F1224" s="70"/>
    </row>
    <row r="1225" spans="6:6" x14ac:dyDescent="0.2">
      <c r="F1225" s="70"/>
    </row>
    <row r="1226" spans="6:6" x14ac:dyDescent="0.2">
      <c r="F1226" s="70"/>
    </row>
    <row r="1227" spans="6:6" x14ac:dyDescent="0.2">
      <c r="F1227" s="70"/>
    </row>
    <row r="1228" spans="6:6" x14ac:dyDescent="0.2">
      <c r="F1228" s="70"/>
    </row>
    <row r="1229" spans="6:6" x14ac:dyDescent="0.2">
      <c r="F1229" s="70"/>
    </row>
    <row r="1230" spans="6:6" x14ac:dyDescent="0.2">
      <c r="F1230" s="70"/>
    </row>
    <row r="1231" spans="6:6" x14ac:dyDescent="0.2">
      <c r="F1231" s="70"/>
    </row>
    <row r="1232" spans="6:6" x14ac:dyDescent="0.2">
      <c r="F1232" s="70"/>
    </row>
    <row r="1233" spans="6:6" x14ac:dyDescent="0.2">
      <c r="F1233" s="70"/>
    </row>
    <row r="1234" spans="6:6" x14ac:dyDescent="0.2">
      <c r="F1234" s="70"/>
    </row>
    <row r="1235" spans="6:6" x14ac:dyDescent="0.2">
      <c r="F1235" s="70"/>
    </row>
    <row r="1236" spans="6:6" x14ac:dyDescent="0.2">
      <c r="F1236" s="70"/>
    </row>
    <row r="1237" spans="6:6" x14ac:dyDescent="0.2">
      <c r="F1237" s="70"/>
    </row>
    <row r="1238" spans="6:6" x14ac:dyDescent="0.2">
      <c r="F1238" s="70"/>
    </row>
    <row r="1239" spans="6:6" x14ac:dyDescent="0.2">
      <c r="F1239" s="70"/>
    </row>
    <row r="1240" spans="6:6" x14ac:dyDescent="0.2">
      <c r="F1240" s="70"/>
    </row>
    <row r="1241" spans="6:6" x14ac:dyDescent="0.2">
      <c r="F1241" s="70"/>
    </row>
    <row r="1242" spans="6:6" x14ac:dyDescent="0.2">
      <c r="F1242" s="70"/>
    </row>
    <row r="1243" spans="6:6" x14ac:dyDescent="0.2">
      <c r="F1243" s="70"/>
    </row>
    <row r="1244" spans="6:6" x14ac:dyDescent="0.2">
      <c r="F1244" s="70"/>
    </row>
    <row r="1245" spans="6:6" x14ac:dyDescent="0.2">
      <c r="F1245" s="70"/>
    </row>
    <row r="1246" spans="6:6" x14ac:dyDescent="0.2">
      <c r="F1246" s="70"/>
    </row>
    <row r="1247" spans="6:6" x14ac:dyDescent="0.2">
      <c r="F1247" s="70"/>
    </row>
    <row r="1248" spans="6:6" x14ac:dyDescent="0.2">
      <c r="F1248" s="70"/>
    </row>
    <row r="1249" spans="6:6" x14ac:dyDescent="0.2">
      <c r="F1249" s="70"/>
    </row>
    <row r="1250" spans="6:6" x14ac:dyDescent="0.2">
      <c r="F1250" s="70"/>
    </row>
    <row r="1251" spans="6:6" x14ac:dyDescent="0.2">
      <c r="F1251" s="70"/>
    </row>
    <row r="1252" spans="6:6" x14ac:dyDescent="0.2">
      <c r="F1252" s="70"/>
    </row>
    <row r="1253" spans="6:6" x14ac:dyDescent="0.2">
      <c r="F1253" s="70"/>
    </row>
    <row r="1254" spans="6:6" x14ac:dyDescent="0.2">
      <c r="F1254" s="70"/>
    </row>
    <row r="1255" spans="6:6" x14ac:dyDescent="0.2">
      <c r="F1255" s="70"/>
    </row>
    <row r="1256" spans="6:6" x14ac:dyDescent="0.2">
      <c r="F1256" s="70"/>
    </row>
    <row r="1257" spans="6:6" x14ac:dyDescent="0.2">
      <c r="F1257" s="70"/>
    </row>
    <row r="1258" spans="6:6" x14ac:dyDescent="0.2">
      <c r="F1258" s="70"/>
    </row>
    <row r="1259" spans="6:6" x14ac:dyDescent="0.2">
      <c r="F1259" s="70"/>
    </row>
    <row r="1260" spans="6:6" x14ac:dyDescent="0.2">
      <c r="F1260" s="70"/>
    </row>
    <row r="1261" spans="6:6" x14ac:dyDescent="0.2">
      <c r="F1261" s="70"/>
    </row>
    <row r="1262" spans="6:6" x14ac:dyDescent="0.2">
      <c r="F1262" s="70"/>
    </row>
    <row r="1263" spans="6:6" x14ac:dyDescent="0.2">
      <c r="F1263" s="70"/>
    </row>
    <row r="1264" spans="6:6" x14ac:dyDescent="0.2">
      <c r="F1264" s="70"/>
    </row>
    <row r="1265" spans="6:6" x14ac:dyDescent="0.2">
      <c r="F1265" s="70"/>
    </row>
    <row r="1266" spans="6:6" x14ac:dyDescent="0.2">
      <c r="F1266" s="70"/>
    </row>
    <row r="1267" spans="6:6" x14ac:dyDescent="0.2">
      <c r="F1267" s="70"/>
    </row>
    <row r="1268" spans="6:6" x14ac:dyDescent="0.2">
      <c r="F1268" s="70"/>
    </row>
    <row r="1269" spans="6:6" x14ac:dyDescent="0.2">
      <c r="F1269" s="70"/>
    </row>
    <row r="1270" spans="6:6" x14ac:dyDescent="0.2">
      <c r="F1270" s="70"/>
    </row>
    <row r="1271" spans="6:6" x14ac:dyDescent="0.2">
      <c r="F1271" s="70"/>
    </row>
    <row r="1272" spans="6:6" x14ac:dyDescent="0.2">
      <c r="F1272" s="70"/>
    </row>
    <row r="1273" spans="6:6" x14ac:dyDescent="0.2">
      <c r="F1273" s="70"/>
    </row>
    <row r="1274" spans="6:6" x14ac:dyDescent="0.2">
      <c r="F1274" s="70"/>
    </row>
    <row r="1275" spans="6:6" x14ac:dyDescent="0.2">
      <c r="F1275" s="70"/>
    </row>
    <row r="1276" spans="6:6" x14ac:dyDescent="0.2">
      <c r="F1276" s="70"/>
    </row>
    <row r="1277" spans="6:6" x14ac:dyDescent="0.2">
      <c r="F1277" s="70"/>
    </row>
    <row r="1278" spans="6:6" x14ac:dyDescent="0.2">
      <c r="F1278" s="70"/>
    </row>
    <row r="1279" spans="6:6" x14ac:dyDescent="0.2">
      <c r="F1279" s="70"/>
    </row>
    <row r="1280" spans="6:6" x14ac:dyDescent="0.2">
      <c r="F1280" s="70"/>
    </row>
    <row r="1281" spans="6:6" x14ac:dyDescent="0.2">
      <c r="F1281" s="70"/>
    </row>
    <row r="1282" spans="6:6" x14ac:dyDescent="0.2">
      <c r="F1282" s="70"/>
    </row>
    <row r="1283" spans="6:6" x14ac:dyDescent="0.2">
      <c r="F1283" s="70"/>
    </row>
    <row r="1284" spans="6:6" x14ac:dyDescent="0.2">
      <c r="F1284" s="70"/>
    </row>
    <row r="1285" spans="6:6" x14ac:dyDescent="0.2">
      <c r="F1285" s="70"/>
    </row>
    <row r="1286" spans="6:6" x14ac:dyDescent="0.2">
      <c r="F1286" s="70"/>
    </row>
    <row r="1287" spans="6:6" x14ac:dyDescent="0.2">
      <c r="F1287" s="70"/>
    </row>
    <row r="1288" spans="6:6" x14ac:dyDescent="0.2">
      <c r="F1288" s="70"/>
    </row>
    <row r="1289" spans="6:6" x14ac:dyDescent="0.2">
      <c r="F1289" s="70"/>
    </row>
    <row r="1290" spans="6:6" x14ac:dyDescent="0.2">
      <c r="F1290" s="70"/>
    </row>
    <row r="1291" spans="6:6" x14ac:dyDescent="0.2">
      <c r="F1291" s="70"/>
    </row>
    <row r="1292" spans="6:6" x14ac:dyDescent="0.2">
      <c r="F1292" s="70"/>
    </row>
    <row r="1293" spans="6:6" x14ac:dyDescent="0.2">
      <c r="F1293" s="70"/>
    </row>
    <row r="1294" spans="6:6" x14ac:dyDescent="0.2">
      <c r="F1294" s="70"/>
    </row>
    <row r="1295" spans="6:6" x14ac:dyDescent="0.2">
      <c r="F1295" s="70"/>
    </row>
    <row r="1296" spans="6:6" x14ac:dyDescent="0.2">
      <c r="F1296" s="70"/>
    </row>
    <row r="1297" spans="6:6" x14ac:dyDescent="0.2">
      <c r="F1297" s="70"/>
    </row>
    <row r="1298" spans="6:6" x14ac:dyDescent="0.2">
      <c r="F1298" s="70"/>
    </row>
    <row r="1299" spans="6:6" x14ac:dyDescent="0.2">
      <c r="F1299" s="70"/>
    </row>
    <row r="1300" spans="6:6" x14ac:dyDescent="0.2">
      <c r="F1300" s="70"/>
    </row>
    <row r="1301" spans="6:6" x14ac:dyDescent="0.2">
      <c r="F1301" s="70"/>
    </row>
    <row r="1302" spans="6:6" x14ac:dyDescent="0.2">
      <c r="F1302" s="70"/>
    </row>
    <row r="1303" spans="6:6" x14ac:dyDescent="0.2">
      <c r="F1303" s="70"/>
    </row>
    <row r="1304" spans="6:6" x14ac:dyDescent="0.2">
      <c r="F1304" s="70"/>
    </row>
    <row r="1305" spans="6:6" x14ac:dyDescent="0.2">
      <c r="F1305" s="70"/>
    </row>
    <row r="1306" spans="6:6" x14ac:dyDescent="0.2">
      <c r="F1306" s="70"/>
    </row>
    <row r="1307" spans="6:6" x14ac:dyDescent="0.2">
      <c r="F1307" s="70"/>
    </row>
    <row r="1308" spans="6:6" x14ac:dyDescent="0.2">
      <c r="F1308" s="70"/>
    </row>
    <row r="1309" spans="6:6" x14ac:dyDescent="0.2">
      <c r="F1309" s="70"/>
    </row>
    <row r="1310" spans="6:6" x14ac:dyDescent="0.2">
      <c r="F1310" s="70"/>
    </row>
    <row r="1311" spans="6:6" x14ac:dyDescent="0.2">
      <c r="F1311" s="70"/>
    </row>
    <row r="1312" spans="6:6" x14ac:dyDescent="0.2">
      <c r="F1312" s="70"/>
    </row>
    <row r="1313" spans="6:6" x14ac:dyDescent="0.2">
      <c r="F1313" s="70"/>
    </row>
    <row r="1314" spans="6:6" x14ac:dyDescent="0.2">
      <c r="F1314" s="70"/>
    </row>
    <row r="1315" spans="6:6" x14ac:dyDescent="0.2">
      <c r="F1315" s="70"/>
    </row>
    <row r="1316" spans="6:6" x14ac:dyDescent="0.2">
      <c r="F1316" s="70"/>
    </row>
    <row r="1317" spans="6:6" x14ac:dyDescent="0.2">
      <c r="F1317" s="70"/>
    </row>
    <row r="1318" spans="6:6" x14ac:dyDescent="0.2">
      <c r="F1318" s="70"/>
    </row>
    <row r="1319" spans="6:6" x14ac:dyDescent="0.2">
      <c r="F1319" s="70"/>
    </row>
    <row r="1320" spans="6:6" x14ac:dyDescent="0.2">
      <c r="F1320" s="70"/>
    </row>
    <row r="1321" spans="6:6" x14ac:dyDescent="0.2">
      <c r="F1321" s="70"/>
    </row>
    <row r="1322" spans="6:6" x14ac:dyDescent="0.2">
      <c r="F1322" s="70"/>
    </row>
    <row r="1323" spans="6:6" x14ac:dyDescent="0.2">
      <c r="F1323" s="70"/>
    </row>
    <row r="1324" spans="6:6" x14ac:dyDescent="0.2">
      <c r="F1324" s="70"/>
    </row>
    <row r="1325" spans="6:6" x14ac:dyDescent="0.2">
      <c r="F1325" s="70"/>
    </row>
    <row r="1326" spans="6:6" x14ac:dyDescent="0.2">
      <c r="F1326" s="70"/>
    </row>
    <row r="1327" spans="6:6" x14ac:dyDescent="0.2">
      <c r="F1327" s="70"/>
    </row>
    <row r="1328" spans="6:6" x14ac:dyDescent="0.2">
      <c r="F1328" s="70"/>
    </row>
    <row r="1329" spans="6:6" x14ac:dyDescent="0.2">
      <c r="F1329" s="70"/>
    </row>
    <row r="1330" spans="6:6" x14ac:dyDescent="0.2">
      <c r="F1330" s="70"/>
    </row>
    <row r="1331" spans="6:6" x14ac:dyDescent="0.2">
      <c r="F1331" s="70"/>
    </row>
    <row r="1332" spans="6:6" x14ac:dyDescent="0.2">
      <c r="F1332" s="70"/>
    </row>
    <row r="1333" spans="6:6" x14ac:dyDescent="0.2">
      <c r="F1333" s="70"/>
    </row>
    <row r="1334" spans="6:6" x14ac:dyDescent="0.2">
      <c r="F1334" s="70"/>
    </row>
    <row r="1335" spans="6:6" x14ac:dyDescent="0.2">
      <c r="F1335" s="70"/>
    </row>
    <row r="1336" spans="6:6" x14ac:dyDescent="0.2">
      <c r="F1336" s="70"/>
    </row>
    <row r="1337" spans="6:6" x14ac:dyDescent="0.2">
      <c r="F1337" s="70"/>
    </row>
    <row r="1338" spans="6:6" x14ac:dyDescent="0.2">
      <c r="F1338" s="70"/>
    </row>
    <row r="1339" spans="6:6" x14ac:dyDescent="0.2">
      <c r="F1339" s="70"/>
    </row>
    <row r="1340" spans="6:6" x14ac:dyDescent="0.2">
      <c r="F1340" s="70"/>
    </row>
    <row r="1341" spans="6:6" x14ac:dyDescent="0.2">
      <c r="F1341" s="70"/>
    </row>
    <row r="1342" spans="6:6" x14ac:dyDescent="0.2">
      <c r="F1342" s="70"/>
    </row>
    <row r="1343" spans="6:6" x14ac:dyDescent="0.2">
      <c r="F1343" s="70"/>
    </row>
    <row r="1344" spans="6:6" x14ac:dyDescent="0.2">
      <c r="F1344" s="70"/>
    </row>
    <row r="1345" spans="6:6" x14ac:dyDescent="0.2">
      <c r="F1345" s="70"/>
    </row>
    <row r="1346" spans="6:6" x14ac:dyDescent="0.2">
      <c r="F1346" s="70"/>
    </row>
    <row r="1347" spans="6:6" x14ac:dyDescent="0.2">
      <c r="F1347" s="70"/>
    </row>
    <row r="1348" spans="6:6" x14ac:dyDescent="0.2">
      <c r="F1348" s="70"/>
    </row>
    <row r="1349" spans="6:6" x14ac:dyDescent="0.2">
      <c r="F1349" s="70"/>
    </row>
    <row r="1350" spans="6:6" x14ac:dyDescent="0.2">
      <c r="F1350" s="70"/>
    </row>
    <row r="1351" spans="6:6" x14ac:dyDescent="0.2">
      <c r="F1351" s="70"/>
    </row>
    <row r="1352" spans="6:6" x14ac:dyDescent="0.2">
      <c r="F1352" s="70"/>
    </row>
    <row r="1353" spans="6:6" x14ac:dyDescent="0.2">
      <c r="F1353" s="70"/>
    </row>
    <row r="1354" spans="6:6" x14ac:dyDescent="0.2">
      <c r="F1354" s="70"/>
    </row>
    <row r="1355" spans="6:6" x14ac:dyDescent="0.2">
      <c r="F1355" s="70"/>
    </row>
    <row r="1356" spans="6:6" x14ac:dyDescent="0.2">
      <c r="F1356" s="70"/>
    </row>
    <row r="1357" spans="6:6" x14ac:dyDescent="0.2">
      <c r="F1357" s="70"/>
    </row>
    <row r="1358" spans="6:6" x14ac:dyDescent="0.2">
      <c r="F1358" s="70"/>
    </row>
    <row r="1359" spans="6:6" x14ac:dyDescent="0.2">
      <c r="F1359" s="70"/>
    </row>
    <row r="1360" spans="6:6" x14ac:dyDescent="0.2">
      <c r="F1360" s="70"/>
    </row>
    <row r="1361" spans="6:6" x14ac:dyDescent="0.2">
      <c r="F1361" s="70"/>
    </row>
    <row r="1362" spans="6:6" x14ac:dyDescent="0.2">
      <c r="F1362" s="70"/>
    </row>
    <row r="1363" spans="6:6" x14ac:dyDescent="0.2">
      <c r="F1363" s="70"/>
    </row>
    <row r="1364" spans="6:6" x14ac:dyDescent="0.2">
      <c r="F1364" s="70"/>
    </row>
    <row r="1365" spans="6:6" x14ac:dyDescent="0.2">
      <c r="F1365" s="70"/>
    </row>
    <row r="1366" spans="6:6" x14ac:dyDescent="0.2">
      <c r="F1366" s="70"/>
    </row>
    <row r="1367" spans="6:6" x14ac:dyDescent="0.2">
      <c r="F1367" s="70"/>
    </row>
    <row r="1368" spans="6:6" x14ac:dyDescent="0.2">
      <c r="F1368" s="70"/>
    </row>
    <row r="1369" spans="6:6" x14ac:dyDescent="0.2">
      <c r="F1369" s="70"/>
    </row>
    <row r="1370" spans="6:6" x14ac:dyDescent="0.2">
      <c r="F1370" s="70"/>
    </row>
    <row r="1371" spans="6:6" x14ac:dyDescent="0.2">
      <c r="F1371" s="70"/>
    </row>
    <row r="1372" spans="6:6" x14ac:dyDescent="0.2">
      <c r="F1372" s="70"/>
    </row>
    <row r="1373" spans="6:6" x14ac:dyDescent="0.2">
      <c r="F1373" s="70"/>
    </row>
    <row r="1374" spans="6:6" x14ac:dyDescent="0.2">
      <c r="F1374" s="70"/>
    </row>
    <row r="1375" spans="6:6" x14ac:dyDescent="0.2">
      <c r="F1375" s="70"/>
    </row>
    <row r="1376" spans="6:6" x14ac:dyDescent="0.2">
      <c r="F1376" s="70"/>
    </row>
    <row r="1377" spans="6:6" x14ac:dyDescent="0.2">
      <c r="F1377" s="70"/>
    </row>
    <row r="1378" spans="6:6" x14ac:dyDescent="0.2">
      <c r="F1378" s="70"/>
    </row>
    <row r="1379" spans="6:6" x14ac:dyDescent="0.2">
      <c r="F1379" s="70"/>
    </row>
    <row r="1380" spans="6:6" x14ac:dyDescent="0.2">
      <c r="F1380" s="70"/>
    </row>
    <row r="1381" spans="6:6" x14ac:dyDescent="0.2">
      <c r="F1381" s="70"/>
    </row>
    <row r="1382" spans="6:6" x14ac:dyDescent="0.2">
      <c r="F1382" s="70"/>
    </row>
    <row r="1383" spans="6:6" x14ac:dyDescent="0.2">
      <c r="F1383" s="70"/>
    </row>
    <row r="1384" spans="6:6" x14ac:dyDescent="0.2">
      <c r="F1384" s="70"/>
    </row>
    <row r="1385" spans="6:6" x14ac:dyDescent="0.2">
      <c r="F1385" s="70"/>
    </row>
    <row r="1386" spans="6:6" x14ac:dyDescent="0.2">
      <c r="F1386" s="70"/>
    </row>
    <row r="1387" spans="6:6" x14ac:dyDescent="0.2">
      <c r="F1387" s="70"/>
    </row>
    <row r="1388" spans="6:6" x14ac:dyDescent="0.2">
      <c r="F1388" s="70"/>
    </row>
    <row r="1389" spans="6:6" x14ac:dyDescent="0.2">
      <c r="F1389" s="70"/>
    </row>
    <row r="1390" spans="6:6" x14ac:dyDescent="0.2">
      <c r="F1390" s="70"/>
    </row>
    <row r="1391" spans="6:6" x14ac:dyDescent="0.2">
      <c r="F1391" s="70"/>
    </row>
    <row r="1392" spans="6:6" x14ac:dyDescent="0.2">
      <c r="F1392" s="70"/>
    </row>
    <row r="1393" spans="6:6" x14ac:dyDescent="0.2">
      <c r="F1393" s="70"/>
    </row>
    <row r="1394" spans="6:6" x14ac:dyDescent="0.2">
      <c r="F1394" s="70"/>
    </row>
    <row r="1395" spans="6:6" x14ac:dyDescent="0.2">
      <c r="F1395" s="70"/>
    </row>
    <row r="1396" spans="6:6" x14ac:dyDescent="0.2">
      <c r="F1396" s="70"/>
    </row>
    <row r="1397" spans="6:6" x14ac:dyDescent="0.2">
      <c r="F1397" s="70"/>
    </row>
    <row r="1398" spans="6:6" x14ac:dyDescent="0.2">
      <c r="F1398" s="70"/>
    </row>
    <row r="1399" spans="6:6" x14ac:dyDescent="0.2">
      <c r="F1399" s="70"/>
    </row>
    <row r="1400" spans="6:6" x14ac:dyDescent="0.2">
      <c r="F1400" s="70"/>
    </row>
    <row r="1401" spans="6:6" x14ac:dyDescent="0.2">
      <c r="F1401" s="70"/>
    </row>
    <row r="1402" spans="6:6" x14ac:dyDescent="0.2">
      <c r="F1402" s="70"/>
    </row>
    <row r="1403" spans="6:6" x14ac:dyDescent="0.2">
      <c r="F1403" s="70"/>
    </row>
    <row r="1404" spans="6:6" x14ac:dyDescent="0.2">
      <c r="F1404" s="70"/>
    </row>
    <row r="1405" spans="6:6" x14ac:dyDescent="0.2">
      <c r="F1405" s="70"/>
    </row>
    <row r="1406" spans="6:6" x14ac:dyDescent="0.2">
      <c r="F1406" s="70"/>
    </row>
    <row r="1407" spans="6:6" x14ac:dyDescent="0.2">
      <c r="F1407" s="70"/>
    </row>
    <row r="1408" spans="6:6" x14ac:dyDescent="0.2">
      <c r="F1408" s="70"/>
    </row>
    <row r="1409" spans="6:6" x14ac:dyDescent="0.2">
      <c r="F1409" s="70"/>
    </row>
    <row r="1410" spans="6:6" x14ac:dyDescent="0.2">
      <c r="F1410" s="70"/>
    </row>
    <row r="1411" spans="6:6" x14ac:dyDescent="0.2">
      <c r="F1411" s="70"/>
    </row>
    <row r="1412" spans="6:6" x14ac:dyDescent="0.2">
      <c r="F1412" s="70"/>
    </row>
    <row r="1413" spans="6:6" x14ac:dyDescent="0.2">
      <c r="F1413" s="70"/>
    </row>
    <row r="1414" spans="6:6" x14ac:dyDescent="0.2">
      <c r="F1414" s="70"/>
    </row>
    <row r="1415" spans="6:6" x14ac:dyDescent="0.2">
      <c r="F1415" s="70"/>
    </row>
    <row r="1416" spans="6:6" x14ac:dyDescent="0.2">
      <c r="F1416" s="70"/>
    </row>
    <row r="1417" spans="6:6" x14ac:dyDescent="0.2">
      <c r="F1417" s="70"/>
    </row>
    <row r="1418" spans="6:6" x14ac:dyDescent="0.2">
      <c r="F1418" s="70"/>
    </row>
    <row r="1419" spans="6:6" x14ac:dyDescent="0.2">
      <c r="F1419" s="70"/>
    </row>
    <row r="1420" spans="6:6" x14ac:dyDescent="0.2">
      <c r="F1420" s="70"/>
    </row>
    <row r="1421" spans="6:6" x14ac:dyDescent="0.2">
      <c r="F1421" s="70"/>
    </row>
    <row r="1422" spans="6:6" x14ac:dyDescent="0.2">
      <c r="F1422" s="70"/>
    </row>
    <row r="1423" spans="6:6" x14ac:dyDescent="0.2">
      <c r="F1423" s="70"/>
    </row>
    <row r="1424" spans="6:6" x14ac:dyDescent="0.2">
      <c r="F1424" s="70"/>
    </row>
    <row r="1425" spans="6:6" x14ac:dyDescent="0.2">
      <c r="F1425" s="70"/>
    </row>
    <row r="1426" spans="6:6" x14ac:dyDescent="0.2">
      <c r="F1426" s="70"/>
    </row>
    <row r="1427" spans="6:6" x14ac:dyDescent="0.2">
      <c r="F1427" s="70"/>
    </row>
    <row r="1428" spans="6:6" x14ac:dyDescent="0.2">
      <c r="F1428" s="70"/>
    </row>
    <row r="1429" spans="6:6" x14ac:dyDescent="0.2">
      <c r="F1429" s="70"/>
    </row>
    <row r="1430" spans="6:6" x14ac:dyDescent="0.2">
      <c r="F1430" s="70"/>
    </row>
    <row r="1431" spans="6:6" x14ac:dyDescent="0.2">
      <c r="F1431" s="70"/>
    </row>
    <row r="1432" spans="6:6" x14ac:dyDescent="0.2">
      <c r="F1432" s="70"/>
    </row>
    <row r="1433" spans="6:6" x14ac:dyDescent="0.2">
      <c r="F1433" s="70"/>
    </row>
    <row r="1434" spans="6:6" x14ac:dyDescent="0.2">
      <c r="F1434" s="70"/>
    </row>
    <row r="1435" spans="6:6" x14ac:dyDescent="0.2">
      <c r="F1435" s="70"/>
    </row>
    <row r="1436" spans="6:6" x14ac:dyDescent="0.2">
      <c r="F1436" s="70"/>
    </row>
    <row r="1437" spans="6:6" x14ac:dyDescent="0.2">
      <c r="F1437" s="70"/>
    </row>
    <row r="1438" spans="6:6" x14ac:dyDescent="0.2">
      <c r="F1438" s="70"/>
    </row>
    <row r="1439" spans="6:6" x14ac:dyDescent="0.2">
      <c r="F1439" s="70"/>
    </row>
    <row r="1440" spans="6:6" x14ac:dyDescent="0.2">
      <c r="F1440" s="70"/>
    </row>
    <row r="1441" spans="6:6" x14ac:dyDescent="0.2">
      <c r="F1441" s="70"/>
    </row>
    <row r="1442" spans="6:6" x14ac:dyDescent="0.2">
      <c r="F1442" s="70"/>
    </row>
    <row r="1443" spans="6:6" x14ac:dyDescent="0.2">
      <c r="F1443" s="70"/>
    </row>
    <row r="1444" spans="6:6" x14ac:dyDescent="0.2">
      <c r="F1444" s="70"/>
    </row>
    <row r="1445" spans="6:6" x14ac:dyDescent="0.2">
      <c r="F1445" s="70"/>
    </row>
    <row r="1446" spans="6:6" x14ac:dyDescent="0.2">
      <c r="F1446" s="70"/>
    </row>
    <row r="1447" spans="6:6" x14ac:dyDescent="0.2">
      <c r="F1447" s="70"/>
    </row>
    <row r="1448" spans="6:6" x14ac:dyDescent="0.2">
      <c r="F1448" s="70"/>
    </row>
    <row r="1449" spans="6:6" x14ac:dyDescent="0.2">
      <c r="F1449" s="70"/>
    </row>
    <row r="1450" spans="6:6" x14ac:dyDescent="0.2">
      <c r="F1450" s="70"/>
    </row>
    <row r="1451" spans="6:6" x14ac:dyDescent="0.2">
      <c r="F1451" s="70"/>
    </row>
    <row r="1452" spans="6:6" x14ac:dyDescent="0.2">
      <c r="F1452" s="70"/>
    </row>
    <row r="1453" spans="6:6" x14ac:dyDescent="0.2">
      <c r="F1453" s="70"/>
    </row>
    <row r="1454" spans="6:6" x14ac:dyDescent="0.2">
      <c r="F1454" s="70"/>
    </row>
    <row r="1455" spans="6:6" x14ac:dyDescent="0.2">
      <c r="F1455" s="70"/>
    </row>
    <row r="1456" spans="6:6" x14ac:dyDescent="0.2">
      <c r="F1456" s="70"/>
    </row>
    <row r="1457" spans="6:6" x14ac:dyDescent="0.2">
      <c r="F1457" s="70"/>
    </row>
    <row r="1458" spans="6:6" x14ac:dyDescent="0.2">
      <c r="F1458" s="70"/>
    </row>
    <row r="1459" spans="6:6" x14ac:dyDescent="0.2">
      <c r="F1459" s="70"/>
    </row>
    <row r="1460" spans="6:6" x14ac:dyDescent="0.2">
      <c r="F1460" s="70"/>
    </row>
    <row r="1461" spans="6:6" x14ac:dyDescent="0.2">
      <c r="F1461" s="70"/>
    </row>
    <row r="1462" spans="6:6" x14ac:dyDescent="0.2">
      <c r="F1462" s="70"/>
    </row>
    <row r="1463" spans="6:6" x14ac:dyDescent="0.2">
      <c r="F1463" s="70"/>
    </row>
    <row r="1464" spans="6:6" x14ac:dyDescent="0.2">
      <c r="F1464" s="70"/>
    </row>
    <row r="1465" spans="6:6" x14ac:dyDescent="0.2">
      <c r="F1465" s="70"/>
    </row>
    <row r="1466" spans="6:6" x14ac:dyDescent="0.2">
      <c r="F1466" s="70"/>
    </row>
    <row r="1467" spans="6:6" x14ac:dyDescent="0.2">
      <c r="F1467" s="70"/>
    </row>
    <row r="1468" spans="6:6" x14ac:dyDescent="0.2">
      <c r="F1468" s="70"/>
    </row>
    <row r="1469" spans="6:6" x14ac:dyDescent="0.2">
      <c r="F1469" s="70"/>
    </row>
    <row r="1470" spans="6:6" x14ac:dyDescent="0.2">
      <c r="F1470" s="70"/>
    </row>
    <row r="1471" spans="6:6" x14ac:dyDescent="0.2">
      <c r="F1471" s="70"/>
    </row>
    <row r="1472" spans="6:6" x14ac:dyDescent="0.2">
      <c r="F1472" s="70"/>
    </row>
    <row r="1473" spans="6:6" x14ac:dyDescent="0.2">
      <c r="F1473" s="70"/>
    </row>
    <row r="1474" spans="6:6" x14ac:dyDescent="0.2">
      <c r="F1474" s="70"/>
    </row>
    <row r="1475" spans="6:6" x14ac:dyDescent="0.2">
      <c r="F1475" s="70"/>
    </row>
    <row r="1476" spans="6:6" x14ac:dyDescent="0.2">
      <c r="F1476" s="70"/>
    </row>
    <row r="1477" spans="6:6" x14ac:dyDescent="0.2">
      <c r="F1477" s="70"/>
    </row>
    <row r="1478" spans="6:6" x14ac:dyDescent="0.2">
      <c r="F1478" s="70"/>
    </row>
    <row r="1479" spans="6:6" x14ac:dyDescent="0.2">
      <c r="F1479" s="70"/>
    </row>
    <row r="1480" spans="6:6" x14ac:dyDescent="0.2">
      <c r="F1480" s="70"/>
    </row>
    <row r="1481" spans="6:6" x14ac:dyDescent="0.2">
      <c r="F1481" s="70"/>
    </row>
    <row r="1482" spans="6:6" x14ac:dyDescent="0.2">
      <c r="F1482" s="70"/>
    </row>
    <row r="1483" spans="6:6" x14ac:dyDescent="0.2">
      <c r="F1483" s="70"/>
    </row>
    <row r="1484" spans="6:6" x14ac:dyDescent="0.2">
      <c r="F1484" s="70"/>
    </row>
    <row r="1485" spans="6:6" x14ac:dyDescent="0.2">
      <c r="F1485" s="70"/>
    </row>
    <row r="1486" spans="6:6" x14ac:dyDescent="0.2">
      <c r="F1486" s="70"/>
    </row>
    <row r="1487" spans="6:6" x14ac:dyDescent="0.2">
      <c r="F1487" s="70"/>
    </row>
    <row r="1488" spans="6:6" x14ac:dyDescent="0.2">
      <c r="F1488" s="70"/>
    </row>
    <row r="1489" spans="6:6" x14ac:dyDescent="0.2">
      <c r="F1489" s="70"/>
    </row>
    <row r="1490" spans="6:6" x14ac:dyDescent="0.2">
      <c r="F1490" s="70"/>
    </row>
    <row r="1491" spans="6:6" x14ac:dyDescent="0.2">
      <c r="F1491" s="70"/>
    </row>
    <row r="1492" spans="6:6" x14ac:dyDescent="0.2">
      <c r="F1492" s="70"/>
    </row>
    <row r="1493" spans="6:6" x14ac:dyDescent="0.2">
      <c r="F1493" s="70"/>
    </row>
    <row r="1494" spans="6:6" x14ac:dyDescent="0.2">
      <c r="F1494" s="70"/>
    </row>
    <row r="1495" spans="6:6" x14ac:dyDescent="0.2">
      <c r="F1495" s="70"/>
    </row>
    <row r="1496" spans="6:6" x14ac:dyDescent="0.2">
      <c r="F1496" s="70"/>
    </row>
    <row r="1497" spans="6:6" x14ac:dyDescent="0.2">
      <c r="F1497" s="70"/>
    </row>
    <row r="1498" spans="6:6" x14ac:dyDescent="0.2">
      <c r="F1498" s="70"/>
    </row>
    <row r="1499" spans="6:6" x14ac:dyDescent="0.2">
      <c r="F1499" s="70"/>
    </row>
    <row r="1500" spans="6:6" x14ac:dyDescent="0.2">
      <c r="F1500" s="70"/>
    </row>
    <row r="1501" spans="6:6" x14ac:dyDescent="0.2">
      <c r="F1501" s="70"/>
    </row>
    <row r="1502" spans="6:6" x14ac:dyDescent="0.2">
      <c r="F1502" s="70"/>
    </row>
    <row r="1503" spans="6:6" x14ac:dyDescent="0.2">
      <c r="F1503" s="70"/>
    </row>
    <row r="1504" spans="6:6" x14ac:dyDescent="0.2">
      <c r="F1504" s="70"/>
    </row>
    <row r="1505" spans="6:6" x14ac:dyDescent="0.2">
      <c r="F1505" s="70"/>
    </row>
    <row r="1506" spans="6:6" x14ac:dyDescent="0.2">
      <c r="F1506" s="70"/>
    </row>
    <row r="1507" spans="6:6" x14ac:dyDescent="0.2">
      <c r="F1507" s="70"/>
    </row>
    <row r="1508" spans="6:6" x14ac:dyDescent="0.2">
      <c r="F1508" s="70"/>
    </row>
    <row r="1509" spans="6:6" x14ac:dyDescent="0.2">
      <c r="F1509" s="70"/>
    </row>
    <row r="1510" spans="6:6" x14ac:dyDescent="0.2">
      <c r="F1510" s="70"/>
    </row>
    <row r="1511" spans="6:6" x14ac:dyDescent="0.2">
      <c r="F1511" s="70"/>
    </row>
    <row r="1512" spans="6:6" x14ac:dyDescent="0.2">
      <c r="F1512" s="70"/>
    </row>
    <row r="1513" spans="6:6" x14ac:dyDescent="0.2">
      <c r="F1513" s="70"/>
    </row>
    <row r="1514" spans="6:6" x14ac:dyDescent="0.2">
      <c r="F1514" s="70"/>
    </row>
    <row r="1515" spans="6:6" x14ac:dyDescent="0.2">
      <c r="F1515" s="70"/>
    </row>
    <row r="1516" spans="6:6" x14ac:dyDescent="0.2">
      <c r="F1516" s="70"/>
    </row>
    <row r="1517" spans="6:6" x14ac:dyDescent="0.2">
      <c r="F1517" s="70"/>
    </row>
    <row r="1518" spans="6:6" x14ac:dyDescent="0.2">
      <c r="F1518" s="70"/>
    </row>
    <row r="1519" spans="6:6" x14ac:dyDescent="0.2">
      <c r="F1519" s="70"/>
    </row>
    <row r="1520" spans="6:6" x14ac:dyDescent="0.2">
      <c r="F1520" s="70"/>
    </row>
    <row r="1521" spans="6:6" x14ac:dyDescent="0.2">
      <c r="F1521" s="70"/>
    </row>
    <row r="1522" spans="6:6" x14ac:dyDescent="0.2">
      <c r="F1522" s="70"/>
    </row>
    <row r="1523" spans="6:6" x14ac:dyDescent="0.2">
      <c r="F1523" s="70"/>
    </row>
    <row r="1524" spans="6:6" x14ac:dyDescent="0.2">
      <c r="F1524" s="70"/>
    </row>
    <row r="1525" spans="6:6" x14ac:dyDescent="0.2">
      <c r="F1525" s="70"/>
    </row>
    <row r="1526" spans="6:6" x14ac:dyDescent="0.2">
      <c r="F1526" s="70"/>
    </row>
    <row r="1527" spans="6:6" x14ac:dyDescent="0.2">
      <c r="F1527" s="70"/>
    </row>
    <row r="1528" spans="6:6" x14ac:dyDescent="0.2">
      <c r="F1528" s="70"/>
    </row>
    <row r="1529" spans="6:6" x14ac:dyDescent="0.2">
      <c r="F1529" s="70"/>
    </row>
    <row r="1530" spans="6:6" x14ac:dyDescent="0.2">
      <c r="F1530" s="70"/>
    </row>
    <row r="1531" spans="6:6" x14ac:dyDescent="0.2">
      <c r="F1531" s="70"/>
    </row>
    <row r="1532" spans="6:6" x14ac:dyDescent="0.2">
      <c r="F1532" s="70"/>
    </row>
    <row r="1533" spans="6:6" x14ac:dyDescent="0.2">
      <c r="F1533" s="70"/>
    </row>
    <row r="1534" spans="6:6" x14ac:dyDescent="0.2">
      <c r="F1534" s="70"/>
    </row>
    <row r="1535" spans="6:6" x14ac:dyDescent="0.2">
      <c r="F1535" s="70"/>
    </row>
    <row r="1536" spans="6:6" x14ac:dyDescent="0.2">
      <c r="F1536" s="70"/>
    </row>
    <row r="1537" spans="6:6" x14ac:dyDescent="0.2">
      <c r="F1537" s="70"/>
    </row>
    <row r="1538" spans="6:6" x14ac:dyDescent="0.2">
      <c r="F1538" s="70"/>
    </row>
    <row r="1539" spans="6:6" x14ac:dyDescent="0.2">
      <c r="F1539" s="70"/>
    </row>
    <row r="1540" spans="6:6" x14ac:dyDescent="0.2">
      <c r="F1540" s="70"/>
    </row>
    <row r="1541" spans="6:6" x14ac:dyDescent="0.2">
      <c r="F1541" s="70"/>
    </row>
    <row r="1542" spans="6:6" x14ac:dyDescent="0.2">
      <c r="F1542" s="70"/>
    </row>
    <row r="1543" spans="6:6" x14ac:dyDescent="0.2">
      <c r="F1543" s="70"/>
    </row>
    <row r="1544" spans="6:6" x14ac:dyDescent="0.2">
      <c r="F1544" s="70"/>
    </row>
    <row r="1545" spans="6:6" x14ac:dyDescent="0.2">
      <c r="F1545" s="70"/>
    </row>
    <row r="1546" spans="6:6" x14ac:dyDescent="0.2">
      <c r="F1546" s="70"/>
    </row>
    <row r="1547" spans="6:6" x14ac:dyDescent="0.2">
      <c r="F1547" s="70"/>
    </row>
    <row r="1548" spans="6:6" x14ac:dyDescent="0.2">
      <c r="F1548" s="70"/>
    </row>
    <row r="1549" spans="6:6" x14ac:dyDescent="0.2">
      <c r="F1549" s="70"/>
    </row>
    <row r="1550" spans="6:6" x14ac:dyDescent="0.2">
      <c r="F1550" s="70"/>
    </row>
    <row r="1551" spans="6:6" x14ac:dyDescent="0.2">
      <c r="F1551" s="70"/>
    </row>
    <row r="1552" spans="6:6" x14ac:dyDescent="0.2">
      <c r="F1552" s="70"/>
    </row>
    <row r="1553" spans="6:6" x14ac:dyDescent="0.2">
      <c r="F1553" s="70"/>
    </row>
    <row r="1554" spans="6:6" x14ac:dyDescent="0.2">
      <c r="F1554" s="70"/>
    </row>
    <row r="1555" spans="6:6" x14ac:dyDescent="0.2">
      <c r="F1555" s="70"/>
    </row>
    <row r="1556" spans="6:6" x14ac:dyDescent="0.2">
      <c r="F1556" s="70"/>
    </row>
    <row r="1557" spans="6:6" x14ac:dyDescent="0.2">
      <c r="F1557" s="70"/>
    </row>
    <row r="1558" spans="6:6" x14ac:dyDescent="0.2">
      <c r="F1558" s="70"/>
    </row>
    <row r="1559" spans="6:6" x14ac:dyDescent="0.2">
      <c r="F1559" s="70"/>
    </row>
    <row r="1560" spans="6:6" x14ac:dyDescent="0.2">
      <c r="F1560" s="70"/>
    </row>
    <row r="1561" spans="6:6" x14ac:dyDescent="0.2">
      <c r="F1561" s="70"/>
    </row>
    <row r="1562" spans="6:6" x14ac:dyDescent="0.2">
      <c r="F1562" s="70"/>
    </row>
    <row r="1563" spans="6:6" x14ac:dyDescent="0.2">
      <c r="F1563" s="70"/>
    </row>
    <row r="1564" spans="6:6" x14ac:dyDescent="0.2">
      <c r="F1564" s="70"/>
    </row>
    <row r="1565" spans="6:6" x14ac:dyDescent="0.2">
      <c r="F1565" s="70"/>
    </row>
    <row r="1566" spans="6:6" x14ac:dyDescent="0.2">
      <c r="F1566" s="70"/>
    </row>
    <row r="1567" spans="6:6" x14ac:dyDescent="0.2">
      <c r="F1567" s="70"/>
    </row>
    <row r="1568" spans="6:6" x14ac:dyDescent="0.2">
      <c r="F1568" s="70"/>
    </row>
    <row r="1569" spans="6:6" x14ac:dyDescent="0.2">
      <c r="F1569" s="70"/>
    </row>
    <row r="1570" spans="6:6" x14ac:dyDescent="0.2">
      <c r="F1570" s="70"/>
    </row>
    <row r="1571" spans="6:6" x14ac:dyDescent="0.2">
      <c r="F1571" s="70"/>
    </row>
    <row r="1572" spans="6:6" x14ac:dyDescent="0.2">
      <c r="F1572" s="70"/>
    </row>
    <row r="1573" spans="6:6" x14ac:dyDescent="0.2">
      <c r="F1573" s="70"/>
    </row>
    <row r="1574" spans="6:6" x14ac:dyDescent="0.2">
      <c r="F1574" s="70"/>
    </row>
    <row r="1575" spans="6:6" x14ac:dyDescent="0.2">
      <c r="F1575" s="70"/>
    </row>
    <row r="1576" spans="6:6" x14ac:dyDescent="0.2">
      <c r="F1576" s="70"/>
    </row>
    <row r="1577" spans="6:6" x14ac:dyDescent="0.2">
      <c r="F1577" s="70"/>
    </row>
    <row r="1578" spans="6:6" x14ac:dyDescent="0.2">
      <c r="F1578" s="70"/>
    </row>
    <row r="1579" spans="6:6" x14ac:dyDescent="0.2">
      <c r="F1579" s="70"/>
    </row>
    <row r="1580" spans="6:6" x14ac:dyDescent="0.2">
      <c r="F1580" s="70"/>
    </row>
    <row r="1581" spans="6:6" x14ac:dyDescent="0.2">
      <c r="F1581" s="70"/>
    </row>
    <row r="1582" spans="6:6" x14ac:dyDescent="0.2">
      <c r="F1582" s="70"/>
    </row>
    <row r="1583" spans="6:6" x14ac:dyDescent="0.2">
      <c r="F1583" s="70"/>
    </row>
    <row r="1584" spans="6:6" x14ac:dyDescent="0.2">
      <c r="F1584" s="70"/>
    </row>
    <row r="1585" spans="6:6" x14ac:dyDescent="0.2">
      <c r="F1585" s="70"/>
    </row>
    <row r="1586" spans="6:6" x14ac:dyDescent="0.2">
      <c r="F1586" s="70"/>
    </row>
    <row r="1587" spans="6:6" x14ac:dyDescent="0.2">
      <c r="F1587" s="70"/>
    </row>
    <row r="1588" spans="6:6" x14ac:dyDescent="0.2">
      <c r="F1588" s="70"/>
    </row>
    <row r="1589" spans="6:6" x14ac:dyDescent="0.2">
      <c r="F1589" s="70"/>
    </row>
    <row r="1590" spans="6:6" x14ac:dyDescent="0.2">
      <c r="F1590" s="70"/>
    </row>
    <row r="1591" spans="6:6" x14ac:dyDescent="0.2">
      <c r="F1591" s="70"/>
    </row>
    <row r="1592" spans="6:6" x14ac:dyDescent="0.2">
      <c r="F1592" s="70"/>
    </row>
    <row r="1593" spans="6:6" x14ac:dyDescent="0.2">
      <c r="F1593" s="70"/>
    </row>
    <row r="1594" spans="6:6" x14ac:dyDescent="0.2">
      <c r="F1594" s="70"/>
    </row>
    <row r="1595" spans="6:6" x14ac:dyDescent="0.2">
      <c r="F1595" s="70"/>
    </row>
    <row r="1596" spans="6:6" x14ac:dyDescent="0.2">
      <c r="F1596" s="70"/>
    </row>
    <row r="1597" spans="6:6" x14ac:dyDescent="0.2">
      <c r="F1597" s="70"/>
    </row>
    <row r="1598" spans="6:6" x14ac:dyDescent="0.2">
      <c r="F1598" s="70"/>
    </row>
    <row r="1599" spans="6:6" x14ac:dyDescent="0.2">
      <c r="F1599" s="70"/>
    </row>
    <row r="1600" spans="6:6" x14ac:dyDescent="0.2">
      <c r="F1600" s="70"/>
    </row>
    <row r="1601" spans="6:6" x14ac:dyDescent="0.2">
      <c r="F1601" s="70"/>
    </row>
    <row r="1602" spans="6:6" x14ac:dyDescent="0.2">
      <c r="F1602" s="70"/>
    </row>
    <row r="1603" spans="6:6" x14ac:dyDescent="0.2">
      <c r="F1603" s="70"/>
    </row>
    <row r="1604" spans="6:6" x14ac:dyDescent="0.2">
      <c r="F1604" s="70"/>
    </row>
    <row r="1605" spans="6:6" x14ac:dyDescent="0.2">
      <c r="F1605" s="70"/>
    </row>
    <row r="1606" spans="6:6" x14ac:dyDescent="0.2">
      <c r="F1606" s="70"/>
    </row>
    <row r="1607" spans="6:6" x14ac:dyDescent="0.2">
      <c r="F1607" s="70"/>
    </row>
    <row r="1608" spans="6:6" x14ac:dyDescent="0.2">
      <c r="F1608" s="70"/>
    </row>
    <row r="1609" spans="6:6" x14ac:dyDescent="0.2">
      <c r="F1609" s="70"/>
    </row>
    <row r="1610" spans="6:6" x14ac:dyDescent="0.2">
      <c r="F1610" s="70"/>
    </row>
    <row r="1611" spans="6:6" x14ac:dyDescent="0.2">
      <c r="F1611" s="70"/>
    </row>
    <row r="1612" spans="6:6" x14ac:dyDescent="0.2">
      <c r="F1612" s="70"/>
    </row>
    <row r="1613" spans="6:6" x14ac:dyDescent="0.2">
      <c r="F1613" s="70"/>
    </row>
    <row r="1614" spans="6:6" x14ac:dyDescent="0.2">
      <c r="F1614" s="70"/>
    </row>
    <row r="1615" spans="6:6" x14ac:dyDescent="0.2">
      <c r="F1615" s="70"/>
    </row>
    <row r="1616" spans="6:6" x14ac:dyDescent="0.2">
      <c r="F1616" s="70"/>
    </row>
    <row r="1617" spans="6:6" x14ac:dyDescent="0.2">
      <c r="F1617" s="70"/>
    </row>
    <row r="1618" spans="6:6" x14ac:dyDescent="0.2">
      <c r="F1618" s="70"/>
    </row>
    <row r="1619" spans="6:6" x14ac:dyDescent="0.2">
      <c r="F1619" s="70"/>
    </row>
    <row r="1620" spans="6:6" x14ac:dyDescent="0.2">
      <c r="F1620" s="70"/>
    </row>
    <row r="1621" spans="6:6" x14ac:dyDescent="0.2">
      <c r="F1621" s="70"/>
    </row>
    <row r="1622" spans="6:6" x14ac:dyDescent="0.2">
      <c r="F1622" s="70"/>
    </row>
    <row r="1623" spans="6:6" x14ac:dyDescent="0.2">
      <c r="F1623" s="70"/>
    </row>
    <row r="1624" spans="6:6" x14ac:dyDescent="0.2">
      <c r="F1624" s="70"/>
    </row>
    <row r="1625" spans="6:6" x14ac:dyDescent="0.2">
      <c r="F1625" s="70"/>
    </row>
    <row r="1626" spans="6:6" x14ac:dyDescent="0.2">
      <c r="F1626" s="70"/>
    </row>
    <row r="1627" spans="6:6" x14ac:dyDescent="0.2">
      <c r="F1627" s="70"/>
    </row>
    <row r="1628" spans="6:6" x14ac:dyDescent="0.2">
      <c r="F1628" s="70"/>
    </row>
    <row r="1629" spans="6:6" x14ac:dyDescent="0.2">
      <c r="F1629" s="70"/>
    </row>
    <row r="1630" spans="6:6" x14ac:dyDescent="0.2">
      <c r="F1630" s="70"/>
    </row>
    <row r="1631" spans="6:6" x14ac:dyDescent="0.2">
      <c r="F1631" s="70"/>
    </row>
    <row r="1632" spans="6:6" x14ac:dyDescent="0.2">
      <c r="F1632" s="70"/>
    </row>
    <row r="1633" spans="6:6" x14ac:dyDescent="0.2">
      <c r="F1633" s="70"/>
    </row>
    <row r="1634" spans="6:6" x14ac:dyDescent="0.2">
      <c r="F1634" s="70"/>
    </row>
    <row r="1635" spans="6:6" x14ac:dyDescent="0.2">
      <c r="F1635" s="70"/>
    </row>
    <row r="1636" spans="6:6" x14ac:dyDescent="0.2">
      <c r="F1636" s="70"/>
    </row>
    <row r="1637" spans="6:6" x14ac:dyDescent="0.2">
      <c r="F1637" s="70"/>
    </row>
    <row r="1638" spans="6:6" x14ac:dyDescent="0.2">
      <c r="F1638" s="70"/>
    </row>
    <row r="1639" spans="6:6" x14ac:dyDescent="0.2">
      <c r="F1639" s="70"/>
    </row>
    <row r="1640" spans="6:6" x14ac:dyDescent="0.2">
      <c r="F1640" s="70"/>
    </row>
    <row r="1641" spans="6:6" x14ac:dyDescent="0.2">
      <c r="F1641" s="70"/>
    </row>
    <row r="1642" spans="6:6" x14ac:dyDescent="0.2">
      <c r="F1642" s="70"/>
    </row>
    <row r="1643" spans="6:6" x14ac:dyDescent="0.2">
      <c r="F1643" s="70"/>
    </row>
    <row r="1644" spans="6:6" x14ac:dyDescent="0.2">
      <c r="F1644" s="70"/>
    </row>
    <row r="1645" spans="6:6" x14ac:dyDescent="0.2">
      <c r="F1645" s="70"/>
    </row>
    <row r="1646" spans="6:6" x14ac:dyDescent="0.2">
      <c r="F1646" s="70"/>
    </row>
    <row r="1647" spans="6:6" x14ac:dyDescent="0.2">
      <c r="F1647" s="70"/>
    </row>
    <row r="1648" spans="6:6" x14ac:dyDescent="0.2">
      <c r="F1648" s="70"/>
    </row>
    <row r="1649" spans="6:6" x14ac:dyDescent="0.2">
      <c r="F1649" s="70"/>
    </row>
    <row r="1650" spans="6:6" x14ac:dyDescent="0.2">
      <c r="F1650" s="70"/>
    </row>
    <row r="1651" spans="6:6" x14ac:dyDescent="0.2">
      <c r="F1651" s="70"/>
    </row>
    <row r="1652" spans="6:6" x14ac:dyDescent="0.2">
      <c r="F1652" s="70"/>
    </row>
    <row r="1653" spans="6:6" x14ac:dyDescent="0.2">
      <c r="F1653" s="70"/>
    </row>
    <row r="1654" spans="6:6" x14ac:dyDescent="0.2">
      <c r="F1654" s="70"/>
    </row>
    <row r="1655" spans="6:6" x14ac:dyDescent="0.2">
      <c r="F1655" s="70"/>
    </row>
    <row r="1656" spans="6:6" x14ac:dyDescent="0.2">
      <c r="F1656" s="70"/>
    </row>
    <row r="1657" spans="6:6" x14ac:dyDescent="0.2">
      <c r="F1657" s="70"/>
    </row>
    <row r="1658" spans="6:6" x14ac:dyDescent="0.2">
      <c r="F1658" s="70"/>
    </row>
    <row r="1659" spans="6:6" x14ac:dyDescent="0.2">
      <c r="F1659" s="70"/>
    </row>
    <row r="1660" spans="6:6" x14ac:dyDescent="0.2">
      <c r="F1660" s="70"/>
    </row>
    <row r="1661" spans="6:6" x14ac:dyDescent="0.2">
      <c r="F1661" s="70"/>
    </row>
    <row r="1662" spans="6:6" x14ac:dyDescent="0.2">
      <c r="F1662" s="70"/>
    </row>
    <row r="1663" spans="6:6" x14ac:dyDescent="0.2">
      <c r="F1663" s="70"/>
    </row>
    <row r="1664" spans="6:6" x14ac:dyDescent="0.2">
      <c r="F1664" s="70"/>
    </row>
    <row r="1665" spans="6:6" x14ac:dyDescent="0.2">
      <c r="F1665" s="70"/>
    </row>
    <row r="1666" spans="6:6" x14ac:dyDescent="0.2">
      <c r="F1666" s="70"/>
    </row>
    <row r="1667" spans="6:6" x14ac:dyDescent="0.2">
      <c r="F1667" s="70"/>
    </row>
    <row r="1668" spans="6:6" x14ac:dyDescent="0.2">
      <c r="F1668" s="70"/>
    </row>
    <row r="1669" spans="6:6" x14ac:dyDescent="0.2">
      <c r="F1669" s="70"/>
    </row>
    <row r="1670" spans="6:6" x14ac:dyDescent="0.2">
      <c r="F1670" s="70"/>
    </row>
    <row r="1671" spans="6:6" x14ac:dyDescent="0.2">
      <c r="F1671" s="70"/>
    </row>
    <row r="1672" spans="6:6" x14ac:dyDescent="0.2">
      <c r="F1672" s="70"/>
    </row>
    <row r="1673" spans="6:6" x14ac:dyDescent="0.2">
      <c r="F1673" s="70"/>
    </row>
    <row r="1674" spans="6:6" x14ac:dyDescent="0.2">
      <c r="F1674" s="70"/>
    </row>
    <row r="1675" spans="6:6" x14ac:dyDescent="0.2">
      <c r="F1675" s="70"/>
    </row>
    <row r="1676" spans="6:6" x14ac:dyDescent="0.2">
      <c r="F1676" s="70"/>
    </row>
    <row r="1677" spans="6:6" x14ac:dyDescent="0.2">
      <c r="F1677" s="70"/>
    </row>
    <row r="1678" spans="6:6" x14ac:dyDescent="0.2">
      <c r="F1678" s="70"/>
    </row>
    <row r="1679" spans="6:6" x14ac:dyDescent="0.2">
      <c r="F1679" s="70"/>
    </row>
    <row r="1680" spans="6:6" x14ac:dyDescent="0.2">
      <c r="F1680" s="70"/>
    </row>
    <row r="1681" spans="6:6" x14ac:dyDescent="0.2">
      <c r="F1681" s="70"/>
    </row>
    <row r="1682" spans="6:6" x14ac:dyDescent="0.2">
      <c r="F1682" s="70"/>
    </row>
    <row r="1683" spans="6:6" x14ac:dyDescent="0.2">
      <c r="F1683" s="70"/>
    </row>
    <row r="1684" spans="6:6" x14ac:dyDescent="0.2">
      <c r="F1684" s="70"/>
    </row>
    <row r="1685" spans="6:6" x14ac:dyDescent="0.2">
      <c r="F1685" s="70"/>
    </row>
    <row r="1686" spans="6:6" x14ac:dyDescent="0.2">
      <c r="F1686" s="70"/>
    </row>
    <row r="1687" spans="6:6" x14ac:dyDescent="0.2">
      <c r="F1687" s="70"/>
    </row>
    <row r="1688" spans="6:6" x14ac:dyDescent="0.2">
      <c r="F1688" s="70"/>
    </row>
    <row r="1689" spans="6:6" x14ac:dyDescent="0.2">
      <c r="F1689" s="70"/>
    </row>
    <row r="1690" spans="6:6" x14ac:dyDescent="0.2">
      <c r="F1690" s="70"/>
    </row>
    <row r="1691" spans="6:6" x14ac:dyDescent="0.2">
      <c r="F1691" s="70"/>
    </row>
    <row r="1692" spans="6:6" x14ac:dyDescent="0.2">
      <c r="F1692" s="70"/>
    </row>
    <row r="1693" spans="6:6" x14ac:dyDescent="0.2">
      <c r="F1693" s="70"/>
    </row>
    <row r="1694" spans="6:6" x14ac:dyDescent="0.2">
      <c r="F1694" s="70"/>
    </row>
    <row r="1695" spans="6:6" x14ac:dyDescent="0.2">
      <c r="F1695" s="70"/>
    </row>
    <row r="1696" spans="6:6" x14ac:dyDescent="0.2">
      <c r="F1696" s="70"/>
    </row>
    <row r="1697" spans="6:6" x14ac:dyDescent="0.2">
      <c r="F1697" s="70"/>
    </row>
    <row r="1698" spans="6:6" x14ac:dyDescent="0.2">
      <c r="F1698" s="70"/>
    </row>
    <row r="1699" spans="6:6" x14ac:dyDescent="0.2">
      <c r="F1699" s="70"/>
    </row>
    <row r="1700" spans="6:6" x14ac:dyDescent="0.2">
      <c r="F1700" s="70"/>
    </row>
    <row r="1701" spans="6:6" x14ac:dyDescent="0.2">
      <c r="F1701" s="70"/>
    </row>
    <row r="1702" spans="6:6" x14ac:dyDescent="0.2">
      <c r="F1702" s="70"/>
    </row>
    <row r="1703" spans="6:6" x14ac:dyDescent="0.2">
      <c r="F1703" s="70"/>
    </row>
    <row r="1704" spans="6:6" x14ac:dyDescent="0.2">
      <c r="F1704" s="70"/>
    </row>
    <row r="1705" spans="6:6" x14ac:dyDescent="0.2">
      <c r="F1705" s="70"/>
    </row>
    <row r="1706" spans="6:6" x14ac:dyDescent="0.2">
      <c r="F1706" s="70"/>
    </row>
    <row r="1707" spans="6:6" x14ac:dyDescent="0.2">
      <c r="F1707" s="70"/>
    </row>
    <row r="1708" spans="6:6" x14ac:dyDescent="0.2">
      <c r="F1708" s="70"/>
    </row>
    <row r="1709" spans="6:6" x14ac:dyDescent="0.2">
      <c r="F1709" s="70"/>
    </row>
    <row r="1710" spans="6:6" x14ac:dyDescent="0.2">
      <c r="F1710" s="70"/>
    </row>
    <row r="1711" spans="6:6" x14ac:dyDescent="0.2">
      <c r="F1711" s="70"/>
    </row>
    <row r="1712" spans="6:6" x14ac:dyDescent="0.2">
      <c r="F1712" s="70"/>
    </row>
    <row r="1713" spans="6:6" x14ac:dyDescent="0.2">
      <c r="F1713" s="70"/>
    </row>
    <row r="1714" spans="6:6" x14ac:dyDescent="0.2">
      <c r="F1714" s="70"/>
    </row>
    <row r="1715" spans="6:6" x14ac:dyDescent="0.2">
      <c r="F1715" s="70"/>
    </row>
    <row r="1716" spans="6:6" x14ac:dyDescent="0.2">
      <c r="F1716" s="70"/>
    </row>
    <row r="1717" spans="6:6" x14ac:dyDescent="0.2">
      <c r="F1717" s="70"/>
    </row>
    <row r="1718" spans="6:6" x14ac:dyDescent="0.2">
      <c r="F1718" s="70"/>
    </row>
    <row r="1719" spans="6:6" x14ac:dyDescent="0.2">
      <c r="F1719" s="70"/>
    </row>
    <row r="1720" spans="6:6" x14ac:dyDescent="0.2">
      <c r="F1720" s="70"/>
    </row>
    <row r="1721" spans="6:6" x14ac:dyDescent="0.2">
      <c r="F1721" s="70"/>
    </row>
    <row r="1722" spans="6:6" x14ac:dyDescent="0.2">
      <c r="F1722" s="70"/>
    </row>
    <row r="1723" spans="6:6" x14ac:dyDescent="0.2">
      <c r="F1723" s="70"/>
    </row>
    <row r="1724" spans="6:6" x14ac:dyDescent="0.2">
      <c r="F1724" s="70"/>
    </row>
    <row r="1725" spans="6:6" x14ac:dyDescent="0.2">
      <c r="F1725" s="70"/>
    </row>
    <row r="1726" spans="6:6" x14ac:dyDescent="0.2">
      <c r="F1726" s="70"/>
    </row>
    <row r="1727" spans="6:6" x14ac:dyDescent="0.2">
      <c r="F1727" s="70"/>
    </row>
    <row r="1728" spans="6:6" x14ac:dyDescent="0.2">
      <c r="F1728" s="70"/>
    </row>
    <row r="1729" spans="6:6" x14ac:dyDescent="0.2">
      <c r="F1729" s="70"/>
    </row>
    <row r="1730" spans="6:6" x14ac:dyDescent="0.2">
      <c r="F1730" s="70"/>
    </row>
    <row r="1731" spans="6:6" x14ac:dyDescent="0.2">
      <c r="F1731" s="70"/>
    </row>
    <row r="1732" spans="6:6" x14ac:dyDescent="0.2">
      <c r="F1732" s="70"/>
    </row>
    <row r="1733" spans="6:6" x14ac:dyDescent="0.2">
      <c r="F1733" s="70"/>
    </row>
    <row r="1734" spans="6:6" x14ac:dyDescent="0.2">
      <c r="F1734" s="70"/>
    </row>
    <row r="1735" spans="6:6" x14ac:dyDescent="0.2">
      <c r="F1735" s="70"/>
    </row>
    <row r="1736" spans="6:6" x14ac:dyDescent="0.2">
      <c r="F1736" s="70"/>
    </row>
    <row r="1737" spans="6:6" x14ac:dyDescent="0.2">
      <c r="F1737" s="70"/>
    </row>
    <row r="1738" spans="6:6" x14ac:dyDescent="0.2">
      <c r="F1738" s="70"/>
    </row>
    <row r="1739" spans="6:6" x14ac:dyDescent="0.2">
      <c r="F1739" s="70"/>
    </row>
    <row r="1740" spans="6:6" x14ac:dyDescent="0.2">
      <c r="F1740" s="70"/>
    </row>
    <row r="1741" spans="6:6" x14ac:dyDescent="0.2">
      <c r="F1741" s="70"/>
    </row>
    <row r="1742" spans="6:6" x14ac:dyDescent="0.2">
      <c r="F1742" s="70"/>
    </row>
    <row r="1743" spans="6:6" x14ac:dyDescent="0.2">
      <c r="F1743" s="70"/>
    </row>
    <row r="1744" spans="6:6" x14ac:dyDescent="0.2">
      <c r="F1744" s="70"/>
    </row>
    <row r="1745" spans="6:6" x14ac:dyDescent="0.2">
      <c r="F1745" s="70"/>
    </row>
    <row r="1746" spans="6:6" x14ac:dyDescent="0.2">
      <c r="F1746" s="70"/>
    </row>
    <row r="1747" spans="6:6" x14ac:dyDescent="0.2">
      <c r="F1747" s="70"/>
    </row>
    <row r="1748" spans="6:6" x14ac:dyDescent="0.2">
      <c r="F1748" s="70"/>
    </row>
    <row r="1749" spans="6:6" x14ac:dyDescent="0.2">
      <c r="F1749" s="70"/>
    </row>
    <row r="1750" spans="6:6" x14ac:dyDescent="0.2">
      <c r="F1750" s="70"/>
    </row>
    <row r="1751" spans="6:6" x14ac:dyDescent="0.2">
      <c r="F1751" s="70"/>
    </row>
    <row r="1752" spans="6:6" x14ac:dyDescent="0.2">
      <c r="F1752" s="70"/>
    </row>
    <row r="1753" spans="6:6" x14ac:dyDescent="0.2">
      <c r="F1753" s="70"/>
    </row>
    <row r="1754" spans="6:6" x14ac:dyDescent="0.2">
      <c r="F1754" s="70"/>
    </row>
    <row r="1755" spans="6:6" x14ac:dyDescent="0.2">
      <c r="F1755" s="70"/>
    </row>
    <row r="1756" spans="6:6" x14ac:dyDescent="0.2">
      <c r="F1756" s="70"/>
    </row>
    <row r="1757" spans="6:6" x14ac:dyDescent="0.2">
      <c r="F1757" s="70"/>
    </row>
    <row r="1758" spans="6:6" x14ac:dyDescent="0.2">
      <c r="F1758" s="70"/>
    </row>
    <row r="1759" spans="6:6" x14ac:dyDescent="0.2">
      <c r="F1759" s="70"/>
    </row>
    <row r="1760" spans="6:6" x14ac:dyDescent="0.2">
      <c r="F1760" s="70"/>
    </row>
    <row r="1761" spans="6:6" x14ac:dyDescent="0.2">
      <c r="F1761" s="70"/>
    </row>
    <row r="1762" spans="6:6" x14ac:dyDescent="0.2">
      <c r="F1762" s="70"/>
    </row>
    <row r="1763" spans="6:6" x14ac:dyDescent="0.2">
      <c r="F1763" s="70"/>
    </row>
    <row r="1764" spans="6:6" x14ac:dyDescent="0.2">
      <c r="F1764" s="70"/>
    </row>
    <row r="1765" spans="6:6" x14ac:dyDescent="0.2">
      <c r="F1765" s="70"/>
    </row>
    <row r="1766" spans="6:6" x14ac:dyDescent="0.2">
      <c r="F1766" s="70"/>
    </row>
    <row r="1767" spans="6:6" x14ac:dyDescent="0.2">
      <c r="F1767" s="70"/>
    </row>
    <row r="1768" spans="6:6" x14ac:dyDescent="0.2">
      <c r="F1768" s="70"/>
    </row>
    <row r="1769" spans="6:6" x14ac:dyDescent="0.2">
      <c r="F1769" s="70"/>
    </row>
    <row r="1770" spans="6:6" x14ac:dyDescent="0.2">
      <c r="F1770" s="70"/>
    </row>
    <row r="1771" spans="6:6" x14ac:dyDescent="0.2">
      <c r="F1771" s="70"/>
    </row>
    <row r="1772" spans="6:6" x14ac:dyDescent="0.2">
      <c r="F1772" s="70"/>
    </row>
    <row r="1773" spans="6:6" x14ac:dyDescent="0.2">
      <c r="F1773" s="70"/>
    </row>
    <row r="1774" spans="6:6" x14ac:dyDescent="0.2">
      <c r="F1774" s="70"/>
    </row>
    <row r="1775" spans="6:6" x14ac:dyDescent="0.2">
      <c r="F1775" s="70"/>
    </row>
    <row r="1776" spans="6:6" x14ac:dyDescent="0.2">
      <c r="F1776" s="70"/>
    </row>
    <row r="1777" spans="6:6" x14ac:dyDescent="0.2">
      <c r="F1777" s="70"/>
    </row>
    <row r="1778" spans="6:6" x14ac:dyDescent="0.2">
      <c r="F1778" s="70"/>
    </row>
    <row r="1779" spans="6:6" x14ac:dyDescent="0.2">
      <c r="F1779" s="70"/>
    </row>
    <row r="1780" spans="6:6" x14ac:dyDescent="0.2">
      <c r="F1780" s="70"/>
    </row>
    <row r="1781" spans="6:6" x14ac:dyDescent="0.2">
      <c r="F1781" s="70"/>
    </row>
    <row r="1782" spans="6:6" x14ac:dyDescent="0.2">
      <c r="F1782" s="70"/>
    </row>
    <row r="1783" spans="6:6" x14ac:dyDescent="0.2">
      <c r="F1783" s="70"/>
    </row>
    <row r="1784" spans="6:6" x14ac:dyDescent="0.2">
      <c r="F1784" s="70"/>
    </row>
    <row r="1785" spans="6:6" x14ac:dyDescent="0.2">
      <c r="F1785" s="70"/>
    </row>
    <row r="1786" spans="6:6" x14ac:dyDescent="0.2">
      <c r="F1786" s="70"/>
    </row>
    <row r="1787" spans="6:6" x14ac:dyDescent="0.2">
      <c r="F1787" s="70"/>
    </row>
    <row r="1788" spans="6:6" x14ac:dyDescent="0.2">
      <c r="F1788" s="70"/>
    </row>
    <row r="1789" spans="6:6" x14ac:dyDescent="0.2">
      <c r="F1789" s="70"/>
    </row>
    <row r="1790" spans="6:6" x14ac:dyDescent="0.2">
      <c r="F1790" s="70"/>
    </row>
    <row r="1791" spans="6:6" x14ac:dyDescent="0.2">
      <c r="F1791" s="70"/>
    </row>
    <row r="1792" spans="6:6" x14ac:dyDescent="0.2">
      <c r="F1792" s="70"/>
    </row>
    <row r="1793" spans="6:6" x14ac:dyDescent="0.2">
      <c r="F1793" s="70"/>
    </row>
    <row r="1794" spans="6:6" x14ac:dyDescent="0.2">
      <c r="F1794" s="70"/>
    </row>
    <row r="1795" spans="6:6" x14ac:dyDescent="0.2">
      <c r="F1795" s="70"/>
    </row>
    <row r="1796" spans="6:6" x14ac:dyDescent="0.2">
      <c r="F1796" s="70"/>
    </row>
    <row r="1797" spans="6:6" x14ac:dyDescent="0.2">
      <c r="F1797" s="70"/>
    </row>
    <row r="1798" spans="6:6" x14ac:dyDescent="0.2">
      <c r="F1798" s="70"/>
    </row>
    <row r="1799" spans="6:6" x14ac:dyDescent="0.2">
      <c r="F1799" s="70"/>
    </row>
    <row r="1800" spans="6:6" x14ac:dyDescent="0.2">
      <c r="F1800" s="70"/>
    </row>
    <row r="1801" spans="6:6" x14ac:dyDescent="0.2">
      <c r="F1801" s="70"/>
    </row>
    <row r="1802" spans="6:6" x14ac:dyDescent="0.2">
      <c r="F1802" s="70"/>
    </row>
    <row r="1803" spans="6:6" x14ac:dyDescent="0.2">
      <c r="F1803" s="70"/>
    </row>
    <row r="1804" spans="6:6" x14ac:dyDescent="0.2">
      <c r="F1804" s="70"/>
    </row>
    <row r="1805" spans="6:6" x14ac:dyDescent="0.2">
      <c r="F1805" s="70"/>
    </row>
    <row r="1806" spans="6:6" x14ac:dyDescent="0.2">
      <c r="F1806" s="70"/>
    </row>
    <row r="1807" spans="6:6" x14ac:dyDescent="0.2">
      <c r="F1807" s="70"/>
    </row>
    <row r="1808" spans="6:6" x14ac:dyDescent="0.2">
      <c r="F1808" s="70"/>
    </row>
    <row r="1809" spans="6:6" x14ac:dyDescent="0.2">
      <c r="F1809" s="70"/>
    </row>
    <row r="1810" spans="6:6" x14ac:dyDescent="0.2">
      <c r="F1810" s="70"/>
    </row>
    <row r="1811" spans="6:6" x14ac:dyDescent="0.2">
      <c r="F1811" s="70"/>
    </row>
    <row r="1812" spans="6:6" x14ac:dyDescent="0.2">
      <c r="F1812" s="70"/>
    </row>
    <row r="1813" spans="6:6" x14ac:dyDescent="0.2">
      <c r="F1813" s="70"/>
    </row>
    <row r="1814" spans="6:6" x14ac:dyDescent="0.2">
      <c r="F1814" s="70"/>
    </row>
    <row r="1815" spans="6:6" x14ac:dyDescent="0.2">
      <c r="F1815" s="70"/>
    </row>
    <row r="1816" spans="6:6" x14ac:dyDescent="0.2">
      <c r="F1816" s="70"/>
    </row>
    <row r="1817" spans="6:6" x14ac:dyDescent="0.2">
      <c r="F1817" s="70"/>
    </row>
    <row r="1818" spans="6:6" x14ac:dyDescent="0.2">
      <c r="F1818" s="70"/>
    </row>
    <row r="1819" spans="6:6" x14ac:dyDescent="0.2">
      <c r="F1819" s="70"/>
    </row>
    <row r="1820" spans="6:6" x14ac:dyDescent="0.2">
      <c r="F1820" s="70"/>
    </row>
    <row r="1821" spans="6:6" x14ac:dyDescent="0.2">
      <c r="F1821" s="70"/>
    </row>
    <row r="1822" spans="6:6" x14ac:dyDescent="0.2">
      <c r="F1822" s="70"/>
    </row>
    <row r="1823" spans="6:6" x14ac:dyDescent="0.2">
      <c r="F1823" s="70"/>
    </row>
    <row r="1824" spans="6:6" x14ac:dyDescent="0.2">
      <c r="F1824" s="70"/>
    </row>
    <row r="1825" spans="6:6" x14ac:dyDescent="0.2">
      <c r="F1825" s="70"/>
    </row>
    <row r="1826" spans="6:6" x14ac:dyDescent="0.2">
      <c r="F1826" s="70"/>
    </row>
    <row r="1827" spans="6:6" x14ac:dyDescent="0.2">
      <c r="F1827" s="70"/>
    </row>
    <row r="1828" spans="6:6" x14ac:dyDescent="0.2">
      <c r="F1828" s="70"/>
    </row>
    <row r="1829" spans="6:6" x14ac:dyDescent="0.2">
      <c r="F1829" s="70"/>
    </row>
    <row r="1830" spans="6:6" x14ac:dyDescent="0.2">
      <c r="F1830" s="70"/>
    </row>
    <row r="1831" spans="6:6" x14ac:dyDescent="0.2">
      <c r="F1831" s="70"/>
    </row>
    <row r="1832" spans="6:6" x14ac:dyDescent="0.2">
      <c r="F1832" s="70"/>
    </row>
    <row r="1833" spans="6:6" x14ac:dyDescent="0.2">
      <c r="F1833" s="70"/>
    </row>
    <row r="1834" spans="6:6" x14ac:dyDescent="0.2">
      <c r="F1834" s="70"/>
    </row>
    <row r="1835" spans="6:6" x14ac:dyDescent="0.2">
      <c r="F1835" s="70"/>
    </row>
    <row r="1836" spans="6:6" x14ac:dyDescent="0.2">
      <c r="F1836" s="70"/>
    </row>
    <row r="1837" spans="6:6" x14ac:dyDescent="0.2">
      <c r="F1837" s="70"/>
    </row>
    <row r="1838" spans="6:6" x14ac:dyDescent="0.2">
      <c r="F1838" s="70"/>
    </row>
    <row r="1839" spans="6:6" x14ac:dyDescent="0.2">
      <c r="F1839" s="70"/>
    </row>
    <row r="1840" spans="6:6" x14ac:dyDescent="0.2">
      <c r="F1840" s="70"/>
    </row>
    <row r="1841" spans="6:6" x14ac:dyDescent="0.2">
      <c r="F1841" s="70"/>
    </row>
    <row r="1842" spans="6:6" x14ac:dyDescent="0.2">
      <c r="F1842" s="70"/>
    </row>
    <row r="1843" spans="6:6" x14ac:dyDescent="0.2">
      <c r="F1843" s="70"/>
    </row>
    <row r="1844" spans="6:6" x14ac:dyDescent="0.2">
      <c r="F1844" s="70"/>
    </row>
    <row r="1845" spans="6:6" x14ac:dyDescent="0.2">
      <c r="F1845" s="70"/>
    </row>
    <row r="1846" spans="6:6" x14ac:dyDescent="0.2">
      <c r="F1846" s="70"/>
    </row>
    <row r="1847" spans="6:6" x14ac:dyDescent="0.2">
      <c r="F1847" s="70"/>
    </row>
    <row r="1848" spans="6:6" x14ac:dyDescent="0.2">
      <c r="F1848" s="70"/>
    </row>
    <row r="1849" spans="6:6" x14ac:dyDescent="0.2">
      <c r="F1849" s="70"/>
    </row>
    <row r="1850" spans="6:6" x14ac:dyDescent="0.2">
      <c r="F1850" s="70"/>
    </row>
    <row r="1851" spans="6:6" x14ac:dyDescent="0.2">
      <c r="F1851" s="70"/>
    </row>
    <row r="1852" spans="6:6" x14ac:dyDescent="0.2">
      <c r="F1852" s="70"/>
    </row>
    <row r="1853" spans="6:6" x14ac:dyDescent="0.2">
      <c r="F1853" s="70"/>
    </row>
    <row r="1854" spans="6:6" x14ac:dyDescent="0.2">
      <c r="F1854" s="70"/>
    </row>
    <row r="1855" spans="6:6" x14ac:dyDescent="0.2">
      <c r="F1855" s="70"/>
    </row>
    <row r="1856" spans="6:6" x14ac:dyDescent="0.2">
      <c r="F1856" s="70"/>
    </row>
    <row r="1857" spans="6:6" x14ac:dyDescent="0.2">
      <c r="F1857" s="70"/>
    </row>
    <row r="1858" spans="6:6" x14ac:dyDescent="0.2">
      <c r="F1858" s="70"/>
    </row>
    <row r="1859" spans="6:6" x14ac:dyDescent="0.2">
      <c r="F1859" s="70"/>
    </row>
    <row r="1860" spans="6:6" x14ac:dyDescent="0.2">
      <c r="F1860" s="70"/>
    </row>
    <row r="1861" spans="6:6" x14ac:dyDescent="0.2">
      <c r="F1861" s="70"/>
    </row>
    <row r="1862" spans="6:6" x14ac:dyDescent="0.2">
      <c r="F1862" s="70"/>
    </row>
    <row r="1863" spans="6:6" x14ac:dyDescent="0.2">
      <c r="F1863" s="70"/>
    </row>
    <row r="1864" spans="6:6" x14ac:dyDescent="0.2">
      <c r="F1864" s="70"/>
    </row>
    <row r="1865" spans="6:6" x14ac:dyDescent="0.2">
      <c r="F1865" s="70"/>
    </row>
    <row r="1866" spans="6:6" x14ac:dyDescent="0.2">
      <c r="F1866" s="70"/>
    </row>
    <row r="1867" spans="6:6" x14ac:dyDescent="0.2">
      <c r="F1867" s="70"/>
    </row>
    <row r="1868" spans="6:6" x14ac:dyDescent="0.2">
      <c r="F1868" s="70"/>
    </row>
    <row r="1869" spans="6:6" x14ac:dyDescent="0.2">
      <c r="F1869" s="70"/>
    </row>
    <row r="1870" spans="6:6" x14ac:dyDescent="0.2">
      <c r="F1870" s="70"/>
    </row>
    <row r="1871" spans="6:6" x14ac:dyDescent="0.2">
      <c r="F1871" s="70"/>
    </row>
    <row r="1872" spans="6:6" x14ac:dyDescent="0.2">
      <c r="F1872" s="70"/>
    </row>
    <row r="1873" spans="6:6" x14ac:dyDescent="0.2">
      <c r="F1873" s="70"/>
    </row>
    <row r="1874" spans="6:6" x14ac:dyDescent="0.2">
      <c r="F1874" s="70"/>
    </row>
    <row r="1875" spans="6:6" x14ac:dyDescent="0.2">
      <c r="F1875" s="70"/>
    </row>
    <row r="1876" spans="6:6" x14ac:dyDescent="0.2">
      <c r="F1876" s="70"/>
    </row>
    <row r="1877" spans="6:6" x14ac:dyDescent="0.2">
      <c r="F1877" s="70"/>
    </row>
    <row r="1878" spans="6:6" x14ac:dyDescent="0.2">
      <c r="F1878" s="70"/>
    </row>
    <row r="1879" spans="6:6" x14ac:dyDescent="0.2">
      <c r="F1879" s="70"/>
    </row>
    <row r="1880" spans="6:6" x14ac:dyDescent="0.2">
      <c r="F1880" s="70"/>
    </row>
    <row r="1881" spans="6:6" x14ac:dyDescent="0.2">
      <c r="F1881" s="70"/>
    </row>
    <row r="1882" spans="6:6" x14ac:dyDescent="0.2">
      <c r="F1882" s="70"/>
    </row>
    <row r="1883" spans="6:6" x14ac:dyDescent="0.2">
      <c r="F1883" s="70"/>
    </row>
    <row r="1884" spans="6:6" x14ac:dyDescent="0.2">
      <c r="F1884" s="70"/>
    </row>
    <row r="1885" spans="6:6" x14ac:dyDescent="0.2">
      <c r="F1885" s="70"/>
    </row>
    <row r="1886" spans="6:6" x14ac:dyDescent="0.2">
      <c r="F1886" s="70"/>
    </row>
    <row r="1887" spans="6:6" x14ac:dyDescent="0.2">
      <c r="F1887" s="70"/>
    </row>
    <row r="1888" spans="6:6" x14ac:dyDescent="0.2">
      <c r="F1888" s="70"/>
    </row>
    <row r="1889" spans="6:6" x14ac:dyDescent="0.2">
      <c r="F1889" s="70"/>
    </row>
    <row r="1890" spans="6:6" x14ac:dyDescent="0.2">
      <c r="F1890" s="70"/>
    </row>
    <row r="1891" spans="6:6" x14ac:dyDescent="0.2">
      <c r="F1891" s="70"/>
    </row>
    <row r="1892" spans="6:6" x14ac:dyDescent="0.2">
      <c r="F1892" s="70"/>
    </row>
    <row r="1893" spans="6:6" x14ac:dyDescent="0.2">
      <c r="F1893" s="70"/>
    </row>
    <row r="1894" spans="6:6" x14ac:dyDescent="0.2">
      <c r="F1894" s="70"/>
    </row>
    <row r="1895" spans="6:6" x14ac:dyDescent="0.2">
      <c r="F1895" s="70"/>
    </row>
    <row r="1896" spans="6:6" x14ac:dyDescent="0.2">
      <c r="F1896" s="70"/>
    </row>
    <row r="1897" spans="6:6" x14ac:dyDescent="0.2">
      <c r="F1897" s="70"/>
    </row>
    <row r="1898" spans="6:6" x14ac:dyDescent="0.2">
      <c r="F1898" s="70"/>
    </row>
    <row r="1899" spans="6:6" x14ac:dyDescent="0.2">
      <c r="F1899" s="70"/>
    </row>
    <row r="1900" spans="6:6" x14ac:dyDescent="0.2">
      <c r="F1900" s="70"/>
    </row>
    <row r="1901" spans="6:6" x14ac:dyDescent="0.2">
      <c r="F1901" s="70"/>
    </row>
    <row r="1902" spans="6:6" x14ac:dyDescent="0.2">
      <c r="F1902" s="70"/>
    </row>
    <row r="1903" spans="6:6" x14ac:dyDescent="0.2">
      <c r="F1903" s="70"/>
    </row>
    <row r="1904" spans="6:6" x14ac:dyDescent="0.2">
      <c r="F1904" s="70"/>
    </row>
    <row r="1905" spans="6:6" x14ac:dyDescent="0.2">
      <c r="F1905" s="70"/>
    </row>
    <row r="1906" spans="6:6" x14ac:dyDescent="0.2">
      <c r="F1906" s="70"/>
    </row>
    <row r="1907" spans="6:6" x14ac:dyDescent="0.2">
      <c r="F1907" s="70"/>
    </row>
    <row r="1908" spans="6:6" x14ac:dyDescent="0.2">
      <c r="F1908" s="70"/>
    </row>
    <row r="1909" spans="6:6" x14ac:dyDescent="0.2">
      <c r="F1909" s="70"/>
    </row>
    <row r="1910" spans="6:6" x14ac:dyDescent="0.2">
      <c r="F1910" s="70"/>
    </row>
    <row r="1911" spans="6:6" x14ac:dyDescent="0.2">
      <c r="F1911" s="70"/>
    </row>
    <row r="1912" spans="6:6" x14ac:dyDescent="0.2">
      <c r="F1912" s="70"/>
    </row>
    <row r="1913" spans="6:6" x14ac:dyDescent="0.2">
      <c r="F1913" s="70"/>
    </row>
    <row r="1914" spans="6:6" x14ac:dyDescent="0.2">
      <c r="F1914" s="70"/>
    </row>
    <row r="1915" spans="6:6" x14ac:dyDescent="0.2">
      <c r="F1915" s="70"/>
    </row>
    <row r="1916" spans="6:6" x14ac:dyDescent="0.2">
      <c r="F1916" s="70"/>
    </row>
    <row r="1917" spans="6:6" x14ac:dyDescent="0.2">
      <c r="F1917" s="70"/>
    </row>
    <row r="1918" spans="6:6" x14ac:dyDescent="0.2">
      <c r="F1918" s="70"/>
    </row>
    <row r="1919" spans="6:6" x14ac:dyDescent="0.2">
      <c r="F1919" s="70"/>
    </row>
    <row r="1920" spans="6:6" x14ac:dyDescent="0.2">
      <c r="F1920" s="70"/>
    </row>
    <row r="1921" spans="6:6" x14ac:dyDescent="0.2">
      <c r="F1921" s="70"/>
    </row>
    <row r="1922" spans="6:6" x14ac:dyDescent="0.2">
      <c r="F1922" s="70"/>
    </row>
    <row r="1923" spans="6:6" x14ac:dyDescent="0.2">
      <c r="F1923" s="70"/>
    </row>
    <row r="1924" spans="6:6" x14ac:dyDescent="0.2">
      <c r="F1924" s="70"/>
    </row>
    <row r="1925" spans="6:6" x14ac:dyDescent="0.2">
      <c r="F1925" s="70"/>
    </row>
    <row r="1926" spans="6:6" x14ac:dyDescent="0.2">
      <c r="F1926" s="70"/>
    </row>
    <row r="1927" spans="6:6" x14ac:dyDescent="0.2">
      <c r="F1927" s="70"/>
    </row>
    <row r="1928" spans="6:6" x14ac:dyDescent="0.2">
      <c r="F1928" s="70"/>
    </row>
    <row r="1929" spans="6:6" x14ac:dyDescent="0.2">
      <c r="F1929" s="70"/>
    </row>
    <row r="1930" spans="6:6" x14ac:dyDescent="0.2">
      <c r="F1930" s="70"/>
    </row>
    <row r="1931" spans="6:6" x14ac:dyDescent="0.2">
      <c r="F1931" s="70"/>
    </row>
    <row r="1932" spans="6:6" x14ac:dyDescent="0.2">
      <c r="F1932" s="70"/>
    </row>
    <row r="1933" spans="6:6" x14ac:dyDescent="0.2">
      <c r="F1933" s="70"/>
    </row>
    <row r="1934" spans="6:6" x14ac:dyDescent="0.2">
      <c r="F1934" s="70"/>
    </row>
    <row r="1935" spans="6:6" x14ac:dyDescent="0.2">
      <c r="F1935" s="70"/>
    </row>
    <row r="1936" spans="6:6" x14ac:dyDescent="0.2">
      <c r="F1936" s="70"/>
    </row>
    <row r="1937" spans="6:6" x14ac:dyDescent="0.2">
      <c r="F1937" s="70"/>
    </row>
    <row r="1938" spans="6:6" x14ac:dyDescent="0.2">
      <c r="F1938" s="70"/>
    </row>
    <row r="1939" spans="6:6" x14ac:dyDescent="0.2">
      <c r="F1939" s="70"/>
    </row>
    <row r="1940" spans="6:6" x14ac:dyDescent="0.2">
      <c r="F1940" s="70"/>
    </row>
    <row r="1941" spans="6:6" x14ac:dyDescent="0.2">
      <c r="F1941" s="70"/>
    </row>
    <row r="1942" spans="6:6" x14ac:dyDescent="0.2">
      <c r="F1942" s="70"/>
    </row>
    <row r="1943" spans="6:6" x14ac:dyDescent="0.2">
      <c r="F1943" s="70"/>
    </row>
    <row r="1944" spans="6:6" x14ac:dyDescent="0.2">
      <c r="F1944" s="70"/>
    </row>
    <row r="1945" spans="6:6" x14ac:dyDescent="0.2">
      <c r="F1945" s="70"/>
    </row>
    <row r="1946" spans="6:6" x14ac:dyDescent="0.2">
      <c r="F1946" s="70"/>
    </row>
    <row r="1947" spans="6:6" x14ac:dyDescent="0.2">
      <c r="F1947" s="70"/>
    </row>
    <row r="1948" spans="6:6" x14ac:dyDescent="0.2">
      <c r="F1948" s="70"/>
    </row>
    <row r="1949" spans="6:6" x14ac:dyDescent="0.2">
      <c r="F1949" s="70"/>
    </row>
    <row r="1950" spans="6:6" x14ac:dyDescent="0.2">
      <c r="F1950" s="70"/>
    </row>
    <row r="1951" spans="6:6" x14ac:dyDescent="0.2">
      <c r="F1951" s="70"/>
    </row>
    <row r="1952" spans="6:6" x14ac:dyDescent="0.2">
      <c r="F1952" s="70"/>
    </row>
    <row r="1953" spans="6:6" x14ac:dyDescent="0.2">
      <c r="F1953" s="70"/>
    </row>
    <row r="1954" spans="6:6" x14ac:dyDescent="0.2">
      <c r="F1954" s="70"/>
    </row>
    <row r="1955" spans="6:6" x14ac:dyDescent="0.2">
      <c r="F1955" s="70"/>
    </row>
    <row r="1956" spans="6:6" x14ac:dyDescent="0.2">
      <c r="F1956" s="70"/>
    </row>
    <row r="1957" spans="6:6" x14ac:dyDescent="0.2">
      <c r="F1957" s="70"/>
    </row>
    <row r="1958" spans="6:6" x14ac:dyDescent="0.2">
      <c r="F1958" s="70"/>
    </row>
    <row r="1959" spans="6:6" x14ac:dyDescent="0.2">
      <c r="F1959" s="70"/>
    </row>
    <row r="1960" spans="6:6" x14ac:dyDescent="0.2">
      <c r="F1960" s="70"/>
    </row>
    <row r="1961" spans="6:6" x14ac:dyDescent="0.2">
      <c r="F1961" s="70"/>
    </row>
    <row r="1962" spans="6:6" x14ac:dyDescent="0.2">
      <c r="F1962" s="70"/>
    </row>
    <row r="1963" spans="6:6" x14ac:dyDescent="0.2">
      <c r="F1963" s="70"/>
    </row>
    <row r="1964" spans="6:6" x14ac:dyDescent="0.2">
      <c r="F1964" s="70"/>
    </row>
    <row r="1965" spans="6:6" x14ac:dyDescent="0.2">
      <c r="F1965" s="70"/>
    </row>
    <row r="1966" spans="6:6" x14ac:dyDescent="0.2">
      <c r="F1966" s="70"/>
    </row>
    <row r="1967" spans="6:6" x14ac:dyDescent="0.2">
      <c r="F1967" s="70"/>
    </row>
    <row r="1968" spans="6:6" x14ac:dyDescent="0.2">
      <c r="F1968" s="70"/>
    </row>
    <row r="1969" spans="6:6" x14ac:dyDescent="0.2">
      <c r="F1969" s="70"/>
    </row>
    <row r="1970" spans="6:6" x14ac:dyDescent="0.2">
      <c r="F1970" s="70"/>
    </row>
    <row r="1971" spans="6:6" x14ac:dyDescent="0.2">
      <c r="F1971" s="70"/>
    </row>
    <row r="1972" spans="6:6" x14ac:dyDescent="0.2">
      <c r="F1972" s="70"/>
    </row>
    <row r="1973" spans="6:6" x14ac:dyDescent="0.2">
      <c r="F1973" s="70"/>
    </row>
    <row r="1974" spans="6:6" x14ac:dyDescent="0.2">
      <c r="F1974" s="70"/>
    </row>
    <row r="1975" spans="6:6" x14ac:dyDescent="0.2">
      <c r="F1975" s="70"/>
    </row>
    <row r="1976" spans="6:6" x14ac:dyDescent="0.2">
      <c r="F1976" s="70"/>
    </row>
    <row r="1977" spans="6:6" x14ac:dyDescent="0.2">
      <c r="F1977" s="70"/>
    </row>
    <row r="1978" spans="6:6" x14ac:dyDescent="0.2">
      <c r="F1978" s="70"/>
    </row>
    <row r="1979" spans="6:6" x14ac:dyDescent="0.2">
      <c r="F1979" s="70"/>
    </row>
    <row r="1980" spans="6:6" x14ac:dyDescent="0.2">
      <c r="F1980" s="70"/>
    </row>
    <row r="1981" spans="6:6" x14ac:dyDescent="0.2">
      <c r="F1981" s="70"/>
    </row>
    <row r="1982" spans="6:6" x14ac:dyDescent="0.2">
      <c r="F1982" s="70"/>
    </row>
    <row r="1983" spans="6:6" x14ac:dyDescent="0.2">
      <c r="F1983" s="70"/>
    </row>
    <row r="1984" spans="6:6" x14ac:dyDescent="0.2">
      <c r="F1984" s="70"/>
    </row>
    <row r="1985" spans="6:6" x14ac:dyDescent="0.2">
      <c r="F1985" s="70"/>
    </row>
    <row r="1986" spans="6:6" x14ac:dyDescent="0.2">
      <c r="F1986" s="70"/>
    </row>
    <row r="1987" spans="6:6" x14ac:dyDescent="0.2">
      <c r="F1987" s="70"/>
    </row>
    <row r="1988" spans="6:6" x14ac:dyDescent="0.2">
      <c r="F1988" s="70"/>
    </row>
    <row r="1989" spans="6:6" x14ac:dyDescent="0.2">
      <c r="F1989" s="70"/>
    </row>
    <row r="1990" spans="6:6" x14ac:dyDescent="0.2">
      <c r="F1990" s="70"/>
    </row>
    <row r="1991" spans="6:6" x14ac:dyDescent="0.2">
      <c r="F1991" s="70"/>
    </row>
    <row r="1992" spans="6:6" x14ac:dyDescent="0.2">
      <c r="F1992" s="70"/>
    </row>
    <row r="1993" spans="6:6" x14ac:dyDescent="0.2">
      <c r="F1993" s="70"/>
    </row>
    <row r="1994" spans="6:6" x14ac:dyDescent="0.2">
      <c r="F1994" s="70"/>
    </row>
    <row r="1995" spans="6:6" x14ac:dyDescent="0.2">
      <c r="F1995" s="70"/>
    </row>
    <row r="1996" spans="6:6" x14ac:dyDescent="0.2">
      <c r="F1996" s="70"/>
    </row>
    <row r="1997" spans="6:6" x14ac:dyDescent="0.2">
      <c r="F1997" s="70"/>
    </row>
    <row r="1998" spans="6:6" x14ac:dyDescent="0.2">
      <c r="F1998" s="70"/>
    </row>
    <row r="1999" spans="6:6" x14ac:dyDescent="0.2">
      <c r="F1999" s="70"/>
    </row>
    <row r="2000" spans="6:6" x14ac:dyDescent="0.2">
      <c r="F2000" s="70"/>
    </row>
    <row r="2001" spans="6:6" x14ac:dyDescent="0.2">
      <c r="F2001" s="70"/>
    </row>
    <row r="2002" spans="6:6" x14ac:dyDescent="0.2">
      <c r="F2002" s="70"/>
    </row>
    <row r="2003" spans="6:6" x14ac:dyDescent="0.2">
      <c r="F2003" s="70"/>
    </row>
    <row r="2004" spans="6:6" x14ac:dyDescent="0.2">
      <c r="F2004" s="70"/>
    </row>
    <row r="2005" spans="6:6" x14ac:dyDescent="0.2">
      <c r="F2005" s="70"/>
    </row>
    <row r="2006" spans="6:6" x14ac:dyDescent="0.2">
      <c r="F2006" s="70"/>
    </row>
    <row r="2007" spans="6:6" x14ac:dyDescent="0.2">
      <c r="F2007" s="70"/>
    </row>
    <row r="2008" spans="6:6" x14ac:dyDescent="0.2">
      <c r="F2008" s="70"/>
    </row>
    <row r="2009" spans="6:6" x14ac:dyDescent="0.2">
      <c r="F2009" s="70"/>
    </row>
    <row r="2010" spans="6:6" x14ac:dyDescent="0.2">
      <c r="F2010" s="70"/>
    </row>
    <row r="2011" spans="6:6" x14ac:dyDescent="0.2">
      <c r="F2011" s="70"/>
    </row>
    <row r="2012" spans="6:6" x14ac:dyDescent="0.2">
      <c r="F2012" s="70"/>
    </row>
    <row r="2013" spans="6:6" x14ac:dyDescent="0.2">
      <c r="F2013" s="70"/>
    </row>
    <row r="2014" spans="6:6" x14ac:dyDescent="0.2">
      <c r="F2014" s="70"/>
    </row>
    <row r="2015" spans="6:6" x14ac:dyDescent="0.2">
      <c r="F2015" s="70"/>
    </row>
    <row r="2016" spans="6:6" x14ac:dyDescent="0.2">
      <c r="F2016" s="70"/>
    </row>
    <row r="2017" spans="6:6" x14ac:dyDescent="0.2">
      <c r="F2017" s="70"/>
    </row>
    <row r="2018" spans="6:6" x14ac:dyDescent="0.2">
      <c r="F2018" s="70"/>
    </row>
    <row r="2019" spans="6:6" x14ac:dyDescent="0.2">
      <c r="F2019" s="70"/>
    </row>
    <row r="2020" spans="6:6" x14ac:dyDescent="0.2">
      <c r="F2020" s="70"/>
    </row>
    <row r="2021" spans="6:6" x14ac:dyDescent="0.2">
      <c r="F2021" s="70"/>
    </row>
    <row r="2022" spans="6:6" x14ac:dyDescent="0.2">
      <c r="F2022" s="70"/>
    </row>
    <row r="2023" spans="6:6" x14ac:dyDescent="0.2">
      <c r="F2023" s="70"/>
    </row>
    <row r="2024" spans="6:6" x14ac:dyDescent="0.2">
      <c r="F2024" s="70"/>
    </row>
    <row r="2025" spans="6:6" x14ac:dyDescent="0.2">
      <c r="F2025" s="70"/>
    </row>
    <row r="2026" spans="6:6" x14ac:dyDescent="0.2">
      <c r="F2026" s="70"/>
    </row>
    <row r="2027" spans="6:6" x14ac:dyDescent="0.2">
      <c r="F2027" s="70"/>
    </row>
    <row r="2028" spans="6:6" x14ac:dyDescent="0.2">
      <c r="F2028" s="70"/>
    </row>
    <row r="2029" spans="6:6" x14ac:dyDescent="0.2">
      <c r="F2029" s="70"/>
    </row>
    <row r="2030" spans="6:6" x14ac:dyDescent="0.2">
      <c r="F2030" s="70"/>
    </row>
    <row r="2031" spans="6:6" x14ac:dyDescent="0.2">
      <c r="F2031" s="70"/>
    </row>
    <row r="2032" spans="6:6" x14ac:dyDescent="0.2">
      <c r="F2032" s="70"/>
    </row>
    <row r="2033" spans="6:6" x14ac:dyDescent="0.2">
      <c r="F2033" s="70"/>
    </row>
    <row r="2034" spans="6:6" x14ac:dyDescent="0.2">
      <c r="F2034" s="70"/>
    </row>
    <row r="2035" spans="6:6" x14ac:dyDescent="0.2">
      <c r="F2035" s="70"/>
    </row>
    <row r="2036" spans="6:6" x14ac:dyDescent="0.2">
      <c r="F2036" s="70"/>
    </row>
    <row r="2037" spans="6:6" x14ac:dyDescent="0.2">
      <c r="F2037" s="70"/>
    </row>
    <row r="2038" spans="6:6" x14ac:dyDescent="0.2">
      <c r="F2038" s="70"/>
    </row>
    <row r="2039" spans="6:6" x14ac:dyDescent="0.2">
      <c r="F2039" s="70"/>
    </row>
    <row r="2040" spans="6:6" x14ac:dyDescent="0.2">
      <c r="F2040" s="70"/>
    </row>
    <row r="2041" spans="6:6" x14ac:dyDescent="0.2">
      <c r="F2041" s="70"/>
    </row>
    <row r="2042" spans="6:6" x14ac:dyDescent="0.2">
      <c r="F2042" s="70"/>
    </row>
    <row r="2043" spans="6:6" x14ac:dyDescent="0.2">
      <c r="F2043" s="70"/>
    </row>
    <row r="2044" spans="6:6" x14ac:dyDescent="0.2">
      <c r="F2044" s="70"/>
    </row>
    <row r="2045" spans="6:6" x14ac:dyDescent="0.2">
      <c r="F2045" s="70"/>
    </row>
    <row r="2046" spans="6:6" x14ac:dyDescent="0.2">
      <c r="F2046" s="70"/>
    </row>
    <row r="2047" spans="6:6" x14ac:dyDescent="0.2">
      <c r="F2047" s="70"/>
    </row>
    <row r="2048" spans="6:6" x14ac:dyDescent="0.2">
      <c r="F2048" s="70"/>
    </row>
    <row r="2049" spans="6:6" x14ac:dyDescent="0.2">
      <c r="F2049" s="70"/>
    </row>
    <row r="2050" spans="6:6" x14ac:dyDescent="0.2">
      <c r="F2050" s="70"/>
    </row>
    <row r="2051" spans="6:6" x14ac:dyDescent="0.2">
      <c r="F2051" s="70"/>
    </row>
    <row r="2052" spans="6:6" x14ac:dyDescent="0.2">
      <c r="F2052" s="70"/>
    </row>
    <row r="2053" spans="6:6" x14ac:dyDescent="0.2">
      <c r="F2053" s="70"/>
    </row>
    <row r="2054" spans="6:6" x14ac:dyDescent="0.2">
      <c r="F2054" s="70"/>
    </row>
    <row r="2055" spans="6:6" x14ac:dyDescent="0.2">
      <c r="F2055" s="70"/>
    </row>
    <row r="2056" spans="6:6" x14ac:dyDescent="0.2">
      <c r="F2056" s="70"/>
    </row>
    <row r="2057" spans="6:6" x14ac:dyDescent="0.2">
      <c r="F2057" s="70"/>
    </row>
    <row r="2058" spans="6:6" x14ac:dyDescent="0.2">
      <c r="F2058" s="70"/>
    </row>
    <row r="2059" spans="6:6" x14ac:dyDescent="0.2">
      <c r="F2059" s="70"/>
    </row>
    <row r="2060" spans="6:6" x14ac:dyDescent="0.2">
      <c r="F2060" s="70"/>
    </row>
    <row r="2061" spans="6:6" x14ac:dyDescent="0.2">
      <c r="F2061" s="70"/>
    </row>
    <row r="2062" spans="6:6" x14ac:dyDescent="0.2">
      <c r="F2062" s="70"/>
    </row>
    <row r="2063" spans="6:6" x14ac:dyDescent="0.2">
      <c r="F2063" s="70"/>
    </row>
    <row r="2064" spans="6:6" x14ac:dyDescent="0.2">
      <c r="F2064" s="70"/>
    </row>
    <row r="2065" spans="6:6" x14ac:dyDescent="0.2">
      <c r="F2065" s="70"/>
    </row>
    <row r="2066" spans="6:6" x14ac:dyDescent="0.2">
      <c r="F2066" s="70"/>
    </row>
    <row r="2067" spans="6:6" x14ac:dyDescent="0.2">
      <c r="F2067" s="70"/>
    </row>
    <row r="2068" spans="6:6" x14ac:dyDescent="0.2">
      <c r="F2068" s="70"/>
    </row>
    <row r="2069" spans="6:6" x14ac:dyDescent="0.2">
      <c r="F2069" s="70"/>
    </row>
    <row r="2070" spans="6:6" x14ac:dyDescent="0.2">
      <c r="F2070" s="70"/>
    </row>
    <row r="2071" spans="6:6" x14ac:dyDescent="0.2">
      <c r="F2071" s="70"/>
    </row>
    <row r="2072" spans="6:6" x14ac:dyDescent="0.2">
      <c r="F2072" s="70"/>
    </row>
    <row r="2073" spans="6:6" x14ac:dyDescent="0.2">
      <c r="F2073" s="70"/>
    </row>
    <row r="2074" spans="6:6" x14ac:dyDescent="0.2">
      <c r="F2074" s="70"/>
    </row>
    <row r="2075" spans="6:6" x14ac:dyDescent="0.2">
      <c r="F2075" s="70"/>
    </row>
    <row r="2076" spans="6:6" x14ac:dyDescent="0.2">
      <c r="F2076" s="70"/>
    </row>
    <row r="2077" spans="6:6" x14ac:dyDescent="0.2">
      <c r="F2077" s="70"/>
    </row>
    <row r="2078" spans="6:6" x14ac:dyDescent="0.2">
      <c r="F2078" s="70"/>
    </row>
    <row r="2079" spans="6:6" x14ac:dyDescent="0.2">
      <c r="F2079" s="70"/>
    </row>
    <row r="2080" spans="6:6" x14ac:dyDescent="0.2">
      <c r="F2080" s="70"/>
    </row>
    <row r="2081" spans="6:6" x14ac:dyDescent="0.2">
      <c r="F2081" s="70"/>
    </row>
    <row r="2082" spans="6:6" x14ac:dyDescent="0.2">
      <c r="F2082" s="70"/>
    </row>
    <row r="2083" spans="6:6" x14ac:dyDescent="0.2">
      <c r="F2083" s="70"/>
    </row>
    <row r="2084" spans="6:6" x14ac:dyDescent="0.2">
      <c r="F2084" s="70"/>
    </row>
    <row r="2085" spans="6:6" x14ac:dyDescent="0.2">
      <c r="F2085" s="70"/>
    </row>
    <row r="2086" spans="6:6" x14ac:dyDescent="0.2">
      <c r="F2086" s="70"/>
    </row>
    <row r="2087" spans="6:6" x14ac:dyDescent="0.2">
      <c r="F2087" s="70"/>
    </row>
    <row r="2088" spans="6:6" x14ac:dyDescent="0.2">
      <c r="F2088" s="70"/>
    </row>
    <row r="2089" spans="6:6" x14ac:dyDescent="0.2">
      <c r="F2089" s="70"/>
    </row>
    <row r="2090" spans="6:6" x14ac:dyDescent="0.2">
      <c r="F2090" s="70"/>
    </row>
    <row r="2091" spans="6:6" x14ac:dyDescent="0.2">
      <c r="F2091" s="70"/>
    </row>
    <row r="2092" spans="6:6" x14ac:dyDescent="0.2">
      <c r="F2092" s="70"/>
    </row>
    <row r="2093" spans="6:6" x14ac:dyDescent="0.2">
      <c r="F2093" s="70"/>
    </row>
    <row r="2094" spans="6:6" x14ac:dyDescent="0.2">
      <c r="F2094" s="70"/>
    </row>
    <row r="2095" spans="6:6" x14ac:dyDescent="0.2">
      <c r="F2095" s="70"/>
    </row>
    <row r="2096" spans="6:6" x14ac:dyDescent="0.2">
      <c r="F2096" s="70"/>
    </row>
    <row r="2097" spans="6:6" x14ac:dyDescent="0.2">
      <c r="F2097" s="70"/>
    </row>
    <row r="2098" spans="6:6" x14ac:dyDescent="0.2">
      <c r="F2098" s="70"/>
    </row>
    <row r="2099" spans="6:6" x14ac:dyDescent="0.2">
      <c r="F2099" s="70"/>
    </row>
    <row r="2100" spans="6:6" x14ac:dyDescent="0.2">
      <c r="F2100" s="70"/>
    </row>
    <row r="2101" spans="6:6" x14ac:dyDescent="0.2">
      <c r="F2101" s="70"/>
    </row>
    <row r="2102" spans="6:6" x14ac:dyDescent="0.2">
      <c r="F2102" s="70"/>
    </row>
    <row r="2103" spans="6:6" x14ac:dyDescent="0.2">
      <c r="F2103" s="70"/>
    </row>
    <row r="2104" spans="6:6" x14ac:dyDescent="0.2">
      <c r="F2104" s="70"/>
    </row>
    <row r="2105" spans="6:6" x14ac:dyDescent="0.2">
      <c r="F2105" s="70"/>
    </row>
    <row r="2106" spans="6:6" x14ac:dyDescent="0.2">
      <c r="F2106" s="70"/>
    </row>
    <row r="2107" spans="6:6" x14ac:dyDescent="0.2">
      <c r="F2107" s="70"/>
    </row>
    <row r="2108" spans="6:6" x14ac:dyDescent="0.2">
      <c r="F2108" s="70"/>
    </row>
    <row r="2109" spans="6:6" x14ac:dyDescent="0.2">
      <c r="F2109" s="70"/>
    </row>
    <row r="2110" spans="6:6" x14ac:dyDescent="0.2">
      <c r="F2110" s="70"/>
    </row>
    <row r="2111" spans="6:6" x14ac:dyDescent="0.2">
      <c r="F2111" s="70"/>
    </row>
    <row r="2112" spans="6:6" x14ac:dyDescent="0.2">
      <c r="F2112" s="70"/>
    </row>
    <row r="2113" spans="6:6" x14ac:dyDescent="0.2">
      <c r="F2113" s="70"/>
    </row>
    <row r="2114" spans="6:6" x14ac:dyDescent="0.2">
      <c r="F2114" s="70"/>
    </row>
    <row r="2115" spans="6:6" x14ac:dyDescent="0.2">
      <c r="F2115" s="70"/>
    </row>
    <row r="2116" spans="6:6" x14ac:dyDescent="0.2">
      <c r="F2116" s="70"/>
    </row>
    <row r="2117" spans="6:6" x14ac:dyDescent="0.2">
      <c r="F2117" s="70"/>
    </row>
    <row r="2118" spans="6:6" x14ac:dyDescent="0.2">
      <c r="F2118" s="70"/>
    </row>
    <row r="2119" spans="6:6" x14ac:dyDescent="0.2">
      <c r="F2119" s="70"/>
    </row>
    <row r="2120" spans="6:6" x14ac:dyDescent="0.2">
      <c r="F2120" s="70"/>
    </row>
    <row r="2121" spans="6:6" x14ac:dyDescent="0.2">
      <c r="F2121" s="70"/>
    </row>
    <row r="2122" spans="6:6" x14ac:dyDescent="0.2">
      <c r="F2122" s="70"/>
    </row>
    <row r="2123" spans="6:6" x14ac:dyDescent="0.2">
      <c r="F2123" s="70"/>
    </row>
    <row r="2124" spans="6:6" x14ac:dyDescent="0.2">
      <c r="F2124" s="70"/>
    </row>
    <row r="2125" spans="6:6" x14ac:dyDescent="0.2">
      <c r="F2125" s="70"/>
    </row>
    <row r="2126" spans="6:6" x14ac:dyDescent="0.2">
      <c r="F2126" s="70"/>
    </row>
    <row r="2127" spans="6:6" x14ac:dyDescent="0.2">
      <c r="F2127" s="70"/>
    </row>
    <row r="2128" spans="6:6" x14ac:dyDescent="0.2">
      <c r="F2128" s="70"/>
    </row>
    <row r="2129" spans="6:6" x14ac:dyDescent="0.2">
      <c r="F2129" s="70"/>
    </row>
    <row r="2130" spans="6:6" x14ac:dyDescent="0.2">
      <c r="F2130" s="70"/>
    </row>
    <row r="2131" spans="6:6" x14ac:dyDescent="0.2">
      <c r="F2131" s="70"/>
    </row>
    <row r="2132" spans="6:6" x14ac:dyDescent="0.2">
      <c r="F2132" s="70"/>
    </row>
    <row r="2133" spans="6:6" x14ac:dyDescent="0.2">
      <c r="F2133" s="70"/>
    </row>
    <row r="2134" spans="6:6" x14ac:dyDescent="0.2">
      <c r="F2134" s="70"/>
    </row>
    <row r="2135" spans="6:6" x14ac:dyDescent="0.2">
      <c r="F2135" s="70"/>
    </row>
    <row r="2136" spans="6:6" x14ac:dyDescent="0.2">
      <c r="F2136" s="70"/>
    </row>
    <row r="2137" spans="6:6" x14ac:dyDescent="0.2">
      <c r="F2137" s="70"/>
    </row>
    <row r="2138" spans="6:6" x14ac:dyDescent="0.2">
      <c r="F2138" s="70"/>
    </row>
    <row r="2139" spans="6:6" x14ac:dyDescent="0.2">
      <c r="F2139" s="70"/>
    </row>
    <row r="2140" spans="6:6" x14ac:dyDescent="0.2">
      <c r="F2140" s="70"/>
    </row>
    <row r="2141" spans="6:6" x14ac:dyDescent="0.2">
      <c r="F2141" s="70"/>
    </row>
    <row r="2142" spans="6:6" x14ac:dyDescent="0.2">
      <c r="F2142" s="70"/>
    </row>
    <row r="2143" spans="6:6" x14ac:dyDescent="0.2">
      <c r="F2143" s="70"/>
    </row>
    <row r="2144" spans="6:6" x14ac:dyDescent="0.2">
      <c r="F2144" s="70"/>
    </row>
    <row r="2145" spans="6:6" x14ac:dyDescent="0.2">
      <c r="F2145" s="70"/>
    </row>
    <row r="2146" spans="6:6" x14ac:dyDescent="0.2">
      <c r="F2146" s="70"/>
    </row>
    <row r="2147" spans="6:6" x14ac:dyDescent="0.2">
      <c r="F2147" s="70"/>
    </row>
    <row r="2148" spans="6:6" x14ac:dyDescent="0.2">
      <c r="F2148" s="70"/>
    </row>
    <row r="2149" spans="6:6" x14ac:dyDescent="0.2">
      <c r="F2149" s="70"/>
    </row>
    <row r="2150" spans="6:6" x14ac:dyDescent="0.2">
      <c r="F2150" s="70"/>
    </row>
    <row r="2151" spans="6:6" x14ac:dyDescent="0.2">
      <c r="F2151" s="70"/>
    </row>
    <row r="2152" spans="6:6" x14ac:dyDescent="0.2">
      <c r="F2152" s="70"/>
    </row>
    <row r="2153" spans="6:6" x14ac:dyDescent="0.2">
      <c r="F2153" s="70"/>
    </row>
    <row r="2154" spans="6:6" x14ac:dyDescent="0.2">
      <c r="F2154" s="70"/>
    </row>
    <row r="2155" spans="6:6" x14ac:dyDescent="0.2">
      <c r="F2155" s="70"/>
    </row>
    <row r="2156" spans="6:6" x14ac:dyDescent="0.2">
      <c r="F2156" s="70"/>
    </row>
    <row r="2157" spans="6:6" x14ac:dyDescent="0.2">
      <c r="F2157" s="70"/>
    </row>
    <row r="2158" spans="6:6" x14ac:dyDescent="0.2">
      <c r="F2158" s="70"/>
    </row>
    <row r="2159" spans="6:6" x14ac:dyDescent="0.2">
      <c r="F2159" s="70"/>
    </row>
    <row r="2160" spans="6:6" x14ac:dyDescent="0.2">
      <c r="F2160" s="70"/>
    </row>
    <row r="2161" spans="6:6" x14ac:dyDescent="0.2">
      <c r="F2161" s="70"/>
    </row>
    <row r="2162" spans="6:6" x14ac:dyDescent="0.2">
      <c r="F2162" s="70"/>
    </row>
    <row r="2163" spans="6:6" x14ac:dyDescent="0.2">
      <c r="F2163" s="70"/>
    </row>
    <row r="2164" spans="6:6" x14ac:dyDescent="0.2">
      <c r="F2164" s="70"/>
    </row>
    <row r="2165" spans="6:6" x14ac:dyDescent="0.2">
      <c r="F2165" s="70"/>
    </row>
    <row r="2166" spans="6:6" x14ac:dyDescent="0.2">
      <c r="F2166" s="70"/>
    </row>
    <row r="2167" spans="6:6" x14ac:dyDescent="0.2">
      <c r="F2167" s="70"/>
    </row>
    <row r="2168" spans="6:6" x14ac:dyDescent="0.2">
      <c r="F2168" s="70"/>
    </row>
    <row r="2169" spans="6:6" x14ac:dyDescent="0.2">
      <c r="F2169" s="70"/>
    </row>
    <row r="2170" spans="6:6" x14ac:dyDescent="0.2">
      <c r="F2170" s="70"/>
    </row>
    <row r="2171" spans="6:6" x14ac:dyDescent="0.2">
      <c r="F2171" s="70"/>
    </row>
    <row r="2172" spans="6:6" x14ac:dyDescent="0.2">
      <c r="F2172" s="70"/>
    </row>
    <row r="2173" spans="6:6" x14ac:dyDescent="0.2">
      <c r="F2173" s="70"/>
    </row>
    <row r="2174" spans="6:6" x14ac:dyDescent="0.2">
      <c r="F2174" s="70"/>
    </row>
    <row r="2175" spans="6:6" x14ac:dyDescent="0.2">
      <c r="F2175" s="70"/>
    </row>
    <row r="2176" spans="6:6" x14ac:dyDescent="0.2">
      <c r="F2176" s="70"/>
    </row>
    <row r="2177" spans="6:6" x14ac:dyDescent="0.2">
      <c r="F2177" s="70"/>
    </row>
    <row r="2178" spans="6:6" x14ac:dyDescent="0.2">
      <c r="F2178" s="70"/>
    </row>
    <row r="2179" spans="6:6" x14ac:dyDescent="0.2">
      <c r="F2179" s="70"/>
    </row>
    <row r="2180" spans="6:6" x14ac:dyDescent="0.2">
      <c r="F2180" s="70"/>
    </row>
    <row r="2181" spans="6:6" x14ac:dyDescent="0.2">
      <c r="F2181" s="70"/>
    </row>
    <row r="2182" spans="6:6" x14ac:dyDescent="0.2">
      <c r="F2182" s="70"/>
    </row>
    <row r="2183" spans="6:6" x14ac:dyDescent="0.2">
      <c r="F2183" s="70"/>
    </row>
    <row r="2184" spans="6:6" x14ac:dyDescent="0.2">
      <c r="F2184" s="70"/>
    </row>
    <row r="2185" spans="6:6" x14ac:dyDescent="0.2">
      <c r="F2185" s="70"/>
    </row>
    <row r="2186" spans="6:6" x14ac:dyDescent="0.2">
      <c r="F2186" s="70"/>
    </row>
    <row r="2187" spans="6:6" x14ac:dyDescent="0.2">
      <c r="F2187" s="70"/>
    </row>
    <row r="2188" spans="6:6" x14ac:dyDescent="0.2">
      <c r="F2188" s="70"/>
    </row>
    <row r="2189" spans="6:6" x14ac:dyDescent="0.2">
      <c r="F2189" s="70"/>
    </row>
    <row r="2190" spans="6:6" x14ac:dyDescent="0.2">
      <c r="F2190" s="70"/>
    </row>
    <row r="2191" spans="6:6" x14ac:dyDescent="0.2">
      <c r="F2191" s="70"/>
    </row>
    <row r="2192" spans="6:6" x14ac:dyDescent="0.2">
      <c r="F2192" s="70"/>
    </row>
    <row r="2193" spans="6:6" x14ac:dyDescent="0.2">
      <c r="F2193" s="70"/>
    </row>
    <row r="2194" spans="6:6" x14ac:dyDescent="0.2">
      <c r="F2194" s="70"/>
    </row>
    <row r="2195" spans="6:6" x14ac:dyDescent="0.2">
      <c r="F2195" s="70"/>
    </row>
    <row r="2196" spans="6:6" x14ac:dyDescent="0.2">
      <c r="F2196" s="70"/>
    </row>
    <row r="2197" spans="6:6" x14ac:dyDescent="0.2">
      <c r="F2197" s="70"/>
    </row>
    <row r="2198" spans="6:6" x14ac:dyDescent="0.2">
      <c r="F2198" s="70"/>
    </row>
    <row r="2199" spans="6:6" x14ac:dyDescent="0.2">
      <c r="F2199" s="70"/>
    </row>
    <row r="2200" spans="6:6" x14ac:dyDescent="0.2">
      <c r="F2200" s="70"/>
    </row>
    <row r="2201" spans="6:6" x14ac:dyDescent="0.2">
      <c r="F2201" s="70"/>
    </row>
    <row r="2202" spans="6:6" x14ac:dyDescent="0.2">
      <c r="F2202" s="70"/>
    </row>
    <row r="2203" spans="6:6" x14ac:dyDescent="0.2">
      <c r="F2203" s="70"/>
    </row>
    <row r="2204" spans="6:6" x14ac:dyDescent="0.2">
      <c r="F2204" s="70"/>
    </row>
    <row r="2205" spans="6:6" x14ac:dyDescent="0.2">
      <c r="F2205" s="70"/>
    </row>
    <row r="2206" spans="6:6" x14ac:dyDescent="0.2">
      <c r="F2206" s="70"/>
    </row>
    <row r="2207" spans="6:6" x14ac:dyDescent="0.2">
      <c r="F2207" s="70"/>
    </row>
    <row r="2208" spans="6:6" x14ac:dyDescent="0.2">
      <c r="F2208" s="70"/>
    </row>
    <row r="2209" spans="6:6" x14ac:dyDescent="0.2">
      <c r="F2209" s="70"/>
    </row>
    <row r="2210" spans="6:6" x14ac:dyDescent="0.2">
      <c r="F2210" s="70"/>
    </row>
    <row r="2211" spans="6:6" x14ac:dyDescent="0.2">
      <c r="F2211" s="70"/>
    </row>
    <row r="2212" spans="6:6" x14ac:dyDescent="0.2">
      <c r="F2212" s="70"/>
    </row>
    <row r="2213" spans="6:6" x14ac:dyDescent="0.2">
      <c r="F2213" s="70"/>
    </row>
    <row r="2214" spans="6:6" x14ac:dyDescent="0.2">
      <c r="F2214" s="70"/>
    </row>
    <row r="2215" spans="6:6" x14ac:dyDescent="0.2">
      <c r="F2215" s="70"/>
    </row>
    <row r="2216" spans="6:6" x14ac:dyDescent="0.2">
      <c r="F2216" s="70"/>
    </row>
    <row r="2217" spans="6:6" x14ac:dyDescent="0.2">
      <c r="F2217" s="70"/>
    </row>
    <row r="2218" spans="6:6" x14ac:dyDescent="0.2">
      <c r="F2218" s="70"/>
    </row>
    <row r="2219" spans="6:6" x14ac:dyDescent="0.2">
      <c r="F2219" s="70"/>
    </row>
    <row r="2220" spans="6:6" x14ac:dyDescent="0.2">
      <c r="F2220" s="70"/>
    </row>
    <row r="2221" spans="6:6" x14ac:dyDescent="0.2">
      <c r="F2221" s="70"/>
    </row>
    <row r="2222" spans="6:6" x14ac:dyDescent="0.2">
      <c r="F2222" s="70"/>
    </row>
    <row r="2223" spans="6:6" x14ac:dyDescent="0.2">
      <c r="F2223" s="70"/>
    </row>
    <row r="2224" spans="6:6" x14ac:dyDescent="0.2">
      <c r="F2224" s="70"/>
    </row>
    <row r="2225" spans="6:6" x14ac:dyDescent="0.2">
      <c r="F2225" s="70"/>
    </row>
    <row r="2226" spans="6:6" x14ac:dyDescent="0.2">
      <c r="F2226" s="70"/>
    </row>
    <row r="2227" spans="6:6" x14ac:dyDescent="0.2">
      <c r="F2227" s="70"/>
    </row>
    <row r="2228" spans="6:6" x14ac:dyDescent="0.2">
      <c r="F2228" s="70"/>
    </row>
    <row r="2229" spans="6:6" x14ac:dyDescent="0.2">
      <c r="F2229" s="70"/>
    </row>
    <row r="2230" spans="6:6" x14ac:dyDescent="0.2">
      <c r="F2230" s="70"/>
    </row>
    <row r="2231" spans="6:6" x14ac:dyDescent="0.2">
      <c r="F2231" s="70"/>
    </row>
    <row r="2232" spans="6:6" x14ac:dyDescent="0.2">
      <c r="F2232" s="70"/>
    </row>
    <row r="2233" spans="6:6" x14ac:dyDescent="0.2">
      <c r="F2233" s="70"/>
    </row>
    <row r="2234" spans="6:6" x14ac:dyDescent="0.2">
      <c r="F2234" s="70"/>
    </row>
    <row r="2235" spans="6:6" x14ac:dyDescent="0.2">
      <c r="F2235" s="70"/>
    </row>
    <row r="2236" spans="6:6" x14ac:dyDescent="0.2">
      <c r="F2236" s="70"/>
    </row>
    <row r="2237" spans="6:6" x14ac:dyDescent="0.2">
      <c r="F2237" s="70"/>
    </row>
    <row r="2238" spans="6:6" x14ac:dyDescent="0.2">
      <c r="F2238" s="70"/>
    </row>
    <row r="2239" spans="6:6" x14ac:dyDescent="0.2">
      <c r="F2239" s="70"/>
    </row>
    <row r="2240" spans="6:6" x14ac:dyDescent="0.2">
      <c r="F2240" s="70"/>
    </row>
    <row r="2241" spans="6:6" x14ac:dyDescent="0.2">
      <c r="F2241" s="70"/>
    </row>
    <row r="2242" spans="6:6" x14ac:dyDescent="0.2">
      <c r="F2242" s="70"/>
    </row>
    <row r="2243" spans="6:6" x14ac:dyDescent="0.2">
      <c r="F2243" s="70"/>
    </row>
    <row r="2244" spans="6:6" x14ac:dyDescent="0.2">
      <c r="F2244" s="70"/>
    </row>
    <row r="2245" spans="6:6" x14ac:dyDescent="0.2">
      <c r="F2245" s="70"/>
    </row>
    <row r="2246" spans="6:6" x14ac:dyDescent="0.2">
      <c r="F2246" s="70"/>
    </row>
    <row r="2247" spans="6:6" x14ac:dyDescent="0.2">
      <c r="F2247" s="70"/>
    </row>
    <row r="2248" spans="6:6" x14ac:dyDescent="0.2">
      <c r="F2248" s="70"/>
    </row>
    <row r="2249" spans="6:6" x14ac:dyDescent="0.2">
      <c r="F2249" s="70"/>
    </row>
    <row r="2250" spans="6:6" x14ac:dyDescent="0.2">
      <c r="F2250" s="70"/>
    </row>
    <row r="2251" spans="6:6" x14ac:dyDescent="0.2">
      <c r="F2251" s="70"/>
    </row>
    <row r="2252" spans="6:6" x14ac:dyDescent="0.2">
      <c r="F2252" s="70"/>
    </row>
    <row r="2253" spans="6:6" x14ac:dyDescent="0.2">
      <c r="F2253" s="70"/>
    </row>
    <row r="2254" spans="6:6" x14ac:dyDescent="0.2">
      <c r="F2254" s="70"/>
    </row>
    <row r="2255" spans="6:6" x14ac:dyDescent="0.2">
      <c r="F2255" s="70"/>
    </row>
    <row r="2256" spans="6:6" x14ac:dyDescent="0.2">
      <c r="F2256" s="70"/>
    </row>
    <row r="2257" spans="6:6" x14ac:dyDescent="0.2">
      <c r="F2257" s="70"/>
    </row>
    <row r="2258" spans="6:6" x14ac:dyDescent="0.2">
      <c r="F2258" s="70"/>
    </row>
    <row r="2259" spans="6:6" x14ac:dyDescent="0.2">
      <c r="F2259" s="70"/>
    </row>
    <row r="2260" spans="6:6" x14ac:dyDescent="0.2">
      <c r="F2260" s="70"/>
    </row>
    <row r="2261" spans="6:6" x14ac:dyDescent="0.2">
      <c r="F2261" s="70"/>
    </row>
    <row r="2262" spans="6:6" x14ac:dyDescent="0.2">
      <c r="F2262" s="70"/>
    </row>
    <row r="2263" spans="6:6" x14ac:dyDescent="0.2">
      <c r="F2263" s="70"/>
    </row>
    <row r="2264" spans="6:6" x14ac:dyDescent="0.2">
      <c r="F2264" s="70"/>
    </row>
    <row r="2265" spans="6:6" x14ac:dyDescent="0.2">
      <c r="F2265" s="70"/>
    </row>
    <row r="2266" spans="6:6" x14ac:dyDescent="0.2">
      <c r="F2266" s="70"/>
    </row>
    <row r="2267" spans="6:6" x14ac:dyDescent="0.2">
      <c r="F2267" s="70"/>
    </row>
    <row r="2268" spans="6:6" x14ac:dyDescent="0.2">
      <c r="F2268" s="70"/>
    </row>
    <row r="2269" spans="6:6" x14ac:dyDescent="0.2">
      <c r="F2269" s="70"/>
    </row>
    <row r="2270" spans="6:6" x14ac:dyDescent="0.2">
      <c r="F2270" s="70"/>
    </row>
    <row r="2271" spans="6:6" x14ac:dyDescent="0.2">
      <c r="F2271" s="70"/>
    </row>
    <row r="2272" spans="6:6" x14ac:dyDescent="0.2">
      <c r="F2272" s="70"/>
    </row>
    <row r="2273" spans="6:6" x14ac:dyDescent="0.2">
      <c r="F2273" s="70"/>
    </row>
    <row r="2274" spans="6:6" x14ac:dyDescent="0.2">
      <c r="F2274" s="70"/>
    </row>
    <row r="2275" spans="6:6" x14ac:dyDescent="0.2">
      <c r="F2275" s="70"/>
    </row>
    <row r="2276" spans="6:6" x14ac:dyDescent="0.2">
      <c r="F2276" s="70"/>
    </row>
    <row r="2277" spans="6:6" x14ac:dyDescent="0.2">
      <c r="F2277" s="70"/>
    </row>
    <row r="2278" spans="6:6" x14ac:dyDescent="0.2">
      <c r="F2278" s="70"/>
    </row>
    <row r="2279" spans="6:6" x14ac:dyDescent="0.2">
      <c r="F2279" s="70"/>
    </row>
    <row r="2280" spans="6:6" x14ac:dyDescent="0.2">
      <c r="F2280" s="70"/>
    </row>
    <row r="2281" spans="6:6" x14ac:dyDescent="0.2">
      <c r="F2281" s="70"/>
    </row>
    <row r="2282" spans="6:6" x14ac:dyDescent="0.2">
      <c r="F2282" s="70"/>
    </row>
    <row r="2283" spans="6:6" x14ac:dyDescent="0.2">
      <c r="F2283" s="70"/>
    </row>
    <row r="2284" spans="6:6" x14ac:dyDescent="0.2">
      <c r="F2284" s="70"/>
    </row>
    <row r="2285" spans="6:6" x14ac:dyDescent="0.2">
      <c r="F2285" s="70"/>
    </row>
    <row r="2286" spans="6:6" x14ac:dyDescent="0.2">
      <c r="F2286" s="70"/>
    </row>
    <row r="2287" spans="6:6" x14ac:dyDescent="0.2">
      <c r="F2287" s="70"/>
    </row>
    <row r="2288" spans="6:6" x14ac:dyDescent="0.2">
      <c r="F2288" s="70"/>
    </row>
    <row r="2289" spans="6:6" x14ac:dyDescent="0.2">
      <c r="F2289" s="70"/>
    </row>
    <row r="2290" spans="6:6" x14ac:dyDescent="0.2">
      <c r="F2290" s="70"/>
    </row>
    <row r="2291" spans="6:6" x14ac:dyDescent="0.2">
      <c r="F2291" s="70"/>
    </row>
    <row r="2292" spans="6:6" x14ac:dyDescent="0.2">
      <c r="F2292" s="70"/>
    </row>
    <row r="2293" spans="6:6" x14ac:dyDescent="0.2">
      <c r="F2293" s="70"/>
    </row>
    <row r="2294" spans="6:6" x14ac:dyDescent="0.2">
      <c r="F2294" s="70"/>
    </row>
    <row r="2295" spans="6:6" x14ac:dyDescent="0.2">
      <c r="F2295" s="70"/>
    </row>
    <row r="2296" spans="6:6" x14ac:dyDescent="0.2">
      <c r="F2296" s="70"/>
    </row>
    <row r="2297" spans="6:6" x14ac:dyDescent="0.2">
      <c r="F2297" s="70"/>
    </row>
    <row r="2298" spans="6:6" x14ac:dyDescent="0.2">
      <c r="F2298" s="70"/>
    </row>
    <row r="2299" spans="6:6" x14ac:dyDescent="0.2">
      <c r="F2299" s="70"/>
    </row>
    <row r="2300" spans="6:6" x14ac:dyDescent="0.2">
      <c r="F2300" s="70"/>
    </row>
    <row r="2301" spans="6:6" x14ac:dyDescent="0.2">
      <c r="F2301" s="70"/>
    </row>
    <row r="2302" spans="6:6" x14ac:dyDescent="0.2">
      <c r="F2302" s="70"/>
    </row>
    <row r="2303" spans="6:6" x14ac:dyDescent="0.2">
      <c r="F2303" s="70"/>
    </row>
    <row r="2304" spans="6:6" x14ac:dyDescent="0.2">
      <c r="F2304" s="70"/>
    </row>
    <row r="2305" spans="6:6" x14ac:dyDescent="0.2">
      <c r="F2305" s="70"/>
    </row>
    <row r="2306" spans="6:6" x14ac:dyDescent="0.2">
      <c r="F2306" s="70"/>
    </row>
    <row r="2307" spans="6:6" x14ac:dyDescent="0.2">
      <c r="F2307" s="70"/>
    </row>
    <row r="2308" spans="6:6" x14ac:dyDescent="0.2">
      <c r="F2308" s="70"/>
    </row>
    <row r="2309" spans="6:6" x14ac:dyDescent="0.2">
      <c r="F2309" s="70"/>
    </row>
    <row r="2310" spans="6:6" x14ac:dyDescent="0.2">
      <c r="F2310" s="70"/>
    </row>
    <row r="2311" spans="6:6" x14ac:dyDescent="0.2">
      <c r="F2311" s="70"/>
    </row>
    <row r="2312" spans="6:6" x14ac:dyDescent="0.2">
      <c r="F2312" s="70"/>
    </row>
    <row r="2313" spans="6:6" x14ac:dyDescent="0.2">
      <c r="F2313" s="70"/>
    </row>
    <row r="2314" spans="6:6" x14ac:dyDescent="0.2">
      <c r="F2314" s="70"/>
    </row>
    <row r="2315" spans="6:6" x14ac:dyDescent="0.2">
      <c r="F2315" s="70"/>
    </row>
    <row r="2316" spans="6:6" x14ac:dyDescent="0.2">
      <c r="F2316" s="70"/>
    </row>
    <row r="2317" spans="6:6" x14ac:dyDescent="0.2">
      <c r="F2317" s="70"/>
    </row>
    <row r="2318" spans="6:6" x14ac:dyDescent="0.2">
      <c r="F2318" s="70"/>
    </row>
    <row r="2319" spans="6:6" x14ac:dyDescent="0.2">
      <c r="F2319" s="70"/>
    </row>
    <row r="2320" spans="6:6" x14ac:dyDescent="0.2">
      <c r="F2320" s="70"/>
    </row>
    <row r="2321" spans="6:6" x14ac:dyDescent="0.2">
      <c r="F2321" s="70"/>
    </row>
    <row r="2322" spans="6:6" x14ac:dyDescent="0.2">
      <c r="F2322" s="70"/>
    </row>
    <row r="2323" spans="6:6" x14ac:dyDescent="0.2">
      <c r="F2323" s="70"/>
    </row>
    <row r="2324" spans="6:6" x14ac:dyDescent="0.2">
      <c r="F2324" s="70"/>
    </row>
    <row r="2325" spans="6:6" x14ac:dyDescent="0.2">
      <c r="F2325" s="70"/>
    </row>
    <row r="2326" spans="6:6" x14ac:dyDescent="0.2">
      <c r="F2326" s="70"/>
    </row>
    <row r="2327" spans="6:6" x14ac:dyDescent="0.2">
      <c r="F2327" s="70"/>
    </row>
    <row r="2328" spans="6:6" x14ac:dyDescent="0.2">
      <c r="F2328" s="70"/>
    </row>
    <row r="2329" spans="6:6" x14ac:dyDescent="0.2">
      <c r="F2329" s="70"/>
    </row>
    <row r="2330" spans="6:6" x14ac:dyDescent="0.2">
      <c r="F2330" s="70"/>
    </row>
    <row r="2331" spans="6:6" x14ac:dyDescent="0.2">
      <c r="F2331" s="70"/>
    </row>
    <row r="2332" spans="6:6" x14ac:dyDescent="0.2">
      <c r="F2332" s="70"/>
    </row>
    <row r="2333" spans="6:6" x14ac:dyDescent="0.2">
      <c r="F2333" s="70"/>
    </row>
    <row r="2334" spans="6:6" x14ac:dyDescent="0.2">
      <c r="F2334" s="70"/>
    </row>
    <row r="2335" spans="6:6" x14ac:dyDescent="0.2">
      <c r="F2335" s="70"/>
    </row>
    <row r="2336" spans="6:6" x14ac:dyDescent="0.2">
      <c r="F2336" s="70"/>
    </row>
    <row r="2337" spans="6:6" x14ac:dyDescent="0.2">
      <c r="F2337" s="70"/>
    </row>
    <row r="2338" spans="6:6" x14ac:dyDescent="0.2">
      <c r="F2338" s="70"/>
    </row>
    <row r="2339" spans="6:6" x14ac:dyDescent="0.2">
      <c r="F2339" s="70"/>
    </row>
    <row r="2340" spans="6:6" x14ac:dyDescent="0.2">
      <c r="F2340" s="70"/>
    </row>
    <row r="2341" spans="6:6" x14ac:dyDescent="0.2">
      <c r="F2341" s="70"/>
    </row>
    <row r="2342" spans="6:6" x14ac:dyDescent="0.2">
      <c r="F2342" s="70"/>
    </row>
    <row r="2343" spans="6:6" x14ac:dyDescent="0.2">
      <c r="F2343" s="70"/>
    </row>
    <row r="2344" spans="6:6" x14ac:dyDescent="0.2">
      <c r="F2344" s="70"/>
    </row>
    <row r="2345" spans="6:6" x14ac:dyDescent="0.2">
      <c r="F2345" s="70"/>
    </row>
    <row r="2346" spans="6:6" x14ac:dyDescent="0.2">
      <c r="F2346" s="70"/>
    </row>
    <row r="2347" spans="6:6" x14ac:dyDescent="0.2">
      <c r="F2347" s="70"/>
    </row>
    <row r="2348" spans="6:6" x14ac:dyDescent="0.2">
      <c r="F2348" s="70"/>
    </row>
    <row r="2349" spans="6:6" x14ac:dyDescent="0.2">
      <c r="F2349" s="70"/>
    </row>
    <row r="2350" spans="6:6" x14ac:dyDescent="0.2">
      <c r="F2350" s="70"/>
    </row>
    <row r="2351" spans="6:6" x14ac:dyDescent="0.2">
      <c r="F2351" s="70"/>
    </row>
    <row r="2352" spans="6:6" x14ac:dyDescent="0.2">
      <c r="F2352" s="70"/>
    </row>
    <row r="2353" spans="6:6" x14ac:dyDescent="0.2">
      <c r="F2353" s="70"/>
    </row>
    <row r="2354" spans="6:6" x14ac:dyDescent="0.2">
      <c r="F2354" s="70"/>
    </row>
    <row r="2355" spans="6:6" x14ac:dyDescent="0.2">
      <c r="F2355" s="70"/>
    </row>
    <row r="2356" spans="6:6" x14ac:dyDescent="0.2">
      <c r="F2356" s="70"/>
    </row>
    <row r="2357" spans="6:6" x14ac:dyDescent="0.2">
      <c r="F2357" s="70"/>
    </row>
    <row r="2358" spans="6:6" x14ac:dyDescent="0.2">
      <c r="F2358" s="70"/>
    </row>
    <row r="2359" spans="6:6" x14ac:dyDescent="0.2">
      <c r="F2359" s="70"/>
    </row>
    <row r="2360" spans="6:6" x14ac:dyDescent="0.2">
      <c r="F2360" s="70"/>
    </row>
    <row r="2361" spans="6:6" x14ac:dyDescent="0.2">
      <c r="F2361" s="70"/>
    </row>
    <row r="2362" spans="6:6" x14ac:dyDescent="0.2">
      <c r="F2362" s="70"/>
    </row>
    <row r="2363" spans="6:6" x14ac:dyDescent="0.2">
      <c r="F2363" s="70"/>
    </row>
    <row r="2364" spans="6:6" x14ac:dyDescent="0.2">
      <c r="F2364" s="70"/>
    </row>
    <row r="2365" spans="6:6" x14ac:dyDescent="0.2">
      <c r="F2365" s="70"/>
    </row>
    <row r="2366" spans="6:6" x14ac:dyDescent="0.2">
      <c r="F2366" s="70"/>
    </row>
    <row r="2367" spans="6:6" x14ac:dyDescent="0.2">
      <c r="F2367" s="70"/>
    </row>
    <row r="2368" spans="6:6" x14ac:dyDescent="0.2">
      <c r="F2368" s="70"/>
    </row>
    <row r="2369" spans="6:6" x14ac:dyDescent="0.2">
      <c r="F2369" s="70"/>
    </row>
    <row r="2370" spans="6:6" x14ac:dyDescent="0.2">
      <c r="F2370" s="70"/>
    </row>
    <row r="2371" spans="6:6" x14ac:dyDescent="0.2">
      <c r="F2371" s="70"/>
    </row>
    <row r="2372" spans="6:6" x14ac:dyDescent="0.2">
      <c r="F2372" s="70"/>
    </row>
    <row r="2373" spans="6:6" x14ac:dyDescent="0.2">
      <c r="F2373" s="70"/>
    </row>
    <row r="2374" spans="6:6" x14ac:dyDescent="0.2">
      <c r="F2374" s="70"/>
    </row>
    <row r="2375" spans="6:6" x14ac:dyDescent="0.2">
      <c r="F2375" s="70"/>
    </row>
    <row r="2376" spans="6:6" x14ac:dyDescent="0.2">
      <c r="F2376" s="70"/>
    </row>
    <row r="2377" spans="6:6" x14ac:dyDescent="0.2">
      <c r="F2377" s="70"/>
    </row>
    <row r="2378" spans="6:6" x14ac:dyDescent="0.2">
      <c r="F2378" s="70"/>
    </row>
    <row r="2379" spans="6:6" x14ac:dyDescent="0.2">
      <c r="F2379" s="70"/>
    </row>
    <row r="2380" spans="6:6" x14ac:dyDescent="0.2">
      <c r="F2380" s="70"/>
    </row>
    <row r="2381" spans="6:6" x14ac:dyDescent="0.2">
      <c r="F2381" s="70"/>
    </row>
    <row r="2382" spans="6:6" x14ac:dyDescent="0.2">
      <c r="F2382" s="70"/>
    </row>
    <row r="2383" spans="6:6" x14ac:dyDescent="0.2">
      <c r="F2383" s="70"/>
    </row>
    <row r="2384" spans="6:6" x14ac:dyDescent="0.2">
      <c r="F2384" s="70"/>
    </row>
    <row r="2385" spans="6:6" x14ac:dyDescent="0.2">
      <c r="F2385" s="70"/>
    </row>
    <row r="2386" spans="6:6" x14ac:dyDescent="0.2">
      <c r="F2386" s="70"/>
    </row>
    <row r="2387" spans="6:6" x14ac:dyDescent="0.2">
      <c r="F2387" s="70"/>
    </row>
    <row r="2388" spans="6:6" x14ac:dyDescent="0.2">
      <c r="F2388" s="70"/>
    </row>
    <row r="2389" spans="6:6" x14ac:dyDescent="0.2">
      <c r="F2389" s="70"/>
    </row>
    <row r="2390" spans="6:6" x14ac:dyDescent="0.2">
      <c r="F2390" s="70"/>
    </row>
    <row r="2391" spans="6:6" x14ac:dyDescent="0.2">
      <c r="F2391" s="70"/>
    </row>
    <row r="2392" spans="6:6" x14ac:dyDescent="0.2">
      <c r="F2392" s="70"/>
    </row>
    <row r="2393" spans="6:6" x14ac:dyDescent="0.2">
      <c r="F2393" s="70"/>
    </row>
    <row r="2394" spans="6:6" x14ac:dyDescent="0.2">
      <c r="F2394" s="70"/>
    </row>
    <row r="2395" spans="6:6" x14ac:dyDescent="0.2">
      <c r="F2395" s="70"/>
    </row>
    <row r="2396" spans="6:6" x14ac:dyDescent="0.2">
      <c r="F2396" s="70"/>
    </row>
    <row r="2397" spans="6:6" x14ac:dyDescent="0.2">
      <c r="F2397" s="70"/>
    </row>
    <row r="2398" spans="6:6" x14ac:dyDescent="0.2">
      <c r="F2398" s="70"/>
    </row>
    <row r="2399" spans="6:6" x14ac:dyDescent="0.2">
      <c r="F2399" s="70"/>
    </row>
    <row r="2400" spans="6:6" x14ac:dyDescent="0.2">
      <c r="F2400" s="70"/>
    </row>
    <row r="2401" spans="6:6" x14ac:dyDescent="0.2">
      <c r="F2401" s="70"/>
    </row>
    <row r="2402" spans="6:6" x14ac:dyDescent="0.2">
      <c r="F2402" s="70"/>
    </row>
    <row r="2403" spans="6:6" x14ac:dyDescent="0.2">
      <c r="F2403" s="70"/>
    </row>
    <row r="2404" spans="6:6" x14ac:dyDescent="0.2">
      <c r="F2404" s="70"/>
    </row>
    <row r="2405" spans="6:6" x14ac:dyDescent="0.2">
      <c r="F2405" s="70"/>
    </row>
    <row r="2406" spans="6:6" x14ac:dyDescent="0.2">
      <c r="F2406" s="70"/>
    </row>
    <row r="2407" spans="6:6" x14ac:dyDescent="0.2">
      <c r="F2407" s="70"/>
    </row>
    <row r="2408" spans="6:6" x14ac:dyDescent="0.2">
      <c r="F2408" s="70"/>
    </row>
    <row r="2409" spans="6:6" x14ac:dyDescent="0.2">
      <c r="F2409" s="70"/>
    </row>
    <row r="2410" spans="6:6" x14ac:dyDescent="0.2">
      <c r="F2410" s="70"/>
    </row>
    <row r="2411" spans="6:6" x14ac:dyDescent="0.2">
      <c r="F2411" s="70"/>
    </row>
    <row r="2412" spans="6:6" x14ac:dyDescent="0.2">
      <c r="F2412" s="70"/>
    </row>
    <row r="2413" spans="6:6" x14ac:dyDescent="0.2">
      <c r="F2413" s="70"/>
    </row>
    <row r="2414" spans="6:6" x14ac:dyDescent="0.2">
      <c r="F2414" s="70"/>
    </row>
    <row r="2415" spans="6:6" x14ac:dyDescent="0.2">
      <c r="F2415" s="70"/>
    </row>
    <row r="2416" spans="6:6" x14ac:dyDescent="0.2">
      <c r="F2416" s="70"/>
    </row>
    <row r="2417" spans="6:6" x14ac:dyDescent="0.2">
      <c r="F2417" s="70"/>
    </row>
    <row r="2418" spans="6:6" x14ac:dyDescent="0.2">
      <c r="F2418" s="70"/>
    </row>
    <row r="2419" spans="6:6" x14ac:dyDescent="0.2">
      <c r="F2419" s="70"/>
    </row>
    <row r="2420" spans="6:6" x14ac:dyDescent="0.2">
      <c r="F2420" s="70"/>
    </row>
    <row r="2421" spans="6:6" x14ac:dyDescent="0.2">
      <c r="F2421" s="70"/>
    </row>
    <row r="2422" spans="6:6" x14ac:dyDescent="0.2">
      <c r="F2422" s="70"/>
    </row>
    <row r="2423" spans="6:6" x14ac:dyDescent="0.2">
      <c r="F2423" s="70"/>
    </row>
    <row r="2424" spans="6:6" x14ac:dyDescent="0.2">
      <c r="F2424" s="70"/>
    </row>
    <row r="2425" spans="6:6" x14ac:dyDescent="0.2">
      <c r="F2425" s="70"/>
    </row>
    <row r="2426" spans="6:6" x14ac:dyDescent="0.2">
      <c r="F2426" s="70"/>
    </row>
    <row r="2427" spans="6:6" x14ac:dyDescent="0.2">
      <c r="F2427" s="70"/>
    </row>
    <row r="2428" spans="6:6" x14ac:dyDescent="0.2">
      <c r="F2428" s="70"/>
    </row>
    <row r="2429" spans="6:6" x14ac:dyDescent="0.2">
      <c r="F2429" s="70"/>
    </row>
    <row r="2430" spans="6:6" x14ac:dyDescent="0.2">
      <c r="F2430" s="70"/>
    </row>
    <row r="2431" spans="6:6" x14ac:dyDescent="0.2">
      <c r="F2431" s="70"/>
    </row>
    <row r="2432" spans="6:6" x14ac:dyDescent="0.2">
      <c r="F2432" s="70"/>
    </row>
    <row r="2433" spans="6:6" x14ac:dyDescent="0.2">
      <c r="F2433" s="70"/>
    </row>
    <row r="2434" spans="6:6" x14ac:dyDescent="0.2">
      <c r="F2434" s="70"/>
    </row>
    <row r="2435" spans="6:6" x14ac:dyDescent="0.2">
      <c r="F2435" s="70"/>
    </row>
    <row r="2436" spans="6:6" x14ac:dyDescent="0.2">
      <c r="F2436" s="70"/>
    </row>
    <row r="2437" spans="6:6" x14ac:dyDescent="0.2">
      <c r="F2437" s="70"/>
    </row>
    <row r="2438" spans="6:6" x14ac:dyDescent="0.2">
      <c r="F2438" s="70"/>
    </row>
    <row r="2439" spans="6:6" x14ac:dyDescent="0.2">
      <c r="F2439" s="70"/>
    </row>
    <row r="2440" spans="6:6" x14ac:dyDescent="0.2">
      <c r="F2440" s="70"/>
    </row>
    <row r="2441" spans="6:6" x14ac:dyDescent="0.2">
      <c r="F2441" s="70"/>
    </row>
    <row r="2442" spans="6:6" x14ac:dyDescent="0.2">
      <c r="F2442" s="70"/>
    </row>
    <row r="2443" spans="6:6" x14ac:dyDescent="0.2">
      <c r="F2443" s="70"/>
    </row>
    <row r="2444" spans="6:6" x14ac:dyDescent="0.2">
      <c r="F2444" s="70"/>
    </row>
    <row r="2445" spans="6:6" x14ac:dyDescent="0.2">
      <c r="F2445" s="70"/>
    </row>
    <row r="2446" spans="6:6" x14ac:dyDescent="0.2">
      <c r="F2446" s="70"/>
    </row>
    <row r="2447" spans="6:6" x14ac:dyDescent="0.2">
      <c r="F2447" s="70"/>
    </row>
    <row r="2448" spans="6:6" x14ac:dyDescent="0.2">
      <c r="F2448" s="70"/>
    </row>
    <row r="2449" spans="6:6" x14ac:dyDescent="0.2">
      <c r="F2449" s="70"/>
    </row>
    <row r="2450" spans="6:6" x14ac:dyDescent="0.2">
      <c r="F2450" s="70"/>
    </row>
    <row r="2451" spans="6:6" x14ac:dyDescent="0.2">
      <c r="F2451" s="70"/>
    </row>
    <row r="2452" spans="6:6" x14ac:dyDescent="0.2">
      <c r="F2452" s="70"/>
    </row>
    <row r="2453" spans="6:6" x14ac:dyDescent="0.2">
      <c r="F2453" s="70"/>
    </row>
    <row r="2454" spans="6:6" x14ac:dyDescent="0.2">
      <c r="F2454" s="70"/>
    </row>
    <row r="2455" spans="6:6" x14ac:dyDescent="0.2">
      <c r="F2455" s="70"/>
    </row>
    <row r="2456" spans="6:6" x14ac:dyDescent="0.2">
      <c r="F2456" s="70"/>
    </row>
    <row r="2457" spans="6:6" x14ac:dyDescent="0.2">
      <c r="F2457" s="70"/>
    </row>
    <row r="2458" spans="6:6" x14ac:dyDescent="0.2">
      <c r="F2458" s="70"/>
    </row>
    <row r="2459" spans="6:6" x14ac:dyDescent="0.2">
      <c r="F2459" s="70"/>
    </row>
    <row r="2460" spans="6:6" x14ac:dyDescent="0.2">
      <c r="F2460" s="70"/>
    </row>
    <row r="2461" spans="6:6" x14ac:dyDescent="0.2">
      <c r="F2461" s="70"/>
    </row>
    <row r="2462" spans="6:6" x14ac:dyDescent="0.2">
      <c r="F2462" s="70"/>
    </row>
    <row r="2463" spans="6:6" x14ac:dyDescent="0.2">
      <c r="F2463" s="70"/>
    </row>
    <row r="2464" spans="6:6" x14ac:dyDescent="0.2">
      <c r="F2464" s="70"/>
    </row>
    <row r="2465" spans="6:6" x14ac:dyDescent="0.2">
      <c r="F2465" s="70"/>
    </row>
    <row r="2466" spans="6:6" x14ac:dyDescent="0.2">
      <c r="F2466" s="70"/>
    </row>
    <row r="2467" spans="6:6" x14ac:dyDescent="0.2">
      <c r="F2467" s="70"/>
    </row>
    <row r="2468" spans="6:6" x14ac:dyDescent="0.2">
      <c r="F2468" s="70"/>
    </row>
    <row r="2469" spans="6:6" x14ac:dyDescent="0.2">
      <c r="F2469" s="70"/>
    </row>
    <row r="2470" spans="6:6" x14ac:dyDescent="0.2">
      <c r="F2470" s="70"/>
    </row>
    <row r="2471" spans="6:6" x14ac:dyDescent="0.2">
      <c r="F2471" s="70"/>
    </row>
    <row r="2472" spans="6:6" x14ac:dyDescent="0.2">
      <c r="F2472" s="70"/>
    </row>
    <row r="2473" spans="6:6" x14ac:dyDescent="0.2">
      <c r="F2473" s="70"/>
    </row>
    <row r="2474" spans="6:6" x14ac:dyDescent="0.2">
      <c r="F2474" s="70"/>
    </row>
    <row r="2475" spans="6:6" x14ac:dyDescent="0.2">
      <c r="F2475" s="70"/>
    </row>
    <row r="2476" spans="6:6" x14ac:dyDescent="0.2">
      <c r="F2476" s="70"/>
    </row>
    <row r="2477" spans="6:6" x14ac:dyDescent="0.2">
      <c r="F2477" s="70"/>
    </row>
    <row r="2478" spans="6:6" x14ac:dyDescent="0.2">
      <c r="F2478" s="70"/>
    </row>
    <row r="2479" spans="6:6" x14ac:dyDescent="0.2">
      <c r="F2479" s="70"/>
    </row>
    <row r="2480" spans="6:6" x14ac:dyDescent="0.2">
      <c r="F2480" s="70"/>
    </row>
    <row r="2481" spans="6:6" x14ac:dyDescent="0.2">
      <c r="F2481" s="70"/>
    </row>
    <row r="2482" spans="6:6" x14ac:dyDescent="0.2">
      <c r="F2482" s="70"/>
    </row>
    <row r="2483" spans="6:6" x14ac:dyDescent="0.2">
      <c r="F2483" s="70"/>
    </row>
    <row r="2484" spans="6:6" x14ac:dyDescent="0.2">
      <c r="F2484" s="70"/>
    </row>
    <row r="2485" spans="6:6" x14ac:dyDescent="0.2">
      <c r="F2485" s="70"/>
    </row>
    <row r="2486" spans="6:6" x14ac:dyDescent="0.2">
      <c r="F2486" s="70"/>
    </row>
    <row r="2487" spans="6:6" x14ac:dyDescent="0.2">
      <c r="F2487" s="70"/>
    </row>
    <row r="2488" spans="6:6" x14ac:dyDescent="0.2">
      <c r="F2488" s="70"/>
    </row>
    <row r="2489" spans="6:6" x14ac:dyDescent="0.2">
      <c r="F2489" s="70"/>
    </row>
    <row r="2490" spans="6:6" x14ac:dyDescent="0.2">
      <c r="F2490" s="70"/>
    </row>
    <row r="2491" spans="6:6" x14ac:dyDescent="0.2">
      <c r="F2491" s="70"/>
    </row>
    <row r="2492" spans="6:6" x14ac:dyDescent="0.2">
      <c r="F2492" s="70"/>
    </row>
    <row r="2493" spans="6:6" x14ac:dyDescent="0.2">
      <c r="F2493" s="70"/>
    </row>
    <row r="2494" spans="6:6" x14ac:dyDescent="0.2">
      <c r="F2494" s="70"/>
    </row>
    <row r="2495" spans="6:6" x14ac:dyDescent="0.2">
      <c r="F2495" s="70"/>
    </row>
    <row r="2496" spans="6:6" x14ac:dyDescent="0.2">
      <c r="F2496" s="70"/>
    </row>
    <row r="2497" spans="6:6" x14ac:dyDescent="0.2">
      <c r="F2497" s="70"/>
    </row>
    <row r="2498" spans="6:6" x14ac:dyDescent="0.2">
      <c r="F2498" s="70"/>
    </row>
    <row r="2499" spans="6:6" x14ac:dyDescent="0.2">
      <c r="F2499" s="70"/>
    </row>
    <row r="2500" spans="6:6" x14ac:dyDescent="0.2">
      <c r="F2500" s="70"/>
    </row>
    <row r="2501" spans="6:6" x14ac:dyDescent="0.2">
      <c r="F2501" s="70"/>
    </row>
    <row r="2502" spans="6:6" x14ac:dyDescent="0.2">
      <c r="F2502" s="70"/>
    </row>
    <row r="2503" spans="6:6" x14ac:dyDescent="0.2">
      <c r="F2503" s="70"/>
    </row>
    <row r="2504" spans="6:6" x14ac:dyDescent="0.2">
      <c r="F2504" s="70"/>
    </row>
    <row r="2505" spans="6:6" x14ac:dyDescent="0.2">
      <c r="F2505" s="70"/>
    </row>
    <row r="2506" spans="6:6" x14ac:dyDescent="0.2">
      <c r="F2506" s="70"/>
    </row>
    <row r="2507" spans="6:6" x14ac:dyDescent="0.2">
      <c r="F2507" s="70"/>
    </row>
    <row r="2508" spans="6:6" x14ac:dyDescent="0.2">
      <c r="F2508" s="70"/>
    </row>
    <row r="2509" spans="6:6" x14ac:dyDescent="0.2">
      <c r="F2509" s="70"/>
    </row>
    <row r="2510" spans="6:6" x14ac:dyDescent="0.2">
      <c r="F2510" s="70"/>
    </row>
    <row r="2511" spans="6:6" x14ac:dyDescent="0.2">
      <c r="F2511" s="70"/>
    </row>
    <row r="2512" spans="6:6" x14ac:dyDescent="0.2">
      <c r="F2512" s="70"/>
    </row>
    <row r="2513" spans="6:6" x14ac:dyDescent="0.2">
      <c r="F2513" s="70"/>
    </row>
    <row r="2514" spans="6:6" x14ac:dyDescent="0.2">
      <c r="F2514" s="70"/>
    </row>
    <row r="2515" spans="6:6" x14ac:dyDescent="0.2">
      <c r="F2515" s="70"/>
    </row>
    <row r="2516" spans="6:6" x14ac:dyDescent="0.2">
      <c r="F2516" s="70"/>
    </row>
    <row r="2517" spans="6:6" x14ac:dyDescent="0.2">
      <c r="F2517" s="70"/>
    </row>
    <row r="2518" spans="6:6" x14ac:dyDescent="0.2">
      <c r="F2518" s="70"/>
    </row>
    <row r="2519" spans="6:6" x14ac:dyDescent="0.2">
      <c r="F2519" s="70"/>
    </row>
    <row r="2520" spans="6:6" x14ac:dyDescent="0.2">
      <c r="F2520" s="70"/>
    </row>
    <row r="2521" spans="6:6" x14ac:dyDescent="0.2">
      <c r="F2521" s="70"/>
    </row>
    <row r="2522" spans="6:6" x14ac:dyDescent="0.2">
      <c r="F2522" s="70"/>
    </row>
    <row r="2523" spans="6:6" x14ac:dyDescent="0.2">
      <c r="F2523" s="70"/>
    </row>
    <row r="2524" spans="6:6" x14ac:dyDescent="0.2">
      <c r="F2524" s="70"/>
    </row>
    <row r="2525" spans="6:6" x14ac:dyDescent="0.2">
      <c r="F2525" s="70"/>
    </row>
    <row r="2526" spans="6:6" x14ac:dyDescent="0.2">
      <c r="F2526" s="70"/>
    </row>
    <row r="2527" spans="6:6" x14ac:dyDescent="0.2">
      <c r="F2527" s="70"/>
    </row>
    <row r="2528" spans="6:6" x14ac:dyDescent="0.2">
      <c r="F2528" s="70"/>
    </row>
    <row r="2529" spans="6:6" x14ac:dyDescent="0.2">
      <c r="F2529" s="70"/>
    </row>
    <row r="2530" spans="6:6" x14ac:dyDescent="0.2">
      <c r="F2530" s="70"/>
    </row>
    <row r="2531" spans="6:6" x14ac:dyDescent="0.2">
      <c r="F2531" s="70"/>
    </row>
    <row r="2532" spans="6:6" x14ac:dyDescent="0.2">
      <c r="F2532" s="70"/>
    </row>
    <row r="2533" spans="6:6" x14ac:dyDescent="0.2">
      <c r="F2533" s="70"/>
    </row>
    <row r="2534" spans="6:6" x14ac:dyDescent="0.2">
      <c r="F2534" s="70"/>
    </row>
    <row r="2535" spans="6:6" x14ac:dyDescent="0.2">
      <c r="F2535" s="70"/>
    </row>
    <row r="2536" spans="6:6" x14ac:dyDescent="0.2">
      <c r="F2536" s="70"/>
    </row>
    <row r="2537" spans="6:6" x14ac:dyDescent="0.2">
      <c r="F2537" s="70"/>
    </row>
    <row r="2538" spans="6:6" x14ac:dyDescent="0.2">
      <c r="F2538" s="70"/>
    </row>
    <row r="2539" spans="6:6" x14ac:dyDescent="0.2">
      <c r="F2539" s="70"/>
    </row>
    <row r="2540" spans="6:6" x14ac:dyDescent="0.2">
      <c r="F2540" s="70"/>
    </row>
    <row r="2541" spans="6:6" x14ac:dyDescent="0.2">
      <c r="F2541" s="70"/>
    </row>
    <row r="2542" spans="6:6" x14ac:dyDescent="0.2">
      <c r="F2542" s="70"/>
    </row>
    <row r="2543" spans="6:6" x14ac:dyDescent="0.2">
      <c r="F2543" s="70"/>
    </row>
    <row r="2544" spans="6:6" x14ac:dyDescent="0.2">
      <c r="F2544" s="70"/>
    </row>
    <row r="2545" spans="6:6" x14ac:dyDescent="0.2">
      <c r="F2545" s="70"/>
    </row>
    <row r="2546" spans="6:6" x14ac:dyDescent="0.2">
      <c r="F2546" s="70"/>
    </row>
    <row r="2547" spans="6:6" x14ac:dyDescent="0.2">
      <c r="F2547" s="70"/>
    </row>
    <row r="2548" spans="6:6" x14ac:dyDescent="0.2">
      <c r="F2548" s="70"/>
    </row>
    <row r="2549" spans="6:6" x14ac:dyDescent="0.2">
      <c r="F2549" s="70"/>
    </row>
    <row r="2550" spans="6:6" x14ac:dyDescent="0.2">
      <c r="F2550" s="70"/>
    </row>
    <row r="2551" spans="6:6" x14ac:dyDescent="0.2">
      <c r="F2551" s="70"/>
    </row>
    <row r="2552" spans="6:6" x14ac:dyDescent="0.2">
      <c r="F2552" s="70"/>
    </row>
    <row r="2553" spans="6:6" x14ac:dyDescent="0.2">
      <c r="F2553" s="70"/>
    </row>
    <row r="2554" spans="6:6" x14ac:dyDescent="0.2">
      <c r="F2554" s="70"/>
    </row>
    <row r="2555" spans="6:6" x14ac:dyDescent="0.2">
      <c r="F2555" s="70"/>
    </row>
    <row r="2556" spans="6:6" x14ac:dyDescent="0.2">
      <c r="F2556" s="70"/>
    </row>
    <row r="2557" spans="6:6" x14ac:dyDescent="0.2">
      <c r="F2557" s="70"/>
    </row>
    <row r="2558" spans="6:6" x14ac:dyDescent="0.2">
      <c r="F2558" s="70"/>
    </row>
    <row r="2559" spans="6:6" x14ac:dyDescent="0.2">
      <c r="F2559" s="70"/>
    </row>
    <row r="2560" spans="6:6" x14ac:dyDescent="0.2">
      <c r="F2560" s="70"/>
    </row>
    <row r="2561" spans="6:6" x14ac:dyDescent="0.2">
      <c r="F2561" s="70"/>
    </row>
    <row r="2562" spans="6:6" x14ac:dyDescent="0.2">
      <c r="F2562" s="70"/>
    </row>
    <row r="2563" spans="6:6" x14ac:dyDescent="0.2">
      <c r="F2563" s="70"/>
    </row>
    <row r="2564" spans="6:6" x14ac:dyDescent="0.2">
      <c r="F2564" s="70"/>
    </row>
    <row r="2565" spans="6:6" x14ac:dyDescent="0.2">
      <c r="F2565" s="70"/>
    </row>
    <row r="2566" spans="6:6" x14ac:dyDescent="0.2">
      <c r="F2566" s="70"/>
    </row>
    <row r="2567" spans="6:6" x14ac:dyDescent="0.2">
      <c r="F2567" s="70"/>
    </row>
    <row r="2568" spans="6:6" x14ac:dyDescent="0.2">
      <c r="F2568" s="70"/>
    </row>
    <row r="2569" spans="6:6" x14ac:dyDescent="0.2">
      <c r="F2569" s="70"/>
    </row>
    <row r="2570" spans="6:6" x14ac:dyDescent="0.2">
      <c r="F2570" s="70"/>
    </row>
    <row r="2571" spans="6:6" x14ac:dyDescent="0.2">
      <c r="F2571" s="70"/>
    </row>
    <row r="2572" spans="6:6" x14ac:dyDescent="0.2">
      <c r="F2572" s="70"/>
    </row>
    <row r="2573" spans="6:6" x14ac:dyDescent="0.2">
      <c r="F2573" s="70"/>
    </row>
    <row r="2574" spans="6:6" x14ac:dyDescent="0.2">
      <c r="F2574" s="70"/>
    </row>
    <row r="2575" spans="6:6" x14ac:dyDescent="0.2">
      <c r="F2575" s="70"/>
    </row>
    <row r="2576" spans="6:6" x14ac:dyDescent="0.2">
      <c r="F2576" s="70"/>
    </row>
    <row r="2577" spans="6:6" x14ac:dyDescent="0.2">
      <c r="F2577" s="70"/>
    </row>
    <row r="2578" spans="6:6" x14ac:dyDescent="0.2">
      <c r="F2578" s="70"/>
    </row>
    <row r="2579" spans="6:6" x14ac:dyDescent="0.2">
      <c r="F2579" s="70"/>
    </row>
    <row r="2580" spans="6:6" x14ac:dyDescent="0.2">
      <c r="F2580" s="70"/>
    </row>
    <row r="2581" spans="6:6" x14ac:dyDescent="0.2">
      <c r="F2581" s="70"/>
    </row>
    <row r="2582" spans="6:6" x14ac:dyDescent="0.2">
      <c r="F2582" s="70"/>
    </row>
    <row r="2583" spans="6:6" x14ac:dyDescent="0.2">
      <c r="F2583" s="70"/>
    </row>
    <row r="2584" spans="6:6" x14ac:dyDescent="0.2">
      <c r="F2584" s="70"/>
    </row>
    <row r="2585" spans="6:6" x14ac:dyDescent="0.2">
      <c r="F2585" s="70"/>
    </row>
    <row r="2586" spans="6:6" x14ac:dyDescent="0.2">
      <c r="F2586" s="70"/>
    </row>
    <row r="2587" spans="6:6" x14ac:dyDescent="0.2">
      <c r="F2587" s="70"/>
    </row>
    <row r="2588" spans="6:6" x14ac:dyDescent="0.2">
      <c r="F2588" s="70"/>
    </row>
    <row r="2589" spans="6:6" x14ac:dyDescent="0.2">
      <c r="F2589" s="70"/>
    </row>
    <row r="2590" spans="6:6" x14ac:dyDescent="0.2">
      <c r="F2590" s="70"/>
    </row>
    <row r="2591" spans="6:6" x14ac:dyDescent="0.2">
      <c r="F2591" s="70"/>
    </row>
    <row r="2592" spans="6:6" x14ac:dyDescent="0.2">
      <c r="F2592" s="70"/>
    </row>
    <row r="2593" spans="6:6" x14ac:dyDescent="0.2">
      <c r="F2593" s="70"/>
    </row>
    <row r="2594" spans="6:6" x14ac:dyDescent="0.2">
      <c r="F2594" s="70"/>
    </row>
    <row r="2595" spans="6:6" x14ac:dyDescent="0.2">
      <c r="F2595" s="70"/>
    </row>
    <row r="2596" spans="6:6" x14ac:dyDescent="0.2">
      <c r="F2596" s="70"/>
    </row>
    <row r="2597" spans="6:6" x14ac:dyDescent="0.2">
      <c r="F2597" s="70"/>
    </row>
    <row r="2598" spans="6:6" x14ac:dyDescent="0.2">
      <c r="F2598" s="70"/>
    </row>
    <row r="2599" spans="6:6" x14ac:dyDescent="0.2">
      <c r="F2599" s="70"/>
    </row>
    <row r="2600" spans="6:6" x14ac:dyDescent="0.2">
      <c r="F2600" s="70"/>
    </row>
    <row r="2601" spans="6:6" x14ac:dyDescent="0.2">
      <c r="F2601" s="70"/>
    </row>
    <row r="2602" spans="6:6" x14ac:dyDescent="0.2">
      <c r="F2602" s="70"/>
    </row>
    <row r="2603" spans="6:6" x14ac:dyDescent="0.2">
      <c r="F2603" s="70"/>
    </row>
    <row r="2604" spans="6:6" x14ac:dyDescent="0.2">
      <c r="F2604" s="70"/>
    </row>
    <row r="2605" spans="6:6" x14ac:dyDescent="0.2">
      <c r="F2605" s="70"/>
    </row>
    <row r="2606" spans="6:6" x14ac:dyDescent="0.2">
      <c r="F2606" s="70"/>
    </row>
    <row r="2607" spans="6:6" x14ac:dyDescent="0.2">
      <c r="F2607" s="70"/>
    </row>
    <row r="2608" spans="6:6" x14ac:dyDescent="0.2">
      <c r="F2608" s="70"/>
    </row>
    <row r="2609" spans="6:6" x14ac:dyDescent="0.2">
      <c r="F2609" s="70"/>
    </row>
    <row r="2610" spans="6:6" x14ac:dyDescent="0.2">
      <c r="F2610" s="70"/>
    </row>
    <row r="2611" spans="6:6" x14ac:dyDescent="0.2">
      <c r="F2611" s="70"/>
    </row>
    <row r="2612" spans="6:6" x14ac:dyDescent="0.2">
      <c r="F2612" s="70"/>
    </row>
    <row r="2613" spans="6:6" x14ac:dyDescent="0.2">
      <c r="F2613" s="70"/>
    </row>
    <row r="2614" spans="6:6" x14ac:dyDescent="0.2">
      <c r="F2614" s="70"/>
    </row>
    <row r="2615" spans="6:6" x14ac:dyDescent="0.2">
      <c r="F2615" s="70"/>
    </row>
    <row r="2616" spans="6:6" x14ac:dyDescent="0.2">
      <c r="F2616" s="70"/>
    </row>
    <row r="2617" spans="6:6" x14ac:dyDescent="0.2">
      <c r="F2617" s="70"/>
    </row>
    <row r="2618" spans="6:6" x14ac:dyDescent="0.2">
      <c r="F2618" s="70"/>
    </row>
    <row r="2619" spans="6:6" x14ac:dyDescent="0.2">
      <c r="F2619" s="70"/>
    </row>
    <row r="2620" spans="6:6" x14ac:dyDescent="0.2">
      <c r="F2620" s="70"/>
    </row>
    <row r="2621" spans="6:6" x14ac:dyDescent="0.2">
      <c r="F2621" s="70"/>
    </row>
    <row r="2622" spans="6:6" x14ac:dyDescent="0.2">
      <c r="F2622" s="70"/>
    </row>
    <row r="2623" spans="6:6" x14ac:dyDescent="0.2">
      <c r="F2623" s="70"/>
    </row>
    <row r="2624" spans="6:6" x14ac:dyDescent="0.2">
      <c r="F2624" s="70"/>
    </row>
    <row r="2625" spans="6:6" x14ac:dyDescent="0.2">
      <c r="F2625" s="70"/>
    </row>
    <row r="2626" spans="6:6" x14ac:dyDescent="0.2">
      <c r="F2626" s="70"/>
    </row>
    <row r="2627" spans="6:6" x14ac:dyDescent="0.2">
      <c r="F2627" s="70"/>
    </row>
    <row r="2628" spans="6:6" x14ac:dyDescent="0.2">
      <c r="F2628" s="70"/>
    </row>
    <row r="2629" spans="6:6" x14ac:dyDescent="0.2">
      <c r="F2629" s="70"/>
    </row>
    <row r="2630" spans="6:6" x14ac:dyDescent="0.2">
      <c r="F2630" s="70"/>
    </row>
    <row r="2631" spans="6:6" x14ac:dyDescent="0.2">
      <c r="F2631" s="70"/>
    </row>
    <row r="2632" spans="6:6" x14ac:dyDescent="0.2">
      <c r="F2632" s="70"/>
    </row>
    <row r="2633" spans="6:6" x14ac:dyDescent="0.2">
      <c r="F2633" s="70"/>
    </row>
    <row r="2634" spans="6:6" x14ac:dyDescent="0.2">
      <c r="F2634" s="70"/>
    </row>
    <row r="2635" spans="6:6" x14ac:dyDescent="0.2">
      <c r="F2635" s="70"/>
    </row>
    <row r="2636" spans="6:6" x14ac:dyDescent="0.2">
      <c r="F2636" s="70"/>
    </row>
    <row r="2637" spans="6:6" x14ac:dyDescent="0.2">
      <c r="F2637" s="70"/>
    </row>
    <row r="2638" spans="6:6" x14ac:dyDescent="0.2">
      <c r="F2638" s="70"/>
    </row>
    <row r="2639" spans="6:6" x14ac:dyDescent="0.2">
      <c r="F2639" s="70"/>
    </row>
    <row r="2640" spans="6:6" x14ac:dyDescent="0.2">
      <c r="F2640" s="70"/>
    </row>
    <row r="2641" spans="6:6" x14ac:dyDescent="0.2">
      <c r="F2641" s="70"/>
    </row>
    <row r="2642" spans="6:6" x14ac:dyDescent="0.2">
      <c r="F2642" s="70"/>
    </row>
    <row r="2643" spans="6:6" x14ac:dyDescent="0.2">
      <c r="F2643" s="70"/>
    </row>
    <row r="2644" spans="6:6" x14ac:dyDescent="0.2">
      <c r="F2644" s="70"/>
    </row>
    <row r="2645" spans="6:6" x14ac:dyDescent="0.2">
      <c r="F2645" s="70"/>
    </row>
    <row r="2646" spans="6:6" x14ac:dyDescent="0.2">
      <c r="F2646" s="70"/>
    </row>
    <row r="2647" spans="6:6" x14ac:dyDescent="0.2">
      <c r="F2647" s="70"/>
    </row>
    <row r="2648" spans="6:6" x14ac:dyDescent="0.2">
      <c r="F2648" s="70"/>
    </row>
    <row r="2649" spans="6:6" x14ac:dyDescent="0.2">
      <c r="F2649" s="70"/>
    </row>
    <row r="2650" spans="6:6" x14ac:dyDescent="0.2">
      <c r="F2650" s="70"/>
    </row>
    <row r="2651" spans="6:6" x14ac:dyDescent="0.2">
      <c r="F2651" s="70"/>
    </row>
    <row r="2652" spans="6:6" x14ac:dyDescent="0.2">
      <c r="F2652" s="70"/>
    </row>
    <row r="2653" spans="6:6" x14ac:dyDescent="0.2">
      <c r="F2653" s="70"/>
    </row>
    <row r="2654" spans="6:6" x14ac:dyDescent="0.2">
      <c r="F2654" s="70"/>
    </row>
    <row r="2655" spans="6:6" x14ac:dyDescent="0.2">
      <c r="F2655" s="70"/>
    </row>
    <row r="2656" spans="6:6" x14ac:dyDescent="0.2">
      <c r="F2656" s="70"/>
    </row>
    <row r="2657" spans="6:6" x14ac:dyDescent="0.2">
      <c r="F2657" s="70"/>
    </row>
    <row r="2658" spans="6:6" x14ac:dyDescent="0.2">
      <c r="F2658" s="70"/>
    </row>
    <row r="2659" spans="6:6" x14ac:dyDescent="0.2">
      <c r="F2659" s="70"/>
    </row>
    <row r="2660" spans="6:6" x14ac:dyDescent="0.2">
      <c r="F2660" s="70"/>
    </row>
    <row r="2661" spans="6:6" x14ac:dyDescent="0.2">
      <c r="F2661" s="70"/>
    </row>
    <row r="2662" spans="6:6" x14ac:dyDescent="0.2">
      <c r="F2662" s="70"/>
    </row>
    <row r="2663" spans="6:6" x14ac:dyDescent="0.2">
      <c r="F2663" s="70"/>
    </row>
    <row r="2664" spans="6:6" x14ac:dyDescent="0.2">
      <c r="F2664" s="70"/>
    </row>
    <row r="2665" spans="6:6" x14ac:dyDescent="0.2">
      <c r="F2665" s="70"/>
    </row>
    <row r="2666" spans="6:6" x14ac:dyDescent="0.2">
      <c r="F2666" s="70"/>
    </row>
    <row r="2667" spans="6:6" x14ac:dyDescent="0.2">
      <c r="F2667" s="70"/>
    </row>
    <row r="2668" spans="6:6" x14ac:dyDescent="0.2">
      <c r="F2668" s="70"/>
    </row>
    <row r="2669" spans="6:6" x14ac:dyDescent="0.2">
      <c r="F2669" s="70"/>
    </row>
    <row r="2670" spans="6:6" x14ac:dyDescent="0.2">
      <c r="F2670" s="70"/>
    </row>
    <row r="2671" spans="6:6" x14ac:dyDescent="0.2">
      <c r="F2671" s="70"/>
    </row>
    <row r="2672" spans="6:6" x14ac:dyDescent="0.2">
      <c r="F2672" s="70"/>
    </row>
    <row r="2673" spans="6:6" x14ac:dyDescent="0.2">
      <c r="F2673" s="70"/>
    </row>
    <row r="2674" spans="6:6" x14ac:dyDescent="0.2">
      <c r="F2674" s="70"/>
    </row>
    <row r="2675" spans="6:6" x14ac:dyDescent="0.2">
      <c r="F2675" s="70"/>
    </row>
    <row r="2676" spans="6:6" x14ac:dyDescent="0.2">
      <c r="F2676" s="70"/>
    </row>
    <row r="2677" spans="6:6" x14ac:dyDescent="0.2">
      <c r="F2677" s="70"/>
    </row>
    <row r="2678" spans="6:6" x14ac:dyDescent="0.2">
      <c r="F2678" s="70"/>
    </row>
    <row r="2679" spans="6:6" x14ac:dyDescent="0.2">
      <c r="F2679" s="70"/>
    </row>
    <row r="2680" spans="6:6" x14ac:dyDescent="0.2">
      <c r="F2680" s="70"/>
    </row>
    <row r="2681" spans="6:6" x14ac:dyDescent="0.2">
      <c r="F2681" s="70"/>
    </row>
    <row r="2682" spans="6:6" x14ac:dyDescent="0.2">
      <c r="F2682" s="70"/>
    </row>
    <row r="2683" spans="6:6" x14ac:dyDescent="0.2">
      <c r="F2683" s="70"/>
    </row>
    <row r="2684" spans="6:6" x14ac:dyDescent="0.2">
      <c r="F2684" s="70"/>
    </row>
    <row r="2685" spans="6:6" x14ac:dyDescent="0.2">
      <c r="F2685" s="70"/>
    </row>
    <row r="2686" spans="6:6" x14ac:dyDescent="0.2">
      <c r="F2686" s="70"/>
    </row>
    <row r="2687" spans="6:6" x14ac:dyDescent="0.2">
      <c r="F2687" s="70"/>
    </row>
    <row r="2688" spans="6:6" x14ac:dyDescent="0.2">
      <c r="F2688" s="70"/>
    </row>
    <row r="2689" spans="6:6" x14ac:dyDescent="0.2">
      <c r="F2689" s="70"/>
    </row>
    <row r="2690" spans="6:6" x14ac:dyDescent="0.2">
      <c r="F2690" s="70"/>
    </row>
    <row r="2691" spans="6:6" x14ac:dyDescent="0.2">
      <c r="F2691" s="70"/>
    </row>
    <row r="2692" spans="6:6" x14ac:dyDescent="0.2">
      <c r="F2692" s="70"/>
    </row>
    <row r="2693" spans="6:6" x14ac:dyDescent="0.2">
      <c r="F2693" s="70"/>
    </row>
    <row r="2694" spans="6:6" x14ac:dyDescent="0.2">
      <c r="F2694" s="70"/>
    </row>
    <row r="2695" spans="6:6" x14ac:dyDescent="0.2">
      <c r="F2695" s="70"/>
    </row>
    <row r="2696" spans="6:6" x14ac:dyDescent="0.2">
      <c r="F2696" s="70"/>
    </row>
    <row r="2697" spans="6:6" x14ac:dyDescent="0.2">
      <c r="F2697" s="70"/>
    </row>
    <row r="2698" spans="6:6" x14ac:dyDescent="0.2">
      <c r="F2698" s="70"/>
    </row>
    <row r="2699" spans="6:6" x14ac:dyDescent="0.2">
      <c r="F2699" s="70"/>
    </row>
    <row r="2700" spans="6:6" x14ac:dyDescent="0.2">
      <c r="F2700" s="70"/>
    </row>
    <row r="2701" spans="6:6" x14ac:dyDescent="0.2">
      <c r="F2701" s="70"/>
    </row>
    <row r="2702" spans="6:6" x14ac:dyDescent="0.2">
      <c r="F2702" s="70"/>
    </row>
    <row r="2703" spans="6:6" x14ac:dyDescent="0.2">
      <c r="F2703" s="70"/>
    </row>
    <row r="2704" spans="6:6" x14ac:dyDescent="0.2">
      <c r="F2704" s="70"/>
    </row>
    <row r="2705" spans="6:6" x14ac:dyDescent="0.2">
      <c r="F2705" s="70"/>
    </row>
    <row r="2706" spans="6:6" x14ac:dyDescent="0.2">
      <c r="F2706" s="70"/>
    </row>
    <row r="2707" spans="6:6" x14ac:dyDescent="0.2">
      <c r="F2707" s="70"/>
    </row>
    <row r="2708" spans="6:6" x14ac:dyDescent="0.2">
      <c r="F2708" s="70"/>
    </row>
    <row r="2709" spans="6:6" x14ac:dyDescent="0.2">
      <c r="F2709" s="70"/>
    </row>
    <row r="2710" spans="6:6" x14ac:dyDescent="0.2">
      <c r="F2710" s="70"/>
    </row>
    <row r="2711" spans="6:6" x14ac:dyDescent="0.2">
      <c r="F2711" s="70"/>
    </row>
    <row r="2712" spans="6:6" x14ac:dyDescent="0.2">
      <c r="F2712" s="70"/>
    </row>
    <row r="2713" spans="6:6" x14ac:dyDescent="0.2">
      <c r="F2713" s="70"/>
    </row>
    <row r="2714" spans="6:6" x14ac:dyDescent="0.2">
      <c r="F2714" s="70"/>
    </row>
    <row r="2715" spans="6:6" x14ac:dyDescent="0.2">
      <c r="F2715" s="70"/>
    </row>
    <row r="2716" spans="6:6" x14ac:dyDescent="0.2">
      <c r="F2716" s="70"/>
    </row>
    <row r="2717" spans="6:6" x14ac:dyDescent="0.2">
      <c r="F2717" s="70"/>
    </row>
    <row r="2718" spans="6:6" x14ac:dyDescent="0.2">
      <c r="F2718" s="70"/>
    </row>
    <row r="2719" spans="6:6" x14ac:dyDescent="0.2">
      <c r="F2719" s="70"/>
    </row>
    <row r="2720" spans="6:6" x14ac:dyDescent="0.2">
      <c r="F2720" s="70"/>
    </row>
    <row r="2721" spans="6:6" x14ac:dyDescent="0.2">
      <c r="F2721" s="70"/>
    </row>
    <row r="2722" spans="6:6" x14ac:dyDescent="0.2">
      <c r="F2722" s="70"/>
    </row>
    <row r="2723" spans="6:6" x14ac:dyDescent="0.2">
      <c r="F2723" s="70"/>
    </row>
    <row r="2724" spans="6:6" x14ac:dyDescent="0.2">
      <c r="F2724" s="70"/>
    </row>
    <row r="2725" spans="6:6" x14ac:dyDescent="0.2">
      <c r="F2725" s="70"/>
    </row>
    <row r="2726" spans="6:6" x14ac:dyDescent="0.2">
      <c r="F2726" s="70"/>
    </row>
    <row r="2727" spans="6:6" x14ac:dyDescent="0.2">
      <c r="F2727" s="70"/>
    </row>
    <row r="2728" spans="6:6" x14ac:dyDescent="0.2">
      <c r="F2728" s="70"/>
    </row>
    <row r="2729" spans="6:6" x14ac:dyDescent="0.2">
      <c r="F2729" s="70"/>
    </row>
    <row r="2730" spans="6:6" x14ac:dyDescent="0.2">
      <c r="F2730" s="70"/>
    </row>
    <row r="2731" spans="6:6" x14ac:dyDescent="0.2">
      <c r="F2731" s="70"/>
    </row>
    <row r="2732" spans="6:6" x14ac:dyDescent="0.2">
      <c r="F2732" s="70"/>
    </row>
    <row r="2733" spans="6:6" x14ac:dyDescent="0.2">
      <c r="F2733" s="70"/>
    </row>
    <row r="2734" spans="6:6" x14ac:dyDescent="0.2">
      <c r="F2734" s="70"/>
    </row>
    <row r="2735" spans="6:6" x14ac:dyDescent="0.2">
      <c r="F2735" s="70"/>
    </row>
    <row r="2736" spans="6:6" x14ac:dyDescent="0.2">
      <c r="F2736" s="70"/>
    </row>
    <row r="2737" spans="6:6" x14ac:dyDescent="0.2">
      <c r="F2737" s="70"/>
    </row>
    <row r="2738" spans="6:6" x14ac:dyDescent="0.2">
      <c r="F2738" s="70"/>
    </row>
    <row r="2739" spans="6:6" x14ac:dyDescent="0.2">
      <c r="F2739" s="70"/>
    </row>
    <row r="2740" spans="6:6" x14ac:dyDescent="0.2">
      <c r="F2740" s="70"/>
    </row>
    <row r="2741" spans="6:6" x14ac:dyDescent="0.2">
      <c r="F2741" s="70"/>
    </row>
    <row r="2742" spans="6:6" x14ac:dyDescent="0.2">
      <c r="F2742" s="70"/>
    </row>
    <row r="2743" spans="6:6" x14ac:dyDescent="0.2">
      <c r="F2743" s="70"/>
    </row>
    <row r="2744" spans="6:6" x14ac:dyDescent="0.2">
      <c r="F2744" s="70"/>
    </row>
    <row r="2745" spans="6:6" x14ac:dyDescent="0.2">
      <c r="F2745" s="70"/>
    </row>
    <row r="2746" spans="6:6" x14ac:dyDescent="0.2">
      <c r="F2746" s="70"/>
    </row>
    <row r="2747" spans="6:6" x14ac:dyDescent="0.2">
      <c r="F2747" s="70"/>
    </row>
    <row r="2748" spans="6:6" x14ac:dyDescent="0.2">
      <c r="F2748" s="70"/>
    </row>
    <row r="2749" spans="6:6" x14ac:dyDescent="0.2">
      <c r="F2749" s="70"/>
    </row>
    <row r="2750" spans="6:6" x14ac:dyDescent="0.2">
      <c r="F2750" s="70"/>
    </row>
    <row r="2751" spans="6:6" x14ac:dyDescent="0.2">
      <c r="F2751" s="70"/>
    </row>
    <row r="2752" spans="6:6" x14ac:dyDescent="0.2">
      <c r="F2752" s="70"/>
    </row>
    <row r="2753" spans="6:6" x14ac:dyDescent="0.2">
      <c r="F2753" s="70"/>
    </row>
    <row r="2754" spans="6:6" x14ac:dyDescent="0.2">
      <c r="F2754" s="70"/>
    </row>
    <row r="2755" spans="6:6" x14ac:dyDescent="0.2">
      <c r="F2755" s="70"/>
    </row>
    <row r="2756" spans="6:6" x14ac:dyDescent="0.2">
      <c r="F2756" s="70"/>
    </row>
    <row r="2757" spans="6:6" x14ac:dyDescent="0.2">
      <c r="F2757" s="70"/>
    </row>
    <row r="2758" spans="6:6" x14ac:dyDescent="0.2">
      <c r="F2758" s="70"/>
    </row>
    <row r="2759" spans="6:6" x14ac:dyDescent="0.2">
      <c r="F2759" s="70"/>
    </row>
    <row r="2760" spans="6:6" x14ac:dyDescent="0.2">
      <c r="F2760" s="70"/>
    </row>
    <row r="2761" spans="6:6" x14ac:dyDescent="0.2">
      <c r="F2761" s="70"/>
    </row>
    <row r="2762" spans="6:6" x14ac:dyDescent="0.2">
      <c r="F2762" s="70"/>
    </row>
    <row r="2763" spans="6:6" x14ac:dyDescent="0.2">
      <c r="F2763" s="70"/>
    </row>
    <row r="2764" spans="6:6" x14ac:dyDescent="0.2">
      <c r="F2764" s="70"/>
    </row>
    <row r="2765" spans="6:6" x14ac:dyDescent="0.2">
      <c r="F2765" s="70"/>
    </row>
    <row r="2766" spans="6:6" x14ac:dyDescent="0.2">
      <c r="F2766" s="70"/>
    </row>
    <row r="2767" spans="6:6" x14ac:dyDescent="0.2">
      <c r="F2767" s="70"/>
    </row>
    <row r="2768" spans="6:6" x14ac:dyDescent="0.2">
      <c r="F2768" s="70"/>
    </row>
    <row r="2769" spans="6:6" x14ac:dyDescent="0.2">
      <c r="F2769" s="70"/>
    </row>
    <row r="2770" spans="6:6" x14ac:dyDescent="0.2">
      <c r="F2770" s="70"/>
    </row>
    <row r="2771" spans="6:6" x14ac:dyDescent="0.2">
      <c r="F2771" s="70"/>
    </row>
    <row r="2772" spans="6:6" x14ac:dyDescent="0.2">
      <c r="F2772" s="70"/>
    </row>
    <row r="2773" spans="6:6" x14ac:dyDescent="0.2">
      <c r="F2773" s="70"/>
    </row>
    <row r="2774" spans="6:6" x14ac:dyDescent="0.2">
      <c r="F2774" s="70"/>
    </row>
    <row r="2775" spans="6:6" x14ac:dyDescent="0.2">
      <c r="F2775" s="70"/>
    </row>
    <row r="2776" spans="6:6" x14ac:dyDescent="0.2">
      <c r="F2776" s="70"/>
    </row>
    <row r="2777" spans="6:6" x14ac:dyDescent="0.2">
      <c r="F2777" s="70"/>
    </row>
    <row r="2778" spans="6:6" x14ac:dyDescent="0.2">
      <c r="F2778" s="70"/>
    </row>
    <row r="2779" spans="6:6" x14ac:dyDescent="0.2">
      <c r="F2779" s="70"/>
    </row>
    <row r="2780" spans="6:6" x14ac:dyDescent="0.2">
      <c r="F2780" s="70"/>
    </row>
    <row r="2781" spans="6:6" x14ac:dyDescent="0.2">
      <c r="F2781" s="70"/>
    </row>
    <row r="2782" spans="6:6" x14ac:dyDescent="0.2">
      <c r="F2782" s="70"/>
    </row>
    <row r="2783" spans="6:6" x14ac:dyDescent="0.2">
      <c r="F2783" s="70"/>
    </row>
    <row r="2784" spans="6:6" x14ac:dyDescent="0.2">
      <c r="F2784" s="70"/>
    </row>
    <row r="2785" spans="6:6" x14ac:dyDescent="0.2">
      <c r="F2785" s="70"/>
    </row>
    <row r="2786" spans="6:6" x14ac:dyDescent="0.2">
      <c r="F2786" s="70"/>
    </row>
    <row r="2787" spans="6:6" x14ac:dyDescent="0.2">
      <c r="F2787" s="70"/>
    </row>
    <row r="2788" spans="6:6" x14ac:dyDescent="0.2">
      <c r="F2788" s="70"/>
    </row>
    <row r="2789" spans="6:6" x14ac:dyDescent="0.2">
      <c r="F2789" s="70"/>
    </row>
    <row r="2790" spans="6:6" x14ac:dyDescent="0.2">
      <c r="F2790" s="70"/>
    </row>
    <row r="2791" spans="6:6" x14ac:dyDescent="0.2">
      <c r="F2791" s="70"/>
    </row>
    <row r="2792" spans="6:6" x14ac:dyDescent="0.2">
      <c r="F2792" s="70"/>
    </row>
    <row r="2793" spans="6:6" x14ac:dyDescent="0.2">
      <c r="F2793" s="70"/>
    </row>
    <row r="2794" spans="6:6" x14ac:dyDescent="0.2">
      <c r="F2794" s="70"/>
    </row>
    <row r="2795" spans="6:6" x14ac:dyDescent="0.2">
      <c r="F2795" s="70"/>
    </row>
    <row r="2796" spans="6:6" x14ac:dyDescent="0.2">
      <c r="F2796" s="70"/>
    </row>
    <row r="2797" spans="6:6" x14ac:dyDescent="0.2">
      <c r="F2797" s="70"/>
    </row>
    <row r="2798" spans="6:6" x14ac:dyDescent="0.2">
      <c r="F2798" s="70"/>
    </row>
    <row r="2799" spans="6:6" x14ac:dyDescent="0.2">
      <c r="F2799" s="70"/>
    </row>
    <row r="2800" spans="6:6" x14ac:dyDescent="0.2">
      <c r="F2800" s="70"/>
    </row>
    <row r="2801" spans="6:6" x14ac:dyDescent="0.2">
      <c r="F2801" s="70"/>
    </row>
    <row r="2802" spans="6:6" x14ac:dyDescent="0.2">
      <c r="F2802" s="70"/>
    </row>
    <row r="2803" spans="6:6" x14ac:dyDescent="0.2">
      <c r="F2803" s="70"/>
    </row>
    <row r="2804" spans="6:6" x14ac:dyDescent="0.2">
      <c r="F2804" s="70"/>
    </row>
    <row r="2805" spans="6:6" x14ac:dyDescent="0.2">
      <c r="F2805" s="70"/>
    </row>
    <row r="2806" spans="6:6" x14ac:dyDescent="0.2">
      <c r="F2806" s="70"/>
    </row>
    <row r="2807" spans="6:6" x14ac:dyDescent="0.2">
      <c r="F2807" s="70"/>
    </row>
    <row r="2808" spans="6:6" x14ac:dyDescent="0.2">
      <c r="F2808" s="70"/>
    </row>
    <row r="2809" spans="6:6" x14ac:dyDescent="0.2">
      <c r="F2809" s="70"/>
    </row>
    <row r="2810" spans="6:6" x14ac:dyDescent="0.2">
      <c r="F2810" s="70"/>
    </row>
    <row r="2811" spans="6:6" x14ac:dyDescent="0.2">
      <c r="F2811" s="70"/>
    </row>
    <row r="2812" spans="6:6" x14ac:dyDescent="0.2">
      <c r="F2812" s="70"/>
    </row>
    <row r="2813" spans="6:6" x14ac:dyDescent="0.2">
      <c r="F2813" s="70"/>
    </row>
    <row r="2814" spans="6:6" x14ac:dyDescent="0.2">
      <c r="F2814" s="70"/>
    </row>
    <row r="2815" spans="6:6" x14ac:dyDescent="0.2">
      <c r="F2815" s="70"/>
    </row>
    <row r="2816" spans="6:6" x14ac:dyDescent="0.2">
      <c r="F2816" s="70"/>
    </row>
    <row r="2817" spans="6:6" x14ac:dyDescent="0.2">
      <c r="F2817" s="70"/>
    </row>
    <row r="2818" spans="6:6" x14ac:dyDescent="0.2">
      <c r="F2818" s="70"/>
    </row>
    <row r="2819" spans="6:6" x14ac:dyDescent="0.2">
      <c r="F2819" s="70"/>
    </row>
    <row r="2820" spans="6:6" x14ac:dyDescent="0.2">
      <c r="F2820" s="70"/>
    </row>
    <row r="2821" spans="6:6" x14ac:dyDescent="0.2">
      <c r="F2821" s="70"/>
    </row>
    <row r="2822" spans="6:6" x14ac:dyDescent="0.2">
      <c r="F2822" s="70"/>
    </row>
    <row r="2823" spans="6:6" x14ac:dyDescent="0.2">
      <c r="F2823" s="70"/>
    </row>
    <row r="2824" spans="6:6" x14ac:dyDescent="0.2">
      <c r="F2824" s="70"/>
    </row>
    <row r="2825" spans="6:6" x14ac:dyDescent="0.2">
      <c r="F2825" s="70"/>
    </row>
    <row r="2826" spans="6:6" x14ac:dyDescent="0.2">
      <c r="F2826" s="70"/>
    </row>
    <row r="2827" spans="6:6" x14ac:dyDescent="0.2">
      <c r="F2827" s="70"/>
    </row>
    <row r="2828" spans="6:6" x14ac:dyDescent="0.2">
      <c r="F2828" s="70"/>
    </row>
    <row r="2829" spans="6:6" x14ac:dyDescent="0.2">
      <c r="F2829" s="70"/>
    </row>
    <row r="2830" spans="6:6" x14ac:dyDescent="0.2">
      <c r="F2830" s="70"/>
    </row>
    <row r="2831" spans="6:6" x14ac:dyDescent="0.2">
      <c r="F2831" s="70"/>
    </row>
    <row r="2832" spans="6:6" x14ac:dyDescent="0.2">
      <c r="F2832" s="70"/>
    </row>
    <row r="2833" spans="6:6" x14ac:dyDescent="0.2">
      <c r="F2833" s="70"/>
    </row>
    <row r="2834" spans="6:6" x14ac:dyDescent="0.2">
      <c r="F2834" s="70"/>
    </row>
    <row r="2835" spans="6:6" x14ac:dyDescent="0.2">
      <c r="F2835" s="70"/>
    </row>
    <row r="2836" spans="6:6" x14ac:dyDescent="0.2">
      <c r="F2836" s="70"/>
    </row>
    <row r="2837" spans="6:6" x14ac:dyDescent="0.2">
      <c r="F2837" s="70"/>
    </row>
    <row r="2838" spans="6:6" x14ac:dyDescent="0.2">
      <c r="F2838" s="70"/>
    </row>
    <row r="2839" spans="6:6" x14ac:dyDescent="0.2">
      <c r="F2839" s="70"/>
    </row>
    <row r="2840" spans="6:6" x14ac:dyDescent="0.2">
      <c r="F2840" s="70"/>
    </row>
    <row r="2841" spans="6:6" x14ac:dyDescent="0.2">
      <c r="F2841" s="70"/>
    </row>
    <row r="2842" spans="6:6" x14ac:dyDescent="0.2">
      <c r="F2842" s="70"/>
    </row>
    <row r="2843" spans="6:6" x14ac:dyDescent="0.2">
      <c r="F2843" s="70"/>
    </row>
    <row r="2844" spans="6:6" x14ac:dyDescent="0.2">
      <c r="F2844" s="70"/>
    </row>
    <row r="2845" spans="6:6" x14ac:dyDescent="0.2">
      <c r="F2845" s="70"/>
    </row>
    <row r="2846" spans="6:6" x14ac:dyDescent="0.2">
      <c r="F2846" s="70"/>
    </row>
    <row r="2847" spans="6:6" x14ac:dyDescent="0.2">
      <c r="F2847" s="70"/>
    </row>
    <row r="2848" spans="6:6" x14ac:dyDescent="0.2">
      <c r="F2848" s="70"/>
    </row>
    <row r="2849" spans="6:6" x14ac:dyDescent="0.2">
      <c r="F2849" s="70"/>
    </row>
    <row r="2850" spans="6:6" x14ac:dyDescent="0.2">
      <c r="F2850" s="70"/>
    </row>
    <row r="2851" spans="6:6" x14ac:dyDescent="0.2">
      <c r="F2851" s="70"/>
    </row>
    <row r="2852" spans="6:6" x14ac:dyDescent="0.2">
      <c r="F2852" s="70"/>
    </row>
    <row r="2853" spans="6:6" x14ac:dyDescent="0.2">
      <c r="F2853" s="70"/>
    </row>
    <row r="2854" spans="6:6" x14ac:dyDescent="0.2">
      <c r="F2854" s="70"/>
    </row>
    <row r="2855" spans="6:6" x14ac:dyDescent="0.2">
      <c r="F2855" s="70"/>
    </row>
    <row r="2856" spans="6:6" x14ac:dyDescent="0.2">
      <c r="F2856" s="70"/>
    </row>
    <row r="2857" spans="6:6" x14ac:dyDescent="0.2">
      <c r="F2857" s="70"/>
    </row>
    <row r="2858" spans="6:6" x14ac:dyDescent="0.2">
      <c r="F2858" s="70"/>
    </row>
    <row r="2859" spans="6:6" x14ac:dyDescent="0.2">
      <c r="F2859" s="70"/>
    </row>
    <row r="2860" spans="6:6" x14ac:dyDescent="0.2">
      <c r="F2860" s="70"/>
    </row>
    <row r="2861" spans="6:6" x14ac:dyDescent="0.2">
      <c r="F2861" s="70"/>
    </row>
    <row r="2862" spans="6:6" x14ac:dyDescent="0.2">
      <c r="F2862" s="70"/>
    </row>
    <row r="2863" spans="6:6" x14ac:dyDescent="0.2">
      <c r="F2863" s="70"/>
    </row>
    <row r="2864" spans="6:6" x14ac:dyDescent="0.2">
      <c r="F2864" s="70"/>
    </row>
    <row r="2865" spans="6:6" x14ac:dyDescent="0.2">
      <c r="F2865" s="70"/>
    </row>
    <row r="2866" spans="6:6" x14ac:dyDescent="0.2">
      <c r="F2866" s="70"/>
    </row>
    <row r="2867" spans="6:6" x14ac:dyDescent="0.2">
      <c r="F2867" s="70"/>
    </row>
    <row r="2868" spans="6:6" x14ac:dyDescent="0.2">
      <c r="F2868" s="70"/>
    </row>
    <row r="2869" spans="6:6" x14ac:dyDescent="0.2">
      <c r="F2869" s="70"/>
    </row>
    <row r="2870" spans="6:6" x14ac:dyDescent="0.2">
      <c r="F2870" s="70"/>
    </row>
    <row r="2871" spans="6:6" x14ac:dyDescent="0.2">
      <c r="F2871" s="70"/>
    </row>
    <row r="2872" spans="6:6" x14ac:dyDescent="0.2">
      <c r="F2872" s="70"/>
    </row>
    <row r="2873" spans="6:6" x14ac:dyDescent="0.2">
      <c r="F2873" s="70"/>
    </row>
    <row r="2874" spans="6:6" x14ac:dyDescent="0.2">
      <c r="F2874" s="70"/>
    </row>
    <row r="2875" spans="6:6" x14ac:dyDescent="0.2">
      <c r="F2875" s="70"/>
    </row>
    <row r="2876" spans="6:6" x14ac:dyDescent="0.2">
      <c r="F2876" s="70"/>
    </row>
    <row r="2877" spans="6:6" x14ac:dyDescent="0.2">
      <c r="F2877" s="70"/>
    </row>
    <row r="2878" spans="6:6" x14ac:dyDescent="0.2">
      <c r="F2878" s="70"/>
    </row>
    <row r="2879" spans="6:6" x14ac:dyDescent="0.2">
      <c r="F2879" s="70"/>
    </row>
    <row r="2880" spans="6:6" x14ac:dyDescent="0.2">
      <c r="F2880" s="70"/>
    </row>
    <row r="2881" spans="6:6" x14ac:dyDescent="0.2">
      <c r="F2881" s="70"/>
    </row>
    <row r="2882" spans="6:6" x14ac:dyDescent="0.2">
      <c r="F2882" s="70"/>
    </row>
    <row r="2883" spans="6:6" x14ac:dyDescent="0.2">
      <c r="F2883" s="70"/>
    </row>
    <row r="2884" spans="6:6" x14ac:dyDescent="0.2">
      <c r="F2884" s="70"/>
    </row>
    <row r="2885" spans="6:6" x14ac:dyDescent="0.2">
      <c r="F2885" s="70"/>
    </row>
    <row r="2886" spans="6:6" x14ac:dyDescent="0.2">
      <c r="F2886" s="70"/>
    </row>
    <row r="2887" spans="6:6" x14ac:dyDescent="0.2">
      <c r="F2887" s="70"/>
    </row>
    <row r="2888" spans="6:6" x14ac:dyDescent="0.2">
      <c r="F2888" s="70"/>
    </row>
    <row r="2889" spans="6:6" x14ac:dyDescent="0.2">
      <c r="F2889" s="70"/>
    </row>
    <row r="2890" spans="6:6" x14ac:dyDescent="0.2">
      <c r="F2890" s="70"/>
    </row>
    <row r="2891" spans="6:6" x14ac:dyDescent="0.2">
      <c r="F2891" s="70"/>
    </row>
    <row r="2892" spans="6:6" x14ac:dyDescent="0.2">
      <c r="F2892" s="70"/>
    </row>
    <row r="2893" spans="6:6" x14ac:dyDescent="0.2">
      <c r="F2893" s="70"/>
    </row>
    <row r="2894" spans="6:6" x14ac:dyDescent="0.2">
      <c r="F2894" s="70"/>
    </row>
    <row r="2895" spans="6:6" x14ac:dyDescent="0.2">
      <c r="F2895" s="70"/>
    </row>
    <row r="2896" spans="6:6" x14ac:dyDescent="0.2">
      <c r="F2896" s="70"/>
    </row>
    <row r="2897" spans="6:6" x14ac:dyDescent="0.2">
      <c r="F2897" s="70"/>
    </row>
    <row r="2898" spans="6:6" x14ac:dyDescent="0.2">
      <c r="F2898" s="70"/>
    </row>
    <row r="2899" spans="6:6" x14ac:dyDescent="0.2">
      <c r="F2899" s="70"/>
    </row>
    <row r="2900" spans="6:6" x14ac:dyDescent="0.2">
      <c r="F2900" s="70"/>
    </row>
    <row r="2901" spans="6:6" x14ac:dyDescent="0.2">
      <c r="F2901" s="70"/>
    </row>
    <row r="2902" spans="6:6" x14ac:dyDescent="0.2">
      <c r="F2902" s="70"/>
    </row>
    <row r="2903" spans="6:6" x14ac:dyDescent="0.2">
      <c r="F2903" s="70"/>
    </row>
    <row r="2904" spans="6:6" x14ac:dyDescent="0.2">
      <c r="F2904" s="70"/>
    </row>
    <row r="2905" spans="6:6" x14ac:dyDescent="0.2">
      <c r="F2905" s="70"/>
    </row>
    <row r="2906" spans="6:6" x14ac:dyDescent="0.2">
      <c r="F2906" s="70"/>
    </row>
    <row r="2907" spans="6:6" x14ac:dyDescent="0.2">
      <c r="F2907" s="70"/>
    </row>
    <row r="2908" spans="6:6" x14ac:dyDescent="0.2">
      <c r="F2908" s="70"/>
    </row>
    <row r="2909" spans="6:6" x14ac:dyDescent="0.2">
      <c r="F2909" s="70"/>
    </row>
    <row r="2910" spans="6:6" x14ac:dyDescent="0.2">
      <c r="F2910" s="70"/>
    </row>
    <row r="2911" spans="6:6" x14ac:dyDescent="0.2">
      <c r="F2911" s="70"/>
    </row>
    <row r="2912" spans="6:6" x14ac:dyDescent="0.2">
      <c r="F2912" s="70"/>
    </row>
    <row r="2913" spans="6:6" x14ac:dyDescent="0.2">
      <c r="F2913" s="70"/>
    </row>
    <row r="2914" spans="6:6" x14ac:dyDescent="0.2">
      <c r="F2914" s="70"/>
    </row>
    <row r="2915" spans="6:6" x14ac:dyDescent="0.2">
      <c r="F2915" s="70"/>
    </row>
    <row r="2916" spans="6:6" x14ac:dyDescent="0.2">
      <c r="F2916" s="70"/>
    </row>
    <row r="2917" spans="6:6" x14ac:dyDescent="0.2">
      <c r="F2917" s="70"/>
    </row>
    <row r="2918" spans="6:6" x14ac:dyDescent="0.2">
      <c r="F2918" s="70"/>
    </row>
    <row r="2919" spans="6:6" x14ac:dyDescent="0.2">
      <c r="F2919" s="70"/>
    </row>
    <row r="2920" spans="6:6" x14ac:dyDescent="0.2">
      <c r="F2920" s="70"/>
    </row>
    <row r="2921" spans="6:6" x14ac:dyDescent="0.2">
      <c r="F2921" s="70"/>
    </row>
    <row r="2922" spans="6:6" x14ac:dyDescent="0.2">
      <c r="F2922" s="70"/>
    </row>
    <row r="2923" spans="6:6" x14ac:dyDescent="0.2">
      <c r="F2923" s="70"/>
    </row>
    <row r="2924" spans="6:6" x14ac:dyDescent="0.2">
      <c r="F2924" s="70"/>
    </row>
    <row r="2925" spans="6:6" x14ac:dyDescent="0.2">
      <c r="F2925" s="70"/>
    </row>
    <row r="2926" spans="6:6" x14ac:dyDescent="0.2">
      <c r="F2926" s="70"/>
    </row>
    <row r="2927" spans="6:6" x14ac:dyDescent="0.2">
      <c r="F2927" s="70"/>
    </row>
    <row r="2928" spans="6:6" x14ac:dyDescent="0.2">
      <c r="F2928" s="70"/>
    </row>
    <row r="2929" spans="6:6" x14ac:dyDescent="0.2">
      <c r="F2929" s="70"/>
    </row>
    <row r="2930" spans="6:6" x14ac:dyDescent="0.2">
      <c r="F2930" s="70"/>
    </row>
    <row r="2931" spans="6:6" x14ac:dyDescent="0.2">
      <c r="F2931" s="70"/>
    </row>
    <row r="2932" spans="6:6" x14ac:dyDescent="0.2">
      <c r="F2932" s="70"/>
    </row>
    <row r="2933" spans="6:6" x14ac:dyDescent="0.2">
      <c r="F2933" s="70"/>
    </row>
    <row r="2934" spans="6:6" x14ac:dyDescent="0.2">
      <c r="F2934" s="70"/>
    </row>
    <row r="2935" spans="6:6" x14ac:dyDescent="0.2">
      <c r="F2935" s="70"/>
    </row>
    <row r="2936" spans="6:6" x14ac:dyDescent="0.2">
      <c r="F2936" s="70"/>
    </row>
    <row r="2937" spans="6:6" x14ac:dyDescent="0.2">
      <c r="F2937" s="70"/>
    </row>
    <row r="2938" spans="6:6" x14ac:dyDescent="0.2">
      <c r="F2938" s="70"/>
    </row>
    <row r="2939" spans="6:6" x14ac:dyDescent="0.2">
      <c r="F2939" s="70"/>
    </row>
    <row r="2940" spans="6:6" x14ac:dyDescent="0.2">
      <c r="F2940" s="70"/>
    </row>
    <row r="2941" spans="6:6" x14ac:dyDescent="0.2">
      <c r="F2941" s="70"/>
    </row>
    <row r="2942" spans="6:6" x14ac:dyDescent="0.2">
      <c r="F2942" s="70"/>
    </row>
    <row r="2943" spans="6:6" x14ac:dyDescent="0.2">
      <c r="F2943" s="70"/>
    </row>
    <row r="2944" spans="6:6" x14ac:dyDescent="0.2">
      <c r="F2944" s="70"/>
    </row>
    <row r="2945" spans="6:6" x14ac:dyDescent="0.2">
      <c r="F2945" s="70"/>
    </row>
    <row r="2946" spans="6:6" x14ac:dyDescent="0.2">
      <c r="F2946" s="70"/>
    </row>
    <row r="2947" spans="6:6" x14ac:dyDescent="0.2">
      <c r="F2947" s="70"/>
    </row>
    <row r="2948" spans="6:6" x14ac:dyDescent="0.2">
      <c r="F2948" s="70"/>
    </row>
    <row r="2949" spans="6:6" x14ac:dyDescent="0.2">
      <c r="F2949" s="70"/>
    </row>
    <row r="2950" spans="6:6" x14ac:dyDescent="0.2">
      <c r="F2950" s="70"/>
    </row>
    <row r="2951" spans="6:6" x14ac:dyDescent="0.2">
      <c r="F2951" s="70"/>
    </row>
    <row r="2952" spans="6:6" x14ac:dyDescent="0.2">
      <c r="F2952" s="70"/>
    </row>
    <row r="2953" spans="6:6" x14ac:dyDescent="0.2">
      <c r="F2953" s="70"/>
    </row>
    <row r="2954" spans="6:6" x14ac:dyDescent="0.2">
      <c r="F2954" s="70"/>
    </row>
    <row r="2955" spans="6:6" x14ac:dyDescent="0.2">
      <c r="F2955" s="70"/>
    </row>
    <row r="2956" spans="6:6" x14ac:dyDescent="0.2">
      <c r="F2956" s="70"/>
    </row>
    <row r="2957" spans="6:6" x14ac:dyDescent="0.2">
      <c r="F2957" s="70"/>
    </row>
    <row r="2958" spans="6:6" x14ac:dyDescent="0.2">
      <c r="F2958" s="70"/>
    </row>
    <row r="2959" spans="6:6" x14ac:dyDescent="0.2">
      <c r="F2959" s="70"/>
    </row>
    <row r="2960" spans="6:6" x14ac:dyDescent="0.2">
      <c r="F2960" s="70"/>
    </row>
    <row r="2961" spans="6:6" x14ac:dyDescent="0.2">
      <c r="F2961" s="70"/>
    </row>
    <row r="2962" spans="6:6" x14ac:dyDescent="0.2">
      <c r="F2962" s="70"/>
    </row>
    <row r="2963" spans="6:6" x14ac:dyDescent="0.2">
      <c r="F2963" s="70"/>
    </row>
    <row r="2964" spans="6:6" x14ac:dyDescent="0.2">
      <c r="F2964" s="70"/>
    </row>
    <row r="2965" spans="6:6" x14ac:dyDescent="0.2">
      <c r="F2965" s="70"/>
    </row>
    <row r="2966" spans="6:6" x14ac:dyDescent="0.2">
      <c r="F2966" s="70"/>
    </row>
    <row r="2967" spans="6:6" x14ac:dyDescent="0.2">
      <c r="F2967" s="70"/>
    </row>
    <row r="2968" spans="6:6" x14ac:dyDescent="0.2">
      <c r="F2968" s="70"/>
    </row>
    <row r="2969" spans="6:6" x14ac:dyDescent="0.2">
      <c r="F2969" s="70"/>
    </row>
    <row r="2970" spans="6:6" x14ac:dyDescent="0.2">
      <c r="F2970" s="70"/>
    </row>
    <row r="2971" spans="6:6" x14ac:dyDescent="0.2">
      <c r="F2971" s="70"/>
    </row>
    <row r="2972" spans="6:6" x14ac:dyDescent="0.2">
      <c r="F2972" s="70"/>
    </row>
    <row r="2973" spans="6:6" x14ac:dyDescent="0.2">
      <c r="F2973" s="70"/>
    </row>
    <row r="2974" spans="6:6" x14ac:dyDescent="0.2">
      <c r="F2974" s="70"/>
    </row>
    <row r="2975" spans="6:6" x14ac:dyDescent="0.2">
      <c r="F2975" s="70"/>
    </row>
    <row r="2976" spans="6:6" x14ac:dyDescent="0.2">
      <c r="F2976" s="70"/>
    </row>
    <row r="2977" spans="6:6" x14ac:dyDescent="0.2">
      <c r="F2977" s="70"/>
    </row>
    <row r="2978" spans="6:6" x14ac:dyDescent="0.2">
      <c r="F2978" s="70"/>
    </row>
    <row r="2979" spans="6:6" x14ac:dyDescent="0.2">
      <c r="F2979" s="70"/>
    </row>
    <row r="2980" spans="6:6" x14ac:dyDescent="0.2">
      <c r="F2980" s="70"/>
    </row>
    <row r="2981" spans="6:6" x14ac:dyDescent="0.2">
      <c r="F2981" s="70"/>
    </row>
    <row r="2982" spans="6:6" x14ac:dyDescent="0.2">
      <c r="F2982" s="70"/>
    </row>
    <row r="2983" spans="6:6" x14ac:dyDescent="0.2">
      <c r="F2983" s="70"/>
    </row>
    <row r="2984" spans="6:6" x14ac:dyDescent="0.2">
      <c r="F2984" s="70"/>
    </row>
    <row r="2985" spans="6:6" x14ac:dyDescent="0.2">
      <c r="F2985" s="70"/>
    </row>
    <row r="2986" spans="6:6" x14ac:dyDescent="0.2">
      <c r="F2986" s="70"/>
    </row>
    <row r="2987" spans="6:6" x14ac:dyDescent="0.2">
      <c r="F2987" s="70"/>
    </row>
    <row r="2988" spans="6:6" x14ac:dyDescent="0.2">
      <c r="F2988" s="70"/>
    </row>
    <row r="2989" spans="6:6" x14ac:dyDescent="0.2">
      <c r="F2989" s="70"/>
    </row>
    <row r="2990" spans="6:6" x14ac:dyDescent="0.2">
      <c r="F2990" s="70"/>
    </row>
    <row r="2991" spans="6:6" x14ac:dyDescent="0.2">
      <c r="F2991" s="70"/>
    </row>
    <row r="2992" spans="6:6" x14ac:dyDescent="0.2">
      <c r="F2992" s="70"/>
    </row>
    <row r="2993" spans="6:6" x14ac:dyDescent="0.2">
      <c r="F2993" s="70"/>
    </row>
    <row r="2994" spans="6:6" x14ac:dyDescent="0.2">
      <c r="F2994" s="70"/>
    </row>
    <row r="2995" spans="6:6" x14ac:dyDescent="0.2">
      <c r="F2995" s="70"/>
    </row>
    <row r="2996" spans="6:6" x14ac:dyDescent="0.2">
      <c r="F2996" s="70"/>
    </row>
    <row r="2997" spans="6:6" x14ac:dyDescent="0.2">
      <c r="F2997" s="70"/>
    </row>
    <row r="2998" spans="6:6" x14ac:dyDescent="0.2">
      <c r="F2998" s="70"/>
    </row>
    <row r="2999" spans="6:6" x14ac:dyDescent="0.2">
      <c r="F2999" s="70"/>
    </row>
    <row r="3000" spans="6:6" x14ac:dyDescent="0.2">
      <c r="F3000" s="70"/>
    </row>
    <row r="3001" spans="6:6" x14ac:dyDescent="0.2">
      <c r="F3001" s="70"/>
    </row>
    <row r="3002" spans="6:6" x14ac:dyDescent="0.2">
      <c r="F3002" s="70"/>
    </row>
    <row r="3003" spans="6:6" x14ac:dyDescent="0.2">
      <c r="F3003" s="70"/>
    </row>
    <row r="3004" spans="6:6" x14ac:dyDescent="0.2">
      <c r="F3004" s="70"/>
    </row>
    <row r="3005" spans="6:6" x14ac:dyDescent="0.2">
      <c r="F3005" s="70"/>
    </row>
    <row r="3006" spans="6:6" x14ac:dyDescent="0.2">
      <c r="F3006" s="70"/>
    </row>
    <row r="3007" spans="6:6" x14ac:dyDescent="0.2">
      <c r="F3007" s="70"/>
    </row>
    <row r="3008" spans="6:6" x14ac:dyDescent="0.2">
      <c r="F3008" s="70"/>
    </row>
    <row r="3009" spans="6:6" x14ac:dyDescent="0.2">
      <c r="F3009" s="70"/>
    </row>
    <row r="3010" spans="6:6" x14ac:dyDescent="0.2">
      <c r="F3010" s="70"/>
    </row>
    <row r="3011" spans="6:6" x14ac:dyDescent="0.2">
      <c r="F3011" s="70"/>
    </row>
    <row r="3012" spans="6:6" x14ac:dyDescent="0.2">
      <c r="F3012" s="70"/>
    </row>
    <row r="3013" spans="6:6" x14ac:dyDescent="0.2">
      <c r="F3013" s="70"/>
    </row>
    <row r="3014" spans="6:6" x14ac:dyDescent="0.2">
      <c r="F3014" s="70"/>
    </row>
    <row r="3015" spans="6:6" x14ac:dyDescent="0.2">
      <c r="F3015" s="70"/>
    </row>
    <row r="3016" spans="6:6" x14ac:dyDescent="0.2">
      <c r="F3016" s="70"/>
    </row>
    <row r="3017" spans="6:6" x14ac:dyDescent="0.2">
      <c r="F3017" s="70"/>
    </row>
    <row r="3018" spans="6:6" x14ac:dyDescent="0.2">
      <c r="F3018" s="70"/>
    </row>
    <row r="3019" spans="6:6" x14ac:dyDescent="0.2">
      <c r="F3019" s="70"/>
    </row>
    <row r="3020" spans="6:6" x14ac:dyDescent="0.2">
      <c r="F3020" s="70"/>
    </row>
    <row r="3021" spans="6:6" x14ac:dyDescent="0.2">
      <c r="F3021" s="70"/>
    </row>
    <row r="3022" spans="6:6" x14ac:dyDescent="0.2">
      <c r="F3022" s="70"/>
    </row>
    <row r="3023" spans="6:6" x14ac:dyDescent="0.2">
      <c r="F3023" s="70"/>
    </row>
    <row r="3024" spans="6:6" x14ac:dyDescent="0.2">
      <c r="F3024" s="70"/>
    </row>
    <row r="3025" spans="6:6" x14ac:dyDescent="0.2">
      <c r="F3025" s="70"/>
    </row>
    <row r="3026" spans="6:6" x14ac:dyDescent="0.2">
      <c r="F3026" s="70"/>
    </row>
    <row r="3027" spans="6:6" x14ac:dyDescent="0.2">
      <c r="F3027" s="70"/>
    </row>
    <row r="3028" spans="6:6" x14ac:dyDescent="0.2">
      <c r="F3028" s="70"/>
    </row>
    <row r="3029" spans="6:6" x14ac:dyDescent="0.2">
      <c r="F3029" s="70"/>
    </row>
    <row r="3030" spans="6:6" x14ac:dyDescent="0.2">
      <c r="F3030" s="70"/>
    </row>
    <row r="3031" spans="6:6" x14ac:dyDescent="0.2">
      <c r="F3031" s="70"/>
    </row>
    <row r="3032" spans="6:6" x14ac:dyDescent="0.2">
      <c r="F3032" s="70"/>
    </row>
    <row r="3033" spans="6:6" x14ac:dyDescent="0.2">
      <c r="F3033" s="70"/>
    </row>
    <row r="3034" spans="6:6" x14ac:dyDescent="0.2">
      <c r="F3034" s="70"/>
    </row>
    <row r="3035" spans="6:6" x14ac:dyDescent="0.2">
      <c r="F3035" s="70"/>
    </row>
    <row r="3036" spans="6:6" x14ac:dyDescent="0.2">
      <c r="F3036" s="70"/>
    </row>
    <row r="3037" spans="6:6" x14ac:dyDescent="0.2">
      <c r="F3037" s="70"/>
    </row>
    <row r="3038" spans="6:6" x14ac:dyDescent="0.2">
      <c r="F3038" s="70"/>
    </row>
    <row r="3039" spans="6:6" x14ac:dyDescent="0.2">
      <c r="F3039" s="70"/>
    </row>
    <row r="3040" spans="6:6" x14ac:dyDescent="0.2">
      <c r="F3040" s="70"/>
    </row>
    <row r="3041" spans="6:6" x14ac:dyDescent="0.2">
      <c r="F3041" s="70"/>
    </row>
    <row r="3042" spans="6:6" x14ac:dyDescent="0.2">
      <c r="F3042" s="70"/>
    </row>
    <row r="3043" spans="6:6" x14ac:dyDescent="0.2">
      <c r="F3043" s="70"/>
    </row>
    <row r="3044" spans="6:6" x14ac:dyDescent="0.2">
      <c r="F3044" s="70"/>
    </row>
    <row r="3045" spans="6:6" x14ac:dyDescent="0.2">
      <c r="F3045" s="70"/>
    </row>
    <row r="3046" spans="6:6" x14ac:dyDescent="0.2">
      <c r="F3046" s="70"/>
    </row>
    <row r="3047" spans="6:6" x14ac:dyDescent="0.2">
      <c r="F3047" s="70"/>
    </row>
    <row r="3048" spans="6:6" x14ac:dyDescent="0.2">
      <c r="F3048" s="70"/>
    </row>
    <row r="3049" spans="6:6" x14ac:dyDescent="0.2">
      <c r="F3049" s="70"/>
    </row>
    <row r="3050" spans="6:6" x14ac:dyDescent="0.2">
      <c r="F3050" s="70"/>
    </row>
    <row r="3051" spans="6:6" x14ac:dyDescent="0.2">
      <c r="F3051" s="70"/>
    </row>
    <row r="3052" spans="6:6" x14ac:dyDescent="0.2">
      <c r="F3052" s="70"/>
    </row>
    <row r="3053" spans="6:6" x14ac:dyDescent="0.2">
      <c r="F3053" s="70"/>
    </row>
    <row r="3054" spans="6:6" x14ac:dyDescent="0.2">
      <c r="F3054" s="70"/>
    </row>
    <row r="3055" spans="6:6" x14ac:dyDescent="0.2">
      <c r="F3055" s="70"/>
    </row>
    <row r="3056" spans="6:6" x14ac:dyDescent="0.2">
      <c r="F3056" s="70"/>
    </row>
    <row r="3057" spans="6:6" x14ac:dyDescent="0.2">
      <c r="F3057" s="70"/>
    </row>
    <row r="3058" spans="6:6" x14ac:dyDescent="0.2">
      <c r="F3058" s="70"/>
    </row>
    <row r="3059" spans="6:6" x14ac:dyDescent="0.2">
      <c r="F3059" s="70"/>
    </row>
    <row r="3060" spans="6:6" x14ac:dyDescent="0.2">
      <c r="F3060" s="70"/>
    </row>
    <row r="3061" spans="6:6" x14ac:dyDescent="0.2">
      <c r="F3061" s="70"/>
    </row>
    <row r="3062" spans="6:6" x14ac:dyDescent="0.2">
      <c r="F3062" s="70"/>
    </row>
    <row r="3063" spans="6:6" x14ac:dyDescent="0.2">
      <c r="F3063" s="70"/>
    </row>
    <row r="3064" spans="6:6" x14ac:dyDescent="0.2">
      <c r="F3064" s="70"/>
    </row>
    <row r="3065" spans="6:6" x14ac:dyDescent="0.2">
      <c r="F3065" s="70"/>
    </row>
    <row r="3066" spans="6:6" x14ac:dyDescent="0.2">
      <c r="F3066" s="70"/>
    </row>
    <row r="3067" spans="6:6" x14ac:dyDescent="0.2">
      <c r="F3067" s="70"/>
    </row>
    <row r="3068" spans="6:6" x14ac:dyDescent="0.2">
      <c r="F3068" s="70"/>
    </row>
    <row r="3069" spans="6:6" x14ac:dyDescent="0.2">
      <c r="F3069" s="70"/>
    </row>
    <row r="3070" spans="6:6" x14ac:dyDescent="0.2">
      <c r="F3070" s="70"/>
    </row>
    <row r="3071" spans="6:6" x14ac:dyDescent="0.2">
      <c r="F3071" s="70"/>
    </row>
    <row r="3072" spans="6:6" x14ac:dyDescent="0.2">
      <c r="F3072" s="70"/>
    </row>
    <row r="3073" spans="6:6" x14ac:dyDescent="0.2">
      <c r="F3073" s="70"/>
    </row>
    <row r="3074" spans="6:6" x14ac:dyDescent="0.2">
      <c r="F3074" s="70"/>
    </row>
    <row r="3075" spans="6:6" x14ac:dyDescent="0.2">
      <c r="F3075" s="70"/>
    </row>
    <row r="3076" spans="6:6" x14ac:dyDescent="0.2">
      <c r="F3076" s="70"/>
    </row>
    <row r="3077" spans="6:6" x14ac:dyDescent="0.2">
      <c r="F3077" s="70"/>
    </row>
    <row r="3078" spans="6:6" x14ac:dyDescent="0.2">
      <c r="F3078" s="70"/>
    </row>
    <row r="3079" spans="6:6" x14ac:dyDescent="0.2">
      <c r="F3079" s="70"/>
    </row>
    <row r="3080" spans="6:6" x14ac:dyDescent="0.2">
      <c r="F3080" s="70"/>
    </row>
    <row r="3081" spans="6:6" x14ac:dyDescent="0.2">
      <c r="F3081" s="70"/>
    </row>
    <row r="3082" spans="6:6" x14ac:dyDescent="0.2">
      <c r="F3082" s="70"/>
    </row>
    <row r="3083" spans="6:6" x14ac:dyDescent="0.2">
      <c r="F3083" s="70"/>
    </row>
    <row r="3084" spans="6:6" x14ac:dyDescent="0.2">
      <c r="F3084" s="70"/>
    </row>
    <row r="3085" spans="6:6" x14ac:dyDescent="0.2">
      <c r="F3085" s="70"/>
    </row>
    <row r="3086" spans="6:6" x14ac:dyDescent="0.2">
      <c r="F3086" s="70"/>
    </row>
    <row r="3087" spans="6:6" x14ac:dyDescent="0.2">
      <c r="F3087" s="70"/>
    </row>
    <row r="3088" spans="6:6" x14ac:dyDescent="0.2">
      <c r="F3088" s="70"/>
    </row>
    <row r="3089" spans="6:6" x14ac:dyDescent="0.2">
      <c r="F3089" s="70"/>
    </row>
    <row r="3090" spans="6:6" x14ac:dyDescent="0.2">
      <c r="F3090" s="70"/>
    </row>
    <row r="3091" spans="6:6" x14ac:dyDescent="0.2">
      <c r="F3091" s="70"/>
    </row>
    <row r="3092" spans="6:6" x14ac:dyDescent="0.2">
      <c r="F3092" s="70"/>
    </row>
    <row r="3093" spans="6:6" x14ac:dyDescent="0.2">
      <c r="F3093" s="70"/>
    </row>
    <row r="3094" spans="6:6" x14ac:dyDescent="0.2">
      <c r="F3094" s="70"/>
    </row>
    <row r="3095" spans="6:6" x14ac:dyDescent="0.2">
      <c r="F3095" s="70"/>
    </row>
    <row r="3096" spans="6:6" x14ac:dyDescent="0.2">
      <c r="F3096" s="70"/>
    </row>
    <row r="3097" spans="6:6" x14ac:dyDescent="0.2">
      <c r="F3097" s="70"/>
    </row>
    <row r="3098" spans="6:6" x14ac:dyDescent="0.2">
      <c r="F3098" s="70"/>
    </row>
    <row r="3099" spans="6:6" x14ac:dyDescent="0.2">
      <c r="F3099" s="70"/>
    </row>
    <row r="3100" spans="6:6" x14ac:dyDescent="0.2">
      <c r="F3100" s="70"/>
    </row>
    <row r="3101" spans="6:6" x14ac:dyDescent="0.2">
      <c r="F3101" s="70"/>
    </row>
    <row r="3102" spans="6:6" x14ac:dyDescent="0.2">
      <c r="F3102" s="70"/>
    </row>
    <row r="3103" spans="6:6" x14ac:dyDescent="0.2">
      <c r="F3103" s="70"/>
    </row>
    <row r="3104" spans="6:6" x14ac:dyDescent="0.2">
      <c r="F3104" s="70"/>
    </row>
    <row r="3105" spans="6:6" x14ac:dyDescent="0.2">
      <c r="F3105" s="70"/>
    </row>
    <row r="3106" spans="6:6" x14ac:dyDescent="0.2">
      <c r="F3106" s="70"/>
    </row>
    <row r="3107" spans="6:6" x14ac:dyDescent="0.2">
      <c r="F3107" s="70"/>
    </row>
    <row r="3108" spans="6:6" x14ac:dyDescent="0.2">
      <c r="F3108" s="70"/>
    </row>
    <row r="3109" spans="6:6" x14ac:dyDescent="0.2">
      <c r="F3109" s="70"/>
    </row>
    <row r="3110" spans="6:6" x14ac:dyDescent="0.2">
      <c r="F3110" s="70"/>
    </row>
    <row r="3111" spans="6:6" x14ac:dyDescent="0.2">
      <c r="F3111" s="70"/>
    </row>
    <row r="3112" spans="6:6" x14ac:dyDescent="0.2">
      <c r="F3112" s="70"/>
    </row>
    <row r="3113" spans="6:6" x14ac:dyDescent="0.2">
      <c r="F3113" s="70"/>
    </row>
    <row r="3114" spans="6:6" x14ac:dyDescent="0.2">
      <c r="F3114" s="70"/>
    </row>
    <row r="3115" spans="6:6" x14ac:dyDescent="0.2">
      <c r="F3115" s="70"/>
    </row>
    <row r="3116" spans="6:6" x14ac:dyDescent="0.2">
      <c r="F3116" s="70"/>
    </row>
    <row r="3117" spans="6:6" x14ac:dyDescent="0.2">
      <c r="F3117" s="70"/>
    </row>
    <row r="3118" spans="6:6" x14ac:dyDescent="0.2">
      <c r="F3118" s="70"/>
    </row>
    <row r="3119" spans="6:6" x14ac:dyDescent="0.2">
      <c r="F3119" s="70"/>
    </row>
    <row r="3120" spans="6:6" x14ac:dyDescent="0.2">
      <c r="F3120" s="70"/>
    </row>
    <row r="3121" spans="6:6" x14ac:dyDescent="0.2">
      <c r="F3121" s="70"/>
    </row>
    <row r="3122" spans="6:6" x14ac:dyDescent="0.2">
      <c r="F3122" s="70"/>
    </row>
    <row r="3123" spans="6:6" x14ac:dyDescent="0.2">
      <c r="F3123" s="70"/>
    </row>
    <row r="3124" spans="6:6" x14ac:dyDescent="0.2">
      <c r="F3124" s="70"/>
    </row>
    <row r="3125" spans="6:6" x14ac:dyDescent="0.2">
      <c r="F3125" s="70"/>
    </row>
    <row r="3126" spans="6:6" x14ac:dyDescent="0.2">
      <c r="F3126" s="70"/>
    </row>
    <row r="3127" spans="6:6" x14ac:dyDescent="0.2">
      <c r="F3127" s="70"/>
    </row>
    <row r="3128" spans="6:6" x14ac:dyDescent="0.2">
      <c r="F3128" s="70"/>
    </row>
    <row r="3129" spans="6:6" x14ac:dyDescent="0.2">
      <c r="F3129" s="70"/>
    </row>
    <row r="3130" spans="6:6" x14ac:dyDescent="0.2">
      <c r="F3130" s="70"/>
    </row>
    <row r="3131" spans="6:6" x14ac:dyDescent="0.2">
      <c r="F3131" s="70"/>
    </row>
    <row r="3132" spans="6:6" x14ac:dyDescent="0.2">
      <c r="F3132" s="70"/>
    </row>
    <row r="3133" spans="6:6" x14ac:dyDescent="0.2">
      <c r="F3133" s="70"/>
    </row>
    <row r="3134" spans="6:6" x14ac:dyDescent="0.2">
      <c r="F3134" s="70"/>
    </row>
    <row r="3135" spans="6:6" x14ac:dyDescent="0.2">
      <c r="F3135" s="70"/>
    </row>
    <row r="3136" spans="6:6" x14ac:dyDescent="0.2">
      <c r="F3136" s="70"/>
    </row>
    <row r="3137" spans="6:6" x14ac:dyDescent="0.2">
      <c r="F3137" s="70"/>
    </row>
    <row r="3138" spans="6:6" x14ac:dyDescent="0.2">
      <c r="F3138" s="70"/>
    </row>
    <row r="3139" spans="6:6" x14ac:dyDescent="0.2">
      <c r="F3139" s="70"/>
    </row>
    <row r="3140" spans="6:6" x14ac:dyDescent="0.2">
      <c r="F3140" s="70"/>
    </row>
    <row r="3141" spans="6:6" x14ac:dyDescent="0.2">
      <c r="F3141" s="70"/>
    </row>
    <row r="3142" spans="6:6" x14ac:dyDescent="0.2">
      <c r="F3142" s="70"/>
    </row>
    <row r="3143" spans="6:6" x14ac:dyDescent="0.2">
      <c r="F3143" s="70"/>
    </row>
    <row r="3144" spans="6:6" x14ac:dyDescent="0.2">
      <c r="F3144" s="70"/>
    </row>
    <row r="3145" spans="6:6" x14ac:dyDescent="0.2">
      <c r="F3145" s="70"/>
    </row>
    <row r="3146" spans="6:6" x14ac:dyDescent="0.2">
      <c r="F3146" s="70"/>
    </row>
    <row r="3147" spans="6:6" x14ac:dyDescent="0.2">
      <c r="F3147" s="70"/>
    </row>
    <row r="3148" spans="6:6" x14ac:dyDescent="0.2">
      <c r="F3148" s="70"/>
    </row>
    <row r="3149" spans="6:6" x14ac:dyDescent="0.2">
      <c r="F3149" s="70"/>
    </row>
    <row r="3150" spans="6:6" x14ac:dyDescent="0.2">
      <c r="F3150" s="70"/>
    </row>
    <row r="3151" spans="6:6" x14ac:dyDescent="0.2">
      <c r="F3151" s="70"/>
    </row>
    <row r="3152" spans="6:6" x14ac:dyDescent="0.2">
      <c r="F3152" s="70"/>
    </row>
    <row r="3153" spans="6:6" x14ac:dyDescent="0.2">
      <c r="F3153" s="70"/>
    </row>
    <row r="3154" spans="6:6" x14ac:dyDescent="0.2">
      <c r="F3154" s="70"/>
    </row>
    <row r="3155" spans="6:6" x14ac:dyDescent="0.2">
      <c r="F3155" s="70"/>
    </row>
    <row r="3156" spans="6:6" x14ac:dyDescent="0.2">
      <c r="F3156" s="70"/>
    </row>
    <row r="3157" spans="6:6" x14ac:dyDescent="0.2">
      <c r="F3157" s="70"/>
    </row>
    <row r="3158" spans="6:6" x14ac:dyDescent="0.2">
      <c r="F3158" s="70"/>
    </row>
    <row r="3159" spans="6:6" x14ac:dyDescent="0.2">
      <c r="F3159" s="70"/>
    </row>
    <row r="3160" spans="6:6" x14ac:dyDescent="0.2">
      <c r="F3160" s="70"/>
    </row>
    <row r="3161" spans="6:6" x14ac:dyDescent="0.2">
      <c r="F3161" s="70"/>
    </row>
    <row r="3162" spans="6:6" x14ac:dyDescent="0.2">
      <c r="F3162" s="70"/>
    </row>
    <row r="3163" spans="6:6" x14ac:dyDescent="0.2">
      <c r="F3163" s="70"/>
    </row>
    <row r="3164" spans="6:6" x14ac:dyDescent="0.2">
      <c r="F3164" s="70"/>
    </row>
    <row r="3165" spans="6:6" x14ac:dyDescent="0.2">
      <c r="F3165" s="70"/>
    </row>
    <row r="3166" spans="6:6" x14ac:dyDescent="0.2">
      <c r="F3166" s="70"/>
    </row>
    <row r="3167" spans="6:6" x14ac:dyDescent="0.2">
      <c r="F3167" s="70"/>
    </row>
    <row r="3168" spans="6:6" x14ac:dyDescent="0.2">
      <c r="F3168" s="70"/>
    </row>
    <row r="3169" spans="6:6" x14ac:dyDescent="0.2">
      <c r="F3169" s="70"/>
    </row>
    <row r="3170" spans="6:6" x14ac:dyDescent="0.2">
      <c r="F3170" s="70"/>
    </row>
    <row r="3171" spans="6:6" x14ac:dyDescent="0.2">
      <c r="F3171" s="70"/>
    </row>
    <row r="3172" spans="6:6" x14ac:dyDescent="0.2">
      <c r="F3172" s="70"/>
    </row>
    <row r="3173" spans="6:6" x14ac:dyDescent="0.2">
      <c r="F3173" s="70"/>
    </row>
    <row r="3174" spans="6:6" x14ac:dyDescent="0.2">
      <c r="F3174" s="70"/>
    </row>
    <row r="3175" spans="6:6" x14ac:dyDescent="0.2">
      <c r="F3175" s="70"/>
    </row>
    <row r="3176" spans="6:6" x14ac:dyDescent="0.2">
      <c r="F3176" s="70"/>
    </row>
    <row r="3177" spans="6:6" x14ac:dyDescent="0.2">
      <c r="F3177" s="70"/>
    </row>
    <row r="3178" spans="6:6" x14ac:dyDescent="0.2">
      <c r="F3178" s="70"/>
    </row>
    <row r="3179" spans="6:6" x14ac:dyDescent="0.2">
      <c r="F3179" s="70"/>
    </row>
    <row r="3180" spans="6:6" x14ac:dyDescent="0.2">
      <c r="F3180" s="70"/>
    </row>
    <row r="3181" spans="6:6" x14ac:dyDescent="0.2">
      <c r="F3181" s="70"/>
    </row>
    <row r="3182" spans="6:6" x14ac:dyDescent="0.2">
      <c r="F3182" s="70"/>
    </row>
    <row r="3183" spans="6:6" x14ac:dyDescent="0.2">
      <c r="F3183" s="70"/>
    </row>
    <row r="3184" spans="6:6" x14ac:dyDescent="0.2">
      <c r="F3184" s="70"/>
    </row>
    <row r="3185" spans="6:6" x14ac:dyDescent="0.2">
      <c r="F3185" s="70"/>
    </row>
    <row r="3186" spans="6:6" x14ac:dyDescent="0.2">
      <c r="F3186" s="70"/>
    </row>
    <row r="3187" spans="6:6" x14ac:dyDescent="0.2">
      <c r="F3187" s="70"/>
    </row>
    <row r="3188" spans="6:6" x14ac:dyDescent="0.2">
      <c r="F3188" s="70"/>
    </row>
    <row r="3189" spans="6:6" x14ac:dyDescent="0.2">
      <c r="F3189" s="70"/>
    </row>
    <row r="3190" spans="6:6" x14ac:dyDescent="0.2">
      <c r="F3190" s="70"/>
    </row>
    <row r="3191" spans="6:6" x14ac:dyDescent="0.2">
      <c r="F3191" s="70"/>
    </row>
    <row r="3192" spans="6:6" x14ac:dyDescent="0.2">
      <c r="F3192" s="70"/>
    </row>
    <row r="3193" spans="6:6" x14ac:dyDescent="0.2">
      <c r="F3193" s="70"/>
    </row>
    <row r="3194" spans="6:6" x14ac:dyDescent="0.2">
      <c r="F3194" s="70"/>
    </row>
    <row r="3195" spans="6:6" x14ac:dyDescent="0.2">
      <c r="F3195" s="70"/>
    </row>
    <row r="3196" spans="6:6" x14ac:dyDescent="0.2">
      <c r="F3196" s="70"/>
    </row>
    <row r="3197" spans="6:6" x14ac:dyDescent="0.2">
      <c r="F3197" s="70"/>
    </row>
    <row r="3198" spans="6:6" x14ac:dyDescent="0.2">
      <c r="F3198" s="70"/>
    </row>
    <row r="3199" spans="6:6" x14ac:dyDescent="0.2">
      <c r="F3199" s="70"/>
    </row>
    <row r="3200" spans="6:6" x14ac:dyDescent="0.2">
      <c r="F3200" s="70"/>
    </row>
    <row r="3201" spans="6:6" x14ac:dyDescent="0.2">
      <c r="F3201" s="70"/>
    </row>
    <row r="3202" spans="6:6" x14ac:dyDescent="0.2">
      <c r="F3202" s="70"/>
    </row>
    <row r="3203" spans="6:6" x14ac:dyDescent="0.2">
      <c r="F3203" s="70"/>
    </row>
    <row r="3204" spans="6:6" x14ac:dyDescent="0.2">
      <c r="F3204" s="70"/>
    </row>
    <row r="3205" spans="6:6" x14ac:dyDescent="0.2">
      <c r="F3205" s="70"/>
    </row>
    <row r="3206" spans="6:6" x14ac:dyDescent="0.2">
      <c r="F3206" s="70"/>
    </row>
    <row r="3207" spans="6:6" x14ac:dyDescent="0.2">
      <c r="F3207" s="70"/>
    </row>
    <row r="3208" spans="6:6" x14ac:dyDescent="0.2">
      <c r="F3208" s="70"/>
    </row>
    <row r="3209" spans="6:6" x14ac:dyDescent="0.2">
      <c r="F3209" s="70"/>
    </row>
    <row r="3210" spans="6:6" x14ac:dyDescent="0.2">
      <c r="F3210" s="70"/>
    </row>
    <row r="3211" spans="6:6" x14ac:dyDescent="0.2">
      <c r="F3211" s="70"/>
    </row>
    <row r="3212" spans="6:6" x14ac:dyDescent="0.2">
      <c r="F3212" s="70"/>
    </row>
    <row r="3213" spans="6:6" x14ac:dyDescent="0.2">
      <c r="F3213" s="70"/>
    </row>
    <row r="3214" spans="6:6" x14ac:dyDescent="0.2">
      <c r="F3214" s="70"/>
    </row>
    <row r="3215" spans="6:6" x14ac:dyDescent="0.2">
      <c r="F3215" s="70"/>
    </row>
    <row r="3216" spans="6:6" x14ac:dyDescent="0.2">
      <c r="F3216" s="70"/>
    </row>
    <row r="3217" spans="6:6" x14ac:dyDescent="0.2">
      <c r="F3217" s="70"/>
    </row>
    <row r="3218" spans="6:6" x14ac:dyDescent="0.2">
      <c r="F3218" s="70"/>
    </row>
    <row r="3219" spans="6:6" x14ac:dyDescent="0.2">
      <c r="F3219" s="70"/>
    </row>
    <row r="3220" spans="6:6" x14ac:dyDescent="0.2">
      <c r="F3220" s="70"/>
    </row>
    <row r="3221" spans="6:6" x14ac:dyDescent="0.2">
      <c r="F3221" s="70"/>
    </row>
    <row r="3222" spans="6:6" x14ac:dyDescent="0.2">
      <c r="F3222" s="70"/>
    </row>
    <row r="3223" spans="6:6" x14ac:dyDescent="0.2">
      <c r="F3223" s="70"/>
    </row>
    <row r="3224" spans="6:6" x14ac:dyDescent="0.2">
      <c r="F3224" s="70"/>
    </row>
    <row r="3225" spans="6:6" x14ac:dyDescent="0.2">
      <c r="F3225" s="70"/>
    </row>
    <row r="3226" spans="6:6" x14ac:dyDescent="0.2">
      <c r="F3226" s="70"/>
    </row>
    <row r="3227" spans="6:6" x14ac:dyDescent="0.2">
      <c r="F3227" s="70"/>
    </row>
    <row r="3228" spans="6:6" x14ac:dyDescent="0.2">
      <c r="F3228" s="70"/>
    </row>
    <row r="3229" spans="6:6" x14ac:dyDescent="0.2">
      <c r="F3229" s="70"/>
    </row>
    <row r="3230" spans="6:6" x14ac:dyDescent="0.2">
      <c r="F3230" s="70"/>
    </row>
    <row r="3231" spans="6:6" x14ac:dyDescent="0.2">
      <c r="F3231" s="70"/>
    </row>
    <row r="3232" spans="6:6" x14ac:dyDescent="0.2">
      <c r="F3232" s="70"/>
    </row>
    <row r="3233" spans="6:6" x14ac:dyDescent="0.2">
      <c r="F3233" s="70"/>
    </row>
    <row r="3234" spans="6:6" x14ac:dyDescent="0.2">
      <c r="F3234" s="70"/>
    </row>
    <row r="3235" spans="6:6" x14ac:dyDescent="0.2">
      <c r="F3235" s="70"/>
    </row>
    <row r="3236" spans="6:6" x14ac:dyDescent="0.2">
      <c r="F3236" s="70"/>
    </row>
    <row r="3237" spans="6:6" x14ac:dyDescent="0.2">
      <c r="F3237" s="70"/>
    </row>
    <row r="3238" spans="6:6" x14ac:dyDescent="0.2">
      <c r="F3238" s="70"/>
    </row>
    <row r="3239" spans="6:6" x14ac:dyDescent="0.2">
      <c r="F3239" s="70"/>
    </row>
    <row r="3240" spans="6:6" x14ac:dyDescent="0.2">
      <c r="F3240" s="70"/>
    </row>
    <row r="3241" spans="6:6" x14ac:dyDescent="0.2">
      <c r="F3241" s="70"/>
    </row>
    <row r="3242" spans="6:6" x14ac:dyDescent="0.2">
      <c r="F3242" s="70"/>
    </row>
    <row r="3243" spans="6:6" x14ac:dyDescent="0.2">
      <c r="F3243" s="70"/>
    </row>
    <row r="3244" spans="6:6" x14ac:dyDescent="0.2">
      <c r="F3244" s="70"/>
    </row>
    <row r="3245" spans="6:6" x14ac:dyDescent="0.2">
      <c r="F3245" s="70"/>
    </row>
    <row r="3246" spans="6:6" x14ac:dyDescent="0.2">
      <c r="F3246" s="70"/>
    </row>
    <row r="3247" spans="6:6" x14ac:dyDescent="0.2">
      <c r="F3247" s="70"/>
    </row>
    <row r="3248" spans="6:6" x14ac:dyDescent="0.2">
      <c r="F3248" s="70"/>
    </row>
    <row r="3249" spans="6:6" x14ac:dyDescent="0.2">
      <c r="F3249" s="70"/>
    </row>
    <row r="3250" spans="6:6" x14ac:dyDescent="0.2">
      <c r="F3250" s="70"/>
    </row>
    <row r="3251" spans="6:6" x14ac:dyDescent="0.2">
      <c r="F3251" s="70"/>
    </row>
    <row r="3252" spans="6:6" x14ac:dyDescent="0.2">
      <c r="F3252" s="70"/>
    </row>
    <row r="3253" spans="6:6" x14ac:dyDescent="0.2">
      <c r="F3253" s="70"/>
    </row>
    <row r="3254" spans="6:6" x14ac:dyDescent="0.2">
      <c r="F3254" s="70"/>
    </row>
    <row r="3255" spans="6:6" x14ac:dyDescent="0.2">
      <c r="F3255" s="70"/>
    </row>
    <row r="3256" spans="6:6" x14ac:dyDescent="0.2">
      <c r="F3256" s="70"/>
    </row>
    <row r="3257" spans="6:6" x14ac:dyDescent="0.2">
      <c r="F3257" s="70"/>
    </row>
    <row r="3258" spans="6:6" x14ac:dyDescent="0.2">
      <c r="F3258" s="70"/>
    </row>
    <row r="3259" spans="6:6" x14ac:dyDescent="0.2">
      <c r="F3259" s="70"/>
    </row>
    <row r="3260" spans="6:6" x14ac:dyDescent="0.2">
      <c r="F3260" s="70"/>
    </row>
    <row r="3261" spans="6:6" x14ac:dyDescent="0.2">
      <c r="F3261" s="70"/>
    </row>
    <row r="3262" spans="6:6" x14ac:dyDescent="0.2">
      <c r="F3262" s="70"/>
    </row>
    <row r="3263" spans="6:6" x14ac:dyDescent="0.2">
      <c r="F3263" s="70"/>
    </row>
    <row r="3264" spans="6:6" x14ac:dyDescent="0.2">
      <c r="F3264" s="70"/>
    </row>
    <row r="3265" spans="6:6" x14ac:dyDescent="0.2">
      <c r="F3265" s="70"/>
    </row>
    <row r="3266" spans="6:6" x14ac:dyDescent="0.2">
      <c r="F3266" s="70"/>
    </row>
    <row r="3267" spans="6:6" x14ac:dyDescent="0.2">
      <c r="F3267" s="70"/>
    </row>
    <row r="3268" spans="6:6" x14ac:dyDescent="0.2">
      <c r="F3268" s="70"/>
    </row>
    <row r="3269" spans="6:6" x14ac:dyDescent="0.2">
      <c r="F3269" s="70"/>
    </row>
    <row r="3270" spans="6:6" x14ac:dyDescent="0.2">
      <c r="F3270" s="70"/>
    </row>
    <row r="3271" spans="6:6" x14ac:dyDescent="0.2">
      <c r="F3271" s="70"/>
    </row>
    <row r="3272" spans="6:6" x14ac:dyDescent="0.2">
      <c r="F3272" s="70"/>
    </row>
    <row r="3273" spans="6:6" x14ac:dyDescent="0.2">
      <c r="F3273" s="70"/>
    </row>
    <row r="3274" spans="6:6" x14ac:dyDescent="0.2">
      <c r="F3274" s="70"/>
    </row>
    <row r="3275" spans="6:6" x14ac:dyDescent="0.2">
      <c r="F3275" s="70"/>
    </row>
    <row r="3276" spans="6:6" x14ac:dyDescent="0.2">
      <c r="F3276" s="70"/>
    </row>
    <row r="3277" spans="6:6" x14ac:dyDescent="0.2">
      <c r="F3277" s="70"/>
    </row>
    <row r="3278" spans="6:6" x14ac:dyDescent="0.2">
      <c r="F3278" s="70"/>
    </row>
    <row r="3279" spans="6:6" x14ac:dyDescent="0.2">
      <c r="F3279" s="70"/>
    </row>
    <row r="3280" spans="6:6" x14ac:dyDescent="0.2">
      <c r="F3280" s="70"/>
    </row>
    <row r="3281" spans="6:6" x14ac:dyDescent="0.2">
      <c r="F3281" s="70"/>
    </row>
    <row r="3282" spans="6:6" x14ac:dyDescent="0.2">
      <c r="F3282" s="70"/>
    </row>
    <row r="3283" spans="6:6" x14ac:dyDescent="0.2">
      <c r="F3283" s="70"/>
    </row>
    <row r="3284" spans="6:6" x14ac:dyDescent="0.2">
      <c r="F3284" s="70"/>
    </row>
    <row r="3285" spans="6:6" x14ac:dyDescent="0.2">
      <c r="F3285" s="70"/>
    </row>
    <row r="3286" spans="6:6" x14ac:dyDescent="0.2">
      <c r="F3286" s="70"/>
    </row>
    <row r="3287" spans="6:6" x14ac:dyDescent="0.2">
      <c r="F3287" s="70"/>
    </row>
    <row r="3288" spans="6:6" x14ac:dyDescent="0.2">
      <c r="F3288" s="70"/>
    </row>
    <row r="3289" spans="6:6" x14ac:dyDescent="0.2">
      <c r="F3289" s="70"/>
    </row>
    <row r="3290" spans="6:6" x14ac:dyDescent="0.2">
      <c r="F3290" s="70"/>
    </row>
    <row r="3291" spans="6:6" x14ac:dyDescent="0.2">
      <c r="F3291" s="70"/>
    </row>
    <row r="3292" spans="6:6" x14ac:dyDescent="0.2">
      <c r="F3292" s="70"/>
    </row>
    <row r="3293" spans="6:6" x14ac:dyDescent="0.2">
      <c r="F3293" s="70"/>
    </row>
    <row r="3294" spans="6:6" x14ac:dyDescent="0.2">
      <c r="F3294" s="70"/>
    </row>
    <row r="3295" spans="6:6" x14ac:dyDescent="0.2">
      <c r="F3295" s="70"/>
    </row>
    <row r="3296" spans="6:6" x14ac:dyDescent="0.2">
      <c r="F3296" s="70"/>
    </row>
    <row r="3297" spans="6:6" x14ac:dyDescent="0.2">
      <c r="F3297" s="70"/>
    </row>
    <row r="3298" spans="6:6" x14ac:dyDescent="0.2">
      <c r="F3298" s="70"/>
    </row>
    <row r="3299" spans="6:6" x14ac:dyDescent="0.2">
      <c r="F3299" s="70"/>
    </row>
    <row r="3300" spans="6:6" x14ac:dyDescent="0.2">
      <c r="F3300" s="70"/>
    </row>
    <row r="3301" spans="6:6" x14ac:dyDescent="0.2">
      <c r="F3301" s="70"/>
    </row>
    <row r="3302" spans="6:6" x14ac:dyDescent="0.2">
      <c r="F3302" s="70"/>
    </row>
    <row r="3303" spans="6:6" x14ac:dyDescent="0.2">
      <c r="F3303" s="70"/>
    </row>
    <row r="3304" spans="6:6" x14ac:dyDescent="0.2">
      <c r="F3304" s="70"/>
    </row>
    <row r="3305" spans="6:6" x14ac:dyDescent="0.2">
      <c r="F3305" s="70"/>
    </row>
    <row r="3306" spans="6:6" x14ac:dyDescent="0.2">
      <c r="F3306" s="70"/>
    </row>
    <row r="3307" spans="6:6" x14ac:dyDescent="0.2">
      <c r="F3307" s="70"/>
    </row>
    <row r="3308" spans="6:6" x14ac:dyDescent="0.2">
      <c r="F3308" s="70"/>
    </row>
    <row r="3309" spans="6:6" x14ac:dyDescent="0.2">
      <c r="F3309" s="70"/>
    </row>
    <row r="3310" spans="6:6" x14ac:dyDescent="0.2">
      <c r="F3310" s="70"/>
    </row>
    <row r="3311" spans="6:6" x14ac:dyDescent="0.2">
      <c r="F3311" s="70"/>
    </row>
    <row r="3312" spans="6:6" x14ac:dyDescent="0.2">
      <c r="F3312" s="70"/>
    </row>
    <row r="3313" spans="6:6" x14ac:dyDescent="0.2">
      <c r="F3313" s="70"/>
    </row>
    <row r="3314" spans="6:6" x14ac:dyDescent="0.2">
      <c r="F3314" s="70"/>
    </row>
    <row r="3315" spans="6:6" x14ac:dyDescent="0.2">
      <c r="F3315" s="70"/>
    </row>
    <row r="3316" spans="6:6" x14ac:dyDescent="0.2">
      <c r="F3316" s="70"/>
    </row>
    <row r="3317" spans="6:6" x14ac:dyDescent="0.2">
      <c r="F3317" s="70"/>
    </row>
    <row r="3318" spans="6:6" x14ac:dyDescent="0.2">
      <c r="F3318" s="70"/>
    </row>
    <row r="3319" spans="6:6" x14ac:dyDescent="0.2">
      <c r="F3319" s="70"/>
    </row>
    <row r="3320" spans="6:6" x14ac:dyDescent="0.2">
      <c r="F3320" s="70"/>
    </row>
    <row r="3321" spans="6:6" x14ac:dyDescent="0.2">
      <c r="F3321" s="70"/>
    </row>
    <row r="3322" spans="6:6" x14ac:dyDescent="0.2">
      <c r="F3322" s="70"/>
    </row>
    <row r="3323" spans="6:6" x14ac:dyDescent="0.2">
      <c r="F3323" s="70"/>
    </row>
    <row r="3324" spans="6:6" x14ac:dyDescent="0.2">
      <c r="F3324" s="70"/>
    </row>
    <row r="3325" spans="6:6" x14ac:dyDescent="0.2">
      <c r="F3325" s="70"/>
    </row>
    <row r="3326" spans="6:6" x14ac:dyDescent="0.2">
      <c r="F3326" s="70"/>
    </row>
    <row r="3327" spans="6:6" x14ac:dyDescent="0.2">
      <c r="F3327" s="70"/>
    </row>
    <row r="3328" spans="6:6" x14ac:dyDescent="0.2">
      <c r="F3328" s="70"/>
    </row>
    <row r="3329" spans="6:6" x14ac:dyDescent="0.2">
      <c r="F3329" s="70"/>
    </row>
    <row r="3330" spans="6:6" x14ac:dyDescent="0.2">
      <c r="F3330" s="70"/>
    </row>
    <row r="3331" spans="6:6" x14ac:dyDescent="0.2">
      <c r="F3331" s="70"/>
    </row>
    <row r="3332" spans="6:6" x14ac:dyDescent="0.2">
      <c r="F3332" s="70"/>
    </row>
    <row r="3333" spans="6:6" x14ac:dyDescent="0.2">
      <c r="F3333" s="70"/>
    </row>
    <row r="3334" spans="6:6" x14ac:dyDescent="0.2">
      <c r="F3334" s="70"/>
    </row>
    <row r="3335" spans="6:6" x14ac:dyDescent="0.2">
      <c r="F3335" s="70"/>
    </row>
    <row r="3336" spans="6:6" x14ac:dyDescent="0.2">
      <c r="F3336" s="70"/>
    </row>
    <row r="3337" spans="6:6" x14ac:dyDescent="0.2">
      <c r="F3337" s="70"/>
    </row>
    <row r="3338" spans="6:6" x14ac:dyDescent="0.2">
      <c r="F3338" s="70"/>
    </row>
    <row r="3339" spans="6:6" x14ac:dyDescent="0.2">
      <c r="F3339" s="70"/>
    </row>
    <row r="3340" spans="6:6" x14ac:dyDescent="0.2">
      <c r="F3340" s="70"/>
    </row>
    <row r="3341" spans="6:6" x14ac:dyDescent="0.2">
      <c r="F3341" s="70"/>
    </row>
    <row r="3342" spans="6:6" x14ac:dyDescent="0.2">
      <c r="F3342" s="70"/>
    </row>
    <row r="3343" spans="6:6" x14ac:dyDescent="0.2">
      <c r="F3343" s="70"/>
    </row>
    <row r="3344" spans="6:6" x14ac:dyDescent="0.2">
      <c r="F3344" s="70"/>
    </row>
    <row r="3345" spans="6:6" x14ac:dyDescent="0.2">
      <c r="F3345" s="70"/>
    </row>
    <row r="3346" spans="6:6" x14ac:dyDescent="0.2">
      <c r="F3346" s="70"/>
    </row>
    <row r="3347" spans="6:6" x14ac:dyDescent="0.2">
      <c r="F3347" s="70"/>
    </row>
    <row r="3348" spans="6:6" x14ac:dyDescent="0.2">
      <c r="F3348" s="70"/>
    </row>
    <row r="3349" spans="6:6" x14ac:dyDescent="0.2">
      <c r="F3349" s="70"/>
    </row>
    <row r="3350" spans="6:6" x14ac:dyDescent="0.2">
      <c r="F3350" s="70"/>
    </row>
    <row r="3351" spans="6:6" x14ac:dyDescent="0.2">
      <c r="F3351" s="70"/>
    </row>
    <row r="3352" spans="6:6" x14ac:dyDescent="0.2">
      <c r="F3352" s="70"/>
    </row>
    <row r="3353" spans="6:6" x14ac:dyDescent="0.2">
      <c r="F3353" s="70"/>
    </row>
    <row r="3354" spans="6:6" x14ac:dyDescent="0.2">
      <c r="F3354" s="70"/>
    </row>
    <row r="3355" spans="6:6" x14ac:dyDescent="0.2">
      <c r="F3355" s="70"/>
    </row>
    <row r="3356" spans="6:6" x14ac:dyDescent="0.2">
      <c r="F3356" s="70"/>
    </row>
    <row r="3357" spans="6:6" x14ac:dyDescent="0.2">
      <c r="F3357" s="70"/>
    </row>
    <row r="3358" spans="6:6" x14ac:dyDescent="0.2">
      <c r="F3358" s="70"/>
    </row>
    <row r="3359" spans="6:6" x14ac:dyDescent="0.2">
      <c r="F3359" s="70"/>
    </row>
    <row r="3360" spans="6:6" x14ac:dyDescent="0.2">
      <c r="F3360" s="70"/>
    </row>
    <row r="3361" spans="6:6" x14ac:dyDescent="0.2">
      <c r="F3361" s="70"/>
    </row>
    <row r="3362" spans="6:6" x14ac:dyDescent="0.2">
      <c r="F3362" s="70"/>
    </row>
    <row r="3363" spans="6:6" x14ac:dyDescent="0.2">
      <c r="F3363" s="70"/>
    </row>
    <row r="3364" spans="6:6" x14ac:dyDescent="0.2">
      <c r="F3364" s="70"/>
    </row>
    <row r="3365" spans="6:6" x14ac:dyDescent="0.2">
      <c r="F3365" s="70"/>
    </row>
    <row r="3366" spans="6:6" x14ac:dyDescent="0.2">
      <c r="F3366" s="70"/>
    </row>
    <row r="3367" spans="6:6" x14ac:dyDescent="0.2">
      <c r="F3367" s="70"/>
    </row>
    <row r="3368" spans="6:6" x14ac:dyDescent="0.2">
      <c r="F3368" s="70"/>
    </row>
    <row r="3369" spans="6:6" x14ac:dyDescent="0.2">
      <c r="F3369" s="70"/>
    </row>
    <row r="3370" spans="6:6" x14ac:dyDescent="0.2">
      <c r="F3370" s="70"/>
    </row>
    <row r="3371" spans="6:6" x14ac:dyDescent="0.2">
      <c r="F3371" s="70"/>
    </row>
    <row r="3372" spans="6:6" x14ac:dyDescent="0.2">
      <c r="F3372" s="70"/>
    </row>
    <row r="3373" spans="6:6" x14ac:dyDescent="0.2">
      <c r="F3373" s="70"/>
    </row>
    <row r="3374" spans="6:6" x14ac:dyDescent="0.2">
      <c r="F3374" s="70"/>
    </row>
    <row r="3375" spans="6:6" x14ac:dyDescent="0.2">
      <c r="F3375" s="70"/>
    </row>
    <row r="3376" spans="6:6" x14ac:dyDescent="0.2">
      <c r="F3376" s="70"/>
    </row>
    <row r="3377" spans="6:6" x14ac:dyDescent="0.2">
      <c r="F3377" s="70"/>
    </row>
    <row r="3378" spans="6:6" x14ac:dyDescent="0.2">
      <c r="F3378" s="70"/>
    </row>
    <row r="3379" spans="6:6" x14ac:dyDescent="0.2">
      <c r="F3379" s="70"/>
    </row>
    <row r="3380" spans="6:6" x14ac:dyDescent="0.2">
      <c r="F3380" s="70"/>
    </row>
    <row r="3381" spans="6:6" x14ac:dyDescent="0.2">
      <c r="F3381" s="70"/>
    </row>
    <row r="3382" spans="6:6" x14ac:dyDescent="0.2">
      <c r="F3382" s="70"/>
    </row>
    <row r="3383" spans="6:6" x14ac:dyDescent="0.2">
      <c r="F3383" s="70"/>
    </row>
    <row r="3384" spans="6:6" x14ac:dyDescent="0.2">
      <c r="F3384" s="70"/>
    </row>
    <row r="3385" spans="6:6" x14ac:dyDescent="0.2">
      <c r="F3385" s="70"/>
    </row>
    <row r="3386" spans="6:6" x14ac:dyDescent="0.2">
      <c r="F3386" s="70"/>
    </row>
    <row r="3387" spans="6:6" x14ac:dyDescent="0.2">
      <c r="F3387" s="70"/>
    </row>
    <row r="3388" spans="6:6" x14ac:dyDescent="0.2">
      <c r="F3388" s="70"/>
    </row>
    <row r="3389" spans="6:6" x14ac:dyDescent="0.2">
      <c r="F3389" s="70"/>
    </row>
    <row r="3390" spans="6:6" x14ac:dyDescent="0.2">
      <c r="F3390" s="70"/>
    </row>
    <row r="3391" spans="6:6" x14ac:dyDescent="0.2">
      <c r="F3391" s="70"/>
    </row>
    <row r="3392" spans="6:6" x14ac:dyDescent="0.2">
      <c r="F3392" s="70"/>
    </row>
    <row r="3393" spans="6:6" x14ac:dyDescent="0.2">
      <c r="F3393" s="70"/>
    </row>
    <row r="3394" spans="6:6" x14ac:dyDescent="0.2">
      <c r="F3394" s="70"/>
    </row>
    <row r="3395" spans="6:6" x14ac:dyDescent="0.2">
      <c r="F3395" s="70"/>
    </row>
    <row r="3396" spans="6:6" x14ac:dyDescent="0.2">
      <c r="F3396" s="70"/>
    </row>
    <row r="3397" spans="6:6" x14ac:dyDescent="0.2">
      <c r="F3397" s="70"/>
    </row>
    <row r="3398" spans="6:6" x14ac:dyDescent="0.2">
      <c r="F3398" s="70"/>
    </row>
    <row r="3399" spans="6:6" x14ac:dyDescent="0.2">
      <c r="F3399" s="70"/>
    </row>
    <row r="3400" spans="6:6" x14ac:dyDescent="0.2">
      <c r="F3400" s="70"/>
    </row>
    <row r="3401" spans="6:6" x14ac:dyDescent="0.2">
      <c r="F3401" s="70"/>
    </row>
    <row r="3402" spans="6:6" x14ac:dyDescent="0.2">
      <c r="F3402" s="70"/>
    </row>
    <row r="3403" spans="6:6" x14ac:dyDescent="0.2">
      <c r="F3403" s="70"/>
    </row>
    <row r="3404" spans="6:6" x14ac:dyDescent="0.2">
      <c r="F3404" s="70"/>
    </row>
    <row r="3405" spans="6:6" x14ac:dyDescent="0.2">
      <c r="F3405" s="70"/>
    </row>
    <row r="3406" spans="6:6" x14ac:dyDescent="0.2">
      <c r="F3406" s="70"/>
    </row>
    <row r="3407" spans="6:6" x14ac:dyDescent="0.2">
      <c r="F3407" s="70"/>
    </row>
    <row r="3408" spans="6:6" x14ac:dyDescent="0.2">
      <c r="F3408" s="70"/>
    </row>
    <row r="3409" spans="6:6" x14ac:dyDescent="0.2">
      <c r="F3409" s="70"/>
    </row>
    <row r="3410" spans="6:6" x14ac:dyDescent="0.2">
      <c r="F3410" s="70"/>
    </row>
    <row r="3411" spans="6:6" x14ac:dyDescent="0.2">
      <c r="F3411" s="70"/>
    </row>
    <row r="3412" spans="6:6" x14ac:dyDescent="0.2">
      <c r="F3412" s="70"/>
    </row>
    <row r="3413" spans="6:6" x14ac:dyDescent="0.2">
      <c r="F3413" s="70"/>
    </row>
    <row r="3414" spans="6:6" x14ac:dyDescent="0.2">
      <c r="F3414" s="70"/>
    </row>
    <row r="3415" spans="6:6" x14ac:dyDescent="0.2">
      <c r="F3415" s="70"/>
    </row>
    <row r="3416" spans="6:6" x14ac:dyDescent="0.2">
      <c r="F3416" s="70"/>
    </row>
    <row r="3417" spans="6:6" x14ac:dyDescent="0.2">
      <c r="F3417" s="70"/>
    </row>
    <row r="3418" spans="6:6" x14ac:dyDescent="0.2">
      <c r="F3418" s="70"/>
    </row>
    <row r="3419" spans="6:6" x14ac:dyDescent="0.2">
      <c r="F3419" s="70"/>
    </row>
    <row r="3420" spans="6:6" x14ac:dyDescent="0.2">
      <c r="F3420" s="70"/>
    </row>
    <row r="3421" spans="6:6" x14ac:dyDescent="0.2">
      <c r="F3421" s="70"/>
    </row>
    <row r="3422" spans="6:6" x14ac:dyDescent="0.2">
      <c r="F3422" s="70"/>
    </row>
    <row r="3423" spans="6:6" x14ac:dyDescent="0.2">
      <c r="F3423" s="70"/>
    </row>
    <row r="3424" spans="6:6" x14ac:dyDescent="0.2">
      <c r="F3424" s="70"/>
    </row>
    <row r="3425" spans="6:6" x14ac:dyDescent="0.2">
      <c r="F3425" s="70"/>
    </row>
    <row r="3426" spans="6:6" x14ac:dyDescent="0.2">
      <c r="F3426" s="70"/>
    </row>
    <row r="3427" spans="6:6" x14ac:dyDescent="0.2">
      <c r="F3427" s="70"/>
    </row>
    <row r="3428" spans="6:6" x14ac:dyDescent="0.2">
      <c r="F3428" s="70"/>
    </row>
    <row r="3429" spans="6:6" x14ac:dyDescent="0.2">
      <c r="F3429" s="70"/>
    </row>
    <row r="3430" spans="6:6" x14ac:dyDescent="0.2">
      <c r="F3430" s="70"/>
    </row>
    <row r="3431" spans="6:6" x14ac:dyDescent="0.2">
      <c r="F3431" s="70"/>
    </row>
    <row r="3432" spans="6:6" x14ac:dyDescent="0.2">
      <c r="F3432" s="70"/>
    </row>
    <row r="3433" spans="6:6" x14ac:dyDescent="0.2">
      <c r="F3433" s="70"/>
    </row>
    <row r="3434" spans="6:6" x14ac:dyDescent="0.2">
      <c r="F3434" s="70"/>
    </row>
    <row r="3435" spans="6:6" x14ac:dyDescent="0.2">
      <c r="F3435" s="70"/>
    </row>
    <row r="3436" spans="6:6" x14ac:dyDescent="0.2">
      <c r="F3436" s="70"/>
    </row>
    <row r="3437" spans="6:6" x14ac:dyDescent="0.2">
      <c r="F3437" s="70"/>
    </row>
    <row r="3438" spans="6:6" x14ac:dyDescent="0.2">
      <c r="F3438" s="70"/>
    </row>
    <row r="3439" spans="6:6" x14ac:dyDescent="0.2">
      <c r="F3439" s="70"/>
    </row>
    <row r="3440" spans="6:6" x14ac:dyDescent="0.2">
      <c r="F3440" s="70"/>
    </row>
    <row r="3441" spans="6:6" x14ac:dyDescent="0.2">
      <c r="F3441" s="70"/>
    </row>
    <row r="3442" spans="6:6" x14ac:dyDescent="0.2">
      <c r="F3442" s="70"/>
    </row>
    <row r="3443" spans="6:6" x14ac:dyDescent="0.2">
      <c r="F3443" s="70"/>
    </row>
    <row r="3444" spans="6:6" x14ac:dyDescent="0.2">
      <c r="F3444" s="70"/>
    </row>
    <row r="3445" spans="6:6" x14ac:dyDescent="0.2">
      <c r="F3445" s="70"/>
    </row>
    <row r="3446" spans="6:6" x14ac:dyDescent="0.2">
      <c r="F3446" s="70"/>
    </row>
    <row r="3447" spans="6:6" x14ac:dyDescent="0.2">
      <c r="F3447" s="70"/>
    </row>
    <row r="3448" spans="6:6" x14ac:dyDescent="0.2">
      <c r="F3448" s="70"/>
    </row>
    <row r="3449" spans="6:6" x14ac:dyDescent="0.2">
      <c r="F3449" s="70"/>
    </row>
    <row r="3450" spans="6:6" x14ac:dyDescent="0.2">
      <c r="F3450" s="70"/>
    </row>
    <row r="3451" spans="6:6" x14ac:dyDescent="0.2">
      <c r="F3451" s="70"/>
    </row>
    <row r="3452" spans="6:6" x14ac:dyDescent="0.2">
      <c r="F3452" s="70"/>
    </row>
    <row r="3453" spans="6:6" x14ac:dyDescent="0.2">
      <c r="F3453" s="70"/>
    </row>
    <row r="3454" spans="6:6" x14ac:dyDescent="0.2">
      <c r="F3454" s="70"/>
    </row>
    <row r="3455" spans="6:6" x14ac:dyDescent="0.2">
      <c r="F3455" s="70"/>
    </row>
    <row r="3456" spans="6:6" x14ac:dyDescent="0.2">
      <c r="F3456" s="70"/>
    </row>
    <row r="3457" spans="6:6" x14ac:dyDescent="0.2">
      <c r="F3457" s="70"/>
    </row>
    <row r="3458" spans="6:6" x14ac:dyDescent="0.2">
      <c r="F3458" s="70"/>
    </row>
    <row r="3459" spans="6:6" x14ac:dyDescent="0.2">
      <c r="F3459" s="70"/>
    </row>
    <row r="3460" spans="6:6" x14ac:dyDescent="0.2">
      <c r="F3460" s="70"/>
    </row>
    <row r="3461" spans="6:6" x14ac:dyDescent="0.2">
      <c r="F3461" s="70"/>
    </row>
    <row r="3462" spans="6:6" x14ac:dyDescent="0.2">
      <c r="F3462" s="70"/>
    </row>
    <row r="3463" spans="6:6" x14ac:dyDescent="0.2">
      <c r="F3463" s="70"/>
    </row>
    <row r="3464" spans="6:6" x14ac:dyDescent="0.2">
      <c r="F3464" s="70"/>
    </row>
    <row r="3465" spans="6:6" x14ac:dyDescent="0.2">
      <c r="F3465" s="70"/>
    </row>
    <row r="3466" spans="6:6" x14ac:dyDescent="0.2">
      <c r="F3466" s="70"/>
    </row>
    <row r="3467" spans="6:6" x14ac:dyDescent="0.2">
      <c r="F3467" s="70"/>
    </row>
    <row r="3468" spans="6:6" x14ac:dyDescent="0.2">
      <c r="F3468" s="70"/>
    </row>
    <row r="3469" spans="6:6" x14ac:dyDescent="0.2">
      <c r="F3469" s="70"/>
    </row>
    <row r="3470" spans="6:6" x14ac:dyDescent="0.2">
      <c r="F3470" s="70"/>
    </row>
    <row r="3471" spans="6:6" x14ac:dyDescent="0.2">
      <c r="F3471" s="70"/>
    </row>
    <row r="3472" spans="6:6" x14ac:dyDescent="0.2">
      <c r="F3472" s="70"/>
    </row>
    <row r="3473" spans="6:6" x14ac:dyDescent="0.2">
      <c r="F3473" s="70"/>
    </row>
    <row r="3474" spans="6:6" x14ac:dyDescent="0.2">
      <c r="F3474" s="70"/>
    </row>
    <row r="3475" spans="6:6" x14ac:dyDescent="0.2">
      <c r="F3475" s="70"/>
    </row>
    <row r="3476" spans="6:6" x14ac:dyDescent="0.2">
      <c r="F3476" s="70"/>
    </row>
    <row r="3477" spans="6:6" x14ac:dyDescent="0.2">
      <c r="F3477" s="70"/>
    </row>
    <row r="3478" spans="6:6" x14ac:dyDescent="0.2">
      <c r="F3478" s="70"/>
    </row>
    <row r="3479" spans="6:6" x14ac:dyDescent="0.2">
      <c r="F3479" s="70"/>
    </row>
    <row r="3480" spans="6:6" x14ac:dyDescent="0.2">
      <c r="F3480" s="70"/>
    </row>
    <row r="3481" spans="6:6" x14ac:dyDescent="0.2">
      <c r="F3481" s="70"/>
    </row>
    <row r="3482" spans="6:6" x14ac:dyDescent="0.2">
      <c r="F3482" s="70"/>
    </row>
    <row r="3483" spans="6:6" x14ac:dyDescent="0.2">
      <c r="F3483" s="70"/>
    </row>
    <row r="3484" spans="6:6" x14ac:dyDescent="0.2">
      <c r="F3484" s="70"/>
    </row>
    <row r="3485" spans="6:6" x14ac:dyDescent="0.2">
      <c r="F3485" s="70"/>
    </row>
    <row r="3486" spans="6:6" x14ac:dyDescent="0.2">
      <c r="F3486" s="70"/>
    </row>
    <row r="3487" spans="6:6" x14ac:dyDescent="0.2">
      <c r="F3487" s="70"/>
    </row>
    <row r="3488" spans="6:6" x14ac:dyDescent="0.2">
      <c r="F3488" s="70"/>
    </row>
    <row r="3489" spans="6:6" x14ac:dyDescent="0.2">
      <c r="F3489" s="70"/>
    </row>
    <row r="3490" spans="6:6" x14ac:dyDescent="0.2">
      <c r="F3490" s="70"/>
    </row>
    <row r="3491" spans="6:6" x14ac:dyDescent="0.2">
      <c r="F3491" s="70"/>
    </row>
    <row r="3492" spans="6:6" x14ac:dyDescent="0.2">
      <c r="F3492" s="70"/>
    </row>
    <row r="3493" spans="6:6" x14ac:dyDescent="0.2">
      <c r="F3493" s="70"/>
    </row>
    <row r="3494" spans="6:6" x14ac:dyDescent="0.2">
      <c r="F3494" s="70"/>
    </row>
    <row r="3495" spans="6:6" x14ac:dyDescent="0.2">
      <c r="F3495" s="70"/>
    </row>
    <row r="3496" spans="6:6" x14ac:dyDescent="0.2">
      <c r="F3496" s="70"/>
    </row>
    <row r="3497" spans="6:6" x14ac:dyDescent="0.2">
      <c r="F3497" s="70"/>
    </row>
    <row r="3498" spans="6:6" x14ac:dyDescent="0.2">
      <c r="F3498" s="70"/>
    </row>
    <row r="3499" spans="6:6" x14ac:dyDescent="0.2">
      <c r="F3499" s="70"/>
    </row>
    <row r="3500" spans="6:6" x14ac:dyDescent="0.2">
      <c r="F3500" s="70"/>
    </row>
    <row r="3501" spans="6:6" x14ac:dyDescent="0.2">
      <c r="F3501" s="70"/>
    </row>
    <row r="3502" spans="6:6" x14ac:dyDescent="0.2">
      <c r="F3502" s="70"/>
    </row>
    <row r="3503" spans="6:6" x14ac:dyDescent="0.2">
      <c r="F3503" s="70"/>
    </row>
    <row r="3504" spans="6:6" x14ac:dyDescent="0.2">
      <c r="F3504" s="70"/>
    </row>
    <row r="3505" spans="6:6" x14ac:dyDescent="0.2">
      <c r="F3505" s="70"/>
    </row>
    <row r="3506" spans="6:6" x14ac:dyDescent="0.2">
      <c r="F3506" s="70"/>
    </row>
    <row r="3507" spans="6:6" x14ac:dyDescent="0.2">
      <c r="F3507" s="70"/>
    </row>
    <row r="3508" spans="6:6" x14ac:dyDescent="0.2">
      <c r="F3508" s="70"/>
    </row>
    <row r="3509" spans="6:6" x14ac:dyDescent="0.2">
      <c r="F3509" s="70"/>
    </row>
    <row r="3510" spans="6:6" x14ac:dyDescent="0.2">
      <c r="F3510" s="70"/>
    </row>
    <row r="3511" spans="6:6" x14ac:dyDescent="0.2">
      <c r="F3511" s="70"/>
    </row>
    <row r="3512" spans="6:6" x14ac:dyDescent="0.2">
      <c r="F3512" s="70"/>
    </row>
    <row r="3513" spans="6:6" x14ac:dyDescent="0.2">
      <c r="F3513" s="70"/>
    </row>
    <row r="3514" spans="6:6" x14ac:dyDescent="0.2">
      <c r="F3514" s="70"/>
    </row>
    <row r="3515" spans="6:6" x14ac:dyDescent="0.2">
      <c r="F3515" s="70"/>
    </row>
    <row r="3516" spans="6:6" x14ac:dyDescent="0.2">
      <c r="F3516" s="70"/>
    </row>
    <row r="3517" spans="6:6" x14ac:dyDescent="0.2">
      <c r="F3517" s="70"/>
    </row>
    <row r="3518" spans="6:6" x14ac:dyDescent="0.2">
      <c r="F3518" s="70"/>
    </row>
    <row r="3519" spans="6:6" x14ac:dyDescent="0.2">
      <c r="F3519" s="70"/>
    </row>
    <row r="3520" spans="6:6" x14ac:dyDescent="0.2">
      <c r="F3520" s="70"/>
    </row>
    <row r="3521" spans="6:6" x14ac:dyDescent="0.2">
      <c r="F3521" s="70"/>
    </row>
    <row r="3522" spans="6:6" x14ac:dyDescent="0.2">
      <c r="F3522" s="70"/>
    </row>
    <row r="3523" spans="6:6" x14ac:dyDescent="0.2">
      <c r="F3523" s="70"/>
    </row>
    <row r="3524" spans="6:6" x14ac:dyDescent="0.2">
      <c r="F3524" s="70"/>
    </row>
    <row r="3525" spans="6:6" x14ac:dyDescent="0.2">
      <c r="F3525" s="70"/>
    </row>
    <row r="3526" spans="6:6" x14ac:dyDescent="0.2">
      <c r="F3526" s="70"/>
    </row>
    <row r="3527" spans="6:6" x14ac:dyDescent="0.2">
      <c r="F3527" s="70"/>
    </row>
    <row r="3528" spans="6:6" x14ac:dyDescent="0.2">
      <c r="F3528" s="70"/>
    </row>
    <row r="3529" spans="6:6" x14ac:dyDescent="0.2">
      <c r="F3529" s="70"/>
    </row>
    <row r="3530" spans="6:6" x14ac:dyDescent="0.2">
      <c r="F3530" s="70"/>
    </row>
    <row r="3531" spans="6:6" x14ac:dyDescent="0.2">
      <c r="F3531" s="70"/>
    </row>
    <row r="3532" spans="6:6" x14ac:dyDescent="0.2">
      <c r="F3532" s="70"/>
    </row>
    <row r="3533" spans="6:6" x14ac:dyDescent="0.2">
      <c r="F3533" s="70"/>
    </row>
    <row r="3534" spans="6:6" x14ac:dyDescent="0.2">
      <c r="F3534" s="70"/>
    </row>
    <row r="3535" spans="6:6" x14ac:dyDescent="0.2">
      <c r="F3535" s="70"/>
    </row>
    <row r="3536" spans="6:6" x14ac:dyDescent="0.2">
      <c r="F3536" s="70"/>
    </row>
    <row r="3537" spans="6:6" x14ac:dyDescent="0.2">
      <c r="F3537" s="70"/>
    </row>
    <row r="3538" spans="6:6" x14ac:dyDescent="0.2">
      <c r="F3538" s="70"/>
    </row>
    <row r="3539" spans="6:6" x14ac:dyDescent="0.2">
      <c r="F3539" s="70"/>
    </row>
    <row r="3540" spans="6:6" x14ac:dyDescent="0.2">
      <c r="F3540" s="70"/>
    </row>
    <row r="3541" spans="6:6" x14ac:dyDescent="0.2">
      <c r="F3541" s="70"/>
    </row>
    <row r="3542" spans="6:6" x14ac:dyDescent="0.2">
      <c r="F3542" s="70"/>
    </row>
    <row r="3543" spans="6:6" x14ac:dyDescent="0.2">
      <c r="F3543" s="70"/>
    </row>
    <row r="3544" spans="6:6" x14ac:dyDescent="0.2">
      <c r="F3544" s="70"/>
    </row>
    <row r="3545" spans="6:6" x14ac:dyDescent="0.2">
      <c r="F3545" s="70"/>
    </row>
    <row r="3546" spans="6:6" x14ac:dyDescent="0.2">
      <c r="F3546" s="70"/>
    </row>
    <row r="3547" spans="6:6" x14ac:dyDescent="0.2">
      <c r="F3547" s="70"/>
    </row>
    <row r="3548" spans="6:6" x14ac:dyDescent="0.2">
      <c r="F3548" s="70"/>
    </row>
    <row r="3549" spans="6:6" x14ac:dyDescent="0.2">
      <c r="F3549" s="70"/>
    </row>
    <row r="3550" spans="6:6" x14ac:dyDescent="0.2">
      <c r="F3550" s="70"/>
    </row>
    <row r="3551" spans="6:6" x14ac:dyDescent="0.2">
      <c r="F3551" s="70"/>
    </row>
    <row r="3552" spans="6:6" x14ac:dyDescent="0.2">
      <c r="F3552" s="70"/>
    </row>
    <row r="3553" spans="6:6" x14ac:dyDescent="0.2">
      <c r="F3553" s="70"/>
    </row>
    <row r="3554" spans="6:6" x14ac:dyDescent="0.2">
      <c r="F3554" s="70"/>
    </row>
    <row r="3555" spans="6:6" x14ac:dyDescent="0.2">
      <c r="F3555" s="70"/>
    </row>
    <row r="3556" spans="6:6" x14ac:dyDescent="0.2">
      <c r="F3556" s="70"/>
    </row>
    <row r="3557" spans="6:6" x14ac:dyDescent="0.2">
      <c r="F3557" s="70"/>
    </row>
    <row r="3558" spans="6:6" x14ac:dyDescent="0.2">
      <c r="F3558" s="70"/>
    </row>
    <row r="3559" spans="6:6" x14ac:dyDescent="0.2">
      <c r="F3559" s="70"/>
    </row>
    <row r="3560" spans="6:6" x14ac:dyDescent="0.2">
      <c r="F3560" s="70"/>
    </row>
    <row r="3561" spans="6:6" x14ac:dyDescent="0.2">
      <c r="F3561" s="70"/>
    </row>
    <row r="3562" spans="6:6" x14ac:dyDescent="0.2">
      <c r="F3562" s="70"/>
    </row>
    <row r="3563" spans="6:6" x14ac:dyDescent="0.2">
      <c r="F3563" s="70"/>
    </row>
    <row r="3564" spans="6:6" x14ac:dyDescent="0.2">
      <c r="F3564" s="70"/>
    </row>
    <row r="3565" spans="6:6" x14ac:dyDescent="0.2">
      <c r="F3565" s="70"/>
    </row>
    <row r="3566" spans="6:6" x14ac:dyDescent="0.2">
      <c r="F3566" s="70"/>
    </row>
    <row r="3567" spans="6:6" x14ac:dyDescent="0.2">
      <c r="F3567" s="70"/>
    </row>
    <row r="3568" spans="6:6" x14ac:dyDescent="0.2">
      <c r="F3568" s="70"/>
    </row>
    <row r="3569" spans="6:6" x14ac:dyDescent="0.2">
      <c r="F3569" s="70"/>
    </row>
    <row r="3570" spans="6:6" x14ac:dyDescent="0.2">
      <c r="F3570" s="70"/>
    </row>
    <row r="3571" spans="6:6" x14ac:dyDescent="0.2">
      <c r="F3571" s="70"/>
    </row>
    <row r="3572" spans="6:6" x14ac:dyDescent="0.2">
      <c r="F3572" s="70"/>
    </row>
    <row r="3573" spans="6:6" x14ac:dyDescent="0.2">
      <c r="F3573" s="70"/>
    </row>
    <row r="3574" spans="6:6" x14ac:dyDescent="0.2">
      <c r="F3574" s="70"/>
    </row>
    <row r="3575" spans="6:6" x14ac:dyDescent="0.2">
      <c r="F3575" s="70"/>
    </row>
    <row r="3576" spans="6:6" x14ac:dyDescent="0.2">
      <c r="F3576" s="70"/>
    </row>
    <row r="3577" spans="6:6" x14ac:dyDescent="0.2">
      <c r="F3577" s="70"/>
    </row>
    <row r="3578" spans="6:6" x14ac:dyDescent="0.2">
      <c r="F3578" s="70"/>
    </row>
    <row r="3579" spans="6:6" x14ac:dyDescent="0.2">
      <c r="F3579" s="70"/>
    </row>
    <row r="3580" spans="6:6" x14ac:dyDescent="0.2">
      <c r="F3580" s="70"/>
    </row>
    <row r="3581" spans="6:6" x14ac:dyDescent="0.2">
      <c r="F3581" s="70"/>
    </row>
    <row r="3582" spans="6:6" x14ac:dyDescent="0.2">
      <c r="F3582" s="70"/>
    </row>
    <row r="3583" spans="6:6" x14ac:dyDescent="0.2">
      <c r="F3583" s="70"/>
    </row>
    <row r="3584" spans="6:6" x14ac:dyDescent="0.2">
      <c r="F3584" s="70"/>
    </row>
    <row r="3585" spans="6:6" x14ac:dyDescent="0.2">
      <c r="F3585" s="70"/>
    </row>
    <row r="3586" spans="6:6" x14ac:dyDescent="0.2">
      <c r="F3586" s="70"/>
    </row>
    <row r="3587" spans="6:6" x14ac:dyDescent="0.2">
      <c r="F3587" s="70"/>
    </row>
    <row r="3588" spans="6:6" x14ac:dyDescent="0.2">
      <c r="F3588" s="70"/>
    </row>
    <row r="3589" spans="6:6" x14ac:dyDescent="0.2">
      <c r="F3589" s="70"/>
    </row>
    <row r="3590" spans="6:6" x14ac:dyDescent="0.2">
      <c r="F3590" s="70"/>
    </row>
    <row r="3591" spans="6:6" x14ac:dyDescent="0.2">
      <c r="F3591" s="70"/>
    </row>
    <row r="3592" spans="6:6" x14ac:dyDescent="0.2">
      <c r="F3592" s="70"/>
    </row>
    <row r="3593" spans="6:6" x14ac:dyDescent="0.2">
      <c r="F3593" s="70"/>
    </row>
    <row r="3594" spans="6:6" x14ac:dyDescent="0.2">
      <c r="F3594" s="70"/>
    </row>
    <row r="3595" spans="6:6" x14ac:dyDescent="0.2">
      <c r="F3595" s="70"/>
    </row>
    <row r="3596" spans="6:6" x14ac:dyDescent="0.2">
      <c r="F3596" s="70"/>
    </row>
    <row r="3597" spans="6:6" x14ac:dyDescent="0.2">
      <c r="F3597" s="70"/>
    </row>
    <row r="3598" spans="6:6" x14ac:dyDescent="0.2">
      <c r="F3598" s="70"/>
    </row>
    <row r="3599" spans="6:6" x14ac:dyDescent="0.2">
      <c r="F3599" s="70"/>
    </row>
    <row r="3600" spans="6:6" x14ac:dyDescent="0.2">
      <c r="F3600" s="70"/>
    </row>
    <row r="3601" spans="6:6" x14ac:dyDescent="0.2">
      <c r="F3601" s="70"/>
    </row>
    <row r="3602" spans="6:6" x14ac:dyDescent="0.2">
      <c r="F3602" s="70"/>
    </row>
    <row r="3603" spans="6:6" x14ac:dyDescent="0.2">
      <c r="F3603" s="70"/>
    </row>
    <row r="3604" spans="6:6" x14ac:dyDescent="0.2">
      <c r="F3604" s="70"/>
    </row>
    <row r="3605" spans="6:6" x14ac:dyDescent="0.2">
      <c r="F3605" s="70"/>
    </row>
    <row r="3606" spans="6:6" x14ac:dyDescent="0.2">
      <c r="F3606" s="70"/>
    </row>
    <row r="3607" spans="6:6" x14ac:dyDescent="0.2">
      <c r="F3607" s="70"/>
    </row>
    <row r="3608" spans="6:6" x14ac:dyDescent="0.2">
      <c r="F3608" s="70"/>
    </row>
    <row r="3609" spans="6:6" x14ac:dyDescent="0.2">
      <c r="F3609" s="70"/>
    </row>
    <row r="3610" spans="6:6" x14ac:dyDescent="0.2">
      <c r="F3610" s="70"/>
    </row>
    <row r="3611" spans="6:6" x14ac:dyDescent="0.2">
      <c r="F3611" s="70"/>
    </row>
    <row r="3612" spans="6:6" x14ac:dyDescent="0.2">
      <c r="F3612" s="70"/>
    </row>
    <row r="3613" spans="6:6" x14ac:dyDescent="0.2">
      <c r="F3613" s="70"/>
    </row>
    <row r="3614" spans="6:6" x14ac:dyDescent="0.2">
      <c r="F3614" s="70"/>
    </row>
    <row r="3615" spans="6:6" x14ac:dyDescent="0.2">
      <c r="F3615" s="70"/>
    </row>
    <row r="3616" spans="6:6" x14ac:dyDescent="0.2">
      <c r="F3616" s="70"/>
    </row>
    <row r="3617" spans="6:6" x14ac:dyDescent="0.2">
      <c r="F3617" s="70"/>
    </row>
    <row r="3618" spans="6:6" x14ac:dyDescent="0.2">
      <c r="F3618" s="70"/>
    </row>
    <row r="3619" spans="6:6" x14ac:dyDescent="0.2">
      <c r="F3619" s="70"/>
    </row>
    <row r="3620" spans="6:6" x14ac:dyDescent="0.2">
      <c r="F3620" s="70"/>
    </row>
    <row r="3621" spans="6:6" x14ac:dyDescent="0.2">
      <c r="F3621" s="70"/>
    </row>
    <row r="3622" spans="6:6" x14ac:dyDescent="0.2">
      <c r="F3622" s="70"/>
    </row>
    <row r="3623" spans="6:6" x14ac:dyDescent="0.2">
      <c r="F3623" s="70"/>
    </row>
    <row r="3624" spans="6:6" x14ac:dyDescent="0.2">
      <c r="F3624" s="70"/>
    </row>
    <row r="3625" spans="6:6" x14ac:dyDescent="0.2">
      <c r="F3625" s="70"/>
    </row>
    <row r="3626" spans="6:6" x14ac:dyDescent="0.2">
      <c r="F3626" s="70"/>
    </row>
    <row r="3627" spans="6:6" x14ac:dyDescent="0.2">
      <c r="F3627" s="70"/>
    </row>
    <row r="3628" spans="6:6" x14ac:dyDescent="0.2">
      <c r="F3628" s="70"/>
    </row>
    <row r="3629" spans="6:6" x14ac:dyDescent="0.2">
      <c r="F3629" s="70"/>
    </row>
    <row r="3630" spans="6:6" x14ac:dyDescent="0.2">
      <c r="F3630" s="70"/>
    </row>
    <row r="3631" spans="6:6" x14ac:dyDescent="0.2">
      <c r="F3631" s="70"/>
    </row>
    <row r="3632" spans="6:6" x14ac:dyDescent="0.2">
      <c r="F3632" s="70"/>
    </row>
    <row r="3633" spans="6:6" x14ac:dyDescent="0.2">
      <c r="F3633" s="70"/>
    </row>
    <row r="3634" spans="6:6" x14ac:dyDescent="0.2">
      <c r="F3634" s="70"/>
    </row>
    <row r="3635" spans="6:6" x14ac:dyDescent="0.2">
      <c r="F3635" s="70"/>
    </row>
    <row r="3636" spans="6:6" x14ac:dyDescent="0.2">
      <c r="F3636" s="70"/>
    </row>
    <row r="3637" spans="6:6" x14ac:dyDescent="0.2">
      <c r="F3637" s="70"/>
    </row>
    <row r="3638" spans="6:6" x14ac:dyDescent="0.2">
      <c r="F3638" s="70"/>
    </row>
    <row r="3639" spans="6:6" x14ac:dyDescent="0.2">
      <c r="F3639" s="70"/>
    </row>
    <row r="3640" spans="6:6" x14ac:dyDescent="0.2">
      <c r="F3640" s="70"/>
    </row>
    <row r="3641" spans="6:6" x14ac:dyDescent="0.2">
      <c r="F3641" s="70"/>
    </row>
    <row r="3642" spans="6:6" x14ac:dyDescent="0.2">
      <c r="F3642" s="70"/>
    </row>
    <row r="3643" spans="6:6" x14ac:dyDescent="0.2">
      <c r="F3643" s="70"/>
    </row>
    <row r="3644" spans="6:6" x14ac:dyDescent="0.2">
      <c r="F3644" s="70"/>
    </row>
    <row r="3645" spans="6:6" x14ac:dyDescent="0.2">
      <c r="F3645" s="70"/>
    </row>
    <row r="3646" spans="6:6" x14ac:dyDescent="0.2">
      <c r="F3646" s="70"/>
    </row>
    <row r="3647" spans="6:6" x14ac:dyDescent="0.2">
      <c r="F3647" s="70"/>
    </row>
    <row r="3648" spans="6:6" x14ac:dyDescent="0.2">
      <c r="F3648" s="70"/>
    </row>
    <row r="3649" spans="6:6" x14ac:dyDescent="0.2">
      <c r="F3649" s="70"/>
    </row>
    <row r="3650" spans="6:6" x14ac:dyDescent="0.2">
      <c r="F3650" s="70"/>
    </row>
    <row r="3651" spans="6:6" x14ac:dyDescent="0.2">
      <c r="F3651" s="70"/>
    </row>
    <row r="3652" spans="6:6" x14ac:dyDescent="0.2">
      <c r="F3652" s="70"/>
    </row>
    <row r="3653" spans="6:6" x14ac:dyDescent="0.2">
      <c r="F3653" s="70"/>
    </row>
    <row r="3654" spans="6:6" x14ac:dyDescent="0.2">
      <c r="F3654" s="70"/>
    </row>
    <row r="3655" spans="6:6" x14ac:dyDescent="0.2">
      <c r="F3655" s="70"/>
    </row>
    <row r="3656" spans="6:6" x14ac:dyDescent="0.2">
      <c r="F3656" s="70"/>
    </row>
    <row r="3657" spans="6:6" x14ac:dyDescent="0.2">
      <c r="F3657" s="70"/>
    </row>
    <row r="3658" spans="6:6" x14ac:dyDescent="0.2">
      <c r="F3658" s="70"/>
    </row>
    <row r="3659" spans="6:6" x14ac:dyDescent="0.2">
      <c r="F3659" s="70"/>
    </row>
    <row r="3660" spans="6:6" x14ac:dyDescent="0.2">
      <c r="F3660" s="70"/>
    </row>
    <row r="3661" spans="6:6" x14ac:dyDescent="0.2">
      <c r="F3661" s="70"/>
    </row>
    <row r="3662" spans="6:6" x14ac:dyDescent="0.2">
      <c r="F3662" s="70"/>
    </row>
    <row r="3663" spans="6:6" x14ac:dyDescent="0.2">
      <c r="F3663" s="70"/>
    </row>
    <row r="3664" spans="6:6" x14ac:dyDescent="0.2">
      <c r="F3664" s="70"/>
    </row>
    <row r="3665" spans="6:6" x14ac:dyDescent="0.2">
      <c r="F3665" s="70"/>
    </row>
    <row r="3666" spans="6:6" x14ac:dyDescent="0.2">
      <c r="F3666" s="70"/>
    </row>
    <row r="3667" spans="6:6" x14ac:dyDescent="0.2">
      <c r="F3667" s="70"/>
    </row>
    <row r="3668" spans="6:6" x14ac:dyDescent="0.2">
      <c r="F3668" s="70"/>
    </row>
    <row r="3669" spans="6:6" x14ac:dyDescent="0.2">
      <c r="F3669" s="70"/>
    </row>
    <row r="3670" spans="6:6" x14ac:dyDescent="0.2">
      <c r="F3670" s="70"/>
    </row>
    <row r="3671" spans="6:6" x14ac:dyDescent="0.2">
      <c r="F3671" s="70"/>
    </row>
    <row r="3672" spans="6:6" x14ac:dyDescent="0.2">
      <c r="F3672" s="70"/>
    </row>
    <row r="3673" spans="6:6" x14ac:dyDescent="0.2">
      <c r="F3673" s="70"/>
    </row>
    <row r="3674" spans="6:6" x14ac:dyDescent="0.2">
      <c r="F3674" s="70"/>
    </row>
    <row r="3675" spans="6:6" x14ac:dyDescent="0.2">
      <c r="F3675" s="70"/>
    </row>
    <row r="3676" spans="6:6" x14ac:dyDescent="0.2">
      <c r="F3676" s="70"/>
    </row>
    <row r="3677" spans="6:6" x14ac:dyDescent="0.2">
      <c r="F3677" s="70"/>
    </row>
    <row r="3678" spans="6:6" x14ac:dyDescent="0.2">
      <c r="F3678" s="70"/>
    </row>
    <row r="3679" spans="6:6" x14ac:dyDescent="0.2">
      <c r="F3679" s="70"/>
    </row>
    <row r="3680" spans="6:6" x14ac:dyDescent="0.2">
      <c r="F3680" s="70"/>
    </row>
    <row r="3681" spans="6:6" x14ac:dyDescent="0.2">
      <c r="F3681" s="70"/>
    </row>
    <row r="3682" spans="6:6" x14ac:dyDescent="0.2">
      <c r="F3682" s="70"/>
    </row>
    <row r="3683" spans="6:6" x14ac:dyDescent="0.2">
      <c r="F3683" s="70"/>
    </row>
    <row r="3684" spans="6:6" x14ac:dyDescent="0.2">
      <c r="F3684" s="70"/>
    </row>
    <row r="3685" spans="6:6" x14ac:dyDescent="0.2">
      <c r="F3685" s="70"/>
    </row>
    <row r="3686" spans="6:6" x14ac:dyDescent="0.2">
      <c r="F3686" s="70"/>
    </row>
    <row r="3687" spans="6:6" x14ac:dyDescent="0.2">
      <c r="F3687" s="70"/>
    </row>
    <row r="3688" spans="6:6" x14ac:dyDescent="0.2">
      <c r="F3688" s="70"/>
    </row>
    <row r="3689" spans="6:6" x14ac:dyDescent="0.2">
      <c r="F3689" s="70"/>
    </row>
    <row r="3690" spans="6:6" x14ac:dyDescent="0.2">
      <c r="F3690" s="70"/>
    </row>
    <row r="3691" spans="6:6" x14ac:dyDescent="0.2">
      <c r="F3691" s="70"/>
    </row>
    <row r="3692" spans="6:6" x14ac:dyDescent="0.2">
      <c r="F3692" s="70"/>
    </row>
    <row r="3693" spans="6:6" x14ac:dyDescent="0.2">
      <c r="F3693" s="70"/>
    </row>
    <row r="3694" spans="6:6" x14ac:dyDescent="0.2">
      <c r="F3694" s="70"/>
    </row>
    <row r="3695" spans="6:6" x14ac:dyDescent="0.2">
      <c r="F3695" s="70"/>
    </row>
    <row r="3696" spans="6:6" x14ac:dyDescent="0.2">
      <c r="F3696" s="70"/>
    </row>
    <row r="3697" spans="6:6" x14ac:dyDescent="0.2">
      <c r="F3697" s="70"/>
    </row>
    <row r="3698" spans="6:6" x14ac:dyDescent="0.2">
      <c r="F3698" s="70"/>
    </row>
    <row r="3699" spans="6:6" x14ac:dyDescent="0.2">
      <c r="F3699" s="70"/>
    </row>
    <row r="3700" spans="6:6" x14ac:dyDescent="0.2">
      <c r="F3700" s="70"/>
    </row>
    <row r="3701" spans="6:6" x14ac:dyDescent="0.2">
      <c r="F3701" s="70"/>
    </row>
    <row r="3702" spans="6:6" x14ac:dyDescent="0.2">
      <c r="F3702" s="70"/>
    </row>
    <row r="3703" spans="6:6" x14ac:dyDescent="0.2">
      <c r="F3703" s="70"/>
    </row>
    <row r="3704" spans="6:6" x14ac:dyDescent="0.2">
      <c r="F3704" s="70"/>
    </row>
    <row r="3705" spans="6:6" x14ac:dyDescent="0.2">
      <c r="F3705" s="70"/>
    </row>
    <row r="3706" spans="6:6" x14ac:dyDescent="0.2">
      <c r="F3706" s="70"/>
    </row>
    <row r="3707" spans="6:6" x14ac:dyDescent="0.2">
      <c r="F3707" s="70"/>
    </row>
    <row r="3708" spans="6:6" x14ac:dyDescent="0.2">
      <c r="F3708" s="70"/>
    </row>
    <row r="3709" spans="6:6" x14ac:dyDescent="0.2">
      <c r="F3709" s="70"/>
    </row>
    <row r="3710" spans="6:6" x14ac:dyDescent="0.2">
      <c r="F3710" s="70"/>
    </row>
    <row r="3711" spans="6:6" x14ac:dyDescent="0.2">
      <c r="F3711" s="70"/>
    </row>
    <row r="3712" spans="6:6" x14ac:dyDescent="0.2">
      <c r="F3712" s="70"/>
    </row>
    <row r="3713" spans="6:6" x14ac:dyDescent="0.2">
      <c r="F3713" s="70"/>
    </row>
    <row r="3714" spans="6:6" x14ac:dyDescent="0.2">
      <c r="F3714" s="70"/>
    </row>
    <row r="3715" spans="6:6" x14ac:dyDescent="0.2">
      <c r="F3715" s="70"/>
    </row>
    <row r="3716" spans="6:6" x14ac:dyDescent="0.2">
      <c r="F3716" s="70"/>
    </row>
    <row r="3717" spans="6:6" x14ac:dyDescent="0.2">
      <c r="F3717" s="70"/>
    </row>
    <row r="3718" spans="6:6" x14ac:dyDescent="0.2">
      <c r="F3718" s="70"/>
    </row>
    <row r="3719" spans="6:6" x14ac:dyDescent="0.2">
      <c r="F3719" s="70"/>
    </row>
    <row r="3720" spans="6:6" x14ac:dyDescent="0.2">
      <c r="F3720" s="70"/>
    </row>
    <row r="3721" spans="6:6" x14ac:dyDescent="0.2">
      <c r="F3721" s="70"/>
    </row>
    <row r="3722" spans="6:6" x14ac:dyDescent="0.2">
      <c r="F3722" s="70"/>
    </row>
    <row r="3723" spans="6:6" x14ac:dyDescent="0.2">
      <c r="F3723" s="70"/>
    </row>
    <row r="3724" spans="6:6" x14ac:dyDescent="0.2">
      <c r="F3724" s="70"/>
    </row>
    <row r="3725" spans="6:6" x14ac:dyDescent="0.2">
      <c r="F3725" s="70"/>
    </row>
    <row r="3726" spans="6:6" x14ac:dyDescent="0.2">
      <c r="F3726" s="70"/>
    </row>
    <row r="3727" spans="6:6" x14ac:dyDescent="0.2">
      <c r="F3727" s="70"/>
    </row>
    <row r="3728" spans="6:6" x14ac:dyDescent="0.2">
      <c r="F3728" s="70"/>
    </row>
    <row r="3729" spans="6:6" x14ac:dyDescent="0.2">
      <c r="F3729" s="70"/>
    </row>
    <row r="3730" spans="6:6" x14ac:dyDescent="0.2">
      <c r="F3730" s="70"/>
    </row>
    <row r="3731" spans="6:6" x14ac:dyDescent="0.2">
      <c r="F3731" s="70"/>
    </row>
    <row r="3732" spans="6:6" x14ac:dyDescent="0.2">
      <c r="F3732" s="70"/>
    </row>
    <row r="3733" spans="6:6" x14ac:dyDescent="0.2">
      <c r="F3733" s="70"/>
    </row>
    <row r="3734" spans="6:6" x14ac:dyDescent="0.2">
      <c r="F3734" s="70"/>
    </row>
    <row r="3735" spans="6:6" x14ac:dyDescent="0.2">
      <c r="F3735" s="70"/>
    </row>
    <row r="3736" spans="6:6" x14ac:dyDescent="0.2">
      <c r="F3736" s="70"/>
    </row>
    <row r="3737" spans="6:6" x14ac:dyDescent="0.2">
      <c r="F3737" s="70"/>
    </row>
    <row r="3738" spans="6:6" x14ac:dyDescent="0.2">
      <c r="F3738" s="70"/>
    </row>
    <row r="3739" spans="6:6" x14ac:dyDescent="0.2">
      <c r="F3739" s="70"/>
    </row>
    <row r="3740" spans="6:6" x14ac:dyDescent="0.2">
      <c r="F3740" s="70"/>
    </row>
    <row r="3741" spans="6:6" x14ac:dyDescent="0.2">
      <c r="F3741" s="70"/>
    </row>
    <row r="3742" spans="6:6" x14ac:dyDescent="0.2">
      <c r="F3742" s="70"/>
    </row>
    <row r="3743" spans="6:6" x14ac:dyDescent="0.2">
      <c r="F3743" s="70"/>
    </row>
    <row r="3744" spans="6:6" x14ac:dyDescent="0.2">
      <c r="F3744" s="70"/>
    </row>
    <row r="3745" spans="6:6" x14ac:dyDescent="0.2">
      <c r="F3745" s="70"/>
    </row>
    <row r="3746" spans="6:6" x14ac:dyDescent="0.2">
      <c r="F3746" s="70"/>
    </row>
    <row r="3747" spans="6:6" x14ac:dyDescent="0.2">
      <c r="F3747" s="70"/>
    </row>
    <row r="3748" spans="6:6" x14ac:dyDescent="0.2">
      <c r="F3748" s="70"/>
    </row>
    <row r="3749" spans="6:6" x14ac:dyDescent="0.2">
      <c r="F3749" s="70"/>
    </row>
    <row r="3750" spans="6:6" x14ac:dyDescent="0.2">
      <c r="F3750" s="70"/>
    </row>
    <row r="3751" spans="6:6" x14ac:dyDescent="0.2">
      <c r="F3751" s="70"/>
    </row>
    <row r="3752" spans="6:6" x14ac:dyDescent="0.2">
      <c r="F3752" s="70"/>
    </row>
    <row r="3753" spans="6:6" x14ac:dyDescent="0.2">
      <c r="F3753" s="70"/>
    </row>
    <row r="3754" spans="6:6" x14ac:dyDescent="0.2">
      <c r="F3754" s="70"/>
    </row>
    <row r="3755" spans="6:6" x14ac:dyDescent="0.2">
      <c r="F3755" s="70"/>
    </row>
    <row r="3756" spans="6:6" x14ac:dyDescent="0.2">
      <c r="F3756" s="70"/>
    </row>
    <row r="3757" spans="6:6" x14ac:dyDescent="0.2">
      <c r="F3757" s="70"/>
    </row>
    <row r="3758" spans="6:6" x14ac:dyDescent="0.2">
      <c r="F3758" s="70"/>
    </row>
    <row r="3759" spans="6:6" x14ac:dyDescent="0.2">
      <c r="F3759" s="70"/>
    </row>
    <row r="3760" spans="6:6" x14ac:dyDescent="0.2">
      <c r="F3760" s="70"/>
    </row>
    <row r="3761" spans="6:6" x14ac:dyDescent="0.2">
      <c r="F3761" s="70"/>
    </row>
    <row r="3762" spans="6:6" x14ac:dyDescent="0.2">
      <c r="F3762" s="70"/>
    </row>
    <row r="3763" spans="6:6" x14ac:dyDescent="0.2">
      <c r="F3763" s="70"/>
    </row>
    <row r="3764" spans="6:6" x14ac:dyDescent="0.2">
      <c r="F3764" s="70"/>
    </row>
    <row r="3765" spans="6:6" x14ac:dyDescent="0.2">
      <c r="F3765" s="70"/>
    </row>
    <row r="3766" spans="6:6" x14ac:dyDescent="0.2">
      <c r="F3766" s="70"/>
    </row>
    <row r="3767" spans="6:6" x14ac:dyDescent="0.2">
      <c r="F3767" s="70"/>
    </row>
    <row r="3768" spans="6:6" x14ac:dyDescent="0.2">
      <c r="F3768" s="70"/>
    </row>
    <row r="3769" spans="6:6" x14ac:dyDescent="0.2">
      <c r="F3769" s="70"/>
    </row>
    <row r="3770" spans="6:6" x14ac:dyDescent="0.2">
      <c r="F3770" s="70"/>
    </row>
    <row r="3771" spans="6:6" x14ac:dyDescent="0.2">
      <c r="F3771" s="70"/>
    </row>
    <row r="3772" spans="6:6" x14ac:dyDescent="0.2">
      <c r="F3772" s="70"/>
    </row>
    <row r="3773" spans="6:6" x14ac:dyDescent="0.2">
      <c r="F3773" s="70"/>
    </row>
    <row r="3774" spans="6:6" x14ac:dyDescent="0.2">
      <c r="F3774" s="70"/>
    </row>
    <row r="3775" spans="6:6" x14ac:dyDescent="0.2">
      <c r="F3775" s="70"/>
    </row>
    <row r="3776" spans="6:6" x14ac:dyDescent="0.2">
      <c r="F3776" s="70"/>
    </row>
    <row r="3777" spans="6:6" x14ac:dyDescent="0.2">
      <c r="F3777" s="70"/>
    </row>
    <row r="3778" spans="6:6" x14ac:dyDescent="0.2">
      <c r="F3778" s="70"/>
    </row>
    <row r="3779" spans="6:6" x14ac:dyDescent="0.2">
      <c r="F3779" s="70"/>
    </row>
    <row r="3780" spans="6:6" x14ac:dyDescent="0.2">
      <c r="F3780" s="70"/>
    </row>
    <row r="3781" spans="6:6" x14ac:dyDescent="0.2">
      <c r="F3781" s="70"/>
    </row>
    <row r="3782" spans="6:6" x14ac:dyDescent="0.2">
      <c r="F3782" s="70"/>
    </row>
    <row r="3783" spans="6:6" x14ac:dyDescent="0.2">
      <c r="F3783" s="70"/>
    </row>
    <row r="3784" spans="6:6" x14ac:dyDescent="0.2">
      <c r="F3784" s="70"/>
    </row>
    <row r="3785" spans="6:6" x14ac:dyDescent="0.2">
      <c r="F3785" s="70"/>
    </row>
    <row r="3786" spans="6:6" x14ac:dyDescent="0.2">
      <c r="F3786" s="70"/>
    </row>
    <row r="3787" spans="6:6" x14ac:dyDescent="0.2">
      <c r="F3787" s="70"/>
    </row>
    <row r="3788" spans="6:6" x14ac:dyDescent="0.2">
      <c r="F3788" s="70"/>
    </row>
    <row r="3789" spans="6:6" x14ac:dyDescent="0.2">
      <c r="F3789" s="70"/>
    </row>
    <row r="3790" spans="6:6" x14ac:dyDescent="0.2">
      <c r="F3790" s="70"/>
    </row>
    <row r="3791" spans="6:6" x14ac:dyDescent="0.2">
      <c r="F3791" s="70"/>
    </row>
    <row r="3792" spans="6:6" x14ac:dyDescent="0.2">
      <c r="F3792" s="70"/>
    </row>
    <row r="3793" spans="6:6" x14ac:dyDescent="0.2">
      <c r="F3793" s="70"/>
    </row>
    <row r="3794" spans="6:6" x14ac:dyDescent="0.2">
      <c r="F3794" s="70"/>
    </row>
    <row r="3795" spans="6:6" x14ac:dyDescent="0.2">
      <c r="F3795" s="70"/>
    </row>
    <row r="3796" spans="6:6" x14ac:dyDescent="0.2">
      <c r="F3796" s="70"/>
    </row>
    <row r="3797" spans="6:6" x14ac:dyDescent="0.2">
      <c r="F3797" s="70"/>
    </row>
    <row r="3798" spans="6:6" x14ac:dyDescent="0.2">
      <c r="F3798" s="70"/>
    </row>
    <row r="3799" spans="6:6" x14ac:dyDescent="0.2">
      <c r="F3799" s="70"/>
    </row>
    <row r="3800" spans="6:6" x14ac:dyDescent="0.2">
      <c r="F3800" s="70"/>
    </row>
    <row r="3801" spans="6:6" x14ac:dyDescent="0.2">
      <c r="F3801" s="70"/>
    </row>
    <row r="3802" spans="6:6" x14ac:dyDescent="0.2">
      <c r="F3802" s="70"/>
    </row>
    <row r="3803" spans="6:6" x14ac:dyDescent="0.2">
      <c r="F3803" s="70"/>
    </row>
    <row r="3804" spans="6:6" x14ac:dyDescent="0.2">
      <c r="F3804" s="70"/>
    </row>
    <row r="3805" spans="6:6" x14ac:dyDescent="0.2">
      <c r="F3805" s="70"/>
    </row>
    <row r="3806" spans="6:6" x14ac:dyDescent="0.2">
      <c r="F3806" s="70"/>
    </row>
    <row r="3807" spans="6:6" x14ac:dyDescent="0.2">
      <c r="F3807" s="70"/>
    </row>
    <row r="3808" spans="6:6" x14ac:dyDescent="0.2">
      <c r="F3808" s="70"/>
    </row>
    <row r="3809" spans="6:6" x14ac:dyDescent="0.2">
      <c r="F3809" s="70"/>
    </row>
    <row r="3810" spans="6:6" x14ac:dyDescent="0.2">
      <c r="F3810" s="70"/>
    </row>
    <row r="3811" spans="6:6" x14ac:dyDescent="0.2">
      <c r="F3811" s="70"/>
    </row>
    <row r="3812" spans="6:6" x14ac:dyDescent="0.2">
      <c r="F3812" s="70"/>
    </row>
    <row r="3813" spans="6:6" x14ac:dyDescent="0.2">
      <c r="F3813" s="70"/>
    </row>
    <row r="3814" spans="6:6" x14ac:dyDescent="0.2">
      <c r="F3814" s="70"/>
    </row>
    <row r="3815" spans="6:6" x14ac:dyDescent="0.2">
      <c r="F3815" s="70"/>
    </row>
    <row r="3816" spans="6:6" x14ac:dyDescent="0.2">
      <c r="F3816" s="70"/>
    </row>
    <row r="3817" spans="6:6" x14ac:dyDescent="0.2">
      <c r="F3817" s="70"/>
    </row>
    <row r="3818" spans="6:6" x14ac:dyDescent="0.2">
      <c r="F3818" s="70"/>
    </row>
    <row r="3819" spans="6:6" x14ac:dyDescent="0.2">
      <c r="F3819" s="70"/>
    </row>
    <row r="3820" spans="6:6" x14ac:dyDescent="0.2">
      <c r="F3820" s="70"/>
    </row>
    <row r="3821" spans="6:6" x14ac:dyDescent="0.2">
      <c r="F3821" s="70"/>
    </row>
    <row r="3822" spans="6:6" x14ac:dyDescent="0.2">
      <c r="F3822" s="70"/>
    </row>
    <row r="3823" spans="6:6" x14ac:dyDescent="0.2">
      <c r="F3823" s="70"/>
    </row>
    <row r="3824" spans="6:6" x14ac:dyDescent="0.2">
      <c r="F3824" s="70"/>
    </row>
    <row r="3825" spans="6:6" x14ac:dyDescent="0.2">
      <c r="F3825" s="70"/>
    </row>
    <row r="3826" spans="6:6" x14ac:dyDescent="0.2">
      <c r="F3826" s="70"/>
    </row>
    <row r="3827" spans="6:6" x14ac:dyDescent="0.2">
      <c r="F3827" s="70"/>
    </row>
    <row r="3828" spans="6:6" x14ac:dyDescent="0.2">
      <c r="F3828" s="70"/>
    </row>
    <row r="3829" spans="6:6" x14ac:dyDescent="0.2">
      <c r="F3829" s="70"/>
    </row>
    <row r="3830" spans="6:6" x14ac:dyDescent="0.2">
      <c r="F3830" s="70"/>
    </row>
    <row r="3831" spans="6:6" x14ac:dyDescent="0.2">
      <c r="F3831" s="70"/>
    </row>
    <row r="3832" spans="6:6" x14ac:dyDescent="0.2">
      <c r="F3832" s="70"/>
    </row>
    <row r="3833" spans="6:6" x14ac:dyDescent="0.2">
      <c r="F3833" s="70"/>
    </row>
    <row r="3834" spans="6:6" x14ac:dyDescent="0.2">
      <c r="F3834" s="70"/>
    </row>
    <row r="3835" spans="6:6" x14ac:dyDescent="0.2">
      <c r="F3835" s="70"/>
    </row>
    <row r="3836" spans="6:6" x14ac:dyDescent="0.2">
      <c r="F3836" s="70"/>
    </row>
    <row r="3837" spans="6:6" x14ac:dyDescent="0.2">
      <c r="F3837" s="70"/>
    </row>
    <row r="3838" spans="6:6" x14ac:dyDescent="0.2">
      <c r="F3838" s="70"/>
    </row>
    <row r="3839" spans="6:6" x14ac:dyDescent="0.2">
      <c r="F3839" s="70"/>
    </row>
    <row r="3840" spans="6:6" x14ac:dyDescent="0.2">
      <c r="F3840" s="70"/>
    </row>
    <row r="3841" spans="6:6" x14ac:dyDescent="0.2">
      <c r="F3841" s="70"/>
    </row>
    <row r="3842" spans="6:6" x14ac:dyDescent="0.2">
      <c r="F3842" s="70"/>
    </row>
    <row r="3843" spans="6:6" x14ac:dyDescent="0.2">
      <c r="F3843" s="70"/>
    </row>
    <row r="3844" spans="6:6" x14ac:dyDescent="0.2">
      <c r="F3844" s="70"/>
    </row>
    <row r="3845" spans="6:6" x14ac:dyDescent="0.2">
      <c r="F3845" s="70"/>
    </row>
    <row r="3846" spans="6:6" x14ac:dyDescent="0.2">
      <c r="F3846" s="70"/>
    </row>
    <row r="3847" spans="6:6" x14ac:dyDescent="0.2">
      <c r="F3847" s="70"/>
    </row>
    <row r="3848" spans="6:6" x14ac:dyDescent="0.2">
      <c r="F3848" s="70"/>
    </row>
    <row r="3849" spans="6:6" x14ac:dyDescent="0.2">
      <c r="F3849" s="70"/>
    </row>
    <row r="3850" spans="6:6" x14ac:dyDescent="0.2">
      <c r="F3850" s="70"/>
    </row>
    <row r="3851" spans="6:6" x14ac:dyDescent="0.2">
      <c r="F3851" s="70"/>
    </row>
    <row r="3852" spans="6:6" x14ac:dyDescent="0.2">
      <c r="F3852" s="70"/>
    </row>
    <row r="3853" spans="6:6" x14ac:dyDescent="0.2">
      <c r="F3853" s="70"/>
    </row>
    <row r="3854" spans="6:6" x14ac:dyDescent="0.2">
      <c r="F3854" s="70"/>
    </row>
    <row r="3855" spans="6:6" x14ac:dyDescent="0.2">
      <c r="F3855" s="70"/>
    </row>
    <row r="3856" spans="6:6" x14ac:dyDescent="0.2">
      <c r="F3856" s="70"/>
    </row>
    <row r="3857" spans="6:6" x14ac:dyDescent="0.2">
      <c r="F3857" s="70"/>
    </row>
    <row r="3858" spans="6:6" x14ac:dyDescent="0.2">
      <c r="F3858" s="70"/>
    </row>
    <row r="3859" spans="6:6" x14ac:dyDescent="0.2">
      <c r="F3859" s="70"/>
    </row>
    <row r="3860" spans="6:6" x14ac:dyDescent="0.2">
      <c r="F3860" s="70"/>
    </row>
    <row r="3861" spans="6:6" x14ac:dyDescent="0.2">
      <c r="F3861" s="70"/>
    </row>
    <row r="3862" spans="6:6" x14ac:dyDescent="0.2">
      <c r="F3862" s="70"/>
    </row>
    <row r="3863" spans="6:6" x14ac:dyDescent="0.2">
      <c r="F3863" s="70"/>
    </row>
    <row r="3864" spans="6:6" x14ac:dyDescent="0.2">
      <c r="F3864" s="70"/>
    </row>
    <row r="3865" spans="6:6" x14ac:dyDescent="0.2">
      <c r="F3865" s="70"/>
    </row>
    <row r="3866" spans="6:6" x14ac:dyDescent="0.2">
      <c r="F3866" s="70"/>
    </row>
    <row r="3867" spans="6:6" x14ac:dyDescent="0.2">
      <c r="F3867" s="70"/>
    </row>
    <row r="3868" spans="6:6" x14ac:dyDescent="0.2">
      <c r="F3868" s="70"/>
    </row>
    <row r="3869" spans="6:6" x14ac:dyDescent="0.2">
      <c r="F3869" s="70"/>
    </row>
    <row r="3870" spans="6:6" x14ac:dyDescent="0.2">
      <c r="F3870" s="70"/>
    </row>
    <row r="3871" spans="6:6" x14ac:dyDescent="0.2">
      <c r="F3871" s="70"/>
    </row>
    <row r="3872" spans="6:6" x14ac:dyDescent="0.2">
      <c r="F3872" s="70"/>
    </row>
    <row r="3873" spans="6:6" x14ac:dyDescent="0.2">
      <c r="F3873" s="70"/>
    </row>
    <row r="3874" spans="6:6" x14ac:dyDescent="0.2">
      <c r="F3874" s="70"/>
    </row>
    <row r="3875" spans="6:6" x14ac:dyDescent="0.2">
      <c r="F3875" s="70"/>
    </row>
    <row r="3876" spans="6:6" x14ac:dyDescent="0.2">
      <c r="F3876" s="70"/>
    </row>
    <row r="3877" spans="6:6" x14ac:dyDescent="0.2">
      <c r="F3877" s="70"/>
    </row>
    <row r="3878" spans="6:6" x14ac:dyDescent="0.2">
      <c r="F3878" s="70"/>
    </row>
    <row r="3879" spans="6:6" x14ac:dyDescent="0.2">
      <c r="F3879" s="70"/>
    </row>
    <row r="3880" spans="6:6" x14ac:dyDescent="0.2">
      <c r="F3880" s="70"/>
    </row>
    <row r="3881" spans="6:6" x14ac:dyDescent="0.2">
      <c r="F3881" s="70"/>
    </row>
    <row r="3882" spans="6:6" x14ac:dyDescent="0.2">
      <c r="F3882" s="70"/>
    </row>
    <row r="3883" spans="6:6" x14ac:dyDescent="0.2">
      <c r="F3883" s="70"/>
    </row>
    <row r="3884" spans="6:6" x14ac:dyDescent="0.2">
      <c r="F3884" s="70"/>
    </row>
    <row r="3885" spans="6:6" x14ac:dyDescent="0.2">
      <c r="F3885" s="70"/>
    </row>
    <row r="3886" spans="6:6" x14ac:dyDescent="0.2">
      <c r="F3886" s="70"/>
    </row>
    <row r="3887" spans="6:6" x14ac:dyDescent="0.2">
      <c r="F3887" s="70"/>
    </row>
    <row r="3888" spans="6:6" x14ac:dyDescent="0.2">
      <c r="F3888" s="70"/>
    </row>
    <row r="3889" spans="6:6" x14ac:dyDescent="0.2">
      <c r="F3889" s="70"/>
    </row>
    <row r="3890" spans="6:6" x14ac:dyDescent="0.2">
      <c r="F3890" s="70"/>
    </row>
    <row r="3891" spans="6:6" x14ac:dyDescent="0.2">
      <c r="F3891" s="70"/>
    </row>
    <row r="3892" spans="6:6" x14ac:dyDescent="0.2">
      <c r="F3892" s="70"/>
    </row>
    <row r="3893" spans="6:6" x14ac:dyDescent="0.2">
      <c r="F3893" s="70"/>
    </row>
    <row r="3894" spans="6:6" x14ac:dyDescent="0.2">
      <c r="F3894" s="70"/>
    </row>
    <row r="3895" spans="6:6" x14ac:dyDescent="0.2">
      <c r="F3895" s="70"/>
    </row>
    <row r="3896" spans="6:6" x14ac:dyDescent="0.2">
      <c r="F3896" s="70"/>
    </row>
    <row r="3897" spans="6:6" x14ac:dyDescent="0.2">
      <c r="F3897" s="70"/>
    </row>
    <row r="3898" spans="6:6" x14ac:dyDescent="0.2">
      <c r="F3898" s="70"/>
    </row>
    <row r="3899" spans="6:6" x14ac:dyDescent="0.2">
      <c r="F3899" s="70"/>
    </row>
    <row r="3900" spans="6:6" x14ac:dyDescent="0.2">
      <c r="F3900" s="70"/>
    </row>
    <row r="3901" spans="6:6" x14ac:dyDescent="0.2">
      <c r="F3901" s="70"/>
    </row>
    <row r="3902" spans="6:6" x14ac:dyDescent="0.2">
      <c r="F3902" s="70"/>
    </row>
    <row r="3903" spans="6:6" x14ac:dyDescent="0.2">
      <c r="F3903" s="70"/>
    </row>
    <row r="3904" spans="6:6" x14ac:dyDescent="0.2">
      <c r="F3904" s="70"/>
    </row>
    <row r="3905" spans="6:6" x14ac:dyDescent="0.2">
      <c r="F3905" s="70"/>
    </row>
    <row r="3906" spans="6:6" x14ac:dyDescent="0.2">
      <c r="F3906" s="70"/>
    </row>
    <row r="3907" spans="6:6" x14ac:dyDescent="0.2">
      <c r="F3907" s="70"/>
    </row>
    <row r="3908" spans="6:6" x14ac:dyDescent="0.2">
      <c r="F3908" s="70"/>
    </row>
    <row r="3909" spans="6:6" x14ac:dyDescent="0.2">
      <c r="F3909" s="70"/>
    </row>
    <row r="3910" spans="6:6" x14ac:dyDescent="0.2">
      <c r="F3910" s="70"/>
    </row>
    <row r="3911" spans="6:6" x14ac:dyDescent="0.2">
      <c r="F3911" s="70"/>
    </row>
    <row r="3912" spans="6:6" x14ac:dyDescent="0.2">
      <c r="F3912" s="70"/>
    </row>
    <row r="3913" spans="6:6" x14ac:dyDescent="0.2">
      <c r="F3913" s="70"/>
    </row>
    <row r="3914" spans="6:6" x14ac:dyDescent="0.2">
      <c r="F3914" s="70"/>
    </row>
    <row r="3915" spans="6:6" x14ac:dyDescent="0.2">
      <c r="F3915" s="70"/>
    </row>
    <row r="3916" spans="6:6" x14ac:dyDescent="0.2">
      <c r="F3916" s="70"/>
    </row>
    <row r="3917" spans="6:6" x14ac:dyDescent="0.2">
      <c r="F3917" s="70"/>
    </row>
    <row r="3918" spans="6:6" x14ac:dyDescent="0.2">
      <c r="F3918" s="70"/>
    </row>
    <row r="3919" spans="6:6" x14ac:dyDescent="0.2">
      <c r="F3919" s="70"/>
    </row>
    <row r="3920" spans="6:6" x14ac:dyDescent="0.2">
      <c r="F3920" s="70"/>
    </row>
    <row r="3921" spans="6:6" x14ac:dyDescent="0.2">
      <c r="F3921" s="70"/>
    </row>
    <row r="3922" spans="6:6" x14ac:dyDescent="0.2">
      <c r="F3922" s="70"/>
    </row>
    <row r="3923" spans="6:6" x14ac:dyDescent="0.2">
      <c r="F3923" s="70"/>
    </row>
    <row r="3924" spans="6:6" x14ac:dyDescent="0.2">
      <c r="F3924" s="70"/>
    </row>
    <row r="3925" spans="6:6" x14ac:dyDescent="0.2">
      <c r="F3925" s="70"/>
    </row>
    <row r="3926" spans="6:6" x14ac:dyDescent="0.2">
      <c r="F3926" s="70"/>
    </row>
    <row r="3927" spans="6:6" x14ac:dyDescent="0.2">
      <c r="F3927" s="70"/>
    </row>
    <row r="3928" spans="6:6" x14ac:dyDescent="0.2">
      <c r="F3928" s="70"/>
    </row>
    <row r="3929" spans="6:6" x14ac:dyDescent="0.2">
      <c r="F3929" s="70"/>
    </row>
    <row r="3930" spans="6:6" x14ac:dyDescent="0.2">
      <c r="F3930" s="70"/>
    </row>
    <row r="3931" spans="6:6" x14ac:dyDescent="0.2">
      <c r="F3931" s="70"/>
    </row>
    <row r="3932" spans="6:6" x14ac:dyDescent="0.2">
      <c r="F3932" s="70"/>
    </row>
    <row r="3933" spans="6:6" x14ac:dyDescent="0.2">
      <c r="F3933" s="70"/>
    </row>
    <row r="3934" spans="6:6" x14ac:dyDescent="0.2">
      <c r="F3934" s="70"/>
    </row>
    <row r="3935" spans="6:6" x14ac:dyDescent="0.2">
      <c r="F3935" s="70"/>
    </row>
    <row r="3936" spans="6:6" x14ac:dyDescent="0.2">
      <c r="F3936" s="70"/>
    </row>
    <row r="3937" spans="6:6" x14ac:dyDescent="0.2">
      <c r="F3937" s="70"/>
    </row>
    <row r="3938" spans="6:6" x14ac:dyDescent="0.2">
      <c r="F3938" s="70"/>
    </row>
    <row r="3939" spans="6:6" x14ac:dyDescent="0.2">
      <c r="F3939" s="70"/>
    </row>
    <row r="3940" spans="6:6" x14ac:dyDescent="0.2">
      <c r="F3940" s="70"/>
    </row>
    <row r="3941" spans="6:6" x14ac:dyDescent="0.2">
      <c r="F3941" s="70"/>
    </row>
    <row r="3942" spans="6:6" x14ac:dyDescent="0.2">
      <c r="F3942" s="70"/>
    </row>
    <row r="3943" spans="6:6" x14ac:dyDescent="0.2">
      <c r="F3943" s="70"/>
    </row>
    <row r="3944" spans="6:6" x14ac:dyDescent="0.2">
      <c r="F3944" s="70"/>
    </row>
    <row r="3945" spans="6:6" x14ac:dyDescent="0.2">
      <c r="F3945" s="70"/>
    </row>
    <row r="3946" spans="6:6" x14ac:dyDescent="0.2">
      <c r="F3946" s="70"/>
    </row>
    <row r="3947" spans="6:6" x14ac:dyDescent="0.2">
      <c r="F3947" s="70"/>
    </row>
    <row r="3948" spans="6:6" x14ac:dyDescent="0.2">
      <c r="F3948" s="70"/>
    </row>
    <row r="3949" spans="6:6" x14ac:dyDescent="0.2">
      <c r="F3949" s="70"/>
    </row>
    <row r="3950" spans="6:6" x14ac:dyDescent="0.2">
      <c r="F3950" s="70"/>
    </row>
    <row r="3951" spans="6:6" x14ac:dyDescent="0.2">
      <c r="F3951" s="70"/>
    </row>
    <row r="3952" spans="6:6" x14ac:dyDescent="0.2">
      <c r="F3952" s="70"/>
    </row>
    <row r="3953" spans="6:6" x14ac:dyDescent="0.2">
      <c r="F3953" s="70"/>
    </row>
    <row r="3954" spans="6:6" x14ac:dyDescent="0.2">
      <c r="F3954" s="70"/>
    </row>
    <row r="3955" spans="6:6" x14ac:dyDescent="0.2">
      <c r="F3955" s="70"/>
    </row>
    <row r="3956" spans="6:6" x14ac:dyDescent="0.2">
      <c r="F3956" s="70"/>
    </row>
    <row r="3957" spans="6:6" x14ac:dyDescent="0.2">
      <c r="F3957" s="70"/>
    </row>
    <row r="3958" spans="6:6" x14ac:dyDescent="0.2">
      <c r="F3958" s="70"/>
    </row>
    <row r="3959" spans="6:6" x14ac:dyDescent="0.2">
      <c r="F3959" s="70"/>
    </row>
    <row r="3960" spans="6:6" x14ac:dyDescent="0.2">
      <c r="F3960" s="70"/>
    </row>
    <row r="3961" spans="6:6" x14ac:dyDescent="0.2">
      <c r="F3961" s="70"/>
    </row>
    <row r="3962" spans="6:6" x14ac:dyDescent="0.2">
      <c r="F3962" s="70"/>
    </row>
    <row r="3963" spans="6:6" x14ac:dyDescent="0.2">
      <c r="F3963" s="70"/>
    </row>
    <row r="3964" spans="6:6" x14ac:dyDescent="0.2">
      <c r="F3964" s="70"/>
    </row>
    <row r="3965" spans="6:6" x14ac:dyDescent="0.2">
      <c r="F3965" s="70"/>
    </row>
    <row r="3966" spans="6:6" x14ac:dyDescent="0.2">
      <c r="F3966" s="70"/>
    </row>
    <row r="3967" spans="6:6" x14ac:dyDescent="0.2">
      <c r="F3967" s="70"/>
    </row>
    <row r="3968" spans="6:6" x14ac:dyDescent="0.2">
      <c r="F3968" s="70"/>
    </row>
    <row r="3969" spans="6:6" x14ac:dyDescent="0.2">
      <c r="F3969" s="70"/>
    </row>
    <row r="3970" spans="6:6" x14ac:dyDescent="0.2">
      <c r="F3970" s="70"/>
    </row>
    <row r="3971" spans="6:6" x14ac:dyDescent="0.2">
      <c r="F3971" s="70"/>
    </row>
    <row r="3972" spans="6:6" x14ac:dyDescent="0.2">
      <c r="F3972" s="70"/>
    </row>
    <row r="3973" spans="6:6" x14ac:dyDescent="0.2">
      <c r="F3973" s="70"/>
    </row>
    <row r="3974" spans="6:6" x14ac:dyDescent="0.2">
      <c r="F3974" s="70"/>
    </row>
    <row r="3975" spans="6:6" x14ac:dyDescent="0.2">
      <c r="F3975" s="70"/>
    </row>
    <row r="3976" spans="6:6" x14ac:dyDescent="0.2">
      <c r="F3976" s="70"/>
    </row>
    <row r="3977" spans="6:6" x14ac:dyDescent="0.2">
      <c r="F3977" s="70"/>
    </row>
    <row r="3978" spans="6:6" x14ac:dyDescent="0.2">
      <c r="F3978" s="70"/>
    </row>
    <row r="3979" spans="6:6" x14ac:dyDescent="0.2">
      <c r="F3979" s="70"/>
    </row>
    <row r="3980" spans="6:6" x14ac:dyDescent="0.2">
      <c r="F3980" s="70"/>
    </row>
    <row r="3981" spans="6:6" x14ac:dyDescent="0.2">
      <c r="F3981" s="70"/>
    </row>
    <row r="3982" spans="6:6" x14ac:dyDescent="0.2">
      <c r="F3982" s="70"/>
    </row>
    <row r="3983" spans="6:6" x14ac:dyDescent="0.2">
      <c r="F3983" s="70"/>
    </row>
    <row r="3984" spans="6:6" x14ac:dyDescent="0.2">
      <c r="F3984" s="70"/>
    </row>
    <row r="3985" spans="6:6" x14ac:dyDescent="0.2">
      <c r="F3985" s="70"/>
    </row>
    <row r="3986" spans="6:6" x14ac:dyDescent="0.2">
      <c r="F3986" s="70"/>
    </row>
    <row r="3987" spans="6:6" x14ac:dyDescent="0.2">
      <c r="F3987" s="70"/>
    </row>
    <row r="3988" spans="6:6" x14ac:dyDescent="0.2">
      <c r="F3988" s="70"/>
    </row>
    <row r="3989" spans="6:6" x14ac:dyDescent="0.2">
      <c r="F3989" s="70"/>
    </row>
    <row r="3990" spans="6:6" x14ac:dyDescent="0.2">
      <c r="F3990" s="70"/>
    </row>
    <row r="3991" spans="6:6" x14ac:dyDescent="0.2">
      <c r="F3991" s="70"/>
    </row>
    <row r="3992" spans="6:6" x14ac:dyDescent="0.2">
      <c r="F3992" s="70"/>
    </row>
    <row r="3993" spans="6:6" x14ac:dyDescent="0.2">
      <c r="F3993" s="70"/>
    </row>
    <row r="3994" spans="6:6" x14ac:dyDescent="0.2">
      <c r="F3994" s="70"/>
    </row>
    <row r="3995" spans="6:6" x14ac:dyDescent="0.2">
      <c r="F3995" s="70"/>
    </row>
    <row r="3996" spans="6:6" x14ac:dyDescent="0.2">
      <c r="F3996" s="70"/>
    </row>
    <row r="3997" spans="6:6" x14ac:dyDescent="0.2">
      <c r="F3997" s="70"/>
    </row>
    <row r="3998" spans="6:6" x14ac:dyDescent="0.2">
      <c r="F3998" s="70"/>
    </row>
    <row r="3999" spans="6:6" x14ac:dyDescent="0.2">
      <c r="F3999" s="70"/>
    </row>
    <row r="4000" spans="6:6" x14ac:dyDescent="0.2">
      <c r="F4000" s="70"/>
    </row>
    <row r="4001" spans="6:6" x14ac:dyDescent="0.2">
      <c r="F4001" s="70"/>
    </row>
    <row r="4002" spans="6:6" x14ac:dyDescent="0.2">
      <c r="F4002" s="70"/>
    </row>
    <row r="4003" spans="6:6" x14ac:dyDescent="0.2">
      <c r="F4003" s="70"/>
    </row>
    <row r="4004" spans="6:6" x14ac:dyDescent="0.2">
      <c r="F4004" s="70"/>
    </row>
    <row r="4005" spans="6:6" x14ac:dyDescent="0.2">
      <c r="F4005" s="70"/>
    </row>
    <row r="4006" spans="6:6" x14ac:dyDescent="0.2">
      <c r="F4006" s="70"/>
    </row>
    <row r="4007" spans="6:6" x14ac:dyDescent="0.2">
      <c r="F4007" s="70"/>
    </row>
    <row r="4008" spans="6:6" x14ac:dyDescent="0.2">
      <c r="F4008" s="70"/>
    </row>
    <row r="4009" spans="6:6" x14ac:dyDescent="0.2">
      <c r="F4009" s="70"/>
    </row>
    <row r="4010" spans="6:6" x14ac:dyDescent="0.2">
      <c r="F4010" s="70"/>
    </row>
    <row r="4011" spans="6:6" x14ac:dyDescent="0.2">
      <c r="F4011" s="70"/>
    </row>
    <row r="4012" spans="6:6" x14ac:dyDescent="0.2">
      <c r="F4012" s="70"/>
    </row>
    <row r="4013" spans="6:6" x14ac:dyDescent="0.2">
      <c r="F4013" s="70"/>
    </row>
    <row r="4014" spans="6:6" x14ac:dyDescent="0.2">
      <c r="F4014" s="70"/>
    </row>
    <row r="4015" spans="6:6" x14ac:dyDescent="0.2">
      <c r="F4015" s="70"/>
    </row>
    <row r="4016" spans="6:6" x14ac:dyDescent="0.2">
      <c r="F4016" s="70"/>
    </row>
    <row r="4017" spans="6:6" x14ac:dyDescent="0.2">
      <c r="F4017" s="70"/>
    </row>
    <row r="4018" spans="6:6" x14ac:dyDescent="0.2">
      <c r="F4018" s="70"/>
    </row>
    <row r="4019" spans="6:6" x14ac:dyDescent="0.2">
      <c r="F4019" s="70"/>
    </row>
    <row r="4020" spans="6:6" x14ac:dyDescent="0.2">
      <c r="F4020" s="70"/>
    </row>
    <row r="4021" spans="6:6" x14ac:dyDescent="0.2">
      <c r="F4021" s="70"/>
    </row>
    <row r="4022" spans="6:6" x14ac:dyDescent="0.2">
      <c r="F4022" s="70"/>
    </row>
    <row r="4023" spans="6:6" x14ac:dyDescent="0.2">
      <c r="F4023" s="70"/>
    </row>
    <row r="4024" spans="6:6" x14ac:dyDescent="0.2">
      <c r="F4024" s="70"/>
    </row>
    <row r="4025" spans="6:6" x14ac:dyDescent="0.2">
      <c r="F4025" s="70"/>
    </row>
    <row r="4026" spans="6:6" x14ac:dyDescent="0.2">
      <c r="F4026" s="70"/>
    </row>
    <row r="4027" spans="6:6" x14ac:dyDescent="0.2">
      <c r="F4027" s="70"/>
    </row>
    <row r="4028" spans="6:6" x14ac:dyDescent="0.2">
      <c r="F4028" s="70"/>
    </row>
    <row r="4029" spans="6:6" x14ac:dyDescent="0.2">
      <c r="F4029" s="70"/>
    </row>
    <row r="4030" spans="6:6" x14ac:dyDescent="0.2">
      <c r="F4030" s="70"/>
    </row>
    <row r="4031" spans="6:6" x14ac:dyDescent="0.2">
      <c r="F4031" s="70"/>
    </row>
    <row r="4032" spans="6:6" x14ac:dyDescent="0.2">
      <c r="F4032" s="70"/>
    </row>
    <row r="4033" spans="6:6" x14ac:dyDescent="0.2">
      <c r="F4033" s="70"/>
    </row>
    <row r="4034" spans="6:6" x14ac:dyDescent="0.2">
      <c r="F4034" s="70"/>
    </row>
    <row r="4035" spans="6:6" x14ac:dyDescent="0.2">
      <c r="F4035" s="70"/>
    </row>
    <row r="4036" spans="6:6" x14ac:dyDescent="0.2">
      <c r="F4036" s="70"/>
    </row>
    <row r="4037" spans="6:6" x14ac:dyDescent="0.2">
      <c r="F4037" s="70"/>
    </row>
    <row r="4038" spans="6:6" x14ac:dyDescent="0.2">
      <c r="F4038" s="70"/>
    </row>
    <row r="4039" spans="6:6" x14ac:dyDescent="0.2">
      <c r="F4039" s="70"/>
    </row>
    <row r="4040" spans="6:6" x14ac:dyDescent="0.2">
      <c r="F4040" s="70"/>
    </row>
    <row r="4041" spans="6:6" x14ac:dyDescent="0.2">
      <c r="F4041" s="70"/>
    </row>
    <row r="4042" spans="6:6" x14ac:dyDescent="0.2">
      <c r="F4042" s="70"/>
    </row>
    <row r="4043" spans="6:6" x14ac:dyDescent="0.2">
      <c r="F4043" s="70"/>
    </row>
    <row r="4044" spans="6:6" x14ac:dyDescent="0.2">
      <c r="F4044" s="70"/>
    </row>
    <row r="4045" spans="6:6" x14ac:dyDescent="0.2">
      <c r="F4045" s="70"/>
    </row>
    <row r="4046" spans="6:6" x14ac:dyDescent="0.2">
      <c r="F4046" s="70"/>
    </row>
    <row r="4047" spans="6:6" x14ac:dyDescent="0.2">
      <c r="F4047" s="70"/>
    </row>
    <row r="4048" spans="6:6" x14ac:dyDescent="0.2">
      <c r="F4048" s="70"/>
    </row>
    <row r="4049" spans="6:6" x14ac:dyDescent="0.2">
      <c r="F4049" s="70"/>
    </row>
    <row r="4050" spans="6:6" x14ac:dyDescent="0.2">
      <c r="F4050" s="70"/>
    </row>
    <row r="4051" spans="6:6" x14ac:dyDescent="0.2">
      <c r="F4051" s="70"/>
    </row>
    <row r="4052" spans="6:6" x14ac:dyDescent="0.2">
      <c r="F4052" s="70"/>
    </row>
    <row r="4053" spans="6:6" x14ac:dyDescent="0.2">
      <c r="F4053" s="70"/>
    </row>
    <row r="4054" spans="6:6" x14ac:dyDescent="0.2">
      <c r="F4054" s="70"/>
    </row>
    <row r="4055" spans="6:6" x14ac:dyDescent="0.2">
      <c r="F4055" s="70"/>
    </row>
    <row r="4056" spans="6:6" x14ac:dyDescent="0.2">
      <c r="F4056" s="70"/>
    </row>
    <row r="4057" spans="6:6" x14ac:dyDescent="0.2">
      <c r="F4057" s="70"/>
    </row>
    <row r="4058" spans="6:6" x14ac:dyDescent="0.2">
      <c r="F4058" s="70"/>
    </row>
    <row r="4059" spans="6:6" x14ac:dyDescent="0.2">
      <c r="F4059" s="70"/>
    </row>
    <row r="4060" spans="6:6" x14ac:dyDescent="0.2">
      <c r="F4060" s="70"/>
    </row>
    <row r="4061" spans="6:6" x14ac:dyDescent="0.2">
      <c r="F4061" s="70"/>
    </row>
    <row r="4062" spans="6:6" x14ac:dyDescent="0.2">
      <c r="F4062" s="70"/>
    </row>
    <row r="4063" spans="6:6" x14ac:dyDescent="0.2">
      <c r="F4063" s="70"/>
    </row>
    <row r="4064" spans="6:6" x14ac:dyDescent="0.2">
      <c r="F4064" s="70"/>
    </row>
    <row r="4065" spans="6:6" x14ac:dyDescent="0.2">
      <c r="F4065" s="70"/>
    </row>
    <row r="4066" spans="6:6" x14ac:dyDescent="0.2">
      <c r="F4066" s="70"/>
    </row>
    <row r="4067" spans="6:6" x14ac:dyDescent="0.2">
      <c r="F4067" s="70"/>
    </row>
    <row r="4068" spans="6:6" x14ac:dyDescent="0.2">
      <c r="F4068" s="70"/>
    </row>
    <row r="4069" spans="6:6" x14ac:dyDescent="0.2">
      <c r="F4069" s="70"/>
    </row>
    <row r="4070" spans="6:6" x14ac:dyDescent="0.2">
      <c r="F4070" s="70"/>
    </row>
    <row r="4071" spans="6:6" x14ac:dyDescent="0.2">
      <c r="F4071" s="70"/>
    </row>
    <row r="4072" spans="6:6" x14ac:dyDescent="0.2">
      <c r="F4072" s="70"/>
    </row>
    <row r="4073" spans="6:6" x14ac:dyDescent="0.2">
      <c r="F4073" s="70"/>
    </row>
    <row r="4074" spans="6:6" x14ac:dyDescent="0.2">
      <c r="F4074" s="70"/>
    </row>
    <row r="4075" spans="6:6" x14ac:dyDescent="0.2">
      <c r="F4075" s="70"/>
    </row>
    <row r="4076" spans="6:6" x14ac:dyDescent="0.2">
      <c r="F4076" s="70"/>
    </row>
    <row r="4077" spans="6:6" x14ac:dyDescent="0.2">
      <c r="F4077" s="70"/>
    </row>
    <row r="4078" spans="6:6" x14ac:dyDescent="0.2">
      <c r="F4078" s="70"/>
    </row>
    <row r="4079" spans="6:6" x14ac:dyDescent="0.2">
      <c r="F4079" s="70"/>
    </row>
    <row r="4080" spans="6:6" x14ac:dyDescent="0.2">
      <c r="F4080" s="70"/>
    </row>
    <row r="4081" spans="6:6" x14ac:dyDescent="0.2">
      <c r="F4081" s="70"/>
    </row>
    <row r="4082" spans="6:6" x14ac:dyDescent="0.2">
      <c r="F4082" s="70"/>
    </row>
    <row r="4083" spans="6:6" x14ac:dyDescent="0.2">
      <c r="F4083" s="70"/>
    </row>
    <row r="4084" spans="6:6" x14ac:dyDescent="0.2">
      <c r="F4084" s="70"/>
    </row>
    <row r="4085" spans="6:6" x14ac:dyDescent="0.2">
      <c r="F4085" s="70"/>
    </row>
    <row r="4086" spans="6:6" x14ac:dyDescent="0.2">
      <c r="F4086" s="70"/>
    </row>
    <row r="4087" spans="6:6" x14ac:dyDescent="0.2">
      <c r="F4087" s="70"/>
    </row>
    <row r="4088" spans="6:6" x14ac:dyDescent="0.2">
      <c r="F4088" s="70"/>
    </row>
    <row r="4089" spans="6:6" x14ac:dyDescent="0.2">
      <c r="F4089" s="70"/>
    </row>
    <row r="4090" spans="6:6" x14ac:dyDescent="0.2">
      <c r="F4090" s="70"/>
    </row>
    <row r="4091" spans="6:6" x14ac:dyDescent="0.2">
      <c r="F4091" s="70"/>
    </row>
    <row r="4092" spans="6:6" x14ac:dyDescent="0.2">
      <c r="F4092" s="70"/>
    </row>
    <row r="4093" spans="6:6" x14ac:dyDescent="0.2">
      <c r="F4093" s="70"/>
    </row>
    <row r="4094" spans="6:6" x14ac:dyDescent="0.2">
      <c r="F4094" s="70"/>
    </row>
    <row r="4095" spans="6:6" x14ac:dyDescent="0.2">
      <c r="F4095" s="70"/>
    </row>
    <row r="4096" spans="6:6" x14ac:dyDescent="0.2">
      <c r="F4096" s="70"/>
    </row>
    <row r="4097" spans="6:6" x14ac:dyDescent="0.2">
      <c r="F4097" s="70"/>
    </row>
    <row r="4098" spans="6:6" x14ac:dyDescent="0.2">
      <c r="F4098" s="70"/>
    </row>
    <row r="4099" spans="6:6" x14ac:dyDescent="0.2">
      <c r="F4099" s="70"/>
    </row>
    <row r="4100" spans="6:6" x14ac:dyDescent="0.2">
      <c r="F4100" s="70"/>
    </row>
    <row r="4101" spans="6:6" x14ac:dyDescent="0.2">
      <c r="F4101" s="70"/>
    </row>
    <row r="4102" spans="6:6" x14ac:dyDescent="0.2">
      <c r="F4102" s="70"/>
    </row>
    <row r="4103" spans="6:6" x14ac:dyDescent="0.2">
      <c r="F4103" s="70"/>
    </row>
    <row r="4104" spans="6:6" x14ac:dyDescent="0.2">
      <c r="F4104" s="70"/>
    </row>
    <row r="4105" spans="6:6" x14ac:dyDescent="0.2">
      <c r="F4105" s="70"/>
    </row>
    <row r="4106" spans="6:6" x14ac:dyDescent="0.2">
      <c r="F4106" s="70"/>
    </row>
    <row r="4107" spans="6:6" x14ac:dyDescent="0.2">
      <c r="F4107" s="70"/>
    </row>
    <row r="4108" spans="6:6" x14ac:dyDescent="0.2">
      <c r="F4108" s="70"/>
    </row>
    <row r="4109" spans="6:6" x14ac:dyDescent="0.2">
      <c r="F4109" s="70"/>
    </row>
    <row r="4110" spans="6:6" x14ac:dyDescent="0.2">
      <c r="F4110" s="70"/>
    </row>
    <row r="4111" spans="6:6" x14ac:dyDescent="0.2">
      <c r="F4111" s="70"/>
    </row>
    <row r="4112" spans="6:6" x14ac:dyDescent="0.2">
      <c r="F4112" s="70"/>
    </row>
    <row r="4113" spans="6:6" x14ac:dyDescent="0.2">
      <c r="F4113" s="70"/>
    </row>
    <row r="4114" spans="6:6" x14ac:dyDescent="0.2">
      <c r="F4114" s="70"/>
    </row>
    <row r="4115" spans="6:6" x14ac:dyDescent="0.2">
      <c r="F4115" s="70"/>
    </row>
    <row r="4116" spans="6:6" x14ac:dyDescent="0.2">
      <c r="F4116" s="70"/>
    </row>
    <row r="4117" spans="6:6" x14ac:dyDescent="0.2">
      <c r="F4117" s="70"/>
    </row>
    <row r="4118" spans="6:6" x14ac:dyDescent="0.2">
      <c r="F4118" s="70"/>
    </row>
    <row r="4119" spans="6:6" x14ac:dyDescent="0.2">
      <c r="F4119" s="70"/>
    </row>
    <row r="4120" spans="6:6" x14ac:dyDescent="0.2">
      <c r="F4120" s="70"/>
    </row>
    <row r="4121" spans="6:6" x14ac:dyDescent="0.2">
      <c r="F4121" s="70"/>
    </row>
    <row r="4122" spans="6:6" x14ac:dyDescent="0.2">
      <c r="F4122" s="70"/>
    </row>
    <row r="4123" spans="6:6" x14ac:dyDescent="0.2">
      <c r="F4123" s="70"/>
    </row>
    <row r="4124" spans="6:6" x14ac:dyDescent="0.2">
      <c r="F4124" s="70"/>
    </row>
    <row r="4125" spans="6:6" x14ac:dyDescent="0.2">
      <c r="F4125" s="70"/>
    </row>
    <row r="4126" spans="6:6" x14ac:dyDescent="0.2">
      <c r="F4126" s="70"/>
    </row>
    <row r="4127" spans="6:6" x14ac:dyDescent="0.2">
      <c r="F4127" s="70"/>
    </row>
    <row r="4128" spans="6:6" x14ac:dyDescent="0.2">
      <c r="F4128" s="70"/>
    </row>
    <row r="4129" spans="6:6" x14ac:dyDescent="0.2">
      <c r="F4129" s="70"/>
    </row>
    <row r="4130" spans="6:6" x14ac:dyDescent="0.2">
      <c r="F4130" s="70"/>
    </row>
    <row r="4131" spans="6:6" x14ac:dyDescent="0.2">
      <c r="F4131" s="70"/>
    </row>
    <row r="4132" spans="6:6" x14ac:dyDescent="0.2">
      <c r="F4132" s="70"/>
    </row>
    <row r="4133" spans="6:6" x14ac:dyDescent="0.2">
      <c r="F4133" s="70"/>
    </row>
    <row r="4134" spans="6:6" x14ac:dyDescent="0.2">
      <c r="F4134" s="70"/>
    </row>
    <row r="4135" spans="6:6" x14ac:dyDescent="0.2">
      <c r="F4135" s="70"/>
    </row>
    <row r="4136" spans="6:6" x14ac:dyDescent="0.2">
      <c r="F4136" s="70"/>
    </row>
    <row r="4137" spans="6:6" x14ac:dyDescent="0.2">
      <c r="F4137" s="70"/>
    </row>
    <row r="4138" spans="6:6" x14ac:dyDescent="0.2">
      <c r="F4138" s="70"/>
    </row>
    <row r="4139" spans="6:6" x14ac:dyDescent="0.2">
      <c r="F4139" s="70"/>
    </row>
    <row r="4140" spans="6:6" x14ac:dyDescent="0.2">
      <c r="F4140" s="70"/>
    </row>
    <row r="4141" spans="6:6" x14ac:dyDescent="0.2">
      <c r="F4141" s="70"/>
    </row>
    <row r="4142" spans="6:6" x14ac:dyDescent="0.2">
      <c r="F4142" s="70"/>
    </row>
    <row r="4143" spans="6:6" x14ac:dyDescent="0.2">
      <c r="F4143" s="70"/>
    </row>
    <row r="4144" spans="6:6" x14ac:dyDescent="0.2">
      <c r="F4144" s="70"/>
    </row>
    <row r="4145" spans="6:6" x14ac:dyDescent="0.2">
      <c r="F4145" s="70"/>
    </row>
    <row r="4146" spans="6:6" x14ac:dyDescent="0.2">
      <c r="F4146" s="70"/>
    </row>
    <row r="4147" spans="6:6" x14ac:dyDescent="0.2">
      <c r="F4147" s="70"/>
    </row>
    <row r="4148" spans="6:6" x14ac:dyDescent="0.2">
      <c r="F4148" s="70"/>
    </row>
    <row r="4149" spans="6:6" x14ac:dyDescent="0.2">
      <c r="F4149" s="70"/>
    </row>
    <row r="4150" spans="6:6" x14ac:dyDescent="0.2">
      <c r="F4150" s="70"/>
    </row>
    <row r="4151" spans="6:6" x14ac:dyDescent="0.2">
      <c r="F4151" s="70"/>
    </row>
    <row r="4152" spans="6:6" x14ac:dyDescent="0.2">
      <c r="F4152" s="70"/>
    </row>
    <row r="4153" spans="6:6" x14ac:dyDescent="0.2">
      <c r="F4153" s="70"/>
    </row>
    <row r="4154" spans="6:6" x14ac:dyDescent="0.2">
      <c r="F4154" s="70"/>
    </row>
    <row r="4155" spans="6:6" x14ac:dyDescent="0.2">
      <c r="F4155" s="70"/>
    </row>
    <row r="4156" spans="6:6" x14ac:dyDescent="0.2">
      <c r="F4156" s="70"/>
    </row>
    <row r="4157" spans="6:6" x14ac:dyDescent="0.2">
      <c r="F4157" s="70"/>
    </row>
    <row r="4158" spans="6:6" x14ac:dyDescent="0.2">
      <c r="F4158" s="70"/>
    </row>
    <row r="4159" spans="6:6" x14ac:dyDescent="0.2">
      <c r="F4159" s="70"/>
    </row>
    <row r="4160" spans="6:6" x14ac:dyDescent="0.2">
      <c r="F4160" s="70"/>
    </row>
    <row r="4161" spans="6:6" x14ac:dyDescent="0.2">
      <c r="F4161" s="70"/>
    </row>
    <row r="4162" spans="6:6" x14ac:dyDescent="0.2">
      <c r="F4162" s="70"/>
    </row>
    <row r="4163" spans="6:6" x14ac:dyDescent="0.2">
      <c r="F4163" s="70"/>
    </row>
    <row r="4164" spans="6:6" x14ac:dyDescent="0.2">
      <c r="F4164" s="70"/>
    </row>
    <row r="4165" spans="6:6" x14ac:dyDescent="0.2">
      <c r="F4165" s="70"/>
    </row>
    <row r="4166" spans="6:6" x14ac:dyDescent="0.2">
      <c r="F4166" s="70"/>
    </row>
    <row r="4167" spans="6:6" x14ac:dyDescent="0.2">
      <c r="F4167" s="70"/>
    </row>
    <row r="4168" spans="6:6" x14ac:dyDescent="0.2">
      <c r="F4168" s="70"/>
    </row>
    <row r="4169" spans="6:6" x14ac:dyDescent="0.2">
      <c r="F4169" s="70"/>
    </row>
    <row r="4170" spans="6:6" x14ac:dyDescent="0.2">
      <c r="F4170" s="70"/>
    </row>
    <row r="4171" spans="6:6" x14ac:dyDescent="0.2">
      <c r="F4171" s="70"/>
    </row>
    <row r="4172" spans="6:6" x14ac:dyDescent="0.2">
      <c r="F4172" s="70"/>
    </row>
    <row r="4173" spans="6:6" x14ac:dyDescent="0.2">
      <c r="F4173" s="70"/>
    </row>
    <row r="4174" spans="6:6" x14ac:dyDescent="0.2">
      <c r="F4174" s="70"/>
    </row>
    <row r="4175" spans="6:6" x14ac:dyDescent="0.2">
      <c r="F4175" s="70"/>
    </row>
    <row r="4176" spans="6:6" x14ac:dyDescent="0.2">
      <c r="F4176" s="70"/>
    </row>
    <row r="4177" spans="6:6" x14ac:dyDescent="0.2">
      <c r="F4177" s="70"/>
    </row>
    <row r="4178" spans="6:6" x14ac:dyDescent="0.2">
      <c r="F4178" s="70"/>
    </row>
    <row r="4179" spans="6:6" x14ac:dyDescent="0.2">
      <c r="F4179" s="70"/>
    </row>
    <row r="4180" spans="6:6" x14ac:dyDescent="0.2">
      <c r="F4180" s="70"/>
    </row>
    <row r="4181" spans="6:6" x14ac:dyDescent="0.2">
      <c r="F4181" s="70"/>
    </row>
    <row r="4182" spans="6:6" x14ac:dyDescent="0.2">
      <c r="F4182" s="70"/>
    </row>
    <row r="4183" spans="6:6" x14ac:dyDescent="0.2">
      <c r="F4183" s="70"/>
    </row>
    <row r="4184" spans="6:6" x14ac:dyDescent="0.2">
      <c r="F4184" s="70"/>
    </row>
    <row r="4185" spans="6:6" x14ac:dyDescent="0.2">
      <c r="F4185" s="70"/>
    </row>
    <row r="4186" spans="6:6" x14ac:dyDescent="0.2">
      <c r="F4186" s="70"/>
    </row>
    <row r="4187" spans="6:6" x14ac:dyDescent="0.2">
      <c r="F4187" s="70"/>
    </row>
    <row r="4188" spans="6:6" x14ac:dyDescent="0.2">
      <c r="F4188" s="70"/>
    </row>
    <row r="4189" spans="6:6" x14ac:dyDescent="0.2">
      <c r="F4189" s="70"/>
    </row>
    <row r="4190" spans="6:6" x14ac:dyDescent="0.2">
      <c r="F4190" s="70"/>
    </row>
    <row r="4191" spans="6:6" x14ac:dyDescent="0.2">
      <c r="F4191" s="70"/>
    </row>
    <row r="4192" spans="6:6" x14ac:dyDescent="0.2">
      <c r="F4192" s="70"/>
    </row>
    <row r="4193" spans="6:6" x14ac:dyDescent="0.2">
      <c r="F4193" s="70"/>
    </row>
    <row r="4194" spans="6:6" x14ac:dyDescent="0.2">
      <c r="F4194" s="70"/>
    </row>
    <row r="4195" spans="6:6" x14ac:dyDescent="0.2">
      <c r="F4195" s="70"/>
    </row>
    <row r="4196" spans="6:6" x14ac:dyDescent="0.2">
      <c r="F4196" s="70"/>
    </row>
    <row r="4197" spans="6:6" x14ac:dyDescent="0.2">
      <c r="F4197" s="70"/>
    </row>
    <row r="4198" spans="6:6" x14ac:dyDescent="0.2">
      <c r="F4198" s="70"/>
    </row>
    <row r="4199" spans="6:6" x14ac:dyDescent="0.2">
      <c r="F4199" s="70"/>
    </row>
    <row r="4200" spans="6:6" x14ac:dyDescent="0.2">
      <c r="F4200" s="70"/>
    </row>
    <row r="4201" spans="6:6" x14ac:dyDescent="0.2">
      <c r="F4201" s="70"/>
    </row>
    <row r="4202" spans="6:6" x14ac:dyDescent="0.2">
      <c r="F4202" s="70"/>
    </row>
    <row r="4203" spans="6:6" x14ac:dyDescent="0.2">
      <c r="F4203" s="70"/>
    </row>
    <row r="4204" spans="6:6" x14ac:dyDescent="0.2">
      <c r="F4204" s="70"/>
    </row>
    <row r="4205" spans="6:6" x14ac:dyDescent="0.2">
      <c r="F4205" s="70"/>
    </row>
    <row r="4206" spans="6:6" x14ac:dyDescent="0.2">
      <c r="F4206" s="70"/>
    </row>
    <row r="4207" spans="6:6" x14ac:dyDescent="0.2">
      <c r="F4207" s="70"/>
    </row>
    <row r="4208" spans="6:6" x14ac:dyDescent="0.2">
      <c r="F4208" s="70"/>
    </row>
    <row r="4209" spans="6:6" x14ac:dyDescent="0.2">
      <c r="F4209" s="70"/>
    </row>
    <row r="4210" spans="6:6" x14ac:dyDescent="0.2">
      <c r="F4210" s="70"/>
    </row>
    <row r="4211" spans="6:6" x14ac:dyDescent="0.2">
      <c r="F4211" s="70"/>
    </row>
    <row r="4212" spans="6:6" x14ac:dyDescent="0.2">
      <c r="F4212" s="70"/>
    </row>
    <row r="4213" spans="6:6" x14ac:dyDescent="0.2">
      <c r="F4213" s="70"/>
    </row>
    <row r="4214" spans="6:6" x14ac:dyDescent="0.2">
      <c r="F4214" s="70"/>
    </row>
    <row r="4215" spans="6:6" x14ac:dyDescent="0.2">
      <c r="F4215" s="70"/>
    </row>
    <row r="4216" spans="6:6" x14ac:dyDescent="0.2">
      <c r="F4216" s="70"/>
    </row>
    <row r="4217" spans="6:6" x14ac:dyDescent="0.2">
      <c r="F4217" s="70"/>
    </row>
    <row r="4218" spans="6:6" x14ac:dyDescent="0.2">
      <c r="F4218" s="70"/>
    </row>
    <row r="4219" spans="6:6" x14ac:dyDescent="0.2">
      <c r="F4219" s="70"/>
    </row>
    <row r="4220" spans="6:6" x14ac:dyDescent="0.2">
      <c r="F4220" s="70"/>
    </row>
    <row r="4221" spans="6:6" x14ac:dyDescent="0.2">
      <c r="F4221" s="70"/>
    </row>
    <row r="4222" spans="6:6" x14ac:dyDescent="0.2">
      <c r="F4222" s="70"/>
    </row>
    <row r="4223" spans="6:6" x14ac:dyDescent="0.2">
      <c r="F4223" s="70"/>
    </row>
    <row r="4224" spans="6:6" x14ac:dyDescent="0.2">
      <c r="F4224" s="70"/>
    </row>
    <row r="4225" spans="6:6" x14ac:dyDescent="0.2">
      <c r="F4225" s="70"/>
    </row>
    <row r="4226" spans="6:6" x14ac:dyDescent="0.2">
      <c r="F4226" s="70"/>
    </row>
    <row r="4227" spans="6:6" x14ac:dyDescent="0.2">
      <c r="F4227" s="70"/>
    </row>
    <row r="4228" spans="6:6" x14ac:dyDescent="0.2">
      <c r="F4228" s="70"/>
    </row>
    <row r="4229" spans="6:6" x14ac:dyDescent="0.2">
      <c r="F4229" s="70"/>
    </row>
    <row r="4230" spans="6:6" x14ac:dyDescent="0.2">
      <c r="F4230" s="70"/>
    </row>
    <row r="4231" spans="6:6" x14ac:dyDescent="0.2">
      <c r="F4231" s="70"/>
    </row>
    <row r="4232" spans="6:6" x14ac:dyDescent="0.2">
      <c r="F4232" s="70"/>
    </row>
    <row r="4233" spans="6:6" x14ac:dyDescent="0.2">
      <c r="F4233" s="70"/>
    </row>
    <row r="4234" spans="6:6" x14ac:dyDescent="0.2">
      <c r="F4234" s="70"/>
    </row>
    <row r="4235" spans="6:6" x14ac:dyDescent="0.2">
      <c r="F4235" s="70"/>
    </row>
    <row r="4236" spans="6:6" x14ac:dyDescent="0.2">
      <c r="F4236" s="70"/>
    </row>
    <row r="4237" spans="6:6" x14ac:dyDescent="0.2">
      <c r="F4237" s="70"/>
    </row>
    <row r="4238" spans="6:6" x14ac:dyDescent="0.2">
      <c r="F4238" s="70"/>
    </row>
    <row r="4239" spans="6:6" x14ac:dyDescent="0.2">
      <c r="F4239" s="70"/>
    </row>
    <row r="4240" spans="6:6" x14ac:dyDescent="0.2">
      <c r="F4240" s="70"/>
    </row>
    <row r="4241" spans="6:6" x14ac:dyDescent="0.2">
      <c r="F4241" s="70"/>
    </row>
    <row r="4242" spans="6:6" x14ac:dyDescent="0.2">
      <c r="F4242" s="70"/>
    </row>
    <row r="4243" spans="6:6" x14ac:dyDescent="0.2">
      <c r="F4243" s="70"/>
    </row>
    <row r="4244" spans="6:6" x14ac:dyDescent="0.2">
      <c r="F4244" s="70"/>
    </row>
    <row r="4245" spans="6:6" x14ac:dyDescent="0.2">
      <c r="F4245" s="70"/>
    </row>
    <row r="4246" spans="6:6" x14ac:dyDescent="0.2">
      <c r="F4246" s="70"/>
    </row>
    <row r="4247" spans="6:6" x14ac:dyDescent="0.2">
      <c r="F4247" s="70"/>
    </row>
    <row r="4248" spans="6:6" x14ac:dyDescent="0.2">
      <c r="F4248" s="70"/>
    </row>
    <row r="4249" spans="6:6" x14ac:dyDescent="0.2">
      <c r="F4249" s="70"/>
    </row>
    <row r="4250" spans="6:6" x14ac:dyDescent="0.2">
      <c r="F4250" s="70"/>
    </row>
    <row r="4251" spans="6:6" x14ac:dyDescent="0.2">
      <c r="F4251" s="70"/>
    </row>
    <row r="4252" spans="6:6" x14ac:dyDescent="0.2">
      <c r="F4252" s="70"/>
    </row>
    <row r="4253" spans="6:6" x14ac:dyDescent="0.2">
      <c r="F4253" s="70"/>
    </row>
    <row r="4254" spans="6:6" x14ac:dyDescent="0.2">
      <c r="F4254" s="70"/>
    </row>
    <row r="4255" spans="6:6" x14ac:dyDescent="0.2">
      <c r="F4255" s="70"/>
    </row>
    <row r="4256" spans="6:6" x14ac:dyDescent="0.2">
      <c r="F4256" s="70"/>
    </row>
    <row r="4257" spans="6:6" x14ac:dyDescent="0.2">
      <c r="F4257" s="70"/>
    </row>
    <row r="4258" spans="6:6" x14ac:dyDescent="0.2">
      <c r="F4258" s="70"/>
    </row>
    <row r="4259" spans="6:6" x14ac:dyDescent="0.2">
      <c r="F4259" s="70"/>
    </row>
    <row r="4260" spans="6:6" x14ac:dyDescent="0.2">
      <c r="F4260" s="70"/>
    </row>
    <row r="4261" spans="6:6" x14ac:dyDescent="0.2">
      <c r="F4261" s="70"/>
    </row>
    <row r="4262" spans="6:6" x14ac:dyDescent="0.2">
      <c r="F4262" s="70"/>
    </row>
    <row r="4263" spans="6:6" x14ac:dyDescent="0.2">
      <c r="F4263" s="70"/>
    </row>
    <row r="4264" spans="6:6" x14ac:dyDescent="0.2">
      <c r="F4264" s="70"/>
    </row>
    <row r="4265" spans="6:6" x14ac:dyDescent="0.2">
      <c r="F4265" s="70"/>
    </row>
    <row r="4266" spans="6:6" x14ac:dyDescent="0.2">
      <c r="F4266" s="70"/>
    </row>
    <row r="4267" spans="6:6" x14ac:dyDescent="0.2">
      <c r="F4267" s="70"/>
    </row>
    <row r="4268" spans="6:6" x14ac:dyDescent="0.2">
      <c r="F4268" s="70"/>
    </row>
    <row r="4269" spans="6:6" x14ac:dyDescent="0.2">
      <c r="F4269" s="70"/>
    </row>
    <row r="4270" spans="6:6" x14ac:dyDescent="0.2">
      <c r="F4270" s="70"/>
    </row>
    <row r="4271" spans="6:6" x14ac:dyDescent="0.2">
      <c r="F4271" s="70"/>
    </row>
    <row r="4272" spans="6:6" x14ac:dyDescent="0.2">
      <c r="F4272" s="70"/>
    </row>
    <row r="4273" spans="6:6" x14ac:dyDescent="0.2">
      <c r="F4273" s="70"/>
    </row>
    <row r="4274" spans="6:6" x14ac:dyDescent="0.2">
      <c r="F4274" s="70"/>
    </row>
    <row r="4275" spans="6:6" x14ac:dyDescent="0.2">
      <c r="F4275" s="70"/>
    </row>
    <row r="4276" spans="6:6" x14ac:dyDescent="0.2">
      <c r="F4276" s="70"/>
    </row>
    <row r="4277" spans="6:6" x14ac:dyDescent="0.2">
      <c r="F4277" s="70"/>
    </row>
    <row r="4278" spans="6:6" x14ac:dyDescent="0.2">
      <c r="F4278" s="70"/>
    </row>
    <row r="4279" spans="6:6" x14ac:dyDescent="0.2">
      <c r="F4279" s="70"/>
    </row>
    <row r="4280" spans="6:6" x14ac:dyDescent="0.2">
      <c r="F4280" s="70"/>
    </row>
    <row r="4281" spans="6:6" x14ac:dyDescent="0.2">
      <c r="F4281" s="70"/>
    </row>
    <row r="4282" spans="6:6" x14ac:dyDescent="0.2">
      <c r="F4282" s="70"/>
    </row>
    <row r="4283" spans="6:6" x14ac:dyDescent="0.2">
      <c r="F4283" s="70"/>
    </row>
    <row r="4284" spans="6:6" x14ac:dyDescent="0.2">
      <c r="F4284" s="70"/>
    </row>
    <row r="4285" spans="6:6" x14ac:dyDescent="0.2">
      <c r="F4285" s="70"/>
    </row>
    <row r="4286" spans="6:6" x14ac:dyDescent="0.2">
      <c r="F4286" s="70"/>
    </row>
    <row r="4287" spans="6:6" x14ac:dyDescent="0.2">
      <c r="F4287" s="70"/>
    </row>
    <row r="4288" spans="6:6" x14ac:dyDescent="0.2">
      <c r="F4288" s="70"/>
    </row>
    <row r="4289" spans="6:6" x14ac:dyDescent="0.2">
      <c r="F4289" s="70"/>
    </row>
    <row r="4290" spans="6:6" x14ac:dyDescent="0.2">
      <c r="F4290" s="70"/>
    </row>
    <row r="4291" spans="6:6" x14ac:dyDescent="0.2">
      <c r="F4291" s="70"/>
    </row>
    <row r="4292" spans="6:6" x14ac:dyDescent="0.2">
      <c r="F4292" s="70"/>
    </row>
    <row r="4293" spans="6:6" x14ac:dyDescent="0.2">
      <c r="F4293" s="70"/>
    </row>
    <row r="4294" spans="6:6" x14ac:dyDescent="0.2">
      <c r="F4294" s="70"/>
    </row>
    <row r="4295" spans="6:6" x14ac:dyDescent="0.2">
      <c r="F4295" s="70"/>
    </row>
    <row r="4296" spans="6:6" x14ac:dyDescent="0.2">
      <c r="F4296" s="70"/>
    </row>
    <row r="4297" spans="6:6" x14ac:dyDescent="0.2">
      <c r="F4297" s="70"/>
    </row>
    <row r="4298" spans="6:6" x14ac:dyDescent="0.2">
      <c r="F4298" s="70"/>
    </row>
    <row r="4299" spans="6:6" x14ac:dyDescent="0.2">
      <c r="F4299" s="70"/>
    </row>
    <row r="4300" spans="6:6" x14ac:dyDescent="0.2">
      <c r="F4300" s="70"/>
    </row>
    <row r="4301" spans="6:6" x14ac:dyDescent="0.2">
      <c r="F4301" s="70"/>
    </row>
    <row r="4302" spans="6:6" x14ac:dyDescent="0.2">
      <c r="F4302" s="70"/>
    </row>
    <row r="4303" spans="6:6" x14ac:dyDescent="0.2">
      <c r="F4303" s="70"/>
    </row>
    <row r="4304" spans="6:6" x14ac:dyDescent="0.2">
      <c r="F4304" s="70"/>
    </row>
    <row r="4305" spans="6:6" x14ac:dyDescent="0.2">
      <c r="F4305" s="70"/>
    </row>
    <row r="4306" spans="6:6" x14ac:dyDescent="0.2">
      <c r="F4306" s="70"/>
    </row>
    <row r="4307" spans="6:6" x14ac:dyDescent="0.2">
      <c r="F4307" s="70"/>
    </row>
    <row r="4308" spans="6:6" x14ac:dyDescent="0.2">
      <c r="F4308" s="70"/>
    </row>
    <row r="4309" spans="6:6" x14ac:dyDescent="0.2">
      <c r="F4309" s="70"/>
    </row>
    <row r="4310" spans="6:6" x14ac:dyDescent="0.2">
      <c r="F4310" s="70"/>
    </row>
    <row r="4311" spans="6:6" x14ac:dyDescent="0.2">
      <c r="F4311" s="70"/>
    </row>
    <row r="4312" spans="6:6" x14ac:dyDescent="0.2">
      <c r="F4312" s="70"/>
    </row>
    <row r="4313" spans="6:6" x14ac:dyDescent="0.2">
      <c r="F4313" s="70"/>
    </row>
    <row r="4314" spans="6:6" x14ac:dyDescent="0.2">
      <c r="F4314" s="70"/>
    </row>
    <row r="4315" spans="6:6" x14ac:dyDescent="0.2">
      <c r="F4315" s="70"/>
    </row>
    <row r="4316" spans="6:6" x14ac:dyDescent="0.2">
      <c r="F4316" s="70"/>
    </row>
    <row r="4317" spans="6:6" x14ac:dyDescent="0.2">
      <c r="F4317" s="70"/>
    </row>
    <row r="4318" spans="6:6" x14ac:dyDescent="0.2">
      <c r="F4318" s="70"/>
    </row>
    <row r="4319" spans="6:6" x14ac:dyDescent="0.2">
      <c r="F4319" s="70"/>
    </row>
    <row r="4320" spans="6:6" x14ac:dyDescent="0.2">
      <c r="F4320" s="70"/>
    </row>
    <row r="4321" spans="6:6" x14ac:dyDescent="0.2">
      <c r="F4321" s="70"/>
    </row>
    <row r="4322" spans="6:6" x14ac:dyDescent="0.2">
      <c r="F4322" s="70"/>
    </row>
    <row r="4323" spans="6:6" x14ac:dyDescent="0.2">
      <c r="F4323" s="70"/>
    </row>
    <row r="4324" spans="6:6" x14ac:dyDescent="0.2">
      <c r="F4324" s="70"/>
    </row>
    <row r="4325" spans="6:6" x14ac:dyDescent="0.2">
      <c r="F4325" s="70"/>
    </row>
    <row r="4326" spans="6:6" x14ac:dyDescent="0.2">
      <c r="F4326" s="70"/>
    </row>
    <row r="4327" spans="6:6" x14ac:dyDescent="0.2">
      <c r="F4327" s="70"/>
    </row>
    <row r="4328" spans="6:6" x14ac:dyDescent="0.2">
      <c r="F4328" s="70"/>
    </row>
    <row r="4329" spans="6:6" x14ac:dyDescent="0.2">
      <c r="F4329" s="70"/>
    </row>
    <row r="4330" spans="6:6" x14ac:dyDescent="0.2">
      <c r="F4330" s="70"/>
    </row>
    <row r="4331" spans="6:6" x14ac:dyDescent="0.2">
      <c r="F4331" s="70"/>
    </row>
    <row r="4332" spans="6:6" x14ac:dyDescent="0.2">
      <c r="F4332" s="70"/>
    </row>
    <row r="4333" spans="6:6" x14ac:dyDescent="0.2">
      <c r="F4333" s="70"/>
    </row>
    <row r="4334" spans="6:6" x14ac:dyDescent="0.2">
      <c r="F4334" s="70"/>
    </row>
    <row r="4335" spans="6:6" x14ac:dyDescent="0.2">
      <c r="F4335" s="70"/>
    </row>
    <row r="4336" spans="6:6" x14ac:dyDescent="0.2">
      <c r="F4336" s="70"/>
    </row>
    <row r="4337" spans="6:6" x14ac:dyDescent="0.2">
      <c r="F4337" s="70"/>
    </row>
    <row r="4338" spans="6:6" x14ac:dyDescent="0.2">
      <c r="F4338" s="70"/>
    </row>
    <row r="4339" spans="6:6" x14ac:dyDescent="0.2">
      <c r="F4339" s="70"/>
    </row>
    <row r="4340" spans="6:6" x14ac:dyDescent="0.2">
      <c r="F4340" s="70"/>
    </row>
    <row r="4341" spans="6:6" x14ac:dyDescent="0.2">
      <c r="F4341" s="70"/>
    </row>
    <row r="4342" spans="6:6" x14ac:dyDescent="0.2">
      <c r="F4342" s="70"/>
    </row>
    <row r="4343" spans="6:6" x14ac:dyDescent="0.2">
      <c r="F4343" s="70"/>
    </row>
    <row r="4344" spans="6:6" x14ac:dyDescent="0.2">
      <c r="F4344" s="70"/>
    </row>
    <row r="4345" spans="6:6" x14ac:dyDescent="0.2">
      <c r="F4345" s="70"/>
    </row>
    <row r="4346" spans="6:6" x14ac:dyDescent="0.2">
      <c r="F4346" s="70"/>
    </row>
    <row r="4347" spans="6:6" x14ac:dyDescent="0.2">
      <c r="F4347" s="70"/>
    </row>
    <row r="4348" spans="6:6" x14ac:dyDescent="0.2">
      <c r="F4348" s="70"/>
    </row>
    <row r="4349" spans="6:6" x14ac:dyDescent="0.2">
      <c r="F4349" s="70"/>
    </row>
    <row r="4350" spans="6:6" x14ac:dyDescent="0.2">
      <c r="F4350" s="70"/>
    </row>
    <row r="4351" spans="6:6" x14ac:dyDescent="0.2">
      <c r="F4351" s="70"/>
    </row>
    <row r="4352" spans="6:6" x14ac:dyDescent="0.2">
      <c r="F4352" s="70"/>
    </row>
    <row r="4353" spans="6:6" x14ac:dyDescent="0.2">
      <c r="F4353" s="70"/>
    </row>
    <row r="4354" spans="6:6" x14ac:dyDescent="0.2">
      <c r="F4354" s="70"/>
    </row>
    <row r="4355" spans="6:6" x14ac:dyDescent="0.2">
      <c r="F4355" s="70"/>
    </row>
    <row r="4356" spans="6:6" x14ac:dyDescent="0.2">
      <c r="F4356" s="70"/>
    </row>
    <row r="4357" spans="6:6" x14ac:dyDescent="0.2">
      <c r="F4357" s="70"/>
    </row>
    <row r="4358" spans="6:6" x14ac:dyDescent="0.2">
      <c r="F4358" s="70"/>
    </row>
    <row r="4359" spans="6:6" x14ac:dyDescent="0.2">
      <c r="F4359" s="70"/>
    </row>
    <row r="4360" spans="6:6" x14ac:dyDescent="0.2">
      <c r="F4360" s="70"/>
    </row>
    <row r="4361" spans="6:6" x14ac:dyDescent="0.2">
      <c r="F4361" s="70"/>
    </row>
    <row r="4362" spans="6:6" x14ac:dyDescent="0.2">
      <c r="F4362" s="70"/>
    </row>
    <row r="4363" spans="6:6" x14ac:dyDescent="0.2">
      <c r="F4363" s="70"/>
    </row>
    <row r="4364" spans="6:6" x14ac:dyDescent="0.2">
      <c r="F4364" s="70"/>
    </row>
    <row r="4365" spans="6:6" x14ac:dyDescent="0.2">
      <c r="F4365" s="70"/>
    </row>
    <row r="4366" spans="6:6" x14ac:dyDescent="0.2">
      <c r="F4366" s="70"/>
    </row>
    <row r="4367" spans="6:6" x14ac:dyDescent="0.2">
      <c r="F4367" s="70"/>
    </row>
    <row r="4368" spans="6:6" x14ac:dyDescent="0.2">
      <c r="F4368" s="70"/>
    </row>
    <row r="4369" spans="6:6" x14ac:dyDescent="0.2">
      <c r="F4369" s="70"/>
    </row>
    <row r="4370" spans="6:6" x14ac:dyDescent="0.2">
      <c r="F4370" s="70"/>
    </row>
    <row r="4371" spans="6:6" x14ac:dyDescent="0.2">
      <c r="F4371" s="70"/>
    </row>
    <row r="4372" spans="6:6" x14ac:dyDescent="0.2">
      <c r="F4372" s="70"/>
    </row>
    <row r="4373" spans="6:6" x14ac:dyDescent="0.2">
      <c r="F4373" s="70"/>
    </row>
    <row r="4374" spans="6:6" x14ac:dyDescent="0.2">
      <c r="F4374" s="70"/>
    </row>
    <row r="4375" spans="6:6" x14ac:dyDescent="0.2">
      <c r="F4375" s="70"/>
    </row>
    <row r="4376" spans="6:6" x14ac:dyDescent="0.2">
      <c r="F4376" s="70"/>
    </row>
    <row r="4377" spans="6:6" x14ac:dyDescent="0.2">
      <c r="F4377" s="70"/>
    </row>
    <row r="4378" spans="6:6" x14ac:dyDescent="0.2">
      <c r="F4378" s="70"/>
    </row>
    <row r="4379" spans="6:6" x14ac:dyDescent="0.2">
      <c r="F4379" s="70"/>
    </row>
    <row r="4380" spans="6:6" x14ac:dyDescent="0.2">
      <c r="F4380" s="70"/>
    </row>
    <row r="4381" spans="6:6" x14ac:dyDescent="0.2">
      <c r="F4381" s="70"/>
    </row>
    <row r="4382" spans="6:6" x14ac:dyDescent="0.2">
      <c r="F4382" s="70"/>
    </row>
    <row r="4383" spans="6:6" x14ac:dyDescent="0.2">
      <c r="F4383" s="70"/>
    </row>
    <row r="4384" spans="6:6" x14ac:dyDescent="0.2">
      <c r="F4384" s="70"/>
    </row>
    <row r="4385" spans="6:6" x14ac:dyDescent="0.2">
      <c r="F4385" s="70"/>
    </row>
    <row r="4386" spans="6:6" x14ac:dyDescent="0.2">
      <c r="F4386" s="70"/>
    </row>
    <row r="4387" spans="6:6" x14ac:dyDescent="0.2">
      <c r="F4387" s="70"/>
    </row>
    <row r="4388" spans="6:6" x14ac:dyDescent="0.2">
      <c r="F4388" s="70"/>
    </row>
    <row r="4389" spans="6:6" x14ac:dyDescent="0.2">
      <c r="F4389" s="70"/>
    </row>
    <row r="4390" spans="6:6" x14ac:dyDescent="0.2">
      <c r="F4390" s="70"/>
    </row>
    <row r="4391" spans="6:6" x14ac:dyDescent="0.2">
      <c r="F4391" s="70"/>
    </row>
    <row r="4392" spans="6:6" x14ac:dyDescent="0.2">
      <c r="F4392" s="70"/>
    </row>
    <row r="4393" spans="6:6" x14ac:dyDescent="0.2">
      <c r="F4393" s="70"/>
    </row>
    <row r="4394" spans="6:6" x14ac:dyDescent="0.2">
      <c r="F4394" s="70"/>
    </row>
    <row r="4395" spans="6:6" x14ac:dyDescent="0.2">
      <c r="F4395" s="70"/>
    </row>
    <row r="4396" spans="6:6" x14ac:dyDescent="0.2">
      <c r="F4396" s="70"/>
    </row>
    <row r="4397" spans="6:6" x14ac:dyDescent="0.2">
      <c r="F4397" s="70"/>
    </row>
    <row r="4398" spans="6:6" x14ac:dyDescent="0.2">
      <c r="F4398" s="70"/>
    </row>
    <row r="4399" spans="6:6" x14ac:dyDescent="0.2">
      <c r="F4399" s="70"/>
    </row>
    <row r="4400" spans="6:6" x14ac:dyDescent="0.2">
      <c r="F4400" s="70"/>
    </row>
    <row r="4401" spans="6:6" x14ac:dyDescent="0.2">
      <c r="F4401" s="70"/>
    </row>
    <row r="4402" spans="6:6" x14ac:dyDescent="0.2">
      <c r="F4402" s="70"/>
    </row>
    <row r="4403" spans="6:6" x14ac:dyDescent="0.2">
      <c r="F4403" s="70"/>
    </row>
    <row r="4404" spans="6:6" x14ac:dyDescent="0.2">
      <c r="F4404" s="70"/>
    </row>
    <row r="4405" spans="6:6" x14ac:dyDescent="0.2">
      <c r="F4405" s="70"/>
    </row>
    <row r="4406" spans="6:6" x14ac:dyDescent="0.2">
      <c r="F4406" s="70"/>
    </row>
    <row r="4407" spans="6:6" x14ac:dyDescent="0.2">
      <c r="F4407" s="70"/>
    </row>
    <row r="4408" spans="6:6" x14ac:dyDescent="0.2">
      <c r="F4408" s="70"/>
    </row>
    <row r="4409" spans="6:6" x14ac:dyDescent="0.2">
      <c r="F4409" s="70"/>
    </row>
    <row r="4410" spans="6:6" x14ac:dyDescent="0.2">
      <c r="F4410" s="70"/>
    </row>
    <row r="4411" spans="6:6" x14ac:dyDescent="0.2">
      <c r="F4411" s="70"/>
    </row>
    <row r="4412" spans="6:6" x14ac:dyDescent="0.2">
      <c r="F4412" s="70"/>
    </row>
    <row r="4413" spans="6:6" x14ac:dyDescent="0.2">
      <c r="F4413" s="70"/>
    </row>
    <row r="4414" spans="6:6" x14ac:dyDescent="0.2">
      <c r="F4414" s="70"/>
    </row>
    <row r="4415" spans="6:6" x14ac:dyDescent="0.2">
      <c r="F4415" s="70"/>
    </row>
    <row r="4416" spans="6:6" x14ac:dyDescent="0.2">
      <c r="F4416" s="70"/>
    </row>
    <row r="4417" spans="6:6" x14ac:dyDescent="0.2">
      <c r="F4417" s="70"/>
    </row>
    <row r="4418" spans="6:6" x14ac:dyDescent="0.2">
      <c r="F4418" s="70"/>
    </row>
    <row r="4419" spans="6:6" x14ac:dyDescent="0.2">
      <c r="F4419" s="70"/>
    </row>
    <row r="4420" spans="6:6" x14ac:dyDescent="0.2">
      <c r="F4420" s="70"/>
    </row>
    <row r="4421" spans="6:6" x14ac:dyDescent="0.2">
      <c r="F4421" s="70"/>
    </row>
    <row r="4422" spans="6:6" x14ac:dyDescent="0.2">
      <c r="F4422" s="70"/>
    </row>
    <row r="4423" spans="6:6" x14ac:dyDescent="0.2">
      <c r="F4423" s="70"/>
    </row>
    <row r="4424" spans="6:6" x14ac:dyDescent="0.2">
      <c r="F4424" s="70"/>
    </row>
    <row r="4425" spans="6:6" x14ac:dyDescent="0.2">
      <c r="F4425" s="70"/>
    </row>
    <row r="4426" spans="6:6" x14ac:dyDescent="0.2">
      <c r="F4426" s="70"/>
    </row>
    <row r="4427" spans="6:6" x14ac:dyDescent="0.2">
      <c r="F4427" s="70"/>
    </row>
    <row r="4428" spans="6:6" x14ac:dyDescent="0.2">
      <c r="F4428" s="70"/>
    </row>
    <row r="4429" spans="6:6" x14ac:dyDescent="0.2">
      <c r="F4429" s="70"/>
    </row>
    <row r="4430" spans="6:6" x14ac:dyDescent="0.2">
      <c r="F4430" s="70"/>
    </row>
    <row r="4431" spans="6:6" x14ac:dyDescent="0.2">
      <c r="F4431" s="70"/>
    </row>
    <row r="4432" spans="6:6" x14ac:dyDescent="0.2">
      <c r="F4432" s="70"/>
    </row>
    <row r="4433" spans="6:6" x14ac:dyDescent="0.2">
      <c r="F4433" s="70"/>
    </row>
    <row r="4434" spans="6:6" x14ac:dyDescent="0.2">
      <c r="F4434" s="70"/>
    </row>
    <row r="4435" spans="6:6" x14ac:dyDescent="0.2">
      <c r="F4435" s="70"/>
    </row>
    <row r="4436" spans="6:6" x14ac:dyDescent="0.2">
      <c r="F4436" s="70"/>
    </row>
    <row r="4437" spans="6:6" x14ac:dyDescent="0.2">
      <c r="F4437" s="70"/>
    </row>
    <row r="4438" spans="6:6" x14ac:dyDescent="0.2">
      <c r="F4438" s="70"/>
    </row>
    <row r="4439" spans="6:6" x14ac:dyDescent="0.2">
      <c r="F4439" s="70"/>
    </row>
    <row r="4440" spans="6:6" x14ac:dyDescent="0.2">
      <c r="F4440" s="70"/>
    </row>
    <row r="4441" spans="6:6" x14ac:dyDescent="0.2">
      <c r="F4441" s="70"/>
    </row>
    <row r="4442" spans="6:6" x14ac:dyDescent="0.2">
      <c r="F4442" s="70"/>
    </row>
    <row r="4443" spans="6:6" x14ac:dyDescent="0.2">
      <c r="F4443" s="70"/>
    </row>
    <row r="4444" spans="6:6" x14ac:dyDescent="0.2">
      <c r="F4444" s="70"/>
    </row>
    <row r="4445" spans="6:6" x14ac:dyDescent="0.2">
      <c r="F4445" s="70"/>
    </row>
    <row r="4446" spans="6:6" x14ac:dyDescent="0.2">
      <c r="F4446" s="70"/>
    </row>
    <row r="4447" spans="6:6" x14ac:dyDescent="0.2">
      <c r="F4447" s="70"/>
    </row>
    <row r="4448" spans="6:6" x14ac:dyDescent="0.2">
      <c r="F4448" s="70"/>
    </row>
    <row r="4449" spans="6:6" x14ac:dyDescent="0.2">
      <c r="F4449" s="70"/>
    </row>
    <row r="4450" spans="6:6" x14ac:dyDescent="0.2">
      <c r="F4450" s="70"/>
    </row>
    <row r="4451" spans="6:6" x14ac:dyDescent="0.2">
      <c r="F4451" s="70"/>
    </row>
    <row r="4452" spans="6:6" x14ac:dyDescent="0.2">
      <c r="F4452" s="70"/>
    </row>
    <row r="4453" spans="6:6" x14ac:dyDescent="0.2">
      <c r="F4453" s="70"/>
    </row>
    <row r="4454" spans="6:6" x14ac:dyDescent="0.2">
      <c r="F4454" s="70"/>
    </row>
    <row r="4455" spans="6:6" x14ac:dyDescent="0.2">
      <c r="F4455" s="70"/>
    </row>
    <row r="4456" spans="6:6" x14ac:dyDescent="0.2">
      <c r="F4456" s="70"/>
    </row>
    <row r="4457" spans="6:6" x14ac:dyDescent="0.2">
      <c r="F4457" s="70"/>
    </row>
    <row r="4458" spans="6:6" x14ac:dyDescent="0.2">
      <c r="F4458" s="70"/>
    </row>
    <row r="4459" spans="6:6" x14ac:dyDescent="0.2">
      <c r="F4459" s="70"/>
    </row>
    <row r="4460" spans="6:6" x14ac:dyDescent="0.2">
      <c r="F4460" s="70"/>
    </row>
    <row r="4461" spans="6:6" x14ac:dyDescent="0.2">
      <c r="F4461" s="70"/>
    </row>
    <row r="4462" spans="6:6" x14ac:dyDescent="0.2">
      <c r="F4462" s="70"/>
    </row>
    <row r="4463" spans="6:6" x14ac:dyDescent="0.2">
      <c r="F4463" s="70"/>
    </row>
    <row r="4464" spans="6:6" x14ac:dyDescent="0.2">
      <c r="F4464" s="70"/>
    </row>
    <row r="4465" spans="6:6" x14ac:dyDescent="0.2">
      <c r="F4465" s="70"/>
    </row>
    <row r="4466" spans="6:6" x14ac:dyDescent="0.2">
      <c r="F4466" s="70"/>
    </row>
    <row r="4467" spans="6:6" x14ac:dyDescent="0.2">
      <c r="F4467" s="70"/>
    </row>
    <row r="4468" spans="6:6" x14ac:dyDescent="0.2">
      <c r="F4468" s="70"/>
    </row>
    <row r="4469" spans="6:6" x14ac:dyDescent="0.2">
      <c r="F4469" s="70"/>
    </row>
    <row r="4470" spans="6:6" x14ac:dyDescent="0.2">
      <c r="F4470" s="70"/>
    </row>
    <row r="4471" spans="6:6" x14ac:dyDescent="0.2">
      <c r="F4471" s="70"/>
    </row>
    <row r="4472" spans="6:6" x14ac:dyDescent="0.2">
      <c r="F4472" s="70"/>
    </row>
    <row r="4473" spans="6:6" x14ac:dyDescent="0.2">
      <c r="F4473" s="70"/>
    </row>
    <row r="4474" spans="6:6" x14ac:dyDescent="0.2">
      <c r="F4474" s="70"/>
    </row>
    <row r="4475" spans="6:6" x14ac:dyDescent="0.2">
      <c r="F4475" s="70"/>
    </row>
    <row r="4476" spans="6:6" x14ac:dyDescent="0.2">
      <c r="F4476" s="70"/>
    </row>
    <row r="4477" spans="6:6" x14ac:dyDescent="0.2">
      <c r="F4477" s="70"/>
    </row>
    <row r="4478" spans="6:6" x14ac:dyDescent="0.2">
      <c r="F4478" s="70"/>
    </row>
    <row r="4479" spans="6:6" x14ac:dyDescent="0.2">
      <c r="F4479" s="70"/>
    </row>
    <row r="4480" spans="6:6" x14ac:dyDescent="0.2">
      <c r="F4480" s="70"/>
    </row>
    <row r="4481" spans="6:6" x14ac:dyDescent="0.2">
      <c r="F4481" s="70"/>
    </row>
    <row r="4482" spans="6:6" x14ac:dyDescent="0.2">
      <c r="F4482" s="70"/>
    </row>
    <row r="4483" spans="6:6" x14ac:dyDescent="0.2">
      <c r="F4483" s="70"/>
    </row>
    <row r="4484" spans="6:6" x14ac:dyDescent="0.2">
      <c r="F4484" s="70"/>
    </row>
    <row r="4485" spans="6:6" x14ac:dyDescent="0.2">
      <c r="F4485" s="70"/>
    </row>
    <row r="4486" spans="6:6" x14ac:dyDescent="0.2">
      <c r="F4486" s="70"/>
    </row>
    <row r="4487" spans="6:6" x14ac:dyDescent="0.2">
      <c r="F4487" s="70"/>
    </row>
    <row r="4488" spans="6:6" x14ac:dyDescent="0.2">
      <c r="F4488" s="70"/>
    </row>
    <row r="4489" spans="6:6" x14ac:dyDescent="0.2">
      <c r="F4489" s="70"/>
    </row>
    <row r="4490" spans="6:6" x14ac:dyDescent="0.2">
      <c r="F4490" s="70"/>
    </row>
    <row r="4491" spans="6:6" x14ac:dyDescent="0.2">
      <c r="F4491" s="70"/>
    </row>
    <row r="4492" spans="6:6" x14ac:dyDescent="0.2">
      <c r="F4492" s="70"/>
    </row>
    <row r="4493" spans="6:6" x14ac:dyDescent="0.2">
      <c r="F4493" s="70"/>
    </row>
    <row r="4494" spans="6:6" x14ac:dyDescent="0.2">
      <c r="F4494" s="70"/>
    </row>
    <row r="4495" spans="6:6" x14ac:dyDescent="0.2">
      <c r="F4495" s="70"/>
    </row>
    <row r="4496" spans="6:6" x14ac:dyDescent="0.2">
      <c r="F4496" s="70"/>
    </row>
    <row r="4497" spans="6:6" x14ac:dyDescent="0.2">
      <c r="F4497" s="70"/>
    </row>
    <row r="4498" spans="6:6" x14ac:dyDescent="0.2">
      <c r="F4498" s="70"/>
    </row>
    <row r="4499" spans="6:6" x14ac:dyDescent="0.2">
      <c r="F4499" s="70"/>
    </row>
    <row r="4500" spans="6:6" x14ac:dyDescent="0.2">
      <c r="F4500" s="70"/>
    </row>
    <row r="4501" spans="6:6" x14ac:dyDescent="0.2">
      <c r="F4501" s="70"/>
    </row>
    <row r="4502" spans="6:6" x14ac:dyDescent="0.2">
      <c r="F4502" s="70"/>
    </row>
    <row r="4503" spans="6:6" x14ac:dyDescent="0.2">
      <c r="F4503" s="70"/>
    </row>
    <row r="4504" spans="6:6" x14ac:dyDescent="0.2">
      <c r="F4504" s="70"/>
    </row>
    <row r="4505" spans="6:6" x14ac:dyDescent="0.2">
      <c r="F4505" s="70"/>
    </row>
    <row r="4506" spans="6:6" x14ac:dyDescent="0.2">
      <c r="F4506" s="70"/>
    </row>
    <row r="4507" spans="6:6" x14ac:dyDescent="0.2">
      <c r="F4507" s="70"/>
    </row>
    <row r="4508" spans="6:6" x14ac:dyDescent="0.2">
      <c r="F4508" s="70"/>
    </row>
    <row r="4509" spans="6:6" x14ac:dyDescent="0.2">
      <c r="F4509" s="70"/>
    </row>
    <row r="4510" spans="6:6" x14ac:dyDescent="0.2">
      <c r="F4510" s="70"/>
    </row>
    <row r="4511" spans="6:6" x14ac:dyDescent="0.2">
      <c r="F4511" s="70"/>
    </row>
    <row r="4512" spans="6:6" x14ac:dyDescent="0.2">
      <c r="F4512" s="70"/>
    </row>
    <row r="4513" spans="6:6" x14ac:dyDescent="0.2">
      <c r="F4513" s="70"/>
    </row>
    <row r="4514" spans="6:6" x14ac:dyDescent="0.2">
      <c r="F4514" s="70"/>
    </row>
    <row r="4515" spans="6:6" x14ac:dyDescent="0.2">
      <c r="F4515" s="70"/>
    </row>
    <row r="4516" spans="6:6" x14ac:dyDescent="0.2">
      <c r="F4516" s="70"/>
    </row>
    <row r="4517" spans="6:6" x14ac:dyDescent="0.2">
      <c r="F4517" s="70"/>
    </row>
    <row r="4518" spans="6:6" x14ac:dyDescent="0.2">
      <c r="F4518" s="70"/>
    </row>
    <row r="4519" spans="6:6" x14ac:dyDescent="0.2">
      <c r="F4519" s="70"/>
    </row>
    <row r="4520" spans="6:6" x14ac:dyDescent="0.2">
      <c r="F4520" s="70"/>
    </row>
    <row r="4521" spans="6:6" x14ac:dyDescent="0.2">
      <c r="F4521" s="70"/>
    </row>
    <row r="4522" spans="6:6" x14ac:dyDescent="0.2">
      <c r="F4522" s="70"/>
    </row>
    <row r="4523" spans="6:6" x14ac:dyDescent="0.2">
      <c r="F4523" s="70"/>
    </row>
    <row r="4524" spans="6:6" x14ac:dyDescent="0.2">
      <c r="F4524" s="70"/>
    </row>
    <row r="4525" spans="6:6" x14ac:dyDescent="0.2">
      <c r="F4525" s="70"/>
    </row>
    <row r="4526" spans="6:6" x14ac:dyDescent="0.2">
      <c r="F4526" s="70"/>
    </row>
    <row r="4527" spans="6:6" x14ac:dyDescent="0.2">
      <c r="F4527" s="70"/>
    </row>
    <row r="4528" spans="6:6" x14ac:dyDescent="0.2">
      <c r="F4528" s="70"/>
    </row>
    <row r="4529" spans="6:6" x14ac:dyDescent="0.2">
      <c r="F4529" s="70"/>
    </row>
    <row r="4530" spans="6:6" x14ac:dyDescent="0.2">
      <c r="F4530" s="70"/>
    </row>
    <row r="4531" spans="6:6" x14ac:dyDescent="0.2">
      <c r="F4531" s="70"/>
    </row>
    <row r="4532" spans="6:6" x14ac:dyDescent="0.2">
      <c r="F4532" s="70"/>
    </row>
    <row r="4533" spans="6:6" x14ac:dyDescent="0.2">
      <c r="F4533" s="70"/>
    </row>
    <row r="4534" spans="6:6" x14ac:dyDescent="0.2">
      <c r="F4534" s="70"/>
    </row>
    <row r="4535" spans="6:6" x14ac:dyDescent="0.2">
      <c r="F4535" s="70"/>
    </row>
    <row r="4536" spans="6:6" x14ac:dyDescent="0.2">
      <c r="F4536" s="70"/>
    </row>
    <row r="4537" spans="6:6" x14ac:dyDescent="0.2">
      <c r="F4537" s="70"/>
    </row>
    <row r="4538" spans="6:6" x14ac:dyDescent="0.2">
      <c r="F4538" s="70"/>
    </row>
    <row r="4539" spans="6:6" x14ac:dyDescent="0.2">
      <c r="F4539" s="70"/>
    </row>
    <row r="4540" spans="6:6" x14ac:dyDescent="0.2">
      <c r="F4540" s="70"/>
    </row>
    <row r="4541" spans="6:6" x14ac:dyDescent="0.2">
      <c r="F4541" s="70"/>
    </row>
    <row r="4542" spans="6:6" x14ac:dyDescent="0.2">
      <c r="F4542" s="70"/>
    </row>
    <row r="4543" spans="6:6" x14ac:dyDescent="0.2">
      <c r="F4543" s="70"/>
    </row>
    <row r="4544" spans="6:6" x14ac:dyDescent="0.2">
      <c r="F4544" s="70"/>
    </row>
    <row r="4545" spans="6:6" x14ac:dyDescent="0.2">
      <c r="F4545" s="70"/>
    </row>
    <row r="4546" spans="6:6" x14ac:dyDescent="0.2">
      <c r="F4546" s="70"/>
    </row>
    <row r="4547" spans="6:6" x14ac:dyDescent="0.2">
      <c r="F4547" s="70"/>
    </row>
    <row r="4548" spans="6:6" x14ac:dyDescent="0.2">
      <c r="F4548" s="70"/>
    </row>
    <row r="4549" spans="6:6" x14ac:dyDescent="0.2">
      <c r="F4549" s="70"/>
    </row>
    <row r="4550" spans="6:6" x14ac:dyDescent="0.2">
      <c r="F4550" s="70"/>
    </row>
    <row r="4551" spans="6:6" x14ac:dyDescent="0.2">
      <c r="F4551" s="70"/>
    </row>
    <row r="4552" spans="6:6" x14ac:dyDescent="0.2">
      <c r="F4552" s="70"/>
    </row>
    <row r="4553" spans="6:6" x14ac:dyDescent="0.2">
      <c r="F4553" s="70"/>
    </row>
    <row r="4554" spans="6:6" x14ac:dyDescent="0.2">
      <c r="F4554" s="70"/>
    </row>
    <row r="4555" spans="6:6" x14ac:dyDescent="0.2">
      <c r="F4555" s="70"/>
    </row>
    <row r="4556" spans="6:6" x14ac:dyDescent="0.2">
      <c r="F4556" s="70"/>
    </row>
    <row r="4557" spans="6:6" x14ac:dyDescent="0.2">
      <c r="F4557" s="70"/>
    </row>
    <row r="4558" spans="6:6" x14ac:dyDescent="0.2">
      <c r="F4558" s="70"/>
    </row>
    <row r="4559" spans="6:6" x14ac:dyDescent="0.2">
      <c r="F4559" s="70"/>
    </row>
    <row r="4560" spans="6:6" x14ac:dyDescent="0.2">
      <c r="F4560" s="70"/>
    </row>
    <row r="4561" spans="6:6" x14ac:dyDescent="0.2">
      <c r="F4561" s="70"/>
    </row>
    <row r="4562" spans="6:6" x14ac:dyDescent="0.2">
      <c r="F4562" s="70"/>
    </row>
    <row r="4563" spans="6:6" x14ac:dyDescent="0.2">
      <c r="F4563" s="70"/>
    </row>
    <row r="4564" spans="6:6" x14ac:dyDescent="0.2">
      <c r="F4564" s="70"/>
    </row>
    <row r="4565" spans="6:6" x14ac:dyDescent="0.2">
      <c r="F4565" s="70"/>
    </row>
    <row r="4566" spans="6:6" x14ac:dyDescent="0.2">
      <c r="F4566" s="70"/>
    </row>
    <row r="4567" spans="6:6" x14ac:dyDescent="0.2">
      <c r="F4567" s="70"/>
    </row>
    <row r="4568" spans="6:6" x14ac:dyDescent="0.2">
      <c r="F4568" s="70"/>
    </row>
    <row r="4569" spans="6:6" x14ac:dyDescent="0.2">
      <c r="F4569" s="70"/>
    </row>
    <row r="4570" spans="6:6" x14ac:dyDescent="0.2">
      <c r="F4570" s="70"/>
    </row>
    <row r="4571" spans="6:6" x14ac:dyDescent="0.2">
      <c r="F4571" s="70"/>
    </row>
    <row r="4572" spans="6:6" x14ac:dyDescent="0.2">
      <c r="F4572" s="70"/>
    </row>
    <row r="4573" spans="6:6" x14ac:dyDescent="0.2">
      <c r="F4573" s="70"/>
    </row>
    <row r="4574" spans="6:6" x14ac:dyDescent="0.2">
      <c r="F4574" s="70"/>
    </row>
    <row r="4575" spans="6:6" x14ac:dyDescent="0.2">
      <c r="F4575" s="70"/>
    </row>
    <row r="4576" spans="6:6" x14ac:dyDescent="0.2">
      <c r="F4576" s="70"/>
    </row>
    <row r="4577" spans="6:6" x14ac:dyDescent="0.2">
      <c r="F4577" s="70"/>
    </row>
    <row r="4578" spans="6:6" x14ac:dyDescent="0.2">
      <c r="F4578" s="70"/>
    </row>
    <row r="4579" spans="6:6" x14ac:dyDescent="0.2">
      <c r="F4579" s="70"/>
    </row>
    <row r="4580" spans="6:6" x14ac:dyDescent="0.2">
      <c r="F4580" s="70"/>
    </row>
    <row r="4581" spans="6:6" x14ac:dyDescent="0.2">
      <c r="F4581" s="70"/>
    </row>
    <row r="4582" spans="6:6" x14ac:dyDescent="0.2">
      <c r="F4582" s="70"/>
    </row>
    <row r="4583" spans="6:6" x14ac:dyDescent="0.2">
      <c r="F4583" s="70"/>
    </row>
    <row r="4584" spans="6:6" x14ac:dyDescent="0.2">
      <c r="F4584" s="70"/>
    </row>
    <row r="4585" spans="6:6" x14ac:dyDescent="0.2">
      <c r="F4585" s="70"/>
    </row>
    <row r="4586" spans="6:6" x14ac:dyDescent="0.2">
      <c r="F4586" s="70"/>
    </row>
    <row r="4587" spans="6:6" x14ac:dyDescent="0.2">
      <c r="F4587" s="70"/>
    </row>
    <row r="4588" spans="6:6" x14ac:dyDescent="0.2">
      <c r="F4588" s="70"/>
    </row>
    <row r="4589" spans="6:6" x14ac:dyDescent="0.2">
      <c r="F4589" s="70"/>
    </row>
    <row r="4590" spans="6:6" x14ac:dyDescent="0.2">
      <c r="F4590" s="70"/>
    </row>
    <row r="4591" spans="6:6" x14ac:dyDescent="0.2">
      <c r="F4591" s="70"/>
    </row>
    <row r="4592" spans="6:6" x14ac:dyDescent="0.2">
      <c r="F4592" s="70"/>
    </row>
    <row r="4593" spans="6:6" x14ac:dyDescent="0.2">
      <c r="F4593" s="70"/>
    </row>
    <row r="4594" spans="6:6" x14ac:dyDescent="0.2">
      <c r="F4594" s="70"/>
    </row>
    <row r="4595" spans="6:6" x14ac:dyDescent="0.2">
      <c r="F4595" s="70"/>
    </row>
    <row r="4596" spans="6:6" x14ac:dyDescent="0.2">
      <c r="F4596" s="70"/>
    </row>
    <row r="4597" spans="6:6" x14ac:dyDescent="0.2">
      <c r="F4597" s="70"/>
    </row>
    <row r="4598" spans="6:6" x14ac:dyDescent="0.2">
      <c r="F4598" s="70"/>
    </row>
    <row r="4599" spans="6:6" x14ac:dyDescent="0.2">
      <c r="F4599" s="70"/>
    </row>
    <row r="4600" spans="6:6" x14ac:dyDescent="0.2">
      <c r="F4600" s="70"/>
    </row>
    <row r="4601" spans="6:6" x14ac:dyDescent="0.2">
      <c r="F4601" s="70"/>
    </row>
    <row r="4602" spans="6:6" x14ac:dyDescent="0.2">
      <c r="F4602" s="70"/>
    </row>
    <row r="4603" spans="6:6" x14ac:dyDescent="0.2">
      <c r="F4603" s="70"/>
    </row>
    <row r="4604" spans="6:6" x14ac:dyDescent="0.2">
      <c r="F4604" s="70"/>
    </row>
    <row r="4605" spans="6:6" x14ac:dyDescent="0.2">
      <c r="F4605" s="70"/>
    </row>
    <row r="4606" spans="6:6" x14ac:dyDescent="0.2">
      <c r="F4606" s="70"/>
    </row>
    <row r="4607" spans="6:6" x14ac:dyDescent="0.2">
      <c r="F4607" s="70"/>
    </row>
    <row r="4608" spans="6:6" x14ac:dyDescent="0.2">
      <c r="F4608" s="70"/>
    </row>
    <row r="4609" spans="6:6" x14ac:dyDescent="0.2">
      <c r="F4609" s="70"/>
    </row>
    <row r="4610" spans="6:6" x14ac:dyDescent="0.2">
      <c r="F4610" s="70"/>
    </row>
    <row r="4611" spans="6:6" x14ac:dyDescent="0.2">
      <c r="F4611" s="70"/>
    </row>
    <row r="4612" spans="6:6" x14ac:dyDescent="0.2">
      <c r="F4612" s="70"/>
    </row>
    <row r="4613" spans="6:6" x14ac:dyDescent="0.2">
      <c r="F4613" s="70"/>
    </row>
    <row r="4614" spans="6:6" x14ac:dyDescent="0.2">
      <c r="F4614" s="70"/>
    </row>
    <row r="4615" spans="6:6" x14ac:dyDescent="0.2">
      <c r="F4615" s="70"/>
    </row>
    <row r="4616" spans="6:6" x14ac:dyDescent="0.2">
      <c r="F4616" s="70"/>
    </row>
    <row r="4617" spans="6:6" x14ac:dyDescent="0.2">
      <c r="F4617" s="70"/>
    </row>
    <row r="4618" spans="6:6" x14ac:dyDescent="0.2">
      <c r="F4618" s="70"/>
    </row>
    <row r="4619" spans="6:6" x14ac:dyDescent="0.2">
      <c r="F4619" s="70"/>
    </row>
    <row r="4620" spans="6:6" x14ac:dyDescent="0.2">
      <c r="F4620" s="70"/>
    </row>
    <row r="4621" spans="6:6" x14ac:dyDescent="0.2">
      <c r="F4621" s="70"/>
    </row>
    <row r="4622" spans="6:6" x14ac:dyDescent="0.2">
      <c r="F4622" s="70"/>
    </row>
    <row r="4623" spans="6:6" x14ac:dyDescent="0.2">
      <c r="F4623" s="70"/>
    </row>
    <row r="4624" spans="6:6" x14ac:dyDescent="0.2">
      <c r="F4624" s="70"/>
    </row>
    <row r="4625" spans="6:6" x14ac:dyDescent="0.2">
      <c r="F4625" s="70"/>
    </row>
    <row r="4626" spans="6:6" x14ac:dyDescent="0.2">
      <c r="F4626" s="70"/>
    </row>
    <row r="4627" spans="6:6" x14ac:dyDescent="0.2">
      <c r="F4627" s="70"/>
    </row>
    <row r="4628" spans="6:6" x14ac:dyDescent="0.2">
      <c r="F4628" s="70"/>
    </row>
    <row r="4629" spans="6:6" x14ac:dyDescent="0.2">
      <c r="F4629" s="70"/>
    </row>
    <row r="4630" spans="6:6" x14ac:dyDescent="0.2">
      <c r="F4630" s="70"/>
    </row>
    <row r="4631" spans="6:6" x14ac:dyDescent="0.2">
      <c r="F4631" s="70"/>
    </row>
    <row r="4632" spans="6:6" x14ac:dyDescent="0.2">
      <c r="F4632" s="70"/>
    </row>
    <row r="4633" spans="6:6" x14ac:dyDescent="0.2">
      <c r="F4633" s="70"/>
    </row>
    <row r="4634" spans="6:6" x14ac:dyDescent="0.2">
      <c r="F4634" s="70"/>
    </row>
    <row r="4635" spans="6:6" x14ac:dyDescent="0.2">
      <c r="F4635" s="70"/>
    </row>
    <row r="4636" spans="6:6" x14ac:dyDescent="0.2">
      <c r="F4636" s="70"/>
    </row>
    <row r="4637" spans="6:6" x14ac:dyDescent="0.2">
      <c r="F4637" s="70"/>
    </row>
    <row r="4638" spans="6:6" x14ac:dyDescent="0.2">
      <c r="F4638" s="70"/>
    </row>
    <row r="4639" spans="6:6" x14ac:dyDescent="0.2">
      <c r="F4639" s="70"/>
    </row>
    <row r="4640" spans="6:6" x14ac:dyDescent="0.2">
      <c r="F4640" s="70"/>
    </row>
    <row r="4641" spans="6:6" x14ac:dyDescent="0.2">
      <c r="F4641" s="70"/>
    </row>
    <row r="4642" spans="6:6" x14ac:dyDescent="0.2">
      <c r="F4642" s="70"/>
    </row>
    <row r="4643" spans="6:6" x14ac:dyDescent="0.2">
      <c r="F4643" s="70"/>
    </row>
    <row r="4644" spans="6:6" x14ac:dyDescent="0.2">
      <c r="F4644" s="70"/>
    </row>
    <row r="4645" spans="6:6" x14ac:dyDescent="0.2">
      <c r="F4645" s="70"/>
    </row>
    <row r="4646" spans="6:6" x14ac:dyDescent="0.2">
      <c r="F4646" s="70"/>
    </row>
    <row r="4647" spans="6:6" x14ac:dyDescent="0.2">
      <c r="F4647" s="70"/>
    </row>
    <row r="4648" spans="6:6" x14ac:dyDescent="0.2">
      <c r="F4648" s="70"/>
    </row>
    <row r="4649" spans="6:6" x14ac:dyDescent="0.2">
      <c r="F4649" s="70"/>
    </row>
    <row r="4650" spans="6:6" x14ac:dyDescent="0.2">
      <c r="F4650" s="70"/>
    </row>
    <row r="4651" spans="6:6" x14ac:dyDescent="0.2">
      <c r="F4651" s="70"/>
    </row>
    <row r="4652" spans="6:6" x14ac:dyDescent="0.2">
      <c r="F4652" s="70"/>
    </row>
    <row r="4653" spans="6:6" x14ac:dyDescent="0.2">
      <c r="F4653" s="70"/>
    </row>
    <row r="4654" spans="6:6" x14ac:dyDescent="0.2">
      <c r="F4654" s="70"/>
    </row>
    <row r="4655" spans="6:6" x14ac:dyDescent="0.2">
      <c r="F4655" s="70"/>
    </row>
    <row r="4656" spans="6:6" x14ac:dyDescent="0.2">
      <c r="F4656" s="70"/>
    </row>
    <row r="4657" spans="6:6" x14ac:dyDescent="0.2">
      <c r="F4657" s="70"/>
    </row>
    <row r="4658" spans="6:6" x14ac:dyDescent="0.2">
      <c r="F4658" s="70"/>
    </row>
    <row r="4659" spans="6:6" x14ac:dyDescent="0.2">
      <c r="F4659" s="70"/>
    </row>
    <row r="4660" spans="6:6" x14ac:dyDescent="0.2">
      <c r="F4660" s="70"/>
    </row>
    <row r="4661" spans="6:6" x14ac:dyDescent="0.2">
      <c r="F4661" s="70"/>
    </row>
    <row r="4662" spans="6:6" x14ac:dyDescent="0.2">
      <c r="F4662" s="70"/>
    </row>
    <row r="4663" spans="6:6" x14ac:dyDescent="0.2">
      <c r="F4663" s="70"/>
    </row>
    <row r="4664" spans="6:6" x14ac:dyDescent="0.2">
      <c r="F4664" s="70"/>
    </row>
    <row r="4665" spans="6:6" x14ac:dyDescent="0.2">
      <c r="F4665" s="70"/>
    </row>
    <row r="4666" spans="6:6" x14ac:dyDescent="0.2">
      <c r="F4666" s="70"/>
    </row>
    <row r="4667" spans="6:6" x14ac:dyDescent="0.2">
      <c r="F4667" s="70"/>
    </row>
    <row r="4668" spans="6:6" x14ac:dyDescent="0.2">
      <c r="F4668" s="70"/>
    </row>
    <row r="4669" spans="6:6" x14ac:dyDescent="0.2">
      <c r="F4669" s="70"/>
    </row>
    <row r="4670" spans="6:6" x14ac:dyDescent="0.2">
      <c r="F4670" s="70"/>
    </row>
    <row r="4671" spans="6:6" x14ac:dyDescent="0.2">
      <c r="F4671" s="70"/>
    </row>
    <row r="4672" spans="6:6" x14ac:dyDescent="0.2">
      <c r="F4672" s="70"/>
    </row>
    <row r="4673" spans="6:6" x14ac:dyDescent="0.2">
      <c r="F4673" s="70"/>
    </row>
    <row r="4674" spans="6:6" x14ac:dyDescent="0.2">
      <c r="F4674" s="70"/>
    </row>
    <row r="4675" spans="6:6" x14ac:dyDescent="0.2">
      <c r="F4675" s="70"/>
    </row>
    <row r="4676" spans="6:6" x14ac:dyDescent="0.2">
      <c r="F4676" s="70"/>
    </row>
    <row r="4677" spans="6:6" x14ac:dyDescent="0.2">
      <c r="F4677" s="70"/>
    </row>
    <row r="4678" spans="6:6" x14ac:dyDescent="0.2">
      <c r="F4678" s="70"/>
    </row>
    <row r="4679" spans="6:6" x14ac:dyDescent="0.2">
      <c r="F4679" s="70"/>
    </row>
    <row r="4680" spans="6:6" x14ac:dyDescent="0.2">
      <c r="F4680" s="70"/>
    </row>
    <row r="4681" spans="6:6" x14ac:dyDescent="0.2">
      <c r="F4681" s="70"/>
    </row>
    <row r="4682" spans="6:6" x14ac:dyDescent="0.2">
      <c r="F4682" s="70"/>
    </row>
    <row r="4683" spans="6:6" x14ac:dyDescent="0.2">
      <c r="F4683" s="70"/>
    </row>
    <row r="4684" spans="6:6" x14ac:dyDescent="0.2">
      <c r="F4684" s="70"/>
    </row>
    <row r="4685" spans="6:6" x14ac:dyDescent="0.2">
      <c r="F4685" s="70"/>
    </row>
    <row r="4686" spans="6:6" x14ac:dyDescent="0.2">
      <c r="F4686" s="70"/>
    </row>
    <row r="4687" spans="6:6" x14ac:dyDescent="0.2">
      <c r="F4687" s="70"/>
    </row>
    <row r="4688" spans="6:6" x14ac:dyDescent="0.2">
      <c r="F4688" s="70"/>
    </row>
    <row r="4689" spans="6:6" x14ac:dyDescent="0.2">
      <c r="F4689" s="70"/>
    </row>
    <row r="4690" spans="6:6" x14ac:dyDescent="0.2">
      <c r="F4690" s="70"/>
    </row>
    <row r="4691" spans="6:6" x14ac:dyDescent="0.2">
      <c r="F4691" s="70"/>
    </row>
    <row r="4692" spans="6:6" x14ac:dyDescent="0.2">
      <c r="F4692" s="70"/>
    </row>
    <row r="4693" spans="6:6" x14ac:dyDescent="0.2">
      <c r="F4693" s="70"/>
    </row>
    <row r="4694" spans="6:6" x14ac:dyDescent="0.2">
      <c r="F4694" s="70"/>
    </row>
    <row r="4695" spans="6:6" x14ac:dyDescent="0.2">
      <c r="F4695" s="70"/>
    </row>
    <row r="4696" spans="6:6" x14ac:dyDescent="0.2">
      <c r="F4696" s="70"/>
    </row>
    <row r="4697" spans="6:6" x14ac:dyDescent="0.2">
      <c r="F4697" s="70"/>
    </row>
    <row r="4698" spans="6:6" x14ac:dyDescent="0.2">
      <c r="F4698" s="70"/>
    </row>
    <row r="4699" spans="6:6" x14ac:dyDescent="0.2">
      <c r="F4699" s="70"/>
    </row>
    <row r="4700" spans="6:6" x14ac:dyDescent="0.2">
      <c r="F4700" s="70"/>
    </row>
    <row r="4701" spans="6:6" x14ac:dyDescent="0.2">
      <c r="F4701" s="70"/>
    </row>
    <row r="4702" spans="6:6" x14ac:dyDescent="0.2">
      <c r="F4702" s="70"/>
    </row>
    <row r="4703" spans="6:6" x14ac:dyDescent="0.2">
      <c r="F4703" s="70"/>
    </row>
    <row r="4704" spans="6:6" x14ac:dyDescent="0.2">
      <c r="F4704" s="70"/>
    </row>
    <row r="4705" spans="6:6" x14ac:dyDescent="0.2">
      <c r="F4705" s="70"/>
    </row>
    <row r="4706" spans="6:6" x14ac:dyDescent="0.2">
      <c r="F4706" s="70"/>
    </row>
    <row r="4707" spans="6:6" x14ac:dyDescent="0.2">
      <c r="F4707" s="70"/>
    </row>
    <row r="4708" spans="6:6" x14ac:dyDescent="0.2">
      <c r="F4708" s="70"/>
    </row>
    <row r="4709" spans="6:6" x14ac:dyDescent="0.2">
      <c r="F4709" s="70"/>
    </row>
    <row r="4710" spans="6:6" x14ac:dyDescent="0.2">
      <c r="F4710" s="70"/>
    </row>
    <row r="4711" spans="6:6" x14ac:dyDescent="0.2">
      <c r="F4711" s="70"/>
    </row>
    <row r="4712" spans="6:6" x14ac:dyDescent="0.2">
      <c r="F4712" s="70"/>
    </row>
    <row r="4713" spans="6:6" x14ac:dyDescent="0.2">
      <c r="F4713" s="70"/>
    </row>
    <row r="4714" spans="6:6" x14ac:dyDescent="0.2">
      <c r="F4714" s="70"/>
    </row>
    <row r="4715" spans="6:6" x14ac:dyDescent="0.2">
      <c r="F4715" s="70"/>
    </row>
    <row r="4716" spans="6:6" x14ac:dyDescent="0.2">
      <c r="F4716" s="70"/>
    </row>
    <row r="4717" spans="6:6" x14ac:dyDescent="0.2">
      <c r="F4717" s="70"/>
    </row>
    <row r="4718" spans="6:6" x14ac:dyDescent="0.2">
      <c r="F4718" s="70"/>
    </row>
    <row r="4719" spans="6:6" x14ac:dyDescent="0.2">
      <c r="F4719" s="70"/>
    </row>
    <row r="4720" spans="6:6" x14ac:dyDescent="0.2">
      <c r="F4720" s="70"/>
    </row>
    <row r="4721" spans="6:6" x14ac:dyDescent="0.2">
      <c r="F4721" s="70"/>
    </row>
    <row r="4722" spans="6:6" x14ac:dyDescent="0.2">
      <c r="F4722" s="70"/>
    </row>
    <row r="4723" spans="6:6" x14ac:dyDescent="0.2">
      <c r="F4723" s="70"/>
    </row>
    <row r="4724" spans="6:6" x14ac:dyDescent="0.2">
      <c r="F4724" s="70"/>
    </row>
    <row r="4725" spans="6:6" x14ac:dyDescent="0.2">
      <c r="F4725" s="70"/>
    </row>
    <row r="4726" spans="6:6" x14ac:dyDescent="0.2">
      <c r="F4726" s="70"/>
    </row>
    <row r="4727" spans="6:6" x14ac:dyDescent="0.2">
      <c r="F4727" s="70"/>
    </row>
    <row r="4728" spans="6:6" x14ac:dyDescent="0.2">
      <c r="F4728" s="70"/>
    </row>
    <row r="4729" spans="6:6" x14ac:dyDescent="0.2">
      <c r="F4729" s="70"/>
    </row>
    <row r="4730" spans="6:6" x14ac:dyDescent="0.2">
      <c r="F4730" s="70"/>
    </row>
    <row r="4731" spans="6:6" x14ac:dyDescent="0.2">
      <c r="F4731" s="70"/>
    </row>
    <row r="4732" spans="6:6" x14ac:dyDescent="0.2">
      <c r="F4732" s="70"/>
    </row>
    <row r="4733" spans="6:6" x14ac:dyDescent="0.2">
      <c r="F4733" s="70"/>
    </row>
    <row r="4734" spans="6:6" x14ac:dyDescent="0.2">
      <c r="F4734" s="70"/>
    </row>
    <row r="4735" spans="6:6" x14ac:dyDescent="0.2">
      <c r="F4735" s="70"/>
    </row>
    <row r="4736" spans="6:6" x14ac:dyDescent="0.2">
      <c r="F4736" s="70"/>
    </row>
    <row r="4737" spans="6:6" x14ac:dyDescent="0.2">
      <c r="F4737" s="70"/>
    </row>
    <row r="4738" spans="6:6" x14ac:dyDescent="0.2">
      <c r="F4738" s="70"/>
    </row>
    <row r="4739" spans="6:6" x14ac:dyDescent="0.2">
      <c r="F4739" s="70"/>
    </row>
    <row r="4740" spans="6:6" x14ac:dyDescent="0.2">
      <c r="F4740" s="70"/>
    </row>
    <row r="4741" spans="6:6" x14ac:dyDescent="0.2">
      <c r="F4741" s="70"/>
    </row>
    <row r="4742" spans="6:6" x14ac:dyDescent="0.2">
      <c r="F4742" s="70"/>
    </row>
    <row r="4743" spans="6:6" x14ac:dyDescent="0.2">
      <c r="F4743" s="70"/>
    </row>
    <row r="4744" spans="6:6" x14ac:dyDescent="0.2">
      <c r="F4744" s="70"/>
    </row>
    <row r="4745" spans="6:6" x14ac:dyDescent="0.2">
      <c r="F4745" s="70"/>
    </row>
    <row r="4746" spans="6:6" x14ac:dyDescent="0.2">
      <c r="F4746" s="70"/>
    </row>
    <row r="4747" spans="6:6" x14ac:dyDescent="0.2">
      <c r="F4747" s="70"/>
    </row>
    <row r="4748" spans="6:6" x14ac:dyDescent="0.2">
      <c r="F4748" s="70"/>
    </row>
    <row r="4749" spans="6:6" x14ac:dyDescent="0.2">
      <c r="F4749" s="70"/>
    </row>
    <row r="4750" spans="6:6" x14ac:dyDescent="0.2">
      <c r="F4750" s="70"/>
    </row>
    <row r="4751" spans="6:6" x14ac:dyDescent="0.2">
      <c r="F4751" s="70"/>
    </row>
    <row r="4752" spans="6:6" x14ac:dyDescent="0.2">
      <c r="F4752" s="70"/>
    </row>
    <row r="4753" spans="6:6" x14ac:dyDescent="0.2">
      <c r="F4753" s="70"/>
    </row>
    <row r="4754" spans="6:6" x14ac:dyDescent="0.2">
      <c r="F4754" s="70"/>
    </row>
    <row r="4755" spans="6:6" x14ac:dyDescent="0.2">
      <c r="F4755" s="70"/>
    </row>
    <row r="4756" spans="6:6" x14ac:dyDescent="0.2">
      <c r="F4756" s="70"/>
    </row>
    <row r="4757" spans="6:6" x14ac:dyDescent="0.2">
      <c r="F4757" s="70"/>
    </row>
    <row r="4758" spans="6:6" x14ac:dyDescent="0.2">
      <c r="F4758" s="70"/>
    </row>
    <row r="4759" spans="6:6" x14ac:dyDescent="0.2">
      <c r="F4759" s="70"/>
    </row>
    <row r="4760" spans="6:6" x14ac:dyDescent="0.2">
      <c r="F4760" s="70"/>
    </row>
    <row r="4761" spans="6:6" x14ac:dyDescent="0.2">
      <c r="F4761" s="70"/>
    </row>
    <row r="4762" spans="6:6" x14ac:dyDescent="0.2">
      <c r="F4762" s="70"/>
    </row>
    <row r="4763" spans="6:6" x14ac:dyDescent="0.2">
      <c r="F4763" s="70"/>
    </row>
    <row r="4764" spans="6:6" x14ac:dyDescent="0.2">
      <c r="F4764" s="70"/>
    </row>
    <row r="4765" spans="6:6" x14ac:dyDescent="0.2">
      <c r="F4765" s="70"/>
    </row>
    <row r="4766" spans="6:6" x14ac:dyDescent="0.2">
      <c r="F4766" s="70"/>
    </row>
    <row r="4767" spans="6:6" x14ac:dyDescent="0.2">
      <c r="F4767" s="70"/>
    </row>
    <row r="4768" spans="6:6" x14ac:dyDescent="0.2">
      <c r="F4768" s="70"/>
    </row>
    <row r="4769" spans="6:6" x14ac:dyDescent="0.2">
      <c r="F4769" s="70"/>
    </row>
    <row r="4770" spans="6:6" x14ac:dyDescent="0.2">
      <c r="F4770" s="70"/>
    </row>
    <row r="4771" spans="6:6" x14ac:dyDescent="0.2">
      <c r="F4771" s="70"/>
    </row>
    <row r="4772" spans="6:6" x14ac:dyDescent="0.2">
      <c r="F4772" s="70"/>
    </row>
    <row r="4773" spans="6:6" x14ac:dyDescent="0.2">
      <c r="F4773" s="70"/>
    </row>
    <row r="4774" spans="6:6" x14ac:dyDescent="0.2">
      <c r="F4774" s="70"/>
    </row>
    <row r="4775" spans="6:6" x14ac:dyDescent="0.2">
      <c r="F4775" s="70"/>
    </row>
    <row r="4776" spans="6:6" x14ac:dyDescent="0.2">
      <c r="F4776" s="70"/>
    </row>
    <row r="4777" spans="6:6" x14ac:dyDescent="0.2">
      <c r="F4777" s="70"/>
    </row>
    <row r="4778" spans="6:6" x14ac:dyDescent="0.2">
      <c r="F4778" s="70"/>
    </row>
    <row r="4779" spans="6:6" x14ac:dyDescent="0.2">
      <c r="F4779" s="70"/>
    </row>
    <row r="4780" spans="6:6" x14ac:dyDescent="0.2">
      <c r="F4780" s="70"/>
    </row>
    <row r="4781" spans="6:6" x14ac:dyDescent="0.2">
      <c r="F4781" s="70"/>
    </row>
    <row r="4782" spans="6:6" x14ac:dyDescent="0.2">
      <c r="F4782" s="70"/>
    </row>
    <row r="4783" spans="6:6" x14ac:dyDescent="0.2">
      <c r="F4783" s="70"/>
    </row>
    <row r="4784" spans="6:6" x14ac:dyDescent="0.2">
      <c r="F4784" s="70"/>
    </row>
    <row r="4785" spans="6:6" x14ac:dyDescent="0.2">
      <c r="F4785" s="70"/>
    </row>
    <row r="4786" spans="6:6" x14ac:dyDescent="0.2">
      <c r="F4786" s="70"/>
    </row>
    <row r="4787" spans="6:6" x14ac:dyDescent="0.2">
      <c r="F4787" s="70"/>
    </row>
    <row r="4788" spans="6:6" x14ac:dyDescent="0.2">
      <c r="F4788" s="70"/>
    </row>
    <row r="4789" spans="6:6" x14ac:dyDescent="0.2">
      <c r="F4789" s="70"/>
    </row>
    <row r="4790" spans="6:6" x14ac:dyDescent="0.2">
      <c r="F4790" s="70"/>
    </row>
    <row r="4791" spans="6:6" x14ac:dyDescent="0.2">
      <c r="F4791" s="70"/>
    </row>
    <row r="4792" spans="6:6" x14ac:dyDescent="0.2">
      <c r="F4792" s="70"/>
    </row>
    <row r="4793" spans="6:6" x14ac:dyDescent="0.2">
      <c r="F4793" s="70"/>
    </row>
    <row r="4794" spans="6:6" x14ac:dyDescent="0.2">
      <c r="F4794" s="70"/>
    </row>
    <row r="4795" spans="6:6" x14ac:dyDescent="0.2">
      <c r="F4795" s="70"/>
    </row>
    <row r="4796" spans="6:6" x14ac:dyDescent="0.2">
      <c r="F4796" s="70"/>
    </row>
    <row r="4797" spans="6:6" x14ac:dyDescent="0.2">
      <c r="F4797" s="70"/>
    </row>
    <row r="4798" spans="6:6" x14ac:dyDescent="0.2">
      <c r="F4798" s="70"/>
    </row>
    <row r="4799" spans="6:6" x14ac:dyDescent="0.2">
      <c r="F4799" s="70"/>
    </row>
    <row r="4800" spans="6:6" x14ac:dyDescent="0.2">
      <c r="F4800" s="70"/>
    </row>
    <row r="4801" spans="6:6" x14ac:dyDescent="0.2">
      <c r="F4801" s="70"/>
    </row>
    <row r="4802" spans="6:6" x14ac:dyDescent="0.2">
      <c r="F4802" s="70"/>
    </row>
    <row r="4803" spans="6:6" x14ac:dyDescent="0.2">
      <c r="F4803" s="70"/>
    </row>
    <row r="4804" spans="6:6" x14ac:dyDescent="0.2">
      <c r="F4804" s="70"/>
    </row>
    <row r="4805" spans="6:6" x14ac:dyDescent="0.2">
      <c r="F4805" s="70"/>
    </row>
    <row r="4806" spans="6:6" x14ac:dyDescent="0.2">
      <c r="F4806" s="70"/>
    </row>
    <row r="4807" spans="6:6" x14ac:dyDescent="0.2">
      <c r="F4807" s="70"/>
    </row>
    <row r="4808" spans="6:6" x14ac:dyDescent="0.2">
      <c r="F4808" s="70"/>
    </row>
    <row r="4809" spans="6:6" x14ac:dyDescent="0.2">
      <c r="F4809" s="70"/>
    </row>
    <row r="4810" spans="6:6" x14ac:dyDescent="0.2">
      <c r="F4810" s="70"/>
    </row>
    <row r="4811" spans="6:6" x14ac:dyDescent="0.2">
      <c r="F4811" s="70"/>
    </row>
    <row r="4812" spans="6:6" x14ac:dyDescent="0.2">
      <c r="F4812" s="70"/>
    </row>
    <row r="4813" spans="6:6" x14ac:dyDescent="0.2">
      <c r="F4813" s="70"/>
    </row>
    <row r="4814" spans="6:6" x14ac:dyDescent="0.2">
      <c r="F4814" s="70"/>
    </row>
    <row r="4815" spans="6:6" x14ac:dyDescent="0.2">
      <c r="F4815" s="70"/>
    </row>
    <row r="4816" spans="6:6" x14ac:dyDescent="0.2">
      <c r="F4816" s="70"/>
    </row>
    <row r="4817" spans="6:6" x14ac:dyDescent="0.2">
      <c r="F4817" s="70"/>
    </row>
    <row r="4818" spans="6:6" x14ac:dyDescent="0.2">
      <c r="F4818" s="70"/>
    </row>
    <row r="4819" spans="6:6" x14ac:dyDescent="0.2">
      <c r="F4819" s="70"/>
    </row>
    <row r="4820" spans="6:6" x14ac:dyDescent="0.2">
      <c r="F4820" s="70"/>
    </row>
    <row r="4821" spans="6:6" x14ac:dyDescent="0.2">
      <c r="F4821" s="70"/>
    </row>
    <row r="4822" spans="6:6" x14ac:dyDescent="0.2">
      <c r="F4822" s="70"/>
    </row>
    <row r="4823" spans="6:6" x14ac:dyDescent="0.2">
      <c r="F4823" s="70"/>
    </row>
    <row r="4824" spans="6:6" x14ac:dyDescent="0.2">
      <c r="F4824" s="70"/>
    </row>
    <row r="4825" spans="6:6" x14ac:dyDescent="0.2">
      <c r="F4825" s="70"/>
    </row>
    <row r="4826" spans="6:6" x14ac:dyDescent="0.2">
      <c r="F4826" s="70"/>
    </row>
    <row r="4827" spans="6:6" x14ac:dyDescent="0.2">
      <c r="F4827" s="70"/>
    </row>
    <row r="4828" spans="6:6" x14ac:dyDescent="0.2">
      <c r="F4828" s="70"/>
    </row>
    <row r="4829" spans="6:6" x14ac:dyDescent="0.2">
      <c r="F4829" s="70"/>
    </row>
    <row r="4830" spans="6:6" x14ac:dyDescent="0.2">
      <c r="F4830" s="70"/>
    </row>
    <row r="4831" spans="6:6" x14ac:dyDescent="0.2">
      <c r="F4831" s="70"/>
    </row>
    <row r="4832" spans="6:6" x14ac:dyDescent="0.2">
      <c r="F4832" s="70"/>
    </row>
    <row r="4833" spans="6:6" x14ac:dyDescent="0.2">
      <c r="F4833" s="70"/>
    </row>
    <row r="4834" spans="6:6" x14ac:dyDescent="0.2">
      <c r="F4834" s="70"/>
    </row>
    <row r="4835" spans="6:6" x14ac:dyDescent="0.2">
      <c r="F4835" s="70"/>
    </row>
    <row r="4836" spans="6:6" x14ac:dyDescent="0.2">
      <c r="F4836" s="70"/>
    </row>
    <row r="4837" spans="6:6" x14ac:dyDescent="0.2">
      <c r="F4837" s="70"/>
    </row>
    <row r="4838" spans="6:6" x14ac:dyDescent="0.2">
      <c r="F4838" s="70"/>
    </row>
    <row r="4839" spans="6:6" x14ac:dyDescent="0.2">
      <c r="F4839" s="70"/>
    </row>
    <row r="4840" spans="6:6" x14ac:dyDescent="0.2">
      <c r="F4840" s="70"/>
    </row>
    <row r="4841" spans="6:6" x14ac:dyDescent="0.2">
      <c r="F4841" s="70"/>
    </row>
    <row r="4842" spans="6:6" x14ac:dyDescent="0.2">
      <c r="F4842" s="70"/>
    </row>
    <row r="4843" spans="6:6" x14ac:dyDescent="0.2">
      <c r="F4843" s="70"/>
    </row>
    <row r="4844" spans="6:6" x14ac:dyDescent="0.2">
      <c r="F4844" s="70"/>
    </row>
    <row r="4845" spans="6:6" x14ac:dyDescent="0.2">
      <c r="F4845" s="70"/>
    </row>
    <row r="4846" spans="6:6" x14ac:dyDescent="0.2">
      <c r="F4846" s="70"/>
    </row>
    <row r="4847" spans="6:6" x14ac:dyDescent="0.2">
      <c r="F4847" s="70"/>
    </row>
    <row r="4848" spans="6:6" x14ac:dyDescent="0.2">
      <c r="F4848" s="70"/>
    </row>
    <row r="4849" spans="6:6" x14ac:dyDescent="0.2">
      <c r="F4849" s="70"/>
    </row>
    <row r="4850" spans="6:6" x14ac:dyDescent="0.2">
      <c r="F4850" s="70"/>
    </row>
    <row r="4851" spans="6:6" x14ac:dyDescent="0.2">
      <c r="F4851" s="70"/>
    </row>
    <row r="4852" spans="6:6" x14ac:dyDescent="0.2">
      <c r="F4852" s="70"/>
    </row>
    <row r="4853" spans="6:6" x14ac:dyDescent="0.2">
      <c r="F4853" s="70"/>
    </row>
    <row r="4854" spans="6:6" x14ac:dyDescent="0.2">
      <c r="F4854" s="70"/>
    </row>
    <row r="4855" spans="6:6" x14ac:dyDescent="0.2">
      <c r="F4855" s="70"/>
    </row>
    <row r="4856" spans="6:6" x14ac:dyDescent="0.2">
      <c r="F4856" s="70"/>
    </row>
    <row r="4857" spans="6:6" x14ac:dyDescent="0.2">
      <c r="F4857" s="70"/>
    </row>
    <row r="4858" spans="6:6" x14ac:dyDescent="0.2">
      <c r="F4858" s="70"/>
    </row>
    <row r="4859" spans="6:6" x14ac:dyDescent="0.2">
      <c r="F4859" s="70"/>
    </row>
    <row r="4860" spans="6:6" x14ac:dyDescent="0.2">
      <c r="F4860" s="70"/>
    </row>
    <row r="4861" spans="6:6" x14ac:dyDescent="0.2">
      <c r="F4861" s="70"/>
    </row>
    <row r="4862" spans="6:6" x14ac:dyDescent="0.2">
      <c r="F4862" s="70"/>
    </row>
    <row r="4863" spans="6:6" x14ac:dyDescent="0.2">
      <c r="F4863" s="70"/>
    </row>
    <row r="4864" spans="6:6" x14ac:dyDescent="0.2">
      <c r="F4864" s="70"/>
    </row>
    <row r="4865" spans="6:6" x14ac:dyDescent="0.2">
      <c r="F4865" s="70"/>
    </row>
    <row r="4866" spans="6:6" x14ac:dyDescent="0.2">
      <c r="F4866" s="70"/>
    </row>
    <row r="4867" spans="6:6" x14ac:dyDescent="0.2">
      <c r="F4867" s="70"/>
    </row>
    <row r="4868" spans="6:6" x14ac:dyDescent="0.2">
      <c r="F4868" s="70"/>
    </row>
    <row r="4869" spans="6:6" x14ac:dyDescent="0.2">
      <c r="F4869" s="70"/>
    </row>
    <row r="4870" spans="6:6" x14ac:dyDescent="0.2">
      <c r="F4870" s="70"/>
    </row>
    <row r="4871" spans="6:6" x14ac:dyDescent="0.2">
      <c r="F4871" s="70"/>
    </row>
    <row r="4872" spans="6:6" x14ac:dyDescent="0.2">
      <c r="F4872" s="70"/>
    </row>
    <row r="4873" spans="6:6" x14ac:dyDescent="0.2">
      <c r="F4873" s="70"/>
    </row>
    <row r="4874" spans="6:6" x14ac:dyDescent="0.2">
      <c r="F4874" s="70"/>
    </row>
    <row r="4875" spans="6:6" x14ac:dyDescent="0.2">
      <c r="F4875" s="70"/>
    </row>
    <row r="4876" spans="6:6" x14ac:dyDescent="0.2">
      <c r="F4876" s="70"/>
    </row>
    <row r="4877" spans="6:6" x14ac:dyDescent="0.2">
      <c r="F4877" s="70"/>
    </row>
    <row r="4878" spans="6:6" x14ac:dyDescent="0.2">
      <c r="F4878" s="70"/>
    </row>
    <row r="4879" spans="6:6" x14ac:dyDescent="0.2">
      <c r="F4879" s="70"/>
    </row>
    <row r="4880" spans="6:6" x14ac:dyDescent="0.2">
      <c r="F4880" s="70"/>
    </row>
    <row r="4881" spans="6:6" x14ac:dyDescent="0.2">
      <c r="F4881" s="70"/>
    </row>
    <row r="4882" spans="6:6" x14ac:dyDescent="0.2">
      <c r="F4882" s="70"/>
    </row>
    <row r="4883" spans="6:6" x14ac:dyDescent="0.2">
      <c r="F4883" s="70"/>
    </row>
    <row r="4884" spans="6:6" x14ac:dyDescent="0.2">
      <c r="F4884" s="70"/>
    </row>
    <row r="4885" spans="6:6" x14ac:dyDescent="0.2">
      <c r="F4885" s="70"/>
    </row>
    <row r="4886" spans="6:6" x14ac:dyDescent="0.2">
      <c r="F4886" s="70"/>
    </row>
    <row r="4887" spans="6:6" x14ac:dyDescent="0.2">
      <c r="F4887" s="70"/>
    </row>
    <row r="4888" spans="6:6" x14ac:dyDescent="0.2">
      <c r="F4888" s="70"/>
    </row>
    <row r="4889" spans="6:6" x14ac:dyDescent="0.2">
      <c r="F4889" s="70"/>
    </row>
    <row r="4890" spans="6:6" x14ac:dyDescent="0.2">
      <c r="F4890" s="70"/>
    </row>
    <row r="4891" spans="6:6" x14ac:dyDescent="0.2">
      <c r="F4891" s="70"/>
    </row>
    <row r="4892" spans="6:6" x14ac:dyDescent="0.2">
      <c r="F4892" s="70"/>
    </row>
    <row r="4893" spans="6:6" x14ac:dyDescent="0.2">
      <c r="F4893" s="70"/>
    </row>
    <row r="4894" spans="6:6" x14ac:dyDescent="0.2">
      <c r="F4894" s="70"/>
    </row>
    <row r="4895" spans="6:6" x14ac:dyDescent="0.2">
      <c r="F4895" s="70"/>
    </row>
    <row r="4896" spans="6:6" x14ac:dyDescent="0.2">
      <c r="F4896" s="70"/>
    </row>
    <row r="4897" spans="6:6" x14ac:dyDescent="0.2">
      <c r="F4897" s="70"/>
    </row>
    <row r="4898" spans="6:6" x14ac:dyDescent="0.2">
      <c r="F4898" s="70"/>
    </row>
    <row r="4899" spans="6:6" x14ac:dyDescent="0.2">
      <c r="F4899" s="70"/>
    </row>
    <row r="4900" spans="6:6" x14ac:dyDescent="0.2">
      <c r="F4900" s="70"/>
    </row>
    <row r="4901" spans="6:6" x14ac:dyDescent="0.2">
      <c r="F4901" s="70"/>
    </row>
    <row r="4902" spans="6:6" x14ac:dyDescent="0.2">
      <c r="F4902" s="70"/>
    </row>
    <row r="4903" spans="6:6" x14ac:dyDescent="0.2">
      <c r="F4903" s="70"/>
    </row>
    <row r="4904" spans="6:6" x14ac:dyDescent="0.2">
      <c r="F4904" s="70"/>
    </row>
    <row r="4905" spans="6:6" x14ac:dyDescent="0.2">
      <c r="F4905" s="70"/>
    </row>
    <row r="4906" spans="6:6" x14ac:dyDescent="0.2">
      <c r="F4906" s="70"/>
    </row>
    <row r="4907" spans="6:6" x14ac:dyDescent="0.2">
      <c r="F4907" s="70"/>
    </row>
    <row r="4908" spans="6:6" x14ac:dyDescent="0.2">
      <c r="F4908" s="70"/>
    </row>
    <row r="4909" spans="6:6" x14ac:dyDescent="0.2">
      <c r="F4909" s="70"/>
    </row>
    <row r="4910" spans="6:6" x14ac:dyDescent="0.2">
      <c r="F4910" s="70"/>
    </row>
    <row r="4911" spans="6:6" x14ac:dyDescent="0.2">
      <c r="F4911" s="70"/>
    </row>
    <row r="4912" spans="6:6" x14ac:dyDescent="0.2">
      <c r="F4912" s="70"/>
    </row>
    <row r="4913" spans="6:6" x14ac:dyDescent="0.2">
      <c r="F4913" s="70"/>
    </row>
    <row r="4914" spans="6:6" x14ac:dyDescent="0.2">
      <c r="F4914" s="70"/>
    </row>
    <row r="4915" spans="6:6" x14ac:dyDescent="0.2">
      <c r="F4915" s="70"/>
    </row>
    <row r="4916" spans="6:6" x14ac:dyDescent="0.2">
      <c r="F4916" s="70"/>
    </row>
    <row r="4917" spans="6:6" x14ac:dyDescent="0.2">
      <c r="F4917" s="70"/>
    </row>
    <row r="4918" spans="6:6" x14ac:dyDescent="0.2">
      <c r="F4918" s="70"/>
    </row>
    <row r="4919" spans="6:6" x14ac:dyDescent="0.2">
      <c r="F4919" s="70"/>
    </row>
    <row r="4920" spans="6:6" x14ac:dyDescent="0.2">
      <c r="F4920" s="70"/>
    </row>
    <row r="4921" spans="6:6" x14ac:dyDescent="0.2">
      <c r="F4921" s="70"/>
    </row>
    <row r="4922" spans="6:6" x14ac:dyDescent="0.2">
      <c r="F4922" s="70"/>
    </row>
    <row r="4923" spans="6:6" x14ac:dyDescent="0.2">
      <c r="F4923" s="70"/>
    </row>
    <row r="4924" spans="6:6" x14ac:dyDescent="0.2">
      <c r="F4924" s="70"/>
    </row>
    <row r="4925" spans="6:6" x14ac:dyDescent="0.2">
      <c r="F4925" s="70"/>
    </row>
    <row r="4926" spans="6:6" x14ac:dyDescent="0.2">
      <c r="F4926" s="70"/>
    </row>
    <row r="4927" spans="6:6" x14ac:dyDescent="0.2">
      <c r="F4927" s="70"/>
    </row>
    <row r="4928" spans="6:6" x14ac:dyDescent="0.2">
      <c r="F4928" s="70"/>
    </row>
    <row r="4929" spans="6:6" x14ac:dyDescent="0.2">
      <c r="F4929" s="70"/>
    </row>
    <row r="4930" spans="6:6" x14ac:dyDescent="0.2">
      <c r="F4930" s="70"/>
    </row>
    <row r="4931" spans="6:6" x14ac:dyDescent="0.2">
      <c r="F4931" s="70"/>
    </row>
    <row r="4932" spans="6:6" x14ac:dyDescent="0.2">
      <c r="F4932" s="70"/>
    </row>
    <row r="4933" spans="6:6" x14ac:dyDescent="0.2">
      <c r="F4933" s="70"/>
    </row>
    <row r="4934" spans="6:6" x14ac:dyDescent="0.2">
      <c r="F4934" s="70"/>
    </row>
    <row r="4935" spans="6:6" x14ac:dyDescent="0.2">
      <c r="F4935" s="70"/>
    </row>
    <row r="4936" spans="6:6" x14ac:dyDescent="0.2">
      <c r="F4936" s="70"/>
    </row>
    <row r="4937" spans="6:6" x14ac:dyDescent="0.2">
      <c r="F4937" s="70"/>
    </row>
    <row r="4938" spans="6:6" x14ac:dyDescent="0.2">
      <c r="F4938" s="70"/>
    </row>
    <row r="4939" spans="6:6" x14ac:dyDescent="0.2">
      <c r="F4939" s="70"/>
    </row>
    <row r="4940" spans="6:6" x14ac:dyDescent="0.2">
      <c r="F4940" s="70"/>
    </row>
    <row r="4941" spans="6:6" x14ac:dyDescent="0.2">
      <c r="F4941" s="70"/>
    </row>
    <row r="4942" spans="6:6" x14ac:dyDescent="0.2">
      <c r="F4942" s="70"/>
    </row>
    <row r="4943" spans="6:6" x14ac:dyDescent="0.2">
      <c r="F4943" s="70"/>
    </row>
    <row r="4944" spans="6:6" x14ac:dyDescent="0.2">
      <c r="F4944" s="70"/>
    </row>
    <row r="4945" spans="6:6" x14ac:dyDescent="0.2">
      <c r="F4945" s="70"/>
    </row>
    <row r="4946" spans="6:6" x14ac:dyDescent="0.2">
      <c r="F4946" s="70"/>
    </row>
    <row r="4947" spans="6:6" x14ac:dyDescent="0.2">
      <c r="F4947" s="70"/>
    </row>
    <row r="4948" spans="6:6" x14ac:dyDescent="0.2">
      <c r="F4948" s="70"/>
    </row>
    <row r="4949" spans="6:6" x14ac:dyDescent="0.2">
      <c r="F4949" s="70"/>
    </row>
    <row r="4950" spans="6:6" x14ac:dyDescent="0.2">
      <c r="F4950" s="70"/>
    </row>
    <row r="4951" spans="6:6" x14ac:dyDescent="0.2">
      <c r="F4951" s="70"/>
    </row>
    <row r="4952" spans="6:6" x14ac:dyDescent="0.2">
      <c r="F4952" s="70"/>
    </row>
    <row r="4953" spans="6:6" x14ac:dyDescent="0.2">
      <c r="F4953" s="70"/>
    </row>
    <row r="4954" spans="6:6" x14ac:dyDescent="0.2">
      <c r="F4954" s="70"/>
    </row>
    <row r="4955" spans="6:6" x14ac:dyDescent="0.2">
      <c r="F4955" s="70"/>
    </row>
    <row r="4956" spans="6:6" x14ac:dyDescent="0.2">
      <c r="F4956" s="70"/>
    </row>
    <row r="4957" spans="6:6" x14ac:dyDescent="0.2">
      <c r="F4957" s="70"/>
    </row>
    <row r="4958" spans="6:6" x14ac:dyDescent="0.2">
      <c r="F4958" s="70"/>
    </row>
    <row r="4959" spans="6:6" x14ac:dyDescent="0.2">
      <c r="F4959" s="70"/>
    </row>
    <row r="4960" spans="6:6" x14ac:dyDescent="0.2">
      <c r="F4960" s="70"/>
    </row>
    <row r="4961" spans="6:6" x14ac:dyDescent="0.2">
      <c r="F4961" s="70"/>
    </row>
    <row r="4962" spans="6:6" x14ac:dyDescent="0.2">
      <c r="F4962" s="70"/>
    </row>
    <row r="4963" spans="6:6" x14ac:dyDescent="0.2">
      <c r="F4963" s="70"/>
    </row>
    <row r="4964" spans="6:6" x14ac:dyDescent="0.2">
      <c r="F4964" s="70"/>
    </row>
    <row r="4965" spans="6:6" x14ac:dyDescent="0.2">
      <c r="F4965" s="70"/>
    </row>
    <row r="4966" spans="6:6" x14ac:dyDescent="0.2">
      <c r="F4966" s="70"/>
    </row>
    <row r="4967" spans="6:6" x14ac:dyDescent="0.2">
      <c r="F4967" s="70"/>
    </row>
    <row r="4968" spans="6:6" x14ac:dyDescent="0.2">
      <c r="F4968" s="70"/>
    </row>
    <row r="4969" spans="6:6" x14ac:dyDescent="0.2">
      <c r="F4969" s="70"/>
    </row>
    <row r="4970" spans="6:6" x14ac:dyDescent="0.2">
      <c r="F4970" s="70"/>
    </row>
    <row r="4971" spans="6:6" x14ac:dyDescent="0.2">
      <c r="F4971" s="70"/>
    </row>
    <row r="4972" spans="6:6" x14ac:dyDescent="0.2">
      <c r="F4972" s="70"/>
    </row>
    <row r="4973" spans="6:6" x14ac:dyDescent="0.2">
      <c r="F4973" s="70"/>
    </row>
    <row r="4974" spans="6:6" x14ac:dyDescent="0.2">
      <c r="F4974" s="70"/>
    </row>
    <row r="4975" spans="6:6" x14ac:dyDescent="0.2">
      <c r="F4975" s="70"/>
    </row>
    <row r="4976" spans="6:6" x14ac:dyDescent="0.2">
      <c r="F4976" s="70"/>
    </row>
    <row r="4977" spans="6:6" x14ac:dyDescent="0.2">
      <c r="F4977" s="70"/>
    </row>
    <row r="4978" spans="6:6" x14ac:dyDescent="0.2">
      <c r="F4978" s="70"/>
    </row>
    <row r="4979" spans="6:6" x14ac:dyDescent="0.2">
      <c r="F4979" s="70"/>
    </row>
    <row r="4980" spans="6:6" x14ac:dyDescent="0.2">
      <c r="F4980" s="70"/>
    </row>
    <row r="4981" spans="6:6" x14ac:dyDescent="0.2">
      <c r="F4981" s="70"/>
    </row>
    <row r="4982" spans="6:6" x14ac:dyDescent="0.2">
      <c r="F4982" s="70"/>
    </row>
    <row r="4983" spans="6:6" x14ac:dyDescent="0.2">
      <c r="F4983" s="70"/>
    </row>
    <row r="4984" spans="6:6" x14ac:dyDescent="0.2">
      <c r="F4984" s="70"/>
    </row>
    <row r="4985" spans="6:6" x14ac:dyDescent="0.2">
      <c r="F4985" s="70"/>
    </row>
    <row r="4986" spans="6:6" x14ac:dyDescent="0.2">
      <c r="F4986" s="70"/>
    </row>
    <row r="4987" spans="6:6" x14ac:dyDescent="0.2">
      <c r="F4987" s="70"/>
    </row>
    <row r="4988" spans="6:6" x14ac:dyDescent="0.2">
      <c r="F4988" s="70"/>
    </row>
    <row r="4989" spans="6:6" x14ac:dyDescent="0.2">
      <c r="F4989" s="70"/>
    </row>
    <row r="4990" spans="6:6" x14ac:dyDescent="0.2">
      <c r="F4990" s="70"/>
    </row>
    <row r="4991" spans="6:6" x14ac:dyDescent="0.2">
      <c r="F4991" s="70"/>
    </row>
    <row r="4992" spans="6:6" x14ac:dyDescent="0.2">
      <c r="F4992" s="70"/>
    </row>
    <row r="4993" spans="6:6" x14ac:dyDescent="0.2">
      <c r="F4993" s="70"/>
    </row>
    <row r="4994" spans="6:6" x14ac:dyDescent="0.2">
      <c r="F4994" s="70"/>
    </row>
    <row r="4995" spans="6:6" x14ac:dyDescent="0.2">
      <c r="F4995" s="70"/>
    </row>
    <row r="4996" spans="6:6" x14ac:dyDescent="0.2">
      <c r="F4996" s="70"/>
    </row>
    <row r="4997" spans="6:6" x14ac:dyDescent="0.2">
      <c r="F4997" s="70"/>
    </row>
    <row r="4998" spans="6:6" x14ac:dyDescent="0.2">
      <c r="F4998" s="70"/>
    </row>
    <row r="4999" spans="6:6" x14ac:dyDescent="0.2">
      <c r="F4999" s="70"/>
    </row>
    <row r="5000" spans="6:6" x14ac:dyDescent="0.2">
      <c r="F5000" s="70"/>
    </row>
    <row r="5001" spans="6:6" x14ac:dyDescent="0.2">
      <c r="F5001" s="70"/>
    </row>
    <row r="5002" spans="6:6" x14ac:dyDescent="0.2">
      <c r="F5002" s="70"/>
    </row>
    <row r="5003" spans="6:6" x14ac:dyDescent="0.2">
      <c r="F5003" s="70"/>
    </row>
    <row r="5004" spans="6:6" x14ac:dyDescent="0.2">
      <c r="F5004" s="70"/>
    </row>
    <row r="5005" spans="6:6" x14ac:dyDescent="0.2">
      <c r="F5005" s="70"/>
    </row>
    <row r="5006" spans="6:6" x14ac:dyDescent="0.2">
      <c r="F5006" s="70"/>
    </row>
    <row r="5007" spans="6:6" x14ac:dyDescent="0.2">
      <c r="F5007" s="70"/>
    </row>
    <row r="5008" spans="6:6" x14ac:dyDescent="0.2">
      <c r="F5008" s="70"/>
    </row>
    <row r="5009" spans="6:6" x14ac:dyDescent="0.2">
      <c r="F5009" s="70"/>
    </row>
    <row r="5010" spans="6:6" x14ac:dyDescent="0.2">
      <c r="F5010" s="70"/>
    </row>
    <row r="5011" spans="6:6" x14ac:dyDescent="0.2">
      <c r="F5011" s="70"/>
    </row>
    <row r="5012" spans="6:6" x14ac:dyDescent="0.2">
      <c r="F5012" s="70"/>
    </row>
    <row r="5013" spans="6:6" x14ac:dyDescent="0.2">
      <c r="F5013" s="70"/>
    </row>
    <row r="5014" spans="6:6" x14ac:dyDescent="0.2">
      <c r="F5014" s="70"/>
    </row>
    <row r="5015" spans="6:6" x14ac:dyDescent="0.2">
      <c r="F5015" s="70"/>
    </row>
    <row r="5016" spans="6:6" x14ac:dyDescent="0.2">
      <c r="F5016" s="70"/>
    </row>
    <row r="5017" spans="6:6" x14ac:dyDescent="0.2">
      <c r="F5017" s="70"/>
    </row>
    <row r="5018" spans="6:6" x14ac:dyDescent="0.2">
      <c r="F5018" s="70"/>
    </row>
    <row r="5019" spans="6:6" x14ac:dyDescent="0.2">
      <c r="F5019" s="70"/>
    </row>
    <row r="5020" spans="6:6" x14ac:dyDescent="0.2">
      <c r="F5020" s="70"/>
    </row>
    <row r="5021" spans="6:6" x14ac:dyDescent="0.2">
      <c r="F5021" s="70"/>
    </row>
    <row r="5022" spans="6:6" x14ac:dyDescent="0.2">
      <c r="F5022" s="70"/>
    </row>
    <row r="5023" spans="6:6" x14ac:dyDescent="0.2">
      <c r="F5023" s="70"/>
    </row>
    <row r="5024" spans="6:6" x14ac:dyDescent="0.2">
      <c r="F5024" s="70"/>
    </row>
    <row r="5025" spans="6:6" x14ac:dyDescent="0.2">
      <c r="F5025" s="70"/>
    </row>
    <row r="5026" spans="6:6" x14ac:dyDescent="0.2">
      <c r="F5026" s="70"/>
    </row>
    <row r="5027" spans="6:6" x14ac:dyDescent="0.2">
      <c r="F5027" s="70"/>
    </row>
    <row r="5028" spans="6:6" x14ac:dyDescent="0.2">
      <c r="F5028" s="70"/>
    </row>
    <row r="5029" spans="6:6" x14ac:dyDescent="0.2">
      <c r="F5029" s="70"/>
    </row>
    <row r="5030" spans="6:6" x14ac:dyDescent="0.2">
      <c r="F5030" s="70"/>
    </row>
    <row r="5031" spans="6:6" x14ac:dyDescent="0.2">
      <c r="F5031" s="70"/>
    </row>
    <row r="5032" spans="6:6" x14ac:dyDescent="0.2">
      <c r="F5032" s="70"/>
    </row>
    <row r="5033" spans="6:6" x14ac:dyDescent="0.2">
      <c r="F5033" s="70"/>
    </row>
    <row r="5034" spans="6:6" x14ac:dyDescent="0.2">
      <c r="F5034" s="70"/>
    </row>
    <row r="5035" spans="6:6" x14ac:dyDescent="0.2">
      <c r="F5035" s="70"/>
    </row>
    <row r="5036" spans="6:6" x14ac:dyDescent="0.2">
      <c r="F5036" s="70"/>
    </row>
    <row r="5037" spans="6:6" x14ac:dyDescent="0.2">
      <c r="F5037" s="70"/>
    </row>
    <row r="5038" spans="6:6" x14ac:dyDescent="0.2">
      <c r="F5038" s="70"/>
    </row>
    <row r="5039" spans="6:6" x14ac:dyDescent="0.2">
      <c r="F5039" s="70"/>
    </row>
    <row r="5040" spans="6:6" x14ac:dyDescent="0.2">
      <c r="F5040" s="70"/>
    </row>
    <row r="5041" spans="6:6" x14ac:dyDescent="0.2">
      <c r="F5041" s="70"/>
    </row>
    <row r="5042" spans="6:6" x14ac:dyDescent="0.2">
      <c r="F5042" s="70"/>
    </row>
    <row r="5043" spans="6:6" x14ac:dyDescent="0.2">
      <c r="F5043" s="70"/>
    </row>
    <row r="5044" spans="6:6" x14ac:dyDescent="0.2">
      <c r="F5044" s="70"/>
    </row>
    <row r="5045" spans="6:6" x14ac:dyDescent="0.2">
      <c r="F5045" s="70"/>
    </row>
    <row r="5046" spans="6:6" x14ac:dyDescent="0.2">
      <c r="F5046" s="70"/>
    </row>
    <row r="5047" spans="6:6" x14ac:dyDescent="0.2">
      <c r="F5047" s="70"/>
    </row>
    <row r="5048" spans="6:6" x14ac:dyDescent="0.2">
      <c r="F5048" s="70"/>
    </row>
    <row r="5049" spans="6:6" x14ac:dyDescent="0.2">
      <c r="F5049" s="70"/>
    </row>
    <row r="5050" spans="6:6" x14ac:dyDescent="0.2">
      <c r="F5050" s="70"/>
    </row>
    <row r="5051" spans="6:6" x14ac:dyDescent="0.2">
      <c r="F5051" s="70"/>
    </row>
    <row r="5052" spans="6:6" x14ac:dyDescent="0.2">
      <c r="F5052" s="70"/>
    </row>
    <row r="5053" spans="6:6" x14ac:dyDescent="0.2">
      <c r="F5053" s="70"/>
    </row>
    <row r="5054" spans="6:6" x14ac:dyDescent="0.2">
      <c r="F5054" s="70"/>
    </row>
    <row r="5055" spans="6:6" x14ac:dyDescent="0.2">
      <c r="F5055" s="70"/>
    </row>
    <row r="5056" spans="6:6" x14ac:dyDescent="0.2">
      <c r="F5056" s="70"/>
    </row>
    <row r="5057" spans="6:6" x14ac:dyDescent="0.2">
      <c r="F5057" s="70"/>
    </row>
    <row r="5058" spans="6:6" x14ac:dyDescent="0.2">
      <c r="F5058" s="70"/>
    </row>
    <row r="5059" spans="6:6" x14ac:dyDescent="0.2">
      <c r="F5059" s="70"/>
    </row>
    <row r="5060" spans="6:6" x14ac:dyDescent="0.2">
      <c r="F5060" s="70"/>
    </row>
    <row r="5061" spans="6:6" x14ac:dyDescent="0.2">
      <c r="F5061" s="70"/>
    </row>
    <row r="5062" spans="6:6" x14ac:dyDescent="0.2">
      <c r="F5062" s="70"/>
    </row>
    <row r="5063" spans="6:6" x14ac:dyDescent="0.2">
      <c r="F5063" s="70"/>
    </row>
    <row r="5064" spans="6:6" x14ac:dyDescent="0.2">
      <c r="F5064" s="70"/>
    </row>
    <row r="5065" spans="6:6" x14ac:dyDescent="0.2">
      <c r="F5065" s="70"/>
    </row>
    <row r="5066" spans="6:6" x14ac:dyDescent="0.2">
      <c r="F5066" s="70"/>
    </row>
    <row r="5067" spans="6:6" x14ac:dyDescent="0.2">
      <c r="F5067" s="70"/>
    </row>
    <row r="5068" spans="6:6" x14ac:dyDescent="0.2">
      <c r="F5068" s="70"/>
    </row>
    <row r="5069" spans="6:6" x14ac:dyDescent="0.2">
      <c r="F5069" s="70"/>
    </row>
    <row r="5070" spans="6:6" x14ac:dyDescent="0.2">
      <c r="F5070" s="70"/>
    </row>
    <row r="5071" spans="6:6" x14ac:dyDescent="0.2">
      <c r="F5071" s="70"/>
    </row>
    <row r="5072" spans="6:6" x14ac:dyDescent="0.2">
      <c r="F5072" s="70"/>
    </row>
    <row r="5073" spans="6:6" x14ac:dyDescent="0.2">
      <c r="F5073" s="70"/>
    </row>
    <row r="5074" spans="6:6" x14ac:dyDescent="0.2">
      <c r="F5074" s="70"/>
    </row>
    <row r="5075" spans="6:6" x14ac:dyDescent="0.2">
      <c r="F5075" s="70"/>
    </row>
    <row r="5076" spans="6:6" x14ac:dyDescent="0.2">
      <c r="F5076" s="70"/>
    </row>
    <row r="5077" spans="6:6" x14ac:dyDescent="0.2">
      <c r="F5077" s="70"/>
    </row>
    <row r="5078" spans="6:6" x14ac:dyDescent="0.2">
      <c r="F5078" s="70"/>
    </row>
    <row r="5079" spans="6:6" x14ac:dyDescent="0.2">
      <c r="F5079" s="70"/>
    </row>
    <row r="5080" spans="6:6" x14ac:dyDescent="0.2">
      <c r="F5080" s="70"/>
    </row>
    <row r="5081" spans="6:6" x14ac:dyDescent="0.2">
      <c r="F5081" s="70"/>
    </row>
    <row r="5082" spans="6:6" x14ac:dyDescent="0.2">
      <c r="F5082" s="70"/>
    </row>
    <row r="5083" spans="6:6" x14ac:dyDescent="0.2">
      <c r="F5083" s="70"/>
    </row>
    <row r="5084" spans="6:6" x14ac:dyDescent="0.2">
      <c r="F5084" s="70"/>
    </row>
    <row r="5085" spans="6:6" x14ac:dyDescent="0.2">
      <c r="F5085" s="70"/>
    </row>
    <row r="5086" spans="6:6" x14ac:dyDescent="0.2">
      <c r="F5086" s="70"/>
    </row>
    <row r="5087" spans="6:6" x14ac:dyDescent="0.2">
      <c r="F5087" s="70"/>
    </row>
    <row r="5088" spans="6:6" x14ac:dyDescent="0.2">
      <c r="F5088" s="70"/>
    </row>
    <row r="5089" spans="6:6" x14ac:dyDescent="0.2">
      <c r="F5089" s="70"/>
    </row>
    <row r="5090" spans="6:6" x14ac:dyDescent="0.2">
      <c r="F5090" s="70"/>
    </row>
    <row r="5091" spans="6:6" x14ac:dyDescent="0.2">
      <c r="F5091" s="70"/>
    </row>
    <row r="5092" spans="6:6" x14ac:dyDescent="0.2">
      <c r="F5092" s="70"/>
    </row>
    <row r="5093" spans="6:6" x14ac:dyDescent="0.2">
      <c r="F5093" s="70"/>
    </row>
    <row r="5094" spans="6:6" x14ac:dyDescent="0.2">
      <c r="F5094" s="70"/>
    </row>
    <row r="5095" spans="6:6" x14ac:dyDescent="0.2">
      <c r="F5095" s="70"/>
    </row>
    <row r="5096" spans="6:6" x14ac:dyDescent="0.2">
      <c r="F5096" s="70"/>
    </row>
    <row r="5097" spans="6:6" x14ac:dyDescent="0.2">
      <c r="F5097" s="70"/>
    </row>
    <row r="5098" spans="6:6" x14ac:dyDescent="0.2">
      <c r="F5098" s="70"/>
    </row>
    <row r="5099" spans="6:6" x14ac:dyDescent="0.2">
      <c r="F5099" s="70"/>
    </row>
    <row r="5100" spans="6:6" x14ac:dyDescent="0.2">
      <c r="F5100" s="70"/>
    </row>
    <row r="5101" spans="6:6" x14ac:dyDescent="0.2">
      <c r="F5101" s="70"/>
    </row>
    <row r="5102" spans="6:6" x14ac:dyDescent="0.2">
      <c r="F5102" s="70"/>
    </row>
    <row r="5103" spans="6:6" x14ac:dyDescent="0.2">
      <c r="F5103" s="70"/>
    </row>
    <row r="5104" spans="6:6" x14ac:dyDescent="0.2">
      <c r="F5104" s="70"/>
    </row>
    <row r="5105" spans="6:6" x14ac:dyDescent="0.2">
      <c r="F5105" s="70"/>
    </row>
    <row r="5106" spans="6:6" x14ac:dyDescent="0.2">
      <c r="F5106" s="70"/>
    </row>
    <row r="5107" spans="6:6" x14ac:dyDescent="0.2">
      <c r="F5107" s="70"/>
    </row>
    <row r="5108" spans="6:6" x14ac:dyDescent="0.2">
      <c r="F5108" s="70"/>
    </row>
    <row r="5109" spans="6:6" x14ac:dyDescent="0.2">
      <c r="F5109" s="70"/>
    </row>
    <row r="5110" spans="6:6" x14ac:dyDescent="0.2">
      <c r="F5110" s="70"/>
    </row>
    <row r="5111" spans="6:6" x14ac:dyDescent="0.2">
      <c r="F5111" s="70"/>
    </row>
    <row r="5112" spans="6:6" x14ac:dyDescent="0.2">
      <c r="F5112" s="70"/>
    </row>
    <row r="5113" spans="6:6" x14ac:dyDescent="0.2">
      <c r="F5113" s="70"/>
    </row>
    <row r="5114" spans="6:6" x14ac:dyDescent="0.2">
      <c r="F5114" s="70"/>
    </row>
    <row r="5115" spans="6:6" x14ac:dyDescent="0.2">
      <c r="F5115" s="70"/>
    </row>
    <row r="5116" spans="6:6" x14ac:dyDescent="0.2">
      <c r="F5116" s="70"/>
    </row>
    <row r="5117" spans="6:6" x14ac:dyDescent="0.2">
      <c r="F5117" s="70"/>
    </row>
    <row r="5118" spans="6:6" x14ac:dyDescent="0.2">
      <c r="F5118" s="70"/>
    </row>
    <row r="5119" spans="6:6" x14ac:dyDescent="0.2">
      <c r="F5119" s="70"/>
    </row>
    <row r="5120" spans="6:6" x14ac:dyDescent="0.2">
      <c r="F5120" s="70"/>
    </row>
    <row r="5121" spans="6:6" x14ac:dyDescent="0.2">
      <c r="F5121" s="70"/>
    </row>
    <row r="5122" spans="6:6" x14ac:dyDescent="0.2">
      <c r="F5122" s="70"/>
    </row>
    <row r="5123" spans="6:6" x14ac:dyDescent="0.2">
      <c r="F5123" s="70"/>
    </row>
    <row r="5124" spans="6:6" x14ac:dyDescent="0.2">
      <c r="F5124" s="70"/>
    </row>
    <row r="5125" spans="6:6" x14ac:dyDescent="0.2">
      <c r="F5125" s="70"/>
    </row>
    <row r="5126" spans="6:6" x14ac:dyDescent="0.2">
      <c r="F5126" s="70"/>
    </row>
    <row r="5127" spans="6:6" x14ac:dyDescent="0.2">
      <c r="F5127" s="70"/>
    </row>
    <row r="5128" spans="6:6" x14ac:dyDescent="0.2">
      <c r="F5128" s="70"/>
    </row>
    <row r="5129" spans="6:6" x14ac:dyDescent="0.2">
      <c r="F5129" s="70"/>
    </row>
    <row r="5130" spans="6:6" x14ac:dyDescent="0.2">
      <c r="F5130" s="70"/>
    </row>
    <row r="5131" spans="6:6" x14ac:dyDescent="0.2">
      <c r="F5131" s="70"/>
    </row>
    <row r="5132" spans="6:6" x14ac:dyDescent="0.2">
      <c r="F5132" s="70"/>
    </row>
    <row r="5133" spans="6:6" x14ac:dyDescent="0.2">
      <c r="F5133" s="70"/>
    </row>
    <row r="5134" spans="6:6" x14ac:dyDescent="0.2">
      <c r="F5134" s="70"/>
    </row>
    <row r="5135" spans="6:6" x14ac:dyDescent="0.2">
      <c r="F5135" s="70"/>
    </row>
    <row r="5136" spans="6:6" x14ac:dyDescent="0.2">
      <c r="F5136" s="70"/>
    </row>
    <row r="5137" spans="6:6" x14ac:dyDescent="0.2">
      <c r="F5137" s="70"/>
    </row>
    <row r="5138" spans="6:6" x14ac:dyDescent="0.2">
      <c r="F5138" s="70"/>
    </row>
    <row r="5139" spans="6:6" x14ac:dyDescent="0.2">
      <c r="F5139" s="70"/>
    </row>
    <row r="5140" spans="6:6" x14ac:dyDescent="0.2">
      <c r="F5140" s="70"/>
    </row>
    <row r="5141" spans="6:6" x14ac:dyDescent="0.2">
      <c r="F5141" s="70"/>
    </row>
    <row r="5142" spans="6:6" x14ac:dyDescent="0.2">
      <c r="F5142" s="70"/>
    </row>
    <row r="5143" spans="6:6" x14ac:dyDescent="0.2">
      <c r="F5143" s="70"/>
    </row>
    <row r="5144" spans="6:6" x14ac:dyDescent="0.2">
      <c r="F5144" s="70"/>
    </row>
    <row r="5145" spans="6:6" x14ac:dyDescent="0.2">
      <c r="F5145" s="70"/>
    </row>
    <row r="5146" spans="6:6" x14ac:dyDescent="0.2">
      <c r="F5146" s="70"/>
    </row>
    <row r="5147" spans="6:6" x14ac:dyDescent="0.2">
      <c r="F5147" s="70"/>
    </row>
    <row r="5148" spans="6:6" x14ac:dyDescent="0.2">
      <c r="F5148" s="70"/>
    </row>
    <row r="5149" spans="6:6" x14ac:dyDescent="0.2">
      <c r="F5149" s="70"/>
    </row>
    <row r="5150" spans="6:6" x14ac:dyDescent="0.2">
      <c r="F5150" s="70"/>
    </row>
    <row r="5151" spans="6:6" x14ac:dyDescent="0.2">
      <c r="F5151" s="70"/>
    </row>
    <row r="5152" spans="6:6" x14ac:dyDescent="0.2">
      <c r="F5152" s="70"/>
    </row>
    <row r="5153" spans="6:6" x14ac:dyDescent="0.2">
      <c r="F5153" s="70"/>
    </row>
    <row r="5154" spans="6:6" x14ac:dyDescent="0.2">
      <c r="F5154" s="70"/>
    </row>
    <row r="5155" spans="6:6" x14ac:dyDescent="0.2">
      <c r="F5155" s="70"/>
    </row>
    <row r="5156" spans="6:6" x14ac:dyDescent="0.2">
      <c r="F5156" s="70"/>
    </row>
    <row r="5157" spans="6:6" x14ac:dyDescent="0.2">
      <c r="F5157" s="70"/>
    </row>
    <row r="5158" spans="6:6" x14ac:dyDescent="0.2">
      <c r="F5158" s="70"/>
    </row>
    <row r="5159" spans="6:6" x14ac:dyDescent="0.2">
      <c r="F5159" s="70"/>
    </row>
    <row r="5160" spans="6:6" x14ac:dyDescent="0.2">
      <c r="F5160" s="70"/>
    </row>
    <row r="5161" spans="6:6" x14ac:dyDescent="0.2">
      <c r="F5161" s="70"/>
    </row>
    <row r="5162" spans="6:6" x14ac:dyDescent="0.2">
      <c r="F5162" s="70"/>
    </row>
    <row r="5163" spans="6:6" x14ac:dyDescent="0.2">
      <c r="F5163" s="70"/>
    </row>
    <row r="5164" spans="6:6" x14ac:dyDescent="0.2">
      <c r="F5164" s="70"/>
    </row>
    <row r="5165" spans="6:6" x14ac:dyDescent="0.2">
      <c r="F5165" s="70"/>
    </row>
    <row r="5166" spans="6:6" x14ac:dyDescent="0.2">
      <c r="F5166" s="70"/>
    </row>
    <row r="5167" spans="6:6" x14ac:dyDescent="0.2">
      <c r="F5167" s="70"/>
    </row>
    <row r="5168" spans="6:6" x14ac:dyDescent="0.2">
      <c r="F5168" s="70"/>
    </row>
    <row r="5169" spans="6:6" x14ac:dyDescent="0.2">
      <c r="F5169" s="70"/>
    </row>
    <row r="5170" spans="6:6" x14ac:dyDescent="0.2">
      <c r="F5170" s="70"/>
    </row>
    <row r="5171" spans="6:6" x14ac:dyDescent="0.2">
      <c r="F5171" s="70"/>
    </row>
    <row r="5172" spans="6:6" x14ac:dyDescent="0.2">
      <c r="F5172" s="70"/>
    </row>
    <row r="5173" spans="6:6" x14ac:dyDescent="0.2">
      <c r="F5173" s="70"/>
    </row>
    <row r="5174" spans="6:6" x14ac:dyDescent="0.2">
      <c r="F5174" s="70"/>
    </row>
    <row r="5175" spans="6:6" x14ac:dyDescent="0.2">
      <c r="F5175" s="70"/>
    </row>
    <row r="5176" spans="6:6" x14ac:dyDescent="0.2">
      <c r="F5176" s="70"/>
    </row>
    <row r="5177" spans="6:6" x14ac:dyDescent="0.2">
      <c r="F5177" s="70"/>
    </row>
    <row r="5178" spans="6:6" x14ac:dyDescent="0.2">
      <c r="F5178" s="70"/>
    </row>
    <row r="5179" spans="6:6" x14ac:dyDescent="0.2">
      <c r="F5179" s="70"/>
    </row>
    <row r="5180" spans="6:6" x14ac:dyDescent="0.2">
      <c r="F5180" s="70"/>
    </row>
    <row r="5181" spans="6:6" x14ac:dyDescent="0.2">
      <c r="F5181" s="70"/>
    </row>
    <row r="5182" spans="6:6" x14ac:dyDescent="0.2">
      <c r="F5182" s="70"/>
    </row>
    <row r="5183" spans="6:6" x14ac:dyDescent="0.2">
      <c r="F5183" s="70"/>
    </row>
    <row r="5184" spans="6:6" x14ac:dyDescent="0.2">
      <c r="F5184" s="70"/>
    </row>
    <row r="5185" spans="6:6" x14ac:dyDescent="0.2">
      <c r="F5185" s="70"/>
    </row>
    <row r="5186" spans="6:6" x14ac:dyDescent="0.2">
      <c r="F5186" s="70"/>
    </row>
    <row r="5187" spans="6:6" x14ac:dyDescent="0.2">
      <c r="F5187" s="70"/>
    </row>
    <row r="5188" spans="6:6" x14ac:dyDescent="0.2">
      <c r="F5188" s="70"/>
    </row>
    <row r="5189" spans="6:6" x14ac:dyDescent="0.2">
      <c r="F5189" s="70"/>
    </row>
    <row r="5190" spans="6:6" x14ac:dyDescent="0.2">
      <c r="F5190" s="70"/>
    </row>
    <row r="5191" spans="6:6" x14ac:dyDescent="0.2">
      <c r="F5191" s="70"/>
    </row>
    <row r="5192" spans="6:6" x14ac:dyDescent="0.2">
      <c r="F5192" s="70"/>
    </row>
    <row r="5193" spans="6:6" x14ac:dyDescent="0.2">
      <c r="F5193" s="70"/>
    </row>
    <row r="5194" spans="6:6" x14ac:dyDescent="0.2">
      <c r="F5194" s="70"/>
    </row>
    <row r="5195" spans="6:6" x14ac:dyDescent="0.2">
      <c r="F5195" s="70"/>
    </row>
    <row r="5196" spans="6:6" x14ac:dyDescent="0.2">
      <c r="F5196" s="70"/>
    </row>
    <row r="5197" spans="6:6" x14ac:dyDescent="0.2">
      <c r="F5197" s="70"/>
    </row>
    <row r="5198" spans="6:6" x14ac:dyDescent="0.2">
      <c r="F5198" s="70"/>
    </row>
    <row r="5199" spans="6:6" x14ac:dyDescent="0.2">
      <c r="F5199" s="70"/>
    </row>
    <row r="5200" spans="6:6" x14ac:dyDescent="0.2">
      <c r="F5200" s="70"/>
    </row>
    <row r="5201" spans="6:6" x14ac:dyDescent="0.2">
      <c r="F5201" s="70"/>
    </row>
    <row r="5202" spans="6:6" x14ac:dyDescent="0.2">
      <c r="F5202" s="70"/>
    </row>
    <row r="5203" spans="6:6" x14ac:dyDescent="0.2">
      <c r="F5203" s="70"/>
    </row>
    <row r="5204" spans="6:6" x14ac:dyDescent="0.2">
      <c r="F5204" s="70"/>
    </row>
    <row r="5205" spans="6:6" x14ac:dyDescent="0.2">
      <c r="F5205" s="70"/>
    </row>
    <row r="5206" spans="6:6" x14ac:dyDescent="0.2">
      <c r="F5206" s="70"/>
    </row>
    <row r="5207" spans="6:6" x14ac:dyDescent="0.2">
      <c r="F5207" s="70"/>
    </row>
    <row r="5208" spans="6:6" x14ac:dyDescent="0.2">
      <c r="F5208" s="70"/>
    </row>
    <row r="5209" spans="6:6" x14ac:dyDescent="0.2">
      <c r="F5209" s="70"/>
    </row>
    <row r="5210" spans="6:6" x14ac:dyDescent="0.2">
      <c r="F5210" s="70"/>
    </row>
    <row r="5211" spans="6:6" x14ac:dyDescent="0.2">
      <c r="F5211" s="70"/>
    </row>
    <row r="5212" spans="6:6" x14ac:dyDescent="0.2">
      <c r="F5212" s="70"/>
    </row>
    <row r="5213" spans="6:6" x14ac:dyDescent="0.2">
      <c r="F5213" s="70"/>
    </row>
    <row r="5214" spans="6:6" x14ac:dyDescent="0.2">
      <c r="F5214" s="70"/>
    </row>
    <row r="5215" spans="6:6" x14ac:dyDescent="0.2">
      <c r="F5215" s="70"/>
    </row>
    <row r="5216" spans="6:6" x14ac:dyDescent="0.2">
      <c r="F5216" s="70"/>
    </row>
    <row r="5217" spans="6:6" x14ac:dyDescent="0.2">
      <c r="F5217" s="70"/>
    </row>
    <row r="5218" spans="6:6" x14ac:dyDescent="0.2">
      <c r="F5218" s="70"/>
    </row>
    <row r="5219" spans="6:6" x14ac:dyDescent="0.2">
      <c r="F5219" s="70"/>
    </row>
    <row r="5220" spans="6:6" x14ac:dyDescent="0.2">
      <c r="F5220" s="70"/>
    </row>
    <row r="5221" spans="6:6" x14ac:dyDescent="0.2">
      <c r="F5221" s="70"/>
    </row>
    <row r="5222" spans="6:6" x14ac:dyDescent="0.2">
      <c r="F5222" s="70"/>
    </row>
    <row r="5223" spans="6:6" x14ac:dyDescent="0.2">
      <c r="F5223" s="70"/>
    </row>
    <row r="5224" spans="6:6" x14ac:dyDescent="0.2">
      <c r="F5224" s="70"/>
    </row>
    <row r="5225" spans="6:6" x14ac:dyDescent="0.2">
      <c r="F5225" s="70"/>
    </row>
    <row r="5226" spans="6:6" x14ac:dyDescent="0.2">
      <c r="F5226" s="70"/>
    </row>
    <row r="5227" spans="6:6" x14ac:dyDescent="0.2">
      <c r="F5227" s="70"/>
    </row>
    <row r="5228" spans="6:6" x14ac:dyDescent="0.2">
      <c r="F5228" s="70"/>
    </row>
    <row r="5229" spans="6:6" x14ac:dyDescent="0.2">
      <c r="F5229" s="70"/>
    </row>
    <row r="5230" spans="6:6" x14ac:dyDescent="0.2">
      <c r="F5230" s="70"/>
    </row>
    <row r="5231" spans="6:6" x14ac:dyDescent="0.2">
      <c r="F5231" s="70"/>
    </row>
    <row r="5232" spans="6:6" x14ac:dyDescent="0.2">
      <c r="F5232" s="70"/>
    </row>
    <row r="5233" spans="6:6" x14ac:dyDescent="0.2">
      <c r="F5233" s="70"/>
    </row>
    <row r="5234" spans="6:6" x14ac:dyDescent="0.2">
      <c r="F5234" s="70"/>
    </row>
    <row r="5235" spans="6:6" x14ac:dyDescent="0.2">
      <c r="F5235" s="70"/>
    </row>
    <row r="5236" spans="6:6" x14ac:dyDescent="0.2">
      <c r="F5236" s="70"/>
    </row>
    <row r="5237" spans="6:6" x14ac:dyDescent="0.2">
      <c r="F5237" s="70"/>
    </row>
    <row r="5238" spans="6:6" x14ac:dyDescent="0.2">
      <c r="F5238" s="70"/>
    </row>
    <row r="5239" spans="6:6" x14ac:dyDescent="0.2">
      <c r="F5239" s="70"/>
    </row>
    <row r="5240" spans="6:6" x14ac:dyDescent="0.2">
      <c r="F5240" s="70"/>
    </row>
    <row r="5241" spans="6:6" x14ac:dyDescent="0.2">
      <c r="F5241" s="70"/>
    </row>
    <row r="5242" spans="6:6" x14ac:dyDescent="0.2">
      <c r="F5242" s="70"/>
    </row>
    <row r="5243" spans="6:6" x14ac:dyDescent="0.2">
      <c r="F5243" s="70"/>
    </row>
    <row r="5244" spans="6:6" x14ac:dyDescent="0.2">
      <c r="F5244" s="70"/>
    </row>
    <row r="5245" spans="6:6" x14ac:dyDescent="0.2">
      <c r="F5245" s="70"/>
    </row>
    <row r="5246" spans="6:6" x14ac:dyDescent="0.2">
      <c r="F5246" s="70"/>
    </row>
    <row r="5247" spans="6:6" x14ac:dyDescent="0.2">
      <c r="F5247" s="70"/>
    </row>
    <row r="5248" spans="6:6" x14ac:dyDescent="0.2">
      <c r="F5248" s="70"/>
    </row>
    <row r="5249" spans="6:6" x14ac:dyDescent="0.2">
      <c r="F5249" s="70"/>
    </row>
    <row r="5250" spans="6:6" x14ac:dyDescent="0.2">
      <c r="F5250" s="70"/>
    </row>
    <row r="5251" spans="6:6" x14ac:dyDescent="0.2">
      <c r="F5251" s="70"/>
    </row>
    <row r="5252" spans="6:6" x14ac:dyDescent="0.2">
      <c r="F5252" s="70"/>
    </row>
    <row r="5253" spans="6:6" x14ac:dyDescent="0.2">
      <c r="F5253" s="70"/>
    </row>
    <row r="5254" spans="6:6" x14ac:dyDescent="0.2">
      <c r="F5254" s="70"/>
    </row>
    <row r="5255" spans="6:6" x14ac:dyDescent="0.2">
      <c r="F5255" s="70"/>
    </row>
    <row r="5256" spans="6:6" x14ac:dyDescent="0.2">
      <c r="F5256" s="70"/>
    </row>
    <row r="5257" spans="6:6" x14ac:dyDescent="0.2">
      <c r="F5257" s="70"/>
    </row>
    <row r="5258" spans="6:6" x14ac:dyDescent="0.2">
      <c r="F5258" s="70"/>
    </row>
    <row r="5259" spans="6:6" x14ac:dyDescent="0.2">
      <c r="F5259" s="70"/>
    </row>
    <row r="5260" spans="6:6" x14ac:dyDescent="0.2">
      <c r="F5260" s="70"/>
    </row>
    <row r="5261" spans="6:6" x14ac:dyDescent="0.2">
      <c r="F5261" s="70"/>
    </row>
    <row r="5262" spans="6:6" x14ac:dyDescent="0.2">
      <c r="F5262" s="70"/>
    </row>
    <row r="5263" spans="6:6" x14ac:dyDescent="0.2">
      <c r="F5263" s="70"/>
    </row>
    <row r="5264" spans="6:6" x14ac:dyDescent="0.2">
      <c r="F5264" s="70"/>
    </row>
    <row r="5265" spans="6:6" x14ac:dyDescent="0.2">
      <c r="F5265" s="70"/>
    </row>
    <row r="5266" spans="6:6" x14ac:dyDescent="0.2">
      <c r="F5266" s="70"/>
    </row>
    <row r="5267" spans="6:6" x14ac:dyDescent="0.2">
      <c r="F5267" s="70"/>
    </row>
    <row r="5268" spans="6:6" x14ac:dyDescent="0.2">
      <c r="F5268" s="70"/>
    </row>
    <row r="5269" spans="6:6" x14ac:dyDescent="0.2">
      <c r="F5269" s="70"/>
    </row>
    <row r="5270" spans="6:6" x14ac:dyDescent="0.2">
      <c r="F5270" s="70"/>
    </row>
    <row r="5271" spans="6:6" x14ac:dyDescent="0.2">
      <c r="F5271" s="70"/>
    </row>
    <row r="5272" spans="6:6" x14ac:dyDescent="0.2">
      <c r="F5272" s="70"/>
    </row>
    <row r="5273" spans="6:6" x14ac:dyDescent="0.2">
      <c r="F5273" s="70"/>
    </row>
    <row r="5274" spans="6:6" x14ac:dyDescent="0.2">
      <c r="F5274" s="70"/>
    </row>
    <row r="5275" spans="6:6" x14ac:dyDescent="0.2">
      <c r="F5275" s="70"/>
    </row>
    <row r="5276" spans="6:6" x14ac:dyDescent="0.2">
      <c r="F5276" s="70"/>
    </row>
    <row r="5277" spans="6:6" x14ac:dyDescent="0.2">
      <c r="F5277" s="70"/>
    </row>
    <row r="5278" spans="6:6" x14ac:dyDescent="0.2">
      <c r="F5278" s="70"/>
    </row>
    <row r="5279" spans="6:6" x14ac:dyDescent="0.2">
      <c r="F5279" s="70"/>
    </row>
    <row r="5280" spans="6:6" x14ac:dyDescent="0.2">
      <c r="F5280" s="70"/>
    </row>
    <row r="5281" spans="6:6" x14ac:dyDescent="0.2">
      <c r="F5281" s="70"/>
    </row>
    <row r="5282" spans="6:6" x14ac:dyDescent="0.2">
      <c r="F5282" s="70"/>
    </row>
    <row r="5283" spans="6:6" x14ac:dyDescent="0.2">
      <c r="F5283" s="70"/>
    </row>
    <row r="5284" spans="6:6" x14ac:dyDescent="0.2">
      <c r="F5284" s="70"/>
    </row>
    <row r="5285" spans="6:6" x14ac:dyDescent="0.2">
      <c r="F5285" s="70"/>
    </row>
    <row r="5286" spans="6:6" x14ac:dyDescent="0.2">
      <c r="F5286" s="70"/>
    </row>
    <row r="5287" spans="6:6" x14ac:dyDescent="0.2">
      <c r="F5287" s="70"/>
    </row>
    <row r="5288" spans="6:6" x14ac:dyDescent="0.2">
      <c r="F5288" s="70"/>
    </row>
    <row r="5289" spans="6:6" x14ac:dyDescent="0.2">
      <c r="F5289" s="70"/>
    </row>
    <row r="5290" spans="6:6" x14ac:dyDescent="0.2">
      <c r="F5290" s="70"/>
    </row>
    <row r="5291" spans="6:6" x14ac:dyDescent="0.2">
      <c r="F5291" s="70"/>
    </row>
    <row r="5292" spans="6:6" x14ac:dyDescent="0.2">
      <c r="F5292" s="70"/>
    </row>
    <row r="5293" spans="6:6" x14ac:dyDescent="0.2">
      <c r="F5293" s="70"/>
    </row>
    <row r="5294" spans="6:6" x14ac:dyDescent="0.2">
      <c r="F5294" s="70"/>
    </row>
    <row r="5295" spans="6:6" x14ac:dyDescent="0.2">
      <c r="F5295" s="70"/>
    </row>
    <row r="5296" spans="6:6" x14ac:dyDescent="0.2">
      <c r="F5296" s="70"/>
    </row>
    <row r="5297" spans="6:6" x14ac:dyDescent="0.2">
      <c r="F5297" s="70"/>
    </row>
    <row r="5298" spans="6:6" x14ac:dyDescent="0.2">
      <c r="F5298" s="70"/>
    </row>
    <row r="5299" spans="6:6" x14ac:dyDescent="0.2">
      <c r="F5299" s="70"/>
    </row>
    <row r="5300" spans="6:6" x14ac:dyDescent="0.2">
      <c r="F5300" s="70"/>
    </row>
    <row r="5301" spans="6:6" x14ac:dyDescent="0.2">
      <c r="F5301" s="70"/>
    </row>
    <row r="5302" spans="6:6" x14ac:dyDescent="0.2">
      <c r="F5302" s="70"/>
    </row>
    <row r="5303" spans="6:6" x14ac:dyDescent="0.2">
      <c r="F5303" s="70"/>
    </row>
    <row r="5304" spans="6:6" x14ac:dyDescent="0.2">
      <c r="F5304" s="70"/>
    </row>
    <row r="5305" spans="6:6" x14ac:dyDescent="0.2">
      <c r="F5305" s="70"/>
    </row>
    <row r="5306" spans="6:6" x14ac:dyDescent="0.2">
      <c r="F5306" s="70"/>
    </row>
    <row r="5307" spans="6:6" x14ac:dyDescent="0.2">
      <c r="F5307" s="70"/>
    </row>
    <row r="5308" spans="6:6" x14ac:dyDescent="0.2">
      <c r="F5308" s="70"/>
    </row>
    <row r="5309" spans="6:6" x14ac:dyDescent="0.2">
      <c r="F5309" s="70"/>
    </row>
    <row r="5310" spans="6:6" x14ac:dyDescent="0.2">
      <c r="F5310" s="70"/>
    </row>
    <row r="5311" spans="6:6" x14ac:dyDescent="0.2">
      <c r="F5311" s="70"/>
    </row>
    <row r="5312" spans="6:6" x14ac:dyDescent="0.2">
      <c r="F5312" s="70"/>
    </row>
    <row r="5313" spans="6:6" x14ac:dyDescent="0.2">
      <c r="F5313" s="70"/>
    </row>
    <row r="5314" spans="6:6" x14ac:dyDescent="0.2">
      <c r="F5314" s="70"/>
    </row>
    <row r="5315" spans="6:6" x14ac:dyDescent="0.2">
      <c r="F5315" s="70"/>
    </row>
    <row r="5316" spans="6:6" x14ac:dyDescent="0.2">
      <c r="F5316" s="70"/>
    </row>
    <row r="5317" spans="6:6" x14ac:dyDescent="0.2">
      <c r="F5317" s="70"/>
    </row>
    <row r="5318" spans="6:6" x14ac:dyDescent="0.2">
      <c r="F5318" s="70"/>
    </row>
    <row r="5319" spans="6:6" x14ac:dyDescent="0.2">
      <c r="F5319" s="70"/>
    </row>
    <row r="5320" spans="6:6" x14ac:dyDescent="0.2">
      <c r="F5320" s="70"/>
    </row>
    <row r="5321" spans="6:6" x14ac:dyDescent="0.2">
      <c r="F5321" s="70"/>
    </row>
    <row r="5322" spans="6:6" x14ac:dyDescent="0.2">
      <c r="F5322" s="70"/>
    </row>
    <row r="5323" spans="6:6" x14ac:dyDescent="0.2">
      <c r="F5323" s="70"/>
    </row>
    <row r="5324" spans="6:6" x14ac:dyDescent="0.2">
      <c r="F5324" s="70"/>
    </row>
    <row r="5325" spans="6:6" x14ac:dyDescent="0.2">
      <c r="F5325" s="70"/>
    </row>
    <row r="5326" spans="6:6" x14ac:dyDescent="0.2">
      <c r="F5326" s="70"/>
    </row>
    <row r="5327" spans="6:6" x14ac:dyDescent="0.2">
      <c r="F5327" s="70"/>
    </row>
    <row r="5328" spans="6:6" x14ac:dyDescent="0.2">
      <c r="F5328" s="70"/>
    </row>
    <row r="5329" spans="6:6" x14ac:dyDescent="0.2">
      <c r="F5329" s="70"/>
    </row>
    <row r="5330" spans="6:6" x14ac:dyDescent="0.2">
      <c r="F5330" s="70"/>
    </row>
    <row r="5331" spans="6:6" x14ac:dyDescent="0.2">
      <c r="F5331" s="70"/>
    </row>
    <row r="5332" spans="6:6" x14ac:dyDescent="0.2">
      <c r="F5332" s="70"/>
    </row>
    <row r="5333" spans="6:6" x14ac:dyDescent="0.2">
      <c r="F5333" s="70"/>
    </row>
    <row r="5334" spans="6:6" x14ac:dyDescent="0.2">
      <c r="F5334" s="70"/>
    </row>
    <row r="5335" spans="6:6" x14ac:dyDescent="0.2">
      <c r="F5335" s="70"/>
    </row>
    <row r="5336" spans="6:6" x14ac:dyDescent="0.2">
      <c r="F5336" s="70"/>
    </row>
    <row r="5337" spans="6:6" x14ac:dyDescent="0.2">
      <c r="F5337" s="70"/>
    </row>
    <row r="5338" spans="6:6" x14ac:dyDescent="0.2">
      <c r="F5338" s="70"/>
    </row>
    <row r="5339" spans="6:6" x14ac:dyDescent="0.2">
      <c r="F5339" s="70"/>
    </row>
    <row r="5340" spans="6:6" x14ac:dyDescent="0.2">
      <c r="F5340" s="70"/>
    </row>
    <row r="5341" spans="6:6" x14ac:dyDescent="0.2">
      <c r="F5341" s="70"/>
    </row>
    <row r="5342" spans="6:6" x14ac:dyDescent="0.2">
      <c r="F5342" s="70"/>
    </row>
    <row r="5343" spans="6:6" x14ac:dyDescent="0.2">
      <c r="F5343" s="70"/>
    </row>
    <row r="5344" spans="6:6" x14ac:dyDescent="0.2">
      <c r="F5344" s="70"/>
    </row>
    <row r="5345" spans="6:6" x14ac:dyDescent="0.2">
      <c r="F5345" s="70"/>
    </row>
    <row r="5346" spans="6:6" x14ac:dyDescent="0.2">
      <c r="F5346" s="70"/>
    </row>
    <row r="5347" spans="6:6" x14ac:dyDescent="0.2">
      <c r="F5347" s="70"/>
    </row>
    <row r="5348" spans="6:6" x14ac:dyDescent="0.2">
      <c r="F5348" s="70"/>
    </row>
    <row r="5349" spans="6:6" x14ac:dyDescent="0.2">
      <c r="F5349" s="70"/>
    </row>
    <row r="5350" spans="6:6" x14ac:dyDescent="0.2">
      <c r="F5350" s="70"/>
    </row>
    <row r="5351" spans="6:6" x14ac:dyDescent="0.2">
      <c r="F5351" s="70"/>
    </row>
    <row r="5352" spans="6:6" x14ac:dyDescent="0.2">
      <c r="F5352" s="70"/>
    </row>
    <row r="5353" spans="6:6" x14ac:dyDescent="0.2">
      <c r="F5353" s="70"/>
    </row>
    <row r="5354" spans="6:6" x14ac:dyDescent="0.2">
      <c r="F5354" s="70"/>
    </row>
    <row r="5355" spans="6:6" x14ac:dyDescent="0.2">
      <c r="F5355" s="70"/>
    </row>
    <row r="5356" spans="6:6" x14ac:dyDescent="0.2">
      <c r="F5356" s="70"/>
    </row>
    <row r="5357" spans="6:6" x14ac:dyDescent="0.2">
      <c r="F5357" s="70"/>
    </row>
    <row r="5358" spans="6:6" x14ac:dyDescent="0.2">
      <c r="F5358" s="70"/>
    </row>
    <row r="5359" spans="6:6" x14ac:dyDescent="0.2">
      <c r="F5359" s="70"/>
    </row>
    <row r="5360" spans="6:6" x14ac:dyDescent="0.2">
      <c r="F5360" s="70"/>
    </row>
    <row r="5361" spans="6:6" x14ac:dyDescent="0.2">
      <c r="F5361" s="70"/>
    </row>
    <row r="5362" spans="6:6" x14ac:dyDescent="0.2">
      <c r="F5362" s="70"/>
    </row>
    <row r="5363" spans="6:6" x14ac:dyDescent="0.2">
      <c r="F5363" s="70"/>
    </row>
    <row r="5364" spans="6:6" x14ac:dyDescent="0.2">
      <c r="F5364" s="70"/>
    </row>
    <row r="5365" spans="6:6" x14ac:dyDescent="0.2">
      <c r="F5365" s="70"/>
    </row>
    <row r="5366" spans="6:6" x14ac:dyDescent="0.2">
      <c r="F5366" s="70"/>
    </row>
    <row r="5367" spans="6:6" x14ac:dyDescent="0.2">
      <c r="F5367" s="70"/>
    </row>
    <row r="5368" spans="6:6" x14ac:dyDescent="0.2">
      <c r="F5368" s="70"/>
    </row>
    <row r="5369" spans="6:6" x14ac:dyDescent="0.2">
      <c r="F5369" s="70"/>
    </row>
    <row r="5370" spans="6:6" x14ac:dyDescent="0.2">
      <c r="F5370" s="70"/>
    </row>
    <row r="5371" spans="6:6" x14ac:dyDescent="0.2">
      <c r="F5371" s="70"/>
    </row>
    <row r="5372" spans="6:6" x14ac:dyDescent="0.2">
      <c r="F5372" s="70"/>
    </row>
    <row r="5373" spans="6:6" x14ac:dyDescent="0.2">
      <c r="F5373" s="70"/>
    </row>
    <row r="5374" spans="6:6" x14ac:dyDescent="0.2">
      <c r="F5374" s="70"/>
    </row>
    <row r="5375" spans="6:6" x14ac:dyDescent="0.2">
      <c r="F5375" s="70"/>
    </row>
    <row r="5376" spans="6:6" x14ac:dyDescent="0.2">
      <c r="F5376" s="70"/>
    </row>
    <row r="5377" spans="6:6" x14ac:dyDescent="0.2">
      <c r="F5377" s="70"/>
    </row>
    <row r="5378" spans="6:6" x14ac:dyDescent="0.2">
      <c r="F5378" s="70"/>
    </row>
    <row r="5379" spans="6:6" x14ac:dyDescent="0.2">
      <c r="F5379" s="70"/>
    </row>
    <row r="5380" spans="6:6" x14ac:dyDescent="0.2">
      <c r="F5380" s="70"/>
    </row>
    <row r="5381" spans="6:6" x14ac:dyDescent="0.2">
      <c r="F5381" s="70"/>
    </row>
    <row r="5382" spans="6:6" x14ac:dyDescent="0.2">
      <c r="F5382" s="70"/>
    </row>
    <row r="5383" spans="6:6" x14ac:dyDescent="0.2">
      <c r="F5383" s="70"/>
    </row>
    <row r="5384" spans="6:6" x14ac:dyDescent="0.2">
      <c r="F5384" s="70"/>
    </row>
    <row r="5385" spans="6:6" x14ac:dyDescent="0.2">
      <c r="F5385" s="70"/>
    </row>
    <row r="5386" spans="6:6" x14ac:dyDescent="0.2">
      <c r="F5386" s="70"/>
    </row>
    <row r="5387" spans="6:6" x14ac:dyDescent="0.2">
      <c r="F5387" s="70"/>
    </row>
    <row r="5388" spans="6:6" x14ac:dyDescent="0.2">
      <c r="F5388" s="70"/>
    </row>
    <row r="5389" spans="6:6" x14ac:dyDescent="0.2">
      <c r="F5389" s="70"/>
    </row>
    <row r="5390" spans="6:6" x14ac:dyDescent="0.2">
      <c r="F5390" s="70"/>
    </row>
    <row r="5391" spans="6:6" x14ac:dyDescent="0.2">
      <c r="F5391" s="70"/>
    </row>
    <row r="5392" spans="6:6" x14ac:dyDescent="0.2">
      <c r="F5392" s="70"/>
    </row>
    <row r="5393" spans="6:6" x14ac:dyDescent="0.2">
      <c r="F5393" s="70"/>
    </row>
    <row r="5394" spans="6:6" x14ac:dyDescent="0.2">
      <c r="F5394" s="70"/>
    </row>
    <row r="5395" spans="6:6" x14ac:dyDescent="0.2">
      <c r="F5395" s="70"/>
    </row>
    <row r="5396" spans="6:6" x14ac:dyDescent="0.2">
      <c r="F5396" s="70"/>
    </row>
    <row r="5397" spans="6:6" x14ac:dyDescent="0.2">
      <c r="F5397" s="70"/>
    </row>
    <row r="5398" spans="6:6" x14ac:dyDescent="0.2">
      <c r="F5398" s="70"/>
    </row>
    <row r="5399" spans="6:6" x14ac:dyDescent="0.2">
      <c r="F5399" s="70"/>
    </row>
    <row r="5400" spans="6:6" x14ac:dyDescent="0.2">
      <c r="F5400" s="70"/>
    </row>
    <row r="5401" spans="6:6" x14ac:dyDescent="0.2">
      <c r="F5401" s="70"/>
    </row>
    <row r="5402" spans="6:6" x14ac:dyDescent="0.2">
      <c r="F5402" s="70"/>
    </row>
    <row r="5403" spans="6:6" x14ac:dyDescent="0.2">
      <c r="F5403" s="70"/>
    </row>
    <row r="5404" spans="6:6" x14ac:dyDescent="0.2">
      <c r="F5404" s="70"/>
    </row>
    <row r="5405" spans="6:6" x14ac:dyDescent="0.2">
      <c r="F5405" s="70"/>
    </row>
    <row r="5406" spans="6:6" x14ac:dyDescent="0.2">
      <c r="F5406" s="70"/>
    </row>
    <row r="5407" spans="6:6" x14ac:dyDescent="0.2">
      <c r="F5407" s="70"/>
    </row>
    <row r="5408" spans="6:6" x14ac:dyDescent="0.2">
      <c r="F5408" s="70"/>
    </row>
    <row r="5409" spans="6:6" x14ac:dyDescent="0.2">
      <c r="F5409" s="70"/>
    </row>
    <row r="5410" spans="6:6" x14ac:dyDescent="0.2">
      <c r="F5410" s="70"/>
    </row>
    <row r="5411" spans="6:6" x14ac:dyDescent="0.2">
      <c r="F5411" s="70"/>
    </row>
    <row r="5412" spans="6:6" x14ac:dyDescent="0.2">
      <c r="F5412" s="70"/>
    </row>
    <row r="5413" spans="6:6" x14ac:dyDescent="0.2">
      <c r="F5413" s="70"/>
    </row>
    <row r="5414" spans="6:6" x14ac:dyDescent="0.2">
      <c r="F5414" s="70"/>
    </row>
    <row r="5415" spans="6:6" x14ac:dyDescent="0.2">
      <c r="F5415" s="70"/>
    </row>
    <row r="5416" spans="6:6" x14ac:dyDescent="0.2">
      <c r="F5416" s="70"/>
    </row>
    <row r="5417" spans="6:6" x14ac:dyDescent="0.2">
      <c r="F5417" s="70"/>
    </row>
    <row r="5418" spans="6:6" x14ac:dyDescent="0.2">
      <c r="F5418" s="70"/>
    </row>
    <row r="5419" spans="6:6" x14ac:dyDescent="0.2">
      <c r="F5419" s="70"/>
    </row>
    <row r="5420" spans="6:6" x14ac:dyDescent="0.2">
      <c r="F5420" s="70"/>
    </row>
    <row r="5421" spans="6:6" x14ac:dyDescent="0.2">
      <c r="F5421" s="70"/>
    </row>
    <row r="5422" spans="6:6" x14ac:dyDescent="0.2">
      <c r="F5422" s="70"/>
    </row>
    <row r="5423" spans="6:6" x14ac:dyDescent="0.2">
      <c r="F5423" s="70"/>
    </row>
    <row r="5424" spans="6:6" x14ac:dyDescent="0.2">
      <c r="F5424" s="70"/>
    </row>
    <row r="5425" spans="6:6" x14ac:dyDescent="0.2">
      <c r="F5425" s="70"/>
    </row>
    <row r="5426" spans="6:6" x14ac:dyDescent="0.2">
      <c r="F5426" s="70"/>
    </row>
    <row r="5427" spans="6:6" x14ac:dyDescent="0.2">
      <c r="F5427" s="70"/>
    </row>
    <row r="5428" spans="6:6" x14ac:dyDescent="0.2">
      <c r="F5428" s="70"/>
    </row>
    <row r="5429" spans="6:6" x14ac:dyDescent="0.2">
      <c r="F5429" s="70"/>
    </row>
    <row r="5430" spans="6:6" x14ac:dyDescent="0.2">
      <c r="F5430" s="70"/>
    </row>
    <row r="5431" spans="6:6" x14ac:dyDescent="0.2">
      <c r="F5431" s="70"/>
    </row>
    <row r="5432" spans="6:6" x14ac:dyDescent="0.2">
      <c r="F5432" s="70"/>
    </row>
    <row r="5433" spans="6:6" x14ac:dyDescent="0.2">
      <c r="F5433" s="70"/>
    </row>
    <row r="5434" spans="6:6" x14ac:dyDescent="0.2">
      <c r="F5434" s="70"/>
    </row>
    <row r="5435" spans="6:6" x14ac:dyDescent="0.2">
      <c r="F5435" s="70"/>
    </row>
    <row r="5436" spans="6:6" x14ac:dyDescent="0.2">
      <c r="F5436" s="70"/>
    </row>
    <row r="5437" spans="6:6" x14ac:dyDescent="0.2">
      <c r="F5437" s="70"/>
    </row>
    <row r="5438" spans="6:6" x14ac:dyDescent="0.2">
      <c r="F5438" s="70"/>
    </row>
    <row r="5439" spans="6:6" x14ac:dyDescent="0.2">
      <c r="F5439" s="70"/>
    </row>
    <row r="5440" spans="6:6" x14ac:dyDescent="0.2">
      <c r="F5440" s="70"/>
    </row>
    <row r="5441" spans="6:6" x14ac:dyDescent="0.2">
      <c r="F5441" s="70"/>
    </row>
    <row r="5442" spans="6:6" x14ac:dyDescent="0.2">
      <c r="F5442" s="70"/>
    </row>
    <row r="5443" spans="6:6" x14ac:dyDescent="0.2">
      <c r="F5443" s="70"/>
    </row>
    <row r="5444" spans="6:6" x14ac:dyDescent="0.2">
      <c r="F5444" s="70"/>
    </row>
    <row r="5445" spans="6:6" x14ac:dyDescent="0.2">
      <c r="F5445" s="70"/>
    </row>
    <row r="5446" spans="6:6" x14ac:dyDescent="0.2">
      <c r="F5446" s="70"/>
    </row>
    <row r="5447" spans="6:6" x14ac:dyDescent="0.2">
      <c r="F5447" s="70"/>
    </row>
    <row r="5448" spans="6:6" x14ac:dyDescent="0.2">
      <c r="F5448" s="70"/>
    </row>
    <row r="5449" spans="6:6" x14ac:dyDescent="0.2">
      <c r="F5449" s="70"/>
    </row>
    <row r="5450" spans="6:6" x14ac:dyDescent="0.2">
      <c r="F5450" s="70"/>
    </row>
    <row r="5451" spans="6:6" x14ac:dyDescent="0.2">
      <c r="F5451" s="70"/>
    </row>
    <row r="5452" spans="6:6" x14ac:dyDescent="0.2">
      <c r="F5452" s="70"/>
    </row>
    <row r="5453" spans="6:6" x14ac:dyDescent="0.2">
      <c r="F5453" s="70"/>
    </row>
    <row r="5454" spans="6:6" x14ac:dyDescent="0.2">
      <c r="F5454" s="70"/>
    </row>
    <row r="5455" spans="6:6" x14ac:dyDescent="0.2">
      <c r="F5455" s="70"/>
    </row>
    <row r="5456" spans="6:6" x14ac:dyDescent="0.2">
      <c r="F5456" s="70"/>
    </row>
    <row r="5457" spans="6:6" x14ac:dyDescent="0.2">
      <c r="F5457" s="70"/>
    </row>
    <row r="5458" spans="6:6" x14ac:dyDescent="0.2">
      <c r="F5458" s="70"/>
    </row>
    <row r="5459" spans="6:6" x14ac:dyDescent="0.2">
      <c r="F5459" s="70"/>
    </row>
    <row r="5460" spans="6:6" x14ac:dyDescent="0.2">
      <c r="F5460" s="70"/>
    </row>
    <row r="5461" spans="6:6" x14ac:dyDescent="0.2">
      <c r="F5461" s="70"/>
    </row>
    <row r="5462" spans="6:6" x14ac:dyDescent="0.2">
      <c r="F5462" s="70"/>
    </row>
    <row r="5463" spans="6:6" x14ac:dyDescent="0.2">
      <c r="F5463" s="70"/>
    </row>
    <row r="5464" spans="6:6" x14ac:dyDescent="0.2">
      <c r="F5464" s="70"/>
    </row>
    <row r="5465" spans="6:6" x14ac:dyDescent="0.2">
      <c r="F5465" s="70"/>
    </row>
    <row r="5466" spans="6:6" x14ac:dyDescent="0.2">
      <c r="F5466" s="70"/>
    </row>
    <row r="5467" spans="6:6" x14ac:dyDescent="0.2">
      <c r="F5467" s="70"/>
    </row>
    <row r="5468" spans="6:6" x14ac:dyDescent="0.2">
      <c r="F5468" s="70"/>
    </row>
    <row r="5469" spans="6:6" x14ac:dyDescent="0.2">
      <c r="F5469" s="70"/>
    </row>
    <row r="5470" spans="6:6" x14ac:dyDescent="0.2">
      <c r="F5470" s="70"/>
    </row>
    <row r="5471" spans="6:6" x14ac:dyDescent="0.2">
      <c r="F5471" s="70"/>
    </row>
    <row r="5472" spans="6:6" x14ac:dyDescent="0.2">
      <c r="F5472" s="70"/>
    </row>
    <row r="5473" spans="6:6" x14ac:dyDescent="0.2">
      <c r="F5473" s="70"/>
    </row>
    <row r="5474" spans="6:6" x14ac:dyDescent="0.2">
      <c r="F5474" s="70"/>
    </row>
    <row r="5475" spans="6:6" x14ac:dyDescent="0.2">
      <c r="F5475" s="70"/>
    </row>
    <row r="5476" spans="6:6" x14ac:dyDescent="0.2">
      <c r="F5476" s="70"/>
    </row>
    <row r="5477" spans="6:6" x14ac:dyDescent="0.2">
      <c r="F5477" s="70"/>
    </row>
    <row r="5478" spans="6:6" x14ac:dyDescent="0.2">
      <c r="F5478" s="70"/>
    </row>
    <row r="5479" spans="6:6" x14ac:dyDescent="0.2">
      <c r="F5479" s="70"/>
    </row>
    <row r="5480" spans="6:6" x14ac:dyDescent="0.2">
      <c r="F5480" s="70"/>
    </row>
    <row r="5481" spans="6:6" x14ac:dyDescent="0.2">
      <c r="F5481" s="70"/>
    </row>
    <row r="5482" spans="6:6" x14ac:dyDescent="0.2">
      <c r="F5482" s="70"/>
    </row>
    <row r="5483" spans="6:6" x14ac:dyDescent="0.2">
      <c r="F5483" s="70"/>
    </row>
    <row r="5484" spans="6:6" x14ac:dyDescent="0.2">
      <c r="F5484" s="70"/>
    </row>
    <row r="5485" spans="6:6" x14ac:dyDescent="0.2">
      <c r="F5485" s="70"/>
    </row>
    <row r="5486" spans="6:6" x14ac:dyDescent="0.2">
      <c r="F5486" s="70"/>
    </row>
    <row r="5487" spans="6:6" x14ac:dyDescent="0.2">
      <c r="F5487" s="70"/>
    </row>
    <row r="5488" spans="6:6" x14ac:dyDescent="0.2">
      <c r="F5488" s="70"/>
    </row>
    <row r="5489" spans="6:6" x14ac:dyDescent="0.2">
      <c r="F5489" s="70"/>
    </row>
    <row r="5490" spans="6:6" x14ac:dyDescent="0.2">
      <c r="F5490" s="70"/>
    </row>
    <row r="5491" spans="6:6" x14ac:dyDescent="0.2">
      <c r="F5491" s="70"/>
    </row>
    <row r="5492" spans="6:6" x14ac:dyDescent="0.2">
      <c r="F5492" s="70"/>
    </row>
    <row r="5493" spans="6:6" x14ac:dyDescent="0.2">
      <c r="F5493" s="70"/>
    </row>
    <row r="5494" spans="6:6" x14ac:dyDescent="0.2">
      <c r="F5494" s="70"/>
    </row>
    <row r="5495" spans="6:6" x14ac:dyDescent="0.2">
      <c r="F5495" s="70"/>
    </row>
    <row r="5496" spans="6:6" x14ac:dyDescent="0.2">
      <c r="F5496" s="70"/>
    </row>
    <row r="5497" spans="6:6" x14ac:dyDescent="0.2">
      <c r="F5497" s="70"/>
    </row>
    <row r="5498" spans="6:6" x14ac:dyDescent="0.2">
      <c r="F5498" s="70"/>
    </row>
    <row r="5499" spans="6:6" x14ac:dyDescent="0.2">
      <c r="F5499" s="70"/>
    </row>
    <row r="5500" spans="6:6" x14ac:dyDescent="0.2">
      <c r="F5500" s="70"/>
    </row>
    <row r="5501" spans="6:6" x14ac:dyDescent="0.2">
      <c r="F5501" s="70"/>
    </row>
    <row r="5502" spans="6:6" x14ac:dyDescent="0.2">
      <c r="F5502" s="70"/>
    </row>
    <row r="5503" spans="6:6" x14ac:dyDescent="0.2">
      <c r="F5503" s="70"/>
    </row>
    <row r="5504" spans="6:6" x14ac:dyDescent="0.2">
      <c r="F5504" s="70"/>
    </row>
    <row r="5505" spans="6:6" x14ac:dyDescent="0.2">
      <c r="F5505" s="70"/>
    </row>
    <row r="5506" spans="6:6" x14ac:dyDescent="0.2">
      <c r="F5506" s="70"/>
    </row>
    <row r="5507" spans="6:6" x14ac:dyDescent="0.2">
      <c r="F5507" s="70"/>
    </row>
    <row r="5508" spans="6:6" x14ac:dyDescent="0.2">
      <c r="F5508" s="70"/>
    </row>
    <row r="5509" spans="6:6" x14ac:dyDescent="0.2">
      <c r="F5509" s="70"/>
    </row>
    <row r="5510" spans="6:6" x14ac:dyDescent="0.2">
      <c r="F5510" s="70"/>
    </row>
    <row r="5511" spans="6:6" x14ac:dyDescent="0.2">
      <c r="F5511" s="70"/>
    </row>
    <row r="5512" spans="6:6" x14ac:dyDescent="0.2">
      <c r="F5512" s="70"/>
    </row>
    <row r="5513" spans="6:6" x14ac:dyDescent="0.2">
      <c r="F5513" s="70"/>
    </row>
    <row r="5514" spans="6:6" x14ac:dyDescent="0.2">
      <c r="F5514" s="70"/>
    </row>
    <row r="5515" spans="6:6" x14ac:dyDescent="0.2">
      <c r="F5515" s="70"/>
    </row>
    <row r="5516" spans="6:6" x14ac:dyDescent="0.2">
      <c r="F5516" s="70"/>
    </row>
    <row r="5517" spans="6:6" x14ac:dyDescent="0.2">
      <c r="F5517" s="70"/>
    </row>
    <row r="5518" spans="6:6" x14ac:dyDescent="0.2">
      <c r="F5518" s="70"/>
    </row>
    <row r="5519" spans="6:6" x14ac:dyDescent="0.2">
      <c r="F5519" s="70"/>
    </row>
    <row r="5520" spans="6:6" x14ac:dyDescent="0.2">
      <c r="F5520" s="70"/>
    </row>
    <row r="5521" spans="6:6" x14ac:dyDescent="0.2">
      <c r="F5521" s="70"/>
    </row>
    <row r="5522" spans="6:6" x14ac:dyDescent="0.2">
      <c r="F5522" s="70"/>
    </row>
    <row r="5523" spans="6:6" x14ac:dyDescent="0.2">
      <c r="F5523" s="70"/>
    </row>
    <row r="5524" spans="6:6" x14ac:dyDescent="0.2">
      <c r="F5524" s="70"/>
    </row>
    <row r="5525" spans="6:6" x14ac:dyDescent="0.2">
      <c r="F5525" s="70"/>
    </row>
    <row r="5526" spans="6:6" x14ac:dyDescent="0.2">
      <c r="F5526" s="70"/>
    </row>
    <row r="5527" spans="6:6" x14ac:dyDescent="0.2">
      <c r="F5527" s="70"/>
    </row>
    <row r="5528" spans="6:6" x14ac:dyDescent="0.2">
      <c r="F5528" s="70"/>
    </row>
    <row r="5529" spans="6:6" x14ac:dyDescent="0.2">
      <c r="F5529" s="70"/>
    </row>
    <row r="5530" spans="6:6" x14ac:dyDescent="0.2">
      <c r="F5530" s="70"/>
    </row>
    <row r="5531" spans="6:6" x14ac:dyDescent="0.2">
      <c r="F5531" s="70"/>
    </row>
    <row r="5532" spans="6:6" x14ac:dyDescent="0.2">
      <c r="F5532" s="70"/>
    </row>
    <row r="5533" spans="6:6" x14ac:dyDescent="0.2">
      <c r="F5533" s="70"/>
    </row>
    <row r="5534" spans="6:6" x14ac:dyDescent="0.2">
      <c r="F5534" s="70"/>
    </row>
    <row r="5535" spans="6:6" x14ac:dyDescent="0.2">
      <c r="F5535" s="70"/>
    </row>
    <row r="5536" spans="6:6" x14ac:dyDescent="0.2">
      <c r="F5536" s="70"/>
    </row>
    <row r="5537" spans="6:6" x14ac:dyDescent="0.2">
      <c r="F5537" s="70"/>
    </row>
    <row r="5538" spans="6:6" x14ac:dyDescent="0.2">
      <c r="F5538" s="70"/>
    </row>
    <row r="5539" spans="6:6" x14ac:dyDescent="0.2">
      <c r="F5539" s="70"/>
    </row>
    <row r="5540" spans="6:6" x14ac:dyDescent="0.2">
      <c r="F5540" s="70"/>
    </row>
    <row r="5541" spans="6:6" x14ac:dyDescent="0.2">
      <c r="F5541" s="70"/>
    </row>
    <row r="5542" spans="6:6" x14ac:dyDescent="0.2">
      <c r="F5542" s="70"/>
    </row>
    <row r="5543" spans="6:6" x14ac:dyDescent="0.2">
      <c r="F5543" s="70"/>
    </row>
    <row r="5544" spans="6:6" x14ac:dyDescent="0.2">
      <c r="F5544" s="70"/>
    </row>
    <row r="5545" spans="6:6" x14ac:dyDescent="0.2">
      <c r="F5545" s="70"/>
    </row>
    <row r="5546" spans="6:6" x14ac:dyDescent="0.2">
      <c r="F5546" s="70"/>
    </row>
    <row r="5547" spans="6:6" x14ac:dyDescent="0.2">
      <c r="F5547" s="70"/>
    </row>
    <row r="5548" spans="6:6" x14ac:dyDescent="0.2">
      <c r="F5548" s="70"/>
    </row>
    <row r="5549" spans="6:6" x14ac:dyDescent="0.2">
      <c r="F5549" s="70"/>
    </row>
    <row r="5550" spans="6:6" x14ac:dyDescent="0.2">
      <c r="F5550" s="70"/>
    </row>
    <row r="5551" spans="6:6" x14ac:dyDescent="0.2">
      <c r="F5551" s="70"/>
    </row>
    <row r="5552" spans="6:6" x14ac:dyDescent="0.2">
      <c r="F5552" s="70"/>
    </row>
    <row r="5553" spans="6:6" x14ac:dyDescent="0.2">
      <c r="F5553" s="70"/>
    </row>
    <row r="5554" spans="6:6" x14ac:dyDescent="0.2">
      <c r="F5554" s="70"/>
    </row>
    <row r="5555" spans="6:6" x14ac:dyDescent="0.2">
      <c r="F5555" s="70"/>
    </row>
    <row r="5556" spans="6:6" x14ac:dyDescent="0.2">
      <c r="F5556" s="70"/>
    </row>
    <row r="5557" spans="6:6" x14ac:dyDescent="0.2">
      <c r="F5557" s="70"/>
    </row>
    <row r="5558" spans="6:6" x14ac:dyDescent="0.2">
      <c r="F5558" s="70"/>
    </row>
    <row r="5559" spans="6:6" x14ac:dyDescent="0.2">
      <c r="F5559" s="70"/>
    </row>
    <row r="5560" spans="6:6" x14ac:dyDescent="0.2">
      <c r="F5560" s="70"/>
    </row>
    <row r="5561" spans="6:6" x14ac:dyDescent="0.2">
      <c r="F5561" s="70"/>
    </row>
    <row r="5562" spans="6:6" x14ac:dyDescent="0.2">
      <c r="F5562" s="70"/>
    </row>
    <row r="5563" spans="6:6" x14ac:dyDescent="0.2">
      <c r="F5563" s="70"/>
    </row>
    <row r="5564" spans="6:6" x14ac:dyDescent="0.2">
      <c r="F5564" s="70"/>
    </row>
    <row r="5565" spans="6:6" x14ac:dyDescent="0.2">
      <c r="F5565" s="70"/>
    </row>
    <row r="5566" spans="6:6" x14ac:dyDescent="0.2">
      <c r="F5566" s="70"/>
    </row>
    <row r="5567" spans="6:6" x14ac:dyDescent="0.2">
      <c r="F5567" s="70"/>
    </row>
    <row r="5568" spans="6:6" x14ac:dyDescent="0.2">
      <c r="F5568" s="70"/>
    </row>
    <row r="5569" spans="6:6" x14ac:dyDescent="0.2">
      <c r="F5569" s="70"/>
    </row>
    <row r="5570" spans="6:6" x14ac:dyDescent="0.2">
      <c r="F5570" s="70"/>
    </row>
    <row r="5571" spans="6:6" x14ac:dyDescent="0.2">
      <c r="F5571" s="70"/>
    </row>
    <row r="5572" spans="6:6" x14ac:dyDescent="0.2">
      <c r="F5572" s="70"/>
    </row>
    <row r="5573" spans="6:6" x14ac:dyDescent="0.2">
      <c r="F5573" s="70"/>
    </row>
    <row r="5574" spans="6:6" x14ac:dyDescent="0.2">
      <c r="F5574" s="70"/>
    </row>
    <row r="5575" spans="6:6" x14ac:dyDescent="0.2">
      <c r="F5575" s="70"/>
    </row>
    <row r="5576" spans="6:6" x14ac:dyDescent="0.2">
      <c r="F5576" s="70"/>
    </row>
    <row r="5577" spans="6:6" x14ac:dyDescent="0.2">
      <c r="F5577" s="70"/>
    </row>
    <row r="5578" spans="6:6" x14ac:dyDescent="0.2">
      <c r="F5578" s="70"/>
    </row>
    <row r="5579" spans="6:6" x14ac:dyDescent="0.2">
      <c r="F5579" s="70"/>
    </row>
    <row r="5580" spans="6:6" x14ac:dyDescent="0.2">
      <c r="F5580" s="70"/>
    </row>
    <row r="5581" spans="6:6" x14ac:dyDescent="0.2">
      <c r="F5581" s="70"/>
    </row>
    <row r="5582" spans="6:6" x14ac:dyDescent="0.2">
      <c r="F5582" s="70"/>
    </row>
    <row r="5583" spans="6:6" x14ac:dyDescent="0.2">
      <c r="F5583" s="70"/>
    </row>
    <row r="5584" spans="6:6" x14ac:dyDescent="0.2">
      <c r="F5584" s="70"/>
    </row>
    <row r="5585" spans="6:6" x14ac:dyDescent="0.2">
      <c r="F5585" s="70"/>
    </row>
    <row r="5586" spans="6:6" x14ac:dyDescent="0.2">
      <c r="F5586" s="70"/>
    </row>
    <row r="5587" spans="6:6" x14ac:dyDescent="0.2">
      <c r="F5587" s="70"/>
    </row>
    <row r="5588" spans="6:6" x14ac:dyDescent="0.2">
      <c r="F5588" s="70"/>
    </row>
    <row r="5589" spans="6:6" x14ac:dyDescent="0.2">
      <c r="F5589" s="70"/>
    </row>
    <row r="5590" spans="6:6" x14ac:dyDescent="0.2">
      <c r="F5590" s="70"/>
    </row>
    <row r="5591" spans="6:6" x14ac:dyDescent="0.2">
      <c r="F5591" s="70"/>
    </row>
    <row r="5592" spans="6:6" x14ac:dyDescent="0.2">
      <c r="F5592" s="70"/>
    </row>
    <row r="5593" spans="6:6" x14ac:dyDescent="0.2">
      <c r="F5593" s="70"/>
    </row>
    <row r="5594" spans="6:6" x14ac:dyDescent="0.2">
      <c r="F5594" s="70"/>
    </row>
    <row r="5595" spans="6:6" x14ac:dyDescent="0.2">
      <c r="F5595" s="70"/>
    </row>
    <row r="5596" spans="6:6" x14ac:dyDescent="0.2">
      <c r="F5596" s="70"/>
    </row>
    <row r="5597" spans="6:6" x14ac:dyDescent="0.2">
      <c r="F5597" s="70"/>
    </row>
    <row r="5598" spans="6:6" x14ac:dyDescent="0.2">
      <c r="F5598" s="70"/>
    </row>
    <row r="5599" spans="6:6" x14ac:dyDescent="0.2">
      <c r="F5599" s="70"/>
    </row>
    <row r="5600" spans="6:6" x14ac:dyDescent="0.2">
      <c r="F5600" s="70"/>
    </row>
    <row r="5601" spans="6:6" x14ac:dyDescent="0.2">
      <c r="F5601" s="70"/>
    </row>
    <row r="5602" spans="6:6" x14ac:dyDescent="0.2">
      <c r="F5602" s="70"/>
    </row>
    <row r="5603" spans="6:6" x14ac:dyDescent="0.2">
      <c r="F5603" s="70"/>
    </row>
    <row r="5604" spans="6:6" x14ac:dyDescent="0.2">
      <c r="F5604" s="70"/>
    </row>
    <row r="5605" spans="6:6" x14ac:dyDescent="0.2">
      <c r="F5605" s="70"/>
    </row>
    <row r="5606" spans="6:6" x14ac:dyDescent="0.2">
      <c r="F5606" s="70"/>
    </row>
    <row r="5607" spans="6:6" x14ac:dyDescent="0.2">
      <c r="F5607" s="70"/>
    </row>
    <row r="5608" spans="6:6" x14ac:dyDescent="0.2">
      <c r="F5608" s="70"/>
    </row>
    <row r="5609" spans="6:6" x14ac:dyDescent="0.2">
      <c r="F5609" s="70"/>
    </row>
    <row r="5610" spans="6:6" x14ac:dyDescent="0.2">
      <c r="F5610" s="70"/>
    </row>
    <row r="5611" spans="6:6" x14ac:dyDescent="0.2">
      <c r="F5611" s="70"/>
    </row>
    <row r="5612" spans="6:6" x14ac:dyDescent="0.2">
      <c r="F5612" s="70"/>
    </row>
    <row r="5613" spans="6:6" x14ac:dyDescent="0.2">
      <c r="F5613" s="70"/>
    </row>
    <row r="5614" spans="6:6" x14ac:dyDescent="0.2">
      <c r="F5614" s="70"/>
    </row>
    <row r="5615" spans="6:6" x14ac:dyDescent="0.2">
      <c r="F5615" s="70"/>
    </row>
    <row r="5616" spans="6:6" x14ac:dyDescent="0.2">
      <c r="F5616" s="70"/>
    </row>
    <row r="5617" spans="6:6" x14ac:dyDescent="0.2">
      <c r="F5617" s="70"/>
    </row>
    <row r="5618" spans="6:6" x14ac:dyDescent="0.2">
      <c r="F5618" s="70"/>
    </row>
    <row r="5619" spans="6:6" x14ac:dyDescent="0.2">
      <c r="F5619" s="70"/>
    </row>
    <row r="5620" spans="6:6" x14ac:dyDescent="0.2">
      <c r="F5620" s="70"/>
    </row>
    <row r="5621" spans="6:6" x14ac:dyDescent="0.2">
      <c r="F5621" s="70"/>
    </row>
    <row r="5622" spans="6:6" x14ac:dyDescent="0.2">
      <c r="F5622" s="70"/>
    </row>
    <row r="5623" spans="6:6" x14ac:dyDescent="0.2">
      <c r="F5623" s="70"/>
    </row>
    <row r="5624" spans="6:6" x14ac:dyDescent="0.2">
      <c r="F5624" s="70"/>
    </row>
    <row r="5625" spans="6:6" x14ac:dyDescent="0.2">
      <c r="F5625" s="70"/>
    </row>
    <row r="5626" spans="6:6" x14ac:dyDescent="0.2">
      <c r="F5626" s="70"/>
    </row>
    <row r="5627" spans="6:6" x14ac:dyDescent="0.2">
      <c r="F5627" s="70"/>
    </row>
    <row r="5628" spans="6:6" x14ac:dyDescent="0.2">
      <c r="F5628" s="70"/>
    </row>
    <row r="5629" spans="6:6" x14ac:dyDescent="0.2">
      <c r="F5629" s="70"/>
    </row>
    <row r="5630" spans="6:6" x14ac:dyDescent="0.2">
      <c r="F5630" s="70"/>
    </row>
    <row r="5631" spans="6:6" x14ac:dyDescent="0.2">
      <c r="F5631" s="70"/>
    </row>
    <row r="5632" spans="6:6" x14ac:dyDescent="0.2">
      <c r="F5632" s="70"/>
    </row>
    <row r="5633" spans="6:6" x14ac:dyDescent="0.2">
      <c r="F5633" s="70"/>
    </row>
    <row r="5634" spans="6:6" x14ac:dyDescent="0.2">
      <c r="F5634" s="70"/>
    </row>
    <row r="5635" spans="6:6" x14ac:dyDescent="0.2">
      <c r="F5635" s="70"/>
    </row>
    <row r="5636" spans="6:6" x14ac:dyDescent="0.2">
      <c r="F5636" s="70"/>
    </row>
    <row r="5637" spans="6:6" x14ac:dyDescent="0.2">
      <c r="F5637" s="70"/>
    </row>
    <row r="5638" spans="6:6" x14ac:dyDescent="0.2">
      <c r="F5638" s="70"/>
    </row>
    <row r="5639" spans="6:6" x14ac:dyDescent="0.2">
      <c r="F5639" s="70"/>
    </row>
    <row r="5640" spans="6:6" x14ac:dyDescent="0.2">
      <c r="F5640" s="70"/>
    </row>
    <row r="5641" spans="6:6" x14ac:dyDescent="0.2">
      <c r="F5641" s="70"/>
    </row>
    <row r="5642" spans="6:6" x14ac:dyDescent="0.2">
      <c r="F5642" s="70"/>
    </row>
    <row r="5643" spans="6:6" x14ac:dyDescent="0.2">
      <c r="F5643" s="70"/>
    </row>
    <row r="5644" spans="6:6" x14ac:dyDescent="0.2">
      <c r="F5644" s="70"/>
    </row>
    <row r="5645" spans="6:6" x14ac:dyDescent="0.2">
      <c r="F5645" s="70"/>
    </row>
    <row r="5646" spans="6:6" x14ac:dyDescent="0.2">
      <c r="F5646" s="70"/>
    </row>
    <row r="5647" spans="6:6" x14ac:dyDescent="0.2">
      <c r="F5647" s="70"/>
    </row>
    <row r="5648" spans="6:6" x14ac:dyDescent="0.2">
      <c r="F5648" s="70"/>
    </row>
    <row r="5649" spans="6:6" x14ac:dyDescent="0.2">
      <c r="F5649" s="70"/>
    </row>
    <row r="5650" spans="6:6" x14ac:dyDescent="0.2">
      <c r="F5650" s="70"/>
    </row>
    <row r="5651" spans="6:6" x14ac:dyDescent="0.2">
      <c r="F5651" s="70"/>
    </row>
    <row r="5652" spans="6:6" x14ac:dyDescent="0.2">
      <c r="F5652" s="70"/>
    </row>
    <row r="5653" spans="6:6" x14ac:dyDescent="0.2">
      <c r="F5653" s="70"/>
    </row>
    <row r="5654" spans="6:6" x14ac:dyDescent="0.2">
      <c r="F5654" s="70"/>
    </row>
    <row r="5655" spans="6:6" x14ac:dyDescent="0.2">
      <c r="F5655" s="70"/>
    </row>
    <row r="5656" spans="6:6" x14ac:dyDescent="0.2">
      <c r="F5656" s="70"/>
    </row>
    <row r="5657" spans="6:6" x14ac:dyDescent="0.2">
      <c r="F5657" s="70"/>
    </row>
    <row r="5658" spans="6:6" x14ac:dyDescent="0.2">
      <c r="F5658" s="70"/>
    </row>
    <row r="5659" spans="6:6" x14ac:dyDescent="0.2">
      <c r="F5659" s="70"/>
    </row>
    <row r="5660" spans="6:6" x14ac:dyDescent="0.2">
      <c r="F5660" s="70"/>
    </row>
    <row r="5661" spans="6:6" x14ac:dyDescent="0.2">
      <c r="F5661" s="70"/>
    </row>
    <row r="5662" spans="6:6" x14ac:dyDescent="0.2">
      <c r="F5662" s="70"/>
    </row>
    <row r="5663" spans="6:6" x14ac:dyDescent="0.2">
      <c r="F5663" s="70"/>
    </row>
    <row r="5664" spans="6:6" x14ac:dyDescent="0.2">
      <c r="F5664" s="70"/>
    </row>
    <row r="5665" spans="6:6" x14ac:dyDescent="0.2">
      <c r="F5665" s="70"/>
    </row>
    <row r="5666" spans="6:6" x14ac:dyDescent="0.2">
      <c r="F5666" s="70"/>
    </row>
    <row r="5667" spans="6:6" x14ac:dyDescent="0.2">
      <c r="F5667" s="70"/>
    </row>
    <row r="5668" spans="6:6" x14ac:dyDescent="0.2">
      <c r="F5668" s="70"/>
    </row>
    <row r="5669" spans="6:6" x14ac:dyDescent="0.2">
      <c r="F5669" s="70"/>
    </row>
    <row r="5670" spans="6:6" x14ac:dyDescent="0.2">
      <c r="F5670" s="70"/>
    </row>
    <row r="5671" spans="6:6" x14ac:dyDescent="0.2">
      <c r="F5671" s="70"/>
    </row>
    <row r="5672" spans="6:6" x14ac:dyDescent="0.2">
      <c r="F5672" s="70"/>
    </row>
    <row r="5673" spans="6:6" x14ac:dyDescent="0.2">
      <c r="F5673" s="70"/>
    </row>
    <row r="5674" spans="6:6" x14ac:dyDescent="0.2">
      <c r="F5674" s="70"/>
    </row>
    <row r="5675" spans="6:6" x14ac:dyDescent="0.2">
      <c r="F5675" s="70"/>
    </row>
    <row r="5676" spans="6:6" x14ac:dyDescent="0.2">
      <c r="F5676" s="70"/>
    </row>
    <row r="5677" spans="6:6" x14ac:dyDescent="0.2">
      <c r="F5677" s="70"/>
    </row>
    <row r="5678" spans="6:6" x14ac:dyDescent="0.2">
      <c r="F5678" s="70"/>
    </row>
    <row r="5679" spans="6:6" x14ac:dyDescent="0.2">
      <c r="F5679" s="70"/>
    </row>
    <row r="5680" spans="6:6" x14ac:dyDescent="0.2">
      <c r="F5680" s="70"/>
    </row>
    <row r="5681" spans="6:6" x14ac:dyDescent="0.2">
      <c r="F5681" s="70"/>
    </row>
    <row r="5682" spans="6:6" x14ac:dyDescent="0.2">
      <c r="F5682" s="70"/>
    </row>
    <row r="5683" spans="6:6" x14ac:dyDescent="0.2">
      <c r="F5683" s="70"/>
    </row>
    <row r="5684" spans="6:6" x14ac:dyDescent="0.2">
      <c r="F5684" s="70"/>
    </row>
    <row r="5685" spans="6:6" x14ac:dyDescent="0.2">
      <c r="F5685" s="70"/>
    </row>
    <row r="5686" spans="6:6" x14ac:dyDescent="0.2">
      <c r="F5686" s="70"/>
    </row>
    <row r="5687" spans="6:6" x14ac:dyDescent="0.2">
      <c r="F5687" s="70"/>
    </row>
    <row r="5688" spans="6:6" x14ac:dyDescent="0.2">
      <c r="F5688" s="70"/>
    </row>
    <row r="5689" spans="6:6" x14ac:dyDescent="0.2">
      <c r="F5689" s="70"/>
    </row>
    <row r="5690" spans="6:6" x14ac:dyDescent="0.2">
      <c r="F5690" s="70"/>
    </row>
    <row r="5691" spans="6:6" x14ac:dyDescent="0.2">
      <c r="F5691" s="70"/>
    </row>
    <row r="5692" spans="6:6" x14ac:dyDescent="0.2">
      <c r="F5692" s="70"/>
    </row>
    <row r="5693" spans="6:6" x14ac:dyDescent="0.2">
      <c r="F5693" s="70"/>
    </row>
    <row r="5694" spans="6:6" x14ac:dyDescent="0.2">
      <c r="F5694" s="70"/>
    </row>
    <row r="5695" spans="6:6" x14ac:dyDescent="0.2">
      <c r="F5695" s="70"/>
    </row>
    <row r="5696" spans="6:6" x14ac:dyDescent="0.2">
      <c r="F5696" s="70"/>
    </row>
    <row r="5697" spans="6:6" x14ac:dyDescent="0.2">
      <c r="F5697" s="70"/>
    </row>
    <row r="5698" spans="6:6" x14ac:dyDescent="0.2">
      <c r="F5698" s="70"/>
    </row>
    <row r="5699" spans="6:6" x14ac:dyDescent="0.2">
      <c r="F5699" s="70"/>
    </row>
    <row r="5700" spans="6:6" x14ac:dyDescent="0.2">
      <c r="F5700" s="70"/>
    </row>
    <row r="5701" spans="6:6" x14ac:dyDescent="0.2">
      <c r="F5701" s="70"/>
    </row>
    <row r="5702" spans="6:6" x14ac:dyDescent="0.2">
      <c r="F5702" s="70"/>
    </row>
    <row r="5703" spans="6:6" x14ac:dyDescent="0.2">
      <c r="F5703" s="70"/>
    </row>
    <row r="5704" spans="6:6" x14ac:dyDescent="0.2">
      <c r="F5704" s="70"/>
    </row>
    <row r="5705" spans="6:6" x14ac:dyDescent="0.2">
      <c r="F5705" s="70"/>
    </row>
    <row r="5706" spans="6:6" x14ac:dyDescent="0.2">
      <c r="F5706" s="70"/>
    </row>
    <row r="5707" spans="6:6" x14ac:dyDescent="0.2">
      <c r="F5707" s="70"/>
    </row>
    <row r="5708" spans="6:6" x14ac:dyDescent="0.2">
      <c r="F5708" s="70"/>
    </row>
    <row r="5709" spans="6:6" x14ac:dyDescent="0.2">
      <c r="F5709" s="70"/>
    </row>
    <row r="5710" spans="6:6" x14ac:dyDescent="0.2">
      <c r="F5710" s="70"/>
    </row>
    <row r="5711" spans="6:6" x14ac:dyDescent="0.2">
      <c r="F5711" s="70"/>
    </row>
    <row r="5712" spans="6:6" x14ac:dyDescent="0.2">
      <c r="F5712" s="70"/>
    </row>
    <row r="5713" spans="6:6" x14ac:dyDescent="0.2">
      <c r="F5713" s="70"/>
    </row>
    <row r="5714" spans="6:6" x14ac:dyDescent="0.2">
      <c r="F5714" s="70"/>
    </row>
    <row r="5715" spans="6:6" x14ac:dyDescent="0.2">
      <c r="F5715" s="70"/>
    </row>
    <row r="5716" spans="6:6" x14ac:dyDescent="0.2">
      <c r="F5716" s="70"/>
    </row>
    <row r="5717" spans="6:6" x14ac:dyDescent="0.2">
      <c r="F5717" s="70"/>
    </row>
    <row r="5718" spans="6:6" x14ac:dyDescent="0.2">
      <c r="F5718" s="70"/>
    </row>
    <row r="5719" spans="6:6" x14ac:dyDescent="0.2">
      <c r="F5719" s="70"/>
    </row>
    <row r="5720" spans="6:6" x14ac:dyDescent="0.2">
      <c r="F5720" s="70"/>
    </row>
    <row r="5721" spans="6:6" x14ac:dyDescent="0.2">
      <c r="F5721" s="70"/>
    </row>
    <row r="5722" spans="6:6" x14ac:dyDescent="0.2">
      <c r="F5722" s="70"/>
    </row>
    <row r="5723" spans="6:6" x14ac:dyDescent="0.2">
      <c r="F5723" s="70"/>
    </row>
    <row r="5724" spans="6:6" x14ac:dyDescent="0.2">
      <c r="F5724" s="70"/>
    </row>
    <row r="5725" spans="6:6" x14ac:dyDescent="0.2">
      <c r="F5725" s="70"/>
    </row>
    <row r="5726" spans="6:6" x14ac:dyDescent="0.2">
      <c r="F5726" s="70"/>
    </row>
    <row r="5727" spans="6:6" x14ac:dyDescent="0.2">
      <c r="F5727" s="70"/>
    </row>
    <row r="5728" spans="6:6" x14ac:dyDescent="0.2">
      <c r="F5728" s="70"/>
    </row>
    <row r="5729" spans="6:6" x14ac:dyDescent="0.2">
      <c r="F5729" s="70"/>
    </row>
    <row r="5730" spans="6:6" x14ac:dyDescent="0.2">
      <c r="F5730" s="70"/>
    </row>
    <row r="5731" spans="6:6" x14ac:dyDescent="0.2">
      <c r="F5731" s="70"/>
    </row>
    <row r="5732" spans="6:6" x14ac:dyDescent="0.2">
      <c r="F5732" s="70"/>
    </row>
    <row r="5733" spans="6:6" x14ac:dyDescent="0.2">
      <c r="F5733" s="70"/>
    </row>
    <row r="5734" spans="6:6" x14ac:dyDescent="0.2">
      <c r="F5734" s="70"/>
    </row>
    <row r="5735" spans="6:6" x14ac:dyDescent="0.2">
      <c r="F5735" s="70"/>
    </row>
    <row r="5736" spans="6:6" x14ac:dyDescent="0.2">
      <c r="F5736" s="70"/>
    </row>
    <row r="5737" spans="6:6" x14ac:dyDescent="0.2">
      <c r="F5737" s="70"/>
    </row>
    <row r="5738" spans="6:6" x14ac:dyDescent="0.2">
      <c r="F5738" s="70"/>
    </row>
    <row r="5739" spans="6:6" x14ac:dyDescent="0.2">
      <c r="F5739" s="70"/>
    </row>
    <row r="5740" spans="6:6" x14ac:dyDescent="0.2">
      <c r="F5740" s="70"/>
    </row>
    <row r="5741" spans="6:6" x14ac:dyDescent="0.2">
      <c r="F5741" s="70"/>
    </row>
    <row r="5742" spans="6:6" x14ac:dyDescent="0.2">
      <c r="F5742" s="70"/>
    </row>
    <row r="5743" spans="6:6" x14ac:dyDescent="0.2">
      <c r="F5743" s="70"/>
    </row>
    <row r="5744" spans="6:6" x14ac:dyDescent="0.2">
      <c r="F5744" s="70"/>
    </row>
    <row r="5745" spans="6:6" x14ac:dyDescent="0.2">
      <c r="F5745" s="70"/>
    </row>
    <row r="5746" spans="6:6" x14ac:dyDescent="0.2">
      <c r="F5746" s="70"/>
    </row>
    <row r="5747" spans="6:6" x14ac:dyDescent="0.2">
      <c r="F5747" s="70"/>
    </row>
    <row r="5748" spans="6:6" x14ac:dyDescent="0.2">
      <c r="F5748" s="70"/>
    </row>
    <row r="5749" spans="6:6" x14ac:dyDescent="0.2">
      <c r="F5749" s="70"/>
    </row>
    <row r="5750" spans="6:6" x14ac:dyDescent="0.2">
      <c r="F5750" s="70"/>
    </row>
    <row r="5751" spans="6:6" x14ac:dyDescent="0.2">
      <c r="F5751" s="70"/>
    </row>
    <row r="5752" spans="6:6" x14ac:dyDescent="0.2">
      <c r="F5752" s="70"/>
    </row>
    <row r="5753" spans="6:6" x14ac:dyDescent="0.2">
      <c r="F5753" s="70"/>
    </row>
    <row r="5754" spans="6:6" x14ac:dyDescent="0.2">
      <c r="F5754" s="70"/>
    </row>
    <row r="5755" spans="6:6" x14ac:dyDescent="0.2">
      <c r="F5755" s="70"/>
    </row>
    <row r="5756" spans="6:6" x14ac:dyDescent="0.2">
      <c r="F5756" s="70"/>
    </row>
    <row r="5757" spans="6:6" x14ac:dyDescent="0.2">
      <c r="F5757" s="70"/>
    </row>
    <row r="5758" spans="6:6" x14ac:dyDescent="0.2">
      <c r="F5758" s="70"/>
    </row>
    <row r="5759" spans="6:6" x14ac:dyDescent="0.2">
      <c r="F5759" s="70"/>
    </row>
    <row r="5760" spans="6:6" x14ac:dyDescent="0.2">
      <c r="F5760" s="70"/>
    </row>
    <row r="5761" spans="6:6" x14ac:dyDescent="0.2">
      <c r="F5761" s="70"/>
    </row>
    <row r="5762" spans="6:6" x14ac:dyDescent="0.2">
      <c r="F5762" s="70"/>
    </row>
    <row r="5763" spans="6:6" x14ac:dyDescent="0.2">
      <c r="F5763" s="70"/>
    </row>
    <row r="5764" spans="6:6" x14ac:dyDescent="0.2">
      <c r="F5764" s="70"/>
    </row>
    <row r="5765" spans="6:6" x14ac:dyDescent="0.2">
      <c r="F5765" s="70"/>
    </row>
    <row r="5766" spans="6:6" x14ac:dyDescent="0.2">
      <c r="F5766" s="70"/>
    </row>
    <row r="5767" spans="6:6" x14ac:dyDescent="0.2">
      <c r="F5767" s="70"/>
    </row>
    <row r="5768" spans="6:6" x14ac:dyDescent="0.2">
      <c r="F5768" s="70"/>
    </row>
    <row r="5769" spans="6:6" x14ac:dyDescent="0.2">
      <c r="F5769" s="70"/>
    </row>
    <row r="5770" spans="6:6" x14ac:dyDescent="0.2">
      <c r="F5770" s="70"/>
    </row>
    <row r="5771" spans="6:6" x14ac:dyDescent="0.2">
      <c r="F5771" s="70"/>
    </row>
    <row r="5772" spans="6:6" x14ac:dyDescent="0.2">
      <c r="F5772" s="70"/>
    </row>
    <row r="5773" spans="6:6" x14ac:dyDescent="0.2">
      <c r="F5773" s="70"/>
    </row>
    <row r="5774" spans="6:6" x14ac:dyDescent="0.2">
      <c r="F5774" s="70"/>
    </row>
    <row r="5775" spans="6:6" x14ac:dyDescent="0.2">
      <c r="F5775" s="70"/>
    </row>
    <row r="5776" spans="6:6" x14ac:dyDescent="0.2">
      <c r="F5776" s="70"/>
    </row>
    <row r="5777" spans="6:6" x14ac:dyDescent="0.2">
      <c r="F5777" s="70"/>
    </row>
    <row r="5778" spans="6:6" x14ac:dyDescent="0.2">
      <c r="F5778" s="70"/>
    </row>
    <row r="5779" spans="6:6" x14ac:dyDescent="0.2">
      <c r="F5779" s="70"/>
    </row>
    <row r="5780" spans="6:6" x14ac:dyDescent="0.2">
      <c r="F5780" s="70"/>
    </row>
    <row r="5781" spans="6:6" x14ac:dyDescent="0.2">
      <c r="F5781" s="70"/>
    </row>
    <row r="5782" spans="6:6" x14ac:dyDescent="0.2">
      <c r="F5782" s="70"/>
    </row>
    <row r="5783" spans="6:6" x14ac:dyDescent="0.2">
      <c r="F5783" s="70"/>
    </row>
    <row r="5784" spans="6:6" x14ac:dyDescent="0.2">
      <c r="F5784" s="70"/>
    </row>
    <row r="5785" spans="6:6" x14ac:dyDescent="0.2">
      <c r="F5785" s="70"/>
    </row>
    <row r="5786" spans="6:6" x14ac:dyDescent="0.2">
      <c r="F5786" s="70"/>
    </row>
    <row r="5787" spans="6:6" x14ac:dyDescent="0.2">
      <c r="F5787" s="70"/>
    </row>
    <row r="5788" spans="6:6" x14ac:dyDescent="0.2">
      <c r="F5788" s="70"/>
    </row>
    <row r="5789" spans="6:6" x14ac:dyDescent="0.2">
      <c r="F5789" s="70"/>
    </row>
    <row r="5790" spans="6:6" x14ac:dyDescent="0.2">
      <c r="F5790" s="70"/>
    </row>
    <row r="5791" spans="6:6" x14ac:dyDescent="0.2">
      <c r="F5791" s="70"/>
    </row>
    <row r="5792" spans="6:6" x14ac:dyDescent="0.2">
      <c r="F5792" s="70"/>
    </row>
  </sheetData>
  <mergeCells count="6">
    <mergeCell ref="A4:C4"/>
    <mergeCell ref="A30:C30"/>
    <mergeCell ref="A2:R2"/>
    <mergeCell ref="A28:R28"/>
    <mergeCell ref="E4:R4"/>
    <mergeCell ref="E30:R30"/>
  </mergeCells>
  <printOptions horizontalCentered="1" verticalCentered="1"/>
  <pageMargins left="0.70866141732283472" right="0.70866141732283472" top="0.74803149606299213" bottom="0.74803149606299213" header="0.31496062992125984" footer="0.31496062992125984"/>
  <pageSetup paperSize="9" scale="65" orientation="landscape" r:id="rId1"/>
  <rowBreaks count="1" manualBreakCount="1">
    <brk id="4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47"/>
  <sheetViews>
    <sheetView topLeftCell="A3854" workbookViewId="0">
      <selection activeCell="E788" sqref="E788"/>
    </sheetView>
  </sheetViews>
  <sheetFormatPr defaultRowHeight="12.75" x14ac:dyDescent="0.2"/>
  <cols>
    <col min="1" max="1" width="18.5703125" customWidth="1"/>
    <col min="2" max="2" width="14.5703125" style="2212" bestFit="1" customWidth="1"/>
  </cols>
  <sheetData>
    <row r="1" spans="1:2" ht="13.5" thickBot="1" x14ac:dyDescent="0.25">
      <c r="A1" s="2204" t="s">
        <v>7273</v>
      </c>
      <c r="B1" s="2211" t="s">
        <v>7274</v>
      </c>
    </row>
    <row r="2" spans="1:2" x14ac:dyDescent="0.2">
      <c r="A2" s="2205" t="s">
        <v>7275</v>
      </c>
      <c r="B2" s="2205">
        <v>0</v>
      </c>
    </row>
    <row r="3" spans="1:2" x14ac:dyDescent="0.2">
      <c r="A3" s="2205" t="s">
        <v>7276</v>
      </c>
      <c r="B3" s="2205">
        <v>0</v>
      </c>
    </row>
    <row r="4" spans="1:2" x14ac:dyDescent="0.2">
      <c r="A4" s="2205" t="s">
        <v>7277</v>
      </c>
      <c r="B4" s="2205">
        <v>0</v>
      </c>
    </row>
    <row r="5" spans="1:2" x14ac:dyDescent="0.2">
      <c r="A5" s="2205" t="s">
        <v>7278</v>
      </c>
      <c r="B5" s="2205">
        <v>0</v>
      </c>
    </row>
    <row r="6" spans="1:2" x14ac:dyDescent="0.2">
      <c r="A6" s="2205" t="s">
        <v>7279</v>
      </c>
      <c r="B6" s="2205">
        <v>0</v>
      </c>
    </row>
    <row r="7" spans="1:2" x14ac:dyDescent="0.2">
      <c r="A7" s="2205" t="s">
        <v>7280</v>
      </c>
      <c r="B7" s="2205">
        <v>0</v>
      </c>
    </row>
    <row r="8" spans="1:2" x14ac:dyDescent="0.2">
      <c r="A8" s="2205" t="s">
        <v>7281</v>
      </c>
      <c r="B8" s="2205">
        <v>0</v>
      </c>
    </row>
    <row r="9" spans="1:2" x14ac:dyDescent="0.2">
      <c r="A9" s="2205" t="s">
        <v>7282</v>
      </c>
      <c r="B9" s="2205">
        <v>0</v>
      </c>
    </row>
    <row r="10" spans="1:2" x14ac:dyDescent="0.2">
      <c r="A10" s="2205" t="s">
        <v>7283</v>
      </c>
      <c r="B10" s="2205">
        <v>39602.239999999998</v>
      </c>
    </row>
    <row r="11" spans="1:2" x14ac:dyDescent="0.2">
      <c r="A11" s="2205" t="s">
        <v>7284</v>
      </c>
      <c r="B11" s="2205">
        <v>58590.54</v>
      </c>
    </row>
    <row r="12" spans="1:2" x14ac:dyDescent="0.2">
      <c r="A12" s="2205" t="s">
        <v>7285</v>
      </c>
      <c r="B12" s="2205">
        <v>2762776.01</v>
      </c>
    </row>
    <row r="13" spans="1:2" x14ac:dyDescent="0.2">
      <c r="A13" s="2205" t="s">
        <v>7286</v>
      </c>
      <c r="B13" s="2205">
        <v>416424.75</v>
      </c>
    </row>
    <row r="14" spans="1:2" x14ac:dyDescent="0.2">
      <c r="A14" s="2205" t="s">
        <v>7287</v>
      </c>
      <c r="B14" s="2205">
        <v>8000</v>
      </c>
    </row>
    <row r="15" spans="1:2" x14ac:dyDescent="0.2">
      <c r="A15" s="2205" t="s">
        <v>7288</v>
      </c>
      <c r="B15" s="2205">
        <v>1675060.55</v>
      </c>
    </row>
    <row r="16" spans="1:2" s="1" customFormat="1" x14ac:dyDescent="0.2">
      <c r="A16" s="2205" t="s">
        <v>7289</v>
      </c>
      <c r="B16" s="2205">
        <v>763611.02</v>
      </c>
    </row>
    <row r="17" spans="1:2" x14ac:dyDescent="0.2">
      <c r="A17" s="2205" t="s">
        <v>7290</v>
      </c>
      <c r="B17" s="2205">
        <v>2875.27</v>
      </c>
    </row>
    <row r="18" spans="1:2" x14ac:dyDescent="0.2">
      <c r="A18" s="2205" t="s">
        <v>7291</v>
      </c>
      <c r="B18" s="2205">
        <v>19033.240000000002</v>
      </c>
    </row>
    <row r="19" spans="1:2" x14ac:dyDescent="0.2">
      <c r="A19" s="2205" t="s">
        <v>991</v>
      </c>
      <c r="B19" s="2205">
        <v>-164657.42000000001</v>
      </c>
    </row>
    <row r="20" spans="1:2" x14ac:dyDescent="0.2">
      <c r="A20" s="2205" t="s">
        <v>7292</v>
      </c>
      <c r="B20" s="2205">
        <v>-14358.88</v>
      </c>
    </row>
    <row r="21" spans="1:2" x14ac:dyDescent="0.2">
      <c r="A21" s="2205" t="s">
        <v>7293</v>
      </c>
      <c r="B21" s="2205">
        <v>-17976.439999999999</v>
      </c>
    </row>
    <row r="22" spans="1:2" x14ac:dyDescent="0.2">
      <c r="A22" s="2205" t="s">
        <v>1161</v>
      </c>
      <c r="B22" s="2205">
        <v>-3032004.31</v>
      </c>
    </row>
    <row r="23" spans="1:2" x14ac:dyDescent="0.2">
      <c r="A23" s="2205" t="s">
        <v>7294</v>
      </c>
      <c r="B23" s="2205">
        <v>-1155.26</v>
      </c>
    </row>
    <row r="24" spans="1:2" x14ac:dyDescent="0.2">
      <c r="A24" s="2205" t="s">
        <v>1928</v>
      </c>
      <c r="B24" s="2205">
        <v>-5583996</v>
      </c>
    </row>
    <row r="25" spans="1:2" x14ac:dyDescent="0.2">
      <c r="A25" s="2205" t="s">
        <v>7295</v>
      </c>
      <c r="B25" s="2205">
        <v>-627696</v>
      </c>
    </row>
    <row r="26" spans="1:2" x14ac:dyDescent="0.2">
      <c r="A26" s="2205" t="s">
        <v>1871</v>
      </c>
      <c r="B26" s="2205">
        <v>-38665.17</v>
      </c>
    </row>
    <row r="27" spans="1:2" x14ac:dyDescent="0.2">
      <c r="A27" s="2205" t="s">
        <v>1870</v>
      </c>
      <c r="B27" s="2205">
        <v>-65850.240000000005</v>
      </c>
    </row>
    <row r="28" spans="1:2" x14ac:dyDescent="0.2">
      <c r="A28" s="2205" t="s">
        <v>7296</v>
      </c>
      <c r="B28" s="2205">
        <v>101.54</v>
      </c>
    </row>
    <row r="29" spans="1:2" x14ac:dyDescent="0.2">
      <c r="A29" s="2205" t="s">
        <v>1869</v>
      </c>
      <c r="B29" s="2205">
        <v>-3556012.51</v>
      </c>
    </row>
    <row r="30" spans="1:2" x14ac:dyDescent="0.2">
      <c r="A30" s="2205" t="s">
        <v>2990</v>
      </c>
      <c r="B30" s="2205">
        <v>39000</v>
      </c>
    </row>
    <row r="31" spans="1:2" x14ac:dyDescent="0.2">
      <c r="A31" s="2205" t="s">
        <v>2699</v>
      </c>
      <c r="B31" s="2205">
        <v>1950000</v>
      </c>
    </row>
    <row r="32" spans="1:2" x14ac:dyDescent="0.2">
      <c r="A32" s="2205" t="s">
        <v>1409</v>
      </c>
      <c r="B32" s="2205">
        <v>636996</v>
      </c>
    </row>
    <row r="33" spans="1:2" x14ac:dyDescent="0.2">
      <c r="A33" s="2205" t="s">
        <v>68</v>
      </c>
      <c r="B33" s="2205">
        <v>378000</v>
      </c>
    </row>
    <row r="34" spans="1:2" x14ac:dyDescent="0.2">
      <c r="A34" s="2205" t="s">
        <v>802</v>
      </c>
      <c r="B34" s="2205">
        <v>24000</v>
      </c>
    </row>
    <row r="35" spans="1:2" x14ac:dyDescent="0.2">
      <c r="A35" s="2205" t="s">
        <v>1882</v>
      </c>
      <c r="B35" s="2205">
        <v>1318992</v>
      </c>
    </row>
    <row r="36" spans="1:2" x14ac:dyDescent="0.2">
      <c r="A36" s="2205" t="s">
        <v>2557</v>
      </c>
      <c r="B36" s="2205">
        <v>77004</v>
      </c>
    </row>
    <row r="37" spans="1:2" x14ac:dyDescent="0.2">
      <c r="A37" s="2205" t="s">
        <v>7297</v>
      </c>
      <c r="B37" s="2205">
        <v>627696</v>
      </c>
    </row>
    <row r="38" spans="1:2" x14ac:dyDescent="0.2">
      <c r="A38" s="2205" t="s">
        <v>593</v>
      </c>
      <c r="B38" s="2205">
        <v>33000</v>
      </c>
    </row>
    <row r="39" spans="1:2" x14ac:dyDescent="0.2">
      <c r="A39" s="2205" t="s">
        <v>592</v>
      </c>
      <c r="B39" s="2205">
        <v>36000</v>
      </c>
    </row>
    <row r="40" spans="1:2" x14ac:dyDescent="0.2">
      <c r="A40" s="2205" t="s">
        <v>974</v>
      </c>
      <c r="B40" s="2205">
        <v>344004</v>
      </c>
    </row>
    <row r="41" spans="1:2" x14ac:dyDescent="0.2">
      <c r="A41" s="2205" t="s">
        <v>2484</v>
      </c>
      <c r="B41" s="2205">
        <v>33996</v>
      </c>
    </row>
    <row r="42" spans="1:2" x14ac:dyDescent="0.2">
      <c r="A42" s="2205" t="s">
        <v>440</v>
      </c>
      <c r="B42" s="2205">
        <v>644430.01</v>
      </c>
    </row>
    <row r="43" spans="1:2" x14ac:dyDescent="0.2">
      <c r="A43" s="2205" t="s">
        <v>7298</v>
      </c>
      <c r="B43" s="2205">
        <v>851.98</v>
      </c>
    </row>
    <row r="44" spans="1:2" x14ac:dyDescent="0.2">
      <c r="A44" s="2205" t="s">
        <v>7299</v>
      </c>
      <c r="B44" s="2205">
        <v>935.48</v>
      </c>
    </row>
    <row r="45" spans="1:2" x14ac:dyDescent="0.2">
      <c r="A45" s="2205" t="s">
        <v>7300</v>
      </c>
      <c r="B45" s="2205">
        <v>1851.88</v>
      </c>
    </row>
    <row r="46" spans="1:2" x14ac:dyDescent="0.2">
      <c r="A46" s="2205" t="s">
        <v>7301</v>
      </c>
      <c r="B46" s="2205">
        <v>57.72</v>
      </c>
    </row>
    <row r="47" spans="1:2" x14ac:dyDescent="0.2">
      <c r="A47" s="2205" t="s">
        <v>7302</v>
      </c>
      <c r="B47" s="2205">
        <v>7034.2</v>
      </c>
    </row>
    <row r="48" spans="1:2" x14ac:dyDescent="0.2">
      <c r="A48" s="2205" t="s">
        <v>7303</v>
      </c>
      <c r="B48" s="2205">
        <v>176.47</v>
      </c>
    </row>
    <row r="49" spans="1:2" x14ac:dyDescent="0.2">
      <c r="A49" s="2205" t="s">
        <v>7304</v>
      </c>
      <c r="B49" s="2205">
        <v>521.77</v>
      </c>
    </row>
    <row r="50" spans="1:2" x14ac:dyDescent="0.2">
      <c r="A50" s="2205" t="s">
        <v>7305</v>
      </c>
      <c r="B50" s="2205">
        <v>2379.73</v>
      </c>
    </row>
    <row r="51" spans="1:2" x14ac:dyDescent="0.2">
      <c r="A51" s="2205" t="s">
        <v>7306</v>
      </c>
      <c r="B51" s="2205">
        <v>19260.5</v>
      </c>
    </row>
    <row r="52" spans="1:2" x14ac:dyDescent="0.2">
      <c r="A52" s="2205" t="s">
        <v>7307</v>
      </c>
      <c r="B52" s="2205">
        <v>280.12</v>
      </c>
    </row>
    <row r="53" spans="1:2" x14ac:dyDescent="0.2">
      <c r="A53" s="2205" t="s">
        <v>7308</v>
      </c>
      <c r="B53" s="2205">
        <v>6708.76</v>
      </c>
    </row>
    <row r="54" spans="1:2" x14ac:dyDescent="0.2">
      <c r="A54" s="2205" t="s">
        <v>7309</v>
      </c>
      <c r="B54" s="2205">
        <v>2985.31</v>
      </c>
    </row>
    <row r="55" spans="1:2" x14ac:dyDescent="0.2">
      <c r="A55" s="2205" t="s">
        <v>7310</v>
      </c>
      <c r="B55" s="2205">
        <v>562.24</v>
      </c>
    </row>
    <row r="56" spans="1:2" x14ac:dyDescent="0.2">
      <c r="A56" s="2205" t="s">
        <v>7311</v>
      </c>
      <c r="B56" s="2205">
        <v>1814.76</v>
      </c>
    </row>
    <row r="57" spans="1:2" x14ac:dyDescent="0.2">
      <c r="A57" s="2205" t="s">
        <v>7312</v>
      </c>
      <c r="B57" s="2205">
        <v>14655.35</v>
      </c>
    </row>
    <row r="58" spans="1:2" x14ac:dyDescent="0.2">
      <c r="A58" s="2205" t="s">
        <v>7313</v>
      </c>
      <c r="B58" s="2205">
        <v>2406.56</v>
      </c>
    </row>
    <row r="59" spans="1:2" x14ac:dyDescent="0.2">
      <c r="A59" s="2205" t="s">
        <v>7314</v>
      </c>
      <c r="B59" s="2205">
        <v>0</v>
      </c>
    </row>
    <row r="60" spans="1:2" x14ac:dyDescent="0.2">
      <c r="A60" s="2205" t="s">
        <v>7315</v>
      </c>
      <c r="B60" s="2205">
        <v>2182.5300000000002</v>
      </c>
    </row>
    <row r="61" spans="1:2" x14ac:dyDescent="0.2">
      <c r="A61" s="2205" t="s">
        <v>7316</v>
      </c>
      <c r="B61" s="2205">
        <v>110.62</v>
      </c>
    </row>
    <row r="62" spans="1:2" x14ac:dyDescent="0.2">
      <c r="A62" s="2205" t="s">
        <v>7317</v>
      </c>
      <c r="B62" s="2205">
        <v>126.34</v>
      </c>
    </row>
    <row r="63" spans="1:2" x14ac:dyDescent="0.2">
      <c r="A63" s="2205" t="s">
        <v>7318</v>
      </c>
      <c r="B63" s="2205">
        <v>70.56</v>
      </c>
    </row>
    <row r="64" spans="1:2" x14ac:dyDescent="0.2">
      <c r="A64" s="2205" t="s">
        <v>7319</v>
      </c>
      <c r="B64" s="2205">
        <v>457.5</v>
      </c>
    </row>
    <row r="65" spans="1:2" x14ac:dyDescent="0.2">
      <c r="A65" s="2205" t="s">
        <v>7320</v>
      </c>
      <c r="B65" s="2205">
        <v>642.58000000000004</v>
      </c>
    </row>
    <row r="66" spans="1:2" x14ac:dyDescent="0.2">
      <c r="A66" s="2205" t="s">
        <v>7321</v>
      </c>
      <c r="B66" s="2205">
        <v>393.41</v>
      </c>
    </row>
    <row r="67" spans="1:2" x14ac:dyDescent="0.2">
      <c r="A67" s="2205" t="s">
        <v>7322</v>
      </c>
      <c r="B67" s="2205">
        <v>573.6</v>
      </c>
    </row>
    <row r="68" spans="1:2" x14ac:dyDescent="0.2">
      <c r="A68" s="2205" t="s">
        <v>7323</v>
      </c>
      <c r="B68" s="2205">
        <v>2551.3200000000002</v>
      </c>
    </row>
    <row r="69" spans="1:2" x14ac:dyDescent="0.2">
      <c r="A69" s="2205" t="s">
        <v>7324</v>
      </c>
      <c r="B69" s="2205">
        <v>5738.17</v>
      </c>
    </row>
    <row r="70" spans="1:2" x14ac:dyDescent="0.2">
      <c r="A70" s="2205" t="s">
        <v>7325</v>
      </c>
      <c r="B70" s="2205">
        <v>4360.8999999999996</v>
      </c>
    </row>
    <row r="71" spans="1:2" x14ac:dyDescent="0.2">
      <c r="A71" s="2205" t="s">
        <v>7326</v>
      </c>
      <c r="B71" s="2205">
        <v>25929.439999999999</v>
      </c>
    </row>
    <row r="72" spans="1:2" x14ac:dyDescent="0.2">
      <c r="A72" s="2205" t="s">
        <v>7327</v>
      </c>
      <c r="B72" s="2205">
        <v>200</v>
      </c>
    </row>
    <row r="73" spans="1:2" x14ac:dyDescent="0.2">
      <c r="A73" s="2205" t="s">
        <v>7328</v>
      </c>
      <c r="B73" s="2205">
        <v>32.96</v>
      </c>
    </row>
    <row r="74" spans="1:2" x14ac:dyDescent="0.2">
      <c r="A74" s="2205" t="s">
        <v>7329</v>
      </c>
      <c r="B74" s="2205">
        <v>76781.95</v>
      </c>
    </row>
    <row r="75" spans="1:2" x14ac:dyDescent="0.2">
      <c r="A75" s="2205" t="s">
        <v>7330</v>
      </c>
      <c r="B75" s="2205">
        <v>12.85</v>
      </c>
    </row>
    <row r="76" spans="1:2" x14ac:dyDescent="0.2">
      <c r="A76" s="2205" t="s">
        <v>7331</v>
      </c>
      <c r="B76" s="2205">
        <v>14855.5</v>
      </c>
    </row>
    <row r="77" spans="1:2" x14ac:dyDescent="0.2">
      <c r="A77" s="2205" t="s">
        <v>7332</v>
      </c>
      <c r="B77" s="2205">
        <v>18.03</v>
      </c>
    </row>
    <row r="78" spans="1:2" x14ac:dyDescent="0.2">
      <c r="A78" s="2205" t="s">
        <v>7333</v>
      </c>
      <c r="B78" s="2205">
        <v>231.34</v>
      </c>
    </row>
    <row r="79" spans="1:2" x14ac:dyDescent="0.2">
      <c r="A79" s="2205" t="s">
        <v>7334</v>
      </c>
      <c r="B79" s="2205">
        <v>7062.03</v>
      </c>
    </row>
    <row r="80" spans="1:2" x14ac:dyDescent="0.2">
      <c r="A80" s="2205" t="s">
        <v>7335</v>
      </c>
      <c r="B80" s="2205">
        <v>2962.97</v>
      </c>
    </row>
    <row r="81" spans="1:2" x14ac:dyDescent="0.2">
      <c r="A81" s="2205" t="s">
        <v>7336</v>
      </c>
      <c r="B81" s="2205">
        <v>2668.03</v>
      </c>
    </row>
    <row r="82" spans="1:2" x14ac:dyDescent="0.2">
      <c r="A82" s="2205" t="s">
        <v>7337</v>
      </c>
      <c r="B82" s="2205">
        <v>678.99</v>
      </c>
    </row>
    <row r="83" spans="1:2" x14ac:dyDescent="0.2">
      <c r="A83" s="2205" t="s">
        <v>7338</v>
      </c>
      <c r="B83" s="2205">
        <v>42.84</v>
      </c>
    </row>
    <row r="84" spans="1:2" x14ac:dyDescent="0.2">
      <c r="A84" s="2205" t="s">
        <v>7339</v>
      </c>
      <c r="B84" s="2205">
        <v>714.65</v>
      </c>
    </row>
    <row r="85" spans="1:2" x14ac:dyDescent="0.2">
      <c r="A85" s="2205" t="s">
        <v>7340</v>
      </c>
      <c r="B85" s="2205">
        <v>105.89</v>
      </c>
    </row>
    <row r="86" spans="1:2" x14ac:dyDescent="0.2">
      <c r="A86" s="2205" t="s">
        <v>7341</v>
      </c>
      <c r="B86" s="2205">
        <v>7212.2</v>
      </c>
    </row>
    <row r="87" spans="1:2" x14ac:dyDescent="0.2">
      <c r="A87" s="2205" t="s">
        <v>7342</v>
      </c>
      <c r="B87" s="2205">
        <v>370.5</v>
      </c>
    </row>
    <row r="88" spans="1:2" x14ac:dyDescent="0.2">
      <c r="A88" s="2205" t="s">
        <v>7343</v>
      </c>
      <c r="B88" s="2205">
        <v>199.5</v>
      </c>
    </row>
    <row r="89" spans="1:2" x14ac:dyDescent="0.2">
      <c r="A89" s="2205" t="s">
        <v>7344</v>
      </c>
      <c r="B89" s="2205">
        <v>113.76</v>
      </c>
    </row>
    <row r="90" spans="1:2" x14ac:dyDescent="0.2">
      <c r="A90" s="2205" t="s">
        <v>7345</v>
      </c>
      <c r="B90" s="2205">
        <v>6.01</v>
      </c>
    </row>
    <row r="91" spans="1:2" x14ac:dyDescent="0.2">
      <c r="A91" s="2205" t="s">
        <v>7346</v>
      </c>
      <c r="B91" s="2205">
        <v>57.75</v>
      </c>
    </row>
    <row r="92" spans="1:2" x14ac:dyDescent="0.2">
      <c r="A92" s="2205" t="s">
        <v>7347</v>
      </c>
      <c r="B92" s="2205">
        <v>1594.88</v>
      </c>
    </row>
    <row r="93" spans="1:2" x14ac:dyDescent="0.2">
      <c r="A93" s="2205" t="s">
        <v>7348</v>
      </c>
      <c r="B93" s="2205">
        <v>46013.81</v>
      </c>
    </row>
    <row r="94" spans="1:2" x14ac:dyDescent="0.2">
      <c r="A94" s="2205" t="s">
        <v>7349</v>
      </c>
      <c r="B94" s="2205">
        <v>925.59</v>
      </c>
    </row>
    <row r="95" spans="1:2" x14ac:dyDescent="0.2">
      <c r="A95" s="2205" t="s">
        <v>7350</v>
      </c>
      <c r="B95" s="2205">
        <v>125.73</v>
      </c>
    </row>
    <row r="96" spans="1:2" x14ac:dyDescent="0.2">
      <c r="A96" s="2205" t="s">
        <v>7351</v>
      </c>
      <c r="B96" s="2205">
        <v>14323.65</v>
      </c>
    </row>
    <row r="97" spans="1:2" x14ac:dyDescent="0.2">
      <c r="A97" s="2205" t="s">
        <v>7352</v>
      </c>
      <c r="B97" s="2205">
        <v>390.08</v>
      </c>
    </row>
    <row r="98" spans="1:2" x14ac:dyDescent="0.2">
      <c r="A98" s="2205" t="s">
        <v>7353</v>
      </c>
      <c r="B98" s="2205">
        <v>321.04000000000002</v>
      </c>
    </row>
    <row r="99" spans="1:2" x14ac:dyDescent="0.2">
      <c r="A99" s="2205" t="s">
        <v>7354</v>
      </c>
      <c r="B99" s="2205">
        <v>160.63</v>
      </c>
    </row>
    <row r="100" spans="1:2" x14ac:dyDescent="0.2">
      <c r="A100" s="2205" t="s">
        <v>7355</v>
      </c>
      <c r="B100" s="2205">
        <v>445.21</v>
      </c>
    </row>
    <row r="101" spans="1:2" x14ac:dyDescent="0.2">
      <c r="A101" s="2205" t="s">
        <v>7356</v>
      </c>
      <c r="B101" s="2205">
        <v>1291.5999999999999</v>
      </c>
    </row>
    <row r="102" spans="1:2" x14ac:dyDescent="0.2">
      <c r="A102" s="2205" t="s">
        <v>7357</v>
      </c>
      <c r="B102" s="2205">
        <v>9675.1200000000008</v>
      </c>
    </row>
    <row r="103" spans="1:2" x14ac:dyDescent="0.2">
      <c r="A103" s="2205" t="s">
        <v>7358</v>
      </c>
      <c r="B103" s="2205">
        <v>65.67</v>
      </c>
    </row>
    <row r="104" spans="1:2" x14ac:dyDescent="0.2">
      <c r="A104" s="2205" t="s">
        <v>7359</v>
      </c>
      <c r="B104" s="2205">
        <v>34.65</v>
      </c>
    </row>
    <row r="105" spans="1:2" x14ac:dyDescent="0.2">
      <c r="A105" s="2205" t="s">
        <v>7360</v>
      </c>
      <c r="B105" s="2205">
        <v>101.1</v>
      </c>
    </row>
    <row r="106" spans="1:2" x14ac:dyDescent="0.2">
      <c r="A106" s="2205" t="s">
        <v>7361</v>
      </c>
      <c r="B106" s="2205">
        <v>2509.13</v>
      </c>
    </row>
    <row r="107" spans="1:2" x14ac:dyDescent="0.2">
      <c r="A107" s="2205" t="s">
        <v>7362</v>
      </c>
      <c r="B107" s="2205">
        <v>4812.59</v>
      </c>
    </row>
    <row r="108" spans="1:2" x14ac:dyDescent="0.2">
      <c r="A108" s="2205" t="s">
        <v>7363</v>
      </c>
      <c r="B108" s="2205">
        <v>1473.77</v>
      </c>
    </row>
    <row r="109" spans="1:2" x14ac:dyDescent="0.2">
      <c r="A109" s="2205" t="s">
        <v>7364</v>
      </c>
      <c r="B109" s="2205">
        <v>2628.31</v>
      </c>
    </row>
    <row r="110" spans="1:2" x14ac:dyDescent="0.2">
      <c r="A110" s="2205" t="s">
        <v>7365</v>
      </c>
      <c r="B110" s="2205">
        <v>4002.58</v>
      </c>
    </row>
    <row r="111" spans="1:2" x14ac:dyDescent="0.2">
      <c r="A111" s="2205" t="s">
        <v>7366</v>
      </c>
      <c r="B111" s="2205">
        <v>16245.95</v>
      </c>
    </row>
    <row r="112" spans="1:2" x14ac:dyDescent="0.2">
      <c r="A112" s="2205" t="s">
        <v>7367</v>
      </c>
      <c r="B112" s="2205">
        <v>28584.63</v>
      </c>
    </row>
    <row r="113" spans="1:2" x14ac:dyDescent="0.2">
      <c r="A113" s="2205" t="s">
        <v>7368</v>
      </c>
      <c r="B113" s="2205">
        <v>12193.33</v>
      </c>
    </row>
    <row r="114" spans="1:2" x14ac:dyDescent="0.2">
      <c r="A114" s="2205" t="s">
        <v>7369</v>
      </c>
      <c r="B114" s="2205">
        <v>64202.41</v>
      </c>
    </row>
    <row r="115" spans="1:2" x14ac:dyDescent="0.2">
      <c r="A115" s="2205" t="s">
        <v>7370</v>
      </c>
      <c r="B115" s="2205">
        <v>40818.559999999998</v>
      </c>
    </row>
    <row r="116" spans="1:2" x14ac:dyDescent="0.2">
      <c r="A116" s="2205" t="s">
        <v>7371</v>
      </c>
      <c r="B116" s="2205">
        <v>2603.52</v>
      </c>
    </row>
    <row r="117" spans="1:2" x14ac:dyDescent="0.2">
      <c r="A117" s="2205" t="s">
        <v>7372</v>
      </c>
      <c r="B117" s="2205">
        <v>37.299999999999997</v>
      </c>
    </row>
    <row r="118" spans="1:2" x14ac:dyDescent="0.2">
      <c r="A118" s="2205" t="s">
        <v>7373</v>
      </c>
      <c r="B118" s="2205">
        <v>626.73</v>
      </c>
    </row>
    <row r="119" spans="1:2" x14ac:dyDescent="0.2">
      <c r="A119" s="2205" t="s">
        <v>7374</v>
      </c>
      <c r="B119" s="2205">
        <v>653.54</v>
      </c>
    </row>
    <row r="120" spans="1:2" x14ac:dyDescent="0.2">
      <c r="A120" s="2205" t="s">
        <v>7375</v>
      </c>
      <c r="B120" s="2205">
        <v>120.84</v>
      </c>
    </row>
    <row r="121" spans="1:2" x14ac:dyDescent="0.2">
      <c r="A121" s="2205" t="s">
        <v>7376</v>
      </c>
      <c r="B121" s="2205">
        <v>64508.25</v>
      </c>
    </row>
    <row r="122" spans="1:2" x14ac:dyDescent="0.2">
      <c r="A122" s="2205" t="s">
        <v>7377</v>
      </c>
      <c r="B122" s="2205">
        <v>54.09</v>
      </c>
    </row>
    <row r="123" spans="1:2" x14ac:dyDescent="0.2">
      <c r="A123" s="2205" t="s">
        <v>7378</v>
      </c>
      <c r="B123" s="2205">
        <v>204.34</v>
      </c>
    </row>
    <row r="124" spans="1:2" x14ac:dyDescent="0.2">
      <c r="A124" s="2205" t="s">
        <v>7379</v>
      </c>
      <c r="B124" s="2205">
        <v>36.06</v>
      </c>
    </row>
    <row r="125" spans="1:2" x14ac:dyDescent="0.2">
      <c r="A125" s="2205" t="s">
        <v>7380</v>
      </c>
      <c r="B125" s="2205">
        <v>76.64</v>
      </c>
    </row>
    <row r="126" spans="1:2" x14ac:dyDescent="0.2">
      <c r="A126" s="2205" t="s">
        <v>7381</v>
      </c>
      <c r="B126" s="2205">
        <v>1012.38</v>
      </c>
    </row>
    <row r="127" spans="1:2" x14ac:dyDescent="0.2">
      <c r="A127" s="2205" t="s">
        <v>7382</v>
      </c>
      <c r="B127" s="2205">
        <v>1368.94</v>
      </c>
    </row>
    <row r="128" spans="1:2" x14ac:dyDescent="0.2">
      <c r="A128" s="2205" t="s">
        <v>7383</v>
      </c>
      <c r="B128" s="2205">
        <v>34187.839999999997</v>
      </c>
    </row>
    <row r="129" spans="1:2" x14ac:dyDescent="0.2">
      <c r="A129" s="2205" t="s">
        <v>7384</v>
      </c>
      <c r="B129" s="2205">
        <v>119.55</v>
      </c>
    </row>
    <row r="130" spans="1:2" x14ac:dyDescent="0.2">
      <c r="A130" s="2205" t="s">
        <v>7385</v>
      </c>
      <c r="B130" s="2205">
        <v>162.33000000000001</v>
      </c>
    </row>
    <row r="131" spans="1:2" x14ac:dyDescent="0.2">
      <c r="A131" s="2205" t="s">
        <v>7386</v>
      </c>
      <c r="B131" s="2205">
        <v>9141.3799999999992</v>
      </c>
    </row>
    <row r="132" spans="1:2" x14ac:dyDescent="0.2">
      <c r="A132" s="2205" t="s">
        <v>7387</v>
      </c>
      <c r="B132" s="2205">
        <v>2111.38</v>
      </c>
    </row>
    <row r="133" spans="1:2" x14ac:dyDescent="0.2">
      <c r="A133" s="2205" t="s">
        <v>7388</v>
      </c>
      <c r="B133" s="2205">
        <v>2422.0500000000002</v>
      </c>
    </row>
    <row r="134" spans="1:2" x14ac:dyDescent="0.2">
      <c r="A134" s="2205" t="s">
        <v>7389</v>
      </c>
      <c r="B134" s="2205">
        <v>10531.64</v>
      </c>
    </row>
    <row r="135" spans="1:2" x14ac:dyDescent="0.2">
      <c r="A135" s="2205" t="s">
        <v>7390</v>
      </c>
      <c r="B135" s="2205">
        <v>65.08</v>
      </c>
    </row>
    <row r="136" spans="1:2" x14ac:dyDescent="0.2">
      <c r="A136" s="2205" t="s">
        <v>7391</v>
      </c>
      <c r="B136" s="2205">
        <v>421.78</v>
      </c>
    </row>
    <row r="137" spans="1:2" x14ac:dyDescent="0.2">
      <c r="A137" s="2205" t="s">
        <v>7392</v>
      </c>
      <c r="B137" s="2205">
        <v>2710.37</v>
      </c>
    </row>
    <row r="138" spans="1:2" x14ac:dyDescent="0.2">
      <c r="A138" s="2205" t="s">
        <v>7393</v>
      </c>
      <c r="B138" s="2205">
        <v>2280.52</v>
      </c>
    </row>
    <row r="139" spans="1:2" x14ac:dyDescent="0.2">
      <c r="A139" s="2205" t="s">
        <v>7394</v>
      </c>
      <c r="B139" s="2205">
        <v>1488.77</v>
      </c>
    </row>
    <row r="140" spans="1:2" x14ac:dyDescent="0.2">
      <c r="A140" s="2205" t="s">
        <v>7395</v>
      </c>
      <c r="B140" s="2205">
        <v>1541.13</v>
      </c>
    </row>
    <row r="141" spans="1:2" x14ac:dyDescent="0.2">
      <c r="A141" s="2205" t="s">
        <v>7396</v>
      </c>
      <c r="B141" s="2205">
        <v>1658.83</v>
      </c>
    </row>
    <row r="142" spans="1:2" x14ac:dyDescent="0.2">
      <c r="A142" s="2205" t="s">
        <v>7397</v>
      </c>
      <c r="B142" s="2205">
        <v>475.18</v>
      </c>
    </row>
    <row r="143" spans="1:2" x14ac:dyDescent="0.2">
      <c r="A143" s="2205" t="s">
        <v>7398</v>
      </c>
      <c r="B143" s="2205">
        <v>66.16</v>
      </c>
    </row>
    <row r="144" spans="1:2" x14ac:dyDescent="0.2">
      <c r="A144" s="2205" t="s">
        <v>7399</v>
      </c>
      <c r="B144" s="2205">
        <v>5123.08</v>
      </c>
    </row>
    <row r="145" spans="1:2" x14ac:dyDescent="0.2">
      <c r="A145" s="2205" t="s">
        <v>7400</v>
      </c>
      <c r="B145" s="2205">
        <v>1872.29</v>
      </c>
    </row>
    <row r="146" spans="1:2" x14ac:dyDescent="0.2">
      <c r="A146" s="2205" t="s">
        <v>7401</v>
      </c>
      <c r="B146" s="2205">
        <v>4298.5200000000004</v>
      </c>
    </row>
    <row r="147" spans="1:2" x14ac:dyDescent="0.2">
      <c r="A147" s="2205" t="s">
        <v>7402</v>
      </c>
      <c r="B147" s="2205">
        <v>470.34</v>
      </c>
    </row>
    <row r="148" spans="1:2" x14ac:dyDescent="0.2">
      <c r="A148" s="2205" t="s">
        <v>7403</v>
      </c>
      <c r="B148" s="2205">
        <v>322.83999999999997</v>
      </c>
    </row>
    <row r="149" spans="1:2" x14ac:dyDescent="0.2">
      <c r="A149" s="2205" t="s">
        <v>7404</v>
      </c>
      <c r="B149" s="2205">
        <v>273.36</v>
      </c>
    </row>
    <row r="150" spans="1:2" x14ac:dyDescent="0.2">
      <c r="A150" s="2205" t="s">
        <v>7405</v>
      </c>
      <c r="B150" s="2205">
        <v>69.989999999999995</v>
      </c>
    </row>
    <row r="151" spans="1:2" x14ac:dyDescent="0.2">
      <c r="A151" s="2205" t="s">
        <v>7406</v>
      </c>
      <c r="B151" s="2205">
        <v>86.59</v>
      </c>
    </row>
    <row r="152" spans="1:2" x14ac:dyDescent="0.2">
      <c r="A152" s="2205" t="s">
        <v>7407</v>
      </c>
      <c r="B152" s="2205">
        <v>278.33</v>
      </c>
    </row>
    <row r="153" spans="1:2" x14ac:dyDescent="0.2">
      <c r="A153" s="2205" t="s">
        <v>7408</v>
      </c>
      <c r="B153" s="2205">
        <v>21.65</v>
      </c>
    </row>
    <row r="154" spans="1:2" x14ac:dyDescent="0.2">
      <c r="A154" s="2205" t="s">
        <v>7409</v>
      </c>
      <c r="B154" s="2205">
        <v>128.72999999999999</v>
      </c>
    </row>
    <row r="155" spans="1:2" x14ac:dyDescent="0.2">
      <c r="A155" s="2205" t="s">
        <v>7410</v>
      </c>
      <c r="B155" s="2205">
        <v>1246.58</v>
      </c>
    </row>
    <row r="156" spans="1:2" x14ac:dyDescent="0.2">
      <c r="A156" s="2205" t="s">
        <v>7411</v>
      </c>
      <c r="B156" s="2205">
        <v>37.229999999999997</v>
      </c>
    </row>
    <row r="157" spans="1:2" x14ac:dyDescent="0.2">
      <c r="A157" s="2205" t="s">
        <v>7412</v>
      </c>
      <c r="B157" s="2205">
        <v>116.6</v>
      </c>
    </row>
    <row r="158" spans="1:2" x14ac:dyDescent="0.2">
      <c r="A158" s="2205" t="s">
        <v>7413</v>
      </c>
      <c r="B158" s="2205">
        <v>715.84</v>
      </c>
    </row>
    <row r="159" spans="1:2" x14ac:dyDescent="0.2">
      <c r="A159" s="2205" t="s">
        <v>7414</v>
      </c>
      <c r="B159" s="2205">
        <v>225.9</v>
      </c>
    </row>
    <row r="160" spans="1:2" x14ac:dyDescent="0.2">
      <c r="A160" s="2205" t="s">
        <v>7415</v>
      </c>
      <c r="B160" s="2205">
        <v>148.13</v>
      </c>
    </row>
    <row r="161" spans="1:2" x14ac:dyDescent="0.2">
      <c r="A161" s="2205" t="s">
        <v>7416</v>
      </c>
      <c r="B161" s="2205">
        <v>27.79</v>
      </c>
    </row>
    <row r="162" spans="1:2" x14ac:dyDescent="0.2">
      <c r="A162" s="2205" t="s">
        <v>7417</v>
      </c>
      <c r="B162" s="2205">
        <v>626.17999999999995</v>
      </c>
    </row>
    <row r="163" spans="1:2" x14ac:dyDescent="0.2">
      <c r="A163" s="2205" t="s">
        <v>7418</v>
      </c>
      <c r="B163" s="2205">
        <v>32.130000000000003</v>
      </c>
    </row>
    <row r="164" spans="1:2" x14ac:dyDescent="0.2">
      <c r="A164" s="2205" t="s">
        <v>7419</v>
      </c>
      <c r="B164" s="2205">
        <v>72.12</v>
      </c>
    </row>
    <row r="165" spans="1:2" x14ac:dyDescent="0.2">
      <c r="A165" s="2205" t="s">
        <v>7420</v>
      </c>
      <c r="B165" s="2205">
        <v>1118.5</v>
      </c>
    </row>
    <row r="166" spans="1:2" x14ac:dyDescent="0.2">
      <c r="A166" s="2205" t="s">
        <v>7421</v>
      </c>
      <c r="B166" s="2205">
        <v>909.93</v>
      </c>
    </row>
    <row r="167" spans="1:2" x14ac:dyDescent="0.2">
      <c r="A167" s="2205" t="s">
        <v>7422</v>
      </c>
      <c r="B167" s="2205">
        <v>2225.46</v>
      </c>
    </row>
    <row r="168" spans="1:2" x14ac:dyDescent="0.2">
      <c r="A168" s="2205" t="s">
        <v>7423</v>
      </c>
      <c r="B168" s="2205">
        <v>1591.28</v>
      </c>
    </row>
    <row r="169" spans="1:2" x14ac:dyDescent="0.2">
      <c r="A169" s="2205" t="s">
        <v>7424</v>
      </c>
      <c r="B169" s="2205">
        <v>4111.21</v>
      </c>
    </row>
    <row r="170" spans="1:2" x14ac:dyDescent="0.2">
      <c r="A170" s="2205" t="s">
        <v>7425</v>
      </c>
      <c r="B170" s="2205">
        <v>245</v>
      </c>
    </row>
    <row r="171" spans="1:2" x14ac:dyDescent="0.2">
      <c r="A171" s="2205" t="s">
        <v>7426</v>
      </c>
      <c r="B171" s="2205">
        <v>197.56</v>
      </c>
    </row>
    <row r="172" spans="1:2" x14ac:dyDescent="0.2">
      <c r="A172" s="2205" t="s">
        <v>7427</v>
      </c>
      <c r="B172" s="2205">
        <v>13565.96</v>
      </c>
    </row>
    <row r="173" spans="1:2" x14ac:dyDescent="0.2">
      <c r="A173" s="2205" t="s">
        <v>7428</v>
      </c>
      <c r="B173" s="2205">
        <v>45.02</v>
      </c>
    </row>
    <row r="174" spans="1:2" x14ac:dyDescent="0.2">
      <c r="A174" s="2205" t="s">
        <v>7429</v>
      </c>
      <c r="B174" s="2205">
        <v>652.46</v>
      </c>
    </row>
    <row r="175" spans="1:2" x14ac:dyDescent="0.2">
      <c r="A175" s="2205" t="s">
        <v>7430</v>
      </c>
      <c r="B175" s="2205">
        <v>3478.62</v>
      </c>
    </row>
    <row r="176" spans="1:2" x14ac:dyDescent="0.2">
      <c r="A176" s="2205" t="s">
        <v>7431</v>
      </c>
      <c r="B176" s="2205">
        <v>25912.92</v>
      </c>
    </row>
    <row r="177" spans="1:2" x14ac:dyDescent="0.2">
      <c r="A177" s="2205" t="s">
        <v>7432</v>
      </c>
      <c r="B177" s="2205">
        <v>319.63</v>
      </c>
    </row>
    <row r="178" spans="1:2" x14ac:dyDescent="0.2">
      <c r="A178" s="2205" t="s">
        <v>7433</v>
      </c>
      <c r="B178" s="2205">
        <v>63.53</v>
      </c>
    </row>
    <row r="179" spans="1:2" x14ac:dyDescent="0.2">
      <c r="A179" s="2205" t="s">
        <v>7434</v>
      </c>
      <c r="B179" s="2205">
        <v>120.2</v>
      </c>
    </row>
    <row r="180" spans="1:2" x14ac:dyDescent="0.2">
      <c r="A180" s="2205" t="s">
        <v>7435</v>
      </c>
      <c r="B180" s="2205">
        <v>1005</v>
      </c>
    </row>
    <row r="181" spans="1:2" x14ac:dyDescent="0.2">
      <c r="A181" s="2205" t="s">
        <v>7436</v>
      </c>
      <c r="B181" s="2205">
        <v>115.5</v>
      </c>
    </row>
    <row r="182" spans="1:2" x14ac:dyDescent="0.2">
      <c r="A182" s="2205" t="s">
        <v>7437</v>
      </c>
      <c r="B182" s="2205">
        <v>266</v>
      </c>
    </row>
    <row r="183" spans="1:2" x14ac:dyDescent="0.2">
      <c r="A183" s="2205" t="s">
        <v>7438</v>
      </c>
      <c r="B183" s="2205">
        <v>42.07</v>
      </c>
    </row>
    <row r="184" spans="1:2" x14ac:dyDescent="0.2">
      <c r="A184" s="2205" t="s">
        <v>7439</v>
      </c>
      <c r="B184" s="2205">
        <v>122.66</v>
      </c>
    </row>
    <row r="185" spans="1:2" x14ac:dyDescent="0.2">
      <c r="A185" s="2205" t="s">
        <v>7440</v>
      </c>
      <c r="B185" s="2205">
        <v>508.32</v>
      </c>
    </row>
    <row r="186" spans="1:2" x14ac:dyDescent="0.2">
      <c r="A186" s="2205" t="s">
        <v>7441</v>
      </c>
      <c r="B186" s="2205">
        <v>2796.42</v>
      </c>
    </row>
    <row r="187" spans="1:2" x14ac:dyDescent="0.2">
      <c r="A187" s="2205" t="s">
        <v>7442</v>
      </c>
      <c r="B187" s="2205">
        <v>332.11</v>
      </c>
    </row>
    <row r="188" spans="1:2" x14ac:dyDescent="0.2">
      <c r="A188" s="2205" t="s">
        <v>7443</v>
      </c>
      <c r="B188" s="2205">
        <v>593.99</v>
      </c>
    </row>
    <row r="189" spans="1:2" x14ac:dyDescent="0.2">
      <c r="A189" s="2205" t="s">
        <v>7444</v>
      </c>
      <c r="B189" s="2205">
        <v>225.49</v>
      </c>
    </row>
    <row r="190" spans="1:2" x14ac:dyDescent="0.2">
      <c r="A190" s="2205" t="s">
        <v>7445</v>
      </c>
      <c r="B190" s="2205">
        <v>82.06</v>
      </c>
    </row>
    <row r="191" spans="1:2" x14ac:dyDescent="0.2">
      <c r="A191" s="2205" t="s">
        <v>7446</v>
      </c>
      <c r="B191" s="2205">
        <v>3887.88</v>
      </c>
    </row>
    <row r="192" spans="1:2" x14ac:dyDescent="0.2">
      <c r="A192" s="2205" t="s">
        <v>7447</v>
      </c>
      <c r="B192" s="2205">
        <v>4871.97</v>
      </c>
    </row>
    <row r="193" spans="1:2" x14ac:dyDescent="0.2">
      <c r="A193" s="2205" t="s">
        <v>7448</v>
      </c>
      <c r="B193" s="2205">
        <v>1061.68</v>
      </c>
    </row>
    <row r="194" spans="1:2" x14ac:dyDescent="0.2">
      <c r="A194" s="2205" t="s">
        <v>7449</v>
      </c>
      <c r="B194" s="2205">
        <v>343.08</v>
      </c>
    </row>
    <row r="195" spans="1:2" x14ac:dyDescent="0.2">
      <c r="A195" s="2205" t="s">
        <v>7450</v>
      </c>
      <c r="B195" s="2205">
        <v>2748.39</v>
      </c>
    </row>
    <row r="196" spans="1:2" x14ac:dyDescent="0.2">
      <c r="A196" s="2205" t="s">
        <v>7451</v>
      </c>
      <c r="B196" s="2205">
        <v>552.77</v>
      </c>
    </row>
    <row r="197" spans="1:2" x14ac:dyDescent="0.2">
      <c r="A197" s="2205" t="s">
        <v>7452</v>
      </c>
      <c r="B197" s="2205">
        <v>841.24</v>
      </c>
    </row>
    <row r="198" spans="1:2" x14ac:dyDescent="0.2">
      <c r="A198" s="2205" t="s">
        <v>7453</v>
      </c>
      <c r="B198" s="2205">
        <v>126.82</v>
      </c>
    </row>
    <row r="199" spans="1:2" x14ac:dyDescent="0.2">
      <c r="A199" s="2205" t="s">
        <v>7454</v>
      </c>
      <c r="B199" s="2205">
        <v>322.44</v>
      </c>
    </row>
    <row r="200" spans="1:2" x14ac:dyDescent="0.2">
      <c r="A200" s="2205" t="s">
        <v>7455</v>
      </c>
      <c r="B200" s="2205">
        <v>237.05</v>
      </c>
    </row>
    <row r="201" spans="1:2" x14ac:dyDescent="0.2">
      <c r="A201" s="2205" t="s">
        <v>7456</v>
      </c>
      <c r="B201" s="2205">
        <v>807.12</v>
      </c>
    </row>
    <row r="202" spans="1:2" x14ac:dyDescent="0.2">
      <c r="A202" s="2205" t="s">
        <v>7457</v>
      </c>
      <c r="B202" s="2205">
        <v>187.87</v>
      </c>
    </row>
    <row r="203" spans="1:2" x14ac:dyDescent="0.2">
      <c r="A203" s="2205" t="s">
        <v>7458</v>
      </c>
      <c r="B203" s="2205">
        <v>472.73</v>
      </c>
    </row>
    <row r="204" spans="1:2" x14ac:dyDescent="0.2">
      <c r="A204" s="2205" t="s">
        <v>7459</v>
      </c>
      <c r="B204" s="2205">
        <v>91.7</v>
      </c>
    </row>
    <row r="205" spans="1:2" x14ac:dyDescent="0.2">
      <c r="A205" s="2205" t="s">
        <v>7460</v>
      </c>
      <c r="B205" s="2205">
        <v>4072.99</v>
      </c>
    </row>
    <row r="206" spans="1:2" x14ac:dyDescent="0.2">
      <c r="A206" s="2205" t="s">
        <v>7461</v>
      </c>
      <c r="B206" s="2205">
        <v>677.15</v>
      </c>
    </row>
    <row r="207" spans="1:2" x14ac:dyDescent="0.2">
      <c r="A207" s="2205" t="s">
        <v>7462</v>
      </c>
      <c r="B207" s="2205">
        <v>29.4</v>
      </c>
    </row>
    <row r="208" spans="1:2" x14ac:dyDescent="0.2">
      <c r="A208" s="2205" t="s">
        <v>7463</v>
      </c>
      <c r="B208" s="2205">
        <v>753.23</v>
      </c>
    </row>
    <row r="209" spans="1:2" x14ac:dyDescent="0.2">
      <c r="A209" s="2205" t="s">
        <v>7464</v>
      </c>
      <c r="B209" s="2205">
        <v>495.16</v>
      </c>
    </row>
    <row r="210" spans="1:2" x14ac:dyDescent="0.2">
      <c r="A210" s="2205" t="s">
        <v>7465</v>
      </c>
      <c r="B210" s="2205">
        <v>5153.07</v>
      </c>
    </row>
    <row r="211" spans="1:2" x14ac:dyDescent="0.2">
      <c r="A211" s="2205" t="s">
        <v>7466</v>
      </c>
      <c r="B211" s="2205">
        <v>384.48</v>
      </c>
    </row>
    <row r="212" spans="1:2" x14ac:dyDescent="0.2">
      <c r="A212" s="2205" t="s">
        <v>7467</v>
      </c>
      <c r="B212" s="2205">
        <v>8939.25</v>
      </c>
    </row>
    <row r="213" spans="1:2" x14ac:dyDescent="0.2">
      <c r="A213" s="2205" t="s">
        <v>7468</v>
      </c>
      <c r="B213" s="2205">
        <v>181.46</v>
      </c>
    </row>
    <row r="214" spans="1:2" x14ac:dyDescent="0.2">
      <c r="A214" s="2205" t="s">
        <v>7469</v>
      </c>
      <c r="B214" s="2205">
        <v>428.39</v>
      </c>
    </row>
    <row r="215" spans="1:2" x14ac:dyDescent="0.2">
      <c r="A215" s="2205" t="s">
        <v>7470</v>
      </c>
      <c r="B215" s="2205">
        <v>681.66</v>
      </c>
    </row>
    <row r="216" spans="1:2" x14ac:dyDescent="0.2">
      <c r="A216" s="2205" t="s">
        <v>7471</v>
      </c>
      <c r="B216" s="2205">
        <v>491.44</v>
      </c>
    </row>
    <row r="217" spans="1:2" x14ac:dyDescent="0.2">
      <c r="A217" s="2205" t="s">
        <v>7472</v>
      </c>
      <c r="B217" s="2205">
        <v>655.07000000000005</v>
      </c>
    </row>
    <row r="218" spans="1:2" x14ac:dyDescent="0.2">
      <c r="A218" s="2205" t="s">
        <v>7473</v>
      </c>
      <c r="B218" s="2205">
        <v>12.02</v>
      </c>
    </row>
    <row r="219" spans="1:2" x14ac:dyDescent="0.2">
      <c r="A219" s="2205" t="s">
        <v>7474</v>
      </c>
      <c r="B219" s="2205">
        <v>217.17</v>
      </c>
    </row>
    <row r="220" spans="1:2" x14ac:dyDescent="0.2">
      <c r="A220" s="2205" t="s">
        <v>7475</v>
      </c>
      <c r="B220" s="2205">
        <v>16890.7</v>
      </c>
    </row>
    <row r="221" spans="1:2" x14ac:dyDescent="0.2">
      <c r="A221" s="2205" t="s">
        <v>7476</v>
      </c>
      <c r="B221" s="2205">
        <v>3081.54</v>
      </c>
    </row>
    <row r="222" spans="1:2" x14ac:dyDescent="0.2">
      <c r="A222" s="2205" t="s">
        <v>7477</v>
      </c>
      <c r="B222" s="2205">
        <v>685.03</v>
      </c>
    </row>
    <row r="223" spans="1:2" x14ac:dyDescent="0.2">
      <c r="A223" s="2205" t="s">
        <v>7478</v>
      </c>
      <c r="B223" s="2205">
        <v>496.3</v>
      </c>
    </row>
    <row r="224" spans="1:2" x14ac:dyDescent="0.2">
      <c r="A224" s="2205" t="s">
        <v>7479</v>
      </c>
      <c r="B224" s="2205">
        <v>439.3</v>
      </c>
    </row>
    <row r="225" spans="1:2" x14ac:dyDescent="0.2">
      <c r="A225" s="2205" t="s">
        <v>7480</v>
      </c>
      <c r="B225" s="2205">
        <v>8662.18</v>
      </c>
    </row>
    <row r="226" spans="1:2" x14ac:dyDescent="0.2">
      <c r="A226" s="2205" t="s">
        <v>7481</v>
      </c>
      <c r="B226" s="2205">
        <v>14720.44</v>
      </c>
    </row>
    <row r="227" spans="1:2" x14ac:dyDescent="0.2">
      <c r="A227" s="2205" t="s">
        <v>7482</v>
      </c>
      <c r="B227" s="2205">
        <v>15128.99</v>
      </c>
    </row>
    <row r="228" spans="1:2" x14ac:dyDescent="0.2">
      <c r="A228" s="2205" t="s">
        <v>7483</v>
      </c>
      <c r="B228" s="2205">
        <v>152.66999999999999</v>
      </c>
    </row>
    <row r="229" spans="1:2" x14ac:dyDescent="0.2">
      <c r="A229" s="2205" t="s">
        <v>7484</v>
      </c>
      <c r="B229" s="2205">
        <v>373</v>
      </c>
    </row>
    <row r="230" spans="1:2" x14ac:dyDescent="0.2">
      <c r="A230" s="2205" t="s">
        <v>7485</v>
      </c>
      <c r="B230" s="2205">
        <v>19.3</v>
      </c>
    </row>
    <row r="231" spans="1:2" x14ac:dyDescent="0.2">
      <c r="A231" s="2205" t="s">
        <v>7486</v>
      </c>
      <c r="B231" s="2205">
        <v>651.84</v>
      </c>
    </row>
    <row r="232" spans="1:2" x14ac:dyDescent="0.2">
      <c r="A232" s="2205" t="s">
        <v>7487</v>
      </c>
      <c r="B232" s="2205">
        <v>308.32</v>
      </c>
    </row>
    <row r="233" spans="1:2" x14ac:dyDescent="0.2">
      <c r="A233" s="2205" t="s">
        <v>7488</v>
      </c>
      <c r="B233" s="2205">
        <v>349.92</v>
      </c>
    </row>
    <row r="234" spans="1:2" x14ac:dyDescent="0.2">
      <c r="A234" s="2205" t="s">
        <v>7489</v>
      </c>
      <c r="B234" s="2205">
        <v>1380.55</v>
      </c>
    </row>
    <row r="235" spans="1:2" x14ac:dyDescent="0.2">
      <c r="A235" s="2205" t="s">
        <v>7490</v>
      </c>
      <c r="B235" s="2205">
        <v>1464.37</v>
      </c>
    </row>
    <row r="236" spans="1:2" x14ac:dyDescent="0.2">
      <c r="A236" s="2205" t="s">
        <v>7491</v>
      </c>
      <c r="B236" s="2205">
        <v>496.45</v>
      </c>
    </row>
    <row r="237" spans="1:2" x14ac:dyDescent="0.2">
      <c r="A237" s="2205" t="s">
        <v>7492</v>
      </c>
      <c r="B237" s="2205">
        <v>988.46</v>
      </c>
    </row>
    <row r="238" spans="1:2" x14ac:dyDescent="0.2">
      <c r="A238" s="2205" t="s">
        <v>7493</v>
      </c>
      <c r="B238" s="2205">
        <v>1799.36</v>
      </c>
    </row>
    <row r="239" spans="1:2" x14ac:dyDescent="0.2">
      <c r="A239" s="2205" t="s">
        <v>7494</v>
      </c>
      <c r="B239" s="2205">
        <v>854.97</v>
      </c>
    </row>
    <row r="240" spans="1:2" x14ac:dyDescent="0.2">
      <c r="A240" s="2205" t="s">
        <v>7495</v>
      </c>
      <c r="B240" s="2205">
        <v>29.84</v>
      </c>
    </row>
    <row r="241" spans="1:2" x14ac:dyDescent="0.2">
      <c r="A241" s="2205" t="s">
        <v>7496</v>
      </c>
      <c r="B241" s="2205">
        <v>616.83000000000004</v>
      </c>
    </row>
    <row r="242" spans="1:2" x14ac:dyDescent="0.2">
      <c r="A242" s="2205" t="s">
        <v>7497</v>
      </c>
      <c r="B242" s="2205">
        <v>166.33</v>
      </c>
    </row>
    <row r="243" spans="1:2" x14ac:dyDescent="0.2">
      <c r="A243" s="2205" t="s">
        <v>7498</v>
      </c>
      <c r="B243" s="2205">
        <v>2.78</v>
      </c>
    </row>
    <row r="244" spans="1:2" x14ac:dyDescent="0.2">
      <c r="A244" s="2205" t="s">
        <v>7499</v>
      </c>
      <c r="B244" s="2205">
        <v>1554.25</v>
      </c>
    </row>
    <row r="245" spans="1:2" x14ac:dyDescent="0.2">
      <c r="A245" s="2205" t="s">
        <v>7500</v>
      </c>
      <c r="B245" s="2205">
        <v>25.16</v>
      </c>
    </row>
    <row r="246" spans="1:2" x14ac:dyDescent="0.2">
      <c r="A246" s="2205" t="s">
        <v>7501</v>
      </c>
      <c r="B246" s="2205">
        <v>491.4</v>
      </c>
    </row>
    <row r="247" spans="1:2" x14ac:dyDescent="0.2">
      <c r="A247" s="2205" t="s">
        <v>7502</v>
      </c>
      <c r="B247" s="2205">
        <v>858.65</v>
      </c>
    </row>
    <row r="248" spans="1:2" x14ac:dyDescent="0.2">
      <c r="A248" s="2205" t="s">
        <v>7503</v>
      </c>
      <c r="B248" s="2205">
        <v>2760.64</v>
      </c>
    </row>
    <row r="249" spans="1:2" x14ac:dyDescent="0.2">
      <c r="A249" s="2205" t="s">
        <v>7504</v>
      </c>
      <c r="B249" s="2205">
        <v>1355.9</v>
      </c>
    </row>
    <row r="250" spans="1:2" x14ac:dyDescent="0.2">
      <c r="A250" s="2205" t="s">
        <v>7505</v>
      </c>
      <c r="B250" s="2205">
        <v>1039.42</v>
      </c>
    </row>
    <row r="251" spans="1:2" x14ac:dyDescent="0.2">
      <c r="A251" s="2205" t="s">
        <v>7506</v>
      </c>
      <c r="B251" s="2205">
        <v>1310.1400000000001</v>
      </c>
    </row>
    <row r="252" spans="1:2" x14ac:dyDescent="0.2">
      <c r="A252" s="2205" t="s">
        <v>7507</v>
      </c>
      <c r="B252" s="2205">
        <v>101.15</v>
      </c>
    </row>
    <row r="253" spans="1:2" x14ac:dyDescent="0.2">
      <c r="A253" s="2205" t="s">
        <v>7508</v>
      </c>
      <c r="B253" s="2205">
        <v>156.82</v>
      </c>
    </row>
    <row r="254" spans="1:2" x14ac:dyDescent="0.2">
      <c r="A254" s="2205" t="s">
        <v>7509</v>
      </c>
      <c r="B254" s="2205">
        <v>442.91</v>
      </c>
    </row>
    <row r="255" spans="1:2" x14ac:dyDescent="0.2">
      <c r="A255" s="2205" t="s">
        <v>7510</v>
      </c>
      <c r="B255" s="2205">
        <v>105.08</v>
      </c>
    </row>
    <row r="256" spans="1:2" x14ac:dyDescent="0.2">
      <c r="A256" s="2205" t="s">
        <v>7511</v>
      </c>
      <c r="B256" s="2205">
        <v>637.25</v>
      </c>
    </row>
    <row r="257" spans="1:2" x14ac:dyDescent="0.2">
      <c r="A257" s="2205" t="s">
        <v>7512</v>
      </c>
      <c r="B257" s="2205">
        <v>1273.4000000000001</v>
      </c>
    </row>
    <row r="258" spans="1:2" x14ac:dyDescent="0.2">
      <c r="A258" s="2205" t="s">
        <v>7513</v>
      </c>
      <c r="B258" s="2205">
        <v>1478.96</v>
      </c>
    </row>
    <row r="259" spans="1:2" x14ac:dyDescent="0.2">
      <c r="A259" s="2205" t="s">
        <v>7514</v>
      </c>
      <c r="B259" s="2205">
        <v>704.43</v>
      </c>
    </row>
    <row r="260" spans="1:2" x14ac:dyDescent="0.2">
      <c r="A260" s="2205" t="s">
        <v>7515</v>
      </c>
      <c r="B260" s="2205">
        <v>57.89</v>
      </c>
    </row>
    <row r="261" spans="1:2" x14ac:dyDescent="0.2">
      <c r="A261" s="2205" t="s">
        <v>7516</v>
      </c>
      <c r="B261" s="2205">
        <v>14.43</v>
      </c>
    </row>
    <row r="262" spans="1:2" x14ac:dyDescent="0.2">
      <c r="A262" s="2205" t="s">
        <v>7517</v>
      </c>
      <c r="B262" s="2205">
        <v>6644.06</v>
      </c>
    </row>
    <row r="263" spans="1:2" x14ac:dyDescent="0.2">
      <c r="A263" s="2205" t="s">
        <v>7518</v>
      </c>
      <c r="B263" s="2205">
        <v>778.45</v>
      </c>
    </row>
    <row r="264" spans="1:2" x14ac:dyDescent="0.2">
      <c r="A264" s="2205" t="s">
        <v>7519</v>
      </c>
      <c r="B264" s="2205">
        <v>31701.8</v>
      </c>
    </row>
    <row r="265" spans="1:2" x14ac:dyDescent="0.2">
      <c r="A265" s="2205" t="s">
        <v>7520</v>
      </c>
      <c r="B265" s="2205">
        <v>808.31</v>
      </c>
    </row>
    <row r="266" spans="1:2" x14ac:dyDescent="0.2">
      <c r="A266" s="2205" t="s">
        <v>7521</v>
      </c>
      <c r="B266" s="2205">
        <v>7602.99</v>
      </c>
    </row>
    <row r="267" spans="1:2" x14ac:dyDescent="0.2">
      <c r="A267" s="2205" t="s">
        <v>7522</v>
      </c>
      <c r="B267" s="2205">
        <v>810.4</v>
      </c>
    </row>
    <row r="268" spans="1:2" x14ac:dyDescent="0.2">
      <c r="A268" s="2205" t="s">
        <v>7523</v>
      </c>
      <c r="B268" s="2205">
        <v>3725.59</v>
      </c>
    </row>
    <row r="269" spans="1:2" x14ac:dyDescent="0.2">
      <c r="A269" s="2205" t="s">
        <v>7524</v>
      </c>
      <c r="B269" s="2205">
        <v>98.18</v>
      </c>
    </row>
    <row r="270" spans="1:2" x14ac:dyDescent="0.2">
      <c r="A270" s="2205" t="s">
        <v>7525</v>
      </c>
      <c r="B270" s="2205">
        <v>321.31</v>
      </c>
    </row>
    <row r="271" spans="1:2" x14ac:dyDescent="0.2">
      <c r="A271" s="2205" t="s">
        <v>7526</v>
      </c>
      <c r="B271" s="2205">
        <v>5771.77</v>
      </c>
    </row>
    <row r="272" spans="1:2" x14ac:dyDescent="0.2">
      <c r="A272" s="2205" t="s">
        <v>7527</v>
      </c>
      <c r="B272" s="2205">
        <v>115.66</v>
      </c>
    </row>
    <row r="273" spans="1:2" x14ac:dyDescent="0.2">
      <c r="A273" s="2205" t="s">
        <v>7528</v>
      </c>
      <c r="B273" s="2205">
        <v>330.96</v>
      </c>
    </row>
    <row r="274" spans="1:2" x14ac:dyDescent="0.2">
      <c r="A274" s="2205" t="s">
        <v>7529</v>
      </c>
      <c r="B274" s="2205">
        <v>237.53</v>
      </c>
    </row>
    <row r="275" spans="1:2" x14ac:dyDescent="0.2">
      <c r="A275" s="2205" t="s">
        <v>7530</v>
      </c>
      <c r="B275" s="2205">
        <v>335.58</v>
      </c>
    </row>
    <row r="276" spans="1:2" x14ac:dyDescent="0.2">
      <c r="A276" s="2205" t="s">
        <v>7531</v>
      </c>
      <c r="B276" s="2205">
        <v>295.32</v>
      </c>
    </row>
    <row r="277" spans="1:2" x14ac:dyDescent="0.2">
      <c r="A277" s="2205" t="s">
        <v>7532</v>
      </c>
      <c r="B277" s="2205">
        <v>600.04999999999995</v>
      </c>
    </row>
    <row r="278" spans="1:2" x14ac:dyDescent="0.2">
      <c r="A278" s="2205" t="s">
        <v>7533</v>
      </c>
      <c r="B278" s="2205">
        <v>514.86</v>
      </c>
    </row>
    <row r="279" spans="1:2" x14ac:dyDescent="0.2">
      <c r="A279" s="2205" t="s">
        <v>7534</v>
      </c>
      <c r="B279" s="2205">
        <v>56.14</v>
      </c>
    </row>
    <row r="280" spans="1:2" x14ac:dyDescent="0.2">
      <c r="A280" s="2205" t="s">
        <v>7535</v>
      </c>
      <c r="B280" s="2205">
        <v>14.43</v>
      </c>
    </row>
    <row r="281" spans="1:2" x14ac:dyDescent="0.2">
      <c r="A281" s="2205" t="s">
        <v>7536</v>
      </c>
      <c r="B281" s="2205">
        <v>315</v>
      </c>
    </row>
    <row r="282" spans="1:2" x14ac:dyDescent="0.2">
      <c r="A282" s="2205" t="s">
        <v>7537</v>
      </c>
      <c r="B282" s="2205">
        <v>3887.38</v>
      </c>
    </row>
    <row r="283" spans="1:2" x14ac:dyDescent="0.2">
      <c r="A283" s="2205" t="s">
        <v>7538</v>
      </c>
      <c r="B283" s="2205">
        <v>48.08</v>
      </c>
    </row>
    <row r="284" spans="1:2" x14ac:dyDescent="0.2">
      <c r="A284" s="2205" t="s">
        <v>7539</v>
      </c>
      <c r="B284" s="2205">
        <v>281.49</v>
      </c>
    </row>
    <row r="285" spans="1:2" x14ac:dyDescent="0.2">
      <c r="A285" s="2205" t="s">
        <v>7540</v>
      </c>
      <c r="B285" s="2205">
        <v>109.96</v>
      </c>
    </row>
    <row r="286" spans="1:2" x14ac:dyDescent="0.2">
      <c r="A286" s="2205" t="s">
        <v>7541</v>
      </c>
      <c r="B286" s="2205">
        <v>1742.43</v>
      </c>
    </row>
    <row r="287" spans="1:2" x14ac:dyDescent="0.2">
      <c r="A287" s="2205" t="s">
        <v>7542</v>
      </c>
      <c r="B287" s="2205">
        <v>5934.35</v>
      </c>
    </row>
    <row r="288" spans="1:2" x14ac:dyDescent="0.2">
      <c r="A288" s="2205" t="s">
        <v>7543</v>
      </c>
      <c r="B288" s="2205">
        <v>1118.5899999999999</v>
      </c>
    </row>
    <row r="289" spans="1:2" x14ac:dyDescent="0.2">
      <c r="A289" s="2205" t="s">
        <v>7544</v>
      </c>
      <c r="B289" s="2205">
        <v>2733.83</v>
      </c>
    </row>
    <row r="290" spans="1:2" x14ac:dyDescent="0.2">
      <c r="A290" s="2205" t="s">
        <v>7545</v>
      </c>
      <c r="B290" s="2205">
        <v>3668.69</v>
      </c>
    </row>
    <row r="291" spans="1:2" x14ac:dyDescent="0.2">
      <c r="A291" s="2205" t="s">
        <v>7546</v>
      </c>
      <c r="B291" s="2205">
        <v>57</v>
      </c>
    </row>
    <row r="292" spans="1:2" x14ac:dyDescent="0.2">
      <c r="A292" s="2205" t="s">
        <v>7547</v>
      </c>
      <c r="B292" s="2205">
        <v>23.52</v>
      </c>
    </row>
    <row r="293" spans="1:2" x14ac:dyDescent="0.2">
      <c r="A293" s="2205" t="s">
        <v>7548</v>
      </c>
      <c r="B293" s="2205">
        <v>29.08</v>
      </c>
    </row>
    <row r="294" spans="1:2" x14ac:dyDescent="0.2">
      <c r="A294" s="2205" t="s">
        <v>7549</v>
      </c>
      <c r="B294" s="2205">
        <v>10140.9</v>
      </c>
    </row>
    <row r="295" spans="1:2" x14ac:dyDescent="0.2">
      <c r="A295" s="2205" t="s">
        <v>7550</v>
      </c>
      <c r="B295" s="2205">
        <v>167.23</v>
      </c>
    </row>
    <row r="296" spans="1:2" x14ac:dyDescent="0.2">
      <c r="A296" s="2205" t="s">
        <v>7551</v>
      </c>
      <c r="B296" s="2205">
        <v>2165.1999999999998</v>
      </c>
    </row>
    <row r="297" spans="1:2" x14ac:dyDescent="0.2">
      <c r="A297" s="2205" t="s">
        <v>7552</v>
      </c>
      <c r="B297" s="2205">
        <v>3183.33</v>
      </c>
    </row>
    <row r="298" spans="1:2" x14ac:dyDescent="0.2">
      <c r="A298" s="2205" t="s">
        <v>7553</v>
      </c>
      <c r="B298" s="2205">
        <v>382.02</v>
      </c>
    </row>
    <row r="299" spans="1:2" x14ac:dyDescent="0.2">
      <c r="A299" s="2205" t="s">
        <v>7554</v>
      </c>
      <c r="B299" s="2205">
        <v>12403.27</v>
      </c>
    </row>
    <row r="300" spans="1:2" x14ac:dyDescent="0.2">
      <c r="A300" s="2205" t="s">
        <v>7555</v>
      </c>
      <c r="B300" s="2205">
        <v>10816.56</v>
      </c>
    </row>
    <row r="301" spans="1:2" x14ac:dyDescent="0.2">
      <c r="A301" s="2205" t="s">
        <v>7556</v>
      </c>
      <c r="B301" s="2205">
        <v>849.56</v>
      </c>
    </row>
    <row r="302" spans="1:2" x14ac:dyDescent="0.2">
      <c r="A302" s="2205" t="s">
        <v>7557</v>
      </c>
      <c r="B302" s="2205">
        <v>281.19</v>
      </c>
    </row>
    <row r="303" spans="1:2" x14ac:dyDescent="0.2">
      <c r="A303" s="2205" t="s">
        <v>7558</v>
      </c>
      <c r="B303" s="2205">
        <v>107.12</v>
      </c>
    </row>
    <row r="304" spans="1:2" x14ac:dyDescent="0.2">
      <c r="A304" s="2205" t="s">
        <v>7559</v>
      </c>
      <c r="B304" s="2205">
        <v>7393.4</v>
      </c>
    </row>
    <row r="305" spans="1:2" x14ac:dyDescent="0.2">
      <c r="A305" s="2205" t="s">
        <v>7560</v>
      </c>
      <c r="B305" s="2205">
        <v>1420.58</v>
      </c>
    </row>
    <row r="306" spans="1:2" x14ac:dyDescent="0.2">
      <c r="A306" s="2205" t="s">
        <v>7561</v>
      </c>
      <c r="B306" s="2205">
        <v>3827.54</v>
      </c>
    </row>
    <row r="307" spans="1:2" x14ac:dyDescent="0.2">
      <c r="A307" s="2205" t="s">
        <v>7562</v>
      </c>
      <c r="B307" s="2205">
        <v>8997.2099999999991</v>
      </c>
    </row>
    <row r="308" spans="1:2" x14ac:dyDescent="0.2">
      <c r="A308" s="2205" t="s">
        <v>7563</v>
      </c>
      <c r="B308" s="2205">
        <v>3513.93</v>
      </c>
    </row>
    <row r="309" spans="1:2" x14ac:dyDescent="0.2">
      <c r="A309" s="2205" t="s">
        <v>7564</v>
      </c>
      <c r="B309" s="2205">
        <v>102.17</v>
      </c>
    </row>
    <row r="310" spans="1:2" x14ac:dyDescent="0.2">
      <c r="A310" s="2205" t="s">
        <v>7565</v>
      </c>
      <c r="B310" s="2205">
        <v>3487.68</v>
      </c>
    </row>
    <row r="311" spans="1:2" x14ac:dyDescent="0.2">
      <c r="A311" s="2205" t="s">
        <v>7566</v>
      </c>
      <c r="B311" s="2205">
        <v>14774.71</v>
      </c>
    </row>
    <row r="312" spans="1:2" x14ac:dyDescent="0.2">
      <c r="A312" s="2205" t="s">
        <v>7567</v>
      </c>
      <c r="B312" s="2205">
        <v>20768.62</v>
      </c>
    </row>
    <row r="313" spans="1:2" x14ac:dyDescent="0.2">
      <c r="A313" s="2205" t="s">
        <v>7568</v>
      </c>
      <c r="B313" s="2205">
        <v>17757.939999999999</v>
      </c>
    </row>
    <row r="314" spans="1:2" x14ac:dyDescent="0.2">
      <c r="A314" s="2205" t="s">
        <v>7569</v>
      </c>
      <c r="B314" s="2205">
        <v>459.07</v>
      </c>
    </row>
    <row r="315" spans="1:2" x14ac:dyDescent="0.2">
      <c r="A315" s="2205" t="s">
        <v>7570</v>
      </c>
      <c r="B315" s="2205">
        <v>38379.82</v>
      </c>
    </row>
    <row r="316" spans="1:2" x14ac:dyDescent="0.2">
      <c r="A316" s="2205" t="s">
        <v>7571</v>
      </c>
      <c r="B316" s="2205">
        <v>33</v>
      </c>
    </row>
    <row r="317" spans="1:2" x14ac:dyDescent="0.2">
      <c r="A317" s="2205" t="s">
        <v>7572</v>
      </c>
      <c r="B317" s="2205">
        <v>861.53</v>
      </c>
    </row>
    <row r="318" spans="1:2" x14ac:dyDescent="0.2">
      <c r="A318" s="2205" t="s">
        <v>7573</v>
      </c>
      <c r="B318" s="2205">
        <v>2513.02</v>
      </c>
    </row>
    <row r="319" spans="1:2" x14ac:dyDescent="0.2">
      <c r="A319" s="2205" t="s">
        <v>7574</v>
      </c>
      <c r="B319" s="2205">
        <v>7098.82</v>
      </c>
    </row>
    <row r="320" spans="1:2" x14ac:dyDescent="0.2">
      <c r="A320" s="2205" t="s">
        <v>7575</v>
      </c>
      <c r="B320" s="2205">
        <v>2661.02</v>
      </c>
    </row>
    <row r="321" spans="1:2" x14ac:dyDescent="0.2">
      <c r="A321" s="2205" t="s">
        <v>7576</v>
      </c>
      <c r="B321" s="2205">
        <v>1942.78</v>
      </c>
    </row>
    <row r="322" spans="1:2" x14ac:dyDescent="0.2">
      <c r="A322" s="2205" t="s">
        <v>7577</v>
      </c>
      <c r="B322" s="2205">
        <v>2242.7399999999998</v>
      </c>
    </row>
    <row r="323" spans="1:2" x14ac:dyDescent="0.2">
      <c r="A323" s="2205" t="s">
        <v>7578</v>
      </c>
      <c r="B323" s="2205">
        <v>2472.0300000000002</v>
      </c>
    </row>
    <row r="324" spans="1:2" x14ac:dyDescent="0.2">
      <c r="A324" s="2205" t="s">
        <v>7579</v>
      </c>
      <c r="B324" s="2205">
        <v>707.57</v>
      </c>
    </row>
    <row r="325" spans="1:2" x14ac:dyDescent="0.2">
      <c r="A325" s="2205" t="s">
        <v>7580</v>
      </c>
      <c r="B325" s="2205">
        <v>1215.68</v>
      </c>
    </row>
    <row r="326" spans="1:2" x14ac:dyDescent="0.2">
      <c r="A326" s="2205" t="s">
        <v>7581</v>
      </c>
      <c r="B326" s="2205">
        <v>6978.53</v>
      </c>
    </row>
    <row r="327" spans="1:2" x14ac:dyDescent="0.2">
      <c r="A327" s="2205" t="s">
        <v>7582</v>
      </c>
      <c r="B327" s="2205">
        <v>14565.71</v>
      </c>
    </row>
    <row r="328" spans="1:2" x14ac:dyDescent="0.2">
      <c r="A328" s="2205" t="s">
        <v>7583</v>
      </c>
      <c r="B328" s="2205">
        <v>10675.61</v>
      </c>
    </row>
    <row r="329" spans="1:2" x14ac:dyDescent="0.2">
      <c r="A329" s="2205" t="s">
        <v>7584</v>
      </c>
      <c r="B329" s="2205">
        <v>4275.24</v>
      </c>
    </row>
    <row r="330" spans="1:2" x14ac:dyDescent="0.2">
      <c r="A330" s="2205" t="s">
        <v>7585</v>
      </c>
      <c r="B330" s="2205">
        <v>541.51</v>
      </c>
    </row>
    <row r="331" spans="1:2" x14ac:dyDescent="0.2">
      <c r="A331" s="2205" t="s">
        <v>7586</v>
      </c>
      <c r="B331" s="2205">
        <v>177.35</v>
      </c>
    </row>
    <row r="332" spans="1:2" x14ac:dyDescent="0.2">
      <c r="A332" s="2205" t="s">
        <v>7587</v>
      </c>
      <c r="B332" s="2205">
        <v>6047.13</v>
      </c>
    </row>
    <row r="333" spans="1:2" x14ac:dyDescent="0.2">
      <c r="A333" s="2205" t="s">
        <v>7588</v>
      </c>
      <c r="B333" s="2205">
        <v>1228</v>
      </c>
    </row>
    <row r="334" spans="1:2" x14ac:dyDescent="0.2">
      <c r="A334" s="2205" t="s">
        <v>7589</v>
      </c>
      <c r="B334" s="2205">
        <v>1157.17</v>
      </c>
    </row>
    <row r="335" spans="1:2" x14ac:dyDescent="0.2">
      <c r="A335" s="2205" t="s">
        <v>7590</v>
      </c>
      <c r="B335" s="2205">
        <v>6.43</v>
      </c>
    </row>
    <row r="336" spans="1:2" x14ac:dyDescent="0.2">
      <c r="A336" s="2205" t="s">
        <v>7591</v>
      </c>
      <c r="B336" s="2205">
        <v>198.35</v>
      </c>
    </row>
    <row r="337" spans="1:2" x14ac:dyDescent="0.2">
      <c r="A337" s="2205" t="s">
        <v>7592</v>
      </c>
      <c r="B337" s="2205">
        <v>12.85</v>
      </c>
    </row>
    <row r="338" spans="1:2" x14ac:dyDescent="0.2">
      <c r="A338" s="2205" t="s">
        <v>7593</v>
      </c>
      <c r="B338" s="2205">
        <v>18.86</v>
      </c>
    </row>
    <row r="339" spans="1:2" x14ac:dyDescent="0.2">
      <c r="A339" s="2205" t="s">
        <v>7594</v>
      </c>
      <c r="B339" s="2205">
        <v>843.53</v>
      </c>
    </row>
    <row r="340" spans="1:2" x14ac:dyDescent="0.2">
      <c r="A340" s="2205" t="s">
        <v>7595</v>
      </c>
      <c r="B340" s="2205">
        <v>157.08000000000001</v>
      </c>
    </row>
    <row r="341" spans="1:2" x14ac:dyDescent="0.2">
      <c r="A341" s="2205" t="s">
        <v>7596</v>
      </c>
      <c r="B341" s="2205">
        <v>24.82</v>
      </c>
    </row>
    <row r="342" spans="1:2" x14ac:dyDescent="0.2">
      <c r="A342" s="2205" t="s">
        <v>7597</v>
      </c>
      <c r="B342" s="2205">
        <v>4612.68</v>
      </c>
    </row>
    <row r="343" spans="1:2" x14ac:dyDescent="0.2">
      <c r="A343" s="2205" t="s">
        <v>7598</v>
      </c>
      <c r="B343" s="2205">
        <v>2395.67</v>
      </c>
    </row>
    <row r="344" spans="1:2" x14ac:dyDescent="0.2">
      <c r="A344" s="2205" t="s">
        <v>7599</v>
      </c>
      <c r="B344" s="2205">
        <v>4430.6000000000004</v>
      </c>
    </row>
    <row r="345" spans="1:2" x14ac:dyDescent="0.2">
      <c r="A345" s="2205" t="s">
        <v>7600</v>
      </c>
      <c r="B345" s="2205">
        <v>2737.31</v>
      </c>
    </row>
    <row r="346" spans="1:2" x14ac:dyDescent="0.2">
      <c r="A346" s="2205" t="s">
        <v>7601</v>
      </c>
      <c r="B346" s="2205">
        <v>6521.5</v>
      </c>
    </row>
    <row r="347" spans="1:2" x14ac:dyDescent="0.2">
      <c r="A347" s="2205" t="s">
        <v>7602</v>
      </c>
      <c r="B347" s="2205">
        <v>7326.49</v>
      </c>
    </row>
    <row r="348" spans="1:2" x14ac:dyDescent="0.2">
      <c r="A348" s="2205" t="s">
        <v>7603</v>
      </c>
      <c r="B348" s="2205">
        <v>2505.8200000000002</v>
      </c>
    </row>
    <row r="349" spans="1:2" x14ac:dyDescent="0.2">
      <c r="A349" s="2205" t="s">
        <v>7604</v>
      </c>
      <c r="B349" s="2205">
        <v>10944.02</v>
      </c>
    </row>
    <row r="350" spans="1:2" x14ac:dyDescent="0.2">
      <c r="A350" s="2205" t="s">
        <v>7605</v>
      </c>
      <c r="B350" s="2205">
        <v>2633.61</v>
      </c>
    </row>
    <row r="351" spans="1:2" x14ac:dyDescent="0.2">
      <c r="A351" s="2205" t="s">
        <v>7606</v>
      </c>
      <c r="B351" s="2205">
        <v>512.53</v>
      </c>
    </row>
    <row r="352" spans="1:2" x14ac:dyDescent="0.2">
      <c r="A352" s="2205" t="s">
        <v>7607</v>
      </c>
      <c r="B352" s="2205">
        <v>829.68</v>
      </c>
    </row>
    <row r="353" spans="1:2" x14ac:dyDescent="0.2">
      <c r="A353" s="2205" t="s">
        <v>7608</v>
      </c>
      <c r="B353" s="2205">
        <v>20373.39</v>
      </c>
    </row>
    <row r="354" spans="1:2" x14ac:dyDescent="0.2">
      <c r="A354" s="2205" t="s">
        <v>7609</v>
      </c>
      <c r="B354" s="2205">
        <v>417.14</v>
      </c>
    </row>
    <row r="355" spans="1:2" x14ac:dyDescent="0.2">
      <c r="A355" s="2205" t="s">
        <v>7610</v>
      </c>
      <c r="B355" s="2205">
        <v>2284.39</v>
      </c>
    </row>
    <row r="356" spans="1:2" x14ac:dyDescent="0.2">
      <c r="A356" s="2205" t="s">
        <v>7611</v>
      </c>
      <c r="B356" s="2205">
        <v>338.02</v>
      </c>
    </row>
    <row r="357" spans="1:2" x14ac:dyDescent="0.2">
      <c r="A357" s="2205" t="s">
        <v>7612</v>
      </c>
      <c r="B357" s="2205">
        <v>7163.36</v>
      </c>
    </row>
    <row r="358" spans="1:2" x14ac:dyDescent="0.2">
      <c r="A358" s="2205" t="s">
        <v>7613</v>
      </c>
      <c r="B358" s="2205">
        <v>2499.3200000000002</v>
      </c>
    </row>
    <row r="359" spans="1:2" x14ac:dyDescent="0.2">
      <c r="A359" s="2205" t="s">
        <v>7614</v>
      </c>
      <c r="B359" s="2205">
        <v>5135.84</v>
      </c>
    </row>
    <row r="360" spans="1:2" x14ac:dyDescent="0.2">
      <c r="A360" s="2205" t="s">
        <v>7615</v>
      </c>
      <c r="B360" s="2205">
        <v>6449.29</v>
      </c>
    </row>
    <row r="361" spans="1:2" x14ac:dyDescent="0.2">
      <c r="A361" s="2205" t="s">
        <v>7616</v>
      </c>
      <c r="B361" s="2205">
        <v>7465.83</v>
      </c>
    </row>
    <row r="362" spans="1:2" x14ac:dyDescent="0.2">
      <c r="A362" s="2205" t="s">
        <v>7617</v>
      </c>
      <c r="B362" s="2205">
        <v>1047.6099999999999</v>
      </c>
    </row>
    <row r="363" spans="1:2" x14ac:dyDescent="0.2">
      <c r="A363" s="2205" t="s">
        <v>7618</v>
      </c>
      <c r="B363" s="2205">
        <v>254.18</v>
      </c>
    </row>
    <row r="364" spans="1:2" x14ac:dyDescent="0.2">
      <c r="A364" s="2205" t="s">
        <v>7619</v>
      </c>
      <c r="B364" s="2205">
        <v>78.13</v>
      </c>
    </row>
    <row r="365" spans="1:2" x14ac:dyDescent="0.2">
      <c r="A365" s="2205" t="s">
        <v>7620</v>
      </c>
      <c r="B365" s="2205">
        <v>94.3</v>
      </c>
    </row>
    <row r="366" spans="1:2" x14ac:dyDescent="0.2">
      <c r="A366" s="2205" t="s">
        <v>7621</v>
      </c>
      <c r="B366" s="2205">
        <v>38.549999999999997</v>
      </c>
    </row>
    <row r="367" spans="1:2" x14ac:dyDescent="0.2">
      <c r="A367" s="2205" t="s">
        <v>7622</v>
      </c>
      <c r="B367" s="2205">
        <v>1486.87</v>
      </c>
    </row>
    <row r="368" spans="1:2" x14ac:dyDescent="0.2">
      <c r="A368" s="2205" t="s">
        <v>7623</v>
      </c>
      <c r="B368" s="2205">
        <v>4664.3599999999997</v>
      </c>
    </row>
    <row r="369" spans="1:2" x14ac:dyDescent="0.2">
      <c r="A369" s="2205" t="s">
        <v>7624</v>
      </c>
      <c r="B369" s="2205">
        <v>29.08</v>
      </c>
    </row>
    <row r="370" spans="1:2" x14ac:dyDescent="0.2">
      <c r="A370" s="2205" t="s">
        <v>7625</v>
      </c>
      <c r="B370" s="2205">
        <v>71.78</v>
      </c>
    </row>
    <row r="371" spans="1:2" x14ac:dyDescent="0.2">
      <c r="A371" s="2205" t="s">
        <v>7626</v>
      </c>
      <c r="B371" s="2205">
        <v>982.36</v>
      </c>
    </row>
    <row r="372" spans="1:2" x14ac:dyDescent="0.2">
      <c r="A372" s="2205" t="s">
        <v>7627</v>
      </c>
      <c r="B372" s="2205">
        <v>29.6</v>
      </c>
    </row>
    <row r="373" spans="1:2" x14ac:dyDescent="0.2">
      <c r="A373" s="2205" t="s">
        <v>7628</v>
      </c>
      <c r="B373" s="2205">
        <v>439.1</v>
      </c>
    </row>
    <row r="374" spans="1:2" x14ac:dyDescent="0.2">
      <c r="A374" s="2205" t="s">
        <v>7629</v>
      </c>
      <c r="B374" s="2205">
        <v>519.63</v>
      </c>
    </row>
    <row r="375" spans="1:2" x14ac:dyDescent="0.2">
      <c r="A375" s="2205" t="s">
        <v>7630</v>
      </c>
      <c r="B375" s="2205">
        <v>372.65</v>
      </c>
    </row>
    <row r="376" spans="1:2" x14ac:dyDescent="0.2">
      <c r="A376" s="2205" t="s">
        <v>7631</v>
      </c>
      <c r="B376" s="2205">
        <v>6.01</v>
      </c>
    </row>
    <row r="377" spans="1:2" x14ac:dyDescent="0.2">
      <c r="A377" s="2205" t="s">
        <v>7632</v>
      </c>
      <c r="B377" s="2205">
        <v>0</v>
      </c>
    </row>
    <row r="378" spans="1:2" x14ac:dyDescent="0.2">
      <c r="A378" s="2205" t="s">
        <v>7633</v>
      </c>
      <c r="B378" s="2205">
        <v>0</v>
      </c>
    </row>
    <row r="379" spans="1:2" x14ac:dyDescent="0.2">
      <c r="A379" s="2205" t="s">
        <v>7634</v>
      </c>
      <c r="B379" s="2205">
        <v>12.02</v>
      </c>
    </row>
    <row r="380" spans="1:2" x14ac:dyDescent="0.2">
      <c r="A380" s="2205" t="s">
        <v>7635</v>
      </c>
      <c r="B380" s="2205">
        <v>150.25</v>
      </c>
    </row>
    <row r="381" spans="1:2" x14ac:dyDescent="0.2">
      <c r="A381" s="2205" t="s">
        <v>7636</v>
      </c>
      <c r="B381" s="2205">
        <v>174.29</v>
      </c>
    </row>
    <row r="382" spans="1:2" x14ac:dyDescent="0.2">
      <c r="A382" s="2205" t="s">
        <v>7637</v>
      </c>
      <c r="B382" s="2205">
        <v>1372.56</v>
      </c>
    </row>
    <row r="383" spans="1:2" x14ac:dyDescent="0.2">
      <c r="A383" s="2205" t="s">
        <v>7638</v>
      </c>
      <c r="B383" s="2205">
        <v>31.26</v>
      </c>
    </row>
    <row r="384" spans="1:2" x14ac:dyDescent="0.2">
      <c r="A384" s="2205" t="s">
        <v>7639</v>
      </c>
      <c r="B384" s="2205">
        <v>248.92</v>
      </c>
    </row>
    <row r="385" spans="1:2" x14ac:dyDescent="0.2">
      <c r="A385" s="2205" t="s">
        <v>7640</v>
      </c>
      <c r="B385" s="2205">
        <v>192.95</v>
      </c>
    </row>
    <row r="386" spans="1:2" x14ac:dyDescent="0.2">
      <c r="A386" s="2205" t="s">
        <v>7641</v>
      </c>
      <c r="B386" s="2205">
        <v>114.7</v>
      </c>
    </row>
    <row r="387" spans="1:2" x14ac:dyDescent="0.2">
      <c r="A387" s="2205" t="s">
        <v>7642</v>
      </c>
      <c r="B387" s="2205">
        <v>926.96</v>
      </c>
    </row>
    <row r="388" spans="1:2" x14ac:dyDescent="0.2">
      <c r="A388" s="2205" t="s">
        <v>7643</v>
      </c>
      <c r="B388" s="2205">
        <v>57.89</v>
      </c>
    </row>
    <row r="389" spans="1:2" x14ac:dyDescent="0.2">
      <c r="A389" s="2205" t="s">
        <v>7644</v>
      </c>
      <c r="B389" s="2205">
        <v>63.17</v>
      </c>
    </row>
    <row r="390" spans="1:2" x14ac:dyDescent="0.2">
      <c r="A390" s="2205" t="s">
        <v>7645</v>
      </c>
      <c r="B390" s="2205">
        <v>3151.5</v>
      </c>
    </row>
    <row r="391" spans="1:2" x14ac:dyDescent="0.2">
      <c r="A391" s="2205" t="s">
        <v>7646</v>
      </c>
      <c r="B391" s="2205">
        <v>1107.1099999999999</v>
      </c>
    </row>
    <row r="392" spans="1:2" x14ac:dyDescent="0.2">
      <c r="A392" s="2205" t="s">
        <v>7647</v>
      </c>
      <c r="B392" s="2205">
        <v>338.2</v>
      </c>
    </row>
    <row r="393" spans="1:2" x14ac:dyDescent="0.2">
      <c r="A393" s="2205" t="s">
        <v>7648</v>
      </c>
      <c r="B393" s="2205">
        <v>528.17999999999995</v>
      </c>
    </row>
    <row r="394" spans="1:2" x14ac:dyDescent="0.2">
      <c r="A394" s="2205" t="s">
        <v>7649</v>
      </c>
      <c r="B394" s="2205">
        <v>115.02</v>
      </c>
    </row>
    <row r="395" spans="1:2" x14ac:dyDescent="0.2">
      <c r="A395" s="2205" t="s">
        <v>7650</v>
      </c>
      <c r="B395" s="2205">
        <v>427.02</v>
      </c>
    </row>
    <row r="396" spans="1:2" x14ac:dyDescent="0.2">
      <c r="A396" s="2205" t="s">
        <v>7651</v>
      </c>
      <c r="B396" s="2205">
        <v>944.38</v>
      </c>
    </row>
    <row r="397" spans="1:2" x14ac:dyDescent="0.2">
      <c r="A397" s="2205" t="s">
        <v>7652</v>
      </c>
      <c r="B397" s="2205">
        <v>60.99</v>
      </c>
    </row>
    <row r="398" spans="1:2" x14ac:dyDescent="0.2">
      <c r="A398" s="2205" t="s">
        <v>7653</v>
      </c>
      <c r="B398" s="2205">
        <v>110.62</v>
      </c>
    </row>
    <row r="399" spans="1:2" x14ac:dyDescent="0.2">
      <c r="A399" s="2205" t="s">
        <v>7654</v>
      </c>
      <c r="B399" s="2205">
        <v>55.31</v>
      </c>
    </row>
    <row r="400" spans="1:2" x14ac:dyDescent="0.2">
      <c r="A400" s="2205" t="s">
        <v>7655</v>
      </c>
      <c r="B400" s="2205">
        <v>285</v>
      </c>
    </row>
    <row r="401" spans="1:2" x14ac:dyDescent="0.2">
      <c r="A401" s="2205" t="s">
        <v>7656</v>
      </c>
      <c r="B401" s="2205">
        <v>242.25</v>
      </c>
    </row>
    <row r="402" spans="1:2" x14ac:dyDescent="0.2">
      <c r="A402" s="2205" t="s">
        <v>7657</v>
      </c>
      <c r="B402" s="2205">
        <v>1040.05</v>
      </c>
    </row>
    <row r="403" spans="1:2" x14ac:dyDescent="0.2">
      <c r="A403" s="2205" t="s">
        <v>7658</v>
      </c>
      <c r="B403" s="2205">
        <v>1263.4000000000001</v>
      </c>
    </row>
    <row r="404" spans="1:2" x14ac:dyDescent="0.2">
      <c r="A404" s="2205" t="s">
        <v>7659</v>
      </c>
      <c r="B404" s="2205">
        <v>5723.91</v>
      </c>
    </row>
    <row r="405" spans="1:2" x14ac:dyDescent="0.2">
      <c r="A405" s="2205" t="s">
        <v>7660</v>
      </c>
      <c r="B405" s="2205">
        <v>242.55</v>
      </c>
    </row>
    <row r="406" spans="1:2" x14ac:dyDescent="0.2">
      <c r="A406" s="2205" t="s">
        <v>7661</v>
      </c>
      <c r="B406" s="2205">
        <v>2632.92</v>
      </c>
    </row>
    <row r="407" spans="1:2" x14ac:dyDescent="0.2">
      <c r="A407" s="2205" t="s">
        <v>7662</v>
      </c>
      <c r="B407" s="2205">
        <v>1326.57</v>
      </c>
    </row>
    <row r="408" spans="1:2" x14ac:dyDescent="0.2">
      <c r="A408" s="2205" t="s">
        <v>7663</v>
      </c>
      <c r="B408" s="2205">
        <v>2521.1999999999998</v>
      </c>
    </row>
    <row r="409" spans="1:2" x14ac:dyDescent="0.2">
      <c r="A409" s="2205" t="s">
        <v>7664</v>
      </c>
      <c r="B409" s="2205">
        <v>244.06</v>
      </c>
    </row>
    <row r="410" spans="1:2" x14ac:dyDescent="0.2">
      <c r="A410" s="2205" t="s">
        <v>7665</v>
      </c>
      <c r="B410" s="2205">
        <v>140.08000000000001</v>
      </c>
    </row>
    <row r="411" spans="1:2" x14ac:dyDescent="0.2">
      <c r="A411" s="2205" t="s">
        <v>7666</v>
      </c>
      <c r="B411" s="2205">
        <v>114.56</v>
      </c>
    </row>
    <row r="412" spans="1:2" x14ac:dyDescent="0.2">
      <c r="A412" s="2205" t="s">
        <v>7667</v>
      </c>
      <c r="B412" s="2205">
        <v>746.62</v>
      </c>
    </row>
    <row r="413" spans="1:2" x14ac:dyDescent="0.2">
      <c r="A413" s="2205" t="s">
        <v>7668</v>
      </c>
      <c r="B413" s="2205">
        <v>501.98</v>
      </c>
    </row>
    <row r="414" spans="1:2" x14ac:dyDescent="0.2">
      <c r="A414" s="2205" t="s">
        <v>7669</v>
      </c>
      <c r="B414" s="2205">
        <v>193.01</v>
      </c>
    </row>
    <row r="415" spans="1:2" x14ac:dyDescent="0.2">
      <c r="A415" s="2205" t="s">
        <v>7670</v>
      </c>
      <c r="B415" s="2205">
        <v>34.65</v>
      </c>
    </row>
    <row r="416" spans="1:2" x14ac:dyDescent="0.2">
      <c r="A416" s="2205" t="s">
        <v>7671</v>
      </c>
      <c r="B416" s="2205">
        <v>41.2</v>
      </c>
    </row>
    <row r="417" spans="1:2" x14ac:dyDescent="0.2">
      <c r="A417" s="2205" t="s">
        <v>7672</v>
      </c>
      <c r="B417" s="2205">
        <v>315.85000000000002</v>
      </c>
    </row>
    <row r="418" spans="1:2" x14ac:dyDescent="0.2">
      <c r="A418" s="2205" t="s">
        <v>7673</v>
      </c>
      <c r="B418" s="2205">
        <v>156.75</v>
      </c>
    </row>
    <row r="419" spans="1:2" x14ac:dyDescent="0.2">
      <c r="A419" s="2205" t="s">
        <v>7674</v>
      </c>
      <c r="B419" s="2205">
        <v>244.65</v>
      </c>
    </row>
    <row r="420" spans="1:2" x14ac:dyDescent="0.2">
      <c r="A420" s="2205" t="s">
        <v>7675</v>
      </c>
      <c r="B420" s="2205">
        <v>183.87</v>
      </c>
    </row>
    <row r="421" spans="1:2" x14ac:dyDescent="0.2">
      <c r="A421" s="2205" t="s">
        <v>7676</v>
      </c>
      <c r="B421" s="2205">
        <v>121.32</v>
      </c>
    </row>
    <row r="422" spans="1:2" x14ac:dyDescent="0.2">
      <c r="A422" s="2205" t="s">
        <v>7677</v>
      </c>
      <c r="B422" s="2205">
        <v>90.15</v>
      </c>
    </row>
    <row r="423" spans="1:2" x14ac:dyDescent="0.2">
      <c r="A423" s="2205" t="s">
        <v>7678</v>
      </c>
      <c r="B423" s="2205">
        <v>59.86</v>
      </c>
    </row>
    <row r="424" spans="1:2" x14ac:dyDescent="0.2">
      <c r="A424" s="2205" t="s">
        <v>7679</v>
      </c>
      <c r="B424" s="2205">
        <v>12.85</v>
      </c>
    </row>
    <row r="425" spans="1:2" x14ac:dyDescent="0.2">
      <c r="A425" s="2205" t="s">
        <v>7680</v>
      </c>
      <c r="B425" s="2205">
        <v>857.65</v>
      </c>
    </row>
    <row r="426" spans="1:2" x14ac:dyDescent="0.2">
      <c r="A426" s="2205" t="s">
        <v>7681</v>
      </c>
      <c r="B426" s="2205">
        <v>1539.88</v>
      </c>
    </row>
    <row r="427" spans="1:2" x14ac:dyDescent="0.2">
      <c r="A427" s="2205" t="s">
        <v>7682</v>
      </c>
      <c r="B427" s="2205">
        <v>18.03</v>
      </c>
    </row>
    <row r="428" spans="1:2" x14ac:dyDescent="0.2">
      <c r="A428" s="2205" t="s">
        <v>7683</v>
      </c>
      <c r="B428" s="2205">
        <v>48.21</v>
      </c>
    </row>
    <row r="429" spans="1:2" x14ac:dyDescent="0.2">
      <c r="A429" s="2205" t="s">
        <v>7684</v>
      </c>
      <c r="B429" s="2205">
        <v>32.130000000000003</v>
      </c>
    </row>
    <row r="430" spans="1:2" x14ac:dyDescent="0.2">
      <c r="A430" s="2205" t="s">
        <v>7685</v>
      </c>
      <c r="B430" s="2205">
        <v>13755.09</v>
      </c>
    </row>
    <row r="431" spans="1:2" x14ac:dyDescent="0.2">
      <c r="A431" s="2205" t="s">
        <v>7686</v>
      </c>
      <c r="B431" s="2205">
        <v>285.44</v>
      </c>
    </row>
    <row r="432" spans="1:2" x14ac:dyDescent="0.2">
      <c r="A432" s="2205" t="s">
        <v>7687</v>
      </c>
      <c r="B432" s="2205">
        <v>5572.35</v>
      </c>
    </row>
    <row r="433" spans="1:2" x14ac:dyDescent="0.2">
      <c r="A433" s="2205" t="s">
        <v>7688</v>
      </c>
      <c r="B433" s="2205">
        <v>8852.7000000000007</v>
      </c>
    </row>
    <row r="434" spans="1:2" x14ac:dyDescent="0.2">
      <c r="A434" s="2205" t="s">
        <v>7689</v>
      </c>
      <c r="B434" s="2205">
        <v>2584.69</v>
      </c>
    </row>
    <row r="435" spans="1:2" x14ac:dyDescent="0.2">
      <c r="A435" s="2205" t="s">
        <v>7690</v>
      </c>
      <c r="B435" s="2205">
        <v>5681.44</v>
      </c>
    </row>
    <row r="436" spans="1:2" x14ac:dyDescent="0.2">
      <c r="A436" s="2205" t="s">
        <v>7691</v>
      </c>
      <c r="B436" s="2205">
        <v>2447.92</v>
      </c>
    </row>
    <row r="437" spans="1:2" x14ac:dyDescent="0.2">
      <c r="A437" s="2205" t="s">
        <v>7692</v>
      </c>
      <c r="B437" s="2205">
        <v>5941.05</v>
      </c>
    </row>
    <row r="438" spans="1:2" x14ac:dyDescent="0.2">
      <c r="A438" s="2205" t="s">
        <v>7693</v>
      </c>
      <c r="B438" s="2205">
        <v>1236.5999999999999</v>
      </c>
    </row>
    <row r="439" spans="1:2" x14ac:dyDescent="0.2">
      <c r="A439" s="2205" t="s">
        <v>7694</v>
      </c>
      <c r="B439" s="2205">
        <v>6443.66</v>
      </c>
    </row>
    <row r="440" spans="1:2" x14ac:dyDescent="0.2">
      <c r="A440" s="2205" t="s">
        <v>7695</v>
      </c>
      <c r="B440" s="2205">
        <v>9501.69</v>
      </c>
    </row>
    <row r="441" spans="1:2" x14ac:dyDescent="0.2">
      <c r="A441" s="2205" t="s">
        <v>7696</v>
      </c>
      <c r="B441" s="2205">
        <v>2336.79</v>
      </c>
    </row>
    <row r="442" spans="1:2" x14ac:dyDescent="0.2">
      <c r="A442" s="2205" t="s">
        <v>7697</v>
      </c>
      <c r="B442" s="2205">
        <v>2995.14</v>
      </c>
    </row>
    <row r="443" spans="1:2" x14ac:dyDescent="0.2">
      <c r="A443" s="2205" t="s">
        <v>7698</v>
      </c>
      <c r="B443" s="2205">
        <v>3658.73</v>
      </c>
    </row>
    <row r="444" spans="1:2" x14ac:dyDescent="0.2">
      <c r="A444" s="2205" t="s">
        <v>7699</v>
      </c>
      <c r="B444" s="2205">
        <v>135.07</v>
      </c>
    </row>
    <row r="445" spans="1:2" x14ac:dyDescent="0.2">
      <c r="A445" s="2205" t="s">
        <v>7700</v>
      </c>
      <c r="B445" s="2205">
        <v>516.53</v>
      </c>
    </row>
    <row r="446" spans="1:2" x14ac:dyDescent="0.2">
      <c r="A446" s="2205" t="s">
        <v>7701</v>
      </c>
      <c r="B446" s="2205">
        <v>2655.57</v>
      </c>
    </row>
    <row r="447" spans="1:2" x14ac:dyDescent="0.2">
      <c r="A447" s="2205" t="s">
        <v>7702</v>
      </c>
      <c r="B447" s="2205">
        <v>7576.62</v>
      </c>
    </row>
    <row r="448" spans="1:2" x14ac:dyDescent="0.2">
      <c r="A448" s="2205" t="s">
        <v>7703</v>
      </c>
      <c r="B448" s="2205">
        <v>5005.5600000000004</v>
      </c>
    </row>
    <row r="449" spans="1:2" x14ac:dyDescent="0.2">
      <c r="A449" s="2205" t="s">
        <v>7704</v>
      </c>
      <c r="B449" s="2205">
        <v>729.21</v>
      </c>
    </row>
    <row r="450" spans="1:2" x14ac:dyDescent="0.2">
      <c r="A450" s="2205" t="s">
        <v>7705</v>
      </c>
      <c r="B450" s="2205">
        <v>1398.13</v>
      </c>
    </row>
    <row r="451" spans="1:2" x14ac:dyDescent="0.2">
      <c r="A451" s="2205" t="s">
        <v>7706</v>
      </c>
      <c r="B451" s="2205">
        <v>15003.99</v>
      </c>
    </row>
    <row r="452" spans="1:2" x14ac:dyDescent="0.2">
      <c r="A452" s="2205" t="s">
        <v>7707</v>
      </c>
      <c r="B452" s="2205">
        <v>1567.64</v>
      </c>
    </row>
    <row r="453" spans="1:2" x14ac:dyDescent="0.2">
      <c r="A453" s="2205" t="s">
        <v>7708</v>
      </c>
      <c r="B453" s="2205">
        <v>899.1</v>
      </c>
    </row>
    <row r="454" spans="1:2" x14ac:dyDescent="0.2">
      <c r="A454" s="2205" t="s">
        <v>7709</v>
      </c>
      <c r="B454" s="2205">
        <v>202.5</v>
      </c>
    </row>
    <row r="455" spans="1:2" x14ac:dyDescent="0.2">
      <c r="A455" s="2205" t="s">
        <v>7710</v>
      </c>
      <c r="B455" s="2205">
        <v>1551.56</v>
      </c>
    </row>
    <row r="456" spans="1:2" x14ac:dyDescent="0.2">
      <c r="A456" s="2205" t="s">
        <v>7711</v>
      </c>
      <c r="B456" s="2205">
        <v>2981.52</v>
      </c>
    </row>
    <row r="457" spans="1:2" x14ac:dyDescent="0.2">
      <c r="A457" s="2205" t="s">
        <v>7712</v>
      </c>
      <c r="B457" s="2205">
        <v>5479.29</v>
      </c>
    </row>
    <row r="458" spans="1:2" x14ac:dyDescent="0.2">
      <c r="A458" s="2205" t="s">
        <v>7713</v>
      </c>
      <c r="B458" s="2205">
        <v>191.35</v>
      </c>
    </row>
    <row r="459" spans="1:2" x14ac:dyDescent="0.2">
      <c r="A459" s="2205" t="s">
        <v>7714</v>
      </c>
      <c r="B459" s="2205">
        <v>81.680000000000007</v>
      </c>
    </row>
    <row r="460" spans="1:2" x14ac:dyDescent="0.2">
      <c r="A460" s="2205" t="s">
        <v>7715</v>
      </c>
      <c r="B460" s="2205">
        <v>1841.03</v>
      </c>
    </row>
    <row r="461" spans="1:2" x14ac:dyDescent="0.2">
      <c r="A461" s="2205" t="s">
        <v>7716</v>
      </c>
      <c r="B461" s="2205">
        <v>389.89</v>
      </c>
    </row>
    <row r="462" spans="1:2" x14ac:dyDescent="0.2">
      <c r="A462" s="2205" t="s">
        <v>7717</v>
      </c>
      <c r="B462" s="2205">
        <v>4671.58</v>
      </c>
    </row>
    <row r="463" spans="1:2" x14ac:dyDescent="0.2">
      <c r="A463" s="2205" t="s">
        <v>7718</v>
      </c>
      <c r="B463" s="2205">
        <v>4403.72</v>
      </c>
    </row>
    <row r="464" spans="1:2" x14ac:dyDescent="0.2">
      <c r="A464" s="2205" t="s">
        <v>7719</v>
      </c>
      <c r="B464" s="2205">
        <v>20981.32</v>
      </c>
    </row>
    <row r="465" spans="1:2" x14ac:dyDescent="0.2">
      <c r="A465" s="2205" t="s">
        <v>7720</v>
      </c>
      <c r="B465" s="2205">
        <v>8195.2999999999993</v>
      </c>
    </row>
    <row r="466" spans="1:2" x14ac:dyDescent="0.2">
      <c r="A466" s="2205" t="s">
        <v>7721</v>
      </c>
      <c r="B466" s="2205">
        <v>7836.81</v>
      </c>
    </row>
    <row r="467" spans="1:2" x14ac:dyDescent="0.2">
      <c r="A467" s="2205" t="s">
        <v>7722</v>
      </c>
      <c r="B467" s="2205">
        <v>3172.7</v>
      </c>
    </row>
    <row r="468" spans="1:2" x14ac:dyDescent="0.2">
      <c r="A468" s="2205" t="s">
        <v>7723</v>
      </c>
      <c r="B468" s="2205">
        <v>4394.55</v>
      </c>
    </row>
    <row r="469" spans="1:2" x14ac:dyDescent="0.2">
      <c r="A469" s="2205" t="s">
        <v>7724</v>
      </c>
      <c r="B469" s="2205">
        <v>18237.61</v>
      </c>
    </row>
    <row r="470" spans="1:2" x14ac:dyDescent="0.2">
      <c r="A470" s="2205" t="s">
        <v>7725</v>
      </c>
      <c r="B470" s="2205">
        <v>2078.6999999999998</v>
      </c>
    </row>
    <row r="471" spans="1:2" x14ac:dyDescent="0.2">
      <c r="A471" s="2205" t="s">
        <v>7726</v>
      </c>
      <c r="B471" s="2205">
        <v>856.8</v>
      </c>
    </row>
    <row r="472" spans="1:2" x14ac:dyDescent="0.2">
      <c r="A472" s="2205" t="s">
        <v>7727</v>
      </c>
      <c r="B472" s="2205">
        <v>29.19</v>
      </c>
    </row>
    <row r="473" spans="1:2" x14ac:dyDescent="0.2">
      <c r="A473" s="2205" t="s">
        <v>7728</v>
      </c>
      <c r="B473" s="2205">
        <v>216.74</v>
      </c>
    </row>
    <row r="474" spans="1:2" x14ac:dyDescent="0.2">
      <c r="A474" s="2205" t="s">
        <v>7729</v>
      </c>
      <c r="B474" s="2205">
        <v>10187.74</v>
      </c>
    </row>
    <row r="475" spans="1:2" x14ac:dyDescent="0.2">
      <c r="A475" s="2205" t="s">
        <v>7730</v>
      </c>
      <c r="B475" s="2205">
        <v>18.03</v>
      </c>
    </row>
    <row r="476" spans="1:2" x14ac:dyDescent="0.2">
      <c r="A476" s="2205" t="s">
        <v>7731</v>
      </c>
      <c r="B476" s="2205">
        <v>1784.4</v>
      </c>
    </row>
    <row r="477" spans="1:2" x14ac:dyDescent="0.2">
      <c r="A477" s="2205" t="s">
        <v>7732</v>
      </c>
      <c r="B477" s="2205">
        <v>209.03</v>
      </c>
    </row>
    <row r="478" spans="1:2" x14ac:dyDescent="0.2">
      <c r="A478" s="2205" t="s">
        <v>7733</v>
      </c>
      <c r="B478" s="2205">
        <v>1587.08</v>
      </c>
    </row>
    <row r="479" spans="1:2" x14ac:dyDescent="0.2">
      <c r="A479" s="2205" t="s">
        <v>7734</v>
      </c>
      <c r="B479" s="2205">
        <v>12839.91</v>
      </c>
    </row>
    <row r="480" spans="1:2" x14ac:dyDescent="0.2">
      <c r="A480" s="2205" t="s">
        <v>7735</v>
      </c>
      <c r="B480" s="2205">
        <v>212.25</v>
      </c>
    </row>
    <row r="481" spans="1:2" x14ac:dyDescent="0.2">
      <c r="A481" s="2205" t="s">
        <v>7736</v>
      </c>
      <c r="B481" s="2205">
        <v>440.04</v>
      </c>
    </row>
    <row r="482" spans="1:2" x14ac:dyDescent="0.2">
      <c r="A482" s="2205" t="s">
        <v>7737</v>
      </c>
      <c r="B482" s="2205">
        <v>3212.61</v>
      </c>
    </row>
    <row r="483" spans="1:2" x14ac:dyDescent="0.2">
      <c r="A483" s="2205" t="s">
        <v>7738</v>
      </c>
      <c r="B483" s="2205">
        <v>69177.259999999995</v>
      </c>
    </row>
    <row r="484" spans="1:2" x14ac:dyDescent="0.2">
      <c r="A484" s="2205" t="s">
        <v>7739</v>
      </c>
      <c r="B484" s="2205">
        <v>522.5</v>
      </c>
    </row>
    <row r="485" spans="1:2" x14ac:dyDescent="0.2">
      <c r="A485" s="2205" t="s">
        <v>7740</v>
      </c>
      <c r="B485" s="2205">
        <v>2377.5100000000002</v>
      </c>
    </row>
    <row r="486" spans="1:2" x14ac:dyDescent="0.2">
      <c r="A486" s="2205" t="s">
        <v>7741</v>
      </c>
      <c r="B486" s="2205">
        <v>39887.760000000002</v>
      </c>
    </row>
    <row r="487" spans="1:2" x14ac:dyDescent="0.2">
      <c r="A487" s="2205" t="s">
        <v>7742</v>
      </c>
      <c r="B487" s="2205">
        <v>110.76</v>
      </c>
    </row>
    <row r="488" spans="1:2" x14ac:dyDescent="0.2">
      <c r="A488" s="2205" t="s">
        <v>7743</v>
      </c>
      <c r="B488" s="2205">
        <v>5406.88</v>
      </c>
    </row>
    <row r="489" spans="1:2" x14ac:dyDescent="0.2">
      <c r="A489" s="2205" t="s">
        <v>7744</v>
      </c>
      <c r="B489" s="2205">
        <v>23.1</v>
      </c>
    </row>
    <row r="490" spans="1:2" x14ac:dyDescent="0.2">
      <c r="A490" s="2205" t="s">
        <v>7745</v>
      </c>
      <c r="B490" s="2205">
        <v>10552.96</v>
      </c>
    </row>
    <row r="491" spans="1:2" x14ac:dyDescent="0.2">
      <c r="A491" s="2205" t="s">
        <v>7746</v>
      </c>
      <c r="B491" s="2205">
        <v>41.81</v>
      </c>
    </row>
    <row r="492" spans="1:2" x14ac:dyDescent="0.2">
      <c r="A492" s="2205" t="s">
        <v>7747</v>
      </c>
      <c r="B492" s="2205">
        <v>10302.6</v>
      </c>
    </row>
    <row r="493" spans="1:2" x14ac:dyDescent="0.2">
      <c r="A493" s="2205" t="s">
        <v>7748</v>
      </c>
      <c r="B493" s="2205">
        <v>30.47</v>
      </c>
    </row>
    <row r="494" spans="1:2" x14ac:dyDescent="0.2">
      <c r="A494" s="2205" t="s">
        <v>7749</v>
      </c>
      <c r="B494" s="2205">
        <v>1543.16</v>
      </c>
    </row>
    <row r="495" spans="1:2" x14ac:dyDescent="0.2">
      <c r="A495" s="2205" t="s">
        <v>7750</v>
      </c>
      <c r="B495" s="2205">
        <v>29.58</v>
      </c>
    </row>
    <row r="496" spans="1:2" x14ac:dyDescent="0.2">
      <c r="A496" s="2205" t="s">
        <v>7751</v>
      </c>
      <c r="B496" s="2205">
        <v>378.67</v>
      </c>
    </row>
    <row r="497" spans="1:2" x14ac:dyDescent="0.2">
      <c r="A497" s="2205" t="s">
        <v>7752</v>
      </c>
      <c r="B497" s="2205">
        <v>250.66</v>
      </c>
    </row>
    <row r="498" spans="1:2" x14ac:dyDescent="0.2">
      <c r="A498" s="2205" t="s">
        <v>7753</v>
      </c>
      <c r="B498" s="2205">
        <v>22872.75</v>
      </c>
    </row>
    <row r="499" spans="1:2" x14ac:dyDescent="0.2">
      <c r="A499" s="2205" t="s">
        <v>7754</v>
      </c>
      <c r="B499" s="2205">
        <v>231246</v>
      </c>
    </row>
    <row r="500" spans="1:2" x14ac:dyDescent="0.2">
      <c r="A500" s="2205" t="s">
        <v>7755</v>
      </c>
      <c r="B500" s="2205">
        <v>125379.3</v>
      </c>
    </row>
    <row r="501" spans="1:2" x14ac:dyDescent="0.2">
      <c r="A501" s="2205" t="s">
        <v>7756</v>
      </c>
      <c r="B501" s="2205">
        <v>174509.34</v>
      </c>
    </row>
    <row r="502" spans="1:2" x14ac:dyDescent="0.2">
      <c r="A502" s="2205" t="s">
        <v>7757</v>
      </c>
      <c r="B502" s="2205">
        <v>23727.35</v>
      </c>
    </row>
    <row r="503" spans="1:2" x14ac:dyDescent="0.2">
      <c r="A503" s="2205" t="s">
        <v>7758</v>
      </c>
      <c r="B503" s="2205">
        <v>7770.85</v>
      </c>
    </row>
    <row r="504" spans="1:2" x14ac:dyDescent="0.2">
      <c r="A504" s="2205" t="s">
        <v>7759</v>
      </c>
      <c r="B504" s="2205">
        <v>105</v>
      </c>
    </row>
    <row r="505" spans="1:2" x14ac:dyDescent="0.2">
      <c r="A505" s="2205" t="s">
        <v>7760</v>
      </c>
      <c r="B505" s="2205">
        <v>75.819999999999993</v>
      </c>
    </row>
    <row r="506" spans="1:2" x14ac:dyDescent="0.2">
      <c r="A506" s="2205" t="s">
        <v>7761</v>
      </c>
      <c r="B506" s="2205">
        <v>1166.6500000000001</v>
      </c>
    </row>
    <row r="507" spans="1:2" x14ac:dyDescent="0.2">
      <c r="A507" s="2205" t="s">
        <v>7762</v>
      </c>
      <c r="B507" s="2205">
        <v>46453.25</v>
      </c>
    </row>
    <row r="508" spans="1:2" x14ac:dyDescent="0.2">
      <c r="A508" s="2205" t="s">
        <v>7763</v>
      </c>
      <c r="B508" s="2205">
        <v>2226.69</v>
      </c>
    </row>
    <row r="509" spans="1:2" x14ac:dyDescent="0.2">
      <c r="A509" s="2205" t="s">
        <v>7764</v>
      </c>
      <c r="B509" s="2205">
        <v>50717.41</v>
      </c>
    </row>
    <row r="510" spans="1:2" x14ac:dyDescent="0.2">
      <c r="A510" s="2205" t="s">
        <v>7765</v>
      </c>
      <c r="B510" s="2205">
        <v>4717.97</v>
      </c>
    </row>
    <row r="511" spans="1:2" x14ac:dyDescent="0.2">
      <c r="A511" s="2205" t="s">
        <v>7766</v>
      </c>
      <c r="B511" s="2205">
        <v>12966.89</v>
      </c>
    </row>
    <row r="512" spans="1:2" x14ac:dyDescent="0.2">
      <c r="A512" s="2205" t="s">
        <v>7767</v>
      </c>
      <c r="B512" s="2205">
        <v>49.5</v>
      </c>
    </row>
    <row r="513" spans="1:2" x14ac:dyDescent="0.2">
      <c r="A513" s="2205" t="s">
        <v>7768</v>
      </c>
      <c r="B513" s="2205">
        <v>3920.7</v>
      </c>
    </row>
    <row r="514" spans="1:2" x14ac:dyDescent="0.2">
      <c r="A514" s="2205" t="s">
        <v>7769</v>
      </c>
      <c r="B514" s="2205">
        <v>740.14</v>
      </c>
    </row>
    <row r="515" spans="1:2" x14ac:dyDescent="0.2">
      <c r="A515" s="2205" t="s">
        <v>7770</v>
      </c>
      <c r="B515" s="2205">
        <v>675.43</v>
      </c>
    </row>
    <row r="516" spans="1:2" x14ac:dyDescent="0.2">
      <c r="A516" s="2205" t="s">
        <v>7771</v>
      </c>
      <c r="B516" s="2205">
        <v>993.3</v>
      </c>
    </row>
    <row r="517" spans="1:2" x14ac:dyDescent="0.2">
      <c r="A517" s="2205" t="s">
        <v>7772</v>
      </c>
      <c r="B517" s="2205">
        <v>502.43</v>
      </c>
    </row>
    <row r="518" spans="1:2" x14ac:dyDescent="0.2">
      <c r="A518" s="2205" t="s">
        <v>7773</v>
      </c>
      <c r="B518" s="2205">
        <v>208.87</v>
      </c>
    </row>
    <row r="519" spans="1:2" x14ac:dyDescent="0.2">
      <c r="A519" s="2205" t="s">
        <v>7774</v>
      </c>
      <c r="B519" s="2205">
        <v>57.83</v>
      </c>
    </row>
    <row r="520" spans="1:2" x14ac:dyDescent="0.2">
      <c r="A520" s="2205" t="s">
        <v>7775</v>
      </c>
      <c r="B520" s="2205">
        <v>1034.47</v>
      </c>
    </row>
    <row r="521" spans="1:2" x14ac:dyDescent="0.2">
      <c r="A521" s="2205" t="s">
        <v>7776</v>
      </c>
      <c r="B521" s="2205">
        <v>57.73</v>
      </c>
    </row>
    <row r="522" spans="1:2" x14ac:dyDescent="0.2">
      <c r="A522" s="2205" t="s">
        <v>7777</v>
      </c>
      <c r="B522" s="2205">
        <v>1025.1199999999999</v>
      </c>
    </row>
    <row r="523" spans="1:2" x14ac:dyDescent="0.2">
      <c r="A523" s="2205" t="s">
        <v>7778</v>
      </c>
      <c r="B523" s="2205">
        <v>1608.5</v>
      </c>
    </row>
    <row r="524" spans="1:2" x14ac:dyDescent="0.2">
      <c r="A524" s="2205" t="s">
        <v>7779</v>
      </c>
      <c r="B524" s="2205">
        <v>10952.77</v>
      </c>
    </row>
    <row r="525" spans="1:2" x14ac:dyDescent="0.2">
      <c r="A525" s="2205" t="s">
        <v>7780</v>
      </c>
      <c r="B525" s="2205">
        <v>2017.91</v>
      </c>
    </row>
    <row r="526" spans="1:2" x14ac:dyDescent="0.2">
      <c r="A526" s="2205" t="s">
        <v>7781</v>
      </c>
      <c r="B526" s="2205">
        <v>261.81</v>
      </c>
    </row>
    <row r="527" spans="1:2" x14ac:dyDescent="0.2">
      <c r="A527" s="2205" t="s">
        <v>7782</v>
      </c>
      <c r="B527" s="2205">
        <v>885.84</v>
      </c>
    </row>
    <row r="528" spans="1:2" x14ac:dyDescent="0.2">
      <c r="A528" s="2205" t="s">
        <v>7783</v>
      </c>
      <c r="B528" s="2205">
        <v>2371.5300000000002</v>
      </c>
    </row>
    <row r="529" spans="1:2" x14ac:dyDescent="0.2">
      <c r="A529" s="2205" t="s">
        <v>7784</v>
      </c>
      <c r="B529" s="2205">
        <v>196.35</v>
      </c>
    </row>
    <row r="530" spans="1:2" x14ac:dyDescent="0.2">
      <c r="A530" s="2205" t="s">
        <v>7785</v>
      </c>
      <c r="B530" s="2205">
        <v>400.36</v>
      </c>
    </row>
    <row r="531" spans="1:2" x14ac:dyDescent="0.2">
      <c r="A531" s="2205" t="s">
        <v>7786</v>
      </c>
      <c r="B531" s="2205">
        <v>57.72</v>
      </c>
    </row>
    <row r="532" spans="1:2" x14ac:dyDescent="0.2">
      <c r="A532" s="2205" t="s">
        <v>7787</v>
      </c>
      <c r="B532" s="2205">
        <v>1635.85</v>
      </c>
    </row>
    <row r="533" spans="1:2" x14ac:dyDescent="0.2">
      <c r="A533" s="2205" t="s">
        <v>7788</v>
      </c>
      <c r="B533" s="2205">
        <v>324.08999999999997</v>
      </c>
    </row>
    <row r="534" spans="1:2" x14ac:dyDescent="0.2">
      <c r="A534" s="2205" t="s">
        <v>7789</v>
      </c>
      <c r="B534" s="2205">
        <v>930.26</v>
      </c>
    </row>
    <row r="535" spans="1:2" x14ac:dyDescent="0.2">
      <c r="A535" s="2205" t="s">
        <v>7790</v>
      </c>
      <c r="B535" s="2205">
        <v>730.28</v>
      </c>
    </row>
    <row r="536" spans="1:2" x14ac:dyDescent="0.2">
      <c r="A536" s="2205" t="s">
        <v>7791</v>
      </c>
      <c r="B536" s="2205">
        <v>467.74</v>
      </c>
    </row>
    <row r="537" spans="1:2" x14ac:dyDescent="0.2">
      <c r="A537" s="2205" t="s">
        <v>7792</v>
      </c>
      <c r="B537" s="2205">
        <v>109.73</v>
      </c>
    </row>
    <row r="538" spans="1:2" x14ac:dyDescent="0.2">
      <c r="A538" s="2205" t="s">
        <v>7793</v>
      </c>
      <c r="B538" s="2205">
        <v>450.47</v>
      </c>
    </row>
    <row r="539" spans="1:2" x14ac:dyDescent="0.2">
      <c r="A539" s="2205" t="s">
        <v>7794</v>
      </c>
      <c r="B539" s="2205">
        <v>794.59</v>
      </c>
    </row>
    <row r="540" spans="1:2" x14ac:dyDescent="0.2">
      <c r="A540" s="2205" t="s">
        <v>7795</v>
      </c>
      <c r="B540" s="2205">
        <v>2791.7</v>
      </c>
    </row>
    <row r="541" spans="1:2" x14ac:dyDescent="0.2">
      <c r="A541" s="2205" t="s">
        <v>7796</v>
      </c>
      <c r="B541" s="2205">
        <v>140.72999999999999</v>
      </c>
    </row>
    <row r="542" spans="1:2" x14ac:dyDescent="0.2">
      <c r="A542" s="2205" t="s">
        <v>7797</v>
      </c>
      <c r="B542" s="2205">
        <v>33.700000000000003</v>
      </c>
    </row>
    <row r="543" spans="1:2" x14ac:dyDescent="0.2">
      <c r="A543" s="2205" t="s">
        <v>7798</v>
      </c>
      <c r="B543" s="2205">
        <v>1679.43</v>
      </c>
    </row>
    <row r="544" spans="1:2" x14ac:dyDescent="0.2">
      <c r="A544" s="2205" t="s">
        <v>7799</v>
      </c>
      <c r="B544" s="2205">
        <v>651</v>
      </c>
    </row>
    <row r="545" spans="1:2" x14ac:dyDescent="0.2">
      <c r="A545" s="2205" t="s">
        <v>7800</v>
      </c>
      <c r="B545" s="2205">
        <v>207.52</v>
      </c>
    </row>
    <row r="546" spans="1:2" x14ac:dyDescent="0.2">
      <c r="A546" s="2205" t="s">
        <v>7801</v>
      </c>
      <c r="B546" s="2205">
        <v>14.92</v>
      </c>
    </row>
    <row r="547" spans="1:2" x14ac:dyDescent="0.2">
      <c r="A547" s="2205" t="s">
        <v>7802</v>
      </c>
      <c r="B547" s="2205">
        <v>94.5</v>
      </c>
    </row>
    <row r="548" spans="1:2" x14ac:dyDescent="0.2">
      <c r="A548" s="2205" t="s">
        <v>7803</v>
      </c>
      <c r="B548" s="2205">
        <v>63.03</v>
      </c>
    </row>
    <row r="549" spans="1:2" x14ac:dyDescent="0.2">
      <c r="A549" s="2205" t="s">
        <v>7804</v>
      </c>
      <c r="B549" s="2205">
        <v>157.58000000000001</v>
      </c>
    </row>
    <row r="550" spans="1:2" x14ac:dyDescent="0.2">
      <c r="A550" s="2205" t="s">
        <v>7805</v>
      </c>
      <c r="B550" s="2205">
        <v>366.48</v>
      </c>
    </row>
    <row r="551" spans="1:2" x14ac:dyDescent="0.2">
      <c r="A551" s="2205" t="s">
        <v>7806</v>
      </c>
      <c r="B551" s="2205">
        <v>157.58000000000001</v>
      </c>
    </row>
    <row r="552" spans="1:2" x14ac:dyDescent="0.2">
      <c r="A552" s="2205" t="s">
        <v>7807</v>
      </c>
      <c r="B552" s="2205">
        <v>1347.13</v>
      </c>
    </row>
    <row r="553" spans="1:2" x14ac:dyDescent="0.2">
      <c r="A553" s="2205" t="s">
        <v>7808</v>
      </c>
      <c r="B553" s="2205">
        <v>13800</v>
      </c>
    </row>
    <row r="554" spans="1:2" x14ac:dyDescent="0.2">
      <c r="A554" s="2205" t="s">
        <v>7809</v>
      </c>
      <c r="B554" s="2205">
        <v>5429.13</v>
      </c>
    </row>
    <row r="555" spans="1:2" x14ac:dyDescent="0.2">
      <c r="A555" s="2205" t="s">
        <v>7810</v>
      </c>
      <c r="B555" s="2205">
        <v>286.77999999999997</v>
      </c>
    </row>
    <row r="556" spans="1:2" x14ac:dyDescent="0.2">
      <c r="A556" s="2205" t="s">
        <v>7811</v>
      </c>
      <c r="B556" s="2205">
        <v>2263.35</v>
      </c>
    </row>
    <row r="557" spans="1:2" x14ac:dyDescent="0.2">
      <c r="A557" s="2205" t="s">
        <v>7812</v>
      </c>
      <c r="B557" s="2205">
        <v>934.05</v>
      </c>
    </row>
    <row r="558" spans="1:2" x14ac:dyDescent="0.2">
      <c r="A558" s="2205" t="s">
        <v>7813</v>
      </c>
      <c r="B558" s="2205">
        <v>23.1</v>
      </c>
    </row>
    <row r="559" spans="1:2" x14ac:dyDescent="0.2">
      <c r="A559" s="2205" t="s">
        <v>7814</v>
      </c>
      <c r="B559" s="2205">
        <v>464.22</v>
      </c>
    </row>
    <row r="560" spans="1:2" x14ac:dyDescent="0.2">
      <c r="A560" s="2205" t="s">
        <v>7815</v>
      </c>
      <c r="B560" s="2205">
        <v>2771.65</v>
      </c>
    </row>
    <row r="561" spans="1:2" x14ac:dyDescent="0.2">
      <c r="A561" s="2205" t="s">
        <v>7816</v>
      </c>
      <c r="B561" s="2205">
        <v>697.75</v>
      </c>
    </row>
    <row r="562" spans="1:2" x14ac:dyDescent="0.2">
      <c r="A562" s="2205" t="s">
        <v>7817</v>
      </c>
      <c r="B562" s="2205">
        <v>635.26</v>
      </c>
    </row>
    <row r="563" spans="1:2" x14ac:dyDescent="0.2">
      <c r="A563" s="2205" t="s">
        <v>7818</v>
      </c>
      <c r="B563" s="2205">
        <v>662.54</v>
      </c>
    </row>
    <row r="564" spans="1:2" x14ac:dyDescent="0.2">
      <c r="A564" s="2205" t="s">
        <v>7819</v>
      </c>
      <c r="B564" s="2205">
        <v>147.57</v>
      </c>
    </row>
    <row r="565" spans="1:2" x14ac:dyDescent="0.2">
      <c r="A565" s="2205" t="s">
        <v>7820</v>
      </c>
      <c r="B565" s="2205">
        <v>323.89999999999998</v>
      </c>
    </row>
    <row r="566" spans="1:2" x14ac:dyDescent="0.2">
      <c r="A566" s="2205" t="s">
        <v>7821</v>
      </c>
      <c r="B566" s="2205">
        <v>5569.56</v>
      </c>
    </row>
    <row r="567" spans="1:2" x14ac:dyDescent="0.2">
      <c r="A567" s="2205" t="s">
        <v>7822</v>
      </c>
      <c r="B567" s="2205">
        <v>489.17</v>
      </c>
    </row>
    <row r="568" spans="1:2" x14ac:dyDescent="0.2">
      <c r="A568" s="2205" t="s">
        <v>7823</v>
      </c>
      <c r="B568" s="2205">
        <v>1568.14</v>
      </c>
    </row>
    <row r="569" spans="1:2" x14ac:dyDescent="0.2">
      <c r="A569" s="2205" t="s">
        <v>7824</v>
      </c>
      <c r="B569" s="2205">
        <v>78.13</v>
      </c>
    </row>
    <row r="570" spans="1:2" x14ac:dyDescent="0.2">
      <c r="A570" s="2205" t="s">
        <v>7825</v>
      </c>
      <c r="B570" s="2205">
        <v>789.63</v>
      </c>
    </row>
    <row r="571" spans="1:2" x14ac:dyDescent="0.2">
      <c r="A571" s="2205" t="s">
        <v>7826</v>
      </c>
      <c r="B571" s="2205">
        <v>84.63</v>
      </c>
    </row>
    <row r="572" spans="1:2" x14ac:dyDescent="0.2">
      <c r="A572" s="2205" t="s">
        <v>7827</v>
      </c>
      <c r="B572" s="2205">
        <v>6721.42</v>
      </c>
    </row>
    <row r="573" spans="1:2" x14ac:dyDescent="0.2">
      <c r="A573" s="2205" t="s">
        <v>7828</v>
      </c>
      <c r="B573" s="2205">
        <v>7653.22</v>
      </c>
    </row>
    <row r="574" spans="1:2" x14ac:dyDescent="0.2">
      <c r="A574" s="2205" t="s">
        <v>7829</v>
      </c>
      <c r="B574" s="2205">
        <v>109.96</v>
      </c>
    </row>
    <row r="575" spans="1:2" x14ac:dyDescent="0.2">
      <c r="A575" s="2205" t="s">
        <v>7830</v>
      </c>
      <c r="B575" s="2205">
        <v>104.34</v>
      </c>
    </row>
    <row r="576" spans="1:2" x14ac:dyDescent="0.2">
      <c r="A576" s="2205" t="s">
        <v>7831</v>
      </c>
      <c r="B576" s="2205">
        <v>613.47</v>
      </c>
    </row>
    <row r="577" spans="1:2" x14ac:dyDescent="0.2">
      <c r="A577" s="2205" t="s">
        <v>7832</v>
      </c>
      <c r="B577" s="2205">
        <v>662.02</v>
      </c>
    </row>
    <row r="578" spans="1:2" x14ac:dyDescent="0.2">
      <c r="A578" s="2205" t="s">
        <v>7833</v>
      </c>
      <c r="B578" s="2205">
        <v>1116.8399999999999</v>
      </c>
    </row>
    <row r="579" spans="1:2" x14ac:dyDescent="0.2">
      <c r="A579" s="2205" t="s">
        <v>7834</v>
      </c>
      <c r="B579" s="2205">
        <v>168.5</v>
      </c>
    </row>
    <row r="580" spans="1:2" x14ac:dyDescent="0.2">
      <c r="A580" s="2205" t="s">
        <v>7835</v>
      </c>
      <c r="B580" s="2205">
        <v>1384.91</v>
      </c>
    </row>
    <row r="581" spans="1:2" x14ac:dyDescent="0.2">
      <c r="A581" s="2205" t="s">
        <v>7836</v>
      </c>
      <c r="B581" s="2205">
        <v>4751.8100000000004</v>
      </c>
    </row>
    <row r="582" spans="1:2" x14ac:dyDescent="0.2">
      <c r="A582" s="2205" t="s">
        <v>7837</v>
      </c>
      <c r="B582" s="2205">
        <v>47373.42</v>
      </c>
    </row>
    <row r="583" spans="1:2" x14ac:dyDescent="0.2">
      <c r="A583" s="2205" t="s">
        <v>7838</v>
      </c>
      <c r="B583" s="2205">
        <v>45793.96</v>
      </c>
    </row>
    <row r="584" spans="1:2" x14ac:dyDescent="0.2">
      <c r="A584" s="2205" t="s">
        <v>7839</v>
      </c>
      <c r="B584" s="2205">
        <v>23663.56</v>
      </c>
    </row>
    <row r="585" spans="1:2" x14ac:dyDescent="0.2">
      <c r="A585" s="2205" t="s">
        <v>7840</v>
      </c>
      <c r="B585" s="2205">
        <v>5795.71</v>
      </c>
    </row>
    <row r="586" spans="1:2" x14ac:dyDescent="0.2">
      <c r="A586" s="2205" t="s">
        <v>7841</v>
      </c>
      <c r="B586" s="2205">
        <v>5472.85</v>
      </c>
    </row>
    <row r="587" spans="1:2" x14ac:dyDescent="0.2">
      <c r="A587" s="2205" t="s">
        <v>7842</v>
      </c>
      <c r="B587" s="2205">
        <v>192.32</v>
      </c>
    </row>
    <row r="588" spans="1:2" x14ac:dyDescent="0.2">
      <c r="A588" s="2205" t="s">
        <v>7843</v>
      </c>
      <c r="B588" s="2205">
        <v>7761.62</v>
      </c>
    </row>
    <row r="589" spans="1:2" x14ac:dyDescent="0.2">
      <c r="A589" s="2205" t="s">
        <v>7844</v>
      </c>
      <c r="B589" s="2205">
        <v>388.5</v>
      </c>
    </row>
    <row r="590" spans="1:2" x14ac:dyDescent="0.2">
      <c r="A590" s="2205" t="s">
        <v>7845</v>
      </c>
      <c r="B590" s="2205">
        <v>4403.58</v>
      </c>
    </row>
    <row r="591" spans="1:2" x14ac:dyDescent="0.2">
      <c r="A591" s="2205" t="s">
        <v>7846</v>
      </c>
      <c r="B591" s="2205">
        <v>16955.439999999999</v>
      </c>
    </row>
    <row r="592" spans="1:2" x14ac:dyDescent="0.2">
      <c r="A592" s="2205" t="s">
        <v>7847</v>
      </c>
      <c r="B592" s="2205">
        <v>37673.379999999997</v>
      </c>
    </row>
    <row r="593" spans="1:2" x14ac:dyDescent="0.2">
      <c r="A593" s="2205" t="s">
        <v>7848</v>
      </c>
      <c r="B593" s="2205">
        <v>13057</v>
      </c>
    </row>
    <row r="594" spans="1:2" x14ac:dyDescent="0.2">
      <c r="A594" s="2205" t="s">
        <v>7849</v>
      </c>
      <c r="B594" s="2205">
        <v>30236.53</v>
      </c>
    </row>
    <row r="595" spans="1:2" x14ac:dyDescent="0.2">
      <c r="A595" s="2205" t="s">
        <v>7850</v>
      </c>
      <c r="B595" s="2205">
        <v>683.09</v>
      </c>
    </row>
    <row r="596" spans="1:2" x14ac:dyDescent="0.2">
      <c r="A596" s="2205" t="s">
        <v>7851</v>
      </c>
      <c r="B596" s="2205">
        <v>1460.28</v>
      </c>
    </row>
    <row r="597" spans="1:2" x14ac:dyDescent="0.2">
      <c r="A597" s="2205" t="s">
        <v>7852</v>
      </c>
      <c r="B597" s="2205">
        <v>301.5</v>
      </c>
    </row>
    <row r="598" spans="1:2" x14ac:dyDescent="0.2">
      <c r="A598" s="2205" t="s">
        <v>7853</v>
      </c>
      <c r="B598" s="2205">
        <v>619.59</v>
      </c>
    </row>
    <row r="599" spans="1:2" x14ac:dyDescent="0.2">
      <c r="A599" s="2205" t="s">
        <v>7854</v>
      </c>
      <c r="B599" s="2205">
        <v>7574.38</v>
      </c>
    </row>
    <row r="600" spans="1:2" x14ac:dyDescent="0.2">
      <c r="A600" s="2205" t="s">
        <v>7855</v>
      </c>
      <c r="B600" s="2205">
        <v>1945.87</v>
      </c>
    </row>
    <row r="601" spans="1:2" x14ac:dyDescent="0.2">
      <c r="A601" s="2205" t="s">
        <v>7856</v>
      </c>
      <c r="B601" s="2205">
        <v>1687.33</v>
      </c>
    </row>
    <row r="602" spans="1:2" x14ac:dyDescent="0.2">
      <c r="A602" s="2205" t="s">
        <v>7857</v>
      </c>
      <c r="B602" s="2205">
        <v>130.88999999999999</v>
      </c>
    </row>
    <row r="603" spans="1:2" x14ac:dyDescent="0.2">
      <c r="A603" s="2205" t="s">
        <v>7858</v>
      </c>
      <c r="B603" s="2205">
        <v>1695.25</v>
      </c>
    </row>
    <row r="604" spans="1:2" x14ac:dyDescent="0.2">
      <c r="A604" s="2205" t="s">
        <v>7859</v>
      </c>
      <c r="B604" s="2205">
        <v>24.04</v>
      </c>
    </row>
    <row r="605" spans="1:2" x14ac:dyDescent="0.2">
      <c r="A605" s="2205" t="s">
        <v>7860</v>
      </c>
      <c r="B605" s="2205">
        <v>960.56</v>
      </c>
    </row>
    <row r="606" spans="1:2" x14ac:dyDescent="0.2">
      <c r="A606" s="2205" t="s">
        <v>7861</v>
      </c>
      <c r="B606" s="2205">
        <v>20.22</v>
      </c>
    </row>
    <row r="607" spans="1:2" x14ac:dyDescent="0.2">
      <c r="A607" s="2205" t="s">
        <v>7862</v>
      </c>
      <c r="B607" s="2205">
        <v>433.55</v>
      </c>
    </row>
    <row r="608" spans="1:2" x14ac:dyDescent="0.2">
      <c r="A608" s="2205" t="s">
        <v>7863</v>
      </c>
      <c r="B608" s="2205">
        <v>33.82</v>
      </c>
    </row>
    <row r="609" spans="1:2" x14ac:dyDescent="0.2">
      <c r="A609" s="2205" t="s">
        <v>7864</v>
      </c>
      <c r="B609" s="2205">
        <v>239.51</v>
      </c>
    </row>
    <row r="610" spans="1:2" x14ac:dyDescent="0.2">
      <c r="A610" s="2205" t="s">
        <v>7865</v>
      </c>
      <c r="B610" s="2205">
        <v>21473.32</v>
      </c>
    </row>
    <row r="611" spans="1:2" x14ac:dyDescent="0.2">
      <c r="A611" s="2205" t="s">
        <v>7866</v>
      </c>
      <c r="B611" s="2205">
        <v>5697.11</v>
      </c>
    </row>
    <row r="612" spans="1:2" x14ac:dyDescent="0.2">
      <c r="A612" s="2205" t="s">
        <v>7867</v>
      </c>
      <c r="B612" s="2205">
        <v>86.59</v>
      </c>
    </row>
    <row r="613" spans="1:2" x14ac:dyDescent="0.2">
      <c r="A613" s="2205" t="s">
        <v>7868</v>
      </c>
      <c r="B613" s="2205">
        <v>1632.85</v>
      </c>
    </row>
    <row r="614" spans="1:2" x14ac:dyDescent="0.2">
      <c r="A614" s="2205" t="s">
        <v>7869</v>
      </c>
      <c r="B614" s="2205">
        <v>21</v>
      </c>
    </row>
    <row r="615" spans="1:2" x14ac:dyDescent="0.2">
      <c r="A615" s="2205" t="s">
        <v>7870</v>
      </c>
      <c r="B615" s="2205">
        <v>9828.0300000000007</v>
      </c>
    </row>
    <row r="616" spans="1:2" x14ac:dyDescent="0.2">
      <c r="A616" s="2205" t="s">
        <v>7871</v>
      </c>
      <c r="B616" s="2205">
        <v>240.76</v>
      </c>
    </row>
    <row r="617" spans="1:2" x14ac:dyDescent="0.2">
      <c r="A617" s="2205" t="s">
        <v>7872</v>
      </c>
      <c r="B617" s="2205">
        <v>3174.09</v>
      </c>
    </row>
    <row r="618" spans="1:2" x14ac:dyDescent="0.2">
      <c r="A618" s="2205" t="s">
        <v>7873</v>
      </c>
      <c r="B618" s="2205">
        <v>7513.34</v>
      </c>
    </row>
    <row r="619" spans="1:2" x14ac:dyDescent="0.2">
      <c r="A619" s="2205" t="s">
        <v>7874</v>
      </c>
      <c r="B619" s="2205">
        <v>60.66</v>
      </c>
    </row>
    <row r="620" spans="1:2" x14ac:dyDescent="0.2">
      <c r="A620" s="2205" t="s">
        <v>7875</v>
      </c>
      <c r="B620" s="2205">
        <v>176.28</v>
      </c>
    </row>
    <row r="621" spans="1:2" x14ac:dyDescent="0.2">
      <c r="A621" s="2205" t="s">
        <v>7876</v>
      </c>
      <c r="B621" s="2205">
        <v>2092.69</v>
      </c>
    </row>
    <row r="622" spans="1:2" x14ac:dyDescent="0.2">
      <c r="A622" s="2205" t="s">
        <v>7877</v>
      </c>
      <c r="B622" s="2205">
        <v>13513.86</v>
      </c>
    </row>
    <row r="623" spans="1:2" x14ac:dyDescent="0.2">
      <c r="A623" s="2205" t="s">
        <v>7878</v>
      </c>
      <c r="B623" s="2205">
        <v>57.75</v>
      </c>
    </row>
    <row r="624" spans="1:2" x14ac:dyDescent="0.2">
      <c r="A624" s="2205" t="s">
        <v>7879</v>
      </c>
      <c r="B624" s="2205">
        <v>1956.17</v>
      </c>
    </row>
    <row r="625" spans="1:2" x14ac:dyDescent="0.2">
      <c r="A625" s="2205" t="s">
        <v>7880</v>
      </c>
      <c r="B625" s="2205">
        <v>63</v>
      </c>
    </row>
    <row r="626" spans="1:2" x14ac:dyDescent="0.2">
      <c r="A626" s="2205" t="s">
        <v>7881</v>
      </c>
      <c r="B626" s="2205">
        <v>4541.3100000000004</v>
      </c>
    </row>
    <row r="627" spans="1:2" x14ac:dyDescent="0.2">
      <c r="A627" s="2205" t="s">
        <v>7882</v>
      </c>
      <c r="B627" s="2205">
        <v>18666.63</v>
      </c>
    </row>
    <row r="628" spans="1:2" x14ac:dyDescent="0.2">
      <c r="A628" s="2205" t="s">
        <v>7883</v>
      </c>
      <c r="B628" s="2205">
        <v>79933.72</v>
      </c>
    </row>
    <row r="629" spans="1:2" x14ac:dyDescent="0.2">
      <c r="A629" s="2205" t="s">
        <v>7884</v>
      </c>
      <c r="B629" s="2205">
        <v>1374.47</v>
      </c>
    </row>
    <row r="630" spans="1:2" x14ac:dyDescent="0.2">
      <c r="A630" s="2205" t="s">
        <v>7885</v>
      </c>
      <c r="B630" s="2205">
        <v>713.66</v>
      </c>
    </row>
    <row r="631" spans="1:2" x14ac:dyDescent="0.2">
      <c r="A631" s="2205" t="s">
        <v>7886</v>
      </c>
      <c r="B631" s="2205">
        <v>1103.8399999999999</v>
      </c>
    </row>
    <row r="632" spans="1:2" x14ac:dyDescent="0.2">
      <c r="A632" s="2205" t="s">
        <v>7887</v>
      </c>
      <c r="B632" s="2205">
        <v>47194.68</v>
      </c>
    </row>
    <row r="633" spans="1:2" x14ac:dyDescent="0.2">
      <c r="A633" s="2205" t="s">
        <v>7888</v>
      </c>
      <c r="B633" s="2205">
        <v>75223.789999999994</v>
      </c>
    </row>
    <row r="634" spans="1:2" x14ac:dyDescent="0.2">
      <c r="A634" s="2205" t="s">
        <v>7889</v>
      </c>
      <c r="B634" s="2205">
        <v>36547.56</v>
      </c>
    </row>
    <row r="635" spans="1:2" x14ac:dyDescent="0.2">
      <c r="A635" s="2205" t="s">
        <v>7890</v>
      </c>
      <c r="B635" s="2205">
        <v>478.79</v>
      </c>
    </row>
    <row r="636" spans="1:2" x14ac:dyDescent="0.2">
      <c r="A636" s="2205" t="s">
        <v>7891</v>
      </c>
      <c r="B636" s="2205">
        <v>210.92</v>
      </c>
    </row>
    <row r="637" spans="1:2" x14ac:dyDescent="0.2">
      <c r="A637" s="2205" t="s">
        <v>7892</v>
      </c>
      <c r="B637" s="2205">
        <v>4100.41</v>
      </c>
    </row>
    <row r="638" spans="1:2" x14ac:dyDescent="0.2">
      <c r="A638" s="2205" t="s">
        <v>7893</v>
      </c>
      <c r="B638" s="2205">
        <v>1001.42</v>
      </c>
    </row>
    <row r="639" spans="1:2" x14ac:dyDescent="0.2">
      <c r="A639" s="2205" t="s">
        <v>7894</v>
      </c>
      <c r="B639" s="2205">
        <v>3853.11</v>
      </c>
    </row>
    <row r="640" spans="1:2" x14ac:dyDescent="0.2">
      <c r="A640" s="2205" t="s">
        <v>7895</v>
      </c>
      <c r="B640" s="2205">
        <v>9797.84</v>
      </c>
    </row>
    <row r="641" spans="1:2" x14ac:dyDescent="0.2">
      <c r="A641" s="2205" t="s">
        <v>7896</v>
      </c>
      <c r="B641" s="2205">
        <v>4415.72</v>
      </c>
    </row>
    <row r="642" spans="1:2" x14ac:dyDescent="0.2">
      <c r="A642" s="2205" t="s">
        <v>7897</v>
      </c>
      <c r="B642" s="2205">
        <v>1082.5</v>
      </c>
    </row>
    <row r="643" spans="1:2" x14ac:dyDescent="0.2">
      <c r="A643" s="2205" t="s">
        <v>7898</v>
      </c>
      <c r="B643" s="2205">
        <v>26984.720000000001</v>
      </c>
    </row>
    <row r="644" spans="1:2" x14ac:dyDescent="0.2">
      <c r="A644" s="2205" t="s">
        <v>7899</v>
      </c>
      <c r="B644" s="2205">
        <v>9687.5</v>
      </c>
    </row>
    <row r="645" spans="1:2" x14ac:dyDescent="0.2">
      <c r="A645" s="2205" t="s">
        <v>7900</v>
      </c>
      <c r="B645" s="2205">
        <v>183.27</v>
      </c>
    </row>
    <row r="646" spans="1:2" x14ac:dyDescent="0.2">
      <c r="A646" s="2205" t="s">
        <v>7901</v>
      </c>
      <c r="B646" s="2205">
        <v>50.29</v>
      </c>
    </row>
    <row r="647" spans="1:2" x14ac:dyDescent="0.2">
      <c r="A647" s="2205" t="s">
        <v>7902</v>
      </c>
      <c r="B647" s="2205">
        <v>37404.019999999997</v>
      </c>
    </row>
    <row r="648" spans="1:2" x14ac:dyDescent="0.2">
      <c r="A648" s="2205" t="s">
        <v>7903</v>
      </c>
      <c r="B648" s="2205">
        <v>7145.27</v>
      </c>
    </row>
    <row r="649" spans="1:2" x14ac:dyDescent="0.2">
      <c r="A649" s="2205" t="s">
        <v>7904</v>
      </c>
      <c r="B649" s="2205">
        <v>2674</v>
      </c>
    </row>
    <row r="650" spans="1:2" x14ac:dyDescent="0.2">
      <c r="A650" s="2205" t="s">
        <v>7905</v>
      </c>
      <c r="B650" s="2205">
        <v>1310.02</v>
      </c>
    </row>
    <row r="651" spans="1:2" x14ac:dyDescent="0.2">
      <c r="A651" s="2205" t="s">
        <v>7906</v>
      </c>
      <c r="B651" s="2205">
        <v>921.98</v>
      </c>
    </row>
    <row r="652" spans="1:2" x14ac:dyDescent="0.2">
      <c r="A652" s="2205" t="s">
        <v>7907</v>
      </c>
      <c r="B652" s="2205">
        <v>600.32000000000005</v>
      </c>
    </row>
    <row r="653" spans="1:2" x14ac:dyDescent="0.2">
      <c r="A653" s="2205" t="s">
        <v>7908</v>
      </c>
      <c r="B653" s="2205">
        <v>163.98</v>
      </c>
    </row>
    <row r="654" spans="1:2" x14ac:dyDescent="0.2">
      <c r="A654" s="2205" t="s">
        <v>7909</v>
      </c>
      <c r="B654" s="2205">
        <v>81.8</v>
      </c>
    </row>
    <row r="655" spans="1:2" x14ac:dyDescent="0.2">
      <c r="A655" s="2205" t="s">
        <v>7910</v>
      </c>
      <c r="B655" s="2205">
        <v>4711.04</v>
      </c>
    </row>
    <row r="656" spans="1:2" x14ac:dyDescent="0.2">
      <c r="A656" s="2205" t="s">
        <v>7911</v>
      </c>
      <c r="B656" s="2205">
        <v>22149.96</v>
      </c>
    </row>
    <row r="657" spans="1:2" x14ac:dyDescent="0.2">
      <c r="A657" s="2205" t="s">
        <v>7912</v>
      </c>
      <c r="B657" s="2205">
        <v>850.61</v>
      </c>
    </row>
    <row r="658" spans="1:2" x14ac:dyDescent="0.2">
      <c r="A658" s="2205" t="s">
        <v>7913</v>
      </c>
      <c r="B658" s="2205">
        <v>2792.9</v>
      </c>
    </row>
    <row r="659" spans="1:2" x14ac:dyDescent="0.2">
      <c r="A659" s="2205" t="s">
        <v>7914</v>
      </c>
      <c r="B659" s="2205">
        <v>306.5</v>
      </c>
    </row>
    <row r="660" spans="1:2" x14ac:dyDescent="0.2">
      <c r="A660" s="2205" t="s">
        <v>7915</v>
      </c>
      <c r="B660" s="2205">
        <v>1901.27</v>
      </c>
    </row>
    <row r="661" spans="1:2" x14ac:dyDescent="0.2">
      <c r="A661" s="2205" t="s">
        <v>7916</v>
      </c>
      <c r="B661" s="2205">
        <v>234.75</v>
      </c>
    </row>
    <row r="662" spans="1:2" x14ac:dyDescent="0.2">
      <c r="A662" s="2205" t="s">
        <v>7917</v>
      </c>
      <c r="B662" s="2205">
        <v>1623.88</v>
      </c>
    </row>
    <row r="663" spans="1:2" x14ac:dyDescent="0.2">
      <c r="A663" s="2205" t="s">
        <v>7918</v>
      </c>
      <c r="B663" s="2205">
        <v>236.03</v>
      </c>
    </row>
    <row r="664" spans="1:2" x14ac:dyDescent="0.2">
      <c r="A664" s="2205" t="s">
        <v>7919</v>
      </c>
      <c r="B664" s="2205">
        <v>17505.53</v>
      </c>
    </row>
    <row r="665" spans="1:2" x14ac:dyDescent="0.2">
      <c r="A665" s="2205" t="s">
        <v>7920</v>
      </c>
      <c r="B665" s="2205">
        <v>7125.55</v>
      </c>
    </row>
    <row r="666" spans="1:2" x14ac:dyDescent="0.2">
      <c r="A666" s="2205" t="s">
        <v>7921</v>
      </c>
      <c r="B666" s="2205">
        <v>738.52</v>
      </c>
    </row>
    <row r="667" spans="1:2" x14ac:dyDescent="0.2">
      <c r="A667" s="2205" t="s">
        <v>7922</v>
      </c>
      <c r="B667" s="2205">
        <v>901.89</v>
      </c>
    </row>
    <row r="668" spans="1:2" x14ac:dyDescent="0.2">
      <c r="A668" s="2205" t="s">
        <v>7923</v>
      </c>
      <c r="B668" s="2205">
        <v>3478.13</v>
      </c>
    </row>
    <row r="669" spans="1:2" x14ac:dyDescent="0.2">
      <c r="A669" s="2205" t="s">
        <v>7924</v>
      </c>
      <c r="B669" s="2205">
        <v>2873.75</v>
      </c>
    </row>
    <row r="670" spans="1:2" x14ac:dyDescent="0.2">
      <c r="A670" s="2205" t="s">
        <v>7925</v>
      </c>
      <c r="B670" s="2205">
        <v>878.36</v>
      </c>
    </row>
    <row r="671" spans="1:2" x14ac:dyDescent="0.2">
      <c r="A671" s="2205" t="s">
        <v>7926</v>
      </c>
      <c r="B671" s="2205">
        <v>415.91</v>
      </c>
    </row>
    <row r="672" spans="1:2" x14ac:dyDescent="0.2">
      <c r="A672" s="2205" t="s">
        <v>7927</v>
      </c>
      <c r="B672" s="2205">
        <v>259.67</v>
      </c>
    </row>
    <row r="673" spans="1:2" x14ac:dyDescent="0.2">
      <c r="A673" s="2205" t="s">
        <v>7928</v>
      </c>
      <c r="B673" s="2205">
        <v>12.85</v>
      </c>
    </row>
    <row r="674" spans="1:2" x14ac:dyDescent="0.2">
      <c r="A674" s="2205" t="s">
        <v>7929</v>
      </c>
      <c r="B674" s="2205">
        <v>374.99</v>
      </c>
    </row>
    <row r="675" spans="1:2" x14ac:dyDescent="0.2">
      <c r="A675" s="2205" t="s">
        <v>7930</v>
      </c>
      <c r="B675" s="2205">
        <v>591.03</v>
      </c>
    </row>
    <row r="676" spans="1:2" x14ac:dyDescent="0.2">
      <c r="A676" s="2205" t="s">
        <v>7931</v>
      </c>
      <c r="B676" s="2205">
        <v>122.08</v>
      </c>
    </row>
    <row r="677" spans="1:2" x14ac:dyDescent="0.2">
      <c r="A677" s="2205" t="s">
        <v>7932</v>
      </c>
      <c r="B677" s="2205">
        <v>7.46</v>
      </c>
    </row>
    <row r="678" spans="1:2" x14ac:dyDescent="0.2">
      <c r="A678" s="2205" t="s">
        <v>7933</v>
      </c>
      <c r="B678" s="2205">
        <v>234.55</v>
      </c>
    </row>
    <row r="679" spans="1:2" x14ac:dyDescent="0.2">
      <c r="A679" s="2205" t="s">
        <v>7934</v>
      </c>
      <c r="B679" s="2205">
        <v>397.38</v>
      </c>
    </row>
    <row r="680" spans="1:2" x14ac:dyDescent="0.2">
      <c r="A680" s="2205" t="s">
        <v>7935</v>
      </c>
      <c r="B680" s="2205">
        <v>212.03</v>
      </c>
    </row>
    <row r="681" spans="1:2" x14ac:dyDescent="0.2">
      <c r="A681" s="2205" t="s">
        <v>7936</v>
      </c>
      <c r="B681" s="2205">
        <v>117.62</v>
      </c>
    </row>
    <row r="682" spans="1:2" x14ac:dyDescent="0.2">
      <c r="A682" s="2205" t="s">
        <v>7937</v>
      </c>
      <c r="B682" s="2205">
        <v>12.02</v>
      </c>
    </row>
    <row r="683" spans="1:2" x14ac:dyDescent="0.2">
      <c r="A683" s="2205" t="s">
        <v>7938</v>
      </c>
      <c r="B683" s="2205">
        <v>59.4</v>
      </c>
    </row>
    <row r="684" spans="1:2" x14ac:dyDescent="0.2">
      <c r="A684" s="2205" t="s">
        <v>7939</v>
      </c>
      <c r="B684" s="2205">
        <v>11914.38</v>
      </c>
    </row>
    <row r="685" spans="1:2" x14ac:dyDescent="0.2">
      <c r="A685" s="2205" t="s">
        <v>7940</v>
      </c>
      <c r="B685" s="2205">
        <v>23061.11</v>
      </c>
    </row>
    <row r="686" spans="1:2" x14ac:dyDescent="0.2">
      <c r="A686" s="2205" t="s">
        <v>7941</v>
      </c>
      <c r="B686" s="2205">
        <v>6852.62</v>
      </c>
    </row>
    <row r="687" spans="1:2" x14ac:dyDescent="0.2">
      <c r="A687" s="2205" t="s">
        <v>7942</v>
      </c>
      <c r="B687" s="2205">
        <v>805.54</v>
      </c>
    </row>
    <row r="688" spans="1:2" x14ac:dyDescent="0.2">
      <c r="A688" s="2205" t="s">
        <v>7943</v>
      </c>
      <c r="B688" s="2205">
        <v>58362.5</v>
      </c>
    </row>
    <row r="689" spans="1:2" x14ac:dyDescent="0.2">
      <c r="A689" s="2205" t="s">
        <v>7944</v>
      </c>
      <c r="B689" s="2205">
        <v>3943.53</v>
      </c>
    </row>
    <row r="690" spans="1:2" x14ac:dyDescent="0.2">
      <c r="A690" s="2205" t="s">
        <v>7945</v>
      </c>
      <c r="B690" s="2205">
        <v>540</v>
      </c>
    </row>
    <row r="691" spans="1:2" x14ac:dyDescent="0.2">
      <c r="A691" s="2205" t="s">
        <v>7946</v>
      </c>
      <c r="B691" s="2205">
        <v>4374.41</v>
      </c>
    </row>
    <row r="692" spans="1:2" x14ac:dyDescent="0.2">
      <c r="A692" s="2205" t="s">
        <v>7947</v>
      </c>
      <c r="B692" s="2205">
        <v>87.62</v>
      </c>
    </row>
    <row r="693" spans="1:2" x14ac:dyDescent="0.2">
      <c r="A693" s="2205" t="s">
        <v>7948</v>
      </c>
      <c r="B693" s="2205">
        <v>51.48</v>
      </c>
    </row>
    <row r="694" spans="1:2" x14ac:dyDescent="0.2">
      <c r="A694" s="2205" t="s">
        <v>7949</v>
      </c>
      <c r="B694" s="2205">
        <v>289.44</v>
      </c>
    </row>
    <row r="695" spans="1:2" x14ac:dyDescent="0.2">
      <c r="A695" s="2205" t="s">
        <v>7950</v>
      </c>
      <c r="B695" s="2205">
        <v>72.7</v>
      </c>
    </row>
    <row r="696" spans="1:2" x14ac:dyDescent="0.2">
      <c r="A696" s="2205" t="s">
        <v>7951</v>
      </c>
      <c r="B696" s="2205">
        <v>57482.44</v>
      </c>
    </row>
    <row r="697" spans="1:2" x14ac:dyDescent="0.2">
      <c r="A697" s="2205" t="s">
        <v>7952</v>
      </c>
      <c r="B697" s="2205">
        <v>668.4</v>
      </c>
    </row>
    <row r="698" spans="1:2" x14ac:dyDescent="0.2">
      <c r="A698" s="2205" t="s">
        <v>7953</v>
      </c>
      <c r="B698" s="2205">
        <v>1514.7</v>
      </c>
    </row>
    <row r="699" spans="1:2" x14ac:dyDescent="0.2">
      <c r="A699" s="2205" t="s">
        <v>7954</v>
      </c>
      <c r="B699" s="2205">
        <v>2293.69</v>
      </c>
    </row>
    <row r="700" spans="1:2" x14ac:dyDescent="0.2">
      <c r="A700" s="2205" t="s">
        <v>7955</v>
      </c>
      <c r="B700" s="2205">
        <v>12.02</v>
      </c>
    </row>
    <row r="701" spans="1:2" x14ac:dyDescent="0.2">
      <c r="A701" s="2205" t="s">
        <v>7956</v>
      </c>
      <c r="B701" s="2205">
        <v>827.45</v>
      </c>
    </row>
    <row r="702" spans="1:2" x14ac:dyDescent="0.2">
      <c r="A702" s="2205" t="s">
        <v>7957</v>
      </c>
      <c r="B702" s="2205">
        <v>3821.99</v>
      </c>
    </row>
    <row r="703" spans="1:2" x14ac:dyDescent="0.2">
      <c r="A703" s="2205" t="s">
        <v>7958</v>
      </c>
      <c r="B703" s="2205">
        <v>2188.5100000000002</v>
      </c>
    </row>
    <row r="704" spans="1:2" x14ac:dyDescent="0.2">
      <c r="A704" s="2205" t="s">
        <v>7959</v>
      </c>
      <c r="B704" s="2205">
        <v>87.5</v>
      </c>
    </row>
    <row r="705" spans="1:2" x14ac:dyDescent="0.2">
      <c r="A705" s="2205" t="s">
        <v>7960</v>
      </c>
      <c r="B705" s="2205">
        <v>12.02</v>
      </c>
    </row>
    <row r="706" spans="1:2" x14ac:dyDescent="0.2">
      <c r="A706" s="2205" t="s">
        <v>7961</v>
      </c>
      <c r="B706" s="2205">
        <v>18.03</v>
      </c>
    </row>
    <row r="707" spans="1:2" x14ac:dyDescent="0.2">
      <c r="A707" s="2205" t="s">
        <v>7962</v>
      </c>
      <c r="B707" s="2205">
        <v>360.96</v>
      </c>
    </row>
    <row r="708" spans="1:2" x14ac:dyDescent="0.2">
      <c r="A708" s="2205" t="s">
        <v>7963</v>
      </c>
      <c r="B708" s="2205">
        <v>3157.69</v>
      </c>
    </row>
    <row r="709" spans="1:2" x14ac:dyDescent="0.2">
      <c r="A709" s="2205" t="s">
        <v>7964</v>
      </c>
      <c r="B709" s="2205">
        <v>0</v>
      </c>
    </row>
    <row r="710" spans="1:2" x14ac:dyDescent="0.2">
      <c r="A710" s="2205" t="s">
        <v>7965</v>
      </c>
      <c r="B710" s="2205">
        <v>304.95</v>
      </c>
    </row>
    <row r="711" spans="1:2" x14ac:dyDescent="0.2">
      <c r="A711" s="2205" t="s">
        <v>7966</v>
      </c>
      <c r="B711" s="2205">
        <v>32.96</v>
      </c>
    </row>
    <row r="712" spans="1:2" x14ac:dyDescent="0.2">
      <c r="A712" s="2205" t="s">
        <v>7967</v>
      </c>
      <c r="B712" s="2205">
        <v>1217.1500000000001</v>
      </c>
    </row>
    <row r="713" spans="1:2" x14ac:dyDescent="0.2">
      <c r="A713" s="2205" t="s">
        <v>1021</v>
      </c>
      <c r="B713" s="2205">
        <v>27995.75</v>
      </c>
    </row>
    <row r="714" spans="1:2" x14ac:dyDescent="0.2">
      <c r="A714" s="2205" t="s">
        <v>1752</v>
      </c>
      <c r="B714" s="2205">
        <v>57627.43</v>
      </c>
    </row>
    <row r="715" spans="1:2" x14ac:dyDescent="0.2">
      <c r="A715" s="2205" t="s">
        <v>1931</v>
      </c>
      <c r="B715" s="2205">
        <v>7560.12</v>
      </c>
    </row>
    <row r="716" spans="1:2" x14ac:dyDescent="0.2">
      <c r="A716" s="2205" t="s">
        <v>2845</v>
      </c>
      <c r="B716" s="2205">
        <v>1000194.33</v>
      </c>
    </row>
    <row r="717" spans="1:2" x14ac:dyDescent="0.2">
      <c r="A717" s="2205" t="s">
        <v>907</v>
      </c>
      <c r="B717" s="2205">
        <v>1865551.06</v>
      </c>
    </row>
    <row r="718" spans="1:2" x14ac:dyDescent="0.2">
      <c r="A718" s="2205" t="s">
        <v>437</v>
      </c>
      <c r="B718" s="2205">
        <v>125461.03</v>
      </c>
    </row>
    <row r="719" spans="1:2" x14ac:dyDescent="0.2">
      <c r="A719" s="2205" t="s">
        <v>1724</v>
      </c>
      <c r="B719" s="2205">
        <v>12000</v>
      </c>
    </row>
    <row r="720" spans="1:2" x14ac:dyDescent="0.2">
      <c r="A720" s="2205" t="s">
        <v>960</v>
      </c>
      <c r="B720" s="2205">
        <v>33971.01</v>
      </c>
    </row>
    <row r="721" spans="1:2" x14ac:dyDescent="0.2">
      <c r="A721" s="2205" t="s">
        <v>3086</v>
      </c>
      <c r="B721" s="2205">
        <v>7436.48</v>
      </c>
    </row>
    <row r="722" spans="1:2" x14ac:dyDescent="0.2">
      <c r="A722" s="2205" t="s">
        <v>1778</v>
      </c>
      <c r="B722" s="2205">
        <v>18239.07</v>
      </c>
    </row>
    <row r="723" spans="1:2" x14ac:dyDescent="0.2">
      <c r="A723" s="2205" t="s">
        <v>1755</v>
      </c>
      <c r="B723" s="2205">
        <v>20231.66</v>
      </c>
    </row>
    <row r="724" spans="1:2" x14ac:dyDescent="0.2">
      <c r="A724" s="2205" t="s">
        <v>2706</v>
      </c>
      <c r="B724" s="2205">
        <v>1303.68</v>
      </c>
    </row>
    <row r="725" spans="1:2" x14ac:dyDescent="0.2">
      <c r="A725" s="2205" t="s">
        <v>47</v>
      </c>
      <c r="B725" s="2205">
        <v>29151.33</v>
      </c>
    </row>
    <row r="726" spans="1:2" x14ac:dyDescent="0.2">
      <c r="A726" s="2205" t="s">
        <v>1411</v>
      </c>
      <c r="B726" s="2205">
        <v>50</v>
      </c>
    </row>
    <row r="727" spans="1:2" x14ac:dyDescent="0.2">
      <c r="A727" s="2205" t="s">
        <v>6309</v>
      </c>
      <c r="B727" s="2205">
        <v>67000</v>
      </c>
    </row>
    <row r="728" spans="1:2" x14ac:dyDescent="0.2">
      <c r="A728" s="2205" t="s">
        <v>262</v>
      </c>
      <c r="B728" s="2205">
        <v>271200</v>
      </c>
    </row>
    <row r="729" spans="1:2" x14ac:dyDescent="0.2">
      <c r="A729" s="2205" t="s">
        <v>3137</v>
      </c>
      <c r="B729" s="2205">
        <v>340000</v>
      </c>
    </row>
    <row r="730" spans="1:2" x14ac:dyDescent="0.2">
      <c r="A730" s="2205" t="s">
        <v>7249</v>
      </c>
      <c r="B730" s="2205">
        <v>39700</v>
      </c>
    </row>
    <row r="731" spans="1:2" x14ac:dyDescent="0.2">
      <c r="A731" s="2205" t="s">
        <v>1916</v>
      </c>
      <c r="B731" s="2205">
        <v>597.78</v>
      </c>
    </row>
    <row r="732" spans="1:2" x14ac:dyDescent="0.2">
      <c r="A732" s="2205" t="s">
        <v>800</v>
      </c>
      <c r="B732" s="2205">
        <v>7303.28</v>
      </c>
    </row>
    <row r="733" spans="1:2" x14ac:dyDescent="0.2">
      <c r="A733" s="2205" t="s">
        <v>1034</v>
      </c>
      <c r="B733" s="2205">
        <v>27995.21</v>
      </c>
    </row>
    <row r="734" spans="1:2" x14ac:dyDescent="0.2">
      <c r="A734" s="2205" t="s">
        <v>3134</v>
      </c>
      <c r="B734" s="2205">
        <v>100000</v>
      </c>
    </row>
    <row r="735" spans="1:2" x14ac:dyDescent="0.2">
      <c r="A735" s="2205" t="s">
        <v>462</v>
      </c>
      <c r="B735" s="2205">
        <v>194800</v>
      </c>
    </row>
    <row r="736" spans="1:2" x14ac:dyDescent="0.2">
      <c r="A736" s="2205" t="s">
        <v>7248</v>
      </c>
      <c r="B736" s="2205">
        <v>32200</v>
      </c>
    </row>
    <row r="737" spans="1:2" x14ac:dyDescent="0.2">
      <c r="A737" s="2205" t="s">
        <v>578</v>
      </c>
      <c r="B737" s="2205">
        <v>8919.65</v>
      </c>
    </row>
    <row r="738" spans="1:2" x14ac:dyDescent="0.2">
      <c r="A738" s="2205" t="s">
        <v>1854</v>
      </c>
      <c r="B738" s="2205">
        <v>896.65</v>
      </c>
    </row>
    <row r="739" spans="1:2" x14ac:dyDescent="0.2">
      <c r="A739" s="2205" t="s">
        <v>7968</v>
      </c>
      <c r="B739" s="2205">
        <v>1479.37</v>
      </c>
    </row>
    <row r="740" spans="1:2" x14ac:dyDescent="0.2">
      <c r="A740" s="2205" t="s">
        <v>7969</v>
      </c>
      <c r="B740" s="2205">
        <v>3876.89</v>
      </c>
    </row>
    <row r="741" spans="1:2" x14ac:dyDescent="0.2">
      <c r="A741" s="2205" t="s">
        <v>33</v>
      </c>
      <c r="B741" s="2205">
        <v>10356.02</v>
      </c>
    </row>
    <row r="742" spans="1:2" x14ac:dyDescent="0.2">
      <c r="A742" s="2205" t="s">
        <v>28</v>
      </c>
      <c r="B742" s="2205">
        <v>12391.98</v>
      </c>
    </row>
    <row r="743" spans="1:2" x14ac:dyDescent="0.2">
      <c r="A743" s="2205" t="s">
        <v>1827</v>
      </c>
      <c r="B743" s="2205">
        <v>29639.57</v>
      </c>
    </row>
    <row r="744" spans="1:2" x14ac:dyDescent="0.2">
      <c r="A744" s="2205" t="s">
        <v>2977</v>
      </c>
      <c r="B744" s="2205">
        <v>11051.18</v>
      </c>
    </row>
    <row r="745" spans="1:2" x14ac:dyDescent="0.2">
      <c r="A745" s="2205" t="s">
        <v>3363</v>
      </c>
      <c r="B745" s="2205">
        <v>12316.54</v>
      </c>
    </row>
    <row r="746" spans="1:2" x14ac:dyDescent="0.2">
      <c r="A746" s="2205" t="s">
        <v>2962</v>
      </c>
      <c r="B746" s="2205">
        <v>12275.14</v>
      </c>
    </row>
    <row r="747" spans="1:2" x14ac:dyDescent="0.2">
      <c r="A747" s="2205" t="s">
        <v>7970</v>
      </c>
      <c r="B747" s="2205">
        <v>10449.26</v>
      </c>
    </row>
    <row r="748" spans="1:2" x14ac:dyDescent="0.2">
      <c r="A748" s="2205" t="s">
        <v>1831</v>
      </c>
      <c r="B748" s="2205">
        <v>64702.25</v>
      </c>
    </row>
    <row r="749" spans="1:2" x14ac:dyDescent="0.2">
      <c r="A749" s="2205" t="s">
        <v>2113</v>
      </c>
      <c r="B749" s="2205">
        <v>32588.11</v>
      </c>
    </row>
    <row r="750" spans="1:2" x14ac:dyDescent="0.2">
      <c r="A750" s="2205" t="s">
        <v>3361</v>
      </c>
      <c r="B750" s="2205">
        <v>12000</v>
      </c>
    </row>
    <row r="751" spans="1:2" x14ac:dyDescent="0.2">
      <c r="A751" s="2205" t="s">
        <v>7971</v>
      </c>
      <c r="B751" s="2205">
        <v>0</v>
      </c>
    </row>
    <row r="752" spans="1:2" x14ac:dyDescent="0.2">
      <c r="A752" s="2205" t="s">
        <v>7972</v>
      </c>
      <c r="B752" s="2205">
        <v>21497.55</v>
      </c>
    </row>
    <row r="753" spans="1:2" x14ac:dyDescent="0.2">
      <c r="A753" s="2205" t="s">
        <v>1141</v>
      </c>
      <c r="B753" s="2205">
        <v>104314.75</v>
      </c>
    </row>
    <row r="754" spans="1:2" x14ac:dyDescent="0.2">
      <c r="A754" s="2205" t="s">
        <v>2328</v>
      </c>
      <c r="B754" s="2205">
        <v>57226.64</v>
      </c>
    </row>
    <row r="755" spans="1:2" x14ac:dyDescent="0.2">
      <c r="A755" s="2205" t="s">
        <v>1632</v>
      </c>
      <c r="B755" s="2205">
        <v>99012.75</v>
      </c>
    </row>
    <row r="756" spans="1:2" x14ac:dyDescent="0.2">
      <c r="A756" s="2205" t="s">
        <v>1796</v>
      </c>
      <c r="B756" s="2205">
        <v>6861.26</v>
      </c>
    </row>
    <row r="757" spans="1:2" x14ac:dyDescent="0.2">
      <c r="A757" s="2205" t="s">
        <v>7075</v>
      </c>
      <c r="B757" s="2205">
        <v>884.22</v>
      </c>
    </row>
    <row r="758" spans="1:2" x14ac:dyDescent="0.2">
      <c r="A758" s="2205" t="s">
        <v>2114</v>
      </c>
      <c r="B758" s="2205">
        <v>6972.95</v>
      </c>
    </row>
    <row r="759" spans="1:2" x14ac:dyDescent="0.2">
      <c r="A759" s="2205" t="s">
        <v>692</v>
      </c>
      <c r="B759" s="2205">
        <v>6852.44</v>
      </c>
    </row>
    <row r="760" spans="1:2" x14ac:dyDescent="0.2">
      <c r="A760" s="2205" t="s">
        <v>1528</v>
      </c>
      <c r="B760" s="2205">
        <v>31135.759999999998</v>
      </c>
    </row>
    <row r="761" spans="1:2" x14ac:dyDescent="0.2">
      <c r="A761" s="2205" t="s">
        <v>2822</v>
      </c>
      <c r="B761" s="2205">
        <v>58761.55</v>
      </c>
    </row>
    <row r="762" spans="1:2" x14ac:dyDescent="0.2">
      <c r="A762" s="2205" t="s">
        <v>99</v>
      </c>
      <c r="B762" s="2205">
        <v>2713.77</v>
      </c>
    </row>
    <row r="763" spans="1:2" x14ac:dyDescent="0.2">
      <c r="A763" s="2205" t="s">
        <v>1099</v>
      </c>
      <c r="B763" s="2205">
        <v>9612.61</v>
      </c>
    </row>
    <row r="764" spans="1:2" x14ac:dyDescent="0.2">
      <c r="A764" s="2205" t="s">
        <v>7973</v>
      </c>
      <c r="B764" s="2205">
        <v>42.83</v>
      </c>
    </row>
    <row r="765" spans="1:2" x14ac:dyDescent="0.2">
      <c r="A765" s="2205" t="s">
        <v>7974</v>
      </c>
      <c r="B765" s="2205">
        <v>493.7</v>
      </c>
    </row>
    <row r="766" spans="1:2" x14ac:dyDescent="0.2">
      <c r="A766" s="2205" t="s">
        <v>7975</v>
      </c>
      <c r="B766" s="2205">
        <v>77.56</v>
      </c>
    </row>
    <row r="767" spans="1:2" x14ac:dyDescent="0.2">
      <c r="A767" s="2205" t="s">
        <v>7976</v>
      </c>
      <c r="B767" s="2205">
        <v>229.4</v>
      </c>
    </row>
    <row r="768" spans="1:2" x14ac:dyDescent="0.2">
      <c r="A768" s="2205" t="s">
        <v>7977</v>
      </c>
      <c r="B768" s="2205">
        <v>917.38</v>
      </c>
    </row>
    <row r="769" spans="1:2" x14ac:dyDescent="0.2">
      <c r="A769" s="2205" t="s">
        <v>7978</v>
      </c>
      <c r="B769" s="2205">
        <v>4078.42</v>
      </c>
    </row>
    <row r="770" spans="1:2" x14ac:dyDescent="0.2">
      <c r="A770" s="2205" t="s">
        <v>7979</v>
      </c>
      <c r="B770" s="2205">
        <v>117.09</v>
      </c>
    </row>
    <row r="771" spans="1:2" x14ac:dyDescent="0.2">
      <c r="A771" s="2205" t="s">
        <v>7980</v>
      </c>
      <c r="B771" s="2205">
        <v>3968.19</v>
      </c>
    </row>
    <row r="772" spans="1:2" x14ac:dyDescent="0.2">
      <c r="A772" s="2205" t="s">
        <v>7981</v>
      </c>
      <c r="B772" s="2205">
        <v>77.319999999999993</v>
      </c>
    </row>
    <row r="773" spans="1:2" x14ac:dyDescent="0.2">
      <c r="A773" s="2205" t="s">
        <v>7982</v>
      </c>
      <c r="B773" s="2205">
        <v>316.97000000000003</v>
      </c>
    </row>
    <row r="774" spans="1:2" x14ac:dyDescent="0.2">
      <c r="A774" s="2205" t="s">
        <v>7983</v>
      </c>
      <c r="B774" s="2205">
        <v>3</v>
      </c>
    </row>
    <row r="775" spans="1:2" x14ac:dyDescent="0.2">
      <c r="A775" s="2205" t="s">
        <v>7984</v>
      </c>
      <c r="B775" s="2205">
        <v>47.67</v>
      </c>
    </row>
    <row r="776" spans="1:2" x14ac:dyDescent="0.2">
      <c r="A776" s="2205" t="s">
        <v>7985</v>
      </c>
      <c r="B776" s="2205">
        <v>139.22</v>
      </c>
    </row>
    <row r="777" spans="1:2" x14ac:dyDescent="0.2">
      <c r="A777" s="2205" t="s">
        <v>7986</v>
      </c>
      <c r="B777" s="2205">
        <v>588.52</v>
      </c>
    </row>
    <row r="778" spans="1:2" x14ac:dyDescent="0.2">
      <c r="A778" s="2205" t="s">
        <v>7987</v>
      </c>
      <c r="B778" s="2205">
        <v>7197.56</v>
      </c>
    </row>
    <row r="779" spans="1:2" x14ac:dyDescent="0.2">
      <c r="A779" s="2205" t="s">
        <v>7988</v>
      </c>
      <c r="B779" s="2205">
        <v>12.2</v>
      </c>
    </row>
    <row r="780" spans="1:2" x14ac:dyDescent="0.2">
      <c r="A780" s="2205" t="s">
        <v>7989</v>
      </c>
      <c r="B780" s="2205">
        <v>591.87</v>
      </c>
    </row>
    <row r="781" spans="1:2" x14ac:dyDescent="0.2">
      <c r="A781" s="2205" t="s">
        <v>7990</v>
      </c>
      <c r="B781" s="2205">
        <v>687.5</v>
      </c>
    </row>
    <row r="782" spans="1:2" x14ac:dyDescent="0.2">
      <c r="A782" s="2205" t="s">
        <v>7991</v>
      </c>
      <c r="B782" s="2205">
        <v>6209.93</v>
      </c>
    </row>
    <row r="783" spans="1:2" x14ac:dyDescent="0.2">
      <c r="A783" s="2205" t="s">
        <v>7992</v>
      </c>
      <c r="B783" s="2205">
        <v>7286.14</v>
      </c>
    </row>
    <row r="784" spans="1:2" x14ac:dyDescent="0.2">
      <c r="A784" s="2205" t="s">
        <v>7993</v>
      </c>
      <c r="B784" s="2205">
        <v>20.36</v>
      </c>
    </row>
    <row r="785" spans="1:2" x14ac:dyDescent="0.2">
      <c r="A785" s="2205" t="s">
        <v>7994</v>
      </c>
      <c r="B785" s="2205">
        <v>1031.74</v>
      </c>
    </row>
    <row r="786" spans="1:2" x14ac:dyDescent="0.2">
      <c r="A786" s="2205" t="s">
        <v>7995</v>
      </c>
      <c r="B786" s="2205">
        <v>0</v>
      </c>
    </row>
    <row r="787" spans="1:2" x14ac:dyDescent="0.2">
      <c r="A787" s="2205" t="s">
        <v>7996</v>
      </c>
      <c r="B787" s="2205">
        <v>830.21</v>
      </c>
    </row>
    <row r="788" spans="1:2" x14ac:dyDescent="0.2">
      <c r="A788" s="2205" t="s">
        <v>7997</v>
      </c>
      <c r="B788" s="2205">
        <v>437.33</v>
      </c>
    </row>
    <row r="789" spans="1:2" x14ac:dyDescent="0.2">
      <c r="A789" s="2205" t="s">
        <v>7998</v>
      </c>
      <c r="B789" s="2205">
        <v>7502.93</v>
      </c>
    </row>
    <row r="790" spans="1:2" x14ac:dyDescent="0.2">
      <c r="A790" s="2205" t="s">
        <v>7999</v>
      </c>
      <c r="B790" s="2205">
        <v>39.82</v>
      </c>
    </row>
    <row r="791" spans="1:2" x14ac:dyDescent="0.2">
      <c r="A791" s="2205" t="s">
        <v>8000</v>
      </c>
      <c r="B791" s="2205">
        <v>29.68</v>
      </c>
    </row>
    <row r="792" spans="1:2" x14ac:dyDescent="0.2">
      <c r="A792" s="2205" t="s">
        <v>8001</v>
      </c>
      <c r="B792" s="2205">
        <v>194.51</v>
      </c>
    </row>
    <row r="793" spans="1:2" x14ac:dyDescent="0.2">
      <c r="A793" s="2205" t="s">
        <v>8002</v>
      </c>
      <c r="B793" s="2205">
        <v>119.39</v>
      </c>
    </row>
    <row r="794" spans="1:2" x14ac:dyDescent="0.2">
      <c r="A794" s="2205" t="s">
        <v>8003</v>
      </c>
      <c r="B794" s="2205">
        <v>803.61</v>
      </c>
    </row>
    <row r="795" spans="1:2" x14ac:dyDescent="0.2">
      <c r="A795" s="2205" t="s">
        <v>8004</v>
      </c>
      <c r="B795" s="2205">
        <v>214.3</v>
      </c>
    </row>
    <row r="796" spans="1:2" x14ac:dyDescent="0.2">
      <c r="A796" s="2205" t="s">
        <v>8005</v>
      </c>
      <c r="B796" s="2205">
        <v>5220</v>
      </c>
    </row>
    <row r="797" spans="1:2" x14ac:dyDescent="0.2">
      <c r="A797" s="2205" t="s">
        <v>8006</v>
      </c>
      <c r="B797" s="2205">
        <v>26718.28</v>
      </c>
    </row>
    <row r="798" spans="1:2" x14ac:dyDescent="0.2">
      <c r="A798" s="2205" t="s">
        <v>8007</v>
      </c>
      <c r="B798" s="2205">
        <v>958.85</v>
      </c>
    </row>
    <row r="799" spans="1:2" x14ac:dyDescent="0.2">
      <c r="A799" s="2205" t="s">
        <v>8008</v>
      </c>
      <c r="B799" s="2205">
        <v>1455.38</v>
      </c>
    </row>
    <row r="800" spans="1:2" x14ac:dyDescent="0.2">
      <c r="A800" s="2205" t="s">
        <v>8009</v>
      </c>
      <c r="B800" s="2205">
        <v>85.14</v>
      </c>
    </row>
    <row r="801" spans="1:2" x14ac:dyDescent="0.2">
      <c r="A801" s="2205" t="s">
        <v>8010</v>
      </c>
      <c r="B801" s="2205">
        <v>1796.94</v>
      </c>
    </row>
    <row r="802" spans="1:2" x14ac:dyDescent="0.2">
      <c r="A802" s="2205" t="s">
        <v>8011</v>
      </c>
      <c r="B802" s="2205">
        <v>68.75</v>
      </c>
    </row>
    <row r="803" spans="1:2" x14ac:dyDescent="0.2">
      <c r="A803" s="2205" t="s">
        <v>8012</v>
      </c>
      <c r="B803" s="2205">
        <v>1198.33</v>
      </c>
    </row>
    <row r="804" spans="1:2" x14ac:dyDescent="0.2">
      <c r="A804" s="2205" t="s">
        <v>8013</v>
      </c>
      <c r="B804" s="2205">
        <v>279</v>
      </c>
    </row>
    <row r="805" spans="1:2" x14ac:dyDescent="0.2">
      <c r="A805" s="2205" t="s">
        <v>8014</v>
      </c>
      <c r="B805" s="2205">
        <v>3161.99</v>
      </c>
    </row>
    <row r="806" spans="1:2" x14ac:dyDescent="0.2">
      <c r="A806" s="2205" t="s">
        <v>8015</v>
      </c>
      <c r="B806" s="2205">
        <v>80.400000000000006</v>
      </c>
    </row>
    <row r="807" spans="1:2" x14ac:dyDescent="0.2">
      <c r="A807" s="2205" t="s">
        <v>8016</v>
      </c>
      <c r="B807" s="2205">
        <v>3698.38</v>
      </c>
    </row>
    <row r="808" spans="1:2" x14ac:dyDescent="0.2">
      <c r="A808" s="2205" t="s">
        <v>8017</v>
      </c>
      <c r="B808" s="2205">
        <v>92.82</v>
      </c>
    </row>
    <row r="809" spans="1:2" x14ac:dyDescent="0.2">
      <c r="A809" s="2205" t="s">
        <v>8018</v>
      </c>
      <c r="B809" s="2205">
        <v>6631.75</v>
      </c>
    </row>
    <row r="810" spans="1:2" x14ac:dyDescent="0.2">
      <c r="A810" s="2205" t="s">
        <v>8019</v>
      </c>
      <c r="B810" s="2205">
        <v>72.290000000000006</v>
      </c>
    </row>
    <row r="811" spans="1:2" x14ac:dyDescent="0.2">
      <c r="A811" s="2205" t="s">
        <v>8020</v>
      </c>
      <c r="B811" s="2205">
        <v>245.86</v>
      </c>
    </row>
    <row r="812" spans="1:2" x14ac:dyDescent="0.2">
      <c r="A812" s="2205" t="s">
        <v>8021</v>
      </c>
      <c r="B812" s="2205">
        <v>6.84</v>
      </c>
    </row>
    <row r="813" spans="1:2" x14ac:dyDescent="0.2">
      <c r="A813" s="2205" t="s">
        <v>8022</v>
      </c>
      <c r="B813" s="2205">
        <v>9201.75</v>
      </c>
    </row>
    <row r="814" spans="1:2" x14ac:dyDescent="0.2">
      <c r="A814" s="2205" t="s">
        <v>8023</v>
      </c>
      <c r="B814" s="2205">
        <v>696.66</v>
      </c>
    </row>
    <row r="815" spans="1:2" x14ac:dyDescent="0.2">
      <c r="A815" s="2205" t="s">
        <v>8024</v>
      </c>
      <c r="B815" s="2205">
        <v>56.35</v>
      </c>
    </row>
    <row r="816" spans="1:2" x14ac:dyDescent="0.2">
      <c r="A816" s="2205" t="s">
        <v>8025</v>
      </c>
      <c r="B816" s="2205">
        <v>312.70999999999998</v>
      </c>
    </row>
    <row r="817" spans="1:2" x14ac:dyDescent="0.2">
      <c r="A817" s="2205" t="s">
        <v>8026</v>
      </c>
      <c r="B817" s="2205">
        <v>21.81</v>
      </c>
    </row>
    <row r="818" spans="1:2" x14ac:dyDescent="0.2">
      <c r="A818" s="2205" t="s">
        <v>8027</v>
      </c>
      <c r="B818" s="2205">
        <v>957.43</v>
      </c>
    </row>
    <row r="819" spans="1:2" x14ac:dyDescent="0.2">
      <c r="A819" s="2205" t="s">
        <v>8028</v>
      </c>
      <c r="B819" s="2205">
        <v>15.65</v>
      </c>
    </row>
    <row r="820" spans="1:2" x14ac:dyDescent="0.2">
      <c r="A820" s="2205" t="s">
        <v>8029</v>
      </c>
      <c r="B820" s="2205">
        <v>37.5</v>
      </c>
    </row>
    <row r="821" spans="1:2" x14ac:dyDescent="0.2">
      <c r="A821" s="2205" t="s">
        <v>8030</v>
      </c>
      <c r="B821" s="2205">
        <v>193.18</v>
      </c>
    </row>
    <row r="822" spans="1:2" x14ac:dyDescent="0.2">
      <c r="A822" s="2205" t="s">
        <v>8031</v>
      </c>
      <c r="B822" s="2205">
        <v>8626.6</v>
      </c>
    </row>
    <row r="823" spans="1:2" x14ac:dyDescent="0.2">
      <c r="A823" s="2205" t="s">
        <v>8032</v>
      </c>
      <c r="B823" s="2205">
        <v>556.59</v>
      </c>
    </row>
    <row r="824" spans="1:2" x14ac:dyDescent="0.2">
      <c r="A824" s="2205" t="s">
        <v>8033</v>
      </c>
      <c r="B824" s="2205">
        <v>1162.55</v>
      </c>
    </row>
    <row r="825" spans="1:2" x14ac:dyDescent="0.2">
      <c r="A825" s="2205" t="s">
        <v>8034</v>
      </c>
      <c r="B825" s="2205">
        <v>3449.94</v>
      </c>
    </row>
    <row r="826" spans="1:2" x14ac:dyDescent="0.2">
      <c r="A826" s="2205" t="s">
        <v>8035</v>
      </c>
      <c r="B826" s="2205">
        <v>620.73</v>
      </c>
    </row>
    <row r="827" spans="1:2" x14ac:dyDescent="0.2">
      <c r="A827" s="2205" t="s">
        <v>8036</v>
      </c>
      <c r="B827" s="2205">
        <v>6361.22</v>
      </c>
    </row>
    <row r="828" spans="1:2" x14ac:dyDescent="0.2">
      <c r="A828" s="2205" t="s">
        <v>8037</v>
      </c>
      <c r="B828" s="2205">
        <v>4952.55</v>
      </c>
    </row>
    <row r="829" spans="1:2" x14ac:dyDescent="0.2">
      <c r="A829" s="2205" t="s">
        <v>8038</v>
      </c>
      <c r="B829" s="2205">
        <v>511</v>
      </c>
    </row>
    <row r="830" spans="1:2" x14ac:dyDescent="0.2">
      <c r="A830" s="2205" t="s">
        <v>8039</v>
      </c>
      <c r="B830" s="2205">
        <v>531.25</v>
      </c>
    </row>
    <row r="831" spans="1:2" x14ac:dyDescent="0.2">
      <c r="A831" s="2205" t="s">
        <v>8040</v>
      </c>
      <c r="B831" s="2205">
        <v>14633.44</v>
      </c>
    </row>
    <row r="832" spans="1:2" x14ac:dyDescent="0.2">
      <c r="A832" s="2205" t="s">
        <v>8041</v>
      </c>
      <c r="B832" s="2205">
        <v>291.79000000000002</v>
      </c>
    </row>
    <row r="833" spans="1:2" x14ac:dyDescent="0.2">
      <c r="A833" s="2205" t="s">
        <v>8042</v>
      </c>
      <c r="B833" s="2205">
        <v>34.369999999999997</v>
      </c>
    </row>
    <row r="834" spans="1:2" x14ac:dyDescent="0.2">
      <c r="A834" s="2205" t="s">
        <v>8043</v>
      </c>
      <c r="B834" s="2205">
        <v>0</v>
      </c>
    </row>
    <row r="835" spans="1:2" x14ac:dyDescent="0.2">
      <c r="A835" s="2205" t="s">
        <v>8044</v>
      </c>
      <c r="B835" s="2205">
        <v>15.09</v>
      </c>
    </row>
    <row r="836" spans="1:2" x14ac:dyDescent="0.2">
      <c r="A836" s="2205" t="s">
        <v>8045</v>
      </c>
      <c r="B836" s="2205">
        <v>1446.72</v>
      </c>
    </row>
    <row r="837" spans="1:2" x14ac:dyDescent="0.2">
      <c r="A837" s="2205" t="s">
        <v>8046</v>
      </c>
      <c r="B837" s="2205">
        <v>48357</v>
      </c>
    </row>
    <row r="838" spans="1:2" x14ac:dyDescent="0.2">
      <c r="A838" s="2205" t="s">
        <v>8047</v>
      </c>
      <c r="B838" s="2205">
        <v>624.16</v>
      </c>
    </row>
    <row r="839" spans="1:2" x14ac:dyDescent="0.2">
      <c r="A839" s="2205" t="s">
        <v>8048</v>
      </c>
      <c r="B839" s="2205">
        <v>86.17</v>
      </c>
    </row>
    <row r="840" spans="1:2" x14ac:dyDescent="0.2">
      <c r="A840" s="2205" t="s">
        <v>8049</v>
      </c>
      <c r="B840" s="2205">
        <v>3808.17</v>
      </c>
    </row>
    <row r="841" spans="1:2" x14ac:dyDescent="0.2">
      <c r="A841" s="2205" t="s">
        <v>8050</v>
      </c>
      <c r="B841" s="2205">
        <v>410.03</v>
      </c>
    </row>
    <row r="842" spans="1:2" x14ac:dyDescent="0.2">
      <c r="A842" s="2205" t="s">
        <v>8051</v>
      </c>
      <c r="B842" s="2205">
        <v>1112.2</v>
      </c>
    </row>
    <row r="843" spans="1:2" x14ac:dyDescent="0.2">
      <c r="A843" s="2205" t="s">
        <v>8052</v>
      </c>
      <c r="B843" s="2205">
        <v>182.37</v>
      </c>
    </row>
    <row r="844" spans="1:2" x14ac:dyDescent="0.2">
      <c r="A844" s="2205" t="s">
        <v>8053</v>
      </c>
      <c r="B844" s="2205">
        <v>492.51</v>
      </c>
    </row>
    <row r="845" spans="1:2" x14ac:dyDescent="0.2">
      <c r="A845" s="2205" t="s">
        <v>8054</v>
      </c>
      <c r="B845" s="2205">
        <v>9.15</v>
      </c>
    </row>
    <row r="846" spans="1:2" x14ac:dyDescent="0.2">
      <c r="A846" s="2205" t="s">
        <v>8055</v>
      </c>
      <c r="B846" s="2205">
        <v>1795.72</v>
      </c>
    </row>
    <row r="847" spans="1:2" x14ac:dyDescent="0.2">
      <c r="A847" s="2205" t="s">
        <v>8056</v>
      </c>
      <c r="B847" s="2205">
        <v>392.21</v>
      </c>
    </row>
    <row r="848" spans="1:2" x14ac:dyDescent="0.2">
      <c r="A848" s="2205" t="s">
        <v>8057</v>
      </c>
      <c r="B848" s="2205">
        <v>872.5</v>
      </c>
    </row>
    <row r="849" spans="1:2" x14ac:dyDescent="0.2">
      <c r="A849" s="2205" t="s">
        <v>8058</v>
      </c>
      <c r="B849" s="2205">
        <v>298.66000000000003</v>
      </c>
    </row>
    <row r="850" spans="1:2" x14ac:dyDescent="0.2">
      <c r="A850" s="2205" t="s">
        <v>8059</v>
      </c>
      <c r="B850" s="2205">
        <v>165.89</v>
      </c>
    </row>
    <row r="851" spans="1:2" x14ac:dyDescent="0.2">
      <c r="A851" s="2205" t="s">
        <v>8060</v>
      </c>
      <c r="B851" s="2205">
        <v>93.91</v>
      </c>
    </row>
    <row r="852" spans="1:2" x14ac:dyDescent="0.2">
      <c r="A852" s="2205" t="s">
        <v>8061</v>
      </c>
      <c r="B852" s="2205">
        <v>1107.26</v>
      </c>
    </row>
    <row r="853" spans="1:2" x14ac:dyDescent="0.2">
      <c r="A853" s="2205" t="s">
        <v>8062</v>
      </c>
      <c r="B853" s="2205">
        <v>2379.15</v>
      </c>
    </row>
    <row r="854" spans="1:2" x14ac:dyDescent="0.2">
      <c r="A854" s="2205" t="s">
        <v>8063</v>
      </c>
      <c r="B854" s="2205">
        <v>59.56</v>
      </c>
    </row>
    <row r="855" spans="1:2" x14ac:dyDescent="0.2">
      <c r="A855" s="2205" t="s">
        <v>8064</v>
      </c>
      <c r="B855" s="2205">
        <v>385.23</v>
      </c>
    </row>
    <row r="856" spans="1:2" x14ac:dyDescent="0.2">
      <c r="A856" s="2205" t="s">
        <v>8065</v>
      </c>
      <c r="B856" s="2205">
        <v>499.26</v>
      </c>
    </row>
    <row r="857" spans="1:2" x14ac:dyDescent="0.2">
      <c r="A857" s="2205" t="s">
        <v>8066</v>
      </c>
      <c r="B857" s="2205">
        <v>99.95</v>
      </c>
    </row>
    <row r="858" spans="1:2" x14ac:dyDescent="0.2">
      <c r="A858" s="2205" t="s">
        <v>8067</v>
      </c>
      <c r="B858" s="2205">
        <v>394.62</v>
      </c>
    </row>
    <row r="859" spans="1:2" x14ac:dyDescent="0.2">
      <c r="A859" s="2205" t="s">
        <v>8068</v>
      </c>
      <c r="B859" s="2205">
        <v>66.08</v>
      </c>
    </row>
    <row r="860" spans="1:2" x14ac:dyDescent="0.2">
      <c r="A860" s="2205" t="s">
        <v>8069</v>
      </c>
      <c r="B860" s="2205">
        <v>87</v>
      </c>
    </row>
    <row r="861" spans="1:2" x14ac:dyDescent="0.2">
      <c r="A861" s="2205" t="s">
        <v>8070</v>
      </c>
      <c r="B861" s="2205">
        <v>64.040000000000006</v>
      </c>
    </row>
    <row r="862" spans="1:2" x14ac:dyDescent="0.2">
      <c r="A862" s="2205" t="s">
        <v>8071</v>
      </c>
      <c r="B862" s="2205">
        <v>2640</v>
      </c>
    </row>
    <row r="863" spans="1:2" x14ac:dyDescent="0.2">
      <c r="A863" s="2205" t="s">
        <v>8072</v>
      </c>
      <c r="B863" s="2205">
        <v>9035.2800000000007</v>
      </c>
    </row>
    <row r="864" spans="1:2" x14ac:dyDescent="0.2">
      <c r="A864" s="2205" t="s">
        <v>8073</v>
      </c>
      <c r="B864" s="2205">
        <v>1591.16</v>
      </c>
    </row>
    <row r="865" spans="1:2" x14ac:dyDescent="0.2">
      <c r="A865" s="2205" t="s">
        <v>8074</v>
      </c>
      <c r="B865" s="2205">
        <v>110750.57</v>
      </c>
    </row>
    <row r="866" spans="1:2" x14ac:dyDescent="0.2">
      <c r="A866" s="2205" t="s">
        <v>8075</v>
      </c>
      <c r="B866" s="2205">
        <v>87.5</v>
      </c>
    </row>
    <row r="867" spans="1:2" x14ac:dyDescent="0.2">
      <c r="A867" s="2205" t="s">
        <v>8076</v>
      </c>
      <c r="B867" s="2205">
        <v>161.41999999999999</v>
      </c>
    </row>
    <row r="868" spans="1:2" x14ac:dyDescent="0.2">
      <c r="A868" s="2205" t="s">
        <v>8077</v>
      </c>
      <c r="B868" s="2205">
        <v>2266.41</v>
      </c>
    </row>
    <row r="869" spans="1:2" x14ac:dyDescent="0.2">
      <c r="A869" s="2205" t="s">
        <v>8078</v>
      </c>
      <c r="B869" s="2205">
        <v>123.65</v>
      </c>
    </row>
    <row r="870" spans="1:2" x14ac:dyDescent="0.2">
      <c r="A870" s="2205" t="s">
        <v>8079</v>
      </c>
      <c r="B870" s="2205">
        <v>20</v>
      </c>
    </row>
    <row r="871" spans="1:2" x14ac:dyDescent="0.2">
      <c r="A871" s="2205" t="s">
        <v>8080</v>
      </c>
      <c r="B871" s="2205">
        <v>1036.8599999999999</v>
      </c>
    </row>
    <row r="872" spans="1:2" x14ac:dyDescent="0.2">
      <c r="A872" s="2205" t="s">
        <v>8081</v>
      </c>
      <c r="B872" s="2205">
        <v>0</v>
      </c>
    </row>
    <row r="873" spans="1:2" x14ac:dyDescent="0.2">
      <c r="A873" s="2205" t="s">
        <v>8082</v>
      </c>
      <c r="B873" s="2205">
        <v>823.57</v>
      </c>
    </row>
    <row r="874" spans="1:2" x14ac:dyDescent="0.2">
      <c r="A874" s="2205" t="s">
        <v>8083</v>
      </c>
      <c r="B874" s="2205">
        <v>93.05</v>
      </c>
    </row>
    <row r="875" spans="1:2" x14ac:dyDescent="0.2">
      <c r="A875" s="2205" t="s">
        <v>8084</v>
      </c>
      <c r="B875" s="2205">
        <v>42.86</v>
      </c>
    </row>
    <row r="876" spans="1:2" x14ac:dyDescent="0.2">
      <c r="A876" s="2205" t="s">
        <v>8085</v>
      </c>
      <c r="B876" s="2205">
        <v>640.79</v>
      </c>
    </row>
    <row r="877" spans="1:2" x14ac:dyDescent="0.2">
      <c r="A877" s="2205" t="s">
        <v>8086</v>
      </c>
      <c r="B877" s="2205">
        <v>248.64</v>
      </c>
    </row>
    <row r="878" spans="1:2" x14ac:dyDescent="0.2">
      <c r="A878" s="2205" t="s">
        <v>8087</v>
      </c>
      <c r="B878" s="2205">
        <v>2776.98</v>
      </c>
    </row>
    <row r="879" spans="1:2" x14ac:dyDescent="0.2">
      <c r="A879" s="2205" t="s">
        <v>8088</v>
      </c>
      <c r="B879" s="2205">
        <v>19.309999999999999</v>
      </c>
    </row>
    <row r="880" spans="1:2" x14ac:dyDescent="0.2">
      <c r="A880" s="2205" t="s">
        <v>8089</v>
      </c>
      <c r="B880" s="2205">
        <v>9263.09</v>
      </c>
    </row>
    <row r="881" spans="1:2" x14ac:dyDescent="0.2">
      <c r="A881" s="2205" t="s">
        <v>8090</v>
      </c>
      <c r="B881" s="2205">
        <v>118.75</v>
      </c>
    </row>
    <row r="882" spans="1:2" x14ac:dyDescent="0.2">
      <c r="A882" s="2205" t="s">
        <v>8091</v>
      </c>
      <c r="B882" s="2205">
        <v>11.72</v>
      </c>
    </row>
    <row r="883" spans="1:2" x14ac:dyDescent="0.2">
      <c r="A883" s="2205" t="s">
        <v>8092</v>
      </c>
      <c r="B883" s="2205">
        <v>12.84</v>
      </c>
    </row>
    <row r="884" spans="1:2" x14ac:dyDescent="0.2">
      <c r="A884" s="2205" t="s">
        <v>8093</v>
      </c>
      <c r="B884" s="2205">
        <v>15467.06</v>
      </c>
    </row>
    <row r="885" spans="1:2" x14ac:dyDescent="0.2">
      <c r="A885" s="2205" t="s">
        <v>8094</v>
      </c>
      <c r="B885" s="2205">
        <v>116.5</v>
      </c>
    </row>
    <row r="886" spans="1:2" x14ac:dyDescent="0.2">
      <c r="A886" s="2205" t="s">
        <v>8095</v>
      </c>
      <c r="B886" s="2205">
        <v>1798.65</v>
      </c>
    </row>
    <row r="887" spans="1:2" x14ac:dyDescent="0.2">
      <c r="A887" s="2205" t="s">
        <v>8096</v>
      </c>
      <c r="B887" s="2205">
        <v>4.1399999999999997</v>
      </c>
    </row>
    <row r="888" spans="1:2" x14ac:dyDescent="0.2">
      <c r="A888" s="2205" t="s">
        <v>8097</v>
      </c>
      <c r="B888" s="2205">
        <v>577.33000000000004</v>
      </c>
    </row>
    <row r="889" spans="1:2" x14ac:dyDescent="0.2">
      <c r="A889" s="2205" t="s">
        <v>8098</v>
      </c>
      <c r="B889" s="2205">
        <v>113.74</v>
      </c>
    </row>
    <row r="890" spans="1:2" x14ac:dyDescent="0.2">
      <c r="A890" s="2205" t="s">
        <v>8099</v>
      </c>
      <c r="B890" s="2205">
        <v>252.19</v>
      </c>
    </row>
    <row r="891" spans="1:2" x14ac:dyDescent="0.2">
      <c r="A891" s="2205" t="s">
        <v>8100</v>
      </c>
      <c r="B891" s="2205">
        <v>300.5</v>
      </c>
    </row>
    <row r="892" spans="1:2" x14ac:dyDescent="0.2">
      <c r="A892" s="2205" t="s">
        <v>8101</v>
      </c>
      <c r="B892" s="2205">
        <v>224.6</v>
      </c>
    </row>
    <row r="893" spans="1:2" x14ac:dyDescent="0.2">
      <c r="A893" s="2205" t="s">
        <v>8102</v>
      </c>
      <c r="B893" s="2205">
        <v>61.49</v>
      </c>
    </row>
    <row r="894" spans="1:2" x14ac:dyDescent="0.2">
      <c r="A894" s="2205" t="s">
        <v>8103</v>
      </c>
      <c r="B894" s="2205">
        <v>233.16</v>
      </c>
    </row>
    <row r="895" spans="1:2" x14ac:dyDescent="0.2">
      <c r="A895" s="2205" t="s">
        <v>8104</v>
      </c>
      <c r="B895" s="2205">
        <v>445.71</v>
      </c>
    </row>
    <row r="896" spans="1:2" x14ac:dyDescent="0.2">
      <c r="A896" s="2205" t="s">
        <v>8105</v>
      </c>
      <c r="B896" s="2205">
        <v>17866.71</v>
      </c>
    </row>
    <row r="897" spans="1:2" x14ac:dyDescent="0.2">
      <c r="A897" s="2205" t="s">
        <v>8106</v>
      </c>
      <c r="B897" s="2205">
        <v>60.62</v>
      </c>
    </row>
    <row r="898" spans="1:2" x14ac:dyDescent="0.2">
      <c r="A898" s="2205" t="s">
        <v>8107</v>
      </c>
      <c r="B898" s="2205">
        <v>228.09</v>
      </c>
    </row>
    <row r="899" spans="1:2" x14ac:dyDescent="0.2">
      <c r="A899" s="2205" t="s">
        <v>8108</v>
      </c>
      <c r="B899" s="2205">
        <v>1054.96</v>
      </c>
    </row>
    <row r="900" spans="1:2" x14ac:dyDescent="0.2">
      <c r="A900" s="2205" t="s">
        <v>8109</v>
      </c>
      <c r="B900" s="2205">
        <v>130.4</v>
      </c>
    </row>
    <row r="901" spans="1:2" x14ac:dyDescent="0.2">
      <c r="A901" s="2205" t="s">
        <v>8110</v>
      </c>
      <c r="B901" s="2205">
        <v>411.93</v>
      </c>
    </row>
    <row r="902" spans="1:2" x14ac:dyDescent="0.2">
      <c r="A902" s="2205" t="s">
        <v>8111</v>
      </c>
      <c r="B902" s="2205">
        <v>5272.06</v>
      </c>
    </row>
    <row r="903" spans="1:2" x14ac:dyDescent="0.2">
      <c r="A903" s="2205" t="s">
        <v>8112</v>
      </c>
      <c r="B903" s="2205">
        <v>147.41999999999999</v>
      </c>
    </row>
    <row r="904" spans="1:2" x14ac:dyDescent="0.2">
      <c r="A904" s="2205" t="s">
        <v>8113</v>
      </c>
      <c r="B904" s="2205">
        <v>9820.92</v>
      </c>
    </row>
    <row r="905" spans="1:2" x14ac:dyDescent="0.2">
      <c r="A905" s="2205" t="s">
        <v>8114</v>
      </c>
      <c r="B905" s="2205">
        <v>1546.5</v>
      </c>
    </row>
    <row r="906" spans="1:2" x14ac:dyDescent="0.2">
      <c r="A906" s="2205" t="s">
        <v>8115</v>
      </c>
      <c r="B906" s="2205">
        <v>6763.25</v>
      </c>
    </row>
    <row r="907" spans="1:2" x14ac:dyDescent="0.2">
      <c r="A907" s="2205" t="s">
        <v>8116</v>
      </c>
      <c r="B907" s="2205">
        <v>632.34</v>
      </c>
    </row>
    <row r="908" spans="1:2" x14ac:dyDescent="0.2">
      <c r="A908" s="2205" t="s">
        <v>8117</v>
      </c>
      <c r="B908" s="2205">
        <v>810.77</v>
      </c>
    </row>
    <row r="909" spans="1:2" x14ac:dyDescent="0.2">
      <c r="A909" s="2205" t="s">
        <v>8118</v>
      </c>
      <c r="B909" s="2205">
        <v>121.74</v>
      </c>
    </row>
    <row r="910" spans="1:2" x14ac:dyDescent="0.2">
      <c r="A910" s="2205" t="s">
        <v>8119</v>
      </c>
      <c r="B910" s="2205">
        <v>4119.7</v>
      </c>
    </row>
    <row r="911" spans="1:2" x14ac:dyDescent="0.2">
      <c r="A911" s="2205" t="s">
        <v>8120</v>
      </c>
      <c r="B911" s="2205">
        <v>1253.71</v>
      </c>
    </row>
    <row r="912" spans="1:2" x14ac:dyDescent="0.2">
      <c r="A912" s="2205" t="s">
        <v>8121</v>
      </c>
      <c r="B912" s="2205">
        <v>2261.66</v>
      </c>
    </row>
    <row r="913" spans="1:2" x14ac:dyDescent="0.2">
      <c r="A913" s="2205" t="s">
        <v>8122</v>
      </c>
      <c r="B913" s="2205">
        <v>1919.5</v>
      </c>
    </row>
    <row r="914" spans="1:2" x14ac:dyDescent="0.2">
      <c r="A914" s="2205" t="s">
        <v>8123</v>
      </c>
      <c r="B914" s="2205">
        <v>2200.41</v>
      </c>
    </row>
    <row r="915" spans="1:2" x14ac:dyDescent="0.2">
      <c r="A915" s="2205" t="s">
        <v>8124</v>
      </c>
      <c r="B915" s="2205">
        <v>1472.86</v>
      </c>
    </row>
    <row r="916" spans="1:2" x14ac:dyDescent="0.2">
      <c r="A916" s="2205" t="s">
        <v>8125</v>
      </c>
      <c r="B916" s="2205">
        <v>4571.53</v>
      </c>
    </row>
    <row r="917" spans="1:2" x14ac:dyDescent="0.2">
      <c r="A917" s="2205" t="s">
        <v>8126</v>
      </c>
      <c r="B917" s="2205">
        <v>12148.64</v>
      </c>
    </row>
    <row r="918" spans="1:2" x14ac:dyDescent="0.2">
      <c r="A918" s="2205" t="s">
        <v>8127</v>
      </c>
      <c r="B918" s="2205">
        <v>7169.26</v>
      </c>
    </row>
    <row r="919" spans="1:2" x14ac:dyDescent="0.2">
      <c r="A919" s="2205" t="s">
        <v>8128</v>
      </c>
      <c r="B919" s="2205">
        <v>526.71</v>
      </c>
    </row>
    <row r="920" spans="1:2" x14ac:dyDescent="0.2">
      <c r="A920" s="2205" t="s">
        <v>8129</v>
      </c>
      <c r="B920" s="2205">
        <v>88.94</v>
      </c>
    </row>
    <row r="921" spans="1:2" x14ac:dyDescent="0.2">
      <c r="A921" s="2205" t="s">
        <v>8130</v>
      </c>
      <c r="B921" s="2205">
        <v>3200.35</v>
      </c>
    </row>
    <row r="922" spans="1:2" x14ac:dyDescent="0.2">
      <c r="A922" s="2205" t="s">
        <v>8131</v>
      </c>
      <c r="B922" s="2205">
        <v>7786.96</v>
      </c>
    </row>
    <row r="923" spans="1:2" x14ac:dyDescent="0.2">
      <c r="A923" s="2205" t="s">
        <v>8132</v>
      </c>
      <c r="B923" s="2205">
        <v>83.43</v>
      </c>
    </row>
    <row r="924" spans="1:2" x14ac:dyDescent="0.2">
      <c r="A924" s="2205" t="s">
        <v>8133</v>
      </c>
      <c r="B924" s="2205">
        <v>426.8</v>
      </c>
    </row>
    <row r="925" spans="1:2" x14ac:dyDescent="0.2">
      <c r="A925" s="2205" t="s">
        <v>8134</v>
      </c>
      <c r="B925" s="2205">
        <v>35.68</v>
      </c>
    </row>
    <row r="926" spans="1:2" x14ac:dyDescent="0.2">
      <c r="A926" s="2205" t="s">
        <v>8135</v>
      </c>
      <c r="B926" s="2205">
        <v>593.11</v>
      </c>
    </row>
    <row r="927" spans="1:2" x14ac:dyDescent="0.2">
      <c r="A927" s="2205" t="s">
        <v>8136</v>
      </c>
      <c r="B927" s="2205">
        <v>28.12</v>
      </c>
    </row>
    <row r="928" spans="1:2" x14ac:dyDescent="0.2">
      <c r="A928" s="2205" t="s">
        <v>8137</v>
      </c>
      <c r="B928" s="2205">
        <v>1595.62</v>
      </c>
    </row>
    <row r="929" spans="1:2" x14ac:dyDescent="0.2">
      <c r="A929" s="2205" t="s">
        <v>8138</v>
      </c>
      <c r="B929" s="2205">
        <v>2727.42</v>
      </c>
    </row>
    <row r="930" spans="1:2" x14ac:dyDescent="0.2">
      <c r="A930" s="2205" t="s">
        <v>8139</v>
      </c>
      <c r="B930" s="2205">
        <v>63.61</v>
      </c>
    </row>
    <row r="931" spans="1:2" x14ac:dyDescent="0.2">
      <c r="A931" s="2205" t="s">
        <v>8140</v>
      </c>
      <c r="B931" s="2205">
        <v>315.25</v>
      </c>
    </row>
    <row r="932" spans="1:2" x14ac:dyDescent="0.2">
      <c r="A932" s="2205" t="s">
        <v>8141</v>
      </c>
      <c r="B932" s="2205">
        <v>6461.22</v>
      </c>
    </row>
    <row r="933" spans="1:2" x14ac:dyDescent="0.2">
      <c r="A933" s="2205" t="s">
        <v>8142</v>
      </c>
      <c r="B933" s="2205">
        <v>572</v>
      </c>
    </row>
    <row r="934" spans="1:2" x14ac:dyDescent="0.2">
      <c r="A934" s="2205" t="s">
        <v>8143</v>
      </c>
      <c r="B934" s="2205">
        <v>6939.15</v>
      </c>
    </row>
    <row r="935" spans="1:2" x14ac:dyDescent="0.2">
      <c r="A935" s="2205" t="s">
        <v>8144</v>
      </c>
      <c r="B935" s="2205">
        <v>15652.77</v>
      </c>
    </row>
    <row r="936" spans="1:2" x14ac:dyDescent="0.2">
      <c r="A936" s="2205" t="s">
        <v>8145</v>
      </c>
      <c r="B936" s="2205">
        <v>760.38</v>
      </c>
    </row>
    <row r="937" spans="1:2" x14ac:dyDescent="0.2">
      <c r="A937" s="2205" t="s">
        <v>8146</v>
      </c>
      <c r="B937" s="2205">
        <v>795.32</v>
      </c>
    </row>
    <row r="938" spans="1:2" x14ac:dyDescent="0.2">
      <c r="A938" s="2205" t="s">
        <v>8147</v>
      </c>
      <c r="B938" s="2205">
        <v>31.15</v>
      </c>
    </row>
    <row r="939" spans="1:2" x14ac:dyDescent="0.2">
      <c r="A939" s="2205" t="s">
        <v>8148</v>
      </c>
      <c r="B939" s="2205">
        <v>379.89</v>
      </c>
    </row>
    <row r="940" spans="1:2" x14ac:dyDescent="0.2">
      <c r="A940" s="2205" t="s">
        <v>8149</v>
      </c>
      <c r="B940" s="2205">
        <v>498.32</v>
      </c>
    </row>
    <row r="941" spans="1:2" x14ac:dyDescent="0.2">
      <c r="A941" s="2205" t="s">
        <v>8150</v>
      </c>
      <c r="B941" s="2205">
        <v>1550.54</v>
      </c>
    </row>
    <row r="942" spans="1:2" x14ac:dyDescent="0.2">
      <c r="A942" s="2205" t="s">
        <v>8151</v>
      </c>
      <c r="B942" s="2205">
        <v>755.45</v>
      </c>
    </row>
    <row r="943" spans="1:2" x14ac:dyDescent="0.2">
      <c r="A943" s="2205" t="s">
        <v>8152</v>
      </c>
      <c r="B943" s="2205">
        <v>4501.2299999999996</v>
      </c>
    </row>
    <row r="944" spans="1:2" x14ac:dyDescent="0.2">
      <c r="A944" s="2205" t="s">
        <v>8153</v>
      </c>
      <c r="B944" s="2205">
        <v>3057.63</v>
      </c>
    </row>
    <row r="945" spans="1:2" x14ac:dyDescent="0.2">
      <c r="A945" s="2205" t="s">
        <v>8154</v>
      </c>
      <c r="B945" s="2205">
        <v>173.95</v>
      </c>
    </row>
    <row r="946" spans="1:2" x14ac:dyDescent="0.2">
      <c r="A946" s="2205" t="s">
        <v>8155</v>
      </c>
      <c r="B946" s="2205">
        <v>0</v>
      </c>
    </row>
    <row r="947" spans="1:2" x14ac:dyDescent="0.2">
      <c r="A947" s="2205" t="s">
        <v>8156</v>
      </c>
      <c r="B947" s="2205">
        <v>229.14</v>
      </c>
    </row>
    <row r="948" spans="1:2" x14ac:dyDescent="0.2">
      <c r="A948" s="2205" t="s">
        <v>8157</v>
      </c>
      <c r="B948" s="2205">
        <v>701.7</v>
      </c>
    </row>
    <row r="949" spans="1:2" x14ac:dyDescent="0.2">
      <c r="A949" s="2205" t="s">
        <v>8158</v>
      </c>
      <c r="B949" s="2205">
        <v>0</v>
      </c>
    </row>
    <row r="950" spans="1:2" x14ac:dyDescent="0.2">
      <c r="A950" s="2205" t="s">
        <v>8159</v>
      </c>
      <c r="B950" s="2205">
        <v>31.37</v>
      </c>
    </row>
    <row r="951" spans="1:2" x14ac:dyDescent="0.2">
      <c r="A951" s="2205" t="s">
        <v>8160</v>
      </c>
      <c r="B951" s="2205">
        <v>64.459999999999994</v>
      </c>
    </row>
    <row r="952" spans="1:2" x14ac:dyDescent="0.2">
      <c r="A952" s="2205" t="s">
        <v>8161</v>
      </c>
      <c r="B952" s="2205">
        <v>74.11</v>
      </c>
    </row>
    <row r="953" spans="1:2" x14ac:dyDescent="0.2">
      <c r="A953" s="2205" t="s">
        <v>8162</v>
      </c>
      <c r="B953" s="2205">
        <v>33.57</v>
      </c>
    </row>
    <row r="954" spans="1:2" x14ac:dyDescent="0.2">
      <c r="A954" s="2205" t="s">
        <v>8163</v>
      </c>
      <c r="B954" s="2205">
        <v>1180.0899999999999</v>
      </c>
    </row>
    <row r="955" spans="1:2" x14ac:dyDescent="0.2">
      <c r="A955" s="2205" t="s">
        <v>8164</v>
      </c>
      <c r="B955" s="2205">
        <v>217.93</v>
      </c>
    </row>
    <row r="956" spans="1:2" x14ac:dyDescent="0.2">
      <c r="A956" s="2205" t="s">
        <v>8165</v>
      </c>
      <c r="B956" s="2205">
        <v>487.1</v>
      </c>
    </row>
    <row r="957" spans="1:2" x14ac:dyDescent="0.2">
      <c r="A957" s="2205" t="s">
        <v>8166</v>
      </c>
      <c r="B957" s="2205">
        <v>315.86</v>
      </c>
    </row>
    <row r="958" spans="1:2" x14ac:dyDescent="0.2">
      <c r="A958" s="2205" t="s">
        <v>8167</v>
      </c>
      <c r="B958" s="2205">
        <v>662.79</v>
      </c>
    </row>
    <row r="959" spans="1:2" x14ac:dyDescent="0.2">
      <c r="A959" s="2205" t="s">
        <v>8168</v>
      </c>
      <c r="B959" s="2205">
        <v>1553.12</v>
      </c>
    </row>
    <row r="960" spans="1:2" x14ac:dyDescent="0.2">
      <c r="A960" s="2205" t="s">
        <v>8169</v>
      </c>
      <c r="B960" s="2205">
        <v>1144.21</v>
      </c>
    </row>
    <row r="961" spans="1:2" x14ac:dyDescent="0.2">
      <c r="A961" s="2205" t="s">
        <v>8170</v>
      </c>
      <c r="B961" s="2205">
        <v>14898.98</v>
      </c>
    </row>
    <row r="962" spans="1:2" x14ac:dyDescent="0.2">
      <c r="A962" s="2205" t="s">
        <v>8171</v>
      </c>
      <c r="B962" s="2205">
        <v>6486.03</v>
      </c>
    </row>
    <row r="963" spans="1:2" x14ac:dyDescent="0.2">
      <c r="A963" s="2205" t="s">
        <v>8172</v>
      </c>
      <c r="B963" s="2205">
        <v>106.05</v>
      </c>
    </row>
    <row r="964" spans="1:2" x14ac:dyDescent="0.2">
      <c r="A964" s="2205" t="s">
        <v>8173</v>
      </c>
      <c r="B964" s="2205">
        <v>5462.95</v>
      </c>
    </row>
    <row r="965" spans="1:2" x14ac:dyDescent="0.2">
      <c r="A965" s="2205" t="s">
        <v>8174</v>
      </c>
      <c r="B965" s="2205">
        <v>879.25</v>
      </c>
    </row>
    <row r="966" spans="1:2" x14ac:dyDescent="0.2">
      <c r="A966" s="2205" t="s">
        <v>8175</v>
      </c>
      <c r="B966" s="2205">
        <v>171.22</v>
      </c>
    </row>
    <row r="967" spans="1:2" x14ac:dyDescent="0.2">
      <c r="A967" s="2205" t="s">
        <v>8176</v>
      </c>
      <c r="B967" s="2205">
        <v>9.02</v>
      </c>
    </row>
    <row r="968" spans="1:2" x14ac:dyDescent="0.2">
      <c r="A968" s="2205" t="s">
        <v>8177</v>
      </c>
      <c r="B968" s="2205">
        <v>20.96</v>
      </c>
    </row>
    <row r="969" spans="1:2" x14ac:dyDescent="0.2">
      <c r="A969" s="2205" t="s">
        <v>8178</v>
      </c>
      <c r="B969" s="2205">
        <v>17127.73</v>
      </c>
    </row>
    <row r="970" spans="1:2" x14ac:dyDescent="0.2">
      <c r="A970" s="2205" t="s">
        <v>8179</v>
      </c>
      <c r="B970" s="2205">
        <v>1677.64</v>
      </c>
    </row>
    <row r="971" spans="1:2" x14ac:dyDescent="0.2">
      <c r="A971" s="2205" t="s">
        <v>8180</v>
      </c>
      <c r="B971" s="2205">
        <v>6381.03</v>
      </c>
    </row>
    <row r="972" spans="1:2" x14ac:dyDescent="0.2">
      <c r="A972" s="2205" t="s">
        <v>8181</v>
      </c>
      <c r="B972" s="2205">
        <v>5799.77</v>
      </c>
    </row>
    <row r="973" spans="1:2" x14ac:dyDescent="0.2">
      <c r="A973" s="2205" t="s">
        <v>8182</v>
      </c>
      <c r="B973" s="2205">
        <v>12615.98</v>
      </c>
    </row>
    <row r="974" spans="1:2" x14ac:dyDescent="0.2">
      <c r="A974" s="2205" t="s">
        <v>8183</v>
      </c>
      <c r="B974" s="2205">
        <v>2492.11</v>
      </c>
    </row>
    <row r="975" spans="1:2" x14ac:dyDescent="0.2">
      <c r="A975" s="2205" t="s">
        <v>8184</v>
      </c>
      <c r="B975" s="2205">
        <v>14146.07</v>
      </c>
    </row>
    <row r="976" spans="1:2" x14ac:dyDescent="0.2">
      <c r="A976" s="2205" t="s">
        <v>8185</v>
      </c>
      <c r="B976" s="2205">
        <v>874.64</v>
      </c>
    </row>
    <row r="977" spans="1:2" x14ac:dyDescent="0.2">
      <c r="A977" s="2205" t="s">
        <v>8186</v>
      </c>
      <c r="B977" s="2205">
        <v>921.14</v>
      </c>
    </row>
    <row r="978" spans="1:2" x14ac:dyDescent="0.2">
      <c r="A978" s="2205" t="s">
        <v>8187</v>
      </c>
      <c r="B978" s="2205">
        <v>12.43</v>
      </c>
    </row>
    <row r="979" spans="1:2" x14ac:dyDescent="0.2">
      <c r="A979" s="2205" t="s">
        <v>8188</v>
      </c>
      <c r="B979" s="2205">
        <v>88.96</v>
      </c>
    </row>
    <row r="980" spans="1:2" x14ac:dyDescent="0.2">
      <c r="A980" s="2205" t="s">
        <v>8189</v>
      </c>
      <c r="B980" s="2205">
        <v>1982.82</v>
      </c>
    </row>
    <row r="981" spans="1:2" x14ac:dyDescent="0.2">
      <c r="A981" s="2205" t="s">
        <v>8190</v>
      </c>
      <c r="B981" s="2205">
        <v>-1496.49</v>
      </c>
    </row>
    <row r="982" spans="1:2" x14ac:dyDescent="0.2">
      <c r="A982" s="2205" t="s">
        <v>8191</v>
      </c>
      <c r="B982" s="2205">
        <v>420.07</v>
      </c>
    </row>
    <row r="983" spans="1:2" x14ac:dyDescent="0.2">
      <c r="A983" s="2205" t="s">
        <v>8192</v>
      </c>
      <c r="B983" s="2205">
        <v>970.51</v>
      </c>
    </row>
    <row r="984" spans="1:2" x14ac:dyDescent="0.2">
      <c r="A984" s="2205" t="s">
        <v>8193</v>
      </c>
      <c r="B984" s="2205">
        <v>4667.54</v>
      </c>
    </row>
    <row r="985" spans="1:2" x14ac:dyDescent="0.2">
      <c r="A985" s="2205" t="s">
        <v>8194</v>
      </c>
      <c r="B985" s="2205">
        <v>182.97</v>
      </c>
    </row>
    <row r="986" spans="1:2" x14ac:dyDescent="0.2">
      <c r="A986" s="2205" t="s">
        <v>8195</v>
      </c>
      <c r="B986" s="2205">
        <v>2504.23</v>
      </c>
    </row>
    <row r="987" spans="1:2" x14ac:dyDescent="0.2">
      <c r="A987" s="2205" t="s">
        <v>8196</v>
      </c>
      <c r="B987" s="2205">
        <v>197</v>
      </c>
    </row>
    <row r="988" spans="1:2" x14ac:dyDescent="0.2">
      <c r="A988" s="2205" t="s">
        <v>8197</v>
      </c>
      <c r="B988" s="2205">
        <v>8343.5400000000009</v>
      </c>
    </row>
    <row r="989" spans="1:2" x14ac:dyDescent="0.2">
      <c r="A989" s="2205" t="s">
        <v>8198</v>
      </c>
      <c r="B989" s="2205">
        <v>2260.38</v>
      </c>
    </row>
    <row r="990" spans="1:2" x14ac:dyDescent="0.2">
      <c r="A990" s="2205" t="s">
        <v>8199</v>
      </c>
      <c r="B990" s="2205">
        <v>-82.89</v>
      </c>
    </row>
    <row r="991" spans="1:2" x14ac:dyDescent="0.2">
      <c r="A991" s="2205" t="s">
        <v>8200</v>
      </c>
      <c r="B991" s="2205">
        <v>760.65</v>
      </c>
    </row>
    <row r="992" spans="1:2" x14ac:dyDescent="0.2">
      <c r="A992" s="2205" t="s">
        <v>8201</v>
      </c>
      <c r="B992" s="2205">
        <v>-364.09</v>
      </c>
    </row>
    <row r="993" spans="1:2" x14ac:dyDescent="0.2">
      <c r="A993" s="2205" t="s">
        <v>8202</v>
      </c>
      <c r="B993" s="2205">
        <v>8530.34</v>
      </c>
    </row>
    <row r="994" spans="1:2" x14ac:dyDescent="0.2">
      <c r="A994" s="2205" t="s">
        <v>8203</v>
      </c>
      <c r="B994" s="2205">
        <v>87</v>
      </c>
    </row>
    <row r="995" spans="1:2" x14ac:dyDescent="0.2">
      <c r="A995" s="2205" t="s">
        <v>8204</v>
      </c>
      <c r="B995" s="2205">
        <v>99.92</v>
      </c>
    </row>
    <row r="996" spans="1:2" x14ac:dyDescent="0.2">
      <c r="A996" s="2205" t="s">
        <v>8205</v>
      </c>
      <c r="B996" s="2205">
        <v>73.47</v>
      </c>
    </row>
    <row r="997" spans="1:2" x14ac:dyDescent="0.2">
      <c r="A997" s="2205" t="s">
        <v>8206</v>
      </c>
      <c r="B997" s="2205">
        <v>127.04</v>
      </c>
    </row>
    <row r="998" spans="1:2" x14ac:dyDescent="0.2">
      <c r="A998" s="2205" t="s">
        <v>8207</v>
      </c>
      <c r="B998" s="2205">
        <v>694.6</v>
      </c>
    </row>
    <row r="999" spans="1:2" x14ac:dyDescent="0.2">
      <c r="A999" s="2205" t="s">
        <v>8208</v>
      </c>
      <c r="B999" s="2205">
        <v>593.80999999999995</v>
      </c>
    </row>
    <row r="1000" spans="1:2" x14ac:dyDescent="0.2">
      <c r="A1000" s="2205" t="s">
        <v>8209</v>
      </c>
      <c r="B1000" s="2205">
        <v>24.62</v>
      </c>
    </row>
    <row r="1001" spans="1:2" x14ac:dyDescent="0.2">
      <c r="A1001" s="2205" t="s">
        <v>8210</v>
      </c>
      <c r="B1001" s="2205">
        <v>861.4</v>
      </c>
    </row>
    <row r="1002" spans="1:2" x14ac:dyDescent="0.2">
      <c r="A1002" s="2205" t="s">
        <v>8211</v>
      </c>
      <c r="B1002" s="2205">
        <v>143.62</v>
      </c>
    </row>
    <row r="1003" spans="1:2" x14ac:dyDescent="0.2">
      <c r="A1003" s="2205" t="s">
        <v>8212</v>
      </c>
      <c r="B1003" s="2205">
        <v>289.54000000000002</v>
      </c>
    </row>
    <row r="1004" spans="1:2" x14ac:dyDescent="0.2">
      <c r="A1004" s="2205" t="s">
        <v>8213</v>
      </c>
      <c r="B1004" s="2205">
        <v>1688.2</v>
      </c>
    </row>
    <row r="1005" spans="1:2" x14ac:dyDescent="0.2">
      <c r="A1005" s="2205" t="s">
        <v>8214</v>
      </c>
      <c r="B1005" s="2205">
        <v>416.65</v>
      </c>
    </row>
    <row r="1006" spans="1:2" x14ac:dyDescent="0.2">
      <c r="A1006" s="2205" t="s">
        <v>8215</v>
      </c>
      <c r="B1006" s="2205">
        <v>1863.4</v>
      </c>
    </row>
    <row r="1007" spans="1:2" x14ac:dyDescent="0.2">
      <c r="A1007" s="2205" t="s">
        <v>8216</v>
      </c>
      <c r="B1007" s="2205">
        <v>10.28</v>
      </c>
    </row>
    <row r="1008" spans="1:2" x14ac:dyDescent="0.2">
      <c r="A1008" s="2205" t="s">
        <v>8217</v>
      </c>
      <c r="B1008" s="2205">
        <v>24.76</v>
      </c>
    </row>
    <row r="1009" spans="1:2" x14ac:dyDescent="0.2">
      <c r="A1009" s="2205" t="s">
        <v>8218</v>
      </c>
      <c r="B1009" s="2205">
        <v>15.48</v>
      </c>
    </row>
    <row r="1010" spans="1:2" x14ac:dyDescent="0.2">
      <c r="A1010" s="2205" t="s">
        <v>8219</v>
      </c>
      <c r="B1010" s="2205">
        <v>9.74</v>
      </c>
    </row>
    <row r="1011" spans="1:2" x14ac:dyDescent="0.2">
      <c r="A1011" s="2205" t="s">
        <v>8220</v>
      </c>
      <c r="B1011" s="2205">
        <v>2074.94</v>
      </c>
    </row>
    <row r="1012" spans="1:2" x14ac:dyDescent="0.2">
      <c r="A1012" s="2205" t="s">
        <v>8221</v>
      </c>
      <c r="B1012" s="2205">
        <v>4666.62</v>
      </c>
    </row>
    <row r="1013" spans="1:2" x14ac:dyDescent="0.2">
      <c r="A1013" s="2205" t="s">
        <v>8222</v>
      </c>
      <c r="B1013" s="2205">
        <v>951.12</v>
      </c>
    </row>
    <row r="1014" spans="1:2" x14ac:dyDescent="0.2">
      <c r="A1014" s="2205" t="s">
        <v>8223</v>
      </c>
      <c r="B1014" s="2205">
        <v>1337.15</v>
      </c>
    </row>
    <row r="1015" spans="1:2" x14ac:dyDescent="0.2">
      <c r="A1015" s="2205" t="s">
        <v>8224</v>
      </c>
      <c r="B1015" s="2205">
        <v>71.36</v>
      </c>
    </row>
    <row r="1016" spans="1:2" x14ac:dyDescent="0.2">
      <c r="A1016" s="2205" t="s">
        <v>8225</v>
      </c>
      <c r="B1016" s="2205">
        <v>416.05</v>
      </c>
    </row>
    <row r="1017" spans="1:2" x14ac:dyDescent="0.2">
      <c r="A1017" s="2205" t="s">
        <v>8226</v>
      </c>
      <c r="B1017" s="2205">
        <v>57.9</v>
      </c>
    </row>
    <row r="1018" spans="1:2" x14ac:dyDescent="0.2">
      <c r="A1018" s="2205" t="s">
        <v>8227</v>
      </c>
      <c r="B1018" s="2205">
        <v>550.1</v>
      </c>
    </row>
    <row r="1019" spans="1:2" x14ac:dyDescent="0.2">
      <c r="A1019" s="2205" t="s">
        <v>8228</v>
      </c>
      <c r="B1019" s="2205">
        <v>548.47</v>
      </c>
    </row>
    <row r="1020" spans="1:2" x14ac:dyDescent="0.2">
      <c r="A1020" s="2205" t="s">
        <v>8229</v>
      </c>
      <c r="B1020" s="2205">
        <v>968.82</v>
      </c>
    </row>
    <row r="1021" spans="1:2" x14ac:dyDescent="0.2">
      <c r="A1021" s="2205" t="s">
        <v>8230</v>
      </c>
      <c r="B1021" s="2205">
        <v>215.91</v>
      </c>
    </row>
    <row r="1022" spans="1:2" x14ac:dyDescent="0.2">
      <c r="A1022" s="2205" t="s">
        <v>8231</v>
      </c>
      <c r="B1022" s="2205">
        <v>8314.35</v>
      </c>
    </row>
    <row r="1023" spans="1:2" x14ac:dyDescent="0.2">
      <c r="A1023" s="2205" t="s">
        <v>8232</v>
      </c>
      <c r="B1023" s="2205">
        <v>50</v>
      </c>
    </row>
    <row r="1024" spans="1:2" x14ac:dyDescent="0.2">
      <c r="A1024" s="2205" t="s">
        <v>8233</v>
      </c>
      <c r="B1024" s="2205">
        <v>220.46</v>
      </c>
    </row>
    <row r="1025" spans="1:2" x14ac:dyDescent="0.2">
      <c r="A1025" s="2205" t="s">
        <v>8234</v>
      </c>
      <c r="B1025" s="2205">
        <v>468.75</v>
      </c>
    </row>
    <row r="1026" spans="1:2" x14ac:dyDescent="0.2">
      <c r="A1026" s="2205" t="s">
        <v>8235</v>
      </c>
      <c r="B1026" s="2205">
        <v>648.41999999999996</v>
      </c>
    </row>
    <row r="1027" spans="1:2" x14ac:dyDescent="0.2">
      <c r="A1027" s="2205" t="s">
        <v>8236</v>
      </c>
      <c r="B1027" s="2205">
        <v>75.959999999999994</v>
      </c>
    </row>
    <row r="1028" spans="1:2" x14ac:dyDescent="0.2">
      <c r="A1028" s="2205" t="s">
        <v>8237</v>
      </c>
      <c r="B1028" s="2205">
        <v>467.93</v>
      </c>
    </row>
    <row r="1029" spans="1:2" x14ac:dyDescent="0.2">
      <c r="A1029" s="2205" t="s">
        <v>8238</v>
      </c>
      <c r="B1029" s="2205">
        <v>2567.2800000000002</v>
      </c>
    </row>
    <row r="1030" spans="1:2" x14ac:dyDescent="0.2">
      <c r="A1030" s="2205" t="s">
        <v>8239</v>
      </c>
      <c r="B1030" s="2205">
        <v>373.08</v>
      </c>
    </row>
    <row r="1031" spans="1:2" x14ac:dyDescent="0.2">
      <c r="A1031" s="2205" t="s">
        <v>8240</v>
      </c>
      <c r="B1031" s="2205">
        <v>210.91</v>
      </c>
    </row>
    <row r="1032" spans="1:2" x14ac:dyDescent="0.2">
      <c r="A1032" s="2205" t="s">
        <v>8241</v>
      </c>
      <c r="B1032" s="2205">
        <v>564.94000000000005</v>
      </c>
    </row>
    <row r="1033" spans="1:2" x14ac:dyDescent="0.2">
      <c r="A1033" s="2205" t="s">
        <v>8242</v>
      </c>
      <c r="B1033" s="2205">
        <v>3604.42</v>
      </c>
    </row>
    <row r="1034" spans="1:2" x14ac:dyDescent="0.2">
      <c r="A1034" s="2205" t="s">
        <v>8243</v>
      </c>
      <c r="B1034" s="2205">
        <v>559.95000000000005</v>
      </c>
    </row>
    <row r="1035" spans="1:2" x14ac:dyDescent="0.2">
      <c r="A1035" s="2205" t="s">
        <v>8244</v>
      </c>
      <c r="B1035" s="2205">
        <v>74.349999999999994</v>
      </c>
    </row>
    <row r="1036" spans="1:2" x14ac:dyDescent="0.2">
      <c r="A1036" s="2205" t="s">
        <v>8245</v>
      </c>
      <c r="B1036" s="2205">
        <v>471.58</v>
      </c>
    </row>
    <row r="1037" spans="1:2" x14ac:dyDescent="0.2">
      <c r="A1037" s="2205" t="s">
        <v>8246</v>
      </c>
      <c r="B1037" s="2205">
        <v>22.48</v>
      </c>
    </row>
    <row r="1038" spans="1:2" x14ac:dyDescent="0.2">
      <c r="A1038" s="2205" t="s">
        <v>8247</v>
      </c>
      <c r="B1038" s="2205">
        <v>3155.27</v>
      </c>
    </row>
    <row r="1039" spans="1:2" x14ac:dyDescent="0.2">
      <c r="A1039" s="2205" t="s">
        <v>8248</v>
      </c>
      <c r="B1039" s="2205">
        <v>2278.13</v>
      </c>
    </row>
    <row r="1040" spans="1:2" x14ac:dyDescent="0.2">
      <c r="A1040" s="2205" t="s">
        <v>8249</v>
      </c>
      <c r="B1040" s="2205">
        <v>18978.32</v>
      </c>
    </row>
    <row r="1041" spans="1:2" x14ac:dyDescent="0.2">
      <c r="A1041" s="2205" t="s">
        <v>8250</v>
      </c>
      <c r="B1041" s="2205">
        <v>31516.12</v>
      </c>
    </row>
    <row r="1042" spans="1:2" x14ac:dyDescent="0.2">
      <c r="A1042" s="2205" t="s">
        <v>8251</v>
      </c>
      <c r="B1042" s="2205">
        <v>110.4</v>
      </c>
    </row>
    <row r="1043" spans="1:2" x14ac:dyDescent="0.2">
      <c r="A1043" s="2205" t="s">
        <v>8252</v>
      </c>
      <c r="B1043" s="2205">
        <v>0</v>
      </c>
    </row>
    <row r="1044" spans="1:2" x14ac:dyDescent="0.2">
      <c r="A1044" s="2205" t="s">
        <v>8253</v>
      </c>
      <c r="B1044" s="2205">
        <v>129.30000000000001</v>
      </c>
    </row>
    <row r="1045" spans="1:2" x14ac:dyDescent="0.2">
      <c r="A1045" s="2205" t="s">
        <v>8254</v>
      </c>
      <c r="B1045" s="2205">
        <v>437401.08</v>
      </c>
    </row>
    <row r="1046" spans="1:2" x14ac:dyDescent="0.2">
      <c r="A1046" s="2205" t="s">
        <v>8255</v>
      </c>
      <c r="B1046" s="2205">
        <v>1816.25</v>
      </c>
    </row>
    <row r="1047" spans="1:2" x14ac:dyDescent="0.2">
      <c r="A1047" s="2205" t="s">
        <v>8256</v>
      </c>
      <c r="B1047" s="2205">
        <v>407</v>
      </c>
    </row>
    <row r="1048" spans="1:2" x14ac:dyDescent="0.2">
      <c r="A1048" s="2205" t="s">
        <v>8257</v>
      </c>
      <c r="B1048" s="2205">
        <v>501.4</v>
      </c>
    </row>
    <row r="1049" spans="1:2" x14ac:dyDescent="0.2">
      <c r="A1049" s="2205" t="s">
        <v>8258</v>
      </c>
      <c r="B1049" s="2205">
        <v>206.87</v>
      </c>
    </row>
    <row r="1050" spans="1:2" x14ac:dyDescent="0.2">
      <c r="A1050" s="2205" t="s">
        <v>8259</v>
      </c>
      <c r="B1050" s="2205">
        <v>100.01</v>
      </c>
    </row>
    <row r="1051" spans="1:2" x14ac:dyDescent="0.2">
      <c r="A1051" s="2205" t="s">
        <v>8260</v>
      </c>
      <c r="B1051" s="2205">
        <v>179.93</v>
      </c>
    </row>
    <row r="1052" spans="1:2" x14ac:dyDescent="0.2">
      <c r="A1052" s="2205" t="s">
        <v>8261</v>
      </c>
      <c r="B1052" s="2205">
        <v>12.28</v>
      </c>
    </row>
    <row r="1053" spans="1:2" x14ac:dyDescent="0.2">
      <c r="A1053" s="2205" t="s">
        <v>8262</v>
      </c>
      <c r="B1053" s="2205">
        <v>232.87</v>
      </c>
    </row>
    <row r="1054" spans="1:2" x14ac:dyDescent="0.2">
      <c r="A1054" s="2205" t="s">
        <v>8263</v>
      </c>
      <c r="B1054" s="2205">
        <v>494</v>
      </c>
    </row>
    <row r="1055" spans="1:2" x14ac:dyDescent="0.2">
      <c r="A1055" s="2205" t="s">
        <v>8264</v>
      </c>
      <c r="B1055" s="2205">
        <v>221.26</v>
      </c>
    </row>
    <row r="1056" spans="1:2" x14ac:dyDescent="0.2">
      <c r="A1056" s="2205" t="s">
        <v>8265</v>
      </c>
      <c r="B1056" s="2205">
        <v>751.58</v>
      </c>
    </row>
    <row r="1057" spans="1:2" x14ac:dyDescent="0.2">
      <c r="A1057" s="2205" t="s">
        <v>8266</v>
      </c>
      <c r="B1057" s="2205">
        <v>1916.21</v>
      </c>
    </row>
    <row r="1058" spans="1:2" x14ac:dyDescent="0.2">
      <c r="A1058" s="2205" t="s">
        <v>8267</v>
      </c>
      <c r="B1058" s="2205">
        <v>164.36</v>
      </c>
    </row>
    <row r="1059" spans="1:2" x14ac:dyDescent="0.2">
      <c r="A1059" s="2205" t="s">
        <v>8268</v>
      </c>
      <c r="B1059" s="2205">
        <v>145.91999999999999</v>
      </c>
    </row>
    <row r="1060" spans="1:2" x14ac:dyDescent="0.2">
      <c r="A1060" s="2205" t="s">
        <v>8269</v>
      </c>
      <c r="B1060" s="2205">
        <v>291.48</v>
      </c>
    </row>
    <row r="1061" spans="1:2" x14ac:dyDescent="0.2">
      <c r="A1061" s="2205" t="s">
        <v>8270</v>
      </c>
      <c r="B1061" s="2205">
        <v>644.74</v>
      </c>
    </row>
    <row r="1062" spans="1:2" x14ac:dyDescent="0.2">
      <c r="A1062" s="2205" t="s">
        <v>8271</v>
      </c>
      <c r="B1062" s="2205">
        <v>114.7</v>
      </c>
    </row>
    <row r="1063" spans="1:2" x14ac:dyDescent="0.2">
      <c r="A1063" s="2205" t="s">
        <v>8272</v>
      </c>
      <c r="B1063" s="2205">
        <v>17.97</v>
      </c>
    </row>
    <row r="1064" spans="1:2" x14ac:dyDescent="0.2">
      <c r="A1064" s="2205" t="s">
        <v>8273</v>
      </c>
      <c r="B1064" s="2205">
        <v>62.43</v>
      </c>
    </row>
    <row r="1065" spans="1:2" x14ac:dyDescent="0.2">
      <c r="A1065" s="2205" t="s">
        <v>8274</v>
      </c>
      <c r="B1065" s="2205">
        <v>90.91</v>
      </c>
    </row>
    <row r="1066" spans="1:2" x14ac:dyDescent="0.2">
      <c r="A1066" s="2205" t="s">
        <v>8275</v>
      </c>
      <c r="B1066" s="2205">
        <v>455.12</v>
      </c>
    </row>
    <row r="1067" spans="1:2" x14ac:dyDescent="0.2">
      <c r="A1067" s="2205" t="s">
        <v>8276</v>
      </c>
      <c r="B1067" s="2205">
        <v>13.8</v>
      </c>
    </row>
    <row r="1068" spans="1:2" x14ac:dyDescent="0.2">
      <c r="A1068" s="2205" t="s">
        <v>8277</v>
      </c>
      <c r="B1068" s="2205">
        <v>151.13999999999999</v>
      </c>
    </row>
    <row r="1069" spans="1:2" x14ac:dyDescent="0.2">
      <c r="A1069" s="2205" t="s">
        <v>8278</v>
      </c>
      <c r="B1069" s="2205">
        <v>73.27</v>
      </c>
    </row>
    <row r="1070" spans="1:2" x14ac:dyDescent="0.2">
      <c r="A1070" s="2205" t="s">
        <v>8279</v>
      </c>
      <c r="B1070" s="2205">
        <v>9</v>
      </c>
    </row>
    <row r="1071" spans="1:2" x14ac:dyDescent="0.2">
      <c r="A1071" s="2205" t="s">
        <v>8280</v>
      </c>
      <c r="B1071" s="2205">
        <v>5569.09</v>
      </c>
    </row>
    <row r="1072" spans="1:2" x14ac:dyDescent="0.2">
      <c r="A1072" s="2205" t="s">
        <v>8281</v>
      </c>
      <c r="B1072" s="2205">
        <v>421.66</v>
      </c>
    </row>
    <row r="1073" spans="1:2" x14ac:dyDescent="0.2">
      <c r="A1073" s="2205" t="s">
        <v>8282</v>
      </c>
      <c r="B1073" s="2205">
        <v>71.37</v>
      </c>
    </row>
    <row r="1074" spans="1:2" x14ac:dyDescent="0.2">
      <c r="A1074" s="2205" t="s">
        <v>8283</v>
      </c>
      <c r="B1074" s="2205">
        <v>573.44000000000005</v>
      </c>
    </row>
    <row r="1075" spans="1:2" x14ac:dyDescent="0.2">
      <c r="A1075" s="2205" t="s">
        <v>8284</v>
      </c>
      <c r="B1075" s="2205">
        <v>86151.16</v>
      </c>
    </row>
    <row r="1076" spans="1:2" x14ac:dyDescent="0.2">
      <c r="A1076" s="2205" t="s">
        <v>8285</v>
      </c>
      <c r="B1076" s="2205">
        <v>14.62</v>
      </c>
    </row>
    <row r="1077" spans="1:2" x14ac:dyDescent="0.2">
      <c r="A1077" s="2205" t="s">
        <v>8286</v>
      </c>
      <c r="B1077" s="2205">
        <v>331.44</v>
      </c>
    </row>
    <row r="1078" spans="1:2" x14ac:dyDescent="0.2">
      <c r="A1078" s="2205" t="s">
        <v>8287</v>
      </c>
      <c r="B1078" s="2205">
        <v>57.09</v>
      </c>
    </row>
    <row r="1079" spans="1:2" x14ac:dyDescent="0.2">
      <c r="A1079" s="2205" t="s">
        <v>8288</v>
      </c>
      <c r="B1079" s="2205">
        <v>208.11</v>
      </c>
    </row>
    <row r="1080" spans="1:2" x14ac:dyDescent="0.2">
      <c r="A1080" s="2205" t="s">
        <v>8289</v>
      </c>
      <c r="B1080" s="2205">
        <v>38.909999999999997</v>
      </c>
    </row>
    <row r="1081" spans="1:2" x14ac:dyDescent="0.2">
      <c r="A1081" s="2205" t="s">
        <v>8290</v>
      </c>
      <c r="B1081" s="2205">
        <v>445.29</v>
      </c>
    </row>
    <row r="1082" spans="1:2" x14ac:dyDescent="0.2">
      <c r="A1082" s="2205" t="s">
        <v>8291</v>
      </c>
      <c r="B1082" s="2205">
        <v>95.06</v>
      </c>
    </row>
    <row r="1083" spans="1:2" x14ac:dyDescent="0.2">
      <c r="A1083" s="2205" t="s">
        <v>8292</v>
      </c>
      <c r="B1083" s="2205">
        <v>216.38</v>
      </c>
    </row>
    <row r="1084" spans="1:2" x14ac:dyDescent="0.2">
      <c r="A1084" s="2205" t="s">
        <v>8293</v>
      </c>
      <c r="B1084" s="2205">
        <v>1033.44</v>
      </c>
    </row>
    <row r="1085" spans="1:2" x14ac:dyDescent="0.2">
      <c r="A1085" s="2205" t="s">
        <v>8294</v>
      </c>
      <c r="B1085" s="2205">
        <v>321.39</v>
      </c>
    </row>
    <row r="1086" spans="1:2" x14ac:dyDescent="0.2">
      <c r="A1086" s="2205" t="s">
        <v>8295</v>
      </c>
      <c r="B1086" s="2205">
        <v>70</v>
      </c>
    </row>
    <row r="1087" spans="1:2" x14ac:dyDescent="0.2">
      <c r="A1087" s="2205" t="s">
        <v>8296</v>
      </c>
      <c r="B1087" s="2205">
        <v>342.55</v>
      </c>
    </row>
    <row r="1088" spans="1:2" x14ac:dyDescent="0.2">
      <c r="A1088" s="2205" t="s">
        <v>8297</v>
      </c>
      <c r="B1088" s="2205">
        <v>3.08</v>
      </c>
    </row>
    <row r="1089" spans="1:2" x14ac:dyDescent="0.2">
      <c r="A1089" s="2205" t="s">
        <v>8298</v>
      </c>
      <c r="B1089" s="2205">
        <v>474.46</v>
      </c>
    </row>
    <row r="1090" spans="1:2" x14ac:dyDescent="0.2">
      <c r="A1090" s="2205" t="s">
        <v>8299</v>
      </c>
      <c r="B1090" s="2205">
        <v>29.24</v>
      </c>
    </row>
    <row r="1091" spans="1:2" x14ac:dyDescent="0.2">
      <c r="A1091" s="2205" t="s">
        <v>8300</v>
      </c>
      <c r="B1091" s="2205">
        <v>14.55</v>
      </c>
    </row>
    <row r="1092" spans="1:2" x14ac:dyDescent="0.2">
      <c r="A1092" s="2205" t="s">
        <v>8301</v>
      </c>
      <c r="B1092" s="2205">
        <v>69.64</v>
      </c>
    </row>
    <row r="1093" spans="1:2" x14ac:dyDescent="0.2">
      <c r="A1093" s="2205" t="s">
        <v>8302</v>
      </c>
      <c r="B1093" s="2205">
        <v>1200</v>
      </c>
    </row>
    <row r="1094" spans="1:2" x14ac:dyDescent="0.2">
      <c r="A1094" s="2205" t="s">
        <v>8303</v>
      </c>
      <c r="B1094" s="2205">
        <v>73.94</v>
      </c>
    </row>
    <row r="1095" spans="1:2" x14ac:dyDescent="0.2">
      <c r="A1095" s="2205" t="s">
        <v>8304</v>
      </c>
      <c r="B1095" s="2205">
        <v>49.94</v>
      </c>
    </row>
    <row r="1096" spans="1:2" x14ac:dyDescent="0.2">
      <c r="A1096" s="2205" t="s">
        <v>8305</v>
      </c>
      <c r="B1096" s="2205">
        <v>105.39</v>
      </c>
    </row>
    <row r="1097" spans="1:2" x14ac:dyDescent="0.2">
      <c r="A1097" s="2205" t="s">
        <v>8306</v>
      </c>
      <c r="B1097" s="2205">
        <v>91.89</v>
      </c>
    </row>
    <row r="1098" spans="1:2" x14ac:dyDescent="0.2">
      <c r="A1098" s="2205" t="s">
        <v>8307</v>
      </c>
      <c r="B1098" s="2205">
        <v>230.66</v>
      </c>
    </row>
    <row r="1099" spans="1:2" x14ac:dyDescent="0.2">
      <c r="A1099" s="2205" t="s">
        <v>8308</v>
      </c>
      <c r="B1099" s="2205">
        <v>17.559999999999999</v>
      </c>
    </row>
    <row r="1100" spans="1:2" x14ac:dyDescent="0.2">
      <c r="A1100" s="2205" t="s">
        <v>8309</v>
      </c>
      <c r="B1100" s="2205">
        <v>191.69</v>
      </c>
    </row>
    <row r="1101" spans="1:2" x14ac:dyDescent="0.2">
      <c r="A1101" s="2205" t="s">
        <v>8310</v>
      </c>
      <c r="B1101" s="2205">
        <v>190.85</v>
      </c>
    </row>
    <row r="1102" spans="1:2" x14ac:dyDescent="0.2">
      <c r="A1102" s="2205" t="s">
        <v>8311</v>
      </c>
      <c r="B1102" s="2205">
        <v>235.7</v>
      </c>
    </row>
    <row r="1103" spans="1:2" x14ac:dyDescent="0.2">
      <c r="A1103" s="2205" t="s">
        <v>8312</v>
      </c>
      <c r="B1103" s="2205">
        <v>230.66</v>
      </c>
    </row>
    <row r="1104" spans="1:2" x14ac:dyDescent="0.2">
      <c r="A1104" s="2205" t="s">
        <v>8313</v>
      </c>
      <c r="B1104" s="2205">
        <v>354.3</v>
      </c>
    </row>
    <row r="1105" spans="1:2" x14ac:dyDescent="0.2">
      <c r="A1105" s="2205" t="s">
        <v>8314</v>
      </c>
      <c r="B1105" s="2205">
        <v>14.28</v>
      </c>
    </row>
    <row r="1106" spans="1:2" x14ac:dyDescent="0.2">
      <c r="A1106" s="2205" t="s">
        <v>8315</v>
      </c>
      <c r="B1106" s="2205">
        <v>4.1399999999999997</v>
      </c>
    </row>
    <row r="1107" spans="1:2" x14ac:dyDescent="0.2">
      <c r="A1107" s="2205" t="s">
        <v>8316</v>
      </c>
      <c r="B1107" s="2205">
        <v>50</v>
      </c>
    </row>
    <row r="1108" spans="1:2" x14ac:dyDescent="0.2">
      <c r="A1108" s="2205" t="s">
        <v>8317</v>
      </c>
      <c r="B1108" s="2205">
        <v>13.17</v>
      </c>
    </row>
    <row r="1109" spans="1:2" x14ac:dyDescent="0.2">
      <c r="A1109" s="2205" t="s">
        <v>8318</v>
      </c>
      <c r="B1109" s="2205">
        <v>835</v>
      </c>
    </row>
    <row r="1110" spans="1:2" x14ac:dyDescent="0.2">
      <c r="A1110" s="2205" t="s">
        <v>8319</v>
      </c>
      <c r="B1110" s="2205">
        <v>1041.3499999999999</v>
      </c>
    </row>
    <row r="1111" spans="1:2" x14ac:dyDescent="0.2">
      <c r="A1111" s="2205" t="s">
        <v>8320</v>
      </c>
      <c r="B1111" s="2205">
        <v>75.95</v>
      </c>
    </row>
    <row r="1112" spans="1:2" x14ac:dyDescent="0.2">
      <c r="A1112" s="2205" t="s">
        <v>8321</v>
      </c>
      <c r="B1112" s="2205">
        <v>2347.1999999999998</v>
      </c>
    </row>
    <row r="1113" spans="1:2" x14ac:dyDescent="0.2">
      <c r="A1113" s="2205" t="s">
        <v>8322</v>
      </c>
      <c r="B1113" s="2205">
        <v>1997.06</v>
      </c>
    </row>
    <row r="1114" spans="1:2" x14ac:dyDescent="0.2">
      <c r="A1114" s="2205" t="s">
        <v>8323</v>
      </c>
      <c r="B1114" s="2205">
        <v>849.55</v>
      </c>
    </row>
    <row r="1115" spans="1:2" x14ac:dyDescent="0.2">
      <c r="A1115" s="2205" t="s">
        <v>8324</v>
      </c>
      <c r="B1115" s="2205">
        <v>1200.73</v>
      </c>
    </row>
    <row r="1116" spans="1:2" x14ac:dyDescent="0.2">
      <c r="A1116" s="2205" t="s">
        <v>8325</v>
      </c>
      <c r="B1116" s="2205">
        <v>73.77</v>
      </c>
    </row>
    <row r="1117" spans="1:2" x14ac:dyDescent="0.2">
      <c r="A1117" s="2205" t="s">
        <v>8326</v>
      </c>
      <c r="B1117" s="2205">
        <v>153.6</v>
      </c>
    </row>
    <row r="1118" spans="1:2" x14ac:dyDescent="0.2">
      <c r="A1118" s="2205" t="s">
        <v>8327</v>
      </c>
      <c r="B1118" s="2205">
        <v>501.37</v>
      </c>
    </row>
    <row r="1119" spans="1:2" x14ac:dyDescent="0.2">
      <c r="A1119" s="2205" t="s">
        <v>8328</v>
      </c>
      <c r="B1119" s="2205">
        <v>760.85</v>
      </c>
    </row>
    <row r="1120" spans="1:2" x14ac:dyDescent="0.2">
      <c r="A1120" s="2205" t="s">
        <v>8329</v>
      </c>
      <c r="B1120" s="2205">
        <v>279.91000000000003</v>
      </c>
    </row>
    <row r="1121" spans="1:2" x14ac:dyDescent="0.2">
      <c r="A1121" s="2205" t="s">
        <v>8330</v>
      </c>
      <c r="B1121" s="2205">
        <v>185.42</v>
      </c>
    </row>
    <row r="1122" spans="1:2" x14ac:dyDescent="0.2">
      <c r="A1122" s="2205" t="s">
        <v>8331</v>
      </c>
      <c r="B1122" s="2205">
        <v>1935.63</v>
      </c>
    </row>
    <row r="1123" spans="1:2" x14ac:dyDescent="0.2">
      <c r="A1123" s="2205" t="s">
        <v>8332</v>
      </c>
      <c r="B1123" s="2205">
        <v>485.61</v>
      </c>
    </row>
    <row r="1124" spans="1:2" x14ac:dyDescent="0.2">
      <c r="A1124" s="2205" t="s">
        <v>8333</v>
      </c>
      <c r="B1124" s="2205">
        <v>446.06</v>
      </c>
    </row>
    <row r="1125" spans="1:2" x14ac:dyDescent="0.2">
      <c r="A1125" s="2205" t="s">
        <v>8334</v>
      </c>
      <c r="B1125" s="2205">
        <v>2284.33</v>
      </c>
    </row>
    <row r="1126" spans="1:2" x14ac:dyDescent="0.2">
      <c r="A1126" s="2205" t="s">
        <v>8335</v>
      </c>
      <c r="B1126" s="2205">
        <v>3681.68</v>
      </c>
    </row>
    <row r="1127" spans="1:2" x14ac:dyDescent="0.2">
      <c r="A1127" s="2205" t="s">
        <v>8336</v>
      </c>
      <c r="B1127" s="2205">
        <v>230.66</v>
      </c>
    </row>
    <row r="1128" spans="1:2" x14ac:dyDescent="0.2">
      <c r="A1128" s="2205" t="s">
        <v>8337</v>
      </c>
      <c r="B1128" s="2205">
        <v>9.74</v>
      </c>
    </row>
    <row r="1129" spans="1:2" x14ac:dyDescent="0.2">
      <c r="A1129" s="2205" t="s">
        <v>8338</v>
      </c>
      <c r="B1129" s="2205">
        <v>152.68</v>
      </c>
    </row>
    <row r="1130" spans="1:2" x14ac:dyDescent="0.2">
      <c r="A1130" s="2205" t="s">
        <v>8339</v>
      </c>
      <c r="B1130" s="2205">
        <v>21813.23</v>
      </c>
    </row>
    <row r="1131" spans="1:2" x14ac:dyDescent="0.2">
      <c r="A1131" s="2205" t="s">
        <v>8340</v>
      </c>
      <c r="B1131" s="2205">
        <v>22776.32</v>
      </c>
    </row>
    <row r="1132" spans="1:2" x14ac:dyDescent="0.2">
      <c r="A1132" s="2205" t="s">
        <v>8341</v>
      </c>
      <c r="B1132" s="2205">
        <v>34.369999999999997</v>
      </c>
    </row>
    <row r="1133" spans="1:2" x14ac:dyDescent="0.2">
      <c r="A1133" s="2205" t="s">
        <v>8342</v>
      </c>
      <c r="B1133" s="2205">
        <v>1780.61</v>
      </c>
    </row>
    <row r="1134" spans="1:2" x14ac:dyDescent="0.2">
      <c r="A1134" s="2205" t="s">
        <v>8343</v>
      </c>
      <c r="B1134" s="2205">
        <v>62.71</v>
      </c>
    </row>
    <row r="1135" spans="1:2" x14ac:dyDescent="0.2">
      <c r="A1135" s="2205" t="s">
        <v>8344</v>
      </c>
      <c r="B1135" s="2205">
        <v>69.599999999999994</v>
      </c>
    </row>
    <row r="1136" spans="1:2" x14ac:dyDescent="0.2">
      <c r="A1136" s="2205" t="s">
        <v>8345</v>
      </c>
      <c r="B1136" s="2205">
        <v>1191.1199999999999</v>
      </c>
    </row>
    <row r="1137" spans="1:2" x14ac:dyDescent="0.2">
      <c r="A1137" s="2205" t="s">
        <v>8346</v>
      </c>
      <c r="B1137" s="2205">
        <v>76.94</v>
      </c>
    </row>
    <row r="1138" spans="1:2" x14ac:dyDescent="0.2">
      <c r="A1138" s="2205" t="s">
        <v>8347</v>
      </c>
      <c r="B1138" s="2205">
        <v>5265.04</v>
      </c>
    </row>
    <row r="1139" spans="1:2" x14ac:dyDescent="0.2">
      <c r="A1139" s="2205" t="s">
        <v>8348</v>
      </c>
      <c r="B1139" s="2205">
        <v>52.67</v>
      </c>
    </row>
    <row r="1140" spans="1:2" x14ac:dyDescent="0.2">
      <c r="A1140" s="2205" t="s">
        <v>8349</v>
      </c>
      <c r="B1140" s="2205">
        <v>696.49</v>
      </c>
    </row>
    <row r="1141" spans="1:2" x14ac:dyDescent="0.2">
      <c r="A1141" s="2205" t="s">
        <v>8350</v>
      </c>
      <c r="B1141" s="2205">
        <v>3425.12</v>
      </c>
    </row>
    <row r="1142" spans="1:2" x14ac:dyDescent="0.2">
      <c r="A1142" s="2205" t="s">
        <v>8351</v>
      </c>
      <c r="B1142" s="2205">
        <v>450.03</v>
      </c>
    </row>
    <row r="1143" spans="1:2" x14ac:dyDescent="0.2">
      <c r="A1143" s="2205" t="s">
        <v>8352</v>
      </c>
      <c r="B1143" s="2205">
        <v>20.22</v>
      </c>
    </row>
    <row r="1144" spans="1:2" x14ac:dyDescent="0.2">
      <c r="A1144" s="2205" t="s">
        <v>8353</v>
      </c>
      <c r="B1144" s="2205">
        <v>13307.4</v>
      </c>
    </row>
    <row r="1145" spans="1:2" x14ac:dyDescent="0.2">
      <c r="A1145" s="2205" t="s">
        <v>8354</v>
      </c>
      <c r="B1145" s="2205">
        <v>135.82</v>
      </c>
    </row>
    <row r="1146" spans="1:2" x14ac:dyDescent="0.2">
      <c r="A1146" s="2205" t="s">
        <v>8355</v>
      </c>
      <c r="B1146" s="2205">
        <v>342.97</v>
      </c>
    </row>
    <row r="1147" spans="1:2" x14ac:dyDescent="0.2">
      <c r="A1147" s="2205" t="s">
        <v>8356</v>
      </c>
      <c r="B1147" s="2205">
        <v>89.14</v>
      </c>
    </row>
    <row r="1148" spans="1:2" x14ac:dyDescent="0.2">
      <c r="A1148" s="2205" t="s">
        <v>8357</v>
      </c>
      <c r="B1148" s="2205">
        <v>2855.53</v>
      </c>
    </row>
    <row r="1149" spans="1:2" x14ac:dyDescent="0.2">
      <c r="A1149" s="2205" t="s">
        <v>8358</v>
      </c>
      <c r="B1149" s="2205">
        <v>3414.07</v>
      </c>
    </row>
    <row r="1150" spans="1:2" x14ac:dyDescent="0.2">
      <c r="A1150" s="2205" t="s">
        <v>8359</v>
      </c>
      <c r="B1150" s="2205">
        <v>119.89</v>
      </c>
    </row>
    <row r="1151" spans="1:2" x14ac:dyDescent="0.2">
      <c r="A1151" s="2205" t="s">
        <v>8360</v>
      </c>
      <c r="B1151" s="2205">
        <v>266.7</v>
      </c>
    </row>
    <row r="1152" spans="1:2" x14ac:dyDescent="0.2">
      <c r="A1152" s="2205" t="s">
        <v>8361</v>
      </c>
      <c r="B1152" s="2205">
        <v>466.34</v>
      </c>
    </row>
    <row r="1153" spans="1:2" x14ac:dyDescent="0.2">
      <c r="A1153" s="2205" t="s">
        <v>8362</v>
      </c>
      <c r="B1153" s="2205">
        <v>7344.73</v>
      </c>
    </row>
    <row r="1154" spans="1:2" x14ac:dyDescent="0.2">
      <c r="A1154" s="2205" t="s">
        <v>8363</v>
      </c>
      <c r="B1154" s="2205">
        <v>22.14</v>
      </c>
    </row>
    <row r="1155" spans="1:2" x14ac:dyDescent="0.2">
      <c r="A1155" s="2205" t="s">
        <v>8364</v>
      </c>
      <c r="B1155" s="2205">
        <v>180.71</v>
      </c>
    </row>
    <row r="1156" spans="1:2" x14ac:dyDescent="0.2">
      <c r="A1156" s="2205" t="s">
        <v>8365</v>
      </c>
      <c r="B1156" s="2205">
        <v>413.35</v>
      </c>
    </row>
    <row r="1157" spans="1:2" x14ac:dyDescent="0.2">
      <c r="A1157" s="2205" t="s">
        <v>8366</v>
      </c>
      <c r="B1157" s="2205">
        <v>331.18</v>
      </c>
    </row>
    <row r="1158" spans="1:2" x14ac:dyDescent="0.2">
      <c r="A1158" s="2205" t="s">
        <v>8367</v>
      </c>
      <c r="B1158" s="2205">
        <v>41.4</v>
      </c>
    </row>
    <row r="1159" spans="1:2" x14ac:dyDescent="0.2">
      <c r="A1159" s="2205" t="s">
        <v>8368</v>
      </c>
      <c r="B1159" s="2205">
        <v>565.44000000000005</v>
      </c>
    </row>
    <row r="1160" spans="1:2" x14ac:dyDescent="0.2">
      <c r="A1160" s="2205" t="s">
        <v>8369</v>
      </c>
      <c r="B1160" s="2205">
        <v>1587.08</v>
      </c>
    </row>
    <row r="1161" spans="1:2" x14ac:dyDescent="0.2">
      <c r="A1161" s="2205" t="s">
        <v>8370</v>
      </c>
      <c r="B1161" s="2205">
        <v>992.94</v>
      </c>
    </row>
    <row r="1162" spans="1:2" x14ac:dyDescent="0.2">
      <c r="A1162" s="2205" t="s">
        <v>8371</v>
      </c>
      <c r="B1162" s="2205">
        <v>37.159999999999997</v>
      </c>
    </row>
    <row r="1163" spans="1:2" x14ac:dyDescent="0.2">
      <c r="A1163" s="2205" t="s">
        <v>8372</v>
      </c>
      <c r="B1163" s="2205">
        <v>32.72</v>
      </c>
    </row>
    <row r="1164" spans="1:2" x14ac:dyDescent="0.2">
      <c r="A1164" s="2205" t="s">
        <v>8373</v>
      </c>
      <c r="B1164" s="2205">
        <v>12.22</v>
      </c>
    </row>
    <row r="1165" spans="1:2" x14ac:dyDescent="0.2">
      <c r="A1165" s="2205" t="s">
        <v>8374</v>
      </c>
      <c r="B1165" s="2205">
        <v>1226.5899999999999</v>
      </c>
    </row>
    <row r="1166" spans="1:2" x14ac:dyDescent="0.2">
      <c r="A1166" s="2205" t="s">
        <v>8375</v>
      </c>
      <c r="B1166" s="2205">
        <v>627.62</v>
      </c>
    </row>
    <row r="1167" spans="1:2" x14ac:dyDescent="0.2">
      <c r="A1167" s="2205" t="s">
        <v>8376</v>
      </c>
      <c r="B1167" s="2205">
        <v>17.329999999999998</v>
      </c>
    </row>
    <row r="1168" spans="1:2" x14ac:dyDescent="0.2">
      <c r="A1168" s="2205" t="s">
        <v>8377</v>
      </c>
      <c r="B1168" s="2205">
        <v>1522.43</v>
      </c>
    </row>
    <row r="1169" spans="1:2" x14ac:dyDescent="0.2">
      <c r="A1169" s="2205" t="s">
        <v>8378</v>
      </c>
      <c r="B1169" s="2205">
        <v>2222.9</v>
      </c>
    </row>
    <row r="1170" spans="1:2" x14ac:dyDescent="0.2">
      <c r="A1170" s="2205" t="s">
        <v>8379</v>
      </c>
      <c r="B1170" s="2205">
        <v>108.36</v>
      </c>
    </row>
    <row r="1171" spans="1:2" x14ac:dyDescent="0.2">
      <c r="A1171" s="2205" t="s">
        <v>8380</v>
      </c>
      <c r="B1171" s="2205">
        <v>65.02</v>
      </c>
    </row>
    <row r="1172" spans="1:2" x14ac:dyDescent="0.2">
      <c r="A1172" s="2205" t="s">
        <v>8381</v>
      </c>
      <c r="B1172" s="2205">
        <v>28.61</v>
      </c>
    </row>
    <row r="1173" spans="1:2" x14ac:dyDescent="0.2">
      <c r="A1173" s="2205" t="s">
        <v>8382</v>
      </c>
      <c r="B1173" s="2205">
        <v>2630.22</v>
      </c>
    </row>
    <row r="1174" spans="1:2" x14ac:dyDescent="0.2">
      <c r="A1174" s="2205" t="s">
        <v>8383</v>
      </c>
      <c r="B1174" s="2205">
        <v>11.8</v>
      </c>
    </row>
    <row r="1175" spans="1:2" x14ac:dyDescent="0.2">
      <c r="A1175" s="2205" t="s">
        <v>8384</v>
      </c>
      <c r="B1175" s="2205">
        <v>162.5</v>
      </c>
    </row>
    <row r="1176" spans="1:2" x14ac:dyDescent="0.2">
      <c r="A1176" s="2205" t="s">
        <v>8385</v>
      </c>
      <c r="B1176" s="2205">
        <v>3399.98</v>
      </c>
    </row>
    <row r="1177" spans="1:2" x14ac:dyDescent="0.2">
      <c r="A1177" s="2205" t="s">
        <v>8386</v>
      </c>
      <c r="B1177" s="2205">
        <v>119.36</v>
      </c>
    </row>
    <row r="1178" spans="1:2" x14ac:dyDescent="0.2">
      <c r="A1178" s="2205" t="s">
        <v>8387</v>
      </c>
      <c r="B1178" s="2205">
        <v>468.15</v>
      </c>
    </row>
    <row r="1179" spans="1:2" x14ac:dyDescent="0.2">
      <c r="A1179" s="2205" t="s">
        <v>8388</v>
      </c>
      <c r="B1179" s="2205">
        <v>56</v>
      </c>
    </row>
    <row r="1180" spans="1:2" x14ac:dyDescent="0.2">
      <c r="A1180" s="2205" t="s">
        <v>8389</v>
      </c>
      <c r="B1180" s="2205">
        <v>4629.3999999999996</v>
      </c>
    </row>
    <row r="1181" spans="1:2" x14ac:dyDescent="0.2">
      <c r="A1181" s="2205" t="s">
        <v>8390</v>
      </c>
      <c r="B1181" s="2205">
        <v>223.35</v>
      </c>
    </row>
    <row r="1182" spans="1:2" x14ac:dyDescent="0.2">
      <c r="A1182" s="2205" t="s">
        <v>8391</v>
      </c>
      <c r="B1182" s="2205">
        <v>0</v>
      </c>
    </row>
    <row r="1183" spans="1:2" x14ac:dyDescent="0.2">
      <c r="A1183" s="2205" t="s">
        <v>8392</v>
      </c>
      <c r="B1183" s="2205">
        <v>44.03</v>
      </c>
    </row>
    <row r="1184" spans="1:2" x14ac:dyDescent="0.2">
      <c r="A1184" s="2205" t="s">
        <v>8393</v>
      </c>
      <c r="B1184" s="2205">
        <v>44.78</v>
      </c>
    </row>
    <row r="1185" spans="1:2" x14ac:dyDescent="0.2">
      <c r="A1185" s="2205" t="s">
        <v>8394</v>
      </c>
      <c r="B1185" s="2205">
        <v>1149.4100000000001</v>
      </c>
    </row>
    <row r="1186" spans="1:2" x14ac:dyDescent="0.2">
      <c r="A1186" s="2205" t="s">
        <v>8395</v>
      </c>
      <c r="B1186" s="2205">
        <v>60.28</v>
      </c>
    </row>
    <row r="1187" spans="1:2" x14ac:dyDescent="0.2">
      <c r="A1187" s="2205" t="s">
        <v>8396</v>
      </c>
      <c r="B1187" s="2205">
        <v>963.6</v>
      </c>
    </row>
    <row r="1188" spans="1:2" x14ac:dyDescent="0.2">
      <c r="A1188" s="2205" t="s">
        <v>8397</v>
      </c>
      <c r="B1188" s="2205">
        <v>348.84</v>
      </c>
    </row>
    <row r="1189" spans="1:2" x14ac:dyDescent="0.2">
      <c r="A1189" s="2205" t="s">
        <v>8398</v>
      </c>
      <c r="B1189" s="2205">
        <v>70383.62</v>
      </c>
    </row>
    <row r="1190" spans="1:2" x14ac:dyDescent="0.2">
      <c r="A1190" s="2205" t="s">
        <v>2584</v>
      </c>
      <c r="B1190" s="2205">
        <v>70803.009999999995</v>
      </c>
    </row>
    <row r="1191" spans="1:2" x14ac:dyDescent="0.2">
      <c r="A1191" s="2205" t="s">
        <v>2456</v>
      </c>
      <c r="B1191" s="2205">
        <v>11693.36</v>
      </c>
    </row>
    <row r="1192" spans="1:2" x14ac:dyDescent="0.2">
      <c r="A1192" s="2205" t="s">
        <v>904</v>
      </c>
      <c r="B1192" s="2205">
        <v>20264.75</v>
      </c>
    </row>
    <row r="1193" spans="1:2" x14ac:dyDescent="0.2">
      <c r="A1193" s="2205" t="s">
        <v>2867</v>
      </c>
      <c r="B1193" s="2205">
        <v>25176.6</v>
      </c>
    </row>
    <row r="1194" spans="1:2" x14ac:dyDescent="0.2">
      <c r="A1194" s="2205" t="s">
        <v>367</v>
      </c>
      <c r="B1194" s="2205">
        <v>1327.47</v>
      </c>
    </row>
    <row r="1195" spans="1:2" x14ac:dyDescent="0.2">
      <c r="A1195" s="2205" t="s">
        <v>2863</v>
      </c>
      <c r="B1195" s="2205">
        <v>24292.639999999999</v>
      </c>
    </row>
    <row r="1196" spans="1:2" x14ac:dyDescent="0.2">
      <c r="A1196" s="2205" t="s">
        <v>1608</v>
      </c>
      <c r="B1196" s="2205">
        <v>252.73</v>
      </c>
    </row>
    <row r="1197" spans="1:2" x14ac:dyDescent="0.2">
      <c r="A1197" s="2205" t="s">
        <v>8399</v>
      </c>
      <c r="B1197" s="2205">
        <v>6056.3</v>
      </c>
    </row>
    <row r="1198" spans="1:2" x14ac:dyDescent="0.2">
      <c r="A1198" s="2205" t="s">
        <v>8400</v>
      </c>
      <c r="B1198" s="2205">
        <v>3522.79</v>
      </c>
    </row>
    <row r="1199" spans="1:2" x14ac:dyDescent="0.2">
      <c r="A1199" s="2205" t="s">
        <v>8401</v>
      </c>
      <c r="B1199" s="2205">
        <v>1083.8900000000001</v>
      </c>
    </row>
    <row r="1200" spans="1:2" x14ac:dyDescent="0.2">
      <c r="A1200" s="2205" t="s">
        <v>2579</v>
      </c>
      <c r="B1200" s="2205">
        <v>6824.61</v>
      </c>
    </row>
    <row r="1201" spans="1:2" x14ac:dyDescent="0.2">
      <c r="A1201" s="2205" t="s">
        <v>8402</v>
      </c>
      <c r="B1201" s="2205">
        <v>7844.77</v>
      </c>
    </row>
    <row r="1202" spans="1:2" x14ac:dyDescent="0.2">
      <c r="A1202" s="2205" t="s">
        <v>8403</v>
      </c>
      <c r="B1202" s="2205">
        <v>32.340000000000003</v>
      </c>
    </row>
    <row r="1203" spans="1:2" x14ac:dyDescent="0.2">
      <c r="A1203" s="2205" t="s">
        <v>8404</v>
      </c>
      <c r="B1203" s="2205">
        <v>9634.64</v>
      </c>
    </row>
    <row r="1204" spans="1:2" x14ac:dyDescent="0.2">
      <c r="A1204" s="2205" t="s">
        <v>3199</v>
      </c>
      <c r="B1204" s="2205">
        <v>1832.21</v>
      </c>
    </row>
    <row r="1205" spans="1:2" x14ac:dyDescent="0.2">
      <c r="A1205" s="2205" t="s">
        <v>174</v>
      </c>
      <c r="B1205" s="2205">
        <v>11112.36</v>
      </c>
    </row>
    <row r="1206" spans="1:2" x14ac:dyDescent="0.2">
      <c r="A1206" s="2205" t="s">
        <v>444</v>
      </c>
      <c r="B1206" s="2205">
        <v>8593.58</v>
      </c>
    </row>
    <row r="1207" spans="1:2" x14ac:dyDescent="0.2">
      <c r="A1207" s="2205" t="s">
        <v>1920</v>
      </c>
      <c r="B1207" s="2205">
        <v>19918.21</v>
      </c>
    </row>
    <row r="1208" spans="1:2" x14ac:dyDescent="0.2">
      <c r="A1208" s="2205" t="s">
        <v>1188</v>
      </c>
      <c r="B1208" s="2205">
        <v>22466.5</v>
      </c>
    </row>
    <row r="1209" spans="1:2" x14ac:dyDescent="0.2">
      <c r="A1209" s="2205" t="s">
        <v>1095</v>
      </c>
      <c r="B1209" s="2205">
        <v>19098.11</v>
      </c>
    </row>
    <row r="1210" spans="1:2" x14ac:dyDescent="0.2">
      <c r="A1210" s="2205" t="s">
        <v>2814</v>
      </c>
      <c r="B1210" s="2205">
        <v>16578.13</v>
      </c>
    </row>
    <row r="1211" spans="1:2" x14ac:dyDescent="0.2">
      <c r="A1211" s="2205" t="s">
        <v>8405</v>
      </c>
      <c r="B1211" s="2205">
        <v>4136.66</v>
      </c>
    </row>
    <row r="1212" spans="1:2" x14ac:dyDescent="0.2">
      <c r="A1212" s="2205" t="s">
        <v>1020</v>
      </c>
      <c r="B1212" s="2205">
        <v>7924.53</v>
      </c>
    </row>
    <row r="1213" spans="1:2" x14ac:dyDescent="0.2">
      <c r="A1213" s="2205" t="s">
        <v>881</v>
      </c>
      <c r="B1213" s="2205">
        <v>0</v>
      </c>
    </row>
    <row r="1214" spans="1:2" x14ac:dyDescent="0.2">
      <c r="A1214" s="2205" t="s">
        <v>2285</v>
      </c>
      <c r="B1214" s="2205">
        <v>313101.26</v>
      </c>
    </row>
    <row r="1215" spans="1:2" x14ac:dyDescent="0.2">
      <c r="A1215" s="2205" t="s">
        <v>1818</v>
      </c>
      <c r="B1215" s="2205">
        <v>9152.86</v>
      </c>
    </row>
    <row r="1216" spans="1:2" x14ac:dyDescent="0.2">
      <c r="A1216" s="2205" t="s">
        <v>2452</v>
      </c>
      <c r="B1216" s="2205">
        <v>5327</v>
      </c>
    </row>
    <row r="1217" spans="1:2" x14ac:dyDescent="0.2">
      <c r="A1217" s="2205" t="s">
        <v>6459</v>
      </c>
      <c r="B1217" s="2205">
        <v>650</v>
      </c>
    </row>
    <row r="1218" spans="1:2" x14ac:dyDescent="0.2">
      <c r="A1218" s="2205" t="s">
        <v>377</v>
      </c>
      <c r="B1218" s="2205">
        <v>54021.82</v>
      </c>
    </row>
    <row r="1219" spans="1:2" x14ac:dyDescent="0.2">
      <c r="A1219" s="2205" t="s">
        <v>4739</v>
      </c>
      <c r="B1219" s="2205">
        <v>22712</v>
      </c>
    </row>
    <row r="1220" spans="1:2" x14ac:dyDescent="0.2">
      <c r="A1220" s="2205" t="s">
        <v>8406</v>
      </c>
      <c r="B1220" s="2205">
        <v>1903.99</v>
      </c>
    </row>
    <row r="1221" spans="1:2" x14ac:dyDescent="0.2">
      <c r="A1221" s="2205" t="s">
        <v>1027</v>
      </c>
      <c r="B1221" s="2205">
        <v>289</v>
      </c>
    </row>
    <row r="1222" spans="1:2" x14ac:dyDescent="0.2">
      <c r="A1222" s="2205" t="s">
        <v>1267</v>
      </c>
      <c r="B1222" s="2205">
        <v>15090.21</v>
      </c>
    </row>
    <row r="1223" spans="1:2" x14ac:dyDescent="0.2">
      <c r="A1223" s="2205" t="s">
        <v>71</v>
      </c>
      <c r="B1223" s="2205">
        <v>11434.94</v>
      </c>
    </row>
    <row r="1224" spans="1:2" x14ac:dyDescent="0.2">
      <c r="A1224" s="2205" t="s">
        <v>1096</v>
      </c>
      <c r="B1224" s="2205">
        <v>326767.59000000003</v>
      </c>
    </row>
    <row r="1225" spans="1:2" x14ac:dyDescent="0.2">
      <c r="A1225" s="2205" t="s">
        <v>586</v>
      </c>
      <c r="B1225" s="2205">
        <v>759.38</v>
      </c>
    </row>
    <row r="1226" spans="1:2" x14ac:dyDescent="0.2">
      <c r="A1226" s="2205" t="s">
        <v>1927</v>
      </c>
      <c r="B1226" s="2205">
        <v>16571.650000000001</v>
      </c>
    </row>
    <row r="1227" spans="1:2" x14ac:dyDescent="0.2">
      <c r="A1227" s="2205" t="s">
        <v>1552</v>
      </c>
      <c r="B1227" s="2205">
        <v>9755.9599999999991</v>
      </c>
    </row>
    <row r="1228" spans="1:2" x14ac:dyDescent="0.2">
      <c r="A1228" s="2205" t="s">
        <v>1358</v>
      </c>
      <c r="B1228" s="2205">
        <v>19675.419999999998</v>
      </c>
    </row>
    <row r="1229" spans="1:2" x14ac:dyDescent="0.2">
      <c r="A1229" s="2205" t="s">
        <v>6609</v>
      </c>
      <c r="B1229" s="2205">
        <v>759.38</v>
      </c>
    </row>
    <row r="1230" spans="1:2" x14ac:dyDescent="0.2">
      <c r="A1230" s="2205" t="s">
        <v>3160</v>
      </c>
      <c r="B1230" s="2205">
        <v>0</v>
      </c>
    </row>
    <row r="1231" spans="1:2" x14ac:dyDescent="0.2">
      <c r="A1231" s="2205" t="s">
        <v>8407</v>
      </c>
      <c r="B1231" s="2205">
        <v>950</v>
      </c>
    </row>
    <row r="1232" spans="1:2" x14ac:dyDescent="0.2">
      <c r="A1232" s="2205" t="s">
        <v>8408</v>
      </c>
      <c r="B1232" s="2205">
        <v>1175</v>
      </c>
    </row>
    <row r="1233" spans="1:2" x14ac:dyDescent="0.2">
      <c r="A1233" s="2205" t="s">
        <v>8409</v>
      </c>
      <c r="B1233" s="2205">
        <v>650</v>
      </c>
    </row>
    <row r="1234" spans="1:2" x14ac:dyDescent="0.2">
      <c r="A1234" s="2205" t="s">
        <v>2451</v>
      </c>
      <c r="B1234" s="2205">
        <v>66520</v>
      </c>
    </row>
    <row r="1235" spans="1:2" x14ac:dyDescent="0.2">
      <c r="A1235" s="2205" t="s">
        <v>8410</v>
      </c>
      <c r="B1235" s="2205">
        <v>7909.09</v>
      </c>
    </row>
    <row r="1236" spans="1:2" x14ac:dyDescent="0.2">
      <c r="A1236" s="2205" t="s">
        <v>8411</v>
      </c>
      <c r="B1236" s="2205">
        <v>2771.74</v>
      </c>
    </row>
    <row r="1237" spans="1:2" x14ac:dyDescent="0.2">
      <c r="A1237" s="2205" t="s">
        <v>8412</v>
      </c>
      <c r="B1237" s="2205">
        <v>3454.55</v>
      </c>
    </row>
    <row r="1238" spans="1:2" x14ac:dyDescent="0.2">
      <c r="A1238" s="2205" t="s">
        <v>8413</v>
      </c>
      <c r="B1238" s="2205">
        <v>1800</v>
      </c>
    </row>
    <row r="1239" spans="1:2" x14ac:dyDescent="0.2">
      <c r="A1239" s="2205" t="s">
        <v>307</v>
      </c>
      <c r="B1239" s="2205">
        <v>6183.28</v>
      </c>
    </row>
    <row r="1240" spans="1:2" x14ac:dyDescent="0.2">
      <c r="A1240" s="2205" t="s">
        <v>2416</v>
      </c>
      <c r="B1240" s="2205">
        <v>260357.54</v>
      </c>
    </row>
    <row r="1241" spans="1:2" x14ac:dyDescent="0.2">
      <c r="A1241" s="2205" t="s">
        <v>2800</v>
      </c>
      <c r="B1241" s="2205">
        <v>179817.59</v>
      </c>
    </row>
    <row r="1242" spans="1:2" x14ac:dyDescent="0.2">
      <c r="A1242" s="2205" t="s">
        <v>1266</v>
      </c>
      <c r="B1242" s="2205">
        <v>6130</v>
      </c>
    </row>
    <row r="1243" spans="1:2" x14ac:dyDescent="0.2">
      <c r="A1243" s="2205" t="s">
        <v>5142</v>
      </c>
      <c r="B1243" s="2205">
        <v>0</v>
      </c>
    </row>
    <row r="1244" spans="1:2" x14ac:dyDescent="0.2">
      <c r="A1244" s="2205" t="s">
        <v>8414</v>
      </c>
      <c r="B1244" s="2205">
        <v>1000</v>
      </c>
    </row>
    <row r="1245" spans="1:2" x14ac:dyDescent="0.2">
      <c r="A1245" s="2205" t="s">
        <v>1457</v>
      </c>
      <c r="B1245" s="2205">
        <v>97749.83</v>
      </c>
    </row>
    <row r="1246" spans="1:2" x14ac:dyDescent="0.2">
      <c r="A1246" s="2205" t="s">
        <v>1925</v>
      </c>
      <c r="B1246" s="2205">
        <v>101598.22</v>
      </c>
    </row>
    <row r="1247" spans="1:2" x14ac:dyDescent="0.2">
      <c r="A1247" s="2205" t="s">
        <v>1926</v>
      </c>
      <c r="B1247" s="2205">
        <v>0</v>
      </c>
    </row>
    <row r="1248" spans="1:2" x14ac:dyDescent="0.2">
      <c r="A1248" s="2205" t="s">
        <v>8415</v>
      </c>
      <c r="B1248" s="2205">
        <v>6250</v>
      </c>
    </row>
    <row r="1249" spans="1:2" x14ac:dyDescent="0.2">
      <c r="A1249" s="2205" t="s">
        <v>8416</v>
      </c>
      <c r="B1249" s="2205">
        <v>8771.2199999999993</v>
      </c>
    </row>
    <row r="1250" spans="1:2" x14ac:dyDescent="0.2">
      <c r="A1250" s="2205" t="s">
        <v>8417</v>
      </c>
      <c r="B1250" s="2205">
        <v>1021.97</v>
      </c>
    </row>
    <row r="1251" spans="1:2" x14ac:dyDescent="0.2">
      <c r="A1251" s="2205" t="s">
        <v>8418</v>
      </c>
      <c r="B1251" s="2205">
        <v>260.48</v>
      </c>
    </row>
    <row r="1252" spans="1:2" x14ac:dyDescent="0.2">
      <c r="A1252" s="2205" t="s">
        <v>8419</v>
      </c>
      <c r="B1252" s="2205">
        <v>178.25</v>
      </c>
    </row>
    <row r="1253" spans="1:2" x14ac:dyDescent="0.2">
      <c r="A1253" s="2205" t="s">
        <v>8420</v>
      </c>
      <c r="B1253" s="2205">
        <v>619.16999999999996</v>
      </c>
    </row>
    <row r="1254" spans="1:2" x14ac:dyDescent="0.2">
      <c r="A1254" s="2205" t="s">
        <v>8421</v>
      </c>
      <c r="B1254" s="2205">
        <v>91.38</v>
      </c>
    </row>
    <row r="1255" spans="1:2" x14ac:dyDescent="0.2">
      <c r="A1255" s="2205" t="s">
        <v>8422</v>
      </c>
      <c r="B1255" s="2205">
        <v>10303.32</v>
      </c>
    </row>
    <row r="1256" spans="1:2" x14ac:dyDescent="0.2">
      <c r="A1256" s="2205" t="s">
        <v>8423</v>
      </c>
      <c r="B1256" s="2205">
        <v>1114.2</v>
      </c>
    </row>
    <row r="1257" spans="1:2" x14ac:dyDescent="0.2">
      <c r="A1257" s="2205" t="s">
        <v>8424</v>
      </c>
      <c r="B1257" s="2205">
        <v>1305.7</v>
      </c>
    </row>
    <row r="1258" spans="1:2" x14ac:dyDescent="0.2">
      <c r="A1258" s="2205" t="s">
        <v>8425</v>
      </c>
      <c r="B1258" s="2205">
        <v>623.86</v>
      </c>
    </row>
    <row r="1259" spans="1:2" x14ac:dyDescent="0.2">
      <c r="A1259" s="2205" t="s">
        <v>8426</v>
      </c>
      <c r="B1259" s="2205">
        <v>1261.8800000000001</v>
      </c>
    </row>
    <row r="1260" spans="1:2" x14ac:dyDescent="0.2">
      <c r="A1260" s="2205" t="s">
        <v>8427</v>
      </c>
      <c r="B1260" s="2205">
        <v>2591.83</v>
      </c>
    </row>
    <row r="1261" spans="1:2" x14ac:dyDescent="0.2">
      <c r="A1261" s="2205" t="s">
        <v>8428</v>
      </c>
      <c r="B1261" s="2205">
        <v>75.709999999999994</v>
      </c>
    </row>
    <row r="1262" spans="1:2" x14ac:dyDescent="0.2">
      <c r="A1262" s="2205" t="s">
        <v>8429</v>
      </c>
      <c r="B1262" s="2205">
        <v>94.13</v>
      </c>
    </row>
    <row r="1263" spans="1:2" x14ac:dyDescent="0.2">
      <c r="A1263" s="2205" t="s">
        <v>8430</v>
      </c>
      <c r="B1263" s="2205">
        <v>100.67</v>
      </c>
    </row>
    <row r="1264" spans="1:2" x14ac:dyDescent="0.2">
      <c r="A1264" s="2205" t="s">
        <v>8431</v>
      </c>
      <c r="B1264" s="2205">
        <v>254.03</v>
      </c>
    </row>
    <row r="1265" spans="1:2" x14ac:dyDescent="0.2">
      <c r="A1265" s="2205" t="s">
        <v>8432</v>
      </c>
      <c r="B1265" s="2205">
        <v>17788.54</v>
      </c>
    </row>
    <row r="1266" spans="1:2" x14ac:dyDescent="0.2">
      <c r="A1266" s="2205" t="s">
        <v>8433</v>
      </c>
      <c r="B1266" s="2205">
        <v>4280.09</v>
      </c>
    </row>
    <row r="1267" spans="1:2" x14ac:dyDescent="0.2">
      <c r="A1267" s="2205" t="s">
        <v>8434</v>
      </c>
      <c r="B1267" s="2205">
        <v>280.68</v>
      </c>
    </row>
    <row r="1268" spans="1:2" x14ac:dyDescent="0.2">
      <c r="A1268" s="2205" t="s">
        <v>8435</v>
      </c>
      <c r="B1268" s="2205">
        <v>1247.07</v>
      </c>
    </row>
    <row r="1269" spans="1:2" x14ac:dyDescent="0.2">
      <c r="A1269" s="2205" t="s">
        <v>8436</v>
      </c>
      <c r="B1269" s="2205">
        <v>479.48</v>
      </c>
    </row>
    <row r="1270" spans="1:2" x14ac:dyDescent="0.2">
      <c r="A1270" s="2205" t="s">
        <v>8437</v>
      </c>
      <c r="B1270" s="2205">
        <v>150.88999999999999</v>
      </c>
    </row>
    <row r="1271" spans="1:2" x14ac:dyDescent="0.2">
      <c r="A1271" s="2205" t="s">
        <v>8438</v>
      </c>
      <c r="B1271" s="2205">
        <v>3567.89</v>
      </c>
    </row>
    <row r="1272" spans="1:2" x14ac:dyDescent="0.2">
      <c r="A1272" s="2205" t="s">
        <v>8439</v>
      </c>
      <c r="B1272" s="2205">
        <v>609.72</v>
      </c>
    </row>
    <row r="1273" spans="1:2" x14ac:dyDescent="0.2">
      <c r="A1273" s="2205" t="s">
        <v>8440</v>
      </c>
      <c r="B1273" s="2205">
        <v>90.73</v>
      </c>
    </row>
    <row r="1274" spans="1:2" x14ac:dyDescent="0.2">
      <c r="A1274" s="2205" t="s">
        <v>8441</v>
      </c>
      <c r="B1274" s="2205">
        <v>55.8</v>
      </c>
    </row>
    <row r="1275" spans="1:2" x14ac:dyDescent="0.2">
      <c r="A1275" s="2205" t="s">
        <v>8442</v>
      </c>
      <c r="B1275" s="2205">
        <v>2937.84</v>
      </c>
    </row>
    <row r="1276" spans="1:2" x14ac:dyDescent="0.2">
      <c r="A1276" s="2205" t="s">
        <v>8443</v>
      </c>
      <c r="B1276" s="2205">
        <v>2114.8200000000002</v>
      </c>
    </row>
    <row r="1277" spans="1:2" x14ac:dyDescent="0.2">
      <c r="A1277" s="2205" t="s">
        <v>8444</v>
      </c>
      <c r="B1277" s="2205">
        <v>2506.27</v>
      </c>
    </row>
    <row r="1278" spans="1:2" x14ac:dyDescent="0.2">
      <c r="A1278" s="2205" t="s">
        <v>8445</v>
      </c>
      <c r="B1278" s="2205">
        <v>203.15</v>
      </c>
    </row>
    <row r="1279" spans="1:2" x14ac:dyDescent="0.2">
      <c r="A1279" s="2205" t="s">
        <v>8446</v>
      </c>
      <c r="B1279" s="2205">
        <v>97.52</v>
      </c>
    </row>
    <row r="1280" spans="1:2" x14ac:dyDescent="0.2">
      <c r="A1280" s="2205" t="s">
        <v>8447</v>
      </c>
      <c r="B1280" s="2205">
        <v>60.21</v>
      </c>
    </row>
    <row r="1281" spans="1:2" x14ac:dyDescent="0.2">
      <c r="A1281" s="2205" t="s">
        <v>8448</v>
      </c>
      <c r="B1281" s="2205">
        <v>160.56</v>
      </c>
    </row>
    <row r="1282" spans="1:2" x14ac:dyDescent="0.2">
      <c r="A1282" s="2205" t="s">
        <v>8449</v>
      </c>
      <c r="B1282" s="2205">
        <v>553.94000000000005</v>
      </c>
    </row>
    <row r="1283" spans="1:2" x14ac:dyDescent="0.2">
      <c r="A1283" s="2205" t="s">
        <v>8450</v>
      </c>
      <c r="B1283" s="2205">
        <v>238.28</v>
      </c>
    </row>
    <row r="1284" spans="1:2" x14ac:dyDescent="0.2">
      <c r="A1284" s="2205" t="s">
        <v>8451</v>
      </c>
      <c r="B1284" s="2205">
        <v>37.57</v>
      </c>
    </row>
    <row r="1285" spans="1:2" x14ac:dyDescent="0.2">
      <c r="A1285" s="2205" t="s">
        <v>8452</v>
      </c>
      <c r="B1285" s="2205">
        <v>901.72</v>
      </c>
    </row>
    <row r="1286" spans="1:2" x14ac:dyDescent="0.2">
      <c r="A1286" s="2205" t="s">
        <v>8453</v>
      </c>
      <c r="B1286" s="2205">
        <v>145.16</v>
      </c>
    </row>
    <row r="1287" spans="1:2" x14ac:dyDescent="0.2">
      <c r="A1287" s="2205" t="s">
        <v>8454</v>
      </c>
      <c r="B1287" s="2205">
        <v>2567.83</v>
      </c>
    </row>
    <row r="1288" spans="1:2" x14ac:dyDescent="0.2">
      <c r="A1288" s="2205" t="s">
        <v>8455</v>
      </c>
      <c r="B1288" s="2205">
        <v>17461.55</v>
      </c>
    </row>
    <row r="1289" spans="1:2" x14ac:dyDescent="0.2">
      <c r="A1289" s="2205" t="s">
        <v>8456</v>
      </c>
      <c r="B1289" s="2205">
        <v>217.02</v>
      </c>
    </row>
    <row r="1290" spans="1:2" x14ac:dyDescent="0.2">
      <c r="A1290" s="2205" t="s">
        <v>8457</v>
      </c>
      <c r="B1290" s="2205">
        <v>587.54</v>
      </c>
    </row>
    <row r="1291" spans="1:2" x14ac:dyDescent="0.2">
      <c r="A1291" s="2205" t="s">
        <v>8458</v>
      </c>
      <c r="B1291" s="2205">
        <v>3759.11</v>
      </c>
    </row>
    <row r="1292" spans="1:2" x14ac:dyDescent="0.2">
      <c r="A1292" s="2205" t="s">
        <v>8459</v>
      </c>
      <c r="B1292" s="2205">
        <v>1073.52</v>
      </c>
    </row>
    <row r="1293" spans="1:2" x14ac:dyDescent="0.2">
      <c r="A1293" s="2205" t="s">
        <v>8460</v>
      </c>
      <c r="B1293" s="2205">
        <v>118.18</v>
      </c>
    </row>
    <row r="1294" spans="1:2" x14ac:dyDescent="0.2">
      <c r="A1294" s="2205" t="s">
        <v>8461</v>
      </c>
      <c r="B1294" s="2205">
        <v>36.29</v>
      </c>
    </row>
    <row r="1295" spans="1:2" x14ac:dyDescent="0.2">
      <c r="A1295" s="2205" t="s">
        <v>8462</v>
      </c>
      <c r="B1295" s="2205">
        <v>26.12</v>
      </c>
    </row>
    <row r="1296" spans="1:2" x14ac:dyDescent="0.2">
      <c r="A1296" s="2205" t="s">
        <v>8463</v>
      </c>
      <c r="B1296" s="2205">
        <v>959.41</v>
      </c>
    </row>
    <row r="1297" spans="1:2" x14ac:dyDescent="0.2">
      <c r="A1297" s="2205" t="s">
        <v>8464</v>
      </c>
      <c r="B1297" s="2205">
        <v>135.86000000000001</v>
      </c>
    </row>
    <row r="1298" spans="1:2" x14ac:dyDescent="0.2">
      <c r="A1298" s="2205" t="s">
        <v>8465</v>
      </c>
      <c r="B1298" s="2205">
        <v>122.82</v>
      </c>
    </row>
    <row r="1299" spans="1:2" x14ac:dyDescent="0.2">
      <c r="A1299" s="2205" t="s">
        <v>8466</v>
      </c>
      <c r="B1299" s="2205">
        <v>163.31</v>
      </c>
    </row>
    <row r="1300" spans="1:2" x14ac:dyDescent="0.2">
      <c r="A1300" s="2205" t="s">
        <v>8467</v>
      </c>
      <c r="B1300" s="2205">
        <v>1242.03</v>
      </c>
    </row>
    <row r="1301" spans="1:2" x14ac:dyDescent="0.2">
      <c r="A1301" s="2205" t="s">
        <v>8468</v>
      </c>
      <c r="B1301" s="2205">
        <v>7425.99</v>
      </c>
    </row>
    <row r="1302" spans="1:2" x14ac:dyDescent="0.2">
      <c r="A1302" s="2205" t="s">
        <v>8469</v>
      </c>
      <c r="B1302" s="2205">
        <v>384.63</v>
      </c>
    </row>
    <row r="1303" spans="1:2" x14ac:dyDescent="0.2">
      <c r="A1303" s="2205" t="s">
        <v>8470</v>
      </c>
      <c r="B1303" s="2205">
        <v>1173.54</v>
      </c>
    </row>
    <row r="1304" spans="1:2" x14ac:dyDescent="0.2">
      <c r="A1304" s="2205" t="s">
        <v>8471</v>
      </c>
      <c r="B1304" s="2205">
        <v>2178.66</v>
      </c>
    </row>
    <row r="1305" spans="1:2" x14ac:dyDescent="0.2">
      <c r="A1305" s="2205" t="s">
        <v>8472</v>
      </c>
      <c r="B1305" s="2205">
        <v>74.680000000000007</v>
      </c>
    </row>
    <row r="1306" spans="1:2" x14ac:dyDescent="0.2">
      <c r="A1306" s="2205" t="s">
        <v>8473</v>
      </c>
      <c r="B1306" s="2205">
        <v>4689.72</v>
      </c>
    </row>
    <row r="1307" spans="1:2" x14ac:dyDescent="0.2">
      <c r="A1307" s="2205" t="s">
        <v>8474</v>
      </c>
      <c r="B1307" s="2205">
        <v>731.06</v>
      </c>
    </row>
    <row r="1308" spans="1:2" x14ac:dyDescent="0.2">
      <c r="A1308" s="2205" t="s">
        <v>8475</v>
      </c>
      <c r="B1308" s="2205">
        <v>2478.75</v>
      </c>
    </row>
    <row r="1309" spans="1:2" x14ac:dyDescent="0.2">
      <c r="A1309" s="2205" t="s">
        <v>8476</v>
      </c>
      <c r="B1309" s="2205">
        <v>3661.25</v>
      </c>
    </row>
    <row r="1310" spans="1:2" x14ac:dyDescent="0.2">
      <c r="A1310" s="2205" t="s">
        <v>8477</v>
      </c>
      <c r="B1310" s="2205">
        <v>77.53</v>
      </c>
    </row>
    <row r="1311" spans="1:2" x14ac:dyDescent="0.2">
      <c r="A1311" s="2205" t="s">
        <v>8478</v>
      </c>
      <c r="B1311" s="2205">
        <v>168.9</v>
      </c>
    </row>
    <row r="1312" spans="1:2" x14ac:dyDescent="0.2">
      <c r="A1312" s="2205" t="s">
        <v>8479</v>
      </c>
      <c r="B1312" s="2205">
        <v>4469.3599999999997</v>
      </c>
    </row>
    <row r="1313" spans="1:2" x14ac:dyDescent="0.2">
      <c r="A1313" s="2205" t="s">
        <v>8480</v>
      </c>
      <c r="B1313" s="2205">
        <v>277.99</v>
      </c>
    </row>
    <row r="1314" spans="1:2" x14ac:dyDescent="0.2">
      <c r="A1314" s="2205" t="s">
        <v>8481</v>
      </c>
      <c r="B1314" s="2205">
        <v>165.73</v>
      </c>
    </row>
    <row r="1315" spans="1:2" x14ac:dyDescent="0.2">
      <c r="A1315" s="2205" t="s">
        <v>8482</v>
      </c>
      <c r="B1315" s="2205">
        <v>1840.66</v>
      </c>
    </row>
    <row r="1316" spans="1:2" x14ac:dyDescent="0.2">
      <c r="A1316" s="2205" t="s">
        <v>8483</v>
      </c>
      <c r="B1316" s="2205">
        <v>669.12</v>
      </c>
    </row>
    <row r="1317" spans="1:2" x14ac:dyDescent="0.2">
      <c r="A1317" s="2205" t="s">
        <v>8484</v>
      </c>
      <c r="B1317" s="2205">
        <v>240.31</v>
      </c>
    </row>
    <row r="1318" spans="1:2" x14ac:dyDescent="0.2">
      <c r="A1318" s="2205" t="s">
        <v>8485</v>
      </c>
      <c r="B1318" s="2205">
        <v>2237.84</v>
      </c>
    </row>
    <row r="1319" spans="1:2" x14ac:dyDescent="0.2">
      <c r="A1319" s="2205" t="s">
        <v>8486</v>
      </c>
      <c r="B1319" s="2205">
        <v>83.82</v>
      </c>
    </row>
    <row r="1320" spans="1:2" x14ac:dyDescent="0.2">
      <c r="A1320" s="2205" t="s">
        <v>8487</v>
      </c>
      <c r="B1320" s="2205">
        <v>5808.81</v>
      </c>
    </row>
    <row r="1321" spans="1:2" x14ac:dyDescent="0.2">
      <c r="A1321" s="2205" t="s">
        <v>8488</v>
      </c>
      <c r="B1321" s="2205">
        <v>138.97999999999999</v>
      </c>
    </row>
    <row r="1322" spans="1:2" x14ac:dyDescent="0.2">
      <c r="A1322" s="2205" t="s">
        <v>8489</v>
      </c>
      <c r="B1322" s="2205">
        <v>247.67</v>
      </c>
    </row>
    <row r="1323" spans="1:2" x14ac:dyDescent="0.2">
      <c r="A1323" s="2205" t="s">
        <v>8490</v>
      </c>
      <c r="B1323" s="2205">
        <v>761.13</v>
      </c>
    </row>
    <row r="1324" spans="1:2" x14ac:dyDescent="0.2">
      <c r="A1324" s="2205" t="s">
        <v>8491</v>
      </c>
      <c r="B1324" s="2205">
        <v>1850.46</v>
      </c>
    </row>
    <row r="1325" spans="1:2" x14ac:dyDescent="0.2">
      <c r="A1325" s="2205" t="s">
        <v>8492</v>
      </c>
      <c r="B1325" s="2205">
        <v>1787.87</v>
      </c>
    </row>
    <row r="1326" spans="1:2" x14ac:dyDescent="0.2">
      <c r="A1326" s="2205" t="s">
        <v>8493</v>
      </c>
      <c r="B1326" s="2205">
        <v>63.31</v>
      </c>
    </row>
    <row r="1327" spans="1:2" x14ac:dyDescent="0.2">
      <c r="A1327" s="2205" t="s">
        <v>8494</v>
      </c>
      <c r="B1327" s="2205">
        <v>1252.3800000000001</v>
      </c>
    </row>
    <row r="1328" spans="1:2" x14ac:dyDescent="0.2">
      <c r="A1328" s="2205" t="s">
        <v>8495</v>
      </c>
      <c r="B1328" s="2205">
        <v>329.89</v>
      </c>
    </row>
    <row r="1329" spans="1:2" x14ac:dyDescent="0.2">
      <c r="A1329" s="2205" t="s">
        <v>8496</v>
      </c>
      <c r="B1329" s="2205">
        <v>463.32</v>
      </c>
    </row>
    <row r="1330" spans="1:2" x14ac:dyDescent="0.2">
      <c r="A1330" s="2205" t="s">
        <v>8497</v>
      </c>
      <c r="B1330" s="2205">
        <v>29.77</v>
      </c>
    </row>
    <row r="1331" spans="1:2" x14ac:dyDescent="0.2">
      <c r="A1331" s="2205" t="s">
        <v>8498</v>
      </c>
      <c r="B1331" s="2205">
        <v>45.51</v>
      </c>
    </row>
    <row r="1332" spans="1:2" x14ac:dyDescent="0.2">
      <c r="A1332" s="2205" t="s">
        <v>8499</v>
      </c>
      <c r="B1332" s="2205">
        <v>59.75</v>
      </c>
    </row>
    <row r="1333" spans="1:2" x14ac:dyDescent="0.2">
      <c r="A1333" s="2205" t="s">
        <v>8500</v>
      </c>
      <c r="B1333" s="2205">
        <v>549.80999999999995</v>
      </c>
    </row>
    <row r="1334" spans="1:2" x14ac:dyDescent="0.2">
      <c r="A1334" s="2205" t="s">
        <v>8501</v>
      </c>
      <c r="B1334" s="2205">
        <v>6876.25</v>
      </c>
    </row>
    <row r="1335" spans="1:2" x14ac:dyDescent="0.2">
      <c r="A1335" s="2205" t="s">
        <v>8502</v>
      </c>
      <c r="B1335" s="2205">
        <v>927.95</v>
      </c>
    </row>
    <row r="1336" spans="1:2" x14ac:dyDescent="0.2">
      <c r="A1336" s="2205" t="s">
        <v>8503</v>
      </c>
      <c r="B1336" s="2205">
        <v>212.85</v>
      </c>
    </row>
    <row r="1337" spans="1:2" x14ac:dyDescent="0.2">
      <c r="A1337" s="2205" t="s">
        <v>8504</v>
      </c>
      <c r="B1337" s="2205">
        <v>5349.99</v>
      </c>
    </row>
    <row r="1338" spans="1:2" x14ac:dyDescent="0.2">
      <c r="A1338" s="2205" t="s">
        <v>8505</v>
      </c>
      <c r="B1338" s="2205">
        <v>8900.7199999999993</v>
      </c>
    </row>
    <row r="1339" spans="1:2" x14ac:dyDescent="0.2">
      <c r="A1339" s="2205" t="s">
        <v>8506</v>
      </c>
      <c r="B1339" s="2205">
        <v>432.06</v>
      </c>
    </row>
    <row r="1340" spans="1:2" x14ac:dyDescent="0.2">
      <c r="A1340" s="2205" t="s">
        <v>8507</v>
      </c>
      <c r="B1340" s="2205">
        <v>991.39</v>
      </c>
    </row>
    <row r="1341" spans="1:2" x14ac:dyDescent="0.2">
      <c r="A1341" s="2205" t="s">
        <v>8508</v>
      </c>
      <c r="B1341" s="2205">
        <v>119.49</v>
      </c>
    </row>
    <row r="1342" spans="1:2" x14ac:dyDescent="0.2">
      <c r="A1342" s="2205" t="s">
        <v>8509</v>
      </c>
      <c r="B1342" s="2205">
        <v>163.31</v>
      </c>
    </row>
    <row r="1343" spans="1:2" x14ac:dyDescent="0.2">
      <c r="A1343" s="2205" t="s">
        <v>8510</v>
      </c>
      <c r="B1343" s="2205">
        <v>2167.2600000000002</v>
      </c>
    </row>
    <row r="1344" spans="1:2" x14ac:dyDescent="0.2">
      <c r="A1344" s="2205" t="s">
        <v>8511</v>
      </c>
      <c r="B1344" s="2205">
        <v>3041.46</v>
      </c>
    </row>
    <row r="1345" spans="1:2" x14ac:dyDescent="0.2">
      <c r="A1345" s="2205" t="s">
        <v>8512</v>
      </c>
      <c r="B1345" s="2205">
        <v>80.28</v>
      </c>
    </row>
    <row r="1346" spans="1:2" x14ac:dyDescent="0.2">
      <c r="A1346" s="2205" t="s">
        <v>8513</v>
      </c>
      <c r="B1346" s="2205">
        <v>295.12</v>
      </c>
    </row>
    <row r="1347" spans="1:2" x14ac:dyDescent="0.2">
      <c r="A1347" s="2205" t="s">
        <v>8514</v>
      </c>
      <c r="B1347" s="2205">
        <v>43.11</v>
      </c>
    </row>
    <row r="1348" spans="1:2" x14ac:dyDescent="0.2">
      <c r="A1348" s="2205" t="s">
        <v>8515</v>
      </c>
      <c r="B1348" s="2205">
        <v>4329.1000000000004</v>
      </c>
    </row>
    <row r="1349" spans="1:2" x14ac:dyDescent="0.2">
      <c r="A1349" s="2205" t="s">
        <v>8516</v>
      </c>
      <c r="B1349" s="2205">
        <v>3460.23</v>
      </c>
    </row>
    <row r="1350" spans="1:2" x14ac:dyDescent="0.2">
      <c r="A1350" s="2205" t="s">
        <v>8517</v>
      </c>
      <c r="B1350" s="2205">
        <v>34.31</v>
      </c>
    </row>
    <row r="1351" spans="1:2" x14ac:dyDescent="0.2">
      <c r="A1351" s="2205" t="s">
        <v>8518</v>
      </c>
      <c r="B1351" s="2205">
        <v>327.71</v>
      </c>
    </row>
    <row r="1352" spans="1:2" x14ac:dyDescent="0.2">
      <c r="A1352" s="2205" t="s">
        <v>8519</v>
      </c>
      <c r="B1352" s="2205">
        <v>303.22000000000003</v>
      </c>
    </row>
    <row r="1353" spans="1:2" x14ac:dyDescent="0.2">
      <c r="A1353" s="2205" t="s">
        <v>8520</v>
      </c>
      <c r="B1353" s="2205">
        <v>2145.33</v>
      </c>
    </row>
    <row r="1354" spans="1:2" x14ac:dyDescent="0.2">
      <c r="A1354" s="2205" t="s">
        <v>8521</v>
      </c>
      <c r="B1354" s="2205">
        <v>406.07</v>
      </c>
    </row>
    <row r="1355" spans="1:2" x14ac:dyDescent="0.2">
      <c r="A1355" s="2205" t="s">
        <v>8522</v>
      </c>
      <c r="B1355" s="2205">
        <v>104.23</v>
      </c>
    </row>
    <row r="1356" spans="1:2" x14ac:dyDescent="0.2">
      <c r="A1356" s="2205" t="s">
        <v>8523</v>
      </c>
      <c r="B1356" s="2205">
        <v>587.63</v>
      </c>
    </row>
    <row r="1357" spans="1:2" x14ac:dyDescent="0.2">
      <c r="A1357" s="2205" t="s">
        <v>8524</v>
      </c>
      <c r="B1357" s="2205">
        <v>4675.2299999999996</v>
      </c>
    </row>
    <row r="1358" spans="1:2" x14ac:dyDescent="0.2">
      <c r="A1358" s="2205" t="s">
        <v>8525</v>
      </c>
      <c r="B1358" s="2205">
        <v>72.58</v>
      </c>
    </row>
    <row r="1359" spans="1:2" x14ac:dyDescent="0.2">
      <c r="A1359" s="2205" t="s">
        <v>8526</v>
      </c>
      <c r="B1359" s="2205">
        <v>100.35</v>
      </c>
    </row>
    <row r="1360" spans="1:2" x14ac:dyDescent="0.2">
      <c r="A1360" s="2205" t="s">
        <v>8527</v>
      </c>
      <c r="B1360" s="2205">
        <v>666.88</v>
      </c>
    </row>
    <row r="1361" spans="1:2" x14ac:dyDescent="0.2">
      <c r="A1361" s="2205" t="s">
        <v>8528</v>
      </c>
      <c r="B1361" s="2205">
        <v>979.78</v>
      </c>
    </row>
    <row r="1362" spans="1:2" x14ac:dyDescent="0.2">
      <c r="A1362" s="2205" t="s">
        <v>8529</v>
      </c>
      <c r="B1362" s="2205">
        <v>344.02</v>
      </c>
    </row>
    <row r="1363" spans="1:2" x14ac:dyDescent="0.2">
      <c r="A1363" s="2205" t="s">
        <v>8530</v>
      </c>
      <c r="B1363" s="2205">
        <v>201.16</v>
      </c>
    </row>
    <row r="1364" spans="1:2" x14ac:dyDescent="0.2">
      <c r="A1364" s="2205" t="s">
        <v>8531</v>
      </c>
      <c r="B1364" s="2205">
        <v>9689.02</v>
      </c>
    </row>
    <row r="1365" spans="1:2" x14ac:dyDescent="0.2">
      <c r="A1365" s="2205" t="s">
        <v>8532</v>
      </c>
      <c r="B1365" s="2205">
        <v>527.29</v>
      </c>
    </row>
    <row r="1366" spans="1:2" x14ac:dyDescent="0.2">
      <c r="A1366" s="2205" t="s">
        <v>8533</v>
      </c>
      <c r="B1366" s="2205">
        <v>1260.01</v>
      </c>
    </row>
    <row r="1367" spans="1:2" x14ac:dyDescent="0.2">
      <c r="A1367" s="2205" t="s">
        <v>8534</v>
      </c>
      <c r="B1367" s="2205">
        <v>422.02</v>
      </c>
    </row>
    <row r="1368" spans="1:2" x14ac:dyDescent="0.2">
      <c r="A1368" s="2205" t="s">
        <v>8535</v>
      </c>
      <c r="B1368" s="2205">
        <v>37.72</v>
      </c>
    </row>
    <row r="1369" spans="1:2" x14ac:dyDescent="0.2">
      <c r="A1369" s="2205" t="s">
        <v>8536</v>
      </c>
      <c r="B1369" s="2205">
        <v>152.61000000000001</v>
      </c>
    </row>
    <row r="1370" spans="1:2" x14ac:dyDescent="0.2">
      <c r="A1370" s="2205" t="s">
        <v>8537</v>
      </c>
      <c r="B1370" s="2205">
        <v>303.77</v>
      </c>
    </row>
    <row r="1371" spans="1:2" x14ac:dyDescent="0.2">
      <c r="A1371" s="2205" t="s">
        <v>8538</v>
      </c>
      <c r="B1371" s="2205">
        <v>449.95</v>
      </c>
    </row>
    <row r="1372" spans="1:2" x14ac:dyDescent="0.2">
      <c r="A1372" s="2205" t="s">
        <v>8539</v>
      </c>
      <c r="B1372" s="2205">
        <v>305.12</v>
      </c>
    </row>
    <row r="1373" spans="1:2" x14ac:dyDescent="0.2">
      <c r="A1373" s="2205" t="s">
        <v>8540</v>
      </c>
      <c r="B1373" s="2205">
        <v>2436.08</v>
      </c>
    </row>
    <row r="1374" spans="1:2" x14ac:dyDescent="0.2">
      <c r="A1374" s="2205" t="s">
        <v>8541</v>
      </c>
      <c r="B1374" s="2205">
        <v>1227.47</v>
      </c>
    </row>
    <row r="1375" spans="1:2" x14ac:dyDescent="0.2">
      <c r="A1375" s="2205" t="s">
        <v>8542</v>
      </c>
      <c r="B1375" s="2205">
        <v>4953.2700000000004</v>
      </c>
    </row>
    <row r="1376" spans="1:2" x14ac:dyDescent="0.2">
      <c r="A1376" s="2205" t="s">
        <v>8543</v>
      </c>
      <c r="B1376" s="2205">
        <v>1031.19</v>
      </c>
    </row>
    <row r="1377" spans="1:2" x14ac:dyDescent="0.2">
      <c r="A1377" s="2205" t="s">
        <v>8544</v>
      </c>
      <c r="B1377" s="2205">
        <v>209.74</v>
      </c>
    </row>
    <row r="1378" spans="1:2" x14ac:dyDescent="0.2">
      <c r="A1378" s="2205" t="s">
        <v>8545</v>
      </c>
      <c r="B1378" s="2205">
        <v>272.52999999999997</v>
      </c>
    </row>
    <row r="1379" spans="1:2" x14ac:dyDescent="0.2">
      <c r="A1379" s="2205" t="s">
        <v>8546</v>
      </c>
      <c r="B1379" s="2205">
        <v>408.13</v>
      </c>
    </row>
    <row r="1380" spans="1:2" x14ac:dyDescent="0.2">
      <c r="A1380" s="2205" t="s">
        <v>8547</v>
      </c>
      <c r="B1380" s="2205">
        <v>108.41</v>
      </c>
    </row>
    <row r="1381" spans="1:2" x14ac:dyDescent="0.2">
      <c r="A1381" s="2205" t="s">
        <v>8548</v>
      </c>
      <c r="B1381" s="2205">
        <v>698.75</v>
      </c>
    </row>
    <row r="1382" spans="1:2" x14ac:dyDescent="0.2">
      <c r="A1382" s="2205" t="s">
        <v>8549</v>
      </c>
      <c r="B1382" s="2205">
        <v>731.16</v>
      </c>
    </row>
    <row r="1383" spans="1:2" x14ac:dyDescent="0.2">
      <c r="A1383" s="2205" t="s">
        <v>8550</v>
      </c>
      <c r="B1383" s="2205">
        <v>423.92</v>
      </c>
    </row>
    <row r="1384" spans="1:2" x14ac:dyDescent="0.2">
      <c r="A1384" s="2205" t="s">
        <v>8551</v>
      </c>
      <c r="B1384" s="2205">
        <v>481.02</v>
      </c>
    </row>
    <row r="1385" spans="1:2" x14ac:dyDescent="0.2">
      <c r="A1385" s="2205" t="s">
        <v>8552</v>
      </c>
      <c r="B1385" s="2205">
        <v>86.22</v>
      </c>
    </row>
    <row r="1386" spans="1:2" x14ac:dyDescent="0.2">
      <c r="A1386" s="2205" t="s">
        <v>8553</v>
      </c>
      <c r="B1386" s="2205">
        <v>357.38</v>
      </c>
    </row>
    <row r="1387" spans="1:2" x14ac:dyDescent="0.2">
      <c r="A1387" s="2205" t="s">
        <v>8554</v>
      </c>
      <c r="B1387" s="2205">
        <v>356.61</v>
      </c>
    </row>
    <row r="1388" spans="1:2" x14ac:dyDescent="0.2">
      <c r="A1388" s="2205" t="s">
        <v>8555</v>
      </c>
      <c r="B1388" s="2205">
        <v>241.77</v>
      </c>
    </row>
    <row r="1389" spans="1:2" x14ac:dyDescent="0.2">
      <c r="A1389" s="2205" t="s">
        <v>8556</v>
      </c>
      <c r="B1389" s="2205">
        <v>1525</v>
      </c>
    </row>
    <row r="1390" spans="1:2" x14ac:dyDescent="0.2">
      <c r="A1390" s="2205" t="s">
        <v>8557</v>
      </c>
      <c r="B1390" s="2205">
        <v>1365.45</v>
      </c>
    </row>
    <row r="1391" spans="1:2" x14ac:dyDescent="0.2">
      <c r="A1391" s="2205" t="s">
        <v>8558</v>
      </c>
      <c r="B1391" s="2205">
        <v>880.91</v>
      </c>
    </row>
    <row r="1392" spans="1:2" x14ac:dyDescent="0.2">
      <c r="A1392" s="2205" t="s">
        <v>8559</v>
      </c>
      <c r="B1392" s="2205">
        <v>1746.82</v>
      </c>
    </row>
    <row r="1393" spans="1:2" x14ac:dyDescent="0.2">
      <c r="A1393" s="2205" t="s">
        <v>8560</v>
      </c>
      <c r="B1393" s="2205">
        <v>117.98</v>
      </c>
    </row>
    <row r="1394" spans="1:2" x14ac:dyDescent="0.2">
      <c r="A1394" s="2205" t="s">
        <v>8561</v>
      </c>
      <c r="B1394" s="2205">
        <v>416.4</v>
      </c>
    </row>
    <row r="1395" spans="1:2" x14ac:dyDescent="0.2">
      <c r="A1395" s="2205" t="s">
        <v>8562</v>
      </c>
      <c r="B1395" s="2205">
        <v>113.56</v>
      </c>
    </row>
    <row r="1396" spans="1:2" x14ac:dyDescent="0.2">
      <c r="A1396" s="2205" t="s">
        <v>8563</v>
      </c>
      <c r="B1396" s="2205">
        <v>613.69000000000005</v>
      </c>
    </row>
    <row r="1397" spans="1:2" x14ac:dyDescent="0.2">
      <c r="A1397" s="2205" t="s">
        <v>8564</v>
      </c>
      <c r="B1397" s="2205">
        <v>943.74</v>
      </c>
    </row>
    <row r="1398" spans="1:2" x14ac:dyDescent="0.2">
      <c r="A1398" s="2205" t="s">
        <v>8565</v>
      </c>
      <c r="B1398" s="2205">
        <v>1798.43</v>
      </c>
    </row>
    <row r="1399" spans="1:2" x14ac:dyDescent="0.2">
      <c r="A1399" s="2205" t="s">
        <v>8566</v>
      </c>
      <c r="B1399" s="2205">
        <v>3554.02</v>
      </c>
    </row>
    <row r="1400" spans="1:2" x14ac:dyDescent="0.2">
      <c r="A1400" s="2205" t="s">
        <v>8567</v>
      </c>
      <c r="B1400" s="2205">
        <v>261.77999999999997</v>
      </c>
    </row>
    <row r="1401" spans="1:2" x14ac:dyDescent="0.2">
      <c r="A1401" s="2205" t="s">
        <v>8568</v>
      </c>
      <c r="B1401" s="2205">
        <v>5045.2299999999996</v>
      </c>
    </row>
    <row r="1402" spans="1:2" x14ac:dyDescent="0.2">
      <c r="A1402" s="2205" t="s">
        <v>8569</v>
      </c>
      <c r="B1402" s="2205">
        <v>128.24</v>
      </c>
    </row>
    <row r="1403" spans="1:2" x14ac:dyDescent="0.2">
      <c r="A1403" s="2205" t="s">
        <v>8570</v>
      </c>
      <c r="B1403" s="2205">
        <v>139.34</v>
      </c>
    </row>
    <row r="1404" spans="1:2" x14ac:dyDescent="0.2">
      <c r="A1404" s="2205" t="s">
        <v>8571</v>
      </c>
      <c r="B1404" s="2205">
        <v>980.36</v>
      </c>
    </row>
    <row r="1405" spans="1:2" x14ac:dyDescent="0.2">
      <c r="A1405" s="2205" t="s">
        <v>8572</v>
      </c>
      <c r="B1405" s="2205">
        <v>59.75</v>
      </c>
    </row>
    <row r="1406" spans="1:2" x14ac:dyDescent="0.2">
      <c r="A1406" s="2205" t="s">
        <v>8573</v>
      </c>
      <c r="B1406" s="2205">
        <v>1158.24</v>
      </c>
    </row>
    <row r="1407" spans="1:2" x14ac:dyDescent="0.2">
      <c r="A1407" s="2205" t="s">
        <v>8574</v>
      </c>
      <c r="B1407" s="2205">
        <v>655.14</v>
      </c>
    </row>
    <row r="1408" spans="1:2" x14ac:dyDescent="0.2">
      <c r="A1408" s="2205" t="s">
        <v>8575</v>
      </c>
      <c r="B1408" s="2205">
        <v>186.36</v>
      </c>
    </row>
    <row r="1409" spans="1:2" x14ac:dyDescent="0.2">
      <c r="A1409" s="2205" t="s">
        <v>8576</v>
      </c>
      <c r="B1409" s="2205">
        <v>2454.44</v>
      </c>
    </row>
    <row r="1410" spans="1:2" x14ac:dyDescent="0.2">
      <c r="A1410" s="2205" t="s">
        <v>8577</v>
      </c>
      <c r="B1410" s="2205">
        <v>169.87</v>
      </c>
    </row>
    <row r="1411" spans="1:2" x14ac:dyDescent="0.2">
      <c r="A1411" s="2205" t="s">
        <v>8578</v>
      </c>
      <c r="B1411" s="2205">
        <v>7313.95</v>
      </c>
    </row>
    <row r="1412" spans="1:2" x14ac:dyDescent="0.2">
      <c r="A1412" s="2205" t="s">
        <v>8579</v>
      </c>
      <c r="B1412" s="2205">
        <v>1674.34</v>
      </c>
    </row>
    <row r="1413" spans="1:2" x14ac:dyDescent="0.2">
      <c r="A1413" s="2205" t="s">
        <v>8580</v>
      </c>
      <c r="B1413" s="2205">
        <v>829.84</v>
      </c>
    </row>
    <row r="1414" spans="1:2" x14ac:dyDescent="0.2">
      <c r="A1414" s="2205" t="s">
        <v>8581</v>
      </c>
      <c r="B1414" s="2205">
        <v>263.86</v>
      </c>
    </row>
    <row r="1415" spans="1:2" x14ac:dyDescent="0.2">
      <c r="A1415" s="2205" t="s">
        <v>8582</v>
      </c>
      <c r="B1415" s="2205">
        <v>1344.71</v>
      </c>
    </row>
    <row r="1416" spans="1:2" x14ac:dyDescent="0.2">
      <c r="A1416" s="2205" t="s">
        <v>8583</v>
      </c>
      <c r="B1416" s="2205">
        <v>142.94999999999999</v>
      </c>
    </row>
    <row r="1417" spans="1:2" x14ac:dyDescent="0.2">
      <c r="A1417" s="2205" t="s">
        <v>8584</v>
      </c>
      <c r="B1417" s="2205">
        <v>1394.9</v>
      </c>
    </row>
    <row r="1418" spans="1:2" x14ac:dyDescent="0.2">
      <c r="A1418" s="2205" t="s">
        <v>8585</v>
      </c>
      <c r="B1418" s="2205">
        <v>41.43</v>
      </c>
    </row>
    <row r="1419" spans="1:2" x14ac:dyDescent="0.2">
      <c r="A1419" s="2205" t="s">
        <v>8586</v>
      </c>
      <c r="B1419" s="2205">
        <v>640.88</v>
      </c>
    </row>
    <row r="1420" spans="1:2" x14ac:dyDescent="0.2">
      <c r="A1420" s="2205" t="s">
        <v>8587</v>
      </c>
      <c r="B1420" s="2205">
        <v>2499.38</v>
      </c>
    </row>
    <row r="1421" spans="1:2" x14ac:dyDescent="0.2">
      <c r="A1421" s="2205" t="s">
        <v>8588</v>
      </c>
      <c r="B1421" s="2205">
        <v>204.82</v>
      </c>
    </row>
    <row r="1422" spans="1:2" x14ac:dyDescent="0.2">
      <c r="A1422" s="2205" t="s">
        <v>8589</v>
      </c>
      <c r="B1422" s="2205">
        <v>0</v>
      </c>
    </row>
    <row r="1423" spans="1:2" x14ac:dyDescent="0.2">
      <c r="A1423" s="2205" t="s">
        <v>8590</v>
      </c>
      <c r="B1423" s="2205">
        <v>1252.01</v>
      </c>
    </row>
    <row r="1424" spans="1:2" x14ac:dyDescent="0.2">
      <c r="A1424" s="2205" t="s">
        <v>8591</v>
      </c>
      <c r="B1424" s="2205">
        <v>214.46</v>
      </c>
    </row>
    <row r="1425" spans="1:2" x14ac:dyDescent="0.2">
      <c r="A1425" s="2205" t="s">
        <v>8592</v>
      </c>
      <c r="B1425" s="2205">
        <v>58231.37</v>
      </c>
    </row>
    <row r="1426" spans="1:2" x14ac:dyDescent="0.2">
      <c r="A1426" s="2205" t="s">
        <v>8593</v>
      </c>
      <c r="B1426" s="2205">
        <v>15896.78</v>
      </c>
    </row>
    <row r="1427" spans="1:2" x14ac:dyDescent="0.2">
      <c r="A1427" s="2205" t="s">
        <v>8594</v>
      </c>
      <c r="B1427" s="2205">
        <v>5431.21</v>
      </c>
    </row>
    <row r="1428" spans="1:2" x14ac:dyDescent="0.2">
      <c r="A1428" s="2205" t="s">
        <v>8595</v>
      </c>
      <c r="B1428" s="2205">
        <v>3008.72</v>
      </c>
    </row>
    <row r="1429" spans="1:2" x14ac:dyDescent="0.2">
      <c r="A1429" s="2205" t="s">
        <v>8596</v>
      </c>
      <c r="B1429" s="2205">
        <v>8190.61</v>
      </c>
    </row>
    <row r="1430" spans="1:2" x14ac:dyDescent="0.2">
      <c r="A1430" s="2205" t="s">
        <v>8597</v>
      </c>
      <c r="B1430" s="2205">
        <v>510.15</v>
      </c>
    </row>
    <row r="1431" spans="1:2" x14ac:dyDescent="0.2">
      <c r="A1431" s="2205" t="s">
        <v>8598</v>
      </c>
      <c r="B1431" s="2205">
        <v>1486</v>
      </c>
    </row>
    <row r="1432" spans="1:2" x14ac:dyDescent="0.2">
      <c r="A1432" s="2205" t="s">
        <v>8599</v>
      </c>
      <c r="B1432" s="2205">
        <v>5271.14</v>
      </c>
    </row>
    <row r="1433" spans="1:2" x14ac:dyDescent="0.2">
      <c r="A1433" s="2205" t="s">
        <v>8600</v>
      </c>
      <c r="B1433" s="2205">
        <v>10240.719999999999</v>
      </c>
    </row>
    <row r="1434" spans="1:2" x14ac:dyDescent="0.2">
      <c r="A1434" s="2205" t="s">
        <v>8601</v>
      </c>
      <c r="B1434" s="2205">
        <v>71.09</v>
      </c>
    </row>
    <row r="1435" spans="1:2" x14ac:dyDescent="0.2">
      <c r="A1435" s="2205" t="s">
        <v>8602</v>
      </c>
      <c r="B1435" s="2205">
        <v>1228.51</v>
      </c>
    </row>
    <row r="1436" spans="1:2" x14ac:dyDescent="0.2">
      <c r="A1436" s="2205" t="s">
        <v>8603</v>
      </c>
      <c r="B1436" s="2205">
        <v>2245</v>
      </c>
    </row>
    <row r="1437" spans="1:2" x14ac:dyDescent="0.2">
      <c r="A1437" s="2205" t="s">
        <v>8604</v>
      </c>
      <c r="B1437" s="2205">
        <v>988.84</v>
      </c>
    </row>
    <row r="1438" spans="1:2" x14ac:dyDescent="0.2">
      <c r="A1438" s="2205" t="s">
        <v>8605</v>
      </c>
      <c r="B1438" s="2205">
        <v>402.2</v>
      </c>
    </row>
    <row r="1439" spans="1:2" x14ac:dyDescent="0.2">
      <c r="A1439" s="2205" t="s">
        <v>8606</v>
      </c>
      <c r="B1439" s="2205">
        <v>431.64</v>
      </c>
    </row>
    <row r="1440" spans="1:2" x14ac:dyDescent="0.2">
      <c r="A1440" s="2205" t="s">
        <v>8607</v>
      </c>
      <c r="B1440" s="2205">
        <v>106.46</v>
      </c>
    </row>
    <row r="1441" spans="1:2" x14ac:dyDescent="0.2">
      <c r="A1441" s="2205" t="s">
        <v>8608</v>
      </c>
      <c r="B1441" s="2205">
        <v>12621.15</v>
      </c>
    </row>
    <row r="1442" spans="1:2" x14ac:dyDescent="0.2">
      <c r="A1442" s="2205" t="s">
        <v>8609</v>
      </c>
      <c r="B1442" s="2205">
        <v>1298.51</v>
      </c>
    </row>
    <row r="1443" spans="1:2" x14ac:dyDescent="0.2">
      <c r="A1443" s="2205" t="s">
        <v>8610</v>
      </c>
      <c r="B1443" s="2205">
        <v>220.77</v>
      </c>
    </row>
    <row r="1444" spans="1:2" x14ac:dyDescent="0.2">
      <c r="A1444" s="2205" t="s">
        <v>8611</v>
      </c>
      <c r="B1444" s="2205">
        <v>0</v>
      </c>
    </row>
    <row r="1445" spans="1:2" x14ac:dyDescent="0.2">
      <c r="A1445" s="2205" t="s">
        <v>8612</v>
      </c>
      <c r="B1445" s="2205">
        <v>26695.61</v>
      </c>
    </row>
    <row r="1446" spans="1:2" x14ac:dyDescent="0.2">
      <c r="A1446" s="2205" t="s">
        <v>8613</v>
      </c>
      <c r="B1446" s="2205">
        <v>27.54</v>
      </c>
    </row>
    <row r="1447" spans="1:2" x14ac:dyDescent="0.2">
      <c r="A1447" s="2205" t="s">
        <v>8614</v>
      </c>
      <c r="B1447" s="2205">
        <v>-70</v>
      </c>
    </row>
    <row r="1448" spans="1:2" x14ac:dyDescent="0.2">
      <c r="A1448" s="2205" t="s">
        <v>8615</v>
      </c>
      <c r="B1448" s="2205">
        <v>167.16</v>
      </c>
    </row>
    <row r="1449" spans="1:2" x14ac:dyDescent="0.2">
      <c r="A1449" s="2205" t="s">
        <v>8616</v>
      </c>
      <c r="B1449" s="2205">
        <v>4693.68</v>
      </c>
    </row>
    <row r="1450" spans="1:2" x14ac:dyDescent="0.2">
      <c r="A1450" s="2205" t="s">
        <v>8617</v>
      </c>
      <c r="B1450" s="2205">
        <v>195.78</v>
      </c>
    </row>
    <row r="1451" spans="1:2" x14ac:dyDescent="0.2">
      <c r="A1451" s="2205" t="s">
        <v>8618</v>
      </c>
      <c r="B1451" s="2205">
        <v>515.24</v>
      </c>
    </row>
    <row r="1452" spans="1:2" x14ac:dyDescent="0.2">
      <c r="A1452" s="2205" t="s">
        <v>8619</v>
      </c>
      <c r="B1452" s="2205">
        <v>334.32</v>
      </c>
    </row>
    <row r="1453" spans="1:2" x14ac:dyDescent="0.2">
      <c r="A1453" s="2205" t="s">
        <v>8620</v>
      </c>
      <c r="B1453" s="2205">
        <v>224.05</v>
      </c>
    </row>
    <row r="1454" spans="1:2" x14ac:dyDescent="0.2">
      <c r="A1454" s="2205" t="s">
        <v>8621</v>
      </c>
      <c r="B1454" s="2205">
        <v>216.47</v>
      </c>
    </row>
    <row r="1455" spans="1:2" x14ac:dyDescent="0.2">
      <c r="A1455" s="2205" t="s">
        <v>8622</v>
      </c>
      <c r="B1455" s="2205">
        <v>527.70000000000005</v>
      </c>
    </row>
    <row r="1456" spans="1:2" x14ac:dyDescent="0.2">
      <c r="A1456" s="2205" t="s">
        <v>8623</v>
      </c>
      <c r="B1456" s="2205">
        <v>71852.08</v>
      </c>
    </row>
    <row r="1457" spans="1:2" x14ac:dyDescent="0.2">
      <c r="A1457" s="2205" t="s">
        <v>8624</v>
      </c>
      <c r="B1457" s="2205">
        <v>1462.65</v>
      </c>
    </row>
    <row r="1458" spans="1:2" x14ac:dyDescent="0.2">
      <c r="A1458" s="2205" t="s">
        <v>8625</v>
      </c>
      <c r="B1458" s="2205">
        <v>214.44</v>
      </c>
    </row>
    <row r="1459" spans="1:2" x14ac:dyDescent="0.2">
      <c r="A1459" s="2205" t="s">
        <v>8626</v>
      </c>
      <c r="B1459" s="2205">
        <v>40.14</v>
      </c>
    </row>
    <row r="1460" spans="1:2" x14ac:dyDescent="0.2">
      <c r="A1460" s="2205" t="s">
        <v>8627</v>
      </c>
      <c r="B1460" s="2205">
        <v>181.45</v>
      </c>
    </row>
    <row r="1461" spans="1:2" x14ac:dyDescent="0.2">
      <c r="A1461" s="2205" t="s">
        <v>8628</v>
      </c>
      <c r="B1461" s="2205">
        <v>488.03</v>
      </c>
    </row>
    <row r="1462" spans="1:2" x14ac:dyDescent="0.2">
      <c r="A1462" s="2205" t="s">
        <v>8629</v>
      </c>
      <c r="B1462" s="2205">
        <v>244.32</v>
      </c>
    </row>
    <row r="1463" spans="1:2" x14ac:dyDescent="0.2">
      <c r="A1463" s="2205" t="s">
        <v>8630</v>
      </c>
      <c r="B1463" s="2205">
        <v>653.66999999999996</v>
      </c>
    </row>
    <row r="1464" spans="1:2" x14ac:dyDescent="0.2">
      <c r="A1464" s="2205" t="s">
        <v>8631</v>
      </c>
      <c r="B1464" s="2205">
        <v>2776.51</v>
      </c>
    </row>
    <row r="1465" spans="1:2" x14ac:dyDescent="0.2">
      <c r="A1465" s="2205" t="s">
        <v>8632</v>
      </c>
      <c r="B1465" s="2205">
        <v>2170.27</v>
      </c>
    </row>
    <row r="1466" spans="1:2" x14ac:dyDescent="0.2">
      <c r="A1466" s="2205" t="s">
        <v>8633</v>
      </c>
      <c r="B1466" s="2205">
        <v>252.75</v>
      </c>
    </row>
    <row r="1467" spans="1:2" x14ac:dyDescent="0.2">
      <c r="A1467" s="2205" t="s">
        <v>8634</v>
      </c>
      <c r="B1467" s="2205">
        <v>2075.1999999999998</v>
      </c>
    </row>
    <row r="1468" spans="1:2" x14ac:dyDescent="0.2">
      <c r="A1468" s="2205" t="s">
        <v>8635</v>
      </c>
      <c r="B1468" s="2205">
        <v>185.75</v>
      </c>
    </row>
    <row r="1469" spans="1:2" x14ac:dyDescent="0.2">
      <c r="A1469" s="2205" t="s">
        <v>8636</v>
      </c>
      <c r="B1469" s="2205">
        <v>880.9</v>
      </c>
    </row>
    <row r="1470" spans="1:2" x14ac:dyDescent="0.2">
      <c r="A1470" s="2205" t="s">
        <v>8637</v>
      </c>
      <c r="B1470" s="2205">
        <v>264.98</v>
      </c>
    </row>
    <row r="1471" spans="1:2" x14ac:dyDescent="0.2">
      <c r="A1471" s="2205" t="s">
        <v>8638</v>
      </c>
      <c r="B1471" s="2205">
        <v>72.86</v>
      </c>
    </row>
    <row r="1472" spans="1:2" x14ac:dyDescent="0.2">
      <c r="A1472" s="2205" t="s">
        <v>8639</v>
      </c>
      <c r="B1472" s="2205">
        <v>329.59</v>
      </c>
    </row>
    <row r="1473" spans="1:2" x14ac:dyDescent="0.2">
      <c r="A1473" s="2205" t="s">
        <v>8640</v>
      </c>
      <c r="B1473" s="2205">
        <v>169.57</v>
      </c>
    </row>
    <row r="1474" spans="1:2" x14ac:dyDescent="0.2">
      <c r="A1474" s="2205" t="s">
        <v>8641</v>
      </c>
      <c r="B1474" s="2205">
        <v>1023.83</v>
      </c>
    </row>
    <row r="1475" spans="1:2" x14ac:dyDescent="0.2">
      <c r="A1475" s="2205" t="s">
        <v>8642</v>
      </c>
      <c r="B1475" s="2205">
        <v>265.69</v>
      </c>
    </row>
    <row r="1476" spans="1:2" x14ac:dyDescent="0.2">
      <c r="A1476" s="2205" t="s">
        <v>8643</v>
      </c>
      <c r="B1476" s="2205">
        <v>1431.44</v>
      </c>
    </row>
    <row r="1477" spans="1:2" x14ac:dyDescent="0.2">
      <c r="A1477" s="2205" t="s">
        <v>8644</v>
      </c>
      <c r="B1477" s="2205">
        <v>2083.46</v>
      </c>
    </row>
    <row r="1478" spans="1:2" x14ac:dyDescent="0.2">
      <c r="A1478" s="2205" t="s">
        <v>8645</v>
      </c>
      <c r="B1478" s="2205">
        <v>1652.72</v>
      </c>
    </row>
    <row r="1479" spans="1:2" x14ac:dyDescent="0.2">
      <c r="A1479" s="2205" t="s">
        <v>8646</v>
      </c>
      <c r="B1479" s="2205">
        <v>50.47</v>
      </c>
    </row>
    <row r="1480" spans="1:2" x14ac:dyDescent="0.2">
      <c r="A1480" s="2205" t="s">
        <v>8647</v>
      </c>
      <c r="B1480" s="2205">
        <v>952.61</v>
      </c>
    </row>
    <row r="1481" spans="1:2" x14ac:dyDescent="0.2">
      <c r="A1481" s="2205" t="s">
        <v>8648</v>
      </c>
      <c r="B1481" s="2205">
        <v>428.08</v>
      </c>
    </row>
    <row r="1482" spans="1:2" x14ac:dyDescent="0.2">
      <c r="A1482" s="2205" t="s">
        <v>8649</v>
      </c>
      <c r="B1482" s="2205">
        <v>35516.1</v>
      </c>
    </row>
    <row r="1483" spans="1:2" x14ac:dyDescent="0.2">
      <c r="A1483" s="2205" t="s">
        <v>8650</v>
      </c>
      <c r="B1483" s="2205">
        <v>29.87</v>
      </c>
    </row>
    <row r="1484" spans="1:2" x14ac:dyDescent="0.2">
      <c r="A1484" s="2205" t="s">
        <v>8651</v>
      </c>
      <c r="B1484" s="2205">
        <v>2564.48</v>
      </c>
    </row>
    <row r="1485" spans="1:2" x14ac:dyDescent="0.2">
      <c r="A1485" s="2205" t="s">
        <v>8652</v>
      </c>
      <c r="B1485" s="2205">
        <v>229.85</v>
      </c>
    </row>
    <row r="1486" spans="1:2" x14ac:dyDescent="0.2">
      <c r="A1486" s="2205" t="s">
        <v>8653</v>
      </c>
      <c r="B1486" s="2205">
        <v>199.6</v>
      </c>
    </row>
    <row r="1487" spans="1:2" x14ac:dyDescent="0.2">
      <c r="A1487" s="2205" t="s">
        <v>8654</v>
      </c>
      <c r="B1487" s="2205">
        <v>2505</v>
      </c>
    </row>
    <row r="1488" spans="1:2" x14ac:dyDescent="0.2">
      <c r="A1488" s="2205" t="s">
        <v>8655</v>
      </c>
      <c r="B1488" s="2205">
        <v>482.08</v>
      </c>
    </row>
    <row r="1489" spans="1:2" x14ac:dyDescent="0.2">
      <c r="A1489" s="2205" t="s">
        <v>8656</v>
      </c>
      <c r="B1489" s="2205">
        <v>561.19000000000005</v>
      </c>
    </row>
    <row r="1490" spans="1:2" x14ac:dyDescent="0.2">
      <c r="A1490" s="2205" t="s">
        <v>8657</v>
      </c>
      <c r="B1490" s="2205">
        <v>9948.06</v>
      </c>
    </row>
    <row r="1491" spans="1:2" x14ac:dyDescent="0.2">
      <c r="A1491" s="2205" t="s">
        <v>8658</v>
      </c>
      <c r="B1491" s="2205">
        <v>24012.89</v>
      </c>
    </row>
    <row r="1492" spans="1:2" x14ac:dyDescent="0.2">
      <c r="A1492" s="2205" t="s">
        <v>8659</v>
      </c>
      <c r="B1492" s="2205">
        <v>4276.58</v>
      </c>
    </row>
    <row r="1493" spans="1:2" x14ac:dyDescent="0.2">
      <c r="A1493" s="2205" t="s">
        <v>8660</v>
      </c>
      <c r="B1493" s="2205">
        <v>7927.6</v>
      </c>
    </row>
    <row r="1494" spans="1:2" x14ac:dyDescent="0.2">
      <c r="A1494" s="2205" t="s">
        <v>8661</v>
      </c>
      <c r="B1494" s="2205">
        <v>3602.07</v>
      </c>
    </row>
    <row r="1495" spans="1:2" x14ac:dyDescent="0.2">
      <c r="A1495" s="2205" t="s">
        <v>8662</v>
      </c>
      <c r="B1495" s="2205">
        <v>23242.46</v>
      </c>
    </row>
    <row r="1496" spans="1:2" x14ac:dyDescent="0.2">
      <c r="A1496" s="2205" t="s">
        <v>8663</v>
      </c>
      <c r="B1496" s="2205">
        <v>8959.16</v>
      </c>
    </row>
    <row r="1497" spans="1:2" x14ac:dyDescent="0.2">
      <c r="A1497" s="2205" t="s">
        <v>8664</v>
      </c>
      <c r="B1497" s="2205">
        <v>5231.28</v>
      </c>
    </row>
    <row r="1498" spans="1:2" x14ac:dyDescent="0.2">
      <c r="A1498" s="2205" t="s">
        <v>8665</v>
      </c>
      <c r="B1498" s="2205">
        <v>9724.11</v>
      </c>
    </row>
    <row r="1499" spans="1:2" x14ac:dyDescent="0.2">
      <c r="A1499" s="2205" t="s">
        <v>8666</v>
      </c>
      <c r="B1499" s="2205">
        <v>680.52</v>
      </c>
    </row>
    <row r="1500" spans="1:2" x14ac:dyDescent="0.2">
      <c r="A1500" s="2205" t="s">
        <v>8667</v>
      </c>
      <c r="B1500" s="2205">
        <v>1740.47</v>
      </c>
    </row>
    <row r="1501" spans="1:2" x14ac:dyDescent="0.2">
      <c r="A1501" s="2205" t="s">
        <v>8668</v>
      </c>
      <c r="B1501" s="2205">
        <v>207.3</v>
      </c>
    </row>
    <row r="1502" spans="1:2" x14ac:dyDescent="0.2">
      <c r="A1502" s="2205" t="s">
        <v>8669</v>
      </c>
      <c r="B1502" s="2205">
        <v>99.64</v>
      </c>
    </row>
    <row r="1503" spans="1:2" x14ac:dyDescent="0.2">
      <c r="A1503" s="2205" t="s">
        <v>8670</v>
      </c>
      <c r="B1503" s="2205">
        <v>827.22</v>
      </c>
    </row>
    <row r="1504" spans="1:2" x14ac:dyDescent="0.2">
      <c r="A1504" s="2205" t="s">
        <v>8671</v>
      </c>
      <c r="B1504" s="2205">
        <v>431.71</v>
      </c>
    </row>
    <row r="1505" spans="1:2" x14ac:dyDescent="0.2">
      <c r="A1505" s="2205" t="s">
        <v>8672</v>
      </c>
      <c r="B1505" s="2205">
        <v>62.78</v>
      </c>
    </row>
    <row r="1506" spans="1:2" x14ac:dyDescent="0.2">
      <c r="A1506" s="2205" t="s">
        <v>8673</v>
      </c>
      <c r="B1506" s="2205">
        <v>586.55999999999995</v>
      </c>
    </row>
    <row r="1507" spans="1:2" x14ac:dyDescent="0.2">
      <c r="A1507" s="2205" t="s">
        <v>8674</v>
      </c>
      <c r="B1507" s="2205">
        <v>353.8</v>
      </c>
    </row>
    <row r="1508" spans="1:2" x14ac:dyDescent="0.2">
      <c r="A1508" s="2205" t="s">
        <v>8675</v>
      </c>
      <c r="B1508" s="2205">
        <v>97.18</v>
      </c>
    </row>
    <row r="1509" spans="1:2" x14ac:dyDescent="0.2">
      <c r="A1509" s="2205" t="s">
        <v>8676</v>
      </c>
      <c r="B1509" s="2205">
        <v>216.59</v>
      </c>
    </row>
    <row r="1510" spans="1:2" x14ac:dyDescent="0.2">
      <c r="A1510" s="2205" t="s">
        <v>8677</v>
      </c>
      <c r="B1510" s="2205">
        <v>3601.95</v>
      </c>
    </row>
    <row r="1511" spans="1:2" x14ac:dyDescent="0.2">
      <c r="A1511" s="2205" t="s">
        <v>8678</v>
      </c>
      <c r="B1511" s="2205">
        <v>11076.65</v>
      </c>
    </row>
    <row r="1512" spans="1:2" x14ac:dyDescent="0.2">
      <c r="A1512" s="2205" t="s">
        <v>8679</v>
      </c>
      <c r="B1512" s="2205">
        <v>17771.2</v>
      </c>
    </row>
    <row r="1513" spans="1:2" x14ac:dyDescent="0.2">
      <c r="A1513" s="2205" t="s">
        <v>8680</v>
      </c>
      <c r="B1513" s="2205">
        <v>60.21</v>
      </c>
    </row>
    <row r="1514" spans="1:2" x14ac:dyDescent="0.2">
      <c r="A1514" s="2205" t="s">
        <v>8681</v>
      </c>
      <c r="B1514" s="2205">
        <v>0</v>
      </c>
    </row>
    <row r="1515" spans="1:2" x14ac:dyDescent="0.2">
      <c r="A1515" s="2205" t="s">
        <v>8682</v>
      </c>
      <c r="B1515" s="2205">
        <v>257.14</v>
      </c>
    </row>
    <row r="1516" spans="1:2" x14ac:dyDescent="0.2">
      <c r="A1516" s="2205" t="s">
        <v>8683</v>
      </c>
      <c r="B1516" s="2205">
        <v>844.47</v>
      </c>
    </row>
    <row r="1517" spans="1:2" x14ac:dyDescent="0.2">
      <c r="A1517" s="2205" t="s">
        <v>8684</v>
      </c>
      <c r="B1517" s="2205">
        <v>558.04999999999995</v>
      </c>
    </row>
    <row r="1518" spans="1:2" x14ac:dyDescent="0.2">
      <c r="A1518" s="2205" t="s">
        <v>8685</v>
      </c>
      <c r="B1518" s="2205">
        <v>303.98</v>
      </c>
    </row>
    <row r="1519" spans="1:2" x14ac:dyDescent="0.2">
      <c r="A1519" s="2205" t="s">
        <v>8686</v>
      </c>
      <c r="B1519" s="2205">
        <v>304.73</v>
      </c>
    </row>
    <row r="1520" spans="1:2" x14ac:dyDescent="0.2">
      <c r="A1520" s="2205" t="s">
        <v>8687</v>
      </c>
      <c r="B1520" s="2205">
        <v>280.8</v>
      </c>
    </row>
    <row r="1521" spans="1:2" x14ac:dyDescent="0.2">
      <c r="A1521" s="2205" t="s">
        <v>8688</v>
      </c>
      <c r="B1521" s="2205">
        <v>3306.79</v>
      </c>
    </row>
    <row r="1522" spans="1:2" x14ac:dyDescent="0.2">
      <c r="A1522" s="2205" t="s">
        <v>8689</v>
      </c>
      <c r="B1522" s="2205">
        <v>295.58</v>
      </c>
    </row>
    <row r="1523" spans="1:2" x14ac:dyDescent="0.2">
      <c r="A1523" s="2205" t="s">
        <v>8690</v>
      </c>
      <c r="B1523" s="2205">
        <v>1500</v>
      </c>
    </row>
    <row r="1524" spans="1:2" x14ac:dyDescent="0.2">
      <c r="A1524" s="2205" t="s">
        <v>8691</v>
      </c>
      <c r="B1524" s="2205">
        <v>219.16</v>
      </c>
    </row>
    <row r="1525" spans="1:2" x14ac:dyDescent="0.2">
      <c r="A1525" s="2205" t="s">
        <v>8692</v>
      </c>
      <c r="B1525" s="2205">
        <v>13041.99</v>
      </c>
    </row>
    <row r="1526" spans="1:2" x14ac:dyDescent="0.2">
      <c r="A1526" s="2205" t="s">
        <v>8693</v>
      </c>
      <c r="B1526" s="2205">
        <v>5481.22</v>
      </c>
    </row>
    <row r="1527" spans="1:2" x14ac:dyDescent="0.2">
      <c r="A1527" s="2205" t="s">
        <v>8694</v>
      </c>
      <c r="B1527" s="2205">
        <v>2468.23</v>
      </c>
    </row>
    <row r="1528" spans="1:2" x14ac:dyDescent="0.2">
      <c r="A1528" s="2205" t="s">
        <v>8695</v>
      </c>
      <c r="B1528" s="2205">
        <v>391.78</v>
      </c>
    </row>
    <row r="1529" spans="1:2" x14ac:dyDescent="0.2">
      <c r="A1529" s="2205" t="s">
        <v>8696</v>
      </c>
      <c r="B1529" s="2205">
        <v>3728.96</v>
      </c>
    </row>
    <row r="1530" spans="1:2" x14ac:dyDescent="0.2">
      <c r="A1530" s="2205" t="s">
        <v>8697</v>
      </c>
      <c r="B1530" s="2205">
        <v>60.21</v>
      </c>
    </row>
    <row r="1531" spans="1:2" x14ac:dyDescent="0.2">
      <c r="A1531" s="2205" t="s">
        <v>8698</v>
      </c>
      <c r="B1531" s="2205">
        <v>57.04</v>
      </c>
    </row>
    <row r="1532" spans="1:2" x14ac:dyDescent="0.2">
      <c r="A1532" s="2205" t="s">
        <v>8699</v>
      </c>
      <c r="B1532" s="2205">
        <v>145.88</v>
      </c>
    </row>
    <row r="1533" spans="1:2" x14ac:dyDescent="0.2">
      <c r="A1533" s="2205" t="s">
        <v>8700</v>
      </c>
      <c r="B1533" s="2205">
        <v>2325.39</v>
      </c>
    </row>
    <row r="1534" spans="1:2" x14ac:dyDescent="0.2">
      <c r="A1534" s="2205" t="s">
        <v>8701</v>
      </c>
      <c r="B1534" s="2205">
        <v>575.51</v>
      </c>
    </row>
    <row r="1535" spans="1:2" x14ac:dyDescent="0.2">
      <c r="A1535" s="2205" t="s">
        <v>8702</v>
      </c>
      <c r="B1535" s="2205">
        <v>1444.67</v>
      </c>
    </row>
    <row r="1536" spans="1:2" x14ac:dyDescent="0.2">
      <c r="A1536" s="2205" t="s">
        <v>8703</v>
      </c>
      <c r="B1536" s="2205">
        <v>1054.46</v>
      </c>
    </row>
    <row r="1537" spans="1:2" x14ac:dyDescent="0.2">
      <c r="A1537" s="2205" t="s">
        <v>8704</v>
      </c>
      <c r="B1537" s="2205">
        <v>149.36000000000001</v>
      </c>
    </row>
    <row r="1538" spans="1:2" x14ac:dyDescent="0.2">
      <c r="A1538" s="2205" t="s">
        <v>8705</v>
      </c>
      <c r="B1538" s="2205">
        <v>249.93</v>
      </c>
    </row>
    <row r="1539" spans="1:2" x14ac:dyDescent="0.2">
      <c r="A1539" s="2205" t="s">
        <v>8706</v>
      </c>
      <c r="B1539" s="2205">
        <v>1157.58</v>
      </c>
    </row>
    <row r="1540" spans="1:2" x14ac:dyDescent="0.2">
      <c r="A1540" s="2205" t="s">
        <v>8707</v>
      </c>
      <c r="B1540" s="2205">
        <v>2496.79</v>
      </c>
    </row>
    <row r="1541" spans="1:2" x14ac:dyDescent="0.2">
      <c r="A1541" s="2205" t="s">
        <v>8708</v>
      </c>
      <c r="B1541" s="2205">
        <v>1155.8399999999999</v>
      </c>
    </row>
    <row r="1542" spans="1:2" x14ac:dyDescent="0.2">
      <c r="A1542" s="2205" t="s">
        <v>8709</v>
      </c>
      <c r="B1542" s="2205">
        <v>71115.7</v>
      </c>
    </row>
    <row r="1543" spans="1:2" x14ac:dyDescent="0.2">
      <c r="A1543" s="2205" t="s">
        <v>8710</v>
      </c>
      <c r="B1543" s="2205">
        <v>14443.98</v>
      </c>
    </row>
    <row r="1544" spans="1:2" x14ac:dyDescent="0.2">
      <c r="A1544" s="2205" t="s">
        <v>8711</v>
      </c>
      <c r="B1544" s="2205">
        <v>12377.66</v>
      </c>
    </row>
    <row r="1545" spans="1:2" x14ac:dyDescent="0.2">
      <c r="A1545" s="2205" t="s">
        <v>8712</v>
      </c>
      <c r="B1545" s="2205">
        <v>59.42</v>
      </c>
    </row>
    <row r="1546" spans="1:2" x14ac:dyDescent="0.2">
      <c r="A1546" s="2205" t="s">
        <v>8713</v>
      </c>
      <c r="B1546" s="2205">
        <v>4287.6400000000003</v>
      </c>
    </row>
    <row r="1547" spans="1:2" x14ac:dyDescent="0.2">
      <c r="A1547" s="2205" t="s">
        <v>8714</v>
      </c>
      <c r="B1547" s="2205">
        <v>3312.94</v>
      </c>
    </row>
    <row r="1548" spans="1:2" x14ac:dyDescent="0.2">
      <c r="A1548" s="2205" t="s">
        <v>8715</v>
      </c>
      <c r="B1548" s="2205">
        <v>2069.4899999999998</v>
      </c>
    </row>
    <row r="1549" spans="1:2" x14ac:dyDescent="0.2">
      <c r="A1549" s="2205" t="s">
        <v>8716</v>
      </c>
      <c r="B1549" s="2205">
        <v>983.2</v>
      </c>
    </row>
    <row r="1550" spans="1:2" x14ac:dyDescent="0.2">
      <c r="A1550" s="2205" t="s">
        <v>8717</v>
      </c>
      <c r="B1550" s="2205">
        <v>1045.83</v>
      </c>
    </row>
    <row r="1551" spans="1:2" x14ac:dyDescent="0.2">
      <c r="A1551" s="2205" t="s">
        <v>8718</v>
      </c>
      <c r="B1551" s="2205">
        <v>1035.95</v>
      </c>
    </row>
    <row r="1552" spans="1:2" x14ac:dyDescent="0.2">
      <c r="A1552" s="2205" t="s">
        <v>8719</v>
      </c>
      <c r="B1552" s="2205">
        <v>1416.88</v>
      </c>
    </row>
    <row r="1553" spans="1:2" x14ac:dyDescent="0.2">
      <c r="A1553" s="2205" t="s">
        <v>8720</v>
      </c>
      <c r="B1553" s="2205">
        <v>327.75</v>
      </c>
    </row>
    <row r="1554" spans="1:2" x14ac:dyDescent="0.2">
      <c r="A1554" s="2205" t="s">
        <v>8721</v>
      </c>
      <c r="B1554" s="2205">
        <v>91.83</v>
      </c>
    </row>
    <row r="1555" spans="1:2" x14ac:dyDescent="0.2">
      <c r="A1555" s="2205" t="s">
        <v>8722</v>
      </c>
      <c r="B1555" s="2205">
        <v>302.08</v>
      </c>
    </row>
    <row r="1556" spans="1:2" x14ac:dyDescent="0.2">
      <c r="A1556" s="2205" t="s">
        <v>8723</v>
      </c>
      <c r="B1556" s="2205">
        <v>44.81</v>
      </c>
    </row>
    <row r="1557" spans="1:2" x14ac:dyDescent="0.2">
      <c r="A1557" s="2205" t="s">
        <v>8724</v>
      </c>
      <c r="B1557" s="2205">
        <v>2036.35</v>
      </c>
    </row>
    <row r="1558" spans="1:2" x14ac:dyDescent="0.2">
      <c r="A1558" s="2205" t="s">
        <v>8725</v>
      </c>
      <c r="B1558" s="2205">
        <v>6027.46</v>
      </c>
    </row>
    <row r="1559" spans="1:2" x14ac:dyDescent="0.2">
      <c r="A1559" s="2205" t="s">
        <v>8726</v>
      </c>
      <c r="B1559" s="2205">
        <v>787.24</v>
      </c>
    </row>
    <row r="1560" spans="1:2" x14ac:dyDescent="0.2">
      <c r="A1560" s="2205" t="s">
        <v>8727</v>
      </c>
      <c r="B1560" s="2205">
        <v>337.66</v>
      </c>
    </row>
    <row r="1561" spans="1:2" x14ac:dyDescent="0.2">
      <c r="A1561" s="2205" t="s">
        <v>8728</v>
      </c>
      <c r="B1561" s="2205">
        <v>60.21</v>
      </c>
    </row>
    <row r="1562" spans="1:2" x14ac:dyDescent="0.2">
      <c r="A1562" s="2205" t="s">
        <v>8729</v>
      </c>
      <c r="B1562" s="2205">
        <v>334.31</v>
      </c>
    </row>
    <row r="1563" spans="1:2" x14ac:dyDescent="0.2">
      <c r="A1563" s="2205" t="s">
        <v>8730</v>
      </c>
      <c r="B1563" s="2205">
        <v>345.78</v>
      </c>
    </row>
    <row r="1564" spans="1:2" x14ac:dyDescent="0.2">
      <c r="A1564" s="2205" t="s">
        <v>8731</v>
      </c>
      <c r="B1564" s="2205">
        <v>15466.16</v>
      </c>
    </row>
    <row r="1565" spans="1:2" x14ac:dyDescent="0.2">
      <c r="A1565" s="2205" t="s">
        <v>8732</v>
      </c>
      <c r="B1565" s="2205">
        <v>1832.24</v>
      </c>
    </row>
    <row r="1566" spans="1:2" x14ac:dyDescent="0.2">
      <c r="A1566" s="2205" t="s">
        <v>8733</v>
      </c>
      <c r="B1566" s="2205">
        <v>1744.09</v>
      </c>
    </row>
    <row r="1567" spans="1:2" x14ac:dyDescent="0.2">
      <c r="A1567" s="2205" t="s">
        <v>8734</v>
      </c>
      <c r="B1567" s="2205">
        <v>966.94</v>
      </c>
    </row>
    <row r="1568" spans="1:2" x14ac:dyDescent="0.2">
      <c r="A1568" s="2205" t="s">
        <v>8735</v>
      </c>
      <c r="B1568" s="2205">
        <v>638.91999999999996</v>
      </c>
    </row>
    <row r="1569" spans="1:2" x14ac:dyDescent="0.2">
      <c r="A1569" s="2205" t="s">
        <v>8736</v>
      </c>
      <c r="B1569" s="2205">
        <v>26369.8</v>
      </c>
    </row>
    <row r="1570" spans="1:2" x14ac:dyDescent="0.2">
      <c r="A1570" s="2205" t="s">
        <v>8737</v>
      </c>
      <c r="B1570" s="2205">
        <v>7781.87</v>
      </c>
    </row>
    <row r="1571" spans="1:2" x14ac:dyDescent="0.2">
      <c r="A1571" s="2205" t="s">
        <v>8738</v>
      </c>
      <c r="B1571" s="2205">
        <v>2189.94</v>
      </c>
    </row>
    <row r="1572" spans="1:2" x14ac:dyDescent="0.2">
      <c r="A1572" s="2205" t="s">
        <v>8739</v>
      </c>
      <c r="B1572" s="2205">
        <v>1294.72</v>
      </c>
    </row>
    <row r="1573" spans="1:2" x14ac:dyDescent="0.2">
      <c r="A1573" s="2205" t="s">
        <v>8740</v>
      </c>
      <c r="B1573" s="2205">
        <v>3943.92</v>
      </c>
    </row>
    <row r="1574" spans="1:2" x14ac:dyDescent="0.2">
      <c r="A1574" s="2205" t="s">
        <v>8741</v>
      </c>
      <c r="B1574" s="2205">
        <v>322.58999999999997</v>
      </c>
    </row>
    <row r="1575" spans="1:2" x14ac:dyDescent="0.2">
      <c r="A1575" s="2205" t="s">
        <v>8742</v>
      </c>
      <c r="B1575" s="2205">
        <v>505.94</v>
      </c>
    </row>
    <row r="1576" spans="1:2" x14ac:dyDescent="0.2">
      <c r="A1576" s="2205" t="s">
        <v>8743</v>
      </c>
      <c r="B1576" s="2205">
        <v>76.430000000000007</v>
      </c>
    </row>
    <row r="1577" spans="1:2" x14ac:dyDescent="0.2">
      <c r="A1577" s="2205" t="s">
        <v>8744</v>
      </c>
      <c r="B1577" s="2205">
        <v>318.45</v>
      </c>
    </row>
    <row r="1578" spans="1:2" x14ac:dyDescent="0.2">
      <c r="A1578" s="2205" t="s">
        <v>8745</v>
      </c>
      <c r="B1578" s="2205">
        <v>925.05</v>
      </c>
    </row>
    <row r="1579" spans="1:2" x14ac:dyDescent="0.2">
      <c r="A1579" s="2205" t="s">
        <v>8746</v>
      </c>
      <c r="B1579" s="2205">
        <v>549.36</v>
      </c>
    </row>
    <row r="1580" spans="1:2" x14ac:dyDescent="0.2">
      <c r="A1580" s="2205" t="s">
        <v>8747</v>
      </c>
      <c r="B1580" s="2205">
        <v>970.79</v>
      </c>
    </row>
    <row r="1581" spans="1:2" x14ac:dyDescent="0.2">
      <c r="A1581" s="2205" t="s">
        <v>8748</v>
      </c>
      <c r="B1581" s="2205">
        <v>7832.26</v>
      </c>
    </row>
    <row r="1582" spans="1:2" x14ac:dyDescent="0.2">
      <c r="A1582" s="2205" t="s">
        <v>8749</v>
      </c>
      <c r="B1582" s="2205">
        <v>16501.46</v>
      </c>
    </row>
    <row r="1583" spans="1:2" x14ac:dyDescent="0.2">
      <c r="A1583" s="2205" t="s">
        <v>8750</v>
      </c>
      <c r="B1583" s="2205">
        <v>6007.74</v>
      </c>
    </row>
    <row r="1584" spans="1:2" x14ac:dyDescent="0.2">
      <c r="A1584" s="2205" t="s">
        <v>8751</v>
      </c>
      <c r="B1584" s="2205">
        <v>10381.32</v>
      </c>
    </row>
    <row r="1585" spans="1:2" x14ac:dyDescent="0.2">
      <c r="A1585" s="2205" t="s">
        <v>8752</v>
      </c>
      <c r="B1585" s="2205">
        <v>185.95</v>
      </c>
    </row>
    <row r="1586" spans="1:2" x14ac:dyDescent="0.2">
      <c r="A1586" s="2205" t="s">
        <v>8753</v>
      </c>
      <c r="B1586" s="2205">
        <v>2534.98</v>
      </c>
    </row>
    <row r="1587" spans="1:2" x14ac:dyDescent="0.2">
      <c r="A1587" s="2205" t="s">
        <v>8754</v>
      </c>
      <c r="B1587" s="2205">
        <v>99.37</v>
      </c>
    </row>
    <row r="1588" spans="1:2" x14ac:dyDescent="0.2">
      <c r="A1588" s="2205" t="s">
        <v>8755</v>
      </c>
      <c r="B1588" s="2205">
        <v>19.21</v>
      </c>
    </row>
    <row r="1589" spans="1:2" x14ac:dyDescent="0.2">
      <c r="A1589" s="2205" t="s">
        <v>8756</v>
      </c>
      <c r="B1589" s="2205">
        <v>1982.78</v>
      </c>
    </row>
    <row r="1590" spans="1:2" x14ac:dyDescent="0.2">
      <c r="A1590" s="2205" t="s">
        <v>8757</v>
      </c>
      <c r="B1590" s="2205">
        <v>52.65</v>
      </c>
    </row>
    <row r="1591" spans="1:2" x14ac:dyDescent="0.2">
      <c r="A1591" s="2205" t="s">
        <v>8758</v>
      </c>
      <c r="B1591" s="2205">
        <v>602.23</v>
      </c>
    </row>
    <row r="1592" spans="1:2" x14ac:dyDescent="0.2">
      <c r="A1592" s="2205" t="s">
        <v>8759</v>
      </c>
      <c r="B1592" s="2205">
        <v>590.09</v>
      </c>
    </row>
    <row r="1593" spans="1:2" x14ac:dyDescent="0.2">
      <c r="A1593" s="2205" t="s">
        <v>8760</v>
      </c>
      <c r="B1593" s="2205">
        <v>694.23</v>
      </c>
    </row>
    <row r="1594" spans="1:2" x14ac:dyDescent="0.2">
      <c r="A1594" s="2205" t="s">
        <v>8761</v>
      </c>
      <c r="B1594" s="2205">
        <v>36.29</v>
      </c>
    </row>
    <row r="1595" spans="1:2" x14ac:dyDescent="0.2">
      <c r="A1595" s="2205" t="s">
        <v>8762</v>
      </c>
      <c r="B1595" s="2205">
        <v>1024.45</v>
      </c>
    </row>
    <row r="1596" spans="1:2" x14ac:dyDescent="0.2">
      <c r="A1596" s="2205" t="s">
        <v>8763</v>
      </c>
      <c r="B1596" s="2205">
        <v>103.41</v>
      </c>
    </row>
    <row r="1597" spans="1:2" x14ac:dyDescent="0.2">
      <c r="A1597" s="2205" t="s">
        <v>8764</v>
      </c>
      <c r="B1597" s="2205">
        <v>85.87</v>
      </c>
    </row>
    <row r="1598" spans="1:2" x14ac:dyDescent="0.2">
      <c r="A1598" s="2205" t="s">
        <v>8765</v>
      </c>
      <c r="B1598" s="2205">
        <v>3365.16</v>
      </c>
    </row>
    <row r="1599" spans="1:2" x14ac:dyDescent="0.2">
      <c r="A1599" s="2205" t="s">
        <v>8766</v>
      </c>
      <c r="B1599" s="2205">
        <v>1749.83</v>
      </c>
    </row>
    <row r="1600" spans="1:2" x14ac:dyDescent="0.2">
      <c r="A1600" s="2205" t="s">
        <v>8767</v>
      </c>
      <c r="B1600" s="2205">
        <v>329.01</v>
      </c>
    </row>
    <row r="1601" spans="1:2" x14ac:dyDescent="0.2">
      <c r="A1601" s="2205" t="s">
        <v>8768</v>
      </c>
      <c r="B1601" s="2205">
        <v>123.59</v>
      </c>
    </row>
    <row r="1602" spans="1:2" x14ac:dyDescent="0.2">
      <c r="A1602" s="2205" t="s">
        <v>8769</v>
      </c>
      <c r="B1602" s="2205">
        <v>415.57</v>
      </c>
    </row>
    <row r="1603" spans="1:2" x14ac:dyDescent="0.2">
      <c r="A1603" s="2205" t="s">
        <v>8770</v>
      </c>
      <c r="B1603" s="2205">
        <v>235.89</v>
      </c>
    </row>
    <row r="1604" spans="1:2" x14ac:dyDescent="0.2">
      <c r="A1604" s="2205" t="s">
        <v>8771</v>
      </c>
      <c r="B1604" s="2205">
        <v>60.21</v>
      </c>
    </row>
    <row r="1605" spans="1:2" x14ac:dyDescent="0.2">
      <c r="A1605" s="2205" t="s">
        <v>8772</v>
      </c>
      <c r="B1605" s="2205">
        <v>659.34</v>
      </c>
    </row>
    <row r="1606" spans="1:2" x14ac:dyDescent="0.2">
      <c r="A1606" s="2205" t="s">
        <v>8773</v>
      </c>
      <c r="B1606" s="2205">
        <v>277.76</v>
      </c>
    </row>
    <row r="1607" spans="1:2" x14ac:dyDescent="0.2">
      <c r="A1607" s="2205" t="s">
        <v>8774</v>
      </c>
      <c r="B1607" s="2205">
        <v>312.48</v>
      </c>
    </row>
    <row r="1608" spans="1:2" x14ac:dyDescent="0.2">
      <c r="A1608" s="2205" t="s">
        <v>8775</v>
      </c>
      <c r="B1608" s="2205">
        <v>142.55000000000001</v>
      </c>
    </row>
    <row r="1609" spans="1:2" x14ac:dyDescent="0.2">
      <c r="A1609" s="2205" t="s">
        <v>8776</v>
      </c>
      <c r="B1609" s="2205">
        <v>600</v>
      </c>
    </row>
    <row r="1610" spans="1:2" x14ac:dyDescent="0.2">
      <c r="A1610" s="2205" t="s">
        <v>8777</v>
      </c>
      <c r="B1610" s="2205">
        <v>275.58</v>
      </c>
    </row>
    <row r="1611" spans="1:2" x14ac:dyDescent="0.2">
      <c r="A1611" s="2205" t="s">
        <v>8778</v>
      </c>
      <c r="B1611" s="2205">
        <v>180</v>
      </c>
    </row>
    <row r="1612" spans="1:2" x14ac:dyDescent="0.2">
      <c r="A1612" s="2205" t="s">
        <v>8779</v>
      </c>
      <c r="B1612" s="2205">
        <v>3708.78</v>
      </c>
    </row>
    <row r="1613" spans="1:2" x14ac:dyDescent="0.2">
      <c r="A1613" s="2205" t="s">
        <v>8780</v>
      </c>
      <c r="B1613" s="2205">
        <v>254.03</v>
      </c>
    </row>
    <row r="1614" spans="1:2" x14ac:dyDescent="0.2">
      <c r="A1614" s="2205" t="s">
        <v>8781</v>
      </c>
      <c r="B1614" s="2205">
        <v>2542.21</v>
      </c>
    </row>
    <row r="1615" spans="1:2" x14ac:dyDescent="0.2">
      <c r="A1615" s="2205" t="s">
        <v>8782</v>
      </c>
      <c r="B1615" s="2205">
        <v>650.61</v>
      </c>
    </row>
    <row r="1616" spans="1:2" x14ac:dyDescent="0.2">
      <c r="A1616" s="2205" t="s">
        <v>8783</v>
      </c>
      <c r="B1616" s="2205">
        <v>54.58</v>
      </c>
    </row>
    <row r="1617" spans="1:2" x14ac:dyDescent="0.2">
      <c r="A1617" s="2205" t="s">
        <v>8784</v>
      </c>
      <c r="B1617" s="2205">
        <v>202.73</v>
      </c>
    </row>
    <row r="1618" spans="1:2" x14ac:dyDescent="0.2">
      <c r="A1618" s="2205" t="s">
        <v>8785</v>
      </c>
      <c r="B1618" s="2205">
        <v>892.92</v>
      </c>
    </row>
    <row r="1619" spans="1:2" x14ac:dyDescent="0.2">
      <c r="A1619" s="2205" t="s">
        <v>8786</v>
      </c>
      <c r="B1619" s="2205">
        <v>6523.86</v>
      </c>
    </row>
    <row r="1620" spans="1:2" x14ac:dyDescent="0.2">
      <c r="A1620" s="2205" t="s">
        <v>8787</v>
      </c>
      <c r="B1620" s="2205">
        <v>241.27</v>
      </c>
    </row>
    <row r="1621" spans="1:2" x14ac:dyDescent="0.2">
      <c r="A1621" s="2205" t="s">
        <v>8788</v>
      </c>
      <c r="B1621" s="2205">
        <v>40.14</v>
      </c>
    </row>
    <row r="1622" spans="1:2" x14ac:dyDescent="0.2">
      <c r="A1622" s="2205" t="s">
        <v>8789</v>
      </c>
      <c r="B1622" s="2205">
        <v>39910.57</v>
      </c>
    </row>
    <row r="1623" spans="1:2" x14ac:dyDescent="0.2">
      <c r="A1623" s="2205" t="s">
        <v>8790</v>
      </c>
      <c r="B1623" s="2205">
        <v>24464.11</v>
      </c>
    </row>
    <row r="1624" spans="1:2" x14ac:dyDescent="0.2">
      <c r="A1624" s="2205" t="s">
        <v>8791</v>
      </c>
      <c r="B1624" s="2205">
        <v>353.91</v>
      </c>
    </row>
    <row r="1625" spans="1:2" x14ac:dyDescent="0.2">
      <c r="A1625" s="2205" t="s">
        <v>8792</v>
      </c>
      <c r="B1625" s="2205">
        <v>675.97</v>
      </c>
    </row>
    <row r="1626" spans="1:2" x14ac:dyDescent="0.2">
      <c r="A1626" s="2205" t="s">
        <v>8793</v>
      </c>
      <c r="B1626" s="2205">
        <v>70.83</v>
      </c>
    </row>
    <row r="1627" spans="1:2" x14ac:dyDescent="0.2">
      <c r="A1627" s="2205" t="s">
        <v>8794</v>
      </c>
      <c r="B1627" s="2205">
        <v>747.44</v>
      </c>
    </row>
    <row r="1628" spans="1:2" x14ac:dyDescent="0.2">
      <c r="A1628" s="2205" t="s">
        <v>8795</v>
      </c>
      <c r="B1628" s="2205">
        <v>1232.74</v>
      </c>
    </row>
    <row r="1629" spans="1:2" x14ac:dyDescent="0.2">
      <c r="A1629" s="2205" t="s">
        <v>8796</v>
      </c>
      <c r="B1629" s="2205">
        <v>503.93</v>
      </c>
    </row>
    <row r="1630" spans="1:2" x14ac:dyDescent="0.2">
      <c r="A1630" s="2205" t="s">
        <v>8797</v>
      </c>
      <c r="B1630" s="2205">
        <v>51625.22</v>
      </c>
    </row>
    <row r="1631" spans="1:2" x14ac:dyDescent="0.2">
      <c r="A1631" s="2205" t="s">
        <v>8798</v>
      </c>
      <c r="B1631" s="2205">
        <v>4477.59</v>
      </c>
    </row>
    <row r="1632" spans="1:2" x14ac:dyDescent="0.2">
      <c r="A1632" s="2205" t="s">
        <v>8799</v>
      </c>
      <c r="B1632" s="2205">
        <v>369.01</v>
      </c>
    </row>
    <row r="1633" spans="1:2" x14ac:dyDescent="0.2">
      <c r="A1633" s="2205" t="s">
        <v>8800</v>
      </c>
      <c r="B1633" s="2205">
        <v>319.75</v>
      </c>
    </row>
    <row r="1634" spans="1:2" x14ac:dyDescent="0.2">
      <c r="A1634" s="2205" t="s">
        <v>8801</v>
      </c>
      <c r="B1634" s="2205">
        <v>880.43</v>
      </c>
    </row>
    <row r="1635" spans="1:2" x14ac:dyDescent="0.2">
      <c r="A1635" s="2205" t="s">
        <v>8802</v>
      </c>
      <c r="B1635" s="2205">
        <v>20960.59</v>
      </c>
    </row>
    <row r="1636" spans="1:2" x14ac:dyDescent="0.2">
      <c r="A1636" s="2205" t="s">
        <v>8803</v>
      </c>
      <c r="B1636" s="2205">
        <v>7853.45</v>
      </c>
    </row>
    <row r="1637" spans="1:2" x14ac:dyDescent="0.2">
      <c r="A1637" s="2205" t="s">
        <v>8804</v>
      </c>
      <c r="B1637" s="2205">
        <v>7274.37</v>
      </c>
    </row>
    <row r="1638" spans="1:2" x14ac:dyDescent="0.2">
      <c r="A1638" s="2205" t="s">
        <v>8805</v>
      </c>
      <c r="B1638" s="2205">
        <v>30056.69</v>
      </c>
    </row>
    <row r="1639" spans="1:2" x14ac:dyDescent="0.2">
      <c r="A1639" s="2205" t="s">
        <v>8806</v>
      </c>
      <c r="B1639" s="2205">
        <v>7329.48</v>
      </c>
    </row>
    <row r="1640" spans="1:2" x14ac:dyDescent="0.2">
      <c r="A1640" s="2205" t="s">
        <v>8807</v>
      </c>
      <c r="B1640" s="2205">
        <v>1355.27</v>
      </c>
    </row>
    <row r="1641" spans="1:2" x14ac:dyDescent="0.2">
      <c r="A1641" s="2205" t="s">
        <v>8808</v>
      </c>
      <c r="B1641" s="2205">
        <v>4492.82</v>
      </c>
    </row>
    <row r="1642" spans="1:2" x14ac:dyDescent="0.2">
      <c r="A1642" s="2205" t="s">
        <v>8809</v>
      </c>
      <c r="B1642" s="2205">
        <v>972.96</v>
      </c>
    </row>
    <row r="1643" spans="1:2" x14ac:dyDescent="0.2">
      <c r="A1643" s="2205" t="s">
        <v>8810</v>
      </c>
      <c r="B1643" s="2205">
        <v>3698.08</v>
      </c>
    </row>
    <row r="1644" spans="1:2" x14ac:dyDescent="0.2">
      <c r="A1644" s="2205" t="s">
        <v>8811</v>
      </c>
      <c r="B1644" s="2205">
        <v>956.42</v>
      </c>
    </row>
    <row r="1645" spans="1:2" x14ac:dyDescent="0.2">
      <c r="A1645" s="2205" t="s">
        <v>8812</v>
      </c>
      <c r="B1645" s="2205">
        <v>108.87</v>
      </c>
    </row>
    <row r="1646" spans="1:2" x14ac:dyDescent="0.2">
      <c r="A1646" s="2205" t="s">
        <v>8813</v>
      </c>
      <c r="B1646" s="2205">
        <v>947.74</v>
      </c>
    </row>
    <row r="1647" spans="1:2" x14ac:dyDescent="0.2">
      <c r="A1647" s="2205" t="s">
        <v>8814</v>
      </c>
      <c r="B1647" s="2205">
        <v>1652.28</v>
      </c>
    </row>
    <row r="1648" spans="1:2" x14ac:dyDescent="0.2">
      <c r="A1648" s="2205" t="s">
        <v>8815</v>
      </c>
      <c r="B1648" s="2205">
        <v>564.16999999999996</v>
      </c>
    </row>
    <row r="1649" spans="1:2" x14ac:dyDescent="0.2">
      <c r="A1649" s="2205" t="s">
        <v>8816</v>
      </c>
      <c r="B1649" s="2205">
        <v>3990.32</v>
      </c>
    </row>
    <row r="1650" spans="1:2" x14ac:dyDescent="0.2">
      <c r="A1650" s="2205" t="s">
        <v>8817</v>
      </c>
      <c r="B1650" s="2205">
        <v>620.39</v>
      </c>
    </row>
    <row r="1651" spans="1:2" x14ac:dyDescent="0.2">
      <c r="A1651" s="2205" t="s">
        <v>8818</v>
      </c>
      <c r="B1651" s="2205">
        <v>131.04</v>
      </c>
    </row>
    <row r="1652" spans="1:2" x14ac:dyDescent="0.2">
      <c r="A1652" s="2205" t="s">
        <v>8819</v>
      </c>
      <c r="B1652" s="2205">
        <v>4440.67</v>
      </c>
    </row>
    <row r="1653" spans="1:2" x14ac:dyDescent="0.2">
      <c r="A1653" s="2205" t="s">
        <v>8820</v>
      </c>
      <c r="B1653" s="2205">
        <v>143.59</v>
      </c>
    </row>
    <row r="1654" spans="1:2" x14ac:dyDescent="0.2">
      <c r="A1654" s="2205" t="s">
        <v>8821</v>
      </c>
      <c r="B1654" s="2205">
        <v>16360.88</v>
      </c>
    </row>
    <row r="1655" spans="1:2" x14ac:dyDescent="0.2">
      <c r="A1655" s="2205" t="s">
        <v>8822</v>
      </c>
      <c r="B1655" s="2205">
        <v>4016.07</v>
      </c>
    </row>
    <row r="1656" spans="1:2" x14ac:dyDescent="0.2">
      <c r="A1656" s="2205" t="s">
        <v>8823</v>
      </c>
      <c r="B1656" s="2205">
        <v>25929.37</v>
      </c>
    </row>
    <row r="1657" spans="1:2" x14ac:dyDescent="0.2">
      <c r="A1657" s="2205" t="s">
        <v>8824</v>
      </c>
      <c r="B1657" s="2205">
        <v>2214.2399999999998</v>
      </c>
    </row>
    <row r="1658" spans="1:2" x14ac:dyDescent="0.2">
      <c r="A1658" s="2205" t="s">
        <v>8825</v>
      </c>
      <c r="B1658" s="2205">
        <v>930.52</v>
      </c>
    </row>
    <row r="1659" spans="1:2" x14ac:dyDescent="0.2">
      <c r="A1659" s="2205" t="s">
        <v>8826</v>
      </c>
      <c r="B1659" s="2205">
        <v>145.16</v>
      </c>
    </row>
    <row r="1660" spans="1:2" x14ac:dyDescent="0.2">
      <c r="A1660" s="2205" t="s">
        <v>8827</v>
      </c>
      <c r="B1660" s="2205">
        <v>3700.74</v>
      </c>
    </row>
    <row r="1661" spans="1:2" x14ac:dyDescent="0.2">
      <c r="A1661" s="2205" t="s">
        <v>8828</v>
      </c>
      <c r="B1661" s="2205">
        <v>32963.75</v>
      </c>
    </row>
    <row r="1662" spans="1:2" x14ac:dyDescent="0.2">
      <c r="A1662" s="2205" t="s">
        <v>8829</v>
      </c>
      <c r="B1662" s="2205">
        <v>2763.86</v>
      </c>
    </row>
    <row r="1663" spans="1:2" x14ac:dyDescent="0.2">
      <c r="A1663" s="2205" t="s">
        <v>8830</v>
      </c>
      <c r="B1663" s="2205">
        <v>34.72</v>
      </c>
    </row>
    <row r="1664" spans="1:2" x14ac:dyDescent="0.2">
      <c r="A1664" s="2205" t="s">
        <v>8831</v>
      </c>
      <c r="B1664" s="2205">
        <v>50.93</v>
      </c>
    </row>
    <row r="1665" spans="1:2" x14ac:dyDescent="0.2">
      <c r="A1665" s="2205" t="s">
        <v>8832</v>
      </c>
      <c r="B1665" s="2205">
        <v>9899.89</v>
      </c>
    </row>
    <row r="1666" spans="1:2" x14ac:dyDescent="0.2">
      <c r="A1666" s="2205" t="s">
        <v>8833</v>
      </c>
      <c r="B1666" s="2205">
        <v>310.68</v>
      </c>
    </row>
    <row r="1667" spans="1:2" x14ac:dyDescent="0.2">
      <c r="A1667" s="2205" t="s">
        <v>8834</v>
      </c>
      <c r="B1667" s="2205">
        <v>296.44</v>
      </c>
    </row>
    <row r="1668" spans="1:2" x14ac:dyDescent="0.2">
      <c r="A1668" s="2205" t="s">
        <v>8835</v>
      </c>
      <c r="B1668" s="2205">
        <v>1629.77</v>
      </c>
    </row>
    <row r="1669" spans="1:2" x14ac:dyDescent="0.2">
      <c r="A1669" s="2205" t="s">
        <v>8836</v>
      </c>
      <c r="B1669" s="2205">
        <v>479.32</v>
      </c>
    </row>
    <row r="1670" spans="1:2" x14ac:dyDescent="0.2">
      <c r="A1670" s="2205" t="s">
        <v>8837</v>
      </c>
      <c r="B1670" s="2205">
        <v>687.28</v>
      </c>
    </row>
    <row r="1671" spans="1:2" x14ac:dyDescent="0.2">
      <c r="A1671" s="2205" t="s">
        <v>8838</v>
      </c>
      <c r="B1671" s="2205">
        <v>1638.52</v>
      </c>
    </row>
    <row r="1672" spans="1:2" x14ac:dyDescent="0.2">
      <c r="A1672" s="2205" t="s">
        <v>8839</v>
      </c>
      <c r="B1672" s="2205">
        <v>780.24</v>
      </c>
    </row>
    <row r="1673" spans="1:2" x14ac:dyDescent="0.2">
      <c r="A1673" s="2205" t="s">
        <v>8840</v>
      </c>
      <c r="B1673" s="2205">
        <v>312.12</v>
      </c>
    </row>
    <row r="1674" spans="1:2" x14ac:dyDescent="0.2">
      <c r="A1674" s="2205" t="s">
        <v>8841</v>
      </c>
      <c r="B1674" s="2205">
        <v>114.65</v>
      </c>
    </row>
    <row r="1675" spans="1:2" x14ac:dyDescent="0.2">
      <c r="A1675" s="2205" t="s">
        <v>8842</v>
      </c>
      <c r="B1675" s="2205">
        <v>140.49</v>
      </c>
    </row>
    <row r="1676" spans="1:2" x14ac:dyDescent="0.2">
      <c r="A1676" s="2205" t="s">
        <v>8843</v>
      </c>
      <c r="B1676" s="2205">
        <v>147.72999999999999</v>
      </c>
    </row>
    <row r="1677" spans="1:2" x14ac:dyDescent="0.2">
      <c r="A1677" s="2205" t="s">
        <v>8844</v>
      </c>
      <c r="B1677" s="2205">
        <v>2168.7800000000002</v>
      </c>
    </row>
    <row r="1678" spans="1:2" x14ac:dyDescent="0.2">
      <c r="A1678" s="2205" t="s">
        <v>8845</v>
      </c>
      <c r="B1678" s="2205">
        <v>4228.6099999999997</v>
      </c>
    </row>
    <row r="1679" spans="1:2" x14ac:dyDescent="0.2">
      <c r="A1679" s="2205" t="s">
        <v>8846</v>
      </c>
      <c r="B1679" s="2205">
        <v>40.14</v>
      </c>
    </row>
    <row r="1680" spans="1:2" x14ac:dyDescent="0.2">
      <c r="A1680" s="2205" t="s">
        <v>8847</v>
      </c>
      <c r="B1680" s="2205">
        <v>516.70000000000005</v>
      </c>
    </row>
    <row r="1681" spans="1:2" x14ac:dyDescent="0.2">
      <c r="A1681" s="2205" t="s">
        <v>8848</v>
      </c>
      <c r="B1681" s="2205">
        <v>2873.15</v>
      </c>
    </row>
    <row r="1682" spans="1:2" x14ac:dyDescent="0.2">
      <c r="A1682" s="2205" t="s">
        <v>8849</v>
      </c>
      <c r="B1682" s="2205">
        <v>462.2</v>
      </c>
    </row>
    <row r="1683" spans="1:2" x14ac:dyDescent="0.2">
      <c r="A1683" s="2205" t="s">
        <v>8850</v>
      </c>
      <c r="B1683" s="2205">
        <v>1041.1600000000001</v>
      </c>
    </row>
    <row r="1684" spans="1:2" x14ac:dyDescent="0.2">
      <c r="A1684" s="2205" t="s">
        <v>8851</v>
      </c>
      <c r="B1684" s="2205">
        <v>200.7</v>
      </c>
    </row>
    <row r="1685" spans="1:2" x14ac:dyDescent="0.2">
      <c r="A1685" s="2205" t="s">
        <v>8852</v>
      </c>
      <c r="B1685" s="2205">
        <v>1736.7</v>
      </c>
    </row>
    <row r="1686" spans="1:2" x14ac:dyDescent="0.2">
      <c r="A1686" s="2205" t="s">
        <v>8853</v>
      </c>
      <c r="B1686" s="2205">
        <v>306.38</v>
      </c>
    </row>
    <row r="1687" spans="1:2" x14ac:dyDescent="0.2">
      <c r="A1687" s="2205" t="s">
        <v>8854</v>
      </c>
      <c r="B1687" s="2205">
        <v>305.19</v>
      </c>
    </row>
    <row r="1688" spans="1:2" x14ac:dyDescent="0.2">
      <c r="A1688" s="2205" t="s">
        <v>8855</v>
      </c>
      <c r="B1688" s="2205">
        <v>1139.23</v>
      </c>
    </row>
    <row r="1689" spans="1:2" x14ac:dyDescent="0.2">
      <c r="A1689" s="2205" t="s">
        <v>8856</v>
      </c>
      <c r="B1689" s="2205">
        <v>2551.65</v>
      </c>
    </row>
    <row r="1690" spans="1:2" x14ac:dyDescent="0.2">
      <c r="A1690" s="2205" t="s">
        <v>8857</v>
      </c>
      <c r="B1690" s="2205">
        <v>3864.94</v>
      </c>
    </row>
    <row r="1691" spans="1:2" x14ac:dyDescent="0.2">
      <c r="A1691" s="2205" t="s">
        <v>8858</v>
      </c>
      <c r="B1691" s="2205">
        <v>4404.8599999999997</v>
      </c>
    </row>
    <row r="1692" spans="1:2" x14ac:dyDescent="0.2">
      <c r="A1692" s="2205" t="s">
        <v>8859</v>
      </c>
      <c r="B1692" s="2205">
        <v>180.39</v>
      </c>
    </row>
    <row r="1693" spans="1:2" x14ac:dyDescent="0.2">
      <c r="A1693" s="2205" t="s">
        <v>8860</v>
      </c>
      <c r="B1693" s="2205">
        <v>260.91000000000003</v>
      </c>
    </row>
    <row r="1694" spans="1:2" x14ac:dyDescent="0.2">
      <c r="A1694" s="2205" t="s">
        <v>8861</v>
      </c>
      <c r="B1694" s="2205">
        <v>13249.01</v>
      </c>
    </row>
    <row r="1695" spans="1:2" x14ac:dyDescent="0.2">
      <c r="A1695" s="2205" t="s">
        <v>8862</v>
      </c>
      <c r="B1695" s="2205">
        <v>290.83999999999997</v>
      </c>
    </row>
    <row r="1696" spans="1:2" x14ac:dyDescent="0.2">
      <c r="A1696" s="2205" t="s">
        <v>8863</v>
      </c>
      <c r="B1696" s="2205">
        <v>2492.6</v>
      </c>
    </row>
    <row r="1697" spans="1:2" x14ac:dyDescent="0.2">
      <c r="A1697" s="2205" t="s">
        <v>8864</v>
      </c>
      <c r="B1697" s="2205">
        <v>0</v>
      </c>
    </row>
    <row r="1698" spans="1:2" x14ac:dyDescent="0.2">
      <c r="A1698" s="2205" t="s">
        <v>8865</v>
      </c>
      <c r="B1698" s="2205">
        <v>5003.3</v>
      </c>
    </row>
    <row r="1699" spans="1:2" x14ac:dyDescent="0.2">
      <c r="A1699" s="2205" t="s">
        <v>8866</v>
      </c>
      <c r="B1699" s="2205">
        <v>358.47</v>
      </c>
    </row>
    <row r="1700" spans="1:2" x14ac:dyDescent="0.2">
      <c r="A1700" s="2205" t="s">
        <v>8867</v>
      </c>
      <c r="B1700" s="2205">
        <v>1017.85</v>
      </c>
    </row>
    <row r="1701" spans="1:2" x14ac:dyDescent="0.2">
      <c r="A1701" s="2205" t="s">
        <v>8868</v>
      </c>
      <c r="B1701" s="2205">
        <v>315.45</v>
      </c>
    </row>
    <row r="1702" spans="1:2" x14ac:dyDescent="0.2">
      <c r="A1702" s="2205" t="s">
        <v>8869</v>
      </c>
      <c r="B1702" s="2205">
        <v>320.73</v>
      </c>
    </row>
    <row r="1703" spans="1:2" x14ac:dyDescent="0.2">
      <c r="A1703" s="2205" t="s">
        <v>8870</v>
      </c>
      <c r="B1703" s="2205">
        <v>417.9</v>
      </c>
    </row>
    <row r="1704" spans="1:2" x14ac:dyDescent="0.2">
      <c r="A1704" s="2205" t="s">
        <v>8871</v>
      </c>
      <c r="B1704" s="2205">
        <v>18757.52</v>
      </c>
    </row>
    <row r="1705" spans="1:2" x14ac:dyDescent="0.2">
      <c r="A1705" s="2205" t="s">
        <v>8872</v>
      </c>
      <c r="B1705" s="2205">
        <v>60016.52</v>
      </c>
    </row>
    <row r="1706" spans="1:2" x14ac:dyDescent="0.2">
      <c r="A1706" s="2205" t="s">
        <v>8873</v>
      </c>
      <c r="B1706" s="2205">
        <v>176.46</v>
      </c>
    </row>
    <row r="1707" spans="1:2" x14ac:dyDescent="0.2">
      <c r="A1707" s="2205" t="s">
        <v>8874</v>
      </c>
      <c r="B1707" s="2205">
        <v>1584.93</v>
      </c>
    </row>
    <row r="1708" spans="1:2" x14ac:dyDescent="0.2">
      <c r="A1708" s="2205" t="s">
        <v>8875</v>
      </c>
      <c r="B1708" s="2205">
        <v>54.44</v>
      </c>
    </row>
    <row r="1709" spans="1:2" x14ac:dyDescent="0.2">
      <c r="A1709" s="2205" t="s">
        <v>8876</v>
      </c>
      <c r="B1709" s="2205">
        <v>68139.39</v>
      </c>
    </row>
    <row r="1710" spans="1:2" x14ac:dyDescent="0.2">
      <c r="A1710" s="2205" t="s">
        <v>8877</v>
      </c>
      <c r="B1710" s="2205">
        <v>202976.88</v>
      </c>
    </row>
    <row r="1711" spans="1:2" x14ac:dyDescent="0.2">
      <c r="A1711" s="2205" t="s">
        <v>8878</v>
      </c>
      <c r="B1711" s="2205">
        <v>15067.18</v>
      </c>
    </row>
    <row r="1712" spans="1:2" x14ac:dyDescent="0.2">
      <c r="A1712" s="2205" t="s">
        <v>8879</v>
      </c>
      <c r="B1712" s="2205">
        <v>36.29</v>
      </c>
    </row>
    <row r="1713" spans="1:2" x14ac:dyDescent="0.2">
      <c r="A1713" s="2205" t="s">
        <v>8880</v>
      </c>
      <c r="B1713" s="2205">
        <v>915.97</v>
      </c>
    </row>
    <row r="1714" spans="1:2" x14ac:dyDescent="0.2">
      <c r="A1714" s="2205" t="s">
        <v>8881</v>
      </c>
      <c r="B1714" s="2205">
        <v>283.2</v>
      </c>
    </row>
    <row r="1715" spans="1:2" x14ac:dyDescent="0.2">
      <c r="A1715" s="2205" t="s">
        <v>8882</v>
      </c>
      <c r="B1715" s="2205">
        <v>125.37</v>
      </c>
    </row>
    <row r="1716" spans="1:2" x14ac:dyDescent="0.2">
      <c r="A1716" s="2205" t="s">
        <v>8883</v>
      </c>
      <c r="B1716" s="2205">
        <v>40.14</v>
      </c>
    </row>
    <row r="1717" spans="1:2" x14ac:dyDescent="0.2">
      <c r="A1717" s="2205" t="s">
        <v>8884</v>
      </c>
      <c r="B1717" s="2205">
        <v>47.76</v>
      </c>
    </row>
    <row r="1718" spans="1:2" x14ac:dyDescent="0.2">
      <c r="A1718" s="2205" t="s">
        <v>8885</v>
      </c>
      <c r="B1718" s="2205">
        <v>4984.71</v>
      </c>
    </row>
    <row r="1719" spans="1:2" x14ac:dyDescent="0.2">
      <c r="A1719" s="2205" t="s">
        <v>8886</v>
      </c>
      <c r="B1719" s="2205">
        <v>5040.92</v>
      </c>
    </row>
    <row r="1720" spans="1:2" x14ac:dyDescent="0.2">
      <c r="A1720" s="2205" t="s">
        <v>8887</v>
      </c>
      <c r="B1720" s="2205">
        <v>65692.600000000006</v>
      </c>
    </row>
    <row r="1721" spans="1:2" x14ac:dyDescent="0.2">
      <c r="A1721" s="2205" t="s">
        <v>8888</v>
      </c>
      <c r="B1721" s="2205">
        <v>467.28</v>
      </c>
    </row>
    <row r="1722" spans="1:2" x14ac:dyDescent="0.2">
      <c r="A1722" s="2205" t="s">
        <v>8889</v>
      </c>
      <c r="B1722" s="2205">
        <v>4199.3</v>
      </c>
    </row>
    <row r="1723" spans="1:2" x14ac:dyDescent="0.2">
      <c r="A1723" s="2205" t="s">
        <v>8890</v>
      </c>
      <c r="B1723" s="2205">
        <v>251.46</v>
      </c>
    </row>
    <row r="1724" spans="1:2" x14ac:dyDescent="0.2">
      <c r="A1724" s="2205" t="s">
        <v>8891</v>
      </c>
      <c r="B1724" s="2205">
        <v>6993.04</v>
      </c>
    </row>
    <row r="1725" spans="1:2" x14ac:dyDescent="0.2">
      <c r="A1725" s="2205" t="s">
        <v>8892</v>
      </c>
      <c r="B1725" s="2205">
        <v>2784.38</v>
      </c>
    </row>
    <row r="1726" spans="1:2" x14ac:dyDescent="0.2">
      <c r="A1726" s="2205" t="s">
        <v>8893</v>
      </c>
      <c r="B1726" s="2205">
        <v>9237.61</v>
      </c>
    </row>
    <row r="1727" spans="1:2" x14ac:dyDescent="0.2">
      <c r="A1727" s="2205" t="s">
        <v>8894</v>
      </c>
      <c r="B1727" s="2205">
        <v>10195.92</v>
      </c>
    </row>
    <row r="1728" spans="1:2" x14ac:dyDescent="0.2">
      <c r="A1728" s="2205" t="s">
        <v>8895</v>
      </c>
      <c r="B1728" s="2205">
        <v>2957.99</v>
      </c>
    </row>
    <row r="1729" spans="1:2" x14ac:dyDescent="0.2">
      <c r="A1729" s="2205" t="s">
        <v>7032</v>
      </c>
      <c r="B1729" s="2205">
        <v>7923</v>
      </c>
    </row>
    <row r="1730" spans="1:2" x14ac:dyDescent="0.2">
      <c r="A1730" s="2205" t="s">
        <v>8896</v>
      </c>
      <c r="B1730" s="2205">
        <v>1326900.1200000001</v>
      </c>
    </row>
    <row r="1731" spans="1:2" x14ac:dyDescent="0.2">
      <c r="A1731" s="2205" t="s">
        <v>8897</v>
      </c>
      <c r="B1731" s="2205">
        <v>315</v>
      </c>
    </row>
    <row r="1732" spans="1:2" x14ac:dyDescent="0.2">
      <c r="A1732" s="2205" t="s">
        <v>2802</v>
      </c>
      <c r="B1732" s="2205">
        <v>46104.639999999999</v>
      </c>
    </row>
    <row r="1733" spans="1:2" x14ac:dyDescent="0.2">
      <c r="A1733" s="2205" t="s">
        <v>8898</v>
      </c>
      <c r="B1733" s="2205">
        <v>3325.53</v>
      </c>
    </row>
    <row r="1734" spans="1:2" x14ac:dyDescent="0.2">
      <c r="A1734" s="2205" t="s">
        <v>1820</v>
      </c>
      <c r="B1734" s="2205">
        <v>5488.53</v>
      </c>
    </row>
    <row r="1735" spans="1:2" x14ac:dyDescent="0.2">
      <c r="A1735" s="2205" t="s">
        <v>8899</v>
      </c>
      <c r="B1735" s="2205">
        <v>-102033</v>
      </c>
    </row>
    <row r="1736" spans="1:2" x14ac:dyDescent="0.2">
      <c r="A1736" s="2205" t="s">
        <v>2553</v>
      </c>
      <c r="B1736" s="2205">
        <v>250</v>
      </c>
    </row>
    <row r="1737" spans="1:2" x14ac:dyDescent="0.2">
      <c r="A1737" s="2205" t="s">
        <v>6431</v>
      </c>
      <c r="B1737" s="2205">
        <v>7052.45</v>
      </c>
    </row>
    <row r="1738" spans="1:2" x14ac:dyDescent="0.2">
      <c r="A1738" s="2205" t="s">
        <v>1094</v>
      </c>
      <c r="B1738" s="2205">
        <v>4651.22</v>
      </c>
    </row>
    <row r="1739" spans="1:2" x14ac:dyDescent="0.2">
      <c r="A1739" s="2205" t="s">
        <v>8900</v>
      </c>
      <c r="B1739" s="2205">
        <v>241.49</v>
      </c>
    </row>
    <row r="1740" spans="1:2" x14ac:dyDescent="0.2">
      <c r="A1740" s="2205" t="s">
        <v>8901</v>
      </c>
      <c r="B1740" s="2205">
        <v>4197.68</v>
      </c>
    </row>
    <row r="1741" spans="1:2" x14ac:dyDescent="0.2">
      <c r="A1741" s="2205" t="s">
        <v>8902</v>
      </c>
      <c r="B1741" s="2205">
        <v>338.65</v>
      </c>
    </row>
    <row r="1742" spans="1:2" x14ac:dyDescent="0.2">
      <c r="A1742" s="2205" t="s">
        <v>8903</v>
      </c>
      <c r="B1742" s="2205">
        <v>1292.6099999999999</v>
      </c>
    </row>
    <row r="1743" spans="1:2" x14ac:dyDescent="0.2">
      <c r="A1743" s="2205" t="s">
        <v>8904</v>
      </c>
      <c r="B1743" s="2205">
        <v>43551.12</v>
      </c>
    </row>
    <row r="1744" spans="1:2" x14ac:dyDescent="0.2">
      <c r="A1744" s="2205" t="s">
        <v>5202</v>
      </c>
      <c r="B1744" s="2205">
        <v>5022.12</v>
      </c>
    </row>
    <row r="1745" spans="1:2" x14ac:dyDescent="0.2">
      <c r="A1745" s="2205" t="s">
        <v>2234</v>
      </c>
      <c r="B1745" s="2205">
        <v>6.72</v>
      </c>
    </row>
    <row r="1746" spans="1:2" x14ac:dyDescent="0.2">
      <c r="A1746" s="2205" t="s">
        <v>32</v>
      </c>
      <c r="B1746" s="2205">
        <v>922.11</v>
      </c>
    </row>
    <row r="1747" spans="1:2" x14ac:dyDescent="0.2">
      <c r="A1747" s="2205" t="s">
        <v>8905</v>
      </c>
      <c r="B1747" s="2205">
        <v>302.29000000000002</v>
      </c>
    </row>
    <row r="1748" spans="1:2" x14ac:dyDescent="0.2">
      <c r="A1748" s="2205" t="s">
        <v>1514</v>
      </c>
      <c r="B1748" s="2205">
        <v>4195.3</v>
      </c>
    </row>
    <row r="1749" spans="1:2" x14ac:dyDescent="0.2">
      <c r="A1749" s="2205" t="s">
        <v>1341</v>
      </c>
      <c r="B1749" s="2205">
        <v>11269.24</v>
      </c>
    </row>
    <row r="1750" spans="1:2" x14ac:dyDescent="0.2">
      <c r="A1750" s="2205" t="s">
        <v>1512</v>
      </c>
      <c r="B1750" s="2205">
        <v>581.4</v>
      </c>
    </row>
    <row r="1751" spans="1:2" x14ac:dyDescent="0.2">
      <c r="A1751" s="2205" t="s">
        <v>6462</v>
      </c>
      <c r="B1751" s="2205">
        <v>25000</v>
      </c>
    </row>
    <row r="1752" spans="1:2" x14ac:dyDescent="0.2">
      <c r="A1752" s="2205" t="s">
        <v>2268</v>
      </c>
      <c r="B1752" s="2205">
        <v>800</v>
      </c>
    </row>
    <row r="1753" spans="1:2" x14ac:dyDescent="0.2">
      <c r="A1753" s="2205" t="s">
        <v>6880</v>
      </c>
      <c r="B1753" s="2205">
        <v>0</v>
      </c>
    </row>
    <row r="1754" spans="1:2" x14ac:dyDescent="0.2">
      <c r="A1754" s="2205" t="s">
        <v>6660</v>
      </c>
      <c r="B1754" s="2205">
        <v>2515.35</v>
      </c>
    </row>
    <row r="1755" spans="1:2" x14ac:dyDescent="0.2">
      <c r="A1755" s="2205" t="s">
        <v>4924</v>
      </c>
      <c r="B1755" s="2205">
        <v>1574.91</v>
      </c>
    </row>
    <row r="1756" spans="1:2" x14ac:dyDescent="0.2">
      <c r="A1756" s="2205" t="s">
        <v>2078</v>
      </c>
      <c r="B1756" s="2205">
        <v>0</v>
      </c>
    </row>
    <row r="1757" spans="1:2" x14ac:dyDescent="0.2">
      <c r="A1757" s="2205" t="s">
        <v>6268</v>
      </c>
      <c r="B1757" s="2205">
        <v>0</v>
      </c>
    </row>
    <row r="1758" spans="1:2" x14ac:dyDescent="0.2">
      <c r="A1758" s="2205" t="s">
        <v>6272</v>
      </c>
      <c r="B1758" s="2205">
        <v>2174.59</v>
      </c>
    </row>
    <row r="1759" spans="1:2" x14ac:dyDescent="0.2">
      <c r="A1759" s="2205" t="s">
        <v>6308</v>
      </c>
      <c r="B1759" s="2205">
        <v>0</v>
      </c>
    </row>
    <row r="1760" spans="1:2" x14ac:dyDescent="0.2">
      <c r="A1760" s="2205" t="s">
        <v>8906</v>
      </c>
      <c r="B1760" s="2205">
        <v>802</v>
      </c>
    </row>
    <row r="1761" spans="1:2" x14ac:dyDescent="0.2">
      <c r="A1761" s="2205" t="s">
        <v>8907</v>
      </c>
      <c r="B1761" s="2205">
        <v>850.85</v>
      </c>
    </row>
    <row r="1762" spans="1:2" x14ac:dyDescent="0.2">
      <c r="A1762" s="2205" t="s">
        <v>2029</v>
      </c>
      <c r="B1762" s="2205">
        <v>22828.880000000001</v>
      </c>
    </row>
    <row r="1763" spans="1:2" x14ac:dyDescent="0.2">
      <c r="A1763" s="2205" t="s">
        <v>1186</v>
      </c>
      <c r="B1763" s="2205">
        <v>1890.01</v>
      </c>
    </row>
    <row r="1764" spans="1:2" x14ac:dyDescent="0.2">
      <c r="A1764" s="2205" t="s">
        <v>8908</v>
      </c>
      <c r="B1764" s="2205">
        <v>400</v>
      </c>
    </row>
    <row r="1765" spans="1:2" x14ac:dyDescent="0.2">
      <c r="A1765" s="2205" t="s">
        <v>250</v>
      </c>
      <c r="B1765" s="2205">
        <v>1286.6199999999999</v>
      </c>
    </row>
    <row r="1766" spans="1:2" x14ac:dyDescent="0.2">
      <c r="A1766" s="2205" t="s">
        <v>1152</v>
      </c>
      <c r="B1766" s="2205">
        <v>377.95</v>
      </c>
    </row>
    <row r="1767" spans="1:2" x14ac:dyDescent="0.2">
      <c r="A1767" s="2205" t="s">
        <v>1876</v>
      </c>
      <c r="B1767" s="2205">
        <v>997.49</v>
      </c>
    </row>
    <row r="1768" spans="1:2" x14ac:dyDescent="0.2">
      <c r="A1768" s="2205" t="s">
        <v>6669</v>
      </c>
      <c r="B1768" s="2205">
        <v>0</v>
      </c>
    </row>
    <row r="1769" spans="1:2" x14ac:dyDescent="0.2">
      <c r="A1769" s="2205" t="s">
        <v>5541</v>
      </c>
      <c r="B1769" s="2205">
        <v>12919.95</v>
      </c>
    </row>
    <row r="1770" spans="1:2" x14ac:dyDescent="0.2">
      <c r="A1770" s="2205" t="s">
        <v>2970</v>
      </c>
      <c r="B1770" s="2205">
        <v>0</v>
      </c>
    </row>
    <row r="1771" spans="1:2" x14ac:dyDescent="0.2">
      <c r="A1771" s="2205" t="s">
        <v>8909</v>
      </c>
      <c r="B1771" s="2205">
        <v>3845.97</v>
      </c>
    </row>
    <row r="1772" spans="1:2" x14ac:dyDescent="0.2">
      <c r="A1772" s="2205" t="s">
        <v>8</v>
      </c>
      <c r="B1772" s="2205">
        <v>1781.82</v>
      </c>
    </row>
    <row r="1773" spans="1:2" x14ac:dyDescent="0.2">
      <c r="A1773" s="2205" t="s">
        <v>312</v>
      </c>
      <c r="B1773" s="2205">
        <v>169677.23</v>
      </c>
    </row>
    <row r="1774" spans="1:2" x14ac:dyDescent="0.2">
      <c r="A1774" s="2205" t="s">
        <v>916</v>
      </c>
      <c r="B1774" s="2205">
        <v>0</v>
      </c>
    </row>
    <row r="1775" spans="1:2" x14ac:dyDescent="0.2">
      <c r="A1775" s="2205" t="s">
        <v>926</v>
      </c>
      <c r="B1775" s="2205">
        <v>2691.09</v>
      </c>
    </row>
    <row r="1776" spans="1:2" x14ac:dyDescent="0.2">
      <c r="A1776" s="2205" t="s">
        <v>3947</v>
      </c>
      <c r="B1776" s="2205">
        <v>460</v>
      </c>
    </row>
    <row r="1777" spans="1:2" x14ac:dyDescent="0.2">
      <c r="A1777" s="2205" t="s">
        <v>2568</v>
      </c>
      <c r="B1777" s="2205">
        <v>13915.55</v>
      </c>
    </row>
    <row r="1778" spans="1:2" x14ac:dyDescent="0.2">
      <c r="A1778" s="2205" t="s">
        <v>8910</v>
      </c>
      <c r="B1778" s="2205">
        <v>69</v>
      </c>
    </row>
    <row r="1779" spans="1:2" x14ac:dyDescent="0.2">
      <c r="A1779" s="2205" t="s">
        <v>575</v>
      </c>
      <c r="B1779" s="2205">
        <v>1231495.24</v>
      </c>
    </row>
    <row r="1780" spans="1:2" x14ac:dyDescent="0.2">
      <c r="A1780" s="2205" t="s">
        <v>8911</v>
      </c>
      <c r="B1780" s="2205">
        <v>13.17</v>
      </c>
    </row>
    <row r="1781" spans="1:2" x14ac:dyDescent="0.2">
      <c r="A1781" s="2205" t="s">
        <v>8912</v>
      </c>
      <c r="B1781" s="2205">
        <v>95499.4</v>
      </c>
    </row>
    <row r="1782" spans="1:2" x14ac:dyDescent="0.2">
      <c r="A1782" s="2205" t="s">
        <v>8913</v>
      </c>
      <c r="B1782" s="2205">
        <v>0</v>
      </c>
    </row>
    <row r="1783" spans="1:2" x14ac:dyDescent="0.2">
      <c r="A1783" s="2205" t="s">
        <v>8914</v>
      </c>
      <c r="B1783" s="2205">
        <v>130</v>
      </c>
    </row>
    <row r="1784" spans="1:2" x14ac:dyDescent="0.2">
      <c r="A1784" s="2205" t="s">
        <v>8915</v>
      </c>
      <c r="B1784" s="2205">
        <v>2384.11</v>
      </c>
    </row>
    <row r="1785" spans="1:2" x14ac:dyDescent="0.2">
      <c r="A1785" s="2205" t="s">
        <v>8916</v>
      </c>
      <c r="B1785" s="2205">
        <v>504.33</v>
      </c>
    </row>
    <row r="1786" spans="1:2" x14ac:dyDescent="0.2">
      <c r="A1786" s="2205" t="s">
        <v>8917</v>
      </c>
      <c r="B1786" s="2205">
        <v>0</v>
      </c>
    </row>
    <row r="1787" spans="1:2" x14ac:dyDescent="0.2">
      <c r="A1787" s="2205" t="s">
        <v>8918</v>
      </c>
      <c r="B1787" s="2205">
        <v>0</v>
      </c>
    </row>
    <row r="1788" spans="1:2" x14ac:dyDescent="0.2">
      <c r="A1788" s="2205" t="s">
        <v>8919</v>
      </c>
      <c r="B1788" s="2205">
        <v>0</v>
      </c>
    </row>
    <row r="1789" spans="1:2" x14ac:dyDescent="0.2">
      <c r="A1789" s="2205" t="s">
        <v>8920</v>
      </c>
      <c r="B1789" s="2205">
        <v>5085.46</v>
      </c>
    </row>
    <row r="1790" spans="1:2" x14ac:dyDescent="0.2">
      <c r="A1790" s="2205" t="s">
        <v>5207</v>
      </c>
      <c r="B1790" s="2205">
        <v>6449.74</v>
      </c>
    </row>
    <row r="1791" spans="1:2" x14ac:dyDescent="0.2">
      <c r="A1791" s="2205" t="s">
        <v>5208</v>
      </c>
      <c r="B1791" s="2205">
        <v>33.67</v>
      </c>
    </row>
    <row r="1792" spans="1:2" x14ac:dyDescent="0.2">
      <c r="A1792" s="2205" t="s">
        <v>5204</v>
      </c>
      <c r="B1792" s="2205">
        <v>8875.36</v>
      </c>
    </row>
    <row r="1793" spans="1:2" x14ac:dyDescent="0.2">
      <c r="A1793" s="2205" t="s">
        <v>8921</v>
      </c>
      <c r="B1793" s="2205">
        <v>2800.2</v>
      </c>
    </row>
    <row r="1794" spans="1:2" x14ac:dyDescent="0.2">
      <c r="A1794" s="2205" t="s">
        <v>8922</v>
      </c>
      <c r="B1794" s="2205">
        <v>13522.54</v>
      </c>
    </row>
    <row r="1795" spans="1:2" x14ac:dyDescent="0.2">
      <c r="A1795" s="2205" t="s">
        <v>8923</v>
      </c>
      <c r="B1795" s="2205">
        <v>3344.34</v>
      </c>
    </row>
    <row r="1796" spans="1:2" x14ac:dyDescent="0.2">
      <c r="A1796" s="2205" t="s">
        <v>8924</v>
      </c>
      <c r="B1796" s="2205">
        <v>20002.740000000002</v>
      </c>
    </row>
    <row r="1797" spans="1:2" x14ac:dyDescent="0.2">
      <c r="A1797" s="2205" t="s">
        <v>8925</v>
      </c>
      <c r="B1797" s="2205">
        <v>2254.9</v>
      </c>
    </row>
    <row r="1798" spans="1:2" x14ac:dyDescent="0.2">
      <c r="A1798" s="2205" t="s">
        <v>8926</v>
      </c>
      <c r="B1798" s="2205">
        <v>0</v>
      </c>
    </row>
    <row r="1799" spans="1:2" x14ac:dyDescent="0.2">
      <c r="A1799" s="2205" t="s">
        <v>8927</v>
      </c>
      <c r="B1799" s="2205">
        <v>49575.16</v>
      </c>
    </row>
    <row r="1800" spans="1:2" x14ac:dyDescent="0.2">
      <c r="A1800" s="2205" t="s">
        <v>8928</v>
      </c>
      <c r="B1800" s="2205">
        <v>0</v>
      </c>
    </row>
    <row r="1801" spans="1:2" x14ac:dyDescent="0.2">
      <c r="A1801" s="2205" t="s">
        <v>6275</v>
      </c>
      <c r="B1801" s="2205">
        <v>65963.960000000006</v>
      </c>
    </row>
    <row r="1802" spans="1:2" x14ac:dyDescent="0.2">
      <c r="A1802" s="2205" t="s">
        <v>7246</v>
      </c>
      <c r="B1802" s="2205">
        <v>726.65</v>
      </c>
    </row>
    <row r="1803" spans="1:2" x14ac:dyDescent="0.2">
      <c r="A1803" s="2205" t="s">
        <v>8929</v>
      </c>
      <c r="B1803" s="2205">
        <v>1112.5</v>
      </c>
    </row>
    <row r="1804" spans="1:2" x14ac:dyDescent="0.2">
      <c r="A1804" s="2205" t="s">
        <v>8930</v>
      </c>
      <c r="B1804" s="2205">
        <v>7131.52</v>
      </c>
    </row>
    <row r="1805" spans="1:2" x14ac:dyDescent="0.2">
      <c r="A1805" s="2205" t="s">
        <v>8931</v>
      </c>
      <c r="B1805" s="2205">
        <v>0</v>
      </c>
    </row>
    <row r="1806" spans="1:2" x14ac:dyDescent="0.2">
      <c r="A1806" s="2205" t="s">
        <v>8932</v>
      </c>
      <c r="B1806" s="2205">
        <v>944.18</v>
      </c>
    </row>
    <row r="1807" spans="1:2" x14ac:dyDescent="0.2">
      <c r="A1807" s="2205" t="s">
        <v>8933</v>
      </c>
      <c r="B1807" s="2205">
        <v>1303.67</v>
      </c>
    </row>
    <row r="1808" spans="1:2" x14ac:dyDescent="0.2">
      <c r="A1808" s="2205" t="s">
        <v>6041</v>
      </c>
      <c r="B1808" s="2205">
        <v>12873.96</v>
      </c>
    </row>
    <row r="1809" spans="1:2" x14ac:dyDescent="0.2">
      <c r="A1809" s="2205" t="s">
        <v>8934</v>
      </c>
      <c r="B1809" s="2205">
        <v>480.3</v>
      </c>
    </row>
    <row r="1810" spans="1:2" x14ac:dyDescent="0.2">
      <c r="A1810" s="2205" t="s">
        <v>6893</v>
      </c>
      <c r="B1810" s="2205">
        <v>0</v>
      </c>
    </row>
    <row r="1811" spans="1:2" x14ac:dyDescent="0.2">
      <c r="A1811" s="2205" t="s">
        <v>1634</v>
      </c>
      <c r="B1811" s="2205">
        <v>468.87</v>
      </c>
    </row>
    <row r="1812" spans="1:2" x14ac:dyDescent="0.2">
      <c r="A1812" s="2205" t="s">
        <v>8935</v>
      </c>
      <c r="B1812" s="2205">
        <v>0</v>
      </c>
    </row>
    <row r="1813" spans="1:2" x14ac:dyDescent="0.2">
      <c r="A1813" s="2205" t="s">
        <v>4797</v>
      </c>
      <c r="B1813" s="2205">
        <v>3212.73</v>
      </c>
    </row>
    <row r="1814" spans="1:2" x14ac:dyDescent="0.2">
      <c r="A1814" s="2205" t="s">
        <v>3390</v>
      </c>
      <c r="B1814" s="2205">
        <v>11999.87</v>
      </c>
    </row>
    <row r="1815" spans="1:2" x14ac:dyDescent="0.2">
      <c r="A1815" s="2205" t="s">
        <v>3088</v>
      </c>
      <c r="B1815" s="2205">
        <v>457.36</v>
      </c>
    </row>
    <row r="1816" spans="1:2" x14ac:dyDescent="0.2">
      <c r="A1816" s="2205" t="s">
        <v>772</v>
      </c>
      <c r="B1816" s="2205">
        <v>0</v>
      </c>
    </row>
    <row r="1817" spans="1:2" x14ac:dyDescent="0.2">
      <c r="A1817" s="2205" t="s">
        <v>6401</v>
      </c>
      <c r="B1817" s="2205">
        <v>28075.27</v>
      </c>
    </row>
    <row r="1818" spans="1:2" x14ac:dyDescent="0.2">
      <c r="A1818" s="2205" t="s">
        <v>1068</v>
      </c>
      <c r="B1818" s="2205">
        <v>1720.95</v>
      </c>
    </row>
    <row r="1819" spans="1:2" x14ac:dyDescent="0.2">
      <c r="A1819" s="2205" t="s">
        <v>7259</v>
      </c>
      <c r="B1819" s="2205">
        <v>0</v>
      </c>
    </row>
    <row r="1820" spans="1:2" x14ac:dyDescent="0.2">
      <c r="A1820" s="2205" t="s">
        <v>3874</v>
      </c>
      <c r="B1820" s="2205">
        <v>0</v>
      </c>
    </row>
    <row r="1821" spans="1:2" x14ac:dyDescent="0.2">
      <c r="A1821" s="2205" t="s">
        <v>8936</v>
      </c>
      <c r="B1821" s="2205">
        <v>11849.28</v>
      </c>
    </row>
    <row r="1822" spans="1:2" x14ac:dyDescent="0.2">
      <c r="A1822" s="2205" t="s">
        <v>3875</v>
      </c>
      <c r="B1822" s="2205">
        <v>2760.73</v>
      </c>
    </row>
    <row r="1823" spans="1:2" x14ac:dyDescent="0.2">
      <c r="A1823" s="2205" t="s">
        <v>2884</v>
      </c>
      <c r="B1823" s="2205">
        <v>1470</v>
      </c>
    </row>
    <row r="1824" spans="1:2" x14ac:dyDescent="0.2">
      <c r="A1824" s="2205" t="s">
        <v>449</v>
      </c>
      <c r="B1824" s="2205">
        <v>369.04</v>
      </c>
    </row>
    <row r="1825" spans="1:2" x14ac:dyDescent="0.2">
      <c r="A1825" s="2205" t="s">
        <v>8937</v>
      </c>
      <c r="B1825" s="2205">
        <v>9194.07</v>
      </c>
    </row>
    <row r="1826" spans="1:2" x14ac:dyDescent="0.2">
      <c r="A1826" s="2205" t="s">
        <v>390</v>
      </c>
      <c r="B1826" s="2205">
        <v>4000</v>
      </c>
    </row>
    <row r="1827" spans="1:2" x14ac:dyDescent="0.2">
      <c r="A1827" s="2205" t="s">
        <v>460</v>
      </c>
      <c r="B1827" s="2205">
        <v>3250</v>
      </c>
    </row>
    <row r="1828" spans="1:2" x14ac:dyDescent="0.2">
      <c r="A1828" s="2205" t="s">
        <v>364</v>
      </c>
      <c r="B1828" s="2205">
        <v>6893.24</v>
      </c>
    </row>
    <row r="1829" spans="1:2" x14ac:dyDescent="0.2">
      <c r="A1829" s="2205" t="s">
        <v>24</v>
      </c>
      <c r="B1829" s="2205">
        <v>4833.8500000000004</v>
      </c>
    </row>
    <row r="1830" spans="1:2" x14ac:dyDescent="0.2">
      <c r="A1830" s="2205" t="s">
        <v>8938</v>
      </c>
      <c r="B1830" s="2205">
        <v>6699.6</v>
      </c>
    </row>
    <row r="1831" spans="1:2" x14ac:dyDescent="0.2">
      <c r="A1831" s="2205" t="s">
        <v>8939</v>
      </c>
      <c r="B1831" s="2205">
        <v>1170</v>
      </c>
    </row>
    <row r="1832" spans="1:2" x14ac:dyDescent="0.2">
      <c r="A1832" s="2205" t="s">
        <v>6891</v>
      </c>
      <c r="B1832" s="2205">
        <v>0</v>
      </c>
    </row>
    <row r="1833" spans="1:2" x14ac:dyDescent="0.2">
      <c r="A1833" s="2205" t="s">
        <v>1275</v>
      </c>
      <c r="B1833" s="2205">
        <v>916.41</v>
      </c>
    </row>
    <row r="1834" spans="1:2" x14ac:dyDescent="0.2">
      <c r="A1834" s="2205" t="s">
        <v>801</v>
      </c>
      <c r="B1834" s="2205">
        <v>5444.64</v>
      </c>
    </row>
    <row r="1835" spans="1:2" x14ac:dyDescent="0.2">
      <c r="A1835" s="2205" t="s">
        <v>2873</v>
      </c>
      <c r="B1835" s="2205">
        <v>58132.13</v>
      </c>
    </row>
    <row r="1836" spans="1:2" x14ac:dyDescent="0.2">
      <c r="A1836" s="2205" t="s">
        <v>1163</v>
      </c>
      <c r="B1836" s="2205">
        <v>0</v>
      </c>
    </row>
    <row r="1837" spans="1:2" x14ac:dyDescent="0.2">
      <c r="A1837" s="2205" t="s">
        <v>7261</v>
      </c>
      <c r="B1837" s="2205">
        <v>321.57</v>
      </c>
    </row>
    <row r="1838" spans="1:2" x14ac:dyDescent="0.2">
      <c r="A1838" s="2205" t="s">
        <v>66</v>
      </c>
      <c r="B1838" s="2205">
        <v>475.91</v>
      </c>
    </row>
    <row r="1839" spans="1:2" x14ac:dyDescent="0.2">
      <c r="A1839" s="2205" t="s">
        <v>8940</v>
      </c>
      <c r="B1839" s="2205">
        <v>3209.5</v>
      </c>
    </row>
    <row r="1840" spans="1:2" x14ac:dyDescent="0.2">
      <c r="A1840" s="2205" t="s">
        <v>8941</v>
      </c>
      <c r="B1840" s="2205">
        <v>0</v>
      </c>
    </row>
    <row r="1841" spans="1:2" x14ac:dyDescent="0.2">
      <c r="A1841" s="2205" t="s">
        <v>1624</v>
      </c>
      <c r="B1841" s="2205">
        <v>1011.25</v>
      </c>
    </row>
    <row r="1842" spans="1:2" x14ac:dyDescent="0.2">
      <c r="A1842" s="2205" t="s">
        <v>5203</v>
      </c>
      <c r="B1842" s="2205">
        <v>3043.84</v>
      </c>
    </row>
    <row r="1843" spans="1:2" x14ac:dyDescent="0.2">
      <c r="A1843" s="2205" t="s">
        <v>8942</v>
      </c>
      <c r="B1843" s="2205">
        <v>1975.78</v>
      </c>
    </row>
    <row r="1844" spans="1:2" x14ac:dyDescent="0.2">
      <c r="A1844" s="2205" t="s">
        <v>8943</v>
      </c>
      <c r="B1844" s="2205">
        <v>69.510000000000005</v>
      </c>
    </row>
    <row r="1845" spans="1:2" x14ac:dyDescent="0.2">
      <c r="A1845" s="2205" t="s">
        <v>8944</v>
      </c>
      <c r="B1845" s="2205">
        <v>9366</v>
      </c>
    </row>
    <row r="1846" spans="1:2" x14ac:dyDescent="0.2">
      <c r="A1846" s="2205" t="s">
        <v>6024</v>
      </c>
      <c r="B1846" s="2205">
        <v>15.28</v>
      </c>
    </row>
    <row r="1847" spans="1:2" x14ac:dyDescent="0.2">
      <c r="A1847" s="2205" t="s">
        <v>2080</v>
      </c>
      <c r="B1847" s="2205">
        <v>8990.94</v>
      </c>
    </row>
    <row r="1848" spans="1:2" x14ac:dyDescent="0.2">
      <c r="A1848" s="2205" t="s">
        <v>2059</v>
      </c>
      <c r="B1848" s="2205">
        <v>3989.89</v>
      </c>
    </row>
    <row r="1849" spans="1:2" x14ac:dyDescent="0.2">
      <c r="A1849" s="2205" t="s">
        <v>8945</v>
      </c>
      <c r="B1849" s="2205">
        <v>409.4</v>
      </c>
    </row>
    <row r="1850" spans="1:2" x14ac:dyDescent="0.2">
      <c r="A1850" s="2205" t="s">
        <v>1037</v>
      </c>
      <c r="B1850" s="2205">
        <v>16620</v>
      </c>
    </row>
    <row r="1851" spans="1:2" x14ac:dyDescent="0.2">
      <c r="A1851" s="2205" t="s">
        <v>1334</v>
      </c>
      <c r="B1851" s="2205">
        <v>521.21</v>
      </c>
    </row>
    <row r="1852" spans="1:2" x14ac:dyDescent="0.2">
      <c r="A1852" s="2205" t="s">
        <v>41</v>
      </c>
      <c r="B1852" s="2205">
        <v>0</v>
      </c>
    </row>
    <row r="1853" spans="1:2" x14ac:dyDescent="0.2">
      <c r="A1853" s="2205" t="s">
        <v>1194</v>
      </c>
      <c r="B1853" s="2205">
        <v>32480.09</v>
      </c>
    </row>
    <row r="1854" spans="1:2" x14ac:dyDescent="0.2">
      <c r="A1854" s="2205" t="s">
        <v>8946</v>
      </c>
      <c r="B1854" s="2205">
        <v>21600.720000000001</v>
      </c>
    </row>
    <row r="1855" spans="1:2" x14ac:dyDescent="0.2">
      <c r="A1855" s="2205" t="s">
        <v>171</v>
      </c>
      <c r="B1855" s="2205">
        <v>310.79000000000002</v>
      </c>
    </row>
    <row r="1856" spans="1:2" x14ac:dyDescent="0.2">
      <c r="A1856" s="2205" t="s">
        <v>7243</v>
      </c>
      <c r="B1856" s="2205">
        <v>116.22</v>
      </c>
    </row>
    <row r="1857" spans="1:2" x14ac:dyDescent="0.2">
      <c r="A1857" s="2205" t="s">
        <v>2189</v>
      </c>
      <c r="B1857" s="2205">
        <v>14032.35</v>
      </c>
    </row>
    <row r="1858" spans="1:2" x14ac:dyDescent="0.2">
      <c r="A1858" s="2205" t="s">
        <v>2280</v>
      </c>
      <c r="B1858" s="2205">
        <v>10800.51</v>
      </c>
    </row>
    <row r="1859" spans="1:2" x14ac:dyDescent="0.2">
      <c r="A1859" s="2205" t="s">
        <v>1971</v>
      </c>
      <c r="B1859" s="2205">
        <v>8365.3700000000008</v>
      </c>
    </row>
    <row r="1860" spans="1:2" x14ac:dyDescent="0.2">
      <c r="A1860" s="2205" t="s">
        <v>2680</v>
      </c>
      <c r="B1860" s="2205">
        <v>4452.37</v>
      </c>
    </row>
    <row r="1861" spans="1:2" x14ac:dyDescent="0.2">
      <c r="A1861" s="2205" t="s">
        <v>544</v>
      </c>
      <c r="B1861" s="2205">
        <v>10244.280000000001</v>
      </c>
    </row>
    <row r="1862" spans="1:2" x14ac:dyDescent="0.2">
      <c r="A1862" s="2205" t="s">
        <v>8947</v>
      </c>
      <c r="B1862" s="2205">
        <v>154571</v>
      </c>
    </row>
    <row r="1863" spans="1:2" x14ac:dyDescent="0.2">
      <c r="A1863" s="2205" t="s">
        <v>6471</v>
      </c>
      <c r="B1863" s="2205">
        <v>5291.53</v>
      </c>
    </row>
    <row r="1864" spans="1:2" x14ac:dyDescent="0.2">
      <c r="A1864" s="2205" t="s">
        <v>5456</v>
      </c>
      <c r="B1864" s="2205">
        <v>0</v>
      </c>
    </row>
    <row r="1865" spans="1:2" x14ac:dyDescent="0.2">
      <c r="A1865" s="2205" t="s">
        <v>6382</v>
      </c>
      <c r="B1865" s="2205">
        <v>14300</v>
      </c>
    </row>
    <row r="1866" spans="1:2" x14ac:dyDescent="0.2">
      <c r="A1866" s="2205" t="s">
        <v>5192</v>
      </c>
      <c r="B1866" s="2205">
        <v>34.770000000000003</v>
      </c>
    </row>
    <row r="1867" spans="1:2" x14ac:dyDescent="0.2">
      <c r="A1867" s="2205" t="s">
        <v>7018</v>
      </c>
      <c r="B1867" s="2205">
        <v>899.19</v>
      </c>
    </row>
    <row r="1868" spans="1:2" x14ac:dyDescent="0.2">
      <c r="A1868" s="2205" t="s">
        <v>4118</v>
      </c>
      <c r="B1868" s="2205">
        <v>0</v>
      </c>
    </row>
    <row r="1869" spans="1:2" x14ac:dyDescent="0.2">
      <c r="A1869" s="2205" t="s">
        <v>8948</v>
      </c>
      <c r="B1869" s="2205">
        <v>3055.04</v>
      </c>
    </row>
    <row r="1870" spans="1:2" x14ac:dyDescent="0.2">
      <c r="A1870" s="2205" t="s">
        <v>1923</v>
      </c>
      <c r="B1870" s="2205">
        <v>94.98</v>
      </c>
    </row>
    <row r="1871" spans="1:2" x14ac:dyDescent="0.2">
      <c r="A1871" s="2205" t="s">
        <v>3895</v>
      </c>
      <c r="B1871" s="2205">
        <v>721.67</v>
      </c>
    </row>
    <row r="1872" spans="1:2" x14ac:dyDescent="0.2">
      <c r="A1872" s="2205" t="s">
        <v>3898</v>
      </c>
      <c r="B1872" s="2205">
        <v>15848.57</v>
      </c>
    </row>
    <row r="1873" spans="1:2" x14ac:dyDescent="0.2">
      <c r="A1873" s="2205" t="s">
        <v>6381</v>
      </c>
      <c r="B1873" s="2205">
        <v>0</v>
      </c>
    </row>
    <row r="1874" spans="1:2" x14ac:dyDescent="0.2">
      <c r="A1874" s="2205" t="s">
        <v>2564</v>
      </c>
      <c r="B1874" s="2205">
        <v>5958.29</v>
      </c>
    </row>
    <row r="1875" spans="1:2" x14ac:dyDescent="0.2">
      <c r="A1875" s="2205" t="s">
        <v>8949</v>
      </c>
      <c r="B1875" s="2205">
        <v>149328.20000000001</v>
      </c>
    </row>
    <row r="1876" spans="1:2" x14ac:dyDescent="0.2">
      <c r="A1876" s="2205" t="s">
        <v>6336</v>
      </c>
      <c r="B1876" s="2205">
        <v>3003.01</v>
      </c>
    </row>
    <row r="1877" spans="1:2" x14ac:dyDescent="0.2">
      <c r="A1877" s="2205" t="s">
        <v>8950</v>
      </c>
      <c r="B1877" s="2205">
        <v>528.4</v>
      </c>
    </row>
    <row r="1878" spans="1:2" x14ac:dyDescent="0.2">
      <c r="A1878" s="2205" t="s">
        <v>8951</v>
      </c>
      <c r="B1878" s="2205">
        <v>0</v>
      </c>
    </row>
    <row r="1879" spans="1:2" x14ac:dyDescent="0.2">
      <c r="A1879" s="2205" t="s">
        <v>8952</v>
      </c>
      <c r="B1879" s="2205">
        <v>0</v>
      </c>
    </row>
    <row r="1880" spans="1:2" x14ac:dyDescent="0.2">
      <c r="A1880" s="2205" t="s">
        <v>8953</v>
      </c>
      <c r="B1880" s="2205">
        <v>1520.87</v>
      </c>
    </row>
    <row r="1881" spans="1:2" x14ac:dyDescent="0.2">
      <c r="A1881" s="2205" t="s">
        <v>8954</v>
      </c>
      <c r="B1881" s="2205">
        <v>0</v>
      </c>
    </row>
    <row r="1882" spans="1:2" x14ac:dyDescent="0.2">
      <c r="A1882" s="2205" t="s">
        <v>8955</v>
      </c>
      <c r="B1882" s="2205">
        <v>234</v>
      </c>
    </row>
    <row r="1883" spans="1:2" x14ac:dyDescent="0.2">
      <c r="A1883" s="2205" t="s">
        <v>8956</v>
      </c>
      <c r="B1883" s="2205">
        <v>4624.51</v>
      </c>
    </row>
    <row r="1884" spans="1:2" x14ac:dyDescent="0.2">
      <c r="A1884" s="2205" t="s">
        <v>8957</v>
      </c>
      <c r="B1884" s="2205">
        <v>503.32</v>
      </c>
    </row>
    <row r="1885" spans="1:2" x14ac:dyDescent="0.2">
      <c r="A1885" s="2205" t="s">
        <v>8958</v>
      </c>
      <c r="B1885" s="2205">
        <v>76.73</v>
      </c>
    </row>
    <row r="1886" spans="1:2" x14ac:dyDescent="0.2">
      <c r="A1886" s="2205" t="s">
        <v>8959</v>
      </c>
      <c r="B1886" s="2205">
        <v>209.33</v>
      </c>
    </row>
    <row r="1887" spans="1:2" x14ac:dyDescent="0.2">
      <c r="A1887" s="2205" t="s">
        <v>8960</v>
      </c>
      <c r="B1887" s="2205">
        <v>65</v>
      </c>
    </row>
    <row r="1888" spans="1:2" x14ac:dyDescent="0.2">
      <c r="A1888" s="2205" t="s">
        <v>8961</v>
      </c>
      <c r="B1888" s="2205">
        <v>90.85</v>
      </c>
    </row>
    <row r="1889" spans="1:2" x14ac:dyDescent="0.2">
      <c r="A1889" s="2205" t="s">
        <v>6073</v>
      </c>
      <c r="B1889" s="2205">
        <v>1354.36</v>
      </c>
    </row>
    <row r="1890" spans="1:2" x14ac:dyDescent="0.2">
      <c r="A1890" s="2205" t="s">
        <v>8962</v>
      </c>
      <c r="B1890" s="2205">
        <v>11732.07</v>
      </c>
    </row>
    <row r="1891" spans="1:2" x14ac:dyDescent="0.2">
      <c r="A1891" s="2205" t="s">
        <v>8963</v>
      </c>
      <c r="B1891" s="2205">
        <v>1146</v>
      </c>
    </row>
    <row r="1892" spans="1:2" x14ac:dyDescent="0.2">
      <c r="A1892" s="2205" t="s">
        <v>8964</v>
      </c>
      <c r="B1892" s="2205">
        <v>12577.77</v>
      </c>
    </row>
    <row r="1893" spans="1:2" x14ac:dyDescent="0.2">
      <c r="A1893" s="2205" t="s">
        <v>8965</v>
      </c>
      <c r="B1893" s="2205">
        <v>2726.12</v>
      </c>
    </row>
    <row r="1894" spans="1:2" x14ac:dyDescent="0.2">
      <c r="A1894" s="2205" t="s">
        <v>8966</v>
      </c>
      <c r="B1894" s="2205">
        <v>3807.1</v>
      </c>
    </row>
    <row r="1895" spans="1:2" x14ac:dyDescent="0.2">
      <c r="A1895" s="2205" t="s">
        <v>8967</v>
      </c>
      <c r="B1895" s="2205">
        <v>2649.06</v>
      </c>
    </row>
    <row r="1896" spans="1:2" x14ac:dyDescent="0.2">
      <c r="A1896" s="2205" t="s">
        <v>8968</v>
      </c>
      <c r="B1896" s="2205">
        <v>2963.6</v>
      </c>
    </row>
    <row r="1897" spans="1:2" x14ac:dyDescent="0.2">
      <c r="A1897" s="2205" t="s">
        <v>8969</v>
      </c>
      <c r="B1897" s="2205">
        <v>14710.9</v>
      </c>
    </row>
    <row r="1898" spans="1:2" x14ac:dyDescent="0.2">
      <c r="A1898" s="2205" t="s">
        <v>8970</v>
      </c>
      <c r="B1898" s="2205">
        <v>650.33000000000004</v>
      </c>
    </row>
    <row r="1899" spans="1:2" x14ac:dyDescent="0.2">
      <c r="A1899" s="2205" t="s">
        <v>8971</v>
      </c>
      <c r="B1899" s="2205">
        <v>13663.04</v>
      </c>
    </row>
    <row r="1900" spans="1:2" x14ac:dyDescent="0.2">
      <c r="A1900" s="2205" t="s">
        <v>6064</v>
      </c>
      <c r="B1900" s="2205">
        <v>33868.800000000003</v>
      </c>
    </row>
    <row r="1901" spans="1:2" x14ac:dyDescent="0.2">
      <c r="A1901" s="2205" t="s">
        <v>8972</v>
      </c>
      <c r="B1901" s="2205">
        <v>25607.85</v>
      </c>
    </row>
    <row r="1902" spans="1:2" x14ac:dyDescent="0.2">
      <c r="A1902" s="2205" t="s">
        <v>8973</v>
      </c>
      <c r="B1902" s="2205">
        <v>4345.08</v>
      </c>
    </row>
    <row r="1903" spans="1:2" x14ac:dyDescent="0.2">
      <c r="A1903" s="2205" t="s">
        <v>8974</v>
      </c>
      <c r="B1903" s="2205">
        <v>7675.6</v>
      </c>
    </row>
    <row r="1904" spans="1:2" x14ac:dyDescent="0.2">
      <c r="A1904" s="2205" t="s">
        <v>8975</v>
      </c>
      <c r="B1904" s="2205">
        <v>14.29</v>
      </c>
    </row>
    <row r="1905" spans="1:2" x14ac:dyDescent="0.2">
      <c r="A1905" s="2205" t="s">
        <v>8976</v>
      </c>
      <c r="B1905" s="2205">
        <v>103.12</v>
      </c>
    </row>
    <row r="1906" spans="1:2" x14ac:dyDescent="0.2">
      <c r="A1906" s="2205" t="s">
        <v>8977</v>
      </c>
      <c r="B1906" s="2205">
        <v>90.53</v>
      </c>
    </row>
    <row r="1907" spans="1:2" x14ac:dyDescent="0.2">
      <c r="A1907" s="2205" t="s">
        <v>8978</v>
      </c>
      <c r="B1907" s="2205">
        <v>13.59</v>
      </c>
    </row>
    <row r="1908" spans="1:2" x14ac:dyDescent="0.2">
      <c r="A1908" s="2205" t="s">
        <v>2628</v>
      </c>
      <c r="B1908" s="2205">
        <v>449.71</v>
      </c>
    </row>
    <row r="1909" spans="1:2" x14ac:dyDescent="0.2">
      <c r="A1909" s="2205" t="s">
        <v>8979</v>
      </c>
      <c r="B1909" s="2205">
        <v>56.8</v>
      </c>
    </row>
    <row r="1910" spans="1:2" x14ac:dyDescent="0.2">
      <c r="A1910" s="2205" t="s">
        <v>796</v>
      </c>
      <c r="B1910" s="2205">
        <v>1875</v>
      </c>
    </row>
    <row r="1911" spans="1:2" x14ac:dyDescent="0.2">
      <c r="A1911" s="2205" t="s">
        <v>8980</v>
      </c>
      <c r="B1911" s="2205">
        <v>798.95</v>
      </c>
    </row>
    <row r="1912" spans="1:2" x14ac:dyDescent="0.2">
      <c r="A1912" s="2205" t="s">
        <v>8981</v>
      </c>
      <c r="B1912" s="2205">
        <v>51980.800000000003</v>
      </c>
    </row>
    <row r="1913" spans="1:2" x14ac:dyDescent="0.2">
      <c r="A1913" s="2205" t="s">
        <v>1797</v>
      </c>
      <c r="B1913" s="2205">
        <v>0</v>
      </c>
    </row>
    <row r="1914" spans="1:2" x14ac:dyDescent="0.2">
      <c r="A1914" s="2205" t="s">
        <v>1690</v>
      </c>
      <c r="B1914" s="2205">
        <v>8360.0300000000007</v>
      </c>
    </row>
    <row r="1915" spans="1:2" x14ac:dyDescent="0.2">
      <c r="A1915" s="2205" t="s">
        <v>6507</v>
      </c>
      <c r="B1915" s="2205">
        <v>0</v>
      </c>
    </row>
    <row r="1916" spans="1:2" x14ac:dyDescent="0.2">
      <c r="A1916" s="2205" t="s">
        <v>8982</v>
      </c>
      <c r="B1916" s="2205">
        <v>-16057.04</v>
      </c>
    </row>
    <row r="1917" spans="1:2" x14ac:dyDescent="0.2">
      <c r="A1917" s="2205" t="s">
        <v>8983</v>
      </c>
      <c r="B1917" s="2205">
        <v>8791.11</v>
      </c>
    </row>
    <row r="1918" spans="1:2" x14ac:dyDescent="0.2">
      <c r="A1918" s="2205" t="s">
        <v>8984</v>
      </c>
      <c r="B1918" s="2205">
        <v>1249.27</v>
      </c>
    </row>
    <row r="1919" spans="1:2" x14ac:dyDescent="0.2">
      <c r="A1919" s="2205" t="s">
        <v>691</v>
      </c>
      <c r="B1919" s="2205">
        <v>96416.49</v>
      </c>
    </row>
    <row r="1920" spans="1:2" x14ac:dyDescent="0.2">
      <c r="A1920" s="2205" t="s">
        <v>8985</v>
      </c>
      <c r="B1920" s="2205">
        <v>18230</v>
      </c>
    </row>
    <row r="1921" spans="1:2" x14ac:dyDescent="0.2">
      <c r="A1921" s="2205" t="s">
        <v>730</v>
      </c>
      <c r="B1921" s="2205">
        <v>2014.99</v>
      </c>
    </row>
    <row r="1922" spans="1:2" x14ac:dyDescent="0.2">
      <c r="A1922" s="2205" t="s">
        <v>212</v>
      </c>
      <c r="B1922" s="2205">
        <v>2048.61</v>
      </c>
    </row>
    <row r="1923" spans="1:2" x14ac:dyDescent="0.2">
      <c r="A1923" s="2205" t="s">
        <v>8986</v>
      </c>
      <c r="B1923" s="2205">
        <v>450.9</v>
      </c>
    </row>
    <row r="1924" spans="1:2" x14ac:dyDescent="0.2">
      <c r="A1924" s="2205" t="s">
        <v>8987</v>
      </c>
      <c r="B1924" s="2205">
        <v>26664.14</v>
      </c>
    </row>
    <row r="1925" spans="1:2" x14ac:dyDescent="0.2">
      <c r="A1925" s="2205" t="s">
        <v>8988</v>
      </c>
      <c r="B1925" s="2205">
        <v>2901.37</v>
      </c>
    </row>
    <row r="1926" spans="1:2" x14ac:dyDescent="0.2">
      <c r="A1926" s="2205" t="s">
        <v>8989</v>
      </c>
      <c r="B1926" s="2205">
        <v>413.63</v>
      </c>
    </row>
    <row r="1927" spans="1:2" x14ac:dyDescent="0.2">
      <c r="A1927" s="2205" t="s">
        <v>5391</v>
      </c>
      <c r="B1927" s="2205">
        <v>0</v>
      </c>
    </row>
    <row r="1928" spans="1:2" x14ac:dyDescent="0.2">
      <c r="A1928" s="2205" t="s">
        <v>5395</v>
      </c>
      <c r="B1928" s="2205">
        <v>355.2</v>
      </c>
    </row>
    <row r="1929" spans="1:2" x14ac:dyDescent="0.2">
      <c r="A1929" s="2205" t="s">
        <v>8990</v>
      </c>
      <c r="B1929" s="2205">
        <v>15647</v>
      </c>
    </row>
    <row r="1930" spans="1:2" x14ac:dyDescent="0.2">
      <c r="A1930" s="2205" t="s">
        <v>8991</v>
      </c>
      <c r="B1930" s="2205">
        <v>1847.1</v>
      </c>
    </row>
    <row r="1931" spans="1:2" x14ac:dyDescent="0.2">
      <c r="A1931" s="2205" t="s">
        <v>3503</v>
      </c>
      <c r="B1931" s="2205">
        <v>1093.5</v>
      </c>
    </row>
    <row r="1932" spans="1:2" x14ac:dyDescent="0.2">
      <c r="A1932" s="2205" t="s">
        <v>2432</v>
      </c>
      <c r="B1932" s="2205">
        <v>52.4</v>
      </c>
    </row>
    <row r="1933" spans="1:2" x14ac:dyDescent="0.2">
      <c r="A1933" s="2205" t="s">
        <v>873</v>
      </c>
      <c r="B1933" s="2205">
        <v>650.71</v>
      </c>
    </row>
    <row r="1934" spans="1:2" x14ac:dyDescent="0.2">
      <c r="A1934" s="2205" t="s">
        <v>6665</v>
      </c>
      <c r="B1934" s="2205">
        <v>1916.84</v>
      </c>
    </row>
    <row r="1935" spans="1:2" x14ac:dyDescent="0.2">
      <c r="A1935" s="2205" t="s">
        <v>1305</v>
      </c>
      <c r="B1935" s="2205">
        <v>0</v>
      </c>
    </row>
    <row r="1936" spans="1:2" x14ac:dyDescent="0.2">
      <c r="A1936" s="2205" t="s">
        <v>1833</v>
      </c>
      <c r="B1936" s="2205">
        <v>6833.23</v>
      </c>
    </row>
    <row r="1937" spans="1:2" x14ac:dyDescent="0.2">
      <c r="A1937" s="2205" t="s">
        <v>6139</v>
      </c>
      <c r="B1937" s="2205">
        <v>3393.41</v>
      </c>
    </row>
    <row r="1938" spans="1:2" x14ac:dyDescent="0.2">
      <c r="A1938" s="2205" t="s">
        <v>2804</v>
      </c>
      <c r="B1938" s="2205">
        <v>399580.22</v>
      </c>
    </row>
    <row r="1939" spans="1:2" x14ac:dyDescent="0.2">
      <c r="A1939" s="2205" t="s">
        <v>8992</v>
      </c>
      <c r="B1939" s="2205">
        <v>2381.13</v>
      </c>
    </row>
    <row r="1940" spans="1:2" x14ac:dyDescent="0.2">
      <c r="A1940" s="2205" t="s">
        <v>627</v>
      </c>
      <c r="B1940" s="2205">
        <v>29316.44</v>
      </c>
    </row>
    <row r="1941" spans="1:2" x14ac:dyDescent="0.2">
      <c r="A1941" s="2205" t="s">
        <v>1104</v>
      </c>
      <c r="B1941" s="2205">
        <v>6829.26</v>
      </c>
    </row>
    <row r="1942" spans="1:2" x14ac:dyDescent="0.2">
      <c r="A1942" s="2205" t="s">
        <v>1615</v>
      </c>
      <c r="B1942" s="2205">
        <v>34023</v>
      </c>
    </row>
    <row r="1943" spans="1:2" x14ac:dyDescent="0.2">
      <c r="A1943" s="2205" t="s">
        <v>5992</v>
      </c>
      <c r="B1943" s="2205">
        <v>8500</v>
      </c>
    </row>
    <row r="1944" spans="1:2" x14ac:dyDescent="0.2">
      <c r="A1944" s="2205" t="s">
        <v>2807</v>
      </c>
      <c r="B1944" s="2205">
        <v>18989.07</v>
      </c>
    </row>
    <row r="1945" spans="1:2" x14ac:dyDescent="0.2">
      <c r="A1945" s="2205" t="s">
        <v>8993</v>
      </c>
      <c r="B1945" s="2205">
        <v>36655.68</v>
      </c>
    </row>
    <row r="1946" spans="1:2" x14ac:dyDescent="0.2">
      <c r="A1946" s="2205" t="s">
        <v>8994</v>
      </c>
      <c r="B1946" s="2205">
        <v>21284.9</v>
      </c>
    </row>
    <row r="1947" spans="1:2" x14ac:dyDescent="0.2">
      <c r="A1947" s="2205" t="s">
        <v>8995</v>
      </c>
      <c r="B1947" s="2205">
        <v>98.27</v>
      </c>
    </row>
    <row r="1948" spans="1:2" x14ac:dyDescent="0.2">
      <c r="A1948" s="2205" t="s">
        <v>8996</v>
      </c>
      <c r="B1948" s="2205">
        <v>98.27</v>
      </c>
    </row>
    <row r="1949" spans="1:2" x14ac:dyDescent="0.2">
      <c r="A1949" s="2205" t="s">
        <v>8997</v>
      </c>
      <c r="B1949" s="2205">
        <v>26277.5</v>
      </c>
    </row>
    <row r="1950" spans="1:2" x14ac:dyDescent="0.2">
      <c r="A1950" s="2205" t="s">
        <v>8998</v>
      </c>
      <c r="B1950" s="2205">
        <v>598.91999999999996</v>
      </c>
    </row>
    <row r="1951" spans="1:2" x14ac:dyDescent="0.2">
      <c r="A1951" s="2205" t="s">
        <v>8999</v>
      </c>
      <c r="B1951" s="2205">
        <v>2572.94</v>
      </c>
    </row>
    <row r="1952" spans="1:2" x14ac:dyDescent="0.2">
      <c r="A1952" s="2205" t="s">
        <v>4177</v>
      </c>
      <c r="B1952" s="2205">
        <v>145.44999999999999</v>
      </c>
    </row>
    <row r="1953" spans="1:2" x14ac:dyDescent="0.2">
      <c r="A1953" s="2205" t="s">
        <v>5788</v>
      </c>
      <c r="B1953" s="2205">
        <v>85794.89</v>
      </c>
    </row>
    <row r="1954" spans="1:2" x14ac:dyDescent="0.2">
      <c r="A1954" s="2205" t="s">
        <v>6067</v>
      </c>
      <c r="B1954" s="2205">
        <v>17277.810000000001</v>
      </c>
    </row>
    <row r="1955" spans="1:2" x14ac:dyDescent="0.2">
      <c r="A1955" s="2205" t="s">
        <v>6062</v>
      </c>
      <c r="B1955" s="2205">
        <v>86599.46</v>
      </c>
    </row>
    <row r="1956" spans="1:2" x14ac:dyDescent="0.2">
      <c r="A1956" s="2205" t="s">
        <v>5791</v>
      </c>
      <c r="B1956" s="2205">
        <v>19447.41</v>
      </c>
    </row>
    <row r="1957" spans="1:2" x14ac:dyDescent="0.2">
      <c r="A1957" s="2205" t="s">
        <v>6276</v>
      </c>
      <c r="B1957" s="2205">
        <v>0</v>
      </c>
    </row>
    <row r="1958" spans="1:2" x14ac:dyDescent="0.2">
      <c r="A1958" s="2205" t="s">
        <v>6274</v>
      </c>
      <c r="B1958" s="2205">
        <v>105895.69</v>
      </c>
    </row>
    <row r="1959" spans="1:2" x14ac:dyDescent="0.2">
      <c r="A1959" s="2205" t="s">
        <v>6273</v>
      </c>
      <c r="B1959" s="2205">
        <v>123692.28</v>
      </c>
    </row>
    <row r="1960" spans="1:2" x14ac:dyDescent="0.2">
      <c r="A1960" s="2205" t="s">
        <v>5789</v>
      </c>
      <c r="B1960" s="2205">
        <v>38430.25</v>
      </c>
    </row>
    <row r="1961" spans="1:2" x14ac:dyDescent="0.2">
      <c r="A1961" s="2205" t="s">
        <v>5790</v>
      </c>
      <c r="B1961" s="2205">
        <v>33694.769999999997</v>
      </c>
    </row>
    <row r="1962" spans="1:2" x14ac:dyDescent="0.2">
      <c r="A1962" s="2205" t="s">
        <v>9000</v>
      </c>
      <c r="B1962" s="2205">
        <v>52.1</v>
      </c>
    </row>
    <row r="1963" spans="1:2" x14ac:dyDescent="0.2">
      <c r="A1963" s="2205" t="s">
        <v>9001</v>
      </c>
      <c r="B1963" s="2205">
        <v>85.65</v>
      </c>
    </row>
    <row r="1964" spans="1:2" x14ac:dyDescent="0.2">
      <c r="A1964" s="2205" t="s">
        <v>9002</v>
      </c>
      <c r="B1964" s="2205">
        <v>-564.79999999999995</v>
      </c>
    </row>
    <row r="1965" spans="1:2" x14ac:dyDescent="0.2">
      <c r="A1965" s="2205" t="s">
        <v>9003</v>
      </c>
      <c r="B1965" s="2205">
        <v>838.08</v>
      </c>
    </row>
    <row r="1966" spans="1:2" x14ac:dyDescent="0.2">
      <c r="A1966" s="2205" t="s">
        <v>9004</v>
      </c>
      <c r="B1966" s="2205">
        <v>60.04</v>
      </c>
    </row>
    <row r="1967" spans="1:2" x14ac:dyDescent="0.2">
      <c r="A1967" s="2205" t="s">
        <v>9005</v>
      </c>
      <c r="B1967" s="2205">
        <v>23164</v>
      </c>
    </row>
    <row r="1968" spans="1:2" x14ac:dyDescent="0.2">
      <c r="A1968" s="2205" t="s">
        <v>9006</v>
      </c>
      <c r="B1968" s="2205">
        <v>29317.84</v>
      </c>
    </row>
    <row r="1969" spans="1:2" x14ac:dyDescent="0.2">
      <c r="A1969" s="2205" t="s">
        <v>587</v>
      </c>
      <c r="B1969" s="2205">
        <v>6346.39</v>
      </c>
    </row>
    <row r="1970" spans="1:2" x14ac:dyDescent="0.2">
      <c r="A1970" s="2205" t="s">
        <v>5206</v>
      </c>
      <c r="B1970" s="2205">
        <v>2349.9699999999998</v>
      </c>
    </row>
    <row r="1971" spans="1:2" x14ac:dyDescent="0.2">
      <c r="A1971" s="2205" t="s">
        <v>5205</v>
      </c>
      <c r="B1971" s="2205">
        <v>6319.73</v>
      </c>
    </row>
    <row r="1972" spans="1:2" x14ac:dyDescent="0.2">
      <c r="A1972" s="2205" t="s">
        <v>987</v>
      </c>
      <c r="B1972" s="2205">
        <v>25645.57</v>
      </c>
    </row>
    <row r="1973" spans="1:2" x14ac:dyDescent="0.2">
      <c r="A1973" s="2205" t="s">
        <v>9007</v>
      </c>
      <c r="B1973" s="2205">
        <v>2401.71</v>
      </c>
    </row>
    <row r="1974" spans="1:2" x14ac:dyDescent="0.2">
      <c r="A1974" s="2205" t="s">
        <v>9008</v>
      </c>
      <c r="B1974" s="2205">
        <v>21550.080000000002</v>
      </c>
    </row>
    <row r="1975" spans="1:2" x14ac:dyDescent="0.2">
      <c r="A1975" s="2205" t="s">
        <v>9009</v>
      </c>
      <c r="B1975" s="2205">
        <v>854.55</v>
      </c>
    </row>
    <row r="1976" spans="1:2" x14ac:dyDescent="0.2">
      <c r="A1976" s="2205" t="s">
        <v>9010</v>
      </c>
      <c r="B1976" s="2205">
        <v>2384.94</v>
      </c>
    </row>
    <row r="1977" spans="1:2" x14ac:dyDescent="0.2">
      <c r="A1977" s="2205" t="s">
        <v>9011</v>
      </c>
      <c r="B1977" s="2205">
        <v>298.18</v>
      </c>
    </row>
    <row r="1978" spans="1:2" x14ac:dyDescent="0.2">
      <c r="A1978" s="2205" t="s">
        <v>9012</v>
      </c>
      <c r="B1978" s="2205">
        <v>2561.7800000000002</v>
      </c>
    </row>
    <row r="1979" spans="1:2" x14ac:dyDescent="0.2">
      <c r="A1979" s="2205" t="s">
        <v>9013</v>
      </c>
      <c r="B1979" s="2205">
        <v>3320.4</v>
      </c>
    </row>
    <row r="1980" spans="1:2" x14ac:dyDescent="0.2">
      <c r="A1980" s="2205" t="s">
        <v>9014</v>
      </c>
      <c r="B1980" s="2205">
        <v>281.55</v>
      </c>
    </row>
    <row r="1981" spans="1:2" x14ac:dyDescent="0.2">
      <c r="A1981" s="2205" t="s">
        <v>9015</v>
      </c>
      <c r="B1981" s="2205">
        <v>1601.27</v>
      </c>
    </row>
    <row r="1982" spans="1:2" x14ac:dyDescent="0.2">
      <c r="A1982" s="2205" t="s">
        <v>9016</v>
      </c>
      <c r="B1982" s="2205">
        <v>-710.32</v>
      </c>
    </row>
    <row r="1983" spans="1:2" x14ac:dyDescent="0.2">
      <c r="A1983" s="2205" t="s">
        <v>9017</v>
      </c>
      <c r="B1983" s="2205">
        <v>4538.8500000000004</v>
      </c>
    </row>
    <row r="1984" spans="1:2" x14ac:dyDescent="0.2">
      <c r="A1984" s="2205" t="s">
        <v>9018</v>
      </c>
      <c r="B1984" s="2205">
        <v>303</v>
      </c>
    </row>
    <row r="1985" spans="1:2" x14ac:dyDescent="0.2">
      <c r="A1985" s="2205" t="s">
        <v>9019</v>
      </c>
      <c r="B1985" s="2205">
        <v>8633.6299999999992</v>
      </c>
    </row>
    <row r="1986" spans="1:2" x14ac:dyDescent="0.2">
      <c r="A1986" s="2205" t="s">
        <v>9020</v>
      </c>
      <c r="B1986" s="2205">
        <v>1800</v>
      </c>
    </row>
    <row r="1987" spans="1:2" x14ac:dyDescent="0.2">
      <c r="A1987" s="2205" t="s">
        <v>9021</v>
      </c>
      <c r="B1987" s="2205">
        <v>7702.8</v>
      </c>
    </row>
    <row r="1988" spans="1:2" x14ac:dyDescent="0.2">
      <c r="A1988" s="2205" t="s">
        <v>9022</v>
      </c>
      <c r="B1988" s="2205">
        <v>8674.02</v>
      </c>
    </row>
    <row r="1989" spans="1:2" x14ac:dyDescent="0.2">
      <c r="A1989" s="2205" t="s">
        <v>9023</v>
      </c>
      <c r="B1989" s="2205">
        <v>250.4</v>
      </c>
    </row>
    <row r="1990" spans="1:2" x14ac:dyDescent="0.2">
      <c r="A1990" s="2205" t="s">
        <v>9024</v>
      </c>
      <c r="B1990" s="2205">
        <v>5416.05</v>
      </c>
    </row>
    <row r="1991" spans="1:2" x14ac:dyDescent="0.2">
      <c r="A1991" s="2205" t="s">
        <v>9025</v>
      </c>
      <c r="B1991" s="2205">
        <v>348.24</v>
      </c>
    </row>
    <row r="1992" spans="1:2" x14ac:dyDescent="0.2">
      <c r="A1992" s="2205" t="s">
        <v>9026</v>
      </c>
      <c r="B1992" s="2205">
        <v>7973.39</v>
      </c>
    </row>
    <row r="1993" spans="1:2" x14ac:dyDescent="0.2">
      <c r="A1993" s="2205" t="s">
        <v>9027</v>
      </c>
      <c r="B1993" s="2205">
        <v>5000</v>
      </c>
    </row>
    <row r="1994" spans="1:2" x14ac:dyDescent="0.2">
      <c r="A1994" s="2205" t="s">
        <v>9028</v>
      </c>
      <c r="B1994" s="2205">
        <v>0</v>
      </c>
    </row>
    <row r="1995" spans="1:2" x14ac:dyDescent="0.2">
      <c r="A1995" s="2205" t="s">
        <v>9029</v>
      </c>
      <c r="B1995" s="2205">
        <v>669.32</v>
      </c>
    </row>
    <row r="1996" spans="1:2" x14ac:dyDescent="0.2">
      <c r="A1996" s="2205" t="s">
        <v>9030</v>
      </c>
      <c r="B1996" s="2205">
        <v>25</v>
      </c>
    </row>
    <row r="1997" spans="1:2" x14ac:dyDescent="0.2">
      <c r="A1997" s="2205" t="s">
        <v>9031</v>
      </c>
      <c r="B1997" s="2205">
        <v>33.25</v>
      </c>
    </row>
    <row r="1998" spans="1:2" x14ac:dyDescent="0.2">
      <c r="A1998" s="2205" t="s">
        <v>9032</v>
      </c>
      <c r="B1998" s="2205">
        <v>0</v>
      </c>
    </row>
    <row r="1999" spans="1:2" x14ac:dyDescent="0.2">
      <c r="A1999" s="2205" t="s">
        <v>9033</v>
      </c>
      <c r="B1999" s="2205">
        <v>0</v>
      </c>
    </row>
    <row r="2000" spans="1:2" x14ac:dyDescent="0.2">
      <c r="A2000" s="2205" t="s">
        <v>9034</v>
      </c>
      <c r="B2000" s="2205">
        <v>354.55</v>
      </c>
    </row>
    <row r="2001" spans="1:2" x14ac:dyDescent="0.2">
      <c r="A2001" s="2205" t="s">
        <v>9035</v>
      </c>
      <c r="B2001" s="2205">
        <v>10171.219999999999</v>
      </c>
    </row>
    <row r="2002" spans="1:2" x14ac:dyDescent="0.2">
      <c r="A2002" s="2205" t="s">
        <v>9036</v>
      </c>
      <c r="B2002" s="2205">
        <v>10379.290000000001</v>
      </c>
    </row>
    <row r="2003" spans="1:2" x14ac:dyDescent="0.2">
      <c r="A2003" s="2205" t="s">
        <v>9037</v>
      </c>
      <c r="B2003" s="2205">
        <v>0</v>
      </c>
    </row>
    <row r="2004" spans="1:2" x14ac:dyDescent="0.2">
      <c r="A2004" s="2205" t="s">
        <v>9038</v>
      </c>
      <c r="B2004" s="2205">
        <v>0</v>
      </c>
    </row>
    <row r="2005" spans="1:2" x14ac:dyDescent="0.2">
      <c r="A2005" s="2205" t="s">
        <v>9039</v>
      </c>
      <c r="B2005" s="2205">
        <v>2374.46</v>
      </c>
    </row>
    <row r="2006" spans="1:2" x14ac:dyDescent="0.2">
      <c r="A2006" s="2205" t="s">
        <v>9040</v>
      </c>
      <c r="B2006" s="2205">
        <v>7070.81</v>
      </c>
    </row>
    <row r="2007" spans="1:2" x14ac:dyDescent="0.2">
      <c r="A2007" s="2205" t="s">
        <v>9041</v>
      </c>
      <c r="B2007" s="2205">
        <v>363.51</v>
      </c>
    </row>
    <row r="2008" spans="1:2" x14ac:dyDescent="0.2">
      <c r="A2008" s="2205" t="s">
        <v>9042</v>
      </c>
      <c r="B2008" s="2205">
        <v>227.41</v>
      </c>
    </row>
    <row r="2009" spans="1:2" x14ac:dyDescent="0.2">
      <c r="A2009" s="2205" t="s">
        <v>9043</v>
      </c>
      <c r="B2009" s="2205">
        <v>1263.56</v>
      </c>
    </row>
    <row r="2010" spans="1:2" x14ac:dyDescent="0.2">
      <c r="A2010" s="2205" t="s">
        <v>9044</v>
      </c>
      <c r="B2010" s="2205">
        <v>747.85</v>
      </c>
    </row>
    <row r="2011" spans="1:2" x14ac:dyDescent="0.2">
      <c r="A2011" s="2205" t="s">
        <v>9045</v>
      </c>
      <c r="B2011" s="2205">
        <v>5732.22</v>
      </c>
    </row>
    <row r="2012" spans="1:2" x14ac:dyDescent="0.2">
      <c r="A2012" s="2205" t="s">
        <v>9046</v>
      </c>
      <c r="B2012" s="2205">
        <v>106.24</v>
      </c>
    </row>
    <row r="2013" spans="1:2" x14ac:dyDescent="0.2">
      <c r="A2013" s="2205" t="s">
        <v>9047</v>
      </c>
      <c r="B2013" s="2205">
        <v>3922</v>
      </c>
    </row>
    <row r="2014" spans="1:2" x14ac:dyDescent="0.2">
      <c r="A2014" s="2205" t="s">
        <v>9048</v>
      </c>
      <c r="B2014" s="2205">
        <v>4097.13</v>
      </c>
    </row>
    <row r="2015" spans="1:2" x14ac:dyDescent="0.2">
      <c r="A2015" s="2205" t="s">
        <v>9049</v>
      </c>
      <c r="B2015" s="2205">
        <v>522.1</v>
      </c>
    </row>
    <row r="2016" spans="1:2" x14ac:dyDescent="0.2">
      <c r="A2016" s="2205" t="s">
        <v>9050</v>
      </c>
      <c r="B2016" s="2205">
        <v>2876.33</v>
      </c>
    </row>
    <row r="2017" spans="1:2" x14ac:dyDescent="0.2">
      <c r="A2017" s="2205" t="s">
        <v>9051</v>
      </c>
      <c r="B2017" s="2205">
        <v>681.66</v>
      </c>
    </row>
    <row r="2018" spans="1:2" x14ac:dyDescent="0.2">
      <c r="A2018" s="2205" t="s">
        <v>9052</v>
      </c>
      <c r="B2018" s="2205">
        <v>505.32</v>
      </c>
    </row>
    <row r="2019" spans="1:2" x14ac:dyDescent="0.2">
      <c r="A2019" s="2205" t="s">
        <v>9053</v>
      </c>
      <c r="B2019" s="2205">
        <v>4476.8900000000003</v>
      </c>
    </row>
    <row r="2020" spans="1:2" x14ac:dyDescent="0.2">
      <c r="A2020" s="2205" t="s">
        <v>9054</v>
      </c>
      <c r="B2020" s="2205">
        <v>905.81</v>
      </c>
    </row>
    <row r="2021" spans="1:2" x14ac:dyDescent="0.2">
      <c r="A2021" s="2205" t="s">
        <v>9055</v>
      </c>
      <c r="B2021" s="2205">
        <v>13478.59</v>
      </c>
    </row>
    <row r="2022" spans="1:2" x14ac:dyDescent="0.2">
      <c r="A2022" s="2205" t="s">
        <v>9056</v>
      </c>
      <c r="B2022" s="2205">
        <v>3209.58</v>
      </c>
    </row>
    <row r="2023" spans="1:2" x14ac:dyDescent="0.2">
      <c r="A2023" s="2205" t="s">
        <v>9057</v>
      </c>
      <c r="B2023" s="2205">
        <v>3824.2</v>
      </c>
    </row>
    <row r="2024" spans="1:2" x14ac:dyDescent="0.2">
      <c r="A2024" s="2205" t="s">
        <v>9058</v>
      </c>
      <c r="B2024" s="2205">
        <v>142.5</v>
      </c>
    </row>
    <row r="2025" spans="1:2" x14ac:dyDescent="0.2">
      <c r="A2025" s="2205" t="s">
        <v>9059</v>
      </c>
      <c r="B2025" s="2205">
        <v>86.21</v>
      </c>
    </row>
    <row r="2026" spans="1:2" x14ac:dyDescent="0.2">
      <c r="A2026" s="2205" t="s">
        <v>9060</v>
      </c>
      <c r="B2026" s="2205">
        <v>218.76</v>
      </c>
    </row>
    <row r="2027" spans="1:2" x14ac:dyDescent="0.2">
      <c r="A2027" s="2205" t="s">
        <v>9061</v>
      </c>
      <c r="B2027" s="2205">
        <v>492.2</v>
      </c>
    </row>
    <row r="2028" spans="1:2" x14ac:dyDescent="0.2">
      <c r="A2028" s="2205" t="s">
        <v>9062</v>
      </c>
      <c r="B2028" s="2205">
        <v>461.61</v>
      </c>
    </row>
    <row r="2029" spans="1:2" x14ac:dyDescent="0.2">
      <c r="A2029" s="2205" t="s">
        <v>9063</v>
      </c>
      <c r="B2029" s="2205">
        <v>0</v>
      </c>
    </row>
    <row r="2030" spans="1:2" x14ac:dyDescent="0.2">
      <c r="A2030" s="2205" t="s">
        <v>9064</v>
      </c>
      <c r="B2030" s="2205">
        <v>205.88</v>
      </c>
    </row>
    <row r="2031" spans="1:2" x14ac:dyDescent="0.2">
      <c r="A2031" s="2205" t="s">
        <v>9065</v>
      </c>
      <c r="B2031" s="2205">
        <v>0</v>
      </c>
    </row>
    <row r="2032" spans="1:2" x14ac:dyDescent="0.2">
      <c r="A2032" s="2205" t="s">
        <v>9066</v>
      </c>
      <c r="B2032" s="2205">
        <v>15369.5</v>
      </c>
    </row>
    <row r="2033" spans="1:2" x14ac:dyDescent="0.2">
      <c r="A2033" s="2205" t="s">
        <v>9067</v>
      </c>
      <c r="B2033" s="2205">
        <v>0</v>
      </c>
    </row>
    <row r="2034" spans="1:2" x14ac:dyDescent="0.2">
      <c r="A2034" s="2205" t="s">
        <v>9068</v>
      </c>
      <c r="B2034" s="2205">
        <v>6392.55</v>
      </c>
    </row>
    <row r="2035" spans="1:2" x14ac:dyDescent="0.2">
      <c r="A2035" s="2205" t="s">
        <v>9069</v>
      </c>
      <c r="B2035" s="2205">
        <v>420.42</v>
      </c>
    </row>
    <row r="2036" spans="1:2" x14ac:dyDescent="0.2">
      <c r="A2036" s="2205" t="s">
        <v>9070</v>
      </c>
      <c r="B2036" s="2205">
        <v>5016.68</v>
      </c>
    </row>
    <row r="2037" spans="1:2" x14ac:dyDescent="0.2">
      <c r="A2037" s="2205" t="s">
        <v>1009</v>
      </c>
      <c r="B2037" s="2205">
        <v>0</v>
      </c>
    </row>
    <row r="2038" spans="1:2" x14ac:dyDescent="0.2">
      <c r="A2038" s="2205" t="s">
        <v>9071</v>
      </c>
      <c r="B2038" s="2205">
        <v>0</v>
      </c>
    </row>
    <row r="2039" spans="1:2" x14ac:dyDescent="0.2">
      <c r="A2039" s="2205" t="s">
        <v>1450</v>
      </c>
      <c r="B2039" s="2205">
        <v>29554.18</v>
      </c>
    </row>
    <row r="2040" spans="1:2" x14ac:dyDescent="0.2">
      <c r="A2040" s="2205" t="s">
        <v>3387</v>
      </c>
      <c r="B2040" s="2205">
        <v>0</v>
      </c>
    </row>
    <row r="2041" spans="1:2" x14ac:dyDescent="0.2">
      <c r="A2041" s="2205" t="s">
        <v>6040</v>
      </c>
      <c r="B2041" s="2205">
        <v>2893.77</v>
      </c>
    </row>
    <row r="2042" spans="1:2" x14ac:dyDescent="0.2">
      <c r="A2042" s="2205" t="s">
        <v>6039</v>
      </c>
      <c r="B2042" s="2205">
        <v>0</v>
      </c>
    </row>
    <row r="2043" spans="1:2" x14ac:dyDescent="0.2">
      <c r="A2043" s="2205" t="s">
        <v>6038</v>
      </c>
      <c r="B2043" s="2205">
        <v>0</v>
      </c>
    </row>
    <row r="2044" spans="1:2" x14ac:dyDescent="0.2">
      <c r="A2044" s="2205" t="s">
        <v>9072</v>
      </c>
      <c r="B2044" s="2205">
        <v>1056.75</v>
      </c>
    </row>
    <row r="2045" spans="1:2" x14ac:dyDescent="0.2">
      <c r="A2045" s="2205" t="s">
        <v>5478</v>
      </c>
      <c r="B2045" s="2205">
        <v>34155.040000000001</v>
      </c>
    </row>
    <row r="2046" spans="1:2" x14ac:dyDescent="0.2">
      <c r="A2046" s="2205" t="s">
        <v>516</v>
      </c>
      <c r="B2046" s="2205">
        <v>24833.67</v>
      </c>
    </row>
    <row r="2047" spans="1:2" x14ac:dyDescent="0.2">
      <c r="A2047" s="2205" t="s">
        <v>332</v>
      </c>
      <c r="B2047" s="2205">
        <v>35728.14</v>
      </c>
    </row>
    <row r="2048" spans="1:2" x14ac:dyDescent="0.2">
      <c r="A2048" s="2205" t="s">
        <v>1201</v>
      </c>
      <c r="B2048" s="2205">
        <v>3805.87</v>
      </c>
    </row>
    <row r="2049" spans="1:2" x14ac:dyDescent="0.2">
      <c r="A2049" s="2205" t="s">
        <v>2031</v>
      </c>
      <c r="B2049" s="2205">
        <v>490881.45</v>
      </c>
    </row>
    <row r="2050" spans="1:2" x14ac:dyDescent="0.2">
      <c r="A2050" s="2205" t="s">
        <v>4070</v>
      </c>
      <c r="B2050" s="2205">
        <v>0</v>
      </c>
    </row>
    <row r="2051" spans="1:2" x14ac:dyDescent="0.2">
      <c r="A2051" s="2205" t="s">
        <v>6452</v>
      </c>
      <c r="B2051" s="2205">
        <v>34519.730000000003</v>
      </c>
    </row>
    <row r="2052" spans="1:2" x14ac:dyDescent="0.2">
      <c r="A2052" s="2205" t="s">
        <v>1719</v>
      </c>
      <c r="B2052" s="2205">
        <v>17262.75</v>
      </c>
    </row>
    <row r="2053" spans="1:2" x14ac:dyDescent="0.2">
      <c r="A2053" s="2205" t="s">
        <v>1951</v>
      </c>
      <c r="B2053" s="2205">
        <v>109.08</v>
      </c>
    </row>
    <row r="2054" spans="1:2" x14ac:dyDescent="0.2">
      <c r="A2054" s="2205" t="s">
        <v>6610</v>
      </c>
      <c r="B2054" s="2205">
        <v>1808.19</v>
      </c>
    </row>
    <row r="2055" spans="1:2" x14ac:dyDescent="0.2">
      <c r="A2055" s="2205" t="s">
        <v>6875</v>
      </c>
      <c r="B2055" s="2205">
        <v>16031.25</v>
      </c>
    </row>
    <row r="2056" spans="1:2" x14ac:dyDescent="0.2">
      <c r="A2056" s="2205" t="s">
        <v>2486</v>
      </c>
      <c r="B2056" s="2205">
        <v>0</v>
      </c>
    </row>
    <row r="2057" spans="1:2" x14ac:dyDescent="0.2">
      <c r="A2057" s="2205" t="s">
        <v>2562</v>
      </c>
      <c r="B2057" s="2205">
        <v>10346.700000000001</v>
      </c>
    </row>
    <row r="2058" spans="1:2" x14ac:dyDescent="0.2">
      <c r="A2058" s="2205" t="s">
        <v>9073</v>
      </c>
      <c r="B2058" s="2205">
        <v>0</v>
      </c>
    </row>
    <row r="2059" spans="1:2" x14ac:dyDescent="0.2">
      <c r="A2059" s="2205" t="s">
        <v>5379</v>
      </c>
      <c r="B2059" s="2205">
        <v>1100</v>
      </c>
    </row>
    <row r="2060" spans="1:2" x14ac:dyDescent="0.2">
      <c r="A2060" s="2205" t="s">
        <v>1518</v>
      </c>
      <c r="B2060" s="2205">
        <v>0</v>
      </c>
    </row>
    <row r="2061" spans="1:2" x14ac:dyDescent="0.2">
      <c r="A2061" s="2205" t="s">
        <v>1549</v>
      </c>
      <c r="B2061" s="2205">
        <v>599.23</v>
      </c>
    </row>
    <row r="2062" spans="1:2" x14ac:dyDescent="0.2">
      <c r="A2062" s="2205" t="s">
        <v>272</v>
      </c>
      <c r="B2062" s="2205">
        <v>967.38</v>
      </c>
    </row>
    <row r="2063" spans="1:2" x14ac:dyDescent="0.2">
      <c r="A2063" s="2205" t="s">
        <v>2045</v>
      </c>
      <c r="B2063" s="2205">
        <v>0</v>
      </c>
    </row>
    <row r="2064" spans="1:2" x14ac:dyDescent="0.2">
      <c r="A2064" s="2205" t="s">
        <v>1052</v>
      </c>
      <c r="B2064" s="2205">
        <v>1369.67</v>
      </c>
    </row>
    <row r="2065" spans="1:2" x14ac:dyDescent="0.2">
      <c r="A2065" s="2205" t="s">
        <v>2051</v>
      </c>
      <c r="B2065" s="2205">
        <v>15486.82</v>
      </c>
    </row>
    <row r="2066" spans="1:2" x14ac:dyDescent="0.2">
      <c r="A2066" s="2205" t="s">
        <v>9074</v>
      </c>
      <c r="B2066" s="2205">
        <v>4524.05</v>
      </c>
    </row>
    <row r="2067" spans="1:2" x14ac:dyDescent="0.2">
      <c r="A2067" s="2205" t="s">
        <v>5806</v>
      </c>
      <c r="B2067" s="2205">
        <v>3700.92</v>
      </c>
    </row>
    <row r="2068" spans="1:2" x14ac:dyDescent="0.2">
      <c r="A2068" s="2205" t="s">
        <v>2256</v>
      </c>
      <c r="B2068" s="2205">
        <v>7890.91</v>
      </c>
    </row>
    <row r="2069" spans="1:2" x14ac:dyDescent="0.2">
      <c r="A2069" s="2205" t="s">
        <v>2255</v>
      </c>
      <c r="B2069" s="2205">
        <v>0</v>
      </c>
    </row>
    <row r="2070" spans="1:2" x14ac:dyDescent="0.2">
      <c r="A2070" s="2205" t="s">
        <v>2351</v>
      </c>
      <c r="B2070" s="2205">
        <v>2904.45</v>
      </c>
    </row>
    <row r="2071" spans="1:2" x14ac:dyDescent="0.2">
      <c r="A2071" s="2205" t="s">
        <v>3380</v>
      </c>
      <c r="B2071" s="2205">
        <v>49026</v>
      </c>
    </row>
    <row r="2072" spans="1:2" x14ac:dyDescent="0.2">
      <c r="A2072" s="2205" t="s">
        <v>5375</v>
      </c>
      <c r="B2072" s="2205">
        <v>245.95</v>
      </c>
    </row>
    <row r="2073" spans="1:2" x14ac:dyDescent="0.2">
      <c r="A2073" s="2205" t="s">
        <v>9075</v>
      </c>
      <c r="B2073" s="2205">
        <v>60.67</v>
      </c>
    </row>
    <row r="2074" spans="1:2" x14ac:dyDescent="0.2">
      <c r="A2074" s="2205" t="s">
        <v>1556</v>
      </c>
      <c r="B2074" s="2205">
        <v>0</v>
      </c>
    </row>
    <row r="2075" spans="1:2" x14ac:dyDescent="0.2">
      <c r="A2075" s="2205" t="s">
        <v>9076</v>
      </c>
      <c r="B2075" s="2205">
        <v>22596.16</v>
      </c>
    </row>
    <row r="2076" spans="1:2" x14ac:dyDescent="0.2">
      <c r="A2076" s="2205" t="s">
        <v>9077</v>
      </c>
      <c r="B2076" s="2205">
        <v>24.53</v>
      </c>
    </row>
    <row r="2077" spans="1:2" x14ac:dyDescent="0.2">
      <c r="A2077" s="2205" t="s">
        <v>9078</v>
      </c>
      <c r="B2077" s="2205">
        <v>68.650000000000006</v>
      </c>
    </row>
    <row r="2078" spans="1:2" x14ac:dyDescent="0.2">
      <c r="A2078" s="2205" t="s">
        <v>9079</v>
      </c>
      <c r="B2078" s="2205">
        <v>1413.46</v>
      </c>
    </row>
    <row r="2079" spans="1:2" x14ac:dyDescent="0.2">
      <c r="A2079" s="2205" t="s">
        <v>9080</v>
      </c>
      <c r="B2079" s="2205">
        <v>13148.13</v>
      </c>
    </row>
    <row r="2080" spans="1:2" x14ac:dyDescent="0.2">
      <c r="A2080" s="2205" t="s">
        <v>3939</v>
      </c>
      <c r="B2080" s="2205">
        <v>4020</v>
      </c>
    </row>
    <row r="2081" spans="1:2" x14ac:dyDescent="0.2">
      <c r="A2081" s="2205" t="s">
        <v>9081</v>
      </c>
      <c r="B2081" s="2205">
        <v>2610</v>
      </c>
    </row>
    <row r="2082" spans="1:2" x14ac:dyDescent="0.2">
      <c r="A2082" s="2205" t="s">
        <v>1382</v>
      </c>
      <c r="B2082" s="2205">
        <v>0</v>
      </c>
    </row>
    <row r="2083" spans="1:2" x14ac:dyDescent="0.2">
      <c r="A2083" s="2205" t="s">
        <v>1381</v>
      </c>
      <c r="B2083" s="2205">
        <v>41124.639999999999</v>
      </c>
    </row>
    <row r="2084" spans="1:2" x14ac:dyDescent="0.2">
      <c r="A2084" s="2205" t="s">
        <v>44</v>
      </c>
      <c r="B2084" s="2205">
        <v>896.31</v>
      </c>
    </row>
    <row r="2085" spans="1:2" x14ac:dyDescent="0.2">
      <c r="A2085" s="2205" t="s">
        <v>424</v>
      </c>
      <c r="B2085" s="2205">
        <v>609.66</v>
      </c>
    </row>
    <row r="2086" spans="1:2" x14ac:dyDescent="0.2">
      <c r="A2086" s="2205" t="s">
        <v>7064</v>
      </c>
      <c r="B2086" s="2205">
        <v>4717.57</v>
      </c>
    </row>
    <row r="2087" spans="1:2" x14ac:dyDescent="0.2">
      <c r="A2087" s="2205" t="s">
        <v>9082</v>
      </c>
      <c r="B2087" s="2205">
        <v>0</v>
      </c>
    </row>
    <row r="2088" spans="1:2" x14ac:dyDescent="0.2">
      <c r="A2088" s="2205" t="s">
        <v>9083</v>
      </c>
      <c r="B2088" s="2205">
        <v>0</v>
      </c>
    </row>
    <row r="2089" spans="1:2" x14ac:dyDescent="0.2">
      <c r="A2089" s="2205" t="s">
        <v>9084</v>
      </c>
      <c r="B2089" s="2205">
        <v>0</v>
      </c>
    </row>
    <row r="2090" spans="1:2" x14ac:dyDescent="0.2">
      <c r="A2090" s="2205" t="s">
        <v>9085</v>
      </c>
      <c r="B2090" s="2205">
        <v>0</v>
      </c>
    </row>
    <row r="2091" spans="1:2" x14ac:dyDescent="0.2">
      <c r="A2091" s="2205" t="s">
        <v>9086</v>
      </c>
      <c r="B2091" s="2205">
        <v>3460</v>
      </c>
    </row>
    <row r="2092" spans="1:2" x14ac:dyDescent="0.2">
      <c r="A2092" s="2205" t="s">
        <v>9087</v>
      </c>
      <c r="B2092" s="2205">
        <v>0</v>
      </c>
    </row>
    <row r="2093" spans="1:2" x14ac:dyDescent="0.2">
      <c r="A2093" s="2205" t="s">
        <v>9088</v>
      </c>
      <c r="B2093" s="2205">
        <v>130</v>
      </c>
    </row>
    <row r="2094" spans="1:2" x14ac:dyDescent="0.2">
      <c r="A2094" s="2205" t="s">
        <v>9089</v>
      </c>
      <c r="B2094" s="2205">
        <v>0</v>
      </c>
    </row>
    <row r="2095" spans="1:2" x14ac:dyDescent="0.2">
      <c r="A2095" s="2205" t="s">
        <v>9090</v>
      </c>
      <c r="B2095" s="2205">
        <v>0</v>
      </c>
    </row>
    <row r="2096" spans="1:2" x14ac:dyDescent="0.2">
      <c r="A2096" s="2205" t="s">
        <v>9091</v>
      </c>
      <c r="B2096" s="2205">
        <v>3003.75</v>
      </c>
    </row>
    <row r="2097" spans="1:2" x14ac:dyDescent="0.2">
      <c r="A2097" s="2205" t="s">
        <v>9092</v>
      </c>
      <c r="B2097" s="2205">
        <v>0</v>
      </c>
    </row>
    <row r="2098" spans="1:2" x14ac:dyDescent="0.2">
      <c r="A2098" s="2205" t="s">
        <v>9093</v>
      </c>
      <c r="B2098" s="2205">
        <v>12499.8</v>
      </c>
    </row>
    <row r="2099" spans="1:2" x14ac:dyDescent="0.2">
      <c r="A2099" s="2205" t="s">
        <v>9094</v>
      </c>
      <c r="B2099" s="2205">
        <v>0</v>
      </c>
    </row>
    <row r="2100" spans="1:2" x14ac:dyDescent="0.2">
      <c r="A2100" s="2205" t="s">
        <v>6928</v>
      </c>
      <c r="B2100" s="2205">
        <v>0</v>
      </c>
    </row>
    <row r="2101" spans="1:2" x14ac:dyDescent="0.2">
      <c r="A2101" s="2205" t="s">
        <v>5477</v>
      </c>
      <c r="B2101" s="2205">
        <v>26348.7</v>
      </c>
    </row>
    <row r="2102" spans="1:2" x14ac:dyDescent="0.2">
      <c r="A2102" s="2205" t="s">
        <v>2070</v>
      </c>
      <c r="B2102" s="2205">
        <v>26648.79</v>
      </c>
    </row>
    <row r="2103" spans="1:2" x14ac:dyDescent="0.2">
      <c r="A2103" s="2205" t="s">
        <v>2698</v>
      </c>
      <c r="B2103" s="2205">
        <v>6597.5</v>
      </c>
    </row>
    <row r="2104" spans="1:2" x14ac:dyDescent="0.2">
      <c r="A2104" s="2205" t="s">
        <v>6428</v>
      </c>
      <c r="B2104" s="2205">
        <v>6993</v>
      </c>
    </row>
    <row r="2105" spans="1:2" x14ac:dyDescent="0.2">
      <c r="A2105" s="2205" t="s">
        <v>9095</v>
      </c>
      <c r="B2105" s="2205">
        <v>0</v>
      </c>
    </row>
    <row r="2106" spans="1:2" x14ac:dyDescent="0.2">
      <c r="A2106" s="2205" t="s">
        <v>9096</v>
      </c>
      <c r="B2106" s="2205">
        <v>4773.57</v>
      </c>
    </row>
    <row r="2107" spans="1:2" x14ac:dyDescent="0.2">
      <c r="A2107" s="2205" t="s">
        <v>9097</v>
      </c>
      <c r="B2107" s="2205">
        <v>0</v>
      </c>
    </row>
    <row r="2108" spans="1:2" x14ac:dyDescent="0.2">
      <c r="A2108" s="2205" t="s">
        <v>9098</v>
      </c>
      <c r="B2108" s="2205">
        <v>5681.15</v>
      </c>
    </row>
    <row r="2109" spans="1:2" x14ac:dyDescent="0.2">
      <c r="A2109" s="2205" t="s">
        <v>9099</v>
      </c>
      <c r="B2109" s="2205">
        <v>3649.88</v>
      </c>
    </row>
    <row r="2110" spans="1:2" x14ac:dyDescent="0.2">
      <c r="A2110" s="2205" t="s">
        <v>9100</v>
      </c>
      <c r="B2110" s="2205">
        <v>998.1</v>
      </c>
    </row>
    <row r="2111" spans="1:2" x14ac:dyDescent="0.2">
      <c r="A2111" s="2205" t="s">
        <v>9101</v>
      </c>
      <c r="B2111" s="2205">
        <v>1980.52</v>
      </c>
    </row>
    <row r="2112" spans="1:2" x14ac:dyDescent="0.2">
      <c r="A2112" s="2205" t="s">
        <v>1010</v>
      </c>
      <c r="B2112" s="2205">
        <v>0</v>
      </c>
    </row>
    <row r="2113" spans="1:2" x14ac:dyDescent="0.2">
      <c r="A2113" s="2205" t="s">
        <v>5475</v>
      </c>
      <c r="B2113" s="2205">
        <v>1000</v>
      </c>
    </row>
    <row r="2114" spans="1:2" x14ac:dyDescent="0.2">
      <c r="A2114" s="2205" t="s">
        <v>5532</v>
      </c>
      <c r="B2114" s="2205">
        <v>1600</v>
      </c>
    </row>
    <row r="2115" spans="1:2" x14ac:dyDescent="0.2">
      <c r="A2115" s="2205" t="s">
        <v>9102</v>
      </c>
      <c r="B2115" s="2205">
        <v>3000</v>
      </c>
    </row>
    <row r="2116" spans="1:2" x14ac:dyDescent="0.2">
      <c r="A2116" s="2205" t="s">
        <v>9103</v>
      </c>
      <c r="B2116" s="2205">
        <v>0</v>
      </c>
    </row>
    <row r="2117" spans="1:2" x14ac:dyDescent="0.2">
      <c r="A2117" s="2205" t="s">
        <v>9104</v>
      </c>
      <c r="B2117" s="2205">
        <v>37.909999999999997</v>
      </c>
    </row>
    <row r="2118" spans="1:2" x14ac:dyDescent="0.2">
      <c r="A2118" s="2205" t="s">
        <v>9105</v>
      </c>
      <c r="B2118" s="2205">
        <v>2639.06</v>
      </c>
    </row>
    <row r="2119" spans="1:2" x14ac:dyDescent="0.2">
      <c r="A2119" s="2205" t="s">
        <v>9106</v>
      </c>
      <c r="B2119" s="2205">
        <v>0</v>
      </c>
    </row>
    <row r="2120" spans="1:2" x14ac:dyDescent="0.2">
      <c r="A2120" s="2205" t="s">
        <v>9107</v>
      </c>
      <c r="B2120" s="2205">
        <v>819.19</v>
      </c>
    </row>
    <row r="2121" spans="1:2" x14ac:dyDescent="0.2">
      <c r="A2121" s="2205" t="s">
        <v>9108</v>
      </c>
      <c r="B2121" s="2205">
        <v>162.22</v>
      </c>
    </row>
    <row r="2122" spans="1:2" x14ac:dyDescent="0.2">
      <c r="A2122" s="2205" t="s">
        <v>9109</v>
      </c>
      <c r="B2122" s="2205">
        <v>6935</v>
      </c>
    </row>
    <row r="2123" spans="1:2" x14ac:dyDescent="0.2">
      <c r="A2123" s="2205" t="s">
        <v>9110</v>
      </c>
      <c r="B2123" s="2205">
        <v>2878.03</v>
      </c>
    </row>
    <row r="2124" spans="1:2" x14ac:dyDescent="0.2">
      <c r="A2124" s="2205" t="s">
        <v>9111</v>
      </c>
      <c r="B2124" s="2205">
        <v>850.12</v>
      </c>
    </row>
    <row r="2125" spans="1:2" x14ac:dyDescent="0.2">
      <c r="A2125" s="2205" t="s">
        <v>9112</v>
      </c>
      <c r="B2125" s="2205">
        <v>1893.14</v>
      </c>
    </row>
    <row r="2126" spans="1:2" x14ac:dyDescent="0.2">
      <c r="A2126" s="2205" t="s">
        <v>9113</v>
      </c>
      <c r="B2126" s="2205">
        <v>4540.08</v>
      </c>
    </row>
    <row r="2127" spans="1:2" x14ac:dyDescent="0.2">
      <c r="A2127" s="2205" t="s">
        <v>9114</v>
      </c>
      <c r="B2127" s="2205">
        <v>134.77000000000001</v>
      </c>
    </row>
    <row r="2128" spans="1:2" x14ac:dyDescent="0.2">
      <c r="A2128" s="2205" t="s">
        <v>9115</v>
      </c>
      <c r="B2128" s="2205">
        <v>3541.41</v>
      </c>
    </row>
    <row r="2129" spans="1:2" x14ac:dyDescent="0.2">
      <c r="A2129" s="2205" t="s">
        <v>1626</v>
      </c>
      <c r="B2129" s="2205">
        <v>231.74</v>
      </c>
    </row>
    <row r="2130" spans="1:2" x14ac:dyDescent="0.2">
      <c r="A2130" s="2205" t="s">
        <v>5473</v>
      </c>
      <c r="B2130" s="2205">
        <v>0</v>
      </c>
    </row>
    <row r="2131" spans="1:2" x14ac:dyDescent="0.2">
      <c r="A2131" s="2205" t="s">
        <v>6018</v>
      </c>
      <c r="B2131" s="2205">
        <v>0</v>
      </c>
    </row>
    <row r="2132" spans="1:2" x14ac:dyDescent="0.2">
      <c r="A2132" s="2205" t="s">
        <v>647</v>
      </c>
      <c r="B2132" s="2205">
        <v>0</v>
      </c>
    </row>
    <row r="2133" spans="1:2" x14ac:dyDescent="0.2">
      <c r="A2133" s="2205" t="s">
        <v>9116</v>
      </c>
      <c r="B2133" s="2205">
        <v>300</v>
      </c>
    </row>
    <row r="2134" spans="1:2" x14ac:dyDescent="0.2">
      <c r="A2134" s="2205" t="s">
        <v>6017</v>
      </c>
      <c r="B2134" s="2205">
        <v>90704.55</v>
      </c>
    </row>
    <row r="2135" spans="1:2" x14ac:dyDescent="0.2">
      <c r="A2135" s="2205" t="s">
        <v>6016</v>
      </c>
      <c r="B2135" s="2205">
        <v>61739.72</v>
      </c>
    </row>
    <row r="2136" spans="1:2" x14ac:dyDescent="0.2">
      <c r="A2136" s="2205" t="s">
        <v>9117</v>
      </c>
      <c r="B2136" s="2205">
        <v>4546.33</v>
      </c>
    </row>
    <row r="2137" spans="1:2" x14ac:dyDescent="0.2">
      <c r="A2137" s="2205" t="s">
        <v>9118</v>
      </c>
      <c r="B2137" s="2205">
        <v>2058.6999999999998</v>
      </c>
    </row>
    <row r="2138" spans="1:2" x14ac:dyDescent="0.2">
      <c r="A2138" s="2205" t="s">
        <v>9119</v>
      </c>
      <c r="B2138" s="2205">
        <v>16016.44</v>
      </c>
    </row>
    <row r="2139" spans="1:2" x14ac:dyDescent="0.2">
      <c r="A2139" s="2205" t="s">
        <v>9120</v>
      </c>
      <c r="B2139" s="2205">
        <v>9530.73</v>
      </c>
    </row>
    <row r="2140" spans="1:2" x14ac:dyDescent="0.2">
      <c r="A2140" s="2205" t="s">
        <v>9121</v>
      </c>
      <c r="B2140" s="2205">
        <v>4333.8900000000003</v>
      </c>
    </row>
    <row r="2141" spans="1:2" x14ac:dyDescent="0.2">
      <c r="A2141" s="2205" t="s">
        <v>9122</v>
      </c>
      <c r="B2141" s="2205">
        <v>11084.48</v>
      </c>
    </row>
    <row r="2142" spans="1:2" x14ac:dyDescent="0.2">
      <c r="A2142" s="2205" t="s">
        <v>6036</v>
      </c>
      <c r="B2142" s="2205">
        <v>16096.76</v>
      </c>
    </row>
    <row r="2143" spans="1:2" x14ac:dyDescent="0.2">
      <c r="A2143" s="2205" t="s">
        <v>9123</v>
      </c>
      <c r="B2143" s="2205">
        <v>260.14</v>
      </c>
    </row>
    <row r="2144" spans="1:2" x14ac:dyDescent="0.2">
      <c r="A2144" s="2205" t="s">
        <v>9124</v>
      </c>
      <c r="B2144" s="2205">
        <v>251.2</v>
      </c>
    </row>
    <row r="2145" spans="1:2" x14ac:dyDescent="0.2">
      <c r="A2145" s="2205" t="s">
        <v>385</v>
      </c>
      <c r="B2145" s="2205">
        <v>21741.98</v>
      </c>
    </row>
    <row r="2146" spans="1:2" x14ac:dyDescent="0.2">
      <c r="A2146" s="2205" t="s">
        <v>386</v>
      </c>
      <c r="B2146" s="2205">
        <v>10879.78</v>
      </c>
    </row>
    <row r="2147" spans="1:2" x14ac:dyDescent="0.2">
      <c r="A2147" s="2205" t="s">
        <v>9125</v>
      </c>
      <c r="B2147" s="2205">
        <v>712</v>
      </c>
    </row>
    <row r="2148" spans="1:2" x14ac:dyDescent="0.2">
      <c r="A2148" s="2205" t="s">
        <v>1146</v>
      </c>
      <c r="B2148" s="2205">
        <v>550.30999999999995</v>
      </c>
    </row>
    <row r="2149" spans="1:2" x14ac:dyDescent="0.2">
      <c r="A2149" s="2205" t="s">
        <v>1145</v>
      </c>
      <c r="B2149" s="2205">
        <v>234.55</v>
      </c>
    </row>
    <row r="2150" spans="1:2" x14ac:dyDescent="0.2">
      <c r="A2150" s="2205" t="s">
        <v>9126</v>
      </c>
      <c r="B2150" s="2205">
        <v>707.3</v>
      </c>
    </row>
    <row r="2151" spans="1:2" x14ac:dyDescent="0.2">
      <c r="A2151" s="2205" t="s">
        <v>9127</v>
      </c>
      <c r="B2151" s="2205">
        <v>14441.62</v>
      </c>
    </row>
    <row r="2152" spans="1:2" x14ac:dyDescent="0.2">
      <c r="A2152" s="2205" t="s">
        <v>9128</v>
      </c>
      <c r="B2152" s="2205">
        <v>1967.27</v>
      </c>
    </row>
    <row r="2153" spans="1:2" x14ac:dyDescent="0.2">
      <c r="A2153" s="2205" t="s">
        <v>9129</v>
      </c>
      <c r="B2153" s="2205">
        <v>7240.84</v>
      </c>
    </row>
    <row r="2154" spans="1:2" x14ac:dyDescent="0.2">
      <c r="A2154" s="2205" t="s">
        <v>9130</v>
      </c>
      <c r="B2154" s="2205">
        <v>6998.9</v>
      </c>
    </row>
    <row r="2155" spans="1:2" x14ac:dyDescent="0.2">
      <c r="A2155" s="2205" t="s">
        <v>9131</v>
      </c>
      <c r="B2155" s="2205">
        <v>1765.64</v>
      </c>
    </row>
    <row r="2156" spans="1:2" x14ac:dyDescent="0.2">
      <c r="A2156" s="2205" t="s">
        <v>2082</v>
      </c>
      <c r="B2156" s="2205">
        <v>4694.01</v>
      </c>
    </row>
    <row r="2157" spans="1:2" x14ac:dyDescent="0.2">
      <c r="A2157" s="2205" t="s">
        <v>4941</v>
      </c>
      <c r="B2157" s="2205">
        <v>5042.2</v>
      </c>
    </row>
    <row r="2158" spans="1:2" x14ac:dyDescent="0.2">
      <c r="A2158" s="2205" t="s">
        <v>6307</v>
      </c>
      <c r="B2158" s="2205">
        <v>4858.3599999999997</v>
      </c>
    </row>
    <row r="2159" spans="1:2" x14ac:dyDescent="0.2">
      <c r="A2159" s="2205" t="s">
        <v>6306</v>
      </c>
      <c r="B2159" s="2205">
        <v>4500.6899999999996</v>
      </c>
    </row>
    <row r="2160" spans="1:2" x14ac:dyDescent="0.2">
      <c r="A2160" s="2205" t="s">
        <v>9132</v>
      </c>
      <c r="B2160" s="2205">
        <v>65</v>
      </c>
    </row>
    <row r="2161" spans="1:2" x14ac:dyDescent="0.2">
      <c r="A2161" s="2205" t="s">
        <v>9133</v>
      </c>
      <c r="B2161" s="2205">
        <v>1105</v>
      </c>
    </row>
    <row r="2162" spans="1:2" x14ac:dyDescent="0.2">
      <c r="A2162" s="2205" t="s">
        <v>9134</v>
      </c>
      <c r="B2162" s="2205">
        <v>1039.0899999999999</v>
      </c>
    </row>
    <row r="2163" spans="1:2" x14ac:dyDescent="0.2">
      <c r="A2163" s="2205" t="s">
        <v>9135</v>
      </c>
      <c r="B2163" s="2205">
        <v>2285.7800000000002</v>
      </c>
    </row>
    <row r="2164" spans="1:2" x14ac:dyDescent="0.2">
      <c r="A2164" s="2205" t="s">
        <v>9136</v>
      </c>
      <c r="B2164" s="2205">
        <v>1170</v>
      </c>
    </row>
    <row r="2165" spans="1:2" x14ac:dyDescent="0.2">
      <c r="A2165" s="2205" t="s">
        <v>5403</v>
      </c>
      <c r="B2165" s="2205">
        <v>1282.6099999999999</v>
      </c>
    </row>
    <row r="2166" spans="1:2" x14ac:dyDescent="0.2">
      <c r="A2166" s="2205" t="s">
        <v>9137</v>
      </c>
      <c r="B2166" s="2205">
        <v>286.17</v>
      </c>
    </row>
    <row r="2167" spans="1:2" x14ac:dyDescent="0.2">
      <c r="A2167" s="2205" t="s">
        <v>1369</v>
      </c>
      <c r="B2167" s="2205">
        <v>2253.2199999999998</v>
      </c>
    </row>
    <row r="2168" spans="1:2" x14ac:dyDescent="0.2">
      <c r="A2168" s="2205" t="s">
        <v>9138</v>
      </c>
      <c r="B2168" s="2205">
        <v>1122.68</v>
      </c>
    </row>
    <row r="2169" spans="1:2" x14ac:dyDescent="0.2">
      <c r="A2169" s="2205" t="s">
        <v>1510</v>
      </c>
      <c r="B2169" s="2205">
        <v>2411.11</v>
      </c>
    </row>
    <row r="2170" spans="1:2" x14ac:dyDescent="0.2">
      <c r="A2170" s="2205" t="s">
        <v>1033</v>
      </c>
      <c r="B2170" s="2205">
        <v>0</v>
      </c>
    </row>
    <row r="2171" spans="1:2" x14ac:dyDescent="0.2">
      <c r="A2171" s="2205" t="s">
        <v>1892</v>
      </c>
      <c r="B2171" s="2205">
        <v>489.4</v>
      </c>
    </row>
    <row r="2172" spans="1:2" x14ac:dyDescent="0.2">
      <c r="A2172" s="2205" t="s">
        <v>1513</v>
      </c>
      <c r="B2172" s="2205">
        <v>7862.09</v>
      </c>
    </row>
    <row r="2173" spans="1:2" x14ac:dyDescent="0.2">
      <c r="A2173" s="2205" t="s">
        <v>1515</v>
      </c>
      <c r="B2173" s="2205">
        <v>6884.8</v>
      </c>
    </row>
    <row r="2174" spans="1:2" x14ac:dyDescent="0.2">
      <c r="A2174" s="2205" t="s">
        <v>1890</v>
      </c>
      <c r="B2174" s="2205">
        <v>6477.23</v>
      </c>
    </row>
    <row r="2175" spans="1:2" x14ac:dyDescent="0.2">
      <c r="A2175" s="2205" t="s">
        <v>1511</v>
      </c>
      <c r="B2175" s="2205">
        <v>148323.5</v>
      </c>
    </row>
    <row r="2176" spans="1:2" x14ac:dyDescent="0.2">
      <c r="A2176" s="2205" t="s">
        <v>1891</v>
      </c>
      <c r="B2176" s="2205">
        <v>9418.58</v>
      </c>
    </row>
    <row r="2177" spans="1:2" x14ac:dyDescent="0.2">
      <c r="A2177" s="2205" t="s">
        <v>31</v>
      </c>
      <c r="B2177" s="2205">
        <v>8499.5</v>
      </c>
    </row>
    <row r="2178" spans="1:2" x14ac:dyDescent="0.2">
      <c r="A2178" s="2205" t="s">
        <v>799</v>
      </c>
      <c r="B2178" s="2205">
        <v>1582.25</v>
      </c>
    </row>
    <row r="2179" spans="1:2" x14ac:dyDescent="0.2">
      <c r="A2179" s="2205" t="s">
        <v>1304</v>
      </c>
      <c r="B2179" s="2205">
        <v>29698.38</v>
      </c>
    </row>
    <row r="2180" spans="1:2" x14ac:dyDescent="0.2">
      <c r="A2180" s="2205" t="s">
        <v>1018</v>
      </c>
      <c r="B2180" s="2205">
        <v>111121.3</v>
      </c>
    </row>
    <row r="2181" spans="1:2" x14ac:dyDescent="0.2">
      <c r="A2181" s="2205" t="s">
        <v>114</v>
      </c>
      <c r="B2181" s="2205">
        <v>29457.37</v>
      </c>
    </row>
    <row r="2182" spans="1:2" x14ac:dyDescent="0.2">
      <c r="A2182" s="2205" t="s">
        <v>115</v>
      </c>
      <c r="B2182" s="2205">
        <v>105363.65</v>
      </c>
    </row>
    <row r="2183" spans="1:2" x14ac:dyDescent="0.2">
      <c r="A2183" s="2205" t="s">
        <v>446</v>
      </c>
      <c r="B2183" s="2205">
        <v>78.58</v>
      </c>
    </row>
    <row r="2184" spans="1:2" x14ac:dyDescent="0.2">
      <c r="A2184" s="2205" t="s">
        <v>30</v>
      </c>
      <c r="B2184" s="2205">
        <v>7261.36</v>
      </c>
    </row>
    <row r="2185" spans="1:2" x14ac:dyDescent="0.2">
      <c r="A2185" s="2205" t="s">
        <v>2550</v>
      </c>
      <c r="B2185" s="2205">
        <v>18113.98</v>
      </c>
    </row>
    <row r="2186" spans="1:2" x14ac:dyDescent="0.2">
      <c r="A2186" s="2205" t="s">
        <v>1023</v>
      </c>
      <c r="B2186" s="2205">
        <v>8581.84</v>
      </c>
    </row>
    <row r="2187" spans="1:2" x14ac:dyDescent="0.2">
      <c r="A2187" s="2205" t="s">
        <v>1019</v>
      </c>
      <c r="B2187" s="2205">
        <v>1051762.71</v>
      </c>
    </row>
    <row r="2188" spans="1:2" x14ac:dyDescent="0.2">
      <c r="A2188" s="2205" t="s">
        <v>1276</v>
      </c>
      <c r="B2188" s="2205">
        <v>294448.67</v>
      </c>
    </row>
    <row r="2189" spans="1:2" x14ac:dyDescent="0.2">
      <c r="A2189" s="2205" t="s">
        <v>1368</v>
      </c>
      <c r="B2189" s="2205">
        <v>28669.99</v>
      </c>
    </row>
    <row r="2190" spans="1:2" x14ac:dyDescent="0.2">
      <c r="A2190" s="2205" t="s">
        <v>2235</v>
      </c>
      <c r="B2190" s="2205">
        <v>23867.25</v>
      </c>
    </row>
    <row r="2191" spans="1:2" x14ac:dyDescent="0.2">
      <c r="A2191" s="2205" t="s">
        <v>2233</v>
      </c>
      <c r="B2191" s="2205">
        <v>18423.099999999999</v>
      </c>
    </row>
    <row r="2192" spans="1:2" x14ac:dyDescent="0.2">
      <c r="A2192" s="2205" t="s">
        <v>985</v>
      </c>
      <c r="B2192" s="2205">
        <v>23941.98</v>
      </c>
    </row>
    <row r="2193" spans="1:2" x14ac:dyDescent="0.2">
      <c r="A2193" s="2205" t="s">
        <v>982</v>
      </c>
      <c r="B2193" s="2205">
        <v>0</v>
      </c>
    </row>
    <row r="2194" spans="1:2" x14ac:dyDescent="0.2">
      <c r="A2194" s="2205" t="s">
        <v>981</v>
      </c>
      <c r="B2194" s="2205">
        <v>93.27</v>
      </c>
    </row>
    <row r="2195" spans="1:2" x14ac:dyDescent="0.2">
      <c r="A2195" s="2205" t="s">
        <v>7245</v>
      </c>
      <c r="B2195" s="2205">
        <v>270204.34999999998</v>
      </c>
    </row>
    <row r="2196" spans="1:2" x14ac:dyDescent="0.2">
      <c r="A2196" s="2205" t="s">
        <v>1022</v>
      </c>
      <c r="B2196" s="2205">
        <v>9702.69</v>
      </c>
    </row>
    <row r="2197" spans="1:2" x14ac:dyDescent="0.2">
      <c r="A2197" s="2205" t="s">
        <v>2875</v>
      </c>
      <c r="B2197" s="2205">
        <v>22319.17</v>
      </c>
    </row>
    <row r="2198" spans="1:2" x14ac:dyDescent="0.2">
      <c r="A2198" s="2205" t="s">
        <v>2874</v>
      </c>
      <c r="B2198" s="2205">
        <v>329.78</v>
      </c>
    </row>
    <row r="2199" spans="1:2" x14ac:dyDescent="0.2">
      <c r="A2199" s="2205" t="s">
        <v>979</v>
      </c>
      <c r="B2199" s="2205">
        <v>5175.8599999999997</v>
      </c>
    </row>
    <row r="2200" spans="1:2" x14ac:dyDescent="0.2">
      <c r="A2200" s="2205" t="s">
        <v>980</v>
      </c>
      <c r="B2200" s="2205">
        <v>22599.72</v>
      </c>
    </row>
    <row r="2201" spans="1:2" x14ac:dyDescent="0.2">
      <c r="A2201" s="2205" t="s">
        <v>6851</v>
      </c>
      <c r="B2201" s="2205">
        <v>2415.92</v>
      </c>
    </row>
    <row r="2202" spans="1:2" x14ac:dyDescent="0.2">
      <c r="A2202" s="2205" t="s">
        <v>1421</v>
      </c>
      <c r="B2202" s="2205">
        <v>359.69</v>
      </c>
    </row>
    <row r="2203" spans="1:2" x14ac:dyDescent="0.2">
      <c r="A2203" s="2205" t="s">
        <v>366</v>
      </c>
      <c r="B2203" s="2205">
        <v>31517.88</v>
      </c>
    </row>
    <row r="2204" spans="1:2" x14ac:dyDescent="0.2">
      <c r="A2204" s="2205" t="s">
        <v>6443</v>
      </c>
      <c r="B2204" s="2205">
        <v>854.09</v>
      </c>
    </row>
    <row r="2205" spans="1:2" x14ac:dyDescent="0.2">
      <c r="A2205" s="2205" t="s">
        <v>1551</v>
      </c>
      <c r="B2205" s="2205">
        <v>18262.080000000002</v>
      </c>
    </row>
    <row r="2206" spans="1:2" x14ac:dyDescent="0.2">
      <c r="A2206" s="2205" t="s">
        <v>365</v>
      </c>
      <c r="B2206" s="2205">
        <v>6766.98</v>
      </c>
    </row>
    <row r="2207" spans="1:2" x14ac:dyDescent="0.2">
      <c r="A2207" s="2205" t="s">
        <v>1673</v>
      </c>
      <c r="B2207" s="2205">
        <v>2942.73</v>
      </c>
    </row>
    <row r="2208" spans="1:2" x14ac:dyDescent="0.2">
      <c r="A2208" s="2205" t="s">
        <v>3204</v>
      </c>
      <c r="B2208" s="2205">
        <v>2344.25</v>
      </c>
    </row>
    <row r="2209" spans="1:2" x14ac:dyDescent="0.2">
      <c r="A2209" s="2205" t="s">
        <v>23</v>
      </c>
      <c r="B2209" s="2205">
        <v>1797.72</v>
      </c>
    </row>
    <row r="2210" spans="1:2" x14ac:dyDescent="0.2">
      <c r="A2210" s="2205" t="s">
        <v>6441</v>
      </c>
      <c r="B2210" s="2205">
        <v>21255.57</v>
      </c>
    </row>
    <row r="2211" spans="1:2" x14ac:dyDescent="0.2">
      <c r="A2211" s="2205" t="s">
        <v>383</v>
      </c>
      <c r="B2211" s="2205">
        <v>8820.26</v>
      </c>
    </row>
    <row r="2212" spans="1:2" x14ac:dyDescent="0.2">
      <c r="A2212" s="2205" t="s">
        <v>382</v>
      </c>
      <c r="B2212" s="2205">
        <v>12.8</v>
      </c>
    </row>
    <row r="2213" spans="1:2" x14ac:dyDescent="0.2">
      <c r="A2213" s="2205" t="s">
        <v>6445</v>
      </c>
      <c r="B2213" s="2205">
        <v>76173.490000000005</v>
      </c>
    </row>
    <row r="2214" spans="1:2" x14ac:dyDescent="0.2">
      <c r="A2214" s="2205" t="s">
        <v>2122</v>
      </c>
      <c r="B2214" s="2205">
        <v>14903.48</v>
      </c>
    </row>
    <row r="2215" spans="1:2" x14ac:dyDescent="0.2">
      <c r="A2215" s="2205" t="s">
        <v>2490</v>
      </c>
      <c r="B2215" s="2205">
        <v>0</v>
      </c>
    </row>
    <row r="2216" spans="1:2" x14ac:dyDescent="0.2">
      <c r="A2216" s="2205" t="s">
        <v>25</v>
      </c>
      <c r="B2216" s="2205">
        <v>2162.71</v>
      </c>
    </row>
    <row r="2217" spans="1:2" x14ac:dyDescent="0.2">
      <c r="A2217" s="2205" t="s">
        <v>26</v>
      </c>
      <c r="B2217" s="2205">
        <v>10114.64</v>
      </c>
    </row>
    <row r="2218" spans="1:2" x14ac:dyDescent="0.2">
      <c r="A2218" s="2205" t="s">
        <v>1853</v>
      </c>
      <c r="B2218" s="2205">
        <v>17399.5</v>
      </c>
    </row>
    <row r="2219" spans="1:2" x14ac:dyDescent="0.2">
      <c r="A2219" s="2205" t="s">
        <v>3208</v>
      </c>
      <c r="B2219" s="2205">
        <v>1590.05</v>
      </c>
    </row>
    <row r="2220" spans="1:2" x14ac:dyDescent="0.2">
      <c r="A2220" s="2205" t="s">
        <v>2267</v>
      </c>
      <c r="B2220" s="2205">
        <v>8031.34</v>
      </c>
    </row>
    <row r="2221" spans="1:2" x14ac:dyDescent="0.2">
      <c r="A2221" s="2205" t="s">
        <v>9139</v>
      </c>
      <c r="B2221" s="2205">
        <v>0</v>
      </c>
    </row>
    <row r="2222" spans="1:2" x14ac:dyDescent="0.2">
      <c r="A2222" s="2205" t="s">
        <v>9140</v>
      </c>
      <c r="B2222" s="2205">
        <v>0</v>
      </c>
    </row>
    <row r="2223" spans="1:2" x14ac:dyDescent="0.2">
      <c r="A2223" s="2205" t="s">
        <v>95</v>
      </c>
      <c r="B2223" s="2205">
        <v>21134.54</v>
      </c>
    </row>
    <row r="2224" spans="1:2" x14ac:dyDescent="0.2">
      <c r="A2224" s="2205" t="s">
        <v>1652</v>
      </c>
      <c r="B2224" s="2205">
        <v>3854.05</v>
      </c>
    </row>
    <row r="2225" spans="1:2" x14ac:dyDescent="0.2">
      <c r="A2225" s="2205" t="s">
        <v>2266</v>
      </c>
      <c r="B2225" s="2205">
        <v>503.78</v>
      </c>
    </row>
    <row r="2226" spans="1:2" x14ac:dyDescent="0.2">
      <c r="A2226" s="2205" t="s">
        <v>1880</v>
      </c>
      <c r="B2226" s="2205">
        <v>77500</v>
      </c>
    </row>
    <row r="2227" spans="1:2" x14ac:dyDescent="0.2">
      <c r="A2227" s="2205" t="s">
        <v>94</v>
      </c>
      <c r="B2227" s="2205">
        <v>58614.28</v>
      </c>
    </row>
    <row r="2228" spans="1:2" x14ac:dyDescent="0.2">
      <c r="A2228" s="2205" t="s">
        <v>5472</v>
      </c>
      <c r="B2228" s="2205">
        <v>26919.56</v>
      </c>
    </row>
    <row r="2229" spans="1:2" x14ac:dyDescent="0.2">
      <c r="A2229" s="2205" t="s">
        <v>6892</v>
      </c>
      <c r="B2229" s="2205">
        <v>12987</v>
      </c>
    </row>
    <row r="2230" spans="1:2" x14ac:dyDescent="0.2">
      <c r="A2230" s="2205" t="s">
        <v>9141</v>
      </c>
      <c r="B2230" s="2205">
        <v>56.72</v>
      </c>
    </row>
    <row r="2231" spans="1:2" x14ac:dyDescent="0.2">
      <c r="A2231" s="2205" t="s">
        <v>6453</v>
      </c>
      <c r="B2231" s="2205">
        <v>16453.72</v>
      </c>
    </row>
    <row r="2232" spans="1:2" x14ac:dyDescent="0.2">
      <c r="A2232" s="2205" t="s">
        <v>2711</v>
      </c>
      <c r="B2232" s="2205">
        <v>0</v>
      </c>
    </row>
    <row r="2233" spans="1:2" x14ac:dyDescent="0.2">
      <c r="A2233" s="2205" t="s">
        <v>663</v>
      </c>
      <c r="B2233" s="2205">
        <v>5886500</v>
      </c>
    </row>
    <row r="2234" spans="1:2" x14ac:dyDescent="0.2">
      <c r="A2234" s="2205" t="s">
        <v>6270</v>
      </c>
      <c r="B2234" s="2205">
        <v>0</v>
      </c>
    </row>
    <row r="2235" spans="1:2" x14ac:dyDescent="0.2">
      <c r="A2235" s="2205" t="s">
        <v>6269</v>
      </c>
      <c r="B2235" s="2205">
        <v>0</v>
      </c>
    </row>
    <row r="2236" spans="1:2" x14ac:dyDescent="0.2">
      <c r="A2236" s="2205" t="s">
        <v>2079</v>
      </c>
      <c r="B2236" s="2205">
        <v>537.17999999999995</v>
      </c>
    </row>
    <row r="2237" spans="1:2" x14ac:dyDescent="0.2">
      <c r="A2237" s="2205" t="s">
        <v>2077</v>
      </c>
      <c r="B2237" s="2205">
        <v>0</v>
      </c>
    </row>
    <row r="2238" spans="1:2" x14ac:dyDescent="0.2">
      <c r="A2238" s="2205" t="s">
        <v>9142</v>
      </c>
      <c r="B2238" s="2205">
        <v>654.48</v>
      </c>
    </row>
    <row r="2239" spans="1:2" x14ac:dyDescent="0.2">
      <c r="A2239" s="2205" t="s">
        <v>9143</v>
      </c>
      <c r="B2239" s="2205">
        <v>130.49</v>
      </c>
    </row>
    <row r="2240" spans="1:2" x14ac:dyDescent="0.2">
      <c r="A2240" s="2205" t="s">
        <v>9144</v>
      </c>
      <c r="B2240" s="2205">
        <v>863.45</v>
      </c>
    </row>
    <row r="2241" spans="1:2" x14ac:dyDescent="0.2">
      <c r="A2241" s="2205" t="s">
        <v>9145</v>
      </c>
      <c r="B2241" s="2205">
        <v>1807.14</v>
      </c>
    </row>
    <row r="2242" spans="1:2" x14ac:dyDescent="0.2">
      <c r="A2242" s="2205" t="s">
        <v>5402</v>
      </c>
      <c r="B2242" s="2205">
        <v>617.07000000000005</v>
      </c>
    </row>
    <row r="2243" spans="1:2" x14ac:dyDescent="0.2">
      <c r="A2243" s="2205" t="s">
        <v>3282</v>
      </c>
      <c r="B2243" s="2205">
        <v>11075.94</v>
      </c>
    </row>
    <row r="2244" spans="1:2" x14ac:dyDescent="0.2">
      <c r="A2244" s="2205" t="s">
        <v>9146</v>
      </c>
      <c r="B2244" s="2205">
        <v>0</v>
      </c>
    </row>
    <row r="2245" spans="1:2" x14ac:dyDescent="0.2">
      <c r="A2245" s="2205" t="s">
        <v>6271</v>
      </c>
      <c r="B2245" s="2205">
        <v>0</v>
      </c>
    </row>
    <row r="2246" spans="1:2" x14ac:dyDescent="0.2">
      <c r="A2246" s="2205" t="s">
        <v>9147</v>
      </c>
      <c r="B2246" s="2205">
        <v>572.28</v>
      </c>
    </row>
    <row r="2247" spans="1:2" x14ac:dyDescent="0.2">
      <c r="A2247" s="2205" t="s">
        <v>9148</v>
      </c>
      <c r="B2247" s="2205">
        <v>64.260000000000005</v>
      </c>
    </row>
    <row r="2248" spans="1:2" x14ac:dyDescent="0.2">
      <c r="A2248" s="2205" t="s">
        <v>9149</v>
      </c>
      <c r="B2248" s="2205">
        <v>699.8</v>
      </c>
    </row>
    <row r="2249" spans="1:2" x14ac:dyDescent="0.2">
      <c r="A2249" s="2205" t="s">
        <v>9150</v>
      </c>
      <c r="B2249" s="2205">
        <v>0</v>
      </c>
    </row>
    <row r="2250" spans="1:2" x14ac:dyDescent="0.2">
      <c r="A2250" s="2205" t="s">
        <v>9151</v>
      </c>
      <c r="B2250" s="2205">
        <v>0</v>
      </c>
    </row>
    <row r="2251" spans="1:2" x14ac:dyDescent="0.2">
      <c r="A2251" s="2205" t="s">
        <v>9152</v>
      </c>
      <c r="B2251" s="2205">
        <v>0</v>
      </c>
    </row>
    <row r="2252" spans="1:2" x14ac:dyDescent="0.2">
      <c r="A2252" s="2205" t="s">
        <v>9153</v>
      </c>
      <c r="B2252" s="2205">
        <v>15009.46</v>
      </c>
    </row>
    <row r="2253" spans="1:2" x14ac:dyDescent="0.2">
      <c r="A2253" s="2205" t="s">
        <v>9154</v>
      </c>
      <c r="B2253" s="2205">
        <v>2491.15</v>
      </c>
    </row>
    <row r="2254" spans="1:2" x14ac:dyDescent="0.2">
      <c r="A2254" s="2205" t="s">
        <v>9155</v>
      </c>
      <c r="B2254" s="2205">
        <v>92.14</v>
      </c>
    </row>
    <row r="2255" spans="1:2" x14ac:dyDescent="0.2">
      <c r="A2255" s="2205" t="s">
        <v>9156</v>
      </c>
      <c r="B2255" s="2205">
        <v>26447.5</v>
      </c>
    </row>
    <row r="2256" spans="1:2" x14ac:dyDescent="0.2">
      <c r="A2256" s="2205" t="s">
        <v>9157</v>
      </c>
      <c r="B2256" s="2205">
        <v>10704.72</v>
      </c>
    </row>
    <row r="2257" spans="1:2" x14ac:dyDescent="0.2">
      <c r="A2257" s="2205" t="s">
        <v>9158</v>
      </c>
      <c r="B2257" s="2205">
        <v>6164.86</v>
      </c>
    </row>
    <row r="2258" spans="1:2" x14ac:dyDescent="0.2">
      <c r="A2258" s="2205" t="s">
        <v>9159</v>
      </c>
      <c r="B2258" s="2205">
        <v>6072.45</v>
      </c>
    </row>
    <row r="2259" spans="1:2" x14ac:dyDescent="0.2">
      <c r="A2259" s="2205" t="s">
        <v>9160</v>
      </c>
      <c r="B2259" s="2205">
        <v>29376.62</v>
      </c>
    </row>
    <row r="2260" spans="1:2" x14ac:dyDescent="0.2">
      <c r="A2260" s="2205" t="s">
        <v>9161</v>
      </c>
      <c r="B2260" s="2205">
        <v>44989.59</v>
      </c>
    </row>
    <row r="2261" spans="1:2" x14ac:dyDescent="0.2">
      <c r="A2261" s="2205" t="s">
        <v>9162</v>
      </c>
      <c r="B2261" s="2205">
        <v>16465.189999999999</v>
      </c>
    </row>
    <row r="2262" spans="1:2" x14ac:dyDescent="0.2">
      <c r="A2262" s="2205" t="s">
        <v>9163</v>
      </c>
      <c r="B2262" s="2205">
        <v>50311.519999999997</v>
      </c>
    </row>
    <row r="2263" spans="1:2" x14ac:dyDescent="0.2">
      <c r="A2263" s="2205" t="s">
        <v>9164</v>
      </c>
      <c r="B2263" s="2205">
        <v>572.28</v>
      </c>
    </row>
    <row r="2264" spans="1:2" x14ac:dyDescent="0.2">
      <c r="A2264" s="2205" t="s">
        <v>9165</v>
      </c>
      <c r="B2264" s="2205">
        <v>12.72</v>
      </c>
    </row>
    <row r="2265" spans="1:2" x14ac:dyDescent="0.2">
      <c r="A2265" s="2205" t="s">
        <v>9166</v>
      </c>
      <c r="B2265" s="2205">
        <v>152.82</v>
      </c>
    </row>
    <row r="2266" spans="1:2" x14ac:dyDescent="0.2">
      <c r="A2266" s="2205" t="s">
        <v>9167</v>
      </c>
      <c r="B2266" s="2205">
        <v>300</v>
      </c>
    </row>
    <row r="2267" spans="1:2" x14ac:dyDescent="0.2">
      <c r="A2267" s="2205" t="s">
        <v>7028</v>
      </c>
      <c r="B2267" s="2205">
        <v>5702.66</v>
      </c>
    </row>
    <row r="2268" spans="1:2" x14ac:dyDescent="0.2">
      <c r="A2268" s="2205" t="s">
        <v>9168</v>
      </c>
      <c r="B2268" s="2205">
        <v>98.28</v>
      </c>
    </row>
    <row r="2269" spans="1:2" x14ac:dyDescent="0.2">
      <c r="A2269" s="2205" t="s">
        <v>1435</v>
      </c>
      <c r="B2269" s="2205">
        <v>249192.44</v>
      </c>
    </row>
    <row r="2270" spans="1:2" x14ac:dyDescent="0.2">
      <c r="A2270" s="2205" t="s">
        <v>2673</v>
      </c>
      <c r="B2270" s="2205">
        <v>1728.4</v>
      </c>
    </row>
    <row r="2271" spans="1:2" x14ac:dyDescent="0.2">
      <c r="A2271" s="2205" t="s">
        <v>1434</v>
      </c>
      <c r="B2271" s="2205">
        <v>2878.95</v>
      </c>
    </row>
    <row r="2272" spans="1:2" x14ac:dyDescent="0.2">
      <c r="A2272" s="2205" t="s">
        <v>9169</v>
      </c>
      <c r="B2272" s="2205">
        <v>1790.45</v>
      </c>
    </row>
    <row r="2273" spans="1:2" x14ac:dyDescent="0.2">
      <c r="A2273" s="2205" t="s">
        <v>9170</v>
      </c>
      <c r="B2273" s="2205">
        <v>10000</v>
      </c>
    </row>
    <row r="2274" spans="1:2" x14ac:dyDescent="0.2">
      <c r="A2274" s="2205" t="s">
        <v>9171</v>
      </c>
      <c r="B2274" s="2205">
        <v>6000</v>
      </c>
    </row>
    <row r="2275" spans="1:2" x14ac:dyDescent="0.2">
      <c r="A2275" s="2205" t="s">
        <v>9172</v>
      </c>
      <c r="B2275" s="2205">
        <v>12265.05</v>
      </c>
    </row>
    <row r="2276" spans="1:2" x14ac:dyDescent="0.2">
      <c r="A2276" s="2205" t="s">
        <v>9173</v>
      </c>
      <c r="B2276" s="2205">
        <v>690</v>
      </c>
    </row>
    <row r="2277" spans="1:2" x14ac:dyDescent="0.2">
      <c r="A2277" s="2205" t="s">
        <v>9174</v>
      </c>
      <c r="B2277" s="2205">
        <v>178.62</v>
      </c>
    </row>
    <row r="2278" spans="1:2" x14ac:dyDescent="0.2">
      <c r="A2278" s="2205" t="s">
        <v>9175</v>
      </c>
      <c r="B2278" s="2205">
        <v>140.86000000000001</v>
      </c>
    </row>
    <row r="2279" spans="1:2" x14ac:dyDescent="0.2">
      <c r="A2279" s="2205" t="s">
        <v>9176</v>
      </c>
      <c r="B2279" s="2205">
        <v>1106.53</v>
      </c>
    </row>
    <row r="2280" spans="1:2" x14ac:dyDescent="0.2">
      <c r="A2280" s="2205" t="s">
        <v>9177</v>
      </c>
      <c r="B2280" s="2205">
        <v>419.18</v>
      </c>
    </row>
    <row r="2281" spans="1:2" x14ac:dyDescent="0.2">
      <c r="A2281" s="2205" t="s">
        <v>9178</v>
      </c>
      <c r="B2281" s="2205">
        <v>278.52999999999997</v>
      </c>
    </row>
    <row r="2282" spans="1:2" x14ac:dyDescent="0.2">
      <c r="A2282" s="2205" t="s">
        <v>9179</v>
      </c>
      <c r="B2282" s="2205">
        <v>581.9</v>
      </c>
    </row>
    <row r="2283" spans="1:2" x14ac:dyDescent="0.2">
      <c r="A2283" s="2205" t="s">
        <v>9180</v>
      </c>
      <c r="B2283" s="2205">
        <v>9061.5</v>
      </c>
    </row>
    <row r="2284" spans="1:2" x14ac:dyDescent="0.2">
      <c r="A2284" s="2205" t="s">
        <v>9181</v>
      </c>
      <c r="B2284" s="2205">
        <v>4337.59</v>
      </c>
    </row>
    <row r="2285" spans="1:2" x14ac:dyDescent="0.2">
      <c r="A2285" s="2205" t="s">
        <v>9182</v>
      </c>
      <c r="B2285" s="2205">
        <v>3774.35</v>
      </c>
    </row>
    <row r="2286" spans="1:2" x14ac:dyDescent="0.2">
      <c r="A2286" s="2205" t="s">
        <v>9183</v>
      </c>
      <c r="B2286" s="2205">
        <v>-101.86</v>
      </c>
    </row>
    <row r="2287" spans="1:2" x14ac:dyDescent="0.2">
      <c r="A2287" s="2205" t="s">
        <v>9184</v>
      </c>
      <c r="B2287" s="2205">
        <v>0</v>
      </c>
    </row>
    <row r="2288" spans="1:2" x14ac:dyDescent="0.2">
      <c r="A2288" s="2205" t="s">
        <v>9185</v>
      </c>
      <c r="B2288" s="2205">
        <v>7385.56</v>
      </c>
    </row>
    <row r="2289" spans="1:2" x14ac:dyDescent="0.2">
      <c r="A2289" s="2205" t="s">
        <v>9186</v>
      </c>
      <c r="B2289" s="2205">
        <v>4648.97</v>
      </c>
    </row>
    <row r="2290" spans="1:2" x14ac:dyDescent="0.2">
      <c r="A2290" s="2205" t="s">
        <v>9187</v>
      </c>
      <c r="B2290" s="2205">
        <v>3272.64</v>
      </c>
    </row>
    <row r="2291" spans="1:2" x14ac:dyDescent="0.2">
      <c r="A2291" s="2205" t="s">
        <v>1697</v>
      </c>
      <c r="B2291" s="2205">
        <v>4887.24</v>
      </c>
    </row>
    <row r="2292" spans="1:2" x14ac:dyDescent="0.2">
      <c r="A2292" s="2205" t="s">
        <v>9188</v>
      </c>
      <c r="B2292" s="2205">
        <v>6834</v>
      </c>
    </row>
    <row r="2293" spans="1:2" x14ac:dyDescent="0.2">
      <c r="A2293" s="2205" t="s">
        <v>1960</v>
      </c>
      <c r="B2293" s="2205">
        <v>31994.99</v>
      </c>
    </row>
    <row r="2294" spans="1:2" x14ac:dyDescent="0.2">
      <c r="A2294" s="2205" t="s">
        <v>2198</v>
      </c>
      <c r="B2294" s="2205">
        <v>6103.06</v>
      </c>
    </row>
    <row r="2295" spans="1:2" x14ac:dyDescent="0.2">
      <c r="A2295" s="2205" t="s">
        <v>9189</v>
      </c>
      <c r="B2295" s="2205">
        <v>98.27</v>
      </c>
    </row>
    <row r="2296" spans="1:2" x14ac:dyDescent="0.2">
      <c r="A2296" s="2205" t="s">
        <v>9190</v>
      </c>
      <c r="B2296" s="2205">
        <v>54.55</v>
      </c>
    </row>
    <row r="2297" spans="1:2" x14ac:dyDescent="0.2">
      <c r="A2297" s="2205" t="s">
        <v>9191</v>
      </c>
      <c r="B2297" s="2205">
        <v>1079.18</v>
      </c>
    </row>
    <row r="2298" spans="1:2" x14ac:dyDescent="0.2">
      <c r="A2298" s="2205" t="s">
        <v>9192</v>
      </c>
      <c r="B2298" s="2205">
        <v>98.27</v>
      </c>
    </row>
    <row r="2299" spans="1:2" x14ac:dyDescent="0.2">
      <c r="A2299" s="2205" t="s">
        <v>1405</v>
      </c>
      <c r="B2299" s="2205">
        <v>6067.62</v>
      </c>
    </row>
    <row r="2300" spans="1:2" x14ac:dyDescent="0.2">
      <c r="A2300" s="2205" t="s">
        <v>9193</v>
      </c>
      <c r="B2300" s="2205">
        <v>0</v>
      </c>
    </row>
    <row r="2301" spans="1:2" x14ac:dyDescent="0.2">
      <c r="A2301" s="2205" t="s">
        <v>6398</v>
      </c>
      <c r="B2301" s="2205">
        <v>3310.62</v>
      </c>
    </row>
    <row r="2302" spans="1:2" x14ac:dyDescent="0.2">
      <c r="A2302" s="2205" t="s">
        <v>9194</v>
      </c>
      <c r="B2302" s="2205">
        <v>1052.31</v>
      </c>
    </row>
    <row r="2303" spans="1:2" x14ac:dyDescent="0.2">
      <c r="A2303" s="2205" t="s">
        <v>2803</v>
      </c>
      <c r="B2303" s="2205">
        <v>4900</v>
      </c>
    </row>
    <row r="2304" spans="1:2" x14ac:dyDescent="0.2">
      <c r="A2304" s="2205" t="s">
        <v>2805</v>
      </c>
      <c r="B2304" s="2205">
        <v>20536.419999999998</v>
      </c>
    </row>
    <row r="2305" spans="1:2" x14ac:dyDescent="0.2">
      <c r="A2305" s="2205" t="s">
        <v>2806</v>
      </c>
      <c r="B2305" s="2205">
        <v>219656.84</v>
      </c>
    </row>
    <row r="2306" spans="1:2" x14ac:dyDescent="0.2">
      <c r="A2306" s="2205" t="s">
        <v>9195</v>
      </c>
      <c r="B2306" s="2205">
        <v>40019.61</v>
      </c>
    </row>
    <row r="2307" spans="1:2" x14ac:dyDescent="0.2">
      <c r="A2307" s="2205" t="s">
        <v>6886</v>
      </c>
      <c r="B2307" s="2205">
        <v>0</v>
      </c>
    </row>
    <row r="2308" spans="1:2" x14ac:dyDescent="0.2">
      <c r="A2308" s="2205" t="s">
        <v>625</v>
      </c>
      <c r="B2308" s="2205">
        <v>16499.5</v>
      </c>
    </row>
    <row r="2309" spans="1:2" x14ac:dyDescent="0.2">
      <c r="A2309" s="2205" t="s">
        <v>2801</v>
      </c>
      <c r="B2309" s="2205">
        <v>66037.279999999999</v>
      </c>
    </row>
    <row r="2310" spans="1:2" x14ac:dyDescent="0.2">
      <c r="A2310" s="2205" t="s">
        <v>2400</v>
      </c>
      <c r="B2310" s="2205">
        <v>129788.24</v>
      </c>
    </row>
    <row r="2311" spans="1:2" x14ac:dyDescent="0.2">
      <c r="A2311" s="2205" t="s">
        <v>628</v>
      </c>
      <c r="B2311" s="2205">
        <v>2137.08</v>
      </c>
    </row>
    <row r="2312" spans="1:2" x14ac:dyDescent="0.2">
      <c r="A2312" s="2205" t="s">
        <v>626</v>
      </c>
      <c r="B2312" s="2205">
        <v>23560.62</v>
      </c>
    </row>
    <row r="2313" spans="1:2" x14ac:dyDescent="0.2">
      <c r="A2313" s="2205" t="s">
        <v>2655</v>
      </c>
      <c r="B2313" s="2205">
        <v>5909.92</v>
      </c>
    </row>
    <row r="2314" spans="1:2" x14ac:dyDescent="0.2">
      <c r="A2314" s="2205" t="s">
        <v>118</v>
      </c>
      <c r="B2314" s="2205">
        <v>4755.8900000000003</v>
      </c>
    </row>
    <row r="2315" spans="1:2" x14ac:dyDescent="0.2">
      <c r="A2315" s="2205" t="s">
        <v>989</v>
      </c>
      <c r="B2315" s="2205">
        <v>23808.76</v>
      </c>
    </row>
    <row r="2316" spans="1:2" x14ac:dyDescent="0.2">
      <c r="A2316" s="2205" t="s">
        <v>9196</v>
      </c>
      <c r="B2316" s="2205">
        <v>33297.949999999997</v>
      </c>
    </row>
    <row r="2317" spans="1:2" x14ac:dyDescent="0.2">
      <c r="A2317" s="2205" t="s">
        <v>868</v>
      </c>
      <c r="B2317" s="2205">
        <v>14230.72</v>
      </c>
    </row>
    <row r="2318" spans="1:2" x14ac:dyDescent="0.2">
      <c r="A2318" s="2205" t="s">
        <v>9197</v>
      </c>
      <c r="B2318" s="2205">
        <v>22091.42</v>
      </c>
    </row>
    <row r="2319" spans="1:2" x14ac:dyDescent="0.2">
      <c r="A2319" s="2205" t="s">
        <v>9198</v>
      </c>
      <c r="B2319" s="2205">
        <v>2210</v>
      </c>
    </row>
    <row r="2320" spans="1:2" x14ac:dyDescent="0.2">
      <c r="A2320" s="2205" t="s">
        <v>6882</v>
      </c>
      <c r="B2320" s="2205">
        <v>19073</v>
      </c>
    </row>
    <row r="2321" spans="1:2" x14ac:dyDescent="0.2">
      <c r="A2321" s="2205" t="s">
        <v>9199</v>
      </c>
      <c r="B2321" s="2205">
        <v>-742737</v>
      </c>
    </row>
    <row r="2322" spans="1:2" x14ac:dyDescent="0.2">
      <c r="A2322" s="2205" t="s">
        <v>5470</v>
      </c>
      <c r="B2322" s="2205">
        <v>5450</v>
      </c>
    </row>
    <row r="2323" spans="1:2" x14ac:dyDescent="0.2">
      <c r="A2323" s="2205" t="s">
        <v>1817</v>
      </c>
      <c r="B2323" s="2205">
        <v>0</v>
      </c>
    </row>
    <row r="2324" spans="1:2" x14ac:dyDescent="0.2">
      <c r="A2324" s="2205" t="s">
        <v>1819</v>
      </c>
      <c r="B2324" s="2205">
        <v>5884.47</v>
      </c>
    </row>
    <row r="2325" spans="1:2" x14ac:dyDescent="0.2">
      <c r="A2325" s="2205" t="s">
        <v>2555</v>
      </c>
      <c r="B2325" s="2205">
        <v>7603.5</v>
      </c>
    </row>
    <row r="2326" spans="1:2" x14ac:dyDescent="0.2">
      <c r="A2326" s="2205" t="s">
        <v>2554</v>
      </c>
      <c r="B2326" s="2205">
        <v>4341.7</v>
      </c>
    </row>
    <row r="2327" spans="1:2" x14ac:dyDescent="0.2">
      <c r="A2327" s="2205" t="s">
        <v>2556</v>
      </c>
      <c r="B2327" s="2205">
        <v>22991.56</v>
      </c>
    </row>
    <row r="2328" spans="1:2" x14ac:dyDescent="0.2">
      <c r="A2328" s="2205" t="s">
        <v>1830</v>
      </c>
      <c r="B2328" s="2205">
        <v>58629.07</v>
      </c>
    </row>
    <row r="2329" spans="1:2" x14ac:dyDescent="0.2">
      <c r="A2329" s="2205" t="s">
        <v>1832</v>
      </c>
      <c r="B2329" s="2205">
        <v>0</v>
      </c>
    </row>
    <row r="2330" spans="1:2" x14ac:dyDescent="0.2">
      <c r="A2330" s="2205" t="s">
        <v>9200</v>
      </c>
      <c r="B2330" s="2205">
        <v>441689</v>
      </c>
    </row>
    <row r="2331" spans="1:2" x14ac:dyDescent="0.2">
      <c r="A2331" s="2205" t="s">
        <v>1828</v>
      </c>
      <c r="B2331" s="2205">
        <v>828.48</v>
      </c>
    </row>
    <row r="2332" spans="1:2" x14ac:dyDescent="0.2">
      <c r="A2332" s="2205" t="s">
        <v>108</v>
      </c>
      <c r="B2332" s="2205">
        <v>37777.050000000003</v>
      </c>
    </row>
    <row r="2333" spans="1:2" x14ac:dyDescent="0.2">
      <c r="A2333" s="2205" t="s">
        <v>9201</v>
      </c>
      <c r="B2333" s="2205">
        <v>0</v>
      </c>
    </row>
    <row r="2334" spans="1:2" x14ac:dyDescent="0.2">
      <c r="A2334" s="2205" t="s">
        <v>9202</v>
      </c>
      <c r="B2334" s="2205">
        <v>1437.08</v>
      </c>
    </row>
    <row r="2335" spans="1:2" x14ac:dyDescent="0.2">
      <c r="A2335" s="2205" t="s">
        <v>9203</v>
      </c>
      <c r="B2335" s="2205">
        <v>34.5</v>
      </c>
    </row>
    <row r="2336" spans="1:2" x14ac:dyDescent="0.2">
      <c r="A2336" s="2205" t="s">
        <v>9204</v>
      </c>
      <c r="B2336" s="2205">
        <v>69</v>
      </c>
    </row>
    <row r="2337" spans="1:2" x14ac:dyDescent="0.2">
      <c r="A2337" s="2205" t="s">
        <v>2446</v>
      </c>
      <c r="B2337" s="2205">
        <v>0</v>
      </c>
    </row>
    <row r="2338" spans="1:2" x14ac:dyDescent="0.2">
      <c r="A2338" s="2205" t="s">
        <v>1835</v>
      </c>
      <c r="B2338" s="2205">
        <v>6069.81</v>
      </c>
    </row>
    <row r="2339" spans="1:2" x14ac:dyDescent="0.2">
      <c r="A2339" s="2205" t="s">
        <v>1834</v>
      </c>
      <c r="B2339" s="2205">
        <v>13443.07</v>
      </c>
    </row>
    <row r="2340" spans="1:2" x14ac:dyDescent="0.2">
      <c r="A2340" s="2205" t="s">
        <v>9205</v>
      </c>
      <c r="B2340" s="2205">
        <v>12273.74</v>
      </c>
    </row>
    <row r="2341" spans="1:2" x14ac:dyDescent="0.2">
      <c r="A2341" s="2205" t="s">
        <v>2599</v>
      </c>
      <c r="B2341" s="2205">
        <v>795.29</v>
      </c>
    </row>
    <row r="2342" spans="1:2" x14ac:dyDescent="0.2">
      <c r="A2342" s="2205" t="s">
        <v>15</v>
      </c>
      <c r="B2342" s="2205">
        <v>19480</v>
      </c>
    </row>
    <row r="2343" spans="1:2" x14ac:dyDescent="0.2">
      <c r="A2343" s="2205" t="s">
        <v>3476</v>
      </c>
      <c r="B2343" s="2205">
        <v>21070</v>
      </c>
    </row>
    <row r="2344" spans="1:2" x14ac:dyDescent="0.2">
      <c r="A2344" s="2205" t="s">
        <v>3475</v>
      </c>
      <c r="B2344" s="2205">
        <v>8250</v>
      </c>
    </row>
    <row r="2345" spans="1:2" x14ac:dyDescent="0.2">
      <c r="A2345" s="2205" t="s">
        <v>9206</v>
      </c>
      <c r="B2345" s="2205">
        <v>0</v>
      </c>
    </row>
    <row r="2346" spans="1:2" x14ac:dyDescent="0.2">
      <c r="A2346" s="2205" t="s">
        <v>1162</v>
      </c>
      <c r="B2346" s="2205">
        <v>395.47</v>
      </c>
    </row>
    <row r="2347" spans="1:2" x14ac:dyDescent="0.2">
      <c r="A2347" s="2205" t="s">
        <v>1753</v>
      </c>
      <c r="B2347" s="2205">
        <v>2325.2800000000002</v>
      </c>
    </row>
    <row r="2348" spans="1:2" x14ac:dyDescent="0.2">
      <c r="A2348" s="2205" t="s">
        <v>1754</v>
      </c>
      <c r="B2348" s="2205">
        <v>1581.13</v>
      </c>
    </row>
    <row r="2349" spans="1:2" x14ac:dyDescent="0.2">
      <c r="A2349" s="2205" t="s">
        <v>2549</v>
      </c>
      <c r="B2349" s="2205">
        <v>3170.79</v>
      </c>
    </row>
    <row r="2350" spans="1:2" x14ac:dyDescent="0.2">
      <c r="A2350" s="2205" t="s">
        <v>3936</v>
      </c>
      <c r="B2350" s="2205">
        <v>0</v>
      </c>
    </row>
    <row r="2351" spans="1:2" x14ac:dyDescent="0.2">
      <c r="A2351" s="2205" t="s">
        <v>29</v>
      </c>
      <c r="B2351" s="2205">
        <v>147709.15</v>
      </c>
    </row>
    <row r="2352" spans="1:2" x14ac:dyDescent="0.2">
      <c r="A2352" s="2205" t="s">
        <v>9207</v>
      </c>
      <c r="B2352" s="2205">
        <v>1099.27</v>
      </c>
    </row>
    <row r="2353" spans="1:2" x14ac:dyDescent="0.2">
      <c r="A2353" s="2205" t="s">
        <v>1129</v>
      </c>
      <c r="B2353" s="2205">
        <v>6350.78</v>
      </c>
    </row>
    <row r="2354" spans="1:2" x14ac:dyDescent="0.2">
      <c r="A2354" s="2205" t="s">
        <v>4436</v>
      </c>
      <c r="B2354" s="2205">
        <v>2336.48</v>
      </c>
    </row>
    <row r="2355" spans="1:2" x14ac:dyDescent="0.2">
      <c r="A2355" s="2205" t="s">
        <v>5823</v>
      </c>
      <c r="B2355" s="2205">
        <v>4760</v>
      </c>
    </row>
    <row r="2356" spans="1:2" x14ac:dyDescent="0.2">
      <c r="A2356" s="2205" t="s">
        <v>9208</v>
      </c>
      <c r="B2356" s="2205">
        <v>38215.449999999997</v>
      </c>
    </row>
    <row r="2357" spans="1:2" x14ac:dyDescent="0.2">
      <c r="A2357" s="2205" t="s">
        <v>9209</v>
      </c>
      <c r="B2357" s="2205">
        <v>49031.09</v>
      </c>
    </row>
    <row r="2358" spans="1:2" x14ac:dyDescent="0.2">
      <c r="A2358" s="2205" t="s">
        <v>1011</v>
      </c>
      <c r="B2358" s="2205">
        <v>0</v>
      </c>
    </row>
    <row r="2359" spans="1:2" x14ac:dyDescent="0.2">
      <c r="A2359" s="2205" t="s">
        <v>9210</v>
      </c>
      <c r="B2359" s="2205">
        <v>0</v>
      </c>
    </row>
    <row r="2360" spans="1:2" x14ac:dyDescent="0.2">
      <c r="A2360" s="2205" t="s">
        <v>9211</v>
      </c>
      <c r="B2360" s="2205">
        <v>8621.9</v>
      </c>
    </row>
    <row r="2361" spans="1:2" x14ac:dyDescent="0.2">
      <c r="A2361" s="2205" t="s">
        <v>9212</v>
      </c>
      <c r="B2361" s="2205">
        <v>47.43</v>
      </c>
    </row>
    <row r="2362" spans="1:2" x14ac:dyDescent="0.2">
      <c r="A2362" s="2205" t="s">
        <v>9213</v>
      </c>
      <c r="B2362" s="2205">
        <v>3104.91</v>
      </c>
    </row>
    <row r="2363" spans="1:2" x14ac:dyDescent="0.2">
      <c r="A2363" s="2205" t="s">
        <v>96</v>
      </c>
      <c r="B2363" s="2205">
        <v>3383.29</v>
      </c>
    </row>
    <row r="2364" spans="1:2" x14ac:dyDescent="0.2">
      <c r="A2364" s="2205" t="s">
        <v>9214</v>
      </c>
      <c r="B2364" s="2205">
        <v>13909.62</v>
      </c>
    </row>
    <row r="2365" spans="1:2" x14ac:dyDescent="0.2">
      <c r="A2365" s="2205" t="s">
        <v>1207</v>
      </c>
      <c r="B2365" s="2205">
        <v>0</v>
      </c>
    </row>
    <row r="2366" spans="1:2" x14ac:dyDescent="0.2">
      <c r="A2366" s="2205" t="s">
        <v>1206</v>
      </c>
      <c r="B2366" s="2205">
        <v>150030.63</v>
      </c>
    </row>
    <row r="2367" spans="1:2" x14ac:dyDescent="0.2">
      <c r="A2367" s="2205" t="s">
        <v>1205</v>
      </c>
      <c r="B2367" s="2205">
        <v>166.56</v>
      </c>
    </row>
    <row r="2368" spans="1:2" x14ac:dyDescent="0.2">
      <c r="A2368" s="2205" t="s">
        <v>1204</v>
      </c>
      <c r="B2368" s="2205">
        <v>0</v>
      </c>
    </row>
    <row r="2369" spans="1:2" x14ac:dyDescent="0.2">
      <c r="A2369" s="2205" t="s">
        <v>1203</v>
      </c>
      <c r="B2369" s="2205">
        <v>862.49</v>
      </c>
    </row>
    <row r="2370" spans="1:2" x14ac:dyDescent="0.2">
      <c r="A2370" s="2205" t="s">
        <v>1202</v>
      </c>
      <c r="B2370" s="2205">
        <v>5161</v>
      </c>
    </row>
    <row r="2371" spans="1:2" x14ac:dyDescent="0.2">
      <c r="A2371" s="2205" t="s">
        <v>1862</v>
      </c>
      <c r="B2371" s="2205">
        <v>658.62</v>
      </c>
    </row>
    <row r="2372" spans="1:2" x14ac:dyDescent="0.2">
      <c r="A2372" s="2205" t="s">
        <v>2030</v>
      </c>
      <c r="B2372" s="2205">
        <v>6586.05</v>
      </c>
    </row>
    <row r="2373" spans="1:2" x14ac:dyDescent="0.2">
      <c r="A2373" s="2205" t="s">
        <v>6451</v>
      </c>
      <c r="B2373" s="2205">
        <v>5000</v>
      </c>
    </row>
    <row r="2374" spans="1:2" x14ac:dyDescent="0.2">
      <c r="A2374" s="2205" t="s">
        <v>4069</v>
      </c>
      <c r="B2374" s="2205">
        <v>0</v>
      </c>
    </row>
    <row r="2375" spans="1:2" x14ac:dyDescent="0.2">
      <c r="A2375" s="2205" t="s">
        <v>3385</v>
      </c>
      <c r="B2375" s="2205">
        <v>7264.08</v>
      </c>
    </row>
    <row r="2376" spans="1:2" x14ac:dyDescent="0.2">
      <c r="A2376" s="2205" t="s">
        <v>1208</v>
      </c>
      <c r="B2376" s="2205">
        <v>2468.04</v>
      </c>
    </row>
    <row r="2377" spans="1:2" x14ac:dyDescent="0.2">
      <c r="A2377" s="2205" t="s">
        <v>4068</v>
      </c>
      <c r="B2377" s="2205">
        <v>0</v>
      </c>
    </row>
    <row r="2378" spans="1:2" x14ac:dyDescent="0.2">
      <c r="A2378" s="2205" t="s">
        <v>1032</v>
      </c>
      <c r="B2378" s="2205">
        <v>28231.62</v>
      </c>
    </row>
    <row r="2379" spans="1:2" x14ac:dyDescent="0.2">
      <c r="A2379" s="2205" t="s">
        <v>113</v>
      </c>
      <c r="B2379" s="2205">
        <v>2840.47</v>
      </c>
    </row>
    <row r="2380" spans="1:2" x14ac:dyDescent="0.2">
      <c r="A2380" s="2205" t="s">
        <v>1476</v>
      </c>
      <c r="B2380" s="2205">
        <v>0</v>
      </c>
    </row>
    <row r="2381" spans="1:2" x14ac:dyDescent="0.2">
      <c r="A2381" s="2205" t="s">
        <v>699</v>
      </c>
      <c r="B2381" s="2205">
        <v>141839.62</v>
      </c>
    </row>
    <row r="2382" spans="1:2" x14ac:dyDescent="0.2">
      <c r="A2382" s="2205" t="s">
        <v>902</v>
      </c>
      <c r="B2382" s="2205">
        <v>71.73</v>
      </c>
    </row>
    <row r="2383" spans="1:2" x14ac:dyDescent="0.2">
      <c r="A2383" s="2205" t="s">
        <v>576</v>
      </c>
      <c r="B2383" s="2205">
        <v>167.9</v>
      </c>
    </row>
    <row r="2384" spans="1:2" x14ac:dyDescent="0.2">
      <c r="A2384" s="2205" t="s">
        <v>355</v>
      </c>
      <c r="B2384" s="2205">
        <v>17569.150000000001</v>
      </c>
    </row>
    <row r="2385" spans="1:2" x14ac:dyDescent="0.2">
      <c r="A2385" s="2205" t="s">
        <v>356</v>
      </c>
      <c r="B2385" s="2205">
        <v>37217.370000000003</v>
      </c>
    </row>
    <row r="2386" spans="1:2" x14ac:dyDescent="0.2">
      <c r="A2386" s="2205" t="s">
        <v>79</v>
      </c>
      <c r="B2386" s="2205">
        <v>4677.04</v>
      </c>
    </row>
    <row r="2387" spans="1:2" x14ac:dyDescent="0.2">
      <c r="A2387" s="2205" t="s">
        <v>5201</v>
      </c>
      <c r="B2387" s="2205">
        <v>393.98</v>
      </c>
    </row>
    <row r="2388" spans="1:2" x14ac:dyDescent="0.2">
      <c r="A2388" s="2205" t="s">
        <v>643</v>
      </c>
      <c r="B2388" s="2205">
        <v>111.68</v>
      </c>
    </row>
    <row r="2389" spans="1:2" x14ac:dyDescent="0.2">
      <c r="A2389" s="2205" t="s">
        <v>3220</v>
      </c>
      <c r="B2389" s="2205">
        <v>2880</v>
      </c>
    </row>
    <row r="2390" spans="1:2" x14ac:dyDescent="0.2">
      <c r="A2390" s="2205" t="s">
        <v>4</v>
      </c>
      <c r="B2390" s="2205">
        <v>165912.07</v>
      </c>
    </row>
    <row r="2391" spans="1:2" x14ac:dyDescent="0.2">
      <c r="A2391" s="2205" t="s">
        <v>6876</v>
      </c>
      <c r="B2391" s="2205">
        <v>16999</v>
      </c>
    </row>
    <row r="2392" spans="1:2" x14ac:dyDescent="0.2">
      <c r="A2392" s="2205" t="s">
        <v>1053</v>
      </c>
      <c r="B2392" s="2205">
        <v>20694.75</v>
      </c>
    </row>
    <row r="2393" spans="1:2" x14ac:dyDescent="0.2">
      <c r="A2393" s="2205" t="s">
        <v>3219</v>
      </c>
      <c r="B2393" s="2205">
        <v>10614.5</v>
      </c>
    </row>
    <row r="2394" spans="1:2" x14ac:dyDescent="0.2">
      <c r="A2394" s="2205" t="s">
        <v>6674</v>
      </c>
      <c r="B2394" s="2205">
        <v>0</v>
      </c>
    </row>
    <row r="2395" spans="1:2" x14ac:dyDescent="0.2">
      <c r="A2395" s="2205" t="s">
        <v>2640</v>
      </c>
      <c r="B2395" s="2205">
        <v>1834</v>
      </c>
    </row>
    <row r="2396" spans="1:2" x14ac:dyDescent="0.2">
      <c r="A2396" s="2205" t="s">
        <v>1371</v>
      </c>
      <c r="B2396" s="2205">
        <v>46822.57</v>
      </c>
    </row>
    <row r="2397" spans="1:2" x14ac:dyDescent="0.2">
      <c r="A2397" s="2205" t="s">
        <v>5</v>
      </c>
      <c r="B2397" s="2205">
        <v>39457.129999999997</v>
      </c>
    </row>
    <row r="2398" spans="1:2" x14ac:dyDescent="0.2">
      <c r="A2398" s="2205" t="s">
        <v>1418</v>
      </c>
      <c r="B2398" s="2205">
        <v>14271.66</v>
      </c>
    </row>
    <row r="2399" spans="1:2" x14ac:dyDescent="0.2">
      <c r="A2399" s="2205" t="s">
        <v>517</v>
      </c>
      <c r="B2399" s="2205">
        <v>8939.7800000000007</v>
      </c>
    </row>
    <row r="2400" spans="1:2" x14ac:dyDescent="0.2">
      <c r="A2400" s="2205" t="s">
        <v>1751</v>
      </c>
      <c r="B2400" s="2205">
        <v>800.01</v>
      </c>
    </row>
    <row r="2401" spans="1:2" x14ac:dyDescent="0.2">
      <c r="A2401" s="2205" t="s">
        <v>4736</v>
      </c>
      <c r="B2401" s="2205">
        <v>5486.36</v>
      </c>
    </row>
    <row r="2402" spans="1:2" x14ac:dyDescent="0.2">
      <c r="A2402" s="2205" t="s">
        <v>1750</v>
      </c>
      <c r="B2402" s="2205">
        <v>0</v>
      </c>
    </row>
    <row r="2403" spans="1:2" x14ac:dyDescent="0.2">
      <c r="A2403" s="2205" t="s">
        <v>75</v>
      </c>
      <c r="B2403" s="2205">
        <v>3510</v>
      </c>
    </row>
    <row r="2404" spans="1:2" x14ac:dyDescent="0.2">
      <c r="A2404" s="2205" t="s">
        <v>1720</v>
      </c>
      <c r="B2404" s="2205">
        <v>3092.72</v>
      </c>
    </row>
    <row r="2405" spans="1:2" x14ac:dyDescent="0.2">
      <c r="A2405" s="2205" t="s">
        <v>438</v>
      </c>
      <c r="B2405" s="2205">
        <v>0</v>
      </c>
    </row>
    <row r="2406" spans="1:2" x14ac:dyDescent="0.2">
      <c r="A2406" s="2205" t="s">
        <v>1718</v>
      </c>
      <c r="B2406" s="2205">
        <v>-10307.049999999999</v>
      </c>
    </row>
    <row r="2407" spans="1:2" x14ac:dyDescent="0.2">
      <c r="A2407" s="2205" t="s">
        <v>1606</v>
      </c>
      <c r="B2407" s="2205">
        <v>5619.36</v>
      </c>
    </row>
    <row r="2408" spans="1:2" x14ac:dyDescent="0.2">
      <c r="A2408" s="2205" t="s">
        <v>914</v>
      </c>
      <c r="B2408" s="2205">
        <v>0</v>
      </c>
    </row>
    <row r="2409" spans="1:2" x14ac:dyDescent="0.2">
      <c r="A2409" s="2205" t="s">
        <v>925</v>
      </c>
      <c r="B2409" s="2205">
        <v>2589.4899999999998</v>
      </c>
    </row>
    <row r="2410" spans="1:2" x14ac:dyDescent="0.2">
      <c r="A2410" s="2205" t="s">
        <v>2574</v>
      </c>
      <c r="B2410" s="2205">
        <v>14999.12</v>
      </c>
    </row>
    <row r="2411" spans="1:2" x14ac:dyDescent="0.2">
      <c r="A2411" s="2205" t="s">
        <v>2570</v>
      </c>
      <c r="B2411" s="2205">
        <v>5487.36</v>
      </c>
    </row>
    <row r="2412" spans="1:2" x14ac:dyDescent="0.2">
      <c r="A2412" s="2205" t="s">
        <v>2569</v>
      </c>
      <c r="B2412" s="2205">
        <v>5673.16</v>
      </c>
    </row>
    <row r="2413" spans="1:2" x14ac:dyDescent="0.2">
      <c r="A2413" s="2205" t="s">
        <v>6670</v>
      </c>
      <c r="B2413" s="2205">
        <v>80821.75</v>
      </c>
    </row>
    <row r="2414" spans="1:2" x14ac:dyDescent="0.2">
      <c r="A2414" s="2205" t="s">
        <v>917</v>
      </c>
      <c r="B2414" s="2205">
        <v>3803.02</v>
      </c>
    </row>
    <row r="2415" spans="1:2" x14ac:dyDescent="0.2">
      <c r="A2415" s="2205" t="s">
        <v>915</v>
      </c>
      <c r="B2415" s="2205">
        <v>5059.57</v>
      </c>
    </row>
    <row r="2416" spans="1:2" x14ac:dyDescent="0.2">
      <c r="A2416" s="2205" t="s">
        <v>9215</v>
      </c>
      <c r="B2416" s="2205">
        <v>118.07</v>
      </c>
    </row>
    <row r="2417" spans="1:2" x14ac:dyDescent="0.2">
      <c r="A2417" s="2205" t="s">
        <v>685</v>
      </c>
      <c r="B2417" s="2205">
        <v>195</v>
      </c>
    </row>
    <row r="2418" spans="1:2" x14ac:dyDescent="0.2">
      <c r="A2418" s="2205" t="s">
        <v>3091</v>
      </c>
      <c r="B2418" s="2205">
        <v>868542.55</v>
      </c>
    </row>
    <row r="2419" spans="1:2" x14ac:dyDescent="0.2">
      <c r="A2419" s="2205" t="s">
        <v>2420</v>
      </c>
      <c r="B2419" s="2205">
        <v>0</v>
      </c>
    </row>
    <row r="2420" spans="1:2" x14ac:dyDescent="0.2">
      <c r="A2420" s="2205" t="s">
        <v>2604</v>
      </c>
      <c r="B2420" s="2205">
        <v>8118.44</v>
      </c>
    </row>
    <row r="2421" spans="1:2" x14ac:dyDescent="0.2">
      <c r="A2421" s="2205" t="s">
        <v>2603</v>
      </c>
      <c r="B2421" s="2205">
        <v>0</v>
      </c>
    </row>
    <row r="2422" spans="1:2" x14ac:dyDescent="0.2">
      <c r="A2422" s="2205" t="s">
        <v>2602</v>
      </c>
      <c r="B2422" s="2205">
        <v>0</v>
      </c>
    </row>
    <row r="2423" spans="1:2" x14ac:dyDescent="0.2">
      <c r="A2423" s="2205" t="s">
        <v>2601</v>
      </c>
      <c r="B2423" s="2205">
        <v>0</v>
      </c>
    </row>
    <row r="2424" spans="1:2" x14ac:dyDescent="0.2">
      <c r="A2424" s="2205" t="s">
        <v>2600</v>
      </c>
      <c r="B2424" s="2205">
        <v>336.73</v>
      </c>
    </row>
    <row r="2425" spans="1:2" x14ac:dyDescent="0.2">
      <c r="A2425" s="2205" t="s">
        <v>333</v>
      </c>
      <c r="B2425" s="2205">
        <v>3518.73</v>
      </c>
    </row>
    <row r="2426" spans="1:2" x14ac:dyDescent="0.2">
      <c r="A2426" s="2205" t="s">
        <v>5784</v>
      </c>
      <c r="B2426" s="2205">
        <v>105933.4</v>
      </c>
    </row>
    <row r="2427" spans="1:2" x14ac:dyDescent="0.2">
      <c r="A2427" s="2205" t="s">
        <v>6611</v>
      </c>
      <c r="B2427" s="2205">
        <v>0</v>
      </c>
    </row>
    <row r="2428" spans="1:2" x14ac:dyDescent="0.2">
      <c r="A2428" s="2205" t="s">
        <v>2576</v>
      </c>
      <c r="B2428" s="2205">
        <v>141086.64000000001</v>
      </c>
    </row>
    <row r="2429" spans="1:2" x14ac:dyDescent="0.2">
      <c r="A2429" s="2205" t="s">
        <v>569</v>
      </c>
      <c r="B2429" s="2205">
        <v>1656</v>
      </c>
    </row>
    <row r="2430" spans="1:2" x14ac:dyDescent="0.2">
      <c r="A2430" s="2205" t="s">
        <v>2258</v>
      </c>
      <c r="B2430" s="2205">
        <v>340.77</v>
      </c>
    </row>
    <row r="2431" spans="1:2" x14ac:dyDescent="0.2">
      <c r="A2431" s="2205" t="s">
        <v>946</v>
      </c>
      <c r="B2431" s="2205">
        <v>624.42999999999995</v>
      </c>
    </row>
    <row r="2432" spans="1:2" x14ac:dyDescent="0.2">
      <c r="A2432" s="2205" t="s">
        <v>945</v>
      </c>
      <c r="B2432" s="2205">
        <v>0</v>
      </c>
    </row>
    <row r="2433" spans="1:2" x14ac:dyDescent="0.2">
      <c r="A2433" s="2205" t="s">
        <v>2200</v>
      </c>
      <c r="B2433" s="2205">
        <v>11408.3</v>
      </c>
    </row>
    <row r="2434" spans="1:2" x14ac:dyDescent="0.2">
      <c r="A2434" s="2205" t="s">
        <v>1064</v>
      </c>
      <c r="B2434" s="2205">
        <v>3339.93</v>
      </c>
    </row>
    <row r="2435" spans="1:2" x14ac:dyDescent="0.2">
      <c r="A2435" s="2205" t="s">
        <v>2199</v>
      </c>
      <c r="B2435" s="2205">
        <v>3231.94</v>
      </c>
    </row>
    <row r="2436" spans="1:2" x14ac:dyDescent="0.2">
      <c r="A2436" s="2205" t="s">
        <v>9216</v>
      </c>
      <c r="B2436" s="2205">
        <v>328.27</v>
      </c>
    </row>
    <row r="2437" spans="1:2" x14ac:dyDescent="0.2">
      <c r="A2437" s="2205" t="s">
        <v>9217</v>
      </c>
      <c r="B2437" s="2205">
        <v>110.67</v>
      </c>
    </row>
    <row r="2438" spans="1:2" x14ac:dyDescent="0.2">
      <c r="A2438" s="2205" t="s">
        <v>1082</v>
      </c>
      <c r="B2438" s="2205">
        <v>128.54</v>
      </c>
    </row>
    <row r="2439" spans="1:2" x14ac:dyDescent="0.2">
      <c r="A2439" s="2205" t="s">
        <v>1081</v>
      </c>
      <c r="B2439" s="2205">
        <v>12454.45</v>
      </c>
    </row>
    <row r="2440" spans="1:2" x14ac:dyDescent="0.2">
      <c r="A2440" s="2205" t="s">
        <v>2434</v>
      </c>
      <c r="B2440" s="2205">
        <v>4718.74</v>
      </c>
    </row>
    <row r="2441" spans="1:2" x14ac:dyDescent="0.2">
      <c r="A2441" s="2205" t="s">
        <v>249</v>
      </c>
      <c r="B2441" s="2205">
        <v>2552.1999999999998</v>
      </c>
    </row>
    <row r="2442" spans="1:2" x14ac:dyDescent="0.2">
      <c r="A2442" s="2205" t="s">
        <v>248</v>
      </c>
      <c r="B2442" s="2205">
        <v>10965.42</v>
      </c>
    </row>
    <row r="2443" spans="1:2" x14ac:dyDescent="0.2">
      <c r="A2443" s="2205" t="s">
        <v>247</v>
      </c>
      <c r="B2443" s="2205">
        <v>6740.8</v>
      </c>
    </row>
    <row r="2444" spans="1:2" x14ac:dyDescent="0.2">
      <c r="A2444" s="2205" t="s">
        <v>1065</v>
      </c>
      <c r="B2444" s="2205">
        <v>11813.84</v>
      </c>
    </row>
    <row r="2445" spans="1:2" x14ac:dyDescent="0.2">
      <c r="A2445" s="2205" t="s">
        <v>9218</v>
      </c>
      <c r="B2445" s="2205">
        <v>29.46</v>
      </c>
    </row>
    <row r="2446" spans="1:2" x14ac:dyDescent="0.2">
      <c r="A2446" s="2205" t="s">
        <v>2424</v>
      </c>
      <c r="B2446" s="2205">
        <v>1453.32</v>
      </c>
    </row>
    <row r="2447" spans="1:2" x14ac:dyDescent="0.2">
      <c r="A2447" s="2205" t="s">
        <v>9219</v>
      </c>
      <c r="B2447" s="2205">
        <v>5246.65</v>
      </c>
    </row>
    <row r="2448" spans="1:2" x14ac:dyDescent="0.2">
      <c r="A2448" s="2205" t="s">
        <v>9220</v>
      </c>
      <c r="B2448" s="2205">
        <v>1863.65</v>
      </c>
    </row>
    <row r="2449" spans="1:2" x14ac:dyDescent="0.2">
      <c r="A2449" s="2205" t="s">
        <v>1651</v>
      </c>
      <c r="B2449" s="2205">
        <v>9919.56</v>
      </c>
    </row>
    <row r="2450" spans="1:2" x14ac:dyDescent="0.2">
      <c r="A2450" s="2205" t="s">
        <v>2110</v>
      </c>
      <c r="B2450" s="2205">
        <v>57199.29</v>
      </c>
    </row>
    <row r="2451" spans="1:2" x14ac:dyDescent="0.2">
      <c r="A2451" s="2205" t="s">
        <v>2111</v>
      </c>
      <c r="B2451" s="2205">
        <v>41565.07</v>
      </c>
    </row>
    <row r="2452" spans="1:2" x14ac:dyDescent="0.2">
      <c r="A2452" s="2205" t="s">
        <v>9221</v>
      </c>
      <c r="B2452" s="2205">
        <v>0</v>
      </c>
    </row>
    <row r="2453" spans="1:2" x14ac:dyDescent="0.2">
      <c r="A2453" s="2205" t="s">
        <v>1968</v>
      </c>
      <c r="B2453" s="2205">
        <v>101056.7</v>
      </c>
    </row>
    <row r="2454" spans="1:2" x14ac:dyDescent="0.2">
      <c r="A2454" s="2205" t="s">
        <v>9222</v>
      </c>
      <c r="B2454" s="2205">
        <v>86853.47</v>
      </c>
    </row>
    <row r="2455" spans="1:2" x14ac:dyDescent="0.2">
      <c r="A2455" s="2205" t="s">
        <v>9223</v>
      </c>
      <c r="B2455" s="2205">
        <v>60522.49</v>
      </c>
    </row>
    <row r="2456" spans="1:2" x14ac:dyDescent="0.2">
      <c r="A2456" s="2205" t="s">
        <v>9224</v>
      </c>
      <c r="B2456" s="2205">
        <v>44027.79</v>
      </c>
    </row>
    <row r="2457" spans="1:2" x14ac:dyDescent="0.2">
      <c r="A2457" s="2205" t="s">
        <v>9225</v>
      </c>
      <c r="B2457" s="2205">
        <v>74971.25</v>
      </c>
    </row>
    <row r="2458" spans="1:2" x14ac:dyDescent="0.2">
      <c r="A2458" s="2205" t="s">
        <v>9226</v>
      </c>
      <c r="B2458" s="2205">
        <v>0</v>
      </c>
    </row>
    <row r="2459" spans="1:2" x14ac:dyDescent="0.2">
      <c r="A2459" s="2205" t="s">
        <v>9227</v>
      </c>
      <c r="B2459" s="2205">
        <v>330045.01</v>
      </c>
    </row>
    <row r="2460" spans="1:2" x14ac:dyDescent="0.2">
      <c r="A2460" s="2205" t="s">
        <v>9228</v>
      </c>
      <c r="B2460" s="2205">
        <v>5224.25</v>
      </c>
    </row>
    <row r="2461" spans="1:2" x14ac:dyDescent="0.2">
      <c r="A2461" s="2205" t="s">
        <v>9229</v>
      </c>
      <c r="B2461" s="2205">
        <v>6380.48</v>
      </c>
    </row>
    <row r="2462" spans="1:2" x14ac:dyDescent="0.2">
      <c r="A2462" s="2205" t="s">
        <v>6607</v>
      </c>
      <c r="B2462" s="2205">
        <v>20278.91</v>
      </c>
    </row>
    <row r="2463" spans="1:2" x14ac:dyDescent="0.2">
      <c r="A2463" s="2205" t="s">
        <v>4060</v>
      </c>
      <c r="B2463" s="2205">
        <v>1643.32</v>
      </c>
    </row>
    <row r="2464" spans="1:2" x14ac:dyDescent="0.2">
      <c r="A2464" s="2205" t="s">
        <v>2257</v>
      </c>
      <c r="B2464" s="2205">
        <v>0</v>
      </c>
    </row>
    <row r="2465" spans="1:2" x14ac:dyDescent="0.2">
      <c r="A2465" s="2205" t="s">
        <v>9230</v>
      </c>
      <c r="B2465" s="2205">
        <v>454.55</v>
      </c>
    </row>
    <row r="2466" spans="1:2" x14ac:dyDescent="0.2">
      <c r="A2466" s="2205" t="s">
        <v>2254</v>
      </c>
      <c r="B2466" s="2205">
        <v>3070.91</v>
      </c>
    </row>
    <row r="2467" spans="1:2" x14ac:dyDescent="0.2">
      <c r="A2467" s="2205" t="s">
        <v>63</v>
      </c>
      <c r="B2467" s="2205">
        <v>1275</v>
      </c>
    </row>
    <row r="2468" spans="1:2" x14ac:dyDescent="0.2">
      <c r="A2468" s="2205" t="s">
        <v>822</v>
      </c>
      <c r="B2468" s="2205">
        <v>90.7</v>
      </c>
    </row>
    <row r="2469" spans="1:2" x14ac:dyDescent="0.2">
      <c r="A2469" s="2205" t="s">
        <v>1963</v>
      </c>
      <c r="B2469" s="2205">
        <v>3685.79</v>
      </c>
    </row>
    <row r="2470" spans="1:2" x14ac:dyDescent="0.2">
      <c r="A2470" s="2205" t="s">
        <v>1962</v>
      </c>
      <c r="B2470" s="2205">
        <v>900</v>
      </c>
    </row>
    <row r="2471" spans="1:2" x14ac:dyDescent="0.2">
      <c r="A2471" s="2205" t="s">
        <v>1157</v>
      </c>
      <c r="B2471" s="2205">
        <v>4678.1099999999997</v>
      </c>
    </row>
    <row r="2472" spans="1:2" x14ac:dyDescent="0.2">
      <c r="A2472" s="2205" t="s">
        <v>1158</v>
      </c>
      <c r="B2472" s="2205">
        <v>12405.74</v>
      </c>
    </row>
    <row r="2473" spans="1:2" x14ac:dyDescent="0.2">
      <c r="A2473" s="2205" t="s">
        <v>2364</v>
      </c>
      <c r="B2473" s="2205">
        <v>0</v>
      </c>
    </row>
    <row r="2474" spans="1:2" x14ac:dyDescent="0.2">
      <c r="A2474" s="2205" t="s">
        <v>2877</v>
      </c>
      <c r="B2474" s="2205">
        <v>0</v>
      </c>
    </row>
    <row r="2475" spans="1:2" x14ac:dyDescent="0.2">
      <c r="A2475" s="2205" t="s">
        <v>2876</v>
      </c>
      <c r="B2475" s="2205">
        <v>0</v>
      </c>
    </row>
    <row r="2476" spans="1:2" x14ac:dyDescent="0.2">
      <c r="A2476" s="2205" t="s">
        <v>1159</v>
      </c>
      <c r="B2476" s="2205">
        <v>16.82</v>
      </c>
    </row>
    <row r="2477" spans="1:2" x14ac:dyDescent="0.2">
      <c r="A2477" s="2205" t="s">
        <v>9231</v>
      </c>
      <c r="B2477" s="2205">
        <v>473.93</v>
      </c>
    </row>
    <row r="2478" spans="1:2" x14ac:dyDescent="0.2">
      <c r="A2478" s="2205" t="s">
        <v>9232</v>
      </c>
      <c r="B2478" s="2205">
        <v>641.15</v>
      </c>
    </row>
    <row r="2479" spans="1:2" x14ac:dyDescent="0.2">
      <c r="A2479" s="2205" t="s">
        <v>1006</v>
      </c>
      <c r="B2479" s="2205">
        <v>0</v>
      </c>
    </row>
    <row r="2480" spans="1:2" x14ac:dyDescent="0.2">
      <c r="A2480" s="2205" t="s">
        <v>2836</v>
      </c>
      <c r="B2480" s="2205">
        <v>3118.04</v>
      </c>
    </row>
    <row r="2481" spans="1:2" x14ac:dyDescent="0.2">
      <c r="A2481" s="2205" t="s">
        <v>3185</v>
      </c>
      <c r="B2481" s="2205">
        <v>306</v>
      </c>
    </row>
    <row r="2482" spans="1:2" x14ac:dyDescent="0.2">
      <c r="A2482" s="2205" t="s">
        <v>46</v>
      </c>
      <c r="B2482" s="2205">
        <v>6499.61</v>
      </c>
    </row>
    <row r="2483" spans="1:2" x14ac:dyDescent="0.2">
      <c r="A2483" s="2205" t="s">
        <v>45</v>
      </c>
      <c r="B2483" s="2205">
        <v>7927.17</v>
      </c>
    </row>
    <row r="2484" spans="1:2" x14ac:dyDescent="0.2">
      <c r="A2484" s="2205" t="s">
        <v>1153</v>
      </c>
      <c r="B2484" s="2205">
        <v>55397.98</v>
      </c>
    </row>
    <row r="2485" spans="1:2" x14ac:dyDescent="0.2">
      <c r="A2485" s="2205" t="s">
        <v>6450</v>
      </c>
      <c r="B2485" s="2205">
        <v>0</v>
      </c>
    </row>
    <row r="2486" spans="1:2" x14ac:dyDescent="0.2">
      <c r="A2486" s="2205" t="s">
        <v>778</v>
      </c>
      <c r="B2486" s="2205">
        <v>501.67</v>
      </c>
    </row>
    <row r="2487" spans="1:2" x14ac:dyDescent="0.2">
      <c r="A2487" s="2205" t="s">
        <v>1167</v>
      </c>
      <c r="B2487" s="2205">
        <v>0</v>
      </c>
    </row>
    <row r="2488" spans="1:2" x14ac:dyDescent="0.2">
      <c r="A2488" s="2205" t="s">
        <v>112</v>
      </c>
      <c r="B2488" s="2205">
        <v>1278.6600000000001</v>
      </c>
    </row>
    <row r="2489" spans="1:2" x14ac:dyDescent="0.2">
      <c r="A2489" s="2205" t="s">
        <v>5389</v>
      </c>
      <c r="B2489" s="2205">
        <v>0</v>
      </c>
    </row>
    <row r="2490" spans="1:2" x14ac:dyDescent="0.2">
      <c r="A2490" s="2205" t="s">
        <v>65</v>
      </c>
      <c r="B2490" s="2205">
        <v>0</v>
      </c>
    </row>
    <row r="2491" spans="1:2" x14ac:dyDescent="0.2">
      <c r="A2491" s="2205" t="s">
        <v>539</v>
      </c>
      <c r="B2491" s="2205">
        <v>0</v>
      </c>
    </row>
    <row r="2492" spans="1:2" x14ac:dyDescent="0.2">
      <c r="A2492" s="2205" t="s">
        <v>3358</v>
      </c>
      <c r="B2492" s="2205">
        <v>0</v>
      </c>
    </row>
    <row r="2493" spans="1:2" x14ac:dyDescent="0.2">
      <c r="A2493" s="2205" t="s">
        <v>5383</v>
      </c>
      <c r="B2493" s="2205">
        <v>955.77</v>
      </c>
    </row>
    <row r="2494" spans="1:2" x14ac:dyDescent="0.2">
      <c r="A2494" s="2205" t="s">
        <v>5381</v>
      </c>
      <c r="B2494" s="2205">
        <v>4298.18</v>
      </c>
    </row>
    <row r="2495" spans="1:2" x14ac:dyDescent="0.2">
      <c r="A2495" s="2205" t="s">
        <v>5377</v>
      </c>
      <c r="B2495" s="2205">
        <v>4018.22</v>
      </c>
    </row>
    <row r="2496" spans="1:2" x14ac:dyDescent="0.2">
      <c r="A2496" s="2205" t="s">
        <v>5385</v>
      </c>
      <c r="B2496" s="2205">
        <v>2307.4299999999998</v>
      </c>
    </row>
    <row r="2497" spans="1:2" x14ac:dyDescent="0.2">
      <c r="A2497" s="2205" t="s">
        <v>5387</v>
      </c>
      <c r="B2497" s="2205">
        <v>4289.05</v>
      </c>
    </row>
    <row r="2498" spans="1:2" x14ac:dyDescent="0.2">
      <c r="A2498" s="2205" t="s">
        <v>6394</v>
      </c>
      <c r="B2498" s="2205">
        <v>23120.880000000001</v>
      </c>
    </row>
    <row r="2499" spans="1:2" x14ac:dyDescent="0.2">
      <c r="A2499" s="2205" t="s">
        <v>5393</v>
      </c>
      <c r="B2499" s="2205">
        <v>5047.6899999999996</v>
      </c>
    </row>
    <row r="2500" spans="1:2" x14ac:dyDescent="0.2">
      <c r="A2500" s="2205" t="s">
        <v>2053</v>
      </c>
      <c r="B2500" s="2205">
        <v>0</v>
      </c>
    </row>
    <row r="2501" spans="1:2" x14ac:dyDescent="0.2">
      <c r="A2501" s="2205" t="s">
        <v>1424</v>
      </c>
      <c r="B2501" s="2205">
        <v>4305.51</v>
      </c>
    </row>
    <row r="2502" spans="1:2" x14ac:dyDescent="0.2">
      <c r="A2502" s="2205" t="s">
        <v>5428</v>
      </c>
      <c r="B2502" s="2205">
        <v>0</v>
      </c>
    </row>
    <row r="2503" spans="1:2" x14ac:dyDescent="0.2">
      <c r="A2503" s="2205" t="s">
        <v>9233</v>
      </c>
      <c r="B2503" s="2205">
        <v>1091.76</v>
      </c>
    </row>
    <row r="2504" spans="1:2" x14ac:dyDescent="0.2">
      <c r="A2504" s="2205" t="s">
        <v>9234</v>
      </c>
      <c r="B2504" s="2205">
        <v>72.17</v>
      </c>
    </row>
    <row r="2505" spans="1:2" x14ac:dyDescent="0.2">
      <c r="A2505" s="2205" t="s">
        <v>413</v>
      </c>
      <c r="B2505" s="2205">
        <v>24600.01</v>
      </c>
    </row>
    <row r="2506" spans="1:2" x14ac:dyDescent="0.2">
      <c r="A2506" s="2205" t="s">
        <v>9235</v>
      </c>
      <c r="B2506" s="2205">
        <v>18045.400000000001</v>
      </c>
    </row>
    <row r="2507" spans="1:2" x14ac:dyDescent="0.2">
      <c r="A2507" s="2205" t="s">
        <v>9236</v>
      </c>
      <c r="B2507" s="2205">
        <v>4139.4399999999996</v>
      </c>
    </row>
    <row r="2508" spans="1:2" x14ac:dyDescent="0.2">
      <c r="A2508" s="2205" t="s">
        <v>9237</v>
      </c>
      <c r="B2508" s="2205">
        <v>831.4</v>
      </c>
    </row>
    <row r="2509" spans="1:2" x14ac:dyDescent="0.2">
      <c r="A2509" s="2205" t="s">
        <v>9238</v>
      </c>
      <c r="B2509" s="2205">
        <v>9421.56</v>
      </c>
    </row>
    <row r="2510" spans="1:2" x14ac:dyDescent="0.2">
      <c r="A2510" s="2205" t="s">
        <v>6605</v>
      </c>
      <c r="B2510" s="2205">
        <v>1714.86</v>
      </c>
    </row>
    <row r="2511" spans="1:2" x14ac:dyDescent="0.2">
      <c r="A2511" s="2205" t="s">
        <v>5958</v>
      </c>
      <c r="B2511" s="2205">
        <v>43520.36</v>
      </c>
    </row>
    <row r="2512" spans="1:2" x14ac:dyDescent="0.2">
      <c r="A2512" s="2205" t="s">
        <v>5429</v>
      </c>
      <c r="B2512" s="2205">
        <v>5272.73</v>
      </c>
    </row>
    <row r="2513" spans="1:2" x14ac:dyDescent="0.2">
      <c r="A2513" s="2205" t="s">
        <v>9239</v>
      </c>
      <c r="B2513" s="2205">
        <v>2229.35</v>
      </c>
    </row>
    <row r="2514" spans="1:2" x14ac:dyDescent="0.2">
      <c r="A2514" s="2205" t="s">
        <v>1627</v>
      </c>
      <c r="B2514" s="2205">
        <v>11216.33</v>
      </c>
    </row>
    <row r="2515" spans="1:2" x14ac:dyDescent="0.2">
      <c r="A2515" s="2205" t="s">
        <v>773</v>
      </c>
      <c r="B2515" s="2205">
        <v>5000</v>
      </c>
    </row>
    <row r="2516" spans="1:2" x14ac:dyDescent="0.2">
      <c r="A2516" s="2205" t="s">
        <v>9240</v>
      </c>
      <c r="B2516" s="2205">
        <v>3191</v>
      </c>
    </row>
    <row r="2517" spans="1:2" x14ac:dyDescent="0.2">
      <c r="A2517" s="2205" t="s">
        <v>9241</v>
      </c>
      <c r="B2517" s="2205">
        <v>20.84</v>
      </c>
    </row>
    <row r="2518" spans="1:2" x14ac:dyDescent="0.2">
      <c r="A2518" s="2205" t="s">
        <v>9242</v>
      </c>
      <c r="B2518" s="2205">
        <v>4908.9399999999996</v>
      </c>
    </row>
    <row r="2519" spans="1:2" x14ac:dyDescent="0.2">
      <c r="A2519" s="2205" t="s">
        <v>5441</v>
      </c>
      <c r="B2519" s="2205">
        <v>618.42999999999995</v>
      </c>
    </row>
    <row r="2520" spans="1:2" x14ac:dyDescent="0.2">
      <c r="A2520" s="2205" t="s">
        <v>9243</v>
      </c>
      <c r="B2520" s="2205">
        <v>684.43</v>
      </c>
    </row>
    <row r="2521" spans="1:2" x14ac:dyDescent="0.2">
      <c r="A2521" s="2205" t="s">
        <v>9244</v>
      </c>
      <c r="B2521" s="2205">
        <v>540</v>
      </c>
    </row>
    <row r="2522" spans="1:2" x14ac:dyDescent="0.2">
      <c r="A2522" s="2205" t="s">
        <v>9245</v>
      </c>
      <c r="B2522" s="2205">
        <v>1749.14</v>
      </c>
    </row>
    <row r="2523" spans="1:2" x14ac:dyDescent="0.2">
      <c r="A2523" s="2205" t="s">
        <v>9246</v>
      </c>
      <c r="B2523" s="2205">
        <v>3543.36</v>
      </c>
    </row>
    <row r="2524" spans="1:2" x14ac:dyDescent="0.2">
      <c r="A2524" s="2205" t="s">
        <v>9247</v>
      </c>
      <c r="B2524" s="2205">
        <v>23064.13</v>
      </c>
    </row>
    <row r="2525" spans="1:2" x14ac:dyDescent="0.2">
      <c r="A2525" s="2205" t="s">
        <v>9248</v>
      </c>
      <c r="B2525" s="2205">
        <v>16315.09</v>
      </c>
    </row>
    <row r="2526" spans="1:2" x14ac:dyDescent="0.2">
      <c r="A2526" s="2205" t="s">
        <v>2050</v>
      </c>
      <c r="B2526" s="2205">
        <v>0</v>
      </c>
    </row>
    <row r="2527" spans="1:2" x14ac:dyDescent="0.2">
      <c r="A2527" s="2205" t="s">
        <v>1523</v>
      </c>
      <c r="B2527" s="2205">
        <v>409.09</v>
      </c>
    </row>
    <row r="2528" spans="1:2" x14ac:dyDescent="0.2">
      <c r="A2528" s="2205" t="s">
        <v>6982</v>
      </c>
      <c r="B2528" s="2205">
        <v>0</v>
      </c>
    </row>
    <row r="2529" spans="1:2" x14ac:dyDescent="0.2">
      <c r="A2529" s="2205" t="s">
        <v>9249</v>
      </c>
      <c r="B2529" s="2205">
        <v>15789.62</v>
      </c>
    </row>
    <row r="2530" spans="1:2" x14ac:dyDescent="0.2">
      <c r="A2530" s="2205" t="s">
        <v>9250</v>
      </c>
      <c r="B2530" s="2205">
        <v>3963.83</v>
      </c>
    </row>
    <row r="2531" spans="1:2" x14ac:dyDescent="0.2">
      <c r="A2531" s="2205" t="s">
        <v>6983</v>
      </c>
      <c r="B2531" s="2205">
        <v>1000</v>
      </c>
    </row>
    <row r="2532" spans="1:2" x14ac:dyDescent="0.2">
      <c r="A2532" s="2205" t="s">
        <v>6350</v>
      </c>
      <c r="B2532" s="2205">
        <v>0</v>
      </c>
    </row>
    <row r="2533" spans="1:2" x14ac:dyDescent="0.2">
      <c r="A2533" s="2205" t="s">
        <v>9251</v>
      </c>
      <c r="B2533" s="2205">
        <v>23.23</v>
      </c>
    </row>
    <row r="2534" spans="1:2" x14ac:dyDescent="0.2">
      <c r="A2534" s="2205" t="s">
        <v>9252</v>
      </c>
      <c r="B2534" s="2205">
        <v>14801.48</v>
      </c>
    </row>
    <row r="2535" spans="1:2" x14ac:dyDescent="0.2">
      <c r="A2535" s="2205" t="s">
        <v>3202</v>
      </c>
      <c r="B2535" s="2205">
        <v>1402.48</v>
      </c>
    </row>
    <row r="2536" spans="1:2" x14ac:dyDescent="0.2">
      <c r="A2536" s="2205" t="s">
        <v>9253</v>
      </c>
      <c r="B2536" s="2205">
        <v>90.02</v>
      </c>
    </row>
    <row r="2537" spans="1:2" x14ac:dyDescent="0.2">
      <c r="A2537" s="2205" t="s">
        <v>9254</v>
      </c>
      <c r="B2537" s="2205">
        <v>150.26</v>
      </c>
    </row>
    <row r="2538" spans="1:2" x14ac:dyDescent="0.2">
      <c r="A2538" s="2205" t="s">
        <v>9255</v>
      </c>
      <c r="B2538" s="2205">
        <v>508.12</v>
      </c>
    </row>
    <row r="2539" spans="1:2" x14ac:dyDescent="0.2">
      <c r="A2539" s="2205" t="s">
        <v>9256</v>
      </c>
      <c r="B2539" s="2205">
        <v>100092.99</v>
      </c>
    </row>
    <row r="2540" spans="1:2" x14ac:dyDescent="0.2">
      <c r="A2540" s="2205" t="s">
        <v>3201</v>
      </c>
      <c r="B2540" s="2205">
        <v>5795.59</v>
      </c>
    </row>
    <row r="2541" spans="1:2" x14ac:dyDescent="0.2">
      <c r="A2541" s="2205" t="s">
        <v>1420</v>
      </c>
      <c r="B2541" s="2205">
        <v>32000</v>
      </c>
    </row>
    <row r="2542" spans="1:2" x14ac:dyDescent="0.2">
      <c r="A2542" s="2205" t="s">
        <v>9257</v>
      </c>
      <c r="B2542" s="2205">
        <v>4535</v>
      </c>
    </row>
    <row r="2543" spans="1:2" x14ac:dyDescent="0.2">
      <c r="A2543" s="2205" t="s">
        <v>9258</v>
      </c>
      <c r="B2543" s="2205">
        <v>56599.78</v>
      </c>
    </row>
    <row r="2544" spans="1:2" x14ac:dyDescent="0.2">
      <c r="A2544" s="2205" t="s">
        <v>9259</v>
      </c>
      <c r="B2544" s="2205">
        <v>-305</v>
      </c>
    </row>
    <row r="2545" spans="1:2" x14ac:dyDescent="0.2">
      <c r="A2545" s="2205" t="s">
        <v>9260</v>
      </c>
      <c r="B2545" s="2205">
        <v>2538.71</v>
      </c>
    </row>
    <row r="2546" spans="1:2" x14ac:dyDescent="0.2">
      <c r="A2546" s="2205" t="s">
        <v>9261</v>
      </c>
      <c r="B2546" s="2205">
        <v>3674.81</v>
      </c>
    </row>
    <row r="2547" spans="1:2" x14ac:dyDescent="0.2">
      <c r="A2547" s="2205" t="s">
        <v>9262</v>
      </c>
      <c r="B2547" s="2205">
        <v>62855.59</v>
      </c>
    </row>
    <row r="2548" spans="1:2" x14ac:dyDescent="0.2">
      <c r="A2548" s="2205" t="s">
        <v>9263</v>
      </c>
      <c r="B2548" s="2205">
        <v>844.4</v>
      </c>
    </row>
    <row r="2549" spans="1:2" x14ac:dyDescent="0.2">
      <c r="A2549" s="2205" t="s">
        <v>9264</v>
      </c>
      <c r="B2549" s="2205">
        <v>1599</v>
      </c>
    </row>
    <row r="2550" spans="1:2" x14ac:dyDescent="0.2">
      <c r="A2550" s="2205" t="s">
        <v>35</v>
      </c>
      <c r="B2550" s="2205">
        <v>127.27</v>
      </c>
    </row>
    <row r="2551" spans="1:2" x14ac:dyDescent="0.2">
      <c r="A2551" s="2205" t="s">
        <v>9265</v>
      </c>
      <c r="B2551" s="2205">
        <v>125</v>
      </c>
    </row>
    <row r="2552" spans="1:2" x14ac:dyDescent="0.2">
      <c r="A2552" s="2205" t="s">
        <v>9266</v>
      </c>
      <c r="B2552" s="2205">
        <v>1130</v>
      </c>
    </row>
    <row r="2553" spans="1:2" x14ac:dyDescent="0.2">
      <c r="A2553" s="2205" t="s">
        <v>797</v>
      </c>
      <c r="B2553" s="2205">
        <v>3852.77</v>
      </c>
    </row>
    <row r="2554" spans="1:2" x14ac:dyDescent="0.2">
      <c r="A2554" s="2205" t="s">
        <v>9267</v>
      </c>
      <c r="B2554" s="2205">
        <v>540</v>
      </c>
    </row>
    <row r="2555" spans="1:2" x14ac:dyDescent="0.2">
      <c r="A2555" s="2205" t="s">
        <v>9268</v>
      </c>
      <c r="B2555" s="2205">
        <v>-2486.35</v>
      </c>
    </row>
    <row r="2556" spans="1:2" x14ac:dyDescent="0.2">
      <c r="A2556" s="2205" t="s">
        <v>9269</v>
      </c>
      <c r="B2556" s="2205">
        <v>1428.45</v>
      </c>
    </row>
    <row r="2557" spans="1:2" x14ac:dyDescent="0.2">
      <c r="A2557" s="2205" t="s">
        <v>9270</v>
      </c>
      <c r="B2557" s="2205">
        <v>2353.98</v>
      </c>
    </row>
    <row r="2558" spans="1:2" x14ac:dyDescent="0.2">
      <c r="A2558" s="2205" t="s">
        <v>9271</v>
      </c>
      <c r="B2558" s="2205">
        <v>178.76</v>
      </c>
    </row>
    <row r="2559" spans="1:2" x14ac:dyDescent="0.2">
      <c r="A2559" s="2205" t="s">
        <v>9272</v>
      </c>
      <c r="B2559" s="2205">
        <v>19</v>
      </c>
    </row>
    <row r="2560" spans="1:2" x14ac:dyDescent="0.2">
      <c r="A2560" s="2205" t="s">
        <v>2818</v>
      </c>
      <c r="B2560" s="2205">
        <v>0</v>
      </c>
    </row>
    <row r="2561" spans="1:2" x14ac:dyDescent="0.2">
      <c r="A2561" s="2205" t="s">
        <v>9273</v>
      </c>
      <c r="B2561" s="2205">
        <v>8573.58</v>
      </c>
    </row>
    <row r="2562" spans="1:2" x14ac:dyDescent="0.2">
      <c r="A2562" s="2205" t="s">
        <v>2363</v>
      </c>
      <c r="B2562" s="2205">
        <v>785.4</v>
      </c>
    </row>
    <row r="2563" spans="1:2" x14ac:dyDescent="0.2">
      <c r="A2563" s="2205" t="s">
        <v>538</v>
      </c>
      <c r="B2563" s="2205">
        <v>0</v>
      </c>
    </row>
    <row r="2564" spans="1:2" x14ac:dyDescent="0.2">
      <c r="A2564" s="2205" t="s">
        <v>537</v>
      </c>
      <c r="B2564" s="2205">
        <v>9000</v>
      </c>
    </row>
    <row r="2565" spans="1:2" x14ac:dyDescent="0.2">
      <c r="A2565" s="2205" t="s">
        <v>1519</v>
      </c>
      <c r="B2565" s="2205">
        <v>2052.79</v>
      </c>
    </row>
    <row r="2566" spans="1:2" x14ac:dyDescent="0.2">
      <c r="A2566" s="2205" t="s">
        <v>1550</v>
      </c>
      <c r="B2566" s="2205">
        <v>5040</v>
      </c>
    </row>
    <row r="2567" spans="1:2" x14ac:dyDescent="0.2">
      <c r="A2567" s="2205" t="s">
        <v>9274</v>
      </c>
      <c r="B2567" s="2205">
        <v>0</v>
      </c>
    </row>
    <row r="2568" spans="1:2" x14ac:dyDescent="0.2">
      <c r="A2568" s="2205" t="s">
        <v>2415</v>
      </c>
      <c r="B2568" s="2205">
        <v>675.5</v>
      </c>
    </row>
    <row r="2569" spans="1:2" x14ac:dyDescent="0.2">
      <c r="A2569" s="2205" t="s">
        <v>2793</v>
      </c>
      <c r="B2569" s="2205">
        <v>2441.42</v>
      </c>
    </row>
    <row r="2570" spans="1:2" x14ac:dyDescent="0.2">
      <c r="A2570" s="2205" t="s">
        <v>2046</v>
      </c>
      <c r="B2570" s="2205">
        <v>2002.29</v>
      </c>
    </row>
    <row r="2571" spans="1:2" x14ac:dyDescent="0.2">
      <c r="A2571" s="2205" t="s">
        <v>1306</v>
      </c>
      <c r="B2571" s="2205">
        <v>300033.88</v>
      </c>
    </row>
    <row r="2572" spans="1:2" x14ac:dyDescent="0.2">
      <c r="A2572" s="2205" t="s">
        <v>5374</v>
      </c>
      <c r="B2572" s="2205">
        <v>99.13</v>
      </c>
    </row>
    <row r="2573" spans="1:2" x14ac:dyDescent="0.2">
      <c r="A2573" s="2205" t="s">
        <v>40</v>
      </c>
      <c r="B2573" s="2205">
        <v>0</v>
      </c>
    </row>
    <row r="2574" spans="1:2" x14ac:dyDescent="0.2">
      <c r="A2574" s="2205" t="s">
        <v>581</v>
      </c>
      <c r="B2574" s="2205">
        <v>0</v>
      </c>
    </row>
    <row r="2575" spans="1:2" x14ac:dyDescent="0.2">
      <c r="A2575" s="2205" t="s">
        <v>3009</v>
      </c>
      <c r="B2575" s="2205">
        <v>0</v>
      </c>
    </row>
    <row r="2576" spans="1:2" x14ac:dyDescent="0.2">
      <c r="A2576" s="2205" t="s">
        <v>872</v>
      </c>
      <c r="B2576" s="2205">
        <v>1412.41</v>
      </c>
    </row>
    <row r="2577" spans="1:2" x14ac:dyDescent="0.2">
      <c r="A2577" s="2205" t="s">
        <v>870</v>
      </c>
      <c r="B2577" s="2205">
        <v>11205.43</v>
      </c>
    </row>
    <row r="2578" spans="1:2" x14ac:dyDescent="0.2">
      <c r="A2578" s="2205" t="s">
        <v>1377</v>
      </c>
      <c r="B2578" s="2205">
        <v>488.88</v>
      </c>
    </row>
    <row r="2579" spans="1:2" x14ac:dyDescent="0.2">
      <c r="A2579" s="2205" t="s">
        <v>5200</v>
      </c>
      <c r="B2579" s="2205">
        <v>10561.75</v>
      </c>
    </row>
    <row r="2580" spans="1:2" x14ac:dyDescent="0.2">
      <c r="A2580" s="2205" t="s">
        <v>1650</v>
      </c>
      <c r="B2580" s="2205">
        <v>0</v>
      </c>
    </row>
    <row r="2581" spans="1:2" x14ac:dyDescent="0.2">
      <c r="A2581" s="2205" t="s">
        <v>835</v>
      </c>
      <c r="B2581" s="2205">
        <v>20300</v>
      </c>
    </row>
    <row r="2582" spans="1:2" x14ac:dyDescent="0.2">
      <c r="A2582" s="2205" t="s">
        <v>9275</v>
      </c>
      <c r="B2582" s="2205">
        <v>19.440000000000001</v>
      </c>
    </row>
    <row r="2583" spans="1:2" x14ac:dyDescent="0.2">
      <c r="A2583" s="2205" t="s">
        <v>5197</v>
      </c>
      <c r="B2583" s="2205">
        <v>4148.8</v>
      </c>
    </row>
    <row r="2584" spans="1:2" x14ac:dyDescent="0.2">
      <c r="A2584" s="2205" t="s">
        <v>346</v>
      </c>
      <c r="B2584" s="2205">
        <v>2995.52</v>
      </c>
    </row>
    <row r="2585" spans="1:2" x14ac:dyDescent="0.2">
      <c r="A2585" s="2205" t="s">
        <v>3872</v>
      </c>
      <c r="B2585" s="2205">
        <v>5737.65</v>
      </c>
    </row>
    <row r="2586" spans="1:2" x14ac:dyDescent="0.2">
      <c r="A2586" s="2205" t="s">
        <v>5199</v>
      </c>
      <c r="B2586" s="2205">
        <v>19280.330000000002</v>
      </c>
    </row>
    <row r="2587" spans="1:2" x14ac:dyDescent="0.2">
      <c r="A2587" s="2205" t="s">
        <v>5198</v>
      </c>
      <c r="B2587" s="2205">
        <v>11210.24</v>
      </c>
    </row>
    <row r="2588" spans="1:2" x14ac:dyDescent="0.2">
      <c r="A2588" s="2205" t="s">
        <v>3871</v>
      </c>
      <c r="B2588" s="2205">
        <v>3833.4</v>
      </c>
    </row>
    <row r="2589" spans="1:2" x14ac:dyDescent="0.2">
      <c r="A2589" s="2205" t="s">
        <v>209</v>
      </c>
      <c r="B2589" s="2205">
        <v>11901.93</v>
      </c>
    </row>
    <row r="2590" spans="1:2" x14ac:dyDescent="0.2">
      <c r="A2590" s="2205" t="s">
        <v>9276</v>
      </c>
      <c r="B2590" s="2205">
        <v>40409.120000000003</v>
      </c>
    </row>
    <row r="2591" spans="1:2" x14ac:dyDescent="0.2">
      <c r="A2591" s="2205" t="s">
        <v>2968</v>
      </c>
      <c r="B2591" s="2205">
        <v>3994.09</v>
      </c>
    </row>
    <row r="2592" spans="1:2" x14ac:dyDescent="0.2">
      <c r="A2592" s="2205" t="s">
        <v>279</v>
      </c>
      <c r="B2592" s="2205">
        <v>9228.75</v>
      </c>
    </row>
    <row r="2593" spans="1:2" x14ac:dyDescent="0.2">
      <c r="A2593" s="2205" t="s">
        <v>9277</v>
      </c>
      <c r="B2593" s="2205">
        <v>-2706.5</v>
      </c>
    </row>
    <row r="2594" spans="1:2" x14ac:dyDescent="0.2">
      <c r="A2594" s="2205" t="s">
        <v>9278</v>
      </c>
      <c r="B2594" s="2205">
        <v>0</v>
      </c>
    </row>
    <row r="2595" spans="1:2" x14ac:dyDescent="0.2">
      <c r="A2595" s="2205" t="s">
        <v>9279</v>
      </c>
      <c r="B2595" s="2205">
        <v>341.99</v>
      </c>
    </row>
    <row r="2596" spans="1:2" x14ac:dyDescent="0.2">
      <c r="A2596" s="2205" t="s">
        <v>3873</v>
      </c>
      <c r="B2596" s="2205">
        <v>4512.33</v>
      </c>
    </row>
    <row r="2597" spans="1:2" x14ac:dyDescent="0.2">
      <c r="A2597" s="2205" t="s">
        <v>5907</v>
      </c>
      <c r="B2597" s="2205">
        <v>1622.56</v>
      </c>
    </row>
    <row r="2598" spans="1:2" x14ac:dyDescent="0.2">
      <c r="A2598" s="2205" t="s">
        <v>3892</v>
      </c>
      <c r="B2598" s="2205">
        <v>12102.58</v>
      </c>
    </row>
    <row r="2599" spans="1:2" x14ac:dyDescent="0.2">
      <c r="A2599" s="2205" t="s">
        <v>3897</v>
      </c>
      <c r="B2599" s="2205">
        <v>183</v>
      </c>
    </row>
    <row r="2600" spans="1:2" x14ac:dyDescent="0.2">
      <c r="A2600" s="2205" t="s">
        <v>3896</v>
      </c>
      <c r="B2600" s="2205">
        <v>40949.040000000001</v>
      </c>
    </row>
    <row r="2601" spans="1:2" x14ac:dyDescent="0.2">
      <c r="A2601" s="2205" t="s">
        <v>3894</v>
      </c>
      <c r="B2601" s="2205">
        <v>485.48</v>
      </c>
    </row>
    <row r="2602" spans="1:2" x14ac:dyDescent="0.2">
      <c r="A2602" s="2205" t="s">
        <v>3893</v>
      </c>
      <c r="B2602" s="2205">
        <v>15921.01</v>
      </c>
    </row>
    <row r="2603" spans="1:2" x14ac:dyDescent="0.2">
      <c r="A2603" s="2205" t="s">
        <v>3891</v>
      </c>
      <c r="B2603" s="2205">
        <v>7059.39</v>
      </c>
    </row>
    <row r="2604" spans="1:2" x14ac:dyDescent="0.2">
      <c r="A2604" s="2205" t="s">
        <v>9280</v>
      </c>
      <c r="B2604" s="2205">
        <v>6460</v>
      </c>
    </row>
    <row r="2605" spans="1:2" x14ac:dyDescent="0.2">
      <c r="A2605" s="2205" t="s">
        <v>2039</v>
      </c>
      <c r="B2605" s="2205">
        <v>9813.56</v>
      </c>
    </row>
    <row r="2606" spans="1:2" x14ac:dyDescent="0.2">
      <c r="A2606" s="2205" t="s">
        <v>2038</v>
      </c>
      <c r="B2606" s="2205">
        <v>21918.57</v>
      </c>
    </row>
    <row r="2607" spans="1:2" x14ac:dyDescent="0.2">
      <c r="A2607" s="2205" t="s">
        <v>3467</v>
      </c>
      <c r="B2607" s="2205">
        <v>3780</v>
      </c>
    </row>
    <row r="2608" spans="1:2" x14ac:dyDescent="0.2">
      <c r="A2608" s="2205" t="s">
        <v>9281</v>
      </c>
      <c r="B2608" s="2205">
        <v>0</v>
      </c>
    </row>
    <row r="2609" spans="1:2" x14ac:dyDescent="0.2">
      <c r="A2609" s="2205" t="s">
        <v>1036</v>
      </c>
      <c r="B2609" s="2205">
        <v>1590.91</v>
      </c>
    </row>
    <row r="2610" spans="1:2" x14ac:dyDescent="0.2">
      <c r="A2610" s="2205" t="s">
        <v>9282</v>
      </c>
      <c r="B2610" s="2205">
        <v>3121.73</v>
      </c>
    </row>
    <row r="2611" spans="1:2" x14ac:dyDescent="0.2">
      <c r="A2611" s="2205" t="s">
        <v>351</v>
      </c>
      <c r="B2611" s="2205">
        <v>940.31</v>
      </c>
    </row>
    <row r="2612" spans="1:2" x14ac:dyDescent="0.2">
      <c r="A2612" s="2205" t="s">
        <v>349</v>
      </c>
      <c r="B2612" s="2205">
        <v>0</v>
      </c>
    </row>
    <row r="2613" spans="1:2" x14ac:dyDescent="0.2">
      <c r="A2613" s="2205" t="s">
        <v>9283</v>
      </c>
      <c r="B2613" s="2205">
        <v>5771.05</v>
      </c>
    </row>
    <row r="2614" spans="1:2" x14ac:dyDescent="0.2">
      <c r="A2614" s="2205" t="s">
        <v>1220</v>
      </c>
      <c r="B2614" s="2205">
        <v>43.64</v>
      </c>
    </row>
    <row r="2615" spans="1:2" x14ac:dyDescent="0.2">
      <c r="A2615" s="2205" t="s">
        <v>9284</v>
      </c>
      <c r="B2615" s="2205">
        <v>1980.45</v>
      </c>
    </row>
    <row r="2616" spans="1:2" x14ac:dyDescent="0.2">
      <c r="A2616" s="2205" t="s">
        <v>9285</v>
      </c>
      <c r="B2616" s="2205">
        <v>1956.43</v>
      </c>
    </row>
    <row r="2617" spans="1:2" x14ac:dyDescent="0.2">
      <c r="A2617" s="2205" t="s">
        <v>347</v>
      </c>
      <c r="B2617" s="2205">
        <v>94.98</v>
      </c>
    </row>
    <row r="2618" spans="1:2" x14ac:dyDescent="0.2">
      <c r="A2618" s="2205" t="s">
        <v>1008</v>
      </c>
      <c r="B2618" s="2205">
        <v>119.29</v>
      </c>
    </row>
    <row r="2619" spans="1:2" x14ac:dyDescent="0.2">
      <c r="A2619" s="2205" t="s">
        <v>9286</v>
      </c>
      <c r="B2619" s="2205">
        <v>1934.73</v>
      </c>
    </row>
    <row r="2620" spans="1:2" x14ac:dyDescent="0.2">
      <c r="A2620" s="2205" t="s">
        <v>9287</v>
      </c>
      <c r="B2620" s="2205">
        <v>3662.32</v>
      </c>
    </row>
    <row r="2621" spans="1:2" x14ac:dyDescent="0.2">
      <c r="A2621" s="2205" t="s">
        <v>9288</v>
      </c>
      <c r="B2621" s="2205">
        <v>3012.26</v>
      </c>
    </row>
    <row r="2622" spans="1:2" x14ac:dyDescent="0.2">
      <c r="A2622" s="2205" t="s">
        <v>9289</v>
      </c>
      <c r="B2622" s="2205">
        <v>16104.39</v>
      </c>
    </row>
    <row r="2623" spans="1:2" x14ac:dyDescent="0.2">
      <c r="A2623" s="2205" t="s">
        <v>9290</v>
      </c>
      <c r="B2623" s="2205">
        <v>6322.81</v>
      </c>
    </row>
    <row r="2624" spans="1:2" x14ac:dyDescent="0.2">
      <c r="A2624" s="2205" t="s">
        <v>9291</v>
      </c>
      <c r="B2624" s="2205">
        <v>3802.68</v>
      </c>
    </row>
    <row r="2625" spans="1:2" x14ac:dyDescent="0.2">
      <c r="A2625" s="2205" t="s">
        <v>9292</v>
      </c>
      <c r="B2625" s="2205">
        <v>25</v>
      </c>
    </row>
    <row r="2626" spans="1:2" x14ac:dyDescent="0.2">
      <c r="A2626" s="2205" t="s">
        <v>9293</v>
      </c>
      <c r="B2626" s="2205">
        <v>93.21</v>
      </c>
    </row>
    <row r="2627" spans="1:2" x14ac:dyDescent="0.2">
      <c r="A2627" s="2205" t="s">
        <v>9294</v>
      </c>
      <c r="B2627" s="2205">
        <v>24.53</v>
      </c>
    </row>
    <row r="2628" spans="1:2" x14ac:dyDescent="0.2">
      <c r="A2628" s="2205" t="s">
        <v>9295</v>
      </c>
      <c r="B2628" s="2205">
        <v>995.61</v>
      </c>
    </row>
    <row r="2629" spans="1:2" x14ac:dyDescent="0.2">
      <c r="A2629" s="2205" t="s">
        <v>1582</v>
      </c>
      <c r="B2629" s="2205">
        <v>111.98</v>
      </c>
    </row>
    <row r="2630" spans="1:2" x14ac:dyDescent="0.2">
      <c r="A2630" s="2205" t="s">
        <v>9296</v>
      </c>
      <c r="B2630" s="2205">
        <v>1155.3399999999999</v>
      </c>
    </row>
    <row r="2631" spans="1:2" x14ac:dyDescent="0.2">
      <c r="A2631" s="2205" t="s">
        <v>354</v>
      </c>
      <c r="B2631" s="2205">
        <v>43056.7</v>
      </c>
    </row>
    <row r="2632" spans="1:2" x14ac:dyDescent="0.2">
      <c r="A2632" s="2205" t="s">
        <v>9297</v>
      </c>
      <c r="B2632" s="2205">
        <v>2390</v>
      </c>
    </row>
    <row r="2633" spans="1:2" x14ac:dyDescent="0.2">
      <c r="A2633" s="2205" t="s">
        <v>9298</v>
      </c>
      <c r="B2633" s="2205">
        <v>2520.46</v>
      </c>
    </row>
    <row r="2634" spans="1:2" x14ac:dyDescent="0.2">
      <c r="A2634" s="2205" t="s">
        <v>211</v>
      </c>
      <c r="B2634" s="2205">
        <v>11761.5</v>
      </c>
    </row>
    <row r="2635" spans="1:2" x14ac:dyDescent="0.2">
      <c r="A2635" s="2205" t="s">
        <v>2112</v>
      </c>
      <c r="B2635" s="2205">
        <v>267.44</v>
      </c>
    </row>
    <row r="2636" spans="1:2" x14ac:dyDescent="0.2">
      <c r="A2636" s="2205" t="s">
        <v>9299</v>
      </c>
      <c r="B2636" s="2205">
        <v>620.02</v>
      </c>
    </row>
    <row r="2637" spans="1:2" x14ac:dyDescent="0.2">
      <c r="A2637" s="2205" t="s">
        <v>9300</v>
      </c>
      <c r="B2637" s="2205">
        <v>2523.31</v>
      </c>
    </row>
    <row r="2638" spans="1:2" x14ac:dyDescent="0.2">
      <c r="A2638" s="2205" t="s">
        <v>9301</v>
      </c>
      <c r="B2638" s="2205">
        <v>626</v>
      </c>
    </row>
    <row r="2639" spans="1:2" x14ac:dyDescent="0.2">
      <c r="A2639" s="2205" t="s">
        <v>1333</v>
      </c>
      <c r="B2639" s="2205">
        <v>0</v>
      </c>
    </row>
    <row r="2640" spans="1:2" x14ac:dyDescent="0.2">
      <c r="A2640" s="2205" t="s">
        <v>3630</v>
      </c>
      <c r="B2640" s="2205">
        <v>16796.34</v>
      </c>
    </row>
    <row r="2641" spans="1:2" x14ac:dyDescent="0.2">
      <c r="A2641" s="2205" t="s">
        <v>1332</v>
      </c>
      <c r="B2641" s="2205">
        <v>0</v>
      </c>
    </row>
    <row r="2642" spans="1:2" x14ac:dyDescent="0.2">
      <c r="A2642" s="2205" t="s">
        <v>9302</v>
      </c>
      <c r="B2642" s="2205">
        <v>-31.77</v>
      </c>
    </row>
    <row r="2643" spans="1:2" x14ac:dyDescent="0.2">
      <c r="A2643" s="2205" t="s">
        <v>1662</v>
      </c>
      <c r="B2643" s="2205">
        <v>0</v>
      </c>
    </row>
    <row r="2644" spans="1:2" x14ac:dyDescent="0.2">
      <c r="A2644" s="2205" t="s">
        <v>6448</v>
      </c>
      <c r="B2644" s="2205">
        <v>0</v>
      </c>
    </row>
    <row r="2645" spans="1:2" x14ac:dyDescent="0.2">
      <c r="A2645" s="2205" t="s">
        <v>6663</v>
      </c>
      <c r="B2645" s="2205">
        <v>366.66</v>
      </c>
    </row>
    <row r="2646" spans="1:2" x14ac:dyDescent="0.2">
      <c r="A2646" s="2205" t="s">
        <v>1335</v>
      </c>
      <c r="B2646" s="2205">
        <v>36949.68</v>
      </c>
    </row>
    <row r="2647" spans="1:2" x14ac:dyDescent="0.2">
      <c r="A2647" s="2205" t="s">
        <v>177</v>
      </c>
      <c r="B2647" s="2205">
        <v>4379</v>
      </c>
    </row>
    <row r="2648" spans="1:2" x14ac:dyDescent="0.2">
      <c r="A2648" s="2205" t="s">
        <v>1442</v>
      </c>
      <c r="B2648" s="2205">
        <v>3615.78</v>
      </c>
    </row>
    <row r="2649" spans="1:2" x14ac:dyDescent="0.2">
      <c r="A2649" s="2205" t="s">
        <v>6420</v>
      </c>
      <c r="B2649" s="2205">
        <v>1961.11</v>
      </c>
    </row>
    <row r="2650" spans="1:2" x14ac:dyDescent="0.2">
      <c r="A2650" s="2205" t="s">
        <v>2084</v>
      </c>
      <c r="B2650" s="2205">
        <v>-5433.23</v>
      </c>
    </row>
    <row r="2651" spans="1:2" x14ac:dyDescent="0.2">
      <c r="A2651" s="2205" t="s">
        <v>1260</v>
      </c>
      <c r="B2651" s="2205">
        <v>0</v>
      </c>
    </row>
    <row r="2652" spans="1:2" x14ac:dyDescent="0.2">
      <c r="A2652" s="2205" t="s">
        <v>234</v>
      </c>
      <c r="B2652" s="2205">
        <v>2765.37</v>
      </c>
    </row>
    <row r="2653" spans="1:2" x14ac:dyDescent="0.2">
      <c r="A2653" s="2205" t="s">
        <v>668</v>
      </c>
      <c r="B2653" s="2205">
        <v>645.75</v>
      </c>
    </row>
    <row r="2654" spans="1:2" x14ac:dyDescent="0.2">
      <c r="A2654" s="2205" t="s">
        <v>2707</v>
      </c>
      <c r="B2654" s="2205">
        <v>3225</v>
      </c>
    </row>
    <row r="2655" spans="1:2" x14ac:dyDescent="0.2">
      <c r="A2655" s="2205" t="s">
        <v>9303</v>
      </c>
      <c r="B2655" s="2205">
        <v>-15800</v>
      </c>
    </row>
    <row r="2656" spans="1:2" x14ac:dyDescent="0.2">
      <c r="A2656" s="2205" t="s">
        <v>1688</v>
      </c>
      <c r="B2656" s="2205">
        <v>1446.27</v>
      </c>
    </row>
    <row r="2657" spans="1:2" x14ac:dyDescent="0.2">
      <c r="A2657" s="2205" t="s">
        <v>218</v>
      </c>
      <c r="B2657" s="2205">
        <v>43384.94</v>
      </c>
    </row>
    <row r="2658" spans="1:2" x14ac:dyDescent="0.2">
      <c r="A2658" s="2205" t="s">
        <v>2834</v>
      </c>
      <c r="B2658" s="2205">
        <v>0</v>
      </c>
    </row>
    <row r="2659" spans="1:2" x14ac:dyDescent="0.2">
      <c r="A2659" s="2205" t="s">
        <v>426</v>
      </c>
      <c r="B2659" s="2205">
        <v>36</v>
      </c>
    </row>
    <row r="2660" spans="1:2" x14ac:dyDescent="0.2">
      <c r="A2660" s="2205" t="s">
        <v>425</v>
      </c>
      <c r="B2660" s="2205">
        <v>2107.4499999999998</v>
      </c>
    </row>
    <row r="2661" spans="1:2" x14ac:dyDescent="0.2">
      <c r="A2661" s="2205" t="s">
        <v>423</v>
      </c>
      <c r="B2661" s="2205">
        <v>6419.6</v>
      </c>
    </row>
    <row r="2662" spans="1:2" x14ac:dyDescent="0.2">
      <c r="A2662" s="2205" t="s">
        <v>43</v>
      </c>
      <c r="B2662" s="2205">
        <v>430</v>
      </c>
    </row>
    <row r="2663" spans="1:2" x14ac:dyDescent="0.2">
      <c r="A2663" s="2205" t="s">
        <v>42</v>
      </c>
      <c r="B2663" s="2205">
        <v>0</v>
      </c>
    </row>
    <row r="2664" spans="1:2" x14ac:dyDescent="0.2">
      <c r="A2664" s="2205" t="s">
        <v>9304</v>
      </c>
      <c r="B2664" s="2205">
        <v>6905.07</v>
      </c>
    </row>
    <row r="2665" spans="1:2" x14ac:dyDescent="0.2">
      <c r="A2665" s="2205" t="s">
        <v>9305</v>
      </c>
      <c r="B2665" s="2205">
        <v>-4294.82</v>
      </c>
    </row>
    <row r="2666" spans="1:2" x14ac:dyDescent="0.2">
      <c r="A2666" s="2205" t="s">
        <v>9306</v>
      </c>
      <c r="B2666" s="2205">
        <v>372.82</v>
      </c>
    </row>
    <row r="2667" spans="1:2" x14ac:dyDescent="0.2">
      <c r="A2667" s="2205" t="s">
        <v>9307</v>
      </c>
      <c r="B2667" s="2205">
        <v>0</v>
      </c>
    </row>
    <row r="2668" spans="1:2" x14ac:dyDescent="0.2">
      <c r="A2668" s="2205" t="s">
        <v>9308</v>
      </c>
      <c r="B2668" s="2205">
        <v>-17169.64</v>
      </c>
    </row>
    <row r="2669" spans="1:2" x14ac:dyDescent="0.2">
      <c r="A2669" s="2205" t="s">
        <v>9309</v>
      </c>
      <c r="B2669" s="2205">
        <v>360</v>
      </c>
    </row>
    <row r="2670" spans="1:2" x14ac:dyDescent="0.2">
      <c r="A2670" s="2205" t="s">
        <v>9310</v>
      </c>
      <c r="B2670" s="2205">
        <v>86481.82</v>
      </c>
    </row>
    <row r="2671" spans="1:2" x14ac:dyDescent="0.2">
      <c r="A2671" s="2205" t="s">
        <v>9311</v>
      </c>
      <c r="B2671" s="2205">
        <v>-1200.0899999999999</v>
      </c>
    </row>
    <row r="2672" spans="1:2" x14ac:dyDescent="0.2">
      <c r="A2672" s="2205" t="s">
        <v>735</v>
      </c>
      <c r="B2672" s="2205">
        <v>9181.82</v>
      </c>
    </row>
    <row r="2673" spans="1:2" x14ac:dyDescent="0.2">
      <c r="A2673" s="2205" t="s">
        <v>2316</v>
      </c>
      <c r="B2673" s="2205">
        <v>1775</v>
      </c>
    </row>
    <row r="2674" spans="1:2" x14ac:dyDescent="0.2">
      <c r="A2674" s="2205" t="s">
        <v>207</v>
      </c>
      <c r="B2674" s="2205">
        <v>2651.3</v>
      </c>
    </row>
    <row r="2675" spans="1:2" x14ac:dyDescent="0.2">
      <c r="A2675" s="2205" t="s">
        <v>573</v>
      </c>
      <c r="B2675" s="2205">
        <v>2238.7399999999998</v>
      </c>
    </row>
    <row r="2676" spans="1:2" x14ac:dyDescent="0.2">
      <c r="A2676" s="2205" t="s">
        <v>1660</v>
      </c>
      <c r="B2676" s="2205">
        <v>135198.38</v>
      </c>
    </row>
    <row r="2677" spans="1:2" x14ac:dyDescent="0.2">
      <c r="A2677" s="2205" t="s">
        <v>9312</v>
      </c>
      <c r="B2677" s="2205">
        <v>-918.75</v>
      </c>
    </row>
    <row r="2678" spans="1:2" x14ac:dyDescent="0.2">
      <c r="A2678" s="2205" t="s">
        <v>9313</v>
      </c>
      <c r="B2678" s="2205">
        <v>131.69</v>
      </c>
    </row>
    <row r="2679" spans="1:2" x14ac:dyDescent="0.2">
      <c r="A2679" s="2205" t="s">
        <v>9314</v>
      </c>
      <c r="B2679" s="2205">
        <v>731.24</v>
      </c>
    </row>
    <row r="2680" spans="1:2" x14ac:dyDescent="0.2">
      <c r="A2680" s="2205" t="s">
        <v>736</v>
      </c>
      <c r="B2680" s="2205">
        <v>2632.23</v>
      </c>
    </row>
    <row r="2681" spans="1:2" x14ac:dyDescent="0.2">
      <c r="A2681" s="2205" t="s">
        <v>5427</v>
      </c>
      <c r="B2681" s="2205">
        <v>57049.72</v>
      </c>
    </row>
    <row r="2682" spans="1:2" x14ac:dyDescent="0.2">
      <c r="A2682" s="2205" t="s">
        <v>206</v>
      </c>
      <c r="B2682" s="2205">
        <v>9260.44</v>
      </c>
    </row>
    <row r="2683" spans="1:2" x14ac:dyDescent="0.2">
      <c r="A2683" s="2205" t="s">
        <v>9315</v>
      </c>
      <c r="B2683" s="2205">
        <v>-5756.65</v>
      </c>
    </row>
    <row r="2684" spans="1:2" x14ac:dyDescent="0.2">
      <c r="A2684" s="2205" t="s">
        <v>545</v>
      </c>
      <c r="B2684" s="2205">
        <v>13308.89</v>
      </c>
    </row>
    <row r="2685" spans="1:2" x14ac:dyDescent="0.2">
      <c r="A2685" s="2205" t="s">
        <v>172</v>
      </c>
      <c r="B2685" s="2205">
        <v>10750</v>
      </c>
    </row>
    <row r="2686" spans="1:2" x14ac:dyDescent="0.2">
      <c r="A2686" s="2205" t="s">
        <v>1799</v>
      </c>
      <c r="B2686" s="2205">
        <v>12680.42</v>
      </c>
    </row>
    <row r="2687" spans="1:2" x14ac:dyDescent="0.2">
      <c r="A2687" s="2205" t="s">
        <v>9316</v>
      </c>
      <c r="B2687" s="2205">
        <v>0</v>
      </c>
    </row>
    <row r="2688" spans="1:2" x14ac:dyDescent="0.2">
      <c r="A2688" s="2205" t="s">
        <v>9317</v>
      </c>
      <c r="B2688" s="2205">
        <v>-545.45000000000005</v>
      </c>
    </row>
    <row r="2689" spans="1:2" x14ac:dyDescent="0.2">
      <c r="A2689" s="2205" t="s">
        <v>9318</v>
      </c>
      <c r="B2689" s="2205">
        <v>-25893.72</v>
      </c>
    </row>
    <row r="2690" spans="1:2" x14ac:dyDescent="0.2">
      <c r="A2690" s="2205" t="s">
        <v>9319</v>
      </c>
      <c r="B2690" s="2205">
        <v>104.16</v>
      </c>
    </row>
    <row r="2691" spans="1:2" x14ac:dyDescent="0.2">
      <c r="A2691" s="2205" t="s">
        <v>6853</v>
      </c>
      <c r="B2691" s="2205">
        <v>0</v>
      </c>
    </row>
    <row r="2692" spans="1:2" x14ac:dyDescent="0.2">
      <c r="A2692" s="2205" t="s">
        <v>9320</v>
      </c>
      <c r="B2692" s="2205">
        <v>79.099999999999994</v>
      </c>
    </row>
    <row r="2693" spans="1:2" x14ac:dyDescent="0.2">
      <c r="A2693" s="2205" t="s">
        <v>9321</v>
      </c>
      <c r="B2693" s="2205">
        <v>1371.94</v>
      </c>
    </row>
    <row r="2694" spans="1:2" x14ac:dyDescent="0.2">
      <c r="A2694" s="2205" t="s">
        <v>6447</v>
      </c>
      <c r="B2694" s="2205">
        <v>3402.66</v>
      </c>
    </row>
    <row r="2695" spans="1:2" x14ac:dyDescent="0.2">
      <c r="A2695" s="2205" t="s">
        <v>326</v>
      </c>
      <c r="B2695" s="2205">
        <v>6232.18</v>
      </c>
    </row>
    <row r="2696" spans="1:2" x14ac:dyDescent="0.2">
      <c r="A2696" s="2205" t="s">
        <v>1175</v>
      </c>
      <c r="B2696" s="2205">
        <v>1317.49</v>
      </c>
    </row>
    <row r="2697" spans="1:2" x14ac:dyDescent="0.2">
      <c r="A2697" s="2205" t="s">
        <v>5986</v>
      </c>
      <c r="B2697" s="2205">
        <v>3670</v>
      </c>
    </row>
    <row r="2698" spans="1:2" x14ac:dyDescent="0.2">
      <c r="A2698" s="2205" t="s">
        <v>794</v>
      </c>
      <c r="B2698" s="2205">
        <v>7492.48</v>
      </c>
    </row>
    <row r="2699" spans="1:2" x14ac:dyDescent="0.2">
      <c r="A2699" s="2205" t="s">
        <v>795</v>
      </c>
      <c r="B2699" s="2205">
        <v>9225.84</v>
      </c>
    </row>
    <row r="2700" spans="1:2" x14ac:dyDescent="0.2">
      <c r="A2700" s="2205" t="s">
        <v>1633</v>
      </c>
      <c r="B2700" s="2205">
        <v>418</v>
      </c>
    </row>
    <row r="2701" spans="1:2" x14ac:dyDescent="0.2">
      <c r="A2701" s="2205" t="s">
        <v>9322</v>
      </c>
      <c r="B2701" s="2205">
        <v>53546</v>
      </c>
    </row>
    <row r="2702" spans="1:2" x14ac:dyDescent="0.2">
      <c r="A2702" s="2205" t="s">
        <v>4731</v>
      </c>
      <c r="B2702" s="2205">
        <v>13883.49</v>
      </c>
    </row>
    <row r="2703" spans="1:2" x14ac:dyDescent="0.2">
      <c r="A2703" s="2205" t="s">
        <v>9323</v>
      </c>
      <c r="B2703" s="2205">
        <v>-7280.55</v>
      </c>
    </row>
    <row r="2704" spans="1:2" x14ac:dyDescent="0.2">
      <c r="A2704" s="2205" t="s">
        <v>285</v>
      </c>
      <c r="B2704" s="2205">
        <v>20308.41</v>
      </c>
    </row>
    <row r="2705" spans="1:2" x14ac:dyDescent="0.2">
      <c r="A2705" s="2205" t="s">
        <v>284</v>
      </c>
      <c r="B2705" s="2205">
        <v>1232.25</v>
      </c>
    </row>
    <row r="2706" spans="1:2" x14ac:dyDescent="0.2">
      <c r="A2706" s="2205" t="s">
        <v>1026</v>
      </c>
      <c r="B2706" s="2205">
        <v>1428.41</v>
      </c>
    </row>
    <row r="2707" spans="1:2" x14ac:dyDescent="0.2">
      <c r="A2707" s="2205" t="s">
        <v>9324</v>
      </c>
      <c r="B2707" s="2205">
        <v>-4550</v>
      </c>
    </row>
    <row r="2708" spans="1:2" x14ac:dyDescent="0.2">
      <c r="A2708" s="2205" t="s">
        <v>1564</v>
      </c>
      <c r="B2708" s="2205">
        <v>7075.2</v>
      </c>
    </row>
    <row r="2709" spans="1:2" x14ac:dyDescent="0.2">
      <c r="A2709" s="2205" t="s">
        <v>1562</v>
      </c>
      <c r="B2709" s="2205">
        <v>3314.44</v>
      </c>
    </row>
    <row r="2710" spans="1:2" x14ac:dyDescent="0.2">
      <c r="A2710" s="2205" t="s">
        <v>2188</v>
      </c>
      <c r="B2710" s="2205">
        <v>1928.9</v>
      </c>
    </row>
    <row r="2711" spans="1:2" x14ac:dyDescent="0.2">
      <c r="A2711" s="2205" t="s">
        <v>9325</v>
      </c>
      <c r="B2711" s="2205">
        <v>-327.56</v>
      </c>
    </row>
    <row r="2712" spans="1:2" x14ac:dyDescent="0.2">
      <c r="A2712" s="2205" t="s">
        <v>2185</v>
      </c>
      <c r="B2712" s="2205">
        <v>6300.08</v>
      </c>
    </row>
    <row r="2713" spans="1:2" x14ac:dyDescent="0.2">
      <c r="A2713" s="2205" t="s">
        <v>3619</v>
      </c>
      <c r="B2713" s="2205">
        <v>0</v>
      </c>
    </row>
    <row r="2714" spans="1:2" x14ac:dyDescent="0.2">
      <c r="A2714" s="2205" t="s">
        <v>1676</v>
      </c>
      <c r="B2714" s="2205">
        <v>221.8</v>
      </c>
    </row>
    <row r="2715" spans="1:2" x14ac:dyDescent="0.2">
      <c r="A2715" s="2205" t="s">
        <v>9326</v>
      </c>
      <c r="B2715" s="2205">
        <v>245.24</v>
      </c>
    </row>
    <row r="2716" spans="1:2" x14ac:dyDescent="0.2">
      <c r="A2716" s="2205" t="s">
        <v>1989</v>
      </c>
      <c r="B2716" s="2205">
        <v>5926.17</v>
      </c>
    </row>
    <row r="2717" spans="1:2" x14ac:dyDescent="0.2">
      <c r="A2717" s="2205" t="s">
        <v>1484</v>
      </c>
      <c r="B2717" s="2205">
        <v>6887.56</v>
      </c>
    </row>
    <row r="2718" spans="1:2" x14ac:dyDescent="0.2">
      <c r="A2718" s="2205" t="s">
        <v>9327</v>
      </c>
      <c r="B2718" s="2205">
        <v>12308.07</v>
      </c>
    </row>
    <row r="2719" spans="1:2" x14ac:dyDescent="0.2">
      <c r="A2719" s="2205" t="s">
        <v>1483</v>
      </c>
      <c r="B2719" s="2205">
        <v>1472.74</v>
      </c>
    </row>
    <row r="2720" spans="1:2" x14ac:dyDescent="0.2">
      <c r="A2720" s="2205" t="s">
        <v>2279</v>
      </c>
      <c r="B2720" s="2205">
        <v>65793.38</v>
      </c>
    </row>
    <row r="2721" spans="1:2" x14ac:dyDescent="0.2">
      <c r="A2721" s="2205" t="s">
        <v>3197</v>
      </c>
      <c r="B2721" s="2205">
        <v>4186.28</v>
      </c>
    </row>
    <row r="2722" spans="1:2" x14ac:dyDescent="0.2">
      <c r="A2722" s="2205" t="s">
        <v>2343</v>
      </c>
      <c r="B2722" s="2205">
        <v>3082.96</v>
      </c>
    </row>
    <row r="2723" spans="1:2" x14ac:dyDescent="0.2">
      <c r="A2723" s="2205" t="s">
        <v>9328</v>
      </c>
      <c r="B2723" s="2205">
        <v>-6000</v>
      </c>
    </row>
    <row r="2724" spans="1:2" x14ac:dyDescent="0.2">
      <c r="A2724" s="2205" t="s">
        <v>5195</v>
      </c>
      <c r="B2724" s="2205">
        <v>970.45</v>
      </c>
    </row>
    <row r="2725" spans="1:2" x14ac:dyDescent="0.2">
      <c r="A2725" s="2205" t="s">
        <v>5193</v>
      </c>
      <c r="B2725" s="2205">
        <v>3688.28</v>
      </c>
    </row>
    <row r="2726" spans="1:2" x14ac:dyDescent="0.2">
      <c r="A2726" s="2205" t="s">
        <v>120</v>
      </c>
      <c r="B2726" s="2205">
        <v>4090.91</v>
      </c>
    </row>
    <row r="2727" spans="1:2" x14ac:dyDescent="0.2">
      <c r="A2727" s="2205" t="s">
        <v>9329</v>
      </c>
      <c r="B2727" s="2205">
        <v>-11486.76</v>
      </c>
    </row>
    <row r="2728" spans="1:2" x14ac:dyDescent="0.2">
      <c r="A2728" s="2205" t="s">
        <v>1180</v>
      </c>
      <c r="B2728" s="2205">
        <v>8299.5</v>
      </c>
    </row>
    <row r="2729" spans="1:2" x14ac:dyDescent="0.2">
      <c r="A2729" s="2205" t="s">
        <v>3150</v>
      </c>
      <c r="B2729" s="2205">
        <v>1489</v>
      </c>
    </row>
    <row r="2730" spans="1:2" x14ac:dyDescent="0.2">
      <c r="A2730" s="2205" t="s">
        <v>9330</v>
      </c>
      <c r="B2730" s="2205">
        <v>-7923</v>
      </c>
    </row>
    <row r="2731" spans="1:2" x14ac:dyDescent="0.2">
      <c r="A2731" s="2205" t="s">
        <v>1179</v>
      </c>
      <c r="B2731" s="2205">
        <v>2953.41</v>
      </c>
    </row>
    <row r="2732" spans="1:2" x14ac:dyDescent="0.2">
      <c r="A2732" s="2205" t="s">
        <v>6440</v>
      </c>
      <c r="B2732" s="2205">
        <v>4065</v>
      </c>
    </row>
    <row r="2733" spans="1:2" x14ac:dyDescent="0.2">
      <c r="A2733" s="2205" t="s">
        <v>1178</v>
      </c>
      <c r="B2733" s="2205">
        <v>503.64</v>
      </c>
    </row>
    <row r="2734" spans="1:2" x14ac:dyDescent="0.2">
      <c r="A2734" s="2205" t="s">
        <v>7019</v>
      </c>
      <c r="B2734" s="2205">
        <v>6032.9</v>
      </c>
    </row>
    <row r="2735" spans="1:2" x14ac:dyDescent="0.2">
      <c r="A2735" s="2205" t="s">
        <v>9331</v>
      </c>
      <c r="B2735" s="2205">
        <v>80.91</v>
      </c>
    </row>
    <row r="2736" spans="1:2" x14ac:dyDescent="0.2">
      <c r="A2736" s="2205" t="s">
        <v>9332</v>
      </c>
      <c r="B2736" s="2205">
        <v>1151</v>
      </c>
    </row>
    <row r="2737" spans="1:2" x14ac:dyDescent="0.2">
      <c r="A2737" s="2205" t="s">
        <v>6847</v>
      </c>
      <c r="B2737" s="2205">
        <v>15000</v>
      </c>
    </row>
    <row r="2738" spans="1:2" x14ac:dyDescent="0.2">
      <c r="A2738" s="2205" t="s">
        <v>9333</v>
      </c>
      <c r="B2738" s="2205">
        <v>-166.36</v>
      </c>
    </row>
    <row r="2739" spans="1:2" x14ac:dyDescent="0.2">
      <c r="A2739" s="2205" t="s">
        <v>4943</v>
      </c>
      <c r="B2739" s="2205">
        <v>2950</v>
      </c>
    </row>
    <row r="2740" spans="1:2" x14ac:dyDescent="0.2">
      <c r="A2740" s="2205" t="s">
        <v>4115</v>
      </c>
      <c r="B2740" s="2205">
        <v>0</v>
      </c>
    </row>
    <row r="2741" spans="1:2" x14ac:dyDescent="0.2">
      <c r="A2741" s="2205" t="s">
        <v>9334</v>
      </c>
      <c r="B2741" s="2205">
        <v>-25775</v>
      </c>
    </row>
    <row r="2742" spans="1:2" x14ac:dyDescent="0.2">
      <c r="A2742" s="2205" t="s">
        <v>9335</v>
      </c>
      <c r="B2742" s="2205">
        <v>0</v>
      </c>
    </row>
    <row r="2743" spans="1:2" x14ac:dyDescent="0.2">
      <c r="A2743" s="2205" t="s">
        <v>2052</v>
      </c>
      <c r="B2743" s="2205">
        <v>10830.68</v>
      </c>
    </row>
    <row r="2744" spans="1:2" x14ac:dyDescent="0.2">
      <c r="A2744" s="2205" t="s">
        <v>4117</v>
      </c>
      <c r="B2744" s="2205">
        <v>46.36</v>
      </c>
    </row>
    <row r="2745" spans="1:2" x14ac:dyDescent="0.2">
      <c r="A2745" s="2205" t="s">
        <v>6385</v>
      </c>
      <c r="B2745" s="2205">
        <v>2200</v>
      </c>
    </row>
    <row r="2746" spans="1:2" x14ac:dyDescent="0.2">
      <c r="A2746" s="2205" t="s">
        <v>3805</v>
      </c>
      <c r="B2746" s="2205">
        <v>7257.5</v>
      </c>
    </row>
    <row r="2747" spans="1:2" x14ac:dyDescent="0.2">
      <c r="A2747" s="2205" t="s">
        <v>2882</v>
      </c>
      <c r="B2747" s="2205">
        <v>0</v>
      </c>
    </row>
    <row r="2748" spans="1:2" x14ac:dyDescent="0.2">
      <c r="A2748" s="2205" t="s">
        <v>4114</v>
      </c>
      <c r="B2748" s="2205">
        <v>0</v>
      </c>
    </row>
    <row r="2749" spans="1:2" x14ac:dyDescent="0.2">
      <c r="A2749" s="2205" t="s">
        <v>9336</v>
      </c>
      <c r="B2749" s="2205">
        <v>6316.97</v>
      </c>
    </row>
    <row r="2750" spans="1:2" x14ac:dyDescent="0.2">
      <c r="A2750" s="2205" t="s">
        <v>3937</v>
      </c>
      <c r="B2750" s="2205">
        <v>10400</v>
      </c>
    </row>
    <row r="2751" spans="1:2" x14ac:dyDescent="0.2">
      <c r="A2751" s="2205" t="s">
        <v>9337</v>
      </c>
      <c r="B2751" s="2205">
        <v>3879.43</v>
      </c>
    </row>
    <row r="2752" spans="1:2" x14ac:dyDescent="0.2">
      <c r="A2752" s="2205" t="s">
        <v>3085</v>
      </c>
      <c r="B2752" s="2205">
        <v>0</v>
      </c>
    </row>
    <row r="2753" spans="1:2" x14ac:dyDescent="0.2">
      <c r="A2753" s="2205" t="s">
        <v>3087</v>
      </c>
      <c r="B2753" s="2205">
        <v>10267.030000000001</v>
      </c>
    </row>
    <row r="2754" spans="1:2" x14ac:dyDescent="0.2">
      <c r="A2754" s="2205" t="s">
        <v>3478</v>
      </c>
      <c r="B2754" s="2205">
        <v>2118.69</v>
      </c>
    </row>
    <row r="2755" spans="1:2" x14ac:dyDescent="0.2">
      <c r="A2755" s="2205" t="s">
        <v>1878</v>
      </c>
      <c r="B2755" s="2205">
        <v>0</v>
      </c>
    </row>
    <row r="2756" spans="1:2" x14ac:dyDescent="0.2">
      <c r="A2756" s="2205" t="s">
        <v>2950</v>
      </c>
      <c r="B2756" s="2205">
        <v>12838.84</v>
      </c>
    </row>
    <row r="2757" spans="1:2" x14ac:dyDescent="0.2">
      <c r="A2757" s="2205" t="s">
        <v>3083</v>
      </c>
      <c r="B2757" s="2205">
        <v>44597.53</v>
      </c>
    </row>
    <row r="2758" spans="1:2" x14ac:dyDescent="0.2">
      <c r="A2758" s="2205" t="s">
        <v>7024</v>
      </c>
      <c r="B2758" s="2205">
        <v>11773.08</v>
      </c>
    </row>
    <row r="2759" spans="1:2" x14ac:dyDescent="0.2">
      <c r="A2759" s="2205" t="s">
        <v>5519</v>
      </c>
      <c r="B2759" s="2205">
        <v>6895.03</v>
      </c>
    </row>
    <row r="2760" spans="1:2" x14ac:dyDescent="0.2">
      <c r="A2760" s="2205" t="s">
        <v>831</v>
      </c>
      <c r="B2760" s="2205">
        <v>55085.68</v>
      </c>
    </row>
    <row r="2761" spans="1:2" x14ac:dyDescent="0.2">
      <c r="A2761" s="2205" t="s">
        <v>1100</v>
      </c>
      <c r="B2761" s="2205">
        <v>21956.55</v>
      </c>
    </row>
    <row r="2762" spans="1:2" x14ac:dyDescent="0.2">
      <c r="A2762" s="2205" t="s">
        <v>1067</v>
      </c>
      <c r="B2762" s="2205">
        <v>1894.73</v>
      </c>
    </row>
    <row r="2763" spans="1:2" x14ac:dyDescent="0.2">
      <c r="A2763" s="2205" t="s">
        <v>830</v>
      </c>
      <c r="B2763" s="2205">
        <v>7329.39</v>
      </c>
    </row>
    <row r="2764" spans="1:2" x14ac:dyDescent="0.2">
      <c r="A2764" s="2205" t="s">
        <v>1217</v>
      </c>
      <c r="B2764" s="2205">
        <v>6341.98</v>
      </c>
    </row>
    <row r="2765" spans="1:2" x14ac:dyDescent="0.2">
      <c r="A2765" s="2205" t="s">
        <v>6384</v>
      </c>
      <c r="B2765" s="2205">
        <v>10275</v>
      </c>
    </row>
    <row r="2766" spans="1:2" x14ac:dyDescent="0.2">
      <c r="A2766" s="2205" t="s">
        <v>2123</v>
      </c>
      <c r="B2766" s="2205">
        <v>18489.48</v>
      </c>
    </row>
    <row r="2767" spans="1:2" x14ac:dyDescent="0.2">
      <c r="A2767" s="2205" t="s">
        <v>3184</v>
      </c>
      <c r="B2767" s="2205">
        <v>5053.8999999999996</v>
      </c>
    </row>
    <row r="2768" spans="1:2" x14ac:dyDescent="0.2">
      <c r="A2768" s="2205" t="s">
        <v>6845</v>
      </c>
      <c r="B2768" s="2205">
        <v>736.35</v>
      </c>
    </row>
    <row r="2769" spans="1:2" x14ac:dyDescent="0.2">
      <c r="A2769" s="2205" t="s">
        <v>4119</v>
      </c>
      <c r="B2769" s="2205">
        <v>15802.5</v>
      </c>
    </row>
    <row r="2770" spans="1:2" x14ac:dyDescent="0.2">
      <c r="A2770" s="2205" t="s">
        <v>4063</v>
      </c>
      <c r="B2770" s="2205">
        <v>0</v>
      </c>
    </row>
    <row r="2771" spans="1:2" x14ac:dyDescent="0.2">
      <c r="A2771" s="2205" t="s">
        <v>1491</v>
      </c>
      <c r="B2771" s="2205">
        <v>11374.46</v>
      </c>
    </row>
    <row r="2772" spans="1:2" x14ac:dyDescent="0.2">
      <c r="A2772" s="2205" t="s">
        <v>1493</v>
      </c>
      <c r="B2772" s="2205">
        <v>2780.6</v>
      </c>
    </row>
    <row r="2773" spans="1:2" x14ac:dyDescent="0.2">
      <c r="A2773" s="2205" t="s">
        <v>5407</v>
      </c>
      <c r="B2773" s="2205">
        <v>49397.07</v>
      </c>
    </row>
    <row r="2774" spans="1:2" x14ac:dyDescent="0.2">
      <c r="A2774" s="2205" t="s">
        <v>6848</v>
      </c>
      <c r="B2774" s="2205">
        <v>20401.919999999998</v>
      </c>
    </row>
    <row r="2775" spans="1:2" x14ac:dyDescent="0.2">
      <c r="A2775" s="2205" t="s">
        <v>3935</v>
      </c>
      <c r="B2775" s="2205">
        <v>1125</v>
      </c>
    </row>
    <row r="2776" spans="1:2" x14ac:dyDescent="0.2">
      <c r="A2776" s="2205" t="s">
        <v>9338</v>
      </c>
      <c r="B2776" s="2205">
        <v>0</v>
      </c>
    </row>
    <row r="2777" spans="1:2" x14ac:dyDescent="0.2">
      <c r="A2777" s="2205" t="s">
        <v>1489</v>
      </c>
      <c r="B2777" s="2205">
        <v>7951.45</v>
      </c>
    </row>
    <row r="2778" spans="1:2" x14ac:dyDescent="0.2">
      <c r="A2778" s="2205" t="s">
        <v>5362</v>
      </c>
      <c r="B2778" s="2205">
        <v>0</v>
      </c>
    </row>
    <row r="2779" spans="1:2" x14ac:dyDescent="0.2">
      <c r="A2779" s="2205" t="s">
        <v>5422</v>
      </c>
      <c r="B2779" s="2205">
        <v>12497.28</v>
      </c>
    </row>
    <row r="2780" spans="1:2" x14ac:dyDescent="0.2">
      <c r="A2780" s="2205" t="s">
        <v>9339</v>
      </c>
      <c r="B2780" s="2205">
        <v>472</v>
      </c>
    </row>
    <row r="2781" spans="1:2" x14ac:dyDescent="0.2">
      <c r="A2781" s="2205" t="s">
        <v>5194</v>
      </c>
      <c r="B2781" s="2205">
        <v>16804.599999999999</v>
      </c>
    </row>
    <row r="2782" spans="1:2" x14ac:dyDescent="0.2">
      <c r="A2782" s="2205" t="s">
        <v>9340</v>
      </c>
      <c r="B2782" s="2205">
        <v>24891.59</v>
      </c>
    </row>
    <row r="2783" spans="1:2" x14ac:dyDescent="0.2">
      <c r="A2783" s="2205" t="s">
        <v>9341</v>
      </c>
      <c r="B2783" s="2205">
        <v>3831.63</v>
      </c>
    </row>
    <row r="2784" spans="1:2" x14ac:dyDescent="0.2">
      <c r="A2784" s="2205" t="s">
        <v>9342</v>
      </c>
      <c r="B2784" s="2205">
        <v>-6446.5</v>
      </c>
    </row>
    <row r="2785" spans="1:2" x14ac:dyDescent="0.2">
      <c r="A2785" s="2205" t="s">
        <v>9343</v>
      </c>
      <c r="B2785" s="2205">
        <v>19147.78</v>
      </c>
    </row>
    <row r="2786" spans="1:2" x14ac:dyDescent="0.2">
      <c r="A2786" s="2205" t="s">
        <v>9344</v>
      </c>
      <c r="B2786" s="2205">
        <v>7456.77</v>
      </c>
    </row>
    <row r="2787" spans="1:2" x14ac:dyDescent="0.2">
      <c r="A2787" s="2205" t="s">
        <v>9345</v>
      </c>
      <c r="B2787" s="2205">
        <v>43898.31</v>
      </c>
    </row>
    <row r="2788" spans="1:2" x14ac:dyDescent="0.2">
      <c r="A2788" s="2205" t="s">
        <v>9346</v>
      </c>
      <c r="B2788" s="2205">
        <v>427.27</v>
      </c>
    </row>
    <row r="2789" spans="1:2" x14ac:dyDescent="0.2">
      <c r="A2789" s="2205" t="s">
        <v>9347</v>
      </c>
      <c r="B2789" s="2205">
        <v>4500.7299999999996</v>
      </c>
    </row>
    <row r="2790" spans="1:2" x14ac:dyDescent="0.2">
      <c r="A2790" s="2205" t="s">
        <v>9348</v>
      </c>
      <c r="B2790" s="2205">
        <v>3234.56</v>
      </c>
    </row>
    <row r="2791" spans="1:2" x14ac:dyDescent="0.2">
      <c r="A2791" s="2205" t="s">
        <v>9349</v>
      </c>
      <c r="B2791" s="2205">
        <v>4006.37</v>
      </c>
    </row>
    <row r="2792" spans="1:2" x14ac:dyDescent="0.2">
      <c r="A2792" s="2205" t="s">
        <v>9350</v>
      </c>
      <c r="B2792" s="2205">
        <v>3613.45</v>
      </c>
    </row>
    <row r="2793" spans="1:2" x14ac:dyDescent="0.2">
      <c r="A2793" s="2205" t="s">
        <v>9351</v>
      </c>
      <c r="B2793" s="2205">
        <v>3832.72</v>
      </c>
    </row>
    <row r="2794" spans="1:2" x14ac:dyDescent="0.2">
      <c r="A2794" s="2205" t="s">
        <v>9352</v>
      </c>
      <c r="B2794" s="2205">
        <v>1875.9</v>
      </c>
    </row>
    <row r="2795" spans="1:2" x14ac:dyDescent="0.2">
      <c r="A2795" s="2205" t="s">
        <v>9353</v>
      </c>
      <c r="B2795" s="2205">
        <v>2481.8200000000002</v>
      </c>
    </row>
    <row r="2796" spans="1:2" x14ac:dyDescent="0.2">
      <c r="A2796" s="2205" t="s">
        <v>9354</v>
      </c>
      <c r="B2796" s="2205">
        <v>646.25</v>
      </c>
    </row>
    <row r="2797" spans="1:2" x14ac:dyDescent="0.2">
      <c r="A2797" s="2205" t="s">
        <v>9355</v>
      </c>
      <c r="B2797" s="2205">
        <v>3943.55</v>
      </c>
    </row>
    <row r="2798" spans="1:2" x14ac:dyDescent="0.2">
      <c r="A2798" s="2205" t="s">
        <v>9356</v>
      </c>
      <c r="B2798" s="2205">
        <v>75.78</v>
      </c>
    </row>
    <row r="2799" spans="1:2" x14ac:dyDescent="0.2">
      <c r="A2799" s="2205" t="s">
        <v>9357</v>
      </c>
      <c r="B2799" s="2205">
        <v>422.73</v>
      </c>
    </row>
    <row r="2800" spans="1:2" x14ac:dyDescent="0.2">
      <c r="A2800" s="2205" t="s">
        <v>9358</v>
      </c>
      <c r="B2800" s="2205">
        <v>836.36</v>
      </c>
    </row>
    <row r="2801" spans="1:2" x14ac:dyDescent="0.2">
      <c r="A2801" s="2205" t="s">
        <v>9359</v>
      </c>
      <c r="B2801" s="2205">
        <v>763.63</v>
      </c>
    </row>
    <row r="2802" spans="1:2" x14ac:dyDescent="0.2">
      <c r="A2802" s="2205" t="s">
        <v>9360</v>
      </c>
      <c r="B2802" s="2205">
        <v>6202.5</v>
      </c>
    </row>
    <row r="2803" spans="1:2" x14ac:dyDescent="0.2">
      <c r="A2803" s="2205" t="s">
        <v>9361</v>
      </c>
      <c r="B2803" s="2205">
        <v>5211.59</v>
      </c>
    </row>
    <row r="2804" spans="1:2" x14ac:dyDescent="0.2">
      <c r="A2804" s="2205" t="s">
        <v>9362</v>
      </c>
      <c r="B2804" s="2205">
        <v>272.73</v>
      </c>
    </row>
    <row r="2805" spans="1:2" x14ac:dyDescent="0.2">
      <c r="A2805" s="2205" t="s">
        <v>9363</v>
      </c>
      <c r="B2805" s="2205">
        <v>3341.28</v>
      </c>
    </row>
    <row r="2806" spans="1:2" x14ac:dyDescent="0.2">
      <c r="A2806" s="2205" t="s">
        <v>9364</v>
      </c>
      <c r="B2806" s="2205">
        <v>4434.17</v>
      </c>
    </row>
    <row r="2807" spans="1:2" x14ac:dyDescent="0.2">
      <c r="A2807" s="2205" t="s">
        <v>9365</v>
      </c>
      <c r="B2807" s="2205">
        <v>1163.5899999999999</v>
      </c>
    </row>
    <row r="2808" spans="1:2" x14ac:dyDescent="0.2">
      <c r="A2808" s="2205" t="s">
        <v>9366</v>
      </c>
      <c r="B2808" s="2205">
        <v>498.68</v>
      </c>
    </row>
    <row r="2809" spans="1:2" x14ac:dyDescent="0.2">
      <c r="A2809" s="2205" t="s">
        <v>9367</v>
      </c>
      <c r="B2809" s="2205">
        <v>436.36</v>
      </c>
    </row>
    <row r="2810" spans="1:2" x14ac:dyDescent="0.2">
      <c r="A2810" s="2205" t="s">
        <v>9368</v>
      </c>
      <c r="B2810" s="2205">
        <v>600</v>
      </c>
    </row>
    <row r="2811" spans="1:2" x14ac:dyDescent="0.2">
      <c r="A2811" s="2205" t="s">
        <v>9369</v>
      </c>
      <c r="B2811" s="2205">
        <v>120</v>
      </c>
    </row>
    <row r="2812" spans="1:2" x14ac:dyDescent="0.2">
      <c r="A2812" s="2205" t="s">
        <v>9370</v>
      </c>
      <c r="B2812" s="2205">
        <v>512.87</v>
      </c>
    </row>
    <row r="2813" spans="1:2" x14ac:dyDescent="0.2">
      <c r="A2813" s="2205" t="s">
        <v>9371</v>
      </c>
      <c r="B2813" s="2205">
        <v>109.09</v>
      </c>
    </row>
    <row r="2814" spans="1:2" x14ac:dyDescent="0.2">
      <c r="A2814" s="2205" t="s">
        <v>9372</v>
      </c>
      <c r="B2814" s="2205">
        <v>6514.97</v>
      </c>
    </row>
    <row r="2815" spans="1:2" x14ac:dyDescent="0.2">
      <c r="A2815" s="2205" t="s">
        <v>9373</v>
      </c>
      <c r="B2815" s="2205">
        <v>1515.14</v>
      </c>
    </row>
    <row r="2816" spans="1:2" x14ac:dyDescent="0.2">
      <c r="A2816" s="2205" t="s">
        <v>9374</v>
      </c>
      <c r="B2816" s="2205">
        <v>24792.65</v>
      </c>
    </row>
    <row r="2817" spans="1:2" x14ac:dyDescent="0.2">
      <c r="A2817" s="2205" t="s">
        <v>9375</v>
      </c>
      <c r="B2817" s="2205">
        <v>68883.69</v>
      </c>
    </row>
    <row r="2818" spans="1:2" x14ac:dyDescent="0.2">
      <c r="A2818" s="2205" t="s">
        <v>9376</v>
      </c>
      <c r="B2818" s="2205">
        <v>420</v>
      </c>
    </row>
    <row r="2819" spans="1:2" x14ac:dyDescent="0.2">
      <c r="A2819" s="2205" t="s">
        <v>9377</v>
      </c>
      <c r="B2819" s="2205">
        <v>840</v>
      </c>
    </row>
    <row r="2820" spans="1:2" x14ac:dyDescent="0.2">
      <c r="A2820" s="2205" t="s">
        <v>9378</v>
      </c>
      <c r="B2820" s="2205">
        <v>2339.09</v>
      </c>
    </row>
    <row r="2821" spans="1:2" x14ac:dyDescent="0.2">
      <c r="A2821" s="2205" t="s">
        <v>9379</v>
      </c>
      <c r="B2821" s="2205">
        <v>464.2</v>
      </c>
    </row>
    <row r="2822" spans="1:2" x14ac:dyDescent="0.2">
      <c r="A2822" s="2205" t="s">
        <v>9380</v>
      </c>
      <c r="B2822" s="2205">
        <v>2792.28</v>
      </c>
    </row>
    <row r="2823" spans="1:2" x14ac:dyDescent="0.2">
      <c r="A2823" s="2205" t="s">
        <v>9381</v>
      </c>
      <c r="B2823" s="2205">
        <v>800</v>
      </c>
    </row>
    <row r="2824" spans="1:2" x14ac:dyDescent="0.2">
      <c r="A2824" s="2205" t="s">
        <v>9382</v>
      </c>
      <c r="B2824" s="2205">
        <v>501.81</v>
      </c>
    </row>
    <row r="2825" spans="1:2" x14ac:dyDescent="0.2">
      <c r="A2825" s="2205" t="s">
        <v>9383</v>
      </c>
      <c r="B2825" s="2205">
        <v>745.45</v>
      </c>
    </row>
    <row r="2826" spans="1:2" x14ac:dyDescent="0.2">
      <c r="A2826" s="2205" t="s">
        <v>9384</v>
      </c>
      <c r="B2826" s="2205">
        <v>581.82000000000005</v>
      </c>
    </row>
    <row r="2827" spans="1:2" x14ac:dyDescent="0.2">
      <c r="A2827" s="2205" t="s">
        <v>9385</v>
      </c>
      <c r="B2827" s="2205">
        <v>2055.91</v>
      </c>
    </row>
    <row r="2828" spans="1:2" x14ac:dyDescent="0.2">
      <c r="A2828" s="2205" t="s">
        <v>9386</v>
      </c>
      <c r="B2828" s="2205">
        <v>861.25</v>
      </c>
    </row>
    <row r="2829" spans="1:2" x14ac:dyDescent="0.2">
      <c r="A2829" s="2205" t="s">
        <v>9387</v>
      </c>
      <c r="B2829" s="2205">
        <v>2964.17</v>
      </c>
    </row>
    <row r="2830" spans="1:2" x14ac:dyDescent="0.2">
      <c r="A2830" s="2205" t="s">
        <v>9388</v>
      </c>
      <c r="B2830" s="2205">
        <v>12634.65</v>
      </c>
    </row>
    <row r="2831" spans="1:2" x14ac:dyDescent="0.2">
      <c r="A2831" s="2205" t="s">
        <v>9389</v>
      </c>
      <c r="B2831" s="2205">
        <v>17230.419999999998</v>
      </c>
    </row>
    <row r="2832" spans="1:2" x14ac:dyDescent="0.2">
      <c r="A2832" s="2205" t="s">
        <v>9390</v>
      </c>
      <c r="B2832" s="2205">
        <v>1309.08</v>
      </c>
    </row>
    <row r="2833" spans="1:2" x14ac:dyDescent="0.2">
      <c r="A2833" s="2205" t="s">
        <v>9391</v>
      </c>
      <c r="B2833" s="2205">
        <v>19906.11</v>
      </c>
    </row>
    <row r="2834" spans="1:2" x14ac:dyDescent="0.2">
      <c r="A2834" s="2205" t="s">
        <v>9392</v>
      </c>
      <c r="B2834" s="2205">
        <v>79733.25</v>
      </c>
    </row>
    <row r="2835" spans="1:2" x14ac:dyDescent="0.2">
      <c r="A2835" s="2205" t="s">
        <v>9393</v>
      </c>
      <c r="B2835" s="2205">
        <v>263.64</v>
      </c>
    </row>
    <row r="2836" spans="1:2" x14ac:dyDescent="0.2">
      <c r="A2836" s="2205" t="s">
        <v>9394</v>
      </c>
      <c r="B2836" s="2205">
        <v>374.04</v>
      </c>
    </row>
    <row r="2837" spans="1:2" x14ac:dyDescent="0.2">
      <c r="A2837" s="2205" t="s">
        <v>9395</v>
      </c>
      <c r="B2837" s="2205">
        <v>3613.54</v>
      </c>
    </row>
    <row r="2838" spans="1:2" x14ac:dyDescent="0.2">
      <c r="A2838" s="2205" t="s">
        <v>9396</v>
      </c>
      <c r="B2838" s="2205">
        <v>4874.28</v>
      </c>
    </row>
    <row r="2839" spans="1:2" x14ac:dyDescent="0.2">
      <c r="A2839" s="2205" t="s">
        <v>9397</v>
      </c>
      <c r="B2839" s="2205">
        <v>2181.81</v>
      </c>
    </row>
    <row r="2840" spans="1:2" x14ac:dyDescent="0.2">
      <c r="A2840" s="2205" t="s">
        <v>9398</v>
      </c>
      <c r="B2840" s="2205">
        <v>1418.17</v>
      </c>
    </row>
    <row r="2841" spans="1:2" x14ac:dyDescent="0.2">
      <c r="A2841" s="2205" t="s">
        <v>9399</v>
      </c>
      <c r="B2841" s="2205">
        <v>1122.1300000000001</v>
      </c>
    </row>
    <row r="2842" spans="1:2" x14ac:dyDescent="0.2">
      <c r="A2842" s="2205" t="s">
        <v>9400</v>
      </c>
      <c r="B2842" s="2205">
        <v>2082.73</v>
      </c>
    </row>
    <row r="2843" spans="1:2" x14ac:dyDescent="0.2">
      <c r="A2843" s="2205" t="s">
        <v>9401</v>
      </c>
      <c r="B2843" s="2205">
        <v>326.55</v>
      </c>
    </row>
    <row r="2844" spans="1:2" x14ac:dyDescent="0.2">
      <c r="A2844" s="2205" t="s">
        <v>9402</v>
      </c>
      <c r="B2844" s="2205">
        <v>755.23</v>
      </c>
    </row>
    <row r="2845" spans="1:2" x14ac:dyDescent="0.2">
      <c r="A2845" s="2205" t="s">
        <v>9403</v>
      </c>
      <c r="B2845" s="2205">
        <v>1925.67</v>
      </c>
    </row>
    <row r="2846" spans="1:2" x14ac:dyDescent="0.2">
      <c r="A2846" s="2205" t="s">
        <v>9404</v>
      </c>
      <c r="B2846" s="2205">
        <v>566.25</v>
      </c>
    </row>
    <row r="2847" spans="1:2" x14ac:dyDescent="0.2">
      <c r="A2847" s="2205" t="s">
        <v>9405</v>
      </c>
      <c r="B2847" s="2205">
        <v>1092.73</v>
      </c>
    </row>
    <row r="2848" spans="1:2" x14ac:dyDescent="0.2">
      <c r="A2848" s="2205" t="s">
        <v>9406</v>
      </c>
      <c r="B2848" s="2205">
        <v>630</v>
      </c>
    </row>
    <row r="2849" spans="1:2" x14ac:dyDescent="0.2">
      <c r="A2849" s="2205" t="s">
        <v>9407</v>
      </c>
      <c r="B2849" s="2205">
        <v>47914.28</v>
      </c>
    </row>
    <row r="2850" spans="1:2" x14ac:dyDescent="0.2">
      <c r="A2850" s="2205" t="s">
        <v>9408</v>
      </c>
      <c r="B2850" s="2205">
        <v>145.44999999999999</v>
      </c>
    </row>
    <row r="2851" spans="1:2" x14ac:dyDescent="0.2">
      <c r="A2851" s="2205" t="s">
        <v>9409</v>
      </c>
      <c r="B2851" s="2205">
        <v>22488.61</v>
      </c>
    </row>
    <row r="2852" spans="1:2" x14ac:dyDescent="0.2">
      <c r="A2852" s="2205" t="s">
        <v>9410</v>
      </c>
      <c r="B2852" s="2205">
        <v>4123.6400000000003</v>
      </c>
    </row>
    <row r="2853" spans="1:2" x14ac:dyDescent="0.2">
      <c r="A2853" s="2205" t="s">
        <v>9411</v>
      </c>
      <c r="B2853" s="2205">
        <v>822.5</v>
      </c>
    </row>
    <row r="2854" spans="1:2" x14ac:dyDescent="0.2">
      <c r="A2854" s="2205" t="s">
        <v>9412</v>
      </c>
      <c r="B2854" s="2205">
        <v>411.25</v>
      </c>
    </row>
    <row r="2855" spans="1:2" x14ac:dyDescent="0.2">
      <c r="A2855" s="2205" t="s">
        <v>9413</v>
      </c>
      <c r="B2855" s="2205">
        <v>268.75</v>
      </c>
    </row>
    <row r="2856" spans="1:2" x14ac:dyDescent="0.2">
      <c r="A2856" s="2205" t="s">
        <v>9414</v>
      </c>
      <c r="B2856" s="2205">
        <v>352.5</v>
      </c>
    </row>
    <row r="2857" spans="1:2" x14ac:dyDescent="0.2">
      <c r="A2857" s="2205" t="s">
        <v>9415</v>
      </c>
      <c r="B2857" s="2205">
        <v>463.75</v>
      </c>
    </row>
    <row r="2858" spans="1:2" x14ac:dyDescent="0.2">
      <c r="A2858" s="2205" t="s">
        <v>9416</v>
      </c>
      <c r="B2858" s="2205">
        <v>1057.5</v>
      </c>
    </row>
    <row r="2859" spans="1:2" x14ac:dyDescent="0.2">
      <c r="A2859" s="2205" t="s">
        <v>9417</v>
      </c>
      <c r="B2859" s="2205">
        <v>998.75</v>
      </c>
    </row>
    <row r="2860" spans="1:2" x14ac:dyDescent="0.2">
      <c r="A2860" s="2205" t="s">
        <v>9418</v>
      </c>
      <c r="B2860" s="2205">
        <v>1938.75</v>
      </c>
    </row>
    <row r="2861" spans="1:2" x14ac:dyDescent="0.2">
      <c r="A2861" s="2205" t="s">
        <v>9419</v>
      </c>
      <c r="B2861" s="2205">
        <v>352.5</v>
      </c>
    </row>
    <row r="2862" spans="1:2" x14ac:dyDescent="0.2">
      <c r="A2862" s="2205" t="s">
        <v>9420</v>
      </c>
      <c r="B2862" s="2205">
        <v>1102.5</v>
      </c>
    </row>
    <row r="2863" spans="1:2" x14ac:dyDescent="0.2">
      <c r="A2863" s="2205" t="s">
        <v>9421</v>
      </c>
      <c r="B2863" s="2205">
        <v>1057.5</v>
      </c>
    </row>
    <row r="2864" spans="1:2" x14ac:dyDescent="0.2">
      <c r="A2864" s="2205" t="s">
        <v>9422</v>
      </c>
      <c r="B2864" s="2205">
        <v>1209.45</v>
      </c>
    </row>
    <row r="2865" spans="1:2" x14ac:dyDescent="0.2">
      <c r="A2865" s="2205" t="s">
        <v>9423</v>
      </c>
      <c r="B2865" s="2205">
        <v>309.08999999999997</v>
      </c>
    </row>
    <row r="2866" spans="1:2" x14ac:dyDescent="0.2">
      <c r="A2866" s="2205" t="s">
        <v>9424</v>
      </c>
      <c r="B2866" s="2205">
        <v>2337.27</v>
      </c>
    </row>
    <row r="2867" spans="1:2" x14ac:dyDescent="0.2">
      <c r="A2867" s="2205" t="s">
        <v>9425</v>
      </c>
      <c r="B2867" s="2205">
        <v>1820</v>
      </c>
    </row>
    <row r="2868" spans="1:2" x14ac:dyDescent="0.2">
      <c r="A2868" s="2205" t="s">
        <v>9426</v>
      </c>
      <c r="B2868" s="2205">
        <v>3412.5</v>
      </c>
    </row>
    <row r="2869" spans="1:2" x14ac:dyDescent="0.2">
      <c r="A2869" s="2205" t="s">
        <v>9427</v>
      </c>
      <c r="B2869" s="2205">
        <v>948.86</v>
      </c>
    </row>
    <row r="2870" spans="1:2" x14ac:dyDescent="0.2">
      <c r="A2870" s="2205" t="s">
        <v>9428</v>
      </c>
      <c r="B2870" s="2205">
        <v>4817.5</v>
      </c>
    </row>
    <row r="2871" spans="1:2" x14ac:dyDescent="0.2">
      <c r="A2871" s="2205" t="s">
        <v>9429</v>
      </c>
      <c r="B2871" s="2205">
        <v>587.5</v>
      </c>
    </row>
    <row r="2872" spans="1:2" x14ac:dyDescent="0.2">
      <c r="A2872" s="2205" t="s">
        <v>9430</v>
      </c>
      <c r="B2872" s="2205">
        <v>1163.6300000000001</v>
      </c>
    </row>
    <row r="2873" spans="1:2" x14ac:dyDescent="0.2">
      <c r="A2873" s="2205" t="s">
        <v>9431</v>
      </c>
      <c r="B2873" s="2205">
        <v>2115</v>
      </c>
    </row>
    <row r="2874" spans="1:2" x14ac:dyDescent="0.2">
      <c r="A2874" s="2205" t="s">
        <v>9432</v>
      </c>
      <c r="B2874" s="2205">
        <v>8908.6299999999992</v>
      </c>
    </row>
    <row r="2875" spans="1:2" x14ac:dyDescent="0.2">
      <c r="A2875" s="2205" t="s">
        <v>9433</v>
      </c>
      <c r="B2875" s="2205">
        <v>14505.68</v>
      </c>
    </row>
    <row r="2876" spans="1:2" x14ac:dyDescent="0.2">
      <c r="A2876" s="2205" t="s">
        <v>9434</v>
      </c>
      <c r="B2876" s="2205">
        <v>760.91</v>
      </c>
    </row>
    <row r="2877" spans="1:2" x14ac:dyDescent="0.2">
      <c r="A2877" s="2205" t="s">
        <v>9435</v>
      </c>
      <c r="B2877" s="2205">
        <v>1985.46</v>
      </c>
    </row>
    <row r="2878" spans="1:2" x14ac:dyDescent="0.2">
      <c r="A2878" s="2205" t="s">
        <v>9436</v>
      </c>
      <c r="B2878" s="2205">
        <v>720</v>
      </c>
    </row>
    <row r="2879" spans="1:2" x14ac:dyDescent="0.2">
      <c r="A2879" s="2205" t="s">
        <v>9437</v>
      </c>
      <c r="B2879" s="2205">
        <v>410</v>
      </c>
    </row>
    <row r="2880" spans="1:2" x14ac:dyDescent="0.2">
      <c r="A2880" s="2205" t="s">
        <v>9438</v>
      </c>
      <c r="B2880" s="2205">
        <v>4576.25</v>
      </c>
    </row>
    <row r="2881" spans="1:2" x14ac:dyDescent="0.2">
      <c r="A2881" s="2205" t="s">
        <v>9439</v>
      </c>
      <c r="B2881" s="2205">
        <v>2180.91</v>
      </c>
    </row>
    <row r="2882" spans="1:2" x14ac:dyDescent="0.2">
      <c r="A2882" s="2205" t="s">
        <v>9440</v>
      </c>
      <c r="B2882" s="2205">
        <v>391.36</v>
      </c>
    </row>
    <row r="2883" spans="1:2" x14ac:dyDescent="0.2">
      <c r="A2883" s="2205" t="s">
        <v>9441</v>
      </c>
      <c r="B2883" s="2205">
        <v>1300.9100000000001</v>
      </c>
    </row>
    <row r="2884" spans="1:2" x14ac:dyDescent="0.2">
      <c r="A2884" s="2205" t="s">
        <v>9442</v>
      </c>
      <c r="B2884" s="2205">
        <v>16162.59</v>
      </c>
    </row>
    <row r="2885" spans="1:2" x14ac:dyDescent="0.2">
      <c r="A2885" s="2205" t="s">
        <v>9443</v>
      </c>
      <c r="B2885" s="2205">
        <v>1834.3</v>
      </c>
    </row>
    <row r="2886" spans="1:2" x14ac:dyDescent="0.2">
      <c r="A2886" s="2205" t="s">
        <v>9444</v>
      </c>
      <c r="B2886" s="2205">
        <v>596.36</v>
      </c>
    </row>
    <row r="2887" spans="1:2" x14ac:dyDescent="0.2">
      <c r="A2887" s="2205" t="s">
        <v>9445</v>
      </c>
      <c r="B2887" s="2205">
        <v>1363.64</v>
      </c>
    </row>
    <row r="2888" spans="1:2" x14ac:dyDescent="0.2">
      <c r="A2888" s="2205" t="s">
        <v>9446</v>
      </c>
      <c r="B2888" s="2205">
        <v>581.82000000000005</v>
      </c>
    </row>
    <row r="2889" spans="1:2" x14ac:dyDescent="0.2">
      <c r="A2889" s="2205" t="s">
        <v>9447</v>
      </c>
      <c r="B2889" s="2205">
        <v>2722.27</v>
      </c>
    </row>
    <row r="2890" spans="1:2" x14ac:dyDescent="0.2">
      <c r="A2890" s="2205" t="s">
        <v>9448</v>
      </c>
      <c r="B2890" s="2205">
        <v>5705.44</v>
      </c>
    </row>
    <row r="2891" spans="1:2" x14ac:dyDescent="0.2">
      <c r="A2891" s="2205" t="s">
        <v>9449</v>
      </c>
      <c r="B2891" s="2205">
        <v>5393.64</v>
      </c>
    </row>
    <row r="2892" spans="1:2" x14ac:dyDescent="0.2">
      <c r="A2892" s="2205" t="s">
        <v>9450</v>
      </c>
      <c r="B2892" s="2205">
        <v>530.63</v>
      </c>
    </row>
    <row r="2893" spans="1:2" x14ac:dyDescent="0.2">
      <c r="A2893" s="2205" t="s">
        <v>9451</v>
      </c>
      <c r="B2893" s="2205">
        <v>720</v>
      </c>
    </row>
    <row r="2894" spans="1:2" x14ac:dyDescent="0.2">
      <c r="A2894" s="2205" t="s">
        <v>9452</v>
      </c>
      <c r="B2894" s="2205">
        <v>1084.0899999999999</v>
      </c>
    </row>
    <row r="2895" spans="1:2" x14ac:dyDescent="0.2">
      <c r="A2895" s="2205" t="s">
        <v>9453</v>
      </c>
      <c r="B2895" s="2205">
        <v>178.63</v>
      </c>
    </row>
    <row r="2896" spans="1:2" x14ac:dyDescent="0.2">
      <c r="A2896" s="2205" t="s">
        <v>9454</v>
      </c>
      <c r="B2896" s="2205">
        <v>272.73</v>
      </c>
    </row>
    <row r="2897" spans="1:2" x14ac:dyDescent="0.2">
      <c r="A2897" s="2205" t="s">
        <v>9455</v>
      </c>
      <c r="B2897" s="2205">
        <v>4152.1499999999996</v>
      </c>
    </row>
    <row r="2898" spans="1:2" x14ac:dyDescent="0.2">
      <c r="A2898" s="2205" t="s">
        <v>9456</v>
      </c>
      <c r="B2898" s="2205">
        <v>0</v>
      </c>
    </row>
    <row r="2899" spans="1:2" x14ac:dyDescent="0.2">
      <c r="A2899" s="2205" t="s">
        <v>9457</v>
      </c>
      <c r="B2899" s="2205">
        <v>1950</v>
      </c>
    </row>
    <row r="2900" spans="1:2" x14ac:dyDescent="0.2">
      <c r="A2900" s="2205" t="s">
        <v>9458</v>
      </c>
      <c r="B2900" s="2205">
        <v>1904.43</v>
      </c>
    </row>
    <row r="2901" spans="1:2" x14ac:dyDescent="0.2">
      <c r="A2901" s="2205" t="s">
        <v>9459</v>
      </c>
      <c r="B2901" s="2205">
        <v>1172.73</v>
      </c>
    </row>
    <row r="2902" spans="1:2" x14ac:dyDescent="0.2">
      <c r="A2902" s="2205" t="s">
        <v>9460</v>
      </c>
      <c r="B2902" s="2205">
        <v>1595.46</v>
      </c>
    </row>
    <row r="2903" spans="1:2" x14ac:dyDescent="0.2">
      <c r="A2903" s="2205" t="s">
        <v>9461</v>
      </c>
      <c r="B2903" s="2205">
        <v>1333.45</v>
      </c>
    </row>
    <row r="2904" spans="1:2" x14ac:dyDescent="0.2">
      <c r="A2904" s="2205" t="s">
        <v>9462</v>
      </c>
      <c r="B2904" s="2205">
        <v>19757.330000000002</v>
      </c>
    </row>
    <row r="2905" spans="1:2" x14ac:dyDescent="0.2">
      <c r="A2905" s="2205" t="s">
        <v>9463</v>
      </c>
      <c r="B2905" s="2205">
        <v>17693.03</v>
      </c>
    </row>
    <row r="2906" spans="1:2" x14ac:dyDescent="0.2">
      <c r="A2906" s="2205" t="s">
        <v>9464</v>
      </c>
      <c r="B2906" s="2205">
        <v>25183.91</v>
      </c>
    </row>
    <row r="2907" spans="1:2" x14ac:dyDescent="0.2">
      <c r="A2907" s="2205" t="s">
        <v>9465</v>
      </c>
      <c r="B2907" s="2205">
        <v>1852.98</v>
      </c>
    </row>
    <row r="2908" spans="1:2" x14ac:dyDescent="0.2">
      <c r="A2908" s="2205" t="s">
        <v>9466</v>
      </c>
      <c r="B2908" s="2205">
        <v>2501.34</v>
      </c>
    </row>
    <row r="2909" spans="1:2" x14ac:dyDescent="0.2">
      <c r="A2909" s="2205" t="s">
        <v>9467</v>
      </c>
      <c r="B2909" s="2205">
        <v>458.18</v>
      </c>
    </row>
    <row r="2910" spans="1:2" x14ac:dyDescent="0.2">
      <c r="A2910" s="2205" t="s">
        <v>9468</v>
      </c>
      <c r="B2910" s="2205">
        <v>1194.6400000000001</v>
      </c>
    </row>
    <row r="2911" spans="1:2" x14ac:dyDescent="0.2">
      <c r="A2911" s="2205" t="s">
        <v>9469</v>
      </c>
      <c r="B2911" s="2205">
        <v>2753.86</v>
      </c>
    </row>
    <row r="2912" spans="1:2" x14ac:dyDescent="0.2">
      <c r="A2912" s="2205" t="s">
        <v>9470</v>
      </c>
      <c r="B2912" s="2205">
        <v>15038.24</v>
      </c>
    </row>
    <row r="2913" spans="1:2" x14ac:dyDescent="0.2">
      <c r="A2913" s="2205" t="s">
        <v>9471</v>
      </c>
      <c r="B2913" s="2205">
        <v>7818.9</v>
      </c>
    </row>
    <row r="2914" spans="1:2" x14ac:dyDescent="0.2">
      <c r="A2914" s="2205" t="s">
        <v>9472</v>
      </c>
      <c r="B2914" s="2205">
        <v>5673</v>
      </c>
    </row>
    <row r="2915" spans="1:2" x14ac:dyDescent="0.2">
      <c r="A2915" s="2205" t="s">
        <v>9473</v>
      </c>
      <c r="B2915" s="2205">
        <v>12757.41</v>
      </c>
    </row>
    <row r="2916" spans="1:2" x14ac:dyDescent="0.2">
      <c r="A2916" s="2205" t="s">
        <v>9474</v>
      </c>
      <c r="B2916" s="2205">
        <v>20996.34</v>
      </c>
    </row>
    <row r="2917" spans="1:2" x14ac:dyDescent="0.2">
      <c r="A2917" s="2205" t="s">
        <v>9475</v>
      </c>
      <c r="B2917" s="2205">
        <v>2136.36</v>
      </c>
    </row>
    <row r="2918" spans="1:2" x14ac:dyDescent="0.2">
      <c r="A2918" s="2205" t="s">
        <v>9476</v>
      </c>
      <c r="B2918" s="2205">
        <v>6854.25</v>
      </c>
    </row>
    <row r="2919" spans="1:2" x14ac:dyDescent="0.2">
      <c r="A2919" s="2205" t="s">
        <v>9477</v>
      </c>
      <c r="B2919" s="2205">
        <v>7508.44</v>
      </c>
    </row>
    <row r="2920" spans="1:2" x14ac:dyDescent="0.2">
      <c r="A2920" s="2205" t="s">
        <v>9478</v>
      </c>
      <c r="B2920" s="2205">
        <v>15426.52</v>
      </c>
    </row>
    <row r="2921" spans="1:2" x14ac:dyDescent="0.2">
      <c r="A2921" s="2205" t="s">
        <v>9479</v>
      </c>
      <c r="B2921" s="2205">
        <v>1985.45</v>
      </c>
    </row>
    <row r="2922" spans="1:2" x14ac:dyDescent="0.2">
      <c r="A2922" s="2205" t="s">
        <v>9480</v>
      </c>
      <c r="B2922" s="2205">
        <v>1178.18</v>
      </c>
    </row>
    <row r="2923" spans="1:2" x14ac:dyDescent="0.2">
      <c r="A2923" s="2205" t="s">
        <v>9481</v>
      </c>
      <c r="B2923" s="2205">
        <v>2670.09</v>
      </c>
    </row>
    <row r="2924" spans="1:2" x14ac:dyDescent="0.2">
      <c r="A2924" s="2205" t="s">
        <v>9482</v>
      </c>
      <c r="B2924" s="2205">
        <v>558.80999999999995</v>
      </c>
    </row>
    <row r="2925" spans="1:2" x14ac:dyDescent="0.2">
      <c r="A2925" s="2205" t="s">
        <v>9483</v>
      </c>
      <c r="B2925" s="2205">
        <v>163.36000000000001</v>
      </c>
    </row>
    <row r="2926" spans="1:2" x14ac:dyDescent="0.2">
      <c r="A2926" s="2205" t="s">
        <v>9484</v>
      </c>
      <c r="B2926" s="2205">
        <v>218.18</v>
      </c>
    </row>
    <row r="2927" spans="1:2" x14ac:dyDescent="0.2">
      <c r="A2927" s="2205" t="s">
        <v>9485</v>
      </c>
      <c r="B2927" s="2205">
        <v>272.73</v>
      </c>
    </row>
    <row r="2928" spans="1:2" x14ac:dyDescent="0.2">
      <c r="A2928" s="2205" t="s">
        <v>9486</v>
      </c>
      <c r="B2928" s="2205">
        <v>1718.19</v>
      </c>
    </row>
    <row r="2929" spans="1:2" x14ac:dyDescent="0.2">
      <c r="A2929" s="2205" t="s">
        <v>9487</v>
      </c>
      <c r="B2929" s="2205">
        <v>75.78</v>
      </c>
    </row>
    <row r="2930" spans="1:2" x14ac:dyDescent="0.2">
      <c r="A2930" s="2205" t="s">
        <v>9488</v>
      </c>
      <c r="B2930" s="2205">
        <v>0</v>
      </c>
    </row>
    <row r="2931" spans="1:2" x14ac:dyDescent="0.2">
      <c r="A2931" s="2205" t="s">
        <v>9489</v>
      </c>
      <c r="B2931" s="2205">
        <v>870</v>
      </c>
    </row>
    <row r="2932" spans="1:2" x14ac:dyDescent="0.2">
      <c r="A2932" s="2205" t="s">
        <v>9490</v>
      </c>
      <c r="B2932" s="2205">
        <v>-387.68</v>
      </c>
    </row>
    <row r="2933" spans="1:2" x14ac:dyDescent="0.2">
      <c r="A2933" s="2205" t="s">
        <v>9491</v>
      </c>
      <c r="B2933" s="2205">
        <v>872.75</v>
      </c>
    </row>
    <row r="2934" spans="1:2" x14ac:dyDescent="0.2">
      <c r="A2934" s="2205" t="s">
        <v>9492</v>
      </c>
      <c r="B2934" s="2205">
        <v>1173.52</v>
      </c>
    </row>
    <row r="2935" spans="1:2" x14ac:dyDescent="0.2">
      <c r="A2935" s="2205" t="s">
        <v>9493</v>
      </c>
      <c r="B2935" s="2205">
        <v>870.34</v>
      </c>
    </row>
    <row r="2936" spans="1:2" x14ac:dyDescent="0.2">
      <c r="A2936" s="2205" t="s">
        <v>9494</v>
      </c>
      <c r="B2936" s="2205">
        <v>622.04999999999995</v>
      </c>
    </row>
    <row r="2937" spans="1:2" x14ac:dyDescent="0.2">
      <c r="A2937" s="2205" t="s">
        <v>9495</v>
      </c>
      <c r="B2937" s="2205">
        <v>831.14</v>
      </c>
    </row>
    <row r="2938" spans="1:2" x14ac:dyDescent="0.2">
      <c r="A2938" s="2205" t="s">
        <v>9496</v>
      </c>
      <c r="B2938" s="2205">
        <v>1186.5899999999999</v>
      </c>
    </row>
    <row r="2939" spans="1:2" x14ac:dyDescent="0.2">
      <c r="A2939" s="2205" t="s">
        <v>9497</v>
      </c>
      <c r="B2939" s="2205">
        <v>836.36</v>
      </c>
    </row>
    <row r="2940" spans="1:2" x14ac:dyDescent="0.2">
      <c r="A2940" s="2205" t="s">
        <v>9498</v>
      </c>
      <c r="B2940" s="2205">
        <v>11055.66</v>
      </c>
    </row>
    <row r="2941" spans="1:2" x14ac:dyDescent="0.2">
      <c r="A2941" s="2205" t="s">
        <v>9499</v>
      </c>
      <c r="B2941" s="2205">
        <v>757.95</v>
      </c>
    </row>
    <row r="2942" spans="1:2" x14ac:dyDescent="0.2">
      <c r="A2942" s="2205" t="s">
        <v>9500</v>
      </c>
      <c r="B2942" s="2205">
        <v>1018.18</v>
      </c>
    </row>
    <row r="2943" spans="1:2" x14ac:dyDescent="0.2">
      <c r="A2943" s="2205" t="s">
        <v>9501</v>
      </c>
      <c r="B2943" s="2205">
        <v>318.18</v>
      </c>
    </row>
    <row r="2944" spans="1:2" x14ac:dyDescent="0.2">
      <c r="A2944" s="2205" t="s">
        <v>9502</v>
      </c>
      <c r="B2944" s="2205">
        <v>65.91</v>
      </c>
    </row>
    <row r="2945" spans="1:2" x14ac:dyDescent="0.2">
      <c r="A2945" s="2205" t="s">
        <v>9503</v>
      </c>
      <c r="B2945" s="2205">
        <v>122.73</v>
      </c>
    </row>
    <row r="2946" spans="1:2" x14ac:dyDescent="0.2">
      <c r="A2946" s="2205" t="s">
        <v>9504</v>
      </c>
      <c r="B2946" s="2205">
        <v>436.36</v>
      </c>
    </row>
    <row r="2947" spans="1:2" x14ac:dyDescent="0.2">
      <c r="A2947" s="2205" t="s">
        <v>9505</v>
      </c>
      <c r="B2947" s="2205">
        <v>1357.5</v>
      </c>
    </row>
    <row r="2948" spans="1:2" x14ac:dyDescent="0.2">
      <c r="A2948" s="2205" t="s">
        <v>9506</v>
      </c>
      <c r="B2948" s="2205">
        <v>2008.75</v>
      </c>
    </row>
    <row r="2949" spans="1:2" x14ac:dyDescent="0.2">
      <c r="A2949" s="2205" t="s">
        <v>9507</v>
      </c>
      <c r="B2949" s="2205">
        <v>689.09</v>
      </c>
    </row>
    <row r="2950" spans="1:2" x14ac:dyDescent="0.2">
      <c r="A2950" s="2205" t="s">
        <v>9508</v>
      </c>
      <c r="B2950" s="2205">
        <v>220</v>
      </c>
    </row>
    <row r="2951" spans="1:2" x14ac:dyDescent="0.2">
      <c r="A2951" s="2205" t="s">
        <v>9509</v>
      </c>
      <c r="B2951" s="2205">
        <v>1275</v>
      </c>
    </row>
    <row r="2952" spans="1:2" x14ac:dyDescent="0.2">
      <c r="A2952" s="2205" t="s">
        <v>9510</v>
      </c>
      <c r="B2952" s="2205">
        <v>422.73</v>
      </c>
    </row>
    <row r="2953" spans="1:2" x14ac:dyDescent="0.2">
      <c r="A2953" s="2205" t="s">
        <v>9511</v>
      </c>
      <c r="B2953" s="2205">
        <v>1645</v>
      </c>
    </row>
    <row r="2954" spans="1:2" x14ac:dyDescent="0.2">
      <c r="A2954" s="2205" t="s">
        <v>9512</v>
      </c>
      <c r="B2954" s="2205">
        <v>595</v>
      </c>
    </row>
    <row r="2955" spans="1:2" x14ac:dyDescent="0.2">
      <c r="A2955" s="2205" t="s">
        <v>9513</v>
      </c>
      <c r="B2955" s="2205">
        <v>4635.24</v>
      </c>
    </row>
    <row r="2956" spans="1:2" x14ac:dyDescent="0.2">
      <c r="A2956" s="2205" t="s">
        <v>9514</v>
      </c>
      <c r="B2956" s="2205">
        <v>864.31</v>
      </c>
    </row>
    <row r="2957" spans="1:2" x14ac:dyDescent="0.2">
      <c r="A2957" s="2205" t="s">
        <v>9515</v>
      </c>
      <c r="B2957" s="2205">
        <v>762.27</v>
      </c>
    </row>
    <row r="2958" spans="1:2" x14ac:dyDescent="0.2">
      <c r="A2958" s="2205" t="s">
        <v>9516</v>
      </c>
      <c r="B2958" s="2205">
        <v>290</v>
      </c>
    </row>
    <row r="2959" spans="1:2" x14ac:dyDescent="0.2">
      <c r="A2959" s="2205" t="s">
        <v>9517</v>
      </c>
      <c r="B2959" s="2205">
        <v>235</v>
      </c>
    </row>
    <row r="2960" spans="1:2" x14ac:dyDescent="0.2">
      <c r="A2960" s="2205" t="s">
        <v>9518</v>
      </c>
      <c r="B2960" s="2205">
        <v>600</v>
      </c>
    </row>
    <row r="2961" spans="1:2" x14ac:dyDescent="0.2">
      <c r="A2961" s="2205" t="s">
        <v>9519</v>
      </c>
      <c r="B2961" s="2205">
        <v>1508.65</v>
      </c>
    </row>
    <row r="2962" spans="1:2" x14ac:dyDescent="0.2">
      <c r="A2962" s="2205" t="s">
        <v>9520</v>
      </c>
      <c r="B2962" s="2205">
        <v>2700</v>
      </c>
    </row>
    <row r="2963" spans="1:2" x14ac:dyDescent="0.2">
      <c r="A2963" s="2205" t="s">
        <v>9521</v>
      </c>
      <c r="B2963" s="2205">
        <v>445.45</v>
      </c>
    </row>
    <row r="2964" spans="1:2" x14ac:dyDescent="0.2">
      <c r="A2964" s="2205" t="s">
        <v>9522</v>
      </c>
      <c r="B2964" s="2205">
        <v>470</v>
      </c>
    </row>
    <row r="2965" spans="1:2" x14ac:dyDescent="0.2">
      <c r="A2965" s="2205" t="s">
        <v>9523</v>
      </c>
      <c r="B2965" s="2205">
        <v>408.18</v>
      </c>
    </row>
    <row r="2966" spans="1:2" x14ac:dyDescent="0.2">
      <c r="A2966" s="2205" t="s">
        <v>9524</v>
      </c>
      <c r="B2966" s="2205">
        <v>2744.99</v>
      </c>
    </row>
    <row r="2967" spans="1:2" x14ac:dyDescent="0.2">
      <c r="A2967" s="2205" t="s">
        <v>9525</v>
      </c>
      <c r="B2967" s="2205">
        <v>581.82000000000005</v>
      </c>
    </row>
    <row r="2968" spans="1:2" x14ac:dyDescent="0.2">
      <c r="A2968" s="2205" t="s">
        <v>9526</v>
      </c>
      <c r="B2968" s="2205">
        <v>11165</v>
      </c>
    </row>
    <row r="2969" spans="1:2" x14ac:dyDescent="0.2">
      <c r="A2969" s="2205" t="s">
        <v>9527</v>
      </c>
      <c r="B2969" s="2205">
        <v>290.91000000000003</v>
      </c>
    </row>
    <row r="2970" spans="1:2" x14ac:dyDescent="0.2">
      <c r="A2970" s="2205" t="s">
        <v>9528</v>
      </c>
      <c r="B2970" s="2205">
        <v>436.36</v>
      </c>
    </row>
    <row r="2971" spans="1:2" x14ac:dyDescent="0.2">
      <c r="A2971" s="2205" t="s">
        <v>9529</v>
      </c>
      <c r="B2971" s="2205">
        <v>385</v>
      </c>
    </row>
    <row r="2972" spans="1:2" x14ac:dyDescent="0.2">
      <c r="A2972" s="2205" t="s">
        <v>9530</v>
      </c>
      <c r="B2972" s="2205">
        <v>13645.02</v>
      </c>
    </row>
    <row r="2973" spans="1:2" x14ac:dyDescent="0.2">
      <c r="A2973" s="2205" t="s">
        <v>9531</v>
      </c>
      <c r="B2973" s="2205">
        <v>30652.240000000002</v>
      </c>
    </row>
    <row r="2974" spans="1:2" x14ac:dyDescent="0.2">
      <c r="A2974" s="2205" t="s">
        <v>9532</v>
      </c>
      <c r="B2974" s="2205">
        <v>9259.84</v>
      </c>
    </row>
    <row r="2975" spans="1:2" x14ac:dyDescent="0.2">
      <c r="A2975" s="2205" t="s">
        <v>9533</v>
      </c>
      <c r="B2975" s="2205">
        <v>238.2</v>
      </c>
    </row>
    <row r="2976" spans="1:2" x14ac:dyDescent="0.2">
      <c r="A2976" s="2205" t="s">
        <v>9534</v>
      </c>
      <c r="B2976" s="2205">
        <v>21517.68</v>
      </c>
    </row>
    <row r="2977" spans="1:2" x14ac:dyDescent="0.2">
      <c r="A2977" s="2205" t="s">
        <v>9535</v>
      </c>
      <c r="B2977" s="2205">
        <v>1247.27</v>
      </c>
    </row>
    <row r="2978" spans="1:2" x14ac:dyDescent="0.2">
      <c r="A2978" s="2205" t="s">
        <v>9536</v>
      </c>
      <c r="B2978" s="2205">
        <v>3382.29</v>
      </c>
    </row>
    <row r="2979" spans="1:2" x14ac:dyDescent="0.2">
      <c r="A2979" s="2205" t="s">
        <v>9537</v>
      </c>
      <c r="B2979" s="2205">
        <v>285.85000000000002</v>
      </c>
    </row>
    <row r="2980" spans="1:2" x14ac:dyDescent="0.2">
      <c r="A2980" s="2205" t="s">
        <v>9538</v>
      </c>
      <c r="B2980" s="2205">
        <v>5058.58</v>
      </c>
    </row>
    <row r="2981" spans="1:2" x14ac:dyDescent="0.2">
      <c r="A2981" s="2205" t="s">
        <v>9539</v>
      </c>
      <c r="B2981" s="2205">
        <v>6331.61</v>
      </c>
    </row>
    <row r="2982" spans="1:2" x14ac:dyDescent="0.2">
      <c r="A2982" s="2205" t="s">
        <v>9540</v>
      </c>
      <c r="B2982" s="2205">
        <v>3084.37</v>
      </c>
    </row>
    <row r="2983" spans="1:2" x14ac:dyDescent="0.2">
      <c r="A2983" s="2205" t="s">
        <v>9541</v>
      </c>
      <c r="B2983" s="2205">
        <v>10347.18</v>
      </c>
    </row>
    <row r="2984" spans="1:2" x14ac:dyDescent="0.2">
      <c r="A2984" s="2205" t="s">
        <v>9542</v>
      </c>
      <c r="B2984" s="2205">
        <v>1619.44</v>
      </c>
    </row>
    <row r="2985" spans="1:2" x14ac:dyDescent="0.2">
      <c r="A2985" s="2205" t="s">
        <v>9543</v>
      </c>
      <c r="B2985" s="2205">
        <v>1200</v>
      </c>
    </row>
    <row r="2986" spans="1:2" x14ac:dyDescent="0.2">
      <c r="A2986" s="2205" t="s">
        <v>9544</v>
      </c>
      <c r="B2986" s="2205">
        <v>781.14</v>
      </c>
    </row>
    <row r="2987" spans="1:2" x14ac:dyDescent="0.2">
      <c r="A2987" s="2205" t="s">
        <v>9545</v>
      </c>
      <c r="B2987" s="2205">
        <v>5250.59</v>
      </c>
    </row>
    <row r="2988" spans="1:2" x14ac:dyDescent="0.2">
      <c r="A2988" s="2205" t="s">
        <v>9546</v>
      </c>
      <c r="B2988" s="2205">
        <v>100</v>
      </c>
    </row>
    <row r="2989" spans="1:2" x14ac:dyDescent="0.2">
      <c r="A2989" s="2205" t="s">
        <v>9547</v>
      </c>
      <c r="B2989" s="2205">
        <v>1753.46</v>
      </c>
    </row>
    <row r="2990" spans="1:2" x14ac:dyDescent="0.2">
      <c r="A2990" s="2205" t="s">
        <v>9548</v>
      </c>
      <c r="B2990" s="2205">
        <v>131.82</v>
      </c>
    </row>
    <row r="2991" spans="1:2" x14ac:dyDescent="0.2">
      <c r="A2991" s="2205" t="s">
        <v>9549</v>
      </c>
      <c r="B2991" s="2205">
        <v>587.5</v>
      </c>
    </row>
    <row r="2992" spans="1:2" x14ac:dyDescent="0.2">
      <c r="A2992" s="2205" t="s">
        <v>9550</v>
      </c>
      <c r="B2992" s="2205">
        <v>2306.94</v>
      </c>
    </row>
    <row r="2993" spans="1:2" x14ac:dyDescent="0.2">
      <c r="A2993" s="2205" t="s">
        <v>9551</v>
      </c>
      <c r="B2993" s="2205">
        <v>100</v>
      </c>
    </row>
    <row r="2994" spans="1:2" x14ac:dyDescent="0.2">
      <c r="A2994" s="2205" t="s">
        <v>9552</v>
      </c>
      <c r="B2994" s="2205">
        <v>220</v>
      </c>
    </row>
    <row r="2995" spans="1:2" x14ac:dyDescent="0.2">
      <c r="A2995" s="2205" t="s">
        <v>9553</v>
      </c>
      <c r="B2995" s="2205">
        <v>820</v>
      </c>
    </row>
    <row r="2996" spans="1:2" x14ac:dyDescent="0.2">
      <c r="A2996" s="2205" t="s">
        <v>9554</v>
      </c>
      <c r="B2996" s="2205">
        <v>79696.960000000006</v>
      </c>
    </row>
    <row r="2997" spans="1:2" x14ac:dyDescent="0.2">
      <c r="A2997" s="2205" t="s">
        <v>9555</v>
      </c>
      <c r="B2997" s="2205">
        <v>10745.46</v>
      </c>
    </row>
    <row r="2998" spans="1:2" x14ac:dyDescent="0.2">
      <c r="A2998" s="2205" t="s">
        <v>9556</v>
      </c>
      <c r="B2998" s="2205">
        <v>2420</v>
      </c>
    </row>
    <row r="2999" spans="1:2" x14ac:dyDescent="0.2">
      <c r="A2999" s="2205" t="s">
        <v>9557</v>
      </c>
      <c r="B2999" s="2205">
        <v>2070</v>
      </c>
    </row>
    <row r="3000" spans="1:2" x14ac:dyDescent="0.2">
      <c r="A3000" s="2205" t="s">
        <v>9558</v>
      </c>
      <c r="B3000" s="2205">
        <v>1025.9100000000001</v>
      </c>
    </row>
    <row r="3001" spans="1:2" x14ac:dyDescent="0.2">
      <c r="A3001" s="2205" t="s">
        <v>9559</v>
      </c>
      <c r="B3001" s="2205">
        <v>0</v>
      </c>
    </row>
    <row r="3002" spans="1:2" x14ac:dyDescent="0.2">
      <c r="A3002" s="2205" t="s">
        <v>9560</v>
      </c>
      <c r="B3002" s="2205">
        <v>81022.92</v>
      </c>
    </row>
    <row r="3003" spans="1:2" x14ac:dyDescent="0.2">
      <c r="A3003" s="2205" t="s">
        <v>9561</v>
      </c>
      <c r="B3003" s="2205">
        <v>2820.48</v>
      </c>
    </row>
    <row r="3004" spans="1:2" x14ac:dyDescent="0.2">
      <c r="A3004" s="2205" t="s">
        <v>9562</v>
      </c>
      <c r="B3004" s="2205">
        <v>327.27</v>
      </c>
    </row>
    <row r="3005" spans="1:2" x14ac:dyDescent="0.2">
      <c r="A3005" s="2205" t="s">
        <v>9563</v>
      </c>
      <c r="B3005" s="2205">
        <v>106.18</v>
      </c>
    </row>
    <row r="3006" spans="1:2" x14ac:dyDescent="0.2">
      <c r="A3006" s="2205" t="s">
        <v>9564</v>
      </c>
      <c r="B3006" s="2205">
        <v>122.45</v>
      </c>
    </row>
    <row r="3007" spans="1:2" x14ac:dyDescent="0.2">
      <c r="A3007" s="2205" t="s">
        <v>9565</v>
      </c>
      <c r="B3007" s="2205">
        <v>2635</v>
      </c>
    </row>
    <row r="3008" spans="1:2" x14ac:dyDescent="0.2">
      <c r="A3008" s="2205" t="s">
        <v>9566</v>
      </c>
      <c r="B3008" s="2205">
        <v>470</v>
      </c>
    </row>
    <row r="3009" spans="1:2" x14ac:dyDescent="0.2">
      <c r="A3009" s="2205" t="s">
        <v>9567</v>
      </c>
      <c r="B3009" s="2205">
        <v>452</v>
      </c>
    </row>
    <row r="3010" spans="1:2" x14ac:dyDescent="0.2">
      <c r="A3010" s="2205" t="s">
        <v>9568</v>
      </c>
      <c r="B3010" s="2205">
        <v>1765.32</v>
      </c>
    </row>
    <row r="3011" spans="1:2" x14ac:dyDescent="0.2">
      <c r="A3011" s="2205" t="s">
        <v>9569</v>
      </c>
      <c r="B3011" s="2205">
        <v>5096.87</v>
      </c>
    </row>
    <row r="3012" spans="1:2" x14ac:dyDescent="0.2">
      <c r="A3012" s="2205" t="s">
        <v>9570</v>
      </c>
      <c r="B3012" s="2205">
        <v>329.55</v>
      </c>
    </row>
    <row r="3013" spans="1:2" x14ac:dyDescent="0.2">
      <c r="A3013" s="2205" t="s">
        <v>9571</v>
      </c>
      <c r="B3013" s="2205">
        <v>4510.9799999999996</v>
      </c>
    </row>
    <row r="3014" spans="1:2" x14ac:dyDescent="0.2">
      <c r="A3014" s="2205" t="s">
        <v>9572</v>
      </c>
      <c r="B3014" s="2205">
        <v>3630.64</v>
      </c>
    </row>
    <row r="3015" spans="1:2" x14ac:dyDescent="0.2">
      <c r="A3015" s="2205" t="s">
        <v>9573</v>
      </c>
      <c r="B3015" s="2205">
        <v>48177.69</v>
      </c>
    </row>
    <row r="3016" spans="1:2" x14ac:dyDescent="0.2">
      <c r="A3016" s="2205" t="s">
        <v>9574</v>
      </c>
      <c r="B3016" s="2205">
        <v>122.45</v>
      </c>
    </row>
    <row r="3017" spans="1:2" x14ac:dyDescent="0.2">
      <c r="A3017" s="2205" t="s">
        <v>9575</v>
      </c>
      <c r="B3017" s="2205">
        <v>2484.23</v>
      </c>
    </row>
    <row r="3018" spans="1:2" x14ac:dyDescent="0.2">
      <c r="A3018" s="2205" t="s">
        <v>9576</v>
      </c>
      <c r="B3018" s="2205">
        <v>19181.439999999999</v>
      </c>
    </row>
    <row r="3019" spans="1:2" x14ac:dyDescent="0.2">
      <c r="A3019" s="2205" t="s">
        <v>9577</v>
      </c>
      <c r="B3019" s="2205">
        <v>2168.08</v>
      </c>
    </row>
    <row r="3020" spans="1:2" x14ac:dyDescent="0.2">
      <c r="A3020" s="2205" t="s">
        <v>9578</v>
      </c>
      <c r="B3020" s="2205">
        <v>450</v>
      </c>
    </row>
    <row r="3021" spans="1:2" x14ac:dyDescent="0.2">
      <c r="A3021" s="2205" t="s">
        <v>9579</v>
      </c>
      <c r="B3021" s="2205">
        <v>225</v>
      </c>
    </row>
    <row r="3022" spans="1:2" x14ac:dyDescent="0.2">
      <c r="A3022" s="2205" t="s">
        <v>9580</v>
      </c>
      <c r="B3022" s="2205">
        <v>525</v>
      </c>
    </row>
    <row r="3023" spans="1:2" x14ac:dyDescent="0.2">
      <c r="A3023" s="2205" t="s">
        <v>9581</v>
      </c>
      <c r="B3023" s="2205">
        <v>1500</v>
      </c>
    </row>
    <row r="3024" spans="1:2" x14ac:dyDescent="0.2">
      <c r="A3024" s="2205" t="s">
        <v>9582</v>
      </c>
      <c r="B3024" s="2205">
        <v>1052.58</v>
      </c>
    </row>
    <row r="3025" spans="1:2" x14ac:dyDescent="0.2">
      <c r="A3025" s="2205" t="s">
        <v>9583</v>
      </c>
      <c r="B3025" s="2205">
        <v>3066.59</v>
      </c>
    </row>
    <row r="3026" spans="1:2" x14ac:dyDescent="0.2">
      <c r="A3026" s="2205" t="s">
        <v>9584</v>
      </c>
      <c r="B3026" s="2205">
        <v>3146.9</v>
      </c>
    </row>
    <row r="3027" spans="1:2" x14ac:dyDescent="0.2">
      <c r="A3027" s="2205" t="s">
        <v>9585</v>
      </c>
      <c r="B3027" s="2205">
        <v>922.56</v>
      </c>
    </row>
    <row r="3028" spans="1:2" x14ac:dyDescent="0.2">
      <c r="A3028" s="2205" t="s">
        <v>9586</v>
      </c>
      <c r="B3028" s="2205">
        <v>2276.9299999999998</v>
      </c>
    </row>
    <row r="3029" spans="1:2" x14ac:dyDescent="0.2">
      <c r="A3029" s="2205" t="s">
        <v>9587</v>
      </c>
      <c r="B3029" s="2205">
        <v>1380</v>
      </c>
    </row>
    <row r="3030" spans="1:2" x14ac:dyDescent="0.2">
      <c r="A3030" s="2205" t="s">
        <v>9588</v>
      </c>
      <c r="B3030" s="2205">
        <v>0</v>
      </c>
    </row>
    <row r="3031" spans="1:2" x14ac:dyDescent="0.2">
      <c r="A3031" s="2205" t="s">
        <v>9589</v>
      </c>
      <c r="B3031" s="2205">
        <v>411.25</v>
      </c>
    </row>
    <row r="3032" spans="1:2" x14ac:dyDescent="0.2">
      <c r="A3032" s="2205" t="s">
        <v>9590</v>
      </c>
      <c r="B3032" s="2205">
        <v>1336.92</v>
      </c>
    </row>
    <row r="3033" spans="1:2" x14ac:dyDescent="0.2">
      <c r="A3033" s="2205" t="s">
        <v>9591</v>
      </c>
      <c r="B3033" s="2205">
        <v>290.91000000000003</v>
      </c>
    </row>
    <row r="3034" spans="1:2" x14ac:dyDescent="0.2">
      <c r="A3034" s="2205" t="s">
        <v>9592</v>
      </c>
      <c r="B3034" s="2205">
        <v>5236.37</v>
      </c>
    </row>
    <row r="3035" spans="1:2" x14ac:dyDescent="0.2">
      <c r="A3035" s="2205" t="s">
        <v>9593</v>
      </c>
      <c r="B3035" s="2205">
        <v>2127.2600000000002</v>
      </c>
    </row>
    <row r="3036" spans="1:2" x14ac:dyDescent="0.2">
      <c r="A3036" s="2205" t="s">
        <v>9594</v>
      </c>
      <c r="B3036" s="2205">
        <v>5236.3599999999997</v>
      </c>
    </row>
    <row r="3037" spans="1:2" x14ac:dyDescent="0.2">
      <c r="A3037" s="2205" t="s">
        <v>9595</v>
      </c>
      <c r="B3037" s="2205">
        <v>4581.84</v>
      </c>
    </row>
    <row r="3038" spans="1:2" x14ac:dyDescent="0.2">
      <c r="A3038" s="2205" t="s">
        <v>9596</v>
      </c>
      <c r="B3038" s="2205">
        <v>1309.08</v>
      </c>
    </row>
    <row r="3039" spans="1:2" x14ac:dyDescent="0.2">
      <c r="A3039" s="2205" t="s">
        <v>9597</v>
      </c>
      <c r="B3039" s="2205">
        <v>872.72</v>
      </c>
    </row>
    <row r="3040" spans="1:2" x14ac:dyDescent="0.2">
      <c r="A3040" s="2205" t="s">
        <v>9598</v>
      </c>
      <c r="B3040" s="2205">
        <v>872.72</v>
      </c>
    </row>
    <row r="3041" spans="1:2" x14ac:dyDescent="0.2">
      <c r="A3041" s="2205" t="s">
        <v>9599</v>
      </c>
      <c r="B3041" s="2205">
        <v>4718.1899999999996</v>
      </c>
    </row>
    <row r="3042" spans="1:2" x14ac:dyDescent="0.2">
      <c r="A3042" s="2205" t="s">
        <v>9600</v>
      </c>
      <c r="B3042" s="2205">
        <v>5563.62</v>
      </c>
    </row>
    <row r="3043" spans="1:2" x14ac:dyDescent="0.2">
      <c r="A3043" s="2205" t="s">
        <v>9601</v>
      </c>
      <c r="B3043" s="2205">
        <v>763.64</v>
      </c>
    </row>
    <row r="3044" spans="1:2" x14ac:dyDescent="0.2">
      <c r="A3044" s="2205" t="s">
        <v>9602</v>
      </c>
      <c r="B3044" s="2205">
        <v>0</v>
      </c>
    </row>
    <row r="3045" spans="1:2" x14ac:dyDescent="0.2">
      <c r="A3045" s="2205" t="s">
        <v>2206</v>
      </c>
      <c r="B3045" s="2205">
        <v>3910.75</v>
      </c>
    </row>
    <row r="3046" spans="1:2" x14ac:dyDescent="0.2">
      <c r="A3046" s="2205" t="s">
        <v>2589</v>
      </c>
      <c r="B3046" s="2205">
        <v>122440.78</v>
      </c>
    </row>
    <row r="3047" spans="1:2" x14ac:dyDescent="0.2">
      <c r="A3047" s="2205" t="s">
        <v>1532</v>
      </c>
      <c r="B3047" s="2205">
        <v>3573255.65</v>
      </c>
    </row>
    <row r="3048" spans="1:2" x14ac:dyDescent="0.2">
      <c r="A3048" s="2205" t="s">
        <v>392</v>
      </c>
      <c r="B3048" s="2205">
        <v>1399577.63</v>
      </c>
    </row>
    <row r="3049" spans="1:2" x14ac:dyDescent="0.2">
      <c r="A3049" s="2205" t="s">
        <v>9603</v>
      </c>
      <c r="B3049" s="2205">
        <v>736.21</v>
      </c>
    </row>
    <row r="3050" spans="1:2" x14ac:dyDescent="0.2">
      <c r="A3050" s="2205" t="s">
        <v>2435</v>
      </c>
      <c r="B3050" s="2205">
        <v>1448761.24</v>
      </c>
    </row>
    <row r="3051" spans="1:2" x14ac:dyDescent="0.2">
      <c r="A3051" s="2205" t="s">
        <v>9604</v>
      </c>
      <c r="B3051" s="2205">
        <v>15661.67</v>
      </c>
    </row>
    <row r="3052" spans="1:2" x14ac:dyDescent="0.2">
      <c r="A3052" s="2205" t="s">
        <v>9605</v>
      </c>
      <c r="B3052" s="2205">
        <v>451103.11</v>
      </c>
    </row>
    <row r="3053" spans="1:2" x14ac:dyDescent="0.2">
      <c r="A3053" s="2205" t="s">
        <v>9606</v>
      </c>
      <c r="B3053" s="2205">
        <v>15738.05</v>
      </c>
    </row>
    <row r="3054" spans="1:2" x14ac:dyDescent="0.2">
      <c r="A3054" s="2205" t="s">
        <v>9607</v>
      </c>
      <c r="B3054" s="2205">
        <v>17918.060000000001</v>
      </c>
    </row>
    <row r="3055" spans="1:2" x14ac:dyDescent="0.2">
      <c r="A3055" s="2205" t="s">
        <v>9608</v>
      </c>
      <c r="B3055" s="2205">
        <v>100.52</v>
      </c>
    </row>
    <row r="3056" spans="1:2" x14ac:dyDescent="0.2">
      <c r="A3056" s="2205" t="s">
        <v>2056</v>
      </c>
      <c r="B3056" s="2205">
        <v>352961.56</v>
      </c>
    </row>
    <row r="3057" spans="1:2" x14ac:dyDescent="0.2">
      <c r="A3057" s="2205" t="s">
        <v>2055</v>
      </c>
      <c r="B3057" s="2205">
        <v>100101.25</v>
      </c>
    </row>
    <row r="3058" spans="1:2" x14ac:dyDescent="0.2">
      <c r="A3058" s="2205" t="s">
        <v>2060</v>
      </c>
      <c r="B3058" s="2205">
        <v>5568909.54</v>
      </c>
    </row>
    <row r="3059" spans="1:2" x14ac:dyDescent="0.2">
      <c r="A3059" s="2205" t="s">
        <v>9609</v>
      </c>
      <c r="B3059" s="2205">
        <v>858.17</v>
      </c>
    </row>
    <row r="3060" spans="1:2" x14ac:dyDescent="0.2">
      <c r="A3060" s="2205" t="s">
        <v>9610</v>
      </c>
      <c r="B3060" s="2205">
        <v>12068.28</v>
      </c>
    </row>
    <row r="3061" spans="1:2" x14ac:dyDescent="0.2">
      <c r="A3061" s="2205" t="s">
        <v>9611</v>
      </c>
      <c r="B3061" s="2205">
        <v>8085.15</v>
      </c>
    </row>
    <row r="3062" spans="1:2" x14ac:dyDescent="0.2">
      <c r="A3062" s="2205" t="s">
        <v>9612</v>
      </c>
      <c r="B3062" s="2205">
        <v>23156.080000000002</v>
      </c>
    </row>
    <row r="3063" spans="1:2" x14ac:dyDescent="0.2">
      <c r="A3063" s="2205" t="s">
        <v>2879</v>
      </c>
      <c r="B3063" s="2205">
        <v>18980.349999999999</v>
      </c>
    </row>
    <row r="3064" spans="1:2" x14ac:dyDescent="0.2">
      <c r="A3064" s="2205" t="s">
        <v>9613</v>
      </c>
      <c r="B3064" s="2205">
        <v>264572.52</v>
      </c>
    </row>
    <row r="3065" spans="1:2" x14ac:dyDescent="0.2">
      <c r="A3065" s="2205" t="s">
        <v>9614</v>
      </c>
      <c r="B3065" s="2205">
        <v>51906.96</v>
      </c>
    </row>
    <row r="3066" spans="1:2" x14ac:dyDescent="0.2">
      <c r="A3066" s="2205" t="s">
        <v>2032</v>
      </c>
      <c r="B3066" s="2205">
        <v>933.68</v>
      </c>
    </row>
    <row r="3067" spans="1:2" x14ac:dyDescent="0.2">
      <c r="A3067" s="2205" t="s">
        <v>9615</v>
      </c>
      <c r="B3067" s="2205">
        <v>208371.29</v>
      </c>
    </row>
    <row r="3068" spans="1:2" x14ac:dyDescent="0.2">
      <c r="A3068" s="2205" t="s">
        <v>9616</v>
      </c>
      <c r="B3068" s="2205">
        <v>0</v>
      </c>
    </row>
    <row r="3069" spans="1:2" x14ac:dyDescent="0.2">
      <c r="A3069" s="2205" t="s">
        <v>9617</v>
      </c>
      <c r="B3069" s="2205">
        <v>37644.300000000003</v>
      </c>
    </row>
    <row r="3070" spans="1:2" x14ac:dyDescent="0.2">
      <c r="A3070" s="2205" t="s">
        <v>9618</v>
      </c>
      <c r="B3070" s="2205">
        <v>0</v>
      </c>
    </row>
    <row r="3071" spans="1:2" x14ac:dyDescent="0.2">
      <c r="A3071" s="2205" t="s">
        <v>2162</v>
      </c>
      <c r="B3071" s="2205">
        <v>27363.43</v>
      </c>
    </row>
    <row r="3072" spans="1:2" x14ac:dyDescent="0.2">
      <c r="A3072" s="2205" t="s">
        <v>106</v>
      </c>
      <c r="B3072" s="2205">
        <v>103532.11</v>
      </c>
    </row>
    <row r="3073" spans="1:2" x14ac:dyDescent="0.2">
      <c r="A3073" s="2205" t="s">
        <v>1561</v>
      </c>
      <c r="B3073" s="2205">
        <v>5254.45</v>
      </c>
    </row>
    <row r="3074" spans="1:2" x14ac:dyDescent="0.2">
      <c r="A3074" s="2205" t="s">
        <v>9619</v>
      </c>
      <c r="B3074" s="2205">
        <v>78535.97</v>
      </c>
    </row>
    <row r="3075" spans="1:2" x14ac:dyDescent="0.2">
      <c r="A3075" s="2205" t="s">
        <v>1762</v>
      </c>
      <c r="B3075" s="2205">
        <v>52613.36</v>
      </c>
    </row>
    <row r="3076" spans="1:2" x14ac:dyDescent="0.2">
      <c r="A3076" s="2205" t="s">
        <v>1035</v>
      </c>
      <c r="B3076" s="2205">
        <v>13613.18</v>
      </c>
    </row>
    <row r="3077" spans="1:2" x14ac:dyDescent="0.2">
      <c r="A3077" s="2205" t="s">
        <v>6614</v>
      </c>
      <c r="B3077" s="2205">
        <v>48213.36</v>
      </c>
    </row>
    <row r="3078" spans="1:2" x14ac:dyDescent="0.2">
      <c r="A3078" s="2205" t="s">
        <v>70</v>
      </c>
      <c r="B3078" s="2205">
        <v>220513.87</v>
      </c>
    </row>
    <row r="3079" spans="1:2" x14ac:dyDescent="0.2">
      <c r="A3079" s="2205" t="s">
        <v>1106</v>
      </c>
      <c r="B3079" s="2205">
        <v>562512.44999999995</v>
      </c>
    </row>
    <row r="3080" spans="1:2" x14ac:dyDescent="0.2">
      <c r="A3080" s="2205" t="s">
        <v>9620</v>
      </c>
      <c r="B3080" s="2205">
        <v>4001.88</v>
      </c>
    </row>
    <row r="3081" spans="1:2" x14ac:dyDescent="0.2">
      <c r="A3081" s="2205" t="s">
        <v>630</v>
      </c>
      <c r="B3081" s="2205">
        <v>166683.01999999999</v>
      </c>
    </row>
    <row r="3082" spans="1:2" x14ac:dyDescent="0.2">
      <c r="A3082" s="2205" t="s">
        <v>1105</v>
      </c>
      <c r="B3082" s="2205">
        <v>100403.72</v>
      </c>
    </row>
    <row r="3083" spans="1:2" x14ac:dyDescent="0.2">
      <c r="A3083" s="2205" t="s">
        <v>9621</v>
      </c>
      <c r="B3083" s="2205">
        <v>93709.2</v>
      </c>
    </row>
    <row r="3084" spans="1:2" x14ac:dyDescent="0.2">
      <c r="A3084" s="2205" t="s">
        <v>1372</v>
      </c>
      <c r="B3084" s="2205">
        <v>52042.51</v>
      </c>
    </row>
    <row r="3085" spans="1:2" x14ac:dyDescent="0.2">
      <c r="A3085" s="2205" t="s">
        <v>2485</v>
      </c>
      <c r="B3085" s="2205">
        <v>3690.44</v>
      </c>
    </row>
    <row r="3086" spans="1:2" x14ac:dyDescent="0.2">
      <c r="A3086" s="2205" t="s">
        <v>1589</v>
      </c>
      <c r="B3086" s="2205">
        <v>357873.71</v>
      </c>
    </row>
    <row r="3087" spans="1:2" x14ac:dyDescent="0.2">
      <c r="A3087" s="2205" t="s">
        <v>2248</v>
      </c>
      <c r="B3087" s="2205">
        <v>50812.18</v>
      </c>
    </row>
    <row r="3088" spans="1:2" x14ac:dyDescent="0.2">
      <c r="A3088" s="2205" t="s">
        <v>179</v>
      </c>
      <c r="B3088" s="2205">
        <v>47558.45</v>
      </c>
    </row>
    <row r="3089" spans="1:2" x14ac:dyDescent="0.2">
      <c r="A3089" s="2205" t="s">
        <v>9622</v>
      </c>
      <c r="B3089" s="2205">
        <v>7358.17</v>
      </c>
    </row>
    <row r="3090" spans="1:2" x14ac:dyDescent="0.2">
      <c r="A3090" s="2205" t="s">
        <v>121</v>
      </c>
      <c r="B3090" s="2205">
        <v>270444.90000000002</v>
      </c>
    </row>
    <row r="3091" spans="1:2" x14ac:dyDescent="0.2">
      <c r="A3091" s="2205" t="s">
        <v>9623</v>
      </c>
      <c r="B3091" s="2205">
        <v>517116.46</v>
      </c>
    </row>
    <row r="3092" spans="1:2" x14ac:dyDescent="0.2">
      <c r="A3092" s="2205" t="s">
        <v>9624</v>
      </c>
      <c r="B3092" s="2205">
        <v>571.83000000000004</v>
      </c>
    </row>
    <row r="3093" spans="1:2" x14ac:dyDescent="0.2">
      <c r="A3093" s="2205" t="s">
        <v>9625</v>
      </c>
      <c r="B3093" s="2205">
        <v>696120.16</v>
      </c>
    </row>
    <row r="3094" spans="1:2" x14ac:dyDescent="0.2">
      <c r="A3094" s="2205" t="s">
        <v>9626</v>
      </c>
      <c r="B3094" s="2205">
        <v>71589.67</v>
      </c>
    </row>
    <row r="3095" spans="1:2" x14ac:dyDescent="0.2">
      <c r="A3095" s="2205" t="s">
        <v>9627</v>
      </c>
      <c r="B3095" s="2205">
        <v>2461.29</v>
      </c>
    </row>
    <row r="3096" spans="1:2" x14ac:dyDescent="0.2">
      <c r="A3096" s="2205" t="s">
        <v>9628</v>
      </c>
      <c r="B3096" s="2205">
        <v>148.6</v>
      </c>
    </row>
    <row r="3097" spans="1:2" x14ac:dyDescent="0.2">
      <c r="A3097" s="2205" t="s">
        <v>9629</v>
      </c>
      <c r="B3097" s="2205">
        <v>751.6</v>
      </c>
    </row>
    <row r="3098" spans="1:2" x14ac:dyDescent="0.2">
      <c r="A3098" s="2205" t="s">
        <v>9630</v>
      </c>
      <c r="B3098" s="2205">
        <v>1522.05</v>
      </c>
    </row>
    <row r="3099" spans="1:2" x14ac:dyDescent="0.2">
      <c r="A3099" s="2205" t="s">
        <v>9631</v>
      </c>
      <c r="B3099" s="2205">
        <v>9591.15</v>
      </c>
    </row>
    <row r="3100" spans="1:2" x14ac:dyDescent="0.2">
      <c r="A3100" s="2205" t="s">
        <v>9632</v>
      </c>
      <c r="B3100" s="2205">
        <v>187.2</v>
      </c>
    </row>
    <row r="3101" spans="1:2" x14ac:dyDescent="0.2">
      <c r="A3101" s="2205" t="s">
        <v>6615</v>
      </c>
      <c r="B3101" s="2205">
        <v>1588.5</v>
      </c>
    </row>
    <row r="3102" spans="1:2" x14ac:dyDescent="0.2">
      <c r="A3102" s="2205" t="s">
        <v>2340</v>
      </c>
      <c r="B3102" s="2205">
        <v>126337.3</v>
      </c>
    </row>
    <row r="3103" spans="1:2" x14ac:dyDescent="0.2">
      <c r="A3103" s="2205" t="s">
        <v>2548</v>
      </c>
      <c r="B3103" s="2205">
        <v>974247.53</v>
      </c>
    </row>
    <row r="3104" spans="1:2" x14ac:dyDescent="0.2">
      <c r="A3104" s="2205" t="s">
        <v>9633</v>
      </c>
      <c r="B3104" s="2205">
        <v>51000.7</v>
      </c>
    </row>
    <row r="3105" spans="1:2" x14ac:dyDescent="0.2">
      <c r="A3105" s="2205" t="s">
        <v>2389</v>
      </c>
      <c r="B3105" s="2205">
        <v>177186.13</v>
      </c>
    </row>
    <row r="3106" spans="1:2" x14ac:dyDescent="0.2">
      <c r="A3106" s="2205" t="s">
        <v>9634</v>
      </c>
      <c r="B3106" s="2205">
        <v>32421.81</v>
      </c>
    </row>
    <row r="3107" spans="1:2" x14ac:dyDescent="0.2">
      <c r="A3107" s="2205" t="s">
        <v>9635</v>
      </c>
      <c r="B3107" s="2205">
        <v>101748.76</v>
      </c>
    </row>
    <row r="3108" spans="1:2" x14ac:dyDescent="0.2">
      <c r="A3108" s="2205" t="s">
        <v>9636</v>
      </c>
      <c r="B3108" s="2205">
        <v>5650.99</v>
      </c>
    </row>
    <row r="3109" spans="1:2" x14ac:dyDescent="0.2">
      <c r="A3109" s="2205" t="s">
        <v>9637</v>
      </c>
      <c r="B3109" s="2205">
        <v>6874.21</v>
      </c>
    </row>
    <row r="3110" spans="1:2" x14ac:dyDescent="0.2">
      <c r="A3110" s="2205" t="s">
        <v>9638</v>
      </c>
      <c r="B3110" s="2205">
        <v>1794.02</v>
      </c>
    </row>
    <row r="3111" spans="1:2" x14ac:dyDescent="0.2">
      <c r="A3111" s="2205" t="s">
        <v>9639</v>
      </c>
      <c r="B3111" s="2205">
        <v>88866.240000000005</v>
      </c>
    </row>
    <row r="3112" spans="1:2" x14ac:dyDescent="0.2">
      <c r="A3112" s="2205" t="s">
        <v>9640</v>
      </c>
      <c r="B3112" s="2205">
        <v>1718.61</v>
      </c>
    </row>
    <row r="3113" spans="1:2" x14ac:dyDescent="0.2">
      <c r="A3113" s="2205" t="s">
        <v>9641</v>
      </c>
      <c r="B3113" s="2205">
        <v>2029.66</v>
      </c>
    </row>
    <row r="3114" spans="1:2" x14ac:dyDescent="0.2">
      <c r="A3114" s="2205" t="s">
        <v>1905</v>
      </c>
      <c r="B3114" s="2205">
        <v>26317.1</v>
      </c>
    </row>
    <row r="3115" spans="1:2" x14ac:dyDescent="0.2">
      <c r="A3115" s="2205" t="s">
        <v>9642</v>
      </c>
      <c r="B3115" s="2205">
        <v>4481.6499999999996</v>
      </c>
    </row>
    <row r="3116" spans="1:2" x14ac:dyDescent="0.2">
      <c r="A3116" s="2205" t="s">
        <v>9643</v>
      </c>
      <c r="B3116" s="2205">
        <v>89259.09</v>
      </c>
    </row>
    <row r="3117" spans="1:2" x14ac:dyDescent="0.2">
      <c r="A3117" s="2205" t="s">
        <v>935</v>
      </c>
      <c r="B3117" s="2205">
        <v>8496</v>
      </c>
    </row>
    <row r="3118" spans="1:2" x14ac:dyDescent="0.2">
      <c r="A3118" s="2205" t="s">
        <v>1855</v>
      </c>
      <c r="B3118" s="2205">
        <v>12996</v>
      </c>
    </row>
    <row r="3119" spans="1:2" x14ac:dyDescent="0.2">
      <c r="A3119" s="2205" t="s">
        <v>1933</v>
      </c>
      <c r="B3119" s="2205">
        <v>36996</v>
      </c>
    </row>
    <row r="3120" spans="1:2" x14ac:dyDescent="0.2">
      <c r="A3120" s="2205" t="s">
        <v>1935</v>
      </c>
      <c r="B3120" s="2205">
        <v>8796</v>
      </c>
    </row>
    <row r="3121" spans="1:2" x14ac:dyDescent="0.2">
      <c r="A3121" s="2205" t="s">
        <v>934</v>
      </c>
      <c r="B3121" s="2205">
        <v>47004</v>
      </c>
    </row>
    <row r="3122" spans="1:2" x14ac:dyDescent="0.2">
      <c r="A3122" s="2205" t="s">
        <v>933</v>
      </c>
      <c r="B3122" s="2205">
        <v>18996</v>
      </c>
    </row>
    <row r="3123" spans="1:2" x14ac:dyDescent="0.2">
      <c r="A3123" s="2205" t="s">
        <v>1942</v>
      </c>
      <c r="B3123" s="2205">
        <v>0</v>
      </c>
    </row>
    <row r="3124" spans="1:2" x14ac:dyDescent="0.2">
      <c r="A3124" s="2205" t="s">
        <v>1469</v>
      </c>
      <c r="B3124" s="2205">
        <v>12708</v>
      </c>
    </row>
    <row r="3125" spans="1:2" x14ac:dyDescent="0.2">
      <c r="A3125" s="2205" t="s">
        <v>1938</v>
      </c>
      <c r="B3125" s="2205">
        <v>12996</v>
      </c>
    </row>
    <row r="3126" spans="1:2" x14ac:dyDescent="0.2">
      <c r="A3126" s="2205" t="s">
        <v>1940</v>
      </c>
      <c r="B3126" s="2205">
        <v>6000</v>
      </c>
    </row>
    <row r="3127" spans="1:2" x14ac:dyDescent="0.2">
      <c r="A3127" s="2205" t="s">
        <v>2716</v>
      </c>
      <c r="B3127" s="2205">
        <v>6000</v>
      </c>
    </row>
    <row r="3128" spans="1:2" x14ac:dyDescent="0.2">
      <c r="A3128" s="2205" t="s">
        <v>1937</v>
      </c>
      <c r="B3128" s="2205">
        <v>6000</v>
      </c>
    </row>
    <row r="3129" spans="1:2" x14ac:dyDescent="0.2">
      <c r="A3129" s="2205" t="s">
        <v>1936</v>
      </c>
      <c r="B3129" s="2205">
        <v>108912</v>
      </c>
    </row>
    <row r="3130" spans="1:2" x14ac:dyDescent="0.2">
      <c r="A3130" s="2205" t="s">
        <v>1934</v>
      </c>
      <c r="B3130" s="2205">
        <v>36996</v>
      </c>
    </row>
    <row r="3131" spans="1:2" x14ac:dyDescent="0.2">
      <c r="A3131" s="2205" t="s">
        <v>3337</v>
      </c>
      <c r="B3131" s="2205">
        <v>6000</v>
      </c>
    </row>
    <row r="3132" spans="1:2" x14ac:dyDescent="0.2">
      <c r="A3132" s="2205" t="s">
        <v>410</v>
      </c>
      <c r="B3132" s="2205">
        <v>50004</v>
      </c>
    </row>
    <row r="3133" spans="1:2" x14ac:dyDescent="0.2">
      <c r="A3133" s="2205" t="s">
        <v>409</v>
      </c>
      <c r="B3133" s="2205">
        <v>12000</v>
      </c>
    </row>
    <row r="3134" spans="1:2" x14ac:dyDescent="0.2">
      <c r="A3134" s="2205" t="s">
        <v>1612</v>
      </c>
      <c r="B3134" s="2205">
        <v>389901.82</v>
      </c>
    </row>
    <row r="3135" spans="1:2" x14ac:dyDescent="0.2">
      <c r="A3135" s="2205" t="s">
        <v>2594</v>
      </c>
      <c r="B3135" s="2205">
        <v>81.819999999999993</v>
      </c>
    </row>
    <row r="3136" spans="1:2" x14ac:dyDescent="0.2">
      <c r="A3136" s="2205" t="s">
        <v>2508</v>
      </c>
      <c r="B3136" s="2205">
        <v>4390.4799999999996</v>
      </c>
    </row>
    <row r="3137" spans="1:2" x14ac:dyDescent="0.2">
      <c r="A3137" s="2205" t="s">
        <v>1542</v>
      </c>
      <c r="B3137" s="2205">
        <v>681.33</v>
      </c>
    </row>
    <row r="3138" spans="1:2" x14ac:dyDescent="0.2">
      <c r="A3138" s="2205" t="s">
        <v>2449</v>
      </c>
      <c r="B3138" s="2205">
        <v>3037.57</v>
      </c>
    </row>
    <row r="3139" spans="1:2" x14ac:dyDescent="0.2">
      <c r="A3139" s="2205" t="s">
        <v>3207</v>
      </c>
      <c r="B3139" s="2205">
        <v>20446.97</v>
      </c>
    </row>
    <row r="3140" spans="1:2" x14ac:dyDescent="0.2">
      <c r="A3140" s="2205" t="s">
        <v>6037</v>
      </c>
      <c r="B3140" s="2205">
        <v>3505.2</v>
      </c>
    </row>
    <row r="3141" spans="1:2" x14ac:dyDescent="0.2">
      <c r="A3141" s="2205" t="s">
        <v>936</v>
      </c>
      <c r="B3141" s="2205">
        <v>4843.5</v>
      </c>
    </row>
    <row r="3142" spans="1:2" x14ac:dyDescent="0.2">
      <c r="A3142" s="2205" t="s">
        <v>1541</v>
      </c>
      <c r="B3142" s="2205">
        <v>2618.4699999999998</v>
      </c>
    </row>
    <row r="3143" spans="1:2" x14ac:dyDescent="0.2">
      <c r="A3143" s="2205" t="s">
        <v>1539</v>
      </c>
      <c r="B3143" s="2205">
        <v>445.71</v>
      </c>
    </row>
    <row r="3144" spans="1:2" x14ac:dyDescent="0.2">
      <c r="A3144" s="2205" t="s">
        <v>1540</v>
      </c>
      <c r="B3144" s="2205">
        <v>0</v>
      </c>
    </row>
    <row r="3145" spans="1:2" x14ac:dyDescent="0.2">
      <c r="A3145" s="2205" t="s">
        <v>1631</v>
      </c>
      <c r="B3145" s="2205">
        <v>0</v>
      </c>
    </row>
    <row r="3146" spans="1:2" x14ac:dyDescent="0.2">
      <c r="A3146" s="2205" t="s">
        <v>2506</v>
      </c>
      <c r="B3146" s="2205">
        <v>0</v>
      </c>
    </row>
    <row r="3147" spans="1:2" x14ac:dyDescent="0.2">
      <c r="A3147" s="2205" t="s">
        <v>186</v>
      </c>
      <c r="B3147" s="2205">
        <v>802.87</v>
      </c>
    </row>
    <row r="3148" spans="1:2" x14ac:dyDescent="0.2">
      <c r="A3148" s="2205" t="s">
        <v>2595</v>
      </c>
      <c r="B3148" s="2205">
        <v>5982.56</v>
      </c>
    </row>
    <row r="3149" spans="1:2" x14ac:dyDescent="0.2">
      <c r="A3149" s="2205" t="s">
        <v>2586</v>
      </c>
      <c r="B3149" s="2205">
        <v>1930.65</v>
      </c>
    </row>
    <row r="3150" spans="1:2" x14ac:dyDescent="0.2">
      <c r="A3150" s="2205" t="s">
        <v>2593</v>
      </c>
      <c r="B3150" s="2205">
        <v>815.18</v>
      </c>
    </row>
    <row r="3151" spans="1:2" x14ac:dyDescent="0.2">
      <c r="A3151" s="2205" t="s">
        <v>2507</v>
      </c>
      <c r="B3151" s="2205">
        <v>2897.2</v>
      </c>
    </row>
    <row r="3152" spans="1:2" x14ac:dyDescent="0.2">
      <c r="A3152" s="2205" t="s">
        <v>9644</v>
      </c>
      <c r="B3152" s="2205">
        <v>2617.62</v>
      </c>
    </row>
    <row r="3153" spans="1:2" x14ac:dyDescent="0.2">
      <c r="A3153" s="2205" t="s">
        <v>866</v>
      </c>
      <c r="B3153" s="2205">
        <v>22376.82</v>
      </c>
    </row>
    <row r="3154" spans="1:2" x14ac:dyDescent="0.2">
      <c r="A3154" s="2205" t="s">
        <v>9645</v>
      </c>
      <c r="B3154" s="2205">
        <v>77711.94</v>
      </c>
    </row>
    <row r="3155" spans="1:2" x14ac:dyDescent="0.2">
      <c r="A3155" s="2205" t="s">
        <v>9646</v>
      </c>
      <c r="B3155" s="2205">
        <v>1556.58</v>
      </c>
    </row>
    <row r="3156" spans="1:2" x14ac:dyDescent="0.2">
      <c r="A3156" s="2205" t="s">
        <v>9647</v>
      </c>
      <c r="B3156" s="2205">
        <v>645.38</v>
      </c>
    </row>
    <row r="3157" spans="1:2" x14ac:dyDescent="0.2">
      <c r="A3157" s="2205" t="s">
        <v>9648</v>
      </c>
      <c r="B3157" s="2205">
        <v>1866.48</v>
      </c>
    </row>
    <row r="3158" spans="1:2" x14ac:dyDescent="0.2">
      <c r="A3158" s="2205" t="s">
        <v>9649</v>
      </c>
      <c r="B3158" s="2205">
        <v>2236.4699999999998</v>
      </c>
    </row>
    <row r="3159" spans="1:2" x14ac:dyDescent="0.2">
      <c r="A3159" s="2205" t="s">
        <v>9650</v>
      </c>
      <c r="B3159" s="2205">
        <v>2585.5500000000002</v>
      </c>
    </row>
    <row r="3160" spans="1:2" x14ac:dyDescent="0.2">
      <c r="A3160" s="2205" t="s">
        <v>9651</v>
      </c>
      <c r="B3160" s="2205">
        <v>1821.47</v>
      </c>
    </row>
    <row r="3161" spans="1:2" x14ac:dyDescent="0.2">
      <c r="A3161" s="2205" t="s">
        <v>901</v>
      </c>
      <c r="B3161" s="2205">
        <v>96455.09</v>
      </c>
    </row>
    <row r="3162" spans="1:2" x14ac:dyDescent="0.2">
      <c r="A3162" s="2205" t="s">
        <v>9652</v>
      </c>
      <c r="B3162" s="2205">
        <v>74.78</v>
      </c>
    </row>
    <row r="3163" spans="1:2" x14ac:dyDescent="0.2">
      <c r="A3163" s="2205" t="s">
        <v>9653</v>
      </c>
      <c r="B3163" s="2205">
        <v>2581.59</v>
      </c>
    </row>
    <row r="3164" spans="1:2" x14ac:dyDescent="0.2">
      <c r="A3164" s="2205" t="s">
        <v>2878</v>
      </c>
      <c r="B3164" s="2205">
        <v>18131.669999999998</v>
      </c>
    </row>
    <row r="3165" spans="1:2" x14ac:dyDescent="0.2">
      <c r="A3165" s="2205" t="s">
        <v>2448</v>
      </c>
      <c r="B3165" s="2205">
        <v>115059.84</v>
      </c>
    </row>
    <row r="3166" spans="1:2" x14ac:dyDescent="0.2">
      <c r="A3166" s="2205" t="s">
        <v>2450</v>
      </c>
      <c r="B3166" s="2205">
        <v>144061.72</v>
      </c>
    </row>
    <row r="3167" spans="1:2" x14ac:dyDescent="0.2">
      <c r="A3167" s="2205" t="s">
        <v>9654</v>
      </c>
      <c r="B3167" s="2205">
        <v>2642.61</v>
      </c>
    </row>
    <row r="3168" spans="1:2" x14ac:dyDescent="0.2">
      <c r="A3168" s="2205" t="s">
        <v>1689</v>
      </c>
      <c r="B3168" s="2205">
        <v>3895.34</v>
      </c>
    </row>
    <row r="3169" spans="1:2" x14ac:dyDescent="0.2">
      <c r="A3169" s="2205" t="s">
        <v>1610</v>
      </c>
      <c r="B3169" s="2205">
        <v>8115.5</v>
      </c>
    </row>
    <row r="3170" spans="1:2" x14ac:dyDescent="0.2">
      <c r="A3170" s="2205" t="s">
        <v>1613</v>
      </c>
      <c r="B3170" s="2205">
        <v>18454.88</v>
      </c>
    </row>
    <row r="3171" spans="1:2" x14ac:dyDescent="0.2">
      <c r="A3171" s="2205" t="s">
        <v>9655</v>
      </c>
      <c r="B3171" s="2205">
        <v>909.09</v>
      </c>
    </row>
    <row r="3172" spans="1:2" x14ac:dyDescent="0.2">
      <c r="A3172" s="2205" t="s">
        <v>4071</v>
      </c>
      <c r="B3172" s="2205">
        <v>7.73</v>
      </c>
    </row>
    <row r="3173" spans="1:2" x14ac:dyDescent="0.2">
      <c r="A3173" s="2205" t="s">
        <v>2747</v>
      </c>
      <c r="B3173" s="2205">
        <v>3937.23</v>
      </c>
    </row>
    <row r="3174" spans="1:2" x14ac:dyDescent="0.2">
      <c r="A3174" s="2205" t="s">
        <v>867</v>
      </c>
      <c r="B3174" s="2205">
        <v>45703.360000000001</v>
      </c>
    </row>
    <row r="3175" spans="1:2" x14ac:dyDescent="0.2">
      <c r="A3175" s="2205" t="s">
        <v>2284</v>
      </c>
      <c r="B3175" s="2205">
        <v>0</v>
      </c>
    </row>
    <row r="3176" spans="1:2" x14ac:dyDescent="0.2">
      <c r="A3176" s="2205" t="s">
        <v>1028</v>
      </c>
      <c r="B3176" s="2205">
        <v>935.27</v>
      </c>
    </row>
    <row r="3177" spans="1:2" x14ac:dyDescent="0.2">
      <c r="A3177" s="2205" t="s">
        <v>1101</v>
      </c>
      <c r="B3177" s="2205">
        <v>1646512.33</v>
      </c>
    </row>
    <row r="3178" spans="1:2" x14ac:dyDescent="0.2">
      <c r="A3178" s="2205" t="s">
        <v>1102</v>
      </c>
      <c r="B3178" s="2205">
        <v>598125.81000000006</v>
      </c>
    </row>
    <row r="3179" spans="1:2" x14ac:dyDescent="0.2">
      <c r="A3179" s="2205" t="s">
        <v>1685</v>
      </c>
      <c r="B3179" s="2205">
        <v>39384.25</v>
      </c>
    </row>
    <row r="3180" spans="1:2" x14ac:dyDescent="0.2">
      <c r="A3180" s="2205" t="s">
        <v>1771</v>
      </c>
      <c r="B3180" s="2210">
        <v>22899.59</v>
      </c>
    </row>
    <row r="3181" spans="1:2" x14ac:dyDescent="0.2">
      <c r="A3181" s="2205" t="s">
        <v>9656</v>
      </c>
      <c r="B3181" s="2205">
        <v>469.7</v>
      </c>
    </row>
    <row r="3182" spans="1:2" x14ac:dyDescent="0.2">
      <c r="A3182" s="2205" t="s">
        <v>1990</v>
      </c>
      <c r="B3182" s="2210">
        <v>248977.94</v>
      </c>
    </row>
    <row r="3183" spans="1:2" x14ac:dyDescent="0.2">
      <c r="A3183" s="2205" t="s">
        <v>653</v>
      </c>
      <c r="B3183" s="2205">
        <v>6324.51</v>
      </c>
    </row>
    <row r="3184" spans="1:2" x14ac:dyDescent="0.2">
      <c r="A3184" s="2205" t="s">
        <v>656</v>
      </c>
      <c r="B3184" s="2205">
        <v>43782.22</v>
      </c>
    </row>
    <row r="3185" spans="1:2" x14ac:dyDescent="0.2">
      <c r="A3185" s="2205" t="s">
        <v>148</v>
      </c>
      <c r="B3185" s="2210">
        <v>3972.93</v>
      </c>
    </row>
    <row r="3186" spans="1:2" x14ac:dyDescent="0.2">
      <c r="A3186" s="2205" t="s">
        <v>858</v>
      </c>
      <c r="B3186" s="2205">
        <v>1616.99</v>
      </c>
    </row>
    <row r="3187" spans="1:2" x14ac:dyDescent="0.2">
      <c r="A3187" s="2205" t="s">
        <v>1687</v>
      </c>
      <c r="B3187" s="2205">
        <v>62433.919999999998</v>
      </c>
    </row>
    <row r="3188" spans="1:2" x14ac:dyDescent="0.2">
      <c r="A3188" s="2205" t="s">
        <v>655</v>
      </c>
      <c r="B3188" s="2205">
        <v>155089.96</v>
      </c>
    </row>
    <row r="3189" spans="1:2" x14ac:dyDescent="0.2">
      <c r="A3189" s="2205" t="s">
        <v>2192</v>
      </c>
      <c r="B3189" s="2210">
        <v>289756.99</v>
      </c>
    </row>
    <row r="3190" spans="1:2" x14ac:dyDescent="0.2">
      <c r="A3190" s="2205" t="s">
        <v>1686</v>
      </c>
      <c r="B3190" s="2205">
        <v>74949.179999999993</v>
      </c>
    </row>
    <row r="3191" spans="1:2" x14ac:dyDescent="0.2">
      <c r="A3191" s="2205" t="s">
        <v>857</v>
      </c>
      <c r="B3191" s="2205">
        <v>649.44000000000005</v>
      </c>
    </row>
    <row r="3192" spans="1:2" x14ac:dyDescent="0.2">
      <c r="A3192" s="2205" t="s">
        <v>147</v>
      </c>
      <c r="B3192" s="2210">
        <v>20665.05</v>
      </c>
    </row>
    <row r="3193" spans="1:2" x14ac:dyDescent="0.2">
      <c r="A3193" s="2205" t="s">
        <v>2191</v>
      </c>
      <c r="B3193" s="2210">
        <v>441634.3</v>
      </c>
    </row>
    <row r="3194" spans="1:2" x14ac:dyDescent="0.2">
      <c r="A3194" s="2205" t="s">
        <v>654</v>
      </c>
      <c r="B3194" s="2205">
        <v>205184.4</v>
      </c>
    </row>
    <row r="3195" spans="1:2" x14ac:dyDescent="0.2">
      <c r="A3195" s="2205" t="s">
        <v>2742</v>
      </c>
      <c r="B3195" s="2210">
        <v>43785.53</v>
      </c>
    </row>
    <row r="3196" spans="1:2" x14ac:dyDescent="0.2">
      <c r="A3196" s="2205" t="s">
        <v>1349</v>
      </c>
      <c r="B3196" s="2205">
        <v>7987.82</v>
      </c>
    </row>
    <row r="3197" spans="1:2" x14ac:dyDescent="0.2">
      <c r="A3197" s="2205" t="s">
        <v>1684</v>
      </c>
      <c r="B3197" s="2205">
        <v>150689.82</v>
      </c>
    </row>
    <row r="3198" spans="1:2" x14ac:dyDescent="0.2">
      <c r="A3198" s="2205" t="s">
        <v>1616</v>
      </c>
      <c r="B3198" s="2205">
        <v>649774.49</v>
      </c>
    </row>
    <row r="3199" spans="1:2" x14ac:dyDescent="0.2">
      <c r="A3199" s="2205" t="s">
        <v>657</v>
      </c>
      <c r="B3199" s="2210">
        <v>791921.13</v>
      </c>
    </row>
    <row r="3200" spans="1:2" x14ac:dyDescent="0.2">
      <c r="A3200" s="2205" t="s">
        <v>9657</v>
      </c>
      <c r="B3200" s="2205">
        <v>359.26</v>
      </c>
    </row>
    <row r="3201" spans="1:2" x14ac:dyDescent="0.2">
      <c r="A3201" s="2205" t="s">
        <v>9658</v>
      </c>
      <c r="B3201" s="2205">
        <v>3704.53</v>
      </c>
    </row>
    <row r="3202" spans="1:2" x14ac:dyDescent="0.2">
      <c r="A3202" s="2205" t="s">
        <v>9659</v>
      </c>
      <c r="B3202" s="2210">
        <v>695.46</v>
      </c>
    </row>
    <row r="3203" spans="1:2" x14ac:dyDescent="0.2">
      <c r="A3203" s="2205" t="s">
        <v>9660</v>
      </c>
      <c r="B3203" s="2205">
        <v>-22656.76</v>
      </c>
    </row>
    <row r="3204" spans="1:2" x14ac:dyDescent="0.2">
      <c r="A3204" s="2205" t="s">
        <v>9661</v>
      </c>
      <c r="B3204" s="2210">
        <v>-365.87</v>
      </c>
    </row>
    <row r="3205" spans="1:2" x14ac:dyDescent="0.2">
      <c r="A3205" s="2205" t="s">
        <v>9662</v>
      </c>
      <c r="B3205" s="2205">
        <v>18154.189999999999</v>
      </c>
    </row>
    <row r="3206" spans="1:2" x14ac:dyDescent="0.2">
      <c r="A3206" s="2205" t="s">
        <v>9663</v>
      </c>
      <c r="B3206" s="2205">
        <v>-1572.83</v>
      </c>
    </row>
    <row r="3207" spans="1:2" x14ac:dyDescent="0.2">
      <c r="A3207" s="2205" t="s">
        <v>9664</v>
      </c>
      <c r="B3207" s="2210">
        <v>2800.6</v>
      </c>
    </row>
    <row r="3208" spans="1:2" x14ac:dyDescent="0.2">
      <c r="A3208" s="2205" t="s">
        <v>2417</v>
      </c>
      <c r="B3208" s="2205">
        <v>17053.96</v>
      </c>
    </row>
    <row r="3209" spans="1:2" x14ac:dyDescent="0.2">
      <c r="A3209" s="2205" t="s">
        <v>9665</v>
      </c>
      <c r="B3209" s="2205">
        <v>1.7</v>
      </c>
    </row>
    <row r="3210" spans="1:2" x14ac:dyDescent="0.2">
      <c r="A3210" s="2205" t="s">
        <v>9666</v>
      </c>
      <c r="B3210" s="2205">
        <v>27.17</v>
      </c>
    </row>
    <row r="3211" spans="1:2" x14ac:dyDescent="0.2">
      <c r="A3211" s="2205" t="s">
        <v>9667</v>
      </c>
      <c r="B3211" s="2205">
        <v>2.95</v>
      </c>
    </row>
    <row r="3212" spans="1:2" x14ac:dyDescent="0.2">
      <c r="A3212" s="2205" t="s">
        <v>9668</v>
      </c>
      <c r="B3212" s="2205">
        <v>101.69</v>
      </c>
    </row>
    <row r="3213" spans="1:2" x14ac:dyDescent="0.2">
      <c r="A3213" s="2205" t="s">
        <v>9669</v>
      </c>
      <c r="B3213" s="2205">
        <v>8.82</v>
      </c>
    </row>
    <row r="3214" spans="1:2" x14ac:dyDescent="0.2">
      <c r="A3214" s="2205" t="s">
        <v>9670</v>
      </c>
      <c r="B3214" s="2205">
        <v>13.64</v>
      </c>
    </row>
    <row r="3215" spans="1:2" x14ac:dyDescent="0.2">
      <c r="A3215" s="2205" t="s">
        <v>9671</v>
      </c>
      <c r="B3215" s="2205">
        <v>266.5</v>
      </c>
    </row>
    <row r="3216" spans="1:2" x14ac:dyDescent="0.2">
      <c r="A3216" s="2205" t="s">
        <v>9672</v>
      </c>
      <c r="B3216" s="2205">
        <v>288.56</v>
      </c>
    </row>
    <row r="3217" spans="1:2" x14ac:dyDescent="0.2">
      <c r="A3217" s="2205" t="s">
        <v>9673</v>
      </c>
      <c r="B3217" s="2205">
        <v>1.99</v>
      </c>
    </row>
    <row r="3218" spans="1:2" x14ac:dyDescent="0.2">
      <c r="A3218" s="2205" t="s">
        <v>9674</v>
      </c>
      <c r="B3218" s="2205">
        <v>5.13</v>
      </c>
    </row>
    <row r="3219" spans="1:2" x14ac:dyDescent="0.2">
      <c r="A3219" s="2205" t="s">
        <v>9675</v>
      </c>
      <c r="B3219" s="2205">
        <v>210.05</v>
      </c>
    </row>
    <row r="3220" spans="1:2" x14ac:dyDescent="0.2">
      <c r="A3220" s="2205" t="s">
        <v>9676</v>
      </c>
      <c r="B3220" s="2205">
        <v>0.78</v>
      </c>
    </row>
    <row r="3221" spans="1:2" x14ac:dyDescent="0.2">
      <c r="A3221" s="2205" t="s">
        <v>9677</v>
      </c>
      <c r="B3221" s="2205">
        <v>1.54</v>
      </c>
    </row>
    <row r="3222" spans="1:2" x14ac:dyDescent="0.2">
      <c r="A3222" s="2205" t="s">
        <v>9678</v>
      </c>
      <c r="B3222" s="2205">
        <v>1577.33</v>
      </c>
    </row>
    <row r="3223" spans="1:2" x14ac:dyDescent="0.2">
      <c r="A3223" s="2205" t="s">
        <v>9679</v>
      </c>
      <c r="B3223" s="2205">
        <v>0.59</v>
      </c>
    </row>
    <row r="3224" spans="1:2" x14ac:dyDescent="0.2">
      <c r="A3224" s="2205" t="s">
        <v>9680</v>
      </c>
      <c r="B3224" s="2205">
        <v>3.56</v>
      </c>
    </row>
    <row r="3225" spans="1:2" x14ac:dyDescent="0.2">
      <c r="A3225" s="2205" t="s">
        <v>9681</v>
      </c>
      <c r="B3225" s="2205">
        <v>17.97</v>
      </c>
    </row>
    <row r="3226" spans="1:2" x14ac:dyDescent="0.2">
      <c r="A3226" s="2205" t="s">
        <v>9682</v>
      </c>
      <c r="B3226" s="2205">
        <v>171.9</v>
      </c>
    </row>
    <row r="3227" spans="1:2" x14ac:dyDescent="0.2">
      <c r="A3227" s="2205" t="s">
        <v>9683</v>
      </c>
      <c r="B3227" s="2205">
        <v>61.06</v>
      </c>
    </row>
    <row r="3228" spans="1:2" x14ac:dyDescent="0.2">
      <c r="A3228" s="2205" t="s">
        <v>9684</v>
      </c>
      <c r="B3228" s="2205">
        <v>8.51</v>
      </c>
    </row>
    <row r="3229" spans="1:2" x14ac:dyDescent="0.2">
      <c r="A3229" s="2205" t="s">
        <v>9685</v>
      </c>
      <c r="B3229" s="2205">
        <v>1651.36</v>
      </c>
    </row>
    <row r="3230" spans="1:2" x14ac:dyDescent="0.2">
      <c r="A3230" s="2205" t="s">
        <v>9686</v>
      </c>
      <c r="B3230" s="2205">
        <v>206.02</v>
      </c>
    </row>
    <row r="3231" spans="1:2" x14ac:dyDescent="0.2">
      <c r="A3231" s="2205" t="s">
        <v>9687</v>
      </c>
      <c r="B3231" s="2205">
        <v>413.59</v>
      </c>
    </row>
    <row r="3232" spans="1:2" x14ac:dyDescent="0.2">
      <c r="A3232" s="2205" t="s">
        <v>9688</v>
      </c>
      <c r="B3232" s="2205">
        <v>964.62</v>
      </c>
    </row>
    <row r="3233" spans="1:2" x14ac:dyDescent="0.2">
      <c r="A3233" s="2205" t="s">
        <v>9689</v>
      </c>
      <c r="B3233" s="2205">
        <v>993.21</v>
      </c>
    </row>
    <row r="3234" spans="1:2" x14ac:dyDescent="0.2">
      <c r="A3234" s="2205" t="s">
        <v>9690</v>
      </c>
      <c r="B3234" s="2205">
        <v>755.46</v>
      </c>
    </row>
    <row r="3235" spans="1:2" x14ac:dyDescent="0.2">
      <c r="A3235" s="2205" t="s">
        <v>9691</v>
      </c>
      <c r="B3235" s="2205">
        <v>227.51</v>
      </c>
    </row>
    <row r="3236" spans="1:2" x14ac:dyDescent="0.2">
      <c r="A3236" s="2205" t="s">
        <v>9692</v>
      </c>
      <c r="B3236" s="2205">
        <v>16.29</v>
      </c>
    </row>
    <row r="3237" spans="1:2" x14ac:dyDescent="0.2">
      <c r="A3237" s="2205" t="s">
        <v>9693</v>
      </c>
      <c r="B3237" s="2205">
        <v>83.3</v>
      </c>
    </row>
    <row r="3238" spans="1:2" x14ac:dyDescent="0.2">
      <c r="A3238" s="2205" t="s">
        <v>9694</v>
      </c>
      <c r="B3238" s="2205">
        <v>4060.26</v>
      </c>
    </row>
    <row r="3239" spans="1:2" x14ac:dyDescent="0.2">
      <c r="A3239" s="2205" t="s">
        <v>9695</v>
      </c>
      <c r="B3239" s="2205">
        <v>4.1900000000000004</v>
      </c>
    </row>
    <row r="3240" spans="1:2" x14ac:dyDescent="0.2">
      <c r="A3240" s="2205" t="s">
        <v>9696</v>
      </c>
      <c r="B3240" s="2205">
        <v>264.31</v>
      </c>
    </row>
    <row r="3241" spans="1:2" x14ac:dyDescent="0.2">
      <c r="A3241" s="2205" t="s">
        <v>9697</v>
      </c>
      <c r="B3241" s="2205">
        <v>272.29000000000002</v>
      </c>
    </row>
    <row r="3242" spans="1:2" x14ac:dyDescent="0.2">
      <c r="A3242" s="2205" t="s">
        <v>9698</v>
      </c>
      <c r="B3242" s="2205">
        <v>0</v>
      </c>
    </row>
    <row r="3243" spans="1:2" x14ac:dyDescent="0.2">
      <c r="A3243" s="2205" t="s">
        <v>9699</v>
      </c>
      <c r="B3243" s="2205">
        <v>58.83</v>
      </c>
    </row>
    <row r="3244" spans="1:2" x14ac:dyDescent="0.2">
      <c r="A3244" s="2205" t="s">
        <v>9700</v>
      </c>
      <c r="B3244" s="2205">
        <v>162.61000000000001</v>
      </c>
    </row>
    <row r="3245" spans="1:2" x14ac:dyDescent="0.2">
      <c r="A3245" s="2205" t="s">
        <v>9701</v>
      </c>
      <c r="B3245" s="2205">
        <v>376.31</v>
      </c>
    </row>
    <row r="3246" spans="1:2" x14ac:dyDescent="0.2">
      <c r="A3246" s="2205" t="s">
        <v>9702</v>
      </c>
      <c r="B3246" s="2205">
        <v>357.64</v>
      </c>
    </row>
    <row r="3247" spans="1:2" x14ac:dyDescent="0.2">
      <c r="A3247" s="2205" t="s">
        <v>9703</v>
      </c>
      <c r="B3247" s="2205">
        <v>1620.25</v>
      </c>
    </row>
    <row r="3248" spans="1:2" x14ac:dyDescent="0.2">
      <c r="A3248" s="2205" t="s">
        <v>9704</v>
      </c>
      <c r="B3248" s="2205">
        <v>0.78</v>
      </c>
    </row>
    <row r="3249" spans="1:2" x14ac:dyDescent="0.2">
      <c r="A3249" s="2205" t="s">
        <v>9705</v>
      </c>
      <c r="B3249" s="2205">
        <v>0.59</v>
      </c>
    </row>
    <row r="3250" spans="1:2" x14ac:dyDescent="0.2">
      <c r="A3250" s="2205" t="s">
        <v>9706</v>
      </c>
      <c r="B3250" s="2205">
        <v>1500.67</v>
      </c>
    </row>
    <row r="3251" spans="1:2" x14ac:dyDescent="0.2">
      <c r="A3251" s="2205" t="s">
        <v>9707</v>
      </c>
      <c r="B3251" s="2205">
        <v>1315.51</v>
      </c>
    </row>
    <row r="3252" spans="1:2" x14ac:dyDescent="0.2">
      <c r="A3252" s="2205" t="s">
        <v>9708</v>
      </c>
      <c r="B3252" s="2205">
        <v>243.15</v>
      </c>
    </row>
    <row r="3253" spans="1:2" x14ac:dyDescent="0.2">
      <c r="A3253" s="2205" t="s">
        <v>9709</v>
      </c>
      <c r="B3253" s="2205">
        <v>50.56</v>
      </c>
    </row>
    <row r="3254" spans="1:2" x14ac:dyDescent="0.2">
      <c r="A3254" s="2205" t="s">
        <v>9710</v>
      </c>
      <c r="B3254" s="2205">
        <v>50.05</v>
      </c>
    </row>
    <row r="3255" spans="1:2" x14ac:dyDescent="0.2">
      <c r="A3255" s="2205" t="s">
        <v>9711</v>
      </c>
      <c r="B3255" s="2205">
        <v>37.08</v>
      </c>
    </row>
    <row r="3256" spans="1:2" x14ac:dyDescent="0.2">
      <c r="A3256" s="2205" t="s">
        <v>9712</v>
      </c>
      <c r="B3256" s="2205">
        <v>2.73</v>
      </c>
    </row>
    <row r="3257" spans="1:2" x14ac:dyDescent="0.2">
      <c r="A3257" s="2205" t="s">
        <v>9713</v>
      </c>
      <c r="B3257" s="2205">
        <v>6.31</v>
      </c>
    </row>
    <row r="3258" spans="1:2" x14ac:dyDescent="0.2">
      <c r="A3258" s="2205" t="s">
        <v>9714</v>
      </c>
      <c r="B3258" s="2205">
        <v>1688.73</v>
      </c>
    </row>
    <row r="3259" spans="1:2" x14ac:dyDescent="0.2">
      <c r="A3259" s="2205" t="s">
        <v>9715</v>
      </c>
      <c r="B3259" s="2205">
        <v>717.6</v>
      </c>
    </row>
    <row r="3260" spans="1:2" x14ac:dyDescent="0.2">
      <c r="A3260" s="2205" t="s">
        <v>9716</v>
      </c>
      <c r="B3260" s="2205">
        <v>393.89</v>
      </c>
    </row>
    <row r="3261" spans="1:2" x14ac:dyDescent="0.2">
      <c r="A3261" s="2205" t="s">
        <v>9717</v>
      </c>
      <c r="B3261" s="2205">
        <v>30.18</v>
      </c>
    </row>
    <row r="3262" spans="1:2" x14ac:dyDescent="0.2">
      <c r="A3262" s="2205" t="s">
        <v>9718</v>
      </c>
      <c r="B3262" s="2205">
        <v>150.51</v>
      </c>
    </row>
    <row r="3263" spans="1:2" x14ac:dyDescent="0.2">
      <c r="A3263" s="2205" t="s">
        <v>9719</v>
      </c>
      <c r="B3263" s="2205">
        <v>1.51</v>
      </c>
    </row>
    <row r="3264" spans="1:2" x14ac:dyDescent="0.2">
      <c r="A3264" s="2205" t="s">
        <v>9720</v>
      </c>
      <c r="B3264" s="2205">
        <v>54.4</v>
      </c>
    </row>
    <row r="3265" spans="1:2" x14ac:dyDescent="0.2">
      <c r="A3265" s="2205" t="s">
        <v>9721</v>
      </c>
      <c r="B3265" s="2205">
        <v>63.27</v>
      </c>
    </row>
    <row r="3266" spans="1:2" x14ac:dyDescent="0.2">
      <c r="A3266" s="2205" t="s">
        <v>9722</v>
      </c>
      <c r="B3266" s="2205">
        <v>619.32000000000005</v>
      </c>
    </row>
    <row r="3267" spans="1:2" x14ac:dyDescent="0.2">
      <c r="A3267" s="2205" t="s">
        <v>9723</v>
      </c>
      <c r="B3267" s="2205">
        <v>89.47</v>
      </c>
    </row>
    <row r="3268" spans="1:2" x14ac:dyDescent="0.2">
      <c r="A3268" s="2205" t="s">
        <v>9724</v>
      </c>
      <c r="B3268" s="2205">
        <v>397.3</v>
      </c>
    </row>
    <row r="3269" spans="1:2" x14ac:dyDescent="0.2">
      <c r="A3269" s="2205" t="s">
        <v>9725</v>
      </c>
      <c r="B3269" s="2205">
        <v>117.55</v>
      </c>
    </row>
    <row r="3270" spans="1:2" x14ac:dyDescent="0.2">
      <c r="A3270" s="2205" t="s">
        <v>9726</v>
      </c>
      <c r="B3270" s="2205">
        <v>151.68</v>
      </c>
    </row>
    <row r="3271" spans="1:2" x14ac:dyDescent="0.2">
      <c r="A3271" s="2205" t="s">
        <v>9727</v>
      </c>
      <c r="B3271" s="2205">
        <v>5.61</v>
      </c>
    </row>
    <row r="3272" spans="1:2" x14ac:dyDescent="0.2">
      <c r="A3272" s="2205" t="s">
        <v>9728</v>
      </c>
      <c r="B3272" s="2205">
        <v>2537.4299999999998</v>
      </c>
    </row>
    <row r="3273" spans="1:2" x14ac:dyDescent="0.2">
      <c r="A3273" s="2205" t="s">
        <v>9729</v>
      </c>
      <c r="B3273" s="2205">
        <v>47.93</v>
      </c>
    </row>
    <row r="3274" spans="1:2" x14ac:dyDescent="0.2">
      <c r="A3274" s="2205" t="s">
        <v>9730</v>
      </c>
      <c r="B3274" s="2205">
        <v>4686.37</v>
      </c>
    </row>
    <row r="3275" spans="1:2" x14ac:dyDescent="0.2">
      <c r="A3275" s="2205" t="s">
        <v>9731</v>
      </c>
      <c r="B3275" s="2205">
        <v>342.33</v>
      </c>
    </row>
    <row r="3276" spans="1:2" x14ac:dyDescent="0.2">
      <c r="A3276" s="2205" t="s">
        <v>9732</v>
      </c>
      <c r="B3276" s="2205">
        <v>26.01</v>
      </c>
    </row>
    <row r="3277" spans="1:2" x14ac:dyDescent="0.2">
      <c r="A3277" s="2205" t="s">
        <v>9733</v>
      </c>
      <c r="B3277" s="2205">
        <v>34.130000000000003</v>
      </c>
    </row>
    <row r="3278" spans="1:2" x14ac:dyDescent="0.2">
      <c r="A3278" s="2205" t="s">
        <v>9734</v>
      </c>
      <c r="B3278" s="2205">
        <v>1021.36</v>
      </c>
    </row>
    <row r="3279" spans="1:2" x14ac:dyDescent="0.2">
      <c r="A3279" s="2205" t="s">
        <v>9735</v>
      </c>
      <c r="B3279" s="2205">
        <v>18.37</v>
      </c>
    </row>
    <row r="3280" spans="1:2" x14ac:dyDescent="0.2">
      <c r="A3280" s="2205" t="s">
        <v>9736</v>
      </c>
      <c r="B3280" s="2205">
        <v>45.63</v>
      </c>
    </row>
    <row r="3281" spans="1:2" x14ac:dyDescent="0.2">
      <c r="A3281" s="2205" t="s">
        <v>9737</v>
      </c>
      <c r="B3281" s="2205">
        <v>54.19</v>
      </c>
    </row>
    <row r="3282" spans="1:2" x14ac:dyDescent="0.2">
      <c r="A3282" s="2205" t="s">
        <v>9738</v>
      </c>
      <c r="B3282" s="2205">
        <v>1.28</v>
      </c>
    </row>
    <row r="3283" spans="1:2" x14ac:dyDescent="0.2">
      <c r="A3283" s="2205" t="s">
        <v>9739</v>
      </c>
      <c r="B3283" s="2205">
        <v>64.040000000000006</v>
      </c>
    </row>
    <row r="3284" spans="1:2" x14ac:dyDescent="0.2">
      <c r="A3284" s="2205" t="s">
        <v>9740</v>
      </c>
      <c r="B3284" s="2205">
        <v>0.98</v>
      </c>
    </row>
    <row r="3285" spans="1:2" x14ac:dyDescent="0.2">
      <c r="A3285" s="2205" t="s">
        <v>9741</v>
      </c>
      <c r="B3285" s="2205">
        <v>1.32</v>
      </c>
    </row>
    <row r="3286" spans="1:2" x14ac:dyDescent="0.2">
      <c r="A3286" s="2205" t="s">
        <v>9742</v>
      </c>
      <c r="B3286" s="2205">
        <v>11.87</v>
      </c>
    </row>
    <row r="3287" spans="1:2" x14ac:dyDescent="0.2">
      <c r="A3287" s="2205" t="s">
        <v>9743</v>
      </c>
      <c r="B3287" s="2205">
        <v>20.02</v>
      </c>
    </row>
    <row r="3288" spans="1:2" x14ac:dyDescent="0.2">
      <c r="A3288" s="2205" t="s">
        <v>9744</v>
      </c>
      <c r="B3288" s="2205">
        <v>1.7</v>
      </c>
    </row>
    <row r="3289" spans="1:2" x14ac:dyDescent="0.2">
      <c r="A3289" s="2205" t="s">
        <v>9745</v>
      </c>
      <c r="B3289" s="2205">
        <v>114.67</v>
      </c>
    </row>
    <row r="3290" spans="1:2" x14ac:dyDescent="0.2">
      <c r="A3290" s="2205" t="s">
        <v>9746</v>
      </c>
      <c r="B3290" s="2205">
        <v>2.36</v>
      </c>
    </row>
    <row r="3291" spans="1:2" x14ac:dyDescent="0.2">
      <c r="A3291" s="2205" t="s">
        <v>9747</v>
      </c>
      <c r="B3291" s="2205">
        <v>8.69</v>
      </c>
    </row>
    <row r="3292" spans="1:2" x14ac:dyDescent="0.2">
      <c r="A3292" s="2205" t="s">
        <v>9748</v>
      </c>
      <c r="B3292" s="2205">
        <v>49.01</v>
      </c>
    </row>
    <row r="3293" spans="1:2" x14ac:dyDescent="0.2">
      <c r="A3293" s="2205" t="s">
        <v>9749</v>
      </c>
      <c r="B3293" s="2205">
        <v>118.47</v>
      </c>
    </row>
    <row r="3294" spans="1:2" x14ac:dyDescent="0.2">
      <c r="A3294" s="2205" t="s">
        <v>9750</v>
      </c>
      <c r="B3294" s="2205">
        <v>130.43</v>
      </c>
    </row>
    <row r="3295" spans="1:2" x14ac:dyDescent="0.2">
      <c r="A3295" s="2205" t="s">
        <v>9751</v>
      </c>
      <c r="B3295" s="2205">
        <v>4.3099999999999996</v>
      </c>
    </row>
    <row r="3296" spans="1:2" x14ac:dyDescent="0.2">
      <c r="A3296" s="2205" t="s">
        <v>9752</v>
      </c>
      <c r="B3296" s="2205">
        <v>67.87</v>
      </c>
    </row>
    <row r="3297" spans="1:2" x14ac:dyDescent="0.2">
      <c r="A3297" s="2205" t="s">
        <v>9753</v>
      </c>
      <c r="B3297" s="2205">
        <v>14.69</v>
      </c>
    </row>
    <row r="3298" spans="1:2" x14ac:dyDescent="0.2">
      <c r="A3298" s="2205" t="s">
        <v>9754</v>
      </c>
      <c r="B3298" s="2205">
        <v>18.55</v>
      </c>
    </row>
    <row r="3299" spans="1:2" x14ac:dyDescent="0.2">
      <c r="A3299" s="2205" t="s">
        <v>9755</v>
      </c>
      <c r="B3299" s="2205">
        <v>20.63</v>
      </c>
    </row>
    <row r="3300" spans="1:2" x14ac:dyDescent="0.2">
      <c r="A3300" s="2205" t="s">
        <v>9756</v>
      </c>
      <c r="B3300" s="2205">
        <v>80.180000000000007</v>
      </c>
    </row>
    <row r="3301" spans="1:2" x14ac:dyDescent="0.2">
      <c r="A3301" s="2205" t="s">
        <v>9757</v>
      </c>
      <c r="B3301" s="2205">
        <v>52.76</v>
      </c>
    </row>
    <row r="3302" spans="1:2" x14ac:dyDescent="0.2">
      <c r="A3302" s="2205" t="s">
        <v>9758</v>
      </c>
      <c r="B3302" s="2205">
        <v>0.99</v>
      </c>
    </row>
    <row r="3303" spans="1:2" x14ac:dyDescent="0.2">
      <c r="A3303" s="2205" t="s">
        <v>9759</v>
      </c>
      <c r="B3303" s="2205">
        <v>32.14</v>
      </c>
    </row>
    <row r="3304" spans="1:2" x14ac:dyDescent="0.2">
      <c r="A3304" s="2205" t="s">
        <v>9760</v>
      </c>
      <c r="B3304" s="2205">
        <v>173.93</v>
      </c>
    </row>
    <row r="3305" spans="1:2" x14ac:dyDescent="0.2">
      <c r="A3305" s="2205" t="s">
        <v>9761</v>
      </c>
      <c r="B3305" s="2205">
        <v>1649.51</v>
      </c>
    </row>
    <row r="3306" spans="1:2" x14ac:dyDescent="0.2">
      <c r="A3306" s="2205" t="s">
        <v>9762</v>
      </c>
      <c r="B3306" s="2205">
        <v>1.17</v>
      </c>
    </row>
    <row r="3307" spans="1:2" x14ac:dyDescent="0.2">
      <c r="A3307" s="2205" t="s">
        <v>9763</v>
      </c>
      <c r="B3307" s="2205">
        <v>941.83</v>
      </c>
    </row>
    <row r="3308" spans="1:2" x14ac:dyDescent="0.2">
      <c r="A3308" s="2205" t="s">
        <v>9764</v>
      </c>
      <c r="B3308" s="2205">
        <v>1528.56</v>
      </c>
    </row>
    <row r="3309" spans="1:2" x14ac:dyDescent="0.2">
      <c r="A3309" s="2205" t="s">
        <v>9765</v>
      </c>
      <c r="B3309" s="2205">
        <v>629.03</v>
      </c>
    </row>
    <row r="3310" spans="1:2" x14ac:dyDescent="0.2">
      <c r="A3310" s="2205" t="s">
        <v>9766</v>
      </c>
      <c r="B3310" s="2205">
        <v>388.37</v>
      </c>
    </row>
    <row r="3311" spans="1:2" x14ac:dyDescent="0.2">
      <c r="A3311" s="2205" t="s">
        <v>9767</v>
      </c>
      <c r="B3311" s="2205">
        <v>696.76</v>
      </c>
    </row>
    <row r="3312" spans="1:2" x14ac:dyDescent="0.2">
      <c r="A3312" s="2205" t="s">
        <v>9768</v>
      </c>
      <c r="B3312" s="2205">
        <v>538.79</v>
      </c>
    </row>
    <row r="3313" spans="1:2" x14ac:dyDescent="0.2">
      <c r="A3313" s="2205" t="s">
        <v>9769</v>
      </c>
      <c r="B3313" s="2205">
        <v>88.18</v>
      </c>
    </row>
    <row r="3314" spans="1:2" x14ac:dyDescent="0.2">
      <c r="A3314" s="2205" t="s">
        <v>9770</v>
      </c>
      <c r="B3314" s="2205">
        <v>152.51</v>
      </c>
    </row>
    <row r="3315" spans="1:2" x14ac:dyDescent="0.2">
      <c r="A3315" s="2205" t="s">
        <v>9771</v>
      </c>
      <c r="B3315" s="2205">
        <v>130.25</v>
      </c>
    </row>
    <row r="3316" spans="1:2" x14ac:dyDescent="0.2">
      <c r="A3316" s="2205" t="s">
        <v>9772</v>
      </c>
      <c r="B3316" s="2205">
        <v>2009.24</v>
      </c>
    </row>
    <row r="3317" spans="1:2" x14ac:dyDescent="0.2">
      <c r="A3317" s="2205" t="s">
        <v>9773</v>
      </c>
      <c r="B3317" s="2205">
        <v>32.81</v>
      </c>
    </row>
    <row r="3318" spans="1:2" x14ac:dyDescent="0.2">
      <c r="A3318" s="2205" t="s">
        <v>9774</v>
      </c>
      <c r="B3318" s="2205">
        <v>405.81</v>
      </c>
    </row>
    <row r="3319" spans="1:2" x14ac:dyDescent="0.2">
      <c r="A3319" s="2205" t="s">
        <v>9775</v>
      </c>
      <c r="B3319" s="2205">
        <v>83.22</v>
      </c>
    </row>
    <row r="3320" spans="1:2" x14ac:dyDescent="0.2">
      <c r="A3320" s="2205" t="s">
        <v>9776</v>
      </c>
      <c r="B3320" s="2205">
        <v>703.04</v>
      </c>
    </row>
    <row r="3321" spans="1:2" x14ac:dyDescent="0.2">
      <c r="A3321" s="2205" t="s">
        <v>9777</v>
      </c>
      <c r="B3321" s="2205">
        <v>241.55</v>
      </c>
    </row>
    <row r="3322" spans="1:2" x14ac:dyDescent="0.2">
      <c r="A3322" s="2205" t="s">
        <v>9778</v>
      </c>
      <c r="B3322" s="2205">
        <v>594.54999999999995</v>
      </c>
    </row>
    <row r="3323" spans="1:2" x14ac:dyDescent="0.2">
      <c r="A3323" s="2205" t="s">
        <v>9779</v>
      </c>
      <c r="B3323" s="2205">
        <v>835.69</v>
      </c>
    </row>
    <row r="3324" spans="1:2" x14ac:dyDescent="0.2">
      <c r="A3324" s="2205" t="s">
        <v>9780</v>
      </c>
      <c r="B3324" s="2205">
        <v>27</v>
      </c>
    </row>
    <row r="3325" spans="1:2" x14ac:dyDescent="0.2">
      <c r="A3325" s="2205" t="s">
        <v>9781</v>
      </c>
      <c r="B3325" s="2205">
        <v>8.31</v>
      </c>
    </row>
    <row r="3326" spans="1:2" x14ac:dyDescent="0.2">
      <c r="A3326" s="2205" t="s">
        <v>9782</v>
      </c>
      <c r="B3326" s="2205">
        <v>241.44</v>
      </c>
    </row>
    <row r="3327" spans="1:2" x14ac:dyDescent="0.2">
      <c r="A3327" s="2205" t="s">
        <v>9783</v>
      </c>
      <c r="B3327" s="2205">
        <v>2044.28</v>
      </c>
    </row>
    <row r="3328" spans="1:2" x14ac:dyDescent="0.2">
      <c r="A3328" s="2205" t="s">
        <v>9784</v>
      </c>
      <c r="B3328" s="2205">
        <v>265.42</v>
      </c>
    </row>
    <row r="3329" spans="1:2" x14ac:dyDescent="0.2">
      <c r="A3329" s="2205" t="s">
        <v>9785</v>
      </c>
      <c r="B3329" s="2205">
        <v>177.48</v>
      </c>
    </row>
    <row r="3330" spans="1:2" x14ac:dyDescent="0.2">
      <c r="A3330" s="2205" t="s">
        <v>9786</v>
      </c>
      <c r="B3330" s="2205">
        <v>2.2799999999999998</v>
      </c>
    </row>
    <row r="3331" spans="1:2" x14ac:dyDescent="0.2">
      <c r="A3331" s="2205" t="s">
        <v>9787</v>
      </c>
      <c r="B3331" s="2205">
        <v>308.92</v>
      </c>
    </row>
    <row r="3332" spans="1:2" x14ac:dyDescent="0.2">
      <c r="A3332" s="2205" t="s">
        <v>9788</v>
      </c>
      <c r="B3332" s="2205">
        <v>1564.97</v>
      </c>
    </row>
    <row r="3333" spans="1:2" x14ac:dyDescent="0.2">
      <c r="A3333" s="2205" t="s">
        <v>9789</v>
      </c>
      <c r="B3333" s="2205">
        <v>9.57</v>
      </c>
    </row>
    <row r="3334" spans="1:2" x14ac:dyDescent="0.2">
      <c r="A3334" s="2205" t="s">
        <v>9790</v>
      </c>
      <c r="B3334" s="2205">
        <v>87.84</v>
      </c>
    </row>
    <row r="3335" spans="1:2" x14ac:dyDescent="0.2">
      <c r="A3335" s="2205" t="s">
        <v>9791</v>
      </c>
      <c r="B3335" s="2205">
        <v>1.18</v>
      </c>
    </row>
    <row r="3336" spans="1:2" x14ac:dyDescent="0.2">
      <c r="A3336" s="2205" t="s">
        <v>9792</v>
      </c>
      <c r="B3336" s="2205">
        <v>9.64</v>
      </c>
    </row>
    <row r="3337" spans="1:2" x14ac:dyDescent="0.2">
      <c r="A3337" s="2205" t="s">
        <v>9793</v>
      </c>
      <c r="B3337" s="2205">
        <v>11.07</v>
      </c>
    </row>
    <row r="3338" spans="1:2" x14ac:dyDescent="0.2">
      <c r="A3338" s="2205" t="s">
        <v>9794</v>
      </c>
      <c r="B3338" s="2205">
        <v>3.99</v>
      </c>
    </row>
    <row r="3339" spans="1:2" x14ac:dyDescent="0.2">
      <c r="A3339" s="2205" t="s">
        <v>9795</v>
      </c>
      <c r="B3339" s="2205">
        <v>7.51</v>
      </c>
    </row>
    <row r="3340" spans="1:2" x14ac:dyDescent="0.2">
      <c r="A3340" s="2205" t="s">
        <v>9796</v>
      </c>
      <c r="B3340" s="2205">
        <v>2.27</v>
      </c>
    </row>
    <row r="3341" spans="1:2" x14ac:dyDescent="0.2">
      <c r="A3341" s="2205" t="s">
        <v>9797</v>
      </c>
      <c r="B3341" s="2205">
        <v>10.19</v>
      </c>
    </row>
    <row r="3342" spans="1:2" x14ac:dyDescent="0.2">
      <c r="A3342" s="2205" t="s">
        <v>9798</v>
      </c>
      <c r="B3342" s="2205">
        <v>17.260000000000002</v>
      </c>
    </row>
    <row r="3343" spans="1:2" x14ac:dyDescent="0.2">
      <c r="A3343" s="2205" t="s">
        <v>9799</v>
      </c>
      <c r="B3343" s="2205">
        <v>2.81</v>
      </c>
    </row>
    <row r="3344" spans="1:2" x14ac:dyDescent="0.2">
      <c r="A3344" s="2205" t="s">
        <v>9800</v>
      </c>
      <c r="B3344" s="2205">
        <v>156.32</v>
      </c>
    </row>
    <row r="3345" spans="1:2" x14ac:dyDescent="0.2">
      <c r="A3345" s="2205" t="s">
        <v>9801</v>
      </c>
      <c r="B3345" s="2205">
        <v>12.24</v>
      </c>
    </row>
    <row r="3346" spans="1:2" x14ac:dyDescent="0.2">
      <c r="A3346" s="2205" t="s">
        <v>9802</v>
      </c>
      <c r="B3346" s="2205">
        <v>7.44</v>
      </c>
    </row>
    <row r="3347" spans="1:2" x14ac:dyDescent="0.2">
      <c r="A3347" s="2205" t="s">
        <v>9803</v>
      </c>
      <c r="B3347" s="2205">
        <v>302.16000000000003</v>
      </c>
    </row>
    <row r="3348" spans="1:2" x14ac:dyDescent="0.2">
      <c r="A3348" s="2205" t="s">
        <v>9804</v>
      </c>
      <c r="B3348" s="2205">
        <v>143.26</v>
      </c>
    </row>
    <row r="3349" spans="1:2" x14ac:dyDescent="0.2">
      <c r="A3349" s="2205" t="s">
        <v>9805</v>
      </c>
      <c r="B3349" s="2205">
        <v>213.05</v>
      </c>
    </row>
    <row r="3350" spans="1:2" x14ac:dyDescent="0.2">
      <c r="A3350" s="2205" t="s">
        <v>9806</v>
      </c>
      <c r="B3350" s="2205">
        <v>14.98</v>
      </c>
    </row>
    <row r="3351" spans="1:2" x14ac:dyDescent="0.2">
      <c r="A3351" s="2205" t="s">
        <v>9807</v>
      </c>
      <c r="B3351" s="2205">
        <v>234.13</v>
      </c>
    </row>
    <row r="3352" spans="1:2" x14ac:dyDescent="0.2">
      <c r="A3352" s="2205" t="s">
        <v>9808</v>
      </c>
      <c r="B3352" s="2205">
        <v>0.19</v>
      </c>
    </row>
    <row r="3353" spans="1:2" x14ac:dyDescent="0.2">
      <c r="A3353" s="2205" t="s">
        <v>9809</v>
      </c>
      <c r="B3353" s="2205">
        <v>5.0599999999999996</v>
      </c>
    </row>
    <row r="3354" spans="1:2" x14ac:dyDescent="0.2">
      <c r="A3354" s="2205" t="s">
        <v>9810</v>
      </c>
      <c r="B3354" s="2205">
        <v>99.74</v>
      </c>
    </row>
    <row r="3355" spans="1:2" x14ac:dyDescent="0.2">
      <c r="A3355" s="2205" t="s">
        <v>9811</v>
      </c>
      <c r="B3355" s="2205">
        <v>450.3</v>
      </c>
    </row>
    <row r="3356" spans="1:2" x14ac:dyDescent="0.2">
      <c r="A3356" s="2205" t="s">
        <v>9812</v>
      </c>
      <c r="B3356" s="2205">
        <v>471.41</v>
      </c>
    </row>
    <row r="3357" spans="1:2" x14ac:dyDescent="0.2">
      <c r="A3357" s="2205" t="s">
        <v>9813</v>
      </c>
      <c r="B3357" s="2205">
        <v>402.32</v>
      </c>
    </row>
    <row r="3358" spans="1:2" x14ac:dyDescent="0.2">
      <c r="A3358" s="2205" t="s">
        <v>9814</v>
      </c>
      <c r="B3358" s="2205">
        <v>0.28999999999999998</v>
      </c>
    </row>
    <row r="3359" spans="1:2" x14ac:dyDescent="0.2">
      <c r="A3359" s="2205" t="s">
        <v>9815</v>
      </c>
      <c r="B3359" s="2205">
        <v>744.59</v>
      </c>
    </row>
    <row r="3360" spans="1:2" x14ac:dyDescent="0.2">
      <c r="A3360" s="2205" t="s">
        <v>9816</v>
      </c>
      <c r="B3360" s="2205">
        <v>146.41</v>
      </c>
    </row>
    <row r="3361" spans="1:2" x14ac:dyDescent="0.2">
      <c r="A3361" s="2205" t="s">
        <v>9817</v>
      </c>
      <c r="B3361" s="2205">
        <v>151.4</v>
      </c>
    </row>
    <row r="3362" spans="1:2" x14ac:dyDescent="0.2">
      <c r="A3362" s="2205" t="s">
        <v>9818</v>
      </c>
      <c r="B3362" s="2205">
        <v>25.07</v>
      </c>
    </row>
    <row r="3363" spans="1:2" x14ac:dyDescent="0.2">
      <c r="A3363" s="2205" t="s">
        <v>9819</v>
      </c>
      <c r="B3363" s="2205">
        <v>323.52999999999997</v>
      </c>
    </row>
    <row r="3364" spans="1:2" x14ac:dyDescent="0.2">
      <c r="A3364" s="2205" t="s">
        <v>9820</v>
      </c>
      <c r="B3364" s="2205">
        <v>464.7</v>
      </c>
    </row>
    <row r="3365" spans="1:2" x14ac:dyDescent="0.2">
      <c r="A3365" s="2205" t="s">
        <v>9821</v>
      </c>
      <c r="B3365" s="2205">
        <v>145.15</v>
      </c>
    </row>
    <row r="3366" spans="1:2" x14ac:dyDescent="0.2">
      <c r="A3366" s="2205" t="s">
        <v>9822</v>
      </c>
      <c r="B3366" s="2205">
        <v>83.17</v>
      </c>
    </row>
    <row r="3367" spans="1:2" x14ac:dyDescent="0.2">
      <c r="A3367" s="2205" t="s">
        <v>9823</v>
      </c>
      <c r="B3367" s="2205">
        <v>482.28</v>
      </c>
    </row>
    <row r="3368" spans="1:2" x14ac:dyDescent="0.2">
      <c r="A3368" s="2205" t="s">
        <v>9824</v>
      </c>
      <c r="B3368" s="2205">
        <v>564.96</v>
      </c>
    </row>
    <row r="3369" spans="1:2" x14ac:dyDescent="0.2">
      <c r="A3369" s="2205" t="s">
        <v>9825</v>
      </c>
      <c r="B3369" s="2205">
        <v>285.97000000000003</v>
      </c>
    </row>
    <row r="3370" spans="1:2" x14ac:dyDescent="0.2">
      <c r="A3370" s="2205" t="s">
        <v>9826</v>
      </c>
      <c r="B3370" s="2205">
        <v>40.93</v>
      </c>
    </row>
    <row r="3371" spans="1:2" x14ac:dyDescent="0.2">
      <c r="A3371" s="2205" t="s">
        <v>9827</v>
      </c>
      <c r="B3371" s="2205">
        <v>137.29</v>
      </c>
    </row>
    <row r="3372" spans="1:2" x14ac:dyDescent="0.2">
      <c r="A3372" s="2205" t="s">
        <v>9828</v>
      </c>
      <c r="B3372" s="2205">
        <v>17.66</v>
      </c>
    </row>
    <row r="3373" spans="1:2" x14ac:dyDescent="0.2">
      <c r="A3373" s="2205" t="s">
        <v>9829</v>
      </c>
      <c r="B3373" s="2205">
        <v>83.67</v>
      </c>
    </row>
    <row r="3374" spans="1:2" x14ac:dyDescent="0.2">
      <c r="A3374" s="2205" t="s">
        <v>9830</v>
      </c>
      <c r="B3374" s="2205">
        <v>21.29</v>
      </c>
    </row>
    <row r="3375" spans="1:2" x14ac:dyDescent="0.2">
      <c r="A3375" s="2205" t="s">
        <v>9831</v>
      </c>
      <c r="B3375" s="2205">
        <v>448.29</v>
      </c>
    </row>
    <row r="3376" spans="1:2" x14ac:dyDescent="0.2">
      <c r="A3376" s="2205" t="s">
        <v>9832</v>
      </c>
      <c r="B3376" s="2205">
        <v>582.36</v>
      </c>
    </row>
    <row r="3377" spans="1:2" x14ac:dyDescent="0.2">
      <c r="A3377" s="2205" t="s">
        <v>9833</v>
      </c>
      <c r="B3377" s="2205">
        <v>264.01</v>
      </c>
    </row>
    <row r="3378" spans="1:2" x14ac:dyDescent="0.2">
      <c r="A3378" s="2205" t="s">
        <v>9834</v>
      </c>
      <c r="B3378" s="2205">
        <v>2.89</v>
      </c>
    </row>
    <row r="3379" spans="1:2" x14ac:dyDescent="0.2">
      <c r="A3379" s="2205" t="s">
        <v>9835</v>
      </c>
      <c r="B3379" s="2205">
        <v>38.28</v>
      </c>
    </row>
    <row r="3380" spans="1:2" x14ac:dyDescent="0.2">
      <c r="A3380" s="2205" t="s">
        <v>9836</v>
      </c>
      <c r="B3380" s="2205">
        <v>34.75</v>
      </c>
    </row>
    <row r="3381" spans="1:2" x14ac:dyDescent="0.2">
      <c r="A3381" s="2205" t="s">
        <v>9837</v>
      </c>
      <c r="B3381" s="2205">
        <v>22.92</v>
      </c>
    </row>
    <row r="3382" spans="1:2" x14ac:dyDescent="0.2">
      <c r="A3382" s="2205" t="s">
        <v>9838</v>
      </c>
      <c r="B3382" s="2205">
        <v>9.3699999999999992</v>
      </c>
    </row>
    <row r="3383" spans="1:2" x14ac:dyDescent="0.2">
      <c r="A3383" s="2205" t="s">
        <v>9839</v>
      </c>
      <c r="B3383" s="2205">
        <v>6.08</v>
      </c>
    </row>
    <row r="3384" spans="1:2" x14ac:dyDescent="0.2">
      <c r="A3384" s="2205" t="s">
        <v>9840</v>
      </c>
      <c r="B3384" s="2205">
        <v>0.2</v>
      </c>
    </row>
    <row r="3385" spans="1:2" x14ac:dyDescent="0.2">
      <c r="A3385" s="2205" t="s">
        <v>9841</v>
      </c>
      <c r="B3385" s="2205">
        <v>623</v>
      </c>
    </row>
    <row r="3386" spans="1:2" x14ac:dyDescent="0.2">
      <c r="A3386" s="2205" t="s">
        <v>9842</v>
      </c>
      <c r="B3386" s="2205">
        <v>205.3</v>
      </c>
    </row>
    <row r="3387" spans="1:2" x14ac:dyDescent="0.2">
      <c r="A3387" s="2205" t="s">
        <v>9843</v>
      </c>
      <c r="B3387" s="2205">
        <v>2658.87</v>
      </c>
    </row>
    <row r="3388" spans="1:2" x14ac:dyDescent="0.2">
      <c r="A3388" s="2205" t="s">
        <v>9844</v>
      </c>
      <c r="B3388" s="2205">
        <v>305.45</v>
      </c>
    </row>
    <row r="3389" spans="1:2" x14ac:dyDescent="0.2">
      <c r="A3389" s="2205" t="s">
        <v>9845</v>
      </c>
      <c r="B3389" s="2205">
        <v>261.48</v>
      </c>
    </row>
    <row r="3390" spans="1:2" x14ac:dyDescent="0.2">
      <c r="A3390" s="2205" t="s">
        <v>9846</v>
      </c>
      <c r="B3390" s="2205">
        <v>2393.31</v>
      </c>
    </row>
    <row r="3391" spans="1:2" x14ac:dyDescent="0.2">
      <c r="A3391" s="2205" t="s">
        <v>9847</v>
      </c>
      <c r="B3391" s="2205">
        <v>4.76</v>
      </c>
    </row>
    <row r="3392" spans="1:2" x14ac:dyDescent="0.2">
      <c r="A3392" s="2205" t="s">
        <v>9848</v>
      </c>
      <c r="B3392" s="2205">
        <v>33.32</v>
      </c>
    </row>
    <row r="3393" spans="1:2" x14ac:dyDescent="0.2">
      <c r="A3393" s="2205" t="s">
        <v>9849</v>
      </c>
      <c r="B3393" s="2205">
        <v>1316.93</v>
      </c>
    </row>
    <row r="3394" spans="1:2" x14ac:dyDescent="0.2">
      <c r="A3394" s="2205" t="s">
        <v>9850</v>
      </c>
      <c r="B3394" s="2205">
        <v>9.1300000000000008</v>
      </c>
    </row>
    <row r="3395" spans="1:2" x14ac:dyDescent="0.2">
      <c r="A3395" s="2205" t="s">
        <v>9851</v>
      </c>
      <c r="B3395" s="2205">
        <v>211.94</v>
      </c>
    </row>
    <row r="3396" spans="1:2" x14ac:dyDescent="0.2">
      <c r="A3396" s="2205" t="s">
        <v>9852</v>
      </c>
      <c r="B3396" s="2205">
        <v>20.059999999999999</v>
      </c>
    </row>
    <row r="3397" spans="1:2" x14ac:dyDescent="0.2">
      <c r="A3397" s="2205" t="s">
        <v>9853</v>
      </c>
      <c r="B3397" s="2205">
        <v>239.39</v>
      </c>
    </row>
    <row r="3398" spans="1:2" x14ac:dyDescent="0.2">
      <c r="A3398" s="2205" t="s">
        <v>9854</v>
      </c>
      <c r="B3398" s="2205">
        <v>42.46</v>
      </c>
    </row>
    <row r="3399" spans="1:2" x14ac:dyDescent="0.2">
      <c r="A3399" s="2205" t="s">
        <v>9855</v>
      </c>
      <c r="B3399" s="2205">
        <v>8.11</v>
      </c>
    </row>
    <row r="3400" spans="1:2" x14ac:dyDescent="0.2">
      <c r="A3400" s="2205" t="s">
        <v>9856</v>
      </c>
      <c r="B3400" s="2205">
        <v>26.96</v>
      </c>
    </row>
    <row r="3401" spans="1:2" x14ac:dyDescent="0.2">
      <c r="A3401" s="2205" t="s">
        <v>9857</v>
      </c>
      <c r="B3401" s="2205">
        <v>119.87</v>
      </c>
    </row>
    <row r="3402" spans="1:2" x14ac:dyDescent="0.2">
      <c r="A3402" s="2205" t="s">
        <v>9858</v>
      </c>
      <c r="B3402" s="2205">
        <v>308.58999999999997</v>
      </c>
    </row>
    <row r="3403" spans="1:2" x14ac:dyDescent="0.2">
      <c r="A3403" s="2205" t="s">
        <v>9859</v>
      </c>
      <c r="B3403" s="2205">
        <v>746.66</v>
      </c>
    </row>
    <row r="3404" spans="1:2" x14ac:dyDescent="0.2">
      <c r="A3404" s="2205" t="s">
        <v>9860</v>
      </c>
      <c r="B3404" s="2205">
        <v>40.9</v>
      </c>
    </row>
    <row r="3405" spans="1:2" x14ac:dyDescent="0.2">
      <c r="A3405" s="2205" t="s">
        <v>9861</v>
      </c>
      <c r="B3405" s="2205">
        <v>153.62</v>
      </c>
    </row>
    <row r="3406" spans="1:2" x14ac:dyDescent="0.2">
      <c r="A3406" s="2205" t="s">
        <v>9862</v>
      </c>
      <c r="B3406" s="2205">
        <v>2064.2600000000002</v>
      </c>
    </row>
    <row r="3407" spans="1:2" x14ac:dyDescent="0.2">
      <c r="A3407" s="2205" t="s">
        <v>9863</v>
      </c>
      <c r="B3407" s="2205">
        <v>1572.9</v>
      </c>
    </row>
    <row r="3408" spans="1:2" x14ac:dyDescent="0.2">
      <c r="A3408" s="2205" t="s">
        <v>9864</v>
      </c>
      <c r="B3408" s="2205">
        <v>11.35</v>
      </c>
    </row>
    <row r="3409" spans="1:2" x14ac:dyDescent="0.2">
      <c r="A3409" s="2205" t="s">
        <v>9865</v>
      </c>
      <c r="B3409" s="2205">
        <v>78.8</v>
      </c>
    </row>
    <row r="3410" spans="1:2" x14ac:dyDescent="0.2">
      <c r="A3410" s="2205" t="s">
        <v>9866</v>
      </c>
      <c r="B3410" s="2205">
        <v>175.54</v>
      </c>
    </row>
    <row r="3411" spans="1:2" x14ac:dyDescent="0.2">
      <c r="A3411" s="2205" t="s">
        <v>9867</v>
      </c>
      <c r="B3411" s="2205">
        <v>60.83</v>
      </c>
    </row>
    <row r="3412" spans="1:2" x14ac:dyDescent="0.2">
      <c r="A3412" s="2205" t="s">
        <v>9868</v>
      </c>
      <c r="B3412" s="2205">
        <v>858.19</v>
      </c>
    </row>
    <row r="3413" spans="1:2" x14ac:dyDescent="0.2">
      <c r="A3413" s="2205" t="s">
        <v>9869</v>
      </c>
      <c r="B3413" s="2205">
        <v>53.54</v>
      </c>
    </row>
    <row r="3414" spans="1:2" x14ac:dyDescent="0.2">
      <c r="A3414" s="2205" t="s">
        <v>9870</v>
      </c>
      <c r="B3414" s="2205">
        <v>0.79</v>
      </c>
    </row>
    <row r="3415" spans="1:2" x14ac:dyDescent="0.2">
      <c r="A3415" s="2205" t="s">
        <v>9871</v>
      </c>
      <c r="B3415" s="2205">
        <v>548.69000000000005</v>
      </c>
    </row>
    <row r="3416" spans="1:2" x14ac:dyDescent="0.2">
      <c r="A3416" s="2205" t="s">
        <v>9872</v>
      </c>
      <c r="B3416" s="2205">
        <v>53.89</v>
      </c>
    </row>
    <row r="3417" spans="1:2" x14ac:dyDescent="0.2">
      <c r="A3417" s="2205" t="s">
        <v>9873</v>
      </c>
      <c r="B3417" s="2205">
        <v>50.55</v>
      </c>
    </row>
    <row r="3418" spans="1:2" x14ac:dyDescent="0.2">
      <c r="A3418" s="2205" t="s">
        <v>9874</v>
      </c>
      <c r="B3418" s="2205">
        <v>37.71</v>
      </c>
    </row>
    <row r="3419" spans="1:2" x14ac:dyDescent="0.2">
      <c r="A3419" s="2205" t="s">
        <v>9875</v>
      </c>
      <c r="B3419" s="2205">
        <v>26.03</v>
      </c>
    </row>
    <row r="3420" spans="1:2" x14ac:dyDescent="0.2">
      <c r="A3420" s="2205" t="s">
        <v>9876</v>
      </c>
      <c r="B3420" s="2205">
        <v>22.66</v>
      </c>
    </row>
    <row r="3421" spans="1:2" x14ac:dyDescent="0.2">
      <c r="A3421" s="2205" t="s">
        <v>9877</v>
      </c>
      <c r="B3421" s="2205">
        <v>4194.46</v>
      </c>
    </row>
    <row r="3422" spans="1:2" x14ac:dyDescent="0.2">
      <c r="A3422" s="2205" t="s">
        <v>9878</v>
      </c>
      <c r="B3422" s="2205">
        <v>6927.05</v>
      </c>
    </row>
    <row r="3423" spans="1:2" x14ac:dyDescent="0.2">
      <c r="A3423" s="2205" t="s">
        <v>9879</v>
      </c>
      <c r="B3423" s="2205">
        <v>6599.67</v>
      </c>
    </row>
    <row r="3424" spans="1:2" x14ac:dyDescent="0.2">
      <c r="A3424" s="2205" t="s">
        <v>9880</v>
      </c>
      <c r="B3424" s="2205">
        <v>6148.57</v>
      </c>
    </row>
    <row r="3425" spans="1:2" x14ac:dyDescent="0.2">
      <c r="A3425" s="2205" t="s">
        <v>9881</v>
      </c>
      <c r="B3425" s="2205">
        <v>128.31</v>
      </c>
    </row>
    <row r="3426" spans="1:2" x14ac:dyDescent="0.2">
      <c r="A3426" s="2205" t="s">
        <v>9882</v>
      </c>
      <c r="B3426" s="2205">
        <v>719.76</v>
      </c>
    </row>
    <row r="3427" spans="1:2" x14ac:dyDescent="0.2">
      <c r="A3427" s="2205" t="s">
        <v>9883</v>
      </c>
      <c r="B3427" s="2205">
        <v>4741.72</v>
      </c>
    </row>
    <row r="3428" spans="1:2" x14ac:dyDescent="0.2">
      <c r="A3428" s="2205" t="s">
        <v>9884</v>
      </c>
      <c r="B3428" s="2205">
        <v>284.39</v>
      </c>
    </row>
    <row r="3429" spans="1:2" x14ac:dyDescent="0.2">
      <c r="A3429" s="2205" t="s">
        <v>9885</v>
      </c>
      <c r="B3429" s="2205">
        <v>301.33999999999997</v>
      </c>
    </row>
    <row r="3430" spans="1:2" x14ac:dyDescent="0.2">
      <c r="A3430" s="2205" t="s">
        <v>9886</v>
      </c>
      <c r="B3430" s="2205">
        <v>4.34</v>
      </c>
    </row>
    <row r="3431" spans="1:2" x14ac:dyDescent="0.2">
      <c r="A3431" s="2205" t="s">
        <v>9887</v>
      </c>
      <c r="B3431" s="2205">
        <v>11.25</v>
      </c>
    </row>
    <row r="3432" spans="1:2" x14ac:dyDescent="0.2">
      <c r="A3432" s="2205" t="s">
        <v>9888</v>
      </c>
      <c r="B3432" s="2205">
        <v>158.66999999999999</v>
      </c>
    </row>
    <row r="3433" spans="1:2" x14ac:dyDescent="0.2">
      <c r="A3433" s="2205" t="s">
        <v>9889</v>
      </c>
      <c r="B3433" s="2205">
        <v>8.52</v>
      </c>
    </row>
    <row r="3434" spans="1:2" x14ac:dyDescent="0.2">
      <c r="A3434" s="2205" t="s">
        <v>9890</v>
      </c>
      <c r="B3434" s="2205">
        <v>33.57</v>
      </c>
    </row>
    <row r="3435" spans="1:2" x14ac:dyDescent="0.2">
      <c r="A3435" s="2205" t="s">
        <v>9891</v>
      </c>
      <c r="B3435" s="2205">
        <v>1.98</v>
      </c>
    </row>
    <row r="3436" spans="1:2" x14ac:dyDescent="0.2">
      <c r="A3436" s="2205" t="s">
        <v>9892</v>
      </c>
      <c r="B3436" s="2205">
        <v>23.48</v>
      </c>
    </row>
    <row r="3437" spans="1:2" x14ac:dyDescent="0.2">
      <c r="A3437" s="2205" t="s">
        <v>9893</v>
      </c>
      <c r="B3437" s="2205">
        <v>54.11</v>
      </c>
    </row>
    <row r="3438" spans="1:2" x14ac:dyDescent="0.2">
      <c r="A3438" s="2205" t="s">
        <v>9894</v>
      </c>
      <c r="B3438" s="2205">
        <v>19.62</v>
      </c>
    </row>
    <row r="3439" spans="1:2" x14ac:dyDescent="0.2">
      <c r="A3439" s="2205" t="s">
        <v>9895</v>
      </c>
      <c r="B3439" s="2205">
        <v>1.58</v>
      </c>
    </row>
    <row r="3440" spans="1:2" x14ac:dyDescent="0.2">
      <c r="A3440" s="2205" t="s">
        <v>9896</v>
      </c>
      <c r="B3440" s="2205">
        <v>387.93</v>
      </c>
    </row>
    <row r="3441" spans="1:2" x14ac:dyDescent="0.2">
      <c r="A3441" s="2205" t="s">
        <v>9897</v>
      </c>
      <c r="B3441" s="2205">
        <v>69.31</v>
      </c>
    </row>
    <row r="3442" spans="1:2" x14ac:dyDescent="0.2">
      <c r="A3442" s="2205" t="s">
        <v>9898</v>
      </c>
      <c r="B3442" s="2205">
        <v>5.92</v>
      </c>
    </row>
    <row r="3443" spans="1:2" x14ac:dyDescent="0.2">
      <c r="A3443" s="2205" t="s">
        <v>9899</v>
      </c>
      <c r="B3443" s="2205">
        <v>74.72</v>
      </c>
    </row>
    <row r="3444" spans="1:2" x14ac:dyDescent="0.2">
      <c r="A3444" s="2205" t="s">
        <v>9900</v>
      </c>
      <c r="B3444" s="2205">
        <v>80.8</v>
      </c>
    </row>
    <row r="3445" spans="1:2" x14ac:dyDescent="0.2">
      <c r="A3445" s="2205" t="s">
        <v>9901</v>
      </c>
      <c r="B3445" s="2205">
        <v>64.73</v>
      </c>
    </row>
    <row r="3446" spans="1:2" x14ac:dyDescent="0.2">
      <c r="A3446" s="2205" t="s">
        <v>9902</v>
      </c>
      <c r="B3446" s="2205">
        <v>21.99</v>
      </c>
    </row>
    <row r="3447" spans="1:2" x14ac:dyDescent="0.2">
      <c r="A3447" s="2205" t="s">
        <v>9903</v>
      </c>
      <c r="B3447" s="2205">
        <v>6.45</v>
      </c>
    </row>
    <row r="3448" spans="1:2" x14ac:dyDescent="0.2">
      <c r="A3448" s="2205" t="s">
        <v>9904</v>
      </c>
      <c r="B3448" s="2205">
        <v>43.59</v>
      </c>
    </row>
    <row r="3449" spans="1:2" x14ac:dyDescent="0.2">
      <c r="A3449" s="2205" t="s">
        <v>9905</v>
      </c>
      <c r="B3449" s="2205">
        <v>3.48</v>
      </c>
    </row>
    <row r="3450" spans="1:2" x14ac:dyDescent="0.2">
      <c r="A3450" s="2205" t="s">
        <v>9906</v>
      </c>
      <c r="B3450" s="2205">
        <v>47.15</v>
      </c>
    </row>
    <row r="3451" spans="1:2" x14ac:dyDescent="0.2">
      <c r="A3451" s="2205" t="s">
        <v>9907</v>
      </c>
      <c r="B3451" s="2205">
        <v>359.79</v>
      </c>
    </row>
    <row r="3452" spans="1:2" x14ac:dyDescent="0.2">
      <c r="A3452" s="2205" t="s">
        <v>9908</v>
      </c>
      <c r="B3452" s="2205">
        <v>674.49</v>
      </c>
    </row>
    <row r="3453" spans="1:2" x14ac:dyDescent="0.2">
      <c r="A3453" s="2205" t="s">
        <v>9909</v>
      </c>
      <c r="B3453" s="2205">
        <v>36.36</v>
      </c>
    </row>
    <row r="3454" spans="1:2" x14ac:dyDescent="0.2">
      <c r="A3454" s="2205" t="s">
        <v>9910</v>
      </c>
      <c r="B3454" s="2205">
        <v>1.72</v>
      </c>
    </row>
    <row r="3455" spans="1:2" x14ac:dyDescent="0.2">
      <c r="A3455" s="2205" t="s">
        <v>9911</v>
      </c>
      <c r="B3455" s="2205">
        <v>0.99</v>
      </c>
    </row>
    <row r="3456" spans="1:2" x14ac:dyDescent="0.2">
      <c r="A3456" s="2205" t="s">
        <v>9912</v>
      </c>
      <c r="B3456" s="2205">
        <v>21.23</v>
      </c>
    </row>
    <row r="3457" spans="1:2" x14ac:dyDescent="0.2">
      <c r="A3457" s="2205" t="s">
        <v>9913</v>
      </c>
      <c r="B3457" s="2205">
        <v>1.1200000000000001</v>
      </c>
    </row>
    <row r="3458" spans="1:2" x14ac:dyDescent="0.2">
      <c r="A3458" s="2205" t="s">
        <v>9914</v>
      </c>
      <c r="B3458" s="2205">
        <v>5.33</v>
      </c>
    </row>
    <row r="3459" spans="1:2" x14ac:dyDescent="0.2">
      <c r="A3459" s="2205" t="s">
        <v>9915</v>
      </c>
      <c r="B3459" s="2205">
        <v>305.93</v>
      </c>
    </row>
    <row r="3460" spans="1:2" x14ac:dyDescent="0.2">
      <c r="A3460" s="2205" t="s">
        <v>9916</v>
      </c>
      <c r="B3460" s="2205">
        <v>300.11</v>
      </c>
    </row>
    <row r="3461" spans="1:2" x14ac:dyDescent="0.2">
      <c r="A3461" s="2205" t="s">
        <v>9917</v>
      </c>
      <c r="B3461" s="2205">
        <v>0.94</v>
      </c>
    </row>
    <row r="3462" spans="1:2" x14ac:dyDescent="0.2">
      <c r="A3462" s="2205" t="s">
        <v>9918</v>
      </c>
      <c r="B3462" s="2205">
        <v>177.48</v>
      </c>
    </row>
    <row r="3463" spans="1:2" x14ac:dyDescent="0.2">
      <c r="A3463" s="2205" t="s">
        <v>9919</v>
      </c>
      <c r="B3463" s="2205">
        <v>20.9</v>
      </c>
    </row>
    <row r="3464" spans="1:2" x14ac:dyDescent="0.2">
      <c r="A3464" s="2205" t="s">
        <v>9920</v>
      </c>
      <c r="B3464" s="2205">
        <v>5042.3500000000004</v>
      </c>
    </row>
    <row r="3465" spans="1:2" x14ac:dyDescent="0.2">
      <c r="A3465" s="2205" t="s">
        <v>9921</v>
      </c>
      <c r="B3465" s="2205">
        <v>3.91</v>
      </c>
    </row>
    <row r="3466" spans="1:2" x14ac:dyDescent="0.2">
      <c r="A3466" s="2205" t="s">
        <v>9922</v>
      </c>
      <c r="B3466" s="2205">
        <v>23.28</v>
      </c>
    </row>
    <row r="3467" spans="1:2" x14ac:dyDescent="0.2">
      <c r="A3467" s="2205" t="s">
        <v>9923</v>
      </c>
      <c r="B3467" s="2205">
        <v>36.450000000000003</v>
      </c>
    </row>
    <row r="3468" spans="1:2" x14ac:dyDescent="0.2">
      <c r="A3468" s="2205" t="s">
        <v>9924</v>
      </c>
      <c r="B3468" s="2205">
        <v>108.16</v>
      </c>
    </row>
    <row r="3469" spans="1:2" x14ac:dyDescent="0.2">
      <c r="A3469" s="2205" t="s">
        <v>9925</v>
      </c>
      <c r="B3469" s="2205">
        <v>3.91</v>
      </c>
    </row>
    <row r="3470" spans="1:2" x14ac:dyDescent="0.2">
      <c r="A3470" s="2205" t="s">
        <v>9926</v>
      </c>
      <c r="B3470" s="2205">
        <v>18.100000000000001</v>
      </c>
    </row>
    <row r="3471" spans="1:2" x14ac:dyDescent="0.2">
      <c r="A3471" s="2205" t="s">
        <v>9927</v>
      </c>
      <c r="B3471" s="2205">
        <v>624.89</v>
      </c>
    </row>
    <row r="3472" spans="1:2" x14ac:dyDescent="0.2">
      <c r="A3472" s="2205" t="s">
        <v>9928</v>
      </c>
      <c r="B3472" s="2205">
        <v>4.7699999999999996</v>
      </c>
    </row>
    <row r="3473" spans="1:2" x14ac:dyDescent="0.2">
      <c r="A3473" s="2205" t="s">
        <v>9929</v>
      </c>
      <c r="B3473" s="2205">
        <v>558.89</v>
      </c>
    </row>
    <row r="3474" spans="1:2" x14ac:dyDescent="0.2">
      <c r="A3474" s="2205" t="s">
        <v>9930</v>
      </c>
      <c r="B3474" s="2205">
        <v>134.72</v>
      </c>
    </row>
    <row r="3475" spans="1:2" x14ac:dyDescent="0.2">
      <c r="A3475" s="2205" t="s">
        <v>9931</v>
      </c>
      <c r="B3475" s="2205">
        <v>1645.43</v>
      </c>
    </row>
    <row r="3476" spans="1:2" x14ac:dyDescent="0.2">
      <c r="A3476" s="2205" t="s">
        <v>9932</v>
      </c>
      <c r="B3476" s="2205">
        <v>1.57</v>
      </c>
    </row>
    <row r="3477" spans="1:2" x14ac:dyDescent="0.2">
      <c r="A3477" s="2205" t="s">
        <v>9933</v>
      </c>
      <c r="B3477" s="2205">
        <v>10.71</v>
      </c>
    </row>
    <row r="3478" spans="1:2" x14ac:dyDescent="0.2">
      <c r="A3478" s="2205" t="s">
        <v>9934</v>
      </c>
      <c r="B3478" s="2205">
        <v>74.14</v>
      </c>
    </row>
    <row r="3479" spans="1:2" x14ac:dyDescent="0.2">
      <c r="A3479" s="2205" t="s">
        <v>9935</v>
      </c>
      <c r="B3479" s="2205">
        <v>1464.7</v>
      </c>
    </row>
    <row r="3480" spans="1:2" x14ac:dyDescent="0.2">
      <c r="A3480" s="2205" t="s">
        <v>9936</v>
      </c>
      <c r="B3480" s="2205">
        <v>728.11</v>
      </c>
    </row>
    <row r="3481" spans="1:2" x14ac:dyDescent="0.2">
      <c r="A3481" s="2205" t="s">
        <v>9937</v>
      </c>
      <c r="B3481" s="2205">
        <v>14.56</v>
      </c>
    </row>
    <row r="3482" spans="1:2" x14ac:dyDescent="0.2">
      <c r="A3482" s="2205" t="s">
        <v>9938</v>
      </c>
      <c r="B3482" s="2205">
        <v>533.41999999999996</v>
      </c>
    </row>
    <row r="3483" spans="1:2" x14ac:dyDescent="0.2">
      <c r="A3483" s="2205" t="s">
        <v>9939</v>
      </c>
      <c r="B3483" s="2205">
        <v>1992.15</v>
      </c>
    </row>
    <row r="3484" spans="1:2" x14ac:dyDescent="0.2">
      <c r="A3484" s="2205" t="s">
        <v>9940</v>
      </c>
      <c r="B3484" s="2205">
        <v>743.63</v>
      </c>
    </row>
    <row r="3485" spans="1:2" x14ac:dyDescent="0.2">
      <c r="A3485" s="2205" t="s">
        <v>9941</v>
      </c>
      <c r="B3485" s="2205">
        <v>63.12</v>
      </c>
    </row>
    <row r="3486" spans="1:2" x14ac:dyDescent="0.2">
      <c r="A3486" s="2205" t="s">
        <v>9942</v>
      </c>
      <c r="B3486" s="2205">
        <v>3208.8</v>
      </c>
    </row>
    <row r="3487" spans="1:2" x14ac:dyDescent="0.2">
      <c r="A3487" s="2205" t="s">
        <v>9943</v>
      </c>
      <c r="B3487" s="2205">
        <v>4436.5</v>
      </c>
    </row>
    <row r="3488" spans="1:2" x14ac:dyDescent="0.2">
      <c r="A3488" s="2205" t="s">
        <v>9944</v>
      </c>
      <c r="B3488" s="2205">
        <v>2511.67</v>
      </c>
    </row>
    <row r="3489" spans="1:2" x14ac:dyDescent="0.2">
      <c r="A3489" s="2205" t="s">
        <v>9945</v>
      </c>
      <c r="B3489" s="2205">
        <v>7797.75</v>
      </c>
    </row>
    <row r="3490" spans="1:2" x14ac:dyDescent="0.2">
      <c r="A3490" s="2205" t="s">
        <v>9946</v>
      </c>
      <c r="B3490" s="2205">
        <v>151.65</v>
      </c>
    </row>
    <row r="3491" spans="1:2" x14ac:dyDescent="0.2">
      <c r="A3491" s="2205" t="s">
        <v>9947</v>
      </c>
      <c r="B3491" s="2205">
        <v>175.02</v>
      </c>
    </row>
    <row r="3492" spans="1:2" x14ac:dyDescent="0.2">
      <c r="A3492" s="2205" t="s">
        <v>9948</v>
      </c>
      <c r="B3492" s="2205">
        <v>331.39</v>
      </c>
    </row>
    <row r="3493" spans="1:2" x14ac:dyDescent="0.2">
      <c r="A3493" s="2205" t="s">
        <v>9949</v>
      </c>
      <c r="B3493" s="2205">
        <v>953.56</v>
      </c>
    </row>
    <row r="3494" spans="1:2" x14ac:dyDescent="0.2">
      <c r="A3494" s="2205" t="s">
        <v>9950</v>
      </c>
      <c r="B3494" s="2205">
        <v>16.71</v>
      </c>
    </row>
    <row r="3495" spans="1:2" x14ac:dyDescent="0.2">
      <c r="A3495" s="2205" t="s">
        <v>9951</v>
      </c>
      <c r="B3495" s="2205">
        <v>396.63</v>
      </c>
    </row>
    <row r="3496" spans="1:2" x14ac:dyDescent="0.2">
      <c r="A3496" s="2205" t="s">
        <v>9952</v>
      </c>
      <c r="B3496" s="2205">
        <v>144.97999999999999</v>
      </c>
    </row>
    <row r="3497" spans="1:2" x14ac:dyDescent="0.2">
      <c r="A3497" s="2205" t="s">
        <v>9953</v>
      </c>
      <c r="B3497" s="2205">
        <v>1169.23</v>
      </c>
    </row>
    <row r="3498" spans="1:2" x14ac:dyDescent="0.2">
      <c r="A3498" s="2205" t="s">
        <v>9954</v>
      </c>
      <c r="B3498" s="2205">
        <v>651.77</v>
      </c>
    </row>
    <row r="3499" spans="1:2" x14ac:dyDescent="0.2">
      <c r="A3499" s="2205" t="s">
        <v>9955</v>
      </c>
      <c r="B3499" s="2205">
        <v>648.55999999999995</v>
      </c>
    </row>
    <row r="3500" spans="1:2" x14ac:dyDescent="0.2">
      <c r="A3500" s="2205" t="s">
        <v>9956</v>
      </c>
      <c r="B3500" s="2205">
        <v>559.11</v>
      </c>
    </row>
    <row r="3501" spans="1:2" x14ac:dyDescent="0.2">
      <c r="A3501" s="2205" t="s">
        <v>9957</v>
      </c>
      <c r="B3501" s="2205">
        <v>1827.93</v>
      </c>
    </row>
    <row r="3502" spans="1:2" x14ac:dyDescent="0.2">
      <c r="A3502" s="2205" t="s">
        <v>9958</v>
      </c>
      <c r="B3502" s="2205">
        <v>6.67</v>
      </c>
    </row>
    <row r="3503" spans="1:2" x14ac:dyDescent="0.2">
      <c r="A3503" s="2205" t="s">
        <v>9959</v>
      </c>
      <c r="B3503" s="2205">
        <v>16.59</v>
      </c>
    </row>
    <row r="3504" spans="1:2" x14ac:dyDescent="0.2">
      <c r="A3504" s="2205" t="s">
        <v>9960</v>
      </c>
      <c r="B3504" s="2205">
        <v>1305.9000000000001</v>
      </c>
    </row>
    <row r="3505" spans="1:2" x14ac:dyDescent="0.2">
      <c r="A3505" s="2205" t="s">
        <v>9961</v>
      </c>
      <c r="B3505" s="2205">
        <v>2341.33</v>
      </c>
    </row>
    <row r="3506" spans="1:2" x14ac:dyDescent="0.2">
      <c r="A3506" s="2205" t="s">
        <v>9962</v>
      </c>
      <c r="B3506" s="2205">
        <v>3.33</v>
      </c>
    </row>
    <row r="3507" spans="1:2" x14ac:dyDescent="0.2">
      <c r="A3507" s="2205" t="s">
        <v>9963</v>
      </c>
      <c r="B3507" s="2205">
        <v>1.27</v>
      </c>
    </row>
    <row r="3508" spans="1:2" x14ac:dyDescent="0.2">
      <c r="A3508" s="2205" t="s">
        <v>9964</v>
      </c>
      <c r="B3508" s="2205">
        <v>32.4</v>
      </c>
    </row>
    <row r="3509" spans="1:2" x14ac:dyDescent="0.2">
      <c r="A3509" s="2205" t="s">
        <v>9965</v>
      </c>
      <c r="B3509" s="2205">
        <v>14.52</v>
      </c>
    </row>
    <row r="3510" spans="1:2" x14ac:dyDescent="0.2">
      <c r="A3510" s="2205" t="s">
        <v>9966</v>
      </c>
      <c r="B3510" s="2205">
        <v>1.97</v>
      </c>
    </row>
    <row r="3511" spans="1:2" x14ac:dyDescent="0.2">
      <c r="A3511" s="2205" t="s">
        <v>9967</v>
      </c>
      <c r="B3511" s="2205">
        <v>2.56</v>
      </c>
    </row>
    <row r="3512" spans="1:2" x14ac:dyDescent="0.2">
      <c r="A3512" s="2205" t="s">
        <v>9968</v>
      </c>
      <c r="B3512" s="2205">
        <v>460.41</v>
      </c>
    </row>
    <row r="3513" spans="1:2" x14ac:dyDescent="0.2">
      <c r="A3513" s="2205" t="s">
        <v>9969</v>
      </c>
      <c r="B3513" s="2205">
        <v>49.89</v>
      </c>
    </row>
    <row r="3514" spans="1:2" x14ac:dyDescent="0.2">
      <c r="A3514" s="2205" t="s">
        <v>9970</v>
      </c>
      <c r="B3514" s="2205">
        <v>52.32</v>
      </c>
    </row>
    <row r="3515" spans="1:2" x14ac:dyDescent="0.2">
      <c r="A3515" s="2205" t="s">
        <v>9971</v>
      </c>
      <c r="B3515" s="2205">
        <v>615.30999999999995</v>
      </c>
    </row>
    <row r="3516" spans="1:2" x14ac:dyDescent="0.2">
      <c r="A3516" s="2205" t="s">
        <v>9972</v>
      </c>
      <c r="B3516" s="2205">
        <v>840.59</v>
      </c>
    </row>
    <row r="3517" spans="1:2" x14ac:dyDescent="0.2">
      <c r="A3517" s="2205" t="s">
        <v>9973</v>
      </c>
      <c r="B3517" s="2205">
        <v>641.5</v>
      </c>
    </row>
    <row r="3518" spans="1:2" x14ac:dyDescent="0.2">
      <c r="A3518" s="2205" t="s">
        <v>9974</v>
      </c>
      <c r="B3518" s="2205">
        <v>421.99</v>
      </c>
    </row>
    <row r="3519" spans="1:2" x14ac:dyDescent="0.2">
      <c r="A3519" s="2205" t="s">
        <v>9975</v>
      </c>
      <c r="B3519" s="2205">
        <v>1051.49</v>
      </c>
    </row>
    <row r="3520" spans="1:2" x14ac:dyDescent="0.2">
      <c r="A3520" s="2205" t="s">
        <v>9976</v>
      </c>
      <c r="B3520" s="2205">
        <v>15.53</v>
      </c>
    </row>
    <row r="3521" spans="1:2" x14ac:dyDescent="0.2">
      <c r="A3521" s="2205" t="s">
        <v>9977</v>
      </c>
      <c r="B3521" s="2205">
        <v>205.55</v>
      </c>
    </row>
    <row r="3522" spans="1:2" x14ac:dyDescent="0.2">
      <c r="A3522" s="2205" t="s">
        <v>9978</v>
      </c>
      <c r="B3522" s="2205">
        <v>10.81</v>
      </c>
    </row>
    <row r="3523" spans="1:2" x14ac:dyDescent="0.2">
      <c r="A3523" s="2205" t="s">
        <v>9979</v>
      </c>
      <c r="B3523" s="2205">
        <v>283.99</v>
      </c>
    </row>
    <row r="3524" spans="1:2" x14ac:dyDescent="0.2">
      <c r="A3524" s="2205" t="s">
        <v>9980</v>
      </c>
      <c r="B3524" s="2205">
        <v>1021.85</v>
      </c>
    </row>
    <row r="3525" spans="1:2" x14ac:dyDescent="0.2">
      <c r="A3525" s="2205" t="s">
        <v>9981</v>
      </c>
      <c r="B3525" s="2205">
        <v>1082.6300000000001</v>
      </c>
    </row>
    <row r="3526" spans="1:2" x14ac:dyDescent="0.2">
      <c r="A3526" s="2205" t="s">
        <v>9982</v>
      </c>
      <c r="B3526" s="2205">
        <v>247.57</v>
      </c>
    </row>
    <row r="3527" spans="1:2" x14ac:dyDescent="0.2">
      <c r="A3527" s="2205" t="s">
        <v>9983</v>
      </c>
      <c r="B3527" s="2205">
        <v>624.9</v>
      </c>
    </row>
    <row r="3528" spans="1:2" x14ac:dyDescent="0.2">
      <c r="A3528" s="2205" t="s">
        <v>9984</v>
      </c>
      <c r="B3528" s="2205">
        <v>398.21</v>
      </c>
    </row>
    <row r="3529" spans="1:2" x14ac:dyDescent="0.2">
      <c r="A3529" s="2205" t="s">
        <v>9985</v>
      </c>
      <c r="B3529" s="2205">
        <v>1612.35</v>
      </c>
    </row>
    <row r="3530" spans="1:2" x14ac:dyDescent="0.2">
      <c r="A3530" s="2205" t="s">
        <v>9986</v>
      </c>
      <c r="B3530" s="2205">
        <v>333.66</v>
      </c>
    </row>
    <row r="3531" spans="1:2" x14ac:dyDescent="0.2">
      <c r="A3531" s="2205" t="s">
        <v>9987</v>
      </c>
      <c r="B3531" s="2205">
        <v>46.43</v>
      </c>
    </row>
    <row r="3532" spans="1:2" x14ac:dyDescent="0.2">
      <c r="A3532" s="2205" t="s">
        <v>9988</v>
      </c>
      <c r="B3532" s="2205">
        <v>6.6</v>
      </c>
    </row>
    <row r="3533" spans="1:2" x14ac:dyDescent="0.2">
      <c r="A3533" s="2205" t="s">
        <v>9989</v>
      </c>
      <c r="B3533" s="2205">
        <v>412.21</v>
      </c>
    </row>
    <row r="3534" spans="1:2" x14ac:dyDescent="0.2">
      <c r="A3534" s="2205" t="s">
        <v>9990</v>
      </c>
      <c r="B3534" s="2205">
        <v>1575.39</v>
      </c>
    </row>
    <row r="3535" spans="1:2" x14ac:dyDescent="0.2">
      <c r="A3535" s="2205" t="s">
        <v>9991</v>
      </c>
      <c r="B3535" s="2205">
        <v>79.23</v>
      </c>
    </row>
    <row r="3536" spans="1:2" x14ac:dyDescent="0.2">
      <c r="A3536" s="2205" t="s">
        <v>9992</v>
      </c>
      <c r="B3536" s="2205">
        <v>4.92</v>
      </c>
    </row>
    <row r="3537" spans="1:2" x14ac:dyDescent="0.2">
      <c r="A3537" s="2205" t="s">
        <v>9993</v>
      </c>
      <c r="B3537" s="2205">
        <v>41.01</v>
      </c>
    </row>
    <row r="3538" spans="1:2" x14ac:dyDescent="0.2">
      <c r="A3538" s="2205" t="s">
        <v>9994</v>
      </c>
      <c r="B3538" s="2205">
        <v>0.7</v>
      </c>
    </row>
    <row r="3539" spans="1:2" x14ac:dyDescent="0.2">
      <c r="A3539" s="2205" t="s">
        <v>9995</v>
      </c>
      <c r="B3539" s="2205">
        <v>0.76</v>
      </c>
    </row>
    <row r="3540" spans="1:2" x14ac:dyDescent="0.2">
      <c r="A3540" s="2205" t="s">
        <v>9996</v>
      </c>
      <c r="B3540" s="2205">
        <v>9.4700000000000006</v>
      </c>
    </row>
    <row r="3541" spans="1:2" x14ac:dyDescent="0.2">
      <c r="A3541" s="2205" t="s">
        <v>9997</v>
      </c>
      <c r="B3541" s="2205">
        <v>0.4</v>
      </c>
    </row>
    <row r="3542" spans="1:2" x14ac:dyDescent="0.2">
      <c r="A3542" s="2205" t="s">
        <v>9998</v>
      </c>
      <c r="B3542" s="2205">
        <v>983.7</v>
      </c>
    </row>
    <row r="3543" spans="1:2" x14ac:dyDescent="0.2">
      <c r="A3543" s="2205" t="s">
        <v>9999</v>
      </c>
      <c r="B3543" s="2205">
        <v>342.49</v>
      </c>
    </row>
    <row r="3544" spans="1:2" x14ac:dyDescent="0.2">
      <c r="A3544" s="2205" t="s">
        <v>10000</v>
      </c>
      <c r="B3544" s="2205">
        <v>15092.3</v>
      </c>
    </row>
    <row r="3545" spans="1:2" x14ac:dyDescent="0.2">
      <c r="A3545" s="2205" t="s">
        <v>10001</v>
      </c>
      <c r="B3545" s="2205">
        <v>64.84</v>
      </c>
    </row>
    <row r="3546" spans="1:2" x14ac:dyDescent="0.2">
      <c r="A3546" s="2205" t="s">
        <v>10002</v>
      </c>
      <c r="B3546" s="2205">
        <v>404.06</v>
      </c>
    </row>
    <row r="3547" spans="1:2" x14ac:dyDescent="0.2">
      <c r="A3547" s="2205" t="s">
        <v>10003</v>
      </c>
      <c r="B3547" s="2205">
        <v>14.65</v>
      </c>
    </row>
    <row r="3548" spans="1:2" x14ac:dyDescent="0.2">
      <c r="A3548" s="2205" t="s">
        <v>10004</v>
      </c>
      <c r="B3548" s="2205">
        <v>1.7</v>
      </c>
    </row>
    <row r="3549" spans="1:2" x14ac:dyDescent="0.2">
      <c r="A3549" s="2205" t="s">
        <v>10005</v>
      </c>
      <c r="B3549" s="2205">
        <v>1.47</v>
      </c>
    </row>
    <row r="3550" spans="1:2" x14ac:dyDescent="0.2">
      <c r="A3550" s="2205" t="s">
        <v>10006</v>
      </c>
      <c r="B3550" s="2205">
        <v>3.94</v>
      </c>
    </row>
    <row r="3551" spans="1:2" x14ac:dyDescent="0.2">
      <c r="A3551" s="2205" t="s">
        <v>10007</v>
      </c>
      <c r="B3551" s="2205">
        <v>3.23</v>
      </c>
    </row>
    <row r="3552" spans="1:2" x14ac:dyDescent="0.2">
      <c r="A3552" s="2205" t="s">
        <v>10008</v>
      </c>
      <c r="B3552" s="2205">
        <v>7.43</v>
      </c>
    </row>
    <row r="3553" spans="1:2" x14ac:dyDescent="0.2">
      <c r="A3553" s="2205" t="s">
        <v>10009</v>
      </c>
      <c r="B3553" s="2205">
        <v>58.19</v>
      </c>
    </row>
    <row r="3554" spans="1:2" x14ac:dyDescent="0.2">
      <c r="A3554" s="2205" t="s">
        <v>10010</v>
      </c>
      <c r="B3554" s="2205">
        <v>255.07</v>
      </c>
    </row>
    <row r="3555" spans="1:2" x14ac:dyDescent="0.2">
      <c r="A3555" s="2205" t="s">
        <v>10011</v>
      </c>
      <c r="B3555" s="2205">
        <v>173.14</v>
      </c>
    </row>
    <row r="3556" spans="1:2" x14ac:dyDescent="0.2">
      <c r="A3556" s="2205" t="s">
        <v>10012</v>
      </c>
      <c r="B3556" s="2205">
        <v>32.42</v>
      </c>
    </row>
    <row r="3557" spans="1:2" x14ac:dyDescent="0.2">
      <c r="A3557" s="2205" t="s">
        <v>10013</v>
      </c>
      <c r="B3557" s="2205">
        <v>5.48</v>
      </c>
    </row>
    <row r="3558" spans="1:2" x14ac:dyDescent="0.2">
      <c r="A3558" s="2205" t="s">
        <v>10014</v>
      </c>
      <c r="B3558" s="2205">
        <v>4.26</v>
      </c>
    </row>
    <row r="3559" spans="1:2" x14ac:dyDescent="0.2">
      <c r="A3559" s="2205" t="s">
        <v>10015</v>
      </c>
      <c r="B3559" s="2205">
        <v>1.38</v>
      </c>
    </row>
    <row r="3560" spans="1:2" x14ac:dyDescent="0.2">
      <c r="A3560" s="2205" t="s">
        <v>10016</v>
      </c>
      <c r="B3560" s="2205">
        <v>94.74</v>
      </c>
    </row>
    <row r="3561" spans="1:2" x14ac:dyDescent="0.2">
      <c r="A3561" s="2205" t="s">
        <v>10017</v>
      </c>
      <c r="B3561" s="2205">
        <v>64.400000000000006</v>
      </c>
    </row>
    <row r="3562" spans="1:2" x14ac:dyDescent="0.2">
      <c r="A3562" s="2205" t="s">
        <v>10018</v>
      </c>
      <c r="B3562" s="2205">
        <v>112.25</v>
      </c>
    </row>
    <row r="3563" spans="1:2" x14ac:dyDescent="0.2">
      <c r="A3563" s="2205" t="s">
        <v>10019</v>
      </c>
      <c r="B3563" s="2205">
        <v>241.92</v>
      </c>
    </row>
    <row r="3564" spans="1:2" x14ac:dyDescent="0.2">
      <c r="A3564" s="2205" t="s">
        <v>10020</v>
      </c>
      <c r="B3564" s="2205">
        <v>10.08</v>
      </c>
    </row>
    <row r="3565" spans="1:2" x14ac:dyDescent="0.2">
      <c r="A3565" s="2205" t="s">
        <v>10021</v>
      </c>
      <c r="B3565" s="2210">
        <v>1252.82</v>
      </c>
    </row>
    <row r="3566" spans="1:2" x14ac:dyDescent="0.2">
      <c r="A3566" s="2205" t="s">
        <v>10022</v>
      </c>
      <c r="B3566" s="2205">
        <v>0.19</v>
      </c>
    </row>
    <row r="3567" spans="1:2" x14ac:dyDescent="0.2">
      <c r="A3567" s="2205" t="s">
        <v>10023</v>
      </c>
      <c r="B3567" s="2205">
        <v>3.31</v>
      </c>
    </row>
    <row r="3568" spans="1:2" x14ac:dyDescent="0.2">
      <c r="A3568" s="2205" t="s">
        <v>10024</v>
      </c>
      <c r="B3568" s="2205">
        <v>0</v>
      </c>
    </row>
    <row r="3569" spans="1:2" x14ac:dyDescent="0.2">
      <c r="A3569" s="2205" t="s">
        <v>10025</v>
      </c>
      <c r="B3569" s="2205">
        <v>0</v>
      </c>
    </row>
    <row r="3570" spans="1:2" x14ac:dyDescent="0.2">
      <c r="A3570" s="2205" t="s">
        <v>10026</v>
      </c>
      <c r="B3570" s="2205">
        <v>9.41</v>
      </c>
    </row>
    <row r="3571" spans="1:2" x14ac:dyDescent="0.2">
      <c r="A3571" s="2205" t="s">
        <v>10027</v>
      </c>
      <c r="B3571" s="2205">
        <v>353.21</v>
      </c>
    </row>
    <row r="3572" spans="1:2" x14ac:dyDescent="0.2">
      <c r="A3572" s="2205" t="s">
        <v>10028</v>
      </c>
      <c r="B3572" s="2205">
        <v>3.01</v>
      </c>
    </row>
    <row r="3573" spans="1:2" x14ac:dyDescent="0.2">
      <c r="A3573" s="2205" t="s">
        <v>10029</v>
      </c>
      <c r="B3573" s="2205">
        <v>22.58</v>
      </c>
    </row>
    <row r="3574" spans="1:2" x14ac:dyDescent="0.2">
      <c r="A3574" s="2205" t="s">
        <v>10030</v>
      </c>
      <c r="B3574" s="2205">
        <v>132.78</v>
      </c>
    </row>
    <row r="3575" spans="1:2" x14ac:dyDescent="0.2">
      <c r="A3575" s="2205" t="s">
        <v>10031</v>
      </c>
      <c r="B3575" s="2205">
        <v>0.76</v>
      </c>
    </row>
    <row r="3576" spans="1:2" x14ac:dyDescent="0.2">
      <c r="A3576" s="2205" t="s">
        <v>10032</v>
      </c>
      <c r="B3576" s="2205">
        <v>0.79</v>
      </c>
    </row>
    <row r="3577" spans="1:2" x14ac:dyDescent="0.2">
      <c r="A3577" s="2205" t="s">
        <v>10033</v>
      </c>
      <c r="B3577" s="2205">
        <v>6.51</v>
      </c>
    </row>
    <row r="3578" spans="1:2" x14ac:dyDescent="0.2">
      <c r="A3578" s="2205" t="s">
        <v>10034</v>
      </c>
      <c r="B3578" s="2205">
        <v>6.9</v>
      </c>
    </row>
    <row r="3579" spans="1:2" x14ac:dyDescent="0.2">
      <c r="A3579" s="2205" t="s">
        <v>10035</v>
      </c>
      <c r="B3579" s="2205">
        <v>6.41</v>
      </c>
    </row>
    <row r="3580" spans="1:2" x14ac:dyDescent="0.2">
      <c r="A3580" s="2205" t="s">
        <v>10036</v>
      </c>
      <c r="B3580" s="2205">
        <v>1.97</v>
      </c>
    </row>
    <row r="3581" spans="1:2" x14ac:dyDescent="0.2">
      <c r="A3581" s="2205" t="s">
        <v>10037</v>
      </c>
      <c r="B3581" s="2205">
        <v>2.5499999999999998</v>
      </c>
    </row>
    <row r="3582" spans="1:2" x14ac:dyDescent="0.2">
      <c r="A3582" s="2205" t="s">
        <v>10038</v>
      </c>
      <c r="B3582" s="2205">
        <v>6.89</v>
      </c>
    </row>
    <row r="3583" spans="1:2" x14ac:dyDescent="0.2">
      <c r="A3583" s="2205" t="s">
        <v>10039</v>
      </c>
      <c r="B3583" s="2205">
        <v>7.23</v>
      </c>
    </row>
    <row r="3584" spans="1:2" x14ac:dyDescent="0.2">
      <c r="A3584" s="2205" t="s">
        <v>10040</v>
      </c>
      <c r="B3584" s="2205">
        <v>7.71</v>
      </c>
    </row>
    <row r="3585" spans="1:2" x14ac:dyDescent="0.2">
      <c r="A3585" s="2205" t="s">
        <v>10041</v>
      </c>
      <c r="B3585" s="2205">
        <v>44.94</v>
      </c>
    </row>
    <row r="3586" spans="1:2" x14ac:dyDescent="0.2">
      <c r="A3586" s="2205" t="s">
        <v>10042</v>
      </c>
      <c r="B3586" s="2205">
        <v>70.64</v>
      </c>
    </row>
    <row r="3587" spans="1:2" x14ac:dyDescent="0.2">
      <c r="A3587" s="2205" t="s">
        <v>10043</v>
      </c>
      <c r="B3587" s="2205">
        <v>6.72</v>
      </c>
    </row>
    <row r="3588" spans="1:2" x14ac:dyDescent="0.2">
      <c r="A3588" s="2205" t="s">
        <v>10044</v>
      </c>
      <c r="B3588" s="2205">
        <v>12.04</v>
      </c>
    </row>
    <row r="3589" spans="1:2" x14ac:dyDescent="0.2">
      <c r="A3589" s="2205" t="s">
        <v>10045</v>
      </c>
      <c r="B3589" s="2205">
        <v>8.23</v>
      </c>
    </row>
    <row r="3590" spans="1:2" x14ac:dyDescent="0.2">
      <c r="A3590" s="2205" t="s">
        <v>10046</v>
      </c>
      <c r="B3590" s="2205">
        <v>14.2</v>
      </c>
    </row>
    <row r="3591" spans="1:2" x14ac:dyDescent="0.2">
      <c r="A3591" s="2205" t="s">
        <v>10047</v>
      </c>
      <c r="B3591" s="2205">
        <v>121.5</v>
      </c>
    </row>
    <row r="3592" spans="1:2" x14ac:dyDescent="0.2">
      <c r="A3592" s="2205" t="s">
        <v>10048</v>
      </c>
      <c r="B3592" s="2205">
        <v>5.92</v>
      </c>
    </row>
    <row r="3593" spans="1:2" x14ac:dyDescent="0.2">
      <c r="A3593" s="2205" t="s">
        <v>10049</v>
      </c>
      <c r="B3593" s="2205">
        <v>60.08</v>
      </c>
    </row>
    <row r="3594" spans="1:2" x14ac:dyDescent="0.2">
      <c r="A3594" s="2205" t="s">
        <v>10050</v>
      </c>
      <c r="B3594" s="2205">
        <v>7.73</v>
      </c>
    </row>
    <row r="3595" spans="1:2" x14ac:dyDescent="0.2">
      <c r="A3595" s="2205" t="s">
        <v>10051</v>
      </c>
      <c r="B3595" s="2205">
        <v>8.02</v>
      </c>
    </row>
    <row r="3596" spans="1:2" x14ac:dyDescent="0.2">
      <c r="A3596" s="2205" t="s">
        <v>10052</v>
      </c>
      <c r="B3596" s="2205">
        <v>10.08</v>
      </c>
    </row>
    <row r="3597" spans="1:2" x14ac:dyDescent="0.2">
      <c r="A3597" s="2205" t="s">
        <v>10053</v>
      </c>
      <c r="B3597" s="2205">
        <v>13.3</v>
      </c>
    </row>
    <row r="3598" spans="1:2" x14ac:dyDescent="0.2">
      <c r="A3598" s="2205" t="s">
        <v>10054</v>
      </c>
      <c r="B3598" s="2205">
        <v>3.55</v>
      </c>
    </row>
    <row r="3599" spans="1:2" x14ac:dyDescent="0.2">
      <c r="A3599" s="2205" t="s">
        <v>10055</v>
      </c>
      <c r="B3599" s="2205">
        <v>3.42</v>
      </c>
    </row>
    <row r="3600" spans="1:2" x14ac:dyDescent="0.2">
      <c r="A3600" s="2205" t="s">
        <v>10056</v>
      </c>
      <c r="B3600" s="2205">
        <v>7.72</v>
      </c>
    </row>
    <row r="3601" spans="1:2" x14ac:dyDescent="0.2">
      <c r="A3601" s="2205" t="s">
        <v>10057</v>
      </c>
      <c r="B3601" s="2205">
        <v>16.239999999999998</v>
      </c>
    </row>
    <row r="3602" spans="1:2" x14ac:dyDescent="0.2">
      <c r="A3602" s="2205" t="s">
        <v>10058</v>
      </c>
      <c r="B3602" s="2205">
        <v>7870.56</v>
      </c>
    </row>
    <row r="3603" spans="1:2" x14ac:dyDescent="0.2">
      <c r="A3603" s="2205" t="s">
        <v>10059</v>
      </c>
      <c r="B3603" s="2205">
        <v>220.63</v>
      </c>
    </row>
    <row r="3604" spans="1:2" x14ac:dyDescent="0.2">
      <c r="A3604" s="2205" t="s">
        <v>10060</v>
      </c>
      <c r="B3604" s="2205">
        <v>31.84</v>
      </c>
    </row>
    <row r="3605" spans="1:2" x14ac:dyDescent="0.2">
      <c r="A3605" s="2205" t="s">
        <v>10061</v>
      </c>
      <c r="B3605" s="2205">
        <v>0.39</v>
      </c>
    </row>
    <row r="3606" spans="1:2" x14ac:dyDescent="0.2">
      <c r="A3606" s="2205" t="s">
        <v>10062</v>
      </c>
      <c r="B3606" s="2205">
        <v>203.91</v>
      </c>
    </row>
    <row r="3607" spans="1:2" x14ac:dyDescent="0.2">
      <c r="A3607" s="2205" t="s">
        <v>10063</v>
      </c>
      <c r="B3607" s="2205">
        <v>340.08</v>
      </c>
    </row>
    <row r="3608" spans="1:2" x14ac:dyDescent="0.2">
      <c r="A3608" s="2205" t="s">
        <v>10064</v>
      </c>
      <c r="B3608" s="2210">
        <v>23473.77</v>
      </c>
    </row>
    <row r="3609" spans="1:2" x14ac:dyDescent="0.2">
      <c r="A3609" s="2205" t="s">
        <v>10065</v>
      </c>
      <c r="B3609" s="2205">
        <v>3515.4</v>
      </c>
    </row>
    <row r="3610" spans="1:2" x14ac:dyDescent="0.2">
      <c r="A3610" s="2205" t="s">
        <v>10066</v>
      </c>
      <c r="B3610" s="2205">
        <v>72.510000000000005</v>
      </c>
    </row>
    <row r="3611" spans="1:2" x14ac:dyDescent="0.2">
      <c r="A3611" s="2205" t="s">
        <v>10067</v>
      </c>
      <c r="B3611" s="2205">
        <v>24.87</v>
      </c>
    </row>
    <row r="3612" spans="1:2" x14ac:dyDescent="0.2">
      <c r="A3612" s="2205" t="s">
        <v>10068</v>
      </c>
      <c r="B3612" s="2205">
        <v>46.37</v>
      </c>
    </row>
    <row r="3613" spans="1:2" x14ac:dyDescent="0.2">
      <c r="A3613" s="2205" t="s">
        <v>10069</v>
      </c>
      <c r="B3613" s="2205">
        <v>7.19</v>
      </c>
    </row>
    <row r="3614" spans="1:2" x14ac:dyDescent="0.2">
      <c r="A3614" s="2205" t="s">
        <v>10070</v>
      </c>
      <c r="B3614" s="2205">
        <v>159.36000000000001</v>
      </c>
    </row>
    <row r="3615" spans="1:2" x14ac:dyDescent="0.2">
      <c r="A3615" s="2205" t="s">
        <v>10071</v>
      </c>
      <c r="B3615" s="2205">
        <v>34.369999999999997</v>
      </c>
    </row>
    <row r="3616" spans="1:2" x14ac:dyDescent="0.2">
      <c r="A3616" s="2205" t="s">
        <v>10072</v>
      </c>
      <c r="B3616" s="2205">
        <v>31.92</v>
      </c>
    </row>
    <row r="3617" spans="1:2" x14ac:dyDescent="0.2">
      <c r="A3617" s="2205" t="s">
        <v>10073</v>
      </c>
      <c r="B3617" s="2205">
        <v>137.85</v>
      </c>
    </row>
    <row r="3618" spans="1:2" x14ac:dyDescent="0.2">
      <c r="A3618" s="2205" t="s">
        <v>10074</v>
      </c>
      <c r="B3618" s="2205">
        <v>7.4</v>
      </c>
    </row>
    <row r="3619" spans="1:2" x14ac:dyDescent="0.2">
      <c r="A3619" s="2205" t="s">
        <v>10075</v>
      </c>
      <c r="B3619" s="2205">
        <v>66.069999999999993</v>
      </c>
    </row>
    <row r="3620" spans="1:2" x14ac:dyDescent="0.2">
      <c r="A3620" s="2205" t="s">
        <v>10076</v>
      </c>
      <c r="B3620" s="2205">
        <v>113.12</v>
      </c>
    </row>
    <row r="3621" spans="1:2" x14ac:dyDescent="0.2">
      <c r="A3621" s="2205" t="s">
        <v>10077</v>
      </c>
      <c r="B3621" s="2205">
        <v>77.58</v>
      </c>
    </row>
    <row r="3622" spans="1:2" x14ac:dyDescent="0.2">
      <c r="A3622" s="2205" t="s">
        <v>10078</v>
      </c>
      <c r="B3622" s="2205">
        <v>97.38</v>
      </c>
    </row>
    <row r="3623" spans="1:2" x14ac:dyDescent="0.2">
      <c r="A3623" s="2205" t="s">
        <v>10079</v>
      </c>
      <c r="B3623" s="2205">
        <v>651.38</v>
      </c>
    </row>
    <row r="3624" spans="1:2" x14ac:dyDescent="0.2">
      <c r="A3624" s="2205" t="s">
        <v>10080</v>
      </c>
      <c r="B3624" s="2205">
        <v>99.77</v>
      </c>
    </row>
    <row r="3625" spans="1:2" x14ac:dyDescent="0.2">
      <c r="A3625" s="2205" t="s">
        <v>10081</v>
      </c>
      <c r="B3625" s="2205">
        <v>602.39</v>
      </c>
    </row>
    <row r="3626" spans="1:2" x14ac:dyDescent="0.2">
      <c r="A3626" s="2205" t="s">
        <v>10082</v>
      </c>
      <c r="B3626" s="2205">
        <v>20.5</v>
      </c>
    </row>
    <row r="3627" spans="1:2" x14ac:dyDescent="0.2">
      <c r="A3627" s="2205" t="s">
        <v>10083</v>
      </c>
      <c r="B3627" s="2205">
        <v>1248.8699999999999</v>
      </c>
    </row>
    <row r="3628" spans="1:2" x14ac:dyDescent="0.2">
      <c r="A3628" s="2205" t="s">
        <v>10084</v>
      </c>
      <c r="B3628" s="2205">
        <v>2271.84</v>
      </c>
    </row>
    <row r="3629" spans="1:2" x14ac:dyDescent="0.2">
      <c r="A3629" s="2205" t="s">
        <v>10085</v>
      </c>
      <c r="B3629" s="2205">
        <v>3353.88</v>
      </c>
    </row>
    <row r="3630" spans="1:2" x14ac:dyDescent="0.2">
      <c r="A3630" s="2205" t="s">
        <v>10086</v>
      </c>
      <c r="B3630" s="2205">
        <v>71.63</v>
      </c>
    </row>
    <row r="3631" spans="1:2" x14ac:dyDescent="0.2">
      <c r="A3631" s="2205" t="s">
        <v>10087</v>
      </c>
      <c r="B3631" s="2205">
        <v>15.4</v>
      </c>
    </row>
    <row r="3632" spans="1:2" x14ac:dyDescent="0.2">
      <c r="A3632" s="2205" t="s">
        <v>10088</v>
      </c>
      <c r="B3632" s="2205">
        <v>1.52</v>
      </c>
    </row>
    <row r="3633" spans="1:2" x14ac:dyDescent="0.2">
      <c r="A3633" s="2205" t="s">
        <v>10089</v>
      </c>
      <c r="B3633" s="2205">
        <v>20.77</v>
      </c>
    </row>
    <row r="3634" spans="1:2" x14ac:dyDescent="0.2">
      <c r="A3634" s="2205" t="s">
        <v>10090</v>
      </c>
      <c r="B3634" s="2205">
        <v>93.66</v>
      </c>
    </row>
    <row r="3635" spans="1:2" x14ac:dyDescent="0.2">
      <c r="A3635" s="2205" t="s">
        <v>10091</v>
      </c>
      <c r="B3635" s="2205">
        <v>11.83</v>
      </c>
    </row>
    <row r="3636" spans="1:2" x14ac:dyDescent="0.2">
      <c r="A3636" s="2205" t="s">
        <v>10092</v>
      </c>
      <c r="B3636" s="2205">
        <v>12.19</v>
      </c>
    </row>
    <row r="3637" spans="1:2" x14ac:dyDescent="0.2">
      <c r="A3637" s="2205" t="s">
        <v>10093</v>
      </c>
      <c r="B3637" s="2205">
        <v>22.79</v>
      </c>
    </row>
    <row r="3638" spans="1:2" x14ac:dyDescent="0.2">
      <c r="A3638" s="2205" t="s">
        <v>10094</v>
      </c>
      <c r="B3638" s="2205">
        <v>98.32</v>
      </c>
    </row>
    <row r="3639" spans="1:2" x14ac:dyDescent="0.2">
      <c r="A3639" s="2205" t="s">
        <v>10095</v>
      </c>
      <c r="B3639" s="2205">
        <v>40.71</v>
      </c>
    </row>
    <row r="3640" spans="1:2" x14ac:dyDescent="0.2">
      <c r="A3640" s="2205" t="s">
        <v>10096</v>
      </c>
      <c r="B3640" s="2205">
        <v>100.2</v>
      </c>
    </row>
    <row r="3641" spans="1:2" x14ac:dyDescent="0.2">
      <c r="A3641" s="2205" t="s">
        <v>10097</v>
      </c>
      <c r="B3641" s="2205">
        <v>97.92</v>
      </c>
    </row>
    <row r="3642" spans="1:2" x14ac:dyDescent="0.2">
      <c r="A3642" s="2205" t="s">
        <v>10098</v>
      </c>
      <c r="B3642" s="2205">
        <v>113.29</v>
      </c>
    </row>
    <row r="3643" spans="1:2" x14ac:dyDescent="0.2">
      <c r="A3643" s="2205" t="s">
        <v>10099</v>
      </c>
      <c r="B3643" s="2205">
        <v>179.84</v>
      </c>
    </row>
    <row r="3644" spans="1:2" x14ac:dyDescent="0.2">
      <c r="A3644" s="2205" t="s">
        <v>10100</v>
      </c>
      <c r="B3644" s="2205">
        <v>47.42</v>
      </c>
    </row>
    <row r="3645" spans="1:2" x14ac:dyDescent="0.2">
      <c r="A3645" s="2205" t="s">
        <v>10101</v>
      </c>
      <c r="B3645" s="2205">
        <v>164.39</v>
      </c>
    </row>
    <row r="3646" spans="1:2" x14ac:dyDescent="0.2">
      <c r="A3646" s="2205" t="s">
        <v>10102</v>
      </c>
      <c r="B3646" s="2205">
        <v>7.64</v>
      </c>
    </row>
    <row r="3647" spans="1:2" x14ac:dyDescent="0.2">
      <c r="A3647" s="2205" t="s">
        <v>10103</v>
      </c>
      <c r="B3647" s="2205">
        <v>498.32</v>
      </c>
    </row>
    <row r="3648" spans="1:2" x14ac:dyDescent="0.2">
      <c r="A3648" s="2205" t="s">
        <v>10104</v>
      </c>
      <c r="B3648" s="2205">
        <v>16.73</v>
      </c>
    </row>
    <row r="3649" spans="1:2" x14ac:dyDescent="0.2">
      <c r="A3649" s="2205" t="s">
        <v>10105</v>
      </c>
      <c r="B3649" s="2205">
        <v>0.78</v>
      </c>
    </row>
    <row r="3650" spans="1:2" x14ac:dyDescent="0.2">
      <c r="A3650" s="2205" t="s">
        <v>10106</v>
      </c>
      <c r="B3650" s="2205">
        <v>11.35</v>
      </c>
    </row>
    <row r="3651" spans="1:2" x14ac:dyDescent="0.2">
      <c r="A3651" s="2205" t="s">
        <v>10107</v>
      </c>
      <c r="B3651" s="2205">
        <v>149.25</v>
      </c>
    </row>
    <row r="3652" spans="1:2" x14ac:dyDescent="0.2">
      <c r="A3652" s="2205" t="s">
        <v>10108</v>
      </c>
      <c r="B3652" s="2205">
        <v>150.6</v>
      </c>
    </row>
    <row r="3653" spans="1:2" x14ac:dyDescent="0.2">
      <c r="A3653" s="2205" t="s">
        <v>10109</v>
      </c>
      <c r="B3653" s="2205">
        <v>0.79</v>
      </c>
    </row>
    <row r="3654" spans="1:2" x14ac:dyDescent="0.2">
      <c r="A3654" s="2205" t="s">
        <v>10110</v>
      </c>
      <c r="B3654" s="2205">
        <v>22.42</v>
      </c>
    </row>
    <row r="3655" spans="1:2" x14ac:dyDescent="0.2">
      <c r="A3655" s="2205" t="s">
        <v>10111</v>
      </c>
      <c r="B3655" s="2205">
        <v>6.04</v>
      </c>
    </row>
    <row r="3656" spans="1:2" x14ac:dyDescent="0.2">
      <c r="A3656" s="2205" t="s">
        <v>10112</v>
      </c>
      <c r="B3656" s="2205">
        <v>3.51</v>
      </c>
    </row>
    <row r="3657" spans="1:2" x14ac:dyDescent="0.2">
      <c r="A3657" s="2205" t="s">
        <v>10113</v>
      </c>
      <c r="B3657" s="2205">
        <v>47.64</v>
      </c>
    </row>
    <row r="3658" spans="1:2" x14ac:dyDescent="0.2">
      <c r="A3658" s="2205" t="s">
        <v>10114</v>
      </c>
      <c r="B3658" s="2205">
        <v>25.8</v>
      </c>
    </row>
    <row r="3659" spans="1:2" x14ac:dyDescent="0.2">
      <c r="A3659" s="2205" t="s">
        <v>10115</v>
      </c>
      <c r="B3659" s="2205">
        <v>35.01</v>
      </c>
    </row>
    <row r="3660" spans="1:2" x14ac:dyDescent="0.2">
      <c r="A3660" s="2205" t="s">
        <v>10116</v>
      </c>
      <c r="B3660" s="2205">
        <v>2107.4499999999998</v>
      </c>
    </row>
    <row r="3661" spans="1:2" x14ac:dyDescent="0.2">
      <c r="A3661" s="2205" t="s">
        <v>10117</v>
      </c>
      <c r="B3661" s="2205">
        <v>423.42</v>
      </c>
    </row>
    <row r="3662" spans="1:2" x14ac:dyDescent="0.2">
      <c r="A3662" s="2205" t="s">
        <v>10118</v>
      </c>
      <c r="B3662" s="2205">
        <v>1777.36</v>
      </c>
    </row>
    <row r="3663" spans="1:2" x14ac:dyDescent="0.2">
      <c r="A3663" s="2205" t="s">
        <v>10119</v>
      </c>
      <c r="B3663" s="2205">
        <v>29.5</v>
      </c>
    </row>
    <row r="3664" spans="1:2" x14ac:dyDescent="0.2">
      <c r="A3664" s="2205" t="s">
        <v>10120</v>
      </c>
      <c r="B3664" s="2205">
        <v>643.27</v>
      </c>
    </row>
    <row r="3665" spans="1:2" x14ac:dyDescent="0.2">
      <c r="A3665" s="2205" t="s">
        <v>10121</v>
      </c>
      <c r="B3665" s="2205">
        <v>1.97</v>
      </c>
    </row>
    <row r="3666" spans="1:2" x14ac:dyDescent="0.2">
      <c r="A3666" s="2205" t="s">
        <v>10122</v>
      </c>
      <c r="B3666" s="2205">
        <v>23.92</v>
      </c>
    </row>
    <row r="3667" spans="1:2" x14ac:dyDescent="0.2">
      <c r="A3667" s="2205" t="s">
        <v>10123</v>
      </c>
      <c r="B3667" s="2205">
        <v>44.04</v>
      </c>
    </row>
    <row r="3668" spans="1:2" x14ac:dyDescent="0.2">
      <c r="A3668" s="2205" t="s">
        <v>10124</v>
      </c>
      <c r="B3668" s="2205">
        <v>361.6</v>
      </c>
    </row>
    <row r="3669" spans="1:2" x14ac:dyDescent="0.2">
      <c r="A3669" s="2205" t="s">
        <v>10125</v>
      </c>
      <c r="B3669" s="2205">
        <v>2.09</v>
      </c>
    </row>
    <row r="3670" spans="1:2" x14ac:dyDescent="0.2">
      <c r="A3670" s="2205" t="s">
        <v>10126</v>
      </c>
      <c r="B3670" s="2205">
        <v>671.66</v>
      </c>
    </row>
    <row r="3671" spans="1:2" x14ac:dyDescent="0.2">
      <c r="A3671" s="2205" t="s">
        <v>10127</v>
      </c>
      <c r="B3671" s="2205">
        <v>81.739999999999995</v>
      </c>
    </row>
    <row r="3672" spans="1:2" x14ac:dyDescent="0.2">
      <c r="A3672" s="2205" t="s">
        <v>10128</v>
      </c>
      <c r="B3672" s="2205">
        <v>143.44999999999999</v>
      </c>
    </row>
    <row r="3673" spans="1:2" x14ac:dyDescent="0.2">
      <c r="A3673" s="2205" t="s">
        <v>10129</v>
      </c>
      <c r="B3673" s="2205">
        <v>841.53</v>
      </c>
    </row>
    <row r="3674" spans="1:2" x14ac:dyDescent="0.2">
      <c r="A3674" s="2205" t="s">
        <v>10130</v>
      </c>
      <c r="B3674" s="2205">
        <v>91.9</v>
      </c>
    </row>
    <row r="3675" spans="1:2" x14ac:dyDescent="0.2">
      <c r="A3675" s="2205" t="s">
        <v>10131</v>
      </c>
      <c r="B3675" s="2205">
        <v>2.23</v>
      </c>
    </row>
    <row r="3676" spans="1:2" x14ac:dyDescent="0.2">
      <c r="A3676" s="2205" t="s">
        <v>10132</v>
      </c>
      <c r="B3676" s="2205">
        <v>3622.53</v>
      </c>
    </row>
    <row r="3677" spans="1:2" x14ac:dyDescent="0.2">
      <c r="A3677" s="2205" t="s">
        <v>10133</v>
      </c>
      <c r="B3677" s="2205">
        <v>1759.37</v>
      </c>
    </row>
    <row r="3678" spans="1:2" x14ac:dyDescent="0.2">
      <c r="A3678" s="2205" t="s">
        <v>10134</v>
      </c>
      <c r="B3678" s="2205">
        <v>2489.48</v>
      </c>
    </row>
    <row r="3679" spans="1:2" x14ac:dyDescent="0.2">
      <c r="A3679" s="2205" t="s">
        <v>10135</v>
      </c>
      <c r="B3679" s="2205">
        <v>549.13</v>
      </c>
    </row>
    <row r="3680" spans="1:2" x14ac:dyDescent="0.2">
      <c r="A3680" s="2205" t="s">
        <v>10136</v>
      </c>
      <c r="B3680" s="2205">
        <v>59.85</v>
      </c>
    </row>
    <row r="3681" spans="1:2" x14ac:dyDescent="0.2">
      <c r="A3681" s="2205" t="s">
        <v>10137</v>
      </c>
      <c r="B3681" s="2205">
        <v>443.2</v>
      </c>
    </row>
    <row r="3682" spans="1:2" x14ac:dyDescent="0.2">
      <c r="A3682" s="2205" t="s">
        <v>10138</v>
      </c>
      <c r="B3682" s="2205">
        <v>86.46</v>
      </c>
    </row>
    <row r="3683" spans="1:2" x14ac:dyDescent="0.2">
      <c r="A3683" s="2205" t="s">
        <v>10139</v>
      </c>
      <c r="B3683" s="2205">
        <v>524.16999999999996</v>
      </c>
    </row>
    <row r="3684" spans="1:2" x14ac:dyDescent="0.2">
      <c r="A3684" s="2205" t="s">
        <v>10140</v>
      </c>
      <c r="B3684" s="2205">
        <v>571.1</v>
      </c>
    </row>
    <row r="3685" spans="1:2" x14ac:dyDescent="0.2">
      <c r="A3685" s="2205" t="s">
        <v>10141</v>
      </c>
      <c r="B3685" s="2205">
        <v>3.75</v>
      </c>
    </row>
    <row r="3686" spans="1:2" x14ac:dyDescent="0.2">
      <c r="A3686" s="2205" t="s">
        <v>10142</v>
      </c>
      <c r="B3686" s="2205">
        <v>1387.02</v>
      </c>
    </row>
    <row r="3687" spans="1:2" x14ac:dyDescent="0.2">
      <c r="A3687" s="2205" t="s">
        <v>10143</v>
      </c>
      <c r="B3687" s="2205">
        <v>167.82</v>
      </c>
    </row>
    <row r="3688" spans="1:2" x14ac:dyDescent="0.2">
      <c r="A3688" s="2205" t="s">
        <v>10144</v>
      </c>
      <c r="B3688" s="2205">
        <v>1084.6300000000001</v>
      </c>
    </row>
    <row r="3689" spans="1:2" x14ac:dyDescent="0.2">
      <c r="A3689" s="2205" t="s">
        <v>10145</v>
      </c>
      <c r="B3689" s="2205">
        <v>13.18</v>
      </c>
    </row>
    <row r="3690" spans="1:2" x14ac:dyDescent="0.2">
      <c r="A3690" s="2205" t="s">
        <v>10146</v>
      </c>
      <c r="B3690" s="2205">
        <v>78.05</v>
      </c>
    </row>
    <row r="3691" spans="1:2" x14ac:dyDescent="0.2">
      <c r="A3691" s="2205" t="s">
        <v>10147</v>
      </c>
      <c r="B3691" s="2205">
        <v>89.37</v>
      </c>
    </row>
    <row r="3692" spans="1:2" x14ac:dyDescent="0.2">
      <c r="A3692" s="2205" t="s">
        <v>10148</v>
      </c>
      <c r="B3692" s="2205">
        <v>4.1500000000000004</v>
      </c>
    </row>
    <row r="3693" spans="1:2" x14ac:dyDescent="0.2">
      <c r="A3693" s="2205" t="s">
        <v>10149</v>
      </c>
      <c r="B3693" s="2205">
        <v>32.299999999999997</v>
      </c>
    </row>
    <row r="3694" spans="1:2" x14ac:dyDescent="0.2">
      <c r="A3694" s="2205" t="s">
        <v>10150</v>
      </c>
      <c r="B3694" s="2205">
        <v>409.08</v>
      </c>
    </row>
    <row r="3695" spans="1:2" x14ac:dyDescent="0.2">
      <c r="A3695" s="2205" t="s">
        <v>10151</v>
      </c>
      <c r="B3695" s="2205">
        <v>4050.41</v>
      </c>
    </row>
    <row r="3696" spans="1:2" x14ac:dyDescent="0.2">
      <c r="A3696" s="2205" t="s">
        <v>10152</v>
      </c>
      <c r="B3696" s="2205">
        <v>24.41</v>
      </c>
    </row>
    <row r="3697" spans="1:2" x14ac:dyDescent="0.2">
      <c r="A3697" s="2205" t="s">
        <v>10153</v>
      </c>
      <c r="B3697" s="2205">
        <v>2146.27</v>
      </c>
    </row>
    <row r="3698" spans="1:2" x14ac:dyDescent="0.2">
      <c r="A3698" s="2205" t="s">
        <v>10154</v>
      </c>
      <c r="B3698" s="2205">
        <v>569.5</v>
      </c>
    </row>
    <row r="3699" spans="1:2" x14ac:dyDescent="0.2">
      <c r="A3699" s="2205" t="s">
        <v>10155</v>
      </c>
      <c r="B3699" s="2205">
        <v>1968.05</v>
      </c>
    </row>
    <row r="3700" spans="1:2" x14ac:dyDescent="0.2">
      <c r="A3700" s="2205" t="s">
        <v>10156</v>
      </c>
      <c r="B3700" s="2205">
        <v>584.39</v>
      </c>
    </row>
    <row r="3701" spans="1:2" x14ac:dyDescent="0.2">
      <c r="A3701" s="2205" t="s">
        <v>10157</v>
      </c>
      <c r="B3701" s="2205">
        <v>1.17</v>
      </c>
    </row>
    <row r="3702" spans="1:2" x14ac:dyDescent="0.2">
      <c r="A3702" s="2205" t="s">
        <v>10158</v>
      </c>
      <c r="B3702" s="2205">
        <v>4.0999999999999996</v>
      </c>
    </row>
    <row r="3703" spans="1:2" x14ac:dyDescent="0.2">
      <c r="A3703" s="2205" t="s">
        <v>10159</v>
      </c>
      <c r="B3703" s="2205">
        <v>229.43</v>
      </c>
    </row>
    <row r="3704" spans="1:2" x14ac:dyDescent="0.2">
      <c r="A3704" s="2205" t="s">
        <v>10160</v>
      </c>
      <c r="B3704" s="2205">
        <v>65.83</v>
      </c>
    </row>
    <row r="3705" spans="1:2" x14ac:dyDescent="0.2">
      <c r="A3705" s="2205" t="s">
        <v>10161</v>
      </c>
      <c r="B3705" s="2205">
        <v>2.39</v>
      </c>
    </row>
    <row r="3706" spans="1:2" x14ac:dyDescent="0.2">
      <c r="A3706" s="2205" t="s">
        <v>10162</v>
      </c>
      <c r="B3706" s="2205">
        <v>45.41</v>
      </c>
    </row>
    <row r="3707" spans="1:2" x14ac:dyDescent="0.2">
      <c r="A3707" s="2205" t="s">
        <v>10163</v>
      </c>
      <c r="B3707" s="2205">
        <v>64.05</v>
      </c>
    </row>
    <row r="3708" spans="1:2" x14ac:dyDescent="0.2">
      <c r="A3708" s="2205" t="s">
        <v>10164</v>
      </c>
      <c r="B3708" s="2205">
        <v>29.96</v>
      </c>
    </row>
    <row r="3709" spans="1:2" x14ac:dyDescent="0.2">
      <c r="A3709" s="2205" t="s">
        <v>10165</v>
      </c>
      <c r="B3709" s="2205">
        <v>13.86</v>
      </c>
    </row>
    <row r="3710" spans="1:2" x14ac:dyDescent="0.2">
      <c r="A3710" s="2205" t="s">
        <v>10166</v>
      </c>
      <c r="B3710" s="2205">
        <v>6.31</v>
      </c>
    </row>
    <row r="3711" spans="1:2" x14ac:dyDescent="0.2">
      <c r="A3711" s="2205" t="s">
        <v>10167</v>
      </c>
      <c r="B3711" s="2205">
        <v>31.13</v>
      </c>
    </row>
    <row r="3712" spans="1:2" x14ac:dyDescent="0.2">
      <c r="A3712" s="2205" t="s">
        <v>10168</v>
      </c>
      <c r="B3712" s="2205">
        <v>158.91</v>
      </c>
    </row>
    <row r="3713" spans="1:2" x14ac:dyDescent="0.2">
      <c r="A3713" s="2205" t="s">
        <v>10169</v>
      </c>
      <c r="B3713" s="2205">
        <v>612.67999999999995</v>
      </c>
    </row>
    <row r="3714" spans="1:2" x14ac:dyDescent="0.2">
      <c r="A3714" s="2205" t="s">
        <v>10170</v>
      </c>
      <c r="B3714" s="2205">
        <v>7.02</v>
      </c>
    </row>
    <row r="3715" spans="1:2" x14ac:dyDescent="0.2">
      <c r="A3715" s="2205" t="s">
        <v>10171</v>
      </c>
      <c r="B3715" s="2205">
        <v>16.43</v>
      </c>
    </row>
    <row r="3716" spans="1:2" x14ac:dyDescent="0.2">
      <c r="A3716" s="2205" t="s">
        <v>10172</v>
      </c>
      <c r="B3716" s="2205">
        <v>77.41</v>
      </c>
    </row>
    <row r="3717" spans="1:2" x14ac:dyDescent="0.2">
      <c r="A3717" s="2205" t="s">
        <v>10173</v>
      </c>
      <c r="B3717" s="2205">
        <v>1.68</v>
      </c>
    </row>
    <row r="3718" spans="1:2" x14ac:dyDescent="0.2">
      <c r="A3718" s="2205" t="s">
        <v>10174</v>
      </c>
      <c r="B3718" s="2205">
        <v>224.72</v>
      </c>
    </row>
    <row r="3719" spans="1:2" x14ac:dyDescent="0.2">
      <c r="A3719" s="2205" t="s">
        <v>10175</v>
      </c>
      <c r="B3719" s="2205">
        <v>3255.91</v>
      </c>
    </row>
    <row r="3720" spans="1:2" x14ac:dyDescent="0.2">
      <c r="A3720" s="2205" t="s">
        <v>10176</v>
      </c>
      <c r="B3720" s="2205">
        <v>19.489999999999998</v>
      </c>
    </row>
    <row r="3721" spans="1:2" x14ac:dyDescent="0.2">
      <c r="A3721" s="2205" t="s">
        <v>10177</v>
      </c>
      <c r="B3721" s="2205">
        <v>15.26</v>
      </c>
    </row>
    <row r="3722" spans="1:2" x14ac:dyDescent="0.2">
      <c r="A3722" s="2205" t="s">
        <v>10178</v>
      </c>
      <c r="B3722" s="2205">
        <v>80.319999999999993</v>
      </c>
    </row>
    <row r="3723" spans="1:2" x14ac:dyDescent="0.2">
      <c r="A3723" s="2205" t="s">
        <v>10179</v>
      </c>
      <c r="B3723" s="2205">
        <v>0.59</v>
      </c>
    </row>
    <row r="3724" spans="1:2" x14ac:dyDescent="0.2">
      <c r="A3724" s="2205" t="s">
        <v>10180</v>
      </c>
      <c r="B3724" s="2205">
        <v>78.900000000000006</v>
      </c>
    </row>
    <row r="3725" spans="1:2" x14ac:dyDescent="0.2">
      <c r="A3725" s="2205" t="s">
        <v>10181</v>
      </c>
      <c r="B3725" s="2205">
        <v>637.44000000000005</v>
      </c>
    </row>
    <row r="3726" spans="1:2" x14ac:dyDescent="0.2">
      <c r="A3726" s="2205" t="s">
        <v>10182</v>
      </c>
      <c r="B3726" s="2205">
        <v>5.52</v>
      </c>
    </row>
    <row r="3727" spans="1:2" x14ac:dyDescent="0.2">
      <c r="A3727" s="2205" t="s">
        <v>10183</v>
      </c>
      <c r="B3727" s="2205">
        <v>19.22</v>
      </c>
    </row>
    <row r="3728" spans="1:2" x14ac:dyDescent="0.2">
      <c r="A3728" s="2205" t="s">
        <v>10184</v>
      </c>
      <c r="B3728" s="2205">
        <v>27.61</v>
      </c>
    </row>
    <row r="3729" spans="1:2" x14ac:dyDescent="0.2">
      <c r="A3729" s="2205" t="s">
        <v>10185</v>
      </c>
      <c r="B3729" s="2205">
        <v>16.579999999999998</v>
      </c>
    </row>
    <row r="3730" spans="1:2" x14ac:dyDescent="0.2">
      <c r="A3730" s="2205" t="s">
        <v>10186</v>
      </c>
      <c r="B3730" s="2205">
        <v>17.52</v>
      </c>
    </row>
    <row r="3731" spans="1:2" x14ac:dyDescent="0.2">
      <c r="A3731" s="2205" t="s">
        <v>10187</v>
      </c>
      <c r="B3731" s="2205">
        <v>137.4</v>
      </c>
    </row>
    <row r="3732" spans="1:2" x14ac:dyDescent="0.2">
      <c r="A3732" s="2205" t="s">
        <v>10188</v>
      </c>
      <c r="B3732" s="2205">
        <v>99.74</v>
      </c>
    </row>
    <row r="3733" spans="1:2" x14ac:dyDescent="0.2">
      <c r="A3733" s="2205" t="s">
        <v>10189</v>
      </c>
      <c r="B3733" s="2205">
        <v>12.6</v>
      </c>
    </row>
    <row r="3734" spans="1:2" x14ac:dyDescent="0.2">
      <c r="A3734" s="2205" t="s">
        <v>10190</v>
      </c>
      <c r="B3734" s="2205">
        <v>224.28</v>
      </c>
    </row>
    <row r="3735" spans="1:2" x14ac:dyDescent="0.2">
      <c r="A3735" s="2205" t="s">
        <v>10191</v>
      </c>
      <c r="B3735" s="2205">
        <v>9.24</v>
      </c>
    </row>
    <row r="3736" spans="1:2" x14ac:dyDescent="0.2">
      <c r="A3736" s="2205" t="s">
        <v>10192</v>
      </c>
      <c r="B3736" s="2205">
        <v>33.450000000000003</v>
      </c>
    </row>
    <row r="3737" spans="1:2" x14ac:dyDescent="0.2">
      <c r="A3737" s="2205" t="s">
        <v>10193</v>
      </c>
      <c r="B3737" s="2205">
        <v>99.18</v>
      </c>
    </row>
    <row r="3738" spans="1:2" x14ac:dyDescent="0.2">
      <c r="A3738" s="2205" t="s">
        <v>10194</v>
      </c>
      <c r="B3738" s="2205">
        <v>0.99</v>
      </c>
    </row>
    <row r="3739" spans="1:2" x14ac:dyDescent="0.2">
      <c r="A3739" s="2205" t="s">
        <v>10195</v>
      </c>
      <c r="B3739" s="2205">
        <v>46.63</v>
      </c>
    </row>
    <row r="3740" spans="1:2" x14ac:dyDescent="0.2">
      <c r="A3740" s="2205" t="s">
        <v>10196</v>
      </c>
      <c r="B3740" s="2205">
        <v>0.99</v>
      </c>
    </row>
    <row r="3741" spans="1:2" x14ac:dyDescent="0.2">
      <c r="A3741" s="2205" t="s">
        <v>10197</v>
      </c>
      <c r="B3741" s="2205">
        <v>0.39</v>
      </c>
    </row>
    <row r="3742" spans="1:2" x14ac:dyDescent="0.2">
      <c r="A3742" s="2205" t="s">
        <v>10198</v>
      </c>
      <c r="B3742" s="2205">
        <v>4.62</v>
      </c>
    </row>
    <row r="3743" spans="1:2" x14ac:dyDescent="0.2">
      <c r="A3743" s="2205" t="s">
        <v>10199</v>
      </c>
      <c r="B3743" s="2205">
        <v>1.1299999999999999</v>
      </c>
    </row>
    <row r="3744" spans="1:2" x14ac:dyDescent="0.2">
      <c r="A3744" s="2205" t="s">
        <v>10200</v>
      </c>
      <c r="B3744" s="2205">
        <v>12.31</v>
      </c>
    </row>
    <row r="3745" spans="1:2" x14ac:dyDescent="0.2">
      <c r="A3745" s="2205" t="s">
        <v>10201</v>
      </c>
      <c r="B3745" s="2205">
        <v>7.5</v>
      </c>
    </row>
    <row r="3746" spans="1:2" x14ac:dyDescent="0.2">
      <c r="A3746" s="2205" t="s">
        <v>10202</v>
      </c>
      <c r="B3746" s="2205">
        <v>18.96</v>
      </c>
    </row>
    <row r="3747" spans="1:2" x14ac:dyDescent="0.2">
      <c r="A3747" s="2205" t="s">
        <v>10203</v>
      </c>
      <c r="B3747" s="2205">
        <v>0.99</v>
      </c>
    </row>
    <row r="3748" spans="1:2" x14ac:dyDescent="0.2">
      <c r="A3748" s="2205" t="s">
        <v>10204</v>
      </c>
      <c r="B3748" s="2205">
        <v>95.12</v>
      </c>
    </row>
    <row r="3749" spans="1:2" x14ac:dyDescent="0.2">
      <c r="A3749" s="2205" t="s">
        <v>10205</v>
      </c>
      <c r="B3749" s="2205">
        <v>39.93</v>
      </c>
    </row>
    <row r="3750" spans="1:2" x14ac:dyDescent="0.2">
      <c r="A3750" s="2205" t="s">
        <v>10206</v>
      </c>
      <c r="B3750" s="2205">
        <v>9.6999999999999993</v>
      </c>
    </row>
    <row r="3751" spans="1:2" x14ac:dyDescent="0.2">
      <c r="A3751" s="2205" t="s">
        <v>10207</v>
      </c>
      <c r="B3751" s="2205">
        <v>13.02</v>
      </c>
    </row>
    <row r="3752" spans="1:2" x14ac:dyDescent="0.2">
      <c r="A3752" s="2205" t="s">
        <v>10208</v>
      </c>
      <c r="B3752" s="2205">
        <v>8.69</v>
      </c>
    </row>
    <row r="3753" spans="1:2" x14ac:dyDescent="0.2">
      <c r="A3753" s="2205" t="s">
        <v>10209</v>
      </c>
      <c r="B3753" s="2205">
        <v>9.69</v>
      </c>
    </row>
    <row r="3754" spans="1:2" x14ac:dyDescent="0.2">
      <c r="A3754" s="2205" t="s">
        <v>10210</v>
      </c>
      <c r="B3754" s="2205">
        <v>6226.54</v>
      </c>
    </row>
    <row r="3755" spans="1:2" x14ac:dyDescent="0.2">
      <c r="A3755" s="2205" t="s">
        <v>10211</v>
      </c>
      <c r="B3755" s="2205">
        <v>39.299999999999997</v>
      </c>
    </row>
    <row r="3756" spans="1:2" x14ac:dyDescent="0.2">
      <c r="A3756" s="2205" t="s">
        <v>10212</v>
      </c>
      <c r="B3756" s="2205">
        <v>9.1300000000000008</v>
      </c>
    </row>
    <row r="3757" spans="1:2" x14ac:dyDescent="0.2">
      <c r="A3757" s="2205" t="s">
        <v>10213</v>
      </c>
      <c r="B3757" s="2205">
        <v>20.93</v>
      </c>
    </row>
    <row r="3758" spans="1:2" x14ac:dyDescent="0.2">
      <c r="A3758" s="2205" t="s">
        <v>10214</v>
      </c>
      <c r="B3758" s="2205">
        <v>5.9</v>
      </c>
    </row>
    <row r="3759" spans="1:2" x14ac:dyDescent="0.2">
      <c r="A3759" s="2205" t="s">
        <v>10215</v>
      </c>
      <c r="B3759" s="2205">
        <v>55.81</v>
      </c>
    </row>
    <row r="3760" spans="1:2" x14ac:dyDescent="0.2">
      <c r="A3760" s="2205" t="s">
        <v>10216</v>
      </c>
      <c r="B3760" s="2205">
        <v>41.49</v>
      </c>
    </row>
    <row r="3761" spans="1:2" x14ac:dyDescent="0.2">
      <c r="A3761" s="2205" t="s">
        <v>10217</v>
      </c>
      <c r="B3761" s="2205">
        <v>25.42</v>
      </c>
    </row>
    <row r="3762" spans="1:2" x14ac:dyDescent="0.2">
      <c r="A3762" s="2205" t="s">
        <v>10218</v>
      </c>
      <c r="B3762" s="2205">
        <v>4.5199999999999996</v>
      </c>
    </row>
    <row r="3763" spans="1:2" x14ac:dyDescent="0.2">
      <c r="A3763" s="2205" t="s">
        <v>10219</v>
      </c>
      <c r="B3763" s="2205">
        <v>61.99</v>
      </c>
    </row>
    <row r="3764" spans="1:2" x14ac:dyDescent="0.2">
      <c r="A3764" s="2205" t="s">
        <v>10220</v>
      </c>
      <c r="B3764" s="2205">
        <v>139.59</v>
      </c>
    </row>
    <row r="3765" spans="1:2" x14ac:dyDescent="0.2">
      <c r="A3765" s="2205" t="s">
        <v>10221</v>
      </c>
      <c r="B3765" s="2205">
        <v>68.16</v>
      </c>
    </row>
    <row r="3766" spans="1:2" x14ac:dyDescent="0.2">
      <c r="A3766" s="2205" t="s">
        <v>10222</v>
      </c>
      <c r="B3766" s="2205">
        <v>82.65</v>
      </c>
    </row>
    <row r="3767" spans="1:2" x14ac:dyDescent="0.2">
      <c r="A3767" s="2205" t="s">
        <v>10223</v>
      </c>
      <c r="B3767" s="2205">
        <v>9.4700000000000006</v>
      </c>
    </row>
    <row r="3768" spans="1:2" x14ac:dyDescent="0.2">
      <c r="A3768" s="2205" t="s">
        <v>10224</v>
      </c>
      <c r="B3768" s="2205">
        <v>15.1</v>
      </c>
    </row>
    <row r="3769" spans="1:2" x14ac:dyDescent="0.2">
      <c r="A3769" s="2205" t="s">
        <v>10225</v>
      </c>
      <c r="B3769" s="2205">
        <v>0.59</v>
      </c>
    </row>
    <row r="3770" spans="1:2" x14ac:dyDescent="0.2">
      <c r="A3770" s="2205" t="s">
        <v>10226</v>
      </c>
      <c r="B3770" s="2205">
        <v>3545.31</v>
      </c>
    </row>
    <row r="3771" spans="1:2" x14ac:dyDescent="0.2">
      <c r="A3771" s="2205" t="s">
        <v>10227</v>
      </c>
      <c r="B3771" s="2205">
        <v>5.92</v>
      </c>
    </row>
    <row r="3772" spans="1:2" x14ac:dyDescent="0.2">
      <c r="A3772" s="2205" t="s">
        <v>10228</v>
      </c>
      <c r="B3772" s="2205">
        <v>17.170000000000002</v>
      </c>
    </row>
    <row r="3773" spans="1:2" x14ac:dyDescent="0.2">
      <c r="A3773" s="2205" t="s">
        <v>10229</v>
      </c>
      <c r="B3773" s="2205">
        <v>16.78</v>
      </c>
    </row>
    <row r="3774" spans="1:2" x14ac:dyDescent="0.2">
      <c r="A3774" s="2205" t="s">
        <v>10230</v>
      </c>
      <c r="B3774" s="2205">
        <v>51.82</v>
      </c>
    </row>
    <row r="3775" spans="1:2" x14ac:dyDescent="0.2">
      <c r="A3775" s="2205" t="s">
        <v>10231</v>
      </c>
      <c r="B3775" s="2205">
        <v>87.75</v>
      </c>
    </row>
    <row r="3776" spans="1:2" x14ac:dyDescent="0.2">
      <c r="A3776" s="2205" t="s">
        <v>10232</v>
      </c>
      <c r="B3776" s="2205">
        <v>1815.29</v>
      </c>
    </row>
    <row r="3777" spans="1:2" x14ac:dyDescent="0.2">
      <c r="A3777" s="2205" t="s">
        <v>10233</v>
      </c>
      <c r="B3777" s="2205">
        <v>323.48</v>
      </c>
    </row>
    <row r="3778" spans="1:2" x14ac:dyDescent="0.2">
      <c r="A3778" s="2205" t="s">
        <v>10234</v>
      </c>
      <c r="B3778" s="2205">
        <v>91.38</v>
      </c>
    </row>
    <row r="3779" spans="1:2" x14ac:dyDescent="0.2">
      <c r="A3779" s="2205" t="s">
        <v>10235</v>
      </c>
      <c r="B3779" s="2205">
        <v>47.13</v>
      </c>
    </row>
    <row r="3780" spans="1:2" x14ac:dyDescent="0.2">
      <c r="A3780" s="2205" t="s">
        <v>10236</v>
      </c>
      <c r="B3780" s="2205">
        <v>1051.27</v>
      </c>
    </row>
    <row r="3781" spans="1:2" x14ac:dyDescent="0.2">
      <c r="A3781" s="2205" t="s">
        <v>10237</v>
      </c>
      <c r="B3781" s="2205">
        <v>997.43</v>
      </c>
    </row>
    <row r="3782" spans="1:2" x14ac:dyDescent="0.2">
      <c r="A3782" s="2205" t="s">
        <v>10238</v>
      </c>
      <c r="B3782" s="2205">
        <v>449.93</v>
      </c>
    </row>
    <row r="3783" spans="1:2" x14ac:dyDescent="0.2">
      <c r="A3783" s="2205" t="s">
        <v>10239</v>
      </c>
      <c r="B3783" s="2205">
        <v>309.87</v>
      </c>
    </row>
    <row r="3784" spans="1:2" x14ac:dyDescent="0.2">
      <c r="A3784" s="2205" t="s">
        <v>10240</v>
      </c>
      <c r="B3784" s="2205">
        <v>715.14</v>
      </c>
    </row>
    <row r="3785" spans="1:2" x14ac:dyDescent="0.2">
      <c r="A3785" s="2205" t="s">
        <v>10241</v>
      </c>
      <c r="B3785" s="2205">
        <v>25.84</v>
      </c>
    </row>
    <row r="3786" spans="1:2" x14ac:dyDescent="0.2">
      <c r="A3786" s="2205" t="s">
        <v>10242</v>
      </c>
      <c r="B3786" s="2205">
        <v>69.91</v>
      </c>
    </row>
    <row r="3787" spans="1:2" x14ac:dyDescent="0.2">
      <c r="A3787" s="2205" t="s">
        <v>10243</v>
      </c>
      <c r="B3787" s="2205">
        <v>125.88</v>
      </c>
    </row>
    <row r="3788" spans="1:2" x14ac:dyDescent="0.2">
      <c r="A3788" s="2205" t="s">
        <v>10244</v>
      </c>
      <c r="B3788" s="2205">
        <v>5.63</v>
      </c>
    </row>
    <row r="3789" spans="1:2" x14ac:dyDescent="0.2">
      <c r="A3789" s="2205" t="s">
        <v>10245</v>
      </c>
      <c r="B3789" s="2205">
        <v>47.12</v>
      </c>
    </row>
    <row r="3790" spans="1:2" x14ac:dyDescent="0.2">
      <c r="A3790" s="2205" t="s">
        <v>10246</v>
      </c>
      <c r="B3790" s="2205">
        <v>51.33</v>
      </c>
    </row>
    <row r="3791" spans="1:2" x14ac:dyDescent="0.2">
      <c r="A3791" s="2205" t="s">
        <v>10247</v>
      </c>
      <c r="B3791" s="2205">
        <v>46.23</v>
      </c>
    </row>
    <row r="3792" spans="1:2" x14ac:dyDescent="0.2">
      <c r="A3792" s="2205" t="s">
        <v>10248</v>
      </c>
      <c r="B3792" s="2205">
        <v>624.96</v>
      </c>
    </row>
    <row r="3793" spans="1:2" x14ac:dyDescent="0.2">
      <c r="A3793" s="2205" t="s">
        <v>10249</v>
      </c>
      <c r="B3793" s="2205">
        <v>433.3</v>
      </c>
    </row>
    <row r="3794" spans="1:2" x14ac:dyDescent="0.2">
      <c r="A3794" s="2205" t="s">
        <v>10250</v>
      </c>
      <c r="B3794" s="2205">
        <v>56.94</v>
      </c>
    </row>
    <row r="3795" spans="1:2" x14ac:dyDescent="0.2">
      <c r="A3795" s="2205" t="s">
        <v>10251</v>
      </c>
      <c r="B3795" s="2205">
        <v>914.04</v>
      </c>
    </row>
    <row r="3796" spans="1:2" x14ac:dyDescent="0.2">
      <c r="A3796" s="2205" t="s">
        <v>10252</v>
      </c>
      <c r="B3796" s="2205">
        <v>857.41</v>
      </c>
    </row>
    <row r="3797" spans="1:2" x14ac:dyDescent="0.2">
      <c r="A3797" s="2205" t="s">
        <v>10253</v>
      </c>
      <c r="B3797" s="2205">
        <v>4.83</v>
      </c>
    </row>
    <row r="3798" spans="1:2" x14ac:dyDescent="0.2">
      <c r="A3798" s="2205" t="s">
        <v>10254</v>
      </c>
      <c r="B3798" s="2205">
        <v>11.02</v>
      </c>
    </row>
    <row r="3799" spans="1:2" x14ac:dyDescent="0.2">
      <c r="A3799" s="2205" t="s">
        <v>10255</v>
      </c>
      <c r="B3799" s="2205">
        <v>14.92</v>
      </c>
    </row>
    <row r="3800" spans="1:2" x14ac:dyDescent="0.2">
      <c r="A3800" s="2205" t="s">
        <v>10256</v>
      </c>
      <c r="B3800" s="2205">
        <v>267.19</v>
      </c>
    </row>
    <row r="3801" spans="1:2" x14ac:dyDescent="0.2">
      <c r="A3801" s="2205" t="s">
        <v>10257</v>
      </c>
      <c r="B3801" s="2205">
        <v>1727.64</v>
      </c>
    </row>
    <row r="3802" spans="1:2" x14ac:dyDescent="0.2">
      <c r="A3802" s="2205" t="s">
        <v>10258</v>
      </c>
      <c r="B3802" s="2205">
        <v>2.79</v>
      </c>
    </row>
    <row r="3803" spans="1:2" x14ac:dyDescent="0.2">
      <c r="A3803" s="2205" t="s">
        <v>10259</v>
      </c>
      <c r="B3803" s="2205">
        <v>5.35</v>
      </c>
    </row>
    <row r="3804" spans="1:2" x14ac:dyDescent="0.2">
      <c r="A3804" s="2205" t="s">
        <v>10260</v>
      </c>
      <c r="B3804" s="2205">
        <v>4.92</v>
      </c>
    </row>
    <row r="3805" spans="1:2" x14ac:dyDescent="0.2">
      <c r="A3805" s="2205" t="s">
        <v>10261</v>
      </c>
      <c r="B3805" s="2205">
        <v>89.12</v>
      </c>
    </row>
    <row r="3806" spans="1:2" x14ac:dyDescent="0.2">
      <c r="A3806" s="2205" t="s">
        <v>10262</v>
      </c>
      <c r="B3806" s="2205">
        <v>12.88</v>
      </c>
    </row>
    <row r="3807" spans="1:2" x14ac:dyDescent="0.2">
      <c r="A3807" s="2205" t="s">
        <v>10263</v>
      </c>
      <c r="B3807" s="2205">
        <v>135.24</v>
      </c>
    </row>
    <row r="3808" spans="1:2" x14ac:dyDescent="0.2">
      <c r="A3808" s="2205" t="s">
        <v>10264</v>
      </c>
      <c r="B3808" s="2205">
        <v>297.77</v>
      </c>
    </row>
    <row r="3809" spans="1:2" x14ac:dyDescent="0.2">
      <c r="A3809" s="2205" t="s">
        <v>10265</v>
      </c>
      <c r="B3809" s="2205">
        <v>2943.4</v>
      </c>
    </row>
    <row r="3810" spans="1:2" x14ac:dyDescent="0.2">
      <c r="A3810" s="2205" t="s">
        <v>10266</v>
      </c>
      <c r="B3810" s="2205">
        <v>8025.07</v>
      </c>
    </row>
    <row r="3811" spans="1:2" x14ac:dyDescent="0.2">
      <c r="A3811" s="2205" t="s">
        <v>10267</v>
      </c>
      <c r="B3811" s="2205">
        <v>51.71</v>
      </c>
    </row>
    <row r="3812" spans="1:2" x14ac:dyDescent="0.2">
      <c r="A3812" s="2205" t="s">
        <v>10268</v>
      </c>
      <c r="B3812" s="2205">
        <v>15.48</v>
      </c>
    </row>
    <row r="3813" spans="1:2" x14ac:dyDescent="0.2">
      <c r="A3813" s="2205" t="s">
        <v>10269</v>
      </c>
      <c r="B3813" s="2205">
        <v>1.78</v>
      </c>
    </row>
    <row r="3814" spans="1:2" x14ac:dyDescent="0.2">
      <c r="A3814" s="2205" t="s">
        <v>10270</v>
      </c>
      <c r="B3814" s="2205">
        <v>314.23</v>
      </c>
    </row>
    <row r="3815" spans="1:2" x14ac:dyDescent="0.2">
      <c r="A3815" s="2205" t="s">
        <v>10271</v>
      </c>
      <c r="B3815" s="2205">
        <v>1651.03</v>
      </c>
    </row>
    <row r="3816" spans="1:2" x14ac:dyDescent="0.2">
      <c r="A3816" s="2205" t="s">
        <v>10272</v>
      </c>
      <c r="B3816" s="2205">
        <v>265.55</v>
      </c>
    </row>
    <row r="3817" spans="1:2" x14ac:dyDescent="0.2">
      <c r="A3817" s="2205" t="s">
        <v>10273</v>
      </c>
      <c r="B3817" s="2205">
        <v>0.78</v>
      </c>
    </row>
    <row r="3818" spans="1:2" x14ac:dyDescent="0.2">
      <c r="A3818" s="2205" t="s">
        <v>10274</v>
      </c>
      <c r="B3818" s="2205">
        <v>9.27</v>
      </c>
    </row>
    <row r="3819" spans="1:2" x14ac:dyDescent="0.2">
      <c r="A3819" s="2205" t="s">
        <v>10275</v>
      </c>
      <c r="B3819" s="2205">
        <v>644.11</v>
      </c>
    </row>
    <row r="3820" spans="1:2" x14ac:dyDescent="0.2">
      <c r="A3820" s="2205" t="s">
        <v>10276</v>
      </c>
      <c r="B3820" s="2205">
        <v>269</v>
      </c>
    </row>
    <row r="3821" spans="1:2" x14ac:dyDescent="0.2">
      <c r="A3821" s="2205" t="s">
        <v>10277</v>
      </c>
      <c r="B3821" s="2205">
        <v>3.36</v>
      </c>
    </row>
    <row r="3822" spans="1:2" x14ac:dyDescent="0.2">
      <c r="A3822" s="2205" t="s">
        <v>10278</v>
      </c>
      <c r="B3822" s="2205">
        <v>267.70999999999998</v>
      </c>
    </row>
    <row r="3823" spans="1:2" x14ac:dyDescent="0.2">
      <c r="A3823" s="2205" t="s">
        <v>10279</v>
      </c>
      <c r="B3823" s="2205">
        <v>10.56</v>
      </c>
    </row>
    <row r="3824" spans="1:2" x14ac:dyDescent="0.2">
      <c r="A3824" s="2205" t="s">
        <v>10280</v>
      </c>
      <c r="B3824" s="2205">
        <v>236.88</v>
      </c>
    </row>
    <row r="3825" spans="1:2" x14ac:dyDescent="0.2">
      <c r="A3825" s="2205" t="s">
        <v>10281</v>
      </c>
      <c r="B3825" s="2205">
        <v>976.82</v>
      </c>
    </row>
    <row r="3826" spans="1:2" x14ac:dyDescent="0.2">
      <c r="A3826" s="2205" t="s">
        <v>10282</v>
      </c>
      <c r="B3826" s="2205">
        <v>50.32</v>
      </c>
    </row>
    <row r="3827" spans="1:2" x14ac:dyDescent="0.2">
      <c r="A3827" s="2205" t="s">
        <v>10283</v>
      </c>
      <c r="B3827" s="2205">
        <v>15.61</v>
      </c>
    </row>
    <row r="3828" spans="1:2" x14ac:dyDescent="0.2">
      <c r="A3828" s="2205" t="s">
        <v>10284</v>
      </c>
      <c r="B3828" s="2205">
        <v>117.76</v>
      </c>
    </row>
    <row r="3829" spans="1:2" x14ac:dyDescent="0.2">
      <c r="A3829" s="2205" t="s">
        <v>10285</v>
      </c>
      <c r="B3829" s="2205">
        <v>927.67</v>
      </c>
    </row>
    <row r="3830" spans="1:2" x14ac:dyDescent="0.2">
      <c r="A3830" s="2205" t="s">
        <v>10286</v>
      </c>
      <c r="B3830" s="2205">
        <v>568.11</v>
      </c>
    </row>
    <row r="3831" spans="1:2" x14ac:dyDescent="0.2">
      <c r="A3831" s="2205" t="s">
        <v>10287</v>
      </c>
      <c r="B3831" s="2205">
        <v>1778.12</v>
      </c>
    </row>
    <row r="3832" spans="1:2" x14ac:dyDescent="0.2">
      <c r="A3832" s="2205" t="s">
        <v>10288</v>
      </c>
      <c r="B3832" s="2205">
        <v>139.24</v>
      </c>
    </row>
    <row r="3833" spans="1:2" x14ac:dyDescent="0.2">
      <c r="A3833" s="2205" t="s">
        <v>10289</v>
      </c>
      <c r="B3833" s="2205">
        <v>1130.92</v>
      </c>
    </row>
    <row r="3834" spans="1:2" x14ac:dyDescent="0.2">
      <c r="A3834" s="2205" t="s">
        <v>10290</v>
      </c>
      <c r="B3834" s="2205">
        <v>196.72</v>
      </c>
    </row>
    <row r="3835" spans="1:2" x14ac:dyDescent="0.2">
      <c r="A3835" s="2205" t="s">
        <v>10291</v>
      </c>
      <c r="B3835" s="2205">
        <v>24.79</v>
      </c>
    </row>
    <row r="3836" spans="1:2" x14ac:dyDescent="0.2">
      <c r="A3836" s="2205" t="s">
        <v>2681</v>
      </c>
      <c r="B3836" s="2205">
        <v>621248.80000000005</v>
      </c>
    </row>
    <row r="3837" spans="1:2" x14ac:dyDescent="0.2">
      <c r="A3837" s="2205" t="s">
        <v>10292</v>
      </c>
      <c r="B3837" s="2205">
        <v>201.27</v>
      </c>
    </row>
    <row r="3838" spans="1:2" x14ac:dyDescent="0.2">
      <c r="A3838" s="2205" t="s">
        <v>10293</v>
      </c>
      <c r="B3838" s="2205">
        <v>5.33</v>
      </c>
    </row>
    <row r="3839" spans="1:2" x14ac:dyDescent="0.2">
      <c r="A3839" s="2205" t="s">
        <v>10294</v>
      </c>
      <c r="B3839" s="2205">
        <v>43.19</v>
      </c>
    </row>
    <row r="3840" spans="1:2" x14ac:dyDescent="0.2">
      <c r="A3840" s="2205" t="s">
        <v>10295</v>
      </c>
      <c r="B3840" s="2205">
        <v>557.75</v>
      </c>
    </row>
    <row r="3841" spans="1:2" x14ac:dyDescent="0.2">
      <c r="A3841" s="2205" t="s">
        <v>10296</v>
      </c>
      <c r="B3841" s="2205">
        <v>981.4</v>
      </c>
    </row>
    <row r="3842" spans="1:2" x14ac:dyDescent="0.2">
      <c r="A3842" s="2205" t="s">
        <v>10297</v>
      </c>
      <c r="B3842" s="2205">
        <v>145.61000000000001</v>
      </c>
    </row>
    <row r="3843" spans="1:2" x14ac:dyDescent="0.2">
      <c r="A3843" s="2205" t="s">
        <v>10298</v>
      </c>
      <c r="B3843" s="2205">
        <v>975.99</v>
      </c>
    </row>
    <row r="3844" spans="1:2" x14ac:dyDescent="0.2">
      <c r="A3844" s="2205" t="s">
        <v>10299</v>
      </c>
      <c r="B3844" s="2205">
        <v>4.83</v>
      </c>
    </row>
    <row r="3845" spans="1:2" x14ac:dyDescent="0.2">
      <c r="A3845" s="2205" t="s">
        <v>10300</v>
      </c>
      <c r="B3845" s="2205">
        <v>9996.93</v>
      </c>
    </row>
    <row r="3846" spans="1:2" x14ac:dyDescent="0.2">
      <c r="A3846" s="2205" t="s">
        <v>10301</v>
      </c>
      <c r="B3846" s="2205">
        <v>5.92</v>
      </c>
    </row>
    <row r="3847" spans="1:2" x14ac:dyDescent="0.2">
      <c r="A3847" s="2205" t="s">
        <v>10302</v>
      </c>
      <c r="B3847" s="2205">
        <v>2561.4</v>
      </c>
    </row>
    <row r="3848" spans="1:2" x14ac:dyDescent="0.2">
      <c r="A3848" s="2205" t="s">
        <v>10303</v>
      </c>
      <c r="B3848" s="2205">
        <v>1183.2</v>
      </c>
    </row>
    <row r="3849" spans="1:2" x14ac:dyDescent="0.2">
      <c r="A3849" s="2205" t="s">
        <v>10304</v>
      </c>
      <c r="B3849" s="2205">
        <v>36.04</v>
      </c>
    </row>
    <row r="3850" spans="1:2" x14ac:dyDescent="0.2">
      <c r="A3850" s="2205" t="s">
        <v>10305</v>
      </c>
      <c r="B3850" s="2205">
        <v>340.14</v>
      </c>
    </row>
    <row r="3851" spans="1:2" x14ac:dyDescent="0.2">
      <c r="A3851" s="2205" t="s">
        <v>10306</v>
      </c>
      <c r="B3851" s="2205">
        <v>122.13</v>
      </c>
    </row>
    <row r="3852" spans="1:2" x14ac:dyDescent="0.2">
      <c r="A3852" s="2205" t="s">
        <v>10307</v>
      </c>
      <c r="B3852" s="2205">
        <v>3.16</v>
      </c>
    </row>
    <row r="3853" spans="1:2" x14ac:dyDescent="0.2">
      <c r="A3853" s="2205" t="s">
        <v>10308</v>
      </c>
      <c r="B3853" s="2205">
        <v>5.72</v>
      </c>
    </row>
    <row r="3854" spans="1:2" x14ac:dyDescent="0.2">
      <c r="A3854" s="2205" t="s">
        <v>10309</v>
      </c>
      <c r="B3854" s="2205">
        <v>18.350000000000001</v>
      </c>
    </row>
    <row r="3855" spans="1:2" x14ac:dyDescent="0.2">
      <c r="A3855" s="2205" t="s">
        <v>10310</v>
      </c>
      <c r="B3855" s="2205">
        <v>151.75</v>
      </c>
    </row>
    <row r="3856" spans="1:2" x14ac:dyDescent="0.2">
      <c r="A3856" s="2205" t="s">
        <v>10311</v>
      </c>
      <c r="B3856" s="2205">
        <v>23.16</v>
      </c>
    </row>
    <row r="3857" spans="1:2" x14ac:dyDescent="0.2">
      <c r="A3857" s="2205" t="s">
        <v>10312</v>
      </c>
      <c r="B3857" s="2205">
        <v>80.510000000000005</v>
      </c>
    </row>
    <row r="3858" spans="1:2" x14ac:dyDescent="0.2">
      <c r="A3858" s="2205" t="s">
        <v>10313</v>
      </c>
      <c r="B3858" s="2205">
        <v>206.03</v>
      </c>
    </row>
    <row r="3859" spans="1:2" x14ac:dyDescent="0.2">
      <c r="A3859" s="2205" t="s">
        <v>10314</v>
      </c>
      <c r="B3859" s="2205">
        <v>1603.27</v>
      </c>
    </row>
    <row r="3860" spans="1:2" x14ac:dyDescent="0.2">
      <c r="A3860" s="2205" t="s">
        <v>10315</v>
      </c>
      <c r="B3860" s="2205">
        <v>380.89</v>
      </c>
    </row>
    <row r="3861" spans="1:2" x14ac:dyDescent="0.2">
      <c r="A3861" s="2205" t="s">
        <v>10316</v>
      </c>
      <c r="B3861" s="2205">
        <v>0.6</v>
      </c>
    </row>
    <row r="3862" spans="1:2" x14ac:dyDescent="0.2">
      <c r="A3862" s="2205" t="s">
        <v>10317</v>
      </c>
      <c r="B3862" s="2205">
        <v>3.75</v>
      </c>
    </row>
    <row r="3863" spans="1:2" x14ac:dyDescent="0.2">
      <c r="A3863" s="2205" t="s">
        <v>10318</v>
      </c>
      <c r="B3863" s="2205">
        <v>3.94</v>
      </c>
    </row>
    <row r="3864" spans="1:2" x14ac:dyDescent="0.2">
      <c r="A3864" s="2205" t="s">
        <v>10319</v>
      </c>
      <c r="B3864" s="2205">
        <v>42.77</v>
      </c>
    </row>
    <row r="3865" spans="1:2" x14ac:dyDescent="0.2">
      <c r="A3865" s="2205" t="s">
        <v>10320</v>
      </c>
      <c r="B3865" s="2205">
        <v>15.59</v>
      </c>
    </row>
    <row r="3866" spans="1:2" x14ac:dyDescent="0.2">
      <c r="A3866" s="2205" t="s">
        <v>10321</v>
      </c>
      <c r="B3866" s="2205">
        <v>4319.6400000000003</v>
      </c>
    </row>
    <row r="3867" spans="1:2" x14ac:dyDescent="0.2">
      <c r="A3867" s="2205" t="s">
        <v>10322</v>
      </c>
      <c r="B3867" s="2205">
        <v>0.78</v>
      </c>
    </row>
    <row r="3868" spans="1:2" x14ac:dyDescent="0.2">
      <c r="A3868" s="2205" t="s">
        <v>10323</v>
      </c>
      <c r="B3868" s="2205">
        <v>19.350000000000001</v>
      </c>
    </row>
    <row r="3869" spans="1:2" x14ac:dyDescent="0.2">
      <c r="A3869" s="2205" t="s">
        <v>10324</v>
      </c>
      <c r="B3869" s="2205">
        <v>10.24</v>
      </c>
    </row>
    <row r="3870" spans="1:2" x14ac:dyDescent="0.2">
      <c r="A3870" s="2205" t="s">
        <v>10325</v>
      </c>
      <c r="B3870" s="2205">
        <v>14.98</v>
      </c>
    </row>
    <row r="3871" spans="1:2" x14ac:dyDescent="0.2">
      <c r="A3871" s="2205" t="s">
        <v>10326</v>
      </c>
      <c r="B3871" s="2205">
        <v>27.51</v>
      </c>
    </row>
    <row r="3872" spans="1:2" x14ac:dyDescent="0.2">
      <c r="A3872" s="2205" t="s">
        <v>10327</v>
      </c>
      <c r="B3872" s="2205">
        <v>0.39</v>
      </c>
    </row>
    <row r="3873" spans="1:2" x14ac:dyDescent="0.2">
      <c r="A3873" s="2205" t="s">
        <v>10328</v>
      </c>
      <c r="B3873" s="2205">
        <v>1.77</v>
      </c>
    </row>
    <row r="3874" spans="1:2" x14ac:dyDescent="0.2">
      <c r="A3874" s="2205" t="s">
        <v>10329</v>
      </c>
      <c r="B3874" s="2205">
        <v>39.18</v>
      </c>
    </row>
    <row r="3875" spans="1:2" x14ac:dyDescent="0.2">
      <c r="A3875" s="2205" t="s">
        <v>10330</v>
      </c>
      <c r="B3875" s="2205">
        <v>288.89</v>
      </c>
    </row>
    <row r="3876" spans="1:2" x14ac:dyDescent="0.2">
      <c r="A3876" s="2205" t="s">
        <v>10331</v>
      </c>
      <c r="B3876" s="2205">
        <v>15397.94</v>
      </c>
    </row>
    <row r="3877" spans="1:2" x14ac:dyDescent="0.2">
      <c r="A3877" s="2205" t="s">
        <v>10332</v>
      </c>
      <c r="B3877" s="2205">
        <v>28.74</v>
      </c>
    </row>
    <row r="3878" spans="1:2" x14ac:dyDescent="0.2">
      <c r="A3878" s="2205" t="s">
        <v>10333</v>
      </c>
      <c r="B3878" s="2205">
        <v>625.46</v>
      </c>
    </row>
    <row r="3879" spans="1:2" x14ac:dyDescent="0.2">
      <c r="A3879" s="2205" t="s">
        <v>10334</v>
      </c>
      <c r="B3879" s="2205">
        <v>46.59</v>
      </c>
    </row>
    <row r="3880" spans="1:2" x14ac:dyDescent="0.2">
      <c r="A3880" s="2205" t="s">
        <v>10335</v>
      </c>
      <c r="B3880" s="2205">
        <v>492.91</v>
      </c>
    </row>
    <row r="3881" spans="1:2" x14ac:dyDescent="0.2">
      <c r="A3881" s="2205" t="s">
        <v>10336</v>
      </c>
      <c r="B3881" s="2205">
        <v>122.46</v>
      </c>
    </row>
    <row r="3882" spans="1:2" x14ac:dyDescent="0.2">
      <c r="A3882" s="2205" t="s">
        <v>10337</v>
      </c>
      <c r="B3882" s="2205">
        <v>33.869999999999997</v>
      </c>
    </row>
    <row r="3883" spans="1:2" x14ac:dyDescent="0.2">
      <c r="A3883" s="2205" t="s">
        <v>10338</v>
      </c>
      <c r="B3883" s="2205">
        <v>24.04</v>
      </c>
    </row>
    <row r="3884" spans="1:2" x14ac:dyDescent="0.2">
      <c r="A3884" s="2205" t="s">
        <v>10339</v>
      </c>
      <c r="B3884" s="2205">
        <v>196.56</v>
      </c>
    </row>
    <row r="3885" spans="1:2" x14ac:dyDescent="0.2">
      <c r="A3885" s="2205" t="s">
        <v>1482</v>
      </c>
      <c r="B3885" s="2205">
        <v>170669.04</v>
      </c>
    </row>
    <row r="3886" spans="1:2" x14ac:dyDescent="0.2">
      <c r="A3886" s="2205" t="s">
        <v>10340</v>
      </c>
      <c r="B3886" s="2205">
        <v>326.87</v>
      </c>
    </row>
    <row r="3887" spans="1:2" x14ac:dyDescent="0.2">
      <c r="A3887" s="2205" t="s">
        <v>10341</v>
      </c>
      <c r="B3887" s="2205">
        <v>418.89</v>
      </c>
    </row>
    <row r="3888" spans="1:2" x14ac:dyDescent="0.2">
      <c r="A3888" s="2205" t="s">
        <v>10342</v>
      </c>
      <c r="B3888" s="2205">
        <v>192.56</v>
      </c>
    </row>
    <row r="3889" spans="1:2" x14ac:dyDescent="0.2">
      <c r="A3889" s="2205" t="s">
        <v>10343</v>
      </c>
      <c r="B3889" s="2205">
        <v>36.97</v>
      </c>
    </row>
    <row r="3890" spans="1:2" x14ac:dyDescent="0.2">
      <c r="A3890" s="2205" t="s">
        <v>10344</v>
      </c>
      <c r="B3890" s="2205">
        <v>658.73</v>
      </c>
    </row>
    <row r="3891" spans="1:2" x14ac:dyDescent="0.2">
      <c r="A3891" s="2205" t="s">
        <v>10345</v>
      </c>
      <c r="B3891" s="2205">
        <v>40.54</v>
      </c>
    </row>
    <row r="3892" spans="1:2" x14ac:dyDescent="0.2">
      <c r="A3892" s="2205" t="s">
        <v>10346</v>
      </c>
      <c r="B3892" s="2205">
        <v>92.9</v>
      </c>
    </row>
    <row r="3893" spans="1:2" x14ac:dyDescent="0.2">
      <c r="A3893" s="2205" t="s">
        <v>10347</v>
      </c>
      <c r="B3893" s="2205">
        <v>781.1</v>
      </c>
    </row>
    <row r="3894" spans="1:2" x14ac:dyDescent="0.2">
      <c r="A3894" s="2205" t="s">
        <v>10348</v>
      </c>
      <c r="B3894" s="2205">
        <v>4264.3900000000003</v>
      </c>
    </row>
    <row r="3895" spans="1:2" x14ac:dyDescent="0.2">
      <c r="A3895" s="2205" t="s">
        <v>10349</v>
      </c>
      <c r="B3895" s="2205">
        <v>920.58</v>
      </c>
    </row>
    <row r="3896" spans="1:2" x14ac:dyDescent="0.2">
      <c r="A3896" s="2205" t="s">
        <v>10350</v>
      </c>
      <c r="B3896" s="2205">
        <v>91.99</v>
      </c>
    </row>
    <row r="3897" spans="1:2" x14ac:dyDescent="0.2">
      <c r="A3897" s="2205" t="s">
        <v>10351</v>
      </c>
      <c r="B3897" s="2205">
        <v>39.03</v>
      </c>
    </row>
    <row r="3898" spans="1:2" x14ac:dyDescent="0.2">
      <c r="A3898" s="2205" t="s">
        <v>10352</v>
      </c>
      <c r="B3898" s="2205">
        <v>19.38</v>
      </c>
    </row>
    <row r="3899" spans="1:2" x14ac:dyDescent="0.2">
      <c r="A3899" s="2205" t="s">
        <v>10353</v>
      </c>
      <c r="B3899" s="2205">
        <v>7.9</v>
      </c>
    </row>
    <row r="3900" spans="1:2" x14ac:dyDescent="0.2">
      <c r="A3900" s="2205" t="s">
        <v>10354</v>
      </c>
      <c r="B3900" s="2205">
        <v>29.81</v>
      </c>
    </row>
    <row r="3901" spans="1:2" x14ac:dyDescent="0.2">
      <c r="A3901" s="2205" t="s">
        <v>10355</v>
      </c>
      <c r="B3901" s="2205">
        <v>22.77</v>
      </c>
    </row>
    <row r="3902" spans="1:2" x14ac:dyDescent="0.2">
      <c r="A3902" s="2205" t="s">
        <v>10356</v>
      </c>
      <c r="B3902" s="2205">
        <v>0.57999999999999996</v>
      </c>
    </row>
    <row r="3903" spans="1:2" x14ac:dyDescent="0.2">
      <c r="A3903" s="2205" t="s">
        <v>10357</v>
      </c>
      <c r="B3903" s="2205">
        <v>0.36</v>
      </c>
    </row>
    <row r="3904" spans="1:2" x14ac:dyDescent="0.2">
      <c r="A3904" s="2205" t="s">
        <v>10358</v>
      </c>
      <c r="B3904" s="2205">
        <v>20.05</v>
      </c>
    </row>
    <row r="3905" spans="1:2" x14ac:dyDescent="0.2">
      <c r="A3905" s="2205" t="s">
        <v>10359</v>
      </c>
      <c r="B3905" s="2205">
        <v>43.91</v>
      </c>
    </row>
    <row r="3906" spans="1:2" x14ac:dyDescent="0.2">
      <c r="A3906" s="2205" t="s">
        <v>10360</v>
      </c>
      <c r="B3906" s="2205">
        <v>390.29</v>
      </c>
    </row>
    <row r="3907" spans="1:2" x14ac:dyDescent="0.2">
      <c r="A3907" s="2205" t="s">
        <v>10361</v>
      </c>
      <c r="B3907" s="2205">
        <v>414.89</v>
      </c>
    </row>
    <row r="3908" spans="1:2" x14ac:dyDescent="0.2">
      <c r="A3908" s="2205" t="s">
        <v>10362</v>
      </c>
      <c r="B3908" s="2205">
        <v>169.78</v>
      </c>
    </row>
    <row r="3909" spans="1:2" x14ac:dyDescent="0.2">
      <c r="A3909" s="2205" t="s">
        <v>10363</v>
      </c>
      <c r="B3909" s="2205">
        <v>97.25</v>
      </c>
    </row>
    <row r="3910" spans="1:2" x14ac:dyDescent="0.2">
      <c r="A3910" s="2205" t="s">
        <v>10364</v>
      </c>
      <c r="B3910" s="2205">
        <v>0</v>
      </c>
    </row>
    <row r="3911" spans="1:2" x14ac:dyDescent="0.2">
      <c r="A3911" s="2205" t="s">
        <v>10365</v>
      </c>
      <c r="B3911" s="2205">
        <v>5.14</v>
      </c>
    </row>
    <row r="3912" spans="1:2" x14ac:dyDescent="0.2">
      <c r="A3912" s="2205" t="s">
        <v>10366</v>
      </c>
      <c r="B3912" s="2205">
        <v>2.8</v>
      </c>
    </row>
    <row r="3913" spans="1:2" x14ac:dyDescent="0.2">
      <c r="A3913" s="2205" t="s">
        <v>10367</v>
      </c>
      <c r="B3913" s="2205">
        <v>2.2999999999999998</v>
      </c>
    </row>
    <row r="3914" spans="1:2" x14ac:dyDescent="0.2">
      <c r="A3914" s="2205" t="s">
        <v>10368</v>
      </c>
      <c r="B3914" s="2205">
        <v>9241.56</v>
      </c>
    </row>
    <row r="3915" spans="1:2" x14ac:dyDescent="0.2">
      <c r="A3915" s="2205" t="s">
        <v>10369</v>
      </c>
      <c r="B3915" s="2205">
        <v>10.77</v>
      </c>
    </row>
    <row r="3916" spans="1:2" x14ac:dyDescent="0.2">
      <c r="A3916" s="2205" t="s">
        <v>10370</v>
      </c>
      <c r="B3916" s="2205">
        <v>3.36</v>
      </c>
    </row>
    <row r="3917" spans="1:2" x14ac:dyDescent="0.2">
      <c r="A3917" s="2205" t="s">
        <v>10371</v>
      </c>
      <c r="B3917" s="2205">
        <v>80.17</v>
      </c>
    </row>
    <row r="3918" spans="1:2" x14ac:dyDescent="0.2">
      <c r="A3918" s="2205" t="s">
        <v>10372</v>
      </c>
      <c r="B3918" s="2205">
        <v>1228.56</v>
      </c>
    </row>
    <row r="3919" spans="1:2" x14ac:dyDescent="0.2">
      <c r="A3919" s="2205" t="s">
        <v>10373</v>
      </c>
      <c r="B3919" s="2205">
        <v>722.74</v>
      </c>
    </row>
    <row r="3920" spans="1:2" x14ac:dyDescent="0.2">
      <c r="A3920" s="2205" t="s">
        <v>719</v>
      </c>
      <c r="B3920" s="2205">
        <v>386349.52</v>
      </c>
    </row>
    <row r="3921" spans="1:2" x14ac:dyDescent="0.2">
      <c r="A3921" s="2205" t="s">
        <v>10374</v>
      </c>
      <c r="B3921" s="2205">
        <v>44.12</v>
      </c>
    </row>
    <row r="3922" spans="1:2" x14ac:dyDescent="0.2">
      <c r="A3922" s="2205" t="s">
        <v>10375</v>
      </c>
      <c r="B3922" s="2205">
        <v>0.38</v>
      </c>
    </row>
    <row r="3923" spans="1:2" x14ac:dyDescent="0.2">
      <c r="A3923" s="2205" t="s">
        <v>10376</v>
      </c>
      <c r="B3923" s="2205">
        <v>3149.3</v>
      </c>
    </row>
    <row r="3924" spans="1:2" x14ac:dyDescent="0.2">
      <c r="A3924" s="2205" t="s">
        <v>10377</v>
      </c>
      <c r="B3924" s="2205">
        <v>4.75</v>
      </c>
    </row>
    <row r="3925" spans="1:2" x14ac:dyDescent="0.2">
      <c r="A3925" s="2205" t="s">
        <v>10378</v>
      </c>
      <c r="B3925" s="2205">
        <v>25.39</v>
      </c>
    </row>
    <row r="3926" spans="1:2" x14ac:dyDescent="0.2">
      <c r="A3926" s="2205" t="s">
        <v>10379</v>
      </c>
      <c r="B3926" s="2205">
        <v>76.489999999999995</v>
      </c>
    </row>
    <row r="3927" spans="1:2" x14ac:dyDescent="0.2">
      <c r="A3927" s="2205" t="s">
        <v>10380</v>
      </c>
      <c r="B3927" s="2205">
        <v>181.64</v>
      </c>
    </row>
    <row r="3928" spans="1:2" x14ac:dyDescent="0.2">
      <c r="A3928" s="2205" t="s">
        <v>10381</v>
      </c>
      <c r="B3928" s="2205">
        <v>48.08</v>
      </c>
    </row>
    <row r="3929" spans="1:2" x14ac:dyDescent="0.2">
      <c r="A3929" s="2205" t="s">
        <v>10382</v>
      </c>
      <c r="B3929" s="2205">
        <v>1167.75</v>
      </c>
    </row>
    <row r="3930" spans="1:2" x14ac:dyDescent="0.2">
      <c r="A3930" s="2205" t="s">
        <v>10383</v>
      </c>
      <c r="B3930" s="2205">
        <v>1376.17</v>
      </c>
    </row>
    <row r="3931" spans="1:2" x14ac:dyDescent="0.2">
      <c r="A3931" s="2205" t="s">
        <v>10384</v>
      </c>
      <c r="B3931" s="2205">
        <v>11.29</v>
      </c>
    </row>
    <row r="3932" spans="1:2" x14ac:dyDescent="0.2">
      <c r="A3932" s="2205" t="s">
        <v>10385</v>
      </c>
      <c r="B3932" s="2205">
        <v>712.66</v>
      </c>
    </row>
    <row r="3933" spans="1:2" x14ac:dyDescent="0.2">
      <c r="A3933" s="2205" t="s">
        <v>10386</v>
      </c>
      <c r="B3933" s="2205">
        <v>19.72</v>
      </c>
    </row>
    <row r="3934" spans="1:2" x14ac:dyDescent="0.2">
      <c r="A3934" s="2205" t="s">
        <v>10387</v>
      </c>
      <c r="B3934" s="2205">
        <v>115.88</v>
      </c>
    </row>
    <row r="3935" spans="1:2" x14ac:dyDescent="0.2">
      <c r="A3935" s="2205" t="s">
        <v>10388</v>
      </c>
      <c r="B3935" s="2205">
        <v>23.45</v>
      </c>
    </row>
    <row r="3936" spans="1:2" x14ac:dyDescent="0.2">
      <c r="A3936" s="2205" t="s">
        <v>10389</v>
      </c>
      <c r="B3936" s="2205">
        <v>5093.3999999999996</v>
      </c>
    </row>
    <row r="3937" spans="1:2" x14ac:dyDescent="0.2">
      <c r="A3937" s="2205" t="s">
        <v>443</v>
      </c>
      <c r="B3937" s="2205">
        <v>716556.79</v>
      </c>
    </row>
    <row r="3938" spans="1:2" x14ac:dyDescent="0.2">
      <c r="A3938" s="2205" t="s">
        <v>10390</v>
      </c>
      <c r="B3938" s="2205">
        <v>8666.35</v>
      </c>
    </row>
    <row r="3939" spans="1:2" x14ac:dyDescent="0.2">
      <c r="A3939" s="2205" t="s">
        <v>10391</v>
      </c>
      <c r="B3939" s="2205">
        <v>1780.46</v>
      </c>
    </row>
    <row r="3940" spans="1:2" x14ac:dyDescent="0.2">
      <c r="A3940" s="2205" t="s">
        <v>10392</v>
      </c>
      <c r="B3940" s="2205">
        <v>645.17999999999995</v>
      </c>
    </row>
    <row r="3941" spans="1:2" x14ac:dyDescent="0.2">
      <c r="A3941" s="2205" t="s">
        <v>10393</v>
      </c>
      <c r="B3941" s="2205">
        <v>756.89</v>
      </c>
    </row>
    <row r="3942" spans="1:2" x14ac:dyDescent="0.2">
      <c r="A3942" s="2205" t="s">
        <v>10394</v>
      </c>
      <c r="B3942" s="2205">
        <v>80.64</v>
      </c>
    </row>
    <row r="3943" spans="1:2" x14ac:dyDescent="0.2">
      <c r="A3943" s="2205" t="s">
        <v>10395</v>
      </c>
      <c r="B3943" s="2205">
        <v>21.73</v>
      </c>
    </row>
    <row r="3944" spans="1:2" x14ac:dyDescent="0.2">
      <c r="A3944" s="2205" t="s">
        <v>10396</v>
      </c>
      <c r="B3944" s="2205">
        <v>-3.68</v>
      </c>
    </row>
    <row r="3945" spans="1:2" x14ac:dyDescent="0.2">
      <c r="A3945" s="2205" t="s">
        <v>10397</v>
      </c>
      <c r="B3945" s="2205">
        <v>394.97</v>
      </c>
    </row>
    <row r="3946" spans="1:2" x14ac:dyDescent="0.2">
      <c r="A3946" s="2205" t="s">
        <v>10398</v>
      </c>
      <c r="B3946" s="2205">
        <v>529.24</v>
      </c>
    </row>
    <row r="3947" spans="1:2" x14ac:dyDescent="0.2">
      <c r="A3947" s="2205" t="s">
        <v>10399</v>
      </c>
      <c r="B3947" s="2205">
        <v>190.97</v>
      </c>
    </row>
    <row r="3948" spans="1:2" x14ac:dyDescent="0.2">
      <c r="A3948" s="2205" t="s">
        <v>10400</v>
      </c>
      <c r="B3948" s="2205">
        <v>5321.87</v>
      </c>
    </row>
    <row r="3949" spans="1:2" x14ac:dyDescent="0.2">
      <c r="A3949" s="2205" t="s">
        <v>10401</v>
      </c>
      <c r="B3949" s="2205">
        <v>157.72999999999999</v>
      </c>
    </row>
    <row r="3950" spans="1:2" x14ac:dyDescent="0.2">
      <c r="A3950" s="2205" t="s">
        <v>10402</v>
      </c>
      <c r="B3950" s="2205">
        <v>21.09</v>
      </c>
    </row>
    <row r="3951" spans="1:2" x14ac:dyDescent="0.2">
      <c r="A3951" s="2205" t="s">
        <v>10403</v>
      </c>
      <c r="B3951" s="2205">
        <v>63.27</v>
      </c>
    </row>
    <row r="3952" spans="1:2" x14ac:dyDescent="0.2">
      <c r="A3952" s="2205" t="s">
        <v>10404</v>
      </c>
      <c r="B3952" s="2205">
        <v>422.95</v>
      </c>
    </row>
    <row r="3953" spans="1:2" x14ac:dyDescent="0.2">
      <c r="A3953" s="2205" t="s">
        <v>10405</v>
      </c>
      <c r="B3953" s="2205">
        <v>591.54</v>
      </c>
    </row>
    <row r="3954" spans="1:2" x14ac:dyDescent="0.2">
      <c r="A3954" s="2205" t="s">
        <v>10406</v>
      </c>
      <c r="B3954" s="2205">
        <v>921.93</v>
      </c>
    </row>
    <row r="3955" spans="1:2" x14ac:dyDescent="0.2">
      <c r="A3955" s="2205" t="s">
        <v>10407</v>
      </c>
      <c r="B3955" s="2205">
        <v>207.54</v>
      </c>
    </row>
    <row r="3956" spans="1:2" x14ac:dyDescent="0.2">
      <c r="A3956" s="2205" t="s">
        <v>10408</v>
      </c>
      <c r="B3956" s="2205">
        <v>118.89</v>
      </c>
    </row>
    <row r="3957" spans="1:2" x14ac:dyDescent="0.2">
      <c r="A3957" s="2205" t="s">
        <v>10409</v>
      </c>
      <c r="B3957" s="2205">
        <v>125.06</v>
      </c>
    </row>
    <row r="3958" spans="1:2" x14ac:dyDescent="0.2">
      <c r="A3958" s="2205" t="s">
        <v>10410</v>
      </c>
      <c r="B3958" s="2205">
        <v>20184.650000000001</v>
      </c>
    </row>
    <row r="3959" spans="1:2" x14ac:dyDescent="0.2">
      <c r="A3959" s="2205" t="s">
        <v>10411</v>
      </c>
      <c r="B3959" s="2205">
        <v>22.59</v>
      </c>
    </row>
    <row r="3960" spans="1:2" x14ac:dyDescent="0.2">
      <c r="A3960" s="2205" t="s">
        <v>10412</v>
      </c>
      <c r="B3960" s="2205">
        <v>28.92</v>
      </c>
    </row>
    <row r="3961" spans="1:2" x14ac:dyDescent="0.2">
      <c r="A3961" s="2205" t="s">
        <v>10413</v>
      </c>
      <c r="B3961" s="2205">
        <v>60.47</v>
      </c>
    </row>
    <row r="3962" spans="1:2" x14ac:dyDescent="0.2">
      <c r="A3962" s="2205" t="s">
        <v>10414</v>
      </c>
      <c r="B3962" s="2205">
        <v>2610.9499999999998</v>
      </c>
    </row>
    <row r="3963" spans="1:2" x14ac:dyDescent="0.2">
      <c r="A3963" s="2205" t="s">
        <v>10415</v>
      </c>
      <c r="B3963" s="2205">
        <v>867.86</v>
      </c>
    </row>
    <row r="3964" spans="1:2" x14ac:dyDescent="0.2">
      <c r="A3964" s="2205" t="s">
        <v>621</v>
      </c>
      <c r="B3964" s="2205">
        <v>907566.28</v>
      </c>
    </row>
    <row r="3965" spans="1:2" x14ac:dyDescent="0.2">
      <c r="A3965" s="2205" t="s">
        <v>10416</v>
      </c>
      <c r="B3965" s="2205">
        <v>345.35</v>
      </c>
    </row>
    <row r="3966" spans="1:2" x14ac:dyDescent="0.2">
      <c r="A3966" s="2205" t="s">
        <v>10417</v>
      </c>
      <c r="B3966" s="2205">
        <v>8755.34</v>
      </c>
    </row>
    <row r="3967" spans="1:2" x14ac:dyDescent="0.2">
      <c r="A3967" s="2205" t="s">
        <v>10418</v>
      </c>
      <c r="B3967" s="2205">
        <v>0</v>
      </c>
    </row>
    <row r="3968" spans="1:2" x14ac:dyDescent="0.2">
      <c r="A3968" s="2205" t="s">
        <v>10419</v>
      </c>
      <c r="B3968" s="2205">
        <v>1333.44</v>
      </c>
    </row>
    <row r="3969" spans="1:2" x14ac:dyDescent="0.2">
      <c r="A3969" s="2205" t="s">
        <v>10420</v>
      </c>
      <c r="B3969" s="2205">
        <v>884.14</v>
      </c>
    </row>
    <row r="3970" spans="1:2" x14ac:dyDescent="0.2">
      <c r="A3970" s="2205" t="s">
        <v>10421</v>
      </c>
      <c r="B3970" s="2205">
        <v>507.74</v>
      </c>
    </row>
    <row r="3971" spans="1:2" x14ac:dyDescent="0.2">
      <c r="A3971" s="2205" t="s">
        <v>10422</v>
      </c>
      <c r="B3971" s="2205">
        <v>266.58</v>
      </c>
    </row>
    <row r="3972" spans="1:2" x14ac:dyDescent="0.2">
      <c r="A3972" s="2205" t="s">
        <v>10423</v>
      </c>
      <c r="B3972" s="2205">
        <v>187.5</v>
      </c>
    </row>
    <row r="3973" spans="1:2" x14ac:dyDescent="0.2">
      <c r="A3973" s="2205" t="s">
        <v>10424</v>
      </c>
      <c r="B3973" s="2205">
        <v>21.73</v>
      </c>
    </row>
    <row r="3974" spans="1:2" x14ac:dyDescent="0.2">
      <c r="A3974" s="2205" t="s">
        <v>10425</v>
      </c>
      <c r="B3974" s="2205">
        <v>80.88</v>
      </c>
    </row>
    <row r="3975" spans="1:2" x14ac:dyDescent="0.2">
      <c r="A3975" s="2205" t="s">
        <v>10426</v>
      </c>
      <c r="B3975" s="2205">
        <v>4371.7700000000004</v>
      </c>
    </row>
    <row r="3976" spans="1:2" x14ac:dyDescent="0.2">
      <c r="A3976" s="2205" t="s">
        <v>10427</v>
      </c>
      <c r="B3976" s="2205">
        <v>696.53</v>
      </c>
    </row>
    <row r="3977" spans="1:2" x14ac:dyDescent="0.2">
      <c r="A3977" s="2205" t="s">
        <v>10428</v>
      </c>
      <c r="B3977" s="2205">
        <v>87.18</v>
      </c>
    </row>
    <row r="3978" spans="1:2" x14ac:dyDescent="0.2">
      <c r="A3978" s="2205" t="s">
        <v>10429</v>
      </c>
      <c r="B3978" s="2205">
        <v>20.18</v>
      </c>
    </row>
    <row r="3979" spans="1:2" x14ac:dyDescent="0.2">
      <c r="A3979" s="2205" t="s">
        <v>10430</v>
      </c>
      <c r="B3979" s="2205">
        <v>21.09</v>
      </c>
    </row>
    <row r="3980" spans="1:2" x14ac:dyDescent="0.2">
      <c r="A3980" s="2205" t="s">
        <v>10431</v>
      </c>
      <c r="B3980" s="2205">
        <v>19.72</v>
      </c>
    </row>
    <row r="3981" spans="1:2" x14ac:dyDescent="0.2">
      <c r="A3981" s="2205" t="s">
        <v>10432</v>
      </c>
      <c r="B3981" s="2205">
        <v>600.53</v>
      </c>
    </row>
    <row r="3982" spans="1:2" x14ac:dyDescent="0.2">
      <c r="A3982" s="2205" t="s">
        <v>10433</v>
      </c>
      <c r="B3982" s="2205">
        <v>359.56</v>
      </c>
    </row>
    <row r="3983" spans="1:2" x14ac:dyDescent="0.2">
      <c r="A3983" s="2205" t="s">
        <v>10434</v>
      </c>
      <c r="B3983" s="2205">
        <v>126.98</v>
      </c>
    </row>
    <row r="3984" spans="1:2" x14ac:dyDescent="0.2">
      <c r="A3984" s="2205" t="s">
        <v>10435</v>
      </c>
      <c r="B3984" s="2205">
        <v>5209.8900000000003</v>
      </c>
    </row>
    <row r="3985" spans="1:2" x14ac:dyDescent="0.2">
      <c r="A3985" s="2205" t="s">
        <v>10436</v>
      </c>
      <c r="B3985" s="2205">
        <v>337.08</v>
      </c>
    </row>
    <row r="3986" spans="1:2" x14ac:dyDescent="0.2">
      <c r="A3986" s="2205" t="s">
        <v>10437</v>
      </c>
      <c r="B3986" s="2205">
        <v>2607.87</v>
      </c>
    </row>
    <row r="3987" spans="1:2" x14ac:dyDescent="0.2">
      <c r="A3987" s="2205" t="s">
        <v>10438</v>
      </c>
      <c r="B3987" s="2205">
        <v>39.44</v>
      </c>
    </row>
    <row r="3988" spans="1:2" x14ac:dyDescent="0.2">
      <c r="A3988" s="2205" t="s">
        <v>10439</v>
      </c>
      <c r="B3988" s="2205">
        <v>1401.95</v>
      </c>
    </row>
    <row r="3989" spans="1:2" x14ac:dyDescent="0.2">
      <c r="A3989" s="2205" t="s">
        <v>10440</v>
      </c>
      <c r="B3989" s="2205">
        <v>23.12</v>
      </c>
    </row>
    <row r="3990" spans="1:2" x14ac:dyDescent="0.2">
      <c r="A3990" s="2205" t="s">
        <v>10441</v>
      </c>
      <c r="B3990" s="2205">
        <v>197.3</v>
      </c>
    </row>
    <row r="3991" spans="1:2" x14ac:dyDescent="0.2">
      <c r="A3991" s="2205" t="s">
        <v>10442</v>
      </c>
      <c r="B3991" s="2205">
        <v>290.48</v>
      </c>
    </row>
    <row r="3992" spans="1:2" x14ac:dyDescent="0.2">
      <c r="A3992" s="2205" t="s">
        <v>10443</v>
      </c>
      <c r="B3992" s="2205">
        <v>1894.58</v>
      </c>
    </row>
    <row r="3993" spans="1:2" x14ac:dyDescent="0.2">
      <c r="A3993" s="2205" t="s">
        <v>10444</v>
      </c>
      <c r="B3993" s="2205">
        <v>336.58</v>
      </c>
    </row>
    <row r="3994" spans="1:2" x14ac:dyDescent="0.2">
      <c r="A3994" s="2205" t="s">
        <v>10445</v>
      </c>
      <c r="B3994" s="2205">
        <v>96.39</v>
      </c>
    </row>
    <row r="3995" spans="1:2" x14ac:dyDescent="0.2">
      <c r="A3995" s="2205" t="s">
        <v>10446</v>
      </c>
      <c r="B3995" s="2205">
        <v>1739.06</v>
      </c>
    </row>
    <row r="3996" spans="1:2" x14ac:dyDescent="0.2">
      <c r="A3996" s="2205" t="s">
        <v>10447</v>
      </c>
      <c r="B3996" s="2205">
        <v>54.81</v>
      </c>
    </row>
    <row r="3997" spans="1:2" x14ac:dyDescent="0.2">
      <c r="A3997" s="2205" t="s">
        <v>10448</v>
      </c>
      <c r="B3997" s="2205">
        <v>1518.47</v>
      </c>
    </row>
    <row r="3998" spans="1:2" x14ac:dyDescent="0.2">
      <c r="A3998" s="2205" t="s">
        <v>10449</v>
      </c>
      <c r="B3998" s="2205">
        <v>21.09</v>
      </c>
    </row>
    <row r="3999" spans="1:2" x14ac:dyDescent="0.2">
      <c r="A3999" s="2205" t="s">
        <v>10450</v>
      </c>
      <c r="B3999" s="2205">
        <v>2204.59</v>
      </c>
    </row>
    <row r="4000" spans="1:2" x14ac:dyDescent="0.2">
      <c r="A4000" s="2205" t="s">
        <v>10451</v>
      </c>
      <c r="B4000" s="2205">
        <v>480.5</v>
      </c>
    </row>
    <row r="4001" spans="1:2" x14ac:dyDescent="0.2">
      <c r="A4001" s="2205" t="s">
        <v>10452</v>
      </c>
      <c r="B4001" s="2205">
        <v>162.01</v>
      </c>
    </row>
    <row r="4002" spans="1:2" x14ac:dyDescent="0.2">
      <c r="A4002" s="2205" t="s">
        <v>10453</v>
      </c>
      <c r="B4002" s="2205">
        <v>5948.56</v>
      </c>
    </row>
    <row r="4003" spans="1:2" x14ac:dyDescent="0.2">
      <c r="A4003" s="2205" t="s">
        <v>10454</v>
      </c>
      <c r="B4003" s="2205">
        <v>415.94</v>
      </c>
    </row>
    <row r="4004" spans="1:2" x14ac:dyDescent="0.2">
      <c r="A4004" s="2205" t="s">
        <v>10455</v>
      </c>
      <c r="B4004" s="2205">
        <v>1048.94</v>
      </c>
    </row>
    <row r="4005" spans="1:2" x14ac:dyDescent="0.2">
      <c r="A4005" s="2205" t="s">
        <v>10456</v>
      </c>
      <c r="B4005" s="2205">
        <v>2185.38</v>
      </c>
    </row>
    <row r="4006" spans="1:2" x14ac:dyDescent="0.2">
      <c r="A4006" s="2205" t="s">
        <v>10457</v>
      </c>
      <c r="B4006" s="2205">
        <v>1902.03</v>
      </c>
    </row>
    <row r="4007" spans="1:2" x14ac:dyDescent="0.2">
      <c r="A4007" s="2205" t="s">
        <v>10458</v>
      </c>
      <c r="B4007" s="2205">
        <v>3456.49</v>
      </c>
    </row>
    <row r="4008" spans="1:2" x14ac:dyDescent="0.2">
      <c r="A4008" s="2205" t="s">
        <v>10459</v>
      </c>
      <c r="B4008" s="2205">
        <v>4882.8599999999997</v>
      </c>
    </row>
    <row r="4009" spans="1:2" x14ac:dyDescent="0.2">
      <c r="A4009" s="2205" t="s">
        <v>10460</v>
      </c>
      <c r="B4009" s="2205">
        <v>323.26</v>
      </c>
    </row>
    <row r="4010" spans="1:2" x14ac:dyDescent="0.2">
      <c r="A4010" s="2205" t="s">
        <v>10461</v>
      </c>
      <c r="B4010" s="2205">
        <v>192.78</v>
      </c>
    </row>
    <row r="4011" spans="1:2" x14ac:dyDescent="0.2">
      <c r="A4011" s="2205" t="s">
        <v>10462</v>
      </c>
      <c r="B4011" s="2205">
        <v>225.91</v>
      </c>
    </row>
    <row r="4012" spans="1:2" x14ac:dyDescent="0.2">
      <c r="A4012" s="2205" t="s">
        <v>2764</v>
      </c>
      <c r="B4012" s="2205">
        <v>992234.83</v>
      </c>
    </row>
    <row r="4013" spans="1:2" x14ac:dyDescent="0.2">
      <c r="A4013" s="2205" t="s">
        <v>10463</v>
      </c>
      <c r="B4013" s="2205">
        <v>21.73</v>
      </c>
    </row>
    <row r="4014" spans="1:2" x14ac:dyDescent="0.2">
      <c r="A4014" s="2205" t="s">
        <v>10464</v>
      </c>
      <c r="B4014" s="2205">
        <v>142</v>
      </c>
    </row>
    <row r="4015" spans="1:2" x14ac:dyDescent="0.2">
      <c r="A4015" s="2205" t="s">
        <v>10465</v>
      </c>
      <c r="B4015" s="2205">
        <v>137.41</v>
      </c>
    </row>
    <row r="4016" spans="1:2" x14ac:dyDescent="0.2">
      <c r="A4016" s="2205" t="s">
        <v>10466</v>
      </c>
      <c r="B4016" s="2205">
        <v>20.350000000000001</v>
      </c>
    </row>
    <row r="4017" spans="1:2" x14ac:dyDescent="0.2">
      <c r="A4017" s="2205" t="s">
        <v>10467</v>
      </c>
      <c r="B4017" s="2205">
        <v>38.119999999999997</v>
      </c>
    </row>
    <row r="4018" spans="1:2" x14ac:dyDescent="0.2">
      <c r="A4018" s="2205" t="s">
        <v>10468</v>
      </c>
      <c r="B4018" s="2205">
        <v>217.31</v>
      </c>
    </row>
    <row r="4019" spans="1:2" x14ac:dyDescent="0.2">
      <c r="A4019" s="2205" t="s">
        <v>10469</v>
      </c>
      <c r="B4019" s="2205">
        <v>57.84</v>
      </c>
    </row>
    <row r="4020" spans="1:2" x14ac:dyDescent="0.2">
      <c r="A4020" s="2205" t="s">
        <v>10470</v>
      </c>
      <c r="B4020" s="2205">
        <v>849.73</v>
      </c>
    </row>
    <row r="4021" spans="1:2" x14ac:dyDescent="0.2">
      <c r="A4021" s="2205" t="s">
        <v>10471</v>
      </c>
      <c r="B4021" s="2205">
        <v>139.1</v>
      </c>
    </row>
    <row r="4022" spans="1:2" x14ac:dyDescent="0.2">
      <c r="A4022" s="2205" t="s">
        <v>10472</v>
      </c>
      <c r="B4022" s="2205">
        <v>22.59</v>
      </c>
    </row>
    <row r="4023" spans="1:2" x14ac:dyDescent="0.2">
      <c r="A4023" s="2205" t="s">
        <v>10473</v>
      </c>
      <c r="B4023" s="2205">
        <v>81.39</v>
      </c>
    </row>
    <row r="4024" spans="1:2" x14ac:dyDescent="0.2">
      <c r="A4024" s="2205" t="s">
        <v>10474</v>
      </c>
      <c r="B4024" s="2205">
        <v>5931.76</v>
      </c>
    </row>
    <row r="4025" spans="1:2" x14ac:dyDescent="0.2">
      <c r="A4025" s="2205" t="s">
        <v>10475</v>
      </c>
      <c r="B4025" s="2205">
        <v>204.07</v>
      </c>
    </row>
    <row r="4026" spans="1:2" x14ac:dyDescent="0.2">
      <c r="A4026" s="2205" t="s">
        <v>10476</v>
      </c>
      <c r="B4026" s="2205">
        <v>325.54000000000002</v>
      </c>
    </row>
    <row r="4027" spans="1:2" x14ac:dyDescent="0.2">
      <c r="A4027" s="2205" t="s">
        <v>77</v>
      </c>
      <c r="B4027" s="2205">
        <v>759488.39</v>
      </c>
    </row>
    <row r="4028" spans="1:2" x14ac:dyDescent="0.2">
      <c r="A4028" s="2205" t="s">
        <v>10477</v>
      </c>
      <c r="B4028" s="2205">
        <v>9551.19</v>
      </c>
    </row>
    <row r="4029" spans="1:2" x14ac:dyDescent="0.2">
      <c r="A4029" s="2205" t="s">
        <v>10478</v>
      </c>
      <c r="B4029" s="2205">
        <v>1001.61</v>
      </c>
    </row>
    <row r="4030" spans="1:2" x14ac:dyDescent="0.2">
      <c r="A4030" s="2205" t="s">
        <v>10479</v>
      </c>
      <c r="B4030" s="2205">
        <v>105.15</v>
      </c>
    </row>
    <row r="4031" spans="1:2" x14ac:dyDescent="0.2">
      <c r="A4031" s="2205" t="s">
        <v>10480</v>
      </c>
      <c r="B4031" s="2205">
        <v>460.04</v>
      </c>
    </row>
    <row r="4032" spans="1:2" x14ac:dyDescent="0.2">
      <c r="A4032" s="2205" t="s">
        <v>10481</v>
      </c>
      <c r="B4032" s="2205">
        <v>151.55000000000001</v>
      </c>
    </row>
    <row r="4033" spans="1:2" x14ac:dyDescent="0.2">
      <c r="A4033" s="2205" t="s">
        <v>10482</v>
      </c>
      <c r="B4033" s="2205">
        <v>19.72</v>
      </c>
    </row>
    <row r="4034" spans="1:2" x14ac:dyDescent="0.2">
      <c r="A4034" s="2205" t="s">
        <v>10483</v>
      </c>
      <c r="B4034" s="2205">
        <v>129.51</v>
      </c>
    </row>
    <row r="4035" spans="1:2" x14ac:dyDescent="0.2">
      <c r="A4035" s="2205" t="s">
        <v>10484</v>
      </c>
      <c r="B4035" s="2205">
        <v>129.74</v>
      </c>
    </row>
    <row r="4036" spans="1:2" x14ac:dyDescent="0.2">
      <c r="A4036" s="2205" t="s">
        <v>829</v>
      </c>
      <c r="B4036" s="2205">
        <v>156667.51999999999</v>
      </c>
    </row>
    <row r="4037" spans="1:2" x14ac:dyDescent="0.2">
      <c r="A4037" s="2205" t="s">
        <v>10485</v>
      </c>
      <c r="B4037" s="2205">
        <v>329.08</v>
      </c>
    </row>
    <row r="4038" spans="1:2" x14ac:dyDescent="0.2">
      <c r="A4038" s="2205" t="s">
        <v>10486</v>
      </c>
      <c r="B4038" s="2205">
        <v>188.78</v>
      </c>
    </row>
    <row r="4039" spans="1:2" x14ac:dyDescent="0.2">
      <c r="A4039" s="2205" t="s">
        <v>10487</v>
      </c>
      <c r="B4039" s="2205">
        <v>150.13999999999999</v>
      </c>
    </row>
    <row r="4040" spans="1:2" x14ac:dyDescent="0.2">
      <c r="A4040" s="2205" t="s">
        <v>10488</v>
      </c>
      <c r="B4040" s="2205">
        <v>90.36</v>
      </c>
    </row>
    <row r="4041" spans="1:2" x14ac:dyDescent="0.2">
      <c r="A4041" s="2205" t="s">
        <v>10489</v>
      </c>
      <c r="B4041" s="2205">
        <v>5163.34</v>
      </c>
    </row>
    <row r="4042" spans="1:2" x14ac:dyDescent="0.2">
      <c r="A4042" s="2205" t="s">
        <v>10490</v>
      </c>
      <c r="B4042" s="2205">
        <v>57.17</v>
      </c>
    </row>
    <row r="4043" spans="1:2" x14ac:dyDescent="0.2">
      <c r="A4043" s="2205" t="s">
        <v>10491</v>
      </c>
      <c r="B4043" s="2205">
        <v>20.350000000000001</v>
      </c>
    </row>
    <row r="4044" spans="1:2" x14ac:dyDescent="0.2">
      <c r="A4044" s="2205" t="s">
        <v>10492</v>
      </c>
      <c r="B4044" s="2205">
        <v>88.64</v>
      </c>
    </row>
    <row r="4045" spans="1:2" x14ac:dyDescent="0.2">
      <c r="A4045" s="2205" t="s">
        <v>10493</v>
      </c>
      <c r="B4045" s="2205">
        <v>42.3</v>
      </c>
    </row>
    <row r="4046" spans="1:2" x14ac:dyDescent="0.2">
      <c r="A4046" s="2205" t="s">
        <v>10494</v>
      </c>
      <c r="B4046" s="2205">
        <v>130.37</v>
      </c>
    </row>
    <row r="4047" spans="1:2" x14ac:dyDescent="0.2">
      <c r="A4047" s="2205" t="s">
        <v>10495</v>
      </c>
      <c r="B4047" s="2205">
        <v>347026.66</v>
      </c>
    </row>
    <row r="4048" spans="1:2" x14ac:dyDescent="0.2">
      <c r="A4048" s="2205" t="s">
        <v>10496</v>
      </c>
      <c r="B4048" s="2205">
        <v>156.33000000000001</v>
      </c>
    </row>
    <row r="4049" spans="1:2" x14ac:dyDescent="0.2">
      <c r="A4049" s="2205" t="s">
        <v>10497</v>
      </c>
      <c r="B4049" s="2205">
        <v>955.29</v>
      </c>
    </row>
    <row r="4050" spans="1:2" x14ac:dyDescent="0.2">
      <c r="A4050" s="2205" t="s">
        <v>10498</v>
      </c>
      <c r="B4050" s="2205">
        <v>1606.44</v>
      </c>
    </row>
    <row r="4051" spans="1:2" x14ac:dyDescent="0.2">
      <c r="A4051" s="2205" t="s">
        <v>10499</v>
      </c>
      <c r="B4051" s="2205">
        <v>20.239999999999998</v>
      </c>
    </row>
    <row r="4052" spans="1:2" x14ac:dyDescent="0.2">
      <c r="A4052" s="2205" t="s">
        <v>10500</v>
      </c>
      <c r="B4052" s="2205">
        <v>43.46</v>
      </c>
    </row>
    <row r="4053" spans="1:2" x14ac:dyDescent="0.2">
      <c r="A4053" s="2205" t="s">
        <v>10501</v>
      </c>
      <c r="B4053" s="2205">
        <v>60.86</v>
      </c>
    </row>
    <row r="4054" spans="1:2" x14ac:dyDescent="0.2">
      <c r="A4054" s="2205" t="s">
        <v>10502</v>
      </c>
      <c r="B4054" s="2205">
        <v>63.73</v>
      </c>
    </row>
    <row r="4055" spans="1:2" x14ac:dyDescent="0.2">
      <c r="A4055" s="2205" t="s">
        <v>10503</v>
      </c>
      <c r="B4055" s="2205">
        <v>173.82</v>
      </c>
    </row>
    <row r="4056" spans="1:2" x14ac:dyDescent="0.2">
      <c r="A4056" s="2205" t="s">
        <v>10504</v>
      </c>
      <c r="B4056" s="2205">
        <v>43.46</v>
      </c>
    </row>
    <row r="4057" spans="1:2" x14ac:dyDescent="0.2">
      <c r="A4057" s="2205" t="s">
        <v>10505</v>
      </c>
      <c r="B4057" s="2205">
        <v>666.92</v>
      </c>
    </row>
    <row r="4058" spans="1:2" x14ac:dyDescent="0.2">
      <c r="A4058" s="2205" t="s">
        <v>10506</v>
      </c>
      <c r="B4058" s="2205">
        <v>114.1</v>
      </c>
    </row>
    <row r="4059" spans="1:2" x14ac:dyDescent="0.2">
      <c r="A4059" s="2205" t="s">
        <v>10507</v>
      </c>
      <c r="B4059" s="2205">
        <v>2665.05</v>
      </c>
    </row>
    <row r="4060" spans="1:2" x14ac:dyDescent="0.2">
      <c r="A4060" s="2205" t="s">
        <v>10508</v>
      </c>
      <c r="B4060" s="2205">
        <v>120.27</v>
      </c>
    </row>
    <row r="4061" spans="1:2" x14ac:dyDescent="0.2">
      <c r="A4061" s="2205" t="s">
        <v>10509</v>
      </c>
      <c r="B4061" s="2205">
        <v>57.84</v>
      </c>
    </row>
    <row r="4062" spans="1:2" x14ac:dyDescent="0.2">
      <c r="A4062" s="2205" t="s">
        <v>10510</v>
      </c>
      <c r="B4062" s="2205">
        <v>98.54</v>
      </c>
    </row>
    <row r="4063" spans="1:2" x14ac:dyDescent="0.2">
      <c r="A4063" s="2205" t="s">
        <v>10511</v>
      </c>
      <c r="B4063" s="2205">
        <v>28.92</v>
      </c>
    </row>
    <row r="4064" spans="1:2" x14ac:dyDescent="0.2">
      <c r="A4064" s="2205" t="s">
        <v>10512</v>
      </c>
      <c r="B4064" s="2205">
        <v>239.15</v>
      </c>
    </row>
    <row r="4065" spans="1:2" x14ac:dyDescent="0.2">
      <c r="A4065" s="2205" t="s">
        <v>10513</v>
      </c>
      <c r="B4065" s="2205">
        <v>78.19</v>
      </c>
    </row>
    <row r="4066" spans="1:2" x14ac:dyDescent="0.2">
      <c r="A4066" s="2205" t="s">
        <v>10514</v>
      </c>
      <c r="B4066" s="2205">
        <v>1502.5</v>
      </c>
    </row>
    <row r="4067" spans="1:2" x14ac:dyDescent="0.2">
      <c r="A4067" s="2205" t="s">
        <v>10515</v>
      </c>
      <c r="B4067" s="2205">
        <v>39.46</v>
      </c>
    </row>
    <row r="4068" spans="1:2" x14ac:dyDescent="0.2">
      <c r="A4068" s="2205" t="s">
        <v>10516</v>
      </c>
      <c r="B4068" s="2205">
        <v>99.92</v>
      </c>
    </row>
    <row r="4069" spans="1:2" x14ac:dyDescent="0.2">
      <c r="A4069" s="2205" t="s">
        <v>10517</v>
      </c>
      <c r="B4069" s="2205">
        <v>71.150000000000006</v>
      </c>
    </row>
    <row r="4070" spans="1:2" x14ac:dyDescent="0.2">
      <c r="A4070" s="2205" t="s">
        <v>10518</v>
      </c>
      <c r="B4070" s="2205">
        <v>331.48</v>
      </c>
    </row>
    <row r="4071" spans="1:2" x14ac:dyDescent="0.2">
      <c r="A4071" s="2205" t="s">
        <v>10519</v>
      </c>
      <c r="B4071" s="2205">
        <v>12018.71</v>
      </c>
    </row>
    <row r="4072" spans="1:2" x14ac:dyDescent="0.2">
      <c r="A4072" s="2205" t="s">
        <v>10520</v>
      </c>
      <c r="B4072" s="2205">
        <v>519.54999999999995</v>
      </c>
    </row>
    <row r="4073" spans="1:2" x14ac:dyDescent="0.2">
      <c r="A4073" s="2205" t="s">
        <v>10521</v>
      </c>
      <c r="B4073" s="2205">
        <v>4117.38</v>
      </c>
    </row>
    <row r="4074" spans="1:2" x14ac:dyDescent="0.2">
      <c r="A4074" s="2205" t="s">
        <v>10522</v>
      </c>
      <c r="B4074" s="2205">
        <v>22.59</v>
      </c>
    </row>
    <row r="4075" spans="1:2" x14ac:dyDescent="0.2">
      <c r="A4075" s="2205" t="s">
        <v>10523</v>
      </c>
      <c r="B4075" s="2205">
        <v>11268.45</v>
      </c>
    </row>
    <row r="4076" spans="1:2" x14ac:dyDescent="0.2">
      <c r="A4076" s="2205" t="s">
        <v>10524</v>
      </c>
      <c r="B4076" s="2205">
        <v>10665.13</v>
      </c>
    </row>
    <row r="4077" spans="1:2" x14ac:dyDescent="0.2">
      <c r="A4077" s="2205" t="s">
        <v>10525</v>
      </c>
      <c r="B4077" s="2205">
        <v>8572.1</v>
      </c>
    </row>
    <row r="4078" spans="1:2" x14ac:dyDescent="0.2">
      <c r="A4078" s="2205" t="s">
        <v>10526</v>
      </c>
      <c r="B4078" s="2205">
        <v>7108</v>
      </c>
    </row>
    <row r="4079" spans="1:2" x14ac:dyDescent="0.2">
      <c r="A4079" s="2205" t="s">
        <v>224</v>
      </c>
      <c r="B4079" s="2205">
        <v>237356.94</v>
      </c>
    </row>
    <row r="4080" spans="1:2" x14ac:dyDescent="0.2">
      <c r="A4080" s="2205" t="s">
        <v>10527</v>
      </c>
      <c r="B4080" s="2205">
        <v>115.88</v>
      </c>
    </row>
    <row r="4081" spans="1:2" x14ac:dyDescent="0.2">
      <c r="A4081" s="2205" t="s">
        <v>10528</v>
      </c>
      <c r="B4081" s="2205">
        <v>446.43</v>
      </c>
    </row>
    <row r="4082" spans="1:2" x14ac:dyDescent="0.2">
      <c r="A4082" s="2205" t="s">
        <v>10529</v>
      </c>
      <c r="B4082" s="2205">
        <v>76.23</v>
      </c>
    </row>
    <row r="4083" spans="1:2" x14ac:dyDescent="0.2">
      <c r="A4083" s="2205" t="s">
        <v>10530</v>
      </c>
      <c r="B4083" s="2205">
        <v>840.16</v>
      </c>
    </row>
    <row r="4084" spans="1:2" x14ac:dyDescent="0.2">
      <c r="A4084" s="2205" t="s">
        <v>10531</v>
      </c>
      <c r="B4084" s="2205">
        <v>46.9</v>
      </c>
    </row>
    <row r="4085" spans="1:2" x14ac:dyDescent="0.2">
      <c r="A4085" s="2205" t="s">
        <v>10532</v>
      </c>
      <c r="B4085" s="2205">
        <v>604.41999999999996</v>
      </c>
    </row>
    <row r="4086" spans="1:2" x14ac:dyDescent="0.2">
      <c r="A4086" s="2205" t="s">
        <v>10533</v>
      </c>
      <c r="B4086" s="2205">
        <v>1945.92</v>
      </c>
    </row>
    <row r="4087" spans="1:2" x14ac:dyDescent="0.2">
      <c r="A4087" s="2205" t="s">
        <v>10534</v>
      </c>
      <c r="B4087" s="2205">
        <v>37.85</v>
      </c>
    </row>
    <row r="4088" spans="1:2" x14ac:dyDescent="0.2">
      <c r="A4088" s="2205" t="s">
        <v>10535</v>
      </c>
      <c r="B4088" s="2205">
        <v>117.03</v>
      </c>
    </row>
    <row r="4089" spans="1:2" x14ac:dyDescent="0.2">
      <c r="A4089" s="2205" t="s">
        <v>10536</v>
      </c>
      <c r="B4089" s="2205">
        <v>21.09</v>
      </c>
    </row>
    <row r="4090" spans="1:2" x14ac:dyDescent="0.2">
      <c r="A4090" s="2205" t="s">
        <v>10537</v>
      </c>
      <c r="B4090" s="2205">
        <v>4016.07</v>
      </c>
    </row>
    <row r="4091" spans="1:2" x14ac:dyDescent="0.2">
      <c r="A4091" s="2205" t="s">
        <v>10538</v>
      </c>
      <c r="B4091" s="2205">
        <v>1765.59</v>
      </c>
    </row>
    <row r="4092" spans="1:2" x14ac:dyDescent="0.2">
      <c r="A4092" s="2205" t="s">
        <v>10539</v>
      </c>
      <c r="B4092" s="2205">
        <v>3161.64</v>
      </c>
    </row>
    <row r="4093" spans="1:2" x14ac:dyDescent="0.2">
      <c r="A4093" s="2205" t="s">
        <v>10540</v>
      </c>
      <c r="B4093" s="2205">
        <v>4294.53</v>
      </c>
    </row>
    <row r="4094" spans="1:2" x14ac:dyDescent="0.2">
      <c r="A4094" s="2205" t="s">
        <v>10541</v>
      </c>
      <c r="B4094" s="2205">
        <v>-10.93</v>
      </c>
    </row>
    <row r="4095" spans="1:2" x14ac:dyDescent="0.2">
      <c r="A4095" s="2205" t="s">
        <v>10542</v>
      </c>
      <c r="B4095" s="2205">
        <v>71722.460000000006</v>
      </c>
    </row>
    <row r="4096" spans="1:2" x14ac:dyDescent="0.2">
      <c r="A4096" s="2205" t="s">
        <v>10543</v>
      </c>
      <c r="B4096" s="2205">
        <v>21.09</v>
      </c>
    </row>
    <row r="4097" spans="1:2" x14ac:dyDescent="0.2">
      <c r="A4097" s="2205" t="s">
        <v>10544</v>
      </c>
      <c r="B4097" s="2205">
        <v>3112.06</v>
      </c>
    </row>
    <row r="4098" spans="1:2" x14ac:dyDescent="0.2">
      <c r="A4098" s="2205" t="s">
        <v>10545</v>
      </c>
      <c r="B4098" s="2205">
        <v>7.56</v>
      </c>
    </row>
    <row r="4099" spans="1:2" x14ac:dyDescent="0.2">
      <c r="A4099" s="2205" t="s">
        <v>10546</v>
      </c>
      <c r="B4099" s="2205">
        <v>21.09</v>
      </c>
    </row>
    <row r="4100" spans="1:2" x14ac:dyDescent="0.2">
      <c r="A4100" s="2205" t="s">
        <v>10547</v>
      </c>
      <c r="B4100" s="2205">
        <v>15400.46</v>
      </c>
    </row>
    <row r="4101" spans="1:2" x14ac:dyDescent="0.2">
      <c r="A4101" s="2205" t="s">
        <v>10548</v>
      </c>
      <c r="B4101" s="2205">
        <v>21.09</v>
      </c>
    </row>
    <row r="4102" spans="1:2" x14ac:dyDescent="0.2">
      <c r="A4102" s="2205" t="s">
        <v>10549</v>
      </c>
      <c r="B4102" s="2205">
        <v>336.6</v>
      </c>
    </row>
    <row r="4103" spans="1:2" x14ac:dyDescent="0.2">
      <c r="A4103" s="2205" t="s">
        <v>10550</v>
      </c>
      <c r="B4103" s="2205">
        <v>175.82</v>
      </c>
    </row>
    <row r="4104" spans="1:2" x14ac:dyDescent="0.2">
      <c r="A4104" s="2205" t="s">
        <v>10551</v>
      </c>
      <c r="B4104" s="2205">
        <v>12.44</v>
      </c>
    </row>
    <row r="4105" spans="1:2" x14ac:dyDescent="0.2">
      <c r="A4105" s="2205" t="s">
        <v>10552</v>
      </c>
      <c r="B4105" s="2205">
        <v>337.19</v>
      </c>
    </row>
    <row r="4106" spans="1:2" x14ac:dyDescent="0.2">
      <c r="A4106" s="2205" t="s">
        <v>10553</v>
      </c>
      <c r="B4106" s="2205">
        <v>849.99</v>
      </c>
    </row>
    <row r="4107" spans="1:2" x14ac:dyDescent="0.2">
      <c r="A4107" s="2205" t="s">
        <v>10554</v>
      </c>
      <c r="B4107" s="2205">
        <v>185.49</v>
      </c>
    </row>
    <row r="4108" spans="1:2" x14ac:dyDescent="0.2">
      <c r="A4108" s="2205" t="s">
        <v>10555</v>
      </c>
      <c r="B4108" s="2205">
        <v>56.86</v>
      </c>
    </row>
    <row r="4109" spans="1:2" x14ac:dyDescent="0.2">
      <c r="A4109" s="2205" t="s">
        <v>10556</v>
      </c>
      <c r="B4109" s="2205">
        <v>3063.04</v>
      </c>
    </row>
    <row r="4110" spans="1:2" x14ac:dyDescent="0.2">
      <c r="A4110" s="2205" t="s">
        <v>10557</v>
      </c>
      <c r="B4110" s="2205">
        <v>995.29</v>
      </c>
    </row>
    <row r="4111" spans="1:2" x14ac:dyDescent="0.2">
      <c r="A4111" s="2205" t="s">
        <v>10558</v>
      </c>
      <c r="B4111" s="2205">
        <v>9949.43</v>
      </c>
    </row>
    <row r="4112" spans="1:2" x14ac:dyDescent="0.2">
      <c r="A4112" s="2205" t="s">
        <v>10559</v>
      </c>
      <c r="B4112" s="2205">
        <v>494.01</v>
      </c>
    </row>
    <row r="4113" spans="1:2" x14ac:dyDescent="0.2">
      <c r="A4113" s="2205" t="s">
        <v>10560</v>
      </c>
      <c r="B4113" s="2205">
        <v>83.66</v>
      </c>
    </row>
    <row r="4114" spans="1:2" x14ac:dyDescent="0.2">
      <c r="A4114" s="2205" t="s">
        <v>10561</v>
      </c>
      <c r="B4114" s="2205">
        <v>21.09</v>
      </c>
    </row>
    <row r="4115" spans="1:2" x14ac:dyDescent="0.2">
      <c r="A4115" s="2205" t="s">
        <v>10562</v>
      </c>
      <c r="B4115" s="2205">
        <v>42.18</v>
      </c>
    </row>
    <row r="4116" spans="1:2" x14ac:dyDescent="0.2">
      <c r="A4116" s="2205" t="s">
        <v>10563</v>
      </c>
      <c r="B4116" s="2205">
        <v>245.5</v>
      </c>
    </row>
    <row r="4117" spans="1:2" x14ac:dyDescent="0.2">
      <c r="A4117" s="2205" t="s">
        <v>10564</v>
      </c>
      <c r="B4117" s="2205">
        <v>205.46</v>
      </c>
    </row>
    <row r="4118" spans="1:2" x14ac:dyDescent="0.2">
      <c r="A4118" s="2205" t="s">
        <v>10565</v>
      </c>
      <c r="B4118" s="2205">
        <v>22.66</v>
      </c>
    </row>
    <row r="4119" spans="1:2" x14ac:dyDescent="0.2">
      <c r="A4119" s="2205" t="s">
        <v>10566</v>
      </c>
      <c r="B4119" s="2205">
        <v>23.45</v>
      </c>
    </row>
    <row r="4120" spans="1:2" x14ac:dyDescent="0.2">
      <c r="A4120" s="2205" t="s">
        <v>10567</v>
      </c>
      <c r="B4120" s="2205">
        <v>57.84</v>
      </c>
    </row>
    <row r="4121" spans="1:2" x14ac:dyDescent="0.2">
      <c r="A4121" s="2205" t="s">
        <v>157</v>
      </c>
      <c r="B4121" s="2205">
        <v>831979.37</v>
      </c>
    </row>
    <row r="4122" spans="1:2" x14ac:dyDescent="0.2">
      <c r="A4122" s="2205" t="s">
        <v>10568</v>
      </c>
      <c r="B4122" s="2205">
        <v>341.57</v>
      </c>
    </row>
    <row r="4123" spans="1:2" x14ac:dyDescent="0.2">
      <c r="A4123" s="2205" t="s">
        <v>10569</v>
      </c>
      <c r="B4123" s="2205">
        <v>321.87</v>
      </c>
    </row>
    <row r="4124" spans="1:2" x14ac:dyDescent="0.2">
      <c r="A4124" s="2205" t="s">
        <v>10570</v>
      </c>
      <c r="B4124" s="2205">
        <v>21.09</v>
      </c>
    </row>
    <row r="4125" spans="1:2" x14ac:dyDescent="0.2">
      <c r="A4125" s="2205" t="s">
        <v>10571</v>
      </c>
      <c r="B4125" s="2205">
        <v>72.599999999999994</v>
      </c>
    </row>
    <row r="4126" spans="1:2" x14ac:dyDescent="0.2">
      <c r="A4126" s="2205" t="s">
        <v>10572</v>
      </c>
      <c r="B4126" s="2205">
        <v>21.09</v>
      </c>
    </row>
    <row r="4127" spans="1:2" x14ac:dyDescent="0.2">
      <c r="A4127" s="2205" t="s">
        <v>10573</v>
      </c>
      <c r="B4127" s="2205">
        <v>57.84</v>
      </c>
    </row>
    <row r="4128" spans="1:2" x14ac:dyDescent="0.2">
      <c r="A4128" s="2205" t="s">
        <v>10574</v>
      </c>
      <c r="B4128" s="2205">
        <v>84.36</v>
      </c>
    </row>
    <row r="4129" spans="1:2" x14ac:dyDescent="0.2">
      <c r="A4129" s="2205" t="s">
        <v>10575</v>
      </c>
      <c r="B4129" s="2205">
        <v>170.21</v>
      </c>
    </row>
    <row r="4130" spans="1:2" x14ac:dyDescent="0.2">
      <c r="A4130" s="2205" t="s">
        <v>158</v>
      </c>
      <c r="B4130" s="2205">
        <v>740544.04</v>
      </c>
    </row>
    <row r="4131" spans="1:2" x14ac:dyDescent="0.2">
      <c r="A4131" s="2205" t="s">
        <v>10576</v>
      </c>
      <c r="B4131" s="2205">
        <v>107.82</v>
      </c>
    </row>
    <row r="4132" spans="1:2" x14ac:dyDescent="0.2">
      <c r="A4132" s="2205" t="s">
        <v>10577</v>
      </c>
      <c r="B4132" s="2205">
        <v>713.01</v>
      </c>
    </row>
    <row r="4133" spans="1:2" x14ac:dyDescent="0.2">
      <c r="A4133" s="2205" t="s">
        <v>10578</v>
      </c>
      <c r="B4133" s="2205">
        <v>128.88999999999999</v>
      </c>
    </row>
    <row r="4134" spans="1:2" x14ac:dyDescent="0.2">
      <c r="A4134" s="2205" t="s">
        <v>10579</v>
      </c>
      <c r="B4134" s="2205">
        <v>73.19</v>
      </c>
    </row>
    <row r="4135" spans="1:2" x14ac:dyDescent="0.2">
      <c r="A4135" s="2205" t="s">
        <v>10580</v>
      </c>
      <c r="B4135" s="2205">
        <v>126.89</v>
      </c>
    </row>
    <row r="4136" spans="1:2" x14ac:dyDescent="0.2">
      <c r="A4136" s="2205" t="s">
        <v>10581</v>
      </c>
      <c r="B4136" s="2205">
        <v>108.99</v>
      </c>
    </row>
    <row r="4137" spans="1:2" x14ac:dyDescent="0.2">
      <c r="A4137" s="2205" t="s">
        <v>10582</v>
      </c>
      <c r="B4137" s="2205">
        <v>104.33</v>
      </c>
    </row>
    <row r="4138" spans="1:2" x14ac:dyDescent="0.2">
      <c r="A4138" s="2205" t="s">
        <v>10583</v>
      </c>
      <c r="B4138" s="2205">
        <v>548.61</v>
      </c>
    </row>
    <row r="4139" spans="1:2" x14ac:dyDescent="0.2">
      <c r="A4139" s="2205" t="s">
        <v>1694</v>
      </c>
      <c r="B4139" s="2205">
        <v>584131.26</v>
      </c>
    </row>
    <row r="4140" spans="1:2" x14ac:dyDescent="0.2">
      <c r="A4140" s="2205" t="s">
        <v>10584</v>
      </c>
      <c r="B4140" s="2205">
        <v>437.48</v>
      </c>
    </row>
    <row r="4141" spans="1:2" x14ac:dyDescent="0.2">
      <c r="A4141" s="2205" t="s">
        <v>10585</v>
      </c>
      <c r="B4141" s="2205">
        <v>2468.4899999999998</v>
      </c>
    </row>
    <row r="4142" spans="1:2" x14ac:dyDescent="0.2">
      <c r="A4142" s="2205" t="s">
        <v>10586</v>
      </c>
      <c r="B4142" s="2205">
        <v>134.57</v>
      </c>
    </row>
    <row r="4143" spans="1:2" x14ac:dyDescent="0.2">
      <c r="A4143" s="2205" t="s">
        <v>10587</v>
      </c>
      <c r="B4143" s="2205">
        <v>24.3</v>
      </c>
    </row>
    <row r="4144" spans="1:2" x14ac:dyDescent="0.2">
      <c r="A4144" s="2205" t="s">
        <v>10588</v>
      </c>
      <c r="B4144" s="2205">
        <v>685.03</v>
      </c>
    </row>
    <row r="4145" spans="1:2" x14ac:dyDescent="0.2">
      <c r="A4145" s="2205" t="s">
        <v>10589</v>
      </c>
      <c r="B4145" s="2205">
        <v>46.9</v>
      </c>
    </row>
    <row r="4146" spans="1:2" x14ac:dyDescent="0.2">
      <c r="A4146" s="2205" t="s">
        <v>10590</v>
      </c>
      <c r="B4146" s="2205">
        <v>-17.93</v>
      </c>
    </row>
    <row r="4147" spans="1:2" x14ac:dyDescent="0.2">
      <c r="A4147" s="2205" t="s">
        <v>10591</v>
      </c>
      <c r="B4147" s="2205">
        <v>693.3</v>
      </c>
    </row>
    <row r="4148" spans="1:2" x14ac:dyDescent="0.2">
      <c r="A4148" s="2205" t="s">
        <v>10592</v>
      </c>
      <c r="B4148" s="2205">
        <v>-18.27</v>
      </c>
    </row>
    <row r="4149" spans="1:2" x14ac:dyDescent="0.2">
      <c r="A4149" s="2205" t="s">
        <v>10593</v>
      </c>
      <c r="B4149" s="2205">
        <v>860.36</v>
      </c>
    </row>
    <row r="4150" spans="1:2" x14ac:dyDescent="0.2">
      <c r="A4150" s="2205" t="s">
        <v>10594</v>
      </c>
      <c r="B4150" s="2205">
        <v>721.44</v>
      </c>
    </row>
    <row r="4151" spans="1:2" x14ac:dyDescent="0.2">
      <c r="A4151" s="2205" t="s">
        <v>10595</v>
      </c>
      <c r="B4151" s="2205">
        <v>18738.2</v>
      </c>
    </row>
    <row r="4152" spans="1:2" x14ac:dyDescent="0.2">
      <c r="A4152" s="2205" t="s">
        <v>10596</v>
      </c>
      <c r="B4152" s="2205">
        <v>355.03</v>
      </c>
    </row>
    <row r="4153" spans="1:2" x14ac:dyDescent="0.2">
      <c r="A4153" s="2205" t="s">
        <v>10597</v>
      </c>
      <c r="B4153" s="2205">
        <v>2019.12</v>
      </c>
    </row>
    <row r="4154" spans="1:2" x14ac:dyDescent="0.2">
      <c r="A4154" s="2205" t="s">
        <v>10598</v>
      </c>
      <c r="B4154" s="2205">
        <v>26.08</v>
      </c>
    </row>
    <row r="4155" spans="1:2" x14ac:dyDescent="0.2">
      <c r="A4155" s="2205" t="s">
        <v>10599</v>
      </c>
      <c r="B4155" s="2205">
        <v>444.16</v>
      </c>
    </row>
    <row r="4156" spans="1:2" x14ac:dyDescent="0.2">
      <c r="A4156" s="2205" t="s">
        <v>10600</v>
      </c>
      <c r="B4156" s="2205">
        <v>2908.92</v>
      </c>
    </row>
    <row r="4157" spans="1:2" x14ac:dyDescent="0.2">
      <c r="A4157" s="2205" t="s">
        <v>10601</v>
      </c>
      <c r="B4157" s="2205">
        <v>287.36</v>
      </c>
    </row>
    <row r="4158" spans="1:2" x14ac:dyDescent="0.2">
      <c r="A4158" s="2205" t="s">
        <v>10602</v>
      </c>
      <c r="B4158" s="2205">
        <v>607.86</v>
      </c>
    </row>
    <row r="4159" spans="1:2" x14ac:dyDescent="0.2">
      <c r="A4159" s="2205" t="s">
        <v>10603</v>
      </c>
      <c r="B4159" s="2205">
        <v>39.43</v>
      </c>
    </row>
    <row r="4160" spans="1:2" x14ac:dyDescent="0.2">
      <c r="A4160" s="2205" t="s">
        <v>10604</v>
      </c>
      <c r="B4160" s="2205">
        <v>6572.22</v>
      </c>
    </row>
    <row r="4161" spans="1:2" x14ac:dyDescent="0.2">
      <c r="A4161" s="2205" t="s">
        <v>10605</v>
      </c>
      <c r="B4161" s="2205">
        <v>1624.54</v>
      </c>
    </row>
    <row r="4162" spans="1:2" x14ac:dyDescent="0.2">
      <c r="A4162" s="2205" t="s">
        <v>10606</v>
      </c>
      <c r="B4162" s="2205">
        <v>6202.98</v>
      </c>
    </row>
    <row r="4163" spans="1:2" x14ac:dyDescent="0.2">
      <c r="A4163" s="2205" t="s">
        <v>10607</v>
      </c>
      <c r="B4163" s="2205">
        <v>1774.81</v>
      </c>
    </row>
    <row r="4164" spans="1:2" x14ac:dyDescent="0.2">
      <c r="A4164" s="2205" t="s">
        <v>10608</v>
      </c>
      <c r="B4164" s="2205">
        <v>759.73</v>
      </c>
    </row>
    <row r="4165" spans="1:2" x14ac:dyDescent="0.2">
      <c r="A4165" s="2205" t="s">
        <v>10609</v>
      </c>
      <c r="B4165" s="2205">
        <v>1452.53</v>
      </c>
    </row>
    <row r="4166" spans="1:2" x14ac:dyDescent="0.2">
      <c r="A4166" s="2205" t="s">
        <v>10610</v>
      </c>
      <c r="B4166" s="2205">
        <v>11412.94</v>
      </c>
    </row>
    <row r="4167" spans="1:2" x14ac:dyDescent="0.2">
      <c r="A4167" s="2205" t="s">
        <v>10611</v>
      </c>
      <c r="B4167" s="2205">
        <v>3054.45</v>
      </c>
    </row>
    <row r="4168" spans="1:2" x14ac:dyDescent="0.2">
      <c r="A4168" s="2205" t="s">
        <v>10612</v>
      </c>
      <c r="B4168" s="2205">
        <v>1915.04</v>
      </c>
    </row>
    <row r="4169" spans="1:2" x14ac:dyDescent="0.2">
      <c r="A4169" s="2205" t="s">
        <v>10613</v>
      </c>
      <c r="B4169" s="2205">
        <v>-14.71</v>
      </c>
    </row>
    <row r="4170" spans="1:2" x14ac:dyDescent="0.2">
      <c r="A4170" s="2205" t="s">
        <v>10614</v>
      </c>
      <c r="B4170" s="2205">
        <v>9546.76</v>
      </c>
    </row>
    <row r="4171" spans="1:2" x14ac:dyDescent="0.2">
      <c r="A4171" s="2205" t="s">
        <v>10615</v>
      </c>
      <c r="B4171" s="2205">
        <v>1229.8900000000001</v>
      </c>
    </row>
    <row r="4172" spans="1:2" x14ac:dyDescent="0.2">
      <c r="A4172" s="2205" t="s">
        <v>10616</v>
      </c>
      <c r="B4172" s="2205">
        <v>43.46</v>
      </c>
    </row>
    <row r="4173" spans="1:2" x14ac:dyDescent="0.2">
      <c r="A4173" s="2205" t="s">
        <v>10617</v>
      </c>
      <c r="B4173" s="2205">
        <v>1320.62</v>
      </c>
    </row>
    <row r="4174" spans="1:2" x14ac:dyDescent="0.2">
      <c r="A4174" s="2205" t="s">
        <v>10618</v>
      </c>
      <c r="B4174" s="2205">
        <v>3648.47</v>
      </c>
    </row>
    <row r="4175" spans="1:2" x14ac:dyDescent="0.2">
      <c r="A4175" s="2205" t="s">
        <v>10619</v>
      </c>
      <c r="B4175" s="2205">
        <v>506.07</v>
      </c>
    </row>
    <row r="4176" spans="1:2" x14ac:dyDescent="0.2">
      <c r="A4176" s="2205" t="s">
        <v>10620</v>
      </c>
      <c r="B4176" s="2205">
        <v>521.45000000000005</v>
      </c>
    </row>
    <row r="4177" spans="1:2" x14ac:dyDescent="0.2">
      <c r="A4177" s="2205" t="s">
        <v>10621</v>
      </c>
      <c r="B4177" s="2205">
        <v>1334.86</v>
      </c>
    </row>
    <row r="4178" spans="1:2" x14ac:dyDescent="0.2">
      <c r="A4178" s="2205" t="s">
        <v>10622</v>
      </c>
      <c r="B4178" s="2205">
        <v>1287.48</v>
      </c>
    </row>
    <row r="4179" spans="1:2" x14ac:dyDescent="0.2">
      <c r="A4179" s="2205" t="s">
        <v>10623</v>
      </c>
      <c r="B4179" s="2205">
        <v>210.53</v>
      </c>
    </row>
    <row r="4180" spans="1:2" x14ac:dyDescent="0.2">
      <c r="A4180" s="2205" t="s">
        <v>10624</v>
      </c>
      <c r="B4180" s="2205">
        <v>120.18</v>
      </c>
    </row>
    <row r="4181" spans="1:2" x14ac:dyDescent="0.2">
      <c r="A4181" s="2205" t="s">
        <v>10625</v>
      </c>
      <c r="B4181" s="2205">
        <v>1333.98</v>
      </c>
    </row>
    <row r="4182" spans="1:2" x14ac:dyDescent="0.2">
      <c r="A4182" s="2205" t="s">
        <v>10626</v>
      </c>
      <c r="B4182" s="2205">
        <v>344.27</v>
      </c>
    </row>
    <row r="4183" spans="1:2" x14ac:dyDescent="0.2">
      <c r="A4183" s="2205" t="s">
        <v>10627</v>
      </c>
      <c r="B4183" s="2205">
        <v>46.9</v>
      </c>
    </row>
    <row r="4184" spans="1:2" x14ac:dyDescent="0.2">
      <c r="A4184" s="2205" t="s">
        <v>10628</v>
      </c>
      <c r="B4184" s="2205">
        <v>52.16</v>
      </c>
    </row>
    <row r="4185" spans="1:2" x14ac:dyDescent="0.2">
      <c r="A4185" s="2205" t="s">
        <v>10629</v>
      </c>
      <c r="B4185" s="2205">
        <v>-217275.77</v>
      </c>
    </row>
    <row r="4186" spans="1:2" x14ac:dyDescent="0.2">
      <c r="A4186" s="2205" t="s">
        <v>10630</v>
      </c>
      <c r="B4186" s="2205">
        <v>23.47</v>
      </c>
    </row>
    <row r="4187" spans="1:2" x14ac:dyDescent="0.2">
      <c r="A4187" s="2205" t="s">
        <v>10631</v>
      </c>
      <c r="B4187" s="2205">
        <v>118.76</v>
      </c>
    </row>
    <row r="4188" spans="1:2" x14ac:dyDescent="0.2">
      <c r="A4188" s="2205" t="s">
        <v>10632</v>
      </c>
      <c r="B4188" s="2205">
        <v>1787.29</v>
      </c>
    </row>
    <row r="4189" spans="1:2" x14ac:dyDescent="0.2">
      <c r="A4189" s="2205" t="s">
        <v>10633</v>
      </c>
      <c r="B4189" s="2205">
        <v>1036.94</v>
      </c>
    </row>
    <row r="4190" spans="1:2" x14ac:dyDescent="0.2">
      <c r="A4190" s="2205" t="s">
        <v>10634</v>
      </c>
      <c r="B4190" s="2205">
        <v>265.77999999999997</v>
      </c>
    </row>
    <row r="4191" spans="1:2" x14ac:dyDescent="0.2">
      <c r="A4191" s="2205" t="s">
        <v>10635</v>
      </c>
      <c r="B4191" s="2205">
        <v>49.29</v>
      </c>
    </row>
    <row r="4192" spans="1:2" x14ac:dyDescent="0.2">
      <c r="A4192" s="2205" t="s">
        <v>10636</v>
      </c>
      <c r="B4192" s="2205">
        <v>2238.2800000000002</v>
      </c>
    </row>
    <row r="4193" spans="1:2" x14ac:dyDescent="0.2">
      <c r="A4193" s="2205" t="s">
        <v>10637</v>
      </c>
      <c r="B4193" s="2205">
        <v>3310.65</v>
      </c>
    </row>
    <row r="4194" spans="1:2" x14ac:dyDescent="0.2">
      <c r="A4194" s="2205" t="s">
        <v>10638</v>
      </c>
      <c r="B4194" s="2205">
        <v>1752.08</v>
      </c>
    </row>
    <row r="4195" spans="1:2" x14ac:dyDescent="0.2">
      <c r="A4195" s="2205" t="s">
        <v>10639</v>
      </c>
      <c r="B4195" s="2205">
        <v>745.15</v>
      </c>
    </row>
    <row r="4196" spans="1:2" x14ac:dyDescent="0.2">
      <c r="A4196" s="2205" t="s">
        <v>10640</v>
      </c>
      <c r="B4196" s="2205">
        <v>885.8</v>
      </c>
    </row>
    <row r="4197" spans="1:2" x14ac:dyDescent="0.2">
      <c r="A4197" s="2205" t="s">
        <v>10641</v>
      </c>
      <c r="B4197" s="2205">
        <v>10536.12</v>
      </c>
    </row>
    <row r="4198" spans="1:2" x14ac:dyDescent="0.2">
      <c r="A4198" s="2205" t="s">
        <v>10642</v>
      </c>
      <c r="B4198" s="2205">
        <v>768.22</v>
      </c>
    </row>
    <row r="4199" spans="1:2" x14ac:dyDescent="0.2">
      <c r="A4199" s="2205" t="s">
        <v>10643</v>
      </c>
      <c r="B4199" s="2205">
        <v>507.14</v>
      </c>
    </row>
    <row r="4200" spans="1:2" x14ac:dyDescent="0.2">
      <c r="A4200" s="2205" t="s">
        <v>10644</v>
      </c>
      <c r="B4200" s="2205">
        <v>793.45</v>
      </c>
    </row>
    <row r="4201" spans="1:2" x14ac:dyDescent="0.2">
      <c r="A4201" s="2205" t="s">
        <v>10645</v>
      </c>
      <c r="B4201" s="2205">
        <v>1129.94</v>
      </c>
    </row>
    <row r="4202" spans="1:2" x14ac:dyDescent="0.2">
      <c r="A4202" s="2205" t="s">
        <v>10646</v>
      </c>
      <c r="B4202" s="2205">
        <v>634.05999999999995</v>
      </c>
    </row>
    <row r="4203" spans="1:2" x14ac:dyDescent="0.2">
      <c r="A4203" s="2205" t="s">
        <v>10647</v>
      </c>
      <c r="B4203" s="2205">
        <v>1464.54</v>
      </c>
    </row>
    <row r="4204" spans="1:2" x14ac:dyDescent="0.2">
      <c r="A4204" s="2205" t="s">
        <v>10648</v>
      </c>
      <c r="B4204" s="2205">
        <v>628.94000000000005</v>
      </c>
    </row>
    <row r="4205" spans="1:2" x14ac:dyDescent="0.2">
      <c r="A4205" s="2205" t="s">
        <v>10649</v>
      </c>
      <c r="B4205" s="2205">
        <v>5236.62</v>
      </c>
    </row>
    <row r="4206" spans="1:2" x14ac:dyDescent="0.2">
      <c r="A4206" s="2205" t="s">
        <v>10650</v>
      </c>
      <c r="B4206" s="2205">
        <v>227</v>
      </c>
    </row>
    <row r="4207" spans="1:2" x14ac:dyDescent="0.2">
      <c r="A4207" s="2205" t="s">
        <v>10651</v>
      </c>
      <c r="B4207" s="2205">
        <v>4786.96</v>
      </c>
    </row>
    <row r="4208" spans="1:2" x14ac:dyDescent="0.2">
      <c r="A4208" s="2205" t="s">
        <v>10652</v>
      </c>
      <c r="B4208" s="2205">
        <v>4351.8999999999996</v>
      </c>
    </row>
    <row r="4209" spans="1:2" x14ac:dyDescent="0.2">
      <c r="A4209" s="2205" t="s">
        <v>10653</v>
      </c>
      <c r="B4209" s="2205">
        <v>1321.76</v>
      </c>
    </row>
    <row r="4210" spans="1:2" x14ac:dyDescent="0.2">
      <c r="A4210" s="2205" t="s">
        <v>10654</v>
      </c>
      <c r="B4210" s="2205">
        <v>4647.7299999999996</v>
      </c>
    </row>
    <row r="4211" spans="1:2" x14ac:dyDescent="0.2">
      <c r="A4211" s="2205" t="s">
        <v>10655</v>
      </c>
      <c r="B4211" s="2205">
        <v>3271.29</v>
      </c>
    </row>
    <row r="4212" spans="1:2" x14ac:dyDescent="0.2">
      <c r="A4212" s="2205" t="s">
        <v>10656</v>
      </c>
      <c r="B4212" s="2205">
        <v>189.89</v>
      </c>
    </row>
    <row r="4213" spans="1:2" x14ac:dyDescent="0.2">
      <c r="A4213" s="2205" t="s">
        <v>10657</v>
      </c>
      <c r="B4213" s="2205">
        <v>5567.16</v>
      </c>
    </row>
    <row r="4214" spans="1:2" x14ac:dyDescent="0.2">
      <c r="A4214" s="2205" t="s">
        <v>10658</v>
      </c>
      <c r="B4214" s="2205">
        <v>1512.17</v>
      </c>
    </row>
    <row r="4215" spans="1:2" x14ac:dyDescent="0.2">
      <c r="A4215" s="2205" t="s">
        <v>10659</v>
      </c>
      <c r="B4215" s="2205">
        <v>2424.81</v>
      </c>
    </row>
    <row r="4216" spans="1:2" x14ac:dyDescent="0.2">
      <c r="A4216" s="2205" t="s">
        <v>10660</v>
      </c>
      <c r="B4216" s="2205">
        <v>2451.3000000000002</v>
      </c>
    </row>
    <row r="4217" spans="1:2" x14ac:dyDescent="0.2">
      <c r="A4217" s="2205" t="s">
        <v>10661</v>
      </c>
      <c r="B4217" s="2205">
        <v>365.62</v>
      </c>
    </row>
    <row r="4218" spans="1:2" x14ac:dyDescent="0.2">
      <c r="A4218" s="2205" t="s">
        <v>10662</v>
      </c>
      <c r="B4218" s="2205">
        <v>1060.42</v>
      </c>
    </row>
    <row r="4219" spans="1:2" x14ac:dyDescent="0.2">
      <c r="A4219" s="2205" t="s">
        <v>10663</v>
      </c>
      <c r="B4219" s="2205">
        <v>588.75</v>
      </c>
    </row>
    <row r="4220" spans="1:2" x14ac:dyDescent="0.2">
      <c r="A4220" s="2205" t="s">
        <v>10664</v>
      </c>
      <c r="B4220" s="2205">
        <v>189.98</v>
      </c>
    </row>
    <row r="4221" spans="1:2" x14ac:dyDescent="0.2">
      <c r="A4221" s="2205" t="s">
        <v>10665</v>
      </c>
      <c r="B4221" s="2205">
        <v>43.38</v>
      </c>
    </row>
    <row r="4222" spans="1:2" x14ac:dyDescent="0.2">
      <c r="A4222" s="2205" t="s">
        <v>10666</v>
      </c>
      <c r="B4222" s="2205">
        <v>50.19</v>
      </c>
    </row>
    <row r="4223" spans="1:2" x14ac:dyDescent="0.2">
      <c r="A4223" s="2205" t="s">
        <v>10667</v>
      </c>
      <c r="B4223" s="2205">
        <v>822.64</v>
      </c>
    </row>
    <row r="4224" spans="1:2" x14ac:dyDescent="0.2">
      <c r="A4224" s="2205" t="s">
        <v>10668</v>
      </c>
      <c r="B4224" s="2205">
        <v>57.84</v>
      </c>
    </row>
    <row r="4225" spans="1:2" x14ac:dyDescent="0.2">
      <c r="A4225" s="2205" t="s">
        <v>10669</v>
      </c>
      <c r="B4225" s="2205">
        <v>330.55</v>
      </c>
    </row>
    <row r="4226" spans="1:2" x14ac:dyDescent="0.2">
      <c r="A4226" s="2205" t="s">
        <v>10670</v>
      </c>
      <c r="B4226" s="2205">
        <v>-5.58</v>
      </c>
    </row>
    <row r="4227" spans="1:2" x14ac:dyDescent="0.2">
      <c r="A4227" s="2205" t="s">
        <v>10671</v>
      </c>
      <c r="B4227" s="2205">
        <v>7329.42</v>
      </c>
    </row>
    <row r="4228" spans="1:2" x14ac:dyDescent="0.2">
      <c r="A4228" s="2205" t="s">
        <v>10672</v>
      </c>
      <c r="B4228" s="2205">
        <v>2956.13</v>
      </c>
    </row>
    <row r="4229" spans="1:2" x14ac:dyDescent="0.2">
      <c r="A4229" s="2205" t="s">
        <v>10673</v>
      </c>
      <c r="B4229" s="2205">
        <v>1862.49</v>
      </c>
    </row>
    <row r="4230" spans="1:2" x14ac:dyDescent="0.2">
      <c r="A4230" s="2205" t="s">
        <v>10674</v>
      </c>
      <c r="B4230" s="2205">
        <v>629.42999999999995</v>
      </c>
    </row>
    <row r="4231" spans="1:2" x14ac:dyDescent="0.2">
      <c r="A4231" s="2205" t="s">
        <v>10675</v>
      </c>
      <c r="B4231" s="2205">
        <v>199.53</v>
      </c>
    </row>
    <row r="4232" spans="1:2" x14ac:dyDescent="0.2">
      <c r="A4232" s="2205" t="s">
        <v>10676</v>
      </c>
      <c r="B4232" s="2205">
        <v>237.29</v>
      </c>
    </row>
    <row r="4233" spans="1:2" x14ac:dyDescent="0.2">
      <c r="A4233" s="2205" t="s">
        <v>10677</v>
      </c>
      <c r="B4233" s="2205">
        <v>1085.52</v>
      </c>
    </row>
    <row r="4234" spans="1:2" x14ac:dyDescent="0.2">
      <c r="A4234" s="2205" t="s">
        <v>10678</v>
      </c>
      <c r="B4234" s="2205">
        <v>21.03</v>
      </c>
    </row>
    <row r="4235" spans="1:2" x14ac:dyDescent="0.2">
      <c r="A4235" s="2205" t="s">
        <v>10679</v>
      </c>
      <c r="B4235" s="2205">
        <v>21.03</v>
      </c>
    </row>
    <row r="4236" spans="1:2" x14ac:dyDescent="0.2">
      <c r="A4236" s="2205" t="s">
        <v>10680</v>
      </c>
      <c r="B4236" s="2205">
        <v>720</v>
      </c>
    </row>
    <row r="4237" spans="1:2" x14ac:dyDescent="0.2">
      <c r="A4237" s="2205" t="s">
        <v>1219</v>
      </c>
      <c r="B4237" s="2205">
        <v>40316.949999999997</v>
      </c>
    </row>
    <row r="4238" spans="1:2" x14ac:dyDescent="0.2">
      <c r="A4238" s="2205" t="s">
        <v>10681</v>
      </c>
      <c r="B4238" s="2205">
        <v>-118.53</v>
      </c>
    </row>
    <row r="4239" spans="1:2" x14ac:dyDescent="0.2">
      <c r="A4239" s="2205" t="s">
        <v>10682</v>
      </c>
      <c r="B4239" s="2205">
        <v>165.5</v>
      </c>
    </row>
    <row r="4240" spans="1:2" x14ac:dyDescent="0.2">
      <c r="A4240" s="2205" t="s">
        <v>10683</v>
      </c>
      <c r="B4240" s="2205">
        <v>289.19</v>
      </c>
    </row>
    <row r="4241" spans="1:2" x14ac:dyDescent="0.2">
      <c r="A4241" s="2205" t="s">
        <v>10684</v>
      </c>
      <c r="B4241" s="2205">
        <v>17.649999999999999</v>
      </c>
    </row>
    <row r="4242" spans="1:2" x14ac:dyDescent="0.2">
      <c r="A4242" s="2205" t="s">
        <v>10685</v>
      </c>
      <c r="B4242" s="2205">
        <v>423.4</v>
      </c>
    </row>
    <row r="4243" spans="1:2" x14ac:dyDescent="0.2">
      <c r="A4243" s="2205" t="s">
        <v>10686</v>
      </c>
      <c r="B4243" s="2205">
        <v>256.52</v>
      </c>
    </row>
    <row r="4244" spans="1:2" x14ac:dyDescent="0.2">
      <c r="A4244" s="2205" t="s">
        <v>10687</v>
      </c>
      <c r="B4244" s="2205">
        <v>820.93</v>
      </c>
    </row>
    <row r="4245" spans="1:2" x14ac:dyDescent="0.2">
      <c r="A4245" s="2205" t="s">
        <v>10688</v>
      </c>
      <c r="B4245" s="2205">
        <v>8442.68</v>
      </c>
    </row>
    <row r="4246" spans="1:2" x14ac:dyDescent="0.2">
      <c r="A4246" s="2205" t="s">
        <v>10689</v>
      </c>
      <c r="B4246" s="2205">
        <v>9881.42</v>
      </c>
    </row>
    <row r="4247" spans="1:2" x14ac:dyDescent="0.2">
      <c r="A4247" s="2205" t="s">
        <v>10690</v>
      </c>
      <c r="B4247" s="2205">
        <v>308.86</v>
      </c>
    </row>
    <row r="4248" spans="1:2" x14ac:dyDescent="0.2">
      <c r="A4248" s="2205" t="s">
        <v>10691</v>
      </c>
      <c r="B4248" s="2205">
        <v>38.119999999999997</v>
      </c>
    </row>
    <row r="4249" spans="1:2" x14ac:dyDescent="0.2">
      <c r="A4249" s="2205" t="s">
        <v>10692</v>
      </c>
      <c r="B4249" s="2205">
        <v>-37.96</v>
      </c>
    </row>
    <row r="4250" spans="1:2" x14ac:dyDescent="0.2">
      <c r="A4250" s="2205" t="s">
        <v>10693</v>
      </c>
      <c r="B4250" s="2205">
        <v>869.63</v>
      </c>
    </row>
    <row r="4251" spans="1:2" x14ac:dyDescent="0.2">
      <c r="A4251" s="2205" t="s">
        <v>10694</v>
      </c>
      <c r="B4251" s="2205">
        <v>-20.97</v>
      </c>
    </row>
    <row r="4252" spans="1:2" x14ac:dyDescent="0.2">
      <c r="A4252" s="2205" t="s">
        <v>10695</v>
      </c>
      <c r="B4252" s="2205">
        <v>1480.78</v>
      </c>
    </row>
    <row r="4253" spans="1:2" x14ac:dyDescent="0.2">
      <c r="A4253" s="2205" t="s">
        <v>10696</v>
      </c>
      <c r="B4253" s="2205">
        <v>1368.96</v>
      </c>
    </row>
    <row r="4254" spans="1:2" x14ac:dyDescent="0.2">
      <c r="A4254" s="2205" t="s">
        <v>10697</v>
      </c>
      <c r="B4254" s="2205">
        <v>-30.4</v>
      </c>
    </row>
    <row r="4255" spans="1:2" x14ac:dyDescent="0.2">
      <c r="A4255" s="2205" t="s">
        <v>10698</v>
      </c>
      <c r="B4255" s="2205">
        <v>5144.79</v>
      </c>
    </row>
    <row r="4256" spans="1:2" x14ac:dyDescent="0.2">
      <c r="A4256" s="2205" t="s">
        <v>10699</v>
      </c>
      <c r="B4256" s="2205">
        <v>20.350000000000001</v>
      </c>
    </row>
    <row r="4257" spans="1:2" x14ac:dyDescent="0.2">
      <c r="A4257" s="2205" t="s">
        <v>10700</v>
      </c>
      <c r="B4257" s="2205">
        <v>218.47</v>
      </c>
    </row>
    <row r="4258" spans="1:2" x14ac:dyDescent="0.2">
      <c r="A4258" s="2205" t="s">
        <v>10701</v>
      </c>
      <c r="B4258" s="2205">
        <v>1122.47</v>
      </c>
    </row>
    <row r="4259" spans="1:2" x14ac:dyDescent="0.2">
      <c r="A4259" s="2205" t="s">
        <v>10702</v>
      </c>
      <c r="B4259" s="2205">
        <v>1475.27</v>
      </c>
    </row>
    <row r="4260" spans="1:2" x14ac:dyDescent="0.2">
      <c r="A4260" s="2205" t="s">
        <v>10703</v>
      </c>
      <c r="B4260" s="2205">
        <v>589.63</v>
      </c>
    </row>
    <row r="4261" spans="1:2" x14ac:dyDescent="0.2">
      <c r="A4261" s="2205" t="s">
        <v>10704</v>
      </c>
      <c r="B4261" s="2205">
        <v>-4.24</v>
      </c>
    </row>
    <row r="4262" spans="1:2" x14ac:dyDescent="0.2">
      <c r="A4262" s="2205" t="s">
        <v>10705</v>
      </c>
      <c r="B4262" s="2205">
        <v>1236.6099999999999</v>
      </c>
    </row>
    <row r="4263" spans="1:2" x14ac:dyDescent="0.2">
      <c r="A4263" s="2205" t="s">
        <v>10706</v>
      </c>
      <c r="B4263" s="2205">
        <v>5578.73</v>
      </c>
    </row>
    <row r="4264" spans="1:2" x14ac:dyDescent="0.2">
      <c r="A4264" s="2205" t="s">
        <v>10707</v>
      </c>
      <c r="B4264" s="2205">
        <v>2892.98</v>
      </c>
    </row>
    <row r="4265" spans="1:2" x14ac:dyDescent="0.2">
      <c r="A4265" s="2205" t="s">
        <v>10708</v>
      </c>
      <c r="B4265" s="2205">
        <v>1032.51</v>
      </c>
    </row>
    <row r="4266" spans="1:2" x14ac:dyDescent="0.2">
      <c r="A4266" s="2205" t="s">
        <v>10709</v>
      </c>
      <c r="B4266" s="2205">
        <v>6104.13</v>
      </c>
    </row>
    <row r="4267" spans="1:2" x14ac:dyDescent="0.2">
      <c r="A4267" s="2205" t="s">
        <v>10710</v>
      </c>
      <c r="B4267" s="2205">
        <v>169.57</v>
      </c>
    </row>
    <row r="4268" spans="1:2" x14ac:dyDescent="0.2">
      <c r="A4268" s="2205" t="s">
        <v>10711</v>
      </c>
      <c r="B4268" s="2205">
        <v>2423.4899999999998</v>
      </c>
    </row>
    <row r="4269" spans="1:2" x14ac:dyDescent="0.2">
      <c r="A4269" s="2205" t="s">
        <v>10712</v>
      </c>
      <c r="B4269" s="2205">
        <v>42.06</v>
      </c>
    </row>
    <row r="4270" spans="1:2" x14ac:dyDescent="0.2">
      <c r="A4270" s="2205" t="s">
        <v>10713</v>
      </c>
      <c r="B4270" s="2205">
        <v>20.350000000000001</v>
      </c>
    </row>
    <row r="4271" spans="1:2" x14ac:dyDescent="0.2">
      <c r="A4271" s="2205" t="s">
        <v>10714</v>
      </c>
      <c r="B4271" s="2205">
        <v>1290.4100000000001</v>
      </c>
    </row>
    <row r="4272" spans="1:2" x14ac:dyDescent="0.2">
      <c r="A4272" s="2205" t="s">
        <v>10715</v>
      </c>
      <c r="B4272" s="2205">
        <v>1828.34</v>
      </c>
    </row>
    <row r="4273" spans="1:2" x14ac:dyDescent="0.2">
      <c r="A4273" s="2205" t="s">
        <v>10716</v>
      </c>
      <c r="B4273" s="2205">
        <v>566.21</v>
      </c>
    </row>
    <row r="4274" spans="1:2" x14ac:dyDescent="0.2">
      <c r="A4274" s="2205" t="s">
        <v>10717</v>
      </c>
      <c r="B4274" s="2205">
        <v>2176.08</v>
      </c>
    </row>
    <row r="4275" spans="1:2" x14ac:dyDescent="0.2">
      <c r="A4275" s="2205" t="s">
        <v>10718</v>
      </c>
      <c r="B4275" s="2205">
        <v>1143.55</v>
      </c>
    </row>
    <row r="4276" spans="1:2" x14ac:dyDescent="0.2">
      <c r="A4276" s="2205" t="s">
        <v>10719</v>
      </c>
      <c r="B4276" s="2205">
        <v>-48.12</v>
      </c>
    </row>
    <row r="4277" spans="1:2" x14ac:dyDescent="0.2">
      <c r="A4277" s="2205" t="s">
        <v>10720</v>
      </c>
      <c r="B4277" s="2205">
        <v>2669.81</v>
      </c>
    </row>
    <row r="4278" spans="1:2" x14ac:dyDescent="0.2">
      <c r="A4278" s="2205" t="s">
        <v>10721</v>
      </c>
      <c r="B4278" s="2205">
        <v>80.13</v>
      </c>
    </row>
    <row r="4279" spans="1:2" x14ac:dyDescent="0.2">
      <c r="A4279" s="2205" t="s">
        <v>10722</v>
      </c>
      <c r="B4279" s="2205">
        <v>20.350000000000001</v>
      </c>
    </row>
    <row r="4280" spans="1:2" x14ac:dyDescent="0.2">
      <c r="A4280" s="2205" t="s">
        <v>10723</v>
      </c>
      <c r="B4280" s="2205">
        <v>5540.77</v>
      </c>
    </row>
    <row r="4281" spans="1:2" x14ac:dyDescent="0.2">
      <c r="A4281" s="2205" t="s">
        <v>10724</v>
      </c>
      <c r="B4281" s="2205">
        <v>412.12</v>
      </c>
    </row>
    <row r="4282" spans="1:2" x14ac:dyDescent="0.2">
      <c r="A4282" s="2205" t="s">
        <v>10725</v>
      </c>
      <c r="B4282" s="2205">
        <v>1862.09</v>
      </c>
    </row>
    <row r="4283" spans="1:2" x14ac:dyDescent="0.2">
      <c r="A4283" s="2205" t="s">
        <v>10726</v>
      </c>
      <c r="B4283" s="2205">
        <v>21.73</v>
      </c>
    </row>
    <row r="4284" spans="1:2" x14ac:dyDescent="0.2">
      <c r="A4284" s="2205" t="s">
        <v>10727</v>
      </c>
      <c r="B4284" s="2205">
        <v>1744.66</v>
      </c>
    </row>
    <row r="4285" spans="1:2" x14ac:dyDescent="0.2">
      <c r="A4285" s="2205" t="s">
        <v>10728</v>
      </c>
      <c r="B4285" s="2205">
        <v>144.85</v>
      </c>
    </row>
    <row r="4286" spans="1:2" x14ac:dyDescent="0.2">
      <c r="A4286" s="2205" t="s">
        <v>10729</v>
      </c>
      <c r="B4286" s="2205">
        <v>34.78</v>
      </c>
    </row>
    <row r="4287" spans="1:2" x14ac:dyDescent="0.2">
      <c r="A4287" s="2205" t="s">
        <v>10730</v>
      </c>
      <c r="B4287" s="2205">
        <v>79.67</v>
      </c>
    </row>
    <row r="4288" spans="1:2" x14ac:dyDescent="0.2">
      <c r="A4288" s="2205" t="s">
        <v>10731</v>
      </c>
      <c r="B4288" s="2205">
        <v>167.72</v>
      </c>
    </row>
    <row r="4289" spans="1:2" x14ac:dyDescent="0.2">
      <c r="A4289" s="2205" t="s">
        <v>10732</v>
      </c>
      <c r="B4289" s="2205">
        <v>485.9</v>
      </c>
    </row>
    <row r="4290" spans="1:2" x14ac:dyDescent="0.2">
      <c r="A4290" s="2205" t="s">
        <v>10733</v>
      </c>
      <c r="B4290" s="2205">
        <v>854.64</v>
      </c>
    </row>
    <row r="4291" spans="1:2" x14ac:dyDescent="0.2">
      <c r="A4291" s="2205" t="s">
        <v>10734</v>
      </c>
      <c r="B4291" s="2205">
        <v>21.73</v>
      </c>
    </row>
    <row r="4292" spans="1:2" x14ac:dyDescent="0.2">
      <c r="A4292" s="2205" t="s">
        <v>10735</v>
      </c>
      <c r="B4292" s="2205">
        <v>5125.8999999999996</v>
      </c>
    </row>
    <row r="4293" spans="1:2" x14ac:dyDescent="0.2">
      <c r="A4293" s="2205" t="s">
        <v>10736</v>
      </c>
      <c r="B4293" s="2205">
        <v>166.1</v>
      </c>
    </row>
    <row r="4294" spans="1:2" x14ac:dyDescent="0.2">
      <c r="A4294" s="2205" t="s">
        <v>10737</v>
      </c>
      <c r="B4294" s="2205">
        <v>65.19</v>
      </c>
    </row>
    <row r="4295" spans="1:2" x14ac:dyDescent="0.2">
      <c r="A4295" s="2205" t="s">
        <v>10738</v>
      </c>
      <c r="B4295" s="2205">
        <v>4278.79</v>
      </c>
    </row>
    <row r="4296" spans="1:2" x14ac:dyDescent="0.2">
      <c r="A4296" s="2205" t="s">
        <v>10739</v>
      </c>
      <c r="B4296" s="2205">
        <v>138.82</v>
      </c>
    </row>
    <row r="4297" spans="1:2" x14ac:dyDescent="0.2">
      <c r="A4297" s="2205" t="s">
        <v>10740</v>
      </c>
      <c r="B4297" s="2205">
        <v>483.15</v>
      </c>
    </row>
    <row r="4298" spans="1:2" x14ac:dyDescent="0.2">
      <c r="A4298" s="2205" t="s">
        <v>10741</v>
      </c>
      <c r="B4298" s="2205">
        <v>-37.270000000000003</v>
      </c>
    </row>
    <row r="4299" spans="1:2" x14ac:dyDescent="0.2">
      <c r="A4299" s="2205" t="s">
        <v>10742</v>
      </c>
      <c r="B4299" s="2205">
        <v>332.43</v>
      </c>
    </row>
    <row r="4300" spans="1:2" x14ac:dyDescent="0.2">
      <c r="A4300" s="2205" t="s">
        <v>10743</v>
      </c>
      <c r="B4300" s="2205">
        <v>421.11</v>
      </c>
    </row>
    <row r="4301" spans="1:2" x14ac:dyDescent="0.2">
      <c r="A4301" s="2205" t="s">
        <v>10744</v>
      </c>
      <c r="B4301" s="2205">
        <v>709.51</v>
      </c>
    </row>
    <row r="4302" spans="1:2" x14ac:dyDescent="0.2">
      <c r="A4302" s="2205" t="s">
        <v>10745</v>
      </c>
      <c r="B4302" s="2205">
        <v>399.07</v>
      </c>
    </row>
    <row r="4303" spans="1:2" x14ac:dyDescent="0.2">
      <c r="A4303" s="2205" t="s">
        <v>10746</v>
      </c>
      <c r="B4303" s="2205">
        <v>21.73</v>
      </c>
    </row>
    <row r="4304" spans="1:2" x14ac:dyDescent="0.2">
      <c r="A4304" s="2205" t="s">
        <v>10747</v>
      </c>
      <c r="B4304" s="2205">
        <v>19.72</v>
      </c>
    </row>
    <row r="4305" spans="1:2" x14ac:dyDescent="0.2">
      <c r="A4305" s="2205" t="s">
        <v>10748</v>
      </c>
      <c r="B4305" s="2205">
        <v>55.89</v>
      </c>
    </row>
    <row r="4306" spans="1:2" x14ac:dyDescent="0.2">
      <c r="A4306" s="2205" t="s">
        <v>10749</v>
      </c>
      <c r="B4306" s="2205">
        <v>21.03</v>
      </c>
    </row>
    <row r="4307" spans="1:2" x14ac:dyDescent="0.2">
      <c r="A4307" s="2205" t="s">
        <v>10750</v>
      </c>
      <c r="B4307" s="2205">
        <v>370.35</v>
      </c>
    </row>
    <row r="4308" spans="1:2" x14ac:dyDescent="0.2">
      <c r="A4308" s="2205" t="s">
        <v>10751</v>
      </c>
      <c r="B4308" s="2205">
        <v>21.73</v>
      </c>
    </row>
    <row r="4309" spans="1:2" x14ac:dyDescent="0.2">
      <c r="A4309" s="2205" t="s">
        <v>10752</v>
      </c>
      <c r="B4309" s="2205">
        <v>281.08999999999997</v>
      </c>
    </row>
    <row r="4310" spans="1:2" x14ac:dyDescent="0.2">
      <c r="A4310" s="2205" t="s">
        <v>10753</v>
      </c>
      <c r="B4310" s="2205">
        <v>11505.26</v>
      </c>
    </row>
    <row r="4311" spans="1:2" x14ac:dyDescent="0.2">
      <c r="A4311" s="2205" t="s">
        <v>10754</v>
      </c>
      <c r="B4311" s="2205">
        <v>867.92</v>
      </c>
    </row>
    <row r="4312" spans="1:2" x14ac:dyDescent="0.2">
      <c r="A4312" s="2205" t="s">
        <v>10755</v>
      </c>
      <c r="B4312" s="2205">
        <v>311.58999999999997</v>
      </c>
    </row>
    <row r="4313" spans="1:2" x14ac:dyDescent="0.2">
      <c r="A4313" s="2205" t="s">
        <v>10756</v>
      </c>
      <c r="B4313" s="2205">
        <v>1210.3</v>
      </c>
    </row>
    <row r="4314" spans="1:2" x14ac:dyDescent="0.2">
      <c r="A4314" s="2205" t="s">
        <v>10757</v>
      </c>
      <c r="B4314" s="2205">
        <v>28047.97</v>
      </c>
    </row>
    <row r="4315" spans="1:2" x14ac:dyDescent="0.2">
      <c r="A4315" s="2205" t="s">
        <v>10758</v>
      </c>
      <c r="B4315" s="2205">
        <v>136.5</v>
      </c>
    </row>
    <row r="4316" spans="1:2" x14ac:dyDescent="0.2">
      <c r="A4316" s="2205" t="s">
        <v>10759</v>
      </c>
      <c r="B4316" s="2205">
        <v>959.59</v>
      </c>
    </row>
    <row r="4317" spans="1:2" x14ac:dyDescent="0.2">
      <c r="A4317" s="2205" t="s">
        <v>10760</v>
      </c>
      <c r="B4317" s="2205">
        <v>321.68</v>
      </c>
    </row>
    <row r="4318" spans="1:2" x14ac:dyDescent="0.2">
      <c r="A4318" s="2205" t="s">
        <v>10761</v>
      </c>
      <c r="B4318" s="2205">
        <v>259.14999999999998</v>
      </c>
    </row>
    <row r="4319" spans="1:2" x14ac:dyDescent="0.2">
      <c r="A4319" s="2205" t="s">
        <v>10762</v>
      </c>
      <c r="B4319" s="2205">
        <v>31.27</v>
      </c>
    </row>
    <row r="4320" spans="1:2" x14ac:dyDescent="0.2">
      <c r="A4320" s="2205" t="s">
        <v>10763</v>
      </c>
      <c r="B4320" s="2205">
        <v>994.9</v>
      </c>
    </row>
    <row r="4321" spans="1:2" x14ac:dyDescent="0.2">
      <c r="A4321" s="2205" t="s">
        <v>10764</v>
      </c>
      <c r="B4321" s="2205">
        <v>1044.43</v>
      </c>
    </row>
    <row r="4322" spans="1:2" x14ac:dyDescent="0.2">
      <c r="A4322" s="2205" t="s">
        <v>10765</v>
      </c>
      <c r="B4322" s="2205">
        <v>65.19</v>
      </c>
    </row>
    <row r="4323" spans="1:2" x14ac:dyDescent="0.2">
      <c r="A4323" s="2205" t="s">
        <v>10766</v>
      </c>
      <c r="B4323" s="2205">
        <v>78615.789999999994</v>
      </c>
    </row>
    <row r="4324" spans="1:2" x14ac:dyDescent="0.2">
      <c r="A4324" s="2205" t="s">
        <v>10767</v>
      </c>
      <c r="B4324" s="2205">
        <v>2320.73</v>
      </c>
    </row>
    <row r="4325" spans="1:2" x14ac:dyDescent="0.2">
      <c r="A4325" s="2205" t="s">
        <v>10768</v>
      </c>
      <c r="B4325" s="2205">
        <v>224.64</v>
      </c>
    </row>
    <row r="4326" spans="1:2" x14ac:dyDescent="0.2">
      <c r="A4326" s="2205" t="s">
        <v>10769</v>
      </c>
      <c r="B4326" s="2205">
        <v>162.31</v>
      </c>
    </row>
    <row r="4327" spans="1:2" x14ac:dyDescent="0.2">
      <c r="A4327" s="2205" t="s">
        <v>10770</v>
      </c>
      <c r="B4327" s="2205">
        <v>18154.63</v>
      </c>
    </row>
    <row r="4328" spans="1:2" x14ac:dyDescent="0.2">
      <c r="A4328" s="2205" t="s">
        <v>10771</v>
      </c>
      <c r="B4328" s="2205">
        <v>476.88</v>
      </c>
    </row>
    <row r="4329" spans="1:2" x14ac:dyDescent="0.2">
      <c r="A4329" s="2205" t="s">
        <v>10772</v>
      </c>
      <c r="B4329" s="2205">
        <v>328.17</v>
      </c>
    </row>
    <row r="4330" spans="1:2" x14ac:dyDescent="0.2">
      <c r="A4330" s="2205" t="s">
        <v>10773</v>
      </c>
      <c r="B4330" s="2205">
        <v>1134.54</v>
      </c>
    </row>
    <row r="4331" spans="1:2" x14ac:dyDescent="0.2">
      <c r="A4331" s="2205" t="s">
        <v>10774</v>
      </c>
      <c r="B4331" s="2205">
        <v>562.35</v>
      </c>
    </row>
    <row r="4332" spans="1:2" x14ac:dyDescent="0.2">
      <c r="A4332" s="2205" t="s">
        <v>10775</v>
      </c>
      <c r="B4332" s="2205">
        <v>310.39999999999998</v>
      </c>
    </row>
    <row r="4333" spans="1:2" x14ac:dyDescent="0.2">
      <c r="A4333" s="2205" t="s">
        <v>10776</v>
      </c>
      <c r="B4333" s="2205">
        <v>1154.3</v>
      </c>
    </row>
    <row r="4334" spans="1:2" x14ac:dyDescent="0.2">
      <c r="A4334" s="2205" t="s">
        <v>10777</v>
      </c>
      <c r="B4334" s="2205">
        <v>863.82</v>
      </c>
    </row>
    <row r="4335" spans="1:2" x14ac:dyDescent="0.2">
      <c r="A4335" s="2205" t="s">
        <v>10778</v>
      </c>
      <c r="B4335" s="2205">
        <v>39.369999999999997</v>
      </c>
    </row>
    <row r="4336" spans="1:2" x14ac:dyDescent="0.2">
      <c r="A4336" s="2205" t="s">
        <v>10779</v>
      </c>
      <c r="B4336" s="2205">
        <v>-8.1999999999999993</v>
      </c>
    </row>
    <row r="4337" spans="1:2" x14ac:dyDescent="0.2">
      <c r="A4337" s="2205" t="s">
        <v>10780</v>
      </c>
      <c r="B4337" s="2205">
        <v>231.77</v>
      </c>
    </row>
    <row r="4338" spans="1:2" x14ac:dyDescent="0.2">
      <c r="A4338" s="2205" t="s">
        <v>10781</v>
      </c>
      <c r="B4338" s="2205">
        <v>166.44</v>
      </c>
    </row>
    <row r="4339" spans="1:2" x14ac:dyDescent="0.2">
      <c r="A4339" s="2205" t="s">
        <v>10782</v>
      </c>
      <c r="B4339" s="2205">
        <v>573.54</v>
      </c>
    </row>
    <row r="4340" spans="1:2" x14ac:dyDescent="0.2">
      <c r="A4340" s="2205" t="s">
        <v>10783</v>
      </c>
      <c r="B4340" s="2205">
        <v>63.81</v>
      </c>
    </row>
    <row r="4341" spans="1:2" x14ac:dyDescent="0.2">
      <c r="A4341" s="2205" t="s">
        <v>10784</v>
      </c>
      <c r="B4341" s="2205">
        <v>76.3</v>
      </c>
    </row>
    <row r="4342" spans="1:2" x14ac:dyDescent="0.2">
      <c r="A4342" s="2205" t="s">
        <v>10785</v>
      </c>
      <c r="B4342" s="2205">
        <v>79.569999999999993</v>
      </c>
    </row>
    <row r="4343" spans="1:2" x14ac:dyDescent="0.2">
      <c r="A4343" s="2205" t="s">
        <v>10786</v>
      </c>
      <c r="B4343" s="2205">
        <v>321.01</v>
      </c>
    </row>
    <row r="4344" spans="1:2" x14ac:dyDescent="0.2">
      <c r="A4344" s="2205" t="s">
        <v>10787</v>
      </c>
      <c r="B4344" s="2205">
        <v>42.08</v>
      </c>
    </row>
    <row r="4345" spans="1:2" x14ac:dyDescent="0.2">
      <c r="A4345" s="2205" t="s">
        <v>10788</v>
      </c>
      <c r="B4345" s="2205">
        <v>1051.8599999999999</v>
      </c>
    </row>
    <row r="4346" spans="1:2" x14ac:dyDescent="0.2">
      <c r="A4346" s="2205" t="s">
        <v>10789</v>
      </c>
      <c r="B4346" s="2205">
        <v>382.64</v>
      </c>
    </row>
    <row r="4347" spans="1:2" x14ac:dyDescent="0.2">
      <c r="A4347" s="2205" t="s">
        <v>10790</v>
      </c>
      <c r="B4347" s="2205">
        <v>29.6</v>
      </c>
    </row>
    <row r="4348" spans="1:2" x14ac:dyDescent="0.2">
      <c r="A4348" s="2205" t="s">
        <v>10791</v>
      </c>
      <c r="B4348" s="2205">
        <v>709.27</v>
      </c>
    </row>
    <row r="4349" spans="1:2" x14ac:dyDescent="0.2">
      <c r="A4349" s="2205" t="s">
        <v>10792</v>
      </c>
      <c r="B4349" s="2205">
        <v>151.65</v>
      </c>
    </row>
    <row r="4350" spans="1:2" x14ac:dyDescent="0.2">
      <c r="A4350" s="2205" t="s">
        <v>10793</v>
      </c>
      <c r="B4350" s="2205">
        <v>202.58</v>
      </c>
    </row>
    <row r="4351" spans="1:2" x14ac:dyDescent="0.2">
      <c r="A4351" s="2205" t="s">
        <v>10794</v>
      </c>
      <c r="B4351" s="2205">
        <v>79.569999999999993</v>
      </c>
    </row>
    <row r="4352" spans="1:2" x14ac:dyDescent="0.2">
      <c r="A4352" s="2205" t="s">
        <v>10795</v>
      </c>
      <c r="B4352" s="2205">
        <v>213.16</v>
      </c>
    </row>
    <row r="4353" spans="1:2" x14ac:dyDescent="0.2">
      <c r="A4353" s="2205" t="s">
        <v>10796</v>
      </c>
      <c r="B4353" s="2205">
        <v>115.68</v>
      </c>
    </row>
    <row r="4354" spans="1:2" x14ac:dyDescent="0.2">
      <c r="A4354" s="2205" t="s">
        <v>10797</v>
      </c>
      <c r="B4354" s="2205">
        <v>57.84</v>
      </c>
    </row>
    <row r="4355" spans="1:2" x14ac:dyDescent="0.2">
      <c r="A4355" s="2205" t="s">
        <v>10798</v>
      </c>
      <c r="B4355" s="2205">
        <v>169.71</v>
      </c>
    </row>
    <row r="4356" spans="1:2" x14ac:dyDescent="0.2">
      <c r="A4356" s="2205" t="s">
        <v>10799</v>
      </c>
      <c r="B4356" s="2205">
        <v>6694.66</v>
      </c>
    </row>
    <row r="4357" spans="1:2" x14ac:dyDescent="0.2">
      <c r="A4357" s="2205" t="s">
        <v>10800</v>
      </c>
      <c r="B4357" s="2205">
        <v>57.84</v>
      </c>
    </row>
    <row r="4358" spans="1:2" x14ac:dyDescent="0.2">
      <c r="A4358" s="2205" t="s">
        <v>10801</v>
      </c>
      <c r="B4358" s="2205">
        <v>84.16</v>
      </c>
    </row>
    <row r="4359" spans="1:2" x14ac:dyDescent="0.2">
      <c r="A4359" s="2205" t="s">
        <v>10802</v>
      </c>
      <c r="B4359" s="2205">
        <v>66.38</v>
      </c>
    </row>
    <row r="4360" spans="1:2" x14ac:dyDescent="0.2">
      <c r="A4360" s="2205" t="s">
        <v>10803</v>
      </c>
      <c r="B4360" s="2205">
        <v>57.84</v>
      </c>
    </row>
    <row r="4361" spans="1:2" x14ac:dyDescent="0.2">
      <c r="A4361" s="2205" t="s">
        <v>10804</v>
      </c>
      <c r="B4361" s="2205">
        <v>21.03</v>
      </c>
    </row>
    <row r="4362" spans="1:2" x14ac:dyDescent="0.2">
      <c r="A4362" s="2205" t="s">
        <v>10805</v>
      </c>
      <c r="B4362" s="2205">
        <v>357.69</v>
      </c>
    </row>
    <row r="4363" spans="1:2" x14ac:dyDescent="0.2">
      <c r="A4363" s="2205" t="s">
        <v>10806</v>
      </c>
      <c r="B4363" s="2205">
        <v>591.83000000000004</v>
      </c>
    </row>
    <row r="4364" spans="1:2" x14ac:dyDescent="0.2">
      <c r="A4364" s="2205" t="s">
        <v>10807</v>
      </c>
      <c r="B4364" s="2205">
        <v>82.78</v>
      </c>
    </row>
    <row r="4365" spans="1:2" x14ac:dyDescent="0.2">
      <c r="A4365" s="2205" t="s">
        <v>10808</v>
      </c>
      <c r="B4365" s="2205">
        <v>42.08</v>
      </c>
    </row>
    <row r="4366" spans="1:2" x14ac:dyDescent="0.2">
      <c r="A4366" s="2205" t="s">
        <v>10809</v>
      </c>
      <c r="B4366" s="2205">
        <v>123.47</v>
      </c>
    </row>
    <row r="4367" spans="1:2" x14ac:dyDescent="0.2">
      <c r="A4367" s="2205" t="s">
        <v>10810</v>
      </c>
      <c r="B4367" s="2205">
        <v>-120.33</v>
      </c>
    </row>
    <row r="4368" spans="1:2" x14ac:dyDescent="0.2">
      <c r="A4368" s="2205" t="s">
        <v>10811</v>
      </c>
      <c r="B4368" s="2205">
        <v>195.58</v>
      </c>
    </row>
    <row r="4369" spans="1:2" x14ac:dyDescent="0.2">
      <c r="A4369" s="2205" t="s">
        <v>10812</v>
      </c>
      <c r="B4369" s="2205">
        <v>28.92</v>
      </c>
    </row>
    <row r="4370" spans="1:2" x14ac:dyDescent="0.2">
      <c r="A4370" s="2205" t="s">
        <v>10813</v>
      </c>
      <c r="B4370" s="2205">
        <v>210.47</v>
      </c>
    </row>
    <row r="4371" spans="1:2" x14ac:dyDescent="0.2">
      <c r="A4371" s="2205" t="s">
        <v>10814</v>
      </c>
      <c r="B4371" s="2205">
        <v>42.08</v>
      </c>
    </row>
    <row r="4372" spans="1:2" x14ac:dyDescent="0.2">
      <c r="A4372" s="2205" t="s">
        <v>10815</v>
      </c>
      <c r="B4372" s="2205">
        <v>559.57000000000005</v>
      </c>
    </row>
    <row r="4373" spans="1:2" x14ac:dyDescent="0.2">
      <c r="A4373" s="2205" t="s">
        <v>10816</v>
      </c>
      <c r="B4373" s="2205">
        <v>18.850000000000001</v>
      </c>
    </row>
    <row r="4374" spans="1:2" x14ac:dyDescent="0.2">
      <c r="A4374" s="2205" t="s">
        <v>10817</v>
      </c>
      <c r="B4374" s="2205">
        <v>20.350000000000001</v>
      </c>
    </row>
    <row r="4375" spans="1:2" x14ac:dyDescent="0.2">
      <c r="A4375" s="2205" t="s">
        <v>10818</v>
      </c>
      <c r="B4375" s="2205">
        <v>48.59</v>
      </c>
    </row>
    <row r="4376" spans="1:2" x14ac:dyDescent="0.2">
      <c r="A4376" s="2205" t="s">
        <v>10819</v>
      </c>
      <c r="B4376" s="2205">
        <v>99.92</v>
      </c>
    </row>
    <row r="4377" spans="1:2" x14ac:dyDescent="0.2">
      <c r="A4377" s="2205" t="s">
        <v>10820</v>
      </c>
      <c r="B4377" s="2205">
        <v>725.07</v>
      </c>
    </row>
    <row r="4378" spans="1:2" x14ac:dyDescent="0.2">
      <c r="A4378" s="2205" t="s">
        <v>10821</v>
      </c>
      <c r="B4378" s="2205">
        <v>2560.6999999999998</v>
      </c>
    </row>
    <row r="4379" spans="1:2" x14ac:dyDescent="0.2">
      <c r="A4379" s="2205" t="s">
        <v>10822</v>
      </c>
      <c r="B4379" s="2205">
        <v>115.68</v>
      </c>
    </row>
    <row r="4380" spans="1:2" x14ac:dyDescent="0.2">
      <c r="A4380" s="2205" t="s">
        <v>10823</v>
      </c>
      <c r="B4380" s="2205">
        <v>1052.1199999999999</v>
      </c>
    </row>
    <row r="4381" spans="1:2" x14ac:dyDescent="0.2">
      <c r="A4381" s="2205" t="s">
        <v>10824</v>
      </c>
      <c r="B4381" s="2205">
        <v>64.87</v>
      </c>
    </row>
    <row r="4382" spans="1:2" x14ac:dyDescent="0.2">
      <c r="A4382" s="2205" t="s">
        <v>10825</v>
      </c>
      <c r="B4382" s="2205">
        <v>22.59</v>
      </c>
    </row>
    <row r="4383" spans="1:2" x14ac:dyDescent="0.2">
      <c r="A4383" s="2205" t="s">
        <v>10826</v>
      </c>
      <c r="B4383" s="2205">
        <v>404.89</v>
      </c>
    </row>
    <row r="4384" spans="1:2" x14ac:dyDescent="0.2">
      <c r="A4384" s="2205" t="s">
        <v>10827</v>
      </c>
      <c r="B4384" s="2205">
        <v>105.15</v>
      </c>
    </row>
    <row r="4385" spans="1:2" x14ac:dyDescent="0.2">
      <c r="A4385" s="2205" t="s">
        <v>10828</v>
      </c>
      <c r="B4385" s="2205">
        <v>254.76</v>
      </c>
    </row>
    <row r="4386" spans="1:2" x14ac:dyDescent="0.2">
      <c r="A4386" s="2205" t="s">
        <v>10829</v>
      </c>
      <c r="B4386" s="2205">
        <v>2796.76</v>
      </c>
    </row>
    <row r="4387" spans="1:2" x14ac:dyDescent="0.2">
      <c r="A4387" s="2205" t="s">
        <v>10830</v>
      </c>
      <c r="B4387" s="2205">
        <v>24.3</v>
      </c>
    </row>
    <row r="4388" spans="1:2" x14ac:dyDescent="0.2">
      <c r="A4388" s="2205" t="s">
        <v>10831</v>
      </c>
      <c r="B4388" s="2205">
        <v>345.33</v>
      </c>
    </row>
    <row r="4389" spans="1:2" x14ac:dyDescent="0.2">
      <c r="A4389" s="2205" t="s">
        <v>10832</v>
      </c>
      <c r="B4389" s="2205">
        <v>90.04</v>
      </c>
    </row>
    <row r="4390" spans="1:2" x14ac:dyDescent="0.2">
      <c r="A4390" s="2205" t="s">
        <v>10833</v>
      </c>
      <c r="B4390" s="2205">
        <v>42.08</v>
      </c>
    </row>
    <row r="4391" spans="1:2" x14ac:dyDescent="0.2">
      <c r="A4391" s="2205" t="s">
        <v>10834</v>
      </c>
      <c r="B4391" s="2205">
        <v>84.16</v>
      </c>
    </row>
    <row r="4392" spans="1:2" x14ac:dyDescent="0.2">
      <c r="A4392" s="2205" t="s">
        <v>10835</v>
      </c>
      <c r="B4392" s="2205">
        <v>43.46</v>
      </c>
    </row>
    <row r="4393" spans="1:2" x14ac:dyDescent="0.2">
      <c r="A4393" s="2205" t="s">
        <v>10836</v>
      </c>
      <c r="B4393" s="2205">
        <v>112.21</v>
      </c>
    </row>
    <row r="4394" spans="1:2" x14ac:dyDescent="0.2">
      <c r="A4394" s="2205" t="s">
        <v>10837</v>
      </c>
      <c r="B4394" s="2205">
        <v>585.20000000000005</v>
      </c>
    </row>
    <row r="4395" spans="1:2" x14ac:dyDescent="0.2">
      <c r="A4395" s="2205" t="s">
        <v>10838</v>
      </c>
      <c r="B4395" s="2205">
        <v>1746.12</v>
      </c>
    </row>
    <row r="4396" spans="1:2" x14ac:dyDescent="0.2">
      <c r="A4396" s="2205" t="s">
        <v>10839</v>
      </c>
      <c r="B4396" s="2205">
        <v>63.83</v>
      </c>
    </row>
    <row r="4397" spans="1:2" x14ac:dyDescent="0.2">
      <c r="A4397" s="2205" t="s">
        <v>10840</v>
      </c>
      <c r="B4397" s="2205">
        <v>397.01</v>
      </c>
    </row>
    <row r="4398" spans="1:2" x14ac:dyDescent="0.2">
      <c r="A4398" s="2205" t="s">
        <v>10841</v>
      </c>
      <c r="B4398" s="2205">
        <v>1289.0899999999999</v>
      </c>
    </row>
    <row r="4399" spans="1:2" x14ac:dyDescent="0.2">
      <c r="A4399" s="2205" t="s">
        <v>10842</v>
      </c>
      <c r="B4399" s="2205">
        <v>314.42</v>
      </c>
    </row>
    <row r="4400" spans="1:2" x14ac:dyDescent="0.2">
      <c r="A4400" s="2205" t="s">
        <v>10843</v>
      </c>
      <c r="B4400" s="2205">
        <v>158.97</v>
      </c>
    </row>
    <row r="4401" spans="1:2" x14ac:dyDescent="0.2">
      <c r="A4401" s="2205" t="s">
        <v>10844</v>
      </c>
      <c r="B4401" s="2205">
        <v>117.48</v>
      </c>
    </row>
    <row r="4402" spans="1:2" x14ac:dyDescent="0.2">
      <c r="A4402" s="2205" t="s">
        <v>10845</v>
      </c>
      <c r="B4402" s="2205">
        <v>96.98</v>
      </c>
    </row>
    <row r="4403" spans="1:2" x14ac:dyDescent="0.2">
      <c r="A4403" s="2205" t="s">
        <v>10846</v>
      </c>
      <c r="B4403" s="2205">
        <v>1122.57</v>
      </c>
    </row>
    <row r="4404" spans="1:2" x14ac:dyDescent="0.2">
      <c r="A4404" s="2205" t="s">
        <v>10847</v>
      </c>
      <c r="B4404" s="2205">
        <v>19.28</v>
      </c>
    </row>
    <row r="4405" spans="1:2" x14ac:dyDescent="0.2">
      <c r="A4405" s="2205" t="s">
        <v>10848</v>
      </c>
      <c r="B4405" s="2205">
        <v>1011.39</v>
      </c>
    </row>
    <row r="4406" spans="1:2" x14ac:dyDescent="0.2">
      <c r="A4406" s="2205" t="s">
        <v>10849</v>
      </c>
      <c r="B4406" s="2205">
        <v>274.16000000000003</v>
      </c>
    </row>
    <row r="4407" spans="1:2" x14ac:dyDescent="0.2">
      <c r="A4407" s="2205" t="s">
        <v>10850</v>
      </c>
      <c r="B4407" s="2205">
        <v>11590.83</v>
      </c>
    </row>
    <row r="4408" spans="1:2" x14ac:dyDescent="0.2">
      <c r="A4408" s="2205" t="s">
        <v>10851</v>
      </c>
      <c r="B4408" s="2205">
        <v>72.3</v>
      </c>
    </row>
    <row r="4409" spans="1:2" x14ac:dyDescent="0.2">
      <c r="A4409" s="2205" t="s">
        <v>10852</v>
      </c>
      <c r="B4409" s="2205">
        <v>428.87</v>
      </c>
    </row>
    <row r="4410" spans="1:2" x14ac:dyDescent="0.2">
      <c r="A4410" s="2205" t="s">
        <v>10853</v>
      </c>
      <c r="B4410" s="2205">
        <v>21640.91</v>
      </c>
    </row>
    <row r="4411" spans="1:2" x14ac:dyDescent="0.2">
      <c r="A4411" s="2205" t="s">
        <v>10854</v>
      </c>
      <c r="B4411" s="2205">
        <v>43.46</v>
      </c>
    </row>
    <row r="4412" spans="1:2" x14ac:dyDescent="0.2">
      <c r="A4412" s="2205" t="s">
        <v>10855</v>
      </c>
      <c r="B4412" s="2205">
        <v>80.91</v>
      </c>
    </row>
    <row r="4413" spans="1:2" x14ac:dyDescent="0.2">
      <c r="A4413" s="2205" t="s">
        <v>10856</v>
      </c>
      <c r="B4413" s="2205">
        <v>21.73</v>
      </c>
    </row>
    <row r="4414" spans="1:2" x14ac:dyDescent="0.2">
      <c r="A4414" s="2205" t="s">
        <v>10857</v>
      </c>
      <c r="B4414" s="2205">
        <v>57.84</v>
      </c>
    </row>
    <row r="4415" spans="1:2" x14ac:dyDescent="0.2">
      <c r="A4415" s="2205" t="s">
        <v>10858</v>
      </c>
      <c r="B4415" s="2205">
        <v>182.72</v>
      </c>
    </row>
    <row r="4416" spans="1:2" x14ac:dyDescent="0.2">
      <c r="A4416" s="2205" t="s">
        <v>10859</v>
      </c>
      <c r="B4416" s="2205">
        <v>21.73</v>
      </c>
    </row>
    <row r="4417" spans="1:2" x14ac:dyDescent="0.2">
      <c r="A4417" s="2205" t="s">
        <v>10860</v>
      </c>
      <c r="B4417" s="2205">
        <v>762.59</v>
      </c>
    </row>
    <row r="4418" spans="1:2" x14ac:dyDescent="0.2">
      <c r="A4418" s="2205" t="s">
        <v>10861</v>
      </c>
      <c r="B4418" s="2205">
        <v>3087.16</v>
      </c>
    </row>
    <row r="4419" spans="1:2" x14ac:dyDescent="0.2">
      <c r="A4419" s="2205" t="s">
        <v>10862</v>
      </c>
      <c r="B4419" s="2205">
        <v>3718.55</v>
      </c>
    </row>
    <row r="4420" spans="1:2" x14ac:dyDescent="0.2">
      <c r="A4420" s="2205" t="s">
        <v>10863</v>
      </c>
      <c r="B4420" s="2205">
        <v>236.67</v>
      </c>
    </row>
    <row r="4421" spans="1:2" x14ac:dyDescent="0.2">
      <c r="A4421" s="2205" t="s">
        <v>10864</v>
      </c>
      <c r="B4421" s="2205">
        <v>83.64</v>
      </c>
    </row>
    <row r="4422" spans="1:2" x14ac:dyDescent="0.2">
      <c r="A4422" s="2205" t="s">
        <v>10865</v>
      </c>
      <c r="B4422" s="2205">
        <v>1108.3499999999999</v>
      </c>
    </row>
    <row r="4423" spans="1:2" x14ac:dyDescent="0.2">
      <c r="A4423" s="2205" t="s">
        <v>10866</v>
      </c>
      <c r="B4423" s="2205">
        <v>165.68</v>
      </c>
    </row>
    <row r="4424" spans="1:2" x14ac:dyDescent="0.2">
      <c r="A4424" s="2205" t="s">
        <v>10867</v>
      </c>
      <c r="B4424" s="2205">
        <v>518.77</v>
      </c>
    </row>
    <row r="4425" spans="1:2" x14ac:dyDescent="0.2">
      <c r="A4425" s="2205" t="s">
        <v>10868</v>
      </c>
      <c r="B4425" s="2205">
        <v>789.12</v>
      </c>
    </row>
    <row r="4426" spans="1:2" x14ac:dyDescent="0.2">
      <c r="A4426" s="2205" t="s">
        <v>10869</v>
      </c>
      <c r="B4426" s="2205">
        <v>203.78</v>
      </c>
    </row>
    <row r="4427" spans="1:2" x14ac:dyDescent="0.2">
      <c r="A4427" s="2205" t="s">
        <v>10870</v>
      </c>
      <c r="B4427" s="2205">
        <v>308.45</v>
      </c>
    </row>
    <row r="4428" spans="1:2" x14ac:dyDescent="0.2">
      <c r="A4428" s="2205" t="s">
        <v>10871</v>
      </c>
      <c r="B4428" s="2205">
        <v>105572.58</v>
      </c>
    </row>
    <row r="4429" spans="1:2" x14ac:dyDescent="0.2">
      <c r="A4429" s="2205" t="s">
        <v>10872</v>
      </c>
      <c r="B4429" s="2205">
        <v>7070.22</v>
      </c>
    </row>
    <row r="4430" spans="1:2" x14ac:dyDescent="0.2">
      <c r="A4430" s="2205" t="s">
        <v>10873</v>
      </c>
      <c r="B4430" s="2205">
        <v>1649.92</v>
      </c>
    </row>
    <row r="4431" spans="1:2" x14ac:dyDescent="0.2">
      <c r="A4431" s="2205" t="s">
        <v>10874</v>
      </c>
      <c r="B4431" s="2205">
        <v>663.07</v>
      </c>
    </row>
    <row r="4432" spans="1:2" x14ac:dyDescent="0.2">
      <c r="A4432" s="2205" t="s">
        <v>10875</v>
      </c>
      <c r="B4432" s="2205">
        <v>4306.46</v>
      </c>
    </row>
    <row r="4433" spans="1:2" x14ac:dyDescent="0.2">
      <c r="A4433" s="2205" t="s">
        <v>10876</v>
      </c>
      <c r="B4433" s="2205">
        <v>2676.88</v>
      </c>
    </row>
    <row r="4434" spans="1:2" x14ac:dyDescent="0.2">
      <c r="A4434" s="2205" t="s">
        <v>10877</v>
      </c>
      <c r="B4434" s="2205">
        <v>45.2</v>
      </c>
    </row>
    <row r="4435" spans="1:2" x14ac:dyDescent="0.2">
      <c r="A4435" s="2205" t="s">
        <v>10878</v>
      </c>
      <c r="B4435" s="2205">
        <v>21.73</v>
      </c>
    </row>
    <row r="4436" spans="1:2" x14ac:dyDescent="0.2">
      <c r="A4436" s="2205" t="s">
        <v>10879</v>
      </c>
      <c r="B4436" s="2205">
        <v>19.72</v>
      </c>
    </row>
    <row r="4437" spans="1:2" x14ac:dyDescent="0.2">
      <c r="A4437" s="2205" t="s">
        <v>10880</v>
      </c>
      <c r="B4437" s="2205">
        <v>42260.89</v>
      </c>
    </row>
    <row r="4438" spans="1:2" x14ac:dyDescent="0.2">
      <c r="A4438" s="2205" t="s">
        <v>10881</v>
      </c>
      <c r="B4438" s="2205">
        <v>253.08</v>
      </c>
    </row>
    <row r="4439" spans="1:2" x14ac:dyDescent="0.2">
      <c r="A4439" s="2205" t="s">
        <v>10882</v>
      </c>
      <c r="B4439" s="2205">
        <v>61.05</v>
      </c>
    </row>
    <row r="4440" spans="1:2" x14ac:dyDescent="0.2">
      <c r="A4440" s="2205" t="s">
        <v>10883</v>
      </c>
      <c r="B4440" s="2205">
        <v>10817.01</v>
      </c>
    </row>
    <row r="4441" spans="1:2" x14ac:dyDescent="0.2">
      <c r="A4441" s="2205" t="s">
        <v>10884</v>
      </c>
      <c r="B4441" s="2205">
        <v>1063.17</v>
      </c>
    </row>
    <row r="4442" spans="1:2" x14ac:dyDescent="0.2">
      <c r="A4442" s="2205" t="s">
        <v>10885</v>
      </c>
      <c r="B4442" s="2205">
        <v>36.11</v>
      </c>
    </row>
    <row r="4443" spans="1:2" x14ac:dyDescent="0.2">
      <c r="A4443" s="2205" t="s">
        <v>10886</v>
      </c>
      <c r="B4443" s="2205">
        <v>575.67999999999995</v>
      </c>
    </row>
    <row r="4444" spans="1:2" x14ac:dyDescent="0.2">
      <c r="A4444" s="2205" t="s">
        <v>10887</v>
      </c>
      <c r="B4444" s="2205">
        <v>509.65</v>
      </c>
    </row>
    <row r="4445" spans="1:2" x14ac:dyDescent="0.2">
      <c r="A4445" s="2205" t="s">
        <v>10888</v>
      </c>
      <c r="B4445" s="2205">
        <v>1582.1</v>
      </c>
    </row>
    <row r="4446" spans="1:2" x14ac:dyDescent="0.2">
      <c r="A4446" s="2205" t="s">
        <v>10889</v>
      </c>
      <c r="B4446" s="2205">
        <v>345.96</v>
      </c>
    </row>
    <row r="4447" spans="1:2" x14ac:dyDescent="0.2">
      <c r="A4447" s="2205" t="s">
        <v>10890</v>
      </c>
      <c r="B4447" s="2205">
        <v>136.59</v>
      </c>
    </row>
    <row r="4448" spans="1:2" x14ac:dyDescent="0.2">
      <c r="A4448" s="2205" t="s">
        <v>10891</v>
      </c>
      <c r="B4448" s="2205">
        <v>419.25</v>
      </c>
    </row>
    <row r="4449" spans="1:2" x14ac:dyDescent="0.2">
      <c r="A4449" s="2205" t="s">
        <v>10892</v>
      </c>
      <c r="B4449" s="2205">
        <v>549.16999999999996</v>
      </c>
    </row>
    <row r="4450" spans="1:2" x14ac:dyDescent="0.2">
      <c r="A4450" s="2205" t="s">
        <v>10893</v>
      </c>
      <c r="B4450" s="2205">
        <v>4729.42</v>
      </c>
    </row>
    <row r="4451" spans="1:2" x14ac:dyDescent="0.2">
      <c r="A4451" s="2205" t="s">
        <v>10894</v>
      </c>
      <c r="B4451" s="2205">
        <v>18.920000000000002</v>
      </c>
    </row>
    <row r="4452" spans="1:2" x14ac:dyDescent="0.2">
      <c r="A4452" s="2205" t="s">
        <v>10895</v>
      </c>
      <c r="B4452" s="2205">
        <v>41.45</v>
      </c>
    </row>
    <row r="4453" spans="1:2" x14ac:dyDescent="0.2">
      <c r="A4453" s="2205" t="s">
        <v>10896</v>
      </c>
      <c r="B4453" s="2205">
        <v>120.63</v>
      </c>
    </row>
    <row r="4454" spans="1:2" x14ac:dyDescent="0.2">
      <c r="A4454" s="2205" t="s">
        <v>10897</v>
      </c>
      <c r="B4454" s="2205">
        <v>258.93</v>
      </c>
    </row>
    <row r="4455" spans="1:2" x14ac:dyDescent="0.2">
      <c r="A4455" s="2205" t="s">
        <v>10898</v>
      </c>
      <c r="B4455" s="2205">
        <v>40.700000000000003</v>
      </c>
    </row>
    <row r="4456" spans="1:2" x14ac:dyDescent="0.2">
      <c r="A4456" s="2205" t="s">
        <v>10899</v>
      </c>
      <c r="B4456" s="2205">
        <v>178.97</v>
      </c>
    </row>
    <row r="4457" spans="1:2" x14ac:dyDescent="0.2">
      <c r="A4457" s="2205" t="s">
        <v>10900</v>
      </c>
      <c r="B4457" s="2205">
        <v>572.66</v>
      </c>
    </row>
    <row r="4458" spans="1:2" x14ac:dyDescent="0.2">
      <c r="A4458" s="2205" t="s">
        <v>10901</v>
      </c>
      <c r="B4458" s="2205">
        <v>12980.93</v>
      </c>
    </row>
    <row r="4459" spans="1:2" x14ac:dyDescent="0.2">
      <c r="A4459" s="2205" t="s">
        <v>10902</v>
      </c>
      <c r="B4459" s="2205">
        <v>6890.2</v>
      </c>
    </row>
    <row r="4460" spans="1:2" x14ac:dyDescent="0.2">
      <c r="A4460" s="2205" t="s">
        <v>10903</v>
      </c>
      <c r="B4460" s="2205">
        <v>240.83</v>
      </c>
    </row>
    <row r="4461" spans="1:2" x14ac:dyDescent="0.2">
      <c r="A4461" s="2205" t="s">
        <v>10904</v>
      </c>
      <c r="B4461" s="2205">
        <v>173.51</v>
      </c>
    </row>
    <row r="4462" spans="1:2" x14ac:dyDescent="0.2">
      <c r="A4462" s="2205" t="s">
        <v>10905</v>
      </c>
      <c r="B4462" s="2205">
        <v>550.72</v>
      </c>
    </row>
    <row r="4463" spans="1:2" x14ac:dyDescent="0.2">
      <c r="A4463" s="2205" t="s">
        <v>10906</v>
      </c>
      <c r="B4463" s="2205">
        <v>96916.75</v>
      </c>
    </row>
    <row r="4464" spans="1:2" x14ac:dyDescent="0.2">
      <c r="A4464" s="2205" t="s">
        <v>10907</v>
      </c>
      <c r="B4464" s="2205">
        <v>458.8</v>
      </c>
    </row>
    <row r="4465" spans="1:2" x14ac:dyDescent="0.2">
      <c r="A4465" s="2205" t="s">
        <v>10908</v>
      </c>
      <c r="B4465" s="2205">
        <v>90.7</v>
      </c>
    </row>
    <row r="4466" spans="1:2" x14ac:dyDescent="0.2">
      <c r="A4466" s="2205" t="s">
        <v>10909</v>
      </c>
      <c r="B4466" s="2205">
        <v>21.73</v>
      </c>
    </row>
    <row r="4467" spans="1:2" x14ac:dyDescent="0.2">
      <c r="A4467" s="2205" t="s">
        <v>10910</v>
      </c>
      <c r="B4467" s="2205">
        <v>312.2</v>
      </c>
    </row>
    <row r="4468" spans="1:2" x14ac:dyDescent="0.2">
      <c r="A4468" s="2205" t="s">
        <v>10911</v>
      </c>
      <c r="B4468" s="2205">
        <v>881.58</v>
      </c>
    </row>
    <row r="4469" spans="1:2" x14ac:dyDescent="0.2">
      <c r="A4469" s="2205" t="s">
        <v>10912</v>
      </c>
      <c r="B4469" s="2205">
        <v>903.5</v>
      </c>
    </row>
    <row r="4470" spans="1:2" x14ac:dyDescent="0.2">
      <c r="A4470" s="2205" t="s">
        <v>10913</v>
      </c>
      <c r="B4470" s="2205">
        <v>46.94</v>
      </c>
    </row>
    <row r="4471" spans="1:2" x14ac:dyDescent="0.2">
      <c r="A4471" s="2205" t="s">
        <v>10914</v>
      </c>
      <c r="B4471" s="2205">
        <v>20.350000000000001</v>
      </c>
    </row>
    <row r="4472" spans="1:2" x14ac:dyDescent="0.2">
      <c r="A4472" s="2205" t="s">
        <v>10915</v>
      </c>
      <c r="B4472" s="2205">
        <v>17508.07</v>
      </c>
    </row>
    <row r="4473" spans="1:2" x14ac:dyDescent="0.2">
      <c r="A4473" s="2205" t="s">
        <v>10916</v>
      </c>
      <c r="B4473" s="2205">
        <v>1676.09</v>
      </c>
    </row>
    <row r="4474" spans="1:2" x14ac:dyDescent="0.2">
      <c r="A4474" s="2205" t="s">
        <v>10917</v>
      </c>
      <c r="B4474" s="2205">
        <v>109.76</v>
      </c>
    </row>
    <row r="4475" spans="1:2" x14ac:dyDescent="0.2">
      <c r="A4475" s="2205" t="s">
        <v>10918</v>
      </c>
      <c r="B4475" s="2205">
        <v>464.52</v>
      </c>
    </row>
    <row r="4476" spans="1:2" x14ac:dyDescent="0.2">
      <c r="A4476" s="2205" t="s">
        <v>10919</v>
      </c>
      <c r="B4476" s="2205">
        <v>11.12</v>
      </c>
    </row>
    <row r="4477" spans="1:2" x14ac:dyDescent="0.2">
      <c r="A4477" s="2205" t="s">
        <v>10920</v>
      </c>
      <c r="B4477" s="2205">
        <v>2109.86</v>
      </c>
    </row>
    <row r="4478" spans="1:2" x14ac:dyDescent="0.2">
      <c r="A4478" s="2205" t="s">
        <v>10921</v>
      </c>
      <c r="B4478" s="2205">
        <v>15005.75</v>
      </c>
    </row>
    <row r="4479" spans="1:2" x14ac:dyDescent="0.2">
      <c r="A4479" s="2205" t="s">
        <v>10922</v>
      </c>
      <c r="B4479" s="2205">
        <v>218.86</v>
      </c>
    </row>
    <row r="4480" spans="1:2" x14ac:dyDescent="0.2">
      <c r="A4480" s="2205" t="s">
        <v>10923</v>
      </c>
      <c r="B4480" s="2205">
        <v>65.19</v>
      </c>
    </row>
    <row r="4481" spans="1:2" x14ac:dyDescent="0.2">
      <c r="A4481" s="2205" t="s">
        <v>10924</v>
      </c>
      <c r="B4481" s="2205">
        <v>17.66</v>
      </c>
    </row>
    <row r="4482" spans="1:2" x14ac:dyDescent="0.2">
      <c r="A4482" s="2205" t="s">
        <v>10925</v>
      </c>
      <c r="B4482" s="2205">
        <v>5007.51</v>
      </c>
    </row>
    <row r="4483" spans="1:2" x14ac:dyDescent="0.2">
      <c r="A4483" s="2205" t="s">
        <v>10926</v>
      </c>
      <c r="B4483" s="2205">
        <v>881.59</v>
      </c>
    </row>
    <row r="4484" spans="1:2" x14ac:dyDescent="0.2">
      <c r="A4484" s="2205" t="s">
        <v>10927</v>
      </c>
      <c r="B4484" s="2205">
        <v>65.510000000000005</v>
      </c>
    </row>
    <row r="4485" spans="1:2" x14ac:dyDescent="0.2">
      <c r="A4485" s="2205" t="s">
        <v>10928</v>
      </c>
      <c r="B4485" s="2205">
        <v>987.29</v>
      </c>
    </row>
    <row r="4486" spans="1:2" x14ac:dyDescent="0.2">
      <c r="A4486" s="2205" t="s">
        <v>10929</v>
      </c>
      <c r="B4486" s="2205">
        <v>337.73</v>
      </c>
    </row>
    <row r="4487" spans="1:2" x14ac:dyDescent="0.2">
      <c r="A4487" s="2205" t="s">
        <v>10930</v>
      </c>
      <c r="B4487" s="2205">
        <v>3019.31</v>
      </c>
    </row>
    <row r="4488" spans="1:2" x14ac:dyDescent="0.2">
      <c r="A4488" s="2205" t="s">
        <v>10931</v>
      </c>
      <c r="B4488" s="2205">
        <v>453.5</v>
      </c>
    </row>
    <row r="4489" spans="1:2" x14ac:dyDescent="0.2">
      <c r="A4489" s="2205" t="s">
        <v>10932</v>
      </c>
      <c r="B4489" s="2205">
        <v>1624.64</v>
      </c>
    </row>
    <row r="4490" spans="1:2" x14ac:dyDescent="0.2">
      <c r="A4490" s="2205" t="s">
        <v>10933</v>
      </c>
      <c r="B4490" s="2205">
        <v>95610.79</v>
      </c>
    </row>
    <row r="4491" spans="1:2" x14ac:dyDescent="0.2">
      <c r="A4491" s="2205" t="s">
        <v>10934</v>
      </c>
      <c r="B4491" s="2205">
        <v>17373.330000000002</v>
      </c>
    </row>
    <row r="4492" spans="1:2" x14ac:dyDescent="0.2">
      <c r="A4492" s="2205" t="s">
        <v>1667</v>
      </c>
      <c r="B4492" s="2205">
        <v>1020054.82</v>
      </c>
    </row>
    <row r="4493" spans="1:2" x14ac:dyDescent="0.2">
      <c r="A4493" s="2205" t="s">
        <v>203</v>
      </c>
      <c r="B4493" s="2205">
        <v>295965.40999999997</v>
      </c>
    </row>
    <row r="4494" spans="1:2" x14ac:dyDescent="0.2">
      <c r="A4494" s="2205" t="s">
        <v>1843</v>
      </c>
      <c r="B4494" s="2205">
        <v>10703.88</v>
      </c>
    </row>
    <row r="4495" spans="1:2" x14ac:dyDescent="0.2">
      <c r="A4495" s="2205" t="s">
        <v>10935</v>
      </c>
      <c r="B4495" s="2205">
        <v>27.96</v>
      </c>
    </row>
    <row r="4496" spans="1:2" x14ac:dyDescent="0.2">
      <c r="A4496" s="2205" t="s">
        <v>10936</v>
      </c>
      <c r="B4496" s="2205">
        <v>655.47</v>
      </c>
    </row>
    <row r="4497" spans="1:2" x14ac:dyDescent="0.2">
      <c r="A4497" s="2205" t="s">
        <v>984</v>
      </c>
      <c r="B4497" s="2205">
        <v>4934.17</v>
      </c>
    </row>
    <row r="4498" spans="1:2" x14ac:dyDescent="0.2">
      <c r="A4498" s="2205" t="s">
        <v>10937</v>
      </c>
      <c r="B4498" s="2205">
        <v>93.6</v>
      </c>
    </row>
    <row r="4499" spans="1:2" x14ac:dyDescent="0.2">
      <c r="A4499" s="2205" t="s">
        <v>10938</v>
      </c>
      <c r="B4499" s="2205">
        <v>49793.38</v>
      </c>
    </row>
    <row r="4500" spans="1:2" x14ac:dyDescent="0.2">
      <c r="A4500" s="2205" t="s">
        <v>10939</v>
      </c>
      <c r="B4500" s="2205">
        <v>178.32</v>
      </c>
    </row>
    <row r="4501" spans="1:2" x14ac:dyDescent="0.2">
      <c r="A4501" s="2205" t="s">
        <v>10940</v>
      </c>
      <c r="B4501" s="2205">
        <v>54382.400000000001</v>
      </c>
    </row>
    <row r="4502" spans="1:2" x14ac:dyDescent="0.2">
      <c r="A4502" s="2205" t="s">
        <v>10941</v>
      </c>
      <c r="B4502" s="2205">
        <v>55.12</v>
      </c>
    </row>
    <row r="4503" spans="1:2" x14ac:dyDescent="0.2">
      <c r="A4503" s="2205" t="s">
        <v>10942</v>
      </c>
      <c r="B4503" s="2205">
        <v>1415.11</v>
      </c>
    </row>
    <row r="4504" spans="1:2" x14ac:dyDescent="0.2">
      <c r="A4504" s="2205" t="s">
        <v>10943</v>
      </c>
      <c r="B4504" s="2205">
        <v>1494.27</v>
      </c>
    </row>
    <row r="4505" spans="1:2" x14ac:dyDescent="0.2">
      <c r="A4505" s="2205" t="s">
        <v>10944</v>
      </c>
      <c r="B4505" s="2205">
        <v>2918.67</v>
      </c>
    </row>
    <row r="4506" spans="1:2" x14ac:dyDescent="0.2">
      <c r="A4506" s="2205" t="s">
        <v>10945</v>
      </c>
      <c r="B4506" s="2205">
        <v>377.97</v>
      </c>
    </row>
    <row r="4507" spans="1:2" x14ac:dyDescent="0.2">
      <c r="A4507" s="2205" t="s">
        <v>10946</v>
      </c>
      <c r="B4507" s="2205">
        <v>181.34</v>
      </c>
    </row>
    <row r="4508" spans="1:2" x14ac:dyDescent="0.2">
      <c r="A4508" s="2205" t="s">
        <v>10947</v>
      </c>
      <c r="B4508" s="2205">
        <v>1470.57</v>
      </c>
    </row>
    <row r="4509" spans="1:2" x14ac:dyDescent="0.2">
      <c r="A4509" s="2205" t="s">
        <v>10948</v>
      </c>
      <c r="B4509" s="2205">
        <v>26933.87</v>
      </c>
    </row>
    <row r="4510" spans="1:2" x14ac:dyDescent="0.2">
      <c r="A4510" s="2205" t="s">
        <v>10949</v>
      </c>
      <c r="B4510" s="2205">
        <v>2640.41</v>
      </c>
    </row>
    <row r="4511" spans="1:2" x14ac:dyDescent="0.2">
      <c r="A4511" s="2205" t="s">
        <v>10950</v>
      </c>
      <c r="B4511" s="2205">
        <v>5981.79</v>
      </c>
    </row>
    <row r="4512" spans="1:2" x14ac:dyDescent="0.2">
      <c r="A4512" s="2205" t="s">
        <v>10951</v>
      </c>
      <c r="B4512" s="2205">
        <v>14091.54</v>
      </c>
    </row>
    <row r="4513" spans="1:2" x14ac:dyDescent="0.2">
      <c r="A4513" s="2205" t="s">
        <v>10952</v>
      </c>
      <c r="B4513" s="2205">
        <v>547.71</v>
      </c>
    </row>
    <row r="4514" spans="1:2" x14ac:dyDescent="0.2">
      <c r="A4514" s="2205" t="s">
        <v>10953</v>
      </c>
      <c r="B4514" s="2205">
        <v>16377.12</v>
      </c>
    </row>
    <row r="4515" spans="1:2" x14ac:dyDescent="0.2">
      <c r="A4515" s="2205" t="s">
        <v>10954</v>
      </c>
      <c r="B4515" s="2205">
        <v>5956.59</v>
      </c>
    </row>
    <row r="4516" spans="1:2" x14ac:dyDescent="0.2">
      <c r="A4516" s="2205" t="s">
        <v>10955</v>
      </c>
      <c r="B4516" s="2205">
        <v>1468.41</v>
      </c>
    </row>
    <row r="4517" spans="1:2" x14ac:dyDescent="0.2">
      <c r="A4517" s="2205" t="s">
        <v>10956</v>
      </c>
      <c r="B4517" s="2205">
        <v>547.99</v>
      </c>
    </row>
    <row r="4518" spans="1:2" x14ac:dyDescent="0.2">
      <c r="A4518" s="2205" t="s">
        <v>10957</v>
      </c>
      <c r="B4518" s="2205">
        <v>53033.63</v>
      </c>
    </row>
    <row r="4519" spans="1:2" x14ac:dyDescent="0.2">
      <c r="A4519" s="2205" t="s">
        <v>10958</v>
      </c>
      <c r="B4519" s="2205">
        <v>17947.189999999999</v>
      </c>
    </row>
    <row r="4520" spans="1:2" x14ac:dyDescent="0.2">
      <c r="A4520" s="2205" t="s">
        <v>10959</v>
      </c>
      <c r="B4520" s="2205">
        <v>213.84</v>
      </c>
    </row>
    <row r="4521" spans="1:2" x14ac:dyDescent="0.2">
      <c r="A4521" s="2205" t="s">
        <v>10960</v>
      </c>
      <c r="B4521" s="2205">
        <v>18936.21</v>
      </c>
    </row>
    <row r="4522" spans="1:2" x14ac:dyDescent="0.2">
      <c r="A4522" s="2205" t="s">
        <v>10961</v>
      </c>
      <c r="B4522" s="2205">
        <v>7901.17</v>
      </c>
    </row>
    <row r="4523" spans="1:2" x14ac:dyDescent="0.2">
      <c r="A4523" s="2205" t="s">
        <v>10962</v>
      </c>
      <c r="B4523" s="2205">
        <v>7501.25</v>
      </c>
    </row>
    <row r="4524" spans="1:2" x14ac:dyDescent="0.2">
      <c r="A4524" s="2205" t="s">
        <v>10963</v>
      </c>
      <c r="B4524" s="2205">
        <v>3.68</v>
      </c>
    </row>
    <row r="4525" spans="1:2" x14ac:dyDescent="0.2">
      <c r="A4525" s="2205" t="s">
        <v>10964</v>
      </c>
      <c r="B4525" s="2205">
        <v>1419.33</v>
      </c>
    </row>
    <row r="4526" spans="1:2" x14ac:dyDescent="0.2">
      <c r="A4526" s="2205" t="s">
        <v>10965</v>
      </c>
      <c r="B4526" s="2205">
        <v>5650.77</v>
      </c>
    </row>
    <row r="4527" spans="1:2" x14ac:dyDescent="0.2">
      <c r="A4527" s="2205" t="s">
        <v>10966</v>
      </c>
      <c r="B4527" s="2205">
        <v>11287.9</v>
      </c>
    </row>
    <row r="4528" spans="1:2" x14ac:dyDescent="0.2">
      <c r="A4528" s="2205" t="s">
        <v>10967</v>
      </c>
      <c r="B4528" s="2205">
        <v>9567.74</v>
      </c>
    </row>
    <row r="4529" spans="1:2" x14ac:dyDescent="0.2">
      <c r="A4529" s="2205" t="s">
        <v>10968</v>
      </c>
      <c r="B4529" s="2205">
        <v>44875.25</v>
      </c>
    </row>
    <row r="4530" spans="1:2" x14ac:dyDescent="0.2">
      <c r="A4530" s="2205" t="s">
        <v>10969</v>
      </c>
      <c r="B4530" s="2205">
        <v>3866.8</v>
      </c>
    </row>
    <row r="4531" spans="1:2" x14ac:dyDescent="0.2">
      <c r="A4531" s="2205" t="s">
        <v>10970</v>
      </c>
      <c r="B4531" s="2205">
        <v>68.819999999999993</v>
      </c>
    </row>
    <row r="4532" spans="1:2" x14ac:dyDescent="0.2">
      <c r="A4532" s="2205" t="s">
        <v>10971</v>
      </c>
      <c r="B4532" s="2205">
        <v>57.17</v>
      </c>
    </row>
    <row r="4533" spans="1:2" x14ac:dyDescent="0.2">
      <c r="A4533" s="2205" t="s">
        <v>10972</v>
      </c>
      <c r="B4533" s="2205">
        <v>24520.25</v>
      </c>
    </row>
    <row r="4534" spans="1:2" x14ac:dyDescent="0.2">
      <c r="A4534" s="2205" t="s">
        <v>10973</v>
      </c>
      <c r="B4534" s="2205">
        <v>51053.08</v>
      </c>
    </row>
    <row r="4535" spans="1:2" x14ac:dyDescent="0.2">
      <c r="A4535" s="2205" t="s">
        <v>10974</v>
      </c>
      <c r="B4535" s="2205">
        <v>3125.93</v>
      </c>
    </row>
    <row r="4536" spans="1:2" x14ac:dyDescent="0.2">
      <c r="A4536" s="2205" t="s">
        <v>10975</v>
      </c>
      <c r="B4536" s="2205">
        <v>925.99</v>
      </c>
    </row>
    <row r="4537" spans="1:2" x14ac:dyDescent="0.2">
      <c r="A4537" s="2205" t="s">
        <v>10976</v>
      </c>
      <c r="B4537" s="2205">
        <v>2566.3200000000002</v>
      </c>
    </row>
    <row r="4538" spans="1:2" x14ac:dyDescent="0.2">
      <c r="A4538" s="2205" t="s">
        <v>10977</v>
      </c>
      <c r="B4538" s="2205">
        <v>-24.56</v>
      </c>
    </row>
    <row r="4539" spans="1:2" x14ac:dyDescent="0.2">
      <c r="A4539" s="2205" t="s">
        <v>10978</v>
      </c>
      <c r="B4539" s="2205">
        <v>3674.2</v>
      </c>
    </row>
    <row r="4540" spans="1:2" x14ac:dyDescent="0.2">
      <c r="A4540" s="2205" t="s">
        <v>10979</v>
      </c>
      <c r="B4540" s="2205">
        <v>119.1</v>
      </c>
    </row>
    <row r="4541" spans="1:2" x14ac:dyDescent="0.2">
      <c r="A4541" s="2205" t="s">
        <v>10980</v>
      </c>
      <c r="B4541" s="2205">
        <v>364.31</v>
      </c>
    </row>
    <row r="4542" spans="1:2" x14ac:dyDescent="0.2">
      <c r="A4542" s="2205" t="s">
        <v>10981</v>
      </c>
      <c r="B4542" s="2205">
        <v>56289.04</v>
      </c>
    </row>
    <row r="4543" spans="1:2" x14ac:dyDescent="0.2">
      <c r="A4543" s="2205" t="s">
        <v>10982</v>
      </c>
      <c r="B4543" s="2205">
        <v>21231.119999999999</v>
      </c>
    </row>
    <row r="4544" spans="1:2" x14ac:dyDescent="0.2">
      <c r="A4544" s="2205" t="s">
        <v>10983</v>
      </c>
      <c r="B4544" s="2205">
        <v>7355.89</v>
      </c>
    </row>
    <row r="4545" spans="1:2" x14ac:dyDescent="0.2">
      <c r="A4545" s="2205" t="s">
        <v>10984</v>
      </c>
      <c r="B4545" s="2205">
        <v>2516.67</v>
      </c>
    </row>
    <row r="4546" spans="1:2" x14ac:dyDescent="0.2">
      <c r="A4546" s="2205" t="s">
        <v>10985</v>
      </c>
      <c r="B4546" s="2205">
        <v>138.55000000000001</v>
      </c>
    </row>
    <row r="4547" spans="1:2" x14ac:dyDescent="0.2">
      <c r="A4547" s="2205" t="s">
        <v>10986</v>
      </c>
      <c r="B4547" s="2205">
        <v>-12.76</v>
      </c>
    </row>
    <row r="4548" spans="1:2" x14ac:dyDescent="0.2">
      <c r="A4548" s="2205" t="s">
        <v>10987</v>
      </c>
      <c r="B4548" s="2205">
        <v>145.76</v>
      </c>
    </row>
    <row r="4549" spans="1:2" x14ac:dyDescent="0.2">
      <c r="A4549" s="2205" t="s">
        <v>10988</v>
      </c>
      <c r="B4549" s="2205">
        <v>1615.8</v>
      </c>
    </row>
    <row r="4550" spans="1:2" x14ac:dyDescent="0.2">
      <c r="A4550" s="2205" t="s">
        <v>10989</v>
      </c>
      <c r="B4550" s="2205">
        <v>1437.32</v>
      </c>
    </row>
    <row r="4551" spans="1:2" x14ac:dyDescent="0.2">
      <c r="A4551" s="2205" t="s">
        <v>10990</v>
      </c>
      <c r="B4551" s="2205">
        <v>5905.92</v>
      </c>
    </row>
    <row r="4552" spans="1:2" x14ac:dyDescent="0.2">
      <c r="A4552" s="2205" t="s">
        <v>871</v>
      </c>
      <c r="B4552" s="2205">
        <v>69902.06</v>
      </c>
    </row>
    <row r="4553" spans="1:2" x14ac:dyDescent="0.2">
      <c r="A4553" s="2205" t="s">
        <v>10991</v>
      </c>
      <c r="B4553" s="2205">
        <v>2440.25</v>
      </c>
    </row>
    <row r="4554" spans="1:2" x14ac:dyDescent="0.2">
      <c r="A4554" s="2205" t="s">
        <v>10992</v>
      </c>
      <c r="B4554" s="2205">
        <v>5749.81</v>
      </c>
    </row>
    <row r="4555" spans="1:2" x14ac:dyDescent="0.2">
      <c r="A4555" s="2205" t="s">
        <v>10993</v>
      </c>
      <c r="B4555" s="2205">
        <v>2537.64</v>
      </c>
    </row>
    <row r="4556" spans="1:2" x14ac:dyDescent="0.2">
      <c r="A4556" s="2205" t="s">
        <v>10994</v>
      </c>
      <c r="B4556" s="2205">
        <v>6173</v>
      </c>
    </row>
    <row r="4557" spans="1:2" x14ac:dyDescent="0.2">
      <c r="A4557" s="2205" t="s">
        <v>10995</v>
      </c>
      <c r="B4557" s="2205">
        <v>1014.42</v>
      </c>
    </row>
    <row r="4558" spans="1:2" x14ac:dyDescent="0.2">
      <c r="A4558" s="2205" t="s">
        <v>10996</v>
      </c>
      <c r="B4558" s="2205">
        <v>13187.43</v>
      </c>
    </row>
    <row r="4559" spans="1:2" x14ac:dyDescent="0.2">
      <c r="A4559" s="2205" t="s">
        <v>10997</v>
      </c>
      <c r="B4559" s="2205">
        <v>13091.01</v>
      </c>
    </row>
    <row r="4560" spans="1:2" x14ac:dyDescent="0.2">
      <c r="A4560" s="2205" t="s">
        <v>10998</v>
      </c>
      <c r="B4560" s="2205">
        <v>1177.49</v>
      </c>
    </row>
    <row r="4561" spans="1:2" x14ac:dyDescent="0.2">
      <c r="A4561" s="2205" t="s">
        <v>10999</v>
      </c>
      <c r="B4561" s="2205">
        <v>45431.93</v>
      </c>
    </row>
    <row r="4562" spans="1:2" x14ac:dyDescent="0.2">
      <c r="A4562" s="2205" t="s">
        <v>11000</v>
      </c>
      <c r="B4562" s="2205">
        <v>17059.07</v>
      </c>
    </row>
    <row r="4563" spans="1:2" x14ac:dyDescent="0.2">
      <c r="A4563" s="2205" t="s">
        <v>11001</v>
      </c>
      <c r="B4563" s="2205">
        <v>2812.84</v>
      </c>
    </row>
    <row r="4564" spans="1:2" x14ac:dyDescent="0.2">
      <c r="A4564" s="2205" t="s">
        <v>11002</v>
      </c>
      <c r="B4564" s="2205">
        <v>3179.7</v>
      </c>
    </row>
    <row r="4565" spans="1:2" x14ac:dyDescent="0.2">
      <c r="A4565" s="2205" t="s">
        <v>11003</v>
      </c>
      <c r="B4565" s="2205">
        <v>307.49</v>
      </c>
    </row>
    <row r="4566" spans="1:2" x14ac:dyDescent="0.2">
      <c r="A4566" s="2205" t="s">
        <v>11004</v>
      </c>
      <c r="B4566" s="2205">
        <v>41752.300000000003</v>
      </c>
    </row>
    <row r="4567" spans="1:2" x14ac:dyDescent="0.2">
      <c r="A4567" s="2205" t="s">
        <v>11005</v>
      </c>
      <c r="B4567" s="2205">
        <v>345.41</v>
      </c>
    </row>
    <row r="4568" spans="1:2" x14ac:dyDescent="0.2">
      <c r="A4568" s="2205" t="s">
        <v>11006</v>
      </c>
      <c r="B4568" s="2205">
        <v>1132.9000000000001</v>
      </c>
    </row>
    <row r="4569" spans="1:2" x14ac:dyDescent="0.2">
      <c r="A4569" s="2205" t="s">
        <v>381</v>
      </c>
      <c r="B4569" s="2205">
        <v>155792.66</v>
      </c>
    </row>
    <row r="4570" spans="1:2" x14ac:dyDescent="0.2">
      <c r="A4570" s="2205" t="s">
        <v>11007</v>
      </c>
      <c r="B4570" s="2205">
        <v>1523.08</v>
      </c>
    </row>
    <row r="4571" spans="1:2" x14ac:dyDescent="0.2">
      <c r="A4571" s="2205" t="s">
        <v>11008</v>
      </c>
      <c r="B4571" s="2205">
        <v>2057.77</v>
      </c>
    </row>
    <row r="4572" spans="1:2" x14ac:dyDescent="0.2">
      <c r="A4572" s="2205" t="s">
        <v>11009</v>
      </c>
      <c r="B4572" s="2205">
        <v>30558.35</v>
      </c>
    </row>
    <row r="4573" spans="1:2" x14ac:dyDescent="0.2">
      <c r="A4573" s="2205" t="s">
        <v>11010</v>
      </c>
      <c r="B4573" s="2205">
        <v>121.84</v>
      </c>
    </row>
    <row r="4574" spans="1:2" x14ac:dyDescent="0.2">
      <c r="A4574" s="2205" t="s">
        <v>11011</v>
      </c>
      <c r="B4574" s="2205">
        <v>1378.57</v>
      </c>
    </row>
    <row r="4575" spans="1:2" x14ac:dyDescent="0.2">
      <c r="A4575" s="2205" t="s">
        <v>11012</v>
      </c>
      <c r="B4575" s="2205">
        <v>91.93</v>
      </c>
    </row>
    <row r="4576" spans="1:2" x14ac:dyDescent="0.2">
      <c r="A4576" s="2205" t="s">
        <v>11013</v>
      </c>
      <c r="B4576" s="2205">
        <v>-2296.79</v>
      </c>
    </row>
    <row r="4577" spans="1:2" x14ac:dyDescent="0.2">
      <c r="A4577" s="2205" t="s">
        <v>11014</v>
      </c>
      <c r="B4577" s="2205">
        <v>563.6</v>
      </c>
    </row>
    <row r="4578" spans="1:2" x14ac:dyDescent="0.2">
      <c r="A4578" s="2205" t="s">
        <v>11015</v>
      </c>
      <c r="B4578" s="2205">
        <v>1224.19</v>
      </c>
    </row>
    <row r="4579" spans="1:2" x14ac:dyDescent="0.2">
      <c r="A4579" s="2205" t="s">
        <v>11016</v>
      </c>
      <c r="B4579" s="2205">
        <v>285.64999999999998</v>
      </c>
    </row>
    <row r="4580" spans="1:2" x14ac:dyDescent="0.2">
      <c r="A4580" s="2205" t="s">
        <v>11017</v>
      </c>
      <c r="B4580" s="2205">
        <v>65.510000000000005</v>
      </c>
    </row>
    <row r="4581" spans="1:2" x14ac:dyDescent="0.2">
      <c r="A4581" s="2205" t="s">
        <v>11018</v>
      </c>
      <c r="B4581" s="2205">
        <v>9638.8799999999992</v>
      </c>
    </row>
    <row r="4582" spans="1:2" x14ac:dyDescent="0.2">
      <c r="A4582" s="2205" t="s">
        <v>11019</v>
      </c>
      <c r="B4582" s="2205">
        <v>2260</v>
      </c>
    </row>
    <row r="4583" spans="1:2" x14ac:dyDescent="0.2">
      <c r="A4583" s="2205" t="s">
        <v>11020</v>
      </c>
      <c r="B4583" s="2205">
        <v>221.3</v>
      </c>
    </row>
    <row r="4584" spans="1:2" x14ac:dyDescent="0.2">
      <c r="A4584" s="2205" t="s">
        <v>11021</v>
      </c>
      <c r="B4584" s="2205">
        <v>896.17</v>
      </c>
    </row>
    <row r="4585" spans="1:2" x14ac:dyDescent="0.2">
      <c r="A4585" s="2205" t="s">
        <v>11022</v>
      </c>
      <c r="B4585" s="2205">
        <v>6604.71</v>
      </c>
    </row>
    <row r="4586" spans="1:2" x14ac:dyDescent="0.2">
      <c r="A4586" s="2205" t="s">
        <v>11023</v>
      </c>
      <c r="B4586" s="2205">
        <v>11419.68</v>
      </c>
    </row>
    <row r="4587" spans="1:2" x14ac:dyDescent="0.2">
      <c r="A4587" s="2205" t="s">
        <v>11024</v>
      </c>
      <c r="B4587" s="2205">
        <v>7043.59</v>
      </c>
    </row>
    <row r="4588" spans="1:2" x14ac:dyDescent="0.2">
      <c r="A4588" s="2205" t="s">
        <v>11025</v>
      </c>
      <c r="B4588" s="2205">
        <v>251.59</v>
      </c>
    </row>
    <row r="4589" spans="1:2" x14ac:dyDescent="0.2">
      <c r="A4589" s="2205" t="s">
        <v>11026</v>
      </c>
      <c r="B4589" s="2205">
        <v>392.22</v>
      </c>
    </row>
    <row r="4590" spans="1:2" x14ac:dyDescent="0.2">
      <c r="A4590" s="2205" t="s">
        <v>11027</v>
      </c>
      <c r="B4590" s="2205">
        <v>6067.79</v>
      </c>
    </row>
    <row r="4591" spans="1:2" x14ac:dyDescent="0.2">
      <c r="A4591" s="2205" t="s">
        <v>11028</v>
      </c>
      <c r="B4591" s="2205">
        <v>1837.47</v>
      </c>
    </row>
    <row r="4592" spans="1:2" x14ac:dyDescent="0.2">
      <c r="A4592" s="2205" t="s">
        <v>11029</v>
      </c>
      <c r="B4592" s="2205">
        <v>1986.16</v>
      </c>
    </row>
    <row r="4593" spans="1:2" x14ac:dyDescent="0.2">
      <c r="A4593" s="2205" t="s">
        <v>11030</v>
      </c>
      <c r="B4593" s="2205">
        <v>655.29999999999995</v>
      </c>
    </row>
    <row r="4594" spans="1:2" x14ac:dyDescent="0.2">
      <c r="A4594" s="2205" t="s">
        <v>11031</v>
      </c>
      <c r="B4594" s="2205">
        <v>6955.73</v>
      </c>
    </row>
    <row r="4595" spans="1:2" x14ac:dyDescent="0.2">
      <c r="A4595" s="2205" t="s">
        <v>11032</v>
      </c>
      <c r="B4595" s="2205">
        <v>56995.839999999997</v>
      </c>
    </row>
    <row r="4596" spans="1:2" x14ac:dyDescent="0.2">
      <c r="A4596" s="2205" t="s">
        <v>11033</v>
      </c>
      <c r="B4596" s="2205">
        <v>5130.68</v>
      </c>
    </row>
    <row r="4597" spans="1:2" x14ac:dyDescent="0.2">
      <c r="A4597" s="2205" t="s">
        <v>11034</v>
      </c>
      <c r="B4597" s="2205">
        <v>95.29</v>
      </c>
    </row>
    <row r="4598" spans="1:2" x14ac:dyDescent="0.2">
      <c r="A4598" s="2205" t="s">
        <v>11035</v>
      </c>
      <c r="B4598" s="2205">
        <v>458.03</v>
      </c>
    </row>
    <row r="4599" spans="1:2" x14ac:dyDescent="0.2">
      <c r="A4599" s="2205" t="s">
        <v>11036</v>
      </c>
      <c r="B4599" s="2205">
        <v>92213.57</v>
      </c>
    </row>
    <row r="4600" spans="1:2" x14ac:dyDescent="0.2">
      <c r="A4600" s="2205" t="s">
        <v>11037</v>
      </c>
      <c r="B4600" s="2205">
        <v>9004.0400000000009</v>
      </c>
    </row>
    <row r="4601" spans="1:2" x14ac:dyDescent="0.2">
      <c r="A4601" s="2205" t="s">
        <v>11038</v>
      </c>
      <c r="B4601" s="2205">
        <v>116.16</v>
      </c>
    </row>
    <row r="4602" spans="1:2" x14ac:dyDescent="0.2">
      <c r="A4602" s="2205" t="s">
        <v>11039</v>
      </c>
      <c r="B4602" s="2205">
        <v>17536.27</v>
      </c>
    </row>
    <row r="4603" spans="1:2" x14ac:dyDescent="0.2">
      <c r="A4603" s="2205" t="s">
        <v>11040</v>
      </c>
      <c r="B4603" s="2205">
        <v>74033.42</v>
      </c>
    </row>
    <row r="4604" spans="1:2" x14ac:dyDescent="0.2">
      <c r="A4604" s="2205" t="s">
        <v>11041</v>
      </c>
      <c r="B4604" s="2205">
        <v>151696.12</v>
      </c>
    </row>
    <row r="4605" spans="1:2" x14ac:dyDescent="0.2">
      <c r="A4605" s="2205" t="s">
        <v>11042</v>
      </c>
      <c r="B4605" s="2205">
        <v>58957.71</v>
      </c>
    </row>
    <row r="4606" spans="1:2" x14ac:dyDescent="0.2">
      <c r="A4606" s="2205" t="s">
        <v>11043</v>
      </c>
      <c r="B4606" s="2205">
        <v>39236.68</v>
      </c>
    </row>
    <row r="4607" spans="1:2" x14ac:dyDescent="0.2">
      <c r="A4607" s="2205" t="s">
        <v>11044</v>
      </c>
      <c r="B4607" s="2205">
        <v>70226.16</v>
      </c>
    </row>
    <row r="4608" spans="1:2" x14ac:dyDescent="0.2">
      <c r="A4608" s="2205" t="s">
        <v>11045</v>
      </c>
      <c r="B4608" s="2205">
        <v>12718.33</v>
      </c>
    </row>
    <row r="4609" spans="1:2" x14ac:dyDescent="0.2">
      <c r="A4609" s="2205" t="s">
        <v>11046</v>
      </c>
      <c r="B4609" s="2205">
        <v>32804.99</v>
      </c>
    </row>
    <row r="4610" spans="1:2" x14ac:dyDescent="0.2">
      <c r="A4610" s="2205" t="s">
        <v>11047</v>
      </c>
      <c r="B4610" s="2205">
        <v>4644.8</v>
      </c>
    </row>
    <row r="4611" spans="1:2" x14ac:dyDescent="0.2">
      <c r="A4611" s="2205" t="s">
        <v>11048</v>
      </c>
      <c r="B4611" s="2205">
        <v>11829.76</v>
      </c>
    </row>
    <row r="4612" spans="1:2" x14ac:dyDescent="0.2">
      <c r="A4612" s="2205" t="s">
        <v>11049</v>
      </c>
      <c r="B4612" s="2205">
        <v>34602.49</v>
      </c>
    </row>
    <row r="4613" spans="1:2" x14ac:dyDescent="0.2">
      <c r="A4613" s="2205" t="s">
        <v>11050</v>
      </c>
      <c r="B4613" s="2205">
        <v>1193.5999999999999</v>
      </c>
    </row>
    <row r="4614" spans="1:2" x14ac:dyDescent="0.2">
      <c r="A4614" s="2205" t="s">
        <v>11051</v>
      </c>
      <c r="B4614" s="2205">
        <v>9349.0400000000009</v>
      </c>
    </row>
    <row r="4615" spans="1:2" x14ac:dyDescent="0.2">
      <c r="A4615" s="2205" t="s">
        <v>11052</v>
      </c>
      <c r="B4615" s="2205">
        <v>2783.01</v>
      </c>
    </row>
    <row r="4616" spans="1:2" x14ac:dyDescent="0.2">
      <c r="A4616" s="2205" t="s">
        <v>11053</v>
      </c>
      <c r="B4616" s="2205">
        <v>8987.49</v>
      </c>
    </row>
    <row r="4617" spans="1:2" x14ac:dyDescent="0.2">
      <c r="A4617" s="2205" t="s">
        <v>11054</v>
      </c>
      <c r="B4617" s="2205">
        <v>5600.5</v>
      </c>
    </row>
    <row r="4618" spans="1:2" x14ac:dyDescent="0.2">
      <c r="A4618" s="2205" t="s">
        <v>11055</v>
      </c>
      <c r="B4618" s="2205">
        <v>9085.89</v>
      </c>
    </row>
    <row r="4619" spans="1:2" x14ac:dyDescent="0.2">
      <c r="A4619" s="2205" t="s">
        <v>11056</v>
      </c>
      <c r="B4619" s="2205">
        <v>15755.16</v>
      </c>
    </row>
    <row r="4620" spans="1:2" x14ac:dyDescent="0.2">
      <c r="A4620" s="2205" t="s">
        <v>11057</v>
      </c>
      <c r="B4620" s="2205">
        <v>1083.03</v>
      </c>
    </row>
    <row r="4621" spans="1:2" x14ac:dyDescent="0.2">
      <c r="A4621" s="2205" t="s">
        <v>11058</v>
      </c>
      <c r="B4621" s="2205">
        <v>737.17</v>
      </c>
    </row>
    <row r="4622" spans="1:2" x14ac:dyDescent="0.2">
      <c r="A4622" s="2205" t="s">
        <v>11059</v>
      </c>
      <c r="B4622" s="2205">
        <v>6000.32</v>
      </c>
    </row>
    <row r="4623" spans="1:2" x14ac:dyDescent="0.2">
      <c r="A4623" s="2205" t="s">
        <v>11060</v>
      </c>
      <c r="B4623" s="2205">
        <v>38253.78</v>
      </c>
    </row>
    <row r="4624" spans="1:2" x14ac:dyDescent="0.2">
      <c r="A4624" s="2205" t="s">
        <v>11061</v>
      </c>
      <c r="B4624" s="2205">
        <v>7567.08</v>
      </c>
    </row>
    <row r="4625" spans="1:2" x14ac:dyDescent="0.2">
      <c r="A4625" s="2205" t="s">
        <v>11062</v>
      </c>
      <c r="B4625" s="2205">
        <v>1211.3599999999999</v>
      </c>
    </row>
    <row r="4626" spans="1:2" x14ac:dyDescent="0.2">
      <c r="A4626" s="2205" t="s">
        <v>11063</v>
      </c>
      <c r="B4626" s="2205">
        <v>46.4</v>
      </c>
    </row>
    <row r="4627" spans="1:2" x14ac:dyDescent="0.2">
      <c r="A4627" s="2205" t="s">
        <v>11064</v>
      </c>
      <c r="B4627" s="2205">
        <v>1407.88</v>
      </c>
    </row>
    <row r="4628" spans="1:2" x14ac:dyDescent="0.2">
      <c r="A4628" s="2205" t="s">
        <v>11065</v>
      </c>
      <c r="B4628" s="2205">
        <v>16409.09</v>
      </c>
    </row>
    <row r="4629" spans="1:2" x14ac:dyDescent="0.2">
      <c r="A4629" s="2205" t="s">
        <v>11066</v>
      </c>
      <c r="B4629" s="2205">
        <v>371.21</v>
      </c>
    </row>
    <row r="4630" spans="1:2" x14ac:dyDescent="0.2">
      <c r="A4630" s="2205" t="s">
        <v>11067</v>
      </c>
      <c r="B4630" s="2205">
        <v>387.3</v>
      </c>
    </row>
    <row r="4631" spans="1:2" x14ac:dyDescent="0.2">
      <c r="A4631" s="2205" t="s">
        <v>11068</v>
      </c>
      <c r="B4631" s="2205">
        <v>5071.3900000000003</v>
      </c>
    </row>
    <row r="4632" spans="1:2" x14ac:dyDescent="0.2">
      <c r="A4632" s="2205" t="s">
        <v>11069</v>
      </c>
      <c r="B4632" s="2205">
        <v>222.11</v>
      </c>
    </row>
    <row r="4633" spans="1:2" x14ac:dyDescent="0.2">
      <c r="A4633" s="2205" t="s">
        <v>11070</v>
      </c>
      <c r="B4633" s="2205">
        <v>811.05</v>
      </c>
    </row>
    <row r="4634" spans="1:2" x14ac:dyDescent="0.2">
      <c r="A4634" s="2205" t="s">
        <v>11071</v>
      </c>
      <c r="B4634" s="2205">
        <v>313.24</v>
      </c>
    </row>
    <row r="4635" spans="1:2" x14ac:dyDescent="0.2">
      <c r="A4635" s="2205" t="s">
        <v>11072</v>
      </c>
      <c r="B4635" s="2205">
        <v>99.71</v>
      </c>
    </row>
    <row r="4636" spans="1:2" x14ac:dyDescent="0.2">
      <c r="A4636" s="2205" t="s">
        <v>11073</v>
      </c>
      <c r="B4636" s="2205">
        <v>221.69</v>
      </c>
    </row>
    <row r="4637" spans="1:2" x14ac:dyDescent="0.2">
      <c r="A4637" s="2205" t="s">
        <v>11074</v>
      </c>
      <c r="B4637" s="2205">
        <v>7714.14</v>
      </c>
    </row>
    <row r="4638" spans="1:2" x14ac:dyDescent="0.2">
      <c r="A4638" s="2205" t="s">
        <v>11075</v>
      </c>
      <c r="B4638" s="2205">
        <v>87.35</v>
      </c>
    </row>
    <row r="4639" spans="1:2" x14ac:dyDescent="0.2">
      <c r="A4639" s="2205" t="s">
        <v>11076</v>
      </c>
      <c r="B4639" s="2205">
        <v>395.99</v>
      </c>
    </row>
    <row r="4640" spans="1:2" x14ac:dyDescent="0.2">
      <c r="A4640" s="2205" t="s">
        <v>11077</v>
      </c>
      <c r="B4640" s="2205">
        <v>928.67</v>
      </c>
    </row>
    <row r="4641" spans="1:2" x14ac:dyDescent="0.2">
      <c r="A4641" s="2205" t="s">
        <v>11078</v>
      </c>
      <c r="B4641" s="2205">
        <v>68.5</v>
      </c>
    </row>
    <row r="4642" spans="1:2" x14ac:dyDescent="0.2">
      <c r="A4642" s="2205" t="s">
        <v>1795</v>
      </c>
      <c r="B4642" s="2205">
        <v>152638.15</v>
      </c>
    </row>
    <row r="4643" spans="1:2" x14ac:dyDescent="0.2">
      <c r="A4643" s="2205" t="s">
        <v>11079</v>
      </c>
      <c r="B4643" s="2205">
        <v>15861.84</v>
      </c>
    </row>
    <row r="4644" spans="1:2" x14ac:dyDescent="0.2">
      <c r="A4644" s="2205" t="s">
        <v>11080</v>
      </c>
      <c r="B4644" s="2205">
        <v>1083.3</v>
      </c>
    </row>
    <row r="4645" spans="1:2" x14ac:dyDescent="0.2">
      <c r="A4645" s="2205" t="s">
        <v>11081</v>
      </c>
      <c r="B4645" s="2205">
        <v>223.04</v>
      </c>
    </row>
    <row r="4646" spans="1:2" x14ac:dyDescent="0.2">
      <c r="A4646" s="2205" t="s">
        <v>11082</v>
      </c>
      <c r="B4646" s="2205">
        <v>7147.78</v>
      </c>
    </row>
    <row r="4647" spans="1:2" x14ac:dyDescent="0.2">
      <c r="A4647" s="2205" t="s">
        <v>11083</v>
      </c>
      <c r="B4647" s="2205">
        <v>1707.64</v>
      </c>
    </row>
    <row r="4648" spans="1:2" x14ac:dyDescent="0.2">
      <c r="A4648" s="2205" t="s">
        <v>11084</v>
      </c>
      <c r="B4648" s="2205">
        <v>3363.4</v>
      </c>
    </row>
    <row r="4649" spans="1:2" x14ac:dyDescent="0.2">
      <c r="A4649" s="2205" t="s">
        <v>11085</v>
      </c>
      <c r="B4649" s="2205">
        <v>19968.080000000002</v>
      </c>
    </row>
    <row r="4650" spans="1:2" x14ac:dyDescent="0.2">
      <c r="A4650" s="2205" t="s">
        <v>11086</v>
      </c>
      <c r="B4650" s="2205">
        <v>4158.05</v>
      </c>
    </row>
    <row r="4651" spans="1:2" x14ac:dyDescent="0.2">
      <c r="A4651" s="2205" t="s">
        <v>11087</v>
      </c>
      <c r="B4651" s="2205">
        <v>12.62</v>
      </c>
    </row>
    <row r="4652" spans="1:2" x14ac:dyDescent="0.2">
      <c r="A4652" s="2205" t="s">
        <v>11088</v>
      </c>
      <c r="B4652" s="2205">
        <v>438.66</v>
      </c>
    </row>
    <row r="4653" spans="1:2" x14ac:dyDescent="0.2">
      <c r="A4653" s="2205" t="s">
        <v>11089</v>
      </c>
      <c r="B4653" s="2205">
        <v>2226.62</v>
      </c>
    </row>
    <row r="4654" spans="1:2" x14ac:dyDescent="0.2">
      <c r="A4654" s="2205" t="s">
        <v>11090</v>
      </c>
      <c r="B4654" s="2205">
        <v>5437.02</v>
      </c>
    </row>
    <row r="4655" spans="1:2" x14ac:dyDescent="0.2">
      <c r="A4655" s="2205" t="s">
        <v>11091</v>
      </c>
      <c r="B4655" s="2205">
        <v>1890.34</v>
      </c>
    </row>
    <row r="4656" spans="1:2" x14ac:dyDescent="0.2">
      <c r="A4656" s="2205" t="s">
        <v>11092</v>
      </c>
      <c r="B4656" s="2205">
        <v>8685.86</v>
      </c>
    </row>
    <row r="4657" spans="1:2" x14ac:dyDescent="0.2">
      <c r="A4657" s="2205" t="s">
        <v>11093</v>
      </c>
      <c r="B4657" s="2205">
        <v>5985.75</v>
      </c>
    </row>
    <row r="4658" spans="1:2" x14ac:dyDescent="0.2">
      <c r="A4658" s="2205" t="s">
        <v>11094</v>
      </c>
      <c r="B4658" s="2205">
        <v>42.92</v>
      </c>
    </row>
    <row r="4659" spans="1:2" x14ac:dyDescent="0.2">
      <c r="A4659" s="2205" t="s">
        <v>11095</v>
      </c>
      <c r="B4659" s="2205">
        <v>11587.93</v>
      </c>
    </row>
    <row r="4660" spans="1:2" x14ac:dyDescent="0.2">
      <c r="A4660" s="2205" t="s">
        <v>11096</v>
      </c>
      <c r="B4660" s="2205">
        <v>3598.77</v>
      </c>
    </row>
    <row r="4661" spans="1:2" x14ac:dyDescent="0.2">
      <c r="A4661" s="2205" t="s">
        <v>11097</v>
      </c>
      <c r="B4661" s="2205">
        <v>1835.19</v>
      </c>
    </row>
    <row r="4662" spans="1:2" x14ac:dyDescent="0.2">
      <c r="A4662" s="2205" t="s">
        <v>11098</v>
      </c>
      <c r="B4662" s="2205">
        <v>766.01</v>
      </c>
    </row>
    <row r="4663" spans="1:2" x14ac:dyDescent="0.2">
      <c r="A4663" s="2205" t="s">
        <v>11099</v>
      </c>
      <c r="B4663" s="2205">
        <v>59206.15</v>
      </c>
    </row>
    <row r="4664" spans="1:2" x14ac:dyDescent="0.2">
      <c r="A4664" s="2205" t="s">
        <v>11100</v>
      </c>
      <c r="B4664" s="2205">
        <v>2670.51</v>
      </c>
    </row>
    <row r="4665" spans="1:2" x14ac:dyDescent="0.2">
      <c r="A4665" s="2205" t="s">
        <v>11101</v>
      </c>
      <c r="B4665" s="2205">
        <v>4648.33</v>
      </c>
    </row>
    <row r="4666" spans="1:2" x14ac:dyDescent="0.2">
      <c r="A4666" s="2205" t="s">
        <v>11102</v>
      </c>
      <c r="B4666" s="2205">
        <v>2585.73</v>
      </c>
    </row>
    <row r="4667" spans="1:2" x14ac:dyDescent="0.2">
      <c r="A4667" s="2205" t="s">
        <v>11103</v>
      </c>
      <c r="B4667" s="2205">
        <v>2123.23</v>
      </c>
    </row>
    <row r="4668" spans="1:2" x14ac:dyDescent="0.2">
      <c r="A4668" s="2205" t="s">
        <v>11104</v>
      </c>
      <c r="B4668" s="2205">
        <v>6040.03</v>
      </c>
    </row>
    <row r="4669" spans="1:2" x14ac:dyDescent="0.2">
      <c r="A4669" s="2205" t="s">
        <v>11105</v>
      </c>
      <c r="B4669" s="2205">
        <v>6690.85</v>
      </c>
    </row>
    <row r="4670" spans="1:2" x14ac:dyDescent="0.2">
      <c r="A4670" s="2205" t="s">
        <v>11106</v>
      </c>
      <c r="B4670" s="2205">
        <v>3134.75</v>
      </c>
    </row>
    <row r="4671" spans="1:2" x14ac:dyDescent="0.2">
      <c r="A4671" s="2205" t="s">
        <v>11107</v>
      </c>
      <c r="B4671" s="2205">
        <v>1686.99</v>
      </c>
    </row>
    <row r="4672" spans="1:2" x14ac:dyDescent="0.2">
      <c r="A4672" s="2205" t="s">
        <v>11108</v>
      </c>
      <c r="B4672" s="2205">
        <v>1937.32</v>
      </c>
    </row>
    <row r="4673" spans="1:2" x14ac:dyDescent="0.2">
      <c r="A4673" s="2205" t="s">
        <v>11109</v>
      </c>
      <c r="B4673" s="2205">
        <v>735.17</v>
      </c>
    </row>
    <row r="4674" spans="1:2" x14ac:dyDescent="0.2">
      <c r="A4674" s="2205" t="s">
        <v>11110</v>
      </c>
      <c r="B4674" s="2205">
        <v>2077.89</v>
      </c>
    </row>
    <row r="4675" spans="1:2" x14ac:dyDescent="0.2">
      <c r="A4675" s="2205" t="s">
        <v>11111</v>
      </c>
      <c r="B4675" s="2205">
        <v>447.23</v>
      </c>
    </row>
    <row r="4676" spans="1:2" x14ac:dyDescent="0.2">
      <c r="A4676" s="2205" t="s">
        <v>11112</v>
      </c>
      <c r="B4676" s="2205">
        <v>6972.38</v>
      </c>
    </row>
    <row r="4677" spans="1:2" x14ac:dyDescent="0.2">
      <c r="A4677" s="2205" t="s">
        <v>11113</v>
      </c>
      <c r="B4677" s="2205">
        <v>8502.48</v>
      </c>
    </row>
    <row r="4678" spans="1:2" x14ac:dyDescent="0.2">
      <c r="A4678" s="2205" t="s">
        <v>11114</v>
      </c>
      <c r="B4678" s="2205">
        <v>5383.35</v>
      </c>
    </row>
    <row r="4679" spans="1:2" x14ac:dyDescent="0.2">
      <c r="A4679" s="2205" t="s">
        <v>11115</v>
      </c>
      <c r="B4679" s="2205">
        <v>189.77</v>
      </c>
    </row>
    <row r="4680" spans="1:2" x14ac:dyDescent="0.2">
      <c r="A4680" s="2205" t="s">
        <v>11116</v>
      </c>
      <c r="B4680" s="2205">
        <v>1933.36</v>
      </c>
    </row>
    <row r="4681" spans="1:2" x14ac:dyDescent="0.2">
      <c r="A4681" s="2205" t="s">
        <v>11117</v>
      </c>
      <c r="B4681" s="2205">
        <v>846.62</v>
      </c>
    </row>
    <row r="4682" spans="1:2" x14ac:dyDescent="0.2">
      <c r="A4682" s="2205" t="s">
        <v>11118</v>
      </c>
      <c r="B4682" s="2205">
        <v>1011.81</v>
      </c>
    </row>
    <row r="4683" spans="1:2" x14ac:dyDescent="0.2">
      <c r="A4683" s="2205" t="s">
        <v>11119</v>
      </c>
      <c r="B4683" s="2205">
        <v>204.01</v>
      </c>
    </row>
    <row r="4684" spans="1:2" x14ac:dyDescent="0.2">
      <c r="A4684" s="2205" t="s">
        <v>11120</v>
      </c>
      <c r="B4684" s="2205">
        <v>235.83</v>
      </c>
    </row>
    <row r="4685" spans="1:2" x14ac:dyDescent="0.2">
      <c r="A4685" s="2205" t="s">
        <v>11121</v>
      </c>
      <c r="B4685" s="2205">
        <v>5929.25</v>
      </c>
    </row>
    <row r="4686" spans="1:2" x14ac:dyDescent="0.2">
      <c r="A4686" s="2205" t="s">
        <v>11122</v>
      </c>
      <c r="B4686" s="2205">
        <v>1388.05</v>
      </c>
    </row>
    <row r="4687" spans="1:2" x14ac:dyDescent="0.2">
      <c r="A4687" s="2205" t="s">
        <v>11123</v>
      </c>
      <c r="B4687" s="2205">
        <v>656.98</v>
      </c>
    </row>
    <row r="4688" spans="1:2" x14ac:dyDescent="0.2">
      <c r="A4688" s="2205" t="s">
        <v>11124</v>
      </c>
      <c r="B4688" s="2205">
        <v>66464.47</v>
      </c>
    </row>
    <row r="4689" spans="1:2" x14ac:dyDescent="0.2">
      <c r="A4689" s="2205" t="s">
        <v>11125</v>
      </c>
      <c r="B4689" s="2205">
        <v>1881.47</v>
      </c>
    </row>
    <row r="4690" spans="1:2" x14ac:dyDescent="0.2">
      <c r="A4690" s="2205" t="s">
        <v>11126</v>
      </c>
      <c r="B4690" s="2205">
        <v>-3.57</v>
      </c>
    </row>
    <row r="4691" spans="1:2" x14ac:dyDescent="0.2">
      <c r="A4691" s="2205" t="s">
        <v>11127</v>
      </c>
      <c r="B4691" s="2205">
        <v>20226.68</v>
      </c>
    </row>
    <row r="4692" spans="1:2" x14ac:dyDescent="0.2">
      <c r="A4692" s="2205" t="s">
        <v>11128</v>
      </c>
      <c r="B4692" s="2205">
        <v>4558.38</v>
      </c>
    </row>
    <row r="4693" spans="1:2" x14ac:dyDescent="0.2">
      <c r="A4693" s="2205" t="s">
        <v>11129</v>
      </c>
      <c r="B4693" s="2205">
        <v>4001.6</v>
      </c>
    </row>
    <row r="4694" spans="1:2" x14ac:dyDescent="0.2">
      <c r="A4694" s="2205" t="s">
        <v>11130</v>
      </c>
      <c r="B4694" s="2205">
        <v>43379.360000000001</v>
      </c>
    </row>
    <row r="4695" spans="1:2" x14ac:dyDescent="0.2">
      <c r="A4695" s="2205" t="s">
        <v>11131</v>
      </c>
      <c r="B4695" s="2205">
        <v>246.02</v>
      </c>
    </row>
    <row r="4696" spans="1:2" x14ac:dyDescent="0.2">
      <c r="A4696" s="2205" t="s">
        <v>11132</v>
      </c>
      <c r="B4696" s="2205">
        <v>10377.14</v>
      </c>
    </row>
    <row r="4697" spans="1:2" x14ac:dyDescent="0.2">
      <c r="A4697" s="2205" t="s">
        <v>11133</v>
      </c>
      <c r="B4697" s="2205">
        <v>1382.81</v>
      </c>
    </row>
    <row r="4698" spans="1:2" x14ac:dyDescent="0.2">
      <c r="A4698" s="2205" t="s">
        <v>11134</v>
      </c>
      <c r="B4698" s="2205">
        <v>25054.560000000001</v>
      </c>
    </row>
    <row r="4699" spans="1:2" x14ac:dyDescent="0.2">
      <c r="A4699" s="2205" t="s">
        <v>11135</v>
      </c>
      <c r="B4699" s="2205">
        <v>398.03</v>
      </c>
    </row>
    <row r="4700" spans="1:2" x14ac:dyDescent="0.2">
      <c r="A4700" s="2205" t="s">
        <v>11136</v>
      </c>
      <c r="B4700" s="2205">
        <v>3282.49</v>
      </c>
    </row>
    <row r="4701" spans="1:2" x14ac:dyDescent="0.2">
      <c r="A4701" s="2205" t="s">
        <v>11137</v>
      </c>
      <c r="B4701" s="2205">
        <v>451.82</v>
      </c>
    </row>
    <row r="4702" spans="1:2" x14ac:dyDescent="0.2">
      <c r="A4702" s="2205" t="s">
        <v>11138</v>
      </c>
      <c r="B4702" s="2205">
        <v>2989.3</v>
      </c>
    </row>
    <row r="4703" spans="1:2" x14ac:dyDescent="0.2">
      <c r="A4703" s="2205" t="s">
        <v>11139</v>
      </c>
      <c r="B4703" s="2205">
        <v>1348.41</v>
      </c>
    </row>
    <row r="4704" spans="1:2" x14ac:dyDescent="0.2">
      <c r="A4704" s="2205" t="s">
        <v>11140</v>
      </c>
      <c r="B4704" s="2205">
        <v>378.33</v>
      </c>
    </row>
    <row r="4705" spans="1:2" x14ac:dyDescent="0.2">
      <c r="A4705" s="2205" t="s">
        <v>11141</v>
      </c>
      <c r="B4705" s="2205">
        <v>1704.02</v>
      </c>
    </row>
    <row r="4706" spans="1:2" x14ac:dyDescent="0.2">
      <c r="A4706" s="2205" t="s">
        <v>11142</v>
      </c>
      <c r="B4706" s="2205">
        <v>1327.31</v>
      </c>
    </row>
    <row r="4707" spans="1:2" x14ac:dyDescent="0.2">
      <c r="A4707" s="2205" t="s">
        <v>11143</v>
      </c>
      <c r="B4707" s="2205">
        <v>2499.9899999999998</v>
      </c>
    </row>
    <row r="4708" spans="1:2" x14ac:dyDescent="0.2">
      <c r="A4708" s="2205" t="s">
        <v>11144</v>
      </c>
      <c r="B4708" s="2205">
        <v>4371.1400000000003</v>
      </c>
    </row>
    <row r="4709" spans="1:2" x14ac:dyDescent="0.2">
      <c r="A4709" s="2205" t="s">
        <v>11145</v>
      </c>
      <c r="B4709" s="2205">
        <v>9988.0300000000007</v>
      </c>
    </row>
    <row r="4710" spans="1:2" x14ac:dyDescent="0.2">
      <c r="A4710" s="2205" t="s">
        <v>11146</v>
      </c>
      <c r="B4710" s="2205">
        <v>1424.55</v>
      </c>
    </row>
    <row r="4711" spans="1:2" x14ac:dyDescent="0.2">
      <c r="A4711" s="2205" t="s">
        <v>11147</v>
      </c>
      <c r="B4711" s="2205">
        <v>3696.89</v>
      </c>
    </row>
    <row r="4712" spans="1:2" x14ac:dyDescent="0.2">
      <c r="A4712" s="2205" t="s">
        <v>11148</v>
      </c>
      <c r="B4712" s="2205">
        <v>24613.59</v>
      </c>
    </row>
    <row r="4713" spans="1:2" x14ac:dyDescent="0.2">
      <c r="A4713" s="2205" t="s">
        <v>11149</v>
      </c>
      <c r="B4713" s="2205">
        <v>23527.53</v>
      </c>
    </row>
    <row r="4714" spans="1:2" x14ac:dyDescent="0.2">
      <c r="A4714" s="2205" t="s">
        <v>11150</v>
      </c>
      <c r="B4714" s="2205">
        <v>420.75</v>
      </c>
    </row>
    <row r="4715" spans="1:2" x14ac:dyDescent="0.2">
      <c r="A4715" s="2205" t="s">
        <v>11151</v>
      </c>
      <c r="B4715" s="2205">
        <v>645.38</v>
      </c>
    </row>
    <row r="4716" spans="1:2" x14ac:dyDescent="0.2">
      <c r="A4716" s="2205" t="s">
        <v>11152</v>
      </c>
      <c r="B4716" s="2205">
        <v>3394.98</v>
      </c>
    </row>
    <row r="4717" spans="1:2" x14ac:dyDescent="0.2">
      <c r="A4717" s="2205" t="s">
        <v>11153</v>
      </c>
      <c r="B4717" s="2205">
        <v>2176.2399999999998</v>
      </c>
    </row>
    <row r="4718" spans="1:2" x14ac:dyDescent="0.2">
      <c r="A4718" s="2205" t="s">
        <v>11154</v>
      </c>
      <c r="B4718" s="2205">
        <v>19040.689999999999</v>
      </c>
    </row>
    <row r="4719" spans="1:2" x14ac:dyDescent="0.2">
      <c r="A4719" s="2205" t="s">
        <v>11155</v>
      </c>
      <c r="B4719" s="2205">
        <v>1450.82</v>
      </c>
    </row>
    <row r="4720" spans="1:2" x14ac:dyDescent="0.2">
      <c r="A4720" s="2205" t="s">
        <v>11156</v>
      </c>
      <c r="B4720" s="2205">
        <v>70.69</v>
      </c>
    </row>
    <row r="4721" spans="1:2" x14ac:dyDescent="0.2">
      <c r="A4721" s="2205" t="s">
        <v>11157</v>
      </c>
      <c r="B4721" s="2205">
        <v>4979.5</v>
      </c>
    </row>
    <row r="4722" spans="1:2" x14ac:dyDescent="0.2">
      <c r="A4722" s="2205" t="s">
        <v>11158</v>
      </c>
      <c r="B4722" s="2205">
        <v>1199.33</v>
      </c>
    </row>
    <row r="4723" spans="1:2" x14ac:dyDescent="0.2">
      <c r="A4723" s="2205" t="s">
        <v>11159</v>
      </c>
      <c r="B4723" s="2205">
        <v>3035.51</v>
      </c>
    </row>
    <row r="4724" spans="1:2" x14ac:dyDescent="0.2">
      <c r="A4724" s="2205" t="s">
        <v>11160</v>
      </c>
      <c r="B4724" s="2205">
        <v>1194.8</v>
      </c>
    </row>
    <row r="4725" spans="1:2" x14ac:dyDescent="0.2">
      <c r="A4725" s="2205" t="s">
        <v>11161</v>
      </c>
      <c r="B4725" s="2205">
        <v>456.19</v>
      </c>
    </row>
    <row r="4726" spans="1:2" x14ac:dyDescent="0.2">
      <c r="A4726" s="2205" t="s">
        <v>11162</v>
      </c>
      <c r="B4726" s="2205">
        <v>1714.2</v>
      </c>
    </row>
    <row r="4727" spans="1:2" x14ac:dyDescent="0.2">
      <c r="A4727" s="2205" t="s">
        <v>11163</v>
      </c>
      <c r="B4727" s="2205">
        <v>38070.839999999997</v>
      </c>
    </row>
    <row r="4728" spans="1:2" x14ac:dyDescent="0.2">
      <c r="A4728" s="2205" t="s">
        <v>11164</v>
      </c>
      <c r="B4728" s="2205">
        <v>90488.63</v>
      </c>
    </row>
    <row r="4729" spans="1:2" x14ac:dyDescent="0.2">
      <c r="A4729" s="2205" t="s">
        <v>11165</v>
      </c>
      <c r="B4729" s="2205">
        <v>68673.960000000006</v>
      </c>
    </row>
    <row r="4730" spans="1:2" x14ac:dyDescent="0.2">
      <c r="A4730" s="2205" t="s">
        <v>11166</v>
      </c>
      <c r="B4730" s="2205">
        <v>69403.97</v>
      </c>
    </row>
    <row r="4731" spans="1:2" x14ac:dyDescent="0.2">
      <c r="A4731" s="2205" t="s">
        <v>11167</v>
      </c>
      <c r="B4731" s="2205">
        <v>2739.25</v>
      </c>
    </row>
    <row r="4732" spans="1:2" x14ac:dyDescent="0.2">
      <c r="A4732" s="2205" t="s">
        <v>11168</v>
      </c>
      <c r="B4732" s="2205">
        <v>20494.330000000002</v>
      </c>
    </row>
    <row r="4733" spans="1:2" x14ac:dyDescent="0.2">
      <c r="A4733" s="2205" t="s">
        <v>11169</v>
      </c>
      <c r="B4733" s="2205">
        <v>45402.45</v>
      </c>
    </row>
    <row r="4734" spans="1:2" x14ac:dyDescent="0.2">
      <c r="A4734" s="2205" t="s">
        <v>11170</v>
      </c>
      <c r="B4734" s="2205">
        <v>2586.12</v>
      </c>
    </row>
    <row r="4735" spans="1:2" x14ac:dyDescent="0.2">
      <c r="A4735" s="2205" t="s">
        <v>11171</v>
      </c>
      <c r="B4735" s="2205">
        <v>3600.68</v>
      </c>
    </row>
    <row r="4736" spans="1:2" x14ac:dyDescent="0.2">
      <c r="A4736" s="2205" t="s">
        <v>11172</v>
      </c>
      <c r="B4736" s="2205">
        <v>896.23</v>
      </c>
    </row>
    <row r="4737" spans="1:2" x14ac:dyDescent="0.2">
      <c r="A4737" s="2205" t="s">
        <v>11173</v>
      </c>
      <c r="B4737" s="2205">
        <v>1057.92</v>
      </c>
    </row>
    <row r="4738" spans="1:2" x14ac:dyDescent="0.2">
      <c r="A4738" s="2205" t="s">
        <v>11174</v>
      </c>
      <c r="B4738" s="2205">
        <v>5003.29</v>
      </c>
    </row>
    <row r="4739" spans="1:2" x14ac:dyDescent="0.2">
      <c r="A4739" s="2205" t="s">
        <v>11175</v>
      </c>
      <c r="B4739" s="2205">
        <v>12852.81</v>
      </c>
    </row>
    <row r="4740" spans="1:2" x14ac:dyDescent="0.2">
      <c r="A4740" s="2205" t="s">
        <v>11176</v>
      </c>
      <c r="B4740" s="2205">
        <v>1095.9000000000001</v>
      </c>
    </row>
    <row r="4741" spans="1:2" x14ac:dyDescent="0.2">
      <c r="A4741" s="2205" t="s">
        <v>11177</v>
      </c>
      <c r="B4741" s="2205">
        <v>547.65</v>
      </c>
    </row>
    <row r="4742" spans="1:2" x14ac:dyDescent="0.2">
      <c r="A4742" s="2205" t="s">
        <v>11178</v>
      </c>
      <c r="B4742" s="2205">
        <v>3618.95</v>
      </c>
    </row>
    <row r="4743" spans="1:2" x14ac:dyDescent="0.2">
      <c r="A4743" s="2205" t="s">
        <v>11179</v>
      </c>
      <c r="B4743" s="2205">
        <v>2586.0300000000002</v>
      </c>
    </row>
    <row r="4744" spans="1:2" x14ac:dyDescent="0.2">
      <c r="A4744" s="2205" t="s">
        <v>11180</v>
      </c>
      <c r="B4744" s="2205">
        <v>6257.65</v>
      </c>
    </row>
    <row r="4745" spans="1:2" x14ac:dyDescent="0.2">
      <c r="A4745" s="2205" t="s">
        <v>11181</v>
      </c>
      <c r="B4745" s="2205">
        <v>1964.74</v>
      </c>
    </row>
    <row r="4746" spans="1:2" x14ac:dyDescent="0.2">
      <c r="A4746" s="2205" t="s">
        <v>11182</v>
      </c>
      <c r="B4746" s="2205">
        <v>63.22</v>
      </c>
    </row>
    <row r="4747" spans="1:2" x14ac:dyDescent="0.2">
      <c r="A4747" s="2205" t="s">
        <v>11183</v>
      </c>
      <c r="B4747" s="2205">
        <v>3234.99</v>
      </c>
    </row>
    <row r="4748" spans="1:2" x14ac:dyDescent="0.2">
      <c r="A4748" s="2205" t="s">
        <v>11184</v>
      </c>
      <c r="B4748" s="2205">
        <v>26079.01</v>
      </c>
    </row>
    <row r="4749" spans="1:2" x14ac:dyDescent="0.2">
      <c r="A4749" s="2205" t="s">
        <v>11185</v>
      </c>
      <c r="B4749" s="2205">
        <v>629.42999999999995</v>
      </c>
    </row>
    <row r="4750" spans="1:2" x14ac:dyDescent="0.2">
      <c r="A4750" s="2205" t="s">
        <v>11186</v>
      </c>
      <c r="B4750" s="2205">
        <v>68.819999999999993</v>
      </c>
    </row>
    <row r="4751" spans="1:2" x14ac:dyDescent="0.2">
      <c r="A4751" s="2205" t="s">
        <v>11187</v>
      </c>
      <c r="B4751" s="2205">
        <v>28869.96</v>
      </c>
    </row>
    <row r="4752" spans="1:2" x14ac:dyDescent="0.2">
      <c r="A4752" s="2205" t="s">
        <v>11188</v>
      </c>
      <c r="B4752" s="2205">
        <v>1748.36</v>
      </c>
    </row>
    <row r="4753" spans="1:2" x14ac:dyDescent="0.2">
      <c r="A4753" s="2205" t="s">
        <v>11189</v>
      </c>
      <c r="B4753" s="2205">
        <v>1737.45</v>
      </c>
    </row>
    <row r="4754" spans="1:2" x14ac:dyDescent="0.2">
      <c r="A4754" s="2205" t="s">
        <v>11190</v>
      </c>
      <c r="B4754" s="2205">
        <v>1130.8900000000001</v>
      </c>
    </row>
    <row r="4755" spans="1:2" x14ac:dyDescent="0.2">
      <c r="A4755" s="2205" t="s">
        <v>11191</v>
      </c>
      <c r="B4755" s="2205">
        <v>1189.68</v>
      </c>
    </row>
    <row r="4756" spans="1:2" x14ac:dyDescent="0.2">
      <c r="A4756" s="2205" t="s">
        <v>11192</v>
      </c>
      <c r="B4756" s="2205">
        <v>571.09</v>
      </c>
    </row>
    <row r="4757" spans="1:2" x14ac:dyDescent="0.2">
      <c r="A4757" s="2205" t="s">
        <v>11193</v>
      </c>
      <c r="B4757" s="2205">
        <v>162.75</v>
      </c>
    </row>
    <row r="4758" spans="1:2" x14ac:dyDescent="0.2">
      <c r="A4758" s="2205" t="s">
        <v>11194</v>
      </c>
      <c r="B4758" s="2205">
        <v>4130.29</v>
      </c>
    </row>
    <row r="4759" spans="1:2" x14ac:dyDescent="0.2">
      <c r="A4759" s="2205" t="s">
        <v>11195</v>
      </c>
      <c r="B4759" s="2205">
        <v>2268.65</v>
      </c>
    </row>
    <row r="4760" spans="1:2" x14ac:dyDescent="0.2">
      <c r="A4760" s="2205" t="s">
        <v>11196</v>
      </c>
      <c r="B4760" s="2205">
        <v>37478.19</v>
      </c>
    </row>
    <row r="4761" spans="1:2" x14ac:dyDescent="0.2">
      <c r="A4761" s="2205" t="s">
        <v>11197</v>
      </c>
      <c r="B4761" s="2205">
        <v>848.6</v>
      </c>
    </row>
    <row r="4762" spans="1:2" x14ac:dyDescent="0.2">
      <c r="A4762" s="2205" t="s">
        <v>1506</v>
      </c>
      <c r="B4762" s="2205">
        <v>76636.22</v>
      </c>
    </row>
    <row r="4763" spans="1:2" x14ac:dyDescent="0.2">
      <c r="A4763" s="2205" t="s">
        <v>11198</v>
      </c>
      <c r="B4763" s="2205">
        <v>2295.84</v>
      </c>
    </row>
    <row r="4764" spans="1:2" x14ac:dyDescent="0.2">
      <c r="A4764" s="2205" t="s">
        <v>11199</v>
      </c>
      <c r="B4764" s="2205">
        <v>23.82</v>
      </c>
    </row>
    <row r="4765" spans="1:2" x14ac:dyDescent="0.2">
      <c r="A4765" s="2205" t="s">
        <v>11200</v>
      </c>
      <c r="B4765" s="2205">
        <v>91.87</v>
      </c>
    </row>
    <row r="4766" spans="1:2" x14ac:dyDescent="0.2">
      <c r="A4766" s="2205" t="s">
        <v>11201</v>
      </c>
      <c r="B4766" s="2205">
        <v>256.02</v>
      </c>
    </row>
    <row r="4767" spans="1:2" x14ac:dyDescent="0.2">
      <c r="A4767" s="2205" t="s">
        <v>11202</v>
      </c>
      <c r="B4767" s="2205">
        <v>38.06</v>
      </c>
    </row>
    <row r="4768" spans="1:2" x14ac:dyDescent="0.2">
      <c r="A4768" s="2205" t="s">
        <v>11203</v>
      </c>
      <c r="B4768" s="2205">
        <v>254.2</v>
      </c>
    </row>
    <row r="4769" spans="1:2" x14ac:dyDescent="0.2">
      <c r="A4769" s="2205" t="s">
        <v>11204</v>
      </c>
      <c r="B4769" s="2205">
        <v>13404.7</v>
      </c>
    </row>
    <row r="4770" spans="1:2" x14ac:dyDescent="0.2">
      <c r="A4770" s="2205" t="s">
        <v>11205</v>
      </c>
      <c r="B4770" s="2205">
        <v>78.680000000000007</v>
      </c>
    </row>
    <row r="4771" spans="1:2" x14ac:dyDescent="0.2">
      <c r="A4771" s="2205" t="s">
        <v>1130</v>
      </c>
      <c r="B4771" s="2205">
        <v>162129.73000000001</v>
      </c>
    </row>
    <row r="4772" spans="1:2" x14ac:dyDescent="0.2">
      <c r="A4772" s="2205" t="s">
        <v>11206</v>
      </c>
      <c r="B4772" s="2205">
        <v>36.409999999999997</v>
      </c>
    </row>
    <row r="4773" spans="1:2" x14ac:dyDescent="0.2">
      <c r="A4773" s="2205" t="s">
        <v>11207</v>
      </c>
      <c r="B4773" s="2205">
        <v>12799.24</v>
      </c>
    </row>
    <row r="4774" spans="1:2" x14ac:dyDescent="0.2">
      <c r="A4774" s="2205" t="s">
        <v>11208</v>
      </c>
      <c r="B4774" s="2205">
        <v>703.02</v>
      </c>
    </row>
    <row r="4775" spans="1:2" x14ac:dyDescent="0.2">
      <c r="A4775" s="2205" t="s">
        <v>11209</v>
      </c>
      <c r="B4775" s="2205">
        <v>38623.56</v>
      </c>
    </row>
    <row r="4776" spans="1:2" x14ac:dyDescent="0.2">
      <c r="A4776" s="2205" t="s">
        <v>11210</v>
      </c>
      <c r="B4776" s="2205">
        <v>152.86000000000001</v>
      </c>
    </row>
    <row r="4777" spans="1:2" x14ac:dyDescent="0.2">
      <c r="A4777" s="2205" t="s">
        <v>11211</v>
      </c>
      <c r="B4777" s="2205">
        <v>813.46</v>
      </c>
    </row>
    <row r="4778" spans="1:2" x14ac:dyDescent="0.2">
      <c r="A4778" s="2205" t="s">
        <v>11212</v>
      </c>
      <c r="B4778" s="2205">
        <v>1687.84</v>
      </c>
    </row>
    <row r="4779" spans="1:2" x14ac:dyDescent="0.2">
      <c r="A4779" s="2205" t="s">
        <v>11213</v>
      </c>
      <c r="B4779" s="2205">
        <v>580.76</v>
      </c>
    </row>
    <row r="4780" spans="1:2" x14ac:dyDescent="0.2">
      <c r="A4780" s="2205" t="s">
        <v>11214</v>
      </c>
      <c r="B4780" s="2205">
        <v>4715.7</v>
      </c>
    </row>
    <row r="4781" spans="1:2" x14ac:dyDescent="0.2">
      <c r="A4781" s="2205" t="s">
        <v>11215</v>
      </c>
      <c r="B4781" s="2205">
        <v>113.38</v>
      </c>
    </row>
    <row r="4782" spans="1:2" x14ac:dyDescent="0.2">
      <c r="A4782" s="2205" t="s">
        <v>11216</v>
      </c>
      <c r="B4782" s="2205">
        <v>385.35</v>
      </c>
    </row>
    <row r="4783" spans="1:2" x14ac:dyDescent="0.2">
      <c r="A4783" s="2205" t="s">
        <v>6137</v>
      </c>
      <c r="B4783" s="2205">
        <v>214451.82</v>
      </c>
    </row>
    <row r="4784" spans="1:2" x14ac:dyDescent="0.2">
      <c r="A4784" s="2205" t="s">
        <v>2147</v>
      </c>
      <c r="B4784" s="2205">
        <v>51425.71</v>
      </c>
    </row>
    <row r="4785" spans="1:2" x14ac:dyDescent="0.2">
      <c r="A4785" s="2205" t="s">
        <v>11217</v>
      </c>
      <c r="B4785" s="2205">
        <v>387.92</v>
      </c>
    </row>
    <row r="4786" spans="1:2" x14ac:dyDescent="0.2">
      <c r="A4786" s="2205" t="s">
        <v>11218</v>
      </c>
      <c r="B4786" s="2205">
        <v>22294.89</v>
      </c>
    </row>
    <row r="4787" spans="1:2" x14ac:dyDescent="0.2">
      <c r="A4787" s="2205" t="s">
        <v>11219</v>
      </c>
      <c r="B4787" s="2205">
        <v>3711.24</v>
      </c>
    </row>
    <row r="4788" spans="1:2" x14ac:dyDescent="0.2">
      <c r="A4788" s="2205" t="s">
        <v>11220</v>
      </c>
      <c r="B4788" s="2205">
        <v>20535.05</v>
      </c>
    </row>
    <row r="4789" spans="1:2" x14ac:dyDescent="0.2">
      <c r="A4789" s="2205" t="s">
        <v>11221</v>
      </c>
      <c r="B4789" s="2205">
        <v>24417.22</v>
      </c>
    </row>
    <row r="4790" spans="1:2" x14ac:dyDescent="0.2">
      <c r="A4790" s="2205" t="s">
        <v>11222</v>
      </c>
      <c r="B4790" s="2205">
        <v>128.28</v>
      </c>
    </row>
    <row r="4791" spans="1:2" x14ac:dyDescent="0.2">
      <c r="A4791" s="2205" t="s">
        <v>11223</v>
      </c>
      <c r="B4791" s="2205">
        <v>875.02</v>
      </c>
    </row>
    <row r="4792" spans="1:2" x14ac:dyDescent="0.2">
      <c r="A4792" s="2205" t="s">
        <v>11224</v>
      </c>
      <c r="B4792" s="2205">
        <v>2605.48</v>
      </c>
    </row>
    <row r="4793" spans="1:2" x14ac:dyDescent="0.2">
      <c r="A4793" s="2205" t="s">
        <v>11225</v>
      </c>
      <c r="B4793" s="2205">
        <v>22664.14</v>
      </c>
    </row>
    <row r="4794" spans="1:2" x14ac:dyDescent="0.2">
      <c r="A4794" s="2205" t="s">
        <v>11226</v>
      </c>
      <c r="B4794" s="2205">
        <v>10216.67</v>
      </c>
    </row>
    <row r="4795" spans="1:2" x14ac:dyDescent="0.2">
      <c r="A4795" s="2205" t="s">
        <v>11227</v>
      </c>
      <c r="B4795" s="2205">
        <v>300.43</v>
      </c>
    </row>
    <row r="4796" spans="1:2" x14ac:dyDescent="0.2">
      <c r="A4796" s="2205" t="s">
        <v>11228</v>
      </c>
      <c r="B4796" s="2205">
        <v>8306.93</v>
      </c>
    </row>
    <row r="4797" spans="1:2" x14ac:dyDescent="0.2">
      <c r="A4797" s="2205" t="s">
        <v>11229</v>
      </c>
      <c r="B4797" s="2205">
        <v>30596.22</v>
      </c>
    </row>
    <row r="4798" spans="1:2" x14ac:dyDescent="0.2">
      <c r="A4798" s="2205" t="s">
        <v>11230</v>
      </c>
      <c r="B4798" s="2205">
        <v>10398.49</v>
      </c>
    </row>
    <row r="4799" spans="1:2" x14ac:dyDescent="0.2">
      <c r="A4799" s="2205" t="s">
        <v>11231</v>
      </c>
      <c r="B4799" s="2205">
        <v>3261.19</v>
      </c>
    </row>
    <row r="4800" spans="1:2" x14ac:dyDescent="0.2">
      <c r="A4800" s="2205" t="s">
        <v>11232</v>
      </c>
      <c r="B4800" s="2205">
        <v>48995.35</v>
      </c>
    </row>
    <row r="4801" spans="1:2" x14ac:dyDescent="0.2">
      <c r="A4801" s="2205" t="s">
        <v>11233</v>
      </c>
      <c r="B4801" s="2205">
        <v>52514.89</v>
      </c>
    </row>
    <row r="4802" spans="1:2" x14ac:dyDescent="0.2">
      <c r="A4802" s="2205" t="s">
        <v>11234</v>
      </c>
      <c r="B4802" s="2205">
        <v>36936.76</v>
      </c>
    </row>
    <row r="4803" spans="1:2" x14ac:dyDescent="0.2">
      <c r="A4803" s="2205" t="s">
        <v>11235</v>
      </c>
      <c r="B4803" s="2205">
        <v>91628.5</v>
      </c>
    </row>
    <row r="4804" spans="1:2" x14ac:dyDescent="0.2">
      <c r="A4804" s="2205" t="s">
        <v>11236</v>
      </c>
      <c r="B4804" s="2205">
        <v>28956</v>
      </c>
    </row>
    <row r="4805" spans="1:2" x14ac:dyDescent="0.2">
      <c r="A4805" s="2205" t="s">
        <v>11237</v>
      </c>
      <c r="B4805" s="2205">
        <v>5892.03</v>
      </c>
    </row>
    <row r="4806" spans="1:2" x14ac:dyDescent="0.2">
      <c r="A4806" s="2205" t="s">
        <v>11238</v>
      </c>
      <c r="B4806" s="2205">
        <v>5242.21</v>
      </c>
    </row>
    <row r="4807" spans="1:2" x14ac:dyDescent="0.2">
      <c r="A4807" s="2205" t="s">
        <v>11239</v>
      </c>
      <c r="B4807" s="2205">
        <v>5272.38</v>
      </c>
    </row>
    <row r="4808" spans="1:2" x14ac:dyDescent="0.2">
      <c r="A4808" s="2205" t="s">
        <v>11240</v>
      </c>
      <c r="B4808" s="2205">
        <v>18295.189999999999</v>
      </c>
    </row>
    <row r="4809" spans="1:2" x14ac:dyDescent="0.2">
      <c r="A4809" s="2205" t="s">
        <v>11241</v>
      </c>
      <c r="B4809" s="2205">
        <v>1298.98</v>
      </c>
    </row>
    <row r="4810" spans="1:2" x14ac:dyDescent="0.2">
      <c r="A4810" s="2205" t="s">
        <v>11242</v>
      </c>
      <c r="B4810" s="2205">
        <v>6974.22</v>
      </c>
    </row>
    <row r="4811" spans="1:2" x14ac:dyDescent="0.2">
      <c r="A4811" s="2205" t="s">
        <v>11243</v>
      </c>
      <c r="B4811" s="2205">
        <v>5388.93</v>
      </c>
    </row>
    <row r="4812" spans="1:2" x14ac:dyDescent="0.2">
      <c r="A4812" s="2205" t="s">
        <v>11244</v>
      </c>
      <c r="B4812" s="2205">
        <v>19985.2</v>
      </c>
    </row>
    <row r="4813" spans="1:2" x14ac:dyDescent="0.2">
      <c r="A4813" s="2205" t="s">
        <v>11245</v>
      </c>
      <c r="B4813" s="2205">
        <v>182.64</v>
      </c>
    </row>
    <row r="4814" spans="1:2" x14ac:dyDescent="0.2">
      <c r="A4814" s="2205" t="s">
        <v>11246</v>
      </c>
      <c r="B4814" s="2205">
        <v>11156.23</v>
      </c>
    </row>
    <row r="4815" spans="1:2" x14ac:dyDescent="0.2">
      <c r="A4815" s="2205" t="s">
        <v>11247</v>
      </c>
      <c r="B4815" s="2205">
        <v>13213.35</v>
      </c>
    </row>
    <row r="4816" spans="1:2" x14ac:dyDescent="0.2">
      <c r="A4816" s="2205" t="s">
        <v>11248</v>
      </c>
      <c r="B4816" s="2205">
        <v>10614.12</v>
      </c>
    </row>
    <row r="4817" spans="1:2" x14ac:dyDescent="0.2">
      <c r="A4817" s="2205" t="s">
        <v>11249</v>
      </c>
      <c r="B4817" s="2205">
        <v>24771.45</v>
      </c>
    </row>
    <row r="4818" spans="1:2" x14ac:dyDescent="0.2">
      <c r="A4818" s="2205" t="s">
        <v>11250</v>
      </c>
      <c r="B4818" s="2205">
        <v>447.31</v>
      </c>
    </row>
    <row r="4819" spans="1:2" x14ac:dyDescent="0.2">
      <c r="A4819" s="2205" t="s">
        <v>11251</v>
      </c>
      <c r="B4819" s="2205">
        <v>1614.24</v>
      </c>
    </row>
    <row r="4820" spans="1:2" x14ac:dyDescent="0.2">
      <c r="A4820" s="2205" t="s">
        <v>11252</v>
      </c>
      <c r="B4820" s="2205">
        <v>18332.22</v>
      </c>
    </row>
    <row r="4821" spans="1:2" x14ac:dyDescent="0.2">
      <c r="A4821" s="2205" t="s">
        <v>2978</v>
      </c>
      <c r="B4821" s="2205">
        <v>0</v>
      </c>
    </row>
    <row r="4822" spans="1:2" x14ac:dyDescent="0.2">
      <c r="A4822" s="2205" t="s">
        <v>11253</v>
      </c>
      <c r="B4822" s="2205">
        <v>1626.95</v>
      </c>
    </row>
    <row r="4823" spans="1:2" x14ac:dyDescent="0.2">
      <c r="A4823" s="2205" t="s">
        <v>11254</v>
      </c>
      <c r="B4823" s="2205">
        <v>698.65</v>
      </c>
    </row>
    <row r="4824" spans="1:2" x14ac:dyDescent="0.2">
      <c r="A4824" s="2205" t="s">
        <v>7247</v>
      </c>
      <c r="B4824" s="2205">
        <v>-47105.43</v>
      </c>
    </row>
    <row r="4825" spans="1:2" x14ac:dyDescent="0.2">
      <c r="A4825" s="2205" t="s">
        <v>11255</v>
      </c>
      <c r="B4825" s="2205">
        <v>112.1</v>
      </c>
    </row>
    <row r="4826" spans="1:2" x14ac:dyDescent="0.2">
      <c r="A4826" s="2205" t="s">
        <v>11256</v>
      </c>
      <c r="B4826" s="2205">
        <v>16990</v>
      </c>
    </row>
    <row r="4827" spans="1:2" x14ac:dyDescent="0.2">
      <c r="A4827" s="2205" t="s">
        <v>1223</v>
      </c>
      <c r="B4827" s="2205">
        <v>410980.09</v>
      </c>
    </row>
    <row r="4828" spans="1:2" x14ac:dyDescent="0.2">
      <c r="A4828" s="2205" t="s">
        <v>11257</v>
      </c>
      <c r="B4828" s="2205">
        <v>4180.46</v>
      </c>
    </row>
    <row r="4829" spans="1:2" x14ac:dyDescent="0.2">
      <c r="A4829" s="2205" t="s">
        <v>11258</v>
      </c>
      <c r="B4829" s="2205">
        <v>709.17</v>
      </c>
    </row>
    <row r="4830" spans="1:2" x14ac:dyDescent="0.2">
      <c r="A4830" s="2205" t="s">
        <v>11259</v>
      </c>
      <c r="B4830" s="2205">
        <v>793.37</v>
      </c>
    </row>
    <row r="4831" spans="1:2" x14ac:dyDescent="0.2">
      <c r="A4831" s="2205" t="s">
        <v>11260</v>
      </c>
      <c r="B4831" s="2205">
        <v>348.43</v>
      </c>
    </row>
    <row r="4832" spans="1:2" x14ac:dyDescent="0.2">
      <c r="A4832" s="2205" t="s">
        <v>11261</v>
      </c>
      <c r="B4832" s="2205">
        <v>144.85</v>
      </c>
    </row>
    <row r="4833" spans="1:2" x14ac:dyDescent="0.2">
      <c r="A4833" s="2205" t="s">
        <v>11262</v>
      </c>
      <c r="B4833" s="2205">
        <v>19.41</v>
      </c>
    </row>
    <row r="4834" spans="1:2" x14ac:dyDescent="0.2">
      <c r="A4834" s="2205" t="s">
        <v>11263</v>
      </c>
      <c r="B4834" s="2205">
        <v>16300.43</v>
      </c>
    </row>
    <row r="4835" spans="1:2" x14ac:dyDescent="0.2">
      <c r="A4835" s="2205" t="s">
        <v>11264</v>
      </c>
      <c r="B4835" s="2205">
        <v>3984.94</v>
      </c>
    </row>
    <row r="4836" spans="1:2" x14ac:dyDescent="0.2">
      <c r="A4836" s="2205" t="s">
        <v>1904</v>
      </c>
      <c r="B4836" s="2205">
        <v>297002.55</v>
      </c>
    </row>
    <row r="4837" spans="1:2" x14ac:dyDescent="0.2">
      <c r="A4837" s="2205" t="s">
        <v>11265</v>
      </c>
      <c r="B4837" s="2205">
        <v>3983.58</v>
      </c>
    </row>
    <row r="4838" spans="1:2" x14ac:dyDescent="0.2">
      <c r="A4838" s="2205" t="s">
        <v>11266</v>
      </c>
      <c r="B4838" s="2205">
        <v>22262.11</v>
      </c>
    </row>
    <row r="4839" spans="1:2" x14ac:dyDescent="0.2">
      <c r="A4839" s="2205" t="s">
        <v>11267</v>
      </c>
      <c r="B4839" s="2205">
        <v>23728.07</v>
      </c>
    </row>
    <row r="4840" spans="1:2" x14ac:dyDescent="0.2">
      <c r="A4840" s="2205" t="s">
        <v>11268</v>
      </c>
      <c r="B4840" s="2205">
        <v>17040.439999999999</v>
      </c>
    </row>
    <row r="4841" spans="1:2" x14ac:dyDescent="0.2">
      <c r="A4841" s="2205" t="s">
        <v>11269</v>
      </c>
      <c r="B4841" s="2205">
        <v>7985.15</v>
      </c>
    </row>
    <row r="4842" spans="1:2" x14ac:dyDescent="0.2">
      <c r="A4842" s="2205" t="s">
        <v>11270</v>
      </c>
      <c r="B4842" s="2205">
        <v>25685.35</v>
      </c>
    </row>
    <row r="4843" spans="1:2" x14ac:dyDescent="0.2">
      <c r="A4843" s="2205" t="s">
        <v>11271</v>
      </c>
      <c r="B4843" s="2205">
        <v>1337.48</v>
      </c>
    </row>
    <row r="4844" spans="1:2" x14ac:dyDescent="0.2">
      <c r="A4844" s="2205" t="s">
        <v>11272</v>
      </c>
      <c r="B4844" s="2205">
        <v>7618.54</v>
      </c>
    </row>
    <row r="4845" spans="1:2" x14ac:dyDescent="0.2">
      <c r="A4845" s="2205" t="s">
        <v>11273</v>
      </c>
      <c r="B4845" s="2205">
        <v>49166.48</v>
      </c>
    </row>
    <row r="4846" spans="1:2" x14ac:dyDescent="0.2">
      <c r="A4846" s="2205" t="s">
        <v>11274</v>
      </c>
      <c r="B4846" s="2205">
        <v>0</v>
      </c>
    </row>
    <row r="4847" spans="1:2" x14ac:dyDescent="0.2">
      <c r="A4847" s="2205" t="s">
        <v>11275</v>
      </c>
      <c r="B4847" s="2205">
        <v>935.93</v>
      </c>
    </row>
    <row r="4848" spans="1:2" x14ac:dyDescent="0.2">
      <c r="A4848" s="2205" t="s">
        <v>11276</v>
      </c>
      <c r="B4848" s="2205">
        <v>6790.35</v>
      </c>
    </row>
    <row r="4849" spans="1:2" x14ac:dyDescent="0.2">
      <c r="A4849" s="2205" t="s">
        <v>11277</v>
      </c>
      <c r="B4849" s="2205">
        <v>20856.990000000002</v>
      </c>
    </row>
    <row r="4850" spans="1:2" x14ac:dyDescent="0.2">
      <c r="A4850" s="2205" t="s">
        <v>11278</v>
      </c>
      <c r="B4850" s="2205">
        <v>21871.32</v>
      </c>
    </row>
    <row r="4851" spans="1:2" x14ac:dyDescent="0.2">
      <c r="A4851" s="2205" t="s">
        <v>11279</v>
      </c>
      <c r="B4851" s="2205">
        <v>8724.0300000000007</v>
      </c>
    </row>
    <row r="4852" spans="1:2" x14ac:dyDescent="0.2">
      <c r="A4852" s="2205" t="s">
        <v>11280</v>
      </c>
      <c r="B4852" s="2205">
        <v>12717.28</v>
      </c>
    </row>
    <row r="4853" spans="1:2" x14ac:dyDescent="0.2">
      <c r="A4853" s="2205" t="s">
        <v>11281</v>
      </c>
      <c r="B4853" s="2205">
        <v>0</v>
      </c>
    </row>
    <row r="4854" spans="1:2" x14ac:dyDescent="0.2">
      <c r="A4854" s="2205" t="s">
        <v>11282</v>
      </c>
      <c r="B4854" s="2205">
        <v>16205.03</v>
      </c>
    </row>
    <row r="4855" spans="1:2" x14ac:dyDescent="0.2">
      <c r="A4855" s="2205" t="s">
        <v>11283</v>
      </c>
      <c r="B4855" s="2205">
        <v>7761.22</v>
      </c>
    </row>
    <row r="4856" spans="1:2" x14ac:dyDescent="0.2">
      <c r="A4856" s="2205" t="s">
        <v>11284</v>
      </c>
      <c r="B4856" s="2205">
        <v>33351.339999999997</v>
      </c>
    </row>
    <row r="4857" spans="1:2" x14ac:dyDescent="0.2">
      <c r="A4857" s="2205" t="s">
        <v>11285</v>
      </c>
      <c r="B4857" s="2205">
        <v>7426.14</v>
      </c>
    </row>
    <row r="4858" spans="1:2" x14ac:dyDescent="0.2">
      <c r="A4858" s="2205" t="s">
        <v>11286</v>
      </c>
      <c r="B4858" s="2205">
        <v>1377.73</v>
      </c>
    </row>
    <row r="4859" spans="1:2" x14ac:dyDescent="0.2">
      <c r="A4859" s="2205" t="s">
        <v>11287</v>
      </c>
      <c r="B4859" s="2205">
        <v>588.14</v>
      </c>
    </row>
    <row r="4860" spans="1:2" x14ac:dyDescent="0.2">
      <c r="A4860" s="2205" t="s">
        <v>11288</v>
      </c>
      <c r="B4860" s="2205">
        <v>9451.56</v>
      </c>
    </row>
    <row r="4861" spans="1:2" x14ac:dyDescent="0.2">
      <c r="A4861" s="2205" t="s">
        <v>11289</v>
      </c>
      <c r="B4861" s="2205">
        <v>18441.490000000002</v>
      </c>
    </row>
    <row r="4862" spans="1:2" x14ac:dyDescent="0.2">
      <c r="A4862" s="2205" t="s">
        <v>11290</v>
      </c>
      <c r="B4862" s="2205">
        <v>245.37</v>
      </c>
    </row>
    <row r="4863" spans="1:2" x14ac:dyDescent="0.2">
      <c r="A4863" s="2205" t="s">
        <v>11291</v>
      </c>
      <c r="B4863" s="2205">
        <v>727.16</v>
      </c>
    </row>
    <row r="4864" spans="1:2" x14ac:dyDescent="0.2">
      <c r="A4864" s="2205" t="s">
        <v>11292</v>
      </c>
      <c r="B4864" s="2205">
        <v>1964.56</v>
      </c>
    </row>
    <row r="4865" spans="1:2" x14ac:dyDescent="0.2">
      <c r="A4865" s="2205" t="s">
        <v>11293</v>
      </c>
      <c r="B4865" s="2205">
        <v>68.819999999999993</v>
      </c>
    </row>
    <row r="4866" spans="1:2" x14ac:dyDescent="0.2">
      <c r="A4866" s="2205" t="s">
        <v>11294</v>
      </c>
      <c r="B4866" s="2205">
        <v>66.23</v>
      </c>
    </row>
    <row r="4867" spans="1:2" x14ac:dyDescent="0.2">
      <c r="A4867" s="2205" t="s">
        <v>11295</v>
      </c>
      <c r="B4867" s="2205">
        <v>815.49</v>
      </c>
    </row>
    <row r="4868" spans="1:2" x14ac:dyDescent="0.2">
      <c r="A4868" s="2205" t="s">
        <v>11296</v>
      </c>
      <c r="B4868" s="2205">
        <v>34.4</v>
      </c>
    </row>
    <row r="4869" spans="1:2" x14ac:dyDescent="0.2">
      <c r="A4869" s="2205" t="s">
        <v>11297</v>
      </c>
      <c r="B4869" s="2205">
        <v>4388.09</v>
      </c>
    </row>
    <row r="4870" spans="1:2" x14ac:dyDescent="0.2">
      <c r="A4870" s="2205" t="s">
        <v>11298</v>
      </c>
      <c r="B4870" s="2205">
        <v>2401.06</v>
      </c>
    </row>
    <row r="4871" spans="1:2" x14ac:dyDescent="0.2">
      <c r="A4871" s="2205" t="s">
        <v>3367</v>
      </c>
      <c r="B4871" s="2205">
        <v>150317.93</v>
      </c>
    </row>
    <row r="4872" spans="1:2" x14ac:dyDescent="0.2">
      <c r="A4872" s="2205" t="s">
        <v>11299</v>
      </c>
      <c r="B4872" s="2205">
        <v>1994.5</v>
      </c>
    </row>
    <row r="4873" spans="1:2" x14ac:dyDescent="0.2">
      <c r="A4873" s="2205" t="s">
        <v>11300</v>
      </c>
      <c r="B4873" s="2205">
        <v>5055.32</v>
      </c>
    </row>
    <row r="4874" spans="1:2" x14ac:dyDescent="0.2">
      <c r="A4874" s="2205" t="s">
        <v>895</v>
      </c>
      <c r="B4874" s="2205">
        <v>445699.28</v>
      </c>
    </row>
    <row r="4875" spans="1:2" x14ac:dyDescent="0.2">
      <c r="A4875" s="2205" t="s">
        <v>11301</v>
      </c>
      <c r="B4875" s="2205">
        <v>87.35</v>
      </c>
    </row>
    <row r="4876" spans="1:2" x14ac:dyDescent="0.2">
      <c r="A4876" s="2205" t="s">
        <v>11302</v>
      </c>
      <c r="B4876" s="2205">
        <v>65.510000000000005</v>
      </c>
    </row>
    <row r="4877" spans="1:2" x14ac:dyDescent="0.2">
      <c r="A4877" s="2205" t="s">
        <v>11303</v>
      </c>
      <c r="B4877" s="2205">
        <v>133.19999999999999</v>
      </c>
    </row>
    <row r="4878" spans="1:2" x14ac:dyDescent="0.2">
      <c r="A4878" s="2205" t="s">
        <v>11304</v>
      </c>
      <c r="B4878" s="2205">
        <v>122.6</v>
      </c>
    </row>
    <row r="4879" spans="1:2" x14ac:dyDescent="0.2">
      <c r="A4879" s="2205" t="s">
        <v>11305</v>
      </c>
      <c r="B4879" s="2205">
        <v>305.10000000000002</v>
      </c>
    </row>
    <row r="4880" spans="1:2" x14ac:dyDescent="0.2">
      <c r="A4880" s="2205" t="s">
        <v>983</v>
      </c>
      <c r="B4880" s="2205">
        <v>812.87</v>
      </c>
    </row>
    <row r="4881" spans="1:2" x14ac:dyDescent="0.2">
      <c r="A4881" s="2205" t="s">
        <v>11306</v>
      </c>
      <c r="B4881" s="2205">
        <v>658.1</v>
      </c>
    </row>
    <row r="4882" spans="1:2" x14ac:dyDescent="0.2">
      <c r="A4882" s="2205" t="s">
        <v>11307</v>
      </c>
      <c r="B4882" s="2205">
        <v>25975.94</v>
      </c>
    </row>
    <row r="4883" spans="1:2" x14ac:dyDescent="0.2">
      <c r="A4883" s="2205" t="s">
        <v>11308</v>
      </c>
      <c r="B4883" s="2205">
        <v>2777.82</v>
      </c>
    </row>
    <row r="4884" spans="1:2" x14ac:dyDescent="0.2">
      <c r="A4884" s="2205" t="s">
        <v>11309</v>
      </c>
      <c r="B4884" s="2205">
        <v>1929.57</v>
      </c>
    </row>
    <row r="4885" spans="1:2" x14ac:dyDescent="0.2">
      <c r="A4885" s="2205" t="s">
        <v>11310</v>
      </c>
      <c r="B4885" s="2205">
        <v>17.93</v>
      </c>
    </row>
    <row r="4886" spans="1:2" x14ac:dyDescent="0.2">
      <c r="A4886" s="2205" t="s">
        <v>11311</v>
      </c>
      <c r="B4886" s="2205">
        <v>213.2</v>
      </c>
    </row>
    <row r="4887" spans="1:2" x14ac:dyDescent="0.2">
      <c r="A4887" s="2205" t="s">
        <v>11312</v>
      </c>
      <c r="B4887" s="2205">
        <v>0</v>
      </c>
    </row>
    <row r="4888" spans="1:2" x14ac:dyDescent="0.2">
      <c r="A4888" s="2205" t="s">
        <v>11313</v>
      </c>
      <c r="B4888" s="2205">
        <v>87.61</v>
      </c>
    </row>
    <row r="4889" spans="1:2" x14ac:dyDescent="0.2">
      <c r="A4889" s="2205" t="s">
        <v>11314</v>
      </c>
      <c r="B4889" s="2205">
        <v>121.08</v>
      </c>
    </row>
    <row r="4890" spans="1:2" x14ac:dyDescent="0.2">
      <c r="A4890" s="2205" t="s">
        <v>11315</v>
      </c>
      <c r="B4890" s="2205">
        <v>1803.51</v>
      </c>
    </row>
    <row r="4891" spans="1:2" x14ac:dyDescent="0.2">
      <c r="A4891" s="2205" t="s">
        <v>11316</v>
      </c>
      <c r="B4891" s="2205">
        <v>1986.27</v>
      </c>
    </row>
    <row r="4892" spans="1:2" x14ac:dyDescent="0.2">
      <c r="A4892" s="2205" t="s">
        <v>11317</v>
      </c>
      <c r="B4892" s="2205">
        <v>3042.7</v>
      </c>
    </row>
    <row r="4893" spans="1:2" x14ac:dyDescent="0.2">
      <c r="A4893" s="2205" t="s">
        <v>128</v>
      </c>
      <c r="B4893" s="2205">
        <v>0</v>
      </c>
    </row>
    <row r="4894" spans="1:2" x14ac:dyDescent="0.2">
      <c r="A4894" s="2205" t="s">
        <v>11318</v>
      </c>
      <c r="B4894" s="2205">
        <v>5110.21</v>
      </c>
    </row>
    <row r="4895" spans="1:2" x14ac:dyDescent="0.2">
      <c r="A4895" s="2205" t="s">
        <v>11319</v>
      </c>
      <c r="B4895" s="2205">
        <v>-47105.43</v>
      </c>
    </row>
    <row r="4896" spans="1:2" x14ac:dyDescent="0.2">
      <c r="A4896" s="2205" t="s">
        <v>1348</v>
      </c>
      <c r="B4896" s="2205">
        <v>380925.83</v>
      </c>
    </row>
    <row r="4897" spans="1:2" x14ac:dyDescent="0.2">
      <c r="A4897" s="2205" t="s">
        <v>11320</v>
      </c>
      <c r="B4897" s="2205">
        <v>18.3</v>
      </c>
    </row>
    <row r="4898" spans="1:2" x14ac:dyDescent="0.2">
      <c r="A4898" s="2205" t="s">
        <v>11321</v>
      </c>
      <c r="B4898" s="2205">
        <v>-3781.08</v>
      </c>
    </row>
    <row r="4899" spans="1:2" x14ac:dyDescent="0.2">
      <c r="A4899" s="2205" t="s">
        <v>2414</v>
      </c>
      <c r="B4899" s="2205">
        <v>217231.2</v>
      </c>
    </row>
    <row r="4900" spans="1:2" x14ac:dyDescent="0.2">
      <c r="A4900" s="2205" t="s">
        <v>11322</v>
      </c>
      <c r="B4900" s="2205">
        <v>0</v>
      </c>
    </row>
    <row r="4901" spans="1:2" x14ac:dyDescent="0.2">
      <c r="A4901" s="2205" t="s">
        <v>11323</v>
      </c>
      <c r="B4901" s="2205">
        <v>0</v>
      </c>
    </row>
    <row r="4902" spans="1:2" x14ac:dyDescent="0.2">
      <c r="A4902" s="2205" t="s">
        <v>11324</v>
      </c>
      <c r="B4902" s="2205">
        <v>835.04</v>
      </c>
    </row>
    <row r="4903" spans="1:2" x14ac:dyDescent="0.2">
      <c r="A4903" s="2205" t="s">
        <v>11325</v>
      </c>
      <c r="B4903" s="2205">
        <v>3765.38</v>
      </c>
    </row>
    <row r="4904" spans="1:2" x14ac:dyDescent="0.2">
      <c r="A4904" s="2205" t="s">
        <v>11326</v>
      </c>
      <c r="B4904" s="2205">
        <v>151.72999999999999</v>
      </c>
    </row>
    <row r="4905" spans="1:2" x14ac:dyDescent="0.2">
      <c r="A4905" s="2205" t="s">
        <v>11327</v>
      </c>
      <c r="B4905" s="2205">
        <v>13402.72</v>
      </c>
    </row>
    <row r="4906" spans="1:2" x14ac:dyDescent="0.2">
      <c r="A4906" s="2205" t="s">
        <v>11328</v>
      </c>
      <c r="B4906" s="2205">
        <v>1914.55</v>
      </c>
    </row>
    <row r="4907" spans="1:2" x14ac:dyDescent="0.2">
      <c r="A4907" s="2205" t="s">
        <v>11329</v>
      </c>
      <c r="B4907" s="2205">
        <v>178.29</v>
      </c>
    </row>
    <row r="4908" spans="1:2" x14ac:dyDescent="0.2">
      <c r="A4908" s="2205" t="s">
        <v>11330</v>
      </c>
      <c r="B4908" s="2205">
        <v>85.73</v>
      </c>
    </row>
    <row r="4909" spans="1:2" x14ac:dyDescent="0.2">
      <c r="A4909" s="2205" t="s">
        <v>11331</v>
      </c>
      <c r="B4909" s="2205">
        <v>764.38</v>
      </c>
    </row>
    <row r="4910" spans="1:2" x14ac:dyDescent="0.2">
      <c r="A4910" s="2205" t="s">
        <v>11332</v>
      </c>
      <c r="B4910" s="2205">
        <v>826.52</v>
      </c>
    </row>
    <row r="4911" spans="1:2" x14ac:dyDescent="0.2">
      <c r="A4911" s="2205" t="s">
        <v>11333</v>
      </c>
      <c r="B4911" s="2205">
        <v>773.7</v>
      </c>
    </row>
    <row r="4912" spans="1:2" x14ac:dyDescent="0.2">
      <c r="A4912" s="2205" t="s">
        <v>11334</v>
      </c>
      <c r="B4912" s="2205">
        <v>196.71</v>
      </c>
    </row>
    <row r="4913" spans="1:2" x14ac:dyDescent="0.2">
      <c r="A4913" s="2205" t="s">
        <v>11335</v>
      </c>
      <c r="B4913" s="2205">
        <v>258.24</v>
      </c>
    </row>
    <row r="4914" spans="1:2" x14ac:dyDescent="0.2">
      <c r="A4914" s="2205" t="s">
        <v>11336</v>
      </c>
      <c r="B4914" s="2205">
        <v>661.74</v>
      </c>
    </row>
    <row r="4915" spans="1:2" x14ac:dyDescent="0.2">
      <c r="A4915" s="2205" t="s">
        <v>11337</v>
      </c>
      <c r="B4915" s="2205">
        <v>862.05</v>
      </c>
    </row>
    <row r="4916" spans="1:2" x14ac:dyDescent="0.2">
      <c r="A4916" s="2205" t="s">
        <v>11338</v>
      </c>
      <c r="B4916" s="2205">
        <v>944.8</v>
      </c>
    </row>
    <row r="4917" spans="1:2" x14ac:dyDescent="0.2">
      <c r="A4917" s="2205" t="s">
        <v>11339</v>
      </c>
      <c r="B4917" s="2205">
        <v>3425.31</v>
      </c>
    </row>
    <row r="4918" spans="1:2" x14ac:dyDescent="0.2">
      <c r="A4918" s="2205" t="s">
        <v>11340</v>
      </c>
      <c r="B4918" s="2205">
        <v>6741.95</v>
      </c>
    </row>
    <row r="4919" spans="1:2" x14ac:dyDescent="0.2">
      <c r="A4919" s="2205" t="s">
        <v>11341</v>
      </c>
      <c r="B4919" s="2205">
        <v>770.9</v>
      </c>
    </row>
    <row r="4920" spans="1:2" x14ac:dyDescent="0.2">
      <c r="A4920" s="2205" t="s">
        <v>11342</v>
      </c>
      <c r="B4920" s="2205">
        <v>1462.7</v>
      </c>
    </row>
    <row r="4921" spans="1:2" x14ac:dyDescent="0.2">
      <c r="A4921" s="2205" t="s">
        <v>11343</v>
      </c>
      <c r="B4921" s="2205">
        <v>1074.43</v>
      </c>
    </row>
    <row r="4922" spans="1:2" x14ac:dyDescent="0.2">
      <c r="A4922" s="2205" t="s">
        <v>11344</v>
      </c>
      <c r="B4922" s="2205">
        <v>1864.72</v>
      </c>
    </row>
    <row r="4923" spans="1:2" x14ac:dyDescent="0.2">
      <c r="A4923" s="2205" t="s">
        <v>11345</v>
      </c>
      <c r="B4923" s="2205">
        <v>7838.08</v>
      </c>
    </row>
    <row r="4924" spans="1:2" x14ac:dyDescent="0.2">
      <c r="A4924" s="2205" t="s">
        <v>11346</v>
      </c>
      <c r="B4924" s="2205">
        <v>1034.57</v>
      </c>
    </row>
    <row r="4925" spans="1:2" x14ac:dyDescent="0.2">
      <c r="A4925" s="2205" t="s">
        <v>11347</v>
      </c>
      <c r="B4925" s="2205">
        <v>986.91</v>
      </c>
    </row>
    <row r="4926" spans="1:2" x14ac:dyDescent="0.2">
      <c r="A4926" s="2205" t="s">
        <v>11348</v>
      </c>
      <c r="B4926" s="2205">
        <v>3038.17</v>
      </c>
    </row>
    <row r="4927" spans="1:2" x14ac:dyDescent="0.2">
      <c r="A4927" s="2205" t="s">
        <v>11349</v>
      </c>
      <c r="B4927" s="2205">
        <v>992.17</v>
      </c>
    </row>
    <row r="4928" spans="1:2" x14ac:dyDescent="0.2">
      <c r="A4928" s="2205" t="s">
        <v>11350</v>
      </c>
      <c r="B4928" s="2205">
        <v>769.56</v>
      </c>
    </row>
    <row r="4929" spans="1:2" x14ac:dyDescent="0.2">
      <c r="A4929" s="2205" t="s">
        <v>11351</v>
      </c>
      <c r="B4929" s="2205">
        <v>-7.34</v>
      </c>
    </row>
    <row r="4930" spans="1:2" x14ac:dyDescent="0.2">
      <c r="A4930" s="2205" t="s">
        <v>11352</v>
      </c>
      <c r="B4930" s="2205">
        <v>-1032.81</v>
      </c>
    </row>
    <row r="4931" spans="1:2" x14ac:dyDescent="0.2">
      <c r="A4931" s="2205" t="s">
        <v>1670</v>
      </c>
      <c r="B4931" s="2205">
        <v>665963.91</v>
      </c>
    </row>
    <row r="4932" spans="1:2" x14ac:dyDescent="0.2">
      <c r="A4932" s="2205" t="s">
        <v>11353</v>
      </c>
      <c r="B4932" s="2205">
        <v>378.07</v>
      </c>
    </row>
    <row r="4933" spans="1:2" x14ac:dyDescent="0.2">
      <c r="A4933" s="2205" t="s">
        <v>11354</v>
      </c>
      <c r="B4933" s="2205">
        <v>139.1</v>
      </c>
    </row>
    <row r="4934" spans="1:2" x14ac:dyDescent="0.2">
      <c r="A4934" s="2205" t="s">
        <v>11355</v>
      </c>
      <c r="B4934" s="2205">
        <v>0</v>
      </c>
    </row>
    <row r="4935" spans="1:2" x14ac:dyDescent="0.2">
      <c r="A4935" s="2205" t="s">
        <v>11356</v>
      </c>
      <c r="B4935" s="2205">
        <v>11072.91</v>
      </c>
    </row>
    <row r="4936" spans="1:2" x14ac:dyDescent="0.2">
      <c r="A4936" s="2205" t="s">
        <v>11357</v>
      </c>
      <c r="B4936" s="2205">
        <v>227.58</v>
      </c>
    </row>
    <row r="4937" spans="1:2" x14ac:dyDescent="0.2">
      <c r="A4937" s="2205" t="s">
        <v>11358</v>
      </c>
      <c r="B4937" s="2205">
        <v>588.72</v>
      </c>
    </row>
    <row r="4938" spans="1:2" x14ac:dyDescent="0.2">
      <c r="A4938" s="2205" t="s">
        <v>2437</v>
      </c>
      <c r="B4938" s="2205">
        <v>918166.39</v>
      </c>
    </row>
    <row r="4939" spans="1:2" x14ac:dyDescent="0.2">
      <c r="A4939" s="2205" t="s">
        <v>869</v>
      </c>
      <c r="B4939" s="2205">
        <v>752837.74</v>
      </c>
    </row>
    <row r="4940" spans="1:2" x14ac:dyDescent="0.2">
      <c r="A4940" s="2205" t="s">
        <v>7062</v>
      </c>
      <c r="B4940" s="2205">
        <v>17528.47</v>
      </c>
    </row>
    <row r="4941" spans="1:2" x14ac:dyDescent="0.2">
      <c r="A4941" s="2205" t="s">
        <v>2888</v>
      </c>
      <c r="B4941" s="2205">
        <v>0</v>
      </c>
    </row>
    <row r="4942" spans="1:2" x14ac:dyDescent="0.2">
      <c r="A4942" s="2205" t="s">
        <v>126</v>
      </c>
      <c r="B4942" s="2205">
        <v>1107.93</v>
      </c>
    </row>
    <row r="4943" spans="1:2" x14ac:dyDescent="0.2">
      <c r="A4943" s="2205" t="s">
        <v>11359</v>
      </c>
      <c r="B4943" s="2205">
        <v>32.07</v>
      </c>
    </row>
    <row r="4944" spans="1:2" x14ac:dyDescent="0.2">
      <c r="A4944" s="2205" t="s">
        <v>11360</v>
      </c>
      <c r="B4944" s="2205">
        <v>3809.41</v>
      </c>
    </row>
    <row r="4945" spans="1:2" x14ac:dyDescent="0.2">
      <c r="A4945" s="2205" t="s">
        <v>11361</v>
      </c>
      <c r="B4945" s="2205">
        <v>596.51</v>
      </c>
    </row>
    <row r="4946" spans="1:2" x14ac:dyDescent="0.2">
      <c r="A4946" s="2205" t="s">
        <v>11362</v>
      </c>
      <c r="B4946" s="2205">
        <v>6234.15</v>
      </c>
    </row>
    <row r="4947" spans="1:2" x14ac:dyDescent="0.2">
      <c r="A4947" s="2205" t="s">
        <v>11363</v>
      </c>
      <c r="B4947" s="2205">
        <v>222</v>
      </c>
    </row>
    <row r="4948" spans="1:2" x14ac:dyDescent="0.2">
      <c r="A4948" s="2205" t="s">
        <v>11364</v>
      </c>
      <c r="B4948" s="2205">
        <v>301.83</v>
      </c>
    </row>
    <row r="4949" spans="1:2" x14ac:dyDescent="0.2">
      <c r="A4949" s="2205" t="s">
        <v>11365</v>
      </c>
      <c r="B4949" s="2210">
        <v>5632.71</v>
      </c>
    </row>
    <row r="4950" spans="1:2" x14ac:dyDescent="0.2">
      <c r="A4950" s="2205" t="s">
        <v>1611</v>
      </c>
      <c r="B4950" s="2205">
        <v>15454.44</v>
      </c>
    </row>
    <row r="4951" spans="1:2" x14ac:dyDescent="0.2">
      <c r="A4951" s="2205" t="s">
        <v>988</v>
      </c>
      <c r="B4951" s="2205">
        <v>2180.5700000000002</v>
      </c>
    </row>
    <row r="4952" spans="1:2" x14ac:dyDescent="0.2">
      <c r="A4952" s="2205" t="s">
        <v>1103</v>
      </c>
      <c r="B4952" s="2205">
        <v>1961.4</v>
      </c>
    </row>
    <row r="4953" spans="1:2" x14ac:dyDescent="0.2">
      <c r="A4953" s="2205" t="s">
        <v>1614</v>
      </c>
      <c r="B4953" s="2205">
        <v>7589.6</v>
      </c>
    </row>
    <row r="4954" spans="1:2" x14ac:dyDescent="0.2">
      <c r="A4954" s="2205" t="s">
        <v>11366</v>
      </c>
      <c r="B4954" s="2205">
        <v>360.96</v>
      </c>
    </row>
    <row r="4955" spans="1:2" x14ac:dyDescent="0.2">
      <c r="A4955" s="2205" t="s">
        <v>11367</v>
      </c>
      <c r="B4955" s="2205">
        <v>29424.79</v>
      </c>
    </row>
    <row r="4956" spans="1:2" x14ac:dyDescent="0.2">
      <c r="A4956" s="2205" t="s">
        <v>11368</v>
      </c>
      <c r="B4956" s="2205">
        <v>5264.18</v>
      </c>
    </row>
    <row r="4957" spans="1:2" x14ac:dyDescent="0.2">
      <c r="A4957" s="2205" t="s">
        <v>11369</v>
      </c>
      <c r="B4957" s="2205">
        <v>499</v>
      </c>
    </row>
    <row r="4958" spans="1:2" x14ac:dyDescent="0.2">
      <c r="A4958" s="2205" t="s">
        <v>11370</v>
      </c>
      <c r="B4958" s="2205">
        <v>34877.06</v>
      </c>
    </row>
    <row r="4959" spans="1:2" x14ac:dyDescent="0.2">
      <c r="A4959" s="2205" t="s">
        <v>11371</v>
      </c>
      <c r="B4959" s="2205">
        <v>1687.64</v>
      </c>
    </row>
    <row r="4960" spans="1:2" x14ac:dyDescent="0.2">
      <c r="A4960" s="2205" t="s">
        <v>11372</v>
      </c>
      <c r="B4960" s="2205">
        <v>2594.02</v>
      </c>
    </row>
    <row r="4961" spans="1:2" x14ac:dyDescent="0.2">
      <c r="A4961" s="2205" t="s">
        <v>11373</v>
      </c>
      <c r="B4961" s="2205">
        <v>55.91</v>
      </c>
    </row>
    <row r="4962" spans="1:2" x14ac:dyDescent="0.2">
      <c r="A4962" s="2205" t="s">
        <v>11374</v>
      </c>
      <c r="B4962" s="2205">
        <v>406.54</v>
      </c>
    </row>
    <row r="4963" spans="1:2" x14ac:dyDescent="0.2">
      <c r="A4963" s="2205" t="s">
        <v>11375</v>
      </c>
      <c r="B4963" s="2205">
        <v>-19.39</v>
      </c>
    </row>
    <row r="4964" spans="1:2" x14ac:dyDescent="0.2">
      <c r="A4964" s="2205" t="s">
        <v>11376</v>
      </c>
      <c r="B4964" s="2205">
        <v>11812.93</v>
      </c>
    </row>
    <row r="4965" spans="1:2" x14ac:dyDescent="0.2">
      <c r="A4965" s="2205" t="s">
        <v>11377</v>
      </c>
      <c r="B4965" s="2205">
        <v>1572.32</v>
      </c>
    </row>
    <row r="4966" spans="1:2" x14ac:dyDescent="0.2">
      <c r="A4966" s="2205" t="s">
        <v>11378</v>
      </c>
      <c r="B4966" s="2205">
        <v>15246.26</v>
      </c>
    </row>
    <row r="4967" spans="1:2" x14ac:dyDescent="0.2">
      <c r="A4967" s="2205" t="s">
        <v>11379</v>
      </c>
      <c r="B4967" s="2205">
        <v>484.58</v>
      </c>
    </row>
    <row r="4968" spans="1:2" x14ac:dyDescent="0.2">
      <c r="A4968" s="2205" t="s">
        <v>11380</v>
      </c>
      <c r="B4968" s="2205">
        <v>11691.16</v>
      </c>
    </row>
    <row r="4969" spans="1:2" x14ac:dyDescent="0.2">
      <c r="A4969" s="2205" t="s">
        <v>11381</v>
      </c>
      <c r="B4969" s="2205">
        <v>10724.3</v>
      </c>
    </row>
    <row r="4970" spans="1:2" x14ac:dyDescent="0.2">
      <c r="A4970" s="2205" t="s">
        <v>11382</v>
      </c>
      <c r="B4970" s="2205">
        <v>477.24</v>
      </c>
    </row>
    <row r="4971" spans="1:2" x14ac:dyDescent="0.2">
      <c r="A4971" s="2205" t="s">
        <v>11383</v>
      </c>
      <c r="B4971" s="2205">
        <v>63497.05</v>
      </c>
    </row>
    <row r="4972" spans="1:2" x14ac:dyDescent="0.2">
      <c r="A4972" s="2205" t="s">
        <v>11384</v>
      </c>
      <c r="B4972" s="2205">
        <v>3522.42</v>
      </c>
    </row>
    <row r="4973" spans="1:2" x14ac:dyDescent="0.2">
      <c r="A4973" s="2205" t="s">
        <v>11385</v>
      </c>
      <c r="B4973" s="2205">
        <v>16860.080000000002</v>
      </c>
    </row>
    <row r="4974" spans="1:2" x14ac:dyDescent="0.2">
      <c r="A4974" s="2205" t="s">
        <v>11386</v>
      </c>
      <c r="B4974" s="2205">
        <v>1407.3</v>
      </c>
    </row>
    <row r="4975" spans="1:2" x14ac:dyDescent="0.2">
      <c r="A4975" s="2205" t="s">
        <v>11387</v>
      </c>
      <c r="B4975" s="2205">
        <v>18207.37</v>
      </c>
    </row>
    <row r="4976" spans="1:2" x14ac:dyDescent="0.2">
      <c r="A4976" s="2205" t="s">
        <v>11388</v>
      </c>
      <c r="B4976" s="2205">
        <v>35812.83</v>
      </c>
    </row>
    <row r="4977" spans="1:2" x14ac:dyDescent="0.2">
      <c r="A4977" s="2205" t="s">
        <v>11389</v>
      </c>
      <c r="B4977" s="2205">
        <v>85377.19</v>
      </c>
    </row>
    <row r="4978" spans="1:2" x14ac:dyDescent="0.2">
      <c r="A4978" s="2205" t="s">
        <v>11390</v>
      </c>
      <c r="B4978" s="2205">
        <v>3106.83</v>
      </c>
    </row>
    <row r="4979" spans="1:2" x14ac:dyDescent="0.2">
      <c r="A4979" s="2205" t="s">
        <v>11391</v>
      </c>
      <c r="B4979" s="2205">
        <v>1550.62</v>
      </c>
    </row>
    <row r="4980" spans="1:2" x14ac:dyDescent="0.2">
      <c r="A4980" s="2205" t="s">
        <v>11392</v>
      </c>
      <c r="B4980" s="2205">
        <v>213.26</v>
      </c>
    </row>
    <row r="4981" spans="1:2" x14ac:dyDescent="0.2">
      <c r="A4981" s="2205" t="s">
        <v>11393</v>
      </c>
      <c r="B4981" s="2205">
        <v>2069.5700000000002</v>
      </c>
    </row>
    <row r="4982" spans="1:2" x14ac:dyDescent="0.2">
      <c r="A4982" s="2205" t="s">
        <v>11394</v>
      </c>
      <c r="B4982" s="2205">
        <v>8796.5499999999993</v>
      </c>
    </row>
    <row r="4983" spans="1:2" x14ac:dyDescent="0.2">
      <c r="A4983" s="2205" t="s">
        <v>11395</v>
      </c>
      <c r="B4983" s="2205">
        <v>1090.42</v>
      </c>
    </row>
    <row r="4984" spans="1:2" x14ac:dyDescent="0.2">
      <c r="A4984" s="2205" t="s">
        <v>11396</v>
      </c>
      <c r="B4984" s="2205">
        <v>1036.81</v>
      </c>
    </row>
    <row r="4985" spans="1:2" x14ac:dyDescent="0.2">
      <c r="A4985" s="2205" t="s">
        <v>11397</v>
      </c>
      <c r="B4985" s="2205">
        <v>2405.0500000000002</v>
      </c>
    </row>
    <row r="4986" spans="1:2" x14ac:dyDescent="0.2">
      <c r="A4986" s="2205" t="s">
        <v>11398</v>
      </c>
      <c r="B4986" s="2205">
        <v>6165.08</v>
      </c>
    </row>
    <row r="4987" spans="1:2" x14ac:dyDescent="0.2">
      <c r="A4987" s="2205" t="s">
        <v>11399</v>
      </c>
      <c r="B4987" s="2205">
        <v>3344.74</v>
      </c>
    </row>
    <row r="4988" spans="1:2" x14ac:dyDescent="0.2">
      <c r="A4988" s="2205" t="s">
        <v>11400</v>
      </c>
      <c r="B4988" s="2205">
        <v>71550.45</v>
      </c>
    </row>
    <row r="4989" spans="1:2" x14ac:dyDescent="0.2">
      <c r="A4989" s="2205" t="s">
        <v>11401</v>
      </c>
      <c r="B4989" s="2205">
        <v>7654.23</v>
      </c>
    </row>
    <row r="4990" spans="1:2" x14ac:dyDescent="0.2">
      <c r="A4990" s="2205" t="s">
        <v>11402</v>
      </c>
      <c r="B4990" s="2205">
        <v>9650.92</v>
      </c>
    </row>
    <row r="4991" spans="1:2" x14ac:dyDescent="0.2">
      <c r="A4991" s="2205" t="s">
        <v>11403</v>
      </c>
      <c r="B4991" s="2205">
        <v>8622.92</v>
      </c>
    </row>
    <row r="4992" spans="1:2" x14ac:dyDescent="0.2">
      <c r="A4992" s="2205" t="s">
        <v>11404</v>
      </c>
      <c r="B4992" s="2205">
        <v>13544.84</v>
      </c>
    </row>
    <row r="4993" spans="1:2" x14ac:dyDescent="0.2">
      <c r="A4993" s="2205" t="s">
        <v>11405</v>
      </c>
      <c r="B4993" s="2205">
        <v>5150</v>
      </c>
    </row>
    <row r="4994" spans="1:2" x14ac:dyDescent="0.2">
      <c r="A4994" s="2205" t="s">
        <v>11406</v>
      </c>
      <c r="B4994" s="2205">
        <v>9580.25</v>
      </c>
    </row>
    <row r="4995" spans="1:2" x14ac:dyDescent="0.2">
      <c r="A4995" s="2205" t="s">
        <v>11407</v>
      </c>
      <c r="B4995" s="2205">
        <v>1085.51</v>
      </c>
    </row>
    <row r="4996" spans="1:2" x14ac:dyDescent="0.2">
      <c r="A4996" s="2205" t="s">
        <v>11408</v>
      </c>
      <c r="B4996" s="2205">
        <v>57098.55</v>
      </c>
    </row>
    <row r="4997" spans="1:2" x14ac:dyDescent="0.2">
      <c r="A4997" s="2205" t="s">
        <v>11409</v>
      </c>
      <c r="B4997" s="2205">
        <v>92624.82</v>
      </c>
    </row>
    <row r="4998" spans="1:2" x14ac:dyDescent="0.2">
      <c r="A4998" s="2205" t="s">
        <v>11410</v>
      </c>
      <c r="B4998" s="2205">
        <v>396.2</v>
      </c>
    </row>
    <row r="4999" spans="1:2" x14ac:dyDescent="0.2">
      <c r="A4999" s="2205" t="s">
        <v>11411</v>
      </c>
      <c r="B4999" s="2205">
        <v>80.180000000000007</v>
      </c>
    </row>
    <row r="5000" spans="1:2" x14ac:dyDescent="0.2">
      <c r="A5000" s="2205" t="s">
        <v>11412</v>
      </c>
      <c r="B5000" s="2205">
        <v>302.92</v>
      </c>
    </row>
    <row r="5001" spans="1:2" x14ac:dyDescent="0.2">
      <c r="A5001" s="2205" t="s">
        <v>11413</v>
      </c>
      <c r="B5001" s="2205">
        <v>14716.36</v>
      </c>
    </row>
    <row r="5002" spans="1:2" x14ac:dyDescent="0.2">
      <c r="A5002" s="2205" t="s">
        <v>11414</v>
      </c>
      <c r="B5002" s="2205">
        <v>9034.4699999999993</v>
      </c>
    </row>
    <row r="5003" spans="1:2" x14ac:dyDescent="0.2">
      <c r="A5003" s="2205" t="s">
        <v>11415</v>
      </c>
      <c r="B5003" s="2205">
        <v>93.95</v>
      </c>
    </row>
    <row r="5004" spans="1:2" x14ac:dyDescent="0.2">
      <c r="A5004" s="2205" t="s">
        <v>11416</v>
      </c>
      <c r="B5004" s="2205">
        <v>2711.48</v>
      </c>
    </row>
    <row r="5005" spans="1:2" x14ac:dyDescent="0.2">
      <c r="A5005" s="2205" t="s">
        <v>11417</v>
      </c>
      <c r="B5005" s="2205">
        <v>615.29999999999995</v>
      </c>
    </row>
    <row r="5006" spans="1:2" x14ac:dyDescent="0.2">
      <c r="A5006" s="2205" t="s">
        <v>11418</v>
      </c>
      <c r="B5006" s="2205">
        <v>2816.28</v>
      </c>
    </row>
    <row r="5007" spans="1:2" x14ac:dyDescent="0.2">
      <c r="A5007" s="2205" t="s">
        <v>11419</v>
      </c>
      <c r="B5007" s="2205">
        <v>133.19999999999999</v>
      </c>
    </row>
    <row r="5008" spans="1:2" x14ac:dyDescent="0.2">
      <c r="A5008" s="2205" t="s">
        <v>11420</v>
      </c>
      <c r="B5008" s="2205">
        <v>3341.54</v>
      </c>
    </row>
    <row r="5009" spans="1:2" x14ac:dyDescent="0.2">
      <c r="A5009" s="2205" t="s">
        <v>11421</v>
      </c>
      <c r="B5009" s="2205">
        <v>2806.53</v>
      </c>
    </row>
    <row r="5010" spans="1:2" x14ac:dyDescent="0.2">
      <c r="A5010" s="2205" t="s">
        <v>11422</v>
      </c>
      <c r="B5010" s="2205">
        <v>2347.3200000000002</v>
      </c>
    </row>
    <row r="5011" spans="1:2" x14ac:dyDescent="0.2">
      <c r="A5011" s="2205" t="s">
        <v>403</v>
      </c>
      <c r="B5011" s="2205">
        <v>58185.96</v>
      </c>
    </row>
    <row r="5012" spans="1:2" x14ac:dyDescent="0.2">
      <c r="A5012" s="2205" t="s">
        <v>11423</v>
      </c>
      <c r="B5012" s="2205">
        <v>68222.539999999994</v>
      </c>
    </row>
    <row r="5013" spans="1:2" x14ac:dyDescent="0.2">
      <c r="A5013" s="2205" t="s">
        <v>11424</v>
      </c>
      <c r="B5013" s="2205">
        <v>850.46</v>
      </c>
    </row>
    <row r="5014" spans="1:2" x14ac:dyDescent="0.2">
      <c r="A5014" s="2205" t="s">
        <v>11425</v>
      </c>
      <c r="B5014" s="2205">
        <v>22074.720000000001</v>
      </c>
    </row>
    <row r="5015" spans="1:2" x14ac:dyDescent="0.2">
      <c r="A5015" s="2205" t="s">
        <v>11426</v>
      </c>
      <c r="B5015" s="2205">
        <v>41063.14</v>
      </c>
    </row>
    <row r="5016" spans="1:2" x14ac:dyDescent="0.2">
      <c r="A5016" s="2205" t="s">
        <v>11427</v>
      </c>
      <c r="B5016" s="2205">
        <v>173686.57</v>
      </c>
    </row>
    <row r="5017" spans="1:2" x14ac:dyDescent="0.2">
      <c r="A5017" s="2205" t="s">
        <v>11428</v>
      </c>
      <c r="B5017" s="2205">
        <v>1113.48</v>
      </c>
    </row>
    <row r="5018" spans="1:2" x14ac:dyDescent="0.2">
      <c r="A5018" s="2205" t="s">
        <v>11429</v>
      </c>
      <c r="B5018" s="2205">
        <v>16081.46</v>
      </c>
    </row>
    <row r="5019" spans="1:2" x14ac:dyDescent="0.2">
      <c r="A5019" s="2205" t="s">
        <v>11430</v>
      </c>
      <c r="B5019" s="2205">
        <v>148.83000000000001</v>
      </c>
    </row>
    <row r="5020" spans="1:2" x14ac:dyDescent="0.2">
      <c r="A5020" s="2205" t="s">
        <v>11431</v>
      </c>
      <c r="B5020" s="2205">
        <v>95.69</v>
      </c>
    </row>
    <row r="5021" spans="1:2" x14ac:dyDescent="0.2">
      <c r="A5021" s="2205" t="s">
        <v>11432</v>
      </c>
      <c r="B5021" s="2205">
        <v>2597.61</v>
      </c>
    </row>
    <row r="5022" spans="1:2" x14ac:dyDescent="0.2">
      <c r="A5022" s="2205" t="s">
        <v>11433</v>
      </c>
      <c r="B5022" s="2205">
        <v>8055.23</v>
      </c>
    </row>
    <row r="5023" spans="1:2" x14ac:dyDescent="0.2">
      <c r="A5023" s="2205" t="s">
        <v>11434</v>
      </c>
      <c r="B5023" s="2205">
        <v>78.680000000000007</v>
      </c>
    </row>
    <row r="5024" spans="1:2" x14ac:dyDescent="0.2">
      <c r="A5024" s="2205" t="s">
        <v>11435</v>
      </c>
      <c r="B5024" s="2205">
        <v>24523.14</v>
      </c>
    </row>
    <row r="5025" spans="1:2" x14ac:dyDescent="0.2">
      <c r="A5025" s="2205" t="s">
        <v>11436</v>
      </c>
      <c r="B5025" s="2205">
        <v>6450.46</v>
      </c>
    </row>
    <row r="5026" spans="1:2" x14ac:dyDescent="0.2">
      <c r="A5026" s="2205" t="s">
        <v>11437</v>
      </c>
      <c r="B5026" s="2205">
        <v>5842.16</v>
      </c>
    </row>
    <row r="5027" spans="1:2" x14ac:dyDescent="0.2">
      <c r="A5027" s="2205" t="s">
        <v>11438</v>
      </c>
      <c r="B5027" s="2205">
        <v>24247.98</v>
      </c>
    </row>
    <row r="5028" spans="1:2" x14ac:dyDescent="0.2">
      <c r="A5028" s="2205" t="s">
        <v>11439</v>
      </c>
      <c r="B5028" s="2205">
        <v>14642.42</v>
      </c>
    </row>
    <row r="5029" spans="1:2" x14ac:dyDescent="0.2">
      <c r="A5029" s="2205" t="s">
        <v>11440</v>
      </c>
      <c r="B5029" s="2205">
        <v>208.86</v>
      </c>
    </row>
    <row r="5030" spans="1:2" x14ac:dyDescent="0.2">
      <c r="A5030" s="2205" t="s">
        <v>11441</v>
      </c>
      <c r="B5030" s="2205">
        <v>119454.56</v>
      </c>
    </row>
    <row r="5031" spans="1:2" x14ac:dyDescent="0.2">
      <c r="A5031" s="2205" t="s">
        <v>11442</v>
      </c>
      <c r="B5031" s="2205">
        <v>66497.31</v>
      </c>
    </row>
    <row r="5032" spans="1:2" x14ac:dyDescent="0.2">
      <c r="A5032" s="2205" t="s">
        <v>2610</v>
      </c>
      <c r="B5032" s="2205">
        <v>96542.75</v>
      </c>
    </row>
    <row r="5033" spans="1:2" x14ac:dyDescent="0.2">
      <c r="A5033" s="2205" t="s">
        <v>11443</v>
      </c>
      <c r="B5033" s="2205">
        <v>89837.79</v>
      </c>
    </row>
    <row r="5034" spans="1:2" x14ac:dyDescent="0.2">
      <c r="A5034" s="2205" t="s">
        <v>11444</v>
      </c>
      <c r="B5034" s="2205">
        <v>18855.740000000002</v>
      </c>
    </row>
    <row r="5035" spans="1:2" x14ac:dyDescent="0.2">
      <c r="A5035" s="2205" t="s">
        <v>11445</v>
      </c>
      <c r="B5035" s="2205">
        <v>893.49</v>
      </c>
    </row>
    <row r="5036" spans="1:2" x14ac:dyDescent="0.2">
      <c r="A5036" s="2205" t="s">
        <v>2572</v>
      </c>
      <c r="B5036" s="2205">
        <v>14853.61</v>
      </c>
    </row>
    <row r="5037" spans="1:2" x14ac:dyDescent="0.2">
      <c r="A5037" s="2205" t="s">
        <v>11446</v>
      </c>
      <c r="B5037" s="2205">
        <v>4458.87</v>
      </c>
    </row>
    <row r="5038" spans="1:2" x14ac:dyDescent="0.2">
      <c r="A5038" s="2205" t="s">
        <v>11447</v>
      </c>
      <c r="B5038" s="2205">
        <v>18942.669999999998</v>
      </c>
    </row>
    <row r="5039" spans="1:2" x14ac:dyDescent="0.2">
      <c r="A5039" s="2205" t="s">
        <v>11448</v>
      </c>
      <c r="B5039" s="2205">
        <v>9706.7800000000007</v>
      </c>
    </row>
    <row r="5040" spans="1:2" x14ac:dyDescent="0.2">
      <c r="A5040" s="2205" t="s">
        <v>11449</v>
      </c>
      <c r="B5040" s="2205">
        <v>521.41</v>
      </c>
    </row>
    <row r="5041" spans="1:2" x14ac:dyDescent="0.2">
      <c r="A5041" s="2205" t="s">
        <v>11450</v>
      </c>
      <c r="B5041" s="2205">
        <v>39064.699999999997</v>
      </c>
    </row>
    <row r="5042" spans="1:2" x14ac:dyDescent="0.2">
      <c r="A5042" s="2205" t="s">
        <v>11451</v>
      </c>
      <c r="B5042" s="2205">
        <v>3774.66</v>
      </c>
    </row>
    <row r="5043" spans="1:2" x14ac:dyDescent="0.2">
      <c r="A5043" s="2205" t="s">
        <v>11452</v>
      </c>
      <c r="B5043" s="2205">
        <v>30723.200000000001</v>
      </c>
    </row>
    <row r="5044" spans="1:2" x14ac:dyDescent="0.2">
      <c r="A5044" s="2205" t="s">
        <v>11453</v>
      </c>
      <c r="B5044" s="2205">
        <v>-39.32</v>
      </c>
    </row>
    <row r="5045" spans="1:2" x14ac:dyDescent="0.2">
      <c r="A5045" s="2205" t="s">
        <v>11454</v>
      </c>
      <c r="B5045" s="2205">
        <v>2795.9</v>
      </c>
    </row>
    <row r="5046" spans="1:2" x14ac:dyDescent="0.2">
      <c r="A5046" s="2205" t="s">
        <v>11455</v>
      </c>
      <c r="B5046" s="2205">
        <v>542.5</v>
      </c>
    </row>
    <row r="5047" spans="1:2" x14ac:dyDescent="0.2">
      <c r="A5047" s="2205" t="s">
        <v>11456</v>
      </c>
      <c r="B5047" s="2205">
        <v>3355.79</v>
      </c>
    </row>
    <row r="5048" spans="1:2" x14ac:dyDescent="0.2">
      <c r="A5048" s="2205" t="s">
        <v>11457</v>
      </c>
      <c r="B5048" s="2205">
        <v>2748.47</v>
      </c>
    </row>
    <row r="5049" spans="1:2" x14ac:dyDescent="0.2">
      <c r="A5049" s="2205" t="s">
        <v>11458</v>
      </c>
      <c r="B5049" s="2205">
        <v>160.33000000000001</v>
      </c>
    </row>
    <row r="5050" spans="1:2" x14ac:dyDescent="0.2">
      <c r="A5050" s="2205" t="s">
        <v>11459</v>
      </c>
      <c r="B5050" s="2205">
        <v>1241.31</v>
      </c>
    </row>
    <row r="5051" spans="1:2" x14ac:dyDescent="0.2">
      <c r="A5051" s="2205" t="s">
        <v>11460</v>
      </c>
      <c r="B5051" s="2205">
        <v>8970.74</v>
      </c>
    </row>
    <row r="5052" spans="1:2" x14ac:dyDescent="0.2">
      <c r="A5052" s="2205" t="s">
        <v>11461</v>
      </c>
      <c r="B5052" s="2205">
        <v>3456.49</v>
      </c>
    </row>
    <row r="5053" spans="1:2" x14ac:dyDescent="0.2">
      <c r="A5053" s="2205" t="s">
        <v>11462</v>
      </c>
      <c r="B5053" s="2205">
        <v>82604.37</v>
      </c>
    </row>
    <row r="5054" spans="1:2" x14ac:dyDescent="0.2">
      <c r="A5054" s="2205" t="s">
        <v>11463</v>
      </c>
      <c r="B5054" s="2205">
        <v>687.86</v>
      </c>
    </row>
    <row r="5055" spans="1:2" x14ac:dyDescent="0.2">
      <c r="A5055" s="2205" t="s">
        <v>11464</v>
      </c>
      <c r="B5055" s="2205">
        <v>3871.67</v>
      </c>
    </row>
    <row r="5056" spans="1:2" x14ac:dyDescent="0.2">
      <c r="A5056" s="2205" t="s">
        <v>1607</v>
      </c>
      <c r="B5056" s="2205">
        <v>144486.74</v>
      </c>
    </row>
    <row r="5057" spans="1:2" x14ac:dyDescent="0.2">
      <c r="A5057" s="2205" t="s">
        <v>11465</v>
      </c>
      <c r="B5057" s="2205">
        <v>14757.6</v>
      </c>
    </row>
    <row r="5058" spans="1:2" x14ac:dyDescent="0.2">
      <c r="A5058" s="2205" t="s">
        <v>1726</v>
      </c>
      <c r="B5058" s="2205">
        <v>0</v>
      </c>
    </row>
    <row r="5059" spans="1:2" x14ac:dyDescent="0.2">
      <c r="A5059" s="2205" t="s">
        <v>1725</v>
      </c>
      <c r="B5059" s="2205">
        <v>11939.92</v>
      </c>
    </row>
    <row r="5060" spans="1:2" x14ac:dyDescent="0.2">
      <c r="A5060" s="2205" t="s">
        <v>1419</v>
      </c>
      <c r="B5060" s="2205">
        <v>206846.09</v>
      </c>
    </row>
    <row r="5061" spans="1:2" x14ac:dyDescent="0.2">
      <c r="A5061" s="2205" t="s">
        <v>11466</v>
      </c>
      <c r="B5061" s="2205">
        <v>110.64</v>
      </c>
    </row>
    <row r="5062" spans="1:2" x14ac:dyDescent="0.2">
      <c r="A5062" s="2205" t="s">
        <v>11467</v>
      </c>
      <c r="B5062" s="2205">
        <v>171.68</v>
      </c>
    </row>
    <row r="5063" spans="1:2" x14ac:dyDescent="0.2">
      <c r="A5063" s="2205" t="s">
        <v>11468</v>
      </c>
      <c r="B5063" s="2205">
        <v>4598.42</v>
      </c>
    </row>
    <row r="5064" spans="1:2" x14ac:dyDescent="0.2">
      <c r="A5064" s="2205" t="s">
        <v>11469</v>
      </c>
      <c r="B5064" s="2205">
        <v>6547.69</v>
      </c>
    </row>
    <row r="5065" spans="1:2" x14ac:dyDescent="0.2">
      <c r="A5065" s="2205" t="s">
        <v>11470</v>
      </c>
      <c r="B5065" s="2205">
        <v>2653.71</v>
      </c>
    </row>
    <row r="5066" spans="1:2" x14ac:dyDescent="0.2">
      <c r="A5066" s="2205" t="s">
        <v>11471</v>
      </c>
      <c r="B5066" s="2205">
        <v>391.36</v>
      </c>
    </row>
    <row r="5067" spans="1:2" x14ac:dyDescent="0.2">
      <c r="A5067" s="2205" t="s">
        <v>11472</v>
      </c>
      <c r="B5067" s="2205">
        <v>1727.42</v>
      </c>
    </row>
    <row r="5068" spans="1:2" x14ac:dyDescent="0.2">
      <c r="A5068" s="2205" t="s">
        <v>11473</v>
      </c>
      <c r="B5068" s="2205">
        <v>2238.7199999999998</v>
      </c>
    </row>
    <row r="5069" spans="1:2" x14ac:dyDescent="0.2">
      <c r="A5069" s="2205" t="s">
        <v>1952</v>
      </c>
      <c r="B5069" s="2205">
        <v>106149.48</v>
      </c>
    </row>
    <row r="5070" spans="1:2" x14ac:dyDescent="0.2">
      <c r="A5070" s="2205" t="s">
        <v>11474</v>
      </c>
      <c r="B5070" s="2205">
        <v>572.38</v>
      </c>
    </row>
    <row r="5071" spans="1:2" x14ac:dyDescent="0.2">
      <c r="A5071" s="2205" t="s">
        <v>11475</v>
      </c>
      <c r="B5071" s="2205">
        <v>610.33000000000004</v>
      </c>
    </row>
    <row r="5072" spans="1:2" x14ac:dyDescent="0.2">
      <c r="A5072" s="2205" t="s">
        <v>11476</v>
      </c>
      <c r="B5072" s="2205">
        <v>612.54999999999995</v>
      </c>
    </row>
    <row r="5073" spans="1:2" x14ac:dyDescent="0.2">
      <c r="A5073" s="2205" t="s">
        <v>11477</v>
      </c>
      <c r="B5073" s="2205">
        <v>3209.17</v>
      </c>
    </row>
    <row r="5074" spans="1:2" x14ac:dyDescent="0.2">
      <c r="A5074" s="2205" t="s">
        <v>11478</v>
      </c>
      <c r="B5074" s="2205">
        <v>7700.52</v>
      </c>
    </row>
    <row r="5075" spans="1:2" x14ac:dyDescent="0.2">
      <c r="A5075" s="2205" t="s">
        <v>11479</v>
      </c>
      <c r="B5075" s="2205">
        <v>14439.86</v>
      </c>
    </row>
    <row r="5076" spans="1:2" x14ac:dyDescent="0.2">
      <c r="A5076" s="2205" t="s">
        <v>11480</v>
      </c>
      <c r="B5076" s="2205">
        <v>352.01</v>
      </c>
    </row>
    <row r="5077" spans="1:2" x14ac:dyDescent="0.2">
      <c r="A5077" s="2205" t="s">
        <v>2887</v>
      </c>
      <c r="B5077" s="2205">
        <v>15016.56</v>
      </c>
    </row>
    <row r="5078" spans="1:2" x14ac:dyDescent="0.2">
      <c r="A5078" s="2205" t="s">
        <v>11481</v>
      </c>
      <c r="B5078" s="2205">
        <v>2093.31</v>
      </c>
    </row>
    <row r="5079" spans="1:2" x14ac:dyDescent="0.2">
      <c r="A5079" s="2205" t="s">
        <v>11482</v>
      </c>
      <c r="B5079" s="2205">
        <v>3125.08</v>
      </c>
    </row>
    <row r="5080" spans="1:2" x14ac:dyDescent="0.2">
      <c r="A5080" s="2205" t="s">
        <v>11483</v>
      </c>
      <c r="B5080" s="2205">
        <v>59.58</v>
      </c>
    </row>
    <row r="5081" spans="1:2" x14ac:dyDescent="0.2">
      <c r="A5081" s="2205" t="s">
        <v>11484</v>
      </c>
      <c r="B5081" s="2205">
        <v>7679.97</v>
      </c>
    </row>
    <row r="5082" spans="1:2" x14ac:dyDescent="0.2">
      <c r="A5082" s="2205" t="s">
        <v>11485</v>
      </c>
      <c r="B5082" s="2205">
        <v>123010.27</v>
      </c>
    </row>
    <row r="5083" spans="1:2" x14ac:dyDescent="0.2">
      <c r="A5083" s="2205" t="s">
        <v>11486</v>
      </c>
      <c r="B5083" s="2205">
        <v>403.71</v>
      </c>
    </row>
    <row r="5084" spans="1:2" x14ac:dyDescent="0.2">
      <c r="A5084" s="2205" t="s">
        <v>11487</v>
      </c>
      <c r="B5084" s="2205">
        <v>1598.21</v>
      </c>
    </row>
    <row r="5085" spans="1:2" x14ac:dyDescent="0.2">
      <c r="A5085" s="2205" t="s">
        <v>11488</v>
      </c>
      <c r="B5085" s="2205">
        <v>4341.1499999999996</v>
      </c>
    </row>
    <row r="5086" spans="1:2" x14ac:dyDescent="0.2">
      <c r="A5086" s="2205" t="s">
        <v>2510</v>
      </c>
      <c r="B5086" s="2205">
        <v>8331.8799999999992</v>
      </c>
    </row>
    <row r="5087" spans="1:2" x14ac:dyDescent="0.2">
      <c r="A5087" s="2205" t="s">
        <v>11489</v>
      </c>
      <c r="B5087" s="2205">
        <v>54.91</v>
      </c>
    </row>
    <row r="5088" spans="1:2" x14ac:dyDescent="0.2">
      <c r="A5088" s="2205" t="s">
        <v>11490</v>
      </c>
      <c r="B5088" s="2205">
        <v>2512.13</v>
      </c>
    </row>
    <row r="5089" spans="1:2" x14ac:dyDescent="0.2">
      <c r="A5089" s="2205" t="s">
        <v>11491</v>
      </c>
      <c r="B5089" s="2205">
        <v>33157.99</v>
      </c>
    </row>
    <row r="5090" spans="1:2" x14ac:dyDescent="0.2">
      <c r="A5090" s="2205" t="s">
        <v>11492</v>
      </c>
      <c r="B5090" s="2205">
        <v>1484.08</v>
      </c>
    </row>
    <row r="5091" spans="1:2" x14ac:dyDescent="0.2">
      <c r="A5091" s="2205" t="s">
        <v>11493</v>
      </c>
      <c r="B5091" s="2205">
        <v>431.86</v>
      </c>
    </row>
    <row r="5092" spans="1:2" x14ac:dyDescent="0.2">
      <c r="A5092" s="2205" t="s">
        <v>11494</v>
      </c>
      <c r="B5092" s="2205">
        <v>2085.89</v>
      </c>
    </row>
    <row r="5093" spans="1:2" x14ac:dyDescent="0.2">
      <c r="A5093" s="2205" t="s">
        <v>11495</v>
      </c>
      <c r="B5093" s="2205">
        <v>2583.38</v>
      </c>
    </row>
    <row r="5094" spans="1:2" x14ac:dyDescent="0.2">
      <c r="A5094" s="2205" t="s">
        <v>11496</v>
      </c>
      <c r="B5094" s="2205">
        <v>2157.3200000000002</v>
      </c>
    </row>
    <row r="5095" spans="1:2" x14ac:dyDescent="0.2">
      <c r="A5095" s="2205" t="s">
        <v>11497</v>
      </c>
      <c r="B5095" s="2205">
        <v>1908.82</v>
      </c>
    </row>
    <row r="5096" spans="1:2" x14ac:dyDescent="0.2">
      <c r="A5096" s="2205" t="s">
        <v>11498</v>
      </c>
      <c r="B5096" s="2205">
        <v>13778.03</v>
      </c>
    </row>
    <row r="5097" spans="1:2" x14ac:dyDescent="0.2">
      <c r="A5097" s="2205" t="s">
        <v>11499</v>
      </c>
      <c r="B5097" s="2205">
        <v>2644.6</v>
      </c>
    </row>
    <row r="5098" spans="1:2" x14ac:dyDescent="0.2">
      <c r="A5098" s="2205" t="s">
        <v>11500</v>
      </c>
      <c r="B5098" s="2205">
        <v>111.81</v>
      </c>
    </row>
    <row r="5099" spans="1:2" x14ac:dyDescent="0.2">
      <c r="A5099" s="2205" t="s">
        <v>11501</v>
      </c>
      <c r="B5099" s="2205">
        <v>1442.17</v>
      </c>
    </row>
    <row r="5100" spans="1:2" x14ac:dyDescent="0.2">
      <c r="A5100" s="2205" t="s">
        <v>11502</v>
      </c>
      <c r="B5100" s="2205">
        <v>5950.52</v>
      </c>
    </row>
    <row r="5101" spans="1:2" x14ac:dyDescent="0.2">
      <c r="A5101" s="2205" t="s">
        <v>11503</v>
      </c>
      <c r="B5101" s="2205">
        <v>1060.6400000000001</v>
      </c>
    </row>
    <row r="5102" spans="1:2" x14ac:dyDescent="0.2">
      <c r="A5102" s="2205" t="s">
        <v>11504</v>
      </c>
      <c r="B5102" s="2205">
        <v>4994.76</v>
      </c>
    </row>
    <row r="5103" spans="1:2" x14ac:dyDescent="0.2">
      <c r="A5103" s="2205" t="s">
        <v>11505</v>
      </c>
      <c r="B5103" s="2205">
        <v>31200</v>
      </c>
    </row>
    <row r="5104" spans="1:2" x14ac:dyDescent="0.2">
      <c r="A5104" s="2205" t="s">
        <v>11506</v>
      </c>
      <c r="B5104" s="2205">
        <v>3632.95</v>
      </c>
    </row>
    <row r="5105" spans="1:2" x14ac:dyDescent="0.2">
      <c r="A5105" s="2205" t="s">
        <v>11507</v>
      </c>
      <c r="B5105" s="2205">
        <v>98.35</v>
      </c>
    </row>
    <row r="5106" spans="1:2" x14ac:dyDescent="0.2">
      <c r="A5106" s="2205" t="s">
        <v>11508</v>
      </c>
      <c r="B5106" s="2205">
        <v>619.12</v>
      </c>
    </row>
    <row r="5107" spans="1:2" x14ac:dyDescent="0.2">
      <c r="A5107" s="2205" t="s">
        <v>11509</v>
      </c>
      <c r="B5107" s="2205">
        <v>98.35</v>
      </c>
    </row>
    <row r="5108" spans="1:2" x14ac:dyDescent="0.2">
      <c r="A5108" s="2205" t="s">
        <v>11510</v>
      </c>
      <c r="B5108" s="2205">
        <v>39.340000000000003</v>
      </c>
    </row>
    <row r="5109" spans="1:2" x14ac:dyDescent="0.2">
      <c r="A5109" s="2205" t="s">
        <v>11511</v>
      </c>
      <c r="B5109" s="2205">
        <v>70334.19</v>
      </c>
    </row>
    <row r="5110" spans="1:2" x14ac:dyDescent="0.2">
      <c r="A5110" s="2205" t="s">
        <v>11512</v>
      </c>
      <c r="B5110" s="2205">
        <v>286.22000000000003</v>
      </c>
    </row>
    <row r="5111" spans="1:2" x14ac:dyDescent="0.2">
      <c r="A5111" s="2205" t="s">
        <v>11513</v>
      </c>
      <c r="B5111" s="2205">
        <v>43.67</v>
      </c>
    </row>
    <row r="5112" spans="1:2" x14ac:dyDescent="0.2">
      <c r="A5112" s="2205" t="s">
        <v>11514</v>
      </c>
      <c r="B5112" s="2205">
        <v>1307.6300000000001</v>
      </c>
    </row>
    <row r="5113" spans="1:2" x14ac:dyDescent="0.2">
      <c r="A5113" s="2205" t="s">
        <v>11515</v>
      </c>
      <c r="B5113" s="2205">
        <v>772.81</v>
      </c>
    </row>
    <row r="5114" spans="1:2" x14ac:dyDescent="0.2">
      <c r="A5114" s="2205" t="s">
        <v>11516</v>
      </c>
      <c r="B5114" s="2205">
        <v>1596.27</v>
      </c>
    </row>
    <row r="5115" spans="1:2" x14ac:dyDescent="0.2">
      <c r="A5115" s="2205" t="s">
        <v>11517</v>
      </c>
      <c r="B5115" s="2205">
        <v>101.47</v>
      </c>
    </row>
    <row r="5116" spans="1:2" x14ac:dyDescent="0.2">
      <c r="A5116" s="2205" t="s">
        <v>11518</v>
      </c>
      <c r="B5116" s="2205">
        <v>932.54</v>
      </c>
    </row>
    <row r="5117" spans="1:2" x14ac:dyDescent="0.2">
      <c r="A5117" s="2205" t="s">
        <v>11519</v>
      </c>
      <c r="B5117" s="2205">
        <v>4959.33</v>
      </c>
    </row>
    <row r="5118" spans="1:2" x14ac:dyDescent="0.2">
      <c r="A5118" s="2205" t="s">
        <v>11520</v>
      </c>
      <c r="B5118" s="2205">
        <v>21738.74</v>
      </c>
    </row>
    <row r="5119" spans="1:2" x14ac:dyDescent="0.2">
      <c r="A5119" s="2205" t="s">
        <v>11521</v>
      </c>
      <c r="B5119" s="2205">
        <v>1104</v>
      </c>
    </row>
    <row r="5120" spans="1:2" x14ac:dyDescent="0.2">
      <c r="A5120" s="2205" t="s">
        <v>11522</v>
      </c>
      <c r="B5120" s="2205">
        <v>1855.33</v>
      </c>
    </row>
    <row r="5121" spans="1:2" x14ac:dyDescent="0.2">
      <c r="A5121" s="2205" t="s">
        <v>11523</v>
      </c>
      <c r="B5121" s="2205">
        <v>614.98</v>
      </c>
    </row>
    <row r="5122" spans="1:2" x14ac:dyDescent="0.2">
      <c r="A5122" s="2205" t="s">
        <v>11524</v>
      </c>
      <c r="B5122" s="2205">
        <v>868.12</v>
      </c>
    </row>
    <row r="5123" spans="1:2" x14ac:dyDescent="0.2">
      <c r="A5123" s="2205" t="s">
        <v>11525</v>
      </c>
      <c r="B5123" s="2205">
        <v>1579.08</v>
      </c>
    </row>
    <row r="5124" spans="1:2" x14ac:dyDescent="0.2">
      <c r="A5124" s="2205" t="s">
        <v>11526</v>
      </c>
      <c r="B5124" s="2205">
        <v>1745.64</v>
      </c>
    </row>
    <row r="5125" spans="1:2" x14ac:dyDescent="0.2">
      <c r="A5125" s="2205" t="s">
        <v>11527</v>
      </c>
      <c r="B5125" s="2205">
        <v>1331.74</v>
      </c>
    </row>
    <row r="5126" spans="1:2" x14ac:dyDescent="0.2">
      <c r="A5126" s="2205" t="s">
        <v>11528</v>
      </c>
      <c r="B5126" s="2205">
        <v>2407.23</v>
      </c>
    </row>
    <row r="5127" spans="1:2" x14ac:dyDescent="0.2">
      <c r="A5127" s="2205" t="s">
        <v>11529</v>
      </c>
      <c r="B5127" s="2205">
        <v>29174.16</v>
      </c>
    </row>
    <row r="5128" spans="1:2" x14ac:dyDescent="0.2">
      <c r="A5128" s="2205" t="s">
        <v>11530</v>
      </c>
      <c r="B5128" s="2205">
        <v>537.63</v>
      </c>
    </row>
    <row r="5129" spans="1:2" x14ac:dyDescent="0.2">
      <c r="A5129" s="2205" t="s">
        <v>11531</v>
      </c>
      <c r="B5129" s="2205">
        <v>4733.84</v>
      </c>
    </row>
    <row r="5130" spans="1:2" x14ac:dyDescent="0.2">
      <c r="A5130" s="2205" t="s">
        <v>11532</v>
      </c>
      <c r="B5130" s="2205">
        <v>894.52</v>
      </c>
    </row>
    <row r="5131" spans="1:2" x14ac:dyDescent="0.2">
      <c r="A5131" s="2205" t="s">
        <v>11533</v>
      </c>
      <c r="B5131" s="2205">
        <v>2945.89</v>
      </c>
    </row>
    <row r="5132" spans="1:2" x14ac:dyDescent="0.2">
      <c r="A5132" s="2205" t="s">
        <v>11534</v>
      </c>
      <c r="B5132" s="2205">
        <v>2769.37</v>
      </c>
    </row>
    <row r="5133" spans="1:2" x14ac:dyDescent="0.2">
      <c r="A5133" s="2205" t="s">
        <v>11535</v>
      </c>
      <c r="B5133" s="2205">
        <v>878.84</v>
      </c>
    </row>
    <row r="5134" spans="1:2" x14ac:dyDescent="0.2">
      <c r="A5134" s="2205" t="s">
        <v>11536</v>
      </c>
      <c r="B5134" s="2205">
        <v>7385.95</v>
      </c>
    </row>
    <row r="5135" spans="1:2" x14ac:dyDescent="0.2">
      <c r="A5135" s="2205" t="s">
        <v>11537</v>
      </c>
      <c r="B5135" s="2205">
        <v>10927.03</v>
      </c>
    </row>
    <row r="5136" spans="1:2" x14ac:dyDescent="0.2">
      <c r="A5136" s="2205" t="s">
        <v>11538</v>
      </c>
      <c r="B5136" s="2205">
        <v>87521.14</v>
      </c>
    </row>
    <row r="5137" spans="1:2" x14ac:dyDescent="0.2">
      <c r="A5137" s="2205" t="s">
        <v>11539</v>
      </c>
      <c r="B5137" s="2205">
        <v>6623.85</v>
      </c>
    </row>
    <row r="5138" spans="1:2" x14ac:dyDescent="0.2">
      <c r="A5138" s="2205" t="s">
        <v>11540</v>
      </c>
      <c r="B5138" s="2205">
        <v>9145.2099999999991</v>
      </c>
    </row>
    <row r="5139" spans="1:2" x14ac:dyDescent="0.2">
      <c r="A5139" s="2205" t="s">
        <v>11541</v>
      </c>
      <c r="B5139" s="2205">
        <v>834.07</v>
      </c>
    </row>
    <row r="5140" spans="1:2" x14ac:dyDescent="0.2">
      <c r="A5140" s="2205" t="s">
        <v>11542</v>
      </c>
      <c r="B5140" s="2205">
        <v>1567.66</v>
      </c>
    </row>
    <row r="5141" spans="1:2" x14ac:dyDescent="0.2">
      <c r="A5141" s="2205" t="s">
        <v>11543</v>
      </c>
      <c r="B5141" s="2205">
        <v>-14.69</v>
      </c>
    </row>
    <row r="5142" spans="1:2" x14ac:dyDescent="0.2">
      <c r="A5142" s="2205" t="s">
        <v>11544</v>
      </c>
      <c r="B5142" s="2205">
        <v>833.57</v>
      </c>
    </row>
    <row r="5143" spans="1:2" x14ac:dyDescent="0.2">
      <c r="A5143" s="2205" t="s">
        <v>11545</v>
      </c>
      <c r="B5143" s="2205">
        <v>2043.21</v>
      </c>
    </row>
    <row r="5144" spans="1:2" x14ac:dyDescent="0.2">
      <c r="A5144" s="2205" t="s">
        <v>11546</v>
      </c>
      <c r="B5144" s="2205">
        <v>1507.6</v>
      </c>
    </row>
    <row r="5145" spans="1:2" x14ac:dyDescent="0.2">
      <c r="A5145" s="2205" t="s">
        <v>11547</v>
      </c>
      <c r="B5145" s="2205">
        <v>19826.939999999999</v>
      </c>
    </row>
    <row r="5146" spans="1:2" x14ac:dyDescent="0.2">
      <c r="A5146" s="2205" t="s">
        <v>11548</v>
      </c>
      <c r="B5146" s="2205">
        <v>2063.77</v>
      </c>
    </row>
    <row r="5147" spans="1:2" x14ac:dyDescent="0.2">
      <c r="A5147" s="2205" t="s">
        <v>11549</v>
      </c>
      <c r="B5147" s="2205">
        <v>8345.85</v>
      </c>
    </row>
    <row r="5148" spans="1:2" x14ac:dyDescent="0.2">
      <c r="A5148" s="2205" t="s">
        <v>11550</v>
      </c>
      <c r="B5148" s="2205">
        <v>27705.47</v>
      </c>
    </row>
    <row r="5149" spans="1:2" x14ac:dyDescent="0.2">
      <c r="A5149" s="2205" t="s">
        <v>2530</v>
      </c>
      <c r="B5149" s="2205">
        <v>278436.18</v>
      </c>
    </row>
    <row r="5150" spans="1:2" x14ac:dyDescent="0.2">
      <c r="A5150" s="2205" t="s">
        <v>11551</v>
      </c>
      <c r="B5150" s="2205">
        <v>13379.3</v>
      </c>
    </row>
    <row r="5151" spans="1:2" x14ac:dyDescent="0.2">
      <c r="A5151" s="2205" t="s">
        <v>11552</v>
      </c>
      <c r="B5151" s="2205">
        <v>1852.36</v>
      </c>
    </row>
    <row r="5152" spans="1:2" x14ac:dyDescent="0.2">
      <c r="A5152" s="2205" t="s">
        <v>11553</v>
      </c>
      <c r="B5152" s="2205">
        <v>1997.01</v>
      </c>
    </row>
    <row r="5153" spans="1:2" x14ac:dyDescent="0.2">
      <c r="A5153" s="2205" t="s">
        <v>387</v>
      </c>
      <c r="B5153" s="2205">
        <v>249349</v>
      </c>
    </row>
    <row r="5154" spans="1:2" x14ac:dyDescent="0.2">
      <c r="A5154" s="2205" t="s">
        <v>574</v>
      </c>
      <c r="B5154" s="2205">
        <v>20104</v>
      </c>
    </row>
    <row r="5155" spans="1:2" x14ac:dyDescent="0.2">
      <c r="A5155" s="2205" t="s">
        <v>2108</v>
      </c>
      <c r="B5155" s="2205">
        <v>40538</v>
      </c>
    </row>
    <row r="5156" spans="1:2" x14ac:dyDescent="0.2">
      <c r="A5156" s="2205" t="s">
        <v>2733</v>
      </c>
      <c r="B5156" s="2205">
        <v>91428</v>
      </c>
    </row>
    <row r="5157" spans="1:2" x14ac:dyDescent="0.2">
      <c r="A5157" s="2205" t="s">
        <v>1456</v>
      </c>
      <c r="B5157" s="2205">
        <v>7894.71</v>
      </c>
    </row>
    <row r="5158" spans="1:2" x14ac:dyDescent="0.2">
      <c r="A5158" s="2205" t="s">
        <v>1721</v>
      </c>
      <c r="B5158" s="2205">
        <v>56043.79</v>
      </c>
    </row>
    <row r="5159" spans="1:2" x14ac:dyDescent="0.2">
      <c r="A5159" s="2205" t="s">
        <v>2062</v>
      </c>
      <c r="B5159" s="2205">
        <v>249592.1</v>
      </c>
    </row>
    <row r="5160" spans="1:2" x14ac:dyDescent="0.2">
      <c r="A5160" s="2205" t="s">
        <v>69</v>
      </c>
      <c r="B5160" s="2205">
        <v>422609.55</v>
      </c>
    </row>
    <row r="5161" spans="1:2" x14ac:dyDescent="0.2">
      <c r="A5161" s="2205" t="s">
        <v>6</v>
      </c>
      <c r="B5161" s="2205">
        <v>7231.17</v>
      </c>
    </row>
    <row r="5162" spans="1:2" x14ac:dyDescent="0.2">
      <c r="A5162" s="2205" t="s">
        <v>2295</v>
      </c>
      <c r="B5162" s="2205">
        <v>1660.85</v>
      </c>
    </row>
    <row r="5163" spans="1:2" x14ac:dyDescent="0.2">
      <c r="A5163" s="2205" t="s">
        <v>2700</v>
      </c>
      <c r="B5163" s="2205">
        <v>4199313.45</v>
      </c>
    </row>
    <row r="5164" spans="1:2" x14ac:dyDescent="0.2">
      <c r="A5164" s="2205" t="s">
        <v>2061</v>
      </c>
      <c r="B5164" s="2205">
        <v>68593.31</v>
      </c>
    </row>
    <row r="5165" spans="1:2" x14ac:dyDescent="0.2">
      <c r="A5165" s="2205" t="s">
        <v>2054</v>
      </c>
      <c r="B5165" s="2205">
        <v>106856.44</v>
      </c>
    </row>
    <row r="5166" spans="1:2" x14ac:dyDescent="0.2">
      <c r="A5166" s="2205" t="s">
        <v>2750</v>
      </c>
      <c r="B5166" s="2205">
        <v>1679.73</v>
      </c>
    </row>
    <row r="5167" spans="1:2" x14ac:dyDescent="0.2">
      <c r="A5167" s="2205" t="s">
        <v>5998</v>
      </c>
      <c r="B5167" s="2205">
        <v>0</v>
      </c>
    </row>
    <row r="5168" spans="1:2" x14ac:dyDescent="0.2">
      <c r="A5168" s="2205" t="s">
        <v>11554</v>
      </c>
      <c r="B5168" s="2205">
        <v>-595235</v>
      </c>
    </row>
    <row r="5169" spans="1:2" x14ac:dyDescent="0.2">
      <c r="A5169" s="2205" t="s">
        <v>5466</v>
      </c>
      <c r="B5169" s="2205">
        <v>0</v>
      </c>
    </row>
    <row r="5170" spans="1:2" x14ac:dyDescent="0.2">
      <c r="A5170" s="2205" t="s">
        <v>5468</v>
      </c>
      <c r="B5170" s="2205">
        <v>0</v>
      </c>
    </row>
    <row r="5171" spans="1:2" x14ac:dyDescent="0.2">
      <c r="A5171" s="2205" t="s">
        <v>11555</v>
      </c>
      <c r="B5171" s="2205">
        <v>0</v>
      </c>
    </row>
    <row r="5172" spans="1:2" x14ac:dyDescent="0.2">
      <c r="A5172" s="2205" t="s">
        <v>11556</v>
      </c>
      <c r="B5172" s="2205">
        <v>-26952.69</v>
      </c>
    </row>
    <row r="5173" spans="1:2" x14ac:dyDescent="0.2">
      <c r="A5173" s="2205" t="s">
        <v>1677</v>
      </c>
      <c r="B5173" s="2205">
        <v>-6194638</v>
      </c>
    </row>
    <row r="5174" spans="1:2" x14ac:dyDescent="0.2">
      <c r="A5174" s="2205" t="s">
        <v>1678</v>
      </c>
      <c r="B5174" s="2205">
        <v>-354961.46</v>
      </c>
    </row>
    <row r="5175" spans="1:2" x14ac:dyDescent="0.2">
      <c r="A5175" s="2205" t="s">
        <v>1979</v>
      </c>
      <c r="B5175" s="2205">
        <v>-150151.66</v>
      </c>
    </row>
    <row r="5176" spans="1:2" x14ac:dyDescent="0.2">
      <c r="A5176" s="2205" t="s">
        <v>2003</v>
      </c>
      <c r="B5176" s="2205">
        <v>-96028</v>
      </c>
    </row>
    <row r="5177" spans="1:2" x14ac:dyDescent="0.2">
      <c r="A5177" s="2205" t="s">
        <v>1473</v>
      </c>
      <c r="B5177" s="2205">
        <v>-38808.879999999997</v>
      </c>
    </row>
    <row r="5178" spans="1:2" x14ac:dyDescent="0.2">
      <c r="A5178" s="2205" t="s">
        <v>1384</v>
      </c>
      <c r="B5178" s="2205">
        <v>-65313</v>
      </c>
    </row>
    <row r="5179" spans="1:2" x14ac:dyDescent="0.2">
      <c r="A5179" s="2205" t="s">
        <v>1929</v>
      </c>
      <c r="B5179" s="2205">
        <v>-77382</v>
      </c>
    </row>
    <row r="5180" spans="1:2" x14ac:dyDescent="0.2">
      <c r="A5180" s="2205" t="s">
        <v>1930</v>
      </c>
      <c r="B5180" s="2205">
        <v>-40894</v>
      </c>
    </row>
    <row r="5181" spans="1:2" x14ac:dyDescent="0.2">
      <c r="A5181" s="2205" t="s">
        <v>1848</v>
      </c>
      <c r="B5181" s="2205">
        <v>-98000</v>
      </c>
    </row>
    <row r="5182" spans="1:2" x14ac:dyDescent="0.2">
      <c r="A5182" s="2205" t="s">
        <v>5802</v>
      </c>
      <c r="B5182" s="2205">
        <v>-28333.5</v>
      </c>
    </row>
    <row r="5183" spans="1:2" x14ac:dyDescent="0.2">
      <c r="A5183" s="2205" t="s">
        <v>6449</v>
      </c>
      <c r="B5183" s="2205">
        <v>-20000</v>
      </c>
    </row>
    <row r="5184" spans="1:2" x14ac:dyDescent="0.2">
      <c r="A5184" s="2205" t="s">
        <v>11557</v>
      </c>
      <c r="B5184" s="2205">
        <v>0</v>
      </c>
    </row>
    <row r="5185" spans="1:2" x14ac:dyDescent="0.2">
      <c r="A5185" s="2205" t="s">
        <v>6659</v>
      </c>
      <c r="B5185" s="2205">
        <v>-5000</v>
      </c>
    </row>
    <row r="5186" spans="1:2" x14ac:dyDescent="0.2">
      <c r="A5186" s="2205" t="s">
        <v>6850</v>
      </c>
      <c r="B5186" s="2205">
        <v>-8000</v>
      </c>
    </row>
    <row r="5187" spans="1:2" x14ac:dyDescent="0.2">
      <c r="A5187" s="2205" t="s">
        <v>6661</v>
      </c>
      <c r="B5187" s="2205">
        <v>-70000</v>
      </c>
    </row>
    <row r="5188" spans="1:2" x14ac:dyDescent="0.2">
      <c r="A5188" s="2205" t="s">
        <v>6667</v>
      </c>
      <c r="B5188" s="2205">
        <v>-4545.45</v>
      </c>
    </row>
    <row r="5189" spans="1:2" x14ac:dyDescent="0.2">
      <c r="A5189" s="2205" t="s">
        <v>11558</v>
      </c>
      <c r="B5189" s="2205">
        <v>-93793.01</v>
      </c>
    </row>
    <row r="5190" spans="1:2" x14ac:dyDescent="0.2">
      <c r="A5190" s="2205" t="s">
        <v>6444</v>
      </c>
      <c r="B5190" s="2205">
        <v>-50000</v>
      </c>
    </row>
    <row r="5191" spans="1:2" x14ac:dyDescent="0.2">
      <c r="A5191" s="2205" t="s">
        <v>11559</v>
      </c>
      <c r="B5191" s="2205">
        <v>0</v>
      </c>
    </row>
    <row r="5192" spans="1:2" x14ac:dyDescent="0.2">
      <c r="A5192" s="2205" t="s">
        <v>6860</v>
      </c>
      <c r="B5192" s="2205">
        <v>-24364</v>
      </c>
    </row>
    <row r="5193" spans="1:2" x14ac:dyDescent="0.2">
      <c r="A5193" s="2205" t="s">
        <v>1794</v>
      </c>
      <c r="B5193" s="2205">
        <v>-1537.5</v>
      </c>
    </row>
    <row r="5194" spans="1:2" x14ac:dyDescent="0.2">
      <c r="A5194" s="2205" t="s">
        <v>4179</v>
      </c>
      <c r="B5194" s="2205">
        <v>0</v>
      </c>
    </row>
    <row r="5195" spans="1:2" x14ac:dyDescent="0.2">
      <c r="A5195" s="2205" t="s">
        <v>1347</v>
      </c>
      <c r="B5195" s="2205">
        <v>-159920.99</v>
      </c>
    </row>
    <row r="5196" spans="1:2" x14ac:dyDescent="0.2">
      <c r="A5196" s="2205" t="s">
        <v>1222</v>
      </c>
      <c r="B5196" s="2205">
        <v>-159095.67000000001</v>
      </c>
    </row>
    <row r="5197" spans="1:2" x14ac:dyDescent="0.2">
      <c r="A5197" s="2205" t="s">
        <v>11560</v>
      </c>
      <c r="B5197" s="2205">
        <v>0</v>
      </c>
    </row>
    <row r="5198" spans="1:2" x14ac:dyDescent="0.2">
      <c r="A5198" s="2205" t="s">
        <v>4061</v>
      </c>
      <c r="B5198" s="2205">
        <v>0</v>
      </c>
    </row>
    <row r="5199" spans="1:2" x14ac:dyDescent="0.2">
      <c r="A5199" s="2205" t="s">
        <v>6422</v>
      </c>
      <c r="B5199" s="2205">
        <v>-10608.5</v>
      </c>
    </row>
    <row r="5200" spans="1:2" x14ac:dyDescent="0.2">
      <c r="A5200" s="2205" t="s">
        <v>7063</v>
      </c>
      <c r="B5200" s="2205">
        <v>-6595</v>
      </c>
    </row>
    <row r="5201" spans="1:2" x14ac:dyDescent="0.2">
      <c r="A5201" s="2205" t="s">
        <v>639</v>
      </c>
      <c r="B5201" s="2205">
        <v>-926164</v>
      </c>
    </row>
    <row r="5202" spans="1:2" x14ac:dyDescent="0.2">
      <c r="A5202" s="2205" t="s">
        <v>6859</v>
      </c>
      <c r="B5202" s="2205">
        <v>-41583.97</v>
      </c>
    </row>
    <row r="5203" spans="1:2" x14ac:dyDescent="0.2">
      <c r="A5203" s="2205" t="s">
        <v>2505</v>
      </c>
      <c r="B5203" s="2205">
        <v>-22821.73</v>
      </c>
    </row>
    <row r="5204" spans="1:2" x14ac:dyDescent="0.2">
      <c r="A5204" s="2205" t="s">
        <v>11561</v>
      </c>
      <c r="B5204" s="2205">
        <v>-20060</v>
      </c>
    </row>
    <row r="5205" spans="1:2" x14ac:dyDescent="0.2">
      <c r="A5205" s="2205" t="s">
        <v>7017</v>
      </c>
      <c r="B5205" s="2205">
        <v>-5000</v>
      </c>
    </row>
    <row r="5206" spans="1:2" x14ac:dyDescent="0.2">
      <c r="A5206" s="2205" t="s">
        <v>669</v>
      </c>
      <c r="B5206" s="2205">
        <v>-5699.33</v>
      </c>
    </row>
    <row r="5207" spans="1:2" x14ac:dyDescent="0.2">
      <c r="A5207" s="2205" t="s">
        <v>11562</v>
      </c>
      <c r="B5207" s="2205">
        <v>-1234</v>
      </c>
    </row>
    <row r="5208" spans="1:2" x14ac:dyDescent="0.2">
      <c r="A5208" s="2205" t="s">
        <v>6844</v>
      </c>
      <c r="B5208" s="2205">
        <v>-1000</v>
      </c>
    </row>
    <row r="5209" spans="1:2" x14ac:dyDescent="0.2">
      <c r="A5209" s="2205" t="s">
        <v>7016</v>
      </c>
      <c r="B5209" s="2205">
        <v>-12000</v>
      </c>
    </row>
    <row r="5210" spans="1:2" x14ac:dyDescent="0.2">
      <c r="A5210" s="2205" t="s">
        <v>6402</v>
      </c>
      <c r="B5210" s="2205">
        <v>-25000</v>
      </c>
    </row>
    <row r="5211" spans="1:2" x14ac:dyDescent="0.2">
      <c r="A5211" s="2205" t="s">
        <v>7031</v>
      </c>
      <c r="B5211" s="2205">
        <v>-92620.81</v>
      </c>
    </row>
    <row r="5212" spans="1:2" x14ac:dyDescent="0.2">
      <c r="A5212" s="2205" t="s">
        <v>11563</v>
      </c>
      <c r="B5212" s="2205">
        <v>-433.9</v>
      </c>
    </row>
    <row r="5213" spans="1:2" x14ac:dyDescent="0.2">
      <c r="A5213" s="2205" t="s">
        <v>2402</v>
      </c>
      <c r="B5213" s="2205">
        <v>-30307.279999999999</v>
      </c>
    </row>
    <row r="5214" spans="1:2" x14ac:dyDescent="0.2">
      <c r="A5214" s="2205" t="s">
        <v>2401</v>
      </c>
      <c r="B5214" s="2205">
        <v>-15944.26</v>
      </c>
    </row>
    <row r="5215" spans="1:2" x14ac:dyDescent="0.2">
      <c r="A5215" s="2205" t="s">
        <v>2161</v>
      </c>
      <c r="B5215" s="2205">
        <v>-44209.55</v>
      </c>
    </row>
    <row r="5216" spans="1:2" x14ac:dyDescent="0.2">
      <c r="A5216" s="2205" t="s">
        <v>2277</v>
      </c>
      <c r="B5216" s="2205">
        <v>-12106.8</v>
      </c>
    </row>
    <row r="5217" spans="1:2" x14ac:dyDescent="0.2">
      <c r="A5217" s="2205" t="s">
        <v>2678</v>
      </c>
      <c r="B5217" s="2205">
        <v>-19631</v>
      </c>
    </row>
    <row r="5218" spans="1:2" x14ac:dyDescent="0.2">
      <c r="A5218" s="2205" t="s">
        <v>1057</v>
      </c>
      <c r="B5218" s="2205">
        <v>-28800.55</v>
      </c>
    </row>
    <row r="5219" spans="1:2" x14ac:dyDescent="0.2">
      <c r="A5219" s="2205" t="s">
        <v>722</v>
      </c>
      <c r="B5219" s="2205">
        <v>-161549.34</v>
      </c>
    </row>
    <row r="5220" spans="1:2" x14ac:dyDescent="0.2">
      <c r="A5220" s="2205" t="s">
        <v>6411</v>
      </c>
      <c r="B5220" s="2205">
        <v>-1484438</v>
      </c>
    </row>
    <row r="5221" spans="1:2" x14ac:dyDescent="0.2">
      <c r="A5221" s="2205" t="s">
        <v>2892</v>
      </c>
      <c r="B5221" s="2205">
        <v>-56380.62</v>
      </c>
    </row>
    <row r="5222" spans="1:2" x14ac:dyDescent="0.2">
      <c r="A5222" s="2205" t="s">
        <v>18</v>
      </c>
      <c r="B5222" s="2205">
        <v>0</v>
      </c>
    </row>
    <row r="5223" spans="1:2" x14ac:dyDescent="0.2">
      <c r="A5223" s="2205" t="s">
        <v>19</v>
      </c>
      <c r="B5223" s="2205">
        <v>-20600</v>
      </c>
    </row>
    <row r="5224" spans="1:2" x14ac:dyDescent="0.2">
      <c r="A5224" s="2205" t="s">
        <v>11564</v>
      </c>
      <c r="B5224" s="2205">
        <v>0</v>
      </c>
    </row>
    <row r="5225" spans="1:2" x14ac:dyDescent="0.2">
      <c r="A5225" s="2205" t="s">
        <v>2369</v>
      </c>
      <c r="B5225" s="2205">
        <v>-124830.63</v>
      </c>
    </row>
    <row r="5226" spans="1:2" x14ac:dyDescent="0.2">
      <c r="A5226" s="2205" t="s">
        <v>3005</v>
      </c>
      <c r="B5226" s="2205">
        <v>-12000</v>
      </c>
    </row>
    <row r="5227" spans="1:2" x14ac:dyDescent="0.2">
      <c r="A5227" s="2205" t="s">
        <v>11565</v>
      </c>
      <c r="B5227" s="2205">
        <v>-40000</v>
      </c>
    </row>
    <row r="5228" spans="1:2" x14ac:dyDescent="0.2">
      <c r="A5228" s="2205" t="s">
        <v>2816</v>
      </c>
      <c r="B5228" s="2205">
        <v>-188796.23</v>
      </c>
    </row>
    <row r="5229" spans="1:2" x14ac:dyDescent="0.2">
      <c r="A5229" s="2205" t="s">
        <v>11566</v>
      </c>
      <c r="B5229" s="2205">
        <v>-938.18</v>
      </c>
    </row>
    <row r="5230" spans="1:2" x14ac:dyDescent="0.2">
      <c r="A5230" s="2205" t="s">
        <v>1618</v>
      </c>
      <c r="B5230" s="2205">
        <v>-154181.82999999999</v>
      </c>
    </row>
    <row r="5231" spans="1:2" x14ac:dyDescent="0.2">
      <c r="A5231" s="2205" t="s">
        <v>11567</v>
      </c>
      <c r="B5231" s="2205">
        <v>-430.12</v>
      </c>
    </row>
    <row r="5232" spans="1:2" x14ac:dyDescent="0.2">
      <c r="A5232" s="2205" t="s">
        <v>11568</v>
      </c>
      <c r="B5232" s="2205">
        <v>0</v>
      </c>
    </row>
    <row r="5233" spans="1:2" x14ac:dyDescent="0.2">
      <c r="A5233" s="2205" t="s">
        <v>6862</v>
      </c>
      <c r="B5233" s="2205">
        <v>-9600</v>
      </c>
    </row>
    <row r="5234" spans="1:2" x14ac:dyDescent="0.2">
      <c r="A5234" s="2205" t="s">
        <v>2891</v>
      </c>
      <c r="B5234" s="2205">
        <v>-35062.15</v>
      </c>
    </row>
    <row r="5235" spans="1:2" x14ac:dyDescent="0.2">
      <c r="A5235" s="2205" t="s">
        <v>5426</v>
      </c>
      <c r="B5235" s="2205">
        <v>-2000</v>
      </c>
    </row>
    <row r="5236" spans="1:2" x14ac:dyDescent="0.2">
      <c r="A5236" s="2205" t="s">
        <v>7231</v>
      </c>
      <c r="B5236" s="2205">
        <v>-77000</v>
      </c>
    </row>
    <row r="5237" spans="1:2" x14ac:dyDescent="0.2">
      <c r="A5237" s="2205" t="s">
        <v>7027</v>
      </c>
      <c r="B5237" s="2205">
        <v>0</v>
      </c>
    </row>
    <row r="5238" spans="1:2" x14ac:dyDescent="0.2">
      <c r="A5238" s="2205" t="s">
        <v>2067</v>
      </c>
      <c r="B5238" s="2205">
        <v>-64714.93</v>
      </c>
    </row>
    <row r="5239" spans="1:2" x14ac:dyDescent="0.2">
      <c r="A5239" s="2205" t="s">
        <v>353</v>
      </c>
      <c r="B5239" s="2205">
        <v>460.01</v>
      </c>
    </row>
    <row r="5240" spans="1:2" x14ac:dyDescent="0.2">
      <c r="A5240" s="2205" t="s">
        <v>766</v>
      </c>
      <c r="B5240" s="2205">
        <v>-279532.81</v>
      </c>
    </row>
    <row r="5241" spans="1:2" x14ac:dyDescent="0.2">
      <c r="A5241" s="2205" t="s">
        <v>180</v>
      </c>
      <c r="B5241" s="2205">
        <v>-106437.95</v>
      </c>
    </row>
    <row r="5242" spans="1:2" x14ac:dyDescent="0.2">
      <c r="A5242" s="2205" t="s">
        <v>11569</v>
      </c>
      <c r="B5242" s="2205">
        <v>-750</v>
      </c>
    </row>
    <row r="5243" spans="1:2" x14ac:dyDescent="0.2">
      <c r="A5243" s="2205" t="s">
        <v>11570</v>
      </c>
      <c r="B5243" s="2205">
        <v>-61932</v>
      </c>
    </row>
    <row r="5244" spans="1:2" x14ac:dyDescent="0.2">
      <c r="A5244" s="2205" t="s">
        <v>1679</v>
      </c>
      <c r="B5244" s="2205">
        <v>-692224.73</v>
      </c>
    </row>
    <row r="5245" spans="1:2" x14ac:dyDescent="0.2">
      <c r="A5245" s="2205" t="s">
        <v>1680</v>
      </c>
      <c r="B5245" s="2205">
        <v>11626.35</v>
      </c>
    </row>
    <row r="5246" spans="1:2" x14ac:dyDescent="0.2">
      <c r="A5246" s="2205" t="s">
        <v>2477</v>
      </c>
      <c r="B5246" s="2205">
        <v>-25488.42</v>
      </c>
    </row>
    <row r="5247" spans="1:2" x14ac:dyDescent="0.2">
      <c r="A5247" s="2205" t="s">
        <v>6601</v>
      </c>
      <c r="B5247" s="2205">
        <v>-7343.6</v>
      </c>
    </row>
    <row r="5248" spans="1:2" x14ac:dyDescent="0.2">
      <c r="A5248" s="2205" t="s">
        <v>2223</v>
      </c>
      <c r="B5248" s="2205">
        <v>-107740</v>
      </c>
    </row>
    <row r="5249" spans="1:2" x14ac:dyDescent="0.2">
      <c r="A5249" s="2205" t="s">
        <v>1967</v>
      </c>
      <c r="B5249" s="2205">
        <v>-54610.17</v>
      </c>
    </row>
    <row r="5250" spans="1:2" x14ac:dyDescent="0.2">
      <c r="A5250" s="2205" t="s">
        <v>11571</v>
      </c>
      <c r="B5250" s="2205">
        <v>-24524</v>
      </c>
    </row>
    <row r="5251" spans="1:2" x14ac:dyDescent="0.2">
      <c r="A5251" s="2205" t="s">
        <v>310</v>
      </c>
      <c r="B5251" s="2205">
        <v>-16536</v>
      </c>
    </row>
    <row r="5252" spans="1:2" x14ac:dyDescent="0.2">
      <c r="A5252" s="2205" t="s">
        <v>2644</v>
      </c>
      <c r="B5252" s="2205">
        <v>-62725</v>
      </c>
    </row>
    <row r="5253" spans="1:2" x14ac:dyDescent="0.2">
      <c r="A5253" s="2205" t="s">
        <v>1290</v>
      </c>
      <c r="B5253" s="2205">
        <v>-6319</v>
      </c>
    </row>
    <row r="5254" spans="1:2" x14ac:dyDescent="0.2">
      <c r="A5254" s="2205" t="s">
        <v>11572</v>
      </c>
      <c r="B5254" s="2205">
        <v>-285</v>
      </c>
    </row>
    <row r="5255" spans="1:2" x14ac:dyDescent="0.2">
      <c r="A5255" s="2205" t="s">
        <v>941</v>
      </c>
      <c r="B5255" s="2205">
        <v>-23897</v>
      </c>
    </row>
    <row r="5256" spans="1:2" x14ac:dyDescent="0.2">
      <c r="A5256" s="2205" t="s">
        <v>1289</v>
      </c>
      <c r="B5256" s="2205">
        <v>-7398</v>
      </c>
    </row>
    <row r="5257" spans="1:2" x14ac:dyDescent="0.2">
      <c r="A5257" s="2205" t="s">
        <v>1291</v>
      </c>
      <c r="B5257" s="2205">
        <v>-23317</v>
      </c>
    </row>
    <row r="5258" spans="1:2" x14ac:dyDescent="0.2">
      <c r="A5258" s="2205" t="s">
        <v>1301</v>
      </c>
      <c r="B5258" s="2205">
        <v>-20260</v>
      </c>
    </row>
    <row r="5259" spans="1:2" x14ac:dyDescent="0.2">
      <c r="A5259" s="2205" t="s">
        <v>27</v>
      </c>
      <c r="B5259" s="2205">
        <v>-34183</v>
      </c>
    </row>
    <row r="5260" spans="1:2" x14ac:dyDescent="0.2">
      <c r="A5260" s="2205" t="s">
        <v>11573</v>
      </c>
      <c r="B5260" s="2205">
        <v>-3602</v>
      </c>
    </row>
    <row r="5261" spans="1:2" x14ac:dyDescent="0.2">
      <c r="A5261" s="2205" t="s">
        <v>944</v>
      </c>
      <c r="B5261" s="2205">
        <v>-183349</v>
      </c>
    </row>
    <row r="5262" spans="1:2" x14ac:dyDescent="0.2">
      <c r="A5262" s="2205" t="s">
        <v>1346</v>
      </c>
      <c r="B5262" s="2205">
        <v>-215542</v>
      </c>
    </row>
    <row r="5263" spans="1:2" x14ac:dyDescent="0.2">
      <c r="A5263" s="2205" t="s">
        <v>767</v>
      </c>
      <c r="B5263" s="2205">
        <v>-29716.9</v>
      </c>
    </row>
    <row r="5264" spans="1:2" x14ac:dyDescent="0.2">
      <c r="A5264" s="2205" t="s">
        <v>2981</v>
      </c>
      <c r="B5264" s="2205">
        <v>-21955.35</v>
      </c>
    </row>
    <row r="5265" spans="1:2" x14ac:dyDescent="0.2">
      <c r="A5265" s="2205" t="s">
        <v>1980</v>
      </c>
      <c r="B5265" s="2205">
        <v>-47818</v>
      </c>
    </row>
    <row r="5266" spans="1:2" x14ac:dyDescent="0.2">
      <c r="A5266" s="2205" t="s">
        <v>11574</v>
      </c>
      <c r="B5266" s="2205">
        <v>-150000</v>
      </c>
    </row>
    <row r="5267" spans="1:2" x14ac:dyDescent="0.2">
      <c r="A5267" s="2205" t="s">
        <v>2690</v>
      </c>
      <c r="B5267" s="2205">
        <v>1426.8</v>
      </c>
    </row>
    <row r="5268" spans="1:2" x14ac:dyDescent="0.2">
      <c r="A5268" s="2205" t="s">
        <v>1829</v>
      </c>
      <c r="B5268" s="2205">
        <v>0</v>
      </c>
    </row>
    <row r="5269" spans="1:2" x14ac:dyDescent="0.2">
      <c r="A5269" s="2205" t="s">
        <v>11575</v>
      </c>
      <c r="B5269" s="2205">
        <v>0</v>
      </c>
    </row>
    <row r="5270" spans="1:2" x14ac:dyDescent="0.2">
      <c r="A5270" s="2205" t="s">
        <v>11576</v>
      </c>
      <c r="B5270" s="2205">
        <v>0</v>
      </c>
    </row>
    <row r="5271" spans="1:2" x14ac:dyDescent="0.2">
      <c r="A5271" s="2205" t="s">
        <v>2565</v>
      </c>
      <c r="B5271" s="2205">
        <v>-2700.96</v>
      </c>
    </row>
    <row r="5272" spans="1:2" x14ac:dyDescent="0.2">
      <c r="A5272" s="2205" t="s">
        <v>999</v>
      </c>
      <c r="B5272" s="2205">
        <v>79241.36</v>
      </c>
    </row>
    <row r="5273" spans="1:2" x14ac:dyDescent="0.2">
      <c r="A5273" s="2205" t="s">
        <v>93</v>
      </c>
      <c r="B5273" s="2205">
        <v>94285.13</v>
      </c>
    </row>
    <row r="5274" spans="1:2" x14ac:dyDescent="0.2">
      <c r="A5274" s="2205" t="s">
        <v>2687</v>
      </c>
      <c r="B5274" s="2205">
        <v>4686.74</v>
      </c>
    </row>
    <row r="5275" spans="1:2" x14ac:dyDescent="0.2">
      <c r="A5275" s="2205" t="s">
        <v>2588</v>
      </c>
      <c r="B5275" s="2205">
        <v>9908.92</v>
      </c>
    </row>
    <row r="5276" spans="1:2" x14ac:dyDescent="0.2">
      <c r="A5276" s="2205" t="s">
        <v>2075</v>
      </c>
      <c r="B5276" s="2205">
        <v>11496.22</v>
      </c>
    </row>
    <row r="5277" spans="1:2" x14ac:dyDescent="0.2">
      <c r="A5277" s="2205" t="s">
        <v>2072</v>
      </c>
      <c r="B5277" s="2205">
        <v>951.98</v>
      </c>
    </row>
    <row r="5278" spans="1:2" x14ac:dyDescent="0.2">
      <c r="A5278" s="2205" t="s">
        <v>11577</v>
      </c>
      <c r="B5278" s="2205">
        <v>1068.29</v>
      </c>
    </row>
    <row r="5279" spans="1:2" x14ac:dyDescent="0.2">
      <c r="A5279" s="2205" t="s">
        <v>1270</v>
      </c>
      <c r="B5279" s="2205">
        <v>10343.85</v>
      </c>
    </row>
    <row r="5280" spans="1:2" x14ac:dyDescent="0.2">
      <c r="A5280" s="2205" t="s">
        <v>805</v>
      </c>
      <c r="B5280" s="2205">
        <v>273098.05</v>
      </c>
    </row>
    <row r="5281" spans="1:2" x14ac:dyDescent="0.2">
      <c r="A5281" s="2205" t="s">
        <v>11578</v>
      </c>
      <c r="B5281" s="2205">
        <v>5569.07</v>
      </c>
    </row>
    <row r="5282" spans="1:2" x14ac:dyDescent="0.2">
      <c r="A5282" s="2205" t="s">
        <v>1269</v>
      </c>
      <c r="B5282" s="2205">
        <v>9505.3700000000008</v>
      </c>
    </row>
    <row r="5283" spans="1:2" x14ac:dyDescent="0.2">
      <c r="A5283" s="2205" t="s">
        <v>11579</v>
      </c>
      <c r="B5283" s="2205">
        <v>460.91</v>
      </c>
    </row>
    <row r="5284" spans="1:2" x14ac:dyDescent="0.2">
      <c r="A5284" s="2205" t="s">
        <v>1261</v>
      </c>
      <c r="B5284" s="2205">
        <v>56243.15</v>
      </c>
    </row>
    <row r="5285" spans="1:2" x14ac:dyDescent="0.2">
      <c r="A5285" s="2205" t="s">
        <v>1805</v>
      </c>
      <c r="B5285" s="2205">
        <v>16383.64</v>
      </c>
    </row>
    <row r="5286" spans="1:2" x14ac:dyDescent="0.2">
      <c r="A5286" s="2205" t="s">
        <v>2689</v>
      </c>
      <c r="B5286" s="2205">
        <v>17619.259999999998</v>
      </c>
    </row>
    <row r="5287" spans="1:2" x14ac:dyDescent="0.2">
      <c r="A5287" s="2205" t="s">
        <v>1802</v>
      </c>
      <c r="B5287" s="2205">
        <v>20312.330000000002</v>
      </c>
    </row>
    <row r="5288" spans="1:2" x14ac:dyDescent="0.2">
      <c r="A5288" s="2205" t="s">
        <v>11580</v>
      </c>
      <c r="B5288" s="2205">
        <v>460.23</v>
      </c>
    </row>
    <row r="5289" spans="1:2" x14ac:dyDescent="0.2">
      <c r="A5289" s="2205" t="s">
        <v>1803</v>
      </c>
      <c r="B5289" s="2205">
        <v>222687.4</v>
      </c>
    </row>
    <row r="5290" spans="1:2" x14ac:dyDescent="0.2">
      <c r="A5290" s="2205" t="s">
        <v>1801</v>
      </c>
      <c r="B5290" s="2205">
        <v>72531.16</v>
      </c>
    </row>
    <row r="5291" spans="1:2" x14ac:dyDescent="0.2">
      <c r="A5291" s="2205" t="s">
        <v>806</v>
      </c>
      <c r="B5291" s="2205">
        <v>237519.15</v>
      </c>
    </row>
    <row r="5292" spans="1:2" x14ac:dyDescent="0.2">
      <c r="A5292" s="2205" t="s">
        <v>1804</v>
      </c>
      <c r="B5292" s="2205">
        <v>101814.28</v>
      </c>
    </row>
    <row r="5293" spans="1:2" x14ac:dyDescent="0.2">
      <c r="A5293" s="2205" t="s">
        <v>1806</v>
      </c>
      <c r="B5293" s="2205">
        <v>16810.48</v>
      </c>
    </row>
    <row r="5294" spans="1:2" x14ac:dyDescent="0.2">
      <c r="A5294" s="2205" t="s">
        <v>2460</v>
      </c>
      <c r="B5294" s="2205">
        <v>12233.52</v>
      </c>
    </row>
    <row r="5295" spans="1:2" x14ac:dyDescent="0.2">
      <c r="A5295" s="2205" t="s">
        <v>2712</v>
      </c>
      <c r="B5295" s="2205">
        <v>1531.32</v>
      </c>
    </row>
    <row r="5296" spans="1:2" x14ac:dyDescent="0.2">
      <c r="A5296" s="2205" t="s">
        <v>2713</v>
      </c>
      <c r="B5296" s="2205">
        <v>23347.96</v>
      </c>
    </row>
    <row r="5297" spans="1:2" x14ac:dyDescent="0.2">
      <c r="A5297" s="2205" t="s">
        <v>2073</v>
      </c>
      <c r="B5297" s="2205">
        <v>44.38</v>
      </c>
    </row>
    <row r="5298" spans="1:2" x14ac:dyDescent="0.2">
      <c r="A5298" s="2205" t="s">
        <v>2074</v>
      </c>
      <c r="B5298" s="2205">
        <v>66.41</v>
      </c>
    </row>
    <row r="5299" spans="1:2" x14ac:dyDescent="0.2">
      <c r="A5299" s="2205" t="s">
        <v>2076</v>
      </c>
      <c r="B5299" s="2205">
        <v>235.85</v>
      </c>
    </row>
    <row r="5300" spans="1:2" x14ac:dyDescent="0.2">
      <c r="A5300" s="2205" t="s">
        <v>564</v>
      </c>
      <c r="B5300" s="2205">
        <v>0</v>
      </c>
    </row>
    <row r="5301" spans="1:2" x14ac:dyDescent="0.2">
      <c r="A5301" s="2205" t="s">
        <v>11581</v>
      </c>
      <c r="B5301" s="2205">
        <v>474.45</v>
      </c>
    </row>
    <row r="5302" spans="1:2" x14ac:dyDescent="0.2">
      <c r="A5302" s="2205" t="s">
        <v>2236</v>
      </c>
      <c r="B5302" s="2205">
        <v>106188.94</v>
      </c>
    </row>
    <row r="5303" spans="1:2" x14ac:dyDescent="0.2">
      <c r="A5303" s="2205" t="s">
        <v>380</v>
      </c>
      <c r="B5303" s="2205">
        <v>12423.25</v>
      </c>
    </row>
    <row r="5304" spans="1:2" x14ac:dyDescent="0.2">
      <c r="A5304" s="2205" t="s">
        <v>2455</v>
      </c>
      <c r="B5304" s="2205">
        <v>27561.15</v>
      </c>
    </row>
    <row r="5305" spans="1:2" x14ac:dyDescent="0.2">
      <c r="A5305" s="2205" t="s">
        <v>2463</v>
      </c>
      <c r="B5305" s="2205">
        <v>5687.72</v>
      </c>
    </row>
    <row r="5306" spans="1:2" x14ac:dyDescent="0.2">
      <c r="A5306" s="2205" t="s">
        <v>5141</v>
      </c>
      <c r="B5306" s="2205">
        <v>11934.55</v>
      </c>
    </row>
    <row r="5307" spans="1:2" x14ac:dyDescent="0.2">
      <c r="A5307" s="2205" t="s">
        <v>4939</v>
      </c>
      <c r="B5307" s="2205">
        <v>3959.79</v>
      </c>
    </row>
    <row r="5308" spans="1:2" x14ac:dyDescent="0.2">
      <c r="A5308" s="2205" t="s">
        <v>2987</v>
      </c>
      <c r="B5308" s="2205">
        <v>8599.19</v>
      </c>
    </row>
    <row r="5309" spans="1:2" x14ac:dyDescent="0.2">
      <c r="A5309" s="2205" t="s">
        <v>2247</v>
      </c>
      <c r="B5309" s="2205">
        <v>22912.74</v>
      </c>
    </row>
    <row r="5310" spans="1:2" x14ac:dyDescent="0.2">
      <c r="A5310" s="2205" t="s">
        <v>2573</v>
      </c>
      <c r="B5310" s="2205">
        <v>23791.23</v>
      </c>
    </row>
    <row r="5311" spans="1:2" x14ac:dyDescent="0.2">
      <c r="A5311" s="2205" t="s">
        <v>1272</v>
      </c>
      <c r="B5311" s="2205">
        <v>21086.19</v>
      </c>
    </row>
    <row r="5312" spans="1:2" x14ac:dyDescent="0.2">
      <c r="A5312" s="2205" t="s">
        <v>311</v>
      </c>
      <c r="B5312" s="2205">
        <v>17751.73</v>
      </c>
    </row>
    <row r="5313" spans="1:2" x14ac:dyDescent="0.2">
      <c r="A5313" s="2205" t="s">
        <v>2487</v>
      </c>
      <c r="B5313" s="2205">
        <v>460.23</v>
      </c>
    </row>
    <row r="5314" spans="1:2" x14ac:dyDescent="0.2">
      <c r="A5314" s="2205" t="s">
        <v>1412</v>
      </c>
      <c r="B5314" s="2205">
        <v>2984.49</v>
      </c>
    </row>
    <row r="5315" spans="1:2" x14ac:dyDescent="0.2">
      <c r="A5315" s="2205" t="s">
        <v>11582</v>
      </c>
      <c r="B5315" s="2205">
        <v>1518.34</v>
      </c>
    </row>
    <row r="5316" spans="1:2" x14ac:dyDescent="0.2">
      <c r="A5316" s="2205" t="s">
        <v>1563</v>
      </c>
      <c r="B5316" s="2205">
        <v>7552.65</v>
      </c>
    </row>
    <row r="5317" spans="1:2" x14ac:dyDescent="0.2">
      <c r="A5317" s="2205" t="s">
        <v>2846</v>
      </c>
      <c r="B5317" s="2205">
        <v>4283.78</v>
      </c>
    </row>
    <row r="5318" spans="1:2" x14ac:dyDescent="0.2">
      <c r="A5318" s="2205" t="s">
        <v>3084</v>
      </c>
      <c r="B5318" s="2205">
        <v>5737.27</v>
      </c>
    </row>
    <row r="5319" spans="1:2" x14ac:dyDescent="0.2">
      <c r="A5319" s="2205" t="s">
        <v>1098</v>
      </c>
      <c r="B5319" s="2205">
        <v>24687.58</v>
      </c>
    </row>
    <row r="5320" spans="1:2" x14ac:dyDescent="0.2">
      <c r="A5320" s="2205" t="s">
        <v>1706</v>
      </c>
      <c r="B5320" s="2205">
        <v>33336.720000000001</v>
      </c>
    </row>
    <row r="5321" spans="1:2" x14ac:dyDescent="0.2">
      <c r="A5321" s="2205" t="s">
        <v>11583</v>
      </c>
      <c r="B5321" s="2205">
        <v>996.18</v>
      </c>
    </row>
    <row r="5322" spans="1:2" x14ac:dyDescent="0.2">
      <c r="A5322" s="2205" t="s">
        <v>11584</v>
      </c>
      <c r="B5322" s="2205">
        <v>2540.71</v>
      </c>
    </row>
    <row r="5323" spans="1:2" x14ac:dyDescent="0.2">
      <c r="A5323" s="2205" t="s">
        <v>11585</v>
      </c>
      <c r="B5323" s="2205">
        <v>1152.71</v>
      </c>
    </row>
    <row r="5324" spans="1:2" x14ac:dyDescent="0.2">
      <c r="A5324" s="2205" t="s">
        <v>445</v>
      </c>
      <c r="B5324" s="2205">
        <v>3937.82</v>
      </c>
    </row>
    <row r="5325" spans="1:2" x14ac:dyDescent="0.2">
      <c r="A5325" s="2205" t="s">
        <v>11586</v>
      </c>
      <c r="B5325" s="2205">
        <v>7748.43</v>
      </c>
    </row>
    <row r="5326" spans="1:2" x14ac:dyDescent="0.2">
      <c r="A5326" s="2205" t="s">
        <v>2581</v>
      </c>
      <c r="B5326" s="2205">
        <v>49620.68</v>
      </c>
    </row>
    <row r="5327" spans="1:2" x14ac:dyDescent="0.2">
      <c r="A5327" s="2205" t="s">
        <v>11587</v>
      </c>
      <c r="B5327" s="2205">
        <v>431.22</v>
      </c>
    </row>
    <row r="5328" spans="1:2" x14ac:dyDescent="0.2">
      <c r="A5328" s="2205" t="s">
        <v>11588</v>
      </c>
      <c r="B5328" s="2205">
        <v>895.37</v>
      </c>
    </row>
    <row r="5329" spans="1:2" x14ac:dyDescent="0.2">
      <c r="A5329" s="2205" t="s">
        <v>2693</v>
      </c>
      <c r="B5329" s="2205">
        <v>1854.45</v>
      </c>
    </row>
    <row r="5330" spans="1:2" x14ac:dyDescent="0.2">
      <c r="A5330" s="2205" t="s">
        <v>2459</v>
      </c>
      <c r="B5330" s="2205">
        <v>4129.1099999999997</v>
      </c>
    </row>
    <row r="5331" spans="1:2" x14ac:dyDescent="0.2">
      <c r="A5331" s="2205" t="s">
        <v>11589</v>
      </c>
      <c r="B5331" s="2205">
        <v>165.45</v>
      </c>
    </row>
    <row r="5332" spans="1:2" x14ac:dyDescent="0.2">
      <c r="A5332" s="2205" t="s">
        <v>11590</v>
      </c>
      <c r="B5332" s="2205">
        <v>774.37</v>
      </c>
    </row>
    <row r="5333" spans="1:2" x14ac:dyDescent="0.2">
      <c r="A5333" s="2205" t="s">
        <v>11591</v>
      </c>
      <c r="B5333" s="2205">
        <v>572.66999999999996</v>
      </c>
    </row>
    <row r="5334" spans="1:2" x14ac:dyDescent="0.2">
      <c r="A5334" s="2205" t="s">
        <v>11592</v>
      </c>
      <c r="B5334" s="2205">
        <v>118.75</v>
      </c>
    </row>
    <row r="5335" spans="1:2" x14ac:dyDescent="0.2">
      <c r="A5335" s="2205" t="s">
        <v>11593</v>
      </c>
      <c r="B5335" s="2205">
        <v>159.18</v>
      </c>
    </row>
    <row r="5336" spans="1:2" x14ac:dyDescent="0.2">
      <c r="A5336" s="2205" t="s">
        <v>11594</v>
      </c>
      <c r="B5336" s="2205">
        <v>549.64</v>
      </c>
    </row>
    <row r="5337" spans="1:2" x14ac:dyDescent="0.2">
      <c r="A5337" s="2205" t="s">
        <v>1366</v>
      </c>
      <c r="B5337" s="2205">
        <v>343.82</v>
      </c>
    </row>
    <row r="5338" spans="1:2" x14ac:dyDescent="0.2">
      <c r="A5338" s="2205" t="s">
        <v>11595</v>
      </c>
      <c r="B5338" s="2205">
        <v>1534.71</v>
      </c>
    </row>
    <row r="5339" spans="1:2" x14ac:dyDescent="0.2">
      <c r="A5339" s="2205" t="s">
        <v>11596</v>
      </c>
      <c r="B5339" s="2205">
        <v>1066.17</v>
      </c>
    </row>
    <row r="5340" spans="1:2" x14ac:dyDescent="0.2">
      <c r="A5340" s="2205" t="s">
        <v>11597</v>
      </c>
      <c r="B5340" s="2205">
        <v>109.08</v>
      </c>
    </row>
    <row r="5341" spans="1:2" x14ac:dyDescent="0.2">
      <c r="A5341" s="2205" t="s">
        <v>2866</v>
      </c>
      <c r="B5341" s="2205">
        <v>11900.44</v>
      </c>
    </row>
    <row r="5342" spans="1:2" x14ac:dyDescent="0.2">
      <c r="A5342" s="2205" t="s">
        <v>2685</v>
      </c>
      <c r="B5342" s="2205">
        <v>3718.92</v>
      </c>
    </row>
    <row r="5343" spans="1:2" x14ac:dyDescent="0.2">
      <c r="A5343" s="2205" t="s">
        <v>2686</v>
      </c>
      <c r="B5343" s="2205">
        <v>6909.82</v>
      </c>
    </row>
    <row r="5344" spans="1:2" x14ac:dyDescent="0.2">
      <c r="A5344" s="2205" t="s">
        <v>2864</v>
      </c>
      <c r="B5344" s="2205">
        <v>4150.45</v>
      </c>
    </row>
    <row r="5345" spans="1:2" x14ac:dyDescent="0.2">
      <c r="A5345" s="2205" t="s">
        <v>11598</v>
      </c>
      <c r="B5345" s="2205">
        <v>1911.26</v>
      </c>
    </row>
    <row r="5346" spans="1:2" x14ac:dyDescent="0.2">
      <c r="A5346" s="2205" t="s">
        <v>11599</v>
      </c>
      <c r="B5346" s="2205">
        <v>335.83</v>
      </c>
    </row>
    <row r="5347" spans="1:2" x14ac:dyDescent="0.2">
      <c r="A5347" s="2205" t="s">
        <v>11600</v>
      </c>
      <c r="B5347" s="2205">
        <v>1984.97</v>
      </c>
    </row>
    <row r="5348" spans="1:2" x14ac:dyDescent="0.2">
      <c r="A5348" s="2205" t="s">
        <v>11601</v>
      </c>
      <c r="B5348" s="2205">
        <v>357.72</v>
      </c>
    </row>
    <row r="5349" spans="1:2" x14ac:dyDescent="0.2">
      <c r="A5349" s="2205" t="s">
        <v>2453</v>
      </c>
      <c r="B5349" s="2205">
        <v>1146.73</v>
      </c>
    </row>
    <row r="5350" spans="1:2" x14ac:dyDescent="0.2">
      <c r="A5350" s="2205" t="s">
        <v>2580</v>
      </c>
      <c r="B5350" s="2205">
        <v>52734.13</v>
      </c>
    </row>
    <row r="5351" spans="1:2" x14ac:dyDescent="0.2">
      <c r="A5351" s="2205" t="s">
        <v>7029</v>
      </c>
      <c r="B5351" s="2205">
        <v>27839.360000000001</v>
      </c>
    </row>
    <row r="5352" spans="1:2" x14ac:dyDescent="0.2">
      <c r="A5352" s="2205" t="s">
        <v>2582</v>
      </c>
      <c r="B5352" s="2205">
        <v>0</v>
      </c>
    </row>
    <row r="5353" spans="1:2" x14ac:dyDescent="0.2">
      <c r="A5353" s="2205" t="s">
        <v>1398</v>
      </c>
      <c r="B5353" s="2205">
        <v>3348.96</v>
      </c>
    </row>
    <row r="5354" spans="1:2" x14ac:dyDescent="0.2">
      <c r="A5354" s="2205" t="s">
        <v>1605</v>
      </c>
      <c r="B5354" s="2205">
        <v>1559.65</v>
      </c>
    </row>
    <row r="5355" spans="1:2" x14ac:dyDescent="0.2">
      <c r="A5355" s="2205" t="s">
        <v>1630</v>
      </c>
      <c r="B5355" s="2205">
        <v>3517.54</v>
      </c>
    </row>
    <row r="5356" spans="1:2" x14ac:dyDescent="0.2">
      <c r="A5356" s="2205" t="s">
        <v>7</v>
      </c>
      <c r="B5356" s="2205">
        <v>704.14</v>
      </c>
    </row>
    <row r="5357" spans="1:2" x14ac:dyDescent="0.2">
      <c r="A5357" s="2205" t="s">
        <v>11602</v>
      </c>
      <c r="B5357" s="2205">
        <v>628.58000000000004</v>
      </c>
    </row>
    <row r="5358" spans="1:2" x14ac:dyDescent="0.2">
      <c r="A5358" s="2205" t="s">
        <v>11603</v>
      </c>
      <c r="B5358" s="2205">
        <v>1068.8699999999999</v>
      </c>
    </row>
    <row r="5359" spans="1:2" x14ac:dyDescent="0.2">
      <c r="A5359" s="2205" t="s">
        <v>11604</v>
      </c>
      <c r="B5359" s="2205">
        <v>1245.6500000000001</v>
      </c>
    </row>
    <row r="5360" spans="1:2" x14ac:dyDescent="0.2">
      <c r="A5360" s="2205" t="s">
        <v>11605</v>
      </c>
      <c r="B5360" s="2205">
        <v>3952.27</v>
      </c>
    </row>
    <row r="5361" spans="1:2" x14ac:dyDescent="0.2">
      <c r="A5361" s="2205" t="s">
        <v>11606</v>
      </c>
      <c r="B5361" s="2205">
        <v>2584.35</v>
      </c>
    </row>
    <row r="5362" spans="1:2" x14ac:dyDescent="0.2">
      <c r="A5362" s="2205" t="s">
        <v>11607</v>
      </c>
      <c r="B5362" s="2205">
        <v>215.02</v>
      </c>
    </row>
    <row r="5363" spans="1:2" x14ac:dyDescent="0.2">
      <c r="A5363" s="2205" t="s">
        <v>11608</v>
      </c>
      <c r="B5363" s="2205">
        <v>474.11</v>
      </c>
    </row>
    <row r="5364" spans="1:2" x14ac:dyDescent="0.2">
      <c r="A5364" s="2205" t="s">
        <v>11609</v>
      </c>
      <c r="B5364" s="2205">
        <v>1012.19</v>
      </c>
    </row>
    <row r="5365" spans="1:2" x14ac:dyDescent="0.2">
      <c r="A5365" s="2205" t="s">
        <v>11610</v>
      </c>
      <c r="B5365" s="2205">
        <v>314.73</v>
      </c>
    </row>
    <row r="5366" spans="1:2" x14ac:dyDescent="0.2">
      <c r="A5366" s="2205" t="s">
        <v>1921</v>
      </c>
      <c r="B5366" s="2205">
        <v>12846.03</v>
      </c>
    </row>
    <row r="5367" spans="1:2" x14ac:dyDescent="0.2">
      <c r="A5367" s="2205" t="s">
        <v>11611</v>
      </c>
      <c r="B5367" s="2205">
        <v>109.08</v>
      </c>
    </row>
    <row r="5368" spans="1:2" x14ac:dyDescent="0.2">
      <c r="A5368" s="2205" t="s">
        <v>11612</v>
      </c>
      <c r="B5368" s="2205">
        <v>905.42</v>
      </c>
    </row>
    <row r="5369" spans="1:2" x14ac:dyDescent="0.2">
      <c r="A5369" s="2205" t="s">
        <v>11613</v>
      </c>
      <c r="B5369" s="2205">
        <v>1169.42</v>
      </c>
    </row>
    <row r="5370" spans="1:2" x14ac:dyDescent="0.2">
      <c r="A5370" s="2205" t="s">
        <v>447</v>
      </c>
      <c r="B5370" s="2205">
        <v>2105.69</v>
      </c>
    </row>
    <row r="5371" spans="1:2" x14ac:dyDescent="0.2">
      <c r="A5371" s="2205" t="s">
        <v>11614</v>
      </c>
      <c r="B5371" s="2205">
        <v>325.64</v>
      </c>
    </row>
    <row r="5372" spans="1:2" x14ac:dyDescent="0.2">
      <c r="A5372" s="2205" t="s">
        <v>2847</v>
      </c>
      <c r="B5372" s="2205">
        <v>4122</v>
      </c>
    </row>
    <row r="5373" spans="1:2" x14ac:dyDescent="0.2">
      <c r="A5373" s="2205" t="s">
        <v>2187</v>
      </c>
      <c r="B5373" s="2205">
        <v>4415.22</v>
      </c>
    </row>
    <row r="5374" spans="1:2" x14ac:dyDescent="0.2">
      <c r="A5374" s="2205" t="s">
        <v>1707</v>
      </c>
      <c r="B5374" s="2205">
        <v>7170.63</v>
      </c>
    </row>
    <row r="5375" spans="1:2" x14ac:dyDescent="0.2">
      <c r="A5375" s="2205" t="s">
        <v>6513</v>
      </c>
      <c r="B5375" s="2205">
        <v>548.13</v>
      </c>
    </row>
    <row r="5376" spans="1:2" x14ac:dyDescent="0.2">
      <c r="A5376" s="2205" t="s">
        <v>412</v>
      </c>
      <c r="B5376" s="2205">
        <v>2532.5</v>
      </c>
    </row>
    <row r="5377" spans="1:2" x14ac:dyDescent="0.2">
      <c r="A5377" s="2205" t="s">
        <v>1495</v>
      </c>
      <c r="B5377" s="2205">
        <v>17567</v>
      </c>
    </row>
    <row r="5378" spans="1:2" x14ac:dyDescent="0.2">
      <c r="A5378" s="2205" t="s">
        <v>1083</v>
      </c>
      <c r="B5378" s="2205">
        <v>0</v>
      </c>
    </row>
    <row r="5379" spans="1:2" x14ac:dyDescent="0.2">
      <c r="A5379" s="2205" t="s">
        <v>1367</v>
      </c>
      <c r="B5379" s="2205">
        <v>105.36</v>
      </c>
    </row>
    <row r="5380" spans="1:2" x14ac:dyDescent="0.2">
      <c r="A5380" s="2205" t="s">
        <v>1277</v>
      </c>
      <c r="B5380" s="2205">
        <v>6150</v>
      </c>
    </row>
    <row r="5381" spans="1:2" x14ac:dyDescent="0.2">
      <c r="A5381" s="2205" t="s">
        <v>11615</v>
      </c>
      <c r="B5381" s="2205">
        <v>450</v>
      </c>
    </row>
    <row r="5382" spans="1:2" x14ac:dyDescent="0.2">
      <c r="A5382" s="2205" t="s">
        <v>36</v>
      </c>
      <c r="B5382" s="2205">
        <v>502</v>
      </c>
    </row>
    <row r="5383" spans="1:2" x14ac:dyDescent="0.2">
      <c r="A5383" s="2205" t="s">
        <v>1496</v>
      </c>
      <c r="B5383" s="2205">
        <v>750</v>
      </c>
    </row>
    <row r="5384" spans="1:2" x14ac:dyDescent="0.2">
      <c r="A5384" s="2205" t="s">
        <v>411</v>
      </c>
      <c r="B5384" s="2205">
        <v>533.66</v>
      </c>
    </row>
    <row r="5385" spans="1:2" x14ac:dyDescent="0.2">
      <c r="A5385" s="2205" t="s">
        <v>11616</v>
      </c>
      <c r="B5385" s="2205">
        <v>0</v>
      </c>
    </row>
    <row r="5386" spans="1:2" x14ac:dyDescent="0.2">
      <c r="A5386" s="2205" t="s">
        <v>1494</v>
      </c>
      <c r="B5386" s="2205">
        <v>40522</v>
      </c>
    </row>
    <row r="5387" spans="1:2" x14ac:dyDescent="0.2">
      <c r="A5387" s="2205" t="s">
        <v>2988</v>
      </c>
      <c r="B5387" s="2205">
        <v>1378.3</v>
      </c>
    </row>
    <row r="5388" spans="1:2" x14ac:dyDescent="0.2">
      <c r="A5388" s="2205" t="s">
        <v>11617</v>
      </c>
      <c r="B5388" s="2205">
        <v>3191.54</v>
      </c>
    </row>
    <row r="5389" spans="1:2" x14ac:dyDescent="0.2">
      <c r="A5389" s="2205" t="s">
        <v>1273</v>
      </c>
      <c r="B5389" s="2205">
        <v>4382.49</v>
      </c>
    </row>
    <row r="5390" spans="1:2" x14ac:dyDescent="0.2">
      <c r="A5390" s="2205" t="s">
        <v>11618</v>
      </c>
      <c r="B5390" s="2205">
        <v>1898.71</v>
      </c>
    </row>
    <row r="5391" spans="1:2" x14ac:dyDescent="0.2">
      <c r="A5391" s="2205" t="s">
        <v>582</v>
      </c>
      <c r="B5391" s="2205">
        <v>686.9</v>
      </c>
    </row>
    <row r="5392" spans="1:2" x14ac:dyDescent="0.2">
      <c r="A5392" s="2205" t="s">
        <v>11619</v>
      </c>
      <c r="B5392" s="2205">
        <v>120.73</v>
      </c>
    </row>
    <row r="5393" spans="1:2" x14ac:dyDescent="0.2">
      <c r="A5393" s="2205" t="s">
        <v>1969</v>
      </c>
      <c r="B5393" s="2205">
        <v>20428.830000000002</v>
      </c>
    </row>
    <row r="5394" spans="1:2" x14ac:dyDescent="0.2">
      <c r="A5394" s="2205" t="s">
        <v>2973</v>
      </c>
      <c r="B5394" s="2205">
        <v>0</v>
      </c>
    </row>
    <row r="5395" spans="1:2" x14ac:dyDescent="0.2">
      <c r="A5395" s="2205" t="s">
        <v>1705</v>
      </c>
      <c r="B5395" s="2205">
        <v>12602.75</v>
      </c>
    </row>
    <row r="5396" spans="1:2" x14ac:dyDescent="0.2">
      <c r="A5396" s="2205" t="s">
        <v>11620</v>
      </c>
      <c r="B5396" s="2205">
        <v>77.239999999999995</v>
      </c>
    </row>
    <row r="5397" spans="1:2" x14ac:dyDescent="0.2">
      <c r="A5397" s="2205" t="s">
        <v>1177</v>
      </c>
      <c r="B5397" s="2205">
        <v>9973.5300000000007</v>
      </c>
    </row>
    <row r="5398" spans="1:2" x14ac:dyDescent="0.2">
      <c r="A5398" s="2205" t="s">
        <v>11621</v>
      </c>
      <c r="B5398" s="2205">
        <v>5131.12</v>
      </c>
    </row>
    <row r="5399" spans="1:2" x14ac:dyDescent="0.2">
      <c r="A5399" s="2205" t="s">
        <v>11622</v>
      </c>
      <c r="B5399" s="2205">
        <v>953.86</v>
      </c>
    </row>
    <row r="5400" spans="1:2" x14ac:dyDescent="0.2">
      <c r="A5400" s="2205" t="s">
        <v>2193</v>
      </c>
      <c r="B5400" s="2205">
        <v>0</v>
      </c>
    </row>
    <row r="5401" spans="1:2" x14ac:dyDescent="0.2">
      <c r="A5401" s="2205" t="s">
        <v>2194</v>
      </c>
      <c r="B5401" s="2205">
        <v>571903.19999999995</v>
      </c>
    </row>
    <row r="5402" spans="1:2" x14ac:dyDescent="0.2">
      <c r="A5402" s="2205" t="s">
        <v>11623</v>
      </c>
      <c r="B5402" s="2205">
        <v>11670.48</v>
      </c>
    </row>
    <row r="5403" spans="1:2" x14ac:dyDescent="0.2">
      <c r="A5403" s="2205" t="s">
        <v>2865</v>
      </c>
      <c r="B5403" s="2205">
        <v>82396.009999999995</v>
      </c>
    </row>
    <row r="5404" spans="1:2" x14ac:dyDescent="0.2">
      <c r="A5404" s="2205" t="s">
        <v>1915</v>
      </c>
      <c r="B5404" s="2205">
        <v>6648.81</v>
      </c>
    </row>
    <row r="5405" spans="1:2" x14ac:dyDescent="0.2">
      <c r="A5405" s="2205" t="s">
        <v>1458</v>
      </c>
      <c r="B5405" s="2205">
        <v>69764.73</v>
      </c>
    </row>
    <row r="5406" spans="1:2" x14ac:dyDescent="0.2">
      <c r="A5406" s="2205" t="s">
        <v>2684</v>
      </c>
      <c r="B5406" s="2205">
        <v>1146.1400000000001</v>
      </c>
    </row>
    <row r="5407" spans="1:2" x14ac:dyDescent="0.2">
      <c r="A5407" s="2205" t="s">
        <v>2862</v>
      </c>
      <c r="B5407" s="2205">
        <v>35880.660000000003</v>
      </c>
    </row>
    <row r="5408" spans="1:2" x14ac:dyDescent="0.2">
      <c r="A5408" s="2205" t="s">
        <v>2458</v>
      </c>
      <c r="B5408" s="2205">
        <v>1756.59</v>
      </c>
    </row>
    <row r="5409" spans="1:2" x14ac:dyDescent="0.2">
      <c r="A5409" s="2205" t="s">
        <v>2691</v>
      </c>
      <c r="B5409" s="2205">
        <v>3027.65</v>
      </c>
    </row>
    <row r="5410" spans="1:2" x14ac:dyDescent="0.2">
      <c r="A5410" s="2205" t="s">
        <v>2468</v>
      </c>
      <c r="B5410" s="2205">
        <v>10960.67</v>
      </c>
    </row>
    <row r="5411" spans="1:2" x14ac:dyDescent="0.2">
      <c r="A5411" s="2205" t="s">
        <v>2467</v>
      </c>
      <c r="B5411" s="2205">
        <v>11222.31</v>
      </c>
    </row>
    <row r="5412" spans="1:2" x14ac:dyDescent="0.2">
      <c r="A5412" s="2205" t="s">
        <v>2469</v>
      </c>
      <c r="B5412" s="2205">
        <v>4340.6499999999996</v>
      </c>
    </row>
    <row r="5413" spans="1:2" x14ac:dyDescent="0.2">
      <c r="A5413" s="2205" t="s">
        <v>2464</v>
      </c>
      <c r="B5413" s="2205">
        <v>12369.82</v>
      </c>
    </row>
    <row r="5414" spans="1:2" x14ac:dyDescent="0.2">
      <c r="A5414" s="2205" t="s">
        <v>2465</v>
      </c>
      <c r="B5414" s="2205">
        <v>1643.76</v>
      </c>
    </row>
    <row r="5415" spans="1:2" x14ac:dyDescent="0.2">
      <c r="A5415" s="2205" t="s">
        <v>2956</v>
      </c>
      <c r="B5415" s="2205">
        <v>33734.129999999997</v>
      </c>
    </row>
    <row r="5416" spans="1:2" x14ac:dyDescent="0.2">
      <c r="A5416" s="2205" t="s">
        <v>2462</v>
      </c>
      <c r="B5416" s="2205">
        <v>9148.65</v>
      </c>
    </row>
    <row r="5417" spans="1:2" x14ac:dyDescent="0.2">
      <c r="A5417" s="2205" t="s">
        <v>2466</v>
      </c>
      <c r="B5417" s="2205">
        <v>15305.23</v>
      </c>
    </row>
    <row r="5418" spans="1:2" x14ac:dyDescent="0.2">
      <c r="A5418" s="2205" t="s">
        <v>2195</v>
      </c>
      <c r="B5418" s="2205">
        <v>11519.5</v>
      </c>
    </row>
    <row r="5419" spans="1:2" x14ac:dyDescent="0.2">
      <c r="A5419" s="2205" t="s">
        <v>11624</v>
      </c>
      <c r="B5419" s="2205">
        <v>20068.82</v>
      </c>
    </row>
    <row r="5420" spans="1:2" x14ac:dyDescent="0.2">
      <c r="A5420" s="2205" t="s">
        <v>2454</v>
      </c>
      <c r="B5420" s="2205">
        <v>9543.68</v>
      </c>
    </row>
    <row r="5421" spans="1:2" x14ac:dyDescent="0.2">
      <c r="A5421" s="2205" t="s">
        <v>11625</v>
      </c>
      <c r="B5421" s="2205">
        <v>319.45</v>
      </c>
    </row>
    <row r="5422" spans="1:2" x14ac:dyDescent="0.2">
      <c r="A5422" s="2205" t="s">
        <v>11626</v>
      </c>
      <c r="B5422" s="2205">
        <v>30</v>
      </c>
    </row>
    <row r="5423" spans="1:2" x14ac:dyDescent="0.2">
      <c r="A5423" s="2205" t="s">
        <v>1271</v>
      </c>
      <c r="B5423" s="2205">
        <v>5789.46</v>
      </c>
    </row>
    <row r="5424" spans="1:2" x14ac:dyDescent="0.2">
      <c r="A5424" s="2205" t="s">
        <v>1629</v>
      </c>
      <c r="B5424" s="2205">
        <v>10067.56</v>
      </c>
    </row>
    <row r="5425" spans="1:2" x14ac:dyDescent="0.2">
      <c r="A5425" s="2205" t="s">
        <v>11627</v>
      </c>
      <c r="B5425" s="2205">
        <v>15904.72</v>
      </c>
    </row>
    <row r="5426" spans="1:2" x14ac:dyDescent="0.2">
      <c r="A5426" s="2205" t="s">
        <v>5367</v>
      </c>
      <c r="B5426" s="2205">
        <v>7496.42</v>
      </c>
    </row>
    <row r="5427" spans="1:2" x14ac:dyDescent="0.2">
      <c r="A5427" s="2205" t="s">
        <v>2986</v>
      </c>
      <c r="B5427" s="2205">
        <v>36202.36</v>
      </c>
    </row>
    <row r="5428" spans="1:2" x14ac:dyDescent="0.2">
      <c r="A5428" s="2205" t="s">
        <v>11628</v>
      </c>
      <c r="B5428" s="2205">
        <v>200713.28</v>
      </c>
    </row>
    <row r="5429" spans="1:2" x14ac:dyDescent="0.2">
      <c r="A5429" s="2205" t="s">
        <v>1268</v>
      </c>
      <c r="B5429" s="2205">
        <v>8657.9500000000007</v>
      </c>
    </row>
    <row r="5430" spans="1:2" x14ac:dyDescent="0.2">
      <c r="A5430" s="2205" t="s">
        <v>1907</v>
      </c>
      <c r="B5430" s="2205">
        <v>4801.88</v>
      </c>
    </row>
    <row r="5431" spans="1:2" x14ac:dyDescent="0.2">
      <c r="A5431" s="2205" t="s">
        <v>1410</v>
      </c>
      <c r="B5431" s="2205">
        <v>758.28</v>
      </c>
    </row>
    <row r="5432" spans="1:2" x14ac:dyDescent="0.2">
      <c r="A5432" s="2205" t="s">
        <v>235</v>
      </c>
      <c r="B5432" s="2205">
        <v>4715.25</v>
      </c>
    </row>
    <row r="5433" spans="1:2" x14ac:dyDescent="0.2">
      <c r="A5433" s="2205" t="s">
        <v>3200</v>
      </c>
      <c r="B5433" s="2205">
        <v>15490.52</v>
      </c>
    </row>
    <row r="5434" spans="1:2" x14ac:dyDescent="0.2">
      <c r="A5434" s="2205" t="s">
        <v>280</v>
      </c>
      <c r="B5434" s="2205">
        <v>721.39</v>
      </c>
    </row>
    <row r="5435" spans="1:2" x14ac:dyDescent="0.2">
      <c r="A5435" s="2205" t="s">
        <v>3089</v>
      </c>
      <c r="B5435" s="2205">
        <v>9414.1</v>
      </c>
    </row>
    <row r="5436" spans="1:2" x14ac:dyDescent="0.2">
      <c r="A5436" s="2205" t="s">
        <v>1527</v>
      </c>
      <c r="B5436" s="2205">
        <v>27963.64</v>
      </c>
    </row>
    <row r="5437" spans="1:2" x14ac:dyDescent="0.2">
      <c r="A5437" s="2205" t="s">
        <v>2184</v>
      </c>
      <c r="B5437" s="2205">
        <v>1257.77</v>
      </c>
    </row>
    <row r="5438" spans="1:2" x14ac:dyDescent="0.2">
      <c r="A5438" s="2205" t="s">
        <v>173</v>
      </c>
      <c r="B5438" s="2205">
        <v>993.37</v>
      </c>
    </row>
    <row r="5439" spans="1:2" x14ac:dyDescent="0.2">
      <c r="A5439" s="2205" t="s">
        <v>11629</v>
      </c>
      <c r="B5439" s="2205">
        <v>237.48</v>
      </c>
    </row>
    <row r="5440" spans="1:2" x14ac:dyDescent="0.2">
      <c r="A5440" s="2205" t="s">
        <v>1362</v>
      </c>
      <c r="B5440" s="2205">
        <v>64323</v>
      </c>
    </row>
    <row r="5441" spans="1:2" x14ac:dyDescent="0.2">
      <c r="A5441" s="2205" t="s">
        <v>263</v>
      </c>
      <c r="B5441" s="2205">
        <v>23717.32</v>
      </c>
    </row>
    <row r="5442" spans="1:2" x14ac:dyDescent="0.2">
      <c r="A5442" s="2205" t="s">
        <v>629</v>
      </c>
      <c r="B5442" s="2205">
        <v>10000</v>
      </c>
    </row>
    <row r="5443" spans="1:2" x14ac:dyDescent="0.2">
      <c r="A5443" s="2205" t="s">
        <v>2323</v>
      </c>
      <c r="B5443" s="2205">
        <v>18562.580000000002</v>
      </c>
    </row>
    <row r="5444" spans="1:2" x14ac:dyDescent="0.2">
      <c r="A5444" s="2205" t="s">
        <v>543</v>
      </c>
      <c r="B5444" s="2205">
        <v>0</v>
      </c>
    </row>
    <row r="5445" spans="1:2" x14ac:dyDescent="0.2">
      <c r="A5445" s="2205" t="s">
        <v>463</v>
      </c>
      <c r="B5445" s="2205">
        <v>11322.51</v>
      </c>
    </row>
    <row r="5446" spans="1:2" x14ac:dyDescent="0.2">
      <c r="A5446" s="2205" t="s">
        <v>3140</v>
      </c>
      <c r="B5446" s="2205">
        <v>25000</v>
      </c>
    </row>
    <row r="5447" spans="1:2" x14ac:dyDescent="0.2">
      <c r="A5447" s="2205" t="s">
        <v>2094</v>
      </c>
      <c r="B5447" s="2205">
        <v>0</v>
      </c>
    </row>
    <row r="5448" spans="1:2" x14ac:dyDescent="0.2">
      <c r="A5448" s="2205" t="s">
        <v>3141</v>
      </c>
      <c r="B5448" s="2205">
        <v>700000</v>
      </c>
    </row>
    <row r="5449" spans="1:2" x14ac:dyDescent="0.2">
      <c r="A5449" s="2205" t="s">
        <v>2324</v>
      </c>
      <c r="B5449" s="2205">
        <v>37937.910000000003</v>
      </c>
    </row>
    <row r="5450" spans="1:2" x14ac:dyDescent="0.2">
      <c r="A5450" s="2205" t="s">
        <v>2997</v>
      </c>
      <c r="B5450" s="2205">
        <v>0</v>
      </c>
    </row>
    <row r="5451" spans="1:2" x14ac:dyDescent="0.2">
      <c r="A5451" s="2205" t="s">
        <v>422</v>
      </c>
      <c r="B5451" s="2205">
        <v>0</v>
      </c>
    </row>
    <row r="5452" spans="1:2" x14ac:dyDescent="0.2">
      <c r="A5452" s="2205" t="s">
        <v>5413</v>
      </c>
      <c r="B5452" s="2205">
        <v>4426.34</v>
      </c>
    </row>
    <row r="5453" spans="1:2" x14ac:dyDescent="0.2">
      <c r="A5453" s="2205" t="s">
        <v>2322</v>
      </c>
      <c r="B5453" s="2205">
        <v>29546.59</v>
      </c>
    </row>
    <row r="5454" spans="1:2" x14ac:dyDescent="0.2">
      <c r="A5454" s="2205" t="s">
        <v>6010</v>
      </c>
      <c r="B5454" s="2205">
        <v>30100</v>
      </c>
    </row>
    <row r="5455" spans="1:2" x14ac:dyDescent="0.2">
      <c r="A5455" s="2205" t="s">
        <v>439</v>
      </c>
      <c r="B5455" s="2205">
        <v>853</v>
      </c>
    </row>
    <row r="5456" spans="1:2" x14ac:dyDescent="0.2">
      <c r="A5456" s="2205" t="s">
        <v>1573</v>
      </c>
      <c r="B5456" s="2205">
        <v>0</v>
      </c>
    </row>
    <row r="5457" spans="1:2" x14ac:dyDescent="0.2">
      <c r="A5457" s="2205" t="s">
        <v>11630</v>
      </c>
      <c r="B5457" s="2205">
        <v>105300</v>
      </c>
    </row>
    <row r="5458" spans="1:2" x14ac:dyDescent="0.2">
      <c r="A5458" s="2205" t="s">
        <v>2040</v>
      </c>
      <c r="B5458" s="2205">
        <v>200100.04</v>
      </c>
    </row>
    <row r="5459" spans="1:2" x14ac:dyDescent="0.2">
      <c r="A5459" s="2205" t="s">
        <v>4073</v>
      </c>
      <c r="B5459" s="2205">
        <v>0</v>
      </c>
    </row>
    <row r="5460" spans="1:2" x14ac:dyDescent="0.2">
      <c r="A5460" s="2205" t="s">
        <v>1303</v>
      </c>
      <c r="B5460" s="2205">
        <v>35850</v>
      </c>
    </row>
    <row r="5461" spans="1:2" x14ac:dyDescent="0.2">
      <c r="A5461" s="2205" t="s">
        <v>11631</v>
      </c>
      <c r="B5461" s="2205">
        <v>725</v>
      </c>
    </row>
    <row r="5462" spans="1:2" x14ac:dyDescent="0.2">
      <c r="A5462" s="2205" t="s">
        <v>542</v>
      </c>
      <c r="B5462" s="2205">
        <v>0</v>
      </c>
    </row>
    <row r="5463" spans="1:2" x14ac:dyDescent="0.2">
      <c r="A5463" s="2205" t="s">
        <v>882</v>
      </c>
      <c r="B5463" s="2205">
        <v>574232.27</v>
      </c>
    </row>
    <row r="5464" spans="1:2" x14ac:dyDescent="0.2">
      <c r="A5464" s="2205" t="s">
        <v>11632</v>
      </c>
      <c r="B5464" s="2205">
        <v>539.04999999999995</v>
      </c>
    </row>
    <row r="5465" spans="1:2" x14ac:dyDescent="0.2">
      <c r="A5465" s="2205" t="s">
        <v>11633</v>
      </c>
      <c r="B5465" s="2205">
        <v>2531.42</v>
      </c>
    </row>
    <row r="5466" spans="1:2" x14ac:dyDescent="0.2">
      <c r="A5466" s="2205" t="s">
        <v>11634</v>
      </c>
      <c r="B5466" s="2205">
        <v>780</v>
      </c>
    </row>
    <row r="5467" spans="1:2" x14ac:dyDescent="0.2">
      <c r="A5467" s="2205" t="s">
        <v>11635</v>
      </c>
      <c r="B5467" s="2205">
        <v>1760.91</v>
      </c>
    </row>
    <row r="5468" spans="1:2" x14ac:dyDescent="0.2">
      <c r="A5468" s="2205" t="s">
        <v>11636</v>
      </c>
      <c r="B5468" s="2205">
        <v>780</v>
      </c>
    </row>
    <row r="5469" spans="1:2" x14ac:dyDescent="0.2">
      <c r="A5469" s="2205" t="s">
        <v>11637</v>
      </c>
      <c r="B5469" s="2205">
        <v>835</v>
      </c>
    </row>
    <row r="5470" spans="1:2" x14ac:dyDescent="0.2">
      <c r="A5470" s="2205" t="s">
        <v>11638</v>
      </c>
      <c r="B5470" s="2205">
        <v>1760.91</v>
      </c>
    </row>
    <row r="5471" spans="1:2" x14ac:dyDescent="0.2">
      <c r="A5471" s="2205" t="s">
        <v>11639</v>
      </c>
      <c r="B5471" s="2205">
        <v>0</v>
      </c>
    </row>
    <row r="5472" spans="1:2" x14ac:dyDescent="0.2">
      <c r="A5472" s="2205" t="s">
        <v>11640</v>
      </c>
      <c r="B5472" s="2205">
        <v>2626.68</v>
      </c>
    </row>
    <row r="5473" spans="1:2" x14ac:dyDescent="0.2">
      <c r="A5473" s="2205" t="s">
        <v>11641</v>
      </c>
      <c r="B5473" s="2205">
        <v>1043.6400000000001</v>
      </c>
    </row>
    <row r="5474" spans="1:2" x14ac:dyDescent="0.2">
      <c r="A5474" s="2205" t="s">
        <v>11642</v>
      </c>
      <c r="B5474" s="2205">
        <v>1421.02</v>
      </c>
    </row>
    <row r="5475" spans="1:2" x14ac:dyDescent="0.2">
      <c r="A5475" s="2205" t="s">
        <v>11643</v>
      </c>
      <c r="B5475" s="2205">
        <v>0</v>
      </c>
    </row>
    <row r="5476" spans="1:2" x14ac:dyDescent="0.2">
      <c r="A5476" s="2205" t="s">
        <v>187</v>
      </c>
      <c r="B5476" s="2205">
        <v>11263.67</v>
      </c>
    </row>
    <row r="5477" spans="1:2" x14ac:dyDescent="0.2">
      <c r="A5477" s="2205" t="s">
        <v>7244</v>
      </c>
      <c r="B5477" s="2205">
        <v>1380</v>
      </c>
    </row>
    <row r="5478" spans="1:2" x14ac:dyDescent="0.2">
      <c r="A5478" s="2205" t="s">
        <v>2066</v>
      </c>
      <c r="B5478" s="2205">
        <v>14033.29</v>
      </c>
    </row>
    <row r="5479" spans="1:2" x14ac:dyDescent="0.2">
      <c r="A5479" s="2205" t="s">
        <v>11644</v>
      </c>
      <c r="B5479" s="2205">
        <v>48.64</v>
      </c>
    </row>
    <row r="5480" spans="1:2" x14ac:dyDescent="0.2">
      <c r="A5480" s="2205" t="s">
        <v>11645</v>
      </c>
      <c r="B5480" s="2205">
        <v>4946.6099999999997</v>
      </c>
    </row>
    <row r="5481" spans="1:2" x14ac:dyDescent="0.2">
      <c r="A5481" s="2205" t="s">
        <v>11646</v>
      </c>
      <c r="B5481" s="2205">
        <v>87.12</v>
      </c>
    </row>
    <row r="5482" spans="1:2" x14ac:dyDescent="0.2">
      <c r="A5482" s="2205" t="s">
        <v>2065</v>
      </c>
      <c r="B5482" s="2205">
        <v>183687</v>
      </c>
    </row>
    <row r="5483" spans="1:2" x14ac:dyDescent="0.2">
      <c r="A5483" s="2205" t="s">
        <v>757</v>
      </c>
      <c r="B5483" s="2205">
        <v>41090.04</v>
      </c>
    </row>
    <row r="5484" spans="1:2" x14ac:dyDescent="0.2">
      <c r="A5484" s="2205" t="s">
        <v>1668</v>
      </c>
      <c r="B5484" s="2205">
        <v>3487.75</v>
      </c>
    </row>
    <row r="5485" spans="1:2" x14ac:dyDescent="0.2">
      <c r="A5485" s="2205" t="s">
        <v>2959</v>
      </c>
      <c r="B5485" s="2205">
        <v>0</v>
      </c>
    </row>
    <row r="5486" spans="1:2" x14ac:dyDescent="0.2">
      <c r="A5486" s="2205" t="s">
        <v>2860</v>
      </c>
      <c r="B5486" s="2205">
        <v>0</v>
      </c>
    </row>
    <row r="5487" spans="1:2" x14ac:dyDescent="0.2">
      <c r="A5487" s="2205" t="s">
        <v>11647</v>
      </c>
      <c r="B5487" s="2205">
        <v>145.80000000000001</v>
      </c>
    </row>
    <row r="5488" spans="1:2" x14ac:dyDescent="0.2">
      <c r="A5488" s="2205" t="s">
        <v>3342</v>
      </c>
      <c r="B5488" s="2205">
        <v>903.65</v>
      </c>
    </row>
    <row r="5489" spans="1:2" x14ac:dyDescent="0.2">
      <c r="A5489" s="2205" t="s">
        <v>11648</v>
      </c>
      <c r="B5489" s="2205">
        <v>1196.31</v>
      </c>
    </row>
    <row r="5490" spans="1:2" x14ac:dyDescent="0.2">
      <c r="A5490" s="2205" t="s">
        <v>2461</v>
      </c>
      <c r="B5490" s="2205">
        <v>956.51</v>
      </c>
    </row>
    <row r="5491" spans="1:2" x14ac:dyDescent="0.2">
      <c r="A5491" s="2205" t="s">
        <v>2636</v>
      </c>
      <c r="B5491" s="2205">
        <v>722.27</v>
      </c>
    </row>
    <row r="5492" spans="1:2" x14ac:dyDescent="0.2">
      <c r="A5492" s="2205" t="s">
        <v>623</v>
      </c>
      <c r="B5492" s="2205">
        <v>3275.2</v>
      </c>
    </row>
    <row r="5493" spans="1:2" x14ac:dyDescent="0.2">
      <c r="A5493" s="2205" t="s">
        <v>624</v>
      </c>
      <c r="B5493" s="2205">
        <v>9283.69</v>
      </c>
    </row>
    <row r="5494" spans="1:2" x14ac:dyDescent="0.2">
      <c r="A5494" s="2205" t="s">
        <v>4193</v>
      </c>
      <c r="B5494" s="2205">
        <v>1400.33</v>
      </c>
    </row>
    <row r="5495" spans="1:2" x14ac:dyDescent="0.2">
      <c r="A5495" s="2205" t="s">
        <v>1675</v>
      </c>
      <c r="B5495" s="2205">
        <v>3190.34</v>
      </c>
    </row>
    <row r="5496" spans="1:2" x14ac:dyDescent="0.2">
      <c r="A5496" s="2205" t="s">
        <v>4192</v>
      </c>
      <c r="B5496" s="2205">
        <v>19607.86</v>
      </c>
    </row>
    <row r="5497" spans="1:2" x14ac:dyDescent="0.2">
      <c r="A5497" s="2205" t="s">
        <v>4191</v>
      </c>
      <c r="B5497" s="2205">
        <v>3288.55</v>
      </c>
    </row>
    <row r="5498" spans="1:2" x14ac:dyDescent="0.2">
      <c r="A5498" s="2205" t="s">
        <v>2957</v>
      </c>
      <c r="B5498" s="2205">
        <v>18737.060000000001</v>
      </c>
    </row>
    <row r="5499" spans="1:2" x14ac:dyDescent="0.2">
      <c r="A5499" s="2205" t="s">
        <v>2958</v>
      </c>
      <c r="B5499" s="2205">
        <v>39747.050000000003</v>
      </c>
    </row>
    <row r="5500" spans="1:2" x14ac:dyDescent="0.2">
      <c r="A5500" s="2205" t="s">
        <v>1131</v>
      </c>
      <c r="B5500" s="2205">
        <v>0</v>
      </c>
    </row>
    <row r="5501" spans="1:2" x14ac:dyDescent="0.2">
      <c r="A5501" s="2205" t="s">
        <v>3341</v>
      </c>
      <c r="B5501" s="2205">
        <v>1665.79</v>
      </c>
    </row>
    <row r="5502" spans="1:2" x14ac:dyDescent="0.2">
      <c r="A5502" s="2205" t="s">
        <v>11649</v>
      </c>
      <c r="B5502" s="2205">
        <v>2846.24</v>
      </c>
    </row>
    <row r="5503" spans="1:2" x14ac:dyDescent="0.2">
      <c r="A5503" s="2205" t="s">
        <v>11650</v>
      </c>
      <c r="B5503" s="2205">
        <v>495</v>
      </c>
    </row>
    <row r="5504" spans="1:2" x14ac:dyDescent="0.2">
      <c r="A5504" s="2205" t="s">
        <v>11651</v>
      </c>
      <c r="B5504" s="2205">
        <v>481.94</v>
      </c>
    </row>
    <row r="5505" spans="1:2" x14ac:dyDescent="0.2">
      <c r="A5505" s="2205" t="s">
        <v>2479</v>
      </c>
      <c r="B5505" s="2205">
        <v>608.11</v>
      </c>
    </row>
    <row r="5506" spans="1:2" x14ac:dyDescent="0.2">
      <c r="A5506" s="2205" t="s">
        <v>11652</v>
      </c>
      <c r="B5506" s="2205">
        <v>640.75</v>
      </c>
    </row>
    <row r="5507" spans="1:2" x14ac:dyDescent="0.2">
      <c r="A5507" s="2205" t="s">
        <v>11653</v>
      </c>
      <c r="B5507" s="2205">
        <v>55000</v>
      </c>
    </row>
    <row r="5508" spans="1:2" x14ac:dyDescent="0.2">
      <c r="A5508" s="2205" t="s">
        <v>11654</v>
      </c>
      <c r="B5508" s="2205">
        <v>6568.82</v>
      </c>
    </row>
    <row r="5509" spans="1:2" x14ac:dyDescent="0.2">
      <c r="A5509" s="2205" t="s">
        <v>11655</v>
      </c>
      <c r="B5509" s="2205">
        <v>2310.31</v>
      </c>
    </row>
    <row r="5510" spans="1:2" x14ac:dyDescent="0.2">
      <c r="A5510" s="2205" t="s">
        <v>11656</v>
      </c>
      <c r="B5510" s="2205">
        <v>241.8</v>
      </c>
    </row>
    <row r="5511" spans="1:2" x14ac:dyDescent="0.2">
      <c r="A5511" s="2209" t="s">
        <v>11657</v>
      </c>
      <c r="B5511" s="2205">
        <v>15643.06</v>
      </c>
    </row>
    <row r="5512" spans="1:2" x14ac:dyDescent="0.2">
      <c r="A5512" s="2209" t="s">
        <v>11658</v>
      </c>
      <c r="B5512" s="2205">
        <v>523.64</v>
      </c>
    </row>
    <row r="5513" spans="1:2" x14ac:dyDescent="0.2">
      <c r="A5513" s="2205" t="s">
        <v>2868</v>
      </c>
      <c r="B5513" s="2205">
        <v>1883.68</v>
      </c>
    </row>
    <row r="5514" spans="1:2" x14ac:dyDescent="0.2">
      <c r="A5514" s="2205" t="s">
        <v>2443</v>
      </c>
      <c r="B5514" s="2205">
        <v>24665.75</v>
      </c>
    </row>
    <row r="5515" spans="1:2" x14ac:dyDescent="0.2">
      <c r="A5515" s="2205" t="s">
        <v>2688</v>
      </c>
      <c r="B5515" s="2205">
        <v>2651.27</v>
      </c>
    </row>
    <row r="5516" spans="1:2" x14ac:dyDescent="0.2">
      <c r="A5516" s="2205" t="s">
        <v>2421</v>
      </c>
      <c r="B5516" s="2205">
        <v>18670.25</v>
      </c>
    </row>
    <row r="5517" spans="1:2" x14ac:dyDescent="0.2">
      <c r="A5517" s="2205" t="s">
        <v>1609</v>
      </c>
      <c r="B5517" s="2205">
        <v>0</v>
      </c>
    </row>
    <row r="5518" spans="1:2" x14ac:dyDescent="0.2">
      <c r="A5518" s="2205" t="s">
        <v>2422</v>
      </c>
      <c r="B5518" s="2205">
        <v>20779.080000000002</v>
      </c>
    </row>
    <row r="5519" spans="1:2" x14ac:dyDescent="0.2">
      <c r="A5519" s="2205" t="s">
        <v>11659</v>
      </c>
      <c r="B5519" s="2205">
        <v>4780.26</v>
      </c>
    </row>
    <row r="5520" spans="1:2" x14ac:dyDescent="0.2">
      <c r="A5520" s="2205" t="s">
        <v>2317</v>
      </c>
      <c r="B5520" s="2205">
        <v>3786.3</v>
      </c>
    </row>
    <row r="5521" spans="1:2" x14ac:dyDescent="0.2">
      <c r="A5521" s="2205" t="s">
        <v>2585</v>
      </c>
      <c r="B5521" s="2205">
        <v>12042.19</v>
      </c>
    </row>
    <row r="5522" spans="1:2" x14ac:dyDescent="0.2">
      <c r="A5522" s="2205" t="s">
        <v>2478</v>
      </c>
      <c r="B5522" s="2205">
        <v>0</v>
      </c>
    </row>
    <row r="5523" spans="1:2" x14ac:dyDescent="0.2">
      <c r="A5523" s="2205" t="s">
        <v>2186</v>
      </c>
      <c r="B5523" s="2205">
        <v>0</v>
      </c>
    </row>
    <row r="5524" spans="1:2" x14ac:dyDescent="0.2">
      <c r="A5524" s="2205" t="s">
        <v>1917</v>
      </c>
      <c r="B5524" s="2205">
        <v>30800.22</v>
      </c>
    </row>
    <row r="5525" spans="1:2" x14ac:dyDescent="0.2">
      <c r="A5525" s="2205" t="s">
        <v>2587</v>
      </c>
      <c r="B5525" s="2205">
        <v>5519.92</v>
      </c>
    </row>
    <row r="5526" spans="1:2" x14ac:dyDescent="0.2">
      <c r="A5526" s="2205" t="s">
        <v>481</v>
      </c>
      <c r="B5526" s="2205">
        <v>27649.8</v>
      </c>
    </row>
    <row r="5527" spans="1:2" x14ac:dyDescent="0.2">
      <c r="A5527" s="2205" t="s">
        <v>2457</v>
      </c>
      <c r="B5527" s="2205">
        <v>8294.7199999999993</v>
      </c>
    </row>
    <row r="5528" spans="1:2" x14ac:dyDescent="0.2">
      <c r="A5528" s="2205" t="s">
        <v>2692</v>
      </c>
      <c r="B5528" s="2205">
        <v>1344.71</v>
      </c>
    </row>
    <row r="5529" spans="1:2" x14ac:dyDescent="0.2">
      <c r="A5529" s="2205" t="s">
        <v>2583</v>
      </c>
      <c r="B5529" s="2205">
        <v>50654.31</v>
      </c>
    </row>
    <row r="5530" spans="1:2" x14ac:dyDescent="0.2">
      <c r="A5530" s="2205" t="s">
        <v>3209</v>
      </c>
      <c r="B5530" s="2205">
        <v>0</v>
      </c>
    </row>
    <row r="5531" spans="1:2" x14ac:dyDescent="0.2">
      <c r="A5531" s="2205" t="s">
        <v>11660</v>
      </c>
      <c r="B5531" s="2205">
        <v>-4662.51</v>
      </c>
    </row>
    <row r="5532" spans="1:2" x14ac:dyDescent="0.2">
      <c r="A5532" s="2205" t="s">
        <v>11661</v>
      </c>
      <c r="B5532" s="2205">
        <v>-53530.07</v>
      </c>
    </row>
    <row r="5533" spans="1:2" x14ac:dyDescent="0.2">
      <c r="A5533" s="2205" t="s">
        <v>11662</v>
      </c>
      <c r="B5533" s="2205">
        <v>-889.59</v>
      </c>
    </row>
    <row r="5534" spans="1:2" x14ac:dyDescent="0.2">
      <c r="A5534" s="2205" t="s">
        <v>11663</v>
      </c>
      <c r="B5534" s="2205">
        <v>-47466.38</v>
      </c>
    </row>
    <row r="5535" spans="1:2" x14ac:dyDescent="0.2">
      <c r="A5535" s="2205" t="s">
        <v>11664</v>
      </c>
      <c r="B5535" s="2205">
        <v>-22928.54</v>
      </c>
    </row>
    <row r="5536" spans="1:2" x14ac:dyDescent="0.2">
      <c r="A5536" s="2205" t="s">
        <v>11665</v>
      </c>
      <c r="B5536" s="2205">
        <v>-58097.71</v>
      </c>
    </row>
    <row r="5537" spans="1:2" x14ac:dyDescent="0.2">
      <c r="A5537" s="2205" t="s">
        <v>11666</v>
      </c>
      <c r="B5537" s="2205">
        <v>-61920.7</v>
      </c>
    </row>
    <row r="5538" spans="1:2" x14ac:dyDescent="0.2">
      <c r="A5538" s="2205" t="s">
        <v>11667</v>
      </c>
      <c r="B5538" s="2205">
        <v>-24926.95</v>
      </c>
    </row>
    <row r="5539" spans="1:2" x14ac:dyDescent="0.2">
      <c r="A5539" s="2205" t="s">
        <v>11668</v>
      </c>
      <c r="B5539" s="2205">
        <v>-14435.81</v>
      </c>
    </row>
    <row r="5540" spans="1:2" x14ac:dyDescent="0.2">
      <c r="A5540" s="2205" t="s">
        <v>11669</v>
      </c>
      <c r="B5540" s="2205">
        <v>-261760.88</v>
      </c>
    </row>
    <row r="5541" spans="1:2" x14ac:dyDescent="0.2">
      <c r="A5541" s="2205" t="s">
        <v>2791</v>
      </c>
      <c r="B5541" s="2205">
        <v>-57438</v>
      </c>
    </row>
    <row r="5542" spans="1:2" x14ac:dyDescent="0.2">
      <c r="A5542" s="2205" t="s">
        <v>5140</v>
      </c>
      <c r="B5542" s="2205">
        <v>343.45</v>
      </c>
    </row>
    <row r="5543" spans="1:2" x14ac:dyDescent="0.2">
      <c r="A5543" s="2205" t="s">
        <v>11670</v>
      </c>
      <c r="B5543" s="2205">
        <v>360417.23</v>
      </c>
    </row>
    <row r="5544" spans="1:2" x14ac:dyDescent="0.2">
      <c r="A5544" s="2205" t="s">
        <v>1231</v>
      </c>
      <c r="B5544" s="2205">
        <v>-101224.48</v>
      </c>
    </row>
    <row r="5545" spans="1:2" x14ac:dyDescent="0.2">
      <c r="A5545" s="2205" t="s">
        <v>2335</v>
      </c>
      <c r="B5545" s="2205">
        <v>-34325.51</v>
      </c>
    </row>
    <row r="5546" spans="1:2" x14ac:dyDescent="0.2">
      <c r="A5546" s="2205" t="s">
        <v>2694</v>
      </c>
      <c r="B5546" s="2205">
        <v>-7910.93</v>
      </c>
    </row>
    <row r="5547" spans="1:2" x14ac:dyDescent="0.2">
      <c r="A5547" s="2205" t="s">
        <v>1913</v>
      </c>
      <c r="B5547" s="2205">
        <v>-1743.09</v>
      </c>
    </row>
    <row r="5548" spans="1:2" x14ac:dyDescent="0.2">
      <c r="A5548" s="2205" t="s">
        <v>1118</v>
      </c>
      <c r="B5548" s="2205">
        <v>-1314.98</v>
      </c>
    </row>
    <row r="5549" spans="1:2" x14ac:dyDescent="0.2">
      <c r="A5549" s="2205" t="s">
        <v>11671</v>
      </c>
      <c r="B5549" s="2205">
        <v>-89795.33</v>
      </c>
    </row>
    <row r="5550" spans="1:2" x14ac:dyDescent="0.2">
      <c r="A5550" s="2205" t="s">
        <v>1234</v>
      </c>
      <c r="B5550" s="2205">
        <v>-34956.129999999997</v>
      </c>
    </row>
    <row r="5551" spans="1:2" x14ac:dyDescent="0.2">
      <c r="A5551" s="2205" t="s">
        <v>4954</v>
      </c>
      <c r="B5551" s="2205">
        <v>-29048.9</v>
      </c>
    </row>
    <row r="5552" spans="1:2" x14ac:dyDescent="0.2">
      <c r="A5552" s="2205" t="s">
        <v>2371</v>
      </c>
      <c r="B5552" s="2205">
        <v>-52926.76</v>
      </c>
    </row>
    <row r="5553" spans="1:2" x14ac:dyDescent="0.2">
      <c r="A5553" s="2205" t="s">
        <v>2163</v>
      </c>
      <c r="B5553" s="2205">
        <v>-146193.96</v>
      </c>
    </row>
    <row r="5554" spans="1:2" x14ac:dyDescent="0.2">
      <c r="A5554" s="2205" t="s">
        <v>476</v>
      </c>
      <c r="B5554" s="2205">
        <v>-476544.94</v>
      </c>
    </row>
    <row r="5555" spans="1:2" x14ac:dyDescent="0.2">
      <c r="A5555" s="2205" t="s">
        <v>478</v>
      </c>
      <c r="B5555" s="2205">
        <v>-702529.92</v>
      </c>
    </row>
    <row r="5556" spans="1:2" x14ac:dyDescent="0.2">
      <c r="A5556" s="2205" t="s">
        <v>4201</v>
      </c>
      <c r="B5556" s="2205">
        <v>-107658.93</v>
      </c>
    </row>
    <row r="5557" spans="1:2" x14ac:dyDescent="0.2">
      <c r="A5557" s="2205" t="s">
        <v>4198</v>
      </c>
      <c r="B5557" s="2205">
        <v>-14452.2</v>
      </c>
    </row>
    <row r="5558" spans="1:2" x14ac:dyDescent="0.2">
      <c r="A5558" s="2205" t="s">
        <v>2281</v>
      </c>
      <c r="B5558" s="2205">
        <v>-248900.57</v>
      </c>
    </row>
    <row r="5559" spans="1:2" x14ac:dyDescent="0.2">
      <c r="A5559" s="2205" t="s">
        <v>4199</v>
      </c>
      <c r="B5559" s="2205">
        <v>-1315.56</v>
      </c>
    </row>
    <row r="5560" spans="1:2" x14ac:dyDescent="0.2">
      <c r="A5560" s="2205" t="s">
        <v>477</v>
      </c>
      <c r="B5560" s="2205">
        <v>-51693.23</v>
      </c>
    </row>
    <row r="5561" spans="1:2" x14ac:dyDescent="0.2">
      <c r="A5561" s="2205" t="s">
        <v>4062</v>
      </c>
      <c r="B5561" s="2205">
        <v>-60696.160000000003</v>
      </c>
    </row>
    <row r="5562" spans="1:2" x14ac:dyDescent="0.2">
      <c r="A5562" s="2205" t="s">
        <v>4168</v>
      </c>
      <c r="B5562" s="2205">
        <v>-4484.05</v>
      </c>
    </row>
    <row r="5563" spans="1:2" x14ac:dyDescent="0.2">
      <c r="A5563" s="2205" t="s">
        <v>5807</v>
      </c>
      <c r="B5563" s="2205">
        <v>-4068.24</v>
      </c>
    </row>
    <row r="5564" spans="1:2" x14ac:dyDescent="0.2">
      <c r="A5564" s="2205" t="s">
        <v>404</v>
      </c>
      <c r="B5564" s="2205">
        <v>-45576.56</v>
      </c>
    </row>
    <row r="5565" spans="1:2" x14ac:dyDescent="0.2">
      <c r="A5565" s="2205" t="s">
        <v>405</v>
      </c>
      <c r="B5565" s="2205">
        <v>-16139.88</v>
      </c>
    </row>
    <row r="5566" spans="1:2" x14ac:dyDescent="0.2">
      <c r="A5566" s="2205" t="s">
        <v>1395</v>
      </c>
      <c r="B5566" s="2205">
        <v>-50929.04</v>
      </c>
    </row>
    <row r="5567" spans="1:2" x14ac:dyDescent="0.2">
      <c r="A5567" s="2205" t="s">
        <v>702</v>
      </c>
      <c r="B5567" s="2205">
        <v>-34206.81</v>
      </c>
    </row>
    <row r="5568" spans="1:2" x14ac:dyDescent="0.2">
      <c r="A5568" s="2205" t="s">
        <v>536</v>
      </c>
      <c r="B5568" s="2205">
        <v>-7341.86</v>
      </c>
    </row>
    <row r="5569" spans="1:2" x14ac:dyDescent="0.2">
      <c r="A5569" s="2205" t="s">
        <v>704</v>
      </c>
      <c r="B5569" s="2205">
        <v>-48466.18</v>
      </c>
    </row>
    <row r="5570" spans="1:2" x14ac:dyDescent="0.2">
      <c r="A5570" s="2205" t="s">
        <v>1394</v>
      </c>
      <c r="B5570" s="2205">
        <v>-15600</v>
      </c>
    </row>
    <row r="5571" spans="1:2" x14ac:dyDescent="0.2">
      <c r="A5571" s="2205" t="s">
        <v>2696</v>
      </c>
      <c r="B5571" s="2205">
        <v>0</v>
      </c>
    </row>
    <row r="5572" spans="1:2" x14ac:dyDescent="0.2">
      <c r="A5572" s="2205" t="s">
        <v>641</v>
      </c>
      <c r="B5572" s="2205">
        <v>-43079.66</v>
      </c>
    </row>
    <row r="5573" spans="1:2" x14ac:dyDescent="0.2">
      <c r="A5573" s="2205" t="s">
        <v>11672</v>
      </c>
      <c r="B5573" s="2205">
        <v>0</v>
      </c>
    </row>
    <row r="5574" spans="1:2" x14ac:dyDescent="0.2">
      <c r="A5574" s="2205" t="s">
        <v>924</v>
      </c>
      <c r="B5574" s="2205">
        <v>-36063.42</v>
      </c>
    </row>
    <row r="5575" spans="1:2" x14ac:dyDescent="0.2">
      <c r="A5575" s="2205" t="s">
        <v>803</v>
      </c>
      <c r="B5575" s="2205">
        <v>-29807.19</v>
      </c>
    </row>
    <row r="5576" spans="1:2" x14ac:dyDescent="0.2">
      <c r="A5576" s="2205" t="s">
        <v>3339</v>
      </c>
      <c r="B5576" s="2205">
        <v>-196067.69</v>
      </c>
    </row>
    <row r="5577" spans="1:2" x14ac:dyDescent="0.2">
      <c r="A5577" s="2205" t="s">
        <v>7239</v>
      </c>
      <c r="B5577" s="2205">
        <v>-14710.49</v>
      </c>
    </row>
    <row r="5578" spans="1:2" x14ac:dyDescent="0.2">
      <c r="A5578" s="2205" t="s">
        <v>1170</v>
      </c>
      <c r="B5578" s="2205">
        <v>-31612.66</v>
      </c>
    </row>
    <row r="5579" spans="1:2" x14ac:dyDescent="0.2">
      <c r="A5579" s="2205" t="s">
        <v>4171</v>
      </c>
      <c r="B5579" s="2205">
        <v>-5469.24</v>
      </c>
    </row>
    <row r="5580" spans="1:2" x14ac:dyDescent="0.2">
      <c r="A5580" s="2205" t="s">
        <v>703</v>
      </c>
      <c r="B5580" s="2205">
        <v>-55091.16</v>
      </c>
    </row>
    <row r="5581" spans="1:2" x14ac:dyDescent="0.2">
      <c r="A5581" s="2205" t="s">
        <v>642</v>
      </c>
      <c r="B5581" s="2205">
        <v>-16786.03</v>
      </c>
    </row>
    <row r="5582" spans="1:2" x14ac:dyDescent="0.2">
      <c r="A5582" s="2205" t="s">
        <v>2763</v>
      </c>
      <c r="B5582" s="2205">
        <v>0</v>
      </c>
    </row>
    <row r="5583" spans="1:2" x14ac:dyDescent="0.2">
      <c r="A5583" s="2205" t="s">
        <v>1354</v>
      </c>
      <c r="B5583" s="2205">
        <v>-129343.67</v>
      </c>
    </row>
    <row r="5584" spans="1:2" x14ac:dyDescent="0.2">
      <c r="A5584" s="2205" t="s">
        <v>11673</v>
      </c>
      <c r="B5584" s="2205">
        <v>-13967.05</v>
      </c>
    </row>
    <row r="5585" spans="1:2" x14ac:dyDescent="0.2">
      <c r="A5585" s="2205" t="s">
        <v>2133</v>
      </c>
      <c r="B5585" s="2205">
        <v>-164949.82999999999</v>
      </c>
    </row>
    <row r="5586" spans="1:2" x14ac:dyDescent="0.2">
      <c r="A5586" s="2205" t="s">
        <v>842</v>
      </c>
      <c r="B5586" s="2205">
        <v>-4260.01</v>
      </c>
    </row>
    <row r="5587" spans="1:2" x14ac:dyDescent="0.2">
      <c r="A5587" s="2205" t="s">
        <v>253</v>
      </c>
      <c r="B5587" s="2205">
        <v>-459.55</v>
      </c>
    </row>
    <row r="5588" spans="1:2" x14ac:dyDescent="0.2">
      <c r="A5588" s="2205" t="s">
        <v>2358</v>
      </c>
      <c r="B5588" s="2205">
        <v>-930</v>
      </c>
    </row>
    <row r="5589" spans="1:2" x14ac:dyDescent="0.2">
      <c r="A5589" s="2205" t="s">
        <v>3806</v>
      </c>
      <c r="B5589" s="2205">
        <v>-3550.11</v>
      </c>
    </row>
    <row r="5590" spans="1:2" x14ac:dyDescent="0.2">
      <c r="A5590" s="2205" t="s">
        <v>843</v>
      </c>
      <c r="B5590" s="2205">
        <v>-7848</v>
      </c>
    </row>
    <row r="5591" spans="1:2" x14ac:dyDescent="0.2">
      <c r="A5591" s="2205" t="s">
        <v>2357</v>
      </c>
      <c r="B5591" s="2205">
        <v>-5663.56</v>
      </c>
    </row>
    <row r="5592" spans="1:2" x14ac:dyDescent="0.2">
      <c r="A5592" s="2205" t="s">
        <v>1173</v>
      </c>
      <c r="B5592" s="2205">
        <v>-13738.33</v>
      </c>
    </row>
    <row r="5593" spans="1:2" x14ac:dyDescent="0.2">
      <c r="A5593" s="2205" t="s">
        <v>11674</v>
      </c>
      <c r="B5593" s="2205">
        <v>-31195</v>
      </c>
    </row>
    <row r="5594" spans="1:2" x14ac:dyDescent="0.2">
      <c r="A5594" s="2205" t="s">
        <v>4178</v>
      </c>
      <c r="B5594" s="2205">
        <v>-2357.5</v>
      </c>
    </row>
    <row r="5595" spans="1:2" x14ac:dyDescent="0.2">
      <c r="A5595" s="2205" t="s">
        <v>11675</v>
      </c>
      <c r="B5595" s="2205">
        <v>0</v>
      </c>
    </row>
    <row r="5596" spans="1:2" x14ac:dyDescent="0.2">
      <c r="A5596" s="2205" t="s">
        <v>2697</v>
      </c>
      <c r="B5596" s="2205">
        <v>0</v>
      </c>
    </row>
    <row r="5597" spans="1:2" x14ac:dyDescent="0.2">
      <c r="A5597" s="2205" t="s">
        <v>107</v>
      </c>
      <c r="B5597" s="2205">
        <v>-717.27</v>
      </c>
    </row>
    <row r="5598" spans="1:2" x14ac:dyDescent="0.2">
      <c r="A5598" s="2205" t="s">
        <v>223</v>
      </c>
      <c r="B5598" s="2205">
        <v>-2901.61</v>
      </c>
    </row>
    <row r="5599" spans="1:2" x14ac:dyDescent="0.2">
      <c r="A5599" s="2205" t="s">
        <v>11676</v>
      </c>
      <c r="B5599" s="2205">
        <v>-66</v>
      </c>
    </row>
    <row r="5600" spans="1:2" x14ac:dyDescent="0.2">
      <c r="A5600" s="2205" t="s">
        <v>6136</v>
      </c>
      <c r="B5600" s="2205">
        <v>-1980</v>
      </c>
    </row>
    <row r="5601" spans="1:2" x14ac:dyDescent="0.2">
      <c r="A5601" s="2205" t="s">
        <v>442</v>
      </c>
      <c r="B5601" s="2205">
        <v>-7034.11</v>
      </c>
    </row>
    <row r="5602" spans="1:2" x14ac:dyDescent="0.2">
      <c r="A5602" s="2205" t="s">
        <v>662</v>
      </c>
      <c r="B5602" s="2205">
        <v>0</v>
      </c>
    </row>
    <row r="5603" spans="1:2" x14ac:dyDescent="0.2">
      <c r="A5603" s="2205" t="s">
        <v>4927</v>
      </c>
      <c r="B5603" s="2205">
        <v>-345</v>
      </c>
    </row>
    <row r="5604" spans="1:2" x14ac:dyDescent="0.2">
      <c r="A5604" s="2205" t="s">
        <v>4173</v>
      </c>
      <c r="B5604" s="2205">
        <v>-2617.13</v>
      </c>
    </row>
    <row r="5605" spans="1:2" x14ac:dyDescent="0.2">
      <c r="A5605" s="2205" t="s">
        <v>254</v>
      </c>
      <c r="B5605" s="2205">
        <v>-31074.49</v>
      </c>
    </row>
    <row r="5606" spans="1:2" x14ac:dyDescent="0.2">
      <c r="A5606" s="2205" t="s">
        <v>11677</v>
      </c>
      <c r="B5606" s="2205">
        <v>-112.78</v>
      </c>
    </row>
    <row r="5607" spans="1:2" x14ac:dyDescent="0.2">
      <c r="A5607" s="2205" t="s">
        <v>1172</v>
      </c>
      <c r="B5607" s="2205">
        <v>-12360.2</v>
      </c>
    </row>
    <row r="5608" spans="1:2" x14ac:dyDescent="0.2">
      <c r="A5608" s="2205" t="s">
        <v>11678</v>
      </c>
      <c r="B5608" s="2205">
        <v>-330.82</v>
      </c>
    </row>
    <row r="5609" spans="1:2" x14ac:dyDescent="0.2">
      <c r="A5609" s="2205" t="s">
        <v>5521</v>
      </c>
      <c r="B5609" s="2205">
        <v>-7261.31</v>
      </c>
    </row>
    <row r="5610" spans="1:2" x14ac:dyDescent="0.2">
      <c r="A5610" s="2205" t="s">
        <v>897</v>
      </c>
      <c r="B5610" s="2205">
        <v>-3668.27</v>
      </c>
    </row>
    <row r="5611" spans="1:2" x14ac:dyDescent="0.2">
      <c r="A5611" s="2205" t="s">
        <v>1376</v>
      </c>
      <c r="B5611" s="2205">
        <v>-490.18</v>
      </c>
    </row>
    <row r="5612" spans="1:2" x14ac:dyDescent="0.2">
      <c r="A5612" s="2205" t="s">
        <v>1174</v>
      </c>
      <c r="B5612" s="2205">
        <v>-1269.7</v>
      </c>
    </row>
    <row r="5613" spans="1:2" x14ac:dyDescent="0.2">
      <c r="A5613" s="2205" t="s">
        <v>7240</v>
      </c>
      <c r="B5613" s="2205">
        <v>-1534.76</v>
      </c>
    </row>
    <row r="5614" spans="1:2" x14ac:dyDescent="0.2">
      <c r="A5614" s="2205" t="s">
        <v>11679</v>
      </c>
      <c r="B5614" s="2205">
        <v>0</v>
      </c>
    </row>
    <row r="5615" spans="1:2" x14ac:dyDescent="0.2">
      <c r="A5615" s="2205" t="s">
        <v>11680</v>
      </c>
      <c r="B5615" s="2205">
        <v>0</v>
      </c>
    </row>
    <row r="5616" spans="1:2" x14ac:dyDescent="0.2">
      <c r="A5616" s="2205" t="s">
        <v>2597</v>
      </c>
      <c r="B5616" s="2205">
        <v>-3749.32</v>
      </c>
    </row>
    <row r="5617" spans="1:2" x14ac:dyDescent="0.2">
      <c r="A5617" s="2205" t="s">
        <v>11681</v>
      </c>
      <c r="B5617" s="2205">
        <v>-7324</v>
      </c>
    </row>
    <row r="5618" spans="1:2" x14ac:dyDescent="0.2">
      <c r="A5618" s="2205" t="s">
        <v>368</v>
      </c>
      <c r="B5618" s="2205">
        <v>-37386.910000000003</v>
      </c>
    </row>
    <row r="5619" spans="1:2" x14ac:dyDescent="0.2">
      <c r="A5619" s="2205" t="s">
        <v>11682</v>
      </c>
      <c r="B5619" s="2205">
        <v>-108</v>
      </c>
    </row>
    <row r="5620" spans="1:2" x14ac:dyDescent="0.2">
      <c r="A5620" s="2205" t="s">
        <v>11683</v>
      </c>
      <c r="B5620" s="2205">
        <v>-726.58</v>
      </c>
    </row>
    <row r="5621" spans="1:2" x14ac:dyDescent="0.2">
      <c r="A5621" s="2205" t="s">
        <v>3225</v>
      </c>
      <c r="B5621" s="2205">
        <v>-385</v>
      </c>
    </row>
    <row r="5622" spans="1:2" x14ac:dyDescent="0.2">
      <c r="A5622" s="2205" t="s">
        <v>11684</v>
      </c>
      <c r="B5622" s="2205">
        <v>-270</v>
      </c>
    </row>
    <row r="5623" spans="1:2" x14ac:dyDescent="0.2">
      <c r="A5623" s="2205" t="s">
        <v>6458</v>
      </c>
      <c r="B5623" s="2205">
        <v>-17.27</v>
      </c>
    </row>
    <row r="5624" spans="1:2" x14ac:dyDescent="0.2">
      <c r="A5624" s="2205" t="s">
        <v>6878</v>
      </c>
      <c r="B5624" s="2205">
        <v>-9174.14</v>
      </c>
    </row>
    <row r="5625" spans="1:2" x14ac:dyDescent="0.2">
      <c r="A5625" s="2205" t="s">
        <v>6349</v>
      </c>
      <c r="B5625" s="2205">
        <v>-12633.46</v>
      </c>
    </row>
    <row r="5626" spans="1:2" x14ac:dyDescent="0.2">
      <c r="A5626" s="2205" t="s">
        <v>6980</v>
      </c>
      <c r="B5626" s="2205">
        <v>-2180</v>
      </c>
    </row>
    <row r="5627" spans="1:2" x14ac:dyDescent="0.2">
      <c r="A5627" s="2205" t="s">
        <v>2347</v>
      </c>
      <c r="B5627" s="2205">
        <v>-8860.83</v>
      </c>
    </row>
    <row r="5628" spans="1:2" x14ac:dyDescent="0.2">
      <c r="A5628" s="2205" t="s">
        <v>11685</v>
      </c>
      <c r="B5628" s="2205">
        <v>-940</v>
      </c>
    </row>
    <row r="5629" spans="1:2" x14ac:dyDescent="0.2">
      <c r="A5629" s="2205" t="s">
        <v>2413</v>
      </c>
      <c r="B5629" s="2205">
        <v>-13226.76</v>
      </c>
    </row>
    <row r="5630" spans="1:2" x14ac:dyDescent="0.2">
      <c r="A5630" s="2205" t="s">
        <v>6852</v>
      </c>
      <c r="B5630" s="2205">
        <v>-857.76</v>
      </c>
    </row>
    <row r="5631" spans="1:2" x14ac:dyDescent="0.2">
      <c r="A5631" s="2205" t="s">
        <v>11686</v>
      </c>
      <c r="B5631" s="2205">
        <v>-14103</v>
      </c>
    </row>
    <row r="5632" spans="1:2" x14ac:dyDescent="0.2">
      <c r="A5632" s="2205" t="s">
        <v>11687</v>
      </c>
      <c r="B5632" s="2205">
        <v>-1025.4100000000001</v>
      </c>
    </row>
    <row r="5633" spans="1:2" x14ac:dyDescent="0.2">
      <c r="A5633" s="2205" t="s">
        <v>2639</v>
      </c>
      <c r="B5633" s="2205">
        <v>-4677</v>
      </c>
    </row>
    <row r="5634" spans="1:2" x14ac:dyDescent="0.2">
      <c r="A5634" s="2205" t="s">
        <v>1894</v>
      </c>
      <c r="B5634" s="2205">
        <v>-5500.33</v>
      </c>
    </row>
    <row r="5635" spans="1:2" x14ac:dyDescent="0.2">
      <c r="A5635" s="2205" t="s">
        <v>2205</v>
      </c>
      <c r="B5635" s="2205">
        <v>-27646</v>
      </c>
    </row>
    <row r="5636" spans="1:2" x14ac:dyDescent="0.2">
      <c r="A5636" s="2205" t="s">
        <v>2438</v>
      </c>
      <c r="B5636" s="2205">
        <v>-390900</v>
      </c>
    </row>
    <row r="5637" spans="1:2" x14ac:dyDescent="0.2">
      <c r="A5637" s="2205" t="s">
        <v>2370</v>
      </c>
      <c r="B5637" s="2205">
        <v>-1000194.33</v>
      </c>
    </row>
    <row r="5638" spans="1:2" x14ac:dyDescent="0.2">
      <c r="A5638" s="2205" t="s">
        <v>89</v>
      </c>
      <c r="B5638" s="2205">
        <v>-466380.29</v>
      </c>
    </row>
    <row r="5639" spans="1:2" x14ac:dyDescent="0.2">
      <c r="A5639" s="2205" t="s">
        <v>1666</v>
      </c>
      <c r="B5639" s="2205">
        <v>-71900</v>
      </c>
    </row>
    <row r="5640" spans="1:2" x14ac:dyDescent="0.2">
      <c r="A5640" s="2205" t="s">
        <v>4196</v>
      </c>
      <c r="B5640" s="2205">
        <v>-878</v>
      </c>
    </row>
    <row r="5641" spans="1:2" x14ac:dyDescent="0.2">
      <c r="A5641" s="2205" t="s">
        <v>3139</v>
      </c>
      <c r="B5641" s="2205">
        <v>-440000</v>
      </c>
    </row>
    <row r="5642" spans="1:2" x14ac:dyDescent="0.2">
      <c r="A5642" s="2205" t="s">
        <v>661</v>
      </c>
      <c r="B5642" s="2205">
        <v>-205613.48</v>
      </c>
    </row>
    <row r="5643" spans="1:2" x14ac:dyDescent="0.2">
      <c r="A5643" s="2205" t="s">
        <v>804</v>
      </c>
      <c r="B5643" s="2205">
        <v>-214632.54</v>
      </c>
    </row>
    <row r="5644" spans="1:2" x14ac:dyDescent="0.2">
      <c r="A5644" s="2205" t="s">
        <v>681</v>
      </c>
      <c r="B5644" s="2205">
        <v>-640156.63</v>
      </c>
    </row>
    <row r="5645" spans="1:2" x14ac:dyDescent="0.2">
      <c r="A5645" s="2205" t="s">
        <v>1416</v>
      </c>
      <c r="B5645" s="2205">
        <v>-1865551.06</v>
      </c>
    </row>
    <row r="5646" spans="1:2" x14ac:dyDescent="0.2">
      <c r="A5646" s="2205" t="s">
        <v>2823</v>
      </c>
      <c r="B5646" s="2205">
        <v>-14890942.85</v>
      </c>
    </row>
    <row r="5647" spans="1:2" x14ac:dyDescent="0.2">
      <c r="A5647" s="2205" t="s">
        <v>780</v>
      </c>
      <c r="B5647" s="2205">
        <v>-4055836.93</v>
      </c>
    </row>
    <row r="5648" spans="1:2" x14ac:dyDescent="0.2">
      <c r="A5648" s="2205" t="s">
        <v>781</v>
      </c>
      <c r="B5648" s="2205">
        <v>-1507020.11</v>
      </c>
    </row>
    <row r="5649" spans="1:2" x14ac:dyDescent="0.2">
      <c r="A5649" s="2205" t="s">
        <v>450</v>
      </c>
      <c r="B5649" s="2205">
        <v>151.01</v>
      </c>
    </row>
    <row r="5650" spans="1:2" x14ac:dyDescent="0.2">
      <c r="A5650" s="2205" t="s">
        <v>1698</v>
      </c>
      <c r="B5650" s="2205">
        <v>13.46</v>
      </c>
    </row>
    <row r="5651" spans="1:2" x14ac:dyDescent="0.2">
      <c r="A5651" s="2205" t="s">
        <v>834</v>
      </c>
      <c r="B5651" s="2205">
        <v>1373.35</v>
      </c>
    </row>
    <row r="5652" spans="1:2" x14ac:dyDescent="0.2">
      <c r="A5652" s="2205" t="s">
        <v>308</v>
      </c>
      <c r="B5652" s="2205">
        <v>290444.48</v>
      </c>
    </row>
    <row r="5653" spans="1:2" x14ac:dyDescent="0.2">
      <c r="A5653" s="2205" t="s">
        <v>1881</v>
      </c>
      <c r="B5653" s="2205">
        <v>130907.7</v>
      </c>
    </row>
    <row r="5654" spans="1:2" x14ac:dyDescent="0.2">
      <c r="A5654" s="2205" t="s">
        <v>305</v>
      </c>
      <c r="B5654" s="2205">
        <v>130137.99</v>
      </c>
    </row>
    <row r="5655" spans="1:2" x14ac:dyDescent="0.2">
      <c r="A5655" s="2205" t="s">
        <v>208</v>
      </c>
      <c r="B5655" s="2205">
        <v>122842.38</v>
      </c>
    </row>
    <row r="5656" spans="1:2" x14ac:dyDescent="0.2">
      <c r="A5656" s="2205" t="s">
        <v>306</v>
      </c>
      <c r="B5656" s="2205">
        <v>159095.67000000001</v>
      </c>
    </row>
    <row r="5657" spans="1:2" x14ac:dyDescent="0.2">
      <c r="A5657" s="2205" t="s">
        <v>145</v>
      </c>
      <c r="B5657" s="2205">
        <v>159920.99</v>
      </c>
    </row>
    <row r="5658" spans="1:2" x14ac:dyDescent="0.2">
      <c r="A5658" s="2205" t="s">
        <v>246</v>
      </c>
      <c r="B5658" s="2205">
        <v>354961.46</v>
      </c>
    </row>
    <row r="5659" spans="1:2" x14ac:dyDescent="0.2">
      <c r="A5659" s="2205" t="s">
        <v>679</v>
      </c>
      <c r="B5659" s="2205">
        <v>150151.66</v>
      </c>
    </row>
    <row r="5660" spans="1:2" x14ac:dyDescent="0.2">
      <c r="A5660" s="2205" t="s">
        <v>2068</v>
      </c>
      <c r="B5660" s="2205">
        <v>516.97</v>
      </c>
    </row>
    <row r="5661" spans="1:2" x14ac:dyDescent="0.2">
      <c r="A5661" s="2205" t="s">
        <v>2069</v>
      </c>
      <c r="B5661" s="2205">
        <v>-459.82</v>
      </c>
    </row>
    <row r="5662" spans="1:2" x14ac:dyDescent="0.2">
      <c r="A5662" s="2205" t="s">
        <v>379</v>
      </c>
      <c r="B5662" s="2205">
        <v>1715.71</v>
      </c>
    </row>
    <row r="5663" spans="1:2" x14ac:dyDescent="0.2">
      <c r="A5663" s="2205" t="s">
        <v>782</v>
      </c>
      <c r="B5663" s="2205">
        <v>-1121.02</v>
      </c>
    </row>
    <row r="5664" spans="1:2" x14ac:dyDescent="0.2">
      <c r="A5664" s="2205" t="s">
        <v>680</v>
      </c>
      <c r="B5664" s="2205">
        <v>-22338.31</v>
      </c>
    </row>
    <row r="5665" spans="1:2" x14ac:dyDescent="0.2">
      <c r="A5665" s="2205" t="s">
        <v>2033</v>
      </c>
      <c r="B5665" s="2205">
        <v>-6360753.6200000001</v>
      </c>
    </row>
    <row r="5666" spans="1:2" x14ac:dyDescent="0.2">
      <c r="A5666" s="2205" t="s">
        <v>1373</v>
      </c>
      <c r="B5666" s="2205">
        <v>-449398.42</v>
      </c>
    </row>
    <row r="5667" spans="1:2" x14ac:dyDescent="0.2">
      <c r="A5667" s="2205" t="s">
        <v>1374</v>
      </c>
      <c r="B5667" s="2205">
        <v>-89738.87</v>
      </c>
    </row>
    <row r="5668" spans="1:2" x14ac:dyDescent="0.2">
      <c r="A5668" s="2205" t="s">
        <v>4733</v>
      </c>
      <c r="B5668" s="2205">
        <v>-1286996.6000000001</v>
      </c>
    </row>
    <row r="5669" spans="1:2" x14ac:dyDescent="0.2">
      <c r="A5669" s="2205" t="s">
        <v>1089</v>
      </c>
      <c r="B5669" s="2205">
        <v>-2952533.34</v>
      </c>
    </row>
    <row r="5670" spans="1:2" x14ac:dyDescent="0.2">
      <c r="A5670" s="2205" t="s">
        <v>1090</v>
      </c>
      <c r="B5670" s="2205">
        <v>-710209.2</v>
      </c>
    </row>
    <row r="5671" spans="1:2" x14ac:dyDescent="0.2">
      <c r="A5671" s="2205" t="s">
        <v>765</v>
      </c>
      <c r="B5671" s="2205">
        <v>-13875829.550000001</v>
      </c>
    </row>
    <row r="5672" spans="1:2" x14ac:dyDescent="0.2">
      <c r="A5672" s="2205" t="s">
        <v>2504</v>
      </c>
      <c r="B5672" s="2205">
        <v>-375054.75</v>
      </c>
    </row>
    <row r="5673" spans="1:2" x14ac:dyDescent="0.2">
      <c r="A5673" s="2205" t="s">
        <v>304</v>
      </c>
      <c r="B5673" s="2205">
        <v>-1811442.66</v>
      </c>
    </row>
    <row r="5674" spans="1:2" x14ac:dyDescent="0.2">
      <c r="A5674" s="2205" t="s">
        <v>11688</v>
      </c>
      <c r="B5674" s="2205">
        <v>1.86</v>
      </c>
    </row>
    <row r="5675" spans="1:2" x14ac:dyDescent="0.2">
      <c r="A5675" s="2205" t="s">
        <v>11689</v>
      </c>
      <c r="B5675" s="2205">
        <v>53043.46</v>
      </c>
    </row>
    <row r="5676" spans="1:2" x14ac:dyDescent="0.2">
      <c r="A5676" s="2205" t="s">
        <v>11690</v>
      </c>
      <c r="B5676" s="2205">
        <v>11820.73</v>
      </c>
    </row>
    <row r="5677" spans="1:2" x14ac:dyDescent="0.2">
      <c r="A5677" s="2205" t="s">
        <v>6296</v>
      </c>
      <c r="B5677" s="2205">
        <v>0</v>
      </c>
    </row>
    <row r="5678" spans="1:2" x14ac:dyDescent="0.2">
      <c r="A5678" s="2205" t="s">
        <v>6295</v>
      </c>
      <c r="B5678" s="2205">
        <v>-387546.57</v>
      </c>
    </row>
    <row r="5679" spans="1:2" x14ac:dyDescent="0.2">
      <c r="A5679" s="2205" t="s">
        <v>6294</v>
      </c>
      <c r="B5679" s="2205">
        <v>-719608.17</v>
      </c>
    </row>
    <row r="5680" spans="1:2" x14ac:dyDescent="0.2">
      <c r="A5680" s="2205" t="s">
        <v>6470</v>
      </c>
      <c r="B5680" s="2205">
        <v>0</v>
      </c>
    </row>
    <row r="5681" spans="1:2" x14ac:dyDescent="0.2">
      <c r="A5681" s="2205" t="s">
        <v>11691</v>
      </c>
      <c r="B5681" s="2205">
        <v>-203183.97</v>
      </c>
    </row>
    <row r="5682" spans="1:2" x14ac:dyDescent="0.2">
      <c r="A5682" s="2205" t="s">
        <v>11692</v>
      </c>
      <c r="B5682" s="2205">
        <v>0</v>
      </c>
    </row>
    <row r="5683" spans="1:2" x14ac:dyDescent="0.2">
      <c r="A5683" s="2205" t="s">
        <v>786</v>
      </c>
      <c r="B5683" s="2205">
        <v>-22890</v>
      </c>
    </row>
    <row r="5684" spans="1:2" x14ac:dyDescent="0.2">
      <c r="A5684" s="2205" t="s">
        <v>11693</v>
      </c>
      <c r="B5684" s="2205">
        <v>-3475</v>
      </c>
    </row>
    <row r="5685" spans="1:2" x14ac:dyDescent="0.2">
      <c r="A5685" s="2205" t="s">
        <v>122</v>
      </c>
      <c r="B5685" s="2205">
        <v>-235656.36</v>
      </c>
    </row>
    <row r="5686" spans="1:2" x14ac:dyDescent="0.2">
      <c r="A5686" s="2205" t="s">
        <v>123</v>
      </c>
      <c r="B5686" s="2205">
        <v>-23640</v>
      </c>
    </row>
    <row r="5687" spans="1:2" x14ac:dyDescent="0.2">
      <c r="A5687" s="2205" t="s">
        <v>3801</v>
      </c>
      <c r="B5687" s="2205">
        <v>-2860</v>
      </c>
    </row>
    <row r="5688" spans="1:2" x14ac:dyDescent="0.2">
      <c r="A5688" s="2205" t="s">
        <v>124</v>
      </c>
      <c r="B5688" s="2205">
        <v>-216170.92</v>
      </c>
    </row>
    <row r="5689" spans="1:2" x14ac:dyDescent="0.2">
      <c r="A5689" s="2205" t="s">
        <v>559</v>
      </c>
      <c r="B5689" s="2205">
        <v>-9418</v>
      </c>
    </row>
    <row r="5690" spans="1:2" x14ac:dyDescent="0.2">
      <c r="A5690" s="2205" t="s">
        <v>2759</v>
      </c>
      <c r="B5690" s="2205">
        <v>-6030</v>
      </c>
    </row>
    <row r="5691" spans="1:2" x14ac:dyDescent="0.2">
      <c r="A5691" s="2205" t="s">
        <v>2760</v>
      </c>
      <c r="B5691" s="2205">
        <v>-108730.9</v>
      </c>
    </row>
    <row r="5692" spans="1:2" x14ac:dyDescent="0.2">
      <c r="A5692" s="2205" t="s">
        <v>5794</v>
      </c>
      <c r="B5692" s="2205">
        <v>0</v>
      </c>
    </row>
    <row r="5693" spans="1:2" x14ac:dyDescent="0.2">
      <c r="A5693" s="2205" t="s">
        <v>6846</v>
      </c>
      <c r="B5693" s="2205">
        <v>-27300</v>
      </c>
    </row>
    <row r="5694" spans="1:2" x14ac:dyDescent="0.2">
      <c r="A5694" s="2205" t="s">
        <v>2758</v>
      </c>
      <c r="B5694" s="2205">
        <v>-54793.5</v>
      </c>
    </row>
    <row r="5695" spans="1:2" x14ac:dyDescent="0.2">
      <c r="A5695" s="2205" t="s">
        <v>11694</v>
      </c>
      <c r="B5695" s="2205">
        <v>-13684</v>
      </c>
    </row>
    <row r="5696" spans="1:2" x14ac:dyDescent="0.2">
      <c r="A5696" s="2205" t="s">
        <v>490</v>
      </c>
      <c r="B5696" s="2205">
        <v>-407386.22</v>
      </c>
    </row>
    <row r="5697" spans="1:2" x14ac:dyDescent="0.2">
      <c r="A5697" s="2205" t="s">
        <v>11695</v>
      </c>
      <c r="B5697" s="2205">
        <v>-1208</v>
      </c>
    </row>
    <row r="5698" spans="1:2" x14ac:dyDescent="0.2">
      <c r="A5698" s="2205" t="s">
        <v>11696</v>
      </c>
      <c r="B5698" s="2205">
        <v>-840.9</v>
      </c>
    </row>
    <row r="5699" spans="1:2" x14ac:dyDescent="0.2">
      <c r="A5699" s="2205" t="s">
        <v>2319</v>
      </c>
      <c r="B5699" s="2205">
        <v>-273436.09999999998</v>
      </c>
    </row>
    <row r="5700" spans="1:2" x14ac:dyDescent="0.2">
      <c r="A5700" s="2205" t="s">
        <v>1299</v>
      </c>
      <c r="B5700" s="2205">
        <v>-120454.13</v>
      </c>
    </row>
    <row r="5701" spans="1:2" x14ac:dyDescent="0.2">
      <c r="A5701" s="2205" t="s">
        <v>2283</v>
      </c>
      <c r="B5701" s="2205">
        <v>-150888.17000000001</v>
      </c>
    </row>
    <row r="5702" spans="1:2" x14ac:dyDescent="0.2">
      <c r="A5702" s="2205" t="s">
        <v>2396</v>
      </c>
      <c r="B5702" s="2205">
        <v>-20718.5</v>
      </c>
    </row>
    <row r="5703" spans="1:2" x14ac:dyDescent="0.2">
      <c r="A5703" s="2205" t="s">
        <v>2397</v>
      </c>
      <c r="B5703" s="2205">
        <v>-16812</v>
      </c>
    </row>
    <row r="5704" spans="1:2" x14ac:dyDescent="0.2">
      <c r="A5704" s="2205" t="s">
        <v>3802</v>
      </c>
      <c r="B5704" s="2205">
        <v>85</v>
      </c>
    </row>
    <row r="5705" spans="1:2" x14ac:dyDescent="0.2">
      <c r="A5705" s="2205" t="s">
        <v>11697</v>
      </c>
      <c r="B5705" s="2205">
        <v>-281.82</v>
      </c>
    </row>
    <row r="5706" spans="1:2" x14ac:dyDescent="0.2">
      <c r="A5706" s="2205" t="s">
        <v>11698</v>
      </c>
      <c r="B5706" s="2205">
        <v>-30064.880000000001</v>
      </c>
    </row>
    <row r="5707" spans="1:2" x14ac:dyDescent="0.2">
      <c r="A5707" s="2205" t="s">
        <v>2399</v>
      </c>
      <c r="B5707" s="2205">
        <v>-103641.18</v>
      </c>
    </row>
    <row r="5708" spans="1:2" x14ac:dyDescent="0.2">
      <c r="A5708" s="2205" t="s">
        <v>2949</v>
      </c>
      <c r="B5708" s="2205">
        <v>5897.72</v>
      </c>
    </row>
    <row r="5709" spans="1:2" x14ac:dyDescent="0.2">
      <c r="A5709" s="2205" t="s">
        <v>296</v>
      </c>
      <c r="B5709" s="2205">
        <v>0</v>
      </c>
    </row>
    <row r="5710" spans="1:2" x14ac:dyDescent="0.2">
      <c r="A5710" s="2205" t="s">
        <v>1387</v>
      </c>
      <c r="B5710" s="2205">
        <v>-10565.88</v>
      </c>
    </row>
    <row r="5711" spans="1:2" x14ac:dyDescent="0.2">
      <c r="A5711" s="2205" t="s">
        <v>1465</v>
      </c>
      <c r="B5711" s="2205">
        <v>-1722.72</v>
      </c>
    </row>
    <row r="5712" spans="1:2" x14ac:dyDescent="0.2">
      <c r="A5712" s="2205" t="s">
        <v>1466</v>
      </c>
      <c r="B5712" s="2205">
        <v>-981.82</v>
      </c>
    </row>
    <row r="5713" spans="1:2" x14ac:dyDescent="0.2">
      <c r="A5713" s="2205" t="s">
        <v>7020</v>
      </c>
      <c r="B5713" s="2205">
        <v>-1424</v>
      </c>
    </row>
    <row r="5714" spans="1:2" x14ac:dyDescent="0.2">
      <c r="A5714" s="2205" t="s">
        <v>76</v>
      </c>
      <c r="B5714" s="2205">
        <v>-54090</v>
      </c>
    </row>
    <row r="5715" spans="1:2" x14ac:dyDescent="0.2">
      <c r="A5715" s="2205" t="s">
        <v>2398</v>
      </c>
      <c r="B5715" s="2205">
        <v>-22281.77</v>
      </c>
    </row>
    <row r="5716" spans="1:2" x14ac:dyDescent="0.2">
      <c r="A5716" s="2205" t="s">
        <v>297</v>
      </c>
      <c r="B5716" s="2205">
        <v>-413.64</v>
      </c>
    </row>
    <row r="5717" spans="1:2" x14ac:dyDescent="0.2">
      <c r="A5717" s="2205" t="s">
        <v>1388</v>
      </c>
      <c r="B5717" s="2205">
        <v>509.09</v>
      </c>
    </row>
    <row r="5718" spans="1:2" x14ac:dyDescent="0.2">
      <c r="A5718" s="2205" t="s">
        <v>825</v>
      </c>
      <c r="B5718" s="2205">
        <v>-6551.2</v>
      </c>
    </row>
    <row r="5719" spans="1:2" x14ac:dyDescent="0.2">
      <c r="A5719" s="2205" t="s">
        <v>637</v>
      </c>
      <c r="B5719" s="2205">
        <v>-14346</v>
      </c>
    </row>
    <row r="5720" spans="1:2" x14ac:dyDescent="0.2">
      <c r="A5720" s="2205" t="s">
        <v>1300</v>
      </c>
      <c r="B5720" s="2205">
        <v>-227368.4</v>
      </c>
    </row>
    <row r="5721" spans="1:2" x14ac:dyDescent="0.2">
      <c r="A5721" s="2205" t="s">
        <v>7021</v>
      </c>
      <c r="B5721" s="2205">
        <v>-20775</v>
      </c>
    </row>
    <row r="5722" spans="1:2" x14ac:dyDescent="0.2">
      <c r="A5722" s="2205" t="s">
        <v>371</v>
      </c>
      <c r="B5722" s="2205">
        <v>-1650</v>
      </c>
    </row>
    <row r="5723" spans="1:2" x14ac:dyDescent="0.2">
      <c r="A5723" s="2205" t="s">
        <v>1390</v>
      </c>
      <c r="B5723" s="2205">
        <v>-552</v>
      </c>
    </row>
    <row r="5724" spans="1:2" x14ac:dyDescent="0.2">
      <c r="A5724" s="2205" t="s">
        <v>1918</v>
      </c>
      <c r="B5724" s="2205">
        <v>-4140</v>
      </c>
    </row>
    <row r="5725" spans="1:2" x14ac:dyDescent="0.2">
      <c r="A5725" s="2205" t="s">
        <v>937</v>
      </c>
      <c r="B5725" s="2205">
        <v>-97934</v>
      </c>
    </row>
    <row r="5726" spans="1:2" x14ac:dyDescent="0.2">
      <c r="A5726" s="2205" t="s">
        <v>1391</v>
      </c>
      <c r="B5726" s="2205">
        <v>-9345</v>
      </c>
    </row>
    <row r="5727" spans="1:2" x14ac:dyDescent="0.2">
      <c r="A5727" s="2205" t="s">
        <v>851</v>
      </c>
      <c r="B5727" s="2205">
        <v>0</v>
      </c>
    </row>
    <row r="5728" spans="1:2" x14ac:dyDescent="0.2">
      <c r="A5728" s="2205" t="s">
        <v>852</v>
      </c>
      <c r="B5728" s="2205">
        <v>-1922</v>
      </c>
    </row>
    <row r="5729" spans="1:2" x14ac:dyDescent="0.2">
      <c r="A5729" s="2205" t="s">
        <v>6335</v>
      </c>
      <c r="B5729" s="2205">
        <v>-21492</v>
      </c>
    </row>
    <row r="5730" spans="1:2" x14ac:dyDescent="0.2">
      <c r="A5730" s="2205" t="s">
        <v>2705</v>
      </c>
      <c r="B5730" s="2205">
        <v>-159973.29999999999</v>
      </c>
    </row>
    <row r="5731" spans="1:2" x14ac:dyDescent="0.2">
      <c r="A5731" s="2205" t="s">
        <v>11699</v>
      </c>
      <c r="B5731" s="2205">
        <v>-3388.5</v>
      </c>
    </row>
    <row r="5732" spans="1:2" x14ac:dyDescent="0.2">
      <c r="A5732" s="2205" t="s">
        <v>819</v>
      </c>
      <c r="B5732" s="2205">
        <v>-311833.3</v>
      </c>
    </row>
    <row r="5733" spans="1:2" x14ac:dyDescent="0.2">
      <c r="A5733" s="2205" t="s">
        <v>1232</v>
      </c>
      <c r="B5733" s="2205">
        <v>-26386.3</v>
      </c>
    </row>
    <row r="5734" spans="1:2" x14ac:dyDescent="0.2">
      <c r="A5734" s="2205" t="s">
        <v>1233</v>
      </c>
      <c r="B5734" s="2205">
        <v>-5586</v>
      </c>
    </row>
    <row r="5735" spans="1:2" x14ac:dyDescent="0.2">
      <c r="A5735" s="2205" t="s">
        <v>1235</v>
      </c>
      <c r="B5735" s="2205">
        <v>-1820</v>
      </c>
    </row>
    <row r="5736" spans="1:2" x14ac:dyDescent="0.2">
      <c r="A5736" s="2205" t="s">
        <v>2259</v>
      </c>
      <c r="B5736" s="2205">
        <v>-46513</v>
      </c>
    </row>
    <row r="5737" spans="1:2" x14ac:dyDescent="0.2">
      <c r="A5737" s="2205" t="s">
        <v>11700</v>
      </c>
      <c r="B5737" s="2205">
        <v>-470</v>
      </c>
    </row>
    <row r="5738" spans="1:2" x14ac:dyDescent="0.2">
      <c r="A5738" s="2205" t="s">
        <v>316</v>
      </c>
      <c r="B5738" s="2205">
        <v>-130641.87</v>
      </c>
    </row>
    <row r="5739" spans="1:2" x14ac:dyDescent="0.2">
      <c r="A5739" s="2205" t="s">
        <v>11701</v>
      </c>
      <c r="B5739" s="2205">
        <v>-1380</v>
      </c>
    </row>
    <row r="5740" spans="1:2" x14ac:dyDescent="0.2">
      <c r="A5740" s="2205" t="s">
        <v>923</v>
      </c>
      <c r="B5740" s="2205">
        <v>-6996</v>
      </c>
    </row>
    <row r="5741" spans="1:2" x14ac:dyDescent="0.2">
      <c r="A5741" s="2205" t="s">
        <v>11702</v>
      </c>
      <c r="B5741" s="2205">
        <v>-53159.14</v>
      </c>
    </row>
    <row r="5742" spans="1:2" x14ac:dyDescent="0.2">
      <c r="A5742" s="2205" t="s">
        <v>2646</v>
      </c>
      <c r="B5742" s="2205">
        <v>-94565</v>
      </c>
    </row>
    <row r="5743" spans="1:2" x14ac:dyDescent="0.2">
      <c r="A5743" s="2205" t="s">
        <v>370</v>
      </c>
      <c r="B5743" s="2205">
        <v>-9615</v>
      </c>
    </row>
    <row r="5744" spans="1:2" x14ac:dyDescent="0.2">
      <c r="A5744" s="2205" t="s">
        <v>372</v>
      </c>
      <c r="B5744" s="2205">
        <v>-735</v>
      </c>
    </row>
    <row r="5745" spans="1:2" x14ac:dyDescent="0.2">
      <c r="A5745" s="2205" t="s">
        <v>11703</v>
      </c>
      <c r="B5745" s="2205">
        <v>0</v>
      </c>
    </row>
    <row r="5746" spans="1:2" x14ac:dyDescent="0.2">
      <c r="A5746" s="2205" t="s">
        <v>1375</v>
      </c>
      <c r="B5746" s="2205">
        <v>-9633</v>
      </c>
    </row>
    <row r="5747" spans="1:2" x14ac:dyDescent="0.2">
      <c r="A5747" s="2205" t="s">
        <v>5800</v>
      </c>
      <c r="B5747" s="2205">
        <v>-899.93</v>
      </c>
    </row>
    <row r="5748" spans="1:2" x14ac:dyDescent="0.2">
      <c r="A5748" s="2205" t="s">
        <v>2835</v>
      </c>
      <c r="B5748" s="2205">
        <v>-572341.54</v>
      </c>
    </row>
    <row r="5749" spans="1:2" x14ac:dyDescent="0.2">
      <c r="A5749" s="2205" t="s">
        <v>1417</v>
      </c>
      <c r="B5749" s="2205">
        <v>-636810.16</v>
      </c>
    </row>
    <row r="5750" spans="1:2" x14ac:dyDescent="0.2">
      <c r="A5750" s="2205" t="s">
        <v>1091</v>
      </c>
      <c r="B5750" s="2205">
        <v>-5679990.6200000001</v>
      </c>
    </row>
    <row r="5751" spans="1:2" x14ac:dyDescent="0.2">
      <c r="A5751" s="2205" t="s">
        <v>6454</v>
      </c>
      <c r="B5751" s="2205">
        <v>-10225.799999999999</v>
      </c>
    </row>
    <row r="5752" spans="1:2" x14ac:dyDescent="0.2">
      <c r="A5752" s="2205" t="s">
        <v>6455</v>
      </c>
      <c r="B5752" s="2205">
        <v>-42.75</v>
      </c>
    </row>
    <row r="5753" spans="1:2" x14ac:dyDescent="0.2">
      <c r="A5753" s="2205" t="s">
        <v>1092</v>
      </c>
      <c r="B5753" s="2205">
        <v>-1960373.75</v>
      </c>
    </row>
    <row r="5754" spans="1:2" x14ac:dyDescent="0.2">
      <c r="A5754" s="2205" t="s">
        <v>11704</v>
      </c>
      <c r="B5754" s="2205">
        <v>-77668.789999999994</v>
      </c>
    </row>
    <row r="5755" spans="1:2" x14ac:dyDescent="0.2">
      <c r="A5755" s="2205" t="s">
        <v>2702</v>
      </c>
      <c r="B5755" s="2205">
        <v>-41998.75</v>
      </c>
    </row>
    <row r="5756" spans="1:2" x14ac:dyDescent="0.2">
      <c r="A5756" s="2205" t="s">
        <v>2701</v>
      </c>
      <c r="B5756" s="2205">
        <v>-1175076.26</v>
      </c>
    </row>
    <row r="5757" spans="1:2" x14ac:dyDescent="0.2">
      <c r="A5757" s="2205" t="s">
        <v>4182</v>
      </c>
      <c r="B5757" s="2205">
        <v>-121606.31</v>
      </c>
    </row>
    <row r="5758" spans="1:2" x14ac:dyDescent="0.2">
      <c r="A5758" s="2205" t="s">
        <v>2703</v>
      </c>
      <c r="B5758" s="2205">
        <v>-363.66</v>
      </c>
    </row>
    <row r="5759" spans="1:2" x14ac:dyDescent="0.2">
      <c r="A5759" s="2205" t="s">
        <v>2704</v>
      </c>
      <c r="B5759" s="2205">
        <v>-19595</v>
      </c>
    </row>
    <row r="5760" spans="1:2" x14ac:dyDescent="0.2">
      <c r="A5760" s="2205" t="s">
        <v>1957</v>
      </c>
      <c r="B5760" s="2205">
        <v>0</v>
      </c>
    </row>
    <row r="5761" spans="1:2" x14ac:dyDescent="0.2">
      <c r="A5761" s="2205" t="s">
        <v>1199</v>
      </c>
      <c r="B5761" s="2205">
        <v>-86182.27</v>
      </c>
    </row>
    <row r="5762" spans="1:2" x14ac:dyDescent="0.2">
      <c r="A5762" s="2205" t="s">
        <v>2119</v>
      </c>
      <c r="B5762" s="2205">
        <v>-8011.05</v>
      </c>
    </row>
    <row r="5763" spans="1:2" x14ac:dyDescent="0.2">
      <c r="A5763" s="2205" t="s">
        <v>1198</v>
      </c>
      <c r="B5763" s="2205">
        <v>-93625.27</v>
      </c>
    </row>
    <row r="5764" spans="1:2" x14ac:dyDescent="0.2">
      <c r="A5764" s="2205" t="s">
        <v>2120</v>
      </c>
      <c r="B5764" s="2205">
        <v>-51589.99</v>
      </c>
    </row>
    <row r="5765" spans="1:2" x14ac:dyDescent="0.2">
      <c r="A5765" s="2205" t="s">
        <v>2118</v>
      </c>
      <c r="B5765" s="2205">
        <v>-196007.82</v>
      </c>
    </row>
    <row r="5766" spans="1:2" x14ac:dyDescent="0.2">
      <c r="A5766" s="2205" t="s">
        <v>1895</v>
      </c>
      <c r="B5766" s="2205">
        <v>-92175.32</v>
      </c>
    </row>
    <row r="5767" spans="1:2" x14ac:dyDescent="0.2">
      <c r="A5767" s="2205" t="s">
        <v>1896</v>
      </c>
      <c r="B5767" s="2205">
        <v>-10019.27</v>
      </c>
    </row>
    <row r="5768" spans="1:2" x14ac:dyDescent="0.2">
      <c r="A5768" s="2205" t="s">
        <v>894</v>
      </c>
      <c r="B5768" s="2205">
        <v>-381474.5</v>
      </c>
    </row>
    <row r="5769" spans="1:2" x14ac:dyDescent="0.2">
      <c r="A5769" s="2205" t="s">
        <v>2249</v>
      </c>
      <c r="B5769" s="2205">
        <v>-452556.77</v>
      </c>
    </row>
    <row r="5770" spans="1:2" x14ac:dyDescent="0.2">
      <c r="A5770" s="2205" t="s">
        <v>2190</v>
      </c>
      <c r="B5770" s="2205">
        <v>-402374.32</v>
      </c>
    </row>
    <row r="5771" spans="1:2" x14ac:dyDescent="0.2">
      <c r="A5771" s="2205" t="s">
        <v>2998</v>
      </c>
      <c r="B5771" s="2205">
        <v>-45827.03</v>
      </c>
    </row>
    <row r="5772" spans="1:2" x14ac:dyDescent="0.2">
      <c r="A5772" s="2205" t="s">
        <v>2531</v>
      </c>
      <c r="B5772" s="2205">
        <v>-87022.42</v>
      </c>
    </row>
    <row r="5773" spans="1:2" x14ac:dyDescent="0.2">
      <c r="A5773" s="2205" t="s">
        <v>3090</v>
      </c>
      <c r="B5773" s="2205">
        <v>-49694.7</v>
      </c>
    </row>
    <row r="5774" spans="1:2" x14ac:dyDescent="0.2">
      <c r="A5774" s="2205" t="s">
        <v>11705</v>
      </c>
      <c r="B5774" s="2205">
        <v>-25167.39</v>
      </c>
    </row>
    <row r="5775" spans="1:2" x14ac:dyDescent="0.2">
      <c r="A5775" s="2205" t="s">
        <v>2016</v>
      </c>
      <c r="B5775" s="2205">
        <v>-64077.07</v>
      </c>
    </row>
    <row r="5776" spans="1:2" x14ac:dyDescent="0.2">
      <c r="A5776" s="2205" t="s">
        <v>11706</v>
      </c>
      <c r="B5776" s="2205">
        <v>-8487.85</v>
      </c>
    </row>
    <row r="5777" spans="1:2" x14ac:dyDescent="0.2">
      <c r="A5777" s="2205" t="s">
        <v>1237</v>
      </c>
      <c r="B5777" s="2205">
        <v>0</v>
      </c>
    </row>
    <row r="5778" spans="1:2" x14ac:dyDescent="0.2">
      <c r="A5778" s="2205" t="s">
        <v>1236</v>
      </c>
      <c r="B5778" s="2205">
        <v>-1567.82</v>
      </c>
    </row>
    <row r="5779" spans="1:2" x14ac:dyDescent="0.2">
      <c r="A5779" s="2205" t="s">
        <v>239</v>
      </c>
      <c r="B5779" s="2205">
        <v>-11009.8</v>
      </c>
    </row>
    <row r="5780" spans="1:2" x14ac:dyDescent="0.2">
      <c r="A5780" s="2205" t="s">
        <v>2476</v>
      </c>
      <c r="B5780" s="2205">
        <v>-17722.099999999999</v>
      </c>
    </row>
    <row r="5781" spans="1:2" x14ac:dyDescent="0.2">
      <c r="A5781" s="2205" t="s">
        <v>3078</v>
      </c>
      <c r="B5781" s="2205">
        <v>-23813.78</v>
      </c>
    </row>
    <row r="5782" spans="1:2" x14ac:dyDescent="0.2">
      <c r="A5782" s="2205" t="s">
        <v>1590</v>
      </c>
      <c r="B5782" s="2205">
        <v>-3352353.84</v>
      </c>
    </row>
    <row r="5783" spans="1:2" x14ac:dyDescent="0.2">
      <c r="A5783" s="2205" t="s">
        <v>1425</v>
      </c>
      <c r="B5783" s="2205">
        <v>-60144</v>
      </c>
    </row>
    <row r="5784" spans="1:2" x14ac:dyDescent="0.2">
      <c r="A5784" s="2205" t="s">
        <v>11707</v>
      </c>
      <c r="B5784" s="2205">
        <v>0</v>
      </c>
    </row>
    <row r="5785" spans="1:2" x14ac:dyDescent="0.2">
      <c r="A5785" s="2205" t="s">
        <v>11708</v>
      </c>
      <c r="B5785" s="2205">
        <v>-372.73</v>
      </c>
    </row>
    <row r="5786" spans="1:2" x14ac:dyDescent="0.2">
      <c r="A5786" s="2205" t="s">
        <v>11709</v>
      </c>
      <c r="B5786" s="2205">
        <v>-545.45000000000005</v>
      </c>
    </row>
    <row r="5787" spans="1:2" x14ac:dyDescent="0.2">
      <c r="A5787" s="2205" t="s">
        <v>11710</v>
      </c>
      <c r="B5787" s="2205">
        <v>-4505.1000000000004</v>
      </c>
    </row>
    <row r="5788" spans="1:2" x14ac:dyDescent="0.2">
      <c r="A5788" s="2205" t="s">
        <v>2983</v>
      </c>
      <c r="B5788" s="2205">
        <v>0</v>
      </c>
    </row>
    <row r="5789" spans="1:2" x14ac:dyDescent="0.2">
      <c r="A5789" s="2205" t="s">
        <v>11711</v>
      </c>
      <c r="B5789" s="2205">
        <v>0</v>
      </c>
    </row>
    <row r="5790" spans="1:2" x14ac:dyDescent="0.2">
      <c r="A5790" s="2205" t="s">
        <v>11712</v>
      </c>
      <c r="B5790" s="2205">
        <v>0</v>
      </c>
    </row>
    <row r="5791" spans="1:2" x14ac:dyDescent="0.2">
      <c r="A5791" s="2205" t="s">
        <v>11713</v>
      </c>
      <c r="B5791" s="2205">
        <v>0</v>
      </c>
    </row>
    <row r="5792" spans="1:2" x14ac:dyDescent="0.2">
      <c r="A5792" s="2205" t="s">
        <v>11714</v>
      </c>
      <c r="B5792" s="2205">
        <v>2583.5500000000002</v>
      </c>
    </row>
    <row r="5793" spans="1:2" x14ac:dyDescent="0.2">
      <c r="A5793" s="2205" t="s">
        <v>11715</v>
      </c>
      <c r="B5793" s="2205">
        <v>-871.24</v>
      </c>
    </row>
    <row r="5794" spans="1:2" x14ac:dyDescent="0.2">
      <c r="A5794" s="2205" t="s">
        <v>11716</v>
      </c>
      <c r="B5794" s="2205">
        <v>0</v>
      </c>
    </row>
    <row r="5795" spans="1:2" x14ac:dyDescent="0.2">
      <c r="A5795" s="2205" t="s">
        <v>11717</v>
      </c>
      <c r="B5795" s="2205">
        <v>-5818.18</v>
      </c>
    </row>
    <row r="5796" spans="1:2" x14ac:dyDescent="0.2">
      <c r="A5796" s="2205" t="s">
        <v>11718</v>
      </c>
      <c r="B5796" s="2205">
        <v>-2602.8000000000002</v>
      </c>
    </row>
    <row r="5797" spans="1:2" x14ac:dyDescent="0.2">
      <c r="A5797" s="2205" t="s">
        <v>11719</v>
      </c>
      <c r="B5797" s="2205">
        <v>-8042.73</v>
      </c>
    </row>
    <row r="5798" spans="1:2" x14ac:dyDescent="0.2">
      <c r="A5798" s="2205" t="s">
        <v>11720</v>
      </c>
      <c r="B5798" s="2205">
        <v>-24540.91</v>
      </c>
    </row>
    <row r="5799" spans="1:2" x14ac:dyDescent="0.2">
      <c r="A5799" s="2205" t="s">
        <v>11721</v>
      </c>
      <c r="B5799" s="2205">
        <v>-2990.45</v>
      </c>
    </row>
    <row r="5800" spans="1:2" x14ac:dyDescent="0.2">
      <c r="A5800" s="2205" t="s">
        <v>11722</v>
      </c>
      <c r="B5800" s="2205">
        <v>-4918.95</v>
      </c>
    </row>
    <row r="5801" spans="1:2" x14ac:dyDescent="0.2">
      <c r="A5801" s="2205" t="s">
        <v>11723</v>
      </c>
      <c r="B5801" s="2205">
        <v>-2892.25</v>
      </c>
    </row>
    <row r="5802" spans="1:2" x14ac:dyDescent="0.2">
      <c r="A5802" s="2205" t="s">
        <v>11724</v>
      </c>
      <c r="B5802" s="2205">
        <v>-1014.19</v>
      </c>
    </row>
    <row r="5803" spans="1:2" x14ac:dyDescent="0.2">
      <c r="A5803" s="2205" t="s">
        <v>11725</v>
      </c>
      <c r="B5803" s="2205">
        <v>-6350</v>
      </c>
    </row>
    <row r="5804" spans="1:2" x14ac:dyDescent="0.2">
      <c r="A5804" s="2205" t="s">
        <v>11726</v>
      </c>
      <c r="B5804" s="2205">
        <v>-2158.64</v>
      </c>
    </row>
    <row r="5805" spans="1:2" x14ac:dyDescent="0.2">
      <c r="A5805" s="2205" t="s">
        <v>11727</v>
      </c>
      <c r="B5805" s="2205">
        <v>-15010</v>
      </c>
    </row>
    <row r="5806" spans="1:2" x14ac:dyDescent="0.2">
      <c r="A5806" s="2205" t="s">
        <v>11728</v>
      </c>
      <c r="B5806" s="2205">
        <v>-2679.92</v>
      </c>
    </row>
    <row r="5807" spans="1:2" x14ac:dyDescent="0.2">
      <c r="A5807" s="2205" t="s">
        <v>11729</v>
      </c>
      <c r="B5807" s="2205">
        <v>-3518.49</v>
      </c>
    </row>
    <row r="5808" spans="1:2" x14ac:dyDescent="0.2">
      <c r="A5808" s="2205" t="s">
        <v>11730</v>
      </c>
      <c r="B5808" s="2205">
        <v>-1832.92</v>
      </c>
    </row>
    <row r="5809" spans="1:2" x14ac:dyDescent="0.2">
      <c r="A5809" s="2205" t="s">
        <v>11731</v>
      </c>
      <c r="B5809" s="2205">
        <v>-537.59</v>
      </c>
    </row>
    <row r="5810" spans="1:2" x14ac:dyDescent="0.2">
      <c r="A5810" s="2205" t="s">
        <v>11732</v>
      </c>
      <c r="B5810" s="2205">
        <v>-514.53</v>
      </c>
    </row>
    <row r="5811" spans="1:2" x14ac:dyDescent="0.2">
      <c r="A5811" s="2205" t="s">
        <v>11733</v>
      </c>
      <c r="B5811" s="2205">
        <v>-4397.3599999999997</v>
      </c>
    </row>
    <row r="5812" spans="1:2" x14ac:dyDescent="0.2">
      <c r="A5812" s="2205" t="s">
        <v>11734</v>
      </c>
      <c r="B5812" s="2205">
        <v>-1167.8599999999999</v>
      </c>
    </row>
    <row r="5813" spans="1:2" x14ac:dyDescent="0.2">
      <c r="A5813" s="2205" t="s">
        <v>11735</v>
      </c>
      <c r="B5813" s="2205">
        <v>-2954.67</v>
      </c>
    </row>
    <row r="5814" spans="1:2" x14ac:dyDescent="0.2">
      <c r="A5814" s="2205" t="s">
        <v>11736</v>
      </c>
      <c r="B5814" s="2205">
        <v>-12714</v>
      </c>
    </row>
    <row r="5815" spans="1:2" x14ac:dyDescent="0.2">
      <c r="A5815" s="2205" t="s">
        <v>11737</v>
      </c>
      <c r="B5815" s="2205">
        <v>-33683.99</v>
      </c>
    </row>
    <row r="5816" spans="1:2" x14ac:dyDescent="0.2">
      <c r="A5816" s="2205" t="s">
        <v>11738</v>
      </c>
      <c r="B5816" s="2205">
        <v>-793.5</v>
      </c>
    </row>
    <row r="5817" spans="1:2" x14ac:dyDescent="0.2">
      <c r="A5817" s="2205" t="s">
        <v>11739</v>
      </c>
      <c r="B5817" s="2205">
        <v>-604.54999999999995</v>
      </c>
    </row>
    <row r="5818" spans="1:2" x14ac:dyDescent="0.2">
      <c r="A5818" s="2205" t="s">
        <v>11740</v>
      </c>
      <c r="B5818" s="2205">
        <v>-290.91000000000003</v>
      </c>
    </row>
    <row r="5819" spans="1:2" x14ac:dyDescent="0.2">
      <c r="A5819" s="2205" t="s">
        <v>11741</v>
      </c>
      <c r="B5819" s="2205">
        <v>-160</v>
      </c>
    </row>
    <row r="5820" spans="1:2" x14ac:dyDescent="0.2">
      <c r="A5820" s="2205" t="s">
        <v>11742</v>
      </c>
      <c r="B5820" s="2205">
        <v>6798.58</v>
      </c>
    </row>
    <row r="5821" spans="1:2" x14ac:dyDescent="0.2">
      <c r="A5821" s="2205" t="s">
        <v>11743</v>
      </c>
      <c r="B5821" s="2205">
        <v>-52044.47</v>
      </c>
    </row>
    <row r="5822" spans="1:2" x14ac:dyDescent="0.2">
      <c r="A5822" s="2205" t="s">
        <v>11744</v>
      </c>
      <c r="B5822" s="2205">
        <v>0</v>
      </c>
    </row>
    <row r="5823" spans="1:2" x14ac:dyDescent="0.2">
      <c r="A5823" s="2205" t="s">
        <v>11745</v>
      </c>
      <c r="B5823" s="2205">
        <v>-13586.06</v>
      </c>
    </row>
    <row r="5824" spans="1:2" x14ac:dyDescent="0.2">
      <c r="A5824" s="2205" t="s">
        <v>11746</v>
      </c>
      <c r="B5824" s="2205">
        <v>-4412.24</v>
      </c>
    </row>
    <row r="5825" spans="1:2" x14ac:dyDescent="0.2">
      <c r="A5825" s="2205" t="s">
        <v>11747</v>
      </c>
      <c r="B5825" s="2205">
        <v>-800</v>
      </c>
    </row>
    <row r="5826" spans="1:2" x14ac:dyDescent="0.2">
      <c r="A5826" s="2205" t="s">
        <v>4176</v>
      </c>
      <c r="B5826" s="2205">
        <v>0</v>
      </c>
    </row>
    <row r="5827" spans="1:2" x14ac:dyDescent="0.2">
      <c r="A5827" s="2205" t="s">
        <v>11748</v>
      </c>
      <c r="B5827" s="2205">
        <v>-6740.49</v>
      </c>
    </row>
    <row r="5828" spans="1:2" x14ac:dyDescent="0.2">
      <c r="A5828" s="2205" t="s">
        <v>11749</v>
      </c>
      <c r="B5828" s="2205">
        <v>-9451.59</v>
      </c>
    </row>
    <row r="5829" spans="1:2" x14ac:dyDescent="0.2">
      <c r="A5829" s="2205" t="s">
        <v>11750</v>
      </c>
      <c r="B5829" s="2205">
        <v>-1611.94</v>
      </c>
    </row>
    <row r="5830" spans="1:2" x14ac:dyDescent="0.2">
      <c r="A5830" s="2205" t="s">
        <v>11751</v>
      </c>
      <c r="B5830" s="2205">
        <v>-10254.549999999999</v>
      </c>
    </row>
    <row r="5831" spans="1:2" x14ac:dyDescent="0.2">
      <c r="A5831" s="2205" t="s">
        <v>1708</v>
      </c>
      <c r="B5831" s="2205">
        <v>-87348.800000000003</v>
      </c>
    </row>
    <row r="5832" spans="1:2" x14ac:dyDescent="0.2">
      <c r="A5832" s="2205" t="s">
        <v>11752</v>
      </c>
      <c r="B5832" s="2205">
        <v>-1479350.12</v>
      </c>
    </row>
    <row r="5833" spans="1:2" x14ac:dyDescent="0.2">
      <c r="A5833" s="2205" t="s">
        <v>11753</v>
      </c>
      <c r="B5833" s="2205">
        <v>0</v>
      </c>
    </row>
    <row r="5834" spans="1:2" x14ac:dyDescent="0.2">
      <c r="A5834" s="2205" t="s">
        <v>2332</v>
      </c>
      <c r="B5834" s="2205">
        <v>-1375393.72</v>
      </c>
    </row>
    <row r="5835" spans="1:2" x14ac:dyDescent="0.2">
      <c r="A5835" s="2205" t="s">
        <v>1710</v>
      </c>
      <c r="B5835" s="2205">
        <v>-484298.08</v>
      </c>
    </row>
    <row r="5836" spans="1:2" x14ac:dyDescent="0.2">
      <c r="A5836" s="2205" t="s">
        <v>2614</v>
      </c>
      <c r="B5836" s="2205">
        <v>-39046.04</v>
      </c>
    </row>
    <row r="5837" spans="1:2" x14ac:dyDescent="0.2">
      <c r="A5837" s="2205" t="s">
        <v>1576</v>
      </c>
      <c r="B5837" s="2205">
        <v>-63095.81</v>
      </c>
    </row>
    <row r="5838" spans="1:2" x14ac:dyDescent="0.2">
      <c r="A5838" s="2205" t="s">
        <v>2333</v>
      </c>
      <c r="B5838" s="2205">
        <v>-9461.4</v>
      </c>
    </row>
    <row r="5839" spans="1:2" x14ac:dyDescent="0.2">
      <c r="A5839" s="2205" t="s">
        <v>2334</v>
      </c>
      <c r="B5839" s="2205">
        <v>-641204.9</v>
      </c>
    </row>
    <row r="5840" spans="1:2" x14ac:dyDescent="0.2">
      <c r="A5840" s="2205" t="s">
        <v>11754</v>
      </c>
      <c r="B5840" s="2205">
        <v>0</v>
      </c>
    </row>
    <row r="5841" spans="1:2" x14ac:dyDescent="0.2">
      <c r="A5841" s="2205" t="s">
        <v>2282</v>
      </c>
      <c r="B5841" s="2205">
        <v>-143147.35999999999</v>
      </c>
    </row>
    <row r="5842" spans="1:2" x14ac:dyDescent="0.2">
      <c r="A5842" s="2205" t="s">
        <v>4742</v>
      </c>
      <c r="B5842" s="2205">
        <v>-56984.51</v>
      </c>
    </row>
    <row r="5843" spans="1:2" x14ac:dyDescent="0.2">
      <c r="A5843" s="2205" t="s">
        <v>2331</v>
      </c>
      <c r="B5843" s="2205">
        <v>-73256.149999999994</v>
      </c>
    </row>
    <row r="5844" spans="1:2" x14ac:dyDescent="0.2">
      <c r="A5844" s="2205" t="s">
        <v>11755</v>
      </c>
      <c r="B5844" s="2205">
        <v>-27857.41</v>
      </c>
    </row>
    <row r="5845" spans="1:2" x14ac:dyDescent="0.2">
      <c r="A5845" s="2205" t="s">
        <v>1709</v>
      </c>
      <c r="B5845" s="2205">
        <v>-47401.21</v>
      </c>
    </row>
    <row r="5846" spans="1:2" x14ac:dyDescent="0.2">
      <c r="A5846" s="2205" t="s">
        <v>1543</v>
      </c>
      <c r="B5846" s="2205">
        <v>-62058.32</v>
      </c>
    </row>
    <row r="5847" spans="1:2" x14ac:dyDescent="0.2">
      <c r="A5847" s="2205" t="s">
        <v>1577</v>
      </c>
      <c r="B5847" s="2205">
        <v>-24348.6</v>
      </c>
    </row>
    <row r="5848" spans="1:2" x14ac:dyDescent="0.2">
      <c r="A5848" s="2205" t="s">
        <v>6888</v>
      </c>
      <c r="B5848" s="2205">
        <v>-69330.28</v>
      </c>
    </row>
    <row r="5849" spans="1:2" x14ac:dyDescent="0.2">
      <c r="A5849" s="2205" t="s">
        <v>11756</v>
      </c>
      <c r="B5849" s="2205">
        <v>-758508.24</v>
      </c>
    </row>
    <row r="5850" spans="1:2" x14ac:dyDescent="0.2">
      <c r="A5850" s="2205" t="s">
        <v>11757</v>
      </c>
      <c r="B5850" s="2205">
        <v>-99327.06</v>
      </c>
    </row>
    <row r="5851" spans="1:2" x14ac:dyDescent="0.2">
      <c r="A5851" s="2205" t="s">
        <v>1171</v>
      </c>
      <c r="B5851" s="2205">
        <v>-16426.810000000001</v>
      </c>
    </row>
    <row r="5852" spans="1:2" x14ac:dyDescent="0.2">
      <c r="A5852" s="2205" t="s">
        <v>3938</v>
      </c>
      <c r="B5852" s="2205">
        <v>-10310</v>
      </c>
    </row>
    <row r="5853" spans="1:2" x14ac:dyDescent="0.2">
      <c r="A5853" s="2205" t="s">
        <v>4170</v>
      </c>
      <c r="B5853" s="2205">
        <v>-2597.0100000000002</v>
      </c>
    </row>
    <row r="5854" spans="1:2" x14ac:dyDescent="0.2">
      <c r="A5854" s="2205" t="s">
        <v>11758</v>
      </c>
      <c r="B5854" s="2205">
        <v>-5566.88</v>
      </c>
    </row>
    <row r="5855" spans="1:2" x14ac:dyDescent="0.2">
      <c r="A5855" s="2205" t="s">
        <v>2979</v>
      </c>
      <c r="B5855" s="2205">
        <v>-14000.76</v>
      </c>
    </row>
    <row r="5856" spans="1:2" x14ac:dyDescent="0.2">
      <c r="A5856" s="2205" t="s">
        <v>11759</v>
      </c>
      <c r="B5856" s="2205">
        <v>-116.36</v>
      </c>
    </row>
    <row r="5857" spans="1:2" x14ac:dyDescent="0.2">
      <c r="A5857" s="2205" t="s">
        <v>2436</v>
      </c>
      <c r="B5857" s="2205">
        <v>-2636.89</v>
      </c>
    </row>
    <row r="5858" spans="1:2" x14ac:dyDescent="0.2">
      <c r="A5858" s="2205" t="s">
        <v>11760</v>
      </c>
      <c r="B5858" s="2205">
        <v>-225637.23</v>
      </c>
    </row>
    <row r="5859" spans="1:2" x14ac:dyDescent="0.2">
      <c r="A5859" s="2205" t="s">
        <v>841</v>
      </c>
      <c r="B5859" s="2205">
        <v>-5354.11</v>
      </c>
    </row>
    <row r="5860" spans="1:2" x14ac:dyDescent="0.2">
      <c r="A5860" s="2205" t="s">
        <v>2792</v>
      </c>
      <c r="B5860" s="2205">
        <v>-573.58000000000004</v>
      </c>
    </row>
    <row r="5861" spans="1:2" x14ac:dyDescent="0.2">
      <c r="A5861" s="2205" t="s">
        <v>11761</v>
      </c>
      <c r="B5861" s="2205">
        <v>79.489999999999995</v>
      </c>
    </row>
    <row r="5862" spans="1:2" x14ac:dyDescent="0.2">
      <c r="A5862" s="2205" t="s">
        <v>4185</v>
      </c>
      <c r="B5862" s="2205">
        <v>0</v>
      </c>
    </row>
    <row r="5863" spans="1:2" x14ac:dyDescent="0.2">
      <c r="A5863" s="2205" t="s">
        <v>4187</v>
      </c>
      <c r="B5863" s="2205">
        <v>-833.48</v>
      </c>
    </row>
    <row r="5864" spans="1:2" x14ac:dyDescent="0.2">
      <c r="A5864" s="2205" t="s">
        <v>2647</v>
      </c>
      <c r="B5864" s="2205">
        <v>-3744</v>
      </c>
    </row>
    <row r="5865" spans="1:2" x14ac:dyDescent="0.2">
      <c r="A5865" s="2205" t="s">
        <v>2790</v>
      </c>
      <c r="B5865" s="2205">
        <v>-154</v>
      </c>
    </row>
    <row r="5866" spans="1:2" x14ac:dyDescent="0.2">
      <c r="A5866" s="2205" t="s">
        <v>3515</v>
      </c>
      <c r="B5866" s="2205">
        <v>-41547.17</v>
      </c>
    </row>
    <row r="5867" spans="1:2" x14ac:dyDescent="0.2">
      <c r="A5867" s="2205" t="s">
        <v>5988</v>
      </c>
      <c r="B5867" s="2205">
        <v>-9385.9</v>
      </c>
    </row>
    <row r="5868" spans="1:2" x14ac:dyDescent="0.2">
      <c r="A5868" s="2205" t="s">
        <v>2503</v>
      </c>
      <c r="B5868" s="2205">
        <v>-300</v>
      </c>
    </row>
    <row r="5869" spans="1:2" x14ac:dyDescent="0.2">
      <c r="A5869" s="2205" t="s">
        <v>2518</v>
      </c>
      <c r="B5869" s="2205">
        <v>-2475</v>
      </c>
    </row>
    <row r="5870" spans="1:2" x14ac:dyDescent="0.2">
      <c r="A5870" s="2205" t="s">
        <v>2721</v>
      </c>
      <c r="B5870" s="2205">
        <v>-1376</v>
      </c>
    </row>
    <row r="5871" spans="1:2" x14ac:dyDescent="0.2">
      <c r="A5871" s="2205" t="s">
        <v>2675</v>
      </c>
      <c r="B5871" s="2205">
        <v>-346790.57</v>
      </c>
    </row>
    <row r="5872" spans="1:2" x14ac:dyDescent="0.2">
      <c r="A5872" s="2205" t="s">
        <v>2676</v>
      </c>
      <c r="B5872" s="2205">
        <v>0</v>
      </c>
    </row>
    <row r="5873" spans="1:2" x14ac:dyDescent="0.2">
      <c r="A5873" s="2205" t="s">
        <v>1517</v>
      </c>
      <c r="B5873" s="2205">
        <v>-2473.0300000000002</v>
      </c>
    </row>
    <row r="5874" spans="1:2" x14ac:dyDescent="0.2">
      <c r="A5874" s="2205" t="s">
        <v>4169</v>
      </c>
      <c r="B5874" s="2205">
        <v>-11911.36</v>
      </c>
    </row>
    <row r="5875" spans="1:2" x14ac:dyDescent="0.2">
      <c r="A5875" s="2205" t="s">
        <v>3196</v>
      </c>
      <c r="B5875" s="2205">
        <v>-5569.51</v>
      </c>
    </row>
    <row r="5876" spans="1:2" x14ac:dyDescent="0.2">
      <c r="A5876" s="2205" t="s">
        <v>4186</v>
      </c>
      <c r="B5876" s="2205">
        <v>-25397.37</v>
      </c>
    </row>
    <row r="5877" spans="1:2" x14ac:dyDescent="0.2">
      <c r="A5877" s="2205" t="s">
        <v>20</v>
      </c>
      <c r="B5877" s="2205">
        <v>0</v>
      </c>
    </row>
    <row r="5878" spans="1:2" x14ac:dyDescent="0.2">
      <c r="A5878" s="2205" t="s">
        <v>3945</v>
      </c>
      <c r="B5878" s="2205">
        <v>-13346.77</v>
      </c>
    </row>
    <row r="5879" spans="1:2" x14ac:dyDescent="0.2">
      <c r="A5879" s="2205" t="s">
        <v>1747</v>
      </c>
      <c r="B5879" s="2205">
        <v>0</v>
      </c>
    </row>
    <row r="5880" spans="1:2" x14ac:dyDescent="0.2">
      <c r="A5880" s="2205" t="s">
        <v>3152</v>
      </c>
      <c r="B5880" s="2205">
        <v>-17880.66</v>
      </c>
    </row>
    <row r="5881" spans="1:2" x14ac:dyDescent="0.2">
      <c r="A5881" s="2205" t="s">
        <v>2677</v>
      </c>
      <c r="B5881" s="2205">
        <v>-1855.07</v>
      </c>
    </row>
    <row r="5882" spans="1:2" x14ac:dyDescent="0.2">
      <c r="A5882" s="2205" t="s">
        <v>441</v>
      </c>
      <c r="B5882" s="2205">
        <v>-3665.95</v>
      </c>
    </row>
    <row r="5883" spans="1:2" x14ac:dyDescent="0.2">
      <c r="A5883" s="2205" t="s">
        <v>2762</v>
      </c>
      <c r="B5883" s="2205">
        <v>-18597.66</v>
      </c>
    </row>
    <row r="5884" spans="1:2" x14ac:dyDescent="0.2">
      <c r="A5884" s="2205" t="s">
        <v>1230</v>
      </c>
      <c r="B5884" s="2205">
        <v>-2410.15</v>
      </c>
    </row>
    <row r="5885" spans="1:2" x14ac:dyDescent="0.2">
      <c r="A5885" s="2205" t="s">
        <v>2761</v>
      </c>
      <c r="B5885" s="2205">
        <v>0</v>
      </c>
    </row>
    <row r="5886" spans="1:2" x14ac:dyDescent="0.2">
      <c r="A5886" s="2205" t="s">
        <v>11762</v>
      </c>
      <c r="B5886" s="2205">
        <v>10193.9</v>
      </c>
    </row>
    <row r="5887" spans="1:2" x14ac:dyDescent="0.2">
      <c r="A5887" s="2205" t="s">
        <v>7238</v>
      </c>
      <c r="B5887" s="2205">
        <v>0</v>
      </c>
    </row>
    <row r="5888" spans="1:2" x14ac:dyDescent="0.2">
      <c r="A5888" s="2205" t="s">
        <v>6298</v>
      </c>
      <c r="B5888" s="2205">
        <v>0</v>
      </c>
    </row>
    <row r="5889" spans="1:2" x14ac:dyDescent="0.2">
      <c r="A5889" s="2205" t="s">
        <v>11763</v>
      </c>
      <c r="B5889" s="2205">
        <v>0</v>
      </c>
    </row>
    <row r="5890" spans="1:2" x14ac:dyDescent="0.2">
      <c r="A5890" s="2205" t="s">
        <v>11764</v>
      </c>
      <c r="B5890" s="2205">
        <v>-40000</v>
      </c>
    </row>
    <row r="5891" spans="1:2" x14ac:dyDescent="0.2">
      <c r="A5891" s="2205" t="s">
        <v>6281</v>
      </c>
      <c r="B5891" s="2205">
        <v>-360</v>
      </c>
    </row>
    <row r="5892" spans="1:2" x14ac:dyDescent="0.2">
      <c r="A5892" s="2205" t="s">
        <v>7236</v>
      </c>
      <c r="B5892" s="2205">
        <v>0</v>
      </c>
    </row>
    <row r="5893" spans="1:2" x14ac:dyDescent="0.2">
      <c r="A5893" s="2205" t="s">
        <v>11765</v>
      </c>
      <c r="B5893" s="2205">
        <v>0</v>
      </c>
    </row>
    <row r="5894" spans="1:2" x14ac:dyDescent="0.2">
      <c r="A5894" s="2205" t="s">
        <v>11766</v>
      </c>
      <c r="B5894" s="2205">
        <v>0</v>
      </c>
    </row>
    <row r="5895" spans="1:2" x14ac:dyDescent="0.2">
      <c r="A5895" s="2205" t="s">
        <v>11767</v>
      </c>
      <c r="B5895" s="2205">
        <v>-39783.19</v>
      </c>
    </row>
    <row r="5896" spans="1:2" x14ac:dyDescent="0.2">
      <c r="A5896" s="2205" t="s">
        <v>11768</v>
      </c>
      <c r="B5896" s="2205">
        <v>0</v>
      </c>
    </row>
    <row r="5897" spans="1:2" x14ac:dyDescent="0.2">
      <c r="A5897" s="2205" t="s">
        <v>6387</v>
      </c>
      <c r="B5897" s="2205">
        <v>-637500</v>
      </c>
    </row>
    <row r="5898" spans="1:2" x14ac:dyDescent="0.2">
      <c r="A5898" s="2205" t="s">
        <v>6364</v>
      </c>
      <c r="B5898" s="2205">
        <v>32700</v>
      </c>
    </row>
    <row r="5899" spans="1:2" x14ac:dyDescent="0.2">
      <c r="A5899" s="2205" t="s">
        <v>6388</v>
      </c>
      <c r="B5899" s="2205">
        <v>0</v>
      </c>
    </row>
    <row r="5900" spans="1:2" x14ac:dyDescent="0.2">
      <c r="A5900" s="2205" t="s">
        <v>6288</v>
      </c>
      <c r="B5900" s="2205">
        <v>-35028</v>
      </c>
    </row>
    <row r="5901" spans="1:2" x14ac:dyDescent="0.2">
      <c r="A5901" s="2205" t="s">
        <v>6289</v>
      </c>
      <c r="B5901" s="2205">
        <v>-13386</v>
      </c>
    </row>
    <row r="5902" spans="1:2" x14ac:dyDescent="0.2">
      <c r="A5902" s="2205" t="s">
        <v>6290</v>
      </c>
      <c r="B5902" s="2205">
        <v>-16741</v>
      </c>
    </row>
    <row r="5903" spans="1:2" x14ac:dyDescent="0.2">
      <c r="A5903" s="2205" t="s">
        <v>6286</v>
      </c>
      <c r="B5903" s="2205">
        <v>0</v>
      </c>
    </row>
    <row r="5904" spans="1:2" x14ac:dyDescent="0.2">
      <c r="A5904" s="2205" t="s">
        <v>11769</v>
      </c>
      <c r="B5904" s="2205">
        <v>-95000</v>
      </c>
    </row>
    <row r="5905" spans="1:2" x14ac:dyDescent="0.2">
      <c r="A5905" s="2205" t="s">
        <v>7237</v>
      </c>
      <c r="B5905" s="2205">
        <v>-9488</v>
      </c>
    </row>
    <row r="5906" spans="1:2" x14ac:dyDescent="0.2">
      <c r="A5906" s="2205" t="s">
        <v>6291</v>
      </c>
      <c r="B5906" s="2205">
        <v>0</v>
      </c>
    </row>
    <row r="5907" spans="1:2" x14ac:dyDescent="0.2">
      <c r="A5907" s="2205" t="s">
        <v>6287</v>
      </c>
      <c r="B5907" s="2205">
        <v>-10755</v>
      </c>
    </row>
    <row r="5908" spans="1:2" x14ac:dyDescent="0.2">
      <c r="A5908" s="2205" t="s">
        <v>6363</v>
      </c>
      <c r="B5908" s="2205">
        <v>-412500.02</v>
      </c>
    </row>
    <row r="5909" spans="1:2" x14ac:dyDescent="0.2">
      <c r="A5909" s="2205" t="s">
        <v>6292</v>
      </c>
      <c r="B5909" s="2205">
        <v>-11088</v>
      </c>
    </row>
    <row r="5910" spans="1:2" x14ac:dyDescent="0.2">
      <c r="A5910" s="2205" t="s">
        <v>6468</v>
      </c>
      <c r="B5910" s="2205">
        <v>-24578</v>
      </c>
    </row>
    <row r="5911" spans="1:2" x14ac:dyDescent="0.2">
      <c r="A5911" s="2205" t="s">
        <v>11770</v>
      </c>
      <c r="B5911" s="2205">
        <v>-50000</v>
      </c>
    </row>
    <row r="5912" spans="1:2" x14ac:dyDescent="0.2">
      <c r="A5912" s="2205" t="s">
        <v>6293</v>
      </c>
      <c r="B5912" s="2205">
        <v>0</v>
      </c>
    </row>
    <row r="5913" spans="1:2" x14ac:dyDescent="0.2">
      <c r="A5913" s="2205" t="s">
        <v>6874</v>
      </c>
      <c r="B5913" s="2205">
        <v>-20000</v>
      </c>
    </row>
    <row r="5914" spans="1:2" x14ac:dyDescent="0.2">
      <c r="A5914" s="2205" t="s">
        <v>11771</v>
      </c>
      <c r="B5914" s="2205">
        <v>-7000</v>
      </c>
    </row>
    <row r="5915" spans="1:2" x14ac:dyDescent="0.2">
      <c r="A5915" s="2205" t="s">
        <v>11772</v>
      </c>
      <c r="B5915" s="2205">
        <v>-30000</v>
      </c>
    </row>
    <row r="5916" spans="1:2" x14ac:dyDescent="0.2">
      <c r="A5916" s="2205" t="s">
        <v>11773</v>
      </c>
      <c r="B5916" s="2205">
        <v>-59295.6</v>
      </c>
    </row>
    <row r="5917" spans="1:2" x14ac:dyDescent="0.2">
      <c r="A5917" s="2205" t="s">
        <v>11774</v>
      </c>
      <c r="B5917" s="2205">
        <v>-254556.73</v>
      </c>
    </row>
    <row r="5918" spans="1:2" x14ac:dyDescent="0.2">
      <c r="A5918" s="2205" t="s">
        <v>11775</v>
      </c>
      <c r="B5918" s="2205">
        <v>-44099.28</v>
      </c>
    </row>
    <row r="5919" spans="1:2" x14ac:dyDescent="0.2">
      <c r="A5919" s="2205" t="s">
        <v>11776</v>
      </c>
      <c r="B5919" s="2205">
        <v>-451046.31</v>
      </c>
    </row>
    <row r="5920" spans="1:2" x14ac:dyDescent="0.2">
      <c r="A5920" s="2205" t="s">
        <v>11777</v>
      </c>
      <c r="B5920" s="2205">
        <v>-105616.8</v>
      </c>
    </row>
    <row r="5921" spans="1:2" x14ac:dyDescent="0.2">
      <c r="A5921" s="2205" t="s">
        <v>11778</v>
      </c>
      <c r="B5921" s="2205">
        <v>0</v>
      </c>
    </row>
    <row r="5922" spans="1:2" x14ac:dyDescent="0.2">
      <c r="A5922" s="2205" t="s">
        <v>11779</v>
      </c>
      <c r="B5922" s="2205">
        <v>-788920.57</v>
      </c>
    </row>
    <row r="5923" spans="1:2" x14ac:dyDescent="0.2">
      <c r="A5923" s="2205" t="s">
        <v>11780</v>
      </c>
      <c r="B5923" s="2205">
        <v>-10845.18</v>
      </c>
    </row>
    <row r="5924" spans="1:2" x14ac:dyDescent="0.2">
      <c r="A5924" s="2205" t="s">
        <v>11781</v>
      </c>
      <c r="B5924" s="2205">
        <v>-147102.48000000001</v>
      </c>
    </row>
    <row r="5925" spans="1:2" x14ac:dyDescent="0.2">
      <c r="A5925" s="2205" t="s">
        <v>11782</v>
      </c>
      <c r="B5925" s="2205">
        <v>-311242.99</v>
      </c>
    </row>
    <row r="5926" spans="1:2" x14ac:dyDescent="0.2">
      <c r="A5926" s="2205" t="s">
        <v>11783</v>
      </c>
      <c r="B5926" s="2205">
        <v>-281257.94</v>
      </c>
    </row>
    <row r="5927" spans="1:2" x14ac:dyDescent="0.2">
      <c r="A5927" s="2205" t="s">
        <v>11784</v>
      </c>
      <c r="B5927" s="2205">
        <v>-847720</v>
      </c>
    </row>
    <row r="5928" spans="1:2" x14ac:dyDescent="0.2">
      <c r="A5928" s="2205" t="s">
        <v>6341</v>
      </c>
      <c r="B5928" s="2205">
        <v>0</v>
      </c>
    </row>
    <row r="5929" spans="1:2" x14ac:dyDescent="0.2">
      <c r="A5929" s="2205" t="s">
        <v>6343</v>
      </c>
      <c r="B5929" s="2205">
        <v>0</v>
      </c>
    </row>
    <row r="5930" spans="1:2" x14ac:dyDescent="0.2">
      <c r="A5930" s="2205" t="s">
        <v>6340</v>
      </c>
      <c r="B5930" s="2205">
        <v>-469131.3</v>
      </c>
    </row>
    <row r="5931" spans="1:2" x14ac:dyDescent="0.2">
      <c r="A5931" s="2205" t="s">
        <v>6342</v>
      </c>
      <c r="B5931" s="2205">
        <v>-736548.8</v>
      </c>
    </row>
    <row r="5932" spans="1:2" x14ac:dyDescent="0.2">
      <c r="A5932" s="2205" t="s">
        <v>6284</v>
      </c>
      <c r="B5932" s="2205">
        <v>-174707</v>
      </c>
    </row>
    <row r="5933" spans="1:2" x14ac:dyDescent="0.2">
      <c r="A5933" s="2205" t="s">
        <v>6628</v>
      </c>
      <c r="B5933" s="2205">
        <v>269000</v>
      </c>
    </row>
    <row r="5934" spans="1:2" x14ac:dyDescent="0.2">
      <c r="A5934" s="2205" t="s">
        <v>11785</v>
      </c>
      <c r="B5934" s="2205">
        <v>0</v>
      </c>
    </row>
    <row r="5935" spans="1:2" x14ac:dyDescent="0.2">
      <c r="A5935" s="2205" t="s">
        <v>6357</v>
      </c>
      <c r="B5935" s="2205">
        <v>-787100</v>
      </c>
    </row>
    <row r="5936" spans="1:2" x14ac:dyDescent="0.2">
      <c r="A5936" s="2205" t="s">
        <v>11786</v>
      </c>
      <c r="B5936" s="2205">
        <v>-1634042.94</v>
      </c>
    </row>
    <row r="5937" spans="1:2" x14ac:dyDescent="0.2">
      <c r="A5937" s="2205" t="s">
        <v>11787</v>
      </c>
      <c r="B5937" s="2205">
        <v>-17352776.199999999</v>
      </c>
    </row>
    <row r="5938" spans="1:2" x14ac:dyDescent="0.2">
      <c r="A5938" s="2205" t="s">
        <v>11788</v>
      </c>
      <c r="B5938" s="2205">
        <v>-2600</v>
      </c>
    </row>
    <row r="5939" spans="1:2" x14ac:dyDescent="0.2">
      <c r="A5939" s="2205" t="s">
        <v>11789</v>
      </c>
      <c r="B5939" s="2205">
        <v>-329</v>
      </c>
    </row>
    <row r="5940" spans="1:2" x14ac:dyDescent="0.2">
      <c r="A5940" s="2205" t="s">
        <v>11790</v>
      </c>
      <c r="B5940" s="2205">
        <v>-27.99</v>
      </c>
    </row>
    <row r="5941" spans="1:2" x14ac:dyDescent="0.2">
      <c r="A5941" s="2205" t="s">
        <v>6285</v>
      </c>
      <c r="B5941" s="2205">
        <v>-68133</v>
      </c>
    </row>
    <row r="5942" spans="1:2" x14ac:dyDescent="0.2">
      <c r="A5942" s="2205" t="s">
        <v>11791</v>
      </c>
      <c r="B5942" s="2205">
        <v>-1000000</v>
      </c>
    </row>
    <row r="5943" spans="1:2" x14ac:dyDescent="0.2">
      <c r="A5943" s="2205" t="s">
        <v>6358</v>
      </c>
      <c r="B5943" s="2205">
        <v>-1503290</v>
      </c>
    </row>
    <row r="5944" spans="1:2" x14ac:dyDescent="0.2">
      <c r="A5944" s="2205" t="s">
        <v>11792</v>
      </c>
      <c r="B5944" s="2205">
        <v>0</v>
      </c>
    </row>
    <row r="5945" spans="1:2" x14ac:dyDescent="0.2">
      <c r="A5945" s="2205" t="s">
        <v>11793</v>
      </c>
      <c r="B5945" s="2205">
        <v>-437037</v>
      </c>
    </row>
    <row r="5946" spans="1:2" x14ac:dyDescent="0.2">
      <c r="A5946" s="2205" t="s">
        <v>6282</v>
      </c>
      <c r="B5946" s="2205">
        <v>-106400</v>
      </c>
    </row>
    <row r="5947" spans="1:2" ht="13.5" thickBot="1" x14ac:dyDescent="0.25">
      <c r="A5947" s="2206" t="s">
        <v>6283</v>
      </c>
      <c r="B5947" s="2206">
        <v>-450600</v>
      </c>
    </row>
  </sheetData>
  <autoFilter ref="A1:B5947"/>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sheetPr>
  <dimension ref="A1:U1109"/>
  <sheetViews>
    <sheetView topLeftCell="A211" workbookViewId="0">
      <selection activeCell="A16" sqref="A16"/>
    </sheetView>
  </sheetViews>
  <sheetFormatPr defaultColWidth="9.140625" defaultRowHeight="12.75" x14ac:dyDescent="0.2"/>
  <cols>
    <col min="1" max="4" width="11.7109375" style="34" customWidth="1"/>
    <col min="5" max="5" width="40.7109375" style="34" customWidth="1"/>
    <col min="6" max="6" width="11.7109375" style="34" customWidth="1"/>
    <col min="7" max="7" width="5.140625" style="2226" bestFit="1" customWidth="1"/>
    <col min="8" max="17" width="11.7109375" style="34" customWidth="1"/>
    <col min="18" max="22" width="12.7109375" style="34" customWidth="1"/>
    <col min="23" max="23" width="9.140625" style="34"/>
    <col min="24" max="25" width="12.7109375" style="34" customWidth="1"/>
    <col min="26" max="16384" width="9.140625" style="34"/>
  </cols>
  <sheetData>
    <row r="1" spans="1:17" s="1757" customFormat="1" ht="19.5" thickTop="1" thickBot="1" x14ac:dyDescent="0.3">
      <c r="A1" s="2573" t="s">
        <v>11965</v>
      </c>
      <c r="B1" s="2574"/>
      <c r="C1" s="2574"/>
      <c r="D1" s="2574"/>
      <c r="E1" s="2574"/>
      <c r="F1" s="2574"/>
      <c r="G1" s="2574"/>
      <c r="H1" s="2574"/>
      <c r="I1" s="2574"/>
      <c r="J1" s="2574"/>
      <c r="K1" s="2574"/>
      <c r="L1" s="2574"/>
      <c r="M1" s="2574"/>
      <c r="N1" s="2574"/>
      <c r="O1" s="2574"/>
      <c r="P1" s="2574"/>
      <c r="Q1" s="2575"/>
    </row>
    <row r="2" spans="1:17" x14ac:dyDescent="0.2">
      <c r="A2" s="2579" t="str">
        <f>$A$126</f>
        <v>ACTUAL</v>
      </c>
      <c r="B2" s="2580"/>
      <c r="C2" s="2580"/>
      <c r="D2" s="2581"/>
      <c r="E2" s="2434" t="str">
        <f>$E$126</f>
        <v>ITEM</v>
      </c>
      <c r="F2" s="2576" t="s">
        <v>2215</v>
      </c>
      <c r="G2" s="2577"/>
      <c r="H2" s="2577"/>
      <c r="I2" s="2577"/>
      <c r="J2" s="2577"/>
      <c r="K2" s="2577"/>
      <c r="L2" s="2577"/>
      <c r="M2" s="2577"/>
      <c r="N2" s="2577"/>
      <c r="O2" s="2577"/>
      <c r="P2" s="2577"/>
      <c r="Q2" s="2578"/>
    </row>
    <row r="3" spans="1:17" ht="13.5" thickBot="1" x14ac:dyDescent="0.25">
      <c r="A3" s="1008" t="str">
        <f>A182</f>
        <v>2013/14</v>
      </c>
      <c r="B3" s="28" t="str">
        <f>B182</f>
        <v>2014/15</v>
      </c>
      <c r="C3" s="94" t="str">
        <f>C182</f>
        <v>2015/16</v>
      </c>
      <c r="D3" s="94" t="str">
        <f t="shared" ref="D3" si="0">D182</f>
        <v>2016/17</v>
      </c>
      <c r="E3" s="2435"/>
      <c r="F3" s="847" t="str">
        <f t="shared" ref="F3:N3" si="1">F182</f>
        <v>2017/18</v>
      </c>
      <c r="G3" s="1436" t="str">
        <f t="shared" si="1"/>
        <v>%</v>
      </c>
      <c r="H3" s="2337" t="str">
        <f t="shared" si="1"/>
        <v>2018/19</v>
      </c>
      <c r="I3" s="44" t="str">
        <f t="shared" si="1"/>
        <v>2019/20</v>
      </c>
      <c r="J3" s="94" t="str">
        <f t="shared" si="1"/>
        <v>2020/21</v>
      </c>
      <c r="K3" s="1761" t="str">
        <f t="shared" si="1"/>
        <v>2021/22</v>
      </c>
      <c r="L3" s="94" t="str">
        <f t="shared" si="1"/>
        <v>2022/23</v>
      </c>
      <c r="M3" s="94" t="str">
        <f t="shared" si="1"/>
        <v>2023/24</v>
      </c>
      <c r="N3" s="94" t="str">
        <f t="shared" si="1"/>
        <v>2024/25</v>
      </c>
      <c r="O3" s="94" t="str">
        <f t="shared" ref="O3:P3" si="2">O182</f>
        <v>2025/26</v>
      </c>
      <c r="P3" s="94" t="str">
        <f t="shared" si="2"/>
        <v>2026/27</v>
      </c>
      <c r="Q3" s="1762" t="str">
        <f t="shared" ref="Q3" si="3">Q182</f>
        <v>2027/28</v>
      </c>
    </row>
    <row r="4" spans="1:17" x14ac:dyDescent="0.2">
      <c r="A4" s="45"/>
      <c r="B4" s="9"/>
      <c r="C4" s="9"/>
      <c r="D4" s="9"/>
      <c r="E4" s="9"/>
      <c r="F4" s="89"/>
      <c r="G4" s="79"/>
      <c r="H4" s="89"/>
      <c r="I4" s="9"/>
      <c r="J4" s="9"/>
      <c r="K4" s="46"/>
      <c r="L4" s="9"/>
      <c r="M4" s="9"/>
      <c r="N4" s="9"/>
      <c r="O4" s="9"/>
      <c r="P4" s="9"/>
      <c r="Q4" s="61"/>
    </row>
    <row r="5" spans="1:17" x14ac:dyDescent="0.2">
      <c r="A5" s="45"/>
      <c r="B5" s="9"/>
      <c r="C5" s="9"/>
      <c r="D5" s="9"/>
      <c r="E5" s="63" t="s">
        <v>2552</v>
      </c>
      <c r="F5" s="89"/>
      <c r="G5" s="79"/>
      <c r="H5" s="89"/>
      <c r="I5" s="9"/>
      <c r="J5" s="9"/>
      <c r="K5" s="46"/>
      <c r="L5" s="9"/>
      <c r="M5" s="9"/>
      <c r="N5" s="9"/>
      <c r="O5" s="9"/>
      <c r="P5" s="9"/>
      <c r="Q5" s="61"/>
    </row>
    <row r="6" spans="1:17" x14ac:dyDescent="0.2">
      <c r="A6" s="45"/>
      <c r="B6" s="9"/>
      <c r="C6" s="9"/>
      <c r="D6" s="9"/>
      <c r="E6" s="63"/>
      <c r="F6" s="89"/>
      <c r="G6" s="79"/>
      <c r="H6" s="89"/>
      <c r="I6" s="9"/>
      <c r="J6" s="9"/>
      <c r="K6" s="46"/>
      <c r="L6" s="9"/>
      <c r="M6" s="9"/>
      <c r="N6" s="9"/>
      <c r="O6" s="9"/>
      <c r="P6" s="9"/>
      <c r="Q6" s="61"/>
    </row>
    <row r="7" spans="1:17" x14ac:dyDescent="0.2">
      <c r="A7" s="45"/>
      <c r="B7" s="9"/>
      <c r="C7" s="9"/>
      <c r="D7" s="9"/>
      <c r="E7" s="2129" t="s">
        <v>0</v>
      </c>
      <c r="F7" s="89"/>
      <c r="G7" s="584"/>
      <c r="H7" s="89"/>
      <c r="I7" s="9"/>
      <c r="J7" s="9"/>
      <c r="K7" s="46"/>
      <c r="L7" s="9"/>
      <c r="M7" s="9"/>
      <c r="N7" s="9"/>
      <c r="O7" s="9"/>
      <c r="P7" s="9"/>
      <c r="Q7" s="61"/>
    </row>
    <row r="8" spans="1:17" x14ac:dyDescent="0.2">
      <c r="A8" s="45">
        <f t="shared" ref="A8:B12" si="4">A39+A70+A101</f>
        <v>38830200</v>
      </c>
      <c r="B8" s="9">
        <f t="shared" si="4"/>
        <v>40827600</v>
      </c>
      <c r="C8" s="9">
        <f t="shared" ref="C8:C13" si="5">C39+C70+C101</f>
        <v>43406800</v>
      </c>
      <c r="D8" s="9">
        <f t="shared" ref="D8" si="6">D39+D70+D101</f>
        <v>46877300</v>
      </c>
      <c r="E8" s="2130" t="s">
        <v>2296</v>
      </c>
      <c r="F8" s="89">
        <f t="shared" ref="F8:M8" si="7">F39+F70+F101</f>
        <v>46985600</v>
      </c>
      <c r="G8" s="584">
        <f t="shared" ref="G8:G13" si="8">IF(D8=F8,0,IF(D8=0,100,(F8-D8)/D8*100))</f>
        <v>0.23102866419354356</v>
      </c>
      <c r="H8" s="89">
        <f t="shared" si="7"/>
        <v>47493200</v>
      </c>
      <c r="I8" s="9">
        <f t="shared" si="7"/>
        <v>48787000</v>
      </c>
      <c r="J8" s="9">
        <f t="shared" si="7"/>
        <v>50122500</v>
      </c>
      <c r="K8" s="46">
        <f t="shared" si="7"/>
        <v>51514400</v>
      </c>
      <c r="L8" s="9">
        <f t="shared" si="7"/>
        <v>52945500</v>
      </c>
      <c r="M8" s="9">
        <f t="shared" si="7"/>
        <v>54416400</v>
      </c>
      <c r="N8" s="9">
        <f t="shared" ref="N8:P8" si="9">N39+N70+N101</f>
        <v>55927100</v>
      </c>
      <c r="O8" s="9">
        <f t="shared" si="9"/>
        <v>57480200</v>
      </c>
      <c r="P8" s="9">
        <f t="shared" si="9"/>
        <v>59076200</v>
      </c>
      <c r="Q8" s="61">
        <f t="shared" ref="Q8" si="10">Q39+Q70+Q101</f>
        <v>60718100</v>
      </c>
    </row>
    <row r="9" spans="1:17" x14ac:dyDescent="0.2">
      <c r="A9" s="45">
        <f t="shared" si="4"/>
        <v>16972700</v>
      </c>
      <c r="B9" s="9">
        <f t="shared" si="4"/>
        <v>17541100</v>
      </c>
      <c r="C9" s="9">
        <f t="shared" si="5"/>
        <v>18582000</v>
      </c>
      <c r="D9" s="9">
        <f t="shared" ref="D9" si="11">D40+D71+D102</f>
        <v>20138200</v>
      </c>
      <c r="E9" s="2130" t="s">
        <v>2337</v>
      </c>
      <c r="F9" s="89">
        <f t="shared" ref="F9:M9" si="12">F40+F71+F102</f>
        <v>19056700</v>
      </c>
      <c r="G9" s="584">
        <f t="shared" si="8"/>
        <v>-5.3703906009474531</v>
      </c>
      <c r="H9" s="89">
        <f t="shared" si="12"/>
        <v>19601400</v>
      </c>
      <c r="I9" s="9">
        <f t="shared" si="12"/>
        <v>20192300</v>
      </c>
      <c r="J9" s="9">
        <f t="shared" si="12"/>
        <v>20696400</v>
      </c>
      <c r="K9" s="46">
        <f t="shared" si="12"/>
        <v>21211600</v>
      </c>
      <c r="L9" s="9">
        <f t="shared" si="12"/>
        <v>21742400</v>
      </c>
      <c r="M9" s="9">
        <f t="shared" si="12"/>
        <v>22286900</v>
      </c>
      <c r="N9" s="9">
        <f t="shared" ref="N9:P9" si="13">N40+N71+N102</f>
        <v>22847100</v>
      </c>
      <c r="O9" s="9">
        <f t="shared" si="13"/>
        <v>23418700</v>
      </c>
      <c r="P9" s="9">
        <f t="shared" si="13"/>
        <v>24008400</v>
      </c>
      <c r="Q9" s="61">
        <f t="shared" ref="Q9" si="14">Q40+Q71+Q102</f>
        <v>24599200</v>
      </c>
    </row>
    <row r="10" spans="1:17" x14ac:dyDescent="0.2">
      <c r="A10" s="45">
        <f t="shared" si="4"/>
        <v>3487300</v>
      </c>
      <c r="B10" s="9">
        <f t="shared" si="4"/>
        <v>2499400</v>
      </c>
      <c r="C10" s="9">
        <f t="shared" si="5"/>
        <v>2133600</v>
      </c>
      <c r="D10" s="9">
        <f t="shared" ref="D10" si="15">D41+D72+D103</f>
        <v>2299200</v>
      </c>
      <c r="E10" s="2130" t="s">
        <v>4154</v>
      </c>
      <c r="F10" s="89">
        <f t="shared" ref="F10:M10" si="16">F41+F72+F103</f>
        <v>1659900</v>
      </c>
      <c r="G10" s="584">
        <f t="shared" si="8"/>
        <v>-27.805323590814197</v>
      </c>
      <c r="H10" s="89">
        <f t="shared" si="16"/>
        <v>1856600</v>
      </c>
      <c r="I10" s="9">
        <f t="shared" si="16"/>
        <v>1900700</v>
      </c>
      <c r="J10" s="9">
        <f t="shared" si="16"/>
        <v>1589000</v>
      </c>
      <c r="K10" s="46">
        <f t="shared" si="16"/>
        <v>1635200</v>
      </c>
      <c r="L10" s="9">
        <f t="shared" si="16"/>
        <v>1563800</v>
      </c>
      <c r="M10" s="9">
        <f t="shared" si="16"/>
        <v>1583000</v>
      </c>
      <c r="N10" s="9">
        <f t="shared" ref="N10:P10" si="17">N41+N72+N103</f>
        <v>1663300</v>
      </c>
      <c r="O10" s="9">
        <f t="shared" si="17"/>
        <v>1799200</v>
      </c>
      <c r="P10" s="9">
        <f t="shared" si="17"/>
        <v>2097900</v>
      </c>
      <c r="Q10" s="61">
        <f t="shared" ref="Q10" si="18">Q41+Q72+Q103</f>
        <v>2406000</v>
      </c>
    </row>
    <row r="11" spans="1:17" x14ac:dyDescent="0.2">
      <c r="A11" s="45">
        <f t="shared" si="4"/>
        <v>5800100</v>
      </c>
      <c r="B11" s="9">
        <f t="shared" si="4"/>
        <v>5245000</v>
      </c>
      <c r="C11" s="9">
        <f t="shared" si="5"/>
        <v>3584300</v>
      </c>
      <c r="D11" s="9">
        <f t="shared" ref="D11" si="19">D42+D73+D104</f>
        <v>5868900</v>
      </c>
      <c r="E11" s="2130" t="s">
        <v>420</v>
      </c>
      <c r="F11" s="89">
        <f t="shared" ref="F11:M11" si="20">F42+F73+F104</f>
        <v>6395500</v>
      </c>
      <c r="G11" s="584">
        <f t="shared" si="8"/>
        <v>8.9727206120397351</v>
      </c>
      <c r="H11" s="89">
        <f t="shared" si="20"/>
        <v>5871700</v>
      </c>
      <c r="I11" s="9">
        <f t="shared" si="20"/>
        <v>6581300</v>
      </c>
      <c r="J11" s="9">
        <f t="shared" si="20"/>
        <v>6114100</v>
      </c>
      <c r="K11" s="46">
        <f t="shared" si="20"/>
        <v>6952400</v>
      </c>
      <c r="L11" s="9">
        <f t="shared" si="20"/>
        <v>6452900</v>
      </c>
      <c r="M11" s="9">
        <f t="shared" si="20"/>
        <v>7407000</v>
      </c>
      <c r="N11" s="9">
        <f t="shared" ref="N11:P11" si="21">N42+N73+N104</f>
        <v>6809700</v>
      </c>
      <c r="O11" s="9">
        <f t="shared" si="21"/>
        <v>7701200</v>
      </c>
      <c r="P11" s="9">
        <f t="shared" si="21"/>
        <v>7186700</v>
      </c>
      <c r="Q11" s="61">
        <f t="shared" ref="Q11" si="22">Q42+Q73+Q104</f>
        <v>8105500</v>
      </c>
    </row>
    <row r="12" spans="1:17" x14ac:dyDescent="0.2">
      <c r="A12" s="45">
        <f t="shared" si="4"/>
        <v>6082600</v>
      </c>
      <c r="B12" s="9">
        <f t="shared" si="4"/>
        <v>8150300</v>
      </c>
      <c r="C12" s="9">
        <f t="shared" si="5"/>
        <v>9389200</v>
      </c>
      <c r="D12" s="9">
        <f t="shared" ref="D12" si="23">D43+D74+D105</f>
        <v>12037300</v>
      </c>
      <c r="E12" s="2130" t="s">
        <v>4164</v>
      </c>
      <c r="F12" s="89">
        <f t="shared" ref="F12:M12" si="24">F43+F74+F105</f>
        <v>8038500</v>
      </c>
      <c r="G12" s="584">
        <f t="shared" si="8"/>
        <v>-33.220074269146735</v>
      </c>
      <c r="H12" s="89">
        <f t="shared" si="24"/>
        <v>7533900</v>
      </c>
      <c r="I12" s="9">
        <f t="shared" si="24"/>
        <v>7767700</v>
      </c>
      <c r="J12" s="9">
        <f t="shared" si="24"/>
        <v>7773200</v>
      </c>
      <c r="K12" s="46">
        <f t="shared" si="24"/>
        <v>7879800</v>
      </c>
      <c r="L12" s="9">
        <f t="shared" si="24"/>
        <v>7990800</v>
      </c>
      <c r="M12" s="9">
        <f t="shared" si="24"/>
        <v>8137800</v>
      </c>
      <c r="N12" s="9">
        <f t="shared" ref="N12:P12" si="25">N43+N74+N105</f>
        <v>8297800</v>
      </c>
      <c r="O12" s="9">
        <f t="shared" si="25"/>
        <v>8463500</v>
      </c>
      <c r="P12" s="9">
        <f t="shared" si="25"/>
        <v>8632700</v>
      </c>
      <c r="Q12" s="61">
        <f t="shared" ref="Q12" si="26">Q43+Q74+Q105</f>
        <v>8805500</v>
      </c>
    </row>
    <row r="13" spans="1:17" x14ac:dyDescent="0.2">
      <c r="A13" s="45">
        <f>A44+A75+A106-Assumptions!D117</f>
        <v>13608500</v>
      </c>
      <c r="B13" s="9">
        <f>B44+B75+B106</f>
        <v>15880800</v>
      </c>
      <c r="C13" s="9">
        <f t="shared" si="5"/>
        <v>15014000</v>
      </c>
      <c r="D13" s="9">
        <f t="shared" ref="D13" si="27">D44+D75+D106</f>
        <v>12312600</v>
      </c>
      <c r="E13" s="2130" t="s">
        <v>4165</v>
      </c>
      <c r="F13" s="89">
        <f t="shared" ref="F13:M13" si="28">F44+F75+F106</f>
        <v>18930300</v>
      </c>
      <c r="G13" s="584">
        <f t="shared" si="8"/>
        <v>53.747380731933134</v>
      </c>
      <c r="H13" s="89">
        <f t="shared" si="28"/>
        <v>14943600</v>
      </c>
      <c r="I13" s="89">
        <f t="shared" si="28"/>
        <v>11790300</v>
      </c>
      <c r="J13" s="89">
        <f t="shared" si="28"/>
        <v>18067500</v>
      </c>
      <c r="K13" s="89">
        <f t="shared" si="28"/>
        <v>18499600</v>
      </c>
      <c r="L13" s="89">
        <f t="shared" si="28"/>
        <v>10941500</v>
      </c>
      <c r="M13" s="9">
        <f t="shared" si="28"/>
        <v>11193200</v>
      </c>
      <c r="N13" s="9">
        <f t="shared" ref="N13:P13" si="29">N44+N75+N106</f>
        <v>11458900</v>
      </c>
      <c r="O13" s="9">
        <f t="shared" si="29"/>
        <v>11729400</v>
      </c>
      <c r="P13" s="9">
        <f t="shared" si="29"/>
        <v>12005700</v>
      </c>
      <c r="Q13" s="61">
        <f t="shared" ref="Q13" si="30">Q44+Q75+Q106</f>
        <v>12287100</v>
      </c>
    </row>
    <row r="14" spans="1:17" x14ac:dyDescent="0.2">
      <c r="A14" s="45"/>
      <c r="B14" s="9"/>
      <c r="C14" s="9"/>
      <c r="D14" s="9"/>
      <c r="E14" s="2129" t="s">
        <v>4159</v>
      </c>
      <c r="F14" s="89"/>
      <c r="G14" s="584"/>
      <c r="H14" s="89"/>
      <c r="I14" s="9"/>
      <c r="J14" s="9"/>
      <c r="K14" s="46"/>
      <c r="L14" s="9"/>
      <c r="M14" s="9"/>
      <c r="N14" s="9"/>
      <c r="O14" s="9"/>
      <c r="P14" s="9"/>
      <c r="Q14" s="61"/>
    </row>
    <row r="15" spans="1:17" x14ac:dyDescent="0.2">
      <c r="A15" s="45">
        <f>A46+A77+A108</f>
        <v>5700</v>
      </c>
      <c r="B15" s="9">
        <f>B46+B77+B108</f>
        <v>0</v>
      </c>
      <c r="C15" s="9">
        <f>C46+C77+C108</f>
        <v>0</v>
      </c>
      <c r="D15" s="9">
        <f>D46+D77+D108</f>
        <v>0</v>
      </c>
      <c r="E15" s="2130" t="s">
        <v>4160</v>
      </c>
      <c r="F15" s="89">
        <f t="shared" ref="F15:N15" si="31">F46+F77+F108</f>
        <v>0</v>
      </c>
      <c r="G15" s="584">
        <f>IF(D15=F15,0,IF(D15=0,100,(F15-D15)/D15*100))</f>
        <v>0</v>
      </c>
      <c r="H15" s="89">
        <f t="shared" si="31"/>
        <v>0</v>
      </c>
      <c r="I15" s="9">
        <f t="shared" si="31"/>
        <v>0</v>
      </c>
      <c r="J15" s="9">
        <f t="shared" si="31"/>
        <v>0</v>
      </c>
      <c r="K15" s="46">
        <f t="shared" si="31"/>
        <v>0</v>
      </c>
      <c r="L15" s="9">
        <f t="shared" si="31"/>
        <v>0</v>
      </c>
      <c r="M15" s="9">
        <f t="shared" si="31"/>
        <v>0</v>
      </c>
      <c r="N15" s="9">
        <f t="shared" si="31"/>
        <v>0</v>
      </c>
      <c r="O15" s="9">
        <f t="shared" ref="O15" si="32">O46+O77+O108</f>
        <v>0</v>
      </c>
      <c r="P15" s="9">
        <f t="shared" ref="P15:Q15" si="33">P46+P77+P108</f>
        <v>0</v>
      </c>
      <c r="Q15" s="61">
        <f t="shared" si="33"/>
        <v>0</v>
      </c>
    </row>
    <row r="16" spans="1:17" s="65" customFormat="1" x14ac:dyDescent="0.2">
      <c r="A16" s="1774">
        <f>SUM(A8:A15)</f>
        <v>84787100</v>
      </c>
      <c r="B16" s="63">
        <f>SUM(B8:B15)</f>
        <v>90144200</v>
      </c>
      <c r="C16" s="63">
        <f>SUM(C8:C15)</f>
        <v>92109900</v>
      </c>
      <c r="D16" s="63">
        <f>SUM(D8:D15)</f>
        <v>99533500</v>
      </c>
      <c r="E16" s="2129" t="s">
        <v>4155</v>
      </c>
      <c r="F16" s="107">
        <f t="shared" ref="F16:M16" si="34">SUM(F8:F15)</f>
        <v>101066500</v>
      </c>
      <c r="G16" s="220">
        <f>IF(D16=F16,0,IF(D16=0,100,(F16-D16)/D16*100))</f>
        <v>1.5401849628517033</v>
      </c>
      <c r="H16" s="107">
        <f t="shared" si="34"/>
        <v>97300400</v>
      </c>
      <c r="I16" s="63">
        <f t="shared" si="34"/>
        <v>97019300</v>
      </c>
      <c r="J16" s="63">
        <f t="shared" si="34"/>
        <v>104362700</v>
      </c>
      <c r="K16" s="92">
        <f t="shared" si="34"/>
        <v>107693000</v>
      </c>
      <c r="L16" s="63">
        <f t="shared" si="34"/>
        <v>101636900</v>
      </c>
      <c r="M16" s="63">
        <f t="shared" si="34"/>
        <v>105024300</v>
      </c>
      <c r="N16" s="63">
        <f t="shared" ref="N16:O16" si="35">SUM(N8:N15)</f>
        <v>107003900</v>
      </c>
      <c r="O16" s="63">
        <f t="shared" si="35"/>
        <v>110592200</v>
      </c>
      <c r="P16" s="63">
        <f t="shared" ref="P16:Q16" si="36">SUM(P8:P15)</f>
        <v>113007600</v>
      </c>
      <c r="Q16" s="106">
        <f t="shared" si="36"/>
        <v>116921400</v>
      </c>
    </row>
    <row r="17" spans="1:17" x14ac:dyDescent="0.2">
      <c r="A17" s="45"/>
      <c r="B17" s="9"/>
      <c r="C17" s="9"/>
      <c r="D17" s="9"/>
      <c r="E17" s="2129"/>
      <c r="F17" s="89"/>
      <c r="G17" s="584"/>
      <c r="H17" s="89"/>
      <c r="I17" s="9"/>
      <c r="J17" s="9"/>
      <c r="K17" s="46"/>
      <c r="L17" s="9"/>
      <c r="M17" s="9"/>
      <c r="N17" s="9"/>
      <c r="O17" s="9"/>
      <c r="P17" s="9"/>
      <c r="Q17" s="61"/>
    </row>
    <row r="18" spans="1:17" x14ac:dyDescent="0.2">
      <c r="A18" s="45"/>
      <c r="B18" s="9"/>
      <c r="C18" s="9"/>
      <c r="D18" s="9"/>
      <c r="E18" s="2129" t="s">
        <v>2018</v>
      </c>
      <c r="F18" s="89"/>
      <c r="G18" s="584"/>
      <c r="H18" s="89"/>
      <c r="I18" s="9"/>
      <c r="J18" s="9"/>
      <c r="K18" s="46"/>
      <c r="L18" s="9"/>
      <c r="M18" s="9"/>
      <c r="N18" s="9"/>
      <c r="O18" s="9"/>
      <c r="P18" s="9"/>
      <c r="Q18" s="61"/>
    </row>
    <row r="19" spans="1:17" x14ac:dyDescent="0.2">
      <c r="A19" s="45">
        <f t="shared" ref="A19:B24" si="37">A50+A81+A112</f>
        <v>19710600</v>
      </c>
      <c r="B19" s="9">
        <f t="shared" si="37"/>
        <v>20435100</v>
      </c>
      <c r="C19" s="9">
        <f t="shared" ref="C19:C24" si="38">C50+C81+C112</f>
        <v>21690000</v>
      </c>
      <c r="D19" s="9">
        <f t="shared" ref="D19" si="39">D50+D81+D112</f>
        <v>22308000</v>
      </c>
      <c r="E19" s="2130" t="s">
        <v>4156</v>
      </c>
      <c r="F19" s="89">
        <f t="shared" ref="F19:N19" si="40">F50+F81+F112</f>
        <v>23001000</v>
      </c>
      <c r="G19" s="584">
        <f t="shared" ref="G19:G25" si="41">IF(D19=F19,0,IF(D19=0,100,(F19-D19)/D19*100))</f>
        <v>3.1065088757396451</v>
      </c>
      <c r="H19" s="89">
        <f t="shared" si="40"/>
        <v>23715000</v>
      </c>
      <c r="I19" s="9">
        <f t="shared" si="40"/>
        <v>24452000</v>
      </c>
      <c r="J19" s="9">
        <f t="shared" si="40"/>
        <v>25211000</v>
      </c>
      <c r="K19" s="46">
        <f t="shared" si="40"/>
        <v>25994000</v>
      </c>
      <c r="L19" s="9">
        <f t="shared" si="40"/>
        <v>26801000</v>
      </c>
      <c r="M19" s="9">
        <f t="shared" si="40"/>
        <v>27633000</v>
      </c>
      <c r="N19" s="9">
        <f t="shared" si="40"/>
        <v>28491000</v>
      </c>
      <c r="O19" s="9">
        <f t="shared" ref="O19" si="42">O50+O81+O112</f>
        <v>29376000</v>
      </c>
      <c r="P19" s="9">
        <f t="shared" ref="P19:Q19" si="43">P50+P81+P112</f>
        <v>30288000</v>
      </c>
      <c r="Q19" s="61">
        <f t="shared" si="43"/>
        <v>31229000</v>
      </c>
    </row>
    <row r="20" spans="1:17" x14ac:dyDescent="0.2">
      <c r="A20" s="45">
        <f t="shared" si="37"/>
        <v>6839800</v>
      </c>
      <c r="B20" s="9">
        <f t="shared" si="37"/>
        <v>6560800</v>
      </c>
      <c r="C20" s="9">
        <f t="shared" si="38"/>
        <v>5993600</v>
      </c>
      <c r="D20" s="9">
        <f t="shared" ref="D20" si="44">D51+D82+D113</f>
        <v>5523000</v>
      </c>
      <c r="E20" s="2130" t="s">
        <v>2152</v>
      </c>
      <c r="F20" s="89">
        <f t="shared" ref="F20:N20" si="45">F51+F82+F113</f>
        <v>5620400</v>
      </c>
      <c r="G20" s="584">
        <f t="shared" si="41"/>
        <v>1.7635343110628283</v>
      </c>
      <c r="H20" s="89">
        <f t="shared" si="45"/>
        <v>5173300</v>
      </c>
      <c r="I20" s="89">
        <f t="shared" si="45"/>
        <v>4892600</v>
      </c>
      <c r="J20" s="89">
        <f t="shared" si="45"/>
        <v>4490500</v>
      </c>
      <c r="K20" s="89">
        <f t="shared" si="45"/>
        <v>4470600</v>
      </c>
      <c r="L20" s="89">
        <f t="shared" si="45"/>
        <v>4109800</v>
      </c>
      <c r="M20" s="9">
        <f t="shared" si="45"/>
        <v>3790200</v>
      </c>
      <c r="N20" s="9">
        <f t="shared" si="45"/>
        <v>3490900</v>
      </c>
      <c r="O20" s="9">
        <f t="shared" ref="O20" si="46">O51+O82+O113</f>
        <v>3212000</v>
      </c>
      <c r="P20" s="9">
        <f t="shared" ref="P20:Q20" si="47">P51+P82+P113</f>
        <v>2952200</v>
      </c>
      <c r="Q20" s="61">
        <f t="shared" si="47"/>
        <v>2690300</v>
      </c>
    </row>
    <row r="21" spans="1:17" x14ac:dyDescent="0.2">
      <c r="A21" s="45">
        <f t="shared" si="37"/>
        <v>22518700</v>
      </c>
      <c r="B21" s="9">
        <f t="shared" si="37"/>
        <v>24785700</v>
      </c>
      <c r="C21" s="9">
        <f t="shared" si="38"/>
        <v>23953600</v>
      </c>
      <c r="D21" s="9">
        <f t="shared" ref="D21" si="48">D52+D83+D114</f>
        <v>22932800</v>
      </c>
      <c r="E21" s="2130" t="s">
        <v>2336</v>
      </c>
      <c r="F21" s="89">
        <f t="shared" ref="F21:N21" si="49">F52+F83+F114</f>
        <v>25632600</v>
      </c>
      <c r="G21" s="584">
        <f t="shared" si="41"/>
        <v>11.772657503662876</v>
      </c>
      <c r="H21" s="89">
        <f t="shared" si="49"/>
        <v>23229500</v>
      </c>
      <c r="I21" s="89">
        <f t="shared" si="49"/>
        <v>23958600</v>
      </c>
      <c r="J21" s="89">
        <f t="shared" si="49"/>
        <v>24068200</v>
      </c>
      <c r="K21" s="89">
        <f t="shared" si="49"/>
        <v>24624100</v>
      </c>
      <c r="L21" s="89">
        <f t="shared" si="49"/>
        <v>24967800</v>
      </c>
      <c r="M21" s="9">
        <f t="shared" si="49"/>
        <v>25580900</v>
      </c>
      <c r="N21" s="9">
        <f t="shared" si="49"/>
        <v>26036400</v>
      </c>
      <c r="O21" s="9">
        <f t="shared" ref="O21" si="50">O52+O83+O114</f>
        <v>26378400</v>
      </c>
      <c r="P21" s="9">
        <f t="shared" ref="P21:Q21" si="51">P52+P83+P114</f>
        <v>26762500</v>
      </c>
      <c r="Q21" s="61">
        <f t="shared" si="51"/>
        <v>27190700</v>
      </c>
    </row>
    <row r="22" spans="1:17" x14ac:dyDescent="0.2">
      <c r="A22" s="45">
        <f t="shared" si="37"/>
        <v>20368600</v>
      </c>
      <c r="B22" s="9">
        <f t="shared" si="37"/>
        <v>17939000</v>
      </c>
      <c r="C22" s="9">
        <f t="shared" si="38"/>
        <v>19197600</v>
      </c>
      <c r="D22" s="9">
        <f t="shared" ref="D22" si="52">D53+D84+D115</f>
        <v>15978600</v>
      </c>
      <c r="E22" s="2130" t="s">
        <v>4157</v>
      </c>
      <c r="F22" s="89">
        <f t="shared" ref="F22:N22" si="53">F53+F84+F115</f>
        <v>18538900</v>
      </c>
      <c r="G22" s="584">
        <f t="shared" si="41"/>
        <v>16.023306172005057</v>
      </c>
      <c r="H22" s="89">
        <f t="shared" si="53"/>
        <v>19013400</v>
      </c>
      <c r="I22" s="9">
        <f t="shared" si="53"/>
        <v>19486200</v>
      </c>
      <c r="J22" s="9">
        <f t="shared" si="53"/>
        <v>19877800</v>
      </c>
      <c r="K22" s="46">
        <f t="shared" si="53"/>
        <v>20276700</v>
      </c>
      <c r="L22" s="9">
        <f t="shared" si="53"/>
        <v>20684000</v>
      </c>
      <c r="M22" s="9">
        <f t="shared" si="53"/>
        <v>21098600</v>
      </c>
      <c r="N22" s="9">
        <f t="shared" si="53"/>
        <v>21522000</v>
      </c>
      <c r="O22" s="9">
        <f t="shared" ref="O22" si="54">O53+O84+O115</f>
        <v>21954300</v>
      </c>
      <c r="P22" s="9">
        <f t="shared" ref="P22:Q22" si="55">P53+P84+P115</f>
        <v>22394300</v>
      </c>
      <c r="Q22" s="61">
        <f t="shared" si="55"/>
        <v>22843000</v>
      </c>
    </row>
    <row r="23" spans="1:17" x14ac:dyDescent="0.2">
      <c r="A23" s="45">
        <f t="shared" si="37"/>
        <v>11259000</v>
      </c>
      <c r="B23" s="9">
        <f t="shared" si="37"/>
        <v>7759200</v>
      </c>
      <c r="C23" s="9">
        <f t="shared" si="38"/>
        <v>10445100</v>
      </c>
      <c r="D23" s="9">
        <f t="shared" ref="D23" si="56">D54+D85+D116</f>
        <v>12188500</v>
      </c>
      <c r="E23" s="2130" t="s">
        <v>408</v>
      </c>
      <c r="F23" s="89">
        <f t="shared" ref="F23:N23" si="57">F54+F85+F116</f>
        <v>11504800</v>
      </c>
      <c r="G23" s="584">
        <f t="shared" si="41"/>
        <v>-5.6093858965418217</v>
      </c>
      <c r="H23" s="89">
        <f t="shared" si="57"/>
        <v>11070000</v>
      </c>
      <c r="I23" s="9">
        <f t="shared" si="57"/>
        <v>12004700</v>
      </c>
      <c r="J23" s="9">
        <f t="shared" si="57"/>
        <v>11905700</v>
      </c>
      <c r="K23" s="46">
        <f t="shared" si="57"/>
        <v>12659500</v>
      </c>
      <c r="L23" s="9">
        <f t="shared" si="57"/>
        <v>12370100</v>
      </c>
      <c r="M23" s="9">
        <f t="shared" si="57"/>
        <v>13364100</v>
      </c>
      <c r="N23" s="9">
        <f t="shared" si="57"/>
        <v>13343800</v>
      </c>
      <c r="O23" s="9">
        <f t="shared" ref="O23" si="58">O54+O85+O116</f>
        <v>14122700</v>
      </c>
      <c r="P23" s="9">
        <f t="shared" ref="P23:Q23" si="59">P54+P85+P116</f>
        <v>13787400</v>
      </c>
      <c r="Q23" s="61">
        <f t="shared" si="59"/>
        <v>14899600</v>
      </c>
    </row>
    <row r="24" spans="1:17" x14ac:dyDescent="0.2">
      <c r="A24" s="45">
        <f t="shared" si="37"/>
        <v>4035000</v>
      </c>
      <c r="B24" s="9">
        <f t="shared" si="37"/>
        <v>13192200</v>
      </c>
      <c r="C24" s="9">
        <f t="shared" si="38"/>
        <v>40500</v>
      </c>
      <c r="D24" s="9">
        <f t="shared" ref="D24" si="60">D55+D86+D117</f>
        <v>6003500</v>
      </c>
      <c r="E24" s="2130" t="s">
        <v>4158</v>
      </c>
      <c r="F24" s="89">
        <f t="shared" ref="F24:N24" si="61">F55+F86+F117</f>
        <v>0</v>
      </c>
      <c r="G24" s="584">
        <f t="shared" si="41"/>
        <v>-100</v>
      </c>
      <c r="H24" s="89">
        <f t="shared" si="61"/>
        <v>0</v>
      </c>
      <c r="I24" s="9">
        <f t="shared" si="61"/>
        <v>0</v>
      </c>
      <c r="J24" s="9">
        <f t="shared" si="61"/>
        <v>0</v>
      </c>
      <c r="K24" s="46">
        <f t="shared" si="61"/>
        <v>0</v>
      </c>
      <c r="L24" s="9">
        <f t="shared" si="61"/>
        <v>0</v>
      </c>
      <c r="M24" s="9">
        <f t="shared" si="61"/>
        <v>0</v>
      </c>
      <c r="N24" s="9">
        <f t="shared" si="61"/>
        <v>0</v>
      </c>
      <c r="O24" s="9">
        <f t="shared" ref="O24" si="62">O55+O86+O117</f>
        <v>0</v>
      </c>
      <c r="P24" s="9">
        <f t="shared" ref="P24:Q24" si="63">P55+P86+P117</f>
        <v>0</v>
      </c>
      <c r="Q24" s="61">
        <f t="shared" si="63"/>
        <v>0</v>
      </c>
    </row>
    <row r="25" spans="1:17" s="65" customFormat="1" x14ac:dyDescent="0.2">
      <c r="A25" s="1774">
        <f>SUM(A19:A24)</f>
        <v>84731700</v>
      </c>
      <c r="B25" s="63">
        <f>SUM(B19:B24)</f>
        <v>90672000</v>
      </c>
      <c r="C25" s="63">
        <f>SUM(C19:C24)</f>
        <v>81320400</v>
      </c>
      <c r="D25" s="63">
        <f>SUM(D19:D24)</f>
        <v>84934400</v>
      </c>
      <c r="E25" s="2129" t="s">
        <v>4161</v>
      </c>
      <c r="F25" s="107">
        <f t="shared" ref="F25:N25" si="64">SUM(F19:F24)</f>
        <v>84297700</v>
      </c>
      <c r="G25" s="220">
        <f t="shared" si="41"/>
        <v>-0.74963736719162077</v>
      </c>
      <c r="H25" s="107">
        <f t="shared" si="64"/>
        <v>82201200</v>
      </c>
      <c r="I25" s="63">
        <f t="shared" si="64"/>
        <v>84794100</v>
      </c>
      <c r="J25" s="63">
        <f t="shared" si="64"/>
        <v>85553200</v>
      </c>
      <c r="K25" s="92">
        <f t="shared" si="64"/>
        <v>88024900</v>
      </c>
      <c r="L25" s="63">
        <f t="shared" si="64"/>
        <v>88932700</v>
      </c>
      <c r="M25" s="63">
        <f t="shared" si="64"/>
        <v>91466800</v>
      </c>
      <c r="N25" s="63">
        <f t="shared" si="64"/>
        <v>92884100</v>
      </c>
      <c r="O25" s="63">
        <f t="shared" ref="O25" si="65">SUM(O19:O24)</f>
        <v>95043400</v>
      </c>
      <c r="P25" s="63">
        <f t="shared" ref="P25:Q25" si="66">SUM(P19:P24)</f>
        <v>96184400</v>
      </c>
      <c r="Q25" s="106">
        <f t="shared" si="66"/>
        <v>98852600</v>
      </c>
    </row>
    <row r="26" spans="1:17" x14ac:dyDescent="0.2">
      <c r="A26" s="45"/>
      <c r="B26" s="9"/>
      <c r="C26" s="9"/>
      <c r="D26" s="9"/>
      <c r="E26" s="634"/>
      <c r="F26" s="89"/>
      <c r="G26" s="220"/>
      <c r="H26" s="89"/>
      <c r="I26" s="9"/>
      <c r="J26" s="9"/>
      <c r="K26" s="46"/>
      <c r="L26" s="9"/>
      <c r="M26" s="9"/>
      <c r="N26" s="9"/>
      <c r="O26" s="9"/>
      <c r="P26" s="9"/>
      <c r="Q26" s="61"/>
    </row>
    <row r="27" spans="1:17" s="65" customFormat="1" x14ac:dyDescent="0.2">
      <c r="A27" s="1774">
        <f>A16-A25</f>
        <v>55400</v>
      </c>
      <c r="B27" s="63">
        <f>B16-B25</f>
        <v>-527800</v>
      </c>
      <c r="C27" s="63">
        <f>C16-C25</f>
        <v>10789500</v>
      </c>
      <c r="D27" s="63">
        <f>D16-D25</f>
        <v>14599100</v>
      </c>
      <c r="E27" s="780" t="s">
        <v>4162</v>
      </c>
      <c r="F27" s="107">
        <f t="shared" ref="F27:N27" si="67">F16-F25</f>
        <v>16768800</v>
      </c>
      <c r="G27" s="220">
        <f>IF(D27=F27,0,IF(D27=0,100,(F27-D27)/D27*100))</f>
        <v>14.861875047091944</v>
      </c>
      <c r="H27" s="107">
        <f t="shared" si="67"/>
        <v>15099200</v>
      </c>
      <c r="I27" s="63">
        <f t="shared" si="67"/>
        <v>12225200</v>
      </c>
      <c r="J27" s="63">
        <f t="shared" si="67"/>
        <v>18809500</v>
      </c>
      <c r="K27" s="92">
        <f t="shared" si="67"/>
        <v>19668100</v>
      </c>
      <c r="L27" s="63">
        <f t="shared" si="67"/>
        <v>12704200</v>
      </c>
      <c r="M27" s="63">
        <f t="shared" si="67"/>
        <v>13557500</v>
      </c>
      <c r="N27" s="63">
        <f t="shared" si="67"/>
        <v>14119800</v>
      </c>
      <c r="O27" s="63">
        <f t="shared" ref="O27" si="68">O16-O25</f>
        <v>15548800</v>
      </c>
      <c r="P27" s="63">
        <f t="shared" ref="P27:Q27" si="69">P16-P25</f>
        <v>16823200</v>
      </c>
      <c r="Q27" s="106">
        <f t="shared" si="69"/>
        <v>18068800</v>
      </c>
    </row>
    <row r="28" spans="1:17" x14ac:dyDescent="0.2">
      <c r="A28" s="45"/>
      <c r="B28" s="9"/>
      <c r="C28" s="9"/>
      <c r="D28" s="9"/>
      <c r="E28" s="634"/>
      <c r="F28" s="89"/>
      <c r="G28" s="220"/>
      <c r="H28" s="89"/>
      <c r="I28" s="9"/>
      <c r="J28" s="9"/>
      <c r="K28" s="46"/>
      <c r="L28" s="9"/>
      <c r="M28" s="9"/>
      <c r="N28" s="9"/>
      <c r="O28" s="9"/>
      <c r="P28" s="9"/>
      <c r="Q28" s="61"/>
    </row>
    <row r="29" spans="1:17" s="65" customFormat="1" x14ac:dyDescent="0.2">
      <c r="A29" s="1774">
        <f>A16-A13-A25</f>
        <v>-13553100</v>
      </c>
      <c r="B29" s="63">
        <f>B16-B13-B25</f>
        <v>-16408600</v>
      </c>
      <c r="C29" s="63">
        <f>C16-C13-C25</f>
        <v>-4224500</v>
      </c>
      <c r="D29" s="63">
        <f>D16-D13-D25</f>
        <v>2286500</v>
      </c>
      <c r="E29" s="780" t="s">
        <v>4611</v>
      </c>
      <c r="F29" s="107">
        <f t="shared" ref="F29:N29" si="70">F16-F13-F25</f>
        <v>-2161500</v>
      </c>
      <c r="G29" s="220">
        <f>IF(D29=F29,0,IF(D29=0,100,(F29-D29)/D29*100))</f>
        <v>-194.53312923682483</v>
      </c>
      <c r="H29" s="107">
        <f t="shared" si="70"/>
        <v>155600</v>
      </c>
      <c r="I29" s="63">
        <f t="shared" si="70"/>
        <v>434900</v>
      </c>
      <c r="J29" s="63">
        <f t="shared" si="70"/>
        <v>742000</v>
      </c>
      <c r="K29" s="92">
        <f t="shared" si="70"/>
        <v>1168500</v>
      </c>
      <c r="L29" s="63">
        <f t="shared" si="70"/>
        <v>1762700</v>
      </c>
      <c r="M29" s="63">
        <f t="shared" si="70"/>
        <v>2364300</v>
      </c>
      <c r="N29" s="63">
        <f t="shared" si="70"/>
        <v>2660900</v>
      </c>
      <c r="O29" s="63">
        <f t="shared" ref="O29" si="71">O16-O13-O25</f>
        <v>3819400</v>
      </c>
      <c r="P29" s="63">
        <f t="shared" ref="P29" si="72">P16-P13-P25</f>
        <v>4817500</v>
      </c>
      <c r="Q29" s="106">
        <f>Q16-Q13-Q25</f>
        <v>5781700</v>
      </c>
    </row>
    <row r="30" spans="1:17" s="2226" customFormat="1" ht="13.5" thickBot="1" x14ac:dyDescent="0.25">
      <c r="A30" s="591"/>
      <c r="B30" s="592"/>
      <c r="C30" s="592"/>
      <c r="D30" s="592"/>
      <c r="E30" s="1776"/>
      <c r="F30" s="593"/>
      <c r="G30" s="751"/>
      <c r="H30" s="593"/>
      <c r="I30" s="592"/>
      <c r="J30" s="592"/>
      <c r="K30" s="208"/>
      <c r="L30" s="592"/>
      <c r="M30" s="592"/>
      <c r="N30" s="592"/>
      <c r="O30" s="592"/>
      <c r="P30" s="592"/>
      <c r="Q30" s="594"/>
    </row>
    <row r="31" spans="1:17" s="46" customFormat="1" ht="14.25" thickTop="1" thickBot="1" x14ac:dyDescent="0.25">
      <c r="G31" s="31"/>
    </row>
    <row r="32" spans="1:17" s="1757" customFormat="1" ht="19.5" thickTop="1" thickBot="1" x14ac:dyDescent="0.3">
      <c r="A32" s="2573" t="s">
        <v>11966</v>
      </c>
      <c r="B32" s="2574"/>
      <c r="C32" s="2574"/>
      <c r="D32" s="2574"/>
      <c r="E32" s="2574"/>
      <c r="F32" s="2574"/>
      <c r="G32" s="2574"/>
      <c r="H32" s="2574"/>
      <c r="I32" s="2574"/>
      <c r="J32" s="2574"/>
      <c r="K32" s="2574"/>
      <c r="L32" s="2574"/>
      <c r="M32" s="2574"/>
      <c r="N32" s="2574"/>
      <c r="O32" s="2574"/>
      <c r="P32" s="2574"/>
      <c r="Q32" s="2575"/>
    </row>
    <row r="33" spans="1:18" x14ac:dyDescent="0.2">
      <c r="A33" s="2579" t="str">
        <f>$A$126</f>
        <v>ACTUAL</v>
      </c>
      <c r="B33" s="2580"/>
      <c r="C33" s="2580"/>
      <c r="D33" s="2581"/>
      <c r="E33" s="2434" t="str">
        <f>$E$126</f>
        <v>ITEM</v>
      </c>
      <c r="F33" s="2576" t="str">
        <f>F2</f>
        <v>ESTIMATED</v>
      </c>
      <c r="G33" s="2577"/>
      <c r="H33" s="2577"/>
      <c r="I33" s="2577"/>
      <c r="J33" s="2577"/>
      <c r="K33" s="2577"/>
      <c r="L33" s="2577"/>
      <c r="M33" s="2577"/>
      <c r="N33" s="2577"/>
      <c r="O33" s="2577"/>
      <c r="P33" s="2577"/>
      <c r="Q33" s="2578"/>
    </row>
    <row r="34" spans="1:18" ht="13.5" thickBot="1" x14ac:dyDescent="0.25">
      <c r="A34" s="1008" t="str">
        <f>A3</f>
        <v>2013/14</v>
      </c>
      <c r="B34" s="28" t="str">
        <f>B3</f>
        <v>2014/15</v>
      </c>
      <c r="C34" s="94" t="str">
        <f>C3</f>
        <v>2015/16</v>
      </c>
      <c r="D34" s="94" t="str">
        <f t="shared" ref="D34" si="73">D3</f>
        <v>2016/17</v>
      </c>
      <c r="E34" s="2435"/>
      <c r="F34" s="847" t="str">
        <f t="shared" ref="F34:N34" si="74">F3</f>
        <v>2017/18</v>
      </c>
      <c r="G34" s="1436" t="str">
        <f t="shared" si="74"/>
        <v>%</v>
      </c>
      <c r="H34" s="2337" t="str">
        <f t="shared" si="74"/>
        <v>2018/19</v>
      </c>
      <c r="I34" s="44" t="str">
        <f t="shared" si="74"/>
        <v>2019/20</v>
      </c>
      <c r="J34" s="94" t="str">
        <f t="shared" si="74"/>
        <v>2020/21</v>
      </c>
      <c r="K34" s="1761" t="str">
        <f t="shared" si="74"/>
        <v>2021/22</v>
      </c>
      <c r="L34" s="94" t="str">
        <f t="shared" si="74"/>
        <v>2022/23</v>
      </c>
      <c r="M34" s="94" t="str">
        <f t="shared" si="74"/>
        <v>2023/24</v>
      </c>
      <c r="N34" s="94" t="str">
        <f t="shared" si="74"/>
        <v>2024/25</v>
      </c>
      <c r="O34" s="94" t="str">
        <f t="shared" ref="O34" si="75">O3</f>
        <v>2025/26</v>
      </c>
      <c r="P34" s="94" t="str">
        <f t="shared" ref="P34:Q34" si="76">P3</f>
        <v>2026/27</v>
      </c>
      <c r="Q34" s="1762" t="str">
        <f t="shared" si="76"/>
        <v>2027/28</v>
      </c>
    </row>
    <row r="35" spans="1:18" x14ac:dyDescent="0.2">
      <c r="A35" s="45"/>
      <c r="B35" s="9"/>
      <c r="C35" s="9"/>
      <c r="D35" s="9"/>
      <c r="E35" s="9"/>
      <c r="F35" s="89"/>
      <c r="G35" s="79"/>
      <c r="H35" s="89"/>
      <c r="I35" s="9"/>
      <c r="J35" s="9"/>
      <c r="K35" s="46"/>
      <c r="L35" s="9"/>
      <c r="M35" s="9"/>
      <c r="N35" s="9"/>
      <c r="O35" s="9"/>
      <c r="P35" s="9"/>
      <c r="Q35" s="61"/>
    </row>
    <row r="36" spans="1:18" x14ac:dyDescent="0.2">
      <c r="A36" s="45"/>
      <c r="B36" s="9"/>
      <c r="C36" s="9"/>
      <c r="D36" s="9"/>
      <c r="E36" s="63" t="s">
        <v>2552</v>
      </c>
      <c r="F36" s="89"/>
      <c r="G36" s="79"/>
      <c r="H36" s="89"/>
      <c r="I36" s="9"/>
      <c r="J36" s="9"/>
      <c r="K36" s="46"/>
      <c r="L36" s="9"/>
      <c r="M36" s="9"/>
      <c r="N36" s="9"/>
      <c r="O36" s="9"/>
      <c r="P36" s="9"/>
      <c r="Q36" s="61"/>
    </row>
    <row r="37" spans="1:18" x14ac:dyDescent="0.2">
      <c r="A37" s="45"/>
      <c r="B37" s="9"/>
      <c r="C37" s="9"/>
      <c r="D37" s="9"/>
      <c r="E37" s="63"/>
      <c r="F37" s="89"/>
      <c r="G37" s="79"/>
      <c r="H37" s="89"/>
      <c r="I37" s="9"/>
      <c r="J37" s="9"/>
      <c r="K37" s="46"/>
      <c r="L37" s="9"/>
      <c r="M37" s="9"/>
      <c r="N37" s="9"/>
      <c r="O37" s="9"/>
      <c r="P37" s="9"/>
      <c r="Q37" s="61"/>
    </row>
    <row r="38" spans="1:18" x14ac:dyDescent="0.2">
      <c r="A38" s="45"/>
      <c r="B38" s="9"/>
      <c r="C38" s="9"/>
      <c r="D38" s="9"/>
      <c r="E38" s="2129" t="s">
        <v>0</v>
      </c>
      <c r="F38" s="89"/>
      <c r="G38" s="584"/>
      <c r="H38" s="89"/>
      <c r="I38" s="9"/>
      <c r="J38" s="9"/>
      <c r="K38" s="46"/>
      <c r="L38" s="9"/>
      <c r="M38" s="9"/>
      <c r="N38" s="9"/>
      <c r="O38" s="9"/>
      <c r="P38" s="9"/>
      <c r="Q38" s="61"/>
    </row>
    <row r="39" spans="1:18" x14ac:dyDescent="0.2">
      <c r="A39" s="45">
        <f>ROUND(Summaries!Q7,-3)</f>
        <v>24301000</v>
      </c>
      <c r="B39" s="9">
        <f>Summaries!R7-Internals!U5</f>
        <v>24729500</v>
      </c>
      <c r="C39" s="9">
        <f>Summaries!S7-Internals!V5</f>
        <v>26093600</v>
      </c>
      <c r="D39" s="9">
        <f>Summaries!T7-Internals!W5</f>
        <v>28107400</v>
      </c>
      <c r="E39" s="2130" t="s">
        <v>2296</v>
      </c>
      <c r="F39" s="89">
        <f>Summaries!U7-Internals!Y5</f>
        <v>27609100</v>
      </c>
      <c r="G39" s="584">
        <f t="shared" ref="G39:G44" si="77">IF(D39=F39,0,IF(D39=0,100,(F39-D39)/D39*100))</f>
        <v>-1.7728427389228461</v>
      </c>
      <c r="H39" s="89">
        <f>Summaries!V7-Internals!Z5</f>
        <v>27628200</v>
      </c>
      <c r="I39" s="89">
        <f>Summaries!W7-Internals!AA5</f>
        <v>28421500</v>
      </c>
      <c r="J39" s="89">
        <f>Summaries!X7-Internals!AB5</f>
        <v>29236500</v>
      </c>
      <c r="K39" s="89">
        <f>Summaries!Y7-Internals!AC5</f>
        <v>30075000</v>
      </c>
      <c r="L39" s="89">
        <f>Summaries!Z7-Internals!AD5</f>
        <v>30938700</v>
      </c>
      <c r="M39" s="89">
        <f>Summaries!AA7-Internals!AE5</f>
        <v>31826200</v>
      </c>
      <c r="N39" s="9">
        <f>Summaries!AB7-Internals!AF5</f>
        <v>32739500</v>
      </c>
      <c r="O39" s="9">
        <f>Summaries!AC7-Internals!AG5</f>
        <v>33679200</v>
      </c>
      <c r="P39" s="9">
        <f>Summaries!AD7-Internals!AH5</f>
        <v>34645800</v>
      </c>
      <c r="Q39" s="61">
        <f>Summaries!AE7-Internals!AI5</f>
        <v>35641300</v>
      </c>
    </row>
    <row r="40" spans="1:18" x14ac:dyDescent="0.2">
      <c r="A40" s="45">
        <f>ROUND(Summaries!Q8,-3)</f>
        <v>9284000</v>
      </c>
      <c r="B40" s="9">
        <f>Summaries!R8-Internals!U6</f>
        <v>10070700</v>
      </c>
      <c r="C40" s="9">
        <f>Summaries!S8</f>
        <v>10785800</v>
      </c>
      <c r="D40" s="9">
        <f>Summaries!T8</f>
        <v>10998500</v>
      </c>
      <c r="E40" s="2130" t="s">
        <v>2337</v>
      </c>
      <c r="F40" s="89">
        <f>Summaries!U8</f>
        <v>10705500</v>
      </c>
      <c r="G40" s="584">
        <f t="shared" si="77"/>
        <v>-2.6639996363140428</v>
      </c>
      <c r="H40" s="9">
        <f>Summaries!V8</f>
        <v>11016700</v>
      </c>
      <c r="I40" s="9">
        <f>Summaries!W8</f>
        <v>11368400</v>
      </c>
      <c r="J40" s="9">
        <f>Summaries!X8</f>
        <v>11615200</v>
      </c>
      <c r="K40" s="9">
        <f>Summaries!Y8</f>
        <v>11865000</v>
      </c>
      <c r="L40" s="9">
        <f>Summaries!Z8</f>
        <v>12123000</v>
      </c>
      <c r="M40" s="9">
        <f>Summaries!AA8</f>
        <v>12386500</v>
      </c>
      <c r="N40" s="9">
        <f>Summaries!AB8</f>
        <v>12657500</v>
      </c>
      <c r="O40" s="9">
        <f>Summaries!AC8</f>
        <v>12932500</v>
      </c>
      <c r="P40" s="9">
        <f>Summaries!AD8</f>
        <v>13216500</v>
      </c>
      <c r="Q40" s="47">
        <f>Summaries!AE8</f>
        <v>13492300</v>
      </c>
    </row>
    <row r="41" spans="1:18" x14ac:dyDescent="0.2">
      <c r="A41" s="45">
        <f>ROUND(Summaries!Q9,-3)</f>
        <v>2105000</v>
      </c>
      <c r="B41" s="9">
        <f>Summaries!R9-46000</f>
        <v>1403300</v>
      </c>
      <c r="C41" s="9">
        <f>Summaries!S9</f>
        <v>1298100</v>
      </c>
      <c r="D41" s="9">
        <f>Summaries!T9</f>
        <v>1462800</v>
      </c>
      <c r="E41" s="2130" t="s">
        <v>4154</v>
      </c>
      <c r="F41" s="89">
        <f>Summaries!U9</f>
        <v>982900</v>
      </c>
      <c r="G41" s="584">
        <f t="shared" si="77"/>
        <v>-32.806945583811867</v>
      </c>
      <c r="H41" s="9">
        <f>Summaries!V9</f>
        <v>1116800</v>
      </c>
      <c r="I41" s="9">
        <f>Summaries!W9</f>
        <v>1300400</v>
      </c>
      <c r="J41" s="9">
        <f>Summaries!X9</f>
        <v>1043100</v>
      </c>
      <c r="K41" s="9">
        <f>Summaries!Y9</f>
        <v>1014800</v>
      </c>
      <c r="L41" s="9">
        <f>Summaries!Z9</f>
        <v>1042600</v>
      </c>
      <c r="M41" s="9">
        <f>Summaries!AA9</f>
        <v>1139900</v>
      </c>
      <c r="N41" s="9">
        <f>Summaries!AB9</f>
        <v>1231300</v>
      </c>
      <c r="O41" s="9">
        <f>Summaries!AC9</f>
        <v>1394700</v>
      </c>
      <c r="P41" s="9">
        <f>Summaries!AD9</f>
        <v>1536700</v>
      </c>
      <c r="Q41" s="47">
        <f>Summaries!AE9</f>
        <v>1671200</v>
      </c>
    </row>
    <row r="42" spans="1:18" x14ac:dyDescent="0.2">
      <c r="A42" s="45">
        <f>ROUND(Summaries!Q10,-3)</f>
        <v>4577000</v>
      </c>
      <c r="B42" s="9">
        <f>Summaries!R10+46000-Internals!U8</f>
        <v>3984700</v>
      </c>
      <c r="C42" s="9">
        <f>Summaries!S10-Internals!V8</f>
        <v>2303300</v>
      </c>
      <c r="D42" s="9">
        <f>Summaries!T10-Internals!W8</f>
        <v>4651000</v>
      </c>
      <c r="E42" s="2130" t="s">
        <v>420</v>
      </c>
      <c r="F42" s="89">
        <f>Summaries!U10-Internals!Y8</f>
        <v>5091000</v>
      </c>
      <c r="G42" s="584">
        <f t="shared" si="77"/>
        <v>9.4603311115889053</v>
      </c>
      <c r="H42" s="9">
        <f>Summaries!V10-Internals!Z8</f>
        <v>4536500</v>
      </c>
      <c r="I42" s="9">
        <f>Summaries!W10-Internals!AA8</f>
        <v>5212200</v>
      </c>
      <c r="J42" s="9">
        <f>Summaries!X10-Internals!AB8</f>
        <v>4710100</v>
      </c>
      <c r="K42" s="9">
        <f>Summaries!Y10-Internals!AC8</f>
        <v>5512700</v>
      </c>
      <c r="L42" s="9">
        <f>Summaries!Z10-Internals!AD8</f>
        <v>4976700</v>
      </c>
      <c r="M42" s="9">
        <f>Summaries!AA10-Internals!AE8</f>
        <v>5893400</v>
      </c>
      <c r="N42" s="9">
        <f>Summaries!AB10-Internals!AF8</f>
        <v>5257700</v>
      </c>
      <c r="O42" s="9">
        <f>Summaries!AC10-Internals!AG8</f>
        <v>6109800</v>
      </c>
      <c r="P42" s="9">
        <f>Summaries!AD10-Internals!AH8</f>
        <v>5554900</v>
      </c>
      <c r="Q42" s="47">
        <f>Summaries!AE10-Internals!AI8</f>
        <v>6432200</v>
      </c>
    </row>
    <row r="43" spans="1:18" ht="12.75" customHeight="1" x14ac:dyDescent="0.2">
      <c r="A43" s="45">
        <f>ROUND(Summaries!Q11,-3)</f>
        <v>5780000</v>
      </c>
      <c r="B43" s="9">
        <f>Summaries!R11-Internals!U9</f>
        <v>7846000</v>
      </c>
      <c r="C43" s="9">
        <f>Summaries!S11</f>
        <v>9075200</v>
      </c>
      <c r="D43" s="9">
        <f>Summaries!T11</f>
        <v>11718300</v>
      </c>
      <c r="E43" s="2130" t="s">
        <v>4164</v>
      </c>
      <c r="F43" s="89">
        <f>Summaries!U11</f>
        <v>7750900</v>
      </c>
      <c r="G43" s="584">
        <f t="shared" si="77"/>
        <v>-33.856446754222027</v>
      </c>
      <c r="H43" s="9">
        <f>Summaries!V11</f>
        <v>7244700</v>
      </c>
      <c r="I43" s="9">
        <f>Summaries!W11</f>
        <v>7476700</v>
      </c>
      <c r="J43" s="9">
        <f>Summaries!X11</f>
        <v>7480600</v>
      </c>
      <c r="K43" s="9">
        <f>Summaries!Y11</f>
        <v>7585500</v>
      </c>
      <c r="L43" s="9">
        <f>Summaries!Z11</f>
        <v>7694800</v>
      </c>
      <c r="M43" s="9">
        <f>Summaries!AA11</f>
        <v>7840100</v>
      </c>
      <c r="N43" s="9">
        <f>Summaries!AB11</f>
        <v>7998300</v>
      </c>
      <c r="O43" s="9">
        <f>Summaries!AC11</f>
        <v>8162300</v>
      </c>
      <c r="P43" s="9">
        <f>Summaries!AD11</f>
        <v>8329800</v>
      </c>
      <c r="Q43" s="47">
        <f>Summaries!AE11</f>
        <v>8500900</v>
      </c>
    </row>
    <row r="44" spans="1:18" x14ac:dyDescent="0.2">
      <c r="A44" s="45">
        <f>ROUND(Summaries!Q40+Summaries!Q41,-3)</f>
        <v>10914000</v>
      </c>
      <c r="B44" s="9">
        <f>Summaries!R40+Summaries!R41-Internals!U10</f>
        <v>12768000</v>
      </c>
      <c r="C44" s="9">
        <f>Summaries!S40+Summaries!S41</f>
        <v>11484100</v>
      </c>
      <c r="D44" s="9">
        <f>Summaries!T40+Summaries!T41</f>
        <v>11107000</v>
      </c>
      <c r="E44" s="2130" t="s">
        <v>4165</v>
      </c>
      <c r="F44" s="89">
        <f>Summaries!U40+Summaries!U41</f>
        <v>16009800</v>
      </c>
      <c r="G44" s="584">
        <f t="shared" si="77"/>
        <v>44.141532366975781</v>
      </c>
      <c r="H44" s="89">
        <f>Summaries!V40+Summaries!V41</f>
        <v>11968100</v>
      </c>
      <c r="I44" s="89">
        <f>Summaries!W40+Summaries!W41</f>
        <v>8754800</v>
      </c>
      <c r="J44" s="89">
        <f>Summaries!X40+Summaries!X41</f>
        <v>14972000</v>
      </c>
      <c r="K44" s="89">
        <f>Summaries!Y40+Summaries!Y41</f>
        <v>15344100</v>
      </c>
      <c r="L44" s="89">
        <f>Summaries!Z40+Summaries!Z41</f>
        <v>7726000</v>
      </c>
      <c r="M44" s="89">
        <f>Summaries!AA40+Summaries!AA41</f>
        <v>7917700</v>
      </c>
      <c r="N44" s="9">
        <f>Summaries!AB40+Summaries!AB41</f>
        <v>8113400</v>
      </c>
      <c r="O44" s="9">
        <f>Summaries!AC40+Summaries!AC41</f>
        <v>8313900</v>
      </c>
      <c r="P44" s="9">
        <f>Summaries!AD40+Summaries!AD41</f>
        <v>8520200</v>
      </c>
      <c r="Q44" s="47">
        <f>Summaries!AE40+Summaries!AE41</f>
        <v>8731600</v>
      </c>
    </row>
    <row r="45" spans="1:18" x14ac:dyDescent="0.2">
      <c r="A45" s="45"/>
      <c r="B45" s="9"/>
      <c r="C45" s="9"/>
      <c r="D45" s="9"/>
      <c r="E45" s="2129" t="s">
        <v>4159</v>
      </c>
      <c r="F45" s="89"/>
      <c r="G45" s="584"/>
      <c r="H45" s="9"/>
      <c r="I45" s="9"/>
      <c r="J45" s="9"/>
      <c r="K45" s="9"/>
      <c r="L45" s="9"/>
      <c r="M45" s="9"/>
      <c r="N45" s="9"/>
      <c r="O45" s="9"/>
      <c r="P45" s="9"/>
      <c r="Q45" s="61"/>
    </row>
    <row r="46" spans="1:18" x14ac:dyDescent="0.2">
      <c r="A46" s="45">
        <f>IF(Summaries!Q12&gt;Summaries!Q22,Summaries!Q12-Summaries!Q22,0)</f>
        <v>0</v>
      </c>
      <c r="B46" s="9">
        <f>IF(Summaries!R12&gt;Summaries!R22,Summaries!R12-Summaries!R22,0)</f>
        <v>0</v>
      </c>
      <c r="C46" s="9">
        <f>IF(Summaries!S12&gt;Summaries!S22,Summaries!S12-Summaries!S22,0)</f>
        <v>0</v>
      </c>
      <c r="D46" s="9">
        <f>IF(Summaries!T12&gt;Summaries!T22,Summaries!T12-Summaries!T22,0)</f>
        <v>0</v>
      </c>
      <c r="E46" s="2130" t="s">
        <v>4160</v>
      </c>
      <c r="F46" s="89">
        <f>IF(Summaries!U12&gt;Summaries!U22,Summaries!U12-Summaries!U22,0)</f>
        <v>0</v>
      </c>
      <c r="G46" s="584">
        <f>IF(D46=F46,0,IF(D46=0,100,(F46-D46)/D46*100))</f>
        <v>0</v>
      </c>
      <c r="H46" s="9">
        <f>IF(Summaries!V12&gt;Summaries!V22,Summaries!V12-Summaries!V22,0)</f>
        <v>0</v>
      </c>
      <c r="I46" s="9">
        <f>IF(Summaries!W12&gt;Summaries!W22,Summaries!W12-Summaries!W22,0)</f>
        <v>0</v>
      </c>
      <c r="J46" s="9">
        <f>IF(Summaries!X12&gt;Summaries!X22,Summaries!X12-Summaries!X22,0)</f>
        <v>0</v>
      </c>
      <c r="K46" s="9">
        <f>IF(Summaries!Y12&gt;Summaries!Y22,Summaries!Y12-Summaries!Y22,0)</f>
        <v>0</v>
      </c>
      <c r="L46" s="9">
        <f>IF(Summaries!Z12&gt;Summaries!Z22,Summaries!Z12-Summaries!Z22,0)</f>
        <v>0</v>
      </c>
      <c r="M46" s="9">
        <f>IF(Summaries!AA12&gt;Summaries!AA22,Summaries!AA12-Summaries!AA22,0)</f>
        <v>0</v>
      </c>
      <c r="N46" s="9">
        <f>IF(Summaries!AB12&gt;Summaries!AB22,Summaries!AB12-Summaries!AB22,0)</f>
        <v>0</v>
      </c>
      <c r="O46" s="9">
        <f>IF(Summaries!AC12&gt;Summaries!AC22,Summaries!AC12-Summaries!AC22,0)</f>
        <v>0</v>
      </c>
      <c r="P46" s="9">
        <f>IF(Summaries!AD12&gt;Summaries!AD22,Summaries!AD12-Summaries!AD22,0)</f>
        <v>0</v>
      </c>
      <c r="Q46" s="61">
        <f>IF(Summaries!AF12&gt;Summaries!AF22,Summaries!AF12-Summaries!AF22,0)</f>
        <v>0</v>
      </c>
    </row>
    <row r="47" spans="1:18" s="65" customFormat="1" x14ac:dyDescent="0.2">
      <c r="A47" s="1774">
        <f>SUM(A39:A46)</f>
        <v>56961000</v>
      </c>
      <c r="B47" s="63">
        <f>SUM(B39:B46)</f>
        <v>60802200</v>
      </c>
      <c r="C47" s="63">
        <f>SUM(C39:C46)</f>
        <v>61040100</v>
      </c>
      <c r="D47" s="63">
        <f>SUM(D39:D46)</f>
        <v>68045000</v>
      </c>
      <c r="E47" s="2129" t="s">
        <v>4155</v>
      </c>
      <c r="F47" s="107">
        <f t="shared" ref="F47:M47" si="78">SUM(F39:F46)</f>
        <v>68149200</v>
      </c>
      <c r="G47" s="220">
        <f>IF(D47=F47,0,IF(D47=0,100,(F47-D47)/D47*100))</f>
        <v>0.15313395547064443</v>
      </c>
      <c r="H47" s="107">
        <f t="shared" si="78"/>
        <v>63511000</v>
      </c>
      <c r="I47" s="63">
        <f t="shared" si="78"/>
        <v>62534000</v>
      </c>
      <c r="J47" s="63">
        <f t="shared" si="78"/>
        <v>69057500</v>
      </c>
      <c r="K47" s="92">
        <f t="shared" si="78"/>
        <v>71397100</v>
      </c>
      <c r="L47" s="63">
        <f t="shared" si="78"/>
        <v>64501800</v>
      </c>
      <c r="M47" s="63">
        <f t="shared" si="78"/>
        <v>67003800</v>
      </c>
      <c r="N47" s="63">
        <f t="shared" ref="N47" si="79">SUM(N39:N46)</f>
        <v>67997700</v>
      </c>
      <c r="O47" s="63">
        <f t="shared" ref="O47" si="80">SUM(O39:O46)</f>
        <v>70592400</v>
      </c>
      <c r="P47" s="63">
        <f t="shared" ref="P47:Q47" si="81">SUM(P39:P46)</f>
        <v>71803900</v>
      </c>
      <c r="Q47" s="106">
        <f t="shared" si="81"/>
        <v>74469500</v>
      </c>
      <c r="R47" s="34"/>
    </row>
    <row r="48" spans="1:18" x14ac:dyDescent="0.2">
      <c r="A48" s="45"/>
      <c r="B48" s="9"/>
      <c r="C48" s="9"/>
      <c r="D48" s="9"/>
      <c r="E48" s="2129"/>
      <c r="F48" s="89"/>
      <c r="G48" s="584"/>
      <c r="H48" s="89"/>
      <c r="I48" s="9"/>
      <c r="J48" s="9"/>
      <c r="K48" s="46"/>
      <c r="L48" s="9"/>
      <c r="M48" s="9"/>
      <c r="N48" s="9"/>
      <c r="O48" s="9"/>
      <c r="P48" s="9"/>
      <c r="Q48" s="61"/>
    </row>
    <row r="49" spans="1:17" x14ac:dyDescent="0.2">
      <c r="A49" s="45"/>
      <c r="B49" s="9"/>
      <c r="C49" s="9"/>
      <c r="D49" s="9"/>
      <c r="E49" s="2129" t="s">
        <v>2018</v>
      </c>
      <c r="F49" s="89"/>
      <c r="G49" s="584"/>
      <c r="H49" s="89"/>
      <c r="I49" s="9"/>
      <c r="J49" s="9"/>
      <c r="K49" s="46"/>
      <c r="L49" s="9"/>
      <c r="M49" s="9"/>
      <c r="N49" s="9"/>
      <c r="O49" s="9"/>
      <c r="P49" s="9"/>
      <c r="Q49" s="61"/>
    </row>
    <row r="50" spans="1:17" x14ac:dyDescent="0.2">
      <c r="A50" s="45">
        <f>ROUND(Summaries!Q17,-3)</f>
        <v>14771000</v>
      </c>
      <c r="B50" s="9">
        <f>Summaries!R17</f>
        <v>15453100</v>
      </c>
      <c r="C50" s="9">
        <f>Summaries!S17</f>
        <v>16138000</v>
      </c>
      <c r="D50" s="9">
        <f>Summaries!T17</f>
        <v>15939000</v>
      </c>
      <c r="E50" s="2130" t="s">
        <v>4156</v>
      </c>
      <c r="F50" s="89">
        <f>Summaries!U17</f>
        <v>16434000</v>
      </c>
      <c r="G50" s="584">
        <f t="shared" ref="G50:G56" si="82">IF(D50=F50,0,IF(D50=0,100,(F50-D50)/D50*100))</f>
        <v>3.1055900621118013</v>
      </c>
      <c r="H50" s="9">
        <f>Summaries!V17</f>
        <v>16945000</v>
      </c>
      <c r="I50" s="9">
        <f>Summaries!W17</f>
        <v>17472000</v>
      </c>
      <c r="J50" s="9">
        <f>Summaries!X17</f>
        <v>18015000</v>
      </c>
      <c r="K50" s="9">
        <f>Summaries!Y17</f>
        <v>18575000</v>
      </c>
      <c r="L50" s="9">
        <f>Summaries!Z17</f>
        <v>19152000</v>
      </c>
      <c r="M50" s="9">
        <f>Summaries!AA17</f>
        <v>19746000</v>
      </c>
      <c r="N50" s="9">
        <f>Summaries!AB17</f>
        <v>20359000</v>
      </c>
      <c r="O50" s="9">
        <f>Summaries!AC17</f>
        <v>20992000</v>
      </c>
      <c r="P50" s="9">
        <f>Summaries!AD17</f>
        <v>21644000</v>
      </c>
      <c r="Q50" s="47">
        <f>Summaries!AE17</f>
        <v>22316000</v>
      </c>
    </row>
    <row r="51" spans="1:17" x14ac:dyDescent="0.2">
      <c r="A51" s="45">
        <f>ROUND(Summaries!Q19,-3)</f>
        <v>1679000</v>
      </c>
      <c r="B51" s="9">
        <f>Summaries!R19-Internals!U15</f>
        <v>1564000</v>
      </c>
      <c r="C51" s="9">
        <f>Summaries!S19</f>
        <v>1334300</v>
      </c>
      <c r="D51" s="9">
        <f>Summaries!T19</f>
        <v>1074400</v>
      </c>
      <c r="E51" s="2130" t="s">
        <v>2152</v>
      </c>
      <c r="F51" s="89">
        <f>Summaries!U19</f>
        <v>1370500</v>
      </c>
      <c r="G51" s="584">
        <f t="shared" si="82"/>
        <v>27.55956813104989</v>
      </c>
      <c r="H51" s="89">
        <f>Summaries!V19</f>
        <v>1295000</v>
      </c>
      <c r="I51" s="89">
        <f>Summaries!W19</f>
        <v>1225600</v>
      </c>
      <c r="J51" s="89">
        <f>Summaries!X19</f>
        <v>1050700</v>
      </c>
      <c r="K51" s="89">
        <f>Summaries!Y19</f>
        <v>1231400</v>
      </c>
      <c r="L51" s="89">
        <f>Summaries!Z19</f>
        <v>1060600</v>
      </c>
      <c r="M51" s="89">
        <f>Summaries!AA19</f>
        <v>933900</v>
      </c>
      <c r="N51" s="9">
        <f>Summaries!AB19</f>
        <v>832600</v>
      </c>
      <c r="O51" s="9">
        <f>Summaries!AC19</f>
        <v>748700</v>
      </c>
      <c r="P51" s="9">
        <f>Summaries!AD19</f>
        <v>685900</v>
      </c>
      <c r="Q51" s="47">
        <f>Summaries!AE19</f>
        <v>622000</v>
      </c>
    </row>
    <row r="52" spans="1:17" x14ac:dyDescent="0.2">
      <c r="A52" s="45">
        <f>ROUND(Summaries!Q18,-3)</f>
        <v>15428000</v>
      </c>
      <c r="B52" s="9">
        <f>Summaries!R18-Internals!U16</f>
        <v>17761300</v>
      </c>
      <c r="C52" s="9">
        <f>Summaries!S18</f>
        <v>17592600</v>
      </c>
      <c r="D52" s="9">
        <f>Summaries!T18</f>
        <v>16790800</v>
      </c>
      <c r="E52" s="2130" t="s">
        <v>2336</v>
      </c>
      <c r="F52" s="89">
        <f>Summaries!U18</f>
        <v>19391000</v>
      </c>
      <c r="G52" s="584">
        <f t="shared" si="82"/>
        <v>15.485861305000356</v>
      </c>
      <c r="H52" s="89">
        <f>Summaries!V18</f>
        <v>16855200</v>
      </c>
      <c r="I52" s="89">
        <f>Summaries!W18</f>
        <v>17501900</v>
      </c>
      <c r="J52" s="89">
        <f>Summaries!X18</f>
        <v>17487400</v>
      </c>
      <c r="K52" s="89">
        <f>Summaries!Y18</f>
        <v>17902500</v>
      </c>
      <c r="L52" s="89">
        <f>Summaries!Z18</f>
        <v>18083500</v>
      </c>
      <c r="M52" s="89">
        <f>Summaries!AA18</f>
        <v>18618600</v>
      </c>
      <c r="N52" s="9">
        <f>Summaries!AB18</f>
        <v>18944500</v>
      </c>
      <c r="O52" s="9">
        <f>Summaries!AC18</f>
        <v>19222100</v>
      </c>
      <c r="P52" s="9">
        <f>Summaries!AD18</f>
        <v>19458200</v>
      </c>
      <c r="Q52" s="47">
        <f>Summaries!AE18</f>
        <v>19778300</v>
      </c>
    </row>
    <row r="53" spans="1:17" x14ac:dyDescent="0.2">
      <c r="A53" s="45">
        <f>ROUND(Summaries!Q20,-3)</f>
        <v>15866000</v>
      </c>
      <c r="B53" s="9">
        <f>Summaries!R20-Internals!U17</f>
        <v>14146000</v>
      </c>
      <c r="C53" s="9">
        <f>Summaries!S20</f>
        <v>14166800</v>
      </c>
      <c r="D53" s="9">
        <f>Summaries!T20</f>
        <v>11005700</v>
      </c>
      <c r="E53" s="2130" t="s">
        <v>4157</v>
      </c>
      <c r="F53" s="89">
        <f>Summaries!U20</f>
        <v>13383900</v>
      </c>
      <c r="G53" s="584">
        <f t="shared" si="82"/>
        <v>21.608802711322316</v>
      </c>
      <c r="H53" s="9">
        <f>Summaries!V20</f>
        <v>13754800</v>
      </c>
      <c r="I53" s="9">
        <f>Summaries!W20</f>
        <v>14122400</v>
      </c>
      <c r="J53" s="9">
        <f>Summaries!X20</f>
        <v>14406200</v>
      </c>
      <c r="K53" s="9">
        <f>Summaries!Y20</f>
        <v>14695800</v>
      </c>
      <c r="L53" s="9">
        <f>Summaries!Z20</f>
        <v>14991200</v>
      </c>
      <c r="M53" s="9">
        <f>Summaries!AA20</f>
        <v>15292300</v>
      </c>
      <c r="N53" s="9">
        <f>Summaries!AB20</f>
        <v>15599600</v>
      </c>
      <c r="O53" s="9">
        <f>Summaries!AC20</f>
        <v>15913100</v>
      </c>
      <c r="P53" s="9">
        <f>Summaries!AD20</f>
        <v>16232700</v>
      </c>
      <c r="Q53" s="47">
        <f>Summaries!AE20</f>
        <v>16558400</v>
      </c>
    </row>
    <row r="54" spans="1:17" x14ac:dyDescent="0.2">
      <c r="A54" s="45">
        <f>ROUND(Summaries!Q21,-3)</f>
        <v>4928000</v>
      </c>
      <c r="B54" s="9">
        <f>Summaries!R21-Internals!U18</f>
        <v>1228600</v>
      </c>
      <c r="C54" s="9">
        <f>Summaries!S21-Internals!V18</f>
        <v>3934400</v>
      </c>
      <c r="D54" s="9">
        <f>Summaries!T21-Internals!W18</f>
        <v>5283600</v>
      </c>
      <c r="E54" s="2130" t="s">
        <v>408</v>
      </c>
      <c r="F54" s="89">
        <f>Summaries!U21-Internals!Y18</f>
        <v>4695600</v>
      </c>
      <c r="G54" s="584">
        <f t="shared" si="82"/>
        <v>-11.128775834658187</v>
      </c>
      <c r="H54" s="9">
        <f>Summaries!V21-Internals!Z18</f>
        <v>4185800</v>
      </c>
      <c r="I54" s="9">
        <f>Summaries!W21-Internals!AA18</f>
        <v>4959000</v>
      </c>
      <c r="J54" s="9">
        <f>Summaries!X21-Internals!AB18</f>
        <v>4695000</v>
      </c>
      <c r="K54" s="9">
        <f>Summaries!Y21-Internals!AC18</f>
        <v>5220200</v>
      </c>
      <c r="L54" s="9">
        <f>Summaries!Z21-Internals!AD18</f>
        <v>4675800</v>
      </c>
      <c r="M54" s="9">
        <f>Summaries!AA21-Internals!AE18</f>
        <v>5493500</v>
      </c>
      <c r="N54" s="9">
        <f>Summaries!AB21-Internals!AF18</f>
        <v>5240300</v>
      </c>
      <c r="O54" s="9">
        <f>Summaries!AC21-Internals!AG18</f>
        <v>5779500</v>
      </c>
      <c r="P54" s="9">
        <f>Summaries!AD21-Internals!AH18</f>
        <v>5214700</v>
      </c>
      <c r="Q54" s="47">
        <f>Summaries!AE21-Internals!AI18</f>
        <v>6082000</v>
      </c>
    </row>
    <row r="55" spans="1:17" x14ac:dyDescent="0.2">
      <c r="A55" s="45">
        <f>IF(Summaries!Q22&gt;Summaries!Q12,Summaries!Q22-Summaries!Q12,0)</f>
        <v>3924000</v>
      </c>
      <c r="B55" s="9">
        <f>IF(Summaries!R22&gt;Summaries!R12,Summaries!R22-Summaries!R12,0)-Internals!U19</f>
        <v>974000</v>
      </c>
      <c r="C55" s="9">
        <f>IF(Summaries!S22&gt;Summaries!S12,Summaries!S22-Summaries!S12,0)</f>
        <v>0</v>
      </c>
      <c r="D55" s="9">
        <f>IF(Summaries!T22&gt;Summaries!T12,Summaries!T22-Summaries!T12,0)</f>
        <v>5601500</v>
      </c>
      <c r="E55" s="2130" t="s">
        <v>4158</v>
      </c>
      <c r="F55" s="89">
        <f>IF(Summaries!U22&gt;Summaries!U12,Summaries!U22-Summaries!U12,0)</f>
        <v>0</v>
      </c>
      <c r="G55" s="584">
        <f t="shared" si="82"/>
        <v>-100</v>
      </c>
      <c r="H55" s="9">
        <f>IF(Summaries!V22&gt;Summaries!V12,Summaries!V22-Summaries!V12,0)</f>
        <v>0</v>
      </c>
      <c r="I55" s="9">
        <f>IF(Summaries!W22&gt;Summaries!W12,Summaries!W22-Summaries!W12,0)</f>
        <v>0</v>
      </c>
      <c r="J55" s="9">
        <f>IF(Summaries!X22&gt;Summaries!X12,Summaries!X22-Summaries!X12,0)</f>
        <v>0</v>
      </c>
      <c r="K55" s="9">
        <f>IF(Summaries!Y22&gt;Summaries!Y12,Summaries!Y22-Summaries!Y12,0)</f>
        <v>0</v>
      </c>
      <c r="L55" s="9">
        <f>IF(Summaries!Z22&gt;Summaries!Z12,Summaries!Z22-Summaries!Z12,0)</f>
        <v>0</v>
      </c>
      <c r="M55" s="9">
        <f>IF(Summaries!AA22&gt;Summaries!AA12,Summaries!AA22-Summaries!AA12,0)</f>
        <v>0</v>
      </c>
      <c r="N55" s="9">
        <f>IF(Summaries!AB22&gt;Summaries!AB12,Summaries!AB22-Summaries!AB12,0)</f>
        <v>0</v>
      </c>
      <c r="O55" s="9">
        <f>IF(Summaries!AC22&gt;Summaries!AC12,Summaries!AC22-Summaries!AC12,0)</f>
        <v>0</v>
      </c>
      <c r="P55" s="9">
        <f>IF(Summaries!AD22&gt;Summaries!AD12,Summaries!AD22-Summaries!AD12,0)</f>
        <v>0</v>
      </c>
      <c r="Q55" s="47">
        <f>IF(Summaries!AE22&gt;Summaries!AE12,Summaries!AE22-Summaries!AE12,0)</f>
        <v>0</v>
      </c>
    </row>
    <row r="56" spans="1:17" s="65" customFormat="1" x14ac:dyDescent="0.2">
      <c r="A56" s="1774">
        <f>SUM(A50:A55)</f>
        <v>56596000</v>
      </c>
      <c r="B56" s="63">
        <f>SUM(B50:B55)</f>
        <v>51127000</v>
      </c>
      <c r="C56" s="63">
        <f>SUM(C50:C55)</f>
        <v>53166100</v>
      </c>
      <c r="D56" s="63">
        <f>SUM(D50:D55)</f>
        <v>55695000</v>
      </c>
      <c r="E56" s="2129" t="s">
        <v>4161</v>
      </c>
      <c r="F56" s="107">
        <f t="shared" ref="F56:N56" si="83">SUM(F50:F55)</f>
        <v>55275000</v>
      </c>
      <c r="G56" s="220">
        <f t="shared" si="82"/>
        <v>-0.75410719095071366</v>
      </c>
      <c r="H56" s="107">
        <f t="shared" si="83"/>
        <v>53035800</v>
      </c>
      <c r="I56" s="63">
        <f t="shared" si="83"/>
        <v>55280900</v>
      </c>
      <c r="J56" s="63">
        <f t="shared" si="83"/>
        <v>55654300</v>
      </c>
      <c r="K56" s="92">
        <f t="shared" si="83"/>
        <v>57624900</v>
      </c>
      <c r="L56" s="63">
        <f t="shared" si="83"/>
        <v>57963100</v>
      </c>
      <c r="M56" s="63">
        <f t="shared" si="83"/>
        <v>60084300</v>
      </c>
      <c r="N56" s="63">
        <f t="shared" si="83"/>
        <v>60976000</v>
      </c>
      <c r="O56" s="63">
        <f t="shared" ref="O56" si="84">SUM(O50:O55)</f>
        <v>62655400</v>
      </c>
      <c r="P56" s="63">
        <f t="shared" ref="P56:Q56" si="85">SUM(P50:P55)</f>
        <v>63235500</v>
      </c>
      <c r="Q56" s="106">
        <f t="shared" si="85"/>
        <v>65356700</v>
      </c>
    </row>
    <row r="57" spans="1:17" x14ac:dyDescent="0.2">
      <c r="A57" s="45"/>
      <c r="B57" s="9"/>
      <c r="C57" s="9"/>
      <c r="D57" s="9"/>
      <c r="E57" s="634"/>
      <c r="F57" s="89"/>
      <c r="G57" s="220"/>
      <c r="H57" s="89"/>
      <c r="I57" s="9"/>
      <c r="J57" s="9"/>
      <c r="K57" s="46"/>
      <c r="L57" s="9"/>
      <c r="M57" s="9"/>
      <c r="N57" s="9"/>
      <c r="O57" s="9"/>
      <c r="P57" s="9"/>
      <c r="Q57" s="61"/>
    </row>
    <row r="58" spans="1:17" s="65" customFormat="1" x14ac:dyDescent="0.2">
      <c r="A58" s="1774">
        <f>A47-A56</f>
        <v>365000</v>
      </c>
      <c r="B58" s="63">
        <f>B47-B56</f>
        <v>9675200</v>
      </c>
      <c r="C58" s="63">
        <f>C47-C56</f>
        <v>7874000</v>
      </c>
      <c r="D58" s="63">
        <f>D47-D56</f>
        <v>12350000</v>
      </c>
      <c r="E58" s="780" t="s">
        <v>4162</v>
      </c>
      <c r="F58" s="107">
        <f t="shared" ref="F58:N58" si="86">F47-F56</f>
        <v>12874200</v>
      </c>
      <c r="G58" s="220">
        <f>IF(D58=F58,0,IF(D58=0,100,(F58-D58)/D58*100))</f>
        <v>4.2445344129554652</v>
      </c>
      <c r="H58" s="107">
        <f t="shared" si="86"/>
        <v>10475200</v>
      </c>
      <c r="I58" s="63">
        <f t="shared" si="86"/>
        <v>7253100</v>
      </c>
      <c r="J58" s="63">
        <f t="shared" si="86"/>
        <v>13403200</v>
      </c>
      <c r="K58" s="92">
        <f t="shared" si="86"/>
        <v>13772200</v>
      </c>
      <c r="L58" s="63">
        <f t="shared" si="86"/>
        <v>6538700</v>
      </c>
      <c r="M58" s="63">
        <f t="shared" si="86"/>
        <v>6919500</v>
      </c>
      <c r="N58" s="63">
        <f t="shared" si="86"/>
        <v>7021700</v>
      </c>
      <c r="O58" s="63">
        <f t="shared" ref="O58" si="87">O47-O56</f>
        <v>7937000</v>
      </c>
      <c r="P58" s="63">
        <f t="shared" ref="P58:Q58" si="88">P47-P56</f>
        <v>8568400</v>
      </c>
      <c r="Q58" s="106">
        <f t="shared" si="88"/>
        <v>9112800</v>
      </c>
    </row>
    <row r="59" spans="1:17" x14ac:dyDescent="0.2">
      <c r="A59" s="45"/>
      <c r="B59" s="9"/>
      <c r="C59" s="9"/>
      <c r="D59" s="9"/>
      <c r="E59" s="634"/>
      <c r="F59" s="89"/>
      <c r="G59" s="220"/>
      <c r="H59" s="89"/>
      <c r="I59" s="9"/>
      <c r="J59" s="9"/>
      <c r="K59" s="46"/>
      <c r="L59" s="9"/>
      <c r="M59" s="9"/>
      <c r="N59" s="9"/>
      <c r="O59" s="9"/>
      <c r="P59" s="9"/>
      <c r="Q59" s="61"/>
    </row>
    <row r="60" spans="1:17" s="65" customFormat="1" x14ac:dyDescent="0.2">
      <c r="A60" s="1774">
        <f>A47-A44-A56</f>
        <v>-10549000</v>
      </c>
      <c r="B60" s="63">
        <f>B47-B44-B56</f>
        <v>-3092800</v>
      </c>
      <c r="C60" s="63">
        <f>C47-C44-C56</f>
        <v>-3610100</v>
      </c>
      <c r="D60" s="63">
        <f>D47-D44-D56</f>
        <v>1243000</v>
      </c>
      <c r="E60" s="780" t="s">
        <v>4611</v>
      </c>
      <c r="F60" s="107">
        <f t="shared" ref="F60:N60" si="89">F47-F44-F56</f>
        <v>-3135600</v>
      </c>
      <c r="G60" s="220">
        <f>IF(D60=F60,0,IF(D60=0,100,(F60-D60)/D60*100))</f>
        <v>-352.26065969428799</v>
      </c>
      <c r="H60" s="107">
        <f t="shared" si="89"/>
        <v>-1492900</v>
      </c>
      <c r="I60" s="63">
        <f t="shared" si="89"/>
        <v>-1501700</v>
      </c>
      <c r="J60" s="63">
        <f t="shared" si="89"/>
        <v>-1568800</v>
      </c>
      <c r="K60" s="92">
        <f t="shared" si="89"/>
        <v>-1571900</v>
      </c>
      <c r="L60" s="63">
        <f t="shared" si="89"/>
        <v>-1187300</v>
      </c>
      <c r="M60" s="63">
        <f t="shared" si="89"/>
        <v>-998200</v>
      </c>
      <c r="N60" s="63">
        <f t="shared" si="89"/>
        <v>-1091700</v>
      </c>
      <c r="O60" s="63">
        <f t="shared" ref="O60" si="90">O47-O44-O56</f>
        <v>-376900</v>
      </c>
      <c r="P60" s="63">
        <f t="shared" ref="P60:Q60" si="91">P47-P44-P56</f>
        <v>48200</v>
      </c>
      <c r="Q60" s="106">
        <f t="shared" si="91"/>
        <v>381200</v>
      </c>
    </row>
    <row r="61" spans="1:17" s="2226" customFormat="1" ht="13.5" thickBot="1" x14ac:dyDescent="0.25">
      <c r="A61" s="591"/>
      <c r="B61" s="592"/>
      <c r="C61" s="592"/>
      <c r="D61" s="592"/>
      <c r="E61" s="1776"/>
      <c r="F61" s="593"/>
      <c r="G61" s="751"/>
      <c r="H61" s="593"/>
      <c r="I61" s="592"/>
      <c r="J61" s="592"/>
      <c r="K61" s="208"/>
      <c r="L61" s="592"/>
      <c r="M61" s="592"/>
      <c r="N61" s="592"/>
      <c r="O61" s="592"/>
      <c r="P61" s="592"/>
      <c r="Q61" s="594"/>
    </row>
    <row r="62" spans="1:17" ht="14.25" thickTop="1" thickBot="1" x14ac:dyDescent="0.25"/>
    <row r="63" spans="1:17" s="1757" customFormat="1" ht="19.5" thickTop="1" thickBot="1" x14ac:dyDescent="0.3">
      <c r="A63" s="2573" t="s">
        <v>11967</v>
      </c>
      <c r="B63" s="2574"/>
      <c r="C63" s="2574"/>
      <c r="D63" s="2574"/>
      <c r="E63" s="2574"/>
      <c r="F63" s="2574"/>
      <c r="G63" s="2574"/>
      <c r="H63" s="2574"/>
      <c r="I63" s="2574"/>
      <c r="J63" s="2574"/>
      <c r="K63" s="2574"/>
      <c r="L63" s="2574"/>
      <c r="M63" s="2574"/>
      <c r="N63" s="2574"/>
      <c r="O63" s="2574"/>
      <c r="P63" s="2574"/>
      <c r="Q63" s="2575"/>
    </row>
    <row r="64" spans="1:17" x14ac:dyDescent="0.2">
      <c r="A64" s="2579" t="str">
        <f>$A$126</f>
        <v>ACTUAL</v>
      </c>
      <c r="B64" s="2580"/>
      <c r="C64" s="2580"/>
      <c r="D64" s="2581"/>
      <c r="E64" s="2434" t="str">
        <f>$E$126</f>
        <v>ITEM</v>
      </c>
      <c r="F64" s="2576" t="str">
        <f>F33</f>
        <v>ESTIMATED</v>
      </c>
      <c r="G64" s="2577"/>
      <c r="H64" s="2577"/>
      <c r="I64" s="2577"/>
      <c r="J64" s="2577"/>
      <c r="K64" s="2577"/>
      <c r="L64" s="2577"/>
      <c r="M64" s="2577"/>
      <c r="N64" s="2577"/>
      <c r="O64" s="2577"/>
      <c r="P64" s="2577"/>
      <c r="Q64" s="2578"/>
    </row>
    <row r="65" spans="1:17" ht="13.5" thickBot="1" x14ac:dyDescent="0.25">
      <c r="A65" s="1008" t="str">
        <f>LTFP!A34</f>
        <v>2013/14</v>
      </c>
      <c r="B65" s="28" t="str">
        <f>LTFP!B34</f>
        <v>2014/15</v>
      </c>
      <c r="C65" s="94" t="str">
        <f>LTFP!C34</f>
        <v>2015/16</v>
      </c>
      <c r="D65" s="94" t="str">
        <f>LTFP!D34</f>
        <v>2016/17</v>
      </c>
      <c r="E65" s="2435"/>
      <c r="F65" s="847" t="str">
        <f>LTFP!F34</f>
        <v>2017/18</v>
      </c>
      <c r="G65" s="1436" t="str">
        <f>G34</f>
        <v>%</v>
      </c>
      <c r="H65" s="2337" t="str">
        <f>LTFP!H34</f>
        <v>2018/19</v>
      </c>
      <c r="I65" s="44" t="str">
        <f>LTFP!I34</f>
        <v>2019/20</v>
      </c>
      <c r="J65" s="94" t="str">
        <f>LTFP!J34</f>
        <v>2020/21</v>
      </c>
      <c r="K65" s="1761" t="str">
        <f>LTFP!K34</f>
        <v>2021/22</v>
      </c>
      <c r="L65" s="94" t="str">
        <f>LTFP!L34</f>
        <v>2022/23</v>
      </c>
      <c r="M65" s="94" t="str">
        <f>LTFP!M34</f>
        <v>2023/24</v>
      </c>
      <c r="N65" s="94" t="str">
        <f>LTFP!N34</f>
        <v>2024/25</v>
      </c>
      <c r="O65" s="94" t="str">
        <f>LTFP!O34</f>
        <v>2025/26</v>
      </c>
      <c r="P65" s="94" t="str">
        <f>LTFP!P34</f>
        <v>2026/27</v>
      </c>
      <c r="Q65" s="1762" t="str">
        <f>LTFP!Q34</f>
        <v>2027/28</v>
      </c>
    </row>
    <row r="66" spans="1:17" x14ac:dyDescent="0.2">
      <c r="A66" s="45"/>
      <c r="B66" s="9"/>
      <c r="C66" s="89"/>
      <c r="D66" s="9"/>
      <c r="E66" s="9"/>
      <c r="F66" s="89"/>
      <c r="G66" s="79"/>
      <c r="H66" s="89"/>
      <c r="I66" s="9"/>
      <c r="J66" s="9"/>
      <c r="K66" s="46"/>
      <c r="L66" s="9"/>
      <c r="M66" s="9"/>
      <c r="N66" s="9"/>
      <c r="O66" s="9"/>
      <c r="P66" s="9"/>
      <c r="Q66" s="61"/>
    </row>
    <row r="67" spans="1:17" x14ac:dyDescent="0.2">
      <c r="A67" s="45"/>
      <c r="B67" s="9"/>
      <c r="C67" s="89"/>
      <c r="D67" s="9"/>
      <c r="E67" s="63" t="s">
        <v>2552</v>
      </c>
      <c r="F67" s="89"/>
      <c r="G67" s="79"/>
      <c r="H67" s="89"/>
      <c r="I67" s="9"/>
      <c r="J67" s="9"/>
      <c r="K67" s="46"/>
      <c r="L67" s="9"/>
      <c r="M67" s="9"/>
      <c r="N67" s="9"/>
      <c r="O67" s="9"/>
      <c r="P67" s="9"/>
      <c r="Q67" s="61"/>
    </row>
    <row r="68" spans="1:17" x14ac:dyDescent="0.2">
      <c r="A68" s="45"/>
      <c r="B68" s="9"/>
      <c r="C68" s="89"/>
      <c r="D68" s="9"/>
      <c r="E68" s="63"/>
      <c r="F68" s="89"/>
      <c r="G68" s="79"/>
      <c r="H68" s="89"/>
      <c r="I68" s="9"/>
      <c r="J68" s="9"/>
      <c r="K68" s="46"/>
      <c r="L68" s="9"/>
      <c r="M68" s="9"/>
      <c r="N68" s="9"/>
      <c r="O68" s="9"/>
      <c r="P68" s="9"/>
      <c r="Q68" s="61"/>
    </row>
    <row r="69" spans="1:17" x14ac:dyDescent="0.2">
      <c r="A69" s="45"/>
      <c r="B69" s="9"/>
      <c r="C69" s="89"/>
      <c r="D69" s="9"/>
      <c r="E69" s="2129" t="s">
        <v>0</v>
      </c>
      <c r="F69" s="89"/>
      <c r="G69" s="584"/>
      <c r="H69" s="89"/>
      <c r="I69" s="9"/>
      <c r="J69" s="9"/>
      <c r="K69" s="46"/>
      <c r="L69" s="9"/>
      <c r="M69" s="9"/>
      <c r="N69" s="9"/>
      <c r="O69" s="9"/>
      <c r="P69" s="9"/>
      <c r="Q69" s="61"/>
    </row>
    <row r="70" spans="1:17" x14ac:dyDescent="0.2">
      <c r="A70" s="45">
        <f>Summaries!AF7</f>
        <v>2860500</v>
      </c>
      <c r="B70" s="9">
        <f>Summaries!AG7</f>
        <v>3092600</v>
      </c>
      <c r="C70" s="89">
        <f>Summaries!AH7</f>
        <v>3226000</v>
      </c>
      <c r="D70" s="89">
        <f>Summaries!AI7</f>
        <v>3371900</v>
      </c>
      <c r="E70" s="2130" t="s">
        <v>2296</v>
      </c>
      <c r="F70" s="89">
        <f>Summaries!AJ7</f>
        <v>3439500</v>
      </c>
      <c r="G70" s="584">
        <f t="shared" ref="G70:G75" si="92">IF(D70=F70,0,IF(D70=0,100,(F70-D70)/D70*100))</f>
        <v>2.0048044129422582</v>
      </c>
      <c r="H70" s="89">
        <f>Summaries!AK7</f>
        <v>3524000</v>
      </c>
      <c r="I70" s="9">
        <f>Summaries!AL7</f>
        <v>3610500</v>
      </c>
      <c r="J70" s="9">
        <f>Summaries!AM7</f>
        <v>3707000</v>
      </c>
      <c r="K70" s="46">
        <f>Summaries!AN7</f>
        <v>3825400</v>
      </c>
      <c r="L70" s="9">
        <f>Summaries!AO7</f>
        <v>3947800</v>
      </c>
      <c r="M70" s="9">
        <f>Summaries!AP7</f>
        <v>4074200</v>
      </c>
      <c r="N70" s="9">
        <f>Summaries!AQ7</f>
        <v>4203600</v>
      </c>
      <c r="O70" s="9">
        <f>Summaries!AR7</f>
        <v>4337000</v>
      </c>
      <c r="P70" s="9">
        <f>Summaries!AS7</f>
        <v>4474400</v>
      </c>
      <c r="Q70" s="47">
        <f>Summaries!AT7</f>
        <v>4616800</v>
      </c>
    </row>
    <row r="71" spans="1:17" x14ac:dyDescent="0.2">
      <c r="A71" s="45">
        <f>Summaries!AF8</f>
        <v>6590600</v>
      </c>
      <c r="B71" s="9">
        <f>Summaries!AG8</f>
        <v>6432000</v>
      </c>
      <c r="C71" s="89">
        <f>Summaries!AH8</f>
        <v>6654300</v>
      </c>
      <c r="D71" s="89">
        <f>Summaries!AI8</f>
        <v>7771200</v>
      </c>
      <c r="E71" s="2130" t="s">
        <v>2337</v>
      </c>
      <c r="F71" s="89">
        <f>Summaries!AJ8</f>
        <v>7000200</v>
      </c>
      <c r="G71" s="584">
        <f t="shared" si="92"/>
        <v>-9.9212476837554053</v>
      </c>
      <c r="H71" s="9">
        <f>Summaries!AK8</f>
        <v>7161500</v>
      </c>
      <c r="I71" s="9">
        <f>Summaries!AL8</f>
        <v>7327100</v>
      </c>
      <c r="J71" s="9">
        <f>Summaries!AM8</f>
        <v>7509700</v>
      </c>
      <c r="K71" s="9">
        <f>Summaries!AN8</f>
        <v>7735300</v>
      </c>
      <c r="L71" s="9">
        <f>Summaries!AO8</f>
        <v>7967900</v>
      </c>
      <c r="M71" s="9">
        <f>Summaries!AP8</f>
        <v>8207500</v>
      </c>
      <c r="N71" s="9">
        <f>Summaries!AQ8</f>
        <v>8454100</v>
      </c>
      <c r="O71" s="9">
        <f>Summaries!AR8</f>
        <v>8706800</v>
      </c>
      <c r="P71" s="9">
        <f>Summaries!AS8</f>
        <v>8967500</v>
      </c>
      <c r="Q71" s="47">
        <f>Summaries!AT8</f>
        <v>9236200</v>
      </c>
    </row>
    <row r="72" spans="1:17" x14ac:dyDescent="0.2">
      <c r="A72" s="45">
        <f>Summaries!AF9</f>
        <v>413500</v>
      </c>
      <c r="B72" s="9">
        <f>Summaries!AG9</f>
        <v>417400</v>
      </c>
      <c r="C72" s="89">
        <f>Summaries!AH9</f>
        <v>339000</v>
      </c>
      <c r="D72" s="89">
        <f>Summaries!AI9</f>
        <v>343900</v>
      </c>
      <c r="E72" s="2130" t="s">
        <v>4154</v>
      </c>
      <c r="F72" s="89">
        <f>Summaries!AJ9</f>
        <v>368800</v>
      </c>
      <c r="G72" s="584">
        <f t="shared" si="92"/>
        <v>7.2404768828147708</v>
      </c>
      <c r="H72" s="89">
        <f>Summaries!AK9</f>
        <v>468300</v>
      </c>
      <c r="I72" s="9">
        <f>Summaries!AL9</f>
        <v>382400</v>
      </c>
      <c r="J72" s="9">
        <f>Summaries!AM9</f>
        <v>356900</v>
      </c>
      <c r="K72" s="46">
        <f>Summaries!AN9</f>
        <v>380600</v>
      </c>
      <c r="L72" s="9">
        <f>Summaries!AO9</f>
        <v>277700</v>
      </c>
      <c r="M72" s="9">
        <f>Summaries!AP9</f>
        <v>212900</v>
      </c>
      <c r="N72" s="9">
        <f>Summaries!AQ9</f>
        <v>151800</v>
      </c>
      <c r="O72" s="9">
        <f>Summaries!AR9</f>
        <v>100400</v>
      </c>
      <c r="P72" s="9">
        <f>Summaries!AS9</f>
        <v>138000</v>
      </c>
      <c r="Q72" s="47">
        <f>Summaries!AT9</f>
        <v>182000</v>
      </c>
    </row>
    <row r="73" spans="1:17" x14ac:dyDescent="0.2">
      <c r="A73" s="45">
        <f>Summaries!AF10</f>
        <v>672700</v>
      </c>
      <c r="B73" s="9">
        <f>Summaries!AG10</f>
        <v>797900</v>
      </c>
      <c r="C73" s="89">
        <f>Summaries!AH10</f>
        <v>822400</v>
      </c>
      <c r="D73" s="89">
        <f>Summaries!AI10</f>
        <v>762900</v>
      </c>
      <c r="E73" s="2130" t="s">
        <v>420</v>
      </c>
      <c r="F73" s="89">
        <f>Summaries!AJ10</f>
        <v>825900</v>
      </c>
      <c r="G73" s="584">
        <f t="shared" si="92"/>
        <v>8.2579630357845062</v>
      </c>
      <c r="H73" s="89">
        <f>Summaries!AK10</f>
        <v>845200</v>
      </c>
      <c r="I73" s="9">
        <f>Summaries!AL10</f>
        <v>866600</v>
      </c>
      <c r="J73" s="9">
        <f>Summaries!AM10</f>
        <v>888600</v>
      </c>
      <c r="K73" s="46">
        <f>Summaries!AN10</f>
        <v>911100</v>
      </c>
      <c r="L73" s="9">
        <f>Summaries!AO10</f>
        <v>934100</v>
      </c>
      <c r="M73" s="9">
        <f>Summaries!AP10</f>
        <v>957800</v>
      </c>
      <c r="N73" s="9">
        <f>Summaries!AQ10</f>
        <v>981900</v>
      </c>
      <c r="O73" s="9">
        <f>Summaries!AR10</f>
        <v>1006700</v>
      </c>
      <c r="P73" s="9">
        <f>Summaries!AS10</f>
        <v>1032100</v>
      </c>
      <c r="Q73" s="47">
        <f>Summaries!AT10</f>
        <v>1058200</v>
      </c>
    </row>
    <row r="74" spans="1:17" x14ac:dyDescent="0.2">
      <c r="A74" s="45">
        <f>Summaries!AF11</f>
        <v>151800</v>
      </c>
      <c r="B74" s="9">
        <f>Summaries!AG11</f>
        <v>152600</v>
      </c>
      <c r="C74" s="89">
        <f>Summaries!AH11</f>
        <v>157400</v>
      </c>
      <c r="D74" s="89">
        <f>Summaries!AI11</f>
        <v>159900</v>
      </c>
      <c r="E74" s="2130" t="s">
        <v>4164</v>
      </c>
      <c r="F74" s="89">
        <f>Summaries!AJ11</f>
        <v>144000</v>
      </c>
      <c r="G74" s="584">
        <f t="shared" si="92"/>
        <v>-9.9437148217636029</v>
      </c>
      <c r="H74" s="89">
        <f>Summaries!AK11</f>
        <v>144700</v>
      </c>
      <c r="I74" s="9">
        <f>Summaries!AL11</f>
        <v>145500</v>
      </c>
      <c r="J74" s="9">
        <f>Summaries!AM11</f>
        <v>146200</v>
      </c>
      <c r="K74" s="46">
        <f>Summaries!AN11</f>
        <v>147000</v>
      </c>
      <c r="L74" s="9">
        <f>Summaries!AO11</f>
        <v>147800</v>
      </c>
      <c r="M74" s="9">
        <f>Summaries!AP11</f>
        <v>148600</v>
      </c>
      <c r="N74" s="9">
        <f>Summaries!AQ11</f>
        <v>149500</v>
      </c>
      <c r="O74" s="9">
        <f>Summaries!AR11</f>
        <v>150300</v>
      </c>
      <c r="P74" s="9">
        <f>Summaries!AS11</f>
        <v>151100</v>
      </c>
      <c r="Q74" s="47">
        <f>Summaries!AT11</f>
        <v>151900</v>
      </c>
    </row>
    <row r="75" spans="1:17" x14ac:dyDescent="0.2">
      <c r="A75" s="45">
        <f>Summaries!AF40+Summaries!AF41</f>
        <v>851300</v>
      </c>
      <c r="B75" s="9">
        <f>Summaries!AG40+Summaries!AG41</f>
        <v>981400</v>
      </c>
      <c r="C75" s="89">
        <f>Summaries!AH40+Summaries!AH41</f>
        <v>1059900</v>
      </c>
      <c r="D75" s="89">
        <f>Summaries!AI40+Summaries!AI41</f>
        <v>469100</v>
      </c>
      <c r="E75" s="2130" t="s">
        <v>4165</v>
      </c>
      <c r="F75" s="89">
        <f>Summaries!AJ40+Summaries!AJ41</f>
        <v>775000</v>
      </c>
      <c r="G75" s="584">
        <f t="shared" si="92"/>
        <v>65.209976550842043</v>
      </c>
      <c r="H75" s="9">
        <f>Summaries!AK40+Summaries!AK41</f>
        <v>800000</v>
      </c>
      <c r="I75" s="9">
        <f>Summaries!AL40+Summaries!AL41</f>
        <v>820000</v>
      </c>
      <c r="J75" s="9">
        <f>Summaries!AM40+Summaries!AM41</f>
        <v>840000</v>
      </c>
      <c r="K75" s="9">
        <f>Summaries!AN40+Summaries!AN41</f>
        <v>860000</v>
      </c>
      <c r="L75" s="9">
        <f>Summaries!AO40+Summaries!AO41</f>
        <v>880000</v>
      </c>
      <c r="M75" s="9">
        <f>Summaries!AP40+Summaries!AP41</f>
        <v>900000</v>
      </c>
      <c r="N75" s="9">
        <f>Summaries!AQ40+Summaries!AQ41</f>
        <v>920000</v>
      </c>
      <c r="O75" s="9">
        <f>Summaries!AR40+Summaries!AR41</f>
        <v>940000</v>
      </c>
      <c r="P75" s="9">
        <f>Summaries!AS40+Summaries!AS41</f>
        <v>960000</v>
      </c>
      <c r="Q75" s="47">
        <f>Summaries!AT40+Summaries!AT41</f>
        <v>980000</v>
      </c>
    </row>
    <row r="76" spans="1:17" x14ac:dyDescent="0.2">
      <c r="A76" s="45"/>
      <c r="B76" s="9"/>
      <c r="C76" s="89"/>
      <c r="D76" s="89"/>
      <c r="E76" s="2129" t="s">
        <v>4159</v>
      </c>
      <c r="F76" s="89"/>
      <c r="G76" s="584"/>
      <c r="H76" s="89"/>
      <c r="I76" s="9"/>
      <c r="J76" s="9"/>
      <c r="K76" s="46"/>
      <c r="L76" s="9"/>
      <c r="M76" s="9"/>
      <c r="N76" s="9"/>
      <c r="O76" s="9"/>
      <c r="P76" s="9"/>
      <c r="Q76" s="61"/>
    </row>
    <row r="77" spans="1:17" x14ac:dyDescent="0.2">
      <c r="A77" s="45">
        <f>IF(Summaries!AF12&gt;Summaries!AF22,Summaries!AF12-Summaries!AF22,0)</f>
        <v>0</v>
      </c>
      <c r="B77" s="9">
        <f>IF(Summaries!AG12&gt;Summaries!AG22,Summaries!AG12-Summaries!AG22,0)</f>
        <v>0</v>
      </c>
      <c r="C77" s="9">
        <f>IF(Summaries!AH12&gt;Summaries!AH22,Summaries!AH12-Summaries!AH22,0)</f>
        <v>0</v>
      </c>
      <c r="D77" s="9">
        <f>IF(Summaries!AI12&gt;Summaries!AI22,Summaries!AI12-Summaries!AI22,0)</f>
        <v>0</v>
      </c>
      <c r="E77" s="2130" t="s">
        <v>4160</v>
      </c>
      <c r="F77" s="89">
        <f>IF(Summaries!AJ12&gt;Summaries!AJ22,Summaries!AJ12-Summaries!AJ22,0)</f>
        <v>0</v>
      </c>
      <c r="G77" s="584">
        <f>IF(D77=F77,0,IF(D77=0,100,(F77-D77)/D77*100))</f>
        <v>0</v>
      </c>
      <c r="H77" s="9">
        <f>IF(Summaries!AK12&gt;Summaries!AK22,Summaries!AK12-Summaries!AK22,0)</f>
        <v>0</v>
      </c>
      <c r="I77" s="9">
        <f>IF(Summaries!AL12&gt;Summaries!AL22,Summaries!AL12-Summaries!AL22,0)</f>
        <v>0</v>
      </c>
      <c r="J77" s="9">
        <f>IF(Summaries!AM12&gt;Summaries!AM22,Summaries!AM12-Summaries!AM22,0)</f>
        <v>0</v>
      </c>
      <c r="K77" s="9">
        <f>IF(Summaries!AN12&gt;Summaries!AN22,Summaries!AN12-Summaries!AN22,0)</f>
        <v>0</v>
      </c>
      <c r="L77" s="9">
        <f>IF(Summaries!AO12&gt;Summaries!AO22,Summaries!AO12-Summaries!AO22,0)</f>
        <v>0</v>
      </c>
      <c r="M77" s="9">
        <f>IF(Summaries!AP12&gt;Summaries!AP22,Summaries!AP12-Summaries!AP22,0)</f>
        <v>0</v>
      </c>
      <c r="N77" s="9">
        <f>IF(Summaries!AQ12&gt;Summaries!AQ22,Summaries!AQ12-Summaries!AQ22,0)</f>
        <v>0</v>
      </c>
      <c r="O77" s="9">
        <f>IF(Summaries!AR12&gt;Summaries!AR22,Summaries!AR12-Summaries!AR22,0)</f>
        <v>0</v>
      </c>
      <c r="P77" s="9">
        <f>IF(Summaries!AS12&gt;Summaries!AS22,Summaries!AS12-Summaries!AS22,0)</f>
        <v>0</v>
      </c>
      <c r="Q77" s="47">
        <f>IF(Summaries!AT12&gt;Summaries!AT22,Summaries!AT12-Summaries!AT22,0)</f>
        <v>0</v>
      </c>
    </row>
    <row r="78" spans="1:17" s="65" customFormat="1" x14ac:dyDescent="0.2">
      <c r="A78" s="1774">
        <f>SUM(A70:A77)</f>
        <v>11540400</v>
      </c>
      <c r="B78" s="63">
        <f>SUM(B70:B77)</f>
        <v>11873900</v>
      </c>
      <c r="C78" s="107">
        <f>SUM(C70:C77)</f>
        <v>12259000</v>
      </c>
      <c r="D78" s="107">
        <f>SUM(D70:D77)</f>
        <v>12878900</v>
      </c>
      <c r="E78" s="2129" t="s">
        <v>4155</v>
      </c>
      <c r="F78" s="107">
        <f t="shared" ref="F78:M78" si="93">SUM(F70:F77)</f>
        <v>12553400</v>
      </c>
      <c r="G78" s="220">
        <f>IF(D78=F78,0,IF(D78=0,100,(F78-D78)/D78*100))</f>
        <v>-2.5273897615479584</v>
      </c>
      <c r="H78" s="107">
        <f t="shared" si="93"/>
        <v>12943700</v>
      </c>
      <c r="I78" s="63">
        <f t="shared" si="93"/>
        <v>13152100</v>
      </c>
      <c r="J78" s="63">
        <f t="shared" si="93"/>
        <v>13448400</v>
      </c>
      <c r="K78" s="92">
        <f t="shared" si="93"/>
        <v>13859400</v>
      </c>
      <c r="L78" s="63">
        <f t="shared" si="93"/>
        <v>14155300</v>
      </c>
      <c r="M78" s="63">
        <f t="shared" si="93"/>
        <v>14501000</v>
      </c>
      <c r="N78" s="63">
        <f t="shared" ref="N78" si="94">SUM(N70:N77)</f>
        <v>14860900</v>
      </c>
      <c r="O78" s="63">
        <f t="shared" ref="O78" si="95">SUM(O70:O77)</f>
        <v>15241200</v>
      </c>
      <c r="P78" s="63">
        <f t="shared" ref="P78:Q78" si="96">SUM(P70:P77)</f>
        <v>15723100</v>
      </c>
      <c r="Q78" s="106">
        <f t="shared" si="96"/>
        <v>16225100</v>
      </c>
    </row>
    <row r="79" spans="1:17" x14ac:dyDescent="0.2">
      <c r="A79" s="45"/>
      <c r="B79" s="9"/>
      <c r="C79" s="89"/>
      <c r="D79" s="89"/>
      <c r="E79" s="2129"/>
      <c r="F79" s="89"/>
      <c r="G79" s="584"/>
      <c r="H79" s="89"/>
      <c r="I79" s="9"/>
      <c r="J79" s="9"/>
      <c r="K79" s="46"/>
      <c r="L79" s="9"/>
      <c r="M79" s="9"/>
      <c r="N79" s="9"/>
      <c r="O79" s="9"/>
      <c r="P79" s="9"/>
      <c r="Q79" s="61"/>
    </row>
    <row r="80" spans="1:17" x14ac:dyDescent="0.2">
      <c r="A80" s="45"/>
      <c r="B80" s="9"/>
      <c r="C80" s="89"/>
      <c r="D80" s="89"/>
      <c r="E80" s="2129" t="s">
        <v>2018</v>
      </c>
      <c r="F80" s="89"/>
      <c r="G80" s="584"/>
      <c r="H80" s="89"/>
      <c r="I80" s="9"/>
      <c r="J80" s="9"/>
      <c r="K80" s="46"/>
      <c r="L80" s="9"/>
      <c r="M80" s="9"/>
      <c r="N80" s="9"/>
      <c r="O80" s="9"/>
      <c r="P80" s="9"/>
      <c r="Q80" s="61"/>
    </row>
    <row r="81" spans="1:17" x14ac:dyDescent="0.2">
      <c r="A81" s="45">
        <f>Summaries!AF17</f>
        <v>1429000</v>
      </c>
      <c r="B81" s="9">
        <f>Summaries!AG17</f>
        <v>1763000</v>
      </c>
      <c r="C81" s="89">
        <f>Summaries!AH17</f>
        <v>1876000</v>
      </c>
      <c r="D81" s="89">
        <f>Summaries!AI17</f>
        <v>1920000</v>
      </c>
      <c r="E81" s="2130" t="s">
        <v>4156</v>
      </c>
      <c r="F81" s="89">
        <f>Summaries!AJ17</f>
        <v>1980000</v>
      </c>
      <c r="G81" s="584">
        <f t="shared" ref="G81:G87" si="97">IF(D81=F81,0,IF(D81=0,100,(F81-D81)/D81*100))</f>
        <v>3.125</v>
      </c>
      <c r="H81" s="89">
        <f>Summaries!AK17</f>
        <v>2041000</v>
      </c>
      <c r="I81" s="9">
        <f>Summaries!AL17</f>
        <v>2104000</v>
      </c>
      <c r="J81" s="9">
        <f>Summaries!AM17</f>
        <v>2169000</v>
      </c>
      <c r="K81" s="46">
        <f>Summaries!AN17</f>
        <v>2236000</v>
      </c>
      <c r="L81" s="9">
        <f>Summaries!AO17</f>
        <v>2305000</v>
      </c>
      <c r="M81" s="9">
        <f>Summaries!AP17</f>
        <v>2377000</v>
      </c>
      <c r="N81" s="9">
        <f>Summaries!AQ17</f>
        <v>2451000</v>
      </c>
      <c r="O81" s="9">
        <f>Summaries!AR17</f>
        <v>2527000</v>
      </c>
      <c r="P81" s="9">
        <f>Summaries!AS17</f>
        <v>2605000</v>
      </c>
      <c r="Q81" s="47">
        <f>Summaries!AT17</f>
        <v>2686000</v>
      </c>
    </row>
    <row r="82" spans="1:17" x14ac:dyDescent="0.2">
      <c r="A82" s="45">
        <f>Summaries!AF19</f>
        <v>0</v>
      </c>
      <c r="B82" s="9">
        <f>Summaries!AG19</f>
        <v>0</v>
      </c>
      <c r="C82" s="89">
        <f>Summaries!AH19</f>
        <v>0</v>
      </c>
      <c r="D82" s="89">
        <f>Summaries!AI19</f>
        <v>0</v>
      </c>
      <c r="E82" s="2130" t="s">
        <v>2152</v>
      </c>
      <c r="F82" s="89">
        <f>Summaries!AJ19</f>
        <v>0</v>
      </c>
      <c r="G82" s="584">
        <f t="shared" si="97"/>
        <v>0</v>
      </c>
      <c r="H82" s="89">
        <f>Summaries!AK19</f>
        <v>0</v>
      </c>
      <c r="I82" s="89">
        <f>Summaries!AL19</f>
        <v>0</v>
      </c>
      <c r="J82" s="89">
        <f>Summaries!AM19</f>
        <v>0</v>
      </c>
      <c r="K82" s="89">
        <f>Summaries!AN19</f>
        <v>0</v>
      </c>
      <c r="L82" s="89">
        <f>Summaries!AO19</f>
        <v>0</v>
      </c>
      <c r="M82" s="9">
        <f>Summaries!AP19</f>
        <v>0</v>
      </c>
      <c r="N82" s="9">
        <f>Summaries!AQ19</f>
        <v>0</v>
      </c>
      <c r="O82" s="9">
        <f>Summaries!AR19</f>
        <v>0</v>
      </c>
      <c r="P82" s="9">
        <f>Summaries!AS19</f>
        <v>0</v>
      </c>
      <c r="Q82" s="47">
        <f>Summaries!AT19</f>
        <v>0</v>
      </c>
    </row>
    <row r="83" spans="1:17" x14ac:dyDescent="0.2">
      <c r="A83" s="45">
        <f>Summaries!AF18</f>
        <v>1802400</v>
      </c>
      <c r="B83" s="9">
        <f>Summaries!AG18</f>
        <v>1354100</v>
      </c>
      <c r="C83" s="89">
        <f>Summaries!AH18</f>
        <v>1264400</v>
      </c>
      <c r="D83" s="89">
        <f>Summaries!AI18</f>
        <v>1267300</v>
      </c>
      <c r="E83" s="2130" t="s">
        <v>2336</v>
      </c>
      <c r="F83" s="89">
        <f>Summaries!AJ18</f>
        <v>1502200</v>
      </c>
      <c r="G83" s="584">
        <f t="shared" si="97"/>
        <v>18.535469107551489</v>
      </c>
      <c r="H83" s="89">
        <f>Summaries!AK18</f>
        <v>1553100</v>
      </c>
      <c r="I83" s="9">
        <f>Summaries!AL18</f>
        <v>1541700</v>
      </c>
      <c r="J83" s="9">
        <f>Summaries!AM18</f>
        <v>1570500</v>
      </c>
      <c r="K83" s="46">
        <f>Summaries!AN18</f>
        <v>1599700</v>
      </c>
      <c r="L83" s="9">
        <f>Summaries!AO18</f>
        <v>1679300</v>
      </c>
      <c r="M83" s="9">
        <f>Summaries!AP18</f>
        <v>1658200</v>
      </c>
      <c r="N83" s="9">
        <f>Summaries!AQ18</f>
        <v>1687500</v>
      </c>
      <c r="O83" s="9">
        <f>Summaries!AR18</f>
        <v>1717400</v>
      </c>
      <c r="P83" s="9">
        <f>Summaries!AS18</f>
        <v>1748200</v>
      </c>
      <c r="Q83" s="47">
        <f>Summaries!AT18</f>
        <v>1778700</v>
      </c>
    </row>
    <row r="84" spans="1:17" x14ac:dyDescent="0.2">
      <c r="A84" s="45">
        <f>Summaries!AF20</f>
        <v>1859500</v>
      </c>
      <c r="B84" s="9">
        <f>Summaries!AG20</f>
        <v>1478700</v>
      </c>
      <c r="C84" s="89">
        <f>Summaries!AH20</f>
        <v>1498900</v>
      </c>
      <c r="D84" s="89">
        <f>Summaries!AI20</f>
        <v>1399600</v>
      </c>
      <c r="E84" s="2130" t="s">
        <v>4157</v>
      </c>
      <c r="F84" s="89">
        <f>Summaries!AJ20</f>
        <v>1380000</v>
      </c>
      <c r="G84" s="584">
        <f t="shared" si="97"/>
        <v>-1.4004001143183766</v>
      </c>
      <c r="H84" s="89">
        <f>Summaries!AK20</f>
        <v>1407600</v>
      </c>
      <c r="I84" s="9">
        <f>Summaries!AL20</f>
        <v>1435800</v>
      </c>
      <c r="J84" s="9">
        <f>Summaries!AM20</f>
        <v>1464600</v>
      </c>
      <c r="K84" s="46">
        <f>Summaries!AN20</f>
        <v>1493900</v>
      </c>
      <c r="L84" s="9">
        <f>Summaries!AO20</f>
        <v>1523800</v>
      </c>
      <c r="M84" s="9">
        <f>Summaries!AP20</f>
        <v>1554300</v>
      </c>
      <c r="N84" s="9">
        <f>Summaries!AQ20</f>
        <v>1585400</v>
      </c>
      <c r="O84" s="9">
        <f>Summaries!AR20</f>
        <v>1617200</v>
      </c>
      <c r="P84" s="9">
        <f>Summaries!AS20</f>
        <v>1649600</v>
      </c>
      <c r="Q84" s="47">
        <f>Summaries!AT20</f>
        <v>1682600</v>
      </c>
    </row>
    <row r="85" spans="1:17" x14ac:dyDescent="0.2">
      <c r="A85" s="45">
        <f>Summaries!AF21</f>
        <v>5909700</v>
      </c>
      <c r="B85" s="9">
        <f>Summaries!AG21</f>
        <v>6200600</v>
      </c>
      <c r="C85" s="89">
        <f>Summaries!AH21</f>
        <v>6172600</v>
      </c>
      <c r="D85" s="89">
        <f>Summaries!AI21</f>
        <v>6533400</v>
      </c>
      <c r="E85" s="2130" t="s">
        <v>408</v>
      </c>
      <c r="F85" s="89">
        <f>Summaries!AJ21</f>
        <v>6363200</v>
      </c>
      <c r="G85" s="584">
        <f t="shared" si="97"/>
        <v>-2.6050754584136899</v>
      </c>
      <c r="H85" s="89">
        <f>Summaries!AK21</f>
        <v>6510300</v>
      </c>
      <c r="I85" s="9">
        <f>Summaries!AL21</f>
        <v>6661800</v>
      </c>
      <c r="J85" s="9">
        <f>Summaries!AM21</f>
        <v>6816700</v>
      </c>
      <c r="K85" s="46">
        <f>Summaries!AN21</f>
        <v>7035000</v>
      </c>
      <c r="L85" s="9">
        <f>Summaries!AO21</f>
        <v>7229400</v>
      </c>
      <c r="M85" s="9">
        <f>Summaries!AP21</f>
        <v>7445000</v>
      </c>
      <c r="N85" s="9">
        <f>Summaries!AQ21</f>
        <v>7666900</v>
      </c>
      <c r="O85" s="9">
        <f>Summaries!AR21</f>
        <v>7895300</v>
      </c>
      <c r="P85" s="9">
        <f>Summaries!AS21</f>
        <v>8113300</v>
      </c>
      <c r="Q85" s="47">
        <f>Summaries!AT21</f>
        <v>8296400</v>
      </c>
    </row>
    <row r="86" spans="1:17" x14ac:dyDescent="0.2">
      <c r="A86" s="45">
        <f>IF(Summaries!AF22&gt;Summaries!AF12,Summaries!AF22-Summaries!AF12,0)</f>
        <v>111000</v>
      </c>
      <c r="B86" s="9">
        <f>IF(Summaries!AG22&gt;Summaries!AG12,Summaries!AG22-Summaries!AG12,0)</f>
        <v>20600</v>
      </c>
      <c r="C86" s="89">
        <f>IF(Summaries!AH22&gt;Summaries!AH12,Summaries!AH22-Summaries!AH12,0)</f>
        <v>38000</v>
      </c>
      <c r="D86" s="89">
        <f>IF(Summaries!AI22&gt;Summaries!AI12,Summaries!AI22-Summaries!AI12,0)</f>
        <v>0</v>
      </c>
      <c r="E86" s="2130" t="s">
        <v>4158</v>
      </c>
      <c r="F86" s="89">
        <f>IF(Summaries!AK22&gt;Summaries!AK12,Summaries!AK22-Summaries!AK12,0)</f>
        <v>0</v>
      </c>
      <c r="G86" s="584">
        <f t="shared" si="97"/>
        <v>0</v>
      </c>
      <c r="H86" s="9">
        <f>IF(Summaries!AL22&gt;Summaries!AL12,Summaries!AL22-Summaries!AL12,0)</f>
        <v>0</v>
      </c>
      <c r="I86" s="9">
        <f>IF(Summaries!AM22&gt;Summaries!AM12,Summaries!AM22-Summaries!AM12,0)</f>
        <v>0</v>
      </c>
      <c r="J86" s="9">
        <f>IF(Summaries!AN22&gt;Summaries!AN12,Summaries!AN22-Summaries!AN12,0)</f>
        <v>0</v>
      </c>
      <c r="K86" s="9">
        <f>IF(Summaries!AO22&gt;Summaries!AO12,Summaries!AO22-Summaries!AO12,0)</f>
        <v>0</v>
      </c>
      <c r="L86" s="9">
        <f>IF(Summaries!AP22&gt;Summaries!AP12,Summaries!AP22-Summaries!AP12,0)</f>
        <v>0</v>
      </c>
      <c r="M86" s="9">
        <f>IF(Summaries!AQ22&gt;Summaries!AQ12,Summaries!AQ22-Summaries!AQ12,0)</f>
        <v>0</v>
      </c>
      <c r="N86" s="9">
        <f>IF(Summaries!AR22&gt;Summaries!AR12,Summaries!AR22-Summaries!AR12,0)</f>
        <v>0</v>
      </c>
      <c r="O86" s="9">
        <f>IF(Summaries!AS22&gt;Summaries!AS12,Summaries!AS22-Summaries!AS12,0)</f>
        <v>0</v>
      </c>
      <c r="P86" s="9">
        <f>IF(Summaries!AU22&gt;Summaries!AU12,Summaries!AU22-Summaries!AU12,0)</f>
        <v>0</v>
      </c>
      <c r="Q86" s="47">
        <f>IF(Summaries!BI22&gt;Summaries!BI12,Summaries!BI22-Summaries!BI12,0)</f>
        <v>0</v>
      </c>
    </row>
    <row r="87" spans="1:17" s="65" customFormat="1" x14ac:dyDescent="0.2">
      <c r="A87" s="1774">
        <f>SUM(A81:A86)</f>
        <v>11111600</v>
      </c>
      <c r="B87" s="63">
        <f>SUM(B81:B86)</f>
        <v>10817000</v>
      </c>
      <c r="C87" s="107">
        <f>SUM(C81:C86)</f>
        <v>10849900</v>
      </c>
      <c r="D87" s="107">
        <f>SUM(D81:D86)</f>
        <v>11120300</v>
      </c>
      <c r="E87" s="2129" t="s">
        <v>4161</v>
      </c>
      <c r="F87" s="107">
        <f t="shared" ref="F87:N87" si="98">SUM(F81:F86)</f>
        <v>11225400</v>
      </c>
      <c r="G87" s="220">
        <f t="shared" si="97"/>
        <v>0.94511838709387341</v>
      </c>
      <c r="H87" s="107">
        <f t="shared" si="98"/>
        <v>11512000</v>
      </c>
      <c r="I87" s="63">
        <f t="shared" si="98"/>
        <v>11743300</v>
      </c>
      <c r="J87" s="63">
        <f t="shared" si="98"/>
        <v>12020800</v>
      </c>
      <c r="K87" s="92">
        <f t="shared" si="98"/>
        <v>12364600</v>
      </c>
      <c r="L87" s="63">
        <f t="shared" si="98"/>
        <v>12737500</v>
      </c>
      <c r="M87" s="63">
        <f t="shared" si="98"/>
        <v>13034500</v>
      </c>
      <c r="N87" s="63">
        <f t="shared" si="98"/>
        <v>13390800</v>
      </c>
      <c r="O87" s="63">
        <f t="shared" ref="O87" si="99">SUM(O81:O86)</f>
        <v>13756900</v>
      </c>
      <c r="P87" s="63">
        <f t="shared" ref="P87:Q87" si="100">SUM(P81:P86)</f>
        <v>14116100</v>
      </c>
      <c r="Q87" s="106">
        <f t="shared" si="100"/>
        <v>14443700</v>
      </c>
    </row>
    <row r="88" spans="1:17" x14ac:dyDescent="0.2">
      <c r="A88" s="45"/>
      <c r="B88" s="9"/>
      <c r="C88" s="89"/>
      <c r="D88" s="89"/>
      <c r="E88" s="634"/>
      <c r="F88" s="89"/>
      <c r="G88" s="220"/>
      <c r="H88" s="89"/>
      <c r="I88" s="9"/>
      <c r="J88" s="9"/>
      <c r="K88" s="46"/>
      <c r="L88" s="9"/>
      <c r="M88" s="9"/>
      <c r="N88" s="9"/>
      <c r="O88" s="9"/>
      <c r="P88" s="9"/>
      <c r="Q88" s="61"/>
    </row>
    <row r="89" spans="1:17" s="65" customFormat="1" x14ac:dyDescent="0.2">
      <c r="A89" s="1774">
        <f>A78-A87</f>
        <v>428800</v>
      </c>
      <c r="B89" s="63">
        <f>B78-B87</f>
        <v>1056900</v>
      </c>
      <c r="C89" s="107">
        <f>C78-C87</f>
        <v>1409100</v>
      </c>
      <c r="D89" s="107">
        <f>D78-D87</f>
        <v>1758600</v>
      </c>
      <c r="E89" s="780" t="s">
        <v>4162</v>
      </c>
      <c r="F89" s="107">
        <f t="shared" ref="F89:N89" si="101">F78-F87</f>
        <v>1328000</v>
      </c>
      <c r="G89" s="220">
        <f>IF(D89=F89,0,IF(D89=0,100,(F89-D89)/D89*100))</f>
        <v>-24.4853861025816</v>
      </c>
      <c r="H89" s="107">
        <f t="shared" si="101"/>
        <v>1431700</v>
      </c>
      <c r="I89" s="63">
        <f t="shared" si="101"/>
        <v>1408800</v>
      </c>
      <c r="J89" s="63">
        <f t="shared" si="101"/>
        <v>1427600</v>
      </c>
      <c r="K89" s="92">
        <f t="shared" si="101"/>
        <v>1494800</v>
      </c>
      <c r="L89" s="63">
        <f t="shared" si="101"/>
        <v>1417800</v>
      </c>
      <c r="M89" s="63">
        <f t="shared" si="101"/>
        <v>1466500</v>
      </c>
      <c r="N89" s="63">
        <f t="shared" si="101"/>
        <v>1470100</v>
      </c>
      <c r="O89" s="63">
        <f t="shared" ref="O89" si="102">O78-O87</f>
        <v>1484300</v>
      </c>
      <c r="P89" s="63">
        <f t="shared" ref="P89:Q89" si="103">P78-P87</f>
        <v>1607000</v>
      </c>
      <c r="Q89" s="106">
        <f t="shared" si="103"/>
        <v>1781400</v>
      </c>
    </row>
    <row r="90" spans="1:17" x14ac:dyDescent="0.2">
      <c r="A90" s="45"/>
      <c r="B90" s="9"/>
      <c r="C90" s="89"/>
      <c r="D90" s="89"/>
      <c r="E90" s="634"/>
      <c r="F90" s="89"/>
      <c r="G90" s="220"/>
      <c r="H90" s="89"/>
      <c r="I90" s="9"/>
      <c r="J90" s="9"/>
      <c r="K90" s="46"/>
      <c r="L90" s="9"/>
      <c r="M90" s="9"/>
      <c r="N90" s="9"/>
      <c r="O90" s="9"/>
      <c r="P90" s="9"/>
      <c r="Q90" s="61"/>
    </row>
    <row r="91" spans="1:17" s="65" customFormat="1" x14ac:dyDescent="0.2">
      <c r="A91" s="1774">
        <f>A78-A75-A87</f>
        <v>-422500</v>
      </c>
      <c r="B91" s="63">
        <f>B78-B75-B87</f>
        <v>75500</v>
      </c>
      <c r="C91" s="107">
        <f>C78-C75-C87</f>
        <v>349200</v>
      </c>
      <c r="D91" s="107">
        <f>D78-D75-D87</f>
        <v>1289500</v>
      </c>
      <c r="E91" s="780" t="s">
        <v>4611</v>
      </c>
      <c r="F91" s="107">
        <f t="shared" ref="F91:N91" si="104">F78-F75-F87</f>
        <v>553000</v>
      </c>
      <c r="G91" s="220">
        <f>IF(D91=F91,0,IF(D91=0,100,(F91-D91)/D91*100))</f>
        <v>-57.115160915083365</v>
      </c>
      <c r="H91" s="107">
        <f t="shared" si="104"/>
        <v>631700</v>
      </c>
      <c r="I91" s="63">
        <f t="shared" si="104"/>
        <v>588800</v>
      </c>
      <c r="J91" s="63">
        <f t="shared" si="104"/>
        <v>587600</v>
      </c>
      <c r="K91" s="92">
        <f t="shared" si="104"/>
        <v>634800</v>
      </c>
      <c r="L91" s="63">
        <f t="shared" si="104"/>
        <v>537800</v>
      </c>
      <c r="M91" s="63">
        <f t="shared" si="104"/>
        <v>566500</v>
      </c>
      <c r="N91" s="63">
        <f t="shared" si="104"/>
        <v>550100</v>
      </c>
      <c r="O91" s="63">
        <f t="shared" ref="O91" si="105">O78-O75-O87</f>
        <v>544300</v>
      </c>
      <c r="P91" s="63">
        <f t="shared" ref="P91:Q91" si="106">P78-P75-P87</f>
        <v>647000</v>
      </c>
      <c r="Q91" s="106">
        <f t="shared" si="106"/>
        <v>801400</v>
      </c>
    </row>
    <row r="92" spans="1:17" s="2226" customFormat="1" ht="13.5" thickBot="1" x14ac:dyDescent="0.25">
      <c r="A92" s="591"/>
      <c r="B92" s="592"/>
      <c r="C92" s="593"/>
      <c r="D92" s="592"/>
      <c r="E92" s="1776"/>
      <c r="F92" s="593"/>
      <c r="G92" s="751"/>
      <c r="H92" s="593"/>
      <c r="I92" s="592"/>
      <c r="J92" s="592"/>
      <c r="K92" s="208"/>
      <c r="L92" s="592"/>
      <c r="M92" s="592"/>
      <c r="N92" s="592"/>
      <c r="O92" s="592"/>
      <c r="P92" s="592"/>
      <c r="Q92" s="594"/>
    </row>
    <row r="93" spans="1:17" ht="14.25" thickTop="1" thickBot="1" x14ac:dyDescent="0.25"/>
    <row r="94" spans="1:17" s="1757" customFormat="1" ht="19.5" thickTop="1" thickBot="1" x14ac:dyDescent="0.3">
      <c r="A94" s="2573" t="s">
        <v>11968</v>
      </c>
      <c r="B94" s="2574"/>
      <c r="C94" s="2574"/>
      <c r="D94" s="2574"/>
      <c r="E94" s="2574"/>
      <c r="F94" s="2574"/>
      <c r="G94" s="2574"/>
      <c r="H94" s="2574"/>
      <c r="I94" s="2574"/>
      <c r="J94" s="2574"/>
      <c r="K94" s="2574"/>
      <c r="L94" s="2574"/>
      <c r="M94" s="2574"/>
      <c r="N94" s="2574"/>
      <c r="O94" s="2574"/>
      <c r="P94" s="2574"/>
      <c r="Q94" s="2575"/>
    </row>
    <row r="95" spans="1:17" x14ac:dyDescent="0.2">
      <c r="A95" s="2579" t="str">
        <f>$A$126</f>
        <v>ACTUAL</v>
      </c>
      <c r="B95" s="2580"/>
      <c r="C95" s="2580"/>
      <c r="D95" s="2581"/>
      <c r="E95" s="2434" t="str">
        <f>$E$126</f>
        <v>ITEM</v>
      </c>
      <c r="F95" s="2576" t="str">
        <f>F64</f>
        <v>ESTIMATED</v>
      </c>
      <c r="G95" s="2577"/>
      <c r="H95" s="2577"/>
      <c r="I95" s="2577"/>
      <c r="J95" s="2577"/>
      <c r="K95" s="2577"/>
      <c r="L95" s="2577"/>
      <c r="M95" s="2577"/>
      <c r="N95" s="2577"/>
      <c r="O95" s="2577"/>
      <c r="P95" s="2577"/>
      <c r="Q95" s="2578"/>
    </row>
    <row r="96" spans="1:17" ht="13.5" thickBot="1" x14ac:dyDescent="0.25">
      <c r="A96" s="1008" t="str">
        <f>A65</f>
        <v>2013/14</v>
      </c>
      <c r="B96" s="28" t="str">
        <f>B65</f>
        <v>2014/15</v>
      </c>
      <c r="C96" s="94" t="str">
        <f>C65</f>
        <v>2015/16</v>
      </c>
      <c r="D96" s="94" t="str">
        <f t="shared" ref="D96" si="107">D65</f>
        <v>2016/17</v>
      </c>
      <c r="E96" s="2435"/>
      <c r="F96" s="847" t="str">
        <f t="shared" ref="F96:N96" si="108">F65</f>
        <v>2017/18</v>
      </c>
      <c r="G96" s="1436" t="str">
        <f>G34</f>
        <v>%</v>
      </c>
      <c r="H96" s="2337" t="str">
        <f t="shared" si="108"/>
        <v>2018/19</v>
      </c>
      <c r="I96" s="44" t="str">
        <f t="shared" si="108"/>
        <v>2019/20</v>
      </c>
      <c r="J96" s="94" t="str">
        <f t="shared" si="108"/>
        <v>2020/21</v>
      </c>
      <c r="K96" s="1761" t="str">
        <f t="shared" si="108"/>
        <v>2021/22</v>
      </c>
      <c r="L96" s="94" t="str">
        <f t="shared" si="108"/>
        <v>2022/23</v>
      </c>
      <c r="M96" s="94" t="str">
        <f t="shared" si="108"/>
        <v>2023/24</v>
      </c>
      <c r="N96" s="94" t="str">
        <f t="shared" si="108"/>
        <v>2024/25</v>
      </c>
      <c r="O96" s="94" t="str">
        <f t="shared" ref="O96" si="109">O65</f>
        <v>2025/26</v>
      </c>
      <c r="P96" s="94" t="str">
        <f t="shared" ref="P96:Q96" si="110">P65</f>
        <v>2026/27</v>
      </c>
      <c r="Q96" s="1762" t="str">
        <f t="shared" si="110"/>
        <v>2027/28</v>
      </c>
    </row>
    <row r="97" spans="1:17" x14ac:dyDescent="0.2">
      <c r="A97" s="45"/>
      <c r="B97" s="9"/>
      <c r="C97" s="89"/>
      <c r="D97" s="9"/>
      <c r="E97" s="9"/>
      <c r="F97" s="89"/>
      <c r="G97" s="79"/>
      <c r="H97" s="89"/>
      <c r="I97" s="9"/>
      <c r="J97" s="9"/>
      <c r="K97" s="46"/>
      <c r="L97" s="9"/>
      <c r="M97" s="9"/>
      <c r="N97" s="9"/>
      <c r="O97" s="9"/>
      <c r="P97" s="9"/>
      <c r="Q97" s="61"/>
    </row>
    <row r="98" spans="1:17" x14ac:dyDescent="0.2">
      <c r="A98" s="45"/>
      <c r="B98" s="9"/>
      <c r="C98" s="89"/>
      <c r="D98" s="9"/>
      <c r="E98" s="63" t="s">
        <v>2552</v>
      </c>
      <c r="F98" s="89"/>
      <c r="G98" s="79"/>
      <c r="H98" s="89"/>
      <c r="I98" s="9"/>
      <c r="J98" s="9"/>
      <c r="K98" s="46"/>
      <c r="L98" s="9"/>
      <c r="M98" s="9"/>
      <c r="N98" s="9"/>
      <c r="O98" s="9"/>
      <c r="P98" s="9"/>
      <c r="Q98" s="61"/>
    </row>
    <row r="99" spans="1:17" x14ac:dyDescent="0.2">
      <c r="A99" s="45"/>
      <c r="B99" s="9"/>
      <c r="C99" s="89"/>
      <c r="D99" s="9"/>
      <c r="E99" s="63"/>
      <c r="F99" s="89"/>
      <c r="G99" s="79"/>
      <c r="H99" s="89"/>
      <c r="I99" s="9"/>
      <c r="J99" s="9"/>
      <c r="K99" s="46"/>
      <c r="L99" s="9"/>
      <c r="M99" s="9"/>
      <c r="N99" s="9"/>
      <c r="O99" s="9"/>
      <c r="P99" s="9"/>
      <c r="Q99" s="61"/>
    </row>
    <row r="100" spans="1:17" x14ac:dyDescent="0.2">
      <c r="A100" s="45"/>
      <c r="B100" s="9"/>
      <c r="C100" s="89"/>
      <c r="D100" s="89"/>
      <c r="E100" s="2129" t="s">
        <v>0</v>
      </c>
      <c r="F100" s="89"/>
      <c r="G100" s="584"/>
      <c r="H100" s="89"/>
      <c r="I100" s="9"/>
      <c r="J100" s="9"/>
      <c r="K100" s="46"/>
      <c r="L100" s="9"/>
      <c r="M100" s="9"/>
      <c r="N100" s="9"/>
      <c r="O100" s="9"/>
      <c r="P100" s="9"/>
      <c r="Q100" s="61"/>
    </row>
    <row r="101" spans="1:17" x14ac:dyDescent="0.2">
      <c r="A101" s="45">
        <f>Summaries!AU7</f>
        <v>11668700</v>
      </c>
      <c r="B101" s="9">
        <f>Summaries!AV7</f>
        <v>13005500</v>
      </c>
      <c r="C101" s="89">
        <f>Summaries!AW7</f>
        <v>14087200</v>
      </c>
      <c r="D101" s="89">
        <f>Summaries!AX7</f>
        <v>15398000</v>
      </c>
      <c r="E101" s="2130" t="s">
        <v>2296</v>
      </c>
      <c r="F101" s="89">
        <f>Summaries!AY7</f>
        <v>15937000</v>
      </c>
      <c r="G101" s="584">
        <f t="shared" ref="G101:G106" si="111">IF(D101=F101,0,IF(D101=0,100,(F101-D101)/D101*100))</f>
        <v>3.5004546044940903</v>
      </c>
      <c r="H101" s="89">
        <f>Summaries!AZ7</f>
        <v>16341000</v>
      </c>
      <c r="I101" s="9">
        <f>Summaries!BA7</f>
        <v>16755000</v>
      </c>
      <c r="J101" s="9">
        <f>Summaries!BB7</f>
        <v>17179000</v>
      </c>
      <c r="K101" s="46">
        <f>Summaries!BC7</f>
        <v>17614000</v>
      </c>
      <c r="L101" s="9">
        <f>Summaries!BD7</f>
        <v>18059000</v>
      </c>
      <c r="M101" s="9">
        <f>Summaries!BE7</f>
        <v>18516000</v>
      </c>
      <c r="N101" s="9">
        <f>Summaries!BF7</f>
        <v>18984000</v>
      </c>
      <c r="O101" s="9">
        <f>Summaries!BG7</f>
        <v>19464000</v>
      </c>
      <c r="P101" s="9">
        <f>Summaries!BH7</f>
        <v>19956000</v>
      </c>
      <c r="Q101" s="47">
        <f>Summaries!BI7</f>
        <v>20460000</v>
      </c>
    </row>
    <row r="102" spans="1:17" x14ac:dyDescent="0.2">
      <c r="A102" s="45">
        <f>Summaries!AU8</f>
        <v>1098100</v>
      </c>
      <c r="B102" s="9">
        <f>Summaries!AV8</f>
        <v>1038400</v>
      </c>
      <c r="C102" s="89">
        <f>Summaries!AW8</f>
        <v>1141900</v>
      </c>
      <c r="D102" s="89">
        <f>Summaries!AX8</f>
        <v>1368500</v>
      </c>
      <c r="E102" s="2130" t="s">
        <v>2337</v>
      </c>
      <c r="F102" s="89">
        <f>Summaries!AY8</f>
        <v>1351000</v>
      </c>
      <c r="G102" s="584">
        <f t="shared" si="111"/>
        <v>-1.2787723785166241</v>
      </c>
      <c r="H102" s="89">
        <f>Summaries!AZ8</f>
        <v>1423200</v>
      </c>
      <c r="I102" s="9">
        <f>Summaries!BA8</f>
        <v>1496800</v>
      </c>
      <c r="J102" s="9">
        <f>Summaries!BB8</f>
        <v>1571500</v>
      </c>
      <c r="K102" s="46">
        <f>Summaries!BC8</f>
        <v>1611300</v>
      </c>
      <c r="L102" s="9">
        <f>Summaries!BD8</f>
        <v>1651500</v>
      </c>
      <c r="M102" s="9">
        <f>Summaries!BE8</f>
        <v>1692900</v>
      </c>
      <c r="N102" s="9">
        <f>Summaries!BF8</f>
        <v>1735500</v>
      </c>
      <c r="O102" s="9">
        <f>Summaries!BG8</f>
        <v>1779400</v>
      </c>
      <c r="P102" s="9">
        <f>Summaries!BH8</f>
        <v>1824400</v>
      </c>
      <c r="Q102" s="47">
        <f>Summaries!BI8</f>
        <v>1870700</v>
      </c>
    </row>
    <row r="103" spans="1:17" x14ac:dyDescent="0.2">
      <c r="A103" s="45">
        <f>Summaries!AU9</f>
        <v>968800</v>
      </c>
      <c r="B103" s="9">
        <f>Summaries!AV9+6000</f>
        <v>678700</v>
      </c>
      <c r="C103" s="89">
        <f>Summaries!AW9</f>
        <v>496500</v>
      </c>
      <c r="D103" s="89">
        <f>Summaries!AX9</f>
        <v>492500</v>
      </c>
      <c r="E103" s="2130" t="s">
        <v>4154</v>
      </c>
      <c r="F103" s="89">
        <f>Summaries!AY9</f>
        <v>308200</v>
      </c>
      <c r="G103" s="584">
        <f t="shared" si="111"/>
        <v>-37.421319796954315</v>
      </c>
      <c r="H103" s="89">
        <f>Summaries!AZ9</f>
        <v>271500</v>
      </c>
      <c r="I103" s="9">
        <f>Summaries!BA9</f>
        <v>217900</v>
      </c>
      <c r="J103" s="9">
        <f>Summaries!BB9</f>
        <v>189000</v>
      </c>
      <c r="K103" s="46">
        <f>Summaries!BC9</f>
        <v>239800</v>
      </c>
      <c r="L103" s="9">
        <f>Summaries!BD9</f>
        <v>243500</v>
      </c>
      <c r="M103" s="9">
        <f>Summaries!BE9</f>
        <v>230200</v>
      </c>
      <c r="N103" s="9">
        <f>Summaries!BF9</f>
        <v>280200</v>
      </c>
      <c r="O103" s="9">
        <f>Summaries!BG9</f>
        <v>304100</v>
      </c>
      <c r="P103" s="9">
        <f>Summaries!BH9</f>
        <v>423200</v>
      </c>
      <c r="Q103" s="47">
        <f>Summaries!BI9</f>
        <v>552800</v>
      </c>
    </row>
    <row r="104" spans="1:17" x14ac:dyDescent="0.2">
      <c r="A104" s="45">
        <f>Summaries!AU10</f>
        <v>550400</v>
      </c>
      <c r="B104" s="9">
        <f>Summaries!AV10-6000</f>
        <v>462400</v>
      </c>
      <c r="C104" s="89">
        <f>Summaries!AW10</f>
        <v>458600</v>
      </c>
      <c r="D104" s="89">
        <f>Summaries!AX10</f>
        <v>455000</v>
      </c>
      <c r="E104" s="2130" t="s">
        <v>420</v>
      </c>
      <c r="F104" s="89">
        <f>Summaries!AY10</f>
        <v>478600</v>
      </c>
      <c r="G104" s="584">
        <f t="shared" si="111"/>
        <v>5.186813186813187</v>
      </c>
      <c r="H104" s="89">
        <f>Summaries!AZ10</f>
        <v>490000</v>
      </c>
      <c r="I104" s="9">
        <f>Summaries!BA10</f>
        <v>502500</v>
      </c>
      <c r="J104" s="9">
        <f>Summaries!BB10</f>
        <v>515400</v>
      </c>
      <c r="K104" s="46">
        <f>Summaries!BC10</f>
        <v>528600</v>
      </c>
      <c r="L104" s="9">
        <f>Summaries!BD10</f>
        <v>542100</v>
      </c>
      <c r="M104" s="9">
        <f>Summaries!BE10</f>
        <v>555800</v>
      </c>
      <c r="N104" s="9">
        <f>Summaries!BF10</f>
        <v>570100</v>
      </c>
      <c r="O104" s="9">
        <f>Summaries!BG10</f>
        <v>584700</v>
      </c>
      <c r="P104" s="9">
        <f>Summaries!BH10</f>
        <v>599700</v>
      </c>
      <c r="Q104" s="47">
        <f>Summaries!BI10</f>
        <v>615100</v>
      </c>
    </row>
    <row r="105" spans="1:17" ht="12.75" customHeight="1" x14ac:dyDescent="0.2">
      <c r="A105" s="45">
        <f>Summaries!AU11</f>
        <v>150800</v>
      </c>
      <c r="B105" s="9">
        <f>Summaries!AV11</f>
        <v>151700</v>
      </c>
      <c r="C105" s="89">
        <f>Summaries!AW11</f>
        <v>156600</v>
      </c>
      <c r="D105" s="89">
        <f>Summaries!AX11</f>
        <v>159100</v>
      </c>
      <c r="E105" s="2130" t="s">
        <v>4164</v>
      </c>
      <c r="F105" s="89">
        <f>Summaries!AY11</f>
        <v>143600</v>
      </c>
      <c r="G105" s="584">
        <f t="shared" si="111"/>
        <v>-9.7423004399748585</v>
      </c>
      <c r="H105" s="89">
        <f>Summaries!AZ11</f>
        <v>144500</v>
      </c>
      <c r="I105" s="9">
        <f>Summaries!BA11</f>
        <v>145500</v>
      </c>
      <c r="J105" s="9">
        <f>Summaries!BB11</f>
        <v>146400</v>
      </c>
      <c r="K105" s="46">
        <f>Summaries!BC11</f>
        <v>147300</v>
      </c>
      <c r="L105" s="9">
        <f>Summaries!BD11</f>
        <v>148200</v>
      </c>
      <c r="M105" s="9">
        <f>Summaries!BE11</f>
        <v>149100</v>
      </c>
      <c r="N105" s="9">
        <f>Summaries!BF11</f>
        <v>150000</v>
      </c>
      <c r="O105" s="9">
        <f>Summaries!BG11</f>
        <v>150900</v>
      </c>
      <c r="P105" s="9">
        <f>Summaries!BH11</f>
        <v>151800</v>
      </c>
      <c r="Q105" s="47">
        <f>Summaries!BI11</f>
        <v>152700</v>
      </c>
    </row>
    <row r="106" spans="1:17" x14ac:dyDescent="0.2">
      <c r="A106" s="45">
        <f>Summaries!AU40+Summaries!AU41</f>
        <v>2014200</v>
      </c>
      <c r="B106" s="9">
        <f>Summaries!AV40+Summaries!AV41</f>
        <v>2131400</v>
      </c>
      <c r="C106" s="89">
        <f>Summaries!AW40+Summaries!AW41</f>
        <v>2470000</v>
      </c>
      <c r="D106" s="89">
        <f>Summaries!AX40+Summaries!AX41</f>
        <v>736500</v>
      </c>
      <c r="E106" s="2130" t="s">
        <v>4165</v>
      </c>
      <c r="F106" s="89">
        <f>Summaries!AY40+Summaries!AY41</f>
        <v>2145500</v>
      </c>
      <c r="G106" s="584">
        <f t="shared" si="111"/>
        <v>191.31025118805161</v>
      </c>
      <c r="H106" s="89">
        <f>Summaries!AZ40+Summaries!AZ41</f>
        <v>2175500</v>
      </c>
      <c r="I106" s="89">
        <f>Summaries!BA40+Summaries!BA41</f>
        <v>2215500</v>
      </c>
      <c r="J106" s="89">
        <f>Summaries!BB40+Summaries!BB41</f>
        <v>2255500</v>
      </c>
      <c r="K106" s="89">
        <f>Summaries!BC40+Summaries!BC41</f>
        <v>2295500</v>
      </c>
      <c r="L106" s="89">
        <f>Summaries!BD40+Summaries!BD41</f>
        <v>2335500</v>
      </c>
      <c r="M106" s="89">
        <f>Summaries!BE40+Summaries!BE41</f>
        <v>2375500</v>
      </c>
      <c r="N106" s="9">
        <f>Summaries!BF40+Summaries!BF41</f>
        <v>2425500</v>
      </c>
      <c r="O106" s="9">
        <f>Summaries!BG40+Summaries!BG41</f>
        <v>2475500</v>
      </c>
      <c r="P106" s="9">
        <f>Summaries!BH40+Summaries!BH41</f>
        <v>2525500</v>
      </c>
      <c r="Q106" s="47">
        <f>Summaries!BI40+Summaries!BI41</f>
        <v>2575500</v>
      </c>
    </row>
    <row r="107" spans="1:17" x14ac:dyDescent="0.2">
      <c r="A107" s="45"/>
      <c r="B107" s="9"/>
      <c r="C107" s="89"/>
      <c r="D107" s="89"/>
      <c r="E107" s="2129" t="s">
        <v>4159</v>
      </c>
      <c r="F107" s="89"/>
      <c r="G107" s="584"/>
      <c r="H107" s="89"/>
      <c r="I107" s="9"/>
      <c r="J107" s="9"/>
      <c r="K107" s="46"/>
      <c r="L107" s="9"/>
      <c r="M107" s="9"/>
      <c r="N107" s="9"/>
      <c r="O107" s="9"/>
      <c r="P107" s="9"/>
      <c r="Q107" s="61"/>
    </row>
    <row r="108" spans="1:17" x14ac:dyDescent="0.2">
      <c r="A108" s="45">
        <f>IF(Summaries!AU12&gt;Summaries!AU22,Summaries!AU12-Summaries!AU22,0)</f>
        <v>5700</v>
      </c>
      <c r="B108" s="9">
        <f>IF(Summaries!AV12&gt;Summaries!AV22,Summaries!AV12-Summaries!AV22,0)</f>
        <v>0</v>
      </c>
      <c r="C108" s="89">
        <f>IF(Summaries!AW12&gt;Summaries!AW22,Summaries!AW12-Summaries!AW22,0)</f>
        <v>0</v>
      </c>
      <c r="D108" s="89">
        <f>IF(Summaries!AX12&gt;Summaries!AX22,Summaries!AX12-Summaries!AX22,0)</f>
        <v>0</v>
      </c>
      <c r="E108" s="2130" t="s">
        <v>4160</v>
      </c>
      <c r="F108" s="89">
        <f>IF(Summaries!AY12&gt;Summaries!AY22,Summaries!AY12-Summaries!AY22,0)</f>
        <v>0</v>
      </c>
      <c r="G108" s="584">
        <f>IF(D108=F108,0,IF(D108=0,100,(F108-D108)/D108*100))</f>
        <v>0</v>
      </c>
      <c r="H108" s="89">
        <f>IF(Summaries!AZ12&gt;Summaries!AZ22,Summaries!AZ12-Summaries!AZ22,0)</f>
        <v>0</v>
      </c>
      <c r="I108" s="89">
        <f>IF(Summaries!BA12&gt;Summaries!BA22,Summaries!BA12-Summaries!BA22,0)</f>
        <v>0</v>
      </c>
      <c r="J108" s="89">
        <f>IF(Summaries!BB12&gt;Summaries!BB22,Summaries!BB12-Summaries!BB22,0)</f>
        <v>0</v>
      </c>
      <c r="K108" s="89">
        <f>IF(Summaries!BC12&gt;Summaries!BC22,Summaries!BC12-Summaries!BC22,0)</f>
        <v>0</v>
      </c>
      <c r="L108" s="89">
        <f>IF(Summaries!BD12&gt;Summaries!BD22,Summaries!BD12-Summaries!BD22,0)</f>
        <v>0</v>
      </c>
      <c r="M108" s="89">
        <f>IF(Summaries!BE12&gt;Summaries!BE22,Summaries!BE12-Summaries!BE22,0)</f>
        <v>0</v>
      </c>
      <c r="N108" s="9">
        <f>IF(Summaries!BF12&gt;Summaries!BF22,Summaries!BF12-Summaries!BF22,0)</f>
        <v>0</v>
      </c>
      <c r="O108" s="9">
        <f>IF(Summaries!BG12&gt;Summaries!BG22,Summaries!BG12-Summaries!BG22,0)</f>
        <v>0</v>
      </c>
      <c r="P108" s="9">
        <f>IF(Summaries!BH12&gt;Summaries!BH22,Summaries!BH12-Summaries!BH22,0)</f>
        <v>0</v>
      </c>
      <c r="Q108" s="61">
        <f>IF(Summaries!BI12&gt;Summaries!BI22,Summaries!BI12-Summaries!BI22,0)</f>
        <v>0</v>
      </c>
    </row>
    <row r="109" spans="1:17" s="65" customFormat="1" x14ac:dyDescent="0.2">
      <c r="A109" s="1774">
        <f>SUM(A101:A108)</f>
        <v>16456700</v>
      </c>
      <c r="B109" s="63">
        <f>SUM(B101:B108)</f>
        <v>17468100</v>
      </c>
      <c r="C109" s="107">
        <f>SUM(C101:C108)</f>
        <v>18810800</v>
      </c>
      <c r="D109" s="107">
        <f>SUM(D101:D108)</f>
        <v>18609600</v>
      </c>
      <c r="E109" s="2129" t="s">
        <v>4155</v>
      </c>
      <c r="F109" s="107">
        <f t="shared" ref="F109:M109" si="112">SUM(F101:F108)</f>
        <v>20363900</v>
      </c>
      <c r="G109" s="220">
        <f>IF(D109=F109,0,IF(D109=0,100,(F109-D109)/D109*100))</f>
        <v>9.4268549565815505</v>
      </c>
      <c r="H109" s="107">
        <f t="shared" si="112"/>
        <v>20845700</v>
      </c>
      <c r="I109" s="63">
        <f t="shared" si="112"/>
        <v>21333200</v>
      </c>
      <c r="J109" s="63">
        <f t="shared" si="112"/>
        <v>21856800</v>
      </c>
      <c r="K109" s="92">
        <f t="shared" si="112"/>
        <v>22436500</v>
      </c>
      <c r="L109" s="63">
        <f t="shared" si="112"/>
        <v>22979800</v>
      </c>
      <c r="M109" s="63">
        <f t="shared" si="112"/>
        <v>23519500</v>
      </c>
      <c r="N109" s="63">
        <f t="shared" ref="N109" si="113">SUM(N101:N108)</f>
        <v>24145300</v>
      </c>
      <c r="O109" s="63">
        <f t="shared" ref="O109" si="114">SUM(O101:O108)</f>
        <v>24758600</v>
      </c>
      <c r="P109" s="63">
        <f t="shared" ref="P109:Q109" si="115">SUM(P101:P108)</f>
        <v>25480600</v>
      </c>
      <c r="Q109" s="106">
        <f t="shared" si="115"/>
        <v>26226800</v>
      </c>
    </row>
    <row r="110" spans="1:17" x14ac:dyDescent="0.2">
      <c r="A110" s="45"/>
      <c r="B110" s="9"/>
      <c r="C110" s="89"/>
      <c r="D110" s="89"/>
      <c r="E110" s="2129"/>
      <c r="F110" s="89"/>
      <c r="G110" s="584"/>
      <c r="H110" s="89"/>
      <c r="I110" s="9"/>
      <c r="J110" s="9"/>
      <c r="K110" s="46"/>
      <c r="L110" s="9"/>
      <c r="M110" s="9"/>
      <c r="N110" s="9"/>
      <c r="O110" s="9"/>
      <c r="P110" s="9"/>
      <c r="Q110" s="61"/>
    </row>
    <row r="111" spans="1:17" x14ac:dyDescent="0.2">
      <c r="A111" s="45"/>
      <c r="B111" s="9"/>
      <c r="C111" s="89"/>
      <c r="D111" s="89"/>
      <c r="E111" s="2129" t="s">
        <v>2018</v>
      </c>
      <c r="F111" s="89"/>
      <c r="G111" s="584"/>
      <c r="H111" s="89"/>
      <c r="I111" s="9"/>
      <c r="J111" s="9"/>
      <c r="K111" s="46"/>
      <c r="L111" s="9"/>
      <c r="M111" s="9"/>
      <c r="N111" s="9"/>
      <c r="O111" s="9"/>
      <c r="P111" s="9"/>
      <c r="Q111" s="61"/>
    </row>
    <row r="112" spans="1:17" x14ac:dyDescent="0.2">
      <c r="A112" s="45">
        <f>Summaries!AU17</f>
        <v>3510600</v>
      </c>
      <c r="B112" s="9">
        <f>Summaries!AV17</f>
        <v>3219000</v>
      </c>
      <c r="C112" s="89">
        <f>Summaries!AW17</f>
        <v>3676000</v>
      </c>
      <c r="D112" s="89">
        <f>Summaries!AX17</f>
        <v>4449000</v>
      </c>
      <c r="E112" s="2130" t="s">
        <v>4156</v>
      </c>
      <c r="F112" s="89">
        <f>Summaries!AY17</f>
        <v>4587000</v>
      </c>
      <c r="G112" s="584">
        <f t="shared" ref="G112:G118" si="116">IF(D112=F112,0,IF(D112=0,100,(F112-D112)/D112*100))</f>
        <v>3.1018206338503034</v>
      </c>
      <c r="H112" s="89">
        <f>Summaries!AZ17</f>
        <v>4729000</v>
      </c>
      <c r="I112" s="9">
        <f>Summaries!BA17</f>
        <v>4876000</v>
      </c>
      <c r="J112" s="9">
        <f>Summaries!BB17</f>
        <v>5027000</v>
      </c>
      <c r="K112" s="46">
        <f>Summaries!BC17</f>
        <v>5183000</v>
      </c>
      <c r="L112" s="9">
        <f>Summaries!BD17</f>
        <v>5344000</v>
      </c>
      <c r="M112" s="9">
        <f>Summaries!BE17</f>
        <v>5510000</v>
      </c>
      <c r="N112" s="9">
        <f>Summaries!BF17</f>
        <v>5681000</v>
      </c>
      <c r="O112" s="9">
        <f>Summaries!BG17</f>
        <v>5857000</v>
      </c>
      <c r="P112" s="9">
        <f>Summaries!BH17</f>
        <v>6039000</v>
      </c>
      <c r="Q112" s="47">
        <f>Summaries!BI17</f>
        <v>6227000</v>
      </c>
    </row>
    <row r="113" spans="1:17" x14ac:dyDescent="0.2">
      <c r="A113" s="45">
        <f>Summaries!AU19</f>
        <v>5160800</v>
      </c>
      <c r="B113" s="9">
        <f>Summaries!AV19</f>
        <v>4996800</v>
      </c>
      <c r="C113" s="89">
        <f>Summaries!AW19</f>
        <v>4659300</v>
      </c>
      <c r="D113" s="89">
        <f>Summaries!AX19</f>
        <v>4448600</v>
      </c>
      <c r="E113" s="2130" t="s">
        <v>2152</v>
      </c>
      <c r="F113" s="89">
        <f>Summaries!AY19</f>
        <v>4249900</v>
      </c>
      <c r="G113" s="584">
        <f t="shared" si="116"/>
        <v>-4.4665737535404402</v>
      </c>
      <c r="H113" s="89">
        <f>Summaries!AZ19</f>
        <v>3878300</v>
      </c>
      <c r="I113" s="89">
        <f>Summaries!BA19</f>
        <v>3667000</v>
      </c>
      <c r="J113" s="89">
        <f>Summaries!BB19</f>
        <v>3439800</v>
      </c>
      <c r="K113" s="89">
        <f>Summaries!BC19</f>
        <v>3239200</v>
      </c>
      <c r="L113" s="89">
        <f>Summaries!BD19</f>
        <v>3049200</v>
      </c>
      <c r="M113" s="9">
        <f>Summaries!BE19</f>
        <v>2856300</v>
      </c>
      <c r="N113" s="9">
        <f>Summaries!BF19</f>
        <v>2658300</v>
      </c>
      <c r="O113" s="9">
        <f>Summaries!BG19</f>
        <v>2463300</v>
      </c>
      <c r="P113" s="9">
        <f>Summaries!BH19</f>
        <v>2266300</v>
      </c>
      <c r="Q113" s="47">
        <f>Summaries!BI19</f>
        <v>2068300</v>
      </c>
    </row>
    <row r="114" spans="1:17" x14ac:dyDescent="0.2">
      <c r="A114" s="45">
        <f>Summaries!AU18</f>
        <v>5288300</v>
      </c>
      <c r="B114" s="9">
        <f>Summaries!AV18</f>
        <v>5670300</v>
      </c>
      <c r="C114" s="89">
        <f>Summaries!AW18</f>
        <v>5096600</v>
      </c>
      <c r="D114" s="89">
        <f>Summaries!AX18</f>
        <v>4874700</v>
      </c>
      <c r="E114" s="2130" t="s">
        <v>2336</v>
      </c>
      <c r="F114" s="89">
        <f>Summaries!AY18</f>
        <v>4739400</v>
      </c>
      <c r="G114" s="584">
        <f t="shared" si="116"/>
        <v>-2.7755554187950029</v>
      </c>
      <c r="H114" s="89">
        <f>Summaries!AZ18</f>
        <v>4821200</v>
      </c>
      <c r="I114" s="9">
        <f>Summaries!BA18</f>
        <v>4915000</v>
      </c>
      <c r="J114" s="9">
        <f>Summaries!BB18</f>
        <v>5010300</v>
      </c>
      <c r="K114" s="46">
        <f>Summaries!BC18</f>
        <v>5121900</v>
      </c>
      <c r="L114" s="9">
        <f>Summaries!BD18</f>
        <v>5205000</v>
      </c>
      <c r="M114" s="9">
        <f>Summaries!BE18</f>
        <v>5304100</v>
      </c>
      <c r="N114" s="9">
        <f>Summaries!BF18</f>
        <v>5404400</v>
      </c>
      <c r="O114" s="9">
        <f>Summaries!BG18</f>
        <v>5438900</v>
      </c>
      <c r="P114" s="9">
        <f>Summaries!BH18</f>
        <v>5556100</v>
      </c>
      <c r="Q114" s="47">
        <f>Summaries!BI18</f>
        <v>5633700</v>
      </c>
    </row>
    <row r="115" spans="1:17" x14ac:dyDescent="0.2">
      <c r="A115" s="45">
        <f>Summaries!AU20</f>
        <v>2643100</v>
      </c>
      <c r="B115" s="9">
        <f>Summaries!AV20</f>
        <v>2314300</v>
      </c>
      <c r="C115" s="89">
        <f>Summaries!AW20</f>
        <v>3531900</v>
      </c>
      <c r="D115" s="89">
        <f>Summaries!AX20</f>
        <v>3573300</v>
      </c>
      <c r="E115" s="2130" t="s">
        <v>4157</v>
      </c>
      <c r="F115" s="89">
        <f>Summaries!AY20</f>
        <v>3775000</v>
      </c>
      <c r="G115" s="584">
        <f t="shared" si="116"/>
        <v>5.6446422074832787</v>
      </c>
      <c r="H115" s="89">
        <f>Summaries!AZ20</f>
        <v>3851000</v>
      </c>
      <c r="I115" s="9">
        <f>Summaries!BA20</f>
        <v>3928000</v>
      </c>
      <c r="J115" s="9">
        <f>Summaries!BB20</f>
        <v>4007000</v>
      </c>
      <c r="K115" s="46">
        <f>Summaries!BC20</f>
        <v>4087000</v>
      </c>
      <c r="L115" s="9">
        <f>Summaries!BD20</f>
        <v>4169000</v>
      </c>
      <c r="M115" s="9">
        <f>Summaries!BE20</f>
        <v>4252000</v>
      </c>
      <c r="N115" s="9">
        <f>Summaries!BF20</f>
        <v>4337000</v>
      </c>
      <c r="O115" s="9">
        <f>Summaries!BG20</f>
        <v>4424000</v>
      </c>
      <c r="P115" s="9">
        <f>Summaries!BH20</f>
        <v>4512000</v>
      </c>
      <c r="Q115" s="47">
        <f>Summaries!BI20</f>
        <v>4602000</v>
      </c>
    </row>
    <row r="116" spans="1:17" x14ac:dyDescent="0.2">
      <c r="A116" s="45">
        <f>Summaries!AU21</f>
        <v>421300</v>
      </c>
      <c r="B116" s="9">
        <f>Summaries!AV21</f>
        <v>330000</v>
      </c>
      <c r="C116" s="89">
        <f>Summaries!AW21</f>
        <v>338100</v>
      </c>
      <c r="D116" s="89">
        <f>Summaries!AX21</f>
        <v>371500</v>
      </c>
      <c r="E116" s="2130" t="s">
        <v>408</v>
      </c>
      <c r="F116" s="89">
        <f>Summaries!AY21</f>
        <v>446000</v>
      </c>
      <c r="G116" s="584">
        <f t="shared" si="116"/>
        <v>20.053835800807537</v>
      </c>
      <c r="H116" s="89">
        <f>Summaries!AZ21</f>
        <v>373900</v>
      </c>
      <c r="I116" s="9">
        <f>Summaries!BA21</f>
        <v>383900</v>
      </c>
      <c r="J116" s="9">
        <f>Summaries!BB21</f>
        <v>394000</v>
      </c>
      <c r="K116" s="46">
        <f>Summaries!BC21</f>
        <v>404300</v>
      </c>
      <c r="L116" s="9">
        <f>Summaries!BD21</f>
        <v>464900</v>
      </c>
      <c r="M116" s="9">
        <f>Summaries!BE21</f>
        <v>425600</v>
      </c>
      <c r="N116" s="9">
        <f>Summaries!BF21</f>
        <v>436600</v>
      </c>
      <c r="O116" s="9">
        <f>Summaries!BG21</f>
        <v>447900</v>
      </c>
      <c r="P116" s="9">
        <f>Summaries!BH21</f>
        <v>459400</v>
      </c>
      <c r="Q116" s="47">
        <f>Summaries!BI21</f>
        <v>521200</v>
      </c>
    </row>
    <row r="117" spans="1:17" x14ac:dyDescent="0.2">
      <c r="A117" s="45">
        <f>IF(Summaries!AU22&gt;Summaries!AU12,Summaries!AU22-Summaries!AU12,0)</f>
        <v>0</v>
      </c>
      <c r="B117" s="9">
        <f>IF(Summaries!AV22&gt;Summaries!AV12,Summaries!AV22-Summaries!AV12,0)</f>
        <v>12197600</v>
      </c>
      <c r="C117" s="89">
        <f>IF(Summaries!AW22&gt;Summaries!AW12,Summaries!AW22-Summaries!AW12,0)</f>
        <v>2500</v>
      </c>
      <c r="D117" s="89">
        <f>IF(Summaries!AX22&gt;Summaries!AX12,Summaries!AX22-Summaries!AX12,0)</f>
        <v>402000</v>
      </c>
      <c r="E117" s="2130" t="s">
        <v>4158</v>
      </c>
      <c r="F117" s="89">
        <f>IF(Summaries!AY22&gt;Summaries!AY12,Summaries!AY22-Summaries!AY12,0)</f>
        <v>0</v>
      </c>
      <c r="G117" s="584">
        <f t="shared" si="116"/>
        <v>-100</v>
      </c>
      <c r="H117" s="89">
        <f>IF(Summaries!AZ22&gt;Summaries!AZ12,Summaries!AZ22-Summaries!AZ12,0)</f>
        <v>0</v>
      </c>
      <c r="I117" s="89">
        <f>IF(Summaries!BA22&gt;Summaries!BA12,Summaries!BA22-Summaries!BA12,0)</f>
        <v>0</v>
      </c>
      <c r="J117" s="89">
        <f>IF(Summaries!BB22&gt;Summaries!BB12,Summaries!BB22-Summaries!BB12,0)</f>
        <v>0</v>
      </c>
      <c r="K117" s="89">
        <f>IF(Summaries!BC22&gt;Summaries!BC12,Summaries!BC22-Summaries!BC12,0)</f>
        <v>0</v>
      </c>
      <c r="L117" s="89">
        <f>IF(Summaries!BD22&gt;Summaries!BD12,Summaries!BD22-Summaries!BD12,0)</f>
        <v>0</v>
      </c>
      <c r="M117" s="89">
        <f>IF(Summaries!BE22&gt;Summaries!BE12,Summaries!BE22-Summaries!BE12,0)</f>
        <v>0</v>
      </c>
      <c r="N117" s="9">
        <f>IF(Summaries!BF22&gt;Summaries!BF12,Summaries!BF22-Summaries!BF12,0)</f>
        <v>0</v>
      </c>
      <c r="O117" s="9">
        <f>IF(Summaries!BG22&gt;Summaries!BG12,Summaries!BG22-Summaries!BG12,0)</f>
        <v>0</v>
      </c>
      <c r="P117" s="9">
        <f>IF(Summaries!BH22&gt;Summaries!BH12,Summaries!BH22-Summaries!BH12,0)</f>
        <v>0</v>
      </c>
      <c r="Q117" s="47">
        <f>IF(Summaries!BI22&gt;Summaries!BI12,Summaries!BI22-Summaries!BI12,0)</f>
        <v>0</v>
      </c>
    </row>
    <row r="118" spans="1:17" s="65" customFormat="1" x14ac:dyDescent="0.2">
      <c r="A118" s="1774">
        <f>SUM(A112:A117)</f>
        <v>17024100</v>
      </c>
      <c r="B118" s="63">
        <f>SUM(B112:B117)</f>
        <v>28728000</v>
      </c>
      <c r="C118" s="107">
        <f>SUM(C112:C117)</f>
        <v>17304400</v>
      </c>
      <c r="D118" s="107">
        <f>SUM(D112:D117)</f>
        <v>18119100</v>
      </c>
      <c r="E118" s="2129" t="s">
        <v>4161</v>
      </c>
      <c r="F118" s="107">
        <f t="shared" ref="F118:N118" si="117">SUM(F112:F117)</f>
        <v>17797300</v>
      </c>
      <c r="G118" s="220">
        <f t="shared" si="116"/>
        <v>-1.7760264030774155</v>
      </c>
      <c r="H118" s="107">
        <f t="shared" si="117"/>
        <v>17653400</v>
      </c>
      <c r="I118" s="63">
        <f t="shared" si="117"/>
        <v>17769900</v>
      </c>
      <c r="J118" s="63">
        <f t="shared" si="117"/>
        <v>17878100</v>
      </c>
      <c r="K118" s="92">
        <f t="shared" si="117"/>
        <v>18035400</v>
      </c>
      <c r="L118" s="63">
        <f t="shared" si="117"/>
        <v>18232100</v>
      </c>
      <c r="M118" s="63">
        <f t="shared" si="117"/>
        <v>18348000</v>
      </c>
      <c r="N118" s="63">
        <f t="shared" si="117"/>
        <v>18517300</v>
      </c>
      <c r="O118" s="63">
        <f t="shared" ref="O118" si="118">SUM(O112:O117)</f>
        <v>18631100</v>
      </c>
      <c r="P118" s="63">
        <f t="shared" ref="P118:Q118" si="119">SUM(P112:P117)</f>
        <v>18832800</v>
      </c>
      <c r="Q118" s="106">
        <f t="shared" si="119"/>
        <v>19052200</v>
      </c>
    </row>
    <row r="119" spans="1:17" x14ac:dyDescent="0.2">
      <c r="A119" s="45"/>
      <c r="B119" s="9"/>
      <c r="C119" s="89"/>
      <c r="D119" s="89"/>
      <c r="E119" s="634"/>
      <c r="F119" s="89"/>
      <c r="G119" s="220"/>
      <c r="H119" s="89"/>
      <c r="I119" s="9"/>
      <c r="J119" s="9"/>
      <c r="K119" s="46"/>
      <c r="L119" s="9"/>
      <c r="M119" s="9"/>
      <c r="N119" s="9"/>
      <c r="O119" s="9"/>
      <c r="P119" s="9"/>
      <c r="Q119" s="61"/>
    </row>
    <row r="120" spans="1:17" s="65" customFormat="1" x14ac:dyDescent="0.2">
      <c r="A120" s="1774">
        <f>A109-A118</f>
        <v>-567400</v>
      </c>
      <c r="B120" s="63">
        <f>B109-B118</f>
        <v>-11259900</v>
      </c>
      <c r="C120" s="107">
        <f>C109-C118</f>
        <v>1506400</v>
      </c>
      <c r="D120" s="107">
        <f>D109-D118</f>
        <v>490500</v>
      </c>
      <c r="E120" s="780" t="s">
        <v>4162</v>
      </c>
      <c r="F120" s="107">
        <f t="shared" ref="F120:N120" si="120">F109-F118</f>
        <v>2566600</v>
      </c>
      <c r="G120" s="220">
        <f>IF(D120=F120,0,IF(D120=0,100,(F120-D120)/D120*100))</f>
        <v>423.26197757390418</v>
      </c>
      <c r="H120" s="107">
        <f t="shared" si="120"/>
        <v>3192300</v>
      </c>
      <c r="I120" s="63">
        <f t="shared" si="120"/>
        <v>3563300</v>
      </c>
      <c r="J120" s="63">
        <f t="shared" si="120"/>
        <v>3978700</v>
      </c>
      <c r="K120" s="92">
        <f t="shared" si="120"/>
        <v>4401100</v>
      </c>
      <c r="L120" s="63">
        <f t="shared" si="120"/>
        <v>4747700</v>
      </c>
      <c r="M120" s="63">
        <f t="shared" si="120"/>
        <v>5171500</v>
      </c>
      <c r="N120" s="63">
        <f t="shared" si="120"/>
        <v>5628000</v>
      </c>
      <c r="O120" s="63">
        <f t="shared" ref="O120" si="121">O109-O118</f>
        <v>6127500</v>
      </c>
      <c r="P120" s="63">
        <f t="shared" ref="P120:Q120" si="122">P109-P118</f>
        <v>6647800</v>
      </c>
      <c r="Q120" s="106">
        <f t="shared" si="122"/>
        <v>7174600</v>
      </c>
    </row>
    <row r="121" spans="1:17" x14ac:dyDescent="0.2">
      <c r="A121" s="45"/>
      <c r="B121" s="9"/>
      <c r="C121" s="89"/>
      <c r="D121" s="89"/>
      <c r="E121" s="634"/>
      <c r="F121" s="89"/>
      <c r="G121" s="220"/>
      <c r="H121" s="89"/>
      <c r="I121" s="9"/>
      <c r="J121" s="9"/>
      <c r="K121" s="46"/>
      <c r="L121" s="9"/>
      <c r="M121" s="9"/>
      <c r="N121" s="9"/>
      <c r="O121" s="9"/>
      <c r="P121" s="9"/>
      <c r="Q121" s="61"/>
    </row>
    <row r="122" spans="1:17" s="65" customFormat="1" x14ac:dyDescent="0.2">
      <c r="A122" s="1774">
        <f>A109-A106-A118</f>
        <v>-2581600</v>
      </c>
      <c r="B122" s="63">
        <f>B109-B106-B118</f>
        <v>-13391300</v>
      </c>
      <c r="C122" s="107">
        <f>C109-C106-C118</f>
        <v>-963600</v>
      </c>
      <c r="D122" s="107">
        <f>D109-D106-D118</f>
        <v>-246000</v>
      </c>
      <c r="E122" s="780" t="s">
        <v>4611</v>
      </c>
      <c r="F122" s="107">
        <f t="shared" ref="F122:N122" si="123">F109-F106-F118</f>
        <v>421100</v>
      </c>
      <c r="G122" s="220">
        <f>IF(D122=F122,0,IF(D122=0,100,(F122-D122)/D122*100))</f>
        <v>-271.17886178861789</v>
      </c>
      <c r="H122" s="107">
        <f t="shared" si="123"/>
        <v>1016800</v>
      </c>
      <c r="I122" s="63">
        <f t="shared" si="123"/>
        <v>1347800</v>
      </c>
      <c r="J122" s="63">
        <f t="shared" si="123"/>
        <v>1723200</v>
      </c>
      <c r="K122" s="92">
        <f t="shared" si="123"/>
        <v>2105600</v>
      </c>
      <c r="L122" s="63">
        <f t="shared" si="123"/>
        <v>2412200</v>
      </c>
      <c r="M122" s="63">
        <f t="shared" si="123"/>
        <v>2796000</v>
      </c>
      <c r="N122" s="63">
        <f t="shared" si="123"/>
        <v>3202500</v>
      </c>
      <c r="O122" s="63">
        <f t="shared" ref="O122" si="124">O109-O106-O118</f>
        <v>3652000</v>
      </c>
      <c r="P122" s="63">
        <f t="shared" ref="P122:Q122" si="125">P109-P106-P118</f>
        <v>4122300</v>
      </c>
      <c r="Q122" s="106">
        <f t="shared" si="125"/>
        <v>4599100</v>
      </c>
    </row>
    <row r="123" spans="1:17" s="2226" customFormat="1" ht="13.5" thickBot="1" x14ac:dyDescent="0.25">
      <c r="A123" s="591"/>
      <c r="B123" s="592"/>
      <c r="C123" s="593"/>
      <c r="D123" s="592"/>
      <c r="E123" s="1776"/>
      <c r="F123" s="593"/>
      <c r="G123" s="751"/>
      <c r="H123" s="593"/>
      <c r="I123" s="592"/>
      <c r="J123" s="592"/>
      <c r="K123" s="208"/>
      <c r="L123" s="592"/>
      <c r="M123" s="592"/>
      <c r="N123" s="592"/>
      <c r="O123" s="592"/>
      <c r="P123" s="592"/>
      <c r="Q123" s="594"/>
    </row>
    <row r="124" spans="1:17" s="31" customFormat="1" ht="14.25" thickTop="1" thickBot="1" x14ac:dyDescent="0.25">
      <c r="E124" s="58"/>
      <c r="G124" s="599"/>
    </row>
    <row r="125" spans="1:17" s="1757" customFormat="1" ht="19.5" thickTop="1" thickBot="1" x14ac:dyDescent="0.3">
      <c r="A125" s="2573" t="s">
        <v>11969</v>
      </c>
      <c r="B125" s="2574"/>
      <c r="C125" s="2574"/>
      <c r="D125" s="2574"/>
      <c r="E125" s="2574"/>
      <c r="F125" s="2574"/>
      <c r="G125" s="2574"/>
      <c r="H125" s="2574"/>
      <c r="I125" s="2574"/>
      <c r="J125" s="2574"/>
      <c r="K125" s="2574"/>
      <c r="L125" s="2574"/>
      <c r="M125" s="2574"/>
      <c r="N125" s="2574"/>
      <c r="O125" s="2574"/>
      <c r="P125" s="2574"/>
      <c r="Q125" s="2575"/>
    </row>
    <row r="126" spans="1:17" x14ac:dyDescent="0.2">
      <c r="A126" s="2579" t="s">
        <v>1824</v>
      </c>
      <c r="B126" s="2580"/>
      <c r="C126" s="2580"/>
      <c r="D126" s="2581"/>
      <c r="E126" s="2434" t="s">
        <v>4478</v>
      </c>
      <c r="F126" s="2576" t="str">
        <f>F95</f>
        <v>ESTIMATED</v>
      </c>
      <c r="G126" s="2577"/>
      <c r="H126" s="2577"/>
      <c r="I126" s="2577"/>
      <c r="J126" s="2577"/>
      <c r="K126" s="2577"/>
      <c r="L126" s="2577"/>
      <c r="M126" s="2577"/>
      <c r="N126" s="2577"/>
      <c r="O126" s="2577"/>
      <c r="P126" s="2577"/>
      <c r="Q126" s="2578"/>
    </row>
    <row r="127" spans="1:17" ht="13.5" thickBot="1" x14ac:dyDescent="0.25">
      <c r="A127" s="1008" t="str">
        <f>A182</f>
        <v>2013/14</v>
      </c>
      <c r="B127" s="28" t="str">
        <f>B182</f>
        <v>2014/15</v>
      </c>
      <c r="C127" s="94" t="str">
        <f>C182</f>
        <v>2015/16</v>
      </c>
      <c r="D127" s="94" t="str">
        <f t="shared" ref="D127" si="126">D182</f>
        <v>2016/17</v>
      </c>
      <c r="E127" s="2435"/>
      <c r="F127" s="847" t="str">
        <f t="shared" ref="F127:M127" si="127">F182</f>
        <v>2017/18</v>
      </c>
      <c r="G127" s="1436" t="str">
        <f t="shared" si="127"/>
        <v>%</v>
      </c>
      <c r="H127" s="2337" t="str">
        <f t="shared" si="127"/>
        <v>2018/19</v>
      </c>
      <c r="I127" s="44" t="str">
        <f t="shared" si="127"/>
        <v>2019/20</v>
      </c>
      <c r="J127" s="94" t="str">
        <f t="shared" si="127"/>
        <v>2020/21</v>
      </c>
      <c r="K127" s="1761" t="str">
        <f t="shared" si="127"/>
        <v>2021/22</v>
      </c>
      <c r="L127" s="94" t="str">
        <f t="shared" si="127"/>
        <v>2022/23</v>
      </c>
      <c r="M127" s="94" t="str">
        <f t="shared" si="127"/>
        <v>2023/24</v>
      </c>
      <c r="N127" s="94" t="str">
        <f t="shared" ref="N127:O127" si="128">N182</f>
        <v>2024/25</v>
      </c>
      <c r="O127" s="94" t="str">
        <f t="shared" si="128"/>
        <v>2025/26</v>
      </c>
      <c r="P127" s="94" t="str">
        <f t="shared" ref="P127:Q127" si="129">P182</f>
        <v>2026/27</v>
      </c>
      <c r="Q127" s="1762" t="str">
        <f t="shared" si="129"/>
        <v>2027/28</v>
      </c>
    </row>
    <row r="128" spans="1:17" x14ac:dyDescent="0.2">
      <c r="A128" s="54"/>
      <c r="B128" s="9"/>
      <c r="C128" s="9"/>
      <c r="D128" s="9"/>
      <c r="E128" s="9"/>
      <c r="F128" s="89"/>
      <c r="G128" s="79"/>
      <c r="H128" s="89"/>
      <c r="I128" s="9"/>
      <c r="J128" s="9"/>
      <c r="K128" s="46"/>
      <c r="L128" s="9"/>
      <c r="M128" s="89"/>
      <c r="N128" s="9"/>
      <c r="O128" s="9"/>
      <c r="P128" s="9"/>
      <c r="Q128" s="61"/>
    </row>
    <row r="129" spans="1:17" x14ac:dyDescent="0.2">
      <c r="A129" s="54"/>
      <c r="B129" s="9"/>
      <c r="C129" s="9"/>
      <c r="D129" s="9"/>
      <c r="E129" s="63" t="s">
        <v>2552</v>
      </c>
      <c r="F129" s="89"/>
      <c r="G129" s="79"/>
      <c r="H129" s="89"/>
      <c r="I129" s="9"/>
      <c r="J129" s="9"/>
      <c r="K129" s="46"/>
      <c r="L129" s="9"/>
      <c r="M129" s="89"/>
      <c r="N129" s="9"/>
      <c r="O129" s="9"/>
      <c r="P129" s="9"/>
      <c r="Q129" s="61"/>
    </row>
    <row r="130" spans="1:17" x14ac:dyDescent="0.2">
      <c r="A130" s="54"/>
      <c r="B130" s="9"/>
      <c r="C130" s="9"/>
      <c r="D130" s="9"/>
      <c r="E130" s="63"/>
      <c r="F130" s="89"/>
      <c r="G130" s="79"/>
      <c r="H130" s="89"/>
      <c r="I130" s="9"/>
      <c r="J130" s="9"/>
      <c r="K130" s="46"/>
      <c r="L130" s="9"/>
      <c r="M130" s="89"/>
      <c r="N130" s="9"/>
      <c r="O130" s="9"/>
      <c r="P130" s="9"/>
      <c r="Q130" s="61"/>
    </row>
    <row r="131" spans="1:17" x14ac:dyDescent="0.2">
      <c r="A131" s="54"/>
      <c r="B131" s="9"/>
      <c r="C131" s="9"/>
      <c r="D131" s="9"/>
      <c r="E131" s="780" t="s">
        <v>0</v>
      </c>
      <c r="F131" s="89"/>
      <c r="G131" s="584"/>
      <c r="H131" s="89"/>
      <c r="I131" s="9"/>
      <c r="J131" s="9"/>
      <c r="K131" s="46"/>
      <c r="L131" s="9"/>
      <c r="M131" s="89"/>
      <c r="N131" s="9"/>
      <c r="O131" s="9"/>
      <c r="P131" s="9"/>
      <c r="Q131" s="61"/>
    </row>
    <row r="132" spans="1:17" x14ac:dyDescent="0.2">
      <c r="A132" s="54">
        <f t="shared" ref="A132:C133" si="130">A187+A241+A290</f>
        <v>71256900</v>
      </c>
      <c r="B132" s="9">
        <f t="shared" si="130"/>
        <v>75418200</v>
      </c>
      <c r="C132" s="9">
        <f t="shared" si="130"/>
        <v>78264200</v>
      </c>
      <c r="D132" s="9">
        <f t="shared" ref="D132" si="131">D187+D241+D290</f>
        <v>86874900</v>
      </c>
      <c r="E132" s="634" t="s">
        <v>388</v>
      </c>
      <c r="F132" s="89">
        <f t="shared" ref="F132:O132" si="132">F187+F241+F290</f>
        <v>82695200</v>
      </c>
      <c r="G132" s="584">
        <f>IF(D132=F132,0,IF(D132=0,100,(F132-D132)/D132*100))</f>
        <v>-4.811171005664467</v>
      </c>
      <c r="H132" s="89">
        <f t="shared" si="132"/>
        <v>83575800</v>
      </c>
      <c r="I132" s="9">
        <f t="shared" si="132"/>
        <v>85815000</v>
      </c>
      <c r="J132" s="9">
        <f t="shared" si="132"/>
        <v>87559200</v>
      </c>
      <c r="K132" s="46">
        <f t="shared" si="132"/>
        <v>89809400</v>
      </c>
      <c r="L132" s="9">
        <f t="shared" si="132"/>
        <v>92006400</v>
      </c>
      <c r="M132" s="89">
        <f t="shared" si="132"/>
        <v>94478100</v>
      </c>
      <c r="N132" s="9">
        <f t="shared" si="132"/>
        <v>96905000</v>
      </c>
      <c r="O132" s="9">
        <f t="shared" si="132"/>
        <v>99542800</v>
      </c>
      <c r="P132" s="9">
        <f t="shared" ref="P132" si="133">P187+P241+P290</f>
        <v>102412900</v>
      </c>
      <c r="Q132" s="47">
        <f t="shared" ref="Q132" si="134">Q187+Q241+Q290</f>
        <v>105348300</v>
      </c>
    </row>
    <row r="133" spans="1:17" ht="13.5" thickBot="1" x14ac:dyDescent="0.25">
      <c r="A133" s="54">
        <f t="shared" si="130"/>
        <v>59489100</v>
      </c>
      <c r="B133" s="9">
        <f t="shared" si="130"/>
        <v>59043300</v>
      </c>
      <c r="C133" s="9">
        <f t="shared" si="130"/>
        <v>63070200</v>
      </c>
      <c r="D133" s="9">
        <f t="shared" ref="D133" si="135">D188+D242+D291</f>
        <v>62147900</v>
      </c>
      <c r="E133" s="634" t="s">
        <v>1097</v>
      </c>
      <c r="F133" s="89">
        <f t="shared" ref="F133:O133" si="136">F188+F242+F291</f>
        <v>66004700</v>
      </c>
      <c r="G133" s="584">
        <f>IF(D133=F133,0,IF(D133=0,100,(F133-D133)/D133*100))</f>
        <v>6.2058412271372001</v>
      </c>
      <c r="H133" s="89">
        <f t="shared" si="136"/>
        <v>64202600</v>
      </c>
      <c r="I133" s="9">
        <f t="shared" si="136"/>
        <v>65776900</v>
      </c>
      <c r="J133" s="9">
        <f t="shared" si="136"/>
        <v>66918800</v>
      </c>
      <c r="K133" s="46">
        <f t="shared" si="136"/>
        <v>68342800</v>
      </c>
      <c r="L133" s="9">
        <f t="shared" si="136"/>
        <v>69537600</v>
      </c>
      <c r="M133" s="89">
        <f t="shared" si="136"/>
        <v>70992300</v>
      </c>
      <c r="N133" s="9">
        <f t="shared" si="136"/>
        <v>72698300</v>
      </c>
      <c r="O133" s="9">
        <f t="shared" si="136"/>
        <v>73744400</v>
      </c>
      <c r="P133" s="9">
        <f t="shared" ref="P133" si="137">P188+P242+P291</f>
        <v>75175500</v>
      </c>
      <c r="Q133" s="47">
        <f t="shared" ref="Q133" si="138">Q188+Q242+Q291</f>
        <v>76698000</v>
      </c>
    </row>
    <row r="134" spans="1:17" s="65" customFormat="1" x14ac:dyDescent="0.2">
      <c r="A134" s="125">
        <f>A132-A133</f>
        <v>11767800</v>
      </c>
      <c r="B134" s="53">
        <f>B132-B133</f>
        <v>16374900</v>
      </c>
      <c r="C134" s="53">
        <f>C132-C133</f>
        <v>15194000</v>
      </c>
      <c r="D134" s="53">
        <f>D132-D133</f>
        <v>24727000</v>
      </c>
      <c r="E134" s="2431" t="s">
        <v>5353</v>
      </c>
      <c r="F134" s="105">
        <f t="shared" ref="F134:N134" si="139">F132-F133</f>
        <v>16690500</v>
      </c>
      <c r="G134" s="391">
        <f>IF(D134=F134,0,IF(D134=0,100,(F134-D134)/D134*100))</f>
        <v>-32.500909936506652</v>
      </c>
      <c r="H134" s="105">
        <f t="shared" si="139"/>
        <v>19373200</v>
      </c>
      <c r="I134" s="53">
        <f t="shared" si="139"/>
        <v>20038100</v>
      </c>
      <c r="J134" s="53">
        <f t="shared" si="139"/>
        <v>20640400</v>
      </c>
      <c r="K134" s="858">
        <f t="shared" si="139"/>
        <v>21466600</v>
      </c>
      <c r="L134" s="53">
        <f t="shared" si="139"/>
        <v>22468800</v>
      </c>
      <c r="M134" s="105">
        <f t="shared" si="139"/>
        <v>23485800</v>
      </c>
      <c r="N134" s="53">
        <f t="shared" si="139"/>
        <v>24206700</v>
      </c>
      <c r="O134" s="53">
        <f t="shared" ref="O134" si="140">O132-O133</f>
        <v>25798400</v>
      </c>
      <c r="P134" s="53">
        <f t="shared" ref="P134" si="141">P132-P133</f>
        <v>27237400</v>
      </c>
      <c r="Q134" s="2347">
        <f t="shared" ref="Q134" si="142">Q132-Q133</f>
        <v>28650300</v>
      </c>
    </row>
    <row r="135" spans="1:17" x14ac:dyDescent="0.2">
      <c r="A135" s="54"/>
      <c r="B135" s="9"/>
      <c r="C135" s="9"/>
      <c r="D135" s="9"/>
      <c r="E135" s="634"/>
      <c r="F135" s="89"/>
      <c r="G135" s="584"/>
      <c r="H135" s="89"/>
      <c r="I135" s="9"/>
      <c r="J135" s="9"/>
      <c r="K135" s="46"/>
      <c r="L135" s="9"/>
      <c r="M135" s="89"/>
      <c r="N135" s="9"/>
      <c r="O135" s="9"/>
      <c r="P135" s="9"/>
      <c r="Q135" s="47"/>
    </row>
    <row r="136" spans="1:17" x14ac:dyDescent="0.2">
      <c r="A136" s="54">
        <f>A191+LTFP!A294+LTFP!A245</f>
        <v>20368300</v>
      </c>
      <c r="B136" s="9">
        <f>B191+LTFP!B294+LTFP!B245</f>
        <v>17937300</v>
      </c>
      <c r="C136" s="9">
        <f>C191+LTFP!C294+LTFP!C245</f>
        <v>19197600</v>
      </c>
      <c r="D136" s="9">
        <f>D191+LTFP!D294+LTFP!D245</f>
        <v>15978600</v>
      </c>
      <c r="E136" s="634" t="s">
        <v>1737</v>
      </c>
      <c r="F136" s="89">
        <f>F191+LTFP!F294+LTFP!F245</f>
        <v>18538900</v>
      </c>
      <c r="G136" s="584">
        <f>IF(D136=F136,0,IF(D136=0,100,(F136-D136)/D136*100))</f>
        <v>16.023306172005057</v>
      </c>
      <c r="H136" s="89">
        <f>H191+LTFP!H294+LTFP!H245</f>
        <v>19013400</v>
      </c>
      <c r="I136" s="9">
        <f>I191+LTFP!I294+LTFP!I245</f>
        <v>19486200</v>
      </c>
      <c r="J136" s="9">
        <f>J191+LTFP!J294+LTFP!J245</f>
        <v>19877800</v>
      </c>
      <c r="K136" s="46">
        <f>K191+LTFP!K294+LTFP!K245</f>
        <v>20276700</v>
      </c>
      <c r="L136" s="9">
        <f>L191+LTFP!L294+LTFP!L245</f>
        <v>20684000</v>
      </c>
      <c r="M136" s="89">
        <f>M191+LTFP!M294+LTFP!M245</f>
        <v>21098600</v>
      </c>
      <c r="N136" s="9">
        <f>N191+LTFP!N294+LTFP!N245</f>
        <v>21522000</v>
      </c>
      <c r="O136" s="9">
        <f>O191+LTFP!O294+LTFP!O245</f>
        <v>21954300</v>
      </c>
      <c r="P136" s="9">
        <f>P191+LTFP!P294+LTFP!P245</f>
        <v>22394300</v>
      </c>
      <c r="Q136" s="47">
        <f>Q191+LTFP!Q294+LTFP!Q245</f>
        <v>22843000</v>
      </c>
    </row>
    <row r="137" spans="1:17" x14ac:dyDescent="0.2">
      <c r="A137" s="54">
        <f>A192</f>
        <v>289900</v>
      </c>
      <c r="B137" s="9">
        <f>B192</f>
        <v>725700</v>
      </c>
      <c r="C137" s="9">
        <f>C192</f>
        <v>-319800</v>
      </c>
      <c r="D137" s="9">
        <f>D192</f>
        <v>403100</v>
      </c>
      <c r="E137" s="634" t="s">
        <v>5291</v>
      </c>
      <c r="F137" s="89">
        <f t="shared" ref="F137:N137" si="143">F192</f>
        <v>0</v>
      </c>
      <c r="G137" s="584">
        <f>IF(D137=F137,0,IF(D137=0,100,(F137-D137)/D137*100))</f>
        <v>-100</v>
      </c>
      <c r="H137" s="89">
        <f t="shared" si="143"/>
        <v>0</v>
      </c>
      <c r="I137" s="9">
        <f t="shared" si="143"/>
        <v>0</v>
      </c>
      <c r="J137" s="9">
        <f t="shared" si="143"/>
        <v>0</v>
      </c>
      <c r="K137" s="46">
        <f t="shared" si="143"/>
        <v>0</v>
      </c>
      <c r="L137" s="9">
        <f t="shared" si="143"/>
        <v>0</v>
      </c>
      <c r="M137" s="89">
        <f t="shared" si="143"/>
        <v>0</v>
      </c>
      <c r="N137" s="9">
        <f t="shared" si="143"/>
        <v>0</v>
      </c>
      <c r="O137" s="9">
        <f t="shared" ref="O137" si="144">O192</f>
        <v>0</v>
      </c>
      <c r="P137" s="9">
        <f t="shared" ref="P137" si="145">P192</f>
        <v>0</v>
      </c>
      <c r="Q137" s="47">
        <f t="shared" ref="Q137" si="146">Q192</f>
        <v>0</v>
      </c>
    </row>
    <row r="138" spans="1:17" x14ac:dyDescent="0.2">
      <c r="A138" s="54">
        <f>A193+LTFP!A295+LTFP!A246</f>
        <v>563300</v>
      </c>
      <c r="B138" s="9">
        <f>B193+LTFP!B295+LTFP!B246</f>
        <v>580500</v>
      </c>
      <c r="C138" s="9">
        <f>C193+LTFP!C295+LTFP!C246</f>
        <v>491900</v>
      </c>
      <c r="D138" s="9">
        <f>D193+LTFP!D295+LTFP!D246</f>
        <v>401300</v>
      </c>
      <c r="E138" s="634" t="s">
        <v>4151</v>
      </c>
      <c r="F138" s="89">
        <f>F193+LTFP!F295+LTFP!F246</f>
        <v>313100</v>
      </c>
      <c r="G138" s="584">
        <f>IF(D138=F138,0,IF(D138=0,100,(F138-D138)/D138*100))</f>
        <v>-21.978569648641912</v>
      </c>
      <c r="H138" s="89">
        <f>H193+LTFP!H295+LTFP!H246</f>
        <v>204200</v>
      </c>
      <c r="I138" s="9">
        <f>I193+LTFP!I295+LTFP!I246</f>
        <v>117000</v>
      </c>
      <c r="J138" s="9">
        <f>J193+LTFP!J295+LTFP!J246</f>
        <v>20600</v>
      </c>
      <c r="K138" s="46">
        <f>K193+LTFP!K295+LTFP!K246</f>
        <v>21400</v>
      </c>
      <c r="L138" s="9">
        <f>L193+LTFP!L295+LTFP!L246</f>
        <v>22100</v>
      </c>
      <c r="M138" s="89">
        <f>M193+LTFP!M295+LTFP!M246</f>
        <v>22900</v>
      </c>
      <c r="N138" s="9">
        <f>N193+LTFP!N295+LTFP!N246</f>
        <v>23800</v>
      </c>
      <c r="O138" s="9">
        <f>O193+LTFP!O295+LTFP!O246</f>
        <v>24700</v>
      </c>
      <c r="P138" s="9">
        <f>P193+LTFP!P295+LTFP!P246</f>
        <v>25600</v>
      </c>
      <c r="Q138" s="47">
        <f>Q193+LTFP!Q295+LTFP!Q246</f>
        <v>25600</v>
      </c>
    </row>
    <row r="139" spans="1:17" ht="13.5" thickBot="1" x14ac:dyDescent="0.25">
      <c r="A139" s="54">
        <f>A194+LTFP!A296+LTFP!A247</f>
        <v>4098700</v>
      </c>
      <c r="B139" s="9">
        <f>B194+LTFP!B296+LTFP!B247</f>
        <v>15585100</v>
      </c>
      <c r="C139" s="9">
        <f>C194+LTFP!C296+LTFP!C247</f>
        <v>48800</v>
      </c>
      <c r="D139" s="9">
        <f>D194+LTFP!D296+LTFP!D247</f>
        <v>5657500</v>
      </c>
      <c r="E139" s="634" t="s">
        <v>4453</v>
      </c>
      <c r="F139" s="89">
        <f>F194+LTFP!F296+LTFP!F247</f>
        <v>0</v>
      </c>
      <c r="G139" s="584">
        <f>IF(D139=F139,0,IF(D139=0,100,(F139-D139)/D139*100))</f>
        <v>-100</v>
      </c>
      <c r="H139" s="9">
        <f>H194+LTFP!H296+LTFP!H247</f>
        <v>0</v>
      </c>
      <c r="I139" s="9">
        <f>I194+LTFP!I296+LTFP!I247</f>
        <v>0</v>
      </c>
      <c r="J139" s="9">
        <f>J194+LTFP!J296+LTFP!J247</f>
        <v>0</v>
      </c>
      <c r="K139" s="9">
        <f>K194+LTFP!K296+LTFP!K247</f>
        <v>0</v>
      </c>
      <c r="L139" s="9">
        <f>L194+LTFP!L296+LTFP!L247</f>
        <v>0</v>
      </c>
      <c r="M139" s="9">
        <f>M194+LTFP!M296+LTFP!M247</f>
        <v>0</v>
      </c>
      <c r="N139" s="9">
        <f>N194+LTFP!N296+LTFP!N247</f>
        <v>0</v>
      </c>
      <c r="O139" s="9">
        <f>O194+LTFP!O296+LTFP!O247</f>
        <v>0</v>
      </c>
      <c r="P139" s="9">
        <f>P194+LTFP!P296+LTFP!P247</f>
        <v>0</v>
      </c>
      <c r="Q139" s="47">
        <f>Q194+LTFP!Q296+LTFP!Q247</f>
        <v>0</v>
      </c>
    </row>
    <row r="140" spans="1:17" s="65" customFormat="1" x14ac:dyDescent="0.2">
      <c r="A140" s="125">
        <f>A134-SUM(A136:A139)</f>
        <v>-13552400</v>
      </c>
      <c r="B140" s="53">
        <f>B134-SUM(B136:B139)</f>
        <v>-18453700</v>
      </c>
      <c r="C140" s="53">
        <f>C134-SUM(C136:C139)</f>
        <v>-4224500</v>
      </c>
      <c r="D140" s="53">
        <f>D134-SUM(D136:D139)</f>
        <v>2286500</v>
      </c>
      <c r="E140" s="2432" t="s">
        <v>1574</v>
      </c>
      <c r="F140" s="105">
        <f t="shared" ref="F140:N140" si="147">F134-SUM(F136:F139)</f>
        <v>-2161500</v>
      </c>
      <c r="G140" s="391">
        <f>IF(D140=F140,0,IF(D140=0,100,(F140-D140)/D140*100))</f>
        <v>-194.53312923682483</v>
      </c>
      <c r="H140" s="105">
        <f t="shared" si="147"/>
        <v>155600</v>
      </c>
      <c r="I140" s="53">
        <f t="shared" si="147"/>
        <v>434900</v>
      </c>
      <c r="J140" s="53">
        <f t="shared" si="147"/>
        <v>742000</v>
      </c>
      <c r="K140" s="858">
        <f t="shared" si="147"/>
        <v>1168500</v>
      </c>
      <c r="L140" s="53">
        <f t="shared" si="147"/>
        <v>1762700</v>
      </c>
      <c r="M140" s="105">
        <f t="shared" si="147"/>
        <v>2364300</v>
      </c>
      <c r="N140" s="53">
        <f t="shared" si="147"/>
        <v>2660900</v>
      </c>
      <c r="O140" s="53">
        <f t="shared" ref="O140" si="148">O134-SUM(O136:O139)</f>
        <v>3819400</v>
      </c>
      <c r="P140" s="53">
        <f t="shared" ref="P140" si="149">P134-SUM(P136:P139)</f>
        <v>4817500</v>
      </c>
      <c r="Q140" s="2347">
        <f t="shared" ref="Q140" si="150">Q134-SUM(Q136:Q139)</f>
        <v>5781700</v>
      </c>
    </row>
    <row r="141" spans="1:17" x14ac:dyDescent="0.2">
      <c r="A141" s="54"/>
      <c r="B141" s="9"/>
      <c r="C141" s="9"/>
      <c r="D141" s="9"/>
      <c r="E141" s="634"/>
      <c r="F141" s="89"/>
      <c r="G141" s="584"/>
      <c r="H141" s="89"/>
      <c r="I141" s="9"/>
      <c r="J141" s="9"/>
      <c r="K141" s="46"/>
      <c r="L141" s="9"/>
      <c r="M141" s="89"/>
      <c r="N141" s="9"/>
      <c r="O141" s="9"/>
      <c r="P141" s="9"/>
      <c r="Q141" s="47"/>
    </row>
    <row r="142" spans="1:17" x14ac:dyDescent="0.2">
      <c r="A142" s="54"/>
      <c r="B142" s="9"/>
      <c r="C142" s="9"/>
      <c r="D142" s="9"/>
      <c r="E142" s="63" t="s">
        <v>1432</v>
      </c>
      <c r="F142" s="89"/>
      <c r="G142" s="584"/>
      <c r="H142" s="89"/>
      <c r="I142" s="9"/>
      <c r="J142" s="9"/>
      <c r="K142" s="46"/>
      <c r="L142" s="9"/>
      <c r="M142" s="89"/>
      <c r="N142" s="9"/>
      <c r="O142" s="9"/>
      <c r="P142" s="9"/>
      <c r="Q142" s="47"/>
    </row>
    <row r="143" spans="1:17" x14ac:dyDescent="0.2">
      <c r="A143" s="54">
        <f>A198+LTFP!A300+LTFP!A251</f>
        <v>7229600</v>
      </c>
      <c r="B143" s="9">
        <f>B198+LTFP!B251+LTFP!B300</f>
        <v>5088900</v>
      </c>
      <c r="C143" s="9">
        <f>C198+LTFP!C251+LTFP!C300</f>
        <v>8258000</v>
      </c>
      <c r="D143" s="9">
        <f>D198+LTFP!D251+LTFP!D300</f>
        <v>7342700</v>
      </c>
      <c r="E143" s="1190" t="s">
        <v>2668</v>
      </c>
      <c r="F143" s="89">
        <f>F198+LTFP!F251+LTFP!F300</f>
        <v>10925500</v>
      </c>
      <c r="G143" s="584">
        <f>IF(D143=F143,0,IF(D143=0,100,(F143-D143)/D143*100))</f>
        <v>48.794040339384701</v>
      </c>
      <c r="H143" s="89">
        <f>H198+LTFP!H251+LTFP!H300</f>
        <v>3716900</v>
      </c>
      <c r="I143" s="9">
        <f>I198+LTFP!I251+LTFP!I300</f>
        <v>297100</v>
      </c>
      <c r="J143" s="9">
        <f>J198+LTFP!J251+LTFP!J300</f>
        <v>303100</v>
      </c>
      <c r="K143" s="46">
        <f>K198+LTFP!K251+LTFP!K300</f>
        <v>309300</v>
      </c>
      <c r="L143" s="9">
        <f>L198+LTFP!L251+LTFP!L300</f>
        <v>315600</v>
      </c>
      <c r="M143" s="89">
        <f>M198+LTFP!M251+LTFP!M300</f>
        <v>322000</v>
      </c>
      <c r="N143" s="9">
        <f>N198+LTFP!N251+LTFP!N300</f>
        <v>328700</v>
      </c>
      <c r="O143" s="9">
        <f>O198+LTFP!O251+LTFP!O300</f>
        <v>335400</v>
      </c>
      <c r="P143" s="9">
        <f>P198+LTFP!P251+LTFP!P300</f>
        <v>342200</v>
      </c>
      <c r="Q143" s="47">
        <f>Q198+LTFP!Q251+LTFP!Q300</f>
        <v>349300</v>
      </c>
    </row>
    <row r="144" spans="1:17" x14ac:dyDescent="0.2">
      <c r="A144" s="54">
        <f>A199+LTFP!A252+LTFP!A301</f>
        <v>4051300</v>
      </c>
      <c r="B144" s="9">
        <f>B199+LTFP!B301+LTFP!B252</f>
        <v>4764800</v>
      </c>
      <c r="C144" s="9">
        <f>C199+LTFP!C301+LTFP!C252</f>
        <v>4788500</v>
      </c>
      <c r="D144" s="9">
        <f>D199+LTFP!D301+LTFP!D252</f>
        <v>3553900</v>
      </c>
      <c r="E144" s="9" t="s">
        <v>1059</v>
      </c>
      <c r="F144" s="89">
        <f>F199+LTFP!F301+LTFP!F252</f>
        <v>6024000</v>
      </c>
      <c r="G144" s="584">
        <f>IF(D144=F144,0,IF(D144=0,100,(F144-D144)/D144*100))</f>
        <v>69.503925265201602</v>
      </c>
      <c r="H144" s="89">
        <f>H199+LTFP!H301+LTFP!H252</f>
        <v>9222000</v>
      </c>
      <c r="I144" s="9">
        <f>I199+LTFP!I301+LTFP!I252</f>
        <v>9462000</v>
      </c>
      <c r="J144" s="9">
        <f>J199+LTFP!J301+LTFP!J252</f>
        <v>15706000</v>
      </c>
      <c r="K144" s="46">
        <f>K199+LTFP!K301+LTFP!K252</f>
        <v>16104000</v>
      </c>
      <c r="L144" s="9">
        <f>L199+LTFP!L301+LTFP!L252</f>
        <v>8511000</v>
      </c>
      <c r="M144" s="89">
        <f>M199+LTFP!M301+LTFP!M252</f>
        <v>8727000</v>
      </c>
      <c r="N144" s="9">
        <f>N199+LTFP!N301+LTFP!N252</f>
        <v>8956000</v>
      </c>
      <c r="O144" s="9">
        <f>O199+LTFP!O301+LTFP!O252</f>
        <v>9189000</v>
      </c>
      <c r="P144" s="9">
        <f>P199+LTFP!P301+LTFP!P252</f>
        <v>9427000</v>
      </c>
      <c r="Q144" s="47">
        <f>Q199+LTFP!Q301+LTFP!Q252</f>
        <v>9669000</v>
      </c>
    </row>
    <row r="145" spans="1:21" x14ac:dyDescent="0.2">
      <c r="A145" s="54"/>
      <c r="B145" s="9"/>
      <c r="C145" s="9"/>
      <c r="D145" s="9"/>
      <c r="E145" s="9"/>
      <c r="F145" s="89"/>
      <c r="G145" s="584"/>
      <c r="H145" s="89"/>
      <c r="I145" s="9"/>
      <c r="J145" s="9"/>
      <c r="K145" s="46"/>
      <c r="L145" s="9"/>
      <c r="M145" s="89"/>
      <c r="N145" s="9"/>
      <c r="O145" s="9"/>
      <c r="P145" s="9"/>
      <c r="Q145" s="47"/>
    </row>
    <row r="146" spans="1:21" x14ac:dyDescent="0.2">
      <c r="A146" s="54"/>
      <c r="B146" s="9"/>
      <c r="C146" s="9"/>
      <c r="D146" s="9"/>
      <c r="E146" s="63" t="s">
        <v>690</v>
      </c>
      <c r="F146" s="89"/>
      <c r="G146" s="584"/>
      <c r="H146" s="89"/>
      <c r="I146" s="9"/>
      <c r="J146" s="9"/>
      <c r="K146" s="46"/>
      <c r="L146" s="9"/>
      <c r="M146" s="89"/>
      <c r="N146" s="9"/>
      <c r="O146" s="9"/>
      <c r="P146" s="9"/>
      <c r="Q146" s="47"/>
    </row>
    <row r="147" spans="1:21" x14ac:dyDescent="0.2">
      <c r="A147" s="54">
        <f>A202+LTFP!A304</f>
        <v>1890000</v>
      </c>
      <c r="B147" s="9">
        <f>B202+LTFP!B304</f>
        <v>725000</v>
      </c>
      <c r="C147" s="9">
        <f>C202+LTFP!C304</f>
        <v>500000</v>
      </c>
      <c r="D147" s="9">
        <f>D202+LTFP!D304</f>
        <v>3076900</v>
      </c>
      <c r="E147" s="79" t="s">
        <v>2160</v>
      </c>
      <c r="F147" s="89">
        <f>F202+LTFP!F304</f>
        <v>8847800</v>
      </c>
      <c r="G147" s="584">
        <f>IF(D147=F147,0,IF(D147=0,100,(F147-D147)/D147*100))</f>
        <v>187.55565666742498</v>
      </c>
      <c r="H147" s="89">
        <f>H202+LTFP!H304</f>
        <v>2500000</v>
      </c>
      <c r="I147" s="9">
        <f>I202+LTFP!I304</f>
        <v>0</v>
      </c>
      <c r="J147" s="9">
        <f>J202+LTFP!J304</f>
        <v>8340000</v>
      </c>
      <c r="K147" s="46">
        <f>K202+LTFP!K304</f>
        <v>0</v>
      </c>
      <c r="L147" s="9">
        <f>L202+LTFP!L304</f>
        <v>0</v>
      </c>
      <c r="M147" s="89">
        <f>M202+LTFP!M304</f>
        <v>0</v>
      </c>
      <c r="N147" s="9">
        <f>N202+LTFP!N304</f>
        <v>0</v>
      </c>
      <c r="O147" s="9">
        <f>O202+LTFP!O304</f>
        <v>0</v>
      </c>
      <c r="P147" s="9">
        <f>P202+LTFP!P304</f>
        <v>0</v>
      </c>
      <c r="Q147" s="47">
        <f>Q202+LTFP!Q304</f>
        <v>0</v>
      </c>
    </row>
    <row r="148" spans="1:21" x14ac:dyDescent="0.2">
      <c r="A148" s="54">
        <f>A203</f>
        <v>1805000</v>
      </c>
      <c r="B148" s="9">
        <f>B203</f>
        <v>2809800</v>
      </c>
      <c r="C148" s="9">
        <f>C203</f>
        <v>2286400</v>
      </c>
      <c r="D148" s="9">
        <f t="shared" ref="D148" si="151">D203</f>
        <v>1310300</v>
      </c>
      <c r="E148" s="79" t="s">
        <v>221</v>
      </c>
      <c r="F148" s="89">
        <f t="shared" ref="F148:M148" si="152">F203</f>
        <v>8105000</v>
      </c>
      <c r="G148" s="584">
        <f>IF(D148=F148,0,IF(D148=0,100,(F148-D148)/D148*100))</f>
        <v>518.5606349690911</v>
      </c>
      <c r="H148" s="89">
        <f t="shared" si="152"/>
        <v>7655000</v>
      </c>
      <c r="I148" s="9">
        <f t="shared" si="152"/>
        <v>4655000</v>
      </c>
      <c r="J148" s="9">
        <f t="shared" si="152"/>
        <v>2940000</v>
      </c>
      <c r="K148" s="46">
        <f t="shared" si="152"/>
        <v>1400000</v>
      </c>
      <c r="L148" s="9">
        <f t="shared" si="152"/>
        <v>960000</v>
      </c>
      <c r="M148" s="89">
        <f t="shared" si="152"/>
        <v>960000</v>
      </c>
      <c r="N148" s="9">
        <f t="shared" ref="N148:O148" si="153">N203</f>
        <v>960000</v>
      </c>
      <c r="O148" s="9">
        <f t="shared" si="153"/>
        <v>960000</v>
      </c>
      <c r="P148" s="9">
        <f t="shared" ref="P148" si="154">P203</f>
        <v>960000</v>
      </c>
      <c r="Q148" s="47">
        <f t="shared" ref="Q148" si="155">Q203</f>
        <v>960000</v>
      </c>
    </row>
    <row r="149" spans="1:21" x14ac:dyDescent="0.2">
      <c r="A149" s="54"/>
      <c r="B149" s="9"/>
      <c r="C149" s="9"/>
      <c r="D149" s="9"/>
      <c r="E149" s="63"/>
      <c r="F149" s="89"/>
      <c r="G149" s="584"/>
      <c r="H149" s="89"/>
      <c r="I149" s="9"/>
      <c r="J149" s="9"/>
      <c r="K149" s="46"/>
      <c r="L149" s="9"/>
      <c r="M149" s="89"/>
      <c r="N149" s="9"/>
      <c r="O149" s="9"/>
      <c r="P149" s="9"/>
      <c r="Q149" s="47"/>
    </row>
    <row r="150" spans="1:21" x14ac:dyDescent="0.2">
      <c r="A150" s="54"/>
      <c r="B150" s="9"/>
      <c r="C150" s="9"/>
      <c r="D150" s="9"/>
      <c r="E150" s="63" t="s">
        <v>2853</v>
      </c>
      <c r="F150" s="89"/>
      <c r="G150" s="584"/>
      <c r="H150" s="89"/>
      <c r="I150" s="9"/>
      <c r="J150" s="9"/>
      <c r="K150" s="46"/>
      <c r="L150" s="9"/>
      <c r="M150" s="89"/>
      <c r="N150" s="9"/>
      <c r="O150" s="9"/>
      <c r="P150" s="9"/>
      <c r="Q150" s="47"/>
    </row>
    <row r="151" spans="1:21" x14ac:dyDescent="0.2">
      <c r="A151" s="54">
        <f>A206+LTFP!A259+LTFP!A308</f>
        <v>-37817200</v>
      </c>
      <c r="B151" s="9">
        <f>B206+LTFP!B308+LTFP!B259</f>
        <v>-25375500</v>
      </c>
      <c r="C151" s="9">
        <f>C206+LTFP!C308+LTFP!C259</f>
        <v>-26591100</v>
      </c>
      <c r="D151" s="9">
        <f>D206+LTFP!D308+LTFP!D259</f>
        <v>-27376300</v>
      </c>
      <c r="E151" s="79" t="s">
        <v>1865</v>
      </c>
      <c r="F151" s="89">
        <f>F206+LTFP!F308+LTFP!F259</f>
        <v>-54748100</v>
      </c>
      <c r="G151" s="584">
        <f>IF(D151=F151,0,IF(D151=0,100,(F151-D151)/D151*100))</f>
        <v>99.983562424432819</v>
      </c>
      <c r="H151" s="89">
        <f>H206+LTFP!H308+LTFP!H259</f>
        <v>-49058100</v>
      </c>
      <c r="I151" s="9">
        <f>I206+LTFP!I308+LTFP!I259</f>
        <v>-40514900</v>
      </c>
      <c r="J151" s="9">
        <f>J206+LTFP!J308+LTFP!J259</f>
        <v>-41771400</v>
      </c>
      <c r="K151" s="29">
        <f>K206+LTFP!K308+LTFP!K259</f>
        <v>-35775400</v>
      </c>
      <c r="L151" s="9">
        <f>L206+LTFP!L308+LTFP!L259</f>
        <v>-21007600</v>
      </c>
      <c r="M151" s="89">
        <f>M206+LTFP!M308+LTFP!M259</f>
        <v>-22082700</v>
      </c>
      <c r="N151" s="9">
        <f>N206+LTFP!N308+LTFP!N259</f>
        <v>-26438200</v>
      </c>
      <c r="O151" s="9">
        <f>O206+LTFP!O308+LTFP!O259</f>
        <v>-17442100</v>
      </c>
      <c r="P151" s="9">
        <f>P206+LTFP!P308+LTFP!P259</f>
        <v>-20799800</v>
      </c>
      <c r="Q151" s="47">
        <f>Q206+LTFP!Q308+LTFP!Q259</f>
        <v>-17292700</v>
      </c>
      <c r="U151" s="2226"/>
    </row>
    <row r="152" spans="1:21" x14ac:dyDescent="0.2">
      <c r="A152" s="54">
        <f>A207+LTFP!A310+LTFP!A261</f>
        <v>-5600800</v>
      </c>
      <c r="B152" s="9">
        <f>B207+LTFP!B261+LTFP!B310</f>
        <v>-5583300</v>
      </c>
      <c r="C152" s="9">
        <f>C207+LTFP!C261+LTFP!C310</f>
        <v>-6582200</v>
      </c>
      <c r="D152" s="9">
        <f>D207+LTFP!D261+LTFP!D310</f>
        <v>-6654100</v>
      </c>
      <c r="E152" s="1190" t="s">
        <v>1400</v>
      </c>
      <c r="F152" s="89">
        <f>F207+LTFP!F261+LTFP!F310</f>
        <v>-6381300</v>
      </c>
      <c r="G152" s="584">
        <f>IF(D152=F152,0,IF(D152=0,100,(F152-D152)/D152*100))</f>
        <v>-4.0997279872559771</v>
      </c>
      <c r="H152" s="89">
        <f>H207+LTFP!H261+LTFP!H310</f>
        <v>-6458800</v>
      </c>
      <c r="I152" s="9">
        <f>I207+LTFP!I261+LTFP!I310</f>
        <v>-6682400</v>
      </c>
      <c r="J152" s="9">
        <f>J207+LTFP!J261+LTFP!J310</f>
        <v>-5584500</v>
      </c>
      <c r="K152" s="46">
        <f>K207+LTFP!K261+LTFP!K310</f>
        <v>-6290200</v>
      </c>
      <c r="L152" s="9">
        <f>L207+LTFP!L261+LTFP!L310</f>
        <v>-6027100</v>
      </c>
      <c r="M152" s="89">
        <f>M207+LTFP!M261+LTFP!M310</f>
        <v>-5493800</v>
      </c>
      <c r="N152" s="9">
        <f>N207+LTFP!N261+LTFP!N310</f>
        <v>-5425000</v>
      </c>
      <c r="O152" s="9">
        <f>O207+LTFP!O261+LTFP!O310</f>
        <v>-4999400</v>
      </c>
      <c r="P152" s="9">
        <f>P207+LTFP!P261+LTFP!P310</f>
        <v>-5200400</v>
      </c>
      <c r="Q152" s="47">
        <f>Q207+LTFP!Q261+LTFP!Q310</f>
        <v>-5462300</v>
      </c>
      <c r="U152" s="2226"/>
    </row>
    <row r="153" spans="1:21" x14ac:dyDescent="0.2">
      <c r="A153" s="54"/>
      <c r="B153" s="9"/>
      <c r="C153" s="9"/>
      <c r="D153" s="9"/>
      <c r="E153" s="9"/>
      <c r="F153" s="89"/>
      <c r="G153" s="584"/>
      <c r="H153" s="89"/>
      <c r="I153" s="9"/>
      <c r="J153" s="9"/>
      <c r="K153" s="46"/>
      <c r="L153" s="9"/>
      <c r="M153" s="89"/>
      <c r="N153" s="9"/>
      <c r="O153" s="9"/>
      <c r="P153" s="9"/>
      <c r="Q153" s="47"/>
      <c r="U153" s="2226"/>
    </row>
    <row r="154" spans="1:21" x14ac:dyDescent="0.2">
      <c r="A154" s="54"/>
      <c r="B154" s="9"/>
      <c r="C154" s="9"/>
      <c r="D154" s="9"/>
      <c r="E154" s="63" t="s">
        <v>4613</v>
      </c>
      <c r="F154" s="89"/>
      <c r="G154" s="584"/>
      <c r="H154" s="89"/>
      <c r="I154" s="9"/>
      <c r="J154" s="9"/>
      <c r="K154" s="46"/>
      <c r="L154" s="9"/>
      <c r="M154" s="89"/>
      <c r="N154" s="9"/>
      <c r="O154" s="9"/>
      <c r="P154" s="9"/>
      <c r="Q154" s="47"/>
      <c r="U154" s="2226"/>
    </row>
    <row r="155" spans="1:21" x14ac:dyDescent="0.2">
      <c r="A155" s="54">
        <f>A210+A264+A313</f>
        <v>-1489300</v>
      </c>
      <c r="B155" s="9">
        <f>B210+B264+B313</f>
        <v>-144400</v>
      </c>
      <c r="C155" s="9">
        <f>C210+C264+C313</f>
        <v>1730500</v>
      </c>
      <c r="D155" s="9">
        <f>D210+D264+D313</f>
        <v>5219200</v>
      </c>
      <c r="E155" s="634" t="s">
        <v>4656</v>
      </c>
      <c r="F155" s="89">
        <f t="shared" ref="F155:O155" si="156">F210+F264+F313</f>
        <v>200000</v>
      </c>
      <c r="G155" s="584">
        <f>IF(D155=F155,0,IF(D155=0,100,(F155-D155)/D155*100))</f>
        <v>-96.167995095033717</v>
      </c>
      <c r="H155" s="89">
        <f t="shared" si="156"/>
        <v>200000</v>
      </c>
      <c r="I155" s="9">
        <f t="shared" si="156"/>
        <v>200000</v>
      </c>
      <c r="J155" s="9">
        <f t="shared" si="156"/>
        <v>200000</v>
      </c>
      <c r="K155" s="46">
        <f t="shared" si="156"/>
        <v>200000</v>
      </c>
      <c r="L155" s="9">
        <f t="shared" si="156"/>
        <v>200000</v>
      </c>
      <c r="M155" s="89">
        <f t="shared" si="156"/>
        <v>200000</v>
      </c>
      <c r="N155" s="9">
        <f t="shared" si="156"/>
        <v>200000</v>
      </c>
      <c r="O155" s="9">
        <f t="shared" si="156"/>
        <v>200000</v>
      </c>
      <c r="P155" s="9">
        <f t="shared" ref="P155" si="157">P210+P264+P313</f>
        <v>200000</v>
      </c>
      <c r="Q155" s="47">
        <f t="shared" ref="Q155" si="158">Q210+Q264+Q313</f>
        <v>200000</v>
      </c>
      <c r="U155" s="2226"/>
    </row>
    <row r="156" spans="1:21" x14ac:dyDescent="0.2">
      <c r="A156" s="54"/>
      <c r="B156" s="9"/>
      <c r="C156" s="9"/>
      <c r="D156" s="9"/>
      <c r="E156" s="9"/>
      <c r="F156" s="89"/>
      <c r="G156" s="584"/>
      <c r="H156" s="89"/>
      <c r="I156" s="9"/>
      <c r="J156" s="9"/>
      <c r="K156" s="46"/>
      <c r="L156" s="9"/>
      <c r="M156" s="89"/>
      <c r="N156" s="9"/>
      <c r="O156" s="9"/>
      <c r="P156" s="9"/>
      <c r="Q156" s="61"/>
      <c r="U156" s="2226"/>
    </row>
    <row r="157" spans="1:21" x14ac:dyDescent="0.2">
      <c r="A157" s="54"/>
      <c r="B157" s="9"/>
      <c r="C157" s="9"/>
      <c r="D157" s="9"/>
      <c r="E157" s="63" t="s">
        <v>1575</v>
      </c>
      <c r="F157" s="89"/>
      <c r="G157" s="584"/>
      <c r="H157" s="89"/>
      <c r="I157" s="9"/>
      <c r="J157" s="9"/>
      <c r="K157" s="46"/>
      <c r="L157" s="9"/>
      <c r="M157" s="89"/>
      <c r="N157" s="9"/>
      <c r="O157" s="9"/>
      <c r="P157" s="9"/>
      <c r="Q157" s="61"/>
      <c r="U157" s="2226"/>
    </row>
    <row r="158" spans="1:21" x14ac:dyDescent="0.2">
      <c r="A158" s="54">
        <f>A136</f>
        <v>20368300</v>
      </c>
      <c r="B158" s="9">
        <f>B136</f>
        <v>17937300</v>
      </c>
      <c r="C158" s="9">
        <f>C136</f>
        <v>19197600</v>
      </c>
      <c r="D158" s="9">
        <f>D136</f>
        <v>15978600</v>
      </c>
      <c r="E158" s="257" t="s">
        <v>2035</v>
      </c>
      <c r="F158" s="89">
        <f t="shared" ref="F158:O158" si="159">F136</f>
        <v>18538900</v>
      </c>
      <c r="G158" s="584">
        <f t="shared" ref="G158:G163" si="160">IF(D158=F158,0,IF(D158=0,100,(F158-D158)/D158*100))</f>
        <v>16.023306172005057</v>
      </c>
      <c r="H158" s="89">
        <f t="shared" si="159"/>
        <v>19013400</v>
      </c>
      <c r="I158" s="9">
        <f t="shared" si="159"/>
        <v>19486200</v>
      </c>
      <c r="J158" s="9">
        <f t="shared" si="159"/>
        <v>19877800</v>
      </c>
      <c r="K158" s="46">
        <f t="shared" si="159"/>
        <v>20276700</v>
      </c>
      <c r="L158" s="9">
        <f t="shared" si="159"/>
        <v>20684000</v>
      </c>
      <c r="M158" s="89">
        <f t="shared" si="159"/>
        <v>21098600</v>
      </c>
      <c r="N158" s="9">
        <f t="shared" si="159"/>
        <v>21522000</v>
      </c>
      <c r="O158" s="9">
        <f t="shared" si="159"/>
        <v>21954300</v>
      </c>
      <c r="P158" s="9">
        <f t="shared" ref="P158" si="161">P136</f>
        <v>22394300</v>
      </c>
      <c r="Q158" s="47">
        <f t="shared" ref="Q158" si="162">Q136</f>
        <v>22843000</v>
      </c>
      <c r="U158" s="2226"/>
    </row>
    <row r="159" spans="1:21" x14ac:dyDescent="0.2">
      <c r="A159" s="54">
        <f t="shared" ref="A159:D160" si="163">A214</f>
        <v>333000</v>
      </c>
      <c r="B159" s="9">
        <f t="shared" si="163"/>
        <v>-30000</v>
      </c>
      <c r="C159" s="9">
        <f t="shared" si="163"/>
        <v>-163000</v>
      </c>
      <c r="D159" s="9">
        <f t="shared" si="163"/>
        <v>150000</v>
      </c>
      <c r="E159" s="634" t="s">
        <v>5357</v>
      </c>
      <c r="F159" s="89">
        <f t="shared" ref="F159:N160" si="164">F214</f>
        <v>0</v>
      </c>
      <c r="G159" s="584">
        <f t="shared" si="160"/>
        <v>-100</v>
      </c>
      <c r="H159" s="89">
        <f t="shared" si="164"/>
        <v>0</v>
      </c>
      <c r="I159" s="9">
        <f t="shared" si="164"/>
        <v>0</v>
      </c>
      <c r="J159" s="9">
        <f t="shared" si="164"/>
        <v>0</v>
      </c>
      <c r="K159" s="46">
        <f t="shared" si="164"/>
        <v>0</v>
      </c>
      <c r="L159" s="9">
        <f t="shared" si="164"/>
        <v>0</v>
      </c>
      <c r="M159" s="89">
        <f t="shared" si="164"/>
        <v>0</v>
      </c>
      <c r="N159" s="9">
        <f t="shared" si="164"/>
        <v>0</v>
      </c>
      <c r="O159" s="9">
        <f t="shared" ref="O159" si="165">O214</f>
        <v>0</v>
      </c>
      <c r="P159" s="9">
        <f t="shared" ref="P159" si="166">P214</f>
        <v>0</v>
      </c>
      <c r="Q159" s="47">
        <f t="shared" ref="Q159" si="167">Q214</f>
        <v>0</v>
      </c>
      <c r="T159" s="2226"/>
      <c r="U159" s="2226"/>
    </row>
    <row r="160" spans="1:21" x14ac:dyDescent="0.2">
      <c r="A160" s="54">
        <f t="shared" si="163"/>
        <v>0</v>
      </c>
      <c r="B160" s="9">
        <f t="shared" si="163"/>
        <v>-460100</v>
      </c>
      <c r="C160" s="9">
        <f t="shared" si="163"/>
        <v>0</v>
      </c>
      <c r="D160" s="9">
        <f t="shared" si="163"/>
        <v>-360400</v>
      </c>
      <c r="E160" s="634" t="s">
        <v>5317</v>
      </c>
      <c r="F160" s="89">
        <f t="shared" si="164"/>
        <v>0</v>
      </c>
      <c r="G160" s="584">
        <f t="shared" si="160"/>
        <v>-100</v>
      </c>
      <c r="H160" s="89">
        <f t="shared" si="164"/>
        <v>0</v>
      </c>
      <c r="I160" s="9">
        <f t="shared" si="164"/>
        <v>0</v>
      </c>
      <c r="J160" s="9">
        <f t="shared" si="164"/>
        <v>0</v>
      </c>
      <c r="K160" s="46">
        <f t="shared" si="164"/>
        <v>0</v>
      </c>
      <c r="L160" s="9">
        <f t="shared" si="164"/>
        <v>0</v>
      </c>
      <c r="M160" s="89">
        <f t="shared" si="164"/>
        <v>0</v>
      </c>
      <c r="N160" s="9">
        <f t="shared" si="164"/>
        <v>0</v>
      </c>
      <c r="O160" s="9">
        <f t="shared" ref="O160" si="168">O215</f>
        <v>0</v>
      </c>
      <c r="P160" s="9">
        <f t="shared" ref="P160" si="169">P215</f>
        <v>0</v>
      </c>
      <c r="Q160" s="47">
        <f t="shared" ref="Q160" si="170">Q215</f>
        <v>0</v>
      </c>
    </row>
    <row r="161" spans="1:17" x14ac:dyDescent="0.2">
      <c r="A161" s="54">
        <f t="shared" ref="A161:B163" si="171">A137</f>
        <v>289900</v>
      </c>
      <c r="B161" s="9">
        <f t="shared" si="171"/>
        <v>725700</v>
      </c>
      <c r="C161" s="9">
        <f t="shared" ref="C161:D163" si="172">C137</f>
        <v>-319800</v>
      </c>
      <c r="D161" s="9">
        <f t="shared" si="172"/>
        <v>403100</v>
      </c>
      <c r="E161" s="634" t="s">
        <v>5290</v>
      </c>
      <c r="F161" s="89">
        <f t="shared" ref="F161:O161" si="173">F137</f>
        <v>0</v>
      </c>
      <c r="G161" s="584">
        <f t="shared" si="160"/>
        <v>-100</v>
      </c>
      <c r="H161" s="89">
        <f t="shared" si="173"/>
        <v>0</v>
      </c>
      <c r="I161" s="9">
        <f t="shared" si="173"/>
        <v>0</v>
      </c>
      <c r="J161" s="9">
        <f t="shared" si="173"/>
        <v>0</v>
      </c>
      <c r="K161" s="46">
        <f t="shared" si="173"/>
        <v>0</v>
      </c>
      <c r="L161" s="9">
        <f t="shared" si="173"/>
        <v>0</v>
      </c>
      <c r="M161" s="89">
        <f t="shared" si="173"/>
        <v>0</v>
      </c>
      <c r="N161" s="9">
        <f t="shared" si="173"/>
        <v>0</v>
      </c>
      <c r="O161" s="9">
        <f t="shared" si="173"/>
        <v>0</v>
      </c>
      <c r="P161" s="9">
        <f t="shared" ref="P161" si="174">P137</f>
        <v>0</v>
      </c>
      <c r="Q161" s="47">
        <f t="shared" ref="Q161" si="175">Q137</f>
        <v>0</v>
      </c>
    </row>
    <row r="162" spans="1:17" x14ac:dyDescent="0.2">
      <c r="A162" s="54">
        <f t="shared" si="171"/>
        <v>563300</v>
      </c>
      <c r="B162" s="9">
        <f t="shared" si="171"/>
        <v>580500</v>
      </c>
      <c r="C162" s="9">
        <f t="shared" si="172"/>
        <v>491900</v>
      </c>
      <c r="D162" s="9">
        <f t="shared" si="172"/>
        <v>401300</v>
      </c>
      <c r="E162" s="634" t="s">
        <v>1229</v>
      </c>
      <c r="F162" s="89">
        <f t="shared" ref="F162:O162" si="176">F138</f>
        <v>313100</v>
      </c>
      <c r="G162" s="584">
        <f t="shared" si="160"/>
        <v>-21.978569648641912</v>
      </c>
      <c r="H162" s="89">
        <f t="shared" si="176"/>
        <v>204200</v>
      </c>
      <c r="I162" s="9">
        <f t="shared" si="176"/>
        <v>117000</v>
      </c>
      <c r="J162" s="9">
        <f t="shared" si="176"/>
        <v>20600</v>
      </c>
      <c r="K162" s="46">
        <f t="shared" si="176"/>
        <v>21400</v>
      </c>
      <c r="L162" s="9">
        <f t="shared" si="176"/>
        <v>22100</v>
      </c>
      <c r="M162" s="89">
        <f t="shared" si="176"/>
        <v>22900</v>
      </c>
      <c r="N162" s="9">
        <f t="shared" si="176"/>
        <v>23800</v>
      </c>
      <c r="O162" s="9">
        <f t="shared" si="176"/>
        <v>24700</v>
      </c>
      <c r="P162" s="9">
        <f t="shared" ref="P162" si="177">P138</f>
        <v>25600</v>
      </c>
      <c r="Q162" s="47">
        <f t="shared" ref="Q162" si="178">Q138</f>
        <v>25600</v>
      </c>
    </row>
    <row r="163" spans="1:17" x14ac:dyDescent="0.2">
      <c r="A163" s="54">
        <f t="shared" si="171"/>
        <v>4098700</v>
      </c>
      <c r="B163" s="9">
        <f t="shared" si="171"/>
        <v>15585100</v>
      </c>
      <c r="C163" s="9">
        <f t="shared" si="172"/>
        <v>48800</v>
      </c>
      <c r="D163" s="9">
        <f t="shared" si="172"/>
        <v>5657500</v>
      </c>
      <c r="E163" s="634" t="s">
        <v>4448</v>
      </c>
      <c r="F163" s="89">
        <f t="shared" ref="F163:O163" si="179">F139</f>
        <v>0</v>
      </c>
      <c r="G163" s="584">
        <f t="shared" si="160"/>
        <v>-100</v>
      </c>
      <c r="H163" s="89">
        <f t="shared" si="179"/>
        <v>0</v>
      </c>
      <c r="I163" s="9">
        <f t="shared" si="179"/>
        <v>0</v>
      </c>
      <c r="J163" s="9">
        <f t="shared" si="179"/>
        <v>0</v>
      </c>
      <c r="K163" s="46">
        <f t="shared" si="179"/>
        <v>0</v>
      </c>
      <c r="L163" s="9">
        <f t="shared" si="179"/>
        <v>0</v>
      </c>
      <c r="M163" s="89">
        <f t="shared" si="179"/>
        <v>0</v>
      </c>
      <c r="N163" s="9">
        <f t="shared" si="179"/>
        <v>0</v>
      </c>
      <c r="O163" s="9">
        <f t="shared" si="179"/>
        <v>0</v>
      </c>
      <c r="P163" s="9">
        <f t="shared" ref="P163" si="180">P139</f>
        <v>0</v>
      </c>
      <c r="Q163" s="47">
        <f t="shared" ref="Q163" si="181">Q139</f>
        <v>0</v>
      </c>
    </row>
    <row r="164" spans="1:17" ht="13.5" thickBot="1" x14ac:dyDescent="0.25">
      <c r="A164" s="54"/>
      <c r="B164" s="9"/>
      <c r="C164" s="9"/>
      <c r="D164" s="9"/>
      <c r="E164" s="422"/>
      <c r="F164" s="89"/>
      <c r="G164" s="584"/>
      <c r="H164" s="89"/>
      <c r="I164" s="9"/>
      <c r="J164" s="9"/>
      <c r="K164" s="46"/>
      <c r="L164" s="9"/>
      <c r="M164" s="89"/>
      <c r="N164" s="9"/>
      <c r="O164" s="9"/>
      <c r="P164" s="9"/>
      <c r="Q164" s="61"/>
    </row>
    <row r="165" spans="1:17" s="65" customFormat="1" ht="13.5" thickBot="1" x14ac:dyDescent="0.25">
      <c r="A165" s="2131">
        <f>SUM(A140:A164)</f>
        <v>-17830600</v>
      </c>
      <c r="B165" s="2132">
        <f>SUM(B140:B164)</f>
        <v>-1829900</v>
      </c>
      <c r="C165" s="2132">
        <f>SUM(C140:C164)</f>
        <v>-578900</v>
      </c>
      <c r="D165" s="53">
        <f>SUM(D140:D164)</f>
        <v>10989200</v>
      </c>
      <c r="E165" s="2436" t="s">
        <v>1060</v>
      </c>
      <c r="F165" s="105">
        <f t="shared" ref="F165:O165" si="182">SUM(F140:F164)</f>
        <v>-10336600</v>
      </c>
      <c r="G165" s="2133">
        <f>IF(D165=F165,0,IF(D165=0,100,(F165-D165)/D165*100))</f>
        <v>-194.06144214319514</v>
      </c>
      <c r="H165" s="105">
        <f t="shared" si="182"/>
        <v>-12849800</v>
      </c>
      <c r="I165" s="53">
        <f t="shared" si="182"/>
        <v>-12545100</v>
      </c>
      <c r="J165" s="53">
        <f t="shared" si="182"/>
        <v>773600</v>
      </c>
      <c r="K165" s="858">
        <f t="shared" si="182"/>
        <v>-2585700</v>
      </c>
      <c r="L165" s="53">
        <f t="shared" si="182"/>
        <v>5420700</v>
      </c>
      <c r="M165" s="105">
        <f t="shared" si="182"/>
        <v>6118300</v>
      </c>
      <c r="N165" s="53">
        <f t="shared" si="182"/>
        <v>2788200</v>
      </c>
      <c r="O165" s="53">
        <f t="shared" si="182"/>
        <v>14041300</v>
      </c>
      <c r="P165" s="53">
        <f t="shared" ref="P165:Q165" si="183">SUM(P140:P164)</f>
        <v>12166400</v>
      </c>
      <c r="Q165" s="104">
        <f t="shared" si="183"/>
        <v>17073600</v>
      </c>
    </row>
    <row r="166" spans="1:17" s="2226" customFormat="1" ht="13.5" thickTop="1" x14ac:dyDescent="0.2">
      <c r="A166" s="2134"/>
      <c r="B166" s="876"/>
      <c r="C166" s="876"/>
      <c r="D166" s="876"/>
      <c r="E166" s="2437"/>
      <c r="F166" s="875"/>
      <c r="G166" s="2221"/>
      <c r="H166" s="875"/>
      <c r="I166" s="876"/>
      <c r="J166" s="876"/>
      <c r="K166" s="2135"/>
      <c r="L166" s="876"/>
      <c r="M166" s="875"/>
      <c r="N166" s="876"/>
      <c r="O166" s="876"/>
      <c r="P166" s="876"/>
      <c r="Q166" s="1002"/>
    </row>
    <row r="167" spans="1:17" x14ac:dyDescent="0.2">
      <c r="A167" s="54"/>
      <c r="B167" s="9"/>
      <c r="C167" s="9"/>
      <c r="D167" s="9"/>
      <c r="E167" s="260" t="s">
        <v>726</v>
      </c>
      <c r="F167" s="89"/>
      <c r="G167" s="584"/>
      <c r="H167" s="89"/>
      <c r="I167" s="9"/>
      <c r="J167" s="9"/>
      <c r="K167" s="46"/>
      <c r="L167" s="9"/>
      <c r="M167" s="89"/>
      <c r="N167" s="9"/>
      <c r="O167" s="9"/>
      <c r="P167" s="9"/>
      <c r="Q167" s="61"/>
    </row>
    <row r="168" spans="1:17" s="2226" customFormat="1" x14ac:dyDescent="0.2">
      <c r="A168" s="25">
        <f>A223</f>
        <v>-11293000</v>
      </c>
      <c r="B168" s="79">
        <f>B223</f>
        <v>2180200</v>
      </c>
      <c r="C168" s="79">
        <f>C223</f>
        <v>521200</v>
      </c>
      <c r="D168" s="79">
        <f t="shared" ref="D168" si="184">D223</f>
        <v>7764300</v>
      </c>
      <c r="E168" s="634" t="s">
        <v>1455</v>
      </c>
      <c r="F168" s="77">
        <f t="shared" ref="F168:M168" si="185">F223</f>
        <v>-5021700</v>
      </c>
      <c r="G168" s="584"/>
      <c r="H168" s="77">
        <f t="shared" si="185"/>
        <v>-11230800</v>
      </c>
      <c r="I168" s="79">
        <f t="shared" si="185"/>
        <v>15100</v>
      </c>
      <c r="J168" s="79">
        <f t="shared" si="185"/>
        <v>471700</v>
      </c>
      <c r="K168" s="31">
        <f t="shared" si="185"/>
        <v>273000</v>
      </c>
      <c r="L168" s="79">
        <f t="shared" si="185"/>
        <v>684200</v>
      </c>
      <c r="M168" s="77">
        <f t="shared" si="185"/>
        <v>-903000</v>
      </c>
      <c r="N168" s="79">
        <f t="shared" ref="N168:O168" si="186">N223</f>
        <v>-2838100</v>
      </c>
      <c r="O168" s="79">
        <f t="shared" si="186"/>
        <v>1012700</v>
      </c>
      <c r="P168" s="79">
        <f t="shared" ref="P168:Q168" si="187">P223</f>
        <v>240200</v>
      </c>
      <c r="Q168" s="78">
        <f t="shared" si="187"/>
        <v>-79300</v>
      </c>
    </row>
    <row r="169" spans="1:17" s="2226" customFormat="1" x14ac:dyDescent="0.2">
      <c r="A169" s="25">
        <f>A224+LTFP!A320+LTFP!A271</f>
        <v>-6537800</v>
      </c>
      <c r="B169" s="79">
        <f>B224+LTFP!B320+LTFP!B271</f>
        <v>-4010100</v>
      </c>
      <c r="C169" s="79">
        <f>C224+LTFP!C320+LTFP!C271</f>
        <v>-1094900</v>
      </c>
      <c r="D169" s="79">
        <f>D224+LTFP!D320+LTFP!D271</f>
        <v>1114600</v>
      </c>
      <c r="E169" s="634" t="s">
        <v>1283</v>
      </c>
      <c r="F169" s="77">
        <f>F224+LTFP!F320+LTFP!F271</f>
        <v>-5374900</v>
      </c>
      <c r="G169" s="584"/>
      <c r="H169" s="77">
        <f>H224+LTFP!H320+LTFP!H271</f>
        <v>-1246700</v>
      </c>
      <c r="I169" s="79">
        <f>I224+LTFP!I320+LTFP!I271</f>
        <v>-12059800</v>
      </c>
      <c r="J169" s="79">
        <f>J224+LTFP!J320+LTFP!J271</f>
        <v>854500</v>
      </c>
      <c r="K169" s="31">
        <f>K224+LTFP!K320+LTFP!K271</f>
        <v>-2425900</v>
      </c>
      <c r="L169" s="79">
        <f>L224+LTFP!L320+LTFP!L271</f>
        <v>5126200</v>
      </c>
      <c r="M169" s="77">
        <f>M224+LTFP!M320+LTFP!M271</f>
        <v>7252900</v>
      </c>
      <c r="N169" s="79">
        <f>N224+LTFP!N320+LTFP!N271</f>
        <v>5839800</v>
      </c>
      <c r="O169" s="79">
        <f>O224+LTFP!O320+LTFP!O271</f>
        <v>13309900</v>
      </c>
      <c r="P169" s="79">
        <f>P224+LTFP!P320+LTFP!P271</f>
        <v>12082500</v>
      </c>
      <c r="Q169" s="78">
        <f>Q224+LTFP!Q320+LTFP!Q271</f>
        <v>16964600</v>
      </c>
    </row>
    <row r="170" spans="1:17" s="2226" customFormat="1" x14ac:dyDescent="0.2">
      <c r="A170" s="25">
        <f>A225</f>
        <v>200</v>
      </c>
      <c r="B170" s="79">
        <f>B225</f>
        <v>0</v>
      </c>
      <c r="C170" s="79">
        <f>C225</f>
        <v>-5200</v>
      </c>
      <c r="D170" s="79">
        <f t="shared" ref="D170" si="188">D225</f>
        <v>2110300</v>
      </c>
      <c r="E170" s="634" t="s">
        <v>2083</v>
      </c>
      <c r="F170" s="77">
        <f t="shared" ref="F170:M170" si="189">F225</f>
        <v>60000</v>
      </c>
      <c r="G170" s="584"/>
      <c r="H170" s="77">
        <f t="shared" si="189"/>
        <v>-372300</v>
      </c>
      <c r="I170" s="79">
        <f t="shared" si="189"/>
        <v>-500400</v>
      </c>
      <c r="J170" s="79">
        <f t="shared" si="189"/>
        <v>-552600</v>
      </c>
      <c r="K170" s="31">
        <f t="shared" si="189"/>
        <v>-432800</v>
      </c>
      <c r="L170" s="79">
        <f t="shared" si="189"/>
        <v>-389700</v>
      </c>
      <c r="M170" s="77">
        <f t="shared" si="189"/>
        <v>-231600</v>
      </c>
      <c r="N170" s="79">
        <f t="shared" ref="N170:O170" si="190">N225</f>
        <v>-213500</v>
      </c>
      <c r="O170" s="79">
        <f t="shared" si="190"/>
        <v>-281300</v>
      </c>
      <c r="P170" s="79">
        <f t="shared" ref="P170:Q170" si="191">P225</f>
        <v>-156300</v>
      </c>
      <c r="Q170" s="78">
        <f t="shared" si="191"/>
        <v>188300</v>
      </c>
    </row>
    <row r="171" spans="1:17" s="39" customFormat="1" x14ac:dyDescent="0.2">
      <c r="A171" s="24">
        <f>SUM(A167:A170)</f>
        <v>-17830600</v>
      </c>
      <c r="B171" s="21">
        <f>SUM(B167:B170)</f>
        <v>-1829900</v>
      </c>
      <c r="C171" s="21">
        <f>SUM(C167:C170)</f>
        <v>-578900</v>
      </c>
      <c r="D171" s="21">
        <f t="shared" ref="D171" si="192">SUM(D167:D170)</f>
        <v>10989200</v>
      </c>
      <c r="E171" s="260" t="s">
        <v>133</v>
      </c>
      <c r="F171" s="75">
        <f t="shared" ref="F171:M171" si="193">SUM(F167:F170)</f>
        <v>-10336600</v>
      </c>
      <c r="G171" s="220"/>
      <c r="H171" s="75">
        <f t="shared" si="193"/>
        <v>-12849800</v>
      </c>
      <c r="I171" s="21">
        <f t="shared" si="193"/>
        <v>-12545100</v>
      </c>
      <c r="J171" s="21">
        <f t="shared" si="193"/>
        <v>773600</v>
      </c>
      <c r="K171" s="21">
        <f t="shared" si="193"/>
        <v>-2585700</v>
      </c>
      <c r="L171" s="21">
        <f t="shared" si="193"/>
        <v>5420700</v>
      </c>
      <c r="M171" s="21">
        <f t="shared" si="193"/>
        <v>6118300</v>
      </c>
      <c r="N171" s="21">
        <f t="shared" ref="N171:O171" si="194">SUM(N167:N170)</f>
        <v>2788200</v>
      </c>
      <c r="O171" s="21">
        <f t="shared" si="194"/>
        <v>14041300</v>
      </c>
      <c r="P171" s="21">
        <f t="shared" ref="P171:Q171" si="195">SUM(P167:P170)</f>
        <v>12166400</v>
      </c>
      <c r="Q171" s="62">
        <f t="shared" si="195"/>
        <v>17073600</v>
      </c>
    </row>
    <row r="172" spans="1:17" s="2226" customFormat="1" x14ac:dyDescent="0.2">
      <c r="A172" s="25"/>
      <c r="B172" s="79"/>
      <c r="C172" s="79"/>
      <c r="D172" s="79"/>
      <c r="E172" s="634"/>
      <c r="F172" s="77"/>
      <c r="G172" s="584"/>
      <c r="H172" s="77"/>
      <c r="I172" s="79"/>
      <c r="J172" s="79"/>
      <c r="K172" s="31"/>
      <c r="L172" s="79"/>
      <c r="M172" s="77"/>
      <c r="N172" s="79"/>
      <c r="O172" s="79"/>
      <c r="P172" s="79"/>
      <c r="Q172" s="78"/>
    </row>
    <row r="173" spans="1:17" s="2226" customFormat="1" x14ac:dyDescent="0.2">
      <c r="A173" s="25"/>
      <c r="B173" s="79"/>
      <c r="C173" s="79"/>
      <c r="D173" s="79"/>
      <c r="E173" s="260" t="s">
        <v>2445</v>
      </c>
      <c r="F173" s="77"/>
      <c r="G173" s="584"/>
      <c r="H173" s="77"/>
      <c r="I173" s="79"/>
      <c r="J173" s="79"/>
      <c r="K173" s="31"/>
      <c r="L173" s="79"/>
      <c r="M173" s="77"/>
      <c r="N173" s="79"/>
      <c r="O173" s="79"/>
      <c r="P173" s="79"/>
      <c r="Q173" s="78"/>
    </row>
    <row r="174" spans="1:17" s="2226" customFormat="1" x14ac:dyDescent="0.2">
      <c r="A174" s="25">
        <f>A229</f>
        <v>25427000</v>
      </c>
      <c r="B174" s="79">
        <f>B229</f>
        <v>27607200</v>
      </c>
      <c r="C174" s="79">
        <f>C229</f>
        <v>28128400</v>
      </c>
      <c r="D174" s="79">
        <f t="shared" ref="D174" si="196">D229</f>
        <v>35892700</v>
      </c>
      <c r="E174" s="634" t="s">
        <v>427</v>
      </c>
      <c r="F174" s="77">
        <f t="shared" ref="F174:M174" si="197">F229</f>
        <v>30874800</v>
      </c>
      <c r="G174" s="584"/>
      <c r="H174" s="77">
        <f t="shared" si="197"/>
        <v>19644000</v>
      </c>
      <c r="I174" s="79">
        <f t="shared" si="197"/>
        <v>19659100</v>
      </c>
      <c r="J174" s="79">
        <f t="shared" si="197"/>
        <v>20130800</v>
      </c>
      <c r="K174" s="31">
        <f t="shared" si="197"/>
        <v>20403800</v>
      </c>
      <c r="L174" s="79">
        <f t="shared" si="197"/>
        <v>21088000</v>
      </c>
      <c r="M174" s="77">
        <f t="shared" si="197"/>
        <v>20185000</v>
      </c>
      <c r="N174" s="79">
        <f t="shared" ref="N174:O174" si="198">N229</f>
        <v>17346900</v>
      </c>
      <c r="O174" s="79">
        <f t="shared" si="198"/>
        <v>18359600</v>
      </c>
      <c r="P174" s="79">
        <f t="shared" ref="P174:Q174" si="199">P229</f>
        <v>18599800</v>
      </c>
      <c r="Q174" s="78">
        <f t="shared" si="199"/>
        <v>18520500</v>
      </c>
    </row>
    <row r="175" spans="1:17" s="2226" customFormat="1" x14ac:dyDescent="0.2">
      <c r="A175" s="25">
        <f>A230+LTFP!A330+LTFP!A281</f>
        <v>40332200</v>
      </c>
      <c r="B175" s="79">
        <f>B230+LTFP!B330+LTFP!B281</f>
        <v>36322100</v>
      </c>
      <c r="C175" s="79">
        <f>C230+LTFP!C330+LTFP!C281</f>
        <v>35227200</v>
      </c>
      <c r="D175" s="79">
        <f>D230+LTFP!D330+LTFP!D281</f>
        <v>36341800</v>
      </c>
      <c r="E175" s="634" t="s">
        <v>428</v>
      </c>
      <c r="F175" s="77">
        <f>F230+LTFP!F330+LTFP!F281</f>
        <v>32372100</v>
      </c>
      <c r="G175" s="584"/>
      <c r="H175" s="77">
        <f>H230+LTFP!H330+LTFP!H281</f>
        <v>31125400</v>
      </c>
      <c r="I175" s="79">
        <f>I230+LTFP!I330+LTFP!I281</f>
        <v>19065600</v>
      </c>
      <c r="J175" s="79">
        <f>J230+LTFP!J330+LTFP!J281</f>
        <v>19920100</v>
      </c>
      <c r="K175" s="31">
        <f>K230+LTFP!K330+LTFP!K281</f>
        <v>17494200</v>
      </c>
      <c r="L175" s="79">
        <f>L230+LTFP!L330+LTFP!L281</f>
        <v>22620400</v>
      </c>
      <c r="M175" s="77">
        <f>M230+LTFP!M330+LTFP!M281</f>
        <v>29873300</v>
      </c>
      <c r="N175" s="79">
        <f>N230+LTFP!N330+LTFP!N281</f>
        <v>35713100</v>
      </c>
      <c r="O175" s="79">
        <f>O230+LTFP!O330+LTFP!O281</f>
        <v>49023000</v>
      </c>
      <c r="P175" s="79">
        <f>P230+LTFP!P330+LTFP!P281</f>
        <v>61105500</v>
      </c>
      <c r="Q175" s="78">
        <f>Q230+LTFP!Q330+LTFP!Q281</f>
        <v>78070100</v>
      </c>
    </row>
    <row r="176" spans="1:17" s="2226" customFormat="1" x14ac:dyDescent="0.2">
      <c r="A176" s="25">
        <f>A231</f>
        <v>3034800</v>
      </c>
      <c r="B176" s="79">
        <f>B231</f>
        <v>3034800</v>
      </c>
      <c r="C176" s="79">
        <f>C231</f>
        <v>3029600</v>
      </c>
      <c r="D176" s="79">
        <f t="shared" ref="D176" si="200">D231</f>
        <v>5139900</v>
      </c>
      <c r="E176" s="634" t="s">
        <v>2083</v>
      </c>
      <c r="F176" s="77">
        <f t="shared" ref="F176:M176" si="201">F231</f>
        <v>5199900</v>
      </c>
      <c r="G176" s="584"/>
      <c r="H176" s="77">
        <f t="shared" si="201"/>
        <v>4827600</v>
      </c>
      <c r="I176" s="79">
        <f t="shared" si="201"/>
        <v>4327200</v>
      </c>
      <c r="J176" s="79">
        <f t="shared" si="201"/>
        <v>3774600</v>
      </c>
      <c r="K176" s="31">
        <f t="shared" si="201"/>
        <v>3341800</v>
      </c>
      <c r="L176" s="79">
        <f t="shared" si="201"/>
        <v>2952100</v>
      </c>
      <c r="M176" s="77">
        <f t="shared" si="201"/>
        <v>2720500</v>
      </c>
      <c r="N176" s="79">
        <f t="shared" ref="N176:O176" si="202">N231</f>
        <v>2507000</v>
      </c>
      <c r="O176" s="79">
        <f t="shared" si="202"/>
        <v>2225700</v>
      </c>
      <c r="P176" s="79">
        <f t="shared" ref="P176:Q176" si="203">P231</f>
        <v>2069400</v>
      </c>
      <c r="Q176" s="78">
        <f t="shared" si="203"/>
        <v>2257700</v>
      </c>
    </row>
    <row r="177" spans="1:17" s="39" customFormat="1" x14ac:dyDescent="0.2">
      <c r="A177" s="24">
        <f>SUM(A173:A176)</f>
        <v>68794000</v>
      </c>
      <c r="B177" s="21">
        <f>SUM(B173:B176)</f>
        <v>66964100</v>
      </c>
      <c r="C177" s="21">
        <f>SUM(C173:C176)</f>
        <v>66385200</v>
      </c>
      <c r="D177" s="21">
        <f t="shared" ref="D177" si="204">SUM(D173:D176)</f>
        <v>77374400</v>
      </c>
      <c r="E177" s="260" t="s">
        <v>1504</v>
      </c>
      <c r="F177" s="75">
        <f t="shared" ref="F177:M177" si="205">SUM(F173:F176)</f>
        <v>68446800</v>
      </c>
      <c r="G177" s="220"/>
      <c r="H177" s="75">
        <f t="shared" si="205"/>
        <v>55597000</v>
      </c>
      <c r="I177" s="21">
        <f t="shared" si="205"/>
        <v>43051900</v>
      </c>
      <c r="J177" s="21">
        <f t="shared" si="205"/>
        <v>43825500</v>
      </c>
      <c r="K177" s="21">
        <f t="shared" si="205"/>
        <v>41239800</v>
      </c>
      <c r="L177" s="21">
        <f t="shared" si="205"/>
        <v>46660500</v>
      </c>
      <c r="M177" s="21">
        <f t="shared" si="205"/>
        <v>52778800</v>
      </c>
      <c r="N177" s="21">
        <f t="shared" ref="N177:O177" si="206">SUM(N173:N176)</f>
        <v>55567000</v>
      </c>
      <c r="O177" s="21">
        <f t="shared" si="206"/>
        <v>69608300</v>
      </c>
      <c r="P177" s="21">
        <f t="shared" ref="P177:Q177" si="207">SUM(P173:P176)</f>
        <v>81774700</v>
      </c>
      <c r="Q177" s="62">
        <f t="shared" si="207"/>
        <v>98848300</v>
      </c>
    </row>
    <row r="178" spans="1:17" s="2226" customFormat="1" ht="13.5" thickBot="1" x14ac:dyDescent="0.25">
      <c r="A178" s="2136"/>
      <c r="B178" s="592"/>
      <c r="C178" s="592"/>
      <c r="D178" s="592"/>
      <c r="E178" s="1776"/>
      <c r="F178" s="593"/>
      <c r="G178" s="751"/>
      <c r="H178" s="593"/>
      <c r="I178" s="592"/>
      <c r="J178" s="592"/>
      <c r="K178" s="208"/>
      <c r="L178" s="592"/>
      <c r="M178" s="593"/>
      <c r="N178" s="592"/>
      <c r="O178" s="592"/>
      <c r="P178" s="592"/>
      <c r="Q178" s="594"/>
    </row>
    <row r="179" spans="1:17" ht="14.25" thickTop="1" thickBot="1" x14ac:dyDescent="0.25"/>
    <row r="180" spans="1:17" s="1757" customFormat="1" ht="19.5" thickTop="1" thickBot="1" x14ac:dyDescent="0.3">
      <c r="A180" s="2573" t="s">
        <v>11970</v>
      </c>
      <c r="B180" s="2574"/>
      <c r="C180" s="2574"/>
      <c r="D180" s="2574"/>
      <c r="E180" s="2574"/>
      <c r="F180" s="2574"/>
      <c r="G180" s="2574"/>
      <c r="H180" s="2574"/>
      <c r="I180" s="2574"/>
      <c r="J180" s="2574"/>
      <c r="K180" s="2574"/>
      <c r="L180" s="2574"/>
      <c r="M180" s="2574"/>
      <c r="N180" s="2574"/>
      <c r="O180" s="2574"/>
      <c r="P180" s="2574"/>
      <c r="Q180" s="2575"/>
    </row>
    <row r="181" spans="1:17" x14ac:dyDescent="0.2">
      <c r="A181" s="2579" t="str">
        <f>$A$126</f>
        <v>ACTUAL</v>
      </c>
      <c r="B181" s="2580"/>
      <c r="C181" s="2580"/>
      <c r="D181" s="2581"/>
      <c r="E181" s="2434" t="str">
        <f>$E$126</f>
        <v>ITEM</v>
      </c>
      <c r="F181" s="2576" t="str">
        <f>F126</f>
        <v>ESTIMATED</v>
      </c>
      <c r="G181" s="2577"/>
      <c r="H181" s="2577"/>
      <c r="I181" s="2577"/>
      <c r="J181" s="2577"/>
      <c r="K181" s="2577"/>
      <c r="L181" s="2577"/>
      <c r="M181" s="2577"/>
      <c r="N181" s="2577"/>
      <c r="O181" s="2577"/>
      <c r="P181" s="2577"/>
      <c r="Q181" s="2578"/>
    </row>
    <row r="182" spans="1:17" ht="13.5" thickBot="1" x14ac:dyDescent="0.25">
      <c r="A182" s="1008" t="str">
        <f>'Cash-Gen'!A3</f>
        <v>2013/14</v>
      </c>
      <c r="B182" s="28" t="str">
        <f>'Cash-Gen'!B3</f>
        <v>2014/15</v>
      </c>
      <c r="C182" s="94" t="str">
        <f>'Cash-Gen'!C3</f>
        <v>2015/16</v>
      </c>
      <c r="D182" s="94" t="str">
        <f>'Cash-Gen'!D3</f>
        <v>2016/17</v>
      </c>
      <c r="E182" s="2435"/>
      <c r="F182" s="847" t="str">
        <f>'Cash-Gen'!F3</f>
        <v>2017/18</v>
      </c>
      <c r="G182" s="1436" t="s">
        <v>492</v>
      </c>
      <c r="H182" s="2337" t="str">
        <f>'Cash-Gen'!G3</f>
        <v>2018/19</v>
      </c>
      <c r="I182" s="44" t="str">
        <f>'Cash-Gen'!H3</f>
        <v>2019/20</v>
      </c>
      <c r="J182" s="94" t="str">
        <f>'Cash-Gen'!I3</f>
        <v>2020/21</v>
      </c>
      <c r="K182" s="1761" t="str">
        <f>'Cash-Gen'!J3</f>
        <v>2021/22</v>
      </c>
      <c r="L182" s="94" t="str">
        <f>'Cash-Gen'!K3</f>
        <v>2022/23</v>
      </c>
      <c r="M182" s="94" t="str">
        <f>'Cash-Gen'!L3</f>
        <v>2023/24</v>
      </c>
      <c r="N182" s="94" t="str">
        <f>'Cash-Gen'!M3</f>
        <v>2024/25</v>
      </c>
      <c r="O182" s="94" t="str">
        <f>'Cash-Gen'!N3</f>
        <v>2025/26</v>
      </c>
      <c r="P182" s="94" t="str">
        <f>'Cash-Gen'!O3</f>
        <v>2026/27</v>
      </c>
      <c r="Q182" s="1762" t="str">
        <f>'Cash-Gen'!P3</f>
        <v>2027/28</v>
      </c>
    </row>
    <row r="183" spans="1:17" x14ac:dyDescent="0.2">
      <c r="A183" s="54"/>
      <c r="B183" s="9"/>
      <c r="C183" s="9"/>
      <c r="D183" s="9"/>
      <c r="E183" s="9"/>
      <c r="F183" s="89"/>
      <c r="G183" s="79"/>
      <c r="H183" s="89"/>
      <c r="I183" s="9"/>
      <c r="J183" s="9"/>
      <c r="K183" s="46"/>
      <c r="L183" s="9"/>
      <c r="M183" s="89"/>
      <c r="N183" s="89"/>
      <c r="O183" s="9"/>
      <c r="P183" s="9"/>
      <c r="Q183" s="61"/>
    </row>
    <row r="184" spans="1:17" x14ac:dyDescent="0.2">
      <c r="A184" s="54"/>
      <c r="B184" s="9"/>
      <c r="C184" s="9"/>
      <c r="D184" s="9"/>
      <c r="E184" s="63" t="s">
        <v>2552</v>
      </c>
      <c r="F184" s="89"/>
      <c r="G184" s="79"/>
      <c r="H184" s="89"/>
      <c r="I184" s="9"/>
      <c r="J184" s="9"/>
      <c r="K184" s="46"/>
      <c r="L184" s="9"/>
      <c r="M184" s="89"/>
      <c r="N184" s="89"/>
      <c r="O184" s="9"/>
      <c r="P184" s="9"/>
      <c r="Q184" s="61"/>
    </row>
    <row r="185" spans="1:17" x14ac:dyDescent="0.2">
      <c r="A185" s="54"/>
      <c r="B185" s="9"/>
      <c r="C185" s="9"/>
      <c r="D185" s="9"/>
      <c r="E185" s="63"/>
      <c r="F185" s="89"/>
      <c r="G185" s="584"/>
      <c r="H185" s="89"/>
      <c r="I185" s="9"/>
      <c r="J185" s="9"/>
      <c r="K185" s="46"/>
      <c r="L185" s="9"/>
      <c r="M185" s="89"/>
      <c r="N185" s="89"/>
      <c r="O185" s="9"/>
      <c r="P185" s="9"/>
      <c r="Q185" s="61"/>
    </row>
    <row r="186" spans="1:17" x14ac:dyDescent="0.2">
      <c r="A186" s="54"/>
      <c r="B186" s="9"/>
      <c r="C186" s="9"/>
      <c r="D186" s="9"/>
      <c r="E186" s="2438" t="s">
        <v>1749</v>
      </c>
      <c r="F186" s="89"/>
      <c r="G186" s="584"/>
      <c r="H186" s="89"/>
      <c r="I186" s="9"/>
      <c r="J186" s="9"/>
      <c r="K186" s="46"/>
      <c r="L186" s="9"/>
      <c r="M186" s="89"/>
      <c r="N186" s="89"/>
      <c r="O186" s="9"/>
      <c r="P186" s="9"/>
      <c r="Q186" s="61"/>
    </row>
    <row r="187" spans="1:17" x14ac:dyDescent="0.2">
      <c r="A187" s="54">
        <f>ROUND('Cash-Gen'!A44,-3)</f>
        <v>46105000</v>
      </c>
      <c r="B187" s="9">
        <f>'Cash-Gen'!B44</f>
        <v>49169800</v>
      </c>
      <c r="C187" s="9">
        <f>'Cash-Gen'!C44</f>
        <v>50716000</v>
      </c>
      <c r="D187" s="9">
        <f>'Cash-Gen'!D44</f>
        <v>56577600</v>
      </c>
      <c r="E187" s="634" t="s">
        <v>388</v>
      </c>
      <c r="F187" s="89">
        <f>'Cash-Gen'!F44</f>
        <v>52698400</v>
      </c>
      <c r="G187" s="584">
        <f>IF(D187=F187,0,IF(D187=0,100,(F187-D187)/D187*100))</f>
        <v>-6.8564237436724076</v>
      </c>
      <c r="H187" s="89">
        <f>'Cash-Gen'!G44</f>
        <v>52761900</v>
      </c>
      <c r="I187" s="9">
        <f>'Cash-Gen'!H44</f>
        <v>54365200</v>
      </c>
      <c r="J187" s="9">
        <f>'Cash-Gen'!I44</f>
        <v>55349500</v>
      </c>
      <c r="K187" s="46">
        <f>'Cash-Gen'!J44</f>
        <v>56669000</v>
      </c>
      <c r="L187" s="9">
        <f>'Cash-Gen'!K44</f>
        <v>58086800</v>
      </c>
      <c r="M187" s="89">
        <f>'Cash-Gen'!L44</f>
        <v>59733100</v>
      </c>
      <c r="N187" s="89">
        <f>'Cash-Gen'!M44</f>
        <v>61244300</v>
      </c>
      <c r="O187" s="9">
        <f>'Cash-Gen'!N44</f>
        <v>62958500</v>
      </c>
      <c r="P187" s="9">
        <f>'Cash-Gen'!O44</f>
        <v>64694700</v>
      </c>
      <c r="Q187" s="47">
        <f>'Cash-Gen'!P44</f>
        <v>66451900</v>
      </c>
    </row>
    <row r="188" spans="1:17" ht="13.5" thickBot="1" x14ac:dyDescent="0.25">
      <c r="A188" s="54">
        <f>ROUND('Cash-Gen'!A45,-3)</f>
        <v>36361000</v>
      </c>
      <c r="B188" s="9">
        <f>'Cash-Gen'!B45</f>
        <v>35858700</v>
      </c>
      <c r="C188" s="9">
        <f>'Cash-Gen'!C45</f>
        <v>40288300</v>
      </c>
      <c r="D188" s="9">
        <f>'Cash-Gen'!D45</f>
        <v>38532700</v>
      </c>
      <c r="E188" s="634" t="s">
        <v>1097</v>
      </c>
      <c r="F188" s="89">
        <f>'Cash-Gen'!F45</f>
        <v>42331000</v>
      </c>
      <c r="G188" s="584">
        <f>IF(D188=F188,0,IF(D188=0,100,(F188-D188)/D188*100))</f>
        <v>9.8573419459316369</v>
      </c>
      <c r="H188" s="89">
        <f>'Cash-Gen'!G45</f>
        <v>40429800</v>
      </c>
      <c r="I188" s="9">
        <f>'Cash-Gen'!H45</f>
        <v>41696500</v>
      </c>
      <c r="J188" s="9">
        <f>'Cash-Gen'!I45</f>
        <v>42491500</v>
      </c>
      <c r="K188" s="46">
        <f>'Cash-Gen'!J45</f>
        <v>43523700</v>
      </c>
      <c r="L188" s="9">
        <f>'Cash-Gen'!K45</f>
        <v>44260800</v>
      </c>
      <c r="M188" s="89">
        <f>'Cash-Gen'!L45</f>
        <v>45416100</v>
      </c>
      <c r="N188" s="89">
        <f>'Cash-Gen'!M45</f>
        <v>46712600</v>
      </c>
      <c r="O188" s="9">
        <f>'Cash-Gen'!N45</f>
        <v>47397600</v>
      </c>
      <c r="P188" s="9">
        <f>'Cash-Gen'!O45</f>
        <v>48388200</v>
      </c>
      <c r="Q188" s="47">
        <f>'Cash-Gen'!P45</f>
        <v>49486700</v>
      </c>
    </row>
    <row r="189" spans="1:17" s="65" customFormat="1" x14ac:dyDescent="0.2">
      <c r="A189" s="125">
        <f>A187-A188</f>
        <v>9744000</v>
      </c>
      <c r="B189" s="53">
        <f>B187-B188</f>
        <v>13311100</v>
      </c>
      <c r="C189" s="53">
        <f>C187-C188</f>
        <v>10427700</v>
      </c>
      <c r="D189" s="53">
        <f>D187-D188</f>
        <v>18044900</v>
      </c>
      <c r="E189" s="2431" t="s">
        <v>5353</v>
      </c>
      <c r="F189" s="105">
        <f t="shared" ref="F189:M189" si="208">F187-F188</f>
        <v>10367400</v>
      </c>
      <c r="G189" s="391">
        <f>IF(D189=F189,0,IF(D189=0,100,(F189-D189)/D189*100))</f>
        <v>-42.546647529218781</v>
      </c>
      <c r="H189" s="105">
        <f t="shared" si="208"/>
        <v>12332100</v>
      </c>
      <c r="I189" s="53">
        <f t="shared" si="208"/>
        <v>12668700</v>
      </c>
      <c r="J189" s="53">
        <f t="shared" si="208"/>
        <v>12858000</v>
      </c>
      <c r="K189" s="858">
        <f t="shared" si="208"/>
        <v>13145300</v>
      </c>
      <c r="L189" s="53">
        <f t="shared" si="208"/>
        <v>13826000</v>
      </c>
      <c r="M189" s="105">
        <f t="shared" si="208"/>
        <v>14317000</v>
      </c>
      <c r="N189" s="105">
        <f t="shared" ref="N189" si="209">N187-N188</f>
        <v>14531700</v>
      </c>
      <c r="O189" s="53">
        <f t="shared" ref="O189" si="210">O187-O188</f>
        <v>15560900</v>
      </c>
      <c r="P189" s="53">
        <f t="shared" ref="P189" si="211">P187-P188</f>
        <v>16306500</v>
      </c>
      <c r="Q189" s="2347">
        <f t="shared" ref="Q189" si="212">Q187-Q188</f>
        <v>16965200</v>
      </c>
    </row>
    <row r="190" spans="1:17" x14ac:dyDescent="0.2">
      <c r="A190" s="54"/>
      <c r="B190" s="9"/>
      <c r="C190" s="9"/>
      <c r="D190" s="9"/>
      <c r="E190" s="634"/>
      <c r="F190" s="89"/>
      <c r="G190" s="584"/>
      <c r="H190" s="89"/>
      <c r="I190" s="9"/>
      <c r="J190" s="9"/>
      <c r="K190" s="46"/>
      <c r="L190" s="9"/>
      <c r="M190" s="89"/>
      <c r="N190" s="89"/>
      <c r="O190" s="9"/>
      <c r="P190" s="9"/>
      <c r="Q190" s="47"/>
    </row>
    <row r="191" spans="1:17" x14ac:dyDescent="0.2">
      <c r="A191" s="54">
        <f>+'Cash-Gen'!A48</f>
        <v>15865700</v>
      </c>
      <c r="B191" s="9">
        <f>'Cash-Gen'!B48</f>
        <v>14144300</v>
      </c>
      <c r="C191" s="9">
        <f>'Cash-Gen'!C48</f>
        <v>14166800</v>
      </c>
      <c r="D191" s="9">
        <f>'Cash-Gen'!D48</f>
        <v>11005700</v>
      </c>
      <c r="E191" s="634" t="s">
        <v>1737</v>
      </c>
      <c r="F191" s="89">
        <f>'Cash-Gen'!F48</f>
        <v>13383900</v>
      </c>
      <c r="G191" s="584">
        <f>IF(D191=F191,0,IF(D191=0,100,(F191-D191)/D191*100))</f>
        <v>21.608802711322316</v>
      </c>
      <c r="H191" s="89">
        <f>'Cash-Gen'!G48</f>
        <v>13754800</v>
      </c>
      <c r="I191" s="9">
        <f>'Cash-Gen'!H48</f>
        <v>14122400</v>
      </c>
      <c r="J191" s="9">
        <f>'Cash-Gen'!I48</f>
        <v>14406200</v>
      </c>
      <c r="K191" s="46">
        <f>'Cash-Gen'!J48</f>
        <v>14695800</v>
      </c>
      <c r="L191" s="9">
        <f>'Cash-Gen'!K48</f>
        <v>14991200</v>
      </c>
      <c r="M191" s="89">
        <f>'Cash-Gen'!L48</f>
        <v>15292300</v>
      </c>
      <c r="N191" s="89">
        <f>'Cash-Gen'!M48</f>
        <v>15599600</v>
      </c>
      <c r="O191" s="9">
        <f>'Cash-Gen'!N48</f>
        <v>15913100</v>
      </c>
      <c r="P191" s="9">
        <f>'Cash-Gen'!O48</f>
        <v>16232700</v>
      </c>
      <c r="Q191" s="47">
        <f>'Cash-Gen'!P48</f>
        <v>16558400</v>
      </c>
    </row>
    <row r="192" spans="1:17" x14ac:dyDescent="0.2">
      <c r="A192" s="54">
        <f>+'Cash-Gen'!A49</f>
        <v>289900</v>
      </c>
      <c r="B192" s="9">
        <f>'Cash-Gen'!B49</f>
        <v>725700</v>
      </c>
      <c r="C192" s="9">
        <f>'Cash-Gen'!C49</f>
        <v>-319800</v>
      </c>
      <c r="D192" s="9">
        <f>'Cash-Gen'!D49</f>
        <v>403100</v>
      </c>
      <c r="E192" s="634" t="s">
        <v>5291</v>
      </c>
      <c r="F192" s="89">
        <f>'Cash-Gen'!F49</f>
        <v>0</v>
      </c>
      <c r="G192" s="584">
        <f>IF(D192=F192,0,IF(D192=0,100,(F192-D192)/D192*100))</f>
        <v>-100</v>
      </c>
      <c r="H192" s="89">
        <f>'Cash-Gen'!G49</f>
        <v>0</v>
      </c>
      <c r="I192" s="9">
        <f>'Cash-Gen'!H49</f>
        <v>0</v>
      </c>
      <c r="J192" s="9">
        <f>'Cash-Gen'!I49</f>
        <v>0</v>
      </c>
      <c r="K192" s="46">
        <f>'Cash-Gen'!J49</f>
        <v>0</v>
      </c>
      <c r="L192" s="9">
        <f>'Cash-Gen'!K49</f>
        <v>0</v>
      </c>
      <c r="M192" s="89">
        <f>'Cash-Gen'!L49</f>
        <v>0</v>
      </c>
      <c r="N192" s="89">
        <f>'Cash-Gen'!M49</f>
        <v>0</v>
      </c>
      <c r="O192" s="9">
        <f>'Cash-Gen'!N49</f>
        <v>0</v>
      </c>
      <c r="P192" s="9">
        <f>'Cash-Gen'!O49</f>
        <v>0</v>
      </c>
      <c r="Q192" s="47">
        <f>'Cash-Gen'!P49</f>
        <v>0</v>
      </c>
    </row>
    <row r="193" spans="1:17" x14ac:dyDescent="0.2">
      <c r="A193" s="54">
        <f>+'Cash-Gen'!A50</f>
        <v>169300</v>
      </c>
      <c r="B193" s="9">
        <f>'Cash-Gen'!B50</f>
        <v>231300</v>
      </c>
      <c r="C193" s="9">
        <f>'Cash-Gen'!C50</f>
        <v>190800</v>
      </c>
      <c r="D193" s="9">
        <f>'Cash-Gen'!D50</f>
        <v>152000</v>
      </c>
      <c r="E193" s="634" t="s">
        <v>4151</v>
      </c>
      <c r="F193" s="89">
        <f>'Cash-Gen'!F50</f>
        <v>119100</v>
      </c>
      <c r="G193" s="584">
        <f>IF(D193=F193,0,IF(D193=0,100,(F193-D193)/D193*100))</f>
        <v>-21.644736842105264</v>
      </c>
      <c r="H193" s="89">
        <f>'Cash-Gen'!G50</f>
        <v>70200</v>
      </c>
      <c r="I193" s="9">
        <f>'Cash-Gen'!H50</f>
        <v>48000</v>
      </c>
      <c r="J193" s="9">
        <f>'Cash-Gen'!I50</f>
        <v>20600</v>
      </c>
      <c r="K193" s="46">
        <f>'Cash-Gen'!J50</f>
        <v>21400</v>
      </c>
      <c r="L193" s="9">
        <f>'Cash-Gen'!K50</f>
        <v>22100</v>
      </c>
      <c r="M193" s="89">
        <f>'Cash-Gen'!L50</f>
        <v>22900</v>
      </c>
      <c r="N193" s="89">
        <f>'Cash-Gen'!M50</f>
        <v>23800</v>
      </c>
      <c r="O193" s="9">
        <f>'Cash-Gen'!N50</f>
        <v>24700</v>
      </c>
      <c r="P193" s="9">
        <f>'Cash-Gen'!O50</f>
        <v>25600</v>
      </c>
      <c r="Q193" s="47">
        <f>'Cash-Gen'!P50</f>
        <v>25600</v>
      </c>
    </row>
    <row r="194" spans="1:17" ht="13.5" thickBot="1" x14ac:dyDescent="0.25">
      <c r="A194" s="54">
        <f>'Cash-Gen'!A51</f>
        <v>3967400</v>
      </c>
      <c r="B194" s="9">
        <f>'Cash-Gen'!B51</f>
        <v>3347700</v>
      </c>
      <c r="C194" s="9">
        <f>'Cash-Gen'!C51</f>
        <v>0</v>
      </c>
      <c r="D194" s="9">
        <f>'Cash-Gen'!D51</f>
        <v>5241100</v>
      </c>
      <c r="E194" s="634" t="s">
        <v>4453</v>
      </c>
      <c r="F194" s="89">
        <f>'Cash-Gen'!F51</f>
        <v>0</v>
      </c>
      <c r="G194" s="584">
        <f>IF(D194=F194,0,IF(D194=0,100,(F194-D194)/D194*100))</f>
        <v>-100</v>
      </c>
      <c r="H194" s="89">
        <f>'Cash-Gen'!G51</f>
        <v>0</v>
      </c>
      <c r="I194" s="9">
        <f>'Cash-Gen'!H51</f>
        <v>0</v>
      </c>
      <c r="J194" s="9">
        <f>'Cash-Gen'!I51</f>
        <v>0</v>
      </c>
      <c r="K194" s="46">
        <f>'Cash-Gen'!J51</f>
        <v>0</v>
      </c>
      <c r="L194" s="9">
        <f>'Cash-Gen'!K51</f>
        <v>0</v>
      </c>
      <c r="M194" s="89">
        <f>'Cash-Gen'!L51</f>
        <v>0</v>
      </c>
      <c r="N194" s="89">
        <f>'Cash-Gen'!M51</f>
        <v>0</v>
      </c>
      <c r="O194" s="9">
        <f>'Cash-Gen'!N51</f>
        <v>0</v>
      </c>
      <c r="P194" s="9">
        <f>'Cash-Gen'!O51</f>
        <v>0</v>
      </c>
      <c r="Q194" s="47">
        <f>'Cash-Gen'!P51</f>
        <v>0</v>
      </c>
    </row>
    <row r="195" spans="1:17" s="65" customFormat="1" x14ac:dyDescent="0.2">
      <c r="A195" s="125">
        <f>A189-SUM(A191:A194)</f>
        <v>-10548300</v>
      </c>
      <c r="B195" s="53">
        <f>B189-SUM(B191:B194)</f>
        <v>-5137900</v>
      </c>
      <c r="C195" s="53">
        <f>C189-SUM(C191:C194)</f>
        <v>-3610100</v>
      </c>
      <c r="D195" s="53">
        <f>D189-SUM(D191:D194)</f>
        <v>1243000</v>
      </c>
      <c r="E195" s="2432" t="s">
        <v>1574</v>
      </c>
      <c r="F195" s="105">
        <f t="shared" ref="F195:N195" si="213">F189-SUM(F191:F194)</f>
        <v>-3135600</v>
      </c>
      <c r="G195" s="391">
        <f>IF(D195=F195,0,IF(D195=0,100,(F195-D195)/D195*100))</f>
        <v>-352.26065969428799</v>
      </c>
      <c r="H195" s="105">
        <f t="shared" si="213"/>
        <v>-1492900</v>
      </c>
      <c r="I195" s="53">
        <f t="shared" si="213"/>
        <v>-1501700</v>
      </c>
      <c r="J195" s="53">
        <f t="shared" si="213"/>
        <v>-1568800</v>
      </c>
      <c r="K195" s="858">
        <f t="shared" si="213"/>
        <v>-1571900</v>
      </c>
      <c r="L195" s="53">
        <f t="shared" si="213"/>
        <v>-1187300</v>
      </c>
      <c r="M195" s="105">
        <f t="shared" si="213"/>
        <v>-998200</v>
      </c>
      <c r="N195" s="105">
        <f t="shared" si="213"/>
        <v>-1091700</v>
      </c>
      <c r="O195" s="53">
        <f t="shared" ref="O195" si="214">O189-SUM(O191:O194)</f>
        <v>-376900</v>
      </c>
      <c r="P195" s="53">
        <f t="shared" ref="P195" si="215">P189-SUM(P191:P194)</f>
        <v>48200</v>
      </c>
      <c r="Q195" s="2347">
        <f t="shared" ref="Q195" si="216">Q189-SUM(Q191:Q194)</f>
        <v>381200</v>
      </c>
    </row>
    <row r="196" spans="1:17" x14ac:dyDescent="0.2">
      <c r="A196" s="54"/>
      <c r="B196" s="9"/>
      <c r="C196" s="9"/>
      <c r="D196" s="9"/>
      <c r="E196" s="634"/>
      <c r="F196" s="89"/>
      <c r="G196" s="584"/>
      <c r="H196" s="89"/>
      <c r="I196" s="9"/>
      <c r="J196" s="9"/>
      <c r="K196" s="46"/>
      <c r="L196" s="9"/>
      <c r="M196" s="89"/>
      <c r="N196" s="89"/>
      <c r="O196" s="9"/>
      <c r="P196" s="9"/>
      <c r="Q196" s="47"/>
    </row>
    <row r="197" spans="1:17" x14ac:dyDescent="0.2">
      <c r="A197" s="54"/>
      <c r="B197" s="9"/>
      <c r="C197" s="9"/>
      <c r="D197" s="9"/>
      <c r="E197" s="63" t="s">
        <v>1432</v>
      </c>
      <c r="F197" s="89"/>
      <c r="G197" s="584"/>
      <c r="H197" s="89"/>
      <c r="I197" s="9"/>
      <c r="J197" s="9"/>
      <c r="K197" s="46"/>
      <c r="L197" s="9"/>
      <c r="M197" s="89"/>
      <c r="N197" s="89"/>
      <c r="O197" s="9"/>
      <c r="P197" s="9"/>
      <c r="Q197" s="47"/>
    </row>
    <row r="198" spans="1:17" x14ac:dyDescent="0.2">
      <c r="A198" s="54">
        <f>ROUND('Cash-Gen'!A56,-3)</f>
        <v>6861000</v>
      </c>
      <c r="B198" s="9">
        <f>'Cash-Gen'!B56</f>
        <v>4752500</v>
      </c>
      <c r="C198" s="9">
        <f>'Cash-Gen'!C56</f>
        <v>8258000</v>
      </c>
      <c r="D198" s="9">
        <f>'Cash-Gen'!D56</f>
        <v>7315700</v>
      </c>
      <c r="E198" s="1190" t="s">
        <v>2668</v>
      </c>
      <c r="F198" s="89">
        <f>'Cash-Gen'!F56</f>
        <v>10925500</v>
      </c>
      <c r="G198" s="584">
        <f>IF(D198=F198,0,IF(D198=0,100,(F198-D198)/D198*100))</f>
        <v>49.343193405962523</v>
      </c>
      <c r="H198" s="89">
        <f>'Cash-Gen'!G56</f>
        <v>3716900</v>
      </c>
      <c r="I198" s="9">
        <f>'Cash-Gen'!H56</f>
        <v>297100</v>
      </c>
      <c r="J198" s="9">
        <f>'Cash-Gen'!I56</f>
        <v>303100</v>
      </c>
      <c r="K198" s="46">
        <f>'Cash-Gen'!J56</f>
        <v>309300</v>
      </c>
      <c r="L198" s="9">
        <f>'Cash-Gen'!K56</f>
        <v>315600</v>
      </c>
      <c r="M198" s="89">
        <f>'Cash-Gen'!L56</f>
        <v>322000</v>
      </c>
      <c r="N198" s="89">
        <f>'Cash-Gen'!M56</f>
        <v>328700</v>
      </c>
      <c r="O198" s="9">
        <f>'Cash-Gen'!N56</f>
        <v>335400</v>
      </c>
      <c r="P198" s="9">
        <f>'Cash-Gen'!O56</f>
        <v>342200</v>
      </c>
      <c r="Q198" s="47">
        <f>'Cash-Gen'!P56</f>
        <v>349300</v>
      </c>
    </row>
    <row r="199" spans="1:17" x14ac:dyDescent="0.2">
      <c r="A199" s="54">
        <f>ROUND(+'Cash-Gen'!A57,-3)</f>
        <v>2269000</v>
      </c>
      <c r="B199" s="9">
        <f>'Cash-Gen'!B57</f>
        <v>2924000</v>
      </c>
      <c r="C199" s="9">
        <f>+'Cash-Gen'!C57</f>
        <v>2226100</v>
      </c>
      <c r="D199" s="9">
        <f>+'Cash-Gen'!D57</f>
        <v>2348300</v>
      </c>
      <c r="E199" s="9" t="s">
        <v>898</v>
      </c>
      <c r="F199" s="89">
        <f>+'Cash-Gen'!F57</f>
        <v>4049000</v>
      </c>
      <c r="G199" s="584">
        <f>IF(D199=F199,0,IF(D199=0,100,(F199-D199)/D199*100))</f>
        <v>72.422603585572546</v>
      </c>
      <c r="H199" s="89">
        <f>+'Cash-Gen'!G57</f>
        <v>7192000</v>
      </c>
      <c r="I199" s="9">
        <f>+'Cash-Gen'!H57</f>
        <v>7372000</v>
      </c>
      <c r="J199" s="9">
        <f>+'Cash-Gen'!I57</f>
        <v>13556000</v>
      </c>
      <c r="K199" s="46">
        <f>+'Cash-Gen'!J57</f>
        <v>13894000</v>
      </c>
      <c r="L199" s="9">
        <f>+'Cash-Gen'!K57</f>
        <v>6241000</v>
      </c>
      <c r="M199" s="89">
        <f>+'Cash-Gen'!L57</f>
        <v>6397000</v>
      </c>
      <c r="N199" s="89">
        <f>+'Cash-Gen'!M57</f>
        <v>6556000</v>
      </c>
      <c r="O199" s="9">
        <f>+'Cash-Gen'!N57</f>
        <v>6719000</v>
      </c>
      <c r="P199" s="9">
        <f>+'Cash-Gen'!O57</f>
        <v>6887000</v>
      </c>
      <c r="Q199" s="47">
        <f>+'Cash-Gen'!P57</f>
        <v>7059000</v>
      </c>
    </row>
    <row r="200" spans="1:17" x14ac:dyDescent="0.2">
      <c r="A200" s="54"/>
      <c r="B200" s="9"/>
      <c r="C200" s="9"/>
      <c r="D200" s="9"/>
      <c r="E200" s="9"/>
      <c r="F200" s="89"/>
      <c r="G200" s="584"/>
      <c r="H200" s="89"/>
      <c r="I200" s="9"/>
      <c r="J200" s="9"/>
      <c r="K200" s="46"/>
      <c r="L200" s="9"/>
      <c r="M200" s="89"/>
      <c r="N200" s="89"/>
      <c r="O200" s="9"/>
      <c r="P200" s="9"/>
      <c r="Q200" s="47"/>
    </row>
    <row r="201" spans="1:17" x14ac:dyDescent="0.2">
      <c r="A201" s="54"/>
      <c r="B201" s="9"/>
      <c r="C201" s="9"/>
      <c r="D201" s="9"/>
      <c r="E201" s="63" t="s">
        <v>690</v>
      </c>
      <c r="F201" s="89"/>
      <c r="G201" s="584"/>
      <c r="H201" s="89"/>
      <c r="I201" s="9"/>
      <c r="J201" s="9"/>
      <c r="K201" s="46"/>
      <c r="L201" s="9"/>
      <c r="M201" s="89"/>
      <c r="N201" s="89"/>
      <c r="O201" s="9"/>
      <c r="P201" s="9"/>
      <c r="Q201" s="47"/>
    </row>
    <row r="202" spans="1:17" x14ac:dyDescent="0.2">
      <c r="A202" s="54">
        <f>ROUND('Cash-Gen'!A75,-3)</f>
        <v>1200000</v>
      </c>
      <c r="B202" s="9">
        <f>'Cash-Gen'!B75</f>
        <v>725000</v>
      </c>
      <c r="C202" s="9">
        <f>'Cash-Gen'!C75</f>
        <v>500000</v>
      </c>
      <c r="D202" s="9">
        <f>'Cash-Gen'!D75</f>
        <v>3076900</v>
      </c>
      <c r="E202" s="79" t="s">
        <v>2160</v>
      </c>
      <c r="F202" s="89">
        <f>'Cash-Gen'!F75</f>
        <v>8847800</v>
      </c>
      <c r="G202" s="584">
        <f>IF(D202=F202,0,IF(D202=0,100,(F202-D202)/D202*100))</f>
        <v>187.55565666742498</v>
      </c>
      <c r="H202" s="89">
        <f>'Cash-Gen'!G75</f>
        <v>2500000</v>
      </c>
      <c r="I202" s="9">
        <f>'Cash-Gen'!H75</f>
        <v>0</v>
      </c>
      <c r="J202" s="9">
        <f>'Cash-Gen'!I75</f>
        <v>8340000</v>
      </c>
      <c r="K202" s="46">
        <f>'Cash-Gen'!J75</f>
        <v>0</v>
      </c>
      <c r="L202" s="9">
        <f>'Cash-Gen'!K75</f>
        <v>0</v>
      </c>
      <c r="M202" s="89">
        <f>'Cash-Gen'!L75</f>
        <v>0</v>
      </c>
      <c r="N202" s="89">
        <f>'Cash-Gen'!M75</f>
        <v>0</v>
      </c>
      <c r="O202" s="9">
        <f>'Cash-Gen'!N75</f>
        <v>0</v>
      </c>
      <c r="P202" s="9">
        <f>'Cash-Gen'!O75</f>
        <v>0</v>
      </c>
      <c r="Q202" s="47">
        <f>'Cash-Gen'!P75</f>
        <v>0</v>
      </c>
    </row>
    <row r="203" spans="1:17" x14ac:dyDescent="0.2">
      <c r="A203" s="54">
        <f>ROUND('Cash-Gen'!A77,-3)</f>
        <v>1805000</v>
      </c>
      <c r="B203" s="9">
        <f>'Cash-Gen'!B77</f>
        <v>2809800</v>
      </c>
      <c r="C203" s="9">
        <f>'Cash-Gen'!C77</f>
        <v>2286400</v>
      </c>
      <c r="D203" s="9">
        <f>'Cash-Gen'!D77</f>
        <v>1310300</v>
      </c>
      <c r="E203" s="79" t="str">
        <f>'Cash-Gen'!E77</f>
        <v>Proceeds from Disposal of Assets</v>
      </c>
      <c r="F203" s="89">
        <f>'Cash-Gen'!F77</f>
        <v>8105000</v>
      </c>
      <c r="G203" s="584">
        <f>IF(D203=F203,0,IF(D203=0,100,(F203-D203)/D203*100))</f>
        <v>518.5606349690911</v>
      </c>
      <c r="H203" s="89">
        <f>'Cash-Gen'!G77</f>
        <v>7655000</v>
      </c>
      <c r="I203" s="9">
        <f>'Cash-Gen'!H77</f>
        <v>4655000</v>
      </c>
      <c r="J203" s="9">
        <f>'Cash-Gen'!I77</f>
        <v>2940000</v>
      </c>
      <c r="K203" s="46">
        <f>'Cash-Gen'!J77</f>
        <v>1400000</v>
      </c>
      <c r="L203" s="9">
        <f>'Cash-Gen'!K77</f>
        <v>960000</v>
      </c>
      <c r="M203" s="89">
        <f>'Cash-Gen'!L77</f>
        <v>960000</v>
      </c>
      <c r="N203" s="89">
        <f>'Cash-Gen'!M77</f>
        <v>960000</v>
      </c>
      <c r="O203" s="9">
        <f>'Cash-Gen'!N77</f>
        <v>960000</v>
      </c>
      <c r="P203" s="9">
        <f>'Cash-Gen'!O77</f>
        <v>960000</v>
      </c>
      <c r="Q203" s="47">
        <f>'Cash-Gen'!P77</f>
        <v>960000</v>
      </c>
    </row>
    <row r="204" spans="1:17" x14ac:dyDescent="0.2">
      <c r="A204" s="54"/>
      <c r="B204" s="9"/>
      <c r="C204" s="9"/>
      <c r="D204" s="9"/>
      <c r="E204" s="63"/>
      <c r="F204" s="89"/>
      <c r="G204" s="584"/>
      <c r="H204" s="89"/>
      <c r="I204" s="9"/>
      <c r="J204" s="9"/>
      <c r="K204" s="46"/>
      <c r="L204" s="9"/>
      <c r="M204" s="89"/>
      <c r="N204" s="89"/>
      <c r="O204" s="9"/>
      <c r="P204" s="9"/>
      <c r="Q204" s="47"/>
    </row>
    <row r="205" spans="1:17" x14ac:dyDescent="0.2">
      <c r="A205" s="54"/>
      <c r="B205" s="9"/>
      <c r="C205" s="9"/>
      <c r="D205" s="9"/>
      <c r="E205" s="63" t="s">
        <v>2853</v>
      </c>
      <c r="F205" s="89"/>
      <c r="G205" s="584"/>
      <c r="H205" s="89"/>
      <c r="I205" s="9"/>
      <c r="J205" s="9"/>
      <c r="K205" s="46"/>
      <c r="L205" s="9"/>
      <c r="M205" s="89"/>
      <c r="N205" s="89"/>
      <c r="O205" s="9"/>
      <c r="P205" s="9"/>
      <c r="Q205" s="47"/>
    </row>
    <row r="206" spans="1:17" x14ac:dyDescent="0.2">
      <c r="A206" s="54">
        <f>ROUND('Cash-Gen'!A80,-3)</f>
        <v>-27878000</v>
      </c>
      <c r="B206" s="9">
        <f>'Cash-Gen'!B80</f>
        <v>-18233400</v>
      </c>
      <c r="C206" s="9">
        <f>'Cash-Gen'!C80</f>
        <v>-22896800</v>
      </c>
      <c r="D206" s="9">
        <f>'Cash-Gen'!D80</f>
        <v>-23684300</v>
      </c>
      <c r="E206" s="79" t="s">
        <v>1865</v>
      </c>
      <c r="F206" s="89">
        <f>'Cash-Gen'!F80</f>
        <v>-42002300</v>
      </c>
      <c r="G206" s="584">
        <f>IF(D206=F206,0,IF(D206=0,100,(F206-D206)/D206*100))</f>
        <v>77.342374484363063</v>
      </c>
      <c r="H206" s="89">
        <f>'Cash-Gen'!G80</f>
        <v>-36305200</v>
      </c>
      <c r="I206" s="9">
        <f>'Cash-Gen'!H80</f>
        <v>-32038200</v>
      </c>
      <c r="J206" s="9">
        <f>'Cash-Gen'!I80</f>
        <v>-37085900</v>
      </c>
      <c r="K206" s="29">
        <f>'Cash-Gen'!J80</f>
        <v>-24834300</v>
      </c>
      <c r="L206" s="9">
        <f>'Cash-Gen'!K80</f>
        <v>-11890500</v>
      </c>
      <c r="M206" s="89">
        <f>'Cash-Gen'!L80</f>
        <v>-16437400</v>
      </c>
      <c r="N206" s="89">
        <f>'Cash-Gen'!M80</f>
        <v>-16744800</v>
      </c>
      <c r="O206" s="9">
        <f>'Cash-Gen'!N80</f>
        <v>-14464500</v>
      </c>
      <c r="P206" s="9">
        <f>'Cash-Gen'!O80</f>
        <v>-17918100</v>
      </c>
      <c r="Q206" s="47">
        <f>'Cash-Gen'!P80</f>
        <v>-16162000</v>
      </c>
    </row>
    <row r="207" spans="1:17" x14ac:dyDescent="0.2">
      <c r="A207" s="54">
        <f>ROUND('Cash-Gen'!A81,-3)</f>
        <v>-3216000</v>
      </c>
      <c r="B207" s="9">
        <f>'Cash-Gen'!B81</f>
        <v>-3395400</v>
      </c>
      <c r="C207" s="9">
        <f>'Cash-Gen'!C81</f>
        <v>-3788900</v>
      </c>
      <c r="D207" s="9">
        <f>'Cash-Gen'!D81</f>
        <v>-3696200</v>
      </c>
      <c r="E207" s="1190" t="s">
        <v>1400</v>
      </c>
      <c r="F207" s="89">
        <f>'Cash-Gen'!F81</f>
        <v>-3285700</v>
      </c>
      <c r="G207" s="584">
        <f>IF(D207=F207,0,IF(D207=0,100,(F207-D207)/D207*100))</f>
        <v>-11.106000757534765</v>
      </c>
      <c r="H207" s="89">
        <f>'Cash-Gen'!G81</f>
        <v>-3324800</v>
      </c>
      <c r="I207" s="9">
        <f>'Cash-Gen'!H81</f>
        <v>-3402100</v>
      </c>
      <c r="J207" s="9">
        <f>'Cash-Gen'!I81</f>
        <v>-3131000</v>
      </c>
      <c r="K207" s="46">
        <f>'Cash-Gen'!J81</f>
        <v>-3636100</v>
      </c>
      <c r="L207" s="9">
        <f>'Cash-Gen'!K81</f>
        <v>-3183000</v>
      </c>
      <c r="M207" s="89">
        <f>'Cash-Gen'!L81</f>
        <v>-2456800</v>
      </c>
      <c r="N207" s="89">
        <f>'Cash-Gen'!M81</f>
        <v>-2190000</v>
      </c>
      <c r="O207" s="9">
        <f>'Cash-Gen'!N81</f>
        <v>-1569400</v>
      </c>
      <c r="P207" s="9">
        <f>'Cash-Gen'!O81</f>
        <v>-1573400</v>
      </c>
      <c r="Q207" s="47">
        <f>'Cash-Gen'!P81</f>
        <v>-1637300</v>
      </c>
    </row>
    <row r="208" spans="1:17" x14ac:dyDescent="0.2">
      <c r="A208" s="54"/>
      <c r="B208" s="9"/>
      <c r="C208" s="9"/>
      <c r="D208" s="9"/>
      <c r="E208" s="9"/>
      <c r="F208" s="89"/>
      <c r="G208" s="584"/>
      <c r="H208" s="89"/>
      <c r="I208" s="9"/>
      <c r="J208" s="9"/>
      <c r="K208" s="46"/>
      <c r="L208" s="9"/>
      <c r="M208" s="89"/>
      <c r="N208" s="89"/>
      <c r="O208" s="9"/>
      <c r="P208" s="9"/>
      <c r="Q208" s="47"/>
    </row>
    <row r="209" spans="1:17" x14ac:dyDescent="0.2">
      <c r="A209" s="54"/>
      <c r="B209" s="9"/>
      <c r="C209" s="9"/>
      <c r="D209" s="9"/>
      <c r="E209" s="63" t="s">
        <v>4613</v>
      </c>
      <c r="F209" s="89"/>
      <c r="G209" s="584"/>
      <c r="H209" s="89"/>
      <c r="I209" s="9"/>
      <c r="J209" s="9"/>
      <c r="K209" s="46"/>
      <c r="L209" s="9"/>
      <c r="M209" s="89"/>
      <c r="N209" s="89"/>
      <c r="O209" s="9"/>
      <c r="P209" s="9"/>
      <c r="Q209" s="47"/>
    </row>
    <row r="210" spans="1:17" x14ac:dyDescent="0.2">
      <c r="A210" s="54">
        <f>+'Cash-Gen'!A76</f>
        <v>-1957800</v>
      </c>
      <c r="B210" s="9">
        <f>+'Cash-Gen'!B76</f>
        <v>-498500</v>
      </c>
      <c r="C210" s="9">
        <f>+'Cash-Gen'!C76</f>
        <v>2036000</v>
      </c>
      <c r="D210" s="9">
        <f>+'Cash-Gen'!D76</f>
        <v>5524700</v>
      </c>
      <c r="E210" s="634" t="s">
        <v>4656</v>
      </c>
      <c r="F210" s="89">
        <f>+'Cash-Gen'!F76</f>
        <v>200000</v>
      </c>
      <c r="G210" s="584">
        <f>IF(D210=F210,0,IF(D210=0,100,(F210-D210)/D210*100))</f>
        <v>-96.37989393089218</v>
      </c>
      <c r="H210" s="89">
        <f>+'Cash-Gen'!G76</f>
        <v>200000</v>
      </c>
      <c r="I210" s="9">
        <f>+'Cash-Gen'!H76</f>
        <v>200000</v>
      </c>
      <c r="J210" s="9">
        <f>+'Cash-Gen'!I76</f>
        <v>200000</v>
      </c>
      <c r="K210" s="46">
        <f>+'Cash-Gen'!J76</f>
        <v>200000</v>
      </c>
      <c r="L210" s="9">
        <f>+'Cash-Gen'!K76</f>
        <v>200000</v>
      </c>
      <c r="M210" s="89">
        <f>+'Cash-Gen'!L76</f>
        <v>200000</v>
      </c>
      <c r="N210" s="89">
        <f>+'Cash-Gen'!M76</f>
        <v>200000</v>
      </c>
      <c r="O210" s="9">
        <f>+'Cash-Gen'!N76</f>
        <v>200000</v>
      </c>
      <c r="P210" s="9">
        <f>+'Cash-Gen'!O76</f>
        <v>200000</v>
      </c>
      <c r="Q210" s="47">
        <f>+'Cash-Gen'!P76</f>
        <v>200000</v>
      </c>
    </row>
    <row r="211" spans="1:17" x14ac:dyDescent="0.2">
      <c r="A211" s="54"/>
      <c r="B211" s="9"/>
      <c r="C211" s="9"/>
      <c r="D211" s="9"/>
      <c r="E211" s="9"/>
      <c r="F211" s="89"/>
      <c r="G211" s="584"/>
      <c r="H211" s="89"/>
      <c r="I211" s="9"/>
      <c r="J211" s="9"/>
      <c r="K211" s="46"/>
      <c r="L211" s="9"/>
      <c r="M211" s="89"/>
      <c r="N211" s="89"/>
      <c r="O211" s="9"/>
      <c r="P211" s="9"/>
      <c r="Q211" s="47"/>
    </row>
    <row r="212" spans="1:17" x14ac:dyDescent="0.2">
      <c r="A212" s="54"/>
      <c r="B212" s="9"/>
      <c r="C212" s="9"/>
      <c r="D212" s="9"/>
      <c r="E212" s="63" t="s">
        <v>1575</v>
      </c>
      <c r="F212" s="89"/>
      <c r="G212" s="584"/>
      <c r="H212" s="89"/>
      <c r="I212" s="9"/>
      <c r="J212" s="9"/>
      <c r="K212" s="46"/>
      <c r="L212" s="9"/>
      <c r="M212" s="89"/>
      <c r="N212" s="89"/>
      <c r="O212" s="9"/>
      <c r="P212" s="9"/>
      <c r="Q212" s="47"/>
    </row>
    <row r="213" spans="1:17" x14ac:dyDescent="0.2">
      <c r="A213" s="54">
        <f>A191</f>
        <v>15865700</v>
      </c>
      <c r="B213" s="9">
        <f>B191</f>
        <v>14144300</v>
      </c>
      <c r="C213" s="9">
        <f>C191</f>
        <v>14166800</v>
      </c>
      <c r="D213" s="9">
        <f>D191</f>
        <v>11005700</v>
      </c>
      <c r="E213" s="257" t="s">
        <v>2035</v>
      </c>
      <c r="F213" s="89">
        <f t="shared" ref="F213:N213" si="217">F191</f>
        <v>13383900</v>
      </c>
      <c r="G213" s="584">
        <f t="shared" ref="G213:G218" si="218">IF(D213=F213,0,IF(D213=0,100,(F213-D213)/D213*100))</f>
        <v>21.608802711322316</v>
      </c>
      <c r="H213" s="89">
        <f t="shared" si="217"/>
        <v>13754800</v>
      </c>
      <c r="I213" s="9">
        <f t="shared" si="217"/>
        <v>14122400</v>
      </c>
      <c r="J213" s="9">
        <f t="shared" si="217"/>
        <v>14406200</v>
      </c>
      <c r="K213" s="46">
        <f t="shared" si="217"/>
        <v>14695800</v>
      </c>
      <c r="L213" s="9">
        <f t="shared" si="217"/>
        <v>14991200</v>
      </c>
      <c r="M213" s="89">
        <f t="shared" si="217"/>
        <v>15292300</v>
      </c>
      <c r="N213" s="89">
        <f t="shared" si="217"/>
        <v>15599600</v>
      </c>
      <c r="O213" s="9">
        <f t="shared" ref="O213" si="219">O191</f>
        <v>15913100</v>
      </c>
      <c r="P213" s="9">
        <f t="shared" ref="P213" si="220">P191</f>
        <v>16232700</v>
      </c>
      <c r="Q213" s="47">
        <f t="shared" ref="Q213" si="221">Q191</f>
        <v>16558400</v>
      </c>
    </row>
    <row r="214" spans="1:17" x14ac:dyDescent="0.2">
      <c r="A214" s="54">
        <f>'Cash-Gen'!A66</f>
        <v>333000</v>
      </c>
      <c r="B214" s="9">
        <f>'Cash-Gen'!B66</f>
        <v>-30000</v>
      </c>
      <c r="C214" s="9">
        <f>'Cash-Gen'!C66</f>
        <v>-163000</v>
      </c>
      <c r="D214" s="9">
        <f>'Cash-Gen'!D66</f>
        <v>150000</v>
      </c>
      <c r="E214" s="634" t="s">
        <v>5357</v>
      </c>
      <c r="F214" s="89">
        <f>'Cash-Gen'!F66</f>
        <v>0</v>
      </c>
      <c r="G214" s="584">
        <f t="shared" si="218"/>
        <v>-100</v>
      </c>
      <c r="H214" s="9">
        <f>'Cash-Gen'!G66</f>
        <v>0</v>
      </c>
      <c r="I214" s="9">
        <f>'Cash-Gen'!H66</f>
        <v>0</v>
      </c>
      <c r="J214" s="9">
        <f>'Cash-Gen'!I66</f>
        <v>0</v>
      </c>
      <c r="K214" s="9">
        <f>'Cash-Gen'!J66</f>
        <v>0</v>
      </c>
      <c r="L214" s="9">
        <f>'Cash-Gen'!K66</f>
        <v>0</v>
      </c>
      <c r="M214" s="9">
        <f>'Cash-Gen'!L66</f>
        <v>0</v>
      </c>
      <c r="N214" s="89">
        <f>'Cash-Gen'!M66</f>
        <v>0</v>
      </c>
      <c r="O214" s="9">
        <f>'Cash-Gen'!N66</f>
        <v>0</v>
      </c>
      <c r="P214" s="9">
        <f>'Cash-Gen'!O66</f>
        <v>0</v>
      </c>
      <c r="Q214" s="47">
        <f>'Cash-Gen'!P66</f>
        <v>0</v>
      </c>
    </row>
    <row r="215" spans="1:17" x14ac:dyDescent="0.2">
      <c r="A215" s="54">
        <f>'Cash-Gen'!A67</f>
        <v>0</v>
      </c>
      <c r="B215" s="9">
        <f>'Cash-Gen'!B67</f>
        <v>-460100</v>
      </c>
      <c r="C215" s="9">
        <f>'Cash-Gen'!C67</f>
        <v>0</v>
      </c>
      <c r="D215" s="9">
        <f>'Cash-Gen'!D67</f>
        <v>-360400</v>
      </c>
      <c r="E215" s="634" t="s">
        <v>5317</v>
      </c>
      <c r="F215" s="89">
        <f>'Cash-Gen'!F67</f>
        <v>0</v>
      </c>
      <c r="G215" s="584">
        <f t="shared" si="218"/>
        <v>-100</v>
      </c>
      <c r="H215" s="9">
        <f>'Cash-Gen'!G67</f>
        <v>0</v>
      </c>
      <c r="I215" s="9">
        <f>'Cash-Gen'!H67</f>
        <v>0</v>
      </c>
      <c r="J215" s="9">
        <f>'Cash-Gen'!I67</f>
        <v>0</v>
      </c>
      <c r="K215" s="9">
        <f>'Cash-Gen'!J67</f>
        <v>0</v>
      </c>
      <c r="L215" s="9">
        <f>'Cash-Gen'!K67</f>
        <v>0</v>
      </c>
      <c r="M215" s="9">
        <f>'Cash-Gen'!L67</f>
        <v>0</v>
      </c>
      <c r="N215" s="89">
        <f>'Cash-Gen'!M67</f>
        <v>0</v>
      </c>
      <c r="O215" s="9">
        <f>'Cash-Gen'!N67</f>
        <v>0</v>
      </c>
      <c r="P215" s="9">
        <f>'Cash-Gen'!O67</f>
        <v>0</v>
      </c>
      <c r="Q215" s="47">
        <f>'Cash-Gen'!P67</f>
        <v>0</v>
      </c>
    </row>
    <row r="216" spans="1:17" x14ac:dyDescent="0.2">
      <c r="A216" s="54">
        <f t="shared" ref="A216:B218" si="222">A192</f>
        <v>289900</v>
      </c>
      <c r="B216" s="9">
        <f t="shared" si="222"/>
        <v>725700</v>
      </c>
      <c r="C216" s="9">
        <f t="shared" ref="C216:D218" si="223">C192</f>
        <v>-319800</v>
      </c>
      <c r="D216" s="9">
        <f t="shared" si="223"/>
        <v>403100</v>
      </c>
      <c r="E216" s="634" t="s">
        <v>5290</v>
      </c>
      <c r="F216" s="89">
        <f t="shared" ref="F216:N216" si="224">F192</f>
        <v>0</v>
      </c>
      <c r="G216" s="584">
        <f t="shared" si="218"/>
        <v>-100</v>
      </c>
      <c r="H216" s="89">
        <f t="shared" si="224"/>
        <v>0</v>
      </c>
      <c r="I216" s="9">
        <f t="shared" si="224"/>
        <v>0</v>
      </c>
      <c r="J216" s="9">
        <f t="shared" si="224"/>
        <v>0</v>
      </c>
      <c r="K216" s="46">
        <f t="shared" si="224"/>
        <v>0</v>
      </c>
      <c r="L216" s="9">
        <f t="shared" si="224"/>
        <v>0</v>
      </c>
      <c r="M216" s="89">
        <f t="shared" si="224"/>
        <v>0</v>
      </c>
      <c r="N216" s="89">
        <f t="shared" si="224"/>
        <v>0</v>
      </c>
      <c r="O216" s="9">
        <f t="shared" ref="O216" si="225">O192</f>
        <v>0</v>
      </c>
      <c r="P216" s="9">
        <f t="shared" ref="P216" si="226">P192</f>
        <v>0</v>
      </c>
      <c r="Q216" s="47">
        <f t="shared" ref="Q216" si="227">Q192</f>
        <v>0</v>
      </c>
    </row>
    <row r="217" spans="1:17" x14ac:dyDescent="0.2">
      <c r="A217" s="54">
        <f t="shared" si="222"/>
        <v>169300</v>
      </c>
      <c r="B217" s="9">
        <f t="shared" si="222"/>
        <v>231300</v>
      </c>
      <c r="C217" s="9">
        <f t="shared" si="223"/>
        <v>190800</v>
      </c>
      <c r="D217" s="9">
        <f t="shared" si="223"/>
        <v>152000</v>
      </c>
      <c r="E217" s="634" t="s">
        <v>1229</v>
      </c>
      <c r="F217" s="89">
        <f t="shared" ref="F217:N217" si="228">F193</f>
        <v>119100</v>
      </c>
      <c r="G217" s="584">
        <f t="shared" si="218"/>
        <v>-21.644736842105264</v>
      </c>
      <c r="H217" s="89">
        <f t="shared" si="228"/>
        <v>70200</v>
      </c>
      <c r="I217" s="9">
        <f t="shared" si="228"/>
        <v>48000</v>
      </c>
      <c r="J217" s="9">
        <f t="shared" si="228"/>
        <v>20600</v>
      </c>
      <c r="K217" s="46">
        <f t="shared" si="228"/>
        <v>21400</v>
      </c>
      <c r="L217" s="9">
        <f t="shared" si="228"/>
        <v>22100</v>
      </c>
      <c r="M217" s="89">
        <f t="shared" si="228"/>
        <v>22900</v>
      </c>
      <c r="N217" s="89">
        <f t="shared" si="228"/>
        <v>23800</v>
      </c>
      <c r="O217" s="9">
        <f t="shared" ref="O217" si="229">O193</f>
        <v>24700</v>
      </c>
      <c r="P217" s="9">
        <f t="shared" ref="P217" si="230">P193</f>
        <v>25600</v>
      </c>
      <c r="Q217" s="47">
        <f t="shared" ref="Q217" si="231">Q193</f>
        <v>25600</v>
      </c>
    </row>
    <row r="218" spans="1:17" x14ac:dyDescent="0.2">
      <c r="A218" s="54">
        <f t="shared" si="222"/>
        <v>3967400</v>
      </c>
      <c r="B218" s="9">
        <f t="shared" si="222"/>
        <v>3347700</v>
      </c>
      <c r="C218" s="9">
        <f t="shared" si="223"/>
        <v>0</v>
      </c>
      <c r="D218" s="9">
        <f t="shared" si="223"/>
        <v>5241100</v>
      </c>
      <c r="E218" s="634" t="s">
        <v>4448</v>
      </c>
      <c r="F218" s="89">
        <f t="shared" ref="F218:N218" si="232">F194</f>
        <v>0</v>
      </c>
      <c r="G218" s="584">
        <f t="shared" si="218"/>
        <v>-100</v>
      </c>
      <c r="H218" s="89">
        <f t="shared" si="232"/>
        <v>0</v>
      </c>
      <c r="I218" s="9">
        <f t="shared" si="232"/>
        <v>0</v>
      </c>
      <c r="J218" s="9">
        <f t="shared" si="232"/>
        <v>0</v>
      </c>
      <c r="K218" s="46">
        <f t="shared" si="232"/>
        <v>0</v>
      </c>
      <c r="L218" s="9">
        <f t="shared" si="232"/>
        <v>0</v>
      </c>
      <c r="M218" s="89">
        <f t="shared" si="232"/>
        <v>0</v>
      </c>
      <c r="N218" s="89">
        <f t="shared" si="232"/>
        <v>0</v>
      </c>
      <c r="O218" s="9">
        <f t="shared" ref="O218" si="233">O194</f>
        <v>0</v>
      </c>
      <c r="P218" s="9">
        <f t="shared" ref="P218" si="234">P194</f>
        <v>0</v>
      </c>
      <c r="Q218" s="47">
        <f t="shared" ref="Q218" si="235">Q194</f>
        <v>0</v>
      </c>
    </row>
    <row r="219" spans="1:17" ht="13.5" thickBot="1" x14ac:dyDescent="0.25">
      <c r="A219" s="54"/>
      <c r="B219" s="9"/>
      <c r="C219" s="9"/>
      <c r="D219" s="9"/>
      <c r="E219" s="422"/>
      <c r="F219" s="89"/>
      <c r="G219" s="584"/>
      <c r="H219" s="89"/>
      <c r="I219" s="9"/>
      <c r="J219" s="9"/>
      <c r="K219" s="46"/>
      <c r="L219" s="9"/>
      <c r="M219" s="89"/>
      <c r="N219" s="89"/>
      <c r="O219" s="9"/>
      <c r="P219" s="9"/>
      <c r="Q219" s="47"/>
    </row>
    <row r="220" spans="1:17" s="65" customFormat="1" ht="13.5" thickBot="1" x14ac:dyDescent="0.25">
      <c r="A220" s="2131">
        <f>SUM(A195:A219)</f>
        <v>-10839800</v>
      </c>
      <c r="B220" s="2132">
        <f>SUM(B195:B219)</f>
        <v>1905000</v>
      </c>
      <c r="C220" s="2132">
        <f>SUM(C195:C219)</f>
        <v>-1114500</v>
      </c>
      <c r="D220" s="2132">
        <f>SUM(D195:D219)</f>
        <v>10029900</v>
      </c>
      <c r="E220" s="2433" t="s">
        <v>1060</v>
      </c>
      <c r="F220" s="105">
        <f t="shared" ref="F220:N220" si="236">SUM(F195:F219)</f>
        <v>-2793300</v>
      </c>
      <c r="G220" s="2133">
        <f>IF(D220=F220,0,IF(D220=0,100,(F220-D220)/D220*100))</f>
        <v>-127.849729309365</v>
      </c>
      <c r="H220" s="105">
        <f t="shared" si="236"/>
        <v>-6034000</v>
      </c>
      <c r="I220" s="53">
        <f t="shared" si="236"/>
        <v>-10247500</v>
      </c>
      <c r="J220" s="53">
        <f t="shared" si="236"/>
        <v>-2019800</v>
      </c>
      <c r="K220" s="858">
        <f t="shared" si="236"/>
        <v>478200</v>
      </c>
      <c r="L220" s="53">
        <f t="shared" si="236"/>
        <v>6469100</v>
      </c>
      <c r="M220" s="105">
        <f t="shared" si="236"/>
        <v>3301800</v>
      </c>
      <c r="N220" s="105">
        <f t="shared" si="236"/>
        <v>3641600</v>
      </c>
      <c r="O220" s="53">
        <f t="shared" ref="O220" si="237">SUM(O195:O219)</f>
        <v>7741400</v>
      </c>
      <c r="P220" s="53">
        <f t="shared" ref="P220" si="238">SUM(P195:P219)</f>
        <v>5204200</v>
      </c>
      <c r="Q220" s="2347">
        <f t="shared" ref="Q220" si="239">SUM(Q195:Q219)</f>
        <v>7734200</v>
      </c>
    </row>
    <row r="221" spans="1:17" s="2226" customFormat="1" ht="13.5" thickTop="1" x14ac:dyDescent="0.2">
      <c r="A221" s="2134"/>
      <c r="B221" s="876"/>
      <c r="C221" s="876"/>
      <c r="D221" s="876"/>
      <c r="E221" s="2437"/>
      <c r="F221" s="875"/>
      <c r="G221" s="2221"/>
      <c r="H221" s="875"/>
      <c r="I221" s="876"/>
      <c r="J221" s="876"/>
      <c r="K221" s="2135"/>
      <c r="L221" s="876"/>
      <c r="M221" s="875"/>
      <c r="N221" s="875"/>
      <c r="O221" s="876"/>
      <c r="P221" s="876"/>
      <c r="Q221" s="1002"/>
    </row>
    <row r="222" spans="1:17" x14ac:dyDescent="0.2">
      <c r="A222" s="54"/>
      <c r="B222" s="9"/>
      <c r="C222" s="9"/>
      <c r="D222" s="9"/>
      <c r="E222" s="260" t="s">
        <v>726</v>
      </c>
      <c r="F222" s="89"/>
      <c r="G222" s="584"/>
      <c r="H222" s="89"/>
      <c r="I222" s="9"/>
      <c r="J222" s="9"/>
      <c r="K222" s="46"/>
      <c r="L222" s="9"/>
      <c r="M222" s="89"/>
      <c r="N222" s="89"/>
      <c r="O222" s="9"/>
      <c r="P222" s="9"/>
      <c r="Q222" s="61"/>
    </row>
    <row r="223" spans="1:17" s="2226" customFormat="1" x14ac:dyDescent="0.2">
      <c r="A223" s="25">
        <f>ROUND('Cash-Gen'!A86,-3)</f>
        <v>-11293000</v>
      </c>
      <c r="B223" s="79">
        <f>'Cash-Gen'!B86</f>
        <v>2180200</v>
      </c>
      <c r="C223" s="79">
        <f>'Cash-Gen'!C86</f>
        <v>521200</v>
      </c>
      <c r="D223" s="79">
        <f>'Cash-Gen'!D86</f>
        <v>7764300</v>
      </c>
      <c r="E223" s="634" t="s">
        <v>1455</v>
      </c>
      <c r="F223" s="77">
        <f>'Cash-Gen'!F86</f>
        <v>-5021700</v>
      </c>
      <c r="G223" s="584"/>
      <c r="H223" s="77">
        <f>'Cash-Gen'!G86</f>
        <v>-11230800</v>
      </c>
      <c r="I223" s="79">
        <f>'Cash-Gen'!H86</f>
        <v>15100</v>
      </c>
      <c r="J223" s="79">
        <f>'Cash-Gen'!I86</f>
        <v>471700</v>
      </c>
      <c r="K223" s="31">
        <f>'Cash-Gen'!J86</f>
        <v>273000</v>
      </c>
      <c r="L223" s="79">
        <f>'Cash-Gen'!K86</f>
        <v>684200</v>
      </c>
      <c r="M223" s="77">
        <f>'Cash-Gen'!L86</f>
        <v>-903000</v>
      </c>
      <c r="N223" s="77">
        <f>'Cash-Gen'!M86</f>
        <v>-2838100</v>
      </c>
      <c r="O223" s="79">
        <f>'Cash-Gen'!N86</f>
        <v>1012700</v>
      </c>
      <c r="P223" s="79">
        <f>'Cash-Gen'!O86</f>
        <v>240200</v>
      </c>
      <c r="Q223" s="2346">
        <f>'Cash-Gen'!P86</f>
        <v>-79300</v>
      </c>
    </row>
    <row r="224" spans="1:17" s="2226" customFormat="1" x14ac:dyDescent="0.2">
      <c r="A224" s="25">
        <f>ROUND('Cash-Gen'!A87,-3)</f>
        <v>453000</v>
      </c>
      <c r="B224" s="79">
        <f>'Cash-Gen'!B87</f>
        <v>-275200</v>
      </c>
      <c r="C224" s="79">
        <f>'Cash-Gen'!C87</f>
        <v>-1630500</v>
      </c>
      <c r="D224" s="79">
        <f>'Cash-Gen'!D87</f>
        <v>155300</v>
      </c>
      <c r="E224" s="634" t="s">
        <v>1283</v>
      </c>
      <c r="F224" s="77">
        <f>'Cash-Gen'!F87</f>
        <v>2168400</v>
      </c>
      <c r="G224" s="584"/>
      <c r="H224" s="77">
        <f>'Cash-Gen'!G87</f>
        <v>5569100</v>
      </c>
      <c r="I224" s="79">
        <f>'Cash-Gen'!H87</f>
        <v>-9762200</v>
      </c>
      <c r="J224" s="79">
        <f>'Cash-Gen'!I87</f>
        <v>-1938900</v>
      </c>
      <c r="K224" s="31">
        <f>'Cash-Gen'!J87</f>
        <v>638000</v>
      </c>
      <c r="L224" s="79">
        <f>'Cash-Gen'!K87</f>
        <v>6174600</v>
      </c>
      <c r="M224" s="77">
        <f>'Cash-Gen'!L87</f>
        <v>4436400</v>
      </c>
      <c r="N224" s="77">
        <f>'Cash-Gen'!M87</f>
        <v>6693200</v>
      </c>
      <c r="O224" s="79">
        <f>'Cash-Gen'!N87</f>
        <v>7010000</v>
      </c>
      <c r="P224" s="79">
        <f>'Cash-Gen'!O87</f>
        <v>5120300</v>
      </c>
      <c r="Q224" s="2346">
        <f>'Cash-Gen'!P87</f>
        <v>7625200</v>
      </c>
    </row>
    <row r="225" spans="1:17" s="2226" customFormat="1" x14ac:dyDescent="0.2">
      <c r="A225" s="25">
        <f>A220-A223-A224</f>
        <v>200</v>
      </c>
      <c r="B225" s="79">
        <f>B220-B223-B224</f>
        <v>0</v>
      </c>
      <c r="C225" s="79">
        <f>C220-C223-C224</f>
        <v>-5200</v>
      </c>
      <c r="D225" s="79">
        <f>D220-D223-D224</f>
        <v>2110300</v>
      </c>
      <c r="E225" s="634" t="str">
        <f>'Cash-Gen'!E88</f>
        <v>Working Capital - Increase / (Decrease)</v>
      </c>
      <c r="F225" s="77">
        <f t="shared" ref="F225:M225" si="240">F220-F223-F224</f>
        <v>60000</v>
      </c>
      <c r="G225" s="584"/>
      <c r="H225" s="77">
        <f t="shared" si="240"/>
        <v>-372300</v>
      </c>
      <c r="I225" s="79">
        <f t="shared" si="240"/>
        <v>-500400</v>
      </c>
      <c r="J225" s="79">
        <f t="shared" si="240"/>
        <v>-552600</v>
      </c>
      <c r="K225" s="31">
        <f t="shared" si="240"/>
        <v>-432800</v>
      </c>
      <c r="L225" s="79">
        <f t="shared" si="240"/>
        <v>-389700</v>
      </c>
      <c r="M225" s="77">
        <f t="shared" si="240"/>
        <v>-231600</v>
      </c>
      <c r="N225" s="77">
        <f t="shared" ref="N225" si="241">N220-N223-N224</f>
        <v>-213500</v>
      </c>
      <c r="O225" s="79">
        <f t="shared" ref="O225" si="242">O220-O223-O224</f>
        <v>-281300</v>
      </c>
      <c r="P225" s="79">
        <f t="shared" ref="P225" si="243">P220-P223-P224</f>
        <v>-156300</v>
      </c>
      <c r="Q225" s="2346">
        <f t="shared" ref="Q225" si="244">Q220-Q223-Q224</f>
        <v>188300</v>
      </c>
    </row>
    <row r="226" spans="1:17" s="39" customFormat="1" x14ac:dyDescent="0.2">
      <c r="A226" s="24">
        <f>SUM(A222:A225)</f>
        <v>-10839800</v>
      </c>
      <c r="B226" s="21">
        <f>SUM(B222:B225)</f>
        <v>1905000</v>
      </c>
      <c r="C226" s="21">
        <f>SUM(C222:C225)</f>
        <v>-1114500</v>
      </c>
      <c r="D226" s="21">
        <f>SUM(D222:D225)</f>
        <v>10029900</v>
      </c>
      <c r="E226" s="260" t="s">
        <v>133</v>
      </c>
      <c r="F226" s="75">
        <f t="shared" ref="F226:M226" si="245">SUM(F222:F225)</f>
        <v>-2793300</v>
      </c>
      <c r="G226" s="220"/>
      <c r="H226" s="75">
        <f t="shared" si="245"/>
        <v>-6034000</v>
      </c>
      <c r="I226" s="21">
        <f t="shared" si="245"/>
        <v>-10247500</v>
      </c>
      <c r="J226" s="21">
        <f t="shared" si="245"/>
        <v>-2019800</v>
      </c>
      <c r="K226" s="21">
        <f t="shared" si="245"/>
        <v>478200</v>
      </c>
      <c r="L226" s="21">
        <f t="shared" si="245"/>
        <v>6469100</v>
      </c>
      <c r="M226" s="21">
        <f t="shared" si="245"/>
        <v>3301800</v>
      </c>
      <c r="N226" s="75">
        <f t="shared" ref="N226" si="246">SUM(N222:N225)</f>
        <v>3641600</v>
      </c>
      <c r="O226" s="21">
        <f t="shared" ref="O226" si="247">SUM(O222:O225)</f>
        <v>7741400</v>
      </c>
      <c r="P226" s="21">
        <f t="shared" ref="P226" si="248">SUM(P222:P225)</f>
        <v>5204200</v>
      </c>
      <c r="Q226" s="86">
        <f t="shared" ref="Q226" si="249">SUM(Q222:Q225)</f>
        <v>7734200</v>
      </c>
    </row>
    <row r="227" spans="1:17" s="2226" customFormat="1" x14ac:dyDescent="0.2">
      <c r="A227" s="25"/>
      <c r="B227" s="79"/>
      <c r="C227" s="79"/>
      <c r="D227" s="79"/>
      <c r="E227" s="634"/>
      <c r="F227" s="77"/>
      <c r="G227" s="584"/>
      <c r="H227" s="77"/>
      <c r="I227" s="79"/>
      <c r="J227" s="79"/>
      <c r="K227" s="31"/>
      <c r="L227" s="79"/>
      <c r="M227" s="77"/>
      <c r="N227" s="77"/>
      <c r="O227" s="79"/>
      <c r="P227" s="79"/>
      <c r="Q227" s="2346"/>
    </row>
    <row r="228" spans="1:17" s="2226" customFormat="1" x14ac:dyDescent="0.2">
      <c r="A228" s="25"/>
      <c r="B228" s="79"/>
      <c r="C228" s="79"/>
      <c r="D228" s="79"/>
      <c r="E228" s="260" t="s">
        <v>2445</v>
      </c>
      <c r="F228" s="77"/>
      <c r="G228" s="584"/>
      <c r="H228" s="77"/>
      <c r="I228" s="79"/>
      <c r="J228" s="79"/>
      <c r="K228" s="31"/>
      <c r="L228" s="79"/>
      <c r="M228" s="77"/>
      <c r="N228" s="77"/>
      <c r="O228" s="79"/>
      <c r="P228" s="79"/>
      <c r="Q228" s="2346"/>
    </row>
    <row r="229" spans="1:17" s="2226" customFormat="1" x14ac:dyDescent="0.2">
      <c r="A229" s="25">
        <v>25427000</v>
      </c>
      <c r="B229" s="79">
        <f t="shared" ref="B229:D231" si="250">A229+B223</f>
        <v>27607200</v>
      </c>
      <c r="C229" s="79">
        <f t="shared" si="250"/>
        <v>28128400</v>
      </c>
      <c r="D229" s="79">
        <f>C229+D223</f>
        <v>35892700</v>
      </c>
      <c r="E229" s="634" t="s">
        <v>427</v>
      </c>
      <c r="F229" s="77">
        <f>D229+F223+'Res-Bal'!H10</f>
        <v>30874800</v>
      </c>
      <c r="G229" s="584"/>
      <c r="H229" s="77">
        <f>F229+H223</f>
        <v>19644000</v>
      </c>
      <c r="I229" s="79">
        <f t="shared" ref="I229:Q231" si="251">H229+I223</f>
        <v>19659100</v>
      </c>
      <c r="J229" s="79">
        <f t="shared" si="251"/>
        <v>20130800</v>
      </c>
      <c r="K229" s="31">
        <f t="shared" si="251"/>
        <v>20403800</v>
      </c>
      <c r="L229" s="79">
        <f t="shared" si="251"/>
        <v>21088000</v>
      </c>
      <c r="M229" s="77">
        <f t="shared" si="251"/>
        <v>20185000</v>
      </c>
      <c r="N229" s="77">
        <f t="shared" si="251"/>
        <v>17346900</v>
      </c>
      <c r="O229" s="79">
        <f t="shared" si="251"/>
        <v>18359600</v>
      </c>
      <c r="P229" s="79">
        <f t="shared" si="251"/>
        <v>18599800</v>
      </c>
      <c r="Q229" s="2346">
        <f t="shared" si="251"/>
        <v>18520500</v>
      </c>
    </row>
    <row r="230" spans="1:17" s="2226" customFormat="1" x14ac:dyDescent="0.2">
      <c r="A230" s="25">
        <v>11070600</v>
      </c>
      <c r="B230" s="79">
        <f t="shared" si="250"/>
        <v>10795400</v>
      </c>
      <c r="C230" s="79">
        <f t="shared" si="250"/>
        <v>9164900</v>
      </c>
      <c r="D230" s="79">
        <f t="shared" si="250"/>
        <v>9320200</v>
      </c>
      <c r="E230" s="634" t="s">
        <v>428</v>
      </c>
      <c r="F230" s="77">
        <f>D230+F224</f>
        <v>11488600</v>
      </c>
      <c r="G230" s="584"/>
      <c r="H230" s="77">
        <f>F230+H224</f>
        <v>17057700</v>
      </c>
      <c r="I230" s="79">
        <f t="shared" si="251"/>
        <v>7295500</v>
      </c>
      <c r="J230" s="79">
        <f t="shared" si="251"/>
        <v>5356600</v>
      </c>
      <c r="K230" s="31">
        <f t="shared" si="251"/>
        <v>5994600</v>
      </c>
      <c r="L230" s="79">
        <f t="shared" si="251"/>
        <v>12169200</v>
      </c>
      <c r="M230" s="77">
        <f t="shared" si="251"/>
        <v>16605600</v>
      </c>
      <c r="N230" s="77">
        <f t="shared" si="251"/>
        <v>23298800</v>
      </c>
      <c r="O230" s="79">
        <f t="shared" si="251"/>
        <v>30308800</v>
      </c>
      <c r="P230" s="79">
        <f t="shared" si="251"/>
        <v>35429100</v>
      </c>
      <c r="Q230" s="2346">
        <f t="shared" si="251"/>
        <v>43054300</v>
      </c>
    </row>
    <row r="231" spans="1:17" s="2226" customFormat="1" x14ac:dyDescent="0.2">
      <c r="A231" s="25">
        <f>ROUND(3413000+A225,-2)-378400</f>
        <v>3034800</v>
      </c>
      <c r="B231" s="79">
        <f t="shared" si="250"/>
        <v>3034800</v>
      </c>
      <c r="C231" s="79">
        <f t="shared" si="250"/>
        <v>3029600</v>
      </c>
      <c r="D231" s="79">
        <f t="shared" si="250"/>
        <v>5139900</v>
      </c>
      <c r="E231" s="634" t="s">
        <v>2083</v>
      </c>
      <c r="F231" s="77">
        <f>D231+F225</f>
        <v>5199900</v>
      </c>
      <c r="G231" s="584"/>
      <c r="H231" s="77">
        <f>F231+H225</f>
        <v>4827600</v>
      </c>
      <c r="I231" s="79">
        <f t="shared" si="251"/>
        <v>4327200</v>
      </c>
      <c r="J231" s="79">
        <f t="shared" si="251"/>
        <v>3774600</v>
      </c>
      <c r="K231" s="31">
        <f t="shared" si="251"/>
        <v>3341800</v>
      </c>
      <c r="L231" s="79">
        <f t="shared" si="251"/>
        <v>2952100</v>
      </c>
      <c r="M231" s="77">
        <f t="shared" si="251"/>
        <v>2720500</v>
      </c>
      <c r="N231" s="77">
        <f t="shared" si="251"/>
        <v>2507000</v>
      </c>
      <c r="O231" s="79">
        <f t="shared" si="251"/>
        <v>2225700</v>
      </c>
      <c r="P231" s="79">
        <f t="shared" si="251"/>
        <v>2069400</v>
      </c>
      <c r="Q231" s="2346">
        <f t="shared" si="251"/>
        <v>2257700</v>
      </c>
    </row>
    <row r="232" spans="1:17" s="39" customFormat="1" x14ac:dyDescent="0.2">
      <c r="A232" s="24">
        <f>SUM(A228:A231)</f>
        <v>39532400</v>
      </c>
      <c r="B232" s="21">
        <f>SUM(B228:B231)</f>
        <v>41437400</v>
      </c>
      <c r="C232" s="21">
        <f>SUM(C228:C231)</f>
        <v>40322900</v>
      </c>
      <c r="D232" s="21">
        <f>SUM(D228:D231)</f>
        <v>50352800</v>
      </c>
      <c r="E232" s="260" t="s">
        <v>1504</v>
      </c>
      <c r="F232" s="75">
        <f t="shared" ref="F232:M232" si="252">SUM(F228:F231)</f>
        <v>47563300</v>
      </c>
      <c r="G232" s="220"/>
      <c r="H232" s="75">
        <f t="shared" si="252"/>
        <v>41529300</v>
      </c>
      <c r="I232" s="21">
        <f t="shared" si="252"/>
        <v>31281800</v>
      </c>
      <c r="J232" s="21">
        <f t="shared" si="252"/>
        <v>29262000</v>
      </c>
      <c r="K232" s="21">
        <f t="shared" si="252"/>
        <v>29740200</v>
      </c>
      <c r="L232" s="21">
        <f t="shared" si="252"/>
        <v>36209300</v>
      </c>
      <c r="M232" s="21">
        <f t="shared" si="252"/>
        <v>39511100</v>
      </c>
      <c r="N232" s="75">
        <f t="shared" ref="N232" si="253">SUM(N228:N231)</f>
        <v>43152700</v>
      </c>
      <c r="O232" s="21">
        <f t="shared" ref="O232" si="254">SUM(O228:O231)</f>
        <v>50894100</v>
      </c>
      <c r="P232" s="21">
        <f t="shared" ref="P232" si="255">SUM(P228:P231)</f>
        <v>56098300</v>
      </c>
      <c r="Q232" s="86">
        <f t="shared" ref="Q232" si="256">SUM(Q228:Q231)</f>
        <v>63832500</v>
      </c>
    </row>
    <row r="233" spans="1:17" s="2226" customFormat="1" ht="13.5" thickBot="1" x14ac:dyDescent="0.25">
      <c r="A233" s="2136"/>
      <c r="B233" s="592"/>
      <c r="C233" s="592"/>
      <c r="D233" s="592"/>
      <c r="E233" s="1776"/>
      <c r="F233" s="593"/>
      <c r="G233" s="751"/>
      <c r="H233" s="593"/>
      <c r="I233" s="592"/>
      <c r="J233" s="592"/>
      <c r="K233" s="208"/>
      <c r="L233" s="592"/>
      <c r="M233" s="593"/>
      <c r="N233" s="593"/>
      <c r="O233" s="592"/>
      <c r="P233" s="592"/>
      <c r="Q233" s="594"/>
    </row>
    <row r="234" spans="1:17" ht="14.25" thickTop="1" thickBot="1" x14ac:dyDescent="0.25"/>
    <row r="235" spans="1:17" s="1757" customFormat="1" ht="19.5" thickTop="1" thickBot="1" x14ac:dyDescent="0.3">
      <c r="A235" s="2573" t="s">
        <v>11971</v>
      </c>
      <c r="B235" s="2574"/>
      <c r="C235" s="2574"/>
      <c r="D235" s="2574"/>
      <c r="E235" s="2574"/>
      <c r="F235" s="2574"/>
      <c r="G235" s="2574"/>
      <c r="H235" s="2574"/>
      <c r="I235" s="2574"/>
      <c r="J235" s="2574"/>
      <c r="K235" s="2574"/>
      <c r="L235" s="2574"/>
      <c r="M235" s="2574"/>
      <c r="N235" s="2574"/>
      <c r="O235" s="2574"/>
      <c r="P235" s="2574"/>
      <c r="Q235" s="2575"/>
    </row>
    <row r="236" spans="1:17" x14ac:dyDescent="0.2">
      <c r="A236" s="2579" t="str">
        <f>$A$126</f>
        <v>ACTUAL</v>
      </c>
      <c r="B236" s="2580"/>
      <c r="C236" s="2580"/>
      <c r="D236" s="2581"/>
      <c r="E236" s="2434" t="str">
        <f>$E$126</f>
        <v>ITEM</v>
      </c>
      <c r="F236" s="2576" t="str">
        <f>F181</f>
        <v>ESTIMATED</v>
      </c>
      <c r="G236" s="2577"/>
      <c r="H236" s="2577"/>
      <c r="I236" s="2577"/>
      <c r="J236" s="2577"/>
      <c r="K236" s="2577"/>
      <c r="L236" s="2577"/>
      <c r="M236" s="2577"/>
      <c r="N236" s="2577"/>
      <c r="O236" s="2577"/>
      <c r="P236" s="2577"/>
      <c r="Q236" s="2578"/>
    </row>
    <row r="237" spans="1:17" ht="13.5" thickBot="1" x14ac:dyDescent="0.25">
      <c r="A237" s="1008" t="str">
        <f>'W&amp;W'!B3</f>
        <v>2013/14</v>
      </c>
      <c r="B237" s="28" t="str">
        <f>LTFP!B182</f>
        <v>2014/15</v>
      </c>
      <c r="C237" s="94" t="str">
        <f>LTFP!C182</f>
        <v>2015/16</v>
      </c>
      <c r="D237" s="94" t="str">
        <f>LTFP!D182</f>
        <v>2016/17</v>
      </c>
      <c r="E237" s="2435"/>
      <c r="F237" s="847" t="str">
        <f>LTFP!F182</f>
        <v>2017/18</v>
      </c>
      <c r="G237" s="1436" t="s">
        <v>492</v>
      </c>
      <c r="H237" s="2337" t="str">
        <f>LTFP!H182</f>
        <v>2018/19</v>
      </c>
      <c r="I237" s="44" t="str">
        <f>LTFP!I182</f>
        <v>2019/20</v>
      </c>
      <c r="J237" s="94" t="str">
        <f>LTFP!J182</f>
        <v>2020/21</v>
      </c>
      <c r="K237" s="1761" t="str">
        <f>LTFP!K182</f>
        <v>2021/22</v>
      </c>
      <c r="L237" s="94" t="str">
        <f>LTFP!L182</f>
        <v>2022/23</v>
      </c>
      <c r="M237" s="94" t="str">
        <f>LTFP!M182</f>
        <v>2023/24</v>
      </c>
      <c r="N237" s="94" t="str">
        <f>LTFP!N182</f>
        <v>2024/25</v>
      </c>
      <c r="O237" s="94" t="str">
        <f>LTFP!O182</f>
        <v>2025/26</v>
      </c>
      <c r="P237" s="94" t="str">
        <f>LTFP!P182</f>
        <v>2026/27</v>
      </c>
      <c r="Q237" s="1762" t="str">
        <f>LTFP!Q182</f>
        <v>2027/28</v>
      </c>
    </row>
    <row r="238" spans="1:17" x14ac:dyDescent="0.2">
      <c r="A238" s="54"/>
      <c r="B238" s="9"/>
      <c r="C238" s="9"/>
      <c r="D238" s="9"/>
      <c r="E238" s="9"/>
      <c r="F238" s="89"/>
      <c r="G238" s="79"/>
      <c r="H238" s="89"/>
      <c r="I238" s="9"/>
      <c r="J238" s="9"/>
      <c r="K238" s="9"/>
      <c r="L238" s="9"/>
      <c r="M238" s="89"/>
      <c r="N238" s="9"/>
      <c r="O238" s="9"/>
      <c r="P238" s="9"/>
      <c r="Q238" s="61"/>
    </row>
    <row r="239" spans="1:17" x14ac:dyDescent="0.2">
      <c r="A239" s="54"/>
      <c r="B239" s="9"/>
      <c r="C239" s="9"/>
      <c r="D239" s="9"/>
      <c r="E239" s="63" t="s">
        <v>2552</v>
      </c>
      <c r="F239" s="89"/>
      <c r="G239" s="79"/>
      <c r="H239" s="89"/>
      <c r="I239" s="9"/>
      <c r="J239" s="9"/>
      <c r="K239" s="9"/>
      <c r="L239" s="9"/>
      <c r="M239" s="89"/>
      <c r="N239" s="9"/>
      <c r="O239" s="9"/>
      <c r="P239" s="9"/>
      <c r="Q239" s="61"/>
    </row>
    <row r="240" spans="1:17" x14ac:dyDescent="0.2">
      <c r="A240" s="54"/>
      <c r="B240" s="9"/>
      <c r="C240" s="9"/>
      <c r="D240" s="9"/>
      <c r="E240" s="63"/>
      <c r="F240" s="89"/>
      <c r="G240" s="584"/>
      <c r="H240" s="89"/>
      <c r="I240" s="9"/>
      <c r="J240" s="9"/>
      <c r="K240" s="9"/>
      <c r="L240" s="9"/>
      <c r="M240" s="89"/>
      <c r="N240" s="9"/>
      <c r="O240" s="9"/>
      <c r="P240" s="9"/>
      <c r="Q240" s="61"/>
    </row>
    <row r="241" spans="1:17" x14ac:dyDescent="0.2">
      <c r="A241" s="54">
        <f>'Cash-W'!A6</f>
        <v>10689100</v>
      </c>
      <c r="B241" s="9">
        <f>'Cash-W'!B6</f>
        <v>10892500</v>
      </c>
      <c r="C241" s="9">
        <f>'Cash-W'!C6</f>
        <v>11199100</v>
      </c>
      <c r="D241" s="9">
        <f>'Cash-W'!D6</f>
        <v>12409800</v>
      </c>
      <c r="E241" s="634" t="s">
        <v>388</v>
      </c>
      <c r="F241" s="89">
        <f>'Cash-W'!G6</f>
        <v>11778400</v>
      </c>
      <c r="G241" s="584">
        <f>IF(D241=F241,0,IF(D241=0,100,(F241-D241)/D241*100))</f>
        <v>-5.0879143902399715</v>
      </c>
      <c r="H241" s="89">
        <f>'Cash-W'!H6</f>
        <v>12143700</v>
      </c>
      <c r="I241" s="9">
        <f>'Cash-W'!I6</f>
        <v>12332100</v>
      </c>
      <c r="J241" s="9">
        <f>'Cash-W'!J6</f>
        <v>12608400</v>
      </c>
      <c r="K241" s="9">
        <f>'Cash-W'!K6</f>
        <v>12999400</v>
      </c>
      <c r="L241" s="9">
        <f>'Cash-W'!L6</f>
        <v>13275300</v>
      </c>
      <c r="M241" s="89">
        <f>'Cash-W'!M6</f>
        <v>13601000</v>
      </c>
      <c r="N241" s="9">
        <f>'Cash-W'!N6</f>
        <v>13940900</v>
      </c>
      <c r="O241" s="9">
        <f>'Cash-W'!O6</f>
        <v>14301200</v>
      </c>
      <c r="P241" s="9">
        <f>'Cash-W'!P6</f>
        <v>14763100</v>
      </c>
      <c r="Q241" s="47">
        <f>'Cash-W'!Q6</f>
        <v>15245100</v>
      </c>
    </row>
    <row r="242" spans="1:17" ht="13.5" thickBot="1" x14ac:dyDescent="0.25">
      <c r="A242" s="54">
        <f>'Cash-W'!A7</f>
        <v>9141100</v>
      </c>
      <c r="B242" s="9">
        <f>'Cash-W'!B7</f>
        <v>9317700</v>
      </c>
      <c r="C242" s="9">
        <f>'Cash-W'!C7</f>
        <v>9313000</v>
      </c>
      <c r="D242" s="9">
        <f>'Cash-W'!D7</f>
        <v>9720700</v>
      </c>
      <c r="E242" s="634" t="s">
        <v>1097</v>
      </c>
      <c r="F242" s="89">
        <f>'Cash-W'!G7</f>
        <v>9845400</v>
      </c>
      <c r="G242" s="584">
        <f>IF(D242=F242,0,IF(D242=0,100,(F242-D242)/D242*100))</f>
        <v>1.2828294258643924</v>
      </c>
      <c r="H242" s="89">
        <f>'Cash-W'!H7</f>
        <v>10104400</v>
      </c>
      <c r="I242" s="9">
        <f>'Cash-W'!I7</f>
        <v>10307500</v>
      </c>
      <c r="J242" s="9">
        <f>'Cash-W'!J7</f>
        <v>10556200</v>
      </c>
      <c r="K242" s="9">
        <f>'Cash-W'!K7</f>
        <v>10870700</v>
      </c>
      <c r="L242" s="9">
        <f>'Cash-W'!L7</f>
        <v>11213700</v>
      </c>
      <c r="M242" s="89">
        <f>'Cash-W'!M7</f>
        <v>11480200</v>
      </c>
      <c r="N242" s="9">
        <f>'Cash-W'!N7</f>
        <v>11805400</v>
      </c>
      <c r="O242" s="9">
        <f>'Cash-W'!O7</f>
        <v>12139700</v>
      </c>
      <c r="P242" s="9">
        <f>'Cash-W'!P7</f>
        <v>12466500</v>
      </c>
      <c r="Q242" s="47">
        <f>'Cash-W'!Q7</f>
        <v>12761100</v>
      </c>
    </row>
    <row r="243" spans="1:17" s="65" customFormat="1" x14ac:dyDescent="0.2">
      <c r="A243" s="125">
        <f>A241-A242</f>
        <v>1548000</v>
      </c>
      <c r="B243" s="53">
        <f>B241-B242</f>
        <v>1574800</v>
      </c>
      <c r="C243" s="53">
        <f>C241-C242</f>
        <v>1886100</v>
      </c>
      <c r="D243" s="53">
        <f>D241-D242</f>
        <v>2689100</v>
      </c>
      <c r="E243" s="2431" t="s">
        <v>5353</v>
      </c>
      <c r="F243" s="105">
        <f t="shared" ref="F243:M243" si="257">F241-F242</f>
        <v>1933000</v>
      </c>
      <c r="G243" s="391">
        <f>IF(D243=F243,0,IF(D243=0,100,(F243-D243)/D243*100))</f>
        <v>-28.117213937748691</v>
      </c>
      <c r="H243" s="105">
        <f t="shared" si="257"/>
        <v>2039300</v>
      </c>
      <c r="I243" s="53">
        <f t="shared" si="257"/>
        <v>2024600</v>
      </c>
      <c r="J243" s="53">
        <f t="shared" si="257"/>
        <v>2052200</v>
      </c>
      <c r="K243" s="53">
        <f t="shared" si="257"/>
        <v>2128700</v>
      </c>
      <c r="L243" s="53">
        <f t="shared" si="257"/>
        <v>2061600</v>
      </c>
      <c r="M243" s="105">
        <f t="shared" si="257"/>
        <v>2120800</v>
      </c>
      <c r="N243" s="53">
        <f t="shared" ref="N243" si="258">N241-N242</f>
        <v>2135500</v>
      </c>
      <c r="O243" s="53">
        <f t="shared" ref="O243" si="259">O241-O242</f>
        <v>2161500</v>
      </c>
      <c r="P243" s="53">
        <f t="shared" ref="P243" si="260">P241-P242</f>
        <v>2296600</v>
      </c>
      <c r="Q243" s="2347">
        <f t="shared" ref="Q243" si="261">Q241-Q242</f>
        <v>2484000</v>
      </c>
    </row>
    <row r="244" spans="1:17" x14ac:dyDescent="0.2">
      <c r="A244" s="54"/>
      <c r="B244" s="9"/>
      <c r="C244" s="9"/>
      <c r="D244" s="9"/>
      <c r="E244" s="63"/>
      <c r="F244" s="89"/>
      <c r="G244" s="584"/>
      <c r="H244" s="89"/>
      <c r="I244" s="9"/>
      <c r="J244" s="9"/>
      <c r="K244" s="9"/>
      <c r="L244" s="9"/>
      <c r="M244" s="89"/>
      <c r="N244" s="9"/>
      <c r="O244" s="9"/>
      <c r="P244" s="9"/>
      <c r="Q244" s="47"/>
    </row>
    <row r="245" spans="1:17" x14ac:dyDescent="0.2">
      <c r="A245" s="54">
        <f>'Cash-W'!A10</f>
        <v>1859500</v>
      </c>
      <c r="B245" s="9">
        <f>'Cash-W'!B10</f>
        <v>1478700</v>
      </c>
      <c r="C245" s="9">
        <f>'Cash-W'!C10</f>
        <v>1498900</v>
      </c>
      <c r="D245" s="9">
        <f>'Cash-W'!D10</f>
        <v>1399600</v>
      </c>
      <c r="E245" s="634" t="s">
        <v>555</v>
      </c>
      <c r="F245" s="89">
        <f>'Cash-W'!G10</f>
        <v>1380000</v>
      </c>
      <c r="G245" s="584">
        <f>IF(D245=F245,0,IF(D245=0,100,(F245-D245)/D245*100))</f>
        <v>-1.4004001143183766</v>
      </c>
      <c r="H245" s="89">
        <f>'Cash-W'!H10</f>
        <v>1407600</v>
      </c>
      <c r="I245" s="9">
        <f>'Cash-W'!I10</f>
        <v>1435800</v>
      </c>
      <c r="J245" s="9">
        <f>'Cash-W'!J10</f>
        <v>1464600</v>
      </c>
      <c r="K245" s="9">
        <f>'Cash-W'!K10</f>
        <v>1493900</v>
      </c>
      <c r="L245" s="9">
        <f>'Cash-W'!L10</f>
        <v>1523800</v>
      </c>
      <c r="M245" s="89">
        <f>'Cash-W'!M10</f>
        <v>1554300</v>
      </c>
      <c r="N245" s="9">
        <f>'Cash-W'!N10</f>
        <v>1585400</v>
      </c>
      <c r="O245" s="9">
        <f>'Cash-W'!O10</f>
        <v>1617200</v>
      </c>
      <c r="P245" s="9">
        <f>'Cash-W'!P10</f>
        <v>1649600</v>
      </c>
      <c r="Q245" s="47">
        <f>'Cash-W'!Q10</f>
        <v>1682600</v>
      </c>
    </row>
    <row r="246" spans="1:17" x14ac:dyDescent="0.2">
      <c r="A246" s="54">
        <f>'Cash-W'!A11</f>
        <v>0</v>
      </c>
      <c r="B246" s="9">
        <f>'Cash-W'!B11</f>
        <v>0</v>
      </c>
      <c r="C246" s="9">
        <f>'Cash-W'!C11</f>
        <v>0</v>
      </c>
      <c r="D246" s="9">
        <f>'Cash-W'!D11</f>
        <v>0</v>
      </c>
      <c r="E246" s="634" t="s">
        <v>4151</v>
      </c>
      <c r="F246" s="89">
        <f>'Cash-W'!G11</f>
        <v>0</v>
      </c>
      <c r="G246" s="584">
        <f>IF(D246=F246,0,IF(D246=0,100,(F246-D246)/D246*100))</f>
        <v>0</v>
      </c>
      <c r="H246" s="89">
        <f>'Cash-W'!H11</f>
        <v>0</v>
      </c>
      <c r="I246" s="9">
        <f>'Cash-W'!I11</f>
        <v>0</v>
      </c>
      <c r="J246" s="9">
        <f>'Cash-W'!J11</f>
        <v>0</v>
      </c>
      <c r="K246" s="9">
        <f>'Cash-W'!K11</f>
        <v>0</v>
      </c>
      <c r="L246" s="9">
        <f>'Cash-W'!L11</f>
        <v>0</v>
      </c>
      <c r="M246" s="89">
        <f>'Cash-W'!M11</f>
        <v>0</v>
      </c>
      <c r="N246" s="9">
        <f>'Cash-W'!N11</f>
        <v>0</v>
      </c>
      <c r="O246" s="9">
        <f>'Cash-W'!O11</f>
        <v>0</v>
      </c>
      <c r="P246" s="9">
        <f>'Cash-W'!P11</f>
        <v>0</v>
      </c>
      <c r="Q246" s="47">
        <f>'Cash-W'!Q11</f>
        <v>0</v>
      </c>
    </row>
    <row r="247" spans="1:17" ht="13.5" thickBot="1" x14ac:dyDescent="0.25">
      <c r="A247" s="54">
        <f>'Cash-W'!A12</f>
        <v>111000</v>
      </c>
      <c r="B247" s="9">
        <f>'Cash-W'!B12</f>
        <v>20600</v>
      </c>
      <c r="C247" s="9">
        <f>'Cash-W'!C12</f>
        <v>38000</v>
      </c>
      <c r="D247" s="9">
        <f>'Cash-W'!D12</f>
        <v>0</v>
      </c>
      <c r="E247" s="634" t="s">
        <v>4453</v>
      </c>
      <c r="F247" s="89">
        <f>'Cash-W'!G12</f>
        <v>0</v>
      </c>
      <c r="G247" s="584">
        <f>IF(D247=F247,0,IF(D247=0,100,(F247-D247)/D247*100))</f>
        <v>0</v>
      </c>
      <c r="H247" s="9">
        <f>'Cash-W'!H12</f>
        <v>0</v>
      </c>
      <c r="I247" s="9">
        <f>'Cash-W'!I12</f>
        <v>0</v>
      </c>
      <c r="J247" s="9">
        <f>'Cash-W'!J12</f>
        <v>0</v>
      </c>
      <c r="K247" s="9">
        <f>'Cash-W'!K12</f>
        <v>0</v>
      </c>
      <c r="L247" s="9">
        <f>'Cash-W'!L12</f>
        <v>0</v>
      </c>
      <c r="M247" s="9">
        <f>'Cash-W'!M12</f>
        <v>0</v>
      </c>
      <c r="N247" s="9">
        <f>'Cash-W'!N12</f>
        <v>0</v>
      </c>
      <c r="O247" s="9">
        <f>'Cash-W'!O12</f>
        <v>0</v>
      </c>
      <c r="P247" s="9">
        <f>'Cash-W'!P12</f>
        <v>0</v>
      </c>
      <c r="Q247" s="47">
        <f>'Cash-W'!Q12</f>
        <v>0</v>
      </c>
    </row>
    <row r="248" spans="1:17" s="65" customFormat="1" x14ac:dyDescent="0.2">
      <c r="A248" s="125">
        <f>A243-A245-A247</f>
        <v>-422500</v>
      </c>
      <c r="B248" s="53">
        <f>B243-B245-B247</f>
        <v>75500</v>
      </c>
      <c r="C248" s="53">
        <f>C243-C245-C247</f>
        <v>349200</v>
      </c>
      <c r="D248" s="53">
        <f>D243-D245-D247</f>
        <v>1289500</v>
      </c>
      <c r="E248" s="2432" t="s">
        <v>6828</v>
      </c>
      <c r="F248" s="105">
        <f t="shared" ref="F248:N248" si="262">F243-F245-F247</f>
        <v>553000</v>
      </c>
      <c r="G248" s="391">
        <f>IF(D248=F248,0,IF(D248=0,100,(F248-D248)/D248*100))</f>
        <v>-57.115160915083365</v>
      </c>
      <c r="H248" s="105">
        <f t="shared" si="262"/>
        <v>631700</v>
      </c>
      <c r="I248" s="53">
        <f t="shared" si="262"/>
        <v>588800</v>
      </c>
      <c r="J248" s="53">
        <f t="shared" si="262"/>
        <v>587600</v>
      </c>
      <c r="K248" s="53">
        <f t="shared" si="262"/>
        <v>634800</v>
      </c>
      <c r="L248" s="53">
        <f t="shared" si="262"/>
        <v>537800</v>
      </c>
      <c r="M248" s="105">
        <f t="shared" si="262"/>
        <v>566500</v>
      </c>
      <c r="N248" s="53">
        <f t="shared" si="262"/>
        <v>550100</v>
      </c>
      <c r="O248" s="53">
        <f t="shared" ref="O248" si="263">O243-O245-O247</f>
        <v>544300</v>
      </c>
      <c r="P248" s="53">
        <f t="shared" ref="P248" si="264">P243-P245-P247</f>
        <v>647000</v>
      </c>
      <c r="Q248" s="2347">
        <f t="shared" ref="Q248" si="265">Q243-Q245-Q247</f>
        <v>801400</v>
      </c>
    </row>
    <row r="249" spans="1:17" x14ac:dyDescent="0.2">
      <c r="A249" s="54"/>
      <c r="B249" s="9"/>
      <c r="C249" s="9"/>
      <c r="D249" s="9"/>
      <c r="E249" s="63"/>
      <c r="F249" s="89"/>
      <c r="G249" s="584"/>
      <c r="H249" s="89"/>
      <c r="I249" s="9"/>
      <c r="J249" s="9"/>
      <c r="K249" s="9"/>
      <c r="L249" s="9"/>
      <c r="M249" s="89"/>
      <c r="N249" s="9"/>
      <c r="O249" s="9"/>
      <c r="P249" s="9"/>
      <c r="Q249" s="47"/>
    </row>
    <row r="250" spans="1:17" x14ac:dyDescent="0.2">
      <c r="A250" s="54"/>
      <c r="B250" s="9"/>
      <c r="C250" s="9"/>
      <c r="D250" s="9"/>
      <c r="E250" s="63" t="s">
        <v>1432</v>
      </c>
      <c r="F250" s="89"/>
      <c r="G250" s="584"/>
      <c r="H250" s="89"/>
      <c r="I250" s="9"/>
      <c r="J250" s="9"/>
      <c r="K250" s="9"/>
      <c r="L250" s="9"/>
      <c r="M250" s="89"/>
      <c r="N250" s="9"/>
      <c r="O250" s="9"/>
      <c r="P250" s="9"/>
      <c r="Q250" s="47"/>
    </row>
    <row r="251" spans="1:17" x14ac:dyDescent="0.2">
      <c r="A251" s="54">
        <f>'Cash-W'!A17</f>
        <v>368600</v>
      </c>
      <c r="B251" s="9">
        <f>'Cash-W'!B17</f>
        <v>336400</v>
      </c>
      <c r="C251" s="9">
        <f>'Cash-W'!C17</f>
        <v>0</v>
      </c>
      <c r="D251" s="9">
        <f>'Cash-W'!D17</f>
        <v>0</v>
      </c>
      <c r="E251" s="1190" t="s">
        <v>2668</v>
      </c>
      <c r="F251" s="89">
        <f>'Cash-W'!G17</f>
        <v>0</v>
      </c>
      <c r="G251" s="584">
        <f>IF(D251=F251,0,IF(D251=0,100,(F251-D251)/D251*100))</f>
        <v>0</v>
      </c>
      <c r="H251" s="89">
        <f>'Cash-W'!H17</f>
        <v>0</v>
      </c>
      <c r="I251" s="9">
        <f>'Cash-W'!I17</f>
        <v>0</v>
      </c>
      <c r="J251" s="9">
        <f>'Cash-W'!J17</f>
        <v>0</v>
      </c>
      <c r="K251" s="9">
        <f>'Cash-W'!K17</f>
        <v>0</v>
      </c>
      <c r="L251" s="9">
        <f>'Cash-W'!L17</f>
        <v>0</v>
      </c>
      <c r="M251" s="89">
        <f>'Cash-W'!M17</f>
        <v>0</v>
      </c>
      <c r="N251" s="9">
        <f>'Cash-W'!N17</f>
        <v>0</v>
      </c>
      <c r="O251" s="9">
        <f>'Cash-W'!O17</f>
        <v>0</v>
      </c>
      <c r="P251" s="9">
        <f>'Cash-W'!P17</f>
        <v>0</v>
      </c>
      <c r="Q251" s="47">
        <f>'Cash-W'!Q17</f>
        <v>0</v>
      </c>
    </row>
    <row r="252" spans="1:17" x14ac:dyDescent="0.2">
      <c r="A252" s="54">
        <f>'Cash-W'!A18</f>
        <v>430400</v>
      </c>
      <c r="B252" s="9">
        <f>'Cash-W'!B18</f>
        <v>454900</v>
      </c>
      <c r="C252" s="9">
        <f>'Cash-W'!C18</f>
        <v>837900</v>
      </c>
      <c r="D252" s="9">
        <f>'Cash-W'!D18</f>
        <v>469100</v>
      </c>
      <c r="E252" s="9" t="s">
        <v>328</v>
      </c>
      <c r="F252" s="89">
        <f>'Cash-W'!G18</f>
        <v>575000</v>
      </c>
      <c r="G252" s="584">
        <f>IF(D252=F252,0,IF(D252=0,100,(F252-D252)/D252*100))</f>
        <v>22.57514389256022</v>
      </c>
      <c r="H252" s="89">
        <f>'Cash-W'!H18</f>
        <v>600000</v>
      </c>
      <c r="I252" s="9">
        <f>'Cash-W'!I18</f>
        <v>620000</v>
      </c>
      <c r="J252" s="9">
        <f>'Cash-W'!J18</f>
        <v>640000</v>
      </c>
      <c r="K252" s="9">
        <f>'Cash-W'!K18</f>
        <v>660000</v>
      </c>
      <c r="L252" s="9">
        <f>'Cash-W'!L18</f>
        <v>680000</v>
      </c>
      <c r="M252" s="89">
        <f>'Cash-W'!M18</f>
        <v>700000</v>
      </c>
      <c r="N252" s="9">
        <f>'Cash-W'!N18</f>
        <v>720000</v>
      </c>
      <c r="O252" s="9">
        <f>'Cash-W'!O18</f>
        <v>740000</v>
      </c>
      <c r="P252" s="9">
        <f>'Cash-W'!P18</f>
        <v>760000</v>
      </c>
      <c r="Q252" s="47">
        <f>'Cash-W'!Q18</f>
        <v>780000</v>
      </c>
    </row>
    <row r="253" spans="1:17" x14ac:dyDescent="0.2">
      <c r="A253" s="54"/>
      <c r="B253" s="9"/>
      <c r="C253" s="9"/>
      <c r="D253" s="9"/>
      <c r="E253" s="9"/>
      <c r="F253" s="89"/>
      <c r="G253" s="584"/>
      <c r="H253" s="89"/>
      <c r="I253" s="9"/>
      <c r="J253" s="9"/>
      <c r="K253" s="9"/>
      <c r="L253" s="9"/>
      <c r="M253" s="89"/>
      <c r="N253" s="9"/>
      <c r="O253" s="9"/>
      <c r="P253" s="9"/>
      <c r="Q253" s="47"/>
    </row>
    <row r="254" spans="1:17" x14ac:dyDescent="0.2">
      <c r="A254" s="54"/>
      <c r="B254" s="9"/>
      <c r="C254" s="9"/>
      <c r="D254" s="9"/>
      <c r="E254" s="63" t="s">
        <v>690</v>
      </c>
      <c r="F254" s="89"/>
      <c r="G254" s="584"/>
      <c r="H254" s="89"/>
      <c r="I254" s="9"/>
      <c r="J254" s="9"/>
      <c r="K254" s="9"/>
      <c r="L254" s="9"/>
      <c r="M254" s="89"/>
      <c r="N254" s="9"/>
      <c r="O254" s="9"/>
      <c r="P254" s="9"/>
      <c r="Q254" s="47"/>
    </row>
    <row r="255" spans="1:17" x14ac:dyDescent="0.2">
      <c r="A255" s="54">
        <f>'Cash-W'!A37</f>
        <v>0</v>
      </c>
      <c r="B255" s="9">
        <f>'Cash-W'!B37</f>
        <v>0</v>
      </c>
      <c r="C255" s="9">
        <f>'Cash-W'!C37</f>
        <v>0</v>
      </c>
      <c r="D255" s="9">
        <f>'Cash-W'!D37</f>
        <v>0</v>
      </c>
      <c r="E255" s="79" t="s">
        <v>2160</v>
      </c>
      <c r="F255" s="89">
        <f>'Cash-W'!G37</f>
        <v>0</v>
      </c>
      <c r="G255" s="584">
        <f>IF(D255=F255,0,IF(D255=0,100,(F255-D255)/D255*100))</f>
        <v>0</v>
      </c>
      <c r="H255" s="89">
        <f>'Cash-W'!H37</f>
        <v>0</v>
      </c>
      <c r="I255" s="9">
        <f>'Cash-W'!I37</f>
        <v>0</v>
      </c>
      <c r="J255" s="9">
        <f>'Cash-W'!J37</f>
        <v>0</v>
      </c>
      <c r="K255" s="9">
        <f>'Cash-W'!K37</f>
        <v>0</v>
      </c>
      <c r="L255" s="9">
        <f>'Cash-W'!L37</f>
        <v>0</v>
      </c>
      <c r="M255" s="89">
        <f>'Cash-W'!M37</f>
        <v>0</v>
      </c>
      <c r="N255" s="9">
        <f>'Cash-W'!N37</f>
        <v>0</v>
      </c>
      <c r="O255" s="9">
        <f>'Cash-W'!O37</f>
        <v>0</v>
      </c>
      <c r="P255" s="9">
        <f>'Cash-W'!P37</f>
        <v>0</v>
      </c>
      <c r="Q255" s="47">
        <f>'Cash-W'!Q37</f>
        <v>0</v>
      </c>
    </row>
    <row r="256" spans="1:17" x14ac:dyDescent="0.2">
      <c r="A256" s="54">
        <f>'Cash-W'!A34</f>
        <v>137600</v>
      </c>
      <c r="B256" s="9">
        <f>'Cash-W'!B34</f>
        <v>136200</v>
      </c>
      <c r="C256" s="9">
        <f>'Cash-W'!C34</f>
        <v>23000</v>
      </c>
      <c r="D256" s="9">
        <f>'Cash-W'!D34</f>
        <v>100000</v>
      </c>
      <c r="E256" s="79" t="s">
        <v>3546</v>
      </c>
      <c r="F256" s="89">
        <f>'Cash-W'!G34</f>
        <v>0</v>
      </c>
      <c r="G256" s="584">
        <f>IF(D256=F256,0,IF(D256=0,100,(F256-D256)/D256*100))</f>
        <v>-100</v>
      </c>
      <c r="H256" s="89">
        <f>'Cash-W'!H34</f>
        <v>0</v>
      </c>
      <c r="I256" s="9">
        <f>'Cash-W'!I34</f>
        <v>0</v>
      </c>
      <c r="J256" s="9">
        <f>'Cash-W'!J34</f>
        <v>0</v>
      </c>
      <c r="K256" s="9">
        <f>'Cash-W'!K34</f>
        <v>0</v>
      </c>
      <c r="L256" s="9">
        <f>'Cash-W'!L34</f>
        <v>0</v>
      </c>
      <c r="M256" s="89">
        <f>'Cash-W'!M34</f>
        <v>0</v>
      </c>
      <c r="N256" s="9">
        <f>'Cash-W'!N34</f>
        <v>0</v>
      </c>
      <c r="O256" s="9">
        <f>'Cash-W'!O34</f>
        <v>0</v>
      </c>
      <c r="P256" s="9">
        <f>'Cash-W'!P34</f>
        <v>0</v>
      </c>
      <c r="Q256" s="47">
        <f>'Cash-W'!Q34</f>
        <v>0</v>
      </c>
    </row>
    <row r="257" spans="1:17" x14ac:dyDescent="0.2">
      <c r="A257" s="54"/>
      <c r="B257" s="9"/>
      <c r="C257" s="9"/>
      <c r="D257" s="9"/>
      <c r="E257" s="63"/>
      <c r="F257" s="89"/>
      <c r="G257" s="584"/>
      <c r="H257" s="89"/>
      <c r="I257" s="9"/>
      <c r="J257" s="9"/>
      <c r="K257" s="9"/>
      <c r="L257" s="9"/>
      <c r="M257" s="89"/>
      <c r="N257" s="9"/>
      <c r="O257" s="9"/>
      <c r="P257" s="9"/>
      <c r="Q257" s="47"/>
    </row>
    <row r="258" spans="1:17" x14ac:dyDescent="0.2">
      <c r="A258" s="54"/>
      <c r="B258" s="9"/>
      <c r="C258" s="9"/>
      <c r="D258" s="9"/>
      <c r="E258" s="63" t="s">
        <v>2853</v>
      </c>
      <c r="F258" s="89"/>
      <c r="G258" s="584"/>
      <c r="H258" s="89"/>
      <c r="I258" s="9"/>
      <c r="J258" s="9"/>
      <c r="K258" s="9"/>
      <c r="L258" s="9"/>
      <c r="M258" s="89"/>
      <c r="N258" s="9"/>
      <c r="O258" s="9"/>
      <c r="P258" s="9"/>
      <c r="Q258" s="47"/>
    </row>
    <row r="259" spans="1:17" x14ac:dyDescent="0.2">
      <c r="A259" s="54">
        <f>'Cash-W'!A40</f>
        <v>-1827100</v>
      </c>
      <c r="B259" s="9">
        <f>'Cash-W'!B40</f>
        <v>-2821700</v>
      </c>
      <c r="C259" s="9">
        <f>'Cash-W'!C40</f>
        <v>-1427000</v>
      </c>
      <c r="D259" s="9">
        <f>'Cash-W'!D40</f>
        <v>-1131500</v>
      </c>
      <c r="E259" s="79" t="s">
        <v>1865</v>
      </c>
      <c r="F259" s="89">
        <f>'Cash-W'!G40</f>
        <v>-4000700</v>
      </c>
      <c r="G259" s="584">
        <f>IF(D259=F259,0,IF(D259=0,100,(F259-D259)/D259*100))</f>
        <v>253.57490057445867</v>
      </c>
      <c r="H259" s="89">
        <f>'Cash-W'!H40</f>
        <v>-5018000</v>
      </c>
      <c r="I259" s="9">
        <f>'Cash-W'!I40</f>
        <v>-3400000</v>
      </c>
      <c r="J259" s="9">
        <f>'Cash-W'!J40</f>
        <v>-1990100</v>
      </c>
      <c r="K259" s="9">
        <f>'Cash-W'!K40</f>
        <v>-5836000</v>
      </c>
      <c r="L259" s="9">
        <f>'Cash-W'!L40</f>
        <v>-4662000</v>
      </c>
      <c r="M259" s="9">
        <f>'Cash-W'!M40</f>
        <v>-4630800</v>
      </c>
      <c r="N259" s="9">
        <f>'Cash-W'!N40</f>
        <v>-4377000</v>
      </c>
      <c r="O259" s="9">
        <f>'Cash-W'!O40</f>
        <v>-1791600</v>
      </c>
      <c r="P259" s="9">
        <f>'Cash-W'!P40</f>
        <v>-1751000</v>
      </c>
      <c r="Q259" s="47">
        <f>'Cash-W'!Q40</f>
        <v>0</v>
      </c>
    </row>
    <row r="260" spans="1:17" x14ac:dyDescent="0.2">
      <c r="A260" s="54">
        <f>-A256</f>
        <v>-137600</v>
      </c>
      <c r="B260" s="9">
        <f>-B256</f>
        <v>-136200</v>
      </c>
      <c r="C260" s="9">
        <f>-C256</f>
        <v>-23000</v>
      </c>
      <c r="D260" s="9">
        <f>-D256</f>
        <v>-100000</v>
      </c>
      <c r="E260" s="79" t="s">
        <v>3547</v>
      </c>
      <c r="F260" s="89">
        <f>'Cash-W'!G41</f>
        <v>0</v>
      </c>
      <c r="G260" s="584">
        <f>IF(D260=F260,0,IF(D260=0,100,(F260-D260)/D260*100))</f>
        <v>-100</v>
      </c>
      <c r="H260" s="89">
        <f>'Cash-W'!H41</f>
        <v>0</v>
      </c>
      <c r="I260" s="9">
        <f>'Cash-W'!I41</f>
        <v>0</v>
      </c>
      <c r="J260" s="9">
        <f>'Cash-W'!J41</f>
        <v>0</v>
      </c>
      <c r="K260" s="9">
        <f>'Cash-W'!K41</f>
        <v>0</v>
      </c>
      <c r="L260" s="9">
        <f>'Cash-W'!L41</f>
        <v>0</v>
      </c>
      <c r="M260" s="89">
        <f>'Cash-W'!M41</f>
        <v>0</v>
      </c>
      <c r="N260" s="9">
        <f>'Cash-W'!N41</f>
        <v>0</v>
      </c>
      <c r="O260" s="9">
        <f>'Cash-W'!O41</f>
        <v>0</v>
      </c>
      <c r="P260" s="9">
        <f>'Cash-W'!P41</f>
        <v>0</v>
      </c>
      <c r="Q260" s="47">
        <f>'Cash-W'!Q41</f>
        <v>0</v>
      </c>
    </row>
    <row r="261" spans="1:17" x14ac:dyDescent="0.2">
      <c r="A261" s="54">
        <f>'Cash-W'!A41</f>
        <v>0</v>
      </c>
      <c r="B261" s="97">
        <f>'Cash-W'!B41</f>
        <v>0</v>
      </c>
      <c r="C261" s="9">
        <f>'Cash-W'!C41</f>
        <v>0</v>
      </c>
      <c r="D261" s="9">
        <f>'Cash-W'!D41</f>
        <v>0</v>
      </c>
      <c r="E261" s="1190" t="s">
        <v>1400</v>
      </c>
      <c r="F261" s="89">
        <f>'Cash-W'!G41</f>
        <v>0</v>
      </c>
      <c r="G261" s="584">
        <f>IF(D261=F261,0,IF(D261=0,100,(F261-D261)/D261*100))</f>
        <v>0</v>
      </c>
      <c r="H261" s="89">
        <f>'Cash-W'!H41</f>
        <v>0</v>
      </c>
      <c r="I261" s="9">
        <f>'Cash-W'!I41</f>
        <v>0</v>
      </c>
      <c r="J261" s="9">
        <f>'Cash-W'!J41</f>
        <v>0</v>
      </c>
      <c r="K261" s="9">
        <f>'Cash-W'!K41</f>
        <v>0</v>
      </c>
      <c r="L261" s="9">
        <f>'Cash-W'!L41</f>
        <v>0</v>
      </c>
      <c r="M261" s="89">
        <f>'Cash-W'!M41</f>
        <v>0</v>
      </c>
      <c r="N261" s="9">
        <f>'Cash-W'!N41</f>
        <v>0</v>
      </c>
      <c r="O261" s="9">
        <f>'Cash-W'!O41</f>
        <v>0</v>
      </c>
      <c r="P261" s="9">
        <f>'Cash-W'!P41</f>
        <v>0</v>
      </c>
      <c r="Q261" s="47">
        <f>'Cash-W'!Q41</f>
        <v>0</v>
      </c>
    </row>
    <row r="262" spans="1:17" x14ac:dyDescent="0.2">
      <c r="A262" s="54"/>
      <c r="B262" s="9"/>
      <c r="C262" s="9"/>
      <c r="D262" s="9"/>
      <c r="E262" s="9"/>
      <c r="F262" s="89"/>
      <c r="G262" s="584"/>
      <c r="H262" s="89"/>
      <c r="I262" s="9"/>
      <c r="J262" s="9"/>
      <c r="K262" s="46"/>
      <c r="L262" s="9"/>
      <c r="M262" s="89"/>
      <c r="N262" s="9"/>
      <c r="O262" s="9"/>
      <c r="P262" s="9"/>
      <c r="Q262" s="47"/>
    </row>
    <row r="263" spans="1:17" x14ac:dyDescent="0.2">
      <c r="A263" s="54"/>
      <c r="B263" s="9"/>
      <c r="C263" s="9"/>
      <c r="D263" s="9"/>
      <c r="E263" s="63" t="s">
        <v>4613</v>
      </c>
      <c r="F263" s="89"/>
      <c r="G263" s="584"/>
      <c r="H263" s="89"/>
      <c r="I263" s="9"/>
      <c r="J263" s="9"/>
      <c r="K263" s="46"/>
      <c r="L263" s="9"/>
      <c r="M263" s="89"/>
      <c r="N263" s="9"/>
      <c r="O263" s="9"/>
      <c r="P263" s="9"/>
      <c r="Q263" s="47"/>
    </row>
    <row r="264" spans="1:17" x14ac:dyDescent="0.2">
      <c r="A264" s="54">
        <f>'Cash-W'!A35</f>
        <v>0</v>
      </c>
      <c r="B264" s="9">
        <v>264500</v>
      </c>
      <c r="C264" s="9">
        <f>'Cash-W'!C35</f>
        <v>0</v>
      </c>
      <c r="D264" s="9">
        <f>'Cash-W'!D35</f>
        <v>0</v>
      </c>
      <c r="E264" s="634" t="s">
        <v>4656</v>
      </c>
      <c r="F264" s="89">
        <f>'Cash-W'!G35</f>
        <v>0</v>
      </c>
      <c r="G264" s="584">
        <f>IF(D264=F264,0,IF(D264=0,100,(F264-D264)/D264*100))</f>
        <v>0</v>
      </c>
      <c r="H264" s="9">
        <f>'Cash-W'!H35</f>
        <v>0</v>
      </c>
      <c r="I264" s="9">
        <f>'Cash-W'!I35</f>
        <v>0</v>
      </c>
      <c r="J264" s="9">
        <f>'Cash-W'!J35</f>
        <v>0</v>
      </c>
      <c r="K264" s="9">
        <f>'Cash-W'!K35</f>
        <v>0</v>
      </c>
      <c r="L264" s="9">
        <f>'Cash-W'!L35</f>
        <v>0</v>
      </c>
      <c r="M264" s="9">
        <f>'Cash-W'!M35</f>
        <v>0</v>
      </c>
      <c r="N264" s="9">
        <f>'Cash-W'!N35</f>
        <v>0</v>
      </c>
      <c r="O264" s="9">
        <f>'Cash-W'!O35</f>
        <v>0</v>
      </c>
      <c r="P264" s="9">
        <f>'Cash-W'!P35</f>
        <v>0</v>
      </c>
      <c r="Q264" s="47">
        <f>'Cash-W'!Q35</f>
        <v>0</v>
      </c>
    </row>
    <row r="265" spans="1:17" x14ac:dyDescent="0.2">
      <c r="A265" s="54"/>
      <c r="B265" s="97"/>
      <c r="C265" s="9"/>
      <c r="D265" s="9"/>
      <c r="E265" s="9"/>
      <c r="F265" s="89"/>
      <c r="G265" s="584"/>
      <c r="H265" s="9"/>
      <c r="I265" s="9"/>
      <c r="J265" s="46"/>
      <c r="K265" s="9"/>
      <c r="L265" s="89"/>
      <c r="M265" s="89"/>
      <c r="N265" s="9"/>
      <c r="O265" s="9"/>
      <c r="P265" s="9"/>
      <c r="Q265" s="47"/>
    </row>
    <row r="266" spans="1:17" x14ac:dyDescent="0.2">
      <c r="A266" s="54"/>
      <c r="B266" s="97"/>
      <c r="C266" s="9"/>
      <c r="D266" s="9"/>
      <c r="E266" s="63" t="s">
        <v>1575</v>
      </c>
      <c r="F266" s="89"/>
      <c r="G266" s="584"/>
      <c r="H266" s="9"/>
      <c r="I266" s="9"/>
      <c r="J266" s="46"/>
      <c r="K266" s="9"/>
      <c r="L266" s="89"/>
      <c r="M266" s="89"/>
      <c r="N266" s="9"/>
      <c r="O266" s="9"/>
      <c r="P266" s="9"/>
      <c r="Q266" s="47"/>
    </row>
    <row r="267" spans="1:17" x14ac:dyDescent="0.2">
      <c r="A267" s="54">
        <f t="shared" ref="A267:B269" si="266">A245</f>
        <v>1859500</v>
      </c>
      <c r="B267" s="97">
        <f t="shared" si="266"/>
        <v>1478700</v>
      </c>
      <c r="C267" s="9">
        <f t="shared" ref="C267:C269" si="267">C245</f>
        <v>1498900</v>
      </c>
      <c r="D267" s="9">
        <f t="shared" ref="D267" si="268">D245</f>
        <v>1399600</v>
      </c>
      <c r="E267" s="257" t="s">
        <v>2035</v>
      </c>
      <c r="F267" s="89">
        <f t="shared" ref="F267:O267" si="269">F245</f>
        <v>1380000</v>
      </c>
      <c r="G267" s="584">
        <f>IF(D267=F267,0,IF(D267=0,100,(F267-D267)/D267*100))</f>
        <v>-1.4004001143183766</v>
      </c>
      <c r="H267" s="9">
        <f t="shared" si="269"/>
        <v>1407600</v>
      </c>
      <c r="I267" s="9">
        <f t="shared" si="269"/>
        <v>1435800</v>
      </c>
      <c r="J267" s="46">
        <f t="shared" si="269"/>
        <v>1464600</v>
      </c>
      <c r="K267" s="9">
        <f t="shared" si="269"/>
        <v>1493900</v>
      </c>
      <c r="L267" s="89">
        <f t="shared" si="269"/>
        <v>1523800</v>
      </c>
      <c r="M267" s="89">
        <f t="shared" si="269"/>
        <v>1554300</v>
      </c>
      <c r="N267" s="9">
        <f t="shared" si="269"/>
        <v>1585400</v>
      </c>
      <c r="O267" s="9">
        <f t="shared" si="269"/>
        <v>1617200</v>
      </c>
      <c r="P267" s="9">
        <f t="shared" ref="P267" si="270">P245</f>
        <v>1649600</v>
      </c>
      <c r="Q267" s="47">
        <f t="shared" ref="Q267" si="271">Q245</f>
        <v>1682600</v>
      </c>
    </row>
    <row r="268" spans="1:17" x14ac:dyDescent="0.2">
      <c r="A268" s="54">
        <f t="shared" si="266"/>
        <v>0</v>
      </c>
      <c r="B268" s="97">
        <f t="shared" si="266"/>
        <v>0</v>
      </c>
      <c r="C268" s="9">
        <f t="shared" si="267"/>
        <v>0</v>
      </c>
      <c r="D268" s="9">
        <f t="shared" ref="D268" si="272">D246</f>
        <v>0</v>
      </c>
      <c r="E268" s="634" t="s">
        <v>1229</v>
      </c>
      <c r="F268" s="89">
        <f t="shared" ref="F268:O268" si="273">F246</f>
        <v>0</v>
      </c>
      <c r="G268" s="584">
        <f>IF(D268=F268,0,IF(D268=0,100,(F268-D268)/D268*100))</f>
        <v>0</v>
      </c>
      <c r="H268" s="9">
        <f t="shared" si="273"/>
        <v>0</v>
      </c>
      <c r="I268" s="9">
        <f t="shared" si="273"/>
        <v>0</v>
      </c>
      <c r="J268" s="46">
        <f t="shared" si="273"/>
        <v>0</v>
      </c>
      <c r="K268" s="9">
        <f t="shared" si="273"/>
        <v>0</v>
      </c>
      <c r="L268" s="89">
        <f t="shared" si="273"/>
        <v>0</v>
      </c>
      <c r="M268" s="89">
        <f t="shared" si="273"/>
        <v>0</v>
      </c>
      <c r="N268" s="9">
        <f t="shared" si="273"/>
        <v>0</v>
      </c>
      <c r="O268" s="9">
        <f t="shared" si="273"/>
        <v>0</v>
      </c>
      <c r="P268" s="9">
        <f t="shared" ref="P268" si="274">P246</f>
        <v>0</v>
      </c>
      <c r="Q268" s="47">
        <f t="shared" ref="Q268" si="275">Q246</f>
        <v>0</v>
      </c>
    </row>
    <row r="269" spans="1:17" x14ac:dyDescent="0.2">
      <c r="A269" s="54">
        <f t="shared" si="266"/>
        <v>111000</v>
      </c>
      <c r="B269" s="97">
        <f t="shared" si="266"/>
        <v>20600</v>
      </c>
      <c r="C269" s="9">
        <f t="shared" si="267"/>
        <v>38000</v>
      </c>
      <c r="D269" s="9">
        <f t="shared" ref="D269" si="276">D247</f>
        <v>0</v>
      </c>
      <c r="E269" s="634" t="s">
        <v>4448</v>
      </c>
      <c r="F269" s="89">
        <f t="shared" ref="F269:O269" si="277">F247</f>
        <v>0</v>
      </c>
      <c r="G269" s="584">
        <f>IF(D269=F269,0,IF(D269=0,100,(F269-D269)/D269*100))</f>
        <v>0</v>
      </c>
      <c r="H269" s="89">
        <f t="shared" si="277"/>
        <v>0</v>
      </c>
      <c r="I269" s="9">
        <f t="shared" si="277"/>
        <v>0</v>
      </c>
      <c r="J269" s="9">
        <f t="shared" si="277"/>
        <v>0</v>
      </c>
      <c r="K269" s="46">
        <f t="shared" si="277"/>
        <v>0</v>
      </c>
      <c r="L269" s="9">
        <f t="shared" si="277"/>
        <v>0</v>
      </c>
      <c r="M269" s="89">
        <f t="shared" si="277"/>
        <v>0</v>
      </c>
      <c r="N269" s="9">
        <f t="shared" si="277"/>
        <v>0</v>
      </c>
      <c r="O269" s="9">
        <f t="shared" si="277"/>
        <v>0</v>
      </c>
      <c r="P269" s="9">
        <f t="shared" ref="P269" si="278">P247</f>
        <v>0</v>
      </c>
      <c r="Q269" s="47">
        <f t="shared" ref="Q269" si="279">Q247</f>
        <v>0</v>
      </c>
    </row>
    <row r="270" spans="1:17" ht="13.5" thickBot="1" x14ac:dyDescent="0.25">
      <c r="A270" s="54"/>
      <c r="B270" s="97"/>
      <c r="C270" s="9"/>
      <c r="D270" s="9"/>
      <c r="E270" s="422"/>
      <c r="F270" s="89"/>
      <c r="G270" s="584"/>
      <c r="H270" s="89"/>
      <c r="I270" s="9"/>
      <c r="J270" s="9"/>
      <c r="K270" s="9"/>
      <c r="L270" s="9"/>
      <c r="M270" s="89"/>
      <c r="N270" s="9"/>
      <c r="O270" s="9"/>
      <c r="P270" s="9"/>
      <c r="Q270" s="47"/>
    </row>
    <row r="271" spans="1:17" s="65" customFormat="1" x14ac:dyDescent="0.2">
      <c r="A271" s="2131">
        <f>SUM(A248:A270)</f>
        <v>519900</v>
      </c>
      <c r="B271" s="2137">
        <f>SUM(B248:B270)</f>
        <v>-191100</v>
      </c>
      <c r="C271" s="2132">
        <f>SUM(C248:C270)</f>
        <v>1297000</v>
      </c>
      <c r="D271" s="53">
        <f>SUM(D248:D270)</f>
        <v>2026700</v>
      </c>
      <c r="E271" s="2436" t="s">
        <v>849</v>
      </c>
      <c r="F271" s="105">
        <f t="shared" ref="F271:O271" si="280">SUM(F248:F270)</f>
        <v>-1492700</v>
      </c>
      <c r="G271" s="2133">
        <f>IF(D271=F271,0,IF(D271=0,100,(F271-D271)/D271*100))</f>
        <v>-173.65174914886268</v>
      </c>
      <c r="H271" s="105">
        <f t="shared" si="280"/>
        <v>-2378700</v>
      </c>
      <c r="I271" s="53">
        <f t="shared" si="280"/>
        <v>-755400</v>
      </c>
      <c r="J271" s="53">
        <f t="shared" si="280"/>
        <v>702100</v>
      </c>
      <c r="K271" s="53">
        <f t="shared" si="280"/>
        <v>-3047300</v>
      </c>
      <c r="L271" s="53">
        <f t="shared" si="280"/>
        <v>-1920400</v>
      </c>
      <c r="M271" s="105">
        <f t="shared" si="280"/>
        <v>-1810000</v>
      </c>
      <c r="N271" s="53">
        <f t="shared" si="280"/>
        <v>-1521500</v>
      </c>
      <c r="O271" s="53">
        <f t="shared" si="280"/>
        <v>1109900</v>
      </c>
      <c r="P271" s="53">
        <f t="shared" ref="P271" si="281">SUM(P248:P270)</f>
        <v>1305600</v>
      </c>
      <c r="Q271" s="2347">
        <f t="shared" ref="Q271" si="282">SUM(Q248:Q270)</f>
        <v>3264000</v>
      </c>
    </row>
    <row r="272" spans="1:17" s="2226" customFormat="1" x14ac:dyDescent="0.2">
      <c r="A272" s="25"/>
      <c r="B272" s="659"/>
      <c r="C272" s="79"/>
      <c r="D272" s="79"/>
      <c r="E272" s="634"/>
      <c r="F272" s="77"/>
      <c r="G272" s="584"/>
      <c r="H272" s="77"/>
      <c r="I272" s="79"/>
      <c r="J272" s="79"/>
      <c r="K272" s="79"/>
      <c r="L272" s="79"/>
      <c r="M272" s="77"/>
      <c r="N272" s="79"/>
      <c r="O272" s="79"/>
      <c r="P272" s="79"/>
      <c r="Q272" s="2346"/>
    </row>
    <row r="273" spans="1:17" s="2226" customFormat="1" x14ac:dyDescent="0.2">
      <c r="A273" s="25"/>
      <c r="B273" s="79"/>
      <c r="C273" s="79"/>
      <c r="D273" s="79"/>
      <c r="E273" s="260" t="s">
        <v>726</v>
      </c>
      <c r="F273" s="77"/>
      <c r="G273" s="584"/>
      <c r="H273" s="77"/>
      <c r="I273" s="79"/>
      <c r="J273" s="79"/>
      <c r="K273" s="79"/>
      <c r="L273" s="79"/>
      <c r="M273" s="77"/>
      <c r="N273" s="79"/>
      <c r="O273" s="79"/>
      <c r="P273" s="79"/>
      <c r="Q273" s="2346"/>
    </row>
    <row r="274" spans="1:17" x14ac:dyDescent="0.2">
      <c r="A274" s="54">
        <f>ROUND(A271-A275,-2)</f>
        <v>979100</v>
      </c>
      <c r="B274" s="9">
        <f>B271-B275</f>
        <v>966800</v>
      </c>
      <c r="C274" s="9">
        <f>'Cash-W'!C47</f>
        <v>461000</v>
      </c>
      <c r="D274" s="9">
        <f>'Cash-W'!D47</f>
        <v>1851400</v>
      </c>
      <c r="E274" s="634" t="s">
        <v>2378</v>
      </c>
      <c r="F274" s="89">
        <f>'Cash-W'!G47</f>
        <v>-1599100</v>
      </c>
      <c r="G274" s="584"/>
      <c r="H274" s="89">
        <f>'Cash-W'!H47</f>
        <v>-66100</v>
      </c>
      <c r="I274" s="9">
        <f>'Cash-W'!I47</f>
        <v>-438500</v>
      </c>
      <c r="J274" s="9">
        <f>'Cash-W'!J47</f>
        <v>128700</v>
      </c>
      <c r="K274" s="9">
        <f>'Cash-W'!K47</f>
        <v>-2235000</v>
      </c>
      <c r="L274" s="9">
        <f>'Cash-W'!L47</f>
        <v>447300</v>
      </c>
      <c r="M274" s="89">
        <f>'Cash-W'!M47</f>
        <v>-1559900</v>
      </c>
      <c r="N274" s="9">
        <f>'Cash-W'!N47</f>
        <v>-1207100</v>
      </c>
      <c r="O274" s="9">
        <f>'Cash-W'!O47</f>
        <v>305600</v>
      </c>
      <c r="P274" s="9">
        <f>'Cash-W'!P47</f>
        <v>454100</v>
      </c>
      <c r="Q274" s="47">
        <f>'Cash-W'!Q47</f>
        <v>2363800</v>
      </c>
    </row>
    <row r="275" spans="1:17" s="2226" customFormat="1" x14ac:dyDescent="0.2">
      <c r="A275" s="25">
        <v>-459200</v>
      </c>
      <c r="B275" s="79">
        <v>-1157900</v>
      </c>
      <c r="C275" s="79">
        <f>+C252+-'Cap-Water'!S73-C256+'W&amp;W'!D195</f>
        <v>836000</v>
      </c>
      <c r="D275" s="79">
        <f>+D252+-'Cap-Water'!W73-D256+'W&amp;W'!E195</f>
        <v>175300</v>
      </c>
      <c r="E275" s="634" t="s">
        <v>2379</v>
      </c>
      <c r="F275" s="77">
        <f>+F252+-'Cap-Water'!AA73+'W&amp;W'!H195</f>
        <v>106400</v>
      </c>
      <c r="G275" s="584"/>
      <c r="H275" s="77">
        <f>+H252+-'Cap-Water'!AE73+'W&amp;W'!J195</f>
        <v>-2312600</v>
      </c>
      <c r="I275" s="79">
        <f>+I252+-'Cap-Water'!AI73+'W&amp;W'!K195</f>
        <v>-316900</v>
      </c>
      <c r="J275" s="79">
        <f>+J252+-'Cap-Water'!AM73+'W&amp;W'!L195</f>
        <v>573400</v>
      </c>
      <c r="K275" s="79">
        <f>+K252+-'Cap-Water'!AQ73+'W&amp;W'!M195</f>
        <v>-812300</v>
      </c>
      <c r="L275" s="79">
        <f>+L252+-'Cap-Water'!AU73+'W&amp;W'!N195</f>
        <v>-2367700</v>
      </c>
      <c r="M275" s="79">
        <f>+M252+-'Cap-Water'!AY73+'W&amp;W'!O195</f>
        <v>-250100</v>
      </c>
      <c r="N275" s="79">
        <f>+N252+-'Cap-Water'!BC73+'W&amp;W'!P195</f>
        <v>-314400</v>
      </c>
      <c r="O275" s="79">
        <f>+O252+-'Cap-Water'!BG73+'W&amp;W'!Q195</f>
        <v>804300</v>
      </c>
      <c r="P275" s="79">
        <f>+P252+-'Cap-Water'!BK73+'W&amp;W'!R195</f>
        <v>851500</v>
      </c>
      <c r="Q275" s="2346">
        <f>+Q252+-'Cap-Water'!BL73+'W&amp;W'!S195</f>
        <v>900200</v>
      </c>
    </row>
    <row r="276" spans="1:17" s="39" customFormat="1" x14ac:dyDescent="0.2">
      <c r="A276" s="24">
        <f>SUM(A274:A275)</f>
        <v>519900</v>
      </c>
      <c r="B276" s="21">
        <f>SUM(B274:B275)</f>
        <v>-191100</v>
      </c>
      <c r="C276" s="21">
        <f>SUM(C274:C275)</f>
        <v>1297000</v>
      </c>
      <c r="D276" s="21">
        <f>SUM(D274:D275)</f>
        <v>2026700</v>
      </c>
      <c r="E276" s="780" t="s">
        <v>5230</v>
      </c>
      <c r="F276" s="75">
        <f t="shared" ref="F276:M276" si="283">SUM(F274:F275)</f>
        <v>-1492700</v>
      </c>
      <c r="G276" s="220"/>
      <c r="H276" s="75">
        <f t="shared" si="283"/>
        <v>-2378700</v>
      </c>
      <c r="I276" s="21">
        <f t="shared" si="283"/>
        <v>-755400</v>
      </c>
      <c r="J276" s="21">
        <f t="shared" si="283"/>
        <v>702100</v>
      </c>
      <c r="K276" s="21">
        <f t="shared" si="283"/>
        <v>-3047300</v>
      </c>
      <c r="L276" s="21">
        <f t="shared" si="283"/>
        <v>-1920400</v>
      </c>
      <c r="M276" s="21">
        <f t="shared" si="283"/>
        <v>-1810000</v>
      </c>
      <c r="N276" s="21">
        <f t="shared" ref="N276" si="284">SUM(N274:N275)</f>
        <v>-1521500</v>
      </c>
      <c r="O276" s="21">
        <f t="shared" ref="O276" si="285">SUM(O274:O275)</f>
        <v>1109900</v>
      </c>
      <c r="P276" s="21">
        <f t="shared" ref="P276" si="286">SUM(P274:P275)</f>
        <v>1305600</v>
      </c>
      <c r="Q276" s="86">
        <f t="shared" ref="Q276" si="287">SUM(Q274:Q275)</f>
        <v>3264000</v>
      </c>
    </row>
    <row r="277" spans="1:17" s="39" customFormat="1" x14ac:dyDescent="0.2">
      <c r="A277" s="24"/>
      <c r="B277" s="21"/>
      <c r="C277" s="21"/>
      <c r="D277" s="21"/>
      <c r="E277" s="260"/>
      <c r="F277" s="75"/>
      <c r="G277" s="220"/>
      <c r="H277" s="75"/>
      <c r="I277" s="21"/>
      <c r="J277" s="21"/>
      <c r="K277" s="21"/>
      <c r="L277" s="21"/>
      <c r="M277" s="75"/>
      <c r="N277" s="21"/>
      <c r="O277" s="21"/>
      <c r="P277" s="21"/>
      <c r="Q277" s="86"/>
    </row>
    <row r="278" spans="1:17" s="2226" customFormat="1" x14ac:dyDescent="0.2">
      <c r="A278" s="25"/>
      <c r="B278" s="79"/>
      <c r="C278" s="79"/>
      <c r="D278" s="79"/>
      <c r="E278" s="260" t="s">
        <v>2445</v>
      </c>
      <c r="F278" s="77"/>
      <c r="G278" s="584"/>
      <c r="H278" s="77"/>
      <c r="I278" s="79"/>
      <c r="J278" s="79"/>
      <c r="K278" s="79"/>
      <c r="L278" s="79"/>
      <c r="M278" s="77"/>
      <c r="N278" s="79"/>
      <c r="O278" s="79"/>
      <c r="P278" s="79"/>
      <c r="Q278" s="2346"/>
    </row>
    <row r="279" spans="1:17" x14ac:dyDescent="0.2">
      <c r="A279" s="54">
        <f>ROUND(3154900-542500+A274+171300-368700+18615-497000,-3)</f>
        <v>2916000</v>
      </c>
      <c r="B279" s="9">
        <f t="shared" ref="B279:D280" si="288">A279+B274</f>
        <v>3882800</v>
      </c>
      <c r="C279" s="9">
        <f t="shared" si="288"/>
        <v>4343800</v>
      </c>
      <c r="D279" s="9">
        <f t="shared" si="288"/>
        <v>6195200</v>
      </c>
      <c r="E279" s="634" t="s">
        <v>2378</v>
      </c>
      <c r="F279" s="89">
        <f>D280+F274</f>
        <v>6001300</v>
      </c>
      <c r="G279" s="584"/>
      <c r="H279" s="89">
        <f>F279+H274</f>
        <v>5935200</v>
      </c>
      <c r="I279" s="9">
        <f t="shared" ref="I279:Q280" si="289">H279+I274</f>
        <v>5496700</v>
      </c>
      <c r="J279" s="9">
        <f t="shared" si="289"/>
        <v>5625400</v>
      </c>
      <c r="K279" s="9">
        <f t="shared" si="289"/>
        <v>3390400</v>
      </c>
      <c r="L279" s="9">
        <f t="shared" si="289"/>
        <v>3837700</v>
      </c>
      <c r="M279" s="89">
        <f t="shared" si="289"/>
        <v>2277800</v>
      </c>
      <c r="N279" s="9">
        <f t="shared" si="289"/>
        <v>1070700</v>
      </c>
      <c r="O279" s="9">
        <f>N279+O274</f>
        <v>1376300</v>
      </c>
      <c r="P279" s="9">
        <f t="shared" si="289"/>
        <v>1830400</v>
      </c>
      <c r="Q279" s="47">
        <f t="shared" si="289"/>
        <v>4194200</v>
      </c>
    </row>
    <row r="280" spans="1:17" s="2226" customFormat="1" x14ac:dyDescent="0.2">
      <c r="A280" s="25">
        <f>ROUND(8574400+A275-368622,-3)</f>
        <v>7747000</v>
      </c>
      <c r="B280" s="79">
        <f t="shared" si="288"/>
        <v>6589100</v>
      </c>
      <c r="C280" s="79">
        <f t="shared" si="288"/>
        <v>7425100</v>
      </c>
      <c r="D280" s="79">
        <f t="shared" si="288"/>
        <v>7600400</v>
      </c>
      <c r="E280" s="634" t="s">
        <v>2379</v>
      </c>
      <c r="F280" s="77">
        <f>D280+F275</f>
        <v>7706800</v>
      </c>
      <c r="G280" s="584"/>
      <c r="H280" s="77">
        <f>F280+H275</f>
        <v>5394200</v>
      </c>
      <c r="I280" s="79">
        <f t="shared" si="289"/>
        <v>5077300</v>
      </c>
      <c r="J280" s="79">
        <f t="shared" si="289"/>
        <v>5650700</v>
      </c>
      <c r="K280" s="79">
        <f t="shared" si="289"/>
        <v>4838400</v>
      </c>
      <c r="L280" s="79">
        <f t="shared" si="289"/>
        <v>2470700</v>
      </c>
      <c r="M280" s="79">
        <f t="shared" si="289"/>
        <v>2220600</v>
      </c>
      <c r="N280" s="79">
        <f t="shared" si="289"/>
        <v>1906200</v>
      </c>
      <c r="O280" s="79">
        <f t="shared" si="289"/>
        <v>2710500</v>
      </c>
      <c r="P280" s="79">
        <f>O280+P275</f>
        <v>3562000</v>
      </c>
      <c r="Q280" s="2346">
        <f>P280+Q275</f>
        <v>4462200</v>
      </c>
    </row>
    <row r="281" spans="1:17" s="39" customFormat="1" x14ac:dyDescent="0.2">
      <c r="A281" s="24">
        <f>SUM(A279:A280)</f>
        <v>10663000</v>
      </c>
      <c r="B281" s="21">
        <f>SUM(B279:B280)</f>
        <v>10471900</v>
      </c>
      <c r="C281" s="21">
        <f>SUM(C279:C280)</f>
        <v>11768900</v>
      </c>
      <c r="D281" s="21">
        <f>SUM(D279:D280)</f>
        <v>13795600</v>
      </c>
      <c r="E281" s="780" t="s">
        <v>3245</v>
      </c>
      <c r="F281" s="75">
        <f t="shared" ref="F281:M281" si="290">SUM(F279:F280)</f>
        <v>13708100</v>
      </c>
      <c r="G281" s="220"/>
      <c r="H281" s="75">
        <f t="shared" si="290"/>
        <v>11329400</v>
      </c>
      <c r="I281" s="21">
        <f t="shared" si="290"/>
        <v>10574000</v>
      </c>
      <c r="J281" s="21">
        <f t="shared" si="290"/>
        <v>11276100</v>
      </c>
      <c r="K281" s="21">
        <f t="shared" si="290"/>
        <v>8228800</v>
      </c>
      <c r="L281" s="21">
        <f t="shared" si="290"/>
        <v>6308400</v>
      </c>
      <c r="M281" s="21">
        <f t="shared" si="290"/>
        <v>4498400</v>
      </c>
      <c r="N281" s="21">
        <f t="shared" ref="N281" si="291">SUM(N279:N280)</f>
        <v>2976900</v>
      </c>
      <c r="O281" s="21">
        <f t="shared" ref="O281" si="292">SUM(O279:O280)</f>
        <v>4086800</v>
      </c>
      <c r="P281" s="21">
        <f t="shared" ref="P281" si="293">SUM(P279:P280)</f>
        <v>5392400</v>
      </c>
      <c r="Q281" s="86">
        <f t="shared" ref="Q281" si="294">SUM(Q279:Q280)</f>
        <v>8656400</v>
      </c>
    </row>
    <row r="282" spans="1:17" s="2226" customFormat="1" ht="13.5" thickBot="1" x14ac:dyDescent="0.25">
      <c r="A282" s="2136"/>
      <c r="B282" s="592"/>
      <c r="C282" s="592"/>
      <c r="D282" s="592"/>
      <c r="E282" s="1776"/>
      <c r="F282" s="593"/>
      <c r="G282" s="592"/>
      <c r="H282" s="592"/>
      <c r="I282" s="592"/>
      <c r="J282" s="592"/>
      <c r="K282" s="592"/>
      <c r="L282" s="592"/>
      <c r="M282" s="592"/>
      <c r="N282" s="592"/>
      <c r="O282" s="592"/>
      <c r="P282" s="592"/>
      <c r="Q282" s="594"/>
    </row>
    <row r="283" spans="1:17" s="2226" customFormat="1" ht="14.25" thickTop="1" thickBot="1" x14ac:dyDescent="0.25">
      <c r="B283" s="31"/>
      <c r="C283" s="31"/>
      <c r="D283" s="31"/>
      <c r="E283" s="31"/>
      <c r="F283" s="31"/>
      <c r="G283" s="599"/>
      <c r="H283" s="31"/>
      <c r="I283" s="31"/>
      <c r="J283" s="31"/>
      <c r="K283" s="31"/>
      <c r="L283" s="31"/>
      <c r="M283" s="31"/>
      <c r="N283" s="31"/>
      <c r="O283" s="31"/>
      <c r="P283" s="31"/>
      <c r="Q283" s="31"/>
    </row>
    <row r="284" spans="1:17" s="1757" customFormat="1" ht="19.5" thickTop="1" thickBot="1" x14ac:dyDescent="0.3">
      <c r="A284" s="2573" t="s">
        <v>11972</v>
      </c>
      <c r="B284" s="2574"/>
      <c r="C284" s="2574"/>
      <c r="D284" s="2574"/>
      <c r="E284" s="2574"/>
      <c r="F284" s="2574"/>
      <c r="G284" s="2574"/>
      <c r="H284" s="2574"/>
      <c r="I284" s="2574"/>
      <c r="J284" s="2574"/>
      <c r="K284" s="2574"/>
      <c r="L284" s="2574"/>
      <c r="M284" s="2574"/>
      <c r="N284" s="2574"/>
      <c r="O284" s="2574"/>
      <c r="P284" s="2574"/>
      <c r="Q284" s="2575"/>
    </row>
    <row r="285" spans="1:17" x14ac:dyDescent="0.2">
      <c r="A285" s="2579" t="str">
        <f>$A$126</f>
        <v>ACTUAL</v>
      </c>
      <c r="B285" s="2580"/>
      <c r="C285" s="2580"/>
      <c r="D285" s="2581"/>
      <c r="E285" s="2434" t="str">
        <f>$E$126</f>
        <v>ITEM</v>
      </c>
      <c r="F285" s="2576" t="str">
        <f>F236</f>
        <v>ESTIMATED</v>
      </c>
      <c r="G285" s="2577"/>
      <c r="H285" s="2577"/>
      <c r="I285" s="2577"/>
      <c r="J285" s="2577"/>
      <c r="K285" s="2577"/>
      <c r="L285" s="2577"/>
      <c r="M285" s="2577"/>
      <c r="N285" s="2577"/>
      <c r="O285" s="2577"/>
      <c r="P285" s="2577"/>
      <c r="Q285" s="2578"/>
    </row>
    <row r="286" spans="1:17" ht="13.5" thickBot="1" x14ac:dyDescent="0.25">
      <c r="A286" s="1008" t="str">
        <f>A237</f>
        <v>2013/14</v>
      </c>
      <c r="B286" s="28" t="str">
        <f>B237</f>
        <v>2014/15</v>
      </c>
      <c r="C286" s="94" t="str">
        <f>C237</f>
        <v>2015/16</v>
      </c>
      <c r="D286" s="94" t="str">
        <f t="shared" ref="D286" si="295">D237</f>
        <v>2016/17</v>
      </c>
      <c r="E286" s="2435"/>
      <c r="F286" s="847" t="str">
        <f t="shared" ref="F286:O286" si="296">F237</f>
        <v>2017/18</v>
      </c>
      <c r="G286" s="1436" t="str">
        <f t="shared" si="296"/>
        <v>%</v>
      </c>
      <c r="H286" s="2337" t="str">
        <f t="shared" si="296"/>
        <v>2018/19</v>
      </c>
      <c r="I286" s="44" t="str">
        <f t="shared" si="296"/>
        <v>2019/20</v>
      </c>
      <c r="J286" s="94" t="str">
        <f t="shared" si="296"/>
        <v>2020/21</v>
      </c>
      <c r="K286" s="1761" t="str">
        <f t="shared" si="296"/>
        <v>2021/22</v>
      </c>
      <c r="L286" s="94" t="str">
        <f t="shared" si="296"/>
        <v>2022/23</v>
      </c>
      <c r="M286" s="94" t="str">
        <f t="shared" si="296"/>
        <v>2023/24</v>
      </c>
      <c r="N286" s="94" t="str">
        <f t="shared" si="296"/>
        <v>2024/25</v>
      </c>
      <c r="O286" s="94" t="str">
        <f t="shared" si="296"/>
        <v>2025/26</v>
      </c>
      <c r="P286" s="94" t="str">
        <f t="shared" ref="P286:Q286" si="297">P237</f>
        <v>2026/27</v>
      </c>
      <c r="Q286" s="1762" t="str">
        <f t="shared" si="297"/>
        <v>2027/28</v>
      </c>
    </row>
    <row r="287" spans="1:17" x14ac:dyDescent="0.2">
      <c r="A287" s="54"/>
      <c r="B287" s="9"/>
      <c r="C287" s="9"/>
      <c r="D287" s="9"/>
      <c r="E287" s="9"/>
      <c r="F287" s="89"/>
      <c r="G287" s="79"/>
      <c r="H287" s="89"/>
      <c r="I287" s="9"/>
      <c r="J287" s="9"/>
      <c r="K287" s="89"/>
      <c r="L287" s="9"/>
      <c r="M287" s="89"/>
      <c r="N287" s="9"/>
      <c r="O287" s="9"/>
      <c r="P287" s="9"/>
      <c r="Q287" s="61"/>
    </row>
    <row r="288" spans="1:17" x14ac:dyDescent="0.2">
      <c r="A288" s="54"/>
      <c r="B288" s="9"/>
      <c r="C288" s="9"/>
      <c r="D288" s="9"/>
      <c r="E288" s="63" t="s">
        <v>2552</v>
      </c>
      <c r="F288" s="89"/>
      <c r="G288" s="79"/>
      <c r="H288" s="89"/>
      <c r="I288" s="9"/>
      <c r="J288" s="9"/>
      <c r="K288" s="89"/>
      <c r="L288" s="9"/>
      <c r="M288" s="89"/>
      <c r="N288" s="9"/>
      <c r="O288" s="9"/>
      <c r="P288" s="9"/>
      <c r="Q288" s="61"/>
    </row>
    <row r="289" spans="1:17" x14ac:dyDescent="0.2">
      <c r="A289" s="54"/>
      <c r="B289" s="9"/>
      <c r="C289" s="9"/>
      <c r="D289" s="9"/>
      <c r="E289" s="63"/>
      <c r="F289" s="89"/>
      <c r="G289" s="584"/>
      <c r="H289" s="89"/>
      <c r="I289" s="9"/>
      <c r="J289" s="9"/>
      <c r="K289" s="89"/>
      <c r="L289" s="9"/>
      <c r="M289" s="89"/>
      <c r="N289" s="9"/>
      <c r="O289" s="9"/>
      <c r="P289" s="9"/>
      <c r="Q289" s="61"/>
    </row>
    <row r="290" spans="1:17" x14ac:dyDescent="0.2">
      <c r="A290" s="54">
        <f>'Cash-WW'!A6</f>
        <v>14462800</v>
      </c>
      <c r="B290" s="9">
        <f>'Cash-WW'!B6</f>
        <v>15355900</v>
      </c>
      <c r="C290" s="9">
        <f>'Cash-WW'!C6</f>
        <v>16349100</v>
      </c>
      <c r="D290" s="9">
        <f>'Cash-WW'!D6</f>
        <v>17887500</v>
      </c>
      <c r="E290" s="634" t="s">
        <v>388</v>
      </c>
      <c r="F290" s="89">
        <f>'Cash-WW'!G6</f>
        <v>18218400</v>
      </c>
      <c r="G290" s="584">
        <f>IF(D290=F290,0,IF(D290=0,100,(F290-D290)/D290*100))</f>
        <v>1.8498951781970652</v>
      </c>
      <c r="H290" s="89">
        <f>'Cash-WW'!H6</f>
        <v>18670200</v>
      </c>
      <c r="I290" s="9">
        <f>'Cash-WW'!I6</f>
        <v>19117700</v>
      </c>
      <c r="J290" s="9">
        <f>'Cash-WW'!J6</f>
        <v>19601300</v>
      </c>
      <c r="K290" s="89">
        <f>'Cash-WW'!K6</f>
        <v>20141000</v>
      </c>
      <c r="L290" s="9">
        <f>'Cash-WW'!L6</f>
        <v>20644300</v>
      </c>
      <c r="M290" s="89">
        <f>'Cash-WW'!M6</f>
        <v>21144000</v>
      </c>
      <c r="N290" s="9">
        <f>'Cash-WW'!N6</f>
        <v>21719800</v>
      </c>
      <c r="O290" s="9">
        <f>'Cash-WW'!O6</f>
        <v>22283100</v>
      </c>
      <c r="P290" s="9">
        <f>'Cash-WW'!P6</f>
        <v>22955100</v>
      </c>
      <c r="Q290" s="47">
        <f>'Cash-WW'!Q6</f>
        <v>23651300</v>
      </c>
    </row>
    <row r="291" spans="1:17" ht="13.5" thickBot="1" x14ac:dyDescent="0.25">
      <c r="A291" s="54">
        <f>'Cash-WW'!A7</f>
        <v>13987000</v>
      </c>
      <c r="B291" s="9">
        <f>'Cash-WW'!B7</f>
        <v>13866900</v>
      </c>
      <c r="C291" s="9">
        <f>'Cash-WW'!C7</f>
        <v>13468900</v>
      </c>
      <c r="D291" s="9">
        <f>'Cash-WW'!D7</f>
        <v>13894500</v>
      </c>
      <c r="E291" s="634" t="s">
        <v>1097</v>
      </c>
      <c r="F291" s="89">
        <f>'Cash-WW'!G7</f>
        <v>13828300</v>
      </c>
      <c r="G291" s="584">
        <f>IF(D291=F291,0,IF(D291=0,100,(F291-D291)/D291*100))</f>
        <v>-0.4764475152038577</v>
      </c>
      <c r="H291" s="89">
        <f>'Cash-WW'!H7</f>
        <v>13668400</v>
      </c>
      <c r="I291" s="9">
        <f>'Cash-WW'!I7</f>
        <v>13772900</v>
      </c>
      <c r="J291" s="9">
        <f>'Cash-WW'!J7</f>
        <v>13871100</v>
      </c>
      <c r="K291" s="89">
        <f>'Cash-WW'!K7</f>
        <v>13948400</v>
      </c>
      <c r="L291" s="9">
        <f>'Cash-WW'!L7</f>
        <v>14063100</v>
      </c>
      <c r="M291" s="89">
        <f>'Cash-WW'!M7</f>
        <v>14096000</v>
      </c>
      <c r="N291" s="9">
        <f>'Cash-WW'!N7</f>
        <v>14180300</v>
      </c>
      <c r="O291" s="9">
        <f>'Cash-WW'!O7</f>
        <v>14207100</v>
      </c>
      <c r="P291" s="9">
        <f>'Cash-WW'!P7</f>
        <v>14320800</v>
      </c>
      <c r="Q291" s="47">
        <f>'Cash-WW'!Q7</f>
        <v>14450200</v>
      </c>
    </row>
    <row r="292" spans="1:17" s="65" customFormat="1" x14ac:dyDescent="0.2">
      <c r="A292" s="125">
        <f>A290-A291</f>
        <v>475800</v>
      </c>
      <c r="B292" s="53">
        <f>B290-B291</f>
        <v>1489000</v>
      </c>
      <c r="C292" s="53">
        <f>C290-C291</f>
        <v>2880200</v>
      </c>
      <c r="D292" s="53">
        <f>D290-D291</f>
        <v>3993000</v>
      </c>
      <c r="E292" s="2431" t="s">
        <v>5353</v>
      </c>
      <c r="F292" s="105">
        <f t="shared" ref="F292:M292" si="298">F290-F291</f>
        <v>4390100</v>
      </c>
      <c r="G292" s="391">
        <f>IF(D292=F292,0,IF(D292=0,100,(F292-D292)/D292*100))</f>
        <v>9.9449035812672175</v>
      </c>
      <c r="H292" s="105">
        <f t="shared" si="298"/>
        <v>5001800</v>
      </c>
      <c r="I292" s="53">
        <f t="shared" si="298"/>
        <v>5344800</v>
      </c>
      <c r="J292" s="53">
        <f t="shared" si="298"/>
        <v>5730200</v>
      </c>
      <c r="K292" s="105">
        <f t="shared" si="298"/>
        <v>6192600</v>
      </c>
      <c r="L292" s="53">
        <f t="shared" si="298"/>
        <v>6581200</v>
      </c>
      <c r="M292" s="105">
        <f t="shared" si="298"/>
        <v>7048000</v>
      </c>
      <c r="N292" s="53">
        <f t="shared" ref="N292" si="299">N290-N291</f>
        <v>7539500</v>
      </c>
      <c r="O292" s="53">
        <f t="shared" ref="O292" si="300">O290-O291</f>
        <v>8076000</v>
      </c>
      <c r="P292" s="53">
        <f t="shared" ref="P292" si="301">P290-P291</f>
        <v>8634300</v>
      </c>
      <c r="Q292" s="2347">
        <f t="shared" ref="Q292" si="302">Q290-Q291</f>
        <v>9201100</v>
      </c>
    </row>
    <row r="293" spans="1:17" x14ac:dyDescent="0.2">
      <c r="A293" s="54"/>
      <c r="B293" s="9"/>
      <c r="C293" s="9"/>
      <c r="D293" s="9"/>
      <c r="E293" s="63"/>
      <c r="F293" s="89"/>
      <c r="G293" s="584"/>
      <c r="H293" s="89"/>
      <c r="I293" s="9"/>
      <c r="J293" s="9"/>
      <c r="K293" s="9"/>
      <c r="L293" s="9"/>
      <c r="M293" s="89"/>
      <c r="N293" s="9"/>
      <c r="O293" s="9"/>
      <c r="P293" s="9"/>
      <c r="Q293" s="47"/>
    </row>
    <row r="294" spans="1:17" x14ac:dyDescent="0.2">
      <c r="A294" s="54">
        <f>'Cash-WW'!A10</f>
        <v>2643100</v>
      </c>
      <c r="B294" s="9">
        <f>'Cash-WW'!B10</f>
        <v>2314300</v>
      </c>
      <c r="C294" s="9">
        <f>'Cash-WW'!C10</f>
        <v>3531900</v>
      </c>
      <c r="D294" s="9">
        <f>'Cash-WW'!D10</f>
        <v>3573300</v>
      </c>
      <c r="E294" s="634" t="s">
        <v>555</v>
      </c>
      <c r="F294" s="89">
        <f>'Cash-WW'!G10</f>
        <v>3775000</v>
      </c>
      <c r="G294" s="584">
        <f>IF(D294=F294,0,IF(D294=0,100,(F294-D294)/D294*100))</f>
        <v>5.6446422074832787</v>
      </c>
      <c r="H294" s="89">
        <f>'Cash-WW'!H10</f>
        <v>3851000</v>
      </c>
      <c r="I294" s="9">
        <f>'Cash-WW'!I10</f>
        <v>3928000</v>
      </c>
      <c r="J294" s="9">
        <f>'Cash-WW'!J10</f>
        <v>4007000</v>
      </c>
      <c r="K294" s="9">
        <f>'Cash-WW'!K10</f>
        <v>4087000</v>
      </c>
      <c r="L294" s="9">
        <f>'Cash-WW'!L10</f>
        <v>4169000</v>
      </c>
      <c r="M294" s="89">
        <f>'Cash-WW'!M10</f>
        <v>4252000</v>
      </c>
      <c r="N294" s="9">
        <f>'Cash-WW'!N10</f>
        <v>4337000</v>
      </c>
      <c r="O294" s="9">
        <f>'Cash-WW'!O10</f>
        <v>4424000</v>
      </c>
      <c r="P294" s="9">
        <f>'Cash-WW'!P10</f>
        <v>4512000</v>
      </c>
      <c r="Q294" s="47">
        <f>'Cash-WW'!Q10</f>
        <v>4602000</v>
      </c>
    </row>
    <row r="295" spans="1:17" x14ac:dyDescent="0.2">
      <c r="A295" s="54">
        <f>'Cash-WW'!A11</f>
        <v>394000</v>
      </c>
      <c r="B295" s="9">
        <f>'Cash-WW'!B11</f>
        <v>349200</v>
      </c>
      <c r="C295" s="9">
        <f>'Cash-WW'!C11</f>
        <v>301100</v>
      </c>
      <c r="D295" s="9">
        <f>'Cash-WW'!D11</f>
        <v>249300</v>
      </c>
      <c r="E295" s="634" t="s">
        <v>4151</v>
      </c>
      <c r="F295" s="89">
        <f>'Cash-WW'!G11</f>
        <v>194000</v>
      </c>
      <c r="G295" s="584">
        <f>IF(D295=F295,0,IF(D295=0,100,(F295-D295)/D295*100))</f>
        <v>-22.182109907741676</v>
      </c>
      <c r="H295" s="89">
        <f>'Cash-WW'!H11</f>
        <v>134000</v>
      </c>
      <c r="I295" s="9">
        <f>'Cash-WW'!I11</f>
        <v>69000</v>
      </c>
      <c r="J295" s="9">
        <f>'Cash-WW'!J11</f>
        <v>0</v>
      </c>
      <c r="K295" s="9">
        <f>'Cash-WW'!K11</f>
        <v>0</v>
      </c>
      <c r="L295" s="9">
        <f>'Cash-WW'!L11</f>
        <v>0</v>
      </c>
      <c r="M295" s="89">
        <f>'Cash-WW'!M11</f>
        <v>0</v>
      </c>
      <c r="N295" s="9">
        <f>'Cash-WW'!N11</f>
        <v>0</v>
      </c>
      <c r="O295" s="9">
        <f>'Cash-WW'!O11</f>
        <v>0</v>
      </c>
      <c r="P295" s="9">
        <f>'Cash-WW'!P11</f>
        <v>0</v>
      </c>
      <c r="Q295" s="47">
        <f>'Cash-WW'!Q11</f>
        <v>0</v>
      </c>
    </row>
    <row r="296" spans="1:17" ht="13.5" thickBot="1" x14ac:dyDescent="0.25">
      <c r="A296" s="54">
        <f>'Cash-WW'!A12</f>
        <v>20300</v>
      </c>
      <c r="B296" s="9">
        <f>'Cash-WW'!B12</f>
        <v>12216800</v>
      </c>
      <c r="C296" s="9">
        <f>'Cash-WW'!C12</f>
        <v>10800</v>
      </c>
      <c r="D296" s="9">
        <f>'Cash-WW'!D12</f>
        <v>416400</v>
      </c>
      <c r="E296" s="634" t="s">
        <v>4453</v>
      </c>
      <c r="F296" s="89">
        <f>'Cash-WW'!G12</f>
        <v>0</v>
      </c>
      <c r="G296" s="584">
        <f>IF(D296=F296,0,IF(D296=0,100,(F296-D296)/D296*100))</f>
        <v>-100</v>
      </c>
      <c r="H296" s="89">
        <f>'Cash-WW'!H12</f>
        <v>0</v>
      </c>
      <c r="I296" s="9">
        <f>'Cash-WW'!I12</f>
        <v>0</v>
      </c>
      <c r="J296" s="9">
        <f>'Cash-WW'!J12</f>
        <v>0</v>
      </c>
      <c r="K296" s="9">
        <f>'Cash-WW'!K12</f>
        <v>0</v>
      </c>
      <c r="L296" s="9">
        <f>'Cash-WW'!L12</f>
        <v>0</v>
      </c>
      <c r="M296" s="89">
        <f>'Cash-WW'!M12</f>
        <v>0</v>
      </c>
      <c r="N296" s="9">
        <f>'Cash-WW'!N12</f>
        <v>0</v>
      </c>
      <c r="O296" s="9">
        <f>'Cash-WW'!O12</f>
        <v>0</v>
      </c>
      <c r="P296" s="9">
        <f>'Cash-WW'!P12</f>
        <v>0</v>
      </c>
      <c r="Q296" s="47">
        <f>'Cash-WW'!Q12</f>
        <v>0</v>
      </c>
    </row>
    <row r="297" spans="1:17" s="65" customFormat="1" x14ac:dyDescent="0.2">
      <c r="A297" s="125">
        <f>A292-A294-A295-A296</f>
        <v>-2581600</v>
      </c>
      <c r="B297" s="53">
        <f>B292-B294-B295-B296</f>
        <v>-13391300</v>
      </c>
      <c r="C297" s="53">
        <f>C292-C294-C295-C296</f>
        <v>-963600</v>
      </c>
      <c r="D297" s="53">
        <f>D292-D294-D295-D296</f>
        <v>-246000</v>
      </c>
      <c r="E297" s="2432" t="s">
        <v>1574</v>
      </c>
      <c r="F297" s="105">
        <f t="shared" ref="F297:N297" si="303">F292-F294-F295-F296</f>
        <v>421100</v>
      </c>
      <c r="G297" s="391">
        <f>IF(D297=F297,0,IF(D297=0,100,(F297-D297)/D297*100))</f>
        <v>-271.17886178861789</v>
      </c>
      <c r="H297" s="105">
        <f t="shared" si="303"/>
        <v>1016800</v>
      </c>
      <c r="I297" s="105">
        <f t="shared" si="303"/>
        <v>1347800</v>
      </c>
      <c r="J297" s="105">
        <f t="shared" si="303"/>
        <v>1723200</v>
      </c>
      <c r="K297" s="105">
        <f t="shared" si="303"/>
        <v>2105600</v>
      </c>
      <c r="L297" s="105">
        <f t="shared" si="303"/>
        <v>2412200</v>
      </c>
      <c r="M297" s="105">
        <f t="shared" si="303"/>
        <v>2796000</v>
      </c>
      <c r="N297" s="53">
        <f t="shared" si="303"/>
        <v>3202500</v>
      </c>
      <c r="O297" s="53">
        <f t="shared" ref="O297" si="304">O292-O294-O295-O296</f>
        <v>3652000</v>
      </c>
      <c r="P297" s="53">
        <f t="shared" ref="P297" si="305">P292-P294-P295-P296</f>
        <v>4122300</v>
      </c>
      <c r="Q297" s="2347">
        <f t="shared" ref="Q297" si="306">Q292-Q294-Q295-Q296</f>
        <v>4599100</v>
      </c>
    </row>
    <row r="298" spans="1:17" x14ac:dyDescent="0.2">
      <c r="A298" s="54"/>
      <c r="B298" s="9"/>
      <c r="C298" s="9"/>
      <c r="D298" s="9"/>
      <c r="E298" s="634"/>
      <c r="F298" s="89"/>
      <c r="G298" s="584"/>
      <c r="H298" s="89"/>
      <c r="I298" s="9"/>
      <c r="J298" s="9"/>
      <c r="K298" s="89"/>
      <c r="L298" s="9"/>
      <c r="M298" s="89"/>
      <c r="N298" s="9"/>
      <c r="O298" s="9"/>
      <c r="P298" s="9"/>
      <c r="Q298" s="47"/>
    </row>
    <row r="299" spans="1:17" x14ac:dyDescent="0.2">
      <c r="A299" s="54"/>
      <c r="B299" s="9"/>
      <c r="C299" s="9"/>
      <c r="D299" s="9"/>
      <c r="E299" s="63" t="s">
        <v>1432</v>
      </c>
      <c r="F299" s="89"/>
      <c r="G299" s="584"/>
      <c r="H299" s="89"/>
      <c r="I299" s="9"/>
      <c r="J299" s="9"/>
      <c r="K299" s="89"/>
      <c r="L299" s="9"/>
      <c r="M299" s="89"/>
      <c r="N299" s="9"/>
      <c r="O299" s="9"/>
      <c r="P299" s="9"/>
      <c r="Q299" s="47"/>
    </row>
    <row r="300" spans="1:17" x14ac:dyDescent="0.2">
      <c r="A300" s="54">
        <f>'Cash-WW'!A17</f>
        <v>0</v>
      </c>
      <c r="B300" s="9">
        <f>'Cash-WW'!B17</f>
        <v>0</v>
      </c>
      <c r="C300" s="9">
        <f>'Cash-WW'!C17</f>
        <v>0</v>
      </c>
      <c r="D300" s="9">
        <f>'Cash-WW'!D17</f>
        <v>27000</v>
      </c>
      <c r="E300" s="1190" t="s">
        <v>2668</v>
      </c>
      <c r="F300" s="89">
        <f>'Cash-WW'!G17</f>
        <v>0</v>
      </c>
      <c r="G300" s="584">
        <f>IF(D300=F300,0,IF(D300=0,100,(F300-D300)/D300*100))</f>
        <v>-100</v>
      </c>
      <c r="H300" s="89">
        <f>'Cash-WW'!H17</f>
        <v>0</v>
      </c>
      <c r="I300" s="9">
        <f>'Cash-WW'!I17</f>
        <v>0</v>
      </c>
      <c r="J300" s="9">
        <f>'Cash-WW'!J17</f>
        <v>0</v>
      </c>
      <c r="K300" s="89">
        <f>'Cash-WW'!K17</f>
        <v>0</v>
      </c>
      <c r="L300" s="9">
        <f>'Cash-WW'!L17</f>
        <v>0</v>
      </c>
      <c r="M300" s="89">
        <f>'Cash-WW'!M17</f>
        <v>0</v>
      </c>
      <c r="N300" s="9">
        <f>'Cash-WW'!N17</f>
        <v>0</v>
      </c>
      <c r="O300" s="9">
        <f>'Cash-WW'!O17</f>
        <v>0</v>
      </c>
      <c r="P300" s="9">
        <f>'Cash-WW'!P17</f>
        <v>0</v>
      </c>
      <c r="Q300" s="47">
        <f>'Cash-WW'!Q17</f>
        <v>0</v>
      </c>
    </row>
    <row r="301" spans="1:17" x14ac:dyDescent="0.2">
      <c r="A301" s="54">
        <f>'Cash-WW'!A18</f>
        <v>1351900</v>
      </c>
      <c r="B301" s="9">
        <f>'Cash-WW'!B18</f>
        <v>1385900</v>
      </c>
      <c r="C301" s="9">
        <f>'Cash-WW'!C18</f>
        <v>1724500</v>
      </c>
      <c r="D301" s="9">
        <f>'Cash-WW'!D18</f>
        <v>736500</v>
      </c>
      <c r="E301" s="9" t="s">
        <v>328</v>
      </c>
      <c r="F301" s="89">
        <f>'Cash-WW'!G18</f>
        <v>1400000</v>
      </c>
      <c r="G301" s="584">
        <f>IF(D301=F301,0,IF(D301=0,100,(F301-D301)/D301*100))</f>
        <v>90.088255261371359</v>
      </c>
      <c r="H301" s="89">
        <f>'Cash-WW'!H18</f>
        <v>1430000</v>
      </c>
      <c r="I301" s="9">
        <f>'Cash-WW'!I18</f>
        <v>1470000</v>
      </c>
      <c r="J301" s="9">
        <f>'Cash-WW'!J18</f>
        <v>1510000</v>
      </c>
      <c r="K301" s="89">
        <f>'Cash-WW'!K18</f>
        <v>1550000</v>
      </c>
      <c r="L301" s="9">
        <f>'Cash-WW'!L18</f>
        <v>1590000</v>
      </c>
      <c r="M301" s="89">
        <f>'Cash-WW'!M18</f>
        <v>1630000</v>
      </c>
      <c r="N301" s="9">
        <f>'Cash-WW'!N18</f>
        <v>1680000</v>
      </c>
      <c r="O301" s="9">
        <f>'Cash-WW'!O18</f>
        <v>1730000</v>
      </c>
      <c r="P301" s="9">
        <f>'Cash-WW'!P18</f>
        <v>1780000</v>
      </c>
      <c r="Q301" s="47">
        <f>'Cash-WW'!Q18</f>
        <v>1830000</v>
      </c>
    </row>
    <row r="302" spans="1:17" x14ac:dyDescent="0.2">
      <c r="A302" s="54"/>
      <c r="B302" s="9"/>
      <c r="C302" s="9"/>
      <c r="D302" s="9"/>
      <c r="E302" s="9"/>
      <c r="F302" s="89"/>
      <c r="G302" s="584"/>
      <c r="H302" s="89"/>
      <c r="I302" s="9"/>
      <c r="J302" s="9"/>
      <c r="K302" s="89"/>
      <c r="L302" s="9"/>
      <c r="M302" s="89"/>
      <c r="N302" s="9"/>
      <c r="O302" s="9"/>
      <c r="P302" s="9"/>
      <c r="Q302" s="47"/>
    </row>
    <row r="303" spans="1:17" x14ac:dyDescent="0.2">
      <c r="A303" s="54"/>
      <c r="B303" s="9"/>
      <c r="C303" s="9"/>
      <c r="D303" s="9"/>
      <c r="E303" s="63" t="s">
        <v>690</v>
      </c>
      <c r="F303" s="89"/>
      <c r="G303" s="584"/>
      <c r="H303" s="89"/>
      <c r="I303" s="9"/>
      <c r="J303" s="9"/>
      <c r="K303" s="89"/>
      <c r="L303" s="9"/>
      <c r="M303" s="89"/>
      <c r="N303" s="9"/>
      <c r="O303" s="9"/>
      <c r="P303" s="9"/>
      <c r="Q303" s="47"/>
    </row>
    <row r="304" spans="1:17" x14ac:dyDescent="0.2">
      <c r="A304" s="54">
        <f>'Cash-WW'!A36</f>
        <v>690000</v>
      </c>
      <c r="B304" s="9">
        <f>'Cash-WW'!B37</f>
        <v>0</v>
      </c>
      <c r="C304" s="9">
        <f>'Cash-WW'!C37</f>
        <v>0</v>
      </c>
      <c r="D304" s="9">
        <f>'Cash-WW'!D37</f>
        <v>0</v>
      </c>
      <c r="E304" s="79" t="s">
        <v>2160</v>
      </c>
      <c r="F304" s="89">
        <f>'Cash-WW'!G37</f>
        <v>0</v>
      </c>
      <c r="G304" s="584">
        <f>IF(D304=F304,0,IF(D304=0,100,(F304-D304)/D304*100))</f>
        <v>0</v>
      </c>
      <c r="H304" s="89">
        <f>'Cash-WW'!H37</f>
        <v>0</v>
      </c>
      <c r="I304" s="9">
        <f>'Cash-WW'!I37</f>
        <v>0</v>
      </c>
      <c r="J304" s="9">
        <f>'Cash-WW'!J37</f>
        <v>0</v>
      </c>
      <c r="K304" s="89">
        <f>'Cash-WW'!K37</f>
        <v>0</v>
      </c>
      <c r="L304" s="9">
        <f>'Cash-WW'!L37</f>
        <v>0</v>
      </c>
      <c r="M304" s="89">
        <f>'Cash-WW'!M37</f>
        <v>0</v>
      </c>
      <c r="N304" s="9">
        <f>'Cash-WW'!N37</f>
        <v>0</v>
      </c>
      <c r="O304" s="9">
        <f>'Cash-WW'!O37</f>
        <v>0</v>
      </c>
      <c r="P304" s="9">
        <f>'Cash-WW'!P37</f>
        <v>0</v>
      </c>
      <c r="Q304" s="47">
        <f>'Cash-WW'!Q37</f>
        <v>0</v>
      </c>
    </row>
    <row r="305" spans="1:17" x14ac:dyDescent="0.2">
      <c r="A305" s="54">
        <f>'Cash-WW'!A34</f>
        <v>559600</v>
      </c>
      <c r="B305" s="9">
        <f>'Cash-WW'!B34</f>
        <v>409000</v>
      </c>
      <c r="C305" s="9">
        <f>'Cash-WW'!C36</f>
        <v>0</v>
      </c>
      <c r="D305" s="9">
        <f>'Cash-WW'!D36</f>
        <v>2092700</v>
      </c>
      <c r="E305" s="79" t="s">
        <v>3546</v>
      </c>
      <c r="F305" s="89">
        <f>'Cash-WW'!G36</f>
        <v>0</v>
      </c>
      <c r="G305" s="584">
        <f>IF(D305=F305,0,IF(D305=0,100,(F305-D305)/D305*100))</f>
        <v>-100</v>
      </c>
      <c r="H305" s="89">
        <f>'Cash-WW'!H36</f>
        <v>0</v>
      </c>
      <c r="I305" s="9">
        <f>'Cash-WW'!I36</f>
        <v>0</v>
      </c>
      <c r="J305" s="9">
        <f>'Cash-WW'!J36</f>
        <v>0</v>
      </c>
      <c r="K305" s="89">
        <f>'Cash-WW'!K36</f>
        <v>0</v>
      </c>
      <c r="L305" s="9">
        <f>'Cash-WW'!L36</f>
        <v>0</v>
      </c>
      <c r="M305" s="89">
        <f>'Cash-WW'!M36</f>
        <v>0</v>
      </c>
      <c r="N305" s="9">
        <f>'Cash-WW'!N36</f>
        <v>0</v>
      </c>
      <c r="O305" s="9">
        <f>'Cash-WW'!O36</f>
        <v>0</v>
      </c>
      <c r="P305" s="9">
        <f>'Cash-WW'!P36</f>
        <v>0</v>
      </c>
      <c r="Q305" s="47">
        <f>'Cash-WW'!Q36</f>
        <v>1130700</v>
      </c>
    </row>
    <row r="306" spans="1:17" x14ac:dyDescent="0.2">
      <c r="A306" s="54"/>
      <c r="B306" s="9"/>
      <c r="C306" s="9"/>
      <c r="D306" s="9"/>
      <c r="E306" s="63"/>
      <c r="F306" s="89"/>
      <c r="G306" s="584"/>
      <c r="H306" s="89"/>
      <c r="I306" s="9"/>
      <c r="J306" s="9"/>
      <c r="K306" s="89"/>
      <c r="L306" s="9"/>
      <c r="M306" s="89"/>
      <c r="N306" s="9"/>
      <c r="O306" s="9"/>
      <c r="P306" s="9"/>
      <c r="Q306" s="47"/>
    </row>
    <row r="307" spans="1:17" x14ac:dyDescent="0.2">
      <c r="A307" s="54"/>
      <c r="B307" s="9"/>
      <c r="C307" s="9"/>
      <c r="D307" s="9"/>
      <c r="E307" s="63" t="s">
        <v>2853</v>
      </c>
      <c r="F307" s="89"/>
      <c r="G307" s="584"/>
      <c r="H307" s="89"/>
      <c r="I307" s="9"/>
      <c r="J307" s="9"/>
      <c r="K307" s="89"/>
      <c r="L307" s="89"/>
      <c r="M307" s="89"/>
      <c r="N307" s="9"/>
      <c r="O307" s="9"/>
      <c r="P307" s="9"/>
      <c r="Q307" s="47"/>
    </row>
    <row r="308" spans="1:17" x14ac:dyDescent="0.2">
      <c r="A308" s="54">
        <f>'Cash-WW'!A39</f>
        <v>-8112100</v>
      </c>
      <c r="B308" s="9">
        <f>'Cash-WW'!B39</f>
        <v>-4320400</v>
      </c>
      <c r="C308" s="9">
        <f>'Cash-WW'!C39</f>
        <v>-2267300</v>
      </c>
      <c r="D308" s="9">
        <f>'Cash-WW'!D39</f>
        <v>-2560500</v>
      </c>
      <c r="E308" s="79" t="s">
        <v>1865</v>
      </c>
      <c r="F308" s="89">
        <f>'Cash-WW'!G39</f>
        <v>-8745100</v>
      </c>
      <c r="G308" s="584">
        <f>IF(D308=F308,0,IF(D308=0,100,(F308-D308)/D308*100))</f>
        <v>241.53876196055458</v>
      </c>
      <c r="H308" s="89">
        <f>'Cash-WW'!H39</f>
        <v>-7734900</v>
      </c>
      <c r="I308" s="9">
        <f>'Cash-WW'!I39</f>
        <v>-5076700</v>
      </c>
      <c r="J308" s="9">
        <f>'Cash-WW'!J39</f>
        <v>-2695400</v>
      </c>
      <c r="K308" s="9">
        <f>'Cash-WW'!K39</f>
        <v>-5105100</v>
      </c>
      <c r="L308" s="89">
        <f>'Cash-WW'!L39</f>
        <v>-4455100</v>
      </c>
      <c r="M308" s="89">
        <f>'Cash-WW'!M39</f>
        <v>-1014500</v>
      </c>
      <c r="N308" s="9">
        <f>'Cash-WW'!N39</f>
        <v>-5316400</v>
      </c>
      <c r="O308" s="9">
        <f>'Cash-WW'!O39</f>
        <v>-1186000</v>
      </c>
      <c r="P308" s="9">
        <f>'Cash-WW'!P39</f>
        <v>-1130700</v>
      </c>
      <c r="Q308" s="47">
        <f>'Cash-WW'!Q39</f>
        <v>-1130700</v>
      </c>
    </row>
    <row r="309" spans="1:17" x14ac:dyDescent="0.2">
      <c r="A309" s="54">
        <f>-A305</f>
        <v>-559600</v>
      </c>
      <c r="B309" s="9">
        <f>-B305</f>
        <v>-409000</v>
      </c>
      <c r="C309" s="9">
        <f>-C305</f>
        <v>0</v>
      </c>
      <c r="D309" s="9">
        <f>-D305</f>
        <v>-2092700</v>
      </c>
      <c r="E309" s="79" t="s">
        <v>3547</v>
      </c>
      <c r="F309" s="89">
        <f t="shared" ref="F309:M309" si="307">-F305</f>
        <v>0</v>
      </c>
      <c r="G309" s="584">
        <f>IF(D309=F309,0,IF(D309=0,100,(F309-D309)/D309*100))</f>
        <v>-100</v>
      </c>
      <c r="H309" s="89">
        <f t="shared" si="307"/>
        <v>0</v>
      </c>
      <c r="I309" s="89">
        <f t="shared" si="307"/>
        <v>0</v>
      </c>
      <c r="J309" s="89">
        <f t="shared" si="307"/>
        <v>0</v>
      </c>
      <c r="K309" s="89">
        <f t="shared" si="307"/>
        <v>0</v>
      </c>
      <c r="L309" s="89">
        <f t="shared" si="307"/>
        <v>0</v>
      </c>
      <c r="M309" s="89">
        <f t="shared" si="307"/>
        <v>0</v>
      </c>
      <c r="N309" s="9">
        <f t="shared" ref="N309" si="308">-N305</f>
        <v>0</v>
      </c>
      <c r="O309" s="9">
        <f t="shared" ref="O309" si="309">-O305</f>
        <v>0</v>
      </c>
      <c r="P309" s="9">
        <f t="shared" ref="P309" si="310">-P305</f>
        <v>0</v>
      </c>
      <c r="Q309" s="47">
        <f t="shared" ref="Q309" si="311">-Q305</f>
        <v>-1130700</v>
      </c>
    </row>
    <row r="310" spans="1:17" x14ac:dyDescent="0.2">
      <c r="A310" s="54">
        <f>'Cash-WW'!A40</f>
        <v>-2384800</v>
      </c>
      <c r="B310" s="9">
        <f>'Cash-WW'!B40</f>
        <v>-2187900</v>
      </c>
      <c r="C310" s="9">
        <f>'Cash-WW'!C40</f>
        <v>-2793300</v>
      </c>
      <c r="D310" s="9">
        <f>'Cash-WW'!D40</f>
        <v>-2957900</v>
      </c>
      <c r="E310" s="1190" t="s">
        <v>1400</v>
      </c>
      <c r="F310" s="89">
        <f>'Cash-WW'!G40</f>
        <v>-3095600</v>
      </c>
      <c r="G310" s="584">
        <f>IF(D310=F310,0,IF(D310=0,100,(F310-D310)/D310*100))</f>
        <v>4.6553297947868426</v>
      </c>
      <c r="H310" s="89">
        <f>'Cash-WW'!H40</f>
        <v>-3134000</v>
      </c>
      <c r="I310" s="9">
        <f>'Cash-WW'!I40</f>
        <v>-3280300</v>
      </c>
      <c r="J310" s="9">
        <f>'Cash-WW'!J40</f>
        <v>-2453500</v>
      </c>
      <c r="K310" s="89">
        <f>'Cash-WW'!K40</f>
        <v>-2654100</v>
      </c>
      <c r="L310" s="89">
        <f>'Cash-WW'!L40</f>
        <v>-2844100</v>
      </c>
      <c r="M310" s="89">
        <f>'Cash-WW'!M40</f>
        <v>-3037000</v>
      </c>
      <c r="N310" s="9">
        <f>'Cash-WW'!N40</f>
        <v>-3235000</v>
      </c>
      <c r="O310" s="9">
        <f>'Cash-WW'!O40</f>
        <v>-3430000</v>
      </c>
      <c r="P310" s="9">
        <f>'Cash-WW'!P40</f>
        <v>-3627000</v>
      </c>
      <c r="Q310" s="47">
        <f>'Cash-WW'!Q40</f>
        <v>-3825000</v>
      </c>
    </row>
    <row r="311" spans="1:17" x14ac:dyDescent="0.2">
      <c r="A311" s="54"/>
      <c r="B311" s="9"/>
      <c r="C311" s="9"/>
      <c r="D311" s="9"/>
      <c r="E311" s="9"/>
      <c r="F311" s="89"/>
      <c r="G311" s="584"/>
      <c r="H311" s="89"/>
      <c r="I311" s="9"/>
      <c r="J311" s="9"/>
      <c r="K311" s="46"/>
      <c r="L311" s="9"/>
      <c r="M311" s="89"/>
      <c r="N311" s="9"/>
      <c r="O311" s="9"/>
      <c r="P311" s="9"/>
      <c r="Q311" s="47"/>
    </row>
    <row r="312" spans="1:17" x14ac:dyDescent="0.2">
      <c r="A312" s="54"/>
      <c r="B312" s="9"/>
      <c r="C312" s="9"/>
      <c r="D312" s="9"/>
      <c r="E312" s="63" t="s">
        <v>4613</v>
      </c>
      <c r="F312" s="89"/>
      <c r="G312" s="584"/>
      <c r="H312" s="89"/>
      <c r="I312" s="9"/>
      <c r="J312" s="9"/>
      <c r="K312" s="46"/>
      <c r="L312" s="9"/>
      <c r="M312" s="89"/>
      <c r="N312" s="9"/>
      <c r="O312" s="9"/>
      <c r="P312" s="9"/>
      <c r="Q312" s="47"/>
    </row>
    <row r="313" spans="1:17" x14ac:dyDescent="0.2">
      <c r="A313" s="54">
        <f>'Cash-WW'!A35</f>
        <v>468500</v>
      </c>
      <c r="B313" s="79">
        <f>10514300+1782000+10500-12217200</f>
        <v>89600</v>
      </c>
      <c r="C313" s="9">
        <f>'Cash-WW'!C35</f>
        <v>-305500</v>
      </c>
      <c r="D313" s="9">
        <f>'Cash-WW'!D35</f>
        <v>-305500</v>
      </c>
      <c r="E313" s="634" t="s">
        <v>4656</v>
      </c>
      <c r="F313" s="89">
        <f>'Cash-WW'!G35</f>
        <v>0</v>
      </c>
      <c r="G313" s="584">
        <f>IF(D313=F313,0,IF(D313=0,100,(F313-D313)/D313*100))</f>
        <v>-100</v>
      </c>
      <c r="H313" s="89">
        <f>'Cash-WW'!H35</f>
        <v>0</v>
      </c>
      <c r="I313" s="9">
        <f>'Cash-WW'!I35</f>
        <v>0</v>
      </c>
      <c r="J313" s="9">
        <f>'Cash-WW'!J35</f>
        <v>0</v>
      </c>
      <c r="K313" s="46">
        <f>'Cash-WW'!K35</f>
        <v>0</v>
      </c>
      <c r="L313" s="9">
        <f>'Cash-WW'!L35</f>
        <v>0</v>
      </c>
      <c r="M313" s="89">
        <f>'Cash-WW'!M35</f>
        <v>0</v>
      </c>
      <c r="N313" s="9">
        <f>'Cash-WW'!N35</f>
        <v>0</v>
      </c>
      <c r="O313" s="9">
        <f>'Cash-WW'!O35</f>
        <v>0</v>
      </c>
      <c r="P313" s="9">
        <f>'Cash-WW'!P35</f>
        <v>0</v>
      </c>
      <c r="Q313" s="47">
        <f>'Cash-WW'!Q35</f>
        <v>0</v>
      </c>
    </row>
    <row r="314" spans="1:17" x14ac:dyDescent="0.2">
      <c r="A314" s="54"/>
      <c r="B314" s="85"/>
      <c r="C314" s="9"/>
      <c r="D314" s="9"/>
      <c r="E314" s="9"/>
      <c r="F314" s="89"/>
      <c r="G314" s="584"/>
      <c r="H314" s="9"/>
      <c r="I314" s="9"/>
      <c r="J314" s="46"/>
      <c r="K314" s="9"/>
      <c r="L314" s="89"/>
      <c r="M314" s="89"/>
      <c r="N314" s="9"/>
      <c r="O314" s="9"/>
      <c r="P314" s="9"/>
      <c r="Q314" s="47"/>
    </row>
    <row r="315" spans="1:17" x14ac:dyDescent="0.2">
      <c r="A315" s="54"/>
      <c r="B315" s="85"/>
      <c r="C315" s="9"/>
      <c r="D315" s="9"/>
      <c r="E315" s="63" t="s">
        <v>1575</v>
      </c>
      <c r="F315" s="89"/>
      <c r="G315" s="584"/>
      <c r="H315" s="9"/>
      <c r="I315" s="9"/>
      <c r="J315" s="46"/>
      <c r="K315" s="9"/>
      <c r="L315" s="89"/>
      <c r="M315" s="89"/>
      <c r="N315" s="9"/>
      <c r="O315" s="9"/>
      <c r="P315" s="9"/>
      <c r="Q315" s="47"/>
    </row>
    <row r="316" spans="1:17" x14ac:dyDescent="0.2">
      <c r="A316" s="54">
        <f t="shared" ref="A316:B318" si="312">A294</f>
        <v>2643100</v>
      </c>
      <c r="B316" s="97">
        <f t="shared" si="312"/>
        <v>2314300</v>
      </c>
      <c r="C316" s="9">
        <f t="shared" ref="C316:C318" si="313">C294</f>
        <v>3531900</v>
      </c>
      <c r="D316" s="9">
        <f t="shared" ref="D316" si="314">D294</f>
        <v>3573300</v>
      </c>
      <c r="E316" s="257" t="s">
        <v>2035</v>
      </c>
      <c r="F316" s="89">
        <f t="shared" ref="F316:O316" si="315">F294</f>
        <v>3775000</v>
      </c>
      <c r="G316" s="584">
        <f>IF(D316=F316,0,IF(D316=0,100,(F316-D316)/D316*100))</f>
        <v>5.6446422074832787</v>
      </c>
      <c r="H316" s="9">
        <f t="shared" si="315"/>
        <v>3851000</v>
      </c>
      <c r="I316" s="9">
        <f t="shared" si="315"/>
        <v>3928000</v>
      </c>
      <c r="J316" s="46">
        <f t="shared" si="315"/>
        <v>4007000</v>
      </c>
      <c r="K316" s="9">
        <f t="shared" si="315"/>
        <v>4087000</v>
      </c>
      <c r="L316" s="89">
        <f t="shared" si="315"/>
        <v>4169000</v>
      </c>
      <c r="M316" s="89">
        <f t="shared" si="315"/>
        <v>4252000</v>
      </c>
      <c r="N316" s="9">
        <f t="shared" si="315"/>
        <v>4337000</v>
      </c>
      <c r="O316" s="9">
        <f t="shared" si="315"/>
        <v>4424000</v>
      </c>
      <c r="P316" s="9">
        <f t="shared" ref="P316" si="316">P294</f>
        <v>4512000</v>
      </c>
      <c r="Q316" s="47">
        <f t="shared" ref="Q316" si="317">Q294</f>
        <v>4602000</v>
      </c>
    </row>
    <row r="317" spans="1:17" x14ac:dyDescent="0.2">
      <c r="A317" s="54">
        <f t="shared" si="312"/>
        <v>394000</v>
      </c>
      <c r="B317" s="97">
        <f t="shared" si="312"/>
        <v>349200</v>
      </c>
      <c r="C317" s="9">
        <f t="shared" si="313"/>
        <v>301100</v>
      </c>
      <c r="D317" s="9">
        <f t="shared" ref="D317" si="318">D295</f>
        <v>249300</v>
      </c>
      <c r="E317" s="634" t="s">
        <v>1229</v>
      </c>
      <c r="F317" s="89">
        <f t="shared" ref="F317:O317" si="319">F295</f>
        <v>194000</v>
      </c>
      <c r="G317" s="584">
        <f>IF(D317=F317,0,IF(D317=0,100,(F317-D317)/D317*100))</f>
        <v>-22.182109907741676</v>
      </c>
      <c r="H317" s="9">
        <f t="shared" si="319"/>
        <v>134000</v>
      </c>
      <c r="I317" s="9">
        <f t="shared" si="319"/>
        <v>69000</v>
      </c>
      <c r="J317" s="46">
        <f t="shared" si="319"/>
        <v>0</v>
      </c>
      <c r="K317" s="9">
        <f t="shared" si="319"/>
        <v>0</v>
      </c>
      <c r="L317" s="89">
        <f t="shared" si="319"/>
        <v>0</v>
      </c>
      <c r="M317" s="89">
        <f t="shared" si="319"/>
        <v>0</v>
      </c>
      <c r="N317" s="9">
        <f t="shared" si="319"/>
        <v>0</v>
      </c>
      <c r="O317" s="9">
        <f t="shared" si="319"/>
        <v>0</v>
      </c>
      <c r="P317" s="9">
        <f t="shared" ref="P317" si="320">P295</f>
        <v>0</v>
      </c>
      <c r="Q317" s="47">
        <f t="shared" ref="Q317" si="321">Q295</f>
        <v>0</v>
      </c>
    </row>
    <row r="318" spans="1:17" x14ac:dyDescent="0.2">
      <c r="A318" s="54">
        <f t="shared" si="312"/>
        <v>20300</v>
      </c>
      <c r="B318" s="97">
        <f t="shared" si="312"/>
        <v>12216800</v>
      </c>
      <c r="C318" s="9">
        <f t="shared" si="313"/>
        <v>10800</v>
      </c>
      <c r="D318" s="9">
        <f t="shared" ref="D318" si="322">D296</f>
        <v>416400</v>
      </c>
      <c r="E318" s="634" t="s">
        <v>4448</v>
      </c>
      <c r="F318" s="89">
        <f t="shared" ref="F318:O318" si="323">F296</f>
        <v>0</v>
      </c>
      <c r="G318" s="584">
        <f>IF(D318=F318,0,IF(D318=0,100,(F318-D318)/D318*100))</f>
        <v>-100</v>
      </c>
      <c r="H318" s="89">
        <f t="shared" si="323"/>
        <v>0</v>
      </c>
      <c r="I318" s="9">
        <f t="shared" si="323"/>
        <v>0</v>
      </c>
      <c r="J318" s="9">
        <f t="shared" si="323"/>
        <v>0</v>
      </c>
      <c r="K318" s="46">
        <f t="shared" si="323"/>
        <v>0</v>
      </c>
      <c r="L318" s="9">
        <f t="shared" si="323"/>
        <v>0</v>
      </c>
      <c r="M318" s="89">
        <f t="shared" si="323"/>
        <v>0</v>
      </c>
      <c r="N318" s="9">
        <f t="shared" si="323"/>
        <v>0</v>
      </c>
      <c r="O318" s="9">
        <f t="shared" si="323"/>
        <v>0</v>
      </c>
      <c r="P318" s="9">
        <f t="shared" ref="P318" si="324">P296</f>
        <v>0</v>
      </c>
      <c r="Q318" s="47">
        <f t="shared" ref="Q318" si="325">Q296</f>
        <v>0</v>
      </c>
    </row>
    <row r="319" spans="1:17" ht="13.5" thickBot="1" x14ac:dyDescent="0.25">
      <c r="A319" s="54"/>
      <c r="B319" s="9"/>
      <c r="C319" s="9"/>
      <c r="D319" s="9"/>
      <c r="E319" s="422"/>
      <c r="F319" s="89"/>
      <c r="G319" s="584"/>
      <c r="H319" s="89"/>
      <c r="I319" s="9"/>
      <c r="J319" s="9"/>
      <c r="K319" s="89"/>
      <c r="L319" s="9"/>
      <c r="M319" s="89"/>
      <c r="N319" s="9"/>
      <c r="O319" s="9"/>
      <c r="P319" s="9"/>
      <c r="Q319" s="47"/>
    </row>
    <row r="320" spans="1:17" s="65" customFormat="1" x14ac:dyDescent="0.2">
      <c r="A320" s="2131">
        <f>SUM(A297:A319)</f>
        <v>-7510700</v>
      </c>
      <c r="B320" s="2132">
        <f>SUM(B297:B319)</f>
        <v>-3543800</v>
      </c>
      <c r="C320" s="2132">
        <f>SUM(C297:C319)</f>
        <v>-761400</v>
      </c>
      <c r="D320" s="2132">
        <f>SUM(D297:D319)</f>
        <v>-1067400</v>
      </c>
      <c r="E320" s="2433" t="s">
        <v>4417</v>
      </c>
      <c r="F320" s="105">
        <f t="shared" ref="F320:O320" si="326">SUM(F297:F319)</f>
        <v>-6050600</v>
      </c>
      <c r="G320" s="2133">
        <f>IF(D320=F320,0,IF(D320=0,100,(F320-D320)/D320*100))</f>
        <v>466.85403784897881</v>
      </c>
      <c r="H320" s="105">
        <f t="shared" si="326"/>
        <v>-4437100</v>
      </c>
      <c r="I320" s="53">
        <f t="shared" si="326"/>
        <v>-1542200</v>
      </c>
      <c r="J320" s="53">
        <f t="shared" si="326"/>
        <v>2091300</v>
      </c>
      <c r="K320" s="105">
        <f t="shared" si="326"/>
        <v>-16600</v>
      </c>
      <c r="L320" s="53">
        <f t="shared" si="326"/>
        <v>872000</v>
      </c>
      <c r="M320" s="105">
        <f t="shared" si="326"/>
        <v>4626500</v>
      </c>
      <c r="N320" s="53">
        <f t="shared" si="326"/>
        <v>668100</v>
      </c>
      <c r="O320" s="53">
        <f t="shared" si="326"/>
        <v>5190000</v>
      </c>
      <c r="P320" s="53">
        <f t="shared" ref="P320" si="327">SUM(P297:P319)</f>
        <v>5656600</v>
      </c>
      <c r="Q320" s="2347">
        <f t="shared" ref="Q320" si="328">SUM(Q297:Q319)</f>
        <v>6075400</v>
      </c>
    </row>
    <row r="321" spans="1:18" s="2226" customFormat="1" x14ac:dyDescent="0.2">
      <c r="A321" s="25"/>
      <c r="B321" s="79"/>
      <c r="C321" s="79"/>
      <c r="D321" s="79"/>
      <c r="E321" s="634"/>
      <c r="F321" s="77"/>
      <c r="G321" s="584"/>
      <c r="H321" s="77"/>
      <c r="I321" s="79"/>
      <c r="J321" s="79"/>
      <c r="K321" s="79"/>
      <c r="L321" s="79"/>
      <c r="M321" s="77"/>
      <c r="N321" s="79"/>
      <c r="O321" s="79"/>
      <c r="P321" s="79"/>
      <c r="Q321" s="2346"/>
    </row>
    <row r="322" spans="1:18" s="2226" customFormat="1" x14ac:dyDescent="0.2">
      <c r="A322" s="25"/>
      <c r="B322" s="79"/>
      <c r="C322" s="79"/>
      <c r="D322" s="79"/>
      <c r="E322" s="260" t="s">
        <v>726</v>
      </c>
      <c r="F322" s="77"/>
      <c r="G322" s="584"/>
      <c r="H322" s="77"/>
      <c r="I322" s="79"/>
      <c r="J322" s="79"/>
      <c r="K322" s="79"/>
      <c r="L322" s="79"/>
      <c r="M322" s="77"/>
      <c r="N322" s="79"/>
      <c r="O322" s="79"/>
      <c r="P322" s="79"/>
      <c r="Q322" s="2346"/>
    </row>
    <row r="323" spans="1:18" x14ac:dyDescent="0.2">
      <c r="A323" s="54">
        <f>'Cash-WW'!A47</f>
        <v>-8193600</v>
      </c>
      <c r="B323" s="9">
        <f>B320-B324</f>
        <v>-4663700</v>
      </c>
      <c r="C323" s="9">
        <f>C320-C324</f>
        <v>-2402700</v>
      </c>
      <c r="D323" s="9">
        <f>D320-D324</f>
        <v>-1280700</v>
      </c>
      <c r="E323" s="634" t="s">
        <v>3548</v>
      </c>
      <c r="F323" s="89">
        <f t="shared" ref="F323:M323" si="329">F320-F324</f>
        <v>-4868200</v>
      </c>
      <c r="G323" s="584"/>
      <c r="H323" s="89">
        <f t="shared" si="329"/>
        <v>-1850400</v>
      </c>
      <c r="I323" s="9">
        <f t="shared" si="329"/>
        <v>476700</v>
      </c>
      <c r="J323" s="9">
        <f t="shared" si="329"/>
        <v>1794600</v>
      </c>
      <c r="K323" s="9">
        <f t="shared" si="329"/>
        <v>-259900</v>
      </c>
      <c r="L323" s="9">
        <f t="shared" si="329"/>
        <v>1113200</v>
      </c>
      <c r="M323" s="89">
        <f t="shared" si="329"/>
        <v>4495100</v>
      </c>
      <c r="N323" s="9">
        <f t="shared" ref="N323:O323" si="330">N320-N324</f>
        <v>582800</v>
      </c>
      <c r="O323" s="9">
        <f t="shared" si="330"/>
        <v>5149700</v>
      </c>
      <c r="P323" s="9">
        <f t="shared" ref="P323" si="331">P320-P324</f>
        <v>5664400</v>
      </c>
      <c r="Q323" s="47">
        <f t="shared" ref="Q323" si="332">Q320-Q324</f>
        <v>6132400</v>
      </c>
    </row>
    <row r="324" spans="1:18" s="2226" customFormat="1" x14ac:dyDescent="0.2">
      <c r="A324" s="25">
        <v>682900</v>
      </c>
      <c r="B324" s="79">
        <v>1119900</v>
      </c>
      <c r="C324" s="79">
        <f>+C301-'Cash-WW'!C34-'Cap-WW'!T142+'W&amp;W'!D381</f>
        <v>1641300</v>
      </c>
      <c r="D324" s="79">
        <f>+D301-'Cash-WW'!D34-'Cap-WW'!X142+'W&amp;W'!E381</f>
        <v>213300</v>
      </c>
      <c r="E324" s="634" t="s">
        <v>2379</v>
      </c>
      <c r="F324" s="77">
        <f>+F301-'Cash-WW'!G34-'Cap-WW'!AB142+'W&amp;W'!H381-'Cash-WW'!G68</f>
        <v>-1182400</v>
      </c>
      <c r="G324" s="584"/>
      <c r="H324" s="77">
        <f>+H301-'Cash-WW'!H34-'Cap-WW'!AF142+'W&amp;W'!J381-'Cash-WW'!H68</f>
        <v>-2586700</v>
      </c>
      <c r="I324" s="79">
        <f>+I301-'Cash-WW'!I34-'Cap-WW'!AJ142+'W&amp;W'!K381-'Cash-WW'!I68</f>
        <v>-2018900</v>
      </c>
      <c r="J324" s="79">
        <f>+J301-'Cash-WW'!J34-'Cap-WW'!AN142+'W&amp;W'!L381-'Cash-WW'!J68</f>
        <v>296700</v>
      </c>
      <c r="K324" s="79">
        <f>+K301-'Cash-WW'!K34-'Cap-WW'!AR142+'W&amp;W'!M381-'Cash-WW'!K68</f>
        <v>243300</v>
      </c>
      <c r="L324" s="79">
        <f>+L301-'Cash-WW'!L34-'Cap-WW'!AV142+'W&amp;W'!N381-'Cash-WW'!L68</f>
        <v>-241200</v>
      </c>
      <c r="M324" s="79">
        <f>+M301-'Cash-WW'!M34-'Cap-WW'!AZ142+'W&amp;W'!O381-'Cash-WW'!M68</f>
        <v>131400</v>
      </c>
      <c r="N324" s="79">
        <f>+N301-'Cash-WW'!N34-'Cap-WW'!BD142+'W&amp;W'!P381-'Cash-WW'!N68</f>
        <v>85300</v>
      </c>
      <c r="O324" s="79">
        <f>+O301-'Cash-WW'!P34-'Cap-WW'!BH142+'W&amp;W'!Q381-'Cash-WW'!O68</f>
        <v>40300</v>
      </c>
      <c r="P324" s="79">
        <f>+P301-'Cash-WW'!Q34-'Cap-WW'!BL142+'W&amp;W'!R381-'Cash-WW'!P68</f>
        <v>-7800</v>
      </c>
      <c r="Q324" s="2346">
        <f>+Q301-'Cash-WW'!R34-'Cap-WW'!BM142+'W&amp;W'!S381-'Cash-WW'!Q68</f>
        <v>-57000</v>
      </c>
    </row>
    <row r="325" spans="1:18" s="39" customFormat="1" x14ac:dyDescent="0.2">
      <c r="A325" s="24">
        <f>SUM(A323:A324)</f>
        <v>-7510700</v>
      </c>
      <c r="B325" s="21">
        <f>SUM(B323:B324)</f>
        <v>-3543800</v>
      </c>
      <c r="C325" s="21">
        <f>SUM(C323:C324)</f>
        <v>-761400</v>
      </c>
      <c r="D325" s="21">
        <f>SUM(D323:D324)</f>
        <v>-1067400</v>
      </c>
      <c r="E325" s="260" t="s">
        <v>1221</v>
      </c>
      <c r="F325" s="75">
        <f t="shared" ref="F325:M325" si="333">SUM(F323:F324)</f>
        <v>-6050600</v>
      </c>
      <c r="G325" s="220"/>
      <c r="H325" s="75">
        <f t="shared" si="333"/>
        <v>-4437100</v>
      </c>
      <c r="I325" s="21">
        <f t="shared" si="333"/>
        <v>-1542200</v>
      </c>
      <c r="J325" s="21">
        <f t="shared" si="333"/>
        <v>2091300</v>
      </c>
      <c r="K325" s="21">
        <f t="shared" si="333"/>
        <v>-16600</v>
      </c>
      <c r="L325" s="21">
        <f t="shared" si="333"/>
        <v>872000</v>
      </c>
      <c r="M325" s="21">
        <f t="shared" si="333"/>
        <v>4626500</v>
      </c>
      <c r="N325" s="21">
        <f t="shared" ref="N325:O325" si="334">SUM(N323:N324)</f>
        <v>668100</v>
      </c>
      <c r="O325" s="21">
        <f t="shared" si="334"/>
        <v>5190000</v>
      </c>
      <c r="P325" s="21">
        <f t="shared" ref="P325" si="335">SUM(P323:P324)</f>
        <v>5656600</v>
      </c>
      <c r="Q325" s="86">
        <f t="shared" ref="Q325" si="336">SUM(Q323:Q324)</f>
        <v>6075400</v>
      </c>
    </row>
    <row r="326" spans="1:18" s="2226" customFormat="1" x14ac:dyDescent="0.2">
      <c r="A326" s="25"/>
      <c r="B326" s="79"/>
      <c r="C326" s="79"/>
      <c r="D326" s="79"/>
      <c r="E326" s="634"/>
      <c r="F326" s="77"/>
      <c r="G326" s="584"/>
      <c r="H326" s="77"/>
      <c r="I326" s="79"/>
      <c r="J326" s="79"/>
      <c r="K326" s="77"/>
      <c r="L326" s="79"/>
      <c r="M326" s="77"/>
      <c r="N326" s="79"/>
      <c r="O326" s="79"/>
      <c r="P326" s="79"/>
      <c r="Q326" s="2346"/>
    </row>
    <row r="327" spans="1:18" s="2226" customFormat="1" x14ac:dyDescent="0.2">
      <c r="A327" s="25"/>
      <c r="B327" s="79"/>
      <c r="C327" s="79"/>
      <c r="D327" s="79"/>
      <c r="E327" s="260" t="s">
        <v>2445</v>
      </c>
      <c r="F327" s="77"/>
      <c r="G327" s="584"/>
      <c r="H327" s="77"/>
      <c r="I327" s="79"/>
      <c r="J327" s="79"/>
      <c r="K327" s="77"/>
      <c r="L327" s="79"/>
      <c r="M327" s="77"/>
      <c r="N327" s="79"/>
      <c r="O327" s="79"/>
      <c r="P327" s="79"/>
      <c r="Q327" s="2346"/>
    </row>
    <row r="328" spans="1:18" x14ac:dyDescent="0.2">
      <c r="A328" s="54">
        <f>ROUND(A323+18576100+8213900-3420600-20300+22499,-3)</f>
        <v>15178000</v>
      </c>
      <c r="B328" s="9">
        <f t="shared" ref="B328:D329" si="337">A328+B323</f>
        <v>10514300</v>
      </c>
      <c r="C328" s="9">
        <f t="shared" si="337"/>
        <v>8111600</v>
      </c>
      <c r="D328" s="9">
        <f t="shared" si="337"/>
        <v>6830900</v>
      </c>
      <c r="E328" s="634" t="s">
        <v>1061</v>
      </c>
      <c r="F328" s="89">
        <f>D328+F323</f>
        <v>1962700</v>
      </c>
      <c r="G328" s="584"/>
      <c r="H328" s="89">
        <f>F328+H323</f>
        <v>112300</v>
      </c>
      <c r="I328" s="89">
        <f>H328+I323</f>
        <v>589000</v>
      </c>
      <c r="J328" s="9">
        <f t="shared" ref="I328:Q329" si="338">I328+J323</f>
        <v>2383600</v>
      </c>
      <c r="K328" s="9">
        <f t="shared" si="338"/>
        <v>2123700</v>
      </c>
      <c r="L328" s="9">
        <f t="shared" si="338"/>
        <v>3236900</v>
      </c>
      <c r="M328" s="89">
        <f t="shared" si="338"/>
        <v>7732000</v>
      </c>
      <c r="N328" s="9">
        <f t="shared" si="338"/>
        <v>8314800</v>
      </c>
      <c r="O328" s="9">
        <f t="shared" si="338"/>
        <v>13464500</v>
      </c>
      <c r="P328" s="9">
        <f t="shared" si="338"/>
        <v>19128900</v>
      </c>
      <c r="Q328" s="47">
        <f t="shared" si="338"/>
        <v>25261300</v>
      </c>
    </row>
    <row r="329" spans="1:18" s="2226" customFormat="1" x14ac:dyDescent="0.2">
      <c r="A329" s="25">
        <f>ROUND(2737700+A324,-2)</f>
        <v>3420600</v>
      </c>
      <c r="B329" s="79">
        <f t="shared" si="337"/>
        <v>4540500</v>
      </c>
      <c r="C329" s="79">
        <f t="shared" si="337"/>
        <v>6181800</v>
      </c>
      <c r="D329" s="79">
        <f t="shared" si="337"/>
        <v>6395100</v>
      </c>
      <c r="E329" s="634" t="s">
        <v>2379</v>
      </c>
      <c r="F329" s="77">
        <f>D329+F324</f>
        <v>5212700</v>
      </c>
      <c r="G329" s="584"/>
      <c r="H329" s="77">
        <f>F329+H324</f>
        <v>2626000</v>
      </c>
      <c r="I329" s="79">
        <f t="shared" si="338"/>
        <v>607100</v>
      </c>
      <c r="J329" s="79">
        <f t="shared" si="338"/>
        <v>903800</v>
      </c>
      <c r="K329" s="77">
        <f t="shared" si="338"/>
        <v>1147100</v>
      </c>
      <c r="L329" s="79">
        <f t="shared" si="338"/>
        <v>905900</v>
      </c>
      <c r="M329" s="77">
        <f t="shared" si="338"/>
        <v>1037300</v>
      </c>
      <c r="N329" s="79">
        <f t="shared" si="338"/>
        <v>1122600</v>
      </c>
      <c r="O329" s="79">
        <f t="shared" si="338"/>
        <v>1162900</v>
      </c>
      <c r="P329" s="79">
        <f t="shared" si="338"/>
        <v>1155100</v>
      </c>
      <c r="Q329" s="2346">
        <f t="shared" si="338"/>
        <v>1098100</v>
      </c>
    </row>
    <row r="330" spans="1:18" s="39" customFormat="1" x14ac:dyDescent="0.2">
      <c r="A330" s="24">
        <f>SUM(A328:A329)</f>
        <v>18598600</v>
      </c>
      <c r="B330" s="21">
        <f>SUM(B328:B329)</f>
        <v>15054800</v>
      </c>
      <c r="C330" s="21">
        <f>SUM(C328:C329)</f>
        <v>14293400</v>
      </c>
      <c r="D330" s="21">
        <f>SUM(D328:D329)</f>
        <v>13226000</v>
      </c>
      <c r="E330" s="260" t="s">
        <v>1504</v>
      </c>
      <c r="F330" s="75">
        <f t="shared" ref="F330:M330" si="339">SUM(F328:F329)</f>
        <v>7175400</v>
      </c>
      <c r="G330" s="220"/>
      <c r="H330" s="75">
        <f t="shared" si="339"/>
        <v>2738300</v>
      </c>
      <c r="I330" s="21">
        <f t="shared" si="339"/>
        <v>1196100</v>
      </c>
      <c r="J330" s="21">
        <f t="shared" si="339"/>
        <v>3287400</v>
      </c>
      <c r="K330" s="21">
        <f t="shared" si="339"/>
        <v>3270800</v>
      </c>
      <c r="L330" s="21">
        <f t="shared" si="339"/>
        <v>4142800</v>
      </c>
      <c r="M330" s="21">
        <f t="shared" si="339"/>
        <v>8769300</v>
      </c>
      <c r="N330" s="21">
        <f t="shared" ref="N330:O330" si="340">SUM(N328:N329)</f>
        <v>9437400</v>
      </c>
      <c r="O330" s="21">
        <f t="shared" si="340"/>
        <v>14627400</v>
      </c>
      <c r="P330" s="21">
        <f t="shared" ref="P330" si="341">SUM(P328:P329)</f>
        <v>20284000</v>
      </c>
      <c r="Q330" s="86">
        <f t="shared" ref="Q330" si="342">SUM(Q328:Q329)</f>
        <v>26359400</v>
      </c>
    </row>
    <row r="331" spans="1:18" s="2226" customFormat="1" ht="13.5" thickBot="1" x14ac:dyDescent="0.25">
      <c r="A331" s="2136"/>
      <c r="B331" s="592"/>
      <c r="C331" s="592"/>
      <c r="D331" s="592"/>
      <c r="E331" s="1776"/>
      <c r="F331" s="593"/>
      <c r="G331" s="751"/>
      <c r="H331" s="593"/>
      <c r="I331" s="592"/>
      <c r="J331" s="592"/>
      <c r="K331" s="593"/>
      <c r="L331" s="592"/>
      <c r="M331" s="593"/>
      <c r="N331" s="592"/>
      <c r="O331" s="592"/>
      <c r="P331" s="592"/>
      <c r="Q331" s="594"/>
    </row>
    <row r="332" spans="1:18" s="2226" customFormat="1" ht="13.5" thickTop="1" x14ac:dyDescent="0.2">
      <c r="B332" s="31"/>
      <c r="C332" s="30"/>
      <c r="D332" s="31"/>
      <c r="E332" s="31"/>
      <c r="F332" s="31"/>
      <c r="G332" s="31"/>
      <c r="H332" s="31"/>
      <c r="I332" s="31"/>
      <c r="J332" s="31"/>
      <c r="K332" s="31"/>
      <c r="L332" s="31"/>
      <c r="M332" s="31"/>
      <c r="N332" s="31"/>
      <c r="O332" s="31"/>
      <c r="P332" s="31"/>
      <c r="Q332" s="31"/>
    </row>
    <row r="334" spans="1:18" x14ac:dyDescent="0.2">
      <c r="B334" s="2138"/>
      <c r="C334" s="92"/>
      <c r="D334" s="2237"/>
      <c r="F334" s="2549"/>
      <c r="G334" s="2138"/>
      <c r="H334" s="2237"/>
      <c r="I334" s="2237"/>
      <c r="J334" s="2237"/>
      <c r="K334" s="2237"/>
      <c r="L334" s="2237"/>
      <c r="M334" s="2237"/>
      <c r="N334" s="2237"/>
      <c r="O334" s="2237"/>
      <c r="P334" s="2237"/>
      <c r="Q334" s="2237"/>
      <c r="R334" s="2237"/>
    </row>
    <row r="335" spans="1:18" x14ac:dyDescent="0.2">
      <c r="B335" s="2139"/>
      <c r="C335" s="2139"/>
      <c r="F335" s="46"/>
      <c r="G335" s="2139"/>
      <c r="H335" s="46"/>
      <c r="I335" s="46"/>
      <c r="J335" s="46"/>
      <c r="K335" s="46"/>
      <c r="L335" s="46"/>
      <c r="M335" s="46"/>
      <c r="N335" s="46"/>
      <c r="O335" s="46"/>
      <c r="P335" s="46"/>
      <c r="Q335" s="46"/>
      <c r="R335" s="46"/>
    </row>
    <row r="336" spans="1:18" x14ac:dyDescent="0.2">
      <c r="B336" s="2139"/>
      <c r="C336" s="2139"/>
      <c r="D336" s="379"/>
      <c r="F336" s="379"/>
      <c r="G336" s="2139"/>
      <c r="H336" s="379"/>
      <c r="I336" s="379"/>
      <c r="J336" s="379"/>
      <c r="K336" s="379"/>
      <c r="L336" s="379"/>
      <c r="M336" s="379"/>
      <c r="N336" s="379"/>
      <c r="O336" s="379"/>
      <c r="P336" s="379"/>
      <c r="Q336" s="379"/>
      <c r="R336" s="379"/>
    </row>
    <row r="337" spans="2:18" x14ac:dyDescent="0.2">
      <c r="B337" s="2139"/>
      <c r="C337" s="2139"/>
      <c r="F337" s="46"/>
      <c r="G337" s="2139"/>
      <c r="H337" s="46"/>
      <c r="I337" s="46"/>
      <c r="J337" s="46"/>
      <c r="K337" s="46"/>
      <c r="L337" s="46"/>
      <c r="M337" s="46"/>
      <c r="N337" s="46"/>
      <c r="O337" s="46"/>
      <c r="P337" s="46"/>
      <c r="Q337" s="46"/>
      <c r="R337" s="46"/>
    </row>
    <row r="338" spans="2:18" x14ac:dyDescent="0.2">
      <c r="B338" s="2139"/>
      <c r="C338" s="65"/>
      <c r="D338" s="46"/>
      <c r="F338" s="46"/>
      <c r="G338" s="2139"/>
      <c r="H338" s="46"/>
      <c r="I338" s="46"/>
      <c r="J338" s="46"/>
      <c r="K338" s="46"/>
      <c r="L338" s="46"/>
      <c r="M338" s="46"/>
      <c r="N338" s="46"/>
      <c r="O338" s="46"/>
      <c r="P338" s="46"/>
      <c r="Q338" s="46"/>
      <c r="R338" s="46"/>
    </row>
    <row r="339" spans="2:18" x14ac:dyDescent="0.2">
      <c r="B339" s="1667"/>
      <c r="C339" s="1667"/>
      <c r="D339" s="46"/>
      <c r="F339" s="46"/>
      <c r="G339" s="1667"/>
      <c r="H339" s="46"/>
      <c r="I339" s="46"/>
      <c r="J339" s="46"/>
      <c r="K339" s="46"/>
      <c r="L339" s="46"/>
      <c r="M339" s="46"/>
      <c r="N339" s="46"/>
      <c r="O339" s="46"/>
      <c r="P339" s="46"/>
      <c r="Q339" s="46"/>
      <c r="R339" s="46"/>
    </row>
    <row r="340" spans="2:18" x14ac:dyDescent="0.2">
      <c r="B340" s="2139"/>
      <c r="C340" s="2139"/>
      <c r="D340" s="46"/>
      <c r="F340" s="46"/>
      <c r="G340" s="2139"/>
      <c r="H340" s="46"/>
      <c r="I340" s="46"/>
      <c r="J340" s="46"/>
      <c r="K340" s="46"/>
      <c r="L340" s="46"/>
      <c r="M340" s="46"/>
      <c r="N340" s="46"/>
      <c r="O340" s="46"/>
      <c r="P340" s="46"/>
      <c r="Q340" s="46"/>
      <c r="R340" s="46"/>
    </row>
    <row r="341" spans="2:18" x14ac:dyDescent="0.2">
      <c r="B341" s="1667"/>
      <c r="C341" s="1667"/>
      <c r="D341" s="46"/>
      <c r="F341" s="46"/>
      <c r="G341" s="1667"/>
      <c r="H341" s="46"/>
      <c r="I341" s="46"/>
      <c r="J341" s="46"/>
      <c r="K341" s="46"/>
      <c r="L341" s="46"/>
      <c r="M341" s="46"/>
      <c r="N341" s="46"/>
      <c r="O341" s="46"/>
      <c r="P341" s="46"/>
      <c r="Q341" s="46"/>
      <c r="R341" s="46"/>
    </row>
    <row r="342" spans="2:18" x14ac:dyDescent="0.2">
      <c r="D342" s="46"/>
      <c r="F342" s="46"/>
      <c r="H342" s="46"/>
      <c r="I342" s="46"/>
      <c r="J342" s="46"/>
      <c r="K342" s="46"/>
      <c r="L342" s="46"/>
      <c r="M342" s="46"/>
      <c r="N342" s="46"/>
      <c r="O342" s="46"/>
      <c r="P342" s="46"/>
      <c r="Q342" s="46"/>
      <c r="R342" s="46"/>
    </row>
    <row r="343" spans="2:18" x14ac:dyDescent="0.2">
      <c r="D343" s="46"/>
      <c r="F343" s="46"/>
      <c r="H343" s="46"/>
      <c r="I343" s="46"/>
      <c r="J343" s="46"/>
      <c r="K343" s="46"/>
      <c r="L343" s="46"/>
      <c r="M343" s="46"/>
      <c r="N343" s="46"/>
      <c r="O343" s="46"/>
      <c r="P343" s="46"/>
      <c r="Q343" s="46"/>
      <c r="R343" s="46"/>
    </row>
    <row r="353" spans="3:18" x14ac:dyDescent="0.2">
      <c r="C353" s="65"/>
      <c r="D353" s="379"/>
      <c r="F353" s="379"/>
      <c r="H353" s="379"/>
      <c r="I353" s="379"/>
      <c r="J353" s="379"/>
      <c r="K353" s="379"/>
      <c r="L353" s="379"/>
      <c r="M353" s="379"/>
      <c r="N353" s="379"/>
      <c r="O353" s="379"/>
      <c r="P353" s="379"/>
      <c r="Q353" s="379"/>
      <c r="R353" s="379"/>
    </row>
    <row r="1109" spans="4:4" x14ac:dyDescent="0.2">
      <c r="D1109" s="34" t="s">
        <v>7245</v>
      </c>
    </row>
  </sheetData>
  <mergeCells count="24">
    <mergeCell ref="A236:D236"/>
    <mergeCell ref="A285:D285"/>
    <mergeCell ref="A2:D2"/>
    <mergeCell ref="A33:D33"/>
    <mergeCell ref="A64:D64"/>
    <mergeCell ref="A95:D95"/>
    <mergeCell ref="A126:D126"/>
    <mergeCell ref="A181:D181"/>
    <mergeCell ref="A180:Q180"/>
    <mergeCell ref="A235:Q235"/>
    <mergeCell ref="A284:Q284"/>
    <mergeCell ref="F126:Q126"/>
    <mergeCell ref="F181:Q181"/>
    <mergeCell ref="F236:Q236"/>
    <mergeCell ref="F285:Q285"/>
    <mergeCell ref="A1:Q1"/>
    <mergeCell ref="A32:Q32"/>
    <mergeCell ref="A63:Q63"/>
    <mergeCell ref="A94:Q94"/>
    <mergeCell ref="A125:Q125"/>
    <mergeCell ref="F2:Q2"/>
    <mergeCell ref="F33:Q33"/>
    <mergeCell ref="F64:Q64"/>
    <mergeCell ref="F95:Q95"/>
  </mergeCells>
  <phoneticPr fontId="9" type="noConversion"/>
  <printOptions horizontalCentered="1"/>
  <pageMargins left="0.19685039370078741" right="0.19685039370078741" top="0.39370078740157483" bottom="0.39370078740157483" header="0" footer="0"/>
  <pageSetup paperSize="9" scale="65" fitToHeight="3" orientation="landscape" r:id="rId1"/>
  <headerFooter alignWithMargins="0"/>
  <rowBreaks count="8" manualBreakCount="8">
    <brk id="30" max="16383" man="1"/>
    <brk id="61" max="16383" man="1"/>
    <brk id="92" max="16383" man="1"/>
    <brk id="123" max="16383" man="1"/>
    <brk id="178" max="16383" man="1"/>
    <brk id="233" max="16383" man="1"/>
    <brk id="282" max="16383" man="1"/>
    <brk id="33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1110"/>
  <sheetViews>
    <sheetView topLeftCell="A811" workbookViewId="0">
      <selection activeCell="A838" sqref="A838"/>
    </sheetView>
  </sheetViews>
  <sheetFormatPr defaultColWidth="9.140625" defaultRowHeight="12.75" x14ac:dyDescent="0.2"/>
  <cols>
    <col min="1" max="1" width="30.7109375" style="1" customWidth="1"/>
    <col min="2" max="6" width="9.140625" style="245" hidden="1" customWidth="1"/>
    <col min="7" max="17" width="9.140625" style="245" bestFit="1" customWidth="1"/>
    <col min="18" max="19" width="9.140625" style="1"/>
    <col min="20" max="20" width="11.28515625" style="1" bestFit="1" customWidth="1"/>
    <col min="21" max="21" width="12.28515625" style="1" bestFit="1" customWidth="1"/>
    <col min="22" max="16384" width="9.140625" style="1"/>
  </cols>
  <sheetData>
    <row r="1" spans="1:19" ht="17.25" thickTop="1" thickBot="1" x14ac:dyDescent="0.3">
      <c r="A1" s="2570" t="s">
        <v>5950</v>
      </c>
      <c r="B1" s="2571"/>
      <c r="C1" s="2571"/>
      <c r="D1" s="2571"/>
      <c r="E1" s="2571"/>
      <c r="F1" s="2571"/>
      <c r="G1" s="2571"/>
      <c r="H1" s="2571"/>
      <c r="I1" s="2571"/>
      <c r="J1" s="2571"/>
      <c r="K1" s="2571"/>
      <c r="L1" s="2571"/>
      <c r="M1" s="2571"/>
      <c r="N1" s="2571"/>
      <c r="O1" s="2571"/>
      <c r="P1" s="2571"/>
      <c r="Q1" s="2572"/>
    </row>
    <row r="2" spans="1:19" s="285" customFormat="1" ht="13.5" thickBot="1" x14ac:dyDescent="0.25">
      <c r="A2" s="2089" t="s">
        <v>4478</v>
      </c>
      <c r="B2" s="2090" t="str">
        <f t="shared" ref="B2:P2" si="0">B43</f>
        <v>2012/13</v>
      </c>
      <c r="C2" s="2090" t="str">
        <f t="shared" si="0"/>
        <v>2013/14</v>
      </c>
      <c r="D2" s="2090" t="str">
        <f t="shared" si="0"/>
        <v>2014/15</v>
      </c>
      <c r="E2" s="2090" t="str">
        <f t="shared" si="0"/>
        <v>2015/16</v>
      </c>
      <c r="F2" s="1474" t="str">
        <f t="shared" si="0"/>
        <v>2016/17</v>
      </c>
      <c r="G2" s="2090" t="str">
        <f t="shared" si="0"/>
        <v>2017/18</v>
      </c>
      <c r="H2" s="2090" t="str">
        <f t="shared" si="0"/>
        <v>2018/19</v>
      </c>
      <c r="I2" s="2090" t="str">
        <f t="shared" si="0"/>
        <v>2019/20</v>
      </c>
      <c r="J2" s="2090" t="str">
        <f t="shared" si="0"/>
        <v>2020/21</v>
      </c>
      <c r="K2" s="2090" t="str">
        <f t="shared" si="0"/>
        <v>2021/22</v>
      </c>
      <c r="L2" s="2090" t="str">
        <f t="shared" si="0"/>
        <v>2022/23</v>
      </c>
      <c r="M2" s="2090" t="str">
        <f t="shared" si="0"/>
        <v>2023/24</v>
      </c>
      <c r="N2" s="1474" t="str">
        <f t="shared" si="0"/>
        <v>2024/25</v>
      </c>
      <c r="O2" s="1474" t="str">
        <f t="shared" si="0"/>
        <v>2025/26</v>
      </c>
      <c r="P2" s="1474" t="str">
        <f t="shared" si="0"/>
        <v>2026/27</v>
      </c>
      <c r="Q2" s="2537" t="str">
        <f t="shared" ref="Q2" si="1">Q43</f>
        <v>2027/28</v>
      </c>
    </row>
    <row r="3" spans="1:19" s="285" customFormat="1" x14ac:dyDescent="0.2">
      <c r="A3" s="564"/>
      <c r="B3" s="2091"/>
      <c r="C3" s="2091"/>
      <c r="D3" s="2091"/>
      <c r="E3" s="2091"/>
      <c r="F3" s="1475"/>
      <c r="G3" s="2091"/>
      <c r="H3" s="2091"/>
      <c r="I3" s="2091"/>
      <c r="J3" s="2091"/>
      <c r="K3" s="2091"/>
      <c r="L3" s="2091"/>
      <c r="M3" s="1475"/>
      <c r="N3" s="1475"/>
      <c r="O3" s="1475"/>
      <c r="P3" s="1475"/>
      <c r="Q3" s="2538"/>
    </row>
    <row r="4" spans="1:19" x14ac:dyDescent="0.2">
      <c r="A4" s="564" t="s">
        <v>2126</v>
      </c>
      <c r="B4" s="48"/>
      <c r="C4" s="48"/>
      <c r="D4" s="48"/>
      <c r="E4" s="48"/>
      <c r="F4" s="161"/>
      <c r="G4" s="48"/>
      <c r="H4" s="48"/>
      <c r="I4" s="48"/>
      <c r="J4" s="48"/>
      <c r="K4" s="48"/>
      <c r="L4" s="48"/>
      <c r="M4" s="161"/>
      <c r="N4" s="161"/>
      <c r="O4" s="161"/>
      <c r="P4" s="161"/>
      <c r="Q4" s="51"/>
    </row>
    <row r="5" spans="1:19" x14ac:dyDescent="0.2">
      <c r="A5" s="564" t="s">
        <v>2127</v>
      </c>
      <c r="B5" s="48"/>
      <c r="C5" s="48"/>
      <c r="D5" s="48"/>
      <c r="E5" s="48"/>
      <c r="F5" s="161"/>
      <c r="G5" s="48"/>
      <c r="H5" s="48"/>
      <c r="I5" s="48"/>
      <c r="J5" s="48"/>
      <c r="K5" s="48"/>
      <c r="L5" s="48"/>
      <c r="M5" s="161"/>
      <c r="N5" s="161"/>
      <c r="O5" s="161"/>
      <c r="P5" s="161"/>
      <c r="Q5" s="51"/>
    </row>
    <row r="6" spans="1:19" x14ac:dyDescent="0.2">
      <c r="A6" s="559" t="s">
        <v>4207</v>
      </c>
      <c r="B6" s="48">
        <f t="shared" ref="B6:E9" si="2">B47+B89+B130</f>
        <v>79260</v>
      </c>
      <c r="C6" s="48">
        <f t="shared" si="2"/>
        <v>59661</v>
      </c>
      <c r="D6" s="48">
        <f t="shared" si="2"/>
        <v>60899</v>
      </c>
      <c r="E6" s="48">
        <f t="shared" si="2"/>
        <v>59905</v>
      </c>
      <c r="F6" s="48">
        <f t="shared" ref="F6" si="3">F47+F89+F130</f>
        <v>71885</v>
      </c>
      <c r="G6" s="9">
        <f t="shared" ref="G6:P6" si="4">G47+G89+G130</f>
        <v>64480</v>
      </c>
      <c r="H6" s="9">
        <f t="shared" si="4"/>
        <v>56570</v>
      </c>
      <c r="I6" s="9">
        <f t="shared" si="4"/>
        <v>46420</v>
      </c>
      <c r="J6" s="9">
        <f t="shared" si="4"/>
        <v>46350</v>
      </c>
      <c r="K6" s="9">
        <f t="shared" si="4"/>
        <v>44370</v>
      </c>
      <c r="L6" s="9">
        <f t="shared" si="4"/>
        <v>52440</v>
      </c>
      <c r="M6" s="89">
        <f t="shared" si="4"/>
        <v>58690</v>
      </c>
      <c r="N6" s="89">
        <f t="shared" si="4"/>
        <v>61680</v>
      </c>
      <c r="O6" s="89">
        <f t="shared" si="4"/>
        <v>74990</v>
      </c>
      <c r="P6" s="89">
        <f t="shared" si="4"/>
        <v>88230</v>
      </c>
      <c r="Q6" s="61">
        <f t="shared" ref="Q6" si="5">Q47+Q89+Q130</f>
        <v>103200</v>
      </c>
    </row>
    <row r="7" spans="1:19" x14ac:dyDescent="0.2">
      <c r="A7" s="1740" t="s">
        <v>2085</v>
      </c>
      <c r="B7" s="9">
        <f t="shared" si="2"/>
        <v>8717</v>
      </c>
      <c r="C7" s="9">
        <f t="shared" si="2"/>
        <v>8699</v>
      </c>
      <c r="D7" s="9">
        <f t="shared" si="2"/>
        <v>7084</v>
      </c>
      <c r="E7" s="9">
        <f t="shared" si="2"/>
        <v>10289</v>
      </c>
      <c r="F7" s="9">
        <f t="shared" ref="F7" si="6">F48+F90+F131</f>
        <v>8310</v>
      </c>
      <c r="G7" s="9">
        <f t="shared" ref="G7:P7" si="7">G48+G90+G131</f>
        <v>8450</v>
      </c>
      <c r="H7" s="9">
        <f t="shared" si="7"/>
        <v>8660</v>
      </c>
      <c r="I7" s="9">
        <f t="shared" si="7"/>
        <v>8890</v>
      </c>
      <c r="J7" s="9">
        <f t="shared" si="7"/>
        <v>9130</v>
      </c>
      <c r="K7" s="9">
        <f t="shared" si="7"/>
        <v>9370</v>
      </c>
      <c r="L7" s="9">
        <f t="shared" si="7"/>
        <v>9610</v>
      </c>
      <c r="M7" s="89">
        <f t="shared" si="7"/>
        <v>9870</v>
      </c>
      <c r="N7" s="89">
        <f t="shared" si="7"/>
        <v>10130</v>
      </c>
      <c r="O7" s="89">
        <f t="shared" si="7"/>
        <v>10390</v>
      </c>
      <c r="P7" s="89">
        <f t="shared" si="7"/>
        <v>10670</v>
      </c>
      <c r="Q7" s="61">
        <f t="shared" ref="Q7" si="8">Q48+Q90+Q131</f>
        <v>10950</v>
      </c>
    </row>
    <row r="8" spans="1:19" x14ac:dyDescent="0.2">
      <c r="A8" s="1740" t="s">
        <v>2086</v>
      </c>
      <c r="B8" s="9">
        <f t="shared" si="2"/>
        <v>1010</v>
      </c>
      <c r="C8" s="9">
        <f t="shared" si="2"/>
        <v>996</v>
      </c>
      <c r="D8" s="9">
        <f t="shared" si="2"/>
        <v>1407</v>
      </c>
      <c r="E8" s="9">
        <f t="shared" si="2"/>
        <v>808</v>
      </c>
      <c r="F8" s="9">
        <f t="shared" ref="F8" si="9">F49+F91+F132</f>
        <v>2420</v>
      </c>
      <c r="G8" s="9">
        <f t="shared" ref="G8:P8" si="10">G49+G91+G132</f>
        <v>2460</v>
      </c>
      <c r="H8" s="9">
        <f t="shared" si="10"/>
        <v>2520</v>
      </c>
      <c r="I8" s="9">
        <f t="shared" si="10"/>
        <v>2590</v>
      </c>
      <c r="J8" s="9">
        <f t="shared" si="10"/>
        <v>2660</v>
      </c>
      <c r="K8" s="9">
        <f t="shared" si="10"/>
        <v>2730</v>
      </c>
      <c r="L8" s="9">
        <f t="shared" si="10"/>
        <v>2800</v>
      </c>
      <c r="M8" s="89">
        <f t="shared" si="10"/>
        <v>2870</v>
      </c>
      <c r="N8" s="89">
        <f t="shared" si="10"/>
        <v>2950</v>
      </c>
      <c r="O8" s="89">
        <f t="shared" si="10"/>
        <v>3030</v>
      </c>
      <c r="P8" s="89">
        <f t="shared" si="10"/>
        <v>3110</v>
      </c>
      <c r="Q8" s="61">
        <f t="shared" ref="Q8" si="11">Q49+Q91+Q132</f>
        <v>3190</v>
      </c>
    </row>
    <row r="9" spans="1:19" x14ac:dyDescent="0.2">
      <c r="A9" s="1740" t="s">
        <v>1739</v>
      </c>
      <c r="B9" s="322">
        <f t="shared" si="2"/>
        <v>704</v>
      </c>
      <c r="C9" s="322">
        <f t="shared" si="2"/>
        <v>57</v>
      </c>
      <c r="D9" s="322">
        <f t="shared" si="2"/>
        <v>188</v>
      </c>
      <c r="E9" s="322">
        <f t="shared" si="2"/>
        <v>299</v>
      </c>
      <c r="F9" s="322">
        <f t="shared" ref="F9" si="12">F50+F92+F133</f>
        <v>1741</v>
      </c>
      <c r="G9" s="322">
        <f t="shared" ref="G9:P9" si="13">G50+G92+G133</f>
        <v>1780</v>
      </c>
      <c r="H9" s="322">
        <f t="shared" si="13"/>
        <v>1830</v>
      </c>
      <c r="I9" s="322">
        <f t="shared" si="13"/>
        <v>1890</v>
      </c>
      <c r="J9" s="322">
        <f t="shared" si="13"/>
        <v>1950</v>
      </c>
      <c r="K9" s="322">
        <f t="shared" si="13"/>
        <v>2010</v>
      </c>
      <c r="L9" s="322">
        <f t="shared" si="13"/>
        <v>2070</v>
      </c>
      <c r="M9" s="456">
        <f t="shared" si="13"/>
        <v>2130</v>
      </c>
      <c r="N9" s="456">
        <f t="shared" si="13"/>
        <v>2190</v>
      </c>
      <c r="O9" s="456">
        <f t="shared" si="13"/>
        <v>2250</v>
      </c>
      <c r="P9" s="456">
        <f t="shared" si="13"/>
        <v>2320</v>
      </c>
      <c r="Q9" s="546">
        <f t="shared" ref="Q9" si="14">Q50+Q92+Q133</f>
        <v>2390</v>
      </c>
    </row>
    <row r="10" spans="1:19" s="573" customFormat="1" x14ac:dyDescent="0.2">
      <c r="A10" s="1741" t="s">
        <v>2087</v>
      </c>
      <c r="B10" s="63">
        <f t="shared" ref="B10:M10" si="15">SUM(B6:B9)</f>
        <v>89691</v>
      </c>
      <c r="C10" s="63">
        <f t="shared" si="15"/>
        <v>69413</v>
      </c>
      <c r="D10" s="63">
        <f t="shared" si="15"/>
        <v>69578</v>
      </c>
      <c r="E10" s="63">
        <f t="shared" si="15"/>
        <v>71301</v>
      </c>
      <c r="F10" s="63">
        <f t="shared" ref="F10" si="16">SUM(F6:F9)</f>
        <v>84356</v>
      </c>
      <c r="G10" s="63">
        <f t="shared" si="15"/>
        <v>77170</v>
      </c>
      <c r="H10" s="63">
        <f t="shared" si="15"/>
        <v>69580</v>
      </c>
      <c r="I10" s="63">
        <f t="shared" si="15"/>
        <v>59790</v>
      </c>
      <c r="J10" s="63">
        <f t="shared" si="15"/>
        <v>60090</v>
      </c>
      <c r="K10" s="63">
        <f t="shared" si="15"/>
        <v>58480</v>
      </c>
      <c r="L10" s="63">
        <f t="shared" si="15"/>
        <v>66920</v>
      </c>
      <c r="M10" s="107">
        <f t="shared" si="15"/>
        <v>73560</v>
      </c>
      <c r="N10" s="107">
        <f t="shared" ref="N10:O10" si="17">SUM(N6:N9)</f>
        <v>76950</v>
      </c>
      <c r="O10" s="107">
        <f t="shared" si="17"/>
        <v>90660</v>
      </c>
      <c r="P10" s="107">
        <f t="shared" ref="P10" si="18">SUM(P6:P9)</f>
        <v>104330</v>
      </c>
      <c r="Q10" s="106">
        <f t="shared" ref="Q10" si="19">SUM(Q6:Q9)</f>
        <v>119730</v>
      </c>
      <c r="S10" s="65"/>
    </row>
    <row r="11" spans="1:19" x14ac:dyDescent="0.2">
      <c r="A11" s="2092"/>
      <c r="B11" s="48"/>
      <c r="C11" s="48"/>
      <c r="D11" s="48"/>
      <c r="E11" s="48"/>
      <c r="F11" s="48"/>
      <c r="G11" s="48"/>
      <c r="H11" s="48"/>
      <c r="I11" s="48"/>
      <c r="J11" s="48"/>
      <c r="K11" s="48"/>
      <c r="L11" s="48"/>
      <c r="M11" s="161"/>
      <c r="N11" s="161"/>
      <c r="O11" s="161"/>
      <c r="P11" s="161"/>
      <c r="Q11" s="51"/>
    </row>
    <row r="12" spans="1:19" x14ac:dyDescent="0.2">
      <c r="A12" s="564" t="s">
        <v>2088</v>
      </c>
      <c r="B12" s="48"/>
      <c r="C12" s="48"/>
      <c r="D12" s="48"/>
      <c r="E12" s="48"/>
      <c r="F12" s="48"/>
      <c r="G12" s="48"/>
      <c r="H12" s="48"/>
      <c r="I12" s="48"/>
      <c r="J12" s="48"/>
      <c r="K12" s="48"/>
      <c r="L12" s="48"/>
      <c r="M12" s="161"/>
      <c r="N12" s="161"/>
      <c r="O12" s="161"/>
      <c r="P12" s="161"/>
      <c r="Q12" s="51"/>
    </row>
    <row r="13" spans="1:19" x14ac:dyDescent="0.2">
      <c r="A13" s="1740" t="s">
        <v>1908</v>
      </c>
      <c r="B13" s="9">
        <f t="shared" ref="B13:E17" si="20">B54+B96+B137</f>
        <v>10886</v>
      </c>
      <c r="C13" s="9">
        <f t="shared" si="20"/>
        <v>11036</v>
      </c>
      <c r="D13" s="9">
        <f t="shared" si="20"/>
        <v>8140</v>
      </c>
      <c r="E13" s="9">
        <f t="shared" si="20"/>
        <v>6107</v>
      </c>
      <c r="F13" s="9">
        <f t="shared" ref="F13" si="21">F54+F96+F137</f>
        <v>8022</v>
      </c>
      <c r="G13" s="9">
        <f t="shared" ref="G13:P13" si="22">G54+G96+G137</f>
        <v>6194</v>
      </c>
      <c r="H13" s="9">
        <f t="shared" si="22"/>
        <v>6194</v>
      </c>
      <c r="I13" s="9">
        <f t="shared" si="22"/>
        <v>6194</v>
      </c>
      <c r="J13" s="9">
        <f t="shared" si="22"/>
        <v>6194</v>
      </c>
      <c r="K13" s="9">
        <f t="shared" si="22"/>
        <v>6194</v>
      </c>
      <c r="L13" s="9">
        <f t="shared" si="22"/>
        <v>6194</v>
      </c>
      <c r="M13" s="89">
        <f t="shared" si="22"/>
        <v>6194</v>
      </c>
      <c r="N13" s="89">
        <f t="shared" si="22"/>
        <v>6194</v>
      </c>
      <c r="O13" s="89">
        <f t="shared" si="22"/>
        <v>6194</v>
      </c>
      <c r="P13" s="89">
        <f t="shared" si="22"/>
        <v>6194</v>
      </c>
      <c r="Q13" s="61">
        <f t="shared" ref="Q13" si="23">Q54+Q96+Q137</f>
        <v>6194</v>
      </c>
      <c r="S13" s="36"/>
    </row>
    <row r="14" spans="1:19" x14ac:dyDescent="0.2">
      <c r="A14" s="1740" t="s">
        <v>2085</v>
      </c>
      <c r="B14" s="9">
        <f t="shared" si="20"/>
        <v>641</v>
      </c>
      <c r="C14" s="9">
        <f t="shared" si="20"/>
        <v>510</v>
      </c>
      <c r="D14" s="9">
        <f t="shared" si="20"/>
        <v>495</v>
      </c>
      <c r="E14" s="9">
        <f t="shared" si="20"/>
        <v>361</v>
      </c>
      <c r="F14" s="9">
        <f t="shared" ref="F14" si="24">F55+F97+F138</f>
        <v>310</v>
      </c>
      <c r="G14" s="9">
        <f t="shared" ref="G14:P14" si="25">G55+G97+G138</f>
        <v>330</v>
      </c>
      <c r="H14" s="9">
        <f t="shared" si="25"/>
        <v>360</v>
      </c>
      <c r="I14" s="9">
        <f t="shared" si="25"/>
        <v>390</v>
      </c>
      <c r="J14" s="9">
        <f t="shared" si="25"/>
        <v>420</v>
      </c>
      <c r="K14" s="9">
        <f t="shared" si="25"/>
        <v>450</v>
      </c>
      <c r="L14" s="9">
        <f t="shared" si="25"/>
        <v>480</v>
      </c>
      <c r="M14" s="89">
        <f t="shared" si="25"/>
        <v>510</v>
      </c>
      <c r="N14" s="89">
        <f t="shared" si="25"/>
        <v>540</v>
      </c>
      <c r="O14" s="89">
        <f t="shared" si="25"/>
        <v>570</v>
      </c>
      <c r="P14" s="89">
        <f t="shared" si="25"/>
        <v>600</v>
      </c>
      <c r="Q14" s="61">
        <f t="shared" ref="Q14" si="26">Q55+Q97+Q138</f>
        <v>630</v>
      </c>
    </row>
    <row r="15" spans="1:19" x14ac:dyDescent="0.2">
      <c r="A15" s="1740" t="s">
        <v>2086</v>
      </c>
      <c r="B15" s="9">
        <f t="shared" si="20"/>
        <v>2816</v>
      </c>
      <c r="C15" s="9">
        <f t="shared" si="20"/>
        <v>3051</v>
      </c>
      <c r="D15" s="9">
        <f t="shared" si="20"/>
        <v>2459</v>
      </c>
      <c r="E15" s="9">
        <f t="shared" si="20"/>
        <v>3026</v>
      </c>
      <c r="F15" s="9">
        <f t="shared" ref="F15" si="27">F56+F98+F139</f>
        <v>1678</v>
      </c>
      <c r="G15" s="9">
        <f t="shared" ref="G15:P15" si="28">G56+G98+G139</f>
        <v>1710</v>
      </c>
      <c r="H15" s="9">
        <f t="shared" si="28"/>
        <v>1750</v>
      </c>
      <c r="I15" s="9">
        <f t="shared" si="28"/>
        <v>1800</v>
      </c>
      <c r="J15" s="9">
        <f t="shared" si="28"/>
        <v>1850</v>
      </c>
      <c r="K15" s="9">
        <f t="shared" si="28"/>
        <v>1900</v>
      </c>
      <c r="L15" s="9">
        <f t="shared" si="28"/>
        <v>1950</v>
      </c>
      <c r="M15" s="89">
        <f t="shared" si="28"/>
        <v>2000</v>
      </c>
      <c r="N15" s="89">
        <f t="shared" si="28"/>
        <v>2050</v>
      </c>
      <c r="O15" s="89">
        <f t="shared" si="28"/>
        <v>2110</v>
      </c>
      <c r="P15" s="89">
        <f t="shared" si="28"/>
        <v>2170</v>
      </c>
      <c r="Q15" s="61">
        <f t="shared" ref="Q15" si="29">Q56+Q98+Q139</f>
        <v>2230</v>
      </c>
    </row>
    <row r="16" spans="1:19" x14ac:dyDescent="0.2">
      <c r="A16" s="559" t="s">
        <v>3298</v>
      </c>
      <c r="B16" s="48">
        <f t="shared" si="20"/>
        <v>1094337</v>
      </c>
      <c r="C16" s="48">
        <f t="shared" si="20"/>
        <v>1125496</v>
      </c>
      <c r="D16" s="48">
        <f t="shared" si="20"/>
        <v>1075225</v>
      </c>
      <c r="E16" s="48">
        <f t="shared" si="20"/>
        <v>1090742</v>
      </c>
      <c r="F16" s="48">
        <f t="shared" ref="F16" si="30">F57+F99+F140</f>
        <v>1140730</v>
      </c>
      <c r="G16" s="48">
        <f t="shared" ref="G16:P16" si="31">G57+G99+G140</f>
        <v>1176910</v>
      </c>
      <c r="H16" s="48">
        <f t="shared" si="31"/>
        <v>1206960</v>
      </c>
      <c r="I16" s="48">
        <f t="shared" si="31"/>
        <v>1227980</v>
      </c>
      <c r="J16" s="48">
        <f t="shared" si="31"/>
        <v>1249860</v>
      </c>
      <c r="K16" s="48">
        <f t="shared" si="31"/>
        <v>1265300</v>
      </c>
      <c r="L16" s="48">
        <f t="shared" si="31"/>
        <v>1265600</v>
      </c>
      <c r="M16" s="161">
        <f t="shared" si="31"/>
        <v>1266650</v>
      </c>
      <c r="N16" s="161">
        <f t="shared" si="31"/>
        <v>1271600</v>
      </c>
      <c r="O16" s="161">
        <f t="shared" si="31"/>
        <v>1265350</v>
      </c>
      <c r="P16" s="161">
        <f t="shared" si="31"/>
        <v>1262040</v>
      </c>
      <c r="Q16" s="51">
        <f t="shared" ref="Q16" si="32">Q57+Q99+Q140</f>
        <v>1256440</v>
      </c>
    </row>
    <row r="17" spans="1:19" x14ac:dyDescent="0.2">
      <c r="A17" s="1740" t="s">
        <v>2089</v>
      </c>
      <c r="B17" s="9">
        <f t="shared" si="20"/>
        <v>18350</v>
      </c>
      <c r="C17" s="9">
        <f t="shared" si="20"/>
        <v>18404</v>
      </c>
      <c r="D17" s="9">
        <f t="shared" si="20"/>
        <v>21282</v>
      </c>
      <c r="E17" s="9">
        <f t="shared" si="20"/>
        <v>21977</v>
      </c>
      <c r="F17" s="9">
        <f t="shared" ref="F17" si="33">F58+F100+F141</f>
        <v>22025</v>
      </c>
      <c r="G17" s="9">
        <f t="shared" ref="G17:P17" si="34">G58+G100+G141</f>
        <v>22360</v>
      </c>
      <c r="H17" s="9">
        <f t="shared" si="34"/>
        <v>22880</v>
      </c>
      <c r="I17" s="9">
        <f t="shared" si="34"/>
        <v>23460</v>
      </c>
      <c r="J17" s="9">
        <f t="shared" si="34"/>
        <v>24050</v>
      </c>
      <c r="K17" s="9">
        <f t="shared" si="34"/>
        <v>24660</v>
      </c>
      <c r="L17" s="9">
        <f t="shared" si="34"/>
        <v>25280</v>
      </c>
      <c r="M17" s="89">
        <f t="shared" si="34"/>
        <v>25920</v>
      </c>
      <c r="N17" s="89">
        <f t="shared" si="34"/>
        <v>26570</v>
      </c>
      <c r="O17" s="89">
        <f t="shared" si="34"/>
        <v>27240</v>
      </c>
      <c r="P17" s="89">
        <f t="shared" si="34"/>
        <v>27930</v>
      </c>
      <c r="Q17" s="61">
        <f t="shared" ref="Q17" si="35">Q58+Q100+Q141</f>
        <v>28630</v>
      </c>
    </row>
    <row r="18" spans="1:19" s="573" customFormat="1" x14ac:dyDescent="0.2">
      <c r="A18" s="1741" t="s">
        <v>2090</v>
      </c>
      <c r="B18" s="1811">
        <f>B60+B101+B142</f>
        <v>1127030</v>
      </c>
      <c r="C18" s="1811">
        <f>C60+C101+C142</f>
        <v>1158497</v>
      </c>
      <c r="D18" s="1811">
        <f>D60+D101+D142</f>
        <v>1107601</v>
      </c>
      <c r="E18" s="1811">
        <f>E60+E101+E142</f>
        <v>1122213</v>
      </c>
      <c r="F18" s="1811">
        <f t="shared" ref="F18" si="36">F60+F101+F142</f>
        <v>1172785</v>
      </c>
      <c r="G18" s="1811">
        <f t="shared" ref="G18:P18" si="37">G60+G101+G142</f>
        <v>1207504</v>
      </c>
      <c r="H18" s="1811">
        <f t="shared" si="37"/>
        <v>1238144</v>
      </c>
      <c r="I18" s="1811">
        <f t="shared" si="37"/>
        <v>1259824</v>
      </c>
      <c r="J18" s="1811">
        <f t="shared" si="37"/>
        <v>1282374</v>
      </c>
      <c r="K18" s="1811">
        <f t="shared" si="37"/>
        <v>1298504</v>
      </c>
      <c r="L18" s="1811">
        <f t="shared" si="37"/>
        <v>1299504</v>
      </c>
      <c r="M18" s="1476">
        <f t="shared" si="37"/>
        <v>1301274</v>
      </c>
      <c r="N18" s="1476">
        <f t="shared" si="37"/>
        <v>1306954</v>
      </c>
      <c r="O18" s="1476">
        <f t="shared" si="37"/>
        <v>1301464</v>
      </c>
      <c r="P18" s="1476">
        <f t="shared" si="37"/>
        <v>1298934</v>
      </c>
      <c r="Q18" s="1748">
        <f t="shared" ref="Q18" si="38">Q60+Q101+Q142</f>
        <v>1294124</v>
      </c>
      <c r="S18" s="65"/>
    </row>
    <row r="19" spans="1:19" s="285" customFormat="1" ht="13.5" thickBot="1" x14ac:dyDescent="0.25">
      <c r="A19" s="564" t="s">
        <v>2091</v>
      </c>
      <c r="B19" s="2093">
        <f t="shared" ref="B19:M19" si="39">B10+B18</f>
        <v>1216721</v>
      </c>
      <c r="C19" s="2093">
        <f t="shared" si="39"/>
        <v>1227910</v>
      </c>
      <c r="D19" s="2093">
        <f t="shared" si="39"/>
        <v>1177179</v>
      </c>
      <c r="E19" s="2093">
        <f t="shared" si="39"/>
        <v>1193514</v>
      </c>
      <c r="F19" s="2093">
        <f t="shared" ref="F19" si="40">F10+F18</f>
        <v>1257141</v>
      </c>
      <c r="G19" s="2093">
        <f t="shared" si="39"/>
        <v>1284674</v>
      </c>
      <c r="H19" s="2093">
        <f t="shared" si="39"/>
        <v>1307724</v>
      </c>
      <c r="I19" s="2093">
        <f t="shared" si="39"/>
        <v>1319614</v>
      </c>
      <c r="J19" s="2093">
        <f t="shared" si="39"/>
        <v>1342464</v>
      </c>
      <c r="K19" s="2093">
        <f t="shared" si="39"/>
        <v>1356984</v>
      </c>
      <c r="L19" s="2093">
        <f t="shared" si="39"/>
        <v>1366424</v>
      </c>
      <c r="M19" s="1477">
        <f t="shared" si="39"/>
        <v>1374834</v>
      </c>
      <c r="N19" s="1477">
        <f t="shared" ref="N19:O19" si="41">N10+N18</f>
        <v>1383904</v>
      </c>
      <c r="O19" s="1477">
        <f t="shared" si="41"/>
        <v>1392124</v>
      </c>
      <c r="P19" s="1477">
        <f t="shared" ref="P19" si="42">P10+P18</f>
        <v>1403264</v>
      </c>
      <c r="Q19" s="2539">
        <f t="shared" ref="Q19" si="43">Q10+Q18</f>
        <v>1413854</v>
      </c>
    </row>
    <row r="20" spans="1:19" x14ac:dyDescent="0.2">
      <c r="A20" s="2092"/>
      <c r="B20" s="48"/>
      <c r="C20" s="48"/>
      <c r="D20" s="48"/>
      <c r="E20" s="48"/>
      <c r="F20" s="161"/>
      <c r="G20" s="48"/>
      <c r="H20" s="48"/>
      <c r="I20" s="48"/>
      <c r="J20" s="48"/>
      <c r="K20" s="48"/>
      <c r="L20" s="48"/>
      <c r="M20" s="161"/>
      <c r="N20" s="161"/>
      <c r="O20" s="161"/>
      <c r="P20" s="161"/>
      <c r="Q20" s="51"/>
    </row>
    <row r="21" spans="1:19" x14ac:dyDescent="0.2">
      <c r="A21" s="564" t="s">
        <v>2092</v>
      </c>
      <c r="B21" s="48"/>
      <c r="C21" s="48"/>
      <c r="D21" s="48"/>
      <c r="E21" s="48"/>
      <c r="F21" s="161"/>
      <c r="G21" s="48"/>
      <c r="H21" s="48"/>
      <c r="I21" s="48"/>
      <c r="J21" s="48"/>
      <c r="K21" s="48"/>
      <c r="L21" s="48"/>
      <c r="M21" s="161"/>
      <c r="N21" s="161"/>
      <c r="O21" s="161"/>
      <c r="P21" s="161"/>
      <c r="Q21" s="51"/>
    </row>
    <row r="22" spans="1:19" x14ac:dyDescent="0.2">
      <c r="A22" s="564" t="s">
        <v>2765</v>
      </c>
      <c r="B22" s="48"/>
      <c r="C22" s="48"/>
      <c r="D22" s="48"/>
      <c r="E22" s="48"/>
      <c r="F22" s="161"/>
      <c r="G22" s="48"/>
      <c r="H22" s="48"/>
      <c r="I22" s="48"/>
      <c r="J22" s="48"/>
      <c r="K22" s="48"/>
      <c r="L22" s="48"/>
      <c r="M22" s="161"/>
      <c r="N22" s="161"/>
      <c r="O22" s="161"/>
      <c r="P22" s="161"/>
      <c r="Q22" s="51"/>
    </row>
    <row r="23" spans="1:19" x14ac:dyDescent="0.2">
      <c r="A23" s="1740" t="s">
        <v>2766</v>
      </c>
      <c r="B23" s="9">
        <f t="shared" ref="B23:E25" si="44">B65+B106+B147</f>
        <v>9341</v>
      </c>
      <c r="C23" s="9">
        <f t="shared" si="44"/>
        <v>7590</v>
      </c>
      <c r="D23" s="9">
        <f t="shared" si="44"/>
        <v>6411</v>
      </c>
      <c r="E23" s="9">
        <f t="shared" si="44"/>
        <v>7103</v>
      </c>
      <c r="F23" s="9">
        <f t="shared" ref="F23" si="45">F65+F106+F147</f>
        <v>9549</v>
      </c>
      <c r="G23" s="9">
        <f t="shared" ref="G23:P23" si="46">G65+G106+G147</f>
        <v>9790</v>
      </c>
      <c r="H23" s="9">
        <f t="shared" si="46"/>
        <v>10120</v>
      </c>
      <c r="I23" s="9">
        <f t="shared" si="46"/>
        <v>10480</v>
      </c>
      <c r="J23" s="9">
        <f t="shared" si="46"/>
        <v>10850</v>
      </c>
      <c r="K23" s="9">
        <f t="shared" si="46"/>
        <v>11220</v>
      </c>
      <c r="L23" s="9">
        <f t="shared" si="46"/>
        <v>11600</v>
      </c>
      <c r="M23" s="89">
        <f t="shared" si="46"/>
        <v>11980</v>
      </c>
      <c r="N23" s="89">
        <f t="shared" si="46"/>
        <v>12370</v>
      </c>
      <c r="O23" s="89">
        <f t="shared" si="46"/>
        <v>12770</v>
      </c>
      <c r="P23" s="89">
        <f t="shared" si="46"/>
        <v>13180</v>
      </c>
      <c r="Q23" s="61">
        <f t="shared" ref="Q23" si="47">Q65+Q106+Q147</f>
        <v>13590</v>
      </c>
    </row>
    <row r="24" spans="1:19" x14ac:dyDescent="0.2">
      <c r="A24" s="1740" t="s">
        <v>2767</v>
      </c>
      <c r="B24" s="48">
        <f t="shared" si="44"/>
        <v>7950</v>
      </c>
      <c r="C24" s="48">
        <f t="shared" si="44"/>
        <v>8051</v>
      </c>
      <c r="D24" s="48">
        <f t="shared" si="44"/>
        <v>6586.3</v>
      </c>
      <c r="E24" s="48">
        <f t="shared" si="44"/>
        <v>6653.9</v>
      </c>
      <c r="F24" s="48">
        <f t="shared" ref="F24" si="48">F66+F107+F148</f>
        <v>6219</v>
      </c>
      <c r="G24" s="48">
        <f t="shared" ref="G24:P24" si="49">G66+G107+G148</f>
        <v>6458.8</v>
      </c>
      <c r="H24" s="48">
        <f t="shared" si="49"/>
        <v>6682.4</v>
      </c>
      <c r="I24" s="48">
        <f t="shared" si="49"/>
        <v>5584.5</v>
      </c>
      <c r="J24" s="48">
        <f t="shared" si="49"/>
        <v>6290.2</v>
      </c>
      <c r="K24" s="48">
        <f t="shared" si="49"/>
        <v>6027.1</v>
      </c>
      <c r="L24" s="48">
        <f t="shared" si="49"/>
        <v>5493.8</v>
      </c>
      <c r="M24" s="161">
        <f t="shared" si="49"/>
        <v>5425</v>
      </c>
      <c r="N24" s="161">
        <f t="shared" si="49"/>
        <v>4999.3999999999996</v>
      </c>
      <c r="O24" s="161">
        <f t="shared" si="49"/>
        <v>5200.3999999999996</v>
      </c>
      <c r="P24" s="161">
        <f t="shared" si="49"/>
        <v>5462.3</v>
      </c>
      <c r="Q24" s="51">
        <f t="shared" ref="Q24" si="50">Q66+Q107+Q148</f>
        <v>0</v>
      </c>
      <c r="S24" s="36"/>
    </row>
    <row r="25" spans="1:19" x14ac:dyDescent="0.2">
      <c r="A25" s="1740" t="s">
        <v>2768</v>
      </c>
      <c r="B25" s="322">
        <f t="shared" si="44"/>
        <v>7893</v>
      </c>
      <c r="C25" s="322">
        <f t="shared" si="44"/>
        <v>7161</v>
      </c>
      <c r="D25" s="322">
        <f t="shared" si="44"/>
        <v>7046</v>
      </c>
      <c r="E25" s="322">
        <f t="shared" si="44"/>
        <v>7551</v>
      </c>
      <c r="F25" s="322">
        <f t="shared" ref="F25" si="51">F67+F108+F149</f>
        <v>8091</v>
      </c>
      <c r="G25" s="322">
        <f t="shared" ref="G25:P25" si="52">G67+G108+G149</f>
        <v>8270</v>
      </c>
      <c r="H25" s="322">
        <f t="shared" si="52"/>
        <v>8500</v>
      </c>
      <c r="I25" s="322">
        <f t="shared" si="52"/>
        <v>8730</v>
      </c>
      <c r="J25" s="322">
        <f t="shared" si="52"/>
        <v>8960</v>
      </c>
      <c r="K25" s="322">
        <f t="shared" si="52"/>
        <v>9290</v>
      </c>
      <c r="L25" s="322">
        <f t="shared" si="52"/>
        <v>9620</v>
      </c>
      <c r="M25" s="456">
        <f t="shared" si="52"/>
        <v>9950</v>
      </c>
      <c r="N25" s="456">
        <f t="shared" si="52"/>
        <v>10280</v>
      </c>
      <c r="O25" s="456">
        <f t="shared" si="52"/>
        <v>10610</v>
      </c>
      <c r="P25" s="456">
        <f t="shared" si="52"/>
        <v>10940</v>
      </c>
      <c r="Q25" s="546">
        <f t="shared" ref="Q25" si="53">Q67+Q108+Q149</f>
        <v>11270</v>
      </c>
    </row>
    <row r="26" spans="1:19" x14ac:dyDescent="0.2">
      <c r="A26" s="564" t="s">
        <v>2769</v>
      </c>
      <c r="B26" s="48">
        <f t="shared" ref="B26:M26" si="54">SUM(B23:B25)</f>
        <v>25184</v>
      </c>
      <c r="C26" s="48">
        <f t="shared" si="54"/>
        <v>22802</v>
      </c>
      <c r="D26" s="48">
        <f t="shared" si="54"/>
        <v>20043.3</v>
      </c>
      <c r="E26" s="48">
        <f t="shared" si="54"/>
        <v>21307.9</v>
      </c>
      <c r="F26" s="48">
        <f t="shared" ref="F26" si="55">SUM(F23:F25)</f>
        <v>23859</v>
      </c>
      <c r="G26" s="48">
        <f t="shared" si="54"/>
        <v>24518.799999999999</v>
      </c>
      <c r="H26" s="48">
        <f t="shared" si="54"/>
        <v>25302.400000000001</v>
      </c>
      <c r="I26" s="48">
        <f t="shared" si="54"/>
        <v>24794.5</v>
      </c>
      <c r="J26" s="48">
        <f t="shared" si="54"/>
        <v>26100.2</v>
      </c>
      <c r="K26" s="48">
        <f t="shared" si="54"/>
        <v>26537.1</v>
      </c>
      <c r="L26" s="48">
        <f t="shared" si="54"/>
        <v>26713.8</v>
      </c>
      <c r="M26" s="161">
        <f t="shared" si="54"/>
        <v>27355</v>
      </c>
      <c r="N26" s="161">
        <f t="shared" ref="N26:O26" si="56">SUM(N23:N25)</f>
        <v>27649.4</v>
      </c>
      <c r="O26" s="161">
        <f t="shared" si="56"/>
        <v>28580.400000000001</v>
      </c>
      <c r="P26" s="161">
        <f t="shared" ref="P26" si="57">SUM(P23:P25)</f>
        <v>29582.3</v>
      </c>
      <c r="Q26" s="51">
        <f t="shared" ref="Q26" si="58">SUM(Q23:Q25)</f>
        <v>24860</v>
      </c>
    </row>
    <row r="27" spans="1:19" x14ac:dyDescent="0.2">
      <c r="A27" s="2092"/>
      <c r="B27" s="48"/>
      <c r="C27" s="48"/>
      <c r="D27" s="48"/>
      <c r="E27" s="48"/>
      <c r="F27" s="48"/>
      <c r="G27" s="48"/>
      <c r="H27" s="48"/>
      <c r="I27" s="48"/>
      <c r="J27" s="48"/>
      <c r="K27" s="48"/>
      <c r="L27" s="48"/>
      <c r="M27" s="161"/>
      <c r="N27" s="161"/>
      <c r="O27" s="161"/>
      <c r="P27" s="161"/>
      <c r="Q27" s="51"/>
    </row>
    <row r="28" spans="1:19" x14ac:dyDescent="0.2">
      <c r="A28" s="564" t="s">
        <v>2770</v>
      </c>
      <c r="B28" s="48"/>
      <c r="C28" s="48"/>
      <c r="D28" s="48"/>
      <c r="E28" s="48"/>
      <c r="F28" s="48"/>
      <c r="G28" s="48"/>
      <c r="H28" s="48"/>
      <c r="I28" s="48"/>
      <c r="J28" s="48"/>
      <c r="K28" s="48"/>
      <c r="L28" s="48"/>
      <c r="M28" s="161"/>
      <c r="N28" s="161"/>
      <c r="O28" s="161"/>
      <c r="P28" s="161"/>
      <c r="Q28" s="51"/>
    </row>
    <row r="29" spans="1:19" x14ac:dyDescent="0.2">
      <c r="A29" s="1740" t="s">
        <v>2766</v>
      </c>
      <c r="B29" s="48">
        <f t="shared" ref="B29:E31" si="59">B71+B112+B153</f>
        <v>540</v>
      </c>
      <c r="C29" s="48">
        <f t="shared" si="59"/>
        <v>0</v>
      </c>
      <c r="D29" s="9">
        <f t="shared" si="59"/>
        <v>0</v>
      </c>
      <c r="E29" s="9">
        <f t="shared" si="59"/>
        <v>0</v>
      </c>
      <c r="F29" s="9">
        <f t="shared" ref="F29" si="60">F71+F112+F153</f>
        <v>0</v>
      </c>
      <c r="G29" s="9">
        <f t="shared" ref="G29:P29" si="61">G71+G112+G153</f>
        <v>0</v>
      </c>
      <c r="H29" s="9">
        <f t="shared" si="61"/>
        <v>0</v>
      </c>
      <c r="I29" s="9">
        <f t="shared" si="61"/>
        <v>0</v>
      </c>
      <c r="J29" s="9">
        <f t="shared" si="61"/>
        <v>0</v>
      </c>
      <c r="K29" s="9">
        <f t="shared" si="61"/>
        <v>0</v>
      </c>
      <c r="L29" s="9">
        <f t="shared" si="61"/>
        <v>0</v>
      </c>
      <c r="M29" s="89">
        <f t="shared" si="61"/>
        <v>0</v>
      </c>
      <c r="N29" s="89">
        <f t="shared" si="61"/>
        <v>0</v>
      </c>
      <c r="O29" s="89">
        <f t="shared" si="61"/>
        <v>0</v>
      </c>
      <c r="P29" s="89">
        <f t="shared" si="61"/>
        <v>0</v>
      </c>
      <c r="Q29" s="61">
        <f t="shared" ref="Q29" si="62">Q71+Q112+Q153</f>
        <v>0</v>
      </c>
    </row>
    <row r="30" spans="1:19" x14ac:dyDescent="0.2">
      <c r="A30" s="1740" t="s">
        <v>2767</v>
      </c>
      <c r="B30" s="48">
        <f t="shared" si="59"/>
        <v>87186</v>
      </c>
      <c r="C30" s="48">
        <f t="shared" si="59"/>
        <v>83902</v>
      </c>
      <c r="D30" s="48">
        <f t="shared" si="59"/>
        <v>80982</v>
      </c>
      <c r="E30" s="48">
        <f t="shared" si="59"/>
        <v>75244</v>
      </c>
      <c r="F30" s="48">
        <f t="shared" ref="F30" si="63">F72+F113+F154</f>
        <v>76078</v>
      </c>
      <c r="G30" s="48">
        <f t="shared" ref="G30:P30" si="64">G72+G113+G154</f>
        <v>78453.5</v>
      </c>
      <c r="H30" s="48">
        <f t="shared" si="64"/>
        <v>74271.100000000006</v>
      </c>
      <c r="I30" s="48">
        <f t="shared" si="64"/>
        <v>68686.600000000006</v>
      </c>
      <c r="J30" s="48">
        <f t="shared" si="64"/>
        <v>70736.5</v>
      </c>
      <c r="K30" s="48">
        <f t="shared" si="64"/>
        <v>64709.4</v>
      </c>
      <c r="L30" s="48">
        <f t="shared" si="64"/>
        <v>59215.600000000006</v>
      </c>
      <c r="M30" s="161">
        <f t="shared" si="64"/>
        <v>53790.6</v>
      </c>
      <c r="N30" s="161">
        <f t="shared" si="64"/>
        <v>48791.199999999997</v>
      </c>
      <c r="O30" s="161">
        <f t="shared" si="64"/>
        <v>43590.8</v>
      </c>
      <c r="P30" s="161">
        <f t="shared" si="64"/>
        <v>38128.5</v>
      </c>
      <c r="Q30" s="51">
        <f t="shared" ref="Q30" si="65">Q72+Q113+Q154</f>
        <v>24559</v>
      </c>
    </row>
    <row r="31" spans="1:19" x14ac:dyDescent="0.2">
      <c r="A31" s="1740" t="s">
        <v>2768</v>
      </c>
      <c r="B31" s="651">
        <f t="shared" si="59"/>
        <v>3938</v>
      </c>
      <c r="C31" s="651">
        <f t="shared" si="59"/>
        <v>4568</v>
      </c>
      <c r="D31" s="322">
        <f t="shared" si="59"/>
        <v>4619</v>
      </c>
      <c r="E31" s="322">
        <f t="shared" si="59"/>
        <v>4525</v>
      </c>
      <c r="F31" s="322">
        <f t="shared" ref="F31" si="66">F73+F114+F155</f>
        <v>4319</v>
      </c>
      <c r="G31" s="322">
        <f t="shared" ref="G31:P31" si="67">G73+G114+G155</f>
        <v>4620</v>
      </c>
      <c r="H31" s="322">
        <f t="shared" si="67"/>
        <v>5030</v>
      </c>
      <c r="I31" s="322">
        <f t="shared" si="67"/>
        <v>5440</v>
      </c>
      <c r="J31" s="322">
        <f t="shared" si="67"/>
        <v>5850</v>
      </c>
      <c r="K31" s="322">
        <f t="shared" si="67"/>
        <v>6260</v>
      </c>
      <c r="L31" s="322">
        <f t="shared" si="67"/>
        <v>6670</v>
      </c>
      <c r="M31" s="456">
        <f t="shared" si="67"/>
        <v>7080</v>
      </c>
      <c r="N31" s="456">
        <f t="shared" si="67"/>
        <v>7490</v>
      </c>
      <c r="O31" s="456">
        <f t="shared" si="67"/>
        <v>7900</v>
      </c>
      <c r="P31" s="456">
        <f t="shared" si="67"/>
        <v>8410</v>
      </c>
      <c r="Q31" s="546">
        <f t="shared" ref="Q31" si="68">Q73+Q114+Q155</f>
        <v>8920</v>
      </c>
    </row>
    <row r="32" spans="1:19" s="573" customFormat="1" x14ac:dyDescent="0.2">
      <c r="A32" s="1741" t="s">
        <v>2771</v>
      </c>
      <c r="B32" s="63">
        <f t="shared" ref="B32:M32" si="69">SUM(B29:B31)</f>
        <v>91664</v>
      </c>
      <c r="C32" s="63">
        <f t="shared" si="69"/>
        <v>88470</v>
      </c>
      <c r="D32" s="63">
        <f t="shared" si="69"/>
        <v>85601</v>
      </c>
      <c r="E32" s="63">
        <f t="shared" si="69"/>
        <v>79769</v>
      </c>
      <c r="F32" s="63">
        <f t="shared" ref="F32" si="70">SUM(F29:F31)</f>
        <v>80397</v>
      </c>
      <c r="G32" s="63">
        <f t="shared" si="69"/>
        <v>83073.5</v>
      </c>
      <c r="H32" s="63">
        <f t="shared" si="69"/>
        <v>79301.100000000006</v>
      </c>
      <c r="I32" s="63">
        <f t="shared" si="69"/>
        <v>74126.600000000006</v>
      </c>
      <c r="J32" s="63">
        <f t="shared" si="69"/>
        <v>76586.5</v>
      </c>
      <c r="K32" s="63">
        <f t="shared" si="69"/>
        <v>70969.399999999994</v>
      </c>
      <c r="L32" s="63">
        <f t="shared" si="69"/>
        <v>65885.600000000006</v>
      </c>
      <c r="M32" s="107">
        <f t="shared" si="69"/>
        <v>60870.6</v>
      </c>
      <c r="N32" s="107">
        <f t="shared" ref="N32:O32" si="71">SUM(N29:N31)</f>
        <v>56281.2</v>
      </c>
      <c r="O32" s="107">
        <f t="shared" si="71"/>
        <v>51490.8</v>
      </c>
      <c r="P32" s="107">
        <f t="shared" ref="P32" si="72">SUM(P29:P31)</f>
        <v>46538.5</v>
      </c>
      <c r="Q32" s="106">
        <f t="shared" ref="Q32" si="73">SUM(Q29:Q31)</f>
        <v>33479</v>
      </c>
    </row>
    <row r="33" spans="1:24" s="285" customFormat="1" x14ac:dyDescent="0.2">
      <c r="A33" s="564" t="s">
        <v>2383</v>
      </c>
      <c r="B33" s="944">
        <f t="shared" ref="B33:M33" si="74">B26+B32</f>
        <v>116848</v>
      </c>
      <c r="C33" s="944">
        <f t="shared" si="74"/>
        <v>111272</v>
      </c>
      <c r="D33" s="944">
        <f t="shared" si="74"/>
        <v>105644.3</v>
      </c>
      <c r="E33" s="944">
        <f t="shared" si="74"/>
        <v>101076.9</v>
      </c>
      <c r="F33" s="944">
        <f t="shared" ref="F33" si="75">F26+F32</f>
        <v>104256</v>
      </c>
      <c r="G33" s="944">
        <f t="shared" si="74"/>
        <v>107592.3</v>
      </c>
      <c r="H33" s="944">
        <f t="shared" si="74"/>
        <v>104603.5</v>
      </c>
      <c r="I33" s="944">
        <f t="shared" si="74"/>
        <v>98921.1</v>
      </c>
      <c r="J33" s="944">
        <f t="shared" si="74"/>
        <v>102686.7</v>
      </c>
      <c r="K33" s="944">
        <f t="shared" si="74"/>
        <v>97506.5</v>
      </c>
      <c r="L33" s="944">
        <f t="shared" si="74"/>
        <v>92599.400000000009</v>
      </c>
      <c r="M33" s="1478">
        <f t="shared" si="74"/>
        <v>88225.600000000006</v>
      </c>
      <c r="N33" s="1478">
        <f t="shared" ref="N33:O33" si="76">N26+N32</f>
        <v>83930.6</v>
      </c>
      <c r="O33" s="1478">
        <f t="shared" si="76"/>
        <v>80071.200000000012</v>
      </c>
      <c r="P33" s="1478">
        <f t="shared" ref="P33" si="77">P26+P32</f>
        <v>76120.800000000003</v>
      </c>
      <c r="Q33" s="2541">
        <f t="shared" ref="Q33" si="78">Q26+Q32</f>
        <v>58339</v>
      </c>
    </row>
    <row r="34" spans="1:24" s="285" customFormat="1" ht="13.5" thickBot="1" x14ac:dyDescent="0.25">
      <c r="A34" s="564" t="s">
        <v>2384</v>
      </c>
      <c r="B34" s="2093">
        <f t="shared" ref="B34:M34" si="79">B19-B33</f>
        <v>1099873</v>
      </c>
      <c r="C34" s="2093">
        <f t="shared" si="79"/>
        <v>1116638</v>
      </c>
      <c r="D34" s="2093">
        <f t="shared" si="79"/>
        <v>1071534.7</v>
      </c>
      <c r="E34" s="2093">
        <f t="shared" si="79"/>
        <v>1092437.1000000001</v>
      </c>
      <c r="F34" s="2093">
        <f t="shared" ref="F34" si="80">F19-F33</f>
        <v>1152885</v>
      </c>
      <c r="G34" s="2093">
        <f t="shared" si="79"/>
        <v>1177081.7</v>
      </c>
      <c r="H34" s="2093">
        <f t="shared" si="79"/>
        <v>1203120.5</v>
      </c>
      <c r="I34" s="2093">
        <f t="shared" si="79"/>
        <v>1220692.8999999999</v>
      </c>
      <c r="J34" s="2093">
        <f t="shared" si="79"/>
        <v>1239777.3</v>
      </c>
      <c r="K34" s="2093">
        <f t="shared" si="79"/>
        <v>1259477.5</v>
      </c>
      <c r="L34" s="2093">
        <f t="shared" si="79"/>
        <v>1273824.6000000001</v>
      </c>
      <c r="M34" s="1477">
        <f t="shared" si="79"/>
        <v>1286608.3999999999</v>
      </c>
      <c r="N34" s="1477">
        <f t="shared" ref="N34:O34" si="81">N19-N33</f>
        <v>1299973.3999999999</v>
      </c>
      <c r="O34" s="1477">
        <f t="shared" si="81"/>
        <v>1312052.8</v>
      </c>
      <c r="P34" s="1477">
        <f t="shared" ref="P34" si="82">P19-P33</f>
        <v>1327143.2</v>
      </c>
      <c r="Q34" s="2539">
        <f t="shared" ref="Q34" si="83">Q19-Q33</f>
        <v>1355515</v>
      </c>
      <c r="S34" s="2226"/>
      <c r="T34" s="2226"/>
      <c r="U34" s="2226"/>
      <c r="V34" s="2226"/>
    </row>
    <row r="35" spans="1:24" x14ac:dyDescent="0.2">
      <c r="A35" s="2092"/>
      <c r="B35" s="48"/>
      <c r="C35" s="48"/>
      <c r="D35" s="48"/>
      <c r="E35" s="48"/>
      <c r="F35" s="48"/>
      <c r="G35" s="48"/>
      <c r="H35" s="48"/>
      <c r="I35" s="48"/>
      <c r="J35" s="48"/>
      <c r="K35" s="48"/>
      <c r="L35" s="48"/>
      <c r="M35" s="161"/>
      <c r="N35" s="161"/>
      <c r="O35" s="161"/>
      <c r="P35" s="161"/>
      <c r="Q35" s="51"/>
      <c r="S35" s="2226"/>
      <c r="T35" s="2226"/>
      <c r="U35" s="2226"/>
      <c r="V35" s="2226"/>
    </row>
    <row r="36" spans="1:24" x14ac:dyDescent="0.2">
      <c r="A36" s="564" t="s">
        <v>2385</v>
      </c>
      <c r="B36" s="48"/>
      <c r="C36" s="48"/>
      <c r="D36" s="48"/>
      <c r="E36" s="48"/>
      <c r="F36" s="48"/>
      <c r="G36" s="48"/>
      <c r="H36" s="48"/>
      <c r="I36" s="48"/>
      <c r="J36" s="48"/>
      <c r="K36" s="48"/>
      <c r="L36" s="48"/>
      <c r="M36" s="161"/>
      <c r="N36" s="161"/>
      <c r="O36" s="161"/>
      <c r="P36" s="161"/>
      <c r="Q36" s="51"/>
      <c r="S36" s="2226"/>
      <c r="T36" s="2226"/>
      <c r="U36" s="2226"/>
      <c r="V36" s="2226"/>
    </row>
    <row r="37" spans="1:24" x14ac:dyDescent="0.2">
      <c r="A37" s="1740" t="s">
        <v>2472</v>
      </c>
      <c r="B37" s="48">
        <f t="shared" ref="B37:M37" si="84">B34-B38</f>
        <v>633377</v>
      </c>
      <c r="C37" s="48">
        <f t="shared" si="84"/>
        <v>634748</v>
      </c>
      <c r="D37" s="48">
        <f t="shared" si="84"/>
        <v>634401.69999999995</v>
      </c>
      <c r="E37" s="48">
        <f>E34-E38</f>
        <v>646084.10000000009</v>
      </c>
      <c r="F37" s="48">
        <f>F34-F38</f>
        <v>675946</v>
      </c>
      <c r="G37" s="48">
        <f t="shared" si="84"/>
        <v>692881.7</v>
      </c>
      <c r="H37" s="48">
        <f t="shared" si="84"/>
        <v>707620.5</v>
      </c>
      <c r="I37" s="48">
        <f t="shared" si="84"/>
        <v>712692.89999999991</v>
      </c>
      <c r="J37" s="48">
        <f t="shared" si="84"/>
        <v>718977.3</v>
      </c>
      <c r="K37" s="48">
        <f t="shared" si="84"/>
        <v>725477.5</v>
      </c>
      <c r="L37" s="48">
        <f t="shared" si="84"/>
        <v>726424.60000000009</v>
      </c>
      <c r="M37" s="161">
        <f t="shared" si="84"/>
        <v>725308.39999999991</v>
      </c>
      <c r="N37" s="161">
        <f t="shared" ref="N37:O37" si="85">N34-N38</f>
        <v>724573.39999999991</v>
      </c>
      <c r="O37" s="161">
        <f t="shared" si="85"/>
        <v>722152.8</v>
      </c>
      <c r="P37" s="161">
        <f t="shared" ref="P37" si="86">P34-P38</f>
        <v>722343.2</v>
      </c>
      <c r="Q37" s="51">
        <f t="shared" ref="Q37" si="87">Q34-Q38</f>
        <v>735415</v>
      </c>
      <c r="S37" s="2226"/>
      <c r="T37" s="2226"/>
      <c r="U37" s="2226"/>
      <c r="V37" s="2226"/>
    </row>
    <row r="38" spans="1:24" x14ac:dyDescent="0.2">
      <c r="A38" s="1740" t="s">
        <v>2837</v>
      </c>
      <c r="B38" s="48">
        <f>B80+B121+B162</f>
        <v>466496</v>
      </c>
      <c r="C38" s="48">
        <f>C80+C121+C162</f>
        <v>481890</v>
      </c>
      <c r="D38" s="48">
        <f>D80+D121+D162</f>
        <v>437133</v>
      </c>
      <c r="E38" s="48">
        <f>E80+E121+E162</f>
        <v>446353</v>
      </c>
      <c r="F38" s="48">
        <f t="shared" ref="F38" si="88">F80+F121+F162</f>
        <v>476939</v>
      </c>
      <c r="G38" s="48">
        <f t="shared" ref="G38:P38" si="89">G80+G121+G162</f>
        <v>484200</v>
      </c>
      <c r="H38" s="48">
        <f t="shared" si="89"/>
        <v>495500</v>
      </c>
      <c r="I38" s="48">
        <f t="shared" si="89"/>
        <v>508000</v>
      </c>
      <c r="J38" s="48">
        <f t="shared" si="89"/>
        <v>520800</v>
      </c>
      <c r="K38" s="48">
        <f t="shared" si="89"/>
        <v>534000</v>
      </c>
      <c r="L38" s="48">
        <f t="shared" si="89"/>
        <v>547400</v>
      </c>
      <c r="M38" s="161">
        <f t="shared" si="89"/>
        <v>561300</v>
      </c>
      <c r="N38" s="161">
        <f t="shared" si="89"/>
        <v>575400</v>
      </c>
      <c r="O38" s="161">
        <f t="shared" si="89"/>
        <v>589900</v>
      </c>
      <c r="P38" s="161">
        <f t="shared" si="89"/>
        <v>604800</v>
      </c>
      <c r="Q38" s="51">
        <f t="shared" ref="Q38" si="90">Q80+Q121+Q162</f>
        <v>620100</v>
      </c>
      <c r="S38" s="2226"/>
      <c r="T38" s="2226"/>
      <c r="U38" s="2226"/>
      <c r="V38" s="2226"/>
      <c r="X38" s="36"/>
    </row>
    <row r="39" spans="1:24" s="573" customFormat="1" ht="13.5" thickBot="1" x14ac:dyDescent="0.25">
      <c r="A39" s="2542" t="s">
        <v>2717</v>
      </c>
      <c r="B39" s="2543">
        <f t="shared" ref="B39:M39" si="91">SUM(B37:B38)</f>
        <v>1099873</v>
      </c>
      <c r="C39" s="2543">
        <f t="shared" si="91"/>
        <v>1116638</v>
      </c>
      <c r="D39" s="2543">
        <f t="shared" si="91"/>
        <v>1071534.7</v>
      </c>
      <c r="E39" s="2543">
        <f>SUM(E37:E38)</f>
        <v>1092437.1000000001</v>
      </c>
      <c r="F39" s="2543">
        <f>SUM(F37:F38)</f>
        <v>1152885</v>
      </c>
      <c r="G39" s="2543">
        <f t="shared" si="91"/>
        <v>1177081.7</v>
      </c>
      <c r="H39" s="2543">
        <f t="shared" si="91"/>
        <v>1203120.5</v>
      </c>
      <c r="I39" s="2543">
        <f t="shared" si="91"/>
        <v>1220692.8999999999</v>
      </c>
      <c r="J39" s="2543">
        <f t="shared" si="91"/>
        <v>1239777.3</v>
      </c>
      <c r="K39" s="2543">
        <f t="shared" si="91"/>
        <v>1259477.5</v>
      </c>
      <c r="L39" s="2543">
        <f t="shared" si="91"/>
        <v>1273824.6000000001</v>
      </c>
      <c r="M39" s="2544">
        <f t="shared" si="91"/>
        <v>1286608.3999999999</v>
      </c>
      <c r="N39" s="2544">
        <f t="shared" ref="N39:O39" si="92">SUM(N37:N38)</f>
        <v>1299973.3999999999</v>
      </c>
      <c r="O39" s="2544">
        <f t="shared" si="92"/>
        <v>1312052.8</v>
      </c>
      <c r="P39" s="2544">
        <f t="shared" ref="P39" si="93">SUM(P37:P38)</f>
        <v>1327143.2</v>
      </c>
      <c r="Q39" s="2545">
        <f t="shared" ref="Q39" si="94">SUM(Q37:Q38)</f>
        <v>1355515</v>
      </c>
      <c r="S39" s="2226"/>
      <c r="T39" s="2226"/>
      <c r="U39" s="2226"/>
      <c r="V39" s="2226"/>
    </row>
    <row r="40" spans="1:24" ht="14.25" thickTop="1" thickBot="1" x14ac:dyDescent="0.25">
      <c r="A40" s="2095"/>
      <c r="B40" s="1480"/>
      <c r="C40" s="1480"/>
      <c r="D40" s="1480"/>
      <c r="E40" s="1480"/>
      <c r="F40" s="1480"/>
      <c r="G40" s="1480"/>
      <c r="H40" s="1480"/>
      <c r="I40" s="1480"/>
      <c r="J40" s="1480"/>
      <c r="K40" s="1480"/>
      <c r="L40" s="1480"/>
      <c r="M40" s="2094"/>
      <c r="N40" s="2094"/>
      <c r="O40" s="2094"/>
      <c r="P40" s="2094"/>
      <c r="Q40" s="2094"/>
      <c r="S40" s="2226"/>
      <c r="T40" s="2226"/>
      <c r="U40" s="2226"/>
      <c r="V40" s="2226"/>
    </row>
    <row r="41" spans="1:24" s="1250" customFormat="1" ht="14.25" thickTop="1" thickBot="1" x14ac:dyDescent="0.25">
      <c r="B41" s="783"/>
      <c r="C41" s="783"/>
      <c r="D41" s="783"/>
      <c r="E41" s="783"/>
      <c r="F41" s="783"/>
      <c r="G41" s="783"/>
      <c r="H41" s="783"/>
      <c r="I41" s="783"/>
      <c r="J41" s="783"/>
      <c r="K41" s="783"/>
      <c r="L41" s="783"/>
      <c r="M41" s="783"/>
      <c r="N41" s="783"/>
      <c r="O41" s="783"/>
      <c r="P41" s="783"/>
      <c r="Q41" s="783"/>
      <c r="S41" s="2226"/>
      <c r="T41" s="2226"/>
      <c r="U41" s="2226"/>
      <c r="V41" s="2226"/>
    </row>
    <row r="42" spans="1:24" ht="17.25" thickTop="1" thickBot="1" x14ac:dyDescent="0.3">
      <c r="A42" s="2570" t="s">
        <v>5948</v>
      </c>
      <c r="B42" s="2571"/>
      <c r="C42" s="2571"/>
      <c r="D42" s="2571"/>
      <c r="E42" s="2571"/>
      <c r="F42" s="2571"/>
      <c r="G42" s="2571"/>
      <c r="H42" s="2571"/>
      <c r="I42" s="2571"/>
      <c r="J42" s="2571"/>
      <c r="K42" s="2571"/>
      <c r="L42" s="2571"/>
      <c r="M42" s="2571"/>
      <c r="N42" s="2571"/>
      <c r="O42" s="2571"/>
      <c r="P42" s="2571"/>
      <c r="Q42" s="2572"/>
    </row>
    <row r="43" spans="1:24" s="285" customFormat="1" ht="13.5" thickBot="1" x14ac:dyDescent="0.25">
      <c r="A43" s="2089" t="s">
        <v>4478</v>
      </c>
      <c r="B43" s="2090" t="str">
        <f>SP!A3</f>
        <v>2012/13</v>
      </c>
      <c r="C43" s="2090" t="str">
        <f>SP!B3</f>
        <v>2013/14</v>
      </c>
      <c r="D43" s="2090" t="str">
        <f>SP!C3</f>
        <v>2014/15</v>
      </c>
      <c r="E43" s="2090" t="str">
        <f>SP!D3</f>
        <v>2015/16</v>
      </c>
      <c r="F43" s="1474" t="str">
        <f>SP!E3</f>
        <v>2016/17</v>
      </c>
      <c r="G43" s="2090" t="str">
        <f>SP!H3</f>
        <v>2017/18</v>
      </c>
      <c r="H43" s="2090" t="str">
        <f>SP!J3</f>
        <v>2018/19</v>
      </c>
      <c r="I43" s="2090" t="str">
        <f>SP!K3</f>
        <v>2019/20</v>
      </c>
      <c r="J43" s="2090" t="str">
        <f>SP!L3</f>
        <v>2020/21</v>
      </c>
      <c r="K43" s="2090" t="str">
        <f>SP!M3</f>
        <v>2021/22</v>
      </c>
      <c r="L43" s="2090" t="str">
        <f>SP!N3</f>
        <v>2022/23</v>
      </c>
      <c r="M43" s="2090" t="str">
        <f>SP!O3</f>
        <v>2023/24</v>
      </c>
      <c r="N43" s="1474" t="str">
        <f>SP!P3</f>
        <v>2024/25</v>
      </c>
      <c r="O43" s="1474" t="str">
        <f>SP!Q3</f>
        <v>2025/26</v>
      </c>
      <c r="P43" s="1474" t="str">
        <f>SP!R3</f>
        <v>2026/27</v>
      </c>
      <c r="Q43" s="2537" t="str">
        <f>SP!S3</f>
        <v>2027/28</v>
      </c>
    </row>
    <row r="44" spans="1:24" s="285" customFormat="1" x14ac:dyDescent="0.2">
      <c r="A44" s="564"/>
      <c r="B44" s="2091"/>
      <c r="C44" s="2091"/>
      <c r="D44" s="2091"/>
      <c r="E44" s="2091"/>
      <c r="F44" s="1475"/>
      <c r="G44" s="2091"/>
      <c r="H44" s="2091"/>
      <c r="I44" s="2091"/>
      <c r="J44" s="2091"/>
      <c r="K44" s="2091"/>
      <c r="L44" s="2091"/>
      <c r="M44" s="2091"/>
      <c r="N44" s="1475"/>
      <c r="O44" s="1475"/>
      <c r="P44" s="1475"/>
      <c r="Q44" s="2538"/>
    </row>
    <row r="45" spans="1:24" x14ac:dyDescent="0.2">
      <c r="A45" s="564" t="s">
        <v>2126</v>
      </c>
      <c r="B45" s="48"/>
      <c r="C45" s="48"/>
      <c r="D45" s="48"/>
      <c r="E45" s="48"/>
      <c r="F45" s="161"/>
      <c r="G45" s="48"/>
      <c r="H45" s="48"/>
      <c r="I45" s="48"/>
      <c r="J45" s="48"/>
      <c r="K45" s="48"/>
      <c r="L45" s="48"/>
      <c r="M45" s="48"/>
      <c r="N45" s="161"/>
      <c r="O45" s="161"/>
      <c r="P45" s="161"/>
      <c r="Q45" s="51"/>
    </row>
    <row r="46" spans="1:24" x14ac:dyDescent="0.2">
      <c r="A46" s="564" t="s">
        <v>2127</v>
      </c>
      <c r="B46" s="48"/>
      <c r="C46" s="48"/>
      <c r="D46" s="48"/>
      <c r="E46" s="48"/>
      <c r="F46" s="161"/>
      <c r="G46" s="48"/>
      <c r="H46" s="48"/>
      <c r="I46" s="48"/>
      <c r="J46" s="48"/>
      <c r="K46" s="48"/>
      <c r="L46" s="48"/>
      <c r="M46" s="48"/>
      <c r="N46" s="161"/>
      <c r="O46" s="161"/>
      <c r="P46" s="161"/>
      <c r="Q46" s="51"/>
    </row>
    <row r="47" spans="1:24" x14ac:dyDescent="0.2">
      <c r="A47" s="559" t="s">
        <v>4207</v>
      </c>
      <c r="B47" s="48">
        <f>12264+27974</f>
        <v>40238</v>
      </c>
      <c r="C47" s="48">
        <f>31942</f>
        <v>31942</v>
      </c>
      <c r="D47" s="48">
        <f>-12308+51287</f>
        <v>38979</v>
      </c>
      <c r="E47" s="48">
        <f>1746+34946</f>
        <v>36692</v>
      </c>
      <c r="F47" s="48">
        <f>11989+35655</f>
        <v>47644</v>
      </c>
      <c r="G47" s="9">
        <f>ROUND(F47+F54+LTFP!F220/1000-G54,-2)</f>
        <v>46700</v>
      </c>
      <c r="H47" s="9">
        <f>ROUND(G47+G54+LTFP!H220/1000-H54,-2)</f>
        <v>40700</v>
      </c>
      <c r="I47" s="9">
        <f>ROUND(H47+H54+LTFP!I220/1000-I54,-2)</f>
        <v>30500</v>
      </c>
      <c r="J47" s="9">
        <f>ROUND(I47+I54+LTFP!J220/1000-J54,-2)</f>
        <v>28500</v>
      </c>
      <c r="K47" s="9">
        <f>ROUND(J47+J54+LTFP!K220/1000-K54,-2)</f>
        <v>29000</v>
      </c>
      <c r="L47" s="9">
        <f>ROUND(K47+K54+LTFP!L220/1000-L54,-2)</f>
        <v>35500</v>
      </c>
      <c r="M47" s="9">
        <f>ROUND(L47+L54+LTFP!M220/1000-M54,-2)</f>
        <v>38800</v>
      </c>
      <c r="N47" s="89">
        <f>ROUND(M47+M54+LTFP!N220/1000-N54,-2)</f>
        <v>42400</v>
      </c>
      <c r="O47" s="89">
        <f>ROUND(N47+N54+LTFP!O220/1000-O54,-2)</f>
        <v>50100</v>
      </c>
      <c r="P47" s="89">
        <f>ROUND(O47+O54+LTFP!P220/1000-P54,-2)</f>
        <v>55300</v>
      </c>
      <c r="Q47" s="61">
        <f>ROUND(P47+P54+LTFP!Q220/1000-Q54,-2)</f>
        <v>63000</v>
      </c>
    </row>
    <row r="48" spans="1:24" x14ac:dyDescent="0.2">
      <c r="A48" s="1740" t="s">
        <v>2085</v>
      </c>
      <c r="B48" s="9">
        <v>5071</v>
      </c>
      <c r="C48" s="9">
        <v>5269</v>
      </c>
      <c r="D48" s="9">
        <v>3779</v>
      </c>
      <c r="E48" s="9">
        <v>6941</v>
      </c>
      <c r="F48" s="9">
        <v>4892</v>
      </c>
      <c r="G48" s="9">
        <f>ROUNDUP(F48+(F48*Assumptions!H$5),-1)</f>
        <v>4970</v>
      </c>
      <c r="H48" s="9">
        <f>ROUNDUP(G48+(G48*Assumptions!I$5),-1)</f>
        <v>5090</v>
      </c>
      <c r="I48" s="9">
        <f>ROUNDUP(H48+(H48*Assumptions!J$5),-1)</f>
        <v>5220</v>
      </c>
      <c r="J48" s="9">
        <f>ROUNDUP(I48+(I48*Assumptions!K$5),-1)</f>
        <v>5360</v>
      </c>
      <c r="K48" s="9">
        <f>ROUNDUP(J48+(J48*Assumptions!L$5),-1)</f>
        <v>5500</v>
      </c>
      <c r="L48" s="9">
        <f>ROUNDUP(K48+(K48*Assumptions!M$5),-1)</f>
        <v>5640</v>
      </c>
      <c r="M48" s="9">
        <f>ROUNDUP(L48+(L48*Assumptions!N$5),-1)</f>
        <v>5790</v>
      </c>
      <c r="N48" s="89">
        <f>ROUNDUP(M48+(M48*Assumptions!O$5),-1)</f>
        <v>5940</v>
      </c>
      <c r="O48" s="89">
        <f>ROUNDUP(N48+(N48*Assumptions!P$5),-1)</f>
        <v>6090</v>
      </c>
      <c r="P48" s="89">
        <f>ROUNDUP(O48+(O48*Assumptions!Q$5),-1)</f>
        <v>6250</v>
      </c>
      <c r="Q48" s="61">
        <f>ROUNDUP(P48+(P48*Assumptions!R$5),-1)</f>
        <v>6410</v>
      </c>
    </row>
    <row r="49" spans="1:19" x14ac:dyDescent="0.2">
      <c r="A49" s="1740" t="s">
        <v>2086</v>
      </c>
      <c r="B49" s="9">
        <v>1010</v>
      </c>
      <c r="C49" s="9">
        <v>996</v>
      </c>
      <c r="D49" s="9">
        <v>1407</v>
      </c>
      <c r="E49" s="9">
        <v>808</v>
      </c>
      <c r="F49" s="9">
        <v>2420</v>
      </c>
      <c r="G49" s="9">
        <f>ROUNDUP(F49+(F49*Assumptions!H$5),-1)</f>
        <v>2460</v>
      </c>
      <c r="H49" s="9">
        <f>ROUNDUP(G49+(G49*Assumptions!I$5),-1)</f>
        <v>2520</v>
      </c>
      <c r="I49" s="9">
        <f>ROUNDUP(H49+(H49*Assumptions!J$5),-1)</f>
        <v>2590</v>
      </c>
      <c r="J49" s="9">
        <f>ROUNDUP(I49+(I49*Assumptions!K$5),-1)</f>
        <v>2660</v>
      </c>
      <c r="K49" s="9">
        <f>ROUNDUP(J49+(J49*Assumptions!L$5),-1)</f>
        <v>2730</v>
      </c>
      <c r="L49" s="9">
        <f>ROUNDUP(K49+(K49*Assumptions!M$5),-1)</f>
        <v>2800</v>
      </c>
      <c r="M49" s="9">
        <f>ROUNDUP(L49+(L49*Assumptions!N$5),-1)</f>
        <v>2870</v>
      </c>
      <c r="N49" s="89">
        <f>ROUNDUP(M49+(M49*Assumptions!O$5),-1)</f>
        <v>2950</v>
      </c>
      <c r="O49" s="89">
        <f>ROUNDUP(N49+(N49*Assumptions!P$5),-1)</f>
        <v>3030</v>
      </c>
      <c r="P49" s="89">
        <f>ROUNDUP(O49+(O49*Assumptions!Q$5),-1)</f>
        <v>3110</v>
      </c>
      <c r="Q49" s="61">
        <f>ROUNDUP(P49+(P49*Assumptions!R$5),-1)</f>
        <v>3190</v>
      </c>
    </row>
    <row r="50" spans="1:19" x14ac:dyDescent="0.2">
      <c r="A50" s="1740" t="s">
        <v>1739</v>
      </c>
      <c r="B50" s="322">
        <v>704</v>
      </c>
      <c r="C50" s="322">
        <v>57</v>
      </c>
      <c r="D50" s="322">
        <v>-355</v>
      </c>
      <c r="E50" s="322">
        <v>181</v>
      </c>
      <c r="F50" s="456">
        <f>230+1400</f>
        <v>1630</v>
      </c>
      <c r="G50" s="322">
        <f>ROUNDUP(F50+(F50*Assumptions!H$5),-1)</f>
        <v>1660</v>
      </c>
      <c r="H50" s="322">
        <f>ROUNDUP(G50+(G50*Assumptions!I$5),-1)</f>
        <v>1700</v>
      </c>
      <c r="I50" s="322">
        <f>ROUNDUP(H50+(H50*Assumptions!J$5),-1)</f>
        <v>1750</v>
      </c>
      <c r="J50" s="322">
        <f>ROUNDUP(I50+(I50*Assumptions!K$5),-1)</f>
        <v>1800</v>
      </c>
      <c r="K50" s="322">
        <f>ROUNDUP(J50+(J50*Assumptions!L$5),-1)</f>
        <v>1850</v>
      </c>
      <c r="L50" s="322">
        <f>ROUNDUP(K50+(K50*Assumptions!M$5),-1)</f>
        <v>1900</v>
      </c>
      <c r="M50" s="322">
        <f>ROUNDUP(L50+(L50*Assumptions!N$5),-1)</f>
        <v>1950</v>
      </c>
      <c r="N50" s="456">
        <f>ROUNDUP(M50+(M50*Assumptions!O$5),-1)</f>
        <v>2000</v>
      </c>
      <c r="O50" s="456">
        <f>ROUNDUP(N50+(N50*Assumptions!P$5),-1)</f>
        <v>2050</v>
      </c>
      <c r="P50" s="456">
        <f>ROUNDUP(O50+(O50*Assumptions!Q$5),-1)</f>
        <v>2110</v>
      </c>
      <c r="Q50" s="546">
        <f>ROUNDUP(P50+(P50*Assumptions!R$5),-1)</f>
        <v>2170</v>
      </c>
    </row>
    <row r="51" spans="1:19" s="573" customFormat="1" x14ac:dyDescent="0.2">
      <c r="A51" s="1741" t="s">
        <v>2087</v>
      </c>
      <c r="B51" s="63">
        <f t="shared" ref="B51:M51" si="95">SUM(B47:B50)</f>
        <v>47023</v>
      </c>
      <c r="C51" s="63">
        <f t="shared" si="95"/>
        <v>38264</v>
      </c>
      <c r="D51" s="63">
        <f t="shared" si="95"/>
        <v>43810</v>
      </c>
      <c r="E51" s="63">
        <f>SUM(E47:E50)</f>
        <v>44622</v>
      </c>
      <c r="F51" s="107">
        <f t="shared" si="95"/>
        <v>56586</v>
      </c>
      <c r="G51" s="63">
        <f t="shared" si="95"/>
        <v>55790</v>
      </c>
      <c r="H51" s="63">
        <f t="shared" si="95"/>
        <v>50010</v>
      </c>
      <c r="I51" s="63">
        <f t="shared" si="95"/>
        <v>40060</v>
      </c>
      <c r="J51" s="63">
        <f t="shared" si="95"/>
        <v>38320</v>
      </c>
      <c r="K51" s="63">
        <f t="shared" si="95"/>
        <v>39080</v>
      </c>
      <c r="L51" s="63">
        <f t="shared" si="95"/>
        <v>45840</v>
      </c>
      <c r="M51" s="63">
        <f t="shared" si="95"/>
        <v>49410</v>
      </c>
      <c r="N51" s="107">
        <f t="shared" ref="N51:O51" si="96">SUM(N47:N50)</f>
        <v>53290</v>
      </c>
      <c r="O51" s="107">
        <f t="shared" si="96"/>
        <v>61270</v>
      </c>
      <c r="P51" s="107">
        <f t="shared" ref="P51" si="97">SUM(P47:P50)</f>
        <v>66770</v>
      </c>
      <c r="Q51" s="106">
        <f t="shared" ref="Q51" si="98">SUM(Q47:Q50)</f>
        <v>74770</v>
      </c>
      <c r="S51" s="65"/>
    </row>
    <row r="52" spans="1:19" x14ac:dyDescent="0.2">
      <c r="A52" s="2092"/>
      <c r="B52" s="48"/>
      <c r="C52" s="48"/>
      <c r="D52" s="48"/>
      <c r="E52" s="48"/>
      <c r="F52" s="161"/>
      <c r="G52" s="48"/>
      <c r="H52" s="48"/>
      <c r="I52" s="48"/>
      <c r="J52" s="48"/>
      <c r="K52" s="48"/>
      <c r="L52" s="48"/>
      <c r="M52" s="48"/>
      <c r="N52" s="161"/>
      <c r="O52" s="161"/>
      <c r="P52" s="161"/>
      <c r="Q52" s="51"/>
    </row>
    <row r="53" spans="1:19" x14ac:dyDescent="0.2">
      <c r="A53" s="564" t="s">
        <v>2088</v>
      </c>
      <c r="B53" s="48"/>
      <c r="C53" s="48"/>
      <c r="D53" s="48"/>
      <c r="E53" s="48"/>
      <c r="F53" s="161"/>
      <c r="G53" s="48"/>
      <c r="H53" s="48"/>
      <c r="I53" s="48"/>
      <c r="J53" s="48"/>
      <c r="K53" s="48"/>
      <c r="L53" s="48"/>
      <c r="M53" s="48"/>
      <c r="N53" s="161"/>
      <c r="O53" s="161"/>
      <c r="P53" s="161"/>
      <c r="Q53" s="51"/>
    </row>
    <row r="54" spans="1:19" x14ac:dyDescent="0.2">
      <c r="A54" s="1740" t="s">
        <v>1908</v>
      </c>
      <c r="B54" s="48">
        <v>9259</v>
      </c>
      <c r="C54" s="48">
        <v>9277</v>
      </c>
      <c r="D54" s="9">
        <v>5150</v>
      </c>
      <c r="E54" s="9">
        <v>3811</v>
      </c>
      <c r="F54" s="89">
        <v>5328</v>
      </c>
      <c r="G54" s="9">
        <v>3500</v>
      </c>
      <c r="H54" s="9">
        <f t="shared" ref="H54:O54" si="99">G54</f>
        <v>3500</v>
      </c>
      <c r="I54" s="9">
        <f t="shared" si="99"/>
        <v>3500</v>
      </c>
      <c r="J54" s="9">
        <f t="shared" si="99"/>
        <v>3500</v>
      </c>
      <c r="K54" s="9">
        <f t="shared" si="99"/>
        <v>3500</v>
      </c>
      <c r="L54" s="9">
        <f t="shared" si="99"/>
        <v>3500</v>
      </c>
      <c r="M54" s="9">
        <f t="shared" si="99"/>
        <v>3500</v>
      </c>
      <c r="N54" s="89">
        <f t="shared" si="99"/>
        <v>3500</v>
      </c>
      <c r="O54" s="89">
        <f t="shared" si="99"/>
        <v>3500</v>
      </c>
      <c r="P54" s="89">
        <f>O54</f>
        <v>3500</v>
      </c>
      <c r="Q54" s="61">
        <f>P54</f>
        <v>3500</v>
      </c>
      <c r="S54" s="36"/>
    </row>
    <row r="55" spans="1:19" x14ac:dyDescent="0.2">
      <c r="A55" s="1740" t="s">
        <v>2085</v>
      </c>
      <c r="B55" s="9">
        <v>157</v>
      </c>
      <c r="C55" s="9">
        <v>156</v>
      </c>
      <c r="D55" s="9">
        <v>112</v>
      </c>
      <c r="E55" s="9">
        <v>114</v>
      </c>
      <c r="F55" s="89">
        <v>71</v>
      </c>
      <c r="G55" s="9">
        <f>ROUNDUP(F55+(F55*Assumptions!H$5),-1)</f>
        <v>80</v>
      </c>
      <c r="H55" s="9">
        <f>ROUNDUP(G55+(G55*Assumptions!I$5),-1)</f>
        <v>90</v>
      </c>
      <c r="I55" s="9">
        <f>ROUNDUP(H55+(H55*Assumptions!J$5),-1)</f>
        <v>100</v>
      </c>
      <c r="J55" s="9">
        <f>ROUNDUP(I55+(I55*Assumptions!K$5),-1)</f>
        <v>110</v>
      </c>
      <c r="K55" s="9">
        <f>ROUNDUP(J55+(J55*Assumptions!L$5),-1)</f>
        <v>120</v>
      </c>
      <c r="L55" s="9">
        <f>ROUNDUP(K55+(K55*Assumptions!M$5),-1)</f>
        <v>130</v>
      </c>
      <c r="M55" s="9">
        <f>ROUNDUP(L55+(L55*Assumptions!N$5),-1)</f>
        <v>140</v>
      </c>
      <c r="N55" s="89">
        <f>ROUNDUP(M55+(M55*Assumptions!O$5),-1)</f>
        <v>150</v>
      </c>
      <c r="O55" s="89">
        <f>ROUNDUP(N55+(N55*Assumptions!P$5),-1)</f>
        <v>160</v>
      </c>
      <c r="P55" s="89">
        <f>ROUNDUP(O55+(O55*Assumptions!Q$5),-1)</f>
        <v>170</v>
      </c>
      <c r="Q55" s="61">
        <f>ROUNDUP(P55+(P55*Assumptions!R$5),-1)</f>
        <v>180</v>
      </c>
    </row>
    <row r="56" spans="1:19" x14ac:dyDescent="0.2">
      <c r="A56" s="1740" t="s">
        <v>2086</v>
      </c>
      <c r="B56" s="9">
        <v>2816</v>
      </c>
      <c r="C56" s="9">
        <v>3051</v>
      </c>
      <c r="D56" s="9">
        <f>2533+-74</f>
        <v>2459</v>
      </c>
      <c r="E56" s="9">
        <v>3015</v>
      </c>
      <c r="F56" s="89">
        <v>1678</v>
      </c>
      <c r="G56" s="9">
        <f>ROUNDUP(F56+(F56*Assumptions!H$5),-1)</f>
        <v>1710</v>
      </c>
      <c r="H56" s="9">
        <f>ROUNDUP(G56+(G56*Assumptions!I$5),-1)</f>
        <v>1750</v>
      </c>
      <c r="I56" s="9">
        <f>ROUNDUP(H56+(H56*Assumptions!J$5),-1)</f>
        <v>1800</v>
      </c>
      <c r="J56" s="9">
        <f>ROUNDUP(I56+(I56*Assumptions!K$5),-1)</f>
        <v>1850</v>
      </c>
      <c r="K56" s="9">
        <f>ROUNDUP(J56+(J56*Assumptions!L$5),-1)</f>
        <v>1900</v>
      </c>
      <c r="L56" s="9">
        <f>ROUNDUP(K56+(K56*Assumptions!M$5),-1)</f>
        <v>1950</v>
      </c>
      <c r="M56" s="9">
        <f>ROUNDUP(L56+(L56*Assumptions!N$5),-1)</f>
        <v>2000</v>
      </c>
      <c r="N56" s="89">
        <f>ROUNDUP(M56+(M56*Assumptions!O$5),-1)</f>
        <v>2050</v>
      </c>
      <c r="O56" s="89">
        <f>ROUNDUP(N56+(N56*Assumptions!P$5),-1)</f>
        <v>2110</v>
      </c>
      <c r="P56" s="89">
        <f>ROUNDUP(O56+(O56*Assumptions!Q$5),-1)</f>
        <v>2170</v>
      </c>
      <c r="Q56" s="61">
        <f>ROUNDUP(P56+(P56*Assumptions!R$5),-1)</f>
        <v>2230</v>
      </c>
    </row>
    <row r="57" spans="1:19" x14ac:dyDescent="0.2">
      <c r="A57" s="559" t="s">
        <v>3298</v>
      </c>
      <c r="B57" s="48">
        <v>732433</v>
      </c>
      <c r="C57" s="48">
        <v>749424</v>
      </c>
      <c r="D57" s="48">
        <v>809504</v>
      </c>
      <c r="E57" s="48">
        <v>820963</v>
      </c>
      <c r="F57" s="161">
        <v>854296</v>
      </c>
      <c r="G57" s="48">
        <f>ROUND(F57+'Cap-Gen'!G221/1000-'Cash-Gen'!F107/1000,-1)</f>
        <v>882910</v>
      </c>
      <c r="H57" s="48">
        <f>ROUND(G57+'Cap-Gen'!H221/1000-'Cash-Gen'!G107/1000,-1)</f>
        <v>905460</v>
      </c>
      <c r="I57" s="48">
        <f>ROUND(H57+'Cap-Gen'!I221/1000-'Cash-Gen'!H107/1000,-1)</f>
        <v>923380</v>
      </c>
      <c r="J57" s="48">
        <f>ROUND(I57+'Cap-Gen'!J221/1000-'Cash-Gen'!I107/1000,-1)</f>
        <v>946060</v>
      </c>
      <c r="K57" s="48">
        <f>ROUND(J57+'Cap-Gen'!K221/1000-'Cash-Gen'!J107/1000,-1)</f>
        <v>956200</v>
      </c>
      <c r="L57" s="48">
        <f>ROUND(K57+'Cap-Gen'!L221/1000-'Cash-Gen'!K107/1000,-1)</f>
        <v>953100</v>
      </c>
      <c r="M57" s="48">
        <f>ROUND(L57+'Cap-Gen'!M221/1000-'Cash-Gen'!L107/1000,-1)</f>
        <v>954250</v>
      </c>
      <c r="N57" s="161">
        <f>ROUND(M57+'Cap-Gen'!N221/1000-'Cash-Gen'!M107/1000,-1)</f>
        <v>955400</v>
      </c>
      <c r="O57" s="161">
        <f>ROUND(N57+'Cap-Gen'!O221/1000-'Cash-Gen'!N107/1000,-1)</f>
        <v>953950</v>
      </c>
      <c r="P57" s="161">
        <f>ROUND(O57+'Cap-Gen'!P221/1000-'Cash-Gen'!O107/1000,-1)</f>
        <v>955640</v>
      </c>
      <c r="Q57" s="51">
        <f>ROUND(P57+'Cap-Gen'!Q221/1000-'Cash-Gen'!P107/1000,-1)</f>
        <v>955240</v>
      </c>
    </row>
    <row r="58" spans="1:19" x14ac:dyDescent="0.2">
      <c r="A58" s="1740" t="s">
        <v>2089</v>
      </c>
      <c r="B58" s="79">
        <v>18350</v>
      </c>
      <c r="C58" s="79">
        <f>18400+4</f>
        <v>18404</v>
      </c>
      <c r="D58" s="9">
        <v>21282</v>
      </c>
      <c r="E58" s="9">
        <v>21977</v>
      </c>
      <c r="F58" s="89">
        <v>22025</v>
      </c>
      <c r="G58" s="9">
        <f>ROUNDUP(F58+(F58*Assumptions!H$5),-1)</f>
        <v>22360</v>
      </c>
      <c r="H58" s="9">
        <f>ROUNDUP(G58+(G58*Assumptions!I$5),-1)</f>
        <v>22880</v>
      </c>
      <c r="I58" s="9">
        <f>ROUNDUP(H58+(H58*Assumptions!J$5),-1)</f>
        <v>23460</v>
      </c>
      <c r="J58" s="9">
        <f>ROUNDUP(I58+(I58*Assumptions!K$5),-1)</f>
        <v>24050</v>
      </c>
      <c r="K58" s="9">
        <f>ROUNDUP(J58+(J58*Assumptions!L$5),-1)</f>
        <v>24660</v>
      </c>
      <c r="L58" s="9">
        <f>ROUNDUP(K58+(K58*Assumptions!M$5),-1)</f>
        <v>25280</v>
      </c>
      <c r="M58" s="9">
        <f>ROUNDUP(L58+(L58*Assumptions!N$5),-1)</f>
        <v>25920</v>
      </c>
      <c r="N58" s="89">
        <f>ROUNDUP(M58+(M58*Assumptions!O$5),-1)</f>
        <v>26570</v>
      </c>
      <c r="O58" s="89">
        <f>ROUNDUP(N58+(N58*Assumptions!P$5),-1)</f>
        <v>27240</v>
      </c>
      <c r="P58" s="89">
        <f>ROUNDUP(O58+(O58*Assumptions!Q$5),-1)</f>
        <v>27930</v>
      </c>
      <c r="Q58" s="61">
        <f>ROUNDUP(P58+(P58*Assumptions!R$5),-1)</f>
        <v>28630</v>
      </c>
    </row>
    <row r="59" spans="1:19" x14ac:dyDescent="0.2">
      <c r="A59" s="559" t="s">
        <v>1739</v>
      </c>
      <c r="B59" s="79"/>
      <c r="C59" s="79"/>
      <c r="D59" s="9"/>
      <c r="E59" s="9"/>
      <c r="F59" s="89">
        <v>20</v>
      </c>
      <c r="G59" s="9"/>
      <c r="H59" s="9"/>
      <c r="I59" s="9"/>
      <c r="J59" s="9"/>
      <c r="K59" s="9"/>
      <c r="L59" s="9"/>
      <c r="M59" s="9"/>
      <c r="N59" s="89"/>
      <c r="O59" s="89"/>
      <c r="P59" s="89"/>
      <c r="Q59" s="61"/>
    </row>
    <row r="60" spans="1:19" s="573" customFormat="1" x14ac:dyDescent="0.2">
      <c r="A60" s="1741" t="s">
        <v>2090</v>
      </c>
      <c r="B60" s="1811">
        <f t="shared" ref="B60:M60" si="100">SUM(B54:B58)</f>
        <v>763015</v>
      </c>
      <c r="C60" s="1811">
        <f t="shared" si="100"/>
        <v>780312</v>
      </c>
      <c r="D60" s="1811">
        <f t="shared" si="100"/>
        <v>838507</v>
      </c>
      <c r="E60" s="1811">
        <f t="shared" si="100"/>
        <v>849880</v>
      </c>
      <c r="F60" s="1476">
        <f>SUM(F54:F59)</f>
        <v>883418</v>
      </c>
      <c r="G60" s="1811">
        <f t="shared" si="100"/>
        <v>910560</v>
      </c>
      <c r="H60" s="1811">
        <f t="shared" si="100"/>
        <v>933680</v>
      </c>
      <c r="I60" s="1811">
        <f t="shared" si="100"/>
        <v>952240</v>
      </c>
      <c r="J60" s="1811">
        <f t="shared" si="100"/>
        <v>975570</v>
      </c>
      <c r="K60" s="1811">
        <f t="shared" si="100"/>
        <v>986380</v>
      </c>
      <c r="L60" s="1811">
        <f t="shared" si="100"/>
        <v>983960</v>
      </c>
      <c r="M60" s="1811">
        <f t="shared" si="100"/>
        <v>985810</v>
      </c>
      <c r="N60" s="1476">
        <f t="shared" ref="N60:O60" si="101">SUM(N54:N58)</f>
        <v>987670</v>
      </c>
      <c r="O60" s="1476">
        <f t="shared" si="101"/>
        <v>986960</v>
      </c>
      <c r="P60" s="1476">
        <f t="shared" ref="P60" si="102">SUM(P54:P58)</f>
        <v>989410</v>
      </c>
      <c r="Q60" s="1748">
        <f t="shared" ref="Q60" si="103">SUM(Q54:Q58)</f>
        <v>989780</v>
      </c>
    </row>
    <row r="61" spans="1:19" s="285" customFormat="1" ht="13.5" thickBot="1" x14ac:dyDescent="0.25">
      <c r="A61" s="564" t="s">
        <v>2091</v>
      </c>
      <c r="B61" s="2093">
        <f t="shared" ref="B61:M61" si="104">B51+B60</f>
        <v>810038</v>
      </c>
      <c r="C61" s="2093">
        <f t="shared" si="104"/>
        <v>818576</v>
      </c>
      <c r="D61" s="2093">
        <f t="shared" si="104"/>
        <v>882317</v>
      </c>
      <c r="E61" s="2093">
        <f t="shared" si="104"/>
        <v>894502</v>
      </c>
      <c r="F61" s="1477">
        <f t="shared" si="104"/>
        <v>940004</v>
      </c>
      <c r="G61" s="2093">
        <f t="shared" si="104"/>
        <v>966350</v>
      </c>
      <c r="H61" s="2093">
        <f t="shared" si="104"/>
        <v>983690</v>
      </c>
      <c r="I61" s="2093">
        <f t="shared" si="104"/>
        <v>992300</v>
      </c>
      <c r="J61" s="2093">
        <f t="shared" si="104"/>
        <v>1013890</v>
      </c>
      <c r="K61" s="2093">
        <f t="shared" si="104"/>
        <v>1025460</v>
      </c>
      <c r="L61" s="2093">
        <f t="shared" si="104"/>
        <v>1029800</v>
      </c>
      <c r="M61" s="2093">
        <f t="shared" si="104"/>
        <v>1035220</v>
      </c>
      <c r="N61" s="1477">
        <f t="shared" ref="N61:O61" si="105">N51+N60</f>
        <v>1040960</v>
      </c>
      <c r="O61" s="1477">
        <f t="shared" si="105"/>
        <v>1048230</v>
      </c>
      <c r="P61" s="1477">
        <f t="shared" ref="P61" si="106">P51+P60</f>
        <v>1056180</v>
      </c>
      <c r="Q61" s="2539">
        <f t="shared" ref="Q61" si="107">Q51+Q60</f>
        <v>1064550</v>
      </c>
    </row>
    <row r="62" spans="1:19" x14ac:dyDescent="0.2">
      <c r="A62" s="2092"/>
      <c r="B62" s="48"/>
      <c r="C62" s="48"/>
      <c r="D62" s="48"/>
      <c r="E62" s="48"/>
      <c r="F62" s="161"/>
      <c r="G62" s="48"/>
      <c r="H62" s="48"/>
      <c r="I62" s="48"/>
      <c r="J62" s="48"/>
      <c r="K62" s="48"/>
      <c r="L62" s="48"/>
      <c r="M62" s="48"/>
      <c r="N62" s="161"/>
      <c r="O62" s="161"/>
      <c r="P62" s="161"/>
      <c r="Q62" s="51"/>
    </row>
    <row r="63" spans="1:19" x14ac:dyDescent="0.2">
      <c r="A63" s="564" t="s">
        <v>2092</v>
      </c>
      <c r="B63" s="48"/>
      <c r="C63" s="48"/>
      <c r="D63" s="48"/>
      <c r="E63" s="48"/>
      <c r="F63" s="161"/>
      <c r="G63" s="48"/>
      <c r="H63" s="48"/>
      <c r="I63" s="48"/>
      <c r="J63" s="48"/>
      <c r="K63" s="48"/>
      <c r="L63" s="48"/>
      <c r="M63" s="48"/>
      <c r="N63" s="161"/>
      <c r="O63" s="161"/>
      <c r="P63" s="161"/>
      <c r="Q63" s="51"/>
    </row>
    <row r="64" spans="1:19" x14ac:dyDescent="0.2">
      <c r="A64" s="564" t="s">
        <v>2765</v>
      </c>
      <c r="B64" s="48"/>
      <c r="C64" s="48"/>
      <c r="D64" s="48"/>
      <c r="E64" s="48"/>
      <c r="F64" s="161"/>
      <c r="G64" s="48"/>
      <c r="H64" s="48"/>
      <c r="I64" s="48"/>
      <c r="J64" s="48"/>
      <c r="K64" s="48"/>
      <c r="L64" s="48"/>
      <c r="M64" s="48"/>
      <c r="N64" s="161"/>
      <c r="O64" s="161"/>
      <c r="P64" s="161"/>
      <c r="Q64" s="51"/>
    </row>
    <row r="65" spans="1:17" x14ac:dyDescent="0.2">
      <c r="A65" s="1740" t="s">
        <v>2766</v>
      </c>
      <c r="B65" s="48">
        <v>4962</v>
      </c>
      <c r="C65" s="48">
        <v>7507</v>
      </c>
      <c r="D65" s="9">
        <v>6249</v>
      </c>
      <c r="E65" s="89">
        <v>6978</v>
      </c>
      <c r="F65" s="89">
        <f>8380+1011</f>
        <v>9391</v>
      </c>
      <c r="G65" s="9">
        <f>ROUNDUP(F65+(F65*Assumptions!H$5),-1)</f>
        <v>9540</v>
      </c>
      <c r="H65" s="9">
        <f>ROUNDUP(G65+(G65*Assumptions!I$5),-1)</f>
        <v>9760</v>
      </c>
      <c r="I65" s="9">
        <f>ROUNDUP(H65+(H65*Assumptions!J$5),-1)</f>
        <v>10010</v>
      </c>
      <c r="J65" s="9">
        <f>ROUNDUP(I65+(I65*Assumptions!K$5),-1)</f>
        <v>10270</v>
      </c>
      <c r="K65" s="9">
        <f>ROUNDUP(J65+(J65*Assumptions!L$5),-1)</f>
        <v>10530</v>
      </c>
      <c r="L65" s="9">
        <f>ROUNDUP(K65+(K65*Assumptions!M$5),-1)</f>
        <v>10800</v>
      </c>
      <c r="M65" s="9">
        <f>ROUNDUP(L65+(L65*Assumptions!N$5),-1)</f>
        <v>11070</v>
      </c>
      <c r="N65" s="89">
        <f>ROUNDUP(M65+(M65*Assumptions!O$5),-1)</f>
        <v>11350</v>
      </c>
      <c r="O65" s="89">
        <f>ROUNDUP(N65+(N65*Assumptions!P$5),-1)</f>
        <v>11640</v>
      </c>
      <c r="P65" s="89">
        <f>ROUNDUP(O65+(O65*Assumptions!Q$5),-1)</f>
        <v>11940</v>
      </c>
      <c r="Q65" s="61">
        <f>ROUNDUP(P65+(P65*Assumptions!R$5),-1)</f>
        <v>12240</v>
      </c>
    </row>
    <row r="66" spans="1:17" x14ac:dyDescent="0.2">
      <c r="A66" s="1740" t="s">
        <v>2767</v>
      </c>
      <c r="B66" s="48">
        <v>5565</v>
      </c>
      <c r="C66" s="48">
        <v>5556</v>
      </c>
      <c r="D66" s="48">
        <v>3793</v>
      </c>
      <c r="E66" s="48">
        <v>3696</v>
      </c>
      <c r="F66" s="161">
        <v>3123</v>
      </c>
      <c r="G66" s="48">
        <f>-LTFP!H207/1000</f>
        <v>3324.8</v>
      </c>
      <c r="H66" s="48">
        <f>-LTFP!I207/1000</f>
        <v>3402.1</v>
      </c>
      <c r="I66" s="48">
        <f>-LTFP!J207/1000</f>
        <v>3131</v>
      </c>
      <c r="J66" s="48">
        <f>-LTFP!K207/1000</f>
        <v>3636.1</v>
      </c>
      <c r="K66" s="48">
        <f>-LTFP!L207/1000</f>
        <v>3183</v>
      </c>
      <c r="L66" s="48">
        <f>-LTFP!M207/1000</f>
        <v>2456.8000000000002</v>
      </c>
      <c r="M66" s="48">
        <f>-LTFP!N207/1000</f>
        <v>2190</v>
      </c>
      <c r="N66" s="161">
        <f>-LTFP!O207/1000</f>
        <v>1569.4</v>
      </c>
      <c r="O66" s="161">
        <f>-LTFP!P207/1000</f>
        <v>1573.4</v>
      </c>
      <c r="P66" s="161">
        <f>-LTFP!Q207/1000</f>
        <v>1637.3</v>
      </c>
      <c r="Q66" s="51">
        <f>-LTFP!R207/1000</f>
        <v>0</v>
      </c>
    </row>
    <row r="67" spans="1:17" x14ac:dyDescent="0.2">
      <c r="A67" s="1740" t="s">
        <v>2768</v>
      </c>
      <c r="B67" s="651">
        <v>7286</v>
      </c>
      <c r="C67" s="651">
        <v>6585</v>
      </c>
      <c r="D67" s="651">
        <v>6466</v>
      </c>
      <c r="E67" s="456">
        <v>6936</v>
      </c>
      <c r="F67" s="456">
        <v>7448</v>
      </c>
      <c r="G67" s="322">
        <f>ROUNDUP(F67+(F67*Assumptions!H$5),-2)</f>
        <v>7600</v>
      </c>
      <c r="H67" s="322">
        <f>ROUNDUP(G67+(G67*Assumptions!I$5),-2)</f>
        <v>7800</v>
      </c>
      <c r="I67" s="322">
        <f>ROUNDUP(H67+(H67*Assumptions!J$5),-2)</f>
        <v>8000</v>
      </c>
      <c r="J67" s="322">
        <f>ROUNDUP(I67+(I67*Assumptions!K$5),-2)</f>
        <v>8200</v>
      </c>
      <c r="K67" s="322">
        <f>ROUNDUP(J67+(J67*Assumptions!L$5),-2)</f>
        <v>8500</v>
      </c>
      <c r="L67" s="322">
        <f>ROUNDUP(K67+(K67*Assumptions!M$5),-2)</f>
        <v>8800</v>
      </c>
      <c r="M67" s="322">
        <f>ROUNDUP(L67+(L67*Assumptions!N$5),-2)</f>
        <v>9100</v>
      </c>
      <c r="N67" s="456">
        <f>ROUNDUP(M67+(M67*Assumptions!O$5),-2)</f>
        <v>9400</v>
      </c>
      <c r="O67" s="456">
        <f>ROUNDUP(N67+(N67*Assumptions!P$5),-2)</f>
        <v>9700</v>
      </c>
      <c r="P67" s="456">
        <f>ROUNDUP(O67+(O67*Assumptions!Q$5),-2)</f>
        <v>10000</v>
      </c>
      <c r="Q67" s="546">
        <f>ROUNDUP(P67+(P67*Assumptions!R$5),-2)</f>
        <v>10300</v>
      </c>
    </row>
    <row r="68" spans="1:17" s="573" customFormat="1" x14ac:dyDescent="0.2">
      <c r="A68" s="1741" t="s">
        <v>2769</v>
      </c>
      <c r="B68" s="63">
        <f t="shared" ref="B68:M68" si="108">SUM(B65:B67)</f>
        <v>17813</v>
      </c>
      <c r="C68" s="63">
        <f t="shared" si="108"/>
        <v>19648</v>
      </c>
      <c r="D68" s="63">
        <f t="shared" si="108"/>
        <v>16508</v>
      </c>
      <c r="E68" s="63">
        <f t="shared" si="108"/>
        <v>17610</v>
      </c>
      <c r="F68" s="107">
        <f t="shared" si="108"/>
        <v>19962</v>
      </c>
      <c r="G68" s="63">
        <f t="shared" si="108"/>
        <v>20464.8</v>
      </c>
      <c r="H68" s="63">
        <f t="shared" si="108"/>
        <v>20962.099999999999</v>
      </c>
      <c r="I68" s="63">
        <f t="shared" si="108"/>
        <v>21141</v>
      </c>
      <c r="J68" s="63">
        <f t="shared" si="108"/>
        <v>22106.1</v>
      </c>
      <c r="K68" s="63">
        <f t="shared" si="108"/>
        <v>22213</v>
      </c>
      <c r="L68" s="63">
        <f t="shared" si="108"/>
        <v>22056.799999999999</v>
      </c>
      <c r="M68" s="63">
        <f t="shared" si="108"/>
        <v>22360</v>
      </c>
      <c r="N68" s="107">
        <f t="shared" ref="N68:O68" si="109">SUM(N65:N67)</f>
        <v>22319.4</v>
      </c>
      <c r="O68" s="107">
        <f t="shared" si="109"/>
        <v>22913.4</v>
      </c>
      <c r="P68" s="107">
        <f t="shared" ref="P68" si="110">SUM(P65:P67)</f>
        <v>23577.3</v>
      </c>
      <c r="Q68" s="106">
        <f t="shared" ref="Q68" si="111">SUM(Q65:Q67)</f>
        <v>22540</v>
      </c>
    </row>
    <row r="69" spans="1:17" x14ac:dyDescent="0.2">
      <c r="A69" s="2092"/>
      <c r="B69" s="48"/>
      <c r="C69" s="48"/>
      <c r="D69" s="48"/>
      <c r="E69" s="48"/>
      <c r="F69" s="161"/>
      <c r="G69" s="48"/>
      <c r="H69" s="48"/>
      <c r="I69" s="48"/>
      <c r="J69" s="48"/>
      <c r="K69" s="48"/>
      <c r="L69" s="48"/>
      <c r="M69" s="48"/>
      <c r="N69" s="161"/>
      <c r="O69" s="161"/>
      <c r="P69" s="161"/>
      <c r="Q69" s="51"/>
    </row>
    <row r="70" spans="1:17" x14ac:dyDescent="0.2">
      <c r="A70" s="564" t="s">
        <v>2770</v>
      </c>
      <c r="B70" s="48"/>
      <c r="C70" s="48"/>
      <c r="D70" s="48"/>
      <c r="E70" s="48"/>
      <c r="F70" s="161"/>
      <c r="G70" s="48"/>
      <c r="H70" s="48"/>
      <c r="I70" s="48"/>
      <c r="J70" s="48"/>
      <c r="K70" s="48"/>
      <c r="L70" s="48"/>
      <c r="M70" s="48"/>
      <c r="N70" s="161"/>
      <c r="O70" s="161"/>
      <c r="P70" s="161"/>
      <c r="Q70" s="51"/>
    </row>
    <row r="71" spans="1:17" x14ac:dyDescent="0.2">
      <c r="A71" s="1740" t="s">
        <v>2766</v>
      </c>
      <c r="B71" s="48">
        <v>540</v>
      </c>
      <c r="C71" s="48">
        <v>0</v>
      </c>
      <c r="D71" s="89">
        <f>ROUNDUP(C71+(C71*Assumptions!E$5),-2)</f>
        <v>0</v>
      </c>
      <c r="E71" s="89">
        <v>0</v>
      </c>
      <c r="F71" s="89">
        <v>0</v>
      </c>
      <c r="G71" s="9">
        <f>ROUNDUP(F71+(F71*Assumptions!H$5),-2)</f>
        <v>0</v>
      </c>
      <c r="H71" s="9">
        <f>ROUNDUP(G71+(G71*Assumptions!I$5),-2)</f>
        <v>0</v>
      </c>
      <c r="I71" s="9">
        <f>ROUNDUP(H71+(H71*Assumptions!J$5),-2)</f>
        <v>0</v>
      </c>
      <c r="J71" s="9">
        <f>ROUNDUP(I71+(I71*Assumptions!K$5),-2)</f>
        <v>0</v>
      </c>
      <c r="K71" s="9">
        <f>ROUNDUP(J71+(J71*Assumptions!L$5),-2)</f>
        <v>0</v>
      </c>
      <c r="L71" s="9">
        <f>ROUNDUP(K71+(K71*Assumptions!M$5),-2)</f>
        <v>0</v>
      </c>
      <c r="M71" s="9">
        <f>ROUNDUP(L71+(L71*Assumptions!N$5),-2)</f>
        <v>0</v>
      </c>
      <c r="N71" s="89">
        <f>ROUNDUP(M71+(M71*Assumptions!O$5),-2)</f>
        <v>0</v>
      </c>
      <c r="O71" s="89">
        <f>ROUNDUP(N71+(N71*Assumptions!P$5),-2)</f>
        <v>0</v>
      </c>
      <c r="P71" s="89">
        <f>ROUNDUP(O71+(O71*Assumptions!Q$5),-2)</f>
        <v>0</v>
      </c>
      <c r="Q71" s="61">
        <f>ROUNDUP(P71+(P71*Assumptions!R$5),-2)</f>
        <v>0</v>
      </c>
    </row>
    <row r="72" spans="1:17" x14ac:dyDescent="0.2">
      <c r="A72" s="1740" t="s">
        <v>2767</v>
      </c>
      <c r="B72" s="48">
        <v>22056</v>
      </c>
      <c r="C72" s="48">
        <f>'Debt-Gen'!E76/1000-C66-380-96</f>
        <v>20183</v>
      </c>
      <c r="D72" s="48">
        <v>19400</v>
      </c>
      <c r="E72" s="48">
        <v>16319</v>
      </c>
      <c r="F72" s="161">
        <v>19999</v>
      </c>
      <c r="G72" s="48">
        <f>'Debt-Gen'!M76/1000-'BS&amp;Ratios'!G66</f>
        <v>25508.5</v>
      </c>
      <c r="H72" s="48">
        <f>'Debt-Gen'!O76/1000-'BS&amp;Ratios'!H66</f>
        <v>24606.400000000001</v>
      </c>
      <c r="I72" s="48">
        <f>'Debt-Gen'!Q76/1000-'BS&amp;Ratios'!I66</f>
        <v>21475.4</v>
      </c>
      <c r="J72" s="48">
        <f>'Debt-Gen'!S76/1000-'BS&amp;Ratios'!J66</f>
        <v>26179.4</v>
      </c>
      <c r="K72" s="48">
        <f>'Debt-Gen'!U76/1000-'BS&amp;Ratios'!K66</f>
        <v>22996.400000000001</v>
      </c>
      <c r="L72" s="48">
        <f>'Debt-Gen'!W76/1000-'BS&amp;Ratios'!L66</f>
        <v>20539.600000000002</v>
      </c>
      <c r="M72" s="48">
        <f>'Debt-Gen'!Y76/1000-'BS&amp;Ratios'!M66</f>
        <v>18349.599999999999</v>
      </c>
      <c r="N72" s="161">
        <f>'Debt-Gen'!AA76/1000-'BS&amp;Ratios'!N66</f>
        <v>16780.199999999997</v>
      </c>
      <c r="O72" s="161">
        <f>'Debt-Gen'!AC76/1000-'BS&amp;Ratios'!O66</f>
        <v>15206.800000000001</v>
      </c>
      <c r="P72" s="161">
        <f>'Debt-Gen'!AE76/1000-'BS&amp;Ratios'!P66</f>
        <v>13569.5</v>
      </c>
      <c r="Q72" s="51">
        <f>'Debt-Gen'!AF76/1000-'BS&amp;Ratios'!Q66</f>
        <v>0</v>
      </c>
    </row>
    <row r="73" spans="1:17" x14ac:dyDescent="0.2">
      <c r="A73" s="1740" t="s">
        <v>2768</v>
      </c>
      <c r="B73" s="651">
        <v>3938</v>
      </c>
      <c r="C73" s="651">
        <v>4568</v>
      </c>
      <c r="D73" s="651">
        <v>4560</v>
      </c>
      <c r="E73" s="456">
        <v>4466</v>
      </c>
      <c r="F73" s="456">
        <v>4260</v>
      </c>
      <c r="G73" s="322">
        <f>ROUNDUP(F73+(F73*Assumptions!H$14),-2)</f>
        <v>4500</v>
      </c>
      <c r="H73" s="322">
        <f>ROUNDUP(G73+(G73*Assumptions!I$14),-2)</f>
        <v>4800</v>
      </c>
      <c r="I73" s="322">
        <f>ROUNDUP(H73+(H73*Assumptions!J$14),-2)</f>
        <v>5100</v>
      </c>
      <c r="J73" s="322">
        <f>ROUNDUP(I73+(I73*Assumptions!K$14),-2)</f>
        <v>5400</v>
      </c>
      <c r="K73" s="322">
        <f>ROUNDUP(J73+(J73*Assumptions!L$14),-2)</f>
        <v>5700</v>
      </c>
      <c r="L73" s="322">
        <f>ROUNDUP(K73+(K73*Assumptions!M$14),-2)</f>
        <v>6000</v>
      </c>
      <c r="M73" s="322">
        <f>ROUNDUP(L73+(L73*Assumptions!N$14),-2)</f>
        <v>6300</v>
      </c>
      <c r="N73" s="651">
        <f>ROUNDUP(M73+(M73*Assumptions!O$14),-2)</f>
        <v>6600</v>
      </c>
      <c r="O73" s="812">
        <f>ROUNDUP(N73+(N73*Assumptions!P$14),-2)</f>
        <v>6900</v>
      </c>
      <c r="P73" s="812">
        <f>ROUNDUP(O73+(O73*Assumptions!Q$14),-2)</f>
        <v>7300</v>
      </c>
      <c r="Q73" s="2476">
        <f>ROUNDUP(P73+(P73*Assumptions!R$14),-2)</f>
        <v>7700</v>
      </c>
    </row>
    <row r="74" spans="1:17" s="573" customFormat="1" x14ac:dyDescent="0.2">
      <c r="A74" s="1741" t="s">
        <v>2771</v>
      </c>
      <c r="B74" s="63">
        <f t="shared" ref="B74:M74" si="112">SUM(B71:B73)</f>
        <v>26534</v>
      </c>
      <c r="C74" s="63">
        <f t="shared" si="112"/>
        <v>24751</v>
      </c>
      <c r="D74" s="63">
        <f t="shared" si="112"/>
        <v>23960</v>
      </c>
      <c r="E74" s="63">
        <f t="shared" si="112"/>
        <v>20785</v>
      </c>
      <c r="F74" s="107">
        <f t="shared" si="112"/>
        <v>24259</v>
      </c>
      <c r="G74" s="63">
        <f t="shared" si="112"/>
        <v>30008.5</v>
      </c>
      <c r="H74" s="63">
        <f t="shared" si="112"/>
        <v>29406.400000000001</v>
      </c>
      <c r="I74" s="63">
        <f t="shared" si="112"/>
        <v>26575.4</v>
      </c>
      <c r="J74" s="63">
        <f t="shared" si="112"/>
        <v>31579.4</v>
      </c>
      <c r="K74" s="63">
        <f t="shared" si="112"/>
        <v>28696.400000000001</v>
      </c>
      <c r="L74" s="63">
        <f t="shared" si="112"/>
        <v>26539.600000000002</v>
      </c>
      <c r="M74" s="63">
        <f t="shared" si="112"/>
        <v>24649.599999999999</v>
      </c>
      <c r="N74" s="107">
        <f t="shared" ref="N74:O74" si="113">SUM(N71:N73)</f>
        <v>23380.199999999997</v>
      </c>
      <c r="O74" s="107">
        <f t="shared" si="113"/>
        <v>22106.800000000003</v>
      </c>
      <c r="P74" s="107">
        <f t="shared" ref="P74" si="114">SUM(P71:P73)</f>
        <v>20869.5</v>
      </c>
      <c r="Q74" s="106">
        <f t="shared" ref="Q74" si="115">SUM(Q71:Q73)</f>
        <v>7700</v>
      </c>
    </row>
    <row r="75" spans="1:17" s="285" customFormat="1" x14ac:dyDescent="0.2">
      <c r="A75" s="564" t="s">
        <v>2383</v>
      </c>
      <c r="B75" s="944">
        <f t="shared" ref="B75:M75" si="116">B68+B74</f>
        <v>44347</v>
      </c>
      <c r="C75" s="944">
        <f t="shared" si="116"/>
        <v>44399</v>
      </c>
      <c r="D75" s="944">
        <f t="shared" si="116"/>
        <v>40468</v>
      </c>
      <c r="E75" s="944">
        <f t="shared" si="116"/>
        <v>38395</v>
      </c>
      <c r="F75" s="1478">
        <f t="shared" si="116"/>
        <v>44221</v>
      </c>
      <c r="G75" s="944">
        <f t="shared" si="116"/>
        <v>50473.3</v>
      </c>
      <c r="H75" s="944">
        <f t="shared" si="116"/>
        <v>50368.5</v>
      </c>
      <c r="I75" s="944">
        <f t="shared" si="116"/>
        <v>47716.4</v>
      </c>
      <c r="J75" s="944">
        <f t="shared" si="116"/>
        <v>53685.5</v>
      </c>
      <c r="K75" s="944">
        <f t="shared" si="116"/>
        <v>50909.4</v>
      </c>
      <c r="L75" s="944">
        <f t="shared" si="116"/>
        <v>48596.4</v>
      </c>
      <c r="M75" s="944">
        <f t="shared" si="116"/>
        <v>47009.599999999999</v>
      </c>
      <c r="N75" s="1478">
        <f t="shared" ref="N75:O75" si="117">N68+N74</f>
        <v>45699.6</v>
      </c>
      <c r="O75" s="1478">
        <f t="shared" si="117"/>
        <v>45020.200000000004</v>
      </c>
      <c r="P75" s="1478">
        <f t="shared" ref="P75" si="118">P68+P74</f>
        <v>44446.8</v>
      </c>
      <c r="Q75" s="2541">
        <f t="shared" ref="Q75" si="119">Q68+Q74</f>
        <v>30240</v>
      </c>
    </row>
    <row r="76" spans="1:17" s="285" customFormat="1" ht="13.5" thickBot="1" x14ac:dyDescent="0.25">
      <c r="A76" s="564" t="s">
        <v>2384</v>
      </c>
      <c r="B76" s="2093">
        <f t="shared" ref="B76:M76" si="120">B61-B75</f>
        <v>765691</v>
      </c>
      <c r="C76" s="2093">
        <f t="shared" si="120"/>
        <v>774177</v>
      </c>
      <c r="D76" s="2093">
        <f t="shared" si="120"/>
        <v>841849</v>
      </c>
      <c r="E76" s="2093">
        <f t="shared" si="120"/>
        <v>856107</v>
      </c>
      <c r="F76" s="1477">
        <f t="shared" si="120"/>
        <v>895783</v>
      </c>
      <c r="G76" s="2093">
        <f t="shared" si="120"/>
        <v>915876.7</v>
      </c>
      <c r="H76" s="2093">
        <f t="shared" si="120"/>
        <v>933321.5</v>
      </c>
      <c r="I76" s="2093">
        <f t="shared" si="120"/>
        <v>944583.6</v>
      </c>
      <c r="J76" s="2093">
        <f t="shared" si="120"/>
        <v>960204.5</v>
      </c>
      <c r="K76" s="2093">
        <f t="shared" si="120"/>
        <v>974550.6</v>
      </c>
      <c r="L76" s="2093">
        <f t="shared" si="120"/>
        <v>981203.6</v>
      </c>
      <c r="M76" s="2093">
        <f t="shared" si="120"/>
        <v>988210.4</v>
      </c>
      <c r="N76" s="1477">
        <f t="shared" ref="N76:O76" si="121">N61-N75</f>
        <v>995260.4</v>
      </c>
      <c r="O76" s="1477">
        <f t="shared" si="121"/>
        <v>1003209.8</v>
      </c>
      <c r="P76" s="1477">
        <f t="shared" ref="P76" si="122">P61-P75</f>
        <v>1011733.2</v>
      </c>
      <c r="Q76" s="2539">
        <f t="shared" ref="Q76" si="123">Q61-Q75</f>
        <v>1034310</v>
      </c>
    </row>
    <row r="77" spans="1:17" x14ac:dyDescent="0.2">
      <c r="A77" s="2092"/>
      <c r="B77" s="48"/>
      <c r="C77" s="48"/>
      <c r="D77" s="48"/>
      <c r="E77" s="48"/>
      <c r="F77" s="161"/>
      <c r="G77" s="48"/>
      <c r="H77" s="48"/>
      <c r="I77" s="48"/>
      <c r="J77" s="48"/>
      <c r="K77" s="48"/>
      <c r="L77" s="48"/>
      <c r="M77" s="48"/>
      <c r="N77" s="161"/>
      <c r="O77" s="161"/>
      <c r="P77" s="161"/>
      <c r="Q77" s="51"/>
    </row>
    <row r="78" spans="1:17" x14ac:dyDescent="0.2">
      <c r="A78" s="564" t="s">
        <v>2385</v>
      </c>
      <c r="B78" s="48"/>
      <c r="C78" s="48"/>
      <c r="D78" s="48"/>
      <c r="E78" s="48"/>
      <c r="F78" s="161"/>
      <c r="G78" s="48"/>
      <c r="H78" s="48"/>
      <c r="I78" s="48"/>
      <c r="J78" s="48"/>
      <c r="K78" s="48"/>
      <c r="L78" s="48"/>
      <c r="M78" s="48"/>
      <c r="N78" s="161"/>
      <c r="O78" s="161"/>
      <c r="P78" s="161"/>
      <c r="Q78" s="51"/>
    </row>
    <row r="79" spans="1:17" x14ac:dyDescent="0.2">
      <c r="A79" s="1740" t="s">
        <v>2472</v>
      </c>
      <c r="B79" s="48">
        <f t="shared" ref="B79:M79" si="124">B76-B80</f>
        <v>487632</v>
      </c>
      <c r="C79" s="48">
        <f t="shared" si="124"/>
        <v>488865</v>
      </c>
      <c r="D79" s="48">
        <f t="shared" si="124"/>
        <v>498603</v>
      </c>
      <c r="E79" s="48">
        <f t="shared" si="124"/>
        <v>507454</v>
      </c>
      <c r="F79" s="161">
        <v>535300</v>
      </c>
      <c r="G79" s="48">
        <f t="shared" si="124"/>
        <v>549976.69999999995</v>
      </c>
      <c r="H79" s="48">
        <f t="shared" si="124"/>
        <v>558921.5</v>
      </c>
      <c r="I79" s="48">
        <f t="shared" si="124"/>
        <v>560783.6</v>
      </c>
      <c r="J79" s="48">
        <f t="shared" si="124"/>
        <v>566804.5</v>
      </c>
      <c r="K79" s="48">
        <f t="shared" si="124"/>
        <v>571250.6</v>
      </c>
      <c r="L79" s="48">
        <f t="shared" si="124"/>
        <v>567803.6</v>
      </c>
      <c r="M79" s="48">
        <f t="shared" si="124"/>
        <v>564410.4</v>
      </c>
      <c r="N79" s="161">
        <f t="shared" ref="N79:O79" si="125">N76-N80</f>
        <v>560860.4</v>
      </c>
      <c r="O79" s="161">
        <f t="shared" si="125"/>
        <v>557909.80000000005</v>
      </c>
      <c r="P79" s="161">
        <f t="shared" ref="P79" si="126">P76-P80</f>
        <v>555233.19999999995</v>
      </c>
      <c r="Q79" s="51">
        <f t="shared" ref="Q79" si="127">Q76-Q80</f>
        <v>566310</v>
      </c>
    </row>
    <row r="80" spans="1:17" x14ac:dyDescent="0.2">
      <c r="A80" s="1740" t="s">
        <v>2837</v>
      </c>
      <c r="B80" s="651">
        <v>278059</v>
      </c>
      <c r="C80" s="651">
        <v>285312</v>
      </c>
      <c r="D80" s="651">
        <v>343246</v>
      </c>
      <c r="E80" s="651">
        <v>348653</v>
      </c>
      <c r="F80" s="812">
        <v>360483</v>
      </c>
      <c r="G80" s="651">
        <f>ROUNDUP(F80+(F80*Assumptions!H$5),-2)</f>
        <v>365900</v>
      </c>
      <c r="H80" s="651">
        <f>ROUNDUP(G80+(G80*Assumptions!I$5),-2)</f>
        <v>374400</v>
      </c>
      <c r="I80" s="651">
        <f>ROUNDUP(H80+(H80*Assumptions!J$5),-2)</f>
        <v>383800</v>
      </c>
      <c r="J80" s="651">
        <f>ROUNDUP(I80+(I80*Assumptions!K$5),-2)</f>
        <v>393400</v>
      </c>
      <c r="K80" s="651">
        <f>ROUNDUP(J80+(J80*Assumptions!L$5),-2)</f>
        <v>403300</v>
      </c>
      <c r="L80" s="651">
        <f>ROUNDUP(K80+(K80*Assumptions!M$5),-2)</f>
        <v>413400</v>
      </c>
      <c r="M80" s="651">
        <f>ROUNDUP(L80+(L80*Assumptions!N$5),-2)</f>
        <v>423800</v>
      </c>
      <c r="N80" s="812">
        <f>ROUNDUP(M80+(M80*Assumptions!O$5),-2)</f>
        <v>434400</v>
      </c>
      <c r="O80" s="812">
        <f>ROUNDUP(N80+(N80*Assumptions!P$5),-2)</f>
        <v>445300</v>
      </c>
      <c r="P80" s="812">
        <f>ROUNDUP(O80+(O80*Assumptions!Q$5),-2)</f>
        <v>456500</v>
      </c>
      <c r="Q80" s="2476">
        <f>ROUNDUP(P80+(P80*Assumptions!R$5),-2)</f>
        <v>468000</v>
      </c>
    </row>
    <row r="81" spans="1:17" s="573" customFormat="1" x14ac:dyDescent="0.2">
      <c r="A81" s="1741" t="s">
        <v>2717</v>
      </c>
      <c r="B81" s="63">
        <f t="shared" ref="B81:M81" si="128">SUM(B79:B80)</f>
        <v>765691</v>
      </c>
      <c r="C81" s="63">
        <f t="shared" si="128"/>
        <v>774177</v>
      </c>
      <c r="D81" s="63">
        <f t="shared" si="128"/>
        <v>841849</v>
      </c>
      <c r="E81" s="63">
        <f t="shared" si="128"/>
        <v>856107</v>
      </c>
      <c r="F81" s="107">
        <f t="shared" si="128"/>
        <v>895783</v>
      </c>
      <c r="G81" s="63">
        <f t="shared" si="128"/>
        <v>915876.7</v>
      </c>
      <c r="H81" s="63">
        <f t="shared" si="128"/>
        <v>933321.5</v>
      </c>
      <c r="I81" s="63">
        <f t="shared" si="128"/>
        <v>944583.6</v>
      </c>
      <c r="J81" s="63">
        <f t="shared" si="128"/>
        <v>960204.5</v>
      </c>
      <c r="K81" s="63">
        <f t="shared" si="128"/>
        <v>974550.6</v>
      </c>
      <c r="L81" s="63">
        <f t="shared" si="128"/>
        <v>981203.6</v>
      </c>
      <c r="M81" s="63">
        <f t="shared" si="128"/>
        <v>988210.4</v>
      </c>
      <c r="N81" s="107">
        <f t="shared" ref="N81:O81" si="129">SUM(N79:N80)</f>
        <v>995260.4</v>
      </c>
      <c r="O81" s="107">
        <f t="shared" si="129"/>
        <v>1003209.8</v>
      </c>
      <c r="P81" s="107">
        <f t="shared" ref="P81" si="130">SUM(P79:P80)</f>
        <v>1011733.2</v>
      </c>
      <c r="Q81" s="106">
        <f t="shared" ref="Q81" si="131">SUM(Q79:Q80)</f>
        <v>1034310</v>
      </c>
    </row>
    <row r="82" spans="1:17" ht="13.5" thickBot="1" x14ac:dyDescent="0.25">
      <c r="A82" s="1719"/>
      <c r="B82" s="1479"/>
      <c r="C82" s="1479"/>
      <c r="D82" s="1479"/>
      <c r="E82" s="1479"/>
      <c r="F82" s="1479"/>
      <c r="G82" s="1479"/>
      <c r="H82" s="1479"/>
      <c r="I82" s="1479"/>
      <c r="J82" s="1479"/>
      <c r="K82" s="1479"/>
      <c r="L82" s="1479"/>
      <c r="M82" s="1479"/>
      <c r="N82" s="2094"/>
      <c r="O82" s="2094"/>
      <c r="P82" s="2094"/>
      <c r="Q82" s="1755"/>
    </row>
    <row r="83" spans="1:17" s="1250" customFormat="1" ht="14.25" thickTop="1" thickBot="1" x14ac:dyDescent="0.25">
      <c r="B83" s="783"/>
      <c r="C83" s="783"/>
      <c r="D83" s="783"/>
      <c r="E83" s="783"/>
      <c r="F83" s="783"/>
      <c r="G83" s="783"/>
      <c r="H83" s="783"/>
      <c r="I83" s="783"/>
      <c r="J83" s="783"/>
      <c r="K83" s="783"/>
      <c r="L83" s="783"/>
      <c r="M83" s="783"/>
      <c r="N83" s="783"/>
      <c r="O83" s="783"/>
      <c r="P83" s="783"/>
      <c r="Q83" s="783"/>
    </row>
    <row r="84" spans="1:17" ht="17.25" thickTop="1" thickBot="1" x14ac:dyDescent="0.3">
      <c r="A84" s="2570" t="s">
        <v>5951</v>
      </c>
      <c r="B84" s="2571"/>
      <c r="C84" s="2571"/>
      <c r="D84" s="2571"/>
      <c r="E84" s="2571"/>
      <c r="F84" s="2571"/>
      <c r="G84" s="2571"/>
      <c r="H84" s="2571"/>
      <c r="I84" s="2571"/>
      <c r="J84" s="2571"/>
      <c r="K84" s="2571"/>
      <c r="L84" s="2571"/>
      <c r="M84" s="2571"/>
      <c r="N84" s="2571"/>
      <c r="O84" s="2571"/>
      <c r="P84" s="2571"/>
      <c r="Q84" s="2572"/>
    </row>
    <row r="85" spans="1:17" s="285" customFormat="1" ht="13.5" thickBot="1" x14ac:dyDescent="0.25">
      <c r="A85" s="2089" t="s">
        <v>4478</v>
      </c>
      <c r="B85" s="2090" t="str">
        <f>SP!A51</f>
        <v>2012/13</v>
      </c>
      <c r="C85" s="2090" t="str">
        <f>SP!B51</f>
        <v>2013/14</v>
      </c>
      <c r="D85" s="2090" t="str">
        <f>SP!C51</f>
        <v>2014/15</v>
      </c>
      <c r="E85" s="2090" t="str">
        <f>SP!D51</f>
        <v>2015/16</v>
      </c>
      <c r="F85" s="1474" t="str">
        <f>SP!E51</f>
        <v>2016/17</v>
      </c>
      <c r="G85" s="2090" t="str">
        <f>SP!H51</f>
        <v>2017/18</v>
      </c>
      <c r="H85" s="2090" t="str">
        <f>SP!J51</f>
        <v>2018/19</v>
      </c>
      <c r="I85" s="2090" t="str">
        <f>SP!K51</f>
        <v>2019/20</v>
      </c>
      <c r="J85" s="2090" t="str">
        <f>SP!L51</f>
        <v>2020/21</v>
      </c>
      <c r="K85" s="2090" t="str">
        <f>SP!M51</f>
        <v>2021/22</v>
      </c>
      <c r="L85" s="2090" t="str">
        <f>SP!N51</f>
        <v>2022/23</v>
      </c>
      <c r="M85" s="2090" t="str">
        <f>SP!O51</f>
        <v>2023/24</v>
      </c>
      <c r="N85" s="1474" t="str">
        <f>SP!P51</f>
        <v>2024/25</v>
      </c>
      <c r="O85" s="1474" t="str">
        <f>SP!Q51</f>
        <v>2025/26</v>
      </c>
      <c r="P85" s="1474" t="str">
        <f>SP!R51</f>
        <v>2026/27</v>
      </c>
      <c r="Q85" s="2537" t="str">
        <f>SP!S51</f>
        <v>2027/28</v>
      </c>
    </row>
    <row r="86" spans="1:17" s="285" customFormat="1" x14ac:dyDescent="0.2">
      <c r="A86" s="564"/>
      <c r="B86" s="2091"/>
      <c r="C86" s="2091"/>
      <c r="D86" s="2091"/>
      <c r="E86" s="2091"/>
      <c r="F86" s="1475"/>
      <c r="G86" s="2091"/>
      <c r="H86" s="2091"/>
      <c r="I86" s="2091"/>
      <c r="J86" s="2091"/>
      <c r="K86" s="2091"/>
      <c r="L86" s="2091"/>
      <c r="M86" s="2091"/>
      <c r="N86" s="1475"/>
      <c r="O86" s="1475"/>
      <c r="P86" s="1475"/>
      <c r="Q86" s="2538"/>
    </row>
    <row r="87" spans="1:17" x14ac:dyDescent="0.2">
      <c r="A87" s="564" t="s">
        <v>2126</v>
      </c>
      <c r="B87" s="48"/>
      <c r="C87" s="48"/>
      <c r="D87" s="48"/>
      <c r="E87" s="48"/>
      <c r="F87" s="161"/>
      <c r="G87" s="48"/>
      <c r="H87" s="48"/>
      <c r="I87" s="48"/>
      <c r="J87" s="48"/>
      <c r="K87" s="48"/>
      <c r="L87" s="48"/>
      <c r="M87" s="48"/>
      <c r="N87" s="161"/>
      <c r="O87" s="161"/>
      <c r="P87" s="161"/>
      <c r="Q87" s="51"/>
    </row>
    <row r="88" spans="1:17" x14ac:dyDescent="0.2">
      <c r="A88" s="564" t="s">
        <v>2127</v>
      </c>
      <c r="B88" s="48"/>
      <c r="C88" s="48"/>
      <c r="D88" s="48"/>
      <c r="E88" s="48"/>
      <c r="F88" s="161"/>
      <c r="G88" s="48"/>
      <c r="H88" s="48"/>
      <c r="I88" s="48"/>
      <c r="J88" s="48"/>
      <c r="K88" s="48"/>
      <c r="L88" s="48"/>
      <c r="M88" s="48"/>
      <c r="N88" s="161"/>
      <c r="O88" s="161"/>
      <c r="P88" s="161"/>
      <c r="Q88" s="51"/>
    </row>
    <row r="89" spans="1:17" x14ac:dyDescent="0.2">
      <c r="A89" s="559" t="s">
        <v>4207</v>
      </c>
      <c r="B89" s="48">
        <f>2380+7140</f>
        <v>9520</v>
      </c>
      <c r="C89" s="48">
        <v>9662</v>
      </c>
      <c r="D89" s="9">
        <v>9094</v>
      </c>
      <c r="E89" s="9">
        <v>9625</v>
      </c>
      <c r="F89" s="89">
        <v>14303</v>
      </c>
      <c r="G89" s="9">
        <f>ROUNDUP(F89+('Cash-W'!G47/1000),-1)</f>
        <v>12710</v>
      </c>
      <c r="H89" s="9">
        <f>ROUNDUP(G89+('Cash-W'!H47/1000),-1)</f>
        <v>12650</v>
      </c>
      <c r="I89" s="9">
        <f>ROUNDUP(H89+('Cash-W'!I47/1000),-1)</f>
        <v>12220</v>
      </c>
      <c r="J89" s="9">
        <f>ROUNDUP(I89+('Cash-W'!J47/1000),-1)</f>
        <v>12350</v>
      </c>
      <c r="K89" s="9">
        <f>ROUNDUP(J89+('Cash-W'!K47/1000),-1)</f>
        <v>10120</v>
      </c>
      <c r="L89" s="9">
        <f>ROUNDUP(K89+('Cash-W'!L47/1000),-1)</f>
        <v>10570</v>
      </c>
      <c r="M89" s="9">
        <f>ROUNDUP(L89+('Cash-W'!M47/1000),-1)</f>
        <v>9020</v>
      </c>
      <c r="N89" s="89">
        <f>ROUNDUP(M89+('Cash-W'!N47/1000),-1)</f>
        <v>7820</v>
      </c>
      <c r="O89" s="89">
        <f>ROUNDUP(N89+('Cash-W'!P47/1000),-1)</f>
        <v>8280</v>
      </c>
      <c r="P89" s="89">
        <f>ROUNDUP(O89+('Cash-W'!Q47/1000),-1)</f>
        <v>10650</v>
      </c>
      <c r="Q89" s="61">
        <f>ROUNDUP(P89+('Cash-W'!R47/1000),-1)</f>
        <v>10650</v>
      </c>
    </row>
    <row r="90" spans="1:17" x14ac:dyDescent="0.2">
      <c r="A90" s="1740" t="s">
        <v>2085</v>
      </c>
      <c r="B90" s="9">
        <v>1866</v>
      </c>
      <c r="C90" s="9">
        <v>2095</v>
      </c>
      <c r="D90" s="9">
        <v>2062</v>
      </c>
      <c r="E90" s="9">
        <v>2043</v>
      </c>
      <c r="F90" s="89">
        <v>2130</v>
      </c>
      <c r="G90" s="9">
        <f>ROUNDUP(F90+(F90*Assumptions!H$5),-1)</f>
        <v>2170</v>
      </c>
      <c r="H90" s="9">
        <f>ROUNDUP(G90+(G90*Assumptions!I$5),-1)</f>
        <v>2220</v>
      </c>
      <c r="I90" s="9">
        <f>ROUNDUP(H90+(H90*Assumptions!J$5),-1)</f>
        <v>2280</v>
      </c>
      <c r="J90" s="9">
        <f>ROUNDUP(I90+(I90*Assumptions!K$5),-1)</f>
        <v>2340</v>
      </c>
      <c r="K90" s="9">
        <f>ROUNDUP(J90+(J90*Assumptions!L$5),-1)</f>
        <v>2400</v>
      </c>
      <c r="L90" s="9">
        <f>ROUNDUP(K90+(K90*Assumptions!M$5),-1)</f>
        <v>2460</v>
      </c>
      <c r="M90" s="9">
        <f>ROUNDUP(L90+(L90*Assumptions!N$5),-1)</f>
        <v>2530</v>
      </c>
      <c r="N90" s="89">
        <f>ROUNDUP(M90+(M90*Assumptions!O$5),-1)</f>
        <v>2600</v>
      </c>
      <c r="O90" s="89">
        <f>ROUNDUP(N90+(N90*Assumptions!P$5),-1)</f>
        <v>2670</v>
      </c>
      <c r="P90" s="89">
        <f>ROUNDUP(O90+(O90*Assumptions!Q$5),-1)</f>
        <v>2740</v>
      </c>
      <c r="Q90" s="61">
        <f>ROUNDUP(P90+(P90*Assumptions!R$5),-1)</f>
        <v>2810</v>
      </c>
    </row>
    <row r="91" spans="1:17" x14ac:dyDescent="0.2">
      <c r="A91" s="1740" t="s">
        <v>2086</v>
      </c>
      <c r="B91" s="9">
        <v>0</v>
      </c>
      <c r="C91" s="9">
        <v>0</v>
      </c>
      <c r="D91" s="9">
        <f>ROUNDUP(C91+(C91*Assumptions!E$5),-1)</f>
        <v>0</v>
      </c>
      <c r="E91" s="9">
        <v>0</v>
      </c>
      <c r="F91" s="89">
        <v>0</v>
      </c>
      <c r="G91" s="9">
        <f>ROUNDUP(F91+(F91*Assumptions!H$5),-1)</f>
        <v>0</v>
      </c>
      <c r="H91" s="9">
        <f>ROUNDUP(G91+(G91*Assumptions!I$5),-1)</f>
        <v>0</v>
      </c>
      <c r="I91" s="9">
        <f>ROUNDUP(H91+(H91*Assumptions!J$5),-1)</f>
        <v>0</v>
      </c>
      <c r="J91" s="9">
        <f>ROUNDUP(I91+(I91*Assumptions!K$5),-1)</f>
        <v>0</v>
      </c>
      <c r="K91" s="9">
        <f>ROUNDUP(J91+(J91*Assumptions!L$5),-1)</f>
        <v>0</v>
      </c>
      <c r="L91" s="9">
        <f>ROUNDUP(K91+(K91*Assumptions!M$5),-1)</f>
        <v>0</v>
      </c>
      <c r="M91" s="9">
        <f>ROUNDUP(L91+(L91*Assumptions!N$5),-1)</f>
        <v>0</v>
      </c>
      <c r="N91" s="89">
        <f>ROUNDUP(M91+(M91*Assumptions!O$5),-1)</f>
        <v>0</v>
      </c>
      <c r="O91" s="89">
        <f>ROUNDUP(N91+(N91*Assumptions!P$5),-1)</f>
        <v>0</v>
      </c>
      <c r="P91" s="89">
        <f>ROUNDUP(O91+(O91*Assumptions!Q$5),-1)</f>
        <v>0</v>
      </c>
      <c r="Q91" s="61">
        <f>ROUNDUP(P91+(P91*Assumptions!R$5),-1)</f>
        <v>0</v>
      </c>
    </row>
    <row r="92" spans="1:17" x14ac:dyDescent="0.2">
      <c r="A92" s="1740" t="s">
        <v>1739</v>
      </c>
      <c r="B92" s="322">
        <v>0</v>
      </c>
      <c r="C92" s="322">
        <v>0</v>
      </c>
      <c r="D92" s="322">
        <v>121</v>
      </c>
      <c r="E92" s="322">
        <v>118</v>
      </c>
      <c r="F92" s="456">
        <v>111</v>
      </c>
      <c r="G92" s="322">
        <f>ROUNDUP(F92+(F92*Assumptions!H$5),-1)</f>
        <v>120</v>
      </c>
      <c r="H92" s="322">
        <f>ROUNDUP(G92+(G92*Assumptions!I$5),-1)</f>
        <v>130</v>
      </c>
      <c r="I92" s="322">
        <f>ROUNDUP(H92+(H92*Assumptions!J$5),-1)</f>
        <v>140</v>
      </c>
      <c r="J92" s="322">
        <f>ROUNDUP(I92+(I92*Assumptions!K$5),-1)</f>
        <v>150</v>
      </c>
      <c r="K92" s="322">
        <f>ROUNDUP(J92+(J92*Assumptions!L$5),-1)</f>
        <v>160</v>
      </c>
      <c r="L92" s="322">
        <f>ROUNDUP(K92+(K92*Assumptions!M$5),-1)</f>
        <v>170</v>
      </c>
      <c r="M92" s="322">
        <f>ROUNDUP(L92+(L92*Assumptions!N$5),-1)</f>
        <v>180</v>
      </c>
      <c r="N92" s="456">
        <f>ROUNDUP(M92+(M92*Assumptions!O$5),-1)</f>
        <v>190</v>
      </c>
      <c r="O92" s="456">
        <f>ROUNDUP(N92+(N92*Assumptions!P$5),-1)</f>
        <v>200</v>
      </c>
      <c r="P92" s="456">
        <f>ROUNDUP(O92+(O92*Assumptions!Q$5),-1)</f>
        <v>210</v>
      </c>
      <c r="Q92" s="546">
        <f>ROUNDUP(P92+(P92*Assumptions!R$5),-1)</f>
        <v>220</v>
      </c>
    </row>
    <row r="93" spans="1:17" s="573" customFormat="1" x14ac:dyDescent="0.2">
      <c r="A93" s="1741" t="s">
        <v>2087</v>
      </c>
      <c r="B93" s="63">
        <f t="shared" ref="B93:M93" si="132">SUM(B89:B92)</f>
        <v>11386</v>
      </c>
      <c r="C93" s="63">
        <f t="shared" si="132"/>
        <v>11757</v>
      </c>
      <c r="D93" s="63">
        <f t="shared" si="132"/>
        <v>11277</v>
      </c>
      <c r="E93" s="63">
        <f t="shared" si="132"/>
        <v>11786</v>
      </c>
      <c r="F93" s="107">
        <f t="shared" si="132"/>
        <v>16544</v>
      </c>
      <c r="G93" s="63">
        <f t="shared" si="132"/>
        <v>15000</v>
      </c>
      <c r="H93" s="63">
        <f t="shared" si="132"/>
        <v>15000</v>
      </c>
      <c r="I93" s="63">
        <f t="shared" si="132"/>
        <v>14640</v>
      </c>
      <c r="J93" s="63">
        <f t="shared" si="132"/>
        <v>14840</v>
      </c>
      <c r="K93" s="63">
        <f t="shared" si="132"/>
        <v>12680</v>
      </c>
      <c r="L93" s="63">
        <f t="shared" si="132"/>
        <v>13200</v>
      </c>
      <c r="M93" s="63">
        <f t="shared" si="132"/>
        <v>11730</v>
      </c>
      <c r="N93" s="107">
        <f t="shared" ref="N93:O93" si="133">SUM(N89:N92)</f>
        <v>10610</v>
      </c>
      <c r="O93" s="107">
        <f t="shared" si="133"/>
        <v>11150</v>
      </c>
      <c r="P93" s="107">
        <f t="shared" ref="P93" si="134">SUM(P89:P92)</f>
        <v>13600</v>
      </c>
      <c r="Q93" s="106">
        <f t="shared" ref="Q93" si="135">SUM(Q89:Q92)</f>
        <v>13680</v>
      </c>
    </row>
    <row r="94" spans="1:17" x14ac:dyDescent="0.2">
      <c r="A94" s="2092"/>
      <c r="B94" s="48"/>
      <c r="C94" s="48"/>
      <c r="D94" s="48"/>
      <c r="E94" s="48"/>
      <c r="F94" s="161"/>
      <c r="G94" s="48"/>
      <c r="H94" s="48"/>
      <c r="I94" s="48"/>
      <c r="J94" s="48"/>
      <c r="K94" s="48"/>
      <c r="L94" s="48"/>
      <c r="M94" s="48"/>
      <c r="N94" s="161"/>
      <c r="O94" s="161"/>
      <c r="P94" s="161"/>
      <c r="Q94" s="51"/>
    </row>
    <row r="95" spans="1:17" x14ac:dyDescent="0.2">
      <c r="A95" s="564" t="s">
        <v>2088</v>
      </c>
      <c r="B95" s="48"/>
      <c r="C95" s="48"/>
      <c r="D95" s="48"/>
      <c r="E95" s="48"/>
      <c r="F95" s="161"/>
      <c r="G95" s="48"/>
      <c r="H95" s="48"/>
      <c r="I95" s="48"/>
      <c r="J95" s="48"/>
      <c r="K95" s="48"/>
      <c r="L95" s="48"/>
      <c r="M95" s="48"/>
      <c r="N95" s="161"/>
      <c r="O95" s="161"/>
      <c r="P95" s="161"/>
      <c r="Q95" s="51"/>
    </row>
    <row r="96" spans="1:17" x14ac:dyDescent="0.2">
      <c r="A96" s="1740" t="s">
        <v>1908</v>
      </c>
      <c r="B96" s="48">
        <v>1298</v>
      </c>
      <c r="C96" s="48">
        <v>1240</v>
      </c>
      <c r="D96" s="48">
        <v>1241</v>
      </c>
      <c r="E96" s="9">
        <v>952</v>
      </c>
      <c r="F96" s="89">
        <v>1589</v>
      </c>
      <c r="G96" s="9">
        <f t="shared" ref="G96:O96" si="136">F96</f>
        <v>1589</v>
      </c>
      <c r="H96" s="9">
        <f t="shared" si="136"/>
        <v>1589</v>
      </c>
      <c r="I96" s="9">
        <f t="shared" si="136"/>
        <v>1589</v>
      </c>
      <c r="J96" s="9">
        <f t="shared" si="136"/>
        <v>1589</v>
      </c>
      <c r="K96" s="9">
        <f t="shared" si="136"/>
        <v>1589</v>
      </c>
      <c r="L96" s="9">
        <f t="shared" si="136"/>
        <v>1589</v>
      </c>
      <c r="M96" s="9">
        <f t="shared" si="136"/>
        <v>1589</v>
      </c>
      <c r="N96" s="89">
        <f t="shared" si="136"/>
        <v>1589</v>
      </c>
      <c r="O96" s="89">
        <f t="shared" si="136"/>
        <v>1589</v>
      </c>
      <c r="P96" s="89">
        <f>O96</f>
        <v>1589</v>
      </c>
      <c r="Q96" s="61">
        <f>P96</f>
        <v>1589</v>
      </c>
    </row>
    <row r="97" spans="1:17" x14ac:dyDescent="0.2">
      <c r="A97" s="1740" t="s">
        <v>2085</v>
      </c>
      <c r="B97" s="9">
        <v>165</v>
      </c>
      <c r="C97" s="9">
        <v>164</v>
      </c>
      <c r="D97" s="9">
        <f>137+16</f>
        <v>153</v>
      </c>
      <c r="E97" s="9">
        <v>108</v>
      </c>
      <c r="F97" s="89">
        <v>112</v>
      </c>
      <c r="G97" s="9">
        <f>ROUNDUP(F97+(F97*Assumptions!H$5),-1)</f>
        <v>120</v>
      </c>
      <c r="H97" s="9">
        <f>ROUNDUP(G97+(G97*Assumptions!I$5),-1)</f>
        <v>130</v>
      </c>
      <c r="I97" s="9">
        <f>ROUNDUP(H97+(H97*Assumptions!J$5),-1)</f>
        <v>140</v>
      </c>
      <c r="J97" s="9">
        <f>ROUNDUP(I97+(I97*Assumptions!K$5),-1)</f>
        <v>150</v>
      </c>
      <c r="K97" s="9">
        <f>ROUNDUP(J97+(J97*Assumptions!L$5),-1)</f>
        <v>160</v>
      </c>
      <c r="L97" s="9">
        <f>ROUNDUP(K97+(K97*Assumptions!M$5),-1)</f>
        <v>170</v>
      </c>
      <c r="M97" s="9">
        <f>ROUNDUP(L97+(L97*Assumptions!N$5),-1)</f>
        <v>180</v>
      </c>
      <c r="N97" s="89">
        <f>ROUNDUP(M97+(M97*Assumptions!O$5),-1)</f>
        <v>190</v>
      </c>
      <c r="O97" s="89">
        <f>ROUNDUP(N97+(N97*Assumptions!P$5),-1)</f>
        <v>200</v>
      </c>
      <c r="P97" s="89">
        <f>ROUNDUP(O97+(O97*Assumptions!Q$5),-1)</f>
        <v>210</v>
      </c>
      <c r="Q97" s="61">
        <f>ROUNDUP(P97+(P97*Assumptions!R$5),-1)</f>
        <v>220</v>
      </c>
    </row>
    <row r="98" spans="1:17" x14ac:dyDescent="0.2">
      <c r="A98" s="1740" t="s">
        <v>2086</v>
      </c>
      <c r="B98" s="9">
        <v>0</v>
      </c>
      <c r="C98" s="9">
        <v>0</v>
      </c>
      <c r="D98" s="9">
        <f>ROUNDUP(C98+(C98*Assumptions!E$5),-2)</f>
        <v>0</v>
      </c>
      <c r="E98" s="9">
        <v>11</v>
      </c>
      <c r="F98" s="89">
        <v>0</v>
      </c>
      <c r="G98" s="9">
        <f>ROUNDUP(F98+(F98*Assumptions!H$5),-2)</f>
        <v>0</v>
      </c>
      <c r="H98" s="9">
        <f>ROUNDUP(G98+(G98*Assumptions!I$5),-2)</f>
        <v>0</v>
      </c>
      <c r="I98" s="9">
        <f>ROUNDUP(H98+(H98*Assumptions!J$5),-2)</f>
        <v>0</v>
      </c>
      <c r="J98" s="9">
        <f>ROUNDUP(I98+(I98*Assumptions!K$5),-2)</f>
        <v>0</v>
      </c>
      <c r="K98" s="9">
        <f>ROUNDUP(J98+(J98*Assumptions!L$5),-2)</f>
        <v>0</v>
      </c>
      <c r="L98" s="9">
        <f>ROUNDUP(K98+(K98*Assumptions!M$5),-2)</f>
        <v>0</v>
      </c>
      <c r="M98" s="9">
        <f>ROUNDUP(L98+(L98*Assumptions!N$5),-2)</f>
        <v>0</v>
      </c>
      <c r="N98" s="89">
        <f>ROUNDUP(M98+(M98*Assumptions!O$5),-2)</f>
        <v>0</v>
      </c>
      <c r="O98" s="89">
        <f>ROUNDUP(N98+(N98*Assumptions!P$5),-2)</f>
        <v>0</v>
      </c>
      <c r="P98" s="89">
        <f>ROUNDUP(O98+(O98*Assumptions!Q$5),-2)</f>
        <v>0</v>
      </c>
      <c r="Q98" s="61">
        <f>ROUNDUP(P98+(P98*Assumptions!R$5),-2)</f>
        <v>0</v>
      </c>
    </row>
    <row r="99" spans="1:17" x14ac:dyDescent="0.2">
      <c r="A99" s="559" t="s">
        <v>3298</v>
      </c>
      <c r="B99" s="48">
        <v>108371</v>
      </c>
      <c r="C99" s="48">
        <v>111486</v>
      </c>
      <c r="D99" s="48">
        <v>68999</v>
      </c>
      <c r="E99" s="48">
        <v>71157</v>
      </c>
      <c r="F99" s="161">
        <v>76782</v>
      </c>
      <c r="G99" s="48">
        <f>ROUND(F99+'Cap-Water'!G73/1000-LTFP!F245/1000,-2)</f>
        <v>79400</v>
      </c>
      <c r="H99" s="48">
        <f>ROUND(G99+'Cap-Water'!H73/1000-LTFP!H245/1000,-2)</f>
        <v>83000</v>
      </c>
      <c r="I99" s="48">
        <f>ROUND(H99+'Cap-Water'!I73/1000-LTFP!I245/1000,-2)</f>
        <v>85000</v>
      </c>
      <c r="J99" s="48">
        <f>ROUND(I99+'Cap-Water'!J73/1000-LTFP!J245/1000,-2)</f>
        <v>85500</v>
      </c>
      <c r="K99" s="48">
        <f>ROUND(J99+'Cap-Water'!K73/1000-LTFP!K245/1000,-2)</f>
        <v>89800</v>
      </c>
      <c r="L99" s="48">
        <f>ROUND(K99+'Cap-Water'!L73/1000-LTFP!L245/1000,-2)</f>
        <v>92900</v>
      </c>
      <c r="M99" s="48">
        <f>ROUND(L99+'Cap-Water'!M73/1000-LTFP!M245/1000,-2)</f>
        <v>96000</v>
      </c>
      <c r="N99" s="161">
        <f>ROUND(M99+'Cap-Water'!N73/1000-LTFP!N245/1000,-2)</f>
        <v>98800</v>
      </c>
      <c r="O99" s="161">
        <f>ROUND(N99+'Cap-Water'!O681005-LTFP!O245/1000,-2)</f>
        <v>97200</v>
      </c>
      <c r="P99" s="161">
        <f>ROUND(O99+'Cap-Water'!P681005-LTFP!P245/1000,-2)</f>
        <v>95600</v>
      </c>
      <c r="Q99" s="51">
        <f>ROUND(P99+'Cap-Water'!Q681005-LTFP!Q245/1000,-2)</f>
        <v>93900</v>
      </c>
    </row>
    <row r="100" spans="1:17" x14ac:dyDescent="0.2">
      <c r="A100" s="1740" t="s">
        <v>2089</v>
      </c>
      <c r="B100" s="79">
        <v>0</v>
      </c>
      <c r="C100" s="79">
        <v>0</v>
      </c>
      <c r="D100" s="9">
        <f>ROUNDUP(C100+(C100*Assumptions!E$5),-2)</f>
        <v>0</v>
      </c>
      <c r="E100" s="9">
        <v>0</v>
      </c>
      <c r="F100" s="89">
        <v>0</v>
      </c>
      <c r="G100" s="9">
        <f>ROUNDUP(F100+(F100*Assumptions!H$5),-2)</f>
        <v>0</v>
      </c>
      <c r="H100" s="9">
        <f>ROUNDUP(G100+(G100*Assumptions!I$5),-2)</f>
        <v>0</v>
      </c>
      <c r="I100" s="9">
        <f>ROUNDUP(H100+(H100*Assumptions!J$5),-2)</f>
        <v>0</v>
      </c>
      <c r="J100" s="9">
        <f>ROUNDUP(I100+(I100*Assumptions!K$5),-2)</f>
        <v>0</v>
      </c>
      <c r="K100" s="9">
        <f>ROUNDUP(J100+(J100*Assumptions!L$5),-2)</f>
        <v>0</v>
      </c>
      <c r="L100" s="9">
        <f>ROUNDUP(K100+(K100*Assumptions!M$5),-2)</f>
        <v>0</v>
      </c>
      <c r="M100" s="9">
        <f>ROUNDUP(L100+(L100*Assumptions!N$5),-2)</f>
        <v>0</v>
      </c>
      <c r="N100" s="89">
        <f>ROUNDUP(M100+(M100*Assumptions!O$5),-2)</f>
        <v>0</v>
      </c>
      <c r="O100" s="89">
        <f>ROUNDUP(N100+(N100*Assumptions!P$5),-2)</f>
        <v>0</v>
      </c>
      <c r="P100" s="89">
        <f>ROUNDUP(O100+(O100*Assumptions!Q$5),-2)</f>
        <v>0</v>
      </c>
      <c r="Q100" s="61">
        <f>ROUNDUP(P100+(P100*Assumptions!R$5),-2)</f>
        <v>0</v>
      </c>
    </row>
    <row r="101" spans="1:17" s="573" customFormat="1" x14ac:dyDescent="0.2">
      <c r="A101" s="1741" t="s">
        <v>2090</v>
      </c>
      <c r="B101" s="1811">
        <f t="shared" ref="B101:M101" si="137">SUM(B96:B100)</f>
        <v>109834</v>
      </c>
      <c r="C101" s="1811">
        <f t="shared" si="137"/>
        <v>112890</v>
      </c>
      <c r="D101" s="1811">
        <f t="shared" si="137"/>
        <v>70393</v>
      </c>
      <c r="E101" s="1811">
        <f t="shared" si="137"/>
        <v>72228</v>
      </c>
      <c r="F101" s="1476">
        <f t="shared" si="137"/>
        <v>78483</v>
      </c>
      <c r="G101" s="1811">
        <f t="shared" si="137"/>
        <v>81109</v>
      </c>
      <c r="H101" s="1811">
        <f t="shared" si="137"/>
        <v>84719</v>
      </c>
      <c r="I101" s="1811">
        <f t="shared" si="137"/>
        <v>86729</v>
      </c>
      <c r="J101" s="1811">
        <f t="shared" si="137"/>
        <v>87239</v>
      </c>
      <c r="K101" s="1811">
        <f t="shared" si="137"/>
        <v>91549</v>
      </c>
      <c r="L101" s="1811">
        <f t="shared" si="137"/>
        <v>94659</v>
      </c>
      <c r="M101" s="1811">
        <f t="shared" si="137"/>
        <v>97769</v>
      </c>
      <c r="N101" s="1476">
        <f t="shared" ref="N101:O101" si="138">SUM(N96:N100)</f>
        <v>100579</v>
      </c>
      <c r="O101" s="1476">
        <f t="shared" si="138"/>
        <v>98989</v>
      </c>
      <c r="P101" s="1476">
        <f t="shared" ref="P101" si="139">SUM(P96:P100)</f>
        <v>97399</v>
      </c>
      <c r="Q101" s="1748">
        <f t="shared" ref="Q101" si="140">SUM(Q96:Q100)</f>
        <v>95709</v>
      </c>
    </row>
    <row r="102" spans="1:17" s="285" customFormat="1" ht="13.5" thickBot="1" x14ac:dyDescent="0.25">
      <c r="A102" s="564" t="s">
        <v>2091</v>
      </c>
      <c r="B102" s="2093">
        <f t="shared" ref="B102:M102" si="141">B93+B101</f>
        <v>121220</v>
      </c>
      <c r="C102" s="2093">
        <f t="shared" si="141"/>
        <v>124647</v>
      </c>
      <c r="D102" s="2093">
        <f t="shared" si="141"/>
        <v>81670</v>
      </c>
      <c r="E102" s="2093">
        <f t="shared" si="141"/>
        <v>84014</v>
      </c>
      <c r="F102" s="1477">
        <f t="shared" si="141"/>
        <v>95027</v>
      </c>
      <c r="G102" s="2093">
        <f t="shared" si="141"/>
        <v>96109</v>
      </c>
      <c r="H102" s="2093">
        <f t="shared" si="141"/>
        <v>99719</v>
      </c>
      <c r="I102" s="2093">
        <f t="shared" si="141"/>
        <v>101369</v>
      </c>
      <c r="J102" s="2093">
        <f t="shared" si="141"/>
        <v>102079</v>
      </c>
      <c r="K102" s="2093">
        <f t="shared" si="141"/>
        <v>104229</v>
      </c>
      <c r="L102" s="2093">
        <f t="shared" si="141"/>
        <v>107859</v>
      </c>
      <c r="M102" s="2093">
        <f t="shared" si="141"/>
        <v>109499</v>
      </c>
      <c r="N102" s="1477">
        <f t="shared" ref="N102:O102" si="142">N93+N101</f>
        <v>111189</v>
      </c>
      <c r="O102" s="1477">
        <f t="shared" si="142"/>
        <v>110139</v>
      </c>
      <c r="P102" s="1477">
        <f t="shared" ref="P102" si="143">P93+P101</f>
        <v>110999</v>
      </c>
      <c r="Q102" s="2539">
        <f t="shared" ref="Q102" si="144">Q93+Q101</f>
        <v>109389</v>
      </c>
    </row>
    <row r="103" spans="1:17" x14ac:dyDescent="0.2">
      <c r="A103" s="2092"/>
      <c r="B103" s="48"/>
      <c r="C103" s="48"/>
      <c r="D103" s="48"/>
      <c r="E103" s="48"/>
      <c r="F103" s="161"/>
      <c r="G103" s="48"/>
      <c r="H103" s="48"/>
      <c r="I103" s="48"/>
      <c r="J103" s="48"/>
      <c r="K103" s="48"/>
      <c r="L103" s="48"/>
      <c r="M103" s="48"/>
      <c r="N103" s="161"/>
      <c r="O103" s="161"/>
      <c r="P103" s="161"/>
      <c r="Q103" s="51"/>
    </row>
    <row r="104" spans="1:17" x14ac:dyDescent="0.2">
      <c r="A104" s="564" t="s">
        <v>2092</v>
      </c>
      <c r="B104" s="48"/>
      <c r="C104" s="48"/>
      <c r="D104" s="48"/>
      <c r="E104" s="48"/>
      <c r="F104" s="161"/>
      <c r="G104" s="48"/>
      <c r="H104" s="48"/>
      <c r="I104" s="48"/>
      <c r="J104" s="48"/>
      <c r="K104" s="48"/>
      <c r="L104" s="48"/>
      <c r="M104" s="48"/>
      <c r="N104" s="161"/>
      <c r="O104" s="161"/>
      <c r="P104" s="161"/>
      <c r="Q104" s="51"/>
    </row>
    <row r="105" spans="1:17" x14ac:dyDescent="0.2">
      <c r="A105" s="564" t="s">
        <v>2765</v>
      </c>
      <c r="B105" s="48"/>
      <c r="C105" s="48"/>
      <c r="D105" s="48"/>
      <c r="E105" s="48"/>
      <c r="F105" s="161"/>
      <c r="G105" s="48"/>
      <c r="H105" s="48"/>
      <c r="I105" s="48"/>
      <c r="J105" s="48"/>
      <c r="K105" s="48"/>
      <c r="L105" s="48"/>
      <c r="M105" s="48"/>
      <c r="N105" s="161"/>
      <c r="O105" s="161"/>
      <c r="P105" s="161"/>
      <c r="Q105" s="51"/>
    </row>
    <row r="106" spans="1:17" x14ac:dyDescent="0.2">
      <c r="A106" s="1740" t="s">
        <v>2766</v>
      </c>
      <c r="B106" s="48">
        <v>0</v>
      </c>
      <c r="C106" s="48">
        <v>0</v>
      </c>
      <c r="D106" s="89">
        <f>ROUNDUP(C106+(C106*Assumptions!E$5),-2)</f>
        <v>0</v>
      </c>
      <c r="E106" s="89">
        <v>0</v>
      </c>
      <c r="F106" s="89">
        <v>18</v>
      </c>
      <c r="G106" s="9">
        <f>ROUNDUP(F106+(F106*Assumptions!H$5),-2)</f>
        <v>100</v>
      </c>
      <c r="H106" s="9">
        <f>ROUNDUP(G106+(G106*Assumptions!I$5),-2)</f>
        <v>200</v>
      </c>
      <c r="I106" s="9">
        <f>ROUNDUP(H106+(H106*Assumptions!J$5),-2)</f>
        <v>300</v>
      </c>
      <c r="J106" s="9">
        <f>ROUNDUP(I106+(I106*Assumptions!K$5),-2)</f>
        <v>400</v>
      </c>
      <c r="K106" s="9">
        <f>ROUNDUP(J106+(J106*Assumptions!L$5),-2)</f>
        <v>500</v>
      </c>
      <c r="L106" s="9">
        <f>ROUNDUP(K106+(K106*Assumptions!M$5),-2)</f>
        <v>600</v>
      </c>
      <c r="M106" s="9">
        <f>ROUNDUP(L106+(L106*Assumptions!N$5),-2)</f>
        <v>700</v>
      </c>
      <c r="N106" s="89">
        <f>ROUNDUP(M106+(M106*Assumptions!O$5),-2)</f>
        <v>800</v>
      </c>
      <c r="O106" s="89">
        <f>ROUNDUP(N106+(N106*Assumptions!P$5),-2)</f>
        <v>900</v>
      </c>
      <c r="P106" s="89">
        <f>ROUNDUP(O106+(O106*Assumptions!Q$5),-2)</f>
        <v>1000</v>
      </c>
      <c r="Q106" s="61">
        <f>ROUNDUP(P106+(P106*Assumptions!R$5),-2)</f>
        <v>1100</v>
      </c>
    </row>
    <row r="107" spans="1:17" x14ac:dyDescent="0.2">
      <c r="A107" s="1740" t="s">
        <v>2767</v>
      </c>
      <c r="B107" s="48">
        <v>0</v>
      </c>
      <c r="C107" s="48">
        <v>0</v>
      </c>
      <c r="D107" s="48">
        <f>-LTFP!C261/1000</f>
        <v>0</v>
      </c>
      <c r="E107" s="48">
        <v>0</v>
      </c>
      <c r="F107" s="161">
        <f>-LTFP!F261/1000</f>
        <v>0</v>
      </c>
      <c r="G107" s="48">
        <f>-LTFP!H261/1000</f>
        <v>0</v>
      </c>
      <c r="H107" s="48">
        <f>-LTFP!I261/1000</f>
        <v>0</v>
      </c>
      <c r="I107" s="48">
        <f>-LTFP!J261/1000</f>
        <v>0</v>
      </c>
      <c r="J107" s="48">
        <f>-LTFP!K261/1000</f>
        <v>0</v>
      </c>
      <c r="K107" s="48">
        <f>-LTFP!L261/1000</f>
        <v>0</v>
      </c>
      <c r="L107" s="48">
        <f>-LTFP!M261/1000</f>
        <v>0</v>
      </c>
      <c r="M107" s="48">
        <f>-LTFP!P261/1000</f>
        <v>0</v>
      </c>
      <c r="N107" s="161">
        <f>-LTFP!Q261/1000</f>
        <v>0</v>
      </c>
      <c r="O107" s="161">
        <f>-LTFP!R261/1000</f>
        <v>0</v>
      </c>
      <c r="P107" s="161">
        <f>-LTFP!S261/1000</f>
        <v>0</v>
      </c>
      <c r="Q107" s="51">
        <f>-LTFP!T261/1000</f>
        <v>0</v>
      </c>
    </row>
    <row r="108" spans="1:17" x14ac:dyDescent="0.2">
      <c r="A108" s="1740" t="s">
        <v>2768</v>
      </c>
      <c r="B108" s="651">
        <v>146</v>
      </c>
      <c r="C108" s="651">
        <v>124</v>
      </c>
      <c r="D108" s="322">
        <v>143</v>
      </c>
      <c r="E108" s="456">
        <v>133</v>
      </c>
      <c r="F108" s="456">
        <v>120</v>
      </c>
      <c r="G108" s="322">
        <f>ROUNDUP(F108+(F108*Assumptions!H$5),-1)</f>
        <v>130</v>
      </c>
      <c r="H108" s="322">
        <f>ROUNDUP(G108+(G108*Assumptions!I$5),-1)</f>
        <v>140</v>
      </c>
      <c r="I108" s="322">
        <f>ROUNDUP(H108+(H108*Assumptions!J$5),-1)</f>
        <v>150</v>
      </c>
      <c r="J108" s="322">
        <f>ROUNDUP(I108+(I108*Assumptions!K$5),-1)</f>
        <v>160</v>
      </c>
      <c r="K108" s="322">
        <f>ROUNDUP(J108+(J108*Assumptions!L$5),-1)</f>
        <v>170</v>
      </c>
      <c r="L108" s="322">
        <f>ROUNDUP(K108+(K108*Assumptions!M$5),-1)</f>
        <v>180</v>
      </c>
      <c r="M108" s="322">
        <f>ROUNDUP(L108+(L108*Assumptions!N$5),-1)</f>
        <v>190</v>
      </c>
      <c r="N108" s="456">
        <f>ROUNDUP(M108+(M108*Assumptions!O$5),-1)</f>
        <v>200</v>
      </c>
      <c r="O108" s="456">
        <f>ROUNDUP(N108+(N108*Assumptions!P$5),-1)</f>
        <v>210</v>
      </c>
      <c r="P108" s="456">
        <f>ROUNDUP(O108+(O108*Assumptions!Q$5),-1)</f>
        <v>220</v>
      </c>
      <c r="Q108" s="546">
        <f>ROUNDUP(P108+(P108*Assumptions!R$5),-1)</f>
        <v>230</v>
      </c>
    </row>
    <row r="109" spans="1:17" x14ac:dyDescent="0.2">
      <c r="A109" s="564" t="s">
        <v>2769</v>
      </c>
      <c r="B109" s="48">
        <f t="shared" ref="B109:M109" si="145">SUM(B106:B108)</f>
        <v>146</v>
      </c>
      <c r="C109" s="48">
        <f t="shared" si="145"/>
        <v>124</v>
      </c>
      <c r="D109" s="48">
        <f t="shared" si="145"/>
        <v>143</v>
      </c>
      <c r="E109" s="48">
        <f t="shared" si="145"/>
        <v>133</v>
      </c>
      <c r="F109" s="161">
        <f t="shared" si="145"/>
        <v>138</v>
      </c>
      <c r="G109" s="48">
        <f t="shared" si="145"/>
        <v>230</v>
      </c>
      <c r="H109" s="48">
        <f t="shared" si="145"/>
        <v>340</v>
      </c>
      <c r="I109" s="48">
        <f t="shared" si="145"/>
        <v>450</v>
      </c>
      <c r="J109" s="48">
        <f t="shared" si="145"/>
        <v>560</v>
      </c>
      <c r="K109" s="48">
        <f t="shared" si="145"/>
        <v>670</v>
      </c>
      <c r="L109" s="48">
        <f t="shared" si="145"/>
        <v>780</v>
      </c>
      <c r="M109" s="48">
        <f t="shared" si="145"/>
        <v>890</v>
      </c>
      <c r="N109" s="161">
        <f t="shared" ref="N109:O109" si="146">SUM(N106:N108)</f>
        <v>1000</v>
      </c>
      <c r="O109" s="161">
        <f t="shared" si="146"/>
        <v>1110</v>
      </c>
      <c r="P109" s="161">
        <f t="shared" ref="P109" si="147">SUM(P106:P108)</f>
        <v>1220</v>
      </c>
      <c r="Q109" s="51">
        <f t="shared" ref="Q109" si="148">SUM(Q106:Q108)</f>
        <v>1330</v>
      </c>
    </row>
    <row r="110" spans="1:17" x14ac:dyDescent="0.2">
      <c r="A110" s="2092"/>
      <c r="B110" s="48"/>
      <c r="C110" s="48"/>
      <c r="D110" s="48"/>
      <c r="E110" s="48"/>
      <c r="F110" s="161"/>
      <c r="G110" s="48"/>
      <c r="H110" s="48"/>
      <c r="I110" s="48"/>
      <c r="J110" s="48"/>
      <c r="K110" s="48"/>
      <c r="L110" s="48"/>
      <c r="M110" s="48"/>
      <c r="N110" s="161"/>
      <c r="O110" s="161"/>
      <c r="P110" s="161"/>
      <c r="Q110" s="51"/>
    </row>
    <row r="111" spans="1:17" x14ac:dyDescent="0.2">
      <c r="A111" s="564" t="s">
        <v>2770</v>
      </c>
      <c r="B111" s="48"/>
      <c r="C111" s="48"/>
      <c r="D111" s="48"/>
      <c r="E111" s="48"/>
      <c r="F111" s="161"/>
      <c r="G111" s="48"/>
      <c r="H111" s="48"/>
      <c r="I111" s="48"/>
      <c r="J111" s="48"/>
      <c r="K111" s="48"/>
      <c r="L111" s="48"/>
      <c r="M111" s="48"/>
      <c r="N111" s="161"/>
      <c r="O111" s="161"/>
      <c r="P111" s="161"/>
      <c r="Q111" s="51"/>
    </row>
    <row r="112" spans="1:17" x14ac:dyDescent="0.2">
      <c r="A112" s="1740" t="s">
        <v>2766</v>
      </c>
      <c r="B112" s="48">
        <v>0</v>
      </c>
      <c r="C112" s="48">
        <v>0</v>
      </c>
      <c r="D112" s="89">
        <f>ROUNDUP(C112+(C112*Assumptions!E$5),-2)</f>
        <v>0</v>
      </c>
      <c r="E112" s="89">
        <v>0</v>
      </c>
      <c r="F112" s="89">
        <f>ROUNDUP(E112+(E112*Assumptions!G$5),-2)</f>
        <v>0</v>
      </c>
      <c r="G112" s="9">
        <f>ROUNDUP(F112+(F112*Assumptions!H$5),-2)</f>
        <v>0</v>
      </c>
      <c r="H112" s="9">
        <f>ROUNDUP(G112+(G112*Assumptions!I$5),-2)</f>
        <v>0</v>
      </c>
      <c r="I112" s="9">
        <f>ROUNDUP(H112+(H112*Assumptions!J$5),-2)</f>
        <v>0</v>
      </c>
      <c r="J112" s="9">
        <f>ROUNDUP(I112+(I112*Assumptions!K$5),-2)</f>
        <v>0</v>
      </c>
      <c r="K112" s="9">
        <f>ROUNDUP(J112+(J112*Assumptions!L$5),-2)</f>
        <v>0</v>
      </c>
      <c r="L112" s="9">
        <f>ROUNDUP(K112+(K112*Assumptions!M$5),-2)</f>
        <v>0</v>
      </c>
      <c r="M112" s="9">
        <f>ROUNDUP(L112+(L112*Assumptions!N$5),-2)</f>
        <v>0</v>
      </c>
      <c r="N112" s="89">
        <f>ROUNDUP(M112+(M112*Assumptions!O$5),-2)</f>
        <v>0</v>
      </c>
      <c r="O112" s="89">
        <f>ROUNDUP(N112+(N112*Assumptions!P$5),-2)</f>
        <v>0</v>
      </c>
      <c r="P112" s="89">
        <f>ROUNDUP(O112+(O112*Assumptions!Q$5),-2)</f>
        <v>0</v>
      </c>
      <c r="Q112" s="61">
        <f>ROUNDUP(P112+(P112*Assumptions!R$5),-2)</f>
        <v>0</v>
      </c>
    </row>
    <row r="113" spans="1:17" x14ac:dyDescent="0.2">
      <c r="A113" s="1740" t="s">
        <v>2767</v>
      </c>
      <c r="B113" s="48">
        <v>0</v>
      </c>
      <c r="C113" s="48">
        <v>0</v>
      </c>
      <c r="D113" s="89">
        <f>C113-D107+LTFP!B304/1000</f>
        <v>0</v>
      </c>
      <c r="E113" s="89">
        <v>0</v>
      </c>
      <c r="F113" s="89">
        <f>E113-F107+LTFP!D304/1000</f>
        <v>0</v>
      </c>
      <c r="G113" s="9">
        <f>F113-G107+LTFP!F304/1000</f>
        <v>0</v>
      </c>
      <c r="H113" s="9">
        <f>G113-H107+LTFP!H304/1000</f>
        <v>0</v>
      </c>
      <c r="I113" s="9">
        <f>H113-I107+LTFP!I304/1000</f>
        <v>0</v>
      </c>
      <c r="J113" s="9">
        <f>I113-J107+LTFP!J304/1000</f>
        <v>0</v>
      </c>
      <c r="K113" s="9">
        <f>J113-K107+LTFP!K304/1000</f>
        <v>0</v>
      </c>
      <c r="L113" s="9">
        <f>K113-L107+LTFP!L304/1000</f>
        <v>0</v>
      </c>
      <c r="M113" s="9">
        <f>L113-M107+LTFP!M304/1000</f>
        <v>0</v>
      </c>
      <c r="N113" s="89">
        <f>M113-N107+LTFP!N304/1000</f>
        <v>0</v>
      </c>
      <c r="O113" s="89">
        <f>N113-O107+LTFP!O304/1000</f>
        <v>0</v>
      </c>
      <c r="P113" s="89">
        <f>O113-P107+LTFP!P304/1000</f>
        <v>0</v>
      </c>
      <c r="Q113" s="61">
        <f>P113-Q107+LTFP!Q304/1000</f>
        <v>0</v>
      </c>
    </row>
    <row r="114" spans="1:17" x14ac:dyDescent="0.2">
      <c r="A114" s="1740" t="s">
        <v>2768</v>
      </c>
      <c r="B114" s="89">
        <v>0</v>
      </c>
      <c r="C114" s="89">
        <v>0</v>
      </c>
      <c r="D114" s="89">
        <v>16</v>
      </c>
      <c r="E114" s="89">
        <v>14</v>
      </c>
      <c r="F114" s="89">
        <v>13</v>
      </c>
      <c r="G114" s="9">
        <f>ROUNDUP(F114+(F114*Assumptions!H$5),-1)</f>
        <v>20</v>
      </c>
      <c r="H114" s="9">
        <f>ROUNDUP(G114+(G114*Assumptions!I$5),-1)</f>
        <v>30</v>
      </c>
      <c r="I114" s="9">
        <f>ROUNDUP(H114+(H114*Assumptions!J$5),-1)</f>
        <v>40</v>
      </c>
      <c r="J114" s="9">
        <f>ROUNDUP(I114+(I114*Assumptions!K$5),-1)</f>
        <v>50</v>
      </c>
      <c r="K114" s="9">
        <f>ROUNDUP(J114+(J114*Assumptions!L$5),-1)</f>
        <v>60</v>
      </c>
      <c r="L114" s="9">
        <f>ROUNDUP(K114+(K114*Assumptions!M$5),-1)</f>
        <v>70</v>
      </c>
      <c r="M114" s="9">
        <f>ROUNDUP(L114+(L114*Assumptions!N$5),-1)</f>
        <v>80</v>
      </c>
      <c r="N114" s="89">
        <f>ROUNDUP(M114+(M114*Assumptions!O$5),-1)</f>
        <v>90</v>
      </c>
      <c r="O114" s="89">
        <f>ROUNDUP(N114+(N114*Assumptions!P$5),-1)</f>
        <v>100</v>
      </c>
      <c r="P114" s="89">
        <f>ROUNDUP(O114+(O114*Assumptions!Q$5),-1)</f>
        <v>110</v>
      </c>
      <c r="Q114" s="61">
        <f>ROUNDUP(P114+(P114*Assumptions!R$5),-1)</f>
        <v>120</v>
      </c>
    </row>
    <row r="115" spans="1:17" s="573" customFormat="1" x14ac:dyDescent="0.2">
      <c r="A115" s="1741" t="s">
        <v>2771</v>
      </c>
      <c r="B115" s="1811">
        <f t="shared" ref="B115:M115" si="149">SUM(B112:B114)</f>
        <v>0</v>
      </c>
      <c r="C115" s="1811">
        <f t="shared" si="149"/>
        <v>0</v>
      </c>
      <c r="D115" s="1811">
        <f t="shared" si="149"/>
        <v>16</v>
      </c>
      <c r="E115" s="1811">
        <f t="shared" si="149"/>
        <v>14</v>
      </c>
      <c r="F115" s="1476">
        <f t="shared" si="149"/>
        <v>13</v>
      </c>
      <c r="G115" s="1811">
        <f t="shared" si="149"/>
        <v>20</v>
      </c>
      <c r="H115" s="1811">
        <f t="shared" si="149"/>
        <v>30</v>
      </c>
      <c r="I115" s="1811">
        <f t="shared" si="149"/>
        <v>40</v>
      </c>
      <c r="J115" s="1811">
        <f t="shared" si="149"/>
        <v>50</v>
      </c>
      <c r="K115" s="1811">
        <f t="shared" si="149"/>
        <v>60</v>
      </c>
      <c r="L115" s="1811">
        <f t="shared" si="149"/>
        <v>70</v>
      </c>
      <c r="M115" s="1811">
        <f t="shared" si="149"/>
        <v>80</v>
      </c>
      <c r="N115" s="1476">
        <f t="shared" ref="N115:O115" si="150">SUM(N112:N114)</f>
        <v>90</v>
      </c>
      <c r="O115" s="1476">
        <f t="shared" si="150"/>
        <v>100</v>
      </c>
      <c r="P115" s="1476">
        <f t="shared" ref="P115" si="151">SUM(P112:P114)</f>
        <v>110</v>
      </c>
      <c r="Q115" s="1748">
        <f t="shared" ref="Q115" si="152">SUM(Q112:Q114)</f>
        <v>120</v>
      </c>
    </row>
    <row r="116" spans="1:17" s="285" customFormat="1" x14ac:dyDescent="0.2">
      <c r="A116" s="564" t="s">
        <v>2383</v>
      </c>
      <c r="B116" s="944">
        <f t="shared" ref="B116:M116" si="153">B109+B115</f>
        <v>146</v>
      </c>
      <c r="C116" s="944">
        <f t="shared" si="153"/>
        <v>124</v>
      </c>
      <c r="D116" s="944">
        <f t="shared" si="153"/>
        <v>159</v>
      </c>
      <c r="E116" s="944">
        <f t="shared" si="153"/>
        <v>147</v>
      </c>
      <c r="F116" s="1478">
        <f t="shared" si="153"/>
        <v>151</v>
      </c>
      <c r="G116" s="944">
        <f t="shared" si="153"/>
        <v>250</v>
      </c>
      <c r="H116" s="944">
        <f t="shared" si="153"/>
        <v>370</v>
      </c>
      <c r="I116" s="944">
        <f t="shared" si="153"/>
        <v>490</v>
      </c>
      <c r="J116" s="944">
        <f t="shared" si="153"/>
        <v>610</v>
      </c>
      <c r="K116" s="944">
        <f t="shared" si="153"/>
        <v>730</v>
      </c>
      <c r="L116" s="944">
        <f t="shared" si="153"/>
        <v>850</v>
      </c>
      <c r="M116" s="944">
        <f t="shared" si="153"/>
        <v>970</v>
      </c>
      <c r="N116" s="1478">
        <f t="shared" ref="N116:O116" si="154">N109+N115</f>
        <v>1090</v>
      </c>
      <c r="O116" s="1478">
        <f t="shared" si="154"/>
        <v>1210</v>
      </c>
      <c r="P116" s="1478">
        <f t="shared" ref="P116" si="155">P109+P115</f>
        <v>1330</v>
      </c>
      <c r="Q116" s="2541">
        <f t="shared" ref="Q116" si="156">Q109+Q115</f>
        <v>1450</v>
      </c>
    </row>
    <row r="117" spans="1:17" s="285" customFormat="1" ht="13.5" thickBot="1" x14ac:dyDescent="0.25">
      <c r="A117" s="564" t="s">
        <v>2384</v>
      </c>
      <c r="B117" s="2093">
        <f t="shared" ref="B117:M117" si="157">B102-B116</f>
        <v>121074</v>
      </c>
      <c r="C117" s="2093">
        <f t="shared" si="157"/>
        <v>124523</v>
      </c>
      <c r="D117" s="2093">
        <f t="shared" si="157"/>
        <v>81511</v>
      </c>
      <c r="E117" s="2093">
        <f t="shared" si="157"/>
        <v>83867</v>
      </c>
      <c r="F117" s="1477">
        <f t="shared" si="157"/>
        <v>94876</v>
      </c>
      <c r="G117" s="2093">
        <f t="shared" si="157"/>
        <v>95859</v>
      </c>
      <c r="H117" s="2093">
        <f t="shared" si="157"/>
        <v>99349</v>
      </c>
      <c r="I117" s="2093">
        <f t="shared" si="157"/>
        <v>100879</v>
      </c>
      <c r="J117" s="2093">
        <f t="shared" si="157"/>
        <v>101469</v>
      </c>
      <c r="K117" s="2093">
        <f t="shared" si="157"/>
        <v>103499</v>
      </c>
      <c r="L117" s="2093">
        <f t="shared" si="157"/>
        <v>107009</v>
      </c>
      <c r="M117" s="2093">
        <f t="shared" si="157"/>
        <v>108529</v>
      </c>
      <c r="N117" s="1477">
        <f t="shared" ref="N117:O117" si="158">N102-N116</f>
        <v>110099</v>
      </c>
      <c r="O117" s="1477">
        <f t="shared" si="158"/>
        <v>108929</v>
      </c>
      <c r="P117" s="1477">
        <f t="shared" ref="P117" si="159">P102-P116</f>
        <v>109669</v>
      </c>
      <c r="Q117" s="2539">
        <f t="shared" ref="Q117" si="160">Q102-Q116</f>
        <v>107939</v>
      </c>
    </row>
    <row r="118" spans="1:17" x14ac:dyDescent="0.2">
      <c r="A118" s="2092"/>
      <c r="B118" s="48"/>
      <c r="C118" s="48"/>
      <c r="D118" s="48"/>
      <c r="E118" s="48"/>
      <c r="F118" s="161"/>
      <c r="G118" s="48"/>
      <c r="H118" s="48"/>
      <c r="I118" s="48"/>
      <c r="J118" s="48"/>
      <c r="K118" s="48"/>
      <c r="L118" s="48"/>
      <c r="M118" s="48"/>
      <c r="N118" s="161"/>
      <c r="O118" s="161"/>
      <c r="P118" s="161"/>
      <c r="Q118" s="51"/>
    </row>
    <row r="119" spans="1:17" x14ac:dyDescent="0.2">
      <c r="A119" s="564" t="s">
        <v>2385</v>
      </c>
      <c r="B119" s="48"/>
      <c r="C119" s="48"/>
      <c r="D119" s="48"/>
      <c r="E119" s="48"/>
      <c r="F119" s="161"/>
      <c r="G119" s="48"/>
      <c r="H119" s="48"/>
      <c r="I119" s="48"/>
      <c r="J119" s="48"/>
      <c r="K119" s="48"/>
      <c r="L119" s="48"/>
      <c r="M119" s="48"/>
      <c r="N119" s="161"/>
      <c r="O119" s="161"/>
      <c r="P119" s="161"/>
      <c r="Q119" s="51"/>
    </row>
    <row r="120" spans="1:17" x14ac:dyDescent="0.2">
      <c r="A120" s="1740" t="s">
        <v>2472</v>
      </c>
      <c r="B120" s="48">
        <f t="shared" ref="B120:M120" si="161">B117-B121</f>
        <v>37328</v>
      </c>
      <c r="C120" s="48">
        <f t="shared" si="161"/>
        <v>37912</v>
      </c>
      <c r="D120" s="48">
        <f t="shared" si="161"/>
        <v>39088</v>
      </c>
      <c r="E120" s="48">
        <f t="shared" si="161"/>
        <v>40469</v>
      </c>
      <c r="F120" s="161">
        <v>42124</v>
      </c>
      <c r="G120" s="48">
        <f t="shared" si="161"/>
        <v>42259</v>
      </c>
      <c r="H120" s="48">
        <f t="shared" si="161"/>
        <v>44449</v>
      </c>
      <c r="I120" s="48">
        <f t="shared" si="161"/>
        <v>44579</v>
      </c>
      <c r="J120" s="48">
        <f t="shared" si="161"/>
        <v>43669</v>
      </c>
      <c r="K120" s="48">
        <f t="shared" si="161"/>
        <v>44199</v>
      </c>
      <c r="L120" s="48">
        <f t="shared" si="161"/>
        <v>46209</v>
      </c>
      <c r="M120" s="48">
        <f t="shared" si="161"/>
        <v>46129</v>
      </c>
      <c r="N120" s="161">
        <f t="shared" ref="N120:O120" si="162">N117-N121</f>
        <v>46099</v>
      </c>
      <c r="O120" s="161">
        <f t="shared" si="162"/>
        <v>43329</v>
      </c>
      <c r="P120" s="161">
        <f t="shared" ref="P120" si="163">P117-P121</f>
        <v>42369</v>
      </c>
      <c r="Q120" s="51">
        <f t="shared" ref="Q120" si="164">Q117-Q121</f>
        <v>38939</v>
      </c>
    </row>
    <row r="121" spans="1:17" x14ac:dyDescent="0.2">
      <c r="A121" s="1740" t="s">
        <v>2837</v>
      </c>
      <c r="B121" s="651">
        <v>83746</v>
      </c>
      <c r="C121" s="651">
        <v>86611</v>
      </c>
      <c r="D121" s="651">
        <v>42423</v>
      </c>
      <c r="E121" s="651">
        <v>43398</v>
      </c>
      <c r="F121" s="812">
        <v>52752</v>
      </c>
      <c r="G121" s="651">
        <f>ROUNDUP(F121+(F121*Assumptions!H$5),-2)</f>
        <v>53600</v>
      </c>
      <c r="H121" s="651">
        <f>ROUNDUP(G121+(G121*Assumptions!I$5),-2)</f>
        <v>54900</v>
      </c>
      <c r="I121" s="651">
        <f>ROUNDUP(H121+(H121*Assumptions!J$5),-2)</f>
        <v>56300</v>
      </c>
      <c r="J121" s="651">
        <f>ROUNDUP(I121+(I121*Assumptions!K$5),-2)</f>
        <v>57800</v>
      </c>
      <c r="K121" s="651">
        <f>ROUNDUP(J121+(J121*Assumptions!L$5),-2)</f>
        <v>59300</v>
      </c>
      <c r="L121" s="651">
        <f>ROUNDUP(K121+(K121*Assumptions!M$5),-2)</f>
        <v>60800</v>
      </c>
      <c r="M121" s="651">
        <f>ROUNDUP(L121+(L121*Assumptions!N$5),-2)</f>
        <v>62400</v>
      </c>
      <c r="N121" s="812">
        <f>ROUNDUP(M121+(M121*Assumptions!O$5),-2)</f>
        <v>64000</v>
      </c>
      <c r="O121" s="812">
        <f>ROUNDUP(N121+(N121*Assumptions!P$5),-2)</f>
        <v>65600</v>
      </c>
      <c r="P121" s="812">
        <f>ROUNDUP(O121+(O121*Assumptions!Q$5),-2)</f>
        <v>67300</v>
      </c>
      <c r="Q121" s="2476">
        <f>ROUNDUP(P121+(P121*Assumptions!R$5),-2)</f>
        <v>69000</v>
      </c>
    </row>
    <row r="122" spans="1:17" s="573" customFormat="1" x14ac:dyDescent="0.2">
      <c r="A122" s="1741" t="s">
        <v>2717</v>
      </c>
      <c r="B122" s="63">
        <f t="shared" ref="B122:M122" si="165">SUM(B120:B121)</f>
        <v>121074</v>
      </c>
      <c r="C122" s="63">
        <f t="shared" si="165"/>
        <v>124523</v>
      </c>
      <c r="D122" s="63">
        <f t="shared" si="165"/>
        <v>81511</v>
      </c>
      <c r="E122" s="63">
        <f t="shared" si="165"/>
        <v>83867</v>
      </c>
      <c r="F122" s="107">
        <f t="shared" si="165"/>
        <v>94876</v>
      </c>
      <c r="G122" s="63">
        <f t="shared" si="165"/>
        <v>95859</v>
      </c>
      <c r="H122" s="63">
        <f t="shared" si="165"/>
        <v>99349</v>
      </c>
      <c r="I122" s="63">
        <f t="shared" si="165"/>
        <v>100879</v>
      </c>
      <c r="J122" s="63">
        <f t="shared" si="165"/>
        <v>101469</v>
      </c>
      <c r="K122" s="63">
        <f t="shared" si="165"/>
        <v>103499</v>
      </c>
      <c r="L122" s="63">
        <f t="shared" si="165"/>
        <v>107009</v>
      </c>
      <c r="M122" s="63">
        <f t="shared" si="165"/>
        <v>108529</v>
      </c>
      <c r="N122" s="107">
        <f t="shared" ref="N122:O122" si="166">SUM(N120:N121)</f>
        <v>110099</v>
      </c>
      <c r="O122" s="107">
        <f t="shared" si="166"/>
        <v>108929</v>
      </c>
      <c r="P122" s="107">
        <f t="shared" ref="P122" si="167">SUM(P120:P121)</f>
        <v>109669</v>
      </c>
      <c r="Q122" s="106">
        <f t="shared" ref="Q122" si="168">SUM(Q120:Q121)</f>
        <v>107939</v>
      </c>
    </row>
    <row r="123" spans="1:17" ht="13.5" thickBot="1" x14ac:dyDescent="0.25">
      <c r="A123" s="1719"/>
      <c r="B123" s="1479"/>
      <c r="C123" s="1479"/>
      <c r="D123" s="1479"/>
      <c r="E123" s="1479"/>
      <c r="F123" s="1479"/>
      <c r="G123" s="1479"/>
      <c r="H123" s="1479"/>
      <c r="I123" s="1479"/>
      <c r="J123" s="1479"/>
      <c r="K123" s="1479"/>
      <c r="L123" s="1479"/>
      <c r="M123" s="1479"/>
      <c r="N123" s="2094"/>
      <c r="O123" s="2094"/>
      <c r="P123" s="2094"/>
      <c r="Q123" s="1755"/>
    </row>
    <row r="124" spans="1:17" s="1250" customFormat="1" ht="14.25" thickTop="1" thickBot="1" x14ac:dyDescent="0.25">
      <c r="B124" s="783"/>
      <c r="C124" s="783"/>
      <c r="D124" s="783"/>
      <c r="E124" s="783"/>
      <c r="F124" s="783"/>
      <c r="G124" s="783"/>
      <c r="H124" s="783"/>
      <c r="I124" s="783"/>
      <c r="J124" s="783"/>
      <c r="K124" s="783"/>
      <c r="L124" s="783"/>
      <c r="M124" s="783"/>
      <c r="N124" s="783"/>
      <c r="O124" s="783"/>
      <c r="P124" s="783"/>
      <c r="Q124" s="783"/>
    </row>
    <row r="125" spans="1:17" ht="17.25" thickTop="1" thickBot="1" x14ac:dyDescent="0.3">
      <c r="A125" s="2570" t="s">
        <v>5949</v>
      </c>
      <c r="B125" s="2571"/>
      <c r="C125" s="2571"/>
      <c r="D125" s="2571"/>
      <c r="E125" s="2571"/>
      <c r="F125" s="2571"/>
      <c r="G125" s="2571"/>
      <c r="H125" s="2571"/>
      <c r="I125" s="2571"/>
      <c r="J125" s="2571"/>
      <c r="K125" s="2571"/>
      <c r="L125" s="2571"/>
      <c r="M125" s="2571"/>
      <c r="N125" s="2571"/>
      <c r="O125" s="2571"/>
      <c r="P125" s="2571"/>
      <c r="Q125" s="2572"/>
    </row>
    <row r="126" spans="1:17" s="285" customFormat="1" ht="13.5" thickBot="1" x14ac:dyDescent="0.25">
      <c r="A126" s="2089" t="s">
        <v>4478</v>
      </c>
      <c r="B126" s="2090" t="str">
        <f>SP!A100</f>
        <v>2012/13</v>
      </c>
      <c r="C126" s="2090" t="str">
        <f>SP!B100</f>
        <v>2013/14</v>
      </c>
      <c r="D126" s="2090" t="str">
        <f>SP!C100</f>
        <v>2014/15</v>
      </c>
      <c r="E126" s="2090" t="str">
        <f>SP!D100</f>
        <v>2015/16</v>
      </c>
      <c r="F126" s="1474" t="str">
        <f>SP!E100</f>
        <v>2016/17</v>
      </c>
      <c r="G126" s="2090" t="str">
        <f>SP!H100</f>
        <v>2017/18</v>
      </c>
      <c r="H126" s="2090" t="str">
        <f>SP!J100</f>
        <v>2018/19</v>
      </c>
      <c r="I126" s="2090" t="str">
        <f>SP!K100</f>
        <v>2019/20</v>
      </c>
      <c r="J126" s="2090" t="str">
        <f>SP!L100</f>
        <v>2020/21</v>
      </c>
      <c r="K126" s="2090" t="str">
        <f>SP!M100</f>
        <v>2021/22</v>
      </c>
      <c r="L126" s="2090" t="str">
        <f>SP!N100</f>
        <v>2022/23</v>
      </c>
      <c r="M126" s="2090" t="str">
        <f>SP!O100</f>
        <v>2023/24</v>
      </c>
      <c r="N126" s="1474" t="str">
        <f>SP!P100</f>
        <v>2024/25</v>
      </c>
      <c r="O126" s="1474" t="str">
        <f>SP!Q100</f>
        <v>2025/26</v>
      </c>
      <c r="P126" s="1474" t="str">
        <f>SP!R100</f>
        <v>2026/27</v>
      </c>
      <c r="Q126" s="2537" t="str">
        <f>SP!S100</f>
        <v>2027/28</v>
      </c>
    </row>
    <row r="127" spans="1:17" s="285" customFormat="1" x14ac:dyDescent="0.2">
      <c r="A127" s="564"/>
      <c r="B127" s="2091"/>
      <c r="C127" s="2091"/>
      <c r="D127" s="2091"/>
      <c r="E127" s="2091"/>
      <c r="F127" s="1475"/>
      <c r="G127" s="2091"/>
      <c r="H127" s="2091"/>
      <c r="I127" s="2091"/>
      <c r="J127" s="2091"/>
      <c r="K127" s="2091"/>
      <c r="L127" s="2091"/>
      <c r="M127" s="2091"/>
      <c r="N127" s="1475"/>
      <c r="O127" s="1475"/>
      <c r="P127" s="1475"/>
      <c r="Q127" s="2538"/>
    </row>
    <row r="128" spans="1:17" x14ac:dyDescent="0.2">
      <c r="A128" s="564" t="s">
        <v>2126</v>
      </c>
      <c r="B128" s="48"/>
      <c r="C128" s="48"/>
      <c r="D128" s="48"/>
      <c r="E128" s="48"/>
      <c r="F128" s="161"/>
      <c r="G128" s="48"/>
      <c r="H128" s="48"/>
      <c r="I128" s="48"/>
      <c r="J128" s="48"/>
      <c r="K128" s="48"/>
      <c r="L128" s="48"/>
      <c r="M128" s="48"/>
      <c r="N128" s="161"/>
      <c r="O128" s="161"/>
      <c r="P128" s="161"/>
      <c r="Q128" s="51"/>
    </row>
    <row r="129" spans="1:17" x14ac:dyDescent="0.2">
      <c r="A129" s="564" t="s">
        <v>2127</v>
      </c>
      <c r="B129" s="48"/>
      <c r="C129" s="48"/>
      <c r="D129" s="48"/>
      <c r="E129" s="48"/>
      <c r="F129" s="161"/>
      <c r="G129" s="48"/>
      <c r="H129" s="48"/>
      <c r="I129" s="48"/>
      <c r="J129" s="48"/>
      <c r="K129" s="48"/>
      <c r="L129" s="48"/>
      <c r="M129" s="48"/>
      <c r="N129" s="161"/>
      <c r="O129" s="161"/>
      <c r="P129" s="161"/>
      <c r="Q129" s="51"/>
    </row>
    <row r="130" spans="1:17" x14ac:dyDescent="0.2">
      <c r="A130" s="559" t="s">
        <v>4207</v>
      </c>
      <c r="B130" s="48">
        <f>7382+22120</f>
        <v>29502</v>
      </c>
      <c r="C130" s="48">
        <v>18057</v>
      </c>
      <c r="D130" s="9">
        <v>12826</v>
      </c>
      <c r="E130" s="9">
        <v>13588</v>
      </c>
      <c r="F130" s="89">
        <v>9938</v>
      </c>
      <c r="G130" s="9">
        <f>ROUNDUP(F130+('Cash-WW'!G47/1000),-1)</f>
        <v>5070</v>
      </c>
      <c r="H130" s="9">
        <f>ROUNDUP(G130+('Cash-WW'!H47/1000),-1)</f>
        <v>3220</v>
      </c>
      <c r="I130" s="9">
        <f>ROUNDUP(H130+('Cash-WW'!I47/1000),-1)</f>
        <v>3700</v>
      </c>
      <c r="J130" s="9">
        <f>ROUNDUP(I130+('Cash-WW'!J47/1000),-1)</f>
        <v>5500</v>
      </c>
      <c r="K130" s="9">
        <f>ROUNDUP(J130+('Cash-WW'!K47/1000),-1)</f>
        <v>5250</v>
      </c>
      <c r="L130" s="9">
        <f>ROUNDUP(K130+('Cash-WW'!L47/1000),-1)</f>
        <v>6370</v>
      </c>
      <c r="M130" s="9">
        <f>ROUNDUP(L130+('Cash-WW'!M47/1000),-1)</f>
        <v>10870</v>
      </c>
      <c r="N130" s="89">
        <f>ROUNDUP(M130+('Cash-WW'!N47/1000),-1)</f>
        <v>11460</v>
      </c>
      <c r="O130" s="89">
        <f>ROUNDUP(N130+('Cash-WW'!O47/1000),-1)</f>
        <v>16610</v>
      </c>
      <c r="P130" s="89">
        <f>ROUNDUP(O130+('Cash-WW'!P47/1000),-1)</f>
        <v>22280</v>
      </c>
      <c r="Q130" s="61">
        <f>ROUNDUP(P130+('Cash-WW'!Q47/1000),-1)</f>
        <v>29550</v>
      </c>
    </row>
    <row r="131" spans="1:17" x14ac:dyDescent="0.2">
      <c r="A131" s="1740" t="s">
        <v>2085</v>
      </c>
      <c r="B131" s="9">
        <v>1780</v>
      </c>
      <c r="C131" s="9">
        <v>1335</v>
      </c>
      <c r="D131" s="9">
        <v>1243</v>
      </c>
      <c r="E131" s="9">
        <v>1305</v>
      </c>
      <c r="F131" s="89">
        <v>1288</v>
      </c>
      <c r="G131" s="9">
        <f>ROUNDUP(F131+(F131*Assumptions!H$5),-1)</f>
        <v>1310</v>
      </c>
      <c r="H131" s="9">
        <f>ROUNDUP(G131+(G131*Assumptions!I$5),-1)</f>
        <v>1350</v>
      </c>
      <c r="I131" s="9">
        <f>ROUNDUP(H131+(H131*Assumptions!J$5),-1)</f>
        <v>1390</v>
      </c>
      <c r="J131" s="9">
        <f>ROUNDUP(I131+(I131*Assumptions!K$5),-1)</f>
        <v>1430</v>
      </c>
      <c r="K131" s="9">
        <f>ROUNDUP(J131+(J131*Assumptions!L$5),-1)</f>
        <v>1470</v>
      </c>
      <c r="L131" s="9">
        <f>ROUNDUP(K131+(K131*Assumptions!M$5),-1)</f>
        <v>1510</v>
      </c>
      <c r="M131" s="9">
        <f>ROUNDUP(L131+(L131*Assumptions!N$5),-1)</f>
        <v>1550</v>
      </c>
      <c r="N131" s="89">
        <f>ROUNDUP(M131+(M131*Assumptions!O$5),-1)</f>
        <v>1590</v>
      </c>
      <c r="O131" s="89">
        <f>ROUNDUP(N131+(N131*Assumptions!P$5),-1)</f>
        <v>1630</v>
      </c>
      <c r="P131" s="89">
        <f>ROUNDUP(O131+(O131*Assumptions!Q$5),-1)</f>
        <v>1680</v>
      </c>
      <c r="Q131" s="61">
        <f>ROUNDUP(P131+(P131*Assumptions!R$5),-1)</f>
        <v>1730</v>
      </c>
    </row>
    <row r="132" spans="1:17" x14ac:dyDescent="0.2">
      <c r="A132" s="1740" t="s">
        <v>2086</v>
      </c>
      <c r="B132" s="9">
        <v>0</v>
      </c>
      <c r="C132" s="9">
        <v>0</v>
      </c>
      <c r="D132" s="9">
        <f>ROUNDUP(C132+(C132*Assumptions!E$5),-1)</f>
        <v>0</v>
      </c>
      <c r="E132" s="9">
        <v>0</v>
      </c>
      <c r="F132" s="89">
        <f>ROUNDUP(E132+(E132*Assumptions!G$5),-1)</f>
        <v>0</v>
      </c>
      <c r="G132" s="9">
        <f>ROUNDUP(F132+(F132*Assumptions!H$5),-1)</f>
        <v>0</v>
      </c>
      <c r="H132" s="9">
        <f>ROUNDUP(G132+(G132*Assumptions!I$5),-1)</f>
        <v>0</v>
      </c>
      <c r="I132" s="9">
        <f>ROUNDUP(H132+(H132*Assumptions!J$5),-1)</f>
        <v>0</v>
      </c>
      <c r="J132" s="9">
        <f>ROUNDUP(I132+(I132*Assumptions!K$5),-1)</f>
        <v>0</v>
      </c>
      <c r="K132" s="9">
        <f>ROUNDUP(J132+(J132*Assumptions!L$5),-1)</f>
        <v>0</v>
      </c>
      <c r="L132" s="9">
        <f>ROUNDUP(K132+(K132*Assumptions!M$5),-1)</f>
        <v>0</v>
      </c>
      <c r="M132" s="9">
        <f>ROUNDUP(L132+(L132*Assumptions!N$5),-1)</f>
        <v>0</v>
      </c>
      <c r="N132" s="89">
        <f>ROUNDUP(M132+(M132*Assumptions!O$5),-1)</f>
        <v>0</v>
      </c>
      <c r="O132" s="89">
        <f>ROUNDUP(N132+(N132*Assumptions!P$5),-1)</f>
        <v>0</v>
      </c>
      <c r="P132" s="89">
        <f>ROUNDUP(O132+(O132*Assumptions!Q$5),-1)</f>
        <v>0</v>
      </c>
      <c r="Q132" s="61">
        <f>ROUNDUP(P132+(P132*Assumptions!R$5),-1)</f>
        <v>0</v>
      </c>
    </row>
    <row r="133" spans="1:17" x14ac:dyDescent="0.2">
      <c r="A133" s="1740" t="s">
        <v>1739</v>
      </c>
      <c r="B133" s="322">
        <v>0</v>
      </c>
      <c r="C133" s="322">
        <v>0</v>
      </c>
      <c r="D133" s="322">
        <v>422</v>
      </c>
      <c r="E133" s="322">
        <v>0</v>
      </c>
      <c r="F133" s="456">
        <f>ROUNDUP(E133+(E133*Assumptions!G$5),-1)</f>
        <v>0</v>
      </c>
      <c r="G133" s="322">
        <f>ROUNDUP(F133+(F133*Assumptions!H$5),-1)</f>
        <v>0</v>
      </c>
      <c r="H133" s="322">
        <f>ROUNDUP(G133+(G133*Assumptions!I$5),-1)</f>
        <v>0</v>
      </c>
      <c r="I133" s="322">
        <f>ROUNDUP(H133+(H133*Assumptions!J$5),-1)</f>
        <v>0</v>
      </c>
      <c r="J133" s="322">
        <f>ROUNDUP(I133+(I133*Assumptions!K$5),-1)</f>
        <v>0</v>
      </c>
      <c r="K133" s="322">
        <f>ROUNDUP(J133+(J133*Assumptions!L$5),-1)</f>
        <v>0</v>
      </c>
      <c r="L133" s="322">
        <f>ROUNDUP(K133+(K133*Assumptions!M$5),-1)</f>
        <v>0</v>
      </c>
      <c r="M133" s="322">
        <f>ROUNDUP(L133+(L133*Assumptions!N$5),-1)</f>
        <v>0</v>
      </c>
      <c r="N133" s="456">
        <f>ROUNDUP(M133+(M133*Assumptions!O$5),-1)</f>
        <v>0</v>
      </c>
      <c r="O133" s="456">
        <f>ROUNDUP(N133+(N133*Assumptions!P$5),-1)</f>
        <v>0</v>
      </c>
      <c r="P133" s="456">
        <f>ROUNDUP(O133+(O133*Assumptions!Q$5),-1)</f>
        <v>0</v>
      </c>
      <c r="Q133" s="546">
        <f>ROUNDUP(P133+(P133*Assumptions!R$5),-1)</f>
        <v>0</v>
      </c>
    </row>
    <row r="134" spans="1:17" s="573" customFormat="1" x14ac:dyDescent="0.2">
      <c r="A134" s="1741" t="s">
        <v>2087</v>
      </c>
      <c r="B134" s="63">
        <f t="shared" ref="B134:M134" si="169">SUM(B130:B133)</f>
        <v>31282</v>
      </c>
      <c r="C134" s="63">
        <f t="shared" si="169"/>
        <v>19392</v>
      </c>
      <c r="D134" s="63">
        <f t="shared" si="169"/>
        <v>14491</v>
      </c>
      <c r="E134" s="63">
        <f t="shared" si="169"/>
        <v>14893</v>
      </c>
      <c r="F134" s="107">
        <f t="shared" si="169"/>
        <v>11226</v>
      </c>
      <c r="G134" s="63">
        <f t="shared" si="169"/>
        <v>6380</v>
      </c>
      <c r="H134" s="63">
        <f t="shared" si="169"/>
        <v>4570</v>
      </c>
      <c r="I134" s="63">
        <f t="shared" si="169"/>
        <v>5090</v>
      </c>
      <c r="J134" s="63">
        <f t="shared" si="169"/>
        <v>6930</v>
      </c>
      <c r="K134" s="63">
        <f t="shared" si="169"/>
        <v>6720</v>
      </c>
      <c r="L134" s="63">
        <f t="shared" si="169"/>
        <v>7880</v>
      </c>
      <c r="M134" s="63">
        <f t="shared" si="169"/>
        <v>12420</v>
      </c>
      <c r="N134" s="107">
        <f t="shared" ref="N134:O134" si="170">SUM(N130:N133)</f>
        <v>13050</v>
      </c>
      <c r="O134" s="107">
        <f t="shared" si="170"/>
        <v>18240</v>
      </c>
      <c r="P134" s="107">
        <f t="shared" ref="P134" si="171">SUM(P130:P133)</f>
        <v>23960</v>
      </c>
      <c r="Q134" s="106">
        <f t="shared" ref="Q134" si="172">SUM(Q130:Q133)</f>
        <v>31280</v>
      </c>
    </row>
    <row r="135" spans="1:17" x14ac:dyDescent="0.2">
      <c r="A135" s="2092"/>
      <c r="B135" s="48"/>
      <c r="C135" s="48"/>
      <c r="D135" s="48"/>
      <c r="E135" s="48"/>
      <c r="F135" s="161"/>
      <c r="G135" s="48"/>
      <c r="H135" s="48"/>
      <c r="I135" s="48"/>
      <c r="J135" s="48"/>
      <c r="K135" s="48"/>
      <c r="L135" s="48"/>
      <c r="M135" s="48"/>
      <c r="N135" s="161"/>
      <c r="O135" s="161"/>
      <c r="P135" s="161"/>
      <c r="Q135" s="51"/>
    </row>
    <row r="136" spans="1:17" x14ac:dyDescent="0.2">
      <c r="A136" s="564" t="s">
        <v>2088</v>
      </c>
      <c r="B136" s="48"/>
      <c r="C136" s="48"/>
      <c r="D136" s="48"/>
      <c r="E136" s="48"/>
      <c r="F136" s="161"/>
      <c r="G136" s="48"/>
      <c r="H136" s="48"/>
      <c r="I136" s="48"/>
      <c r="J136" s="48"/>
      <c r="K136" s="48"/>
      <c r="L136" s="48"/>
      <c r="M136" s="48"/>
      <c r="N136" s="161"/>
      <c r="O136" s="161"/>
      <c r="P136" s="161"/>
      <c r="Q136" s="51"/>
    </row>
    <row r="137" spans="1:17" x14ac:dyDescent="0.2">
      <c r="A137" s="1740" t="s">
        <v>1908</v>
      </c>
      <c r="B137" s="48">
        <v>329</v>
      </c>
      <c r="C137" s="48">
        <v>519</v>
      </c>
      <c r="D137" s="48">
        <v>1749</v>
      </c>
      <c r="E137" s="9">
        <v>1344</v>
      </c>
      <c r="F137" s="89">
        <v>1105</v>
      </c>
      <c r="G137" s="9">
        <f t="shared" ref="G137:O137" si="173">F137</f>
        <v>1105</v>
      </c>
      <c r="H137" s="9">
        <f t="shared" si="173"/>
        <v>1105</v>
      </c>
      <c r="I137" s="9">
        <f t="shared" si="173"/>
        <v>1105</v>
      </c>
      <c r="J137" s="9">
        <f t="shared" si="173"/>
        <v>1105</v>
      </c>
      <c r="K137" s="9">
        <f t="shared" si="173"/>
        <v>1105</v>
      </c>
      <c r="L137" s="9">
        <f t="shared" si="173"/>
        <v>1105</v>
      </c>
      <c r="M137" s="9">
        <f t="shared" si="173"/>
        <v>1105</v>
      </c>
      <c r="N137" s="89">
        <f t="shared" si="173"/>
        <v>1105</v>
      </c>
      <c r="O137" s="89">
        <f t="shared" si="173"/>
        <v>1105</v>
      </c>
      <c r="P137" s="89">
        <f>O137</f>
        <v>1105</v>
      </c>
      <c r="Q137" s="61">
        <f>P137</f>
        <v>1105</v>
      </c>
    </row>
    <row r="138" spans="1:17" x14ac:dyDescent="0.2">
      <c r="A138" s="1740" t="s">
        <v>2085</v>
      </c>
      <c r="B138" s="9">
        <v>319</v>
      </c>
      <c r="C138" s="9">
        <v>190</v>
      </c>
      <c r="D138" s="9">
        <f>172+58</f>
        <v>230</v>
      </c>
      <c r="E138" s="9">
        <v>139</v>
      </c>
      <c r="F138" s="89">
        <v>127</v>
      </c>
      <c r="G138" s="9">
        <f>ROUNDUP(F138+(F138*Assumptions!H$5),-1)</f>
        <v>130</v>
      </c>
      <c r="H138" s="9">
        <f>ROUNDUP(G138+(G138*Assumptions!I$5),-1)</f>
        <v>140</v>
      </c>
      <c r="I138" s="9">
        <f>ROUNDUP(H138+(H138*Assumptions!J$5),-1)</f>
        <v>150</v>
      </c>
      <c r="J138" s="9">
        <f>ROUNDUP(I138+(I138*Assumptions!K$5),-1)</f>
        <v>160</v>
      </c>
      <c r="K138" s="9">
        <f>ROUNDUP(J138+(J138*Assumptions!L$5),-1)</f>
        <v>170</v>
      </c>
      <c r="L138" s="9">
        <f>ROUNDUP(K138+(K138*Assumptions!M$5),-1)</f>
        <v>180</v>
      </c>
      <c r="M138" s="9">
        <f>ROUNDUP(L138+(L138*Assumptions!N$5),-1)</f>
        <v>190</v>
      </c>
      <c r="N138" s="89">
        <f>ROUNDUP(M138+(M138*Assumptions!O$5),-1)</f>
        <v>200</v>
      </c>
      <c r="O138" s="89">
        <f>ROUNDUP(N138+(N138*Assumptions!P$5),-1)</f>
        <v>210</v>
      </c>
      <c r="P138" s="89">
        <f>ROUNDUP(O138+(O138*Assumptions!Q$5),-1)</f>
        <v>220</v>
      </c>
      <c r="Q138" s="61">
        <f>ROUNDUP(P138+(P138*Assumptions!R$5),-1)</f>
        <v>230</v>
      </c>
    </row>
    <row r="139" spans="1:17" x14ac:dyDescent="0.2">
      <c r="A139" s="1740" t="s">
        <v>2086</v>
      </c>
      <c r="B139" s="9">
        <v>0</v>
      </c>
      <c r="C139" s="9">
        <v>0</v>
      </c>
      <c r="D139" s="9">
        <f>ROUNDUP(C139+(C139*Assumptions!E$5),-2)</f>
        <v>0</v>
      </c>
      <c r="E139" s="9">
        <v>0</v>
      </c>
      <c r="F139" s="89">
        <v>0</v>
      </c>
      <c r="G139" s="9">
        <f>ROUNDUP(F139+(F139*Assumptions!H$5),-2)</f>
        <v>0</v>
      </c>
      <c r="H139" s="9">
        <f>ROUNDUP(G139+(G139*Assumptions!I$5),-2)</f>
        <v>0</v>
      </c>
      <c r="I139" s="9">
        <f>ROUNDUP(H139+(H139*Assumptions!J$5),-2)</f>
        <v>0</v>
      </c>
      <c r="J139" s="9">
        <f>ROUNDUP(I139+(I139*Assumptions!K$5),-2)</f>
        <v>0</v>
      </c>
      <c r="K139" s="9">
        <f>ROUNDUP(J139+(J139*Assumptions!L$5),-2)</f>
        <v>0</v>
      </c>
      <c r="L139" s="9">
        <f>ROUNDUP(K139+(K139*Assumptions!M$5),-2)</f>
        <v>0</v>
      </c>
      <c r="M139" s="9">
        <f>ROUNDUP(L139+(L139*Assumptions!N$5),-2)</f>
        <v>0</v>
      </c>
      <c r="N139" s="89">
        <f>ROUNDUP(M139+(M139*Assumptions!O$5),-2)</f>
        <v>0</v>
      </c>
      <c r="O139" s="89">
        <f>ROUNDUP(N139+(N139*Assumptions!P$5),-2)</f>
        <v>0</v>
      </c>
      <c r="P139" s="89">
        <f>ROUNDUP(O139+(O139*Assumptions!Q$5),-2)</f>
        <v>0</v>
      </c>
      <c r="Q139" s="61">
        <f>ROUNDUP(P139+(P139*Assumptions!R$5),-2)</f>
        <v>0</v>
      </c>
    </row>
    <row r="140" spans="1:17" x14ac:dyDescent="0.2">
      <c r="A140" s="559" t="s">
        <v>3298</v>
      </c>
      <c r="B140" s="48">
        <v>253533</v>
      </c>
      <c r="C140" s="48">
        <v>264586</v>
      </c>
      <c r="D140" s="48">
        <v>196722</v>
      </c>
      <c r="E140" s="48">
        <v>198622</v>
      </c>
      <c r="F140" s="161">
        <v>209652</v>
      </c>
      <c r="G140" s="48">
        <f>ROUND(F140+'Cap-WW'!H142/1000-LTFP!F294/1000,-2)</f>
        <v>214600</v>
      </c>
      <c r="H140" s="48">
        <f>ROUND(G140+'Cap-WW'!I142/1000-LTFP!H294/1000,-2)</f>
        <v>218500</v>
      </c>
      <c r="I140" s="48">
        <f>ROUND(H140+'Cap-WW'!J142/1000-LTFP!I294/1000,-2)</f>
        <v>219600</v>
      </c>
      <c r="J140" s="48">
        <f>ROUND(I140+'Cap-WW'!K142/1000-LTFP!J294/1000,-2)</f>
        <v>218300</v>
      </c>
      <c r="K140" s="48">
        <f>ROUND(J140+'Cap-WW'!L142/1000-LTFP!K294/1000,-2)</f>
        <v>219300</v>
      </c>
      <c r="L140" s="48">
        <f>ROUND(K140+'Cap-WW'!M142/1000-LTFP!L294/1000,-2)</f>
        <v>219600</v>
      </c>
      <c r="M140" s="48">
        <f>ROUND(L140+'Cap-WW'!N142/1000-LTFP!M294/1000,-2)</f>
        <v>216400</v>
      </c>
      <c r="N140" s="161">
        <f>ROUND(M140+'Cap-WW'!O142/1000-LTFP!N294/1000,-2)</f>
        <v>217400</v>
      </c>
      <c r="O140" s="161">
        <f>ROUND(N140+'Cap-WW'!P142/1000-LTFP!O294/1000,-2)</f>
        <v>214200</v>
      </c>
      <c r="P140" s="161">
        <f>ROUND(O140+'Cap-WW'!Q142/1000-LTFP!P294/1000,-2)</f>
        <v>210800</v>
      </c>
      <c r="Q140" s="51">
        <f>ROUND(P140+'Cap-WW'!R142/1000-LTFP!Q294/1000,-2)</f>
        <v>207300</v>
      </c>
    </row>
    <row r="141" spans="1:17" x14ac:dyDescent="0.2">
      <c r="A141" s="1740" t="s">
        <v>2089</v>
      </c>
      <c r="B141" s="79">
        <v>0</v>
      </c>
      <c r="C141" s="79">
        <v>0</v>
      </c>
      <c r="D141" s="9">
        <f>ROUNDUP(C141+(C141*Assumptions!E$5),-2)</f>
        <v>0</v>
      </c>
      <c r="E141" s="9">
        <v>0</v>
      </c>
      <c r="F141" s="89">
        <v>0</v>
      </c>
      <c r="G141" s="9">
        <f>ROUNDUP(F141+(F141*Assumptions!H$5),-2)</f>
        <v>0</v>
      </c>
      <c r="H141" s="9">
        <f>ROUNDUP(G141+(G141*Assumptions!I$5),-2)</f>
        <v>0</v>
      </c>
      <c r="I141" s="9">
        <f>ROUNDUP(H141+(H141*Assumptions!J$5),-2)</f>
        <v>0</v>
      </c>
      <c r="J141" s="9">
        <f>ROUNDUP(I141+(I141*Assumptions!K$5),-2)</f>
        <v>0</v>
      </c>
      <c r="K141" s="9">
        <f>ROUNDUP(J141+(J141*Assumptions!L$5),-2)</f>
        <v>0</v>
      </c>
      <c r="L141" s="9">
        <f>ROUNDUP(K141+(K141*Assumptions!M$5),-2)</f>
        <v>0</v>
      </c>
      <c r="M141" s="9">
        <f>ROUNDUP(L141+(L141*Assumptions!N$5),-2)</f>
        <v>0</v>
      </c>
      <c r="N141" s="89">
        <f>ROUNDUP(M141+(M141*Assumptions!O$5),-2)</f>
        <v>0</v>
      </c>
      <c r="O141" s="89">
        <f>ROUNDUP(N141+(N141*Assumptions!P$5),-2)</f>
        <v>0</v>
      </c>
      <c r="P141" s="89">
        <f>ROUNDUP(O141+(O141*Assumptions!Q$5),-2)</f>
        <v>0</v>
      </c>
      <c r="Q141" s="61">
        <f>ROUNDUP(P141+(P141*Assumptions!R$5),-2)</f>
        <v>0</v>
      </c>
    </row>
    <row r="142" spans="1:17" s="573" customFormat="1" x14ac:dyDescent="0.2">
      <c r="A142" s="1741" t="s">
        <v>2090</v>
      </c>
      <c r="B142" s="1811">
        <f t="shared" ref="B142:M142" si="174">SUM(B137:B141)</f>
        <v>254181</v>
      </c>
      <c r="C142" s="1811">
        <f t="shared" si="174"/>
        <v>265295</v>
      </c>
      <c r="D142" s="1811">
        <f t="shared" si="174"/>
        <v>198701</v>
      </c>
      <c r="E142" s="1811">
        <f t="shared" si="174"/>
        <v>200105</v>
      </c>
      <c r="F142" s="1476">
        <f t="shared" si="174"/>
        <v>210884</v>
      </c>
      <c r="G142" s="1811">
        <f t="shared" si="174"/>
        <v>215835</v>
      </c>
      <c r="H142" s="1811">
        <f t="shared" si="174"/>
        <v>219745</v>
      </c>
      <c r="I142" s="1811">
        <f t="shared" si="174"/>
        <v>220855</v>
      </c>
      <c r="J142" s="1811">
        <f t="shared" si="174"/>
        <v>219565</v>
      </c>
      <c r="K142" s="1811">
        <f t="shared" si="174"/>
        <v>220575</v>
      </c>
      <c r="L142" s="1811">
        <f t="shared" si="174"/>
        <v>220885</v>
      </c>
      <c r="M142" s="1811">
        <f t="shared" si="174"/>
        <v>217695</v>
      </c>
      <c r="N142" s="1476">
        <f t="shared" ref="N142:O142" si="175">SUM(N137:N141)</f>
        <v>218705</v>
      </c>
      <c r="O142" s="1476">
        <f t="shared" si="175"/>
        <v>215515</v>
      </c>
      <c r="P142" s="1476">
        <f t="shared" ref="P142" si="176">SUM(P137:P141)</f>
        <v>212125</v>
      </c>
      <c r="Q142" s="1748">
        <f t="shared" ref="Q142" si="177">SUM(Q137:Q141)</f>
        <v>208635</v>
      </c>
    </row>
    <row r="143" spans="1:17" s="285" customFormat="1" ht="13.5" thickBot="1" x14ac:dyDescent="0.25">
      <c r="A143" s="564" t="s">
        <v>2091</v>
      </c>
      <c r="B143" s="2093">
        <f t="shared" ref="B143:M143" si="178">B134+B142</f>
        <v>285463</v>
      </c>
      <c r="C143" s="2093">
        <f t="shared" si="178"/>
        <v>284687</v>
      </c>
      <c r="D143" s="2093">
        <f t="shared" si="178"/>
        <v>213192</v>
      </c>
      <c r="E143" s="2093">
        <f t="shared" si="178"/>
        <v>214998</v>
      </c>
      <c r="F143" s="1477">
        <f t="shared" si="178"/>
        <v>222110</v>
      </c>
      <c r="G143" s="2093">
        <f t="shared" si="178"/>
        <v>222215</v>
      </c>
      <c r="H143" s="2093">
        <f t="shared" si="178"/>
        <v>224315</v>
      </c>
      <c r="I143" s="2093">
        <f t="shared" si="178"/>
        <v>225945</v>
      </c>
      <c r="J143" s="2093">
        <f t="shared" si="178"/>
        <v>226495</v>
      </c>
      <c r="K143" s="2093">
        <f t="shared" si="178"/>
        <v>227295</v>
      </c>
      <c r="L143" s="2093">
        <f t="shared" si="178"/>
        <v>228765</v>
      </c>
      <c r="M143" s="2093">
        <f t="shared" si="178"/>
        <v>230115</v>
      </c>
      <c r="N143" s="1477">
        <f t="shared" ref="N143:O143" si="179">N134+N142</f>
        <v>231755</v>
      </c>
      <c r="O143" s="1477">
        <f t="shared" si="179"/>
        <v>233755</v>
      </c>
      <c r="P143" s="1477">
        <f t="shared" ref="P143" si="180">P134+P142</f>
        <v>236085</v>
      </c>
      <c r="Q143" s="2539">
        <f t="shared" ref="Q143" si="181">Q134+Q142</f>
        <v>239915</v>
      </c>
    </row>
    <row r="144" spans="1:17" x14ac:dyDescent="0.2">
      <c r="A144" s="2092"/>
      <c r="B144" s="48"/>
      <c r="C144" s="48"/>
      <c r="D144" s="48"/>
      <c r="E144" s="48"/>
      <c r="F144" s="161"/>
      <c r="G144" s="48"/>
      <c r="H144" s="48"/>
      <c r="I144" s="48"/>
      <c r="J144" s="48"/>
      <c r="K144" s="48"/>
      <c r="L144" s="48"/>
      <c r="M144" s="48"/>
      <c r="N144" s="161"/>
      <c r="O144" s="161"/>
      <c r="P144" s="161"/>
      <c r="Q144" s="51"/>
    </row>
    <row r="145" spans="1:17" x14ac:dyDescent="0.2">
      <c r="A145" s="564" t="s">
        <v>2092</v>
      </c>
      <c r="B145" s="48"/>
      <c r="C145" s="48"/>
      <c r="D145" s="48"/>
      <c r="E145" s="48"/>
      <c r="F145" s="161"/>
      <c r="G145" s="48"/>
      <c r="H145" s="48"/>
      <c r="I145" s="48"/>
      <c r="J145" s="48"/>
      <c r="K145" s="48"/>
      <c r="L145" s="48"/>
      <c r="M145" s="48"/>
      <c r="N145" s="161"/>
      <c r="O145" s="161"/>
      <c r="P145" s="161"/>
      <c r="Q145" s="51"/>
    </row>
    <row r="146" spans="1:17" x14ac:dyDescent="0.2">
      <c r="A146" s="564" t="s">
        <v>2765</v>
      </c>
      <c r="B146" s="48"/>
      <c r="C146" s="48"/>
      <c r="D146" s="48"/>
      <c r="E146" s="48"/>
      <c r="F146" s="161"/>
      <c r="G146" s="48"/>
      <c r="H146" s="48"/>
      <c r="I146" s="48"/>
      <c r="J146" s="48"/>
      <c r="K146" s="48"/>
      <c r="L146" s="48"/>
      <c r="M146" s="48"/>
      <c r="N146" s="161"/>
      <c r="O146" s="161"/>
      <c r="P146" s="161"/>
      <c r="Q146" s="51"/>
    </row>
    <row r="147" spans="1:17" x14ac:dyDescent="0.2">
      <c r="A147" s="1740" t="s">
        <v>2766</v>
      </c>
      <c r="B147" s="48">
        <v>4379</v>
      </c>
      <c r="C147" s="48">
        <v>83</v>
      </c>
      <c r="D147" s="89">
        <v>162</v>
      </c>
      <c r="E147" s="89">
        <v>125</v>
      </c>
      <c r="F147" s="89">
        <v>140</v>
      </c>
      <c r="G147" s="9">
        <f>ROUNDUP(F147+(F147*Assumptions!H$5),-1)</f>
        <v>150</v>
      </c>
      <c r="H147" s="9">
        <f>ROUNDUP(G147+(G147*Assumptions!I$5),-1)</f>
        <v>160</v>
      </c>
      <c r="I147" s="9">
        <f>ROUNDUP(H147+(H147*Assumptions!J$5),-1)</f>
        <v>170</v>
      </c>
      <c r="J147" s="9">
        <f>ROUNDUP(I147+(I147*Assumptions!K$5),-1)</f>
        <v>180</v>
      </c>
      <c r="K147" s="9">
        <f>ROUNDUP(J147+(J147*Assumptions!L$5),-1)</f>
        <v>190</v>
      </c>
      <c r="L147" s="9">
        <f>ROUNDUP(K147+(K147*Assumptions!M$5),-1)</f>
        <v>200</v>
      </c>
      <c r="M147" s="9">
        <f>ROUNDUP(L147+(L147*Assumptions!N$5),-1)</f>
        <v>210</v>
      </c>
      <c r="N147" s="89">
        <f>ROUNDUP(M147+(M147*Assumptions!O$5),-1)</f>
        <v>220</v>
      </c>
      <c r="O147" s="89">
        <f>ROUNDUP(N147+(N147*Assumptions!P$5),-1)</f>
        <v>230</v>
      </c>
      <c r="P147" s="89">
        <f>ROUNDUP(O147+(O147*Assumptions!Q$5),-1)</f>
        <v>240</v>
      </c>
      <c r="Q147" s="61">
        <f>ROUNDUP(P147+(P147*Assumptions!R$5),-1)</f>
        <v>250</v>
      </c>
    </row>
    <row r="148" spans="1:17" x14ac:dyDescent="0.2">
      <c r="A148" s="1740" t="s">
        <v>2767</v>
      </c>
      <c r="B148" s="48">
        <v>2385</v>
      </c>
      <c r="C148" s="48">
        <v>2495</v>
      </c>
      <c r="D148" s="48">
        <f>-LTFP!C310/1000</f>
        <v>2793.3</v>
      </c>
      <c r="E148" s="48">
        <f>-LTFP!D310/1000</f>
        <v>2957.9</v>
      </c>
      <c r="F148" s="161">
        <v>3096</v>
      </c>
      <c r="G148" s="48">
        <f>-LTFP!H310/1000</f>
        <v>3134</v>
      </c>
      <c r="H148" s="48">
        <f>-LTFP!I310/1000</f>
        <v>3280.3</v>
      </c>
      <c r="I148" s="48">
        <f>-LTFP!J310/1000</f>
        <v>2453.5</v>
      </c>
      <c r="J148" s="48">
        <f>-LTFP!K310/1000</f>
        <v>2654.1</v>
      </c>
      <c r="K148" s="48">
        <f>-LTFP!L310/1000</f>
        <v>2844.1</v>
      </c>
      <c r="L148" s="48">
        <f>-LTFP!M310/1000</f>
        <v>3037</v>
      </c>
      <c r="M148" s="48">
        <f>-LTFP!N310/1000</f>
        <v>3235</v>
      </c>
      <c r="N148" s="48">
        <f>-LTFP!O310/1000</f>
        <v>3430</v>
      </c>
      <c r="O148" s="48">
        <f>-LTFP!P310/1000</f>
        <v>3627</v>
      </c>
      <c r="P148" s="48">
        <f>-LTFP!Q310/1000</f>
        <v>3825</v>
      </c>
      <c r="Q148" s="2540">
        <f>-LTFP!R310/1000</f>
        <v>0</v>
      </c>
    </row>
    <row r="149" spans="1:17" x14ac:dyDescent="0.2">
      <c r="A149" s="1740" t="s">
        <v>2768</v>
      </c>
      <c r="B149" s="651">
        <v>461</v>
      </c>
      <c r="C149" s="651">
        <v>452</v>
      </c>
      <c r="D149" s="322">
        <v>437</v>
      </c>
      <c r="E149" s="456">
        <v>482</v>
      </c>
      <c r="F149" s="456">
        <v>523</v>
      </c>
      <c r="G149" s="322">
        <f>ROUNDUP(F149+(F149*Assumptions!H$5),-1)</f>
        <v>540</v>
      </c>
      <c r="H149" s="322">
        <f>ROUNDUP(G149+(G149*Assumptions!I$5),-1)</f>
        <v>560</v>
      </c>
      <c r="I149" s="322">
        <f>ROUNDUP(H149+(H149*Assumptions!J$5),-1)</f>
        <v>580</v>
      </c>
      <c r="J149" s="322">
        <f>ROUNDUP(I149+(I149*Assumptions!K$5),-1)</f>
        <v>600</v>
      </c>
      <c r="K149" s="322">
        <f>ROUNDUP(J149+(J149*Assumptions!L$5),-1)</f>
        <v>620</v>
      </c>
      <c r="L149" s="322">
        <f>ROUNDUP(K149+(K149*Assumptions!M$5),-1)</f>
        <v>640</v>
      </c>
      <c r="M149" s="322">
        <f>ROUNDUP(L149+(L149*Assumptions!N$5),-1)</f>
        <v>660</v>
      </c>
      <c r="N149" s="456">
        <f>ROUNDUP(M149+(M149*Assumptions!O$5),-1)</f>
        <v>680</v>
      </c>
      <c r="O149" s="456">
        <f>ROUNDUP(N149+(N149*Assumptions!P$5),-1)</f>
        <v>700</v>
      </c>
      <c r="P149" s="456">
        <f>ROUNDUP(O149+(O149*Assumptions!Q$5),-1)</f>
        <v>720</v>
      </c>
      <c r="Q149" s="546">
        <f>ROUNDUP(P149+(P149*Assumptions!R$5),-1)</f>
        <v>740</v>
      </c>
    </row>
    <row r="150" spans="1:17" s="573" customFormat="1" x14ac:dyDescent="0.2">
      <c r="A150" s="1741" t="s">
        <v>2769</v>
      </c>
      <c r="B150" s="63">
        <f t="shared" ref="B150:M150" si="182">SUM(B147:B149)</f>
        <v>7225</v>
      </c>
      <c r="C150" s="63">
        <f t="shared" si="182"/>
        <v>3030</v>
      </c>
      <c r="D150" s="63">
        <f t="shared" si="182"/>
        <v>3392.3</v>
      </c>
      <c r="E150" s="63">
        <f t="shared" si="182"/>
        <v>3564.9</v>
      </c>
      <c r="F150" s="107">
        <f t="shared" si="182"/>
        <v>3759</v>
      </c>
      <c r="G150" s="63">
        <f t="shared" si="182"/>
        <v>3824</v>
      </c>
      <c r="H150" s="63">
        <f t="shared" si="182"/>
        <v>4000.3</v>
      </c>
      <c r="I150" s="63">
        <f t="shared" si="182"/>
        <v>3203.5</v>
      </c>
      <c r="J150" s="63">
        <f t="shared" si="182"/>
        <v>3434.1</v>
      </c>
      <c r="K150" s="63">
        <f t="shared" si="182"/>
        <v>3654.1</v>
      </c>
      <c r="L150" s="63">
        <f t="shared" si="182"/>
        <v>3877</v>
      </c>
      <c r="M150" s="63">
        <f t="shared" si="182"/>
        <v>4105</v>
      </c>
      <c r="N150" s="107">
        <f t="shared" ref="N150:O150" si="183">SUM(N147:N149)</f>
        <v>4330</v>
      </c>
      <c r="O150" s="107">
        <f t="shared" si="183"/>
        <v>4557</v>
      </c>
      <c r="P150" s="107">
        <f t="shared" ref="P150" si="184">SUM(P147:P149)</f>
        <v>4785</v>
      </c>
      <c r="Q150" s="106">
        <f t="shared" ref="Q150" si="185">SUM(Q147:Q149)</f>
        <v>990</v>
      </c>
    </row>
    <row r="151" spans="1:17" x14ac:dyDescent="0.2">
      <c r="A151" s="2092"/>
      <c r="B151" s="48"/>
      <c r="C151" s="48"/>
      <c r="D151" s="48"/>
      <c r="E151" s="48"/>
      <c r="F151" s="161"/>
      <c r="G151" s="48"/>
      <c r="H151" s="48"/>
      <c r="I151" s="48"/>
      <c r="J151" s="48"/>
      <c r="K151" s="48"/>
      <c r="L151" s="48"/>
      <c r="M151" s="48"/>
      <c r="N151" s="161"/>
      <c r="O151" s="161"/>
      <c r="P151" s="161"/>
      <c r="Q151" s="51"/>
    </row>
    <row r="152" spans="1:17" x14ac:dyDescent="0.2">
      <c r="A152" s="564" t="s">
        <v>2770</v>
      </c>
      <c r="B152" s="48"/>
      <c r="C152" s="48"/>
      <c r="D152" s="48"/>
      <c r="E152" s="48"/>
      <c r="F152" s="161"/>
      <c r="G152" s="48"/>
      <c r="H152" s="48"/>
      <c r="I152" s="48"/>
      <c r="J152" s="48"/>
      <c r="K152" s="48"/>
      <c r="L152" s="48"/>
      <c r="M152" s="48"/>
      <c r="N152" s="161"/>
      <c r="O152" s="161"/>
      <c r="P152" s="161"/>
      <c r="Q152" s="51"/>
    </row>
    <row r="153" spans="1:17" x14ac:dyDescent="0.2">
      <c r="A153" s="1740" t="s">
        <v>2766</v>
      </c>
      <c r="B153" s="48">
        <v>0</v>
      </c>
      <c r="C153" s="48">
        <v>0</v>
      </c>
      <c r="D153" s="89">
        <f>ROUNDUP(C153+(C153*Assumptions!E$5),-2)</f>
        <v>0</v>
      </c>
      <c r="E153" s="89">
        <f>ROUNDUP(D153+(D153*Assumptions!F$5),-2)</f>
        <v>0</v>
      </c>
      <c r="F153" s="89">
        <v>0</v>
      </c>
      <c r="G153" s="9">
        <f>ROUNDUP(F153+(F153*Assumptions!H$5),-2)</f>
        <v>0</v>
      </c>
      <c r="H153" s="9">
        <f>ROUNDUP(G153+(G153*Assumptions!I$5),-2)</f>
        <v>0</v>
      </c>
      <c r="I153" s="9">
        <f>ROUNDUP(H153+(H153*Assumptions!J$5),-2)</f>
        <v>0</v>
      </c>
      <c r="J153" s="9">
        <f>ROUNDUP(I153+(I153*Assumptions!K$5),-2)</f>
        <v>0</v>
      </c>
      <c r="K153" s="9">
        <f>ROUNDUP(J153+(J153*Assumptions!L$5),-2)</f>
        <v>0</v>
      </c>
      <c r="L153" s="9">
        <f>ROUNDUP(K153+(K153*Assumptions!M$5),-2)</f>
        <v>0</v>
      </c>
      <c r="M153" s="9">
        <f>ROUNDUP(L153+(L153*Assumptions!N$5),-2)</f>
        <v>0</v>
      </c>
      <c r="N153" s="89">
        <f>ROUNDUP(M153+(M153*Assumptions!O$5),-2)</f>
        <v>0</v>
      </c>
      <c r="O153" s="89">
        <f>ROUNDUP(N153+(N153*Assumptions!P$5),-2)</f>
        <v>0</v>
      </c>
      <c r="P153" s="89">
        <f>ROUNDUP(O153+(O153*Assumptions!Q$5),-2)</f>
        <v>0</v>
      </c>
      <c r="Q153" s="61">
        <f>ROUNDUP(P153+(P153*Assumptions!R$5),-2)</f>
        <v>0</v>
      </c>
    </row>
    <row r="154" spans="1:17" x14ac:dyDescent="0.2">
      <c r="A154" s="1740" t="s">
        <v>2767</v>
      </c>
      <c r="B154" s="48">
        <v>65130</v>
      </c>
      <c r="C154" s="48">
        <v>63719</v>
      </c>
      <c r="D154" s="89">
        <v>61582</v>
      </c>
      <c r="E154" s="89">
        <v>58925</v>
      </c>
      <c r="F154" s="89">
        <v>56079</v>
      </c>
      <c r="G154" s="9">
        <f>F154-G148+LTFP!F304/1000</f>
        <v>52945</v>
      </c>
      <c r="H154" s="9">
        <f>G154-H148+LTFP!H304/1000</f>
        <v>49664.7</v>
      </c>
      <c r="I154" s="9">
        <f>H154-I148+LTFP!I304/1000</f>
        <v>47211.199999999997</v>
      </c>
      <c r="J154" s="9">
        <f>I154-J148+LTFP!J304/1000</f>
        <v>44557.1</v>
      </c>
      <c r="K154" s="9">
        <f>J154-K148+LTFP!K304/1000</f>
        <v>41713</v>
      </c>
      <c r="L154" s="9">
        <f>K154-L148+LTFP!L304/1000</f>
        <v>38676</v>
      </c>
      <c r="M154" s="9">
        <f>L154-M148+LTFP!M304/1000</f>
        <v>35441</v>
      </c>
      <c r="N154" s="89">
        <f>M154-N148+LTFP!N304/1000</f>
        <v>32011</v>
      </c>
      <c r="O154" s="89">
        <f>N154-O148+LTFP!O304/1000</f>
        <v>28384</v>
      </c>
      <c r="P154" s="89">
        <f>O154-P148+LTFP!P304/1000</f>
        <v>24559</v>
      </c>
      <c r="Q154" s="61">
        <f>P154-Q148+LTFP!Q304/1000</f>
        <v>24559</v>
      </c>
    </row>
    <row r="155" spans="1:17" x14ac:dyDescent="0.2">
      <c r="A155" s="1740" t="s">
        <v>2768</v>
      </c>
      <c r="B155" s="89">
        <v>0</v>
      </c>
      <c r="C155" s="89">
        <v>0</v>
      </c>
      <c r="D155" s="89">
        <v>43</v>
      </c>
      <c r="E155" s="89">
        <v>45</v>
      </c>
      <c r="F155" s="89">
        <v>46</v>
      </c>
      <c r="G155" s="9">
        <f>ROUNDUP(F155+(F155*Assumptions!H$5),-2)</f>
        <v>100</v>
      </c>
      <c r="H155" s="9">
        <f>ROUNDUP(G155+(G155*Assumptions!I$5),-2)</f>
        <v>200</v>
      </c>
      <c r="I155" s="9">
        <f>ROUNDUP(H155+(H155*Assumptions!J$5),-2)</f>
        <v>300</v>
      </c>
      <c r="J155" s="9">
        <f>ROUNDUP(I155+(I155*Assumptions!K$5),-2)</f>
        <v>400</v>
      </c>
      <c r="K155" s="9">
        <f>ROUNDUP(J155+(J155*Assumptions!L$5),-2)</f>
        <v>500</v>
      </c>
      <c r="L155" s="9">
        <f>ROUNDUP(K155+(K155*Assumptions!M$5),-2)</f>
        <v>600</v>
      </c>
      <c r="M155" s="9">
        <f>ROUNDUP(L155+(L155*Assumptions!N$5),-2)</f>
        <v>700</v>
      </c>
      <c r="N155" s="89">
        <f>ROUNDUP(M155+(M155*Assumptions!O$5),-2)</f>
        <v>800</v>
      </c>
      <c r="O155" s="89">
        <f>ROUNDUP(N155+(N155*Assumptions!P$5),-2)</f>
        <v>900</v>
      </c>
      <c r="P155" s="89">
        <f>ROUNDUP(O155+(O155*Assumptions!Q$5),-2)</f>
        <v>1000</v>
      </c>
      <c r="Q155" s="61">
        <f>ROUNDUP(P155+(P155*Assumptions!R$5),-2)</f>
        <v>1100</v>
      </c>
    </row>
    <row r="156" spans="1:17" s="573" customFormat="1" x14ac:dyDescent="0.2">
      <c r="A156" s="1741" t="s">
        <v>2771</v>
      </c>
      <c r="B156" s="1811">
        <f t="shared" ref="B156:M156" si="186">SUM(B153:B155)</f>
        <v>65130</v>
      </c>
      <c r="C156" s="1811">
        <f t="shared" si="186"/>
        <v>63719</v>
      </c>
      <c r="D156" s="1811">
        <f t="shared" si="186"/>
        <v>61625</v>
      </c>
      <c r="E156" s="1811">
        <f t="shared" si="186"/>
        <v>58970</v>
      </c>
      <c r="F156" s="1476">
        <f t="shared" si="186"/>
        <v>56125</v>
      </c>
      <c r="G156" s="1811">
        <f t="shared" si="186"/>
        <v>53045</v>
      </c>
      <c r="H156" s="1811">
        <f t="shared" si="186"/>
        <v>49864.7</v>
      </c>
      <c r="I156" s="1811">
        <f t="shared" si="186"/>
        <v>47511.199999999997</v>
      </c>
      <c r="J156" s="1811">
        <f t="shared" si="186"/>
        <v>44957.1</v>
      </c>
      <c r="K156" s="1811">
        <f t="shared" si="186"/>
        <v>42213</v>
      </c>
      <c r="L156" s="1811">
        <f t="shared" si="186"/>
        <v>39276</v>
      </c>
      <c r="M156" s="1811">
        <f t="shared" si="186"/>
        <v>36141</v>
      </c>
      <c r="N156" s="1476">
        <f t="shared" ref="N156:O156" si="187">SUM(N153:N155)</f>
        <v>32811</v>
      </c>
      <c r="O156" s="1476">
        <f t="shared" si="187"/>
        <v>29284</v>
      </c>
      <c r="P156" s="1476">
        <f t="shared" ref="P156" si="188">SUM(P153:P155)</f>
        <v>25559</v>
      </c>
      <c r="Q156" s="1748">
        <f t="shared" ref="Q156" si="189">SUM(Q153:Q155)</f>
        <v>25659</v>
      </c>
    </row>
    <row r="157" spans="1:17" s="285" customFormat="1" x14ac:dyDescent="0.2">
      <c r="A157" s="564" t="s">
        <v>2383</v>
      </c>
      <c r="B157" s="944">
        <f t="shared" ref="B157:M157" si="190">B150+B156</f>
        <v>72355</v>
      </c>
      <c r="C157" s="944">
        <f t="shared" si="190"/>
        <v>66749</v>
      </c>
      <c r="D157" s="944">
        <f t="shared" si="190"/>
        <v>65017.3</v>
      </c>
      <c r="E157" s="944">
        <f t="shared" si="190"/>
        <v>62534.9</v>
      </c>
      <c r="F157" s="1478">
        <f t="shared" si="190"/>
        <v>59884</v>
      </c>
      <c r="G157" s="944">
        <f t="shared" si="190"/>
        <v>56869</v>
      </c>
      <c r="H157" s="944">
        <f t="shared" si="190"/>
        <v>53865</v>
      </c>
      <c r="I157" s="944">
        <f t="shared" si="190"/>
        <v>50714.7</v>
      </c>
      <c r="J157" s="944">
        <f t="shared" si="190"/>
        <v>48391.199999999997</v>
      </c>
      <c r="K157" s="944">
        <f t="shared" si="190"/>
        <v>45867.1</v>
      </c>
      <c r="L157" s="944">
        <f t="shared" si="190"/>
        <v>43153</v>
      </c>
      <c r="M157" s="944">
        <f t="shared" si="190"/>
        <v>40246</v>
      </c>
      <c r="N157" s="1478">
        <f t="shared" ref="N157:O157" si="191">N150+N156</f>
        <v>37141</v>
      </c>
      <c r="O157" s="1478">
        <f t="shared" si="191"/>
        <v>33841</v>
      </c>
      <c r="P157" s="1478">
        <f t="shared" ref="P157" si="192">P150+P156</f>
        <v>30344</v>
      </c>
      <c r="Q157" s="2541">
        <f t="shared" ref="Q157" si="193">Q150+Q156</f>
        <v>26649</v>
      </c>
    </row>
    <row r="158" spans="1:17" s="285" customFormat="1" ht="13.5" thickBot="1" x14ac:dyDescent="0.25">
      <c r="A158" s="564" t="s">
        <v>2384</v>
      </c>
      <c r="B158" s="2093">
        <f t="shared" ref="B158:M158" si="194">B143-B157</f>
        <v>213108</v>
      </c>
      <c r="C158" s="2093">
        <f t="shared" si="194"/>
        <v>217938</v>
      </c>
      <c r="D158" s="2093">
        <f t="shared" si="194"/>
        <v>148174.70000000001</v>
      </c>
      <c r="E158" s="2093">
        <f t="shared" si="194"/>
        <v>152463.1</v>
      </c>
      <c r="F158" s="1477">
        <f t="shared" si="194"/>
        <v>162226</v>
      </c>
      <c r="G158" s="2093">
        <f t="shared" si="194"/>
        <v>165346</v>
      </c>
      <c r="H158" s="2093">
        <f t="shared" si="194"/>
        <v>170450</v>
      </c>
      <c r="I158" s="2093">
        <f t="shared" si="194"/>
        <v>175230.3</v>
      </c>
      <c r="J158" s="2093">
        <f t="shared" si="194"/>
        <v>178103.8</v>
      </c>
      <c r="K158" s="2093">
        <f t="shared" si="194"/>
        <v>181427.9</v>
      </c>
      <c r="L158" s="2093">
        <f t="shared" si="194"/>
        <v>185612</v>
      </c>
      <c r="M158" s="2093">
        <f t="shared" si="194"/>
        <v>189869</v>
      </c>
      <c r="N158" s="1477">
        <f t="shared" ref="N158:O158" si="195">N143-N157</f>
        <v>194614</v>
      </c>
      <c r="O158" s="1477">
        <f t="shared" si="195"/>
        <v>199914</v>
      </c>
      <c r="P158" s="1477">
        <f t="shared" ref="P158" si="196">P143-P157</f>
        <v>205741</v>
      </c>
      <c r="Q158" s="2539">
        <f t="shared" ref="Q158" si="197">Q143-Q157</f>
        <v>213266</v>
      </c>
    </row>
    <row r="159" spans="1:17" x14ac:dyDescent="0.2">
      <c r="A159" s="2092"/>
      <c r="B159" s="48"/>
      <c r="C159" s="48"/>
      <c r="D159" s="48"/>
      <c r="E159" s="48"/>
      <c r="F159" s="161"/>
      <c r="G159" s="48"/>
      <c r="H159" s="48"/>
      <c r="I159" s="48"/>
      <c r="J159" s="48"/>
      <c r="K159" s="48"/>
      <c r="L159" s="48"/>
      <c r="M159" s="48"/>
      <c r="N159" s="161"/>
      <c r="O159" s="161"/>
      <c r="P159" s="161"/>
      <c r="Q159" s="51"/>
    </row>
    <row r="160" spans="1:17" x14ac:dyDescent="0.2">
      <c r="A160" s="564" t="s">
        <v>2385</v>
      </c>
      <c r="B160" s="48"/>
      <c r="C160" s="48"/>
      <c r="D160" s="48"/>
      <c r="E160" s="48"/>
      <c r="F160" s="161"/>
      <c r="G160" s="48"/>
      <c r="H160" s="48"/>
      <c r="I160" s="48"/>
      <c r="J160" s="48"/>
      <c r="K160" s="48"/>
      <c r="L160" s="48"/>
      <c r="M160" s="48"/>
      <c r="N160" s="161"/>
      <c r="O160" s="161"/>
      <c r="P160" s="161"/>
      <c r="Q160" s="51"/>
    </row>
    <row r="161" spans="1:22" x14ac:dyDescent="0.2">
      <c r="A161" s="1740" t="s">
        <v>2472</v>
      </c>
      <c r="B161" s="48">
        <f t="shared" ref="B161:M161" si="198">B158-B162</f>
        <v>108417</v>
      </c>
      <c r="C161" s="48">
        <f t="shared" si="198"/>
        <v>107971</v>
      </c>
      <c r="D161" s="48">
        <f t="shared" si="198"/>
        <v>96710.700000000012</v>
      </c>
      <c r="E161" s="48">
        <f t="shared" si="198"/>
        <v>98161.1</v>
      </c>
      <c r="F161" s="161">
        <v>98522</v>
      </c>
      <c r="G161" s="48">
        <f t="shared" si="198"/>
        <v>100646</v>
      </c>
      <c r="H161" s="48">
        <f t="shared" si="198"/>
        <v>104250</v>
      </c>
      <c r="I161" s="48">
        <f t="shared" si="198"/>
        <v>107330.29999999999</v>
      </c>
      <c r="J161" s="48">
        <f t="shared" si="198"/>
        <v>108503.79999999999</v>
      </c>
      <c r="K161" s="48">
        <f t="shared" si="198"/>
        <v>110027.9</v>
      </c>
      <c r="L161" s="48">
        <f t="shared" si="198"/>
        <v>112412</v>
      </c>
      <c r="M161" s="48">
        <f t="shared" si="198"/>
        <v>114769</v>
      </c>
      <c r="N161" s="161">
        <f t="shared" ref="N161:O161" si="199">N158-N162</f>
        <v>117614</v>
      </c>
      <c r="O161" s="161">
        <f t="shared" si="199"/>
        <v>120914</v>
      </c>
      <c r="P161" s="161">
        <f t="shared" ref="P161" si="200">P158-P162</f>
        <v>124741</v>
      </c>
      <c r="Q161" s="51">
        <f t="shared" ref="Q161" si="201">Q158-Q162</f>
        <v>130166</v>
      </c>
    </row>
    <row r="162" spans="1:22" x14ac:dyDescent="0.2">
      <c r="A162" s="1740" t="s">
        <v>2837</v>
      </c>
      <c r="B162" s="651">
        <v>104691</v>
      </c>
      <c r="C162" s="651">
        <v>109967</v>
      </c>
      <c r="D162" s="651">
        <v>51464</v>
      </c>
      <c r="E162" s="651">
        <v>54302</v>
      </c>
      <c r="F162" s="812">
        <v>63704</v>
      </c>
      <c r="G162" s="651">
        <f>ROUNDUP(F162+(F162*Assumptions!H$5),-2)</f>
        <v>64700</v>
      </c>
      <c r="H162" s="651">
        <f>ROUNDUP(G162+(G162*Assumptions!I$5),-2)</f>
        <v>66200</v>
      </c>
      <c r="I162" s="651">
        <f>ROUNDUP(H162+(H162*Assumptions!J$5),-2)</f>
        <v>67900</v>
      </c>
      <c r="J162" s="651">
        <f>ROUNDUP(I162+(I162*Assumptions!K$5),-2)</f>
        <v>69600</v>
      </c>
      <c r="K162" s="651">
        <f>ROUNDUP(J162+(J162*Assumptions!L$5),-2)</f>
        <v>71400</v>
      </c>
      <c r="L162" s="651">
        <f>ROUNDUP(K162+(K162*Assumptions!M$5),-2)</f>
        <v>73200</v>
      </c>
      <c r="M162" s="651">
        <f>ROUNDUP(L162+(L162*Assumptions!N$5),-2)</f>
        <v>75100</v>
      </c>
      <c r="N162" s="812">
        <f>ROUNDUP(M162+(M162*Assumptions!O$5),-2)</f>
        <v>77000</v>
      </c>
      <c r="O162" s="812">
        <f>ROUNDUP(N162+(N162*Assumptions!P$5),-2)</f>
        <v>79000</v>
      </c>
      <c r="P162" s="812">
        <f>ROUNDUP(O162+(O162*Assumptions!Q$5),-2)</f>
        <v>81000</v>
      </c>
      <c r="Q162" s="2476">
        <f>ROUNDUP(P162+(P162*Assumptions!R$5),-2)</f>
        <v>83100</v>
      </c>
    </row>
    <row r="163" spans="1:22" s="573" customFormat="1" x14ac:dyDescent="0.2">
      <c r="A163" s="1741" t="s">
        <v>2717</v>
      </c>
      <c r="B163" s="63">
        <f t="shared" ref="B163:M163" si="202">SUM(B161:B162)</f>
        <v>213108</v>
      </c>
      <c r="C163" s="63">
        <f t="shared" si="202"/>
        <v>217938</v>
      </c>
      <c r="D163" s="63">
        <f t="shared" si="202"/>
        <v>148174.70000000001</v>
      </c>
      <c r="E163" s="63">
        <f t="shared" si="202"/>
        <v>152463.1</v>
      </c>
      <c r="F163" s="107">
        <f t="shared" si="202"/>
        <v>162226</v>
      </c>
      <c r="G163" s="63">
        <f t="shared" si="202"/>
        <v>165346</v>
      </c>
      <c r="H163" s="63">
        <f t="shared" si="202"/>
        <v>170450</v>
      </c>
      <c r="I163" s="63">
        <f t="shared" si="202"/>
        <v>175230.3</v>
      </c>
      <c r="J163" s="63">
        <f t="shared" si="202"/>
        <v>178103.8</v>
      </c>
      <c r="K163" s="63">
        <f t="shared" si="202"/>
        <v>181427.9</v>
      </c>
      <c r="L163" s="63">
        <f t="shared" si="202"/>
        <v>185612</v>
      </c>
      <c r="M163" s="63">
        <f t="shared" si="202"/>
        <v>189869</v>
      </c>
      <c r="N163" s="107">
        <f t="shared" ref="N163:O163" si="203">SUM(N161:N162)</f>
        <v>194614</v>
      </c>
      <c r="O163" s="107">
        <f t="shared" si="203"/>
        <v>199914</v>
      </c>
      <c r="P163" s="107">
        <f t="shared" ref="P163" si="204">SUM(P161:P162)</f>
        <v>205741</v>
      </c>
      <c r="Q163" s="106">
        <f t="shared" ref="Q163" si="205">SUM(Q161:Q162)</f>
        <v>213266</v>
      </c>
    </row>
    <row r="164" spans="1:22" ht="13.5" thickBot="1" x14ac:dyDescent="0.25">
      <c r="A164" s="1719"/>
      <c r="B164" s="1479"/>
      <c r="C164" s="1479"/>
      <c r="D164" s="1479"/>
      <c r="E164" s="1479"/>
      <c r="F164" s="1479"/>
      <c r="G164" s="1479"/>
      <c r="H164" s="1479"/>
      <c r="I164" s="1479"/>
      <c r="J164" s="1479"/>
      <c r="K164" s="1479"/>
      <c r="L164" s="1479"/>
      <c r="M164" s="1479"/>
      <c r="N164" s="2094"/>
      <c r="O164" s="2094"/>
      <c r="P164" s="2094"/>
      <c r="Q164" s="1755"/>
    </row>
    <row r="165" spans="1:22" s="1250" customFormat="1" ht="14.25" thickTop="1" thickBot="1" x14ac:dyDescent="0.25">
      <c r="B165" s="783"/>
      <c r="C165" s="783"/>
      <c r="D165" s="783"/>
      <c r="E165" s="783"/>
      <c r="F165" s="783"/>
      <c r="G165" s="783"/>
      <c r="H165" s="783"/>
      <c r="I165" s="783"/>
      <c r="J165" s="783"/>
      <c r="K165" s="783"/>
      <c r="L165" s="783"/>
      <c r="M165" s="783"/>
      <c r="N165" s="783"/>
      <c r="O165" s="783"/>
      <c r="P165" s="783"/>
      <c r="Q165" s="783"/>
    </row>
    <row r="166" spans="1:22" ht="16.5" thickBot="1" x14ac:dyDescent="0.3">
      <c r="A166" s="2582" t="s">
        <v>4746</v>
      </c>
      <c r="B166" s="2583"/>
      <c r="C166" s="2583"/>
      <c r="D166" s="2583"/>
      <c r="E166" s="2583"/>
      <c r="F166" s="2583"/>
      <c r="G166" s="2583"/>
      <c r="H166" s="2583"/>
      <c r="I166" s="2583"/>
      <c r="J166" s="2583"/>
      <c r="K166" s="2583"/>
      <c r="L166" s="2583"/>
      <c r="M166" s="2583"/>
      <c r="N166" s="2583"/>
      <c r="O166" s="2583"/>
      <c r="P166" s="2583"/>
      <c r="Q166" s="2584"/>
    </row>
    <row r="167" spans="1:22" s="726" customFormat="1" ht="13.5" thickBot="1" x14ac:dyDescent="0.25">
      <c r="A167" s="2508" t="s">
        <v>228</v>
      </c>
      <c r="B167" s="565" t="str">
        <f t="shared" ref="B167:P167" si="206">B43</f>
        <v>2012/13</v>
      </c>
      <c r="C167" s="565" t="str">
        <f t="shared" si="206"/>
        <v>2013/14</v>
      </c>
      <c r="D167" s="565" t="str">
        <f t="shared" si="206"/>
        <v>2014/15</v>
      </c>
      <c r="E167" s="565" t="str">
        <f t="shared" si="206"/>
        <v>2015/16</v>
      </c>
      <c r="F167" s="565" t="str">
        <f t="shared" si="206"/>
        <v>2016/17</v>
      </c>
      <c r="G167" s="565" t="str">
        <f t="shared" si="206"/>
        <v>2017/18</v>
      </c>
      <c r="H167" s="565" t="str">
        <f t="shared" si="206"/>
        <v>2018/19</v>
      </c>
      <c r="I167" s="565" t="str">
        <f t="shared" si="206"/>
        <v>2019/20</v>
      </c>
      <c r="J167" s="565" t="str">
        <f t="shared" si="206"/>
        <v>2020/21</v>
      </c>
      <c r="K167" s="565" t="str">
        <f t="shared" si="206"/>
        <v>2021/22</v>
      </c>
      <c r="L167" s="565" t="str">
        <f t="shared" si="206"/>
        <v>2022/23</v>
      </c>
      <c r="M167" s="966" t="str">
        <f t="shared" si="206"/>
        <v>2023/24</v>
      </c>
      <c r="N167" s="966" t="str">
        <f t="shared" si="206"/>
        <v>2024/25</v>
      </c>
      <c r="O167" s="966" t="str">
        <f t="shared" si="206"/>
        <v>2025/26</v>
      </c>
      <c r="P167" s="966" t="str">
        <f t="shared" si="206"/>
        <v>2026/27</v>
      </c>
      <c r="Q167" s="2481" t="str">
        <f t="shared" ref="Q167" si="207">Q43</f>
        <v>2027/28</v>
      </c>
      <c r="S167" s="2226"/>
      <c r="T167" s="2226"/>
      <c r="U167" s="2226"/>
      <c r="V167" s="2226"/>
    </row>
    <row r="168" spans="1:22" x14ac:dyDescent="0.2">
      <c r="A168" s="2313"/>
      <c r="B168" s="839"/>
      <c r="C168" s="839"/>
      <c r="D168" s="839"/>
      <c r="E168" s="839"/>
      <c r="F168" s="839"/>
      <c r="G168" s="839"/>
      <c r="H168" s="839"/>
      <c r="I168" s="839"/>
      <c r="J168" s="839"/>
      <c r="K168" s="839"/>
      <c r="L168" s="839"/>
      <c r="M168" s="967"/>
      <c r="N168" s="967"/>
      <c r="O168" s="967"/>
      <c r="P168" s="967"/>
      <c r="Q168" s="2489"/>
      <c r="S168" s="2226"/>
      <c r="T168" s="2226"/>
      <c r="U168" s="2226"/>
      <c r="V168" s="2226"/>
    </row>
    <row r="169" spans="1:22" x14ac:dyDescent="0.2">
      <c r="A169" s="816" t="s">
        <v>4669</v>
      </c>
      <c r="B169" s="547"/>
      <c r="C169" s="547"/>
      <c r="D169" s="547"/>
      <c r="E169" s="547"/>
      <c r="F169" s="547"/>
      <c r="G169" s="547"/>
      <c r="H169" s="547"/>
      <c r="I169" s="547"/>
      <c r="J169" s="547"/>
      <c r="K169" s="547"/>
      <c r="L169" s="547"/>
      <c r="M169" s="549"/>
      <c r="N169" s="549"/>
      <c r="O169" s="549"/>
      <c r="P169" s="549"/>
      <c r="Q169" s="2256"/>
      <c r="S169" s="2226"/>
      <c r="T169" s="2226"/>
      <c r="U169" s="2226"/>
      <c r="V169" s="2226"/>
    </row>
    <row r="170" spans="1:22" s="726" customFormat="1" x14ac:dyDescent="0.2">
      <c r="A170" s="815" t="s">
        <v>4246</v>
      </c>
      <c r="B170" s="1481">
        <f t="shared" ref="B170:M170" si="208">B299</f>
        <v>-7.2907324364723511E-2</v>
      </c>
      <c r="C170" s="1481">
        <f t="shared" si="208"/>
        <v>-0.16073072123501531</v>
      </c>
      <c r="D170" s="1481">
        <f>D299</f>
        <v>-5.6980962358308483E-2</v>
      </c>
      <c r="E170" s="1481">
        <f t="shared" si="208"/>
        <v>-4.4807830247782308E-2</v>
      </c>
      <c r="F170" s="1481">
        <f t="shared" si="208"/>
        <v>2.7361561277170956E-2</v>
      </c>
      <c r="G170" s="1481">
        <f t="shared" si="208"/>
        <v>-2.5098555813392879E-2</v>
      </c>
      <c r="H170" s="1481">
        <f t="shared" si="208"/>
        <v>3.1035688613446771E-3</v>
      </c>
      <c r="I170" s="1481">
        <f t="shared" si="208"/>
        <v>6.2760328057350689E-3</v>
      </c>
      <c r="J170" s="1481">
        <f t="shared" si="208"/>
        <v>9.7572054992629952E-3</v>
      </c>
      <c r="K170" s="1481">
        <f t="shared" si="208"/>
        <v>1.4221904311305546E-2</v>
      </c>
      <c r="L170" s="1481">
        <f t="shared" si="208"/>
        <v>2.0537976567720051E-2</v>
      </c>
      <c r="M170" s="2097">
        <f t="shared" si="208"/>
        <v>2.6263147293381434E-2</v>
      </c>
      <c r="N170" s="2097">
        <f t="shared" ref="N170:O170" si="209">N299</f>
        <v>2.8896331571510746E-2</v>
      </c>
      <c r="O170" s="2097">
        <f t="shared" si="209"/>
        <v>3.9644841133368754E-2</v>
      </c>
      <c r="P170" s="2097">
        <f t="shared" ref="P170" si="210">P299</f>
        <v>4.8687202914004725E-2</v>
      </c>
      <c r="Q170" s="2530">
        <f t="shared" ref="Q170" si="211">Q299</f>
        <v>5.6211968733006129E-2</v>
      </c>
      <c r="S170" s="2226"/>
      <c r="T170" s="2226"/>
      <c r="U170" s="2226"/>
      <c r="V170" s="2226"/>
    </row>
    <row r="171" spans="1:22" s="726" customFormat="1" x14ac:dyDescent="0.2">
      <c r="A171" s="2312" t="s">
        <v>4277</v>
      </c>
      <c r="B171" s="686"/>
      <c r="C171" s="1109">
        <f>AVERAGE(B170:C170)</f>
        <v>-0.11681902279986942</v>
      </c>
      <c r="D171" s="1109">
        <f>AVERAGE(B170:D170)</f>
        <v>-9.6873002652682436E-2</v>
      </c>
      <c r="E171" s="1109">
        <f>AVERAGE(C170:E170)</f>
        <v>-8.7506504613702032E-2</v>
      </c>
      <c r="F171" s="1109">
        <f>AVERAGE(D170:F170)</f>
        <v>-2.4809077109639945E-2</v>
      </c>
      <c r="G171" s="1109">
        <f>AVERAGE(E170:G170)</f>
        <v>-1.4181608261334744E-2</v>
      </c>
      <c r="H171" s="1109">
        <f t="shared" ref="H171:O171" si="212">AVERAGE(F170:H170)</f>
        <v>1.7888581083742514E-3</v>
      </c>
      <c r="I171" s="1109">
        <f t="shared" si="212"/>
        <v>-5.2396513821043773E-3</v>
      </c>
      <c r="J171" s="1109">
        <f t="shared" si="212"/>
        <v>6.3789357221142482E-3</v>
      </c>
      <c r="K171" s="1109">
        <f t="shared" si="212"/>
        <v>1.008504753876787E-2</v>
      </c>
      <c r="L171" s="1109">
        <f t="shared" si="212"/>
        <v>1.4839028792762865E-2</v>
      </c>
      <c r="M171" s="1110">
        <f t="shared" si="212"/>
        <v>2.0341009390802342E-2</v>
      </c>
      <c r="N171" s="1110">
        <f t="shared" si="212"/>
        <v>2.5232485144204075E-2</v>
      </c>
      <c r="O171" s="1110">
        <f t="shared" si="212"/>
        <v>3.1601439999420312E-2</v>
      </c>
      <c r="P171" s="1110">
        <f>AVERAGE(N170:P170)</f>
        <v>3.9076125206294741E-2</v>
      </c>
      <c r="Q171" s="2531">
        <f>AVERAGE(O170:Q170)</f>
        <v>4.8181337593459862E-2</v>
      </c>
      <c r="S171" s="2226"/>
      <c r="T171" s="36"/>
      <c r="U171" s="2226"/>
      <c r="V171" s="2226"/>
    </row>
    <row r="172" spans="1:22" s="726" customFormat="1" x14ac:dyDescent="0.2">
      <c r="A172" s="2312"/>
      <c r="B172" s="686"/>
      <c r="C172" s="686"/>
      <c r="D172" s="686"/>
      <c r="E172" s="686"/>
      <c r="F172" s="686"/>
      <c r="G172" s="686"/>
      <c r="H172" s="686"/>
      <c r="I172" s="686"/>
      <c r="J172" s="686"/>
      <c r="K172" s="686"/>
      <c r="L172" s="686"/>
      <c r="M172" s="1205"/>
      <c r="N172" s="1205"/>
      <c r="O172" s="1205"/>
      <c r="P172" s="1205"/>
      <c r="Q172" s="2532"/>
      <c r="S172" s="2226"/>
      <c r="T172" s="2226"/>
      <c r="U172" s="2226"/>
      <c r="V172" s="2226"/>
    </row>
    <row r="173" spans="1:22" s="726" customFormat="1" x14ac:dyDescent="0.2">
      <c r="A173" s="815" t="s">
        <v>2203</v>
      </c>
      <c r="B173" s="1481">
        <f t="shared" ref="B173:M173" si="213">B317</f>
        <v>-3.5445986605842958E-2</v>
      </c>
      <c r="C173" s="1481">
        <f t="shared" si="213"/>
        <v>-0.18079800498753118</v>
      </c>
      <c r="D173" s="1481">
        <f t="shared" si="213"/>
        <v>-6.4387457270028509E-2</v>
      </c>
      <c r="E173" s="1481">
        <f t="shared" si="213"/>
        <v>-5.605981112277017E-2</v>
      </c>
      <c r="F173" s="1481">
        <f t="shared" si="213"/>
        <v>2.5343355931012682E-2</v>
      </c>
      <c r="G173" s="1481">
        <f t="shared" si="213"/>
        <v>-5.6302911042321283E-2</v>
      </c>
      <c r="H173" s="1481">
        <f t="shared" si="213"/>
        <v>-2.5083959187395383E-2</v>
      </c>
      <c r="I173" s="1481">
        <f t="shared" si="213"/>
        <v>-2.4204525169582373E-2</v>
      </c>
      <c r="J173" s="1481">
        <f t="shared" si="213"/>
        <v>-2.5308077026190069E-2</v>
      </c>
      <c r="K173" s="1481">
        <f t="shared" si="213"/>
        <v>-2.4475050398729666E-2</v>
      </c>
      <c r="L173" s="1481">
        <f t="shared" si="213"/>
        <v>-1.738945113939382E-2</v>
      </c>
      <c r="M173" s="2097">
        <f t="shared" si="213"/>
        <v>-1.3509099432861485E-2</v>
      </c>
      <c r="N173" s="2097">
        <f t="shared" ref="N173:O173" si="214">N317</f>
        <v>-1.4890380283313062E-2</v>
      </c>
      <c r="O173" s="2097">
        <f t="shared" si="214"/>
        <v>-2.8404666136790185E-3</v>
      </c>
      <c r="P173" s="2097">
        <f t="shared" ref="P173" si="215">P317</f>
        <v>3.9220209943476294E-3</v>
      </c>
      <c r="Q173" s="2530">
        <f t="shared" ref="Q173" si="216">Q317</f>
        <v>8.8411707705904376E-3</v>
      </c>
      <c r="S173" s="2226"/>
      <c r="T173" s="2226"/>
      <c r="U173" s="2226"/>
      <c r="V173" s="2226"/>
    </row>
    <row r="174" spans="1:22" s="726" customFormat="1" x14ac:dyDescent="0.2">
      <c r="A174" s="2312" t="s">
        <v>4277</v>
      </c>
      <c r="B174" s="686"/>
      <c r="C174" s="1109">
        <f>AVERAGE(B173:C173)</f>
        <v>-0.10812199579668708</v>
      </c>
      <c r="D174" s="1109">
        <f>AVERAGE(B173:D173)</f>
        <v>-9.3543816287800882E-2</v>
      </c>
      <c r="E174" s="1109">
        <f>AVERAGE(C173:E173)</f>
        <v>-0.10041509112677661</v>
      </c>
      <c r="F174" s="1109">
        <f>AVERAGE(D173:F173)</f>
        <v>-3.1701304153928668E-2</v>
      </c>
      <c r="G174" s="1109">
        <f>AVERAGE(E173:G173)</f>
        <v>-2.9006455411359589E-2</v>
      </c>
      <c r="H174" s="1109">
        <f t="shared" ref="H174:O174" si="217">AVERAGE(F173:H173)</f>
        <v>-1.8681171432901326E-2</v>
      </c>
      <c r="I174" s="1109">
        <f t="shared" si="217"/>
        <v>-3.519713179976635E-2</v>
      </c>
      <c r="J174" s="1109">
        <f t="shared" si="217"/>
        <v>-2.4865520461055945E-2</v>
      </c>
      <c r="K174" s="1109">
        <f t="shared" si="217"/>
        <v>-2.4662550864834033E-2</v>
      </c>
      <c r="L174" s="1109">
        <f t="shared" si="217"/>
        <v>-2.239085952143785E-2</v>
      </c>
      <c r="M174" s="1110">
        <f t="shared" si="217"/>
        <v>-1.8457866990328326E-2</v>
      </c>
      <c r="N174" s="1110">
        <f t="shared" si="217"/>
        <v>-1.5262976951856121E-2</v>
      </c>
      <c r="O174" s="1110">
        <f t="shared" si="217"/>
        <v>-1.0413315443284521E-2</v>
      </c>
      <c r="P174" s="1110">
        <f>AVERAGE(N173:P173)</f>
        <v>-4.6029419675481494E-3</v>
      </c>
      <c r="Q174" s="2531">
        <f>AVERAGE(O173:Q173)</f>
        <v>3.3075750504196829E-3</v>
      </c>
      <c r="S174" s="2226"/>
      <c r="T174" s="2226"/>
      <c r="U174" s="2226"/>
      <c r="V174" s="2226"/>
    </row>
    <row r="175" spans="1:22" s="726" customFormat="1" x14ac:dyDescent="0.2">
      <c r="A175" s="2312"/>
      <c r="B175" s="686"/>
      <c r="C175" s="686"/>
      <c r="D175" s="686"/>
      <c r="E175" s="686"/>
      <c r="F175" s="686"/>
      <c r="G175" s="686"/>
      <c r="H175" s="686"/>
      <c r="I175" s="686"/>
      <c r="J175" s="686"/>
      <c r="K175" s="686"/>
      <c r="L175" s="686"/>
      <c r="M175" s="1205"/>
      <c r="N175" s="1205"/>
      <c r="O175" s="1205"/>
      <c r="P175" s="1205"/>
      <c r="Q175" s="2532"/>
      <c r="S175" s="2226"/>
      <c r="T175" s="2226"/>
      <c r="U175" s="2226"/>
      <c r="V175" s="2226"/>
    </row>
    <row r="176" spans="1:22" s="726" customFormat="1" x14ac:dyDescent="0.2">
      <c r="A176" s="815" t="s">
        <v>1732</v>
      </c>
      <c r="B176" s="1481">
        <f t="shared" ref="B176:M176" si="218">B331</f>
        <v>-0.13846153846153839</v>
      </c>
      <c r="C176" s="1481">
        <f t="shared" si="218"/>
        <v>-4.9910656650232477E-2</v>
      </c>
      <c r="D176" s="1481">
        <f t="shared" si="218"/>
        <v>8.9135723137651231E-3</v>
      </c>
      <c r="E176" s="1481">
        <f t="shared" si="218"/>
        <v>2.7787947245760884E-2</v>
      </c>
      <c r="F176" s="1481">
        <f t="shared" si="218"/>
        <v>0.1039098132121388</v>
      </c>
      <c r="G176" s="1481">
        <f t="shared" si="218"/>
        <v>4.6950349792841135E-2</v>
      </c>
      <c r="H176" s="1481">
        <f t="shared" si="218"/>
        <v>5.2018742228480665E-2</v>
      </c>
      <c r="I176" s="1481">
        <f t="shared" si="218"/>
        <v>4.7745315072047829E-2</v>
      </c>
      <c r="J176" s="1481">
        <f t="shared" si="218"/>
        <v>4.6603851400653561E-2</v>
      </c>
      <c r="K176" s="1481">
        <f t="shared" si="218"/>
        <v>4.8833023062602836E-2</v>
      </c>
      <c r="L176" s="1481">
        <f t="shared" si="218"/>
        <v>4.051132554443209E-2</v>
      </c>
      <c r="M176" s="2097">
        <f t="shared" si="218"/>
        <v>4.1651349165502539E-2</v>
      </c>
      <c r="N176" s="2097">
        <f t="shared" ref="N176:O176" si="219">N331</f>
        <v>3.9459432317856119E-2</v>
      </c>
      <c r="O176" s="2097">
        <f t="shared" si="219"/>
        <v>3.8059743238329724E-2</v>
      </c>
      <c r="P176" s="2097">
        <f t="shared" ref="P176" si="220">P331</f>
        <v>4.382548380760138E-2</v>
      </c>
      <c r="Q176" s="2530">
        <f t="shared" ref="Q176" si="221">Q331</f>
        <v>5.2567710280680323E-2</v>
      </c>
    </row>
    <row r="177" spans="1:17" s="726" customFormat="1" x14ac:dyDescent="0.2">
      <c r="A177" s="2312" t="s">
        <v>4277</v>
      </c>
      <c r="B177" s="686"/>
      <c r="C177" s="1109">
        <f>AVERAGE(B176:C176)</f>
        <v>-9.4186097555885431E-2</v>
      </c>
      <c r="D177" s="1109">
        <f>AVERAGE(B176:D176)</f>
        <v>-5.9819540932668579E-2</v>
      </c>
      <c r="E177" s="1109">
        <f>AVERAGE(C176:E176)</f>
        <v>-4.4030456969021579E-3</v>
      </c>
      <c r="F177" s="1109">
        <f>AVERAGE(D176:F176)</f>
        <v>4.6870444257221609E-2</v>
      </c>
      <c r="G177" s="1109">
        <f>AVERAGE(E176:G176)</f>
        <v>5.9549370083580272E-2</v>
      </c>
      <c r="H177" s="1109">
        <f t="shared" ref="H177:O177" si="222">AVERAGE(F176:H176)</f>
        <v>6.7626301744486861E-2</v>
      </c>
      <c r="I177" s="1109">
        <f t="shared" si="222"/>
        <v>4.8904802364456545E-2</v>
      </c>
      <c r="J177" s="1109">
        <f t="shared" si="222"/>
        <v>4.8789302900394016E-2</v>
      </c>
      <c r="K177" s="1109">
        <f t="shared" si="222"/>
        <v>4.7727396511768078E-2</v>
      </c>
      <c r="L177" s="1109">
        <f t="shared" si="222"/>
        <v>4.5316066669229493E-2</v>
      </c>
      <c r="M177" s="1110">
        <f t="shared" si="222"/>
        <v>4.3665232590845822E-2</v>
      </c>
      <c r="N177" s="1110">
        <f t="shared" si="222"/>
        <v>4.0540702342596914E-2</v>
      </c>
      <c r="O177" s="1110">
        <f t="shared" si="222"/>
        <v>3.972350824056279E-2</v>
      </c>
      <c r="P177" s="1110">
        <f>AVERAGE(N176:P176)</f>
        <v>4.044821978792907E-2</v>
      </c>
      <c r="Q177" s="2531">
        <f>AVERAGE(O176:Q176)</f>
        <v>4.4817645775537145E-2</v>
      </c>
    </row>
    <row r="178" spans="1:17" s="726" customFormat="1" x14ac:dyDescent="0.2">
      <c r="A178" s="815"/>
      <c r="B178" s="686"/>
      <c r="C178" s="686"/>
      <c r="D178" s="686"/>
      <c r="E178" s="686"/>
      <c r="F178" s="686"/>
      <c r="G178" s="686"/>
      <c r="H178" s="686"/>
      <c r="I178" s="686"/>
      <c r="J178" s="686"/>
      <c r="K178" s="686"/>
      <c r="L178" s="686"/>
      <c r="M178" s="1205"/>
      <c r="N178" s="1205"/>
      <c r="O178" s="1205"/>
      <c r="P178" s="1205"/>
      <c r="Q178" s="2532"/>
    </row>
    <row r="179" spans="1:17" s="726" customFormat="1" x14ac:dyDescent="0.2">
      <c r="A179" s="815" t="s">
        <v>3289</v>
      </c>
      <c r="B179" s="1481">
        <f t="shared" ref="B179:M179" si="223">B345</f>
        <v>-4.1582002902757619E-2</v>
      </c>
      <c r="C179" s="1481">
        <f t="shared" si="223"/>
        <v>-0.17924012052782867</v>
      </c>
      <c r="D179" s="1481">
        <f t="shared" si="223"/>
        <v>-7.7832910600064073E-2</v>
      </c>
      <c r="E179" s="1481">
        <f t="shared" si="223"/>
        <v>-5.8939024166467881E-2</v>
      </c>
      <c r="F179" s="1481">
        <f t="shared" si="223"/>
        <v>-1.3752620545073375E-2</v>
      </c>
      <c r="G179" s="1481">
        <f t="shared" si="223"/>
        <v>2.3113994642778728E-2</v>
      </c>
      <c r="H179" s="1481">
        <f t="shared" si="223"/>
        <v>5.4461119859455169E-2</v>
      </c>
      <c r="I179" s="1481">
        <f t="shared" si="223"/>
        <v>7.0500112461227019E-2</v>
      </c>
      <c r="J179" s="1481">
        <f t="shared" si="223"/>
        <v>8.791253641340116E-2</v>
      </c>
      <c r="K179" s="1481">
        <f t="shared" si="223"/>
        <v>0.10454297204706817</v>
      </c>
      <c r="L179" s="1481">
        <f t="shared" si="223"/>
        <v>0.1168458121612261</v>
      </c>
      <c r="M179" s="2097">
        <f t="shared" si="223"/>
        <v>0.13223609534619751</v>
      </c>
      <c r="N179" s="2097">
        <f>N345</f>
        <v>0.14744610908019412</v>
      </c>
      <c r="O179" s="2097">
        <f t="shared" ref="O179" si="224">O345</f>
        <v>0.16389102054920546</v>
      </c>
      <c r="P179" s="2097">
        <f t="shared" ref="P179" si="225">P345</f>
        <v>0.17958100814198155</v>
      </c>
      <c r="Q179" s="2530">
        <f t="shared" ref="Q179" si="226">Q345</f>
        <v>0.1944544274521908</v>
      </c>
    </row>
    <row r="180" spans="1:17" s="726" customFormat="1" x14ac:dyDescent="0.2">
      <c r="A180" s="2312" t="s">
        <v>4277</v>
      </c>
      <c r="B180" s="686"/>
      <c r="C180" s="1109">
        <f>AVERAGE(B179:C179)</f>
        <v>-0.11041106171529315</v>
      </c>
      <c r="D180" s="1109">
        <f>AVERAGE(B179:D179)</f>
        <v>-9.955167801021679E-2</v>
      </c>
      <c r="E180" s="1109">
        <f>AVERAGE(C179:E179)</f>
        <v>-0.10533735176478688</v>
      </c>
      <c r="F180" s="1109">
        <f>AVERAGE(D179:F179)</f>
        <v>-5.0174851770535107E-2</v>
      </c>
      <c r="G180" s="1109">
        <f>AVERAGE(E179:G179)</f>
        <v>-1.6525883356254174E-2</v>
      </c>
      <c r="H180" s="1109">
        <f t="shared" ref="H180:O180" si="227">AVERAGE(F179:H179)</f>
        <v>2.1274164652386841E-2</v>
      </c>
      <c r="I180" s="1109">
        <f t="shared" si="227"/>
        <v>4.9358408987820311E-2</v>
      </c>
      <c r="J180" s="1109">
        <f t="shared" si="227"/>
        <v>7.0957922911361118E-2</v>
      </c>
      <c r="K180" s="1109">
        <f t="shared" si="227"/>
        <v>8.7651873640565439E-2</v>
      </c>
      <c r="L180" s="1109">
        <f t="shared" si="227"/>
        <v>0.1031004402072318</v>
      </c>
      <c r="M180" s="1110">
        <f t="shared" si="227"/>
        <v>0.11787495985149726</v>
      </c>
      <c r="N180" s="1110">
        <f t="shared" si="227"/>
        <v>0.13217600552920591</v>
      </c>
      <c r="O180" s="1110">
        <f t="shared" si="227"/>
        <v>0.14785774165853235</v>
      </c>
      <c r="P180" s="1110">
        <f>AVERAGE(N179:P179)</f>
        <v>0.16363937925712704</v>
      </c>
      <c r="Q180" s="2531">
        <f>AVERAGE(O179:Q179)</f>
        <v>0.17930881871445925</v>
      </c>
    </row>
    <row r="181" spans="1:17" s="726" customFormat="1" x14ac:dyDescent="0.2">
      <c r="A181" s="815"/>
      <c r="B181" s="1482"/>
      <c r="C181" s="1482"/>
      <c r="D181" s="1482"/>
      <c r="E181" s="1482"/>
      <c r="F181" s="1482"/>
      <c r="G181" s="1482"/>
      <c r="H181" s="1482"/>
      <c r="I181" s="1482"/>
      <c r="J181" s="1482"/>
      <c r="K181" s="1482"/>
      <c r="L181" s="1482"/>
      <c r="M181" s="2098"/>
      <c r="N181" s="2098"/>
      <c r="O181" s="2098"/>
      <c r="P181" s="2098"/>
      <c r="Q181" s="2524"/>
    </row>
    <row r="182" spans="1:17" x14ac:dyDescent="0.2">
      <c r="A182" s="2490"/>
      <c r="B182" s="1483"/>
      <c r="C182" s="1483"/>
      <c r="D182" s="1483"/>
      <c r="E182" s="1483"/>
      <c r="F182" s="1483"/>
      <c r="G182" s="1483"/>
      <c r="H182" s="1483"/>
      <c r="I182" s="1483"/>
      <c r="J182" s="1483"/>
      <c r="K182" s="1483"/>
      <c r="L182" s="1483"/>
      <c r="M182" s="968"/>
      <c r="N182" s="968"/>
      <c r="O182" s="968"/>
      <c r="P182" s="968"/>
      <c r="Q182" s="2491"/>
    </row>
    <row r="183" spans="1:17" x14ac:dyDescent="0.2">
      <c r="A183" s="816" t="s">
        <v>4670</v>
      </c>
      <c r="B183" s="547"/>
      <c r="C183" s="547"/>
      <c r="D183" s="547"/>
      <c r="E183" s="547"/>
      <c r="F183" s="547"/>
      <c r="G183" s="547"/>
      <c r="H183" s="547"/>
      <c r="I183" s="547"/>
      <c r="J183" s="547"/>
      <c r="K183" s="547"/>
      <c r="L183" s="547"/>
      <c r="M183" s="549"/>
      <c r="N183" s="549"/>
      <c r="O183" s="549"/>
      <c r="P183" s="549"/>
      <c r="Q183" s="2256"/>
    </row>
    <row r="184" spans="1:17" s="726" customFormat="1" x14ac:dyDescent="0.2">
      <c r="A184" s="815" t="s">
        <v>4246</v>
      </c>
      <c r="B184" s="1484">
        <f t="shared" ref="B184:M184" si="228">B360</f>
        <v>0.53399372799776379</v>
      </c>
      <c r="C184" s="1484">
        <f t="shared" si="228"/>
        <v>0.77194155929335107</v>
      </c>
      <c r="D184" s="1484">
        <f t="shared" si="228"/>
        <v>0.73692816620481394</v>
      </c>
      <c r="E184" s="1484">
        <f t="shared" si="228"/>
        <v>0.73506430904821307</v>
      </c>
      <c r="F184" s="1484">
        <f t="shared" si="228"/>
        <v>0.75535975324890603</v>
      </c>
      <c r="G184" s="1484">
        <f t="shared" si="228"/>
        <v>0.73315787130255816</v>
      </c>
      <c r="H184" s="1484">
        <f t="shared" si="228"/>
        <v>0.76898861669633423</v>
      </c>
      <c r="I184" s="1484">
        <f t="shared" si="228"/>
        <v>0.79841124394836904</v>
      </c>
      <c r="J184" s="1484">
        <f t="shared" si="228"/>
        <v>0.75239525232674132</v>
      </c>
      <c r="K184" s="1484">
        <f t="shared" si="228"/>
        <v>0.75505000324997906</v>
      </c>
      <c r="L184" s="1484">
        <f t="shared" si="228"/>
        <v>0.81372611718775367</v>
      </c>
      <c r="M184" s="2099">
        <f t="shared" si="228"/>
        <v>0.81593783533905961</v>
      </c>
      <c r="N184" s="2099">
        <f t="shared" ref="N184:O184" si="229">N360</f>
        <v>0.81536467362404552</v>
      </c>
      <c r="O184" s="2099">
        <f t="shared" si="229"/>
        <v>0.81741117366324212</v>
      </c>
      <c r="P184" s="2099">
        <f t="shared" ref="P184" si="230">P360</f>
        <v>0.8173715750091145</v>
      </c>
      <c r="Q184" s="2533">
        <f t="shared" ref="Q184" si="231">Q360</f>
        <v>0.81960017584462719</v>
      </c>
    </row>
    <row r="185" spans="1:17" s="726" customFormat="1" x14ac:dyDescent="0.2">
      <c r="A185" s="2312" t="s">
        <v>4277</v>
      </c>
      <c r="B185" s="2100"/>
      <c r="C185" s="946">
        <f>AVERAGE(B184:C184)</f>
        <v>0.65296764364555737</v>
      </c>
      <c r="D185" s="946">
        <f>AVERAGE(B184:D184)</f>
        <v>0.68095448449864282</v>
      </c>
      <c r="E185" s="946">
        <f>AVERAGE(C184:E184)</f>
        <v>0.7479780115154594</v>
      </c>
      <c r="F185" s="946">
        <f>AVERAGE(D184:F184)</f>
        <v>0.74245074283397761</v>
      </c>
      <c r="G185" s="946">
        <f>AVERAGE(E184:G184)</f>
        <v>0.74119397786655894</v>
      </c>
      <c r="H185" s="946">
        <f t="shared" ref="H185:O185" si="232">AVERAGE(F184:H184)</f>
        <v>0.75250208041593281</v>
      </c>
      <c r="I185" s="946">
        <f t="shared" si="232"/>
        <v>0.76685257731575385</v>
      </c>
      <c r="J185" s="946">
        <f t="shared" si="232"/>
        <v>0.77326503765714827</v>
      </c>
      <c r="K185" s="946">
        <f t="shared" si="232"/>
        <v>0.76861883317502988</v>
      </c>
      <c r="L185" s="946">
        <f t="shared" si="232"/>
        <v>0.77372379092149135</v>
      </c>
      <c r="M185" s="969">
        <f t="shared" si="232"/>
        <v>0.79490465192559745</v>
      </c>
      <c r="N185" s="969">
        <f t="shared" si="232"/>
        <v>0.81500954205028631</v>
      </c>
      <c r="O185" s="969">
        <f t="shared" si="232"/>
        <v>0.81623789420878234</v>
      </c>
      <c r="P185" s="969">
        <f>AVERAGE(N184:P184)</f>
        <v>0.81671580743213401</v>
      </c>
      <c r="Q185" s="2519">
        <f>AVERAGE(O184:Q184)</f>
        <v>0.8181276415056612</v>
      </c>
    </row>
    <row r="186" spans="1:17" s="726" customFormat="1" x14ac:dyDescent="0.2">
      <c r="A186" s="815"/>
      <c r="B186" s="1484"/>
      <c r="C186" s="1484"/>
      <c r="D186" s="1484"/>
      <c r="E186" s="1484"/>
      <c r="F186" s="1484"/>
      <c r="G186" s="1484"/>
      <c r="H186" s="1484"/>
      <c r="I186" s="1484"/>
      <c r="J186" s="1484"/>
      <c r="K186" s="1484"/>
      <c r="L186" s="1484"/>
      <c r="M186" s="2099"/>
      <c r="N186" s="2099"/>
      <c r="O186" s="2099"/>
      <c r="P186" s="2099"/>
      <c r="Q186" s="2533"/>
    </row>
    <row r="187" spans="1:17" s="726" customFormat="1" x14ac:dyDescent="0.2">
      <c r="A187" s="815" t="s">
        <v>2203</v>
      </c>
      <c r="B187" s="1484">
        <f t="shared" ref="B187:M187" si="233">B373</f>
        <v>0.42926818253663601</v>
      </c>
      <c r="C187" s="1484">
        <f t="shared" si="233"/>
        <v>0.71515857879494238</v>
      </c>
      <c r="D187" s="1484">
        <f t="shared" si="233"/>
        <v>0.66617490814477098</v>
      </c>
      <c r="E187" s="1484">
        <f t="shared" si="233"/>
        <v>0.66318371038055313</v>
      </c>
      <c r="F187" s="1484">
        <f t="shared" si="233"/>
        <v>0.66455580865603636</v>
      </c>
      <c r="G187" s="1484">
        <f t="shared" si="233"/>
        <v>0.65134293579381697</v>
      </c>
      <c r="H187" s="1484">
        <f t="shared" si="233"/>
        <v>0.69748862401788669</v>
      </c>
      <c r="I187" s="1484">
        <f t="shared" si="233"/>
        <v>0.74043720216202391</v>
      </c>
      <c r="J187" s="1484">
        <f t="shared" si="233"/>
        <v>0.6748709408825978</v>
      </c>
      <c r="K187" s="1484">
        <f t="shared" si="233"/>
        <v>0.6788440987098916</v>
      </c>
      <c r="L187" s="1484">
        <f t="shared" si="233"/>
        <v>0.76092450133174572</v>
      </c>
      <c r="M187" s="2099">
        <f t="shared" si="233"/>
        <v>0.76482229366095666</v>
      </c>
      <c r="N187" s="2099">
        <f t="shared" ref="N187:O187" si="234">N373</f>
        <v>0.76305522098541556</v>
      </c>
      <c r="O187" s="2099">
        <f t="shared" si="234"/>
        <v>0.76660093721137113</v>
      </c>
      <c r="P187" s="2099">
        <f t="shared" ref="P187" si="235">P373</f>
        <v>0.76533308079366158</v>
      </c>
      <c r="Q187" s="2533">
        <f t="shared" ref="Q187" si="236">Q373</f>
        <v>0.76859653952289186</v>
      </c>
    </row>
    <row r="188" spans="1:17" s="726" customFormat="1" x14ac:dyDescent="0.2">
      <c r="A188" s="2312" t="s">
        <v>4277</v>
      </c>
      <c r="B188" s="2100"/>
      <c r="C188" s="946">
        <f>AVERAGE(B187:C187)</f>
        <v>0.5722133806657892</v>
      </c>
      <c r="D188" s="946">
        <f>AVERAGE(B187:D187)</f>
        <v>0.60353388982544975</v>
      </c>
      <c r="E188" s="946">
        <f>AVERAGE(C187:E187)</f>
        <v>0.68150573244008894</v>
      </c>
      <c r="F188" s="946">
        <f>AVERAGE(D187:F187)</f>
        <v>0.66463814239378682</v>
      </c>
      <c r="G188" s="946">
        <f>AVERAGE(E187:G187)</f>
        <v>0.65969415161013545</v>
      </c>
      <c r="H188" s="946">
        <f t="shared" ref="H188:O188" si="237">AVERAGE(F187:H187)</f>
        <v>0.67112912282258008</v>
      </c>
      <c r="I188" s="946">
        <f t="shared" si="237"/>
        <v>0.69642292065790923</v>
      </c>
      <c r="J188" s="946">
        <f t="shared" si="237"/>
        <v>0.70426558902083614</v>
      </c>
      <c r="K188" s="946">
        <f t="shared" si="237"/>
        <v>0.69805074725150451</v>
      </c>
      <c r="L188" s="946">
        <f t="shared" si="237"/>
        <v>0.70487984697474504</v>
      </c>
      <c r="M188" s="969">
        <f t="shared" si="237"/>
        <v>0.73486363123419796</v>
      </c>
      <c r="N188" s="969">
        <f t="shared" si="237"/>
        <v>0.76293400532603928</v>
      </c>
      <c r="O188" s="969">
        <f t="shared" si="237"/>
        <v>0.76482615061924786</v>
      </c>
      <c r="P188" s="969">
        <f>AVERAGE(N187:P187)</f>
        <v>0.76499641299681598</v>
      </c>
      <c r="Q188" s="2519">
        <f>AVERAGE(O187:Q187)</f>
        <v>0.76684351917597482</v>
      </c>
    </row>
    <row r="189" spans="1:17" s="726" customFormat="1" x14ac:dyDescent="0.2">
      <c r="A189" s="2312"/>
      <c r="B189" s="942"/>
      <c r="C189" s="942"/>
      <c r="D189" s="942"/>
      <c r="E189" s="942"/>
      <c r="F189" s="942"/>
      <c r="G189" s="942"/>
      <c r="H189" s="942"/>
      <c r="I189" s="942"/>
      <c r="J189" s="942"/>
      <c r="K189" s="942"/>
      <c r="L189" s="942"/>
      <c r="M189" s="970"/>
      <c r="N189" s="970"/>
      <c r="O189" s="970"/>
      <c r="P189" s="970"/>
      <c r="Q189" s="2520"/>
    </row>
    <row r="190" spans="1:17" s="726" customFormat="1" x14ac:dyDescent="0.2">
      <c r="A190" s="815" t="s">
        <v>1732</v>
      </c>
      <c r="B190" s="1484">
        <f t="shared" ref="B190:M190" si="238">B386</f>
        <v>0.89070576073677288</v>
      </c>
      <c r="C190" s="1484">
        <f t="shared" si="238"/>
        <v>0.91307926934941608</v>
      </c>
      <c r="D190" s="1484">
        <f t="shared" si="238"/>
        <v>0.90458063483775342</v>
      </c>
      <c r="E190" s="1484">
        <f t="shared" si="238"/>
        <v>0.900701525409903</v>
      </c>
      <c r="F190" s="1484">
        <f t="shared" si="238"/>
        <v>0.9511604251915925</v>
      </c>
      <c r="G190" s="1484">
        <f t="shared" si="238"/>
        <v>0.92679274140870205</v>
      </c>
      <c r="H190" s="1484">
        <f t="shared" si="238"/>
        <v>0.92701468668155163</v>
      </c>
      <c r="I190" s="1484">
        <f t="shared" si="238"/>
        <v>0.92658967009070792</v>
      </c>
      <c r="J190" s="1484">
        <f t="shared" si="238"/>
        <v>0.92666785639927418</v>
      </c>
      <c r="K190" s="1484">
        <f t="shared" si="238"/>
        <v>0.92734173196530878</v>
      </c>
      <c r="L190" s="1484">
        <f t="shared" si="238"/>
        <v>0.92739115384343673</v>
      </c>
      <c r="M190" s="2099">
        <f t="shared" si="238"/>
        <v>0.92768774567271217</v>
      </c>
      <c r="N190" s="2099">
        <f t="shared" ref="N190:O190" si="239">N386</f>
        <v>0.92803262251949747</v>
      </c>
      <c r="O190" s="2099">
        <f t="shared" si="239"/>
        <v>0.92846363803375065</v>
      </c>
      <c r="P190" s="2099">
        <f t="shared" ref="P190" si="240">P386</f>
        <v>0.92933327397268983</v>
      </c>
      <c r="Q190" s="2533">
        <f t="shared" ref="Q190" si="241">Q386</f>
        <v>0.93023771810343236</v>
      </c>
    </row>
    <row r="191" spans="1:17" s="726" customFormat="1" x14ac:dyDescent="0.2">
      <c r="A191" s="2312" t="s">
        <v>4277</v>
      </c>
      <c r="B191" s="2100"/>
      <c r="C191" s="946">
        <f>AVERAGE(B190:C190)</f>
        <v>0.90189251504309453</v>
      </c>
      <c r="D191" s="946">
        <f>AVERAGE(B190:D190)</f>
        <v>0.90278855497464738</v>
      </c>
      <c r="E191" s="946">
        <f>AVERAGE(C190:E190)</f>
        <v>0.9061204765323575</v>
      </c>
      <c r="F191" s="946">
        <f>AVERAGE(D190:F190)</f>
        <v>0.91881419514641627</v>
      </c>
      <c r="G191" s="946">
        <f>AVERAGE(E190:G190)</f>
        <v>0.92621823067006581</v>
      </c>
      <c r="H191" s="946">
        <f t="shared" ref="H191:O191" si="242">AVERAGE(F190:H190)</f>
        <v>0.93498928442728213</v>
      </c>
      <c r="I191" s="946">
        <f t="shared" si="242"/>
        <v>0.92679903272698727</v>
      </c>
      <c r="J191" s="946">
        <f t="shared" si="242"/>
        <v>0.92675740439051124</v>
      </c>
      <c r="K191" s="946">
        <f t="shared" si="242"/>
        <v>0.92686641948509685</v>
      </c>
      <c r="L191" s="946">
        <f t="shared" si="242"/>
        <v>0.92713358073600649</v>
      </c>
      <c r="M191" s="969">
        <f t="shared" si="242"/>
        <v>0.92747354382715252</v>
      </c>
      <c r="N191" s="969">
        <f t="shared" si="242"/>
        <v>0.92770384067854883</v>
      </c>
      <c r="O191" s="969">
        <f t="shared" si="242"/>
        <v>0.92806133540865343</v>
      </c>
      <c r="P191" s="969">
        <f>AVERAGE(N190:P190)</f>
        <v>0.92860984484197928</v>
      </c>
      <c r="Q191" s="2519">
        <f>AVERAGE(O190:Q190)</f>
        <v>0.92934487670329091</v>
      </c>
    </row>
    <row r="192" spans="1:17" s="726" customFormat="1" x14ac:dyDescent="0.2">
      <c r="A192" s="2312"/>
      <c r="B192" s="942"/>
      <c r="C192" s="942"/>
      <c r="D192" s="942"/>
      <c r="E192" s="942"/>
      <c r="F192" s="942"/>
      <c r="G192" s="942"/>
      <c r="H192" s="942"/>
      <c r="I192" s="942"/>
      <c r="J192" s="942"/>
      <c r="K192" s="942"/>
      <c r="L192" s="942"/>
      <c r="M192" s="970"/>
      <c r="N192" s="970"/>
      <c r="O192" s="970"/>
      <c r="P192" s="970"/>
      <c r="Q192" s="2520"/>
    </row>
    <row r="193" spans="1:17" s="726" customFormat="1" x14ac:dyDescent="0.2">
      <c r="A193" s="815" t="s">
        <v>3289</v>
      </c>
      <c r="B193" s="1484">
        <f t="shared" ref="B193:M193" si="243">B399</f>
        <v>0.89306774996723892</v>
      </c>
      <c r="C193" s="1484">
        <f t="shared" si="243"/>
        <v>0.86839465797808002</v>
      </c>
      <c r="D193" s="1484">
        <f t="shared" si="243"/>
        <v>0.86929889341141853</v>
      </c>
      <c r="E193" s="1484">
        <f t="shared" si="243"/>
        <v>0.86036744848703939</v>
      </c>
      <c r="F193" s="1484">
        <f t="shared" si="243"/>
        <v>0.95187430143581819</v>
      </c>
      <c r="G193" s="1484">
        <f t="shared" si="243"/>
        <v>0.88759029458993621</v>
      </c>
      <c r="H193" s="1484">
        <f t="shared" si="243"/>
        <v>0.8887060640803619</v>
      </c>
      <c r="I193" s="1484">
        <f t="shared" si="243"/>
        <v>0.88932743329645814</v>
      </c>
      <c r="J193" s="1484">
        <f t="shared" si="243"/>
        <v>0.89010742652172314</v>
      </c>
      <c r="K193" s="1484">
        <f t="shared" si="243"/>
        <v>0.89112383838834042</v>
      </c>
      <c r="L193" s="1484">
        <f t="shared" si="243"/>
        <v>0.89191811939181365</v>
      </c>
      <c r="M193" s="2099">
        <f t="shared" si="243"/>
        <v>0.89265928272284711</v>
      </c>
      <c r="N193" s="2099">
        <f t="shared" ref="N193:O193" si="244">N399</f>
        <v>0.8933332781120964</v>
      </c>
      <c r="O193" s="2099">
        <f t="shared" si="244"/>
        <v>0.89391968851227444</v>
      </c>
      <c r="P193" s="2099">
        <f t="shared" ref="P193" si="245">P399</f>
        <v>0.89492790593628091</v>
      </c>
      <c r="Q193" s="2533">
        <f t="shared" ref="Q193" si="246">Q399</f>
        <v>0.89597663458752108</v>
      </c>
    </row>
    <row r="194" spans="1:17" s="726" customFormat="1" x14ac:dyDescent="0.2">
      <c r="A194" s="2312" t="s">
        <v>4277</v>
      </c>
      <c r="B194" s="2101"/>
      <c r="C194" s="945">
        <f>AVERAGE(B193:C193)</f>
        <v>0.88073120397265947</v>
      </c>
      <c r="D194" s="945">
        <f>AVERAGE(B193:D193)</f>
        <v>0.87692043378557916</v>
      </c>
      <c r="E194" s="945">
        <f>AVERAGE(C193:E193)</f>
        <v>0.86602033329217942</v>
      </c>
      <c r="F194" s="945">
        <f>AVERAGE(D193:F193)</f>
        <v>0.89384688111142541</v>
      </c>
      <c r="G194" s="945">
        <f>AVERAGE(E193:G193)</f>
        <v>0.89994401483759789</v>
      </c>
      <c r="H194" s="945">
        <f t="shared" ref="H194:O194" si="247">AVERAGE(F193:H193)</f>
        <v>0.90939022003537218</v>
      </c>
      <c r="I194" s="945">
        <f t="shared" si="247"/>
        <v>0.88854126398891875</v>
      </c>
      <c r="J194" s="945">
        <f t="shared" si="247"/>
        <v>0.88938030796618106</v>
      </c>
      <c r="K194" s="945">
        <f t="shared" si="247"/>
        <v>0.89018623273550723</v>
      </c>
      <c r="L194" s="945">
        <f t="shared" si="247"/>
        <v>0.89104979476729251</v>
      </c>
      <c r="M194" s="971">
        <f t="shared" si="247"/>
        <v>0.89190041350100036</v>
      </c>
      <c r="N194" s="971">
        <f t="shared" si="247"/>
        <v>0.89263689340891916</v>
      </c>
      <c r="O194" s="971">
        <f t="shared" si="247"/>
        <v>0.89330408311573939</v>
      </c>
      <c r="P194" s="971">
        <f>AVERAGE(N193:P193)</f>
        <v>0.89406029085355065</v>
      </c>
      <c r="Q194" s="2534">
        <f>AVERAGE(O193:Q193)</f>
        <v>0.89494140967869207</v>
      </c>
    </row>
    <row r="195" spans="1:17" s="285" customFormat="1" x14ac:dyDescent="0.2">
      <c r="A195" s="1893"/>
      <c r="B195" s="1485"/>
      <c r="C195" s="1485"/>
      <c r="D195" s="1485"/>
      <c r="E195" s="1485"/>
      <c r="F195" s="1485"/>
      <c r="G195" s="1485"/>
      <c r="H195" s="1485"/>
      <c r="I195" s="1485"/>
      <c r="J195" s="1485"/>
      <c r="K195" s="1485"/>
      <c r="L195" s="1485"/>
      <c r="M195" s="2102"/>
      <c r="N195" s="2102"/>
      <c r="O195" s="2102"/>
      <c r="P195" s="2102"/>
      <c r="Q195" s="2535"/>
    </row>
    <row r="196" spans="1:17" x14ac:dyDescent="0.2">
      <c r="A196" s="2490"/>
      <c r="B196" s="1483"/>
      <c r="C196" s="1483"/>
      <c r="D196" s="1483"/>
      <c r="E196" s="1483"/>
      <c r="F196" s="1483"/>
      <c r="G196" s="1483"/>
      <c r="H196" s="1483"/>
      <c r="I196" s="1483"/>
      <c r="J196" s="1483"/>
      <c r="K196" s="1483"/>
      <c r="L196" s="1483"/>
      <c r="M196" s="968"/>
      <c r="N196" s="968"/>
      <c r="O196" s="968"/>
      <c r="P196" s="968"/>
      <c r="Q196" s="2491"/>
    </row>
    <row r="197" spans="1:17" x14ac:dyDescent="0.2">
      <c r="A197" s="2313" t="s">
        <v>4671</v>
      </c>
      <c r="B197" s="547"/>
      <c r="C197" s="547"/>
      <c r="D197" s="547"/>
      <c r="E197" s="547"/>
      <c r="F197" s="547"/>
      <c r="G197" s="547"/>
      <c r="H197" s="547"/>
      <c r="I197" s="547"/>
      <c r="J197" s="547"/>
      <c r="K197" s="547"/>
      <c r="L197" s="547"/>
      <c r="M197" s="978"/>
      <c r="N197" s="978"/>
      <c r="O197" s="978"/>
      <c r="P197" s="978"/>
      <c r="Q197" s="2488"/>
    </row>
    <row r="198" spans="1:17" s="726" customFormat="1" x14ac:dyDescent="0.2">
      <c r="A198" s="2312" t="s">
        <v>4246</v>
      </c>
      <c r="B198" s="1486">
        <f t="shared" ref="B198:N198" si="248">B683</f>
        <v>1.1746035430169606</v>
      </c>
      <c r="C198" s="1486">
        <f t="shared" si="248"/>
        <v>0.76027544863255236</v>
      </c>
      <c r="D198" s="1486">
        <f t="shared" si="248"/>
        <v>0.86068536726431455</v>
      </c>
      <c r="E198" s="1486">
        <f t="shared" si="248"/>
        <v>0.85314903752293936</v>
      </c>
      <c r="F198" s="1486">
        <f t="shared" si="248"/>
        <v>1.2678859931966762</v>
      </c>
      <c r="G198" s="1486">
        <f t="shared" si="248"/>
        <v>1.9655232456904057</v>
      </c>
      <c r="H198" s="1486">
        <f t="shared" si="248"/>
        <v>1.1235001612273645</v>
      </c>
      <c r="I198" s="1486">
        <f t="shared" si="248"/>
        <v>0.78625583525542697</v>
      </c>
      <c r="J198" s="1486">
        <f t="shared" si="248"/>
        <v>1.549825278850627</v>
      </c>
      <c r="K198" s="1486">
        <f t="shared" si="248"/>
        <v>1.5330402549675723</v>
      </c>
      <c r="L198" s="1486">
        <f t="shared" si="248"/>
        <v>0.77890818729562949</v>
      </c>
      <c r="M198" s="964">
        <f t="shared" si="248"/>
        <v>0.75729313191853709</v>
      </c>
      <c r="N198" s="964">
        <f t="shared" si="248"/>
        <v>1.1132317746456357</v>
      </c>
      <c r="O198" s="964">
        <f t="shared" ref="O198" si="249">O683</f>
        <v>0.70677781805001816</v>
      </c>
      <c r="P198" s="964">
        <f t="shared" ref="P198" si="250">P683</f>
        <v>0.73520090657652126</v>
      </c>
      <c r="Q198" s="2240">
        <f t="shared" ref="Q198" si="251">Q683</f>
        <v>0.73423215613907911</v>
      </c>
    </row>
    <row r="199" spans="1:17" s="726" customFormat="1" x14ac:dyDescent="0.2">
      <c r="A199" s="2312" t="s">
        <v>4277</v>
      </c>
      <c r="B199" s="1117"/>
      <c r="C199" s="1109">
        <f>AVERAGE(B198:C198)</f>
        <v>0.96743949582475652</v>
      </c>
      <c r="D199" s="1109">
        <f>AVERAGE(B198:D198)</f>
        <v>0.93185478630460927</v>
      </c>
      <c r="E199" s="1109">
        <f>AVERAGE(C198:E198)</f>
        <v>0.82470328447326879</v>
      </c>
      <c r="F199" s="1109">
        <f>AVERAGE(D198:F198)</f>
        <v>0.99390679932797665</v>
      </c>
      <c r="G199" s="1109">
        <f>AVERAGE(E198:G198)</f>
        <v>1.3621860921366737</v>
      </c>
      <c r="H199" s="1109">
        <f t="shared" ref="H199:O199" si="252">AVERAGE(F198:H198)</f>
        <v>1.4523031333714822</v>
      </c>
      <c r="I199" s="1109">
        <f t="shared" si="252"/>
        <v>1.2917597473910656</v>
      </c>
      <c r="J199" s="1109">
        <f t="shared" si="252"/>
        <v>1.1531937584444727</v>
      </c>
      <c r="K199" s="1109">
        <f t="shared" si="252"/>
        <v>1.2897071230245423</v>
      </c>
      <c r="L199" s="1109">
        <f t="shared" si="252"/>
        <v>1.2872579070379431</v>
      </c>
      <c r="M199" s="1110">
        <f t="shared" si="252"/>
        <v>1.0230805247272463</v>
      </c>
      <c r="N199" s="1110">
        <f t="shared" si="252"/>
        <v>0.88314436461993406</v>
      </c>
      <c r="O199" s="1110">
        <f t="shared" si="252"/>
        <v>0.85910090820473028</v>
      </c>
      <c r="P199" s="1110">
        <f>AVERAGE(N198:P198)</f>
        <v>0.85173683309072512</v>
      </c>
      <c r="Q199" s="2531">
        <f>AVERAGE(O198:Q198)</f>
        <v>0.72540362692187277</v>
      </c>
    </row>
    <row r="200" spans="1:17" x14ac:dyDescent="0.2">
      <c r="A200" s="2313"/>
      <c r="B200" s="1487"/>
      <c r="C200" s="1487"/>
      <c r="D200" s="1487"/>
      <c r="E200" s="1487"/>
      <c r="F200" s="1487"/>
      <c r="G200" s="1487"/>
      <c r="H200" s="1487"/>
      <c r="I200" s="1487"/>
      <c r="J200" s="1487"/>
      <c r="K200" s="1487"/>
      <c r="L200" s="1487"/>
      <c r="M200" s="979"/>
      <c r="N200" s="979"/>
      <c r="O200" s="979"/>
      <c r="P200" s="979"/>
      <c r="Q200" s="2536"/>
    </row>
    <row r="201" spans="1:17" s="726" customFormat="1" x14ac:dyDescent="0.2">
      <c r="A201" s="2312" t="s">
        <v>2203</v>
      </c>
      <c r="B201" s="1486">
        <f t="shared" ref="B201:N201" si="253">B689</f>
        <v>0.87114308553157471</v>
      </c>
      <c r="C201" s="1486">
        <f t="shared" si="253"/>
        <v>0.75199497329563303</v>
      </c>
      <c r="D201" s="1486">
        <f t="shared" si="253"/>
        <v>0.77162759460852459</v>
      </c>
      <c r="E201" s="1486">
        <f t="shared" si="253"/>
        <v>0.95146895765649109</v>
      </c>
      <c r="F201" s="1486">
        <f t="shared" si="253"/>
        <v>1.6467967493090219</v>
      </c>
      <c r="G201" s="1486">
        <f t="shared" si="253"/>
        <v>2.0951631605101873</v>
      </c>
      <c r="H201" s="1486">
        <f t="shared" si="253"/>
        <v>0.71918056416739817</v>
      </c>
      <c r="I201" s="1486">
        <f t="shared" si="253"/>
        <v>0.50302536288679189</v>
      </c>
      <c r="J201" s="1486">
        <f t="shared" si="253"/>
        <v>1.8969650403380716</v>
      </c>
      <c r="K201" s="1486">
        <f t="shared" si="253"/>
        <v>1.4724624145099576</v>
      </c>
      <c r="L201" s="1486">
        <f t="shared" si="253"/>
        <v>0.69474492546019739</v>
      </c>
      <c r="M201" s="964">
        <f t="shared" si="253"/>
        <v>0.70199567134036445</v>
      </c>
      <c r="N201" s="964">
        <f t="shared" si="253"/>
        <v>0.91872866742831194</v>
      </c>
      <c r="O201" s="964">
        <f t="shared" ref="O201" si="254">O689</f>
        <v>0.8319768493398445</v>
      </c>
      <c r="P201" s="964">
        <f t="shared" ref="P201" si="255">P689</f>
        <v>0.87131751227495913</v>
      </c>
      <c r="Q201" s="2240">
        <f t="shared" ref="Q201" si="256">Q689</f>
        <v>0.87090520123011095</v>
      </c>
    </row>
    <row r="202" spans="1:17" s="726" customFormat="1" x14ac:dyDescent="0.2">
      <c r="A202" s="2312" t="s">
        <v>4277</v>
      </c>
      <c r="B202" s="1117"/>
      <c r="C202" s="1109">
        <f>AVERAGE(B201:C201)</f>
        <v>0.81156902941360387</v>
      </c>
      <c r="D202" s="1109">
        <f>AVERAGE(B201:D201)</f>
        <v>0.79825521781191078</v>
      </c>
      <c r="E202" s="1109">
        <f>AVERAGE(C201:E201)</f>
        <v>0.8250305085202162</v>
      </c>
      <c r="F202" s="1109">
        <f>AVERAGE(D201:F201)</f>
        <v>1.1232977671913458</v>
      </c>
      <c r="G202" s="1109">
        <f>AVERAGE(E201:G201)</f>
        <v>1.5644762891585666</v>
      </c>
      <c r="H202" s="1109">
        <f>AVERAGE(F201:H201)</f>
        <v>1.4870468246622022</v>
      </c>
      <c r="I202" s="1109">
        <f t="shared" ref="I202:O202" si="257">AVERAGE(G201:I201)</f>
        <v>1.1057896958547924</v>
      </c>
      <c r="J202" s="1109">
        <f t="shared" si="257"/>
        <v>1.0397236557974205</v>
      </c>
      <c r="K202" s="1109">
        <f t="shared" si="257"/>
        <v>1.290817605911607</v>
      </c>
      <c r="L202" s="1109">
        <f t="shared" si="257"/>
        <v>1.354724126769409</v>
      </c>
      <c r="M202" s="1110">
        <f t="shared" si="257"/>
        <v>0.95640100377017312</v>
      </c>
      <c r="N202" s="1110">
        <f t="shared" si="257"/>
        <v>0.77182308807629119</v>
      </c>
      <c r="O202" s="1110">
        <f t="shared" si="257"/>
        <v>0.8175670627028403</v>
      </c>
      <c r="P202" s="1110">
        <f>AVERAGE(N201:P201)</f>
        <v>0.87400767634770515</v>
      </c>
      <c r="Q202" s="2531">
        <f>AVERAGE(O201:Q201)</f>
        <v>0.85806652094830482</v>
      </c>
    </row>
    <row r="203" spans="1:17" s="726" customFormat="1" x14ac:dyDescent="0.2">
      <c r="A203" s="2312"/>
      <c r="B203" s="1486"/>
      <c r="C203" s="1486"/>
      <c r="D203" s="1486"/>
      <c r="E203" s="1486"/>
      <c r="F203" s="1486"/>
      <c r="G203" s="1486"/>
      <c r="H203" s="1486"/>
      <c r="I203" s="1486"/>
      <c r="J203" s="1486"/>
      <c r="K203" s="1486"/>
      <c r="L203" s="1486"/>
      <c r="M203" s="964"/>
      <c r="N203" s="964"/>
      <c r="O203" s="964"/>
      <c r="P203" s="964"/>
      <c r="Q203" s="2240"/>
    </row>
    <row r="204" spans="1:17" s="726" customFormat="1" x14ac:dyDescent="0.2">
      <c r="A204" s="2312" t="s">
        <v>1732</v>
      </c>
      <c r="B204" s="1486">
        <f t="shared" ref="B204:N204" si="258">B695</f>
        <v>6.1603823685608072E-2</v>
      </c>
      <c r="C204" s="1486">
        <f t="shared" si="258"/>
        <v>0.88542227003765461</v>
      </c>
      <c r="D204" s="1486">
        <f t="shared" si="258"/>
        <v>0.58603930407832638</v>
      </c>
      <c r="E204" s="1486">
        <f t="shared" si="258"/>
        <v>0.66121382912914972</v>
      </c>
      <c r="F204" s="1486">
        <f t="shared" si="258"/>
        <v>0.38359398052522869</v>
      </c>
      <c r="G204" s="1486">
        <f t="shared" si="258"/>
        <v>0.9543413173652695</v>
      </c>
      <c r="H204" s="1486">
        <f t="shared" si="258"/>
        <v>2.9480786154297451</v>
      </c>
      <c r="I204" s="1486">
        <f t="shared" si="258"/>
        <v>2.2381089236959335</v>
      </c>
      <c r="J204" s="1486">
        <f t="shared" si="258"/>
        <v>1.1298043080388569</v>
      </c>
      <c r="K204" s="1486">
        <f t="shared" si="258"/>
        <v>3.1084902407062556</v>
      </c>
      <c r="L204" s="1486">
        <f t="shared" si="258"/>
        <v>0.78794431679956756</v>
      </c>
      <c r="M204" s="964">
        <f t="shared" si="258"/>
        <v>2.7610408528106998</v>
      </c>
      <c r="N204" s="964">
        <f t="shared" si="258"/>
        <v>2.6586220319190343</v>
      </c>
      <c r="O204" s="964">
        <f t="shared" ref="O204" si="259">O695</f>
        <v>0.90452580727180265</v>
      </c>
      <c r="P204" s="964">
        <f t="shared" ref="P204" si="260">P695</f>
        <v>0.90807174887892383</v>
      </c>
      <c r="Q204" s="2240">
        <f t="shared" ref="Q204" si="261">Q695</f>
        <v>0.91175393628707435</v>
      </c>
    </row>
    <row r="205" spans="1:17" s="726" customFormat="1" x14ac:dyDescent="0.2">
      <c r="A205" s="2312" t="s">
        <v>4277</v>
      </c>
      <c r="B205" s="1117"/>
      <c r="C205" s="1109">
        <f>AVERAGE(B204:C204)</f>
        <v>0.47351304686163131</v>
      </c>
      <c r="D205" s="1109">
        <f>AVERAGE(B204:D204)</f>
        <v>0.51102179926719637</v>
      </c>
      <c r="E205" s="1109">
        <f>AVERAGE(C204:E204)</f>
        <v>0.71089180108171035</v>
      </c>
      <c r="F205" s="1109">
        <f>AVERAGE(D204:F204)</f>
        <v>0.54361570457756825</v>
      </c>
      <c r="G205" s="1109">
        <f>AVERAGE(E204:G204)</f>
        <v>0.66638304233988266</v>
      </c>
      <c r="H205" s="1109">
        <f t="shared" ref="H205:O205" si="262">AVERAGE(F204:H204)</f>
        <v>1.4286713044400809</v>
      </c>
      <c r="I205" s="1109">
        <f t="shared" si="262"/>
        <v>2.0468429521636495</v>
      </c>
      <c r="J205" s="1109">
        <f t="shared" si="262"/>
        <v>2.1053306157215119</v>
      </c>
      <c r="K205" s="1109">
        <f t="shared" si="262"/>
        <v>2.1588011574803487</v>
      </c>
      <c r="L205" s="1109">
        <f t="shared" si="262"/>
        <v>1.67541295518156</v>
      </c>
      <c r="M205" s="1110">
        <f t="shared" si="262"/>
        <v>2.2191584701055076</v>
      </c>
      <c r="N205" s="1110">
        <f t="shared" si="262"/>
        <v>2.0692024005097669</v>
      </c>
      <c r="O205" s="1110">
        <f t="shared" si="262"/>
        <v>2.1080628973338453</v>
      </c>
      <c r="P205" s="1110">
        <f>AVERAGE(N204:P204)</f>
        <v>1.4904065293565871</v>
      </c>
      <c r="Q205" s="2531">
        <f>AVERAGE(O204:Q204)</f>
        <v>0.90811716414593369</v>
      </c>
    </row>
    <row r="206" spans="1:17" s="726" customFormat="1" x14ac:dyDescent="0.2">
      <c r="A206" s="2312"/>
      <c r="B206" s="1486"/>
      <c r="C206" s="1486"/>
      <c r="D206" s="1486"/>
      <c r="E206" s="1486"/>
      <c r="F206" s="1486"/>
      <c r="G206" s="1486"/>
      <c r="H206" s="1486"/>
      <c r="I206" s="1486"/>
      <c r="J206" s="1486"/>
      <c r="K206" s="1486"/>
      <c r="L206" s="1486"/>
      <c r="M206" s="964"/>
      <c r="N206" s="964"/>
      <c r="O206" s="964"/>
      <c r="P206" s="964"/>
      <c r="Q206" s="2240"/>
    </row>
    <row r="207" spans="1:17" s="726" customFormat="1" x14ac:dyDescent="0.2">
      <c r="A207" s="2312" t="s">
        <v>3289</v>
      </c>
      <c r="B207" s="1486">
        <f t="shared" ref="B207:N207" si="263">B701</f>
        <v>3.2485040478704681</v>
      </c>
      <c r="C207" s="1486">
        <f t="shared" si="263"/>
        <v>0.72228528187665531</v>
      </c>
      <c r="D207" s="1486">
        <f t="shared" si="263"/>
        <v>1.5051417887192271</v>
      </c>
      <c r="E207" s="1486">
        <f t="shared" si="263"/>
        <v>0.59271608841875301</v>
      </c>
      <c r="F207" s="1486">
        <f t="shared" si="263"/>
        <v>0.59966480129534416</v>
      </c>
      <c r="G207" s="1486">
        <f t="shared" si="263"/>
        <v>1.9575838926174496</v>
      </c>
      <c r="H207" s="1486">
        <f t="shared" si="263"/>
        <v>1.8176795580110496</v>
      </c>
      <c r="I207" s="1486">
        <f t="shared" si="263"/>
        <v>1.2160907684373388</v>
      </c>
      <c r="J207" s="1486">
        <f t="shared" si="263"/>
        <v>0.59565327268132429</v>
      </c>
      <c r="K207" s="1486">
        <f t="shared" si="263"/>
        <v>1.2021302947733465</v>
      </c>
      <c r="L207" s="1486">
        <f t="shared" si="263"/>
        <v>1.0701626608400097</v>
      </c>
      <c r="M207" s="964">
        <f t="shared" si="263"/>
        <v>0.23584007615421229</v>
      </c>
      <c r="N207" s="964">
        <f t="shared" si="263"/>
        <v>1.2213669232563564</v>
      </c>
      <c r="O207" s="964">
        <f t="shared" ref="O207" si="264">O701</f>
        <v>0.23936899862825789</v>
      </c>
      <c r="P207" s="964">
        <f t="shared" ref="P207" si="265">P701</f>
        <v>0.24114746750336172</v>
      </c>
      <c r="Q207" s="2240">
        <f t="shared" ref="Q207" si="266">Q701</f>
        <v>0.23637961335676624</v>
      </c>
    </row>
    <row r="208" spans="1:17" s="726" customFormat="1" x14ac:dyDescent="0.2">
      <c r="A208" s="2312" t="s">
        <v>4277</v>
      </c>
      <c r="B208" s="1117"/>
      <c r="C208" s="1109">
        <f>AVERAGE(B207:C207)</f>
        <v>1.9853946648735616</v>
      </c>
      <c r="D208" s="1109">
        <f>AVERAGE(B207:D207)</f>
        <v>1.8253103728221169</v>
      </c>
      <c r="E208" s="1109">
        <f>AVERAGE(C207:E207)</f>
        <v>0.94004771967154521</v>
      </c>
      <c r="F208" s="1109">
        <f>AVERAGE(D207:F207)</f>
        <v>0.89917422614444142</v>
      </c>
      <c r="G208" s="1109">
        <f>AVERAGE(E207:G207)</f>
        <v>1.0499882607771822</v>
      </c>
      <c r="H208" s="1109">
        <f t="shared" ref="H208:O208" si="267">AVERAGE(F207:H207)</f>
        <v>1.4583094173079478</v>
      </c>
      <c r="I208" s="1109">
        <f t="shared" si="267"/>
        <v>1.6637847396886125</v>
      </c>
      <c r="J208" s="1109">
        <f t="shared" si="267"/>
        <v>1.2098078663765708</v>
      </c>
      <c r="K208" s="1109">
        <f t="shared" si="267"/>
        <v>1.0046247786306699</v>
      </c>
      <c r="L208" s="1109">
        <f t="shared" si="267"/>
        <v>0.95598207609822683</v>
      </c>
      <c r="M208" s="1110">
        <f t="shared" si="267"/>
        <v>0.8360443439225228</v>
      </c>
      <c r="N208" s="1110">
        <f t="shared" si="267"/>
        <v>0.84245655341685943</v>
      </c>
      <c r="O208" s="1110">
        <f t="shared" si="267"/>
        <v>0.56552533267960892</v>
      </c>
      <c r="P208" s="1110">
        <f>AVERAGE(N207:P207)</f>
        <v>0.56729446312932541</v>
      </c>
      <c r="Q208" s="2531">
        <f>AVERAGE(O207:Q207)</f>
        <v>0.23896535982946196</v>
      </c>
    </row>
    <row r="209" spans="1:17" s="726" customFormat="1" x14ac:dyDescent="0.2">
      <c r="A209" s="2312"/>
      <c r="B209" s="1486"/>
      <c r="C209" s="1486"/>
      <c r="D209" s="1486"/>
      <c r="E209" s="1486"/>
      <c r="F209" s="1486"/>
      <c r="G209" s="1486"/>
      <c r="H209" s="1486"/>
      <c r="I209" s="1486"/>
      <c r="J209" s="1486"/>
      <c r="K209" s="1486"/>
      <c r="L209" s="1486"/>
      <c r="M209" s="964"/>
      <c r="N209" s="964"/>
      <c r="O209" s="964"/>
      <c r="P209" s="964"/>
      <c r="Q209" s="2240"/>
    </row>
    <row r="210" spans="1:17" x14ac:dyDescent="0.2">
      <c r="A210" s="2490"/>
      <c r="B210" s="1483"/>
      <c r="C210" s="1483"/>
      <c r="D210" s="1483"/>
      <c r="E210" s="1483"/>
      <c r="F210" s="1483"/>
      <c r="G210" s="1483"/>
      <c r="H210" s="1483"/>
      <c r="I210" s="1483"/>
      <c r="J210" s="1483"/>
      <c r="K210" s="1483"/>
      <c r="L210" s="1483"/>
      <c r="M210" s="968"/>
      <c r="N210" s="968"/>
      <c r="O210" s="968"/>
      <c r="P210" s="968"/>
      <c r="Q210" s="2491"/>
    </row>
    <row r="211" spans="1:17" x14ac:dyDescent="0.2">
      <c r="A211" s="2313" t="s">
        <v>4672</v>
      </c>
      <c r="B211" s="547"/>
      <c r="C211" s="547"/>
      <c r="D211" s="547"/>
      <c r="E211" s="547"/>
      <c r="F211" s="547"/>
      <c r="G211" s="547"/>
      <c r="H211" s="547"/>
      <c r="I211" s="547"/>
      <c r="J211" s="547"/>
      <c r="K211" s="547"/>
      <c r="L211" s="547"/>
      <c r="M211" s="978"/>
      <c r="N211" s="978"/>
      <c r="O211" s="978"/>
      <c r="P211" s="978"/>
      <c r="Q211" s="2488"/>
    </row>
    <row r="212" spans="1:17" s="726" customFormat="1" x14ac:dyDescent="0.2">
      <c r="A212" s="2312" t="s">
        <v>2203</v>
      </c>
      <c r="B212" s="1486">
        <f t="shared" ref="B212:N212" si="268">B707</f>
        <v>2.3285618703883449E-2</v>
      </c>
      <c r="C212" s="1486">
        <f t="shared" si="268"/>
        <v>2.6816138439679153E-3</v>
      </c>
      <c r="D212" s="1486">
        <f t="shared" si="268"/>
        <v>4.6253410215790986E-3</v>
      </c>
      <c r="E212" s="1486">
        <f t="shared" si="268"/>
        <v>4.58017167566524E-3</v>
      </c>
      <c r="F212" s="1486">
        <f t="shared" si="268"/>
        <v>4.5352680317861695E-3</v>
      </c>
      <c r="G212" s="1486">
        <f t="shared" si="268"/>
        <v>4.4905855881232516E-3</v>
      </c>
      <c r="H212" s="1486">
        <f t="shared" si="268"/>
        <v>4.4466893458151068E-3</v>
      </c>
      <c r="I212" s="1486">
        <f t="shared" si="268"/>
        <v>4.4033070107339835E-3</v>
      </c>
      <c r="J212" s="1486">
        <f t="shared" si="268"/>
        <v>4.3603479179463358E-3</v>
      </c>
      <c r="K212" s="1486">
        <f t="shared" si="268"/>
        <v>4.3178079382590545E-3</v>
      </c>
      <c r="L212" s="1486">
        <f t="shared" si="268"/>
        <v>4.2756829827638445E-3</v>
      </c>
      <c r="M212" s="964">
        <f t="shared" si="268"/>
        <v>4.2339690024441965E-3</v>
      </c>
      <c r="N212" s="964">
        <f t="shared" si="268"/>
        <v>4.1926619877862047E-3</v>
      </c>
      <c r="O212" s="964">
        <f t="shared" ref="O212" si="269">O707</f>
        <v>4.1517579683931684E-3</v>
      </c>
      <c r="P212" s="964">
        <f t="shared" ref="P212" si="270">P707</f>
        <v>4.111253012603967E-3</v>
      </c>
      <c r="Q212" s="2240">
        <f t="shared" ref="Q212" si="271">Q707</f>
        <v>4.071143227115148E-3</v>
      </c>
    </row>
    <row r="213" spans="1:17" s="726" customFormat="1" x14ac:dyDescent="0.2">
      <c r="A213" s="2312"/>
      <c r="B213" s="1486"/>
      <c r="C213" s="1486"/>
      <c r="D213" s="1486"/>
      <c r="E213" s="1486"/>
      <c r="F213" s="1486"/>
      <c r="G213" s="1486"/>
      <c r="H213" s="1486"/>
      <c r="I213" s="1486"/>
      <c r="J213" s="1486"/>
      <c r="K213" s="1486"/>
      <c r="L213" s="1486"/>
      <c r="M213" s="964"/>
      <c r="N213" s="964"/>
      <c r="O213" s="964"/>
      <c r="P213" s="964"/>
      <c r="Q213" s="2240"/>
    </row>
    <row r="214" spans="1:17" x14ac:dyDescent="0.2">
      <c r="A214" s="2490"/>
      <c r="B214" s="1483"/>
      <c r="C214" s="1483"/>
      <c r="D214" s="1483"/>
      <c r="E214" s="1483"/>
      <c r="F214" s="1483"/>
      <c r="G214" s="1483"/>
      <c r="H214" s="1483"/>
      <c r="I214" s="1483"/>
      <c r="J214" s="1483"/>
      <c r="K214" s="1483"/>
      <c r="L214" s="1483"/>
      <c r="M214" s="968"/>
      <c r="N214" s="968"/>
      <c r="O214" s="968"/>
      <c r="P214" s="968"/>
      <c r="Q214" s="2491"/>
    </row>
    <row r="215" spans="1:17" x14ac:dyDescent="0.2">
      <c r="A215" s="2313" t="s">
        <v>4673</v>
      </c>
      <c r="B215" s="547"/>
      <c r="C215" s="547"/>
      <c r="D215" s="547"/>
      <c r="E215" s="547"/>
      <c r="F215" s="547"/>
      <c r="G215" s="547"/>
      <c r="H215" s="547"/>
      <c r="I215" s="547"/>
      <c r="J215" s="547"/>
      <c r="K215" s="547"/>
      <c r="L215" s="547"/>
      <c r="M215" s="978"/>
      <c r="N215" s="978"/>
      <c r="O215" s="978"/>
      <c r="P215" s="978"/>
      <c r="Q215" s="2488"/>
    </row>
    <row r="216" spans="1:17" s="726" customFormat="1" x14ac:dyDescent="0.2">
      <c r="A216" s="2312" t="s">
        <v>2203</v>
      </c>
      <c r="B216" s="1486">
        <f t="shared" ref="B216:N216" si="272">B740</f>
        <v>1.0086768271562174</v>
      </c>
      <c r="C216" s="1486">
        <f t="shared" si="272"/>
        <v>0.77068477645727251</v>
      </c>
      <c r="D216" s="1486">
        <f t="shared" si="272"/>
        <v>0.98656171174547491</v>
      </c>
      <c r="E216" s="1486">
        <f t="shared" si="272"/>
        <v>1.0988267861850778</v>
      </c>
      <c r="F216" s="1486">
        <f t="shared" si="272"/>
        <v>0.97146187765905201</v>
      </c>
      <c r="G216" s="1486">
        <f t="shared" si="272"/>
        <v>1.0495320613404047</v>
      </c>
      <c r="H216" s="1486">
        <f t="shared" si="272"/>
        <v>1.0480279831769301</v>
      </c>
      <c r="I216" s="1486">
        <f t="shared" si="272"/>
        <v>1.0760163944481129</v>
      </c>
      <c r="J216" s="1486">
        <f t="shared" si="272"/>
        <v>1.0508027555010799</v>
      </c>
      <c r="K216" s="1486">
        <f t="shared" si="272"/>
        <v>1.073438630845748</v>
      </c>
      <c r="L216" s="1486">
        <f t="shared" si="272"/>
        <v>1.0490049598385129</v>
      </c>
      <c r="M216" s="964">
        <f t="shared" si="272"/>
        <v>1.0709651186835836</v>
      </c>
      <c r="N216" s="964">
        <f t="shared" si="272"/>
        <v>1.0470334544005617</v>
      </c>
      <c r="O216" s="964">
        <f t="shared" ref="O216" si="273">O740</f>
        <v>1.0683108265219861</v>
      </c>
      <c r="P216" s="964">
        <f t="shared" ref="P216" si="274">P740</f>
        <v>1.0451964934200131</v>
      </c>
      <c r="Q216" s="2240">
        <f t="shared" ref="Q216" si="275">Q740</f>
        <v>1.0438919150550559</v>
      </c>
    </row>
    <row r="217" spans="1:17" s="726" customFormat="1" x14ac:dyDescent="0.2">
      <c r="A217" s="2312" t="s">
        <v>4277</v>
      </c>
      <c r="B217" s="1117"/>
      <c r="C217" s="1109">
        <f>AVERAGE(B216:C216)</f>
        <v>0.88968080180674503</v>
      </c>
      <c r="D217" s="1109">
        <f>AVERAGE(B216:D216)</f>
        <v>0.92197443845298832</v>
      </c>
      <c r="E217" s="1109">
        <f>AVERAGE(C216:E216)</f>
        <v>0.95202442479594174</v>
      </c>
      <c r="F217" s="1109">
        <f>AVERAGE(D216:F216)</f>
        <v>1.0189501251965349</v>
      </c>
      <c r="G217" s="1109">
        <f>AVERAGE(E216:G216)</f>
        <v>1.0399402417281782</v>
      </c>
      <c r="H217" s="1109">
        <f t="shared" ref="H217" si="276">AVERAGE(F216:H216)</f>
        <v>1.0230073073921291</v>
      </c>
      <c r="I217" s="1109">
        <f t="shared" ref="I217" si="277">AVERAGE(G216:I216)</f>
        <v>1.0578588129884825</v>
      </c>
      <c r="J217" s="1109">
        <f t="shared" ref="J217" si="278">AVERAGE(H216:J216)</f>
        <v>1.0582823777087076</v>
      </c>
      <c r="K217" s="1109">
        <f t="shared" ref="K217" si="279">AVERAGE(I216:K216)</f>
        <v>1.0667525935983135</v>
      </c>
      <c r="L217" s="1109">
        <f t="shared" ref="L217" si="280">AVERAGE(J216:L216)</f>
        <v>1.0577487820617801</v>
      </c>
      <c r="M217" s="1110">
        <f t="shared" ref="M217" si="281">AVERAGE(K216:M216)</f>
        <v>1.0644695697892816</v>
      </c>
      <c r="N217" s="1110">
        <f t="shared" ref="N217:O217" si="282">AVERAGE(L216:N216)</f>
        <v>1.0556678443075527</v>
      </c>
      <c r="O217" s="1110">
        <f t="shared" si="282"/>
        <v>1.0621031332020439</v>
      </c>
      <c r="P217" s="1110">
        <f>AVERAGE(N216:P216)</f>
        <v>1.0535135914475202</v>
      </c>
      <c r="Q217" s="2531">
        <f>AVERAGE(O216:Q216)</f>
        <v>1.0524664116656852</v>
      </c>
    </row>
    <row r="218" spans="1:17" x14ac:dyDescent="0.2">
      <c r="A218" s="2313"/>
      <c r="B218" s="839"/>
      <c r="C218" s="839"/>
      <c r="D218" s="839"/>
      <c r="E218" s="839"/>
      <c r="F218" s="839"/>
      <c r="G218" s="839"/>
      <c r="H218" s="839"/>
      <c r="I218" s="839"/>
      <c r="J218" s="839"/>
      <c r="K218" s="839"/>
      <c r="L218" s="839"/>
      <c r="M218" s="967"/>
      <c r="N218" s="967"/>
      <c r="O218" s="967"/>
      <c r="P218" s="967"/>
      <c r="Q218" s="2489"/>
    </row>
    <row r="219" spans="1:17" x14ac:dyDescent="0.2">
      <c r="A219" s="2490"/>
      <c r="B219" s="1483"/>
      <c r="C219" s="1483"/>
      <c r="D219" s="1483"/>
      <c r="E219" s="1483"/>
      <c r="F219" s="1483"/>
      <c r="G219" s="1483"/>
      <c r="H219" s="1483"/>
      <c r="I219" s="1483"/>
      <c r="J219" s="1483"/>
      <c r="K219" s="1483"/>
      <c r="L219" s="1483"/>
      <c r="M219" s="968"/>
      <c r="N219" s="968"/>
      <c r="O219" s="968"/>
      <c r="P219" s="968"/>
      <c r="Q219" s="2491"/>
    </row>
    <row r="220" spans="1:17" s="285" customFormat="1" x14ac:dyDescent="0.2">
      <c r="A220" s="1901" t="s">
        <v>4686</v>
      </c>
      <c r="B220" s="1485"/>
      <c r="C220" s="1485"/>
      <c r="D220" s="1485"/>
      <c r="E220" s="1485"/>
      <c r="F220" s="1485"/>
      <c r="G220" s="1485"/>
      <c r="H220" s="1485"/>
      <c r="I220" s="1485"/>
      <c r="J220" s="1485"/>
      <c r="K220" s="1485"/>
      <c r="L220" s="1485"/>
      <c r="M220" s="2102"/>
      <c r="N220" s="2102"/>
      <c r="O220" s="2102"/>
      <c r="P220" s="2102"/>
      <c r="Q220" s="2535"/>
    </row>
    <row r="221" spans="1:17" s="726" customFormat="1" x14ac:dyDescent="0.2">
      <c r="A221" s="2312" t="s">
        <v>2203</v>
      </c>
      <c r="B221" s="1488">
        <f t="shared" ref="B221:N221" si="283">B668</f>
        <v>1.1076273224043716</v>
      </c>
      <c r="C221" s="1488">
        <f t="shared" si="283"/>
        <v>1.0752248538768596</v>
      </c>
      <c r="D221" s="1488">
        <f t="shared" si="283"/>
        <v>0.97953645097714515</v>
      </c>
      <c r="E221" s="1488">
        <f t="shared" si="283"/>
        <v>0.97220539046520849</v>
      </c>
      <c r="F221" s="1488">
        <f t="shared" si="283"/>
        <v>1.0016825645394467</v>
      </c>
      <c r="G221" s="1488">
        <f t="shared" si="283"/>
        <v>0.97095041042205232</v>
      </c>
      <c r="H221" s="1488">
        <f t="shared" si="283"/>
        <v>0.90244937768148292</v>
      </c>
      <c r="I221" s="1488">
        <f t="shared" si="283"/>
        <v>0.90947520138872584</v>
      </c>
      <c r="J221" s="1488">
        <f t="shared" si="283"/>
        <v>0.88521441004699741</v>
      </c>
      <c r="K221" s="1488">
        <f t="shared" si="283"/>
        <v>0.88616660724613172</v>
      </c>
      <c r="L221" s="1488">
        <f t="shared" si="283"/>
        <v>0.86176711762558655</v>
      </c>
      <c r="M221" s="974">
        <f t="shared" si="283"/>
        <v>0.86368331512958219</v>
      </c>
      <c r="N221" s="974">
        <f t="shared" si="283"/>
        <v>0.84740643235678614</v>
      </c>
      <c r="O221" s="974">
        <f t="shared" ref="O221" si="284">O668</f>
        <v>0.84185862657368038</v>
      </c>
      <c r="P221" s="974">
        <f t="shared" ref="P221" si="285">P668</f>
        <v>0.82144161036030927</v>
      </c>
      <c r="Q221" s="2521">
        <f t="shared" ref="Q221" si="286">Q668</f>
        <v>0.82083694488037462</v>
      </c>
    </row>
    <row r="222" spans="1:17" s="726" customFormat="1" ht="13.5" thickBot="1" x14ac:dyDescent="0.25">
      <c r="A222" s="2496"/>
      <c r="B222" s="2497"/>
      <c r="C222" s="2497"/>
      <c r="D222" s="2497"/>
      <c r="E222" s="2497"/>
      <c r="F222" s="2497"/>
      <c r="G222" s="2497"/>
      <c r="H222" s="2497"/>
      <c r="I222" s="2497"/>
      <c r="J222" s="2497"/>
      <c r="K222" s="2497"/>
      <c r="L222" s="2497"/>
      <c r="M222" s="2498"/>
      <c r="N222" s="2498"/>
      <c r="O222" s="2498"/>
      <c r="P222" s="2498"/>
      <c r="Q222" s="2499"/>
    </row>
    <row r="223" spans="1:17" ht="16.5" thickBot="1" x14ac:dyDescent="0.3">
      <c r="A223" s="2582" t="s">
        <v>4747</v>
      </c>
      <c r="B223" s="2583"/>
      <c r="C223" s="2583"/>
      <c r="D223" s="2583"/>
      <c r="E223" s="2583"/>
      <c r="F223" s="2583"/>
      <c r="G223" s="2583"/>
      <c r="H223" s="2583"/>
      <c r="I223" s="2583"/>
      <c r="J223" s="2583"/>
      <c r="K223" s="2583"/>
      <c r="L223" s="2583"/>
      <c r="M223" s="2583"/>
      <c r="N223" s="2583"/>
      <c r="O223" s="2583"/>
      <c r="P223" s="2583"/>
      <c r="Q223" s="2584"/>
    </row>
    <row r="224" spans="1:17" ht="13.5" thickBot="1" x14ac:dyDescent="0.25">
      <c r="A224" s="2500" t="str">
        <f t="shared" ref="A224:N224" si="287">A167</f>
        <v>Item</v>
      </c>
      <c r="B224" s="999" t="str">
        <f t="shared" si="287"/>
        <v>2012/13</v>
      </c>
      <c r="C224" s="999" t="str">
        <f t="shared" si="287"/>
        <v>2013/14</v>
      </c>
      <c r="D224" s="999" t="str">
        <f t="shared" si="287"/>
        <v>2014/15</v>
      </c>
      <c r="E224" s="999" t="str">
        <f t="shared" si="287"/>
        <v>2015/16</v>
      </c>
      <c r="F224" s="999" t="str">
        <f t="shared" si="287"/>
        <v>2016/17</v>
      </c>
      <c r="G224" s="999" t="str">
        <f t="shared" si="287"/>
        <v>2017/18</v>
      </c>
      <c r="H224" s="999" t="str">
        <f t="shared" si="287"/>
        <v>2018/19</v>
      </c>
      <c r="I224" s="999" t="str">
        <f t="shared" si="287"/>
        <v>2019/20</v>
      </c>
      <c r="J224" s="999" t="str">
        <f t="shared" si="287"/>
        <v>2020/21</v>
      </c>
      <c r="K224" s="999" t="str">
        <f t="shared" si="287"/>
        <v>2021/22</v>
      </c>
      <c r="L224" s="999" t="str">
        <f t="shared" si="287"/>
        <v>2022/23</v>
      </c>
      <c r="M224" s="1000" t="str">
        <f t="shared" si="287"/>
        <v>2023/24</v>
      </c>
      <c r="N224" s="1000" t="str">
        <f t="shared" si="287"/>
        <v>2024/25</v>
      </c>
      <c r="O224" s="1000" t="str">
        <f t="shared" ref="O224" si="288">O167</f>
        <v>2025/26</v>
      </c>
      <c r="P224" s="1000" t="str">
        <f t="shared" ref="P224" si="289">P167</f>
        <v>2026/27</v>
      </c>
      <c r="Q224" s="2518" t="str">
        <f t="shared" ref="Q224" si="290">Q167</f>
        <v>2027/28</v>
      </c>
    </row>
    <row r="225" spans="1:17" x14ac:dyDescent="0.2">
      <c r="A225" s="2313"/>
      <c r="B225" s="839"/>
      <c r="C225" s="839"/>
      <c r="D225" s="839"/>
      <c r="E225" s="839"/>
      <c r="F225" s="839"/>
      <c r="G225" s="839"/>
      <c r="H225" s="839"/>
      <c r="I225" s="839"/>
      <c r="J225" s="839"/>
      <c r="K225" s="839"/>
      <c r="L225" s="839"/>
      <c r="M225" s="967"/>
      <c r="N225" s="967"/>
      <c r="O225" s="967"/>
      <c r="P225" s="967"/>
      <c r="Q225" s="2489"/>
    </row>
    <row r="226" spans="1:17" x14ac:dyDescent="0.2">
      <c r="A226" s="816" t="s">
        <v>4668</v>
      </c>
      <c r="B226" s="48"/>
      <c r="C226" s="48"/>
      <c r="D226" s="48"/>
      <c r="E226" s="48"/>
      <c r="F226" s="48"/>
      <c r="G226" s="48"/>
      <c r="H226" s="48"/>
      <c r="I226" s="48"/>
      <c r="J226" s="48"/>
      <c r="K226" s="48"/>
      <c r="L226" s="48"/>
      <c r="M226" s="679"/>
      <c r="N226" s="679"/>
      <c r="O226" s="679"/>
      <c r="P226" s="679"/>
      <c r="Q226" s="2257"/>
    </row>
    <row r="227" spans="1:17" s="1250" customFormat="1" x14ac:dyDescent="0.2">
      <c r="A227" s="2312" t="s">
        <v>4246</v>
      </c>
      <c r="B227" s="829">
        <f t="shared" ref="B227:N227" si="291">B476</f>
        <v>0.11635169762972454</v>
      </c>
      <c r="C227" s="829">
        <f t="shared" si="291"/>
        <v>0.17662521741094625</v>
      </c>
      <c r="D227" s="829">
        <f t="shared" si="291"/>
        <v>0.16353546969301166</v>
      </c>
      <c r="E227" s="829">
        <f t="shared" si="291"/>
        <v>0.16311892072081655</v>
      </c>
      <c r="F227" s="829">
        <f t="shared" si="291"/>
        <v>0.13961218010820803</v>
      </c>
      <c r="G227" s="829">
        <f t="shared" si="291"/>
        <v>0.14611949420596523</v>
      </c>
      <c r="H227" s="829">
        <f t="shared" si="291"/>
        <v>0.14124031045402446</v>
      </c>
      <c r="I227" s="829">
        <f t="shared" si="291"/>
        <v>0.13581058090556031</v>
      </c>
      <c r="J227" s="829">
        <f t="shared" si="291"/>
        <v>0.11675041021980366</v>
      </c>
      <c r="K227" s="829">
        <f t="shared" si="291"/>
        <v>0.12064569800007624</v>
      </c>
      <c r="L227" s="829">
        <f t="shared" si="291"/>
        <v>0.11176862332599009</v>
      </c>
      <c r="M227" s="964">
        <f t="shared" si="291"/>
        <v>9.8943740401636546E-2</v>
      </c>
      <c r="N227" s="964">
        <f t="shared" si="291"/>
        <v>9.3316238421686112E-2</v>
      </c>
      <c r="O227" s="964">
        <f t="shared" ref="O227" si="292">O476</f>
        <v>8.3058541736628938E-2</v>
      </c>
      <c r="P227" s="964">
        <f t="shared" ref="P227" si="293">P476</f>
        <v>8.0717293437054138E-2</v>
      </c>
      <c r="Q227" s="2240">
        <f t="shared" ref="Q227" si="294">Q476</f>
        <v>7.7915176954402157E-2</v>
      </c>
    </row>
    <row r="228" spans="1:17" s="726" customFormat="1" x14ac:dyDescent="0.2">
      <c r="A228" s="2312" t="s">
        <v>4277</v>
      </c>
      <c r="B228" s="2100"/>
      <c r="C228" s="946">
        <f>AVERAGE(B227:C227)</f>
        <v>0.1464884575203354</v>
      </c>
      <c r="D228" s="946">
        <f>AVERAGE(B227:D227)</f>
        <v>0.15217079491122751</v>
      </c>
      <c r="E228" s="946">
        <f>AVERAGE(C227:E227)</f>
        <v>0.16775986927492481</v>
      </c>
      <c r="F228" s="946">
        <f>AVERAGE(D227:F227)</f>
        <v>0.15542219017401207</v>
      </c>
      <c r="G228" s="946">
        <f>AVERAGE(E227:G227)</f>
        <v>0.14961686501166327</v>
      </c>
      <c r="H228" s="946">
        <f t="shared" ref="H228" si="295">AVERAGE(F227:H227)</f>
        <v>0.14232399492273257</v>
      </c>
      <c r="I228" s="946">
        <f t="shared" ref="I228" si="296">AVERAGE(G227:I227)</f>
        <v>0.14105679518851666</v>
      </c>
      <c r="J228" s="946">
        <f t="shared" ref="J228" si="297">AVERAGE(H227:J227)</f>
        <v>0.13126710052646282</v>
      </c>
      <c r="K228" s="946">
        <f t="shared" ref="K228" si="298">AVERAGE(I227:K227)</f>
        <v>0.12440222970848007</v>
      </c>
      <c r="L228" s="946">
        <f t="shared" ref="L228" si="299">AVERAGE(J227:L227)</f>
        <v>0.11638824384862333</v>
      </c>
      <c r="M228" s="969">
        <f t="shared" ref="M228" si="300">AVERAGE(K227:M227)</f>
        <v>0.11045268724256763</v>
      </c>
      <c r="N228" s="969">
        <f t="shared" ref="N228:O228" si="301">AVERAGE(L227:N227)</f>
        <v>0.10134286738310426</v>
      </c>
      <c r="O228" s="969">
        <f t="shared" si="301"/>
        <v>9.1772840186650537E-2</v>
      </c>
      <c r="P228" s="969">
        <f>AVERAGE(N227:P227)</f>
        <v>8.5697357865123058E-2</v>
      </c>
      <c r="Q228" s="2519">
        <f>AVERAGE(O227:Q227)</f>
        <v>8.0563670709361754E-2</v>
      </c>
    </row>
    <row r="229" spans="1:17" s="726" customFormat="1" x14ac:dyDescent="0.2">
      <c r="A229" s="815"/>
      <c r="B229" s="557"/>
      <c r="C229" s="557"/>
      <c r="D229" s="557"/>
      <c r="E229" s="557"/>
      <c r="F229" s="557"/>
      <c r="G229" s="557"/>
      <c r="H229" s="557"/>
      <c r="I229" s="557"/>
      <c r="J229" s="557"/>
      <c r="K229" s="557"/>
      <c r="L229" s="557"/>
      <c r="M229" s="977"/>
      <c r="N229" s="977"/>
      <c r="O229" s="977"/>
      <c r="P229" s="977"/>
      <c r="Q229" s="2503"/>
    </row>
    <row r="230" spans="1:17" s="246" customFormat="1" x14ac:dyDescent="0.2">
      <c r="A230" s="2312" t="s">
        <v>1649</v>
      </c>
      <c r="B230" s="829">
        <f t="shared" ref="B230:N230" si="302">B488</f>
        <v>6.5301368533436863E-2</v>
      </c>
      <c r="C230" s="829">
        <f t="shared" si="302"/>
        <v>0.10861442884018024</v>
      </c>
      <c r="D230" s="829">
        <f t="shared" si="302"/>
        <v>0.10325976075379625</v>
      </c>
      <c r="E230" s="829">
        <f t="shared" si="302"/>
        <v>0.10338203244813947</v>
      </c>
      <c r="F230" s="829">
        <f t="shared" si="302"/>
        <v>8.37858723523833E-2</v>
      </c>
      <c r="G230" s="829">
        <f t="shared" si="302"/>
        <v>8.9302907206450413E-2</v>
      </c>
      <c r="H230" s="829">
        <f t="shared" si="302"/>
        <v>8.9630191549175536E-2</v>
      </c>
      <c r="I230" s="829">
        <f t="shared" si="302"/>
        <v>8.6049997024872066E-2</v>
      </c>
      <c r="J230" s="829">
        <f t="shared" si="302"/>
        <v>7.7314622218524379E-2</v>
      </c>
      <c r="K230" s="829">
        <f t="shared" si="302"/>
        <v>8.6837457406383239E-2</v>
      </c>
      <c r="L230" s="829">
        <f t="shared" si="302"/>
        <v>7.4743112382388274E-2</v>
      </c>
      <c r="M230" s="964">
        <f t="shared" si="302"/>
        <v>5.738574724004461E-2</v>
      </c>
      <c r="N230" s="964">
        <f t="shared" si="302"/>
        <v>5.0473997358239139E-2</v>
      </c>
      <c r="O230" s="964">
        <f t="shared" ref="O230" si="303">O488</f>
        <v>3.7221513042221641E-2</v>
      </c>
      <c r="P230" s="964">
        <f t="shared" ref="P230" si="304">P488</f>
        <v>3.5701136311562062E-2</v>
      </c>
      <c r="Q230" s="2240">
        <f t="shared" ref="Q230" si="305">Q488</f>
        <v>3.4368301999303297E-2</v>
      </c>
    </row>
    <row r="231" spans="1:17" s="726" customFormat="1" x14ac:dyDescent="0.2">
      <c r="A231" s="2312" t="s">
        <v>4277</v>
      </c>
      <c r="B231" s="2100"/>
      <c r="C231" s="946">
        <f>AVERAGE(B230:C230)</f>
        <v>8.695789868680856E-2</v>
      </c>
      <c r="D231" s="946">
        <f>AVERAGE(B230:D230)</f>
        <v>9.2391852709137787E-2</v>
      </c>
      <c r="E231" s="946">
        <f>AVERAGE(C230:E230)</f>
        <v>0.10508540734737198</v>
      </c>
      <c r="F231" s="946">
        <f>AVERAGE(D230:F230)</f>
        <v>9.6809221851439656E-2</v>
      </c>
      <c r="G231" s="946">
        <f>AVERAGE(E230:G230)</f>
        <v>9.2156937335657718E-2</v>
      </c>
      <c r="H231" s="946">
        <f t="shared" ref="H231" si="306">AVERAGE(F230:H230)</f>
        <v>8.7572990369336412E-2</v>
      </c>
      <c r="I231" s="946">
        <f t="shared" ref="I231" si="307">AVERAGE(G230:I230)</f>
        <v>8.8327698593499357E-2</v>
      </c>
      <c r="J231" s="946">
        <f t="shared" ref="J231" si="308">AVERAGE(H230:J230)</f>
        <v>8.4331603597523994E-2</v>
      </c>
      <c r="K231" s="946">
        <f t="shared" ref="K231" si="309">AVERAGE(I230:K230)</f>
        <v>8.3400692216593228E-2</v>
      </c>
      <c r="L231" s="946">
        <f t="shared" ref="L231" si="310">AVERAGE(J230:L230)</f>
        <v>7.9631730669098635E-2</v>
      </c>
      <c r="M231" s="969">
        <f t="shared" ref="M231" si="311">AVERAGE(K230:M230)</f>
        <v>7.2988772342938699E-2</v>
      </c>
      <c r="N231" s="969">
        <f t="shared" ref="N231:O231" si="312">AVERAGE(L230:N230)</f>
        <v>6.0867618993557339E-2</v>
      </c>
      <c r="O231" s="969">
        <f t="shared" si="312"/>
        <v>4.8360419213501794E-2</v>
      </c>
      <c r="P231" s="969">
        <f>AVERAGE(N230:P230)</f>
        <v>4.1132215570674278E-2</v>
      </c>
      <c r="Q231" s="2519">
        <f>AVERAGE(O230:Q230)</f>
        <v>3.5763650451029E-2</v>
      </c>
    </row>
    <row r="232" spans="1:17" x14ac:dyDescent="0.2">
      <c r="A232" s="815"/>
      <c r="B232" s="943"/>
      <c r="C232" s="943"/>
      <c r="D232" s="943"/>
      <c r="E232" s="943"/>
      <c r="F232" s="943"/>
      <c r="G232" s="943"/>
      <c r="H232" s="943"/>
      <c r="I232" s="943"/>
      <c r="J232" s="943"/>
      <c r="K232" s="943"/>
      <c r="L232" s="943"/>
      <c r="M232" s="977"/>
      <c r="N232" s="977"/>
      <c r="O232" s="977"/>
      <c r="P232" s="977"/>
      <c r="Q232" s="2503"/>
    </row>
    <row r="233" spans="1:17" s="1250" customFormat="1" x14ac:dyDescent="0.2">
      <c r="A233" s="2312" t="s">
        <v>1732</v>
      </c>
      <c r="B233" s="942">
        <f t="shared" ref="B233:N233" si="313">B500</f>
        <v>0</v>
      </c>
      <c r="C233" s="942">
        <f t="shared" si="313"/>
        <v>0</v>
      </c>
      <c r="D233" s="942">
        <f t="shared" si="313"/>
        <v>0</v>
      </c>
      <c r="E233" s="942">
        <f t="shared" si="313"/>
        <v>0</v>
      </c>
      <c r="F233" s="942">
        <f t="shared" si="313"/>
        <v>0</v>
      </c>
      <c r="G233" s="942">
        <f t="shared" si="313"/>
        <v>0</v>
      </c>
      <c r="H233" s="942">
        <f t="shared" si="313"/>
        <v>0</v>
      </c>
      <c r="I233" s="942">
        <f t="shared" si="313"/>
        <v>0</v>
      </c>
      <c r="J233" s="942">
        <f t="shared" si="313"/>
        <v>0</v>
      </c>
      <c r="K233" s="942">
        <f t="shared" si="313"/>
        <v>0</v>
      </c>
      <c r="L233" s="942">
        <f t="shared" si="313"/>
        <v>0</v>
      </c>
      <c r="M233" s="970">
        <f t="shared" si="313"/>
        <v>0</v>
      </c>
      <c r="N233" s="970">
        <f t="shared" si="313"/>
        <v>0</v>
      </c>
      <c r="O233" s="970">
        <f t="shared" ref="O233" si="314">O500</f>
        <v>0</v>
      </c>
      <c r="P233" s="970">
        <f t="shared" ref="P233" si="315">P500</f>
        <v>0</v>
      </c>
      <c r="Q233" s="2520">
        <f t="shared" ref="Q233" si="316">Q500</f>
        <v>0</v>
      </c>
    </row>
    <row r="234" spans="1:17" s="726" customFormat="1" x14ac:dyDescent="0.2">
      <c r="A234" s="2312" t="s">
        <v>4277</v>
      </c>
      <c r="B234" s="2100"/>
      <c r="C234" s="946">
        <f>AVERAGE(B233:C233)</f>
        <v>0</v>
      </c>
      <c r="D234" s="946">
        <f>AVERAGE(B233:D233)</f>
        <v>0</v>
      </c>
      <c r="E234" s="946">
        <f>AVERAGE(C233:E233)</f>
        <v>0</v>
      </c>
      <c r="F234" s="946">
        <f>AVERAGE(D233:F233)</f>
        <v>0</v>
      </c>
      <c r="G234" s="946">
        <f>AVERAGE(E233:G233)</f>
        <v>0</v>
      </c>
      <c r="H234" s="946">
        <f t="shared" ref="H234" si="317">AVERAGE(F233:H233)</f>
        <v>0</v>
      </c>
      <c r="I234" s="946">
        <f t="shared" ref="I234" si="318">AVERAGE(G233:I233)</f>
        <v>0</v>
      </c>
      <c r="J234" s="946">
        <f t="shared" ref="J234" si="319">AVERAGE(H233:J233)</f>
        <v>0</v>
      </c>
      <c r="K234" s="946">
        <f t="shared" ref="K234" si="320">AVERAGE(I233:K233)</f>
        <v>0</v>
      </c>
      <c r="L234" s="946">
        <f t="shared" ref="L234" si="321">AVERAGE(J233:L233)</f>
        <v>0</v>
      </c>
      <c r="M234" s="969">
        <f t="shared" ref="M234" si="322">AVERAGE(K233:M233)</f>
        <v>0</v>
      </c>
      <c r="N234" s="969">
        <f t="shared" ref="N234:O234" si="323">AVERAGE(L233:N233)</f>
        <v>0</v>
      </c>
      <c r="O234" s="969">
        <f t="shared" si="323"/>
        <v>0</v>
      </c>
      <c r="P234" s="969">
        <f>AVERAGE(N233:P233)</f>
        <v>0</v>
      </c>
      <c r="Q234" s="2519">
        <f>AVERAGE(O233:Q233)</f>
        <v>0</v>
      </c>
    </row>
    <row r="235" spans="1:17" x14ac:dyDescent="0.2">
      <c r="A235" s="815"/>
      <c r="B235" s="943"/>
      <c r="C235" s="943"/>
      <c r="D235" s="943"/>
      <c r="E235" s="943"/>
      <c r="F235" s="943"/>
      <c r="G235" s="943"/>
      <c r="H235" s="943"/>
      <c r="I235" s="943"/>
      <c r="J235" s="943"/>
      <c r="K235" s="943"/>
      <c r="L235" s="943"/>
      <c r="M235" s="977"/>
      <c r="N235" s="977"/>
      <c r="O235" s="977"/>
      <c r="P235" s="977"/>
      <c r="Q235" s="2503"/>
    </row>
    <row r="236" spans="1:17" s="1250" customFormat="1" x14ac:dyDescent="0.2">
      <c r="A236" s="2312" t="s">
        <v>3289</v>
      </c>
      <c r="B236" s="829">
        <f t="shared" ref="B236:N236" si="324">B512</f>
        <v>0.34013062409288825</v>
      </c>
      <c r="C236" s="829">
        <f t="shared" si="324"/>
        <v>0.52270287119454162</v>
      </c>
      <c r="D236" s="829">
        <f t="shared" si="324"/>
        <v>0.46846453278736633</v>
      </c>
      <c r="E236" s="829">
        <f t="shared" si="324"/>
        <v>0.45607314207382754</v>
      </c>
      <c r="F236" s="829">
        <f t="shared" si="324"/>
        <v>0.41439369779165341</v>
      </c>
      <c r="G236" s="829">
        <f t="shared" si="324"/>
        <v>0.4031912791463575</v>
      </c>
      <c r="H236" s="829">
        <f t="shared" si="324"/>
        <v>0.37558783515977334</v>
      </c>
      <c r="I236" s="829">
        <f t="shared" si="324"/>
        <v>0.3633962244412246</v>
      </c>
      <c r="J236" s="829">
        <f t="shared" si="324"/>
        <v>0.30065862978475921</v>
      </c>
      <c r="K236" s="829">
        <f t="shared" si="324"/>
        <v>0.29260215480859936</v>
      </c>
      <c r="L236" s="829">
        <f t="shared" si="324"/>
        <v>0.28546862814433038</v>
      </c>
      <c r="M236" s="964">
        <f t="shared" si="324"/>
        <v>0.27872209610291337</v>
      </c>
      <c r="N236" s="964">
        <f t="shared" si="324"/>
        <v>0.27133306936527962</v>
      </c>
      <c r="O236" s="964">
        <f t="shared" ref="O236" si="325">O512</f>
        <v>0.26447397354946128</v>
      </c>
      <c r="P236" s="964">
        <f t="shared" ref="P236" si="326">P512</f>
        <v>0.25673161955295337</v>
      </c>
      <c r="Q236" s="2240">
        <f t="shared" ref="Q236" si="327">Q512</f>
        <v>0.24917446398295232</v>
      </c>
    </row>
    <row r="237" spans="1:17" s="726" customFormat="1" x14ac:dyDescent="0.2">
      <c r="A237" s="2312" t="s">
        <v>4277</v>
      </c>
      <c r="B237" s="2100"/>
      <c r="C237" s="946">
        <f>AVERAGE(B236:C236)</f>
        <v>0.43141674764371496</v>
      </c>
      <c r="D237" s="946">
        <f>AVERAGE(B236:D236)</f>
        <v>0.44376600935826538</v>
      </c>
      <c r="E237" s="946">
        <f>AVERAGE(C236:E236)</f>
        <v>0.48241351535191185</v>
      </c>
      <c r="F237" s="946">
        <f>AVERAGE(D236:F236)</f>
        <v>0.44631045755094911</v>
      </c>
      <c r="G237" s="946">
        <f>AVERAGE(E236:G236)</f>
        <v>0.42455270633727943</v>
      </c>
      <c r="H237" s="946">
        <f t="shared" ref="H237" si="328">AVERAGE(F236:H236)</f>
        <v>0.39772427069926142</v>
      </c>
      <c r="I237" s="946">
        <f t="shared" ref="I237" si="329">AVERAGE(G236:I236)</f>
        <v>0.38072511291578515</v>
      </c>
      <c r="J237" s="946">
        <f t="shared" ref="J237" si="330">AVERAGE(H236:J236)</f>
        <v>0.3465475631285857</v>
      </c>
      <c r="K237" s="946">
        <f t="shared" ref="K237" si="331">AVERAGE(I236:K236)</f>
        <v>0.31888566967819437</v>
      </c>
      <c r="L237" s="946">
        <f t="shared" ref="L237" si="332">AVERAGE(J236:L236)</f>
        <v>0.29290980424589635</v>
      </c>
      <c r="M237" s="969">
        <f t="shared" ref="M237" si="333">AVERAGE(K236:M236)</f>
        <v>0.28559762635194769</v>
      </c>
      <c r="N237" s="969">
        <f t="shared" ref="N237:O237" si="334">AVERAGE(L236:N236)</f>
        <v>0.27850793120417444</v>
      </c>
      <c r="O237" s="969">
        <f t="shared" si="334"/>
        <v>0.27150971300588478</v>
      </c>
      <c r="P237" s="969">
        <f>AVERAGE(N236:P236)</f>
        <v>0.26417955415589806</v>
      </c>
      <c r="Q237" s="2519">
        <f>AVERAGE(O236:Q236)</f>
        <v>0.25679335236178896</v>
      </c>
    </row>
    <row r="238" spans="1:17" x14ac:dyDescent="0.2">
      <c r="A238" s="2490"/>
      <c r="B238" s="1483"/>
      <c r="C238" s="1483"/>
      <c r="D238" s="1483"/>
      <c r="E238" s="1483"/>
      <c r="F238" s="1483"/>
      <c r="G238" s="1483"/>
      <c r="H238" s="1483"/>
      <c r="I238" s="1483"/>
      <c r="J238" s="1483"/>
      <c r="K238" s="1483"/>
      <c r="L238" s="1483"/>
      <c r="M238" s="968"/>
      <c r="N238" s="968"/>
      <c r="O238" s="968"/>
      <c r="P238" s="968"/>
      <c r="Q238" s="2491"/>
    </row>
    <row r="239" spans="1:17" x14ac:dyDescent="0.2">
      <c r="A239" s="2313" t="s">
        <v>4257</v>
      </c>
      <c r="B239" s="547"/>
      <c r="C239" s="547"/>
      <c r="D239" s="547"/>
      <c r="E239" s="547"/>
      <c r="F239" s="547"/>
      <c r="G239" s="547"/>
      <c r="H239" s="547"/>
      <c r="I239" s="547"/>
      <c r="J239" s="547"/>
      <c r="K239" s="547"/>
      <c r="L239" s="547"/>
      <c r="M239" s="978"/>
      <c r="N239" s="978"/>
      <c r="O239" s="978"/>
      <c r="P239" s="978"/>
      <c r="Q239" s="2488"/>
    </row>
    <row r="240" spans="1:17" s="726" customFormat="1" x14ac:dyDescent="0.2">
      <c r="A240" s="2312" t="s">
        <v>4246</v>
      </c>
      <c r="B240" s="1486">
        <f t="shared" ref="B240:M240" si="335">B589</f>
        <v>7.0699999999999999E-2</v>
      </c>
      <c r="C240" s="1486">
        <f t="shared" si="335"/>
        <v>5.6300000000000003E-2</v>
      </c>
      <c r="D240" s="1486">
        <f t="shared" si="335"/>
        <v>5.4100000000000002E-2</v>
      </c>
      <c r="E240" s="1486">
        <f t="shared" si="335"/>
        <v>5.33E-2</v>
      </c>
      <c r="F240" s="1486">
        <f t="shared" si="335"/>
        <v>4.8300000000000003E-2</v>
      </c>
      <c r="G240" s="1486">
        <f t="shared" si="335"/>
        <v>4.82E-2</v>
      </c>
      <c r="H240" s="1486">
        <f t="shared" si="335"/>
        <v>4.7899999999999998E-2</v>
      </c>
      <c r="I240" s="1486">
        <f t="shared" si="335"/>
        <v>4.6399999999999997E-2</v>
      </c>
      <c r="J240" s="1486">
        <f t="shared" si="335"/>
        <v>4.5400000000000003E-2</v>
      </c>
      <c r="K240" s="1486">
        <f t="shared" si="335"/>
        <v>4.4200000000000003E-2</v>
      </c>
      <c r="L240" s="1486">
        <f t="shared" si="335"/>
        <v>4.2999999999999997E-2</v>
      </c>
      <c r="M240" s="964">
        <f t="shared" si="335"/>
        <v>4.19E-2</v>
      </c>
      <c r="N240" s="964">
        <f t="shared" ref="N240:O240" si="336">N589</f>
        <v>4.0800000000000003E-2</v>
      </c>
      <c r="O240" s="964">
        <f t="shared" si="336"/>
        <v>3.9800000000000002E-2</v>
      </c>
      <c r="P240" s="964">
        <f t="shared" ref="P240" si="337">P589</f>
        <v>3.8699999999999998E-2</v>
      </c>
      <c r="Q240" s="2240">
        <f t="shared" ref="Q240" si="338">Q589</f>
        <v>3.7699999999999997E-2</v>
      </c>
    </row>
    <row r="241" spans="1:17" s="726" customFormat="1" x14ac:dyDescent="0.2">
      <c r="A241" s="2312"/>
      <c r="B241" s="943"/>
      <c r="C241" s="943"/>
      <c r="D241" s="943"/>
      <c r="E241" s="943"/>
      <c r="F241" s="943"/>
      <c r="G241" s="943"/>
      <c r="H241" s="943"/>
      <c r="I241" s="943"/>
      <c r="J241" s="943"/>
      <c r="K241" s="943"/>
      <c r="L241" s="943"/>
      <c r="M241" s="938"/>
      <c r="N241" s="974"/>
      <c r="O241" s="974"/>
      <c r="P241" s="974"/>
      <c r="Q241" s="2521"/>
    </row>
    <row r="242" spans="1:17" s="726" customFormat="1" x14ac:dyDescent="0.2">
      <c r="A242" s="2312" t="s">
        <v>2203</v>
      </c>
      <c r="B242" s="1486">
        <f t="shared" ref="B242:M242" si="339">B601</f>
        <v>6.2E-2</v>
      </c>
      <c r="C242" s="1486">
        <f t="shared" si="339"/>
        <v>5.5500000000000001E-2</v>
      </c>
      <c r="D242" s="1486">
        <f t="shared" si="339"/>
        <v>5.4300000000000001E-2</v>
      </c>
      <c r="E242" s="1486">
        <f t="shared" si="339"/>
        <v>5.1499999999999997E-2</v>
      </c>
      <c r="F242" s="1486">
        <f t="shared" si="339"/>
        <v>4.8500000000000001E-2</v>
      </c>
      <c r="G242" s="1486">
        <f t="shared" si="339"/>
        <v>4.87E-2</v>
      </c>
      <c r="H242" s="1486">
        <f t="shared" si="339"/>
        <v>4.8599999999999997E-2</v>
      </c>
      <c r="I242" s="1486">
        <f t="shared" si="339"/>
        <v>4.7300000000000002E-2</v>
      </c>
      <c r="J242" s="1486">
        <f t="shared" si="339"/>
        <v>4.6100000000000002E-2</v>
      </c>
      <c r="K242" s="1486">
        <f t="shared" si="339"/>
        <v>4.48E-2</v>
      </c>
      <c r="L242" s="1486">
        <f t="shared" si="339"/>
        <v>4.36E-2</v>
      </c>
      <c r="M242" s="964">
        <f t="shared" si="339"/>
        <v>4.2500000000000003E-2</v>
      </c>
      <c r="N242" s="964">
        <f t="shared" ref="N242:O242" si="340">N601</f>
        <v>4.1300000000000003E-2</v>
      </c>
      <c r="O242" s="964">
        <f t="shared" si="340"/>
        <v>4.02E-2</v>
      </c>
      <c r="P242" s="964">
        <f t="shared" ref="P242" si="341">P601</f>
        <v>3.9199999999999999E-2</v>
      </c>
      <c r="Q242" s="2240">
        <f t="shared" ref="Q242" si="342">Q601</f>
        <v>3.8100000000000002E-2</v>
      </c>
    </row>
    <row r="243" spans="1:17" s="726" customFormat="1" x14ac:dyDescent="0.2">
      <c r="A243" s="2312"/>
      <c r="B243" s="943"/>
      <c r="C243" s="943"/>
      <c r="D243" s="943"/>
      <c r="E243" s="943"/>
      <c r="F243" s="943"/>
      <c r="G243" s="943"/>
      <c r="H243" s="943"/>
      <c r="I243" s="943"/>
      <c r="J243" s="943"/>
      <c r="K243" s="943"/>
      <c r="L243" s="943"/>
      <c r="M243" s="938"/>
      <c r="N243" s="974"/>
      <c r="O243" s="974"/>
      <c r="P243" s="974"/>
      <c r="Q243" s="2521"/>
    </row>
    <row r="244" spans="1:17" s="726" customFormat="1" x14ac:dyDescent="0.2">
      <c r="A244" s="2312" t="s">
        <v>1732</v>
      </c>
      <c r="B244" s="1486">
        <f t="shared" ref="B244:M244" si="343">B613</f>
        <v>0.1196</v>
      </c>
      <c r="C244" s="1486">
        <f t="shared" si="343"/>
        <v>0.1239</v>
      </c>
      <c r="D244" s="1486">
        <f t="shared" si="343"/>
        <v>0.1108</v>
      </c>
      <c r="E244" s="1486">
        <f t="shared" si="343"/>
        <v>0.1066</v>
      </c>
      <c r="F244" s="1486">
        <f t="shared" si="343"/>
        <v>0.104</v>
      </c>
      <c r="G244" s="1486">
        <f t="shared" si="343"/>
        <v>0.1012</v>
      </c>
      <c r="H244" s="1486">
        <f t="shared" si="343"/>
        <v>9.9099999999999994E-2</v>
      </c>
      <c r="I244" s="1486">
        <f t="shared" si="343"/>
        <v>9.7199999999999995E-2</v>
      </c>
      <c r="J244" s="1486">
        <f t="shared" si="343"/>
        <v>9.4700000000000006E-2</v>
      </c>
      <c r="K244" s="1486">
        <f t="shared" si="343"/>
        <v>9.2100000000000001E-2</v>
      </c>
      <c r="L244" s="1486">
        <f t="shared" si="343"/>
        <v>8.9499999999999996E-2</v>
      </c>
      <c r="M244" s="964">
        <f t="shared" si="343"/>
        <v>8.6999999999999994E-2</v>
      </c>
      <c r="N244" s="964">
        <f t="shared" ref="N244:O244" si="344">N613</f>
        <v>8.4500000000000006E-2</v>
      </c>
      <c r="O244" s="964">
        <f t="shared" si="344"/>
        <v>8.2199999999999995E-2</v>
      </c>
      <c r="P244" s="964">
        <f t="shared" ref="P244" si="345">P613</f>
        <v>7.9799999999999996E-2</v>
      </c>
      <c r="Q244" s="2240">
        <f t="shared" ref="Q244" si="346">Q613</f>
        <v>7.7600000000000002E-2</v>
      </c>
    </row>
    <row r="245" spans="1:17" s="726" customFormat="1" x14ac:dyDescent="0.2">
      <c r="A245" s="2312"/>
      <c r="B245" s="943"/>
      <c r="C245" s="943"/>
      <c r="D245" s="943"/>
      <c r="E245" s="943"/>
      <c r="F245" s="943"/>
      <c r="G245" s="943"/>
      <c r="H245" s="943"/>
      <c r="I245" s="943"/>
      <c r="J245" s="943"/>
      <c r="K245" s="943"/>
      <c r="L245" s="943"/>
      <c r="M245" s="938"/>
      <c r="N245" s="974"/>
      <c r="O245" s="974"/>
      <c r="P245" s="974"/>
      <c r="Q245" s="2521"/>
    </row>
    <row r="246" spans="1:17" s="726" customFormat="1" x14ac:dyDescent="0.2">
      <c r="A246" s="2312" t="s">
        <v>3289</v>
      </c>
      <c r="B246" s="1486">
        <f t="shared" ref="B246:M246" si="347">B625</f>
        <v>7.5899999999999995E-2</v>
      </c>
      <c r="C246" s="1486">
        <f t="shared" si="347"/>
        <v>4.0599999999999997E-2</v>
      </c>
      <c r="D246" s="1486">
        <f t="shared" si="347"/>
        <v>3.9199999999999999E-2</v>
      </c>
      <c r="E246" s="1486">
        <f t="shared" si="347"/>
        <v>4.36E-2</v>
      </c>
      <c r="F246" s="1486">
        <f t="shared" si="347"/>
        <v>3.49E-2</v>
      </c>
      <c r="G246" s="1486">
        <f t="shared" si="347"/>
        <v>3.49E-2</v>
      </c>
      <c r="H246" s="1486">
        <f t="shared" si="347"/>
        <v>3.49E-2</v>
      </c>
      <c r="I246" s="1486">
        <f t="shared" si="347"/>
        <v>3.32E-2</v>
      </c>
      <c r="J246" s="1486">
        <f t="shared" si="347"/>
        <v>3.27E-2</v>
      </c>
      <c r="K246" s="1486">
        <f t="shared" si="347"/>
        <v>3.2000000000000001E-2</v>
      </c>
      <c r="L246" s="1486">
        <f t="shared" si="347"/>
        <v>3.1099999999999999E-2</v>
      </c>
      <c r="M246" s="964">
        <f t="shared" si="347"/>
        <v>3.04E-2</v>
      </c>
      <c r="N246" s="964">
        <f t="shared" ref="N246:O246" si="348">N625</f>
        <v>2.9700000000000001E-2</v>
      </c>
      <c r="O246" s="964">
        <f t="shared" si="348"/>
        <v>2.8899999999999999E-2</v>
      </c>
      <c r="P246" s="964">
        <f t="shared" ref="P246" si="349">P625</f>
        <v>2.8299999999999999E-2</v>
      </c>
      <c r="Q246" s="2240">
        <f t="shared" ref="Q246" si="350">Q625</f>
        <v>2.76E-2</v>
      </c>
    </row>
    <row r="247" spans="1:17" x14ac:dyDescent="0.2">
      <c r="A247" s="2313"/>
      <c r="B247" s="839"/>
      <c r="C247" s="839"/>
      <c r="D247" s="839"/>
      <c r="E247" s="839"/>
      <c r="F247" s="839"/>
      <c r="G247" s="839"/>
      <c r="H247" s="839"/>
      <c r="I247" s="839"/>
      <c r="J247" s="839"/>
      <c r="K247" s="839"/>
      <c r="L247" s="839"/>
      <c r="M247" s="967"/>
      <c r="N247" s="967"/>
      <c r="O247" s="967"/>
      <c r="P247" s="967"/>
      <c r="Q247" s="2489"/>
    </row>
    <row r="248" spans="1:17" x14ac:dyDescent="0.2">
      <c r="A248" s="2490"/>
      <c r="B248" s="1483"/>
      <c r="C248" s="1483"/>
      <c r="D248" s="1483"/>
      <c r="E248" s="1483"/>
      <c r="F248" s="1483"/>
      <c r="G248" s="1483"/>
      <c r="H248" s="1483"/>
      <c r="I248" s="1483"/>
      <c r="J248" s="1483"/>
      <c r="K248" s="1483"/>
      <c r="L248" s="1483"/>
      <c r="M248" s="968"/>
      <c r="N248" s="968"/>
      <c r="O248" s="968"/>
      <c r="P248" s="968"/>
      <c r="Q248" s="2491"/>
    </row>
    <row r="249" spans="1:17" x14ac:dyDescent="0.2">
      <c r="A249" s="816" t="s">
        <v>4300</v>
      </c>
      <c r="B249" s="48"/>
      <c r="C249" s="48"/>
      <c r="D249" s="48"/>
      <c r="E249" s="48"/>
      <c r="F249" s="48"/>
      <c r="G249" s="48"/>
      <c r="H249" s="48"/>
      <c r="I249" s="48"/>
      <c r="J249" s="48"/>
      <c r="K249" s="48"/>
      <c r="L249" s="48"/>
      <c r="M249" s="679"/>
      <c r="N249" s="679"/>
      <c r="O249" s="679"/>
      <c r="P249" s="679"/>
      <c r="Q249" s="2257"/>
    </row>
    <row r="250" spans="1:17" s="1250" customFormat="1" x14ac:dyDescent="0.2">
      <c r="A250" s="2312" t="s">
        <v>4246</v>
      </c>
      <c r="B250" s="938">
        <f t="shared" ref="B250:N250" si="351">B531</f>
        <v>2.4290398708234999</v>
      </c>
      <c r="C250" s="938">
        <f t="shared" si="351"/>
        <v>1.2515106464607717</v>
      </c>
      <c r="D250" s="938">
        <f t="shared" si="351"/>
        <v>1.6688020288685592</v>
      </c>
      <c r="E250" s="938">
        <f t="shared" si="351"/>
        <v>1.7284546509963583</v>
      </c>
      <c r="F250" s="938">
        <f t="shared" si="351"/>
        <v>1.961723234596086</v>
      </c>
      <c r="G250" s="938">
        <f t="shared" si="351"/>
        <v>1.84122249348009</v>
      </c>
      <c r="H250" s="938">
        <f t="shared" si="351"/>
        <v>2.1012800784037271</v>
      </c>
      <c r="I250" s="938">
        <f t="shared" si="351"/>
        <v>2.1523714902807773</v>
      </c>
      <c r="J250" s="938">
        <f t="shared" si="351"/>
        <v>2.5022878638993937</v>
      </c>
      <c r="K250" s="938">
        <f t="shared" si="351"/>
        <v>2.4176455282135163</v>
      </c>
      <c r="L250" s="938">
        <f t="shared" si="351"/>
        <v>2.6296500902642821</v>
      </c>
      <c r="M250" s="974">
        <f t="shared" si="351"/>
        <v>2.9462623869021978</v>
      </c>
      <c r="N250" s="974">
        <f t="shared" si="351"/>
        <v>3.1150865308045166</v>
      </c>
      <c r="O250" s="974">
        <f t="shared" ref="O250" si="352">O531</f>
        <v>3.5421121854982114</v>
      </c>
      <c r="P250" s="974">
        <f t="shared" ref="P250" si="353">P531</f>
        <v>3.7121899762039119</v>
      </c>
      <c r="Q250" s="2521">
        <f t="shared" ref="Q250" si="354">Q531</f>
        <v>3.8533719304271012</v>
      </c>
    </row>
    <row r="251" spans="1:17" s="726" customFormat="1" x14ac:dyDescent="0.2">
      <c r="A251" s="815"/>
      <c r="B251" s="938"/>
      <c r="C251" s="938"/>
      <c r="D251" s="938"/>
      <c r="E251" s="938"/>
      <c r="F251" s="938"/>
      <c r="G251" s="938"/>
      <c r="H251" s="938"/>
      <c r="I251" s="938"/>
      <c r="J251" s="938"/>
      <c r="K251" s="938"/>
      <c r="L251" s="938"/>
      <c r="M251" s="974"/>
      <c r="N251" s="974"/>
      <c r="O251" s="974"/>
      <c r="P251" s="974"/>
      <c r="Q251" s="2521"/>
    </row>
    <row r="252" spans="1:17" s="246" customFormat="1" x14ac:dyDescent="0.2">
      <c r="A252" s="2312" t="s">
        <v>1649</v>
      </c>
      <c r="B252" s="938">
        <f t="shared" ref="B252:N252" si="355">B547</f>
        <v>4.3897146254458974</v>
      </c>
      <c r="C252" s="938">
        <f t="shared" si="355"/>
        <v>1.8704181100459196</v>
      </c>
      <c r="D252" s="938">
        <f t="shared" si="355"/>
        <v>2.5435685483870949</v>
      </c>
      <c r="E252" s="938">
        <f t="shared" si="355"/>
        <v>2.4638897564022488</v>
      </c>
      <c r="F252" s="938">
        <f t="shared" si="355"/>
        <v>2.8137131597702605</v>
      </c>
      <c r="G252" s="938">
        <f t="shared" si="355"/>
        <v>2.5168162879601383</v>
      </c>
      <c r="H252" s="938">
        <f t="shared" si="355"/>
        <v>2.956166933633491</v>
      </c>
      <c r="I252" s="938">
        <f t="shared" si="355"/>
        <v>3.0136568921926652</v>
      </c>
      <c r="J252" s="938">
        <f t="shared" si="355"/>
        <v>3.3451549646068468</v>
      </c>
      <c r="K252" s="938">
        <f t="shared" si="355"/>
        <v>2.9697586029789442</v>
      </c>
      <c r="L252" s="938">
        <f t="shared" si="355"/>
        <v>3.5263691205580163</v>
      </c>
      <c r="M252" s="974">
        <f t="shared" si="355"/>
        <v>4.5206004659804755</v>
      </c>
      <c r="N252" s="974">
        <f t="shared" si="355"/>
        <v>5.1083504267848845</v>
      </c>
      <c r="O252" s="974">
        <f t="shared" ref="O252" si="356">O547</f>
        <v>7.0682455459212221</v>
      </c>
      <c r="P252" s="974">
        <f t="shared" ref="P252" si="357">P547</f>
        <v>7.55402115699553</v>
      </c>
      <c r="Q252" s="2521">
        <f t="shared" ref="Q252" si="358">Q547</f>
        <v>7.8172885406984456</v>
      </c>
    </row>
    <row r="253" spans="1:17" x14ac:dyDescent="0.2">
      <c r="A253" s="815"/>
      <c r="B253" s="1488"/>
      <c r="C253" s="1488"/>
      <c r="D253" s="1488"/>
      <c r="E253" s="1488"/>
      <c r="F253" s="1488"/>
      <c r="G253" s="1488"/>
      <c r="H253" s="1488"/>
      <c r="I253" s="1488"/>
      <c r="J253" s="1488"/>
      <c r="K253" s="1488"/>
      <c r="L253" s="1488"/>
      <c r="M253" s="974"/>
      <c r="N253" s="974"/>
      <c r="O253" s="974"/>
      <c r="P253" s="974"/>
      <c r="Q253" s="2521"/>
    </row>
    <row r="254" spans="1:17" s="1250" customFormat="1" x14ac:dyDescent="0.2">
      <c r="A254" s="2312" t="s">
        <v>1732</v>
      </c>
      <c r="B254" s="938">
        <f t="shared" ref="B254:N254" si="359">B561</f>
        <v>100</v>
      </c>
      <c r="C254" s="938">
        <f t="shared" si="359"/>
        <v>100</v>
      </c>
      <c r="D254" s="938">
        <f t="shared" si="359"/>
        <v>100</v>
      </c>
      <c r="E254" s="938">
        <f t="shared" si="359"/>
        <v>100</v>
      </c>
      <c r="F254" s="938">
        <f t="shared" si="359"/>
        <v>100</v>
      </c>
      <c r="G254" s="938">
        <f t="shared" si="359"/>
        <v>100</v>
      </c>
      <c r="H254" s="938">
        <f t="shared" si="359"/>
        <v>100</v>
      </c>
      <c r="I254" s="938">
        <f t="shared" si="359"/>
        <v>100</v>
      </c>
      <c r="J254" s="938">
        <f t="shared" si="359"/>
        <v>100</v>
      </c>
      <c r="K254" s="938">
        <f t="shared" si="359"/>
        <v>100</v>
      </c>
      <c r="L254" s="938">
        <f t="shared" si="359"/>
        <v>100</v>
      </c>
      <c r="M254" s="974">
        <f t="shared" si="359"/>
        <v>100</v>
      </c>
      <c r="N254" s="974">
        <f t="shared" si="359"/>
        <v>100</v>
      </c>
      <c r="O254" s="974">
        <f t="shared" ref="O254" si="360">O561</f>
        <v>100</v>
      </c>
      <c r="P254" s="974">
        <f t="shared" ref="P254" si="361">P561</f>
        <v>100</v>
      </c>
      <c r="Q254" s="2521">
        <f t="shared" ref="Q254" si="362">Q561</f>
        <v>100</v>
      </c>
    </row>
    <row r="255" spans="1:17" x14ac:dyDescent="0.2">
      <c r="A255" s="815"/>
      <c r="B255" s="1488"/>
      <c r="C255" s="1488"/>
      <c r="D255" s="1488"/>
      <c r="E255" s="1488"/>
      <c r="F255" s="1488"/>
      <c r="G255" s="1488"/>
      <c r="H255" s="1488"/>
      <c r="I255" s="1488"/>
      <c r="J255" s="1488"/>
      <c r="K255" s="1488"/>
      <c r="L255" s="1488"/>
      <c r="M255" s="974"/>
      <c r="N255" s="974"/>
      <c r="O255" s="974"/>
      <c r="P255" s="974"/>
      <c r="Q255" s="2521"/>
    </row>
    <row r="256" spans="1:17" s="1250" customFormat="1" x14ac:dyDescent="0.2">
      <c r="A256" s="2312" t="s">
        <v>3289</v>
      </c>
      <c r="B256" s="938">
        <f t="shared" ref="B256:N256" si="363">B576</f>
        <v>1.2737358651589503</v>
      </c>
      <c r="C256" s="938">
        <f t="shared" si="363"/>
        <v>0.69128014842300578</v>
      </c>
      <c r="D256" s="938">
        <f t="shared" si="363"/>
        <v>0.85144821634862911</v>
      </c>
      <c r="E256" s="938">
        <f t="shared" si="363"/>
        <v>0.96980919410675426</v>
      </c>
      <c r="F256" s="938">
        <f t="shared" si="363"/>
        <v>1.0498751097009387</v>
      </c>
      <c r="G256" s="938">
        <f t="shared" si="363"/>
        <v>1.1498196174528625</v>
      </c>
      <c r="H256" s="938">
        <f t="shared" si="363"/>
        <v>1.2472512585029161</v>
      </c>
      <c r="I256" s="938">
        <f t="shared" si="363"/>
        <v>1.2872338894246684</v>
      </c>
      <c r="J256" s="938">
        <f t="shared" si="363"/>
        <v>1.5560042760422852</v>
      </c>
      <c r="K256" s="938">
        <f t="shared" si="363"/>
        <v>1.6004276042285308</v>
      </c>
      <c r="L256" s="938">
        <f t="shared" si="363"/>
        <v>1.6341268898579748</v>
      </c>
      <c r="M256" s="974">
        <f t="shared" si="363"/>
        <v>1.6806033970780376</v>
      </c>
      <c r="N256" s="974">
        <f t="shared" si="363"/>
        <v>1.7304057149644509</v>
      </c>
      <c r="O256" s="974">
        <f t="shared" ref="O256" si="364">O576</f>
        <v>1.7883528752990683</v>
      </c>
      <c r="P256" s="974">
        <f t="shared" ref="P256" si="365">P576</f>
        <v>1.8496597831435695</v>
      </c>
      <c r="Q256" s="2521">
        <f t="shared" ref="Q256" si="366">Q576</f>
        <v>1.9122393226206027</v>
      </c>
    </row>
    <row r="257" spans="1:17" s="726" customFormat="1" x14ac:dyDescent="0.2">
      <c r="A257" s="2312"/>
      <c r="B257" s="1486"/>
      <c r="C257" s="1486"/>
      <c r="D257" s="1486"/>
      <c r="E257" s="1486"/>
      <c r="F257" s="1486"/>
      <c r="G257" s="1486"/>
      <c r="H257" s="1486"/>
      <c r="I257" s="1486"/>
      <c r="J257" s="1486"/>
      <c r="K257" s="1486"/>
      <c r="L257" s="1486"/>
      <c r="M257" s="964"/>
      <c r="N257" s="964"/>
      <c r="O257" s="964"/>
      <c r="P257" s="964"/>
      <c r="Q257" s="2240"/>
    </row>
    <row r="258" spans="1:17" x14ac:dyDescent="0.2">
      <c r="A258" s="2490"/>
      <c r="B258" s="1483"/>
      <c r="C258" s="1483"/>
      <c r="D258" s="1483"/>
      <c r="E258" s="1483"/>
      <c r="F258" s="1483"/>
      <c r="G258" s="1483"/>
      <c r="H258" s="1483"/>
      <c r="I258" s="1483"/>
      <c r="J258" s="1483"/>
      <c r="K258" s="1483"/>
      <c r="L258" s="1483"/>
      <c r="M258" s="968"/>
      <c r="N258" s="968"/>
      <c r="O258" s="968"/>
      <c r="P258" s="968"/>
      <c r="Q258" s="2491"/>
    </row>
    <row r="259" spans="1:17" x14ac:dyDescent="0.2">
      <c r="A259" s="2313" t="s">
        <v>5781</v>
      </c>
      <c r="B259" s="547"/>
      <c r="C259" s="547"/>
      <c r="D259" s="547"/>
      <c r="E259" s="547"/>
      <c r="F259" s="547"/>
      <c r="G259" s="547"/>
      <c r="H259" s="547"/>
      <c r="I259" s="547"/>
      <c r="J259" s="547"/>
      <c r="K259" s="547"/>
      <c r="L259" s="547"/>
      <c r="M259" s="978"/>
      <c r="N259" s="978"/>
      <c r="O259" s="978"/>
      <c r="P259" s="978"/>
      <c r="Q259" s="2488"/>
    </row>
    <row r="260" spans="1:17" s="726" customFormat="1" x14ac:dyDescent="0.2">
      <c r="A260" s="2312" t="s">
        <v>4246</v>
      </c>
      <c r="B260" s="1489">
        <f t="shared" ref="B260:M260" si="367">B633</f>
        <v>0.15826933075837479</v>
      </c>
      <c r="C260" s="1489">
        <f t="shared" si="367"/>
        <v>9.584366428963248E-2</v>
      </c>
      <c r="D260" s="1489">
        <f t="shared" si="367"/>
        <v>9.7295699640527214E-2</v>
      </c>
      <c r="E260" s="1489">
        <f t="shared" si="367"/>
        <v>9.3455538221528869E-2</v>
      </c>
      <c r="F260" s="1489">
        <f t="shared" si="367"/>
        <v>0.10994392046902882</v>
      </c>
      <c r="G260" s="1489">
        <f t="shared" si="367"/>
        <v>9.7157207433450521E-2</v>
      </c>
      <c r="H260" s="1489">
        <f t="shared" si="367"/>
        <v>8.3313696612665675E-2</v>
      </c>
      <c r="I260" s="1489">
        <f t="shared" si="367"/>
        <v>6.6695402298850584E-2</v>
      </c>
      <c r="J260" s="1489">
        <f t="shared" si="367"/>
        <v>6.4969045672234549E-2</v>
      </c>
      <c r="K260" s="1489">
        <f t="shared" si="367"/>
        <v>6.0670009115770272E-2</v>
      </c>
      <c r="L260" s="1489">
        <f t="shared" si="367"/>
        <v>6.9951089373054692E-2</v>
      </c>
      <c r="M260" s="1206">
        <f t="shared" si="367"/>
        <v>7.6377833206810533E-2</v>
      </c>
      <c r="N260" s="1206">
        <f t="shared" ref="N260:O260" si="368">N633</f>
        <v>7.8307236563690222E-2</v>
      </c>
      <c r="O260" s="1206">
        <f t="shared" si="368"/>
        <v>9.2876457838786231E-2</v>
      </c>
      <c r="P260" s="1206">
        <f t="shared" ref="P260" si="369">P633</f>
        <v>0.10660088602496978</v>
      </c>
      <c r="Q260" s="2522">
        <f t="shared" ref="Q260" si="370">Q633</f>
        <v>0.12163834593851292</v>
      </c>
    </row>
    <row r="261" spans="1:17" x14ac:dyDescent="0.2">
      <c r="A261" s="2313"/>
      <c r="B261" s="1490"/>
      <c r="C261" s="1490"/>
      <c r="D261" s="1490"/>
      <c r="E261" s="1490"/>
      <c r="F261" s="1490"/>
      <c r="G261" s="1490"/>
      <c r="H261" s="1490"/>
      <c r="I261" s="1490"/>
      <c r="J261" s="1490"/>
      <c r="K261" s="1490"/>
      <c r="L261" s="1490"/>
      <c r="M261" s="1207"/>
      <c r="N261" s="1207"/>
      <c r="O261" s="1207"/>
      <c r="P261" s="1207"/>
      <c r="Q261" s="2523"/>
    </row>
    <row r="262" spans="1:17" s="726" customFormat="1" x14ac:dyDescent="0.2">
      <c r="A262" s="2312" t="s">
        <v>2203</v>
      </c>
      <c r="B262" s="1489">
        <f t="shared" ref="B262:M262" si="371">B639</f>
        <v>3.318555933885043E-2</v>
      </c>
      <c r="C262" s="1489">
        <f t="shared" si="371"/>
        <v>8.4938660977250072E-2</v>
      </c>
      <c r="D262" s="1489">
        <f t="shared" si="371"/>
        <v>0.10530121566861773</v>
      </c>
      <c r="E262" s="1489">
        <f t="shared" si="371"/>
        <v>9.6791382721477248E-2</v>
      </c>
      <c r="F262" s="1489">
        <f t="shared" si="371"/>
        <v>0.12321724137931035</v>
      </c>
      <c r="G262" s="1489">
        <f t="shared" si="371"/>
        <v>0.11898089171974523</v>
      </c>
      <c r="H262" s="1489">
        <f t="shared" si="371"/>
        <v>0.10134882755758456</v>
      </c>
      <c r="I262" s="1489">
        <f t="shared" si="371"/>
        <v>7.4089068825910931E-2</v>
      </c>
      <c r="J262" s="1489">
        <f t="shared" si="371"/>
        <v>6.7535545023696686E-2</v>
      </c>
      <c r="K262" s="1489">
        <f t="shared" si="371"/>
        <v>6.7039106145251381E-2</v>
      </c>
      <c r="L262" s="1489">
        <f t="shared" si="371"/>
        <v>8.0060139071603073E-2</v>
      </c>
      <c r="M262" s="1206">
        <f t="shared" si="371"/>
        <v>8.5352887259395049E-2</v>
      </c>
      <c r="N262" s="1206">
        <f t="shared" ref="N262:O262" si="372">N639</f>
        <v>9.0987124463519309E-2</v>
      </c>
      <c r="O262" s="1206">
        <f t="shared" si="372"/>
        <v>0.10488485694347524</v>
      </c>
      <c r="P262" s="1206">
        <f t="shared" ref="P262" si="373">P639</f>
        <v>0.11293396868618108</v>
      </c>
      <c r="Q262" s="2522">
        <f t="shared" ref="Q262" si="374">Q639</f>
        <v>0.12551884442968619</v>
      </c>
    </row>
    <row r="263" spans="1:17" s="726" customFormat="1" x14ac:dyDescent="0.2">
      <c r="A263" s="2312"/>
      <c r="B263" s="1489"/>
      <c r="C263" s="1489"/>
      <c r="D263" s="1489"/>
      <c r="E263" s="1489"/>
      <c r="F263" s="1489"/>
      <c r="G263" s="1489"/>
      <c r="H263" s="1489"/>
      <c r="I263" s="1489"/>
      <c r="J263" s="1489"/>
      <c r="K263" s="1489"/>
      <c r="L263" s="1489"/>
      <c r="M263" s="1206"/>
      <c r="N263" s="1206"/>
      <c r="O263" s="1206"/>
      <c r="P263" s="1206"/>
      <c r="Q263" s="2522"/>
    </row>
    <row r="264" spans="1:17" s="726" customFormat="1" x14ac:dyDescent="0.2">
      <c r="A264" s="2312" t="s">
        <v>1732</v>
      </c>
      <c r="B264" s="1489">
        <f t="shared" ref="B264:M264" si="375">B645</f>
        <v>3.2010759919300602</v>
      </c>
      <c r="C264" s="1489">
        <f t="shared" si="375"/>
        <v>12.774790656676952</v>
      </c>
      <c r="D264" s="1489">
        <f t="shared" si="375"/>
        <v>11.67144385026738</v>
      </c>
      <c r="E264" s="1489">
        <f t="shared" si="375"/>
        <v>12.056367432150314</v>
      </c>
      <c r="F264" s="1489">
        <f t="shared" si="375"/>
        <v>17.549693251533743</v>
      </c>
      <c r="G264" s="1489">
        <f t="shared" si="375"/>
        <v>15.359516616314199</v>
      </c>
      <c r="H264" s="1489">
        <f t="shared" si="375"/>
        <v>14.940944881889763</v>
      </c>
      <c r="I264" s="1489">
        <f t="shared" si="375"/>
        <v>14.072936660268713</v>
      </c>
      <c r="J264" s="1489">
        <f t="shared" si="375"/>
        <v>13.863423760523855</v>
      </c>
      <c r="K264" s="1489">
        <f t="shared" si="375"/>
        <v>11.08029197080292</v>
      </c>
      <c r="L264" s="1489">
        <f t="shared" si="375"/>
        <v>11.284697508896798</v>
      </c>
      <c r="M264" s="1206">
        <f t="shared" si="375"/>
        <v>9.3876843018213361</v>
      </c>
      <c r="N264" s="1206">
        <f t="shared" ref="N264:O264" si="376">N645</f>
        <v>7.939086294416243</v>
      </c>
      <c r="O264" s="1206">
        <f t="shared" si="376"/>
        <v>8.1980198019801982</v>
      </c>
      <c r="P264" s="1206">
        <f t="shared" ref="P264" si="377">P645</f>
        <v>10.281576830249396</v>
      </c>
      <c r="Q264" s="2522">
        <f t="shared" ref="Q264" si="378">Q645</f>
        <v>10.023529411764706</v>
      </c>
    </row>
    <row r="265" spans="1:17" s="726" customFormat="1" x14ac:dyDescent="0.2">
      <c r="A265" s="2312"/>
      <c r="B265" s="1489"/>
      <c r="C265" s="1489"/>
      <c r="D265" s="1489"/>
      <c r="E265" s="1489"/>
      <c r="F265" s="1489"/>
      <c r="G265" s="1489"/>
      <c r="H265" s="1489"/>
      <c r="I265" s="1489"/>
      <c r="J265" s="1489"/>
      <c r="K265" s="1489"/>
      <c r="L265" s="1489"/>
      <c r="M265" s="1206"/>
      <c r="N265" s="1206"/>
      <c r="O265" s="1206"/>
      <c r="P265" s="1206"/>
      <c r="Q265" s="2522"/>
    </row>
    <row r="266" spans="1:17" s="726" customFormat="1" x14ac:dyDescent="0.2">
      <c r="A266" s="2312" t="s">
        <v>3289</v>
      </c>
      <c r="B266" s="1489">
        <f t="shared" ref="B266:M266" si="379">B651</f>
        <v>9.4318568994889258</v>
      </c>
      <c r="C266" s="1489">
        <f t="shared" si="379"/>
        <v>10.456208077980987</v>
      </c>
      <c r="D266" s="1489">
        <f t="shared" si="379"/>
        <v>7.2089929742388765</v>
      </c>
      <c r="E266" s="1489">
        <f t="shared" si="379"/>
        <v>7.4556927297668034</v>
      </c>
      <c r="F266" s="1489">
        <f t="shared" si="379"/>
        <v>5.3454056476916181</v>
      </c>
      <c r="G266" s="1489">
        <f t="shared" si="379"/>
        <v>2.6860927152317879</v>
      </c>
      <c r="H266" s="1489">
        <f t="shared" si="379"/>
        <v>1.6669542709232097</v>
      </c>
      <c r="I266" s="1489">
        <f t="shared" si="379"/>
        <v>1.868686868686869</v>
      </c>
      <c r="J266" s="1489">
        <f t="shared" si="379"/>
        <v>2.7093596059113301</v>
      </c>
      <c r="K266" s="1489">
        <f t="shared" si="379"/>
        <v>2.5230276331597916</v>
      </c>
      <c r="L266" s="1489">
        <f t="shared" si="379"/>
        <v>2.9859375000000004</v>
      </c>
      <c r="M266" s="1206">
        <f t="shared" si="379"/>
        <v>4.9710365853658534</v>
      </c>
      <c r="N266" s="1206">
        <f t="shared" ref="N266:O266" si="380">N651</f>
        <v>5.1122676579925646</v>
      </c>
      <c r="O266" s="1206">
        <f t="shared" si="380"/>
        <v>7.226976069615664</v>
      </c>
      <c r="P266" s="1206">
        <f t="shared" ref="P266" si="381">P651</f>
        <v>9.4573753095153883</v>
      </c>
      <c r="Q266" s="2522">
        <f t="shared" ref="Q266" si="382">Q651</f>
        <v>12.236024844720497</v>
      </c>
    </row>
    <row r="267" spans="1:17" s="726" customFormat="1" x14ac:dyDescent="0.2">
      <c r="A267" s="815"/>
      <c r="B267" s="1482"/>
      <c r="C267" s="1482"/>
      <c r="D267" s="1482"/>
      <c r="E267" s="1482"/>
      <c r="F267" s="1482"/>
      <c r="G267" s="1482"/>
      <c r="H267" s="1482"/>
      <c r="I267" s="1482"/>
      <c r="J267" s="1482"/>
      <c r="K267" s="1482"/>
      <c r="L267" s="1482"/>
      <c r="M267" s="2098"/>
      <c r="N267" s="2098"/>
      <c r="O267" s="2098"/>
      <c r="P267" s="2098"/>
      <c r="Q267" s="2524"/>
    </row>
    <row r="268" spans="1:17" x14ac:dyDescent="0.2">
      <c r="A268" s="2525"/>
      <c r="B268" s="1483"/>
      <c r="C268" s="1483"/>
      <c r="D268" s="1483"/>
      <c r="E268" s="840"/>
      <c r="F268" s="840"/>
      <c r="G268" s="840"/>
      <c r="H268" s="840"/>
      <c r="I268" s="840"/>
      <c r="J268" s="840"/>
      <c r="K268" s="840"/>
      <c r="L268" s="840"/>
      <c r="M268" s="972"/>
      <c r="N268" s="972"/>
      <c r="O268" s="972"/>
      <c r="P268" s="972"/>
      <c r="Q268" s="2526"/>
    </row>
    <row r="269" spans="1:17" x14ac:dyDescent="0.2">
      <c r="A269" s="2313" t="s">
        <v>4248</v>
      </c>
      <c r="B269" s="547"/>
      <c r="C269" s="547"/>
      <c r="D269" s="547"/>
      <c r="E269" s="556"/>
      <c r="F269" s="556"/>
      <c r="G269" s="556"/>
      <c r="H269" s="556"/>
      <c r="I269" s="556"/>
      <c r="J269" s="556"/>
      <c r="K269" s="556"/>
      <c r="L269" s="556"/>
      <c r="M269" s="973"/>
      <c r="N269" s="973"/>
      <c r="O269" s="973"/>
      <c r="P269" s="973"/>
      <c r="Q269" s="2482"/>
    </row>
    <row r="270" spans="1:17" s="726" customFormat="1" x14ac:dyDescent="0.2">
      <c r="A270" s="2312" t="s">
        <v>4246</v>
      </c>
      <c r="B270" s="938">
        <f t="shared" ref="B270:N270" si="383">B416</f>
        <v>2.61</v>
      </c>
      <c r="C270" s="938">
        <f t="shared" si="383"/>
        <v>1.97</v>
      </c>
      <c r="D270" s="938">
        <f t="shared" si="383"/>
        <v>2.81</v>
      </c>
      <c r="E270" s="938">
        <f t="shared" si="383"/>
        <v>2.84</v>
      </c>
      <c r="F270" s="938">
        <f t="shared" si="383"/>
        <v>3.95</v>
      </c>
      <c r="G270" s="938">
        <f t="shared" si="383"/>
        <v>3.57</v>
      </c>
      <c r="H270" s="938">
        <f t="shared" si="383"/>
        <v>2.95</v>
      </c>
      <c r="I270" s="938">
        <f t="shared" si="383"/>
        <v>3.15</v>
      </c>
      <c r="J270" s="938">
        <f t="shared" si="383"/>
        <v>2.91</v>
      </c>
      <c r="K270" s="938">
        <f t="shared" si="383"/>
        <v>3</v>
      </c>
      <c r="L270" s="938">
        <f t="shared" si="383"/>
        <v>3.37</v>
      </c>
      <c r="M270" s="974">
        <f t="shared" si="383"/>
        <v>3.3</v>
      </c>
      <c r="N270" s="974">
        <f t="shared" si="383"/>
        <v>3.17</v>
      </c>
      <c r="O270" s="974">
        <f t="shared" ref="O270" si="384">O416</f>
        <v>3.11</v>
      </c>
      <c r="P270" s="974">
        <f t="shared" ref="P270" si="385">P416</f>
        <v>3.06</v>
      </c>
      <c r="Q270" s="2521">
        <f t="shared" ref="Q270" si="386">Q416</f>
        <v>3.84</v>
      </c>
    </row>
    <row r="271" spans="1:17" s="726" customFormat="1" x14ac:dyDescent="0.2">
      <c r="A271" s="2312"/>
      <c r="B271" s="938"/>
      <c r="C271" s="938"/>
      <c r="D271" s="938"/>
      <c r="E271" s="938"/>
      <c r="F271" s="938"/>
      <c r="G271" s="938"/>
      <c r="H271" s="938"/>
      <c r="I271" s="938"/>
      <c r="J271" s="938"/>
      <c r="K271" s="938"/>
      <c r="L271" s="938"/>
      <c r="M271" s="974"/>
      <c r="N271" s="974"/>
      <c r="O271" s="974"/>
      <c r="P271" s="974"/>
      <c r="Q271" s="2521"/>
    </row>
    <row r="272" spans="1:17" s="726" customFormat="1" x14ac:dyDescent="0.2">
      <c r="A272" s="2312" t="s">
        <v>2203</v>
      </c>
      <c r="B272" s="938">
        <f t="shared" ref="B272:N272" si="387">B432</f>
        <v>2.61</v>
      </c>
      <c r="C272" s="938">
        <f t="shared" si="387"/>
        <v>1.97</v>
      </c>
      <c r="D272" s="938">
        <f t="shared" si="387"/>
        <v>2.76</v>
      </c>
      <c r="E272" s="938">
        <f t="shared" si="387"/>
        <v>3.05</v>
      </c>
      <c r="F272" s="938">
        <f t="shared" si="387"/>
        <v>4.1900000000000004</v>
      </c>
      <c r="G272" s="938">
        <f t="shared" si="387"/>
        <v>3.82</v>
      </c>
      <c r="H272" s="938">
        <f t="shared" si="387"/>
        <v>2.78</v>
      </c>
      <c r="I272" s="938">
        <f t="shared" si="387"/>
        <v>2.78</v>
      </c>
      <c r="J272" s="938">
        <f t="shared" si="387"/>
        <v>2.63</v>
      </c>
      <c r="K272" s="938">
        <f t="shared" si="387"/>
        <v>2.67</v>
      </c>
      <c r="L272" s="938">
        <f t="shared" si="387"/>
        <v>2.81</v>
      </c>
      <c r="M272" s="974">
        <f t="shared" si="387"/>
        <v>2.73</v>
      </c>
      <c r="N272" s="974">
        <f t="shared" si="387"/>
        <v>2.56</v>
      </c>
      <c r="O272" s="974">
        <f t="shared" ref="O272" si="388">O432</f>
        <v>2.57</v>
      </c>
      <c r="P272" s="974">
        <f t="shared" ref="P272" si="389">P432</f>
        <v>2.4700000000000002</v>
      </c>
      <c r="Q272" s="2521">
        <f t="shared" ref="Q272" si="390">Q432</f>
        <v>3.37</v>
      </c>
    </row>
    <row r="273" spans="1:17" s="726" customFormat="1" x14ac:dyDescent="0.2">
      <c r="A273" s="2312"/>
      <c r="B273" s="939"/>
      <c r="C273" s="939"/>
      <c r="D273" s="939"/>
      <c r="E273" s="939"/>
      <c r="F273" s="939"/>
      <c r="G273" s="939"/>
      <c r="H273" s="939"/>
      <c r="I273" s="939"/>
      <c r="J273" s="939"/>
      <c r="K273" s="939"/>
      <c r="L273" s="939"/>
      <c r="M273" s="975"/>
      <c r="N273" s="975"/>
      <c r="O273" s="975"/>
      <c r="P273" s="975"/>
      <c r="Q273" s="2527"/>
    </row>
    <row r="274" spans="1:17" s="726" customFormat="1" x14ac:dyDescent="0.2">
      <c r="A274" s="2312" t="s">
        <v>1732</v>
      </c>
      <c r="B274" s="938">
        <f t="shared" ref="B274:N274" si="391">B447</f>
        <v>30.67</v>
      </c>
      <c r="C274" s="938">
        <f t="shared" si="391"/>
        <v>42.34</v>
      </c>
      <c r="D274" s="938">
        <f t="shared" si="391"/>
        <v>40.76</v>
      </c>
      <c r="E274" s="938">
        <f t="shared" si="391"/>
        <v>50.05</v>
      </c>
      <c r="F274" s="938">
        <f t="shared" si="391"/>
        <v>87.82</v>
      </c>
      <c r="G274" s="938">
        <f t="shared" si="391"/>
        <v>40.03</v>
      </c>
      <c r="H274" s="938">
        <f t="shared" si="391"/>
        <v>41.07</v>
      </c>
      <c r="I274" s="938">
        <f t="shared" si="391"/>
        <v>32.79</v>
      </c>
      <c r="J274" s="938">
        <f t="shared" si="391"/>
        <v>24.56</v>
      </c>
      <c r="K274" s="938">
        <f t="shared" si="391"/>
        <v>23.17</v>
      </c>
      <c r="L274" s="938">
        <f t="shared" si="391"/>
        <v>26.16</v>
      </c>
      <c r="M274" s="974">
        <f t="shared" si="391"/>
        <v>23.69</v>
      </c>
      <c r="N274" s="974">
        <f t="shared" si="391"/>
        <v>21.89</v>
      </c>
      <c r="O274" s="974">
        <f t="shared" ref="O274" si="392">O447</f>
        <v>18.690000000000001</v>
      </c>
      <c r="P274" s="974">
        <f t="shared" ref="P274" si="393">P447</f>
        <v>18.88</v>
      </c>
      <c r="Q274" s="2521">
        <f t="shared" ref="Q274" si="394">Q447</f>
        <v>12.53</v>
      </c>
    </row>
    <row r="275" spans="1:17" s="726" customFormat="1" x14ac:dyDescent="0.2">
      <c r="A275" s="2486"/>
      <c r="B275" s="940"/>
      <c r="C275" s="940"/>
      <c r="D275" s="940"/>
      <c r="E275" s="940"/>
      <c r="F275" s="940"/>
      <c r="G275" s="940"/>
      <c r="H275" s="940"/>
      <c r="I275" s="940"/>
      <c r="J275" s="940"/>
      <c r="K275" s="940"/>
      <c r="L275" s="940"/>
      <c r="M275" s="976"/>
      <c r="N275" s="976"/>
      <c r="O275" s="976"/>
      <c r="P275" s="976"/>
      <c r="Q275" s="2528"/>
    </row>
    <row r="276" spans="1:17" s="726" customFormat="1" x14ac:dyDescent="0.2">
      <c r="A276" s="2312" t="s">
        <v>3289</v>
      </c>
      <c r="B276" s="938">
        <f t="shared" ref="B276:N276" si="395">B462</f>
        <v>4</v>
      </c>
      <c r="C276" s="938">
        <f t="shared" si="395"/>
        <v>5.44</v>
      </c>
      <c r="D276" s="938">
        <f t="shared" si="395"/>
        <v>3.08</v>
      </c>
      <c r="E276" s="938">
        <f t="shared" si="395"/>
        <v>1.71</v>
      </c>
      <c r="F276" s="938">
        <f t="shared" si="395"/>
        <v>0.93</v>
      </c>
      <c r="G276" s="938">
        <f t="shared" si="395"/>
        <v>1.23</v>
      </c>
      <c r="H276" s="938">
        <f t="shared" si="395"/>
        <v>1.84</v>
      </c>
      <c r="I276" s="938">
        <f t="shared" si="395"/>
        <v>2.94</v>
      </c>
      <c r="J276" s="938">
        <f t="shared" si="395"/>
        <v>2.67</v>
      </c>
      <c r="K276" s="938">
        <f t="shared" si="395"/>
        <v>2.4500000000000002</v>
      </c>
      <c r="L276" s="938">
        <f t="shared" si="395"/>
        <v>2.39</v>
      </c>
      <c r="M276" s="974">
        <f t="shared" si="395"/>
        <v>2.23</v>
      </c>
      <c r="N276" s="974">
        <f t="shared" si="395"/>
        <v>2.11</v>
      </c>
      <c r="O276" s="974">
        <f t="shared" ref="O276" si="396">O462</f>
        <v>2</v>
      </c>
      <c r="P276" s="974">
        <f t="shared" ref="P276" si="397">P462</f>
        <v>1.92</v>
      </c>
      <c r="Q276" s="2521">
        <f t="shared" ref="Q276" si="398">Q462</f>
        <v>10.54</v>
      </c>
    </row>
    <row r="277" spans="1:17" s="726" customFormat="1" x14ac:dyDescent="0.2">
      <c r="A277" s="2312"/>
      <c r="B277" s="1486"/>
      <c r="C277" s="1486"/>
      <c r="D277" s="1486"/>
      <c r="E277" s="1486"/>
      <c r="F277" s="1486"/>
      <c r="G277" s="1486"/>
      <c r="H277" s="1486"/>
      <c r="I277" s="1486"/>
      <c r="J277" s="1486"/>
      <c r="K277" s="1486"/>
      <c r="L277" s="1486"/>
      <c r="M277" s="964"/>
      <c r="N277" s="964"/>
      <c r="O277" s="964"/>
      <c r="P277" s="964"/>
      <c r="Q277" s="2240"/>
    </row>
    <row r="278" spans="1:17" x14ac:dyDescent="0.2">
      <c r="A278" s="2490"/>
      <c r="B278" s="1483"/>
      <c r="C278" s="1483"/>
      <c r="D278" s="1483"/>
      <c r="E278" s="1483"/>
      <c r="F278" s="1483"/>
      <c r="G278" s="1483"/>
      <c r="H278" s="1483"/>
      <c r="I278" s="1483"/>
      <c r="J278" s="1483"/>
      <c r="K278" s="1483"/>
      <c r="L278" s="1483"/>
      <c r="M278" s="968"/>
      <c r="N278" s="968"/>
      <c r="O278" s="968"/>
      <c r="P278" s="968"/>
      <c r="Q278" s="2491"/>
    </row>
    <row r="279" spans="1:17" s="285" customFormat="1" x14ac:dyDescent="0.2">
      <c r="A279" s="2313" t="s">
        <v>3405</v>
      </c>
      <c r="B279" s="563"/>
      <c r="C279" s="563"/>
      <c r="D279" s="563"/>
      <c r="E279" s="563"/>
      <c r="F279" s="563"/>
      <c r="G279" s="563"/>
      <c r="H279" s="563"/>
      <c r="I279" s="563"/>
      <c r="J279" s="563"/>
      <c r="K279" s="563"/>
      <c r="L279" s="563"/>
      <c r="M279" s="980"/>
      <c r="N279" s="980"/>
      <c r="O279" s="980"/>
      <c r="P279" s="980"/>
      <c r="Q279" s="2529"/>
    </row>
    <row r="280" spans="1:17" s="726" customFormat="1" x14ac:dyDescent="0.2">
      <c r="A280" s="2312" t="s">
        <v>2203</v>
      </c>
      <c r="B280" s="659">
        <f t="shared" ref="B280:M280" si="399">B675</f>
        <v>3413</v>
      </c>
      <c r="C280" s="659">
        <f t="shared" si="399"/>
        <v>3034.8</v>
      </c>
      <c r="D280" s="659">
        <f t="shared" si="399"/>
        <v>3034.8</v>
      </c>
      <c r="E280" s="659">
        <f t="shared" si="399"/>
        <v>3029.6</v>
      </c>
      <c r="F280" s="659">
        <f t="shared" si="399"/>
        <v>5139.8999999999996</v>
      </c>
      <c r="G280" s="659">
        <f t="shared" si="399"/>
        <v>5199.8999999999996</v>
      </c>
      <c r="H280" s="659">
        <f t="shared" si="399"/>
        <v>4827.6000000000004</v>
      </c>
      <c r="I280" s="659">
        <f t="shared" si="399"/>
        <v>4327.2</v>
      </c>
      <c r="J280" s="659">
        <f t="shared" si="399"/>
        <v>3774.6</v>
      </c>
      <c r="K280" s="659">
        <f t="shared" si="399"/>
        <v>3341.8</v>
      </c>
      <c r="L280" s="659">
        <f t="shared" si="399"/>
        <v>2952.1</v>
      </c>
      <c r="M280" s="679">
        <f t="shared" si="399"/>
        <v>2720.5</v>
      </c>
      <c r="N280" s="679">
        <f t="shared" ref="N280:O280" si="400">N675</f>
        <v>2507</v>
      </c>
      <c r="O280" s="679">
        <f t="shared" si="400"/>
        <v>2225.6999999999998</v>
      </c>
      <c r="P280" s="679">
        <f t="shared" ref="P280" si="401">P675</f>
        <v>2069.4</v>
      </c>
      <c r="Q280" s="2257">
        <f t="shared" ref="Q280" si="402">Q675</f>
        <v>2257.6999999999998</v>
      </c>
    </row>
    <row r="281" spans="1:17" s="726" customFormat="1" x14ac:dyDescent="0.2">
      <c r="A281" s="2312" t="s">
        <v>1732</v>
      </c>
      <c r="B281" s="659">
        <f t="shared" ref="B281:M281" si="403">B676</f>
        <v>2176</v>
      </c>
      <c r="C281" s="659">
        <f t="shared" si="403"/>
        <v>2916</v>
      </c>
      <c r="D281" s="659">
        <f t="shared" si="403"/>
        <v>3882.8</v>
      </c>
      <c r="E281" s="659">
        <f t="shared" si="403"/>
        <v>4343.8</v>
      </c>
      <c r="F281" s="659">
        <f t="shared" si="403"/>
        <v>6195.2</v>
      </c>
      <c r="G281" s="659">
        <f t="shared" si="403"/>
        <v>6001.3</v>
      </c>
      <c r="H281" s="659">
        <f t="shared" si="403"/>
        <v>5935.2</v>
      </c>
      <c r="I281" s="659">
        <f t="shared" si="403"/>
        <v>5496.7</v>
      </c>
      <c r="J281" s="659">
        <f t="shared" si="403"/>
        <v>5625.4</v>
      </c>
      <c r="K281" s="659">
        <f t="shared" si="403"/>
        <v>3390.4</v>
      </c>
      <c r="L281" s="659">
        <f t="shared" si="403"/>
        <v>3837.7</v>
      </c>
      <c r="M281" s="679">
        <f t="shared" si="403"/>
        <v>2277.8000000000002</v>
      </c>
      <c r="N281" s="679">
        <f t="shared" ref="N281:O281" si="404">N676</f>
        <v>1070.7</v>
      </c>
      <c r="O281" s="679">
        <f t="shared" si="404"/>
        <v>1376.3</v>
      </c>
      <c r="P281" s="679">
        <f t="shared" ref="P281" si="405">P676</f>
        <v>1830.4</v>
      </c>
      <c r="Q281" s="2257">
        <f t="shared" ref="Q281" si="406">Q676</f>
        <v>4194.2</v>
      </c>
    </row>
    <row r="282" spans="1:17" s="726" customFormat="1" x14ac:dyDescent="0.2">
      <c r="A282" s="815" t="s">
        <v>3289</v>
      </c>
      <c r="B282" s="659">
        <f t="shared" ref="B282:M282" si="407">B677</f>
        <v>23817</v>
      </c>
      <c r="C282" s="659">
        <f t="shared" si="407"/>
        <v>15178</v>
      </c>
      <c r="D282" s="659">
        <f t="shared" si="407"/>
        <v>10514.3</v>
      </c>
      <c r="E282" s="659">
        <f t="shared" si="407"/>
        <v>8111.6</v>
      </c>
      <c r="F282" s="659">
        <f t="shared" si="407"/>
        <v>6830.9</v>
      </c>
      <c r="G282" s="659">
        <f t="shared" si="407"/>
        <v>1962.7</v>
      </c>
      <c r="H282" s="659">
        <f t="shared" si="407"/>
        <v>112.3</v>
      </c>
      <c r="I282" s="659">
        <f t="shared" si="407"/>
        <v>589</v>
      </c>
      <c r="J282" s="659">
        <f t="shared" si="407"/>
        <v>2383.6</v>
      </c>
      <c r="K282" s="659">
        <f t="shared" si="407"/>
        <v>2123.6999999999998</v>
      </c>
      <c r="L282" s="659">
        <f t="shared" si="407"/>
        <v>3236.9</v>
      </c>
      <c r="M282" s="679">
        <f t="shared" si="407"/>
        <v>7732</v>
      </c>
      <c r="N282" s="679">
        <f t="shared" ref="N282:O282" si="408">N677</f>
        <v>8314.7999999999993</v>
      </c>
      <c r="O282" s="679">
        <f t="shared" si="408"/>
        <v>13464.5</v>
      </c>
      <c r="P282" s="679">
        <f t="shared" ref="P282" si="409">P677</f>
        <v>19128.900000000001</v>
      </c>
      <c r="Q282" s="2257">
        <f t="shared" ref="Q282" si="410">Q677</f>
        <v>25261.3</v>
      </c>
    </row>
    <row r="283" spans="1:17" s="726" customFormat="1" ht="13.5" thickBot="1" x14ac:dyDescent="0.25">
      <c r="A283" s="2496"/>
      <c r="B283" s="2497"/>
      <c r="C283" s="2497"/>
      <c r="D283" s="2497"/>
      <c r="E283" s="2497"/>
      <c r="F283" s="2497"/>
      <c r="G283" s="2497"/>
      <c r="H283" s="2497"/>
      <c r="I283" s="2497"/>
      <c r="J283" s="2497"/>
      <c r="K283" s="2497"/>
      <c r="L283" s="2497"/>
      <c r="M283" s="2498"/>
      <c r="N283" s="2498"/>
      <c r="O283" s="2498"/>
      <c r="P283" s="2498"/>
      <c r="Q283" s="2499"/>
    </row>
    <row r="284" spans="1:17" ht="16.5" thickBot="1" x14ac:dyDescent="0.3">
      <c r="A284" s="2582" t="s">
        <v>5038</v>
      </c>
      <c r="B284" s="2583"/>
      <c r="C284" s="2583"/>
      <c r="D284" s="2583"/>
      <c r="E284" s="2583"/>
      <c r="F284" s="2583"/>
      <c r="G284" s="2583"/>
      <c r="H284" s="2583"/>
      <c r="I284" s="2583"/>
      <c r="J284" s="2583"/>
      <c r="K284" s="2583"/>
      <c r="L284" s="2583"/>
      <c r="M284" s="2583"/>
      <c r="N284" s="2583"/>
      <c r="O284" s="2583"/>
      <c r="P284" s="2583"/>
      <c r="Q284" s="2584"/>
    </row>
    <row r="285" spans="1:17" s="726" customFormat="1" ht="13.5" thickBot="1" x14ac:dyDescent="0.25">
      <c r="A285" s="2508" t="s">
        <v>228</v>
      </c>
      <c r="B285" s="565" t="str">
        <f t="shared" ref="B285:P285" si="411">B43</f>
        <v>2012/13</v>
      </c>
      <c r="C285" s="565" t="str">
        <f t="shared" si="411"/>
        <v>2013/14</v>
      </c>
      <c r="D285" s="565" t="str">
        <f t="shared" si="411"/>
        <v>2014/15</v>
      </c>
      <c r="E285" s="565" t="str">
        <f t="shared" si="411"/>
        <v>2015/16</v>
      </c>
      <c r="F285" s="565" t="str">
        <f t="shared" si="411"/>
        <v>2016/17</v>
      </c>
      <c r="G285" s="565" t="str">
        <f t="shared" si="411"/>
        <v>2017/18</v>
      </c>
      <c r="H285" s="565" t="str">
        <f t="shared" si="411"/>
        <v>2018/19</v>
      </c>
      <c r="I285" s="565" t="str">
        <f t="shared" si="411"/>
        <v>2019/20</v>
      </c>
      <c r="J285" s="565" t="str">
        <f t="shared" si="411"/>
        <v>2020/21</v>
      </c>
      <c r="K285" s="565" t="str">
        <f t="shared" si="411"/>
        <v>2021/22</v>
      </c>
      <c r="L285" s="565" t="str">
        <f t="shared" si="411"/>
        <v>2022/23</v>
      </c>
      <c r="M285" s="966" t="str">
        <f t="shared" si="411"/>
        <v>2023/24</v>
      </c>
      <c r="N285" s="966" t="str">
        <f t="shared" si="411"/>
        <v>2024/25</v>
      </c>
      <c r="O285" s="966" t="str">
        <f t="shared" si="411"/>
        <v>2025/26</v>
      </c>
      <c r="P285" s="966" t="str">
        <f t="shared" si="411"/>
        <v>2026/27</v>
      </c>
      <c r="Q285" s="2481" t="str">
        <f t="shared" ref="Q285" si="412">Q43</f>
        <v>2027/28</v>
      </c>
    </row>
    <row r="286" spans="1:17" x14ac:dyDescent="0.2">
      <c r="A286" s="2509"/>
      <c r="B286" s="547"/>
      <c r="C286" s="547"/>
      <c r="D286" s="547"/>
      <c r="E286" s="556"/>
      <c r="F286" s="556"/>
      <c r="G286" s="556"/>
      <c r="H286" s="556"/>
      <c r="I286" s="556"/>
      <c r="J286" s="556"/>
      <c r="K286" s="556"/>
      <c r="L286" s="556"/>
      <c r="M286" s="973"/>
      <c r="N286" s="973"/>
      <c r="O286" s="973"/>
      <c r="P286" s="973"/>
      <c r="Q286" s="2482"/>
    </row>
    <row r="287" spans="1:17" x14ac:dyDescent="0.2">
      <c r="A287" s="2492" t="s">
        <v>4249</v>
      </c>
      <c r="B287" s="547"/>
      <c r="C287" s="547"/>
      <c r="D287" s="547"/>
      <c r="E287" s="547"/>
      <c r="F287" s="547"/>
      <c r="G287" s="547"/>
      <c r="H287" s="547"/>
      <c r="I287" s="547"/>
      <c r="J287" s="547"/>
      <c r="K287" s="547"/>
      <c r="L287" s="547"/>
      <c r="M287" s="549"/>
      <c r="N287" s="549"/>
      <c r="O287" s="549"/>
      <c r="P287" s="549"/>
      <c r="Q287" s="2256"/>
    </row>
    <row r="288" spans="1:17" s="726" customFormat="1" x14ac:dyDescent="0.2">
      <c r="A288" s="815" t="s">
        <v>4155</v>
      </c>
      <c r="B288" s="79">
        <f>114935-44</f>
        <v>114891</v>
      </c>
      <c r="C288" s="79">
        <f>LTFP!A16/1000</f>
        <v>84787.1</v>
      </c>
      <c r="D288" s="79">
        <f>LTFP!B16/1000</f>
        <v>90144.2</v>
      </c>
      <c r="E288" s="79">
        <f>LTFP!C16/1000</f>
        <v>92109.9</v>
      </c>
      <c r="F288" s="79">
        <f>LTFP!D16/1000</f>
        <v>99533.5</v>
      </c>
      <c r="G288" s="79">
        <f>LTFP!F16/1000</f>
        <v>101066.5</v>
      </c>
      <c r="H288" s="79">
        <f>LTFP!H16/1000</f>
        <v>97300.4</v>
      </c>
      <c r="I288" s="79">
        <f>LTFP!I16/1000</f>
        <v>97019.3</v>
      </c>
      <c r="J288" s="79">
        <f>LTFP!J16/1000</f>
        <v>104362.7</v>
      </c>
      <c r="K288" s="79">
        <f>LTFP!K16/1000</f>
        <v>107693</v>
      </c>
      <c r="L288" s="79">
        <f>LTFP!L16/1000</f>
        <v>101636.9</v>
      </c>
      <c r="M288" s="79">
        <f>LTFP!M16/1000</f>
        <v>105024.3</v>
      </c>
      <c r="N288" s="77">
        <f>LTFP!N16/1000</f>
        <v>107003.9</v>
      </c>
      <c r="O288" s="77">
        <f>LTFP!O16/1000</f>
        <v>110592.2</v>
      </c>
      <c r="P288" s="77">
        <f>LTFP!P16/1000</f>
        <v>113007.6</v>
      </c>
      <c r="Q288" s="587">
        <f>LTFP!Q16/1000</f>
        <v>116921.4</v>
      </c>
    </row>
    <row r="289" spans="1:17" s="726" customFormat="1" x14ac:dyDescent="0.2">
      <c r="A289" s="815" t="s">
        <v>4273</v>
      </c>
      <c r="B289" s="79">
        <f t="shared" ref="B289:O289" si="413">B305+B321+B335</f>
        <v>0</v>
      </c>
      <c r="C289" s="79">
        <f t="shared" si="413"/>
        <v>-6</v>
      </c>
      <c r="D289" s="79">
        <f t="shared" si="413"/>
        <v>0</v>
      </c>
      <c r="E289" s="79">
        <f t="shared" si="413"/>
        <v>0</v>
      </c>
      <c r="F289" s="79">
        <f t="shared" si="413"/>
        <v>0</v>
      </c>
      <c r="G289" s="79">
        <f t="shared" si="413"/>
        <v>0</v>
      </c>
      <c r="H289" s="79">
        <f t="shared" si="413"/>
        <v>0</v>
      </c>
      <c r="I289" s="79">
        <f t="shared" si="413"/>
        <v>0</v>
      </c>
      <c r="J289" s="79">
        <f t="shared" si="413"/>
        <v>0</v>
      </c>
      <c r="K289" s="79">
        <f t="shared" si="413"/>
        <v>0</v>
      </c>
      <c r="L289" s="79">
        <f t="shared" si="413"/>
        <v>0</v>
      </c>
      <c r="M289" s="79">
        <f t="shared" si="413"/>
        <v>0</v>
      </c>
      <c r="N289" s="77">
        <f t="shared" si="413"/>
        <v>0</v>
      </c>
      <c r="O289" s="77">
        <f t="shared" si="413"/>
        <v>0</v>
      </c>
      <c r="P289" s="77">
        <f t="shared" ref="P289" si="414">P305+P321+P335</f>
        <v>0</v>
      </c>
      <c r="Q289" s="587">
        <f t="shared" ref="Q289" si="415">Q305+Q321+Q335</f>
        <v>0</v>
      </c>
    </row>
    <row r="290" spans="1:17" s="726" customFormat="1" x14ac:dyDescent="0.2">
      <c r="A290" s="815" t="s">
        <v>4268</v>
      </c>
      <c r="B290" s="79">
        <f t="shared" ref="B290:O290" si="416">B306+B322+B336</f>
        <v>-414</v>
      </c>
      <c r="C290" s="79">
        <f t="shared" si="416"/>
        <v>-333</v>
      </c>
      <c r="D290" s="79">
        <f t="shared" si="416"/>
        <v>0</v>
      </c>
      <c r="E290" s="79">
        <f t="shared" si="416"/>
        <v>0</v>
      </c>
      <c r="F290" s="79">
        <f t="shared" si="416"/>
        <v>0</v>
      </c>
      <c r="G290" s="79">
        <f t="shared" si="416"/>
        <v>0</v>
      </c>
      <c r="H290" s="79">
        <f t="shared" si="416"/>
        <v>0</v>
      </c>
      <c r="I290" s="79">
        <f t="shared" si="416"/>
        <v>0</v>
      </c>
      <c r="J290" s="79">
        <f t="shared" si="416"/>
        <v>0</v>
      </c>
      <c r="K290" s="79">
        <f t="shared" si="416"/>
        <v>0</v>
      </c>
      <c r="L290" s="79">
        <f t="shared" si="416"/>
        <v>0</v>
      </c>
      <c r="M290" s="79">
        <f t="shared" si="416"/>
        <v>0</v>
      </c>
      <c r="N290" s="77">
        <f t="shared" si="416"/>
        <v>0</v>
      </c>
      <c r="O290" s="77">
        <f t="shared" si="416"/>
        <v>0</v>
      </c>
      <c r="P290" s="77">
        <f t="shared" ref="P290" si="417">P306+P322+P336</f>
        <v>0</v>
      </c>
      <c r="Q290" s="587">
        <f t="shared" ref="Q290" si="418">Q306+Q322+Q336</f>
        <v>0</v>
      </c>
    </row>
    <row r="291" spans="1:17" s="726" customFormat="1" x14ac:dyDescent="0.2">
      <c r="A291" s="815" t="s">
        <v>4269</v>
      </c>
      <c r="B291" s="79">
        <v>-39549</v>
      </c>
      <c r="C291" s="79">
        <f>-LTFP!A13/1000</f>
        <v>-13608.5</v>
      </c>
      <c r="D291" s="79">
        <f>-LTFP!B13/1000</f>
        <v>-15880.8</v>
      </c>
      <c r="E291" s="79">
        <f>-LTFP!C13/1000</f>
        <v>-15014</v>
      </c>
      <c r="F291" s="79">
        <f>-LTFP!D13/1000</f>
        <v>-12312.6</v>
      </c>
      <c r="G291" s="79">
        <f>-LTFP!F13/1000</f>
        <v>-18930.3</v>
      </c>
      <c r="H291" s="79">
        <f>-LTFP!H13/1000</f>
        <v>-14943.6</v>
      </c>
      <c r="I291" s="79">
        <f>-LTFP!I13/1000</f>
        <v>-11790.3</v>
      </c>
      <c r="J291" s="79">
        <f>-LTFP!J13/1000</f>
        <v>-18067.5</v>
      </c>
      <c r="K291" s="79">
        <f>-LTFP!K13/1000</f>
        <v>-18499.599999999999</v>
      </c>
      <c r="L291" s="79">
        <f>-LTFP!L13/1000</f>
        <v>-10941.5</v>
      </c>
      <c r="M291" s="79">
        <f>-LTFP!M13/1000</f>
        <v>-11193.2</v>
      </c>
      <c r="N291" s="77">
        <f>-LTFP!N13/1000</f>
        <v>-11458.9</v>
      </c>
      <c r="O291" s="77">
        <f>-LTFP!O13/1000</f>
        <v>-11729.4</v>
      </c>
      <c r="P291" s="77">
        <f>-LTFP!P13/1000</f>
        <v>-12005.7</v>
      </c>
      <c r="Q291" s="587">
        <f>-LTFP!Q13/1000</f>
        <v>-12287.1</v>
      </c>
    </row>
    <row r="292" spans="1:17" x14ac:dyDescent="0.2">
      <c r="A292" s="2313" t="s">
        <v>2812</v>
      </c>
      <c r="B292" s="944">
        <f t="shared" ref="B292:M292" si="419">SUM(B288:B291)</f>
        <v>74928</v>
      </c>
      <c r="C292" s="944">
        <f t="shared" si="419"/>
        <v>70839.600000000006</v>
      </c>
      <c r="D292" s="944">
        <f t="shared" si="419"/>
        <v>74263.399999999994</v>
      </c>
      <c r="E292" s="944">
        <f t="shared" si="419"/>
        <v>77095.899999999994</v>
      </c>
      <c r="F292" s="944">
        <f t="shared" si="419"/>
        <v>87220.9</v>
      </c>
      <c r="G292" s="944">
        <f t="shared" si="419"/>
        <v>82136.2</v>
      </c>
      <c r="H292" s="944">
        <f t="shared" si="419"/>
        <v>82356.799999999988</v>
      </c>
      <c r="I292" s="944">
        <f t="shared" si="419"/>
        <v>85229</v>
      </c>
      <c r="J292" s="944">
        <f t="shared" si="419"/>
        <v>86295.2</v>
      </c>
      <c r="K292" s="944">
        <f t="shared" si="419"/>
        <v>89193.4</v>
      </c>
      <c r="L292" s="944">
        <f t="shared" si="419"/>
        <v>90695.4</v>
      </c>
      <c r="M292" s="944">
        <f t="shared" si="419"/>
        <v>93831.1</v>
      </c>
      <c r="N292" s="1478">
        <f t="shared" ref="N292:O292" si="420">SUM(N288:N291)</f>
        <v>95545</v>
      </c>
      <c r="O292" s="1478">
        <f t="shared" si="420"/>
        <v>98862.8</v>
      </c>
      <c r="P292" s="1478">
        <f t="shared" ref="P292" si="421">SUM(P288:P291)</f>
        <v>101001.90000000001</v>
      </c>
      <c r="Q292" s="2510">
        <f t="shared" ref="Q292" si="422">SUM(Q288:Q291)</f>
        <v>104634.29999999999</v>
      </c>
    </row>
    <row r="293" spans="1:17" s="726" customFormat="1" x14ac:dyDescent="0.2">
      <c r="A293" s="2312" t="s">
        <v>4161</v>
      </c>
      <c r="B293" s="79">
        <v>87727</v>
      </c>
      <c r="C293" s="79">
        <f>LTFP!A25/1000</f>
        <v>84731.7</v>
      </c>
      <c r="D293" s="79">
        <f>LTFP!B25/1000</f>
        <v>90672</v>
      </c>
      <c r="E293" s="79">
        <f>LTFP!C25/1000</f>
        <v>81320.399999999994</v>
      </c>
      <c r="F293" s="79">
        <f>LTFP!D25/1000</f>
        <v>84934.399999999994</v>
      </c>
      <c r="G293" s="79">
        <f>LTFP!F25/1000</f>
        <v>84297.7</v>
      </c>
      <c r="H293" s="79">
        <f>LTFP!H25/1000</f>
        <v>82201.2</v>
      </c>
      <c r="I293" s="79">
        <f>LTFP!I25/1000</f>
        <v>84794.1</v>
      </c>
      <c r="J293" s="79">
        <f>LTFP!J25/1000</f>
        <v>85553.2</v>
      </c>
      <c r="K293" s="79">
        <f>LTFP!K25/1000</f>
        <v>88024.9</v>
      </c>
      <c r="L293" s="79">
        <f>LTFP!L25/1000</f>
        <v>88932.7</v>
      </c>
      <c r="M293" s="79">
        <f>LTFP!M25/1000</f>
        <v>91466.8</v>
      </c>
      <c r="N293" s="77">
        <f>LTFP!N25/1000</f>
        <v>92884.1</v>
      </c>
      <c r="O293" s="77">
        <f>LTFP!O25/1000</f>
        <v>95043.4</v>
      </c>
      <c r="P293" s="77">
        <f>LTFP!P25/1000</f>
        <v>96184.4</v>
      </c>
      <c r="Q293" s="587">
        <f>LTFP!Q25/1000</f>
        <v>98852.6</v>
      </c>
    </row>
    <row r="294" spans="1:17" s="726" customFormat="1" x14ac:dyDescent="0.2">
      <c r="A294" s="2312" t="s">
        <v>2289</v>
      </c>
      <c r="B294" s="79">
        <f t="shared" ref="B294:O294" si="423">B312+B326+B340</f>
        <v>-4591.2</v>
      </c>
      <c r="C294" s="79">
        <f t="shared" si="423"/>
        <v>-2506</v>
      </c>
      <c r="D294" s="79">
        <f t="shared" si="423"/>
        <v>-12177</v>
      </c>
      <c r="E294" s="79">
        <f t="shared" si="423"/>
        <v>-607</v>
      </c>
      <c r="F294" s="79">
        <f t="shared" si="423"/>
        <v>-100</v>
      </c>
      <c r="G294" s="79">
        <f t="shared" si="423"/>
        <v>-100</v>
      </c>
      <c r="H294" s="79">
        <f t="shared" si="423"/>
        <v>-100</v>
      </c>
      <c r="I294" s="79">
        <f t="shared" si="423"/>
        <v>-100</v>
      </c>
      <c r="J294" s="79">
        <f t="shared" si="423"/>
        <v>-100</v>
      </c>
      <c r="K294" s="79">
        <f t="shared" si="423"/>
        <v>-100</v>
      </c>
      <c r="L294" s="79">
        <f t="shared" si="423"/>
        <v>-100</v>
      </c>
      <c r="M294" s="77">
        <f t="shared" si="423"/>
        <v>-100</v>
      </c>
      <c r="N294" s="77">
        <f t="shared" si="423"/>
        <v>-100</v>
      </c>
      <c r="O294" s="77">
        <f t="shared" si="423"/>
        <v>-100</v>
      </c>
      <c r="P294" s="77">
        <f t="shared" ref="P294" si="424">P312+P326+P340</f>
        <v>-100</v>
      </c>
      <c r="Q294" s="587">
        <f t="shared" ref="Q294" si="425">Q312+Q326+Q340</f>
        <v>-100</v>
      </c>
    </row>
    <row r="295" spans="1:17" s="726" customFormat="1" x14ac:dyDescent="0.2">
      <c r="A295" s="2312" t="s">
        <v>4270</v>
      </c>
      <c r="B295" s="79">
        <f t="shared" ref="B295:O295" si="426">B313+B327+B341</f>
        <v>-2745</v>
      </c>
      <c r="C295" s="79">
        <f t="shared" si="426"/>
        <v>0</v>
      </c>
      <c r="D295" s="79">
        <f t="shared" si="426"/>
        <v>0</v>
      </c>
      <c r="E295" s="79">
        <f t="shared" si="426"/>
        <v>-163</v>
      </c>
      <c r="F295" s="79">
        <f t="shared" si="426"/>
        <v>0</v>
      </c>
      <c r="G295" s="79">
        <f t="shared" si="426"/>
        <v>0</v>
      </c>
      <c r="H295" s="79">
        <f t="shared" si="426"/>
        <v>0</v>
      </c>
      <c r="I295" s="79">
        <f t="shared" si="426"/>
        <v>0</v>
      </c>
      <c r="J295" s="79">
        <f t="shared" si="426"/>
        <v>0</v>
      </c>
      <c r="K295" s="79">
        <f t="shared" si="426"/>
        <v>0</v>
      </c>
      <c r="L295" s="79">
        <f t="shared" si="426"/>
        <v>0</v>
      </c>
      <c r="M295" s="77">
        <f t="shared" si="426"/>
        <v>0</v>
      </c>
      <c r="N295" s="77">
        <f t="shared" si="426"/>
        <v>0</v>
      </c>
      <c r="O295" s="77">
        <f t="shared" si="426"/>
        <v>0</v>
      </c>
      <c r="P295" s="77">
        <f t="shared" ref="P295" si="427">P313+P327+P341</f>
        <v>0</v>
      </c>
      <c r="Q295" s="587">
        <f t="shared" ref="Q295" si="428">Q313+Q327+Q341</f>
        <v>0</v>
      </c>
    </row>
    <row r="296" spans="1:17" x14ac:dyDescent="0.2">
      <c r="A296" s="2313" t="s">
        <v>4272</v>
      </c>
      <c r="B296" s="944">
        <f t="shared" ref="B296:C296" si="429">SUM(B293:B295)</f>
        <v>80390.8</v>
      </c>
      <c r="C296" s="944">
        <f t="shared" si="429"/>
        <v>82225.7</v>
      </c>
      <c r="D296" s="944">
        <f>SUM(D293:D295)</f>
        <v>78495</v>
      </c>
      <c r="E296" s="944">
        <f t="shared" ref="E296:N296" si="430">SUM(E293:E295)</f>
        <v>80550.399999999994</v>
      </c>
      <c r="F296" s="944">
        <f t="shared" si="430"/>
        <v>84834.4</v>
      </c>
      <c r="G296" s="944">
        <f t="shared" si="430"/>
        <v>84197.7</v>
      </c>
      <c r="H296" s="944">
        <f t="shared" si="430"/>
        <v>82101.2</v>
      </c>
      <c r="I296" s="944">
        <f t="shared" si="430"/>
        <v>84694.1</v>
      </c>
      <c r="J296" s="944">
        <f t="shared" si="430"/>
        <v>85453.2</v>
      </c>
      <c r="K296" s="944">
        <f t="shared" si="430"/>
        <v>87924.9</v>
      </c>
      <c r="L296" s="944">
        <f t="shared" si="430"/>
        <v>88832.7</v>
      </c>
      <c r="M296" s="944">
        <f t="shared" si="430"/>
        <v>91366.8</v>
      </c>
      <c r="N296" s="1478">
        <f t="shared" si="430"/>
        <v>92784.1</v>
      </c>
      <c r="O296" s="1478">
        <f t="shared" ref="O296" si="431">SUM(O293:O295)</f>
        <v>94943.4</v>
      </c>
      <c r="P296" s="1478">
        <f t="shared" ref="P296" si="432">SUM(P293:P295)</f>
        <v>96084.4</v>
      </c>
      <c r="Q296" s="2510">
        <f t="shared" ref="Q296" si="433">SUM(Q293:Q295)</f>
        <v>98752.6</v>
      </c>
    </row>
    <row r="297" spans="1:17" s="573" customFormat="1" x14ac:dyDescent="0.2">
      <c r="A297" s="816" t="s">
        <v>4271</v>
      </c>
      <c r="B297" s="63">
        <f t="shared" ref="B297:M297" si="434">B292-B296</f>
        <v>-5462.8000000000029</v>
      </c>
      <c r="C297" s="63">
        <f t="shared" si="434"/>
        <v>-11386.099999999991</v>
      </c>
      <c r="D297" s="63">
        <f>D292-D296</f>
        <v>-4231.6000000000058</v>
      </c>
      <c r="E297" s="63">
        <f t="shared" si="434"/>
        <v>-3454.5</v>
      </c>
      <c r="F297" s="63">
        <f t="shared" si="434"/>
        <v>2386.5</v>
      </c>
      <c r="G297" s="63">
        <f t="shared" si="434"/>
        <v>-2061.5</v>
      </c>
      <c r="H297" s="63">
        <f t="shared" si="434"/>
        <v>255.59999999999127</v>
      </c>
      <c r="I297" s="63">
        <f t="shared" si="434"/>
        <v>534.89999999999418</v>
      </c>
      <c r="J297" s="63">
        <f t="shared" si="434"/>
        <v>842</v>
      </c>
      <c r="K297" s="63">
        <f t="shared" si="434"/>
        <v>1268.5</v>
      </c>
      <c r="L297" s="63">
        <f t="shared" si="434"/>
        <v>1862.6999999999971</v>
      </c>
      <c r="M297" s="107">
        <f t="shared" si="434"/>
        <v>2464.3000000000029</v>
      </c>
      <c r="N297" s="107">
        <f t="shared" ref="N297:O297" si="435">N292-N296</f>
        <v>2760.8999999999942</v>
      </c>
      <c r="O297" s="107">
        <f t="shared" si="435"/>
        <v>3919.4000000000087</v>
      </c>
      <c r="P297" s="107">
        <f t="shared" ref="P297" si="436">P292-P296</f>
        <v>4917.5000000000146</v>
      </c>
      <c r="Q297" s="1252">
        <f t="shared" ref="Q297" si="437">Q292-Q296</f>
        <v>5881.6999999999825</v>
      </c>
    </row>
    <row r="298" spans="1:17" x14ac:dyDescent="0.2">
      <c r="A298" s="1842" t="s">
        <v>200</v>
      </c>
      <c r="B298" s="48">
        <f t="shared" ref="B298:M298" si="438">B292</f>
        <v>74928</v>
      </c>
      <c r="C298" s="48">
        <f t="shared" si="438"/>
        <v>70839.600000000006</v>
      </c>
      <c r="D298" s="48">
        <f t="shared" si="438"/>
        <v>74263.399999999994</v>
      </c>
      <c r="E298" s="48">
        <f t="shared" si="438"/>
        <v>77095.899999999994</v>
      </c>
      <c r="F298" s="48">
        <f t="shared" si="438"/>
        <v>87220.9</v>
      </c>
      <c r="G298" s="48">
        <f t="shared" si="438"/>
        <v>82136.2</v>
      </c>
      <c r="H298" s="48">
        <f t="shared" si="438"/>
        <v>82356.799999999988</v>
      </c>
      <c r="I298" s="48">
        <f t="shared" si="438"/>
        <v>85229</v>
      </c>
      <c r="J298" s="48">
        <f t="shared" si="438"/>
        <v>86295.2</v>
      </c>
      <c r="K298" s="48">
        <f t="shared" si="438"/>
        <v>89193.4</v>
      </c>
      <c r="L298" s="48">
        <f t="shared" si="438"/>
        <v>90695.4</v>
      </c>
      <c r="M298" s="161">
        <f t="shared" si="438"/>
        <v>93831.1</v>
      </c>
      <c r="N298" s="161">
        <f t="shared" ref="N298" si="439">N292</f>
        <v>95545</v>
      </c>
      <c r="O298" s="161">
        <f>O292</f>
        <v>98862.8</v>
      </c>
      <c r="P298" s="161">
        <f>P292</f>
        <v>101001.90000000001</v>
      </c>
      <c r="Q298" s="1846">
        <f>Q292</f>
        <v>104634.29999999999</v>
      </c>
    </row>
    <row r="299" spans="1:17" s="285" customFormat="1" x14ac:dyDescent="0.2">
      <c r="A299" s="816" t="s">
        <v>4250</v>
      </c>
      <c r="B299" s="1491">
        <f t="shared" ref="B299:M299" si="440">B297/B298</f>
        <v>-7.2907324364723511E-2</v>
      </c>
      <c r="C299" s="1491">
        <f t="shared" si="440"/>
        <v>-0.16073072123501531</v>
      </c>
      <c r="D299" s="1491">
        <f>D297/D298</f>
        <v>-5.6980962358308483E-2</v>
      </c>
      <c r="E299" s="1491">
        <f t="shared" si="440"/>
        <v>-4.4807830247782308E-2</v>
      </c>
      <c r="F299" s="1491">
        <f t="shared" si="440"/>
        <v>2.7361561277170956E-2</v>
      </c>
      <c r="G299" s="1491">
        <f t="shared" si="440"/>
        <v>-2.5098555813392879E-2</v>
      </c>
      <c r="H299" s="1491">
        <f t="shared" si="440"/>
        <v>3.1035688613446771E-3</v>
      </c>
      <c r="I299" s="1491">
        <f t="shared" si="440"/>
        <v>6.2760328057350689E-3</v>
      </c>
      <c r="J299" s="1491">
        <f t="shared" si="440"/>
        <v>9.7572054992629952E-3</v>
      </c>
      <c r="K299" s="1491">
        <f t="shared" si="440"/>
        <v>1.4221904311305546E-2</v>
      </c>
      <c r="L299" s="1491">
        <f t="shared" si="440"/>
        <v>2.0537976567720051E-2</v>
      </c>
      <c r="M299" s="2103">
        <f t="shared" si="440"/>
        <v>2.6263147293381434E-2</v>
      </c>
      <c r="N299" s="2103">
        <f t="shared" ref="N299:O299" si="441">N297/N298</f>
        <v>2.8896331571510746E-2</v>
      </c>
      <c r="O299" s="2103">
        <f t="shared" si="441"/>
        <v>3.9644841133368754E-2</v>
      </c>
      <c r="P299" s="2103">
        <f t="shared" ref="P299" si="442">P297/P298</f>
        <v>4.8687202914004725E-2</v>
      </c>
      <c r="Q299" s="2511">
        <f t="shared" ref="Q299" si="443">Q297/Q298</f>
        <v>5.6211968733006129E-2</v>
      </c>
    </row>
    <row r="300" spans="1:17" x14ac:dyDescent="0.2">
      <c r="A300" s="2313"/>
      <c r="B300" s="839"/>
      <c r="C300" s="839"/>
      <c r="D300" s="839"/>
      <c r="E300" s="839"/>
      <c r="F300" s="839"/>
      <c r="G300" s="839"/>
      <c r="H300" s="839"/>
      <c r="I300" s="839"/>
      <c r="J300" s="839"/>
      <c r="K300" s="839"/>
      <c r="L300" s="839"/>
      <c r="M300" s="967"/>
      <c r="N300" s="967"/>
      <c r="O300" s="967"/>
      <c r="P300" s="967"/>
      <c r="Q300" s="2489"/>
    </row>
    <row r="301" spans="1:17" x14ac:dyDescent="0.2">
      <c r="A301" s="2490"/>
      <c r="B301" s="1483"/>
      <c r="C301" s="1483"/>
      <c r="D301" s="1483"/>
      <c r="E301" s="1483"/>
      <c r="F301" s="1483"/>
      <c r="G301" s="1483"/>
      <c r="H301" s="1483"/>
      <c r="I301" s="1483"/>
      <c r="J301" s="1483"/>
      <c r="K301" s="1483"/>
      <c r="L301" s="1483"/>
      <c r="M301" s="968"/>
      <c r="N301" s="968"/>
      <c r="O301" s="968"/>
      <c r="P301" s="968"/>
      <c r="Q301" s="2491"/>
    </row>
    <row r="302" spans="1:17" x14ac:dyDescent="0.2">
      <c r="A302" s="2492" t="s">
        <v>4251</v>
      </c>
      <c r="B302" s="547"/>
      <c r="C302" s="547"/>
      <c r="D302" s="547"/>
      <c r="E302" s="547"/>
      <c r="F302" s="547"/>
      <c r="G302" s="547"/>
      <c r="H302" s="547"/>
      <c r="I302" s="547"/>
      <c r="J302" s="547"/>
      <c r="K302" s="547"/>
      <c r="L302" s="547"/>
      <c r="M302" s="549"/>
      <c r="N302" s="549"/>
      <c r="O302" s="549"/>
      <c r="P302" s="549"/>
      <c r="Q302" s="2256"/>
    </row>
    <row r="303" spans="1:17" s="726" customFormat="1" x14ac:dyDescent="0.2">
      <c r="A303" s="815" t="s">
        <v>4155</v>
      </c>
      <c r="B303" s="943">
        <v>88988</v>
      </c>
      <c r="C303" s="79">
        <f>LTFP!A47/1000</f>
        <v>56961</v>
      </c>
      <c r="D303" s="79">
        <f>LTFP!B47/1000</f>
        <v>60802.2</v>
      </c>
      <c r="E303" s="79">
        <f>LTFP!C47/1000</f>
        <v>61040.1</v>
      </c>
      <c r="F303" s="79">
        <f>LTFP!D47/1000</f>
        <v>68045</v>
      </c>
      <c r="G303" s="79">
        <f>LTFP!F47/1000</f>
        <v>68149.2</v>
      </c>
      <c r="H303" s="79">
        <f>LTFP!H47/1000</f>
        <v>63511</v>
      </c>
      <c r="I303" s="79">
        <f>LTFP!I47/1000</f>
        <v>62534</v>
      </c>
      <c r="J303" s="79">
        <f>LTFP!J47/1000</f>
        <v>69057.5</v>
      </c>
      <c r="K303" s="79">
        <f>LTFP!K47/1000</f>
        <v>71397.100000000006</v>
      </c>
      <c r="L303" s="79">
        <f>LTFP!L47/1000</f>
        <v>64501.8</v>
      </c>
      <c r="M303" s="79">
        <f>LTFP!M47/1000</f>
        <v>67003.8</v>
      </c>
      <c r="N303" s="77">
        <f>LTFP!N47/1000</f>
        <v>67997.7</v>
      </c>
      <c r="O303" s="77">
        <f>LTFP!O47/1000</f>
        <v>70592.399999999994</v>
      </c>
      <c r="P303" s="77">
        <f>LTFP!P47/1000</f>
        <v>71803.899999999994</v>
      </c>
      <c r="Q303" s="587">
        <f>LTFP!Q47/1000</f>
        <v>74469.5</v>
      </c>
    </row>
    <row r="304" spans="1:17" s="726" customFormat="1" x14ac:dyDescent="0.2">
      <c r="A304" s="815" t="s">
        <v>6683</v>
      </c>
      <c r="B304" s="943"/>
      <c r="C304" s="79"/>
      <c r="D304" s="79"/>
      <c r="E304" s="79">
        <v>2013</v>
      </c>
      <c r="F304" s="79">
        <v>0</v>
      </c>
      <c r="G304" s="79">
        <v>0</v>
      </c>
      <c r="H304" s="79">
        <v>0</v>
      </c>
      <c r="I304" s="79">
        <v>0</v>
      </c>
      <c r="J304" s="79">
        <v>0</v>
      </c>
      <c r="K304" s="79">
        <v>0</v>
      </c>
      <c r="L304" s="79">
        <v>0</v>
      </c>
      <c r="M304" s="79">
        <v>0</v>
      </c>
      <c r="N304" s="79">
        <v>0</v>
      </c>
      <c r="O304" s="79">
        <v>0</v>
      </c>
      <c r="P304" s="79">
        <v>0</v>
      </c>
      <c r="Q304" s="582">
        <v>0</v>
      </c>
    </row>
    <row r="305" spans="1:17" s="726" customFormat="1" x14ac:dyDescent="0.2">
      <c r="A305" s="815" t="s">
        <v>4273</v>
      </c>
      <c r="B305" s="79"/>
      <c r="C305" s="79"/>
      <c r="D305" s="79"/>
      <c r="E305" s="79"/>
      <c r="F305" s="79"/>
      <c r="G305" s="79"/>
      <c r="H305" s="79"/>
      <c r="I305" s="79"/>
      <c r="J305" s="79"/>
      <c r="K305" s="79"/>
      <c r="L305" s="79"/>
      <c r="M305" s="77"/>
      <c r="N305" s="77"/>
      <c r="O305" s="77"/>
      <c r="P305" s="77"/>
      <c r="Q305" s="587"/>
    </row>
    <row r="306" spans="1:17" s="726" customFormat="1" x14ac:dyDescent="0.2">
      <c r="A306" s="815" t="s">
        <v>4268</v>
      </c>
      <c r="B306" s="79">
        <f>-414</f>
        <v>-414</v>
      </c>
      <c r="C306" s="79">
        <v>-333</v>
      </c>
      <c r="D306" s="79"/>
      <c r="E306" s="79"/>
      <c r="F306" s="79"/>
      <c r="G306" s="79"/>
      <c r="H306" s="79"/>
      <c r="I306" s="79"/>
      <c r="J306" s="79"/>
      <c r="K306" s="79"/>
      <c r="L306" s="79"/>
      <c r="M306" s="77"/>
      <c r="N306" s="77"/>
      <c r="O306" s="77"/>
      <c r="P306" s="77"/>
      <c r="Q306" s="587"/>
    </row>
    <row r="307" spans="1:17" s="726" customFormat="1" x14ac:dyDescent="0.2">
      <c r="A307" s="815" t="s">
        <v>4269</v>
      </c>
      <c r="B307" s="79">
        <v>-37059</v>
      </c>
      <c r="C307" s="79">
        <f>-LTFP!A44/1000</f>
        <v>-10914</v>
      </c>
      <c r="D307" s="79">
        <f>-LTFP!B44/1000</f>
        <v>-12768</v>
      </c>
      <c r="E307" s="79">
        <f>-LTFP!C44/1000</f>
        <v>-11484.1</v>
      </c>
      <c r="F307" s="79">
        <f>-LTFP!D44/1000</f>
        <v>-11107</v>
      </c>
      <c r="G307" s="79">
        <f>-LTFP!F44/1000</f>
        <v>-16009.8</v>
      </c>
      <c r="H307" s="79">
        <f>-LTFP!H44/1000</f>
        <v>-11968.1</v>
      </c>
      <c r="I307" s="79">
        <f>-LTFP!I44/1000</f>
        <v>-8754.7999999999993</v>
      </c>
      <c r="J307" s="79">
        <f>-LTFP!J44/1000</f>
        <v>-14972</v>
      </c>
      <c r="K307" s="79">
        <f>-LTFP!K44/1000</f>
        <v>-15344.1</v>
      </c>
      <c r="L307" s="79">
        <f>-LTFP!L44/1000</f>
        <v>-7726</v>
      </c>
      <c r="M307" s="79">
        <f>-LTFP!M44/1000</f>
        <v>-7917.7</v>
      </c>
      <c r="N307" s="77">
        <f>-LTFP!N44/1000</f>
        <v>-8113.4</v>
      </c>
      <c r="O307" s="77">
        <f>-LTFP!O44/1000</f>
        <v>-8313.9</v>
      </c>
      <c r="P307" s="77">
        <f>-LTFP!P44/1000</f>
        <v>-8520.2000000000007</v>
      </c>
      <c r="Q307" s="587">
        <f>-LTFP!Q44/1000</f>
        <v>-8731.6</v>
      </c>
    </row>
    <row r="308" spans="1:17" s="726" customFormat="1" x14ac:dyDescent="0.2">
      <c r="A308" s="815" t="s">
        <v>6684</v>
      </c>
      <c r="B308" s="79"/>
      <c r="C308" s="79"/>
      <c r="D308" s="79"/>
      <c r="E308" s="79">
        <f t="shared" ref="E308:O308" si="444">-E304</f>
        <v>-2013</v>
      </c>
      <c r="F308" s="79">
        <f t="shared" si="444"/>
        <v>0</v>
      </c>
      <c r="G308" s="79">
        <f t="shared" si="444"/>
        <v>0</v>
      </c>
      <c r="H308" s="79">
        <f t="shared" si="444"/>
        <v>0</v>
      </c>
      <c r="I308" s="79">
        <f t="shared" si="444"/>
        <v>0</v>
      </c>
      <c r="J308" s="79">
        <f t="shared" si="444"/>
        <v>0</v>
      </c>
      <c r="K308" s="79">
        <f t="shared" si="444"/>
        <v>0</v>
      </c>
      <c r="L308" s="79">
        <f t="shared" si="444"/>
        <v>0</v>
      </c>
      <c r="M308" s="79">
        <f t="shared" si="444"/>
        <v>0</v>
      </c>
      <c r="N308" s="79">
        <f t="shared" si="444"/>
        <v>0</v>
      </c>
      <c r="O308" s="79">
        <f t="shared" si="444"/>
        <v>0</v>
      </c>
      <c r="P308" s="79">
        <f t="shared" ref="P308" si="445">-P304</f>
        <v>0</v>
      </c>
      <c r="Q308" s="582">
        <f t="shared" ref="Q308" si="446">-Q304</f>
        <v>0</v>
      </c>
    </row>
    <row r="309" spans="1:17" x14ac:dyDescent="0.2">
      <c r="A309" s="2313" t="s">
        <v>2812</v>
      </c>
      <c r="B309" s="687">
        <f>SUM(B303:B307)</f>
        <v>51515</v>
      </c>
      <c r="C309" s="944">
        <f>SUM(C303:C307)</f>
        <v>45714</v>
      </c>
      <c r="D309" s="944">
        <f>SUM(D303:D307)</f>
        <v>48034.2</v>
      </c>
      <c r="E309" s="944">
        <f t="shared" ref="E309:O309" si="447">SUM(E303:E308)</f>
        <v>49556</v>
      </c>
      <c r="F309" s="944">
        <f t="shared" si="447"/>
        <v>56938</v>
      </c>
      <c r="G309" s="944">
        <f t="shared" si="447"/>
        <v>52139.399999999994</v>
      </c>
      <c r="H309" s="944">
        <f t="shared" si="447"/>
        <v>51542.9</v>
      </c>
      <c r="I309" s="944">
        <f t="shared" si="447"/>
        <v>53779.199999999997</v>
      </c>
      <c r="J309" s="944">
        <f t="shared" si="447"/>
        <v>54085.5</v>
      </c>
      <c r="K309" s="944">
        <f t="shared" si="447"/>
        <v>56053.000000000007</v>
      </c>
      <c r="L309" s="944">
        <f t="shared" si="447"/>
        <v>56775.8</v>
      </c>
      <c r="M309" s="944">
        <f t="shared" si="447"/>
        <v>59086.100000000006</v>
      </c>
      <c r="N309" s="944">
        <f t="shared" si="447"/>
        <v>59884.299999999996</v>
      </c>
      <c r="O309" s="944">
        <f t="shared" si="447"/>
        <v>62278.499999999993</v>
      </c>
      <c r="P309" s="944">
        <f t="shared" ref="P309" si="448">SUM(P303:P308)</f>
        <v>63283.7</v>
      </c>
      <c r="Q309" s="2512">
        <f t="shared" ref="Q309" si="449">SUM(Q303:Q308)</f>
        <v>65737.899999999994</v>
      </c>
    </row>
    <row r="310" spans="1:17" s="726" customFormat="1" x14ac:dyDescent="0.2">
      <c r="A310" s="2312" t="s">
        <v>4161</v>
      </c>
      <c r="B310" s="943">
        <f>59257</f>
        <v>59257</v>
      </c>
      <c r="C310" s="79">
        <f>LTFP!A56/1000</f>
        <v>56596</v>
      </c>
      <c r="D310" s="79">
        <f>LTFP!B56/1000</f>
        <v>51127</v>
      </c>
      <c r="E310" s="79">
        <f>LTFP!C56/1000</f>
        <v>53166.1</v>
      </c>
      <c r="F310" s="79">
        <f>LTFP!D56/1000</f>
        <v>55695</v>
      </c>
      <c r="G310" s="79">
        <f>LTFP!F56/1000</f>
        <v>55275</v>
      </c>
      <c r="H310" s="79">
        <f>LTFP!H56/1000</f>
        <v>53035.8</v>
      </c>
      <c r="I310" s="79">
        <f>LTFP!I56/1000</f>
        <v>55280.9</v>
      </c>
      <c r="J310" s="79">
        <f>LTFP!J56/1000</f>
        <v>55654.3</v>
      </c>
      <c r="K310" s="79">
        <f>LTFP!K56/1000</f>
        <v>57624.9</v>
      </c>
      <c r="L310" s="79">
        <f>LTFP!L56/1000</f>
        <v>57963.1</v>
      </c>
      <c r="M310" s="79">
        <f>LTFP!M56/1000</f>
        <v>60084.3</v>
      </c>
      <c r="N310" s="77">
        <f>LTFP!N56/1000</f>
        <v>60976</v>
      </c>
      <c r="O310" s="77">
        <f>LTFP!O56/1000</f>
        <v>62655.4</v>
      </c>
      <c r="P310" s="77">
        <f>LTFP!P56/1000</f>
        <v>63235.5</v>
      </c>
      <c r="Q310" s="587">
        <f>LTFP!Q56/1000</f>
        <v>65356.7</v>
      </c>
    </row>
    <row r="311" spans="1:17" s="726" customFormat="1" x14ac:dyDescent="0.2">
      <c r="A311" s="2312" t="s">
        <v>6682</v>
      </c>
      <c r="B311" s="943"/>
      <c r="C311" s="79"/>
      <c r="D311" s="79"/>
      <c r="E311" s="79">
        <v>-100</v>
      </c>
      <c r="F311" s="79">
        <v>-100</v>
      </c>
      <c r="G311" s="79">
        <f>F311</f>
        <v>-100</v>
      </c>
      <c r="H311" s="79">
        <f t="shared" ref="H311:O311" si="450">G311</f>
        <v>-100</v>
      </c>
      <c r="I311" s="79">
        <f t="shared" si="450"/>
        <v>-100</v>
      </c>
      <c r="J311" s="79">
        <f t="shared" si="450"/>
        <v>-100</v>
      </c>
      <c r="K311" s="79">
        <f t="shared" si="450"/>
        <v>-100</v>
      </c>
      <c r="L311" s="79">
        <f t="shared" si="450"/>
        <v>-100</v>
      </c>
      <c r="M311" s="79">
        <f t="shared" si="450"/>
        <v>-100</v>
      </c>
      <c r="N311" s="79">
        <f t="shared" si="450"/>
        <v>-100</v>
      </c>
      <c r="O311" s="79">
        <f t="shared" si="450"/>
        <v>-100</v>
      </c>
      <c r="P311" s="79">
        <f t="shared" ref="P311:Q313" si="451">O311</f>
        <v>-100</v>
      </c>
      <c r="Q311" s="582">
        <f t="shared" si="451"/>
        <v>-100</v>
      </c>
    </row>
    <row r="312" spans="1:17" s="726" customFormat="1" x14ac:dyDescent="0.2">
      <c r="A312" s="2312" t="s">
        <v>2289</v>
      </c>
      <c r="B312" s="79">
        <v>-3171</v>
      </c>
      <c r="C312" s="79">
        <v>-2617</v>
      </c>
      <c r="D312" s="79"/>
      <c r="E312" s="79">
        <v>-569</v>
      </c>
      <c r="F312" s="79">
        <v>-100</v>
      </c>
      <c r="G312" s="79">
        <f>F312</f>
        <v>-100</v>
      </c>
      <c r="H312" s="79">
        <f t="shared" ref="H312:O312" si="452">G312</f>
        <v>-100</v>
      </c>
      <c r="I312" s="79">
        <f t="shared" si="452"/>
        <v>-100</v>
      </c>
      <c r="J312" s="79">
        <f t="shared" si="452"/>
        <v>-100</v>
      </c>
      <c r="K312" s="79">
        <f t="shared" si="452"/>
        <v>-100</v>
      </c>
      <c r="L312" s="79">
        <f t="shared" si="452"/>
        <v>-100</v>
      </c>
      <c r="M312" s="79">
        <f t="shared" si="452"/>
        <v>-100</v>
      </c>
      <c r="N312" s="79">
        <f t="shared" si="452"/>
        <v>-100</v>
      </c>
      <c r="O312" s="79">
        <f t="shared" si="452"/>
        <v>-100</v>
      </c>
      <c r="P312" s="79">
        <f t="shared" si="451"/>
        <v>-100</v>
      </c>
      <c r="Q312" s="582">
        <f t="shared" si="451"/>
        <v>-100</v>
      </c>
    </row>
    <row r="313" spans="1:17" s="726" customFormat="1" x14ac:dyDescent="0.2">
      <c r="A313" s="2312" t="s">
        <v>4270</v>
      </c>
      <c r="B313" s="79">
        <v>-2745</v>
      </c>
      <c r="C313" s="79">
        <v>0</v>
      </c>
      <c r="D313" s="79"/>
      <c r="E313" s="79">
        <v>-163</v>
      </c>
      <c r="F313" s="79">
        <v>0</v>
      </c>
      <c r="G313" s="79">
        <f>F313</f>
        <v>0</v>
      </c>
      <c r="H313" s="79">
        <f t="shared" ref="H313:O313" si="453">G313</f>
        <v>0</v>
      </c>
      <c r="I313" s="79">
        <f t="shared" si="453"/>
        <v>0</v>
      </c>
      <c r="J313" s="79">
        <f t="shared" si="453"/>
        <v>0</v>
      </c>
      <c r="K313" s="79">
        <f t="shared" si="453"/>
        <v>0</v>
      </c>
      <c r="L313" s="79">
        <f t="shared" si="453"/>
        <v>0</v>
      </c>
      <c r="M313" s="79">
        <f t="shared" si="453"/>
        <v>0</v>
      </c>
      <c r="N313" s="79">
        <f t="shared" si="453"/>
        <v>0</v>
      </c>
      <c r="O313" s="79">
        <f t="shared" si="453"/>
        <v>0</v>
      </c>
      <c r="P313" s="79">
        <f t="shared" si="451"/>
        <v>0</v>
      </c>
      <c r="Q313" s="582">
        <f t="shared" si="451"/>
        <v>0</v>
      </c>
    </row>
    <row r="314" spans="1:17" x14ac:dyDescent="0.2">
      <c r="A314" s="2313" t="s">
        <v>4272</v>
      </c>
      <c r="B314" s="687">
        <f t="shared" ref="B314:O314" si="454">SUM(B310:B313)</f>
        <v>53341</v>
      </c>
      <c r="C314" s="944">
        <f t="shared" si="454"/>
        <v>53979</v>
      </c>
      <c r="D314" s="944">
        <f t="shared" si="454"/>
        <v>51127</v>
      </c>
      <c r="E314" s="944">
        <f t="shared" si="454"/>
        <v>52334.1</v>
      </c>
      <c r="F314" s="944">
        <f t="shared" si="454"/>
        <v>55495</v>
      </c>
      <c r="G314" s="944">
        <f t="shared" si="454"/>
        <v>55075</v>
      </c>
      <c r="H314" s="944">
        <f t="shared" si="454"/>
        <v>52835.8</v>
      </c>
      <c r="I314" s="944">
        <f t="shared" si="454"/>
        <v>55080.9</v>
      </c>
      <c r="J314" s="944">
        <f t="shared" si="454"/>
        <v>55454.3</v>
      </c>
      <c r="K314" s="944">
        <f t="shared" si="454"/>
        <v>57424.9</v>
      </c>
      <c r="L314" s="944">
        <f t="shared" si="454"/>
        <v>57763.1</v>
      </c>
      <c r="M314" s="944">
        <f t="shared" si="454"/>
        <v>59884.3</v>
      </c>
      <c r="N314" s="1478">
        <f t="shared" si="454"/>
        <v>60776</v>
      </c>
      <c r="O314" s="1478">
        <f t="shared" si="454"/>
        <v>62455.4</v>
      </c>
      <c r="P314" s="1478">
        <f t="shared" ref="P314" si="455">SUM(P310:P313)</f>
        <v>63035.5</v>
      </c>
      <c r="Q314" s="2510">
        <f t="shared" ref="Q314" si="456">SUM(Q310:Q313)</f>
        <v>65156.7</v>
      </c>
    </row>
    <row r="315" spans="1:17" x14ac:dyDescent="0.2">
      <c r="A315" s="816" t="s">
        <v>4271</v>
      </c>
      <c r="B315" s="48">
        <f t="shared" ref="B315:O315" si="457">B309-B314</f>
        <v>-1826</v>
      </c>
      <c r="C315" s="48">
        <f t="shared" si="457"/>
        <v>-8265</v>
      </c>
      <c r="D315" s="48">
        <f t="shared" si="457"/>
        <v>-3092.8000000000029</v>
      </c>
      <c r="E315" s="48">
        <f t="shared" si="457"/>
        <v>-2778.0999999999985</v>
      </c>
      <c r="F315" s="48">
        <f t="shared" si="457"/>
        <v>1443</v>
      </c>
      <c r="G315" s="48">
        <f t="shared" si="457"/>
        <v>-2935.6000000000058</v>
      </c>
      <c r="H315" s="48">
        <f t="shared" si="457"/>
        <v>-1292.9000000000015</v>
      </c>
      <c r="I315" s="48">
        <f t="shared" si="457"/>
        <v>-1301.7000000000044</v>
      </c>
      <c r="J315" s="48">
        <f t="shared" si="457"/>
        <v>-1368.8000000000029</v>
      </c>
      <c r="K315" s="48">
        <f t="shared" si="457"/>
        <v>-1371.8999999999942</v>
      </c>
      <c r="L315" s="48">
        <f t="shared" si="457"/>
        <v>-987.29999999999563</v>
      </c>
      <c r="M315" s="161">
        <f t="shared" si="457"/>
        <v>-798.19999999999709</v>
      </c>
      <c r="N315" s="161">
        <f t="shared" si="457"/>
        <v>-891.70000000000437</v>
      </c>
      <c r="O315" s="161">
        <f t="shared" si="457"/>
        <v>-176.90000000000873</v>
      </c>
      <c r="P315" s="161">
        <f t="shared" ref="P315" si="458">P309-P314</f>
        <v>248.19999999999709</v>
      </c>
      <c r="Q315" s="1846">
        <f t="shared" ref="Q315" si="459">Q309-Q314</f>
        <v>581.19999999999709</v>
      </c>
    </row>
    <row r="316" spans="1:17" x14ac:dyDescent="0.2">
      <c r="A316" s="1842" t="s">
        <v>200</v>
      </c>
      <c r="B316" s="48">
        <f t="shared" ref="B316:O316" si="460">B309</f>
        <v>51515</v>
      </c>
      <c r="C316" s="48">
        <f t="shared" si="460"/>
        <v>45714</v>
      </c>
      <c r="D316" s="48">
        <f t="shared" si="460"/>
        <v>48034.2</v>
      </c>
      <c r="E316" s="48">
        <f t="shared" si="460"/>
        <v>49556</v>
      </c>
      <c r="F316" s="48">
        <f t="shared" si="460"/>
        <v>56938</v>
      </c>
      <c r="G316" s="48">
        <f t="shared" si="460"/>
        <v>52139.399999999994</v>
      </c>
      <c r="H316" s="48">
        <f t="shared" si="460"/>
        <v>51542.9</v>
      </c>
      <c r="I316" s="48">
        <f t="shared" si="460"/>
        <v>53779.199999999997</v>
      </c>
      <c r="J316" s="48">
        <f t="shared" si="460"/>
        <v>54085.5</v>
      </c>
      <c r="K316" s="48">
        <f t="shared" si="460"/>
        <v>56053.000000000007</v>
      </c>
      <c r="L316" s="48">
        <f t="shared" si="460"/>
        <v>56775.8</v>
      </c>
      <c r="M316" s="161">
        <f t="shared" si="460"/>
        <v>59086.100000000006</v>
      </c>
      <c r="N316" s="161">
        <f t="shared" si="460"/>
        <v>59884.299999999996</v>
      </c>
      <c r="O316" s="161">
        <f t="shared" si="460"/>
        <v>62278.499999999993</v>
      </c>
      <c r="P316" s="161">
        <f t="shared" ref="P316" si="461">P309</f>
        <v>63283.7</v>
      </c>
      <c r="Q316" s="1846">
        <f t="shared" ref="Q316" si="462">Q309</f>
        <v>65737.899999999994</v>
      </c>
    </row>
    <row r="317" spans="1:17" s="285" customFormat="1" x14ac:dyDescent="0.2">
      <c r="A317" s="816" t="s">
        <v>4252</v>
      </c>
      <c r="B317" s="1492">
        <f t="shared" ref="B317:M317" si="463">B315/B316</f>
        <v>-3.5445986605842958E-2</v>
      </c>
      <c r="C317" s="1492">
        <f t="shared" si="463"/>
        <v>-0.18079800498753118</v>
      </c>
      <c r="D317" s="1492">
        <f t="shared" si="463"/>
        <v>-6.4387457270028509E-2</v>
      </c>
      <c r="E317" s="1492">
        <f>E315/E316</f>
        <v>-5.605981112277017E-2</v>
      </c>
      <c r="F317" s="1492">
        <f t="shared" si="463"/>
        <v>2.5343355931012682E-2</v>
      </c>
      <c r="G317" s="1492">
        <f t="shared" si="463"/>
        <v>-5.6302911042321283E-2</v>
      </c>
      <c r="H317" s="1492">
        <f t="shared" si="463"/>
        <v>-2.5083959187395383E-2</v>
      </c>
      <c r="I317" s="1492">
        <f t="shared" si="463"/>
        <v>-2.4204525169582373E-2</v>
      </c>
      <c r="J317" s="1492">
        <f t="shared" si="463"/>
        <v>-2.5308077026190069E-2</v>
      </c>
      <c r="K317" s="1492">
        <f t="shared" si="463"/>
        <v>-2.4475050398729666E-2</v>
      </c>
      <c r="L317" s="1492">
        <f t="shared" si="463"/>
        <v>-1.738945113939382E-2</v>
      </c>
      <c r="M317" s="2104">
        <f t="shared" si="463"/>
        <v>-1.3509099432861485E-2</v>
      </c>
      <c r="N317" s="2104">
        <f t="shared" ref="N317:O317" si="464">N315/N316</f>
        <v>-1.4890380283313062E-2</v>
      </c>
      <c r="O317" s="2104">
        <f t="shared" si="464"/>
        <v>-2.8404666136790185E-3</v>
      </c>
      <c r="P317" s="2104">
        <f t="shared" ref="P317" si="465">P315/P316</f>
        <v>3.9220209943476294E-3</v>
      </c>
      <c r="Q317" s="2513">
        <f t="shared" ref="Q317" si="466">Q315/Q316</f>
        <v>8.8411707705904376E-3</v>
      </c>
    </row>
    <row r="318" spans="1:17" x14ac:dyDescent="0.2">
      <c r="A318" s="2313"/>
      <c r="B318" s="839"/>
      <c r="C318" s="839"/>
      <c r="D318" s="839"/>
      <c r="E318" s="839"/>
      <c r="F318" s="839"/>
      <c r="G318" s="839"/>
      <c r="H318" s="839"/>
      <c r="I318" s="839"/>
      <c r="J318" s="839"/>
      <c r="K318" s="839"/>
      <c r="L318" s="839"/>
      <c r="M318" s="967"/>
      <c r="N318" s="967"/>
      <c r="O318" s="967"/>
      <c r="P318" s="967"/>
      <c r="Q318" s="2489"/>
    </row>
    <row r="319" spans="1:17" x14ac:dyDescent="0.2">
      <c r="A319" s="2514" t="s">
        <v>4253</v>
      </c>
      <c r="B319" s="1483"/>
      <c r="C319" s="1483"/>
      <c r="D319" s="1483"/>
      <c r="E319" s="1483"/>
      <c r="F319" s="1483"/>
      <c r="G319" s="1483"/>
      <c r="H319" s="1483"/>
      <c r="I319" s="1483"/>
      <c r="J319" s="1483"/>
      <c r="K319" s="1483"/>
      <c r="L319" s="1483"/>
      <c r="M319" s="2105"/>
      <c r="N319" s="2105"/>
      <c r="O319" s="2105"/>
      <c r="P319" s="2105"/>
      <c r="Q319" s="2515"/>
    </row>
    <row r="320" spans="1:17" s="726" customFormat="1" x14ac:dyDescent="0.2">
      <c r="A320" s="815" t="s">
        <v>4155</v>
      </c>
      <c r="B320" s="79">
        <v>10641</v>
      </c>
      <c r="C320" s="79">
        <f>LTFP!A78/1000</f>
        <v>11540.4</v>
      </c>
      <c r="D320" s="79">
        <f>LTFP!B78/1000</f>
        <v>11873.9</v>
      </c>
      <c r="E320" s="79">
        <f>LTFP!C78/1000</f>
        <v>12259</v>
      </c>
      <c r="F320" s="79">
        <f>LTFP!D78/1000</f>
        <v>12878.9</v>
      </c>
      <c r="G320" s="79">
        <f>LTFP!F78/1000</f>
        <v>12553.4</v>
      </c>
      <c r="H320" s="79">
        <f>LTFP!H78/1000</f>
        <v>12943.7</v>
      </c>
      <c r="I320" s="79">
        <f>LTFP!I78/1000</f>
        <v>13152.1</v>
      </c>
      <c r="J320" s="79">
        <f>LTFP!J78/1000</f>
        <v>13448.4</v>
      </c>
      <c r="K320" s="79">
        <f>LTFP!K78/1000</f>
        <v>13859.4</v>
      </c>
      <c r="L320" s="79">
        <f>LTFP!L78/1000</f>
        <v>14155.3</v>
      </c>
      <c r="M320" s="79">
        <f>LTFP!M78/1000</f>
        <v>14501</v>
      </c>
      <c r="N320" s="77">
        <f>LTFP!N78/1000</f>
        <v>14860.9</v>
      </c>
      <c r="O320" s="77">
        <f>LTFP!O78/1000</f>
        <v>15241.2</v>
      </c>
      <c r="P320" s="77">
        <f>LTFP!P78/1000</f>
        <v>15723.1</v>
      </c>
      <c r="Q320" s="587">
        <f>LTFP!Q78/1000</f>
        <v>16225.1</v>
      </c>
    </row>
    <row r="321" spans="1:17" s="726" customFormat="1" x14ac:dyDescent="0.2">
      <c r="A321" s="815" t="s">
        <v>4273</v>
      </c>
      <c r="B321" s="79"/>
      <c r="C321" s="79">
        <f>-LTFP!A77/1000</f>
        <v>0</v>
      </c>
      <c r="D321" s="79">
        <f>-LTFP!B77/1000</f>
        <v>0</v>
      </c>
      <c r="E321" s="79">
        <f>-LTFP!C77/1000</f>
        <v>0</v>
      </c>
      <c r="F321" s="79">
        <f>-LTFP!D77/1000</f>
        <v>0</v>
      </c>
      <c r="G321" s="79">
        <f>-LTFP!F77/1000</f>
        <v>0</v>
      </c>
      <c r="H321" s="79">
        <f>-LTFP!H77/1000</f>
        <v>0</v>
      </c>
      <c r="I321" s="79">
        <f>-LTFP!I77/1000</f>
        <v>0</v>
      </c>
      <c r="J321" s="79">
        <f>-LTFP!J77/1000</f>
        <v>0</v>
      </c>
      <c r="K321" s="79">
        <f>-LTFP!K77/1000</f>
        <v>0</v>
      </c>
      <c r="L321" s="79">
        <f>-LTFP!L77/1000</f>
        <v>0</v>
      </c>
      <c r="M321" s="79">
        <f>-LTFP!M77/1000</f>
        <v>0</v>
      </c>
      <c r="N321" s="77">
        <f>-LTFP!N77/1000</f>
        <v>0</v>
      </c>
      <c r="O321" s="77">
        <f>-LTFP!O77/1000</f>
        <v>0</v>
      </c>
      <c r="P321" s="77">
        <f>-LTFP!P77/1000</f>
        <v>0</v>
      </c>
      <c r="Q321" s="587">
        <f>-LTFP!Q77/1000</f>
        <v>0</v>
      </c>
    </row>
    <row r="322" spans="1:17" s="726" customFormat="1" x14ac:dyDescent="0.2">
      <c r="A322" s="815" t="s">
        <v>4268</v>
      </c>
      <c r="B322" s="79"/>
      <c r="C322" s="79"/>
      <c r="D322" s="79"/>
      <c r="E322" s="79"/>
      <c r="F322" s="79"/>
      <c r="G322" s="79"/>
      <c r="H322" s="79"/>
      <c r="I322" s="79"/>
      <c r="J322" s="79"/>
      <c r="K322" s="79"/>
      <c r="L322" s="79"/>
      <c r="M322" s="77"/>
      <c r="N322" s="77"/>
      <c r="O322" s="77"/>
      <c r="P322" s="77"/>
      <c r="Q322" s="587"/>
    </row>
    <row r="323" spans="1:17" s="726" customFormat="1" x14ac:dyDescent="0.2">
      <c r="A323" s="815" t="s">
        <v>4269</v>
      </c>
      <c r="B323" s="79">
        <v>-1008</v>
      </c>
      <c r="C323" s="79">
        <f>-LTFP!A75/1000</f>
        <v>-851.3</v>
      </c>
      <c r="D323" s="79">
        <f>-LTFP!B75/1000+1</f>
        <v>-980.4</v>
      </c>
      <c r="E323" s="79">
        <f>-LTFP!C75/1000</f>
        <v>-1059.9000000000001</v>
      </c>
      <c r="F323" s="79">
        <f>-LTFP!D75/1000</f>
        <v>-469.1</v>
      </c>
      <c r="G323" s="79">
        <f>-LTFP!F75/1000</f>
        <v>-775</v>
      </c>
      <c r="H323" s="79">
        <f>-LTFP!H75/1000</f>
        <v>-800</v>
      </c>
      <c r="I323" s="79">
        <f>-LTFP!I75/1000</f>
        <v>-820</v>
      </c>
      <c r="J323" s="79">
        <f>-LTFP!J75/1000</f>
        <v>-840</v>
      </c>
      <c r="K323" s="79">
        <f>-LTFP!K75/1000</f>
        <v>-860</v>
      </c>
      <c r="L323" s="79">
        <f>-LTFP!L75/1000</f>
        <v>-880</v>
      </c>
      <c r="M323" s="79">
        <f>-LTFP!M75/1000</f>
        <v>-900</v>
      </c>
      <c r="N323" s="77">
        <f>-LTFP!N75/1000</f>
        <v>-920</v>
      </c>
      <c r="O323" s="77">
        <f>-LTFP!O75/1000</f>
        <v>-940</v>
      </c>
      <c r="P323" s="77">
        <f>-LTFP!P75/1000</f>
        <v>-960</v>
      </c>
      <c r="Q323" s="587">
        <f>-LTFP!Q75/1000</f>
        <v>-980</v>
      </c>
    </row>
    <row r="324" spans="1:17" x14ac:dyDescent="0.2">
      <c r="A324" s="2313" t="s">
        <v>2812</v>
      </c>
      <c r="B324" s="687">
        <f t="shared" ref="B324:M324" si="467">SUM(B320:B323)</f>
        <v>9633</v>
      </c>
      <c r="C324" s="944">
        <f t="shared" si="467"/>
        <v>10689.1</v>
      </c>
      <c r="D324" s="944">
        <f t="shared" si="467"/>
        <v>10893.5</v>
      </c>
      <c r="E324" s="944">
        <f t="shared" si="467"/>
        <v>11199.1</v>
      </c>
      <c r="F324" s="944">
        <f t="shared" si="467"/>
        <v>12409.8</v>
      </c>
      <c r="G324" s="944">
        <f t="shared" si="467"/>
        <v>11778.4</v>
      </c>
      <c r="H324" s="944">
        <f t="shared" si="467"/>
        <v>12143.7</v>
      </c>
      <c r="I324" s="944">
        <f t="shared" si="467"/>
        <v>12332.1</v>
      </c>
      <c r="J324" s="944">
        <f t="shared" si="467"/>
        <v>12608.4</v>
      </c>
      <c r="K324" s="944">
        <f t="shared" si="467"/>
        <v>12999.4</v>
      </c>
      <c r="L324" s="944">
        <f t="shared" si="467"/>
        <v>13275.3</v>
      </c>
      <c r="M324" s="944">
        <f t="shared" si="467"/>
        <v>13601</v>
      </c>
      <c r="N324" s="1478">
        <f t="shared" ref="N324:O324" si="468">SUM(N320:N323)</f>
        <v>13940.9</v>
      </c>
      <c r="O324" s="1478">
        <f t="shared" si="468"/>
        <v>14301.2</v>
      </c>
      <c r="P324" s="1478">
        <f t="shared" ref="P324" si="469">SUM(P320:P323)</f>
        <v>14763.1</v>
      </c>
      <c r="Q324" s="2510">
        <f t="shared" ref="Q324" si="470">SUM(Q320:Q323)</f>
        <v>15245.1</v>
      </c>
    </row>
    <row r="325" spans="1:17" s="726" customFormat="1" x14ac:dyDescent="0.2">
      <c r="A325" s="2312" t="s">
        <v>4161</v>
      </c>
      <c r="B325" s="79">
        <v>10805</v>
      </c>
      <c r="C325" s="79">
        <f>LTFP!A87/1000</f>
        <v>11111.6</v>
      </c>
      <c r="D325" s="79">
        <f>LTFP!B87/1000</f>
        <v>10817</v>
      </c>
      <c r="E325" s="79">
        <f>LTFP!C87/1000</f>
        <v>10849.9</v>
      </c>
      <c r="F325" s="79">
        <f>LTFP!D87/1000</f>
        <v>11120.3</v>
      </c>
      <c r="G325" s="79">
        <f>LTFP!F87/1000</f>
        <v>11225.4</v>
      </c>
      <c r="H325" s="79">
        <f>LTFP!H87/1000</f>
        <v>11512</v>
      </c>
      <c r="I325" s="79">
        <f>LTFP!I87/1000</f>
        <v>11743.3</v>
      </c>
      <c r="J325" s="79">
        <f>LTFP!J87/1000</f>
        <v>12020.8</v>
      </c>
      <c r="K325" s="79">
        <f>LTFP!K87/1000</f>
        <v>12364.6</v>
      </c>
      <c r="L325" s="79">
        <f>LTFP!L87/1000</f>
        <v>12737.5</v>
      </c>
      <c r="M325" s="79">
        <f>LTFP!M87/1000</f>
        <v>13034.5</v>
      </c>
      <c r="N325" s="77">
        <f>LTFP!N87/1000</f>
        <v>13390.8</v>
      </c>
      <c r="O325" s="77">
        <f>LTFP!O87/1000</f>
        <v>13756.9</v>
      </c>
      <c r="P325" s="77">
        <f>LTFP!P87/1000</f>
        <v>14116.1</v>
      </c>
      <c r="Q325" s="587">
        <f>LTFP!Q87/1000</f>
        <v>14443.7</v>
      </c>
    </row>
    <row r="326" spans="1:17" s="726" customFormat="1" x14ac:dyDescent="0.2">
      <c r="A326" s="2312" t="s">
        <v>2289</v>
      </c>
      <c r="B326" s="79">
        <f>'W&amp;W'!A331/1000</f>
        <v>161.80000000000001</v>
      </c>
      <c r="C326" s="79">
        <f>'W&amp;W'!B331/1000</f>
        <v>111</v>
      </c>
      <c r="D326" s="79">
        <f>'W&amp;W'!C331/1000</f>
        <v>20.6</v>
      </c>
      <c r="E326" s="79">
        <f>-LTFP!C86/1000</f>
        <v>-38</v>
      </c>
      <c r="F326" s="79">
        <f>-LTFP!D86/1000</f>
        <v>0</v>
      </c>
      <c r="G326" s="79">
        <f>-LTFP!F86/1000</f>
        <v>0</v>
      </c>
      <c r="H326" s="79">
        <f>-LTFP!H86/1000</f>
        <v>0</v>
      </c>
      <c r="I326" s="79">
        <f>-LTFP!I86/1000</f>
        <v>0</v>
      </c>
      <c r="J326" s="79">
        <f>-LTFP!J86/1000</f>
        <v>0</v>
      </c>
      <c r="K326" s="79">
        <f>-LTFP!K86/1000</f>
        <v>0</v>
      </c>
      <c r="L326" s="79">
        <f>-LTFP!L86/1000</f>
        <v>0</v>
      </c>
      <c r="M326" s="79">
        <f>-LTFP!M86/1000</f>
        <v>0</v>
      </c>
      <c r="N326" s="77">
        <f>-LTFP!N86/1000</f>
        <v>0</v>
      </c>
      <c r="O326" s="77">
        <f>-LTFP!O86/1000</f>
        <v>0</v>
      </c>
      <c r="P326" s="77">
        <f>-LTFP!P86/1000</f>
        <v>0</v>
      </c>
      <c r="Q326" s="587">
        <f>-LTFP!Q86/1000</f>
        <v>0</v>
      </c>
    </row>
    <row r="327" spans="1:17" s="726" customFormat="1" x14ac:dyDescent="0.2">
      <c r="A327" s="2312" t="s">
        <v>4270</v>
      </c>
      <c r="B327" s="79"/>
      <c r="C327" s="79"/>
      <c r="D327" s="79"/>
      <c r="E327" s="79"/>
      <c r="F327" s="79"/>
      <c r="G327" s="79"/>
      <c r="H327" s="79"/>
      <c r="I327" s="79"/>
      <c r="J327" s="79"/>
      <c r="K327" s="79"/>
      <c r="L327" s="79"/>
      <c r="M327" s="77"/>
      <c r="N327" s="77"/>
      <c r="O327" s="77"/>
      <c r="P327" s="77"/>
      <c r="Q327" s="587"/>
    </row>
    <row r="328" spans="1:17" x14ac:dyDescent="0.2">
      <c r="A328" s="2313" t="s">
        <v>4272</v>
      </c>
      <c r="B328" s="944">
        <f>SUM(B325:B327)</f>
        <v>10966.8</v>
      </c>
      <c r="C328" s="944">
        <f>SUM(C325:C327)</f>
        <v>11222.6</v>
      </c>
      <c r="D328" s="944">
        <f t="shared" ref="D328:O328" si="471">D325-D326-D327</f>
        <v>10796.4</v>
      </c>
      <c r="E328" s="944">
        <f t="shared" si="471"/>
        <v>10887.9</v>
      </c>
      <c r="F328" s="944">
        <f t="shared" si="471"/>
        <v>11120.3</v>
      </c>
      <c r="G328" s="944">
        <f t="shared" si="471"/>
        <v>11225.4</v>
      </c>
      <c r="H328" s="944">
        <f t="shared" si="471"/>
        <v>11512</v>
      </c>
      <c r="I328" s="944">
        <f t="shared" si="471"/>
        <v>11743.3</v>
      </c>
      <c r="J328" s="944">
        <f t="shared" si="471"/>
        <v>12020.8</v>
      </c>
      <c r="K328" s="944">
        <f t="shared" si="471"/>
        <v>12364.6</v>
      </c>
      <c r="L328" s="944">
        <f t="shared" si="471"/>
        <v>12737.5</v>
      </c>
      <c r="M328" s="944">
        <f t="shared" si="471"/>
        <v>13034.5</v>
      </c>
      <c r="N328" s="1478">
        <f t="shared" si="471"/>
        <v>13390.8</v>
      </c>
      <c r="O328" s="1478">
        <f t="shared" si="471"/>
        <v>13756.9</v>
      </c>
      <c r="P328" s="1478">
        <f t="shared" ref="P328" si="472">P325-P326-P327</f>
        <v>14116.1</v>
      </c>
      <c r="Q328" s="2510">
        <f t="shared" ref="Q328" si="473">Q325-Q326-Q327</f>
        <v>14443.7</v>
      </c>
    </row>
    <row r="329" spans="1:17" x14ac:dyDescent="0.2">
      <c r="A329" s="816" t="s">
        <v>4271</v>
      </c>
      <c r="B329" s="48">
        <f t="shared" ref="B329:O329" si="474">B324-B328</f>
        <v>-1333.7999999999993</v>
      </c>
      <c r="C329" s="48">
        <f t="shared" si="474"/>
        <v>-533.5</v>
      </c>
      <c r="D329" s="48">
        <f t="shared" si="474"/>
        <v>97.100000000000364</v>
      </c>
      <c r="E329" s="48">
        <f t="shared" si="474"/>
        <v>311.20000000000073</v>
      </c>
      <c r="F329" s="48">
        <f t="shared" si="474"/>
        <v>1289.5</v>
      </c>
      <c r="G329" s="48">
        <f t="shared" si="474"/>
        <v>553</v>
      </c>
      <c r="H329" s="48">
        <f t="shared" si="474"/>
        <v>631.70000000000073</v>
      </c>
      <c r="I329" s="48">
        <f t="shared" si="474"/>
        <v>588.80000000000109</v>
      </c>
      <c r="J329" s="48">
        <f t="shared" si="474"/>
        <v>587.60000000000036</v>
      </c>
      <c r="K329" s="48">
        <f t="shared" si="474"/>
        <v>634.79999999999927</v>
      </c>
      <c r="L329" s="48">
        <f t="shared" si="474"/>
        <v>537.79999999999927</v>
      </c>
      <c r="M329" s="161">
        <f t="shared" si="474"/>
        <v>566.5</v>
      </c>
      <c r="N329" s="161">
        <f t="shared" si="474"/>
        <v>550.10000000000036</v>
      </c>
      <c r="O329" s="161">
        <f t="shared" si="474"/>
        <v>544.30000000000109</v>
      </c>
      <c r="P329" s="161">
        <f t="shared" ref="P329" si="475">P324-P328</f>
        <v>647</v>
      </c>
      <c r="Q329" s="1846">
        <f t="shared" ref="Q329" si="476">Q324-Q328</f>
        <v>801.39999999999964</v>
      </c>
    </row>
    <row r="330" spans="1:17" x14ac:dyDescent="0.2">
      <c r="A330" s="1842" t="s">
        <v>200</v>
      </c>
      <c r="B330" s="48">
        <f t="shared" ref="B330:O330" si="477">B324</f>
        <v>9633</v>
      </c>
      <c r="C330" s="48">
        <f t="shared" si="477"/>
        <v>10689.1</v>
      </c>
      <c r="D330" s="48">
        <f t="shared" si="477"/>
        <v>10893.5</v>
      </c>
      <c r="E330" s="48">
        <f t="shared" si="477"/>
        <v>11199.1</v>
      </c>
      <c r="F330" s="48">
        <f t="shared" si="477"/>
        <v>12409.8</v>
      </c>
      <c r="G330" s="48">
        <f t="shared" si="477"/>
        <v>11778.4</v>
      </c>
      <c r="H330" s="48">
        <f t="shared" si="477"/>
        <v>12143.7</v>
      </c>
      <c r="I330" s="48">
        <f t="shared" si="477"/>
        <v>12332.1</v>
      </c>
      <c r="J330" s="48">
        <f t="shared" si="477"/>
        <v>12608.4</v>
      </c>
      <c r="K330" s="48">
        <f t="shared" si="477"/>
        <v>12999.4</v>
      </c>
      <c r="L330" s="48">
        <f t="shared" si="477"/>
        <v>13275.3</v>
      </c>
      <c r="M330" s="161">
        <f t="shared" si="477"/>
        <v>13601</v>
      </c>
      <c r="N330" s="161">
        <f t="shared" si="477"/>
        <v>13940.9</v>
      </c>
      <c r="O330" s="161">
        <f t="shared" si="477"/>
        <v>14301.2</v>
      </c>
      <c r="P330" s="161">
        <f t="shared" ref="P330" si="478">P324</f>
        <v>14763.1</v>
      </c>
      <c r="Q330" s="1846">
        <f t="shared" ref="Q330" si="479">Q324</f>
        <v>15245.1</v>
      </c>
    </row>
    <row r="331" spans="1:17" s="285" customFormat="1" x14ac:dyDescent="0.2">
      <c r="A331" s="816" t="s">
        <v>4254</v>
      </c>
      <c r="B331" s="1493">
        <f t="shared" ref="B331:M331" si="480">B329/B330</f>
        <v>-0.13846153846153839</v>
      </c>
      <c r="C331" s="1493">
        <f t="shared" si="480"/>
        <v>-4.9910656650232477E-2</v>
      </c>
      <c r="D331" s="1493">
        <f t="shared" si="480"/>
        <v>8.9135723137651231E-3</v>
      </c>
      <c r="E331" s="1493">
        <f t="shared" si="480"/>
        <v>2.7787947245760884E-2</v>
      </c>
      <c r="F331" s="1493">
        <f t="shared" si="480"/>
        <v>0.1039098132121388</v>
      </c>
      <c r="G331" s="1493">
        <f t="shared" si="480"/>
        <v>4.6950349792841135E-2</v>
      </c>
      <c r="H331" s="1493">
        <f t="shared" si="480"/>
        <v>5.2018742228480665E-2</v>
      </c>
      <c r="I331" s="1493">
        <f t="shared" si="480"/>
        <v>4.7745315072047829E-2</v>
      </c>
      <c r="J331" s="1493">
        <f t="shared" si="480"/>
        <v>4.6603851400653561E-2</v>
      </c>
      <c r="K331" s="1493">
        <f t="shared" si="480"/>
        <v>4.8833023062602836E-2</v>
      </c>
      <c r="L331" s="1493">
        <f t="shared" si="480"/>
        <v>4.051132554443209E-2</v>
      </c>
      <c r="M331" s="2106">
        <f t="shared" si="480"/>
        <v>4.1651349165502539E-2</v>
      </c>
      <c r="N331" s="2106">
        <f t="shared" ref="N331:O331" si="481">N329/N330</f>
        <v>3.9459432317856119E-2</v>
      </c>
      <c r="O331" s="2106">
        <f t="shared" si="481"/>
        <v>3.8059743238329724E-2</v>
      </c>
      <c r="P331" s="2106">
        <f t="shared" ref="P331" si="482">P329/P330</f>
        <v>4.382548380760138E-2</v>
      </c>
      <c r="Q331" s="2516">
        <f t="shared" ref="Q331" si="483">Q329/Q330</f>
        <v>5.2567710280680323E-2</v>
      </c>
    </row>
    <row r="332" spans="1:17" x14ac:dyDescent="0.2">
      <c r="A332" s="2313"/>
      <c r="B332" s="839"/>
      <c r="C332" s="839"/>
      <c r="D332" s="839"/>
      <c r="E332" s="839"/>
      <c r="F332" s="839"/>
      <c r="G332" s="839"/>
      <c r="H332" s="839"/>
      <c r="I332" s="839"/>
      <c r="J332" s="839"/>
      <c r="K332" s="839"/>
      <c r="L332" s="839"/>
      <c r="M332" s="967"/>
      <c r="N332" s="967"/>
      <c r="O332" s="967"/>
      <c r="P332" s="967"/>
      <c r="Q332" s="2489"/>
    </row>
    <row r="333" spans="1:17" x14ac:dyDescent="0.2">
      <c r="A333" s="2514" t="s">
        <v>4255</v>
      </c>
      <c r="B333" s="1506"/>
      <c r="C333" s="1506"/>
      <c r="D333" s="1506"/>
      <c r="E333" s="1506"/>
      <c r="F333" s="1506"/>
      <c r="G333" s="1506"/>
      <c r="H333" s="1506"/>
      <c r="I333" s="1506"/>
      <c r="J333" s="1506"/>
      <c r="K333" s="1506"/>
      <c r="L333" s="1506"/>
      <c r="M333" s="2107"/>
      <c r="N333" s="2107"/>
      <c r="O333" s="2107"/>
      <c r="P333" s="2107"/>
      <c r="Q333" s="2517"/>
    </row>
    <row r="334" spans="1:17" s="726" customFormat="1" x14ac:dyDescent="0.2">
      <c r="A334" s="815" t="s">
        <v>4155</v>
      </c>
      <c r="B334" s="79">
        <v>15262</v>
      </c>
      <c r="C334" s="79">
        <f>LTFP!A109/1000</f>
        <v>16456.7</v>
      </c>
      <c r="D334" s="79">
        <f>LTFP!B109/1000</f>
        <v>17468.099999999999</v>
      </c>
      <c r="E334" s="79">
        <f>LTFP!C109/1000</f>
        <v>18810.8</v>
      </c>
      <c r="F334" s="79">
        <f>LTFP!D109/1000</f>
        <v>18609.599999999999</v>
      </c>
      <c r="G334" s="79">
        <f>LTFP!F109/1000</f>
        <v>20363.900000000001</v>
      </c>
      <c r="H334" s="79">
        <f>LTFP!H109/1000</f>
        <v>20845.7</v>
      </c>
      <c r="I334" s="79">
        <f>LTFP!I109/1000</f>
        <v>21333.200000000001</v>
      </c>
      <c r="J334" s="79">
        <f>LTFP!J109/1000</f>
        <v>21856.799999999999</v>
      </c>
      <c r="K334" s="79">
        <f>LTFP!K109/1000</f>
        <v>22436.5</v>
      </c>
      <c r="L334" s="79">
        <f>LTFP!L109/1000</f>
        <v>22979.8</v>
      </c>
      <c r="M334" s="79">
        <f>LTFP!M109/1000</f>
        <v>23519.5</v>
      </c>
      <c r="N334" s="161">
        <f>LTFP!N109/1000</f>
        <v>24145.3</v>
      </c>
      <c r="O334" s="161">
        <f>LTFP!O109/1000</f>
        <v>24758.6</v>
      </c>
      <c r="P334" s="161">
        <f>LTFP!P109/1000</f>
        <v>25480.6</v>
      </c>
      <c r="Q334" s="1846">
        <f>LTFP!Q109/1000</f>
        <v>26226.799999999999</v>
      </c>
    </row>
    <row r="335" spans="1:17" s="726" customFormat="1" x14ac:dyDescent="0.2">
      <c r="A335" s="815" t="s">
        <v>4273</v>
      </c>
      <c r="B335" s="79"/>
      <c r="C335" s="79">
        <v>-6</v>
      </c>
      <c r="D335" s="79"/>
      <c r="E335" s="79"/>
      <c r="F335" s="79"/>
      <c r="G335" s="79"/>
      <c r="H335" s="79"/>
      <c r="I335" s="79"/>
      <c r="J335" s="79"/>
      <c r="K335" s="79"/>
      <c r="L335" s="79"/>
      <c r="M335" s="77"/>
      <c r="N335" s="77"/>
      <c r="O335" s="77"/>
      <c r="P335" s="77"/>
      <c r="Q335" s="587"/>
    </row>
    <row r="336" spans="1:17" s="726" customFormat="1" x14ac:dyDescent="0.2">
      <c r="A336" s="815" t="s">
        <v>4268</v>
      </c>
      <c r="B336" s="79"/>
      <c r="C336" s="79"/>
      <c r="D336" s="79"/>
      <c r="E336" s="79"/>
      <c r="F336" s="79"/>
      <c r="G336" s="79"/>
      <c r="H336" s="79"/>
      <c r="I336" s="79"/>
      <c r="J336" s="79"/>
      <c r="K336" s="79"/>
      <c r="L336" s="79"/>
      <c r="M336" s="77"/>
      <c r="N336" s="77"/>
      <c r="O336" s="77"/>
      <c r="P336" s="77"/>
      <c r="Q336" s="587"/>
    </row>
    <row r="337" spans="1:17" s="726" customFormat="1" x14ac:dyDescent="0.2">
      <c r="A337" s="815" t="s">
        <v>4269</v>
      </c>
      <c r="B337" s="79">
        <v>-1482</v>
      </c>
      <c r="C337" s="79">
        <f>-LTFP!A106/1000</f>
        <v>-2014.2</v>
      </c>
      <c r="D337" s="79">
        <f>-LTFP!B106/1000</f>
        <v>-2131.4</v>
      </c>
      <c r="E337" s="79">
        <f>-LTFP!C106/1000</f>
        <v>-2470</v>
      </c>
      <c r="F337" s="79">
        <f>-LTFP!D106/1000</f>
        <v>-736.5</v>
      </c>
      <c r="G337" s="79">
        <f>-LTFP!F106/1000</f>
        <v>-2145.5</v>
      </c>
      <c r="H337" s="79">
        <f>-LTFP!H106/1000</f>
        <v>-2175.5</v>
      </c>
      <c r="I337" s="79">
        <f>-LTFP!I106/1000</f>
        <v>-2215.5</v>
      </c>
      <c r="J337" s="79">
        <f>-LTFP!J106/1000</f>
        <v>-2255.5</v>
      </c>
      <c r="K337" s="79">
        <f>-LTFP!K106/1000</f>
        <v>-2295.5</v>
      </c>
      <c r="L337" s="79">
        <f>-LTFP!L106/1000</f>
        <v>-2335.5</v>
      </c>
      <c r="M337" s="79">
        <f>-LTFP!M106/1000</f>
        <v>-2375.5</v>
      </c>
      <c r="N337" s="161">
        <f>-LTFP!N106/1000</f>
        <v>-2425.5</v>
      </c>
      <c r="O337" s="161">
        <f>-LTFP!O106/1000</f>
        <v>-2475.5</v>
      </c>
      <c r="P337" s="161">
        <f>-LTFP!P106/1000</f>
        <v>-2525.5</v>
      </c>
      <c r="Q337" s="1846">
        <f>-LTFP!Q106/1000</f>
        <v>-2575.5</v>
      </c>
    </row>
    <row r="338" spans="1:17" x14ac:dyDescent="0.2">
      <c r="A338" s="2313" t="s">
        <v>2812</v>
      </c>
      <c r="B338" s="944">
        <f t="shared" ref="B338:M338" si="484">SUM(B334:B337)</f>
        <v>13780</v>
      </c>
      <c r="C338" s="944">
        <f t="shared" si="484"/>
        <v>14436.5</v>
      </c>
      <c r="D338" s="944">
        <f t="shared" si="484"/>
        <v>15336.699999999999</v>
      </c>
      <c r="E338" s="944">
        <f t="shared" si="484"/>
        <v>16340.8</v>
      </c>
      <c r="F338" s="944">
        <f t="shared" si="484"/>
        <v>17873.099999999999</v>
      </c>
      <c r="G338" s="944">
        <f t="shared" si="484"/>
        <v>18218.400000000001</v>
      </c>
      <c r="H338" s="944">
        <f t="shared" si="484"/>
        <v>18670.2</v>
      </c>
      <c r="I338" s="944">
        <f t="shared" si="484"/>
        <v>19117.7</v>
      </c>
      <c r="J338" s="944">
        <f t="shared" si="484"/>
        <v>19601.3</v>
      </c>
      <c r="K338" s="944">
        <f t="shared" si="484"/>
        <v>20141</v>
      </c>
      <c r="L338" s="944">
        <f t="shared" si="484"/>
        <v>20644.3</v>
      </c>
      <c r="M338" s="944">
        <f t="shared" si="484"/>
        <v>21144</v>
      </c>
      <c r="N338" s="1478">
        <f t="shared" ref="N338:O338" si="485">SUM(N334:N337)</f>
        <v>21719.8</v>
      </c>
      <c r="O338" s="1478">
        <f t="shared" si="485"/>
        <v>22283.1</v>
      </c>
      <c r="P338" s="1478">
        <f t="shared" ref="P338" si="486">SUM(P334:P337)</f>
        <v>22955.1</v>
      </c>
      <c r="Q338" s="2510">
        <f t="shared" ref="Q338" si="487">SUM(Q334:Q337)</f>
        <v>23651.3</v>
      </c>
    </row>
    <row r="339" spans="1:17" s="726" customFormat="1" x14ac:dyDescent="0.2">
      <c r="A339" s="2312" t="s">
        <v>4161</v>
      </c>
      <c r="B339" s="79">
        <v>15935</v>
      </c>
      <c r="C339" s="79">
        <f>LTFP!A118/1000</f>
        <v>17024.099999999999</v>
      </c>
      <c r="D339" s="79">
        <f>LTFP!B118/1000</f>
        <v>28728</v>
      </c>
      <c r="E339" s="79">
        <f>LTFP!C118/1000</f>
        <v>17304.400000000001</v>
      </c>
      <c r="F339" s="79">
        <f>LTFP!D118/1000</f>
        <v>18119.099999999999</v>
      </c>
      <c r="G339" s="79">
        <f>LTFP!F118/1000</f>
        <v>17797.3</v>
      </c>
      <c r="H339" s="79">
        <f>LTFP!H118/1000</f>
        <v>17653.400000000001</v>
      </c>
      <c r="I339" s="79">
        <f>LTFP!I118/1000</f>
        <v>17769.900000000001</v>
      </c>
      <c r="J339" s="79">
        <f>LTFP!J118/1000</f>
        <v>17878.099999999999</v>
      </c>
      <c r="K339" s="79">
        <f>LTFP!K118/1000</f>
        <v>18035.400000000001</v>
      </c>
      <c r="L339" s="79">
        <f>LTFP!L118/1000</f>
        <v>18232.099999999999</v>
      </c>
      <c r="M339" s="79">
        <f>LTFP!M118/1000</f>
        <v>18348</v>
      </c>
      <c r="N339" s="161">
        <f>LTFP!N118/1000</f>
        <v>18517.3</v>
      </c>
      <c r="O339" s="161">
        <f>LTFP!O118/1000</f>
        <v>18631.099999999999</v>
      </c>
      <c r="P339" s="161">
        <f>LTFP!P118/1000</f>
        <v>18832.8</v>
      </c>
      <c r="Q339" s="1846">
        <f>LTFP!Q118/1000</f>
        <v>19052.2</v>
      </c>
    </row>
    <row r="340" spans="1:17" s="726" customFormat="1" x14ac:dyDescent="0.2">
      <c r="A340" s="2312" t="s">
        <v>2289</v>
      </c>
      <c r="B340" s="79">
        <v>-1582</v>
      </c>
      <c r="C340" s="79"/>
      <c r="D340" s="79">
        <f>-LTFP!B117/1000</f>
        <v>-12197.6</v>
      </c>
      <c r="E340" s="79"/>
      <c r="F340" s="79"/>
      <c r="G340" s="79"/>
      <c r="H340" s="79"/>
      <c r="I340" s="79"/>
      <c r="J340" s="79"/>
      <c r="K340" s="79"/>
      <c r="L340" s="79"/>
      <c r="M340" s="77"/>
      <c r="N340" s="77"/>
      <c r="O340" s="77"/>
      <c r="P340" s="77"/>
      <c r="Q340" s="587"/>
    </row>
    <row r="341" spans="1:17" s="726" customFormat="1" x14ac:dyDescent="0.2">
      <c r="A341" s="2312" t="s">
        <v>4270</v>
      </c>
      <c r="B341" s="79"/>
      <c r="C341" s="79"/>
      <c r="D341" s="79"/>
      <c r="E341" s="79"/>
      <c r="F341" s="79"/>
      <c r="G341" s="79"/>
      <c r="H341" s="79"/>
      <c r="I341" s="79"/>
      <c r="J341" s="79"/>
      <c r="K341" s="79"/>
      <c r="L341" s="79"/>
      <c r="M341" s="77"/>
      <c r="N341" s="77"/>
      <c r="O341" s="77"/>
      <c r="P341" s="77"/>
      <c r="Q341" s="587"/>
    </row>
    <row r="342" spans="1:17" x14ac:dyDescent="0.2">
      <c r="A342" s="2313" t="s">
        <v>4272</v>
      </c>
      <c r="B342" s="944">
        <f t="shared" ref="B342:M342" si="488">SUM(B339:B341)</f>
        <v>14353</v>
      </c>
      <c r="C342" s="944">
        <f t="shared" si="488"/>
        <v>17024.099999999999</v>
      </c>
      <c r="D342" s="944">
        <f>SUM(D339:D341)</f>
        <v>16530.400000000001</v>
      </c>
      <c r="E342" s="944">
        <f t="shared" si="488"/>
        <v>17304.400000000001</v>
      </c>
      <c r="F342" s="944">
        <f t="shared" si="488"/>
        <v>18119.099999999999</v>
      </c>
      <c r="G342" s="944">
        <f t="shared" si="488"/>
        <v>17797.3</v>
      </c>
      <c r="H342" s="944">
        <f t="shared" si="488"/>
        <v>17653.400000000001</v>
      </c>
      <c r="I342" s="944">
        <f t="shared" si="488"/>
        <v>17769.900000000001</v>
      </c>
      <c r="J342" s="944">
        <f t="shared" si="488"/>
        <v>17878.099999999999</v>
      </c>
      <c r="K342" s="944">
        <f t="shared" si="488"/>
        <v>18035.400000000001</v>
      </c>
      <c r="L342" s="944">
        <f t="shared" si="488"/>
        <v>18232.099999999999</v>
      </c>
      <c r="M342" s="944">
        <f t="shared" si="488"/>
        <v>18348</v>
      </c>
      <c r="N342" s="1478">
        <f t="shared" ref="N342:O342" si="489">SUM(N339:N341)</f>
        <v>18517.3</v>
      </c>
      <c r="O342" s="1478">
        <f t="shared" si="489"/>
        <v>18631.099999999999</v>
      </c>
      <c r="P342" s="1478">
        <f t="shared" ref="P342" si="490">SUM(P339:P341)</f>
        <v>18832.8</v>
      </c>
      <c r="Q342" s="2510">
        <f t="shared" ref="Q342" si="491">SUM(Q339:Q341)</f>
        <v>19052.2</v>
      </c>
    </row>
    <row r="343" spans="1:17" x14ac:dyDescent="0.2">
      <c r="A343" s="816" t="s">
        <v>4271</v>
      </c>
      <c r="B343" s="48">
        <f>B338-B342</f>
        <v>-573</v>
      </c>
      <c r="C343" s="48">
        <f>C338-C342</f>
        <v>-2587.5999999999985</v>
      </c>
      <c r="D343" s="48">
        <f>D338-D342</f>
        <v>-1193.7000000000025</v>
      </c>
      <c r="E343" s="48">
        <f>'Cash-WW'!C13/1000</f>
        <v>-963.6</v>
      </c>
      <c r="F343" s="48">
        <f>'Cash-WW'!D13/1000</f>
        <v>-246</v>
      </c>
      <c r="G343" s="48">
        <f>'Cash-WW'!G13/1000</f>
        <v>421.1</v>
      </c>
      <c r="H343" s="48">
        <f>'Cash-WW'!H13/1000</f>
        <v>1016.8</v>
      </c>
      <c r="I343" s="48">
        <f>'Cash-WW'!I13/1000</f>
        <v>1347.8</v>
      </c>
      <c r="J343" s="48">
        <f>'Cash-WW'!J13/1000</f>
        <v>1723.2</v>
      </c>
      <c r="K343" s="48">
        <f>'Cash-WW'!K13/1000</f>
        <v>2105.6</v>
      </c>
      <c r="L343" s="48">
        <f>'Cash-WW'!L13/1000</f>
        <v>2412.1999999999998</v>
      </c>
      <c r="M343" s="161">
        <f>'Cash-WW'!M13/1000</f>
        <v>2796</v>
      </c>
      <c r="N343" s="161">
        <f>'Cash-WW'!N13/1000</f>
        <v>3202.5</v>
      </c>
      <c r="O343" s="161">
        <f>'Cash-WW'!O13/1000</f>
        <v>3652</v>
      </c>
      <c r="P343" s="161">
        <f>'Cash-WW'!P13/1000</f>
        <v>4122.3</v>
      </c>
      <c r="Q343" s="1846">
        <f>'Cash-WW'!Q13/1000</f>
        <v>4599.1000000000004</v>
      </c>
    </row>
    <row r="344" spans="1:17" x14ac:dyDescent="0.2">
      <c r="A344" s="1842" t="s">
        <v>200</v>
      </c>
      <c r="B344" s="48">
        <f>B338</f>
        <v>13780</v>
      </c>
      <c r="C344" s="48">
        <f>C338</f>
        <v>14436.5</v>
      </c>
      <c r="D344" s="48">
        <f>D338</f>
        <v>15336.699999999999</v>
      </c>
      <c r="E344" s="48">
        <f>'Cash-WW'!C6/1000</f>
        <v>16349.1</v>
      </c>
      <c r="F344" s="48">
        <f>'Cash-WW'!D6/1000</f>
        <v>17887.5</v>
      </c>
      <c r="G344" s="48">
        <f>'Cash-WW'!G6/1000</f>
        <v>18218.400000000001</v>
      </c>
      <c r="H344" s="48">
        <f>'Cash-WW'!H6/1000</f>
        <v>18670.2</v>
      </c>
      <c r="I344" s="48">
        <f>'Cash-WW'!I6/1000</f>
        <v>19117.7</v>
      </c>
      <c r="J344" s="48">
        <f>'Cash-WW'!J6/1000</f>
        <v>19601.3</v>
      </c>
      <c r="K344" s="48">
        <f>'Cash-WW'!K6/1000</f>
        <v>20141</v>
      </c>
      <c r="L344" s="48">
        <f>'Cash-WW'!L6/1000</f>
        <v>20644.3</v>
      </c>
      <c r="M344" s="161">
        <f>'Cash-WW'!M6/1000</f>
        <v>21144</v>
      </c>
      <c r="N344" s="161">
        <f>'Cash-WW'!N6/1000</f>
        <v>21719.8</v>
      </c>
      <c r="O344" s="161">
        <f>'Cash-WW'!O6/1000</f>
        <v>22283.1</v>
      </c>
      <c r="P344" s="161">
        <f>'Cash-WW'!P6/1000</f>
        <v>22955.1</v>
      </c>
      <c r="Q344" s="1846">
        <f>'Cash-WW'!Q6/1000</f>
        <v>23651.3</v>
      </c>
    </row>
    <row r="345" spans="1:17" s="285" customFormat="1" x14ac:dyDescent="0.2">
      <c r="A345" s="816" t="s">
        <v>4256</v>
      </c>
      <c r="B345" s="1493">
        <f t="shared" ref="B345:M345" si="492">B343/B344</f>
        <v>-4.1582002902757619E-2</v>
      </c>
      <c r="C345" s="1493">
        <f t="shared" si="492"/>
        <v>-0.17924012052782867</v>
      </c>
      <c r="D345" s="1493">
        <f t="shared" si="492"/>
        <v>-7.7832910600064073E-2</v>
      </c>
      <c r="E345" s="1493">
        <f t="shared" si="492"/>
        <v>-5.8939024166467881E-2</v>
      </c>
      <c r="F345" s="1493">
        <f t="shared" si="492"/>
        <v>-1.3752620545073375E-2</v>
      </c>
      <c r="G345" s="1493">
        <f t="shared" si="492"/>
        <v>2.3113994642778728E-2</v>
      </c>
      <c r="H345" s="1493">
        <f t="shared" si="492"/>
        <v>5.4461119859455169E-2</v>
      </c>
      <c r="I345" s="1493">
        <f t="shared" si="492"/>
        <v>7.0500112461227019E-2</v>
      </c>
      <c r="J345" s="1493">
        <f t="shared" si="492"/>
        <v>8.791253641340116E-2</v>
      </c>
      <c r="K345" s="1493">
        <f t="shared" si="492"/>
        <v>0.10454297204706817</v>
      </c>
      <c r="L345" s="1493">
        <f t="shared" si="492"/>
        <v>0.1168458121612261</v>
      </c>
      <c r="M345" s="2106">
        <f t="shared" si="492"/>
        <v>0.13223609534619751</v>
      </c>
      <c r="N345" s="2106">
        <f t="shared" ref="N345:O345" si="493">N343/N344</f>
        <v>0.14744610908019412</v>
      </c>
      <c r="O345" s="2106">
        <f t="shared" si="493"/>
        <v>0.16389102054920546</v>
      </c>
      <c r="P345" s="2106">
        <f t="shared" ref="P345" si="494">P343/P344</f>
        <v>0.17958100814198155</v>
      </c>
      <c r="Q345" s="2516">
        <f t="shared" ref="Q345" si="495">Q343/Q344</f>
        <v>0.1944544274521908</v>
      </c>
    </row>
    <row r="346" spans="1:17" s="726" customFormat="1" ht="13.5" thickBot="1" x14ac:dyDescent="0.25">
      <c r="A346" s="2496"/>
      <c r="B346" s="2497"/>
      <c r="C346" s="2497"/>
      <c r="D346" s="2497"/>
      <c r="E346" s="2497"/>
      <c r="F346" s="2497"/>
      <c r="G346" s="2497"/>
      <c r="H346" s="2497"/>
      <c r="I346" s="2497"/>
      <c r="J346" s="2497"/>
      <c r="K346" s="2497"/>
      <c r="L346" s="2497"/>
      <c r="M346" s="2498"/>
      <c r="N346" s="2498"/>
      <c r="O346" s="2498"/>
      <c r="P346" s="2498"/>
      <c r="Q346" s="2499"/>
    </row>
    <row r="347" spans="1:17" ht="16.5" thickBot="1" x14ac:dyDescent="0.3">
      <c r="A347" s="2582" t="s">
        <v>5039</v>
      </c>
      <c r="B347" s="2583"/>
      <c r="C347" s="2583"/>
      <c r="D347" s="2583"/>
      <c r="E347" s="2583"/>
      <c r="F347" s="2583"/>
      <c r="G347" s="2583"/>
      <c r="H347" s="2583"/>
      <c r="I347" s="2583"/>
      <c r="J347" s="2583"/>
      <c r="K347" s="2583"/>
      <c r="L347" s="2583"/>
      <c r="M347" s="2583"/>
      <c r="N347" s="2583"/>
      <c r="O347" s="2583"/>
      <c r="P347" s="2583"/>
      <c r="Q347" s="2584"/>
    </row>
    <row r="348" spans="1:17" ht="13.5" thickBot="1" x14ac:dyDescent="0.25">
      <c r="A348" s="2500" t="str">
        <f t="shared" ref="A348:O348" si="496">A285</f>
        <v>Item</v>
      </c>
      <c r="B348" s="997" t="str">
        <f t="shared" si="496"/>
        <v>2012/13</v>
      </c>
      <c r="C348" s="997" t="str">
        <f t="shared" si="496"/>
        <v>2013/14</v>
      </c>
      <c r="D348" s="997" t="str">
        <f t="shared" si="496"/>
        <v>2014/15</v>
      </c>
      <c r="E348" s="997" t="str">
        <f t="shared" si="496"/>
        <v>2015/16</v>
      </c>
      <c r="F348" s="997" t="str">
        <f t="shared" si="496"/>
        <v>2016/17</v>
      </c>
      <c r="G348" s="997" t="str">
        <f t="shared" si="496"/>
        <v>2017/18</v>
      </c>
      <c r="H348" s="997" t="str">
        <f t="shared" si="496"/>
        <v>2018/19</v>
      </c>
      <c r="I348" s="997" t="str">
        <f t="shared" si="496"/>
        <v>2019/20</v>
      </c>
      <c r="J348" s="997" t="str">
        <f t="shared" si="496"/>
        <v>2020/21</v>
      </c>
      <c r="K348" s="997" t="str">
        <f t="shared" si="496"/>
        <v>2021/22</v>
      </c>
      <c r="L348" s="997" t="str">
        <f t="shared" si="496"/>
        <v>2022/23</v>
      </c>
      <c r="M348" s="998" t="str">
        <f t="shared" si="496"/>
        <v>2023/24</v>
      </c>
      <c r="N348" s="998" t="str">
        <f t="shared" si="496"/>
        <v>2024/25</v>
      </c>
      <c r="O348" s="998" t="str">
        <f t="shared" si="496"/>
        <v>2025/26</v>
      </c>
      <c r="P348" s="998" t="str">
        <f t="shared" ref="P348" si="497">P285</f>
        <v>2026/27</v>
      </c>
      <c r="Q348" s="2501" t="str">
        <f t="shared" ref="Q348" si="498">Q285</f>
        <v>2027/28</v>
      </c>
    </row>
    <row r="349" spans="1:17" x14ac:dyDescent="0.2">
      <c r="A349" s="2502"/>
      <c r="B349" s="547"/>
      <c r="C349" s="547"/>
      <c r="D349" s="547"/>
      <c r="E349" s="547"/>
      <c r="F349" s="547"/>
      <c r="G349" s="547"/>
      <c r="H349" s="547"/>
      <c r="I349" s="547"/>
      <c r="J349" s="547"/>
      <c r="K349" s="547"/>
      <c r="L349" s="547"/>
      <c r="M349" s="977"/>
      <c r="N349" s="977"/>
      <c r="O349" s="977"/>
      <c r="P349" s="977"/>
      <c r="Q349" s="2503"/>
    </row>
    <row r="350" spans="1:17" x14ac:dyDescent="0.2">
      <c r="A350" s="816" t="s">
        <v>4222</v>
      </c>
      <c r="B350" s="547"/>
      <c r="C350" s="547"/>
      <c r="D350" s="547"/>
      <c r="E350" s="547"/>
      <c r="F350" s="547"/>
      <c r="G350" s="547"/>
      <c r="H350" s="547"/>
      <c r="I350" s="547"/>
      <c r="J350" s="547"/>
      <c r="K350" s="547"/>
      <c r="L350" s="547"/>
      <c r="M350" s="549"/>
      <c r="N350" s="549"/>
      <c r="O350" s="549"/>
      <c r="P350" s="549"/>
      <c r="Q350" s="2256"/>
    </row>
    <row r="351" spans="1:17" s="726" customFormat="1" x14ac:dyDescent="0.2">
      <c r="A351" s="815" t="s">
        <v>4276</v>
      </c>
      <c r="B351" s="79">
        <f>B288</f>
        <v>114891</v>
      </c>
      <c r="C351" s="79">
        <f t="shared" ref="C351:C354" si="499">C364+C377+C390</f>
        <v>84958.099999999991</v>
      </c>
      <c r="D351" s="79">
        <f t="shared" ref="D351:O351" si="500">D288</f>
        <v>90144.2</v>
      </c>
      <c r="E351" s="79">
        <f t="shared" si="500"/>
        <v>92109.9</v>
      </c>
      <c r="F351" s="79">
        <f t="shared" si="500"/>
        <v>99533.5</v>
      </c>
      <c r="G351" s="79">
        <f t="shared" si="500"/>
        <v>101066.5</v>
      </c>
      <c r="H351" s="79">
        <f t="shared" si="500"/>
        <v>97300.4</v>
      </c>
      <c r="I351" s="79">
        <f t="shared" si="500"/>
        <v>97019.3</v>
      </c>
      <c r="J351" s="79">
        <f t="shared" si="500"/>
        <v>104362.7</v>
      </c>
      <c r="K351" s="79">
        <f t="shared" si="500"/>
        <v>107693</v>
      </c>
      <c r="L351" s="79">
        <f t="shared" si="500"/>
        <v>101636.9</v>
      </c>
      <c r="M351" s="77">
        <f t="shared" si="500"/>
        <v>105024.3</v>
      </c>
      <c r="N351" s="77">
        <f t="shared" si="500"/>
        <v>107003.9</v>
      </c>
      <c r="O351" s="77">
        <f t="shared" si="500"/>
        <v>110592.2</v>
      </c>
      <c r="P351" s="77">
        <f t="shared" ref="P351" si="501">P288</f>
        <v>113007.6</v>
      </c>
      <c r="Q351" s="587">
        <f t="shared" ref="Q351" si="502">Q288</f>
        <v>116921.4</v>
      </c>
    </row>
    <row r="352" spans="1:17" s="726" customFormat="1" x14ac:dyDescent="0.2">
      <c r="A352" s="815" t="s">
        <v>4273</v>
      </c>
      <c r="B352" s="79">
        <f>B289</f>
        <v>0</v>
      </c>
      <c r="C352" s="79">
        <f t="shared" si="499"/>
        <v>-6</v>
      </c>
      <c r="D352" s="79">
        <f t="shared" ref="D352:O352" si="503">D289</f>
        <v>0</v>
      </c>
      <c r="E352" s="79">
        <f t="shared" si="503"/>
        <v>0</v>
      </c>
      <c r="F352" s="79">
        <f t="shared" si="503"/>
        <v>0</v>
      </c>
      <c r="G352" s="79">
        <f t="shared" si="503"/>
        <v>0</v>
      </c>
      <c r="H352" s="79">
        <f t="shared" si="503"/>
        <v>0</v>
      </c>
      <c r="I352" s="79">
        <f t="shared" si="503"/>
        <v>0</v>
      </c>
      <c r="J352" s="79">
        <f t="shared" si="503"/>
        <v>0</v>
      </c>
      <c r="K352" s="79">
        <f t="shared" si="503"/>
        <v>0</v>
      </c>
      <c r="L352" s="79">
        <f t="shared" si="503"/>
        <v>0</v>
      </c>
      <c r="M352" s="77">
        <f t="shared" si="503"/>
        <v>0</v>
      </c>
      <c r="N352" s="77">
        <f t="shared" si="503"/>
        <v>0</v>
      </c>
      <c r="O352" s="77">
        <f t="shared" si="503"/>
        <v>0</v>
      </c>
      <c r="P352" s="77">
        <f t="shared" ref="P352" si="504">P289</f>
        <v>0</v>
      </c>
      <c r="Q352" s="587">
        <f t="shared" ref="Q352" si="505">Q289</f>
        <v>0</v>
      </c>
    </row>
    <row r="353" spans="1:17" s="726" customFormat="1" x14ac:dyDescent="0.2">
      <c r="A353" s="815" t="s">
        <v>4268</v>
      </c>
      <c r="B353" s="79">
        <f>B290</f>
        <v>-414</v>
      </c>
      <c r="C353" s="79">
        <f t="shared" si="499"/>
        <v>-333</v>
      </c>
      <c r="D353" s="79">
        <f t="shared" ref="D353:O353" si="506">D290</f>
        <v>0</v>
      </c>
      <c r="E353" s="79">
        <f t="shared" si="506"/>
        <v>0</v>
      </c>
      <c r="F353" s="79">
        <f t="shared" si="506"/>
        <v>0</v>
      </c>
      <c r="G353" s="79">
        <f t="shared" si="506"/>
        <v>0</v>
      </c>
      <c r="H353" s="79">
        <f t="shared" si="506"/>
        <v>0</v>
      </c>
      <c r="I353" s="79">
        <f t="shared" si="506"/>
        <v>0</v>
      </c>
      <c r="J353" s="79">
        <f t="shared" si="506"/>
        <v>0</v>
      </c>
      <c r="K353" s="79">
        <f t="shared" si="506"/>
        <v>0</v>
      </c>
      <c r="L353" s="79">
        <f t="shared" si="506"/>
        <v>0</v>
      </c>
      <c r="M353" s="77">
        <f t="shared" si="506"/>
        <v>0</v>
      </c>
      <c r="N353" s="77">
        <f t="shared" si="506"/>
        <v>0</v>
      </c>
      <c r="O353" s="77">
        <f t="shared" si="506"/>
        <v>0</v>
      </c>
      <c r="P353" s="77">
        <f t="shared" ref="P353" si="507">P290</f>
        <v>0</v>
      </c>
      <c r="Q353" s="587">
        <f t="shared" ref="Q353" si="508">Q290</f>
        <v>0</v>
      </c>
    </row>
    <row r="354" spans="1:17" s="726" customFormat="1" x14ac:dyDescent="0.2">
      <c r="A354" s="815" t="s">
        <v>4269</v>
      </c>
      <c r="B354" s="79">
        <f>B291</f>
        <v>-39549</v>
      </c>
      <c r="C354" s="79">
        <f t="shared" si="499"/>
        <v>-13779.5</v>
      </c>
      <c r="D354" s="79">
        <f t="shared" ref="D354:O354" si="509">D291</f>
        <v>-15880.8</v>
      </c>
      <c r="E354" s="79">
        <f t="shared" si="509"/>
        <v>-15014</v>
      </c>
      <c r="F354" s="79">
        <f t="shared" si="509"/>
        <v>-12312.6</v>
      </c>
      <c r="G354" s="79">
        <f t="shared" si="509"/>
        <v>-18930.3</v>
      </c>
      <c r="H354" s="79">
        <f t="shared" si="509"/>
        <v>-14943.6</v>
      </c>
      <c r="I354" s="79">
        <f t="shared" si="509"/>
        <v>-11790.3</v>
      </c>
      <c r="J354" s="79">
        <f t="shared" si="509"/>
        <v>-18067.5</v>
      </c>
      <c r="K354" s="79">
        <f t="shared" si="509"/>
        <v>-18499.599999999999</v>
      </c>
      <c r="L354" s="79">
        <f t="shared" si="509"/>
        <v>-10941.5</v>
      </c>
      <c r="M354" s="77">
        <f t="shared" si="509"/>
        <v>-11193.2</v>
      </c>
      <c r="N354" s="77">
        <f t="shared" si="509"/>
        <v>-11458.9</v>
      </c>
      <c r="O354" s="77">
        <f t="shared" si="509"/>
        <v>-11729.4</v>
      </c>
      <c r="P354" s="77">
        <f t="shared" ref="P354" si="510">P291</f>
        <v>-12005.7</v>
      </c>
      <c r="Q354" s="587">
        <f t="shared" ref="Q354" si="511">Q291</f>
        <v>-12287.1</v>
      </c>
    </row>
    <row r="355" spans="1:17" s="726" customFormat="1" x14ac:dyDescent="0.2">
      <c r="A355" s="815" t="s">
        <v>4274</v>
      </c>
      <c r="B355" s="79">
        <f>-13806+8</f>
        <v>-13798</v>
      </c>
      <c r="C355" s="79">
        <f>C368+C381+C394</f>
        <v>-5518.6</v>
      </c>
      <c r="D355" s="79">
        <f>-Summaries!C11/1000</f>
        <v>-7833.6</v>
      </c>
      <c r="E355" s="79">
        <f>-Summaries!D11/1000</f>
        <v>-9389.2000000000007</v>
      </c>
      <c r="F355" s="79">
        <f>-Summaries!E11/1000</f>
        <v>-12037.3</v>
      </c>
      <c r="G355" s="79">
        <f>-Summaries!F11/1000</f>
        <v>-8038.5</v>
      </c>
      <c r="H355" s="79">
        <f>-Summaries!G11/1000</f>
        <v>-7533.9</v>
      </c>
      <c r="I355" s="79">
        <f>-Summaries!H11/1000</f>
        <v>-7767.7</v>
      </c>
      <c r="J355" s="79">
        <f>-Summaries!I11/1000</f>
        <v>-7773.2</v>
      </c>
      <c r="K355" s="79">
        <f>-Summaries!J11/1000</f>
        <v>-7879.8</v>
      </c>
      <c r="L355" s="79">
        <f>-Summaries!K11/1000</f>
        <v>-7990.8</v>
      </c>
      <c r="M355" s="77">
        <f>-Summaries!L11/1000</f>
        <v>-8137.8</v>
      </c>
      <c r="N355" s="77">
        <f>-Summaries!M11/1000</f>
        <v>-8297.7999999999993</v>
      </c>
      <c r="O355" s="77">
        <f>-Summaries!N11/1000</f>
        <v>-8463.5</v>
      </c>
      <c r="P355" s="77">
        <f>-Summaries!O11/1000</f>
        <v>-8632.7000000000007</v>
      </c>
      <c r="Q355" s="587">
        <f>-Summaries!P11/1000</f>
        <v>-8805.5</v>
      </c>
    </row>
    <row r="356" spans="1:17" x14ac:dyDescent="0.2">
      <c r="A356" s="2504" t="s">
        <v>2811</v>
      </c>
      <c r="B356" s="944">
        <f t="shared" ref="B356:M356" si="512">SUM(B351:B355)</f>
        <v>61130</v>
      </c>
      <c r="C356" s="944">
        <f t="shared" si="512"/>
        <v>65320.999999999993</v>
      </c>
      <c r="D356" s="944">
        <f t="shared" si="512"/>
        <v>66429.799999999988</v>
      </c>
      <c r="E356" s="944">
        <f t="shared" si="512"/>
        <v>67706.7</v>
      </c>
      <c r="F356" s="944">
        <f t="shared" si="512"/>
        <v>75183.599999999991</v>
      </c>
      <c r="G356" s="944">
        <f t="shared" si="512"/>
        <v>74097.7</v>
      </c>
      <c r="H356" s="944">
        <f t="shared" si="512"/>
        <v>74822.899999999994</v>
      </c>
      <c r="I356" s="944">
        <f t="shared" si="512"/>
        <v>77461.3</v>
      </c>
      <c r="J356" s="944">
        <f t="shared" si="512"/>
        <v>78522</v>
      </c>
      <c r="K356" s="944">
        <f t="shared" si="512"/>
        <v>81313.599999999991</v>
      </c>
      <c r="L356" s="944">
        <f t="shared" si="512"/>
        <v>82704.599999999991</v>
      </c>
      <c r="M356" s="981">
        <f t="shared" si="512"/>
        <v>85693.3</v>
      </c>
      <c r="N356" s="981">
        <f t="shared" ref="N356:O356" si="513">SUM(N351:N355)</f>
        <v>87247.2</v>
      </c>
      <c r="O356" s="981">
        <f t="shared" si="513"/>
        <v>90399.3</v>
      </c>
      <c r="P356" s="981">
        <f t="shared" ref="P356" si="514">SUM(P351:P355)</f>
        <v>92369.200000000012</v>
      </c>
      <c r="Q356" s="2505">
        <f t="shared" ref="Q356" si="515">SUM(Q351:Q355)</f>
        <v>95828.799999999988</v>
      </c>
    </row>
    <row r="357" spans="1:17" x14ac:dyDescent="0.2">
      <c r="A357" s="815" t="s">
        <v>4283</v>
      </c>
      <c r="B357" s="48"/>
      <c r="C357" s="48">
        <f>C370+C383+C396</f>
        <v>-6</v>
      </c>
      <c r="D357" s="48"/>
      <c r="E357" s="48"/>
      <c r="F357" s="48"/>
      <c r="G357" s="48"/>
      <c r="H357" s="48"/>
      <c r="I357" s="48"/>
      <c r="J357" s="48"/>
      <c r="K357" s="48"/>
      <c r="L357" s="48"/>
      <c r="M357" s="161"/>
      <c r="N357" s="161"/>
      <c r="O357" s="161"/>
      <c r="P357" s="161"/>
      <c r="Q357" s="1846"/>
    </row>
    <row r="358" spans="1:17" x14ac:dyDescent="0.2">
      <c r="A358" s="815" t="s">
        <v>4275</v>
      </c>
      <c r="B358" s="48">
        <f>B290</f>
        <v>-414</v>
      </c>
      <c r="C358" s="48">
        <f t="shared" ref="C358:C359" si="516">C371+C384+C397</f>
        <v>-333</v>
      </c>
      <c r="D358" s="48"/>
      <c r="E358" s="48"/>
      <c r="F358" s="48"/>
      <c r="G358" s="48"/>
      <c r="H358" s="48"/>
      <c r="I358" s="48"/>
      <c r="J358" s="48"/>
      <c r="K358" s="48"/>
      <c r="L358" s="48"/>
      <c r="M358" s="161"/>
      <c r="N358" s="161"/>
      <c r="O358" s="161"/>
      <c r="P358" s="161"/>
      <c r="Q358" s="1846"/>
    </row>
    <row r="359" spans="1:17" x14ac:dyDescent="0.2">
      <c r="A359" s="815" t="s">
        <v>4284</v>
      </c>
      <c r="B359" s="48">
        <f>114521-44</f>
        <v>114477</v>
      </c>
      <c r="C359" s="48">
        <f t="shared" si="516"/>
        <v>84619.099999999991</v>
      </c>
      <c r="D359" s="48">
        <f t="shared" ref="D359:M359" si="517">D351+D358+D357</f>
        <v>90144.2</v>
      </c>
      <c r="E359" s="48">
        <f t="shared" si="517"/>
        <v>92109.9</v>
      </c>
      <c r="F359" s="48">
        <f t="shared" si="517"/>
        <v>99533.5</v>
      </c>
      <c r="G359" s="48">
        <f t="shared" si="517"/>
        <v>101066.5</v>
      </c>
      <c r="H359" s="48">
        <f t="shared" si="517"/>
        <v>97300.4</v>
      </c>
      <c r="I359" s="48">
        <f t="shared" si="517"/>
        <v>97019.3</v>
      </c>
      <c r="J359" s="48">
        <f t="shared" si="517"/>
        <v>104362.7</v>
      </c>
      <c r="K359" s="48">
        <f t="shared" si="517"/>
        <v>107693</v>
      </c>
      <c r="L359" s="48">
        <f t="shared" si="517"/>
        <v>101636.9</v>
      </c>
      <c r="M359" s="161">
        <f t="shared" si="517"/>
        <v>105024.3</v>
      </c>
      <c r="N359" s="161">
        <f t="shared" ref="N359:O359" si="518">N351+N358+N357</f>
        <v>107003.9</v>
      </c>
      <c r="O359" s="161">
        <f t="shared" si="518"/>
        <v>110592.2</v>
      </c>
      <c r="P359" s="161">
        <f t="shared" ref="P359" si="519">P351+P358+P357</f>
        <v>113007.6</v>
      </c>
      <c r="Q359" s="1846">
        <f t="shared" ref="Q359" si="520">Q351+Q358+Q357</f>
        <v>116921.4</v>
      </c>
    </row>
    <row r="360" spans="1:17" s="285" customFormat="1" x14ac:dyDescent="0.2">
      <c r="A360" s="816" t="s">
        <v>4222</v>
      </c>
      <c r="B360" s="1494">
        <f t="shared" ref="B360:M360" si="521">B356/B359</f>
        <v>0.53399372799776379</v>
      </c>
      <c r="C360" s="1494">
        <f t="shared" si="521"/>
        <v>0.77194155929335107</v>
      </c>
      <c r="D360" s="1494">
        <f t="shared" si="521"/>
        <v>0.73692816620481394</v>
      </c>
      <c r="E360" s="1494">
        <f t="shared" si="521"/>
        <v>0.73506430904821307</v>
      </c>
      <c r="F360" s="1494">
        <f t="shared" si="521"/>
        <v>0.75535975324890603</v>
      </c>
      <c r="G360" s="1494">
        <f t="shared" si="521"/>
        <v>0.73315787130255816</v>
      </c>
      <c r="H360" s="1494">
        <f t="shared" si="521"/>
        <v>0.76898861669633423</v>
      </c>
      <c r="I360" s="1494">
        <f t="shared" si="521"/>
        <v>0.79841124394836904</v>
      </c>
      <c r="J360" s="1494">
        <f t="shared" si="521"/>
        <v>0.75239525232674132</v>
      </c>
      <c r="K360" s="1494">
        <f t="shared" si="521"/>
        <v>0.75505000324997906</v>
      </c>
      <c r="L360" s="1494">
        <f t="shared" si="521"/>
        <v>0.81372611718775367</v>
      </c>
      <c r="M360" s="1976">
        <f t="shared" si="521"/>
        <v>0.81593783533905961</v>
      </c>
      <c r="N360" s="1976">
        <f t="shared" ref="N360:O360" si="522">N356/N359</f>
        <v>0.81536467362404552</v>
      </c>
      <c r="O360" s="1976">
        <f t="shared" si="522"/>
        <v>0.81741117366324212</v>
      </c>
      <c r="P360" s="1976">
        <f t="shared" ref="P360" si="523">P356/P359</f>
        <v>0.8173715750091145</v>
      </c>
      <c r="Q360" s="2506">
        <f t="shared" ref="Q360" si="524">Q356/Q359</f>
        <v>0.81960017584462719</v>
      </c>
    </row>
    <row r="361" spans="1:17" x14ac:dyDescent="0.2">
      <c r="A361" s="2313"/>
      <c r="B361" s="839"/>
      <c r="C361" s="839"/>
      <c r="D361" s="839"/>
      <c r="E361" s="839"/>
      <c r="F361" s="839"/>
      <c r="G361" s="839"/>
      <c r="H361" s="839"/>
      <c r="I361" s="839"/>
      <c r="J361" s="839"/>
      <c r="K361" s="839"/>
      <c r="L361" s="839"/>
      <c r="M361" s="967"/>
      <c r="N361" s="967"/>
      <c r="O361" s="967"/>
      <c r="P361" s="967"/>
      <c r="Q361" s="2489"/>
    </row>
    <row r="362" spans="1:17" x14ac:dyDescent="0.2">
      <c r="A362" s="2490"/>
      <c r="B362" s="1483"/>
      <c r="C362" s="1483"/>
      <c r="D362" s="1483"/>
      <c r="E362" s="1483"/>
      <c r="F362" s="1483"/>
      <c r="G362" s="1483"/>
      <c r="H362" s="1483"/>
      <c r="I362" s="1483"/>
      <c r="J362" s="1483"/>
      <c r="K362" s="1483"/>
      <c r="L362" s="1483"/>
      <c r="M362" s="968"/>
      <c r="N362" s="968"/>
      <c r="O362" s="968"/>
      <c r="P362" s="968"/>
      <c r="Q362" s="2491"/>
    </row>
    <row r="363" spans="1:17" x14ac:dyDescent="0.2">
      <c r="A363" s="816" t="s">
        <v>4223</v>
      </c>
      <c r="B363" s="547"/>
      <c r="C363" s="547"/>
      <c r="D363" s="547"/>
      <c r="E363" s="547"/>
      <c r="F363" s="547"/>
      <c r="G363" s="547"/>
      <c r="H363" s="547"/>
      <c r="I363" s="547"/>
      <c r="J363" s="547"/>
      <c r="K363" s="547"/>
      <c r="L363" s="547"/>
      <c r="M363" s="549"/>
      <c r="N363" s="549"/>
      <c r="O363" s="549"/>
      <c r="P363" s="549"/>
      <c r="Q363" s="2256"/>
    </row>
    <row r="364" spans="1:17" s="726" customFormat="1" x14ac:dyDescent="0.2">
      <c r="A364" s="815" t="s">
        <v>4276</v>
      </c>
      <c r="B364" s="79">
        <f t="shared" ref="B364:O364" si="525">B303</f>
        <v>88988</v>
      </c>
      <c r="C364" s="79">
        <f t="shared" si="525"/>
        <v>56961</v>
      </c>
      <c r="D364" s="79">
        <f t="shared" si="525"/>
        <v>60802.2</v>
      </c>
      <c r="E364" s="79">
        <f t="shared" si="525"/>
        <v>61040.1</v>
      </c>
      <c r="F364" s="79">
        <f t="shared" si="525"/>
        <v>68045</v>
      </c>
      <c r="G364" s="79">
        <f t="shared" si="525"/>
        <v>68149.2</v>
      </c>
      <c r="H364" s="79">
        <f t="shared" si="525"/>
        <v>63511</v>
      </c>
      <c r="I364" s="79">
        <f t="shared" si="525"/>
        <v>62534</v>
      </c>
      <c r="J364" s="79">
        <f t="shared" si="525"/>
        <v>69057.5</v>
      </c>
      <c r="K364" s="79">
        <f t="shared" si="525"/>
        <v>71397.100000000006</v>
      </c>
      <c r="L364" s="79">
        <f t="shared" si="525"/>
        <v>64501.8</v>
      </c>
      <c r="M364" s="77">
        <f t="shared" si="525"/>
        <v>67003.8</v>
      </c>
      <c r="N364" s="77">
        <f t="shared" si="525"/>
        <v>67997.7</v>
      </c>
      <c r="O364" s="77">
        <f t="shared" si="525"/>
        <v>70592.399999999994</v>
      </c>
      <c r="P364" s="77">
        <f t="shared" ref="P364" si="526">P303</f>
        <v>71803.899999999994</v>
      </c>
      <c r="Q364" s="587">
        <f t="shared" ref="Q364" si="527">Q303</f>
        <v>74469.5</v>
      </c>
    </row>
    <row r="365" spans="1:17" s="726" customFormat="1" x14ac:dyDescent="0.2">
      <c r="A365" s="815" t="s">
        <v>4273</v>
      </c>
      <c r="B365" s="79">
        <f t="shared" ref="B365:O365" si="528">B305</f>
        <v>0</v>
      </c>
      <c r="C365" s="79">
        <f t="shared" si="528"/>
        <v>0</v>
      </c>
      <c r="D365" s="79">
        <f t="shared" si="528"/>
        <v>0</v>
      </c>
      <c r="E365" s="79">
        <f t="shared" si="528"/>
        <v>0</v>
      </c>
      <c r="F365" s="79">
        <f t="shared" si="528"/>
        <v>0</v>
      </c>
      <c r="G365" s="79">
        <f t="shared" si="528"/>
        <v>0</v>
      </c>
      <c r="H365" s="79">
        <f t="shared" si="528"/>
        <v>0</v>
      </c>
      <c r="I365" s="79">
        <f t="shared" si="528"/>
        <v>0</v>
      </c>
      <c r="J365" s="79">
        <f t="shared" si="528"/>
        <v>0</v>
      </c>
      <c r="K365" s="79">
        <f t="shared" si="528"/>
        <v>0</v>
      </c>
      <c r="L365" s="79">
        <f t="shared" si="528"/>
        <v>0</v>
      </c>
      <c r="M365" s="77">
        <f t="shared" si="528"/>
        <v>0</v>
      </c>
      <c r="N365" s="77">
        <f t="shared" si="528"/>
        <v>0</v>
      </c>
      <c r="O365" s="77">
        <f t="shared" si="528"/>
        <v>0</v>
      </c>
      <c r="P365" s="77">
        <f t="shared" ref="P365" si="529">P305</f>
        <v>0</v>
      </c>
      <c r="Q365" s="587">
        <f t="shared" ref="Q365" si="530">Q305</f>
        <v>0</v>
      </c>
    </row>
    <row r="366" spans="1:17" s="726" customFormat="1" x14ac:dyDescent="0.2">
      <c r="A366" s="815" t="s">
        <v>4268</v>
      </c>
      <c r="B366" s="79">
        <f t="shared" ref="B366:O366" si="531">B306</f>
        <v>-414</v>
      </c>
      <c r="C366" s="79">
        <f t="shared" si="531"/>
        <v>-333</v>
      </c>
      <c r="D366" s="79">
        <f t="shared" si="531"/>
        <v>0</v>
      </c>
      <c r="E366" s="79">
        <f t="shared" si="531"/>
        <v>0</v>
      </c>
      <c r="F366" s="79">
        <f t="shared" si="531"/>
        <v>0</v>
      </c>
      <c r="G366" s="79">
        <f t="shared" si="531"/>
        <v>0</v>
      </c>
      <c r="H366" s="79">
        <f t="shared" si="531"/>
        <v>0</v>
      </c>
      <c r="I366" s="79">
        <f t="shared" si="531"/>
        <v>0</v>
      </c>
      <c r="J366" s="79">
        <f t="shared" si="531"/>
        <v>0</v>
      </c>
      <c r="K366" s="79">
        <f t="shared" si="531"/>
        <v>0</v>
      </c>
      <c r="L366" s="79">
        <f t="shared" si="531"/>
        <v>0</v>
      </c>
      <c r="M366" s="77">
        <f t="shared" si="531"/>
        <v>0</v>
      </c>
      <c r="N366" s="77">
        <f t="shared" si="531"/>
        <v>0</v>
      </c>
      <c r="O366" s="77">
        <f t="shared" si="531"/>
        <v>0</v>
      </c>
      <c r="P366" s="77">
        <f t="shared" ref="P366" si="532">P306</f>
        <v>0</v>
      </c>
      <c r="Q366" s="587">
        <f t="shared" ref="Q366" si="533">Q306</f>
        <v>0</v>
      </c>
    </row>
    <row r="367" spans="1:17" s="726" customFormat="1" x14ac:dyDescent="0.2">
      <c r="A367" s="815" t="s">
        <v>4269</v>
      </c>
      <c r="B367" s="79">
        <f t="shared" ref="B367:O367" si="534">B307</f>
        <v>-37059</v>
      </c>
      <c r="C367" s="79">
        <f t="shared" si="534"/>
        <v>-10914</v>
      </c>
      <c r="D367" s="79">
        <f t="shared" si="534"/>
        <v>-12768</v>
      </c>
      <c r="E367" s="79">
        <f t="shared" si="534"/>
        <v>-11484.1</v>
      </c>
      <c r="F367" s="79">
        <f t="shared" si="534"/>
        <v>-11107</v>
      </c>
      <c r="G367" s="79">
        <f t="shared" si="534"/>
        <v>-16009.8</v>
      </c>
      <c r="H367" s="79">
        <f t="shared" si="534"/>
        <v>-11968.1</v>
      </c>
      <c r="I367" s="79">
        <f t="shared" si="534"/>
        <v>-8754.7999999999993</v>
      </c>
      <c r="J367" s="79">
        <f t="shared" si="534"/>
        <v>-14972</v>
      </c>
      <c r="K367" s="79">
        <f t="shared" si="534"/>
        <v>-15344.1</v>
      </c>
      <c r="L367" s="79">
        <f t="shared" si="534"/>
        <v>-7726</v>
      </c>
      <c r="M367" s="77">
        <f t="shared" si="534"/>
        <v>-7917.7</v>
      </c>
      <c r="N367" s="77">
        <f t="shared" si="534"/>
        <v>-8113.4</v>
      </c>
      <c r="O367" s="77">
        <f t="shared" si="534"/>
        <v>-8313.9</v>
      </c>
      <c r="P367" s="77">
        <f t="shared" ref="P367" si="535">P307</f>
        <v>-8520.2000000000007</v>
      </c>
      <c r="Q367" s="587">
        <f t="shared" ref="Q367" si="536">Q307</f>
        <v>-8731.6</v>
      </c>
    </row>
    <row r="368" spans="1:17" s="726" customFormat="1" x14ac:dyDescent="0.2">
      <c r="A368" s="815" t="s">
        <v>4274</v>
      </c>
      <c r="B368" s="79">
        <v>-13493</v>
      </c>
      <c r="C368" s="79">
        <v>-5216</v>
      </c>
      <c r="D368" s="79">
        <f>-Summaries!R11/1000</f>
        <v>-7529.3</v>
      </c>
      <c r="E368" s="79">
        <f>-Summaries!S11/1000</f>
        <v>-9075.2000000000007</v>
      </c>
      <c r="F368" s="79">
        <f>-Summaries!T11/1000</f>
        <v>-11718.3</v>
      </c>
      <c r="G368" s="79">
        <f>-Summaries!U11/1000</f>
        <v>-7750.9</v>
      </c>
      <c r="H368" s="79">
        <f>-Summaries!V11/1000</f>
        <v>-7244.7</v>
      </c>
      <c r="I368" s="79">
        <f>-Summaries!W11/1000</f>
        <v>-7476.7</v>
      </c>
      <c r="J368" s="79">
        <f>-Summaries!X11/1000</f>
        <v>-7480.6</v>
      </c>
      <c r="K368" s="79">
        <f>-Summaries!Y11/1000</f>
        <v>-7585.5</v>
      </c>
      <c r="L368" s="79">
        <f>-Summaries!Z11/1000</f>
        <v>-7694.8</v>
      </c>
      <c r="M368" s="77">
        <f>-Summaries!AA11/1000</f>
        <v>-7840.1</v>
      </c>
      <c r="N368" s="77">
        <f>-Summaries!AB11/1000</f>
        <v>-7998.3</v>
      </c>
      <c r="O368" s="77">
        <f>-Summaries!AC11/1000</f>
        <v>-8162.3</v>
      </c>
      <c r="P368" s="77">
        <f>-Summaries!AD11/1000</f>
        <v>-8329.7999999999993</v>
      </c>
      <c r="Q368" s="587">
        <f>-Summaries!AE11/1000</f>
        <v>-8500.9</v>
      </c>
    </row>
    <row r="369" spans="1:19" x14ac:dyDescent="0.2">
      <c r="A369" s="2504" t="s">
        <v>2811</v>
      </c>
      <c r="B369" s="944">
        <f t="shared" ref="B369:M369" si="537">SUM(B364:B368)</f>
        <v>38022</v>
      </c>
      <c r="C369" s="944">
        <f t="shared" si="537"/>
        <v>40498</v>
      </c>
      <c r="D369" s="944">
        <f t="shared" si="537"/>
        <v>40504.899999999994</v>
      </c>
      <c r="E369" s="944">
        <f t="shared" si="537"/>
        <v>40480.800000000003</v>
      </c>
      <c r="F369" s="944">
        <f t="shared" si="537"/>
        <v>45219.7</v>
      </c>
      <c r="G369" s="944">
        <f t="shared" si="537"/>
        <v>44388.499999999993</v>
      </c>
      <c r="H369" s="944">
        <f t="shared" si="537"/>
        <v>44298.200000000004</v>
      </c>
      <c r="I369" s="944">
        <f t="shared" si="537"/>
        <v>46302.5</v>
      </c>
      <c r="J369" s="944">
        <f t="shared" si="537"/>
        <v>46604.9</v>
      </c>
      <c r="K369" s="944">
        <f t="shared" si="537"/>
        <v>48467.500000000007</v>
      </c>
      <c r="L369" s="944">
        <f t="shared" si="537"/>
        <v>49081</v>
      </c>
      <c r="M369" s="981">
        <f t="shared" si="537"/>
        <v>51246.000000000007</v>
      </c>
      <c r="N369" s="981">
        <f t="shared" ref="N369:O369" si="538">SUM(N364:N368)</f>
        <v>51885.999999999993</v>
      </c>
      <c r="O369" s="981">
        <f t="shared" si="538"/>
        <v>54116.19999999999</v>
      </c>
      <c r="P369" s="981">
        <f t="shared" ref="P369" si="539">SUM(P364:P368)</f>
        <v>54953.899999999994</v>
      </c>
      <c r="Q369" s="2505">
        <f t="shared" ref="Q369" si="540">SUM(Q364:Q368)</f>
        <v>57236.999999999993</v>
      </c>
    </row>
    <row r="370" spans="1:19" x14ac:dyDescent="0.2">
      <c r="A370" s="815" t="s">
        <v>4283</v>
      </c>
      <c r="B370" s="48">
        <f t="shared" ref="B370:M370" si="541">B365</f>
        <v>0</v>
      </c>
      <c r="C370" s="48">
        <f t="shared" si="541"/>
        <v>0</v>
      </c>
      <c r="D370" s="48">
        <f t="shared" si="541"/>
        <v>0</v>
      </c>
      <c r="E370" s="48">
        <f t="shared" si="541"/>
        <v>0</v>
      </c>
      <c r="F370" s="48">
        <f t="shared" si="541"/>
        <v>0</v>
      </c>
      <c r="G370" s="48">
        <f t="shared" si="541"/>
        <v>0</v>
      </c>
      <c r="H370" s="48">
        <f t="shared" si="541"/>
        <v>0</v>
      </c>
      <c r="I370" s="48">
        <f t="shared" si="541"/>
        <v>0</v>
      </c>
      <c r="J370" s="48">
        <f t="shared" si="541"/>
        <v>0</v>
      </c>
      <c r="K370" s="48">
        <f t="shared" si="541"/>
        <v>0</v>
      </c>
      <c r="L370" s="48">
        <f t="shared" si="541"/>
        <v>0</v>
      </c>
      <c r="M370" s="161">
        <f t="shared" si="541"/>
        <v>0</v>
      </c>
      <c r="N370" s="161">
        <f t="shared" ref="N370:O370" si="542">N365</f>
        <v>0</v>
      </c>
      <c r="O370" s="161">
        <f t="shared" si="542"/>
        <v>0</v>
      </c>
      <c r="P370" s="161">
        <f t="shared" ref="P370" si="543">P365</f>
        <v>0</v>
      </c>
      <c r="Q370" s="1846">
        <f t="shared" ref="Q370" si="544">Q365</f>
        <v>0</v>
      </c>
    </row>
    <row r="371" spans="1:19" x14ac:dyDescent="0.2">
      <c r="A371" s="815" t="s">
        <v>4275</v>
      </c>
      <c r="B371" s="48">
        <f t="shared" ref="B371:O371" si="545">B306</f>
        <v>-414</v>
      </c>
      <c r="C371" s="48">
        <f t="shared" si="545"/>
        <v>-333</v>
      </c>
      <c r="D371" s="48">
        <f t="shared" si="545"/>
        <v>0</v>
      </c>
      <c r="E371" s="48">
        <f t="shared" si="545"/>
        <v>0</v>
      </c>
      <c r="F371" s="48">
        <f t="shared" si="545"/>
        <v>0</v>
      </c>
      <c r="G371" s="48">
        <f t="shared" si="545"/>
        <v>0</v>
      </c>
      <c r="H371" s="48">
        <f t="shared" si="545"/>
        <v>0</v>
      </c>
      <c r="I371" s="48">
        <f t="shared" si="545"/>
        <v>0</v>
      </c>
      <c r="J371" s="48">
        <f t="shared" si="545"/>
        <v>0</v>
      </c>
      <c r="K371" s="48">
        <f t="shared" si="545"/>
        <v>0</v>
      </c>
      <c r="L371" s="48">
        <f t="shared" si="545"/>
        <v>0</v>
      </c>
      <c r="M371" s="161">
        <f t="shared" si="545"/>
        <v>0</v>
      </c>
      <c r="N371" s="161">
        <f t="shared" si="545"/>
        <v>0</v>
      </c>
      <c r="O371" s="161">
        <f t="shared" si="545"/>
        <v>0</v>
      </c>
      <c r="P371" s="161">
        <f t="shared" ref="P371" si="546">P306</f>
        <v>0</v>
      </c>
      <c r="Q371" s="1846">
        <f t="shared" ref="Q371" si="547">Q306</f>
        <v>0</v>
      </c>
    </row>
    <row r="372" spans="1:19" x14ac:dyDescent="0.2">
      <c r="A372" s="815" t="s">
        <v>4284</v>
      </c>
      <c r="B372" s="48">
        <f t="shared" ref="B372:M372" si="548">B364+B371+B370</f>
        <v>88574</v>
      </c>
      <c r="C372" s="48">
        <f t="shared" si="548"/>
        <v>56628</v>
      </c>
      <c r="D372" s="48">
        <f t="shared" si="548"/>
        <v>60802.2</v>
      </c>
      <c r="E372" s="48">
        <f t="shared" si="548"/>
        <v>61040.1</v>
      </c>
      <c r="F372" s="48">
        <f t="shared" si="548"/>
        <v>68045</v>
      </c>
      <c r="G372" s="48">
        <f t="shared" si="548"/>
        <v>68149.2</v>
      </c>
      <c r="H372" s="48">
        <f t="shared" si="548"/>
        <v>63511</v>
      </c>
      <c r="I372" s="48">
        <f t="shared" si="548"/>
        <v>62534</v>
      </c>
      <c r="J372" s="48">
        <f t="shared" si="548"/>
        <v>69057.5</v>
      </c>
      <c r="K372" s="48">
        <f t="shared" si="548"/>
        <v>71397.100000000006</v>
      </c>
      <c r="L372" s="48">
        <f t="shared" si="548"/>
        <v>64501.8</v>
      </c>
      <c r="M372" s="161">
        <f t="shared" si="548"/>
        <v>67003.8</v>
      </c>
      <c r="N372" s="161">
        <f t="shared" ref="N372:O372" si="549">N364+N371+N370</f>
        <v>67997.7</v>
      </c>
      <c r="O372" s="161">
        <f t="shared" si="549"/>
        <v>70592.399999999994</v>
      </c>
      <c r="P372" s="161">
        <f t="shared" ref="P372" si="550">P364+P371+P370</f>
        <v>71803.899999999994</v>
      </c>
      <c r="Q372" s="1846">
        <f t="shared" ref="Q372" si="551">Q364+Q371+Q370</f>
        <v>74469.5</v>
      </c>
    </row>
    <row r="373" spans="1:19" s="285" customFormat="1" x14ac:dyDescent="0.2">
      <c r="A373" s="816" t="s">
        <v>4224</v>
      </c>
      <c r="B373" s="1487">
        <f t="shared" ref="B373:M373" si="552">B369/B372</f>
        <v>0.42926818253663601</v>
      </c>
      <c r="C373" s="1487">
        <f t="shared" si="552"/>
        <v>0.71515857879494238</v>
      </c>
      <c r="D373" s="1487">
        <f t="shared" si="552"/>
        <v>0.66617490814477098</v>
      </c>
      <c r="E373" s="1487">
        <f t="shared" si="552"/>
        <v>0.66318371038055313</v>
      </c>
      <c r="F373" s="1487">
        <f t="shared" si="552"/>
        <v>0.66455580865603636</v>
      </c>
      <c r="G373" s="1487">
        <f t="shared" si="552"/>
        <v>0.65134293579381697</v>
      </c>
      <c r="H373" s="1487">
        <f t="shared" si="552"/>
        <v>0.69748862401788669</v>
      </c>
      <c r="I373" s="1487">
        <f t="shared" si="552"/>
        <v>0.74043720216202391</v>
      </c>
      <c r="J373" s="1487">
        <f t="shared" si="552"/>
        <v>0.6748709408825978</v>
      </c>
      <c r="K373" s="1487">
        <f t="shared" si="552"/>
        <v>0.6788440987098916</v>
      </c>
      <c r="L373" s="1487">
        <f t="shared" si="552"/>
        <v>0.76092450133174572</v>
      </c>
      <c r="M373" s="2108">
        <f t="shared" si="552"/>
        <v>0.76482229366095666</v>
      </c>
      <c r="N373" s="2108">
        <f t="shared" ref="N373:O373" si="553">N369/N372</f>
        <v>0.76305522098541556</v>
      </c>
      <c r="O373" s="2108">
        <f t="shared" si="553"/>
        <v>0.76660093721137113</v>
      </c>
      <c r="P373" s="2108">
        <f t="shared" ref="P373" si="554">P369/P372</f>
        <v>0.76533308079366158</v>
      </c>
      <c r="Q373" s="2507">
        <f t="shared" ref="Q373" si="555">Q369/Q372</f>
        <v>0.76859653952289186</v>
      </c>
    </row>
    <row r="374" spans="1:19" x14ac:dyDescent="0.2">
      <c r="A374" s="2313"/>
      <c r="B374" s="839"/>
      <c r="C374" s="839"/>
      <c r="D374" s="839"/>
      <c r="E374" s="839"/>
      <c r="F374" s="839"/>
      <c r="G374" s="839"/>
      <c r="H374" s="839"/>
      <c r="I374" s="839"/>
      <c r="J374" s="839"/>
      <c r="K374" s="839"/>
      <c r="L374" s="839"/>
      <c r="M374" s="967"/>
      <c r="N374" s="967"/>
      <c r="O374" s="967"/>
      <c r="P374" s="967"/>
      <c r="Q374" s="2489"/>
    </row>
    <row r="375" spans="1:19" x14ac:dyDescent="0.2">
      <c r="A375" s="2490"/>
      <c r="B375" s="1483"/>
      <c r="C375" s="1483"/>
      <c r="D375" s="1483"/>
      <c r="E375" s="1483"/>
      <c r="F375" s="1483"/>
      <c r="G375" s="1483"/>
      <c r="H375" s="1483"/>
      <c r="I375" s="1483"/>
      <c r="J375" s="1483"/>
      <c r="K375" s="1483"/>
      <c r="L375" s="1483"/>
      <c r="M375" s="968"/>
      <c r="N375" s="968"/>
      <c r="O375" s="968"/>
      <c r="P375" s="968"/>
      <c r="Q375" s="2491"/>
    </row>
    <row r="376" spans="1:19" x14ac:dyDescent="0.2">
      <c r="A376" s="816" t="s">
        <v>4225</v>
      </c>
      <c r="B376" s="547"/>
      <c r="C376" s="547"/>
      <c r="D376" s="547"/>
      <c r="E376" s="547"/>
      <c r="F376" s="547"/>
      <c r="G376" s="547"/>
      <c r="H376" s="547"/>
      <c r="I376" s="547"/>
      <c r="J376" s="547"/>
      <c r="K376" s="547"/>
      <c r="L376" s="547"/>
      <c r="M376" s="549"/>
      <c r="N376" s="549"/>
      <c r="O376" s="549"/>
      <c r="P376" s="549"/>
      <c r="Q376" s="2256"/>
    </row>
    <row r="377" spans="1:19" s="726" customFormat="1" x14ac:dyDescent="0.2">
      <c r="A377" s="815" t="s">
        <v>4276</v>
      </c>
      <c r="B377" s="79">
        <f t="shared" ref="B377:O377" si="556">B320</f>
        <v>10641</v>
      </c>
      <c r="C377" s="79">
        <f t="shared" si="556"/>
        <v>11540.4</v>
      </c>
      <c r="D377" s="79">
        <f t="shared" si="556"/>
        <v>11873.9</v>
      </c>
      <c r="E377" s="79">
        <f t="shared" si="556"/>
        <v>12259</v>
      </c>
      <c r="F377" s="79">
        <f t="shared" si="556"/>
        <v>12878.9</v>
      </c>
      <c r="G377" s="79">
        <f t="shared" si="556"/>
        <v>12553.4</v>
      </c>
      <c r="H377" s="79">
        <f t="shared" si="556"/>
        <v>12943.7</v>
      </c>
      <c r="I377" s="79">
        <f t="shared" si="556"/>
        <v>13152.1</v>
      </c>
      <c r="J377" s="79">
        <f t="shared" si="556"/>
        <v>13448.4</v>
      </c>
      <c r="K377" s="79">
        <f t="shared" si="556"/>
        <v>13859.4</v>
      </c>
      <c r="L377" s="79">
        <f t="shared" si="556"/>
        <v>14155.3</v>
      </c>
      <c r="M377" s="77">
        <f t="shared" si="556"/>
        <v>14501</v>
      </c>
      <c r="N377" s="77">
        <f t="shared" si="556"/>
        <v>14860.9</v>
      </c>
      <c r="O377" s="77">
        <f t="shared" si="556"/>
        <v>15241.2</v>
      </c>
      <c r="P377" s="77">
        <f t="shared" ref="P377" si="557">P320</f>
        <v>15723.1</v>
      </c>
      <c r="Q377" s="587">
        <f t="shared" ref="Q377" si="558">Q320</f>
        <v>16225.1</v>
      </c>
    </row>
    <row r="378" spans="1:19" s="726" customFormat="1" x14ac:dyDescent="0.2">
      <c r="A378" s="815" t="s">
        <v>4273</v>
      </c>
      <c r="B378" s="79">
        <f t="shared" ref="B378:O378" si="559">B321</f>
        <v>0</v>
      </c>
      <c r="C378" s="79">
        <f t="shared" si="559"/>
        <v>0</v>
      </c>
      <c r="D378" s="79">
        <f t="shared" si="559"/>
        <v>0</v>
      </c>
      <c r="E378" s="79">
        <f t="shared" si="559"/>
        <v>0</v>
      </c>
      <c r="F378" s="79">
        <f t="shared" si="559"/>
        <v>0</v>
      </c>
      <c r="G378" s="79">
        <f t="shared" si="559"/>
        <v>0</v>
      </c>
      <c r="H378" s="79">
        <f t="shared" si="559"/>
        <v>0</v>
      </c>
      <c r="I378" s="79">
        <f t="shared" si="559"/>
        <v>0</v>
      </c>
      <c r="J378" s="79">
        <f t="shared" si="559"/>
        <v>0</v>
      </c>
      <c r="K378" s="79">
        <f t="shared" si="559"/>
        <v>0</v>
      </c>
      <c r="L378" s="79">
        <f t="shared" si="559"/>
        <v>0</v>
      </c>
      <c r="M378" s="77">
        <f t="shared" si="559"/>
        <v>0</v>
      </c>
      <c r="N378" s="77">
        <f t="shared" si="559"/>
        <v>0</v>
      </c>
      <c r="O378" s="77">
        <f t="shared" si="559"/>
        <v>0</v>
      </c>
      <c r="P378" s="77">
        <f t="shared" ref="P378" si="560">P321</f>
        <v>0</v>
      </c>
      <c r="Q378" s="587">
        <f t="shared" ref="Q378" si="561">Q321</f>
        <v>0</v>
      </c>
    </row>
    <row r="379" spans="1:19" s="726" customFormat="1" x14ac:dyDescent="0.2">
      <c r="A379" s="815" t="s">
        <v>4268</v>
      </c>
      <c r="B379" s="79">
        <f t="shared" ref="B379:O379" si="562">B322</f>
        <v>0</v>
      </c>
      <c r="C379" s="79">
        <f t="shared" si="562"/>
        <v>0</v>
      </c>
      <c r="D379" s="79">
        <f t="shared" si="562"/>
        <v>0</v>
      </c>
      <c r="E379" s="79">
        <f t="shared" si="562"/>
        <v>0</v>
      </c>
      <c r="F379" s="79">
        <f t="shared" si="562"/>
        <v>0</v>
      </c>
      <c r="G379" s="79">
        <f t="shared" si="562"/>
        <v>0</v>
      </c>
      <c r="H379" s="79">
        <f t="shared" si="562"/>
        <v>0</v>
      </c>
      <c r="I379" s="79">
        <f t="shared" si="562"/>
        <v>0</v>
      </c>
      <c r="J379" s="79">
        <f t="shared" si="562"/>
        <v>0</v>
      </c>
      <c r="K379" s="79">
        <f t="shared" si="562"/>
        <v>0</v>
      </c>
      <c r="L379" s="79">
        <f t="shared" si="562"/>
        <v>0</v>
      </c>
      <c r="M379" s="77">
        <f t="shared" si="562"/>
        <v>0</v>
      </c>
      <c r="N379" s="77">
        <f t="shared" si="562"/>
        <v>0</v>
      </c>
      <c r="O379" s="77">
        <f t="shared" si="562"/>
        <v>0</v>
      </c>
      <c r="P379" s="77">
        <f t="shared" ref="P379" si="563">P322</f>
        <v>0</v>
      </c>
      <c r="Q379" s="587">
        <f t="shared" ref="Q379" si="564">Q322</f>
        <v>0</v>
      </c>
    </row>
    <row r="380" spans="1:19" s="726" customFormat="1" x14ac:dyDescent="0.2">
      <c r="A380" s="815" t="s">
        <v>4269</v>
      </c>
      <c r="B380" s="79">
        <f t="shared" ref="B380:O380" si="565">B323</f>
        <v>-1008</v>
      </c>
      <c r="C380" s="79">
        <f t="shared" si="565"/>
        <v>-851.3</v>
      </c>
      <c r="D380" s="79">
        <f t="shared" si="565"/>
        <v>-980.4</v>
      </c>
      <c r="E380" s="79">
        <f t="shared" si="565"/>
        <v>-1059.9000000000001</v>
      </c>
      <c r="F380" s="79">
        <f t="shared" si="565"/>
        <v>-469.1</v>
      </c>
      <c r="G380" s="79">
        <f t="shared" si="565"/>
        <v>-775</v>
      </c>
      <c r="H380" s="79">
        <f t="shared" si="565"/>
        <v>-800</v>
      </c>
      <c r="I380" s="79">
        <f t="shared" si="565"/>
        <v>-820</v>
      </c>
      <c r="J380" s="79">
        <f t="shared" si="565"/>
        <v>-840</v>
      </c>
      <c r="K380" s="79">
        <f t="shared" si="565"/>
        <v>-860</v>
      </c>
      <c r="L380" s="79">
        <f t="shared" si="565"/>
        <v>-880</v>
      </c>
      <c r="M380" s="77">
        <f t="shared" si="565"/>
        <v>-900</v>
      </c>
      <c r="N380" s="77">
        <f t="shared" si="565"/>
        <v>-920</v>
      </c>
      <c r="O380" s="77">
        <f t="shared" si="565"/>
        <v>-940</v>
      </c>
      <c r="P380" s="77">
        <f t="shared" ref="P380" si="566">P323</f>
        <v>-960</v>
      </c>
      <c r="Q380" s="587">
        <f t="shared" ref="Q380" si="567">Q323</f>
        <v>-980</v>
      </c>
      <c r="S380" s="31"/>
    </row>
    <row r="381" spans="1:19" s="726" customFormat="1" x14ac:dyDescent="0.2">
      <c r="A381" s="815" t="s">
        <v>4274</v>
      </c>
      <c r="B381" s="79">
        <v>-155</v>
      </c>
      <c r="C381" s="79">
        <f>-'W&amp;W'!B46/1000</f>
        <v>-151.80000000000001</v>
      </c>
      <c r="D381" s="79">
        <f>-'W&amp;W'!C46/1000</f>
        <v>-152.6</v>
      </c>
      <c r="E381" s="79">
        <f>-'W&amp;W'!D46/1000</f>
        <v>-157.4</v>
      </c>
      <c r="F381" s="79">
        <f>-'W&amp;W'!E46/1000</f>
        <v>-159.9</v>
      </c>
      <c r="G381" s="79">
        <f>-'W&amp;W'!H46/1000</f>
        <v>-144</v>
      </c>
      <c r="H381" s="79">
        <f>-'W&amp;W'!J46/1000</f>
        <v>-144.69999999999999</v>
      </c>
      <c r="I381" s="79">
        <f>-'W&amp;W'!K46/1000</f>
        <v>-145.5</v>
      </c>
      <c r="J381" s="79">
        <f>-'W&amp;W'!L46/1000</f>
        <v>-146.19999999999999</v>
      </c>
      <c r="K381" s="79">
        <f>-'W&amp;W'!M46/1000</f>
        <v>-147</v>
      </c>
      <c r="L381" s="79">
        <f>-'W&amp;W'!N46/1000</f>
        <v>-147.80000000000001</v>
      </c>
      <c r="M381" s="77">
        <f>-'W&amp;W'!O46/1000</f>
        <v>-148.6</v>
      </c>
      <c r="N381" s="77">
        <f>-'W&amp;W'!P46/1000</f>
        <v>-149.5</v>
      </c>
      <c r="O381" s="77">
        <f>-'W&amp;W'!Q46/1000</f>
        <v>-150.30000000000001</v>
      </c>
      <c r="P381" s="77">
        <f>-'W&amp;W'!R46/1000</f>
        <v>-151.1</v>
      </c>
      <c r="Q381" s="587">
        <f>-'W&amp;W'!S46/1000</f>
        <v>-151.9</v>
      </c>
    </row>
    <row r="382" spans="1:19" x14ac:dyDescent="0.2">
      <c r="A382" s="2504" t="s">
        <v>2811</v>
      </c>
      <c r="B382" s="944">
        <f t="shared" ref="B382:M382" si="568">SUM(B377:B381)</f>
        <v>9478</v>
      </c>
      <c r="C382" s="944">
        <f t="shared" si="568"/>
        <v>10537.300000000001</v>
      </c>
      <c r="D382" s="944">
        <f t="shared" si="568"/>
        <v>10740.9</v>
      </c>
      <c r="E382" s="944">
        <f t="shared" si="568"/>
        <v>11041.7</v>
      </c>
      <c r="F382" s="944">
        <f t="shared" si="568"/>
        <v>12249.9</v>
      </c>
      <c r="G382" s="944">
        <f t="shared" si="568"/>
        <v>11634.4</v>
      </c>
      <c r="H382" s="944">
        <f t="shared" si="568"/>
        <v>11999</v>
      </c>
      <c r="I382" s="944">
        <f t="shared" si="568"/>
        <v>12186.6</v>
      </c>
      <c r="J382" s="944">
        <f t="shared" si="568"/>
        <v>12462.199999999999</v>
      </c>
      <c r="K382" s="944">
        <f t="shared" si="568"/>
        <v>12852.4</v>
      </c>
      <c r="L382" s="944">
        <f t="shared" si="568"/>
        <v>13127.5</v>
      </c>
      <c r="M382" s="981">
        <f t="shared" si="568"/>
        <v>13452.4</v>
      </c>
      <c r="N382" s="981">
        <f t="shared" ref="N382:O382" si="569">SUM(N377:N381)</f>
        <v>13791.4</v>
      </c>
      <c r="O382" s="981">
        <f t="shared" si="569"/>
        <v>14150.900000000001</v>
      </c>
      <c r="P382" s="981">
        <f t="shared" ref="P382" si="570">SUM(P377:P381)</f>
        <v>14612</v>
      </c>
      <c r="Q382" s="2505">
        <f t="shared" ref="Q382" si="571">SUM(Q377:Q381)</f>
        <v>15093.2</v>
      </c>
    </row>
    <row r="383" spans="1:19" x14ac:dyDescent="0.2">
      <c r="A383" s="815" t="s">
        <v>4283</v>
      </c>
      <c r="B383" s="48">
        <f t="shared" ref="B383:M383" si="572">B378</f>
        <v>0</v>
      </c>
      <c r="C383" s="48">
        <f t="shared" si="572"/>
        <v>0</v>
      </c>
      <c r="D383" s="48">
        <f t="shared" si="572"/>
        <v>0</v>
      </c>
      <c r="E383" s="48">
        <f t="shared" si="572"/>
        <v>0</v>
      </c>
      <c r="F383" s="48">
        <f t="shared" si="572"/>
        <v>0</v>
      </c>
      <c r="G383" s="48">
        <f t="shared" si="572"/>
        <v>0</v>
      </c>
      <c r="H383" s="48">
        <f t="shared" si="572"/>
        <v>0</v>
      </c>
      <c r="I383" s="48">
        <f t="shared" si="572"/>
        <v>0</v>
      </c>
      <c r="J383" s="48">
        <f t="shared" si="572"/>
        <v>0</v>
      </c>
      <c r="K383" s="48">
        <f t="shared" si="572"/>
        <v>0</v>
      </c>
      <c r="L383" s="48">
        <f t="shared" si="572"/>
        <v>0</v>
      </c>
      <c r="M383" s="161">
        <f t="shared" si="572"/>
        <v>0</v>
      </c>
      <c r="N383" s="161">
        <f t="shared" ref="N383:O383" si="573">N378</f>
        <v>0</v>
      </c>
      <c r="O383" s="161">
        <f t="shared" si="573"/>
        <v>0</v>
      </c>
      <c r="P383" s="161">
        <f t="shared" ref="P383" si="574">P378</f>
        <v>0</v>
      </c>
      <c r="Q383" s="1846">
        <f t="shared" ref="Q383" si="575">Q378</f>
        <v>0</v>
      </c>
    </row>
    <row r="384" spans="1:19" x14ac:dyDescent="0.2">
      <c r="A384" s="815" t="s">
        <v>4275</v>
      </c>
      <c r="B384" s="48">
        <f t="shared" ref="B384:M384" si="576">B379</f>
        <v>0</v>
      </c>
      <c r="C384" s="48">
        <f t="shared" si="576"/>
        <v>0</v>
      </c>
      <c r="D384" s="48">
        <f t="shared" si="576"/>
        <v>0</v>
      </c>
      <c r="E384" s="48">
        <f t="shared" si="576"/>
        <v>0</v>
      </c>
      <c r="F384" s="48">
        <f t="shared" si="576"/>
        <v>0</v>
      </c>
      <c r="G384" s="48">
        <f t="shared" si="576"/>
        <v>0</v>
      </c>
      <c r="H384" s="48">
        <f t="shared" si="576"/>
        <v>0</v>
      </c>
      <c r="I384" s="48">
        <f t="shared" si="576"/>
        <v>0</v>
      </c>
      <c r="J384" s="48">
        <f t="shared" si="576"/>
        <v>0</v>
      </c>
      <c r="K384" s="48">
        <f t="shared" si="576"/>
        <v>0</v>
      </c>
      <c r="L384" s="48">
        <f t="shared" si="576"/>
        <v>0</v>
      </c>
      <c r="M384" s="161">
        <f t="shared" si="576"/>
        <v>0</v>
      </c>
      <c r="N384" s="161">
        <f t="shared" ref="N384:O384" si="577">N379</f>
        <v>0</v>
      </c>
      <c r="O384" s="161">
        <f t="shared" si="577"/>
        <v>0</v>
      </c>
      <c r="P384" s="161">
        <f t="shared" ref="P384" si="578">P379</f>
        <v>0</v>
      </c>
      <c r="Q384" s="1846">
        <f t="shared" ref="Q384" si="579">Q379</f>
        <v>0</v>
      </c>
    </row>
    <row r="385" spans="1:20" x14ac:dyDescent="0.2">
      <c r="A385" s="815" t="s">
        <v>4284</v>
      </c>
      <c r="B385" s="48">
        <f t="shared" ref="B385:M385" si="580">B377+B383+B384</f>
        <v>10641</v>
      </c>
      <c r="C385" s="48">
        <f t="shared" si="580"/>
        <v>11540.4</v>
      </c>
      <c r="D385" s="48">
        <f t="shared" si="580"/>
        <v>11873.9</v>
      </c>
      <c r="E385" s="48">
        <f t="shared" si="580"/>
        <v>12259</v>
      </c>
      <c r="F385" s="48">
        <f t="shared" si="580"/>
        <v>12878.9</v>
      </c>
      <c r="G385" s="48">
        <f t="shared" si="580"/>
        <v>12553.4</v>
      </c>
      <c r="H385" s="48">
        <f t="shared" si="580"/>
        <v>12943.7</v>
      </c>
      <c r="I385" s="48">
        <f t="shared" si="580"/>
        <v>13152.1</v>
      </c>
      <c r="J385" s="48">
        <f t="shared" si="580"/>
        <v>13448.4</v>
      </c>
      <c r="K385" s="48">
        <f t="shared" si="580"/>
        <v>13859.4</v>
      </c>
      <c r="L385" s="48">
        <f t="shared" si="580"/>
        <v>14155.3</v>
      </c>
      <c r="M385" s="161">
        <f t="shared" si="580"/>
        <v>14501</v>
      </c>
      <c r="N385" s="161">
        <f t="shared" ref="N385:O385" si="581">N377+N383+N384</f>
        <v>14860.9</v>
      </c>
      <c r="O385" s="161">
        <f t="shared" si="581"/>
        <v>15241.2</v>
      </c>
      <c r="P385" s="161">
        <f t="shared" ref="P385" si="582">P377+P383+P384</f>
        <v>15723.1</v>
      </c>
      <c r="Q385" s="1846">
        <f t="shared" ref="Q385" si="583">Q377+Q383+Q384</f>
        <v>16225.1</v>
      </c>
    </row>
    <row r="386" spans="1:20" s="285" customFormat="1" x14ac:dyDescent="0.2">
      <c r="A386" s="816" t="s">
        <v>4226</v>
      </c>
      <c r="B386" s="1487">
        <f t="shared" ref="B386:M386" si="584">B382/B385</f>
        <v>0.89070576073677288</v>
      </c>
      <c r="C386" s="1487">
        <f t="shared" si="584"/>
        <v>0.91307926934941608</v>
      </c>
      <c r="D386" s="1487">
        <f t="shared" si="584"/>
        <v>0.90458063483775342</v>
      </c>
      <c r="E386" s="1487">
        <f t="shared" si="584"/>
        <v>0.900701525409903</v>
      </c>
      <c r="F386" s="1487">
        <f t="shared" si="584"/>
        <v>0.9511604251915925</v>
      </c>
      <c r="G386" s="1487">
        <f t="shared" si="584"/>
        <v>0.92679274140870205</v>
      </c>
      <c r="H386" s="1487">
        <f t="shared" si="584"/>
        <v>0.92701468668155163</v>
      </c>
      <c r="I386" s="1487">
        <f t="shared" si="584"/>
        <v>0.92658967009070792</v>
      </c>
      <c r="J386" s="1487">
        <f t="shared" si="584"/>
        <v>0.92666785639927418</v>
      </c>
      <c r="K386" s="1487">
        <f t="shared" si="584"/>
        <v>0.92734173196530878</v>
      </c>
      <c r="L386" s="1487">
        <f t="shared" si="584"/>
        <v>0.92739115384343673</v>
      </c>
      <c r="M386" s="2108">
        <f t="shared" si="584"/>
        <v>0.92768774567271217</v>
      </c>
      <c r="N386" s="2108">
        <f t="shared" ref="N386:O386" si="585">N382/N385</f>
        <v>0.92803262251949747</v>
      </c>
      <c r="O386" s="2108">
        <f t="shared" si="585"/>
        <v>0.92846363803375065</v>
      </c>
      <c r="P386" s="2108">
        <f t="shared" ref="P386" si="586">P382/P385</f>
        <v>0.92933327397268983</v>
      </c>
      <c r="Q386" s="2507">
        <f t="shared" ref="Q386" si="587">Q382/Q385</f>
        <v>0.93023771810343236</v>
      </c>
    </row>
    <row r="387" spans="1:20" x14ac:dyDescent="0.2">
      <c r="A387" s="2313"/>
      <c r="B387" s="839"/>
      <c r="C387" s="839"/>
      <c r="D387" s="839"/>
      <c r="E387" s="839"/>
      <c r="F387" s="839"/>
      <c r="G387" s="839"/>
      <c r="H387" s="839"/>
      <c r="I387" s="839"/>
      <c r="J387" s="839"/>
      <c r="K387" s="839"/>
      <c r="L387" s="839"/>
      <c r="M387" s="967"/>
      <c r="N387" s="967"/>
      <c r="O387" s="967"/>
      <c r="P387" s="967"/>
      <c r="Q387" s="2489"/>
    </row>
    <row r="388" spans="1:20" x14ac:dyDescent="0.2">
      <c r="A388" s="2490"/>
      <c r="B388" s="1483"/>
      <c r="C388" s="1483"/>
      <c r="D388" s="1483"/>
      <c r="E388" s="1483"/>
      <c r="F388" s="1483"/>
      <c r="G388" s="1483"/>
      <c r="H388" s="1483"/>
      <c r="I388" s="1483"/>
      <c r="J388" s="1483"/>
      <c r="K388" s="1483"/>
      <c r="L388" s="1483"/>
      <c r="M388" s="968"/>
      <c r="N388" s="968"/>
      <c r="O388" s="968"/>
      <c r="P388" s="968"/>
      <c r="Q388" s="2491"/>
    </row>
    <row r="389" spans="1:20" x14ac:dyDescent="0.2">
      <c r="A389" s="816" t="s">
        <v>4227</v>
      </c>
      <c r="B389" s="547"/>
      <c r="C389" s="547"/>
      <c r="D389" s="547"/>
      <c r="E389" s="547"/>
      <c r="F389" s="547"/>
      <c r="G389" s="547"/>
      <c r="H389" s="547"/>
      <c r="I389" s="547"/>
      <c r="J389" s="547"/>
      <c r="K389" s="547"/>
      <c r="L389" s="547"/>
      <c r="M389" s="549"/>
      <c r="N389" s="549"/>
      <c r="O389" s="549"/>
      <c r="P389" s="549"/>
      <c r="Q389" s="2256"/>
    </row>
    <row r="390" spans="1:20" s="726" customFormat="1" x14ac:dyDescent="0.2">
      <c r="A390" s="815" t="s">
        <v>4276</v>
      </c>
      <c r="B390" s="79">
        <f t="shared" ref="B390:M390" si="588">B334</f>
        <v>15262</v>
      </c>
      <c r="C390" s="79">
        <f t="shared" si="588"/>
        <v>16456.7</v>
      </c>
      <c r="D390" s="79">
        <f t="shared" si="588"/>
        <v>17468.099999999999</v>
      </c>
      <c r="E390" s="79">
        <f t="shared" si="588"/>
        <v>18810.8</v>
      </c>
      <c r="F390" s="79">
        <f t="shared" si="588"/>
        <v>18609.599999999999</v>
      </c>
      <c r="G390" s="79">
        <f t="shared" si="588"/>
        <v>20363.900000000001</v>
      </c>
      <c r="H390" s="79">
        <f t="shared" si="588"/>
        <v>20845.7</v>
      </c>
      <c r="I390" s="79">
        <f t="shared" si="588"/>
        <v>21333.200000000001</v>
      </c>
      <c r="J390" s="79">
        <f t="shared" si="588"/>
        <v>21856.799999999999</v>
      </c>
      <c r="K390" s="79">
        <f t="shared" si="588"/>
        <v>22436.5</v>
      </c>
      <c r="L390" s="79">
        <f t="shared" si="588"/>
        <v>22979.8</v>
      </c>
      <c r="M390" s="77">
        <f t="shared" si="588"/>
        <v>23519.5</v>
      </c>
      <c r="N390" s="77">
        <f t="shared" ref="N390:O390" si="589">N334</f>
        <v>24145.3</v>
      </c>
      <c r="O390" s="77">
        <f t="shared" si="589"/>
        <v>24758.6</v>
      </c>
      <c r="P390" s="77">
        <f t="shared" ref="P390" si="590">P334</f>
        <v>25480.6</v>
      </c>
      <c r="Q390" s="587">
        <f t="shared" ref="Q390" si="591">Q334</f>
        <v>26226.799999999999</v>
      </c>
    </row>
    <row r="391" spans="1:20" s="726" customFormat="1" x14ac:dyDescent="0.2">
      <c r="A391" s="815" t="s">
        <v>4273</v>
      </c>
      <c r="B391" s="79">
        <f t="shared" ref="B391:M391" si="592">B335</f>
        <v>0</v>
      </c>
      <c r="C391" s="79">
        <f t="shared" si="592"/>
        <v>-6</v>
      </c>
      <c r="D391" s="79">
        <f t="shared" si="592"/>
        <v>0</v>
      </c>
      <c r="E391" s="79">
        <f t="shared" si="592"/>
        <v>0</v>
      </c>
      <c r="F391" s="79">
        <f t="shared" si="592"/>
        <v>0</v>
      </c>
      <c r="G391" s="79">
        <f t="shared" si="592"/>
        <v>0</v>
      </c>
      <c r="H391" s="79">
        <f t="shared" si="592"/>
        <v>0</v>
      </c>
      <c r="I391" s="79">
        <f t="shared" si="592"/>
        <v>0</v>
      </c>
      <c r="J391" s="79">
        <f t="shared" si="592"/>
        <v>0</v>
      </c>
      <c r="K391" s="79">
        <f t="shared" si="592"/>
        <v>0</v>
      </c>
      <c r="L391" s="79">
        <f t="shared" si="592"/>
        <v>0</v>
      </c>
      <c r="M391" s="77">
        <f t="shared" si="592"/>
        <v>0</v>
      </c>
      <c r="N391" s="77">
        <f t="shared" ref="N391:O391" si="593">N335</f>
        <v>0</v>
      </c>
      <c r="O391" s="77">
        <f t="shared" si="593"/>
        <v>0</v>
      </c>
      <c r="P391" s="77">
        <f t="shared" ref="P391" si="594">P335</f>
        <v>0</v>
      </c>
      <c r="Q391" s="587">
        <f t="shared" ref="Q391" si="595">Q335</f>
        <v>0</v>
      </c>
    </row>
    <row r="392" spans="1:20" s="726" customFormat="1" x14ac:dyDescent="0.2">
      <c r="A392" s="815" t="s">
        <v>4268</v>
      </c>
      <c r="B392" s="79">
        <f t="shared" ref="B392:M392" si="596">B336</f>
        <v>0</v>
      </c>
      <c r="C392" s="79">
        <f t="shared" si="596"/>
        <v>0</v>
      </c>
      <c r="D392" s="79">
        <f t="shared" si="596"/>
        <v>0</v>
      </c>
      <c r="E392" s="79">
        <f t="shared" si="596"/>
        <v>0</v>
      </c>
      <c r="F392" s="79">
        <f t="shared" si="596"/>
        <v>0</v>
      </c>
      <c r="G392" s="79">
        <f t="shared" si="596"/>
        <v>0</v>
      </c>
      <c r="H392" s="79">
        <f t="shared" si="596"/>
        <v>0</v>
      </c>
      <c r="I392" s="79">
        <f t="shared" si="596"/>
        <v>0</v>
      </c>
      <c r="J392" s="79">
        <f t="shared" si="596"/>
        <v>0</v>
      </c>
      <c r="K392" s="79">
        <f t="shared" si="596"/>
        <v>0</v>
      </c>
      <c r="L392" s="79">
        <f t="shared" si="596"/>
        <v>0</v>
      </c>
      <c r="M392" s="77">
        <f t="shared" si="596"/>
        <v>0</v>
      </c>
      <c r="N392" s="77">
        <f t="shared" ref="N392:O392" si="597">N336</f>
        <v>0</v>
      </c>
      <c r="O392" s="77">
        <f t="shared" si="597"/>
        <v>0</v>
      </c>
      <c r="P392" s="77">
        <f t="shared" ref="P392" si="598">P336</f>
        <v>0</v>
      </c>
      <c r="Q392" s="587">
        <f t="shared" ref="Q392" si="599">Q336</f>
        <v>0</v>
      </c>
    </row>
    <row r="393" spans="1:20" s="726" customFormat="1" x14ac:dyDescent="0.2">
      <c r="A393" s="815" t="s">
        <v>4269</v>
      </c>
      <c r="B393" s="79">
        <f t="shared" ref="B393:M393" si="600">B337</f>
        <v>-1482</v>
      </c>
      <c r="C393" s="79">
        <f t="shared" si="600"/>
        <v>-2014.2</v>
      </c>
      <c r="D393" s="79">
        <f t="shared" si="600"/>
        <v>-2131.4</v>
      </c>
      <c r="E393" s="79">
        <f t="shared" si="600"/>
        <v>-2470</v>
      </c>
      <c r="F393" s="79">
        <f t="shared" si="600"/>
        <v>-736.5</v>
      </c>
      <c r="G393" s="79">
        <f t="shared" si="600"/>
        <v>-2145.5</v>
      </c>
      <c r="H393" s="79">
        <f t="shared" si="600"/>
        <v>-2175.5</v>
      </c>
      <c r="I393" s="79">
        <f t="shared" si="600"/>
        <v>-2215.5</v>
      </c>
      <c r="J393" s="79">
        <f t="shared" si="600"/>
        <v>-2255.5</v>
      </c>
      <c r="K393" s="79">
        <f t="shared" si="600"/>
        <v>-2295.5</v>
      </c>
      <c r="L393" s="79">
        <f t="shared" si="600"/>
        <v>-2335.5</v>
      </c>
      <c r="M393" s="77">
        <f t="shared" si="600"/>
        <v>-2375.5</v>
      </c>
      <c r="N393" s="77">
        <f t="shared" ref="N393:O393" si="601">N337</f>
        <v>-2425.5</v>
      </c>
      <c r="O393" s="77">
        <f t="shared" si="601"/>
        <v>-2475.5</v>
      </c>
      <c r="P393" s="77">
        <f t="shared" ref="P393" si="602">P337</f>
        <v>-2525.5</v>
      </c>
      <c r="Q393" s="587">
        <f t="shared" ref="Q393" si="603">Q337</f>
        <v>-2575.5</v>
      </c>
    </row>
    <row r="394" spans="1:20" s="726" customFormat="1" x14ac:dyDescent="0.2">
      <c r="A394" s="815" t="s">
        <v>4274</v>
      </c>
      <c r="B394" s="79">
        <v>-150</v>
      </c>
      <c r="C394" s="79">
        <f>-'W&amp;W'!B108/1000</f>
        <v>-150.80000000000001</v>
      </c>
      <c r="D394" s="79">
        <f>-'W&amp;W'!C108/1000</f>
        <v>-151.69999999999999</v>
      </c>
      <c r="E394" s="79">
        <f>-'W&amp;W'!D108/1000</f>
        <v>-156.6</v>
      </c>
      <c r="F394" s="79">
        <f>-'W&amp;W'!E108/1000</f>
        <v>-159.1</v>
      </c>
      <c r="G394" s="79">
        <f>-'W&amp;W'!H108/1000</f>
        <v>-143.6</v>
      </c>
      <c r="H394" s="79">
        <f>-'W&amp;W'!J108/1000</f>
        <v>-144.5</v>
      </c>
      <c r="I394" s="79">
        <f>-'W&amp;W'!K108/1000</f>
        <v>-145.5</v>
      </c>
      <c r="J394" s="79">
        <f>-'W&amp;W'!L108/1000</f>
        <v>-146.4</v>
      </c>
      <c r="K394" s="79">
        <f>-'W&amp;W'!M108/1000</f>
        <v>-147.30000000000001</v>
      </c>
      <c r="L394" s="79">
        <f>-'W&amp;W'!N108/1000</f>
        <v>-148.19999999999999</v>
      </c>
      <c r="M394" s="77">
        <f>-'W&amp;W'!O108/1000</f>
        <v>-149.1</v>
      </c>
      <c r="N394" s="77">
        <f>-'W&amp;W'!P108/1000</f>
        <v>-150</v>
      </c>
      <c r="O394" s="77">
        <f>-'W&amp;W'!Q108/1000</f>
        <v>-150.9</v>
      </c>
      <c r="P394" s="77">
        <f>-'W&amp;W'!R108/1000</f>
        <v>-151.80000000000001</v>
      </c>
      <c r="Q394" s="587">
        <f>-'W&amp;W'!S108/1000</f>
        <v>-152.69999999999999</v>
      </c>
    </row>
    <row r="395" spans="1:20" x14ac:dyDescent="0.2">
      <c r="A395" s="2504" t="s">
        <v>2811</v>
      </c>
      <c r="B395" s="944">
        <f t="shared" ref="B395:M395" si="604">SUM(B390:B394)</f>
        <v>13630</v>
      </c>
      <c r="C395" s="944">
        <f t="shared" si="604"/>
        <v>14285.7</v>
      </c>
      <c r="D395" s="944">
        <f t="shared" si="604"/>
        <v>15184.999999999998</v>
      </c>
      <c r="E395" s="944">
        <f t="shared" si="604"/>
        <v>16184.199999999999</v>
      </c>
      <c r="F395" s="944">
        <f t="shared" si="604"/>
        <v>17714</v>
      </c>
      <c r="G395" s="944">
        <f t="shared" si="604"/>
        <v>18074.800000000003</v>
      </c>
      <c r="H395" s="944">
        <f t="shared" si="604"/>
        <v>18525.7</v>
      </c>
      <c r="I395" s="944">
        <f t="shared" si="604"/>
        <v>18972.2</v>
      </c>
      <c r="J395" s="944">
        <f t="shared" si="604"/>
        <v>19454.899999999998</v>
      </c>
      <c r="K395" s="944">
        <f t="shared" si="604"/>
        <v>19993.7</v>
      </c>
      <c r="L395" s="944">
        <f t="shared" si="604"/>
        <v>20496.099999999999</v>
      </c>
      <c r="M395" s="981">
        <f t="shared" si="604"/>
        <v>20994.9</v>
      </c>
      <c r="N395" s="981">
        <f t="shared" ref="N395:O395" si="605">SUM(N390:N394)</f>
        <v>21569.8</v>
      </c>
      <c r="O395" s="981">
        <f t="shared" si="605"/>
        <v>22132.199999999997</v>
      </c>
      <c r="P395" s="981">
        <f t="shared" ref="P395" si="606">SUM(P390:P394)</f>
        <v>22803.3</v>
      </c>
      <c r="Q395" s="2505">
        <f t="shared" ref="Q395" si="607">SUM(Q390:Q394)</f>
        <v>23498.6</v>
      </c>
    </row>
    <row r="396" spans="1:20" x14ac:dyDescent="0.2">
      <c r="A396" s="815" t="s">
        <v>4283</v>
      </c>
      <c r="B396" s="48">
        <f t="shared" ref="B396:M396" si="608">B391</f>
        <v>0</v>
      </c>
      <c r="C396" s="48">
        <f t="shared" si="608"/>
        <v>-6</v>
      </c>
      <c r="D396" s="48">
        <f t="shared" si="608"/>
        <v>0</v>
      </c>
      <c r="E396" s="48">
        <f t="shared" si="608"/>
        <v>0</v>
      </c>
      <c r="F396" s="48">
        <f t="shared" si="608"/>
        <v>0</v>
      </c>
      <c r="G396" s="48">
        <f t="shared" si="608"/>
        <v>0</v>
      </c>
      <c r="H396" s="48">
        <f t="shared" si="608"/>
        <v>0</v>
      </c>
      <c r="I396" s="48">
        <f t="shared" si="608"/>
        <v>0</v>
      </c>
      <c r="J396" s="48">
        <f t="shared" si="608"/>
        <v>0</v>
      </c>
      <c r="K396" s="48">
        <f t="shared" si="608"/>
        <v>0</v>
      </c>
      <c r="L396" s="48">
        <f t="shared" si="608"/>
        <v>0</v>
      </c>
      <c r="M396" s="161">
        <f t="shared" si="608"/>
        <v>0</v>
      </c>
      <c r="N396" s="161">
        <f t="shared" ref="N396:O396" si="609">N391</f>
        <v>0</v>
      </c>
      <c r="O396" s="161">
        <f t="shared" si="609"/>
        <v>0</v>
      </c>
      <c r="P396" s="161">
        <f t="shared" ref="P396" si="610">P391</f>
        <v>0</v>
      </c>
      <c r="Q396" s="1846">
        <f t="shared" ref="Q396" si="611">Q391</f>
        <v>0</v>
      </c>
    </row>
    <row r="397" spans="1:20" x14ac:dyDescent="0.2">
      <c r="A397" s="815" t="s">
        <v>4275</v>
      </c>
      <c r="B397" s="48">
        <f t="shared" ref="B397:M397" si="612">B392</f>
        <v>0</v>
      </c>
      <c r="C397" s="48">
        <f t="shared" si="612"/>
        <v>0</v>
      </c>
      <c r="D397" s="48">
        <f t="shared" si="612"/>
        <v>0</v>
      </c>
      <c r="E397" s="48">
        <f t="shared" si="612"/>
        <v>0</v>
      </c>
      <c r="F397" s="48">
        <f t="shared" si="612"/>
        <v>0</v>
      </c>
      <c r="G397" s="48">
        <f t="shared" si="612"/>
        <v>0</v>
      </c>
      <c r="H397" s="48">
        <f t="shared" si="612"/>
        <v>0</v>
      </c>
      <c r="I397" s="48">
        <f t="shared" si="612"/>
        <v>0</v>
      </c>
      <c r="J397" s="48">
        <f t="shared" si="612"/>
        <v>0</v>
      </c>
      <c r="K397" s="48">
        <f t="shared" si="612"/>
        <v>0</v>
      </c>
      <c r="L397" s="48">
        <f t="shared" si="612"/>
        <v>0</v>
      </c>
      <c r="M397" s="161">
        <f t="shared" si="612"/>
        <v>0</v>
      </c>
      <c r="N397" s="161">
        <f t="shared" ref="N397:O397" si="613">N392</f>
        <v>0</v>
      </c>
      <c r="O397" s="161">
        <f t="shared" si="613"/>
        <v>0</v>
      </c>
      <c r="P397" s="161">
        <f t="shared" ref="P397" si="614">P392</f>
        <v>0</v>
      </c>
      <c r="Q397" s="1846">
        <f t="shared" ref="Q397" si="615">Q392</f>
        <v>0</v>
      </c>
      <c r="S397" s="115"/>
      <c r="T397" s="36">
        <f>P359-P372-P385-P398</f>
        <v>0</v>
      </c>
    </row>
    <row r="398" spans="1:20" x14ac:dyDescent="0.2">
      <c r="A398" s="815" t="s">
        <v>4284</v>
      </c>
      <c r="B398" s="48">
        <f t="shared" ref="B398:M398" si="616">B390+B396+B397</f>
        <v>15262</v>
      </c>
      <c r="C398" s="48">
        <f t="shared" si="616"/>
        <v>16450.7</v>
      </c>
      <c r="D398" s="48">
        <f t="shared" si="616"/>
        <v>17468.099999999999</v>
      </c>
      <c r="E398" s="48">
        <f t="shared" si="616"/>
        <v>18810.8</v>
      </c>
      <c r="F398" s="48">
        <f t="shared" si="616"/>
        <v>18609.599999999999</v>
      </c>
      <c r="G398" s="48">
        <f t="shared" si="616"/>
        <v>20363.900000000001</v>
      </c>
      <c r="H398" s="48">
        <f t="shared" si="616"/>
        <v>20845.7</v>
      </c>
      <c r="I398" s="48">
        <f t="shared" si="616"/>
        <v>21333.200000000001</v>
      </c>
      <c r="J398" s="48">
        <f t="shared" si="616"/>
        <v>21856.799999999999</v>
      </c>
      <c r="K398" s="48">
        <f t="shared" si="616"/>
        <v>22436.5</v>
      </c>
      <c r="L398" s="48">
        <f t="shared" si="616"/>
        <v>22979.8</v>
      </c>
      <c r="M398" s="161">
        <f t="shared" si="616"/>
        <v>23519.5</v>
      </c>
      <c r="N398" s="161">
        <f t="shared" ref="N398:O398" si="617">N390+N396+N397</f>
        <v>24145.3</v>
      </c>
      <c r="O398" s="161">
        <f t="shared" si="617"/>
        <v>24758.6</v>
      </c>
      <c r="P398" s="161">
        <f t="shared" ref="P398" si="618">P390+P396+P397</f>
        <v>25480.6</v>
      </c>
      <c r="Q398" s="1846">
        <f t="shared" ref="Q398" si="619">Q390+Q396+Q397</f>
        <v>26226.799999999999</v>
      </c>
    </row>
    <row r="399" spans="1:20" s="285" customFormat="1" x14ac:dyDescent="0.2">
      <c r="A399" s="816" t="s">
        <v>4228</v>
      </c>
      <c r="B399" s="1487">
        <f t="shared" ref="B399:M399" si="620">B395/B398</f>
        <v>0.89306774996723892</v>
      </c>
      <c r="C399" s="1487">
        <f t="shared" si="620"/>
        <v>0.86839465797808002</v>
      </c>
      <c r="D399" s="1487">
        <f t="shared" si="620"/>
        <v>0.86929889341141853</v>
      </c>
      <c r="E399" s="1487">
        <f t="shared" si="620"/>
        <v>0.86036744848703939</v>
      </c>
      <c r="F399" s="1487">
        <f t="shared" si="620"/>
        <v>0.95187430143581819</v>
      </c>
      <c r="G399" s="1487">
        <f t="shared" si="620"/>
        <v>0.88759029458993621</v>
      </c>
      <c r="H399" s="1487">
        <f t="shared" si="620"/>
        <v>0.8887060640803619</v>
      </c>
      <c r="I399" s="1487">
        <f t="shared" si="620"/>
        <v>0.88932743329645814</v>
      </c>
      <c r="J399" s="1487">
        <f t="shared" si="620"/>
        <v>0.89010742652172314</v>
      </c>
      <c r="K399" s="1487">
        <f t="shared" si="620"/>
        <v>0.89112383838834042</v>
      </c>
      <c r="L399" s="1487">
        <f t="shared" si="620"/>
        <v>0.89191811939181365</v>
      </c>
      <c r="M399" s="2108">
        <f t="shared" si="620"/>
        <v>0.89265928272284711</v>
      </c>
      <c r="N399" s="2108">
        <f t="shared" ref="N399:O399" si="621">N395/N398</f>
        <v>0.8933332781120964</v>
      </c>
      <c r="O399" s="2108">
        <f t="shared" si="621"/>
        <v>0.89391968851227444</v>
      </c>
      <c r="P399" s="2108">
        <f t="shared" ref="P399" si="622">P395/P398</f>
        <v>0.89492790593628091</v>
      </c>
      <c r="Q399" s="2507">
        <f t="shared" ref="Q399" si="623">Q395/Q398</f>
        <v>0.89597663458752108</v>
      </c>
    </row>
    <row r="400" spans="1:20" s="726" customFormat="1" ht="13.5" thickBot="1" x14ac:dyDescent="0.25">
      <c r="A400" s="2496"/>
      <c r="B400" s="2497"/>
      <c r="C400" s="2497"/>
      <c r="D400" s="2497"/>
      <c r="E400" s="2497"/>
      <c r="F400" s="2497"/>
      <c r="G400" s="2497"/>
      <c r="H400" s="2497"/>
      <c r="I400" s="2497"/>
      <c r="J400" s="2497"/>
      <c r="K400" s="2497"/>
      <c r="L400" s="2497"/>
      <c r="M400" s="2498"/>
      <c r="N400" s="2498"/>
      <c r="O400" s="2498"/>
      <c r="P400" s="2498"/>
      <c r="Q400" s="2499"/>
    </row>
    <row r="401" spans="1:17" ht="16.5" thickBot="1" x14ac:dyDescent="0.3">
      <c r="A401" s="2582" t="s">
        <v>5039</v>
      </c>
      <c r="B401" s="2583"/>
      <c r="C401" s="2583"/>
      <c r="D401" s="2583"/>
      <c r="E401" s="2583"/>
      <c r="F401" s="2583"/>
      <c r="G401" s="2583"/>
      <c r="H401" s="2583"/>
      <c r="I401" s="2583"/>
      <c r="J401" s="2583"/>
      <c r="K401" s="2583"/>
      <c r="L401" s="2583"/>
      <c r="M401" s="2583"/>
      <c r="N401" s="2583"/>
      <c r="O401" s="2583"/>
      <c r="P401" s="2583"/>
      <c r="Q401" s="2584"/>
    </row>
    <row r="402" spans="1:17" s="726" customFormat="1" ht="13.5" thickBot="1" x14ac:dyDescent="0.25">
      <c r="A402" s="819" t="str">
        <f t="shared" ref="A402:O402" si="624">A224</f>
        <v>Item</v>
      </c>
      <c r="B402" s="565" t="str">
        <f t="shared" si="624"/>
        <v>2012/13</v>
      </c>
      <c r="C402" s="565" t="str">
        <f t="shared" si="624"/>
        <v>2013/14</v>
      </c>
      <c r="D402" s="565" t="str">
        <f t="shared" si="624"/>
        <v>2014/15</v>
      </c>
      <c r="E402" s="565" t="str">
        <f t="shared" si="624"/>
        <v>2015/16</v>
      </c>
      <c r="F402" s="565" t="str">
        <f t="shared" si="624"/>
        <v>2016/17</v>
      </c>
      <c r="G402" s="565" t="str">
        <f t="shared" si="624"/>
        <v>2017/18</v>
      </c>
      <c r="H402" s="565" t="str">
        <f t="shared" si="624"/>
        <v>2018/19</v>
      </c>
      <c r="I402" s="565" t="str">
        <f t="shared" si="624"/>
        <v>2019/20</v>
      </c>
      <c r="J402" s="565" t="str">
        <f t="shared" si="624"/>
        <v>2020/21</v>
      </c>
      <c r="K402" s="565" t="str">
        <f t="shared" si="624"/>
        <v>2021/22</v>
      </c>
      <c r="L402" s="565" t="str">
        <f t="shared" si="624"/>
        <v>2022/23</v>
      </c>
      <c r="M402" s="966" t="str">
        <f t="shared" si="624"/>
        <v>2023/24</v>
      </c>
      <c r="N402" s="966" t="str">
        <f t="shared" si="624"/>
        <v>2024/25</v>
      </c>
      <c r="O402" s="966" t="str">
        <f t="shared" si="624"/>
        <v>2025/26</v>
      </c>
      <c r="P402" s="966" t="str">
        <f t="shared" ref="P402" si="625">P224</f>
        <v>2026/27</v>
      </c>
      <c r="Q402" s="2481" t="str">
        <f t="shared" ref="Q402" si="626">Q224</f>
        <v>2027/28</v>
      </c>
    </row>
    <row r="403" spans="1:17" x14ac:dyDescent="0.2">
      <c r="A403" s="815"/>
      <c r="B403" s="48"/>
      <c r="C403" s="48"/>
      <c r="D403" s="48"/>
      <c r="E403" s="48"/>
      <c r="F403" s="48"/>
      <c r="G403" s="48"/>
      <c r="H403" s="48"/>
      <c r="I403" s="48"/>
      <c r="J403" s="48"/>
      <c r="K403" s="48"/>
      <c r="L403" s="48"/>
      <c r="M403" s="161"/>
      <c r="N403" s="161"/>
      <c r="O403" s="161"/>
      <c r="P403" s="161"/>
      <c r="Q403" s="1846"/>
    </row>
    <row r="404" spans="1:17" x14ac:dyDescent="0.2">
      <c r="A404" s="2313" t="s">
        <v>56</v>
      </c>
      <c r="B404" s="547"/>
      <c r="C404" s="547"/>
      <c r="D404" s="547"/>
      <c r="E404" s="556"/>
      <c r="F404" s="556"/>
      <c r="G404" s="556"/>
      <c r="H404" s="556"/>
      <c r="I404" s="556"/>
      <c r="J404" s="556"/>
      <c r="K404" s="556"/>
      <c r="L404" s="556"/>
      <c r="M404" s="973"/>
      <c r="N404" s="973"/>
      <c r="O404" s="973"/>
      <c r="P404" s="973"/>
      <c r="Q404" s="2482"/>
    </row>
    <row r="405" spans="1:17" x14ac:dyDescent="0.2">
      <c r="A405" s="815" t="s">
        <v>2127</v>
      </c>
      <c r="B405" s="547">
        <f t="shared" ref="B405:P405" si="627">B10</f>
        <v>89691</v>
      </c>
      <c r="C405" s="547">
        <f t="shared" si="627"/>
        <v>69413</v>
      </c>
      <c r="D405" s="547">
        <f t="shared" si="627"/>
        <v>69578</v>
      </c>
      <c r="E405" s="556">
        <f t="shared" si="627"/>
        <v>71301</v>
      </c>
      <c r="F405" s="556">
        <f t="shared" si="627"/>
        <v>84356</v>
      </c>
      <c r="G405" s="556">
        <f t="shared" si="627"/>
        <v>77170</v>
      </c>
      <c r="H405" s="556">
        <f t="shared" si="627"/>
        <v>69580</v>
      </c>
      <c r="I405" s="556">
        <f t="shared" si="627"/>
        <v>59790</v>
      </c>
      <c r="J405" s="556">
        <f t="shared" si="627"/>
        <v>60090</v>
      </c>
      <c r="K405" s="556">
        <f t="shared" si="627"/>
        <v>58480</v>
      </c>
      <c r="L405" s="556">
        <f t="shared" si="627"/>
        <v>66920</v>
      </c>
      <c r="M405" s="973">
        <f t="shared" si="627"/>
        <v>73560</v>
      </c>
      <c r="N405" s="973">
        <f t="shared" si="627"/>
        <v>76950</v>
      </c>
      <c r="O405" s="973">
        <f t="shared" si="627"/>
        <v>90660</v>
      </c>
      <c r="P405" s="973">
        <f t="shared" si="627"/>
        <v>104330</v>
      </c>
      <c r="Q405" s="2482">
        <f t="shared" ref="Q405" si="628">Q10</f>
        <v>119730</v>
      </c>
    </row>
    <row r="406" spans="1:17" x14ac:dyDescent="0.2">
      <c r="A406" s="815" t="s">
        <v>3291</v>
      </c>
      <c r="B406" s="547">
        <v>56000</v>
      </c>
      <c r="C406" s="547">
        <v>37533</v>
      </c>
      <c r="D406" s="547">
        <v>36110</v>
      </c>
      <c r="E406" s="556">
        <f>(LTFP!C281+LTFP!C330+'Res-Bal'!D167)/1000</f>
        <v>35014.699999999997</v>
      </c>
      <c r="F406" s="556">
        <f>(LTFP!D281+LTFP!D330+'Res-Bal'!G167)/1000</f>
        <v>36129.300000000003</v>
      </c>
      <c r="G406" s="556">
        <f>(LTFP!F281+LTFP!F330+'Res-Bal'!J167)/1000</f>
        <v>32159.599999999999</v>
      </c>
      <c r="H406" s="556">
        <f>(LTFP!H281+LTFP!H330+'Res-Bal'!M167)/1000</f>
        <v>30912.9</v>
      </c>
      <c r="I406" s="556">
        <f>(LTFP!I281+LTFP!I330+'Res-Bal'!P167)/1000</f>
        <v>18853.099999999999</v>
      </c>
      <c r="J406" s="556">
        <f>(LTFP!J281+LTFP!J330+'Res-Bal'!S167)/1000</f>
        <v>19707.599999999999</v>
      </c>
      <c r="K406" s="556">
        <f>(LTFP!K281+LTFP!K330+'Res-Bal'!V167)/1000</f>
        <v>17281.7</v>
      </c>
      <c r="L406" s="556">
        <f>(LTFP!L281+LTFP!L330+'Res-Bal'!Y167)/1000</f>
        <v>22407.9</v>
      </c>
      <c r="M406" s="973">
        <f>(LTFP!M281+LTFP!M330+'Res-Bal'!AB167)/1000</f>
        <v>29660.799999999999</v>
      </c>
      <c r="N406" s="973">
        <f>(LTFP!N281+LTFP!N330+'Res-Bal'!AE167)/1000</f>
        <v>35500.6</v>
      </c>
      <c r="O406" s="973">
        <f>(LTFP!O281+LTFP!O330+'Res-Bal'!AH167)/1000</f>
        <v>48810.5</v>
      </c>
      <c r="P406" s="973">
        <f>(LTFP!P281+LTFP!P330+'Res-Bal'!AK167)/1000</f>
        <v>60893</v>
      </c>
      <c r="Q406" s="2482">
        <f>(LTFP!Q281+LTFP!Q330+'Res-Bal'!AL167)/1000</f>
        <v>70232.399999999994</v>
      </c>
    </row>
    <row r="407" spans="1:17" x14ac:dyDescent="0.2">
      <c r="A407" s="815" t="s">
        <v>3292</v>
      </c>
      <c r="B407" s="547">
        <v>3925</v>
      </c>
      <c r="C407" s="547">
        <v>3745</v>
      </c>
      <c r="D407" s="547">
        <f>D131+D90+D422</f>
        <v>3602</v>
      </c>
      <c r="E407" s="556">
        <f t="shared" ref="E407:P407" si="629">E131+E90</f>
        <v>3348</v>
      </c>
      <c r="F407" s="556">
        <f t="shared" si="629"/>
        <v>3418</v>
      </c>
      <c r="G407" s="556">
        <f t="shared" si="629"/>
        <v>3480</v>
      </c>
      <c r="H407" s="556">
        <f t="shared" si="629"/>
        <v>3570</v>
      </c>
      <c r="I407" s="556">
        <f t="shared" si="629"/>
        <v>3670</v>
      </c>
      <c r="J407" s="556">
        <f t="shared" si="629"/>
        <v>3770</v>
      </c>
      <c r="K407" s="556">
        <f t="shared" si="629"/>
        <v>3870</v>
      </c>
      <c r="L407" s="556">
        <f t="shared" si="629"/>
        <v>3970</v>
      </c>
      <c r="M407" s="973">
        <f t="shared" si="629"/>
        <v>4080</v>
      </c>
      <c r="N407" s="973">
        <f t="shared" si="629"/>
        <v>4190</v>
      </c>
      <c r="O407" s="973">
        <f t="shared" si="629"/>
        <v>4300</v>
      </c>
      <c r="P407" s="973">
        <f t="shared" si="629"/>
        <v>4420</v>
      </c>
      <c r="Q407" s="2482">
        <f t="shared" ref="Q407" si="630">Q131+Q90</f>
        <v>4540</v>
      </c>
    </row>
    <row r="408" spans="1:17" x14ac:dyDescent="0.2">
      <c r="A408" s="815" t="s">
        <v>3293</v>
      </c>
      <c r="B408" s="547">
        <v>0</v>
      </c>
      <c r="C408" s="547">
        <f>C141+C139+C92+C91</f>
        <v>0</v>
      </c>
      <c r="D408" s="547">
        <f>ROUNDUP(C408+(C408*Assumptions!F$5),-2)</f>
        <v>0</v>
      </c>
      <c r="E408" s="556">
        <f>ROUNDUP(D408+(D408*Assumptions!G$5),-2)</f>
        <v>0</v>
      </c>
      <c r="F408" s="556">
        <f>ROUNDUP(E408+(E408*Assumptions!H$5),-2)</f>
        <v>0</v>
      </c>
      <c r="G408" s="556">
        <f>ROUNDUP(F408+(F408*Assumptions!I$5),-2)</f>
        <v>0</v>
      </c>
      <c r="H408" s="556">
        <f>ROUNDUP(G408+(G408*Assumptions!J$5),-2)</f>
        <v>0</v>
      </c>
      <c r="I408" s="556">
        <f>ROUNDUP(H408+(H408*Assumptions!K$5),-2)</f>
        <v>0</v>
      </c>
      <c r="J408" s="556">
        <f>ROUNDUP(I408+(I408*Assumptions!L$5),-2)</f>
        <v>0</v>
      </c>
      <c r="K408" s="556">
        <f>ROUNDUP(J408+(J408*Assumptions!M$5),-2)</f>
        <v>0</v>
      </c>
      <c r="L408" s="556">
        <f>ROUNDUP(K408+(K408*Assumptions!N$5),-2)</f>
        <v>0</v>
      </c>
      <c r="M408" s="973">
        <f>ROUNDUP(L408+(L408*Assumptions!P$5),-2)</f>
        <v>0</v>
      </c>
      <c r="N408" s="973">
        <f>ROUNDUP(M408+(M408*Assumptions!Q$5),-2)</f>
        <v>0</v>
      </c>
      <c r="O408" s="973">
        <f>ROUNDUP(N408+(N408*Assumptions!R$5),-2)</f>
        <v>0</v>
      </c>
      <c r="P408" s="973">
        <f>ROUNDUP(O408+(O408*Assumptions!S$5),-2)</f>
        <v>0</v>
      </c>
      <c r="Q408" s="2482">
        <f>ROUNDUP(P408+(P408*Assumptions!T$5),-2)</f>
        <v>0</v>
      </c>
    </row>
    <row r="409" spans="1:17" s="285" customFormat="1" x14ac:dyDescent="0.2">
      <c r="A409" s="2483" t="s">
        <v>2811</v>
      </c>
      <c r="B409" s="687">
        <f t="shared" ref="B409:M409" si="631">B405-SUM(B406:B408)</f>
        <v>29766</v>
      </c>
      <c r="C409" s="687">
        <f t="shared" si="631"/>
        <v>28135</v>
      </c>
      <c r="D409" s="687">
        <f t="shared" si="631"/>
        <v>29866</v>
      </c>
      <c r="E409" s="562">
        <f t="shared" si="631"/>
        <v>32938.300000000003</v>
      </c>
      <c r="F409" s="562">
        <f t="shared" si="631"/>
        <v>44808.7</v>
      </c>
      <c r="G409" s="562">
        <f t="shared" si="631"/>
        <v>41530.400000000001</v>
      </c>
      <c r="H409" s="562">
        <f t="shared" si="631"/>
        <v>35097.1</v>
      </c>
      <c r="I409" s="562">
        <f t="shared" si="631"/>
        <v>37266.9</v>
      </c>
      <c r="J409" s="562">
        <f t="shared" si="631"/>
        <v>36612.400000000001</v>
      </c>
      <c r="K409" s="562">
        <f t="shared" si="631"/>
        <v>37328.300000000003</v>
      </c>
      <c r="L409" s="562">
        <f t="shared" si="631"/>
        <v>40542.1</v>
      </c>
      <c r="M409" s="982">
        <f t="shared" si="631"/>
        <v>39819.199999999997</v>
      </c>
      <c r="N409" s="982">
        <f t="shared" ref="N409:O409" si="632">N405-SUM(N406:N408)</f>
        <v>37259.4</v>
      </c>
      <c r="O409" s="982">
        <f t="shared" si="632"/>
        <v>37549.5</v>
      </c>
      <c r="P409" s="982">
        <f t="shared" ref="P409" si="633">P405-SUM(P406:P408)</f>
        <v>39017</v>
      </c>
      <c r="Q409" s="2484">
        <f t="shared" ref="Q409" si="634">Q405-SUM(Q406:Q408)</f>
        <v>44957.600000000006</v>
      </c>
    </row>
    <row r="410" spans="1:17" x14ac:dyDescent="0.2">
      <c r="A410" s="2485"/>
      <c r="B410" s="547"/>
      <c r="C410" s="547"/>
      <c r="D410" s="547"/>
      <c r="E410" s="556"/>
      <c r="F410" s="556"/>
      <c r="G410" s="556"/>
      <c r="H410" s="556"/>
      <c r="I410" s="556"/>
      <c r="J410" s="556"/>
      <c r="K410" s="556"/>
      <c r="L410" s="556"/>
      <c r="M410" s="973"/>
      <c r="N410" s="973"/>
      <c r="O410" s="973"/>
      <c r="P410" s="973"/>
      <c r="Q410" s="2482"/>
    </row>
    <row r="411" spans="1:17" x14ac:dyDescent="0.2">
      <c r="A411" s="815" t="s">
        <v>2765</v>
      </c>
      <c r="B411" s="547">
        <f t="shared" ref="B411:P411" si="635">B26</f>
        <v>25184</v>
      </c>
      <c r="C411" s="547">
        <f t="shared" si="635"/>
        <v>22802</v>
      </c>
      <c r="D411" s="547">
        <f t="shared" si="635"/>
        <v>20043.3</v>
      </c>
      <c r="E411" s="556">
        <f t="shared" si="635"/>
        <v>21307.9</v>
      </c>
      <c r="F411" s="556">
        <f t="shared" si="635"/>
        <v>23859</v>
      </c>
      <c r="G411" s="556">
        <f t="shared" si="635"/>
        <v>24518.799999999999</v>
      </c>
      <c r="H411" s="556">
        <f t="shared" si="635"/>
        <v>25302.400000000001</v>
      </c>
      <c r="I411" s="556">
        <f t="shared" si="635"/>
        <v>24794.5</v>
      </c>
      <c r="J411" s="556">
        <f t="shared" si="635"/>
        <v>26100.2</v>
      </c>
      <c r="K411" s="556">
        <f t="shared" si="635"/>
        <v>26537.1</v>
      </c>
      <c r="L411" s="556">
        <f t="shared" si="635"/>
        <v>26713.8</v>
      </c>
      <c r="M411" s="973">
        <f t="shared" si="635"/>
        <v>27355</v>
      </c>
      <c r="N411" s="973">
        <f t="shared" si="635"/>
        <v>27649.4</v>
      </c>
      <c r="O411" s="973">
        <f t="shared" si="635"/>
        <v>28580.400000000001</v>
      </c>
      <c r="P411" s="973">
        <f t="shared" si="635"/>
        <v>29582.3</v>
      </c>
      <c r="Q411" s="2482">
        <f t="shared" ref="Q411" si="636">Q26</f>
        <v>24860</v>
      </c>
    </row>
    <row r="412" spans="1:17" x14ac:dyDescent="0.2">
      <c r="A412" s="815" t="s">
        <v>2679</v>
      </c>
      <c r="B412" s="547">
        <v>7676</v>
      </c>
      <c r="C412" s="547">
        <v>3476</v>
      </c>
      <c r="D412" s="547">
        <f t="shared" ref="D412:P412" si="637">D150+D109+D427</f>
        <v>3848.8</v>
      </c>
      <c r="E412" s="556">
        <f t="shared" si="637"/>
        <v>4017.9</v>
      </c>
      <c r="F412" s="556">
        <f t="shared" si="637"/>
        <v>6727</v>
      </c>
      <c r="G412" s="556">
        <f t="shared" si="637"/>
        <v>6954</v>
      </c>
      <c r="H412" s="556">
        <f t="shared" si="637"/>
        <v>7320.3</v>
      </c>
      <c r="I412" s="556">
        <f t="shared" si="637"/>
        <v>6713.5</v>
      </c>
      <c r="J412" s="556">
        <f t="shared" si="637"/>
        <v>7134.1</v>
      </c>
      <c r="K412" s="556">
        <f t="shared" si="637"/>
        <v>7544.1</v>
      </c>
      <c r="L412" s="556">
        <f t="shared" si="637"/>
        <v>7967</v>
      </c>
      <c r="M412" s="973">
        <f t="shared" si="637"/>
        <v>8395</v>
      </c>
      <c r="N412" s="973">
        <f t="shared" si="637"/>
        <v>8820</v>
      </c>
      <c r="O412" s="973">
        <f t="shared" si="637"/>
        <v>9247</v>
      </c>
      <c r="P412" s="973">
        <f t="shared" si="637"/>
        <v>9585</v>
      </c>
      <c r="Q412" s="2482">
        <f t="shared" ref="Q412" si="638">Q150+Q109+Q427</f>
        <v>5900</v>
      </c>
    </row>
    <row r="413" spans="1:17" x14ac:dyDescent="0.2">
      <c r="A413" s="815" t="s">
        <v>3294</v>
      </c>
      <c r="B413" s="547">
        <v>6116</v>
      </c>
      <c r="C413" s="547">
        <v>5044</v>
      </c>
      <c r="D413" s="547">
        <f>AVERAGE(B413:C413)</f>
        <v>5580</v>
      </c>
      <c r="E413" s="556">
        <f>ROUNDUP(D413+(D413*Assumptions!G$5),-1)</f>
        <v>5700</v>
      </c>
      <c r="F413" s="556">
        <f>ROUNDUP(E413+(E413*Assumptions!H$5),-1)</f>
        <v>5790</v>
      </c>
      <c r="G413" s="556">
        <f>ROUNDUP(F413+(F413*Assumptions!I$5),-1)</f>
        <v>5930</v>
      </c>
      <c r="H413" s="556">
        <f>ROUNDUP(G413+(G413*Assumptions!J$5),-1)</f>
        <v>6080</v>
      </c>
      <c r="I413" s="556">
        <f>ROUNDUP(H413+(H413*Assumptions!K$5),-1)</f>
        <v>6240</v>
      </c>
      <c r="J413" s="556">
        <f>ROUNDUP(I413+(I413*Assumptions!L$5),-1)</f>
        <v>6400</v>
      </c>
      <c r="K413" s="556">
        <f>ROUNDUP(J413+(J413*Assumptions!M$5),-1)</f>
        <v>6560</v>
      </c>
      <c r="L413" s="556">
        <f>ROUNDUP(K413+(K413*Assumptions!N$5),-1)</f>
        <v>6730</v>
      </c>
      <c r="M413" s="973">
        <f>ROUNDUP(L413+(L413*Assumptions!P$5),-1)</f>
        <v>6900</v>
      </c>
      <c r="N413" s="973">
        <f>ROUNDUP(M413+(M413*Assumptions!Q$5),-1)</f>
        <v>7080</v>
      </c>
      <c r="O413" s="973">
        <f>ROUNDUP(N413+(N413*Assumptions!R$5),-1)</f>
        <v>7260</v>
      </c>
      <c r="P413" s="973">
        <f>ROUNDUP(O413+(O413*Assumptions!S$5),-1)</f>
        <v>7260</v>
      </c>
      <c r="Q413" s="2482">
        <f>ROUNDUP(P413+(P413*Assumptions!T$5),-1)</f>
        <v>7260</v>
      </c>
    </row>
    <row r="414" spans="1:17" s="285" customFormat="1" x14ac:dyDescent="0.2">
      <c r="A414" s="2483" t="s">
        <v>2812</v>
      </c>
      <c r="B414" s="687">
        <f t="shared" ref="B414:M414" si="639">B411-SUM(B412:B413)</f>
        <v>11392</v>
      </c>
      <c r="C414" s="687">
        <f t="shared" si="639"/>
        <v>14282</v>
      </c>
      <c r="D414" s="687">
        <f t="shared" si="639"/>
        <v>10614.5</v>
      </c>
      <c r="E414" s="562">
        <f t="shared" si="639"/>
        <v>11590.000000000002</v>
      </c>
      <c r="F414" s="562">
        <f t="shared" si="639"/>
        <v>11342</v>
      </c>
      <c r="G414" s="562">
        <f t="shared" si="639"/>
        <v>11634.8</v>
      </c>
      <c r="H414" s="562">
        <f t="shared" si="639"/>
        <v>11902.100000000002</v>
      </c>
      <c r="I414" s="562">
        <f t="shared" si="639"/>
        <v>11841</v>
      </c>
      <c r="J414" s="562">
        <f t="shared" si="639"/>
        <v>12566.1</v>
      </c>
      <c r="K414" s="562">
        <f t="shared" si="639"/>
        <v>12432.999999999998</v>
      </c>
      <c r="L414" s="562">
        <f t="shared" si="639"/>
        <v>12016.8</v>
      </c>
      <c r="M414" s="982">
        <f t="shared" si="639"/>
        <v>12060</v>
      </c>
      <c r="N414" s="982">
        <f t="shared" ref="N414:O414" si="640">N411-SUM(N412:N413)</f>
        <v>11749.400000000001</v>
      </c>
      <c r="O414" s="982">
        <f t="shared" si="640"/>
        <v>12073.400000000001</v>
      </c>
      <c r="P414" s="982">
        <f t="shared" ref="P414" si="641">P411-SUM(P412:P413)</f>
        <v>12737.3</v>
      </c>
      <c r="Q414" s="2484">
        <f t="shared" ref="Q414" si="642">Q411-SUM(Q412:Q413)</f>
        <v>11700</v>
      </c>
    </row>
    <row r="415" spans="1:17" x14ac:dyDescent="0.2">
      <c r="A415" s="2486"/>
      <c r="B415" s="547"/>
      <c r="C415" s="547"/>
      <c r="D415" s="547"/>
      <c r="E415" s="547"/>
      <c r="F415" s="555"/>
      <c r="G415" s="555"/>
      <c r="H415" s="555"/>
      <c r="I415" s="555"/>
      <c r="J415" s="555"/>
      <c r="K415" s="555"/>
      <c r="L415" s="555"/>
      <c r="M415" s="983"/>
      <c r="N415" s="983"/>
      <c r="O415" s="983"/>
      <c r="P415" s="983"/>
      <c r="Q415" s="2487"/>
    </row>
    <row r="416" spans="1:17" x14ac:dyDescent="0.2">
      <c r="A416" s="2313" t="s">
        <v>3401</v>
      </c>
      <c r="B416" s="930">
        <f t="shared" ref="B416:M416" si="643">ROUND(B409/B414,2)</f>
        <v>2.61</v>
      </c>
      <c r="C416" s="930">
        <f t="shared" si="643"/>
        <v>1.97</v>
      </c>
      <c r="D416" s="930">
        <f t="shared" si="643"/>
        <v>2.81</v>
      </c>
      <c r="E416" s="930">
        <f t="shared" si="643"/>
        <v>2.84</v>
      </c>
      <c r="F416" s="930">
        <f t="shared" si="643"/>
        <v>3.95</v>
      </c>
      <c r="G416" s="930">
        <f t="shared" si="643"/>
        <v>3.57</v>
      </c>
      <c r="H416" s="930">
        <f t="shared" si="643"/>
        <v>2.95</v>
      </c>
      <c r="I416" s="930">
        <f t="shared" si="643"/>
        <v>3.15</v>
      </c>
      <c r="J416" s="930">
        <f t="shared" si="643"/>
        <v>2.91</v>
      </c>
      <c r="K416" s="930">
        <f t="shared" si="643"/>
        <v>3</v>
      </c>
      <c r="L416" s="930">
        <f t="shared" si="643"/>
        <v>3.37</v>
      </c>
      <c r="M416" s="978">
        <f t="shared" si="643"/>
        <v>3.3</v>
      </c>
      <c r="N416" s="978">
        <f t="shared" ref="N416:O416" si="644">ROUND(N409/N414,2)</f>
        <v>3.17</v>
      </c>
      <c r="O416" s="978">
        <f t="shared" si="644"/>
        <v>3.11</v>
      </c>
      <c r="P416" s="978">
        <f t="shared" ref="P416" si="645">ROUND(P409/P414,2)</f>
        <v>3.06</v>
      </c>
      <c r="Q416" s="2488">
        <f t="shared" ref="Q416" si="646">ROUND(Q409/Q414,2)</f>
        <v>3.84</v>
      </c>
    </row>
    <row r="417" spans="1:17" x14ac:dyDescent="0.2">
      <c r="A417" s="2313"/>
      <c r="B417" s="839"/>
      <c r="C417" s="839"/>
      <c r="D417" s="839"/>
      <c r="E417" s="839"/>
      <c r="F417" s="839"/>
      <c r="G417" s="839"/>
      <c r="H417" s="839"/>
      <c r="I417" s="839"/>
      <c r="J417" s="839"/>
      <c r="K417" s="839"/>
      <c r="L417" s="839"/>
      <c r="M417" s="967"/>
      <c r="N417" s="967"/>
      <c r="O417" s="967"/>
      <c r="P417" s="967"/>
      <c r="Q417" s="2489"/>
    </row>
    <row r="418" spans="1:17" x14ac:dyDescent="0.2">
      <c r="A418" s="2490"/>
      <c r="B418" s="1483"/>
      <c r="C418" s="1483"/>
      <c r="D418" s="1483"/>
      <c r="E418" s="1483"/>
      <c r="F418" s="1483"/>
      <c r="G418" s="1483"/>
      <c r="H418" s="1483"/>
      <c r="I418" s="1483"/>
      <c r="J418" s="1483"/>
      <c r="K418" s="1483"/>
      <c r="L418" s="1483"/>
      <c r="M418" s="968"/>
      <c r="N418" s="968"/>
      <c r="O418" s="968"/>
      <c r="P418" s="968"/>
      <c r="Q418" s="2491"/>
    </row>
    <row r="419" spans="1:17" s="2096" customFormat="1" x14ac:dyDescent="0.2">
      <c r="A419" s="2492" t="s">
        <v>705</v>
      </c>
      <c r="B419" s="555"/>
      <c r="C419" s="555"/>
      <c r="D419" s="556"/>
      <c r="E419" s="555"/>
      <c r="F419" s="555"/>
      <c r="G419" s="555"/>
      <c r="H419" s="555"/>
      <c r="I419" s="555"/>
      <c r="J419" s="555"/>
      <c r="K419" s="555"/>
      <c r="L419" s="555"/>
      <c r="M419" s="983"/>
      <c r="N419" s="983"/>
      <c r="O419" s="983"/>
      <c r="P419" s="983"/>
      <c r="Q419" s="2487"/>
    </row>
    <row r="420" spans="1:17" s="2096" customFormat="1" x14ac:dyDescent="0.2">
      <c r="A420" s="2485" t="s">
        <v>2127</v>
      </c>
      <c r="B420" s="556">
        <f>'BS&amp;Ratios'!B51</f>
        <v>47023</v>
      </c>
      <c r="C420" s="556">
        <f>'BS&amp;Ratios'!C51</f>
        <v>38264</v>
      </c>
      <c r="D420" s="556">
        <f>'BS&amp;Ratios'!D51</f>
        <v>43810</v>
      </c>
      <c r="E420" s="556">
        <f>'BS&amp;Ratios'!E51</f>
        <v>44622</v>
      </c>
      <c r="F420" s="556">
        <f>'BS&amp;Ratios'!F51</f>
        <v>56586</v>
      </c>
      <c r="G420" s="556">
        <f>'BS&amp;Ratios'!G51</f>
        <v>55790</v>
      </c>
      <c r="H420" s="556">
        <f>'BS&amp;Ratios'!H51</f>
        <v>50010</v>
      </c>
      <c r="I420" s="556">
        <f>'BS&amp;Ratios'!I51</f>
        <v>40060</v>
      </c>
      <c r="J420" s="556">
        <f>'BS&amp;Ratios'!J51</f>
        <v>38320</v>
      </c>
      <c r="K420" s="556">
        <f>'BS&amp;Ratios'!K51</f>
        <v>39080</v>
      </c>
      <c r="L420" s="556">
        <f>'BS&amp;Ratios'!L51</f>
        <v>45840</v>
      </c>
      <c r="M420" s="973">
        <f>'BS&amp;Ratios'!M51</f>
        <v>49410</v>
      </c>
      <c r="N420" s="973">
        <f>'BS&amp;Ratios'!N51</f>
        <v>53290</v>
      </c>
      <c r="O420" s="973">
        <f>'BS&amp;Ratios'!O51</f>
        <v>61270</v>
      </c>
      <c r="P420" s="973">
        <f>'BS&amp;Ratios'!P51</f>
        <v>66770</v>
      </c>
      <c r="Q420" s="2482">
        <f>'BS&amp;Ratios'!Q51</f>
        <v>74770</v>
      </c>
    </row>
    <row r="421" spans="1:17" s="2096" customFormat="1" x14ac:dyDescent="0.2">
      <c r="A421" s="815" t="s">
        <v>3291</v>
      </c>
      <c r="B421" s="556">
        <v>16978</v>
      </c>
      <c r="C421" s="556">
        <f>C406-C89-C130</f>
        <v>9814</v>
      </c>
      <c r="D421" s="556">
        <f>D406-D89-D130</f>
        <v>14190</v>
      </c>
      <c r="E421" s="556">
        <f>'Res-Bal'!D167/1000</f>
        <v>8952.4</v>
      </c>
      <c r="F421" s="556">
        <f>'Res-Bal'!G167/1000</f>
        <v>9107.7000000000007</v>
      </c>
      <c r="G421" s="556">
        <f>'Res-Bal'!J167/1000</f>
        <v>11276.1</v>
      </c>
      <c r="H421" s="556">
        <f>'Res-Bal'!M167/1000</f>
        <v>16845.2</v>
      </c>
      <c r="I421" s="556">
        <f>'Res-Bal'!P167/1000</f>
        <v>7083</v>
      </c>
      <c r="J421" s="556">
        <f>'Res-Bal'!S167/1000</f>
        <v>5144.1000000000004</v>
      </c>
      <c r="K421" s="556">
        <f>'Res-Bal'!V167/1000</f>
        <v>5782.1</v>
      </c>
      <c r="L421" s="556">
        <f>'Res-Bal'!Y167/1000</f>
        <v>11956.7</v>
      </c>
      <c r="M421" s="973">
        <f>'Res-Bal'!AB167/1000</f>
        <v>16393.099999999999</v>
      </c>
      <c r="N421" s="973">
        <f>'Res-Bal'!AE167/1000</f>
        <v>23086.3</v>
      </c>
      <c r="O421" s="973">
        <f>'Res-Bal'!AH167/1000</f>
        <v>30096.3</v>
      </c>
      <c r="P421" s="973">
        <f>'Res-Bal'!AK167/1000</f>
        <v>35216.6</v>
      </c>
      <c r="Q421" s="2482">
        <f>'Res-Bal'!AL167/1000</f>
        <v>35216.6</v>
      </c>
    </row>
    <row r="422" spans="1:17" s="2096" customFormat="1" x14ac:dyDescent="0.2">
      <c r="A422" s="815" t="s">
        <v>3292</v>
      </c>
      <c r="B422" s="556">
        <v>279</v>
      </c>
      <c r="C422" s="556">
        <v>315</v>
      </c>
      <c r="D422" s="547">
        <f>AVERAGE(B422:C422)</f>
        <v>297</v>
      </c>
      <c r="E422" s="556">
        <f>ROUNDUP(D422+(D422*Assumptions!G$5),-1)</f>
        <v>310</v>
      </c>
      <c r="F422" s="556">
        <f>269+13</f>
        <v>282</v>
      </c>
      <c r="G422" s="556">
        <f>ROUNDUP(F422+(F422*Assumptions!I$5),-1)</f>
        <v>290</v>
      </c>
      <c r="H422" s="556">
        <f>ROUNDUP(G422+(G422*Assumptions!J$5),-1)</f>
        <v>300</v>
      </c>
      <c r="I422" s="556">
        <f>ROUNDUP(H422+(H422*Assumptions!K$5),-1)</f>
        <v>310</v>
      </c>
      <c r="J422" s="556">
        <f>ROUNDUP(I422+(I422*Assumptions!L$5),-1)</f>
        <v>320</v>
      </c>
      <c r="K422" s="556">
        <f>ROUNDUP(J422+(J422*Assumptions!M$5),-1)</f>
        <v>330</v>
      </c>
      <c r="L422" s="556">
        <f>ROUNDUP(K422+(K422*Assumptions!N$5),-1)</f>
        <v>340</v>
      </c>
      <c r="M422" s="973">
        <f>ROUNDUP(L422+(L422*Assumptions!P$5),-1)</f>
        <v>350</v>
      </c>
      <c r="N422" s="973">
        <f>ROUNDUP(M422+(M422*Assumptions!Q$5),-1)</f>
        <v>360</v>
      </c>
      <c r="O422" s="973">
        <f>ROUNDUP(N422+(N422*Assumptions!R$5),-1)</f>
        <v>370</v>
      </c>
      <c r="P422" s="973">
        <f>ROUNDUP(O422+(O422*Assumptions!S$5),-1)</f>
        <v>370</v>
      </c>
      <c r="Q422" s="2482">
        <f>ROUNDUP(P422+(P422*Assumptions!T$5),-1)</f>
        <v>370</v>
      </c>
    </row>
    <row r="423" spans="1:17" s="2096" customFormat="1" x14ac:dyDescent="0.2">
      <c r="A423" s="815" t="s">
        <v>3293</v>
      </c>
      <c r="B423" s="556">
        <v>0</v>
      </c>
      <c r="C423" s="556">
        <v>0</v>
      </c>
      <c r="D423" s="555">
        <v>0</v>
      </c>
      <c r="E423" s="555">
        <v>0</v>
      </c>
      <c r="F423" s="555">
        <v>0</v>
      </c>
      <c r="G423" s="555">
        <v>0</v>
      </c>
      <c r="H423" s="555">
        <v>0</v>
      </c>
      <c r="I423" s="555">
        <v>0</v>
      </c>
      <c r="J423" s="555">
        <v>0</v>
      </c>
      <c r="K423" s="555">
        <v>0</v>
      </c>
      <c r="L423" s="555">
        <v>0</v>
      </c>
      <c r="M423" s="983">
        <v>0</v>
      </c>
      <c r="N423" s="983">
        <v>0</v>
      </c>
      <c r="O423" s="983">
        <v>0</v>
      </c>
      <c r="P423" s="983">
        <v>0</v>
      </c>
      <c r="Q423" s="2487">
        <v>0</v>
      </c>
    </row>
    <row r="424" spans="1:17" s="2109" customFormat="1" x14ac:dyDescent="0.2">
      <c r="A424" s="2483" t="s">
        <v>2811</v>
      </c>
      <c r="B424" s="560">
        <f t="shared" ref="B424:M424" si="647">B420-SUM(B421:B423)</f>
        <v>29766</v>
      </c>
      <c r="C424" s="560">
        <f t="shared" si="647"/>
        <v>28135</v>
      </c>
      <c r="D424" s="560">
        <f t="shared" si="647"/>
        <v>29323</v>
      </c>
      <c r="E424" s="560">
        <f t="shared" si="647"/>
        <v>35359.599999999999</v>
      </c>
      <c r="F424" s="560">
        <f t="shared" si="647"/>
        <v>47196.3</v>
      </c>
      <c r="G424" s="560">
        <f t="shared" si="647"/>
        <v>44223.9</v>
      </c>
      <c r="H424" s="560">
        <f t="shared" si="647"/>
        <v>32864.800000000003</v>
      </c>
      <c r="I424" s="560">
        <f t="shared" si="647"/>
        <v>32667</v>
      </c>
      <c r="J424" s="560">
        <f t="shared" si="647"/>
        <v>32855.9</v>
      </c>
      <c r="K424" s="560">
        <f t="shared" si="647"/>
        <v>32967.9</v>
      </c>
      <c r="L424" s="560">
        <f t="shared" si="647"/>
        <v>33543.300000000003</v>
      </c>
      <c r="M424" s="984">
        <f t="shared" si="647"/>
        <v>32666.9</v>
      </c>
      <c r="N424" s="984">
        <f t="shared" ref="N424:O424" si="648">N420-SUM(N421:N423)</f>
        <v>29843.7</v>
      </c>
      <c r="O424" s="984">
        <f t="shared" si="648"/>
        <v>30803.7</v>
      </c>
      <c r="P424" s="984">
        <f t="shared" ref="P424" si="649">P420-SUM(P421:P423)</f>
        <v>31183.4</v>
      </c>
      <c r="Q424" s="2493">
        <f t="shared" ref="Q424" si="650">Q420-SUM(Q421:Q423)</f>
        <v>39183.4</v>
      </c>
    </row>
    <row r="425" spans="1:17" s="2096" customFormat="1" x14ac:dyDescent="0.2">
      <c r="A425" s="2485"/>
      <c r="B425" s="555"/>
      <c r="C425" s="555"/>
      <c r="D425" s="555"/>
      <c r="E425" s="555"/>
      <c r="F425" s="555"/>
      <c r="G425" s="555"/>
      <c r="H425" s="555"/>
      <c r="I425" s="555"/>
      <c r="J425" s="555"/>
      <c r="K425" s="555"/>
      <c r="L425" s="555"/>
      <c r="M425" s="983"/>
      <c r="N425" s="983"/>
      <c r="O425" s="983"/>
      <c r="P425" s="983"/>
      <c r="Q425" s="2487"/>
    </row>
    <row r="426" spans="1:17" s="2096" customFormat="1" x14ac:dyDescent="0.2">
      <c r="A426" s="815" t="s">
        <v>2765</v>
      </c>
      <c r="B426" s="556">
        <f>'BS&amp;Ratios'!B68</f>
        <v>17813</v>
      </c>
      <c r="C426" s="556">
        <f>'BS&amp;Ratios'!C68</f>
        <v>19648</v>
      </c>
      <c r="D426" s="556">
        <f>'BS&amp;Ratios'!D68</f>
        <v>16508</v>
      </c>
      <c r="E426" s="556">
        <f>'BS&amp;Ratios'!E68</f>
        <v>17610</v>
      </c>
      <c r="F426" s="556">
        <f>'BS&amp;Ratios'!F68</f>
        <v>19962</v>
      </c>
      <c r="G426" s="556">
        <f>'BS&amp;Ratios'!G68</f>
        <v>20464.8</v>
      </c>
      <c r="H426" s="556">
        <f>'BS&amp;Ratios'!H68</f>
        <v>20962.099999999999</v>
      </c>
      <c r="I426" s="556">
        <f>'BS&amp;Ratios'!I68</f>
        <v>21141</v>
      </c>
      <c r="J426" s="556">
        <f>'BS&amp;Ratios'!J68</f>
        <v>22106.1</v>
      </c>
      <c r="K426" s="556">
        <f>'BS&amp;Ratios'!K68</f>
        <v>22213</v>
      </c>
      <c r="L426" s="556">
        <f>'BS&amp;Ratios'!L68</f>
        <v>22056.799999999999</v>
      </c>
      <c r="M426" s="973">
        <f>'BS&amp;Ratios'!M68</f>
        <v>22360</v>
      </c>
      <c r="N426" s="973">
        <f>'BS&amp;Ratios'!N68</f>
        <v>22319.4</v>
      </c>
      <c r="O426" s="973">
        <f>'BS&amp;Ratios'!O68</f>
        <v>22913.4</v>
      </c>
      <c r="P426" s="973">
        <f>'BS&amp;Ratios'!P68</f>
        <v>23577.3</v>
      </c>
      <c r="Q426" s="2482">
        <f>'BS&amp;Ratios'!Q68</f>
        <v>22540</v>
      </c>
    </row>
    <row r="427" spans="1:17" s="2096" customFormat="1" x14ac:dyDescent="0.2">
      <c r="A427" s="815" t="s">
        <v>3295</v>
      </c>
      <c r="B427" s="556">
        <v>305</v>
      </c>
      <c r="C427" s="556">
        <v>322</v>
      </c>
      <c r="D427" s="547">
        <f>AVERAGE(B427:C427)</f>
        <v>313.5</v>
      </c>
      <c r="E427" s="556">
        <f>ROUNDUP(D427+(D427*Assumptions!G$5),-1)</f>
        <v>320</v>
      </c>
      <c r="F427" s="556">
        <v>2830</v>
      </c>
      <c r="G427" s="556">
        <f>ROUNDUP(F427+(F427*Assumptions!I$5),-1)</f>
        <v>2900</v>
      </c>
      <c r="H427" s="556">
        <f>ROUNDUP(G427+(G427*Assumptions!J$5),-1)</f>
        <v>2980</v>
      </c>
      <c r="I427" s="556">
        <f>ROUNDUP(H427+(H427*Assumptions!K$5),-1)</f>
        <v>3060</v>
      </c>
      <c r="J427" s="556">
        <f>ROUNDUP(I427+(I427*Assumptions!L$5),-1)</f>
        <v>3140</v>
      </c>
      <c r="K427" s="556">
        <f>ROUNDUP(J427+(J427*Assumptions!M$5),-1)</f>
        <v>3220</v>
      </c>
      <c r="L427" s="556">
        <f>ROUNDUP(K427+(K427*Assumptions!N$5),-1)</f>
        <v>3310</v>
      </c>
      <c r="M427" s="973">
        <f>ROUNDUP(L427+(L427*Assumptions!P$5),-1)</f>
        <v>3400</v>
      </c>
      <c r="N427" s="973">
        <f>ROUNDUP(M427+(M427*Assumptions!Q$5),-1)</f>
        <v>3490</v>
      </c>
      <c r="O427" s="973">
        <f>ROUNDUP(N427+(N427*Assumptions!R$5),-1)</f>
        <v>3580</v>
      </c>
      <c r="P427" s="973">
        <f>ROUNDUP(O427+(O427*Assumptions!S$5),-1)</f>
        <v>3580</v>
      </c>
      <c r="Q427" s="2482">
        <f>ROUNDUP(P427+(P427*Assumptions!T$5),-1)</f>
        <v>3580</v>
      </c>
    </row>
    <row r="428" spans="1:17" s="2096" customFormat="1" x14ac:dyDescent="0.2">
      <c r="A428" s="815" t="s">
        <v>3296</v>
      </c>
      <c r="B428" s="555">
        <v>0</v>
      </c>
      <c r="C428" s="555">
        <v>0</v>
      </c>
      <c r="D428" s="555">
        <f>ROUNDUP(C428+(C428*Assumptions!F$5),-1)</f>
        <v>0</v>
      </c>
      <c r="E428" s="555">
        <f>ROUNDUP(D428+(D428*Assumptions!G$5),-1)</f>
        <v>0</v>
      </c>
      <c r="F428" s="555">
        <f>ROUNDUP(E428+(E428*Assumptions!H$5),-1)</f>
        <v>0</v>
      </c>
      <c r="G428" s="555">
        <f>ROUNDUP(F428+(F428*Assumptions!I$5),-1)</f>
        <v>0</v>
      </c>
      <c r="H428" s="555">
        <f>ROUNDUP(G428+(G428*Assumptions!J$5),-1)</f>
        <v>0</v>
      </c>
      <c r="I428" s="555">
        <f>ROUNDUP(H428+(H428*Assumptions!K$5),-1)</f>
        <v>0</v>
      </c>
      <c r="J428" s="555">
        <f>ROUNDUP(I428+(I428*Assumptions!L$5),-1)</f>
        <v>0</v>
      </c>
      <c r="K428" s="555">
        <f>ROUNDUP(J428+(J428*Assumptions!M$5),-1)</f>
        <v>0</v>
      </c>
      <c r="L428" s="555">
        <f>ROUNDUP(K428+(K428*Assumptions!N$5),-1)</f>
        <v>0</v>
      </c>
      <c r="M428" s="983">
        <f>ROUNDUP(L428+(L428*Assumptions!P$5),-1)</f>
        <v>0</v>
      </c>
      <c r="N428" s="983">
        <f>ROUNDUP(M428+(M428*Assumptions!Q$5),-1)</f>
        <v>0</v>
      </c>
      <c r="O428" s="983">
        <f>ROUNDUP(N428+(N428*Assumptions!R$5),-1)</f>
        <v>0</v>
      </c>
      <c r="P428" s="983">
        <f>ROUNDUP(O428+(O428*Assumptions!S$5),-1)</f>
        <v>0</v>
      </c>
      <c r="Q428" s="2487">
        <f>ROUNDUP(P428+(P428*Assumptions!T$5),-1)</f>
        <v>0</v>
      </c>
    </row>
    <row r="429" spans="1:17" s="2096" customFormat="1" x14ac:dyDescent="0.2">
      <c r="A429" s="815" t="s">
        <v>3294</v>
      </c>
      <c r="B429" s="556">
        <v>6116</v>
      </c>
      <c r="C429" s="556">
        <f>C413</f>
        <v>5044</v>
      </c>
      <c r="D429" s="547">
        <f>AVERAGE(B429:C429)</f>
        <v>5580</v>
      </c>
      <c r="E429" s="556">
        <f>ROUNDUP(D429+(D429*Assumptions!G$5),-1)</f>
        <v>5700</v>
      </c>
      <c r="F429" s="556">
        <v>5863</v>
      </c>
      <c r="G429" s="556">
        <f>ROUNDUP(F429+(F429*Assumptions!I$5),-1)</f>
        <v>6000</v>
      </c>
      <c r="H429" s="556">
        <f>ROUNDUP(G429+(G429*Assumptions!J$5),-1)</f>
        <v>6150</v>
      </c>
      <c r="I429" s="556">
        <f>ROUNDUP(H429+(H429*Assumptions!K$5),-1)</f>
        <v>6310</v>
      </c>
      <c r="J429" s="556">
        <f>ROUNDUP(I429+(I429*Assumptions!L$5),-1)</f>
        <v>6470</v>
      </c>
      <c r="K429" s="556">
        <f>ROUNDUP(J429+(J429*Assumptions!M$5),-1)</f>
        <v>6640</v>
      </c>
      <c r="L429" s="556">
        <f>ROUNDUP(K429+(K429*Assumptions!N$5),-1)</f>
        <v>6810</v>
      </c>
      <c r="M429" s="973">
        <f>ROUNDUP(L429+(L429*Assumptions!P$5),-1)</f>
        <v>6990</v>
      </c>
      <c r="N429" s="973">
        <f>ROUNDUP(M429+(M429*Assumptions!Q$5),-1)</f>
        <v>7170</v>
      </c>
      <c r="O429" s="973">
        <f>ROUNDUP(N429+(N429*Assumptions!R$5),-1)</f>
        <v>7350</v>
      </c>
      <c r="P429" s="973">
        <f>ROUNDUP(O429+(O429*Assumptions!S$5),-1)</f>
        <v>7350</v>
      </c>
      <c r="Q429" s="2482">
        <f>ROUNDUP(P429+(P429*Assumptions!T$5),-1)</f>
        <v>7350</v>
      </c>
    </row>
    <row r="430" spans="1:17" s="2109" customFormat="1" x14ac:dyDescent="0.2">
      <c r="A430" s="2483" t="s">
        <v>2812</v>
      </c>
      <c r="B430" s="560">
        <f t="shared" ref="B430:M430" si="651">B426-SUM(B427:B429)</f>
        <v>11392</v>
      </c>
      <c r="C430" s="560">
        <f t="shared" si="651"/>
        <v>14282</v>
      </c>
      <c r="D430" s="560">
        <f t="shared" si="651"/>
        <v>10614.5</v>
      </c>
      <c r="E430" s="560">
        <f t="shared" si="651"/>
        <v>11590</v>
      </c>
      <c r="F430" s="560">
        <f t="shared" si="651"/>
        <v>11269</v>
      </c>
      <c r="G430" s="560">
        <f t="shared" si="651"/>
        <v>11564.8</v>
      </c>
      <c r="H430" s="560">
        <f t="shared" si="651"/>
        <v>11832.099999999999</v>
      </c>
      <c r="I430" s="560">
        <f t="shared" si="651"/>
        <v>11771</v>
      </c>
      <c r="J430" s="560">
        <f t="shared" si="651"/>
        <v>12496.099999999999</v>
      </c>
      <c r="K430" s="560">
        <f t="shared" si="651"/>
        <v>12353</v>
      </c>
      <c r="L430" s="560">
        <f t="shared" si="651"/>
        <v>11936.8</v>
      </c>
      <c r="M430" s="984">
        <f t="shared" si="651"/>
        <v>11970</v>
      </c>
      <c r="N430" s="984">
        <f t="shared" ref="N430:O430" si="652">N426-SUM(N427:N429)</f>
        <v>11659.400000000001</v>
      </c>
      <c r="O430" s="984">
        <f t="shared" si="652"/>
        <v>11983.400000000001</v>
      </c>
      <c r="P430" s="984">
        <f t="shared" ref="P430" si="653">P426-SUM(P427:P429)</f>
        <v>12647.3</v>
      </c>
      <c r="Q430" s="2493">
        <f t="shared" ref="Q430" si="654">Q426-SUM(Q427:Q429)</f>
        <v>11610</v>
      </c>
    </row>
    <row r="431" spans="1:17" s="2110" customFormat="1" x14ac:dyDescent="0.2">
      <c r="A431" s="2486"/>
      <c r="B431" s="561"/>
      <c r="C431" s="561"/>
      <c r="D431" s="561"/>
      <c r="E431" s="561"/>
      <c r="F431" s="561"/>
      <c r="G431" s="561"/>
      <c r="H431" s="561"/>
      <c r="I431" s="561"/>
      <c r="J431" s="561"/>
      <c r="K431" s="561"/>
      <c r="L431" s="561"/>
      <c r="M431" s="985"/>
      <c r="N431" s="985"/>
      <c r="O431" s="985"/>
      <c r="P431" s="985"/>
      <c r="Q431" s="2494"/>
    </row>
    <row r="432" spans="1:17" s="246" customFormat="1" x14ac:dyDescent="0.2">
      <c r="A432" s="2313" t="s">
        <v>3402</v>
      </c>
      <c r="B432" s="930">
        <f t="shared" ref="B432:M432" si="655">ROUND(B424/B430,2)</f>
        <v>2.61</v>
      </c>
      <c r="C432" s="930">
        <f t="shared" si="655"/>
        <v>1.97</v>
      </c>
      <c r="D432" s="930">
        <f t="shared" si="655"/>
        <v>2.76</v>
      </c>
      <c r="E432" s="930">
        <f t="shared" si="655"/>
        <v>3.05</v>
      </c>
      <c r="F432" s="930">
        <f t="shared" si="655"/>
        <v>4.1900000000000004</v>
      </c>
      <c r="G432" s="930">
        <f t="shared" si="655"/>
        <v>3.82</v>
      </c>
      <c r="H432" s="930">
        <f t="shared" si="655"/>
        <v>2.78</v>
      </c>
      <c r="I432" s="930">
        <f t="shared" si="655"/>
        <v>2.78</v>
      </c>
      <c r="J432" s="930">
        <f t="shared" si="655"/>
        <v>2.63</v>
      </c>
      <c r="K432" s="930">
        <f t="shared" si="655"/>
        <v>2.67</v>
      </c>
      <c r="L432" s="930">
        <f t="shared" si="655"/>
        <v>2.81</v>
      </c>
      <c r="M432" s="978">
        <f t="shared" si="655"/>
        <v>2.73</v>
      </c>
      <c r="N432" s="978">
        <f t="shared" ref="N432:O432" si="656">ROUND(N424/N430,2)</f>
        <v>2.56</v>
      </c>
      <c r="O432" s="978">
        <f t="shared" si="656"/>
        <v>2.57</v>
      </c>
      <c r="P432" s="978">
        <f t="shared" ref="P432" si="657">ROUND(P424/P430,2)</f>
        <v>2.4700000000000002</v>
      </c>
      <c r="Q432" s="2488">
        <f t="shared" ref="Q432" si="658">ROUND(Q424/Q430,2)</f>
        <v>3.37</v>
      </c>
    </row>
    <row r="433" spans="1:17" x14ac:dyDescent="0.2">
      <c r="A433" s="2313"/>
      <c r="B433" s="839"/>
      <c r="C433" s="839"/>
      <c r="D433" s="839"/>
      <c r="E433" s="839"/>
      <c r="F433" s="839"/>
      <c r="G433" s="839"/>
      <c r="H433" s="839"/>
      <c r="I433" s="839"/>
      <c r="J433" s="839"/>
      <c r="K433" s="839"/>
      <c r="L433" s="839"/>
      <c r="M433" s="967"/>
      <c r="N433" s="967"/>
      <c r="O433" s="967"/>
      <c r="P433" s="967"/>
      <c r="Q433" s="2489"/>
    </row>
    <row r="434" spans="1:17" x14ac:dyDescent="0.2">
      <c r="A434" s="2490"/>
      <c r="B434" s="1483"/>
      <c r="C434" s="1483"/>
      <c r="D434" s="1483"/>
      <c r="E434" s="1483"/>
      <c r="F434" s="1483"/>
      <c r="G434" s="1483"/>
      <c r="H434" s="1483"/>
      <c r="I434" s="1483"/>
      <c r="J434" s="1483"/>
      <c r="K434" s="1483"/>
      <c r="L434" s="1483"/>
      <c r="M434" s="968"/>
      <c r="N434" s="968"/>
      <c r="O434" s="968"/>
      <c r="P434" s="968"/>
      <c r="Q434" s="2491"/>
    </row>
    <row r="435" spans="1:17" s="2096" customFormat="1" x14ac:dyDescent="0.2">
      <c r="A435" s="816" t="s">
        <v>4213</v>
      </c>
      <c r="B435" s="555"/>
      <c r="C435" s="555"/>
      <c r="D435" s="954"/>
      <c r="E435" s="555"/>
      <c r="F435" s="555"/>
      <c r="G435" s="555"/>
      <c r="H435" s="555"/>
      <c r="I435" s="555"/>
      <c r="J435" s="555"/>
      <c r="K435" s="555"/>
      <c r="L435" s="555"/>
      <c r="M435" s="983"/>
      <c r="N435" s="983"/>
      <c r="O435" s="983"/>
      <c r="P435" s="983"/>
      <c r="Q435" s="2487"/>
    </row>
    <row r="436" spans="1:17" s="2096" customFormat="1" x14ac:dyDescent="0.2">
      <c r="A436" s="2485" t="s">
        <v>2127</v>
      </c>
      <c r="B436" s="954">
        <f t="shared" ref="B436:P436" si="659">B93</f>
        <v>11386</v>
      </c>
      <c r="C436" s="954">
        <f t="shared" si="659"/>
        <v>11757</v>
      </c>
      <c r="D436" s="954">
        <f t="shared" si="659"/>
        <v>11277</v>
      </c>
      <c r="E436" s="954">
        <f t="shared" si="659"/>
        <v>11786</v>
      </c>
      <c r="F436" s="954">
        <f t="shared" si="659"/>
        <v>16544</v>
      </c>
      <c r="G436" s="954">
        <f t="shared" si="659"/>
        <v>15000</v>
      </c>
      <c r="H436" s="954">
        <f t="shared" si="659"/>
        <v>15000</v>
      </c>
      <c r="I436" s="954">
        <f t="shared" si="659"/>
        <v>14640</v>
      </c>
      <c r="J436" s="954">
        <f t="shared" si="659"/>
        <v>14840</v>
      </c>
      <c r="K436" s="954">
        <f t="shared" si="659"/>
        <v>12680</v>
      </c>
      <c r="L436" s="954">
        <f t="shared" si="659"/>
        <v>13200</v>
      </c>
      <c r="M436" s="986">
        <f t="shared" si="659"/>
        <v>11730</v>
      </c>
      <c r="N436" s="986">
        <f t="shared" si="659"/>
        <v>10610</v>
      </c>
      <c r="O436" s="986">
        <f t="shared" si="659"/>
        <v>11150</v>
      </c>
      <c r="P436" s="986">
        <f t="shared" si="659"/>
        <v>13600</v>
      </c>
      <c r="Q436" s="2495">
        <f t="shared" ref="Q436" si="660">Q93</f>
        <v>13680</v>
      </c>
    </row>
    <row r="437" spans="1:17" s="2096" customFormat="1" x14ac:dyDescent="0.2">
      <c r="A437" s="815" t="s">
        <v>4318</v>
      </c>
      <c r="B437" s="954"/>
      <c r="C437" s="954"/>
      <c r="D437" s="954">
        <v>-5023</v>
      </c>
      <c r="E437" s="954">
        <f>D437/2-800</f>
        <v>-3311.5</v>
      </c>
      <c r="F437" s="954">
        <f t="shared" ref="F437:O437" si="661">E437</f>
        <v>-3311.5</v>
      </c>
      <c r="G437" s="954">
        <f t="shared" si="661"/>
        <v>-3311.5</v>
      </c>
      <c r="H437" s="954">
        <f t="shared" si="661"/>
        <v>-3311.5</v>
      </c>
      <c r="I437" s="954">
        <f t="shared" si="661"/>
        <v>-3311.5</v>
      </c>
      <c r="J437" s="954">
        <f t="shared" si="661"/>
        <v>-3311.5</v>
      </c>
      <c r="K437" s="954">
        <f t="shared" si="661"/>
        <v>-3311.5</v>
      </c>
      <c r="L437" s="954">
        <f t="shared" si="661"/>
        <v>-3311.5</v>
      </c>
      <c r="M437" s="986">
        <f t="shared" si="661"/>
        <v>-3311.5</v>
      </c>
      <c r="N437" s="986">
        <f t="shared" si="661"/>
        <v>-3311.5</v>
      </c>
      <c r="O437" s="986">
        <f t="shared" si="661"/>
        <v>-3311.5</v>
      </c>
      <c r="P437" s="986">
        <f>O437</f>
        <v>-3311.5</v>
      </c>
      <c r="Q437" s="2495">
        <f>P437</f>
        <v>-3311.5</v>
      </c>
    </row>
    <row r="438" spans="1:17" s="2096" customFormat="1" x14ac:dyDescent="0.2">
      <c r="A438" s="815" t="s">
        <v>4317</v>
      </c>
      <c r="B438" s="954"/>
      <c r="C438" s="954"/>
      <c r="D438" s="954">
        <f>LTFP!B279/1000</f>
        <v>3882.8</v>
      </c>
      <c r="E438" s="954">
        <f>LTFP!C279/1000</f>
        <v>4343.8</v>
      </c>
      <c r="F438" s="954">
        <f>LTFP!D279/1000</f>
        <v>6195.2</v>
      </c>
      <c r="G438" s="954">
        <f>LTFP!F279/1000</f>
        <v>6001.3</v>
      </c>
      <c r="H438" s="954">
        <f>LTFP!H279/1000</f>
        <v>5935.2</v>
      </c>
      <c r="I438" s="954">
        <f>LTFP!I279/1000</f>
        <v>5496.7</v>
      </c>
      <c r="J438" s="954">
        <f>LTFP!J279/1000</f>
        <v>5625.4</v>
      </c>
      <c r="K438" s="954">
        <f>LTFP!K279/1000</f>
        <v>3390.4</v>
      </c>
      <c r="L438" s="954">
        <f>LTFP!L279/1000</f>
        <v>3837.7</v>
      </c>
      <c r="M438" s="986">
        <f>LTFP!M279/1000</f>
        <v>2277.8000000000002</v>
      </c>
      <c r="N438" s="986">
        <f>LTFP!N279/1000</f>
        <v>1070.7</v>
      </c>
      <c r="O438" s="986">
        <f>LTFP!O279/1000</f>
        <v>1376.3</v>
      </c>
      <c r="P438" s="986">
        <f>LTFP!P279/1000</f>
        <v>1830.4</v>
      </c>
      <c r="Q438" s="2495">
        <f>LTFP!Q279/1000</f>
        <v>4194.2</v>
      </c>
    </row>
    <row r="439" spans="1:17" s="2096" customFormat="1" x14ac:dyDescent="0.2">
      <c r="A439" s="815" t="s">
        <v>4267</v>
      </c>
      <c r="B439" s="954">
        <v>6908</v>
      </c>
      <c r="C439" s="954">
        <v>6507</v>
      </c>
      <c r="D439" s="954">
        <f>LTFP!B280/1000</f>
        <v>6589.1</v>
      </c>
      <c r="E439" s="954">
        <f>LTFP!C280/1000</f>
        <v>7425.1</v>
      </c>
      <c r="F439" s="954">
        <f>LTFP!D280/1000</f>
        <v>7600.4</v>
      </c>
      <c r="G439" s="954">
        <f>LTFP!F280/1000</f>
        <v>7706.8</v>
      </c>
      <c r="H439" s="954">
        <f>LTFP!H280/1000</f>
        <v>5394.2</v>
      </c>
      <c r="I439" s="954">
        <f>LTFP!I280/1000</f>
        <v>5077.3</v>
      </c>
      <c r="J439" s="954">
        <f>LTFP!J280/1000</f>
        <v>5650.7</v>
      </c>
      <c r="K439" s="954">
        <f>LTFP!K280/1000</f>
        <v>4838.3999999999996</v>
      </c>
      <c r="L439" s="954">
        <f>LTFP!L280/1000</f>
        <v>2470.6999999999998</v>
      </c>
      <c r="M439" s="986">
        <f>LTFP!M280/1000</f>
        <v>2220.6</v>
      </c>
      <c r="N439" s="986">
        <f>LTFP!N280/1000</f>
        <v>1906.2</v>
      </c>
      <c r="O439" s="986">
        <f>LTFP!O280/1000</f>
        <v>2710.5</v>
      </c>
      <c r="P439" s="986">
        <f>LTFP!P280/1000</f>
        <v>3562</v>
      </c>
      <c r="Q439" s="2495">
        <f>LTFP!Q280/1000</f>
        <v>4462.2</v>
      </c>
    </row>
    <row r="440" spans="1:17" s="2096" customFormat="1" x14ac:dyDescent="0.2">
      <c r="A440" s="815" t="s">
        <v>3292</v>
      </c>
      <c r="B440" s="954">
        <v>0</v>
      </c>
      <c r="C440" s="954">
        <v>0</v>
      </c>
      <c r="D440" s="954">
        <f>ROUNDUP(C440+(C440*Assumptions!F$5),-1)</f>
        <v>0</v>
      </c>
      <c r="E440" s="954">
        <f>ROUNDUP(D440+(D440*Assumptions!G$5),-2)</f>
        <v>0</v>
      </c>
      <c r="F440" s="954">
        <f>ROUNDUP(E440+(E440*Assumptions!H$5),-2)</f>
        <v>0</v>
      </c>
      <c r="G440" s="954">
        <f>ROUNDUP(F440+(F440*Assumptions!I$5),-2)</f>
        <v>0</v>
      </c>
      <c r="H440" s="954">
        <f>ROUNDUP(G440+(G440*Assumptions!J$5),-2)</f>
        <v>0</v>
      </c>
      <c r="I440" s="954">
        <f>ROUNDUP(H440+(H440*Assumptions!K$5),-2)</f>
        <v>0</v>
      </c>
      <c r="J440" s="954">
        <f>ROUNDUP(I440+(I440*Assumptions!L$5),-2)</f>
        <v>0</v>
      </c>
      <c r="K440" s="954">
        <f>ROUNDUP(J440+(J440*Assumptions!M$5),-2)</f>
        <v>0</v>
      </c>
      <c r="L440" s="954">
        <f>ROUNDUP(K440+(K440*Assumptions!N$5),-2)</f>
        <v>0</v>
      </c>
      <c r="M440" s="986">
        <f>ROUNDUP(L440+(L440*Assumptions!P$5),-2)</f>
        <v>0</v>
      </c>
      <c r="N440" s="986">
        <f>ROUNDUP(M440+(M440*Assumptions!Q$5),-2)</f>
        <v>0</v>
      </c>
      <c r="O440" s="986">
        <f>ROUNDUP(N440+(N440*Assumptions!R$5),-2)</f>
        <v>0</v>
      </c>
      <c r="P440" s="986">
        <f>ROUNDUP(O440+(O440*Assumptions!S$5),-2)</f>
        <v>0</v>
      </c>
      <c r="Q440" s="2495">
        <f>ROUNDUP(P440+(P440*Assumptions!T$5),-2)</f>
        <v>0</v>
      </c>
    </row>
    <row r="441" spans="1:17" s="2096" customFormat="1" x14ac:dyDescent="0.2">
      <c r="A441" s="815" t="s">
        <v>3293</v>
      </c>
      <c r="B441" s="954">
        <v>0</v>
      </c>
      <c r="C441" s="954">
        <v>0</v>
      </c>
      <c r="D441" s="954">
        <v>0</v>
      </c>
      <c r="E441" s="954">
        <v>0</v>
      </c>
      <c r="F441" s="954">
        <v>0</v>
      </c>
      <c r="G441" s="954">
        <v>0</v>
      </c>
      <c r="H441" s="954">
        <v>0</v>
      </c>
      <c r="I441" s="954">
        <v>0</v>
      </c>
      <c r="J441" s="954">
        <v>0</v>
      </c>
      <c r="K441" s="954">
        <v>0</v>
      </c>
      <c r="L441" s="954">
        <v>0</v>
      </c>
      <c r="M441" s="986">
        <v>0</v>
      </c>
      <c r="N441" s="986">
        <v>0</v>
      </c>
      <c r="O441" s="986">
        <v>0</v>
      </c>
      <c r="P441" s="986">
        <v>0</v>
      </c>
      <c r="Q441" s="2495">
        <v>0</v>
      </c>
    </row>
    <row r="442" spans="1:17" s="2109" customFormat="1" x14ac:dyDescent="0.2">
      <c r="A442" s="2483" t="s">
        <v>2811</v>
      </c>
      <c r="B442" s="560">
        <f t="shared" ref="B442:C442" si="662">B436-SUM(B437:B441)</f>
        <v>4478</v>
      </c>
      <c r="C442" s="560">
        <f t="shared" si="662"/>
        <v>5250</v>
      </c>
      <c r="D442" s="560">
        <f>D436-SUM(D437:D441)</f>
        <v>5828.0999999999995</v>
      </c>
      <c r="E442" s="560">
        <f t="shared" ref="E442:N442" si="663">E436-SUM(E437:E441)</f>
        <v>3328.5999999999985</v>
      </c>
      <c r="F442" s="560">
        <f t="shared" si="663"/>
        <v>6059.9000000000015</v>
      </c>
      <c r="G442" s="560">
        <f t="shared" si="663"/>
        <v>4603.3999999999996</v>
      </c>
      <c r="H442" s="560">
        <f t="shared" si="663"/>
        <v>6982.1</v>
      </c>
      <c r="I442" s="560">
        <f t="shared" si="663"/>
        <v>7377.5</v>
      </c>
      <c r="J442" s="560">
        <f t="shared" si="663"/>
        <v>6875.4000000000005</v>
      </c>
      <c r="K442" s="560">
        <f t="shared" si="663"/>
        <v>7762.7000000000007</v>
      </c>
      <c r="L442" s="560">
        <f t="shared" si="663"/>
        <v>10203.1</v>
      </c>
      <c r="M442" s="984">
        <f t="shared" si="663"/>
        <v>10543.1</v>
      </c>
      <c r="N442" s="984">
        <f t="shared" si="663"/>
        <v>10944.6</v>
      </c>
      <c r="O442" s="984">
        <f t="shared" ref="O442" si="664">O436-SUM(O437:O441)</f>
        <v>10374.700000000001</v>
      </c>
      <c r="P442" s="984">
        <f t="shared" ref="P442" si="665">P436-SUM(P437:P441)</f>
        <v>11519.1</v>
      </c>
      <c r="Q442" s="2493">
        <f t="shared" ref="Q442" si="666">Q436-SUM(Q437:Q441)</f>
        <v>8335.1</v>
      </c>
    </row>
    <row r="443" spans="1:17" s="2096" customFormat="1" x14ac:dyDescent="0.2">
      <c r="A443" s="2485"/>
      <c r="B443" s="555"/>
      <c r="C443" s="555"/>
      <c r="D443" s="555"/>
      <c r="E443" s="555"/>
      <c r="F443" s="555"/>
      <c r="G443" s="555"/>
      <c r="H443" s="555"/>
      <c r="I443" s="555"/>
      <c r="J443" s="555"/>
      <c r="K443" s="555"/>
      <c r="L443" s="555"/>
      <c r="M443" s="983"/>
      <c r="N443" s="983"/>
      <c r="O443" s="983"/>
      <c r="P443" s="983"/>
      <c r="Q443" s="2487"/>
    </row>
    <row r="444" spans="1:17" s="2096" customFormat="1" x14ac:dyDescent="0.2">
      <c r="A444" s="815" t="s">
        <v>2765</v>
      </c>
      <c r="B444" s="556">
        <f>B109</f>
        <v>146</v>
      </c>
      <c r="C444" s="556">
        <f>C109</f>
        <v>124</v>
      </c>
      <c r="D444" s="556">
        <f>D109</f>
        <v>143</v>
      </c>
      <c r="E444" s="556">
        <f t="shared" ref="E444:P444" si="667">E109/2</f>
        <v>66.5</v>
      </c>
      <c r="F444" s="556">
        <f t="shared" si="667"/>
        <v>69</v>
      </c>
      <c r="G444" s="556">
        <f t="shared" si="667"/>
        <v>115</v>
      </c>
      <c r="H444" s="556">
        <f t="shared" si="667"/>
        <v>170</v>
      </c>
      <c r="I444" s="556">
        <f t="shared" si="667"/>
        <v>225</v>
      </c>
      <c r="J444" s="556">
        <f t="shared" si="667"/>
        <v>280</v>
      </c>
      <c r="K444" s="556">
        <f t="shared" si="667"/>
        <v>335</v>
      </c>
      <c r="L444" s="556">
        <f t="shared" si="667"/>
        <v>390</v>
      </c>
      <c r="M444" s="973">
        <f t="shared" si="667"/>
        <v>445</v>
      </c>
      <c r="N444" s="973">
        <f t="shared" si="667"/>
        <v>500</v>
      </c>
      <c r="O444" s="973">
        <f t="shared" si="667"/>
        <v>555</v>
      </c>
      <c r="P444" s="973">
        <f t="shared" si="667"/>
        <v>610</v>
      </c>
      <c r="Q444" s="2482">
        <f t="shared" ref="Q444" si="668">Q109/2</f>
        <v>665</v>
      </c>
    </row>
    <row r="445" spans="1:17" s="2109" customFormat="1" x14ac:dyDescent="0.2">
      <c r="A445" s="2483" t="s">
        <v>2812</v>
      </c>
      <c r="B445" s="560">
        <f t="shared" ref="B445:M445" si="669">B444</f>
        <v>146</v>
      </c>
      <c r="C445" s="560">
        <f t="shared" si="669"/>
        <v>124</v>
      </c>
      <c r="D445" s="560">
        <f t="shared" si="669"/>
        <v>143</v>
      </c>
      <c r="E445" s="560">
        <f t="shared" si="669"/>
        <v>66.5</v>
      </c>
      <c r="F445" s="560">
        <f t="shared" si="669"/>
        <v>69</v>
      </c>
      <c r="G445" s="560">
        <f t="shared" si="669"/>
        <v>115</v>
      </c>
      <c r="H445" s="560">
        <f t="shared" si="669"/>
        <v>170</v>
      </c>
      <c r="I445" s="560">
        <f t="shared" si="669"/>
        <v>225</v>
      </c>
      <c r="J445" s="560">
        <f t="shared" si="669"/>
        <v>280</v>
      </c>
      <c r="K445" s="560">
        <f t="shared" si="669"/>
        <v>335</v>
      </c>
      <c r="L445" s="560">
        <f t="shared" si="669"/>
        <v>390</v>
      </c>
      <c r="M445" s="984">
        <f t="shared" si="669"/>
        <v>445</v>
      </c>
      <c r="N445" s="984">
        <f t="shared" ref="N445:O445" si="670">N444</f>
        <v>500</v>
      </c>
      <c r="O445" s="984">
        <f t="shared" si="670"/>
        <v>555</v>
      </c>
      <c r="P445" s="984">
        <f t="shared" ref="P445" si="671">P444</f>
        <v>610</v>
      </c>
      <c r="Q445" s="2493">
        <f t="shared" ref="Q445" si="672">Q444</f>
        <v>665</v>
      </c>
    </row>
    <row r="446" spans="1:17" s="2110" customFormat="1" x14ac:dyDescent="0.2">
      <c r="A446" s="2486"/>
      <c r="B446" s="561"/>
      <c r="C446" s="561"/>
      <c r="D446" s="561"/>
      <c r="E446" s="561"/>
      <c r="F446" s="561"/>
      <c r="G446" s="561"/>
      <c r="H446" s="561"/>
      <c r="I446" s="561"/>
      <c r="J446" s="561"/>
      <c r="K446" s="561"/>
      <c r="L446" s="561"/>
      <c r="M446" s="985"/>
      <c r="N446" s="985"/>
      <c r="O446" s="985"/>
      <c r="P446" s="985"/>
      <c r="Q446" s="2494"/>
    </row>
    <row r="447" spans="1:17" s="246" customFormat="1" x14ac:dyDescent="0.2">
      <c r="A447" s="2313" t="s">
        <v>4214</v>
      </c>
      <c r="B447" s="930">
        <f t="shared" ref="B447:M447" si="673">ROUND(B442/B445,2)</f>
        <v>30.67</v>
      </c>
      <c r="C447" s="930">
        <f t="shared" si="673"/>
        <v>42.34</v>
      </c>
      <c r="D447" s="930">
        <f t="shared" si="673"/>
        <v>40.76</v>
      </c>
      <c r="E447" s="930">
        <f t="shared" si="673"/>
        <v>50.05</v>
      </c>
      <c r="F447" s="930">
        <f t="shared" si="673"/>
        <v>87.82</v>
      </c>
      <c r="G447" s="930">
        <f t="shared" si="673"/>
        <v>40.03</v>
      </c>
      <c r="H447" s="930">
        <f t="shared" si="673"/>
        <v>41.07</v>
      </c>
      <c r="I447" s="930">
        <f t="shared" si="673"/>
        <v>32.79</v>
      </c>
      <c r="J447" s="930">
        <f t="shared" si="673"/>
        <v>24.56</v>
      </c>
      <c r="K447" s="930">
        <f t="shared" si="673"/>
        <v>23.17</v>
      </c>
      <c r="L447" s="930">
        <f t="shared" si="673"/>
        <v>26.16</v>
      </c>
      <c r="M447" s="978">
        <f t="shared" si="673"/>
        <v>23.69</v>
      </c>
      <c r="N447" s="978">
        <f t="shared" ref="N447:O447" si="674">ROUND(N442/N445,2)</f>
        <v>21.89</v>
      </c>
      <c r="O447" s="978">
        <f t="shared" si="674"/>
        <v>18.690000000000001</v>
      </c>
      <c r="P447" s="978">
        <f t="shared" ref="P447" si="675">ROUND(P442/P445,2)</f>
        <v>18.88</v>
      </c>
      <c r="Q447" s="2488">
        <f t="shared" ref="Q447" si="676">ROUND(Q442/Q445,2)</f>
        <v>12.53</v>
      </c>
    </row>
    <row r="448" spans="1:17" x14ac:dyDescent="0.2">
      <c r="A448" s="2313"/>
      <c r="B448" s="839"/>
      <c r="C448" s="839"/>
      <c r="D448" s="839"/>
      <c r="E448" s="839"/>
      <c r="F448" s="839"/>
      <c r="G448" s="839"/>
      <c r="H448" s="839"/>
      <c r="I448" s="839"/>
      <c r="J448" s="839"/>
      <c r="K448" s="839"/>
      <c r="L448" s="839"/>
      <c r="M448" s="967"/>
      <c r="N448" s="967"/>
      <c r="O448" s="967"/>
      <c r="P448" s="967"/>
      <c r="Q448" s="2489"/>
    </row>
    <row r="449" spans="1:17" x14ac:dyDescent="0.2">
      <c r="A449" s="2490"/>
      <c r="B449" s="1483"/>
      <c r="C449" s="1483"/>
      <c r="D449" s="1483"/>
      <c r="E449" s="1483"/>
      <c r="F449" s="1483"/>
      <c r="G449" s="1483"/>
      <c r="H449" s="1483"/>
      <c r="I449" s="1483"/>
      <c r="J449" s="1483"/>
      <c r="K449" s="1483"/>
      <c r="L449" s="1483"/>
      <c r="M449" s="968"/>
      <c r="N449" s="968"/>
      <c r="O449" s="968"/>
      <c r="P449" s="968"/>
      <c r="Q449" s="2491"/>
    </row>
    <row r="450" spans="1:17" s="2096" customFormat="1" x14ac:dyDescent="0.2">
      <c r="A450" s="816" t="s">
        <v>4215</v>
      </c>
      <c r="B450" s="555"/>
      <c r="C450" s="555"/>
      <c r="D450" s="555"/>
      <c r="E450" s="555"/>
      <c r="F450" s="555"/>
      <c r="G450" s="555"/>
      <c r="H450" s="555"/>
      <c r="I450" s="555"/>
      <c r="J450" s="555"/>
      <c r="K450" s="555"/>
      <c r="L450" s="555"/>
      <c r="M450" s="983"/>
      <c r="N450" s="983"/>
      <c r="O450" s="983"/>
      <c r="P450" s="983"/>
      <c r="Q450" s="2487"/>
    </row>
    <row r="451" spans="1:17" s="2096" customFormat="1" x14ac:dyDescent="0.2">
      <c r="A451" s="2485" t="s">
        <v>2127</v>
      </c>
      <c r="B451" s="954">
        <f t="shared" ref="B451:P451" si="677">B134</f>
        <v>31282</v>
      </c>
      <c r="C451" s="954">
        <f t="shared" si="677"/>
        <v>19392</v>
      </c>
      <c r="D451" s="954">
        <f t="shared" si="677"/>
        <v>14491</v>
      </c>
      <c r="E451" s="954">
        <f t="shared" si="677"/>
        <v>14893</v>
      </c>
      <c r="F451" s="954">
        <f t="shared" si="677"/>
        <v>11226</v>
      </c>
      <c r="G451" s="954">
        <f t="shared" si="677"/>
        <v>6380</v>
      </c>
      <c r="H451" s="954">
        <f t="shared" si="677"/>
        <v>4570</v>
      </c>
      <c r="I451" s="954">
        <f t="shared" si="677"/>
        <v>5090</v>
      </c>
      <c r="J451" s="954">
        <f t="shared" si="677"/>
        <v>6930</v>
      </c>
      <c r="K451" s="954">
        <f t="shared" si="677"/>
        <v>6720</v>
      </c>
      <c r="L451" s="954">
        <f t="shared" si="677"/>
        <v>7880</v>
      </c>
      <c r="M451" s="986">
        <f t="shared" si="677"/>
        <v>12420</v>
      </c>
      <c r="N451" s="986">
        <f t="shared" si="677"/>
        <v>13050</v>
      </c>
      <c r="O451" s="986">
        <f t="shared" si="677"/>
        <v>18240</v>
      </c>
      <c r="P451" s="986">
        <f t="shared" si="677"/>
        <v>23960</v>
      </c>
      <c r="Q451" s="2495">
        <f t="shared" ref="Q451" si="678">Q134</f>
        <v>31280</v>
      </c>
    </row>
    <row r="452" spans="1:17" s="2096" customFormat="1" x14ac:dyDescent="0.2">
      <c r="A452" s="815" t="s">
        <v>4318</v>
      </c>
      <c r="B452" s="954"/>
      <c r="C452" s="954"/>
      <c r="D452" s="954">
        <v>-11025</v>
      </c>
      <c r="E452" s="954">
        <f>D452/2</f>
        <v>-5512.5</v>
      </c>
      <c r="F452" s="954">
        <f t="shared" ref="F452:O452" si="679">E452</f>
        <v>-5512.5</v>
      </c>
      <c r="G452" s="954">
        <f t="shared" si="679"/>
        <v>-5512.5</v>
      </c>
      <c r="H452" s="954">
        <f t="shared" si="679"/>
        <v>-5512.5</v>
      </c>
      <c r="I452" s="954">
        <f t="shared" si="679"/>
        <v>-5512.5</v>
      </c>
      <c r="J452" s="954">
        <f t="shared" si="679"/>
        <v>-5512.5</v>
      </c>
      <c r="K452" s="954">
        <f t="shared" si="679"/>
        <v>-5512.5</v>
      </c>
      <c r="L452" s="954">
        <f t="shared" si="679"/>
        <v>-5512.5</v>
      </c>
      <c r="M452" s="986">
        <f t="shared" si="679"/>
        <v>-5512.5</v>
      </c>
      <c r="N452" s="986">
        <f t="shared" si="679"/>
        <v>-5512.5</v>
      </c>
      <c r="O452" s="986">
        <f t="shared" si="679"/>
        <v>-5512.5</v>
      </c>
      <c r="P452" s="986">
        <f>O452</f>
        <v>-5512.5</v>
      </c>
      <c r="Q452" s="2495">
        <f>P452</f>
        <v>-5512.5</v>
      </c>
    </row>
    <row r="453" spans="1:17" s="2096" customFormat="1" x14ac:dyDescent="0.2">
      <c r="A453" s="815" t="s">
        <v>4317</v>
      </c>
      <c r="B453" s="954"/>
      <c r="C453" s="954"/>
      <c r="D453" s="954">
        <f>LTFP!B328/1000</f>
        <v>10514.3</v>
      </c>
      <c r="E453" s="954">
        <f>LTFP!C328/1000</f>
        <v>8111.6</v>
      </c>
      <c r="F453" s="954">
        <f>LTFP!D328/1000</f>
        <v>6830.9</v>
      </c>
      <c r="G453" s="954">
        <f>LTFP!F328/1000</f>
        <v>1962.7</v>
      </c>
      <c r="H453" s="954">
        <f>LTFP!H328/1000</f>
        <v>112.3</v>
      </c>
      <c r="I453" s="954">
        <f>LTFP!I328/1000</f>
        <v>589</v>
      </c>
      <c r="J453" s="954">
        <f>LTFP!J328/1000</f>
        <v>2383.6</v>
      </c>
      <c r="K453" s="954">
        <f>LTFP!K328/1000</f>
        <v>2123.6999999999998</v>
      </c>
      <c r="L453" s="954">
        <f>LTFP!L328/1000</f>
        <v>3236.9</v>
      </c>
      <c r="M453" s="986">
        <f>LTFP!M328/1000</f>
        <v>7732</v>
      </c>
      <c r="N453" s="986">
        <f>LTFP!N328/1000</f>
        <v>8314.7999999999993</v>
      </c>
      <c r="O453" s="986">
        <f>LTFP!O328/1000</f>
        <v>13464.5</v>
      </c>
      <c r="P453" s="986">
        <f>LTFP!P328/1000</f>
        <v>19128.900000000001</v>
      </c>
      <c r="Q453" s="2495">
        <f>LTFP!Q328/1000</f>
        <v>25261.3</v>
      </c>
    </row>
    <row r="454" spans="1:17" s="2096" customFormat="1" x14ac:dyDescent="0.2">
      <c r="A454" s="815" t="s">
        <v>4267</v>
      </c>
      <c r="B454" s="954">
        <v>2409</v>
      </c>
      <c r="C454" s="954">
        <v>2902</v>
      </c>
      <c r="D454" s="954">
        <f>LTFP!B329/1000</f>
        <v>4540.5</v>
      </c>
      <c r="E454" s="954">
        <f>LTFP!C329/1000</f>
        <v>6181.8</v>
      </c>
      <c r="F454" s="954">
        <f>LTFP!D329/1000</f>
        <v>6395.1</v>
      </c>
      <c r="G454" s="954">
        <f>LTFP!F329/1000</f>
        <v>5212.7</v>
      </c>
      <c r="H454" s="954">
        <f>LTFP!H329/1000</f>
        <v>2626</v>
      </c>
      <c r="I454" s="954">
        <f>LTFP!I329/1000</f>
        <v>607.1</v>
      </c>
      <c r="J454" s="954">
        <f>LTFP!J329/1000</f>
        <v>903.8</v>
      </c>
      <c r="K454" s="954">
        <f>LTFP!K329/1000</f>
        <v>1147.0999999999999</v>
      </c>
      <c r="L454" s="954">
        <f>LTFP!L329/1000</f>
        <v>905.9</v>
      </c>
      <c r="M454" s="986">
        <f>LTFP!M329/1000</f>
        <v>1037.3</v>
      </c>
      <c r="N454" s="986">
        <f>LTFP!N329/1000</f>
        <v>1122.5999999999999</v>
      </c>
      <c r="O454" s="986">
        <f>LTFP!O329/1000</f>
        <v>1162.9000000000001</v>
      </c>
      <c r="P454" s="986">
        <f>LTFP!P329/1000</f>
        <v>1155.0999999999999</v>
      </c>
      <c r="Q454" s="2495">
        <f>LTFP!Q329/1000</f>
        <v>1098.0999999999999</v>
      </c>
    </row>
    <row r="455" spans="1:17" s="2096" customFormat="1" x14ac:dyDescent="0.2">
      <c r="A455" s="815" t="s">
        <v>3292</v>
      </c>
      <c r="B455" s="954"/>
      <c r="C455" s="954">
        <v>0</v>
      </c>
      <c r="D455" s="954">
        <f>ROUNDUP(C455+(C455*Assumptions!F$5),-1)</f>
        <v>0</v>
      </c>
      <c r="E455" s="954">
        <f>ROUNDUP(D455+(D455*Assumptions!G$5),-2)</f>
        <v>0</v>
      </c>
      <c r="F455" s="954">
        <f>ROUNDUP(E455+(E455*Assumptions!H$5),-2)</f>
        <v>0</v>
      </c>
      <c r="G455" s="954">
        <f>ROUNDUP(F455+(F455*Assumptions!I$5),-2)</f>
        <v>0</v>
      </c>
      <c r="H455" s="954">
        <f>ROUNDUP(G455+(G455*Assumptions!J$5),-2)</f>
        <v>0</v>
      </c>
      <c r="I455" s="954">
        <f>ROUNDUP(H455+(H455*Assumptions!K$5),-2)</f>
        <v>0</v>
      </c>
      <c r="J455" s="954">
        <f>ROUNDUP(I455+(I455*Assumptions!L$5),-2)</f>
        <v>0</v>
      </c>
      <c r="K455" s="954">
        <f>ROUNDUP(J455+(J455*Assumptions!M$5),-2)</f>
        <v>0</v>
      </c>
      <c r="L455" s="954">
        <f>ROUNDUP(K455+(K455*Assumptions!N$5),-2)</f>
        <v>0</v>
      </c>
      <c r="M455" s="986">
        <f>ROUNDUP(L455+(L455*Assumptions!P$5),-2)</f>
        <v>0</v>
      </c>
      <c r="N455" s="986">
        <f>ROUNDUP(M455+(M455*Assumptions!Q$5),-2)</f>
        <v>0</v>
      </c>
      <c r="O455" s="986">
        <f>ROUNDUP(N455+(N455*Assumptions!R$5),-2)</f>
        <v>0</v>
      </c>
      <c r="P455" s="986">
        <f>ROUNDUP(O455+(O455*Assumptions!S$5),-2)</f>
        <v>0</v>
      </c>
      <c r="Q455" s="2495">
        <f>ROUNDUP(P455+(P455*Assumptions!T$5),-2)</f>
        <v>0</v>
      </c>
    </row>
    <row r="456" spans="1:17" s="2096" customFormat="1" x14ac:dyDescent="0.2">
      <c r="A456" s="815" t="s">
        <v>3293</v>
      </c>
      <c r="B456" s="954"/>
      <c r="C456" s="954">
        <v>0</v>
      </c>
      <c r="D456" s="954">
        <v>0</v>
      </c>
      <c r="E456" s="954">
        <v>0</v>
      </c>
      <c r="F456" s="954">
        <v>0</v>
      </c>
      <c r="G456" s="954">
        <v>0</v>
      </c>
      <c r="H456" s="954">
        <v>0</v>
      </c>
      <c r="I456" s="954">
        <v>0</v>
      </c>
      <c r="J456" s="954">
        <v>0</v>
      </c>
      <c r="K456" s="954">
        <v>0</v>
      </c>
      <c r="L456" s="954">
        <v>0</v>
      </c>
      <c r="M456" s="986">
        <v>0</v>
      </c>
      <c r="N456" s="986">
        <v>0</v>
      </c>
      <c r="O456" s="986">
        <v>0</v>
      </c>
      <c r="P456" s="986">
        <v>0</v>
      </c>
      <c r="Q456" s="2495">
        <v>0</v>
      </c>
    </row>
    <row r="457" spans="1:17" s="2109" customFormat="1" x14ac:dyDescent="0.2">
      <c r="A457" s="2483" t="s">
        <v>2811</v>
      </c>
      <c r="B457" s="560">
        <f t="shared" ref="B457:C457" si="680">B451-SUM(B452:B456)</f>
        <v>28873</v>
      </c>
      <c r="C457" s="560">
        <f t="shared" si="680"/>
        <v>16490</v>
      </c>
      <c r="D457" s="560">
        <f>D451-SUM(D452:D456)</f>
        <v>10461.200000000001</v>
      </c>
      <c r="E457" s="560">
        <f t="shared" ref="E457:N457" si="681">E451-SUM(E452:E456)</f>
        <v>6112.0999999999985</v>
      </c>
      <c r="F457" s="560">
        <f t="shared" si="681"/>
        <v>3512.5</v>
      </c>
      <c r="G457" s="560">
        <f t="shared" si="681"/>
        <v>4717.1000000000004</v>
      </c>
      <c r="H457" s="560">
        <f t="shared" si="681"/>
        <v>7344.2</v>
      </c>
      <c r="I457" s="560">
        <f t="shared" si="681"/>
        <v>9406.4</v>
      </c>
      <c r="J457" s="560">
        <f t="shared" si="681"/>
        <v>9155.1</v>
      </c>
      <c r="K457" s="560">
        <f t="shared" si="681"/>
        <v>8961.7000000000007</v>
      </c>
      <c r="L457" s="560">
        <f t="shared" si="681"/>
        <v>9249.7000000000007</v>
      </c>
      <c r="M457" s="984">
        <f t="shared" si="681"/>
        <v>9163.2000000000007</v>
      </c>
      <c r="N457" s="984">
        <f t="shared" si="681"/>
        <v>9125.1</v>
      </c>
      <c r="O457" s="984">
        <f t="shared" ref="O457" si="682">O451-SUM(O452:O456)</f>
        <v>9125.1</v>
      </c>
      <c r="P457" s="984">
        <f t="shared" ref="P457" si="683">P451-SUM(P452:P456)</f>
        <v>9188.4999999999982</v>
      </c>
      <c r="Q457" s="2493">
        <f t="shared" ref="Q457" si="684">Q451-SUM(Q452:Q456)</f>
        <v>10433.100000000002</v>
      </c>
    </row>
    <row r="458" spans="1:17" s="2096" customFormat="1" x14ac:dyDescent="0.2">
      <c r="A458" s="2485"/>
      <c r="B458" s="555"/>
      <c r="C458" s="555"/>
      <c r="D458" s="555"/>
      <c r="E458" s="555"/>
      <c r="F458" s="555"/>
      <c r="G458" s="555"/>
      <c r="H458" s="555"/>
      <c r="I458" s="555"/>
      <c r="J458" s="555"/>
      <c r="K458" s="555"/>
      <c r="L458" s="555"/>
      <c r="M458" s="983"/>
      <c r="N458" s="983"/>
      <c r="O458" s="983"/>
      <c r="P458" s="983"/>
      <c r="Q458" s="2487"/>
    </row>
    <row r="459" spans="1:17" s="2096" customFormat="1" x14ac:dyDescent="0.2">
      <c r="A459" s="815" t="s">
        <v>2765</v>
      </c>
      <c r="B459" s="556">
        <f t="shared" ref="B459:P459" si="685">B150</f>
        <v>7225</v>
      </c>
      <c r="C459" s="556">
        <f t="shared" si="685"/>
        <v>3030</v>
      </c>
      <c r="D459" s="556">
        <f t="shared" si="685"/>
        <v>3392.3</v>
      </c>
      <c r="E459" s="556">
        <f t="shared" si="685"/>
        <v>3564.9</v>
      </c>
      <c r="F459" s="556">
        <f t="shared" si="685"/>
        <v>3759</v>
      </c>
      <c r="G459" s="556">
        <f t="shared" si="685"/>
        <v>3824</v>
      </c>
      <c r="H459" s="556">
        <f t="shared" si="685"/>
        <v>4000.3</v>
      </c>
      <c r="I459" s="556">
        <f t="shared" si="685"/>
        <v>3203.5</v>
      </c>
      <c r="J459" s="556">
        <f t="shared" si="685"/>
        <v>3434.1</v>
      </c>
      <c r="K459" s="556">
        <f t="shared" si="685"/>
        <v>3654.1</v>
      </c>
      <c r="L459" s="556">
        <f t="shared" si="685"/>
        <v>3877</v>
      </c>
      <c r="M459" s="973">
        <f t="shared" si="685"/>
        <v>4105</v>
      </c>
      <c r="N459" s="973">
        <f t="shared" si="685"/>
        <v>4330</v>
      </c>
      <c r="O459" s="973">
        <f t="shared" si="685"/>
        <v>4557</v>
      </c>
      <c r="P459" s="973">
        <f t="shared" si="685"/>
        <v>4785</v>
      </c>
      <c r="Q459" s="2482">
        <f t="shared" ref="Q459" si="686">Q150</f>
        <v>990</v>
      </c>
    </row>
    <row r="460" spans="1:17" s="2109" customFormat="1" x14ac:dyDescent="0.2">
      <c r="A460" s="2483" t="s">
        <v>2812</v>
      </c>
      <c r="B460" s="560">
        <f t="shared" ref="B460:M460" si="687">B459</f>
        <v>7225</v>
      </c>
      <c r="C460" s="560">
        <f t="shared" si="687"/>
        <v>3030</v>
      </c>
      <c r="D460" s="560">
        <f t="shared" si="687"/>
        <v>3392.3</v>
      </c>
      <c r="E460" s="560">
        <f t="shared" si="687"/>
        <v>3564.9</v>
      </c>
      <c r="F460" s="560">
        <f t="shared" si="687"/>
        <v>3759</v>
      </c>
      <c r="G460" s="560">
        <f t="shared" si="687"/>
        <v>3824</v>
      </c>
      <c r="H460" s="560">
        <f t="shared" si="687"/>
        <v>4000.3</v>
      </c>
      <c r="I460" s="560">
        <f t="shared" si="687"/>
        <v>3203.5</v>
      </c>
      <c r="J460" s="560">
        <f t="shared" si="687"/>
        <v>3434.1</v>
      </c>
      <c r="K460" s="560">
        <f t="shared" si="687"/>
        <v>3654.1</v>
      </c>
      <c r="L460" s="560">
        <f t="shared" si="687"/>
        <v>3877</v>
      </c>
      <c r="M460" s="984">
        <f t="shared" si="687"/>
        <v>4105</v>
      </c>
      <c r="N460" s="984">
        <f t="shared" ref="N460:O460" si="688">N459</f>
        <v>4330</v>
      </c>
      <c r="O460" s="984">
        <f t="shared" si="688"/>
        <v>4557</v>
      </c>
      <c r="P460" s="984">
        <f t="shared" ref="P460" si="689">P459</f>
        <v>4785</v>
      </c>
      <c r="Q460" s="2493">
        <f t="shared" ref="Q460" si="690">Q459</f>
        <v>990</v>
      </c>
    </row>
    <row r="461" spans="1:17" s="2110" customFormat="1" x14ac:dyDescent="0.2">
      <c r="A461" s="2486"/>
      <c r="B461" s="561"/>
      <c r="C461" s="561"/>
      <c r="D461" s="561"/>
      <c r="E461" s="561"/>
      <c r="F461" s="561"/>
      <c r="G461" s="561"/>
      <c r="H461" s="561"/>
      <c r="I461" s="561"/>
      <c r="J461" s="561"/>
      <c r="K461" s="561"/>
      <c r="L461" s="561"/>
      <c r="M461" s="985"/>
      <c r="N461" s="985"/>
      <c r="O461" s="985"/>
      <c r="P461" s="985"/>
      <c r="Q461" s="2494"/>
    </row>
    <row r="462" spans="1:17" s="246" customFormat="1" x14ac:dyDescent="0.2">
      <c r="A462" s="2313" t="s">
        <v>4243</v>
      </c>
      <c r="B462" s="930">
        <f t="shared" ref="B462:M462" si="691">ROUND(B457/B460,2)</f>
        <v>4</v>
      </c>
      <c r="C462" s="930">
        <f t="shared" si="691"/>
        <v>5.44</v>
      </c>
      <c r="D462" s="930">
        <f t="shared" si="691"/>
        <v>3.08</v>
      </c>
      <c r="E462" s="930">
        <f t="shared" si="691"/>
        <v>1.71</v>
      </c>
      <c r="F462" s="930">
        <f t="shared" si="691"/>
        <v>0.93</v>
      </c>
      <c r="G462" s="930">
        <f t="shared" si="691"/>
        <v>1.23</v>
      </c>
      <c r="H462" s="930">
        <f t="shared" si="691"/>
        <v>1.84</v>
      </c>
      <c r="I462" s="930">
        <f t="shared" si="691"/>
        <v>2.94</v>
      </c>
      <c r="J462" s="930">
        <f t="shared" si="691"/>
        <v>2.67</v>
      </c>
      <c r="K462" s="930">
        <f t="shared" si="691"/>
        <v>2.4500000000000002</v>
      </c>
      <c r="L462" s="930">
        <f t="shared" si="691"/>
        <v>2.39</v>
      </c>
      <c r="M462" s="978">
        <f t="shared" si="691"/>
        <v>2.23</v>
      </c>
      <c r="N462" s="978">
        <f t="shared" ref="N462:O462" si="692">ROUND(N457/N460,2)</f>
        <v>2.11</v>
      </c>
      <c r="O462" s="978">
        <f t="shared" si="692"/>
        <v>2</v>
      </c>
      <c r="P462" s="978">
        <f t="shared" ref="P462" si="693">ROUND(P457/P460,2)</f>
        <v>1.92</v>
      </c>
      <c r="Q462" s="2488">
        <f t="shared" ref="Q462" si="694">ROUND(Q457/Q460,2)</f>
        <v>10.54</v>
      </c>
    </row>
    <row r="463" spans="1:17" s="726" customFormat="1" ht="13.5" thickBot="1" x14ac:dyDescent="0.25">
      <c r="A463" s="2496"/>
      <c r="B463" s="2497"/>
      <c r="C463" s="2497"/>
      <c r="D463" s="2497"/>
      <c r="E463" s="2497"/>
      <c r="F463" s="2497"/>
      <c r="G463" s="2497"/>
      <c r="H463" s="2497"/>
      <c r="I463" s="2497"/>
      <c r="J463" s="2497"/>
      <c r="K463" s="2497"/>
      <c r="L463" s="2497"/>
      <c r="M463" s="2498"/>
      <c r="N463" s="2498"/>
      <c r="O463" s="2498"/>
      <c r="P463" s="2498"/>
      <c r="Q463" s="2499"/>
    </row>
    <row r="464" spans="1:17" ht="16.5" thickBot="1" x14ac:dyDescent="0.3">
      <c r="A464" s="2585" t="s">
        <v>5039</v>
      </c>
      <c r="B464" s="2586"/>
      <c r="C464" s="2586"/>
      <c r="D464" s="2586"/>
      <c r="E464" s="2586"/>
      <c r="F464" s="2586"/>
      <c r="G464" s="2586"/>
      <c r="H464" s="2586"/>
      <c r="I464" s="2586"/>
      <c r="J464" s="2586"/>
      <c r="K464" s="2586"/>
      <c r="L464" s="2586"/>
      <c r="M464" s="2586"/>
      <c r="N464" s="2586"/>
      <c r="O464" s="2586"/>
      <c r="P464" s="2586"/>
      <c r="Q464" s="2587"/>
    </row>
    <row r="465" spans="1:17" s="726" customFormat="1" ht="13.5" thickBot="1" x14ac:dyDescent="0.25">
      <c r="A465" s="837" t="str">
        <f t="shared" ref="A465:O465" si="695">A285</f>
        <v>Item</v>
      </c>
      <c r="B465" s="565" t="str">
        <f t="shared" si="695"/>
        <v>2012/13</v>
      </c>
      <c r="C465" s="565" t="str">
        <f t="shared" si="695"/>
        <v>2013/14</v>
      </c>
      <c r="D465" s="565" t="str">
        <f t="shared" si="695"/>
        <v>2014/15</v>
      </c>
      <c r="E465" s="565" t="str">
        <f t="shared" si="695"/>
        <v>2015/16</v>
      </c>
      <c r="F465" s="565" t="str">
        <f t="shared" si="695"/>
        <v>2016/17</v>
      </c>
      <c r="G465" s="565" t="str">
        <f t="shared" si="695"/>
        <v>2017/18</v>
      </c>
      <c r="H465" s="565" t="str">
        <f t="shared" si="695"/>
        <v>2018/19</v>
      </c>
      <c r="I465" s="565" t="str">
        <f t="shared" si="695"/>
        <v>2019/20</v>
      </c>
      <c r="J465" s="565" t="str">
        <f t="shared" si="695"/>
        <v>2020/21</v>
      </c>
      <c r="K465" s="565" t="str">
        <f t="shared" si="695"/>
        <v>2021/22</v>
      </c>
      <c r="L465" s="565" t="str">
        <f t="shared" si="695"/>
        <v>2022/23</v>
      </c>
      <c r="M465" s="966" t="str">
        <f t="shared" si="695"/>
        <v>2023/24</v>
      </c>
      <c r="N465" s="966" t="str">
        <f t="shared" si="695"/>
        <v>2024/25</v>
      </c>
      <c r="O465" s="966" t="str">
        <f t="shared" si="695"/>
        <v>2025/26</v>
      </c>
      <c r="P465" s="966" t="str">
        <f t="shared" ref="P465" si="696">P285</f>
        <v>2026/27</v>
      </c>
      <c r="Q465" s="2445" t="str">
        <f t="shared" ref="Q465" si="697">Q285</f>
        <v>2027/28</v>
      </c>
    </row>
    <row r="466" spans="1:17" x14ac:dyDescent="0.2">
      <c r="A466" s="841"/>
      <c r="B466" s="1483"/>
      <c r="C466" s="1483"/>
      <c r="D466" s="1483"/>
      <c r="E466" s="1483"/>
      <c r="F466" s="1483"/>
      <c r="G466" s="1483"/>
      <c r="H466" s="1483"/>
      <c r="I466" s="1483"/>
      <c r="J466" s="1483"/>
      <c r="K466" s="1483"/>
      <c r="L466" s="1483"/>
      <c r="M466" s="968"/>
      <c r="N466" s="968"/>
      <c r="O466" s="968"/>
      <c r="P466" s="968"/>
      <c r="Q466" s="2458"/>
    </row>
    <row r="467" spans="1:17" x14ac:dyDescent="0.2">
      <c r="A467" s="823" t="s">
        <v>4286</v>
      </c>
      <c r="B467" s="48"/>
      <c r="C467" s="48"/>
      <c r="D467" s="48"/>
      <c r="E467" s="48"/>
      <c r="F467" s="48"/>
      <c r="G467" s="48"/>
      <c r="H467" s="48"/>
      <c r="I467" s="48"/>
      <c r="J467" s="48"/>
      <c r="K467" s="48"/>
      <c r="L467" s="48"/>
      <c r="M467" s="679"/>
      <c r="N467" s="679"/>
      <c r="O467" s="679"/>
      <c r="P467" s="679"/>
      <c r="Q467" s="660"/>
    </row>
    <row r="468" spans="1:17" x14ac:dyDescent="0.2">
      <c r="A468" s="655" t="s">
        <v>4145</v>
      </c>
      <c r="B468" s="48">
        <v>3464</v>
      </c>
      <c r="C468" s="48">
        <f>(Summaries!B50)/1000</f>
        <v>5601</v>
      </c>
      <c r="D468" s="48">
        <f>(Summaries!C50)/1000</f>
        <v>5583.3</v>
      </c>
      <c r="E468" s="48">
        <f>(Summaries!D50)/1000</f>
        <v>6582.2</v>
      </c>
      <c r="F468" s="48">
        <f>(Summaries!E50)/1000</f>
        <v>6654.1</v>
      </c>
      <c r="G468" s="48">
        <f>(Summaries!F50)/1000</f>
        <v>6381.3</v>
      </c>
      <c r="H468" s="48">
        <f>(Summaries!G50)/1000</f>
        <v>6458.8</v>
      </c>
      <c r="I468" s="48">
        <f>(Summaries!H50)/1000</f>
        <v>6682.4</v>
      </c>
      <c r="J468" s="48">
        <f>(Summaries!I50)/1000</f>
        <v>5584.5</v>
      </c>
      <c r="K468" s="48">
        <f>(Summaries!J50)/1000</f>
        <v>6290.2</v>
      </c>
      <c r="L468" s="48">
        <f>(Summaries!K50)/1000</f>
        <v>6027.1</v>
      </c>
      <c r="M468" s="679">
        <f>(Summaries!L50)/1000</f>
        <v>5493.8</v>
      </c>
      <c r="N468" s="679">
        <f>(Summaries!M50)/1000</f>
        <v>5425</v>
      </c>
      <c r="O468" s="679">
        <f>(Summaries!N50)/1000</f>
        <v>4999.3999999999996</v>
      </c>
      <c r="P468" s="679">
        <f>(Summaries!O50)/1000</f>
        <v>5200.3999999999996</v>
      </c>
      <c r="Q468" s="660">
        <f>(Summaries!P50)/1000</f>
        <v>5462.3</v>
      </c>
    </row>
    <row r="469" spans="1:17" x14ac:dyDescent="0.2">
      <c r="A469" s="655" t="s">
        <v>4146</v>
      </c>
      <c r="B469" s="48">
        <v>5254</v>
      </c>
      <c r="C469" s="48">
        <v>6910</v>
      </c>
      <c r="D469" s="48">
        <f>(Summaries!C19)/1000</f>
        <v>6561.4</v>
      </c>
      <c r="E469" s="48">
        <f>(Summaries!D19)/1000</f>
        <v>5993.6</v>
      </c>
      <c r="F469" s="48">
        <f>(Summaries!E19)/1000</f>
        <v>5523</v>
      </c>
      <c r="G469" s="48">
        <f>(Summaries!F19)/1000</f>
        <v>5620.4</v>
      </c>
      <c r="H469" s="48">
        <f>(Summaries!G19)/1000</f>
        <v>5173.3</v>
      </c>
      <c r="I469" s="48">
        <f>(Summaries!H19)/1000</f>
        <v>4892.6000000000004</v>
      </c>
      <c r="J469" s="48">
        <f>(Summaries!I19)/1000</f>
        <v>4490.5</v>
      </c>
      <c r="K469" s="48">
        <f>(Summaries!J19)/1000</f>
        <v>4470.6000000000004</v>
      </c>
      <c r="L469" s="48">
        <f>(Summaries!K19)/1000</f>
        <v>4109.8</v>
      </c>
      <c r="M469" s="679">
        <f>(Summaries!L19)/1000</f>
        <v>3790.2</v>
      </c>
      <c r="N469" s="679">
        <f>(Summaries!M19)/1000</f>
        <v>3490.9</v>
      </c>
      <c r="O469" s="679">
        <f>(Summaries!N19)/1000</f>
        <v>3212</v>
      </c>
      <c r="P469" s="679">
        <f>(Summaries!O19)/1000</f>
        <v>2952.2</v>
      </c>
      <c r="Q469" s="660">
        <f>(Summaries!P19)/1000</f>
        <v>2690.3</v>
      </c>
    </row>
    <row r="470" spans="1:17" x14ac:dyDescent="0.2">
      <c r="A470" s="657" t="s">
        <v>2811</v>
      </c>
      <c r="B470" s="944">
        <f t="shared" ref="B470:M470" si="698">SUM(B468:B469)</f>
        <v>8718</v>
      </c>
      <c r="C470" s="944">
        <f t="shared" si="698"/>
        <v>12511</v>
      </c>
      <c r="D470" s="944">
        <f t="shared" si="698"/>
        <v>12144.7</v>
      </c>
      <c r="E470" s="944">
        <f t="shared" si="698"/>
        <v>12575.8</v>
      </c>
      <c r="F470" s="944">
        <f t="shared" si="698"/>
        <v>12177.1</v>
      </c>
      <c r="G470" s="944">
        <f t="shared" si="698"/>
        <v>12001.7</v>
      </c>
      <c r="H470" s="944">
        <f t="shared" si="698"/>
        <v>11632.1</v>
      </c>
      <c r="I470" s="944">
        <f t="shared" si="698"/>
        <v>11575</v>
      </c>
      <c r="J470" s="944">
        <f t="shared" si="698"/>
        <v>10075</v>
      </c>
      <c r="K470" s="944">
        <f t="shared" si="698"/>
        <v>10760.8</v>
      </c>
      <c r="L470" s="944">
        <f t="shared" si="698"/>
        <v>10136.900000000001</v>
      </c>
      <c r="M470" s="981">
        <f t="shared" si="698"/>
        <v>9284</v>
      </c>
      <c r="N470" s="981">
        <f t="shared" ref="N470:O470" si="699">SUM(N468:N469)</f>
        <v>8915.9</v>
      </c>
      <c r="O470" s="981">
        <f t="shared" si="699"/>
        <v>8211.4</v>
      </c>
      <c r="P470" s="981">
        <f t="shared" ref="P470" si="700">SUM(P468:P469)</f>
        <v>8152.5999999999995</v>
      </c>
      <c r="Q470" s="2470">
        <f t="shared" ref="Q470" si="701">SUM(Q468:Q469)</f>
        <v>8152.6</v>
      </c>
    </row>
    <row r="471" spans="1:17" x14ac:dyDescent="0.2">
      <c r="A471" s="655" t="s">
        <v>4276</v>
      </c>
      <c r="B471" s="48">
        <f t="shared" ref="B471:M471" si="702">B351</f>
        <v>114891</v>
      </c>
      <c r="C471" s="48">
        <f t="shared" si="702"/>
        <v>84958.099999999991</v>
      </c>
      <c r="D471" s="48">
        <f t="shared" si="702"/>
        <v>90144.2</v>
      </c>
      <c r="E471" s="48">
        <f t="shared" si="702"/>
        <v>92109.9</v>
      </c>
      <c r="F471" s="48">
        <f t="shared" si="702"/>
        <v>99533.5</v>
      </c>
      <c r="G471" s="48">
        <f t="shared" si="702"/>
        <v>101066.5</v>
      </c>
      <c r="H471" s="48">
        <f t="shared" si="702"/>
        <v>97300.4</v>
      </c>
      <c r="I471" s="48">
        <f t="shared" si="702"/>
        <v>97019.3</v>
      </c>
      <c r="J471" s="48">
        <f t="shared" si="702"/>
        <v>104362.7</v>
      </c>
      <c r="K471" s="48">
        <f t="shared" si="702"/>
        <v>107693</v>
      </c>
      <c r="L471" s="48">
        <f t="shared" si="702"/>
        <v>101636.9</v>
      </c>
      <c r="M471" s="679">
        <f t="shared" si="702"/>
        <v>105024.3</v>
      </c>
      <c r="N471" s="679">
        <f t="shared" ref="N471:O471" si="703">N351</f>
        <v>107003.9</v>
      </c>
      <c r="O471" s="679">
        <f t="shared" si="703"/>
        <v>110592.2</v>
      </c>
      <c r="P471" s="679">
        <f t="shared" ref="P471" si="704">P351</f>
        <v>113007.6</v>
      </c>
      <c r="Q471" s="660">
        <f t="shared" ref="Q471" si="705">Q351</f>
        <v>116921.4</v>
      </c>
    </row>
    <row r="472" spans="1:17" x14ac:dyDescent="0.2">
      <c r="A472" s="655" t="s">
        <v>4291</v>
      </c>
      <c r="B472" s="48">
        <f t="shared" ref="B472:B474" si="706">B352</f>
        <v>0</v>
      </c>
      <c r="C472" s="48">
        <f>C352+C508</f>
        <v>-12</v>
      </c>
      <c r="D472" s="48">
        <f t="shared" ref="D472:M472" si="707">D352</f>
        <v>0</v>
      </c>
      <c r="E472" s="48">
        <f t="shared" si="707"/>
        <v>0</v>
      </c>
      <c r="F472" s="48">
        <f t="shared" si="707"/>
        <v>0</v>
      </c>
      <c r="G472" s="48">
        <f t="shared" si="707"/>
        <v>0</v>
      </c>
      <c r="H472" s="48">
        <f t="shared" si="707"/>
        <v>0</v>
      </c>
      <c r="I472" s="48">
        <f t="shared" si="707"/>
        <v>0</v>
      </c>
      <c r="J472" s="48">
        <f t="shared" si="707"/>
        <v>0</v>
      </c>
      <c r="K472" s="48">
        <f t="shared" si="707"/>
        <v>0</v>
      </c>
      <c r="L472" s="48">
        <f t="shared" si="707"/>
        <v>0</v>
      </c>
      <c r="M472" s="161">
        <f t="shared" si="707"/>
        <v>0</v>
      </c>
      <c r="N472" s="161">
        <f t="shared" ref="N472:O472" si="708">N352</f>
        <v>0</v>
      </c>
      <c r="O472" s="161">
        <f t="shared" si="708"/>
        <v>0</v>
      </c>
      <c r="P472" s="161">
        <f t="shared" ref="P472" si="709">P352</f>
        <v>0</v>
      </c>
      <c r="Q472" s="51">
        <f t="shared" ref="Q472" si="710">Q352</f>
        <v>0</v>
      </c>
    </row>
    <row r="473" spans="1:17" x14ac:dyDescent="0.2">
      <c r="A473" s="655" t="s">
        <v>4290</v>
      </c>
      <c r="B473" s="48">
        <f t="shared" si="706"/>
        <v>-414</v>
      </c>
      <c r="C473" s="48">
        <f>C353</f>
        <v>-333</v>
      </c>
      <c r="D473" s="48">
        <f t="shared" ref="D473:M473" si="711">D353</f>
        <v>0</v>
      </c>
      <c r="E473" s="48">
        <f t="shared" si="711"/>
        <v>0</v>
      </c>
      <c r="F473" s="48">
        <f t="shared" si="711"/>
        <v>0</v>
      </c>
      <c r="G473" s="48">
        <f t="shared" si="711"/>
        <v>0</v>
      </c>
      <c r="H473" s="48">
        <f t="shared" si="711"/>
        <v>0</v>
      </c>
      <c r="I473" s="48">
        <f t="shared" si="711"/>
        <v>0</v>
      </c>
      <c r="J473" s="48">
        <f t="shared" si="711"/>
        <v>0</v>
      </c>
      <c r="K473" s="48">
        <f t="shared" si="711"/>
        <v>0</v>
      </c>
      <c r="L473" s="48">
        <f t="shared" si="711"/>
        <v>0</v>
      </c>
      <c r="M473" s="161">
        <f t="shared" si="711"/>
        <v>0</v>
      </c>
      <c r="N473" s="161">
        <f t="shared" ref="N473:O473" si="712">N353</f>
        <v>0</v>
      </c>
      <c r="O473" s="161">
        <f t="shared" si="712"/>
        <v>0</v>
      </c>
      <c r="P473" s="161">
        <f t="shared" ref="P473" si="713">P353</f>
        <v>0</v>
      </c>
      <c r="Q473" s="51">
        <f t="shared" ref="Q473" si="714">Q353</f>
        <v>0</v>
      </c>
    </row>
    <row r="474" spans="1:17" x14ac:dyDescent="0.2">
      <c r="A474" s="655" t="s">
        <v>4285</v>
      </c>
      <c r="B474" s="48">
        <f t="shared" si="706"/>
        <v>-39549</v>
      </c>
      <c r="C474" s="48">
        <f>C354</f>
        <v>-13779.5</v>
      </c>
      <c r="D474" s="48">
        <f t="shared" ref="D474:M474" si="715">D354</f>
        <v>-15880.8</v>
      </c>
      <c r="E474" s="48">
        <f t="shared" si="715"/>
        <v>-15014</v>
      </c>
      <c r="F474" s="48">
        <f t="shared" si="715"/>
        <v>-12312.6</v>
      </c>
      <c r="G474" s="48">
        <f t="shared" si="715"/>
        <v>-18930.3</v>
      </c>
      <c r="H474" s="48">
        <f t="shared" si="715"/>
        <v>-14943.6</v>
      </c>
      <c r="I474" s="48">
        <f t="shared" si="715"/>
        <v>-11790.3</v>
      </c>
      <c r="J474" s="48">
        <f t="shared" si="715"/>
        <v>-18067.5</v>
      </c>
      <c r="K474" s="48">
        <f t="shared" si="715"/>
        <v>-18499.599999999999</v>
      </c>
      <c r="L474" s="48">
        <f t="shared" si="715"/>
        <v>-10941.5</v>
      </c>
      <c r="M474" s="651">
        <f t="shared" si="715"/>
        <v>-11193.2</v>
      </c>
      <c r="N474" s="812">
        <f t="shared" ref="N474:O474" si="716">N354</f>
        <v>-11458.9</v>
      </c>
      <c r="O474" s="812">
        <f t="shared" si="716"/>
        <v>-11729.4</v>
      </c>
      <c r="P474" s="812">
        <f t="shared" ref="P474" si="717">P354</f>
        <v>-12005.7</v>
      </c>
      <c r="Q474" s="2476">
        <f t="shared" ref="Q474" si="718">Q354</f>
        <v>-12287.1</v>
      </c>
    </row>
    <row r="475" spans="1:17" x14ac:dyDescent="0.2">
      <c r="A475" s="657" t="s">
        <v>2812</v>
      </c>
      <c r="B475" s="944">
        <f t="shared" ref="B475:M475" si="719">SUM(B471:B474)</f>
        <v>74928</v>
      </c>
      <c r="C475" s="944">
        <f t="shared" si="719"/>
        <v>70833.599999999991</v>
      </c>
      <c r="D475" s="944">
        <f t="shared" si="719"/>
        <v>74263.399999999994</v>
      </c>
      <c r="E475" s="944">
        <f t="shared" si="719"/>
        <v>77095.899999999994</v>
      </c>
      <c r="F475" s="944">
        <f t="shared" si="719"/>
        <v>87220.9</v>
      </c>
      <c r="G475" s="944">
        <f t="shared" si="719"/>
        <v>82136.2</v>
      </c>
      <c r="H475" s="944">
        <f t="shared" si="719"/>
        <v>82356.799999999988</v>
      </c>
      <c r="I475" s="944">
        <f t="shared" si="719"/>
        <v>85229</v>
      </c>
      <c r="J475" s="944">
        <f t="shared" si="719"/>
        <v>86295.2</v>
      </c>
      <c r="K475" s="944">
        <f t="shared" si="719"/>
        <v>89193.4</v>
      </c>
      <c r="L475" s="944">
        <f t="shared" si="719"/>
        <v>90695.4</v>
      </c>
      <c r="M475" s="981">
        <f t="shared" si="719"/>
        <v>93831.1</v>
      </c>
      <c r="N475" s="981">
        <f t="shared" ref="N475:O475" si="720">SUM(N471:N474)</f>
        <v>95545</v>
      </c>
      <c r="O475" s="981">
        <f t="shared" si="720"/>
        <v>98862.8</v>
      </c>
      <c r="P475" s="981">
        <f t="shared" ref="P475" si="721">SUM(P471:P474)</f>
        <v>101001.90000000001</v>
      </c>
      <c r="Q475" s="2470">
        <f t="shared" ref="Q475" si="722">SUM(Q471:Q474)</f>
        <v>104634.29999999999</v>
      </c>
    </row>
    <row r="476" spans="1:17" s="1250" customFormat="1" x14ac:dyDescent="0.2">
      <c r="A476" s="657" t="s">
        <v>4292</v>
      </c>
      <c r="B476" s="937">
        <f t="shared" ref="B476:M476" si="723">B470/B475</f>
        <v>0.11635169762972454</v>
      </c>
      <c r="C476" s="937">
        <f t="shared" si="723"/>
        <v>0.17662521741094625</v>
      </c>
      <c r="D476" s="937">
        <f t="shared" si="723"/>
        <v>0.16353546969301166</v>
      </c>
      <c r="E476" s="937">
        <f t="shared" si="723"/>
        <v>0.16311892072081655</v>
      </c>
      <c r="F476" s="937">
        <f t="shared" si="723"/>
        <v>0.13961218010820803</v>
      </c>
      <c r="G476" s="937">
        <f t="shared" si="723"/>
        <v>0.14611949420596523</v>
      </c>
      <c r="H476" s="937">
        <f t="shared" si="723"/>
        <v>0.14124031045402446</v>
      </c>
      <c r="I476" s="937">
        <f t="shared" si="723"/>
        <v>0.13581058090556031</v>
      </c>
      <c r="J476" s="937">
        <f t="shared" si="723"/>
        <v>0.11675041021980366</v>
      </c>
      <c r="K476" s="937">
        <f t="shared" si="723"/>
        <v>0.12064569800007624</v>
      </c>
      <c r="L476" s="937">
        <f t="shared" si="723"/>
        <v>0.11176862332599009</v>
      </c>
      <c r="M476" s="979">
        <f t="shared" si="723"/>
        <v>9.8943740401636546E-2</v>
      </c>
      <c r="N476" s="979">
        <f t="shared" ref="N476:O476" si="724">N470/N475</f>
        <v>9.3316238421686112E-2</v>
      </c>
      <c r="O476" s="979">
        <f t="shared" si="724"/>
        <v>8.3058541736628938E-2</v>
      </c>
      <c r="P476" s="979">
        <f t="shared" ref="P476" si="725">P470/P475</f>
        <v>8.0717293437054138E-2</v>
      </c>
      <c r="Q476" s="2468">
        <f t="shared" ref="Q476" si="726">Q470/Q475</f>
        <v>7.7915176954402157E-2</v>
      </c>
    </row>
    <row r="477" spans="1:17" x14ac:dyDescent="0.2">
      <c r="A477" s="657"/>
      <c r="B477" s="839"/>
      <c r="C477" s="839"/>
      <c r="D477" s="839"/>
      <c r="E477" s="839"/>
      <c r="F477" s="839"/>
      <c r="G477" s="839"/>
      <c r="H477" s="839"/>
      <c r="I477" s="839"/>
      <c r="J477" s="839"/>
      <c r="K477" s="839"/>
      <c r="L477" s="839"/>
      <c r="M477" s="967"/>
      <c r="N477" s="967"/>
      <c r="O477" s="967"/>
      <c r="P477" s="967"/>
      <c r="Q477" s="2460"/>
    </row>
    <row r="478" spans="1:17" x14ac:dyDescent="0.2">
      <c r="A478" s="841"/>
      <c r="B478" s="1483"/>
      <c r="C478" s="1483"/>
      <c r="D478" s="1483"/>
      <c r="E478" s="1483"/>
      <c r="F478" s="1483"/>
      <c r="G478" s="1483"/>
      <c r="H478" s="1483"/>
      <c r="I478" s="1483"/>
      <c r="J478" s="1483"/>
      <c r="K478" s="1483"/>
      <c r="L478" s="1483"/>
      <c r="M478" s="968"/>
      <c r="N478" s="968"/>
      <c r="O478" s="968"/>
      <c r="P478" s="968"/>
      <c r="Q478" s="2458"/>
    </row>
    <row r="479" spans="1:17" s="726" customFormat="1" x14ac:dyDescent="0.2">
      <c r="A479" s="823" t="s">
        <v>4287</v>
      </c>
      <c r="B479" s="640"/>
      <c r="C479" s="640"/>
      <c r="D479" s="640"/>
      <c r="E479" s="640"/>
      <c r="F479" s="640"/>
      <c r="G479" s="640"/>
      <c r="H479" s="640"/>
      <c r="I479" s="640"/>
      <c r="J479" s="640"/>
      <c r="K479" s="640"/>
      <c r="L479" s="640"/>
      <c r="M479" s="987"/>
      <c r="N479" s="987"/>
      <c r="O479" s="987"/>
      <c r="P479" s="987"/>
      <c r="Q479" s="947"/>
    </row>
    <row r="480" spans="1:17" s="726" customFormat="1" x14ac:dyDescent="0.2">
      <c r="A480" s="655" t="s">
        <v>4145</v>
      </c>
      <c r="B480" s="48">
        <v>2475</v>
      </c>
      <c r="C480" s="48">
        <f>('Debt-Gen'!E66)/1000</f>
        <v>3216.2</v>
      </c>
      <c r="D480" s="48">
        <f>('Debt-Gen'!G66)/1000</f>
        <v>3395.4</v>
      </c>
      <c r="E480" s="557">
        <f>('Debt-Gen'!I66)/1000</f>
        <v>3788.9</v>
      </c>
      <c r="F480" s="557">
        <f>('Debt-Gen'!K66)/1000</f>
        <v>3696.2</v>
      </c>
      <c r="G480" s="557">
        <f>('Debt-Gen'!M66)/1000</f>
        <v>3285.7</v>
      </c>
      <c r="H480" s="557">
        <f>('Debt-Gen'!O66)/1000</f>
        <v>3324.8</v>
      </c>
      <c r="I480" s="557">
        <f>('Debt-Gen'!Q66)/1000</f>
        <v>3402.1</v>
      </c>
      <c r="J480" s="557">
        <f>('Debt-Gen'!S66)/1000</f>
        <v>3130.9</v>
      </c>
      <c r="K480" s="557">
        <f>('Debt-Gen'!U66)/1000</f>
        <v>3636.1</v>
      </c>
      <c r="L480" s="557">
        <f>('Debt-Gen'!W66)/1000</f>
        <v>3183</v>
      </c>
      <c r="M480" s="977">
        <f>('Debt-Gen'!Y66)/1000</f>
        <v>2456.8000000000002</v>
      </c>
      <c r="N480" s="977">
        <f>('Debt-Gen'!AA66)/1000</f>
        <v>2190</v>
      </c>
      <c r="O480" s="977">
        <f>('Debt-Gen'!AC66)/1000</f>
        <v>1569.4</v>
      </c>
      <c r="P480" s="977">
        <f>('Debt-Gen'!AE66)/1000</f>
        <v>1573.4</v>
      </c>
      <c r="Q480" s="2466">
        <f>('Debt-Gen'!AG66)/1000</f>
        <v>1637.3</v>
      </c>
    </row>
    <row r="481" spans="1:17" s="726" customFormat="1" x14ac:dyDescent="0.2">
      <c r="A481" s="655" t="s">
        <v>4146</v>
      </c>
      <c r="B481" s="48">
        <v>889</v>
      </c>
      <c r="C481" s="48">
        <v>1749</v>
      </c>
      <c r="D481" s="48">
        <f>Summaries!R19/1000</f>
        <v>1564.6</v>
      </c>
      <c r="E481" s="48">
        <f>Summaries!S19/1000</f>
        <v>1334.3</v>
      </c>
      <c r="F481" s="48">
        <f>Summaries!T19/1000</f>
        <v>1074.4000000000001</v>
      </c>
      <c r="G481" s="48">
        <f>Summaries!U19/1000</f>
        <v>1370.5</v>
      </c>
      <c r="H481" s="48">
        <f>Summaries!V19/1000</f>
        <v>1295</v>
      </c>
      <c r="I481" s="48">
        <f>Summaries!W19/1000</f>
        <v>1225.5999999999999</v>
      </c>
      <c r="J481" s="48">
        <f>Summaries!X19/1000</f>
        <v>1050.7</v>
      </c>
      <c r="K481" s="48">
        <f>Summaries!Y19/1000</f>
        <v>1231.4000000000001</v>
      </c>
      <c r="L481" s="48">
        <f>Summaries!Z19/1000</f>
        <v>1060.5999999999999</v>
      </c>
      <c r="M481" s="977">
        <f>Summaries!AA19/1000</f>
        <v>933.9</v>
      </c>
      <c r="N481" s="977">
        <f>Summaries!AB19/1000</f>
        <v>832.6</v>
      </c>
      <c r="O481" s="977">
        <f>Summaries!AC19/1000</f>
        <v>748.7</v>
      </c>
      <c r="P481" s="977">
        <f>Summaries!AD19/1000</f>
        <v>685.9</v>
      </c>
      <c r="Q481" s="2466">
        <f>Summaries!AE19/1000</f>
        <v>622</v>
      </c>
    </row>
    <row r="482" spans="1:17" s="285" customFormat="1" x14ac:dyDescent="0.2">
      <c r="A482" s="657" t="s">
        <v>2811</v>
      </c>
      <c r="B482" s="562">
        <f t="shared" ref="B482:M482" si="727">SUM(B480:B481)</f>
        <v>3364</v>
      </c>
      <c r="C482" s="562">
        <f t="shared" si="727"/>
        <v>4965.2</v>
      </c>
      <c r="D482" s="562">
        <f t="shared" si="727"/>
        <v>4960</v>
      </c>
      <c r="E482" s="562">
        <f t="shared" si="727"/>
        <v>5123.2</v>
      </c>
      <c r="F482" s="562">
        <f t="shared" si="727"/>
        <v>4770.6000000000004</v>
      </c>
      <c r="G482" s="562">
        <f t="shared" si="727"/>
        <v>4656.2</v>
      </c>
      <c r="H482" s="562">
        <f t="shared" si="727"/>
        <v>4619.8</v>
      </c>
      <c r="I482" s="562">
        <f t="shared" si="727"/>
        <v>4627.7</v>
      </c>
      <c r="J482" s="562">
        <f t="shared" si="727"/>
        <v>4181.6000000000004</v>
      </c>
      <c r="K482" s="562">
        <f t="shared" si="727"/>
        <v>4867.5</v>
      </c>
      <c r="L482" s="562">
        <f t="shared" si="727"/>
        <v>4243.6000000000004</v>
      </c>
      <c r="M482" s="982">
        <f t="shared" si="727"/>
        <v>3390.7000000000003</v>
      </c>
      <c r="N482" s="982">
        <f t="shared" ref="N482:O482" si="728">SUM(N480:N481)</f>
        <v>3022.6</v>
      </c>
      <c r="O482" s="982">
        <f t="shared" si="728"/>
        <v>2318.1000000000004</v>
      </c>
      <c r="P482" s="982">
        <f t="shared" ref="P482" si="729">SUM(P480:P481)</f>
        <v>2259.3000000000002</v>
      </c>
      <c r="Q482" s="2475">
        <f t="shared" ref="Q482" si="730">SUM(Q480:Q481)</f>
        <v>2259.3000000000002</v>
      </c>
    </row>
    <row r="483" spans="1:17" s="726" customFormat="1" x14ac:dyDescent="0.2">
      <c r="A483" s="655" t="s">
        <v>4276</v>
      </c>
      <c r="B483" s="659">
        <f t="shared" ref="B483:M483" si="731">B364</f>
        <v>88988</v>
      </c>
      <c r="C483" s="659">
        <f t="shared" si="731"/>
        <v>56961</v>
      </c>
      <c r="D483" s="659">
        <f t="shared" si="731"/>
        <v>60802.2</v>
      </c>
      <c r="E483" s="659">
        <f t="shared" si="731"/>
        <v>61040.1</v>
      </c>
      <c r="F483" s="659">
        <f t="shared" si="731"/>
        <v>68045</v>
      </c>
      <c r="G483" s="659">
        <f t="shared" si="731"/>
        <v>68149.2</v>
      </c>
      <c r="H483" s="659">
        <f t="shared" si="731"/>
        <v>63511</v>
      </c>
      <c r="I483" s="659">
        <f t="shared" si="731"/>
        <v>62534</v>
      </c>
      <c r="J483" s="659">
        <f t="shared" si="731"/>
        <v>69057.5</v>
      </c>
      <c r="K483" s="659">
        <f t="shared" si="731"/>
        <v>71397.100000000006</v>
      </c>
      <c r="L483" s="659">
        <f t="shared" si="731"/>
        <v>64501.8</v>
      </c>
      <c r="M483" s="679">
        <f t="shared" si="731"/>
        <v>67003.8</v>
      </c>
      <c r="N483" s="679">
        <f t="shared" ref="N483:O483" si="732">N364</f>
        <v>67997.7</v>
      </c>
      <c r="O483" s="679">
        <f t="shared" si="732"/>
        <v>70592.399999999994</v>
      </c>
      <c r="P483" s="679">
        <f t="shared" ref="P483" si="733">P364</f>
        <v>71803.899999999994</v>
      </c>
      <c r="Q483" s="660">
        <f t="shared" ref="Q483" si="734">Q364</f>
        <v>74469.5</v>
      </c>
    </row>
    <row r="484" spans="1:17" x14ac:dyDescent="0.2">
      <c r="A484" s="655" t="s">
        <v>4291</v>
      </c>
      <c r="B484" s="48">
        <f t="shared" ref="B484:M484" si="735">B365</f>
        <v>0</v>
      </c>
      <c r="C484" s="48">
        <f t="shared" si="735"/>
        <v>0</v>
      </c>
      <c r="D484" s="48">
        <f t="shared" si="735"/>
        <v>0</v>
      </c>
      <c r="E484" s="48">
        <f t="shared" si="735"/>
        <v>0</v>
      </c>
      <c r="F484" s="48">
        <f t="shared" si="735"/>
        <v>0</v>
      </c>
      <c r="G484" s="48">
        <f t="shared" si="735"/>
        <v>0</v>
      </c>
      <c r="H484" s="48">
        <f t="shared" si="735"/>
        <v>0</v>
      </c>
      <c r="I484" s="48">
        <f t="shared" si="735"/>
        <v>0</v>
      </c>
      <c r="J484" s="48">
        <f t="shared" si="735"/>
        <v>0</v>
      </c>
      <c r="K484" s="48">
        <f t="shared" si="735"/>
        <v>0</v>
      </c>
      <c r="L484" s="48">
        <f t="shared" si="735"/>
        <v>0</v>
      </c>
      <c r="M484" s="161">
        <f t="shared" si="735"/>
        <v>0</v>
      </c>
      <c r="N484" s="161">
        <f t="shared" ref="N484:O484" si="736">N365</f>
        <v>0</v>
      </c>
      <c r="O484" s="161">
        <f t="shared" si="736"/>
        <v>0</v>
      </c>
      <c r="P484" s="161">
        <f t="shared" ref="P484" si="737">P365</f>
        <v>0</v>
      </c>
      <c r="Q484" s="51">
        <f t="shared" ref="Q484" si="738">Q365</f>
        <v>0</v>
      </c>
    </row>
    <row r="485" spans="1:17" x14ac:dyDescent="0.2">
      <c r="A485" s="655" t="s">
        <v>4290</v>
      </c>
      <c r="B485" s="48">
        <f t="shared" ref="B485:M485" si="739">B366</f>
        <v>-414</v>
      </c>
      <c r="C485" s="48">
        <f t="shared" si="739"/>
        <v>-333</v>
      </c>
      <c r="D485" s="48">
        <f t="shared" si="739"/>
        <v>0</v>
      </c>
      <c r="E485" s="48">
        <f t="shared" si="739"/>
        <v>0</v>
      </c>
      <c r="F485" s="48">
        <f t="shared" si="739"/>
        <v>0</v>
      </c>
      <c r="G485" s="48">
        <f t="shared" si="739"/>
        <v>0</v>
      </c>
      <c r="H485" s="48">
        <f t="shared" si="739"/>
        <v>0</v>
      </c>
      <c r="I485" s="48">
        <f t="shared" si="739"/>
        <v>0</v>
      </c>
      <c r="J485" s="48">
        <f t="shared" si="739"/>
        <v>0</v>
      </c>
      <c r="K485" s="48">
        <f t="shared" si="739"/>
        <v>0</v>
      </c>
      <c r="L485" s="48">
        <f t="shared" si="739"/>
        <v>0</v>
      </c>
      <c r="M485" s="161">
        <f t="shared" si="739"/>
        <v>0</v>
      </c>
      <c r="N485" s="161">
        <f t="shared" ref="N485:O485" si="740">N366</f>
        <v>0</v>
      </c>
      <c r="O485" s="161">
        <f t="shared" si="740"/>
        <v>0</v>
      </c>
      <c r="P485" s="161">
        <f t="shared" ref="P485" si="741">P366</f>
        <v>0</v>
      </c>
      <c r="Q485" s="51">
        <f t="shared" ref="Q485" si="742">Q366</f>
        <v>0</v>
      </c>
    </row>
    <row r="486" spans="1:17" s="726" customFormat="1" x14ac:dyDescent="0.2">
      <c r="A486" s="655" t="s">
        <v>4285</v>
      </c>
      <c r="B486" s="659">
        <f t="shared" ref="B486:M486" si="743">B367</f>
        <v>-37059</v>
      </c>
      <c r="C486" s="659">
        <f t="shared" si="743"/>
        <v>-10914</v>
      </c>
      <c r="D486" s="659">
        <f t="shared" si="743"/>
        <v>-12768</v>
      </c>
      <c r="E486" s="659">
        <f t="shared" si="743"/>
        <v>-11484.1</v>
      </c>
      <c r="F486" s="659">
        <f t="shared" si="743"/>
        <v>-11107</v>
      </c>
      <c r="G486" s="659">
        <f t="shared" si="743"/>
        <v>-16009.8</v>
      </c>
      <c r="H486" s="659">
        <f t="shared" si="743"/>
        <v>-11968.1</v>
      </c>
      <c r="I486" s="659">
        <f t="shared" si="743"/>
        <v>-8754.7999999999993</v>
      </c>
      <c r="J486" s="659">
        <f t="shared" si="743"/>
        <v>-14972</v>
      </c>
      <c r="K486" s="659">
        <f t="shared" si="743"/>
        <v>-15344.1</v>
      </c>
      <c r="L486" s="659">
        <f t="shared" si="743"/>
        <v>-7726</v>
      </c>
      <c r="M486" s="659">
        <f t="shared" si="743"/>
        <v>-7917.7</v>
      </c>
      <c r="N486" s="679">
        <f t="shared" ref="N486:O486" si="744">N367</f>
        <v>-8113.4</v>
      </c>
      <c r="O486" s="679">
        <f t="shared" si="744"/>
        <v>-8313.9</v>
      </c>
      <c r="P486" s="679">
        <f t="shared" ref="P486" si="745">P367</f>
        <v>-8520.2000000000007</v>
      </c>
      <c r="Q486" s="660">
        <f t="shared" ref="Q486" si="746">Q367</f>
        <v>-8731.6</v>
      </c>
    </row>
    <row r="487" spans="1:17" s="285" customFormat="1" x14ac:dyDescent="0.2">
      <c r="A487" s="657" t="s">
        <v>2812</v>
      </c>
      <c r="B487" s="731">
        <f t="shared" ref="B487:M487" si="747">SUM(B483:B486)</f>
        <v>51515</v>
      </c>
      <c r="C487" s="731">
        <f t="shared" si="747"/>
        <v>45714</v>
      </c>
      <c r="D487" s="731">
        <f t="shared" si="747"/>
        <v>48034.2</v>
      </c>
      <c r="E487" s="731">
        <f t="shared" si="747"/>
        <v>49556</v>
      </c>
      <c r="F487" s="731">
        <f t="shared" si="747"/>
        <v>56938</v>
      </c>
      <c r="G487" s="731">
        <f t="shared" si="747"/>
        <v>52139.399999999994</v>
      </c>
      <c r="H487" s="731">
        <f t="shared" si="747"/>
        <v>51542.9</v>
      </c>
      <c r="I487" s="731">
        <f t="shared" si="747"/>
        <v>53779.199999999997</v>
      </c>
      <c r="J487" s="731">
        <f t="shared" si="747"/>
        <v>54085.5</v>
      </c>
      <c r="K487" s="731">
        <f t="shared" si="747"/>
        <v>56053.000000000007</v>
      </c>
      <c r="L487" s="731">
        <f t="shared" si="747"/>
        <v>56775.8</v>
      </c>
      <c r="M487" s="981">
        <f t="shared" si="747"/>
        <v>59086.100000000006</v>
      </c>
      <c r="N487" s="981">
        <f t="shared" ref="N487:O487" si="748">SUM(N483:N486)</f>
        <v>59884.299999999996</v>
      </c>
      <c r="O487" s="981">
        <f t="shared" si="748"/>
        <v>62278.499999999993</v>
      </c>
      <c r="P487" s="981">
        <f t="shared" ref="P487" si="749">SUM(P483:P486)</f>
        <v>63283.7</v>
      </c>
      <c r="Q487" s="2470">
        <f>SUM(Q483:Q486)</f>
        <v>65737.899999999994</v>
      </c>
    </row>
    <row r="488" spans="1:17" s="246" customFormat="1" x14ac:dyDescent="0.2">
      <c r="A488" s="657" t="s">
        <v>4293</v>
      </c>
      <c r="B488" s="937">
        <f t="shared" ref="B488:M488" si="750">B482/B487</f>
        <v>6.5301368533436863E-2</v>
      </c>
      <c r="C488" s="937">
        <f t="shared" si="750"/>
        <v>0.10861442884018024</v>
      </c>
      <c r="D488" s="937">
        <f>D482/D487</f>
        <v>0.10325976075379625</v>
      </c>
      <c r="E488" s="937">
        <f t="shared" si="750"/>
        <v>0.10338203244813947</v>
      </c>
      <c r="F488" s="937">
        <f t="shared" si="750"/>
        <v>8.37858723523833E-2</v>
      </c>
      <c r="G488" s="937">
        <f t="shared" si="750"/>
        <v>8.9302907206450413E-2</v>
      </c>
      <c r="H488" s="937">
        <f t="shared" si="750"/>
        <v>8.9630191549175536E-2</v>
      </c>
      <c r="I488" s="937">
        <f t="shared" si="750"/>
        <v>8.6049997024872066E-2</v>
      </c>
      <c r="J488" s="937">
        <f t="shared" si="750"/>
        <v>7.7314622218524379E-2</v>
      </c>
      <c r="K488" s="937">
        <f t="shared" si="750"/>
        <v>8.6837457406383239E-2</v>
      </c>
      <c r="L488" s="937">
        <f t="shared" si="750"/>
        <v>7.4743112382388274E-2</v>
      </c>
      <c r="M488" s="979">
        <f t="shared" si="750"/>
        <v>5.738574724004461E-2</v>
      </c>
      <c r="N488" s="979">
        <f t="shared" ref="N488:O488" si="751">N482/N487</f>
        <v>5.0473997358239139E-2</v>
      </c>
      <c r="O488" s="979">
        <f t="shared" si="751"/>
        <v>3.7221513042221641E-2</v>
      </c>
      <c r="P488" s="979">
        <f t="shared" ref="P488" si="752">P482/P487</f>
        <v>3.5701136311562062E-2</v>
      </c>
      <c r="Q488" s="2468">
        <f t="shared" ref="Q488" si="753">Q482/Q487</f>
        <v>3.4368301999303297E-2</v>
      </c>
    </row>
    <row r="489" spans="1:17" s="246" customFormat="1" x14ac:dyDescent="0.2">
      <c r="A489" s="657"/>
      <c r="B489" s="838"/>
      <c r="C489" s="838"/>
      <c r="D489" s="838"/>
      <c r="E489" s="838"/>
      <c r="F489" s="838"/>
      <c r="G489" s="838"/>
      <c r="H489" s="838"/>
      <c r="I489" s="838"/>
      <c r="J489" s="838"/>
      <c r="K489" s="838"/>
      <c r="L489" s="838"/>
      <c r="M489" s="988"/>
      <c r="N489" s="988"/>
      <c r="O489" s="988"/>
      <c r="P489" s="988"/>
      <c r="Q489" s="2477"/>
    </row>
    <row r="490" spans="1:17" x14ac:dyDescent="0.2">
      <c r="A490" s="841"/>
      <c r="B490" s="1483"/>
      <c r="C490" s="1483"/>
      <c r="D490" s="1483"/>
      <c r="E490" s="1483"/>
      <c r="F490" s="1483"/>
      <c r="G490" s="1483"/>
      <c r="H490" s="1483"/>
      <c r="I490" s="1483"/>
      <c r="J490" s="1483"/>
      <c r="K490" s="1483"/>
      <c r="L490" s="1483"/>
      <c r="M490" s="968"/>
      <c r="N490" s="968"/>
      <c r="O490" s="968"/>
      <c r="P490" s="968"/>
      <c r="Q490" s="2458"/>
    </row>
    <row r="491" spans="1:17" x14ac:dyDescent="0.2">
      <c r="A491" s="823" t="s">
        <v>4288</v>
      </c>
      <c r="B491" s="48"/>
      <c r="C491" s="48"/>
      <c r="D491" s="48"/>
      <c r="E491" s="48"/>
      <c r="F491" s="48"/>
      <c r="G491" s="48"/>
      <c r="H491" s="48"/>
      <c r="I491" s="48"/>
      <c r="J491" s="48"/>
      <c r="K491" s="48"/>
      <c r="L491" s="48"/>
      <c r="M491" s="659"/>
      <c r="N491" s="679"/>
      <c r="O491" s="679"/>
      <c r="P491" s="679"/>
      <c r="Q491" s="660"/>
    </row>
    <row r="492" spans="1:17" x14ac:dyDescent="0.2">
      <c r="A492" s="655" t="s">
        <v>4145</v>
      </c>
      <c r="B492" s="48">
        <v>0</v>
      </c>
      <c r="C492" s="48">
        <v>0</v>
      </c>
      <c r="D492" s="48">
        <f>Summaries!AG50/1000</f>
        <v>0</v>
      </c>
      <c r="E492" s="48">
        <f>Summaries!AH50/1000</f>
        <v>0</v>
      </c>
      <c r="F492" s="48">
        <f>Summaries!AI50/1000</f>
        <v>0</v>
      </c>
      <c r="G492" s="48">
        <f>Summaries!AJ50/1000</f>
        <v>0</v>
      </c>
      <c r="H492" s="48">
        <f>Summaries!AK50/1000</f>
        <v>0</v>
      </c>
      <c r="I492" s="48">
        <f>Summaries!AL50/1000</f>
        <v>0</v>
      </c>
      <c r="J492" s="48">
        <f>Summaries!AM50/1000</f>
        <v>0</v>
      </c>
      <c r="K492" s="48">
        <f>Summaries!AN50/1000</f>
        <v>0</v>
      </c>
      <c r="L492" s="48">
        <f>Summaries!AO50/1000</f>
        <v>0</v>
      </c>
      <c r="M492" s="659">
        <f>Summaries!AP50/1000</f>
        <v>0</v>
      </c>
      <c r="N492" s="679">
        <f>Summaries!AQ50/1000</f>
        <v>0</v>
      </c>
      <c r="O492" s="679">
        <f>Summaries!AR50/1000</f>
        <v>0</v>
      </c>
      <c r="P492" s="679">
        <f>Summaries!AS50/1000</f>
        <v>0</v>
      </c>
      <c r="Q492" s="660">
        <f>Summaries!AT50/1000</f>
        <v>0</v>
      </c>
    </row>
    <row r="493" spans="1:17" x14ac:dyDescent="0.2">
      <c r="A493" s="655" t="s">
        <v>4146</v>
      </c>
      <c r="B493" s="48">
        <v>0</v>
      </c>
      <c r="C493" s="48">
        <v>0</v>
      </c>
      <c r="D493" s="48">
        <f>(Summaries!AG19)/1000</f>
        <v>0</v>
      </c>
      <c r="E493" s="48">
        <f>(Summaries!AH19)/1000</f>
        <v>0</v>
      </c>
      <c r="F493" s="48">
        <f>(Summaries!AI19)/1000</f>
        <v>0</v>
      </c>
      <c r="G493" s="48">
        <f>(Summaries!AJ19)/1000</f>
        <v>0</v>
      </c>
      <c r="H493" s="48">
        <f>(Summaries!AK19)/1000</f>
        <v>0</v>
      </c>
      <c r="I493" s="48">
        <f>(Summaries!AL19)/1000</f>
        <v>0</v>
      </c>
      <c r="J493" s="48">
        <f>(Summaries!AM19)/1000</f>
        <v>0</v>
      </c>
      <c r="K493" s="48">
        <f>(Summaries!AN19)/1000</f>
        <v>0</v>
      </c>
      <c r="L493" s="48">
        <f>(Summaries!AO19)/1000</f>
        <v>0</v>
      </c>
      <c r="M493" s="659">
        <f>(Summaries!AP19)/1000</f>
        <v>0</v>
      </c>
      <c r="N493" s="679">
        <f>(Summaries!AQ19)/1000</f>
        <v>0</v>
      </c>
      <c r="O493" s="679">
        <f>(Summaries!AR19)/1000</f>
        <v>0</v>
      </c>
      <c r="P493" s="679">
        <f>(Summaries!AS19)/1000</f>
        <v>0</v>
      </c>
      <c r="Q493" s="660">
        <f>(Summaries!AT19)/1000</f>
        <v>0</v>
      </c>
    </row>
    <row r="494" spans="1:17" x14ac:dyDescent="0.2">
      <c r="A494" s="657" t="s">
        <v>2811</v>
      </c>
      <c r="B494" s="944">
        <f t="shared" ref="B494:M494" si="754">SUM(B492:B493)</f>
        <v>0</v>
      </c>
      <c r="C494" s="944">
        <f t="shared" si="754"/>
        <v>0</v>
      </c>
      <c r="D494" s="944">
        <f t="shared" si="754"/>
        <v>0</v>
      </c>
      <c r="E494" s="944">
        <f t="shared" si="754"/>
        <v>0</v>
      </c>
      <c r="F494" s="944">
        <f t="shared" si="754"/>
        <v>0</v>
      </c>
      <c r="G494" s="944">
        <f t="shared" si="754"/>
        <v>0</v>
      </c>
      <c r="H494" s="944">
        <f t="shared" si="754"/>
        <v>0</v>
      </c>
      <c r="I494" s="944">
        <f t="shared" si="754"/>
        <v>0</v>
      </c>
      <c r="J494" s="944">
        <f t="shared" si="754"/>
        <v>0</v>
      </c>
      <c r="K494" s="944">
        <f t="shared" si="754"/>
        <v>0</v>
      </c>
      <c r="L494" s="944">
        <f t="shared" si="754"/>
        <v>0</v>
      </c>
      <c r="M494" s="731">
        <f t="shared" si="754"/>
        <v>0</v>
      </c>
      <c r="N494" s="981">
        <f t="shared" ref="N494:O494" si="755">SUM(N492:N493)</f>
        <v>0</v>
      </c>
      <c r="O494" s="981">
        <f t="shared" si="755"/>
        <v>0</v>
      </c>
      <c r="P494" s="981">
        <f t="shared" ref="P494" si="756">SUM(P492:P493)</f>
        <v>0</v>
      </c>
      <c r="Q494" s="2470">
        <f t="shared" ref="Q494" si="757">SUM(Q492:Q493)</f>
        <v>0</v>
      </c>
    </row>
    <row r="495" spans="1:17" x14ac:dyDescent="0.2">
      <c r="A495" s="655" t="s">
        <v>4276</v>
      </c>
      <c r="B495" s="48">
        <f t="shared" ref="B495:M495" si="758">B377</f>
        <v>10641</v>
      </c>
      <c r="C495" s="48">
        <f t="shared" si="758"/>
        <v>11540.4</v>
      </c>
      <c r="D495" s="48">
        <f t="shared" si="758"/>
        <v>11873.9</v>
      </c>
      <c r="E495" s="48">
        <f t="shared" si="758"/>
        <v>12259</v>
      </c>
      <c r="F495" s="48">
        <f t="shared" si="758"/>
        <v>12878.9</v>
      </c>
      <c r="G495" s="48">
        <f t="shared" si="758"/>
        <v>12553.4</v>
      </c>
      <c r="H495" s="48">
        <f t="shared" si="758"/>
        <v>12943.7</v>
      </c>
      <c r="I495" s="48">
        <f t="shared" si="758"/>
        <v>13152.1</v>
      </c>
      <c r="J495" s="48">
        <f t="shared" si="758"/>
        <v>13448.4</v>
      </c>
      <c r="K495" s="48">
        <f t="shared" si="758"/>
        <v>13859.4</v>
      </c>
      <c r="L495" s="48">
        <f t="shared" si="758"/>
        <v>14155.3</v>
      </c>
      <c r="M495" s="659">
        <f t="shared" si="758"/>
        <v>14501</v>
      </c>
      <c r="N495" s="679">
        <f t="shared" ref="N495:O495" si="759">N377</f>
        <v>14860.9</v>
      </c>
      <c r="O495" s="679">
        <f t="shared" si="759"/>
        <v>15241.2</v>
      </c>
      <c r="P495" s="679">
        <f t="shared" ref="P495" si="760">P377</f>
        <v>15723.1</v>
      </c>
      <c r="Q495" s="660">
        <f t="shared" ref="Q495" si="761">Q377</f>
        <v>16225.1</v>
      </c>
    </row>
    <row r="496" spans="1:17" x14ac:dyDescent="0.2">
      <c r="A496" s="655" t="s">
        <v>4291</v>
      </c>
      <c r="B496" s="48">
        <f t="shared" ref="B496:M496" si="762">B378</f>
        <v>0</v>
      </c>
      <c r="C496" s="48">
        <f t="shared" si="762"/>
        <v>0</v>
      </c>
      <c r="D496" s="48">
        <f t="shared" si="762"/>
        <v>0</v>
      </c>
      <c r="E496" s="48">
        <f t="shared" si="762"/>
        <v>0</v>
      </c>
      <c r="F496" s="48">
        <f t="shared" si="762"/>
        <v>0</v>
      </c>
      <c r="G496" s="48">
        <f t="shared" si="762"/>
        <v>0</v>
      </c>
      <c r="H496" s="48">
        <f t="shared" si="762"/>
        <v>0</v>
      </c>
      <c r="I496" s="48">
        <f t="shared" si="762"/>
        <v>0</v>
      </c>
      <c r="J496" s="48">
        <f t="shared" si="762"/>
        <v>0</v>
      </c>
      <c r="K496" s="48">
        <f t="shared" si="762"/>
        <v>0</v>
      </c>
      <c r="L496" s="48">
        <f t="shared" si="762"/>
        <v>0</v>
      </c>
      <c r="M496" s="48">
        <f t="shared" si="762"/>
        <v>0</v>
      </c>
      <c r="N496" s="161">
        <f t="shared" ref="N496:O496" si="763">N378</f>
        <v>0</v>
      </c>
      <c r="O496" s="161">
        <f t="shared" si="763"/>
        <v>0</v>
      </c>
      <c r="P496" s="161">
        <f t="shared" ref="P496" si="764">P378</f>
        <v>0</v>
      </c>
      <c r="Q496" s="51">
        <f t="shared" ref="Q496" si="765">Q378</f>
        <v>0</v>
      </c>
    </row>
    <row r="497" spans="1:17" x14ac:dyDescent="0.2">
      <c r="A497" s="655" t="s">
        <v>4290</v>
      </c>
      <c r="B497" s="48">
        <f t="shared" ref="B497:M497" si="766">B379</f>
        <v>0</v>
      </c>
      <c r="C497" s="48">
        <f t="shared" si="766"/>
        <v>0</v>
      </c>
      <c r="D497" s="48">
        <f t="shared" si="766"/>
        <v>0</v>
      </c>
      <c r="E497" s="48">
        <f t="shared" si="766"/>
        <v>0</v>
      </c>
      <c r="F497" s="48">
        <f t="shared" si="766"/>
        <v>0</v>
      </c>
      <c r="G497" s="48">
        <f t="shared" si="766"/>
        <v>0</v>
      </c>
      <c r="H497" s="48">
        <f t="shared" si="766"/>
        <v>0</v>
      </c>
      <c r="I497" s="48">
        <f t="shared" si="766"/>
        <v>0</v>
      </c>
      <c r="J497" s="48">
        <f t="shared" si="766"/>
        <v>0</v>
      </c>
      <c r="K497" s="48">
        <f t="shared" si="766"/>
        <v>0</v>
      </c>
      <c r="L497" s="48">
        <f t="shared" si="766"/>
        <v>0</v>
      </c>
      <c r="M497" s="48">
        <f t="shared" si="766"/>
        <v>0</v>
      </c>
      <c r="N497" s="161">
        <f t="shared" ref="N497:O497" si="767">N379</f>
        <v>0</v>
      </c>
      <c r="O497" s="161">
        <f t="shared" si="767"/>
        <v>0</v>
      </c>
      <c r="P497" s="161">
        <f t="shared" ref="P497" si="768">P379</f>
        <v>0</v>
      </c>
      <c r="Q497" s="51">
        <f t="shared" ref="Q497" si="769">Q379</f>
        <v>0</v>
      </c>
    </row>
    <row r="498" spans="1:17" x14ac:dyDescent="0.2">
      <c r="A498" s="655" t="s">
        <v>4285</v>
      </c>
      <c r="B498" s="48">
        <f t="shared" ref="B498:M498" si="770">B380</f>
        <v>-1008</v>
      </c>
      <c r="C498" s="48">
        <f t="shared" si="770"/>
        <v>-851.3</v>
      </c>
      <c r="D498" s="48">
        <f t="shared" si="770"/>
        <v>-980.4</v>
      </c>
      <c r="E498" s="48">
        <f t="shared" si="770"/>
        <v>-1059.9000000000001</v>
      </c>
      <c r="F498" s="48">
        <f t="shared" si="770"/>
        <v>-469.1</v>
      </c>
      <c r="G498" s="48">
        <f t="shared" si="770"/>
        <v>-775</v>
      </c>
      <c r="H498" s="48">
        <f t="shared" si="770"/>
        <v>-800</v>
      </c>
      <c r="I498" s="48">
        <f t="shared" si="770"/>
        <v>-820</v>
      </c>
      <c r="J498" s="48">
        <f t="shared" si="770"/>
        <v>-840</v>
      </c>
      <c r="K498" s="48">
        <f t="shared" si="770"/>
        <v>-860</v>
      </c>
      <c r="L498" s="48">
        <f t="shared" si="770"/>
        <v>-880</v>
      </c>
      <c r="M498" s="651">
        <f t="shared" si="770"/>
        <v>-900</v>
      </c>
      <c r="N498" s="812">
        <f t="shared" ref="N498:O498" si="771">N380</f>
        <v>-920</v>
      </c>
      <c r="O498" s="812">
        <f t="shared" si="771"/>
        <v>-940</v>
      </c>
      <c r="P498" s="812">
        <f t="shared" ref="P498" si="772">P380</f>
        <v>-960</v>
      </c>
      <c r="Q498" s="2476">
        <f t="shared" ref="Q498" si="773">Q380</f>
        <v>-980</v>
      </c>
    </row>
    <row r="499" spans="1:17" x14ac:dyDescent="0.2">
      <c r="A499" s="657" t="s">
        <v>2812</v>
      </c>
      <c r="B499" s="944">
        <f t="shared" ref="B499:M499" si="774">SUM(B495:B498)</f>
        <v>9633</v>
      </c>
      <c r="C499" s="944">
        <f t="shared" si="774"/>
        <v>10689.1</v>
      </c>
      <c r="D499" s="944">
        <f t="shared" si="774"/>
        <v>10893.5</v>
      </c>
      <c r="E499" s="944">
        <f t="shared" si="774"/>
        <v>11199.1</v>
      </c>
      <c r="F499" s="944">
        <f t="shared" si="774"/>
        <v>12409.8</v>
      </c>
      <c r="G499" s="944">
        <f t="shared" si="774"/>
        <v>11778.4</v>
      </c>
      <c r="H499" s="944">
        <f t="shared" si="774"/>
        <v>12143.7</v>
      </c>
      <c r="I499" s="944">
        <f t="shared" si="774"/>
        <v>12332.1</v>
      </c>
      <c r="J499" s="944">
        <f t="shared" si="774"/>
        <v>12608.4</v>
      </c>
      <c r="K499" s="944">
        <f t="shared" si="774"/>
        <v>12999.4</v>
      </c>
      <c r="L499" s="944">
        <f t="shared" si="774"/>
        <v>13275.3</v>
      </c>
      <c r="M499" s="731">
        <f t="shared" si="774"/>
        <v>13601</v>
      </c>
      <c r="N499" s="981">
        <f t="shared" ref="N499:O499" si="775">SUM(N495:N498)</f>
        <v>13940.9</v>
      </c>
      <c r="O499" s="981">
        <f t="shared" si="775"/>
        <v>14301.2</v>
      </c>
      <c r="P499" s="981">
        <f t="shared" ref="P499" si="776">SUM(P495:P498)</f>
        <v>14763.1</v>
      </c>
      <c r="Q499" s="2470">
        <f t="shared" ref="Q499" si="777">SUM(Q495:Q498)</f>
        <v>15245.1</v>
      </c>
    </row>
    <row r="500" spans="1:17" s="1250" customFormat="1" x14ac:dyDescent="0.2">
      <c r="A500" s="657" t="s">
        <v>4294</v>
      </c>
      <c r="B500" s="937">
        <f t="shared" ref="B500:M500" si="778">B494/B499</f>
        <v>0</v>
      </c>
      <c r="C500" s="937">
        <f t="shared" si="778"/>
        <v>0</v>
      </c>
      <c r="D500" s="937">
        <f t="shared" si="778"/>
        <v>0</v>
      </c>
      <c r="E500" s="937">
        <f t="shared" si="778"/>
        <v>0</v>
      </c>
      <c r="F500" s="937">
        <f t="shared" si="778"/>
        <v>0</v>
      </c>
      <c r="G500" s="937">
        <f t="shared" si="778"/>
        <v>0</v>
      </c>
      <c r="H500" s="937">
        <f t="shared" si="778"/>
        <v>0</v>
      </c>
      <c r="I500" s="937">
        <f t="shared" si="778"/>
        <v>0</v>
      </c>
      <c r="J500" s="937">
        <f t="shared" si="778"/>
        <v>0</v>
      </c>
      <c r="K500" s="937">
        <f t="shared" si="778"/>
        <v>0</v>
      </c>
      <c r="L500" s="937">
        <f t="shared" si="778"/>
        <v>0</v>
      </c>
      <c r="M500" s="937">
        <f t="shared" si="778"/>
        <v>0</v>
      </c>
      <c r="N500" s="979">
        <f t="shared" ref="N500:O500" si="779">N494/N499</f>
        <v>0</v>
      </c>
      <c r="O500" s="979">
        <f t="shared" si="779"/>
        <v>0</v>
      </c>
      <c r="P500" s="979">
        <f t="shared" ref="P500" si="780">P494/P499</f>
        <v>0</v>
      </c>
      <c r="Q500" s="2468">
        <f t="shared" ref="Q500" si="781">Q494/Q499</f>
        <v>0</v>
      </c>
    </row>
    <row r="501" spans="1:17" x14ac:dyDescent="0.2">
      <c r="A501" s="657"/>
      <c r="B501" s="839"/>
      <c r="C501" s="839"/>
      <c r="D501" s="839"/>
      <c r="E501" s="839"/>
      <c r="F501" s="839"/>
      <c r="G501" s="839"/>
      <c r="H501" s="839"/>
      <c r="I501" s="839"/>
      <c r="J501" s="839"/>
      <c r="K501" s="839"/>
      <c r="L501" s="839"/>
      <c r="M501" s="839"/>
      <c r="N501" s="967"/>
      <c r="O501" s="967"/>
      <c r="P501" s="967"/>
      <c r="Q501" s="2460"/>
    </row>
    <row r="502" spans="1:17" x14ac:dyDescent="0.2">
      <c r="A502" s="841"/>
      <c r="B502" s="1483"/>
      <c r="C502" s="1483"/>
      <c r="D502" s="1483"/>
      <c r="E502" s="1483"/>
      <c r="F502" s="1483"/>
      <c r="G502" s="1483"/>
      <c r="H502" s="1483"/>
      <c r="I502" s="1483"/>
      <c r="J502" s="1483"/>
      <c r="K502" s="1483"/>
      <c r="L502" s="1483"/>
      <c r="M502" s="989"/>
      <c r="N502" s="968"/>
      <c r="O502" s="968"/>
      <c r="P502" s="968"/>
      <c r="Q502" s="2458"/>
    </row>
    <row r="503" spans="1:17" x14ac:dyDescent="0.2">
      <c r="A503" s="823" t="s">
        <v>4289</v>
      </c>
      <c r="B503" s="48"/>
      <c r="C503" s="48"/>
      <c r="D503" s="48"/>
      <c r="E503" s="48"/>
      <c r="F503" s="48"/>
      <c r="G503" s="48"/>
      <c r="H503" s="48"/>
      <c r="I503" s="48"/>
      <c r="J503" s="48"/>
      <c r="K503" s="48"/>
      <c r="L503" s="48"/>
      <c r="M503" s="659"/>
      <c r="N503" s="679"/>
      <c r="O503" s="679"/>
      <c r="P503" s="679"/>
      <c r="Q503" s="660"/>
    </row>
    <row r="504" spans="1:17" x14ac:dyDescent="0.2">
      <c r="A504" s="655" t="s">
        <v>4145</v>
      </c>
      <c r="B504" s="48">
        <v>985</v>
      </c>
      <c r="C504" s="48">
        <v>2385</v>
      </c>
      <c r="D504" s="48">
        <f>Summaries!AV50/1000</f>
        <v>2187.9</v>
      </c>
      <c r="E504" s="48">
        <f>Summaries!AW50/1000</f>
        <v>2793.3</v>
      </c>
      <c r="F504" s="48">
        <f>Summaries!AX50/1000</f>
        <v>2957.9</v>
      </c>
      <c r="G504" s="48">
        <f>Summaries!AY50/1000</f>
        <v>3095.6</v>
      </c>
      <c r="H504" s="48">
        <f>Summaries!AZ50/1000</f>
        <v>3134</v>
      </c>
      <c r="I504" s="48">
        <f>Summaries!BA50/1000</f>
        <v>3280.3</v>
      </c>
      <c r="J504" s="48">
        <f>Summaries!BB50/1000</f>
        <v>2453.5</v>
      </c>
      <c r="K504" s="48">
        <f>Summaries!BC50/1000</f>
        <v>2654.1</v>
      </c>
      <c r="L504" s="48">
        <f>Summaries!BD50/1000</f>
        <v>2844.1</v>
      </c>
      <c r="M504" s="659">
        <f>Summaries!BE50/1000</f>
        <v>3037</v>
      </c>
      <c r="N504" s="679">
        <f>Summaries!BF50/1000</f>
        <v>3235</v>
      </c>
      <c r="O504" s="679">
        <f>Summaries!BG50/1000</f>
        <v>3430</v>
      </c>
      <c r="P504" s="679">
        <f>Summaries!BH50/1000</f>
        <v>3627</v>
      </c>
      <c r="Q504" s="660">
        <f>Summaries!BI50/1000</f>
        <v>3825</v>
      </c>
    </row>
    <row r="505" spans="1:17" x14ac:dyDescent="0.2">
      <c r="A505" s="655" t="s">
        <v>4146</v>
      </c>
      <c r="B505" s="48">
        <v>3702</v>
      </c>
      <c r="C505" s="48">
        <v>5161</v>
      </c>
      <c r="D505" s="48">
        <f>(Summaries!AV19)/1000</f>
        <v>4996.8</v>
      </c>
      <c r="E505" s="48">
        <f>(Summaries!AW19)/1000</f>
        <v>4659.3</v>
      </c>
      <c r="F505" s="48">
        <f>(Summaries!AX19)/1000</f>
        <v>4448.6000000000004</v>
      </c>
      <c r="G505" s="48">
        <f>(Summaries!AY19)/1000</f>
        <v>4249.8999999999996</v>
      </c>
      <c r="H505" s="48">
        <f>(Summaries!AZ19)/1000</f>
        <v>3878.3</v>
      </c>
      <c r="I505" s="48">
        <f>(Summaries!BA19)/1000</f>
        <v>3667</v>
      </c>
      <c r="J505" s="48">
        <f>(Summaries!BB19)/1000</f>
        <v>3439.8</v>
      </c>
      <c r="K505" s="48">
        <f>(Summaries!BC19)/1000</f>
        <v>3239.2</v>
      </c>
      <c r="L505" s="48">
        <f>(Summaries!BD19)/1000</f>
        <v>3049.2</v>
      </c>
      <c r="M505" s="659">
        <f>(Summaries!BE19)/1000</f>
        <v>2856.3</v>
      </c>
      <c r="N505" s="679">
        <f>(Summaries!BF19)/1000</f>
        <v>2658.3</v>
      </c>
      <c r="O505" s="679">
        <f>(Summaries!BG19)/1000</f>
        <v>2463.3000000000002</v>
      </c>
      <c r="P505" s="679">
        <f>(Summaries!BH19)/1000</f>
        <v>2266.3000000000002</v>
      </c>
      <c r="Q505" s="660">
        <f>(Summaries!BI19)/1000</f>
        <v>2068.3000000000002</v>
      </c>
    </row>
    <row r="506" spans="1:17" x14ac:dyDescent="0.2">
      <c r="A506" s="657" t="s">
        <v>2811</v>
      </c>
      <c r="B506" s="944">
        <f t="shared" ref="B506:M506" si="782">SUM(B504:B505)</f>
        <v>4687</v>
      </c>
      <c r="C506" s="944">
        <f t="shared" si="782"/>
        <v>7546</v>
      </c>
      <c r="D506" s="944">
        <f t="shared" si="782"/>
        <v>7184.7000000000007</v>
      </c>
      <c r="E506" s="944">
        <f t="shared" si="782"/>
        <v>7452.6</v>
      </c>
      <c r="F506" s="944">
        <f t="shared" si="782"/>
        <v>7406.5</v>
      </c>
      <c r="G506" s="944">
        <f t="shared" si="782"/>
        <v>7345.5</v>
      </c>
      <c r="H506" s="944">
        <f t="shared" si="782"/>
        <v>7012.3</v>
      </c>
      <c r="I506" s="944">
        <f t="shared" si="782"/>
        <v>6947.3</v>
      </c>
      <c r="J506" s="944">
        <f t="shared" si="782"/>
        <v>5893.3</v>
      </c>
      <c r="K506" s="944">
        <f t="shared" si="782"/>
        <v>5893.2999999999993</v>
      </c>
      <c r="L506" s="944">
        <f t="shared" si="782"/>
        <v>5893.2999999999993</v>
      </c>
      <c r="M506" s="731">
        <f t="shared" si="782"/>
        <v>5893.3</v>
      </c>
      <c r="N506" s="981">
        <f t="shared" ref="N506:O506" si="783">SUM(N504:N505)</f>
        <v>5893.3</v>
      </c>
      <c r="O506" s="981">
        <f t="shared" si="783"/>
        <v>5893.3</v>
      </c>
      <c r="P506" s="981">
        <f t="shared" ref="P506" si="784">SUM(P504:P505)</f>
        <v>5893.3</v>
      </c>
      <c r="Q506" s="2470">
        <f t="shared" ref="Q506" si="785">SUM(Q504:Q505)</f>
        <v>5893.3</v>
      </c>
    </row>
    <row r="507" spans="1:17" x14ac:dyDescent="0.2">
      <c r="A507" s="655" t="s">
        <v>4276</v>
      </c>
      <c r="B507" s="48">
        <f t="shared" ref="B507:M507" si="786">B390</f>
        <v>15262</v>
      </c>
      <c r="C507" s="48">
        <f t="shared" si="786"/>
        <v>16456.7</v>
      </c>
      <c r="D507" s="48">
        <f t="shared" si="786"/>
        <v>17468.099999999999</v>
      </c>
      <c r="E507" s="48">
        <f t="shared" si="786"/>
        <v>18810.8</v>
      </c>
      <c r="F507" s="48">
        <f t="shared" si="786"/>
        <v>18609.599999999999</v>
      </c>
      <c r="G507" s="48">
        <f t="shared" si="786"/>
        <v>20363.900000000001</v>
      </c>
      <c r="H507" s="48">
        <f t="shared" si="786"/>
        <v>20845.7</v>
      </c>
      <c r="I507" s="48">
        <f t="shared" si="786"/>
        <v>21333.200000000001</v>
      </c>
      <c r="J507" s="48">
        <f t="shared" si="786"/>
        <v>21856.799999999999</v>
      </c>
      <c r="K507" s="48">
        <f t="shared" si="786"/>
        <v>22436.5</v>
      </c>
      <c r="L507" s="48">
        <f t="shared" si="786"/>
        <v>22979.8</v>
      </c>
      <c r="M507" s="659">
        <f t="shared" si="786"/>
        <v>23519.5</v>
      </c>
      <c r="N507" s="679">
        <f t="shared" ref="N507:O507" si="787">N390</f>
        <v>24145.3</v>
      </c>
      <c r="O507" s="679">
        <f t="shared" si="787"/>
        <v>24758.6</v>
      </c>
      <c r="P507" s="679">
        <f t="shared" ref="P507" si="788">P390</f>
        <v>25480.6</v>
      </c>
      <c r="Q507" s="660">
        <f t="shared" ref="Q507" si="789">Q390</f>
        <v>26226.799999999999</v>
      </c>
    </row>
    <row r="508" spans="1:17" x14ac:dyDescent="0.2">
      <c r="A508" s="655" t="s">
        <v>4291</v>
      </c>
      <c r="B508" s="48">
        <f t="shared" ref="B508:M508" si="790">B391</f>
        <v>0</v>
      </c>
      <c r="C508" s="48">
        <f t="shared" si="790"/>
        <v>-6</v>
      </c>
      <c r="D508" s="48">
        <f t="shared" si="790"/>
        <v>0</v>
      </c>
      <c r="E508" s="48">
        <f t="shared" si="790"/>
        <v>0</v>
      </c>
      <c r="F508" s="48">
        <f t="shared" si="790"/>
        <v>0</v>
      </c>
      <c r="G508" s="48">
        <f t="shared" si="790"/>
        <v>0</v>
      </c>
      <c r="H508" s="48">
        <f t="shared" si="790"/>
        <v>0</v>
      </c>
      <c r="I508" s="48">
        <f t="shared" si="790"/>
        <v>0</v>
      </c>
      <c r="J508" s="48">
        <f t="shared" si="790"/>
        <v>0</v>
      </c>
      <c r="K508" s="48">
        <f t="shared" si="790"/>
        <v>0</v>
      </c>
      <c r="L508" s="48">
        <f t="shared" si="790"/>
        <v>0</v>
      </c>
      <c r="M508" s="48">
        <f t="shared" si="790"/>
        <v>0</v>
      </c>
      <c r="N508" s="161">
        <f t="shared" ref="N508:O508" si="791">N391</f>
        <v>0</v>
      </c>
      <c r="O508" s="161">
        <f t="shared" si="791"/>
        <v>0</v>
      </c>
      <c r="P508" s="161">
        <f t="shared" ref="P508" si="792">P391</f>
        <v>0</v>
      </c>
      <c r="Q508" s="51">
        <f t="shared" ref="Q508" si="793">Q391</f>
        <v>0</v>
      </c>
    </row>
    <row r="509" spans="1:17" x14ac:dyDescent="0.2">
      <c r="A509" s="655" t="s">
        <v>4290</v>
      </c>
      <c r="B509" s="48">
        <f t="shared" ref="B509:M509" si="794">B392</f>
        <v>0</v>
      </c>
      <c r="C509" s="48">
        <f t="shared" si="794"/>
        <v>0</v>
      </c>
      <c r="D509" s="48">
        <f t="shared" si="794"/>
        <v>0</v>
      </c>
      <c r="E509" s="48">
        <f t="shared" si="794"/>
        <v>0</v>
      </c>
      <c r="F509" s="48">
        <f t="shared" si="794"/>
        <v>0</v>
      </c>
      <c r="G509" s="48">
        <f t="shared" si="794"/>
        <v>0</v>
      </c>
      <c r="H509" s="48">
        <f t="shared" si="794"/>
        <v>0</v>
      </c>
      <c r="I509" s="48">
        <f t="shared" si="794"/>
        <v>0</v>
      </c>
      <c r="J509" s="48">
        <f t="shared" si="794"/>
        <v>0</v>
      </c>
      <c r="K509" s="48">
        <f t="shared" si="794"/>
        <v>0</v>
      </c>
      <c r="L509" s="48">
        <f t="shared" si="794"/>
        <v>0</v>
      </c>
      <c r="M509" s="161">
        <f t="shared" si="794"/>
        <v>0</v>
      </c>
      <c r="N509" s="161">
        <f t="shared" ref="N509:O509" si="795">N392</f>
        <v>0</v>
      </c>
      <c r="O509" s="161">
        <f t="shared" si="795"/>
        <v>0</v>
      </c>
      <c r="P509" s="161">
        <f t="shared" ref="P509" si="796">P392</f>
        <v>0</v>
      </c>
      <c r="Q509" s="51">
        <f t="shared" ref="Q509" si="797">Q392</f>
        <v>0</v>
      </c>
    </row>
    <row r="510" spans="1:17" x14ac:dyDescent="0.2">
      <c r="A510" s="655" t="s">
        <v>4285</v>
      </c>
      <c r="B510" s="48">
        <f t="shared" ref="B510:M510" si="798">B393</f>
        <v>-1482</v>
      </c>
      <c r="C510" s="48">
        <f t="shared" si="798"/>
        <v>-2014.2</v>
      </c>
      <c r="D510" s="48">
        <f t="shared" si="798"/>
        <v>-2131.4</v>
      </c>
      <c r="E510" s="48">
        <f t="shared" si="798"/>
        <v>-2470</v>
      </c>
      <c r="F510" s="48">
        <f t="shared" si="798"/>
        <v>-736.5</v>
      </c>
      <c r="G510" s="48">
        <f t="shared" si="798"/>
        <v>-2145.5</v>
      </c>
      <c r="H510" s="48">
        <f t="shared" si="798"/>
        <v>-2175.5</v>
      </c>
      <c r="I510" s="48">
        <f t="shared" si="798"/>
        <v>-2215.5</v>
      </c>
      <c r="J510" s="48">
        <f t="shared" si="798"/>
        <v>-2255.5</v>
      </c>
      <c r="K510" s="48">
        <f t="shared" si="798"/>
        <v>-2295.5</v>
      </c>
      <c r="L510" s="48">
        <f t="shared" si="798"/>
        <v>-2335.5</v>
      </c>
      <c r="M510" s="651">
        <f t="shared" si="798"/>
        <v>-2375.5</v>
      </c>
      <c r="N510" s="812">
        <f t="shared" ref="N510:O510" si="799">N393</f>
        <v>-2425.5</v>
      </c>
      <c r="O510" s="812">
        <f t="shared" si="799"/>
        <v>-2475.5</v>
      </c>
      <c r="P510" s="812">
        <f t="shared" ref="P510" si="800">P393</f>
        <v>-2525.5</v>
      </c>
      <c r="Q510" s="2476">
        <f t="shared" ref="Q510" si="801">Q393</f>
        <v>-2575.5</v>
      </c>
    </row>
    <row r="511" spans="1:17" x14ac:dyDescent="0.2">
      <c r="A511" s="657" t="s">
        <v>2812</v>
      </c>
      <c r="B511" s="944">
        <f t="shared" ref="B511:M511" si="802">SUM(B507:B510)</f>
        <v>13780</v>
      </c>
      <c r="C511" s="944">
        <f t="shared" si="802"/>
        <v>14436.5</v>
      </c>
      <c r="D511" s="944">
        <f t="shared" si="802"/>
        <v>15336.699999999999</v>
      </c>
      <c r="E511" s="944">
        <f t="shared" si="802"/>
        <v>16340.8</v>
      </c>
      <c r="F511" s="944">
        <f t="shared" si="802"/>
        <v>17873.099999999999</v>
      </c>
      <c r="G511" s="944">
        <f t="shared" si="802"/>
        <v>18218.400000000001</v>
      </c>
      <c r="H511" s="944">
        <f t="shared" si="802"/>
        <v>18670.2</v>
      </c>
      <c r="I511" s="944">
        <f t="shared" si="802"/>
        <v>19117.7</v>
      </c>
      <c r="J511" s="944">
        <f t="shared" si="802"/>
        <v>19601.3</v>
      </c>
      <c r="K511" s="944">
        <f t="shared" si="802"/>
        <v>20141</v>
      </c>
      <c r="L511" s="944">
        <f t="shared" si="802"/>
        <v>20644.3</v>
      </c>
      <c r="M511" s="981">
        <f t="shared" si="802"/>
        <v>21144</v>
      </c>
      <c r="N511" s="981">
        <f t="shared" ref="N511:O511" si="803">SUM(N507:N510)</f>
        <v>21719.8</v>
      </c>
      <c r="O511" s="981">
        <f t="shared" si="803"/>
        <v>22283.1</v>
      </c>
      <c r="P511" s="981">
        <f t="shared" ref="P511" si="804">SUM(P507:P510)</f>
        <v>22955.1</v>
      </c>
      <c r="Q511" s="2470">
        <f t="shared" ref="Q511" si="805">SUM(Q507:Q510)</f>
        <v>23651.3</v>
      </c>
    </row>
    <row r="512" spans="1:17" s="1250" customFormat="1" x14ac:dyDescent="0.2">
      <c r="A512" s="657" t="s">
        <v>4295</v>
      </c>
      <c r="B512" s="937">
        <f t="shared" ref="B512:M512" si="806">B506/B511</f>
        <v>0.34013062409288825</v>
      </c>
      <c r="C512" s="937">
        <f t="shared" si="806"/>
        <v>0.52270287119454162</v>
      </c>
      <c r="D512" s="937">
        <f t="shared" si="806"/>
        <v>0.46846453278736633</v>
      </c>
      <c r="E512" s="937">
        <f t="shared" si="806"/>
        <v>0.45607314207382754</v>
      </c>
      <c r="F512" s="937">
        <f t="shared" si="806"/>
        <v>0.41439369779165341</v>
      </c>
      <c r="G512" s="937">
        <f t="shared" si="806"/>
        <v>0.4031912791463575</v>
      </c>
      <c r="H512" s="937">
        <f t="shared" si="806"/>
        <v>0.37558783515977334</v>
      </c>
      <c r="I512" s="937">
        <f t="shared" si="806"/>
        <v>0.3633962244412246</v>
      </c>
      <c r="J512" s="937">
        <f t="shared" si="806"/>
        <v>0.30065862978475921</v>
      </c>
      <c r="K512" s="937">
        <f t="shared" si="806"/>
        <v>0.29260215480859936</v>
      </c>
      <c r="L512" s="937">
        <f t="shared" si="806"/>
        <v>0.28546862814433038</v>
      </c>
      <c r="M512" s="979">
        <f t="shared" si="806"/>
        <v>0.27872209610291337</v>
      </c>
      <c r="N512" s="979">
        <f t="shared" ref="N512:O512" si="807">N506/N511</f>
        <v>0.27133306936527962</v>
      </c>
      <c r="O512" s="979">
        <f t="shared" si="807"/>
        <v>0.26447397354946128</v>
      </c>
      <c r="P512" s="979">
        <f t="shared" ref="P512" si="808">P506/P511</f>
        <v>0.25673161955295337</v>
      </c>
      <c r="Q512" s="2468">
        <f t="shared" ref="Q512" si="809">Q506/Q511</f>
        <v>0.24917446398295232</v>
      </c>
    </row>
    <row r="513" spans="1:17" ht="13.5" thickBot="1" x14ac:dyDescent="0.25">
      <c r="A513" s="2478"/>
      <c r="B513" s="37"/>
      <c r="C513" s="37"/>
      <c r="D513" s="37"/>
      <c r="E513" s="37"/>
      <c r="F513" s="37"/>
      <c r="G513" s="37"/>
      <c r="H513" s="37"/>
      <c r="I513" s="37"/>
      <c r="J513" s="37"/>
      <c r="K513" s="37"/>
      <c r="L513" s="37"/>
      <c r="M513" s="2479"/>
      <c r="N513" s="2479"/>
      <c r="O513" s="2479"/>
      <c r="P513" s="2479"/>
      <c r="Q513" s="2480"/>
    </row>
    <row r="514" spans="1:17" ht="17.25" thickTop="1" thickBot="1" x14ac:dyDescent="0.3">
      <c r="A514" s="2570" t="s">
        <v>5039</v>
      </c>
      <c r="B514" s="2571"/>
      <c r="C514" s="2571"/>
      <c r="D514" s="2571"/>
      <c r="E514" s="2571"/>
      <c r="F514" s="2571"/>
      <c r="G514" s="2571"/>
      <c r="H514" s="2571"/>
      <c r="I514" s="2571"/>
      <c r="J514" s="2571"/>
      <c r="K514" s="2571"/>
      <c r="L514" s="2571"/>
      <c r="M514" s="2571"/>
      <c r="N514" s="2571"/>
      <c r="O514" s="2571"/>
      <c r="P514" s="2571"/>
      <c r="Q514" s="2572"/>
    </row>
    <row r="515" spans="1:17" s="726" customFormat="1" ht="13.5" thickBot="1" x14ac:dyDescent="0.25">
      <c r="A515" s="837" t="str">
        <f t="shared" ref="A515:M515" si="810">A465</f>
        <v>Item</v>
      </c>
      <c r="B515" s="565" t="str">
        <f t="shared" si="810"/>
        <v>2012/13</v>
      </c>
      <c r="C515" s="565" t="str">
        <f t="shared" si="810"/>
        <v>2013/14</v>
      </c>
      <c r="D515" s="565" t="str">
        <f t="shared" si="810"/>
        <v>2014/15</v>
      </c>
      <c r="E515" s="565" t="str">
        <f t="shared" si="810"/>
        <v>2015/16</v>
      </c>
      <c r="F515" s="565" t="str">
        <f t="shared" si="810"/>
        <v>2016/17</v>
      </c>
      <c r="G515" s="565" t="str">
        <f t="shared" si="810"/>
        <v>2017/18</v>
      </c>
      <c r="H515" s="565" t="str">
        <f t="shared" si="810"/>
        <v>2018/19</v>
      </c>
      <c r="I515" s="565" t="str">
        <f t="shared" si="810"/>
        <v>2019/20</v>
      </c>
      <c r="J515" s="565" t="str">
        <f t="shared" si="810"/>
        <v>2020/21</v>
      </c>
      <c r="K515" s="565" t="str">
        <f t="shared" si="810"/>
        <v>2021/22</v>
      </c>
      <c r="L515" s="565" t="str">
        <f t="shared" si="810"/>
        <v>2022/23</v>
      </c>
      <c r="M515" s="966" t="str">
        <f t="shared" si="810"/>
        <v>2023/24</v>
      </c>
      <c r="N515" s="966" t="str">
        <f t="shared" ref="N515:O515" si="811">N465</f>
        <v>2024/25</v>
      </c>
      <c r="O515" s="966" t="str">
        <f t="shared" si="811"/>
        <v>2025/26</v>
      </c>
      <c r="P515" s="966" t="str">
        <f t="shared" ref="P515" si="812">P465</f>
        <v>2026/27</v>
      </c>
      <c r="Q515" s="2445" t="str">
        <f t="shared" ref="Q515" si="813">Q465</f>
        <v>2027/28</v>
      </c>
    </row>
    <row r="516" spans="1:17" x14ac:dyDescent="0.2">
      <c r="A516" s="841"/>
      <c r="B516" s="1483"/>
      <c r="C516" s="1483"/>
      <c r="D516" s="1483"/>
      <c r="E516" s="1483"/>
      <c r="F516" s="1483"/>
      <c r="G516" s="1483"/>
      <c r="H516" s="1483"/>
      <c r="I516" s="1483"/>
      <c r="J516" s="1483"/>
      <c r="K516" s="1483"/>
      <c r="L516" s="1483"/>
      <c r="M516" s="968"/>
      <c r="N516" s="968"/>
      <c r="O516" s="968"/>
      <c r="P516" s="968"/>
      <c r="Q516" s="2458"/>
    </row>
    <row r="517" spans="1:17" x14ac:dyDescent="0.2">
      <c r="A517" s="823" t="s">
        <v>4147</v>
      </c>
      <c r="B517" s="48"/>
      <c r="C517" s="48"/>
      <c r="D517" s="48"/>
      <c r="E517" s="48"/>
      <c r="F517" s="48"/>
      <c r="G517" s="48"/>
      <c r="H517" s="48"/>
      <c r="I517" s="48"/>
      <c r="J517" s="48"/>
      <c r="K517" s="48"/>
      <c r="L517" s="48"/>
      <c r="M517" s="659"/>
      <c r="N517" s="679"/>
      <c r="O517" s="679"/>
      <c r="P517" s="679"/>
      <c r="Q517" s="660"/>
    </row>
    <row r="518" spans="1:17" x14ac:dyDescent="0.2">
      <c r="A518" s="655" t="s">
        <v>4145</v>
      </c>
      <c r="B518" s="48">
        <f t="shared" ref="B518:L518" si="814">B534+B550+B564</f>
        <v>3460</v>
      </c>
      <c r="C518" s="48">
        <f t="shared" si="814"/>
        <v>5601.2</v>
      </c>
      <c r="D518" s="48">
        <f t="shared" si="814"/>
        <v>5583.3</v>
      </c>
      <c r="E518" s="48">
        <f t="shared" si="814"/>
        <v>6582.2000000000007</v>
      </c>
      <c r="F518" s="48">
        <f t="shared" si="814"/>
        <v>6654.1</v>
      </c>
      <c r="G518" s="48">
        <f t="shared" si="814"/>
        <v>6381.2999999999993</v>
      </c>
      <c r="H518" s="48">
        <f t="shared" si="814"/>
        <v>6458.8</v>
      </c>
      <c r="I518" s="48">
        <f t="shared" si="814"/>
        <v>6682.4</v>
      </c>
      <c r="J518" s="48">
        <f t="shared" si="814"/>
        <v>5584.4</v>
      </c>
      <c r="K518" s="48">
        <f t="shared" si="814"/>
        <v>6290.2</v>
      </c>
      <c r="L518" s="48">
        <f t="shared" si="814"/>
        <v>6027.1</v>
      </c>
      <c r="M518" s="659">
        <f>M534+M550+M564</f>
        <v>5493.8</v>
      </c>
      <c r="N518" s="679">
        <f t="shared" ref="N518:O519" si="815">N534+N550+N564</f>
        <v>5425</v>
      </c>
      <c r="O518" s="679">
        <f t="shared" si="815"/>
        <v>4999.3999999999996</v>
      </c>
      <c r="P518" s="679">
        <f t="shared" ref="P518" si="816">P534+P550+P564</f>
        <v>5200.3999999999996</v>
      </c>
      <c r="Q518" s="660">
        <f t="shared" ref="Q518" si="817">Q534+Q550+Q564</f>
        <v>5462.3</v>
      </c>
    </row>
    <row r="519" spans="1:17" x14ac:dyDescent="0.2">
      <c r="A519" s="655" t="s">
        <v>4146</v>
      </c>
      <c r="B519" s="48">
        <f t="shared" ref="B519:L519" si="818">B535+B551+B565</f>
        <v>4591</v>
      </c>
      <c r="C519" s="48">
        <f t="shared" si="818"/>
        <v>6910</v>
      </c>
      <c r="D519" s="48">
        <f t="shared" si="818"/>
        <v>6561.4</v>
      </c>
      <c r="E519" s="48">
        <f t="shared" si="818"/>
        <v>5993.6</v>
      </c>
      <c r="F519" s="48">
        <f t="shared" si="818"/>
        <v>5523</v>
      </c>
      <c r="G519" s="48">
        <f t="shared" si="818"/>
        <v>5620.4</v>
      </c>
      <c r="H519" s="48">
        <f t="shared" si="818"/>
        <v>5173.3</v>
      </c>
      <c r="I519" s="48">
        <f t="shared" si="818"/>
        <v>4892.6000000000004</v>
      </c>
      <c r="J519" s="48">
        <f t="shared" si="818"/>
        <v>4490.5</v>
      </c>
      <c r="K519" s="48">
        <f t="shared" si="818"/>
        <v>4470.6000000000004</v>
      </c>
      <c r="L519" s="48">
        <f t="shared" si="818"/>
        <v>4109.7999999999993</v>
      </c>
      <c r="M519" s="659">
        <f>M535+M551+M565</f>
        <v>3790.2000000000003</v>
      </c>
      <c r="N519" s="679">
        <f t="shared" si="815"/>
        <v>3490.9</v>
      </c>
      <c r="O519" s="679">
        <f t="shared" si="815"/>
        <v>3212</v>
      </c>
      <c r="P519" s="679">
        <f t="shared" ref="P519" si="819">P535+P551+P565</f>
        <v>2952.2000000000003</v>
      </c>
      <c r="Q519" s="660">
        <f t="shared" ref="Q519" si="820">Q535+Q551+Q565</f>
        <v>2690.3</v>
      </c>
    </row>
    <row r="520" spans="1:17" x14ac:dyDescent="0.2">
      <c r="A520" s="657" t="s">
        <v>2812</v>
      </c>
      <c r="B520" s="944">
        <f t="shared" ref="B520:M520" si="821">SUM(B518:B519)</f>
        <v>8051</v>
      </c>
      <c r="C520" s="944">
        <f t="shared" si="821"/>
        <v>12511.2</v>
      </c>
      <c r="D520" s="944">
        <f t="shared" si="821"/>
        <v>12144.7</v>
      </c>
      <c r="E520" s="944">
        <f t="shared" si="821"/>
        <v>12575.800000000001</v>
      </c>
      <c r="F520" s="944">
        <f t="shared" si="821"/>
        <v>12177.1</v>
      </c>
      <c r="G520" s="944">
        <f t="shared" si="821"/>
        <v>12001.699999999999</v>
      </c>
      <c r="H520" s="944">
        <f t="shared" si="821"/>
        <v>11632.1</v>
      </c>
      <c r="I520" s="944">
        <f t="shared" si="821"/>
        <v>11575</v>
      </c>
      <c r="J520" s="944">
        <f t="shared" si="821"/>
        <v>10074.9</v>
      </c>
      <c r="K520" s="944">
        <f t="shared" si="821"/>
        <v>10760.8</v>
      </c>
      <c r="L520" s="944">
        <f t="shared" si="821"/>
        <v>10136.9</v>
      </c>
      <c r="M520" s="731">
        <f t="shared" si="821"/>
        <v>9284</v>
      </c>
      <c r="N520" s="981">
        <f t="shared" ref="N520:O520" si="822">SUM(N518:N519)</f>
        <v>8915.9</v>
      </c>
      <c r="O520" s="981">
        <f t="shared" si="822"/>
        <v>8211.4</v>
      </c>
      <c r="P520" s="981">
        <f t="shared" ref="P520" si="823">SUM(P518:P519)</f>
        <v>8152.6</v>
      </c>
      <c r="Q520" s="2470">
        <f t="shared" ref="Q520" si="824">SUM(Q518:Q519)</f>
        <v>8152.6</v>
      </c>
    </row>
    <row r="521" spans="1:17" x14ac:dyDescent="0.2">
      <c r="A521" s="655" t="s">
        <v>4155</v>
      </c>
      <c r="B521" s="48">
        <f t="shared" ref="B521:O521" si="825">B288</f>
        <v>114891</v>
      </c>
      <c r="C521" s="48">
        <f t="shared" si="825"/>
        <v>84787.1</v>
      </c>
      <c r="D521" s="48">
        <f t="shared" si="825"/>
        <v>90144.2</v>
      </c>
      <c r="E521" s="48">
        <f t="shared" si="825"/>
        <v>92109.9</v>
      </c>
      <c r="F521" s="48">
        <f t="shared" si="825"/>
        <v>99533.5</v>
      </c>
      <c r="G521" s="48">
        <f t="shared" si="825"/>
        <v>101066.5</v>
      </c>
      <c r="H521" s="48">
        <f t="shared" si="825"/>
        <v>97300.4</v>
      </c>
      <c r="I521" s="48">
        <f t="shared" si="825"/>
        <v>97019.3</v>
      </c>
      <c r="J521" s="48">
        <f t="shared" si="825"/>
        <v>104362.7</v>
      </c>
      <c r="K521" s="48">
        <f t="shared" si="825"/>
        <v>107693</v>
      </c>
      <c r="L521" s="48">
        <f t="shared" si="825"/>
        <v>101636.9</v>
      </c>
      <c r="M521" s="659">
        <f t="shared" si="825"/>
        <v>105024.3</v>
      </c>
      <c r="N521" s="679">
        <f t="shared" si="825"/>
        <v>107003.9</v>
      </c>
      <c r="O521" s="679">
        <f t="shared" si="825"/>
        <v>110592.2</v>
      </c>
      <c r="P521" s="679">
        <f t="shared" ref="P521" si="826">P288</f>
        <v>113007.6</v>
      </c>
      <c r="Q521" s="660">
        <f t="shared" ref="Q521" si="827">Q288</f>
        <v>116921.4</v>
      </c>
    </row>
    <row r="522" spans="1:17" x14ac:dyDescent="0.2">
      <c r="A522" s="655" t="s">
        <v>4291</v>
      </c>
      <c r="B522" s="48">
        <f t="shared" ref="B522:M522" si="828">B352</f>
        <v>0</v>
      </c>
      <c r="C522" s="48">
        <f t="shared" si="828"/>
        <v>-6</v>
      </c>
      <c r="D522" s="48">
        <f t="shared" si="828"/>
        <v>0</v>
      </c>
      <c r="E522" s="48">
        <f t="shared" si="828"/>
        <v>0</v>
      </c>
      <c r="F522" s="48">
        <f t="shared" si="828"/>
        <v>0</v>
      </c>
      <c r="G522" s="48">
        <f t="shared" si="828"/>
        <v>0</v>
      </c>
      <c r="H522" s="48">
        <f t="shared" si="828"/>
        <v>0</v>
      </c>
      <c r="I522" s="48">
        <f t="shared" si="828"/>
        <v>0</v>
      </c>
      <c r="J522" s="48">
        <f t="shared" si="828"/>
        <v>0</v>
      </c>
      <c r="K522" s="48">
        <f t="shared" si="828"/>
        <v>0</v>
      </c>
      <c r="L522" s="48">
        <f t="shared" si="828"/>
        <v>0</v>
      </c>
      <c r="M522" s="48">
        <f t="shared" si="828"/>
        <v>0</v>
      </c>
      <c r="N522" s="161">
        <f t="shared" ref="N522:O522" si="829">N352</f>
        <v>0</v>
      </c>
      <c r="O522" s="161">
        <f t="shared" si="829"/>
        <v>0</v>
      </c>
      <c r="P522" s="161">
        <f t="shared" ref="P522" si="830">P352</f>
        <v>0</v>
      </c>
      <c r="Q522" s="51">
        <f t="shared" ref="Q522" si="831">Q352</f>
        <v>0</v>
      </c>
    </row>
    <row r="523" spans="1:17" x14ac:dyDescent="0.2">
      <c r="A523" s="655" t="s">
        <v>4290</v>
      </c>
      <c r="B523" s="48">
        <f t="shared" ref="B523:M523" si="832">B353</f>
        <v>-414</v>
      </c>
      <c r="C523" s="48">
        <f t="shared" si="832"/>
        <v>-333</v>
      </c>
      <c r="D523" s="48">
        <f t="shared" si="832"/>
        <v>0</v>
      </c>
      <c r="E523" s="48">
        <f t="shared" si="832"/>
        <v>0</v>
      </c>
      <c r="F523" s="48">
        <f t="shared" si="832"/>
        <v>0</v>
      </c>
      <c r="G523" s="48">
        <f t="shared" si="832"/>
        <v>0</v>
      </c>
      <c r="H523" s="48">
        <f t="shared" si="832"/>
        <v>0</v>
      </c>
      <c r="I523" s="48">
        <f t="shared" si="832"/>
        <v>0</v>
      </c>
      <c r="J523" s="48">
        <f t="shared" si="832"/>
        <v>0</v>
      </c>
      <c r="K523" s="48">
        <f t="shared" si="832"/>
        <v>0</v>
      </c>
      <c r="L523" s="48">
        <f t="shared" si="832"/>
        <v>0</v>
      </c>
      <c r="M523" s="48">
        <f t="shared" si="832"/>
        <v>0</v>
      </c>
      <c r="N523" s="161">
        <f t="shared" ref="N523:O523" si="833">N353</f>
        <v>0</v>
      </c>
      <c r="O523" s="161">
        <f t="shared" si="833"/>
        <v>0</v>
      </c>
      <c r="P523" s="161">
        <f t="shared" ref="P523" si="834">P353</f>
        <v>0</v>
      </c>
      <c r="Q523" s="51">
        <f t="shared" ref="Q523" si="835">Q353</f>
        <v>0</v>
      </c>
    </row>
    <row r="524" spans="1:17" x14ac:dyDescent="0.2">
      <c r="A524" s="655" t="s">
        <v>4285</v>
      </c>
      <c r="B524" s="48">
        <f t="shared" ref="B524:M524" si="836">B354</f>
        <v>-39549</v>
      </c>
      <c r="C524" s="48">
        <f t="shared" si="836"/>
        <v>-13779.5</v>
      </c>
      <c r="D524" s="48">
        <f t="shared" si="836"/>
        <v>-15880.8</v>
      </c>
      <c r="E524" s="48">
        <f t="shared" si="836"/>
        <v>-15014</v>
      </c>
      <c r="F524" s="48">
        <f t="shared" si="836"/>
        <v>-12312.6</v>
      </c>
      <c r="G524" s="48">
        <f t="shared" si="836"/>
        <v>-18930.3</v>
      </c>
      <c r="H524" s="48">
        <f t="shared" si="836"/>
        <v>-14943.6</v>
      </c>
      <c r="I524" s="48">
        <f t="shared" si="836"/>
        <v>-11790.3</v>
      </c>
      <c r="J524" s="48">
        <f t="shared" si="836"/>
        <v>-18067.5</v>
      </c>
      <c r="K524" s="48">
        <f t="shared" si="836"/>
        <v>-18499.599999999999</v>
      </c>
      <c r="L524" s="48">
        <f t="shared" si="836"/>
        <v>-10941.5</v>
      </c>
      <c r="M524" s="48">
        <f t="shared" si="836"/>
        <v>-11193.2</v>
      </c>
      <c r="N524" s="161">
        <f t="shared" ref="N524:O524" si="837">N354</f>
        <v>-11458.9</v>
      </c>
      <c r="O524" s="161">
        <f t="shared" si="837"/>
        <v>-11729.4</v>
      </c>
      <c r="P524" s="161">
        <f t="shared" ref="P524" si="838">P354</f>
        <v>-12005.7</v>
      </c>
      <c r="Q524" s="51">
        <f t="shared" ref="Q524" si="839">Q354</f>
        <v>-12287.1</v>
      </c>
    </row>
    <row r="525" spans="1:17" x14ac:dyDescent="0.2">
      <c r="A525" s="655" t="s">
        <v>4161</v>
      </c>
      <c r="B525" s="48">
        <f t="shared" ref="B525:O525" si="840">B293</f>
        <v>87727</v>
      </c>
      <c r="C525" s="48">
        <f t="shared" si="840"/>
        <v>84731.7</v>
      </c>
      <c r="D525" s="48">
        <f t="shared" si="840"/>
        <v>90672</v>
      </c>
      <c r="E525" s="48">
        <f t="shared" si="840"/>
        <v>81320.399999999994</v>
      </c>
      <c r="F525" s="48">
        <f t="shared" si="840"/>
        <v>84934.399999999994</v>
      </c>
      <c r="G525" s="48">
        <f t="shared" si="840"/>
        <v>84297.7</v>
      </c>
      <c r="H525" s="48">
        <f t="shared" si="840"/>
        <v>82201.2</v>
      </c>
      <c r="I525" s="48">
        <f t="shared" si="840"/>
        <v>84794.1</v>
      </c>
      <c r="J525" s="48">
        <f t="shared" si="840"/>
        <v>85553.2</v>
      </c>
      <c r="K525" s="48">
        <f t="shared" si="840"/>
        <v>88024.9</v>
      </c>
      <c r="L525" s="48">
        <f t="shared" si="840"/>
        <v>88932.7</v>
      </c>
      <c r="M525" s="48">
        <f t="shared" si="840"/>
        <v>91466.8</v>
      </c>
      <c r="N525" s="161">
        <f t="shared" si="840"/>
        <v>92884.1</v>
      </c>
      <c r="O525" s="161">
        <f t="shared" si="840"/>
        <v>95043.4</v>
      </c>
      <c r="P525" s="161">
        <f t="shared" ref="P525" si="841">P293</f>
        <v>96184.4</v>
      </c>
      <c r="Q525" s="51">
        <f t="shared" ref="Q525" si="842">Q293</f>
        <v>98852.6</v>
      </c>
    </row>
    <row r="526" spans="1:17" x14ac:dyDescent="0.2">
      <c r="A526" s="655" t="s">
        <v>4298</v>
      </c>
      <c r="B526" s="48">
        <f t="shared" ref="B526:O526" si="843">B294</f>
        <v>-4591.2</v>
      </c>
      <c r="C526" s="48">
        <f t="shared" si="843"/>
        <v>-2506</v>
      </c>
      <c r="D526" s="48">
        <f t="shared" si="843"/>
        <v>-12177</v>
      </c>
      <c r="E526" s="48">
        <f t="shared" si="843"/>
        <v>-607</v>
      </c>
      <c r="F526" s="48">
        <f t="shared" si="843"/>
        <v>-100</v>
      </c>
      <c r="G526" s="48">
        <f t="shared" si="843"/>
        <v>-100</v>
      </c>
      <c r="H526" s="48">
        <f t="shared" si="843"/>
        <v>-100</v>
      </c>
      <c r="I526" s="48">
        <f t="shared" si="843"/>
        <v>-100</v>
      </c>
      <c r="J526" s="48">
        <f t="shared" si="843"/>
        <v>-100</v>
      </c>
      <c r="K526" s="48">
        <f t="shared" si="843"/>
        <v>-100</v>
      </c>
      <c r="L526" s="48">
        <f t="shared" si="843"/>
        <v>-100</v>
      </c>
      <c r="M526" s="48">
        <f t="shared" si="843"/>
        <v>-100</v>
      </c>
      <c r="N526" s="161">
        <f t="shared" si="843"/>
        <v>-100</v>
      </c>
      <c r="O526" s="161">
        <f t="shared" si="843"/>
        <v>-100</v>
      </c>
      <c r="P526" s="161">
        <f t="shared" ref="P526" si="844">P294</f>
        <v>-100</v>
      </c>
      <c r="Q526" s="51">
        <f t="shared" ref="Q526" si="845">Q294</f>
        <v>-100</v>
      </c>
    </row>
    <row r="527" spans="1:17" x14ac:dyDescent="0.2">
      <c r="A527" s="655" t="s">
        <v>4299</v>
      </c>
      <c r="B527" s="48">
        <f t="shared" ref="B527:O527" si="846">B295</f>
        <v>-2745</v>
      </c>
      <c r="C527" s="48">
        <f t="shared" si="846"/>
        <v>0</v>
      </c>
      <c r="D527" s="48">
        <f t="shared" si="846"/>
        <v>0</v>
      </c>
      <c r="E527" s="48">
        <f t="shared" si="846"/>
        <v>-163</v>
      </c>
      <c r="F527" s="48">
        <f t="shared" si="846"/>
        <v>0</v>
      </c>
      <c r="G527" s="48">
        <f t="shared" si="846"/>
        <v>0</v>
      </c>
      <c r="H527" s="48">
        <f t="shared" si="846"/>
        <v>0</v>
      </c>
      <c r="I527" s="48">
        <f t="shared" si="846"/>
        <v>0</v>
      </c>
      <c r="J527" s="48">
        <f t="shared" si="846"/>
        <v>0</v>
      </c>
      <c r="K527" s="48">
        <f t="shared" si="846"/>
        <v>0</v>
      </c>
      <c r="L527" s="48">
        <f t="shared" si="846"/>
        <v>0</v>
      </c>
      <c r="M527" s="48">
        <f t="shared" si="846"/>
        <v>0</v>
      </c>
      <c r="N527" s="161">
        <f t="shared" si="846"/>
        <v>0</v>
      </c>
      <c r="O527" s="161">
        <f t="shared" si="846"/>
        <v>0</v>
      </c>
      <c r="P527" s="161">
        <f t="shared" ref="P527" si="847">P295</f>
        <v>0</v>
      </c>
      <c r="Q527" s="51">
        <f t="shared" ref="Q527" si="848">Q295</f>
        <v>0</v>
      </c>
    </row>
    <row r="528" spans="1:17" x14ac:dyDescent="0.2">
      <c r="A528" s="655" t="s">
        <v>4296</v>
      </c>
      <c r="B528" s="48">
        <f t="shared" ref="B528:M528" si="849">-B519</f>
        <v>-4591</v>
      </c>
      <c r="C528" s="48">
        <f t="shared" si="849"/>
        <v>-6910</v>
      </c>
      <c r="D528" s="48">
        <f t="shared" si="849"/>
        <v>-6561.4</v>
      </c>
      <c r="E528" s="48">
        <f t="shared" si="849"/>
        <v>-5993.6</v>
      </c>
      <c r="F528" s="48">
        <f t="shared" si="849"/>
        <v>-5523</v>
      </c>
      <c r="G528" s="48">
        <f t="shared" si="849"/>
        <v>-5620.4</v>
      </c>
      <c r="H528" s="48">
        <f t="shared" si="849"/>
        <v>-5173.3</v>
      </c>
      <c r="I528" s="48">
        <f t="shared" si="849"/>
        <v>-4892.6000000000004</v>
      </c>
      <c r="J528" s="48">
        <f t="shared" si="849"/>
        <v>-4490.5</v>
      </c>
      <c r="K528" s="48">
        <f t="shared" si="849"/>
        <v>-4470.6000000000004</v>
      </c>
      <c r="L528" s="48">
        <f t="shared" si="849"/>
        <v>-4109.7999999999993</v>
      </c>
      <c r="M528" s="48">
        <f t="shared" si="849"/>
        <v>-3790.2000000000003</v>
      </c>
      <c r="N528" s="161">
        <f t="shared" ref="N528:O528" si="850">-N519</f>
        <v>-3490.9</v>
      </c>
      <c r="O528" s="161">
        <f t="shared" si="850"/>
        <v>-3212</v>
      </c>
      <c r="P528" s="161">
        <f t="shared" ref="P528" si="851">-P519</f>
        <v>-2952.2000000000003</v>
      </c>
      <c r="Q528" s="51">
        <f t="shared" ref="Q528" si="852">-Q519</f>
        <v>-2690.3</v>
      </c>
    </row>
    <row r="529" spans="1:17" x14ac:dyDescent="0.2">
      <c r="A529" s="655" t="s">
        <v>4297</v>
      </c>
      <c r="B529" s="48">
        <v>-20428</v>
      </c>
      <c r="C529" s="48">
        <v>-20305</v>
      </c>
      <c r="D529" s="48">
        <f>-Summaries!C20/1000</f>
        <v>-17937.3</v>
      </c>
      <c r="E529" s="48">
        <f>-Summaries!D20/1000</f>
        <v>-19197.599999999999</v>
      </c>
      <c r="F529" s="48">
        <f>-Summaries!E20/1000</f>
        <v>-15978.6</v>
      </c>
      <c r="G529" s="48">
        <f>-Summaries!F20/1000</f>
        <v>-18538.900000000001</v>
      </c>
      <c r="H529" s="48">
        <f>-Summaries!G20/1000</f>
        <v>-19013.400000000001</v>
      </c>
      <c r="I529" s="48">
        <f>-Summaries!H20/1000</f>
        <v>-19486.2</v>
      </c>
      <c r="J529" s="48">
        <f>-Summaries!I20/1000</f>
        <v>-19877.8</v>
      </c>
      <c r="K529" s="48">
        <f>-Summaries!J20/1000</f>
        <v>-20276.7</v>
      </c>
      <c r="L529" s="48">
        <f>-Summaries!K20/1000</f>
        <v>-20684</v>
      </c>
      <c r="M529" s="48">
        <f>-Summaries!L20/1000</f>
        <v>-21098.6</v>
      </c>
      <c r="N529" s="161">
        <f>-Summaries!M20/1000</f>
        <v>-21522</v>
      </c>
      <c r="O529" s="161">
        <f>-Summaries!N20/1000</f>
        <v>-21954.3</v>
      </c>
      <c r="P529" s="161">
        <f>-Summaries!O20/1000</f>
        <v>-22394.3</v>
      </c>
      <c r="Q529" s="51">
        <f>-Summaries!P20/1000</f>
        <v>-22843</v>
      </c>
    </row>
    <row r="530" spans="1:17" x14ac:dyDescent="0.2">
      <c r="A530" s="657" t="s">
        <v>2811</v>
      </c>
      <c r="B530" s="944">
        <f t="shared" ref="B530:M530" si="853">SUM(B521:B524)-SUM(B525:B529)</f>
        <v>19556.199999999997</v>
      </c>
      <c r="C530" s="944">
        <f t="shared" si="853"/>
        <v>15657.900000000009</v>
      </c>
      <c r="D530" s="944">
        <f t="shared" si="853"/>
        <v>20267.099999999991</v>
      </c>
      <c r="E530" s="944">
        <f t="shared" si="853"/>
        <v>21736.700000000004</v>
      </c>
      <c r="F530" s="944">
        <f t="shared" si="853"/>
        <v>23888.1</v>
      </c>
      <c r="G530" s="944">
        <f t="shared" si="853"/>
        <v>22097.799999999996</v>
      </c>
      <c r="H530" s="944">
        <f t="shared" si="853"/>
        <v>24442.299999999996</v>
      </c>
      <c r="I530" s="944">
        <f t="shared" si="853"/>
        <v>24913.699999999997</v>
      </c>
      <c r="J530" s="944">
        <f t="shared" si="853"/>
        <v>25210.300000000003</v>
      </c>
      <c r="K530" s="944">
        <f t="shared" si="853"/>
        <v>26015.800000000003</v>
      </c>
      <c r="L530" s="944">
        <f t="shared" si="853"/>
        <v>26656.5</v>
      </c>
      <c r="M530" s="731">
        <f t="shared" si="853"/>
        <v>27353.100000000006</v>
      </c>
      <c r="N530" s="981">
        <f t="shared" ref="N530:O530" si="854">SUM(N521:N524)-SUM(N525:N529)</f>
        <v>27773.799999999988</v>
      </c>
      <c r="O530" s="981">
        <f t="shared" si="854"/>
        <v>29085.700000000012</v>
      </c>
      <c r="P530" s="981">
        <f t="shared" ref="P530" si="855">SUM(P521:P524)-SUM(P525:P529)</f>
        <v>30264.000000000015</v>
      </c>
      <c r="Q530" s="2470">
        <f t="shared" ref="Q530" si="856">SUM(Q521:Q524)-SUM(Q525:Q529)</f>
        <v>31414.999999999985</v>
      </c>
    </row>
    <row r="531" spans="1:17" s="1250" customFormat="1" x14ac:dyDescent="0.2">
      <c r="A531" s="657" t="s">
        <v>4148</v>
      </c>
      <c r="B531" s="930">
        <f t="shared" ref="B531:M531" si="857">B530/B520</f>
        <v>2.4290398708234999</v>
      </c>
      <c r="C531" s="930">
        <f t="shared" si="857"/>
        <v>1.2515106464607717</v>
      </c>
      <c r="D531" s="930">
        <f t="shared" si="857"/>
        <v>1.6688020288685592</v>
      </c>
      <c r="E531" s="930">
        <f t="shared" si="857"/>
        <v>1.7284546509963583</v>
      </c>
      <c r="F531" s="930">
        <f t="shared" si="857"/>
        <v>1.961723234596086</v>
      </c>
      <c r="G531" s="930">
        <f t="shared" si="857"/>
        <v>1.84122249348009</v>
      </c>
      <c r="H531" s="930">
        <f t="shared" si="857"/>
        <v>2.1012800784037271</v>
      </c>
      <c r="I531" s="930">
        <f t="shared" si="857"/>
        <v>2.1523714902807773</v>
      </c>
      <c r="J531" s="930">
        <f t="shared" si="857"/>
        <v>2.5022878638993937</v>
      </c>
      <c r="K531" s="930">
        <f t="shared" si="857"/>
        <v>2.4176455282135163</v>
      </c>
      <c r="L531" s="930">
        <f t="shared" si="857"/>
        <v>2.6296500902642821</v>
      </c>
      <c r="M531" s="930">
        <f t="shared" si="857"/>
        <v>2.9462623869021978</v>
      </c>
      <c r="N531" s="978">
        <f t="shared" ref="N531:O531" si="858">N530/N520</f>
        <v>3.1150865308045166</v>
      </c>
      <c r="O531" s="978">
        <f t="shared" si="858"/>
        <v>3.5421121854982114</v>
      </c>
      <c r="P531" s="978">
        <f t="shared" ref="P531" si="859">P530/P520</f>
        <v>3.7121899762039119</v>
      </c>
      <c r="Q531" s="2467">
        <f t="shared" ref="Q531" si="860">Q530/Q520</f>
        <v>3.8533719304271012</v>
      </c>
    </row>
    <row r="532" spans="1:17" x14ac:dyDescent="0.2">
      <c r="A532" s="841"/>
      <c r="B532" s="1483"/>
      <c r="C532" s="1483"/>
      <c r="D532" s="1483"/>
      <c r="E532" s="1483"/>
      <c r="F532" s="1483"/>
      <c r="G532" s="1483"/>
      <c r="H532" s="1483"/>
      <c r="I532" s="1483"/>
      <c r="J532" s="1483"/>
      <c r="K532" s="1483"/>
      <c r="L532" s="1483"/>
      <c r="M532" s="989"/>
      <c r="N532" s="968"/>
      <c r="O532" s="968"/>
      <c r="P532" s="968"/>
      <c r="Q532" s="2458"/>
    </row>
    <row r="533" spans="1:17" s="726" customFormat="1" x14ac:dyDescent="0.2">
      <c r="A533" s="823" t="s">
        <v>4260</v>
      </c>
      <c r="B533" s="953"/>
      <c r="C533" s="953"/>
      <c r="D533" s="953"/>
      <c r="E533" s="953"/>
      <c r="F533" s="953"/>
      <c r="G533" s="953"/>
      <c r="H533" s="953"/>
      <c r="I533" s="953"/>
      <c r="J533" s="953"/>
      <c r="K533" s="953"/>
      <c r="L533" s="953"/>
      <c r="M533" s="953"/>
      <c r="N533" s="1245"/>
      <c r="O533" s="1245"/>
      <c r="P533" s="1245"/>
      <c r="Q533" s="2474"/>
    </row>
    <row r="534" spans="1:17" s="726" customFormat="1" x14ac:dyDescent="0.2">
      <c r="A534" s="655" t="s">
        <v>4145</v>
      </c>
      <c r="B534" s="48">
        <f t="shared" ref="B534:M534" si="861">B480</f>
        <v>2475</v>
      </c>
      <c r="C534" s="48">
        <f t="shared" si="861"/>
        <v>3216.2</v>
      </c>
      <c r="D534" s="48">
        <f t="shared" si="861"/>
        <v>3395.4</v>
      </c>
      <c r="E534" s="557">
        <f t="shared" si="861"/>
        <v>3788.9</v>
      </c>
      <c r="F534" s="557">
        <f t="shared" si="861"/>
        <v>3696.2</v>
      </c>
      <c r="G534" s="557">
        <f t="shared" si="861"/>
        <v>3285.7</v>
      </c>
      <c r="H534" s="557">
        <f t="shared" si="861"/>
        <v>3324.8</v>
      </c>
      <c r="I534" s="557">
        <f t="shared" si="861"/>
        <v>3402.1</v>
      </c>
      <c r="J534" s="557">
        <f t="shared" si="861"/>
        <v>3130.9</v>
      </c>
      <c r="K534" s="557">
        <f t="shared" si="861"/>
        <v>3636.1</v>
      </c>
      <c r="L534" s="557">
        <f t="shared" si="861"/>
        <v>3183</v>
      </c>
      <c r="M534" s="557">
        <f t="shared" si="861"/>
        <v>2456.8000000000002</v>
      </c>
      <c r="N534" s="977">
        <f t="shared" ref="N534:O534" si="862">N480</f>
        <v>2190</v>
      </c>
      <c r="O534" s="977">
        <f t="shared" si="862"/>
        <v>1569.4</v>
      </c>
      <c r="P534" s="977">
        <f t="shared" ref="P534" si="863">P480</f>
        <v>1573.4</v>
      </c>
      <c r="Q534" s="2466">
        <f t="shared" ref="Q534" si="864">Q480</f>
        <v>1637.3</v>
      </c>
    </row>
    <row r="535" spans="1:17" s="726" customFormat="1" x14ac:dyDescent="0.2">
      <c r="A535" s="655" t="s">
        <v>4146</v>
      </c>
      <c r="B535" s="48">
        <f t="shared" ref="B535:M535" si="865">B481</f>
        <v>889</v>
      </c>
      <c r="C535" s="48">
        <f t="shared" si="865"/>
        <v>1749</v>
      </c>
      <c r="D535" s="48">
        <f t="shared" si="865"/>
        <v>1564.6</v>
      </c>
      <c r="E535" s="557">
        <f t="shared" si="865"/>
        <v>1334.3</v>
      </c>
      <c r="F535" s="557">
        <f t="shared" si="865"/>
        <v>1074.4000000000001</v>
      </c>
      <c r="G535" s="557">
        <f t="shared" si="865"/>
        <v>1370.5</v>
      </c>
      <c r="H535" s="557">
        <f t="shared" si="865"/>
        <v>1295</v>
      </c>
      <c r="I535" s="557">
        <f t="shared" si="865"/>
        <v>1225.5999999999999</v>
      </c>
      <c r="J535" s="557">
        <f t="shared" si="865"/>
        <v>1050.7</v>
      </c>
      <c r="K535" s="557">
        <f t="shared" si="865"/>
        <v>1231.4000000000001</v>
      </c>
      <c r="L535" s="557">
        <f t="shared" si="865"/>
        <v>1060.5999999999999</v>
      </c>
      <c r="M535" s="557">
        <f t="shared" si="865"/>
        <v>933.9</v>
      </c>
      <c r="N535" s="977">
        <f t="shared" ref="N535:O535" si="866">N481</f>
        <v>832.6</v>
      </c>
      <c r="O535" s="977">
        <f t="shared" si="866"/>
        <v>748.7</v>
      </c>
      <c r="P535" s="977">
        <f t="shared" ref="P535" si="867">P481</f>
        <v>685.9</v>
      </c>
      <c r="Q535" s="2466">
        <f t="shared" ref="Q535" si="868">Q481</f>
        <v>622</v>
      </c>
    </row>
    <row r="536" spans="1:17" s="285" customFormat="1" x14ac:dyDescent="0.2">
      <c r="A536" s="657" t="s">
        <v>2812</v>
      </c>
      <c r="B536" s="562">
        <f t="shared" ref="B536:M536" si="869">SUM(B534:B535)</f>
        <v>3364</v>
      </c>
      <c r="C536" s="562">
        <f t="shared" si="869"/>
        <v>4965.2</v>
      </c>
      <c r="D536" s="562">
        <f t="shared" si="869"/>
        <v>4960</v>
      </c>
      <c r="E536" s="562">
        <f t="shared" si="869"/>
        <v>5123.2</v>
      </c>
      <c r="F536" s="562">
        <f t="shared" si="869"/>
        <v>4770.6000000000004</v>
      </c>
      <c r="G536" s="562">
        <f t="shared" si="869"/>
        <v>4656.2</v>
      </c>
      <c r="H536" s="562">
        <f t="shared" si="869"/>
        <v>4619.8</v>
      </c>
      <c r="I536" s="562">
        <f t="shared" si="869"/>
        <v>4627.7</v>
      </c>
      <c r="J536" s="562">
        <f t="shared" si="869"/>
        <v>4181.6000000000004</v>
      </c>
      <c r="K536" s="562">
        <f t="shared" si="869"/>
        <v>4867.5</v>
      </c>
      <c r="L536" s="562">
        <f t="shared" si="869"/>
        <v>4243.6000000000004</v>
      </c>
      <c r="M536" s="562">
        <f t="shared" si="869"/>
        <v>3390.7000000000003</v>
      </c>
      <c r="N536" s="982">
        <f t="shared" ref="N536:O536" si="870">SUM(N534:N535)</f>
        <v>3022.6</v>
      </c>
      <c r="O536" s="982">
        <f t="shared" si="870"/>
        <v>2318.1000000000004</v>
      </c>
      <c r="P536" s="982">
        <f t="shared" ref="P536" si="871">SUM(P534:P535)</f>
        <v>2259.3000000000002</v>
      </c>
      <c r="Q536" s="2475">
        <f t="shared" ref="Q536" si="872">SUM(Q534:Q535)</f>
        <v>2259.3000000000002</v>
      </c>
    </row>
    <row r="537" spans="1:17" x14ac:dyDescent="0.2">
      <c r="A537" s="655" t="s">
        <v>4155</v>
      </c>
      <c r="B537" s="48">
        <f t="shared" ref="B537:O537" si="873">B303</f>
        <v>88988</v>
      </c>
      <c r="C537" s="48">
        <f t="shared" si="873"/>
        <v>56961</v>
      </c>
      <c r="D537" s="48">
        <f t="shared" si="873"/>
        <v>60802.2</v>
      </c>
      <c r="E537" s="48">
        <f t="shared" si="873"/>
        <v>61040.1</v>
      </c>
      <c r="F537" s="48">
        <f t="shared" si="873"/>
        <v>68045</v>
      </c>
      <c r="G537" s="48">
        <f t="shared" si="873"/>
        <v>68149.2</v>
      </c>
      <c r="H537" s="48">
        <f t="shared" si="873"/>
        <v>63511</v>
      </c>
      <c r="I537" s="48">
        <f t="shared" si="873"/>
        <v>62534</v>
      </c>
      <c r="J537" s="48">
        <f t="shared" si="873"/>
        <v>69057.5</v>
      </c>
      <c r="K537" s="48">
        <f t="shared" si="873"/>
        <v>71397.100000000006</v>
      </c>
      <c r="L537" s="48">
        <f t="shared" si="873"/>
        <v>64501.8</v>
      </c>
      <c r="M537" s="659">
        <f t="shared" si="873"/>
        <v>67003.8</v>
      </c>
      <c r="N537" s="679">
        <f t="shared" si="873"/>
        <v>67997.7</v>
      </c>
      <c r="O537" s="679">
        <f t="shared" si="873"/>
        <v>70592.399999999994</v>
      </c>
      <c r="P537" s="679">
        <f t="shared" ref="P537" si="874">P303</f>
        <v>71803.899999999994</v>
      </c>
      <c r="Q537" s="660">
        <f t="shared" ref="Q537" si="875">Q303</f>
        <v>74469.5</v>
      </c>
    </row>
    <row r="538" spans="1:17" x14ac:dyDescent="0.2">
      <c r="A538" s="655" t="s">
        <v>4291</v>
      </c>
      <c r="B538" s="48">
        <f t="shared" ref="B538:O538" si="876">B305</f>
        <v>0</v>
      </c>
      <c r="C538" s="48">
        <f t="shared" si="876"/>
        <v>0</v>
      </c>
      <c r="D538" s="48">
        <f t="shared" si="876"/>
        <v>0</v>
      </c>
      <c r="E538" s="48">
        <f t="shared" si="876"/>
        <v>0</v>
      </c>
      <c r="F538" s="48">
        <f t="shared" si="876"/>
        <v>0</v>
      </c>
      <c r="G538" s="48">
        <f t="shared" si="876"/>
        <v>0</v>
      </c>
      <c r="H538" s="48">
        <f t="shared" si="876"/>
        <v>0</v>
      </c>
      <c r="I538" s="48">
        <f t="shared" si="876"/>
        <v>0</v>
      </c>
      <c r="J538" s="48">
        <f t="shared" si="876"/>
        <v>0</v>
      </c>
      <c r="K538" s="48">
        <f t="shared" si="876"/>
        <v>0</v>
      </c>
      <c r="L538" s="48">
        <f t="shared" si="876"/>
        <v>0</v>
      </c>
      <c r="M538" s="48">
        <f t="shared" si="876"/>
        <v>0</v>
      </c>
      <c r="N538" s="161">
        <f t="shared" si="876"/>
        <v>0</v>
      </c>
      <c r="O538" s="161">
        <f t="shared" si="876"/>
        <v>0</v>
      </c>
      <c r="P538" s="161">
        <f t="shared" ref="P538" si="877">P305</f>
        <v>0</v>
      </c>
      <c r="Q538" s="51">
        <f t="shared" ref="Q538" si="878">Q305</f>
        <v>0</v>
      </c>
    </row>
    <row r="539" spans="1:17" x14ac:dyDescent="0.2">
      <c r="A539" s="655" t="s">
        <v>4290</v>
      </c>
      <c r="B539" s="48">
        <f t="shared" ref="B539:O539" si="879">B306</f>
        <v>-414</v>
      </c>
      <c r="C539" s="48">
        <f t="shared" si="879"/>
        <v>-333</v>
      </c>
      <c r="D539" s="48">
        <f t="shared" si="879"/>
        <v>0</v>
      </c>
      <c r="E539" s="48">
        <f t="shared" si="879"/>
        <v>0</v>
      </c>
      <c r="F539" s="48">
        <f t="shared" si="879"/>
        <v>0</v>
      </c>
      <c r="G539" s="48">
        <f t="shared" si="879"/>
        <v>0</v>
      </c>
      <c r="H539" s="48">
        <f t="shared" si="879"/>
        <v>0</v>
      </c>
      <c r="I539" s="48">
        <f t="shared" si="879"/>
        <v>0</v>
      </c>
      <c r="J539" s="48">
        <f t="shared" si="879"/>
        <v>0</v>
      </c>
      <c r="K539" s="48">
        <f t="shared" si="879"/>
        <v>0</v>
      </c>
      <c r="L539" s="48">
        <f t="shared" si="879"/>
        <v>0</v>
      </c>
      <c r="M539" s="48">
        <f t="shared" si="879"/>
        <v>0</v>
      </c>
      <c r="N539" s="161">
        <f t="shared" si="879"/>
        <v>0</v>
      </c>
      <c r="O539" s="161">
        <f t="shared" si="879"/>
        <v>0</v>
      </c>
      <c r="P539" s="161">
        <f t="shared" ref="P539" si="880">P306</f>
        <v>0</v>
      </c>
      <c r="Q539" s="51">
        <f t="shared" ref="Q539" si="881">Q306</f>
        <v>0</v>
      </c>
    </row>
    <row r="540" spans="1:17" x14ac:dyDescent="0.2">
      <c r="A540" s="655" t="s">
        <v>4285</v>
      </c>
      <c r="B540" s="48">
        <f t="shared" ref="B540:O540" si="882">B307</f>
        <v>-37059</v>
      </c>
      <c r="C540" s="48">
        <f t="shared" si="882"/>
        <v>-10914</v>
      </c>
      <c r="D540" s="48">
        <f t="shared" si="882"/>
        <v>-12768</v>
      </c>
      <c r="E540" s="48">
        <f t="shared" si="882"/>
        <v>-11484.1</v>
      </c>
      <c r="F540" s="48">
        <f t="shared" si="882"/>
        <v>-11107</v>
      </c>
      <c r="G540" s="48">
        <f t="shared" si="882"/>
        <v>-16009.8</v>
      </c>
      <c r="H540" s="48">
        <f t="shared" si="882"/>
        <v>-11968.1</v>
      </c>
      <c r="I540" s="48">
        <f t="shared" si="882"/>
        <v>-8754.7999999999993</v>
      </c>
      <c r="J540" s="48">
        <f t="shared" si="882"/>
        <v>-14972</v>
      </c>
      <c r="K540" s="48">
        <f t="shared" si="882"/>
        <v>-15344.1</v>
      </c>
      <c r="L540" s="48">
        <f t="shared" si="882"/>
        <v>-7726</v>
      </c>
      <c r="M540" s="48">
        <f t="shared" si="882"/>
        <v>-7917.7</v>
      </c>
      <c r="N540" s="161">
        <f t="shared" si="882"/>
        <v>-8113.4</v>
      </c>
      <c r="O540" s="161">
        <f t="shared" si="882"/>
        <v>-8313.9</v>
      </c>
      <c r="P540" s="161">
        <f t="shared" ref="P540" si="883">P307</f>
        <v>-8520.2000000000007</v>
      </c>
      <c r="Q540" s="51">
        <f t="shared" ref="Q540" si="884">Q307</f>
        <v>-8731.6</v>
      </c>
    </row>
    <row r="541" spans="1:17" x14ac:dyDescent="0.2">
      <c r="A541" s="655" t="s">
        <v>4161</v>
      </c>
      <c r="B541" s="48">
        <f t="shared" ref="B541:O541" si="885">B310</f>
        <v>59257</v>
      </c>
      <c r="C541" s="48">
        <f t="shared" si="885"/>
        <v>56596</v>
      </c>
      <c r="D541" s="48">
        <f t="shared" si="885"/>
        <v>51127</v>
      </c>
      <c r="E541" s="48">
        <f t="shared" si="885"/>
        <v>53166.1</v>
      </c>
      <c r="F541" s="48">
        <f t="shared" si="885"/>
        <v>55695</v>
      </c>
      <c r="G541" s="48">
        <f t="shared" si="885"/>
        <v>55275</v>
      </c>
      <c r="H541" s="48">
        <f t="shared" si="885"/>
        <v>53035.8</v>
      </c>
      <c r="I541" s="48">
        <f t="shared" si="885"/>
        <v>55280.9</v>
      </c>
      <c r="J541" s="48">
        <f t="shared" si="885"/>
        <v>55654.3</v>
      </c>
      <c r="K541" s="48">
        <f t="shared" si="885"/>
        <v>57624.9</v>
      </c>
      <c r="L541" s="48">
        <f t="shared" si="885"/>
        <v>57963.1</v>
      </c>
      <c r="M541" s="48">
        <f t="shared" si="885"/>
        <v>60084.3</v>
      </c>
      <c r="N541" s="161">
        <f t="shared" si="885"/>
        <v>60976</v>
      </c>
      <c r="O541" s="161">
        <f t="shared" si="885"/>
        <v>62655.4</v>
      </c>
      <c r="P541" s="161">
        <f t="shared" ref="P541" si="886">P310</f>
        <v>63235.5</v>
      </c>
      <c r="Q541" s="51">
        <f t="shared" ref="Q541" si="887">Q310</f>
        <v>65356.7</v>
      </c>
    </row>
    <row r="542" spans="1:17" x14ac:dyDescent="0.2">
      <c r="A542" s="655" t="s">
        <v>4298</v>
      </c>
      <c r="B542" s="48">
        <f t="shared" ref="B542:O542" si="888">B312</f>
        <v>-3171</v>
      </c>
      <c r="C542" s="48">
        <f t="shared" si="888"/>
        <v>-2617</v>
      </c>
      <c r="D542" s="48">
        <f t="shared" si="888"/>
        <v>0</v>
      </c>
      <c r="E542" s="48">
        <f t="shared" si="888"/>
        <v>-569</v>
      </c>
      <c r="F542" s="48">
        <f t="shared" si="888"/>
        <v>-100</v>
      </c>
      <c r="G542" s="48">
        <f t="shared" si="888"/>
        <v>-100</v>
      </c>
      <c r="H542" s="48">
        <f t="shared" si="888"/>
        <v>-100</v>
      </c>
      <c r="I542" s="48">
        <f t="shared" si="888"/>
        <v>-100</v>
      </c>
      <c r="J542" s="48">
        <f t="shared" si="888"/>
        <v>-100</v>
      </c>
      <c r="K542" s="48">
        <f t="shared" si="888"/>
        <v>-100</v>
      </c>
      <c r="L542" s="48">
        <f t="shared" si="888"/>
        <v>-100</v>
      </c>
      <c r="M542" s="48">
        <f t="shared" si="888"/>
        <v>-100</v>
      </c>
      <c r="N542" s="161">
        <f t="shared" si="888"/>
        <v>-100</v>
      </c>
      <c r="O542" s="161">
        <f t="shared" si="888"/>
        <v>-100</v>
      </c>
      <c r="P542" s="161">
        <f t="shared" ref="P542" si="889">P312</f>
        <v>-100</v>
      </c>
      <c r="Q542" s="51">
        <f t="shared" ref="Q542" si="890">Q312</f>
        <v>-100</v>
      </c>
    </row>
    <row r="543" spans="1:17" x14ac:dyDescent="0.2">
      <c r="A543" s="655" t="s">
        <v>4299</v>
      </c>
      <c r="B543" s="48">
        <f t="shared" ref="B543:O543" si="891">B313</f>
        <v>-2745</v>
      </c>
      <c r="C543" s="48">
        <f t="shared" si="891"/>
        <v>0</v>
      </c>
      <c r="D543" s="48">
        <f t="shared" si="891"/>
        <v>0</v>
      </c>
      <c r="E543" s="48">
        <f t="shared" si="891"/>
        <v>-163</v>
      </c>
      <c r="F543" s="48">
        <f t="shared" si="891"/>
        <v>0</v>
      </c>
      <c r="G543" s="48">
        <f t="shared" si="891"/>
        <v>0</v>
      </c>
      <c r="H543" s="48">
        <f t="shared" si="891"/>
        <v>0</v>
      </c>
      <c r="I543" s="48">
        <f t="shared" si="891"/>
        <v>0</v>
      </c>
      <c r="J543" s="48">
        <f t="shared" si="891"/>
        <v>0</v>
      </c>
      <c r="K543" s="48">
        <f t="shared" si="891"/>
        <v>0</v>
      </c>
      <c r="L543" s="48">
        <f t="shared" si="891"/>
        <v>0</v>
      </c>
      <c r="M543" s="48">
        <f t="shared" si="891"/>
        <v>0</v>
      </c>
      <c r="N543" s="161">
        <f t="shared" si="891"/>
        <v>0</v>
      </c>
      <c r="O543" s="161">
        <f t="shared" si="891"/>
        <v>0</v>
      </c>
      <c r="P543" s="161">
        <f t="shared" ref="P543" si="892">P313</f>
        <v>0</v>
      </c>
      <c r="Q543" s="51">
        <f t="shared" ref="Q543" si="893">Q313</f>
        <v>0</v>
      </c>
    </row>
    <row r="544" spans="1:17" x14ac:dyDescent="0.2">
      <c r="A544" s="655" t="s">
        <v>4296</v>
      </c>
      <c r="B544" s="48">
        <f t="shared" ref="B544:M544" si="894">-B535</f>
        <v>-889</v>
      </c>
      <c r="C544" s="48">
        <f t="shared" si="894"/>
        <v>-1749</v>
      </c>
      <c r="D544" s="48">
        <f t="shared" si="894"/>
        <v>-1564.6</v>
      </c>
      <c r="E544" s="48">
        <f t="shared" si="894"/>
        <v>-1334.3</v>
      </c>
      <c r="F544" s="48">
        <f t="shared" si="894"/>
        <v>-1074.4000000000001</v>
      </c>
      <c r="G544" s="48">
        <f t="shared" si="894"/>
        <v>-1370.5</v>
      </c>
      <c r="H544" s="48">
        <f t="shared" si="894"/>
        <v>-1295</v>
      </c>
      <c r="I544" s="48">
        <f t="shared" si="894"/>
        <v>-1225.5999999999999</v>
      </c>
      <c r="J544" s="48">
        <f t="shared" si="894"/>
        <v>-1050.7</v>
      </c>
      <c r="K544" s="48">
        <f t="shared" si="894"/>
        <v>-1231.4000000000001</v>
      </c>
      <c r="L544" s="48">
        <f t="shared" si="894"/>
        <v>-1060.5999999999999</v>
      </c>
      <c r="M544" s="48">
        <f t="shared" si="894"/>
        <v>-933.9</v>
      </c>
      <c r="N544" s="161">
        <f t="shared" ref="N544:O544" si="895">-N535</f>
        <v>-832.6</v>
      </c>
      <c r="O544" s="161">
        <f t="shared" si="895"/>
        <v>-748.7</v>
      </c>
      <c r="P544" s="161">
        <f t="shared" ref="P544" si="896">-P535</f>
        <v>-685.9</v>
      </c>
      <c r="Q544" s="51">
        <f t="shared" ref="Q544" si="897">-Q535</f>
        <v>-622</v>
      </c>
    </row>
    <row r="545" spans="1:17" x14ac:dyDescent="0.2">
      <c r="A545" s="655" t="s">
        <v>4297</v>
      </c>
      <c r="B545" s="48">
        <v>-15704</v>
      </c>
      <c r="C545" s="48">
        <v>-15803</v>
      </c>
      <c r="D545" s="48">
        <f>-Summaries!R20/1000</f>
        <v>-14144.3</v>
      </c>
      <c r="E545" s="48">
        <f>-Summaries!S20/1000</f>
        <v>-14166.8</v>
      </c>
      <c r="F545" s="48">
        <f>-Summaries!T20/1000</f>
        <v>-11005.7</v>
      </c>
      <c r="G545" s="48">
        <f>-Summaries!U20/1000</f>
        <v>-13383.9</v>
      </c>
      <c r="H545" s="48">
        <f>-Summaries!V20/1000</f>
        <v>-13754.8</v>
      </c>
      <c r="I545" s="48">
        <f>-Summaries!W20/1000</f>
        <v>-14122.4</v>
      </c>
      <c r="J545" s="48">
        <f>-Summaries!X20/1000</f>
        <v>-14406.2</v>
      </c>
      <c r="K545" s="48">
        <f>-Summaries!Y20/1000</f>
        <v>-14695.8</v>
      </c>
      <c r="L545" s="48">
        <f>-Summaries!Z20/1000</f>
        <v>-14991.2</v>
      </c>
      <c r="M545" s="651">
        <f>-Summaries!AA20/1000</f>
        <v>-15292.3</v>
      </c>
      <c r="N545" s="812">
        <f>-Summaries!AB20/1000</f>
        <v>-15599.6</v>
      </c>
      <c r="O545" s="812">
        <f>-Summaries!AC20/1000</f>
        <v>-15913.1</v>
      </c>
      <c r="P545" s="812">
        <f>-Summaries!AD20/1000</f>
        <v>-16232.7</v>
      </c>
      <c r="Q545" s="2476">
        <f>-Summaries!AE20/1000</f>
        <v>-16558.400000000001</v>
      </c>
    </row>
    <row r="546" spans="1:17" s="285" customFormat="1" x14ac:dyDescent="0.2">
      <c r="A546" s="657" t="s">
        <v>2811</v>
      </c>
      <c r="B546" s="944">
        <f t="shared" ref="B546:M546" si="898">SUM(B537:B540)-SUM(B541:B545)</f>
        <v>14767</v>
      </c>
      <c r="C546" s="944">
        <f t="shared" si="898"/>
        <v>9287</v>
      </c>
      <c r="D546" s="944">
        <f t="shared" si="898"/>
        <v>12616.099999999991</v>
      </c>
      <c r="E546" s="944">
        <f t="shared" si="898"/>
        <v>12623</v>
      </c>
      <c r="F546" s="944">
        <f t="shared" si="898"/>
        <v>13423.100000000006</v>
      </c>
      <c r="G546" s="944">
        <f t="shared" si="898"/>
        <v>11718.799999999996</v>
      </c>
      <c r="H546" s="944">
        <f t="shared" si="898"/>
        <v>13656.900000000001</v>
      </c>
      <c r="I546" s="944">
        <f t="shared" si="898"/>
        <v>13946.299999999996</v>
      </c>
      <c r="J546" s="944">
        <f t="shared" si="898"/>
        <v>13988.099999999991</v>
      </c>
      <c r="K546" s="944">
        <f t="shared" si="898"/>
        <v>14455.30000000001</v>
      </c>
      <c r="L546" s="944">
        <f t="shared" si="898"/>
        <v>14964.5</v>
      </c>
      <c r="M546" s="731">
        <f t="shared" si="898"/>
        <v>15328</v>
      </c>
      <c r="N546" s="981">
        <f t="shared" ref="N546:O546" si="899">SUM(N537:N540)-SUM(N541:N545)</f>
        <v>15440.499999999993</v>
      </c>
      <c r="O546" s="981">
        <f t="shared" si="899"/>
        <v>16384.899999999987</v>
      </c>
      <c r="P546" s="981">
        <f t="shared" ref="P546" si="900">SUM(P537:P540)-SUM(P541:P545)</f>
        <v>17066.800000000003</v>
      </c>
      <c r="Q546" s="2470">
        <f t="shared" ref="Q546" si="901">SUM(Q537:Q540)-SUM(Q541:Q545)</f>
        <v>17661.599999999999</v>
      </c>
    </row>
    <row r="547" spans="1:17" s="246" customFormat="1" x14ac:dyDescent="0.2">
      <c r="A547" s="657" t="s">
        <v>4261</v>
      </c>
      <c r="B547" s="930">
        <f t="shared" ref="B547:M547" si="902">B546/B536</f>
        <v>4.3897146254458974</v>
      </c>
      <c r="C547" s="930">
        <f t="shared" si="902"/>
        <v>1.8704181100459196</v>
      </c>
      <c r="D547" s="930">
        <f t="shared" si="902"/>
        <v>2.5435685483870949</v>
      </c>
      <c r="E547" s="930">
        <f t="shared" si="902"/>
        <v>2.4638897564022488</v>
      </c>
      <c r="F547" s="930">
        <f t="shared" si="902"/>
        <v>2.8137131597702605</v>
      </c>
      <c r="G547" s="930">
        <f t="shared" si="902"/>
        <v>2.5168162879601383</v>
      </c>
      <c r="H547" s="930">
        <f t="shared" si="902"/>
        <v>2.956166933633491</v>
      </c>
      <c r="I547" s="930">
        <f t="shared" si="902"/>
        <v>3.0136568921926652</v>
      </c>
      <c r="J547" s="930">
        <f t="shared" si="902"/>
        <v>3.3451549646068468</v>
      </c>
      <c r="K547" s="930">
        <f t="shared" si="902"/>
        <v>2.9697586029789442</v>
      </c>
      <c r="L547" s="930">
        <f t="shared" si="902"/>
        <v>3.5263691205580163</v>
      </c>
      <c r="M547" s="930">
        <f t="shared" si="902"/>
        <v>4.5206004659804755</v>
      </c>
      <c r="N547" s="978">
        <f t="shared" ref="N547:O547" si="903">N546/N536</f>
        <v>5.1083504267848845</v>
      </c>
      <c r="O547" s="978">
        <f t="shared" si="903"/>
        <v>7.0682455459212221</v>
      </c>
      <c r="P547" s="978">
        <f t="shared" ref="P547" si="904">P546/P536</f>
        <v>7.55402115699553</v>
      </c>
      <c r="Q547" s="2467">
        <f t="shared" ref="Q547" si="905">Q546/Q536</f>
        <v>7.8172885406984456</v>
      </c>
    </row>
    <row r="548" spans="1:17" x14ac:dyDescent="0.2">
      <c r="A548" s="841"/>
      <c r="B548" s="1483"/>
      <c r="C548" s="1483"/>
      <c r="D548" s="1483"/>
      <c r="E548" s="1483"/>
      <c r="F548" s="1483"/>
      <c r="G548" s="1483"/>
      <c r="H548" s="1483"/>
      <c r="I548" s="1483"/>
      <c r="J548" s="1483"/>
      <c r="K548" s="1483"/>
      <c r="L548" s="1483"/>
      <c r="M548" s="989"/>
      <c r="N548" s="968"/>
      <c r="O548" s="968"/>
      <c r="P548" s="968"/>
      <c r="Q548" s="2458"/>
    </row>
    <row r="549" spans="1:17" x14ac:dyDescent="0.2">
      <c r="A549" s="823" t="s">
        <v>4229</v>
      </c>
      <c r="B549" s="48"/>
      <c r="C549" s="48"/>
      <c r="D549" s="48"/>
      <c r="E549" s="48"/>
      <c r="F549" s="48"/>
      <c r="G549" s="48"/>
      <c r="H549" s="48"/>
      <c r="I549" s="48"/>
      <c r="J549" s="48"/>
      <c r="K549" s="48"/>
      <c r="L549" s="48"/>
      <c r="M549" s="659"/>
      <c r="N549" s="679"/>
      <c r="O549" s="679"/>
      <c r="P549" s="679"/>
      <c r="Q549" s="660"/>
    </row>
    <row r="550" spans="1:17" x14ac:dyDescent="0.2">
      <c r="A550" s="655" t="s">
        <v>4145</v>
      </c>
      <c r="B550" s="48">
        <f t="shared" ref="B550:M550" si="906">B492</f>
        <v>0</v>
      </c>
      <c r="C550" s="48">
        <f t="shared" si="906"/>
        <v>0</v>
      </c>
      <c r="D550" s="48">
        <f t="shared" si="906"/>
        <v>0</v>
      </c>
      <c r="E550" s="48">
        <f t="shared" si="906"/>
        <v>0</v>
      </c>
      <c r="F550" s="48">
        <f t="shared" si="906"/>
        <v>0</v>
      </c>
      <c r="G550" s="48">
        <f t="shared" si="906"/>
        <v>0</v>
      </c>
      <c r="H550" s="48">
        <f t="shared" si="906"/>
        <v>0</v>
      </c>
      <c r="I550" s="48">
        <f t="shared" si="906"/>
        <v>0</v>
      </c>
      <c r="J550" s="48">
        <f t="shared" si="906"/>
        <v>0</v>
      </c>
      <c r="K550" s="48">
        <f t="shared" si="906"/>
        <v>0</v>
      </c>
      <c r="L550" s="48">
        <f t="shared" si="906"/>
        <v>0</v>
      </c>
      <c r="M550" s="659">
        <f t="shared" si="906"/>
        <v>0</v>
      </c>
      <c r="N550" s="679">
        <f t="shared" ref="N550:O550" si="907">N492</f>
        <v>0</v>
      </c>
      <c r="O550" s="679">
        <f t="shared" si="907"/>
        <v>0</v>
      </c>
      <c r="P550" s="679">
        <f t="shared" ref="P550" si="908">P492</f>
        <v>0</v>
      </c>
      <c r="Q550" s="660">
        <f t="shared" ref="Q550" si="909">Q492</f>
        <v>0</v>
      </c>
    </row>
    <row r="551" spans="1:17" x14ac:dyDescent="0.2">
      <c r="A551" s="655" t="s">
        <v>4146</v>
      </c>
      <c r="B551" s="48">
        <f t="shared" ref="B551:M551" si="910">B493</f>
        <v>0</v>
      </c>
      <c r="C551" s="48">
        <f t="shared" si="910"/>
        <v>0</v>
      </c>
      <c r="D551" s="48">
        <f t="shared" si="910"/>
        <v>0</v>
      </c>
      <c r="E551" s="48">
        <f t="shared" si="910"/>
        <v>0</v>
      </c>
      <c r="F551" s="48">
        <f t="shared" si="910"/>
        <v>0</v>
      </c>
      <c r="G551" s="48">
        <f t="shared" si="910"/>
        <v>0</v>
      </c>
      <c r="H551" s="48">
        <f t="shared" si="910"/>
        <v>0</v>
      </c>
      <c r="I551" s="48">
        <f t="shared" si="910"/>
        <v>0</v>
      </c>
      <c r="J551" s="48">
        <f t="shared" si="910"/>
        <v>0</v>
      </c>
      <c r="K551" s="48">
        <f t="shared" si="910"/>
        <v>0</v>
      </c>
      <c r="L551" s="48">
        <f t="shared" si="910"/>
        <v>0</v>
      </c>
      <c r="M551" s="659">
        <f t="shared" si="910"/>
        <v>0</v>
      </c>
      <c r="N551" s="679">
        <f t="shared" ref="N551:O551" si="911">N493</f>
        <v>0</v>
      </c>
      <c r="O551" s="679">
        <f t="shared" si="911"/>
        <v>0</v>
      </c>
      <c r="P551" s="679">
        <f t="shared" ref="P551" si="912">P493</f>
        <v>0</v>
      </c>
      <c r="Q551" s="660">
        <f t="shared" ref="Q551" si="913">Q493</f>
        <v>0</v>
      </c>
    </row>
    <row r="552" spans="1:17" x14ac:dyDescent="0.2">
      <c r="A552" s="657" t="s">
        <v>2812</v>
      </c>
      <c r="B552" s="944">
        <f t="shared" ref="B552:M552" si="914">SUM(B550:B551)</f>
        <v>0</v>
      </c>
      <c r="C552" s="944">
        <f t="shared" si="914"/>
        <v>0</v>
      </c>
      <c r="D552" s="944">
        <f t="shared" si="914"/>
        <v>0</v>
      </c>
      <c r="E552" s="944">
        <f t="shared" si="914"/>
        <v>0</v>
      </c>
      <c r="F552" s="944">
        <f t="shared" si="914"/>
        <v>0</v>
      </c>
      <c r="G552" s="944">
        <f t="shared" si="914"/>
        <v>0</v>
      </c>
      <c r="H552" s="944">
        <f t="shared" si="914"/>
        <v>0</v>
      </c>
      <c r="I552" s="944">
        <f t="shared" si="914"/>
        <v>0</v>
      </c>
      <c r="J552" s="944">
        <f t="shared" si="914"/>
        <v>0</v>
      </c>
      <c r="K552" s="944">
        <f t="shared" si="914"/>
        <v>0</v>
      </c>
      <c r="L552" s="944">
        <f t="shared" si="914"/>
        <v>0</v>
      </c>
      <c r="M552" s="731">
        <f t="shared" si="914"/>
        <v>0</v>
      </c>
      <c r="N552" s="981">
        <f t="shared" ref="N552:O552" si="915">SUM(N550:N551)</f>
        <v>0</v>
      </c>
      <c r="O552" s="981">
        <f t="shared" si="915"/>
        <v>0</v>
      </c>
      <c r="P552" s="981">
        <f t="shared" ref="P552" si="916">SUM(P550:P551)</f>
        <v>0</v>
      </c>
      <c r="Q552" s="2470">
        <f t="shared" ref="Q552" si="917">SUM(Q550:Q551)</f>
        <v>0</v>
      </c>
    </row>
    <row r="553" spans="1:17" x14ac:dyDescent="0.2">
      <c r="A553" s="655" t="s">
        <v>4155</v>
      </c>
      <c r="B553" s="48">
        <f t="shared" ref="B553:O553" si="918">B320</f>
        <v>10641</v>
      </c>
      <c r="C553" s="48">
        <f t="shared" si="918"/>
        <v>11540.4</v>
      </c>
      <c r="D553" s="48">
        <f t="shared" si="918"/>
        <v>11873.9</v>
      </c>
      <c r="E553" s="48">
        <f t="shared" si="918"/>
        <v>12259</v>
      </c>
      <c r="F553" s="48">
        <f t="shared" si="918"/>
        <v>12878.9</v>
      </c>
      <c r="G553" s="48">
        <f t="shared" si="918"/>
        <v>12553.4</v>
      </c>
      <c r="H553" s="48">
        <f t="shared" si="918"/>
        <v>12943.7</v>
      </c>
      <c r="I553" s="48">
        <f t="shared" si="918"/>
        <v>13152.1</v>
      </c>
      <c r="J553" s="48">
        <f t="shared" si="918"/>
        <v>13448.4</v>
      </c>
      <c r="K553" s="48">
        <f t="shared" si="918"/>
        <v>13859.4</v>
      </c>
      <c r="L553" s="48">
        <f t="shared" si="918"/>
        <v>14155.3</v>
      </c>
      <c r="M553" s="659">
        <f t="shared" si="918"/>
        <v>14501</v>
      </c>
      <c r="N553" s="679">
        <f t="shared" si="918"/>
        <v>14860.9</v>
      </c>
      <c r="O553" s="679">
        <f t="shared" si="918"/>
        <v>15241.2</v>
      </c>
      <c r="P553" s="679">
        <f t="shared" ref="P553" si="919">P320</f>
        <v>15723.1</v>
      </c>
      <c r="Q553" s="660">
        <f t="shared" ref="Q553" si="920">Q320</f>
        <v>16225.1</v>
      </c>
    </row>
    <row r="554" spans="1:17" x14ac:dyDescent="0.2">
      <c r="A554" s="655" t="s">
        <v>4291</v>
      </c>
      <c r="B554" s="48">
        <f t="shared" ref="B554:O554" si="921">B321</f>
        <v>0</v>
      </c>
      <c r="C554" s="48">
        <f t="shared" si="921"/>
        <v>0</v>
      </c>
      <c r="D554" s="48">
        <f t="shared" si="921"/>
        <v>0</v>
      </c>
      <c r="E554" s="48">
        <f t="shared" si="921"/>
        <v>0</v>
      </c>
      <c r="F554" s="48">
        <f t="shared" si="921"/>
        <v>0</v>
      </c>
      <c r="G554" s="48">
        <f t="shared" si="921"/>
        <v>0</v>
      </c>
      <c r="H554" s="48">
        <f t="shared" si="921"/>
        <v>0</v>
      </c>
      <c r="I554" s="48">
        <f t="shared" si="921"/>
        <v>0</v>
      </c>
      <c r="J554" s="48">
        <f t="shared" si="921"/>
        <v>0</v>
      </c>
      <c r="K554" s="48">
        <f t="shared" si="921"/>
        <v>0</v>
      </c>
      <c r="L554" s="48">
        <f t="shared" si="921"/>
        <v>0</v>
      </c>
      <c r="M554" s="48">
        <f t="shared" si="921"/>
        <v>0</v>
      </c>
      <c r="N554" s="161">
        <f t="shared" si="921"/>
        <v>0</v>
      </c>
      <c r="O554" s="161">
        <f t="shared" si="921"/>
        <v>0</v>
      </c>
      <c r="P554" s="161">
        <f t="shared" ref="P554" si="922">P321</f>
        <v>0</v>
      </c>
      <c r="Q554" s="51">
        <f t="shared" ref="Q554" si="923">Q321</f>
        <v>0</v>
      </c>
    </row>
    <row r="555" spans="1:17" x14ac:dyDescent="0.2">
      <c r="A555" s="655" t="s">
        <v>4290</v>
      </c>
      <c r="B555" s="48">
        <f t="shared" ref="B555:O555" si="924">B322</f>
        <v>0</v>
      </c>
      <c r="C555" s="48">
        <f t="shared" si="924"/>
        <v>0</v>
      </c>
      <c r="D555" s="48">
        <f t="shared" si="924"/>
        <v>0</v>
      </c>
      <c r="E555" s="48">
        <f t="shared" si="924"/>
        <v>0</v>
      </c>
      <c r="F555" s="48">
        <f t="shared" si="924"/>
        <v>0</v>
      </c>
      <c r="G555" s="48">
        <f t="shared" si="924"/>
        <v>0</v>
      </c>
      <c r="H555" s="48">
        <f t="shared" si="924"/>
        <v>0</v>
      </c>
      <c r="I555" s="48">
        <f t="shared" si="924"/>
        <v>0</v>
      </c>
      <c r="J555" s="48">
        <f t="shared" si="924"/>
        <v>0</v>
      </c>
      <c r="K555" s="48">
        <f t="shared" si="924"/>
        <v>0</v>
      </c>
      <c r="L555" s="48">
        <f t="shared" si="924"/>
        <v>0</v>
      </c>
      <c r="M555" s="48">
        <f t="shared" si="924"/>
        <v>0</v>
      </c>
      <c r="N555" s="161">
        <f t="shared" si="924"/>
        <v>0</v>
      </c>
      <c r="O555" s="161">
        <f t="shared" si="924"/>
        <v>0</v>
      </c>
      <c r="P555" s="161">
        <f t="shared" ref="P555" si="925">P322</f>
        <v>0</v>
      </c>
      <c r="Q555" s="51">
        <f t="shared" ref="Q555" si="926">Q322</f>
        <v>0</v>
      </c>
    </row>
    <row r="556" spans="1:17" x14ac:dyDescent="0.2">
      <c r="A556" s="655" t="s">
        <v>4285</v>
      </c>
      <c r="B556" s="48">
        <f t="shared" ref="B556:O556" si="927">B323</f>
        <v>-1008</v>
      </c>
      <c r="C556" s="48">
        <f t="shared" si="927"/>
        <v>-851.3</v>
      </c>
      <c r="D556" s="48">
        <f t="shared" si="927"/>
        <v>-980.4</v>
      </c>
      <c r="E556" s="48">
        <f t="shared" si="927"/>
        <v>-1059.9000000000001</v>
      </c>
      <c r="F556" s="48">
        <f t="shared" si="927"/>
        <v>-469.1</v>
      </c>
      <c r="G556" s="48">
        <f t="shared" si="927"/>
        <v>-775</v>
      </c>
      <c r="H556" s="48">
        <f t="shared" si="927"/>
        <v>-800</v>
      </c>
      <c r="I556" s="48">
        <f t="shared" si="927"/>
        <v>-820</v>
      </c>
      <c r="J556" s="48">
        <f t="shared" si="927"/>
        <v>-840</v>
      </c>
      <c r="K556" s="48">
        <f t="shared" si="927"/>
        <v>-860</v>
      </c>
      <c r="L556" s="48">
        <f t="shared" si="927"/>
        <v>-880</v>
      </c>
      <c r="M556" s="48">
        <f t="shared" si="927"/>
        <v>-900</v>
      </c>
      <c r="N556" s="161">
        <f t="shared" si="927"/>
        <v>-920</v>
      </c>
      <c r="O556" s="161">
        <f t="shared" si="927"/>
        <v>-940</v>
      </c>
      <c r="P556" s="161">
        <f t="shared" ref="P556" si="928">P323</f>
        <v>-960</v>
      </c>
      <c r="Q556" s="51">
        <f t="shared" ref="Q556" si="929">Q323</f>
        <v>-980</v>
      </c>
    </row>
    <row r="557" spans="1:17" x14ac:dyDescent="0.2">
      <c r="A557" s="655" t="s">
        <v>4161</v>
      </c>
      <c r="B557" s="48">
        <f t="shared" ref="B557:O557" si="930">B325</f>
        <v>10805</v>
      </c>
      <c r="C557" s="48">
        <f t="shared" si="930"/>
        <v>11111.6</v>
      </c>
      <c r="D557" s="48">
        <f t="shared" si="930"/>
        <v>10817</v>
      </c>
      <c r="E557" s="48">
        <f t="shared" si="930"/>
        <v>10849.9</v>
      </c>
      <c r="F557" s="48">
        <f t="shared" si="930"/>
        <v>11120.3</v>
      </c>
      <c r="G557" s="48">
        <f t="shared" si="930"/>
        <v>11225.4</v>
      </c>
      <c r="H557" s="48">
        <f t="shared" si="930"/>
        <v>11512</v>
      </c>
      <c r="I557" s="48">
        <f t="shared" si="930"/>
        <v>11743.3</v>
      </c>
      <c r="J557" s="48">
        <f t="shared" si="930"/>
        <v>12020.8</v>
      </c>
      <c r="K557" s="48">
        <f t="shared" si="930"/>
        <v>12364.6</v>
      </c>
      <c r="L557" s="48">
        <f t="shared" si="930"/>
        <v>12737.5</v>
      </c>
      <c r="M557" s="48">
        <f t="shared" si="930"/>
        <v>13034.5</v>
      </c>
      <c r="N557" s="161">
        <f t="shared" si="930"/>
        <v>13390.8</v>
      </c>
      <c r="O557" s="161">
        <f t="shared" si="930"/>
        <v>13756.9</v>
      </c>
      <c r="P557" s="161">
        <f t="shared" ref="P557" si="931">P325</f>
        <v>14116.1</v>
      </c>
      <c r="Q557" s="51">
        <f t="shared" ref="Q557" si="932">Q325</f>
        <v>14443.7</v>
      </c>
    </row>
    <row r="558" spans="1:17" x14ac:dyDescent="0.2">
      <c r="A558" s="655" t="s">
        <v>4298</v>
      </c>
      <c r="B558" s="48">
        <f t="shared" ref="B558:O558" si="933">B326</f>
        <v>161.80000000000001</v>
      </c>
      <c r="C558" s="48">
        <f t="shared" si="933"/>
        <v>111</v>
      </c>
      <c r="D558" s="48">
        <f t="shared" si="933"/>
        <v>20.6</v>
      </c>
      <c r="E558" s="48">
        <f t="shared" si="933"/>
        <v>-38</v>
      </c>
      <c r="F558" s="48">
        <f t="shared" si="933"/>
        <v>0</v>
      </c>
      <c r="G558" s="48">
        <f t="shared" si="933"/>
        <v>0</v>
      </c>
      <c r="H558" s="48">
        <f t="shared" si="933"/>
        <v>0</v>
      </c>
      <c r="I558" s="48">
        <f t="shared" si="933"/>
        <v>0</v>
      </c>
      <c r="J558" s="48">
        <f t="shared" si="933"/>
        <v>0</v>
      </c>
      <c r="K558" s="48">
        <f t="shared" si="933"/>
        <v>0</v>
      </c>
      <c r="L558" s="48">
        <f t="shared" si="933"/>
        <v>0</v>
      </c>
      <c r="M558" s="48">
        <f t="shared" si="933"/>
        <v>0</v>
      </c>
      <c r="N558" s="161">
        <f t="shared" si="933"/>
        <v>0</v>
      </c>
      <c r="O558" s="161">
        <f t="shared" si="933"/>
        <v>0</v>
      </c>
      <c r="P558" s="161">
        <f t="shared" ref="P558" si="934">P326</f>
        <v>0</v>
      </c>
      <c r="Q558" s="51">
        <f t="shared" ref="Q558" si="935">Q326</f>
        <v>0</v>
      </c>
    </row>
    <row r="559" spans="1:17" x14ac:dyDescent="0.2">
      <c r="A559" s="655" t="s">
        <v>4297</v>
      </c>
      <c r="B559" s="48">
        <f>-1809-74</f>
        <v>-1883</v>
      </c>
      <c r="C559" s="48">
        <v>-1859</v>
      </c>
      <c r="D559" s="48">
        <f>-Summaries!AG20/1000</f>
        <v>-1478.7</v>
      </c>
      <c r="E559" s="48">
        <f>-Summaries!AH20/1000</f>
        <v>-1498.9</v>
      </c>
      <c r="F559" s="48">
        <f>-Summaries!AI20/1000</f>
        <v>-1399.6</v>
      </c>
      <c r="G559" s="48">
        <f>-Summaries!AJ20/1000</f>
        <v>-1380</v>
      </c>
      <c r="H559" s="48">
        <f>-Summaries!AK20/1000</f>
        <v>-1407.6</v>
      </c>
      <c r="I559" s="48">
        <f>-Summaries!AL20/1000</f>
        <v>-1435.8</v>
      </c>
      <c r="J559" s="48">
        <f>-Summaries!AM20/1000</f>
        <v>-1464.6</v>
      </c>
      <c r="K559" s="48">
        <f>-Summaries!AN20/1000</f>
        <v>-1493.9</v>
      </c>
      <c r="L559" s="48">
        <f>-Summaries!AO20/1000</f>
        <v>-1523.8</v>
      </c>
      <c r="M559" s="651">
        <f>-Summaries!AP20/1000</f>
        <v>-1554.3</v>
      </c>
      <c r="N559" s="812">
        <f>-Summaries!AQ20/1000</f>
        <v>-1585.4</v>
      </c>
      <c r="O559" s="812">
        <f>-Summaries!AR20/1000</f>
        <v>-1617.2</v>
      </c>
      <c r="P559" s="812">
        <f>-Summaries!AS20/1000</f>
        <v>-1649.6</v>
      </c>
      <c r="Q559" s="2476">
        <f>-Summaries!AT20/1000</f>
        <v>-1682.6</v>
      </c>
    </row>
    <row r="560" spans="1:17" x14ac:dyDescent="0.2">
      <c r="A560" s="657" t="s">
        <v>2811</v>
      </c>
      <c r="B560" s="944">
        <f t="shared" ref="B560:M560" si="936">SUM(B553:B556)-SUM(B557:B559)</f>
        <v>549.20000000000073</v>
      </c>
      <c r="C560" s="944">
        <f t="shared" si="936"/>
        <v>1325.5</v>
      </c>
      <c r="D560" s="944">
        <f t="shared" si="936"/>
        <v>1534.6000000000004</v>
      </c>
      <c r="E560" s="944">
        <f t="shared" si="936"/>
        <v>1886.1000000000004</v>
      </c>
      <c r="F560" s="944">
        <f t="shared" si="936"/>
        <v>2689.1000000000004</v>
      </c>
      <c r="G560" s="944">
        <f t="shared" si="936"/>
        <v>1933</v>
      </c>
      <c r="H560" s="944">
        <f t="shared" si="936"/>
        <v>2039.3000000000011</v>
      </c>
      <c r="I560" s="944">
        <f t="shared" si="936"/>
        <v>2024.6000000000004</v>
      </c>
      <c r="J560" s="944">
        <f t="shared" si="936"/>
        <v>2052.2000000000007</v>
      </c>
      <c r="K560" s="944">
        <f t="shared" si="936"/>
        <v>2128.6999999999989</v>
      </c>
      <c r="L560" s="944">
        <f t="shared" si="936"/>
        <v>2061.5999999999985</v>
      </c>
      <c r="M560" s="731">
        <f t="shared" si="936"/>
        <v>2120.7999999999993</v>
      </c>
      <c r="N560" s="981">
        <f t="shared" ref="N560:O560" si="937">SUM(N553:N556)-SUM(N557:N559)</f>
        <v>2135.5</v>
      </c>
      <c r="O560" s="981">
        <f t="shared" si="937"/>
        <v>2161.5000000000018</v>
      </c>
      <c r="P560" s="981">
        <f t="shared" ref="P560" si="938">SUM(P553:P556)-SUM(P557:P559)</f>
        <v>2296.6000000000004</v>
      </c>
      <c r="Q560" s="2470">
        <f t="shared" ref="Q560" si="939">SUM(Q553:Q556)-SUM(Q557:Q559)</f>
        <v>2484</v>
      </c>
    </row>
    <row r="561" spans="1:17" s="1250" customFormat="1" x14ac:dyDescent="0.2">
      <c r="A561" s="657" t="s">
        <v>4230</v>
      </c>
      <c r="B561" s="930">
        <f t="shared" ref="B561:M561" si="940">IF(B552=0,100,B560/B552)</f>
        <v>100</v>
      </c>
      <c r="C561" s="930">
        <f t="shared" si="940"/>
        <v>100</v>
      </c>
      <c r="D561" s="930">
        <f t="shared" si="940"/>
        <v>100</v>
      </c>
      <c r="E561" s="930">
        <f t="shared" si="940"/>
        <v>100</v>
      </c>
      <c r="F561" s="930">
        <f t="shared" si="940"/>
        <v>100</v>
      </c>
      <c r="G561" s="930">
        <f t="shared" si="940"/>
        <v>100</v>
      </c>
      <c r="H561" s="930">
        <f t="shared" si="940"/>
        <v>100</v>
      </c>
      <c r="I561" s="930">
        <f t="shared" si="940"/>
        <v>100</v>
      </c>
      <c r="J561" s="930">
        <f t="shared" si="940"/>
        <v>100</v>
      </c>
      <c r="K561" s="930">
        <f t="shared" si="940"/>
        <v>100</v>
      </c>
      <c r="L561" s="930">
        <f t="shared" si="940"/>
        <v>100</v>
      </c>
      <c r="M561" s="930">
        <f t="shared" si="940"/>
        <v>100</v>
      </c>
      <c r="N561" s="978">
        <f t="shared" ref="N561:O561" si="941">IF(N552=0,100,N560/N552)</f>
        <v>100</v>
      </c>
      <c r="O561" s="978">
        <f t="shared" si="941"/>
        <v>100</v>
      </c>
      <c r="P561" s="978">
        <f t="shared" ref="P561" si="942">IF(P552=0,100,P560/P552)</f>
        <v>100</v>
      </c>
      <c r="Q561" s="2467">
        <f t="shared" ref="Q561" si="943">IF(Q552=0,100,Q560/Q552)</f>
        <v>100</v>
      </c>
    </row>
    <row r="562" spans="1:17" x14ac:dyDescent="0.2">
      <c r="A562" s="841"/>
      <c r="B562" s="1483"/>
      <c r="C562" s="1483"/>
      <c r="D562" s="1483"/>
      <c r="E562" s="1483"/>
      <c r="F562" s="1483"/>
      <c r="G562" s="1483"/>
      <c r="H562" s="1483"/>
      <c r="I562" s="1483"/>
      <c r="J562" s="1483"/>
      <c r="K562" s="1483"/>
      <c r="L562" s="1483"/>
      <c r="M562" s="989"/>
      <c r="N562" s="968"/>
      <c r="O562" s="968"/>
      <c r="P562" s="968"/>
      <c r="Q562" s="2458"/>
    </row>
    <row r="563" spans="1:17" x14ac:dyDescent="0.2">
      <c r="A563" s="823" t="s">
        <v>4231</v>
      </c>
      <c r="B563" s="48"/>
      <c r="C563" s="48"/>
      <c r="D563" s="48"/>
      <c r="E563" s="48"/>
      <c r="F563" s="48"/>
      <c r="G563" s="48"/>
      <c r="H563" s="48"/>
      <c r="I563" s="48"/>
      <c r="J563" s="48"/>
      <c r="K563" s="48"/>
      <c r="L563" s="48"/>
      <c r="M563" s="659"/>
      <c r="N563" s="679"/>
      <c r="O563" s="679"/>
      <c r="P563" s="679"/>
      <c r="Q563" s="660"/>
    </row>
    <row r="564" spans="1:17" x14ac:dyDescent="0.2">
      <c r="A564" s="655" t="s">
        <v>4145</v>
      </c>
      <c r="B564" s="48">
        <f t="shared" ref="B564:M564" si="944">B504</f>
        <v>985</v>
      </c>
      <c r="C564" s="48">
        <f t="shared" si="944"/>
        <v>2385</v>
      </c>
      <c r="D564" s="48">
        <f t="shared" si="944"/>
        <v>2187.9</v>
      </c>
      <c r="E564" s="48">
        <f t="shared" si="944"/>
        <v>2793.3</v>
      </c>
      <c r="F564" s="48">
        <f t="shared" si="944"/>
        <v>2957.9</v>
      </c>
      <c r="G564" s="48">
        <f t="shared" si="944"/>
        <v>3095.6</v>
      </c>
      <c r="H564" s="48">
        <f t="shared" si="944"/>
        <v>3134</v>
      </c>
      <c r="I564" s="48">
        <f t="shared" si="944"/>
        <v>3280.3</v>
      </c>
      <c r="J564" s="48">
        <f t="shared" si="944"/>
        <v>2453.5</v>
      </c>
      <c r="K564" s="48">
        <f t="shared" si="944"/>
        <v>2654.1</v>
      </c>
      <c r="L564" s="48">
        <f t="shared" si="944"/>
        <v>2844.1</v>
      </c>
      <c r="M564" s="659">
        <f t="shared" si="944"/>
        <v>3037</v>
      </c>
      <c r="N564" s="679">
        <f t="shared" ref="N564:O564" si="945">N504</f>
        <v>3235</v>
      </c>
      <c r="O564" s="679">
        <f t="shared" si="945"/>
        <v>3430</v>
      </c>
      <c r="P564" s="679">
        <f t="shared" ref="P564" si="946">P504</f>
        <v>3627</v>
      </c>
      <c r="Q564" s="660">
        <f t="shared" ref="Q564" si="947">Q504</f>
        <v>3825</v>
      </c>
    </row>
    <row r="565" spans="1:17" x14ac:dyDescent="0.2">
      <c r="A565" s="655" t="s">
        <v>4146</v>
      </c>
      <c r="B565" s="48">
        <f t="shared" ref="B565:M565" si="948">B505</f>
        <v>3702</v>
      </c>
      <c r="C565" s="48">
        <f t="shared" si="948"/>
        <v>5161</v>
      </c>
      <c r="D565" s="48">
        <f t="shared" si="948"/>
        <v>4996.8</v>
      </c>
      <c r="E565" s="48">
        <f t="shared" si="948"/>
        <v>4659.3</v>
      </c>
      <c r="F565" s="48">
        <f t="shared" si="948"/>
        <v>4448.6000000000004</v>
      </c>
      <c r="G565" s="48">
        <f t="shared" si="948"/>
        <v>4249.8999999999996</v>
      </c>
      <c r="H565" s="48">
        <f t="shared" si="948"/>
        <v>3878.3</v>
      </c>
      <c r="I565" s="48">
        <f t="shared" si="948"/>
        <v>3667</v>
      </c>
      <c r="J565" s="48">
        <f t="shared" si="948"/>
        <v>3439.8</v>
      </c>
      <c r="K565" s="48">
        <f t="shared" si="948"/>
        <v>3239.2</v>
      </c>
      <c r="L565" s="48">
        <f t="shared" si="948"/>
        <v>3049.2</v>
      </c>
      <c r="M565" s="659">
        <f t="shared" si="948"/>
        <v>2856.3</v>
      </c>
      <c r="N565" s="679">
        <f t="shared" ref="N565:O565" si="949">N505</f>
        <v>2658.3</v>
      </c>
      <c r="O565" s="679">
        <f t="shared" si="949"/>
        <v>2463.3000000000002</v>
      </c>
      <c r="P565" s="679">
        <f t="shared" ref="P565" si="950">P505</f>
        <v>2266.3000000000002</v>
      </c>
      <c r="Q565" s="660">
        <f t="shared" ref="Q565" si="951">Q505</f>
        <v>2068.3000000000002</v>
      </c>
    </row>
    <row r="566" spans="1:17" x14ac:dyDescent="0.2">
      <c r="A566" s="657" t="s">
        <v>2812</v>
      </c>
      <c r="B566" s="944">
        <f t="shared" ref="B566:M566" si="952">SUM(B564:B565)</f>
        <v>4687</v>
      </c>
      <c r="C566" s="944">
        <f t="shared" si="952"/>
        <v>7546</v>
      </c>
      <c r="D566" s="944">
        <f t="shared" si="952"/>
        <v>7184.7000000000007</v>
      </c>
      <c r="E566" s="944">
        <f t="shared" si="952"/>
        <v>7452.6</v>
      </c>
      <c r="F566" s="944">
        <f t="shared" si="952"/>
        <v>7406.5</v>
      </c>
      <c r="G566" s="944">
        <f t="shared" si="952"/>
        <v>7345.5</v>
      </c>
      <c r="H566" s="944">
        <f t="shared" si="952"/>
        <v>7012.3</v>
      </c>
      <c r="I566" s="944">
        <f t="shared" si="952"/>
        <v>6947.3</v>
      </c>
      <c r="J566" s="944">
        <f t="shared" si="952"/>
        <v>5893.3</v>
      </c>
      <c r="K566" s="944">
        <f t="shared" si="952"/>
        <v>5893.2999999999993</v>
      </c>
      <c r="L566" s="944">
        <f t="shared" si="952"/>
        <v>5893.2999999999993</v>
      </c>
      <c r="M566" s="731">
        <f t="shared" si="952"/>
        <v>5893.3</v>
      </c>
      <c r="N566" s="981">
        <f t="shared" ref="N566:O566" si="953">SUM(N564:N565)</f>
        <v>5893.3</v>
      </c>
      <c r="O566" s="981">
        <f t="shared" si="953"/>
        <v>5893.3</v>
      </c>
      <c r="P566" s="981">
        <f t="shared" ref="P566" si="954">SUM(P564:P565)</f>
        <v>5893.3</v>
      </c>
      <c r="Q566" s="2470">
        <f t="shared" ref="Q566" si="955">SUM(Q564:Q565)</f>
        <v>5893.3</v>
      </c>
    </row>
    <row r="567" spans="1:17" x14ac:dyDescent="0.2">
      <c r="A567" s="655" t="s">
        <v>4155</v>
      </c>
      <c r="B567" s="48">
        <f t="shared" ref="B567:M567" si="956">B334</f>
        <v>15262</v>
      </c>
      <c r="C567" s="48">
        <f t="shared" si="956"/>
        <v>16456.7</v>
      </c>
      <c r="D567" s="48">
        <f t="shared" si="956"/>
        <v>17468.099999999999</v>
      </c>
      <c r="E567" s="48">
        <f t="shared" si="956"/>
        <v>18810.8</v>
      </c>
      <c r="F567" s="48">
        <f t="shared" si="956"/>
        <v>18609.599999999999</v>
      </c>
      <c r="G567" s="48">
        <f t="shared" si="956"/>
        <v>20363.900000000001</v>
      </c>
      <c r="H567" s="48">
        <f t="shared" si="956"/>
        <v>20845.7</v>
      </c>
      <c r="I567" s="48">
        <f t="shared" si="956"/>
        <v>21333.200000000001</v>
      </c>
      <c r="J567" s="48">
        <f t="shared" si="956"/>
        <v>21856.799999999999</v>
      </c>
      <c r="K567" s="48">
        <f t="shared" si="956"/>
        <v>22436.5</v>
      </c>
      <c r="L567" s="48">
        <f t="shared" si="956"/>
        <v>22979.8</v>
      </c>
      <c r="M567" s="659">
        <f t="shared" si="956"/>
        <v>23519.5</v>
      </c>
      <c r="N567" s="679">
        <f t="shared" ref="N567:O567" si="957">N334</f>
        <v>24145.3</v>
      </c>
      <c r="O567" s="679">
        <f t="shared" si="957"/>
        <v>24758.6</v>
      </c>
      <c r="P567" s="679">
        <f t="shared" ref="P567" si="958">P334</f>
        <v>25480.6</v>
      </c>
      <c r="Q567" s="660">
        <f t="shared" ref="Q567" si="959">Q334</f>
        <v>26226.799999999999</v>
      </c>
    </row>
    <row r="568" spans="1:17" x14ac:dyDescent="0.2">
      <c r="A568" s="655" t="s">
        <v>4291</v>
      </c>
      <c r="B568" s="48">
        <f t="shared" ref="B568:B570" si="960">B335</f>
        <v>0</v>
      </c>
      <c r="C568" s="48">
        <f>+C335</f>
        <v>-6</v>
      </c>
      <c r="D568" s="48">
        <f t="shared" ref="D568:M568" si="961">D335</f>
        <v>0</v>
      </c>
      <c r="E568" s="48">
        <f t="shared" si="961"/>
        <v>0</v>
      </c>
      <c r="F568" s="48">
        <f t="shared" si="961"/>
        <v>0</v>
      </c>
      <c r="G568" s="48">
        <f t="shared" si="961"/>
        <v>0</v>
      </c>
      <c r="H568" s="48">
        <f t="shared" si="961"/>
        <v>0</v>
      </c>
      <c r="I568" s="48">
        <f t="shared" si="961"/>
        <v>0</v>
      </c>
      <c r="J568" s="48">
        <f t="shared" si="961"/>
        <v>0</v>
      </c>
      <c r="K568" s="48">
        <f t="shared" si="961"/>
        <v>0</v>
      </c>
      <c r="L568" s="48">
        <f t="shared" si="961"/>
        <v>0</v>
      </c>
      <c r="M568" s="48">
        <f t="shared" si="961"/>
        <v>0</v>
      </c>
      <c r="N568" s="161">
        <f t="shared" ref="N568:O568" si="962">N335</f>
        <v>0</v>
      </c>
      <c r="O568" s="161">
        <f t="shared" si="962"/>
        <v>0</v>
      </c>
      <c r="P568" s="161">
        <f t="shared" ref="P568" si="963">P335</f>
        <v>0</v>
      </c>
      <c r="Q568" s="51">
        <f t="shared" ref="Q568" si="964">Q335</f>
        <v>0</v>
      </c>
    </row>
    <row r="569" spans="1:17" x14ac:dyDescent="0.2">
      <c r="A569" s="655" t="s">
        <v>4290</v>
      </c>
      <c r="B569" s="48">
        <f t="shared" si="960"/>
        <v>0</v>
      </c>
      <c r="C569" s="48">
        <f>C336</f>
        <v>0</v>
      </c>
      <c r="D569" s="48">
        <f t="shared" ref="D569:M569" si="965">D336</f>
        <v>0</v>
      </c>
      <c r="E569" s="48">
        <f t="shared" si="965"/>
        <v>0</v>
      </c>
      <c r="F569" s="48">
        <f t="shared" si="965"/>
        <v>0</v>
      </c>
      <c r="G569" s="48">
        <f t="shared" si="965"/>
        <v>0</v>
      </c>
      <c r="H569" s="48">
        <f t="shared" si="965"/>
        <v>0</v>
      </c>
      <c r="I569" s="48">
        <f t="shared" si="965"/>
        <v>0</v>
      </c>
      <c r="J569" s="48">
        <f t="shared" si="965"/>
        <v>0</v>
      </c>
      <c r="K569" s="48">
        <f t="shared" si="965"/>
        <v>0</v>
      </c>
      <c r="L569" s="48">
        <f t="shared" si="965"/>
        <v>0</v>
      </c>
      <c r="M569" s="48">
        <f t="shared" si="965"/>
        <v>0</v>
      </c>
      <c r="N569" s="161">
        <f t="shared" ref="N569:O569" si="966">N336</f>
        <v>0</v>
      </c>
      <c r="O569" s="161">
        <f t="shared" si="966"/>
        <v>0</v>
      </c>
      <c r="P569" s="161">
        <f t="shared" ref="P569" si="967">P336</f>
        <v>0</v>
      </c>
      <c r="Q569" s="51">
        <f t="shared" ref="Q569" si="968">Q336</f>
        <v>0</v>
      </c>
    </row>
    <row r="570" spans="1:17" x14ac:dyDescent="0.2">
      <c r="A570" s="655" t="s">
        <v>4285</v>
      </c>
      <c r="B570" s="48">
        <f t="shared" si="960"/>
        <v>-1482</v>
      </c>
      <c r="C570" s="48">
        <f>C337</f>
        <v>-2014.2</v>
      </c>
      <c r="D570" s="48">
        <f t="shared" ref="D570:M570" si="969">D337</f>
        <v>-2131.4</v>
      </c>
      <c r="E570" s="48">
        <f t="shared" si="969"/>
        <v>-2470</v>
      </c>
      <c r="F570" s="48">
        <f t="shared" si="969"/>
        <v>-736.5</v>
      </c>
      <c r="G570" s="48">
        <f t="shared" si="969"/>
        <v>-2145.5</v>
      </c>
      <c r="H570" s="48">
        <f t="shared" si="969"/>
        <v>-2175.5</v>
      </c>
      <c r="I570" s="48">
        <f t="shared" si="969"/>
        <v>-2215.5</v>
      </c>
      <c r="J570" s="48">
        <f t="shared" si="969"/>
        <v>-2255.5</v>
      </c>
      <c r="K570" s="48">
        <f t="shared" si="969"/>
        <v>-2295.5</v>
      </c>
      <c r="L570" s="48">
        <f t="shared" si="969"/>
        <v>-2335.5</v>
      </c>
      <c r="M570" s="48">
        <f t="shared" si="969"/>
        <v>-2375.5</v>
      </c>
      <c r="N570" s="161">
        <f t="shared" ref="N570:O570" si="970">N337</f>
        <v>-2425.5</v>
      </c>
      <c r="O570" s="161">
        <f t="shared" si="970"/>
        <v>-2475.5</v>
      </c>
      <c r="P570" s="161">
        <f t="shared" ref="P570" si="971">P337</f>
        <v>-2525.5</v>
      </c>
      <c r="Q570" s="51">
        <f t="shared" ref="Q570" si="972">Q337</f>
        <v>-2575.5</v>
      </c>
    </row>
    <row r="571" spans="1:17" x14ac:dyDescent="0.2">
      <c r="A571" s="655" t="s">
        <v>4161</v>
      </c>
      <c r="B571" s="48">
        <f t="shared" ref="B571:M571" si="973">B339</f>
        <v>15935</v>
      </c>
      <c r="C571" s="48">
        <f t="shared" si="973"/>
        <v>17024.099999999999</v>
      </c>
      <c r="D571" s="48">
        <f t="shared" si="973"/>
        <v>28728</v>
      </c>
      <c r="E571" s="48">
        <f t="shared" si="973"/>
        <v>17304.400000000001</v>
      </c>
      <c r="F571" s="48">
        <f t="shared" si="973"/>
        <v>18119.099999999999</v>
      </c>
      <c r="G571" s="48">
        <f t="shared" si="973"/>
        <v>17797.3</v>
      </c>
      <c r="H571" s="48">
        <f t="shared" si="973"/>
        <v>17653.400000000001</v>
      </c>
      <c r="I571" s="48">
        <f t="shared" si="973"/>
        <v>17769.900000000001</v>
      </c>
      <c r="J571" s="48">
        <f t="shared" si="973"/>
        <v>17878.099999999999</v>
      </c>
      <c r="K571" s="48">
        <f t="shared" si="973"/>
        <v>18035.400000000001</v>
      </c>
      <c r="L571" s="48">
        <f t="shared" si="973"/>
        <v>18232.099999999999</v>
      </c>
      <c r="M571" s="48">
        <f t="shared" si="973"/>
        <v>18348</v>
      </c>
      <c r="N571" s="161">
        <f t="shared" ref="N571:O571" si="974">N339</f>
        <v>18517.3</v>
      </c>
      <c r="O571" s="161">
        <f t="shared" si="974"/>
        <v>18631.099999999999</v>
      </c>
      <c r="P571" s="161">
        <f t="shared" ref="P571" si="975">P339</f>
        <v>18832.8</v>
      </c>
      <c r="Q571" s="51">
        <f t="shared" ref="Q571" si="976">Q339</f>
        <v>19052.2</v>
      </c>
    </row>
    <row r="572" spans="1:17" x14ac:dyDescent="0.2">
      <c r="A572" s="655" t="s">
        <v>4298</v>
      </c>
      <c r="B572" s="48">
        <f t="shared" ref="B572:M572" si="977">B340</f>
        <v>-1582</v>
      </c>
      <c r="C572" s="48">
        <f t="shared" si="977"/>
        <v>0</v>
      </c>
      <c r="D572" s="48">
        <f t="shared" si="977"/>
        <v>-12197.6</v>
      </c>
      <c r="E572" s="48">
        <f t="shared" si="977"/>
        <v>0</v>
      </c>
      <c r="F572" s="48">
        <f t="shared" si="977"/>
        <v>0</v>
      </c>
      <c r="G572" s="48">
        <f t="shared" si="977"/>
        <v>0</v>
      </c>
      <c r="H572" s="48">
        <f t="shared" si="977"/>
        <v>0</v>
      </c>
      <c r="I572" s="48">
        <f t="shared" si="977"/>
        <v>0</v>
      </c>
      <c r="J572" s="48">
        <f t="shared" si="977"/>
        <v>0</v>
      </c>
      <c r="K572" s="48">
        <f t="shared" si="977"/>
        <v>0</v>
      </c>
      <c r="L572" s="48">
        <f t="shared" si="977"/>
        <v>0</v>
      </c>
      <c r="M572" s="48">
        <f t="shared" si="977"/>
        <v>0</v>
      </c>
      <c r="N572" s="161">
        <f t="shared" ref="N572:O572" si="978">N340</f>
        <v>0</v>
      </c>
      <c r="O572" s="161">
        <f t="shared" si="978"/>
        <v>0</v>
      </c>
      <c r="P572" s="161">
        <f t="shared" ref="P572" si="979">P340</f>
        <v>0</v>
      </c>
      <c r="Q572" s="51">
        <f t="shared" ref="Q572" si="980">Q340</f>
        <v>0</v>
      </c>
    </row>
    <row r="573" spans="1:17" x14ac:dyDescent="0.2">
      <c r="A573" s="655" t="s">
        <v>4296</v>
      </c>
      <c r="B573" s="48">
        <f t="shared" ref="B573:M573" si="981">-B565</f>
        <v>-3702</v>
      </c>
      <c r="C573" s="48">
        <f t="shared" si="981"/>
        <v>-5161</v>
      </c>
      <c r="D573" s="48">
        <f t="shared" si="981"/>
        <v>-4996.8</v>
      </c>
      <c r="E573" s="48">
        <f t="shared" si="981"/>
        <v>-4659.3</v>
      </c>
      <c r="F573" s="48">
        <f t="shared" si="981"/>
        <v>-4448.6000000000004</v>
      </c>
      <c r="G573" s="48">
        <f t="shared" si="981"/>
        <v>-4249.8999999999996</v>
      </c>
      <c r="H573" s="48">
        <f t="shared" si="981"/>
        <v>-3878.3</v>
      </c>
      <c r="I573" s="48">
        <f t="shared" si="981"/>
        <v>-3667</v>
      </c>
      <c r="J573" s="48">
        <f t="shared" si="981"/>
        <v>-3439.8</v>
      </c>
      <c r="K573" s="48">
        <f t="shared" si="981"/>
        <v>-3239.2</v>
      </c>
      <c r="L573" s="48">
        <f t="shared" si="981"/>
        <v>-3049.2</v>
      </c>
      <c r="M573" s="48">
        <f t="shared" si="981"/>
        <v>-2856.3</v>
      </c>
      <c r="N573" s="161">
        <f t="shared" ref="N573:O573" si="982">-N565</f>
        <v>-2658.3</v>
      </c>
      <c r="O573" s="161">
        <f t="shared" si="982"/>
        <v>-2463.3000000000002</v>
      </c>
      <c r="P573" s="161">
        <f t="shared" ref="P573" si="983">-P565</f>
        <v>-2266.3000000000002</v>
      </c>
      <c r="Q573" s="51">
        <f t="shared" ref="Q573" si="984">-Q565</f>
        <v>-2068.3000000000002</v>
      </c>
    </row>
    <row r="574" spans="1:17" x14ac:dyDescent="0.2">
      <c r="A574" s="655" t="s">
        <v>4297</v>
      </c>
      <c r="B574" s="48">
        <f>-2711-130</f>
        <v>-2841</v>
      </c>
      <c r="C574" s="48">
        <v>-2643</v>
      </c>
      <c r="D574" s="48">
        <f>-Summaries!AV20/1000</f>
        <v>-2314.3000000000002</v>
      </c>
      <c r="E574" s="48">
        <f>-Summaries!AW20/1000</f>
        <v>-3531.9</v>
      </c>
      <c r="F574" s="48">
        <f>-Summaries!AX20/1000</f>
        <v>-3573.3</v>
      </c>
      <c r="G574" s="48">
        <f>-Summaries!AY20/1000</f>
        <v>-3775</v>
      </c>
      <c r="H574" s="48">
        <f>-Summaries!AZ20/1000</f>
        <v>-3851</v>
      </c>
      <c r="I574" s="48">
        <f>-Summaries!BA20/1000</f>
        <v>-3928</v>
      </c>
      <c r="J574" s="48">
        <f>-Summaries!BB20/1000</f>
        <v>-4007</v>
      </c>
      <c r="K574" s="48">
        <f>-Summaries!BC20/1000</f>
        <v>-4087</v>
      </c>
      <c r="L574" s="48">
        <f>-Summaries!BD20/1000</f>
        <v>-4169</v>
      </c>
      <c r="M574" s="651">
        <f>-Summaries!BE20/1000</f>
        <v>-4252</v>
      </c>
      <c r="N574" s="812">
        <f>-Summaries!BF20/1000</f>
        <v>-4337</v>
      </c>
      <c r="O574" s="812">
        <f>-Summaries!BG20/1000</f>
        <v>-4424</v>
      </c>
      <c r="P574" s="812">
        <f>-Summaries!BH20/1000</f>
        <v>-4512</v>
      </c>
      <c r="Q574" s="2476">
        <f>-Summaries!BI20/1000</f>
        <v>-4602</v>
      </c>
    </row>
    <row r="575" spans="1:17" x14ac:dyDescent="0.2">
      <c r="A575" s="657" t="s">
        <v>2811</v>
      </c>
      <c r="B575" s="944">
        <f t="shared" ref="B575:M575" si="985">SUM(B567:B570)-SUM(B571:B574)</f>
        <v>5970</v>
      </c>
      <c r="C575" s="944">
        <f t="shared" si="985"/>
        <v>5216.4000000000015</v>
      </c>
      <c r="D575" s="944">
        <f t="shared" si="985"/>
        <v>6117.399999999996</v>
      </c>
      <c r="E575" s="944">
        <f t="shared" si="985"/>
        <v>7227.5999999999967</v>
      </c>
      <c r="F575" s="944">
        <f t="shared" si="985"/>
        <v>7775.9000000000015</v>
      </c>
      <c r="G575" s="944">
        <f t="shared" si="985"/>
        <v>8446.0000000000018</v>
      </c>
      <c r="H575" s="944">
        <f t="shared" si="985"/>
        <v>8746.0999999999985</v>
      </c>
      <c r="I575" s="944">
        <f t="shared" si="985"/>
        <v>8942.7999999999993</v>
      </c>
      <c r="J575" s="944">
        <f t="shared" si="985"/>
        <v>9170</v>
      </c>
      <c r="K575" s="944">
        <f t="shared" si="985"/>
        <v>9431.7999999999993</v>
      </c>
      <c r="L575" s="944">
        <f t="shared" si="985"/>
        <v>9630.4000000000015</v>
      </c>
      <c r="M575" s="731">
        <f t="shared" si="985"/>
        <v>9904.2999999999993</v>
      </c>
      <c r="N575" s="981">
        <f t="shared" ref="N575:O575" si="986">SUM(N567:N570)-SUM(N571:N574)</f>
        <v>10197.799999999999</v>
      </c>
      <c r="O575" s="981">
        <f t="shared" si="986"/>
        <v>10539.3</v>
      </c>
      <c r="P575" s="981">
        <f t="shared" ref="P575" si="987">SUM(P567:P570)-SUM(P571:P574)</f>
        <v>10900.599999999999</v>
      </c>
      <c r="Q575" s="2470">
        <f t="shared" ref="Q575" si="988">SUM(Q567:Q570)-SUM(Q571:Q574)</f>
        <v>11269.399999999998</v>
      </c>
    </row>
    <row r="576" spans="1:17" s="1250" customFormat="1" ht="13.5" thickBot="1" x14ac:dyDescent="0.25">
      <c r="A576" s="951" t="s">
        <v>4232</v>
      </c>
      <c r="B576" s="952">
        <f t="shared" ref="B576:M576" si="989">B575/B566</f>
        <v>1.2737358651589503</v>
      </c>
      <c r="C576" s="952">
        <f t="shared" si="989"/>
        <v>0.69128014842300578</v>
      </c>
      <c r="D576" s="952">
        <f t="shared" si="989"/>
        <v>0.85144821634862911</v>
      </c>
      <c r="E576" s="952">
        <f t="shared" si="989"/>
        <v>0.96980919410675426</v>
      </c>
      <c r="F576" s="952">
        <f t="shared" si="989"/>
        <v>1.0498751097009387</v>
      </c>
      <c r="G576" s="952">
        <f t="shared" si="989"/>
        <v>1.1498196174528625</v>
      </c>
      <c r="H576" s="952">
        <f t="shared" si="989"/>
        <v>1.2472512585029161</v>
      </c>
      <c r="I576" s="952">
        <f t="shared" si="989"/>
        <v>1.2872338894246684</v>
      </c>
      <c r="J576" s="952">
        <f t="shared" si="989"/>
        <v>1.5560042760422852</v>
      </c>
      <c r="K576" s="952">
        <f t="shared" si="989"/>
        <v>1.6004276042285308</v>
      </c>
      <c r="L576" s="952">
        <f t="shared" si="989"/>
        <v>1.6341268898579748</v>
      </c>
      <c r="M576" s="952">
        <f t="shared" si="989"/>
        <v>1.6806033970780376</v>
      </c>
      <c r="N576" s="990">
        <f t="shared" ref="N576:O576" si="990">N575/N566</f>
        <v>1.7304057149644509</v>
      </c>
      <c r="O576" s="990">
        <f t="shared" si="990"/>
        <v>1.7883528752990683</v>
      </c>
      <c r="P576" s="990">
        <f t="shared" ref="P576" si="991">P575/P566</f>
        <v>1.8496597831435695</v>
      </c>
      <c r="Q576" s="2473">
        <f t="shared" ref="Q576" si="992">Q575/Q566</f>
        <v>1.9122393226206027</v>
      </c>
    </row>
    <row r="577" spans="1:17" ht="17.25" thickTop="1" thickBot="1" x14ac:dyDescent="0.3">
      <c r="A577" s="2570" t="s">
        <v>5039</v>
      </c>
      <c r="B577" s="2571"/>
      <c r="C577" s="2571"/>
      <c r="D577" s="2571"/>
      <c r="E577" s="2571"/>
      <c r="F577" s="2571"/>
      <c r="G577" s="2571"/>
      <c r="H577" s="2571"/>
      <c r="I577" s="2571"/>
      <c r="J577" s="2571"/>
      <c r="K577" s="2571"/>
      <c r="L577" s="2571"/>
      <c r="M577" s="2571"/>
      <c r="N577" s="2571"/>
      <c r="O577" s="2571"/>
      <c r="P577" s="2571"/>
      <c r="Q577" s="2572"/>
    </row>
    <row r="578" spans="1:17" s="726" customFormat="1" ht="13.5" thickBot="1" x14ac:dyDescent="0.25">
      <c r="A578" s="837" t="str">
        <f t="shared" ref="A578:M578" si="993">A465</f>
        <v>Item</v>
      </c>
      <c r="B578" s="565" t="str">
        <f t="shared" si="993"/>
        <v>2012/13</v>
      </c>
      <c r="C578" s="565" t="str">
        <f t="shared" si="993"/>
        <v>2013/14</v>
      </c>
      <c r="D578" s="565" t="str">
        <f t="shared" si="993"/>
        <v>2014/15</v>
      </c>
      <c r="E578" s="565" t="str">
        <f t="shared" si="993"/>
        <v>2015/16</v>
      </c>
      <c r="F578" s="565" t="str">
        <f t="shared" si="993"/>
        <v>2016/17</v>
      </c>
      <c r="G578" s="565" t="str">
        <f t="shared" si="993"/>
        <v>2017/18</v>
      </c>
      <c r="H578" s="565" t="str">
        <f t="shared" si="993"/>
        <v>2018/19</v>
      </c>
      <c r="I578" s="565" t="str">
        <f t="shared" si="993"/>
        <v>2019/20</v>
      </c>
      <c r="J578" s="565" t="str">
        <f t="shared" si="993"/>
        <v>2020/21</v>
      </c>
      <c r="K578" s="565" t="str">
        <f t="shared" si="993"/>
        <v>2021/22</v>
      </c>
      <c r="L578" s="565" t="str">
        <f t="shared" si="993"/>
        <v>2022/23</v>
      </c>
      <c r="M578" s="966" t="str">
        <f t="shared" si="993"/>
        <v>2023/24</v>
      </c>
      <c r="N578" s="966" t="str">
        <f t="shared" ref="N578:O578" si="994">N465</f>
        <v>2024/25</v>
      </c>
      <c r="O578" s="966" t="str">
        <f t="shared" si="994"/>
        <v>2025/26</v>
      </c>
      <c r="P578" s="966" t="str">
        <f t="shared" ref="P578" si="995">P465</f>
        <v>2026/27</v>
      </c>
      <c r="Q578" s="2445" t="str">
        <f t="shared" ref="Q578" si="996">Q465</f>
        <v>2027/28</v>
      </c>
    </row>
    <row r="579" spans="1:17" s="726" customFormat="1" x14ac:dyDescent="0.2">
      <c r="A579" s="823"/>
      <c r="B579" s="640"/>
      <c r="C579" s="640"/>
      <c r="D579" s="640"/>
      <c r="E579" s="640"/>
      <c r="F579" s="640"/>
      <c r="G579" s="640"/>
      <c r="H579" s="640"/>
      <c r="I579" s="640"/>
      <c r="J579" s="640"/>
      <c r="K579" s="640"/>
      <c r="L579" s="640"/>
      <c r="M579" s="987"/>
      <c r="N579" s="987"/>
      <c r="O579" s="987"/>
      <c r="P579" s="987"/>
      <c r="Q579" s="947"/>
    </row>
    <row r="580" spans="1:17" x14ac:dyDescent="0.2">
      <c r="A580" s="657" t="s">
        <v>3403</v>
      </c>
      <c r="B580" s="547"/>
      <c r="C580" s="547"/>
      <c r="D580" s="547"/>
      <c r="E580" s="547"/>
      <c r="F580" s="547"/>
      <c r="G580" s="547"/>
      <c r="H580" s="547"/>
      <c r="I580" s="547"/>
      <c r="J580" s="547"/>
      <c r="K580" s="547"/>
      <c r="L580" s="547"/>
      <c r="M580" s="978"/>
      <c r="N580" s="978"/>
      <c r="O580" s="978"/>
      <c r="P580" s="978"/>
      <c r="Q580" s="2467"/>
    </row>
    <row r="581" spans="1:17" x14ac:dyDescent="0.2">
      <c r="A581" s="655" t="s">
        <v>3297</v>
      </c>
      <c r="B581" s="48">
        <f t="shared" ref="B581:N581" si="997">B593+B605+B617</f>
        <v>2398</v>
      </c>
      <c r="C581" s="48">
        <f t="shared" si="997"/>
        <v>2016</v>
      </c>
      <c r="D581" s="48">
        <f t="shared" si="997"/>
        <v>2048.5</v>
      </c>
      <c r="E581" s="48">
        <f t="shared" si="997"/>
        <v>2154.1666666666665</v>
      </c>
      <c r="F581" s="48">
        <f t="shared" si="997"/>
        <v>2072.8888888888887</v>
      </c>
      <c r="G581" s="48">
        <f t="shared" si="997"/>
        <v>2091.8518518518517</v>
      </c>
      <c r="H581" s="48">
        <f>H593+H605+H617</f>
        <v>2106.3024691358023</v>
      </c>
      <c r="I581" s="48">
        <f>I593+I605+I617</f>
        <v>2090.3477366255138</v>
      </c>
      <c r="J581" s="48">
        <f t="shared" si="997"/>
        <v>2096.1673525377228</v>
      </c>
      <c r="K581" s="48">
        <f t="shared" si="997"/>
        <v>2097.6058527663463</v>
      </c>
      <c r="L581" s="48">
        <f t="shared" si="997"/>
        <v>2094.7069806431946</v>
      </c>
      <c r="M581" s="48">
        <f t="shared" si="997"/>
        <v>2096.1600619824212</v>
      </c>
      <c r="N581" s="977">
        <f t="shared" si="997"/>
        <v>2096.1576317973204</v>
      </c>
      <c r="O581" s="977">
        <f t="shared" ref="O581" si="998">O593+O605+O617</f>
        <v>2095.6748914743121</v>
      </c>
      <c r="P581" s="977">
        <f t="shared" ref="P581" si="999">P593+P605+P617</f>
        <v>2095.9975284180177</v>
      </c>
      <c r="Q581" s="2466">
        <f t="shared" ref="Q581" si="1000">Q593+Q605+Q617</f>
        <v>2095.9433505632169</v>
      </c>
    </row>
    <row r="582" spans="1:17" x14ac:dyDescent="0.2">
      <c r="A582" s="655" t="s">
        <v>565</v>
      </c>
      <c r="B582" s="48">
        <f t="shared" ref="B582:N583" si="1001">B594+B606+B618</f>
        <v>331</v>
      </c>
      <c r="C582" s="48">
        <f t="shared" si="1001"/>
        <v>309</v>
      </c>
      <c r="D582" s="48">
        <f t="shared" si="1001"/>
        <v>320</v>
      </c>
      <c r="E582" s="48">
        <f t="shared" si="1001"/>
        <v>320</v>
      </c>
      <c r="F582" s="48">
        <f t="shared" si="1001"/>
        <v>316.33333333333331</v>
      </c>
      <c r="G582" s="48">
        <f t="shared" si="1001"/>
        <v>318.77777777777777</v>
      </c>
      <c r="H582" s="48">
        <f t="shared" si="1001"/>
        <v>318.37037037037038</v>
      </c>
      <c r="I582" s="48">
        <f t="shared" si="1001"/>
        <v>317.82716049382719</v>
      </c>
      <c r="J582" s="48">
        <f t="shared" si="1001"/>
        <v>318.32510288065845</v>
      </c>
      <c r="K582" s="48">
        <f t="shared" si="1001"/>
        <v>318.1742112482853</v>
      </c>
      <c r="L582" s="48">
        <f t="shared" si="1001"/>
        <v>318.10882487425698</v>
      </c>
      <c r="M582" s="48">
        <f t="shared" si="1001"/>
        <v>318.20271300106691</v>
      </c>
      <c r="N582" s="977">
        <f t="shared" si="1001"/>
        <v>318.16191637453636</v>
      </c>
      <c r="O582" s="977">
        <f t="shared" ref="O582" si="1002">O594+O606+O618</f>
        <v>318.15781808328671</v>
      </c>
      <c r="P582" s="977">
        <f t="shared" ref="P582" si="1003">P594+P606+P618</f>
        <v>318.17414915296331</v>
      </c>
      <c r="Q582" s="2466">
        <f t="shared" ref="Q582" si="1004">Q594+Q606+Q618</f>
        <v>318.16462787026211</v>
      </c>
    </row>
    <row r="583" spans="1:17" x14ac:dyDescent="0.2">
      <c r="A583" s="655" t="s">
        <v>1534</v>
      </c>
      <c r="B583" s="48">
        <f t="shared" si="1001"/>
        <v>0</v>
      </c>
      <c r="C583" s="48">
        <f t="shared" si="1001"/>
        <v>-9</v>
      </c>
      <c r="D583" s="48">
        <f t="shared" si="1001"/>
        <v>-4.5</v>
      </c>
      <c r="E583" s="48">
        <f t="shared" si="1001"/>
        <v>-4.5</v>
      </c>
      <c r="F583" s="48">
        <f t="shared" si="1001"/>
        <v>-6</v>
      </c>
      <c r="G583" s="48">
        <f t="shared" si="1001"/>
        <v>-5</v>
      </c>
      <c r="H583" s="48">
        <f t="shared" si="1001"/>
        <v>-5.166666666666667</v>
      </c>
      <c r="I583" s="48">
        <f t="shared" si="1001"/>
        <v>-5.3888888888888893</v>
      </c>
      <c r="J583" s="48">
        <f t="shared" si="1001"/>
        <v>-5.185185185185186</v>
      </c>
      <c r="K583" s="48">
        <f t="shared" si="1001"/>
        <v>-5.2469135802469147</v>
      </c>
      <c r="L583" s="48">
        <f t="shared" si="1001"/>
        <v>-5.2736625514403306</v>
      </c>
      <c r="M583" s="48">
        <f t="shared" si="1001"/>
        <v>-5.235253772290811</v>
      </c>
      <c r="N583" s="977">
        <f t="shared" si="1001"/>
        <v>-5.2519433013260191</v>
      </c>
      <c r="O583" s="977">
        <f t="shared" ref="O583" si="1005">O595+O607+O619</f>
        <v>-5.2536198750190541</v>
      </c>
      <c r="P583" s="977">
        <f t="shared" ref="P583" si="1006">P595+P607+P619</f>
        <v>-5.2469389828786284</v>
      </c>
      <c r="Q583" s="2466">
        <f t="shared" ref="Q583" si="1007">Q595+Q607+Q619</f>
        <v>-5.2508340530745672</v>
      </c>
    </row>
    <row r="584" spans="1:17" x14ac:dyDescent="0.2">
      <c r="A584" s="658" t="s">
        <v>2811</v>
      </c>
      <c r="B584" s="687">
        <f t="shared" ref="B584:M584" si="1008">SUM(B581:B583)</f>
        <v>2729</v>
      </c>
      <c r="C584" s="687">
        <f t="shared" si="1008"/>
        <v>2316</v>
      </c>
      <c r="D584" s="687">
        <f t="shared" si="1008"/>
        <v>2364</v>
      </c>
      <c r="E584" s="687">
        <f t="shared" si="1008"/>
        <v>2469.6666666666665</v>
      </c>
      <c r="F584" s="687">
        <f t="shared" si="1008"/>
        <v>2383.2222222222222</v>
      </c>
      <c r="G584" s="687">
        <f t="shared" si="1008"/>
        <v>2405.6296296296296</v>
      </c>
      <c r="H584" s="687">
        <f t="shared" si="1008"/>
        <v>2419.5061728395062</v>
      </c>
      <c r="I584" s="687">
        <f t="shared" si="1008"/>
        <v>2402.7860082304524</v>
      </c>
      <c r="J584" s="687">
        <f t="shared" si="1008"/>
        <v>2409.307270233196</v>
      </c>
      <c r="K584" s="687">
        <f t="shared" si="1008"/>
        <v>2410.5331504343844</v>
      </c>
      <c r="L584" s="687">
        <f t="shared" si="1008"/>
        <v>2407.5421429660114</v>
      </c>
      <c r="M584" s="687">
        <f t="shared" si="1008"/>
        <v>2409.1275212111973</v>
      </c>
      <c r="N584" s="2111">
        <f t="shared" ref="N584:O584" si="1009">SUM(N581:N583)</f>
        <v>2409.0676048705309</v>
      </c>
      <c r="O584" s="2111">
        <f t="shared" si="1009"/>
        <v>2408.5790896825797</v>
      </c>
      <c r="P584" s="2111">
        <f t="shared" ref="P584" si="1010">SUM(P581:P583)</f>
        <v>2408.9247385881026</v>
      </c>
      <c r="Q584" s="2472">
        <f t="shared" ref="Q584" si="1011">SUM(Q581:Q583)</f>
        <v>2408.8571443804044</v>
      </c>
    </row>
    <row r="585" spans="1:17" x14ac:dyDescent="0.2">
      <c r="A585" s="655"/>
      <c r="B585" s="547"/>
      <c r="C585" s="547"/>
      <c r="D585" s="547"/>
      <c r="E585" s="547"/>
      <c r="F585" s="547"/>
      <c r="G585" s="547"/>
      <c r="H585" s="547"/>
      <c r="I585" s="547"/>
      <c r="J585" s="547"/>
      <c r="K585" s="547"/>
      <c r="L585" s="547"/>
      <c r="M585" s="978"/>
      <c r="N585" s="978"/>
      <c r="O585" s="978"/>
      <c r="P585" s="978"/>
      <c r="Q585" s="2467"/>
    </row>
    <row r="586" spans="1:17" x14ac:dyDescent="0.2">
      <c r="A586" s="655" t="s">
        <v>1883</v>
      </c>
      <c r="B586" s="547">
        <f t="shared" ref="B586:N586" si="1012">B598+B610+B622</f>
        <v>38581</v>
      </c>
      <c r="C586" s="547">
        <f t="shared" si="1012"/>
        <v>41109</v>
      </c>
      <c r="D586" s="547">
        <f t="shared" si="1012"/>
        <v>43670.6</v>
      </c>
      <c r="E586" s="547">
        <f t="shared" si="1012"/>
        <v>46310.8</v>
      </c>
      <c r="F586" s="547">
        <f t="shared" si="1012"/>
        <v>49346.966666666667</v>
      </c>
      <c r="G586" s="547">
        <f t="shared" si="1012"/>
        <v>49927.822222222225</v>
      </c>
      <c r="H586" s="547">
        <f t="shared" si="1012"/>
        <v>50470.829629629632</v>
      </c>
      <c r="I586" s="547">
        <f t="shared" si="1012"/>
        <v>51792.506172839509</v>
      </c>
      <c r="J586" s="547">
        <f t="shared" si="1012"/>
        <v>53126.286008230454</v>
      </c>
      <c r="K586" s="547">
        <f t="shared" si="1012"/>
        <v>54539.707270233193</v>
      </c>
      <c r="L586" s="547">
        <f t="shared" si="1012"/>
        <v>55987.033150434392</v>
      </c>
      <c r="M586" s="547">
        <f t="shared" si="1012"/>
        <v>57470.942142966014</v>
      </c>
      <c r="N586" s="977">
        <f t="shared" si="1012"/>
        <v>58999.2275212112</v>
      </c>
      <c r="O586" s="977">
        <f t="shared" ref="O586" si="1013">O598+O610+O622</f>
        <v>60569.267604870525</v>
      </c>
      <c r="P586" s="977">
        <f t="shared" ref="P586" si="1014">P598+P610+P622</f>
        <v>62181.779089682575</v>
      </c>
      <c r="Q586" s="2466">
        <f t="shared" ref="Q586" si="1015">Q598+Q610+Q622</f>
        <v>63841.024738588101</v>
      </c>
    </row>
    <row r="587" spans="1:17" x14ac:dyDescent="0.2">
      <c r="A587" s="658" t="s">
        <v>2812</v>
      </c>
      <c r="B587" s="687">
        <f t="shared" ref="B587:M587" si="1016">SUM(B586:B586)</f>
        <v>38581</v>
      </c>
      <c r="C587" s="687">
        <f t="shared" si="1016"/>
        <v>41109</v>
      </c>
      <c r="D587" s="687">
        <f t="shared" si="1016"/>
        <v>43670.6</v>
      </c>
      <c r="E587" s="687">
        <f t="shared" si="1016"/>
        <v>46310.8</v>
      </c>
      <c r="F587" s="687">
        <f t="shared" si="1016"/>
        <v>49346.966666666667</v>
      </c>
      <c r="G587" s="687">
        <f t="shared" si="1016"/>
        <v>49927.822222222225</v>
      </c>
      <c r="H587" s="687">
        <f t="shared" si="1016"/>
        <v>50470.829629629632</v>
      </c>
      <c r="I587" s="687">
        <f t="shared" si="1016"/>
        <v>51792.506172839509</v>
      </c>
      <c r="J587" s="687">
        <f t="shared" si="1016"/>
        <v>53126.286008230454</v>
      </c>
      <c r="K587" s="687">
        <f t="shared" si="1016"/>
        <v>54539.707270233193</v>
      </c>
      <c r="L587" s="687">
        <f t="shared" si="1016"/>
        <v>55987.033150434392</v>
      </c>
      <c r="M587" s="687">
        <f t="shared" si="1016"/>
        <v>57470.942142966014</v>
      </c>
      <c r="N587" s="2111">
        <f t="shared" ref="N587:O587" si="1017">SUM(N586:N586)</f>
        <v>58999.2275212112</v>
      </c>
      <c r="O587" s="2111">
        <f t="shared" si="1017"/>
        <v>60569.267604870525</v>
      </c>
      <c r="P587" s="2111">
        <f t="shared" ref="P587" si="1018">SUM(P586:P586)</f>
        <v>62181.779089682575</v>
      </c>
      <c r="Q587" s="2472">
        <f t="shared" ref="Q587" si="1019">SUM(Q586:Q586)</f>
        <v>63841.024738588101</v>
      </c>
    </row>
    <row r="588" spans="1:17" x14ac:dyDescent="0.2">
      <c r="A588" s="658"/>
      <c r="B588" s="547"/>
      <c r="C588" s="547"/>
      <c r="D588" s="547"/>
      <c r="E588" s="547"/>
      <c r="F588" s="547"/>
      <c r="G588" s="547"/>
      <c r="H588" s="547"/>
      <c r="I588" s="547"/>
      <c r="J588" s="547"/>
      <c r="K588" s="547"/>
      <c r="L588" s="547"/>
      <c r="M588" s="930"/>
      <c r="N588" s="978"/>
      <c r="O588" s="978"/>
      <c r="P588" s="978"/>
      <c r="Q588" s="2467"/>
    </row>
    <row r="589" spans="1:17" x14ac:dyDescent="0.2">
      <c r="A589" s="657" t="s">
        <v>3404</v>
      </c>
      <c r="B589" s="1487">
        <f t="shared" ref="B589:M589" si="1020">ROUND(B584/B587,4)</f>
        <v>7.0699999999999999E-2</v>
      </c>
      <c r="C589" s="1487">
        <f t="shared" si="1020"/>
        <v>5.6300000000000003E-2</v>
      </c>
      <c r="D589" s="1487">
        <f t="shared" si="1020"/>
        <v>5.4100000000000002E-2</v>
      </c>
      <c r="E589" s="1487">
        <f t="shared" si="1020"/>
        <v>5.33E-2</v>
      </c>
      <c r="F589" s="1487">
        <f t="shared" si="1020"/>
        <v>4.8300000000000003E-2</v>
      </c>
      <c r="G589" s="1487">
        <f t="shared" si="1020"/>
        <v>4.82E-2</v>
      </c>
      <c r="H589" s="1487">
        <f t="shared" si="1020"/>
        <v>4.7899999999999998E-2</v>
      </c>
      <c r="I589" s="1487">
        <f t="shared" si="1020"/>
        <v>4.6399999999999997E-2</v>
      </c>
      <c r="J589" s="1487">
        <f t="shared" si="1020"/>
        <v>4.5400000000000003E-2</v>
      </c>
      <c r="K589" s="1487">
        <f t="shared" si="1020"/>
        <v>4.4200000000000003E-2</v>
      </c>
      <c r="L589" s="1487">
        <f t="shared" si="1020"/>
        <v>4.2999999999999997E-2</v>
      </c>
      <c r="M589" s="979">
        <f t="shared" si="1020"/>
        <v>4.19E-2</v>
      </c>
      <c r="N589" s="979">
        <f t="shared" ref="N589:O589" si="1021">ROUND(N584/N587,4)</f>
        <v>4.0800000000000003E-2</v>
      </c>
      <c r="O589" s="979">
        <f t="shared" si="1021"/>
        <v>3.9800000000000002E-2</v>
      </c>
      <c r="P589" s="979">
        <f t="shared" ref="P589" si="1022">ROUND(P584/P587,4)</f>
        <v>3.8699999999999998E-2</v>
      </c>
      <c r="Q589" s="2468">
        <f t="shared" ref="Q589" si="1023">ROUND(Q584/Q587,4)</f>
        <v>3.7699999999999997E-2</v>
      </c>
    </row>
    <row r="590" spans="1:17" x14ac:dyDescent="0.2">
      <c r="A590" s="657"/>
      <c r="B590" s="839"/>
      <c r="C590" s="839"/>
      <c r="D590" s="839"/>
      <c r="E590" s="839"/>
      <c r="F590" s="839"/>
      <c r="G590" s="839"/>
      <c r="H590" s="839"/>
      <c r="I590" s="839"/>
      <c r="J590" s="839"/>
      <c r="K590" s="839"/>
      <c r="L590" s="839"/>
      <c r="M590" s="967"/>
      <c r="N590" s="967"/>
      <c r="O590" s="967"/>
      <c r="P590" s="967"/>
      <c r="Q590" s="2460"/>
    </row>
    <row r="591" spans="1:17" x14ac:dyDescent="0.2">
      <c r="A591" s="841"/>
      <c r="B591" s="1483"/>
      <c r="C591" s="1483"/>
      <c r="D591" s="1483"/>
      <c r="E591" s="1483"/>
      <c r="F591" s="1483"/>
      <c r="G591" s="1483"/>
      <c r="H591" s="1483"/>
      <c r="I591" s="1483"/>
      <c r="J591" s="1483"/>
      <c r="K591" s="1483"/>
      <c r="L591" s="1483"/>
      <c r="M591" s="968"/>
      <c r="N591" s="968"/>
      <c r="O591" s="968"/>
      <c r="P591" s="968"/>
      <c r="Q591" s="2458"/>
    </row>
    <row r="592" spans="1:17" x14ac:dyDescent="0.2">
      <c r="A592" s="657" t="s">
        <v>4216</v>
      </c>
      <c r="B592" s="547"/>
      <c r="C592" s="547"/>
      <c r="D592" s="547"/>
      <c r="E592" s="547"/>
      <c r="F592" s="547"/>
      <c r="G592" s="547"/>
      <c r="H592" s="547"/>
      <c r="I592" s="547"/>
      <c r="J592" s="547"/>
      <c r="K592" s="547"/>
      <c r="L592" s="547"/>
      <c r="M592" s="978"/>
      <c r="N592" s="978"/>
      <c r="O592" s="978"/>
      <c r="P592" s="978"/>
      <c r="Q592" s="2467"/>
    </row>
    <row r="593" spans="1:17" x14ac:dyDescent="0.2">
      <c r="A593" s="655" t="s">
        <v>3297</v>
      </c>
      <c r="B593" s="48">
        <v>1156</v>
      </c>
      <c r="C593" s="48">
        <v>1107</v>
      </c>
      <c r="D593" s="48">
        <f>AVERAGE(B593:C593)</f>
        <v>1131.5</v>
      </c>
      <c r="E593" s="48">
        <f t="shared" ref="E593:H595" si="1024">AVERAGE(B593:D593)</f>
        <v>1131.5</v>
      </c>
      <c r="F593" s="48">
        <f t="shared" si="1024"/>
        <v>1123.3333333333333</v>
      </c>
      <c r="G593" s="48">
        <f t="shared" si="1024"/>
        <v>1128.7777777777776</v>
      </c>
      <c r="H593" s="48">
        <f t="shared" si="1024"/>
        <v>1127.8703703703702</v>
      </c>
      <c r="I593" s="48">
        <f t="shared" ref="I593:O595" si="1025">AVERAGE(F593:H593)</f>
        <v>1126.6604938271603</v>
      </c>
      <c r="J593" s="48">
        <f t="shared" si="1025"/>
        <v>1127.7695473251026</v>
      </c>
      <c r="K593" s="48">
        <f t="shared" si="1025"/>
        <v>1127.4334705075444</v>
      </c>
      <c r="L593" s="48">
        <f t="shared" si="1025"/>
        <v>1127.2878372199357</v>
      </c>
      <c r="M593" s="679">
        <f t="shared" si="1025"/>
        <v>1127.4969516841941</v>
      </c>
      <c r="N593" s="679">
        <f t="shared" si="1025"/>
        <v>1127.406086470558</v>
      </c>
      <c r="O593" s="679">
        <f t="shared" si="1025"/>
        <v>1127.3969584582292</v>
      </c>
      <c r="P593" s="679">
        <f t="shared" ref="P593:Q595" si="1026">AVERAGE(M593:O593)</f>
        <v>1127.4333322043269</v>
      </c>
      <c r="Q593" s="660">
        <f t="shared" si="1026"/>
        <v>1127.412125711038</v>
      </c>
    </row>
    <row r="594" spans="1:17" x14ac:dyDescent="0.2">
      <c r="A594" s="655" t="s">
        <v>565</v>
      </c>
      <c r="B594" s="48">
        <v>331</v>
      </c>
      <c r="C594" s="48">
        <v>309</v>
      </c>
      <c r="D594" s="48">
        <f>AVERAGE(B594:C594)</f>
        <v>320</v>
      </c>
      <c r="E594" s="48">
        <f t="shared" si="1024"/>
        <v>320</v>
      </c>
      <c r="F594" s="48">
        <f t="shared" si="1024"/>
        <v>316.33333333333331</v>
      </c>
      <c r="G594" s="48">
        <f t="shared" si="1024"/>
        <v>318.77777777777777</v>
      </c>
      <c r="H594" s="48">
        <f t="shared" si="1024"/>
        <v>318.37037037037038</v>
      </c>
      <c r="I594" s="48">
        <f t="shared" si="1025"/>
        <v>317.82716049382719</v>
      </c>
      <c r="J594" s="48">
        <f t="shared" si="1025"/>
        <v>318.32510288065845</v>
      </c>
      <c r="K594" s="48">
        <f t="shared" si="1025"/>
        <v>318.1742112482853</v>
      </c>
      <c r="L594" s="48">
        <f t="shared" si="1025"/>
        <v>318.10882487425698</v>
      </c>
      <c r="M594" s="679">
        <f t="shared" si="1025"/>
        <v>318.20271300106691</v>
      </c>
      <c r="N594" s="679">
        <f t="shared" si="1025"/>
        <v>318.16191637453636</v>
      </c>
      <c r="O594" s="679">
        <f t="shared" si="1025"/>
        <v>318.15781808328671</v>
      </c>
      <c r="P594" s="679">
        <f t="shared" si="1026"/>
        <v>318.17414915296331</v>
      </c>
      <c r="Q594" s="660">
        <f t="shared" si="1026"/>
        <v>318.16462787026211</v>
      </c>
    </row>
    <row r="595" spans="1:17" x14ac:dyDescent="0.2">
      <c r="A595" s="655" t="s">
        <v>1534</v>
      </c>
      <c r="B595" s="48">
        <v>0</v>
      </c>
      <c r="C595" s="48">
        <v>-9</v>
      </c>
      <c r="D595" s="48">
        <f>AVERAGE(B595:C595)</f>
        <v>-4.5</v>
      </c>
      <c r="E595" s="48">
        <f t="shared" si="1024"/>
        <v>-4.5</v>
      </c>
      <c r="F595" s="48">
        <f t="shared" si="1024"/>
        <v>-6</v>
      </c>
      <c r="G595" s="48">
        <f t="shared" si="1024"/>
        <v>-5</v>
      </c>
      <c r="H595" s="48">
        <f t="shared" si="1024"/>
        <v>-5.166666666666667</v>
      </c>
      <c r="I595" s="48">
        <f t="shared" si="1025"/>
        <v>-5.3888888888888893</v>
      </c>
      <c r="J595" s="48">
        <f t="shared" si="1025"/>
        <v>-5.185185185185186</v>
      </c>
      <c r="K595" s="48">
        <f t="shared" si="1025"/>
        <v>-5.2469135802469147</v>
      </c>
      <c r="L595" s="48">
        <f t="shared" si="1025"/>
        <v>-5.2736625514403306</v>
      </c>
      <c r="M595" s="679">
        <f t="shared" si="1025"/>
        <v>-5.235253772290811</v>
      </c>
      <c r="N595" s="679">
        <f t="shared" si="1025"/>
        <v>-5.2519433013260191</v>
      </c>
      <c r="O595" s="679">
        <f t="shared" si="1025"/>
        <v>-5.2536198750190541</v>
      </c>
      <c r="P595" s="679">
        <f t="shared" si="1026"/>
        <v>-5.2469389828786284</v>
      </c>
      <c r="Q595" s="660">
        <f t="shared" si="1026"/>
        <v>-5.2508340530745672</v>
      </c>
    </row>
    <row r="596" spans="1:17" x14ac:dyDescent="0.2">
      <c r="A596" s="658" t="s">
        <v>2811</v>
      </c>
      <c r="B596" s="687">
        <f t="shared" ref="B596:M596" si="1027">SUM(B593:B595)</f>
        <v>1487</v>
      </c>
      <c r="C596" s="687">
        <f t="shared" si="1027"/>
        <v>1407</v>
      </c>
      <c r="D596" s="687">
        <f t="shared" si="1027"/>
        <v>1447</v>
      </c>
      <c r="E596" s="687">
        <f t="shared" si="1027"/>
        <v>1447</v>
      </c>
      <c r="F596" s="687">
        <f t="shared" si="1027"/>
        <v>1433.6666666666665</v>
      </c>
      <c r="G596" s="687">
        <f t="shared" si="1027"/>
        <v>1442.5555555555554</v>
      </c>
      <c r="H596" s="687">
        <f t="shared" si="1027"/>
        <v>1441.0740740740739</v>
      </c>
      <c r="I596" s="687">
        <f t="shared" si="1027"/>
        <v>1439.0987654320986</v>
      </c>
      <c r="J596" s="687">
        <f t="shared" si="1027"/>
        <v>1440.9094650205759</v>
      </c>
      <c r="K596" s="687">
        <f t="shared" si="1027"/>
        <v>1440.3607681755827</v>
      </c>
      <c r="L596" s="687">
        <f t="shared" si="1027"/>
        <v>1440.1229995427523</v>
      </c>
      <c r="M596" s="687">
        <f t="shared" si="1027"/>
        <v>1440.4644109129702</v>
      </c>
      <c r="N596" s="2111">
        <f t="shared" ref="N596:O596" si="1028">SUM(N593:N595)</f>
        <v>1440.3160595437682</v>
      </c>
      <c r="O596" s="2111">
        <f t="shared" si="1028"/>
        <v>1440.3011566664968</v>
      </c>
      <c r="P596" s="2111">
        <f t="shared" ref="P596" si="1029">SUM(P593:P595)</f>
        <v>1440.3605423744116</v>
      </c>
      <c r="Q596" s="2472">
        <f t="shared" ref="Q596" si="1030">SUM(Q593:Q595)</f>
        <v>1440.3259195282255</v>
      </c>
    </row>
    <row r="597" spans="1:17" x14ac:dyDescent="0.2">
      <c r="A597" s="655"/>
      <c r="B597" s="547"/>
      <c r="C597" s="547"/>
      <c r="D597" s="547"/>
      <c r="E597" s="547"/>
      <c r="F597" s="547"/>
      <c r="G597" s="547"/>
      <c r="H597" s="547"/>
      <c r="I597" s="547"/>
      <c r="J597" s="547"/>
      <c r="K597" s="547"/>
      <c r="L597" s="547"/>
      <c r="M597" s="978"/>
      <c r="N597" s="978"/>
      <c r="O597" s="978"/>
      <c r="P597" s="978"/>
      <c r="Q597" s="2467"/>
    </row>
    <row r="598" spans="1:17" x14ac:dyDescent="0.2">
      <c r="A598" s="655" t="s">
        <v>1883</v>
      </c>
      <c r="B598" s="547">
        <v>23991</v>
      </c>
      <c r="C598" s="547">
        <v>25338</v>
      </c>
      <c r="D598" s="547">
        <f>Summaries!R7/1000+C596</f>
        <v>26663.5</v>
      </c>
      <c r="E598" s="547">
        <f>Summaries!S7/1000+D596</f>
        <v>28080.6</v>
      </c>
      <c r="F598" s="547">
        <f>Summaries!T7/1000+E596</f>
        <v>29554.400000000001</v>
      </c>
      <c r="G598" s="547">
        <f>Summaries!U7/1000+F596</f>
        <v>29601.766666666666</v>
      </c>
      <c r="H598" s="547">
        <f>Summaries!V7/1000+G596</f>
        <v>29642.755555555555</v>
      </c>
      <c r="I598" s="547">
        <f>Summaries!W7/1000+H596</f>
        <v>30448.574074074073</v>
      </c>
      <c r="J598" s="547">
        <f>Summaries!X7/1000+I596</f>
        <v>31276.5987654321</v>
      </c>
      <c r="K598" s="547">
        <f>Summaries!Y7/1000+J596</f>
        <v>32131.909465020577</v>
      </c>
      <c r="L598" s="547">
        <f>Summaries!Z7/1000+K596</f>
        <v>33010.060768175586</v>
      </c>
      <c r="M598" s="977">
        <f>Summaries!AA7/1000+L596</f>
        <v>33913.322999542754</v>
      </c>
      <c r="N598" s="977">
        <f>Summaries!AB7/1000+M596</f>
        <v>34842.964410912973</v>
      </c>
      <c r="O598" s="977">
        <f>Summaries!AC7/1000+N596</f>
        <v>35799.516059543763</v>
      </c>
      <c r="P598" s="977">
        <f>Summaries!AD7/1000+O596</f>
        <v>36783.101156666497</v>
      </c>
      <c r="Q598" s="2466">
        <f>Summaries!AE7/1000+P596</f>
        <v>37795.660542374411</v>
      </c>
    </row>
    <row r="599" spans="1:17" x14ac:dyDescent="0.2">
      <c r="A599" s="658" t="s">
        <v>2812</v>
      </c>
      <c r="B599" s="687">
        <f t="shared" ref="B599:M599" si="1031">SUM(B598:B598)</f>
        <v>23991</v>
      </c>
      <c r="C599" s="687">
        <f t="shared" si="1031"/>
        <v>25338</v>
      </c>
      <c r="D599" s="687">
        <f t="shared" si="1031"/>
        <v>26663.5</v>
      </c>
      <c r="E599" s="687">
        <f t="shared" si="1031"/>
        <v>28080.6</v>
      </c>
      <c r="F599" s="687">
        <f t="shared" si="1031"/>
        <v>29554.400000000001</v>
      </c>
      <c r="G599" s="687">
        <f t="shared" si="1031"/>
        <v>29601.766666666666</v>
      </c>
      <c r="H599" s="687">
        <f t="shared" si="1031"/>
        <v>29642.755555555555</v>
      </c>
      <c r="I599" s="687">
        <f t="shared" si="1031"/>
        <v>30448.574074074073</v>
      </c>
      <c r="J599" s="687">
        <f t="shared" si="1031"/>
        <v>31276.5987654321</v>
      </c>
      <c r="K599" s="687">
        <f t="shared" si="1031"/>
        <v>32131.909465020577</v>
      </c>
      <c r="L599" s="687">
        <f t="shared" si="1031"/>
        <v>33010.060768175586</v>
      </c>
      <c r="M599" s="687">
        <f t="shared" si="1031"/>
        <v>33913.322999542754</v>
      </c>
      <c r="N599" s="2111">
        <f t="shared" ref="N599:O599" si="1032">SUM(N598:N598)</f>
        <v>34842.964410912973</v>
      </c>
      <c r="O599" s="2111">
        <f t="shared" si="1032"/>
        <v>35799.516059543763</v>
      </c>
      <c r="P599" s="2111">
        <f t="shared" ref="P599" si="1033">SUM(P598:P598)</f>
        <v>36783.101156666497</v>
      </c>
      <c r="Q599" s="2472">
        <f t="shared" ref="Q599" si="1034">SUM(Q598:Q598)</f>
        <v>37795.660542374411</v>
      </c>
    </row>
    <row r="600" spans="1:17" x14ac:dyDescent="0.2">
      <c r="A600" s="658"/>
      <c r="B600" s="547"/>
      <c r="C600" s="547"/>
      <c r="D600" s="547"/>
      <c r="E600" s="547"/>
      <c r="F600" s="547"/>
      <c r="G600" s="547"/>
      <c r="H600" s="547"/>
      <c r="I600" s="547"/>
      <c r="J600" s="547"/>
      <c r="K600" s="547"/>
      <c r="L600" s="547"/>
      <c r="M600" s="930"/>
      <c r="N600" s="978"/>
      <c r="O600" s="978"/>
      <c r="P600" s="978"/>
      <c r="Q600" s="2467"/>
    </row>
    <row r="601" spans="1:17" x14ac:dyDescent="0.2">
      <c r="A601" s="657" t="s">
        <v>4217</v>
      </c>
      <c r="B601" s="1487">
        <f t="shared" ref="B601:M601" si="1035">ROUND(B596/B599,4)</f>
        <v>6.2E-2</v>
      </c>
      <c r="C601" s="1487">
        <f t="shared" si="1035"/>
        <v>5.5500000000000001E-2</v>
      </c>
      <c r="D601" s="1487">
        <f t="shared" si="1035"/>
        <v>5.4300000000000001E-2</v>
      </c>
      <c r="E601" s="1487">
        <f t="shared" si="1035"/>
        <v>5.1499999999999997E-2</v>
      </c>
      <c r="F601" s="1487">
        <f t="shared" si="1035"/>
        <v>4.8500000000000001E-2</v>
      </c>
      <c r="G601" s="1487">
        <f t="shared" si="1035"/>
        <v>4.87E-2</v>
      </c>
      <c r="H601" s="1487">
        <f t="shared" si="1035"/>
        <v>4.8599999999999997E-2</v>
      </c>
      <c r="I601" s="1487">
        <f t="shared" si="1035"/>
        <v>4.7300000000000002E-2</v>
      </c>
      <c r="J601" s="1487">
        <f t="shared" si="1035"/>
        <v>4.6100000000000002E-2</v>
      </c>
      <c r="K601" s="1487">
        <f t="shared" si="1035"/>
        <v>4.48E-2</v>
      </c>
      <c r="L601" s="1487">
        <f t="shared" si="1035"/>
        <v>4.36E-2</v>
      </c>
      <c r="M601" s="979">
        <f t="shared" si="1035"/>
        <v>4.2500000000000003E-2</v>
      </c>
      <c r="N601" s="979">
        <f t="shared" ref="N601:O601" si="1036">ROUND(N596/N599,4)</f>
        <v>4.1300000000000003E-2</v>
      </c>
      <c r="O601" s="979">
        <f t="shared" si="1036"/>
        <v>4.02E-2</v>
      </c>
      <c r="P601" s="979">
        <f t="shared" ref="P601" si="1037">ROUND(P596/P599,4)</f>
        <v>3.9199999999999999E-2</v>
      </c>
      <c r="Q601" s="2468">
        <f t="shared" ref="Q601" si="1038">ROUND(Q596/Q599,4)</f>
        <v>3.8100000000000002E-2</v>
      </c>
    </row>
    <row r="602" spans="1:17" x14ac:dyDescent="0.2">
      <c r="A602" s="657"/>
      <c r="B602" s="839"/>
      <c r="C602" s="839"/>
      <c r="D602" s="839"/>
      <c r="E602" s="839"/>
      <c r="F602" s="839"/>
      <c r="G602" s="839"/>
      <c r="H602" s="839"/>
      <c r="I602" s="839"/>
      <c r="J602" s="839"/>
      <c r="K602" s="839"/>
      <c r="L602" s="839"/>
      <c r="M602" s="967"/>
      <c r="N602" s="967"/>
      <c r="O602" s="967"/>
      <c r="P602" s="967"/>
      <c r="Q602" s="2460"/>
    </row>
    <row r="603" spans="1:17" x14ac:dyDescent="0.2">
      <c r="A603" s="841"/>
      <c r="B603" s="1483"/>
      <c r="C603" s="1483"/>
      <c r="D603" s="1483"/>
      <c r="E603" s="1483"/>
      <c r="F603" s="1483"/>
      <c r="G603" s="1483"/>
      <c r="H603" s="1483"/>
      <c r="I603" s="1483"/>
      <c r="J603" s="1483"/>
      <c r="K603" s="1483"/>
      <c r="L603" s="1483"/>
      <c r="M603" s="968"/>
      <c r="N603" s="968"/>
      <c r="O603" s="968"/>
      <c r="P603" s="968"/>
      <c r="Q603" s="2458"/>
    </row>
    <row r="604" spans="1:17" x14ac:dyDescent="0.2">
      <c r="A604" s="657" t="s">
        <v>4218</v>
      </c>
      <c r="B604" s="547"/>
      <c r="C604" s="547"/>
      <c r="D604" s="547"/>
      <c r="E604" s="547"/>
      <c r="F604" s="547"/>
      <c r="G604" s="547"/>
      <c r="H604" s="547"/>
      <c r="I604" s="547"/>
      <c r="J604" s="547"/>
      <c r="K604" s="547"/>
      <c r="L604" s="547"/>
      <c r="M604" s="978"/>
      <c r="N604" s="978"/>
      <c r="O604" s="978"/>
      <c r="P604" s="978"/>
      <c r="Q604" s="2467"/>
    </row>
    <row r="605" spans="1:17" x14ac:dyDescent="0.2">
      <c r="A605" s="655" t="s">
        <v>3297</v>
      </c>
      <c r="B605" s="48">
        <v>368</v>
      </c>
      <c r="C605" s="48">
        <v>400</v>
      </c>
      <c r="D605" s="48">
        <v>387</v>
      </c>
      <c r="E605" s="48">
        <f>AVERAGE(B605:D605)</f>
        <v>385</v>
      </c>
      <c r="F605" s="48">
        <f>AVERAGE(C605:E605)</f>
        <v>390.66666666666669</v>
      </c>
      <c r="G605" s="48">
        <f>AVERAGE(D605:F605)</f>
        <v>387.5555555555556</v>
      </c>
      <c r="H605" s="48">
        <f>AVERAGE(E605:G605)</f>
        <v>387.74074074074082</v>
      </c>
      <c r="I605" s="48">
        <f t="shared" ref="I605:O605" si="1039">AVERAGE(F605:H605)</f>
        <v>388.65432098765433</v>
      </c>
      <c r="J605" s="48">
        <f t="shared" si="1039"/>
        <v>387.98353909465027</v>
      </c>
      <c r="K605" s="48">
        <f t="shared" si="1039"/>
        <v>388.12620027434849</v>
      </c>
      <c r="L605" s="48">
        <f t="shared" si="1039"/>
        <v>388.25468678555103</v>
      </c>
      <c r="M605" s="679">
        <f t="shared" si="1039"/>
        <v>388.12147538484993</v>
      </c>
      <c r="N605" s="679">
        <f t="shared" si="1039"/>
        <v>388.16745414824982</v>
      </c>
      <c r="O605" s="679">
        <f t="shared" si="1039"/>
        <v>388.18120543955024</v>
      </c>
      <c r="P605" s="679">
        <f>AVERAGE(M605:O605)</f>
        <v>388.15671165754998</v>
      </c>
      <c r="Q605" s="660">
        <f>AVERAGE(N605:P605)</f>
        <v>388.16845708178334</v>
      </c>
    </row>
    <row r="606" spans="1:17" x14ac:dyDescent="0.2">
      <c r="A606" s="655" t="s">
        <v>565</v>
      </c>
      <c r="B606" s="48">
        <v>0</v>
      </c>
      <c r="C606" s="48">
        <v>0</v>
      </c>
      <c r="D606" s="48">
        <f>ROUNDUP(C606+(C606*Assumptions!E$5),-2)</f>
        <v>0</v>
      </c>
      <c r="E606" s="48">
        <f>ROUNDUP(D606+(D606*Assumptions!F$5),-2)</f>
        <v>0</v>
      </c>
      <c r="F606" s="48">
        <f>ROUNDUP(E606+(E606*Assumptions!G$5),-2)</f>
        <v>0</v>
      </c>
      <c r="G606" s="48">
        <f>ROUNDUP(F606+(F606*Assumptions!H$5),-2)</f>
        <v>0</v>
      </c>
      <c r="H606" s="48">
        <f>ROUNDUP(G606+(G606*Assumptions!I$5),-2)</f>
        <v>0</v>
      </c>
      <c r="I606" s="48">
        <f>ROUNDUP(H606+(H606*Assumptions!J$5),-2)</f>
        <v>0</v>
      </c>
      <c r="J606" s="48">
        <f>ROUNDUP(I606+(I606*Assumptions!K$5),-2)</f>
        <v>0</v>
      </c>
      <c r="K606" s="48">
        <f>ROUNDUP(J606+(J606*Assumptions!L$5),-2)</f>
        <v>0</v>
      </c>
      <c r="L606" s="48">
        <f>ROUNDUP(K606+(K606*Assumptions!M$5),-2)</f>
        <v>0</v>
      </c>
      <c r="M606" s="679">
        <f>ROUNDUP(L606+(L606*Assumptions!N$5),-2)</f>
        <v>0</v>
      </c>
      <c r="N606" s="679">
        <f>ROUNDUP(M606+(M606*Assumptions!O$5),-2)</f>
        <v>0</v>
      </c>
      <c r="O606" s="679">
        <f>ROUNDUP(N606+(N606*Assumptions!P$5),-2)</f>
        <v>0</v>
      </c>
      <c r="P606" s="679">
        <f>ROUNDUP(O606+(O606*Assumptions!Q$5),-2)</f>
        <v>0</v>
      </c>
      <c r="Q606" s="660">
        <f>ROUNDUP(P606+(P606*Assumptions!R$5),-2)</f>
        <v>0</v>
      </c>
    </row>
    <row r="607" spans="1:17" x14ac:dyDescent="0.2">
      <c r="A607" s="655" t="s">
        <v>1534</v>
      </c>
      <c r="B607" s="48">
        <v>0</v>
      </c>
      <c r="C607" s="48">
        <v>0</v>
      </c>
      <c r="D607" s="48">
        <f>C607</f>
        <v>0</v>
      </c>
      <c r="E607" s="48">
        <f>D607</f>
        <v>0</v>
      </c>
      <c r="F607" s="48">
        <f>E607</f>
        <v>0</v>
      </c>
      <c r="G607" s="48">
        <f t="shared" ref="G607:O607" si="1040">F607</f>
        <v>0</v>
      </c>
      <c r="H607" s="48">
        <f t="shared" si="1040"/>
        <v>0</v>
      </c>
      <c r="I607" s="48">
        <f t="shared" si="1040"/>
        <v>0</v>
      </c>
      <c r="J607" s="48">
        <f t="shared" si="1040"/>
        <v>0</v>
      </c>
      <c r="K607" s="48">
        <f t="shared" si="1040"/>
        <v>0</v>
      </c>
      <c r="L607" s="48">
        <f t="shared" si="1040"/>
        <v>0</v>
      </c>
      <c r="M607" s="679">
        <f t="shared" si="1040"/>
        <v>0</v>
      </c>
      <c r="N607" s="679">
        <f t="shared" si="1040"/>
        <v>0</v>
      </c>
      <c r="O607" s="679">
        <f t="shared" si="1040"/>
        <v>0</v>
      </c>
      <c r="P607" s="679">
        <f>O607</f>
        <v>0</v>
      </c>
      <c r="Q607" s="660">
        <f>P607</f>
        <v>0</v>
      </c>
    </row>
    <row r="608" spans="1:17" x14ac:dyDescent="0.2">
      <c r="A608" s="658" t="s">
        <v>2811</v>
      </c>
      <c r="B608" s="687">
        <f t="shared" ref="B608:M608" si="1041">SUM(B605:B607)</f>
        <v>368</v>
      </c>
      <c r="C608" s="687">
        <f t="shared" si="1041"/>
        <v>400</v>
      </c>
      <c r="D608" s="687">
        <f t="shared" si="1041"/>
        <v>387</v>
      </c>
      <c r="E608" s="687">
        <f t="shared" si="1041"/>
        <v>385</v>
      </c>
      <c r="F608" s="687">
        <f t="shared" si="1041"/>
        <v>390.66666666666669</v>
      </c>
      <c r="G608" s="687">
        <f t="shared" si="1041"/>
        <v>387.5555555555556</v>
      </c>
      <c r="H608" s="687">
        <f t="shared" si="1041"/>
        <v>387.74074074074082</v>
      </c>
      <c r="I608" s="687">
        <f t="shared" si="1041"/>
        <v>388.65432098765433</v>
      </c>
      <c r="J608" s="687">
        <f t="shared" si="1041"/>
        <v>387.98353909465027</v>
      </c>
      <c r="K608" s="687">
        <f t="shared" si="1041"/>
        <v>388.12620027434849</v>
      </c>
      <c r="L608" s="687">
        <f t="shared" si="1041"/>
        <v>388.25468678555103</v>
      </c>
      <c r="M608" s="687">
        <f t="shared" si="1041"/>
        <v>388.12147538484993</v>
      </c>
      <c r="N608" s="2111">
        <f t="shared" ref="N608:O608" si="1042">SUM(N605:N607)</f>
        <v>388.16745414824982</v>
      </c>
      <c r="O608" s="2111">
        <f t="shared" si="1042"/>
        <v>388.18120543955024</v>
      </c>
      <c r="P608" s="2111">
        <f t="shared" ref="P608" si="1043">SUM(P605:P607)</f>
        <v>388.15671165754998</v>
      </c>
      <c r="Q608" s="2472">
        <f t="shared" ref="Q608" si="1044">SUM(Q605:Q607)</f>
        <v>388.16845708178334</v>
      </c>
    </row>
    <row r="609" spans="1:17" x14ac:dyDescent="0.2">
      <c r="A609" s="655"/>
      <c r="B609" s="547"/>
      <c r="C609" s="547"/>
      <c r="D609" s="547"/>
      <c r="E609" s="547"/>
      <c r="F609" s="547"/>
      <c r="G609" s="547"/>
      <c r="H609" s="547"/>
      <c r="I609" s="547"/>
      <c r="J609" s="547"/>
      <c r="K609" s="547"/>
      <c r="L609" s="547"/>
      <c r="M609" s="978"/>
      <c r="N609" s="978"/>
      <c r="O609" s="978"/>
      <c r="P609" s="978"/>
      <c r="Q609" s="2467"/>
    </row>
    <row r="610" spans="1:17" x14ac:dyDescent="0.2">
      <c r="A610" s="655" t="s">
        <v>1883</v>
      </c>
      <c r="B610" s="547">
        <v>3077</v>
      </c>
      <c r="C610" s="547">
        <v>3228</v>
      </c>
      <c r="D610" s="547">
        <f>Summaries!AG7/1000+C608</f>
        <v>3492.6</v>
      </c>
      <c r="E610" s="547">
        <f>Summaries!AH7/1000+D608</f>
        <v>3613</v>
      </c>
      <c r="F610" s="547">
        <f>Summaries!AI7/1000+E608</f>
        <v>3756.9</v>
      </c>
      <c r="G610" s="547">
        <f>Summaries!AJ7/1000+F608</f>
        <v>3830.1666666666665</v>
      </c>
      <c r="H610" s="547">
        <f>Summaries!AK7/1000+G608</f>
        <v>3911.5555555555557</v>
      </c>
      <c r="I610" s="547">
        <f>Summaries!AL7/1000+H608</f>
        <v>3998.2407407407409</v>
      </c>
      <c r="J610" s="547">
        <f>Summaries!AM7/1000+I608</f>
        <v>4095.6543209876545</v>
      </c>
      <c r="K610" s="547">
        <f>Summaries!AN7/1000+J608</f>
        <v>4213.3835390946506</v>
      </c>
      <c r="L610" s="547">
        <f>Summaries!AO7/1000+K608</f>
        <v>4335.926200274349</v>
      </c>
      <c r="M610" s="977">
        <f>Summaries!AP7/1000+L608</f>
        <v>4462.4546867855506</v>
      </c>
      <c r="N610" s="977">
        <f>Summaries!AQ7/1000+M608</f>
        <v>4591.7214753848502</v>
      </c>
      <c r="O610" s="977">
        <f>Summaries!AR7/1000+N608</f>
        <v>4725.1674541482498</v>
      </c>
      <c r="P610" s="977">
        <f>Summaries!AS7/1000+O608</f>
        <v>4862.5812054395501</v>
      </c>
      <c r="Q610" s="2466">
        <f>Summaries!AT7/1000+P608</f>
        <v>5004.9567116575499</v>
      </c>
    </row>
    <row r="611" spans="1:17" x14ac:dyDescent="0.2">
      <c r="A611" s="658" t="s">
        <v>2812</v>
      </c>
      <c r="B611" s="687">
        <f t="shared" ref="B611:M611" si="1045">SUM(B610:B610)</f>
        <v>3077</v>
      </c>
      <c r="C611" s="687">
        <f t="shared" si="1045"/>
        <v>3228</v>
      </c>
      <c r="D611" s="687">
        <f t="shared" si="1045"/>
        <v>3492.6</v>
      </c>
      <c r="E611" s="687">
        <f t="shared" si="1045"/>
        <v>3613</v>
      </c>
      <c r="F611" s="687">
        <f t="shared" si="1045"/>
        <v>3756.9</v>
      </c>
      <c r="G611" s="687">
        <f t="shared" si="1045"/>
        <v>3830.1666666666665</v>
      </c>
      <c r="H611" s="687">
        <f t="shared" si="1045"/>
        <v>3911.5555555555557</v>
      </c>
      <c r="I611" s="687">
        <f t="shared" si="1045"/>
        <v>3998.2407407407409</v>
      </c>
      <c r="J611" s="687">
        <f t="shared" si="1045"/>
        <v>4095.6543209876545</v>
      </c>
      <c r="K611" s="687">
        <f t="shared" si="1045"/>
        <v>4213.3835390946506</v>
      </c>
      <c r="L611" s="687">
        <f t="shared" si="1045"/>
        <v>4335.926200274349</v>
      </c>
      <c r="M611" s="687">
        <f t="shared" si="1045"/>
        <v>4462.4546867855506</v>
      </c>
      <c r="N611" s="2111">
        <f t="shared" ref="N611:O611" si="1046">SUM(N610:N610)</f>
        <v>4591.7214753848502</v>
      </c>
      <c r="O611" s="2111">
        <f t="shared" si="1046"/>
        <v>4725.1674541482498</v>
      </c>
      <c r="P611" s="2111">
        <f t="shared" ref="P611" si="1047">SUM(P610:P610)</f>
        <v>4862.5812054395501</v>
      </c>
      <c r="Q611" s="2472">
        <f t="shared" ref="Q611" si="1048">SUM(Q610:Q610)</f>
        <v>5004.9567116575499</v>
      </c>
    </row>
    <row r="612" spans="1:17" x14ac:dyDescent="0.2">
      <c r="A612" s="658"/>
      <c r="B612" s="547"/>
      <c r="C612" s="547"/>
      <c r="D612" s="547"/>
      <c r="E612" s="547"/>
      <c r="F612" s="547"/>
      <c r="G612" s="547"/>
      <c r="H612" s="547"/>
      <c r="I612" s="547"/>
      <c r="J612" s="547"/>
      <c r="K612" s="547"/>
      <c r="L612" s="547"/>
      <c r="M612" s="930"/>
      <c r="N612" s="978"/>
      <c r="O612" s="978"/>
      <c r="P612" s="978"/>
      <c r="Q612" s="2467"/>
    </row>
    <row r="613" spans="1:17" x14ac:dyDescent="0.2">
      <c r="A613" s="657" t="s">
        <v>4219</v>
      </c>
      <c r="B613" s="1487">
        <f t="shared" ref="B613:M613" si="1049">ROUND(B608/B611,4)</f>
        <v>0.1196</v>
      </c>
      <c r="C613" s="1487">
        <f t="shared" si="1049"/>
        <v>0.1239</v>
      </c>
      <c r="D613" s="1487">
        <f t="shared" si="1049"/>
        <v>0.1108</v>
      </c>
      <c r="E613" s="1487">
        <f t="shared" si="1049"/>
        <v>0.1066</v>
      </c>
      <c r="F613" s="1487">
        <f t="shared" si="1049"/>
        <v>0.104</v>
      </c>
      <c r="G613" s="1487">
        <f t="shared" si="1049"/>
        <v>0.1012</v>
      </c>
      <c r="H613" s="1487">
        <f t="shared" si="1049"/>
        <v>9.9099999999999994E-2</v>
      </c>
      <c r="I613" s="1487">
        <f t="shared" si="1049"/>
        <v>9.7199999999999995E-2</v>
      </c>
      <c r="J613" s="1487">
        <f t="shared" si="1049"/>
        <v>9.4700000000000006E-2</v>
      </c>
      <c r="K613" s="1487">
        <f t="shared" si="1049"/>
        <v>9.2100000000000001E-2</v>
      </c>
      <c r="L613" s="1487">
        <f t="shared" si="1049"/>
        <v>8.9499999999999996E-2</v>
      </c>
      <c r="M613" s="979">
        <f t="shared" si="1049"/>
        <v>8.6999999999999994E-2</v>
      </c>
      <c r="N613" s="979">
        <f t="shared" ref="N613:O613" si="1050">ROUND(N608/N611,4)</f>
        <v>8.4500000000000006E-2</v>
      </c>
      <c r="O613" s="979">
        <f t="shared" si="1050"/>
        <v>8.2199999999999995E-2</v>
      </c>
      <c r="P613" s="979">
        <f t="shared" ref="P613" si="1051">ROUND(P608/P611,4)</f>
        <v>7.9799999999999996E-2</v>
      </c>
      <c r="Q613" s="2468">
        <f t="shared" ref="Q613" si="1052">ROUND(Q608/Q611,4)</f>
        <v>7.7600000000000002E-2</v>
      </c>
    </row>
    <row r="614" spans="1:17" x14ac:dyDescent="0.2">
      <c r="A614" s="657"/>
      <c r="B614" s="839"/>
      <c r="C614" s="839"/>
      <c r="D614" s="839"/>
      <c r="E614" s="839"/>
      <c r="F614" s="839"/>
      <c r="G614" s="839"/>
      <c r="H614" s="839"/>
      <c r="I614" s="839"/>
      <c r="J614" s="839"/>
      <c r="K614" s="839"/>
      <c r="L614" s="839"/>
      <c r="M614" s="967"/>
      <c r="N614" s="967"/>
      <c r="O614" s="967"/>
      <c r="P614" s="967"/>
      <c r="Q614" s="2460"/>
    </row>
    <row r="615" spans="1:17" x14ac:dyDescent="0.2">
      <c r="A615" s="841"/>
      <c r="B615" s="1483"/>
      <c r="C615" s="1483"/>
      <c r="D615" s="1483"/>
      <c r="E615" s="1483"/>
      <c r="F615" s="1483"/>
      <c r="G615" s="1483"/>
      <c r="H615" s="1483"/>
      <c r="I615" s="1483"/>
      <c r="J615" s="1483"/>
      <c r="K615" s="1483"/>
      <c r="L615" s="1483"/>
      <c r="M615" s="968"/>
      <c r="N615" s="968"/>
      <c r="O615" s="968"/>
      <c r="P615" s="968"/>
      <c r="Q615" s="2458"/>
    </row>
    <row r="616" spans="1:17" x14ac:dyDescent="0.2">
      <c r="A616" s="657" t="s">
        <v>4220</v>
      </c>
      <c r="B616" s="547"/>
      <c r="C616" s="547"/>
      <c r="D616" s="547"/>
      <c r="E616" s="547"/>
      <c r="F616" s="547"/>
      <c r="G616" s="547"/>
      <c r="H616" s="547"/>
      <c r="I616" s="547"/>
      <c r="J616" s="547"/>
      <c r="K616" s="547"/>
      <c r="L616" s="547"/>
      <c r="M616" s="978"/>
      <c r="N616" s="978"/>
      <c r="O616" s="978"/>
      <c r="P616" s="978"/>
      <c r="Q616" s="2467"/>
    </row>
    <row r="617" spans="1:17" x14ac:dyDescent="0.2">
      <c r="A617" s="655" t="s">
        <v>3297</v>
      </c>
      <c r="B617" s="48">
        <v>874</v>
      </c>
      <c r="C617" s="48">
        <v>509</v>
      </c>
      <c r="D617" s="48">
        <v>530</v>
      </c>
      <c r="E617" s="48">
        <f>AVERAGE(B617:D617)</f>
        <v>637.66666666666663</v>
      </c>
      <c r="F617" s="48">
        <f t="shared" ref="E617:H619" si="1053">AVERAGE(C617:E617)</f>
        <v>558.8888888888888</v>
      </c>
      <c r="G617" s="48">
        <f t="shared" si="1053"/>
        <v>575.51851851851836</v>
      </c>
      <c r="H617" s="48">
        <f t="shared" si="1053"/>
        <v>590.69135802469134</v>
      </c>
      <c r="I617" s="48">
        <f t="shared" ref="I617:O619" si="1054">AVERAGE(F617:H617)</f>
        <v>575.03292181069946</v>
      </c>
      <c r="J617" s="48">
        <f t="shared" si="1054"/>
        <v>580.41426611796976</v>
      </c>
      <c r="K617" s="48">
        <f t="shared" si="1054"/>
        <v>582.0461819844536</v>
      </c>
      <c r="L617" s="48">
        <f t="shared" si="1054"/>
        <v>579.16445663770764</v>
      </c>
      <c r="M617" s="679">
        <f t="shared" si="1054"/>
        <v>580.54163491337704</v>
      </c>
      <c r="N617" s="679">
        <f t="shared" si="1054"/>
        <v>580.58409117851272</v>
      </c>
      <c r="O617" s="679">
        <f t="shared" si="1054"/>
        <v>580.09672757653243</v>
      </c>
      <c r="P617" s="679">
        <f t="shared" ref="P617:Q619" si="1055">AVERAGE(M617:O617)</f>
        <v>580.40748455614073</v>
      </c>
      <c r="Q617" s="660">
        <f t="shared" si="1055"/>
        <v>580.36276777039529</v>
      </c>
    </row>
    <row r="618" spans="1:17" x14ac:dyDescent="0.2">
      <c r="A618" s="655" t="s">
        <v>565</v>
      </c>
      <c r="B618" s="48">
        <v>0</v>
      </c>
      <c r="C618" s="48">
        <v>0</v>
      </c>
      <c r="D618" s="48">
        <f>AVERAGE(B618:C618)</f>
        <v>0</v>
      </c>
      <c r="E618" s="48">
        <f t="shared" si="1053"/>
        <v>0</v>
      </c>
      <c r="F618" s="48">
        <f t="shared" si="1053"/>
        <v>0</v>
      </c>
      <c r="G618" s="48">
        <f t="shared" si="1053"/>
        <v>0</v>
      </c>
      <c r="H618" s="48">
        <f t="shared" si="1053"/>
        <v>0</v>
      </c>
      <c r="I618" s="48">
        <f t="shared" si="1054"/>
        <v>0</v>
      </c>
      <c r="J618" s="48">
        <f t="shared" si="1054"/>
        <v>0</v>
      </c>
      <c r="K618" s="48">
        <f t="shared" si="1054"/>
        <v>0</v>
      </c>
      <c r="L618" s="48">
        <f t="shared" si="1054"/>
        <v>0</v>
      </c>
      <c r="M618" s="679">
        <f t="shared" si="1054"/>
        <v>0</v>
      </c>
      <c r="N618" s="679">
        <f t="shared" si="1054"/>
        <v>0</v>
      </c>
      <c r="O618" s="679">
        <f t="shared" si="1054"/>
        <v>0</v>
      </c>
      <c r="P618" s="679">
        <f t="shared" si="1055"/>
        <v>0</v>
      </c>
      <c r="Q618" s="660">
        <f t="shared" si="1055"/>
        <v>0</v>
      </c>
    </row>
    <row r="619" spans="1:17" x14ac:dyDescent="0.2">
      <c r="A619" s="655" t="s">
        <v>1534</v>
      </c>
      <c r="B619" s="48">
        <v>0</v>
      </c>
      <c r="C619" s="48">
        <v>0</v>
      </c>
      <c r="D619" s="48">
        <f>AVERAGE(B619:C619)</f>
        <v>0</v>
      </c>
      <c r="E619" s="48">
        <f t="shared" si="1053"/>
        <v>0</v>
      </c>
      <c r="F619" s="48">
        <f t="shared" si="1053"/>
        <v>0</v>
      </c>
      <c r="G619" s="48">
        <f t="shared" si="1053"/>
        <v>0</v>
      </c>
      <c r="H619" s="48">
        <f t="shared" si="1053"/>
        <v>0</v>
      </c>
      <c r="I619" s="48">
        <f t="shared" si="1054"/>
        <v>0</v>
      </c>
      <c r="J619" s="48">
        <f t="shared" si="1054"/>
        <v>0</v>
      </c>
      <c r="K619" s="48">
        <f t="shared" si="1054"/>
        <v>0</v>
      </c>
      <c r="L619" s="48">
        <f t="shared" si="1054"/>
        <v>0</v>
      </c>
      <c r="M619" s="679">
        <f t="shared" si="1054"/>
        <v>0</v>
      </c>
      <c r="N619" s="679">
        <f t="shared" si="1054"/>
        <v>0</v>
      </c>
      <c r="O619" s="679">
        <f t="shared" si="1054"/>
        <v>0</v>
      </c>
      <c r="P619" s="679">
        <f t="shared" si="1055"/>
        <v>0</v>
      </c>
      <c r="Q619" s="660">
        <f t="shared" si="1055"/>
        <v>0</v>
      </c>
    </row>
    <row r="620" spans="1:17" x14ac:dyDescent="0.2">
      <c r="A620" s="658" t="s">
        <v>2811</v>
      </c>
      <c r="B620" s="687">
        <f t="shared" ref="B620:M620" si="1056">SUM(B617:B619)</f>
        <v>874</v>
      </c>
      <c r="C620" s="687">
        <f t="shared" si="1056"/>
        <v>509</v>
      </c>
      <c r="D620" s="687">
        <f t="shared" si="1056"/>
        <v>530</v>
      </c>
      <c r="E620" s="687">
        <f t="shared" si="1056"/>
        <v>637.66666666666663</v>
      </c>
      <c r="F620" s="687">
        <f t="shared" si="1056"/>
        <v>558.8888888888888</v>
      </c>
      <c r="G620" s="687">
        <f t="shared" si="1056"/>
        <v>575.51851851851836</v>
      </c>
      <c r="H620" s="687">
        <f t="shared" si="1056"/>
        <v>590.69135802469134</v>
      </c>
      <c r="I620" s="687">
        <f t="shared" si="1056"/>
        <v>575.03292181069946</v>
      </c>
      <c r="J620" s="687">
        <f t="shared" si="1056"/>
        <v>580.41426611796976</v>
      </c>
      <c r="K620" s="687">
        <f t="shared" si="1056"/>
        <v>582.0461819844536</v>
      </c>
      <c r="L620" s="687">
        <f t="shared" si="1056"/>
        <v>579.16445663770764</v>
      </c>
      <c r="M620" s="687">
        <f t="shared" si="1056"/>
        <v>580.54163491337704</v>
      </c>
      <c r="N620" s="2111">
        <f t="shared" ref="N620:O620" si="1057">SUM(N617:N619)</f>
        <v>580.58409117851272</v>
      </c>
      <c r="O620" s="2111">
        <f t="shared" si="1057"/>
        <v>580.09672757653243</v>
      </c>
      <c r="P620" s="2111">
        <f t="shared" ref="P620" si="1058">SUM(P617:P619)</f>
        <v>580.40748455614073</v>
      </c>
      <c r="Q620" s="2472">
        <f t="shared" ref="Q620" si="1059">SUM(Q617:Q619)</f>
        <v>580.36276777039529</v>
      </c>
    </row>
    <row r="621" spans="1:17" x14ac:dyDescent="0.2">
      <c r="A621" s="655"/>
      <c r="B621" s="547"/>
      <c r="C621" s="547"/>
      <c r="D621" s="547"/>
      <c r="E621" s="547"/>
      <c r="F621" s="547"/>
      <c r="G621" s="547"/>
      <c r="H621" s="547"/>
      <c r="I621" s="547"/>
      <c r="J621" s="547"/>
      <c r="K621" s="547"/>
      <c r="L621" s="547"/>
      <c r="M621" s="978"/>
      <c r="N621" s="978"/>
      <c r="O621" s="978"/>
      <c r="P621" s="978"/>
      <c r="Q621" s="2467"/>
    </row>
    <row r="622" spans="1:17" x14ac:dyDescent="0.2">
      <c r="A622" s="655" t="s">
        <v>1883</v>
      </c>
      <c r="B622" s="547">
        <v>11513</v>
      </c>
      <c r="C622" s="547">
        <v>12543</v>
      </c>
      <c r="D622" s="547">
        <f>Summaries!AV7/1000+C620</f>
        <v>13514.5</v>
      </c>
      <c r="E622" s="547">
        <f>Summaries!AW7/1000+D620</f>
        <v>14617.2</v>
      </c>
      <c r="F622" s="547">
        <f>Summaries!AX7/1000+E620</f>
        <v>16035.666666666666</v>
      </c>
      <c r="G622" s="547">
        <f>Summaries!AY7/1000+F620</f>
        <v>16495.888888888891</v>
      </c>
      <c r="H622" s="547">
        <f>Summaries!AZ7/1000+G620</f>
        <v>16916.518518518518</v>
      </c>
      <c r="I622" s="547">
        <f>Summaries!BA7/1000+H620</f>
        <v>17345.691358024691</v>
      </c>
      <c r="J622" s="547">
        <f>Summaries!BB7/1000+I620</f>
        <v>17754.0329218107</v>
      </c>
      <c r="K622" s="547">
        <f>Summaries!BC7/1000+J620</f>
        <v>18194.414266117969</v>
      </c>
      <c r="L622" s="547">
        <f>Summaries!BD7/1000+K620</f>
        <v>18641.046181984453</v>
      </c>
      <c r="M622" s="977">
        <f>Summaries!BE7/1000+L620</f>
        <v>19095.164456637707</v>
      </c>
      <c r="N622" s="977">
        <f>Summaries!BF7/1000+M620</f>
        <v>19564.541634913377</v>
      </c>
      <c r="O622" s="977">
        <f>Summaries!BG7/1000+N620</f>
        <v>20044.584091178513</v>
      </c>
      <c r="P622" s="977">
        <f>Summaries!BH7/1000+O620</f>
        <v>20536.096727576532</v>
      </c>
      <c r="Q622" s="2466">
        <f>Summaries!BI7/1000+P620</f>
        <v>21040.407484556141</v>
      </c>
    </row>
    <row r="623" spans="1:17" x14ac:dyDescent="0.2">
      <c r="A623" s="658" t="s">
        <v>2812</v>
      </c>
      <c r="B623" s="687">
        <f t="shared" ref="B623:M623" si="1060">SUM(B622:B622)</f>
        <v>11513</v>
      </c>
      <c r="C623" s="687">
        <f t="shared" si="1060"/>
        <v>12543</v>
      </c>
      <c r="D623" s="687">
        <f t="shared" si="1060"/>
        <v>13514.5</v>
      </c>
      <c r="E623" s="687">
        <f t="shared" si="1060"/>
        <v>14617.2</v>
      </c>
      <c r="F623" s="687">
        <f t="shared" si="1060"/>
        <v>16035.666666666666</v>
      </c>
      <c r="G623" s="687">
        <f t="shared" si="1060"/>
        <v>16495.888888888891</v>
      </c>
      <c r="H623" s="687">
        <f t="shared" si="1060"/>
        <v>16916.518518518518</v>
      </c>
      <c r="I623" s="687">
        <f t="shared" si="1060"/>
        <v>17345.691358024691</v>
      </c>
      <c r="J623" s="687">
        <f t="shared" si="1060"/>
        <v>17754.0329218107</v>
      </c>
      <c r="K623" s="687">
        <f t="shared" si="1060"/>
        <v>18194.414266117969</v>
      </c>
      <c r="L623" s="687">
        <f t="shared" si="1060"/>
        <v>18641.046181984453</v>
      </c>
      <c r="M623" s="687">
        <f t="shared" si="1060"/>
        <v>19095.164456637707</v>
      </c>
      <c r="N623" s="2111">
        <f t="shared" ref="N623:O623" si="1061">SUM(N622:N622)</f>
        <v>19564.541634913377</v>
      </c>
      <c r="O623" s="2111">
        <f t="shared" si="1061"/>
        <v>20044.584091178513</v>
      </c>
      <c r="P623" s="2111">
        <f t="shared" ref="P623" si="1062">SUM(P622:P622)</f>
        <v>20536.096727576532</v>
      </c>
      <c r="Q623" s="2472">
        <f t="shared" ref="Q623" si="1063">SUM(Q622:Q622)</f>
        <v>21040.407484556141</v>
      </c>
    </row>
    <row r="624" spans="1:17" x14ac:dyDescent="0.2">
      <c r="A624" s="658"/>
      <c r="B624" s="547"/>
      <c r="C624" s="547"/>
      <c r="D624" s="547"/>
      <c r="E624" s="547"/>
      <c r="F624" s="547"/>
      <c r="G624" s="547"/>
      <c r="H624" s="547"/>
      <c r="I624" s="547"/>
      <c r="J624" s="547"/>
      <c r="K624" s="547"/>
      <c r="L624" s="547"/>
      <c r="M624" s="930"/>
      <c r="N624" s="978"/>
      <c r="O624" s="978"/>
      <c r="P624" s="978"/>
      <c r="Q624" s="2467"/>
    </row>
    <row r="625" spans="1:17" x14ac:dyDescent="0.2">
      <c r="A625" s="657" t="s">
        <v>4221</v>
      </c>
      <c r="B625" s="1487">
        <f t="shared" ref="B625:M625" si="1064">ROUND(B620/B623,4)</f>
        <v>7.5899999999999995E-2</v>
      </c>
      <c r="C625" s="1487">
        <f t="shared" si="1064"/>
        <v>4.0599999999999997E-2</v>
      </c>
      <c r="D625" s="1487">
        <f t="shared" si="1064"/>
        <v>3.9199999999999999E-2</v>
      </c>
      <c r="E625" s="1487">
        <f t="shared" si="1064"/>
        <v>4.36E-2</v>
      </c>
      <c r="F625" s="1487">
        <f t="shared" si="1064"/>
        <v>3.49E-2</v>
      </c>
      <c r="G625" s="1487">
        <f t="shared" si="1064"/>
        <v>3.49E-2</v>
      </c>
      <c r="H625" s="1487">
        <f t="shared" si="1064"/>
        <v>3.49E-2</v>
      </c>
      <c r="I625" s="1487">
        <f t="shared" si="1064"/>
        <v>3.32E-2</v>
      </c>
      <c r="J625" s="1487">
        <f t="shared" si="1064"/>
        <v>3.27E-2</v>
      </c>
      <c r="K625" s="1487">
        <f t="shared" si="1064"/>
        <v>3.2000000000000001E-2</v>
      </c>
      <c r="L625" s="1487">
        <f t="shared" si="1064"/>
        <v>3.1099999999999999E-2</v>
      </c>
      <c r="M625" s="979">
        <f t="shared" si="1064"/>
        <v>3.04E-2</v>
      </c>
      <c r="N625" s="979">
        <f t="shared" ref="N625:O625" si="1065">ROUND(N620/N623,4)</f>
        <v>2.9700000000000001E-2</v>
      </c>
      <c r="O625" s="979">
        <f t="shared" si="1065"/>
        <v>2.8899999999999999E-2</v>
      </c>
      <c r="P625" s="979">
        <f t="shared" ref="P625" si="1066">ROUND(P620/P623,4)</f>
        <v>2.8299999999999999E-2</v>
      </c>
      <c r="Q625" s="2468">
        <f t="shared" ref="Q625" si="1067">ROUND(Q620/Q623,4)</f>
        <v>2.76E-2</v>
      </c>
    </row>
    <row r="626" spans="1:17" ht="13.5" thickBot="1" x14ac:dyDescent="0.25">
      <c r="A626" s="948"/>
      <c r="B626" s="1479"/>
      <c r="C626" s="1479"/>
      <c r="D626" s="1479"/>
      <c r="E626" s="1479"/>
      <c r="F626" s="1479"/>
      <c r="G626" s="1479"/>
      <c r="H626" s="1479"/>
      <c r="I626" s="1479"/>
      <c r="J626" s="1479"/>
      <c r="K626" s="1479"/>
      <c r="L626" s="1479"/>
      <c r="M626" s="990"/>
      <c r="N626" s="990"/>
      <c r="O626" s="990"/>
      <c r="P626" s="990"/>
      <c r="Q626" s="2473"/>
    </row>
    <row r="627" spans="1:17" ht="17.25" thickTop="1" thickBot="1" x14ac:dyDescent="0.3">
      <c r="A627" s="2570" t="s">
        <v>5039</v>
      </c>
      <c r="B627" s="2571"/>
      <c r="C627" s="2571"/>
      <c r="D627" s="2571"/>
      <c r="E627" s="2571"/>
      <c r="F627" s="2571"/>
      <c r="G627" s="2571"/>
      <c r="H627" s="2571"/>
      <c r="I627" s="2571"/>
      <c r="J627" s="2571"/>
      <c r="K627" s="2571"/>
      <c r="L627" s="2571"/>
      <c r="M627" s="2571"/>
      <c r="N627" s="2571"/>
      <c r="O627" s="2571"/>
      <c r="P627" s="2571"/>
      <c r="Q627" s="2572"/>
    </row>
    <row r="628" spans="1:17" ht="13.5" thickBot="1" x14ac:dyDescent="0.25">
      <c r="A628" s="996" t="str">
        <f t="shared" ref="A628:M628" si="1068">A578</f>
        <v>Item</v>
      </c>
      <c r="B628" s="997" t="str">
        <f t="shared" si="1068"/>
        <v>2012/13</v>
      </c>
      <c r="C628" s="997" t="str">
        <f t="shared" si="1068"/>
        <v>2013/14</v>
      </c>
      <c r="D628" s="997" t="str">
        <f t="shared" si="1068"/>
        <v>2014/15</v>
      </c>
      <c r="E628" s="997" t="str">
        <f t="shared" si="1068"/>
        <v>2015/16</v>
      </c>
      <c r="F628" s="997" t="str">
        <f t="shared" si="1068"/>
        <v>2016/17</v>
      </c>
      <c r="G628" s="997" t="str">
        <f t="shared" si="1068"/>
        <v>2017/18</v>
      </c>
      <c r="H628" s="997" t="str">
        <f t="shared" si="1068"/>
        <v>2018/19</v>
      </c>
      <c r="I628" s="997" t="str">
        <f t="shared" si="1068"/>
        <v>2019/20</v>
      </c>
      <c r="J628" s="997" t="str">
        <f t="shared" si="1068"/>
        <v>2020/21</v>
      </c>
      <c r="K628" s="997" t="str">
        <f t="shared" si="1068"/>
        <v>2021/22</v>
      </c>
      <c r="L628" s="997" t="str">
        <f t="shared" si="1068"/>
        <v>2022/23</v>
      </c>
      <c r="M628" s="998" t="str">
        <f t="shared" si="1068"/>
        <v>2023/24</v>
      </c>
      <c r="N628" s="998" t="str">
        <f t="shared" ref="N628:O628" si="1069">N578</f>
        <v>2024/25</v>
      </c>
      <c r="O628" s="998" t="str">
        <f t="shared" si="1069"/>
        <v>2025/26</v>
      </c>
      <c r="P628" s="998" t="str">
        <f t="shared" ref="P628" si="1070">P578</f>
        <v>2026/27</v>
      </c>
      <c r="Q628" s="2465" t="str">
        <f t="shared" ref="Q628" si="1071">Q578</f>
        <v>2027/28</v>
      </c>
    </row>
    <row r="629" spans="1:17" x14ac:dyDescent="0.2">
      <c r="A629" s="995"/>
      <c r="B629" s="547"/>
      <c r="C629" s="547"/>
      <c r="D629" s="547"/>
      <c r="E629" s="547"/>
      <c r="F629" s="547"/>
      <c r="G629" s="547"/>
      <c r="H629" s="547"/>
      <c r="I629" s="547"/>
      <c r="J629" s="547"/>
      <c r="K629" s="547"/>
      <c r="L629" s="547"/>
      <c r="M629" s="977"/>
      <c r="N629" s="977"/>
      <c r="O629" s="977"/>
      <c r="P629" s="977"/>
      <c r="Q629" s="2466"/>
    </row>
    <row r="630" spans="1:17" x14ac:dyDescent="0.2">
      <c r="A630" s="657" t="s">
        <v>4234</v>
      </c>
      <c r="B630" s="547"/>
      <c r="C630" s="547"/>
      <c r="D630" s="547"/>
      <c r="E630" s="547"/>
      <c r="F630" s="547"/>
      <c r="G630" s="547"/>
      <c r="H630" s="547"/>
      <c r="I630" s="547"/>
      <c r="J630" s="547"/>
      <c r="K630" s="547"/>
      <c r="L630" s="547"/>
      <c r="M630" s="978"/>
      <c r="N630" s="978"/>
      <c r="O630" s="978"/>
      <c r="P630" s="978"/>
      <c r="Q630" s="2467"/>
    </row>
    <row r="631" spans="1:17" x14ac:dyDescent="0.2">
      <c r="A631" s="655" t="s">
        <v>4235</v>
      </c>
      <c r="B631" s="48">
        <v>71026</v>
      </c>
      <c r="C631" s="48">
        <v>58241</v>
      </c>
      <c r="D631" s="48">
        <f t="shared" ref="D631:P631" si="1072">D6</f>
        <v>60899</v>
      </c>
      <c r="E631" s="48">
        <f t="shared" si="1072"/>
        <v>59905</v>
      </c>
      <c r="F631" s="48">
        <f t="shared" si="1072"/>
        <v>71885</v>
      </c>
      <c r="G631" s="48">
        <f t="shared" si="1072"/>
        <v>64480</v>
      </c>
      <c r="H631" s="48">
        <f t="shared" si="1072"/>
        <v>56570</v>
      </c>
      <c r="I631" s="48">
        <f t="shared" si="1072"/>
        <v>46420</v>
      </c>
      <c r="J631" s="48">
        <f t="shared" si="1072"/>
        <v>46350</v>
      </c>
      <c r="K631" s="48">
        <f t="shared" si="1072"/>
        <v>44370</v>
      </c>
      <c r="L631" s="48">
        <f t="shared" si="1072"/>
        <v>52440</v>
      </c>
      <c r="M631" s="679">
        <f t="shared" si="1072"/>
        <v>58690</v>
      </c>
      <c r="N631" s="679">
        <f t="shared" si="1072"/>
        <v>61680</v>
      </c>
      <c r="O631" s="679">
        <f t="shared" si="1072"/>
        <v>74990</v>
      </c>
      <c r="P631" s="679">
        <f t="shared" si="1072"/>
        <v>88230</v>
      </c>
      <c r="Q631" s="660">
        <f t="shared" ref="Q631" si="1073">Q6</f>
        <v>103200</v>
      </c>
    </row>
    <row r="632" spans="1:17" x14ac:dyDescent="0.2">
      <c r="A632" s="655" t="s">
        <v>4236</v>
      </c>
      <c r="B632" s="48">
        <v>53852</v>
      </c>
      <c r="C632" s="48">
        <v>72920</v>
      </c>
      <c r="D632" s="48">
        <f>ROUNDUP(C632+(C632*Assumptions!E$5),-1)</f>
        <v>75110</v>
      </c>
      <c r="E632" s="48">
        <f>ROUNDUP(D632+(D632*Assumptions!F$5),-1)</f>
        <v>76920</v>
      </c>
      <c r="F632" s="48">
        <f>ROUNDUP(E632+(E632*Assumptions!G$5),-1)</f>
        <v>78460</v>
      </c>
      <c r="G632" s="48">
        <f>ROUNDUP(F632+(F632*Assumptions!H$5),-1)</f>
        <v>79640</v>
      </c>
      <c r="H632" s="48">
        <f>ROUNDUP(G632+(G632*Assumptions!I$5),-1)</f>
        <v>81480</v>
      </c>
      <c r="I632" s="48">
        <f>ROUNDUP(H632+(H632*Assumptions!J$5),-1)</f>
        <v>83520</v>
      </c>
      <c r="J632" s="48">
        <f>ROUNDUP(I632+(I632*Assumptions!K$5),-1)</f>
        <v>85610</v>
      </c>
      <c r="K632" s="48">
        <f>ROUNDUP(J632+(J632*Assumptions!L$5),-1)</f>
        <v>87760</v>
      </c>
      <c r="L632" s="48">
        <f>ROUNDUP(K632+(K632*Assumptions!M$5),-1)</f>
        <v>89960</v>
      </c>
      <c r="M632" s="679">
        <f>ROUNDUP(L632+(L632*Assumptions!N$5),-1)</f>
        <v>92210</v>
      </c>
      <c r="N632" s="679">
        <f>ROUNDUP(M632+(M632*Assumptions!O$5),-1)</f>
        <v>94520</v>
      </c>
      <c r="O632" s="679">
        <f>ROUNDUP(N632+(N632*Assumptions!P$5),-1)</f>
        <v>96890</v>
      </c>
      <c r="P632" s="679">
        <f>ROUNDUP(O632+(O632*Assumptions!Q$5),-1)</f>
        <v>99320</v>
      </c>
      <c r="Q632" s="660">
        <f>ROUNDUP(P632+(P632*Assumptions!R$5),-1)</f>
        <v>101810</v>
      </c>
    </row>
    <row r="633" spans="1:17" x14ac:dyDescent="0.2">
      <c r="A633" s="657" t="s">
        <v>4233</v>
      </c>
      <c r="B633" s="1487">
        <f t="shared" ref="B633:M633" si="1074">B631/B632*12/100</f>
        <v>0.15826933075837479</v>
      </c>
      <c r="C633" s="1487">
        <f t="shared" si="1074"/>
        <v>9.584366428963248E-2</v>
      </c>
      <c r="D633" s="1487">
        <f t="shared" si="1074"/>
        <v>9.7295699640527214E-2</v>
      </c>
      <c r="E633" s="1487">
        <f t="shared" si="1074"/>
        <v>9.3455538221528869E-2</v>
      </c>
      <c r="F633" s="1487">
        <f t="shared" si="1074"/>
        <v>0.10994392046902882</v>
      </c>
      <c r="G633" s="1487">
        <f t="shared" si="1074"/>
        <v>9.7157207433450521E-2</v>
      </c>
      <c r="H633" s="1487">
        <f t="shared" si="1074"/>
        <v>8.3313696612665675E-2</v>
      </c>
      <c r="I633" s="1487">
        <f t="shared" si="1074"/>
        <v>6.6695402298850584E-2</v>
      </c>
      <c r="J633" s="1487">
        <f t="shared" si="1074"/>
        <v>6.4969045672234549E-2</v>
      </c>
      <c r="K633" s="1487">
        <f t="shared" si="1074"/>
        <v>6.0670009115770272E-2</v>
      </c>
      <c r="L633" s="1487">
        <f t="shared" si="1074"/>
        <v>6.9951089373054692E-2</v>
      </c>
      <c r="M633" s="979">
        <f t="shared" si="1074"/>
        <v>7.6377833206810533E-2</v>
      </c>
      <c r="N633" s="979">
        <f t="shared" ref="N633:O633" si="1075">N631/N632*12/100</f>
        <v>7.8307236563690222E-2</v>
      </c>
      <c r="O633" s="979">
        <f t="shared" si="1075"/>
        <v>9.2876457838786231E-2</v>
      </c>
      <c r="P633" s="979">
        <f t="shared" ref="P633" si="1076">P631/P632*12/100</f>
        <v>0.10660088602496978</v>
      </c>
      <c r="Q633" s="2468">
        <f t="shared" ref="Q633" si="1077">Q631/Q632*12/100</f>
        <v>0.12163834593851292</v>
      </c>
    </row>
    <row r="634" spans="1:17" x14ac:dyDescent="0.2">
      <c r="A634" s="657"/>
      <c r="B634" s="839"/>
      <c r="C634" s="839"/>
      <c r="D634" s="839"/>
      <c r="E634" s="839"/>
      <c r="F634" s="839"/>
      <c r="G634" s="839"/>
      <c r="H634" s="839"/>
      <c r="I634" s="839"/>
      <c r="J634" s="839"/>
      <c r="K634" s="839"/>
      <c r="L634" s="839"/>
      <c r="M634" s="967"/>
      <c r="N634" s="967"/>
      <c r="O634" s="967"/>
      <c r="P634" s="967"/>
      <c r="Q634" s="2460"/>
    </row>
    <row r="635" spans="1:17" x14ac:dyDescent="0.2">
      <c r="A635" s="841"/>
      <c r="B635" s="1483"/>
      <c r="C635" s="1483"/>
      <c r="D635" s="1483"/>
      <c r="E635" s="1483"/>
      <c r="F635" s="1483"/>
      <c r="G635" s="1483"/>
      <c r="H635" s="1483"/>
      <c r="I635" s="1483"/>
      <c r="J635" s="1483"/>
      <c r="K635" s="1483"/>
      <c r="L635" s="1483"/>
      <c r="M635" s="968"/>
      <c r="N635" s="968"/>
      <c r="O635" s="968"/>
      <c r="P635" s="968"/>
      <c r="Q635" s="2458"/>
    </row>
    <row r="636" spans="1:17" x14ac:dyDescent="0.2">
      <c r="A636" s="657" t="s">
        <v>4237</v>
      </c>
      <c r="B636" s="547"/>
      <c r="C636" s="547"/>
      <c r="D636" s="547"/>
      <c r="E636" s="547"/>
      <c r="F636" s="547"/>
      <c r="G636" s="547"/>
      <c r="H636" s="547"/>
      <c r="I636" s="547"/>
      <c r="J636" s="547"/>
      <c r="K636" s="547"/>
      <c r="L636" s="547"/>
      <c r="M636" s="978"/>
      <c r="N636" s="978"/>
      <c r="O636" s="978"/>
      <c r="P636" s="978"/>
      <c r="Q636" s="2467"/>
    </row>
    <row r="637" spans="1:17" x14ac:dyDescent="0.2">
      <c r="A637" s="655" t="s">
        <v>4235</v>
      </c>
      <c r="B637" s="48">
        <v>12264</v>
      </c>
      <c r="C637" s="48">
        <v>30522</v>
      </c>
      <c r="D637" s="48">
        <f t="shared" ref="D637:P637" si="1078">D47</f>
        <v>38979</v>
      </c>
      <c r="E637" s="48">
        <f t="shared" si="1078"/>
        <v>36692</v>
      </c>
      <c r="F637" s="48">
        <f t="shared" si="1078"/>
        <v>47644</v>
      </c>
      <c r="G637" s="48">
        <f t="shared" si="1078"/>
        <v>46700</v>
      </c>
      <c r="H637" s="48">
        <f t="shared" si="1078"/>
        <v>40700</v>
      </c>
      <c r="I637" s="48">
        <f t="shared" si="1078"/>
        <v>30500</v>
      </c>
      <c r="J637" s="48">
        <f t="shared" si="1078"/>
        <v>28500</v>
      </c>
      <c r="K637" s="48">
        <f t="shared" si="1078"/>
        <v>29000</v>
      </c>
      <c r="L637" s="48">
        <f t="shared" si="1078"/>
        <v>35500</v>
      </c>
      <c r="M637" s="679">
        <f t="shared" si="1078"/>
        <v>38800</v>
      </c>
      <c r="N637" s="679">
        <f t="shared" si="1078"/>
        <v>42400</v>
      </c>
      <c r="O637" s="679">
        <f t="shared" si="1078"/>
        <v>50100</v>
      </c>
      <c r="P637" s="679">
        <f t="shared" si="1078"/>
        <v>55300</v>
      </c>
      <c r="Q637" s="660">
        <f t="shared" ref="Q637" si="1079">Q47</f>
        <v>63000</v>
      </c>
    </row>
    <row r="638" spans="1:17" x14ac:dyDescent="0.2">
      <c r="A638" s="655" t="s">
        <v>4236</v>
      </c>
      <c r="B638" s="48">
        <v>44347</v>
      </c>
      <c r="C638" s="48">
        <v>43121</v>
      </c>
      <c r="D638" s="48">
        <f>ROUNDUP(C638+(C638*Assumptions!E$5),-1)</f>
        <v>44420</v>
      </c>
      <c r="E638" s="48">
        <f>ROUNDUP(D638+(D638*Assumptions!F$5),-1)</f>
        <v>45490</v>
      </c>
      <c r="F638" s="48">
        <f>ROUNDUP(E638+(E638*Assumptions!G$5),-1)</f>
        <v>46400</v>
      </c>
      <c r="G638" s="48">
        <f>ROUNDUP(F638+(F638*Assumptions!H$5),-1)</f>
        <v>47100</v>
      </c>
      <c r="H638" s="48">
        <f>ROUNDUP(G638+(G638*Assumptions!I$5),-1)</f>
        <v>48190</v>
      </c>
      <c r="I638" s="48">
        <f>ROUNDUP(H638+(H638*Assumptions!J$5),-1)</f>
        <v>49400</v>
      </c>
      <c r="J638" s="48">
        <f>ROUNDUP(I638+(I638*Assumptions!K$5),-1)</f>
        <v>50640</v>
      </c>
      <c r="K638" s="48">
        <f>ROUNDUP(J638+(J638*Assumptions!L$5),-1)</f>
        <v>51910</v>
      </c>
      <c r="L638" s="48">
        <f>ROUNDUP(K638+(K638*Assumptions!M$5),-1)</f>
        <v>53210</v>
      </c>
      <c r="M638" s="679">
        <f>ROUNDUP(L638+(L638*Assumptions!N$5),-1)</f>
        <v>54550</v>
      </c>
      <c r="N638" s="679">
        <f>ROUNDUP(M638+(M638*Assumptions!O$5),-1)</f>
        <v>55920</v>
      </c>
      <c r="O638" s="679">
        <f>ROUNDUP(N638+(N638*Assumptions!P$5),-1)</f>
        <v>57320</v>
      </c>
      <c r="P638" s="679">
        <f>ROUNDUP(O638+(O638*Assumptions!Q$5),-1)</f>
        <v>58760</v>
      </c>
      <c r="Q638" s="660">
        <f>ROUNDUP(P638+(P638*Assumptions!R$5),-1)</f>
        <v>60230</v>
      </c>
    </row>
    <row r="639" spans="1:17" x14ac:dyDescent="0.2">
      <c r="A639" s="657" t="s">
        <v>4238</v>
      </c>
      <c r="B639" s="1487">
        <f t="shared" ref="B639:M639" si="1080">B637/B638*12/100</f>
        <v>3.318555933885043E-2</v>
      </c>
      <c r="C639" s="1487">
        <f t="shared" si="1080"/>
        <v>8.4938660977250072E-2</v>
      </c>
      <c r="D639" s="1487">
        <f t="shared" si="1080"/>
        <v>0.10530121566861773</v>
      </c>
      <c r="E639" s="1487">
        <f t="shared" si="1080"/>
        <v>9.6791382721477248E-2</v>
      </c>
      <c r="F639" s="1487">
        <f t="shared" si="1080"/>
        <v>0.12321724137931035</v>
      </c>
      <c r="G639" s="1487">
        <f t="shared" si="1080"/>
        <v>0.11898089171974523</v>
      </c>
      <c r="H639" s="1487">
        <f t="shared" si="1080"/>
        <v>0.10134882755758456</v>
      </c>
      <c r="I639" s="1487">
        <f t="shared" si="1080"/>
        <v>7.4089068825910931E-2</v>
      </c>
      <c r="J639" s="1487">
        <f t="shared" si="1080"/>
        <v>6.7535545023696686E-2</v>
      </c>
      <c r="K639" s="1487">
        <f t="shared" si="1080"/>
        <v>6.7039106145251381E-2</v>
      </c>
      <c r="L639" s="1487">
        <f t="shared" si="1080"/>
        <v>8.0060139071603073E-2</v>
      </c>
      <c r="M639" s="979">
        <f t="shared" si="1080"/>
        <v>8.5352887259395049E-2</v>
      </c>
      <c r="N639" s="979">
        <f t="shared" ref="N639:O639" si="1081">N637/N638*12/100</f>
        <v>9.0987124463519309E-2</v>
      </c>
      <c r="O639" s="979">
        <f t="shared" si="1081"/>
        <v>0.10488485694347524</v>
      </c>
      <c r="P639" s="979">
        <f t="shared" ref="P639" si="1082">P637/P638*12/100</f>
        <v>0.11293396868618108</v>
      </c>
      <c r="Q639" s="2468">
        <f t="shared" ref="Q639" si="1083">Q637/Q638*12/100</f>
        <v>0.12551884442968619</v>
      </c>
    </row>
    <row r="640" spans="1:17" x14ac:dyDescent="0.2">
      <c r="A640" s="657"/>
      <c r="B640" s="839"/>
      <c r="C640" s="839"/>
      <c r="D640" s="839"/>
      <c r="E640" s="839"/>
      <c r="F640" s="839"/>
      <c r="G640" s="839"/>
      <c r="H640" s="839"/>
      <c r="I640" s="839"/>
      <c r="J640" s="839"/>
      <c r="K640" s="839"/>
      <c r="L640" s="839"/>
      <c r="M640" s="967"/>
      <c r="N640" s="967"/>
      <c r="O640" s="967"/>
      <c r="P640" s="967"/>
      <c r="Q640" s="2460"/>
    </row>
    <row r="641" spans="1:17" x14ac:dyDescent="0.2">
      <c r="A641" s="841"/>
      <c r="B641" s="1483"/>
      <c r="C641" s="1483"/>
      <c r="D641" s="1483"/>
      <c r="E641" s="1483"/>
      <c r="F641" s="1483"/>
      <c r="G641" s="1483"/>
      <c r="H641" s="1483"/>
      <c r="I641" s="1483"/>
      <c r="J641" s="1483"/>
      <c r="K641" s="1483"/>
      <c r="L641" s="1483"/>
      <c r="M641" s="968"/>
      <c r="N641" s="968"/>
      <c r="O641" s="968"/>
      <c r="P641" s="968"/>
      <c r="Q641" s="2458"/>
    </row>
    <row r="642" spans="1:17" x14ac:dyDescent="0.2">
      <c r="A642" s="657" t="s">
        <v>4239</v>
      </c>
      <c r="B642" s="547"/>
      <c r="C642" s="547"/>
      <c r="D642" s="547"/>
      <c r="E642" s="547"/>
      <c r="F642" s="547"/>
      <c r="G642" s="547"/>
      <c r="H642" s="547"/>
      <c r="I642" s="547"/>
      <c r="J642" s="547"/>
      <c r="K642" s="547"/>
      <c r="L642" s="547"/>
      <c r="M642" s="978"/>
      <c r="N642" s="978"/>
      <c r="O642" s="978"/>
      <c r="P642" s="978"/>
      <c r="Q642" s="2467"/>
    </row>
    <row r="643" spans="1:17" x14ac:dyDescent="0.2">
      <c r="A643" s="655" t="s">
        <v>4235</v>
      </c>
      <c r="B643" s="48">
        <v>2380</v>
      </c>
      <c r="C643" s="48">
        <v>9662</v>
      </c>
      <c r="D643" s="48">
        <f t="shared" ref="D643:P643" si="1084">D89</f>
        <v>9094</v>
      </c>
      <c r="E643" s="48">
        <f t="shared" si="1084"/>
        <v>9625</v>
      </c>
      <c r="F643" s="48">
        <f t="shared" si="1084"/>
        <v>14303</v>
      </c>
      <c r="G643" s="48">
        <f t="shared" si="1084"/>
        <v>12710</v>
      </c>
      <c r="H643" s="48">
        <f t="shared" si="1084"/>
        <v>12650</v>
      </c>
      <c r="I643" s="48">
        <f t="shared" si="1084"/>
        <v>12220</v>
      </c>
      <c r="J643" s="48">
        <f t="shared" si="1084"/>
        <v>12350</v>
      </c>
      <c r="K643" s="48">
        <f t="shared" si="1084"/>
        <v>10120</v>
      </c>
      <c r="L643" s="48">
        <f t="shared" si="1084"/>
        <v>10570</v>
      </c>
      <c r="M643" s="679">
        <f t="shared" si="1084"/>
        <v>9020</v>
      </c>
      <c r="N643" s="679">
        <f t="shared" si="1084"/>
        <v>7820</v>
      </c>
      <c r="O643" s="679">
        <f t="shared" si="1084"/>
        <v>8280</v>
      </c>
      <c r="P643" s="679">
        <f t="shared" si="1084"/>
        <v>10650</v>
      </c>
      <c r="Q643" s="660">
        <f t="shared" ref="Q643" si="1085">Q89</f>
        <v>10650</v>
      </c>
    </row>
    <row r="644" spans="1:17" x14ac:dyDescent="0.2">
      <c r="A644" s="655" t="s">
        <v>4236</v>
      </c>
      <c r="B644" s="48">
        <v>8922</v>
      </c>
      <c r="C644" s="48">
        <v>9076</v>
      </c>
      <c r="D644" s="48">
        <f>ROUNDUP(C644+(C644*Assumptions!E$5),-1)</f>
        <v>9350</v>
      </c>
      <c r="E644" s="48">
        <f>ROUNDUP(D644+(D644*Assumptions!F$5),-1)</f>
        <v>9580</v>
      </c>
      <c r="F644" s="48">
        <f>ROUNDUP(E644+(E644*Assumptions!G$5),-1)</f>
        <v>9780</v>
      </c>
      <c r="G644" s="48">
        <f>ROUNDUP(F644+(F644*Assumptions!H$5),-1)</f>
        <v>9930</v>
      </c>
      <c r="H644" s="48">
        <f>ROUNDUP(G644+(G644*Assumptions!I$5),-1)</f>
        <v>10160</v>
      </c>
      <c r="I644" s="48">
        <f>ROUNDUP(H644+(H644*Assumptions!J$5),-1)</f>
        <v>10420</v>
      </c>
      <c r="J644" s="48">
        <f>ROUNDUP(I644+(I644*Assumptions!K$5),-1)</f>
        <v>10690</v>
      </c>
      <c r="K644" s="48">
        <f>ROUNDUP(J644+(J644*Assumptions!L$5),-1)</f>
        <v>10960</v>
      </c>
      <c r="L644" s="48">
        <f>ROUNDUP(K644+(K644*Assumptions!M$5),-1)</f>
        <v>11240</v>
      </c>
      <c r="M644" s="679">
        <f>ROUNDUP(L644+(L644*Assumptions!N$5),-1)</f>
        <v>11530</v>
      </c>
      <c r="N644" s="679">
        <f>ROUNDUP(M644+(M644*Assumptions!O$5),-1)</f>
        <v>11820</v>
      </c>
      <c r="O644" s="679">
        <f>ROUNDUP(N644+(N644*Assumptions!P$5),-1)</f>
        <v>12120</v>
      </c>
      <c r="P644" s="679">
        <f>ROUNDUP(O644+(O644*Assumptions!Q$5),-1)</f>
        <v>12430</v>
      </c>
      <c r="Q644" s="660">
        <f>ROUNDUP(P644+(P644*Assumptions!R$5),-1)</f>
        <v>12750</v>
      </c>
    </row>
    <row r="645" spans="1:17" x14ac:dyDescent="0.2">
      <c r="A645" s="657" t="s">
        <v>4240</v>
      </c>
      <c r="B645" s="1495">
        <f>B643/B644*12</f>
        <v>3.2010759919300602</v>
      </c>
      <c r="C645" s="1495">
        <f t="shared" ref="C645:N645" si="1086">C643/C644*12</f>
        <v>12.774790656676952</v>
      </c>
      <c r="D645" s="1495">
        <f t="shared" si="1086"/>
        <v>11.67144385026738</v>
      </c>
      <c r="E645" s="1495">
        <f t="shared" si="1086"/>
        <v>12.056367432150314</v>
      </c>
      <c r="F645" s="1495">
        <f t="shared" si="1086"/>
        <v>17.549693251533743</v>
      </c>
      <c r="G645" s="1495">
        <f t="shared" si="1086"/>
        <v>15.359516616314199</v>
      </c>
      <c r="H645" s="1495">
        <f t="shared" si="1086"/>
        <v>14.940944881889763</v>
      </c>
      <c r="I645" s="1495">
        <f t="shared" si="1086"/>
        <v>14.072936660268713</v>
      </c>
      <c r="J645" s="1495">
        <f t="shared" si="1086"/>
        <v>13.863423760523855</v>
      </c>
      <c r="K645" s="1495">
        <f t="shared" si="1086"/>
        <v>11.08029197080292</v>
      </c>
      <c r="L645" s="1495">
        <f t="shared" si="1086"/>
        <v>11.284697508896798</v>
      </c>
      <c r="M645" s="1495">
        <f t="shared" si="1086"/>
        <v>9.3876843018213361</v>
      </c>
      <c r="N645" s="1246">
        <f t="shared" si="1086"/>
        <v>7.939086294416243</v>
      </c>
      <c r="O645" s="1246">
        <f t="shared" ref="O645" si="1087">O643/O644*12</f>
        <v>8.1980198019801982</v>
      </c>
      <c r="P645" s="1246">
        <f t="shared" ref="P645" si="1088">P643/P644*12</f>
        <v>10.281576830249396</v>
      </c>
      <c r="Q645" s="2469">
        <f t="shared" ref="Q645" si="1089">Q643/Q644*12</f>
        <v>10.023529411764706</v>
      </c>
    </row>
    <row r="646" spans="1:17" x14ac:dyDescent="0.2">
      <c r="A646" s="657"/>
      <c r="B646" s="839"/>
      <c r="C646" s="839"/>
      <c r="D646" s="839"/>
      <c r="E646" s="839"/>
      <c r="F646" s="839"/>
      <c r="G646" s="839"/>
      <c r="H646" s="839"/>
      <c r="I646" s="839"/>
      <c r="J646" s="839"/>
      <c r="K646" s="839"/>
      <c r="L646" s="839"/>
      <c r="M646" s="967"/>
      <c r="N646" s="967"/>
      <c r="O646" s="967"/>
      <c r="P646" s="967"/>
      <c r="Q646" s="2460"/>
    </row>
    <row r="647" spans="1:17" x14ac:dyDescent="0.2">
      <c r="A647" s="841"/>
      <c r="B647" s="1483"/>
      <c r="C647" s="1483"/>
      <c r="D647" s="1483"/>
      <c r="E647" s="1483"/>
      <c r="F647" s="1483"/>
      <c r="G647" s="1483"/>
      <c r="H647" s="1483"/>
      <c r="I647" s="1483"/>
      <c r="J647" s="1483"/>
      <c r="K647" s="1483"/>
      <c r="L647" s="1483"/>
      <c r="M647" s="968"/>
      <c r="N647" s="968"/>
      <c r="O647" s="968"/>
      <c r="P647" s="968"/>
      <c r="Q647" s="2458"/>
    </row>
    <row r="648" spans="1:17" x14ac:dyDescent="0.2">
      <c r="A648" s="657" t="s">
        <v>4241</v>
      </c>
      <c r="B648" s="547"/>
      <c r="C648" s="547"/>
      <c r="D648" s="547"/>
      <c r="E648" s="547"/>
      <c r="F648" s="547"/>
      <c r="G648" s="547"/>
      <c r="H648" s="547"/>
      <c r="I648" s="547"/>
      <c r="J648" s="547"/>
      <c r="K648" s="547"/>
      <c r="L648" s="547"/>
      <c r="M648" s="978"/>
      <c r="N648" s="978"/>
      <c r="O648" s="978"/>
      <c r="P648" s="978"/>
      <c r="Q648" s="2467"/>
    </row>
    <row r="649" spans="1:17" x14ac:dyDescent="0.2">
      <c r="A649" s="655" t="s">
        <v>4235</v>
      </c>
      <c r="B649" s="48">
        <v>7382</v>
      </c>
      <c r="C649" s="48">
        <v>18057</v>
      </c>
      <c r="D649" s="48">
        <f t="shared" ref="D649:P649" si="1090">D130</f>
        <v>12826</v>
      </c>
      <c r="E649" s="48">
        <f t="shared" si="1090"/>
        <v>13588</v>
      </c>
      <c r="F649" s="48">
        <f t="shared" si="1090"/>
        <v>9938</v>
      </c>
      <c r="G649" s="48">
        <f t="shared" si="1090"/>
        <v>5070</v>
      </c>
      <c r="H649" s="48">
        <f t="shared" si="1090"/>
        <v>3220</v>
      </c>
      <c r="I649" s="48">
        <f t="shared" si="1090"/>
        <v>3700</v>
      </c>
      <c r="J649" s="48">
        <f t="shared" si="1090"/>
        <v>5500</v>
      </c>
      <c r="K649" s="48">
        <f t="shared" si="1090"/>
        <v>5250</v>
      </c>
      <c r="L649" s="48">
        <f t="shared" si="1090"/>
        <v>6370</v>
      </c>
      <c r="M649" s="679">
        <f t="shared" si="1090"/>
        <v>10870</v>
      </c>
      <c r="N649" s="679">
        <f t="shared" si="1090"/>
        <v>11460</v>
      </c>
      <c r="O649" s="679">
        <f t="shared" si="1090"/>
        <v>16610</v>
      </c>
      <c r="P649" s="679">
        <f t="shared" si="1090"/>
        <v>22280</v>
      </c>
      <c r="Q649" s="660">
        <f t="shared" ref="Q649" si="1091">Q130</f>
        <v>29550</v>
      </c>
    </row>
    <row r="650" spans="1:17" x14ac:dyDescent="0.2">
      <c r="A650" s="655" t="s">
        <v>4236</v>
      </c>
      <c r="B650" s="48">
        <v>9392</v>
      </c>
      <c r="C650" s="48">
        <v>20723</v>
      </c>
      <c r="D650" s="48">
        <f>ROUNDUP(C650+(C650*Assumptions!E$5),-1)</f>
        <v>21350</v>
      </c>
      <c r="E650" s="48">
        <f>ROUNDUP(D650+(D650*Assumptions!F$5),-1)</f>
        <v>21870</v>
      </c>
      <c r="F650" s="48">
        <f>ROUNDUP(E650+(E650*Assumptions!G$5),-1)</f>
        <v>22310</v>
      </c>
      <c r="G650" s="48">
        <f>ROUNDUP(F650+(F650*Assumptions!H$5),-1)</f>
        <v>22650</v>
      </c>
      <c r="H650" s="48">
        <f>ROUNDUP(G650+(G650*Assumptions!I$5),-1)</f>
        <v>23180</v>
      </c>
      <c r="I650" s="48">
        <f>ROUNDUP(H650+(H650*Assumptions!J$5),-1)</f>
        <v>23760</v>
      </c>
      <c r="J650" s="48">
        <f>ROUNDUP(I650+(I650*Assumptions!K$5),-1)</f>
        <v>24360</v>
      </c>
      <c r="K650" s="48">
        <f>ROUNDUP(J650+(J650*Assumptions!L$5),-1)</f>
        <v>24970</v>
      </c>
      <c r="L650" s="48">
        <f>ROUNDUP(K650+(K650*Assumptions!M$5),-1)</f>
        <v>25600</v>
      </c>
      <c r="M650" s="679">
        <f>ROUNDUP(L650+(L650*Assumptions!N$5),-1)</f>
        <v>26240</v>
      </c>
      <c r="N650" s="679">
        <f>ROUNDUP(M650+(M650*Assumptions!O$5),-1)</f>
        <v>26900</v>
      </c>
      <c r="O650" s="679">
        <f>ROUNDUP(N650+(N650*Assumptions!P$5),-1)</f>
        <v>27580</v>
      </c>
      <c r="P650" s="679">
        <f>ROUNDUP(O650+(O650*Assumptions!Q$5),-1)</f>
        <v>28270</v>
      </c>
      <c r="Q650" s="660">
        <f>ROUNDUP(P650+(P650*Assumptions!R$5),-1)</f>
        <v>28980</v>
      </c>
    </row>
    <row r="651" spans="1:17" x14ac:dyDescent="0.2">
      <c r="A651" s="657" t="s">
        <v>4242</v>
      </c>
      <c r="B651" s="1495">
        <f>B649/B650*12</f>
        <v>9.4318568994889258</v>
      </c>
      <c r="C651" s="1495">
        <f t="shared" ref="C651:N651" si="1092">C649/C650*12</f>
        <v>10.456208077980987</v>
      </c>
      <c r="D651" s="1495">
        <f t="shared" si="1092"/>
        <v>7.2089929742388765</v>
      </c>
      <c r="E651" s="1495">
        <f t="shared" si="1092"/>
        <v>7.4556927297668034</v>
      </c>
      <c r="F651" s="1495">
        <f t="shared" si="1092"/>
        <v>5.3454056476916181</v>
      </c>
      <c r="G651" s="1495">
        <f t="shared" si="1092"/>
        <v>2.6860927152317879</v>
      </c>
      <c r="H651" s="1495">
        <f t="shared" si="1092"/>
        <v>1.6669542709232097</v>
      </c>
      <c r="I651" s="1495">
        <f t="shared" si="1092"/>
        <v>1.868686868686869</v>
      </c>
      <c r="J651" s="1495">
        <f t="shared" si="1092"/>
        <v>2.7093596059113301</v>
      </c>
      <c r="K651" s="1495">
        <f t="shared" si="1092"/>
        <v>2.5230276331597916</v>
      </c>
      <c r="L651" s="1495">
        <f t="shared" si="1092"/>
        <v>2.9859375000000004</v>
      </c>
      <c r="M651" s="1495">
        <f t="shared" si="1092"/>
        <v>4.9710365853658534</v>
      </c>
      <c r="N651" s="1246">
        <f t="shared" si="1092"/>
        <v>5.1122676579925646</v>
      </c>
      <c r="O651" s="1246">
        <f t="shared" ref="O651" si="1093">O649/O650*12</f>
        <v>7.226976069615664</v>
      </c>
      <c r="P651" s="1246">
        <f t="shared" ref="P651" si="1094">P649/P650*12</f>
        <v>9.4573753095153883</v>
      </c>
      <c r="Q651" s="2469">
        <f t="shared" ref="Q651" si="1095">Q649/Q650*12</f>
        <v>12.236024844720497</v>
      </c>
    </row>
    <row r="652" spans="1:17" x14ac:dyDescent="0.2">
      <c r="A652" s="657"/>
      <c r="B652" s="839"/>
      <c r="C652" s="839"/>
      <c r="D652" s="839"/>
      <c r="E652" s="839"/>
      <c r="F652" s="839"/>
      <c r="G652" s="839"/>
      <c r="H652" s="839"/>
      <c r="I652" s="839"/>
      <c r="J652" s="839"/>
      <c r="K652" s="839"/>
      <c r="L652" s="839"/>
      <c r="M652" s="967"/>
      <c r="N652" s="967"/>
      <c r="O652" s="967"/>
      <c r="P652" s="967"/>
      <c r="Q652" s="2460"/>
    </row>
    <row r="653" spans="1:17" x14ac:dyDescent="0.2">
      <c r="A653" s="841"/>
      <c r="B653" s="1483"/>
      <c r="C653" s="1483"/>
      <c r="D653" s="1483"/>
      <c r="E653" s="1483"/>
      <c r="F653" s="1483"/>
      <c r="G653" s="1483"/>
      <c r="H653" s="1483"/>
      <c r="I653" s="1483"/>
      <c r="J653" s="1483"/>
      <c r="K653" s="1483"/>
      <c r="L653" s="1483"/>
      <c r="M653" s="968"/>
      <c r="N653" s="968"/>
      <c r="O653" s="968"/>
      <c r="P653" s="968"/>
      <c r="Q653" s="2458"/>
    </row>
    <row r="654" spans="1:17" s="285" customFormat="1" x14ac:dyDescent="0.2">
      <c r="A654" s="1741" t="s">
        <v>4278</v>
      </c>
      <c r="B654" s="79"/>
      <c r="C654" s="79"/>
      <c r="D654" s="79"/>
      <c r="E654" s="79"/>
      <c r="F654" s="79"/>
      <c r="G654" s="79"/>
      <c r="H654" s="79"/>
      <c r="I654" s="79"/>
      <c r="J654" s="79"/>
      <c r="K654" s="79"/>
      <c r="L654" s="79"/>
      <c r="M654" s="79"/>
      <c r="N654" s="77"/>
      <c r="O654" s="77"/>
      <c r="P654" s="77"/>
      <c r="Q654" s="78"/>
    </row>
    <row r="655" spans="1:17" s="726" customFormat="1" x14ac:dyDescent="0.2">
      <c r="A655" s="655" t="s">
        <v>4161</v>
      </c>
      <c r="B655" s="79">
        <f t="shared" ref="B655:O655" si="1096">B310</f>
        <v>59257</v>
      </c>
      <c r="C655" s="79">
        <f t="shared" si="1096"/>
        <v>56596</v>
      </c>
      <c r="D655" s="79">
        <f t="shared" si="1096"/>
        <v>51127</v>
      </c>
      <c r="E655" s="79">
        <f t="shared" si="1096"/>
        <v>53166.1</v>
      </c>
      <c r="F655" s="79">
        <f t="shared" si="1096"/>
        <v>55695</v>
      </c>
      <c r="G655" s="79">
        <f t="shared" si="1096"/>
        <v>55275</v>
      </c>
      <c r="H655" s="79">
        <f t="shared" si="1096"/>
        <v>53035.8</v>
      </c>
      <c r="I655" s="79">
        <f t="shared" si="1096"/>
        <v>55280.9</v>
      </c>
      <c r="J655" s="79">
        <f t="shared" si="1096"/>
        <v>55654.3</v>
      </c>
      <c r="K655" s="79">
        <f t="shared" si="1096"/>
        <v>57624.9</v>
      </c>
      <c r="L655" s="79">
        <f t="shared" si="1096"/>
        <v>57963.1</v>
      </c>
      <c r="M655" s="79">
        <f t="shared" si="1096"/>
        <v>60084.3</v>
      </c>
      <c r="N655" s="77">
        <f t="shared" si="1096"/>
        <v>60976</v>
      </c>
      <c r="O655" s="77">
        <f t="shared" si="1096"/>
        <v>62655.4</v>
      </c>
      <c r="P655" s="77">
        <f t="shared" ref="P655" si="1097">P310</f>
        <v>63235.5</v>
      </c>
      <c r="Q655" s="78">
        <f t="shared" ref="Q655" si="1098">Q310</f>
        <v>65356.7</v>
      </c>
    </row>
    <row r="656" spans="1:17" s="726" customFormat="1" x14ac:dyDescent="0.2">
      <c r="A656" s="655" t="s">
        <v>4279</v>
      </c>
      <c r="B656" s="79">
        <f t="shared" ref="B656:O656" si="1099">B312</f>
        <v>-3171</v>
      </c>
      <c r="C656" s="79">
        <f t="shared" si="1099"/>
        <v>-2617</v>
      </c>
      <c r="D656" s="79">
        <f t="shared" si="1099"/>
        <v>0</v>
      </c>
      <c r="E656" s="79">
        <f t="shared" si="1099"/>
        <v>-569</v>
      </c>
      <c r="F656" s="79">
        <f t="shared" si="1099"/>
        <v>-100</v>
      </c>
      <c r="G656" s="79">
        <f t="shared" si="1099"/>
        <v>-100</v>
      </c>
      <c r="H656" s="79">
        <f t="shared" si="1099"/>
        <v>-100</v>
      </c>
      <c r="I656" s="79">
        <f t="shared" si="1099"/>
        <v>-100</v>
      </c>
      <c r="J656" s="79">
        <f t="shared" si="1099"/>
        <v>-100</v>
      </c>
      <c r="K656" s="79">
        <f t="shared" si="1099"/>
        <v>-100</v>
      </c>
      <c r="L656" s="79">
        <f t="shared" si="1099"/>
        <v>-100</v>
      </c>
      <c r="M656" s="79">
        <f t="shared" si="1099"/>
        <v>-100</v>
      </c>
      <c r="N656" s="77">
        <f t="shared" si="1099"/>
        <v>-100</v>
      </c>
      <c r="O656" s="77">
        <f t="shared" si="1099"/>
        <v>-100</v>
      </c>
      <c r="P656" s="77">
        <f t="shared" ref="P656" si="1100">P312</f>
        <v>-100</v>
      </c>
      <c r="Q656" s="78">
        <f t="shared" ref="Q656" si="1101">Q312</f>
        <v>-100</v>
      </c>
    </row>
    <row r="657" spans="1:17" s="726" customFormat="1" x14ac:dyDescent="0.2">
      <c r="A657" s="655" t="s">
        <v>4280</v>
      </c>
      <c r="B657" s="79">
        <f t="shared" ref="B657:O657" si="1102">B313</f>
        <v>-2745</v>
      </c>
      <c r="C657" s="79">
        <f t="shared" si="1102"/>
        <v>0</v>
      </c>
      <c r="D657" s="79">
        <f t="shared" si="1102"/>
        <v>0</v>
      </c>
      <c r="E657" s="79">
        <f t="shared" si="1102"/>
        <v>-163</v>
      </c>
      <c r="F657" s="79">
        <f t="shared" si="1102"/>
        <v>0</v>
      </c>
      <c r="G657" s="79">
        <f t="shared" si="1102"/>
        <v>0</v>
      </c>
      <c r="H657" s="79">
        <f t="shared" si="1102"/>
        <v>0</v>
      </c>
      <c r="I657" s="79">
        <f t="shared" si="1102"/>
        <v>0</v>
      </c>
      <c r="J657" s="79">
        <f t="shared" si="1102"/>
        <v>0</v>
      </c>
      <c r="K657" s="79">
        <f t="shared" si="1102"/>
        <v>0</v>
      </c>
      <c r="L657" s="79">
        <f t="shared" si="1102"/>
        <v>0</v>
      </c>
      <c r="M657" s="79">
        <f t="shared" si="1102"/>
        <v>0</v>
      </c>
      <c r="N657" s="77">
        <f t="shared" si="1102"/>
        <v>0</v>
      </c>
      <c r="O657" s="77">
        <f t="shared" si="1102"/>
        <v>0</v>
      </c>
      <c r="P657" s="77">
        <f t="shared" ref="P657" si="1103">P313</f>
        <v>0</v>
      </c>
      <c r="Q657" s="78">
        <f t="shared" ref="Q657" si="1104">Q313</f>
        <v>0</v>
      </c>
    </row>
    <row r="658" spans="1:17" x14ac:dyDescent="0.2">
      <c r="A658" s="657" t="s">
        <v>4301</v>
      </c>
      <c r="B658" s="944">
        <f t="shared" ref="B658:M658" si="1105">SUM(B655:B657)</f>
        <v>53341</v>
      </c>
      <c r="C658" s="944">
        <f t="shared" si="1105"/>
        <v>53979</v>
      </c>
      <c r="D658" s="944">
        <f t="shared" si="1105"/>
        <v>51127</v>
      </c>
      <c r="E658" s="944">
        <f t="shared" si="1105"/>
        <v>52434.1</v>
      </c>
      <c r="F658" s="944">
        <f t="shared" si="1105"/>
        <v>55595</v>
      </c>
      <c r="G658" s="944">
        <f t="shared" si="1105"/>
        <v>55175</v>
      </c>
      <c r="H658" s="944">
        <f t="shared" si="1105"/>
        <v>52935.8</v>
      </c>
      <c r="I658" s="944">
        <f t="shared" si="1105"/>
        <v>55180.9</v>
      </c>
      <c r="J658" s="944">
        <f t="shared" si="1105"/>
        <v>55554.3</v>
      </c>
      <c r="K658" s="944">
        <f t="shared" si="1105"/>
        <v>57524.9</v>
      </c>
      <c r="L658" s="944">
        <f t="shared" si="1105"/>
        <v>57863.1</v>
      </c>
      <c r="M658" s="981">
        <f t="shared" si="1105"/>
        <v>59984.3</v>
      </c>
      <c r="N658" s="981">
        <f t="shared" ref="N658:O658" si="1106">SUM(N655:N657)</f>
        <v>60876</v>
      </c>
      <c r="O658" s="981">
        <f t="shared" si="1106"/>
        <v>62555.4</v>
      </c>
      <c r="P658" s="981">
        <f t="shared" ref="P658" si="1107">SUM(P655:P657)</f>
        <v>63135.5</v>
      </c>
      <c r="Q658" s="2470">
        <f t="shared" ref="Q658" si="1108">SUM(Q655:Q657)</f>
        <v>65256.7</v>
      </c>
    </row>
    <row r="659" spans="1:17" x14ac:dyDescent="0.2">
      <c r="A659" s="657"/>
      <c r="B659" s="21"/>
      <c r="C659" s="21"/>
      <c r="D659" s="21"/>
      <c r="E659" s="21"/>
      <c r="F659" s="21"/>
      <c r="G659" s="21"/>
      <c r="H659" s="21"/>
      <c r="I659" s="21"/>
      <c r="J659" s="21"/>
      <c r="K659" s="21"/>
      <c r="L659" s="21"/>
      <c r="M659" s="269"/>
      <c r="N659" s="269"/>
      <c r="O659" s="269"/>
      <c r="P659" s="269"/>
      <c r="Q659" s="715"/>
    </row>
    <row r="660" spans="1:17" x14ac:dyDescent="0.2">
      <c r="A660" s="657" t="s">
        <v>4685</v>
      </c>
      <c r="B660" s="21">
        <v>41175</v>
      </c>
      <c r="C660" s="21">
        <v>41335</v>
      </c>
      <c r="D660" s="21">
        <f>C660*Assumptions!E17+C660</f>
        <v>41686.347500000003</v>
      </c>
      <c r="E660" s="21">
        <f>D660*Assumptions!F17+D660</f>
        <v>42040.681453750003</v>
      </c>
      <c r="F660" s="21">
        <f>E660*Assumptions!G17+E660</f>
        <v>42398.027246106882</v>
      </c>
      <c r="G660" s="21">
        <f>F660*Assumptions!H17+F660</f>
        <v>42758.410477698788</v>
      </c>
      <c r="H660" s="21">
        <f>G660*Assumptions!I17+G660</f>
        <v>43121.856966759231</v>
      </c>
      <c r="I660" s="21">
        <f>H660*Assumptions!J17+H660</f>
        <v>43488.392750976687</v>
      </c>
      <c r="J660" s="21">
        <f>I660*Assumptions!K17+I660</f>
        <v>43858.044089359988</v>
      </c>
      <c r="K660" s="21">
        <f>J660*Assumptions!L17+J660</f>
        <v>44230.837464119548</v>
      </c>
      <c r="L660" s="21">
        <f>K660*Assumptions!M17+K660</f>
        <v>44606.799582564563</v>
      </c>
      <c r="M660" s="269">
        <f>L660*Assumptions!N17+L660</f>
        <v>44985.957379016363</v>
      </c>
      <c r="N660" s="269">
        <f>M660*Assumptions!O17+M660</f>
        <v>45368.338016738002</v>
      </c>
      <c r="O660" s="269">
        <f>N660*Assumptions!P17+N660</f>
        <v>45753.968889880278</v>
      </c>
      <c r="P660" s="269">
        <f>O660*Assumptions!Q17+O660</f>
        <v>46142.877625444264</v>
      </c>
      <c r="Q660" s="715">
        <f>P660*Assumptions!R17+P660</f>
        <v>46535.092085260541</v>
      </c>
    </row>
    <row r="661" spans="1:17" x14ac:dyDescent="0.2">
      <c r="A661" s="657"/>
      <c r="B661" s="21"/>
      <c r="C661" s="21"/>
      <c r="D661" s="21"/>
      <c r="E661" s="21"/>
      <c r="F661" s="21"/>
      <c r="G661" s="21"/>
      <c r="H661" s="21"/>
      <c r="I661" s="21"/>
      <c r="J661" s="21"/>
      <c r="K661" s="21"/>
      <c r="L661" s="21"/>
      <c r="M661" s="269"/>
      <c r="N661" s="269"/>
      <c r="O661" s="269"/>
      <c r="P661" s="269"/>
      <c r="Q661" s="715"/>
    </row>
    <row r="662" spans="1:17" s="726" customFormat="1" x14ac:dyDescent="0.2">
      <c r="A662" s="654" t="s">
        <v>4281</v>
      </c>
      <c r="B662" s="1496">
        <v>3.4000000000000002E-2</v>
      </c>
      <c r="C662" s="1496">
        <v>3.6999999999999998E-2</v>
      </c>
      <c r="D662" s="1496">
        <f>Assumptions!E5</f>
        <v>0.03</v>
      </c>
      <c r="E662" s="1496">
        <f>Assumptions!F5</f>
        <v>2.4E-2</v>
      </c>
      <c r="F662" s="1496">
        <f>Assumptions!G5</f>
        <v>0.02</v>
      </c>
      <c r="G662" s="1496">
        <f>Assumptions!H5</f>
        <v>1.4999999999999999E-2</v>
      </c>
      <c r="H662" s="1496">
        <f>Assumptions!I5</f>
        <v>2.3E-2</v>
      </c>
      <c r="I662" s="1496">
        <f>Assumptions!J5</f>
        <v>2.5000000000000001E-2</v>
      </c>
      <c r="J662" s="1496">
        <f>Assumptions!K5</f>
        <v>2.5000000000000001E-2</v>
      </c>
      <c r="K662" s="1496">
        <f>Assumptions!L5</f>
        <v>2.5000000000000001E-2</v>
      </c>
      <c r="L662" s="1496">
        <f>Assumptions!M5</f>
        <v>2.5000000000000001E-2</v>
      </c>
      <c r="M662" s="969">
        <f>Assumptions!N5</f>
        <v>2.5000000000000001E-2</v>
      </c>
      <c r="N662" s="969">
        <f>Assumptions!O5</f>
        <v>2.5000000000000001E-2</v>
      </c>
      <c r="O662" s="969">
        <f>Assumptions!P5</f>
        <v>2.5000000000000001E-2</v>
      </c>
      <c r="P662" s="969">
        <f>Assumptions!Q5</f>
        <v>2.5000000000000001E-2</v>
      </c>
      <c r="Q662" s="2456">
        <f>Assumptions!R5</f>
        <v>2.5000000000000001E-2</v>
      </c>
    </row>
    <row r="663" spans="1:17" s="726" customFormat="1" x14ac:dyDescent="0.2">
      <c r="A663" s="654" t="s">
        <v>4302</v>
      </c>
      <c r="B663" s="1496">
        <v>0.85499999999999998</v>
      </c>
      <c r="C663" s="1496">
        <f t="shared" ref="C663:O663" si="1109">B663*(1-C662)</f>
        <v>0.8233649999999999</v>
      </c>
      <c r="D663" s="1496">
        <f>C663*(1-D662)</f>
        <v>0.79866404999999985</v>
      </c>
      <c r="E663" s="1496">
        <f>D663*(1-E662)</f>
        <v>0.77949611279999986</v>
      </c>
      <c r="F663" s="1496">
        <f>E663*(1-F662)</f>
        <v>0.76390619054399989</v>
      </c>
      <c r="G663" s="1496">
        <f t="shared" si="1109"/>
        <v>0.75244759768583991</v>
      </c>
      <c r="H663" s="1496">
        <f t="shared" si="1109"/>
        <v>0.73514130293906554</v>
      </c>
      <c r="I663" s="1496">
        <f t="shared" si="1109"/>
        <v>0.71676277036558889</v>
      </c>
      <c r="J663" s="1496">
        <f t="shared" si="1109"/>
        <v>0.69884370110644911</v>
      </c>
      <c r="K663" s="1496">
        <f t="shared" si="1109"/>
        <v>0.6813726085787879</v>
      </c>
      <c r="L663" s="1496">
        <f t="shared" si="1109"/>
        <v>0.66433829336431816</v>
      </c>
      <c r="M663" s="969">
        <f t="shared" si="1109"/>
        <v>0.64772983603021017</v>
      </c>
      <c r="N663" s="969">
        <f t="shared" si="1109"/>
        <v>0.63153659012945496</v>
      </c>
      <c r="O663" s="969">
        <f t="shared" si="1109"/>
        <v>0.61574817537621862</v>
      </c>
      <c r="P663" s="969">
        <f>O663*(1-P662)</f>
        <v>0.60035447099181316</v>
      </c>
      <c r="Q663" s="2456">
        <f>P663*(1-Q662)</f>
        <v>0.58534560921701784</v>
      </c>
    </row>
    <row r="664" spans="1:17" s="726" customFormat="1" x14ac:dyDescent="0.2">
      <c r="A664" s="654"/>
      <c r="B664" s="1496"/>
      <c r="C664" s="1496"/>
      <c r="D664" s="1496"/>
      <c r="E664" s="1496"/>
      <c r="F664" s="1496"/>
      <c r="G664" s="1496"/>
      <c r="H664" s="1496"/>
      <c r="I664" s="1496"/>
      <c r="J664" s="1496"/>
      <c r="K664" s="1496"/>
      <c r="L664" s="1496"/>
      <c r="M664" s="969"/>
      <c r="N664" s="969"/>
      <c r="O664" s="969"/>
      <c r="P664" s="969"/>
      <c r="Q664" s="2456"/>
    </row>
    <row r="665" spans="1:17" s="726" customFormat="1" x14ac:dyDescent="0.2">
      <c r="A665" s="654" t="s">
        <v>4282</v>
      </c>
      <c r="B665" s="79">
        <f t="shared" ref="B665:M665" si="1110">B658*B663</f>
        <v>45606.555</v>
      </c>
      <c r="C665" s="79">
        <f t="shared" si="1110"/>
        <v>44444.419334999991</v>
      </c>
      <c r="D665" s="79">
        <f t="shared" si="1110"/>
        <v>40833.296884349991</v>
      </c>
      <c r="E665" s="79">
        <f t="shared" si="1110"/>
        <v>40872.17712816647</v>
      </c>
      <c r="F665" s="79">
        <f t="shared" si="1110"/>
        <v>42469.364663293672</v>
      </c>
      <c r="G665" s="79">
        <f t="shared" si="1110"/>
        <v>41516.296202316218</v>
      </c>
      <c r="H665" s="79">
        <f t="shared" si="1110"/>
        <v>38915.292984121785</v>
      </c>
      <c r="I665" s="79">
        <f t="shared" si="1110"/>
        <v>39551.614755266528</v>
      </c>
      <c r="J665" s="79">
        <f t="shared" si="1110"/>
        <v>38823.772624378005</v>
      </c>
      <c r="K665" s="79">
        <f t="shared" si="1110"/>
        <v>39195.891171233918</v>
      </c>
      <c r="L665" s="79">
        <f t="shared" si="1110"/>
        <v>38440.67310276888</v>
      </c>
      <c r="M665" s="679">
        <f t="shared" si="1110"/>
        <v>38853.620803386941</v>
      </c>
      <c r="N665" s="679">
        <f t="shared" ref="N665:O665" si="1111">N658*N663</f>
        <v>38445.421460720703</v>
      </c>
      <c r="O665" s="679">
        <f t="shared" si="1111"/>
        <v>38518.373409929511</v>
      </c>
      <c r="P665" s="679">
        <f t="shared" ref="P665" si="1112">P658*P663</f>
        <v>37903.67970330362</v>
      </c>
      <c r="Q665" s="660">
        <f t="shared" ref="Q665" si="1113">Q658*Q663</f>
        <v>38197.722816992165</v>
      </c>
    </row>
    <row r="666" spans="1:17" s="726" customFormat="1" x14ac:dyDescent="0.2">
      <c r="A666" s="654" t="s">
        <v>2812</v>
      </c>
      <c r="B666" s="79">
        <f>B660</f>
        <v>41175</v>
      </c>
      <c r="C666" s="79">
        <f t="shared" ref="C666:N666" si="1114">C660</f>
        <v>41335</v>
      </c>
      <c r="D666" s="79">
        <f t="shared" si="1114"/>
        <v>41686.347500000003</v>
      </c>
      <c r="E666" s="79">
        <f t="shared" si="1114"/>
        <v>42040.681453750003</v>
      </c>
      <c r="F666" s="79">
        <f t="shared" si="1114"/>
        <v>42398.027246106882</v>
      </c>
      <c r="G666" s="79">
        <f t="shared" si="1114"/>
        <v>42758.410477698788</v>
      </c>
      <c r="H666" s="79">
        <f t="shared" si="1114"/>
        <v>43121.856966759231</v>
      </c>
      <c r="I666" s="79">
        <f t="shared" si="1114"/>
        <v>43488.392750976687</v>
      </c>
      <c r="J666" s="79">
        <f t="shared" si="1114"/>
        <v>43858.044089359988</v>
      </c>
      <c r="K666" s="79">
        <f t="shared" si="1114"/>
        <v>44230.837464119548</v>
      </c>
      <c r="L666" s="79">
        <f t="shared" si="1114"/>
        <v>44606.799582564563</v>
      </c>
      <c r="M666" s="679">
        <f t="shared" si="1114"/>
        <v>44985.957379016363</v>
      </c>
      <c r="N666" s="679">
        <f t="shared" si="1114"/>
        <v>45368.338016738002</v>
      </c>
      <c r="O666" s="679">
        <f t="shared" ref="O666" si="1115">O660</f>
        <v>45753.968889880278</v>
      </c>
      <c r="P666" s="679">
        <f t="shared" ref="P666" si="1116">P660</f>
        <v>46142.877625444264</v>
      </c>
      <c r="Q666" s="660">
        <f t="shared" ref="Q666" si="1117">Q660</f>
        <v>46535.092085260541</v>
      </c>
    </row>
    <row r="667" spans="1:17" s="726" customFormat="1" x14ac:dyDescent="0.2">
      <c r="A667" s="654"/>
      <c r="B667" s="2112"/>
      <c r="C667" s="79"/>
      <c r="D667" s="79"/>
      <c r="E667" s="79"/>
      <c r="F667" s="79"/>
      <c r="G667" s="79"/>
      <c r="H667" s="79"/>
      <c r="I667" s="79"/>
      <c r="J667" s="79"/>
      <c r="K667" s="79"/>
      <c r="L667" s="79"/>
      <c r="M667" s="679"/>
      <c r="N667" s="679"/>
      <c r="O667" s="679"/>
      <c r="P667" s="679"/>
      <c r="Q667" s="660"/>
    </row>
    <row r="668" spans="1:17" x14ac:dyDescent="0.2">
      <c r="A668" s="657" t="s">
        <v>418</v>
      </c>
      <c r="B668" s="1497">
        <f t="shared" ref="B668:M668" si="1118">B665/B666</f>
        <v>1.1076273224043716</v>
      </c>
      <c r="C668" s="1497">
        <f t="shared" si="1118"/>
        <v>1.0752248538768596</v>
      </c>
      <c r="D668" s="1497">
        <f t="shared" si="1118"/>
        <v>0.97953645097714515</v>
      </c>
      <c r="E668" s="1497">
        <f t="shared" si="1118"/>
        <v>0.97220539046520849</v>
      </c>
      <c r="F668" s="1497">
        <f t="shared" si="1118"/>
        <v>1.0016825645394467</v>
      </c>
      <c r="G668" s="1497">
        <f t="shared" si="1118"/>
        <v>0.97095041042205232</v>
      </c>
      <c r="H668" s="1497">
        <f t="shared" si="1118"/>
        <v>0.90244937768148292</v>
      </c>
      <c r="I668" s="1497">
        <f t="shared" si="1118"/>
        <v>0.90947520138872584</v>
      </c>
      <c r="J668" s="1497">
        <f t="shared" si="1118"/>
        <v>0.88521441004699741</v>
      </c>
      <c r="K668" s="1497">
        <f t="shared" si="1118"/>
        <v>0.88616660724613172</v>
      </c>
      <c r="L668" s="1497">
        <f t="shared" si="1118"/>
        <v>0.86176711762558655</v>
      </c>
      <c r="M668" s="991">
        <f t="shared" si="1118"/>
        <v>0.86368331512958219</v>
      </c>
      <c r="N668" s="991">
        <f t="shared" ref="N668:O668" si="1119">N665/N666</f>
        <v>0.84740643235678614</v>
      </c>
      <c r="O668" s="991">
        <f t="shared" si="1119"/>
        <v>0.84185862657368038</v>
      </c>
      <c r="P668" s="991">
        <f t="shared" ref="P668" si="1120">P665/P666</f>
        <v>0.82144161036030927</v>
      </c>
      <c r="Q668" s="2471">
        <f t="shared" ref="Q668" si="1121">Q665/Q666</f>
        <v>0.82083694488037462</v>
      </c>
    </row>
    <row r="669" spans="1:17" x14ac:dyDescent="0.2">
      <c r="A669" s="657" t="s">
        <v>4277</v>
      </c>
      <c r="B669" s="1497"/>
      <c r="C669" s="1497">
        <f>AVERAGE(B668:C668)</f>
        <v>1.0914260881406155</v>
      </c>
      <c r="D669" s="1497">
        <f>AVERAGE(B668:D668)</f>
        <v>1.0541295424194586</v>
      </c>
      <c r="E669" s="1497">
        <f>AVERAGE(C668:E668)</f>
        <v>1.0089888984397377</v>
      </c>
      <c r="F669" s="1497">
        <f>AVERAGE(D668:F668)</f>
        <v>0.98447480199393345</v>
      </c>
      <c r="G669" s="1497">
        <f>AVERAGE(E668:G668)</f>
        <v>0.9816127884755691</v>
      </c>
      <c r="H669" s="1497">
        <f t="shared" ref="H669:O669" si="1122">AVERAGE(F668:H668)</f>
        <v>0.95836078421432724</v>
      </c>
      <c r="I669" s="1497">
        <f t="shared" si="1122"/>
        <v>0.92762499649742036</v>
      </c>
      <c r="J669" s="1497">
        <f t="shared" si="1122"/>
        <v>0.89904632970573539</v>
      </c>
      <c r="K669" s="1497">
        <f t="shared" si="1122"/>
        <v>0.89361873956061844</v>
      </c>
      <c r="L669" s="1497">
        <f t="shared" si="1122"/>
        <v>0.87771604497290523</v>
      </c>
      <c r="M669" s="991">
        <f t="shared" si="1122"/>
        <v>0.87053901333376693</v>
      </c>
      <c r="N669" s="991">
        <f t="shared" si="1122"/>
        <v>0.85761895503731822</v>
      </c>
      <c r="O669" s="991">
        <f t="shared" si="1122"/>
        <v>0.85098279135334953</v>
      </c>
      <c r="P669" s="991">
        <f>AVERAGE(N668:P668)</f>
        <v>0.83690222309692519</v>
      </c>
      <c r="Q669" s="2471">
        <f>AVERAGE(O668:Q668)</f>
        <v>0.82804572727145487</v>
      </c>
    </row>
    <row r="670" spans="1:17" s="726" customFormat="1" ht="13.5" thickBot="1" x14ac:dyDescent="0.25">
      <c r="A670" s="676"/>
      <c r="B670" s="677"/>
      <c r="C670" s="677"/>
      <c r="D670" s="677"/>
      <c r="E670" s="677"/>
      <c r="F670" s="677"/>
      <c r="G670" s="677"/>
      <c r="H670" s="677"/>
      <c r="I670" s="677"/>
      <c r="J670" s="677"/>
      <c r="K670" s="677"/>
      <c r="L670" s="677"/>
      <c r="M670" s="965"/>
      <c r="N670" s="965"/>
      <c r="O670" s="965"/>
      <c r="P670" s="965"/>
      <c r="Q670" s="678"/>
    </row>
    <row r="671" spans="1:17" ht="17.25" thickTop="1" thickBot="1" x14ac:dyDescent="0.3">
      <c r="A671" s="2570" t="s">
        <v>5039</v>
      </c>
      <c r="B671" s="2571"/>
      <c r="C671" s="2571"/>
      <c r="D671" s="2571"/>
      <c r="E671" s="2571"/>
      <c r="F671" s="2571"/>
      <c r="G671" s="2571"/>
      <c r="H671" s="2571"/>
      <c r="I671" s="2571"/>
      <c r="J671" s="2571"/>
      <c r="K671" s="2571"/>
      <c r="L671" s="2571"/>
      <c r="M671" s="2571"/>
      <c r="N671" s="2571"/>
      <c r="O671" s="2571"/>
      <c r="P671" s="2571"/>
      <c r="Q671" s="2572"/>
    </row>
    <row r="672" spans="1:17" s="726" customFormat="1" ht="13.5" thickBot="1" x14ac:dyDescent="0.25">
      <c r="A672" s="837" t="str">
        <f t="shared" ref="A672:M672" si="1123">A578</f>
        <v>Item</v>
      </c>
      <c r="B672" s="565" t="str">
        <f t="shared" si="1123"/>
        <v>2012/13</v>
      </c>
      <c r="C672" s="565" t="str">
        <f t="shared" si="1123"/>
        <v>2013/14</v>
      </c>
      <c r="D672" s="565" t="str">
        <f t="shared" si="1123"/>
        <v>2014/15</v>
      </c>
      <c r="E672" s="565" t="str">
        <f t="shared" si="1123"/>
        <v>2015/16</v>
      </c>
      <c r="F672" s="565" t="str">
        <f t="shared" si="1123"/>
        <v>2016/17</v>
      </c>
      <c r="G672" s="565" t="str">
        <f t="shared" si="1123"/>
        <v>2017/18</v>
      </c>
      <c r="H672" s="565" t="str">
        <f t="shared" si="1123"/>
        <v>2018/19</v>
      </c>
      <c r="I672" s="565" t="str">
        <f t="shared" si="1123"/>
        <v>2019/20</v>
      </c>
      <c r="J672" s="565" t="str">
        <f t="shared" si="1123"/>
        <v>2020/21</v>
      </c>
      <c r="K672" s="565" t="str">
        <f t="shared" si="1123"/>
        <v>2021/22</v>
      </c>
      <c r="L672" s="565" t="str">
        <f t="shared" si="1123"/>
        <v>2022/23</v>
      </c>
      <c r="M672" s="966" t="str">
        <f t="shared" si="1123"/>
        <v>2023/24</v>
      </c>
      <c r="N672" s="966" t="str">
        <f t="shared" ref="N672:O672" si="1124">N578</f>
        <v>2024/25</v>
      </c>
      <c r="O672" s="966" t="str">
        <f t="shared" si="1124"/>
        <v>2025/26</v>
      </c>
      <c r="P672" s="966" t="str">
        <f t="shared" ref="P672" si="1125">P578</f>
        <v>2026/27</v>
      </c>
      <c r="Q672" s="2445" t="str">
        <f t="shared" ref="Q672" si="1126">Q578</f>
        <v>2027/28</v>
      </c>
    </row>
    <row r="673" spans="1:17" x14ac:dyDescent="0.2">
      <c r="A673" s="841"/>
      <c r="B673" s="1483"/>
      <c r="C673" s="1483"/>
      <c r="D673" s="1483"/>
      <c r="E673" s="1483"/>
      <c r="F673" s="1483"/>
      <c r="G673" s="1483"/>
      <c r="H673" s="1483"/>
      <c r="I673" s="1483"/>
      <c r="J673" s="1483"/>
      <c r="K673" s="1483"/>
      <c r="L673" s="1483"/>
      <c r="M673" s="968"/>
      <c r="N673" s="968"/>
      <c r="O673" s="968"/>
      <c r="P673" s="968"/>
      <c r="Q673" s="2458"/>
    </row>
    <row r="674" spans="1:17" s="285" customFormat="1" x14ac:dyDescent="0.2">
      <c r="A674" s="657" t="s">
        <v>3405</v>
      </c>
      <c r="B674" s="563"/>
      <c r="C674" s="563"/>
      <c r="D674" s="563"/>
      <c r="E674" s="563"/>
      <c r="F674" s="563"/>
      <c r="G674" s="563"/>
      <c r="H674" s="563"/>
      <c r="I674" s="563"/>
      <c r="J674" s="563"/>
      <c r="K674" s="563"/>
      <c r="L674" s="563"/>
      <c r="M674" s="980"/>
      <c r="N674" s="980"/>
      <c r="O674" s="980"/>
      <c r="P674" s="980"/>
      <c r="Q674" s="2459"/>
    </row>
    <row r="675" spans="1:17" s="726" customFormat="1" x14ac:dyDescent="0.2">
      <c r="A675" s="654" t="s">
        <v>2203</v>
      </c>
      <c r="B675" s="659">
        <v>3413</v>
      </c>
      <c r="C675" s="659">
        <f>LTFP!A231/1000</f>
        <v>3034.8</v>
      </c>
      <c r="D675" s="659">
        <f>LTFP!B231/1000</f>
        <v>3034.8</v>
      </c>
      <c r="E675" s="659">
        <f>LTFP!C231/1000</f>
        <v>3029.6</v>
      </c>
      <c r="F675" s="659">
        <f>LTFP!D231/1000</f>
        <v>5139.8999999999996</v>
      </c>
      <c r="G675" s="659">
        <f>LTFP!F231/1000</f>
        <v>5199.8999999999996</v>
      </c>
      <c r="H675" s="659">
        <f>LTFP!H231/1000</f>
        <v>4827.6000000000004</v>
      </c>
      <c r="I675" s="659">
        <f>LTFP!I231/1000</f>
        <v>4327.2</v>
      </c>
      <c r="J675" s="659">
        <f>LTFP!J231/1000</f>
        <v>3774.6</v>
      </c>
      <c r="K675" s="659">
        <f>LTFP!K231/1000</f>
        <v>3341.8</v>
      </c>
      <c r="L675" s="659">
        <f>LTFP!L231/1000</f>
        <v>2952.1</v>
      </c>
      <c r="M675" s="679">
        <f>LTFP!M231/1000</f>
        <v>2720.5</v>
      </c>
      <c r="N675" s="679">
        <f>LTFP!N231/1000</f>
        <v>2507</v>
      </c>
      <c r="O675" s="679">
        <f>LTFP!O231/1000</f>
        <v>2225.6999999999998</v>
      </c>
      <c r="P675" s="679">
        <f>LTFP!P231/1000</f>
        <v>2069.4</v>
      </c>
      <c r="Q675" s="660">
        <f>LTFP!Q231/1000</f>
        <v>2257.6999999999998</v>
      </c>
    </row>
    <row r="676" spans="1:17" s="726" customFormat="1" x14ac:dyDescent="0.2">
      <c r="A676" s="654" t="s">
        <v>1732</v>
      </c>
      <c r="B676" s="659">
        <v>2176</v>
      </c>
      <c r="C676" s="659">
        <f>LTFP!A279/1000</f>
        <v>2916</v>
      </c>
      <c r="D676" s="659">
        <f>LTFP!B279/1000</f>
        <v>3882.8</v>
      </c>
      <c r="E676" s="659">
        <f>LTFP!C279/1000</f>
        <v>4343.8</v>
      </c>
      <c r="F676" s="659">
        <f>LTFP!D279/1000</f>
        <v>6195.2</v>
      </c>
      <c r="G676" s="659">
        <f>LTFP!F279/1000</f>
        <v>6001.3</v>
      </c>
      <c r="H676" s="659">
        <f>LTFP!H279/1000</f>
        <v>5935.2</v>
      </c>
      <c r="I676" s="659">
        <f>LTFP!I279/1000</f>
        <v>5496.7</v>
      </c>
      <c r="J676" s="659">
        <f>LTFP!J279/1000</f>
        <v>5625.4</v>
      </c>
      <c r="K676" s="659">
        <f>LTFP!K279/1000</f>
        <v>3390.4</v>
      </c>
      <c r="L676" s="659">
        <f>LTFP!L279/1000</f>
        <v>3837.7</v>
      </c>
      <c r="M676" s="679">
        <f>LTFP!M279/1000</f>
        <v>2277.8000000000002</v>
      </c>
      <c r="N676" s="679">
        <f>LTFP!N279/1000</f>
        <v>1070.7</v>
      </c>
      <c r="O676" s="679">
        <f>LTFP!O279/1000</f>
        <v>1376.3</v>
      </c>
      <c r="P676" s="679">
        <f>LTFP!P279/1000</f>
        <v>1830.4</v>
      </c>
      <c r="Q676" s="660">
        <f>LTFP!Q279/1000</f>
        <v>4194.2</v>
      </c>
    </row>
    <row r="677" spans="1:17" s="726" customFormat="1" x14ac:dyDescent="0.2">
      <c r="A677" s="655" t="s">
        <v>3289</v>
      </c>
      <c r="B677" s="659">
        <v>23817</v>
      </c>
      <c r="C677" s="659">
        <f>LTFP!A328/1000</f>
        <v>15178</v>
      </c>
      <c r="D677" s="659">
        <f>LTFP!B328/1000</f>
        <v>10514.3</v>
      </c>
      <c r="E677" s="659">
        <f>LTFP!C328/1000</f>
        <v>8111.6</v>
      </c>
      <c r="F677" s="659">
        <f>LTFP!D328/1000</f>
        <v>6830.9</v>
      </c>
      <c r="G677" s="659">
        <f>LTFP!F328/1000</f>
        <v>1962.7</v>
      </c>
      <c r="H677" s="659">
        <f>LTFP!H328/1000</f>
        <v>112.3</v>
      </c>
      <c r="I677" s="659">
        <f>LTFP!I328/1000</f>
        <v>589</v>
      </c>
      <c r="J677" s="659">
        <f>LTFP!J328/1000</f>
        <v>2383.6</v>
      </c>
      <c r="K677" s="659">
        <f>LTFP!K328/1000</f>
        <v>2123.6999999999998</v>
      </c>
      <c r="L677" s="659">
        <f>LTFP!L328/1000</f>
        <v>3236.9</v>
      </c>
      <c r="M677" s="679">
        <f>LTFP!M328/1000</f>
        <v>7732</v>
      </c>
      <c r="N677" s="679">
        <f>LTFP!N328/1000</f>
        <v>8314.7999999999993</v>
      </c>
      <c r="O677" s="679">
        <f>LTFP!O328/1000</f>
        <v>13464.5</v>
      </c>
      <c r="P677" s="679">
        <f>LTFP!P328/1000</f>
        <v>19128.900000000001</v>
      </c>
      <c r="Q677" s="660">
        <f>LTFP!Q328/1000</f>
        <v>25261.3</v>
      </c>
    </row>
    <row r="678" spans="1:17" x14ac:dyDescent="0.2">
      <c r="A678" s="657"/>
      <c r="B678" s="839"/>
      <c r="C678" s="839"/>
      <c r="D678" s="839"/>
      <c r="E678" s="839"/>
      <c r="F678" s="839"/>
      <c r="G678" s="839"/>
      <c r="H678" s="839"/>
      <c r="I678" s="839"/>
      <c r="J678" s="839"/>
      <c r="K678" s="839"/>
      <c r="L678" s="839"/>
      <c r="M678" s="967"/>
      <c r="N678" s="967"/>
      <c r="O678" s="967"/>
      <c r="P678" s="967"/>
      <c r="Q678" s="2460"/>
    </row>
    <row r="679" spans="1:17" x14ac:dyDescent="0.2">
      <c r="A679" s="841"/>
      <c r="B679" s="1483"/>
      <c r="C679" s="1483"/>
      <c r="D679" s="1483"/>
      <c r="E679" s="1483"/>
      <c r="F679" s="1483"/>
      <c r="G679" s="1483"/>
      <c r="H679" s="1483"/>
      <c r="I679" s="1483"/>
      <c r="J679" s="1483"/>
      <c r="K679" s="1483"/>
      <c r="L679" s="1483"/>
      <c r="M679" s="968"/>
      <c r="N679" s="968"/>
      <c r="O679" s="968"/>
      <c r="P679" s="968"/>
      <c r="Q679" s="2458"/>
    </row>
    <row r="680" spans="1:17" x14ac:dyDescent="0.2">
      <c r="A680" s="823" t="s">
        <v>5412</v>
      </c>
      <c r="B680" s="547"/>
      <c r="C680" s="547"/>
      <c r="D680" s="547"/>
      <c r="E680" s="547"/>
      <c r="F680" s="547"/>
      <c r="G680" s="547"/>
      <c r="H680" s="547"/>
      <c r="I680" s="547"/>
      <c r="J680" s="547"/>
      <c r="K680" s="547"/>
      <c r="L680" s="547"/>
      <c r="M680" s="549"/>
      <c r="N680" s="549"/>
      <c r="O680" s="549"/>
      <c r="P680" s="549"/>
      <c r="Q680" s="835"/>
    </row>
    <row r="681" spans="1:17" x14ac:dyDescent="0.2">
      <c r="A681" s="763" t="s">
        <v>4303</v>
      </c>
      <c r="B681" s="547">
        <v>20243</v>
      </c>
      <c r="C681" s="547">
        <v>15523</v>
      </c>
      <c r="D681" s="547">
        <v>14286</v>
      </c>
      <c r="E681" s="547">
        <f>('Cap-Gen'!CS221+'Cap-Water'!CG73+'Cap-WW'!CH142)/1000</f>
        <v>15295</v>
      </c>
      <c r="F681" s="547">
        <f>('Cap-Gen'!CT221+'Cap-Water'!CH73+'Cap-WW'!CI142)/1000</f>
        <v>18599</v>
      </c>
      <c r="G681" s="547">
        <f>('Cap-Gen'!CU221+'Cap-Water'!CI73+'Cap-WW'!CJ142)/1000</f>
        <v>33864</v>
      </c>
      <c r="H681" s="547">
        <f>('Cap-Gen'!CV221+'Cap-Water'!CJ73+'Cap-WW'!CK142)/1000</f>
        <v>19860</v>
      </c>
      <c r="I681" s="547">
        <f>('Cap-Gen'!CW221+'Cap-Water'!CK73+'Cap-WW'!CL142)/1000</f>
        <v>14249</v>
      </c>
      <c r="J681" s="547">
        <f>('Cap-Gen'!CX221+'Cap-Water'!CL73+'Cap-WW'!CM142)/1000</f>
        <v>28651</v>
      </c>
      <c r="K681" s="547">
        <f>('Cap-Gen'!CY221+'Cap-Water'!CM73+'Cap-WW'!CN142)/1000</f>
        <v>28909</v>
      </c>
      <c r="L681" s="547">
        <f>('Cap-Gen'!CZ221+'Cap-Water'!CN73+'Cap-WW'!CO142)/1000</f>
        <v>14983</v>
      </c>
      <c r="M681" s="549">
        <f>('Cap-Gen'!DA221+'Cap-Water'!CO73+'Cap-WW'!CP142)/1000</f>
        <v>14859</v>
      </c>
      <c r="N681" s="549">
        <f>('Cap-Gen'!DB221+'Cap-Water'!CP73+'Cap-WW'!CQ142)/1000</f>
        <v>22281</v>
      </c>
      <c r="O681" s="549">
        <f>('Cap-Gen'!DC221+'Cap-Water'!CQ73+'Cap-WW'!CR142)/1000</f>
        <v>14430</v>
      </c>
      <c r="P681" s="549">
        <f>('Cap-Gen'!DD221+'Cap-Water'!CR73+'Cap-WW'!CS142)/1000</f>
        <v>15311</v>
      </c>
      <c r="Q681" s="835">
        <f>('Cap-Gen'!DE221+'Cap-Water'!CS73+'Cap-WW'!CT142)/1000</f>
        <v>15597</v>
      </c>
    </row>
    <row r="682" spans="1:17" x14ac:dyDescent="0.2">
      <c r="A682" s="655" t="s">
        <v>3709</v>
      </c>
      <c r="B682" s="547">
        <f>B688+'W&amp;W'!A20/1000</f>
        <v>17233.900000000001</v>
      </c>
      <c r="C682" s="547">
        <f>C688+'W&amp;W'!B20/1000</f>
        <v>20417.599999999999</v>
      </c>
      <c r="D682" s="547">
        <f>D688+'W&amp;W'!C20/1000</f>
        <v>16598.400000000001</v>
      </c>
      <c r="E682" s="547">
        <f>E688+'W&amp;W'!D20/1000</f>
        <v>17927.7</v>
      </c>
      <c r="F682" s="547">
        <f>F688+'W&amp;W'!E20/1000</f>
        <v>14669.3</v>
      </c>
      <c r="G682" s="547">
        <f>G688+'W&amp;W'!H20/1000</f>
        <v>17229</v>
      </c>
      <c r="H682" s="547">
        <f>H688+'W&amp;W'!J20/1000</f>
        <v>17676.900000000001</v>
      </c>
      <c r="I682" s="547">
        <f>I688+'W&amp;W'!K20/1000</f>
        <v>18122.599999999999</v>
      </c>
      <c r="J682" s="547">
        <f>J688+'W&amp;W'!L20/1000</f>
        <v>18486.599999999999</v>
      </c>
      <c r="K682" s="547">
        <f>K688+'W&amp;W'!M20/1000</f>
        <v>18857.3</v>
      </c>
      <c r="L682" s="547">
        <f>L688+'W&amp;W'!N20/1000</f>
        <v>19235.900000000001</v>
      </c>
      <c r="M682" s="549">
        <f>M688+'W&amp;W'!O20/1000</f>
        <v>19621.2</v>
      </c>
      <c r="N682" s="549">
        <f>N688+'W&amp;W'!P20/1000</f>
        <v>20014.699999999997</v>
      </c>
      <c r="O682" s="549">
        <f>O688+'W&amp;W'!Q20/1000</f>
        <v>20416.599999999999</v>
      </c>
      <c r="P682" s="549">
        <f>P688+'W&amp;W'!R20/1000</f>
        <v>20825.599999999999</v>
      </c>
      <c r="Q682" s="835">
        <f>Q688+'W&amp;W'!S20/1000</f>
        <v>21242.6</v>
      </c>
    </row>
    <row r="683" spans="1:17" s="573" customFormat="1" x14ac:dyDescent="0.2">
      <c r="A683" s="823" t="s">
        <v>3398</v>
      </c>
      <c r="B683" s="836">
        <f t="shared" ref="B683:M683" si="1127">B681/B682</f>
        <v>1.1746035430169606</v>
      </c>
      <c r="C683" s="836">
        <f t="shared" si="1127"/>
        <v>0.76027544863255236</v>
      </c>
      <c r="D683" s="836">
        <f t="shared" si="1127"/>
        <v>0.86068536726431455</v>
      </c>
      <c r="E683" s="836">
        <f t="shared" si="1127"/>
        <v>0.85314903752293936</v>
      </c>
      <c r="F683" s="836">
        <f t="shared" ref="F683" si="1128">F681/F682</f>
        <v>1.2678859931966762</v>
      </c>
      <c r="G683" s="836">
        <f t="shared" si="1127"/>
        <v>1.9655232456904057</v>
      </c>
      <c r="H683" s="836">
        <f t="shared" si="1127"/>
        <v>1.1235001612273645</v>
      </c>
      <c r="I683" s="836">
        <f t="shared" si="1127"/>
        <v>0.78625583525542697</v>
      </c>
      <c r="J683" s="836">
        <f t="shared" si="1127"/>
        <v>1.549825278850627</v>
      </c>
      <c r="K683" s="836">
        <f t="shared" si="1127"/>
        <v>1.5330402549675723</v>
      </c>
      <c r="L683" s="836">
        <f t="shared" si="1127"/>
        <v>0.77890818729562949</v>
      </c>
      <c r="M683" s="992">
        <f t="shared" si="1127"/>
        <v>0.75729313191853709</v>
      </c>
      <c r="N683" s="992">
        <f t="shared" ref="N683:O683" si="1129">N681/N682</f>
        <v>1.1132317746456357</v>
      </c>
      <c r="O683" s="992">
        <f t="shared" si="1129"/>
        <v>0.70677781805001816</v>
      </c>
      <c r="P683" s="992">
        <f t="shared" ref="P683" si="1130">P681/P682</f>
        <v>0.73520090657652126</v>
      </c>
      <c r="Q683" s="2461">
        <f t="shared" ref="Q683" si="1131">Q681/Q682</f>
        <v>0.73423215613907911</v>
      </c>
    </row>
    <row r="684" spans="1:17" x14ac:dyDescent="0.2">
      <c r="A684" s="657"/>
      <c r="B684" s="839"/>
      <c r="C684" s="839"/>
      <c r="D684" s="839"/>
      <c r="E684" s="839"/>
      <c r="F684" s="839"/>
      <c r="G684" s="839"/>
      <c r="H684" s="839"/>
      <c r="I684" s="839"/>
      <c r="J684" s="839"/>
      <c r="K684" s="839"/>
      <c r="L684" s="839"/>
      <c r="M684" s="967"/>
      <c r="N684" s="967"/>
      <c r="O684" s="967"/>
      <c r="P684" s="967"/>
      <c r="Q684" s="2460"/>
    </row>
    <row r="685" spans="1:17" x14ac:dyDescent="0.2">
      <c r="A685" s="841"/>
      <c r="B685" s="1483"/>
      <c r="C685" s="1483"/>
      <c r="D685" s="1483"/>
      <c r="E685" s="1483"/>
      <c r="F685" s="1483"/>
      <c r="G685" s="1483"/>
      <c r="H685" s="1483"/>
      <c r="I685" s="1483"/>
      <c r="J685" s="1483"/>
      <c r="K685" s="1483"/>
      <c r="L685" s="1483"/>
      <c r="M685" s="968"/>
      <c r="N685" s="968"/>
      <c r="O685" s="968"/>
      <c r="P685" s="968"/>
      <c r="Q685" s="2458"/>
    </row>
    <row r="686" spans="1:17" x14ac:dyDescent="0.2">
      <c r="A686" s="823" t="s">
        <v>4262</v>
      </c>
      <c r="B686" s="547"/>
      <c r="C686" s="547"/>
      <c r="D686" s="547"/>
      <c r="E686" s="547"/>
      <c r="F686" s="547"/>
      <c r="G686" s="547"/>
      <c r="H686" s="547"/>
      <c r="I686" s="547"/>
      <c r="J686" s="547"/>
      <c r="K686" s="547"/>
      <c r="L686" s="547"/>
      <c r="M686" s="549"/>
      <c r="N686" s="549"/>
      <c r="O686" s="549"/>
      <c r="P686" s="549"/>
      <c r="Q686" s="835"/>
    </row>
    <row r="687" spans="1:17" x14ac:dyDescent="0.2">
      <c r="A687" s="763" t="s">
        <v>4303</v>
      </c>
      <c r="B687" s="547">
        <v>10898</v>
      </c>
      <c r="C687" s="547">
        <v>11968</v>
      </c>
      <c r="D687" s="547">
        <v>9881</v>
      </c>
      <c r="E687" s="547">
        <f>'Cap-Gen'!CS221/1000</f>
        <v>12271</v>
      </c>
      <c r="F687" s="547">
        <f>'Cap-Gen'!CT221/1000</f>
        <v>15968</v>
      </c>
      <c r="G687" s="547">
        <f>'Cap-Gen'!CU221/1000</f>
        <v>25297</v>
      </c>
      <c r="H687" s="547">
        <f>'Cap-Gen'!CV221/1000</f>
        <v>8931</v>
      </c>
      <c r="I687" s="547">
        <f>'Cap-Gen'!CW221/1000</f>
        <v>6418</v>
      </c>
      <c r="J687" s="547">
        <f>'Cap-Gen'!CX221/1000</f>
        <v>24689</v>
      </c>
      <c r="K687" s="547">
        <f>'Cap-Gen'!CY221/1000</f>
        <v>19549</v>
      </c>
      <c r="L687" s="547">
        <f>'Cap-Gen'!CZ221/1000</f>
        <v>9409</v>
      </c>
      <c r="M687" s="549">
        <f>'Cap-Gen'!DA221/1000</f>
        <v>9698</v>
      </c>
      <c r="N687" s="549">
        <f>'Cap-Gen'!DB221/1000</f>
        <v>12947</v>
      </c>
      <c r="O687" s="549">
        <f>'Cap-Gen'!DC221/1000</f>
        <v>11960</v>
      </c>
      <c r="P687" s="549">
        <f>'Cap-Gen'!DD221/1000</f>
        <v>12777</v>
      </c>
      <c r="Q687" s="835">
        <f>'Cap-Gen'!DE221/1000</f>
        <v>13027</v>
      </c>
    </row>
    <row r="688" spans="1:17" x14ac:dyDescent="0.2">
      <c r="A688" s="655" t="s">
        <v>3709</v>
      </c>
      <c r="B688" s="547">
        <v>12510</v>
      </c>
      <c r="C688" s="547">
        <v>15915</v>
      </c>
      <c r="D688" s="547">
        <f>SUM(GM!C423+GM!C355+GM!C354+CIV!C673+CIV!C454+CIV!C337+CIV!C336+CIV!C270++CIV!C215+CIV!C167+CIV!C797+CIV!C545+SP!C34+DEH!C31)/1000</f>
        <v>12805.4</v>
      </c>
      <c r="E688" s="547">
        <f>SUM(GM!D423+GM!D355+GM!D354+CIV!D673+CIV!D454+CIV!D337+CIV!D336+CIV!D270++CIV!D215+CIV!D167+CIV!D797+CIV!D545+SP!D34+DEH!D31)/1000</f>
        <v>12896.9</v>
      </c>
      <c r="F688" s="547">
        <f>SUM(GM!E423+GM!E355+GM!E354+CIV!E673+CIV!E454+CIV!E337+CIV!E336+CIV!E270++CIV!E215+CIV!E167+CIV!E797+CIV!E545+SP!E34+DEH!E31)/1000</f>
        <v>9696.4</v>
      </c>
      <c r="G688" s="547">
        <f>SUM(GM!H423+GM!H355+GM!H354+CIV!H673+CIV!H454+CIV!H337+CIV!H336+CIV!H270++CIV!H215+CIV!H167+CIV!H797+CIV!H545+SP!H34+DEH!H31)/1000</f>
        <v>12074</v>
      </c>
      <c r="H688" s="547">
        <f>SUM(GM!J423+GM!J355+GM!J354+CIV!J673+CIV!J454+CIV!J337+CIV!J336+CIV!J270++CIV!J215+CIV!J167+CIV!J797+CIV!J545+SP!J34+DEH!J31)/1000</f>
        <v>12418.3</v>
      </c>
      <c r="I688" s="547">
        <f>SUM(GM!K423+GM!K355+GM!K354+CIV!K673+CIV!K454+CIV!K337+CIV!K336+CIV!K270++CIV!K215+CIV!K167+CIV!K797+CIV!K545+SP!K34+DEH!K31)/1000</f>
        <v>12758.8</v>
      </c>
      <c r="J688" s="547">
        <f>SUM(GM!L423+GM!L355+GM!L354+CIV!L673+CIV!L454+CIV!L337+CIV!L336+CIV!L270++CIV!L215+CIV!L167+CIV!L797+CIV!L545+SP!L34+DEH!L31)/1000</f>
        <v>13015</v>
      </c>
      <c r="K688" s="547">
        <f>SUM(GM!M423+GM!M355+GM!M354+CIV!M673+CIV!M454+CIV!M337+CIV!M336+CIV!M270++CIV!M215+CIV!M167+CIV!M797+CIV!M545+SP!M34+DEH!M31)/1000</f>
        <v>13276.4</v>
      </c>
      <c r="L688" s="547">
        <f>SUM(GM!N423+GM!N355+GM!N354+CIV!N673+CIV!N454+CIV!N337+CIV!N336+CIV!N270++CIV!N215+CIV!N167+CIV!N797+CIV!N545+SP!N34+DEH!N31)/1000</f>
        <v>13543.1</v>
      </c>
      <c r="M688" s="547">
        <f>SUM(GM!O423+GM!O355+GM!O354+CIV!O673+CIV!O454+CIV!O337+CIV!O336+CIV!O270++CIV!O215+CIV!O167+CIV!O797+CIV!O545+SP!O34+DEH!O31)/1000</f>
        <v>13814.9</v>
      </c>
      <c r="N688" s="549">
        <f>SUM(GM!P423+GM!P355+GM!P354+CIV!P673+CIV!P454+CIV!P337+CIV!P336+CIV!P270++CIV!P215+CIV!P167+CIV!P797+CIV!P545+SP!P34+DEH!P31)/1000</f>
        <v>14092.3</v>
      </c>
      <c r="O688" s="549">
        <f>SUM(GM!Q423+GM!Q355+GM!Q354+CIV!Q673+CIV!Q454+CIV!Q337+CIV!Q336+CIV!Q270++CIV!Q215+CIV!Q167+CIV!Q797+CIV!Q545+SP!Q34+DEH!Q31)/1000</f>
        <v>14375.4</v>
      </c>
      <c r="P688" s="549">
        <f>SUM(GM!R423+GM!R355+GM!R354+CIV!R673+CIV!R454+CIV!R337+CIV!R336+CIV!R270++CIV!R215+CIV!R167+CIV!R797+CIV!R545+SP!R34+DEH!R31)/1000</f>
        <v>14664</v>
      </c>
      <c r="Q688" s="835">
        <f>SUM(GM!S423+GM!S355+GM!S354+CIV!S673+CIV!S454+CIV!S337+CIV!S336+CIV!S270++CIV!S215+CIV!S167+CIV!S797+CIV!S545+SP!S34+DEH!S31)/1000</f>
        <v>14958</v>
      </c>
    </row>
    <row r="689" spans="1:17" s="573" customFormat="1" x14ac:dyDescent="0.2">
      <c r="A689" s="823" t="s">
        <v>4263</v>
      </c>
      <c r="B689" s="836">
        <f t="shared" ref="B689:M689" si="1132">B687/B688</f>
        <v>0.87114308553157471</v>
      </c>
      <c r="C689" s="836">
        <f t="shared" si="1132"/>
        <v>0.75199497329563303</v>
      </c>
      <c r="D689" s="836">
        <f>D687/D688</f>
        <v>0.77162759460852459</v>
      </c>
      <c r="E689" s="836">
        <f>E687/E688</f>
        <v>0.95146895765649109</v>
      </c>
      <c r="F689" s="836">
        <f t="shared" si="1132"/>
        <v>1.6467967493090219</v>
      </c>
      <c r="G689" s="836">
        <f t="shared" si="1132"/>
        <v>2.0951631605101873</v>
      </c>
      <c r="H689" s="836">
        <f t="shared" si="1132"/>
        <v>0.71918056416739817</v>
      </c>
      <c r="I689" s="836">
        <f t="shared" si="1132"/>
        <v>0.50302536288679189</v>
      </c>
      <c r="J689" s="836">
        <f t="shared" si="1132"/>
        <v>1.8969650403380716</v>
      </c>
      <c r="K689" s="836">
        <f t="shared" si="1132"/>
        <v>1.4724624145099576</v>
      </c>
      <c r="L689" s="836">
        <f t="shared" si="1132"/>
        <v>0.69474492546019739</v>
      </c>
      <c r="M689" s="992">
        <f t="shared" si="1132"/>
        <v>0.70199567134036445</v>
      </c>
      <c r="N689" s="992">
        <f t="shared" ref="N689:O689" si="1133">N687/N688</f>
        <v>0.91872866742831194</v>
      </c>
      <c r="O689" s="992">
        <f t="shared" si="1133"/>
        <v>0.8319768493398445</v>
      </c>
      <c r="P689" s="992">
        <f t="shared" ref="P689" si="1134">P687/P688</f>
        <v>0.87131751227495913</v>
      </c>
      <c r="Q689" s="2461">
        <f t="shared" ref="Q689" si="1135">Q687/Q688</f>
        <v>0.87090520123011095</v>
      </c>
    </row>
    <row r="690" spans="1:17" x14ac:dyDescent="0.2">
      <c r="A690" s="657"/>
      <c r="B690" s="839"/>
      <c r="C690" s="839"/>
      <c r="D690" s="839"/>
      <c r="E690" s="839"/>
      <c r="F690" s="839"/>
      <c r="G690" s="839"/>
      <c r="H690" s="839"/>
      <c r="I690" s="839"/>
      <c r="J690" s="839"/>
      <c r="K690" s="839"/>
      <c r="L690" s="839"/>
      <c r="M690" s="967"/>
      <c r="N690" s="967"/>
      <c r="O690" s="967"/>
      <c r="P690" s="967"/>
      <c r="Q690" s="2460"/>
    </row>
    <row r="691" spans="1:17" x14ac:dyDescent="0.2">
      <c r="A691" s="841"/>
      <c r="B691" s="1483"/>
      <c r="C691" s="1483"/>
      <c r="D691" s="1483"/>
      <c r="E691" s="1483"/>
      <c r="F691" s="1483"/>
      <c r="G691" s="1483"/>
      <c r="H691" s="1483"/>
      <c r="I691" s="1483"/>
      <c r="J691" s="1483"/>
      <c r="K691" s="1483"/>
      <c r="L691" s="1483"/>
      <c r="M691" s="968"/>
      <c r="N691" s="968"/>
      <c r="O691" s="968"/>
      <c r="P691" s="968"/>
      <c r="Q691" s="2458"/>
    </row>
    <row r="692" spans="1:17" x14ac:dyDescent="0.2">
      <c r="A692" s="823" t="s">
        <v>4264</v>
      </c>
      <c r="B692" s="48"/>
      <c r="C692" s="48"/>
      <c r="D692" s="48"/>
      <c r="E692" s="48"/>
      <c r="F692" s="48"/>
      <c r="G692" s="48"/>
      <c r="H692" s="48"/>
      <c r="I692" s="48"/>
      <c r="J692" s="48"/>
      <c r="K692" s="48"/>
      <c r="L692" s="48"/>
      <c r="M692" s="161"/>
      <c r="N692" s="161"/>
      <c r="O692" s="161"/>
      <c r="P692" s="161"/>
      <c r="Q692" s="51"/>
    </row>
    <row r="693" spans="1:17" x14ac:dyDescent="0.2">
      <c r="A693" s="763" t="s">
        <v>4303</v>
      </c>
      <c r="B693" s="48">
        <v>116</v>
      </c>
      <c r="C693" s="48">
        <v>1646</v>
      </c>
      <c r="D693" s="48">
        <v>832</v>
      </c>
      <c r="E693" s="48">
        <f>'Cap-Water'!CG73/1000</f>
        <v>962</v>
      </c>
      <c r="F693" s="48">
        <f>'Cap-Water'!CH73/1000</f>
        <v>520</v>
      </c>
      <c r="G693" s="48">
        <f>'Cap-Water'!CI73/1000</f>
        <v>1275</v>
      </c>
      <c r="H693" s="48">
        <f>'Cap-Water'!CJ73/1000</f>
        <v>4020</v>
      </c>
      <c r="I693" s="48">
        <f>'Cap-Water'!CK73/1000</f>
        <v>3115</v>
      </c>
      <c r="J693" s="48">
        <f>'Cap-Water'!CL73/1000</f>
        <v>1605</v>
      </c>
      <c r="K693" s="48">
        <f>'Cap-Water'!CM73/1000</f>
        <v>4507</v>
      </c>
      <c r="L693" s="48">
        <f>'Cap-Water'!CN73/1000</f>
        <v>1166</v>
      </c>
      <c r="M693" s="161">
        <f>'Cap-Water'!CO73/1000</f>
        <v>4170</v>
      </c>
      <c r="N693" s="161">
        <f>'Cap-Water'!CP73/1000</f>
        <v>4098</v>
      </c>
      <c r="O693" s="161">
        <f>'Cap-Water'!CQ73/1000</f>
        <v>1423</v>
      </c>
      <c r="P693" s="161">
        <f>'Cap-Water'!CR73/1000</f>
        <v>1458</v>
      </c>
      <c r="Q693" s="51">
        <f>'Cap-Water'!CS73/1000</f>
        <v>1494</v>
      </c>
    </row>
    <row r="694" spans="1:17" x14ac:dyDescent="0.2">
      <c r="A694" s="655" t="s">
        <v>3709</v>
      </c>
      <c r="B694" s="48">
        <f t="shared" ref="B694:C694" si="1136">-B559</f>
        <v>1883</v>
      </c>
      <c r="C694" s="48">
        <f t="shared" si="1136"/>
        <v>1859</v>
      </c>
      <c r="D694" s="48">
        <f>-D559-59</f>
        <v>1419.7</v>
      </c>
      <c r="E694" s="48">
        <f>-E559-44</f>
        <v>1454.9</v>
      </c>
      <c r="F694" s="48">
        <f t="shared" ref="F694:O694" si="1137">-F559-44</f>
        <v>1355.6</v>
      </c>
      <c r="G694" s="48">
        <f t="shared" si="1137"/>
        <v>1336</v>
      </c>
      <c r="H694" s="48">
        <f t="shared" si="1137"/>
        <v>1363.6</v>
      </c>
      <c r="I694" s="48">
        <f t="shared" si="1137"/>
        <v>1391.8</v>
      </c>
      <c r="J694" s="48">
        <f t="shared" si="1137"/>
        <v>1420.6</v>
      </c>
      <c r="K694" s="48">
        <f t="shared" si="1137"/>
        <v>1449.9</v>
      </c>
      <c r="L694" s="48">
        <f t="shared" si="1137"/>
        <v>1479.8</v>
      </c>
      <c r="M694" s="161">
        <f t="shared" si="1137"/>
        <v>1510.3</v>
      </c>
      <c r="N694" s="161">
        <f t="shared" si="1137"/>
        <v>1541.4</v>
      </c>
      <c r="O694" s="161">
        <f t="shared" si="1137"/>
        <v>1573.2</v>
      </c>
      <c r="P694" s="161">
        <f t="shared" ref="P694" si="1138">-P559-44</f>
        <v>1605.6</v>
      </c>
      <c r="Q694" s="51">
        <f t="shared" ref="Q694" si="1139">-Q559-44</f>
        <v>1638.6</v>
      </c>
    </row>
    <row r="695" spans="1:17" s="573" customFormat="1" x14ac:dyDescent="0.2">
      <c r="A695" s="823" t="s">
        <v>4259</v>
      </c>
      <c r="B695" s="836">
        <f t="shared" ref="B695:M695" si="1140">B693/B694</f>
        <v>6.1603823685608072E-2</v>
      </c>
      <c r="C695" s="836">
        <f t="shared" si="1140"/>
        <v>0.88542227003765461</v>
      </c>
      <c r="D695" s="836">
        <f t="shared" si="1140"/>
        <v>0.58603930407832638</v>
      </c>
      <c r="E695" s="836">
        <f t="shared" si="1140"/>
        <v>0.66121382912914972</v>
      </c>
      <c r="F695" s="836">
        <f t="shared" si="1140"/>
        <v>0.38359398052522869</v>
      </c>
      <c r="G695" s="836">
        <f t="shared" si="1140"/>
        <v>0.9543413173652695</v>
      </c>
      <c r="H695" s="836">
        <f t="shared" si="1140"/>
        <v>2.9480786154297451</v>
      </c>
      <c r="I695" s="836">
        <f t="shared" si="1140"/>
        <v>2.2381089236959335</v>
      </c>
      <c r="J695" s="836">
        <f t="shared" si="1140"/>
        <v>1.1298043080388569</v>
      </c>
      <c r="K695" s="836">
        <f t="shared" si="1140"/>
        <v>3.1084902407062556</v>
      </c>
      <c r="L695" s="836">
        <f t="shared" si="1140"/>
        <v>0.78794431679956756</v>
      </c>
      <c r="M695" s="992">
        <f t="shared" si="1140"/>
        <v>2.7610408528106998</v>
      </c>
      <c r="N695" s="992">
        <f t="shared" ref="N695:O695" si="1141">N693/N694</f>
        <v>2.6586220319190343</v>
      </c>
      <c r="O695" s="992">
        <f t="shared" si="1141"/>
        <v>0.90452580727180265</v>
      </c>
      <c r="P695" s="992">
        <f t="shared" ref="P695" si="1142">P693/P694</f>
        <v>0.90807174887892383</v>
      </c>
      <c r="Q695" s="2461">
        <f t="shared" ref="Q695" si="1143">Q693/Q694</f>
        <v>0.91175393628707435</v>
      </c>
    </row>
    <row r="696" spans="1:17" x14ac:dyDescent="0.2">
      <c r="A696" s="657"/>
      <c r="B696" s="839"/>
      <c r="C696" s="839"/>
      <c r="D696" s="839"/>
      <c r="E696" s="839"/>
      <c r="F696" s="839"/>
      <c r="G696" s="839"/>
      <c r="H696" s="839"/>
      <c r="I696" s="839"/>
      <c r="J696" s="839"/>
      <c r="K696" s="839"/>
      <c r="L696" s="839"/>
      <c r="M696" s="967"/>
      <c r="N696" s="967"/>
      <c r="O696" s="967"/>
      <c r="P696" s="967"/>
      <c r="Q696" s="2460"/>
    </row>
    <row r="697" spans="1:17" x14ac:dyDescent="0.2">
      <c r="A697" s="841"/>
      <c r="B697" s="1483"/>
      <c r="C697" s="1483"/>
      <c r="D697" s="1483"/>
      <c r="E697" s="1483"/>
      <c r="F697" s="1483"/>
      <c r="G697" s="1483"/>
      <c r="H697" s="1483"/>
      <c r="I697" s="1483"/>
      <c r="J697" s="1483"/>
      <c r="K697" s="1483"/>
      <c r="L697" s="1483"/>
      <c r="M697" s="968"/>
      <c r="N697" s="968"/>
      <c r="O697" s="968"/>
      <c r="P697" s="968"/>
      <c r="Q697" s="2458"/>
    </row>
    <row r="698" spans="1:17" x14ac:dyDescent="0.2">
      <c r="A698" s="823" t="s">
        <v>4265</v>
      </c>
      <c r="B698" s="949"/>
      <c r="C698" s="949"/>
      <c r="D698" s="949"/>
      <c r="E698" s="949"/>
      <c r="F698" s="949"/>
      <c r="G698" s="949"/>
      <c r="H698" s="949"/>
      <c r="I698" s="949"/>
      <c r="J698" s="949"/>
      <c r="K698" s="949"/>
      <c r="L698" s="949"/>
      <c r="M698" s="993"/>
      <c r="N698" s="993"/>
      <c r="O698" s="993"/>
      <c r="P698" s="993"/>
      <c r="Q698" s="2462"/>
    </row>
    <row r="699" spans="1:17" x14ac:dyDescent="0.2">
      <c r="A699" s="763" t="s">
        <v>4303</v>
      </c>
      <c r="B699" s="949">
        <v>9229</v>
      </c>
      <c r="C699" s="949">
        <v>1909</v>
      </c>
      <c r="D699" s="949">
        <v>3381</v>
      </c>
      <c r="E699" s="949">
        <f>'Cap-WW'!CH142/1000</f>
        <v>2062</v>
      </c>
      <c r="F699" s="949">
        <f>'Cap-WW'!CI142/1000</f>
        <v>2111</v>
      </c>
      <c r="G699" s="949">
        <f>'Cap-WW'!CJ142/1000</f>
        <v>7292</v>
      </c>
      <c r="H699" s="949">
        <f>'Cap-WW'!CK142/1000</f>
        <v>6909</v>
      </c>
      <c r="I699" s="949">
        <f>'Cap-WW'!CL142/1000</f>
        <v>4716</v>
      </c>
      <c r="J699" s="949">
        <f>'Cap-WW'!CM142/1000</f>
        <v>2357</v>
      </c>
      <c r="K699" s="949">
        <f>'Cap-WW'!CN142/1000</f>
        <v>4853</v>
      </c>
      <c r="L699" s="949">
        <f>'Cap-WW'!CO142/1000</f>
        <v>4408</v>
      </c>
      <c r="M699" s="993">
        <f>'Cap-WW'!CP142/1000</f>
        <v>991</v>
      </c>
      <c r="N699" s="993">
        <f>'Cap-WW'!CQ142/1000</f>
        <v>5236</v>
      </c>
      <c r="O699" s="993">
        <f>'Cap-WW'!CR142/1000</f>
        <v>1047</v>
      </c>
      <c r="P699" s="993">
        <f>'Cap-WW'!CS142/1000</f>
        <v>1076</v>
      </c>
      <c r="Q699" s="2462">
        <f>'Cap-WW'!CT142/1000</f>
        <v>1076</v>
      </c>
    </row>
    <row r="700" spans="1:17" x14ac:dyDescent="0.2">
      <c r="A700" s="655" t="s">
        <v>3709</v>
      </c>
      <c r="B700" s="949">
        <f t="shared" ref="B700:C700" si="1144">-B574</f>
        <v>2841</v>
      </c>
      <c r="C700" s="949">
        <f t="shared" si="1144"/>
        <v>2643</v>
      </c>
      <c r="D700" s="949">
        <f>-D574-68</f>
        <v>2246.3000000000002</v>
      </c>
      <c r="E700" s="949">
        <f>-E574-53</f>
        <v>3478.9</v>
      </c>
      <c r="F700" s="949">
        <f>-F574-53</f>
        <v>3520.3</v>
      </c>
      <c r="G700" s="949">
        <f>-G574-50</f>
        <v>3725</v>
      </c>
      <c r="H700" s="949">
        <f t="shared" ref="H700:O700" si="1145">-H574-50</f>
        <v>3801</v>
      </c>
      <c r="I700" s="949">
        <f t="shared" si="1145"/>
        <v>3878</v>
      </c>
      <c r="J700" s="949">
        <f t="shared" si="1145"/>
        <v>3957</v>
      </c>
      <c r="K700" s="949">
        <f t="shared" si="1145"/>
        <v>4037</v>
      </c>
      <c r="L700" s="949">
        <f t="shared" si="1145"/>
        <v>4119</v>
      </c>
      <c r="M700" s="993">
        <f t="shared" si="1145"/>
        <v>4202</v>
      </c>
      <c r="N700" s="993">
        <f t="shared" si="1145"/>
        <v>4287</v>
      </c>
      <c r="O700" s="993">
        <f t="shared" si="1145"/>
        <v>4374</v>
      </c>
      <c r="P700" s="993">
        <f t="shared" ref="P700" si="1146">-P574-50</f>
        <v>4462</v>
      </c>
      <c r="Q700" s="2462">
        <f t="shared" ref="Q700" si="1147">-Q574-50</f>
        <v>4552</v>
      </c>
    </row>
    <row r="701" spans="1:17" s="573" customFormat="1" x14ac:dyDescent="0.2">
      <c r="A701" s="823" t="s">
        <v>4266</v>
      </c>
      <c r="B701" s="836">
        <f t="shared" ref="B701:M701" si="1148">B699/B700</f>
        <v>3.2485040478704681</v>
      </c>
      <c r="C701" s="836">
        <f t="shared" si="1148"/>
        <v>0.72228528187665531</v>
      </c>
      <c r="D701" s="836">
        <f t="shared" si="1148"/>
        <v>1.5051417887192271</v>
      </c>
      <c r="E701" s="836">
        <f t="shared" si="1148"/>
        <v>0.59271608841875301</v>
      </c>
      <c r="F701" s="836">
        <f t="shared" si="1148"/>
        <v>0.59966480129534416</v>
      </c>
      <c r="G701" s="836">
        <f t="shared" si="1148"/>
        <v>1.9575838926174496</v>
      </c>
      <c r="H701" s="836">
        <f t="shared" si="1148"/>
        <v>1.8176795580110496</v>
      </c>
      <c r="I701" s="836">
        <f t="shared" si="1148"/>
        <v>1.2160907684373388</v>
      </c>
      <c r="J701" s="836">
        <f t="shared" si="1148"/>
        <v>0.59565327268132429</v>
      </c>
      <c r="K701" s="836">
        <f t="shared" si="1148"/>
        <v>1.2021302947733465</v>
      </c>
      <c r="L701" s="836">
        <f t="shared" si="1148"/>
        <v>1.0701626608400097</v>
      </c>
      <c r="M701" s="992">
        <f t="shared" si="1148"/>
        <v>0.23584007615421229</v>
      </c>
      <c r="N701" s="992">
        <f t="shared" ref="N701:O701" si="1149">N699/N700</f>
        <v>1.2213669232563564</v>
      </c>
      <c r="O701" s="992">
        <f t="shared" si="1149"/>
        <v>0.23936899862825789</v>
      </c>
      <c r="P701" s="992">
        <f t="shared" ref="P701" si="1150">P699/P700</f>
        <v>0.24114746750336172</v>
      </c>
      <c r="Q701" s="2461">
        <f t="shared" ref="Q701" si="1151">Q699/Q700</f>
        <v>0.23637961335676624</v>
      </c>
    </row>
    <row r="702" spans="1:17" x14ac:dyDescent="0.2">
      <c r="A702" s="657"/>
      <c r="B702" s="839"/>
      <c r="C702" s="839"/>
      <c r="D702" s="839"/>
      <c r="E702" s="839"/>
      <c r="F702" s="839"/>
      <c r="G702" s="839"/>
      <c r="H702" s="839"/>
      <c r="I702" s="839"/>
      <c r="J702" s="839"/>
      <c r="K702" s="839"/>
      <c r="L702" s="839"/>
      <c r="M702" s="967"/>
      <c r="N702" s="967"/>
      <c r="O702" s="967"/>
      <c r="P702" s="967"/>
      <c r="Q702" s="2460"/>
    </row>
    <row r="703" spans="1:17" x14ac:dyDescent="0.2">
      <c r="A703" s="841"/>
      <c r="B703" s="1483"/>
      <c r="C703" s="1483"/>
      <c r="D703" s="1483"/>
      <c r="E703" s="1483"/>
      <c r="F703" s="1483"/>
      <c r="G703" s="1483"/>
      <c r="H703" s="1483"/>
      <c r="I703" s="1483"/>
      <c r="J703" s="1483"/>
      <c r="K703" s="1483"/>
      <c r="L703" s="1483"/>
      <c r="M703" s="968"/>
      <c r="N703" s="968"/>
      <c r="O703" s="968"/>
      <c r="P703" s="968"/>
      <c r="Q703" s="2458"/>
    </row>
    <row r="704" spans="1:17" x14ac:dyDescent="0.2">
      <c r="A704" s="823" t="s">
        <v>4304</v>
      </c>
      <c r="B704" s="949"/>
      <c r="C704" s="949"/>
      <c r="D704" s="949"/>
      <c r="E704" s="949"/>
      <c r="F704" s="949"/>
      <c r="G704" s="949"/>
      <c r="H704" s="949"/>
      <c r="I704" s="949"/>
      <c r="J704" s="949"/>
      <c r="K704" s="949"/>
      <c r="L704" s="949"/>
      <c r="M704" s="993"/>
      <c r="N704" s="993"/>
      <c r="O704" s="993"/>
      <c r="P704" s="993"/>
      <c r="Q704" s="2462"/>
    </row>
    <row r="705" spans="1:17" x14ac:dyDescent="0.2">
      <c r="A705" s="763" t="s">
        <v>4305</v>
      </c>
      <c r="B705" s="949">
        <f>12355</f>
        <v>12355</v>
      </c>
      <c r="C705" s="949">
        <v>1474</v>
      </c>
      <c r="D705" s="949">
        <v>2911</v>
      </c>
      <c r="E705" s="949">
        <f>D705*Assumptions!F5+D705*0.99</f>
        <v>2951.7539999999999</v>
      </c>
      <c r="F705" s="949">
        <f>E705*Assumptions!G5+E705*0.99</f>
        <v>2981.2715400000002</v>
      </c>
      <c r="G705" s="949">
        <f>F705*Assumptions!H5+F705*0.99</f>
        <v>2996.1778977000004</v>
      </c>
      <c r="H705" s="949">
        <f>G705*Assumptions!I5+G705*0.99</f>
        <v>3035.1282103701005</v>
      </c>
      <c r="I705" s="949">
        <f>H705*Assumptions!J5+H705*0.99</f>
        <v>3080.6551335256518</v>
      </c>
      <c r="J705" s="949">
        <f>I705*Assumptions!K5+I705*0.99</f>
        <v>3126.8649605285364</v>
      </c>
      <c r="K705" s="949">
        <f>J705*Assumptions!L5+J705*0.99</f>
        <v>3173.7679349364644</v>
      </c>
      <c r="L705" s="949">
        <f>K705*Assumptions!M5+K705*0.99</f>
        <v>3221.3744539605113</v>
      </c>
      <c r="M705" s="949">
        <f>L705*Assumptions!N5+L705*0.99</f>
        <v>3269.6950707699189</v>
      </c>
      <c r="N705" s="993">
        <f>M705*Assumptions!O5+M705*0.99</f>
        <v>3318.7404968314677</v>
      </c>
      <c r="O705" s="993">
        <f>N705*Assumptions!P5+N705*0.99</f>
        <v>3368.5216042839397</v>
      </c>
      <c r="P705" s="993">
        <f>O705*Assumptions!Q5+O705*0.99</f>
        <v>3419.0494283481989</v>
      </c>
      <c r="Q705" s="2462">
        <f>P705*Assumptions!R5+P705*0.99</f>
        <v>3470.335169773422</v>
      </c>
    </row>
    <row r="706" spans="1:17" x14ac:dyDescent="0.2">
      <c r="A706" s="655" t="s">
        <v>4306</v>
      </c>
      <c r="B706" s="949">
        <f>826621-191302-104734</f>
        <v>530585</v>
      </c>
      <c r="C706" s="949">
        <v>549669</v>
      </c>
      <c r="D706" s="949">
        <v>629359</v>
      </c>
      <c r="E706" s="949">
        <f>D706*Assumptions!F5+D706</f>
        <v>644463.61600000004</v>
      </c>
      <c r="F706" s="949">
        <f>E706*Assumptions!G5+E706</f>
        <v>657352.88832000003</v>
      </c>
      <c r="G706" s="949">
        <f>F706*Assumptions!H5+F706</f>
        <v>667213.1816448</v>
      </c>
      <c r="H706" s="949">
        <f>G706*Assumptions!I5+G706</f>
        <v>682559.08482263039</v>
      </c>
      <c r="I706" s="949">
        <f>H706*Assumptions!J5+H706</f>
        <v>699623.06194319611</v>
      </c>
      <c r="J706" s="949">
        <f>I706*Assumptions!K5+I706</f>
        <v>717113.63849177596</v>
      </c>
      <c r="K706" s="949">
        <f>J706*Assumptions!L5+J706</f>
        <v>735041.47945407033</v>
      </c>
      <c r="L706" s="949">
        <f>K706*Assumptions!M5+K706</f>
        <v>753417.51644042204</v>
      </c>
      <c r="M706" s="949">
        <f>L706*Assumptions!N5+L706</f>
        <v>772252.95435143262</v>
      </c>
      <c r="N706" s="993">
        <f>M706*Assumptions!O5+M706</f>
        <v>791559.27821021841</v>
      </c>
      <c r="O706" s="993">
        <f>N706*Assumptions!P5+N706</f>
        <v>811348.26016547391</v>
      </c>
      <c r="P706" s="993">
        <f>O706*Assumptions!Q5+O706</f>
        <v>831631.9666696107</v>
      </c>
      <c r="Q706" s="2462">
        <f>P706*Assumptions!R5+P706</f>
        <v>852422.76583635097</v>
      </c>
    </row>
    <row r="707" spans="1:17" s="573" customFormat="1" x14ac:dyDescent="0.2">
      <c r="A707" s="823" t="s">
        <v>4304</v>
      </c>
      <c r="B707" s="950">
        <f t="shared" ref="B707:M707" si="1152">IF(B705=0,0,B705/B706)</f>
        <v>2.3285618703883449E-2</v>
      </c>
      <c r="C707" s="950">
        <f t="shared" si="1152"/>
        <v>2.6816138439679153E-3</v>
      </c>
      <c r="D707" s="950">
        <f t="shared" si="1152"/>
        <v>4.6253410215790986E-3</v>
      </c>
      <c r="E707" s="950">
        <f t="shared" si="1152"/>
        <v>4.58017167566524E-3</v>
      </c>
      <c r="F707" s="950">
        <f t="shared" si="1152"/>
        <v>4.5352680317861695E-3</v>
      </c>
      <c r="G707" s="950">
        <f t="shared" si="1152"/>
        <v>4.4905855881232516E-3</v>
      </c>
      <c r="H707" s="950">
        <f t="shared" si="1152"/>
        <v>4.4466893458151068E-3</v>
      </c>
      <c r="I707" s="950">
        <f t="shared" si="1152"/>
        <v>4.4033070107339835E-3</v>
      </c>
      <c r="J707" s="950">
        <f t="shared" si="1152"/>
        <v>4.3603479179463358E-3</v>
      </c>
      <c r="K707" s="950">
        <f t="shared" si="1152"/>
        <v>4.3178079382590545E-3</v>
      </c>
      <c r="L707" s="950">
        <f t="shared" si="1152"/>
        <v>4.2756829827638445E-3</v>
      </c>
      <c r="M707" s="994">
        <f t="shared" si="1152"/>
        <v>4.2339690024441965E-3</v>
      </c>
      <c r="N707" s="994">
        <f t="shared" ref="N707:O707" si="1153">IF(N705=0,0,N705/N706)</f>
        <v>4.1926619877862047E-3</v>
      </c>
      <c r="O707" s="994">
        <f t="shared" si="1153"/>
        <v>4.1517579683931684E-3</v>
      </c>
      <c r="P707" s="994">
        <f t="shared" ref="P707" si="1154">IF(P705=0,0,P705/P706)</f>
        <v>4.111253012603967E-3</v>
      </c>
      <c r="Q707" s="2463">
        <f t="shared" ref="Q707" si="1155">IF(Q705=0,0,Q705/Q706)</f>
        <v>4.071143227115148E-3</v>
      </c>
    </row>
    <row r="708" spans="1:17" ht="13.5" thickBot="1" x14ac:dyDescent="0.25">
      <c r="A708" s="1719"/>
      <c r="B708" s="1282"/>
      <c r="C708" s="1282"/>
      <c r="D708" s="1282"/>
      <c r="E708" s="1282"/>
      <c r="F708" s="1282"/>
      <c r="G708" s="1282"/>
      <c r="H708" s="1282"/>
      <c r="I708" s="1282"/>
      <c r="J708" s="1282"/>
      <c r="K708" s="1282"/>
      <c r="L708" s="1282"/>
      <c r="M708" s="1732"/>
      <c r="N708" s="1732"/>
      <c r="O708" s="1732"/>
      <c r="P708" s="1732"/>
      <c r="Q708" s="2464"/>
    </row>
    <row r="709" spans="1:17" ht="17.25" thickTop="1" thickBot="1" x14ac:dyDescent="0.3">
      <c r="A709" s="2570" t="s">
        <v>5039</v>
      </c>
      <c r="B709" s="2571"/>
      <c r="C709" s="2571"/>
      <c r="D709" s="2571"/>
      <c r="E709" s="2571"/>
      <c r="F709" s="2571"/>
      <c r="G709" s="2571"/>
      <c r="H709" s="2571"/>
      <c r="I709" s="2571"/>
      <c r="J709" s="2571"/>
      <c r="K709" s="2571"/>
      <c r="L709" s="2571"/>
      <c r="M709" s="2571"/>
      <c r="N709" s="2571"/>
      <c r="O709" s="2571"/>
      <c r="P709" s="2571"/>
      <c r="Q709" s="2572"/>
    </row>
    <row r="710" spans="1:17" s="726" customFormat="1" ht="13.5" thickBot="1" x14ac:dyDescent="0.25">
      <c r="A710" s="837" t="s">
        <v>228</v>
      </c>
      <c r="B710" s="565" t="str">
        <f t="shared" ref="B710:Q710" si="1156">B$43</f>
        <v>2012/13</v>
      </c>
      <c r="C710" s="565" t="str">
        <f t="shared" si="1156"/>
        <v>2013/14</v>
      </c>
      <c r="D710" s="565" t="str">
        <f t="shared" si="1156"/>
        <v>2014/15</v>
      </c>
      <c r="E710" s="565" t="str">
        <f t="shared" si="1156"/>
        <v>2015/16</v>
      </c>
      <c r="F710" s="565" t="str">
        <f t="shared" si="1156"/>
        <v>2016/17</v>
      </c>
      <c r="G710" s="565" t="str">
        <f t="shared" si="1156"/>
        <v>2017/18</v>
      </c>
      <c r="H710" s="565" t="str">
        <f t="shared" si="1156"/>
        <v>2018/19</v>
      </c>
      <c r="I710" s="565" t="str">
        <f t="shared" si="1156"/>
        <v>2019/20</v>
      </c>
      <c r="J710" s="565" t="str">
        <f t="shared" si="1156"/>
        <v>2020/21</v>
      </c>
      <c r="K710" s="565" t="str">
        <f t="shared" si="1156"/>
        <v>2021/22</v>
      </c>
      <c r="L710" s="565" t="str">
        <f t="shared" si="1156"/>
        <v>2022/23</v>
      </c>
      <c r="M710" s="966" t="str">
        <f t="shared" si="1156"/>
        <v>2023/24</v>
      </c>
      <c r="N710" s="966" t="str">
        <f t="shared" si="1156"/>
        <v>2024/25</v>
      </c>
      <c r="O710" s="966" t="str">
        <f t="shared" si="1156"/>
        <v>2025/26</v>
      </c>
      <c r="P710" s="966" t="str">
        <f t="shared" si="1156"/>
        <v>2026/27</v>
      </c>
      <c r="Q710" s="2445" t="str">
        <f t="shared" si="1156"/>
        <v>2027/28</v>
      </c>
    </row>
    <row r="711" spans="1:17" x14ac:dyDescent="0.2">
      <c r="A711" s="823" t="s">
        <v>4674</v>
      </c>
      <c r="B711" s="547"/>
      <c r="C711" s="547"/>
      <c r="D711" s="547"/>
      <c r="E711" s="547"/>
      <c r="F711" s="547"/>
      <c r="G711" s="547"/>
      <c r="H711" s="547"/>
      <c r="I711" s="547"/>
      <c r="J711" s="547"/>
      <c r="K711" s="547"/>
      <c r="L711" s="547"/>
      <c r="M711" s="549"/>
      <c r="N711" s="549"/>
      <c r="O711" s="549"/>
      <c r="P711" s="549"/>
      <c r="Q711" s="835"/>
    </row>
    <row r="712" spans="1:17" s="726" customFormat="1" x14ac:dyDescent="0.2">
      <c r="A712" s="823" t="s">
        <v>1649</v>
      </c>
      <c r="B712" s="659"/>
      <c r="C712" s="659"/>
      <c r="D712" s="659"/>
      <c r="E712" s="659"/>
      <c r="F712" s="659"/>
      <c r="G712" s="659"/>
      <c r="H712" s="659"/>
      <c r="I712" s="659"/>
      <c r="J712" s="659"/>
      <c r="K712" s="659"/>
      <c r="L712" s="659"/>
      <c r="M712" s="679"/>
      <c r="N712" s="679"/>
      <c r="O712" s="679"/>
      <c r="P712" s="679"/>
      <c r="Q712" s="660"/>
    </row>
    <row r="713" spans="1:17" s="726" customFormat="1" x14ac:dyDescent="0.2">
      <c r="A713" s="823" t="s">
        <v>3194</v>
      </c>
      <c r="B713" s="659"/>
      <c r="C713" s="659"/>
      <c r="D713" s="659"/>
      <c r="E713" s="659"/>
      <c r="F713" s="659"/>
      <c r="G713" s="659"/>
      <c r="H713" s="659"/>
      <c r="I713" s="659"/>
      <c r="J713" s="659"/>
      <c r="K713" s="659"/>
      <c r="L713" s="659"/>
      <c r="M713" s="679"/>
      <c r="N713" s="679"/>
      <c r="O713" s="679"/>
      <c r="P713" s="679"/>
      <c r="Q713" s="660"/>
    </row>
    <row r="714" spans="1:17" s="726" customFormat="1" x14ac:dyDescent="0.2">
      <c r="A714" s="655" t="s">
        <v>3489</v>
      </c>
      <c r="B714" s="659"/>
      <c r="C714" s="659"/>
      <c r="D714" s="659"/>
      <c r="E714" s="659"/>
      <c r="F714" s="659"/>
      <c r="G714" s="659"/>
      <c r="H714" s="659"/>
      <c r="I714" s="659"/>
      <c r="J714" s="659"/>
      <c r="K714" s="659"/>
      <c r="L714" s="659"/>
      <c r="M714" s="679"/>
      <c r="N714" s="679"/>
      <c r="O714" s="679"/>
      <c r="P714" s="679"/>
      <c r="Q714" s="660"/>
    </row>
    <row r="715" spans="1:17" s="726" customFormat="1" x14ac:dyDescent="0.2">
      <c r="A715" s="655" t="s">
        <v>3483</v>
      </c>
      <c r="B715" s="659"/>
      <c r="C715" s="659"/>
      <c r="D715" s="659"/>
      <c r="E715" s="659"/>
      <c r="F715" s="659"/>
      <c r="G715" s="659"/>
      <c r="H715" s="659"/>
      <c r="I715" s="659"/>
      <c r="J715" s="659"/>
      <c r="K715" s="659"/>
      <c r="L715" s="659"/>
      <c r="M715" s="679"/>
      <c r="N715" s="679"/>
      <c r="O715" s="679"/>
      <c r="P715" s="679"/>
      <c r="Q715" s="660"/>
    </row>
    <row r="716" spans="1:17" s="726" customFormat="1" x14ac:dyDescent="0.2">
      <c r="A716" s="655" t="s">
        <v>2871</v>
      </c>
      <c r="B716" s="659"/>
      <c r="C716" s="659"/>
      <c r="D716" s="659"/>
      <c r="E716" s="659"/>
      <c r="F716" s="659"/>
      <c r="G716" s="659"/>
      <c r="H716" s="659"/>
      <c r="I716" s="659"/>
      <c r="J716" s="659"/>
      <c r="K716" s="659"/>
      <c r="L716" s="659"/>
      <c r="M716" s="679"/>
      <c r="N716" s="679"/>
      <c r="O716" s="679"/>
      <c r="P716" s="679"/>
      <c r="Q716" s="660"/>
    </row>
    <row r="717" spans="1:17" s="726" customFormat="1" x14ac:dyDescent="0.2">
      <c r="A717" s="655" t="s">
        <v>384</v>
      </c>
      <c r="B717" s="659">
        <f>(SP!A738+SP!A753)/1000</f>
        <v>117</v>
      </c>
      <c r="C717" s="659">
        <f>(SP!B738+SP!B753)/1000</f>
        <v>135.9</v>
      </c>
      <c r="D717" s="659">
        <f>(SP!C738+SP!C753)/1000</f>
        <v>77.7</v>
      </c>
      <c r="E717" s="659">
        <f>(SP!D738+SP!D753)/1000</f>
        <v>28.1</v>
      </c>
      <c r="F717" s="659">
        <f>(SP!E738+SP!E753)/1000</f>
        <v>21.3</v>
      </c>
      <c r="G717" s="659">
        <f>(SP!H738+SP!H753)/1000</f>
        <v>10</v>
      </c>
      <c r="H717" s="659">
        <f>(SP!J738+SP!J753)/1000</f>
        <v>30</v>
      </c>
      <c r="I717" s="659">
        <f>(SP!K738+SP!K753)/1000</f>
        <v>30.8</v>
      </c>
      <c r="J717" s="659">
        <f>(SP!L738+SP!L753)/1000</f>
        <v>31.6</v>
      </c>
      <c r="K717" s="659">
        <f>(SP!M738+SP!M753)/1000</f>
        <v>32.4</v>
      </c>
      <c r="L717" s="659">
        <f>(SP!N738+SP!N753)/1000</f>
        <v>33.4</v>
      </c>
      <c r="M717" s="659">
        <f>(SP!O738+SP!O753)/1000</f>
        <v>34.4</v>
      </c>
      <c r="N717" s="679">
        <f>(SP!P738+SP!P753)/1000</f>
        <v>35.4</v>
      </c>
      <c r="O717" s="679">
        <f>(SP!Q738+SP!Q753)/1000</f>
        <v>36.4</v>
      </c>
      <c r="P717" s="679">
        <f>(SP!R738+SP!R753)/1000</f>
        <v>37.4</v>
      </c>
      <c r="Q717" s="660">
        <f>(SP!S738+SP!S753)/1000</f>
        <v>38.4</v>
      </c>
    </row>
    <row r="718" spans="1:17" s="726" customFormat="1" x14ac:dyDescent="0.2">
      <c r="A718" s="655" t="s">
        <v>3246</v>
      </c>
      <c r="B718" s="659"/>
      <c r="C718" s="659"/>
      <c r="D718" s="659"/>
      <c r="E718" s="659"/>
      <c r="F718" s="659"/>
      <c r="G718" s="659"/>
      <c r="H718" s="659"/>
      <c r="I718" s="659"/>
      <c r="J718" s="659"/>
      <c r="K718" s="659"/>
      <c r="L718" s="659"/>
      <c r="M718" s="679"/>
      <c r="N718" s="679"/>
      <c r="O718" s="679"/>
      <c r="P718" s="679"/>
      <c r="Q718" s="660"/>
    </row>
    <row r="719" spans="1:17" s="726" customFormat="1" x14ac:dyDescent="0.2">
      <c r="A719" s="823" t="s">
        <v>3299</v>
      </c>
      <c r="B719" s="659"/>
      <c r="C719" s="659"/>
      <c r="D719" s="659"/>
      <c r="E719" s="659"/>
      <c r="F719" s="659"/>
      <c r="G719" s="659"/>
      <c r="H719" s="659"/>
      <c r="I719" s="659"/>
      <c r="J719" s="659"/>
      <c r="K719" s="659"/>
      <c r="L719" s="659"/>
      <c r="M719" s="679"/>
      <c r="N719" s="679"/>
      <c r="O719" s="679"/>
      <c r="P719" s="679"/>
      <c r="Q719" s="660"/>
    </row>
    <row r="720" spans="1:17" s="726" customFormat="1" x14ac:dyDescent="0.2">
      <c r="A720" s="655" t="s">
        <v>3132</v>
      </c>
      <c r="B720" s="659"/>
      <c r="C720" s="659"/>
      <c r="D720" s="659"/>
      <c r="E720" s="659"/>
      <c r="F720" s="659"/>
      <c r="G720" s="659"/>
      <c r="H720" s="659"/>
      <c r="I720" s="659"/>
      <c r="J720" s="659"/>
      <c r="K720" s="659"/>
      <c r="L720" s="659"/>
      <c r="M720" s="679"/>
      <c r="N720" s="679"/>
      <c r="O720" s="679"/>
      <c r="P720" s="679"/>
      <c r="Q720" s="660"/>
    </row>
    <row r="721" spans="1:17" s="726" customFormat="1" x14ac:dyDescent="0.2">
      <c r="A721" s="655" t="s">
        <v>2661</v>
      </c>
      <c r="B721" s="659"/>
      <c r="C721" s="659"/>
      <c r="D721" s="659"/>
      <c r="E721" s="659"/>
      <c r="F721" s="659"/>
      <c r="G721" s="659"/>
      <c r="H721" s="659"/>
      <c r="I721" s="659"/>
      <c r="J721" s="659"/>
      <c r="K721" s="659"/>
      <c r="L721" s="659"/>
      <c r="M721" s="679"/>
      <c r="N721" s="679"/>
      <c r="O721" s="679"/>
      <c r="P721" s="679"/>
      <c r="Q721" s="660"/>
    </row>
    <row r="722" spans="1:17" s="726" customFormat="1" x14ac:dyDescent="0.2">
      <c r="A722" s="823" t="s">
        <v>139</v>
      </c>
      <c r="B722" s="659"/>
      <c r="C722" s="659"/>
      <c r="D722" s="659"/>
      <c r="E722" s="659"/>
      <c r="F722" s="659"/>
      <c r="G722" s="659"/>
      <c r="H722" s="659"/>
      <c r="I722" s="659"/>
      <c r="J722" s="659"/>
      <c r="K722" s="659"/>
      <c r="L722" s="659"/>
      <c r="M722" s="679"/>
      <c r="N722" s="679"/>
      <c r="O722" s="679"/>
      <c r="P722" s="679"/>
      <c r="Q722" s="660"/>
    </row>
    <row r="723" spans="1:17" s="726" customFormat="1" x14ac:dyDescent="0.2">
      <c r="A723" s="655" t="s">
        <v>563</v>
      </c>
      <c r="B723" s="659"/>
      <c r="C723" s="659"/>
      <c r="D723" s="659"/>
      <c r="E723" s="659"/>
      <c r="F723" s="659"/>
      <c r="G723" s="659"/>
      <c r="H723" s="659"/>
      <c r="I723" s="659"/>
      <c r="J723" s="659"/>
      <c r="K723" s="659"/>
      <c r="L723" s="659"/>
      <c r="M723" s="679"/>
      <c r="N723" s="679"/>
      <c r="O723" s="679"/>
      <c r="P723" s="679"/>
      <c r="Q723" s="660"/>
    </row>
    <row r="724" spans="1:17" s="726" customFormat="1" x14ac:dyDescent="0.2">
      <c r="A724" s="655" t="s">
        <v>3788</v>
      </c>
      <c r="B724" s="659">
        <f>(SUM(CIV!A888:A906)+CIV!A910+CIV!A912+CIV!A916+CIV!A922+CIV!A924+CIV!A927+CIV!A928+CIV!A929+CIV!A931+CIV!A833+CIV!A835+CIV!A834+CIV!A849+CIV!A850+CIV!A859+CIV!A860)/1000</f>
        <v>604</v>
      </c>
      <c r="C724" s="659">
        <f>(SUM(CIV!B888:B906)+CIV!B910+CIV!B912+CIV!B916+CIV!B922+CIV!B924+CIV!B927+CIV!B928+CIV!B929+CIV!B931+CIV!B833+CIV!B835+CIV!B834+CIV!B849+CIV!B850+CIV!B859+CIV!B860)/1000</f>
        <v>594.1</v>
      </c>
      <c r="D724" s="659">
        <f>(SUM(CIV!C888:C906)+CIV!C910+CIV!C912+CIV!C916+CIV!C922+CIV!C924+CIV!C927+CIV!C928+CIV!C929+CIV!C931+CIV!C833+CIV!C835+CIV!C834+CIV!C849+CIV!C850+CIV!C859+CIV!C860)/1000</f>
        <v>607.29999999999995</v>
      </c>
      <c r="E724" s="659">
        <f>(SUM(CIV!D888:D906)+CIV!D910+CIV!D912+CIV!D916+CIV!D922+CIV!D924+CIV!D927+CIV!D928+CIV!D929+CIV!D931+CIV!D833+CIV!D835+CIV!D834+CIV!D849+CIV!D850+CIV!D859+CIV!D860)/1000</f>
        <v>776.5</v>
      </c>
      <c r="F724" s="659">
        <f>(SUM(CIV!E888:G906)+CIV!E910+CIV!E912+CIV!E916+CIV!E922+CIV!E924+CIV!E927+CIV!E928+CIV!E929+CIV!E931+CIV!E833+CIV!E835+CIV!E834+CIV!E849+CIV!E850+CIV!E859+CIV!E860)/1000</f>
        <v>692.9</v>
      </c>
      <c r="G724" s="659">
        <f>(SUM(CIV!H888:H906)+CIV!H910+CIV!H912+CIV!H916+CIV!H922+CIV!H924+CIV!H927+CIV!H928+CIV!H929+CIV!H931+CIV!H833+CIV!H835+CIV!H834+CIV!H849+CIV!H850+CIV!H859+CIV!H860)/1000</f>
        <v>666.7</v>
      </c>
      <c r="H724" s="659">
        <f>(SUM(CIV!J888:J906)+CIV!J910+CIV!J912+CIV!J916+CIV!J922+CIV!J924+CIV!J927+CIV!J928+CIV!J929+CIV!J931+CIV!J833+CIV!J835+CIV!J834+CIV!J849+CIV!J850+CIV!J859+CIV!J860)/1000</f>
        <v>763.9</v>
      </c>
      <c r="I724" s="659">
        <f>(SUM(CIV!K888:K906)+CIV!K910+CIV!K912+CIV!K916+CIV!K922+CIV!K924+CIV!K927+CIV!K928+CIV!K929+CIV!K931+CIV!K833+CIV!K835+CIV!K834+CIV!K849+CIV!K850+CIV!K859+CIV!K860)/1000</f>
        <v>803.7</v>
      </c>
      <c r="J724" s="659">
        <f>(SUM(CIV!L888:L906)+CIV!L910+CIV!L912+CIV!L916+CIV!L922+CIV!L924+CIV!L927+CIV!L928+CIV!L929+CIV!L931+CIV!L833+CIV!L835+CIV!L834+CIV!L849+CIV!L850+CIV!L859+CIV!L860)/1000</f>
        <v>825.4</v>
      </c>
      <c r="K724" s="659">
        <f>(SUM(CIV!M888:M906)+CIV!M910+CIV!M912+CIV!M916+CIV!M922+CIV!M924+CIV!M927+CIV!M928+CIV!M929+CIV!M931+CIV!M833+CIV!M835+CIV!M834+CIV!M849+CIV!M850+CIV!M859+CIV!M860)/1000</f>
        <v>847.7</v>
      </c>
      <c r="L724" s="659">
        <f>(SUM(CIV!N888:N906)+CIV!N910+CIV!N912+CIV!N916+CIV!N922+CIV!N924+CIV!N927+CIV!N928+CIV!N929+CIV!N931+CIV!N833+CIV!N835+CIV!N834+CIV!N849+CIV!N850+CIV!N859+CIV!N860)/1000</f>
        <v>870.4</v>
      </c>
      <c r="M724" s="659">
        <f>(SUM(CIV!O888:O906)+CIV!O910+CIV!O912+CIV!O916+CIV!O922+CIV!O924+CIV!O927+CIV!O928+CIV!O929+CIV!O931+CIV!O833+CIV!O835+CIV!O834+CIV!O849+CIV!O850+CIV!O859+CIV!O860)/1000</f>
        <v>893.5</v>
      </c>
      <c r="N724" s="679">
        <f>(SUM(CIV!P888:P906)+CIV!P910+CIV!P912+CIV!P916+CIV!P922+CIV!P924+CIV!P927+CIV!P928+CIV!P929+CIV!P931+CIV!P833+CIV!P835+CIV!P834+CIV!P849+CIV!P850+CIV!P859+CIV!P860)/1000</f>
        <v>917.2</v>
      </c>
      <c r="O724" s="679">
        <f>(SUM(CIV!Q888:Q906)+CIV!Q910+CIV!Q912+CIV!Q916+CIV!Q922+CIV!Q924+CIV!Q927+CIV!Q928+CIV!Q929+CIV!Q931+CIV!Q833+CIV!Q835+CIV!Q834+CIV!Q849+CIV!Q850+CIV!Q859+CIV!Q860)/1000</f>
        <v>941.6</v>
      </c>
      <c r="P724" s="679">
        <f>(SUM(CIV!R888:R906)+CIV!R910+CIV!R912+CIV!R916+CIV!R922+CIV!R924+CIV!R927+CIV!R928+CIV!R929+CIV!R931+CIV!R833+CIV!R835+CIV!R834+CIV!R849+CIV!R850+CIV!R859+CIV!R860)/1000</f>
        <v>966.5</v>
      </c>
      <c r="Q724" s="660">
        <f>(SUM(CIV!S888:S906)+CIV!S910+CIV!S912+CIV!S916+CIV!S922+CIV!S924+CIV!S927+CIV!S928+CIV!S929+CIV!S931+CIV!S833+CIV!S835+CIV!S834+CIV!S849+CIV!S850+CIV!S859+CIV!S860)/1000</f>
        <v>992.2</v>
      </c>
    </row>
    <row r="725" spans="1:17" s="726" customFormat="1" x14ac:dyDescent="0.2">
      <c r="A725" s="655" t="s">
        <v>1241</v>
      </c>
      <c r="B725" s="659">
        <f>(CIV!A975+CIV!A976+CIV!A977+CIV!A978+CIV!A979+CIV!A980+CIV!A981+CIV!A997+CIV!A998+CIV!A992)/1000</f>
        <v>411.2</v>
      </c>
      <c r="C725" s="659">
        <f>(CIV!B975+CIV!B976+CIV!B977+CIV!B978+CIV!B979+CIV!B980+CIV!B981+CIV!B997+CIV!B998+CIV!B992)/1000</f>
        <v>318.3</v>
      </c>
      <c r="D725" s="659">
        <f>(CIV!C975+CIV!C976+CIV!C992+CIV!C997)/1000</f>
        <v>361</v>
      </c>
      <c r="E725" s="659">
        <f>(CIV!D975+CIV!D976+CIV!D992+CIV!D997)/1000</f>
        <v>314.60000000000002</v>
      </c>
      <c r="F725" s="659">
        <f>(CIV!E975+CIV!E976+CIV!E992+CIV!E997)/1000</f>
        <v>218.1</v>
      </c>
      <c r="G725" s="659">
        <f>(CIV!H975+CIV!H976+CIV!H992+CIV!H997)/1000</f>
        <v>305.5</v>
      </c>
      <c r="H725" s="659">
        <f>(CIV!J975+CIV!J976+CIV!J992+CIV!J997)/1000</f>
        <v>312.7</v>
      </c>
      <c r="I725" s="659">
        <f>(CIV!K975+CIV!K976+CIV!K992+CIV!K997)/1000</f>
        <v>320.7</v>
      </c>
      <c r="J725" s="659">
        <f>(CIV!L975+CIV!L976+CIV!L992+CIV!L997)/1000</f>
        <v>328.9</v>
      </c>
      <c r="K725" s="659">
        <f>(CIV!M975+CIV!M976+CIV!M992+CIV!M997)/1000</f>
        <v>337.3</v>
      </c>
      <c r="L725" s="659">
        <f>(CIV!N975+CIV!N976+CIV!N992+CIV!N997)/1000</f>
        <v>345.9</v>
      </c>
      <c r="M725" s="659">
        <f>(CIV!O975+CIV!O976+CIV!O992+CIV!O997)/1000</f>
        <v>354.8</v>
      </c>
      <c r="N725" s="679">
        <f>(CIV!P975+CIV!P976+CIV!P992+CIV!P997)/1000</f>
        <v>363.9</v>
      </c>
      <c r="O725" s="679">
        <f>(CIV!Q975+CIV!Q976+CIV!Q992+CIV!Q997)/1000</f>
        <v>373.1</v>
      </c>
      <c r="P725" s="679">
        <f>(CIV!R975+CIV!R976+CIV!R992+CIV!R997)/1000</f>
        <v>382.6</v>
      </c>
      <c r="Q725" s="660">
        <f>(CIV!S975+CIV!S976+CIV!S992+CIV!S997)/1000</f>
        <v>392.4</v>
      </c>
    </row>
    <row r="726" spans="1:17" s="726" customFormat="1" x14ac:dyDescent="0.2">
      <c r="A726" s="655" t="s">
        <v>717</v>
      </c>
      <c r="B726" s="659">
        <f>SUM(CIV!A1039:A1057)/1000</f>
        <v>3419</v>
      </c>
      <c r="C726" s="659">
        <f>SUM(CIV!B1039:B1057)/1000</f>
        <v>2656.8</v>
      </c>
      <c r="D726" s="659">
        <f>(CIV!C1040+CIV!C1041+CIV!C1044+CIV!C1048+CIV!C1050++CIV!C1055+CIV!C1057+330000)/1000</f>
        <v>1977.1</v>
      </c>
      <c r="E726" s="659">
        <f>(CIV!D1040+CIV!D1041+CIV!D1044+CIV!D1048+CIV!D1050++CIV!D1055+CIV!D1057+335000)/1000</f>
        <v>2053.1</v>
      </c>
      <c r="F726" s="659">
        <f>(CIV!E1040+CIV!E1041+CIV!E1044+CIV!E1048+CIV!E1050++CIV!E1055+CIV!E1057+340000)/1000</f>
        <v>1966.4</v>
      </c>
      <c r="G726" s="659">
        <f>(CIV!H1040+CIV!H1041+CIV!H1044+CIV!H1048+CIV!H1050++CIV!H1055+CIV!H1057+345000)/1000</f>
        <v>2046</v>
      </c>
      <c r="H726" s="659">
        <f>(CIV!J1040+CIV!J1041+CIV!J1044+CIV!J1048+CIV!J1050++CIV!J1055+CIV!J1057+345000)/1000</f>
        <v>2085.5</v>
      </c>
      <c r="I726" s="659">
        <f>(CIV!K1040+CIV!K1041+CIV!K1044+CIV!K1048+CIV!K1050++CIV!K1055+CIV!K1057+345000)/1000</f>
        <v>2129.1999999999998</v>
      </c>
      <c r="J726" s="659">
        <f>(CIV!L1040+CIV!L1041+CIV!L1044+CIV!L1048+CIV!L1050++CIV!L1055+CIV!L1057+345000)/1000</f>
        <v>2174</v>
      </c>
      <c r="K726" s="659">
        <f>(CIV!M1040+CIV!M1041+CIV!M1044+CIV!M1048+CIV!M1050++CIV!M1055+CIV!M1057+345000)/1000</f>
        <v>2220</v>
      </c>
      <c r="L726" s="659">
        <f>(CIV!N1040+CIV!N1041+CIV!N1044+CIV!N1048+CIV!N1050++CIV!N1055+CIV!N1057+345000)/1000</f>
        <v>2267.3000000000002</v>
      </c>
      <c r="M726" s="659">
        <f>(CIV!O1040+CIV!O1041+CIV!O1044+CIV!O1048+CIV!O1050++CIV!O1055+CIV!O1057+345000)/1000</f>
        <v>2315.8000000000002</v>
      </c>
      <c r="N726" s="679">
        <f>(CIV!P1040+CIV!P1041+CIV!P1044+CIV!P1048+CIV!P1050++CIV!P1055+CIV!P1057+345000)/1000</f>
        <v>2365.3000000000002</v>
      </c>
      <c r="O726" s="679">
        <f>(CIV!Q1040+CIV!Q1041+CIV!Q1044+CIV!Q1048+CIV!Q1050++CIV!Q1055+CIV!Q1057+345000)/1000</f>
        <v>2416.1999999999998</v>
      </c>
      <c r="P726" s="679">
        <f>(CIV!R1040+CIV!R1041+CIV!R1044+CIV!R1048+CIV!R1050++CIV!R1055+CIV!R1057+345000)/1000</f>
        <v>2468.3000000000002</v>
      </c>
      <c r="Q726" s="660">
        <f>(CIV!S1040+CIV!S1041+CIV!S1044+CIV!S1048+CIV!S1050++CIV!S1055+CIV!S1057+345000)/1000</f>
        <v>2521.6</v>
      </c>
    </row>
    <row r="727" spans="1:17" s="726" customFormat="1" x14ac:dyDescent="0.2">
      <c r="A727" s="655" t="s">
        <v>1160</v>
      </c>
      <c r="B727" s="659">
        <f>(SUM(CIV!A1111:A1127)++CIV!A1131+CIV!A1180+CIV!A1197)/1000</f>
        <v>390.3</v>
      </c>
      <c r="C727" s="659">
        <f>(SUM(CIV!B1111:B1127)++CIV!B1131+CIV!B1180+CIV!B1197)/1000</f>
        <v>485</v>
      </c>
      <c r="D727" s="659">
        <f>(SUM(CIV!C1113:C1127)+CIV!C1111++CIV!C1131+CIV!C1180+CIV!C1197)/1000</f>
        <v>376.3</v>
      </c>
      <c r="E727" s="659">
        <f>(SUM(CIV!D1113:D1127)+CIV!D1111++CIV!D1131+CIV!D1180+CIV!D1197)/1000</f>
        <v>367.3</v>
      </c>
      <c r="F727" s="659">
        <f>(SUM(CIV!E1113:G1127)+CIV!E1111++CIV!E1131+CIV!E1180+CIV!E1197)/1000</f>
        <v>241.4</v>
      </c>
      <c r="G727" s="659">
        <f>(SUM(CIV!H1113:H1127)+CIV!H1111++CIV!H1131+CIV!H1180+CIV!H1197)/1000</f>
        <v>471.4</v>
      </c>
      <c r="H727" s="659">
        <f>(SUM(CIV!J1113:J1127)+CIV!J1111++CIV!J1131+CIV!J1180+CIV!J1197)/1000</f>
        <v>317.39999999999998</v>
      </c>
      <c r="I727" s="659">
        <f>(SUM(CIV!K1113:K1127)+CIV!K1111++CIV!K1131+CIV!K1180+CIV!K1197)/1000</f>
        <v>426.9</v>
      </c>
      <c r="J727" s="659">
        <f>(SUM(CIV!L1113:L1127)+CIV!L1111++CIV!L1131+CIV!L1180+CIV!L1197)/1000</f>
        <v>336.6</v>
      </c>
      <c r="K727" s="659">
        <f>(SUM(CIV!M1113:M1127)+CIV!M1111++CIV!M1131+CIV!M1180+CIV!M1197)/1000</f>
        <v>448.5</v>
      </c>
      <c r="L727" s="659">
        <f>(SUM(CIV!N1113:N1127)+CIV!N1111++CIV!N1131+CIV!N1180+CIV!N1197)/1000</f>
        <v>356.8</v>
      </c>
      <c r="M727" s="659">
        <f>(SUM(CIV!O1113:O1127)+CIV!O1111++CIV!O1131+CIV!O1180+CIV!O1197)/1000</f>
        <v>471.1</v>
      </c>
      <c r="N727" s="679">
        <f>(SUM(CIV!P1113:P1127)+CIV!P1111++CIV!P1131+CIV!P1180+CIV!P1197)/1000</f>
        <v>377.4</v>
      </c>
      <c r="O727" s="679">
        <f>(SUM(CIV!Q1113:Q1127)+CIV!Q1111++CIV!Q1131+CIV!Q1180+CIV!Q1197)/1000</f>
        <v>494.2</v>
      </c>
      <c r="P727" s="679">
        <f>(SUM(CIV!R1113:R1127)+CIV!R1111++CIV!R1131+CIV!R1180+CIV!R1197)/1000</f>
        <v>399</v>
      </c>
      <c r="Q727" s="660">
        <f>(SUM(CIV!S1113:S1127)+CIV!S1111++CIV!S1131+CIV!S1180+CIV!S1197)/1000</f>
        <v>408.2</v>
      </c>
    </row>
    <row r="728" spans="1:17" s="726" customFormat="1" x14ac:dyDescent="0.2">
      <c r="A728" s="655" t="s">
        <v>3043</v>
      </c>
      <c r="B728" s="659">
        <f>(SUM(CIV!A1244:A1256)+CIV!A1239)/1000</f>
        <v>709.7</v>
      </c>
      <c r="C728" s="659">
        <f>(SUM(CIV!B1244:B1256)+CIV!B1239)/1000</f>
        <v>749.8</v>
      </c>
      <c r="D728" s="659">
        <f>(CIV!C1247+CIV!C1249+CIV!C1251+CIV!C1253+(CIV!C1254/2))/1000</f>
        <v>293</v>
      </c>
      <c r="E728" s="659">
        <f>(CIV!D1247+CIV!D1249+CIV!D1251+CIV!D1253+(CIV!D1254/2))/1000</f>
        <v>318.05</v>
      </c>
      <c r="F728" s="659">
        <f>(CIV!E1247+CIV!E1249+CIV!E1251+CIV!E1253+(CIV!E1254/2))/1000</f>
        <v>291.14999999999998</v>
      </c>
      <c r="G728" s="659">
        <f>(CIV!H1247+CIV!H1249+CIV!H1251+CIV!H1253+(CIV!H1254/2))/1000</f>
        <v>272</v>
      </c>
      <c r="H728" s="659">
        <f>(CIV!J1247+CIV!J1249+CIV!J1251+CIV!J1253+(CIV!J1254/2))/1000</f>
        <v>341.95</v>
      </c>
      <c r="I728" s="659">
        <f>(CIV!K1247+CIV!K1249+CIV!K1251+CIV!K1253+(CIV!K1254/2))/1000</f>
        <v>350.85</v>
      </c>
      <c r="J728" s="659">
        <f>(CIV!L1247+CIV!L1249+CIV!L1251+CIV!L1253+(CIV!L1254/2))/1000</f>
        <v>359.8</v>
      </c>
      <c r="K728" s="659">
        <f>(CIV!M1247+CIV!M1249+CIV!M1251+CIV!M1253+(CIV!M1254/2))/1000</f>
        <v>369.1</v>
      </c>
      <c r="L728" s="659">
        <f>(CIV!N1247+CIV!N1249+CIV!N1251+CIV!N1253+(CIV!N1254/2))/1000</f>
        <v>378.55</v>
      </c>
      <c r="M728" s="659">
        <f>(CIV!O1247+CIV!O1249+CIV!O1251+CIV!O1253+(CIV!O1254/2))/1000</f>
        <v>388.25</v>
      </c>
      <c r="N728" s="679">
        <f>(CIV!P1247+CIV!P1249+CIV!P1251+CIV!P1253+(CIV!P1254/2))/1000</f>
        <v>398.05</v>
      </c>
      <c r="O728" s="679">
        <f>(CIV!Q1247+CIV!Q1249+CIV!Q1251+CIV!Q1253+(CIV!Q1254/2))/1000</f>
        <v>408.1</v>
      </c>
      <c r="P728" s="679">
        <f>(CIV!R1247+CIV!R1249+CIV!R1251+CIV!R1253+(CIV!R1254/2))/1000</f>
        <v>418.6</v>
      </c>
      <c r="Q728" s="660">
        <f>(CIV!S1247+CIV!S1249+CIV!S1251+CIV!S1253+(CIV!S1254/2))/1000</f>
        <v>429.15</v>
      </c>
    </row>
    <row r="729" spans="1:17" s="726" customFormat="1" x14ac:dyDescent="0.2">
      <c r="A729" s="655" t="s">
        <v>491</v>
      </c>
      <c r="B729" s="659">
        <f>(CIV!A1331+CIV!A1332+CIV!A1339+CIV!A1351+CIV!A1352+CIV!A1353+CIV!A1354+CIV!A1355)/1000</f>
        <v>88.8</v>
      </c>
      <c r="C729" s="659">
        <f>(CIV!B1331+CIV!B1332+CIV!B1339+CIV!B1351+CIV!B1352+CIV!B1353+CIV!B1354+CIV!B1355)/1000</f>
        <v>91.3</v>
      </c>
      <c r="D729" s="659">
        <f>(CIV!C1331+CIV!C1351+CIV!C1352+CIV!C1353+CIV!C1354+CIV!C1355)/1000</f>
        <v>27.6</v>
      </c>
      <c r="E729" s="659">
        <f>(CIV!D1331+CIV!D1351+CIV!D1352+CIV!D1353+CIV!D1354+CIV!D1355)/1000</f>
        <v>31.6</v>
      </c>
      <c r="F729" s="659">
        <f>(CIV!E1331+CIV!E1351+CIV!E1352+CIV!E1353+CIV!E1354+CIV!E1355)/1000</f>
        <v>21.1</v>
      </c>
      <c r="G729" s="659">
        <f>(CIV!H1331+CIV!H1351+CIV!H1352+CIV!H1353+CIV!H1354+CIV!H1355)/1000</f>
        <v>39.5</v>
      </c>
      <c r="H729" s="659">
        <f>(CIV!J1331+CIV!J1351+CIV!J1352+CIV!J1353+CIV!J1354+CIV!J1355)/1000</f>
        <v>40.700000000000003</v>
      </c>
      <c r="I729" s="659">
        <f>(CIV!K1331+CIV!K1351+CIV!K1352+CIV!K1353+CIV!K1354+CIV!K1355)/1000</f>
        <v>42</v>
      </c>
      <c r="J729" s="659">
        <f>(CIV!L1331+CIV!L1351+CIV!L1352+CIV!L1353+CIV!L1354+CIV!L1355)/1000</f>
        <v>43.3</v>
      </c>
      <c r="K729" s="659">
        <f>(CIV!M1331+CIV!M1351+CIV!M1352+CIV!M1353+CIV!M1354+CIV!M1355)/1000</f>
        <v>44.6</v>
      </c>
      <c r="L729" s="659">
        <f>(CIV!N1331+CIV!N1351+CIV!N1352+CIV!N1353+CIV!N1354+CIV!N1355)/1000</f>
        <v>46</v>
      </c>
      <c r="M729" s="659">
        <f>(CIV!O1331+CIV!O1351+CIV!O1352+CIV!O1353+CIV!O1354+CIV!O1355)/1000</f>
        <v>47.4</v>
      </c>
      <c r="N729" s="679">
        <f>(CIV!P1331+CIV!P1351+CIV!P1352+CIV!P1353+CIV!P1354+CIV!P1355)/1000</f>
        <v>48.8</v>
      </c>
      <c r="O729" s="679">
        <f>(CIV!Q1331+CIV!Q1351+CIV!Q1352+CIV!Q1353+CIV!Q1354+CIV!Q1355)/1000</f>
        <v>50.3</v>
      </c>
      <c r="P729" s="679">
        <f>(CIV!R1331+CIV!R1351+CIV!R1352+CIV!R1353+CIV!R1354+CIV!R1355)/1000</f>
        <v>51.9</v>
      </c>
      <c r="Q729" s="660">
        <f>(CIV!S1331+CIV!S1351+CIV!S1352+CIV!S1353+CIV!S1354+CIV!S1355)/1000</f>
        <v>53.5</v>
      </c>
    </row>
    <row r="730" spans="1:17" s="726" customFormat="1" x14ac:dyDescent="0.2">
      <c r="A730" s="655" t="s">
        <v>532</v>
      </c>
      <c r="B730" s="659"/>
      <c r="C730" s="659"/>
      <c r="D730" s="659"/>
      <c r="E730" s="659"/>
      <c r="F730" s="659"/>
      <c r="G730" s="659"/>
      <c r="H730" s="659"/>
      <c r="I730" s="659"/>
      <c r="J730" s="659"/>
      <c r="K730" s="659"/>
      <c r="L730" s="659"/>
      <c r="M730" s="659"/>
      <c r="N730" s="679"/>
      <c r="O730" s="679"/>
      <c r="P730" s="679"/>
      <c r="Q730" s="660"/>
    </row>
    <row r="731" spans="1:17" s="726" customFormat="1" x14ac:dyDescent="0.2">
      <c r="A731" s="655" t="s">
        <v>1932</v>
      </c>
      <c r="B731" s="659"/>
      <c r="C731" s="659"/>
      <c r="D731" s="659"/>
      <c r="E731" s="659"/>
      <c r="F731" s="659"/>
      <c r="G731" s="659"/>
      <c r="H731" s="659"/>
      <c r="I731" s="659"/>
      <c r="J731" s="659"/>
      <c r="K731" s="659"/>
      <c r="L731" s="659"/>
      <c r="M731" s="679"/>
      <c r="N731" s="679"/>
      <c r="O731" s="679"/>
      <c r="P731" s="679"/>
      <c r="Q731" s="660"/>
    </row>
    <row r="732" spans="1:17" s="726" customFormat="1" x14ac:dyDescent="0.2">
      <c r="A732" s="655" t="s">
        <v>3063</v>
      </c>
      <c r="B732" s="659">
        <f>(CIV!A1863+CIV!A1867)/1000</f>
        <v>54.4</v>
      </c>
      <c r="C732" s="659">
        <f>(CIV!B1863+CIV!B1867)/1000</f>
        <v>55.1</v>
      </c>
      <c r="D732" s="659">
        <f>(CIV!C1863+CIV!C1867)/1000</f>
        <v>42.5</v>
      </c>
      <c r="E732" s="659">
        <f>(CIV!D1863+CIV!D1867)/1000</f>
        <v>51.9</v>
      </c>
      <c r="F732" s="659">
        <f>(CIV!E1863+CIV!E1867)/1000</f>
        <v>27.9</v>
      </c>
      <c r="G732" s="659">
        <f>(CIV!H1863+CIV!H1867)/1000</f>
        <v>36</v>
      </c>
      <c r="H732" s="659">
        <f>(CIV!J1863+CIV!J1867)/1000</f>
        <v>37</v>
      </c>
      <c r="I732" s="659">
        <f>(CIV!K1863+CIV!K1867)/1000</f>
        <v>38</v>
      </c>
      <c r="J732" s="659">
        <f>(CIV!L1863+CIV!L1867)/1000</f>
        <v>39</v>
      </c>
      <c r="K732" s="659">
        <f>(CIV!M1863+CIV!M1867)/1000</f>
        <v>40</v>
      </c>
      <c r="L732" s="659">
        <f>(CIV!N1863+CIV!N1867)/1000</f>
        <v>41</v>
      </c>
      <c r="M732" s="659">
        <f>(CIV!O1863+CIV!O1867)/1000</f>
        <v>42</v>
      </c>
      <c r="N732" s="679">
        <f>(CIV!P1863+CIV!P1867)/1000</f>
        <v>43</v>
      </c>
      <c r="O732" s="679">
        <f>(CIV!Q1863+CIV!Q1867)/1000</f>
        <v>44</v>
      </c>
      <c r="P732" s="679">
        <f>(CIV!R1863+CIV!R1867)/1000</f>
        <v>45</v>
      </c>
      <c r="Q732" s="660">
        <f>(CIV!S1863+CIV!S1867)/1000</f>
        <v>46</v>
      </c>
    </row>
    <row r="733" spans="1:17" s="726" customFormat="1" x14ac:dyDescent="0.2">
      <c r="A733" s="655" t="s">
        <v>1911</v>
      </c>
      <c r="B733" s="659"/>
      <c r="C733" s="659"/>
      <c r="D733" s="659"/>
      <c r="E733" s="659"/>
      <c r="F733" s="659"/>
      <c r="G733" s="659"/>
      <c r="H733" s="659"/>
      <c r="I733" s="659"/>
      <c r="J733" s="659"/>
      <c r="K733" s="659"/>
      <c r="L733" s="659"/>
      <c r="M733" s="679"/>
      <c r="N733" s="679"/>
      <c r="O733" s="679"/>
      <c r="P733" s="679"/>
      <c r="Q733" s="660"/>
    </row>
    <row r="734" spans="1:17" s="726" customFormat="1" x14ac:dyDescent="0.2">
      <c r="A734" s="823" t="s">
        <v>3550</v>
      </c>
      <c r="B734" s="659"/>
      <c r="C734" s="659"/>
      <c r="D734" s="659"/>
      <c r="E734" s="659"/>
      <c r="F734" s="659"/>
      <c r="G734" s="659"/>
      <c r="H734" s="659"/>
      <c r="I734" s="659"/>
      <c r="J734" s="659"/>
      <c r="K734" s="659"/>
      <c r="L734" s="659"/>
      <c r="M734" s="679"/>
      <c r="N734" s="679"/>
      <c r="O734" s="679"/>
      <c r="P734" s="679"/>
      <c r="Q734" s="660"/>
    </row>
    <row r="735" spans="1:17" s="726" customFormat="1" x14ac:dyDescent="0.2">
      <c r="A735" s="655" t="s">
        <v>2499</v>
      </c>
      <c r="B735" s="659">
        <f>(GM!A897+GM!A903+GM!A905+GM!A913+GM!A921+GM!A928+GM!A929+GM!A931+GM!A981+GM!A982+GM!A977)/1000</f>
        <v>215.3</v>
      </c>
      <c r="C735" s="659">
        <f>(GM!B897+GM!B903+GM!B905+GM!B913+GM!B921+GM!B928+GM!B929+GM!B931+GM!B981+GM!B982+GM!B977)/1000</f>
        <v>143.6</v>
      </c>
      <c r="D735" s="659">
        <f>(GM!C897+GM!C903+GM!C905+GM!C907+GM!C913+GM!C921+GM!C928+GM!C929+GM!C931+GM!C981+GM!C982)/1000</f>
        <v>99.7</v>
      </c>
      <c r="E735" s="659">
        <f>(GM!D897+GM!D903+GM!D905+GM!D907+GM!D913+GM!D921+GM!D928+GM!D929+GM!D931+GM!D981+GM!D982)/1000</f>
        <v>107</v>
      </c>
      <c r="F735" s="659">
        <f>(GM!E897+GM!E903+GM!E905+GM!E907+GM!E913+GM!E921+GM!E928+GM!E929+GM!E931+GM!E981+GM!E982)/1000</f>
        <v>123.9</v>
      </c>
      <c r="G735" s="659">
        <f>(GM!H897+GM!H903+GM!H905+GM!H907+GM!H913+GM!H921+GM!H928+GM!H929+GM!H931+GM!H981+GM!H982)/1000</f>
        <v>143.30000000000001</v>
      </c>
      <c r="H735" s="659">
        <f>(GM!J897+GM!J903+GM!J905+GM!J907+GM!J913+GM!J921+GM!J928+GM!J929+GM!J931+GM!J981+GM!J982)/1000</f>
        <v>147</v>
      </c>
      <c r="I735" s="659">
        <f>(GM!K897+GM!K903+GM!K905+GM!K907+GM!K913+GM!K921+GM!K928+GM!K929+GM!K931+GM!K981+GM!K982)/1000</f>
        <v>151.19999999999999</v>
      </c>
      <c r="J735" s="659">
        <f>(GM!L897+GM!L903+GM!L905+GM!L907+GM!L913+GM!L921+GM!L928+GM!L929+GM!L931+GM!L981+GM!L982)/1000</f>
        <v>155.6</v>
      </c>
      <c r="K735" s="659">
        <f>(GM!M897+GM!M903+GM!M905+GM!M907+GM!M913+GM!M921+GM!M928+GM!M929+GM!M931+GM!M981+GM!M982)/1000</f>
        <v>159.9</v>
      </c>
      <c r="L735" s="659">
        <f>(GM!N897+GM!N903+GM!N905+GM!N907+GM!N913+GM!N921+GM!N928+GM!N929+GM!N931+GM!N981+GM!N982)/1000</f>
        <v>164.3</v>
      </c>
      <c r="M735" s="659">
        <f>(GM!O897+GM!O903+GM!O905+GM!O907+GM!O913+GM!O921+GM!O928+GM!O929+GM!O931+GM!O981+GM!O982)/1000</f>
        <v>168.8</v>
      </c>
      <c r="N735" s="679">
        <f>(GM!P897+GM!P903+GM!P905+GM!P907+GM!P913+GM!P921+GM!P928+GM!P929+GM!P931+GM!P981+GM!P982)/1000</f>
        <v>173.4</v>
      </c>
      <c r="O735" s="679">
        <f>(GM!Q897+GM!Q903+GM!Q905+GM!Q907+GM!Q913+GM!Q921+GM!Q928+GM!Q929+GM!Q931+GM!Q981+GM!Q982)/1000</f>
        <v>178.2</v>
      </c>
      <c r="P735" s="679">
        <f>(GM!R897+GM!R903+GM!R905+GM!R907+GM!R913+GM!R921+GM!R928+GM!R929+GM!R931+GM!R981+GM!R982)/1000</f>
        <v>183.2</v>
      </c>
      <c r="Q735" s="660">
        <f>(GM!S897+GM!S903+GM!S905+GM!S907+GM!S913+GM!S921+GM!S928+GM!S929+GM!S931+GM!S981+GM!S982)/1000</f>
        <v>188.4</v>
      </c>
    </row>
    <row r="736" spans="1:17" s="726" customFormat="1" x14ac:dyDescent="0.2">
      <c r="A736" s="655" t="s">
        <v>2093</v>
      </c>
      <c r="B736" s="659">
        <f>GM!A1054/1000</f>
        <v>145.4</v>
      </c>
      <c r="C736" s="659">
        <f>GM!B1054/1000</f>
        <v>95.5</v>
      </c>
      <c r="D736" s="659">
        <f>GM!C1054/1000</f>
        <v>98.3</v>
      </c>
      <c r="E736" s="659">
        <f>GM!D1054/1000</f>
        <v>119.7</v>
      </c>
      <c r="F736" s="659">
        <f>(GM!E1054+GM!E1055)/1000</f>
        <v>154.30000000000001</v>
      </c>
      <c r="G736" s="659">
        <f>GM!H1054/1000+GM!H1055/1000</f>
        <v>131</v>
      </c>
      <c r="H736" s="659">
        <f>GM!J1054/1000+GM!J1055/1000</f>
        <v>134</v>
      </c>
      <c r="I736" s="659">
        <f>GM!K1054/1000+GM!K1055/1000</f>
        <v>137.30000000000001</v>
      </c>
      <c r="J736" s="659">
        <f>GM!L1054/1000+GM!L1055/1000</f>
        <v>140.80000000000001</v>
      </c>
      <c r="K736" s="659">
        <f>GM!M1054/1000+GM!M1055/1000</f>
        <v>144.30000000000001</v>
      </c>
      <c r="L736" s="659">
        <f>GM!N1054/1000+GM!N1055/1000</f>
        <v>147.9</v>
      </c>
      <c r="M736" s="679">
        <f>GM!O1054/1000+GM!O1055/1000</f>
        <v>151.6</v>
      </c>
      <c r="N736" s="679">
        <f>GM!P1054/1000+GM!P1055/1000</f>
        <v>155.4</v>
      </c>
      <c r="O736" s="679">
        <f>GM!Q1054/1000+GM!Q1055/1000</f>
        <v>159.30000000000001</v>
      </c>
      <c r="P736" s="679">
        <f>GM!R1054/1000+GM!R1055/1000</f>
        <v>163.30000000000001</v>
      </c>
      <c r="Q736" s="660">
        <f>GM!S1054/1000+GM!S1055/1000</f>
        <v>167.3</v>
      </c>
    </row>
    <row r="737" spans="1:17" s="726" customFormat="1" x14ac:dyDescent="0.2">
      <c r="A737" s="655" t="s">
        <v>4684</v>
      </c>
      <c r="B737" s="659">
        <f>6744-7075</f>
        <v>-331</v>
      </c>
      <c r="C737" s="659">
        <v>-1240</v>
      </c>
      <c r="D737" s="659"/>
      <c r="E737" s="659"/>
      <c r="F737" s="659"/>
      <c r="G737" s="659"/>
      <c r="H737" s="659"/>
      <c r="I737" s="659"/>
      <c r="J737" s="659"/>
      <c r="K737" s="659"/>
      <c r="L737" s="659"/>
      <c r="M737" s="679"/>
      <c r="N737" s="679"/>
      <c r="O737" s="679"/>
      <c r="P737" s="679"/>
      <c r="Q737" s="660"/>
    </row>
    <row r="738" spans="1:17" s="573" customFormat="1" x14ac:dyDescent="0.2">
      <c r="A738" s="823" t="s">
        <v>4675</v>
      </c>
      <c r="B738" s="732">
        <f t="shared" ref="B738:O738" si="1157">SUM(B713:B737)</f>
        <v>5824.0999999999995</v>
      </c>
      <c r="C738" s="732">
        <f t="shared" si="1157"/>
        <v>4085.4000000000015</v>
      </c>
      <c r="D738" s="732">
        <f t="shared" si="1157"/>
        <v>3960.5</v>
      </c>
      <c r="E738" s="732">
        <f t="shared" si="1157"/>
        <v>4167.8500000000004</v>
      </c>
      <c r="F738" s="732">
        <f t="shared" si="1157"/>
        <v>3758.4500000000003</v>
      </c>
      <c r="G738" s="732">
        <f t="shared" si="1157"/>
        <v>4121.3999999999996</v>
      </c>
      <c r="H738" s="732">
        <f t="shared" si="1157"/>
        <v>4210.1499999999996</v>
      </c>
      <c r="I738" s="732">
        <f t="shared" si="1157"/>
        <v>4430.6499999999996</v>
      </c>
      <c r="J738" s="732">
        <f t="shared" si="1157"/>
        <v>4435.0000000000009</v>
      </c>
      <c r="K738" s="732">
        <f t="shared" si="1157"/>
        <v>4643.8</v>
      </c>
      <c r="L738" s="732">
        <f t="shared" si="1157"/>
        <v>4651.55</v>
      </c>
      <c r="M738" s="733">
        <f t="shared" si="1157"/>
        <v>4867.6500000000005</v>
      </c>
      <c r="N738" s="733">
        <f t="shared" si="1157"/>
        <v>4877.8499999999995</v>
      </c>
      <c r="O738" s="733">
        <f t="shared" si="1157"/>
        <v>5101.4000000000005</v>
      </c>
      <c r="P738" s="733">
        <f t="shared" ref="P738" si="1158">SUM(P713:P737)</f>
        <v>5115.8</v>
      </c>
      <c r="Q738" s="734">
        <f t="shared" ref="Q738" si="1159">SUM(Q713:Q737)</f>
        <v>5237.1499999999996</v>
      </c>
    </row>
    <row r="739" spans="1:17" s="573" customFormat="1" x14ac:dyDescent="0.2">
      <c r="A739" s="823" t="s">
        <v>4677</v>
      </c>
      <c r="B739" s="732">
        <v>5774</v>
      </c>
      <c r="C739" s="732">
        <v>5301</v>
      </c>
      <c r="D739" s="732">
        <f>C739*0.7573</f>
        <v>4014.4472999999998</v>
      </c>
      <c r="E739" s="732">
        <v>3793</v>
      </c>
      <c r="F739" s="732">
        <f>E739*Assumptions!G5+E739</f>
        <v>3868.86</v>
      </c>
      <c r="G739" s="732">
        <f>F739*Assumptions!H5+F739</f>
        <v>3926.8929000000003</v>
      </c>
      <c r="H739" s="732">
        <f>G739*Assumptions!I5+G739</f>
        <v>4017.2114367000004</v>
      </c>
      <c r="I739" s="732">
        <f>H739*Assumptions!J5+H739</f>
        <v>4117.6417226175008</v>
      </c>
      <c r="J739" s="732">
        <f>I739*Assumptions!K5+I739</f>
        <v>4220.5827656829388</v>
      </c>
      <c r="K739" s="732">
        <f>J739*Assumptions!L5+J739</f>
        <v>4326.0973348250118</v>
      </c>
      <c r="L739" s="732">
        <f>K739*Assumptions!M5+K739</f>
        <v>4434.2497681956374</v>
      </c>
      <c r="M739" s="733">
        <f>L739*Assumptions!N5+L739</f>
        <v>4545.106012400528</v>
      </c>
      <c r="N739" s="733">
        <f>M739*Assumptions!O5+M739</f>
        <v>4658.7336627105415</v>
      </c>
      <c r="O739" s="733">
        <f>N739*Assumptions!P5+N739</f>
        <v>4775.2020042783051</v>
      </c>
      <c r="P739" s="733">
        <f>O739*Assumptions!Q5+O739</f>
        <v>4894.5820543852624</v>
      </c>
      <c r="Q739" s="734">
        <f>P739*Assumptions!R5+P739</f>
        <v>5016.9466057448935</v>
      </c>
    </row>
    <row r="740" spans="1:17" s="726" customFormat="1" x14ac:dyDescent="0.2">
      <c r="A740" s="823" t="s">
        <v>4683</v>
      </c>
      <c r="B740" s="946">
        <f t="shared" ref="B740:N740" si="1160">B738/B739</f>
        <v>1.0086768271562174</v>
      </c>
      <c r="C740" s="946">
        <f t="shared" si="1160"/>
        <v>0.77068477645727251</v>
      </c>
      <c r="D740" s="946">
        <f t="shared" si="1160"/>
        <v>0.98656171174547491</v>
      </c>
      <c r="E740" s="1109">
        <f t="shared" si="1160"/>
        <v>1.0988267861850778</v>
      </c>
      <c r="F740" s="1109">
        <f t="shared" si="1160"/>
        <v>0.97146187765905201</v>
      </c>
      <c r="G740" s="1109">
        <f t="shared" si="1160"/>
        <v>1.0495320613404047</v>
      </c>
      <c r="H740" s="1109">
        <f t="shared" si="1160"/>
        <v>1.0480279831769301</v>
      </c>
      <c r="I740" s="1109">
        <f t="shared" si="1160"/>
        <v>1.0760163944481129</v>
      </c>
      <c r="J740" s="1109">
        <f t="shared" si="1160"/>
        <v>1.0508027555010799</v>
      </c>
      <c r="K740" s="1109">
        <f t="shared" si="1160"/>
        <v>1.073438630845748</v>
      </c>
      <c r="L740" s="1109">
        <f t="shared" si="1160"/>
        <v>1.0490049598385129</v>
      </c>
      <c r="M740" s="1110">
        <f t="shared" si="1160"/>
        <v>1.0709651186835836</v>
      </c>
      <c r="N740" s="1110">
        <f t="shared" si="1160"/>
        <v>1.0470334544005617</v>
      </c>
      <c r="O740" s="1110">
        <f t="shared" ref="O740" si="1161">O738/O739</f>
        <v>1.0683108265219861</v>
      </c>
      <c r="P740" s="1110">
        <f t="shared" ref="P740" si="1162">P738/P739</f>
        <v>1.0451964934200131</v>
      </c>
      <c r="Q740" s="2454">
        <f t="shared" ref="Q740" si="1163">Q738/Q739</f>
        <v>1.0438919150550559</v>
      </c>
    </row>
    <row r="741" spans="1:17" s="726" customFormat="1" x14ac:dyDescent="0.2">
      <c r="A741" s="655"/>
      <c r="B741" s="659"/>
      <c r="C741" s="659"/>
      <c r="D741" s="659"/>
      <c r="E741" s="659"/>
      <c r="F741" s="659"/>
      <c r="G741" s="659"/>
      <c r="H741" s="659"/>
      <c r="I741" s="659"/>
      <c r="J741" s="659"/>
      <c r="K741" s="659"/>
      <c r="L741" s="659"/>
      <c r="M741" s="679"/>
      <c r="N741" s="679"/>
      <c r="O741" s="679"/>
      <c r="P741" s="679"/>
      <c r="Q741" s="660"/>
    </row>
    <row r="742" spans="1:17" s="726" customFormat="1" x14ac:dyDescent="0.2">
      <c r="A742" s="655" t="s">
        <v>4676</v>
      </c>
      <c r="B742" s="659">
        <f>('W&amp;W'!A328+'W&amp;W'!A314+'W&amp;W'!A311+'W&amp;W'!A312+'W&amp;W'!A305+'W&amp;W'!A303++'W&amp;W'!A294+'W&amp;W'!A295)/1000</f>
        <v>926.9</v>
      </c>
      <c r="C742" s="659">
        <f>('W&amp;W'!B328+'W&amp;W'!B314+'W&amp;W'!B311+'W&amp;W'!B312+'W&amp;W'!B305+'W&amp;W'!B303++'W&amp;W'!B294+'W&amp;W'!B295)/1000</f>
        <v>927</v>
      </c>
      <c r="D742" s="659">
        <f>('W&amp;W'!C328+'W&amp;W'!C314+'W&amp;W'!C311+'W&amp;W'!C312+'W&amp;W'!C305+'W&amp;W'!C303++'W&amp;W'!C294+'W&amp;W'!C295)/1000</f>
        <v>958.7</v>
      </c>
      <c r="E742" s="659">
        <f>('W&amp;W'!D328+'W&amp;W'!D314+'W&amp;W'!D311+'W&amp;W'!D312+'W&amp;W'!D305+'W&amp;W'!D303++'W&amp;W'!D294+'W&amp;W'!D295)/1000</f>
        <v>831.8</v>
      </c>
      <c r="F742" s="659">
        <f>('W&amp;W'!E328+'W&amp;W'!E314+'W&amp;W'!E311+'W&amp;W'!E312+'W&amp;W'!E305+'W&amp;W'!E303++'W&amp;W'!E294+'W&amp;W'!E295)/1000</f>
        <v>878.5</v>
      </c>
      <c r="G742" s="659">
        <f>(+'W&amp;W'!H314+'W&amp;W'!H311+'W&amp;W'!H312+SUM('W&amp;W'!H305:'W&amp;W'!H303)++SUM('W&amp;W'!H294:'W&amp;W'!H295))/1000</f>
        <v>947.5</v>
      </c>
      <c r="H742" s="659">
        <f>(+'W&amp;W'!I314+'W&amp;W'!I311+'W&amp;W'!I312+SUM('W&amp;W'!I305:'W&amp;W'!I303)++SUM('W&amp;W'!I294:'W&amp;W'!I295))/1000</f>
        <v>0.33728455638822552</v>
      </c>
      <c r="I742" s="659">
        <f>(+'W&amp;W'!J314+'W&amp;W'!J311+'W&amp;W'!J312+SUM('W&amp;W'!J305:'W&amp;W'!J303)++SUM('W&amp;W'!J294:'W&amp;W'!J295))/1000</f>
        <v>969.5</v>
      </c>
      <c r="J742" s="659">
        <f>(+'W&amp;W'!K314+'W&amp;W'!K311+'W&amp;W'!K312+SUM('W&amp;W'!K305:'W&amp;W'!K303)++SUM('W&amp;W'!K294:'W&amp;W'!K295))/1000</f>
        <v>994.1</v>
      </c>
      <c r="K742" s="659">
        <f>(+'W&amp;W'!L314+'W&amp;W'!L311+'W&amp;W'!L312+SUM('W&amp;W'!L305:'W&amp;W'!L303)++SUM('W&amp;W'!L294:'W&amp;W'!L295))/1000</f>
        <v>1019.2</v>
      </c>
      <c r="L742" s="659">
        <f>(+'W&amp;W'!M314+'W&amp;W'!M311+'W&amp;W'!M312+SUM('W&amp;W'!M305:'W&amp;W'!M303)++SUM('W&amp;W'!M294:'W&amp;W'!M295))/1000</f>
        <v>1045.2</v>
      </c>
      <c r="M742" s="659">
        <f>(+'W&amp;W'!N314+'W&amp;W'!N311+'W&amp;W'!N312+SUM('W&amp;W'!N305:'W&amp;W'!N303)++SUM('W&amp;W'!N294:'W&amp;W'!N295))/1000</f>
        <v>1071.8</v>
      </c>
      <c r="N742" s="659">
        <f>(+'W&amp;W'!O314+'W&amp;W'!O311+'W&amp;W'!O312+SUM('W&amp;W'!O305:'W&amp;W'!O303)++SUM('W&amp;W'!O294:'W&amp;W'!O295))/1000</f>
        <v>1098.9000000000001</v>
      </c>
      <c r="O742" s="659">
        <f>(+'W&amp;W'!P314+'W&amp;W'!P311+'W&amp;W'!P312+SUM('W&amp;W'!P305:'W&amp;W'!P303)++SUM('W&amp;W'!P294:'W&amp;W'!P295))/1000</f>
        <v>1126.5999999999999</v>
      </c>
      <c r="P742" s="659">
        <f>(+'W&amp;W'!Q314+'W&amp;W'!Q311+'W&amp;W'!Q312+SUM('W&amp;W'!Q305:'W&amp;W'!Q303)++SUM('W&amp;W'!Q294:'W&amp;W'!Q295))/1000</f>
        <v>1155</v>
      </c>
      <c r="Q742" s="2455">
        <f>(+'W&amp;W'!R314+'W&amp;W'!R311+'W&amp;W'!R312+SUM('W&amp;W'!R305:'W&amp;W'!R303)++SUM('W&amp;W'!R294:'W&amp;W'!R295))/1000</f>
        <v>1184.3</v>
      </c>
    </row>
    <row r="743" spans="1:17" s="726" customFormat="1" x14ac:dyDescent="0.2">
      <c r="A743" s="655" t="s">
        <v>4678</v>
      </c>
      <c r="B743" s="659">
        <f>C743</f>
        <v>913</v>
      </c>
      <c r="C743" s="659">
        <v>913</v>
      </c>
      <c r="D743" s="659">
        <v>918</v>
      </c>
      <c r="E743" s="659">
        <v>858</v>
      </c>
      <c r="F743" s="659">
        <v>859</v>
      </c>
      <c r="G743" s="659">
        <f>F743*Assumptions!H5+F743</f>
        <v>871.88499999999999</v>
      </c>
      <c r="H743" s="659">
        <f>G743*Assumptions!I5+G743</f>
        <v>891.938355</v>
      </c>
      <c r="I743" s="659">
        <f>H743*Assumptions!J5+H743</f>
        <v>914.23681387500005</v>
      </c>
      <c r="J743" s="659">
        <f>I743*Assumptions!K5+I743</f>
        <v>937.09273422187505</v>
      </c>
      <c r="K743" s="659">
        <f>J743*Assumptions!L5+J743</f>
        <v>960.52005257742189</v>
      </c>
      <c r="L743" s="659">
        <f>K743*Assumptions!M5+K743</f>
        <v>984.53305389185743</v>
      </c>
      <c r="M743" s="659">
        <f>L743*Assumptions!N5+L743</f>
        <v>1009.1463802391538</v>
      </c>
      <c r="N743" s="679">
        <f>M743*Assumptions!O5+M743</f>
        <v>1034.3750397451327</v>
      </c>
      <c r="O743" s="679">
        <f>N743*Assumptions!P5+N743</f>
        <v>1060.2344157387611</v>
      </c>
      <c r="P743" s="679">
        <f>O743*Assumptions!Q5+O743</f>
        <v>1086.7402761322301</v>
      </c>
      <c r="Q743" s="660">
        <f>P743*Assumptions!R5+P743</f>
        <v>1113.9087830355359</v>
      </c>
    </row>
    <row r="744" spans="1:17" s="726" customFormat="1" x14ac:dyDescent="0.2">
      <c r="A744" s="823" t="s">
        <v>4683</v>
      </c>
      <c r="B744" s="946">
        <f t="shared" ref="B744" si="1164">B742/B743</f>
        <v>1.0152245345016429</v>
      </c>
      <c r="C744" s="946">
        <f t="shared" ref="C744" si="1165">C742/C743</f>
        <v>1.0153340635268346</v>
      </c>
      <c r="D744" s="946">
        <f t="shared" ref="D744" si="1166">D742/D743</f>
        <v>1.0443355119825708</v>
      </c>
      <c r="E744" s="946">
        <f t="shared" ref="E744:F744" si="1167">E742/E743</f>
        <v>0.96946386946386942</v>
      </c>
      <c r="F744" s="946">
        <f t="shared" si="1167"/>
        <v>1.0227008149010477</v>
      </c>
      <c r="G744" s="946">
        <f t="shared" ref="G744" si="1168">G742/G743</f>
        <v>1.0867258870149159</v>
      </c>
      <c r="H744" s="946">
        <f t="shared" ref="H744" si="1169">H742/H743</f>
        <v>3.7814783330875545E-4</v>
      </c>
      <c r="I744" s="946">
        <f t="shared" ref="I744" si="1170">I742/I743</f>
        <v>1.060447342839725</v>
      </c>
      <c r="J744" s="946">
        <f t="shared" ref="J744" si="1171">J742/J743</f>
        <v>1.0608341775539019</v>
      </c>
      <c r="K744" s="946">
        <f t="shared" ref="K744" si="1172">K742/K743</f>
        <v>1.0610918504669618</v>
      </c>
      <c r="L744" s="946">
        <f t="shared" ref="L744" si="1173">L742/L743</f>
        <v>1.0616200196309573</v>
      </c>
      <c r="M744" s="969">
        <f t="shared" ref="M744" si="1174">M742/M743</f>
        <v>1.0620857597943305</v>
      </c>
      <c r="N744" s="969">
        <f t="shared" ref="N744:O744" si="1175">N742/N743</f>
        <v>1.0623806238313389</v>
      </c>
      <c r="O744" s="969">
        <f t="shared" si="1175"/>
        <v>1.0625951990202054</v>
      </c>
      <c r="P744" s="969">
        <f t="shared" ref="P744" si="1176">P742/P743</f>
        <v>1.0628114420408803</v>
      </c>
      <c r="Q744" s="2456">
        <f t="shared" ref="Q744" si="1177">Q742/Q743</f>
        <v>1.0631929813612202</v>
      </c>
    </row>
    <row r="745" spans="1:17" s="726" customFormat="1" x14ac:dyDescent="0.2">
      <c r="A745" s="655"/>
      <c r="B745" s="659"/>
      <c r="C745" s="659"/>
      <c r="D745" s="659"/>
      <c r="E745" s="659">
        <f>2571-E746</f>
        <v>-91</v>
      </c>
      <c r="F745" s="659"/>
      <c r="G745" s="659"/>
      <c r="H745" s="659"/>
      <c r="I745" s="659"/>
      <c r="J745" s="659"/>
      <c r="K745" s="659"/>
      <c r="L745" s="659"/>
      <c r="M745" s="679"/>
      <c r="N745" s="679"/>
      <c r="O745" s="679"/>
      <c r="P745" s="679"/>
      <c r="Q745" s="660"/>
    </row>
    <row r="746" spans="1:17" s="726" customFormat="1" x14ac:dyDescent="0.2">
      <c r="A746" s="655" t="s">
        <v>4682</v>
      </c>
      <c r="B746" s="659">
        <f>(SUM('W&amp;W'!A444:A444)+SUM('W&amp;W'!A458:A459)+SUM('W&amp;W'!A486:A491)++'W&amp;W'!A461+SUM('W&amp;W'!A511:A517)-'W&amp;W'!A514)/1000</f>
        <v>1871.2</v>
      </c>
      <c r="C746" s="659">
        <f>(SUM('W&amp;W'!B444:B444)+SUM('W&amp;W'!B458:B459)+SUM('W&amp;W'!B486:B491)++'W&amp;W'!B461+SUM('W&amp;W'!B511:B517)-'W&amp;W'!B514)/1000</f>
        <v>1797.5</v>
      </c>
      <c r="D746" s="659">
        <f>(SUM('W&amp;W'!C444:C444)+SUM('W&amp;W'!C458:C459)+SUM('W&amp;W'!C486:C491)++'W&amp;W'!C461+SUM('W&amp;W'!C511:C517)-'W&amp;W'!C514)/1000</f>
        <v>2044.4</v>
      </c>
      <c r="E746" s="659">
        <f>(SUM('W&amp;W'!D444:D444)+SUM('W&amp;W'!D458:D459)+SUM('W&amp;W'!D486:D491)++'W&amp;W'!D461++SUM('W&amp;W'!D511:D517)-'W&amp;W'!D514)/1000</f>
        <v>2662</v>
      </c>
      <c r="F746" s="659">
        <f>(SUM('W&amp;W'!E444:E444)+SUM('W&amp;W'!E458:E459)+SUM('W&amp;W'!E486:E491)++'W&amp;W'!E461++SUM('W&amp;W'!E511:E517)-'W&amp;W'!E514)/1000</f>
        <v>2665.8</v>
      </c>
      <c r="G746" s="659">
        <f>(SUM('W&amp;W'!H444:H444)+SUM('W&amp;W'!H458:H459)+SUM('W&amp;W'!H486:H491)++'W&amp;W'!H461++SUM('W&amp;W'!H511:H517)-'W&amp;W'!H514)/1000</f>
        <v>2928.3</v>
      </c>
      <c r="H746" s="659">
        <f>(SUM('W&amp;W'!J444:J444)+SUM('W&amp;W'!J458:J459)+SUM('W&amp;W'!J486:J491)++'W&amp;W'!J461++SUM('W&amp;W'!J511:J517)-'W&amp;W'!J514)/1000</f>
        <v>2996.2</v>
      </c>
      <c r="I746" s="659">
        <f>(SUM('W&amp;W'!K444:K444)+SUM('W&amp;W'!K458:K459)+SUM('W&amp;W'!K486:K491)++'W&amp;W'!K461++SUM('W&amp;W'!K511:K517)-'W&amp;W'!K514)/1000</f>
        <v>3071.6</v>
      </c>
      <c r="J746" s="659">
        <f>(SUM('W&amp;W'!L444:L444)+SUM('W&amp;W'!L458:L459)+SUM('W&amp;W'!L486:L491)++'W&amp;W'!L461++SUM('W&amp;W'!L511:L517)-'W&amp;W'!L514)/1000</f>
        <v>3149</v>
      </c>
      <c r="K746" s="659">
        <f>(SUM('W&amp;W'!M444:M444)+SUM('W&amp;W'!M458:M459)+SUM('W&amp;W'!M486:M491)++'W&amp;W'!M461++SUM('W&amp;W'!M511:M517)-'W&amp;W'!M514)/1000</f>
        <v>3228.4</v>
      </c>
      <c r="L746" s="659">
        <f>(SUM('W&amp;W'!N444:N444)+SUM('W&amp;W'!N458:N459)+SUM('W&amp;W'!N486:N491)++'W&amp;W'!N461++SUM('W&amp;W'!N511:N517)-'W&amp;W'!N514)/1000</f>
        <v>3309.5</v>
      </c>
      <c r="M746" s="659">
        <f>(SUM('W&amp;W'!O444:O444)+SUM('W&amp;W'!O458:O459)+SUM('W&amp;W'!O486:O491)++'W&amp;W'!O461++SUM('W&amp;W'!O511:O517)-'W&amp;W'!O514)/1000</f>
        <v>3392.7</v>
      </c>
      <c r="N746" s="679">
        <f>(SUM('W&amp;W'!P444:P444)+SUM('W&amp;W'!P458:P459)+SUM('W&amp;W'!P486:P491)++'W&amp;W'!P461++SUM('W&amp;W'!P511:P517)-'W&amp;W'!P514)/1000</f>
        <v>3478</v>
      </c>
      <c r="O746" s="679">
        <f>(SUM('W&amp;W'!Q444:Q444)+SUM('W&amp;W'!Q458:Q459)+SUM('W&amp;W'!Q486:Q491)++'W&amp;W'!Q461++SUM('W&amp;W'!Q511:Q517)-'W&amp;W'!Q514)/1000</f>
        <v>3565.7</v>
      </c>
      <c r="P746" s="679">
        <f>(SUM('W&amp;W'!R444:R444)+SUM('W&amp;W'!R458:R459)+SUM('W&amp;W'!R486:R491)++'W&amp;W'!R461++SUM('W&amp;W'!R511:R517)-'W&amp;W'!R514)/1000</f>
        <v>3655.2</v>
      </c>
      <c r="Q746" s="660">
        <f>(SUM('W&amp;W'!S444:S444)+SUM('W&amp;W'!S458:S459)+SUM('W&amp;W'!S486:S491)++'W&amp;W'!S461++SUM('W&amp;W'!S511:S517)-'W&amp;W'!S514)/1000</f>
        <v>3746.9</v>
      </c>
    </row>
    <row r="747" spans="1:17" s="726" customFormat="1" x14ac:dyDescent="0.2">
      <c r="A747" s="655" t="s">
        <v>4679</v>
      </c>
      <c r="B747" s="659">
        <f>C747</f>
        <v>1865</v>
      </c>
      <c r="C747" s="659">
        <v>1865</v>
      </c>
      <c r="D747" s="659">
        <v>2292</v>
      </c>
      <c r="E747" s="659">
        <v>2655</v>
      </c>
      <c r="F747" s="659">
        <f>E747*Assumptions!G5+E747</f>
        <v>2708.1</v>
      </c>
      <c r="G747" s="659">
        <f>F747*Assumptions!H5+F747</f>
        <v>2748.7215000000001</v>
      </c>
      <c r="H747" s="659">
        <f>G747*Assumptions!I5+G747</f>
        <v>2811.9420945000002</v>
      </c>
      <c r="I747" s="659">
        <f>H747*Assumptions!J5+H747</f>
        <v>2882.2406468625004</v>
      </c>
      <c r="J747" s="659">
        <f>I747*Assumptions!K5+I747</f>
        <v>2954.2966630340629</v>
      </c>
      <c r="K747" s="659">
        <f>J747*Assumptions!L5+J747</f>
        <v>3028.1540796099143</v>
      </c>
      <c r="L747" s="659">
        <f>K747*Assumptions!M5+K747</f>
        <v>3103.8579316001624</v>
      </c>
      <c r="M747" s="659">
        <f>L747*Assumptions!N5+L747</f>
        <v>3181.4543798901664</v>
      </c>
      <c r="N747" s="679">
        <f>M747*Assumptions!O5+M747</f>
        <v>3260.9907393874205</v>
      </c>
      <c r="O747" s="679">
        <f>N747*Assumptions!P5+N747</f>
        <v>3342.5155078721059</v>
      </c>
      <c r="P747" s="679">
        <f>O747*Assumptions!Q5+O747</f>
        <v>3426.0783955689085</v>
      </c>
      <c r="Q747" s="660">
        <f>P747*Assumptions!R5+P747</f>
        <v>3511.7303554581313</v>
      </c>
    </row>
    <row r="748" spans="1:17" s="726" customFormat="1" x14ac:dyDescent="0.2">
      <c r="A748" s="823" t="s">
        <v>4683</v>
      </c>
      <c r="B748" s="946">
        <f t="shared" ref="B748" si="1178">B746/B747</f>
        <v>1.0033243967828418</v>
      </c>
      <c r="C748" s="946">
        <f t="shared" ref="C748" si="1179">C746/C747</f>
        <v>0.96380697050938335</v>
      </c>
      <c r="D748" s="946">
        <f t="shared" ref="D748" si="1180">D746/D747</f>
        <v>0.89197207678883073</v>
      </c>
      <c r="E748" s="946">
        <f t="shared" ref="E748" si="1181">E746/E747</f>
        <v>1.0026365348399247</v>
      </c>
      <c r="F748" s="946">
        <f t="shared" ref="F748" si="1182">F746/F747</f>
        <v>0.98438019275506827</v>
      </c>
      <c r="G748" s="946">
        <f t="shared" ref="G748" si="1183">G746/G747</f>
        <v>1.0653316460034239</v>
      </c>
      <c r="H748" s="946">
        <f t="shared" ref="H748" si="1184">H746/H747</f>
        <v>1.0655269202948374</v>
      </c>
      <c r="I748" s="946">
        <f t="shared" ref="I748" si="1185">I746/I747</f>
        <v>1.0656986616796307</v>
      </c>
      <c r="J748" s="946">
        <f t="shared" ref="J748" si="1186">J746/J747</f>
        <v>1.0659051406049305</v>
      </c>
      <c r="K748" s="946">
        <f t="shared" ref="K748" si="1187">K746/K747</f>
        <v>1.0661280486810241</v>
      </c>
      <c r="L748" s="946">
        <f t="shared" ref="L748" si="1188">L746/L747</f>
        <v>1.0662536987618569</v>
      </c>
      <c r="M748" s="969">
        <f t="shared" ref="M748" si="1189">M746/M747</f>
        <v>1.066399072526423</v>
      </c>
      <c r="N748" s="969">
        <f t="shared" ref="N748:O748" si="1190">N746/N747</f>
        <v>1.0665470336948411</v>
      </c>
      <c r="O748" s="969">
        <f t="shared" si="1190"/>
        <v>1.0667714156006942</v>
      </c>
      <c r="P748" s="969">
        <f t="shared" ref="P748" si="1191">P746/P747</f>
        <v>1.0668757623081317</v>
      </c>
      <c r="Q748" s="2456">
        <f t="shared" ref="Q748" si="1192">Q746/Q747</f>
        <v>1.0669668854775125</v>
      </c>
    </row>
    <row r="749" spans="1:17" s="726" customFormat="1" x14ac:dyDescent="0.2">
      <c r="A749" s="655"/>
      <c r="B749" s="659"/>
      <c r="C749" s="659"/>
      <c r="D749" s="659"/>
      <c r="E749" s="659"/>
      <c r="F749" s="659"/>
      <c r="G749" s="659"/>
      <c r="H749" s="659"/>
      <c r="I749" s="659"/>
      <c r="J749" s="659"/>
      <c r="K749" s="659"/>
      <c r="L749" s="659"/>
      <c r="M749" s="679"/>
      <c r="N749" s="679"/>
      <c r="O749" s="679"/>
      <c r="P749" s="679"/>
      <c r="Q749" s="660"/>
    </row>
    <row r="750" spans="1:17" s="573" customFormat="1" x14ac:dyDescent="0.2">
      <c r="A750" s="823" t="s">
        <v>4680</v>
      </c>
      <c r="B750" s="732">
        <f>B746+B742+B738</f>
        <v>8622.1999999999989</v>
      </c>
      <c r="C750" s="732">
        <f t="shared" ref="C750:N750" si="1193">C746+C742+C738</f>
        <v>6809.9000000000015</v>
      </c>
      <c r="D750" s="732">
        <f t="shared" si="1193"/>
        <v>6963.6</v>
      </c>
      <c r="E750" s="732">
        <f t="shared" si="1193"/>
        <v>7661.6500000000005</v>
      </c>
      <c r="F750" s="732">
        <f t="shared" si="1193"/>
        <v>7302.75</v>
      </c>
      <c r="G750" s="732">
        <f t="shared" si="1193"/>
        <v>7997.2</v>
      </c>
      <c r="H750" s="732">
        <f t="shared" si="1193"/>
        <v>7206.6872845563876</v>
      </c>
      <c r="I750" s="732">
        <f t="shared" si="1193"/>
        <v>8471.75</v>
      </c>
      <c r="J750" s="732">
        <f t="shared" si="1193"/>
        <v>8578.1000000000022</v>
      </c>
      <c r="K750" s="732">
        <f t="shared" si="1193"/>
        <v>8891.4000000000015</v>
      </c>
      <c r="L750" s="732">
        <f t="shared" si="1193"/>
        <v>9006.25</v>
      </c>
      <c r="M750" s="732">
        <f t="shared" si="1193"/>
        <v>9332.1500000000015</v>
      </c>
      <c r="N750" s="733">
        <f t="shared" si="1193"/>
        <v>9454.75</v>
      </c>
      <c r="O750" s="733">
        <f t="shared" ref="O750" si="1194">O746+O742+O738</f>
        <v>9793.7000000000007</v>
      </c>
      <c r="P750" s="733">
        <f t="shared" ref="P750" si="1195">P746+P742+P738</f>
        <v>9926</v>
      </c>
      <c r="Q750" s="734">
        <f t="shared" ref="Q750" si="1196">Q746+Q742+Q738</f>
        <v>10168.349999999999</v>
      </c>
    </row>
    <row r="751" spans="1:17" s="573" customFormat="1" x14ac:dyDescent="0.2">
      <c r="A751" s="823" t="s">
        <v>4681</v>
      </c>
      <c r="B751" s="732">
        <f t="shared" ref="B751:N751" si="1197">B747+B743+B739</f>
        <v>8552</v>
      </c>
      <c r="C751" s="732">
        <f t="shared" si="1197"/>
        <v>8079</v>
      </c>
      <c r="D751" s="732">
        <f t="shared" si="1197"/>
        <v>7224.4472999999998</v>
      </c>
      <c r="E751" s="732">
        <f t="shared" si="1197"/>
        <v>7306</v>
      </c>
      <c r="F751" s="732">
        <f t="shared" si="1197"/>
        <v>7435.96</v>
      </c>
      <c r="G751" s="732">
        <f t="shared" si="1197"/>
        <v>7547.4994000000006</v>
      </c>
      <c r="H751" s="732">
        <f t="shared" si="1197"/>
        <v>7721.0918862000008</v>
      </c>
      <c r="I751" s="732">
        <f t="shared" si="1197"/>
        <v>7914.119183355001</v>
      </c>
      <c r="J751" s="732">
        <f t="shared" si="1197"/>
        <v>8111.9721629388769</v>
      </c>
      <c r="K751" s="732">
        <f t="shared" si="1197"/>
        <v>8314.7714670123478</v>
      </c>
      <c r="L751" s="732">
        <f t="shared" si="1197"/>
        <v>8522.6407536876577</v>
      </c>
      <c r="M751" s="732">
        <f t="shared" si="1197"/>
        <v>8735.7067725298475</v>
      </c>
      <c r="N751" s="733">
        <f t="shared" si="1197"/>
        <v>8954.0994418430946</v>
      </c>
      <c r="O751" s="733">
        <f t="shared" ref="O751" si="1198">O747+O743+O739</f>
        <v>9177.9519278891712</v>
      </c>
      <c r="P751" s="733">
        <f t="shared" ref="P751" si="1199">P747+P743+P739</f>
        <v>9407.4007260864018</v>
      </c>
      <c r="Q751" s="734">
        <f t="shared" ref="Q751" si="1200">Q747+Q743+Q739</f>
        <v>9642.5857442385604</v>
      </c>
    </row>
    <row r="752" spans="1:17" s="573" customFormat="1" x14ac:dyDescent="0.2">
      <c r="A752" s="823" t="s">
        <v>4683</v>
      </c>
      <c r="B752" s="1086">
        <f t="shared" ref="B752" si="1201">B750/B751</f>
        <v>1.0082086061739943</v>
      </c>
      <c r="C752" s="1086">
        <f t="shared" ref="C752" si="1202">C750/C751</f>
        <v>0.84291372694640443</v>
      </c>
      <c r="D752" s="1086">
        <f t="shared" ref="D752" si="1203">D750/D751</f>
        <v>0.96389380541263003</v>
      </c>
      <c r="E752" s="1086">
        <f t="shared" ref="E752" si="1204">E750/E751</f>
        <v>1.0486791678072818</v>
      </c>
      <c r="F752" s="1086">
        <f t="shared" ref="F752" si="1205">F750/F751</f>
        <v>0.98208570245133109</v>
      </c>
      <c r="G752" s="1086">
        <f t="shared" ref="G752" si="1206">G750/G751</f>
        <v>1.0595827274924989</v>
      </c>
      <c r="H752" s="1086">
        <f t="shared" ref="H752" si="1207">H750/H751</f>
        <v>0.9333767025149623</v>
      </c>
      <c r="I752" s="1086">
        <f t="shared" ref="I752" si="1208">I750/I751</f>
        <v>1.0704602500576197</v>
      </c>
      <c r="J752" s="1086">
        <f t="shared" ref="J752" si="1209">J750/J751</f>
        <v>1.0574617155604553</v>
      </c>
      <c r="K752" s="1086">
        <f t="shared" ref="K752" si="1210">K750/K751</f>
        <v>1.0693498955774483</v>
      </c>
      <c r="L752" s="1086">
        <f t="shared" ref="L752" si="1211">L750/L751</f>
        <v>1.0567440609418026</v>
      </c>
      <c r="M752" s="1087">
        <f t="shared" ref="M752" si="1212">M750/M751</f>
        <v>1.0682764706967636</v>
      </c>
      <c r="N752" s="1087">
        <f t="shared" ref="N752:O752" si="1213">N750/N751</f>
        <v>1.0559129995605512</v>
      </c>
      <c r="O752" s="1087">
        <f t="shared" si="1213"/>
        <v>1.0670899212535367</v>
      </c>
      <c r="P752" s="1087">
        <f t="shared" ref="P752" si="1214">P750/P751</f>
        <v>1.0551267336231931</v>
      </c>
      <c r="Q752" s="2457">
        <f t="shared" ref="Q752" si="1215">Q750/Q751</f>
        <v>1.0545252352125136</v>
      </c>
    </row>
    <row r="753" spans="1:17" s="573" customFormat="1" x14ac:dyDescent="0.2">
      <c r="A753" s="823"/>
      <c r="B753" s="732"/>
      <c r="C753" s="732"/>
      <c r="D753" s="732"/>
      <c r="E753" s="732"/>
      <c r="F753" s="732"/>
      <c r="G753" s="732"/>
      <c r="H753" s="732"/>
      <c r="I753" s="732"/>
      <c r="J753" s="732"/>
      <c r="K753" s="732"/>
      <c r="L753" s="732"/>
      <c r="M753" s="732"/>
      <c r="N753" s="733"/>
      <c r="O753" s="733"/>
      <c r="P753" s="733"/>
      <c r="Q753" s="734"/>
    </row>
    <row r="754" spans="1:17" s="772" customFormat="1" ht="13.5" thickBot="1" x14ac:dyDescent="0.25">
      <c r="A754" s="676"/>
      <c r="B754" s="677"/>
      <c r="C754" s="677"/>
      <c r="D754" s="677"/>
      <c r="E754" s="677"/>
      <c r="F754" s="677"/>
      <c r="G754" s="677"/>
      <c r="H754" s="677"/>
      <c r="I754" s="677"/>
      <c r="J754" s="677"/>
      <c r="K754" s="677"/>
      <c r="L754" s="677"/>
      <c r="M754" s="677"/>
      <c r="N754" s="965"/>
      <c r="O754" s="965"/>
      <c r="P754" s="965"/>
      <c r="Q754" s="678"/>
    </row>
    <row r="755" spans="1:17" ht="17.25" thickTop="1" thickBot="1" x14ac:dyDescent="0.3">
      <c r="A755" s="2570" t="s">
        <v>5039</v>
      </c>
      <c r="B755" s="2571"/>
      <c r="C755" s="2571"/>
      <c r="D755" s="2571"/>
      <c r="E755" s="2571"/>
      <c r="F755" s="2571"/>
      <c r="G755" s="2571"/>
      <c r="H755" s="2571"/>
      <c r="I755" s="2571"/>
      <c r="J755" s="2571"/>
      <c r="K755" s="2571"/>
      <c r="L755" s="2571"/>
      <c r="M755" s="2571"/>
      <c r="N755" s="2571"/>
      <c r="O755" s="2571"/>
      <c r="P755" s="2571"/>
      <c r="Q755" s="2572"/>
    </row>
    <row r="756" spans="1:17" s="726" customFormat="1" ht="13.5" thickBot="1" x14ac:dyDescent="0.25">
      <c r="A756" s="837" t="s">
        <v>228</v>
      </c>
      <c r="B756" s="565" t="str">
        <f t="shared" ref="B756:O756" si="1216">B672</f>
        <v>2012/13</v>
      </c>
      <c r="C756" s="565" t="str">
        <f t="shared" si="1216"/>
        <v>2013/14</v>
      </c>
      <c r="D756" s="565" t="str">
        <f t="shared" si="1216"/>
        <v>2014/15</v>
      </c>
      <c r="E756" s="565" t="str">
        <f t="shared" si="1216"/>
        <v>2015/16</v>
      </c>
      <c r="F756" s="565" t="str">
        <f t="shared" si="1216"/>
        <v>2016/17</v>
      </c>
      <c r="G756" s="565" t="str">
        <f t="shared" si="1216"/>
        <v>2017/18</v>
      </c>
      <c r="H756" s="565" t="str">
        <f t="shared" si="1216"/>
        <v>2018/19</v>
      </c>
      <c r="I756" s="565" t="str">
        <f t="shared" si="1216"/>
        <v>2019/20</v>
      </c>
      <c r="J756" s="565" t="str">
        <f t="shared" si="1216"/>
        <v>2020/21</v>
      </c>
      <c r="K756" s="565" t="str">
        <f t="shared" si="1216"/>
        <v>2021/22</v>
      </c>
      <c r="L756" s="565" t="str">
        <f t="shared" si="1216"/>
        <v>2022/23</v>
      </c>
      <c r="M756" s="966" t="str">
        <f t="shared" si="1216"/>
        <v>2023/24</v>
      </c>
      <c r="N756" s="966" t="str">
        <f t="shared" si="1216"/>
        <v>2024/25</v>
      </c>
      <c r="O756" s="966" t="str">
        <f t="shared" si="1216"/>
        <v>2025/26</v>
      </c>
      <c r="P756" s="966" t="str">
        <f t="shared" ref="P756" si="1217">P672</f>
        <v>2026/27</v>
      </c>
      <c r="Q756" s="2445" t="str">
        <f t="shared" ref="Q756" si="1218">Q672</f>
        <v>2027/28</v>
      </c>
    </row>
    <row r="757" spans="1:17" x14ac:dyDescent="0.2">
      <c r="A757" s="823" t="s">
        <v>3859</v>
      </c>
      <c r="B757" s="547"/>
      <c r="C757" s="547"/>
      <c r="D757" s="547"/>
      <c r="E757" s="547"/>
      <c r="F757" s="547"/>
      <c r="G757" s="547"/>
      <c r="H757" s="547"/>
      <c r="I757" s="547"/>
      <c r="J757" s="547"/>
      <c r="K757" s="547"/>
      <c r="L757" s="547"/>
      <c r="M757" s="549"/>
      <c r="N757" s="549"/>
      <c r="O757" s="549"/>
      <c r="P757" s="549"/>
      <c r="Q757" s="835"/>
    </row>
    <row r="758" spans="1:17" s="726" customFormat="1" x14ac:dyDescent="0.2">
      <c r="A758" s="655" t="s">
        <v>3857</v>
      </c>
      <c r="B758" s="659">
        <f>CIV!A1990/1000</f>
        <v>170.1</v>
      </c>
      <c r="C758" s="659">
        <f>CIV!B1990/1000</f>
        <v>169.1</v>
      </c>
      <c r="D758" s="659">
        <f>CIV!C1990/1000</f>
        <v>151.80000000000001</v>
      </c>
      <c r="E758" s="659">
        <f>CIV!D1990/1000</f>
        <v>152.1</v>
      </c>
      <c r="F758" s="659">
        <f>CIV!E1990/1000</f>
        <v>150.19999999999999</v>
      </c>
      <c r="G758" s="659">
        <f>CIV!H1990/1000</f>
        <v>139.30000000000001</v>
      </c>
      <c r="H758" s="659">
        <f>CIV!J1990/1000</f>
        <v>116.4</v>
      </c>
      <c r="I758" s="659">
        <f>CIV!K1990/1000</f>
        <v>117.3</v>
      </c>
      <c r="J758" s="659">
        <f>CIV!L1990/1000</f>
        <v>118.2</v>
      </c>
      <c r="K758" s="659">
        <f>CIV!M1990/1000</f>
        <v>119.1</v>
      </c>
      <c r="L758" s="659">
        <f>CIV!N1990/1000</f>
        <v>120</v>
      </c>
      <c r="M758" s="679">
        <f>CIV!O1990/1000</f>
        <v>120.9</v>
      </c>
      <c r="N758" s="679">
        <f>CIV!P1990/1000</f>
        <v>121.8</v>
      </c>
      <c r="O758" s="679">
        <f>CIV!Q1990/1000</f>
        <v>122.7</v>
      </c>
      <c r="P758" s="679">
        <f>CIV!R1990/1000</f>
        <v>123.6</v>
      </c>
      <c r="Q758" s="660">
        <f>CIV!S1990/1000</f>
        <v>124.5</v>
      </c>
    </row>
    <row r="759" spans="1:17" s="726" customFormat="1" x14ac:dyDescent="0.2">
      <c r="A759" s="655" t="s">
        <v>837</v>
      </c>
      <c r="B759" s="659">
        <f>SUM(GM!A573:A577)/1000</f>
        <v>3728.4</v>
      </c>
      <c r="C759" s="659">
        <f>SUM(GM!B573:B577)/1000</f>
        <v>2118.5</v>
      </c>
      <c r="D759" s="659">
        <f>SUM(GM!C573:C577)/1000</f>
        <v>4057.2</v>
      </c>
      <c r="E759" s="659">
        <f>SUM(GM!D573:D577)/1000</f>
        <v>4181.5</v>
      </c>
      <c r="F759" s="659">
        <f>SUM(GM!E573:G577)/1000</f>
        <v>6642.2</v>
      </c>
      <c r="G759" s="659">
        <f>SUM(GM!H573:H577)/1000</f>
        <v>4639.2</v>
      </c>
      <c r="H759" s="659">
        <f>SUM(GM!J573:J577)/1000</f>
        <v>4694.3</v>
      </c>
      <c r="I759" s="659">
        <f>SUM(GM!K573:K577)/1000</f>
        <v>4783.3</v>
      </c>
      <c r="J759" s="659">
        <f>SUM(GM!L573:L577)/1000</f>
        <v>4874.2</v>
      </c>
      <c r="K759" s="659">
        <f>SUM(GM!M573:M577)/1000</f>
        <v>4966.7</v>
      </c>
      <c r="L759" s="659">
        <f>SUM(GM!N573:N577)/1000</f>
        <v>5061.1000000000004</v>
      </c>
      <c r="M759" s="679">
        <f>SUM(GM!O573:O577)/1000</f>
        <v>5157.3999999999996</v>
      </c>
      <c r="N759" s="679">
        <f>SUM(GM!P573:P577)/1000</f>
        <v>5255.5</v>
      </c>
      <c r="O759" s="679">
        <f>SUM(GM!Q573:Q577)/1000</f>
        <v>5355.6</v>
      </c>
      <c r="P759" s="679">
        <f>SUM(GM!R573:R577)/1000</f>
        <v>5457.6</v>
      </c>
      <c r="Q759" s="660">
        <f>SUM(GM!S573:S577)/1000</f>
        <v>5561.7</v>
      </c>
    </row>
    <row r="760" spans="1:17" s="726" customFormat="1" x14ac:dyDescent="0.2">
      <c r="A760" s="655" t="s">
        <v>1903</v>
      </c>
      <c r="B760" s="659">
        <f>(SP!A669+SP!A670)/1000</f>
        <v>115.6</v>
      </c>
      <c r="C760" s="659">
        <f>(SP!B669+SP!B670)/1000</f>
        <v>110.4</v>
      </c>
      <c r="D760" s="659">
        <f>(SP!C669+SP!C670)/1000</f>
        <v>136.30000000000001</v>
      </c>
      <c r="E760" s="659">
        <f>(SP!D669+SP!D670)/1000</f>
        <v>111.9</v>
      </c>
      <c r="F760" s="659">
        <f>(SP!E669+SP!E670)/1000</f>
        <v>118.3</v>
      </c>
      <c r="G760" s="659">
        <f>(SP!H669+SP!H670)/1000</f>
        <v>78</v>
      </c>
      <c r="H760" s="659">
        <f>(SP!J669+SP!J670)/1000</f>
        <v>79.8</v>
      </c>
      <c r="I760" s="659">
        <f>(SP!K669+SP!K670)/1000</f>
        <v>81.8</v>
      </c>
      <c r="J760" s="659">
        <f>(SP!L669+SP!L670)/1000</f>
        <v>83.9</v>
      </c>
      <c r="K760" s="659">
        <f>(SP!M669+SP!M670)/1000</f>
        <v>86</v>
      </c>
      <c r="L760" s="659">
        <f>(SP!N669+SP!N670)/1000</f>
        <v>88.2</v>
      </c>
      <c r="M760" s="679">
        <f>(SP!O669+SP!O670)/1000</f>
        <v>90.5</v>
      </c>
      <c r="N760" s="679">
        <f>(SP!P669+SP!P670)/1000</f>
        <v>92.8</v>
      </c>
      <c r="O760" s="679">
        <f>(SP!Q669+SP!Q670)/1000</f>
        <v>95.2</v>
      </c>
      <c r="P760" s="679">
        <f>(SP!R669+SP!R670)/1000</f>
        <v>97.6</v>
      </c>
      <c r="Q760" s="660">
        <f>(SP!S669+SP!S670)/1000</f>
        <v>100.1</v>
      </c>
    </row>
    <row r="761" spans="1:17" s="726" customFormat="1" x14ac:dyDescent="0.2">
      <c r="A761" s="655" t="s">
        <v>3858</v>
      </c>
      <c r="B761" s="659">
        <f>(CIV!A1666+CIV!A1667+CIV!A1668)/1000</f>
        <v>248.5</v>
      </c>
      <c r="C761" s="659">
        <f>(CIV!B1666+CIV!B1667+CIV!B1668)/1000</f>
        <v>161.5</v>
      </c>
      <c r="D761" s="659">
        <f>(CIV!C1666+CIV!C1667+CIV!C1668)/1000</f>
        <v>181.9</v>
      </c>
      <c r="E761" s="659">
        <f>(CIV!D1666+CIV!D1667+CIV!D1668)/1000</f>
        <v>172.3</v>
      </c>
      <c r="F761" s="659">
        <f>(CIV!E1666+CIV!E1667+CIV!E1668)/1000</f>
        <v>200.1</v>
      </c>
      <c r="G761" s="659">
        <f>(CIV!H1666+CIV!H1667+CIV!H1668)/1000</f>
        <v>206.5</v>
      </c>
      <c r="H761" s="659">
        <f>(CIV!J1666+CIV!J1667+CIV!J1668)/1000</f>
        <v>211.4</v>
      </c>
      <c r="I761" s="659">
        <f>(CIV!K1666+CIV!K1667+CIV!K1668)/1000</f>
        <v>216.8</v>
      </c>
      <c r="J761" s="659">
        <f>(CIV!L1666+CIV!L1667+CIV!L1668)/1000</f>
        <v>222.3</v>
      </c>
      <c r="K761" s="659">
        <f>(CIV!M1666+CIV!M1667+CIV!M1668)/1000</f>
        <v>228.1</v>
      </c>
      <c r="L761" s="659">
        <f>(CIV!N1666+CIV!N1667+CIV!N1668)/1000</f>
        <v>233.9</v>
      </c>
      <c r="M761" s="679">
        <f>(CIV!O1666+CIV!O1667+CIV!O1668)/1000</f>
        <v>239.9</v>
      </c>
      <c r="N761" s="679">
        <f>(CIV!P1666+CIV!P1667+CIV!P1668)/1000</f>
        <v>246</v>
      </c>
      <c r="O761" s="679">
        <f>(CIV!Q1666+CIV!Q1667+CIV!Q1668)/1000</f>
        <v>252.2</v>
      </c>
      <c r="P761" s="679">
        <f>(CIV!R1666+CIV!R1667+CIV!R1668)/1000</f>
        <v>258.7</v>
      </c>
      <c r="Q761" s="660">
        <f>(CIV!S1666+CIV!S1667+CIV!S1668)/1000</f>
        <v>265.3</v>
      </c>
    </row>
    <row r="762" spans="1:17" s="726" customFormat="1" x14ac:dyDescent="0.2">
      <c r="A762" s="655" t="s">
        <v>402</v>
      </c>
      <c r="B762" s="659">
        <f>SUM(CIV!A962:A969)/1000</f>
        <v>41.8</v>
      </c>
      <c r="C762" s="659">
        <f>SUM(CIV!B962:B969)/1000</f>
        <v>43.8</v>
      </c>
      <c r="D762" s="659">
        <f>SUM(CIV!C962:C969)/1000</f>
        <v>0</v>
      </c>
      <c r="E762" s="659">
        <f>SUM(CIV!D962:D969)/1000</f>
        <v>5.0999999999999996</v>
      </c>
      <c r="F762" s="659">
        <f>SUM(CIV!E962:G969)/1000</f>
        <v>178.11</v>
      </c>
      <c r="G762" s="659">
        <f>SUM(CIV!H962:H969)/1000</f>
        <v>131</v>
      </c>
      <c r="H762" s="659">
        <f>SUM(CIV!J962:J969)/1000</f>
        <v>130</v>
      </c>
      <c r="I762" s="659">
        <f>SUM(CIV!K962:K969)/1000</f>
        <v>100</v>
      </c>
      <c r="J762" s="659">
        <f>SUM(CIV!L962:L969)/1000</f>
        <v>0</v>
      </c>
      <c r="K762" s="659">
        <f>SUM(CIV!M962:M969)/1000</f>
        <v>0</v>
      </c>
      <c r="L762" s="659">
        <f>SUM(CIV!N962:N969)/1000</f>
        <v>0</v>
      </c>
      <c r="M762" s="679">
        <f>SUM(CIV!O962:O969)/1000</f>
        <v>0</v>
      </c>
      <c r="N762" s="679">
        <f>SUM(CIV!P962:P969)/1000</f>
        <v>0</v>
      </c>
      <c r="O762" s="679">
        <f>SUM(CIV!Q962:Q969)/1000</f>
        <v>0</v>
      </c>
      <c r="P762" s="679">
        <f>SUM(CIV!R962:R969)/1000</f>
        <v>0</v>
      </c>
      <c r="Q762" s="660">
        <f>SUM(CIV!S962:S969)/1000</f>
        <v>0</v>
      </c>
    </row>
    <row r="763" spans="1:17" s="726" customFormat="1" x14ac:dyDescent="0.2">
      <c r="A763" s="655" t="s">
        <v>502</v>
      </c>
      <c r="B763" s="659">
        <f>SUM(CIV!A760:A764)/1000</f>
        <v>83</v>
      </c>
      <c r="C763" s="659">
        <f>SUM(CIV!B760:B764)/1000</f>
        <v>72.5</v>
      </c>
      <c r="D763" s="659">
        <f>SUM(CIV!C760:C764)/1000</f>
        <v>71</v>
      </c>
      <c r="E763" s="659">
        <f>SUM(CIV!D760:D764)/1000</f>
        <v>49.4</v>
      </c>
      <c r="F763" s="659">
        <f>SUM(CIV!E760:G764)/1000</f>
        <v>58.1</v>
      </c>
      <c r="G763" s="659">
        <f>SUM(CIV!H760:H764)/1000</f>
        <v>54</v>
      </c>
      <c r="H763" s="659">
        <f>SUM(CIV!J760:J764)/1000</f>
        <v>55.4</v>
      </c>
      <c r="I763" s="659">
        <f>SUM(CIV!K760:K764)/1000</f>
        <v>57</v>
      </c>
      <c r="J763" s="659">
        <f>SUM(CIV!L760:L764)/1000</f>
        <v>58.6</v>
      </c>
      <c r="K763" s="659">
        <f>SUM(CIV!M760:M764)/1000</f>
        <v>60.2</v>
      </c>
      <c r="L763" s="659">
        <f>SUM(CIV!N760:N764)/1000</f>
        <v>61.9</v>
      </c>
      <c r="M763" s="679">
        <f>SUM(CIV!O760:O764)/1000</f>
        <v>63.6</v>
      </c>
      <c r="N763" s="679">
        <f>SUM(CIV!P760:P764)/1000</f>
        <v>65.3</v>
      </c>
      <c r="O763" s="679">
        <f>SUM(CIV!Q760:Q764)/1000</f>
        <v>67.099999999999994</v>
      </c>
      <c r="P763" s="679">
        <f>SUM(CIV!R760:R764)/1000</f>
        <v>68.900000000000006</v>
      </c>
      <c r="Q763" s="660">
        <f>SUM(CIV!S760:S764)/1000</f>
        <v>70.7</v>
      </c>
    </row>
    <row r="764" spans="1:17" s="726" customFormat="1" x14ac:dyDescent="0.2">
      <c r="A764" s="655" t="s">
        <v>717</v>
      </c>
      <c r="B764" s="659">
        <f>ROUND(SUM(CIV!A1027:A1034)+SUM(CIV!A1098:A1104),-3)/1000</f>
        <v>733</v>
      </c>
      <c r="C764" s="659">
        <f>ROUND(SUM(CIV!B1027:B1034)+SUM(CIV!B1098:B1104),-3)/1000</f>
        <v>564</v>
      </c>
      <c r="D764" s="659">
        <f>ROUND(SUM(CIV!C1027:C1034)+SUM(CIV!C1098:C1104),-3)/1000</f>
        <v>498</v>
      </c>
      <c r="E764" s="659">
        <f>ROUND(SUM(CIV!D1027:D1034)+SUM(CIV!D1098:D1104),-3)/1000</f>
        <v>392</v>
      </c>
      <c r="F764" s="659">
        <f>ROUND(SUM(CIV!E1027:G1034)+SUM(CIV!E1098:G1104),-3)/1000</f>
        <v>1702</v>
      </c>
      <c r="G764" s="659">
        <f>ROUND(SUM(CIV!H1027:H1034)+SUM(CIV!H1098:H1104),-3)/1000</f>
        <v>979</v>
      </c>
      <c r="H764" s="659">
        <f>ROUND(SUM(CIV!J1027:J1034)+SUM(CIV!J1098:J1104),-3)/1000</f>
        <v>544</v>
      </c>
      <c r="I764" s="659">
        <f>ROUND(SUM(CIV!K1027:K1034)+SUM(CIV!K1098:K1104),-3)/1000</f>
        <v>679</v>
      </c>
      <c r="J764" s="659">
        <f>ROUND(SUM(CIV!L1027:L1034)+SUM(CIV!L1098:L1104),-3)/1000</f>
        <v>684</v>
      </c>
      <c r="K764" s="659">
        <f>ROUND(SUM(CIV!M1027:M1034)+SUM(CIV!M1098:M1104),-3)/1000</f>
        <v>689</v>
      </c>
      <c r="L764" s="659">
        <f>ROUND(SUM(CIV!N1027:N1034)+SUM(CIV!N1098:N1104),-3)/1000</f>
        <v>694</v>
      </c>
      <c r="M764" s="679">
        <f>ROUND(SUM(CIV!O1027:O1034)+SUM(CIV!O1098:O1104),-3)/1000</f>
        <v>703</v>
      </c>
      <c r="N764" s="679">
        <f>ROUND(SUM(CIV!P1027:P1034)+SUM(CIV!P1098:P1104),-3)/1000</f>
        <v>715</v>
      </c>
      <c r="O764" s="679">
        <f>ROUND(SUM(CIV!Q1027:Q1034)+SUM(CIV!Q1098:Q1104),-3)/1000</f>
        <v>729</v>
      </c>
      <c r="P764" s="679">
        <f>ROUND(SUM(CIV!R1027:R1034)+SUM(CIV!R1098:R1104),-3)/1000</f>
        <v>744</v>
      </c>
      <c r="Q764" s="660">
        <f>ROUND(SUM(CIV!S1027:S1034)+SUM(CIV!S1098:S1104),-3)/1000</f>
        <v>759</v>
      </c>
    </row>
    <row r="765" spans="1:17" s="726" customFormat="1" x14ac:dyDescent="0.2">
      <c r="A765" s="655" t="s">
        <v>6685</v>
      </c>
      <c r="B765" s="659"/>
      <c r="C765" s="659"/>
      <c r="D765" s="659"/>
      <c r="E765" s="659">
        <v>1706</v>
      </c>
      <c r="F765" s="659"/>
      <c r="G765" s="659"/>
      <c r="H765" s="659"/>
      <c r="I765" s="659"/>
      <c r="J765" s="659"/>
      <c r="K765" s="659"/>
      <c r="L765" s="659"/>
      <c r="M765" s="679"/>
      <c r="N765" s="679"/>
      <c r="O765" s="679"/>
      <c r="P765" s="679"/>
      <c r="Q765" s="660"/>
    </row>
    <row r="766" spans="1:17" s="726" customFormat="1" x14ac:dyDescent="0.2">
      <c r="A766" s="655" t="s">
        <v>2064</v>
      </c>
      <c r="B766" s="659">
        <f>CIV!A1096/1000</f>
        <v>98</v>
      </c>
      <c r="C766" s="659">
        <f>CIV!B1096/1000</f>
        <v>98</v>
      </c>
      <c r="D766" s="659">
        <f>CIV!C1096/1000</f>
        <v>98</v>
      </c>
      <c r="E766" s="659">
        <f>CIV!D1096/1000</f>
        <v>98</v>
      </c>
      <c r="F766" s="659">
        <f>CIV!E1096/1000</f>
        <v>98</v>
      </c>
      <c r="G766" s="659">
        <f>CIV!H1096/1000</f>
        <v>100</v>
      </c>
      <c r="H766" s="659">
        <f>CIV!J1096/1000</f>
        <v>102.3</v>
      </c>
      <c r="I766" s="659">
        <f>CIV!K1096/1000</f>
        <v>104.9</v>
      </c>
      <c r="J766" s="659">
        <f>CIV!L1096/1000</f>
        <v>107.6</v>
      </c>
      <c r="K766" s="659">
        <f>CIV!M1096/1000</f>
        <v>110.3</v>
      </c>
      <c r="L766" s="659">
        <f>CIV!N1096/1000</f>
        <v>113.1</v>
      </c>
      <c r="M766" s="679">
        <f>CIV!O1096/1000</f>
        <v>116</v>
      </c>
      <c r="N766" s="679">
        <f>CIV!P1096/1000</f>
        <v>118.9</v>
      </c>
      <c r="O766" s="679">
        <f>CIV!Q1096/1000</f>
        <v>121.9</v>
      </c>
      <c r="P766" s="679">
        <f>CIV!R1096/1000</f>
        <v>125</v>
      </c>
      <c r="Q766" s="660">
        <f>CIV!S1096/1000</f>
        <v>128.19999999999999</v>
      </c>
    </row>
    <row r="767" spans="1:17" s="726" customFormat="1" x14ac:dyDescent="0.2">
      <c r="A767" s="655" t="s">
        <v>3854</v>
      </c>
      <c r="B767" s="659">
        <f>SUM(CIV!A1234)/1000</f>
        <v>677.4</v>
      </c>
      <c r="C767" s="659">
        <f>SUM(CIV!B1234)/1000</f>
        <v>926</v>
      </c>
      <c r="D767" s="659">
        <f>SUM(CIV!C1234)/1000</f>
        <v>866.5</v>
      </c>
      <c r="E767" s="659">
        <f>SUM(CIV!D1234)/1000</f>
        <v>876</v>
      </c>
      <c r="F767" s="659">
        <f>SUM(CIV!E1234)/1000</f>
        <v>1003.2</v>
      </c>
      <c r="G767" s="659">
        <f>SUM(CIV!H1234)/1000</f>
        <v>746</v>
      </c>
      <c r="H767" s="659">
        <f>SUM(CIV!J1234)/1000</f>
        <v>763.9</v>
      </c>
      <c r="I767" s="659">
        <f>SUM(CIV!K1234)/1000</f>
        <v>783.6</v>
      </c>
      <c r="J767" s="659">
        <f>SUM(CIV!L1234)/1000</f>
        <v>803.6</v>
      </c>
      <c r="K767" s="659">
        <f>SUM(CIV!M1234)/1000</f>
        <v>824.1</v>
      </c>
      <c r="L767" s="659">
        <f>SUM(CIV!N1234)/1000</f>
        <v>845.2</v>
      </c>
      <c r="M767" s="679">
        <f>SUM(CIV!O1234)/1000</f>
        <v>866.8</v>
      </c>
      <c r="N767" s="679">
        <f>SUM(CIV!P1234)/1000</f>
        <v>888.9</v>
      </c>
      <c r="O767" s="679">
        <f>SUM(CIV!Q1234)/1000</f>
        <v>911.4</v>
      </c>
      <c r="P767" s="679">
        <f>SUM(CIV!R1234)/1000</f>
        <v>934.6</v>
      </c>
      <c r="Q767" s="660">
        <f>SUM(CIV!S1234)/1000</f>
        <v>958.3</v>
      </c>
    </row>
    <row r="768" spans="1:17" s="726" customFormat="1" x14ac:dyDescent="0.2">
      <c r="A768" s="655" t="s">
        <v>3853</v>
      </c>
      <c r="B768" s="659">
        <f>SUM(CIV!A1164:A1168)/1000</f>
        <v>0</v>
      </c>
      <c r="C768" s="659">
        <f>SUM(CIV!B1164:B1168)/1000</f>
        <v>0</v>
      </c>
      <c r="D768" s="659">
        <f>SUM(CIV!C1164:C1168)/1000</f>
        <v>27.4</v>
      </c>
      <c r="E768" s="659">
        <f>SUM(CIV!D1164:D1168)/1000</f>
        <v>6.8</v>
      </c>
      <c r="F768" s="659">
        <f>SUM(CIV!E1164:G1168)/1000</f>
        <v>42</v>
      </c>
      <c r="G768" s="659">
        <f>SUM(CIV!H1164:H1168)/1000</f>
        <v>0</v>
      </c>
      <c r="H768" s="659">
        <f>SUM(CIV!J1164:J1168)/1000</f>
        <v>0</v>
      </c>
      <c r="I768" s="659">
        <f>SUM(CIV!K1164:K1168)/1000</f>
        <v>0</v>
      </c>
      <c r="J768" s="659">
        <f>SUM(CIV!L1164:L1168)/1000</f>
        <v>0</v>
      </c>
      <c r="K768" s="659">
        <f>SUM(CIV!M1164:M1168)/1000</f>
        <v>0</v>
      </c>
      <c r="L768" s="659">
        <f>SUM(CIV!N1164:N1168)/1000</f>
        <v>0</v>
      </c>
      <c r="M768" s="679">
        <f>SUM(CIV!O1164:O1168)/1000</f>
        <v>0</v>
      </c>
      <c r="N768" s="679">
        <f>SUM(CIV!P1164:P1168)/1000</f>
        <v>0</v>
      </c>
      <c r="O768" s="679">
        <f>SUM(CIV!Q1164:Q1168)/1000</f>
        <v>0</v>
      </c>
      <c r="P768" s="679">
        <f>SUM(CIV!R1164:R1168)/1000</f>
        <v>0</v>
      </c>
      <c r="Q768" s="660">
        <f>SUM(CIV!S1164:S1168)/1000</f>
        <v>0</v>
      </c>
    </row>
    <row r="769" spans="1:17" s="726" customFormat="1" x14ac:dyDescent="0.2">
      <c r="A769" s="655" t="s">
        <v>3855</v>
      </c>
      <c r="B769" s="659">
        <f>SUM(CIV!A1292:A1298)/1000</f>
        <v>305.3</v>
      </c>
      <c r="C769" s="659">
        <f>SUM(CIV!B1292:B1298)/1000</f>
        <v>337.6</v>
      </c>
      <c r="D769" s="659">
        <f>SUM(CIV!C1292:C1298)/1000</f>
        <v>270.5</v>
      </c>
      <c r="E769" s="659">
        <f>SUM(CIV!D1292:D1298)/1000</f>
        <v>273</v>
      </c>
      <c r="F769" s="659">
        <f>SUM(CIV!E1292:G1298)/1000</f>
        <v>239.2</v>
      </c>
      <c r="G769" s="659">
        <f>SUM(CIV!H1292:H1298)/1000</f>
        <v>231.9</v>
      </c>
      <c r="H769" s="659">
        <f>SUM(CIV!J1292:J1298)/1000</f>
        <v>237.5</v>
      </c>
      <c r="I769" s="659">
        <f>SUM(CIV!K1292:K1298)/1000</f>
        <v>243.8</v>
      </c>
      <c r="J769" s="659">
        <f>SUM(CIV!L1292:L1298)/1000</f>
        <v>250.2</v>
      </c>
      <c r="K769" s="659">
        <f>SUM(CIV!M1292:M1298)/1000</f>
        <v>256.60000000000002</v>
      </c>
      <c r="L769" s="659">
        <f>SUM(CIV!N1292:N1298)/1000</f>
        <v>263.3</v>
      </c>
      <c r="M769" s="679">
        <f>SUM(CIV!O1292:O1298)/1000</f>
        <v>270.10000000000002</v>
      </c>
      <c r="N769" s="679">
        <f>SUM(CIV!P1292:P1298)/1000</f>
        <v>277.10000000000002</v>
      </c>
      <c r="O769" s="679">
        <f>SUM(CIV!Q1292:Q1298)/1000</f>
        <v>284.2</v>
      </c>
      <c r="P769" s="679">
        <f>SUM(CIV!R1292:R1298)/1000</f>
        <v>291.5</v>
      </c>
      <c r="Q769" s="660">
        <f>SUM(CIV!S1292:S1298)/1000</f>
        <v>299</v>
      </c>
    </row>
    <row r="770" spans="1:17" s="726" customFormat="1" x14ac:dyDescent="0.2">
      <c r="A770" s="655" t="s">
        <v>3609</v>
      </c>
      <c r="B770" s="659">
        <f>SUM(CIV!A1533:A1538)/1000</f>
        <v>5.6</v>
      </c>
      <c r="C770" s="659">
        <f>SUM(CIV!B1533:B1538)/1000</f>
        <v>82.7</v>
      </c>
      <c r="D770" s="659">
        <f>SUM(CIV!C1533:C1538)/1000</f>
        <v>86.4</v>
      </c>
      <c r="E770" s="659">
        <f>SUM(CIV!D1533:D1538)/1000</f>
        <v>95.4</v>
      </c>
      <c r="F770" s="659">
        <f>SUM(CIV!E1533:G1538)/1000</f>
        <v>22.256</v>
      </c>
      <c r="G770" s="659">
        <f>SUM(CIV!H1533:H1538)/1000</f>
        <v>0</v>
      </c>
      <c r="H770" s="659">
        <f>SUM(CIV!J1533:J1538)/1000</f>
        <v>0</v>
      </c>
      <c r="I770" s="659">
        <f>SUM(CIV!K1533:K1538)/1000</f>
        <v>0</v>
      </c>
      <c r="J770" s="659">
        <f>SUM(CIV!L1533:L1538)/1000</f>
        <v>0</v>
      </c>
      <c r="K770" s="659">
        <f>SUM(CIV!M1533:M1538)/1000</f>
        <v>0</v>
      </c>
      <c r="L770" s="659">
        <f>SUM(CIV!N1533:N1538)/1000</f>
        <v>0</v>
      </c>
      <c r="M770" s="679">
        <f>SUM(CIV!O1533:O1538)/1000</f>
        <v>0</v>
      </c>
      <c r="N770" s="679">
        <f>SUM(CIV!P1533:P1538)/1000</f>
        <v>0</v>
      </c>
      <c r="O770" s="679">
        <f>SUM(CIV!Q1533:Q1538)/1000</f>
        <v>0</v>
      </c>
      <c r="P770" s="679">
        <f>SUM(CIV!R1533:R1538)/1000</f>
        <v>0</v>
      </c>
      <c r="Q770" s="660">
        <f>SUM(CIV!S1533:S1538)/1000</f>
        <v>0</v>
      </c>
    </row>
    <row r="771" spans="1:17" s="726" customFormat="1" x14ac:dyDescent="0.2">
      <c r="A771" s="655" t="s">
        <v>163</v>
      </c>
      <c r="B771" s="659">
        <f>SUM(CIV!A1403)/1000</f>
        <v>151.69999999999999</v>
      </c>
      <c r="C771" s="659">
        <f>SUM(CIV!B1403)/1000</f>
        <v>136.5</v>
      </c>
      <c r="D771" s="659">
        <f>SUM(CIV!C1403)/1000</f>
        <v>95.1</v>
      </c>
      <c r="E771" s="659">
        <f>SUM(CIV!D1403)/1000</f>
        <v>158.69999999999999</v>
      </c>
      <c r="F771" s="659">
        <f>SUM(CIV!E1403)/1000</f>
        <v>53.3</v>
      </c>
      <c r="G771" s="659">
        <f>SUM(CIV!H1403)/1000</f>
        <v>52.7</v>
      </c>
      <c r="H771" s="659">
        <f>SUM(CIV!J1403)/1000</f>
        <v>5.2</v>
      </c>
      <c r="I771" s="659">
        <f>SUM(CIV!K1403)/1000</f>
        <v>5.4</v>
      </c>
      <c r="J771" s="659">
        <f>SUM(CIV!L1403)/1000</f>
        <v>5.6</v>
      </c>
      <c r="K771" s="659">
        <f>SUM(CIV!M1403)/1000</f>
        <v>5.8</v>
      </c>
      <c r="L771" s="659">
        <f>SUM(CIV!N1403)/1000</f>
        <v>6</v>
      </c>
      <c r="M771" s="679">
        <f>SUM(CIV!O1403)/1000</f>
        <v>6.2</v>
      </c>
      <c r="N771" s="679">
        <f>SUM(CIV!P1403)/1000</f>
        <v>6.4</v>
      </c>
      <c r="O771" s="679">
        <f>SUM(CIV!Q1403)/1000</f>
        <v>6.6</v>
      </c>
      <c r="P771" s="679">
        <f>SUM(CIV!R1403)/1000</f>
        <v>6.8</v>
      </c>
      <c r="Q771" s="660">
        <f>SUM(CIV!S1403)/1000</f>
        <v>7</v>
      </c>
    </row>
    <row r="772" spans="1:17" s="726" customFormat="1" x14ac:dyDescent="0.2">
      <c r="A772" s="655" t="s">
        <v>3856</v>
      </c>
      <c r="B772" s="659">
        <f>SUM(CIV!A1797:A1798)/1000</f>
        <v>253.5</v>
      </c>
      <c r="C772" s="659">
        <f>SUM(CIV!B1797:B1798)/1000</f>
        <v>150.30000000000001</v>
      </c>
      <c r="D772" s="659">
        <f>SUM(CIV!C1797:C1798)/1000</f>
        <v>125.4</v>
      </c>
      <c r="E772" s="659">
        <f>SUM(CIV!D1797:D1798)/1000</f>
        <v>125.5</v>
      </c>
      <c r="F772" s="659">
        <f>SUM(CIV!E1797:G1798)/1000</f>
        <v>124.8</v>
      </c>
      <c r="G772" s="659">
        <f>SUM(CIV!H1797:H1798)/1000</f>
        <v>82</v>
      </c>
      <c r="H772" s="659">
        <f>SUM(CIV!J1797:J1798)/1000</f>
        <v>22</v>
      </c>
      <c r="I772" s="659">
        <f>SUM(CIV!K1797:K1798)/1000</f>
        <v>23</v>
      </c>
      <c r="J772" s="659">
        <f>SUM(CIV!L1797:L1798)/1000</f>
        <v>24</v>
      </c>
      <c r="K772" s="659">
        <f>SUM(CIV!M1797:M1798)/1000</f>
        <v>25</v>
      </c>
      <c r="L772" s="659">
        <f>SUM(CIV!N1797:N1798)/1000</f>
        <v>26</v>
      </c>
      <c r="M772" s="679">
        <f>SUM(CIV!O1797:O1798)/1000</f>
        <v>27</v>
      </c>
      <c r="N772" s="679">
        <f>SUM(CIV!P1797:P1798)/1000</f>
        <v>28</v>
      </c>
      <c r="O772" s="679">
        <f>SUM(CIV!Q1797:Q1798)/1000</f>
        <v>29</v>
      </c>
      <c r="P772" s="679">
        <f>SUM(CIV!R1797:R1798)/1000</f>
        <v>30</v>
      </c>
      <c r="Q772" s="660">
        <f>SUM(CIV!S1797:S1798)/1000</f>
        <v>31</v>
      </c>
    </row>
    <row r="773" spans="1:17" s="726" customFormat="1" x14ac:dyDescent="0.2">
      <c r="A773" s="655" t="s">
        <v>214</v>
      </c>
      <c r="B773" s="659">
        <f>SUM(SP!A329:A329)/1000</f>
        <v>0</v>
      </c>
      <c r="C773" s="659">
        <f>SUM(SP!B329:B329)/1000</f>
        <v>2.6</v>
      </c>
      <c r="D773" s="659">
        <f>SUM(SP!C329:C329)/1000</f>
        <v>62.8</v>
      </c>
      <c r="E773" s="659">
        <f>SUM(SP!D329:D329)/1000</f>
        <v>15</v>
      </c>
      <c r="F773" s="659">
        <f>SUM(SP!E329:G329)/1000</f>
        <v>20</v>
      </c>
      <c r="G773" s="659">
        <f>SUM(SP!H329:H329)/1000</f>
        <v>0</v>
      </c>
      <c r="H773" s="659">
        <f>SUM(SP!J329:J329)/1000</f>
        <v>0</v>
      </c>
      <c r="I773" s="659">
        <f>SUM(SP!K329:K329)/1000</f>
        <v>0</v>
      </c>
      <c r="J773" s="659">
        <f>SUM(SP!L329:L329)/1000</f>
        <v>0</v>
      </c>
      <c r="K773" s="659">
        <f>SUM(SP!M329:M329)/1000</f>
        <v>0</v>
      </c>
      <c r="L773" s="659">
        <f>SUM(SP!N329:N329)/1000</f>
        <v>0</v>
      </c>
      <c r="M773" s="679">
        <f>SUM(SP!O329:O329)/1000</f>
        <v>0</v>
      </c>
      <c r="N773" s="679">
        <f>SUM(SP!P329:P329)/1000</f>
        <v>0</v>
      </c>
      <c r="O773" s="679">
        <f>SUM(SP!Q329:Q329)/1000</f>
        <v>0</v>
      </c>
      <c r="P773" s="679">
        <f>SUM(SP!R329:R329)/1000</f>
        <v>0</v>
      </c>
      <c r="Q773" s="660">
        <f>SUM(SP!S329:S329)/1000</f>
        <v>0</v>
      </c>
    </row>
    <row r="774" spans="1:17" s="726" customFormat="1" x14ac:dyDescent="0.2">
      <c r="A774" s="655" t="s">
        <v>812</v>
      </c>
      <c r="B774" s="659">
        <f>SUM(SP!A446:A449)/1000</f>
        <v>20.7</v>
      </c>
      <c r="C774" s="659">
        <f>SUM(SP!B446:B449)/1000</f>
        <v>8</v>
      </c>
      <c r="D774" s="659">
        <f>SUM(SP!C446:C449)/1000</f>
        <v>1.5</v>
      </c>
      <c r="E774" s="659">
        <f>SUM(SP!D446:D449)/1000</f>
        <v>1.5</v>
      </c>
      <c r="F774" s="659">
        <f>SUM(SP!E446:G449)/1000</f>
        <v>1.5</v>
      </c>
      <c r="G774" s="659">
        <f>SUM(SP!H446:H449)/1000</f>
        <v>1.5</v>
      </c>
      <c r="H774" s="659">
        <f>SUM(SP!J446:J449)/1000</f>
        <v>1.5</v>
      </c>
      <c r="I774" s="659">
        <f>SUM(SP!K446:K449)/1000</f>
        <v>1.6</v>
      </c>
      <c r="J774" s="659">
        <f>SUM(SP!L446:L449)/1000</f>
        <v>1.7</v>
      </c>
      <c r="K774" s="659">
        <f>SUM(SP!M446:M449)/1000</f>
        <v>1.8</v>
      </c>
      <c r="L774" s="659">
        <f>SUM(SP!N446:N449)/1000</f>
        <v>1.9</v>
      </c>
      <c r="M774" s="679">
        <f>SUM(SP!O446:O449)/1000</f>
        <v>2</v>
      </c>
      <c r="N774" s="679">
        <f>SUM(SP!P446:P449)/1000</f>
        <v>2.1</v>
      </c>
      <c r="O774" s="679">
        <f>SUM(SP!Q446:Q449)/1000</f>
        <v>2.2000000000000002</v>
      </c>
      <c r="P774" s="679">
        <f>SUM(SP!R446:R449)/1000</f>
        <v>2.2999999999999998</v>
      </c>
      <c r="Q774" s="660">
        <f>SUM(SP!S446:S449)/1000</f>
        <v>2.4</v>
      </c>
    </row>
    <row r="775" spans="1:17" s="726" customFormat="1" x14ac:dyDescent="0.2">
      <c r="A775" s="655" t="s">
        <v>1560</v>
      </c>
      <c r="B775" s="659">
        <f>SUM(SP!A796:A797)/1000</f>
        <v>12</v>
      </c>
      <c r="C775" s="659">
        <f>SUM(SP!B796:B797)/1000</f>
        <v>25</v>
      </c>
      <c r="D775" s="659">
        <f>SUM(SP!C796:C797)/1000</f>
        <v>0</v>
      </c>
      <c r="E775" s="659">
        <f>SUM(SP!D796:D797)/1000</f>
        <v>0</v>
      </c>
      <c r="F775" s="659">
        <f>SUM(SP!E796:G797)/1000</f>
        <v>50</v>
      </c>
      <c r="G775" s="659">
        <f>SUM(SP!H796:H797)/1000</f>
        <v>0</v>
      </c>
      <c r="H775" s="659">
        <f>SUM(SP!J796:J797)/1000</f>
        <v>0</v>
      </c>
      <c r="I775" s="659">
        <f>SUM(SP!K796:K797)/1000</f>
        <v>0</v>
      </c>
      <c r="J775" s="659">
        <f>SUM(SP!L796:L797)/1000</f>
        <v>0</v>
      </c>
      <c r="K775" s="659">
        <f>SUM(SP!M796:M797)/1000</f>
        <v>0</v>
      </c>
      <c r="L775" s="659">
        <f>SUM(SP!N796:N797)/1000</f>
        <v>0</v>
      </c>
      <c r="M775" s="679">
        <f>SUM(SP!O796:O797)/1000</f>
        <v>0</v>
      </c>
      <c r="N775" s="679">
        <f>SUM(SP!P796:P797)/1000</f>
        <v>0</v>
      </c>
      <c r="O775" s="679">
        <f>SUM(SP!Q796:Q797)/1000</f>
        <v>0</v>
      </c>
      <c r="P775" s="679">
        <f>SUM(SP!R796:R797)/1000</f>
        <v>0</v>
      </c>
      <c r="Q775" s="660">
        <f>SUM(SP!S796:S797)/1000</f>
        <v>0</v>
      </c>
    </row>
    <row r="776" spans="1:17" s="726" customFormat="1" x14ac:dyDescent="0.2">
      <c r="A776" s="655" t="s">
        <v>87</v>
      </c>
      <c r="B776" s="659">
        <f>SUM(GM!A615:A617)/1000</f>
        <v>61</v>
      </c>
      <c r="C776" s="659">
        <f>SUM(GM!B615:B617)/1000</f>
        <v>54</v>
      </c>
      <c r="D776" s="659">
        <f>SUM(GM!C615:C617)/1000</f>
        <v>54</v>
      </c>
      <c r="E776" s="659">
        <f>SUM(GM!D615:D617)/1000</f>
        <v>77.099999999999994</v>
      </c>
      <c r="F776" s="659">
        <f>SUM(GM!E615:G617)/1000</f>
        <v>71.900000000000006</v>
      </c>
      <c r="G776" s="659">
        <f>SUM(GM!H615:H617)/1000</f>
        <v>54</v>
      </c>
      <c r="H776" s="659">
        <f>SUM(GM!J615:J617)/1000</f>
        <v>54</v>
      </c>
      <c r="I776" s="659">
        <f>SUM(GM!K615:K617)/1000</f>
        <v>54</v>
      </c>
      <c r="J776" s="659">
        <f>SUM(GM!L615:L617)/1000</f>
        <v>54</v>
      </c>
      <c r="K776" s="659">
        <f>SUM(GM!M615:M617)/1000</f>
        <v>54</v>
      </c>
      <c r="L776" s="659">
        <f>SUM(GM!N615:N617)/1000</f>
        <v>54</v>
      </c>
      <c r="M776" s="679">
        <f>SUM(GM!O615:O617)/1000</f>
        <v>54</v>
      </c>
      <c r="N776" s="679">
        <f>SUM(GM!P615:P617)/1000</f>
        <v>54</v>
      </c>
      <c r="O776" s="679">
        <f>SUM(GM!Q615:Q617)/1000</f>
        <v>54</v>
      </c>
      <c r="P776" s="679">
        <f>SUM(GM!R615:R617)/1000</f>
        <v>54</v>
      </c>
      <c r="Q776" s="660">
        <f>SUM(GM!S615:S617)/1000</f>
        <v>54</v>
      </c>
    </row>
    <row r="777" spans="1:17" s="726" customFormat="1" x14ac:dyDescent="0.2">
      <c r="A777" s="655" t="s">
        <v>357</v>
      </c>
      <c r="B777" s="659">
        <f>SUM(GM!A727:A732)/1000</f>
        <v>89.5</v>
      </c>
      <c r="C777" s="659">
        <f>SUM(GM!B727:B732)/1000</f>
        <v>84</v>
      </c>
      <c r="D777" s="659">
        <f>SUM(GM!C727:C732)/1000</f>
        <v>67.8</v>
      </c>
      <c r="E777" s="659">
        <f>SUM(GM!D727:D732)/1000</f>
        <v>75.7</v>
      </c>
      <c r="F777" s="659">
        <f>SUM(GM!E727:G732)/1000</f>
        <v>152.1</v>
      </c>
      <c r="G777" s="659">
        <f>SUM(GM!H727:H732)/1000</f>
        <v>54</v>
      </c>
      <c r="H777" s="659">
        <f>SUM(GM!J727:J732)/1000</f>
        <v>43</v>
      </c>
      <c r="I777" s="659">
        <f>SUM(GM!K727:K732)/1000</f>
        <v>44.2</v>
      </c>
      <c r="J777" s="659">
        <f>SUM(GM!L727:L732)/1000</f>
        <v>45.4</v>
      </c>
      <c r="K777" s="659">
        <f>SUM(GM!M727:M732)/1000</f>
        <v>46.6</v>
      </c>
      <c r="L777" s="659">
        <f>SUM(GM!N727:N732)/1000</f>
        <v>47.9</v>
      </c>
      <c r="M777" s="679">
        <f>SUM(GM!O727:O732)/1000</f>
        <v>49.2</v>
      </c>
      <c r="N777" s="679">
        <f>SUM(GM!P727:P732)/1000</f>
        <v>50.6</v>
      </c>
      <c r="O777" s="679">
        <f>SUM(GM!Q727:Q732)/1000</f>
        <v>52</v>
      </c>
      <c r="P777" s="679">
        <f>SUM(GM!R727:R732)/1000</f>
        <v>53.5</v>
      </c>
      <c r="Q777" s="660">
        <f>SUM(GM!S727:S732)/1000</f>
        <v>55</v>
      </c>
    </row>
    <row r="778" spans="1:17" s="726" customFormat="1" x14ac:dyDescent="0.2">
      <c r="A778" s="655" t="s">
        <v>1393</v>
      </c>
      <c r="B778" s="659">
        <f>SUM(GM!A1025:A1028)/1000</f>
        <v>138.6</v>
      </c>
      <c r="C778" s="659">
        <f>SUM(GM!B1025:B1028)/1000</f>
        <v>323.2</v>
      </c>
      <c r="D778" s="659">
        <f>SUM(GM!C1025:C1028)/1000</f>
        <v>286.3</v>
      </c>
      <c r="E778" s="659">
        <f>SUM(GM!D1025:D1028)/1000</f>
        <v>297.89999999999998</v>
      </c>
      <c r="F778" s="659">
        <f>SUM(GM!E1025:G1028)/1000</f>
        <v>346</v>
      </c>
      <c r="G778" s="659">
        <f>SUM(GM!H1025:H1028)/1000</f>
        <v>570.29999999999995</v>
      </c>
      <c r="H778" s="659">
        <f>SUM(GM!J1025:J1028)/1000</f>
        <v>553.29999999999995</v>
      </c>
      <c r="I778" s="659">
        <f>SUM(GM!K1025:K1028)/1000</f>
        <v>537.20000000000005</v>
      </c>
      <c r="J778" s="659">
        <f>SUM(GM!L1025:L1028)/1000</f>
        <v>518.9</v>
      </c>
      <c r="K778" s="659">
        <f>SUM(GM!M1025:M1028)/1000</f>
        <v>500.5</v>
      </c>
      <c r="L778" s="659">
        <f>SUM(GM!N1025:N1028)/1000</f>
        <v>484</v>
      </c>
      <c r="M778" s="679">
        <f>SUM(GM!O1025:O1028)/1000</f>
        <v>492.3</v>
      </c>
      <c r="N778" s="679">
        <f>SUM(GM!P1025:P1028)/1000</f>
        <v>506.9</v>
      </c>
      <c r="O778" s="679">
        <f>SUM(GM!Q1025:Q1028)/1000</f>
        <v>522.20000000000005</v>
      </c>
      <c r="P778" s="679">
        <f>SUM(GM!R1025:R1028)/1000</f>
        <v>538</v>
      </c>
      <c r="Q778" s="660">
        <f>SUM(GM!S1025:S1028)/1000</f>
        <v>554.29999999999995</v>
      </c>
    </row>
    <row r="779" spans="1:17" s="573" customFormat="1" x14ac:dyDescent="0.2">
      <c r="A779" s="823" t="s">
        <v>3860</v>
      </c>
      <c r="B779" s="732">
        <f t="shared" ref="B779:N779" si="1219">SUM(B758:B778)</f>
        <v>6933.7000000000007</v>
      </c>
      <c r="C779" s="732">
        <f t="shared" si="1219"/>
        <v>5467.7000000000007</v>
      </c>
      <c r="D779" s="732">
        <f t="shared" si="1219"/>
        <v>7137.9</v>
      </c>
      <c r="E779" s="732">
        <f t="shared" si="1219"/>
        <v>8870.9000000000015</v>
      </c>
      <c r="F779" s="732">
        <f t="shared" si="1219"/>
        <v>11273.266</v>
      </c>
      <c r="G779" s="732">
        <f t="shared" si="1219"/>
        <v>8119.4</v>
      </c>
      <c r="H779" s="732">
        <f t="shared" si="1219"/>
        <v>7613.9999999999991</v>
      </c>
      <c r="I779" s="732">
        <f t="shared" si="1219"/>
        <v>7832.9000000000005</v>
      </c>
      <c r="J779" s="732">
        <f t="shared" si="1219"/>
        <v>7852.2</v>
      </c>
      <c r="K779" s="732">
        <f t="shared" si="1219"/>
        <v>7973.800000000002</v>
      </c>
      <c r="L779" s="732">
        <f t="shared" si="1219"/>
        <v>8100.4999999999991</v>
      </c>
      <c r="M779" s="732">
        <f t="shared" si="1219"/>
        <v>8258.9</v>
      </c>
      <c r="N779" s="733">
        <f t="shared" si="1219"/>
        <v>8429.3000000000011</v>
      </c>
      <c r="O779" s="733">
        <f t="shared" ref="O779" si="1220">SUM(O758:O778)</f>
        <v>8605.2999999999993</v>
      </c>
      <c r="P779" s="733">
        <f t="shared" ref="P779" si="1221">SUM(P758:P778)</f>
        <v>8786.1000000000022</v>
      </c>
      <c r="Q779" s="734">
        <f t="shared" ref="Q779" si="1222">SUM(Q758:Q778)</f>
        <v>8970.4999999999982</v>
      </c>
    </row>
    <row r="780" spans="1:17" s="726" customFormat="1" x14ac:dyDescent="0.2">
      <c r="A780" s="823" t="s">
        <v>3861</v>
      </c>
      <c r="B780" s="659"/>
      <c r="C780" s="659"/>
      <c r="D780" s="659"/>
      <c r="E780" s="659"/>
      <c r="F780" s="659"/>
      <c r="G780" s="659"/>
      <c r="H780" s="659"/>
      <c r="I780" s="659"/>
      <c r="J780" s="659"/>
      <c r="K780" s="659"/>
      <c r="L780" s="659"/>
      <c r="M780" s="679"/>
      <c r="N780" s="679"/>
      <c r="O780" s="679"/>
      <c r="P780" s="679"/>
      <c r="Q780" s="660"/>
    </row>
    <row r="781" spans="1:17" s="726" customFormat="1" x14ac:dyDescent="0.2">
      <c r="A781" s="655" t="str">
        <f>A759</f>
        <v>General Purpose Grants</v>
      </c>
      <c r="B781" s="659">
        <f t="shared" ref="B781:N781" si="1223">-B759</f>
        <v>-3728.4</v>
      </c>
      <c r="C781" s="659">
        <f t="shared" si="1223"/>
        <v>-2118.5</v>
      </c>
      <c r="D781" s="659">
        <f t="shared" si="1223"/>
        <v>-4057.2</v>
      </c>
      <c r="E781" s="659">
        <f t="shared" si="1223"/>
        <v>-4181.5</v>
      </c>
      <c r="F781" s="659">
        <f t="shared" si="1223"/>
        <v>-6642.2</v>
      </c>
      <c r="G781" s="659">
        <f t="shared" si="1223"/>
        <v>-4639.2</v>
      </c>
      <c r="H781" s="659">
        <f t="shared" si="1223"/>
        <v>-4694.3</v>
      </c>
      <c r="I781" s="659">
        <f t="shared" si="1223"/>
        <v>-4783.3</v>
      </c>
      <c r="J781" s="659">
        <f t="shared" si="1223"/>
        <v>-4874.2</v>
      </c>
      <c r="K781" s="659">
        <f t="shared" si="1223"/>
        <v>-4966.7</v>
      </c>
      <c r="L781" s="659">
        <f t="shared" si="1223"/>
        <v>-5061.1000000000004</v>
      </c>
      <c r="M781" s="659">
        <f t="shared" si="1223"/>
        <v>-5157.3999999999996</v>
      </c>
      <c r="N781" s="679">
        <f t="shared" si="1223"/>
        <v>-5255.5</v>
      </c>
      <c r="O781" s="679">
        <f t="shared" ref="O781" si="1224">-O759</f>
        <v>-5355.6</v>
      </c>
      <c r="P781" s="679">
        <f t="shared" ref="P781" si="1225">-P759</f>
        <v>-5457.6</v>
      </c>
      <c r="Q781" s="660">
        <f t="shared" ref="Q781" si="1226">-Q759</f>
        <v>-5561.7</v>
      </c>
    </row>
    <row r="782" spans="1:17" s="726" customFormat="1" x14ac:dyDescent="0.2">
      <c r="A782" s="655" t="s">
        <v>3862</v>
      </c>
      <c r="B782" s="659">
        <f>SUM(-CIV!A1097-CIV!A1028-GM!A1027)/1000</f>
        <v>-184.1</v>
      </c>
      <c r="C782" s="659">
        <f>SUM(-CIV!B1097-CIV!B1028-GM!B1027)/1000</f>
        <v>-345</v>
      </c>
      <c r="D782" s="659">
        <f>SUM(-CIV!C1097-CIV!C1028-GM!C1027)/1000</f>
        <v>-354</v>
      </c>
      <c r="E782" s="659">
        <f>SUM(-CIV!D1097-CIV!D1028-GM!D1027)/1000</f>
        <v>-316.8</v>
      </c>
      <c r="F782" s="659">
        <f>SUM(-CIV!E1097-CIV!E1028-GM!E1027)/1000</f>
        <v>-280.3</v>
      </c>
      <c r="G782" s="659">
        <f>SUM(-CIV!H1097-CIV!H1028-GM!H1027)/1000</f>
        <v>-234</v>
      </c>
      <c r="H782" s="659">
        <f>SUM(-CIV!J1097-CIV!J1028-GM!J1027)/1000</f>
        <v>-193.1</v>
      </c>
      <c r="I782" s="659">
        <f>SUM(-CIV!K1097-CIV!K1028-GM!K1027)/1000</f>
        <v>-150.4</v>
      </c>
      <c r="J782" s="659">
        <f>SUM(-CIV!L1097-CIV!L1028-GM!L1027)/1000</f>
        <v>-106.1</v>
      </c>
      <c r="K782" s="659">
        <f>SUM(-CIV!M1097-CIV!M1028-GM!M1027)/1000</f>
        <v>-60</v>
      </c>
      <c r="L782" s="659">
        <f>SUM(-CIV!N1097-CIV!N1028-GM!N1027)/1000</f>
        <v>-14.9</v>
      </c>
      <c r="M782" s="659">
        <f>SUM(-CIV!O1097-CIV!O1028-GM!O1027)/1000</f>
        <v>-2.6</v>
      </c>
      <c r="N782" s="679">
        <f>SUM(-CIV!P1097-CIV!P1028-GM!P1027)/1000</f>
        <v>0</v>
      </c>
      <c r="O782" s="679">
        <f>SUM(-CIV!Q1097-CIV!Q1028-GM!Q1027)/1000</f>
        <v>0</v>
      </c>
      <c r="P782" s="679">
        <f>SUM(-CIV!R1097-CIV!R1028-GM!R1027)/1000</f>
        <v>0</v>
      </c>
      <c r="Q782" s="660">
        <f>SUM(-CIV!S1097-CIV!S1028-GM!S1027)/1000</f>
        <v>0</v>
      </c>
    </row>
    <row r="783" spans="1:17" s="573" customFormat="1" x14ac:dyDescent="0.2">
      <c r="A783" s="823" t="s">
        <v>3860</v>
      </c>
      <c r="B783" s="732">
        <f t="shared" ref="B783:N783" si="1227">SUM(B779:B782)</f>
        <v>3021.2000000000007</v>
      </c>
      <c r="C783" s="732">
        <f t="shared" si="1227"/>
        <v>3004.2000000000007</v>
      </c>
      <c r="D783" s="732">
        <f t="shared" si="1227"/>
        <v>2726.7</v>
      </c>
      <c r="E783" s="732">
        <f t="shared" si="1227"/>
        <v>4372.6000000000013</v>
      </c>
      <c r="F783" s="732">
        <f t="shared" si="1227"/>
        <v>4350.7659999999996</v>
      </c>
      <c r="G783" s="732">
        <f t="shared" si="1227"/>
        <v>3246.2</v>
      </c>
      <c r="H783" s="732">
        <f t="shared" si="1227"/>
        <v>2726.599999999999</v>
      </c>
      <c r="I783" s="732">
        <f t="shared" si="1227"/>
        <v>2899.2000000000003</v>
      </c>
      <c r="J783" s="732">
        <f t="shared" si="1227"/>
        <v>2871.9</v>
      </c>
      <c r="K783" s="732">
        <f t="shared" si="1227"/>
        <v>2947.1000000000022</v>
      </c>
      <c r="L783" s="732">
        <f t="shared" si="1227"/>
        <v>3024.4999999999986</v>
      </c>
      <c r="M783" s="733">
        <f t="shared" si="1227"/>
        <v>3098.9</v>
      </c>
      <c r="N783" s="733">
        <f t="shared" si="1227"/>
        <v>3173.8000000000011</v>
      </c>
      <c r="O783" s="733">
        <f t="shared" ref="O783" si="1228">SUM(O779:O782)</f>
        <v>3249.6999999999989</v>
      </c>
      <c r="P783" s="733">
        <f t="shared" ref="P783" si="1229">SUM(P779:P782)</f>
        <v>3328.5000000000018</v>
      </c>
      <c r="Q783" s="734">
        <f t="shared" ref="Q783" si="1230">SUM(Q779:Q782)</f>
        <v>3408.7999999999984</v>
      </c>
    </row>
    <row r="784" spans="1:17" s="772" customFormat="1" x14ac:dyDescent="0.2">
      <c r="A784" s="655" t="s">
        <v>2241</v>
      </c>
      <c r="B784" s="659"/>
      <c r="C784" s="659">
        <f>(ROUND(LTFP!A198+LTFP!A199,-3)/1000)</f>
        <v>9130</v>
      </c>
      <c r="D784" s="659">
        <f>(ROUND(LTFP!B198+LTFP!B199,-3)/1000)</f>
        <v>7677</v>
      </c>
      <c r="E784" s="659">
        <f>(ROUND(LTFP!C198+LTFP!C199,-3)/1000)</f>
        <v>10484</v>
      </c>
      <c r="F784" s="659">
        <f>(ROUND(LTFP!D198+LTFP!D199,-3)/1000)</f>
        <v>9664</v>
      </c>
      <c r="G784" s="659">
        <f>(ROUND(LTFP!F198+LTFP!F199,-3)/1000)</f>
        <v>14975</v>
      </c>
      <c r="H784" s="659">
        <f>(ROUND(LTFP!H198+LTFP!H199,-3)/1000)</f>
        <v>10909</v>
      </c>
      <c r="I784" s="659">
        <f>(ROUND(LTFP!I198+LTFP!I199,-3)/1000)</f>
        <v>7669</v>
      </c>
      <c r="J784" s="659">
        <f>(ROUND(LTFP!J198+LTFP!J199,-3)/1000)</f>
        <v>13859</v>
      </c>
      <c r="K784" s="659">
        <f>(ROUND(LTFP!K198+LTFP!K199,-3)/1000)</f>
        <v>14203</v>
      </c>
      <c r="L784" s="659">
        <f>(ROUND(LTFP!L198+LTFP!L199,-3)/1000)</f>
        <v>6557</v>
      </c>
      <c r="M784" s="659">
        <f>(ROUND(LTFP!M198+LTFP!M199,-3)/1000)</f>
        <v>6719</v>
      </c>
      <c r="N784" s="679">
        <f>(ROUND(LTFP!N198+LTFP!N199,-3)/1000)</f>
        <v>6885</v>
      </c>
      <c r="O784" s="679">
        <f>(ROUND(LTFP!O198+LTFP!O199,-3)/1000)</f>
        <v>7054</v>
      </c>
      <c r="P784" s="679">
        <f>(ROUND(LTFP!P198+LTFP!P199,-3)/1000)</f>
        <v>7229</v>
      </c>
      <c r="Q784" s="660">
        <f>(ROUND(LTFP!Q198+LTFP!Q199,-3)/1000)</f>
        <v>7408</v>
      </c>
    </row>
    <row r="785" spans="1:17" s="542" customFormat="1" x14ac:dyDescent="0.2">
      <c r="A785" s="823" t="s">
        <v>3863</v>
      </c>
      <c r="B785" s="732">
        <f t="shared" ref="B785:N785" si="1231">SUM(B783:B784)</f>
        <v>3021.2000000000007</v>
      </c>
      <c r="C785" s="732">
        <f t="shared" si="1231"/>
        <v>12134.2</v>
      </c>
      <c r="D785" s="732">
        <f t="shared" si="1231"/>
        <v>10403.700000000001</v>
      </c>
      <c r="E785" s="732">
        <f t="shared" si="1231"/>
        <v>14856.600000000002</v>
      </c>
      <c r="F785" s="732">
        <f t="shared" si="1231"/>
        <v>14014.766</v>
      </c>
      <c r="G785" s="732">
        <f t="shared" si="1231"/>
        <v>18221.2</v>
      </c>
      <c r="H785" s="732">
        <f t="shared" si="1231"/>
        <v>13635.599999999999</v>
      </c>
      <c r="I785" s="732">
        <f t="shared" si="1231"/>
        <v>10568.2</v>
      </c>
      <c r="J785" s="732">
        <f t="shared" si="1231"/>
        <v>16730.900000000001</v>
      </c>
      <c r="K785" s="732">
        <f t="shared" si="1231"/>
        <v>17150.100000000002</v>
      </c>
      <c r="L785" s="732">
        <f t="shared" si="1231"/>
        <v>9581.4999999999982</v>
      </c>
      <c r="M785" s="732">
        <f t="shared" si="1231"/>
        <v>9817.9</v>
      </c>
      <c r="N785" s="733">
        <f t="shared" si="1231"/>
        <v>10058.800000000001</v>
      </c>
      <c r="O785" s="733">
        <f t="shared" ref="O785" si="1232">SUM(O783:O784)</f>
        <v>10303.699999999999</v>
      </c>
      <c r="P785" s="733">
        <f t="shared" ref="P785" si="1233">SUM(P783:P784)</f>
        <v>10557.500000000002</v>
      </c>
      <c r="Q785" s="734">
        <f t="shared" ref="Q785" si="1234">SUM(Q783:Q784)</f>
        <v>10816.8</v>
      </c>
    </row>
    <row r="786" spans="1:17" s="542" customFormat="1" ht="13.5" thickBot="1" x14ac:dyDescent="0.25">
      <c r="A786" s="955"/>
      <c r="B786" s="956"/>
      <c r="C786" s="956"/>
      <c r="D786" s="956"/>
      <c r="E786" s="956"/>
      <c r="F786" s="956"/>
      <c r="G786" s="956"/>
      <c r="H786" s="956"/>
      <c r="I786" s="956"/>
      <c r="J786" s="956"/>
      <c r="K786" s="956"/>
      <c r="L786" s="956"/>
      <c r="M786" s="956"/>
      <c r="N786" s="1247"/>
      <c r="O786" s="1247"/>
      <c r="P786" s="1247"/>
      <c r="Q786" s="2453"/>
    </row>
    <row r="787" spans="1:17" ht="17.25" thickTop="1" thickBot="1" x14ac:dyDescent="0.3">
      <c r="A787" s="2570" t="s">
        <v>6809</v>
      </c>
      <c r="B787" s="2571"/>
      <c r="C787" s="2571"/>
      <c r="D787" s="2571"/>
      <c r="E787" s="2571"/>
      <c r="F787" s="2571"/>
      <c r="G787" s="2571"/>
      <c r="H787" s="2571"/>
      <c r="I787" s="2571"/>
      <c r="J787" s="2571"/>
      <c r="K787" s="2571"/>
      <c r="L787" s="2571"/>
      <c r="M787" s="2571"/>
      <c r="N787" s="2571"/>
      <c r="O787" s="2571"/>
      <c r="P787" s="2571"/>
      <c r="Q787" s="2572"/>
    </row>
    <row r="788" spans="1:17" s="726" customFormat="1" ht="13.5" thickBot="1" x14ac:dyDescent="0.25">
      <c r="A788" s="837" t="s">
        <v>228</v>
      </c>
      <c r="B788" s="565" t="str">
        <f>B756</f>
        <v>2012/13</v>
      </c>
      <c r="C788" s="565" t="str">
        <f t="shared" ref="C788:O788" si="1235">C756</f>
        <v>2013/14</v>
      </c>
      <c r="D788" s="565" t="str">
        <f t="shared" si="1235"/>
        <v>2014/15</v>
      </c>
      <c r="E788" s="565" t="str">
        <f t="shared" si="1235"/>
        <v>2015/16</v>
      </c>
      <c r="F788" s="565" t="str">
        <f t="shared" si="1235"/>
        <v>2016/17</v>
      </c>
      <c r="G788" s="565" t="str">
        <f t="shared" si="1235"/>
        <v>2017/18</v>
      </c>
      <c r="H788" s="565" t="str">
        <f t="shared" si="1235"/>
        <v>2018/19</v>
      </c>
      <c r="I788" s="565" t="str">
        <f t="shared" si="1235"/>
        <v>2019/20</v>
      </c>
      <c r="J788" s="565" t="str">
        <f t="shared" si="1235"/>
        <v>2020/21</v>
      </c>
      <c r="K788" s="565" t="str">
        <f t="shared" si="1235"/>
        <v>2021/22</v>
      </c>
      <c r="L788" s="565" t="str">
        <f t="shared" si="1235"/>
        <v>2022/23</v>
      </c>
      <c r="M788" s="966" t="str">
        <f t="shared" si="1235"/>
        <v>2023/24</v>
      </c>
      <c r="N788" s="966" t="str">
        <f t="shared" si="1235"/>
        <v>2024/25</v>
      </c>
      <c r="O788" s="966" t="str">
        <f t="shared" si="1235"/>
        <v>2025/26</v>
      </c>
      <c r="P788" s="966" t="str">
        <f t="shared" ref="P788" si="1236">P756</f>
        <v>2026/27</v>
      </c>
      <c r="Q788" s="2445" t="str">
        <f t="shared" ref="Q788" si="1237">Q756</f>
        <v>2027/28</v>
      </c>
    </row>
    <row r="789" spans="1:17" ht="13.5" thickTop="1" x14ac:dyDescent="0.2">
      <c r="A789" s="1729"/>
      <c r="B789" s="1498"/>
      <c r="C789" s="1498"/>
      <c r="D789" s="1498"/>
      <c r="E789" s="1498"/>
      <c r="F789" s="1498"/>
      <c r="G789" s="1498"/>
      <c r="H789" s="1498"/>
      <c r="I789" s="1498"/>
      <c r="J789" s="1498"/>
      <c r="K789" s="1498"/>
      <c r="L789" s="1498"/>
      <c r="M789" s="1498"/>
      <c r="N789" s="2113"/>
      <c r="O789" s="2113"/>
      <c r="P789" s="2113"/>
      <c r="Q789" s="1736"/>
    </row>
    <row r="790" spans="1:17" x14ac:dyDescent="0.2">
      <c r="A790" s="823" t="s">
        <v>5031</v>
      </c>
      <c r="B790" s="640"/>
      <c r="C790" s="640" t="str">
        <f t="shared" ref="C790:P790" si="1238">C43</f>
        <v>2013/14</v>
      </c>
      <c r="D790" s="640" t="str">
        <f t="shared" si="1238"/>
        <v>2014/15</v>
      </c>
      <c r="E790" s="640" t="str">
        <f t="shared" si="1238"/>
        <v>2015/16</v>
      </c>
      <c r="F790" s="640" t="str">
        <f t="shared" si="1238"/>
        <v>2016/17</v>
      </c>
      <c r="G790" s="640" t="str">
        <f t="shared" si="1238"/>
        <v>2017/18</v>
      </c>
      <c r="H790" s="640" t="str">
        <f t="shared" si="1238"/>
        <v>2018/19</v>
      </c>
      <c r="I790" s="640" t="str">
        <f t="shared" si="1238"/>
        <v>2019/20</v>
      </c>
      <c r="J790" s="640" t="str">
        <f t="shared" si="1238"/>
        <v>2020/21</v>
      </c>
      <c r="K790" s="640" t="str">
        <f t="shared" si="1238"/>
        <v>2021/22</v>
      </c>
      <c r="L790" s="640" t="str">
        <f t="shared" si="1238"/>
        <v>2022/23</v>
      </c>
      <c r="M790" s="640" t="str">
        <f t="shared" si="1238"/>
        <v>2023/24</v>
      </c>
      <c r="N790" s="987" t="str">
        <f t="shared" si="1238"/>
        <v>2024/25</v>
      </c>
      <c r="O790" s="987" t="str">
        <f t="shared" si="1238"/>
        <v>2025/26</v>
      </c>
      <c r="P790" s="987" t="str">
        <f t="shared" si="1238"/>
        <v>2026/27</v>
      </c>
      <c r="Q790" s="947" t="str">
        <f t="shared" ref="Q790" si="1239">Q43</f>
        <v>2027/28</v>
      </c>
    </row>
    <row r="791" spans="1:17" x14ac:dyDescent="0.2">
      <c r="A791" s="2114" t="s">
        <v>4697</v>
      </c>
      <c r="B791" s="547"/>
      <c r="C791" s="1499">
        <f t="shared" ref="C791:O791" si="1240">C317</f>
        <v>-0.18079800498753118</v>
      </c>
      <c r="D791" s="1499">
        <f t="shared" si="1240"/>
        <v>-6.4387457270028509E-2</v>
      </c>
      <c r="E791" s="1499">
        <f t="shared" si="1240"/>
        <v>-5.605981112277017E-2</v>
      </c>
      <c r="F791" s="1499">
        <f t="shared" si="1240"/>
        <v>2.5343355931012682E-2</v>
      </c>
      <c r="G791" s="1499">
        <f t="shared" si="1240"/>
        <v>-5.6302911042321283E-2</v>
      </c>
      <c r="H791" s="1499">
        <f t="shared" si="1240"/>
        <v>-2.5083959187395383E-2</v>
      </c>
      <c r="I791" s="1499">
        <f t="shared" si="1240"/>
        <v>-2.4204525169582373E-2</v>
      </c>
      <c r="J791" s="1499">
        <f t="shared" si="1240"/>
        <v>-2.5308077026190069E-2</v>
      </c>
      <c r="K791" s="1499">
        <f t="shared" si="1240"/>
        <v>-2.4475050398729666E-2</v>
      </c>
      <c r="L791" s="1499">
        <f t="shared" si="1240"/>
        <v>-1.738945113939382E-2</v>
      </c>
      <c r="M791" s="1499">
        <f t="shared" si="1240"/>
        <v>-1.3509099432861485E-2</v>
      </c>
      <c r="N791" s="2115">
        <f t="shared" si="1240"/>
        <v>-1.4890380283313062E-2</v>
      </c>
      <c r="O791" s="2115">
        <f t="shared" si="1240"/>
        <v>-2.8404666136790185E-3</v>
      </c>
      <c r="P791" s="2115">
        <f t="shared" ref="P791" si="1241">P317</f>
        <v>3.9220209943476294E-3</v>
      </c>
      <c r="Q791" s="2446">
        <f t="shared" ref="Q791" si="1242">Q317</f>
        <v>8.8411707705904376E-3</v>
      </c>
    </row>
    <row r="792" spans="1:17" x14ac:dyDescent="0.2">
      <c r="A792" s="2114" t="s">
        <v>4698</v>
      </c>
      <c r="B792" s="547"/>
      <c r="C792" s="1500">
        <f t="shared" ref="C792:O792" si="1243">C373</f>
        <v>0.71515857879494238</v>
      </c>
      <c r="D792" s="1500">
        <f t="shared" si="1243"/>
        <v>0.66617490814477098</v>
      </c>
      <c r="E792" s="1500">
        <f t="shared" si="1243"/>
        <v>0.66318371038055313</v>
      </c>
      <c r="F792" s="1500">
        <f t="shared" si="1243"/>
        <v>0.66455580865603636</v>
      </c>
      <c r="G792" s="1500">
        <f t="shared" si="1243"/>
        <v>0.65134293579381697</v>
      </c>
      <c r="H792" s="1500">
        <f t="shared" si="1243"/>
        <v>0.69748862401788669</v>
      </c>
      <c r="I792" s="1500">
        <f t="shared" si="1243"/>
        <v>0.74043720216202391</v>
      </c>
      <c r="J792" s="1500">
        <f t="shared" si="1243"/>
        <v>0.6748709408825978</v>
      </c>
      <c r="K792" s="1500">
        <f t="shared" si="1243"/>
        <v>0.6788440987098916</v>
      </c>
      <c r="L792" s="1500">
        <f t="shared" si="1243"/>
        <v>0.76092450133174572</v>
      </c>
      <c r="M792" s="1500">
        <f t="shared" si="1243"/>
        <v>0.76482229366095666</v>
      </c>
      <c r="N792" s="2116">
        <f t="shared" si="1243"/>
        <v>0.76305522098541556</v>
      </c>
      <c r="O792" s="2116">
        <f t="shared" si="1243"/>
        <v>0.76660093721137113</v>
      </c>
      <c r="P792" s="2116">
        <f t="shared" ref="P792" si="1244">P373</f>
        <v>0.76533308079366158</v>
      </c>
      <c r="Q792" s="2447">
        <f t="shared" ref="Q792" si="1245">Q373</f>
        <v>0.76859653952289186</v>
      </c>
    </row>
    <row r="793" spans="1:17" x14ac:dyDescent="0.2">
      <c r="A793" s="2114" t="s">
        <v>4699</v>
      </c>
      <c r="B793" s="547"/>
      <c r="C793" s="1500">
        <f t="shared" ref="C793:O793" si="1246">C689</f>
        <v>0.75199497329563303</v>
      </c>
      <c r="D793" s="1500">
        <f t="shared" si="1246"/>
        <v>0.77162759460852459</v>
      </c>
      <c r="E793" s="1500">
        <f t="shared" si="1246"/>
        <v>0.95146895765649109</v>
      </c>
      <c r="F793" s="1500">
        <f t="shared" si="1246"/>
        <v>1.6467967493090219</v>
      </c>
      <c r="G793" s="1500">
        <f t="shared" si="1246"/>
        <v>2.0951631605101873</v>
      </c>
      <c r="H793" s="1500">
        <f t="shared" si="1246"/>
        <v>0.71918056416739817</v>
      </c>
      <c r="I793" s="1500">
        <f t="shared" si="1246"/>
        <v>0.50302536288679189</v>
      </c>
      <c r="J793" s="1500">
        <f t="shared" si="1246"/>
        <v>1.8969650403380716</v>
      </c>
      <c r="K793" s="1500">
        <f t="shared" si="1246"/>
        <v>1.4724624145099576</v>
      </c>
      <c r="L793" s="1500">
        <f t="shared" si="1246"/>
        <v>0.69474492546019739</v>
      </c>
      <c r="M793" s="1500">
        <f t="shared" si="1246"/>
        <v>0.70199567134036445</v>
      </c>
      <c r="N793" s="2116">
        <f t="shared" si="1246"/>
        <v>0.91872866742831194</v>
      </c>
      <c r="O793" s="2116">
        <f t="shared" si="1246"/>
        <v>0.8319768493398445</v>
      </c>
      <c r="P793" s="2116">
        <f t="shared" ref="P793" si="1247">P689</f>
        <v>0.87131751227495913</v>
      </c>
      <c r="Q793" s="2447">
        <f t="shared" ref="Q793" si="1248">Q689</f>
        <v>0.87090520123011095</v>
      </c>
    </row>
    <row r="794" spans="1:17" x14ac:dyDescent="0.2">
      <c r="A794" s="2114" t="s">
        <v>4700</v>
      </c>
      <c r="B794" s="547"/>
      <c r="C794" s="1500">
        <f t="shared" ref="C794:O794" si="1249">C212</f>
        <v>2.6816138439679153E-3</v>
      </c>
      <c r="D794" s="1500">
        <f t="shared" si="1249"/>
        <v>4.6253410215790986E-3</v>
      </c>
      <c r="E794" s="1500">
        <f t="shared" si="1249"/>
        <v>4.58017167566524E-3</v>
      </c>
      <c r="F794" s="1500">
        <f t="shared" si="1249"/>
        <v>4.5352680317861695E-3</v>
      </c>
      <c r="G794" s="1500">
        <f t="shared" si="1249"/>
        <v>4.4905855881232516E-3</v>
      </c>
      <c r="H794" s="1500">
        <f t="shared" si="1249"/>
        <v>4.4466893458151068E-3</v>
      </c>
      <c r="I794" s="1500">
        <f t="shared" si="1249"/>
        <v>4.4033070107339835E-3</v>
      </c>
      <c r="J794" s="1500">
        <f t="shared" si="1249"/>
        <v>4.3603479179463358E-3</v>
      </c>
      <c r="K794" s="1500">
        <f t="shared" si="1249"/>
        <v>4.3178079382590545E-3</v>
      </c>
      <c r="L794" s="1500">
        <f t="shared" si="1249"/>
        <v>4.2756829827638445E-3</v>
      </c>
      <c r="M794" s="1500">
        <f t="shared" si="1249"/>
        <v>4.2339690024441965E-3</v>
      </c>
      <c r="N794" s="2116">
        <f t="shared" si="1249"/>
        <v>4.1926619877862047E-3</v>
      </c>
      <c r="O794" s="2116">
        <f t="shared" si="1249"/>
        <v>4.1517579683931684E-3</v>
      </c>
      <c r="P794" s="2116">
        <f t="shared" ref="P794" si="1250">P212</f>
        <v>4.111253012603967E-3</v>
      </c>
      <c r="Q794" s="2447">
        <f t="shared" ref="Q794" si="1251">Q212</f>
        <v>4.071143227115148E-3</v>
      </c>
    </row>
    <row r="795" spans="1:17" x14ac:dyDescent="0.2">
      <c r="A795" s="2114" t="s">
        <v>4701</v>
      </c>
      <c r="B795" s="547"/>
      <c r="C795" s="1500">
        <f t="shared" ref="C795:O795" si="1252">C216</f>
        <v>0.77068477645727251</v>
      </c>
      <c r="D795" s="1500">
        <f t="shared" si="1252"/>
        <v>0.98656171174547491</v>
      </c>
      <c r="E795" s="1500">
        <f t="shared" si="1252"/>
        <v>1.0988267861850778</v>
      </c>
      <c r="F795" s="1500">
        <f t="shared" si="1252"/>
        <v>0.97146187765905201</v>
      </c>
      <c r="G795" s="1500">
        <f t="shared" si="1252"/>
        <v>1.0495320613404047</v>
      </c>
      <c r="H795" s="1500">
        <f t="shared" si="1252"/>
        <v>1.0480279831769301</v>
      </c>
      <c r="I795" s="1500">
        <f t="shared" si="1252"/>
        <v>1.0760163944481129</v>
      </c>
      <c r="J795" s="1500">
        <f t="shared" si="1252"/>
        <v>1.0508027555010799</v>
      </c>
      <c r="K795" s="1500">
        <f t="shared" si="1252"/>
        <v>1.073438630845748</v>
      </c>
      <c r="L795" s="1500">
        <f t="shared" si="1252"/>
        <v>1.0490049598385129</v>
      </c>
      <c r="M795" s="1500">
        <f t="shared" si="1252"/>
        <v>1.0709651186835836</v>
      </c>
      <c r="N795" s="2116">
        <f t="shared" si="1252"/>
        <v>1.0470334544005617</v>
      </c>
      <c r="O795" s="2116">
        <f t="shared" si="1252"/>
        <v>1.0683108265219861</v>
      </c>
      <c r="P795" s="2116">
        <f t="shared" ref="P795" si="1253">P216</f>
        <v>1.0451964934200131</v>
      </c>
      <c r="Q795" s="2447">
        <f t="shared" ref="Q795" si="1254">Q216</f>
        <v>1.0438919150550559</v>
      </c>
    </row>
    <row r="796" spans="1:17" x14ac:dyDescent="0.2">
      <c r="A796" s="2114" t="s">
        <v>4702</v>
      </c>
      <c r="B796" s="547"/>
      <c r="C796" s="1501">
        <f t="shared" ref="C796:O796" si="1255">C221</f>
        <v>1.0752248538768596</v>
      </c>
      <c r="D796" s="1501">
        <f t="shared" si="1255"/>
        <v>0.97953645097714515</v>
      </c>
      <c r="E796" s="1501">
        <f t="shared" si="1255"/>
        <v>0.97220539046520849</v>
      </c>
      <c r="F796" s="1501">
        <f t="shared" si="1255"/>
        <v>1.0016825645394467</v>
      </c>
      <c r="G796" s="1501">
        <f t="shared" si="1255"/>
        <v>0.97095041042205232</v>
      </c>
      <c r="H796" s="1501">
        <f t="shared" si="1255"/>
        <v>0.90244937768148292</v>
      </c>
      <c r="I796" s="1501">
        <f t="shared" si="1255"/>
        <v>0.90947520138872584</v>
      </c>
      <c r="J796" s="1501">
        <f t="shared" si="1255"/>
        <v>0.88521441004699741</v>
      </c>
      <c r="K796" s="1501">
        <f t="shared" si="1255"/>
        <v>0.88616660724613172</v>
      </c>
      <c r="L796" s="1501">
        <f t="shared" si="1255"/>
        <v>0.86176711762558655</v>
      </c>
      <c r="M796" s="1501">
        <f t="shared" si="1255"/>
        <v>0.86368331512958219</v>
      </c>
      <c r="N796" s="2117">
        <f t="shared" si="1255"/>
        <v>0.84740643235678614</v>
      </c>
      <c r="O796" s="2117">
        <f t="shared" si="1255"/>
        <v>0.84185862657368038</v>
      </c>
      <c r="P796" s="2117">
        <f t="shared" ref="P796" si="1256">P221</f>
        <v>0.82144161036030927</v>
      </c>
      <c r="Q796" s="2448">
        <f t="shared" ref="Q796" si="1257">Q221</f>
        <v>0.82083694488037462</v>
      </c>
    </row>
    <row r="797" spans="1:17" x14ac:dyDescent="0.2">
      <c r="A797" s="2114" t="s">
        <v>4313</v>
      </c>
      <c r="B797" s="547"/>
      <c r="C797" s="1500">
        <f t="shared" ref="C797:O797" si="1258">C488</f>
        <v>0.10861442884018024</v>
      </c>
      <c r="D797" s="1500">
        <f t="shared" si="1258"/>
        <v>0.10325976075379625</v>
      </c>
      <c r="E797" s="1500">
        <f t="shared" si="1258"/>
        <v>0.10338203244813947</v>
      </c>
      <c r="F797" s="1500">
        <f t="shared" si="1258"/>
        <v>8.37858723523833E-2</v>
      </c>
      <c r="G797" s="1500">
        <f t="shared" si="1258"/>
        <v>8.9302907206450413E-2</v>
      </c>
      <c r="H797" s="1500">
        <f t="shared" si="1258"/>
        <v>8.9630191549175536E-2</v>
      </c>
      <c r="I797" s="1500">
        <f t="shared" si="1258"/>
        <v>8.6049997024872066E-2</v>
      </c>
      <c r="J797" s="1500">
        <f t="shared" si="1258"/>
        <v>7.7314622218524379E-2</v>
      </c>
      <c r="K797" s="1500">
        <f t="shared" si="1258"/>
        <v>8.6837457406383239E-2</v>
      </c>
      <c r="L797" s="1500">
        <f t="shared" si="1258"/>
        <v>7.4743112382388274E-2</v>
      </c>
      <c r="M797" s="1500">
        <f t="shared" si="1258"/>
        <v>5.738574724004461E-2</v>
      </c>
      <c r="N797" s="2116">
        <f t="shared" si="1258"/>
        <v>5.0473997358239139E-2</v>
      </c>
      <c r="O797" s="2116">
        <f t="shared" si="1258"/>
        <v>3.7221513042221641E-2</v>
      </c>
      <c r="P797" s="2116">
        <f t="shared" ref="P797" si="1259">P488</f>
        <v>3.5701136311562062E-2</v>
      </c>
      <c r="Q797" s="2447">
        <f t="shared" ref="Q797" si="1260">Q488</f>
        <v>3.4368301999303297E-2</v>
      </c>
    </row>
    <row r="798" spans="1:17" x14ac:dyDescent="0.2">
      <c r="A798" s="2114" t="s">
        <v>4312</v>
      </c>
      <c r="B798" s="547"/>
      <c r="C798" s="1501">
        <f t="shared" ref="C798:O798" si="1261">C272</f>
        <v>1.97</v>
      </c>
      <c r="D798" s="1501">
        <f t="shared" si="1261"/>
        <v>2.76</v>
      </c>
      <c r="E798" s="1501">
        <f t="shared" si="1261"/>
        <v>3.05</v>
      </c>
      <c r="F798" s="1501">
        <f t="shared" si="1261"/>
        <v>4.1900000000000004</v>
      </c>
      <c r="G798" s="1501">
        <f t="shared" si="1261"/>
        <v>3.82</v>
      </c>
      <c r="H798" s="1501">
        <f t="shared" si="1261"/>
        <v>2.78</v>
      </c>
      <c r="I798" s="1501">
        <f t="shared" si="1261"/>
        <v>2.78</v>
      </c>
      <c r="J798" s="1501">
        <f t="shared" si="1261"/>
        <v>2.63</v>
      </c>
      <c r="K798" s="1501">
        <f t="shared" si="1261"/>
        <v>2.67</v>
      </c>
      <c r="L798" s="1501">
        <f t="shared" si="1261"/>
        <v>2.81</v>
      </c>
      <c r="M798" s="1501">
        <f t="shared" si="1261"/>
        <v>2.73</v>
      </c>
      <c r="N798" s="2117">
        <f t="shared" si="1261"/>
        <v>2.56</v>
      </c>
      <c r="O798" s="2117">
        <f t="shared" si="1261"/>
        <v>2.57</v>
      </c>
      <c r="P798" s="2117">
        <f t="shared" ref="P798" si="1262">P272</f>
        <v>2.4700000000000002</v>
      </c>
      <c r="Q798" s="2448">
        <f t="shared" ref="Q798" si="1263">Q272</f>
        <v>3.37</v>
      </c>
    </row>
    <row r="799" spans="1:17" x14ac:dyDescent="0.2">
      <c r="A799" s="1688"/>
      <c r="B799" s="547"/>
      <c r="C799" s="1328"/>
      <c r="D799" s="1328"/>
      <c r="E799" s="1328"/>
      <c r="F799" s="1328"/>
      <c r="G799" s="1328"/>
      <c r="H799" s="1328"/>
      <c r="I799" s="1328"/>
      <c r="J799" s="1328"/>
      <c r="K799" s="1328"/>
      <c r="L799" s="1328"/>
      <c r="M799" s="1328"/>
      <c r="N799" s="548"/>
      <c r="O799" s="548"/>
      <c r="P799" s="548"/>
      <c r="Q799" s="2449"/>
    </row>
    <row r="800" spans="1:17" x14ac:dyDescent="0.2">
      <c r="A800" s="2114" t="s">
        <v>4700</v>
      </c>
      <c r="B800" s="547"/>
      <c r="C800" s="1500">
        <f t="shared" ref="C800:N800" si="1264">C794</f>
        <v>2.6816138439679153E-3</v>
      </c>
      <c r="D800" s="1500">
        <f t="shared" si="1264"/>
        <v>4.6253410215790986E-3</v>
      </c>
      <c r="E800" s="1500">
        <f t="shared" si="1264"/>
        <v>4.58017167566524E-3</v>
      </c>
      <c r="F800" s="1500">
        <f t="shared" si="1264"/>
        <v>4.5352680317861695E-3</v>
      </c>
      <c r="G800" s="1500">
        <f t="shared" si="1264"/>
        <v>4.4905855881232516E-3</v>
      </c>
      <c r="H800" s="1500">
        <f t="shared" si="1264"/>
        <v>4.4466893458151068E-3</v>
      </c>
      <c r="I800" s="1500">
        <f t="shared" si="1264"/>
        <v>4.4033070107339835E-3</v>
      </c>
      <c r="J800" s="1500">
        <f t="shared" si="1264"/>
        <v>4.3603479179463358E-3</v>
      </c>
      <c r="K800" s="1500">
        <f t="shared" si="1264"/>
        <v>4.3178079382590545E-3</v>
      </c>
      <c r="L800" s="1500">
        <f t="shared" si="1264"/>
        <v>4.2756829827638445E-3</v>
      </c>
      <c r="M800" s="1500">
        <f t="shared" si="1264"/>
        <v>4.2339690024441965E-3</v>
      </c>
      <c r="N800" s="2116">
        <f t="shared" si="1264"/>
        <v>4.1926619877862047E-3</v>
      </c>
      <c r="O800" s="2116">
        <f t="shared" ref="O800" si="1265">O794</f>
        <v>4.1517579683931684E-3</v>
      </c>
      <c r="P800" s="2116">
        <f t="shared" ref="P800" si="1266">P794</f>
        <v>4.111253012603967E-3</v>
      </c>
      <c r="Q800" s="2447">
        <f t="shared" ref="Q800" si="1267">Q794</f>
        <v>4.071143227115148E-3</v>
      </c>
    </row>
    <row r="801" spans="1:17" x14ac:dyDescent="0.2">
      <c r="A801" s="2114" t="s">
        <v>4701</v>
      </c>
      <c r="B801" s="547"/>
      <c r="C801" s="1500">
        <f t="shared" ref="C801:N801" si="1268">C795</f>
        <v>0.77068477645727251</v>
      </c>
      <c r="D801" s="1500">
        <f t="shared" si="1268"/>
        <v>0.98656171174547491</v>
      </c>
      <c r="E801" s="1500">
        <f t="shared" si="1268"/>
        <v>1.0988267861850778</v>
      </c>
      <c r="F801" s="1500">
        <f t="shared" si="1268"/>
        <v>0.97146187765905201</v>
      </c>
      <c r="G801" s="1500">
        <f t="shared" si="1268"/>
        <v>1.0495320613404047</v>
      </c>
      <c r="H801" s="1500">
        <f t="shared" si="1268"/>
        <v>1.0480279831769301</v>
      </c>
      <c r="I801" s="1500">
        <f t="shared" si="1268"/>
        <v>1.0760163944481129</v>
      </c>
      <c r="J801" s="1500">
        <f t="shared" si="1268"/>
        <v>1.0508027555010799</v>
      </c>
      <c r="K801" s="1500">
        <f t="shared" si="1268"/>
        <v>1.073438630845748</v>
      </c>
      <c r="L801" s="1500">
        <f t="shared" si="1268"/>
        <v>1.0490049598385129</v>
      </c>
      <c r="M801" s="1500">
        <f t="shared" si="1268"/>
        <v>1.0709651186835836</v>
      </c>
      <c r="N801" s="2116">
        <f t="shared" si="1268"/>
        <v>1.0470334544005617</v>
      </c>
      <c r="O801" s="2116">
        <f t="shared" ref="O801" si="1269">O795</f>
        <v>1.0683108265219861</v>
      </c>
      <c r="P801" s="2116">
        <f t="shared" ref="P801" si="1270">P795</f>
        <v>1.0451964934200131</v>
      </c>
      <c r="Q801" s="2447">
        <f t="shared" ref="Q801" si="1271">Q795</f>
        <v>1.0438919150550559</v>
      </c>
    </row>
    <row r="802" spans="1:17" x14ac:dyDescent="0.2">
      <c r="A802" s="2114" t="s">
        <v>4313</v>
      </c>
      <c r="B802" s="547"/>
      <c r="C802" s="1500">
        <f t="shared" ref="C802:N802" si="1272">C797</f>
        <v>0.10861442884018024</v>
      </c>
      <c r="D802" s="1500">
        <f t="shared" si="1272"/>
        <v>0.10325976075379625</v>
      </c>
      <c r="E802" s="1500">
        <f t="shared" si="1272"/>
        <v>0.10338203244813947</v>
      </c>
      <c r="F802" s="1500">
        <f t="shared" si="1272"/>
        <v>8.37858723523833E-2</v>
      </c>
      <c r="G802" s="1500">
        <f t="shared" si="1272"/>
        <v>8.9302907206450413E-2</v>
      </c>
      <c r="H802" s="1500">
        <f t="shared" si="1272"/>
        <v>8.9630191549175536E-2</v>
      </c>
      <c r="I802" s="1500">
        <f t="shared" si="1272"/>
        <v>8.6049997024872066E-2</v>
      </c>
      <c r="J802" s="1500">
        <f t="shared" si="1272"/>
        <v>7.7314622218524379E-2</v>
      </c>
      <c r="K802" s="1500">
        <f t="shared" si="1272"/>
        <v>8.6837457406383239E-2</v>
      </c>
      <c r="L802" s="1500">
        <f t="shared" si="1272"/>
        <v>7.4743112382388274E-2</v>
      </c>
      <c r="M802" s="1500">
        <f t="shared" si="1272"/>
        <v>5.738574724004461E-2</v>
      </c>
      <c r="N802" s="2116">
        <f t="shared" si="1272"/>
        <v>5.0473997358239139E-2</v>
      </c>
      <c r="O802" s="2116">
        <f t="shared" ref="O802" si="1273">O797</f>
        <v>3.7221513042221641E-2</v>
      </c>
      <c r="P802" s="2116">
        <f t="shared" ref="P802" si="1274">P797</f>
        <v>3.5701136311562062E-2</v>
      </c>
      <c r="Q802" s="2447">
        <f t="shared" ref="Q802" si="1275">Q797</f>
        <v>3.4368301999303297E-2</v>
      </c>
    </row>
    <row r="803" spans="1:17" x14ac:dyDescent="0.2">
      <c r="A803" s="2114" t="s">
        <v>4698</v>
      </c>
      <c r="B803" s="547"/>
      <c r="C803" s="1500">
        <f t="shared" ref="C803:N803" si="1276">C792</f>
        <v>0.71515857879494238</v>
      </c>
      <c r="D803" s="1500">
        <f t="shared" si="1276"/>
        <v>0.66617490814477098</v>
      </c>
      <c r="E803" s="1500">
        <f t="shared" si="1276"/>
        <v>0.66318371038055313</v>
      </c>
      <c r="F803" s="1500">
        <f t="shared" si="1276"/>
        <v>0.66455580865603636</v>
      </c>
      <c r="G803" s="1500">
        <f t="shared" si="1276"/>
        <v>0.65134293579381697</v>
      </c>
      <c r="H803" s="1500">
        <f t="shared" si="1276"/>
        <v>0.69748862401788669</v>
      </c>
      <c r="I803" s="1500">
        <f t="shared" si="1276"/>
        <v>0.74043720216202391</v>
      </c>
      <c r="J803" s="1500">
        <f t="shared" si="1276"/>
        <v>0.6748709408825978</v>
      </c>
      <c r="K803" s="1500">
        <f t="shared" si="1276"/>
        <v>0.6788440987098916</v>
      </c>
      <c r="L803" s="1500">
        <f t="shared" si="1276"/>
        <v>0.76092450133174572</v>
      </c>
      <c r="M803" s="1500">
        <f t="shared" si="1276"/>
        <v>0.76482229366095666</v>
      </c>
      <c r="N803" s="2116">
        <f t="shared" si="1276"/>
        <v>0.76305522098541556</v>
      </c>
      <c r="O803" s="2116">
        <f t="shared" ref="O803" si="1277">O792</f>
        <v>0.76660093721137113</v>
      </c>
      <c r="P803" s="2116">
        <f t="shared" ref="P803" si="1278">P792</f>
        <v>0.76533308079366158</v>
      </c>
      <c r="Q803" s="2447">
        <f t="shared" ref="Q803" si="1279">Q792</f>
        <v>0.76859653952289186</v>
      </c>
    </row>
    <row r="804" spans="1:17" x14ac:dyDescent="0.2">
      <c r="A804" s="2114" t="s">
        <v>4699</v>
      </c>
      <c r="B804" s="547"/>
      <c r="C804" s="1500">
        <f t="shared" ref="C804:N804" si="1280">C793</f>
        <v>0.75199497329563303</v>
      </c>
      <c r="D804" s="1500">
        <f t="shared" si="1280"/>
        <v>0.77162759460852459</v>
      </c>
      <c r="E804" s="1500">
        <f t="shared" si="1280"/>
        <v>0.95146895765649109</v>
      </c>
      <c r="F804" s="1500">
        <f t="shared" si="1280"/>
        <v>1.6467967493090219</v>
      </c>
      <c r="G804" s="1500">
        <f t="shared" si="1280"/>
        <v>2.0951631605101873</v>
      </c>
      <c r="H804" s="1500">
        <f t="shared" si="1280"/>
        <v>0.71918056416739817</v>
      </c>
      <c r="I804" s="1500">
        <f t="shared" si="1280"/>
        <v>0.50302536288679189</v>
      </c>
      <c r="J804" s="1500">
        <f t="shared" si="1280"/>
        <v>1.8969650403380716</v>
      </c>
      <c r="K804" s="1500">
        <f t="shared" si="1280"/>
        <v>1.4724624145099576</v>
      </c>
      <c r="L804" s="1500">
        <f t="shared" si="1280"/>
        <v>0.69474492546019739</v>
      </c>
      <c r="M804" s="1500">
        <f t="shared" si="1280"/>
        <v>0.70199567134036445</v>
      </c>
      <c r="N804" s="2116">
        <f t="shared" si="1280"/>
        <v>0.91872866742831194</v>
      </c>
      <c r="O804" s="2116">
        <f t="shared" ref="O804" si="1281">O793</f>
        <v>0.8319768493398445</v>
      </c>
      <c r="P804" s="2116">
        <f t="shared" ref="P804" si="1282">P793</f>
        <v>0.87131751227495913</v>
      </c>
      <c r="Q804" s="2447">
        <f t="shared" ref="Q804" si="1283">Q793</f>
        <v>0.87090520123011095</v>
      </c>
    </row>
    <row r="805" spans="1:17" x14ac:dyDescent="0.2">
      <c r="A805" s="2114" t="s">
        <v>4702</v>
      </c>
      <c r="B805" s="547"/>
      <c r="C805" s="1501">
        <f t="shared" ref="C805:N805" si="1284">C796</f>
        <v>1.0752248538768596</v>
      </c>
      <c r="D805" s="1501">
        <f t="shared" si="1284"/>
        <v>0.97953645097714515</v>
      </c>
      <c r="E805" s="1501">
        <f t="shared" si="1284"/>
        <v>0.97220539046520849</v>
      </c>
      <c r="F805" s="1501">
        <f t="shared" si="1284"/>
        <v>1.0016825645394467</v>
      </c>
      <c r="G805" s="1501">
        <f t="shared" si="1284"/>
        <v>0.97095041042205232</v>
      </c>
      <c r="H805" s="1501">
        <f t="shared" si="1284"/>
        <v>0.90244937768148292</v>
      </c>
      <c r="I805" s="1501">
        <f t="shared" si="1284"/>
        <v>0.90947520138872584</v>
      </c>
      <c r="J805" s="1501">
        <f t="shared" si="1284"/>
        <v>0.88521441004699741</v>
      </c>
      <c r="K805" s="1501">
        <f t="shared" si="1284"/>
        <v>0.88616660724613172</v>
      </c>
      <c r="L805" s="1501">
        <f t="shared" si="1284"/>
        <v>0.86176711762558655</v>
      </c>
      <c r="M805" s="1501">
        <f t="shared" si="1284"/>
        <v>0.86368331512958219</v>
      </c>
      <c r="N805" s="2117">
        <f t="shared" si="1284"/>
        <v>0.84740643235678614</v>
      </c>
      <c r="O805" s="2117">
        <f t="shared" ref="O805" si="1285">O796</f>
        <v>0.84185862657368038</v>
      </c>
      <c r="P805" s="2117">
        <f t="shared" ref="P805" si="1286">P796</f>
        <v>0.82144161036030927</v>
      </c>
      <c r="Q805" s="2448">
        <f t="shared" ref="Q805" si="1287">Q796</f>
        <v>0.82083694488037462</v>
      </c>
    </row>
    <row r="806" spans="1:17" x14ac:dyDescent="0.2">
      <c r="A806" s="2114" t="s">
        <v>4697</v>
      </c>
      <c r="B806" s="547"/>
      <c r="C806" s="1499">
        <f>C791</f>
        <v>-0.18079800498753118</v>
      </c>
      <c r="D806" s="1499">
        <f t="shared" ref="D806:N806" si="1288">D791</f>
        <v>-6.4387457270028509E-2</v>
      </c>
      <c r="E806" s="1499">
        <f t="shared" si="1288"/>
        <v>-5.605981112277017E-2</v>
      </c>
      <c r="F806" s="1499">
        <f t="shared" si="1288"/>
        <v>2.5343355931012682E-2</v>
      </c>
      <c r="G806" s="1499">
        <f t="shared" si="1288"/>
        <v>-5.6302911042321283E-2</v>
      </c>
      <c r="H806" s="1499">
        <f t="shared" si="1288"/>
        <v>-2.5083959187395383E-2</v>
      </c>
      <c r="I806" s="1499">
        <f t="shared" si="1288"/>
        <v>-2.4204525169582373E-2</v>
      </c>
      <c r="J806" s="1499">
        <f t="shared" si="1288"/>
        <v>-2.5308077026190069E-2</v>
      </c>
      <c r="K806" s="1499">
        <f t="shared" si="1288"/>
        <v>-2.4475050398729666E-2</v>
      </c>
      <c r="L806" s="1499">
        <f t="shared" si="1288"/>
        <v>-1.738945113939382E-2</v>
      </c>
      <c r="M806" s="1499">
        <f t="shared" si="1288"/>
        <v>-1.3509099432861485E-2</v>
      </c>
      <c r="N806" s="2115">
        <f t="shared" si="1288"/>
        <v>-1.4890380283313062E-2</v>
      </c>
      <c r="O806" s="2115">
        <f t="shared" ref="O806" si="1289">O791</f>
        <v>-2.8404666136790185E-3</v>
      </c>
      <c r="P806" s="2115">
        <f t="shared" ref="P806" si="1290">P791</f>
        <v>3.9220209943476294E-3</v>
      </c>
      <c r="Q806" s="2446">
        <f t="shared" ref="Q806" si="1291">Q791</f>
        <v>8.8411707705904376E-3</v>
      </c>
    </row>
    <row r="807" spans="1:17" x14ac:dyDescent="0.2">
      <c r="A807" s="2118" t="s">
        <v>3729</v>
      </c>
      <c r="B807" s="547"/>
      <c r="C807" s="547"/>
      <c r="D807" s="547"/>
      <c r="E807" s="547"/>
      <c r="F807" s="547"/>
      <c r="G807" s="547"/>
      <c r="H807" s="547"/>
      <c r="I807" s="547"/>
      <c r="J807" s="547"/>
      <c r="K807" s="547"/>
      <c r="L807" s="547"/>
      <c r="M807" s="547"/>
      <c r="N807" s="549"/>
      <c r="O807" s="549"/>
      <c r="P807" s="549"/>
      <c r="Q807" s="835"/>
    </row>
    <row r="808" spans="1:17" x14ac:dyDescent="0.2">
      <c r="A808" s="2114" t="s">
        <v>4745</v>
      </c>
      <c r="B808" s="48"/>
      <c r="C808" s="48">
        <f>LTFP!A187/1000</f>
        <v>46105</v>
      </c>
      <c r="D808" s="48">
        <f>LTFP!B187/1000</f>
        <v>49169.8</v>
      </c>
      <c r="E808" s="48">
        <f>LTFP!C187/1000</f>
        <v>50716</v>
      </c>
      <c r="F808" s="48">
        <f>LTFP!D187/1000</f>
        <v>56577.599999999999</v>
      </c>
      <c r="G808" s="48">
        <f>LTFP!F187/1000</f>
        <v>52698.400000000001</v>
      </c>
      <c r="H808" s="48">
        <f>LTFP!H187/1000</f>
        <v>52761.9</v>
      </c>
      <c r="I808" s="48">
        <f>LTFP!I187/1000</f>
        <v>54365.2</v>
      </c>
      <c r="J808" s="48">
        <f>LTFP!J187/1000</f>
        <v>55349.5</v>
      </c>
      <c r="K808" s="48">
        <f>LTFP!K187/1000</f>
        <v>56669</v>
      </c>
      <c r="L808" s="48">
        <f>LTFP!L187/1000</f>
        <v>58086.8</v>
      </c>
      <c r="M808" s="48">
        <f>LTFP!M187/1000</f>
        <v>59733.1</v>
      </c>
      <c r="N808" s="161">
        <f>LTFP!N187/1000</f>
        <v>61244.3</v>
      </c>
      <c r="O808" s="161">
        <f>LTFP!O187/1000</f>
        <v>62958.5</v>
      </c>
      <c r="P808" s="161">
        <f>LTFP!P187/1000</f>
        <v>64694.7</v>
      </c>
      <c r="Q808" s="51">
        <f>LTFP!Q187/1000</f>
        <v>66451.899999999994</v>
      </c>
    </row>
    <row r="809" spans="1:17" x14ac:dyDescent="0.2">
      <c r="A809" s="2114" t="s">
        <v>3746</v>
      </c>
      <c r="B809" s="48"/>
      <c r="C809" s="48">
        <f>(LTFP!A188+LTFP!A191+LTFP!A193+LTFP!A194)/1000</f>
        <v>56363.4</v>
      </c>
      <c r="D809" s="48">
        <f>(LTFP!B188+LTFP!B191+LTFP!B193+LTFP!B194)/1000</f>
        <v>53582</v>
      </c>
      <c r="E809" s="48">
        <f>(LTFP!C188+LTFP!C191+LTFP!C193+LTFP!C194)/1000</f>
        <v>54645.9</v>
      </c>
      <c r="F809" s="48">
        <f>(LTFP!D188+LTFP!D191+LTFP!D193+LTFP!D194)/1000</f>
        <v>54931.5</v>
      </c>
      <c r="G809" s="48">
        <f>(LTFP!F188+LTFP!F191+LTFP!F193+LTFP!F194)/1000</f>
        <v>55834</v>
      </c>
      <c r="H809" s="48">
        <f>(LTFP!H188+LTFP!H191+LTFP!H193+LTFP!H194)/1000</f>
        <v>54254.8</v>
      </c>
      <c r="I809" s="48">
        <f>(LTFP!I188+LTFP!I191+LTFP!I193+LTFP!I194)/1000</f>
        <v>55866.9</v>
      </c>
      <c r="J809" s="48">
        <f>(LTFP!J188+LTFP!J191+LTFP!J193+LTFP!J194)/1000</f>
        <v>56918.3</v>
      </c>
      <c r="K809" s="48">
        <f>(LTFP!K188+LTFP!K191+LTFP!K193+LTFP!K194)/1000</f>
        <v>58240.9</v>
      </c>
      <c r="L809" s="48">
        <f>(LTFP!L188+LTFP!L191+LTFP!L193+LTFP!L194)/1000</f>
        <v>59274.1</v>
      </c>
      <c r="M809" s="48">
        <f>(LTFP!M188+LTFP!M191+LTFP!M193+LTFP!M194)/1000</f>
        <v>60731.3</v>
      </c>
      <c r="N809" s="161">
        <f>(LTFP!N188+LTFP!N191+LTFP!N193+LTFP!N194)/1000</f>
        <v>62336</v>
      </c>
      <c r="O809" s="161">
        <f>(LTFP!O188+LTFP!O191+LTFP!O193+LTFP!O194)/1000</f>
        <v>63335.4</v>
      </c>
      <c r="P809" s="161">
        <f>(LTFP!P188+LTFP!P191+LTFP!P193+LTFP!P194)/1000</f>
        <v>64646.5</v>
      </c>
      <c r="Q809" s="51">
        <f>(LTFP!Q188+LTFP!Q191+LTFP!Q193+LTFP!Q194)/1000</f>
        <v>66070.7</v>
      </c>
    </row>
    <row r="810" spans="1:17" x14ac:dyDescent="0.2">
      <c r="A810" s="2114" t="s">
        <v>418</v>
      </c>
      <c r="B810" s="48"/>
      <c r="C810" s="48">
        <f>C808-C809</f>
        <v>-10258.400000000001</v>
      </c>
      <c r="D810" s="48">
        <f>D808-D809</f>
        <v>-4412.1999999999971</v>
      </c>
      <c r="E810" s="48">
        <f>E808-E809</f>
        <v>-3929.9000000000015</v>
      </c>
      <c r="F810" s="48">
        <f t="shared" ref="F810" si="1292">F808-F809</f>
        <v>1646.0999999999985</v>
      </c>
      <c r="G810" s="48">
        <f t="shared" ref="G810" si="1293">G808-G809</f>
        <v>-3135.5999999999985</v>
      </c>
      <c r="H810" s="48">
        <f t="shared" ref="H810" si="1294">H808-H809</f>
        <v>-1492.9000000000015</v>
      </c>
      <c r="I810" s="48">
        <f t="shared" ref="I810" si="1295">I808-I809</f>
        <v>-1501.7000000000044</v>
      </c>
      <c r="J810" s="48">
        <f t="shared" ref="J810" si="1296">J808-J809</f>
        <v>-1568.8000000000029</v>
      </c>
      <c r="K810" s="48">
        <f t="shared" ref="K810" si="1297">K808-K809</f>
        <v>-1571.9000000000015</v>
      </c>
      <c r="L810" s="48">
        <f t="shared" ref="L810" si="1298">L808-L809</f>
        <v>-1187.2999999999956</v>
      </c>
      <c r="M810" s="48">
        <f t="shared" ref="M810" si="1299">M808-M809</f>
        <v>-998.20000000000437</v>
      </c>
      <c r="N810" s="161">
        <f t="shared" ref="N810:O810" si="1300">N808-N809</f>
        <v>-1091.6999999999971</v>
      </c>
      <c r="O810" s="161">
        <f t="shared" si="1300"/>
        <v>-376.90000000000146</v>
      </c>
      <c r="P810" s="161">
        <f t="shared" ref="P810" si="1301">P808-P809</f>
        <v>48.19999999999709</v>
      </c>
      <c r="Q810" s="51">
        <f t="shared" ref="Q810" si="1302">Q808-Q809</f>
        <v>381.19999999999709</v>
      </c>
    </row>
    <row r="811" spans="1:17" ht="13.5" thickBot="1" x14ac:dyDescent="0.25">
      <c r="A811" s="2450"/>
      <c r="B811" s="2119"/>
      <c r="C811" s="2119"/>
      <c r="D811" s="2119"/>
      <c r="E811" s="2119"/>
      <c r="F811" s="2119"/>
      <c r="G811" s="2119"/>
      <c r="H811" s="2119"/>
      <c r="I811" s="2119"/>
      <c r="J811" s="2119"/>
      <c r="K811" s="2119"/>
      <c r="L811" s="2119"/>
      <c r="M811" s="2119"/>
      <c r="N811" s="2451"/>
      <c r="O811" s="2451"/>
      <c r="P811" s="2451"/>
      <c r="Q811" s="2452"/>
    </row>
    <row r="812" spans="1:17" ht="13.5" thickTop="1" x14ac:dyDescent="0.2">
      <c r="A812" s="1729"/>
      <c r="B812" s="1502"/>
      <c r="C812" s="1502"/>
      <c r="D812" s="1502"/>
      <c r="E812" s="1502"/>
      <c r="F812" s="1502"/>
      <c r="G812" s="1502"/>
      <c r="H812" s="1502"/>
      <c r="I812" s="1502"/>
      <c r="J812" s="1502"/>
      <c r="K812" s="1502"/>
      <c r="L812" s="1502"/>
      <c r="M812" s="1502"/>
      <c r="N812" s="2120"/>
      <c r="O812" s="2120"/>
      <c r="P812" s="2120"/>
      <c r="Q812" s="2439"/>
    </row>
    <row r="813" spans="1:17" s="573" customFormat="1" x14ac:dyDescent="0.2">
      <c r="A813" s="2121" t="s">
        <v>6914</v>
      </c>
      <c r="B813" s="2122"/>
      <c r="C813" s="2122"/>
      <c r="D813" s="1624" t="str">
        <f>D790</f>
        <v>2014/15</v>
      </c>
      <c r="E813" s="1624" t="str">
        <f t="shared" ref="E813:N813" si="1303">E790</f>
        <v>2015/16</v>
      </c>
      <c r="F813" s="1624" t="str">
        <f t="shared" si="1303"/>
        <v>2016/17</v>
      </c>
      <c r="G813" s="1624" t="str">
        <f t="shared" si="1303"/>
        <v>2017/18</v>
      </c>
      <c r="H813" s="1624" t="str">
        <f t="shared" si="1303"/>
        <v>2018/19</v>
      </c>
      <c r="I813" s="1624" t="str">
        <f t="shared" si="1303"/>
        <v>2019/20</v>
      </c>
      <c r="J813" s="1624" t="str">
        <f t="shared" si="1303"/>
        <v>2020/21</v>
      </c>
      <c r="K813" s="1624" t="str">
        <f t="shared" si="1303"/>
        <v>2021/22</v>
      </c>
      <c r="L813" s="1624" t="str">
        <f t="shared" si="1303"/>
        <v>2022/23</v>
      </c>
      <c r="M813" s="1624" t="str">
        <f t="shared" si="1303"/>
        <v>2023/24</v>
      </c>
      <c r="N813" s="1624" t="str">
        <f t="shared" si="1303"/>
        <v>2024/25</v>
      </c>
      <c r="O813" s="1624" t="str">
        <f t="shared" ref="O813" si="1304">O790</f>
        <v>2025/26</v>
      </c>
      <c r="P813" s="1624" t="str">
        <f t="shared" ref="P813" si="1305">P790</f>
        <v>2026/27</v>
      </c>
      <c r="Q813" s="2440" t="str">
        <f t="shared" ref="Q813" si="1306">Q790</f>
        <v>2027/28</v>
      </c>
    </row>
    <row r="814" spans="1:17" x14ac:dyDescent="0.2">
      <c r="A814" s="2114" t="s">
        <v>4700</v>
      </c>
      <c r="B814" s="547"/>
      <c r="C814" s="547"/>
      <c r="D814" s="1503">
        <f t="shared" ref="D814:O814" si="1307">D212</f>
        <v>4.6253410215790986E-3</v>
      </c>
      <c r="E814" s="1503">
        <f t="shared" si="1307"/>
        <v>4.58017167566524E-3</v>
      </c>
      <c r="F814" s="1621">
        <f t="shared" si="1307"/>
        <v>4.5352680317861695E-3</v>
      </c>
      <c r="G814" s="1621">
        <f t="shared" si="1307"/>
        <v>4.4905855881232516E-3</v>
      </c>
      <c r="H814" s="1621">
        <f t="shared" si="1307"/>
        <v>4.4466893458151068E-3</v>
      </c>
      <c r="I814" s="1621">
        <f t="shared" si="1307"/>
        <v>4.4033070107339835E-3</v>
      </c>
      <c r="J814" s="1621">
        <f t="shared" si="1307"/>
        <v>4.3603479179463358E-3</v>
      </c>
      <c r="K814" s="1621">
        <f t="shared" si="1307"/>
        <v>4.3178079382590545E-3</v>
      </c>
      <c r="L814" s="1621">
        <f t="shared" si="1307"/>
        <v>4.2756829827638445E-3</v>
      </c>
      <c r="M814" s="1621">
        <f t="shared" si="1307"/>
        <v>4.2339690024441965E-3</v>
      </c>
      <c r="N814" s="1621">
        <f t="shared" si="1307"/>
        <v>4.1926619877862047E-3</v>
      </c>
      <c r="O814" s="1621">
        <f t="shared" si="1307"/>
        <v>4.1517579683931684E-3</v>
      </c>
      <c r="P814" s="1621">
        <f t="shared" ref="P814" si="1308">P212</f>
        <v>4.111253012603967E-3</v>
      </c>
      <c r="Q814" s="2441">
        <f t="shared" ref="Q814" si="1309">Q212</f>
        <v>4.071143227115148E-3</v>
      </c>
    </row>
    <row r="815" spans="1:17" x14ac:dyDescent="0.2">
      <c r="A815" s="2114" t="s">
        <v>6915</v>
      </c>
      <c r="B815" s="547"/>
      <c r="C815" s="547"/>
      <c r="D815" s="2123">
        <f t="shared" ref="D815:O815" si="1310">D217</f>
        <v>0.92197443845298832</v>
      </c>
      <c r="E815" s="1504">
        <f t="shared" si="1310"/>
        <v>0.95202442479594174</v>
      </c>
      <c r="F815" s="1621">
        <f t="shared" si="1310"/>
        <v>1.0189501251965349</v>
      </c>
      <c r="G815" s="1621">
        <f t="shared" si="1310"/>
        <v>1.0399402417281782</v>
      </c>
      <c r="H815" s="1621">
        <f t="shared" si="1310"/>
        <v>1.0230073073921291</v>
      </c>
      <c r="I815" s="1621">
        <f t="shared" si="1310"/>
        <v>1.0578588129884825</v>
      </c>
      <c r="J815" s="1621">
        <f t="shared" si="1310"/>
        <v>1.0582823777087076</v>
      </c>
      <c r="K815" s="1621">
        <f t="shared" si="1310"/>
        <v>1.0667525935983135</v>
      </c>
      <c r="L815" s="1621">
        <f t="shared" si="1310"/>
        <v>1.0577487820617801</v>
      </c>
      <c r="M815" s="1621">
        <f t="shared" si="1310"/>
        <v>1.0644695697892816</v>
      </c>
      <c r="N815" s="1621">
        <f t="shared" si="1310"/>
        <v>1.0556678443075527</v>
      </c>
      <c r="O815" s="1621">
        <f t="shared" si="1310"/>
        <v>1.0621031332020439</v>
      </c>
      <c r="P815" s="1621">
        <f t="shared" ref="P815" si="1311">P217</f>
        <v>1.0535135914475202</v>
      </c>
      <c r="Q815" s="2441">
        <f t="shared" ref="Q815" si="1312">Q217</f>
        <v>1.0524664116656852</v>
      </c>
    </row>
    <row r="816" spans="1:17" x14ac:dyDescent="0.2">
      <c r="A816" s="2114" t="s">
        <v>4313</v>
      </c>
      <c r="B816" s="547"/>
      <c r="C816" s="547"/>
      <c r="D816" s="1504">
        <f t="shared" ref="D816:O816" si="1313">D231</f>
        <v>9.2391852709137787E-2</v>
      </c>
      <c r="E816" s="1504">
        <f t="shared" si="1313"/>
        <v>0.10508540734737198</v>
      </c>
      <c r="F816" s="1621">
        <f t="shared" si="1313"/>
        <v>9.6809221851439656E-2</v>
      </c>
      <c r="G816" s="1621">
        <f t="shared" si="1313"/>
        <v>9.2156937335657718E-2</v>
      </c>
      <c r="H816" s="1621">
        <f t="shared" si="1313"/>
        <v>8.7572990369336412E-2</v>
      </c>
      <c r="I816" s="1621">
        <f t="shared" si="1313"/>
        <v>8.8327698593499357E-2</v>
      </c>
      <c r="J816" s="1621">
        <f t="shared" si="1313"/>
        <v>8.4331603597523994E-2</v>
      </c>
      <c r="K816" s="1621">
        <f t="shared" si="1313"/>
        <v>8.3400692216593228E-2</v>
      </c>
      <c r="L816" s="1621">
        <f t="shared" si="1313"/>
        <v>7.9631730669098635E-2</v>
      </c>
      <c r="M816" s="1621">
        <f t="shared" si="1313"/>
        <v>7.2988772342938699E-2</v>
      </c>
      <c r="N816" s="1621">
        <f t="shared" si="1313"/>
        <v>6.0867618993557339E-2</v>
      </c>
      <c r="O816" s="1621">
        <f t="shared" si="1313"/>
        <v>4.8360419213501794E-2</v>
      </c>
      <c r="P816" s="1621">
        <f t="shared" ref="P816" si="1314">P231</f>
        <v>4.1132215570674278E-2</v>
      </c>
      <c r="Q816" s="2441">
        <f t="shared" ref="Q816" si="1315">Q231</f>
        <v>3.5763650451029E-2</v>
      </c>
    </row>
    <row r="817" spans="1:19" x14ac:dyDescent="0.2">
      <c r="A817" s="2114" t="s">
        <v>4698</v>
      </c>
      <c r="B817" s="547"/>
      <c r="C817" s="547"/>
      <c r="D817" s="1504">
        <f t="shared" ref="D817:O817" si="1316">D188</f>
        <v>0.60353388982544975</v>
      </c>
      <c r="E817" s="1504">
        <f t="shared" si="1316"/>
        <v>0.68150573244008894</v>
      </c>
      <c r="F817" s="1621">
        <f t="shared" si="1316"/>
        <v>0.66463814239378682</v>
      </c>
      <c r="G817" s="1621">
        <f t="shared" si="1316"/>
        <v>0.65969415161013545</v>
      </c>
      <c r="H817" s="1621">
        <f t="shared" si="1316"/>
        <v>0.67112912282258008</v>
      </c>
      <c r="I817" s="1621">
        <f t="shared" si="1316"/>
        <v>0.69642292065790923</v>
      </c>
      <c r="J817" s="1621">
        <f t="shared" si="1316"/>
        <v>0.70426558902083614</v>
      </c>
      <c r="K817" s="1621">
        <f t="shared" si="1316"/>
        <v>0.69805074725150451</v>
      </c>
      <c r="L817" s="1621">
        <f t="shared" si="1316"/>
        <v>0.70487984697474504</v>
      </c>
      <c r="M817" s="1621">
        <f t="shared" si="1316"/>
        <v>0.73486363123419796</v>
      </c>
      <c r="N817" s="1621">
        <f t="shared" si="1316"/>
        <v>0.76293400532603928</v>
      </c>
      <c r="O817" s="1621">
        <f t="shared" si="1316"/>
        <v>0.76482615061924786</v>
      </c>
      <c r="P817" s="1621">
        <f t="shared" ref="P817" si="1317">P188</f>
        <v>0.76499641299681598</v>
      </c>
      <c r="Q817" s="2441">
        <f t="shared" ref="Q817" si="1318">Q188</f>
        <v>0.76684351917597482</v>
      </c>
    </row>
    <row r="818" spans="1:19" x14ac:dyDescent="0.2">
      <c r="A818" s="2114" t="s">
        <v>4702</v>
      </c>
      <c r="B818" s="547"/>
      <c r="C818" s="547"/>
      <c r="D818" s="1505">
        <f t="shared" ref="D818:O818" si="1319">D221*100/100</f>
        <v>0.97953645097714515</v>
      </c>
      <c r="E818" s="1505">
        <f t="shared" si="1319"/>
        <v>0.9722053904652086</v>
      </c>
      <c r="F818" s="1621">
        <f t="shared" si="1319"/>
        <v>1.0016825645394467</v>
      </c>
      <c r="G818" s="1621">
        <f t="shared" si="1319"/>
        <v>0.97095041042205243</v>
      </c>
      <c r="H818" s="1621">
        <f t="shared" si="1319"/>
        <v>0.90244937768148292</v>
      </c>
      <c r="I818" s="1621">
        <f t="shared" si="1319"/>
        <v>0.90947520138872595</v>
      </c>
      <c r="J818" s="1621">
        <f t="shared" si="1319"/>
        <v>0.88521441004699741</v>
      </c>
      <c r="K818" s="1621">
        <f t="shared" si="1319"/>
        <v>0.88616660724613172</v>
      </c>
      <c r="L818" s="1621">
        <f t="shared" si="1319"/>
        <v>0.86176711762558655</v>
      </c>
      <c r="M818" s="1621">
        <f t="shared" si="1319"/>
        <v>0.86368331512958219</v>
      </c>
      <c r="N818" s="1621">
        <f t="shared" si="1319"/>
        <v>0.84740643235678614</v>
      </c>
      <c r="O818" s="1621">
        <f t="shared" si="1319"/>
        <v>0.84185862657368038</v>
      </c>
      <c r="P818" s="1621">
        <f t="shared" ref="P818" si="1320">P221*100/100</f>
        <v>0.82144161036030927</v>
      </c>
      <c r="Q818" s="2441">
        <f t="shared" ref="Q818" si="1321">Q221*100/100</f>
        <v>0.82083694488037462</v>
      </c>
    </row>
    <row r="819" spans="1:19" x14ac:dyDescent="0.2">
      <c r="A819" s="2114" t="s">
        <v>4699</v>
      </c>
      <c r="B819" s="547"/>
      <c r="C819" s="547"/>
      <c r="D819" s="2123">
        <f t="shared" ref="D819:O819" si="1322">D202</f>
        <v>0.79825521781191078</v>
      </c>
      <c r="E819" s="2123">
        <f t="shared" si="1322"/>
        <v>0.8250305085202162</v>
      </c>
      <c r="F819" s="1621">
        <f t="shared" si="1322"/>
        <v>1.1232977671913458</v>
      </c>
      <c r="G819" s="1621">
        <f t="shared" si="1322"/>
        <v>1.5644762891585666</v>
      </c>
      <c r="H819" s="1621">
        <f t="shared" si="1322"/>
        <v>1.4870468246622022</v>
      </c>
      <c r="I819" s="1621">
        <f t="shared" si="1322"/>
        <v>1.1057896958547924</v>
      </c>
      <c r="J819" s="1621">
        <f t="shared" si="1322"/>
        <v>1.0397236557974205</v>
      </c>
      <c r="K819" s="1621">
        <f t="shared" si="1322"/>
        <v>1.290817605911607</v>
      </c>
      <c r="L819" s="1621">
        <f t="shared" si="1322"/>
        <v>1.354724126769409</v>
      </c>
      <c r="M819" s="1621">
        <f t="shared" si="1322"/>
        <v>0.95640100377017312</v>
      </c>
      <c r="N819" s="1625">
        <f t="shared" si="1322"/>
        <v>0.77182308807629119</v>
      </c>
      <c r="O819" s="1625">
        <f t="shared" si="1322"/>
        <v>0.8175670627028403</v>
      </c>
      <c r="P819" s="1625">
        <f t="shared" ref="P819" si="1323">P202</f>
        <v>0.87400767634770515</v>
      </c>
      <c r="Q819" s="2556">
        <f t="shared" ref="Q819" si="1324">Q202</f>
        <v>0.85806652094830482</v>
      </c>
      <c r="S819" s="1616"/>
    </row>
    <row r="820" spans="1:19" x14ac:dyDescent="0.2">
      <c r="A820" s="2114" t="s">
        <v>4310</v>
      </c>
      <c r="B820" s="547"/>
      <c r="C820" s="547"/>
      <c r="D820" s="2123">
        <f t="shared" ref="D820:O820" si="1325">D174</f>
        <v>-9.3543816287800882E-2</v>
      </c>
      <c r="E820" s="2123">
        <f t="shared" si="1325"/>
        <v>-0.10041509112677661</v>
      </c>
      <c r="F820" s="1625">
        <f t="shared" si="1325"/>
        <v>-3.1701304153928668E-2</v>
      </c>
      <c r="G820" s="1625">
        <f t="shared" si="1325"/>
        <v>-2.9006455411359589E-2</v>
      </c>
      <c r="H820" s="1625">
        <f t="shared" si="1325"/>
        <v>-1.8681171432901326E-2</v>
      </c>
      <c r="I820" s="1625">
        <f t="shared" si="1325"/>
        <v>-3.519713179976635E-2</v>
      </c>
      <c r="J820" s="1625">
        <f t="shared" si="1325"/>
        <v>-2.4865520461055945E-2</v>
      </c>
      <c r="K820" s="1625">
        <f t="shared" si="1325"/>
        <v>-2.4662550864834033E-2</v>
      </c>
      <c r="L820" s="1625">
        <f t="shared" si="1325"/>
        <v>-2.239085952143785E-2</v>
      </c>
      <c r="M820" s="1625">
        <f t="shared" si="1325"/>
        <v>-1.8457866990328326E-2</v>
      </c>
      <c r="N820" s="1625">
        <f t="shared" si="1325"/>
        <v>-1.5262976951856121E-2</v>
      </c>
      <c r="O820" s="1625">
        <f t="shared" si="1325"/>
        <v>-1.0413315443284521E-2</v>
      </c>
      <c r="P820" s="1625">
        <f t="shared" ref="P820" si="1326">P174</f>
        <v>-4.6029419675481494E-3</v>
      </c>
      <c r="Q820" s="2441">
        <f t="shared" ref="Q820" si="1327">Q174</f>
        <v>3.3075750504196829E-3</v>
      </c>
    </row>
    <row r="821" spans="1:19" ht="13.5" thickBot="1" x14ac:dyDescent="0.25">
      <c r="A821" s="1719"/>
      <c r="B821" s="1479"/>
      <c r="C821" s="1479"/>
      <c r="D821" s="1479"/>
      <c r="E821" s="1479"/>
      <c r="F821" s="1479"/>
      <c r="G821" s="1479"/>
      <c r="H821" s="1479"/>
      <c r="I821" s="1479"/>
      <c r="J821" s="1479"/>
      <c r="K821" s="1479"/>
      <c r="L821" s="1479"/>
      <c r="M821" s="1479"/>
      <c r="N821" s="2094"/>
      <c r="O821" s="2094"/>
      <c r="P821" s="2094"/>
      <c r="Q821" s="1755"/>
    </row>
    <row r="822" spans="1:19" ht="13.5" thickTop="1" x14ac:dyDescent="0.2">
      <c r="A822" s="1729"/>
      <c r="B822" s="1502"/>
      <c r="C822" s="1502"/>
      <c r="D822" s="1502"/>
      <c r="E822" s="1502"/>
      <c r="F822" s="1502"/>
      <c r="G822" s="1502"/>
      <c r="H822" s="1502"/>
      <c r="I822" s="1502"/>
      <c r="J822" s="1502"/>
      <c r="K822" s="1502"/>
      <c r="L822" s="1502"/>
      <c r="M822" s="1502"/>
      <c r="N822" s="2120"/>
      <c r="O822" s="2120"/>
      <c r="P822" s="2120"/>
      <c r="Q822" s="2439"/>
    </row>
    <row r="823" spans="1:19" s="573" customFormat="1" x14ac:dyDescent="0.2">
      <c r="A823" s="2118" t="s">
        <v>6532</v>
      </c>
      <c r="B823" s="2124"/>
      <c r="C823" s="2124"/>
      <c r="D823" s="640" t="str">
        <f>D813</f>
        <v>2014/15</v>
      </c>
      <c r="E823" s="640" t="str">
        <f t="shared" ref="E823:O823" si="1328">E813</f>
        <v>2015/16</v>
      </c>
      <c r="F823" s="640" t="str">
        <f t="shared" si="1328"/>
        <v>2016/17</v>
      </c>
      <c r="G823" s="640" t="str">
        <f t="shared" si="1328"/>
        <v>2017/18</v>
      </c>
      <c r="H823" s="640" t="str">
        <f t="shared" si="1328"/>
        <v>2018/19</v>
      </c>
      <c r="I823" s="640" t="str">
        <f t="shared" si="1328"/>
        <v>2019/20</v>
      </c>
      <c r="J823" s="640" t="str">
        <f t="shared" si="1328"/>
        <v>2020/21</v>
      </c>
      <c r="K823" s="640" t="str">
        <f t="shared" si="1328"/>
        <v>2021/22</v>
      </c>
      <c r="L823" s="640" t="str">
        <f t="shared" si="1328"/>
        <v>2022/23</v>
      </c>
      <c r="M823" s="640" t="str">
        <f t="shared" si="1328"/>
        <v>2023/24</v>
      </c>
      <c r="N823" s="987" t="str">
        <f t="shared" si="1328"/>
        <v>2024/25</v>
      </c>
      <c r="O823" s="987" t="str">
        <f t="shared" si="1328"/>
        <v>2025/26</v>
      </c>
      <c r="P823" s="987" t="str">
        <f t="shared" ref="P823" si="1329">P813</f>
        <v>2026/27</v>
      </c>
      <c r="Q823" s="947" t="str">
        <f t="shared" ref="Q823" si="1330">Q813</f>
        <v>2027/28</v>
      </c>
    </row>
    <row r="824" spans="1:19" x14ac:dyDescent="0.2">
      <c r="A824" s="2114" t="s">
        <v>5213</v>
      </c>
      <c r="B824" s="547"/>
      <c r="C824" s="547"/>
      <c r="D824" s="1503">
        <f t="shared" ref="D824:O824" si="1331">D212</f>
        <v>4.6253410215790986E-3</v>
      </c>
      <c r="E824" s="1503">
        <f t="shared" si="1331"/>
        <v>4.58017167566524E-3</v>
      </c>
      <c r="F824" s="1503">
        <f t="shared" si="1331"/>
        <v>4.5352680317861695E-3</v>
      </c>
      <c r="G824" s="1503">
        <f t="shared" si="1331"/>
        <v>4.4905855881232516E-3</v>
      </c>
      <c r="H824" s="1503">
        <f t="shared" si="1331"/>
        <v>4.4466893458151068E-3</v>
      </c>
      <c r="I824" s="1503">
        <f t="shared" si="1331"/>
        <v>4.4033070107339835E-3</v>
      </c>
      <c r="J824" s="1503">
        <f t="shared" si="1331"/>
        <v>4.3603479179463358E-3</v>
      </c>
      <c r="K824" s="1503">
        <f t="shared" si="1331"/>
        <v>4.3178079382590545E-3</v>
      </c>
      <c r="L824" s="1503">
        <f t="shared" si="1331"/>
        <v>4.2756829827638445E-3</v>
      </c>
      <c r="M824" s="1503">
        <f t="shared" si="1331"/>
        <v>4.2339690024441965E-3</v>
      </c>
      <c r="N824" s="2125">
        <f t="shared" si="1331"/>
        <v>4.1926619877862047E-3</v>
      </c>
      <c r="O824" s="2125">
        <f t="shared" si="1331"/>
        <v>4.1517579683931684E-3</v>
      </c>
      <c r="P824" s="2125">
        <f t="shared" ref="P824" si="1332">P212</f>
        <v>4.111253012603967E-3</v>
      </c>
      <c r="Q824" s="2442">
        <f t="shared" ref="Q824" si="1333">Q212</f>
        <v>4.071143227115148E-3</v>
      </c>
    </row>
    <row r="825" spans="1:19" x14ac:dyDescent="0.2">
      <c r="A825" s="2114" t="s">
        <v>6533</v>
      </c>
      <c r="B825" s="547"/>
      <c r="C825" s="547"/>
      <c r="D825" s="2123">
        <f t="shared" ref="D825:O825" si="1334">D216</f>
        <v>0.98656171174547491</v>
      </c>
      <c r="E825" s="1504">
        <f t="shared" si="1334"/>
        <v>1.0988267861850778</v>
      </c>
      <c r="F825" s="1504">
        <f t="shared" si="1334"/>
        <v>0.97146187765905201</v>
      </c>
      <c r="G825" s="1504">
        <f t="shared" si="1334"/>
        <v>1.0495320613404047</v>
      </c>
      <c r="H825" s="1504">
        <f t="shared" si="1334"/>
        <v>1.0480279831769301</v>
      </c>
      <c r="I825" s="1504">
        <f t="shared" si="1334"/>
        <v>1.0760163944481129</v>
      </c>
      <c r="J825" s="1504">
        <f t="shared" si="1334"/>
        <v>1.0508027555010799</v>
      </c>
      <c r="K825" s="1504">
        <f t="shared" si="1334"/>
        <v>1.073438630845748</v>
      </c>
      <c r="L825" s="1504">
        <f t="shared" si="1334"/>
        <v>1.0490049598385129</v>
      </c>
      <c r="M825" s="1504">
        <f t="shared" si="1334"/>
        <v>1.0709651186835836</v>
      </c>
      <c r="N825" s="2126">
        <f t="shared" si="1334"/>
        <v>1.0470334544005617</v>
      </c>
      <c r="O825" s="2126">
        <f t="shared" si="1334"/>
        <v>1.0683108265219861</v>
      </c>
      <c r="P825" s="2126">
        <f t="shared" ref="P825" si="1335">P216</f>
        <v>1.0451964934200131</v>
      </c>
      <c r="Q825" s="2443">
        <f t="shared" ref="Q825" si="1336">Q216</f>
        <v>1.0438919150550559</v>
      </c>
    </row>
    <row r="826" spans="1:19" x14ac:dyDescent="0.2">
      <c r="A826" s="2114" t="s">
        <v>6534</v>
      </c>
      <c r="B826" s="547"/>
      <c r="C826" s="547"/>
      <c r="D826" s="1504">
        <f t="shared" ref="D826:O826" si="1337">D230</f>
        <v>0.10325976075379625</v>
      </c>
      <c r="E826" s="1504">
        <f t="shared" si="1337"/>
        <v>0.10338203244813947</v>
      </c>
      <c r="F826" s="1504">
        <f t="shared" si="1337"/>
        <v>8.37858723523833E-2</v>
      </c>
      <c r="G826" s="1504">
        <f t="shared" si="1337"/>
        <v>8.9302907206450413E-2</v>
      </c>
      <c r="H826" s="1504">
        <f t="shared" si="1337"/>
        <v>8.9630191549175536E-2</v>
      </c>
      <c r="I826" s="1504">
        <f t="shared" si="1337"/>
        <v>8.6049997024872066E-2</v>
      </c>
      <c r="J826" s="1504">
        <f t="shared" si="1337"/>
        <v>7.7314622218524379E-2</v>
      </c>
      <c r="K826" s="1504">
        <f t="shared" si="1337"/>
        <v>8.6837457406383239E-2</v>
      </c>
      <c r="L826" s="1504">
        <f t="shared" si="1337"/>
        <v>7.4743112382388274E-2</v>
      </c>
      <c r="M826" s="1504">
        <f t="shared" si="1337"/>
        <v>5.738574724004461E-2</v>
      </c>
      <c r="N826" s="2126">
        <f t="shared" si="1337"/>
        <v>5.0473997358239139E-2</v>
      </c>
      <c r="O826" s="2126">
        <f t="shared" si="1337"/>
        <v>3.7221513042221641E-2</v>
      </c>
      <c r="P826" s="2126">
        <f t="shared" ref="P826" si="1338">P230</f>
        <v>3.5701136311562062E-2</v>
      </c>
      <c r="Q826" s="2443">
        <f t="shared" ref="Q826" si="1339">Q230</f>
        <v>3.4368301999303297E-2</v>
      </c>
    </row>
    <row r="827" spans="1:19" ht="24" x14ac:dyDescent="0.2">
      <c r="A827" s="2114" t="s">
        <v>6535</v>
      </c>
      <c r="B827" s="547"/>
      <c r="C827" s="547"/>
      <c r="D827" s="1504">
        <f t="shared" ref="D827:O827" si="1340">D373</f>
        <v>0.66617490814477098</v>
      </c>
      <c r="E827" s="1504">
        <f t="shared" si="1340"/>
        <v>0.66318371038055313</v>
      </c>
      <c r="F827" s="1504">
        <f t="shared" si="1340"/>
        <v>0.66455580865603636</v>
      </c>
      <c r="G827" s="1504">
        <f t="shared" si="1340"/>
        <v>0.65134293579381697</v>
      </c>
      <c r="H827" s="1504">
        <f t="shared" si="1340"/>
        <v>0.69748862401788669</v>
      </c>
      <c r="I827" s="1504">
        <f t="shared" si="1340"/>
        <v>0.74043720216202391</v>
      </c>
      <c r="J827" s="1504">
        <f t="shared" si="1340"/>
        <v>0.6748709408825978</v>
      </c>
      <c r="K827" s="1504">
        <f t="shared" si="1340"/>
        <v>0.6788440987098916</v>
      </c>
      <c r="L827" s="1504">
        <f t="shared" si="1340"/>
        <v>0.76092450133174572</v>
      </c>
      <c r="M827" s="1504">
        <f t="shared" si="1340"/>
        <v>0.76482229366095666</v>
      </c>
      <c r="N827" s="2126">
        <f t="shared" si="1340"/>
        <v>0.76305522098541556</v>
      </c>
      <c r="O827" s="2126">
        <f t="shared" si="1340"/>
        <v>0.76660093721137113</v>
      </c>
      <c r="P827" s="2126">
        <f t="shared" ref="P827" si="1341">P373</f>
        <v>0.76533308079366158</v>
      </c>
      <c r="Q827" s="2443">
        <f t="shared" ref="Q827" si="1342">Q373</f>
        <v>0.76859653952289186</v>
      </c>
    </row>
    <row r="828" spans="1:19" ht="24" x14ac:dyDescent="0.2">
      <c r="A828" s="2114" t="s">
        <v>5214</v>
      </c>
      <c r="B828" s="547"/>
      <c r="C828" s="547"/>
      <c r="D828" s="1505">
        <f>D818</f>
        <v>0.97953645097714515</v>
      </c>
      <c r="E828" s="1505">
        <f t="shared" ref="E828:O828" si="1343">E818</f>
        <v>0.9722053904652086</v>
      </c>
      <c r="F828" s="1505">
        <f t="shared" si="1343"/>
        <v>1.0016825645394467</v>
      </c>
      <c r="G828" s="1505">
        <f t="shared" si="1343"/>
        <v>0.97095041042205243</v>
      </c>
      <c r="H828" s="1505">
        <f t="shared" si="1343"/>
        <v>0.90244937768148292</v>
      </c>
      <c r="I828" s="1505">
        <f t="shared" si="1343"/>
        <v>0.90947520138872595</v>
      </c>
      <c r="J828" s="1505">
        <f t="shared" si="1343"/>
        <v>0.88521441004699741</v>
      </c>
      <c r="K828" s="1505">
        <f t="shared" si="1343"/>
        <v>0.88616660724613172</v>
      </c>
      <c r="L828" s="1505">
        <f t="shared" si="1343"/>
        <v>0.86176711762558655</v>
      </c>
      <c r="M828" s="1505">
        <f t="shared" si="1343"/>
        <v>0.86368331512958219</v>
      </c>
      <c r="N828" s="2127">
        <f t="shared" si="1343"/>
        <v>0.84740643235678614</v>
      </c>
      <c r="O828" s="2127">
        <f t="shared" si="1343"/>
        <v>0.84185862657368038</v>
      </c>
      <c r="P828" s="2127">
        <f t="shared" ref="P828" si="1344">P818</f>
        <v>0.82144161036030927</v>
      </c>
      <c r="Q828" s="2443">
        <f t="shared" ref="Q828" si="1345">Q818</f>
        <v>0.82083694488037462</v>
      </c>
    </row>
    <row r="829" spans="1:19" x14ac:dyDescent="0.2">
      <c r="A829" s="2114" t="s">
        <v>6536</v>
      </c>
      <c r="B829" s="547"/>
      <c r="C829" s="547"/>
      <c r="D829" s="2123">
        <f t="shared" ref="D829:O829" si="1346">D201</f>
        <v>0.77162759460852459</v>
      </c>
      <c r="E829" s="2123">
        <f t="shared" si="1346"/>
        <v>0.95146895765649109</v>
      </c>
      <c r="F829" s="1504">
        <f t="shared" si="1346"/>
        <v>1.6467967493090219</v>
      </c>
      <c r="G829" s="1504">
        <f t="shared" si="1346"/>
        <v>2.0951631605101873</v>
      </c>
      <c r="H829" s="2123">
        <f t="shared" si="1346"/>
        <v>0.71918056416739817</v>
      </c>
      <c r="I829" s="2123">
        <f t="shared" si="1346"/>
        <v>0.50302536288679189</v>
      </c>
      <c r="J829" s="1504">
        <f t="shared" si="1346"/>
        <v>1.8969650403380716</v>
      </c>
      <c r="K829" s="1504">
        <f t="shared" si="1346"/>
        <v>1.4724624145099576</v>
      </c>
      <c r="L829" s="2123">
        <f t="shared" si="1346"/>
        <v>0.69474492546019739</v>
      </c>
      <c r="M829" s="2123">
        <f t="shared" si="1346"/>
        <v>0.70199567134036445</v>
      </c>
      <c r="N829" s="2123">
        <f t="shared" si="1346"/>
        <v>0.91872866742831194</v>
      </c>
      <c r="O829" s="2140">
        <f t="shared" si="1346"/>
        <v>0.8319768493398445</v>
      </c>
      <c r="P829" s="2557">
        <f t="shared" ref="P829" si="1347">P201</f>
        <v>0.87131751227495913</v>
      </c>
      <c r="Q829" s="2558">
        <f t="shared" ref="Q829" si="1348">Q201</f>
        <v>0.87090520123011095</v>
      </c>
      <c r="S829" s="1616"/>
    </row>
    <row r="830" spans="1:19" x14ac:dyDescent="0.2">
      <c r="A830" s="2114" t="s">
        <v>6537</v>
      </c>
      <c r="B830" s="547"/>
      <c r="C830" s="547"/>
      <c r="D830" s="2123">
        <f>D317</f>
        <v>-6.4387457270028509E-2</v>
      </c>
      <c r="E830" s="2123">
        <f t="shared" ref="E830:O830" si="1349">E317</f>
        <v>-5.605981112277017E-2</v>
      </c>
      <c r="F830" s="1625">
        <f t="shared" si="1349"/>
        <v>2.5343355931012682E-2</v>
      </c>
      <c r="G830" s="1625">
        <f t="shared" si="1349"/>
        <v>-5.6302911042321283E-2</v>
      </c>
      <c r="H830" s="1625">
        <f t="shared" si="1349"/>
        <v>-2.5083959187395383E-2</v>
      </c>
      <c r="I830" s="1625">
        <f t="shared" si="1349"/>
        <v>-2.4204525169582373E-2</v>
      </c>
      <c r="J830" s="1625">
        <f t="shared" si="1349"/>
        <v>-2.5308077026190069E-2</v>
      </c>
      <c r="K830" s="1625">
        <f t="shared" si="1349"/>
        <v>-2.4475050398729666E-2</v>
      </c>
      <c r="L830" s="1625">
        <f t="shared" si="1349"/>
        <v>-1.738945113939382E-2</v>
      </c>
      <c r="M830" s="1625">
        <f t="shared" si="1349"/>
        <v>-1.3509099432861485E-2</v>
      </c>
      <c r="N830" s="2559">
        <f t="shared" si="1349"/>
        <v>-1.4890380283313062E-2</v>
      </c>
      <c r="O830" s="2559">
        <f t="shared" si="1349"/>
        <v>-2.8404666136790185E-3</v>
      </c>
      <c r="P830" s="2128">
        <f t="shared" ref="P830" si="1350">P317</f>
        <v>3.9220209943476294E-3</v>
      </c>
      <c r="Q830" s="2444">
        <f t="shared" ref="Q830" si="1351">Q317</f>
        <v>8.8411707705904376E-3</v>
      </c>
    </row>
    <row r="831" spans="1:19" ht="13.5" thickBot="1" x14ac:dyDescent="0.25">
      <c r="A831" s="1719"/>
      <c r="B831" s="1479"/>
      <c r="C831" s="1479"/>
      <c r="D831" s="1479"/>
      <c r="E831" s="1479"/>
      <c r="F831" s="1479"/>
      <c r="G831" s="1479"/>
      <c r="H831" s="1479"/>
      <c r="I831" s="1479"/>
      <c r="J831" s="1479"/>
      <c r="K831" s="1479"/>
      <c r="L831" s="1479"/>
      <c r="M831" s="1479"/>
      <c r="N831" s="2094"/>
      <c r="O831" s="2094"/>
      <c r="P831" s="2094"/>
      <c r="Q831" s="1755"/>
    </row>
    <row r="832" spans="1:19" ht="13.5" thickTop="1" x14ac:dyDescent="0.2"/>
    <row r="1110" spans="5:5" x14ac:dyDescent="0.2">
      <c r="E1110" s="245" t="s">
        <v>7245</v>
      </c>
    </row>
  </sheetData>
  <mergeCells count="17">
    <mergeCell ref="A671:Q671"/>
    <mergeCell ref="A709:Q709"/>
    <mergeCell ref="A755:Q755"/>
    <mergeCell ref="A787:Q787"/>
    <mergeCell ref="A42:Q42"/>
    <mergeCell ref="A284:Q284"/>
    <mergeCell ref="A347:Q347"/>
    <mergeCell ref="A401:Q401"/>
    <mergeCell ref="A464:Q464"/>
    <mergeCell ref="A514:Q514"/>
    <mergeCell ref="A577:Q577"/>
    <mergeCell ref="A627:Q627"/>
    <mergeCell ref="A1:Q1"/>
    <mergeCell ref="A84:Q84"/>
    <mergeCell ref="A125:Q125"/>
    <mergeCell ref="A166:Q166"/>
    <mergeCell ref="A223:Q223"/>
  </mergeCells>
  <phoneticPr fontId="9" type="noConversion"/>
  <printOptions horizontalCentered="1"/>
  <pageMargins left="0.74803149606299213" right="0.74803149606299213" top="0.39370078740157483" bottom="0.19685039370078741" header="0.31496062992125984" footer="0.31496062992125984"/>
  <pageSetup paperSize="9" scale="65" orientation="landscape" blackAndWhite="1" r:id="rId1"/>
  <headerFooter alignWithMargins="0"/>
  <rowBreaks count="16" manualBreakCount="16">
    <brk id="40" max="16383" man="1"/>
    <brk id="83" max="16383" man="1"/>
    <brk id="124" max="16383" man="1"/>
    <brk id="164" max="16383" man="1"/>
    <brk id="222" max="16383" man="1"/>
    <brk id="283" max="16383" man="1"/>
    <brk id="346" max="16383" man="1"/>
    <brk id="400" max="16383" man="1"/>
    <brk id="463" max="16383" man="1"/>
    <brk id="513" max="16383" man="1"/>
    <brk id="576" max="16383" man="1"/>
    <brk id="626" max="16383" man="1"/>
    <brk id="670" max="16383" man="1"/>
    <brk id="708" max="16383" man="1"/>
    <brk id="754" max="16383" man="1"/>
    <brk id="78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000"/>
  </sheetPr>
  <dimension ref="A1:S1110"/>
  <sheetViews>
    <sheetView workbookViewId="0">
      <selection activeCell="F32" sqref="F32"/>
    </sheetView>
  </sheetViews>
  <sheetFormatPr defaultColWidth="9.140625" defaultRowHeight="12.75" x14ac:dyDescent="0.2"/>
  <cols>
    <col min="1" max="5" width="10.28515625" style="34" bestFit="1" customWidth="1"/>
    <col min="6" max="6" width="16.28515625" style="370" customWidth="1"/>
    <col min="7" max="7" width="36.7109375" style="34" customWidth="1"/>
    <col min="8" max="8" width="10.28515625" style="34" bestFit="1" customWidth="1"/>
    <col min="9" max="9" width="8.7109375" style="96" bestFit="1" customWidth="1"/>
    <col min="10" max="19" width="10.28515625" style="34" bestFit="1" customWidth="1"/>
    <col min="20" max="16384" width="9.140625" style="34"/>
  </cols>
  <sheetData>
    <row r="1" spans="1:19" s="38" customFormat="1" ht="19.5" thickTop="1" thickBot="1" x14ac:dyDescent="0.3">
      <c r="A1" s="2588" t="s">
        <v>3193</v>
      </c>
      <c r="B1" s="2589"/>
      <c r="C1" s="2589"/>
      <c r="D1" s="2589"/>
      <c r="E1" s="2589"/>
      <c r="F1" s="2589"/>
      <c r="G1" s="2589"/>
      <c r="H1" s="2589"/>
      <c r="I1" s="2589"/>
      <c r="J1" s="2589"/>
      <c r="K1" s="2589"/>
      <c r="L1" s="2589"/>
      <c r="M1" s="2589"/>
      <c r="N1" s="2589"/>
      <c r="O1" s="2589"/>
      <c r="P1" s="2589"/>
      <c r="Q1" s="2589"/>
      <c r="R1" s="2589"/>
      <c r="S1" s="2590"/>
    </row>
    <row r="2" spans="1:19" s="39" customFormat="1" ht="12.75" customHeight="1" x14ac:dyDescent="0.2">
      <c r="A2" s="2591" t="s">
        <v>1824</v>
      </c>
      <c r="B2" s="2577"/>
      <c r="C2" s="2577"/>
      <c r="D2" s="2577"/>
      <c r="E2" s="2592"/>
      <c r="F2" s="2246" t="s">
        <v>2213</v>
      </c>
      <c r="G2" s="188"/>
      <c r="H2" s="2576" t="s">
        <v>2215</v>
      </c>
      <c r="I2" s="2577"/>
      <c r="J2" s="2577"/>
      <c r="K2" s="2577"/>
      <c r="L2" s="2577"/>
      <c r="M2" s="2577"/>
      <c r="N2" s="2577"/>
      <c r="O2" s="2577"/>
      <c r="P2" s="2577"/>
      <c r="Q2" s="2577"/>
      <c r="R2" s="2577"/>
      <c r="S2" s="2578"/>
    </row>
    <row r="3" spans="1:19" ht="12.75" customHeight="1" thickBot="1" x14ac:dyDescent="0.25">
      <c r="A3" s="2066" t="s">
        <v>1641</v>
      </c>
      <c r="B3" s="94" t="s">
        <v>929</v>
      </c>
      <c r="C3" s="44" t="s">
        <v>883</v>
      </c>
      <c r="D3" s="44" t="s">
        <v>2037</v>
      </c>
      <c r="E3" s="44" t="s">
        <v>1587</v>
      </c>
      <c r="F3" s="2078"/>
      <c r="G3" s="2008"/>
      <c r="H3" s="1814" t="s">
        <v>2144</v>
      </c>
      <c r="I3" s="2079" t="s">
        <v>492</v>
      </c>
      <c r="J3" s="1814" t="s">
        <v>2141</v>
      </c>
      <c r="K3" s="2080" t="s">
        <v>1521</v>
      </c>
      <c r="L3" s="1814" t="s">
        <v>1168</v>
      </c>
      <c r="M3" s="1814" t="s">
        <v>1307</v>
      </c>
      <c r="N3" s="1814" t="s">
        <v>2894</v>
      </c>
      <c r="O3" s="2081" t="s">
        <v>3461</v>
      </c>
      <c r="P3" s="2081" t="s">
        <v>4208</v>
      </c>
      <c r="Q3" s="1814" t="s">
        <v>5915</v>
      </c>
      <c r="R3" s="1814" t="s">
        <v>6812</v>
      </c>
      <c r="S3" s="2082" t="s">
        <v>11918</v>
      </c>
    </row>
    <row r="4" spans="1:19" ht="12.75" customHeight="1" x14ac:dyDescent="0.2">
      <c r="A4" s="528"/>
      <c r="B4" s="150"/>
      <c r="C4" s="150"/>
      <c r="D4" s="150"/>
      <c r="E4" s="151"/>
      <c r="F4" s="2083"/>
      <c r="G4" s="2084"/>
      <c r="H4" s="150"/>
      <c r="I4" s="1395"/>
      <c r="J4" s="150"/>
      <c r="K4" s="2085"/>
      <c r="L4" s="150"/>
      <c r="M4" s="150"/>
      <c r="N4" s="150"/>
      <c r="O4" s="152"/>
      <c r="P4" s="152"/>
      <c r="Q4" s="150"/>
      <c r="R4" s="150"/>
      <c r="S4" s="381"/>
    </row>
    <row r="5" spans="1:19" ht="12.75" customHeight="1" x14ac:dyDescent="0.2">
      <c r="A5" s="54"/>
      <c r="B5" s="9"/>
      <c r="C5" s="9"/>
      <c r="D5" s="9"/>
      <c r="E5" s="9"/>
      <c r="F5" s="1160" t="s">
        <v>1056</v>
      </c>
      <c r="G5" s="1161"/>
      <c r="H5" s="9"/>
      <c r="I5" s="85"/>
      <c r="J5" s="9"/>
      <c r="K5" s="89"/>
      <c r="L5" s="9"/>
      <c r="M5" s="9"/>
      <c r="N5" s="9"/>
      <c r="O5" s="89"/>
      <c r="P5" s="89"/>
      <c r="Q5" s="9"/>
      <c r="R5" s="9"/>
      <c r="S5" s="61"/>
    </row>
    <row r="6" spans="1:19" ht="12.75" customHeight="1" x14ac:dyDescent="0.2">
      <c r="A6" s="54"/>
      <c r="B6" s="9"/>
      <c r="C6" s="9"/>
      <c r="D6" s="9"/>
      <c r="E6" s="9"/>
      <c r="F6" s="1152"/>
      <c r="G6" s="1153"/>
      <c r="H6" s="9"/>
      <c r="I6" s="85"/>
      <c r="J6" s="9"/>
      <c r="K6" s="89"/>
      <c r="L6" s="9"/>
      <c r="M6" s="9"/>
      <c r="N6" s="9"/>
      <c r="O6" s="89"/>
      <c r="P6" s="89"/>
      <c r="Q6" s="9"/>
      <c r="R6" s="9"/>
      <c r="S6" s="61"/>
    </row>
    <row r="7" spans="1:19" ht="12.75" customHeight="1" x14ac:dyDescent="0.2">
      <c r="A7" s="54">
        <f>A61</f>
        <v>341900</v>
      </c>
      <c r="B7" s="9">
        <f>B61</f>
        <v>366700</v>
      </c>
      <c r="C7" s="9">
        <f>C61</f>
        <v>450200</v>
      </c>
      <c r="D7" s="9">
        <f>D61</f>
        <v>358700</v>
      </c>
      <c r="E7" s="9">
        <f>E61</f>
        <v>302200</v>
      </c>
      <c r="F7" s="1150" t="s">
        <v>214</v>
      </c>
      <c r="G7" s="1151"/>
      <c r="H7" s="9">
        <f>H61</f>
        <v>206900</v>
      </c>
      <c r="I7" s="85">
        <f>IF(E7=H7,0,IF(E7=0,100,(H7-E7)/E7*100))</f>
        <v>-31.535407015221708</v>
      </c>
      <c r="J7" s="9">
        <f t="shared" ref="J7:R7" si="0">J61</f>
        <v>232500</v>
      </c>
      <c r="K7" s="89">
        <f t="shared" si="0"/>
        <v>380500</v>
      </c>
      <c r="L7" s="9">
        <f t="shared" si="0"/>
        <v>148700</v>
      </c>
      <c r="M7" s="9">
        <f t="shared" si="0"/>
        <v>146900</v>
      </c>
      <c r="N7" s="9">
        <f t="shared" si="0"/>
        <v>171100</v>
      </c>
      <c r="O7" s="89">
        <f t="shared" si="0"/>
        <v>261800</v>
      </c>
      <c r="P7" s="89">
        <f t="shared" si="0"/>
        <v>393500</v>
      </c>
      <c r="Q7" s="9">
        <f t="shared" si="0"/>
        <v>532200</v>
      </c>
      <c r="R7" s="9">
        <f t="shared" si="0"/>
        <v>676500</v>
      </c>
      <c r="S7" s="47">
        <f t="shared" ref="S7" si="1">S61</f>
        <v>828300</v>
      </c>
    </row>
    <row r="8" spans="1:19" ht="12.75" customHeight="1" x14ac:dyDescent="0.2">
      <c r="A8" s="54">
        <f>A115</f>
        <v>340000</v>
      </c>
      <c r="B8" s="9">
        <f>B115</f>
        <v>389900</v>
      </c>
      <c r="C8" s="9">
        <f>C115</f>
        <v>489400</v>
      </c>
      <c r="D8" s="9">
        <f>D115</f>
        <v>520400</v>
      </c>
      <c r="E8" s="9">
        <f>E115</f>
        <v>552300</v>
      </c>
      <c r="F8" s="1150" t="s">
        <v>550</v>
      </c>
      <c r="G8" s="1151"/>
      <c r="H8" s="9">
        <f>H115</f>
        <v>569600</v>
      </c>
      <c r="I8" s="85">
        <f>IF(E8=H8,0,IF(E8=0,100,(H8-E8)/E8*100))</f>
        <v>3.1323556038384934</v>
      </c>
      <c r="J8" s="9">
        <f t="shared" ref="J8:R8" si="2">J115</f>
        <v>727400</v>
      </c>
      <c r="K8" s="89">
        <f t="shared" si="2"/>
        <v>863600</v>
      </c>
      <c r="L8" s="9">
        <f t="shared" si="2"/>
        <v>886400</v>
      </c>
      <c r="M8" s="9">
        <f t="shared" si="2"/>
        <v>909800</v>
      </c>
      <c r="N8" s="9">
        <f t="shared" si="2"/>
        <v>933900</v>
      </c>
      <c r="O8" s="89">
        <f t="shared" si="2"/>
        <v>958600</v>
      </c>
      <c r="P8" s="89">
        <f t="shared" si="2"/>
        <v>984000</v>
      </c>
      <c r="Q8" s="9">
        <f t="shared" si="2"/>
        <v>1010100</v>
      </c>
      <c r="R8" s="9">
        <f t="shared" si="2"/>
        <v>1036700</v>
      </c>
      <c r="S8" s="47">
        <f t="shared" ref="S8" si="3">S115</f>
        <v>1063900</v>
      </c>
    </row>
    <row r="9" spans="1:19" ht="12.75" customHeight="1" x14ac:dyDescent="0.2">
      <c r="A9" s="54">
        <f>A176</f>
        <v>115000</v>
      </c>
      <c r="B9" s="9">
        <f>B176</f>
        <v>110400</v>
      </c>
      <c r="C9" s="9">
        <f>C176</f>
        <v>136300</v>
      </c>
      <c r="D9" s="9">
        <f>D176</f>
        <v>111900</v>
      </c>
      <c r="E9" s="9">
        <f>E176</f>
        <v>118300</v>
      </c>
      <c r="F9" s="1150" t="s">
        <v>2871</v>
      </c>
      <c r="G9" s="1151"/>
      <c r="H9" s="9">
        <f>H176</f>
        <v>78000</v>
      </c>
      <c r="I9" s="85">
        <f>IF(E9=H9,0,IF(E9=0,100,(H9-E9)/E9*100))</f>
        <v>-34.065934065934066</v>
      </c>
      <c r="J9" s="9">
        <f t="shared" ref="J9:R9" si="4">J176</f>
        <v>79800</v>
      </c>
      <c r="K9" s="89">
        <f t="shared" si="4"/>
        <v>81800</v>
      </c>
      <c r="L9" s="9">
        <f t="shared" si="4"/>
        <v>83900</v>
      </c>
      <c r="M9" s="9">
        <f t="shared" si="4"/>
        <v>86000</v>
      </c>
      <c r="N9" s="9">
        <f t="shared" si="4"/>
        <v>88200</v>
      </c>
      <c r="O9" s="89">
        <f t="shared" si="4"/>
        <v>90500</v>
      </c>
      <c r="P9" s="89">
        <f t="shared" si="4"/>
        <v>92800</v>
      </c>
      <c r="Q9" s="9">
        <f t="shared" si="4"/>
        <v>95200</v>
      </c>
      <c r="R9" s="9">
        <f t="shared" si="4"/>
        <v>97600</v>
      </c>
      <c r="S9" s="47">
        <f t="shared" ref="S9" si="5">S176</f>
        <v>100100</v>
      </c>
    </row>
    <row r="10" spans="1:19" ht="12.75" customHeight="1" x14ac:dyDescent="0.2">
      <c r="A10" s="54">
        <f>A222</f>
        <v>321000</v>
      </c>
      <c r="B10" s="9">
        <f>B222</f>
        <v>348700</v>
      </c>
      <c r="C10" s="9">
        <f>C222</f>
        <v>354100</v>
      </c>
      <c r="D10" s="9">
        <f>D222</f>
        <v>407300</v>
      </c>
      <c r="E10" s="9">
        <f>E222</f>
        <v>435400</v>
      </c>
      <c r="F10" s="1150" t="s">
        <v>384</v>
      </c>
      <c r="G10" s="1151"/>
      <c r="H10" s="9">
        <f>H222</f>
        <v>388000</v>
      </c>
      <c r="I10" s="85">
        <f>IF(E10=H10,0,IF(E10=0,100,(H10-E10)/E10*100))</f>
        <v>-10.886541111621497</v>
      </c>
      <c r="J10" s="9">
        <f t="shared" ref="J10:R10" si="6">J222</f>
        <v>498200</v>
      </c>
      <c r="K10" s="89">
        <f t="shared" si="6"/>
        <v>510900</v>
      </c>
      <c r="L10" s="9">
        <f t="shared" si="6"/>
        <v>524000</v>
      </c>
      <c r="M10" s="9">
        <f t="shared" si="6"/>
        <v>537500</v>
      </c>
      <c r="N10" s="9">
        <f t="shared" si="6"/>
        <v>551100</v>
      </c>
      <c r="O10" s="89">
        <f t="shared" si="6"/>
        <v>565200</v>
      </c>
      <c r="P10" s="89">
        <f t="shared" si="6"/>
        <v>579600</v>
      </c>
      <c r="Q10" s="9">
        <f t="shared" si="6"/>
        <v>594400</v>
      </c>
      <c r="R10" s="9">
        <f t="shared" si="6"/>
        <v>609400</v>
      </c>
      <c r="S10" s="47">
        <f t="shared" ref="S10" si="7">S222</f>
        <v>624900</v>
      </c>
    </row>
    <row r="11" spans="1:19" ht="12.75" customHeight="1" x14ac:dyDescent="0.2">
      <c r="A11" s="54">
        <f>A284</f>
        <v>146100</v>
      </c>
      <c r="B11" s="9">
        <f>B284</f>
        <v>138600</v>
      </c>
      <c r="C11" s="9">
        <f>C284</f>
        <v>139700</v>
      </c>
      <c r="D11" s="9">
        <f>D284</f>
        <v>141600</v>
      </c>
      <c r="E11" s="9">
        <f>E284</f>
        <v>108300</v>
      </c>
      <c r="F11" s="1154" t="s">
        <v>1560</v>
      </c>
      <c r="G11" s="1155"/>
      <c r="H11" s="9">
        <f>H284</f>
        <v>60700</v>
      </c>
      <c r="I11" s="85">
        <f>IF(E11=H11,0,IF(E11=0,100,(H11-E11)/E11*100))</f>
        <v>-43.951985226223456</v>
      </c>
      <c r="J11" s="9">
        <f t="shared" ref="J11:R11" si="8">J284</f>
        <v>150300</v>
      </c>
      <c r="K11" s="89">
        <f t="shared" si="8"/>
        <v>62200</v>
      </c>
      <c r="L11" s="9">
        <f t="shared" si="8"/>
        <v>64200</v>
      </c>
      <c r="M11" s="9">
        <f t="shared" si="8"/>
        <v>66200</v>
      </c>
      <c r="N11" s="9">
        <f t="shared" si="8"/>
        <v>68200</v>
      </c>
      <c r="O11" s="89">
        <f t="shared" si="8"/>
        <v>160200</v>
      </c>
      <c r="P11" s="89">
        <f t="shared" si="8"/>
        <v>72300</v>
      </c>
      <c r="Q11" s="9">
        <f t="shared" si="8"/>
        <v>74500</v>
      </c>
      <c r="R11" s="9">
        <f t="shared" si="8"/>
        <v>76800</v>
      </c>
      <c r="S11" s="47">
        <f t="shared" ref="S11" si="9">S284</f>
        <v>79200</v>
      </c>
    </row>
    <row r="12" spans="1:19" ht="12.75" customHeight="1" thickBot="1" x14ac:dyDescent="0.25">
      <c r="A12" s="54"/>
      <c r="B12" s="9"/>
      <c r="C12" s="9"/>
      <c r="D12" s="9"/>
      <c r="E12" s="9"/>
      <c r="F12" s="1156"/>
      <c r="G12" s="1157"/>
      <c r="H12" s="9"/>
      <c r="I12" s="85"/>
      <c r="J12" s="9"/>
      <c r="K12" s="89"/>
      <c r="L12" s="9"/>
      <c r="M12" s="9"/>
      <c r="N12" s="9"/>
      <c r="O12" s="89"/>
      <c r="P12" s="89"/>
      <c r="Q12" s="9"/>
      <c r="R12" s="9"/>
      <c r="S12" s="47"/>
    </row>
    <row r="13" spans="1:19" ht="12.75" customHeight="1" x14ac:dyDescent="0.2">
      <c r="A13" s="52">
        <f>SUM(A7:A12)</f>
        <v>1264000</v>
      </c>
      <c r="B13" s="16">
        <f>SUM(B7:B12)</f>
        <v>1354300</v>
      </c>
      <c r="C13" s="16">
        <f>SUM(C7:C12)</f>
        <v>1569700</v>
      </c>
      <c r="D13" s="16">
        <f>SUM(D7:D12)</f>
        <v>1539900</v>
      </c>
      <c r="E13" s="16">
        <f>SUM(E7:E12)</f>
        <v>1516500</v>
      </c>
      <c r="F13" s="1158" t="s">
        <v>2561</v>
      </c>
      <c r="G13" s="1159"/>
      <c r="H13" s="16">
        <f>SUM(H7:H12)</f>
        <v>1303200</v>
      </c>
      <c r="I13" s="127">
        <f>IF(E13=H13,0,IF(E13=0,100,(H13-E13)/E13*100))</f>
        <v>-14.065281899109792</v>
      </c>
      <c r="J13" s="16">
        <f t="shared" ref="J13:R13" si="10">SUM(J7:J12)</f>
        <v>1688200</v>
      </c>
      <c r="K13" s="102">
        <f t="shared" si="10"/>
        <v>1899000</v>
      </c>
      <c r="L13" s="16">
        <f t="shared" si="10"/>
        <v>1707200</v>
      </c>
      <c r="M13" s="16">
        <f t="shared" si="10"/>
        <v>1746400</v>
      </c>
      <c r="N13" s="16">
        <f t="shared" si="10"/>
        <v>1812500</v>
      </c>
      <c r="O13" s="102">
        <f t="shared" si="10"/>
        <v>2036300</v>
      </c>
      <c r="P13" s="102">
        <f t="shared" si="10"/>
        <v>2122200</v>
      </c>
      <c r="Q13" s="16">
        <f t="shared" si="10"/>
        <v>2306400</v>
      </c>
      <c r="R13" s="16">
        <f t="shared" si="10"/>
        <v>2497000</v>
      </c>
      <c r="S13" s="2342">
        <f t="shared" ref="S13" si="11">SUM(S7:S12)</f>
        <v>2696400</v>
      </c>
    </row>
    <row r="14" spans="1:19" ht="12.75" customHeight="1" x14ac:dyDescent="0.2">
      <c r="A14" s="54"/>
      <c r="B14" s="9"/>
      <c r="C14" s="9"/>
      <c r="D14" s="9"/>
      <c r="E14" s="9"/>
      <c r="F14" s="1152"/>
      <c r="G14" s="1153"/>
      <c r="H14" s="9"/>
      <c r="I14" s="85"/>
      <c r="J14" s="9"/>
      <c r="K14" s="89"/>
      <c r="L14" s="9"/>
      <c r="M14" s="9"/>
      <c r="N14" s="9"/>
      <c r="O14" s="89"/>
      <c r="P14" s="89"/>
      <c r="Q14" s="9"/>
      <c r="R14" s="9"/>
      <c r="S14" s="47"/>
    </row>
    <row r="15" spans="1:19" ht="12.75" customHeight="1" x14ac:dyDescent="0.2">
      <c r="A15" s="54"/>
      <c r="B15" s="9"/>
      <c r="C15" s="9"/>
      <c r="D15" s="9"/>
      <c r="E15" s="9"/>
      <c r="F15" s="1160" t="s">
        <v>2169</v>
      </c>
      <c r="G15" s="1161"/>
      <c r="H15" s="9"/>
      <c r="I15" s="85"/>
      <c r="J15" s="9"/>
      <c r="K15" s="89"/>
      <c r="L15" s="9"/>
      <c r="M15" s="9"/>
      <c r="N15" s="9"/>
      <c r="O15" s="89"/>
      <c r="P15" s="89"/>
      <c r="Q15" s="9"/>
      <c r="R15" s="9"/>
      <c r="S15" s="47"/>
    </row>
    <row r="16" spans="1:19" ht="12.75" customHeight="1" x14ac:dyDescent="0.2">
      <c r="A16" s="54"/>
      <c r="B16" s="9"/>
      <c r="C16" s="9"/>
      <c r="D16" s="9"/>
      <c r="E16" s="9"/>
      <c r="F16" s="1152"/>
      <c r="G16" s="1153"/>
      <c r="H16" s="9"/>
      <c r="I16" s="85"/>
      <c r="J16" s="9"/>
      <c r="K16" s="89"/>
      <c r="L16" s="9"/>
      <c r="M16" s="9"/>
      <c r="N16" s="9"/>
      <c r="O16" s="89"/>
      <c r="P16" s="89"/>
      <c r="Q16" s="9"/>
      <c r="R16" s="9"/>
      <c r="S16" s="47"/>
    </row>
    <row r="17" spans="1:19" ht="12.75" customHeight="1" x14ac:dyDescent="0.2">
      <c r="A17" s="54">
        <f>A80</f>
        <v>1270300</v>
      </c>
      <c r="B17" s="9">
        <f>B80</f>
        <v>1081200</v>
      </c>
      <c r="C17" s="9">
        <f>C80</f>
        <v>1150100</v>
      </c>
      <c r="D17" s="9">
        <f>D80</f>
        <v>1205100</v>
      </c>
      <c r="E17" s="9">
        <f>E80</f>
        <v>1263000</v>
      </c>
      <c r="F17" s="1150" t="str">
        <f>F7</f>
        <v>Strategic Planning</v>
      </c>
      <c r="G17" s="1151"/>
      <c r="H17" s="9">
        <f>H80</f>
        <v>1412500</v>
      </c>
      <c r="I17" s="85">
        <f>IF(E17=H17,0,IF(E17=0,100,(H17-E17)/E17*100))</f>
        <v>11.836896278701504</v>
      </c>
      <c r="J17" s="9">
        <f t="shared" ref="J17:R17" si="12">J80</f>
        <v>1176700</v>
      </c>
      <c r="K17" s="89">
        <f t="shared" si="12"/>
        <v>1204500</v>
      </c>
      <c r="L17" s="9">
        <f t="shared" si="12"/>
        <v>1233200</v>
      </c>
      <c r="M17" s="9">
        <f t="shared" si="12"/>
        <v>1262400</v>
      </c>
      <c r="N17" s="9">
        <f t="shared" si="12"/>
        <v>1292900</v>
      </c>
      <c r="O17" s="89">
        <f t="shared" si="12"/>
        <v>1323900</v>
      </c>
      <c r="P17" s="89">
        <f t="shared" si="12"/>
        <v>1355400</v>
      </c>
      <c r="Q17" s="9">
        <f t="shared" si="12"/>
        <v>1387600</v>
      </c>
      <c r="R17" s="9">
        <f t="shared" si="12"/>
        <v>1421100</v>
      </c>
      <c r="S17" s="47">
        <f t="shared" ref="S17" si="13">S80</f>
        <v>1455300</v>
      </c>
    </row>
    <row r="18" spans="1:19" ht="12.75" customHeight="1" x14ac:dyDescent="0.2">
      <c r="A18" s="54">
        <f>A139</f>
        <v>1756400</v>
      </c>
      <c r="B18" s="9">
        <f>B139</f>
        <v>1824300</v>
      </c>
      <c r="C18" s="9">
        <f>C139</f>
        <v>2107200</v>
      </c>
      <c r="D18" s="9">
        <f>D139</f>
        <v>2177700</v>
      </c>
      <c r="E18" s="9">
        <f>E139</f>
        <v>2274100</v>
      </c>
      <c r="F18" s="1150" t="str">
        <f>F8</f>
        <v>Community Facilities</v>
      </c>
      <c r="G18" s="1151"/>
      <c r="H18" s="9">
        <f>H139</f>
        <v>2323400</v>
      </c>
      <c r="I18" s="85">
        <f>IF(E18=H18,0,IF(E18=0,100,(H18-E18)/E18*100))</f>
        <v>2.1678905940811748</v>
      </c>
      <c r="J18" s="9">
        <f t="shared" ref="J18:R18" si="14">J139</f>
        <v>2650900</v>
      </c>
      <c r="K18" s="89">
        <f t="shared" si="14"/>
        <v>3005200</v>
      </c>
      <c r="L18" s="9">
        <f t="shared" si="14"/>
        <v>3076000</v>
      </c>
      <c r="M18" s="9">
        <f t="shared" si="14"/>
        <v>3150300</v>
      </c>
      <c r="N18" s="9">
        <f t="shared" si="14"/>
        <v>3224100</v>
      </c>
      <c r="O18" s="89">
        <f t="shared" si="14"/>
        <v>3301800</v>
      </c>
      <c r="P18" s="89">
        <f t="shared" si="14"/>
        <v>3380900</v>
      </c>
      <c r="Q18" s="9">
        <f t="shared" si="14"/>
        <v>3462800</v>
      </c>
      <c r="R18" s="9">
        <f t="shared" si="14"/>
        <v>3545500</v>
      </c>
      <c r="S18" s="47">
        <f t="shared" ref="S18" si="15">S139</f>
        <v>3631400</v>
      </c>
    </row>
    <row r="19" spans="1:19" ht="12.75" customHeight="1" x14ac:dyDescent="0.2">
      <c r="A19" s="54">
        <f>A192</f>
        <v>1514000</v>
      </c>
      <c r="B19" s="9">
        <f>B192</f>
        <v>1637100</v>
      </c>
      <c r="C19" s="9">
        <f>C192</f>
        <v>1549900</v>
      </c>
      <c r="D19" s="9">
        <f>D192</f>
        <v>1571000</v>
      </c>
      <c r="E19" s="9">
        <f>E192</f>
        <v>1628100</v>
      </c>
      <c r="F19" s="1150" t="str">
        <f>F9</f>
        <v>Library Services</v>
      </c>
      <c r="G19" s="1151"/>
      <c r="H19" s="9">
        <f>H192</f>
        <v>1598200</v>
      </c>
      <c r="I19" s="85">
        <f>IF(E19=H19,0,IF(E19=0,100,(H19-E19)/E19*100))</f>
        <v>-1.8364965296971931</v>
      </c>
      <c r="J19" s="9">
        <f t="shared" ref="J19:R19" si="16">J192</f>
        <v>1644500</v>
      </c>
      <c r="K19" s="89">
        <f t="shared" si="16"/>
        <v>1685100</v>
      </c>
      <c r="L19" s="9">
        <f t="shared" si="16"/>
        <v>1726900</v>
      </c>
      <c r="M19" s="9">
        <f t="shared" si="16"/>
        <v>1769700</v>
      </c>
      <c r="N19" s="9">
        <f t="shared" si="16"/>
        <v>1813600</v>
      </c>
      <c r="O19" s="89">
        <f t="shared" si="16"/>
        <v>1858400</v>
      </c>
      <c r="P19" s="89">
        <f t="shared" si="16"/>
        <v>1904300</v>
      </c>
      <c r="Q19" s="9">
        <f t="shared" si="16"/>
        <v>1951500</v>
      </c>
      <c r="R19" s="9">
        <f t="shared" si="16"/>
        <v>1999800</v>
      </c>
      <c r="S19" s="47">
        <f t="shared" ref="S19" si="17">S192</f>
        <v>2049200</v>
      </c>
    </row>
    <row r="20" spans="1:19" ht="12.75" customHeight="1" x14ac:dyDescent="0.2">
      <c r="A20" s="54">
        <f>A243</f>
        <v>881100</v>
      </c>
      <c r="B20" s="9">
        <f>B243</f>
        <v>867100</v>
      </c>
      <c r="C20" s="9">
        <f>C243</f>
        <v>822100</v>
      </c>
      <c r="D20" s="9">
        <f>D243</f>
        <v>792800</v>
      </c>
      <c r="E20" s="9">
        <f>E243</f>
        <v>772400</v>
      </c>
      <c r="F20" s="1150" t="str">
        <f>F10</f>
        <v>Swimming Pools</v>
      </c>
      <c r="G20" s="1151"/>
      <c r="H20" s="9">
        <f>H243</f>
        <v>1386200</v>
      </c>
      <c r="I20" s="85">
        <f>IF(E20=H20,0,IF(E20=0,100,(H20-E20)/E20*100))</f>
        <v>79.4665976178146</v>
      </c>
      <c r="J20" s="9">
        <f t="shared" ref="J20:R20" si="18">J243</f>
        <v>1539200</v>
      </c>
      <c r="K20" s="89">
        <f t="shared" si="18"/>
        <v>1547800</v>
      </c>
      <c r="L20" s="9">
        <f t="shared" si="18"/>
        <v>1556300</v>
      </c>
      <c r="M20" s="9">
        <f t="shared" si="18"/>
        <v>1564700</v>
      </c>
      <c r="N20" s="9">
        <f t="shared" si="18"/>
        <v>1574600</v>
      </c>
      <c r="O20" s="89">
        <f t="shared" si="18"/>
        <v>1582200</v>
      </c>
      <c r="P20" s="89">
        <f t="shared" si="18"/>
        <v>1591900</v>
      </c>
      <c r="Q20" s="9">
        <f t="shared" si="18"/>
        <v>1600400</v>
      </c>
      <c r="R20" s="9">
        <f t="shared" si="18"/>
        <v>1608400</v>
      </c>
      <c r="S20" s="47">
        <f t="shared" ref="S20" si="19">S243</f>
        <v>1616700</v>
      </c>
    </row>
    <row r="21" spans="1:19" ht="12.75" customHeight="1" x14ac:dyDescent="0.2">
      <c r="A21" s="54">
        <f>A297</f>
        <v>589100</v>
      </c>
      <c r="B21" s="9">
        <f>B297</f>
        <v>611900</v>
      </c>
      <c r="C21" s="9">
        <f>C297</f>
        <v>532400</v>
      </c>
      <c r="D21" s="9">
        <f>D297</f>
        <v>590700</v>
      </c>
      <c r="E21" s="9">
        <f>E297</f>
        <v>610800</v>
      </c>
      <c r="F21" s="1150" t="str">
        <f>F11</f>
        <v>Tourism</v>
      </c>
      <c r="G21" s="1151"/>
      <c r="H21" s="9">
        <f>H297</f>
        <v>509700</v>
      </c>
      <c r="I21" s="85">
        <f>IF(E21=H21,0,IF(E21=0,100,(H21-E21)/E21*100))</f>
        <v>-16.552062868369351</v>
      </c>
      <c r="J21" s="9">
        <f t="shared" ref="J21:R21" si="20">J297</f>
        <v>590600</v>
      </c>
      <c r="K21" s="89">
        <f t="shared" si="20"/>
        <v>513600</v>
      </c>
      <c r="L21" s="9">
        <f t="shared" si="20"/>
        <v>526900</v>
      </c>
      <c r="M21" s="9">
        <f t="shared" si="20"/>
        <v>540400</v>
      </c>
      <c r="N21" s="9">
        <f t="shared" si="20"/>
        <v>554100</v>
      </c>
      <c r="O21" s="89">
        <f t="shared" si="20"/>
        <v>658200</v>
      </c>
      <c r="P21" s="89">
        <f t="shared" si="20"/>
        <v>582600</v>
      </c>
      <c r="Q21" s="9">
        <f t="shared" si="20"/>
        <v>597400</v>
      </c>
      <c r="R21" s="9">
        <f t="shared" si="20"/>
        <v>612600</v>
      </c>
      <c r="S21" s="47">
        <f t="shared" ref="S21" si="21">S297</f>
        <v>628200</v>
      </c>
    </row>
    <row r="22" spans="1:19" ht="12.75" customHeight="1" thickBot="1" x14ac:dyDescent="0.25">
      <c r="A22" s="54"/>
      <c r="B22" s="9"/>
      <c r="C22" s="9"/>
      <c r="D22" s="9"/>
      <c r="E22" s="9"/>
      <c r="F22" s="1152"/>
      <c r="G22" s="1153"/>
      <c r="H22" s="9"/>
      <c r="I22" s="68"/>
      <c r="J22" s="9"/>
      <c r="K22" s="89"/>
      <c r="L22" s="9"/>
      <c r="M22" s="9"/>
      <c r="N22" s="9"/>
      <c r="O22" s="89"/>
      <c r="P22" s="89"/>
      <c r="Q22" s="9"/>
      <c r="R22" s="9"/>
      <c r="S22" s="47"/>
    </row>
    <row r="23" spans="1:19" ht="12.75" customHeight="1" x14ac:dyDescent="0.2">
      <c r="A23" s="52">
        <f>SUM(A15:A22)</f>
        <v>6010900</v>
      </c>
      <c r="B23" s="16">
        <f>SUM(B15:B22)</f>
        <v>6021600</v>
      </c>
      <c r="C23" s="16">
        <f>SUM(C15:C22)</f>
        <v>6161700</v>
      </c>
      <c r="D23" s="16">
        <f>SUM(D15:D22)</f>
        <v>6337300</v>
      </c>
      <c r="E23" s="16">
        <f>SUM(E15:E22)</f>
        <v>6548400</v>
      </c>
      <c r="F23" s="1158" t="s">
        <v>556</v>
      </c>
      <c r="G23" s="1159"/>
      <c r="H23" s="16">
        <f>SUM(H15:H22)</f>
        <v>7230000</v>
      </c>
      <c r="I23" s="127">
        <f>IF(E23=H23,0,IF(E23=0,100,(H23-E23)/E23*100))</f>
        <v>10.408649441084846</v>
      </c>
      <c r="J23" s="16">
        <f t="shared" ref="J23:R23" si="22">SUM(J15:J22)</f>
        <v>7601900</v>
      </c>
      <c r="K23" s="102">
        <f t="shared" si="22"/>
        <v>7956200</v>
      </c>
      <c r="L23" s="16">
        <f t="shared" si="22"/>
        <v>8119300</v>
      </c>
      <c r="M23" s="16">
        <f t="shared" si="22"/>
        <v>8287500</v>
      </c>
      <c r="N23" s="16">
        <f t="shared" si="22"/>
        <v>8459300</v>
      </c>
      <c r="O23" s="102">
        <f t="shared" si="22"/>
        <v>8724500</v>
      </c>
      <c r="P23" s="102">
        <f t="shared" si="22"/>
        <v>8815100</v>
      </c>
      <c r="Q23" s="16">
        <f t="shared" si="22"/>
        <v>8999700</v>
      </c>
      <c r="R23" s="16">
        <f t="shared" si="22"/>
        <v>9187400</v>
      </c>
      <c r="S23" s="2342">
        <f t="shared" ref="S23" si="23">SUM(S15:S22)</f>
        <v>9380800</v>
      </c>
    </row>
    <row r="24" spans="1:19" ht="12.75" customHeight="1" x14ac:dyDescent="0.2">
      <c r="A24" s="54"/>
      <c r="B24" s="9"/>
      <c r="C24" s="9"/>
      <c r="D24" s="9"/>
      <c r="E24" s="9"/>
      <c r="F24" s="1152"/>
      <c r="G24" s="1153"/>
      <c r="H24" s="9"/>
      <c r="I24" s="85"/>
      <c r="J24" s="9"/>
      <c r="K24" s="89"/>
      <c r="L24" s="9"/>
      <c r="M24" s="9"/>
      <c r="N24" s="9"/>
      <c r="O24" s="89"/>
      <c r="P24" s="89"/>
      <c r="Q24" s="9"/>
      <c r="R24" s="9"/>
      <c r="S24" s="47"/>
    </row>
    <row r="25" spans="1:19" ht="12.75" customHeight="1" x14ac:dyDescent="0.2">
      <c r="A25" s="54"/>
      <c r="B25" s="9"/>
      <c r="C25" s="9"/>
      <c r="D25" s="9"/>
      <c r="E25" s="9"/>
      <c r="F25" s="1177" t="s">
        <v>4617</v>
      </c>
      <c r="G25" s="1161"/>
      <c r="H25" s="9"/>
      <c r="I25" s="85"/>
      <c r="J25" s="9"/>
      <c r="K25" s="89"/>
      <c r="L25" s="9"/>
      <c r="M25" s="9"/>
      <c r="N25" s="9"/>
      <c r="O25" s="89"/>
      <c r="P25" s="89"/>
      <c r="Q25" s="9"/>
      <c r="R25" s="9"/>
      <c r="S25" s="47"/>
    </row>
    <row r="26" spans="1:19" ht="12.75" customHeight="1" x14ac:dyDescent="0.2">
      <c r="A26" s="54"/>
      <c r="B26" s="9"/>
      <c r="C26" s="9"/>
      <c r="D26" s="9"/>
      <c r="E26" s="9"/>
      <c r="F26" s="1152"/>
      <c r="G26" s="1153"/>
      <c r="H26" s="9"/>
      <c r="I26" s="85"/>
      <c r="J26" s="9"/>
      <c r="K26" s="89"/>
      <c r="L26" s="9"/>
      <c r="M26" s="9"/>
      <c r="N26" s="9"/>
      <c r="O26" s="89"/>
      <c r="P26" s="89"/>
      <c r="Q26" s="9"/>
      <c r="R26" s="9"/>
      <c r="S26" s="47"/>
    </row>
    <row r="27" spans="1:19" ht="12.75" customHeight="1" x14ac:dyDescent="0.2">
      <c r="A27" s="54">
        <f t="shared" ref="A27:D31" si="24">A7-A17</f>
        <v>-928400</v>
      </c>
      <c r="B27" s="9">
        <f t="shared" si="24"/>
        <v>-714500</v>
      </c>
      <c r="C27" s="9">
        <f t="shared" si="24"/>
        <v>-699900</v>
      </c>
      <c r="D27" s="9">
        <f t="shared" si="24"/>
        <v>-846400</v>
      </c>
      <c r="E27" s="9">
        <f t="shared" ref="E27:E31" si="25">E7-E17</f>
        <v>-960800</v>
      </c>
      <c r="F27" s="1150" t="str">
        <f>F17</f>
        <v>Strategic Planning</v>
      </c>
      <c r="G27" s="1151"/>
      <c r="H27" s="9">
        <f>H7-H17</f>
        <v>-1205600</v>
      </c>
      <c r="I27" s="85">
        <f>IF(E27=H27,0,IF(E27=0,100,(H27-E27)/E27*100))</f>
        <v>25.478767693588679</v>
      </c>
      <c r="J27" s="9">
        <f t="shared" ref="J27:R27" si="26">J7-J17</f>
        <v>-944200</v>
      </c>
      <c r="K27" s="89">
        <f t="shared" si="26"/>
        <v>-824000</v>
      </c>
      <c r="L27" s="9">
        <f t="shared" si="26"/>
        <v>-1084500</v>
      </c>
      <c r="M27" s="9">
        <f t="shared" si="26"/>
        <v>-1115500</v>
      </c>
      <c r="N27" s="9">
        <f t="shared" si="26"/>
        <v>-1121800</v>
      </c>
      <c r="O27" s="89">
        <f t="shared" si="26"/>
        <v>-1062100</v>
      </c>
      <c r="P27" s="89">
        <f t="shared" si="26"/>
        <v>-961900</v>
      </c>
      <c r="Q27" s="9">
        <f t="shared" si="26"/>
        <v>-855400</v>
      </c>
      <c r="R27" s="9">
        <f t="shared" si="26"/>
        <v>-744600</v>
      </c>
      <c r="S27" s="47">
        <f t="shared" ref="S27" si="27">S7-S17</f>
        <v>-627000</v>
      </c>
    </row>
    <row r="28" spans="1:19" ht="12.75" customHeight="1" x14ac:dyDescent="0.2">
      <c r="A28" s="54">
        <f t="shared" si="24"/>
        <v>-1416400</v>
      </c>
      <c r="B28" s="9">
        <f t="shared" si="24"/>
        <v>-1434400</v>
      </c>
      <c r="C28" s="9">
        <f t="shared" si="24"/>
        <v>-1617800</v>
      </c>
      <c r="D28" s="9">
        <f t="shared" si="24"/>
        <v>-1657300</v>
      </c>
      <c r="E28" s="9">
        <f t="shared" si="25"/>
        <v>-1721800</v>
      </c>
      <c r="F28" s="1150" t="str">
        <f>F18</f>
        <v>Community Facilities</v>
      </c>
      <c r="G28" s="1151"/>
      <c r="H28" s="9">
        <f>H8-H18</f>
        <v>-1753800</v>
      </c>
      <c r="I28" s="85">
        <f>IF(E28=H28,0,IF(E28=0,100,(H28-E28)/E28*100))</f>
        <v>1.8585201533279125</v>
      </c>
      <c r="J28" s="9">
        <f t="shared" ref="J28:R28" si="28">J8-J18</f>
        <v>-1923500</v>
      </c>
      <c r="K28" s="89">
        <f t="shared" si="28"/>
        <v>-2141600</v>
      </c>
      <c r="L28" s="9">
        <f t="shared" si="28"/>
        <v>-2189600</v>
      </c>
      <c r="M28" s="9">
        <f t="shared" si="28"/>
        <v>-2240500</v>
      </c>
      <c r="N28" s="9">
        <f t="shared" si="28"/>
        <v>-2290200</v>
      </c>
      <c r="O28" s="89">
        <f t="shared" si="28"/>
        <v>-2343200</v>
      </c>
      <c r="P28" s="89">
        <f t="shared" si="28"/>
        <v>-2396900</v>
      </c>
      <c r="Q28" s="9">
        <f t="shared" si="28"/>
        <v>-2452700</v>
      </c>
      <c r="R28" s="9">
        <f t="shared" si="28"/>
        <v>-2508800</v>
      </c>
      <c r="S28" s="47">
        <f t="shared" ref="S28" si="29">S8-S18</f>
        <v>-2567500</v>
      </c>
    </row>
    <row r="29" spans="1:19" ht="12.75" customHeight="1" x14ac:dyDescent="0.2">
      <c r="A29" s="54">
        <f t="shared" si="24"/>
        <v>-1399000</v>
      </c>
      <c r="B29" s="9">
        <f t="shared" si="24"/>
        <v>-1526700</v>
      </c>
      <c r="C29" s="9">
        <f t="shared" si="24"/>
        <v>-1413600</v>
      </c>
      <c r="D29" s="9">
        <f t="shared" si="24"/>
        <v>-1459100</v>
      </c>
      <c r="E29" s="9">
        <f t="shared" si="25"/>
        <v>-1509800</v>
      </c>
      <c r="F29" s="1150" t="str">
        <f>F19</f>
        <v>Library Services</v>
      </c>
      <c r="G29" s="1151"/>
      <c r="H29" s="9">
        <f>H9-H19</f>
        <v>-1520200</v>
      </c>
      <c r="I29" s="85">
        <f>IF(E29=H29,0,IF(E29=0,100,(H29-E29)/E29*100))</f>
        <v>0.68883295800768318</v>
      </c>
      <c r="J29" s="9">
        <f t="shared" ref="J29:R29" si="30">J9-J19</f>
        <v>-1564700</v>
      </c>
      <c r="K29" s="89">
        <f t="shared" si="30"/>
        <v>-1603300</v>
      </c>
      <c r="L29" s="9">
        <f t="shared" si="30"/>
        <v>-1643000</v>
      </c>
      <c r="M29" s="9">
        <f t="shared" si="30"/>
        <v>-1683700</v>
      </c>
      <c r="N29" s="9">
        <f t="shared" si="30"/>
        <v>-1725400</v>
      </c>
      <c r="O29" s="89">
        <f t="shared" si="30"/>
        <v>-1767900</v>
      </c>
      <c r="P29" s="89">
        <f t="shared" si="30"/>
        <v>-1811500</v>
      </c>
      <c r="Q29" s="9">
        <f t="shared" si="30"/>
        <v>-1856300</v>
      </c>
      <c r="R29" s="9">
        <f t="shared" si="30"/>
        <v>-1902200</v>
      </c>
      <c r="S29" s="47">
        <f t="shared" ref="S29" si="31">S9-S19</f>
        <v>-1949100</v>
      </c>
    </row>
    <row r="30" spans="1:19" ht="12.75" customHeight="1" x14ac:dyDescent="0.2">
      <c r="A30" s="54">
        <f t="shared" si="24"/>
        <v>-560100</v>
      </c>
      <c r="B30" s="9">
        <f t="shared" si="24"/>
        <v>-518400</v>
      </c>
      <c r="C30" s="9">
        <f t="shared" si="24"/>
        <v>-468000</v>
      </c>
      <c r="D30" s="9">
        <f t="shared" si="24"/>
        <v>-385500</v>
      </c>
      <c r="E30" s="9">
        <f t="shared" si="25"/>
        <v>-337000</v>
      </c>
      <c r="F30" s="1150" t="str">
        <f>F20</f>
        <v>Swimming Pools</v>
      </c>
      <c r="G30" s="1151"/>
      <c r="H30" s="9">
        <f>H10-H20</f>
        <v>-998200</v>
      </c>
      <c r="I30" s="85">
        <f>IF(E30=H30,0,IF(E30=0,100,(H30-E30)/E30*100))</f>
        <v>196.20178041543025</v>
      </c>
      <c r="J30" s="9">
        <f t="shared" ref="J30:R30" si="32">J10-J20</f>
        <v>-1041000</v>
      </c>
      <c r="K30" s="89">
        <f t="shared" si="32"/>
        <v>-1036900</v>
      </c>
      <c r="L30" s="9">
        <f t="shared" si="32"/>
        <v>-1032300</v>
      </c>
      <c r="M30" s="9">
        <f t="shared" si="32"/>
        <v>-1027200</v>
      </c>
      <c r="N30" s="9">
        <f t="shared" si="32"/>
        <v>-1023500</v>
      </c>
      <c r="O30" s="89">
        <f t="shared" si="32"/>
        <v>-1017000</v>
      </c>
      <c r="P30" s="89">
        <f t="shared" si="32"/>
        <v>-1012300</v>
      </c>
      <c r="Q30" s="9">
        <f t="shared" si="32"/>
        <v>-1006000</v>
      </c>
      <c r="R30" s="9">
        <f t="shared" si="32"/>
        <v>-999000</v>
      </c>
      <c r="S30" s="47">
        <f t="shared" ref="S30" si="33">S10-S20</f>
        <v>-991800</v>
      </c>
    </row>
    <row r="31" spans="1:19" ht="12.75" customHeight="1" x14ac:dyDescent="0.2">
      <c r="A31" s="54">
        <f t="shared" si="24"/>
        <v>-443000</v>
      </c>
      <c r="B31" s="9">
        <f t="shared" si="24"/>
        <v>-473300</v>
      </c>
      <c r="C31" s="9">
        <f t="shared" si="24"/>
        <v>-392700</v>
      </c>
      <c r="D31" s="9">
        <f t="shared" si="24"/>
        <v>-449100</v>
      </c>
      <c r="E31" s="9">
        <f t="shared" si="25"/>
        <v>-502500</v>
      </c>
      <c r="F31" s="1150" t="str">
        <f>F21</f>
        <v>Tourism</v>
      </c>
      <c r="G31" s="1151"/>
      <c r="H31" s="9">
        <f>H11-H21</f>
        <v>-449000</v>
      </c>
      <c r="I31" s="85">
        <f>IF(E31=H31,0,IF(E31=0,100,(H31-E31)/E31*100))</f>
        <v>-10.646766169154228</v>
      </c>
      <c r="J31" s="9">
        <f t="shared" ref="J31:R31" si="34">J11-J21</f>
        <v>-440300</v>
      </c>
      <c r="K31" s="89">
        <f t="shared" si="34"/>
        <v>-451400</v>
      </c>
      <c r="L31" s="9">
        <f t="shared" si="34"/>
        <v>-462700</v>
      </c>
      <c r="M31" s="9">
        <f t="shared" si="34"/>
        <v>-474200</v>
      </c>
      <c r="N31" s="9">
        <f t="shared" si="34"/>
        <v>-485900</v>
      </c>
      <c r="O31" s="89">
        <f t="shared" si="34"/>
        <v>-498000</v>
      </c>
      <c r="P31" s="89">
        <f t="shared" si="34"/>
        <v>-510300</v>
      </c>
      <c r="Q31" s="9">
        <f t="shared" si="34"/>
        <v>-522900</v>
      </c>
      <c r="R31" s="9">
        <f t="shared" si="34"/>
        <v>-535800</v>
      </c>
      <c r="S31" s="47">
        <f t="shared" ref="S31" si="35">S11-S21</f>
        <v>-549000</v>
      </c>
    </row>
    <row r="32" spans="1:19" ht="12.75" customHeight="1" thickBot="1" x14ac:dyDescent="0.25">
      <c r="A32" s="54"/>
      <c r="B32" s="9"/>
      <c r="C32" s="9"/>
      <c r="D32" s="9"/>
      <c r="E32" s="9"/>
      <c r="F32" s="1152"/>
      <c r="G32" s="1153"/>
      <c r="H32" s="9"/>
      <c r="I32" s="9"/>
      <c r="J32" s="9"/>
      <c r="K32" s="89"/>
      <c r="L32" s="9"/>
      <c r="M32" s="9"/>
      <c r="N32" s="9"/>
      <c r="O32" s="89"/>
      <c r="P32" s="89"/>
      <c r="Q32" s="9"/>
      <c r="R32" s="9"/>
      <c r="S32" s="47"/>
    </row>
    <row r="33" spans="1:19" ht="12.75" customHeight="1" x14ac:dyDescent="0.2">
      <c r="A33" s="52">
        <f>A13-A23</f>
        <v>-4746900</v>
      </c>
      <c r="B33" s="16">
        <f>B13-B23</f>
        <v>-4667300</v>
      </c>
      <c r="C33" s="16">
        <f>C13-C23</f>
        <v>-4592000</v>
      </c>
      <c r="D33" s="16">
        <f>D13-D23</f>
        <v>-4797400</v>
      </c>
      <c r="E33" s="16">
        <f>E13-E23</f>
        <v>-5031900</v>
      </c>
      <c r="F33" s="1175" t="s">
        <v>4615</v>
      </c>
      <c r="G33" s="1176"/>
      <c r="H33" s="16">
        <f>H13-H23</f>
        <v>-5926800</v>
      </c>
      <c r="I33" s="127">
        <f>IF(E33=H33,0,IF(E33=0,100,(H33-E33)/E33*100))</f>
        <v>17.784534668812974</v>
      </c>
      <c r="J33" s="16">
        <f t="shared" ref="J33:R33" si="36">J13-J23</f>
        <v>-5913700</v>
      </c>
      <c r="K33" s="102">
        <f t="shared" si="36"/>
        <v>-6057200</v>
      </c>
      <c r="L33" s="16">
        <f t="shared" si="36"/>
        <v>-6412100</v>
      </c>
      <c r="M33" s="16">
        <f t="shared" si="36"/>
        <v>-6541100</v>
      </c>
      <c r="N33" s="16">
        <f t="shared" si="36"/>
        <v>-6646800</v>
      </c>
      <c r="O33" s="102">
        <f t="shared" si="36"/>
        <v>-6688200</v>
      </c>
      <c r="P33" s="102">
        <f t="shared" si="36"/>
        <v>-6692900</v>
      </c>
      <c r="Q33" s="16">
        <f t="shared" si="36"/>
        <v>-6693300</v>
      </c>
      <c r="R33" s="16">
        <f t="shared" si="36"/>
        <v>-6690400</v>
      </c>
      <c r="S33" s="2342">
        <f t="shared" ref="S33" si="37">S13-S23</f>
        <v>-6684400</v>
      </c>
    </row>
    <row r="34" spans="1:19" ht="12.75" customHeight="1" x14ac:dyDescent="0.2">
      <c r="A34" s="54">
        <f>ROUND(A871,-3)</f>
        <v>1324000</v>
      </c>
      <c r="B34" s="9">
        <f>B871</f>
        <v>1104400</v>
      </c>
      <c r="C34" s="9">
        <f>C871</f>
        <v>1160000</v>
      </c>
      <c r="D34" s="9">
        <f>D871</f>
        <v>1189100</v>
      </c>
      <c r="E34" s="9">
        <f>E871</f>
        <v>1179800</v>
      </c>
      <c r="F34" s="1178" t="str">
        <f>GM!F38</f>
        <v>Add Back Depreciation</v>
      </c>
      <c r="G34" s="1179"/>
      <c r="H34" s="9">
        <f t="shared" ref="H34:O34" si="38">H871</f>
        <v>1266000</v>
      </c>
      <c r="I34" s="401">
        <f>IF(E34=H34,0,IF(E34=0,100,(H34-E34)/E34*100))</f>
        <v>7.3063231056111206</v>
      </c>
      <c r="J34" s="9">
        <f t="shared" si="38"/>
        <v>1377900</v>
      </c>
      <c r="K34" s="89">
        <f t="shared" si="38"/>
        <v>1485600</v>
      </c>
      <c r="L34" s="9">
        <f t="shared" si="38"/>
        <v>1515700</v>
      </c>
      <c r="M34" s="9">
        <f t="shared" si="38"/>
        <v>1546400</v>
      </c>
      <c r="N34" s="9">
        <f t="shared" si="38"/>
        <v>1577700</v>
      </c>
      <c r="O34" s="89">
        <f t="shared" si="38"/>
        <v>1609500</v>
      </c>
      <c r="P34" s="89">
        <f t="shared" ref="P34:Q34" si="39">P871</f>
        <v>1642100</v>
      </c>
      <c r="Q34" s="9">
        <f t="shared" si="39"/>
        <v>1675300</v>
      </c>
      <c r="R34" s="9">
        <f t="shared" ref="R34" si="40">R871</f>
        <v>1709200</v>
      </c>
      <c r="S34" s="47">
        <f t="shared" ref="S34" si="41">S871</f>
        <v>1743600</v>
      </c>
    </row>
    <row r="35" spans="1:19" s="39" customFormat="1" ht="12.75" customHeight="1" x14ac:dyDescent="0.2">
      <c r="A35" s="128">
        <f>A33+A34</f>
        <v>-3422900</v>
      </c>
      <c r="B35" s="280">
        <f>B33+B34</f>
        <v>-3562900</v>
      </c>
      <c r="C35" s="280">
        <f>C33+C34</f>
        <v>-3432000</v>
      </c>
      <c r="D35" s="280">
        <f>D33+D34</f>
        <v>-3608300</v>
      </c>
      <c r="E35" s="280">
        <f>E33+E34</f>
        <v>-3852100</v>
      </c>
      <c r="F35" s="1168" t="s">
        <v>4618</v>
      </c>
      <c r="G35" s="1167"/>
      <c r="H35" s="280">
        <f>H33+H34</f>
        <v>-4660800</v>
      </c>
      <c r="I35" s="126">
        <f>IF(E35=H35,0,IF(E35=0,100,(H35-E35)/E35*100))</f>
        <v>20.993743672282651</v>
      </c>
      <c r="J35" s="280">
        <f t="shared" ref="J35:R35" si="42">J33+J34</f>
        <v>-4535800</v>
      </c>
      <c r="K35" s="266">
        <f t="shared" si="42"/>
        <v>-4571600</v>
      </c>
      <c r="L35" s="280">
        <f t="shared" si="42"/>
        <v>-4896400</v>
      </c>
      <c r="M35" s="280">
        <f t="shared" si="42"/>
        <v>-4994700</v>
      </c>
      <c r="N35" s="280">
        <f t="shared" si="42"/>
        <v>-5069100</v>
      </c>
      <c r="O35" s="266">
        <f t="shared" si="42"/>
        <v>-5078700</v>
      </c>
      <c r="P35" s="266">
        <f t="shared" si="42"/>
        <v>-5050800</v>
      </c>
      <c r="Q35" s="280">
        <f t="shared" si="42"/>
        <v>-5018000</v>
      </c>
      <c r="R35" s="280">
        <f t="shared" si="42"/>
        <v>-4981200</v>
      </c>
      <c r="S35" s="2343">
        <f t="shared" ref="S35" si="43">S33+S34</f>
        <v>-4940800</v>
      </c>
    </row>
    <row r="36" spans="1:19" ht="12.75" customHeight="1" thickBot="1" x14ac:dyDescent="0.25">
      <c r="A36" s="26"/>
      <c r="B36" s="37"/>
      <c r="C36" s="37"/>
      <c r="D36" s="37"/>
      <c r="E36" s="37"/>
      <c r="F36" s="1169"/>
      <c r="G36" s="1170"/>
      <c r="H36" s="68"/>
      <c r="I36" s="275"/>
      <c r="J36" s="68"/>
      <c r="K36" s="42"/>
      <c r="L36" s="68"/>
      <c r="M36" s="68"/>
      <c r="N36" s="68"/>
      <c r="O36" s="42"/>
      <c r="P36" s="42"/>
      <c r="Q36" s="68"/>
      <c r="R36" s="68"/>
      <c r="S36" s="2344"/>
    </row>
    <row r="37" spans="1:19" ht="12.75" customHeight="1" thickTop="1" x14ac:dyDescent="0.2">
      <c r="A37" s="270"/>
      <c r="B37" s="109"/>
      <c r="C37" s="109"/>
      <c r="D37" s="109"/>
      <c r="E37" s="109"/>
      <c r="F37" s="1171"/>
      <c r="G37" s="1172"/>
      <c r="H37" s="74"/>
      <c r="I37" s="352"/>
      <c r="J37" s="74"/>
      <c r="K37" s="111"/>
      <c r="L37" s="74"/>
      <c r="M37" s="74"/>
      <c r="N37" s="74"/>
      <c r="O37" s="74"/>
      <c r="P37" s="111"/>
      <c r="Q37" s="74"/>
      <c r="R37" s="74"/>
      <c r="S37" s="2345"/>
    </row>
    <row r="38" spans="1:19" ht="12.75" customHeight="1" x14ac:dyDescent="0.2">
      <c r="A38" s="24"/>
      <c r="B38" s="21"/>
      <c r="C38" s="21"/>
      <c r="D38" s="21"/>
      <c r="E38" s="21"/>
      <c r="F38" s="1160" t="s">
        <v>192</v>
      </c>
      <c r="G38" s="1161"/>
      <c r="H38" s="9"/>
      <c r="I38" s="126"/>
      <c r="J38" s="9"/>
      <c r="K38" s="89"/>
      <c r="L38" s="9"/>
      <c r="M38" s="9"/>
      <c r="N38" s="9"/>
      <c r="O38" s="9"/>
      <c r="P38" s="89"/>
      <c r="Q38" s="9"/>
      <c r="R38" s="9"/>
      <c r="S38" s="47"/>
    </row>
    <row r="39" spans="1:19" ht="12.75" customHeight="1" x14ac:dyDescent="0.2">
      <c r="A39" s="24"/>
      <c r="B39" s="21"/>
      <c r="C39" s="21"/>
      <c r="D39" s="21"/>
      <c r="E39" s="21"/>
      <c r="F39" s="1152"/>
      <c r="G39" s="1153"/>
      <c r="H39" s="9"/>
      <c r="I39" s="126"/>
      <c r="J39" s="9"/>
      <c r="K39" s="89"/>
      <c r="L39" s="9"/>
      <c r="M39" s="9"/>
      <c r="N39" s="9"/>
      <c r="O39" s="9"/>
      <c r="P39" s="89"/>
      <c r="Q39" s="9"/>
      <c r="R39" s="9"/>
      <c r="S39" s="47"/>
    </row>
    <row r="40" spans="1:19" ht="12.75" customHeight="1" x14ac:dyDescent="0.2">
      <c r="A40" s="54">
        <f t="shared" ref="A40:E44" si="44">A89+A147+A306++A201+A252</f>
        <v>23000</v>
      </c>
      <c r="B40" s="9">
        <f t="shared" si="44"/>
        <v>24300</v>
      </c>
      <c r="C40" s="9">
        <f t="shared" si="44"/>
        <v>17300</v>
      </c>
      <c r="D40" s="9">
        <f t="shared" si="44"/>
        <v>18500</v>
      </c>
      <c r="E40" s="9">
        <f t="shared" si="44"/>
        <v>19900</v>
      </c>
      <c r="F40" s="1173" t="s">
        <v>1759</v>
      </c>
      <c r="G40" s="1174"/>
      <c r="H40" s="9">
        <f>H89+H147+H306++H201+H252</f>
        <v>359900</v>
      </c>
      <c r="I40" s="85"/>
      <c r="J40" s="9">
        <f t="shared" ref="J40:S40" si="45">J89+J147+J306++J201+J252</f>
        <v>485700</v>
      </c>
      <c r="K40" s="89">
        <f t="shared" si="45"/>
        <v>503800</v>
      </c>
      <c r="L40" s="9">
        <f t="shared" si="45"/>
        <v>516500</v>
      </c>
      <c r="M40" s="9">
        <f t="shared" si="45"/>
        <v>537000</v>
      </c>
      <c r="N40" s="9">
        <f t="shared" si="45"/>
        <v>557400</v>
      </c>
      <c r="O40" s="9">
        <f t="shared" si="45"/>
        <v>559600</v>
      </c>
      <c r="P40" s="89">
        <f t="shared" si="45"/>
        <v>580000</v>
      </c>
      <c r="Q40" s="9">
        <f t="shared" si="45"/>
        <v>602300</v>
      </c>
      <c r="R40" s="9">
        <f t="shared" si="45"/>
        <v>625400</v>
      </c>
      <c r="S40" s="47">
        <f t="shared" si="45"/>
        <v>649300</v>
      </c>
    </row>
    <row r="41" spans="1:19" ht="12.75" customHeight="1" x14ac:dyDescent="0.2">
      <c r="A41" s="54">
        <f t="shared" si="44"/>
        <v>3657000</v>
      </c>
      <c r="B41" s="9">
        <f t="shared" si="44"/>
        <v>3194600</v>
      </c>
      <c r="C41" s="9">
        <f t="shared" si="44"/>
        <v>4109500</v>
      </c>
      <c r="D41" s="9">
        <f t="shared" si="44"/>
        <v>3327000</v>
      </c>
      <c r="E41" s="9">
        <f t="shared" si="44"/>
        <v>9902600</v>
      </c>
      <c r="F41" s="1173" t="s">
        <v>1909</v>
      </c>
      <c r="G41" s="1174"/>
      <c r="H41" s="9">
        <f>H90+H148+H307++H202+H253</f>
        <v>6246000</v>
      </c>
      <c r="I41" s="85"/>
      <c r="J41" s="9">
        <f t="shared" ref="J41:S41" si="46">J90+J148+J307++J202+J253</f>
        <v>12404500</v>
      </c>
      <c r="K41" s="89">
        <f t="shared" si="46"/>
        <v>7731700</v>
      </c>
      <c r="L41" s="9">
        <f t="shared" si="46"/>
        <v>13682900</v>
      </c>
      <c r="M41" s="9">
        <f t="shared" si="46"/>
        <v>14018100</v>
      </c>
      <c r="N41" s="9">
        <f t="shared" si="46"/>
        <v>6388300</v>
      </c>
      <c r="O41" s="9">
        <f t="shared" si="46"/>
        <v>6634000</v>
      </c>
      <c r="P41" s="89">
        <f t="shared" si="46"/>
        <v>6923700</v>
      </c>
      <c r="Q41" s="9">
        <f t="shared" si="46"/>
        <v>7224500</v>
      </c>
      <c r="R41" s="9">
        <f t="shared" si="46"/>
        <v>7535800</v>
      </c>
      <c r="S41" s="47">
        <f t="shared" si="46"/>
        <v>7858600</v>
      </c>
    </row>
    <row r="42" spans="1:19" ht="12.75" customHeight="1" x14ac:dyDescent="0.2">
      <c r="A42" s="54">
        <f t="shared" si="44"/>
        <v>453000</v>
      </c>
      <c r="B42" s="9">
        <f t="shared" si="44"/>
        <v>901600</v>
      </c>
      <c r="C42" s="9">
        <f t="shared" si="44"/>
        <v>888600</v>
      </c>
      <c r="D42" s="9">
        <f t="shared" si="44"/>
        <v>848000</v>
      </c>
      <c r="E42" s="9">
        <f t="shared" si="44"/>
        <v>2764000</v>
      </c>
      <c r="F42" s="1173" t="s">
        <v>2309</v>
      </c>
      <c r="G42" s="1174"/>
      <c r="H42" s="9">
        <f>H91+H149+H308++H203+H254</f>
        <v>8317300</v>
      </c>
      <c r="I42" s="85"/>
      <c r="J42" s="9">
        <f t="shared" ref="J42:S42" si="47">J91+J149+J308++J203+J254</f>
        <v>12342000</v>
      </c>
      <c r="K42" s="89">
        <f t="shared" si="47"/>
        <v>10000</v>
      </c>
      <c r="L42" s="9">
        <f t="shared" si="47"/>
        <v>10000</v>
      </c>
      <c r="M42" s="9">
        <f t="shared" si="47"/>
        <v>10000</v>
      </c>
      <c r="N42" s="9">
        <f t="shared" si="47"/>
        <v>10000</v>
      </c>
      <c r="O42" s="9">
        <f t="shared" si="47"/>
        <v>10000</v>
      </c>
      <c r="P42" s="89">
        <f t="shared" si="47"/>
        <v>10000</v>
      </c>
      <c r="Q42" s="9">
        <f t="shared" si="47"/>
        <v>10000</v>
      </c>
      <c r="R42" s="9">
        <f t="shared" si="47"/>
        <v>10300</v>
      </c>
      <c r="S42" s="47">
        <f t="shared" si="47"/>
        <v>10600</v>
      </c>
    </row>
    <row r="43" spans="1:19" ht="12.75" customHeight="1" x14ac:dyDescent="0.2">
      <c r="A43" s="54">
        <f t="shared" si="44"/>
        <v>2922000</v>
      </c>
      <c r="B43" s="9">
        <f t="shared" si="44"/>
        <v>2309000</v>
      </c>
      <c r="C43" s="9">
        <f t="shared" si="44"/>
        <v>3104000</v>
      </c>
      <c r="D43" s="9">
        <f t="shared" si="44"/>
        <v>2246100</v>
      </c>
      <c r="E43" s="9">
        <f t="shared" si="44"/>
        <v>5465200</v>
      </c>
      <c r="F43" s="1173" t="s">
        <v>5847</v>
      </c>
      <c r="G43" s="1174"/>
      <c r="H43" s="9">
        <f>H92+H150+H309++H204+H255</f>
        <v>10496800</v>
      </c>
      <c r="I43" s="85"/>
      <c r="J43" s="9">
        <f t="shared" ref="J43:S43" si="48">J92+J150+J309++J204+J255</f>
        <v>7192000</v>
      </c>
      <c r="K43" s="89">
        <f t="shared" si="48"/>
        <v>7372000</v>
      </c>
      <c r="L43" s="9">
        <f t="shared" si="48"/>
        <v>13556000</v>
      </c>
      <c r="M43" s="9">
        <f t="shared" si="48"/>
        <v>13894000</v>
      </c>
      <c r="N43" s="9">
        <f t="shared" si="48"/>
        <v>6241000</v>
      </c>
      <c r="O43" s="9">
        <f t="shared" si="48"/>
        <v>6397000</v>
      </c>
      <c r="P43" s="89">
        <f t="shared" si="48"/>
        <v>6556000</v>
      </c>
      <c r="Q43" s="9">
        <f t="shared" si="48"/>
        <v>6719000</v>
      </c>
      <c r="R43" s="9">
        <f t="shared" si="48"/>
        <v>6887000</v>
      </c>
      <c r="S43" s="47">
        <f t="shared" si="48"/>
        <v>7059000</v>
      </c>
    </row>
    <row r="44" spans="1:19" ht="12.75" customHeight="1" x14ac:dyDescent="0.2">
      <c r="A44" s="54">
        <f t="shared" si="44"/>
        <v>17000</v>
      </c>
      <c r="B44" s="9">
        <f t="shared" si="44"/>
        <v>314000</v>
      </c>
      <c r="C44" s="9">
        <f t="shared" si="44"/>
        <v>332400</v>
      </c>
      <c r="D44" s="9">
        <f t="shared" si="44"/>
        <v>521100</v>
      </c>
      <c r="E44" s="9">
        <f t="shared" si="44"/>
        <v>3100800</v>
      </c>
      <c r="F44" s="1173" t="s">
        <v>958</v>
      </c>
      <c r="G44" s="1174"/>
      <c r="H44" s="9">
        <f>H93+H151+H310++H205+H256</f>
        <v>12582700</v>
      </c>
      <c r="I44" s="85"/>
      <c r="J44" s="9">
        <f t="shared" ref="J44:S44" si="49">J93+J151+J310++J205+J256</f>
        <v>7356000</v>
      </c>
      <c r="K44" s="89">
        <f t="shared" si="49"/>
        <v>25000</v>
      </c>
      <c r="L44" s="9">
        <f t="shared" si="49"/>
        <v>26000</v>
      </c>
      <c r="M44" s="9">
        <f t="shared" si="49"/>
        <v>27000</v>
      </c>
      <c r="N44" s="9">
        <f t="shared" si="49"/>
        <v>28000</v>
      </c>
      <c r="O44" s="9">
        <f t="shared" si="49"/>
        <v>29000</v>
      </c>
      <c r="P44" s="89">
        <f t="shared" si="49"/>
        <v>30000</v>
      </c>
      <c r="Q44" s="9">
        <f t="shared" si="49"/>
        <v>31000</v>
      </c>
      <c r="R44" s="9">
        <f t="shared" si="49"/>
        <v>32000</v>
      </c>
      <c r="S44" s="47">
        <f t="shared" si="49"/>
        <v>33000</v>
      </c>
    </row>
    <row r="45" spans="1:19" ht="12.75" customHeight="1" x14ac:dyDescent="0.2">
      <c r="A45" s="54"/>
      <c r="B45" s="9"/>
      <c r="C45" s="9"/>
      <c r="D45" s="9"/>
      <c r="E45" s="9"/>
      <c r="F45" s="1164"/>
      <c r="G45" s="1165"/>
      <c r="H45" s="9"/>
      <c r="I45" s="401"/>
      <c r="J45" s="9"/>
      <c r="K45" s="89"/>
      <c r="L45" s="9"/>
      <c r="M45" s="9"/>
      <c r="N45" s="9"/>
      <c r="O45" s="9"/>
      <c r="P45" s="89"/>
      <c r="Q45" s="9"/>
      <c r="R45" s="9"/>
      <c r="S45" s="47"/>
    </row>
    <row r="46" spans="1:19" s="39" customFormat="1" ht="12.75" customHeight="1" x14ac:dyDescent="0.2">
      <c r="A46" s="128">
        <f>A35-A40-A41+A42++A43-A44</f>
        <v>-3744900</v>
      </c>
      <c r="B46" s="280">
        <f>B35-B40-B41+B42++B43-B44</f>
        <v>-3885200</v>
      </c>
      <c r="C46" s="280">
        <f>C35-C40-C41+C42++C43-C44</f>
        <v>-3898600</v>
      </c>
      <c r="D46" s="280">
        <f>D35-D40-D41+D42++D43-D44</f>
        <v>-4380800</v>
      </c>
      <c r="E46" s="280">
        <f>E35-E40-E41+E42++E43-E44</f>
        <v>-8646200</v>
      </c>
      <c r="F46" s="1166" t="s">
        <v>2447</v>
      </c>
      <c r="G46" s="1167"/>
      <c r="H46" s="280">
        <f>H35-H40-H41+H42++H43-H44</f>
        <v>-5035300</v>
      </c>
      <c r="I46" s="126">
        <f>IF(G46=H46,0,IF(G46=0,100,(H46-G46)/G46*100))</f>
        <v>100</v>
      </c>
      <c r="J46" s="280">
        <f t="shared" ref="J46:R46" si="50">J35-J40-J41+J42++J43-J44</f>
        <v>-5248000</v>
      </c>
      <c r="K46" s="266">
        <f t="shared" si="50"/>
        <v>-5450100</v>
      </c>
      <c r="L46" s="280">
        <f t="shared" si="50"/>
        <v>-5555800</v>
      </c>
      <c r="M46" s="280">
        <f t="shared" si="50"/>
        <v>-5672800</v>
      </c>
      <c r="N46" s="280">
        <f t="shared" si="50"/>
        <v>-5791800</v>
      </c>
      <c r="O46" s="280">
        <f t="shared" si="50"/>
        <v>-5894300</v>
      </c>
      <c r="P46" s="266">
        <f t="shared" si="50"/>
        <v>-6018500</v>
      </c>
      <c r="Q46" s="280">
        <f t="shared" si="50"/>
        <v>-6146800</v>
      </c>
      <c r="R46" s="280">
        <f t="shared" si="50"/>
        <v>-6277100</v>
      </c>
      <c r="S46" s="2343">
        <f t="shared" ref="S46" si="51">S35-S40-S41+S42++S43-S44</f>
        <v>-6412100</v>
      </c>
    </row>
    <row r="47" spans="1:19" ht="12.75" customHeight="1" thickBot="1" x14ac:dyDescent="0.25">
      <c r="A47" s="26"/>
      <c r="B47" s="37"/>
      <c r="C47" s="37"/>
      <c r="D47" s="37"/>
      <c r="E47" s="37"/>
      <c r="F47" s="1180"/>
      <c r="G47" s="1181"/>
      <c r="H47" s="23"/>
      <c r="I47" s="275"/>
      <c r="J47" s="23"/>
      <c r="K47" s="113"/>
      <c r="L47" s="23"/>
      <c r="M47" s="23"/>
      <c r="N47" s="23"/>
      <c r="O47" s="23"/>
      <c r="P47" s="593"/>
      <c r="Q47" s="23"/>
      <c r="R47" s="23"/>
      <c r="S47" s="112"/>
    </row>
    <row r="48" spans="1:19" s="46" customFormat="1" ht="12.75" customHeight="1" thickTop="1" thickBot="1" x14ac:dyDescent="0.25">
      <c r="A48" s="27"/>
      <c r="B48" s="27"/>
      <c r="C48" s="466"/>
      <c r="D48" s="27"/>
      <c r="F48" s="481"/>
      <c r="G48" s="27"/>
      <c r="I48" s="2234"/>
    </row>
    <row r="49" spans="1:19" s="38" customFormat="1" ht="19.5" thickTop="1" thickBot="1" x14ac:dyDescent="0.3">
      <c r="A49" s="2588" t="s">
        <v>454</v>
      </c>
      <c r="B49" s="2589"/>
      <c r="C49" s="2589"/>
      <c r="D49" s="2589"/>
      <c r="E49" s="2589"/>
      <c r="F49" s="2589"/>
      <c r="G49" s="2589"/>
      <c r="H49" s="2589"/>
      <c r="I49" s="2589"/>
      <c r="J49" s="2589"/>
      <c r="K49" s="2589"/>
      <c r="L49" s="2589"/>
      <c r="M49" s="2589"/>
      <c r="N49" s="2589"/>
      <c r="O49" s="2589"/>
      <c r="P49" s="2589"/>
      <c r="Q49" s="2589"/>
      <c r="R49" s="2589"/>
      <c r="S49" s="2590"/>
    </row>
    <row r="50" spans="1:19" s="39" customFormat="1" ht="12.75" customHeight="1" x14ac:dyDescent="0.2">
      <c r="A50" s="2591" t="s">
        <v>1824</v>
      </c>
      <c r="B50" s="2577"/>
      <c r="C50" s="2577"/>
      <c r="D50" s="2577"/>
      <c r="E50" s="2592"/>
      <c r="F50" s="2231" t="s">
        <v>2616</v>
      </c>
      <c r="G50" s="188" t="s">
        <v>2213</v>
      </c>
      <c r="H50" s="2576" t="s">
        <v>2215</v>
      </c>
      <c r="I50" s="2577"/>
      <c r="J50" s="2577"/>
      <c r="K50" s="2577"/>
      <c r="L50" s="2577"/>
      <c r="M50" s="2577"/>
      <c r="N50" s="2577"/>
      <c r="O50" s="2577"/>
      <c r="P50" s="2577"/>
      <c r="Q50" s="2577"/>
      <c r="R50" s="2577"/>
      <c r="S50" s="2578"/>
    </row>
    <row r="51" spans="1:19" ht="12.75" customHeight="1" thickBot="1" x14ac:dyDescent="0.25">
      <c r="A51" s="1011" t="str">
        <f>A3</f>
        <v>2012/13</v>
      </c>
      <c r="B51" s="28" t="str">
        <f>B3</f>
        <v>2013/14</v>
      </c>
      <c r="C51" s="40" t="str">
        <f>C3</f>
        <v>2014/15</v>
      </c>
      <c r="D51" s="40" t="str">
        <f>D3</f>
        <v>2015/16</v>
      </c>
      <c r="E51" s="40" t="str">
        <f>E3</f>
        <v>2016/17</v>
      </c>
      <c r="F51" s="40" t="s">
        <v>2617</v>
      </c>
      <c r="G51" s="41"/>
      <c r="H51" s="40" t="str">
        <f t="shared" ref="H51:R51" si="52">H3</f>
        <v>2017/18</v>
      </c>
      <c r="I51" s="1258" t="str">
        <f t="shared" si="52"/>
        <v>%</v>
      </c>
      <c r="J51" s="1257" t="str">
        <f t="shared" si="52"/>
        <v>2018/19</v>
      </c>
      <c r="K51" s="205" t="str">
        <f t="shared" si="52"/>
        <v>2019/20</v>
      </c>
      <c r="L51" s="40" t="str">
        <f t="shared" si="52"/>
        <v>2020/21</v>
      </c>
      <c r="M51" s="40" t="str">
        <f t="shared" si="52"/>
        <v>2021/22</v>
      </c>
      <c r="N51" s="40" t="str">
        <f t="shared" si="52"/>
        <v>2022/23</v>
      </c>
      <c r="O51" s="40" t="str">
        <f t="shared" si="52"/>
        <v>2023/24</v>
      </c>
      <c r="P51" s="1257" t="str">
        <f t="shared" si="52"/>
        <v>2024/25</v>
      </c>
      <c r="Q51" s="28" t="str">
        <f t="shared" si="52"/>
        <v>2025/26</v>
      </c>
      <c r="R51" s="28" t="str">
        <f t="shared" si="52"/>
        <v>2026/27</v>
      </c>
      <c r="S51" s="1620" t="str">
        <f t="shared" ref="S51" si="53">S3</f>
        <v>2027/28</v>
      </c>
    </row>
    <row r="52" spans="1:19" ht="12.75" customHeight="1" x14ac:dyDescent="0.2">
      <c r="A52" s="54"/>
      <c r="B52" s="9"/>
      <c r="C52" s="9"/>
      <c r="D52" s="9"/>
      <c r="E52" s="9"/>
      <c r="F52" s="483"/>
      <c r="G52" s="46"/>
      <c r="H52" s="9"/>
      <c r="I52" s="85"/>
      <c r="J52" s="89"/>
      <c r="K52" s="9"/>
      <c r="L52" s="9"/>
      <c r="M52" s="9"/>
      <c r="N52" s="9"/>
      <c r="O52" s="9"/>
      <c r="P52" s="89"/>
      <c r="Q52" s="9"/>
      <c r="R52" s="9"/>
      <c r="S52" s="61"/>
    </row>
    <row r="53" spans="1:19" ht="12.75" customHeight="1" x14ac:dyDescent="0.2">
      <c r="A53" s="54"/>
      <c r="B53" s="9"/>
      <c r="C53" s="9"/>
      <c r="D53" s="9"/>
      <c r="E53" s="9"/>
      <c r="F53" s="469"/>
      <c r="G53" s="91" t="s">
        <v>1056</v>
      </c>
      <c r="H53" s="9"/>
      <c r="I53" s="85"/>
      <c r="J53" s="89"/>
      <c r="K53" s="9"/>
      <c r="L53" s="9"/>
      <c r="M53" s="9"/>
      <c r="N53" s="9"/>
      <c r="O53" s="9"/>
      <c r="P53" s="89"/>
      <c r="Q53" s="9"/>
      <c r="R53" s="9"/>
      <c r="S53" s="61"/>
    </row>
    <row r="54" spans="1:19" ht="12.75" customHeight="1" x14ac:dyDescent="0.2">
      <c r="A54" s="54"/>
      <c r="B54" s="9"/>
      <c r="C54" s="9"/>
      <c r="D54" s="9"/>
      <c r="E54" s="9"/>
      <c r="F54" s="469"/>
      <c r="G54" s="91"/>
      <c r="H54" s="9"/>
      <c r="I54" s="85"/>
      <c r="J54" s="89"/>
      <c r="K54" s="9"/>
      <c r="L54" s="9"/>
      <c r="M54" s="9"/>
      <c r="N54" s="9"/>
      <c r="O54" s="9"/>
      <c r="P54" s="89"/>
      <c r="Q54" s="9"/>
      <c r="R54" s="9"/>
      <c r="S54" s="61"/>
    </row>
    <row r="55" spans="1:19" ht="12.75" customHeight="1" x14ac:dyDescent="0.2">
      <c r="A55" s="54">
        <f>ROUND(SUM(A320:A324),-3)</f>
        <v>52000</v>
      </c>
      <c r="B55" s="9">
        <f>ROUND(SUM(B320:B324),-2)</f>
        <v>89700</v>
      </c>
      <c r="C55" s="9">
        <f>SUM(C320:C324)</f>
        <v>72400</v>
      </c>
      <c r="D55" s="9">
        <f>SUM(D320:D324)</f>
        <v>114200</v>
      </c>
      <c r="E55" s="9">
        <f>SUM(E320:E324)</f>
        <v>53700</v>
      </c>
      <c r="F55" s="167">
        <v>20000</v>
      </c>
      <c r="G55" s="31" t="s">
        <v>6751</v>
      </c>
      <c r="H55" s="9">
        <f>SUM(H320:H324)</f>
        <v>37500</v>
      </c>
      <c r="I55" s="85">
        <f>IF(E55=H55,0,IF(E55=0,100,(H55-E55)/E55*100))</f>
        <v>-30.16759776536313</v>
      </c>
      <c r="J55" s="89">
        <f t="shared" ref="J55:R55" si="54">SUM(J320:J324)</f>
        <v>20000</v>
      </c>
      <c r="K55" s="9">
        <f t="shared" si="54"/>
        <v>20500</v>
      </c>
      <c r="L55" s="9">
        <f t="shared" si="54"/>
        <v>21100</v>
      </c>
      <c r="M55" s="9">
        <f t="shared" si="54"/>
        <v>21700</v>
      </c>
      <c r="N55" s="9">
        <f t="shared" si="54"/>
        <v>22300</v>
      </c>
      <c r="O55" s="9">
        <f t="shared" si="54"/>
        <v>22900</v>
      </c>
      <c r="P55" s="89">
        <f t="shared" si="54"/>
        <v>23500</v>
      </c>
      <c r="Q55" s="9">
        <f t="shared" si="54"/>
        <v>24100</v>
      </c>
      <c r="R55" s="9">
        <f t="shared" si="54"/>
        <v>24800</v>
      </c>
      <c r="S55" s="47">
        <f t="shared" ref="S55" si="55">SUM(S320:S324)</f>
        <v>25500</v>
      </c>
    </row>
    <row r="56" spans="1:19" ht="12.75" customHeight="1" x14ac:dyDescent="0.2">
      <c r="A56" s="54">
        <f t="shared" ref="A56:D57" si="56">SUM(A326:A326)</f>
        <v>16900</v>
      </c>
      <c r="B56" s="9">
        <f t="shared" si="56"/>
        <v>18700</v>
      </c>
      <c r="C56" s="9">
        <f t="shared" si="56"/>
        <v>21500</v>
      </c>
      <c r="D56" s="9">
        <f t="shared" si="56"/>
        <v>25400</v>
      </c>
      <c r="E56" s="9">
        <f t="shared" ref="E56" si="57">SUM(E326:E326)</f>
        <v>5700</v>
      </c>
      <c r="F56" s="167">
        <v>20002</v>
      </c>
      <c r="G56" s="31" t="s">
        <v>4782</v>
      </c>
      <c r="H56" s="9">
        <f>SUM(H326:H326)</f>
        <v>0</v>
      </c>
      <c r="I56" s="85">
        <f>IF(E56=H56,0,IF(E56=0,100,(H56-E56)/E56*100))</f>
        <v>-100</v>
      </c>
      <c r="J56" s="89">
        <f t="shared" ref="J56:R56" si="58">SUM(J326:J326)</f>
        <v>0</v>
      </c>
      <c r="K56" s="9">
        <f t="shared" si="58"/>
        <v>0</v>
      </c>
      <c r="L56" s="9">
        <f t="shared" si="58"/>
        <v>0</v>
      </c>
      <c r="M56" s="9">
        <f t="shared" si="58"/>
        <v>0</v>
      </c>
      <c r="N56" s="9">
        <f t="shared" si="58"/>
        <v>0</v>
      </c>
      <c r="O56" s="9">
        <f t="shared" si="58"/>
        <v>0</v>
      </c>
      <c r="P56" s="89">
        <f t="shared" si="58"/>
        <v>0</v>
      </c>
      <c r="Q56" s="9">
        <f t="shared" si="58"/>
        <v>0</v>
      </c>
      <c r="R56" s="9">
        <f t="shared" si="58"/>
        <v>0</v>
      </c>
      <c r="S56" s="47">
        <f t="shared" ref="S56" si="59">SUM(S326:S326)</f>
        <v>0</v>
      </c>
    </row>
    <row r="57" spans="1:19" ht="12.75" customHeight="1" x14ac:dyDescent="0.2">
      <c r="A57" s="54">
        <f t="shared" si="56"/>
        <v>0</v>
      </c>
      <c r="B57" s="9">
        <f t="shared" si="56"/>
        <v>40000</v>
      </c>
      <c r="C57" s="9">
        <f t="shared" si="56"/>
        <v>107700</v>
      </c>
      <c r="D57" s="9">
        <f t="shared" si="56"/>
        <v>37600</v>
      </c>
      <c r="E57" s="9">
        <f t="shared" ref="E57" si="60">SUM(E327:E327)</f>
        <v>0</v>
      </c>
      <c r="F57" s="167">
        <v>20002</v>
      </c>
      <c r="G57" s="31" t="s">
        <v>4783</v>
      </c>
      <c r="H57" s="9">
        <f>SUM(H327:H327)</f>
        <v>0</v>
      </c>
      <c r="I57" s="85">
        <f>IF(E57=H57,0,IF(E57=0,100,(H57-E57)/E57*100))</f>
        <v>0</v>
      </c>
      <c r="J57" s="89">
        <f t="shared" ref="J57:R57" si="61">SUM(J327:J327)</f>
        <v>0</v>
      </c>
      <c r="K57" s="9">
        <f t="shared" si="61"/>
        <v>0</v>
      </c>
      <c r="L57" s="9">
        <f t="shared" si="61"/>
        <v>0</v>
      </c>
      <c r="M57" s="9">
        <f t="shared" si="61"/>
        <v>0</v>
      </c>
      <c r="N57" s="9">
        <f t="shared" si="61"/>
        <v>0</v>
      </c>
      <c r="O57" s="9">
        <f t="shared" si="61"/>
        <v>0</v>
      </c>
      <c r="P57" s="89">
        <f t="shared" si="61"/>
        <v>0</v>
      </c>
      <c r="Q57" s="9">
        <f t="shared" si="61"/>
        <v>0</v>
      </c>
      <c r="R57" s="9">
        <f t="shared" si="61"/>
        <v>0</v>
      </c>
      <c r="S57" s="47">
        <f t="shared" ref="S57" si="62">SUM(S327:S327)</f>
        <v>0</v>
      </c>
    </row>
    <row r="58" spans="1:19" ht="12.75" customHeight="1" x14ac:dyDescent="0.2">
      <c r="A58" s="54">
        <f>SUM(A328:A335)</f>
        <v>5000</v>
      </c>
      <c r="B58" s="9">
        <f>SUM(B328:B335)</f>
        <v>22600</v>
      </c>
      <c r="C58" s="9">
        <f>SUM(C328:C335)</f>
        <v>73500</v>
      </c>
      <c r="D58" s="9">
        <f>SUM(D328:D335)</f>
        <v>17000</v>
      </c>
      <c r="E58" s="9">
        <f>SUM(E327:E335)</f>
        <v>60800</v>
      </c>
      <c r="F58" s="167">
        <v>20002</v>
      </c>
      <c r="G58" s="31" t="s">
        <v>4784</v>
      </c>
      <c r="H58" s="9">
        <f>SUM(H328:H335)</f>
        <v>27400</v>
      </c>
      <c r="I58" s="85">
        <f>IF(E58=H58,0,IF(E58=0,100,(H58-E58)/E58*100))</f>
        <v>-54.934210526315788</v>
      </c>
      <c r="J58" s="9">
        <f t="shared" ref="J58:S58" si="63">SUM(J328:J335)</f>
        <v>17000</v>
      </c>
      <c r="K58" s="9">
        <f t="shared" si="63"/>
        <v>17500</v>
      </c>
      <c r="L58" s="9">
        <f t="shared" si="63"/>
        <v>18100</v>
      </c>
      <c r="M58" s="9">
        <f t="shared" si="63"/>
        <v>18700</v>
      </c>
      <c r="N58" s="9">
        <f t="shared" si="63"/>
        <v>19300</v>
      </c>
      <c r="O58" s="9">
        <f t="shared" si="63"/>
        <v>19900</v>
      </c>
      <c r="P58" s="9">
        <f t="shared" si="63"/>
        <v>20500</v>
      </c>
      <c r="Q58" s="9">
        <f t="shared" si="63"/>
        <v>21100</v>
      </c>
      <c r="R58" s="9">
        <f t="shared" si="63"/>
        <v>21700</v>
      </c>
      <c r="S58" s="47">
        <f t="shared" si="63"/>
        <v>22300</v>
      </c>
    </row>
    <row r="59" spans="1:19" ht="12.75" customHeight="1" x14ac:dyDescent="0.2">
      <c r="A59" s="54">
        <f>ROUND(SUM(A336:A345),-3)</f>
        <v>268000</v>
      </c>
      <c r="B59" s="9">
        <f>ROUND(SUM(B336:B345),-2)</f>
        <v>195700</v>
      </c>
      <c r="C59" s="9">
        <f>SUM(C336:C345)</f>
        <v>175100</v>
      </c>
      <c r="D59" s="9">
        <f>SUM(D336:D345)</f>
        <v>164500</v>
      </c>
      <c r="E59" s="9">
        <f>SUM(E336:E345)</f>
        <v>182000</v>
      </c>
      <c r="F59" s="167">
        <v>20012</v>
      </c>
      <c r="G59" s="31" t="s">
        <v>1360</v>
      </c>
      <c r="H59" s="9">
        <f>SUM(H336:H345)</f>
        <v>142000</v>
      </c>
      <c r="I59" s="85">
        <f>IF(E59=H59,0,IF(E59=0,100,(H59-E59)/E59*100))</f>
        <v>-21.978021978021978</v>
      </c>
      <c r="J59" s="89">
        <f t="shared" ref="J59:R59" si="64">SUM(J336:J345)</f>
        <v>195500</v>
      </c>
      <c r="K59" s="9">
        <f t="shared" si="64"/>
        <v>342500</v>
      </c>
      <c r="L59" s="9">
        <f t="shared" si="64"/>
        <v>109500</v>
      </c>
      <c r="M59" s="9">
        <f t="shared" si="64"/>
        <v>106500</v>
      </c>
      <c r="N59" s="9">
        <f t="shared" si="64"/>
        <v>129500</v>
      </c>
      <c r="O59" s="9">
        <f t="shared" si="64"/>
        <v>219000</v>
      </c>
      <c r="P59" s="89">
        <f t="shared" si="64"/>
        <v>349500</v>
      </c>
      <c r="Q59" s="9">
        <f t="shared" si="64"/>
        <v>487000</v>
      </c>
      <c r="R59" s="9">
        <f t="shared" si="64"/>
        <v>630000</v>
      </c>
      <c r="S59" s="47">
        <f t="shared" ref="S59" si="65">SUM(S336:S345)</f>
        <v>780500</v>
      </c>
    </row>
    <row r="60" spans="1:19" ht="12.75" customHeight="1" thickBot="1" x14ac:dyDescent="0.25">
      <c r="A60" s="54"/>
      <c r="B60" s="9"/>
      <c r="C60" s="9"/>
      <c r="D60" s="9"/>
      <c r="E60" s="9"/>
      <c r="F60" s="469"/>
      <c r="G60" s="46"/>
      <c r="H60" s="9"/>
      <c r="I60" s="85"/>
      <c r="J60" s="89"/>
      <c r="K60" s="9"/>
      <c r="L60" s="9"/>
      <c r="M60" s="9"/>
      <c r="N60" s="9"/>
      <c r="O60" s="9"/>
      <c r="P60" s="89"/>
      <c r="Q60" s="9"/>
      <c r="R60" s="9"/>
      <c r="S60" s="47"/>
    </row>
    <row r="61" spans="1:19" s="39" customFormat="1" ht="12.75" customHeight="1" x14ac:dyDescent="0.2">
      <c r="A61" s="52">
        <f>SUM(A55:A60)</f>
        <v>341900</v>
      </c>
      <c r="B61" s="16">
        <f>SUM(B55:B60)</f>
        <v>366700</v>
      </c>
      <c r="C61" s="16">
        <f>SUM(C55:C60)</f>
        <v>450200</v>
      </c>
      <c r="D61" s="16">
        <f>SUM(D55:D60)</f>
        <v>358700</v>
      </c>
      <c r="E61" s="16">
        <f>SUM(E55:E60)</f>
        <v>302200</v>
      </c>
      <c r="F61" s="498"/>
      <c r="G61" s="59" t="s">
        <v>2561</v>
      </c>
      <c r="H61" s="16">
        <f>SUM(H55:H60)</f>
        <v>206900</v>
      </c>
      <c r="I61" s="127">
        <f>IF(E61=H61,0,IF(E61=0,100,(H61-E61)/E61*100))</f>
        <v>-31.535407015221708</v>
      </c>
      <c r="J61" s="102">
        <f t="shared" ref="J61:R61" si="66">SUM(J55:J60)</f>
        <v>232500</v>
      </c>
      <c r="K61" s="16">
        <f t="shared" si="66"/>
        <v>380500</v>
      </c>
      <c r="L61" s="16">
        <f t="shared" si="66"/>
        <v>148700</v>
      </c>
      <c r="M61" s="16">
        <f t="shared" si="66"/>
        <v>146900</v>
      </c>
      <c r="N61" s="16">
        <f t="shared" si="66"/>
        <v>171100</v>
      </c>
      <c r="O61" s="16">
        <f t="shared" si="66"/>
        <v>261800</v>
      </c>
      <c r="P61" s="102">
        <f t="shared" si="66"/>
        <v>393500</v>
      </c>
      <c r="Q61" s="16">
        <f t="shared" si="66"/>
        <v>532200</v>
      </c>
      <c r="R61" s="16">
        <f t="shared" si="66"/>
        <v>676500</v>
      </c>
      <c r="S61" s="2342">
        <f t="shared" ref="S61" si="67">SUM(S55:S60)</f>
        <v>828300</v>
      </c>
    </row>
    <row r="62" spans="1:19" ht="12.75" customHeight="1" x14ac:dyDescent="0.2">
      <c r="A62" s="54"/>
      <c r="B62" s="9"/>
      <c r="C62" s="9"/>
      <c r="D62" s="9"/>
      <c r="E62" s="9"/>
      <c r="F62" s="469"/>
      <c r="G62" s="46"/>
      <c r="H62" s="9"/>
      <c r="I62" s="85"/>
      <c r="J62" s="89"/>
      <c r="K62" s="9"/>
      <c r="L62" s="9"/>
      <c r="M62" s="9"/>
      <c r="N62" s="9"/>
      <c r="O62" s="9"/>
      <c r="P62" s="89"/>
      <c r="Q62" s="9"/>
      <c r="R62" s="9"/>
      <c r="S62" s="47"/>
    </row>
    <row r="63" spans="1:19" ht="12.75" customHeight="1" x14ac:dyDescent="0.2">
      <c r="A63" s="54"/>
      <c r="B63" s="9"/>
      <c r="C63" s="9"/>
      <c r="D63" s="9"/>
      <c r="E63" s="9"/>
      <c r="F63" s="469"/>
      <c r="G63" s="91" t="s">
        <v>2169</v>
      </c>
      <c r="H63" s="9"/>
      <c r="I63" s="85"/>
      <c r="J63" s="89"/>
      <c r="K63" s="9"/>
      <c r="L63" s="9"/>
      <c r="M63" s="9"/>
      <c r="N63" s="9"/>
      <c r="O63" s="9"/>
      <c r="P63" s="89"/>
      <c r="Q63" s="9"/>
      <c r="R63" s="9"/>
      <c r="S63" s="47"/>
    </row>
    <row r="64" spans="1:19" ht="12.75" customHeight="1" x14ac:dyDescent="0.2">
      <c r="A64" s="54"/>
      <c r="B64" s="9"/>
      <c r="C64" s="9"/>
      <c r="D64" s="9"/>
      <c r="E64" s="9"/>
      <c r="F64" s="469"/>
      <c r="G64" s="27"/>
      <c r="H64" s="9"/>
      <c r="I64" s="85"/>
      <c r="J64" s="89"/>
      <c r="K64" s="9"/>
      <c r="L64" s="9"/>
      <c r="M64" s="9"/>
      <c r="N64" s="9"/>
      <c r="O64" s="9"/>
      <c r="P64" s="89"/>
      <c r="Q64" s="9"/>
      <c r="R64" s="9"/>
      <c r="S64" s="47"/>
    </row>
    <row r="65" spans="1:19" ht="12.75" customHeight="1" x14ac:dyDescent="0.2">
      <c r="A65" s="54">
        <f>ROUND(SUM(A349:A353),-3)</f>
        <v>810000</v>
      </c>
      <c r="B65" s="9">
        <f>ROUND(SUM(B349:B353),-2)</f>
        <v>818700</v>
      </c>
      <c r="C65" s="9">
        <f>SUM(C349:C353)</f>
        <v>820300</v>
      </c>
      <c r="D65" s="9">
        <f>SUM(D349:D353)</f>
        <v>890900</v>
      </c>
      <c r="E65" s="9">
        <f>SUM(E349:E353)</f>
        <v>940300</v>
      </c>
      <c r="F65" s="167">
        <v>30000</v>
      </c>
      <c r="G65" s="46" t="s">
        <v>1228</v>
      </c>
      <c r="H65" s="9">
        <f>SUM(H349:H353)</f>
        <v>924000</v>
      </c>
      <c r="I65" s="85">
        <f t="shared" ref="I65:I78" si="68">IF(E65=H65,0,IF(E65=0,100,(H65-E65)/E65*100))</f>
        <v>-1.7334893119217272</v>
      </c>
      <c r="J65" s="89">
        <f t="shared" ref="J65:R65" si="69">SUM(J349:J353)</f>
        <v>945300</v>
      </c>
      <c r="K65" s="9">
        <f t="shared" si="69"/>
        <v>967200</v>
      </c>
      <c r="L65" s="9">
        <f t="shared" si="69"/>
        <v>989600</v>
      </c>
      <c r="M65" s="9">
        <f t="shared" si="69"/>
        <v>1012500</v>
      </c>
      <c r="N65" s="9">
        <f t="shared" si="69"/>
        <v>1036000</v>
      </c>
      <c r="O65" s="9">
        <f t="shared" si="69"/>
        <v>1060000</v>
      </c>
      <c r="P65" s="89">
        <f t="shared" si="69"/>
        <v>1084500</v>
      </c>
      <c r="Q65" s="9">
        <f t="shared" si="69"/>
        <v>1109700</v>
      </c>
      <c r="R65" s="9">
        <f t="shared" si="69"/>
        <v>1135400</v>
      </c>
      <c r="S65" s="47">
        <f t="shared" ref="S65" si="70">SUM(S349:S353)</f>
        <v>1161700</v>
      </c>
    </row>
    <row r="66" spans="1:19" ht="12.75" customHeight="1" x14ac:dyDescent="0.2">
      <c r="A66" s="54">
        <f>ROUND(SUM(A354:A358),-3)</f>
        <v>25000</v>
      </c>
      <c r="B66" s="9">
        <f>ROUND(SUM(B354:B358),-2)</f>
        <v>28300</v>
      </c>
      <c r="C66" s="9">
        <f>SUM(C354:C358)</f>
        <v>21700</v>
      </c>
      <c r="D66" s="9">
        <f>SUM(D354:D358)</f>
        <v>36600</v>
      </c>
      <c r="E66" s="9">
        <f>SUM(E354:E358)</f>
        <v>34300</v>
      </c>
      <c r="F66" s="167">
        <v>30000</v>
      </c>
      <c r="G66" s="31" t="s">
        <v>2514</v>
      </c>
      <c r="H66" s="9">
        <f>SUM(H354:H358)</f>
        <v>29000</v>
      </c>
      <c r="I66" s="85">
        <f t="shared" si="68"/>
        <v>-15.451895043731778</v>
      </c>
      <c r="J66" s="89">
        <f t="shared" ref="J66:R66" si="71">SUM(J354:J358)</f>
        <v>30400</v>
      </c>
      <c r="K66" s="9">
        <f t="shared" si="71"/>
        <v>31300</v>
      </c>
      <c r="L66" s="9">
        <f t="shared" si="71"/>
        <v>32200</v>
      </c>
      <c r="M66" s="9">
        <f t="shared" si="71"/>
        <v>33100</v>
      </c>
      <c r="N66" s="9">
        <f t="shared" si="71"/>
        <v>34100</v>
      </c>
      <c r="O66" s="9">
        <f t="shared" si="71"/>
        <v>35100</v>
      </c>
      <c r="P66" s="89">
        <f t="shared" si="71"/>
        <v>36100</v>
      </c>
      <c r="Q66" s="9">
        <f t="shared" si="71"/>
        <v>37100</v>
      </c>
      <c r="R66" s="9">
        <f t="shared" si="71"/>
        <v>38100</v>
      </c>
      <c r="S66" s="47">
        <f t="shared" ref="S66" si="72">SUM(S354:S358)</f>
        <v>39100</v>
      </c>
    </row>
    <row r="67" spans="1:19" ht="12.75" customHeight="1" x14ac:dyDescent="0.2">
      <c r="A67" s="54">
        <f>SUM(A361:A362)</f>
        <v>33600</v>
      </c>
      <c r="B67" s="9">
        <f>SUM(B361:B362)</f>
        <v>15600</v>
      </c>
      <c r="C67" s="9">
        <f>SUM(C361:C362)</f>
        <v>72500</v>
      </c>
      <c r="D67" s="9">
        <f>SUM(D361:D362)</f>
        <v>11100</v>
      </c>
      <c r="E67" s="9">
        <f>SUM(E361:E362)</f>
        <v>16700</v>
      </c>
      <c r="F67" s="167">
        <v>30001</v>
      </c>
      <c r="G67" s="31" t="s">
        <v>6769</v>
      </c>
      <c r="H67" s="9">
        <f>SUM(H361:H362)</f>
        <v>20000</v>
      </c>
      <c r="I67" s="85">
        <f>IF(E67=H67,0,IF(E67=0,100,(H67-E67)/E67*100))</f>
        <v>19.760479041916167</v>
      </c>
      <c r="J67" s="89">
        <f t="shared" ref="J67:S67" si="73">SUM(J361:J362)</f>
        <v>20000</v>
      </c>
      <c r="K67" s="9">
        <f t="shared" si="73"/>
        <v>20500</v>
      </c>
      <c r="L67" s="9">
        <f t="shared" si="73"/>
        <v>21100</v>
      </c>
      <c r="M67" s="9">
        <f t="shared" si="73"/>
        <v>21700</v>
      </c>
      <c r="N67" s="9">
        <f t="shared" si="73"/>
        <v>22300</v>
      </c>
      <c r="O67" s="9">
        <f t="shared" si="73"/>
        <v>22900</v>
      </c>
      <c r="P67" s="89">
        <f t="shared" si="73"/>
        <v>23500</v>
      </c>
      <c r="Q67" s="9">
        <f t="shared" si="73"/>
        <v>24100</v>
      </c>
      <c r="R67" s="9">
        <f t="shared" si="73"/>
        <v>24800</v>
      </c>
      <c r="S67" s="47">
        <f t="shared" si="73"/>
        <v>25500</v>
      </c>
    </row>
    <row r="68" spans="1:19" ht="12.75" customHeight="1" x14ac:dyDescent="0.2">
      <c r="A68" s="54">
        <f>A364</f>
        <v>0</v>
      </c>
      <c r="B68" s="9">
        <f t="shared" ref="B68:E68" si="74">B364</f>
        <v>19400</v>
      </c>
      <c r="C68" s="9">
        <f t="shared" si="74"/>
        <v>107700</v>
      </c>
      <c r="D68" s="9">
        <f t="shared" si="74"/>
        <v>70500</v>
      </c>
      <c r="E68" s="9">
        <f t="shared" si="74"/>
        <v>1800</v>
      </c>
      <c r="F68" s="167">
        <v>30001</v>
      </c>
      <c r="G68" s="634" t="s">
        <v>11923</v>
      </c>
      <c r="H68" s="9">
        <f>H364</f>
        <v>38200</v>
      </c>
      <c r="I68" s="85">
        <f t="shared" ref="I68" si="75">IF(E68=H68,0,IF(E68=0,100,(H68-E68)/E68*100))</f>
        <v>2022.2222222222222</v>
      </c>
      <c r="J68" s="89">
        <f t="shared" ref="J68:S68" si="76">J364</f>
        <v>20000</v>
      </c>
      <c r="K68" s="9">
        <f t="shared" si="76"/>
        <v>20500</v>
      </c>
      <c r="L68" s="9">
        <f t="shared" si="76"/>
        <v>21100</v>
      </c>
      <c r="M68" s="9">
        <f t="shared" si="76"/>
        <v>21700</v>
      </c>
      <c r="N68" s="9">
        <f t="shared" si="76"/>
        <v>22300</v>
      </c>
      <c r="O68" s="9">
        <f t="shared" si="76"/>
        <v>22900</v>
      </c>
      <c r="P68" s="89">
        <f t="shared" si="76"/>
        <v>23500</v>
      </c>
      <c r="Q68" s="9">
        <f t="shared" si="76"/>
        <v>24100</v>
      </c>
      <c r="R68" s="9">
        <f t="shared" si="76"/>
        <v>24800</v>
      </c>
      <c r="S68" s="47">
        <f t="shared" si="76"/>
        <v>25500</v>
      </c>
    </row>
    <row r="69" spans="1:19" ht="12.75" customHeight="1" x14ac:dyDescent="0.2">
      <c r="A69" s="54">
        <f>SUM(A365:A368)</f>
        <v>5500</v>
      </c>
      <c r="B69" s="9">
        <f t="shared" ref="B69:E69" si="77">SUM(B365:B368)</f>
        <v>34900</v>
      </c>
      <c r="C69" s="9">
        <f t="shared" si="77"/>
        <v>300</v>
      </c>
      <c r="D69" s="9">
        <f t="shared" si="77"/>
        <v>19300</v>
      </c>
      <c r="E69" s="9">
        <f t="shared" si="77"/>
        <v>28700</v>
      </c>
      <c r="F69" s="167">
        <v>30001</v>
      </c>
      <c r="G69" s="31" t="s">
        <v>7258</v>
      </c>
      <c r="H69" s="9">
        <f>SUM(H365:H368)</f>
        <v>21300</v>
      </c>
      <c r="I69" s="85">
        <f t="shared" si="68"/>
        <v>-25.78397212543554</v>
      </c>
      <c r="J69" s="89">
        <f t="shared" ref="J69:S69" si="78">SUM(J365:J368)</f>
        <v>0</v>
      </c>
      <c r="K69" s="9">
        <f t="shared" si="78"/>
        <v>0</v>
      </c>
      <c r="L69" s="9">
        <f t="shared" si="78"/>
        <v>0</v>
      </c>
      <c r="M69" s="9">
        <f t="shared" si="78"/>
        <v>0</v>
      </c>
      <c r="N69" s="9">
        <f t="shared" si="78"/>
        <v>0</v>
      </c>
      <c r="O69" s="9">
        <f t="shared" si="78"/>
        <v>0</v>
      </c>
      <c r="P69" s="89">
        <f t="shared" si="78"/>
        <v>0</v>
      </c>
      <c r="Q69" s="9">
        <f t="shared" si="78"/>
        <v>0</v>
      </c>
      <c r="R69" s="9">
        <f t="shared" si="78"/>
        <v>0</v>
      </c>
      <c r="S69" s="47">
        <f t="shared" si="78"/>
        <v>0</v>
      </c>
    </row>
    <row r="70" spans="1:19" ht="12.75" customHeight="1" x14ac:dyDescent="0.2">
      <c r="A70" s="54">
        <f>ROUND(A369,-3)</f>
        <v>15000</v>
      </c>
      <c r="B70" s="9">
        <f>ROUND(B369,-2)</f>
        <v>14700</v>
      </c>
      <c r="C70" s="9">
        <f>C369</f>
        <v>14600</v>
      </c>
      <c r="D70" s="9">
        <f>D369</f>
        <v>8300</v>
      </c>
      <c r="E70" s="9">
        <f>E369</f>
        <v>18700</v>
      </c>
      <c r="F70" s="167">
        <v>30002</v>
      </c>
      <c r="G70" s="31" t="s">
        <v>2849</v>
      </c>
      <c r="H70" s="9">
        <f>H369</f>
        <v>15000</v>
      </c>
      <c r="I70" s="85">
        <f>IF(E70=H70,0,IF(E70=0,100,(H70-E70)/E70*100))</f>
        <v>-19.786096256684495</v>
      </c>
      <c r="J70" s="89">
        <f t="shared" ref="J70:S70" si="79">J369</f>
        <v>15000</v>
      </c>
      <c r="K70" s="9">
        <f t="shared" si="79"/>
        <v>15400</v>
      </c>
      <c r="L70" s="9">
        <f t="shared" si="79"/>
        <v>15800</v>
      </c>
      <c r="M70" s="9">
        <f t="shared" si="79"/>
        <v>16200</v>
      </c>
      <c r="N70" s="9">
        <f t="shared" si="79"/>
        <v>16700</v>
      </c>
      <c r="O70" s="9">
        <f t="shared" si="79"/>
        <v>17200</v>
      </c>
      <c r="P70" s="89">
        <f t="shared" si="79"/>
        <v>17700</v>
      </c>
      <c r="Q70" s="9">
        <f t="shared" si="79"/>
        <v>18200</v>
      </c>
      <c r="R70" s="9">
        <f t="shared" si="79"/>
        <v>18700</v>
      </c>
      <c r="S70" s="47">
        <f t="shared" si="79"/>
        <v>19200</v>
      </c>
    </row>
    <row r="71" spans="1:19" ht="12.75" customHeight="1" x14ac:dyDescent="0.2">
      <c r="A71" s="54">
        <f t="shared" ref="A71:D73" si="80">SUM(A370:A370)</f>
        <v>10500</v>
      </c>
      <c r="B71" s="9">
        <f t="shared" si="80"/>
        <v>9900</v>
      </c>
      <c r="C71" s="9">
        <f t="shared" si="80"/>
        <v>11300</v>
      </c>
      <c r="D71" s="9">
        <f t="shared" si="80"/>
        <v>7400</v>
      </c>
      <c r="E71" s="9">
        <f t="shared" ref="E71" si="81">SUM(E370:E370)</f>
        <v>8800</v>
      </c>
      <c r="F71" s="167">
        <v>30001</v>
      </c>
      <c r="G71" s="31" t="s">
        <v>11924</v>
      </c>
      <c r="H71" s="9">
        <f>SUM(H370:H370)</f>
        <v>15000</v>
      </c>
      <c r="I71" s="85">
        <f t="shared" si="68"/>
        <v>70.454545454545453</v>
      </c>
      <c r="J71" s="89">
        <f t="shared" ref="J71:R71" si="82">SUM(J370:J370)</f>
        <v>15000</v>
      </c>
      <c r="K71" s="9">
        <f t="shared" si="82"/>
        <v>15400</v>
      </c>
      <c r="L71" s="9">
        <f t="shared" si="82"/>
        <v>15800</v>
      </c>
      <c r="M71" s="9">
        <f t="shared" si="82"/>
        <v>16200</v>
      </c>
      <c r="N71" s="9">
        <f t="shared" si="82"/>
        <v>16700</v>
      </c>
      <c r="O71" s="9">
        <f t="shared" si="82"/>
        <v>17200</v>
      </c>
      <c r="P71" s="89">
        <f t="shared" si="82"/>
        <v>17700</v>
      </c>
      <c r="Q71" s="9">
        <f t="shared" si="82"/>
        <v>18200</v>
      </c>
      <c r="R71" s="9">
        <f t="shared" si="82"/>
        <v>18700</v>
      </c>
      <c r="S71" s="47">
        <f t="shared" ref="S71" si="83">SUM(S370:S370)</f>
        <v>19200</v>
      </c>
    </row>
    <row r="72" spans="1:19" ht="12.75" customHeight="1" x14ac:dyDescent="0.2">
      <c r="A72" s="54">
        <f t="shared" si="80"/>
        <v>21700</v>
      </c>
      <c r="B72" s="9">
        <f t="shared" si="80"/>
        <v>41300</v>
      </c>
      <c r="C72" s="9">
        <f t="shared" si="80"/>
        <v>5300</v>
      </c>
      <c r="D72" s="9">
        <f t="shared" si="80"/>
        <v>6100</v>
      </c>
      <c r="E72" s="9">
        <f t="shared" ref="E72" si="84">SUM(E371:E371)</f>
        <v>10800</v>
      </c>
      <c r="F72" s="167">
        <v>30001</v>
      </c>
      <c r="G72" s="31" t="s">
        <v>4695</v>
      </c>
      <c r="H72" s="9">
        <f>SUM(H371:H371)</f>
        <v>15000</v>
      </c>
      <c r="I72" s="85">
        <f t="shared" si="68"/>
        <v>38.888888888888893</v>
      </c>
      <c r="J72" s="89">
        <f t="shared" ref="J72:R72" si="85">SUM(J371:J371)</f>
        <v>15000</v>
      </c>
      <c r="K72" s="9">
        <f t="shared" si="85"/>
        <v>15400</v>
      </c>
      <c r="L72" s="9">
        <f t="shared" si="85"/>
        <v>15800</v>
      </c>
      <c r="M72" s="9">
        <f t="shared" si="85"/>
        <v>16200</v>
      </c>
      <c r="N72" s="9">
        <f t="shared" si="85"/>
        <v>16700</v>
      </c>
      <c r="O72" s="9">
        <f t="shared" si="85"/>
        <v>17200</v>
      </c>
      <c r="P72" s="89">
        <f t="shared" si="85"/>
        <v>17700</v>
      </c>
      <c r="Q72" s="9">
        <f t="shared" si="85"/>
        <v>18200</v>
      </c>
      <c r="R72" s="9">
        <f t="shared" si="85"/>
        <v>18700</v>
      </c>
      <c r="S72" s="47">
        <f t="shared" ref="S72" si="86">SUM(S371:S371)</f>
        <v>19200</v>
      </c>
    </row>
    <row r="73" spans="1:19" ht="12.75" customHeight="1" x14ac:dyDescent="0.2">
      <c r="A73" s="54">
        <f t="shared" si="80"/>
        <v>0</v>
      </c>
      <c r="B73" s="9">
        <f t="shared" si="80"/>
        <v>0</v>
      </c>
      <c r="C73" s="9">
        <f t="shared" si="80"/>
        <v>19400</v>
      </c>
      <c r="D73" s="9">
        <f t="shared" si="80"/>
        <v>2900</v>
      </c>
      <c r="E73" s="9">
        <f>SUM(E372:E372)</f>
        <v>0</v>
      </c>
      <c r="F73" s="167">
        <v>30001</v>
      </c>
      <c r="G73" s="31" t="s">
        <v>11927</v>
      </c>
      <c r="H73" s="9">
        <f>SUM(H372:H372)</f>
        <v>26000</v>
      </c>
      <c r="I73" s="85">
        <f>IF(E73=H73,0,IF(E73=0,100,(H73-E73)/E73*100))</f>
        <v>100</v>
      </c>
      <c r="J73" s="89">
        <f t="shared" ref="J73:S73" si="87">SUM(J372:J372)</f>
        <v>26000</v>
      </c>
      <c r="K73" s="9">
        <f t="shared" si="87"/>
        <v>26700</v>
      </c>
      <c r="L73" s="9">
        <f t="shared" si="87"/>
        <v>27400</v>
      </c>
      <c r="M73" s="9">
        <f t="shared" si="87"/>
        <v>28100</v>
      </c>
      <c r="N73" s="9">
        <f t="shared" si="87"/>
        <v>28900</v>
      </c>
      <c r="O73" s="9">
        <f t="shared" si="87"/>
        <v>29700</v>
      </c>
      <c r="P73" s="89">
        <f t="shared" si="87"/>
        <v>30500</v>
      </c>
      <c r="Q73" s="9">
        <f t="shared" si="87"/>
        <v>31300</v>
      </c>
      <c r="R73" s="9">
        <f t="shared" si="87"/>
        <v>32100</v>
      </c>
      <c r="S73" s="47">
        <f t="shared" si="87"/>
        <v>33000</v>
      </c>
    </row>
    <row r="74" spans="1:19" ht="12.75" customHeight="1" x14ac:dyDescent="0.2">
      <c r="A74" s="54">
        <f>A373</f>
        <v>0</v>
      </c>
      <c r="B74" s="9">
        <f>B373</f>
        <v>0</v>
      </c>
      <c r="C74" s="9">
        <f>C373</f>
        <v>0</v>
      </c>
      <c r="D74" s="9">
        <f>D373</f>
        <v>0</v>
      </c>
      <c r="E74" s="9">
        <f>E373</f>
        <v>25300</v>
      </c>
      <c r="F74" s="167">
        <v>30001</v>
      </c>
      <c r="G74" s="31" t="s">
        <v>6849</v>
      </c>
      <c r="H74" s="9">
        <f>H373</f>
        <v>24000</v>
      </c>
      <c r="I74" s="85">
        <f t="shared" ref="I74" si="88">IF(E74=H74,0,IF(E74=0,100,(H74-E74)/E74*100))</f>
        <v>-5.1383399209486171</v>
      </c>
      <c r="J74" s="89">
        <f t="shared" ref="J74:S74" si="89">J373</f>
        <v>10000</v>
      </c>
      <c r="K74" s="9">
        <f t="shared" si="89"/>
        <v>10000</v>
      </c>
      <c r="L74" s="9">
        <f t="shared" si="89"/>
        <v>10000</v>
      </c>
      <c r="M74" s="9">
        <f t="shared" si="89"/>
        <v>10000</v>
      </c>
      <c r="N74" s="9">
        <f t="shared" si="89"/>
        <v>10000</v>
      </c>
      <c r="O74" s="9">
        <f t="shared" si="89"/>
        <v>10000</v>
      </c>
      <c r="P74" s="89">
        <f t="shared" si="89"/>
        <v>10000</v>
      </c>
      <c r="Q74" s="9">
        <f t="shared" si="89"/>
        <v>10000</v>
      </c>
      <c r="R74" s="9">
        <f t="shared" si="89"/>
        <v>10300</v>
      </c>
      <c r="S74" s="47">
        <f t="shared" si="89"/>
        <v>10600</v>
      </c>
    </row>
    <row r="75" spans="1:19" ht="12.75" customHeight="1" x14ac:dyDescent="0.2">
      <c r="A75" s="54">
        <f t="shared" ref="A75:D75" si="90">SUM(A375:A375)</f>
        <v>0</v>
      </c>
      <c r="B75" s="9">
        <f t="shared" si="90"/>
        <v>0</v>
      </c>
      <c r="C75" s="9">
        <f t="shared" si="90"/>
        <v>0</v>
      </c>
      <c r="D75" s="9">
        <f t="shared" si="90"/>
        <v>0</v>
      </c>
      <c r="E75" s="9">
        <f t="shared" ref="E75" si="91">SUM(E375:E375)</f>
        <v>0</v>
      </c>
      <c r="F75" s="167">
        <v>30001</v>
      </c>
      <c r="G75" s="31" t="s">
        <v>6933</v>
      </c>
      <c r="H75" s="9">
        <f>SUM(H375:H375)</f>
        <v>50000</v>
      </c>
      <c r="I75" s="85">
        <f t="shared" si="68"/>
        <v>100</v>
      </c>
      <c r="J75" s="89">
        <f t="shared" ref="J75:R75" si="92">SUM(J375:J375)</f>
        <v>0</v>
      </c>
      <c r="K75" s="9">
        <f t="shared" si="92"/>
        <v>0</v>
      </c>
      <c r="L75" s="9">
        <f t="shared" si="92"/>
        <v>0</v>
      </c>
      <c r="M75" s="9">
        <f t="shared" si="92"/>
        <v>0</v>
      </c>
      <c r="N75" s="9">
        <f t="shared" si="92"/>
        <v>0</v>
      </c>
      <c r="O75" s="9">
        <f t="shared" si="92"/>
        <v>0</v>
      </c>
      <c r="P75" s="89">
        <f t="shared" si="92"/>
        <v>0</v>
      </c>
      <c r="Q75" s="9">
        <f t="shared" si="92"/>
        <v>0</v>
      </c>
      <c r="R75" s="9">
        <f t="shared" si="92"/>
        <v>0</v>
      </c>
      <c r="S75" s="47">
        <f t="shared" ref="S75" si="93">SUM(S375:S375)</f>
        <v>0</v>
      </c>
    </row>
    <row r="76" spans="1:19" ht="12.75" customHeight="1" x14ac:dyDescent="0.2">
      <c r="A76" s="54">
        <f>SUM(A359:A382)-SUM(A67:A75)</f>
        <v>304000</v>
      </c>
      <c r="B76" s="9">
        <f>SUM(B359:B382)-SUM(B67:B75)</f>
        <v>43100</v>
      </c>
      <c r="C76" s="9">
        <f>SUM(C359:C382)-SUM(C67:C75)</f>
        <v>17000</v>
      </c>
      <c r="D76" s="9">
        <f>SUM(D359:D382)-SUM(D67:D75)</f>
        <v>13300</v>
      </c>
      <c r="E76" s="9">
        <f>SUM(E359:E382)-SUM(E67:E75)</f>
        <v>25500</v>
      </c>
      <c r="F76" s="167">
        <v>30003</v>
      </c>
      <c r="G76" s="31" t="s">
        <v>5922</v>
      </c>
      <c r="H76" s="9">
        <f>SUM(H359:H382)-SUM(H67:H75)</f>
        <v>43800</v>
      </c>
      <c r="I76" s="85">
        <f t="shared" si="68"/>
        <v>71.764705882352942</v>
      </c>
      <c r="J76" s="89">
        <f t="shared" ref="J76:S76" si="94">SUM(J359:J382)-SUM(J67:J75)</f>
        <v>30000</v>
      </c>
      <c r="K76" s="9">
        <f t="shared" si="94"/>
        <v>30800</v>
      </c>
      <c r="L76" s="9">
        <f t="shared" si="94"/>
        <v>31700</v>
      </c>
      <c r="M76" s="9">
        <f t="shared" si="94"/>
        <v>32600</v>
      </c>
      <c r="N76" s="9">
        <f t="shared" si="94"/>
        <v>33500</v>
      </c>
      <c r="O76" s="9">
        <f t="shared" si="94"/>
        <v>34400</v>
      </c>
      <c r="P76" s="89">
        <f t="shared" si="94"/>
        <v>35300</v>
      </c>
      <c r="Q76" s="9">
        <f t="shared" si="94"/>
        <v>36200</v>
      </c>
      <c r="R76" s="9">
        <f t="shared" si="94"/>
        <v>37300</v>
      </c>
      <c r="S76" s="47">
        <f t="shared" si="94"/>
        <v>38400</v>
      </c>
    </row>
    <row r="77" spans="1:19" ht="12.75" customHeight="1" x14ac:dyDescent="0.2">
      <c r="A77" s="54">
        <f>ROUND(SUM(A383:A402),-3)</f>
        <v>38000</v>
      </c>
      <c r="B77" s="9">
        <f>ROUND(SUM(B383:B402),-2)</f>
        <v>55300</v>
      </c>
      <c r="C77" s="9">
        <f>SUM(C383:C402)</f>
        <v>37200</v>
      </c>
      <c r="D77" s="9">
        <f>SUM(D383:D402)</f>
        <v>78000</v>
      </c>
      <c r="E77" s="9">
        <f>SUM(E383:E402)</f>
        <v>71700</v>
      </c>
      <c r="F77" s="167">
        <v>30003</v>
      </c>
      <c r="G77" s="31" t="s">
        <v>6752</v>
      </c>
      <c r="H77" s="9">
        <f>SUM(H383:H402)</f>
        <v>171200</v>
      </c>
      <c r="I77" s="85">
        <f t="shared" si="68"/>
        <v>138.77266387726638</v>
      </c>
      <c r="J77" s="89">
        <f t="shared" ref="J77:R77" si="95">SUM(J383:J402)</f>
        <v>35000</v>
      </c>
      <c r="K77" s="9">
        <f t="shared" si="95"/>
        <v>35900</v>
      </c>
      <c r="L77" s="9">
        <f t="shared" si="95"/>
        <v>36900</v>
      </c>
      <c r="M77" s="9">
        <f t="shared" si="95"/>
        <v>37900</v>
      </c>
      <c r="N77" s="9">
        <f t="shared" si="95"/>
        <v>39000</v>
      </c>
      <c r="O77" s="9">
        <f t="shared" si="95"/>
        <v>40100</v>
      </c>
      <c r="P77" s="89">
        <f t="shared" si="95"/>
        <v>41200</v>
      </c>
      <c r="Q77" s="9">
        <f t="shared" si="95"/>
        <v>42300</v>
      </c>
      <c r="R77" s="9">
        <f t="shared" si="95"/>
        <v>43500</v>
      </c>
      <c r="S77" s="47">
        <f>SUM(S383:S402)</f>
        <v>44700</v>
      </c>
    </row>
    <row r="78" spans="1:19" ht="12.75" customHeight="1" x14ac:dyDescent="0.2">
      <c r="A78" s="54">
        <f>ROUND(SUM(A403:A407),-3)</f>
        <v>7000</v>
      </c>
      <c r="B78" s="9">
        <f>ROUND(SUM(B403:B407),-2)</f>
        <v>0</v>
      </c>
      <c r="C78" s="9">
        <f>SUM(C403:C407)</f>
        <v>22800</v>
      </c>
      <c r="D78" s="9">
        <f>SUM(D403:D407)</f>
        <v>60700</v>
      </c>
      <c r="E78" s="9">
        <f>SUM(E403:E407)</f>
        <v>80400</v>
      </c>
      <c r="F78" s="167">
        <v>30001</v>
      </c>
      <c r="G78" s="31" t="s">
        <v>3584</v>
      </c>
      <c r="H78" s="9">
        <f>SUM(H403:H407)</f>
        <v>20000</v>
      </c>
      <c r="I78" s="85">
        <f t="shared" si="68"/>
        <v>-75.124378109452735</v>
      </c>
      <c r="J78" s="89">
        <f t="shared" ref="J78:R78" si="96">SUM(J403:J407)</f>
        <v>15000</v>
      </c>
      <c r="K78" s="9">
        <f t="shared" si="96"/>
        <v>15400</v>
      </c>
      <c r="L78" s="9">
        <f t="shared" si="96"/>
        <v>15800</v>
      </c>
      <c r="M78" s="9">
        <f t="shared" si="96"/>
        <v>16200</v>
      </c>
      <c r="N78" s="9">
        <f t="shared" si="96"/>
        <v>16700</v>
      </c>
      <c r="O78" s="9">
        <f t="shared" si="96"/>
        <v>17200</v>
      </c>
      <c r="P78" s="89">
        <f t="shared" si="96"/>
        <v>17700</v>
      </c>
      <c r="Q78" s="9">
        <f t="shared" si="96"/>
        <v>18200</v>
      </c>
      <c r="R78" s="9">
        <f t="shared" si="96"/>
        <v>18700</v>
      </c>
      <c r="S78" s="47">
        <f t="shared" ref="S78" si="97">SUM(S403:S407)</f>
        <v>19200</v>
      </c>
    </row>
    <row r="79" spans="1:19" ht="12.75" customHeight="1" thickBot="1" x14ac:dyDescent="0.25">
      <c r="A79" s="54"/>
      <c r="B79" s="9"/>
      <c r="C79" s="9"/>
      <c r="D79" s="9"/>
      <c r="E79" s="9"/>
      <c r="F79" s="469"/>
      <c r="G79" s="46"/>
      <c r="H79" s="9"/>
      <c r="I79" s="85"/>
      <c r="J79" s="89"/>
      <c r="K79" s="9"/>
      <c r="L79" s="9"/>
      <c r="M79" s="9"/>
      <c r="N79" s="9"/>
      <c r="O79" s="9"/>
      <c r="P79" s="89"/>
      <c r="Q79" s="9"/>
      <c r="R79" s="9"/>
      <c r="S79" s="47"/>
    </row>
    <row r="80" spans="1:19" s="39" customFormat="1" ht="12.75" customHeight="1" x14ac:dyDescent="0.2">
      <c r="A80" s="52">
        <f>SUM(A64:A79)</f>
        <v>1270300</v>
      </c>
      <c r="B80" s="16">
        <f>SUM(B64:B79)</f>
        <v>1081200</v>
      </c>
      <c r="C80" s="16">
        <f>SUM(C64:C79)</f>
        <v>1150100</v>
      </c>
      <c r="D80" s="16">
        <f>SUM(D64:D79)</f>
        <v>1205100</v>
      </c>
      <c r="E80" s="16">
        <f>SUM(E64:E79)</f>
        <v>1263000</v>
      </c>
      <c r="F80" s="484"/>
      <c r="G80" s="59" t="s">
        <v>556</v>
      </c>
      <c r="H80" s="16">
        <f>SUM(H64:H79)</f>
        <v>1412500</v>
      </c>
      <c r="I80" s="127">
        <f>IF(E80=H80,0,IF(E80=0,100,(H80-E80)/E80*100))</f>
        <v>11.836896278701504</v>
      </c>
      <c r="J80" s="102">
        <f t="shared" ref="J80:S80" si="98">SUM(J64:J79)</f>
        <v>1176700</v>
      </c>
      <c r="K80" s="16">
        <f t="shared" si="98"/>
        <v>1204500</v>
      </c>
      <c r="L80" s="16">
        <f t="shared" si="98"/>
        <v>1233200</v>
      </c>
      <c r="M80" s="16">
        <f t="shared" si="98"/>
        <v>1262400</v>
      </c>
      <c r="N80" s="16">
        <f t="shared" si="98"/>
        <v>1292900</v>
      </c>
      <c r="O80" s="16">
        <f t="shared" si="98"/>
        <v>1323900</v>
      </c>
      <c r="P80" s="102">
        <f t="shared" si="98"/>
        <v>1355400</v>
      </c>
      <c r="Q80" s="16">
        <f t="shared" si="98"/>
        <v>1387600</v>
      </c>
      <c r="R80" s="16">
        <f t="shared" si="98"/>
        <v>1421100</v>
      </c>
      <c r="S80" s="2342">
        <f t="shared" si="98"/>
        <v>1455300</v>
      </c>
    </row>
    <row r="81" spans="1:19" ht="12.75" customHeight="1" x14ac:dyDescent="0.2">
      <c r="A81" s="54"/>
      <c r="B81" s="9"/>
      <c r="C81" s="9"/>
      <c r="D81" s="9"/>
      <c r="E81" s="9"/>
      <c r="F81" s="483"/>
      <c r="G81" s="55"/>
      <c r="H81" s="9"/>
      <c r="I81" s="85"/>
      <c r="J81" s="89"/>
      <c r="K81" s="9"/>
      <c r="L81" s="9"/>
      <c r="M81" s="9"/>
      <c r="N81" s="9"/>
      <c r="O81" s="9"/>
      <c r="P81" s="89"/>
      <c r="Q81" s="9"/>
      <c r="R81" s="9"/>
      <c r="S81" s="47"/>
    </row>
    <row r="82" spans="1:19" s="39" customFormat="1" ht="12.75" customHeight="1" x14ac:dyDescent="0.2">
      <c r="A82" s="24">
        <f>A61-A80</f>
        <v>-928400</v>
      </c>
      <c r="B82" s="21">
        <f>B61-B80</f>
        <v>-714500</v>
      </c>
      <c r="C82" s="21">
        <f>C61-C80</f>
        <v>-699900</v>
      </c>
      <c r="D82" s="21">
        <f>D61-D80</f>
        <v>-846400</v>
      </c>
      <c r="E82" s="21">
        <f>E61-E80</f>
        <v>-960800</v>
      </c>
      <c r="F82" s="484"/>
      <c r="G82" s="1160" t="s">
        <v>1002</v>
      </c>
      <c r="H82" s="21">
        <f>H61-H80</f>
        <v>-1205600</v>
      </c>
      <c r="I82" s="126">
        <f>IF(E82=H82,0,IF(E82=0,100,(H82-E82)/E82*100))</f>
        <v>25.478767693588679</v>
      </c>
      <c r="J82" s="75">
        <f t="shared" ref="J82:S82" si="99">J61-J80</f>
        <v>-944200</v>
      </c>
      <c r="K82" s="21">
        <f t="shared" si="99"/>
        <v>-824000</v>
      </c>
      <c r="L82" s="21">
        <f t="shared" si="99"/>
        <v>-1084500</v>
      </c>
      <c r="M82" s="21">
        <f t="shared" si="99"/>
        <v>-1115500</v>
      </c>
      <c r="N82" s="21">
        <f t="shared" si="99"/>
        <v>-1121800</v>
      </c>
      <c r="O82" s="21">
        <f t="shared" si="99"/>
        <v>-1062100</v>
      </c>
      <c r="P82" s="75">
        <f t="shared" si="99"/>
        <v>-961900</v>
      </c>
      <c r="Q82" s="21">
        <f t="shared" si="99"/>
        <v>-855400</v>
      </c>
      <c r="R82" s="21">
        <f t="shared" si="99"/>
        <v>-744600</v>
      </c>
      <c r="S82" s="86">
        <f t="shared" si="99"/>
        <v>-627000</v>
      </c>
    </row>
    <row r="83" spans="1:19" ht="12.75" customHeight="1" x14ac:dyDescent="0.2">
      <c r="A83" s="54">
        <v>0</v>
      </c>
      <c r="B83" s="9">
        <v>0</v>
      </c>
      <c r="C83" s="9">
        <v>0</v>
      </c>
      <c r="D83" s="9">
        <v>0</v>
      </c>
      <c r="E83" s="9">
        <v>0</v>
      </c>
      <c r="F83" s="483"/>
      <c r="G83" s="1462" t="s">
        <v>1943</v>
      </c>
      <c r="H83" s="9">
        <v>0</v>
      </c>
      <c r="I83" s="85">
        <f>IF(E83=H83,0,IF(E83=0,100,(H83-E83)/E83*100))</f>
        <v>0</v>
      </c>
      <c r="J83" s="89">
        <v>0</v>
      </c>
      <c r="K83" s="9">
        <v>0</v>
      </c>
      <c r="L83" s="9">
        <v>0</v>
      </c>
      <c r="M83" s="9">
        <v>0</v>
      </c>
      <c r="N83" s="9">
        <v>0</v>
      </c>
      <c r="O83" s="9">
        <v>0</v>
      </c>
      <c r="P83" s="89">
        <v>0</v>
      </c>
      <c r="Q83" s="9">
        <v>0</v>
      </c>
      <c r="R83" s="9">
        <v>0</v>
      </c>
      <c r="S83" s="47">
        <v>0</v>
      </c>
    </row>
    <row r="84" spans="1:19" s="39" customFormat="1" ht="12.75" customHeight="1" x14ac:dyDescent="0.2">
      <c r="A84" s="128">
        <f>A82+A83</f>
        <v>-928400</v>
      </c>
      <c r="B84" s="280">
        <f>B82+B83</f>
        <v>-714500</v>
      </c>
      <c r="C84" s="280">
        <f>C82+C83</f>
        <v>-699900</v>
      </c>
      <c r="D84" s="280">
        <f>D82+D83</f>
        <v>-846400</v>
      </c>
      <c r="E84" s="280">
        <f>E82+E83</f>
        <v>-960800</v>
      </c>
      <c r="F84" s="485"/>
      <c r="G84" s="1166" t="s">
        <v>1659</v>
      </c>
      <c r="H84" s="280">
        <f>H82+H83</f>
        <v>-1205600</v>
      </c>
      <c r="I84" s="278">
        <f>IF(E84=H84,0,IF(E84=0,100,(H84-E84)/E84*100))</f>
        <v>25.478767693588679</v>
      </c>
      <c r="J84" s="266">
        <f t="shared" ref="J84:R84" si="100">J82+J83</f>
        <v>-944200</v>
      </c>
      <c r="K84" s="280">
        <f t="shared" si="100"/>
        <v>-824000</v>
      </c>
      <c r="L84" s="280">
        <f t="shared" si="100"/>
        <v>-1084500</v>
      </c>
      <c r="M84" s="280">
        <f t="shared" si="100"/>
        <v>-1115500</v>
      </c>
      <c r="N84" s="280">
        <f t="shared" si="100"/>
        <v>-1121800</v>
      </c>
      <c r="O84" s="280">
        <f t="shared" si="100"/>
        <v>-1062100</v>
      </c>
      <c r="P84" s="266">
        <f t="shared" si="100"/>
        <v>-961900</v>
      </c>
      <c r="Q84" s="280">
        <f t="shared" si="100"/>
        <v>-855400</v>
      </c>
      <c r="R84" s="280">
        <f t="shared" si="100"/>
        <v>-744600</v>
      </c>
      <c r="S84" s="2343">
        <f t="shared" ref="S84" si="101">S82+S83</f>
        <v>-627000</v>
      </c>
    </row>
    <row r="85" spans="1:19" ht="12.75" customHeight="1" thickBot="1" x14ac:dyDescent="0.25">
      <c r="A85" s="118"/>
      <c r="B85" s="23"/>
      <c r="C85" s="23"/>
      <c r="D85" s="23"/>
      <c r="E85" s="23"/>
      <c r="F85" s="486"/>
      <c r="G85" s="1471"/>
      <c r="H85" s="68"/>
      <c r="I85" s="87"/>
      <c r="J85" s="42"/>
      <c r="K85" s="68"/>
      <c r="L85" s="68"/>
      <c r="M85" s="68"/>
      <c r="N85" s="68"/>
      <c r="O85" s="68"/>
      <c r="P85" s="42"/>
      <c r="Q85" s="68"/>
      <c r="R85" s="68"/>
      <c r="S85" s="108"/>
    </row>
    <row r="86" spans="1:19" ht="12.75" customHeight="1" thickTop="1" x14ac:dyDescent="0.2">
      <c r="A86" s="270"/>
      <c r="B86" s="109"/>
      <c r="C86" s="109"/>
      <c r="D86" s="109"/>
      <c r="E86" s="109"/>
      <c r="F86" s="487"/>
      <c r="G86" s="455"/>
      <c r="H86" s="74"/>
      <c r="I86" s="352"/>
      <c r="J86" s="111"/>
      <c r="K86" s="74"/>
      <c r="L86" s="74"/>
      <c r="M86" s="74"/>
      <c r="N86" s="74"/>
      <c r="O86" s="74"/>
      <c r="P86" s="111"/>
      <c r="Q86" s="74"/>
      <c r="R86" s="74"/>
      <c r="S86" s="110"/>
    </row>
    <row r="87" spans="1:19" ht="12.75" customHeight="1" x14ac:dyDescent="0.2">
      <c r="A87" s="24"/>
      <c r="B87" s="21"/>
      <c r="C87" s="21"/>
      <c r="D87" s="21"/>
      <c r="E87" s="21"/>
      <c r="F87" s="468"/>
      <c r="G87" s="1160" t="s">
        <v>192</v>
      </c>
      <c r="H87" s="9"/>
      <c r="I87" s="126"/>
      <c r="J87" s="89"/>
      <c r="K87" s="9"/>
      <c r="L87" s="9"/>
      <c r="M87" s="9"/>
      <c r="N87" s="9"/>
      <c r="O87" s="9"/>
      <c r="P87" s="89"/>
      <c r="Q87" s="9"/>
      <c r="R87" s="9"/>
      <c r="S87" s="61"/>
    </row>
    <row r="88" spans="1:19" ht="12.75" customHeight="1" x14ac:dyDescent="0.2">
      <c r="A88" s="24"/>
      <c r="B88" s="21"/>
      <c r="C88" s="21"/>
      <c r="D88" s="21"/>
      <c r="E88" s="21"/>
      <c r="F88" s="468"/>
      <c r="G88" s="260"/>
      <c r="H88" s="9"/>
      <c r="I88" s="126"/>
      <c r="J88" s="89"/>
      <c r="K88" s="9"/>
      <c r="L88" s="9"/>
      <c r="M88" s="9"/>
      <c r="N88" s="9"/>
      <c r="O88" s="9"/>
      <c r="P88" s="89"/>
      <c r="Q88" s="9"/>
      <c r="R88" s="9"/>
      <c r="S88" s="61"/>
    </row>
    <row r="89" spans="1:19" ht="12.75" customHeight="1" x14ac:dyDescent="0.2">
      <c r="A89" s="54">
        <f>ROUND(A416,-3)</f>
        <v>0</v>
      </c>
      <c r="B89" s="9">
        <f t="shared" ref="B89:D93" si="102">B416</f>
        <v>0</v>
      </c>
      <c r="C89" s="9">
        <f t="shared" si="102"/>
        <v>0</v>
      </c>
      <c r="D89" s="9">
        <f t="shared" si="102"/>
        <v>0</v>
      </c>
      <c r="E89" s="9">
        <f t="shared" ref="E89:E93" si="103">E416</f>
        <v>0</v>
      </c>
      <c r="F89" s="468"/>
      <c r="G89" s="257" t="s">
        <v>1759</v>
      </c>
      <c r="H89" s="9">
        <f>H416</f>
        <v>0</v>
      </c>
      <c r="I89" s="85"/>
      <c r="J89" s="89">
        <f t="shared" ref="J89:R89" si="104">J416</f>
        <v>0</v>
      </c>
      <c r="K89" s="9">
        <f t="shared" si="104"/>
        <v>0</v>
      </c>
      <c r="L89" s="9">
        <f t="shared" si="104"/>
        <v>0</v>
      </c>
      <c r="M89" s="9">
        <f t="shared" si="104"/>
        <v>0</v>
      </c>
      <c r="N89" s="9">
        <f t="shared" si="104"/>
        <v>0</v>
      </c>
      <c r="O89" s="9">
        <f t="shared" si="104"/>
        <v>0</v>
      </c>
      <c r="P89" s="89">
        <f t="shared" si="104"/>
        <v>0</v>
      </c>
      <c r="Q89" s="9">
        <f t="shared" si="104"/>
        <v>0</v>
      </c>
      <c r="R89" s="9">
        <f t="shared" si="104"/>
        <v>0</v>
      </c>
      <c r="S89" s="47">
        <f t="shared" ref="S89" si="105">S416</f>
        <v>0</v>
      </c>
    </row>
    <row r="90" spans="1:19" ht="12.75" customHeight="1" x14ac:dyDescent="0.2">
      <c r="A90" s="54">
        <f>ROUND(A417,-3)</f>
        <v>3460000</v>
      </c>
      <c r="B90" s="9">
        <f t="shared" si="102"/>
        <v>2729700</v>
      </c>
      <c r="C90" s="9">
        <f t="shared" si="102"/>
        <v>3392100</v>
      </c>
      <c r="D90" s="9">
        <f t="shared" si="102"/>
        <v>2658200</v>
      </c>
      <c r="E90" s="9">
        <f t="shared" si="103"/>
        <v>2773200</v>
      </c>
      <c r="F90" s="2214"/>
      <c r="G90" s="257" t="s">
        <v>1909</v>
      </c>
      <c r="H90" s="9">
        <f>H417</f>
        <v>4191000</v>
      </c>
      <c r="I90" s="85"/>
      <c r="J90" s="89">
        <f t="shared" ref="J90:R90" si="106">J417</f>
        <v>7387500</v>
      </c>
      <c r="K90" s="9">
        <f t="shared" si="106"/>
        <v>7714500</v>
      </c>
      <c r="L90" s="9">
        <f t="shared" si="106"/>
        <v>13665500</v>
      </c>
      <c r="M90" s="9">
        <f t="shared" si="106"/>
        <v>14000500</v>
      </c>
      <c r="N90" s="9">
        <f t="shared" si="106"/>
        <v>6370500</v>
      </c>
      <c r="O90" s="9">
        <f t="shared" si="106"/>
        <v>6616000</v>
      </c>
      <c r="P90" s="89">
        <f t="shared" si="106"/>
        <v>6905500</v>
      </c>
      <c r="Q90" s="9">
        <f t="shared" si="106"/>
        <v>7206000</v>
      </c>
      <c r="R90" s="9">
        <f t="shared" si="106"/>
        <v>7517000</v>
      </c>
      <c r="S90" s="47">
        <f t="shared" ref="S90" si="107">S417</f>
        <v>7839500</v>
      </c>
    </row>
    <row r="91" spans="1:19" ht="12.75" customHeight="1" x14ac:dyDescent="0.2">
      <c r="A91" s="54">
        <f>ROUND(A418,-3)</f>
        <v>294000</v>
      </c>
      <c r="B91" s="9">
        <f t="shared" si="102"/>
        <v>220400</v>
      </c>
      <c r="C91" s="9">
        <f t="shared" si="102"/>
        <v>286700</v>
      </c>
      <c r="D91" s="9">
        <f t="shared" si="102"/>
        <v>239100</v>
      </c>
      <c r="E91" s="9">
        <f t="shared" si="103"/>
        <v>185200</v>
      </c>
      <c r="F91" s="468"/>
      <c r="G91" s="257" t="s">
        <v>2309</v>
      </c>
      <c r="H91" s="9">
        <f>H418</f>
        <v>196000</v>
      </c>
      <c r="I91" s="85"/>
      <c r="J91" s="89">
        <f t="shared" ref="J91:R91" si="108">J418</f>
        <v>10000</v>
      </c>
      <c r="K91" s="9">
        <f t="shared" si="108"/>
        <v>10000</v>
      </c>
      <c r="L91" s="9">
        <f t="shared" si="108"/>
        <v>10000</v>
      </c>
      <c r="M91" s="9">
        <f t="shared" si="108"/>
        <v>10000</v>
      </c>
      <c r="N91" s="9">
        <f t="shared" si="108"/>
        <v>10000</v>
      </c>
      <c r="O91" s="9">
        <f t="shared" si="108"/>
        <v>10000</v>
      </c>
      <c r="P91" s="89">
        <f t="shared" si="108"/>
        <v>10000</v>
      </c>
      <c r="Q91" s="9">
        <f t="shared" si="108"/>
        <v>10000</v>
      </c>
      <c r="R91" s="9">
        <f t="shared" si="108"/>
        <v>10300</v>
      </c>
      <c r="S91" s="47">
        <f t="shared" ref="S91" si="109">S418</f>
        <v>10600</v>
      </c>
    </row>
    <row r="92" spans="1:19" ht="12.75" customHeight="1" x14ac:dyDescent="0.2">
      <c r="A92" s="54">
        <f>ROUND(A419,-3)</f>
        <v>2922000</v>
      </c>
      <c r="B92" s="9">
        <f t="shared" si="102"/>
        <v>2268800</v>
      </c>
      <c r="C92" s="9">
        <f t="shared" si="102"/>
        <v>2924000</v>
      </c>
      <c r="D92" s="9">
        <f t="shared" si="102"/>
        <v>2226100</v>
      </c>
      <c r="E92" s="9">
        <f t="shared" si="103"/>
        <v>2348300</v>
      </c>
      <c r="F92" s="468"/>
      <c r="G92" s="257" t="s">
        <v>5847</v>
      </c>
      <c r="H92" s="9">
        <f>H419</f>
        <v>4049000</v>
      </c>
      <c r="I92" s="85"/>
      <c r="J92" s="89">
        <f t="shared" ref="J92:R92" si="110">J419</f>
        <v>7192000</v>
      </c>
      <c r="K92" s="9">
        <f t="shared" si="110"/>
        <v>7372000</v>
      </c>
      <c r="L92" s="9">
        <f t="shared" si="110"/>
        <v>13556000</v>
      </c>
      <c r="M92" s="9">
        <f t="shared" si="110"/>
        <v>13894000</v>
      </c>
      <c r="N92" s="9">
        <f t="shared" si="110"/>
        <v>6241000</v>
      </c>
      <c r="O92" s="9">
        <f t="shared" si="110"/>
        <v>6397000</v>
      </c>
      <c r="P92" s="89">
        <f t="shared" si="110"/>
        <v>6556000</v>
      </c>
      <c r="Q92" s="9">
        <f t="shared" si="110"/>
        <v>6719000</v>
      </c>
      <c r="R92" s="9">
        <f t="shared" si="110"/>
        <v>6887000</v>
      </c>
      <c r="S92" s="47">
        <f t="shared" ref="S92" si="111">S419</f>
        <v>7059000</v>
      </c>
    </row>
    <row r="93" spans="1:19" ht="12.75" customHeight="1" x14ac:dyDescent="0.2">
      <c r="A93" s="54">
        <f>ROUND(A420,-3)</f>
        <v>0</v>
      </c>
      <c r="B93" s="9">
        <f t="shared" si="102"/>
        <v>0</v>
      </c>
      <c r="C93" s="9">
        <f t="shared" si="102"/>
        <v>0</v>
      </c>
      <c r="D93" s="9">
        <f t="shared" si="102"/>
        <v>0</v>
      </c>
      <c r="E93" s="9">
        <f t="shared" si="103"/>
        <v>0</v>
      </c>
      <c r="F93" s="468"/>
      <c r="G93" s="257" t="s">
        <v>958</v>
      </c>
      <c r="H93" s="9">
        <f>H420</f>
        <v>0</v>
      </c>
      <c r="I93" s="85"/>
      <c r="J93" s="89">
        <f t="shared" ref="J93:R93" si="112">J420</f>
        <v>0</v>
      </c>
      <c r="K93" s="9">
        <f t="shared" si="112"/>
        <v>0</v>
      </c>
      <c r="L93" s="9">
        <f t="shared" si="112"/>
        <v>0</v>
      </c>
      <c r="M93" s="9">
        <f t="shared" si="112"/>
        <v>0</v>
      </c>
      <c r="N93" s="9">
        <f t="shared" si="112"/>
        <v>0</v>
      </c>
      <c r="O93" s="9">
        <f t="shared" si="112"/>
        <v>0</v>
      </c>
      <c r="P93" s="89">
        <f t="shared" si="112"/>
        <v>0</v>
      </c>
      <c r="Q93" s="9">
        <f t="shared" si="112"/>
        <v>0</v>
      </c>
      <c r="R93" s="9">
        <f t="shared" si="112"/>
        <v>0</v>
      </c>
      <c r="S93" s="47">
        <f t="shared" ref="S93" si="113">S420</f>
        <v>0</v>
      </c>
    </row>
    <row r="94" spans="1:19" ht="12.75" customHeight="1" x14ac:dyDescent="0.2">
      <c r="A94" s="54"/>
      <c r="B94" s="9"/>
      <c r="C94" s="9"/>
      <c r="D94" s="9"/>
      <c r="E94" s="9"/>
      <c r="F94" s="468"/>
      <c r="G94" s="361"/>
      <c r="H94" s="9"/>
      <c r="I94" s="85"/>
      <c r="J94" s="89"/>
      <c r="K94" s="9"/>
      <c r="L94" s="9"/>
      <c r="M94" s="9"/>
      <c r="N94" s="9"/>
      <c r="O94" s="9"/>
      <c r="P94" s="89"/>
      <c r="Q94" s="9"/>
      <c r="R94" s="9"/>
      <c r="S94" s="61"/>
    </row>
    <row r="95" spans="1:19" s="39" customFormat="1" ht="12.75" customHeight="1" x14ac:dyDescent="0.2">
      <c r="A95" s="128">
        <f>A84-A89-A90+A91++A92-A93</f>
        <v>-1172400</v>
      </c>
      <c r="B95" s="280">
        <f>B84-B89-B90+B91++B92-B93</f>
        <v>-955000</v>
      </c>
      <c r="C95" s="280">
        <f>C84-C89-C90+C91++C92-C93</f>
        <v>-881300</v>
      </c>
      <c r="D95" s="280">
        <f>D84-D89-D90+D91++D92-D93</f>
        <v>-1039400</v>
      </c>
      <c r="E95" s="280">
        <f>E84-E89-E90+E91++E92-E93</f>
        <v>-1200500</v>
      </c>
      <c r="F95" s="488"/>
      <c r="G95" s="363" t="s">
        <v>2447</v>
      </c>
      <c r="H95" s="280">
        <f>H84-H89-H90+H91++H92-H93</f>
        <v>-1151600</v>
      </c>
      <c r="I95" s="278">
        <f>IF(E95=H95,0,IF(E95=0,100,(H95-E95)/E95*100))</f>
        <v>-4.0733027905039565</v>
      </c>
      <c r="J95" s="266">
        <f t="shared" ref="J95:R95" si="114">J84-J89-J90+J91++J92-J93</f>
        <v>-1129700</v>
      </c>
      <c r="K95" s="280">
        <f t="shared" si="114"/>
        <v>-1156500</v>
      </c>
      <c r="L95" s="280">
        <f t="shared" si="114"/>
        <v>-1184000</v>
      </c>
      <c r="M95" s="280">
        <f t="shared" si="114"/>
        <v>-1212000</v>
      </c>
      <c r="N95" s="280">
        <f t="shared" si="114"/>
        <v>-1241300</v>
      </c>
      <c r="O95" s="280">
        <f t="shared" si="114"/>
        <v>-1271100</v>
      </c>
      <c r="P95" s="266">
        <f t="shared" si="114"/>
        <v>-1301400</v>
      </c>
      <c r="Q95" s="280">
        <f t="shared" si="114"/>
        <v>-1332400</v>
      </c>
      <c r="R95" s="280">
        <f t="shared" si="114"/>
        <v>-1364300</v>
      </c>
      <c r="S95" s="282">
        <f t="shared" ref="S95" si="115">S84-S89-S90+S91++S92-S93</f>
        <v>-1396900</v>
      </c>
    </row>
    <row r="96" spans="1:19" ht="12.75" customHeight="1" thickBot="1" x14ac:dyDescent="0.25">
      <c r="A96" s="26"/>
      <c r="B96" s="37"/>
      <c r="C96" s="37"/>
      <c r="D96" s="37"/>
      <c r="E96" s="37"/>
      <c r="F96" s="492"/>
      <c r="G96" s="259"/>
      <c r="H96" s="23"/>
      <c r="I96" s="275"/>
      <c r="J96" s="113"/>
      <c r="K96" s="23"/>
      <c r="L96" s="23"/>
      <c r="M96" s="23"/>
      <c r="N96" s="23"/>
      <c r="O96" s="23"/>
      <c r="P96" s="113"/>
      <c r="Q96" s="23"/>
      <c r="R96" s="23"/>
      <c r="S96" s="112"/>
    </row>
    <row r="97" spans="1:19" ht="12.75" customHeight="1" thickTop="1" thickBot="1" x14ac:dyDescent="0.25">
      <c r="A97" s="27"/>
      <c r="B97" s="27"/>
      <c r="C97" s="27"/>
      <c r="D97" s="27"/>
      <c r="E97" s="27"/>
      <c r="F97" s="471"/>
      <c r="G97" s="84"/>
      <c r="H97" s="46"/>
      <c r="I97" s="2234"/>
      <c r="J97" s="46"/>
      <c r="K97" s="46"/>
      <c r="L97" s="46"/>
      <c r="M97" s="46"/>
      <c r="N97" s="46"/>
      <c r="O97" s="46"/>
      <c r="P97" s="46"/>
      <c r="Q97" s="46"/>
      <c r="R97" s="46"/>
      <c r="S97" s="46"/>
    </row>
    <row r="98" spans="1:19" s="38" customFormat="1" ht="19.5" thickTop="1" thickBot="1" x14ac:dyDescent="0.3">
      <c r="A98" s="2588" t="s">
        <v>6919</v>
      </c>
      <c r="B98" s="2589"/>
      <c r="C98" s="2589"/>
      <c r="D98" s="2589"/>
      <c r="E98" s="2589"/>
      <c r="F98" s="2589"/>
      <c r="G98" s="2589"/>
      <c r="H98" s="2589"/>
      <c r="I98" s="2589"/>
      <c r="J98" s="2589"/>
      <c r="K98" s="2589"/>
      <c r="L98" s="2589"/>
      <c r="M98" s="2589"/>
      <c r="N98" s="2589"/>
      <c r="O98" s="2589"/>
      <c r="P98" s="2589"/>
      <c r="Q98" s="2589"/>
      <c r="R98" s="2589"/>
      <c r="S98" s="2590"/>
    </row>
    <row r="99" spans="1:19" s="39" customFormat="1" ht="12.75" customHeight="1" x14ac:dyDescent="0.2">
      <c r="A99" s="2591" t="s">
        <v>1824</v>
      </c>
      <c r="B99" s="2577"/>
      <c r="C99" s="2577"/>
      <c r="D99" s="2577"/>
      <c r="E99" s="2592" t="s">
        <v>2215</v>
      </c>
      <c r="F99" s="2231" t="s">
        <v>2616</v>
      </c>
      <c r="G99" s="188" t="s">
        <v>2213</v>
      </c>
      <c r="H99" s="2576" t="s">
        <v>2215</v>
      </c>
      <c r="I99" s="2577"/>
      <c r="J99" s="2577"/>
      <c r="K99" s="2577"/>
      <c r="L99" s="2577"/>
      <c r="M99" s="2577"/>
      <c r="N99" s="2577"/>
      <c r="O99" s="2577"/>
      <c r="P99" s="2577"/>
      <c r="Q99" s="2577"/>
      <c r="R99" s="2577"/>
      <c r="S99" s="2578"/>
    </row>
    <row r="100" spans="1:19" ht="12.75" customHeight="1" thickBot="1" x14ac:dyDescent="0.25">
      <c r="A100" s="1011" t="str">
        <f t="shared" ref="A100:F100" si="116">A51</f>
        <v>2012/13</v>
      </c>
      <c r="B100" s="28" t="str">
        <f t="shared" si="116"/>
        <v>2013/14</v>
      </c>
      <c r="C100" s="40" t="str">
        <f t="shared" si="116"/>
        <v>2014/15</v>
      </c>
      <c r="D100" s="40" t="str">
        <f t="shared" si="116"/>
        <v>2015/16</v>
      </c>
      <c r="E100" s="40" t="str">
        <f t="shared" si="116"/>
        <v>2016/17</v>
      </c>
      <c r="F100" s="2071" t="str">
        <f t="shared" si="116"/>
        <v>ACCOUNT</v>
      </c>
      <c r="G100" s="41"/>
      <c r="H100" s="40" t="str">
        <f t="shared" ref="H100:S100" si="117">H51</f>
        <v>2017/18</v>
      </c>
      <c r="I100" s="1258" t="str">
        <f t="shared" si="117"/>
        <v>%</v>
      </c>
      <c r="J100" s="1257" t="str">
        <f t="shared" si="117"/>
        <v>2018/19</v>
      </c>
      <c r="K100" s="205" t="str">
        <f t="shared" si="117"/>
        <v>2019/20</v>
      </c>
      <c r="L100" s="40" t="str">
        <f t="shared" si="117"/>
        <v>2020/21</v>
      </c>
      <c r="M100" s="40" t="str">
        <f t="shared" si="117"/>
        <v>2021/22</v>
      </c>
      <c r="N100" s="40" t="str">
        <f t="shared" si="117"/>
        <v>2022/23</v>
      </c>
      <c r="O100" s="40" t="str">
        <f t="shared" si="117"/>
        <v>2023/24</v>
      </c>
      <c r="P100" s="40" t="str">
        <f t="shared" si="117"/>
        <v>2024/25</v>
      </c>
      <c r="Q100" s="28" t="str">
        <f t="shared" si="117"/>
        <v>2025/26</v>
      </c>
      <c r="R100" s="28" t="str">
        <f t="shared" si="117"/>
        <v>2026/27</v>
      </c>
      <c r="S100" s="1620" t="str">
        <f t="shared" si="117"/>
        <v>2027/28</v>
      </c>
    </row>
    <row r="101" spans="1:19" ht="12.75" customHeight="1" x14ac:dyDescent="0.2">
      <c r="A101" s="54"/>
      <c r="B101" s="9"/>
      <c r="C101" s="9"/>
      <c r="D101" s="9"/>
      <c r="E101" s="9"/>
      <c r="F101" s="469"/>
      <c r="G101" s="27"/>
      <c r="H101" s="9"/>
      <c r="I101" s="85"/>
      <c r="J101" s="89"/>
      <c r="K101" s="9"/>
      <c r="L101" s="9"/>
      <c r="M101" s="9"/>
      <c r="N101" s="9"/>
      <c r="O101" s="9"/>
      <c r="P101" s="9"/>
      <c r="Q101" s="9"/>
      <c r="R101" s="9"/>
      <c r="S101" s="61"/>
    </row>
    <row r="102" spans="1:19" ht="12.75" customHeight="1" x14ac:dyDescent="0.2">
      <c r="A102" s="54"/>
      <c r="B102" s="9"/>
      <c r="C102" s="9"/>
      <c r="D102" s="9"/>
      <c r="E102" s="9"/>
      <c r="F102" s="469"/>
      <c r="G102" s="91" t="s">
        <v>1056</v>
      </c>
      <c r="H102" s="9"/>
      <c r="I102" s="85"/>
      <c r="J102" s="89"/>
      <c r="K102" s="9"/>
      <c r="L102" s="9"/>
      <c r="M102" s="9"/>
      <c r="N102" s="9"/>
      <c r="O102" s="9"/>
      <c r="P102" s="9"/>
      <c r="Q102" s="9"/>
      <c r="R102" s="9"/>
      <c r="S102" s="61"/>
    </row>
    <row r="103" spans="1:19" ht="12.75" customHeight="1" x14ac:dyDescent="0.2">
      <c r="A103" s="54"/>
      <c r="B103" s="9"/>
      <c r="C103" s="9"/>
      <c r="D103" s="9"/>
      <c r="E103" s="9"/>
      <c r="F103" s="469"/>
      <c r="G103" s="27" t="s">
        <v>2829</v>
      </c>
      <c r="H103" s="9"/>
      <c r="I103" s="85"/>
      <c r="J103" s="89"/>
      <c r="K103" s="9"/>
      <c r="L103" s="9"/>
      <c r="M103" s="9"/>
      <c r="N103" s="9"/>
      <c r="O103" s="9"/>
      <c r="P103" s="9"/>
      <c r="Q103" s="9"/>
      <c r="R103" s="9"/>
      <c r="S103" s="61"/>
    </row>
    <row r="104" spans="1:19" ht="12.75" customHeight="1" x14ac:dyDescent="0.2">
      <c r="A104" s="54">
        <f>ROUND(SUM(A431:A432),-3)</f>
        <v>113000</v>
      </c>
      <c r="B104" s="9">
        <f>ROUND(SUM(B431:B432),-2)</f>
        <v>120600</v>
      </c>
      <c r="C104" s="9">
        <f>SUM(C431:C432)</f>
        <v>132500</v>
      </c>
      <c r="D104" s="9">
        <f>SUM(D431:D432)</f>
        <v>139400</v>
      </c>
      <c r="E104" s="9">
        <f>SUM(E431:E432)</f>
        <v>136800</v>
      </c>
      <c r="F104" s="167">
        <v>26082</v>
      </c>
      <c r="G104" s="31" t="s">
        <v>3617</v>
      </c>
      <c r="H104" s="9">
        <f>SUM(H431:H432)</f>
        <v>134000</v>
      </c>
      <c r="I104" s="85">
        <f>IF(E104=H104,0,IF(E104=0,100,(H104-E104)/E104*100))</f>
        <v>-2.0467836257309941</v>
      </c>
      <c r="J104" s="89">
        <f t="shared" ref="J104:S104" si="118">SUM(J431:J432)</f>
        <v>141000</v>
      </c>
      <c r="K104" s="9">
        <f t="shared" si="118"/>
        <v>144600</v>
      </c>
      <c r="L104" s="9">
        <f t="shared" si="118"/>
        <v>148300</v>
      </c>
      <c r="M104" s="9">
        <f t="shared" si="118"/>
        <v>152100</v>
      </c>
      <c r="N104" s="9">
        <f t="shared" si="118"/>
        <v>156000</v>
      </c>
      <c r="O104" s="9">
        <f t="shared" si="118"/>
        <v>160000</v>
      </c>
      <c r="P104" s="9">
        <f t="shared" si="118"/>
        <v>164100</v>
      </c>
      <c r="Q104" s="9">
        <f t="shared" si="118"/>
        <v>168300</v>
      </c>
      <c r="R104" s="9">
        <f t="shared" si="118"/>
        <v>172600</v>
      </c>
      <c r="S104" s="47">
        <f t="shared" si="118"/>
        <v>177000</v>
      </c>
    </row>
    <row r="105" spans="1:19" ht="12.75" customHeight="1" x14ac:dyDescent="0.2">
      <c r="A105" s="54">
        <f>ROUND(SUM(A433),-3)</f>
        <v>0</v>
      </c>
      <c r="B105" s="9">
        <f>ROUND(SUM(B433),-2)</f>
        <v>5600</v>
      </c>
      <c r="C105" s="9">
        <f>SUM(C433)</f>
        <v>41800</v>
      </c>
      <c r="D105" s="9">
        <f>SUM(D433)</f>
        <v>24500</v>
      </c>
      <c r="E105" s="9">
        <f>SUM(E433)</f>
        <v>23800</v>
      </c>
      <c r="F105" s="773" t="s">
        <v>5365</v>
      </c>
      <c r="G105" s="31" t="s">
        <v>5916</v>
      </c>
      <c r="H105" s="9">
        <f>SUM(H433)</f>
        <v>22000</v>
      </c>
      <c r="I105" s="85">
        <f t="shared" ref="I105:I111" si="119">IF(E105=H105,0,IF(E105=0,100,(H105-E105)/E105*100))</f>
        <v>-7.5630252100840334</v>
      </c>
      <c r="J105" s="89">
        <f t="shared" ref="J105:R105" si="120">SUM(J433)</f>
        <v>40000</v>
      </c>
      <c r="K105" s="9">
        <f t="shared" si="120"/>
        <v>41000</v>
      </c>
      <c r="L105" s="9">
        <f t="shared" si="120"/>
        <v>42100</v>
      </c>
      <c r="M105" s="9">
        <f t="shared" si="120"/>
        <v>43200</v>
      </c>
      <c r="N105" s="9">
        <f t="shared" si="120"/>
        <v>44300</v>
      </c>
      <c r="O105" s="9">
        <f t="shared" si="120"/>
        <v>45500</v>
      </c>
      <c r="P105" s="9">
        <f t="shared" si="120"/>
        <v>46700</v>
      </c>
      <c r="Q105" s="9">
        <f t="shared" si="120"/>
        <v>47900</v>
      </c>
      <c r="R105" s="9">
        <f t="shared" si="120"/>
        <v>49100</v>
      </c>
      <c r="S105" s="47">
        <f t="shared" ref="S105" si="121">SUM(S433)</f>
        <v>50400</v>
      </c>
    </row>
    <row r="106" spans="1:19" ht="12.75" customHeight="1" x14ac:dyDescent="0.2">
      <c r="A106" s="54">
        <f>ROUND(SUM(A436:A437),-3)</f>
        <v>106000</v>
      </c>
      <c r="B106" s="9">
        <f>ROUND(SUM(B436:B437),-2)</f>
        <v>102600</v>
      </c>
      <c r="C106" s="9">
        <f>SUM(C436:C437)</f>
        <v>88300</v>
      </c>
      <c r="D106" s="9">
        <f>SUM(D434:D437)</f>
        <v>90500</v>
      </c>
      <c r="E106" s="9">
        <f>SUM(E434:E437)</f>
        <v>116100</v>
      </c>
      <c r="F106" s="167">
        <v>26083</v>
      </c>
      <c r="G106" s="31" t="s">
        <v>4481</v>
      </c>
      <c r="H106" s="9">
        <f>SUM(H434:H437)</f>
        <v>129500</v>
      </c>
      <c r="I106" s="85">
        <f>IF(E106=H106,0,IF(E106=0,100,(H106-E106)/E106*100))</f>
        <v>11.541774332472007</v>
      </c>
      <c r="J106" s="89">
        <f t="shared" ref="J106:S106" si="122">SUM(J434:J437)</f>
        <v>125000</v>
      </c>
      <c r="K106" s="9">
        <f t="shared" si="122"/>
        <v>128300</v>
      </c>
      <c r="L106" s="9">
        <f t="shared" si="122"/>
        <v>131600</v>
      </c>
      <c r="M106" s="9">
        <f t="shared" si="122"/>
        <v>135000</v>
      </c>
      <c r="N106" s="9">
        <f t="shared" si="122"/>
        <v>138600</v>
      </c>
      <c r="O106" s="9">
        <f t="shared" si="122"/>
        <v>142300</v>
      </c>
      <c r="P106" s="9">
        <f t="shared" si="122"/>
        <v>146000</v>
      </c>
      <c r="Q106" s="9">
        <f t="shared" si="122"/>
        <v>149800</v>
      </c>
      <c r="R106" s="9">
        <f t="shared" si="122"/>
        <v>153800</v>
      </c>
      <c r="S106" s="47">
        <f t="shared" si="122"/>
        <v>157900</v>
      </c>
    </row>
    <row r="107" spans="1:19" ht="12.75" customHeight="1" x14ac:dyDescent="0.2">
      <c r="A107" s="54">
        <f>ROUND(SUM(A438:A440),-3)</f>
        <v>0</v>
      </c>
      <c r="B107" s="9">
        <f>ROUND(SUM(B438:B440),-2)</f>
        <v>0</v>
      </c>
      <c r="C107" s="9">
        <f>SUM(C438:C440)</f>
        <v>0</v>
      </c>
      <c r="D107" s="9">
        <f>SUM(D438:D440)</f>
        <v>0</v>
      </c>
      <c r="E107" s="9">
        <f>SUM(E438:E440)</f>
        <v>0</v>
      </c>
      <c r="F107" s="167"/>
      <c r="G107" s="31" t="s">
        <v>5900</v>
      </c>
      <c r="H107" s="9">
        <f>SUM(H438:H440)</f>
        <v>0</v>
      </c>
      <c r="I107" s="85">
        <f>IF(E107=H107,0,IF(E107=0,100,(H107-E107)/E107*100))</f>
        <v>0</v>
      </c>
      <c r="J107" s="89">
        <f t="shared" ref="J107:S107" si="123">SUM(J438:J440)</f>
        <v>120000</v>
      </c>
      <c r="K107" s="9">
        <f t="shared" si="123"/>
        <v>240000</v>
      </c>
      <c r="L107" s="9">
        <f t="shared" si="123"/>
        <v>246000</v>
      </c>
      <c r="M107" s="9">
        <f t="shared" si="123"/>
        <v>252300</v>
      </c>
      <c r="N107" s="9">
        <f t="shared" si="123"/>
        <v>258800</v>
      </c>
      <c r="O107" s="9">
        <f t="shared" si="123"/>
        <v>265300</v>
      </c>
      <c r="P107" s="9">
        <f t="shared" si="123"/>
        <v>272100</v>
      </c>
      <c r="Q107" s="9">
        <f t="shared" si="123"/>
        <v>279100</v>
      </c>
      <c r="R107" s="9">
        <f t="shared" si="123"/>
        <v>286300</v>
      </c>
      <c r="S107" s="47">
        <f t="shared" si="123"/>
        <v>293500</v>
      </c>
    </row>
    <row r="108" spans="1:19" ht="12.75" customHeight="1" x14ac:dyDescent="0.2">
      <c r="A108" s="54">
        <f>ROUND(A441,-3)</f>
        <v>20000</v>
      </c>
      <c r="B108" s="9">
        <f>ROUND(B441,-2)</f>
        <v>20200</v>
      </c>
      <c r="C108" s="9">
        <f>C441</f>
        <v>19800</v>
      </c>
      <c r="D108" s="9">
        <f>D441</f>
        <v>20900</v>
      </c>
      <c r="E108" s="9">
        <f>E441</f>
        <v>17700</v>
      </c>
      <c r="F108" s="167">
        <v>26080</v>
      </c>
      <c r="G108" s="31" t="s">
        <v>1155</v>
      </c>
      <c r="H108" s="9">
        <f>H441</f>
        <v>18000</v>
      </c>
      <c r="I108" s="85">
        <f>IF(E108=H108,0,IF(E108=0,100,(H108-E108)/E108*100))</f>
        <v>1.6949152542372881</v>
      </c>
      <c r="J108" s="89">
        <f t="shared" ref="J108:S108" si="124">J441</f>
        <v>18000</v>
      </c>
      <c r="K108" s="9">
        <f t="shared" si="124"/>
        <v>18500</v>
      </c>
      <c r="L108" s="9">
        <f t="shared" si="124"/>
        <v>19000</v>
      </c>
      <c r="M108" s="9">
        <f t="shared" si="124"/>
        <v>19500</v>
      </c>
      <c r="N108" s="9">
        <f t="shared" si="124"/>
        <v>20000</v>
      </c>
      <c r="O108" s="9">
        <f t="shared" si="124"/>
        <v>20500</v>
      </c>
      <c r="P108" s="9">
        <f t="shared" si="124"/>
        <v>21100</v>
      </c>
      <c r="Q108" s="9">
        <f t="shared" si="124"/>
        <v>21700</v>
      </c>
      <c r="R108" s="9">
        <f t="shared" si="124"/>
        <v>22300</v>
      </c>
      <c r="S108" s="47">
        <f t="shared" si="124"/>
        <v>22900</v>
      </c>
    </row>
    <row r="109" spans="1:19" ht="12.75" customHeight="1" x14ac:dyDescent="0.2">
      <c r="A109" s="54">
        <f t="shared" ref="A109:E109" si="125">SUM(A442:A444)</f>
        <v>0</v>
      </c>
      <c r="B109" s="9">
        <f t="shared" si="125"/>
        <v>49100</v>
      </c>
      <c r="C109" s="9">
        <f t="shared" si="125"/>
        <v>107000</v>
      </c>
      <c r="D109" s="9">
        <f t="shared" si="125"/>
        <v>110500</v>
      </c>
      <c r="E109" s="9">
        <f t="shared" si="125"/>
        <v>111000</v>
      </c>
      <c r="F109" s="167">
        <v>26081</v>
      </c>
      <c r="G109" s="31" t="s">
        <v>2261</v>
      </c>
      <c r="H109" s="9">
        <f>SUM(H442:H444)</f>
        <v>123000</v>
      </c>
      <c r="I109" s="85">
        <f t="shared" si="119"/>
        <v>10.810810810810811</v>
      </c>
      <c r="J109" s="89">
        <f t="shared" ref="J109:S109" si="126">SUM(J442:J444)</f>
        <v>126000</v>
      </c>
      <c r="K109" s="9">
        <f t="shared" si="126"/>
        <v>129200</v>
      </c>
      <c r="L109" s="9">
        <f t="shared" si="126"/>
        <v>132600</v>
      </c>
      <c r="M109" s="9">
        <f t="shared" si="126"/>
        <v>136100</v>
      </c>
      <c r="N109" s="9">
        <f t="shared" si="126"/>
        <v>139700</v>
      </c>
      <c r="O109" s="9">
        <f t="shared" si="126"/>
        <v>143400</v>
      </c>
      <c r="P109" s="9">
        <f t="shared" si="126"/>
        <v>147200</v>
      </c>
      <c r="Q109" s="9">
        <f t="shared" si="126"/>
        <v>151100</v>
      </c>
      <c r="R109" s="9">
        <f t="shared" si="126"/>
        <v>155000</v>
      </c>
      <c r="S109" s="47">
        <f t="shared" si="126"/>
        <v>159000</v>
      </c>
    </row>
    <row r="110" spans="1:19" ht="12.75" customHeight="1" x14ac:dyDescent="0.2">
      <c r="A110" s="54">
        <f>ROUND(A615,-3)</f>
        <v>71000</v>
      </c>
      <c r="B110" s="9">
        <f>ROUND(B615,-2)</f>
        <v>76200</v>
      </c>
      <c r="C110" s="9">
        <f>C615</f>
        <v>71800</v>
      </c>
      <c r="D110" s="9">
        <f>D615</f>
        <v>77100</v>
      </c>
      <c r="E110" s="9">
        <f>E615</f>
        <v>98800</v>
      </c>
      <c r="F110" s="167">
        <v>26130</v>
      </c>
      <c r="G110" s="31" t="s">
        <v>2850</v>
      </c>
      <c r="H110" s="9">
        <f>H615</f>
        <v>104000</v>
      </c>
      <c r="I110" s="85">
        <f t="shared" si="119"/>
        <v>5.2631578947368416</v>
      </c>
      <c r="J110" s="89">
        <f t="shared" ref="J110:R110" si="127">J615</f>
        <v>113500</v>
      </c>
      <c r="K110" s="9">
        <f t="shared" si="127"/>
        <v>116800</v>
      </c>
      <c r="L110" s="9">
        <f t="shared" si="127"/>
        <v>120200</v>
      </c>
      <c r="M110" s="9">
        <f t="shared" si="127"/>
        <v>123600</v>
      </c>
      <c r="N110" s="9">
        <f t="shared" si="127"/>
        <v>127100</v>
      </c>
      <c r="O110" s="9">
        <f t="shared" si="127"/>
        <v>130700</v>
      </c>
      <c r="P110" s="9">
        <f t="shared" si="127"/>
        <v>134400</v>
      </c>
      <c r="Q110" s="9">
        <f t="shared" si="127"/>
        <v>138100</v>
      </c>
      <c r="R110" s="9">
        <f t="shared" si="127"/>
        <v>141800</v>
      </c>
      <c r="S110" s="47">
        <f t="shared" ref="S110" si="128">S615</f>
        <v>145700</v>
      </c>
    </row>
    <row r="111" spans="1:19" ht="12.75" customHeight="1" x14ac:dyDescent="0.2">
      <c r="A111" s="54">
        <f>ROUND(SUM(A449:A457),-3)</f>
        <v>9000</v>
      </c>
      <c r="B111" s="9">
        <f>ROUND(SUM(B449:B457),-2)</f>
        <v>7600</v>
      </c>
      <c r="C111" s="9">
        <f>SUM(C449:C457)</f>
        <v>26700</v>
      </c>
      <c r="D111" s="9">
        <f>SUM(D449:D457)</f>
        <v>56000</v>
      </c>
      <c r="E111" s="9">
        <f>SUM(E449:E457)</f>
        <v>46600</v>
      </c>
      <c r="F111" s="167">
        <v>20021</v>
      </c>
      <c r="G111" s="31" t="s">
        <v>3786</v>
      </c>
      <c r="H111" s="9">
        <f>SUM(H449:H457)</f>
        <v>37600</v>
      </c>
      <c r="I111" s="85">
        <f t="shared" si="119"/>
        <v>-19.313304721030043</v>
      </c>
      <c r="J111" s="89">
        <f t="shared" ref="J111:R111" si="129">SUM(J449:J457)</f>
        <v>42400</v>
      </c>
      <c r="K111" s="9">
        <f t="shared" si="129"/>
        <v>43600</v>
      </c>
      <c r="L111" s="9">
        <f t="shared" si="129"/>
        <v>44900</v>
      </c>
      <c r="M111" s="9">
        <f t="shared" si="129"/>
        <v>46200</v>
      </c>
      <c r="N111" s="9">
        <f t="shared" si="129"/>
        <v>47500</v>
      </c>
      <c r="O111" s="9">
        <f t="shared" si="129"/>
        <v>48900</v>
      </c>
      <c r="P111" s="9">
        <f t="shared" si="129"/>
        <v>50300</v>
      </c>
      <c r="Q111" s="9">
        <f t="shared" si="129"/>
        <v>51900</v>
      </c>
      <c r="R111" s="9">
        <f t="shared" si="129"/>
        <v>53500</v>
      </c>
      <c r="S111" s="47">
        <f t="shared" ref="S111" si="130">SUM(S449:S457)</f>
        <v>55100</v>
      </c>
    </row>
    <row r="112" spans="1:19" ht="12.75" customHeight="1" x14ac:dyDescent="0.2">
      <c r="A112" s="54"/>
      <c r="B112" s="9"/>
      <c r="C112" s="9"/>
      <c r="D112" s="9"/>
      <c r="E112" s="9"/>
      <c r="F112" s="167"/>
      <c r="G112" s="92" t="s">
        <v>4393</v>
      </c>
      <c r="H112" s="9"/>
      <c r="I112" s="85"/>
      <c r="J112" s="89"/>
      <c r="K112" s="9"/>
      <c r="L112" s="9"/>
      <c r="M112" s="9"/>
      <c r="N112" s="9"/>
      <c r="O112" s="9"/>
      <c r="P112" s="9"/>
      <c r="Q112" s="9"/>
      <c r="R112" s="9"/>
      <c r="S112" s="47"/>
    </row>
    <row r="113" spans="1:19" ht="12.75" customHeight="1" x14ac:dyDescent="0.2">
      <c r="A113" s="54">
        <f>ROUND(A447,-3)</f>
        <v>19000</v>
      </c>
      <c r="B113" s="9">
        <f>ROUND(B447,-2)</f>
        <v>6500</v>
      </c>
      <c r="C113" s="9">
        <f t="shared" ref="C113:E114" si="131">C447</f>
        <v>0</v>
      </c>
      <c r="D113" s="9">
        <f t="shared" si="131"/>
        <v>0</v>
      </c>
      <c r="E113" s="9">
        <f t="shared" si="131"/>
        <v>0</v>
      </c>
      <c r="F113" s="167">
        <v>20021</v>
      </c>
      <c r="G113" s="31" t="str">
        <f>G447</f>
        <v>Miscellaneous Grants</v>
      </c>
      <c r="H113" s="9">
        <f>H447</f>
        <v>0</v>
      </c>
      <c r="I113" s="85">
        <f>IF(E113=H113,0,IF(E113=0,100,(H113-E113)/E113*100))</f>
        <v>0</v>
      </c>
      <c r="J113" s="89">
        <f t="shared" ref="J113:R113" si="132">J447</f>
        <v>0</v>
      </c>
      <c r="K113" s="9">
        <f t="shared" si="132"/>
        <v>0</v>
      </c>
      <c r="L113" s="9">
        <f t="shared" si="132"/>
        <v>0</v>
      </c>
      <c r="M113" s="9">
        <f t="shared" si="132"/>
        <v>0</v>
      </c>
      <c r="N113" s="9">
        <f t="shared" si="132"/>
        <v>0</v>
      </c>
      <c r="O113" s="9">
        <f t="shared" si="132"/>
        <v>0</v>
      </c>
      <c r="P113" s="9">
        <f t="shared" si="132"/>
        <v>0</v>
      </c>
      <c r="Q113" s="9">
        <f t="shared" si="132"/>
        <v>0</v>
      </c>
      <c r="R113" s="9">
        <f t="shared" si="132"/>
        <v>0</v>
      </c>
      <c r="S113" s="47">
        <f t="shared" ref="S113" si="133">S447</f>
        <v>0</v>
      </c>
    </row>
    <row r="114" spans="1:19" ht="12.75" customHeight="1" thickBot="1" x14ac:dyDescent="0.25">
      <c r="A114" s="54">
        <f>ROUND(A448,-3)</f>
        <v>2000</v>
      </c>
      <c r="B114" s="9">
        <f>ROUND(B448,-2)</f>
        <v>1500</v>
      </c>
      <c r="C114" s="9">
        <f t="shared" si="131"/>
        <v>1500</v>
      </c>
      <c r="D114" s="9">
        <f t="shared" si="131"/>
        <v>1500</v>
      </c>
      <c r="E114" s="9">
        <f t="shared" si="131"/>
        <v>1500</v>
      </c>
      <c r="F114" s="167">
        <v>20021</v>
      </c>
      <c r="G114" s="31" t="str">
        <f>G448</f>
        <v>Youth Week</v>
      </c>
      <c r="H114" s="9">
        <f>H448</f>
        <v>1500</v>
      </c>
      <c r="I114" s="85">
        <f>IF(E114=H114,0,IF(E114=0,100,(H114-E114)/E114*100))</f>
        <v>0</v>
      </c>
      <c r="J114" s="89">
        <f t="shared" ref="J114:R114" si="134">J448</f>
        <v>1500</v>
      </c>
      <c r="K114" s="9">
        <f t="shared" si="134"/>
        <v>1600</v>
      </c>
      <c r="L114" s="9">
        <f t="shared" si="134"/>
        <v>1700</v>
      </c>
      <c r="M114" s="9">
        <f t="shared" si="134"/>
        <v>1800</v>
      </c>
      <c r="N114" s="9">
        <f t="shared" si="134"/>
        <v>1900</v>
      </c>
      <c r="O114" s="9">
        <f t="shared" si="134"/>
        <v>2000</v>
      </c>
      <c r="P114" s="9">
        <f t="shared" si="134"/>
        <v>2100</v>
      </c>
      <c r="Q114" s="9">
        <f t="shared" si="134"/>
        <v>2200</v>
      </c>
      <c r="R114" s="9">
        <f t="shared" si="134"/>
        <v>2300</v>
      </c>
      <c r="S114" s="47">
        <f t="shared" ref="S114" si="135">S448</f>
        <v>2400</v>
      </c>
    </row>
    <row r="115" spans="1:19" ht="12.75" customHeight="1" x14ac:dyDescent="0.2">
      <c r="A115" s="52">
        <f>SUM(A103:A114)</f>
        <v>340000</v>
      </c>
      <c r="B115" s="16">
        <f>SUM(B103:B114)</f>
        <v>389900</v>
      </c>
      <c r="C115" s="16">
        <f>SUM(C103:C114)</f>
        <v>489400</v>
      </c>
      <c r="D115" s="16">
        <f>SUM(D103:D114)</f>
        <v>520400</v>
      </c>
      <c r="E115" s="16">
        <f>SUM(E103:E114)</f>
        <v>552300</v>
      </c>
      <c r="F115" s="167"/>
      <c r="G115" s="59" t="s">
        <v>2561</v>
      </c>
      <c r="H115" s="16">
        <f>SUM(H103:H114)</f>
        <v>569600</v>
      </c>
      <c r="I115" s="127">
        <f>IF(E115=H115,0,IF(E115=0,100,(H115-E115)/E115*100))</f>
        <v>3.1323556038384934</v>
      </c>
      <c r="J115" s="102">
        <f t="shared" ref="J115:S115" si="136">SUM(J103:J114)</f>
        <v>727400</v>
      </c>
      <c r="K115" s="16">
        <f t="shared" si="136"/>
        <v>863600</v>
      </c>
      <c r="L115" s="16">
        <f t="shared" si="136"/>
        <v>886400</v>
      </c>
      <c r="M115" s="16">
        <f t="shared" si="136"/>
        <v>909800</v>
      </c>
      <c r="N115" s="16">
        <f t="shared" si="136"/>
        <v>933900</v>
      </c>
      <c r="O115" s="16">
        <f t="shared" si="136"/>
        <v>958600</v>
      </c>
      <c r="P115" s="16">
        <f t="shared" si="136"/>
        <v>984000</v>
      </c>
      <c r="Q115" s="16">
        <f t="shared" si="136"/>
        <v>1010100</v>
      </c>
      <c r="R115" s="16">
        <f t="shared" si="136"/>
        <v>1036700</v>
      </c>
      <c r="S115" s="2342">
        <f t="shared" si="136"/>
        <v>1063900</v>
      </c>
    </row>
    <row r="116" spans="1:19" ht="12.75" customHeight="1" x14ac:dyDescent="0.2">
      <c r="A116" s="54"/>
      <c r="B116" s="9"/>
      <c r="C116" s="9"/>
      <c r="D116" s="9"/>
      <c r="E116" s="9"/>
      <c r="F116" s="167"/>
      <c r="G116" s="59"/>
      <c r="H116" s="9"/>
      <c r="I116" s="85"/>
      <c r="J116" s="89"/>
      <c r="K116" s="9"/>
      <c r="L116" s="9"/>
      <c r="M116" s="9"/>
      <c r="N116" s="9"/>
      <c r="O116" s="9"/>
      <c r="P116" s="9"/>
      <c r="Q116" s="9"/>
      <c r="R116" s="9"/>
      <c r="S116" s="47"/>
    </row>
    <row r="117" spans="1:19" ht="12.75" customHeight="1" x14ac:dyDescent="0.2">
      <c r="A117" s="54"/>
      <c r="B117" s="9"/>
      <c r="C117" s="9"/>
      <c r="D117" s="9"/>
      <c r="E117" s="9"/>
      <c r="F117" s="167"/>
      <c r="G117" s="91" t="s">
        <v>2169</v>
      </c>
      <c r="H117" s="9"/>
      <c r="I117" s="85"/>
      <c r="J117" s="89"/>
      <c r="K117" s="9"/>
      <c r="L117" s="9"/>
      <c r="M117" s="9"/>
      <c r="N117" s="9"/>
      <c r="O117" s="9"/>
      <c r="P117" s="9"/>
      <c r="Q117" s="9"/>
      <c r="R117" s="9"/>
      <c r="S117" s="47"/>
    </row>
    <row r="118" spans="1:19" ht="12.75" customHeight="1" x14ac:dyDescent="0.2">
      <c r="A118" s="54">
        <f>ROUND(SUM(A462:A467),-3)</f>
        <v>220000</v>
      </c>
      <c r="B118" s="9">
        <f>ROUND(SUM(B462:B467),-2)</f>
        <v>321500</v>
      </c>
      <c r="C118" s="9">
        <f>SUM(C462:C467)</f>
        <v>371500</v>
      </c>
      <c r="D118" s="9">
        <f>SUM(D462:D467)</f>
        <v>397300</v>
      </c>
      <c r="E118" s="9">
        <f>SUM(E462:E467)</f>
        <v>379400</v>
      </c>
      <c r="F118" s="167">
        <v>35110</v>
      </c>
      <c r="G118" s="31" t="s">
        <v>1228</v>
      </c>
      <c r="H118" s="9">
        <f>SUM(H462:H467)</f>
        <v>413000</v>
      </c>
      <c r="I118" s="85">
        <f t="shared" ref="I118:I127" si="137">IF(E118=H118,0,IF(E118=0,100,(H118-E118)/E118*100))</f>
        <v>8.8560885608856079</v>
      </c>
      <c r="J118" s="89">
        <f t="shared" ref="J118:R118" si="138">SUM(J462:J467)</f>
        <v>422700</v>
      </c>
      <c r="K118" s="9">
        <f t="shared" si="138"/>
        <v>432600</v>
      </c>
      <c r="L118" s="9">
        <f t="shared" si="138"/>
        <v>442700</v>
      </c>
      <c r="M118" s="9">
        <f t="shared" si="138"/>
        <v>453000</v>
      </c>
      <c r="N118" s="9">
        <f t="shared" si="138"/>
        <v>463500</v>
      </c>
      <c r="O118" s="9">
        <f t="shared" si="138"/>
        <v>474300</v>
      </c>
      <c r="P118" s="9">
        <f t="shared" si="138"/>
        <v>485400</v>
      </c>
      <c r="Q118" s="9">
        <f t="shared" si="138"/>
        <v>496700</v>
      </c>
      <c r="R118" s="9">
        <f t="shared" si="138"/>
        <v>508300</v>
      </c>
      <c r="S118" s="47">
        <f t="shared" ref="S118" si="139">SUM(S462:S467)</f>
        <v>520100</v>
      </c>
    </row>
    <row r="119" spans="1:19" ht="12.75" customHeight="1" x14ac:dyDescent="0.2">
      <c r="A119" s="54">
        <f>ROUND(SUM(A468:A476),-3)</f>
        <v>48000</v>
      </c>
      <c r="B119" s="9">
        <f>ROUND(SUM(B468:B476),-2)</f>
        <v>52100</v>
      </c>
      <c r="C119" s="9">
        <f>SUM(C468:C476)</f>
        <v>51100</v>
      </c>
      <c r="D119" s="9">
        <f>SUM(D468:D476)</f>
        <v>58600</v>
      </c>
      <c r="E119" s="9">
        <f>SUM(E468:E476)</f>
        <v>57600</v>
      </c>
      <c r="F119" s="167">
        <v>35110</v>
      </c>
      <c r="G119" s="31" t="s">
        <v>3617</v>
      </c>
      <c r="H119" s="9">
        <f>SUM(H468:H476)</f>
        <v>53200</v>
      </c>
      <c r="I119" s="85">
        <f>IF(E119=H119,0,IF(E119=0,100,(H119-E119)/E119*100))</f>
        <v>-7.6388888888888893</v>
      </c>
      <c r="J119" s="89">
        <f t="shared" ref="J119:S119" si="140">SUM(J468:J476)</f>
        <v>54400</v>
      </c>
      <c r="K119" s="9">
        <f t="shared" si="140"/>
        <v>56200</v>
      </c>
      <c r="L119" s="9">
        <f t="shared" si="140"/>
        <v>58000</v>
      </c>
      <c r="M119" s="9">
        <f t="shared" si="140"/>
        <v>59800</v>
      </c>
      <c r="N119" s="9">
        <f t="shared" si="140"/>
        <v>61600</v>
      </c>
      <c r="O119" s="9">
        <f t="shared" si="140"/>
        <v>63600</v>
      </c>
      <c r="P119" s="9">
        <f t="shared" si="140"/>
        <v>65600</v>
      </c>
      <c r="Q119" s="9">
        <f t="shared" si="140"/>
        <v>67600</v>
      </c>
      <c r="R119" s="9">
        <f t="shared" si="140"/>
        <v>69700</v>
      </c>
      <c r="S119" s="47">
        <f t="shared" si="140"/>
        <v>71800</v>
      </c>
    </row>
    <row r="120" spans="1:19" ht="12.75" customHeight="1" x14ac:dyDescent="0.2">
      <c r="A120" s="54">
        <f>ROUND(SUM(A478:A482),-3)</f>
        <v>137000</v>
      </c>
      <c r="B120" s="9">
        <f>ROUND(SUM(B478:B482),-2)</f>
        <v>165200</v>
      </c>
      <c r="C120" s="9">
        <f>SUM(C478:C483)</f>
        <v>173400</v>
      </c>
      <c r="D120" s="9">
        <f>SUM(D478:D483)</f>
        <v>174100</v>
      </c>
      <c r="E120" s="9">
        <f>SUM(E478:E483)</f>
        <v>183200</v>
      </c>
      <c r="F120" s="167">
        <v>35100</v>
      </c>
      <c r="G120" s="31" t="s">
        <v>4482</v>
      </c>
      <c r="H120" s="9">
        <f>SUM(H478:H483)</f>
        <v>188900</v>
      </c>
      <c r="I120" s="85">
        <f t="shared" si="137"/>
        <v>3.1113537117903931</v>
      </c>
      <c r="J120" s="89">
        <f t="shared" ref="J120:R120" si="141">SUM(J478:J483)</f>
        <v>193500</v>
      </c>
      <c r="K120" s="9">
        <f t="shared" si="141"/>
        <v>198600</v>
      </c>
      <c r="L120" s="9">
        <f t="shared" si="141"/>
        <v>203800</v>
      </c>
      <c r="M120" s="9">
        <f t="shared" si="141"/>
        <v>209100</v>
      </c>
      <c r="N120" s="9">
        <f t="shared" si="141"/>
        <v>214500</v>
      </c>
      <c r="O120" s="9">
        <f t="shared" si="141"/>
        <v>220200</v>
      </c>
      <c r="P120" s="9">
        <f t="shared" si="141"/>
        <v>226000</v>
      </c>
      <c r="Q120" s="9">
        <f t="shared" si="141"/>
        <v>231900</v>
      </c>
      <c r="R120" s="9">
        <f t="shared" si="141"/>
        <v>238000</v>
      </c>
      <c r="S120" s="47">
        <f t="shared" ref="S120" si="142">SUM(S478:S483)</f>
        <v>244200</v>
      </c>
    </row>
    <row r="121" spans="1:19" ht="12.75" customHeight="1" x14ac:dyDescent="0.2">
      <c r="A121" s="54">
        <f>ROUND(SUM(A489:A507),-3)</f>
        <v>138000</v>
      </c>
      <c r="B121" s="9">
        <f>ROUND(SUM(B489:B507),-2)</f>
        <v>172400</v>
      </c>
      <c r="C121" s="9">
        <f>SUM(C489:C507)</f>
        <v>169000</v>
      </c>
      <c r="D121" s="9">
        <f>SUM(D489:D507)</f>
        <v>173600</v>
      </c>
      <c r="E121" s="9">
        <f>SUM(E489:E508)</f>
        <v>221900</v>
      </c>
      <c r="F121" s="167">
        <v>30023</v>
      </c>
      <c r="G121" s="31" t="s">
        <v>4481</v>
      </c>
      <c r="H121" s="9">
        <f>SUM(H489:H508)</f>
        <v>207300</v>
      </c>
      <c r="I121" s="85">
        <f>IF(E121=H121,0,IF(E121=0,100,(H121-E121)/E121*100))</f>
        <v>-6.5795403334835507</v>
      </c>
      <c r="J121" s="89">
        <f t="shared" ref="J121:S121" si="143">SUM(J489:J508)</f>
        <v>215400</v>
      </c>
      <c r="K121" s="89">
        <f t="shared" si="143"/>
        <v>221700</v>
      </c>
      <c r="L121" s="89">
        <f t="shared" si="143"/>
        <v>228100</v>
      </c>
      <c r="M121" s="89">
        <f t="shared" si="143"/>
        <v>234600</v>
      </c>
      <c r="N121" s="89">
        <f t="shared" si="143"/>
        <v>241200</v>
      </c>
      <c r="O121" s="89">
        <f t="shared" si="143"/>
        <v>247900</v>
      </c>
      <c r="P121" s="89">
        <f t="shared" si="143"/>
        <v>254900</v>
      </c>
      <c r="Q121" s="89">
        <f t="shared" si="143"/>
        <v>262000</v>
      </c>
      <c r="R121" s="89">
        <f t="shared" si="143"/>
        <v>269500</v>
      </c>
      <c r="S121" s="61">
        <f t="shared" si="143"/>
        <v>277300</v>
      </c>
    </row>
    <row r="122" spans="1:19" ht="12.75" customHeight="1" x14ac:dyDescent="0.2">
      <c r="A122" s="54">
        <f>ROUND(SUM(A510:A523),-3)</f>
        <v>0</v>
      </c>
      <c r="B122" s="9">
        <f>ROUND(SUM(B510:B523),-2)</f>
        <v>0</v>
      </c>
      <c r="C122" s="9">
        <f>SUM(C510:C523)</f>
        <v>0</v>
      </c>
      <c r="D122" s="9">
        <f>SUM(D510:D523)</f>
        <v>0</v>
      </c>
      <c r="E122" s="9">
        <f>SUM(E510:E523)</f>
        <v>0</v>
      </c>
      <c r="F122" s="167"/>
      <c r="G122" s="31" t="s">
        <v>5900</v>
      </c>
      <c r="H122" s="9">
        <f>SUM(H510:H523)</f>
        <v>0</v>
      </c>
      <c r="I122" s="85">
        <f>IF(E122=H122,0,IF(E122=0,100,(H122-E122)/E122*100))</f>
        <v>0</v>
      </c>
      <c r="J122" s="89">
        <f t="shared" ref="J122:S122" si="144">SUM(J510:J523)</f>
        <v>215000</v>
      </c>
      <c r="K122" s="9">
        <f t="shared" si="144"/>
        <v>432300</v>
      </c>
      <c r="L122" s="9">
        <f t="shared" si="144"/>
        <v>443600</v>
      </c>
      <c r="M122" s="9">
        <f t="shared" si="144"/>
        <v>455300</v>
      </c>
      <c r="N122" s="9">
        <f t="shared" si="144"/>
        <v>467100</v>
      </c>
      <c r="O122" s="9">
        <f t="shared" si="144"/>
        <v>479400</v>
      </c>
      <c r="P122" s="9">
        <f t="shared" si="144"/>
        <v>492100</v>
      </c>
      <c r="Q122" s="9">
        <f t="shared" si="144"/>
        <v>505000</v>
      </c>
      <c r="R122" s="9">
        <f t="shared" si="144"/>
        <v>518100</v>
      </c>
      <c r="S122" s="47">
        <f t="shared" si="144"/>
        <v>531600</v>
      </c>
    </row>
    <row r="123" spans="1:19" ht="12.75" customHeight="1" x14ac:dyDescent="0.2">
      <c r="A123" s="54">
        <f>ROUND(SUM(A524:A530),-3)</f>
        <v>24000</v>
      </c>
      <c r="B123" s="9">
        <f>ROUND(SUM(B524:B530),-2)</f>
        <v>24200</v>
      </c>
      <c r="C123" s="9">
        <f>SUM(C524:C530)</f>
        <v>25700</v>
      </c>
      <c r="D123" s="9">
        <f>SUM(D524:D530)</f>
        <v>25500</v>
      </c>
      <c r="E123" s="9">
        <f>SUM(E524:E530)</f>
        <v>22600</v>
      </c>
      <c r="F123" s="167">
        <v>35115</v>
      </c>
      <c r="G123" s="31" t="s">
        <v>1155</v>
      </c>
      <c r="H123" s="9">
        <f>SUM(H524:H530)</f>
        <v>27300</v>
      </c>
      <c r="I123" s="85">
        <f>IF(E123=H123,0,IF(E123=0,100,(H123-E123)/E123*100))</f>
        <v>20.79646017699115</v>
      </c>
      <c r="J123" s="89">
        <f t="shared" ref="J123:S123" si="145">SUM(J524:J530)</f>
        <v>28300</v>
      </c>
      <c r="K123" s="9">
        <f t="shared" si="145"/>
        <v>29400</v>
      </c>
      <c r="L123" s="9">
        <f t="shared" si="145"/>
        <v>30500</v>
      </c>
      <c r="M123" s="9">
        <f t="shared" si="145"/>
        <v>31600</v>
      </c>
      <c r="N123" s="9">
        <f t="shared" si="145"/>
        <v>32700</v>
      </c>
      <c r="O123" s="9">
        <f t="shared" si="145"/>
        <v>33800</v>
      </c>
      <c r="P123" s="9">
        <f t="shared" si="145"/>
        <v>34900</v>
      </c>
      <c r="Q123" s="9">
        <f t="shared" si="145"/>
        <v>36000</v>
      </c>
      <c r="R123" s="9">
        <f t="shared" si="145"/>
        <v>37200</v>
      </c>
      <c r="S123" s="47">
        <f t="shared" si="145"/>
        <v>38400</v>
      </c>
    </row>
    <row r="124" spans="1:19" ht="12.75" customHeight="1" x14ac:dyDescent="0.2">
      <c r="A124" s="54">
        <f>ROUND(SUM(A532:A542),-3)</f>
        <v>0</v>
      </c>
      <c r="B124" s="9">
        <f>ROUND(SUM(B533:B542),-2)</f>
        <v>71500</v>
      </c>
      <c r="C124" s="9">
        <f>SUM(C533:C542)</f>
        <v>111400</v>
      </c>
      <c r="D124" s="9">
        <f>SUM(D533:D542)</f>
        <v>96100</v>
      </c>
      <c r="E124" s="9">
        <f>SUM(E533:E542)</f>
        <v>93300</v>
      </c>
      <c r="F124" s="167">
        <v>30025</v>
      </c>
      <c r="G124" s="31" t="s">
        <v>2261</v>
      </c>
      <c r="H124" s="9">
        <f>SUM(H533:H542)</f>
        <v>117700</v>
      </c>
      <c r="I124" s="85">
        <f>IF(E124=H124,0,IF(E124=0,100,(H124-E124)/E124*100))</f>
        <v>26.152197213290464</v>
      </c>
      <c r="J124" s="89">
        <f t="shared" ref="J124:R124" si="146">SUM(J533:J542)</f>
        <v>120900</v>
      </c>
      <c r="K124" s="9">
        <f t="shared" si="146"/>
        <v>124500</v>
      </c>
      <c r="L124" s="9">
        <f t="shared" si="146"/>
        <v>128200</v>
      </c>
      <c r="M124" s="9">
        <f t="shared" si="146"/>
        <v>131900</v>
      </c>
      <c r="N124" s="9">
        <f t="shared" si="146"/>
        <v>135600</v>
      </c>
      <c r="O124" s="9">
        <f t="shared" si="146"/>
        <v>139500</v>
      </c>
      <c r="P124" s="9">
        <f t="shared" si="146"/>
        <v>143400</v>
      </c>
      <c r="Q124" s="9">
        <f t="shared" si="146"/>
        <v>147400</v>
      </c>
      <c r="R124" s="9">
        <f t="shared" si="146"/>
        <v>151400</v>
      </c>
      <c r="S124" s="47">
        <f t="shared" ref="S124" si="147">SUM(S533:S542)</f>
        <v>155500</v>
      </c>
    </row>
    <row r="125" spans="1:19" ht="12.75" customHeight="1" x14ac:dyDescent="0.2">
      <c r="A125" s="54">
        <f>ROUND(SUM(A552:A557),-3)</f>
        <v>22000</v>
      </c>
      <c r="B125" s="9">
        <f>ROUND(SUM(B552:B557),-2)</f>
        <v>33600</v>
      </c>
      <c r="C125" s="9">
        <f>SUM(C552:C557)</f>
        <v>30600</v>
      </c>
      <c r="D125" s="9">
        <f>SUM(D552:D557)</f>
        <v>34300</v>
      </c>
      <c r="E125" s="9">
        <f>SUM(E552:E557)</f>
        <v>22800</v>
      </c>
      <c r="F125" s="167">
        <v>35107</v>
      </c>
      <c r="G125" s="31" t="s">
        <v>2852</v>
      </c>
      <c r="H125" s="9">
        <f>SUM(H552:H557)</f>
        <v>34200</v>
      </c>
      <c r="I125" s="85">
        <f t="shared" si="137"/>
        <v>50</v>
      </c>
      <c r="J125" s="89">
        <f t="shared" ref="J125:R125" si="148">SUM(J552:J557)</f>
        <v>29000</v>
      </c>
      <c r="K125" s="9">
        <f t="shared" si="148"/>
        <v>29800</v>
      </c>
      <c r="L125" s="9">
        <f t="shared" si="148"/>
        <v>30600</v>
      </c>
      <c r="M125" s="9">
        <f t="shared" si="148"/>
        <v>31600</v>
      </c>
      <c r="N125" s="9">
        <f t="shared" si="148"/>
        <v>32700</v>
      </c>
      <c r="O125" s="9">
        <f t="shared" si="148"/>
        <v>33800</v>
      </c>
      <c r="P125" s="9">
        <f t="shared" si="148"/>
        <v>34900</v>
      </c>
      <c r="Q125" s="9">
        <f t="shared" si="148"/>
        <v>36000</v>
      </c>
      <c r="R125" s="9">
        <f t="shared" si="148"/>
        <v>37100</v>
      </c>
      <c r="S125" s="47">
        <f t="shared" ref="S125" si="149">SUM(S552:S557)</f>
        <v>38200</v>
      </c>
    </row>
    <row r="126" spans="1:19" ht="12.75" customHeight="1" x14ac:dyDescent="0.2">
      <c r="A126" s="54">
        <f>ROUND(SUM(A558:A559),-3)</f>
        <v>5000</v>
      </c>
      <c r="B126" s="9">
        <f>ROUND(SUM(B558:B559),-2)</f>
        <v>5700</v>
      </c>
      <c r="C126" s="9">
        <f>SUM(C558:C559)</f>
        <v>5000</v>
      </c>
      <c r="D126" s="9">
        <f>SUM(D558:D559)</f>
        <v>4600</v>
      </c>
      <c r="E126" s="9">
        <f>SUM(E558:E559)</f>
        <v>4300</v>
      </c>
      <c r="F126" s="167">
        <v>35108</v>
      </c>
      <c r="G126" s="31" t="s">
        <v>1280</v>
      </c>
      <c r="H126" s="9">
        <f>SUM(H558:H559)</f>
        <v>2900</v>
      </c>
      <c r="I126" s="85">
        <f t="shared" si="137"/>
        <v>-32.558139534883722</v>
      </c>
      <c r="J126" s="89">
        <f t="shared" ref="J126:R126" si="150">SUM(J558:J559)</f>
        <v>3000</v>
      </c>
      <c r="K126" s="9">
        <f t="shared" si="150"/>
        <v>3100</v>
      </c>
      <c r="L126" s="9">
        <f t="shared" si="150"/>
        <v>3200</v>
      </c>
      <c r="M126" s="9">
        <f t="shared" si="150"/>
        <v>3300</v>
      </c>
      <c r="N126" s="9">
        <f t="shared" si="150"/>
        <v>3400</v>
      </c>
      <c r="O126" s="9">
        <f t="shared" si="150"/>
        <v>3500</v>
      </c>
      <c r="P126" s="9">
        <f t="shared" si="150"/>
        <v>3600</v>
      </c>
      <c r="Q126" s="9">
        <f t="shared" si="150"/>
        <v>3700</v>
      </c>
      <c r="R126" s="9">
        <f t="shared" si="150"/>
        <v>3800</v>
      </c>
      <c r="S126" s="47">
        <f t="shared" ref="S126" si="151">SUM(S558:S559)</f>
        <v>3900</v>
      </c>
    </row>
    <row r="127" spans="1:19" ht="12.75" customHeight="1" x14ac:dyDescent="0.2">
      <c r="A127" s="54">
        <f>ROUND((A649),-3)-A136</f>
        <v>173200</v>
      </c>
      <c r="B127" s="9">
        <f>ROUND((B649),-2)-B136</f>
        <v>184600</v>
      </c>
      <c r="C127" s="9">
        <f>ROUND((C649),-2)-C136</f>
        <v>239000</v>
      </c>
      <c r="D127" s="9">
        <f>ROUND((D649),-2)-D136</f>
        <v>255800</v>
      </c>
      <c r="E127" s="9">
        <f>ROUND((E649),-2)-E136</f>
        <v>301800</v>
      </c>
      <c r="F127" s="167">
        <v>35160</v>
      </c>
      <c r="G127" s="31" t="s">
        <v>2850</v>
      </c>
      <c r="H127" s="9">
        <f>ROUND((H649),-2)-H136</f>
        <v>330900</v>
      </c>
      <c r="I127" s="85">
        <f t="shared" si="137"/>
        <v>9.6421471172962221</v>
      </c>
      <c r="J127" s="89">
        <f t="shared" ref="J127:S127" si="152">ROUND((J649),-2)-J136</f>
        <v>330400</v>
      </c>
      <c r="K127" s="9">
        <f t="shared" si="152"/>
        <v>339000</v>
      </c>
      <c r="L127" s="9">
        <f t="shared" si="152"/>
        <v>347400</v>
      </c>
      <c r="M127" s="9">
        <f t="shared" si="152"/>
        <v>357500</v>
      </c>
      <c r="N127" s="9">
        <f t="shared" si="152"/>
        <v>366300</v>
      </c>
      <c r="O127" s="9">
        <f t="shared" si="152"/>
        <v>376700</v>
      </c>
      <c r="P127" s="9">
        <f t="shared" si="152"/>
        <v>385700</v>
      </c>
      <c r="Q127" s="9">
        <f t="shared" si="152"/>
        <v>396400</v>
      </c>
      <c r="R127" s="9">
        <f t="shared" si="152"/>
        <v>405900</v>
      </c>
      <c r="S127" s="47">
        <f t="shared" si="152"/>
        <v>417100</v>
      </c>
    </row>
    <row r="128" spans="1:19" ht="12.75" customHeight="1" x14ac:dyDescent="0.2">
      <c r="A128" s="54"/>
      <c r="B128" s="9"/>
      <c r="C128" s="9"/>
      <c r="D128" s="9"/>
      <c r="E128" s="9"/>
      <c r="F128" s="167"/>
      <c r="G128" s="92" t="s">
        <v>812</v>
      </c>
      <c r="H128" s="9"/>
      <c r="I128" s="85"/>
      <c r="J128" s="89"/>
      <c r="K128" s="9"/>
      <c r="L128" s="9"/>
      <c r="M128" s="9"/>
      <c r="N128" s="9"/>
      <c r="O128" s="9"/>
      <c r="P128" s="9"/>
      <c r="Q128" s="9"/>
      <c r="R128" s="9"/>
      <c r="S128" s="47"/>
    </row>
    <row r="129" spans="1:19" ht="12.75" customHeight="1" x14ac:dyDescent="0.2">
      <c r="A129" s="54">
        <f>ROUND(SUM(A561:A566),-3)</f>
        <v>26000</v>
      </c>
      <c r="B129" s="9">
        <f>ROUND(SUM(B561:B566),-2)</f>
        <v>30400</v>
      </c>
      <c r="C129" s="9">
        <f>SUM(C561:C566)</f>
        <v>19900</v>
      </c>
      <c r="D129" s="9">
        <f>SUM(D561:D566)</f>
        <v>25000</v>
      </c>
      <c r="E129" s="9">
        <f>SUM(E561:E566)</f>
        <v>27600</v>
      </c>
      <c r="F129" s="167">
        <v>30021</v>
      </c>
      <c r="G129" s="31" t="s">
        <v>3932</v>
      </c>
      <c r="H129" s="9">
        <f>SUM(H561:H566)</f>
        <v>24200</v>
      </c>
      <c r="I129" s="85">
        <f>IF(E129=H129,0,IF(E129=0,100,(H129-E129)/E129*100))</f>
        <v>-12.318840579710146</v>
      </c>
      <c r="J129" s="89">
        <f t="shared" ref="J129:R129" si="153">SUM(J561:J566)</f>
        <v>27500</v>
      </c>
      <c r="K129" s="9">
        <f t="shared" si="153"/>
        <v>28400</v>
      </c>
      <c r="L129" s="9">
        <f t="shared" si="153"/>
        <v>29300</v>
      </c>
      <c r="M129" s="9">
        <f t="shared" si="153"/>
        <v>30200</v>
      </c>
      <c r="N129" s="9">
        <f t="shared" si="153"/>
        <v>31100</v>
      </c>
      <c r="O129" s="9">
        <f t="shared" si="153"/>
        <v>32000</v>
      </c>
      <c r="P129" s="9">
        <f t="shared" si="153"/>
        <v>32900</v>
      </c>
      <c r="Q129" s="9">
        <f t="shared" si="153"/>
        <v>33800</v>
      </c>
      <c r="R129" s="9">
        <f t="shared" si="153"/>
        <v>34900</v>
      </c>
      <c r="S129" s="47">
        <f t="shared" ref="S129" si="154">SUM(S561:S566)</f>
        <v>36000</v>
      </c>
    </row>
    <row r="130" spans="1:19" ht="12.75" customHeight="1" x14ac:dyDescent="0.2">
      <c r="A130" s="54">
        <f>ROUND(SUM(A567:A570),-3)</f>
        <v>11000</v>
      </c>
      <c r="B130" s="9">
        <f>ROUND(SUM(B567:B570),-2)</f>
        <v>12000</v>
      </c>
      <c r="C130" s="9">
        <f>SUM(C567:C570)</f>
        <v>13800</v>
      </c>
      <c r="D130" s="9">
        <f>SUM(D567:D570)</f>
        <v>14000</v>
      </c>
      <c r="E130" s="9">
        <f>SUM(E567:E570)</f>
        <v>16200</v>
      </c>
      <c r="F130" s="167">
        <v>30021</v>
      </c>
      <c r="G130" s="31" t="s">
        <v>707</v>
      </c>
      <c r="H130" s="9">
        <f>SUM(H567:H570)</f>
        <v>12800</v>
      </c>
      <c r="I130" s="85">
        <f>IF(E130=H130,0,IF(E130=0,100,(H130-E130)/E130*100))</f>
        <v>-20.987654320987652</v>
      </c>
      <c r="J130" s="89">
        <f t="shared" ref="J130:R130" si="155">SUM(J567:J570)</f>
        <v>12500</v>
      </c>
      <c r="K130" s="9">
        <f t="shared" si="155"/>
        <v>12900</v>
      </c>
      <c r="L130" s="9">
        <f t="shared" si="155"/>
        <v>13400</v>
      </c>
      <c r="M130" s="9">
        <f t="shared" si="155"/>
        <v>13900</v>
      </c>
      <c r="N130" s="9">
        <f t="shared" si="155"/>
        <v>14400</v>
      </c>
      <c r="O130" s="9">
        <f t="shared" si="155"/>
        <v>14900</v>
      </c>
      <c r="P130" s="9">
        <f t="shared" si="155"/>
        <v>15400</v>
      </c>
      <c r="Q130" s="9">
        <f t="shared" si="155"/>
        <v>15900</v>
      </c>
      <c r="R130" s="9">
        <f t="shared" si="155"/>
        <v>16400</v>
      </c>
      <c r="S130" s="47">
        <f t="shared" ref="S130" si="156">SUM(S567:S570)</f>
        <v>16900</v>
      </c>
    </row>
    <row r="131" spans="1:19" ht="12.75" customHeight="1" x14ac:dyDescent="0.2">
      <c r="A131" s="54"/>
      <c r="B131" s="9"/>
      <c r="C131" s="9"/>
      <c r="D131" s="9"/>
      <c r="E131" s="9"/>
      <c r="F131" s="167"/>
      <c r="G131" s="32" t="s">
        <v>1112</v>
      </c>
      <c r="H131" s="9"/>
      <c r="I131" s="85"/>
      <c r="J131" s="89"/>
      <c r="K131" s="9"/>
      <c r="L131" s="9"/>
      <c r="M131" s="9"/>
      <c r="N131" s="9"/>
      <c r="O131" s="9"/>
      <c r="P131" s="9"/>
      <c r="Q131" s="9"/>
      <c r="R131" s="9"/>
      <c r="S131" s="47"/>
    </row>
    <row r="132" spans="1:19" ht="12.75" customHeight="1" x14ac:dyDescent="0.2">
      <c r="A132" s="54">
        <f>ROUND(A573,-3)</f>
        <v>3000</v>
      </c>
      <c r="B132" s="9">
        <f>ROUND(B573,-2)</f>
        <v>2900</v>
      </c>
      <c r="C132" s="9">
        <f t="shared" ref="C132:E133" si="157">C573</f>
        <v>2500</v>
      </c>
      <c r="D132" s="9">
        <f t="shared" si="157"/>
        <v>2200</v>
      </c>
      <c r="E132" s="9">
        <f t="shared" si="157"/>
        <v>1800</v>
      </c>
      <c r="F132" s="167">
        <v>35111</v>
      </c>
      <c r="G132" s="31" t="s">
        <v>3730</v>
      </c>
      <c r="H132" s="9">
        <f>H573</f>
        <v>1300</v>
      </c>
      <c r="I132" s="85">
        <f>IF(E132=H132,0,IF(E132=0,100,(H132-E132)/E132*100))</f>
        <v>-27.777777777777779</v>
      </c>
      <c r="J132" s="89">
        <f t="shared" ref="J132:R132" si="158">J573</f>
        <v>800</v>
      </c>
      <c r="K132" s="9">
        <f t="shared" si="158"/>
        <v>300</v>
      </c>
      <c r="L132" s="9">
        <f t="shared" si="158"/>
        <v>0</v>
      </c>
      <c r="M132" s="9">
        <f t="shared" si="158"/>
        <v>0</v>
      </c>
      <c r="N132" s="9">
        <f t="shared" si="158"/>
        <v>0</v>
      </c>
      <c r="O132" s="9">
        <f t="shared" si="158"/>
        <v>0</v>
      </c>
      <c r="P132" s="9">
        <f t="shared" si="158"/>
        <v>0</v>
      </c>
      <c r="Q132" s="9">
        <f t="shared" si="158"/>
        <v>0</v>
      </c>
      <c r="R132" s="9">
        <f t="shared" si="158"/>
        <v>0</v>
      </c>
      <c r="S132" s="47">
        <f t="shared" ref="S132" si="159">S573</f>
        <v>0</v>
      </c>
    </row>
    <row r="133" spans="1:19" ht="12.75" customHeight="1" x14ac:dyDescent="0.2">
      <c r="A133" s="54">
        <f>ROUND(A574,-3)</f>
        <v>11000</v>
      </c>
      <c r="B133" s="9">
        <f>ROUND(B574,-2)</f>
        <v>10400</v>
      </c>
      <c r="C133" s="9">
        <f t="shared" si="157"/>
        <v>9600</v>
      </c>
      <c r="D133" s="9">
        <f t="shared" si="157"/>
        <v>8900</v>
      </c>
      <c r="E133" s="9">
        <f t="shared" si="157"/>
        <v>7900</v>
      </c>
      <c r="F133" s="167">
        <v>35111</v>
      </c>
      <c r="G133" s="31" t="s">
        <v>3482</v>
      </c>
      <c r="H133" s="9">
        <f>H574</f>
        <v>7000</v>
      </c>
      <c r="I133" s="85">
        <f>IF(E133=H133,0,IF(E133=0,100,(H133-E133)/E133*100))</f>
        <v>-11.39240506329114</v>
      </c>
      <c r="J133" s="89">
        <f t="shared" ref="J133:R133" si="160">J574</f>
        <v>6000</v>
      </c>
      <c r="K133" s="9">
        <f t="shared" si="160"/>
        <v>5000</v>
      </c>
      <c r="L133" s="9">
        <f t="shared" si="160"/>
        <v>3700</v>
      </c>
      <c r="M133" s="9">
        <f t="shared" si="160"/>
        <v>2500</v>
      </c>
      <c r="N133" s="9">
        <f t="shared" si="160"/>
        <v>1100</v>
      </c>
      <c r="O133" s="9">
        <f t="shared" si="160"/>
        <v>0</v>
      </c>
      <c r="P133" s="9">
        <f t="shared" si="160"/>
        <v>0</v>
      </c>
      <c r="Q133" s="9">
        <f t="shared" si="160"/>
        <v>0</v>
      </c>
      <c r="R133" s="9">
        <f t="shared" si="160"/>
        <v>0</v>
      </c>
      <c r="S133" s="47">
        <f t="shared" ref="S133" si="161">S574</f>
        <v>0</v>
      </c>
    </row>
    <row r="134" spans="1:19" s="2226" customFormat="1" ht="12.75" customHeight="1" x14ac:dyDescent="0.2">
      <c r="A134" s="25"/>
      <c r="B134" s="79"/>
      <c r="C134" s="9"/>
      <c r="D134" s="9"/>
      <c r="E134" s="706"/>
      <c r="F134" s="770"/>
      <c r="G134" s="853" t="s">
        <v>261</v>
      </c>
      <c r="H134" s="79"/>
      <c r="I134" s="584"/>
      <c r="J134" s="77"/>
      <c r="K134" s="79"/>
      <c r="L134" s="79"/>
      <c r="M134" s="79"/>
      <c r="N134" s="79"/>
      <c r="O134" s="79"/>
      <c r="P134" s="79"/>
      <c r="Q134" s="79"/>
      <c r="R134" s="79"/>
      <c r="S134" s="2346"/>
    </row>
    <row r="135" spans="1:19" s="2226" customFormat="1" ht="12.75" customHeight="1" x14ac:dyDescent="0.2">
      <c r="A135" s="25">
        <f>A577</f>
        <v>274700</v>
      </c>
      <c r="B135" s="79">
        <f>B577</f>
        <v>2600</v>
      </c>
      <c r="C135" s="707">
        <f>C577</f>
        <v>49600</v>
      </c>
      <c r="D135" s="707">
        <f>D577</f>
        <v>50900</v>
      </c>
      <c r="E135" s="706">
        <f>E577</f>
        <v>52600</v>
      </c>
      <c r="F135" s="1153">
        <v>35107</v>
      </c>
      <c r="G135" s="242" t="s">
        <v>2775</v>
      </c>
      <c r="H135" s="79">
        <f>H577</f>
        <v>51000</v>
      </c>
      <c r="I135" s="584">
        <f>IF(E135=H135,0,IF(E135=0,100,(H135-E135)/E135*100))</f>
        <v>-3.041825095057034</v>
      </c>
      <c r="J135" s="77">
        <f t="shared" ref="J135:R135" si="162">J577</f>
        <v>55000</v>
      </c>
      <c r="K135" s="79">
        <f t="shared" si="162"/>
        <v>56100</v>
      </c>
      <c r="L135" s="79">
        <f t="shared" si="162"/>
        <v>57300</v>
      </c>
      <c r="M135" s="79">
        <f t="shared" si="162"/>
        <v>58500</v>
      </c>
      <c r="N135" s="79">
        <f t="shared" si="162"/>
        <v>59700</v>
      </c>
      <c r="O135" s="79">
        <f t="shared" si="162"/>
        <v>60900</v>
      </c>
      <c r="P135" s="79">
        <f t="shared" si="162"/>
        <v>62200</v>
      </c>
      <c r="Q135" s="79">
        <f t="shared" si="162"/>
        <v>63500</v>
      </c>
      <c r="R135" s="79">
        <f t="shared" si="162"/>
        <v>64800</v>
      </c>
      <c r="S135" s="2346">
        <f t="shared" ref="S135" si="163">S577</f>
        <v>66100</v>
      </c>
    </row>
    <row r="136" spans="1:19" s="2226" customFormat="1" ht="12.75" customHeight="1" x14ac:dyDescent="0.2">
      <c r="A136" s="25">
        <f>A648</f>
        <v>43800</v>
      </c>
      <c r="B136" s="79">
        <f>B648</f>
        <v>45000</v>
      </c>
      <c r="C136" s="9">
        <f>C648</f>
        <v>45100</v>
      </c>
      <c r="D136" s="707">
        <f>D648</f>
        <v>46000</v>
      </c>
      <c r="E136" s="706">
        <f>E648</f>
        <v>48200</v>
      </c>
      <c r="F136" s="773">
        <v>35160</v>
      </c>
      <c r="G136" s="1154" t="s">
        <v>3639</v>
      </c>
      <c r="H136" s="79">
        <f>H648</f>
        <v>45900</v>
      </c>
      <c r="I136" s="85">
        <f>IF(E136=H136,0,IF(E136=0,100,(H136-E136)/E136*100))</f>
        <v>-4.7717842323651452</v>
      </c>
      <c r="J136" s="77">
        <f t="shared" ref="J136:R136" si="164">J648</f>
        <v>50000</v>
      </c>
      <c r="K136" s="79">
        <f t="shared" si="164"/>
        <v>51000</v>
      </c>
      <c r="L136" s="79">
        <f t="shared" si="164"/>
        <v>52100</v>
      </c>
      <c r="M136" s="79">
        <f t="shared" si="164"/>
        <v>53200</v>
      </c>
      <c r="N136" s="79">
        <f t="shared" si="164"/>
        <v>54300</v>
      </c>
      <c r="O136" s="79">
        <f t="shared" si="164"/>
        <v>55400</v>
      </c>
      <c r="P136" s="79">
        <f t="shared" si="164"/>
        <v>56600</v>
      </c>
      <c r="Q136" s="79">
        <f t="shared" si="164"/>
        <v>57800</v>
      </c>
      <c r="R136" s="79">
        <f t="shared" si="164"/>
        <v>59000</v>
      </c>
      <c r="S136" s="2346">
        <f t="shared" ref="S136" si="165">S648</f>
        <v>60200</v>
      </c>
    </row>
    <row r="137" spans="1:19" s="2226" customFormat="1" ht="12.75" customHeight="1" x14ac:dyDescent="0.2">
      <c r="A137" s="25">
        <f t="shared" ref="A137:D138" si="166">A578</f>
        <v>438900</v>
      </c>
      <c r="B137" s="79">
        <f t="shared" si="166"/>
        <v>490200</v>
      </c>
      <c r="C137" s="707">
        <f t="shared" si="166"/>
        <v>530000</v>
      </c>
      <c r="D137" s="707">
        <f t="shared" si="166"/>
        <v>540700</v>
      </c>
      <c r="E137" s="706">
        <f>E578</f>
        <v>562500</v>
      </c>
      <c r="F137" s="1153">
        <v>35110</v>
      </c>
      <c r="G137" s="29" t="s">
        <v>718</v>
      </c>
      <c r="H137" s="79">
        <f>H578</f>
        <v>540600</v>
      </c>
      <c r="I137" s="584">
        <f>IF(E137=H137,0,IF(E137=0,100,(H137-E137)/E137*100))</f>
        <v>-3.8933333333333335</v>
      </c>
      <c r="J137" s="77">
        <f t="shared" ref="J137:R137" si="167">J578</f>
        <v>611500</v>
      </c>
      <c r="K137" s="79">
        <f t="shared" si="167"/>
        <v>703800</v>
      </c>
      <c r="L137" s="79">
        <f t="shared" si="167"/>
        <v>717900</v>
      </c>
      <c r="M137" s="79">
        <f t="shared" si="167"/>
        <v>732300</v>
      </c>
      <c r="N137" s="79">
        <f t="shared" si="167"/>
        <v>747000</v>
      </c>
      <c r="O137" s="79">
        <f t="shared" si="167"/>
        <v>762000</v>
      </c>
      <c r="P137" s="79">
        <f t="shared" si="167"/>
        <v>777300</v>
      </c>
      <c r="Q137" s="79">
        <f t="shared" si="167"/>
        <v>792900</v>
      </c>
      <c r="R137" s="79">
        <f t="shared" si="167"/>
        <v>808800</v>
      </c>
      <c r="S137" s="2346">
        <f t="shared" ref="S137" si="168">S578</f>
        <v>825000</v>
      </c>
    </row>
    <row r="138" spans="1:19" s="2226" customFormat="1" ht="12.75" customHeight="1" thickBot="1" x14ac:dyDescent="0.25">
      <c r="A138" s="25">
        <f t="shared" si="166"/>
        <v>180800</v>
      </c>
      <c r="B138" s="79">
        <f t="shared" si="166"/>
        <v>200000</v>
      </c>
      <c r="C138" s="707">
        <f t="shared" si="166"/>
        <v>260000</v>
      </c>
      <c r="D138" s="707">
        <f t="shared" si="166"/>
        <v>270100</v>
      </c>
      <c r="E138" s="706">
        <f>E579</f>
        <v>270400</v>
      </c>
      <c r="F138" s="1153">
        <v>30021</v>
      </c>
      <c r="G138" s="29" t="s">
        <v>523</v>
      </c>
      <c r="H138" s="79">
        <f>H579</f>
        <v>265200</v>
      </c>
      <c r="I138" s="584">
        <f>IF(E138=H138,0,IF(E138=0,100,(H138-E138)/E138*100))</f>
        <v>-1.9230769230769231</v>
      </c>
      <c r="J138" s="77">
        <f t="shared" ref="J138:R138" si="169">J579</f>
        <v>275000</v>
      </c>
      <c r="K138" s="79">
        <f t="shared" si="169"/>
        <v>280500</v>
      </c>
      <c r="L138" s="79">
        <f t="shared" si="169"/>
        <v>286200</v>
      </c>
      <c r="M138" s="79">
        <f t="shared" si="169"/>
        <v>292000</v>
      </c>
      <c r="N138" s="79">
        <f t="shared" si="169"/>
        <v>297900</v>
      </c>
      <c r="O138" s="79">
        <f t="shared" si="169"/>
        <v>303900</v>
      </c>
      <c r="P138" s="79">
        <f t="shared" si="169"/>
        <v>310000</v>
      </c>
      <c r="Q138" s="79">
        <f t="shared" si="169"/>
        <v>316200</v>
      </c>
      <c r="R138" s="79">
        <f t="shared" si="169"/>
        <v>322600</v>
      </c>
      <c r="S138" s="2346">
        <f t="shared" ref="S138" si="170">S579</f>
        <v>329100</v>
      </c>
    </row>
    <row r="139" spans="1:19" s="39" customFormat="1" ht="12.75" customHeight="1" x14ac:dyDescent="0.2">
      <c r="A139" s="52">
        <f>SUM(A118:A138)</f>
        <v>1756400</v>
      </c>
      <c r="B139" s="16">
        <f>SUM(B118:B138)</f>
        <v>1824300</v>
      </c>
      <c r="C139" s="16">
        <f>SUM(C118:C138)</f>
        <v>2107200</v>
      </c>
      <c r="D139" s="16">
        <f>SUM(D118:D138)</f>
        <v>2177700</v>
      </c>
      <c r="E139" s="16">
        <f>SUM(E118:E138)</f>
        <v>2274100</v>
      </c>
      <c r="F139" s="2207"/>
      <c r="G139" s="59" t="s">
        <v>556</v>
      </c>
      <c r="H139" s="16">
        <f>SUM(H118:H138)</f>
        <v>2323400</v>
      </c>
      <c r="I139" s="127">
        <f>IF(E139=H139,0,IF(E139=0,100,(H139-E139)/E139*100))</f>
        <v>2.1678905940811748</v>
      </c>
      <c r="J139" s="102">
        <f t="shared" ref="J139:S139" si="171">SUM(J118:J138)</f>
        <v>2650900</v>
      </c>
      <c r="K139" s="16">
        <f t="shared" si="171"/>
        <v>3005200</v>
      </c>
      <c r="L139" s="16">
        <f t="shared" si="171"/>
        <v>3076000</v>
      </c>
      <c r="M139" s="16">
        <f t="shared" si="171"/>
        <v>3150300</v>
      </c>
      <c r="N139" s="16">
        <f t="shared" si="171"/>
        <v>3224100</v>
      </c>
      <c r="O139" s="16">
        <f t="shared" si="171"/>
        <v>3301800</v>
      </c>
      <c r="P139" s="16">
        <f t="shared" si="171"/>
        <v>3380900</v>
      </c>
      <c r="Q139" s="16">
        <f t="shared" si="171"/>
        <v>3462800</v>
      </c>
      <c r="R139" s="16">
        <f t="shared" si="171"/>
        <v>3545500</v>
      </c>
      <c r="S139" s="2342">
        <f t="shared" si="171"/>
        <v>3631400</v>
      </c>
    </row>
    <row r="140" spans="1:19" ht="12.75" customHeight="1" x14ac:dyDescent="0.2">
      <c r="A140" s="54"/>
      <c r="B140" s="9"/>
      <c r="C140" s="9"/>
      <c r="D140" s="9"/>
      <c r="E140" s="9"/>
      <c r="F140" s="483"/>
      <c r="G140" s="55"/>
      <c r="H140" s="9"/>
      <c r="I140" s="85"/>
      <c r="J140" s="89"/>
      <c r="K140" s="9"/>
      <c r="L140" s="9"/>
      <c r="M140" s="9"/>
      <c r="N140" s="9"/>
      <c r="O140" s="9"/>
      <c r="P140" s="9"/>
      <c r="Q140" s="9"/>
      <c r="R140" s="9"/>
      <c r="S140" s="47"/>
    </row>
    <row r="141" spans="1:19" s="39" customFormat="1" ht="12.75" customHeight="1" x14ac:dyDescent="0.2">
      <c r="A141" s="24">
        <f>A115-A139</f>
        <v>-1416400</v>
      </c>
      <c r="B141" s="21">
        <f>B115-B139</f>
        <v>-1434400</v>
      </c>
      <c r="C141" s="21">
        <f>C115-C139</f>
        <v>-1617800</v>
      </c>
      <c r="D141" s="21">
        <f>D115-D139</f>
        <v>-1657300</v>
      </c>
      <c r="E141" s="21">
        <f>E115-E139</f>
        <v>-1721800</v>
      </c>
      <c r="F141" s="484"/>
      <c r="G141" s="366" t="s">
        <v>1002</v>
      </c>
      <c r="H141" s="21">
        <f>H115-H139</f>
        <v>-1753800</v>
      </c>
      <c r="I141" s="126">
        <f>IF(E141=H141,0,IF(E141=0,100,(H141-E141)/E141*100))</f>
        <v>1.8585201533279125</v>
      </c>
      <c r="J141" s="75">
        <f t="shared" ref="J141:S141" si="172">J115-J139</f>
        <v>-1923500</v>
      </c>
      <c r="K141" s="21">
        <f t="shared" si="172"/>
        <v>-2141600</v>
      </c>
      <c r="L141" s="21">
        <f t="shared" si="172"/>
        <v>-2189600</v>
      </c>
      <c r="M141" s="21">
        <f t="shared" si="172"/>
        <v>-2240500</v>
      </c>
      <c r="N141" s="21">
        <f t="shared" si="172"/>
        <v>-2290200</v>
      </c>
      <c r="O141" s="21">
        <f t="shared" si="172"/>
        <v>-2343200</v>
      </c>
      <c r="P141" s="21">
        <f t="shared" si="172"/>
        <v>-2396900</v>
      </c>
      <c r="Q141" s="21">
        <f t="shared" si="172"/>
        <v>-2452700</v>
      </c>
      <c r="R141" s="21">
        <f t="shared" si="172"/>
        <v>-2508800</v>
      </c>
      <c r="S141" s="86">
        <f t="shared" si="172"/>
        <v>-2567500</v>
      </c>
    </row>
    <row r="142" spans="1:19" ht="12.75" customHeight="1" x14ac:dyDescent="0.2">
      <c r="A142" s="54">
        <f>SUM(A135:A138)</f>
        <v>938200</v>
      </c>
      <c r="B142" s="9">
        <f>SUM(B135:B138)</f>
        <v>737800</v>
      </c>
      <c r="C142" s="9">
        <f>SUM(C135:C138)</f>
        <v>884700</v>
      </c>
      <c r="D142" s="9">
        <f>SUM(D135:D138)</f>
        <v>907700</v>
      </c>
      <c r="E142" s="322">
        <f>SUM(E135:E138)</f>
        <v>933700</v>
      </c>
      <c r="F142" s="483"/>
      <c r="G142" s="1462" t="s">
        <v>1943</v>
      </c>
      <c r="H142" s="9">
        <f>SUM(H135:H138)</f>
        <v>902700</v>
      </c>
      <c r="I142" s="85">
        <f>IF(E142=H142,0,IF(E142=0,100,(H142-E142)/E142*100))</f>
        <v>-3.3201242369069295</v>
      </c>
      <c r="J142" s="89">
        <f t="shared" ref="J142:S142" si="173">SUM(J135:J138)</f>
        <v>991500</v>
      </c>
      <c r="K142" s="9">
        <f t="shared" si="173"/>
        <v>1091400</v>
      </c>
      <c r="L142" s="9">
        <f t="shared" si="173"/>
        <v>1113500</v>
      </c>
      <c r="M142" s="9">
        <f t="shared" si="173"/>
        <v>1136000</v>
      </c>
      <c r="N142" s="9">
        <f t="shared" si="173"/>
        <v>1158900</v>
      </c>
      <c r="O142" s="9">
        <f t="shared" si="173"/>
        <v>1182200</v>
      </c>
      <c r="P142" s="9">
        <f t="shared" si="173"/>
        <v>1206100</v>
      </c>
      <c r="Q142" s="9">
        <f t="shared" si="173"/>
        <v>1230400</v>
      </c>
      <c r="R142" s="9">
        <f t="shared" si="173"/>
        <v>1255200</v>
      </c>
      <c r="S142" s="47">
        <f t="shared" si="173"/>
        <v>1280400</v>
      </c>
    </row>
    <row r="143" spans="1:19" s="39" customFormat="1" ht="12.75" customHeight="1" x14ac:dyDescent="0.2">
      <c r="A143" s="128">
        <f>A141+A142</f>
        <v>-478200</v>
      </c>
      <c r="B143" s="280">
        <f>B141+B142</f>
        <v>-696600</v>
      </c>
      <c r="C143" s="280">
        <f>C141+C142</f>
        <v>-733100</v>
      </c>
      <c r="D143" s="280">
        <f>D141+D142</f>
        <v>-749600</v>
      </c>
      <c r="E143" s="280">
        <f>E141+E142</f>
        <v>-788100</v>
      </c>
      <c r="F143" s="485"/>
      <c r="G143" s="360" t="s">
        <v>1659</v>
      </c>
      <c r="H143" s="280">
        <f>H141+H142</f>
        <v>-851100</v>
      </c>
      <c r="I143" s="278">
        <f>IF(E143=H143,0,IF(E143=0,100,(H143-E143)/E143*100))</f>
        <v>7.9939094023601065</v>
      </c>
      <c r="J143" s="266">
        <f t="shared" ref="J143:R143" si="174">J141+J142</f>
        <v>-932000</v>
      </c>
      <c r="K143" s="280">
        <f t="shared" si="174"/>
        <v>-1050200</v>
      </c>
      <c r="L143" s="280">
        <f t="shared" si="174"/>
        <v>-1076100</v>
      </c>
      <c r="M143" s="280">
        <f t="shared" si="174"/>
        <v>-1104500</v>
      </c>
      <c r="N143" s="280">
        <f t="shared" si="174"/>
        <v>-1131300</v>
      </c>
      <c r="O143" s="280">
        <f t="shared" si="174"/>
        <v>-1161000</v>
      </c>
      <c r="P143" s="280">
        <f t="shared" si="174"/>
        <v>-1190800</v>
      </c>
      <c r="Q143" s="280">
        <f t="shared" si="174"/>
        <v>-1222300</v>
      </c>
      <c r="R143" s="280">
        <f t="shared" si="174"/>
        <v>-1253600</v>
      </c>
      <c r="S143" s="2343">
        <f t="shared" ref="S143" si="175">S141+S142</f>
        <v>-1287100</v>
      </c>
    </row>
    <row r="144" spans="1:19" ht="12.75" customHeight="1" thickBot="1" x14ac:dyDescent="0.25">
      <c r="A144" s="26"/>
      <c r="B144" s="37"/>
      <c r="C144" s="37"/>
      <c r="D144" s="37"/>
      <c r="E144" s="37"/>
      <c r="F144" s="491"/>
      <c r="G144" s="88"/>
      <c r="H144" s="68"/>
      <c r="I144" s="275"/>
      <c r="J144" s="42"/>
      <c r="K144" s="68"/>
      <c r="L144" s="68"/>
      <c r="M144" s="68"/>
      <c r="N144" s="68"/>
      <c r="O144" s="68"/>
      <c r="P144" s="68"/>
      <c r="Q144" s="68"/>
      <c r="R144" s="68"/>
      <c r="S144" s="2344"/>
    </row>
    <row r="145" spans="1:19" ht="12.75" customHeight="1" thickTop="1" x14ac:dyDescent="0.2">
      <c r="A145" s="24"/>
      <c r="B145" s="21"/>
      <c r="C145" s="21"/>
      <c r="D145" s="75"/>
      <c r="E145" s="21"/>
      <c r="F145" s="2375"/>
      <c r="G145" s="258"/>
      <c r="H145" s="9"/>
      <c r="I145" s="126"/>
      <c r="J145" s="89"/>
      <c r="K145" s="9"/>
      <c r="L145" s="9"/>
      <c r="M145" s="9"/>
      <c r="N145" s="9"/>
      <c r="O145" s="9"/>
      <c r="P145" s="9"/>
      <c r="Q145" s="9"/>
      <c r="R145" s="9"/>
      <c r="S145" s="47"/>
    </row>
    <row r="146" spans="1:19" ht="12.75" customHeight="1" x14ac:dyDescent="0.2">
      <c r="A146" s="24"/>
      <c r="B146" s="21"/>
      <c r="C146" s="21"/>
      <c r="D146" s="1182"/>
      <c r="E146" s="21"/>
      <c r="F146" s="468"/>
      <c r="G146" s="1160" t="s">
        <v>192</v>
      </c>
      <c r="H146" s="9"/>
      <c r="I146" s="126"/>
      <c r="J146" s="89"/>
      <c r="K146" s="9"/>
      <c r="L146" s="9"/>
      <c r="M146" s="9"/>
      <c r="N146" s="9"/>
      <c r="O146" s="9"/>
      <c r="P146" s="9"/>
      <c r="Q146" s="9"/>
      <c r="R146" s="9"/>
      <c r="S146" s="47"/>
    </row>
    <row r="147" spans="1:19" ht="12.75" customHeight="1" x14ac:dyDescent="0.2">
      <c r="A147" s="54">
        <f>ROUND(A588+A654,-3)</f>
        <v>15000</v>
      </c>
      <c r="B147" s="9">
        <f>ROUND(B588+B654,-2)</f>
        <v>16200</v>
      </c>
      <c r="C147" s="9">
        <f t="shared" ref="C147:E151" si="176">C588+C654</f>
        <v>17300</v>
      </c>
      <c r="D147" s="9">
        <f t="shared" si="176"/>
        <v>18500</v>
      </c>
      <c r="E147" s="9">
        <f t="shared" si="176"/>
        <v>19900</v>
      </c>
      <c r="F147" s="468"/>
      <c r="G147" s="1173" t="s">
        <v>1759</v>
      </c>
      <c r="H147" s="9">
        <f>H588+H654</f>
        <v>21300</v>
      </c>
      <c r="I147" s="85"/>
      <c r="J147" s="89">
        <f t="shared" ref="J147:R147" si="177">J588+J654</f>
        <v>22700</v>
      </c>
      <c r="K147" s="9">
        <f t="shared" si="177"/>
        <v>22800</v>
      </c>
      <c r="L147" s="9">
        <f t="shared" si="177"/>
        <v>16900</v>
      </c>
      <c r="M147" s="9">
        <f t="shared" si="177"/>
        <v>18100</v>
      </c>
      <c r="N147" s="9">
        <f t="shared" si="177"/>
        <v>19500</v>
      </c>
      <c r="O147" s="9">
        <f t="shared" si="177"/>
        <v>0</v>
      </c>
      <c r="P147" s="9">
        <f t="shared" si="177"/>
        <v>0</v>
      </c>
      <c r="Q147" s="9">
        <f t="shared" si="177"/>
        <v>0</v>
      </c>
      <c r="R147" s="9">
        <f t="shared" si="177"/>
        <v>0</v>
      </c>
      <c r="S147" s="47">
        <f t="shared" ref="S147" si="178">S588+S654</f>
        <v>0</v>
      </c>
    </row>
    <row r="148" spans="1:19" ht="12.75" customHeight="1" x14ac:dyDescent="0.2">
      <c r="A148" s="54">
        <f>ROUND(A589+A655,-3)</f>
        <v>104000</v>
      </c>
      <c r="B148" s="9">
        <f>ROUND(B589+B655,-2)</f>
        <v>179100</v>
      </c>
      <c r="C148" s="9">
        <f t="shared" si="176"/>
        <v>369900</v>
      </c>
      <c r="D148" s="9">
        <f t="shared" si="176"/>
        <v>81300</v>
      </c>
      <c r="E148" s="9">
        <f t="shared" si="176"/>
        <v>1110000</v>
      </c>
      <c r="F148" s="2214"/>
      <c r="G148" s="1173" t="s">
        <v>1909</v>
      </c>
      <c r="H148" s="9">
        <f>H589+H655</f>
        <v>2048900</v>
      </c>
      <c r="I148" s="85"/>
      <c r="J148" s="89">
        <f t="shared" ref="J148:R148" si="179">J589+J655</f>
        <v>5017000</v>
      </c>
      <c r="K148" s="9">
        <f t="shared" si="179"/>
        <v>17200</v>
      </c>
      <c r="L148" s="9">
        <f t="shared" si="179"/>
        <v>17400</v>
      </c>
      <c r="M148" s="9">
        <f t="shared" si="179"/>
        <v>17600</v>
      </c>
      <c r="N148" s="9">
        <f t="shared" si="179"/>
        <v>17800</v>
      </c>
      <c r="O148" s="9">
        <f t="shared" si="179"/>
        <v>18000</v>
      </c>
      <c r="P148" s="9">
        <f t="shared" si="179"/>
        <v>18200</v>
      </c>
      <c r="Q148" s="9">
        <f t="shared" si="179"/>
        <v>18500</v>
      </c>
      <c r="R148" s="9">
        <f t="shared" si="179"/>
        <v>18800</v>
      </c>
      <c r="S148" s="47">
        <f t="shared" ref="S148" si="180">S589+S655</f>
        <v>19100</v>
      </c>
    </row>
    <row r="149" spans="1:19" ht="12.75" customHeight="1" x14ac:dyDescent="0.2">
      <c r="A149" s="54">
        <f>ROUND(A590+A656,-3)</f>
        <v>100000</v>
      </c>
      <c r="B149" s="9">
        <f>ROUND(B590+B656,-2)</f>
        <v>439700</v>
      </c>
      <c r="C149" s="9">
        <f t="shared" si="176"/>
        <v>121100</v>
      </c>
      <c r="D149" s="9">
        <f t="shared" si="176"/>
        <v>344400</v>
      </c>
      <c r="E149" s="9">
        <f t="shared" si="176"/>
        <v>1051300</v>
      </c>
      <c r="F149" s="468"/>
      <c r="G149" s="1173" t="s">
        <v>2309</v>
      </c>
      <c r="H149" s="9">
        <f>H590+H656</f>
        <v>3103500</v>
      </c>
      <c r="I149" s="85"/>
      <c r="J149" s="89">
        <f t="shared" ref="J149:R149" si="181">J590+J656</f>
        <v>12332000</v>
      </c>
      <c r="K149" s="9">
        <f t="shared" si="181"/>
        <v>0</v>
      </c>
      <c r="L149" s="9">
        <f t="shared" si="181"/>
        <v>0</v>
      </c>
      <c r="M149" s="9">
        <f t="shared" si="181"/>
        <v>0</v>
      </c>
      <c r="N149" s="9">
        <f t="shared" si="181"/>
        <v>0</v>
      </c>
      <c r="O149" s="9">
        <f t="shared" si="181"/>
        <v>0</v>
      </c>
      <c r="P149" s="9">
        <f t="shared" si="181"/>
        <v>0</v>
      </c>
      <c r="Q149" s="9">
        <f t="shared" si="181"/>
        <v>0</v>
      </c>
      <c r="R149" s="9">
        <f t="shared" si="181"/>
        <v>0</v>
      </c>
      <c r="S149" s="47">
        <f t="shared" ref="S149" si="182">S590+S656</f>
        <v>0</v>
      </c>
    </row>
    <row r="150" spans="1:19" ht="12.75" customHeight="1" x14ac:dyDescent="0.2">
      <c r="A150" s="54">
        <f>ROUND(A591+A657,-3)</f>
        <v>0</v>
      </c>
      <c r="B150" s="9">
        <f>ROUND(B591+B657,-2)</f>
        <v>9200</v>
      </c>
      <c r="C150" s="9">
        <f t="shared" si="176"/>
        <v>180000</v>
      </c>
      <c r="D150" s="9">
        <f t="shared" si="176"/>
        <v>20000</v>
      </c>
      <c r="E150" s="9">
        <f t="shared" si="176"/>
        <v>40000</v>
      </c>
      <c r="F150" s="468"/>
      <c r="G150" s="1173" t="s">
        <v>5847</v>
      </c>
      <c r="H150" s="9">
        <f>H591+H657</f>
        <v>0</v>
      </c>
      <c r="I150" s="85"/>
      <c r="J150" s="89">
        <f t="shared" ref="J150:R150" si="183">J591+J657</f>
        <v>0</v>
      </c>
      <c r="K150" s="9">
        <f t="shared" si="183"/>
        <v>0</v>
      </c>
      <c r="L150" s="9">
        <f t="shared" si="183"/>
        <v>0</v>
      </c>
      <c r="M150" s="9">
        <f t="shared" si="183"/>
        <v>0</v>
      </c>
      <c r="N150" s="9">
        <f t="shared" si="183"/>
        <v>0</v>
      </c>
      <c r="O150" s="9">
        <f t="shared" si="183"/>
        <v>0</v>
      </c>
      <c r="P150" s="9">
        <f t="shared" si="183"/>
        <v>0</v>
      </c>
      <c r="Q150" s="9">
        <f t="shared" si="183"/>
        <v>0</v>
      </c>
      <c r="R150" s="9">
        <f t="shared" si="183"/>
        <v>0</v>
      </c>
      <c r="S150" s="47">
        <f t="shared" ref="S150" si="184">S591+S657</f>
        <v>0</v>
      </c>
    </row>
    <row r="151" spans="1:19" ht="12.75" customHeight="1" x14ac:dyDescent="0.2">
      <c r="A151" s="54">
        <f>ROUND(A592+A658,-3)</f>
        <v>17000</v>
      </c>
      <c r="B151" s="9">
        <f>ROUND(B592+B658,-2)</f>
        <v>281900</v>
      </c>
      <c r="C151" s="9">
        <f t="shared" si="176"/>
        <v>139400</v>
      </c>
      <c r="D151" s="9">
        <f t="shared" si="176"/>
        <v>366400</v>
      </c>
      <c r="E151" s="9">
        <f t="shared" si="176"/>
        <v>23900</v>
      </c>
      <c r="F151" s="468"/>
      <c r="G151" s="1173" t="s">
        <v>958</v>
      </c>
      <c r="H151" s="9">
        <f>H592+H658</f>
        <v>1121100</v>
      </c>
      <c r="I151" s="85"/>
      <c r="J151" s="89">
        <f t="shared" ref="J151:R151" si="185">J592+J658</f>
        <v>7356000</v>
      </c>
      <c r="K151" s="9">
        <f t="shared" si="185"/>
        <v>25000</v>
      </c>
      <c r="L151" s="9">
        <f t="shared" si="185"/>
        <v>26000</v>
      </c>
      <c r="M151" s="9">
        <f t="shared" si="185"/>
        <v>27000</v>
      </c>
      <c r="N151" s="9">
        <f t="shared" si="185"/>
        <v>28000</v>
      </c>
      <c r="O151" s="9">
        <f t="shared" si="185"/>
        <v>29000</v>
      </c>
      <c r="P151" s="9">
        <f t="shared" si="185"/>
        <v>30000</v>
      </c>
      <c r="Q151" s="9">
        <f t="shared" si="185"/>
        <v>31000</v>
      </c>
      <c r="R151" s="9">
        <f t="shared" si="185"/>
        <v>32000</v>
      </c>
      <c r="S151" s="47">
        <f t="shared" ref="S151" si="186">S592+S658</f>
        <v>33000</v>
      </c>
    </row>
    <row r="152" spans="1:19" ht="12.75" customHeight="1" x14ac:dyDescent="0.2">
      <c r="A152" s="54"/>
      <c r="B152" s="9"/>
      <c r="C152" s="9"/>
      <c r="D152" s="99"/>
      <c r="E152" s="9"/>
      <c r="F152" s="468"/>
      <c r="G152" s="361"/>
      <c r="H152" s="9"/>
      <c r="I152" s="85"/>
      <c r="J152" s="89"/>
      <c r="K152" s="9"/>
      <c r="L152" s="9"/>
      <c r="M152" s="9"/>
      <c r="N152" s="9"/>
      <c r="O152" s="9"/>
      <c r="P152" s="9"/>
      <c r="Q152" s="9"/>
      <c r="R152" s="9"/>
      <c r="S152" s="47"/>
    </row>
    <row r="153" spans="1:19" s="39" customFormat="1" ht="12.75" customHeight="1" x14ac:dyDescent="0.2">
      <c r="A153" s="128">
        <f>A143-A147-A148+A149++A150-A151</f>
        <v>-514200</v>
      </c>
      <c r="B153" s="280">
        <f>B143-B147-B148+B149++B150-B151</f>
        <v>-724900</v>
      </c>
      <c r="C153" s="280">
        <f>C143-C147-C148+C149++C150-C151</f>
        <v>-958600</v>
      </c>
      <c r="D153" s="463">
        <f>D143-D147-D148+D149++D150-D151</f>
        <v>-851400</v>
      </c>
      <c r="E153" s="463">
        <f>E143-E147-E148+E149++E150-E151</f>
        <v>-850600</v>
      </c>
      <c r="F153" s="488"/>
      <c r="G153" s="363" t="s">
        <v>2447</v>
      </c>
      <c r="H153" s="280">
        <f>H143-H147-H148+H149++H150-H151</f>
        <v>-938900</v>
      </c>
      <c r="I153" s="278">
        <f>IF(E153=H153,0,IF(E153=0,100,(H153-E153)/E153*100))</f>
        <v>10.380907594639078</v>
      </c>
      <c r="J153" s="266">
        <f t="shared" ref="J153:R153" si="187">J143-J147-J148+J149++J150-J151</f>
        <v>-995700</v>
      </c>
      <c r="K153" s="280">
        <f t="shared" si="187"/>
        <v>-1115200</v>
      </c>
      <c r="L153" s="280">
        <f t="shared" si="187"/>
        <v>-1136400</v>
      </c>
      <c r="M153" s="280">
        <f t="shared" si="187"/>
        <v>-1167200</v>
      </c>
      <c r="N153" s="280">
        <f t="shared" si="187"/>
        <v>-1196600</v>
      </c>
      <c r="O153" s="280">
        <f t="shared" si="187"/>
        <v>-1208000</v>
      </c>
      <c r="P153" s="280">
        <f t="shared" si="187"/>
        <v>-1239000</v>
      </c>
      <c r="Q153" s="280">
        <f t="shared" si="187"/>
        <v>-1271800</v>
      </c>
      <c r="R153" s="280">
        <f t="shared" si="187"/>
        <v>-1304400</v>
      </c>
      <c r="S153" s="2343">
        <f t="shared" ref="S153" si="188">S143-S147-S148+S149++S150-S151</f>
        <v>-1339200</v>
      </c>
    </row>
    <row r="154" spans="1:19" ht="12.75" customHeight="1" thickBot="1" x14ac:dyDescent="0.25">
      <c r="A154" s="26"/>
      <c r="B154" s="37"/>
      <c r="C154" s="37"/>
      <c r="D154" s="277"/>
      <c r="E154" s="67"/>
      <c r="F154" s="489"/>
      <c r="G154" s="259"/>
      <c r="H154" s="23"/>
      <c r="I154" s="275"/>
      <c r="J154" s="113"/>
      <c r="K154" s="23"/>
      <c r="L154" s="23"/>
      <c r="M154" s="23"/>
      <c r="N154" s="23"/>
      <c r="O154" s="23"/>
      <c r="P154" s="23"/>
      <c r="Q154" s="23"/>
      <c r="R154" s="23"/>
      <c r="S154" s="114"/>
    </row>
    <row r="155" spans="1:19" ht="12.75" customHeight="1" thickTop="1" x14ac:dyDescent="0.2">
      <c r="A155" s="24"/>
      <c r="B155" s="21"/>
      <c r="C155" s="21"/>
      <c r="D155" s="1182"/>
      <c r="E155" s="27"/>
      <c r="F155" s="2374"/>
      <c r="G155" s="84"/>
      <c r="H155" s="9"/>
      <c r="I155" s="126"/>
      <c r="J155" s="89"/>
      <c r="K155" s="9"/>
      <c r="L155" s="9"/>
      <c r="M155" s="9"/>
      <c r="N155" s="9"/>
      <c r="O155" s="9"/>
      <c r="P155" s="9"/>
      <c r="Q155" s="9"/>
      <c r="R155" s="9"/>
      <c r="S155" s="47"/>
    </row>
    <row r="156" spans="1:19" ht="12.75" customHeight="1" x14ac:dyDescent="0.2">
      <c r="A156" s="24"/>
      <c r="B156" s="21"/>
      <c r="C156" s="21"/>
      <c r="D156" s="1182"/>
      <c r="E156" s="21"/>
      <c r="F156" s="469"/>
      <c r="G156" s="56" t="s">
        <v>11930</v>
      </c>
      <c r="H156" s="9"/>
      <c r="I156" s="126"/>
      <c r="J156" s="89"/>
      <c r="K156" s="9"/>
      <c r="L156" s="9"/>
      <c r="M156" s="9"/>
      <c r="N156" s="9"/>
      <c r="O156" s="9"/>
      <c r="P156" s="9"/>
      <c r="Q156" s="9"/>
      <c r="R156" s="9"/>
      <c r="S156" s="47"/>
    </row>
    <row r="157" spans="1:19" s="2226" customFormat="1" ht="12.75" customHeight="1" x14ac:dyDescent="0.2">
      <c r="A157" s="25">
        <f>ROUND(A104-A119-A464/3,-3)</f>
        <v>23000</v>
      </c>
      <c r="B157" s="79">
        <f t="shared" ref="B157:E157" si="189">ROUND(B104-B119-B464/3,-3)</f>
        <v>27000</v>
      </c>
      <c r="C157" s="79">
        <f t="shared" si="189"/>
        <v>25000</v>
      </c>
      <c r="D157" s="798">
        <f t="shared" si="189"/>
        <v>20000</v>
      </c>
      <c r="E157" s="79">
        <f t="shared" si="189"/>
        <v>7000</v>
      </c>
      <c r="F157" s="769"/>
      <c r="G157" s="58" t="s">
        <v>11929</v>
      </c>
      <c r="H157" s="79">
        <f t="shared" ref="H157:S157" si="190">ROUND(H104-H119-H464/3,-3)</f>
        <v>8000</v>
      </c>
      <c r="I157" s="584"/>
      <c r="J157" s="77">
        <f t="shared" si="190"/>
        <v>12000</v>
      </c>
      <c r="K157" s="79">
        <f t="shared" si="190"/>
        <v>12000</v>
      </c>
      <c r="L157" s="79">
        <f t="shared" si="190"/>
        <v>12000</v>
      </c>
      <c r="M157" s="79">
        <f t="shared" si="190"/>
        <v>13000</v>
      </c>
      <c r="N157" s="79">
        <f t="shared" si="190"/>
        <v>13000</v>
      </c>
      <c r="O157" s="79">
        <f t="shared" si="190"/>
        <v>13000</v>
      </c>
      <c r="P157" s="79">
        <f t="shared" si="190"/>
        <v>13000</v>
      </c>
      <c r="Q157" s="79">
        <f t="shared" si="190"/>
        <v>13000</v>
      </c>
      <c r="R157" s="79">
        <f t="shared" si="190"/>
        <v>14000</v>
      </c>
      <c r="S157" s="2346">
        <f t="shared" si="190"/>
        <v>14000</v>
      </c>
    </row>
    <row r="158" spans="1:19" ht="12.75" customHeight="1" x14ac:dyDescent="0.2">
      <c r="A158" s="54">
        <f>A105-A120</f>
        <v>-137000</v>
      </c>
      <c r="B158" s="9">
        <f t="shared" ref="B158:E158" si="191">B105-B120</f>
        <v>-159600</v>
      </c>
      <c r="C158" s="9">
        <f t="shared" si="191"/>
        <v>-131600</v>
      </c>
      <c r="D158" s="9">
        <f t="shared" si="191"/>
        <v>-149600</v>
      </c>
      <c r="E158" s="9">
        <f t="shared" si="191"/>
        <v>-159400</v>
      </c>
      <c r="F158" s="469"/>
      <c r="G158" s="31" t="s">
        <v>5916</v>
      </c>
      <c r="H158" s="9">
        <f t="shared" ref="H158:S158" si="192">H105-H120</f>
        <v>-166900</v>
      </c>
      <c r="I158" s="85"/>
      <c r="J158" s="89">
        <f t="shared" si="192"/>
        <v>-153500</v>
      </c>
      <c r="K158" s="9">
        <f t="shared" si="192"/>
        <v>-157600</v>
      </c>
      <c r="L158" s="9">
        <f t="shared" si="192"/>
        <v>-161700</v>
      </c>
      <c r="M158" s="9">
        <f t="shared" si="192"/>
        <v>-165900</v>
      </c>
      <c r="N158" s="9">
        <f t="shared" si="192"/>
        <v>-170200</v>
      </c>
      <c r="O158" s="9">
        <f t="shared" si="192"/>
        <v>-174700</v>
      </c>
      <c r="P158" s="9">
        <f t="shared" si="192"/>
        <v>-179300</v>
      </c>
      <c r="Q158" s="9">
        <f t="shared" si="192"/>
        <v>-184000</v>
      </c>
      <c r="R158" s="9">
        <f t="shared" si="192"/>
        <v>-188900</v>
      </c>
      <c r="S158" s="47">
        <f t="shared" si="192"/>
        <v>-193800</v>
      </c>
    </row>
    <row r="159" spans="1:19" s="2226" customFormat="1" ht="12.75" customHeight="1" x14ac:dyDescent="0.2">
      <c r="A159" s="54">
        <f>ROUND(A106-A121-A464/3,-3)</f>
        <v>-74000</v>
      </c>
      <c r="B159" s="9">
        <f t="shared" ref="B159:E159" si="193">ROUND(B106-B121-B464/3,-3)</f>
        <v>-111000</v>
      </c>
      <c r="C159" s="9">
        <f t="shared" si="193"/>
        <v>-137000</v>
      </c>
      <c r="D159" s="9">
        <f t="shared" si="193"/>
        <v>-144000</v>
      </c>
      <c r="E159" s="9">
        <f t="shared" si="193"/>
        <v>-178000</v>
      </c>
      <c r="F159" s="469"/>
      <c r="G159" s="31" t="s">
        <v>4481</v>
      </c>
      <c r="H159" s="9">
        <f t="shared" ref="H159:S159" si="194">ROUND(H106-H121-H464/3,-3)</f>
        <v>-150000</v>
      </c>
      <c r="I159" s="85"/>
      <c r="J159" s="89">
        <f t="shared" si="194"/>
        <v>-165000</v>
      </c>
      <c r="K159" s="9">
        <f t="shared" si="194"/>
        <v>-170000</v>
      </c>
      <c r="L159" s="9">
        <f t="shared" si="194"/>
        <v>-174000</v>
      </c>
      <c r="M159" s="9">
        <f t="shared" si="194"/>
        <v>-179000</v>
      </c>
      <c r="N159" s="9">
        <f t="shared" si="194"/>
        <v>-184000</v>
      </c>
      <c r="O159" s="9">
        <f t="shared" si="194"/>
        <v>-189000</v>
      </c>
      <c r="P159" s="9">
        <f t="shared" si="194"/>
        <v>-194000</v>
      </c>
      <c r="Q159" s="9">
        <f t="shared" si="194"/>
        <v>-200000</v>
      </c>
      <c r="R159" s="9">
        <f t="shared" si="194"/>
        <v>-205000</v>
      </c>
      <c r="S159" s="47">
        <f t="shared" si="194"/>
        <v>-211000</v>
      </c>
    </row>
    <row r="160" spans="1:19" s="38" customFormat="1" ht="12.75" customHeight="1" x14ac:dyDescent="0.25">
      <c r="A160" s="54">
        <f>A107-A122</f>
        <v>0</v>
      </c>
      <c r="B160" s="9">
        <f t="shared" ref="B160:E160" si="195">B107-B122</f>
        <v>0</v>
      </c>
      <c r="C160" s="9">
        <f t="shared" si="195"/>
        <v>0</v>
      </c>
      <c r="D160" s="9">
        <f t="shared" si="195"/>
        <v>0</v>
      </c>
      <c r="E160" s="9">
        <f t="shared" si="195"/>
        <v>0</v>
      </c>
      <c r="F160" s="469"/>
      <c r="G160" s="31" t="s">
        <v>5900</v>
      </c>
      <c r="H160" s="9">
        <f t="shared" ref="H160:S160" si="196">H107-H122</f>
        <v>0</v>
      </c>
      <c r="I160" s="85"/>
      <c r="J160" s="89">
        <f t="shared" si="196"/>
        <v>-95000</v>
      </c>
      <c r="K160" s="9">
        <f t="shared" si="196"/>
        <v>-192300</v>
      </c>
      <c r="L160" s="9">
        <f t="shared" si="196"/>
        <v>-197600</v>
      </c>
      <c r="M160" s="9">
        <f t="shared" si="196"/>
        <v>-203000</v>
      </c>
      <c r="N160" s="9">
        <f t="shared" si="196"/>
        <v>-208300</v>
      </c>
      <c r="O160" s="9">
        <f t="shared" si="196"/>
        <v>-214100</v>
      </c>
      <c r="P160" s="9">
        <f t="shared" si="196"/>
        <v>-220000</v>
      </c>
      <c r="Q160" s="9">
        <f t="shared" si="196"/>
        <v>-225900</v>
      </c>
      <c r="R160" s="9">
        <f t="shared" si="196"/>
        <v>-231800</v>
      </c>
      <c r="S160" s="47">
        <f t="shared" si="196"/>
        <v>-238100</v>
      </c>
    </row>
    <row r="161" spans="1:19" s="38" customFormat="1" ht="12.75" customHeight="1" x14ac:dyDescent="0.25">
      <c r="A161" s="54">
        <f>ROUND(A108-A123-A464/3,-3)</f>
        <v>-46000</v>
      </c>
      <c r="B161" s="9">
        <f t="shared" ref="B161:E161" si="197">ROUND(B108-B123-B464/3,-3)</f>
        <v>-45000</v>
      </c>
      <c r="C161" s="9">
        <f t="shared" si="197"/>
        <v>-62000</v>
      </c>
      <c r="D161" s="9">
        <f t="shared" si="197"/>
        <v>-66000</v>
      </c>
      <c r="E161" s="9">
        <f t="shared" si="197"/>
        <v>-77000</v>
      </c>
      <c r="F161" s="469"/>
      <c r="G161" s="31" t="s">
        <v>2261</v>
      </c>
      <c r="H161" s="9">
        <f t="shared" ref="H161:S161" si="198">ROUND(H108-H123-H464/3,-3)</f>
        <v>-82000</v>
      </c>
      <c r="I161" s="85"/>
      <c r="J161" s="89">
        <f t="shared" si="198"/>
        <v>-85000</v>
      </c>
      <c r="K161" s="9">
        <f t="shared" si="198"/>
        <v>-87000</v>
      </c>
      <c r="L161" s="9">
        <f t="shared" si="198"/>
        <v>-89000</v>
      </c>
      <c r="M161" s="9">
        <f t="shared" si="198"/>
        <v>-92000</v>
      </c>
      <c r="N161" s="9">
        <f t="shared" si="198"/>
        <v>-94000</v>
      </c>
      <c r="O161" s="9">
        <f t="shared" si="198"/>
        <v>-97000</v>
      </c>
      <c r="P161" s="9">
        <f t="shared" si="198"/>
        <v>-99000</v>
      </c>
      <c r="Q161" s="9">
        <f t="shared" si="198"/>
        <v>-102000</v>
      </c>
      <c r="R161" s="9">
        <f t="shared" si="198"/>
        <v>-104000</v>
      </c>
      <c r="S161" s="47">
        <f t="shared" si="198"/>
        <v>-107000</v>
      </c>
    </row>
    <row r="162" spans="1:19" s="39" customFormat="1" ht="12.75" customHeight="1" x14ac:dyDescent="0.2">
      <c r="A162" s="54">
        <f>A110-A127</f>
        <v>-102200</v>
      </c>
      <c r="B162" s="9">
        <f t="shared" ref="B162:E162" si="199">B110-B127</f>
        <v>-108400</v>
      </c>
      <c r="C162" s="9">
        <f t="shared" si="199"/>
        <v>-167200</v>
      </c>
      <c r="D162" s="99">
        <f t="shared" si="199"/>
        <v>-178700</v>
      </c>
      <c r="E162" s="46">
        <f t="shared" si="199"/>
        <v>-203000</v>
      </c>
      <c r="F162" s="469"/>
      <c r="G162" s="31" t="s">
        <v>2850</v>
      </c>
      <c r="H162" s="9">
        <f t="shared" ref="H162:S162" si="200">H110-H127</f>
        <v>-226900</v>
      </c>
      <c r="I162" s="85"/>
      <c r="J162" s="89">
        <f t="shared" si="200"/>
        <v>-216900</v>
      </c>
      <c r="K162" s="9">
        <f t="shared" si="200"/>
        <v>-222200</v>
      </c>
      <c r="L162" s="9">
        <f t="shared" si="200"/>
        <v>-227200</v>
      </c>
      <c r="M162" s="9">
        <f t="shared" si="200"/>
        <v>-233900</v>
      </c>
      <c r="N162" s="9">
        <f t="shared" si="200"/>
        <v>-239200</v>
      </c>
      <c r="O162" s="9">
        <f t="shared" si="200"/>
        <v>-246000</v>
      </c>
      <c r="P162" s="9">
        <f t="shared" si="200"/>
        <v>-251300</v>
      </c>
      <c r="Q162" s="9">
        <f t="shared" si="200"/>
        <v>-258300</v>
      </c>
      <c r="R162" s="9">
        <f t="shared" si="200"/>
        <v>-264100</v>
      </c>
      <c r="S162" s="47">
        <f t="shared" si="200"/>
        <v>-271400</v>
      </c>
    </row>
    <row r="163" spans="1:19" s="2226" customFormat="1" ht="12.75" customHeight="1" thickBot="1" x14ac:dyDescent="0.25">
      <c r="A163" s="26"/>
      <c r="B163" s="37"/>
      <c r="C163" s="37"/>
      <c r="D163" s="277"/>
      <c r="E163" s="67"/>
      <c r="F163" s="489"/>
      <c r="G163" s="2238"/>
      <c r="H163" s="23"/>
      <c r="I163" s="275"/>
      <c r="J163" s="113"/>
      <c r="K163" s="23"/>
      <c r="L163" s="23"/>
      <c r="M163" s="23"/>
      <c r="N163" s="23"/>
      <c r="O163" s="23"/>
      <c r="P163" s="23"/>
      <c r="Q163" s="23"/>
      <c r="R163" s="23"/>
      <c r="S163" s="112"/>
    </row>
    <row r="164" spans="1:19" s="2226" customFormat="1" ht="12.75" customHeight="1" thickTop="1" x14ac:dyDescent="0.2">
      <c r="A164" s="27"/>
      <c r="B164" s="27"/>
      <c r="C164" s="27"/>
      <c r="D164" s="2234"/>
      <c r="E164" s="27"/>
      <c r="F164" s="471"/>
      <c r="G164" s="471"/>
      <c r="H164" s="471"/>
      <c r="I164" s="471"/>
      <c r="J164" s="471"/>
      <c r="K164" s="46"/>
      <c r="L164" s="46"/>
      <c r="M164" s="46"/>
      <c r="N164" s="46"/>
      <c r="O164" s="46"/>
      <c r="P164" s="46"/>
      <c r="Q164" s="46"/>
      <c r="R164" s="46"/>
      <c r="S164" s="46"/>
    </row>
    <row r="165" spans="1:19" s="2226" customFormat="1" ht="12.75" customHeight="1" thickBot="1" x14ac:dyDescent="0.25">
      <c r="A165" s="31"/>
      <c r="B165" s="31"/>
      <c r="C165" s="31"/>
      <c r="D165" s="31"/>
      <c r="E165" s="31"/>
      <c r="F165" s="471"/>
      <c r="G165" s="471"/>
      <c r="H165" s="471"/>
      <c r="I165" s="471"/>
      <c r="J165" s="471"/>
    </row>
    <row r="166" spans="1:19" s="38" customFormat="1" ht="19.5" thickTop="1" thickBot="1" x14ac:dyDescent="0.3">
      <c r="A166" s="2588" t="s">
        <v>3579</v>
      </c>
      <c r="B166" s="2589"/>
      <c r="C166" s="2589"/>
      <c r="D166" s="2589"/>
      <c r="E166" s="2589"/>
      <c r="F166" s="2589"/>
      <c r="G166" s="2589"/>
      <c r="H166" s="2589"/>
      <c r="I166" s="2589"/>
      <c r="J166" s="2589"/>
      <c r="K166" s="2589"/>
      <c r="L166" s="2589"/>
      <c r="M166" s="2589"/>
      <c r="N166" s="2589"/>
      <c r="O166" s="2589"/>
      <c r="P166" s="2589"/>
      <c r="Q166" s="2589"/>
      <c r="R166" s="2589"/>
      <c r="S166" s="2590"/>
    </row>
    <row r="167" spans="1:19" s="39" customFormat="1" ht="12.75" customHeight="1" x14ac:dyDescent="0.2">
      <c r="A167" s="2591" t="s">
        <v>1824</v>
      </c>
      <c r="B167" s="2577"/>
      <c r="C167" s="2577"/>
      <c r="D167" s="2577"/>
      <c r="E167" s="2592" t="s">
        <v>2215</v>
      </c>
      <c r="F167" s="2231" t="s">
        <v>2616</v>
      </c>
      <c r="G167" s="188" t="s">
        <v>2213</v>
      </c>
      <c r="H167" s="2576" t="s">
        <v>2215</v>
      </c>
      <c r="I167" s="2577"/>
      <c r="J167" s="2577"/>
      <c r="K167" s="2577"/>
      <c r="L167" s="2577"/>
      <c r="M167" s="2577"/>
      <c r="N167" s="2577"/>
      <c r="O167" s="2577"/>
      <c r="P167" s="2577"/>
      <c r="Q167" s="2577"/>
      <c r="R167" s="2577"/>
      <c r="S167" s="2578"/>
    </row>
    <row r="168" spans="1:19" s="2226" customFormat="1" ht="12.75" customHeight="1" thickBot="1" x14ac:dyDescent="0.25">
      <c r="A168" s="2066" t="str">
        <f>A100</f>
        <v>2012/13</v>
      </c>
      <c r="B168" s="94" t="str">
        <f>B100</f>
        <v>2013/14</v>
      </c>
      <c r="C168" s="44" t="str">
        <f>C100</f>
        <v>2014/15</v>
      </c>
      <c r="D168" s="44" t="str">
        <f>D100</f>
        <v>2015/16</v>
      </c>
      <c r="E168" s="44" t="str">
        <f>E100</f>
        <v>2016/17</v>
      </c>
      <c r="F168" s="44" t="s">
        <v>2617</v>
      </c>
      <c r="G168" s="2068"/>
      <c r="H168" s="44" t="str">
        <f t="shared" ref="H168:S168" si="201">H100</f>
        <v>2017/18</v>
      </c>
      <c r="I168" s="1459" t="str">
        <f t="shared" si="201"/>
        <v>%</v>
      </c>
      <c r="J168" s="2337" t="str">
        <f t="shared" si="201"/>
        <v>2018/19</v>
      </c>
      <c r="K168" s="2336" t="str">
        <f t="shared" si="201"/>
        <v>2019/20</v>
      </c>
      <c r="L168" s="44" t="str">
        <f t="shared" si="201"/>
        <v>2020/21</v>
      </c>
      <c r="M168" s="2336" t="str">
        <f t="shared" si="201"/>
        <v>2021/22</v>
      </c>
      <c r="N168" s="44" t="str">
        <f t="shared" si="201"/>
        <v>2022/23</v>
      </c>
      <c r="O168" s="44" t="str">
        <f t="shared" si="201"/>
        <v>2023/24</v>
      </c>
      <c r="P168" s="2337" t="str">
        <f t="shared" si="201"/>
        <v>2024/25</v>
      </c>
      <c r="Q168" s="94" t="str">
        <f t="shared" si="201"/>
        <v>2025/26</v>
      </c>
      <c r="R168" s="94" t="str">
        <f t="shared" si="201"/>
        <v>2026/27</v>
      </c>
      <c r="S168" s="95" t="str">
        <f t="shared" si="201"/>
        <v>2027/28</v>
      </c>
    </row>
    <row r="169" spans="1:19" s="2226" customFormat="1" ht="12.75" customHeight="1" x14ac:dyDescent="0.2">
      <c r="A169" s="25"/>
      <c r="B169" s="79"/>
      <c r="C169" s="79"/>
      <c r="D169" s="79"/>
      <c r="E169" s="79"/>
      <c r="F169" s="857"/>
      <c r="G169" s="92"/>
      <c r="H169" s="79"/>
      <c r="I169" s="584"/>
      <c r="J169" s="77"/>
      <c r="K169" s="79"/>
      <c r="L169" s="79"/>
      <c r="M169" s="79"/>
      <c r="N169" s="79"/>
      <c r="O169" s="79"/>
      <c r="P169" s="77"/>
      <c r="Q169" s="79"/>
      <c r="R169" s="79"/>
      <c r="S169" s="78"/>
    </row>
    <row r="170" spans="1:19" s="2226" customFormat="1" ht="12.75" customHeight="1" x14ac:dyDescent="0.2">
      <c r="A170" s="25"/>
      <c r="B170" s="79"/>
      <c r="C170" s="79"/>
      <c r="D170" s="79"/>
      <c r="E170" s="79"/>
      <c r="F170" s="857"/>
      <c r="G170" s="207" t="s">
        <v>1056</v>
      </c>
      <c r="H170" s="79"/>
      <c r="I170" s="584"/>
      <c r="J170" s="77"/>
      <c r="K170" s="79"/>
      <c r="L170" s="79"/>
      <c r="M170" s="79"/>
      <c r="N170" s="79"/>
      <c r="O170" s="79"/>
      <c r="P170" s="77"/>
      <c r="Q170" s="79"/>
      <c r="R170" s="79"/>
      <c r="S170" s="78"/>
    </row>
    <row r="171" spans="1:19" s="2226" customFormat="1" ht="12.75" customHeight="1" x14ac:dyDescent="0.2">
      <c r="A171" s="25"/>
      <c r="B171" s="79"/>
      <c r="C171" s="79"/>
      <c r="D171" s="79"/>
      <c r="E171" s="79"/>
      <c r="F171" s="857"/>
      <c r="G171" s="207"/>
      <c r="H171" s="79"/>
      <c r="I171" s="584"/>
      <c r="J171" s="77"/>
      <c r="K171" s="79"/>
      <c r="L171" s="79"/>
      <c r="M171" s="79"/>
      <c r="N171" s="79"/>
      <c r="O171" s="79"/>
      <c r="P171" s="77"/>
      <c r="Q171" s="79"/>
      <c r="R171" s="79"/>
      <c r="S171" s="78"/>
    </row>
    <row r="172" spans="1:19" s="2226" customFormat="1" ht="12.75" customHeight="1" x14ac:dyDescent="0.2">
      <c r="A172" s="25"/>
      <c r="B172" s="79"/>
      <c r="C172" s="79"/>
      <c r="D172" s="79"/>
      <c r="E172" s="79"/>
      <c r="F172" s="857"/>
      <c r="G172" s="92" t="s">
        <v>2828</v>
      </c>
      <c r="H172" s="79"/>
      <c r="I172" s="584"/>
      <c r="J172" s="77"/>
      <c r="K172" s="79"/>
      <c r="L172" s="79"/>
      <c r="M172" s="79"/>
      <c r="N172" s="79"/>
      <c r="O172" s="79"/>
      <c r="P172" s="77"/>
      <c r="Q172" s="79"/>
      <c r="R172" s="79"/>
      <c r="S172" s="78"/>
    </row>
    <row r="173" spans="1:19" s="2226" customFormat="1" ht="12.75" customHeight="1" x14ac:dyDescent="0.2">
      <c r="A173" s="25">
        <f>ROUND(SUM(A668:A669),-3)</f>
        <v>79000</v>
      </c>
      <c r="B173" s="79">
        <f>SUM(B668:B669)</f>
        <v>75800</v>
      </c>
      <c r="C173" s="79">
        <f>SUM(C668:C669)</f>
        <v>76500</v>
      </c>
      <c r="D173" s="79">
        <f>SUM(D668:D669)</f>
        <v>77000</v>
      </c>
      <c r="E173" s="79">
        <f t="shared" ref="E173" si="202">SUM(E668:E669)</f>
        <v>77400</v>
      </c>
      <c r="F173" s="578" t="s">
        <v>1535</v>
      </c>
      <c r="G173" s="31" t="s">
        <v>3551</v>
      </c>
      <c r="H173" s="79">
        <f t="shared" ref="H173:O173" si="203">SUM(H668:H669)</f>
        <v>78000</v>
      </c>
      <c r="I173" s="85">
        <f>IF(E173=H173,0,IF(E173=0,100,(H173-E173)/E173*100))</f>
        <v>0.77519379844961245</v>
      </c>
      <c r="J173" s="77">
        <f t="shared" si="203"/>
        <v>79800</v>
      </c>
      <c r="K173" s="79">
        <f t="shared" si="203"/>
        <v>81800</v>
      </c>
      <c r="L173" s="79">
        <f t="shared" si="203"/>
        <v>83900</v>
      </c>
      <c r="M173" s="79">
        <f t="shared" si="203"/>
        <v>86000</v>
      </c>
      <c r="N173" s="79">
        <f t="shared" si="203"/>
        <v>88200</v>
      </c>
      <c r="O173" s="79">
        <f t="shared" si="203"/>
        <v>90500</v>
      </c>
      <c r="P173" s="77">
        <f t="shared" ref="P173:Q173" si="204">SUM(P668:P669)</f>
        <v>92800</v>
      </c>
      <c r="Q173" s="79">
        <f t="shared" si="204"/>
        <v>95200</v>
      </c>
      <c r="R173" s="79">
        <f t="shared" ref="R173" si="205">SUM(R668:R669)</f>
        <v>97600</v>
      </c>
      <c r="S173" s="2346">
        <f t="shared" ref="S173" si="206">SUM(S668:S669)</f>
        <v>100100</v>
      </c>
    </row>
    <row r="174" spans="1:19" s="2226" customFormat="1" ht="12.75" customHeight="1" x14ac:dyDescent="0.2">
      <c r="A174" s="25">
        <f>ROUND(SUM(A670:A671),-3)</f>
        <v>36000</v>
      </c>
      <c r="B174" s="79">
        <f>SUM(B670:B671)</f>
        <v>34600</v>
      </c>
      <c r="C174" s="79">
        <f>SUM(C670:C671)</f>
        <v>59800</v>
      </c>
      <c r="D174" s="79">
        <f>SUM(D670:D671)</f>
        <v>34900</v>
      </c>
      <c r="E174" s="79">
        <f t="shared" ref="E174" si="207">SUM(E670:E671)</f>
        <v>40900</v>
      </c>
      <c r="F174" s="578" t="s">
        <v>1535</v>
      </c>
      <c r="G174" s="31" t="s">
        <v>3522</v>
      </c>
      <c r="H174" s="79">
        <f t="shared" ref="H174:O174" si="208">SUM(H670:H671)</f>
        <v>0</v>
      </c>
      <c r="I174" s="85">
        <f>IF(E174=H174,0,IF(E174=0,100,(H174-E174)/E174*100))</f>
        <v>-100</v>
      </c>
      <c r="J174" s="77">
        <f t="shared" si="208"/>
        <v>0</v>
      </c>
      <c r="K174" s="79">
        <f t="shared" si="208"/>
        <v>0</v>
      </c>
      <c r="L174" s="79">
        <f t="shared" si="208"/>
        <v>0</v>
      </c>
      <c r="M174" s="79">
        <f t="shared" si="208"/>
        <v>0</v>
      </c>
      <c r="N174" s="79">
        <f t="shared" si="208"/>
        <v>0</v>
      </c>
      <c r="O174" s="79">
        <f t="shared" si="208"/>
        <v>0</v>
      </c>
      <c r="P174" s="77">
        <f t="shared" ref="P174:Q174" si="209">SUM(P670:P671)</f>
        <v>0</v>
      </c>
      <c r="Q174" s="79">
        <f t="shared" si="209"/>
        <v>0</v>
      </c>
      <c r="R174" s="79">
        <f t="shared" ref="R174" si="210">SUM(R670:R671)</f>
        <v>0</v>
      </c>
      <c r="S174" s="2346">
        <f t="shared" ref="S174" si="211">SUM(S670:S671)</f>
        <v>0</v>
      </c>
    </row>
    <row r="175" spans="1:19" s="2226" customFormat="1" ht="12.75" customHeight="1" thickBot="1" x14ac:dyDescent="0.25">
      <c r="A175" s="198"/>
      <c r="B175" s="63"/>
      <c r="C175" s="63"/>
      <c r="D175" s="63"/>
      <c r="E175" s="79"/>
      <c r="F175" s="578"/>
      <c r="G175" s="92"/>
      <c r="H175" s="79"/>
      <c r="I175" s="220"/>
      <c r="J175" s="77"/>
      <c r="K175" s="79"/>
      <c r="L175" s="79"/>
      <c r="M175" s="79"/>
      <c r="N175" s="79"/>
      <c r="O175" s="79"/>
      <c r="P175" s="77"/>
      <c r="Q175" s="79"/>
      <c r="R175" s="79"/>
      <c r="S175" s="2346"/>
    </row>
    <row r="176" spans="1:19" s="2226" customFormat="1" ht="12.75" customHeight="1" x14ac:dyDescent="0.2">
      <c r="A176" s="125">
        <f>SUM(A171:A175)</f>
        <v>115000</v>
      </c>
      <c r="B176" s="53">
        <f>SUM(B171:B175)</f>
        <v>110400</v>
      </c>
      <c r="C176" s="53">
        <f>SUM(C171:C175)</f>
        <v>136300</v>
      </c>
      <c r="D176" s="53">
        <f>SUM(D171:D175)</f>
        <v>111900</v>
      </c>
      <c r="E176" s="53">
        <f>SUM(E171:E175)</f>
        <v>118300</v>
      </c>
      <c r="F176" s="578"/>
      <c r="G176" s="117" t="s">
        <v>2561</v>
      </c>
      <c r="H176" s="53">
        <f>SUM(H171:H175)</f>
        <v>78000</v>
      </c>
      <c r="I176" s="391">
        <f>IF(E176=H176,0,IF(E176=0,100,(H176-E176)/E176*100))</f>
        <v>-34.065934065934066</v>
      </c>
      <c r="J176" s="105">
        <f t="shared" ref="J176:R176" si="212">SUM(J171:J175)</f>
        <v>79800</v>
      </c>
      <c r="K176" s="53">
        <f t="shared" si="212"/>
        <v>81800</v>
      </c>
      <c r="L176" s="53">
        <f t="shared" si="212"/>
        <v>83900</v>
      </c>
      <c r="M176" s="53">
        <f t="shared" si="212"/>
        <v>86000</v>
      </c>
      <c r="N176" s="53">
        <f t="shared" si="212"/>
        <v>88200</v>
      </c>
      <c r="O176" s="53">
        <f t="shared" si="212"/>
        <v>90500</v>
      </c>
      <c r="P176" s="105">
        <f t="shared" si="212"/>
        <v>92800</v>
      </c>
      <c r="Q176" s="53">
        <f t="shared" si="212"/>
        <v>95200</v>
      </c>
      <c r="R176" s="53">
        <f t="shared" si="212"/>
        <v>97600</v>
      </c>
      <c r="S176" s="2347">
        <f t="shared" ref="S176" si="213">SUM(S171:S175)</f>
        <v>100100</v>
      </c>
    </row>
    <row r="177" spans="1:19" s="2226" customFormat="1" ht="12.75" customHeight="1" x14ac:dyDescent="0.2">
      <c r="A177" s="25"/>
      <c r="B177" s="79"/>
      <c r="C177" s="79"/>
      <c r="D177" s="79"/>
      <c r="E177" s="79"/>
      <c r="F177" s="578"/>
      <c r="G177" s="117"/>
      <c r="H177" s="79"/>
      <c r="I177" s="584"/>
      <c r="J177" s="77"/>
      <c r="K177" s="79"/>
      <c r="L177" s="79"/>
      <c r="M177" s="79"/>
      <c r="N177" s="79"/>
      <c r="O177" s="79"/>
      <c r="P177" s="77"/>
      <c r="Q177" s="79"/>
      <c r="R177" s="79"/>
      <c r="S177" s="2346"/>
    </row>
    <row r="178" spans="1:19" s="2226" customFormat="1" ht="12.75" customHeight="1" x14ac:dyDescent="0.2">
      <c r="A178" s="25"/>
      <c r="B178" s="79"/>
      <c r="C178" s="79"/>
      <c r="D178" s="79"/>
      <c r="E178" s="79"/>
      <c r="F178" s="578"/>
      <c r="G178" s="207" t="s">
        <v>2169</v>
      </c>
      <c r="H178" s="79"/>
      <c r="I178" s="584"/>
      <c r="J178" s="77"/>
      <c r="K178" s="79"/>
      <c r="L178" s="79"/>
      <c r="M178" s="79"/>
      <c r="N178" s="79"/>
      <c r="O178" s="79"/>
      <c r="P178" s="77"/>
      <c r="Q178" s="79"/>
      <c r="R178" s="79"/>
      <c r="S178" s="2346"/>
    </row>
    <row r="179" spans="1:19" s="2226" customFormat="1" ht="12.75" customHeight="1" x14ac:dyDescent="0.2">
      <c r="A179" s="25"/>
      <c r="B179" s="79"/>
      <c r="C179" s="79"/>
      <c r="D179" s="79"/>
      <c r="E179" s="79"/>
      <c r="F179" s="578"/>
      <c r="G179" s="207"/>
      <c r="H179" s="79"/>
      <c r="I179" s="584"/>
      <c r="J179" s="77"/>
      <c r="K179" s="79"/>
      <c r="L179" s="79"/>
      <c r="M179" s="79"/>
      <c r="N179" s="79"/>
      <c r="O179" s="79"/>
      <c r="P179" s="77"/>
      <c r="Q179" s="79"/>
      <c r="R179" s="79"/>
      <c r="S179" s="2346"/>
    </row>
    <row r="180" spans="1:19" s="2226" customFormat="1" ht="12.75" customHeight="1" x14ac:dyDescent="0.2">
      <c r="A180" s="25">
        <f>ROUND(SUM(A676:A677),-3)</f>
        <v>1209000</v>
      </c>
      <c r="B180" s="79">
        <f>SUM(B676:B677)</f>
        <v>1253300</v>
      </c>
      <c r="C180" s="79">
        <f>SUM(C676:C677)</f>
        <v>1274700</v>
      </c>
      <c r="D180" s="79">
        <f>SUM(D676:D677)</f>
        <v>1298000</v>
      </c>
      <c r="E180" s="79">
        <f t="shared" ref="E180" si="214">SUM(E676:E677)</f>
        <v>1336900</v>
      </c>
      <c r="F180" s="578" t="s">
        <v>1537</v>
      </c>
      <c r="G180" s="58" t="s">
        <v>3552</v>
      </c>
      <c r="H180" s="79">
        <f t="shared" ref="H180:O180" si="215">SUM(H676:H677)</f>
        <v>1337200</v>
      </c>
      <c r="I180" s="85">
        <f>IF(E180=H180,0,IF(E180=0,100,(H180-E180)/E180*100))</f>
        <v>2.2439973072032313E-2</v>
      </c>
      <c r="J180" s="77">
        <f t="shared" si="215"/>
        <v>1371000</v>
      </c>
      <c r="K180" s="79">
        <f t="shared" si="215"/>
        <v>1405300</v>
      </c>
      <c r="L180" s="79">
        <f t="shared" si="215"/>
        <v>1440500</v>
      </c>
      <c r="M180" s="79">
        <f t="shared" si="215"/>
        <v>1476600</v>
      </c>
      <c r="N180" s="79">
        <f t="shared" si="215"/>
        <v>1513600</v>
      </c>
      <c r="O180" s="79">
        <f t="shared" si="215"/>
        <v>1551500</v>
      </c>
      <c r="P180" s="77">
        <f t="shared" ref="P180:Q180" si="216">SUM(P676:P677)</f>
        <v>1590300</v>
      </c>
      <c r="Q180" s="79">
        <f t="shared" si="216"/>
        <v>1630100</v>
      </c>
      <c r="R180" s="79">
        <f t="shared" ref="R180" si="217">SUM(R676:R677)</f>
        <v>1670900</v>
      </c>
      <c r="S180" s="2346">
        <f t="shared" ref="S180" si="218">SUM(S676:S677)</f>
        <v>1712700</v>
      </c>
    </row>
    <row r="181" spans="1:19" s="2226" customFormat="1" ht="12.75" customHeight="1" x14ac:dyDescent="0.2">
      <c r="A181" s="25">
        <f>ROUND(SUM(A679:A683),-3)</f>
        <v>19000</v>
      </c>
      <c r="B181" s="79">
        <f>SUM(B679:B683)</f>
        <v>20000</v>
      </c>
      <c r="C181" s="79">
        <f>SUM(C679:C683)</f>
        <v>19700</v>
      </c>
      <c r="D181" s="79">
        <f>SUM(D679:D683)</f>
        <v>18800</v>
      </c>
      <c r="E181" s="79">
        <f t="shared" ref="E181" si="219">SUM(E679:E683)</f>
        <v>23000</v>
      </c>
      <c r="F181" s="578" t="s">
        <v>1536</v>
      </c>
      <c r="G181" s="58" t="s">
        <v>4563</v>
      </c>
      <c r="H181" s="79">
        <f t="shared" ref="H181:P181" si="220">SUM(H679:H683)</f>
        <v>17200</v>
      </c>
      <c r="I181" s="85">
        <f>IF(E181=H181,0,IF(E181=0,100,(H181-E181)/E181*100))</f>
        <v>-25.217391304347824</v>
      </c>
      <c r="J181" s="77">
        <f t="shared" si="220"/>
        <v>21000</v>
      </c>
      <c r="K181" s="79">
        <f t="shared" si="220"/>
        <v>21600</v>
      </c>
      <c r="L181" s="79">
        <f t="shared" si="220"/>
        <v>22300</v>
      </c>
      <c r="M181" s="79">
        <f t="shared" si="220"/>
        <v>23000</v>
      </c>
      <c r="N181" s="79">
        <f t="shared" si="220"/>
        <v>23700</v>
      </c>
      <c r="O181" s="79">
        <f t="shared" si="220"/>
        <v>24400</v>
      </c>
      <c r="P181" s="77">
        <f t="shared" si="220"/>
        <v>25100</v>
      </c>
      <c r="Q181" s="79">
        <f t="shared" ref="Q181" si="221">SUM(Q679:Q683)</f>
        <v>25900</v>
      </c>
      <c r="R181" s="79">
        <f t="shared" ref="R181" si="222">SUM(R679:R683)</f>
        <v>26700</v>
      </c>
      <c r="S181" s="2346">
        <f t="shared" ref="S181" si="223">SUM(S679:S683)</f>
        <v>27500</v>
      </c>
    </row>
    <row r="182" spans="1:19" s="65" customFormat="1" ht="12.75" customHeight="1" x14ac:dyDescent="0.2">
      <c r="A182" s="25">
        <f>ROUND(SUM(A684:A688),-3)</f>
        <v>63000</v>
      </c>
      <c r="B182" s="79">
        <f>SUM(B684:B688)</f>
        <v>61400</v>
      </c>
      <c r="C182" s="79">
        <f>SUM(C684:C688)</f>
        <v>52700</v>
      </c>
      <c r="D182" s="79">
        <f>SUM(D684:D688)</f>
        <v>59800</v>
      </c>
      <c r="E182" s="79">
        <f t="shared" ref="E182" si="224">SUM(E684:E688)</f>
        <v>60300</v>
      </c>
      <c r="F182" s="578" t="s">
        <v>1537</v>
      </c>
      <c r="G182" s="58" t="s">
        <v>4562</v>
      </c>
      <c r="H182" s="79">
        <f t="shared" ref="H182:O182" si="225">SUM(H684:H688)</f>
        <v>69000</v>
      </c>
      <c r="I182" s="85">
        <f>IF(E182=H182,0,IF(E182=0,100,(H182-E182)/E182*100))</f>
        <v>14.427860696517413</v>
      </c>
      <c r="J182" s="77">
        <f t="shared" si="225"/>
        <v>64000</v>
      </c>
      <c r="K182" s="79">
        <f t="shared" si="225"/>
        <v>65700</v>
      </c>
      <c r="L182" s="79">
        <f t="shared" si="225"/>
        <v>67500</v>
      </c>
      <c r="M182" s="79">
        <f t="shared" si="225"/>
        <v>69300</v>
      </c>
      <c r="N182" s="79">
        <f t="shared" si="225"/>
        <v>71200</v>
      </c>
      <c r="O182" s="79">
        <f t="shared" si="225"/>
        <v>73100</v>
      </c>
      <c r="P182" s="77">
        <f t="shared" ref="P182:Q182" si="226">SUM(P684:P688)</f>
        <v>75100</v>
      </c>
      <c r="Q182" s="79">
        <f t="shared" si="226"/>
        <v>77100</v>
      </c>
      <c r="R182" s="79">
        <f t="shared" ref="R182" si="227">SUM(R684:R688)</f>
        <v>79100</v>
      </c>
      <c r="S182" s="2346">
        <f t="shared" ref="S182" si="228">SUM(S684:S688)</f>
        <v>81200</v>
      </c>
    </row>
    <row r="183" spans="1:19" s="2226" customFormat="1" ht="12.75" customHeight="1" x14ac:dyDescent="0.2">
      <c r="A183" s="25">
        <f>ROUND(SUM(A690:A691),-3)</f>
        <v>16000</v>
      </c>
      <c r="B183" s="79">
        <f>SUM(B690:B691)</f>
        <v>16900</v>
      </c>
      <c r="C183" s="79">
        <f>SUM(C690:C691)</f>
        <v>17200</v>
      </c>
      <c r="D183" s="79">
        <f>SUM(D690:D691)</f>
        <v>16800</v>
      </c>
      <c r="E183" s="79">
        <f t="shared" ref="E183" si="229">SUM(E690:E691)</f>
        <v>17600</v>
      </c>
      <c r="F183" s="578" t="s">
        <v>1537</v>
      </c>
      <c r="G183" s="58" t="s">
        <v>3553</v>
      </c>
      <c r="H183" s="79">
        <f t="shared" ref="H183:O183" si="230">SUM(H690:H691)</f>
        <v>18800</v>
      </c>
      <c r="I183" s="85">
        <f>IF(E183=H183,0,IF(E183=0,100,(H183-E183)/E183*100))</f>
        <v>6.8181818181818175</v>
      </c>
      <c r="J183" s="77">
        <f t="shared" si="230"/>
        <v>18500</v>
      </c>
      <c r="K183" s="79">
        <f t="shared" si="230"/>
        <v>19100</v>
      </c>
      <c r="L183" s="79">
        <f t="shared" si="230"/>
        <v>19700</v>
      </c>
      <c r="M183" s="79">
        <f t="shared" si="230"/>
        <v>20300</v>
      </c>
      <c r="N183" s="79">
        <f t="shared" si="230"/>
        <v>20900</v>
      </c>
      <c r="O183" s="79">
        <f t="shared" si="230"/>
        <v>21500</v>
      </c>
      <c r="P183" s="77">
        <f t="shared" ref="P183:Q183" si="231">SUM(P690:P691)</f>
        <v>22100</v>
      </c>
      <c r="Q183" s="79">
        <f t="shared" si="231"/>
        <v>22800</v>
      </c>
      <c r="R183" s="79">
        <f t="shared" ref="R183" si="232">SUM(R690:R691)</f>
        <v>23500</v>
      </c>
      <c r="S183" s="2346">
        <f t="shared" ref="S183" si="233">SUM(S690:S691)</f>
        <v>24200</v>
      </c>
    </row>
    <row r="184" spans="1:19" s="65" customFormat="1" ht="12.75" customHeight="1" x14ac:dyDescent="0.2">
      <c r="A184" s="25">
        <f>ROUND(SUM(A693:A694),-3)</f>
        <v>34000</v>
      </c>
      <c r="B184" s="79">
        <f>SUM(B693:B694)</f>
        <v>15600</v>
      </c>
      <c r="C184" s="79">
        <f>SUM(C693:C694)</f>
        <v>37100</v>
      </c>
      <c r="D184" s="79">
        <f>SUM(D693:D694)</f>
        <v>25600</v>
      </c>
      <c r="E184" s="79">
        <f>SUM(E693:E694)</f>
        <v>23600</v>
      </c>
      <c r="F184" s="578" t="s">
        <v>1537</v>
      </c>
      <c r="G184" s="58" t="s">
        <v>5516</v>
      </c>
      <c r="H184" s="79">
        <f>SUM(H693:H694)</f>
        <v>4000</v>
      </c>
      <c r="I184" s="85">
        <f>IF(E184=H184,0,IF(E184=0,100,(H184-E184)/E184*100))</f>
        <v>-83.050847457627114</v>
      </c>
      <c r="J184" s="77">
        <f t="shared" ref="J184:R184" si="234">SUM(J693:J694)</f>
        <v>0</v>
      </c>
      <c r="K184" s="79">
        <f t="shared" si="234"/>
        <v>0</v>
      </c>
      <c r="L184" s="79">
        <f t="shared" si="234"/>
        <v>0</v>
      </c>
      <c r="M184" s="79">
        <f t="shared" si="234"/>
        <v>0</v>
      </c>
      <c r="N184" s="79">
        <f t="shared" si="234"/>
        <v>0</v>
      </c>
      <c r="O184" s="79">
        <f t="shared" si="234"/>
        <v>0</v>
      </c>
      <c r="P184" s="77">
        <f t="shared" si="234"/>
        <v>0</v>
      </c>
      <c r="Q184" s="79">
        <f t="shared" si="234"/>
        <v>0</v>
      </c>
      <c r="R184" s="79">
        <f t="shared" si="234"/>
        <v>0</v>
      </c>
      <c r="S184" s="2346">
        <f t="shared" ref="S184" si="235">SUM(S693:S694)</f>
        <v>0</v>
      </c>
    </row>
    <row r="185" spans="1:19" s="2226" customFormat="1" ht="12.75" customHeight="1" x14ac:dyDescent="0.2">
      <c r="A185" s="25"/>
      <c r="B185" s="79"/>
      <c r="C185" s="79"/>
      <c r="D185" s="79"/>
      <c r="E185" s="79"/>
      <c r="F185" s="577"/>
      <c r="G185" s="58"/>
      <c r="H185" s="79"/>
      <c r="I185" s="584"/>
      <c r="J185" s="77"/>
      <c r="K185" s="79"/>
      <c r="L185" s="79"/>
      <c r="M185" s="79"/>
      <c r="N185" s="79"/>
      <c r="O185" s="79"/>
      <c r="P185" s="77"/>
      <c r="Q185" s="79"/>
      <c r="R185" s="79"/>
      <c r="S185" s="2346"/>
    </row>
    <row r="186" spans="1:19" s="65" customFormat="1" ht="12.75" customHeight="1" x14ac:dyDescent="0.2">
      <c r="A186" s="25"/>
      <c r="B186" s="79"/>
      <c r="C186" s="79"/>
      <c r="D186" s="79"/>
      <c r="E186" s="79"/>
      <c r="F186" s="577"/>
      <c r="G186" s="92" t="s">
        <v>1636</v>
      </c>
      <c r="H186" s="79"/>
      <c r="I186" s="584"/>
      <c r="J186" s="77"/>
      <c r="K186" s="79"/>
      <c r="L186" s="79"/>
      <c r="M186" s="79"/>
      <c r="N186" s="79"/>
      <c r="O186" s="79"/>
      <c r="P186" s="77"/>
      <c r="Q186" s="79"/>
      <c r="R186" s="79"/>
      <c r="S186" s="2346"/>
    </row>
    <row r="187" spans="1:19" s="2226" customFormat="1" ht="12.75" customHeight="1" x14ac:dyDescent="0.2">
      <c r="A187" s="25">
        <f>A799</f>
        <v>0</v>
      </c>
      <c r="B187" s="79">
        <f>B799</f>
        <v>0</v>
      </c>
      <c r="C187" s="79">
        <f>C799</f>
        <v>0</v>
      </c>
      <c r="D187" s="79">
        <f>D799</f>
        <v>0</v>
      </c>
      <c r="E187" s="79">
        <f t="shared" ref="E187" si="236">E799</f>
        <v>0</v>
      </c>
      <c r="F187" s="577" t="s">
        <v>1537</v>
      </c>
      <c r="G187" s="58" t="s">
        <v>2991</v>
      </c>
      <c r="H187" s="79">
        <f t="shared" ref="H187:O187" si="237">H799</f>
        <v>0</v>
      </c>
      <c r="I187" s="584">
        <f>IF(E187=H187,0,IF(E187=0,100,(H187-E187)/E187*100))</f>
        <v>0</v>
      </c>
      <c r="J187" s="77">
        <f t="shared" si="237"/>
        <v>0</v>
      </c>
      <c r="K187" s="79">
        <f t="shared" si="237"/>
        <v>0</v>
      </c>
      <c r="L187" s="79">
        <f t="shared" si="237"/>
        <v>0</v>
      </c>
      <c r="M187" s="79">
        <f t="shared" si="237"/>
        <v>0</v>
      </c>
      <c r="N187" s="79">
        <f t="shared" si="237"/>
        <v>0</v>
      </c>
      <c r="O187" s="79">
        <f t="shared" si="237"/>
        <v>0</v>
      </c>
      <c r="P187" s="77">
        <f t="shared" ref="P187:Q187" si="238">P799</f>
        <v>0</v>
      </c>
      <c r="Q187" s="79">
        <f t="shared" si="238"/>
        <v>0</v>
      </c>
      <c r="R187" s="79">
        <f t="shared" ref="R187" si="239">R799</f>
        <v>0</v>
      </c>
      <c r="S187" s="2346">
        <f t="shared" ref="S187" si="240">S799</f>
        <v>0</v>
      </c>
    </row>
    <row r="188" spans="1:19" s="2226" customFormat="1" ht="12.75" customHeight="1" x14ac:dyDescent="0.2">
      <c r="A188" s="25"/>
      <c r="B188" s="79"/>
      <c r="C188" s="79"/>
      <c r="D188" s="79"/>
      <c r="E188" s="79"/>
      <c r="F188" s="577"/>
      <c r="G188" s="58"/>
      <c r="H188" s="79"/>
      <c r="I188" s="584"/>
      <c r="J188" s="77"/>
      <c r="K188" s="79"/>
      <c r="L188" s="79"/>
      <c r="M188" s="79"/>
      <c r="N188" s="79"/>
      <c r="O188" s="79"/>
      <c r="P188" s="77"/>
      <c r="Q188" s="79"/>
      <c r="R188" s="79"/>
      <c r="S188" s="2346"/>
    </row>
    <row r="189" spans="1:19" s="2226" customFormat="1" ht="12.75" customHeight="1" x14ac:dyDescent="0.2">
      <c r="A189" s="25"/>
      <c r="B189" s="79"/>
      <c r="C189" s="706"/>
      <c r="D189" s="706"/>
      <c r="E189" s="706"/>
      <c r="F189" s="770"/>
      <c r="G189" s="853" t="s">
        <v>261</v>
      </c>
      <c r="H189" s="79"/>
      <c r="I189" s="584"/>
      <c r="J189" s="77"/>
      <c r="K189" s="79"/>
      <c r="L189" s="79"/>
      <c r="M189" s="79"/>
      <c r="N189" s="79"/>
      <c r="O189" s="79"/>
      <c r="P189" s="77"/>
      <c r="Q189" s="79"/>
      <c r="R189" s="79"/>
      <c r="S189" s="2346"/>
    </row>
    <row r="190" spans="1:19" s="2226" customFormat="1" ht="12.75" customHeight="1" x14ac:dyDescent="0.2">
      <c r="A190" s="25">
        <f t="shared" ref="A190:B190" si="241">A697</f>
        <v>173000</v>
      </c>
      <c r="B190" s="79">
        <f t="shared" si="241"/>
        <v>269900</v>
      </c>
      <c r="C190" s="706">
        <f>C697</f>
        <v>148500</v>
      </c>
      <c r="D190" s="706">
        <f>D697</f>
        <v>152000</v>
      </c>
      <c r="E190" s="706">
        <f t="shared" ref="E190" si="242">E697</f>
        <v>166700</v>
      </c>
      <c r="F190" s="773">
        <v>35030</v>
      </c>
      <c r="G190" s="1154" t="s">
        <v>85</v>
      </c>
      <c r="H190" s="79">
        <f t="shared" ref="H190:O190" si="243">H697</f>
        <v>152000</v>
      </c>
      <c r="I190" s="85">
        <f>IF(E190=H190,0,IF(E190=0,100,(H190-E190)/E190*100))</f>
        <v>-8.8182363527294534</v>
      </c>
      <c r="J190" s="77">
        <f t="shared" si="243"/>
        <v>170000</v>
      </c>
      <c r="K190" s="79">
        <f t="shared" si="243"/>
        <v>173400</v>
      </c>
      <c r="L190" s="79">
        <f t="shared" si="243"/>
        <v>176900</v>
      </c>
      <c r="M190" s="79">
        <f t="shared" si="243"/>
        <v>180500</v>
      </c>
      <c r="N190" s="79">
        <f t="shared" si="243"/>
        <v>184200</v>
      </c>
      <c r="O190" s="79">
        <f t="shared" si="243"/>
        <v>187900</v>
      </c>
      <c r="P190" s="77">
        <f t="shared" ref="P190:Q190" si="244">P697</f>
        <v>191700</v>
      </c>
      <c r="Q190" s="79">
        <f t="shared" si="244"/>
        <v>195600</v>
      </c>
      <c r="R190" s="79">
        <f t="shared" ref="R190" si="245">R697</f>
        <v>199600</v>
      </c>
      <c r="S190" s="2346">
        <f t="shared" ref="S190" si="246">S697</f>
        <v>203600</v>
      </c>
    </row>
    <row r="191" spans="1:19" s="2226" customFormat="1" ht="12.75" customHeight="1" thickBot="1" x14ac:dyDescent="0.25">
      <c r="A191" s="198"/>
      <c r="B191" s="63"/>
      <c r="C191" s="63"/>
      <c r="D191" s="63"/>
      <c r="E191" s="79"/>
      <c r="F191" s="578"/>
      <c r="G191" s="1461"/>
      <c r="H191" s="79"/>
      <c r="I191" s="220"/>
      <c r="J191" s="77"/>
      <c r="K191" s="79"/>
      <c r="L191" s="79"/>
      <c r="M191" s="79"/>
      <c r="N191" s="79"/>
      <c r="O191" s="79"/>
      <c r="P191" s="77"/>
      <c r="Q191" s="79"/>
      <c r="R191" s="79"/>
      <c r="S191" s="2346"/>
    </row>
    <row r="192" spans="1:19" s="2226" customFormat="1" ht="12.75" customHeight="1" x14ac:dyDescent="0.2">
      <c r="A192" s="125">
        <f>SUM(A178:A191)</f>
        <v>1514000</v>
      </c>
      <c r="B192" s="53">
        <f>SUM(B178:B191)</f>
        <v>1637100</v>
      </c>
      <c r="C192" s="53">
        <f>SUM(C178:C191)</f>
        <v>1549900</v>
      </c>
      <c r="D192" s="53">
        <f>SUM(D178:D191)</f>
        <v>1571000</v>
      </c>
      <c r="E192" s="53">
        <f>SUM(E178:E191)</f>
        <v>1628100</v>
      </c>
      <c r="F192" s="859"/>
      <c r="G192" s="1465" t="s">
        <v>556</v>
      </c>
      <c r="H192" s="53">
        <f>SUM(H178:H191)</f>
        <v>1598200</v>
      </c>
      <c r="I192" s="391">
        <f>IF(E192=H192,0,IF(E192=0,100,(H192-E192)/E192*100))</f>
        <v>-1.8364965296971931</v>
      </c>
      <c r="J192" s="105">
        <f t="shared" ref="J192:R192" si="247">SUM(J178:J191)</f>
        <v>1644500</v>
      </c>
      <c r="K192" s="53">
        <f t="shared" si="247"/>
        <v>1685100</v>
      </c>
      <c r="L192" s="53">
        <f t="shared" si="247"/>
        <v>1726900</v>
      </c>
      <c r="M192" s="53">
        <f t="shared" si="247"/>
        <v>1769700</v>
      </c>
      <c r="N192" s="53">
        <f t="shared" si="247"/>
        <v>1813600</v>
      </c>
      <c r="O192" s="53">
        <f t="shared" si="247"/>
        <v>1858400</v>
      </c>
      <c r="P192" s="105">
        <f t="shared" si="247"/>
        <v>1904300</v>
      </c>
      <c r="Q192" s="53">
        <f t="shared" si="247"/>
        <v>1951500</v>
      </c>
      <c r="R192" s="53">
        <f t="shared" si="247"/>
        <v>1999800</v>
      </c>
      <c r="S192" s="2347">
        <f t="shared" ref="S192" si="248">SUM(S178:S191)</f>
        <v>2049200</v>
      </c>
    </row>
    <row r="193" spans="1:19" s="2226" customFormat="1" ht="12.75" customHeight="1" x14ac:dyDescent="0.2">
      <c r="A193" s="25"/>
      <c r="B193" s="79"/>
      <c r="C193" s="79"/>
      <c r="D193" s="79"/>
      <c r="E193" s="79"/>
      <c r="F193" s="860"/>
      <c r="G193" s="58"/>
      <c r="H193" s="79"/>
      <c r="I193" s="584"/>
      <c r="J193" s="77"/>
      <c r="K193" s="79"/>
      <c r="L193" s="79"/>
      <c r="M193" s="79"/>
      <c r="N193" s="79"/>
      <c r="O193" s="79"/>
      <c r="P193" s="77"/>
      <c r="Q193" s="79"/>
      <c r="R193" s="79"/>
      <c r="S193" s="2346"/>
    </row>
    <row r="194" spans="1:19" s="2226" customFormat="1" ht="12.75" customHeight="1" x14ac:dyDescent="0.2">
      <c r="A194" s="198">
        <f>A176-A192</f>
        <v>-1399000</v>
      </c>
      <c r="B194" s="63">
        <f>B176-B192</f>
        <v>-1526700</v>
      </c>
      <c r="C194" s="63">
        <f>C176-C192</f>
        <v>-1413600</v>
      </c>
      <c r="D194" s="63">
        <f>D176-D192</f>
        <v>-1459100</v>
      </c>
      <c r="E194" s="63">
        <f>E176-E192</f>
        <v>-1509800</v>
      </c>
      <c r="F194" s="859"/>
      <c r="G194" s="1188" t="s">
        <v>1002</v>
      </c>
      <c r="H194" s="63">
        <f>H176-H192</f>
        <v>-1520200</v>
      </c>
      <c r="I194" s="220">
        <f>IF(E194=H194,0,IF(E194=0,100,(H194-E194)/E194*100))</f>
        <v>0.68883295800768318</v>
      </c>
      <c r="J194" s="107">
        <f t="shared" ref="J194:R194" si="249">J176-J192</f>
        <v>-1564700</v>
      </c>
      <c r="K194" s="63">
        <f t="shared" si="249"/>
        <v>-1603300</v>
      </c>
      <c r="L194" s="63">
        <f t="shared" si="249"/>
        <v>-1643000</v>
      </c>
      <c r="M194" s="63">
        <f t="shared" si="249"/>
        <v>-1683700</v>
      </c>
      <c r="N194" s="63">
        <f t="shared" si="249"/>
        <v>-1725400</v>
      </c>
      <c r="O194" s="63">
        <f t="shared" si="249"/>
        <v>-1767900</v>
      </c>
      <c r="P194" s="107">
        <f t="shared" si="249"/>
        <v>-1811500</v>
      </c>
      <c r="Q194" s="63">
        <f t="shared" si="249"/>
        <v>-1856300</v>
      </c>
      <c r="R194" s="63">
        <f t="shared" si="249"/>
        <v>-1902200</v>
      </c>
      <c r="S194" s="2348">
        <f t="shared" ref="S194" si="250">S176-S192</f>
        <v>-1949100</v>
      </c>
    </row>
    <row r="195" spans="1:19" s="2226" customFormat="1" ht="12.75" customHeight="1" x14ac:dyDescent="0.2">
      <c r="A195" s="25">
        <f>A190</f>
        <v>173000</v>
      </c>
      <c r="B195" s="79">
        <f>B190</f>
        <v>269900</v>
      </c>
      <c r="C195" s="79">
        <f>C190</f>
        <v>148500</v>
      </c>
      <c r="D195" s="79">
        <f>D190</f>
        <v>152000</v>
      </c>
      <c r="E195" s="79">
        <f>E190</f>
        <v>166700</v>
      </c>
      <c r="F195" s="860"/>
      <c r="G195" s="217" t="s">
        <v>1943</v>
      </c>
      <c r="H195" s="79">
        <f>H190</f>
        <v>152000</v>
      </c>
      <c r="I195" s="584">
        <f>IF(E195=H195,0,IF(E195=0,100,(H195-E195)/E195*100))</f>
        <v>-8.8182363527294534</v>
      </c>
      <c r="J195" s="77">
        <f t="shared" ref="J195:R195" si="251">J190</f>
        <v>170000</v>
      </c>
      <c r="K195" s="79">
        <f t="shared" si="251"/>
        <v>173400</v>
      </c>
      <c r="L195" s="79">
        <f t="shared" si="251"/>
        <v>176900</v>
      </c>
      <c r="M195" s="79">
        <f t="shared" si="251"/>
        <v>180500</v>
      </c>
      <c r="N195" s="79">
        <f t="shared" si="251"/>
        <v>184200</v>
      </c>
      <c r="O195" s="79">
        <f t="shared" si="251"/>
        <v>187900</v>
      </c>
      <c r="P195" s="77">
        <f t="shared" si="251"/>
        <v>191700</v>
      </c>
      <c r="Q195" s="79">
        <f t="shared" si="251"/>
        <v>195600</v>
      </c>
      <c r="R195" s="79">
        <f t="shared" si="251"/>
        <v>199600</v>
      </c>
      <c r="S195" s="2346">
        <f t="shared" ref="S195" si="252">S190</f>
        <v>203600</v>
      </c>
    </row>
    <row r="196" spans="1:19" s="2226" customFormat="1" ht="12.75" customHeight="1" x14ac:dyDescent="0.2">
      <c r="A196" s="861">
        <f>A195+A194</f>
        <v>-1226000</v>
      </c>
      <c r="B196" s="791">
        <f>B195+B194</f>
        <v>-1256800</v>
      </c>
      <c r="C196" s="791">
        <f>C195+C194</f>
        <v>-1265100</v>
      </c>
      <c r="D196" s="791">
        <f>D195+D194</f>
        <v>-1307100</v>
      </c>
      <c r="E196" s="791">
        <f>E195+E194</f>
        <v>-1343100</v>
      </c>
      <c r="F196" s="862"/>
      <c r="G196" s="863" t="s">
        <v>1659</v>
      </c>
      <c r="H196" s="791">
        <f>H195+H194</f>
        <v>-1368200</v>
      </c>
      <c r="I196" s="864">
        <f>IF(E196=H196,0,IF(E196=0,100,(H196-E196)/E196*100))</f>
        <v>1.8688109597200506</v>
      </c>
      <c r="J196" s="865">
        <f t="shared" ref="J196:R196" si="253">J195+J194</f>
        <v>-1394700</v>
      </c>
      <c r="K196" s="791">
        <f t="shared" si="253"/>
        <v>-1429900</v>
      </c>
      <c r="L196" s="791">
        <f t="shared" si="253"/>
        <v>-1466100</v>
      </c>
      <c r="M196" s="791">
        <f t="shared" si="253"/>
        <v>-1503200</v>
      </c>
      <c r="N196" s="791">
        <f t="shared" si="253"/>
        <v>-1541200</v>
      </c>
      <c r="O196" s="791">
        <f t="shared" si="253"/>
        <v>-1580000</v>
      </c>
      <c r="P196" s="865">
        <f t="shared" si="253"/>
        <v>-1619800</v>
      </c>
      <c r="Q196" s="791">
        <f t="shared" si="253"/>
        <v>-1660700</v>
      </c>
      <c r="R196" s="791">
        <f t="shared" si="253"/>
        <v>-1702600</v>
      </c>
      <c r="S196" s="2349">
        <f t="shared" ref="S196" si="254">S195+S194</f>
        <v>-1745500</v>
      </c>
    </row>
    <row r="197" spans="1:19" s="65" customFormat="1" ht="12.75" customHeight="1" thickBot="1" x14ac:dyDescent="0.25">
      <c r="A197" s="866"/>
      <c r="B197" s="851"/>
      <c r="C197" s="851"/>
      <c r="D197" s="851"/>
      <c r="E197" s="592"/>
      <c r="F197" s="867"/>
      <c r="G197" s="868"/>
      <c r="H197" s="871"/>
      <c r="I197" s="869"/>
      <c r="J197" s="870"/>
      <c r="K197" s="871"/>
      <c r="L197" s="871"/>
      <c r="M197" s="871"/>
      <c r="N197" s="871"/>
      <c r="O197" s="871"/>
      <c r="P197" s="870"/>
      <c r="Q197" s="871"/>
      <c r="R197" s="871"/>
      <c r="S197" s="2350"/>
    </row>
    <row r="198" spans="1:19" s="2226" customFormat="1" ht="12.75" customHeight="1" thickTop="1" x14ac:dyDescent="0.2">
      <c r="A198" s="872"/>
      <c r="B198" s="873"/>
      <c r="C198" s="873"/>
      <c r="D198" s="873"/>
      <c r="E198" s="876"/>
      <c r="F198" s="874"/>
      <c r="G198" s="1466"/>
      <c r="H198" s="876"/>
      <c r="I198" s="1057"/>
      <c r="J198" s="875"/>
      <c r="K198" s="876"/>
      <c r="L198" s="876"/>
      <c r="M198" s="876"/>
      <c r="N198" s="876"/>
      <c r="O198" s="876"/>
      <c r="P198" s="875"/>
      <c r="Q198" s="876"/>
      <c r="R198" s="876"/>
      <c r="S198" s="2351"/>
    </row>
    <row r="199" spans="1:19" s="2226" customFormat="1" ht="12.75" customHeight="1" x14ac:dyDescent="0.2">
      <c r="A199" s="198"/>
      <c r="B199" s="63"/>
      <c r="C199" s="63"/>
      <c r="D199" s="63"/>
      <c r="E199" s="79"/>
      <c r="F199" s="856"/>
      <c r="G199" s="1177" t="s">
        <v>192</v>
      </c>
      <c r="H199" s="79"/>
      <c r="I199" s="220"/>
      <c r="J199" s="77"/>
      <c r="K199" s="79"/>
      <c r="L199" s="79"/>
      <c r="M199" s="79"/>
      <c r="N199" s="79"/>
      <c r="O199" s="79"/>
      <c r="P199" s="77"/>
      <c r="Q199" s="79"/>
      <c r="R199" s="79"/>
      <c r="S199" s="2346"/>
    </row>
    <row r="200" spans="1:19" s="38" customFormat="1" ht="12.75" customHeight="1" x14ac:dyDescent="0.25">
      <c r="A200" s="198"/>
      <c r="B200" s="63"/>
      <c r="C200" s="63"/>
      <c r="D200" s="63"/>
      <c r="E200" s="79"/>
      <c r="F200" s="856"/>
      <c r="G200" s="853"/>
      <c r="H200" s="79"/>
      <c r="I200" s="220"/>
      <c r="J200" s="77"/>
      <c r="K200" s="79"/>
      <c r="L200" s="79"/>
      <c r="M200" s="79"/>
      <c r="N200" s="79"/>
      <c r="O200" s="79"/>
      <c r="P200" s="77"/>
      <c r="Q200" s="79"/>
      <c r="R200" s="79"/>
      <c r="S200" s="2346"/>
    </row>
    <row r="201" spans="1:19" s="39" customFormat="1" ht="12.75" customHeight="1" x14ac:dyDescent="0.2">
      <c r="A201" s="25">
        <f t="shared" ref="A201:A205" si="255">ROUND(A708,-3)</f>
        <v>0</v>
      </c>
      <c r="B201" s="79">
        <f t="shared" ref="B201:C205" si="256">B708</f>
        <v>0</v>
      </c>
      <c r="C201" s="79">
        <f t="shared" si="256"/>
        <v>0</v>
      </c>
      <c r="D201" s="79">
        <f t="shared" ref="D201:E205" si="257">D708</f>
        <v>0</v>
      </c>
      <c r="E201" s="79">
        <f t="shared" si="257"/>
        <v>0</v>
      </c>
      <c r="F201" s="856"/>
      <c r="G201" s="1150" t="s">
        <v>2848</v>
      </c>
      <c r="H201" s="79">
        <f t="shared" ref="H201:O201" si="258">H708</f>
        <v>0</v>
      </c>
      <c r="I201" s="584"/>
      <c r="J201" s="77">
        <f t="shared" si="258"/>
        <v>0</v>
      </c>
      <c r="K201" s="79">
        <f t="shared" si="258"/>
        <v>0</v>
      </c>
      <c r="L201" s="79">
        <f t="shared" si="258"/>
        <v>0</v>
      </c>
      <c r="M201" s="79">
        <f t="shared" si="258"/>
        <v>0</v>
      </c>
      <c r="N201" s="79">
        <f t="shared" si="258"/>
        <v>0</v>
      </c>
      <c r="O201" s="79">
        <f t="shared" si="258"/>
        <v>0</v>
      </c>
      <c r="P201" s="77">
        <f t="shared" ref="P201:Q201" si="259">P708</f>
        <v>0</v>
      </c>
      <c r="Q201" s="79">
        <f t="shared" si="259"/>
        <v>0</v>
      </c>
      <c r="R201" s="79">
        <f t="shared" ref="R201" si="260">R708</f>
        <v>0</v>
      </c>
      <c r="S201" s="2346">
        <f t="shared" ref="S201" si="261">S708</f>
        <v>0</v>
      </c>
    </row>
    <row r="202" spans="1:19" s="2226" customFormat="1" ht="12.75" customHeight="1" x14ac:dyDescent="0.2">
      <c r="A202" s="25">
        <f t="shared" si="255"/>
        <v>61000</v>
      </c>
      <c r="B202" s="79">
        <f t="shared" si="256"/>
        <v>253800</v>
      </c>
      <c r="C202" s="79">
        <f t="shared" si="256"/>
        <v>120100</v>
      </c>
      <c r="D202" s="79">
        <f t="shared" si="257"/>
        <v>64200</v>
      </c>
      <c r="E202" s="79">
        <f t="shared" ref="E202" si="262">E709</f>
        <v>81600</v>
      </c>
      <c r="F202" s="856"/>
      <c r="G202" s="1150" t="s">
        <v>1909</v>
      </c>
      <c r="H202" s="79">
        <f t="shared" ref="H202:O202" si="263">H709</f>
        <v>2600</v>
      </c>
      <c r="I202" s="584"/>
      <c r="J202" s="77">
        <f t="shared" si="263"/>
        <v>0</v>
      </c>
      <c r="K202" s="79">
        <f t="shared" si="263"/>
        <v>0</v>
      </c>
      <c r="L202" s="79">
        <f t="shared" si="263"/>
        <v>0</v>
      </c>
      <c r="M202" s="79">
        <f t="shared" si="263"/>
        <v>0</v>
      </c>
      <c r="N202" s="79">
        <f t="shared" si="263"/>
        <v>0</v>
      </c>
      <c r="O202" s="79">
        <f t="shared" si="263"/>
        <v>0</v>
      </c>
      <c r="P202" s="77">
        <f t="shared" ref="P202:Q202" si="264">P709</f>
        <v>0</v>
      </c>
      <c r="Q202" s="79">
        <f t="shared" si="264"/>
        <v>0</v>
      </c>
      <c r="R202" s="79">
        <f t="shared" ref="R202" si="265">R709</f>
        <v>0</v>
      </c>
      <c r="S202" s="2346">
        <f t="shared" ref="S202" si="266">S709</f>
        <v>0</v>
      </c>
    </row>
    <row r="203" spans="1:19" s="2226" customFormat="1" ht="12.75" customHeight="1" x14ac:dyDescent="0.2">
      <c r="A203" s="25">
        <f t="shared" si="255"/>
        <v>59000</v>
      </c>
      <c r="B203" s="79">
        <f t="shared" si="256"/>
        <v>209200</v>
      </c>
      <c r="C203" s="79">
        <f t="shared" si="256"/>
        <v>253800</v>
      </c>
      <c r="D203" s="79">
        <f t="shared" si="257"/>
        <v>88100</v>
      </c>
      <c r="E203" s="79">
        <f t="shared" ref="E203" si="267">E710</f>
        <v>64200</v>
      </c>
      <c r="F203" s="856"/>
      <c r="G203" s="1150" t="s">
        <v>2309</v>
      </c>
      <c r="H203" s="79">
        <f t="shared" ref="H203:O203" si="268">H710</f>
        <v>4000</v>
      </c>
      <c r="I203" s="584"/>
      <c r="J203" s="77">
        <f t="shared" si="268"/>
        <v>0</v>
      </c>
      <c r="K203" s="79">
        <f t="shared" si="268"/>
        <v>0</v>
      </c>
      <c r="L203" s="79">
        <f t="shared" si="268"/>
        <v>0</v>
      </c>
      <c r="M203" s="79">
        <f t="shared" si="268"/>
        <v>0</v>
      </c>
      <c r="N203" s="79">
        <f t="shared" si="268"/>
        <v>0</v>
      </c>
      <c r="O203" s="79">
        <f t="shared" si="268"/>
        <v>0</v>
      </c>
      <c r="P203" s="77">
        <f t="shared" ref="P203:Q203" si="269">P710</f>
        <v>0</v>
      </c>
      <c r="Q203" s="79">
        <f t="shared" si="269"/>
        <v>0</v>
      </c>
      <c r="R203" s="79">
        <f t="shared" ref="R203" si="270">R710</f>
        <v>0</v>
      </c>
      <c r="S203" s="2346">
        <f t="shared" ref="S203" si="271">S710</f>
        <v>0</v>
      </c>
    </row>
    <row r="204" spans="1:19" s="2226" customFormat="1" ht="12.75" customHeight="1" x14ac:dyDescent="0.2">
      <c r="A204" s="25">
        <f t="shared" si="255"/>
        <v>0</v>
      </c>
      <c r="B204" s="79">
        <f t="shared" si="256"/>
        <v>16000</v>
      </c>
      <c r="C204" s="79">
        <f t="shared" si="256"/>
        <v>0</v>
      </c>
      <c r="D204" s="79">
        <f t="shared" si="257"/>
        <v>0</v>
      </c>
      <c r="E204" s="79">
        <f t="shared" ref="E204" si="272">E711</f>
        <v>0</v>
      </c>
      <c r="F204" s="856"/>
      <c r="G204" s="634" t="s">
        <v>5847</v>
      </c>
      <c r="H204" s="79">
        <f t="shared" ref="H204:O204" si="273">H711</f>
        <v>0</v>
      </c>
      <c r="I204" s="584"/>
      <c r="J204" s="77">
        <f t="shared" si="273"/>
        <v>0</v>
      </c>
      <c r="K204" s="79">
        <f t="shared" si="273"/>
        <v>0</v>
      </c>
      <c r="L204" s="79">
        <f t="shared" si="273"/>
        <v>0</v>
      </c>
      <c r="M204" s="79">
        <f t="shared" si="273"/>
        <v>0</v>
      </c>
      <c r="N204" s="79">
        <f t="shared" si="273"/>
        <v>0</v>
      </c>
      <c r="O204" s="79">
        <f t="shared" si="273"/>
        <v>0</v>
      </c>
      <c r="P204" s="77">
        <f t="shared" ref="P204:Q204" si="274">P711</f>
        <v>0</v>
      </c>
      <c r="Q204" s="79">
        <f t="shared" si="274"/>
        <v>0</v>
      </c>
      <c r="R204" s="79">
        <f t="shared" ref="R204" si="275">R711</f>
        <v>0</v>
      </c>
      <c r="S204" s="2346">
        <f t="shared" ref="S204" si="276">S711</f>
        <v>0</v>
      </c>
    </row>
    <row r="205" spans="1:19" s="2226" customFormat="1" ht="12.75" customHeight="1" x14ac:dyDescent="0.2">
      <c r="A205" s="25">
        <f t="shared" si="255"/>
        <v>0</v>
      </c>
      <c r="B205" s="79">
        <f t="shared" si="256"/>
        <v>10400</v>
      </c>
      <c r="C205" s="79">
        <f t="shared" si="256"/>
        <v>156600</v>
      </c>
      <c r="D205" s="79">
        <f t="shared" si="257"/>
        <v>39300</v>
      </c>
      <c r="E205" s="79">
        <f t="shared" ref="E205" si="277">E712</f>
        <v>0</v>
      </c>
      <c r="F205" s="856"/>
      <c r="G205" s="634" t="s">
        <v>958</v>
      </c>
      <c r="H205" s="79">
        <f t="shared" ref="H205:O205" si="278">H712</f>
        <v>0</v>
      </c>
      <c r="I205" s="584"/>
      <c r="J205" s="77">
        <f t="shared" si="278"/>
        <v>0</v>
      </c>
      <c r="K205" s="79">
        <f t="shared" si="278"/>
        <v>0</v>
      </c>
      <c r="L205" s="79">
        <f t="shared" si="278"/>
        <v>0</v>
      </c>
      <c r="M205" s="79">
        <f t="shared" si="278"/>
        <v>0</v>
      </c>
      <c r="N205" s="79">
        <f t="shared" si="278"/>
        <v>0</v>
      </c>
      <c r="O205" s="79">
        <f t="shared" si="278"/>
        <v>0</v>
      </c>
      <c r="P205" s="77">
        <f t="shared" ref="P205:Q205" si="279">P712</f>
        <v>0</v>
      </c>
      <c r="Q205" s="79">
        <f t="shared" si="279"/>
        <v>0</v>
      </c>
      <c r="R205" s="79">
        <f t="shared" ref="R205" si="280">R712</f>
        <v>0</v>
      </c>
      <c r="S205" s="2346">
        <f t="shared" ref="S205" si="281">S712</f>
        <v>0</v>
      </c>
    </row>
    <row r="206" spans="1:19" s="2226" customFormat="1" ht="12.75" customHeight="1" x14ac:dyDescent="0.2">
      <c r="A206" s="25"/>
      <c r="B206" s="79"/>
      <c r="C206" s="79"/>
      <c r="D206" s="79"/>
      <c r="E206" s="79"/>
      <c r="F206" s="856"/>
      <c r="G206" s="877"/>
      <c r="H206" s="79"/>
      <c r="I206" s="584"/>
      <c r="J206" s="77"/>
      <c r="K206" s="79"/>
      <c r="L206" s="79"/>
      <c r="M206" s="79"/>
      <c r="N206" s="79"/>
      <c r="O206" s="79"/>
      <c r="P206" s="77"/>
      <c r="Q206" s="79"/>
      <c r="R206" s="79"/>
      <c r="S206" s="2346"/>
    </row>
    <row r="207" spans="1:19" s="2226" customFormat="1" ht="12.75" customHeight="1" x14ac:dyDescent="0.2">
      <c r="A207" s="861">
        <f>A196-A201-A202+A203++A204-A205</f>
        <v>-1228000</v>
      </c>
      <c r="B207" s="791">
        <f>B196-B201-B202+B203++B204-B205</f>
        <v>-1295800</v>
      </c>
      <c r="C207" s="791">
        <f>C196-C201-C202+C203++C204-C205</f>
        <v>-1288000</v>
      </c>
      <c r="D207" s="791">
        <f>D196-D201-D202+D203++D204-D205</f>
        <v>-1322500</v>
      </c>
      <c r="E207" s="791">
        <f>E196-E201-E202+E203++E204-E205</f>
        <v>-1360500</v>
      </c>
      <c r="F207" s="878"/>
      <c r="G207" s="879" t="s">
        <v>2447</v>
      </c>
      <c r="H207" s="791">
        <f>H196-H201-H202+H203++H204-H205</f>
        <v>-1366800</v>
      </c>
      <c r="I207" s="864">
        <f>IF(E207=H207,0,IF(E207=0,100,(H207-E207)/E207*100))</f>
        <v>0.46306504961411249</v>
      </c>
      <c r="J207" s="865">
        <f t="shared" ref="J207:R207" si="282">J196-J201-J202+J203++J204-J205</f>
        <v>-1394700</v>
      </c>
      <c r="K207" s="791">
        <f t="shared" si="282"/>
        <v>-1429900</v>
      </c>
      <c r="L207" s="791">
        <f t="shared" si="282"/>
        <v>-1466100</v>
      </c>
      <c r="M207" s="791">
        <f t="shared" si="282"/>
        <v>-1503200</v>
      </c>
      <c r="N207" s="791">
        <f t="shared" si="282"/>
        <v>-1541200</v>
      </c>
      <c r="O207" s="791">
        <f t="shared" si="282"/>
        <v>-1580000</v>
      </c>
      <c r="P207" s="865">
        <f t="shared" si="282"/>
        <v>-1619800</v>
      </c>
      <c r="Q207" s="791">
        <f t="shared" si="282"/>
        <v>-1660700</v>
      </c>
      <c r="R207" s="791">
        <f t="shared" si="282"/>
        <v>-1702600</v>
      </c>
      <c r="S207" s="2349">
        <f t="shared" ref="S207" si="283">S196-S201-S202+S203++S204-S205</f>
        <v>-1745500</v>
      </c>
    </row>
    <row r="208" spans="1:19" s="2226" customFormat="1" ht="12.75" customHeight="1" thickBot="1" x14ac:dyDescent="0.25">
      <c r="A208" s="866"/>
      <c r="B208" s="851"/>
      <c r="C208" s="851"/>
      <c r="D208" s="851"/>
      <c r="E208" s="592"/>
      <c r="F208" s="2208"/>
      <c r="G208" s="880"/>
      <c r="H208" s="592"/>
      <c r="I208" s="869"/>
      <c r="J208" s="593"/>
      <c r="K208" s="592"/>
      <c r="L208" s="592"/>
      <c r="M208" s="592"/>
      <c r="N208" s="592"/>
      <c r="O208" s="592"/>
      <c r="P208" s="593"/>
      <c r="Q208" s="592"/>
      <c r="R208" s="592"/>
      <c r="S208" s="594"/>
    </row>
    <row r="209" spans="1:19" s="2226" customFormat="1" ht="12.75" customHeight="1" thickTop="1" thickBot="1" x14ac:dyDescent="0.25">
      <c r="C209" s="31"/>
      <c r="D209" s="31"/>
      <c r="E209" s="31"/>
      <c r="F209" s="881"/>
      <c r="I209" s="882"/>
    </row>
    <row r="210" spans="1:19" s="38" customFormat="1" ht="19.5" thickTop="1" thickBot="1" x14ac:dyDescent="0.3">
      <c r="A210" s="2588" t="s">
        <v>2310</v>
      </c>
      <c r="B210" s="2589"/>
      <c r="C210" s="2589"/>
      <c r="D210" s="2589"/>
      <c r="E210" s="2589"/>
      <c r="F210" s="2589"/>
      <c r="G210" s="2589"/>
      <c r="H210" s="2589"/>
      <c r="I210" s="2589"/>
      <c r="J210" s="2589"/>
      <c r="K210" s="2589"/>
      <c r="L210" s="2589"/>
      <c r="M210" s="2589"/>
      <c r="N210" s="2589"/>
      <c r="O210" s="2589"/>
      <c r="P210" s="2589"/>
      <c r="Q210" s="2589"/>
      <c r="R210" s="2589"/>
      <c r="S210" s="2590"/>
    </row>
    <row r="211" spans="1:19" s="39" customFormat="1" ht="12.75" customHeight="1" x14ac:dyDescent="0.2">
      <c r="A211" s="2591" t="s">
        <v>1824</v>
      </c>
      <c r="B211" s="2577"/>
      <c r="C211" s="2577"/>
      <c r="D211" s="2577"/>
      <c r="E211" s="2592" t="s">
        <v>2215</v>
      </c>
      <c r="F211" s="2231" t="s">
        <v>2616</v>
      </c>
      <c r="G211" s="188" t="s">
        <v>2213</v>
      </c>
      <c r="H211" s="2576" t="s">
        <v>2215</v>
      </c>
      <c r="I211" s="2577"/>
      <c r="J211" s="2577"/>
      <c r="K211" s="2577"/>
      <c r="L211" s="2577"/>
      <c r="M211" s="2577"/>
      <c r="N211" s="2577"/>
      <c r="O211" s="2577"/>
      <c r="P211" s="2577"/>
      <c r="Q211" s="2577"/>
      <c r="R211" s="2577"/>
      <c r="S211" s="2578"/>
    </row>
    <row r="212" spans="1:19" s="2226" customFormat="1" ht="12.75" customHeight="1" thickBot="1" x14ac:dyDescent="0.25">
      <c r="A212" s="2066" t="str">
        <f>A168</f>
        <v>2012/13</v>
      </c>
      <c r="B212" s="94" t="str">
        <f>B168</f>
        <v>2013/14</v>
      </c>
      <c r="C212" s="44" t="str">
        <f>C168</f>
        <v>2014/15</v>
      </c>
      <c r="D212" s="44" t="str">
        <f>D168</f>
        <v>2015/16</v>
      </c>
      <c r="E212" s="44" t="str">
        <f t="shared" ref="E212" si="284">E168</f>
        <v>2016/17</v>
      </c>
      <c r="F212" s="44" t="str">
        <f>F168</f>
        <v>ACCOUNT</v>
      </c>
      <c r="G212" s="2086"/>
      <c r="H212" s="44" t="str">
        <f t="shared" ref="H212:R212" si="285">H168</f>
        <v>2017/18</v>
      </c>
      <c r="I212" s="1459" t="str">
        <f t="shared" si="285"/>
        <v>%</v>
      </c>
      <c r="J212" s="2337" t="str">
        <f t="shared" si="285"/>
        <v>2018/19</v>
      </c>
      <c r="K212" s="2336" t="str">
        <f t="shared" si="285"/>
        <v>2019/20</v>
      </c>
      <c r="L212" s="44" t="str">
        <f t="shared" si="285"/>
        <v>2020/21</v>
      </c>
      <c r="M212" s="2336" t="str">
        <f t="shared" si="285"/>
        <v>2021/22</v>
      </c>
      <c r="N212" s="44" t="str">
        <f t="shared" si="285"/>
        <v>2022/23</v>
      </c>
      <c r="O212" s="44" t="str">
        <f t="shared" si="285"/>
        <v>2023/24</v>
      </c>
      <c r="P212" s="44" t="str">
        <f t="shared" si="285"/>
        <v>2024/25</v>
      </c>
      <c r="Q212" s="94" t="str">
        <f t="shared" si="285"/>
        <v>2025/26</v>
      </c>
      <c r="R212" s="94" t="str">
        <f t="shared" si="285"/>
        <v>2026/27</v>
      </c>
      <c r="S212" s="95" t="str">
        <f t="shared" ref="S212" si="286">S168</f>
        <v>2027/28</v>
      </c>
    </row>
    <row r="213" spans="1:19" s="2226" customFormat="1" ht="12.75" customHeight="1" x14ac:dyDescent="0.2">
      <c r="A213" s="581"/>
      <c r="B213" s="79"/>
      <c r="C213" s="706"/>
      <c r="D213" s="706"/>
      <c r="E213" s="706"/>
      <c r="F213" s="883"/>
      <c r="G213" s="884"/>
      <c r="H213" s="79"/>
      <c r="I213" s="584"/>
      <c r="J213" s="77"/>
      <c r="K213" s="79"/>
      <c r="L213" s="79"/>
      <c r="M213" s="79"/>
      <c r="N213" s="79"/>
      <c r="O213" s="79"/>
      <c r="P213" s="79"/>
      <c r="Q213" s="79"/>
      <c r="R213" s="79"/>
      <c r="S213" s="78"/>
    </row>
    <row r="214" spans="1:19" s="2226" customFormat="1" ht="12.75" customHeight="1" x14ac:dyDescent="0.2">
      <c r="A214" s="581"/>
      <c r="B214" s="79"/>
      <c r="C214" s="706"/>
      <c r="D214" s="706"/>
      <c r="E214" s="706"/>
      <c r="F214" s="883"/>
      <c r="G214" s="886" t="s">
        <v>1056</v>
      </c>
      <c r="H214" s="79"/>
      <c r="I214" s="584"/>
      <c r="J214" s="77"/>
      <c r="K214" s="79"/>
      <c r="L214" s="79"/>
      <c r="M214" s="79"/>
      <c r="N214" s="79"/>
      <c r="O214" s="79"/>
      <c r="P214" s="79"/>
      <c r="Q214" s="79"/>
      <c r="R214" s="79"/>
      <c r="S214" s="78"/>
    </row>
    <row r="215" spans="1:19" s="2226" customFormat="1" ht="12.75" customHeight="1" x14ac:dyDescent="0.2">
      <c r="A215" s="581"/>
      <c r="B215" s="79"/>
      <c r="C215" s="706"/>
      <c r="D215" s="706"/>
      <c r="E215" s="706"/>
      <c r="F215" s="883"/>
      <c r="G215" s="886"/>
      <c r="H215" s="79"/>
      <c r="I215" s="584"/>
      <c r="J215" s="77"/>
      <c r="K215" s="79"/>
      <c r="L215" s="79"/>
      <c r="M215" s="79"/>
      <c r="N215" s="79"/>
      <c r="O215" s="79"/>
      <c r="P215" s="79"/>
      <c r="Q215" s="79"/>
      <c r="R215" s="79"/>
      <c r="S215" s="78"/>
    </row>
    <row r="216" spans="1:19" s="2226" customFormat="1" ht="12.75" customHeight="1" x14ac:dyDescent="0.2">
      <c r="A216" s="581"/>
      <c r="B216" s="79"/>
      <c r="C216" s="706"/>
      <c r="D216" s="707"/>
      <c r="E216" s="706"/>
      <c r="F216" s="883"/>
      <c r="G216" s="853" t="s">
        <v>1156</v>
      </c>
      <c r="H216" s="79"/>
      <c r="I216" s="584"/>
      <c r="J216" s="77"/>
      <c r="K216" s="79"/>
      <c r="L216" s="79"/>
      <c r="M216" s="79"/>
      <c r="N216" s="79"/>
      <c r="O216" s="79"/>
      <c r="P216" s="79"/>
      <c r="Q216" s="79"/>
      <c r="R216" s="79"/>
      <c r="S216" s="78"/>
    </row>
    <row r="217" spans="1:19" s="2226" customFormat="1" ht="12.75" customHeight="1" x14ac:dyDescent="0.2">
      <c r="A217" s="25">
        <f>ROUND(SUM(A721:A724),-3)</f>
        <v>178000</v>
      </c>
      <c r="B217" s="79">
        <f>SUM(B721:B724)</f>
        <v>193600</v>
      </c>
      <c r="C217" s="706">
        <f>SUM(C721:C724)</f>
        <v>198400</v>
      </c>
      <c r="D217" s="707">
        <f>SUM(D721:D724)</f>
        <v>247200</v>
      </c>
      <c r="E217" s="706">
        <f t="shared" ref="E217" si="287">SUM(E721:E724)</f>
        <v>255600</v>
      </c>
      <c r="F217" s="883">
        <v>22270</v>
      </c>
      <c r="G217" s="1150" t="s">
        <v>3555</v>
      </c>
      <c r="H217" s="79">
        <f t="shared" ref="H217:P217" si="288">SUM(H721:H724)</f>
        <v>228000</v>
      </c>
      <c r="I217" s="85">
        <f>IF(E217=H217,0,IF(E217=0,100,(H217-E217)/E217*100))</f>
        <v>-10.7981220657277</v>
      </c>
      <c r="J217" s="77">
        <f t="shared" si="288"/>
        <v>292200</v>
      </c>
      <c r="K217" s="79">
        <f t="shared" si="288"/>
        <v>299700</v>
      </c>
      <c r="L217" s="79">
        <f t="shared" si="288"/>
        <v>307400</v>
      </c>
      <c r="M217" s="79">
        <f t="shared" si="288"/>
        <v>315300</v>
      </c>
      <c r="N217" s="79">
        <f t="shared" si="288"/>
        <v>323300</v>
      </c>
      <c r="O217" s="79">
        <f t="shared" si="288"/>
        <v>331600</v>
      </c>
      <c r="P217" s="79">
        <f t="shared" si="288"/>
        <v>340000</v>
      </c>
      <c r="Q217" s="79">
        <f t="shared" ref="Q217" si="289">SUM(Q721:Q724)</f>
        <v>348700</v>
      </c>
      <c r="R217" s="79">
        <f t="shared" ref="R217" si="290">SUM(R721:R724)</f>
        <v>357500</v>
      </c>
      <c r="S217" s="2346">
        <f t="shared" ref="S217" si="291">SUM(S721:S724)</f>
        <v>366600</v>
      </c>
    </row>
    <row r="218" spans="1:19" s="2226" customFormat="1" ht="12.75" customHeight="1" x14ac:dyDescent="0.2">
      <c r="A218" s="25"/>
      <c r="B218" s="79"/>
      <c r="C218" s="706"/>
      <c r="D218" s="707"/>
      <c r="E218" s="706"/>
      <c r="F218" s="883"/>
      <c r="G218" s="1150"/>
      <c r="H218" s="79"/>
      <c r="I218" s="584"/>
      <c r="J218" s="77"/>
      <c r="K218" s="79"/>
      <c r="L218" s="79"/>
      <c r="M218" s="79"/>
      <c r="N218" s="79"/>
      <c r="O218" s="79"/>
      <c r="P218" s="79"/>
      <c r="Q218" s="79"/>
      <c r="R218" s="79"/>
      <c r="S218" s="2346"/>
    </row>
    <row r="219" spans="1:19" s="2226" customFormat="1" ht="12.75" customHeight="1" x14ac:dyDescent="0.2">
      <c r="A219" s="25"/>
      <c r="B219" s="79"/>
      <c r="C219" s="706"/>
      <c r="D219" s="707"/>
      <c r="E219" s="706"/>
      <c r="F219" s="883"/>
      <c r="G219" s="853" t="s">
        <v>1982</v>
      </c>
      <c r="H219" s="79"/>
      <c r="I219" s="584"/>
      <c r="J219" s="77"/>
      <c r="K219" s="79"/>
      <c r="L219" s="79"/>
      <c r="M219" s="79"/>
      <c r="N219" s="79"/>
      <c r="O219" s="79"/>
      <c r="P219" s="79"/>
      <c r="Q219" s="79"/>
      <c r="R219" s="79"/>
      <c r="S219" s="2346"/>
    </row>
    <row r="220" spans="1:19" s="2226" customFormat="1" ht="12.75" customHeight="1" x14ac:dyDescent="0.2">
      <c r="A220" s="25">
        <f>ROUND(SUM(A725:A727),-3)</f>
        <v>143000</v>
      </c>
      <c r="B220" s="79">
        <f>SUM(B725:B727)</f>
        <v>155100</v>
      </c>
      <c r="C220" s="706">
        <f>SUM(C725:C727)</f>
        <v>155700</v>
      </c>
      <c r="D220" s="707">
        <f>SUM(D725:D727)</f>
        <v>160100</v>
      </c>
      <c r="E220" s="706">
        <f t="shared" ref="E220" si="292">SUM(E725:E727)</f>
        <v>179800</v>
      </c>
      <c r="F220" s="883">
        <v>22271</v>
      </c>
      <c r="G220" s="1150" t="s">
        <v>3555</v>
      </c>
      <c r="H220" s="79">
        <f t="shared" ref="H220:P220" si="293">SUM(H725:H727)</f>
        <v>160000</v>
      </c>
      <c r="I220" s="85">
        <f>IF(E220=H220,0,IF(E220=0,100,(H220-E220)/E220*100))</f>
        <v>-11.012235817575084</v>
      </c>
      <c r="J220" s="77">
        <f t="shared" si="293"/>
        <v>206000</v>
      </c>
      <c r="K220" s="79">
        <f t="shared" si="293"/>
        <v>211200</v>
      </c>
      <c r="L220" s="79">
        <f t="shared" si="293"/>
        <v>216600</v>
      </c>
      <c r="M220" s="79">
        <f t="shared" si="293"/>
        <v>222200</v>
      </c>
      <c r="N220" s="79">
        <f t="shared" si="293"/>
        <v>227800</v>
      </c>
      <c r="O220" s="79">
        <f t="shared" si="293"/>
        <v>233600</v>
      </c>
      <c r="P220" s="79">
        <f t="shared" si="293"/>
        <v>239600</v>
      </c>
      <c r="Q220" s="79">
        <f t="shared" ref="Q220" si="294">SUM(Q725:Q727)</f>
        <v>245700</v>
      </c>
      <c r="R220" s="79">
        <f t="shared" ref="R220" si="295">SUM(R725:R727)</f>
        <v>251900</v>
      </c>
      <c r="S220" s="2346">
        <f t="shared" ref="S220" si="296">SUM(S725:S727)</f>
        <v>258300</v>
      </c>
    </row>
    <row r="221" spans="1:19" s="2226" customFormat="1" ht="12.75" customHeight="1" thickBot="1" x14ac:dyDescent="0.25">
      <c r="A221" s="25" t="s">
        <v>2214</v>
      </c>
      <c r="B221" s="79" t="s">
        <v>2214</v>
      </c>
      <c r="C221" s="706" t="s">
        <v>2214</v>
      </c>
      <c r="D221" s="706" t="s">
        <v>2214</v>
      </c>
      <c r="E221" s="706" t="s">
        <v>2214</v>
      </c>
      <c r="F221" s="773"/>
      <c r="G221" s="1154"/>
      <c r="H221" s="79" t="s">
        <v>2214</v>
      </c>
      <c r="I221" s="584"/>
      <c r="J221" s="77" t="s">
        <v>2214</v>
      </c>
      <c r="K221" s="79" t="s">
        <v>2214</v>
      </c>
      <c r="L221" s="79" t="s">
        <v>2214</v>
      </c>
      <c r="M221" s="79" t="s">
        <v>2214</v>
      </c>
      <c r="N221" s="79" t="s">
        <v>2214</v>
      </c>
      <c r="O221" s="79" t="s">
        <v>2214</v>
      </c>
      <c r="P221" s="79" t="s">
        <v>2214</v>
      </c>
      <c r="Q221" s="79" t="s">
        <v>2214</v>
      </c>
      <c r="R221" s="79" t="s">
        <v>2214</v>
      </c>
      <c r="S221" s="2346" t="s">
        <v>2214</v>
      </c>
    </row>
    <row r="222" spans="1:19" s="2226" customFormat="1" ht="12.75" customHeight="1" x14ac:dyDescent="0.2">
      <c r="A222" s="125">
        <f>SUM(A214:A221)</f>
        <v>321000</v>
      </c>
      <c r="B222" s="53">
        <f>SUM(B214:B221)</f>
        <v>348700</v>
      </c>
      <c r="C222" s="888">
        <f>SUM(C214:C221)</f>
        <v>354100</v>
      </c>
      <c r="D222" s="888">
        <f>SUM(D214:D221)</f>
        <v>407300</v>
      </c>
      <c r="E222" s="888">
        <f>SUM(E214:E221)</f>
        <v>435400</v>
      </c>
      <c r="F222" s="887"/>
      <c r="G222" s="850"/>
      <c r="H222" s="53">
        <f>SUM(H214:H221)</f>
        <v>388000</v>
      </c>
      <c r="I222" s="391">
        <f>IF(E222=H222,0,IF(E222=0,100,(H222-E222)/E222*100))</f>
        <v>-10.886541111621497</v>
      </c>
      <c r="J222" s="105">
        <f t="shared" ref="J222:R222" si="297">SUM(J214:J221)</f>
        <v>498200</v>
      </c>
      <c r="K222" s="53">
        <f t="shared" si="297"/>
        <v>510900</v>
      </c>
      <c r="L222" s="53">
        <f t="shared" si="297"/>
        <v>524000</v>
      </c>
      <c r="M222" s="53">
        <f t="shared" si="297"/>
        <v>537500</v>
      </c>
      <c r="N222" s="53">
        <f t="shared" si="297"/>
        <v>551100</v>
      </c>
      <c r="O222" s="53">
        <f t="shared" si="297"/>
        <v>565200</v>
      </c>
      <c r="P222" s="53">
        <f t="shared" si="297"/>
        <v>579600</v>
      </c>
      <c r="Q222" s="53">
        <f t="shared" si="297"/>
        <v>594400</v>
      </c>
      <c r="R222" s="53">
        <f t="shared" si="297"/>
        <v>609400</v>
      </c>
      <c r="S222" s="2347">
        <f t="shared" ref="S222" si="298">SUM(S214:S221)</f>
        <v>624900</v>
      </c>
    </row>
    <row r="223" spans="1:19" s="2226" customFormat="1" ht="12.75" customHeight="1" x14ac:dyDescent="0.2">
      <c r="A223" s="25"/>
      <c r="B223" s="79"/>
      <c r="C223" s="706"/>
      <c r="D223" s="706"/>
      <c r="E223" s="706"/>
      <c r="F223" s="773"/>
      <c r="G223" s="883"/>
      <c r="H223" s="79"/>
      <c r="I223" s="584"/>
      <c r="J223" s="77"/>
      <c r="K223" s="79"/>
      <c r="L223" s="79"/>
      <c r="M223" s="79"/>
      <c r="N223" s="79"/>
      <c r="O223" s="79"/>
      <c r="P223" s="79"/>
      <c r="Q223" s="79"/>
      <c r="R223" s="79"/>
      <c r="S223" s="2346"/>
    </row>
    <row r="224" spans="1:19" s="2226" customFormat="1" ht="12.75" customHeight="1" x14ac:dyDescent="0.2">
      <c r="A224" s="25"/>
      <c r="B224" s="79"/>
      <c r="C224" s="706"/>
      <c r="D224" s="706"/>
      <c r="E224" s="706"/>
      <c r="F224" s="773"/>
      <c r="G224" s="886" t="s">
        <v>2169</v>
      </c>
      <c r="H224" s="79"/>
      <c r="I224" s="584"/>
      <c r="J224" s="77"/>
      <c r="K224" s="79"/>
      <c r="L224" s="79"/>
      <c r="M224" s="79"/>
      <c r="N224" s="79"/>
      <c r="O224" s="79"/>
      <c r="P224" s="79"/>
      <c r="Q224" s="79"/>
      <c r="R224" s="79"/>
      <c r="S224" s="2346"/>
    </row>
    <row r="225" spans="1:19" s="2226" customFormat="1" ht="12.75" customHeight="1" x14ac:dyDescent="0.2">
      <c r="A225" s="25"/>
      <c r="B225" s="79"/>
      <c r="C225" s="706"/>
      <c r="D225" s="706"/>
      <c r="E225" s="706"/>
      <c r="F225" s="773"/>
      <c r="G225" s="886"/>
      <c r="H225" s="79"/>
      <c r="I225" s="584"/>
      <c r="J225" s="77"/>
      <c r="K225" s="79"/>
      <c r="L225" s="79"/>
      <c r="M225" s="79"/>
      <c r="N225" s="79"/>
      <c r="O225" s="79"/>
      <c r="P225" s="79"/>
      <c r="Q225" s="79"/>
      <c r="R225" s="79"/>
      <c r="S225" s="2346"/>
    </row>
    <row r="226" spans="1:19" s="2226" customFormat="1" ht="12.75" customHeight="1" x14ac:dyDescent="0.2">
      <c r="A226" s="25"/>
      <c r="B226" s="79"/>
      <c r="C226" s="706"/>
      <c r="D226" s="706"/>
      <c r="E226" s="706"/>
      <c r="F226" s="773"/>
      <c r="G226" s="850" t="s">
        <v>1359</v>
      </c>
      <c r="H226" s="79"/>
      <c r="I226" s="584"/>
      <c r="J226" s="77"/>
      <c r="K226" s="79"/>
      <c r="L226" s="79"/>
      <c r="M226" s="79"/>
      <c r="N226" s="79"/>
      <c r="O226" s="79"/>
      <c r="P226" s="79"/>
      <c r="Q226" s="79"/>
      <c r="R226" s="79"/>
      <c r="S226" s="2346"/>
    </row>
    <row r="227" spans="1:19" s="2226" customFormat="1" ht="12.75" customHeight="1" x14ac:dyDescent="0.2">
      <c r="A227" s="25">
        <f>ROUND(SUM(A731:A739),-3)</f>
        <v>150000</v>
      </c>
      <c r="B227" s="79">
        <f>SUM(B731:B739)</f>
        <v>192000</v>
      </c>
      <c r="C227" s="706">
        <f>SUM(C731:C739)</f>
        <v>119100</v>
      </c>
      <c r="D227" s="707">
        <f>SUM(D731:D739)</f>
        <v>128800</v>
      </c>
      <c r="E227" s="706">
        <f t="shared" ref="E227" si="299">SUM(E731:E739)</f>
        <v>154900</v>
      </c>
      <c r="F227" s="773">
        <v>32330</v>
      </c>
      <c r="G227" s="1154" t="s">
        <v>2137</v>
      </c>
      <c r="H227" s="79">
        <f t="shared" ref="H227:P227" si="300">SUM(H731:H739)</f>
        <v>186500</v>
      </c>
      <c r="I227" s="85">
        <f>IF(E227=H227,0,IF(E227=0,100,(H227-E227)/E227*100))</f>
        <v>20.400258231116851</v>
      </c>
      <c r="J227" s="77">
        <f t="shared" si="300"/>
        <v>216500</v>
      </c>
      <c r="K227" s="79">
        <f t="shared" si="300"/>
        <v>222300</v>
      </c>
      <c r="L227" s="79">
        <f t="shared" si="300"/>
        <v>228300</v>
      </c>
      <c r="M227" s="79">
        <f t="shared" si="300"/>
        <v>234300</v>
      </c>
      <c r="N227" s="79">
        <f t="shared" si="300"/>
        <v>240700</v>
      </c>
      <c r="O227" s="79">
        <f t="shared" si="300"/>
        <v>247100</v>
      </c>
      <c r="P227" s="79">
        <f t="shared" si="300"/>
        <v>253800</v>
      </c>
      <c r="Q227" s="79">
        <f t="shared" ref="Q227" si="301">SUM(Q731:Q739)</f>
        <v>260500</v>
      </c>
      <c r="R227" s="79">
        <f t="shared" ref="R227" si="302">SUM(R731:R739)</f>
        <v>267300</v>
      </c>
      <c r="S227" s="2346">
        <f t="shared" ref="S227" si="303">SUM(S731:S739)</f>
        <v>274400</v>
      </c>
    </row>
    <row r="228" spans="1:19" s="2226" customFormat="1" ht="12.75" customHeight="1" x14ac:dyDescent="0.2">
      <c r="A228" s="25">
        <f>ROUND(SUM(A740:A742),-3)</f>
        <v>200000</v>
      </c>
      <c r="B228" s="79">
        <f>SUM(B740:B742)</f>
        <v>201200</v>
      </c>
      <c r="C228" s="706">
        <f>SUM(C740:C742)</f>
        <v>200500</v>
      </c>
      <c r="D228" s="707">
        <f>SUM(D740:D742)</f>
        <v>195900</v>
      </c>
      <c r="E228" s="706">
        <f t="shared" ref="E228" si="304">SUM(E740:E742)</f>
        <v>205400</v>
      </c>
      <c r="F228" s="773">
        <v>32330</v>
      </c>
      <c r="G228" s="1154" t="s">
        <v>6771</v>
      </c>
      <c r="H228" s="79">
        <f t="shared" ref="H228:P228" si="305">SUM(H740:H742)</f>
        <v>200000</v>
      </c>
      <c r="I228" s="85">
        <f>IF(E228=H228,0,IF(E228=0,100,(H228-E228)/E228*100))</f>
        <v>-2.6290165530671863</v>
      </c>
      <c r="J228" s="77">
        <f t="shared" si="305"/>
        <v>219000</v>
      </c>
      <c r="K228" s="79">
        <f t="shared" si="305"/>
        <v>224600</v>
      </c>
      <c r="L228" s="79">
        <f t="shared" si="305"/>
        <v>230300</v>
      </c>
      <c r="M228" s="79">
        <f t="shared" si="305"/>
        <v>236100</v>
      </c>
      <c r="N228" s="79">
        <f t="shared" si="305"/>
        <v>242100</v>
      </c>
      <c r="O228" s="79">
        <f t="shared" si="305"/>
        <v>248300</v>
      </c>
      <c r="P228" s="79">
        <f t="shared" si="305"/>
        <v>254600</v>
      </c>
      <c r="Q228" s="79">
        <f t="shared" ref="Q228" si="306">SUM(Q740:Q742)</f>
        <v>261100</v>
      </c>
      <c r="R228" s="79">
        <f t="shared" ref="R228" si="307">SUM(R740:R742)</f>
        <v>267700</v>
      </c>
      <c r="S228" s="2346">
        <f t="shared" ref="S228" si="308">SUM(S740:S742)</f>
        <v>274500</v>
      </c>
    </row>
    <row r="229" spans="1:19" s="2226" customFormat="1" ht="12.75" customHeight="1" x14ac:dyDescent="0.2">
      <c r="A229" s="25"/>
      <c r="B229" s="79"/>
      <c r="C229" s="706"/>
      <c r="D229" s="707"/>
      <c r="E229" s="706"/>
      <c r="F229" s="770"/>
      <c r="G229" s="1154"/>
      <c r="H229" s="79"/>
      <c r="I229" s="584"/>
      <c r="J229" s="77"/>
      <c r="K229" s="79"/>
      <c r="L229" s="79"/>
      <c r="M229" s="79"/>
      <c r="N229" s="79"/>
      <c r="O229" s="79"/>
      <c r="P229" s="79"/>
      <c r="Q229" s="79"/>
      <c r="R229" s="79"/>
      <c r="S229" s="2346"/>
    </row>
    <row r="230" spans="1:19" s="2226" customFormat="1" ht="12.75" customHeight="1" x14ac:dyDescent="0.2">
      <c r="A230" s="25"/>
      <c r="B230" s="79"/>
      <c r="C230" s="706"/>
      <c r="D230" s="707"/>
      <c r="E230" s="706"/>
      <c r="F230" s="770"/>
      <c r="G230" s="850" t="s">
        <v>1112</v>
      </c>
      <c r="H230" s="79"/>
      <c r="I230" s="584"/>
      <c r="J230" s="77"/>
      <c r="K230" s="79"/>
      <c r="L230" s="79"/>
      <c r="M230" s="79"/>
      <c r="N230" s="79"/>
      <c r="O230" s="79"/>
      <c r="P230" s="79"/>
      <c r="Q230" s="79"/>
      <c r="R230" s="79"/>
      <c r="S230" s="2346"/>
    </row>
    <row r="231" spans="1:19" s="2226" customFormat="1" ht="12.75" customHeight="1" x14ac:dyDescent="0.2">
      <c r="A231" s="25">
        <f>ROUND(SUM(A743:A744),-3)</f>
        <v>1000</v>
      </c>
      <c r="B231" s="79">
        <f>SUM(B743:B744)</f>
        <v>400</v>
      </c>
      <c r="C231" s="706">
        <f>SUM(C743:C744)</f>
        <v>0</v>
      </c>
      <c r="D231" s="707">
        <f>SUM(D743:D744)</f>
        <v>0</v>
      </c>
      <c r="E231" s="706">
        <f t="shared" ref="E231" si="309">SUM(E743:E744)</f>
        <v>7200</v>
      </c>
      <c r="F231" s="770">
        <v>32330</v>
      </c>
      <c r="G231" s="30" t="s">
        <v>1085</v>
      </c>
      <c r="H231" s="79">
        <f t="shared" ref="H231:P231" si="310">SUM(H743:H744)</f>
        <v>239700</v>
      </c>
      <c r="I231" s="85">
        <f>IF(E231=H231,0,IF(E231=0,100,(H231-E231)/E231*100))</f>
        <v>3229.1666666666665</v>
      </c>
      <c r="J231" s="77">
        <f t="shared" si="310"/>
        <v>269200</v>
      </c>
      <c r="K231" s="79">
        <f t="shared" si="310"/>
        <v>259700</v>
      </c>
      <c r="L231" s="79">
        <f t="shared" si="310"/>
        <v>248700</v>
      </c>
      <c r="M231" s="79">
        <f t="shared" si="310"/>
        <v>238400</v>
      </c>
      <c r="N231" s="79">
        <f t="shared" si="310"/>
        <v>227700</v>
      </c>
      <c r="O231" s="79">
        <f t="shared" si="310"/>
        <v>215600</v>
      </c>
      <c r="P231" s="79">
        <f t="shared" si="310"/>
        <v>204100</v>
      </c>
      <c r="Q231" s="79">
        <f t="shared" ref="Q231" si="311">SUM(Q743:Q744)</f>
        <v>192100</v>
      </c>
      <c r="R231" s="79">
        <f t="shared" ref="R231" si="312">SUM(R743:R744)</f>
        <v>178600</v>
      </c>
      <c r="S231" s="2346">
        <f t="shared" ref="S231" si="313">SUM(S743:S744)</f>
        <v>165700</v>
      </c>
    </row>
    <row r="232" spans="1:19" s="2226" customFormat="1" ht="12.75" customHeight="1" x14ac:dyDescent="0.2">
      <c r="A232" s="25"/>
      <c r="B232" s="79"/>
      <c r="C232" s="706"/>
      <c r="D232" s="707"/>
      <c r="E232" s="706"/>
      <c r="F232" s="770"/>
      <c r="G232" s="30"/>
      <c r="H232" s="79"/>
      <c r="I232" s="584"/>
      <c r="J232" s="77"/>
      <c r="K232" s="79"/>
      <c r="L232" s="79"/>
      <c r="M232" s="79"/>
      <c r="N232" s="79"/>
      <c r="O232" s="79"/>
      <c r="P232" s="79"/>
      <c r="Q232" s="79"/>
      <c r="R232" s="79"/>
      <c r="S232" s="2346"/>
    </row>
    <row r="233" spans="1:19" s="2226" customFormat="1" ht="12.75" customHeight="1" x14ac:dyDescent="0.2">
      <c r="A233" s="25"/>
      <c r="B233" s="79"/>
      <c r="C233" s="706"/>
      <c r="D233" s="706"/>
      <c r="E233" s="706"/>
      <c r="F233" s="773"/>
      <c r="G233" s="850" t="s">
        <v>1054</v>
      </c>
      <c r="H233" s="79"/>
      <c r="I233" s="584"/>
      <c r="J233" s="77"/>
      <c r="K233" s="79"/>
      <c r="L233" s="79"/>
      <c r="M233" s="79"/>
      <c r="N233" s="79"/>
      <c r="O233" s="79"/>
      <c r="P233" s="79"/>
      <c r="Q233" s="79"/>
      <c r="R233" s="79"/>
      <c r="S233" s="2346"/>
    </row>
    <row r="234" spans="1:19" s="2226" customFormat="1" ht="12.75" customHeight="1" x14ac:dyDescent="0.2">
      <c r="A234" s="25">
        <f>ROUND(SUM(A746:A754),-3)</f>
        <v>209000</v>
      </c>
      <c r="B234" s="79">
        <f>SUM(B746:B754)</f>
        <v>227400</v>
      </c>
      <c r="C234" s="706">
        <f>SUM(C746:C754)</f>
        <v>197500</v>
      </c>
      <c r="D234" s="707">
        <f>SUM(D746:D754)</f>
        <v>155300</v>
      </c>
      <c r="E234" s="706">
        <f t="shared" ref="E234" si="314">SUM(E746:E754)</f>
        <v>136400</v>
      </c>
      <c r="F234" s="773">
        <v>32331</v>
      </c>
      <c r="G234" s="1154" t="s">
        <v>2137</v>
      </c>
      <c r="H234" s="79">
        <f t="shared" ref="H234:P234" si="315">SUM(H746:H754)</f>
        <v>184700</v>
      </c>
      <c r="I234" s="85">
        <f>IF(E234=H234,0,IF(E234=0,100,(H234-E234)/E234*100))</f>
        <v>35.410557184750736</v>
      </c>
      <c r="J234" s="77">
        <f t="shared" si="315"/>
        <v>214600</v>
      </c>
      <c r="K234" s="79">
        <f t="shared" si="315"/>
        <v>220300</v>
      </c>
      <c r="L234" s="79">
        <f t="shared" si="315"/>
        <v>226200</v>
      </c>
      <c r="M234" s="79">
        <f t="shared" si="315"/>
        <v>232200</v>
      </c>
      <c r="N234" s="79">
        <f t="shared" si="315"/>
        <v>238600</v>
      </c>
      <c r="O234" s="79">
        <f t="shared" si="315"/>
        <v>245000</v>
      </c>
      <c r="P234" s="79">
        <f t="shared" si="315"/>
        <v>251700</v>
      </c>
      <c r="Q234" s="79">
        <f t="shared" ref="Q234" si="316">SUM(Q746:Q754)</f>
        <v>258400</v>
      </c>
      <c r="R234" s="79">
        <f t="shared" ref="R234" si="317">SUM(R746:R754)</f>
        <v>265200</v>
      </c>
      <c r="S234" s="2346">
        <f t="shared" ref="S234" si="318">SUM(S746:S754)</f>
        <v>272200</v>
      </c>
    </row>
    <row r="235" spans="1:19" s="2226" customFormat="1" ht="12.75" customHeight="1" x14ac:dyDescent="0.2">
      <c r="A235" s="25">
        <f t="shared" ref="A235:B235" si="319">SUM(A755:A757)</f>
        <v>196100</v>
      </c>
      <c r="B235" s="79">
        <f t="shared" si="319"/>
        <v>197900</v>
      </c>
      <c r="C235" s="706">
        <f>SUM(C755:C757)</f>
        <v>204200</v>
      </c>
      <c r="D235" s="707">
        <f>SUM(D755:D757)</f>
        <v>210000</v>
      </c>
      <c r="E235" s="706">
        <f t="shared" ref="E235" si="320">SUM(E755:E757)</f>
        <v>216500</v>
      </c>
      <c r="F235" s="773">
        <v>32331</v>
      </c>
      <c r="G235" s="1154" t="s">
        <v>6771</v>
      </c>
      <c r="H235" s="79">
        <f t="shared" ref="H235:P235" si="321">SUM(H755:H757)</f>
        <v>200000</v>
      </c>
      <c r="I235" s="85">
        <f>IF(E235=H235,0,IF(E235=0,100,(H235-E235)/E235*100))</f>
        <v>-7.6212471131639719</v>
      </c>
      <c r="J235" s="77">
        <f t="shared" si="321"/>
        <v>219000</v>
      </c>
      <c r="K235" s="79">
        <f t="shared" si="321"/>
        <v>224600</v>
      </c>
      <c r="L235" s="79">
        <f t="shared" si="321"/>
        <v>230300</v>
      </c>
      <c r="M235" s="79">
        <f t="shared" si="321"/>
        <v>236100</v>
      </c>
      <c r="N235" s="79">
        <f t="shared" si="321"/>
        <v>242100</v>
      </c>
      <c r="O235" s="79">
        <f t="shared" si="321"/>
        <v>248300</v>
      </c>
      <c r="P235" s="79">
        <f t="shared" si="321"/>
        <v>254600</v>
      </c>
      <c r="Q235" s="79">
        <f t="shared" ref="Q235" si="322">SUM(Q755:Q757)</f>
        <v>261100</v>
      </c>
      <c r="R235" s="79">
        <f t="shared" ref="R235" si="323">SUM(R755:R757)</f>
        <v>267700</v>
      </c>
      <c r="S235" s="2346">
        <f t="shared" ref="S235" si="324">SUM(S755:S757)</f>
        <v>274500</v>
      </c>
    </row>
    <row r="236" spans="1:19" s="2226" customFormat="1" ht="12.75" customHeight="1" x14ac:dyDescent="0.2">
      <c r="A236" s="25"/>
      <c r="B236" s="79"/>
      <c r="C236" s="706"/>
      <c r="D236" s="707"/>
      <c r="E236" s="706"/>
      <c r="F236" s="770"/>
      <c r="G236" s="1154"/>
      <c r="H236" s="79"/>
      <c r="I236" s="584"/>
      <c r="J236" s="77"/>
      <c r="K236" s="79"/>
      <c r="L236" s="79"/>
      <c r="M236" s="79"/>
      <c r="N236" s="79"/>
      <c r="O236" s="79"/>
      <c r="P236" s="79"/>
      <c r="Q236" s="79"/>
      <c r="R236" s="79"/>
      <c r="S236" s="2346"/>
    </row>
    <row r="237" spans="1:19" s="65" customFormat="1" ht="12.75" customHeight="1" x14ac:dyDescent="0.2">
      <c r="A237" s="25"/>
      <c r="B237" s="79"/>
      <c r="C237" s="706"/>
      <c r="D237" s="707"/>
      <c r="E237" s="706"/>
      <c r="F237" s="770"/>
      <c r="G237" s="850" t="s">
        <v>1112</v>
      </c>
      <c r="H237" s="79"/>
      <c r="I237" s="584"/>
      <c r="J237" s="77"/>
      <c r="K237" s="79"/>
      <c r="L237" s="79"/>
      <c r="M237" s="79"/>
      <c r="N237" s="79"/>
      <c r="O237" s="79"/>
      <c r="P237" s="79"/>
      <c r="Q237" s="79"/>
      <c r="R237" s="79"/>
      <c r="S237" s="2346"/>
    </row>
    <row r="238" spans="1:19" s="2226" customFormat="1" ht="12.75" customHeight="1" x14ac:dyDescent="0.2">
      <c r="A238" s="25">
        <f t="shared" ref="A238:B238" si="325">SUM(A759)</f>
        <v>0</v>
      </c>
      <c r="B238" s="79">
        <f t="shared" si="325"/>
        <v>0</v>
      </c>
      <c r="C238" s="706">
        <f>SUM(C759)</f>
        <v>0</v>
      </c>
      <c r="D238" s="707">
        <f>SUM(D759)</f>
        <v>0</v>
      </c>
      <c r="E238" s="706">
        <f t="shared" ref="E238" si="326">SUM(E759)</f>
        <v>0</v>
      </c>
      <c r="F238" s="770">
        <v>32330</v>
      </c>
      <c r="G238" s="30" t="s">
        <v>4620</v>
      </c>
      <c r="H238" s="79">
        <f t="shared" ref="H238:P238" si="327">SUM(H759)</f>
        <v>190600</v>
      </c>
      <c r="I238" s="85">
        <f>IF(E238=H238,0,IF(E238=0,100,(H238-E238)/E238*100))</f>
        <v>100</v>
      </c>
      <c r="J238" s="77">
        <f t="shared" si="327"/>
        <v>212500</v>
      </c>
      <c r="K238" s="79">
        <f t="shared" si="327"/>
        <v>204100</v>
      </c>
      <c r="L238" s="79">
        <f t="shared" si="327"/>
        <v>196400</v>
      </c>
      <c r="M238" s="79">
        <f t="shared" si="327"/>
        <v>187500</v>
      </c>
      <c r="N238" s="79">
        <f t="shared" si="327"/>
        <v>179200</v>
      </c>
      <c r="O238" s="79">
        <f t="shared" si="327"/>
        <v>169600</v>
      </c>
      <c r="P238" s="79">
        <f t="shared" si="327"/>
        <v>160600</v>
      </c>
      <c r="Q238" s="79">
        <f t="shared" ref="Q238" si="328">SUM(Q759)</f>
        <v>150400</v>
      </c>
      <c r="R238" s="79">
        <f t="shared" ref="R238" si="329">SUM(R759)</f>
        <v>140700</v>
      </c>
      <c r="S238" s="2346">
        <f t="shared" ref="S238" si="330">SUM(S759)</f>
        <v>129700</v>
      </c>
    </row>
    <row r="239" spans="1:19" s="2226" customFormat="1" ht="12.75" customHeight="1" x14ac:dyDescent="0.2">
      <c r="A239" s="25"/>
      <c r="B239" s="79"/>
      <c r="C239" s="706"/>
      <c r="D239" s="707"/>
      <c r="E239" s="706"/>
      <c r="F239" s="770"/>
      <c r="G239" s="30"/>
      <c r="H239" s="79"/>
      <c r="I239" s="584"/>
      <c r="J239" s="77"/>
      <c r="K239" s="79"/>
      <c r="L239" s="79"/>
      <c r="M239" s="79"/>
      <c r="N239" s="79"/>
      <c r="O239" s="79"/>
      <c r="P239" s="79"/>
      <c r="Q239" s="79"/>
      <c r="R239" s="79"/>
      <c r="S239" s="2346"/>
    </row>
    <row r="240" spans="1:19" s="2226" customFormat="1" ht="12.75" customHeight="1" x14ac:dyDescent="0.2">
      <c r="A240" s="25"/>
      <c r="B240" s="79"/>
      <c r="C240" s="706"/>
      <c r="D240" s="707"/>
      <c r="E240" s="706"/>
      <c r="F240" s="770"/>
      <c r="G240" s="853" t="s">
        <v>261</v>
      </c>
      <c r="H240" s="79"/>
      <c r="I240" s="584"/>
      <c r="J240" s="77"/>
      <c r="K240" s="79"/>
      <c r="L240" s="79"/>
      <c r="M240" s="79"/>
      <c r="N240" s="79"/>
      <c r="O240" s="79"/>
      <c r="P240" s="79"/>
      <c r="Q240" s="79"/>
      <c r="R240" s="79"/>
      <c r="S240" s="2346"/>
    </row>
    <row r="241" spans="1:19" s="2226" customFormat="1" ht="12.75" customHeight="1" x14ac:dyDescent="0.2">
      <c r="A241" s="25">
        <f>ROUND(SUM(A760:A762),-3)</f>
        <v>125000</v>
      </c>
      <c r="B241" s="79">
        <f>SUM(B760:B762)</f>
        <v>48200</v>
      </c>
      <c r="C241" s="706">
        <f>SUM(C760:C762)</f>
        <v>100800</v>
      </c>
      <c r="D241" s="707">
        <f>SUM(D760:D762)</f>
        <v>102800</v>
      </c>
      <c r="E241" s="706">
        <f t="shared" ref="E241" si="331">SUM(E760:E762)</f>
        <v>52000</v>
      </c>
      <c r="F241" s="773">
        <v>32330</v>
      </c>
      <c r="G241" s="1154" t="s">
        <v>85</v>
      </c>
      <c r="H241" s="79">
        <f t="shared" ref="H241:O241" si="332">SUM(H760:H762)</f>
        <v>184700</v>
      </c>
      <c r="I241" s="85">
        <f>IF(E241=H241,0,IF(E241=0,100,(H241-E241)/E241*100))</f>
        <v>255.19230769230768</v>
      </c>
      <c r="J241" s="77">
        <f t="shared" si="332"/>
        <v>188400</v>
      </c>
      <c r="K241" s="79">
        <f t="shared" si="332"/>
        <v>192200</v>
      </c>
      <c r="L241" s="79">
        <f t="shared" si="332"/>
        <v>196100</v>
      </c>
      <c r="M241" s="79">
        <f t="shared" si="332"/>
        <v>200100</v>
      </c>
      <c r="N241" s="79">
        <f t="shared" si="332"/>
        <v>204200</v>
      </c>
      <c r="O241" s="79">
        <f t="shared" si="332"/>
        <v>208300</v>
      </c>
      <c r="P241" s="79">
        <f t="shared" ref="P241:Q241" si="333">SUM(P760:P762)</f>
        <v>212500</v>
      </c>
      <c r="Q241" s="79">
        <f t="shared" si="333"/>
        <v>216800</v>
      </c>
      <c r="R241" s="79">
        <f t="shared" ref="R241" si="334">SUM(R760:R762)</f>
        <v>221200</v>
      </c>
      <c r="S241" s="2346">
        <f t="shared" ref="S241" si="335">SUM(S760:S762)</f>
        <v>225700</v>
      </c>
    </row>
    <row r="242" spans="1:19" s="2226" customFormat="1" ht="12.75" customHeight="1" thickBot="1" x14ac:dyDescent="0.25">
      <c r="A242" s="25"/>
      <c r="B242" s="79"/>
      <c r="C242" s="706"/>
      <c r="D242" s="706"/>
      <c r="E242" s="706"/>
      <c r="F242" s="773"/>
      <c r="G242" s="883"/>
      <c r="H242" s="79"/>
      <c r="I242" s="584"/>
      <c r="J242" s="77"/>
      <c r="K242" s="79"/>
      <c r="L242" s="79"/>
      <c r="M242" s="79"/>
      <c r="N242" s="79"/>
      <c r="O242" s="79"/>
      <c r="P242" s="79"/>
      <c r="Q242" s="79"/>
      <c r="R242" s="79"/>
      <c r="S242" s="2346"/>
    </row>
    <row r="243" spans="1:19" s="2226" customFormat="1" ht="12.75" customHeight="1" x14ac:dyDescent="0.2">
      <c r="A243" s="125">
        <f>SUM(A224:A242)</f>
        <v>881100</v>
      </c>
      <c r="B243" s="53">
        <f>SUM(B224:B242)</f>
        <v>867100</v>
      </c>
      <c r="C243" s="888">
        <f>SUM(C224:C242)</f>
        <v>822100</v>
      </c>
      <c r="D243" s="1429">
        <f>SUM(D224:D242)</f>
        <v>792800</v>
      </c>
      <c r="E243" s="888">
        <f>SUM(E224:E242)</f>
        <v>772400</v>
      </c>
      <c r="F243" s="889"/>
      <c r="G243" s="1465" t="s">
        <v>556</v>
      </c>
      <c r="H243" s="53">
        <f>SUM(H224:H242)</f>
        <v>1386200</v>
      </c>
      <c r="I243" s="391">
        <f>IF(E243=H243,0,IF(E243=0,100,(H243-E243)/E243*100))</f>
        <v>79.4665976178146</v>
      </c>
      <c r="J243" s="105">
        <f t="shared" ref="J243:R243" si="336">SUM(J224:J242)</f>
        <v>1539200</v>
      </c>
      <c r="K243" s="53">
        <f t="shared" si="336"/>
        <v>1547800</v>
      </c>
      <c r="L243" s="53">
        <f t="shared" si="336"/>
        <v>1556300</v>
      </c>
      <c r="M243" s="53">
        <f t="shared" si="336"/>
        <v>1564700</v>
      </c>
      <c r="N243" s="53">
        <f t="shared" si="336"/>
        <v>1574600</v>
      </c>
      <c r="O243" s="53">
        <f t="shared" si="336"/>
        <v>1582200</v>
      </c>
      <c r="P243" s="53">
        <f t="shared" si="336"/>
        <v>1591900</v>
      </c>
      <c r="Q243" s="53">
        <f t="shared" si="336"/>
        <v>1600400</v>
      </c>
      <c r="R243" s="53">
        <f t="shared" si="336"/>
        <v>1608400</v>
      </c>
      <c r="S243" s="2347">
        <f t="shared" ref="S243" si="337">SUM(S224:S242)</f>
        <v>1616700</v>
      </c>
    </row>
    <row r="244" spans="1:19" s="2226" customFormat="1" ht="12.75" customHeight="1" x14ac:dyDescent="0.2">
      <c r="A244" s="25"/>
      <c r="B244" s="79"/>
      <c r="C244" s="706"/>
      <c r="D244" s="707"/>
      <c r="E244" s="706"/>
      <c r="F244" s="770"/>
      <c r="G244" s="1150"/>
      <c r="H244" s="63"/>
      <c r="I244" s="584"/>
      <c r="J244" s="107"/>
      <c r="K244" s="63"/>
      <c r="L244" s="63"/>
      <c r="M244" s="63"/>
      <c r="N244" s="63"/>
      <c r="O244" s="63"/>
      <c r="P244" s="63"/>
      <c r="Q244" s="63"/>
      <c r="R244" s="63"/>
      <c r="S244" s="2348"/>
    </row>
    <row r="245" spans="1:19" s="2226" customFormat="1" ht="12.75" customHeight="1" x14ac:dyDescent="0.2">
      <c r="A245" s="198">
        <f>A222-A243</f>
        <v>-560100</v>
      </c>
      <c r="B245" s="63">
        <f>B222-B243</f>
        <v>-518400</v>
      </c>
      <c r="C245" s="1004">
        <f>C222-C243</f>
        <v>-468000</v>
      </c>
      <c r="D245" s="1410">
        <f>D222-D243</f>
        <v>-385500</v>
      </c>
      <c r="E245" s="1004">
        <f>E222-E243</f>
        <v>-337000</v>
      </c>
      <c r="F245" s="889"/>
      <c r="G245" s="1177" t="s">
        <v>1002</v>
      </c>
      <c r="H245" s="63">
        <f>H222-H243</f>
        <v>-998200</v>
      </c>
      <c r="I245" s="220">
        <f>IF(E245=H245,0,IF(E245=0,100,(H245-E245)/E245*100))</f>
        <v>196.20178041543025</v>
      </c>
      <c r="J245" s="107">
        <f t="shared" ref="J245:R245" si="338">J222-J243</f>
        <v>-1041000</v>
      </c>
      <c r="K245" s="63">
        <f t="shared" si="338"/>
        <v>-1036900</v>
      </c>
      <c r="L245" s="63">
        <f t="shared" si="338"/>
        <v>-1032300</v>
      </c>
      <c r="M245" s="63">
        <f t="shared" si="338"/>
        <v>-1027200</v>
      </c>
      <c r="N245" s="63">
        <f t="shared" si="338"/>
        <v>-1023500</v>
      </c>
      <c r="O245" s="63">
        <f t="shared" si="338"/>
        <v>-1017000</v>
      </c>
      <c r="P245" s="63">
        <f t="shared" si="338"/>
        <v>-1012300</v>
      </c>
      <c r="Q245" s="63">
        <f t="shared" si="338"/>
        <v>-1006000</v>
      </c>
      <c r="R245" s="63">
        <f t="shared" si="338"/>
        <v>-999000</v>
      </c>
      <c r="S245" s="2348">
        <f t="shared" ref="S245" si="339">S222-S243</f>
        <v>-991800</v>
      </c>
    </row>
    <row r="246" spans="1:19" s="2226" customFormat="1" ht="12.75" customHeight="1" x14ac:dyDescent="0.2">
      <c r="A246" s="25">
        <f>ROUND(A241,-3)</f>
        <v>125000</v>
      </c>
      <c r="B246" s="79">
        <f>B241</f>
        <v>48200</v>
      </c>
      <c r="C246" s="706">
        <f>C241</f>
        <v>100800</v>
      </c>
      <c r="D246" s="707">
        <f>D241</f>
        <v>102800</v>
      </c>
      <c r="E246" s="706">
        <f>E241</f>
        <v>52000</v>
      </c>
      <c r="F246" s="770"/>
      <c r="G246" s="1462" t="s">
        <v>1943</v>
      </c>
      <c r="H246" s="79">
        <f>H241</f>
        <v>184700</v>
      </c>
      <c r="I246" s="584">
        <f>IF(E246=H246,0,IF(E246=0,100,(H246-E246)/E246*100))</f>
        <v>255.19230769230768</v>
      </c>
      <c r="J246" s="77">
        <f t="shared" ref="J246:R246" si="340">J241</f>
        <v>188400</v>
      </c>
      <c r="K246" s="79">
        <f t="shared" si="340"/>
        <v>192200</v>
      </c>
      <c r="L246" s="79">
        <f t="shared" si="340"/>
        <v>196100</v>
      </c>
      <c r="M246" s="79">
        <f t="shared" si="340"/>
        <v>200100</v>
      </c>
      <c r="N246" s="79">
        <f t="shared" si="340"/>
        <v>204200</v>
      </c>
      <c r="O246" s="79">
        <f t="shared" si="340"/>
        <v>208300</v>
      </c>
      <c r="P246" s="79">
        <f t="shared" si="340"/>
        <v>212500</v>
      </c>
      <c r="Q246" s="79">
        <f t="shared" si="340"/>
        <v>216800</v>
      </c>
      <c r="R246" s="79">
        <f t="shared" si="340"/>
        <v>221200</v>
      </c>
      <c r="S246" s="2346">
        <f t="shared" ref="S246" si="341">S241</f>
        <v>225700</v>
      </c>
    </row>
    <row r="247" spans="1:19" s="2226" customFormat="1" ht="12.75" customHeight="1" x14ac:dyDescent="0.2">
      <c r="A247" s="861">
        <f>A245+A246</f>
        <v>-435100</v>
      </c>
      <c r="B247" s="791">
        <f>B245+B246</f>
        <v>-470200</v>
      </c>
      <c r="C247" s="1005">
        <f>C245+C246</f>
        <v>-367200</v>
      </c>
      <c r="D247" s="1430">
        <f>D245+D246</f>
        <v>-282700</v>
      </c>
      <c r="E247" s="1005">
        <f>E245+E246</f>
        <v>-285000</v>
      </c>
      <c r="F247" s="891"/>
      <c r="G247" s="1168" t="s">
        <v>1659</v>
      </c>
      <c r="H247" s="791">
        <f>H245+H246</f>
        <v>-813500</v>
      </c>
      <c r="I247" s="864">
        <f>IF(E247=H247,0,IF(E247=0,100,(H247-E247)/E247*100))</f>
        <v>185.43859649122808</v>
      </c>
      <c r="J247" s="865">
        <f t="shared" ref="J247:R247" si="342">J245+J246</f>
        <v>-852600</v>
      </c>
      <c r="K247" s="791">
        <f t="shared" si="342"/>
        <v>-844700</v>
      </c>
      <c r="L247" s="791">
        <f t="shared" si="342"/>
        <v>-836200</v>
      </c>
      <c r="M247" s="791">
        <f t="shared" si="342"/>
        <v>-827100</v>
      </c>
      <c r="N247" s="791">
        <f t="shared" si="342"/>
        <v>-819300</v>
      </c>
      <c r="O247" s="791">
        <f t="shared" si="342"/>
        <v>-808700</v>
      </c>
      <c r="P247" s="791">
        <f t="shared" si="342"/>
        <v>-799800</v>
      </c>
      <c r="Q247" s="791">
        <f t="shared" si="342"/>
        <v>-789200</v>
      </c>
      <c r="R247" s="791">
        <f t="shared" si="342"/>
        <v>-777800</v>
      </c>
      <c r="S247" s="2349">
        <f t="shared" ref="S247" si="343">S245+S246</f>
        <v>-766100</v>
      </c>
    </row>
    <row r="248" spans="1:19" s="65" customFormat="1" ht="12.75" customHeight="1" thickBot="1" x14ac:dyDescent="0.25">
      <c r="A248" s="1431"/>
      <c r="B248" s="851"/>
      <c r="C248" s="893"/>
      <c r="D248" s="893"/>
      <c r="E248" s="893"/>
      <c r="F248" s="892"/>
      <c r="G248" s="892"/>
      <c r="H248" s="871"/>
      <c r="I248" s="869"/>
      <c r="J248" s="870"/>
      <c r="K248" s="871"/>
      <c r="L248" s="871"/>
      <c r="M248" s="871"/>
      <c r="N248" s="871"/>
      <c r="O248" s="871"/>
      <c r="P248" s="871"/>
      <c r="Q248" s="871"/>
      <c r="R248" s="871"/>
      <c r="S248" s="2350"/>
    </row>
    <row r="249" spans="1:19" s="2226" customFormat="1" ht="12.75" customHeight="1" thickTop="1" x14ac:dyDescent="0.2">
      <c r="A249" s="872"/>
      <c r="B249" s="873"/>
      <c r="C249" s="1006"/>
      <c r="D249" s="1426"/>
      <c r="E249" s="1006"/>
      <c r="F249" s="895"/>
      <c r="G249" s="1467"/>
      <c r="H249" s="876"/>
      <c r="I249" s="1057"/>
      <c r="J249" s="875"/>
      <c r="K249" s="876"/>
      <c r="L249" s="876"/>
      <c r="M249" s="876"/>
      <c r="N249" s="876"/>
      <c r="O249" s="876"/>
      <c r="P249" s="876"/>
      <c r="Q249" s="876"/>
      <c r="R249" s="876"/>
      <c r="S249" s="2351"/>
    </row>
    <row r="250" spans="1:19" s="46" customFormat="1" ht="12.75" customHeight="1" x14ac:dyDescent="0.2">
      <c r="A250" s="198"/>
      <c r="B250" s="63"/>
      <c r="C250" s="1004"/>
      <c r="D250" s="1410"/>
      <c r="E250" s="1004"/>
      <c r="F250" s="773"/>
      <c r="G250" s="1177" t="s">
        <v>192</v>
      </c>
      <c r="H250" s="79"/>
      <c r="I250" s="220"/>
      <c r="J250" s="77"/>
      <c r="K250" s="79"/>
      <c r="L250" s="79"/>
      <c r="M250" s="79"/>
      <c r="N250" s="79"/>
      <c r="O250" s="79"/>
      <c r="P250" s="79"/>
      <c r="Q250" s="79"/>
      <c r="R250" s="79"/>
      <c r="S250" s="2346"/>
    </row>
    <row r="251" spans="1:19" s="39" customFormat="1" ht="12.75" customHeight="1" x14ac:dyDescent="0.2">
      <c r="A251" s="198"/>
      <c r="B251" s="63"/>
      <c r="C251" s="1004"/>
      <c r="D251" s="1410"/>
      <c r="E251" s="1004"/>
      <c r="F251" s="773"/>
      <c r="G251" s="883"/>
      <c r="H251" s="79"/>
      <c r="I251" s="220"/>
      <c r="J251" s="77"/>
      <c r="K251" s="79"/>
      <c r="L251" s="79"/>
      <c r="M251" s="79"/>
      <c r="N251" s="79"/>
      <c r="O251" s="79"/>
      <c r="P251" s="79"/>
      <c r="Q251" s="79"/>
      <c r="R251" s="79"/>
      <c r="S251" s="2346"/>
    </row>
    <row r="252" spans="1:19" s="2226" customFormat="1" ht="12.75" customHeight="1" x14ac:dyDescent="0.2">
      <c r="A252" s="25">
        <f t="shared" ref="A252:A256" si="344">ROUND(A771,-3)</f>
        <v>8000</v>
      </c>
      <c r="B252" s="79">
        <f t="shared" ref="B252:C256" si="345">B771</f>
        <v>8100</v>
      </c>
      <c r="C252" s="706">
        <f t="shared" si="345"/>
        <v>0</v>
      </c>
      <c r="D252" s="707">
        <f t="shared" ref="D252:E256" si="346">D771</f>
        <v>0</v>
      </c>
      <c r="E252" s="707">
        <f t="shared" si="346"/>
        <v>0</v>
      </c>
      <c r="F252" s="773"/>
      <c r="G252" s="1150" t="s">
        <v>2848</v>
      </c>
      <c r="H252" s="706">
        <f t="shared" ref="H252:O252" si="347">H771</f>
        <v>338600</v>
      </c>
      <c r="I252" s="584"/>
      <c r="J252" s="77">
        <f t="shared" si="347"/>
        <v>463000</v>
      </c>
      <c r="K252" s="79">
        <f t="shared" si="347"/>
        <v>481000</v>
      </c>
      <c r="L252" s="79">
        <f t="shared" si="347"/>
        <v>499600</v>
      </c>
      <c r="M252" s="79">
        <f t="shared" si="347"/>
        <v>518900</v>
      </c>
      <c r="N252" s="79">
        <f t="shared" si="347"/>
        <v>537900</v>
      </c>
      <c r="O252" s="706">
        <f t="shared" si="347"/>
        <v>559600</v>
      </c>
      <c r="P252" s="706">
        <f t="shared" ref="P252:Q252" si="348">P771</f>
        <v>580000</v>
      </c>
      <c r="Q252" s="706">
        <f t="shared" si="348"/>
        <v>602300</v>
      </c>
      <c r="R252" s="706">
        <f t="shared" ref="R252" si="349">R771</f>
        <v>625400</v>
      </c>
      <c r="S252" s="2352">
        <f t="shared" ref="S252" si="350">S771</f>
        <v>649300</v>
      </c>
    </row>
    <row r="253" spans="1:19" ht="12.75" customHeight="1" x14ac:dyDescent="0.2">
      <c r="A253" s="25">
        <f t="shared" si="344"/>
        <v>0</v>
      </c>
      <c r="B253" s="79">
        <f t="shared" si="345"/>
        <v>0</v>
      </c>
      <c r="C253" s="706">
        <f t="shared" si="345"/>
        <v>166400</v>
      </c>
      <c r="D253" s="707">
        <f t="shared" si="346"/>
        <v>439000</v>
      </c>
      <c r="E253" s="707">
        <f t="shared" ref="E253" si="351">E772</f>
        <v>5902800</v>
      </c>
      <c r="F253" s="773"/>
      <c r="G253" s="634" t="s">
        <v>1909</v>
      </c>
      <c r="H253" s="79">
        <f t="shared" ref="H253:O253" si="352">H772</f>
        <v>3000</v>
      </c>
      <c r="I253" s="584"/>
      <c r="J253" s="77">
        <f t="shared" si="352"/>
        <v>0</v>
      </c>
      <c r="K253" s="79">
        <f t="shared" si="352"/>
        <v>0</v>
      </c>
      <c r="L253" s="79">
        <f t="shared" si="352"/>
        <v>0</v>
      </c>
      <c r="M253" s="79">
        <f t="shared" si="352"/>
        <v>0</v>
      </c>
      <c r="N253" s="79">
        <f t="shared" si="352"/>
        <v>0</v>
      </c>
      <c r="O253" s="79">
        <f t="shared" si="352"/>
        <v>0</v>
      </c>
      <c r="P253" s="79">
        <f t="shared" ref="P253:Q253" si="353">P772</f>
        <v>0</v>
      </c>
      <c r="Q253" s="79">
        <f t="shared" si="353"/>
        <v>0</v>
      </c>
      <c r="R253" s="79">
        <f t="shared" ref="R253" si="354">R772</f>
        <v>0</v>
      </c>
      <c r="S253" s="2346">
        <f t="shared" ref="S253" si="355">S772</f>
        <v>0</v>
      </c>
    </row>
    <row r="254" spans="1:19" ht="12.75" customHeight="1" x14ac:dyDescent="0.2">
      <c r="A254" s="25">
        <f t="shared" si="344"/>
        <v>0</v>
      </c>
      <c r="B254" s="79">
        <f t="shared" si="345"/>
        <v>0</v>
      </c>
      <c r="C254" s="706">
        <f t="shared" si="345"/>
        <v>200000</v>
      </c>
      <c r="D254" s="707">
        <f t="shared" si="346"/>
        <v>115400</v>
      </c>
      <c r="E254" s="707">
        <f t="shared" ref="E254" si="356">E773</f>
        <v>1379000</v>
      </c>
      <c r="F254" s="773"/>
      <c r="G254" s="634" t="s">
        <v>2309</v>
      </c>
      <c r="H254" s="79">
        <f t="shared" ref="H254:O254" si="357">H773</f>
        <v>5013800</v>
      </c>
      <c r="I254" s="584"/>
      <c r="J254" s="77">
        <f t="shared" si="357"/>
        <v>0</v>
      </c>
      <c r="K254" s="79">
        <f t="shared" si="357"/>
        <v>0</v>
      </c>
      <c r="L254" s="79">
        <f t="shared" si="357"/>
        <v>0</v>
      </c>
      <c r="M254" s="79">
        <f t="shared" si="357"/>
        <v>0</v>
      </c>
      <c r="N254" s="79">
        <f t="shared" si="357"/>
        <v>0</v>
      </c>
      <c r="O254" s="79">
        <f t="shared" si="357"/>
        <v>0</v>
      </c>
      <c r="P254" s="79">
        <f t="shared" ref="P254:Q254" si="358">P773</f>
        <v>0</v>
      </c>
      <c r="Q254" s="79">
        <f t="shared" si="358"/>
        <v>0</v>
      </c>
      <c r="R254" s="79">
        <f t="shared" ref="R254" si="359">R773</f>
        <v>0</v>
      </c>
      <c r="S254" s="2346">
        <f t="shared" ref="S254" si="360">S773</f>
        <v>0</v>
      </c>
    </row>
    <row r="255" spans="1:19" ht="12.75" customHeight="1" x14ac:dyDescent="0.2">
      <c r="A255" s="25">
        <f t="shared" si="344"/>
        <v>0</v>
      </c>
      <c r="B255" s="79">
        <f t="shared" si="345"/>
        <v>15000</v>
      </c>
      <c r="C255" s="706">
        <f t="shared" si="345"/>
        <v>0</v>
      </c>
      <c r="D255" s="707">
        <f t="shared" si="346"/>
        <v>0</v>
      </c>
      <c r="E255" s="707">
        <f t="shared" ref="E255" si="361">E774</f>
        <v>3076900</v>
      </c>
      <c r="F255" s="773"/>
      <c r="G255" s="634" t="s">
        <v>5847</v>
      </c>
      <c r="H255" s="79">
        <f t="shared" ref="H255:O255" si="362">H774</f>
        <v>6447800</v>
      </c>
      <c r="I255" s="584"/>
      <c r="J255" s="77">
        <f t="shared" si="362"/>
        <v>0</v>
      </c>
      <c r="K255" s="79">
        <f t="shared" si="362"/>
        <v>0</v>
      </c>
      <c r="L255" s="79">
        <f t="shared" si="362"/>
        <v>0</v>
      </c>
      <c r="M255" s="79">
        <f t="shared" si="362"/>
        <v>0</v>
      </c>
      <c r="N255" s="79">
        <f t="shared" si="362"/>
        <v>0</v>
      </c>
      <c r="O255" s="79">
        <f t="shared" si="362"/>
        <v>0</v>
      </c>
      <c r="P255" s="79">
        <f t="shared" ref="P255:Q255" si="363">P774</f>
        <v>0</v>
      </c>
      <c r="Q255" s="79">
        <f t="shared" si="363"/>
        <v>0</v>
      </c>
      <c r="R255" s="79">
        <f t="shared" ref="R255" si="364">R774</f>
        <v>0</v>
      </c>
      <c r="S255" s="2346">
        <f t="shared" ref="S255" si="365">S774</f>
        <v>0</v>
      </c>
    </row>
    <row r="256" spans="1:19" ht="12.75" customHeight="1" x14ac:dyDescent="0.2">
      <c r="A256" s="25">
        <f t="shared" si="344"/>
        <v>0</v>
      </c>
      <c r="B256" s="79">
        <f t="shared" si="345"/>
        <v>21700</v>
      </c>
      <c r="C256" s="706">
        <f t="shared" si="345"/>
        <v>36400</v>
      </c>
      <c r="D256" s="707">
        <f t="shared" si="346"/>
        <v>115400</v>
      </c>
      <c r="E256" s="707">
        <f t="shared" ref="E256" si="366">E775</f>
        <v>3076900</v>
      </c>
      <c r="F256" s="773"/>
      <c r="G256" s="634" t="s">
        <v>958</v>
      </c>
      <c r="H256" s="79">
        <f t="shared" ref="H256:O256" si="367">H775</f>
        <v>11461600</v>
      </c>
      <c r="I256" s="584"/>
      <c r="J256" s="77">
        <f t="shared" si="367"/>
        <v>0</v>
      </c>
      <c r="K256" s="79">
        <f t="shared" si="367"/>
        <v>0</v>
      </c>
      <c r="L256" s="79">
        <f t="shared" si="367"/>
        <v>0</v>
      </c>
      <c r="M256" s="79">
        <f t="shared" si="367"/>
        <v>0</v>
      </c>
      <c r="N256" s="79">
        <f t="shared" si="367"/>
        <v>0</v>
      </c>
      <c r="O256" s="79">
        <f t="shared" si="367"/>
        <v>0</v>
      </c>
      <c r="P256" s="79">
        <f t="shared" ref="P256:Q256" si="368">P775</f>
        <v>0</v>
      </c>
      <c r="Q256" s="79">
        <f t="shared" si="368"/>
        <v>0</v>
      </c>
      <c r="R256" s="79">
        <f t="shared" ref="R256" si="369">R775</f>
        <v>0</v>
      </c>
      <c r="S256" s="2346">
        <f t="shared" ref="S256" si="370">S775</f>
        <v>0</v>
      </c>
    </row>
    <row r="257" spans="1:19" s="39" customFormat="1" ht="12.75" customHeight="1" x14ac:dyDescent="0.2">
      <c r="A257" s="25"/>
      <c r="B257" s="79"/>
      <c r="C257" s="706"/>
      <c r="D257" s="707"/>
      <c r="E257" s="885"/>
      <c r="F257" s="773"/>
      <c r="G257" s="773"/>
      <c r="H257" s="79"/>
      <c r="I257" s="584"/>
      <c r="J257" s="77"/>
      <c r="K257" s="79"/>
      <c r="L257" s="79"/>
      <c r="M257" s="79"/>
      <c r="N257" s="79"/>
      <c r="O257" s="79"/>
      <c r="P257" s="79"/>
      <c r="Q257" s="79"/>
      <c r="R257" s="79"/>
      <c r="S257" s="2346"/>
    </row>
    <row r="258" spans="1:19" ht="12.75" customHeight="1" x14ac:dyDescent="0.2">
      <c r="A258" s="861">
        <f>A247-A252-A253+A254++A255-A256</f>
        <v>-443100</v>
      </c>
      <c r="B258" s="791">
        <f>B247-B252-B253+B254++B255-B256</f>
        <v>-485000</v>
      </c>
      <c r="C258" s="1005">
        <f>C247-C252-C253+C254++C255-C256</f>
        <v>-370000</v>
      </c>
      <c r="D258" s="1430">
        <f>D247-D252-D253+D254++D255-D256</f>
        <v>-721700</v>
      </c>
      <c r="E258" s="1509">
        <f>E247-E252-E253+E254++E255-E256</f>
        <v>-4808800</v>
      </c>
      <c r="F258" s="896"/>
      <c r="G258" s="879" t="s">
        <v>2447</v>
      </c>
      <c r="H258" s="791">
        <f>H247-H252-H253+H254++H255-H256</f>
        <v>-1155100</v>
      </c>
      <c r="I258" s="864">
        <f>IF(E258=H258,0,IF(E258=0,100,(H258-E258)/E258*100))</f>
        <v>-75.979454333721506</v>
      </c>
      <c r="J258" s="865">
        <f t="shared" ref="J258:R258" si="371">J247-J252-J253+J254++J255-J256</f>
        <v>-1315600</v>
      </c>
      <c r="K258" s="791">
        <f t="shared" si="371"/>
        <v>-1325700</v>
      </c>
      <c r="L258" s="791">
        <f t="shared" si="371"/>
        <v>-1335800</v>
      </c>
      <c r="M258" s="791">
        <f t="shared" si="371"/>
        <v>-1346000</v>
      </c>
      <c r="N258" s="791">
        <f t="shared" si="371"/>
        <v>-1357200</v>
      </c>
      <c r="O258" s="791">
        <f t="shared" si="371"/>
        <v>-1368300</v>
      </c>
      <c r="P258" s="791">
        <f t="shared" si="371"/>
        <v>-1379800</v>
      </c>
      <c r="Q258" s="791">
        <f t="shared" si="371"/>
        <v>-1391500</v>
      </c>
      <c r="R258" s="791">
        <f t="shared" si="371"/>
        <v>-1403200</v>
      </c>
      <c r="S258" s="2349">
        <f t="shared" ref="S258" si="372">S247-S252-S253+S254++S255-S256</f>
        <v>-1415400</v>
      </c>
    </row>
    <row r="259" spans="1:19" s="31" customFormat="1" ht="12.75" customHeight="1" thickBot="1" x14ac:dyDescent="0.25">
      <c r="A259" s="866"/>
      <c r="B259" s="851"/>
      <c r="C259" s="893"/>
      <c r="D259" s="1427"/>
      <c r="E259" s="1510"/>
      <c r="F259" s="897"/>
      <c r="G259" s="897"/>
      <c r="H259" s="592"/>
      <c r="I259" s="869"/>
      <c r="J259" s="593"/>
      <c r="K259" s="592"/>
      <c r="L259" s="592"/>
      <c r="M259" s="592"/>
      <c r="N259" s="592"/>
      <c r="O259" s="592"/>
      <c r="P259" s="592"/>
      <c r="Q259" s="592"/>
      <c r="R259" s="592"/>
      <c r="S259" s="594"/>
    </row>
    <row r="260" spans="1:19" s="46" customFormat="1" ht="12.75" customHeight="1" thickTop="1" thickBot="1" x14ac:dyDescent="0.25">
      <c r="A260" s="27"/>
      <c r="B260" s="27"/>
      <c r="C260" s="27"/>
      <c r="D260" s="2234"/>
      <c r="E260" s="27"/>
      <c r="F260" s="471"/>
      <c r="G260" s="84"/>
      <c r="I260" s="2234"/>
    </row>
    <row r="261" spans="1:19" s="38" customFormat="1" ht="12.75" customHeight="1" thickTop="1" x14ac:dyDescent="0.25">
      <c r="A261" s="2596" t="s">
        <v>1824</v>
      </c>
      <c r="B261" s="2594"/>
      <c r="C261" s="2594"/>
      <c r="D261" s="2594"/>
      <c r="E261" s="2597"/>
      <c r="F261" s="2372" t="s">
        <v>2616</v>
      </c>
      <c r="G261" s="2353" t="s">
        <v>2213</v>
      </c>
      <c r="H261" s="2593" t="s">
        <v>2215</v>
      </c>
      <c r="I261" s="2594"/>
      <c r="J261" s="2594"/>
      <c r="K261" s="2594"/>
      <c r="L261" s="2594"/>
      <c r="M261" s="2594"/>
      <c r="N261" s="2594"/>
      <c r="O261" s="2594"/>
      <c r="P261" s="2594"/>
      <c r="Q261" s="2594"/>
      <c r="R261" s="2594"/>
      <c r="S261" s="2595"/>
    </row>
    <row r="262" spans="1:19" s="39" customFormat="1" ht="12.75" customHeight="1" thickBot="1" x14ac:dyDescent="0.25">
      <c r="A262" s="2066" t="str">
        <f>A212</f>
        <v>2012/13</v>
      </c>
      <c r="B262" s="94" t="str">
        <f>B212</f>
        <v>2013/14</v>
      </c>
      <c r="C262" s="44" t="str">
        <f>C212</f>
        <v>2014/15</v>
      </c>
      <c r="D262" s="44" t="str">
        <f>D212</f>
        <v>2015/16</v>
      </c>
      <c r="E262" s="44" t="str">
        <f t="shared" ref="E262" si="373">E212</f>
        <v>2016/17</v>
      </c>
      <c r="F262" s="44"/>
      <c r="G262" s="2086" t="s">
        <v>11928</v>
      </c>
      <c r="H262" s="44" t="str">
        <f t="shared" ref="H262:R262" si="374">H212</f>
        <v>2017/18</v>
      </c>
      <c r="I262" s="1459" t="str">
        <f t="shared" si="374"/>
        <v>%</v>
      </c>
      <c r="J262" s="2337" t="str">
        <f t="shared" si="374"/>
        <v>2018/19</v>
      </c>
      <c r="K262" s="2336" t="str">
        <f t="shared" si="374"/>
        <v>2019/20</v>
      </c>
      <c r="L262" s="44" t="str">
        <f t="shared" si="374"/>
        <v>2020/21</v>
      </c>
      <c r="M262" s="2336" t="str">
        <f t="shared" si="374"/>
        <v>2021/22</v>
      </c>
      <c r="N262" s="44" t="str">
        <f t="shared" si="374"/>
        <v>2022/23</v>
      </c>
      <c r="O262" s="44" t="str">
        <f t="shared" si="374"/>
        <v>2023/24</v>
      </c>
      <c r="P262" s="44" t="str">
        <f t="shared" si="374"/>
        <v>2024/25</v>
      </c>
      <c r="Q262" s="94" t="str">
        <f t="shared" si="374"/>
        <v>2025/26</v>
      </c>
      <c r="R262" s="94" t="str">
        <f t="shared" si="374"/>
        <v>2026/27</v>
      </c>
      <c r="S262" s="95" t="str">
        <f t="shared" ref="S262" si="375">S212</f>
        <v>2027/28</v>
      </c>
    </row>
    <row r="263" spans="1:19" s="2226" customFormat="1" ht="12.75" customHeight="1" x14ac:dyDescent="0.2">
      <c r="A263" s="430"/>
      <c r="B263" s="126"/>
      <c r="C263" s="126"/>
      <c r="D263" s="126"/>
      <c r="E263" s="126"/>
      <c r="F263" s="483"/>
      <c r="G263" s="56"/>
      <c r="H263" s="126"/>
      <c r="I263" s="126"/>
      <c r="J263" s="126"/>
      <c r="K263" s="126"/>
      <c r="L263" s="126"/>
      <c r="M263" s="126"/>
      <c r="N263" s="126"/>
      <c r="O263" s="126"/>
      <c r="P263" s="126"/>
      <c r="Q263" s="126"/>
      <c r="R263" s="126"/>
      <c r="S263" s="1560"/>
    </row>
    <row r="264" spans="1:19" ht="12.75" customHeight="1" x14ac:dyDescent="0.2">
      <c r="A264" s="54">
        <f>A217-A227-A228</f>
        <v>-172000</v>
      </c>
      <c r="B264" s="9">
        <f t="shared" ref="B264:E264" si="376">B217-B227-B228</f>
        <v>-199600</v>
      </c>
      <c r="C264" s="9">
        <f t="shared" si="376"/>
        <v>-121200</v>
      </c>
      <c r="D264" s="97">
        <f t="shared" si="376"/>
        <v>-77500</v>
      </c>
      <c r="E264" s="9">
        <f t="shared" si="376"/>
        <v>-104700</v>
      </c>
      <c r="F264" s="1153">
        <v>35110</v>
      </c>
      <c r="G264" s="31" t="s">
        <v>1359</v>
      </c>
      <c r="H264" s="9">
        <f>H217-H227-H228</f>
        <v>-158500</v>
      </c>
      <c r="I264" s="85">
        <f>IF(E264=H264,0,IF(E264=0,100,(H264-E264)/E264*100))</f>
        <v>51.384909264565422</v>
      </c>
      <c r="J264" s="9">
        <f t="shared" ref="J264:S264" si="377">J217-J227-J228</f>
        <v>-143300</v>
      </c>
      <c r="K264" s="9">
        <f t="shared" si="377"/>
        <v>-147200</v>
      </c>
      <c r="L264" s="9">
        <f t="shared" si="377"/>
        <v>-151200</v>
      </c>
      <c r="M264" s="9">
        <f t="shared" si="377"/>
        <v>-155100</v>
      </c>
      <c r="N264" s="9">
        <f t="shared" si="377"/>
        <v>-159500</v>
      </c>
      <c r="O264" s="9">
        <f t="shared" si="377"/>
        <v>-163800</v>
      </c>
      <c r="P264" s="9">
        <f t="shared" si="377"/>
        <v>-168400</v>
      </c>
      <c r="Q264" s="9">
        <f t="shared" si="377"/>
        <v>-172900</v>
      </c>
      <c r="R264" s="9">
        <f t="shared" si="377"/>
        <v>-177500</v>
      </c>
      <c r="S264" s="47">
        <f t="shared" si="377"/>
        <v>-182300</v>
      </c>
    </row>
    <row r="265" spans="1:19" ht="12.75" customHeight="1" x14ac:dyDescent="0.2">
      <c r="A265" s="54">
        <f>A220-A234-A235</f>
        <v>-262100</v>
      </c>
      <c r="B265" s="9">
        <f t="shared" ref="B265:E265" si="378">B220-B234-B235</f>
        <v>-270200</v>
      </c>
      <c r="C265" s="9">
        <f t="shared" si="378"/>
        <v>-246000</v>
      </c>
      <c r="D265" s="97">
        <f t="shared" si="378"/>
        <v>-205200</v>
      </c>
      <c r="E265" s="9">
        <f t="shared" si="378"/>
        <v>-173100</v>
      </c>
      <c r="F265" s="1153">
        <v>35110</v>
      </c>
      <c r="G265" s="31" t="s">
        <v>1054</v>
      </c>
      <c r="H265" s="9">
        <f>H220-H234-H235</f>
        <v>-224700</v>
      </c>
      <c r="I265" s="85">
        <f>IF(E265=H265,0,IF(E265=0,100,(H265-E265)/E265*100))</f>
        <v>29.809358752166375</v>
      </c>
      <c r="J265" s="9">
        <f t="shared" ref="J265:S265" si="379">J220-J234-J235</f>
        <v>-227600</v>
      </c>
      <c r="K265" s="9">
        <f t="shared" si="379"/>
        <v>-233700</v>
      </c>
      <c r="L265" s="9">
        <f t="shared" si="379"/>
        <v>-239900</v>
      </c>
      <c r="M265" s="9">
        <f t="shared" si="379"/>
        <v>-246100</v>
      </c>
      <c r="N265" s="9">
        <f t="shared" si="379"/>
        <v>-252900</v>
      </c>
      <c r="O265" s="9">
        <f t="shared" si="379"/>
        <v>-259700</v>
      </c>
      <c r="P265" s="9">
        <f t="shared" si="379"/>
        <v>-266700</v>
      </c>
      <c r="Q265" s="9">
        <f t="shared" si="379"/>
        <v>-273800</v>
      </c>
      <c r="R265" s="9">
        <f t="shared" si="379"/>
        <v>-281000</v>
      </c>
      <c r="S265" s="47">
        <f t="shared" si="379"/>
        <v>-288400</v>
      </c>
    </row>
    <row r="266" spans="1:19" ht="12.75" customHeight="1" thickBot="1" x14ac:dyDescent="0.25">
      <c r="A266" s="54"/>
      <c r="B266" s="9"/>
      <c r="C266" s="9"/>
      <c r="D266" s="97"/>
      <c r="E266" s="9"/>
      <c r="F266" s="1153"/>
      <c r="G266" s="31"/>
      <c r="H266" s="9"/>
      <c r="I266" s="85"/>
      <c r="J266" s="9"/>
      <c r="K266" s="9"/>
      <c r="L266" s="9"/>
      <c r="M266" s="9"/>
      <c r="N266" s="9"/>
      <c r="O266" s="9"/>
      <c r="P266" s="9"/>
      <c r="Q266" s="9"/>
      <c r="R266" s="9"/>
      <c r="S266" s="47"/>
    </row>
    <row r="267" spans="1:19" ht="12.75" customHeight="1" x14ac:dyDescent="0.2">
      <c r="A267" s="52">
        <f>SUM(A264:A266)</f>
        <v>-434100</v>
      </c>
      <c r="B267" s="16">
        <f>SUM(B264:B266)</f>
        <v>-469800</v>
      </c>
      <c r="C267" s="16">
        <f>SUM(C264:C266)</f>
        <v>-367200</v>
      </c>
      <c r="D267" s="16">
        <f>SUM(D264:D266)</f>
        <v>-282700</v>
      </c>
      <c r="E267" s="16">
        <f>SUM(E264:E266)</f>
        <v>-277800</v>
      </c>
      <c r="F267" s="498"/>
      <c r="G267" s="56" t="s">
        <v>4619</v>
      </c>
      <c r="H267" s="16">
        <f>SUM(H264:H266)</f>
        <v>-383200</v>
      </c>
      <c r="I267" s="127">
        <f>IF(E267=H267,0,IF(E267=0,100,(H267-E267)/E267*100))</f>
        <v>37.940964722822173</v>
      </c>
      <c r="J267" s="16">
        <f t="shared" ref="J267:R267" si="380">SUM(J264:J266)</f>
        <v>-370900</v>
      </c>
      <c r="K267" s="16">
        <f t="shared" si="380"/>
        <v>-380900</v>
      </c>
      <c r="L267" s="16">
        <f t="shared" si="380"/>
        <v>-391100</v>
      </c>
      <c r="M267" s="16">
        <f t="shared" si="380"/>
        <v>-401200</v>
      </c>
      <c r="N267" s="16">
        <f t="shared" si="380"/>
        <v>-412400</v>
      </c>
      <c r="O267" s="16">
        <f t="shared" si="380"/>
        <v>-423500</v>
      </c>
      <c r="P267" s="16">
        <f t="shared" si="380"/>
        <v>-435100</v>
      </c>
      <c r="Q267" s="16">
        <f t="shared" si="380"/>
        <v>-446700</v>
      </c>
      <c r="R267" s="16">
        <f t="shared" si="380"/>
        <v>-458500</v>
      </c>
      <c r="S267" s="2342">
        <f t="shared" ref="S267" si="381">SUM(S264:S266)</f>
        <v>-470700</v>
      </c>
    </row>
    <row r="268" spans="1:19" ht="12.75" customHeight="1" thickBot="1" x14ac:dyDescent="0.25">
      <c r="A268" s="118"/>
      <c r="B268" s="23"/>
      <c r="C268" s="23"/>
      <c r="D268" s="1428"/>
      <c r="E268" s="23"/>
      <c r="F268" s="491"/>
      <c r="G268" s="1009"/>
      <c r="H268" s="23"/>
      <c r="I268" s="87"/>
      <c r="J268" s="23"/>
      <c r="K268" s="23"/>
      <c r="L268" s="23"/>
      <c r="M268" s="23"/>
      <c r="N268" s="23"/>
      <c r="O268" s="23"/>
      <c r="P268" s="23"/>
      <c r="Q268" s="23"/>
      <c r="R268" s="23"/>
      <c r="S268" s="114"/>
    </row>
    <row r="269" spans="1:19" ht="12.75" customHeight="1" thickTop="1" x14ac:dyDescent="0.2">
      <c r="A269" s="92"/>
      <c r="B269" s="92"/>
      <c r="C269" s="898"/>
      <c r="D269" s="898"/>
      <c r="E269" s="898"/>
      <c r="F269" s="898"/>
      <c r="G269" s="898"/>
      <c r="H269" s="898"/>
      <c r="I269" s="898"/>
      <c r="J269" s="898"/>
      <c r="K269" s="898"/>
      <c r="L269" s="898"/>
      <c r="M269" s="898"/>
      <c r="N269" s="898"/>
      <c r="O269" s="898"/>
      <c r="P269" s="898"/>
      <c r="Q269" s="898"/>
      <c r="R269" s="898"/>
      <c r="S269" s="898"/>
    </row>
    <row r="270" spans="1:19" ht="12.75" customHeight="1" thickBot="1" x14ac:dyDescent="0.25">
      <c r="A270" s="27"/>
      <c r="B270" s="27"/>
      <c r="C270" s="27"/>
      <c r="D270" s="27"/>
      <c r="E270" s="46"/>
      <c r="F270" s="179"/>
      <c r="G270" s="84"/>
      <c r="H270" s="46"/>
      <c r="I270" s="2234"/>
      <c r="J270" s="46"/>
      <c r="K270" s="46"/>
      <c r="L270" s="46"/>
      <c r="M270" s="46"/>
      <c r="N270" s="46"/>
      <c r="O270" s="46"/>
      <c r="P270" s="46"/>
      <c r="Q270" s="46"/>
      <c r="R270" s="46"/>
      <c r="S270" s="46"/>
    </row>
    <row r="271" spans="1:19" s="38" customFormat="1" ht="19.5" thickTop="1" thickBot="1" x14ac:dyDescent="0.3">
      <c r="A271" s="2588" t="s">
        <v>5223</v>
      </c>
      <c r="B271" s="2589"/>
      <c r="C271" s="2589"/>
      <c r="D271" s="2589"/>
      <c r="E271" s="2589"/>
      <c r="F271" s="2589"/>
      <c r="G271" s="2589"/>
      <c r="H271" s="2589"/>
      <c r="I271" s="2589"/>
      <c r="J271" s="2589"/>
      <c r="K271" s="2589"/>
      <c r="L271" s="2589"/>
      <c r="M271" s="2589"/>
      <c r="N271" s="2589"/>
      <c r="O271" s="2589"/>
      <c r="P271" s="2589"/>
      <c r="Q271" s="2589"/>
      <c r="R271" s="2589"/>
      <c r="S271" s="2590"/>
    </row>
    <row r="272" spans="1:19" s="39" customFormat="1" ht="12.75" customHeight="1" x14ac:dyDescent="0.2">
      <c r="A272" s="2591" t="s">
        <v>1824</v>
      </c>
      <c r="B272" s="2577"/>
      <c r="C272" s="2577"/>
      <c r="D272" s="2577"/>
      <c r="E272" s="2592" t="s">
        <v>2215</v>
      </c>
      <c r="F272" s="2231" t="s">
        <v>2616</v>
      </c>
      <c r="G272" s="188" t="s">
        <v>2213</v>
      </c>
      <c r="H272" s="2576" t="s">
        <v>2215</v>
      </c>
      <c r="I272" s="2577"/>
      <c r="J272" s="2577"/>
      <c r="K272" s="2577"/>
      <c r="L272" s="2577"/>
      <c r="M272" s="2577"/>
      <c r="N272" s="2577"/>
      <c r="O272" s="2577"/>
      <c r="P272" s="2577"/>
      <c r="Q272" s="2577"/>
      <c r="R272" s="2577"/>
      <c r="S272" s="2578"/>
    </row>
    <row r="273" spans="1:19" ht="12.75" customHeight="1" thickBot="1" x14ac:dyDescent="0.25">
      <c r="A273" s="2066" t="str">
        <f>A212</f>
        <v>2012/13</v>
      </c>
      <c r="B273" s="94" t="str">
        <f>B212</f>
        <v>2013/14</v>
      </c>
      <c r="C273" s="44" t="str">
        <f>C212</f>
        <v>2014/15</v>
      </c>
      <c r="D273" s="44" t="str">
        <f>D212</f>
        <v>2015/16</v>
      </c>
      <c r="E273" s="44" t="str">
        <f t="shared" ref="E273" si="382">E212</f>
        <v>2016/17</v>
      </c>
      <c r="F273" s="44" t="s">
        <v>2617</v>
      </c>
      <c r="G273" s="2086"/>
      <c r="H273" s="44" t="str">
        <f t="shared" ref="H273:R273" si="383">H212</f>
        <v>2017/18</v>
      </c>
      <c r="I273" s="1459" t="str">
        <f t="shared" si="383"/>
        <v>%</v>
      </c>
      <c r="J273" s="2337" t="str">
        <f t="shared" si="383"/>
        <v>2018/19</v>
      </c>
      <c r="K273" s="2336" t="str">
        <f t="shared" si="383"/>
        <v>2019/20</v>
      </c>
      <c r="L273" s="44" t="str">
        <f t="shared" si="383"/>
        <v>2020/21</v>
      </c>
      <c r="M273" s="2336" t="str">
        <f t="shared" si="383"/>
        <v>2021/22</v>
      </c>
      <c r="N273" s="44" t="str">
        <f t="shared" si="383"/>
        <v>2022/23</v>
      </c>
      <c r="O273" s="44" t="str">
        <f t="shared" si="383"/>
        <v>2023/24</v>
      </c>
      <c r="P273" s="44" t="str">
        <f t="shared" si="383"/>
        <v>2024/25</v>
      </c>
      <c r="Q273" s="94" t="str">
        <f t="shared" si="383"/>
        <v>2025/26</v>
      </c>
      <c r="R273" s="94" t="str">
        <f t="shared" si="383"/>
        <v>2026/27</v>
      </c>
      <c r="S273" s="95" t="str">
        <f t="shared" ref="S273" si="384">S212</f>
        <v>2027/28</v>
      </c>
    </row>
    <row r="274" spans="1:19" ht="12.75" customHeight="1" x14ac:dyDescent="0.2">
      <c r="A274" s="54"/>
      <c r="B274" s="9"/>
      <c r="C274" s="9"/>
      <c r="D274" s="9"/>
      <c r="E274" s="29"/>
      <c r="F274" s="175"/>
      <c r="G274" s="27"/>
      <c r="H274" s="9"/>
      <c r="I274" s="85"/>
      <c r="J274" s="89"/>
      <c r="K274" s="9"/>
      <c r="L274" s="9"/>
      <c r="M274" s="9"/>
      <c r="N274" s="9"/>
      <c r="O274" s="9"/>
      <c r="P274" s="9"/>
      <c r="Q274" s="9"/>
      <c r="R274" s="9"/>
      <c r="S274" s="61"/>
    </row>
    <row r="275" spans="1:19" ht="12.75" customHeight="1" x14ac:dyDescent="0.2">
      <c r="A275" s="54"/>
      <c r="B275" s="9"/>
      <c r="C275" s="9"/>
      <c r="D275" s="9"/>
      <c r="E275" s="29"/>
      <c r="F275" s="175"/>
      <c r="G275" s="91" t="s">
        <v>1056</v>
      </c>
      <c r="H275" s="9"/>
      <c r="I275" s="85"/>
      <c r="J275" s="89"/>
      <c r="K275" s="9"/>
      <c r="L275" s="9"/>
      <c r="M275" s="9"/>
      <c r="N275" s="9"/>
      <c r="O275" s="9"/>
      <c r="P275" s="9"/>
      <c r="Q275" s="9"/>
      <c r="R275" s="9"/>
      <c r="S275" s="61"/>
    </row>
    <row r="276" spans="1:19" ht="12.75" customHeight="1" x14ac:dyDescent="0.2">
      <c r="A276" s="54"/>
      <c r="B276" s="9"/>
      <c r="C276" s="9"/>
      <c r="D276" s="9"/>
      <c r="E276" s="29"/>
      <c r="F276" s="175"/>
      <c r="G276" s="91"/>
      <c r="H276" s="9"/>
      <c r="I276" s="85"/>
      <c r="J276" s="89"/>
      <c r="K276" s="9"/>
      <c r="L276" s="9"/>
      <c r="M276" s="9"/>
      <c r="N276" s="9"/>
      <c r="O276" s="9"/>
      <c r="P276" s="9"/>
      <c r="Q276" s="9"/>
      <c r="R276" s="9"/>
      <c r="S276" s="61"/>
    </row>
    <row r="277" spans="1:19" ht="12.75" customHeight="1" x14ac:dyDescent="0.2">
      <c r="A277" s="54"/>
      <c r="B277" s="9"/>
      <c r="C277" s="9"/>
      <c r="D277" s="9"/>
      <c r="E277" s="29"/>
      <c r="F277" s="175"/>
      <c r="G277" s="27" t="s">
        <v>2829</v>
      </c>
      <c r="H277" s="9"/>
      <c r="I277" s="85"/>
      <c r="J277" s="89"/>
      <c r="K277" s="9"/>
      <c r="L277" s="9"/>
      <c r="M277" s="9"/>
      <c r="N277" s="9"/>
      <c r="O277" s="9"/>
      <c r="P277" s="9"/>
      <c r="Q277" s="9"/>
      <c r="R277" s="9"/>
      <c r="S277" s="61"/>
    </row>
    <row r="278" spans="1:19" ht="12.75" customHeight="1" x14ac:dyDescent="0.2">
      <c r="A278" s="54">
        <f>ROUND(SUM(SP!A783:A787),-3)</f>
        <v>5000</v>
      </c>
      <c r="B278" s="9">
        <f>ROUND(SUM(SP!B783:B787),-2)</f>
        <v>9400</v>
      </c>
      <c r="C278" s="9">
        <f>SUM(SP!C783:C787)</f>
        <v>12900</v>
      </c>
      <c r="D278" s="9">
        <f>SUM(SP!D783:D787)</f>
        <v>14100</v>
      </c>
      <c r="E278" s="29">
        <f>SUM(SP!E783:E787)</f>
        <v>10700</v>
      </c>
      <c r="F278" s="239" t="s">
        <v>135</v>
      </c>
      <c r="G278" s="46" t="s">
        <v>2810</v>
      </c>
      <c r="H278" s="9">
        <f>SUM(SP!H783:H787)</f>
        <v>9800</v>
      </c>
      <c r="I278" s="85">
        <f>IF(E278=H278,0,IF(E278=0,100,(H278-E278)/E278*100))</f>
        <v>-8.4112149532710276</v>
      </c>
      <c r="J278" s="89">
        <f>SUM(SP!J783:J787)</f>
        <v>8700</v>
      </c>
      <c r="K278" s="9">
        <f>SUM(SP!K783:K787)</f>
        <v>9100</v>
      </c>
      <c r="L278" s="9">
        <f>SUM(SP!L783:L787)</f>
        <v>9500</v>
      </c>
      <c r="M278" s="9">
        <f>SUM(SP!M783:M787)</f>
        <v>9900</v>
      </c>
      <c r="N278" s="9">
        <f>SUM(SP!N783:N787)</f>
        <v>10300</v>
      </c>
      <c r="O278" s="9">
        <f>SUM(SP!O783:O787)</f>
        <v>10700</v>
      </c>
      <c r="P278" s="9">
        <f>SUM(SP!P783:P787)</f>
        <v>11100</v>
      </c>
      <c r="Q278" s="9">
        <f>SUM(SP!Q783:Q787)</f>
        <v>11600</v>
      </c>
      <c r="R278" s="9">
        <f>SUM(SP!R783:R787)</f>
        <v>12100</v>
      </c>
      <c r="S278" s="47">
        <f>SUM(SP!S783:S787)</f>
        <v>12600</v>
      </c>
    </row>
    <row r="279" spans="1:19" ht="12.75" customHeight="1" x14ac:dyDescent="0.2">
      <c r="A279" s="54">
        <f>SUM(SP!A788:A789)</f>
        <v>24100</v>
      </c>
      <c r="B279" s="9">
        <f>SUM(SP!B788:B789)</f>
        <v>31600</v>
      </c>
      <c r="C279" s="9">
        <f>SUM(SP!C788:C789)</f>
        <v>31400</v>
      </c>
      <c r="D279" s="9">
        <f>SUM(SP!D788:D789)</f>
        <v>40600</v>
      </c>
      <c r="E279" s="9">
        <f>SUM(SP!E788:E789)</f>
        <v>34100</v>
      </c>
      <c r="F279" s="239" t="s">
        <v>135</v>
      </c>
      <c r="G279" s="31" t="s">
        <v>4483</v>
      </c>
      <c r="H279" s="9">
        <f>SUM(SP!H788:H789)</f>
        <v>37300</v>
      </c>
      <c r="I279" s="85">
        <f>IF(E279=H279,0,IF(E279=0,100,(H279-E279)/E279*100))</f>
        <v>9.3841642228739008</v>
      </c>
      <c r="J279" s="89">
        <f>SUM(SP!J788:J789)</f>
        <v>37500</v>
      </c>
      <c r="K279" s="9">
        <f>SUM(SP!K788:K789)</f>
        <v>38500</v>
      </c>
      <c r="L279" s="9">
        <f>SUM(SP!L788:L789)</f>
        <v>39600</v>
      </c>
      <c r="M279" s="9">
        <f>SUM(SP!M788:M789)</f>
        <v>40700</v>
      </c>
      <c r="N279" s="9">
        <f>SUM(SP!N788:N789)</f>
        <v>41800</v>
      </c>
      <c r="O279" s="9">
        <f>SUM(SP!O788:O789)</f>
        <v>42900</v>
      </c>
      <c r="P279" s="9">
        <f>SUM(SP!P788:P789)</f>
        <v>44100</v>
      </c>
      <c r="Q279" s="9">
        <f>SUM(SP!Q788:Q789)</f>
        <v>45300</v>
      </c>
      <c r="R279" s="9">
        <f>SUM(SP!R788:R789)</f>
        <v>46500</v>
      </c>
      <c r="S279" s="47">
        <f>SUM(SP!S788:S789)</f>
        <v>47800</v>
      </c>
    </row>
    <row r="280" spans="1:19" ht="12.75" customHeight="1" x14ac:dyDescent="0.2">
      <c r="A280" s="54">
        <f>ROUND(SUM(SP!A790:A791),-3)</f>
        <v>66000</v>
      </c>
      <c r="B280" s="9">
        <f>ROUND(SUM(SP!B790:B791),-2)</f>
        <v>69700</v>
      </c>
      <c r="C280" s="9">
        <f>SUM(SP!C790:C791)</f>
        <v>89800</v>
      </c>
      <c r="D280" s="9">
        <f>SUM(SP!D790:D791)</f>
        <v>83500</v>
      </c>
      <c r="E280" s="9">
        <f>SUM(SP!E790:E792)</f>
        <v>13200</v>
      </c>
      <c r="F280" s="239" t="s">
        <v>136</v>
      </c>
      <c r="G280" s="1150" t="s">
        <v>3592</v>
      </c>
      <c r="H280" s="9">
        <f>SUM(SP!H790:H792)</f>
        <v>13000</v>
      </c>
      <c r="I280" s="85">
        <f>IF(E280=H280,0,IF(E280=0,100,(H280-E280)/E280*100))</f>
        <v>-1.5151515151515151</v>
      </c>
      <c r="J280" s="9">
        <f>SUM(SP!J790:J792)</f>
        <v>103400</v>
      </c>
      <c r="K280" s="9">
        <f>SUM(SP!K790:K792)</f>
        <v>13800</v>
      </c>
      <c r="L280" s="9">
        <f>SUM(SP!L790:L792)</f>
        <v>14200</v>
      </c>
      <c r="M280" s="9">
        <f>SUM(SP!M790:M792)</f>
        <v>14600</v>
      </c>
      <c r="N280" s="9">
        <f>SUM(SP!N790:N792)</f>
        <v>15000</v>
      </c>
      <c r="O280" s="9">
        <f>SUM(SP!O790:O792)</f>
        <v>105400</v>
      </c>
      <c r="P280" s="9">
        <f>SUM(SP!P790:P792)</f>
        <v>15800</v>
      </c>
      <c r="Q280" s="9">
        <f>SUM(SP!Q790:Q792)</f>
        <v>16200</v>
      </c>
      <c r="R280" s="9">
        <f>SUM(SP!R790:R792)</f>
        <v>16700</v>
      </c>
      <c r="S280" s="47">
        <f>SUM(SP!S790:S792)</f>
        <v>17200</v>
      </c>
    </row>
    <row r="281" spans="1:19" ht="12.75" customHeight="1" x14ac:dyDescent="0.2">
      <c r="A281" s="54">
        <f>ROUND(SUM(SP!A793:A794),-3)</f>
        <v>39000</v>
      </c>
      <c r="B281" s="89">
        <f>ROUND(SUM(SP!B793:B794),-2)</f>
        <v>2900</v>
      </c>
      <c r="C281" s="9">
        <f>SUM(SP!C793:C795)</f>
        <v>5600</v>
      </c>
      <c r="D281" s="9">
        <f>SUM(SP!D793:D795)</f>
        <v>3400</v>
      </c>
      <c r="E281" s="9">
        <f>SUM(SP!E793:E795)</f>
        <v>300</v>
      </c>
      <c r="F281" s="239" t="s">
        <v>136</v>
      </c>
      <c r="G281" s="30" t="s">
        <v>420</v>
      </c>
      <c r="H281" s="9">
        <f>SUM(SP!H793:H795)</f>
        <v>600</v>
      </c>
      <c r="I281" s="85">
        <f>IF(E281=H281,0,IF(E281=0,100,(H281-E281)/E281*100))</f>
        <v>100</v>
      </c>
      <c r="J281" s="89">
        <f>SUM(SP!J793:J795)</f>
        <v>700</v>
      </c>
      <c r="K281" s="9">
        <f>SUM(SP!K793:K795)</f>
        <v>800</v>
      </c>
      <c r="L281" s="9">
        <f>SUM(SP!L793:L795)</f>
        <v>900</v>
      </c>
      <c r="M281" s="9">
        <f>SUM(SP!M793:M795)</f>
        <v>1000</v>
      </c>
      <c r="N281" s="9">
        <f>SUM(SP!N793:N795)</f>
        <v>1100</v>
      </c>
      <c r="O281" s="9">
        <f>SUM(SP!O793:O795)</f>
        <v>1200</v>
      </c>
      <c r="P281" s="9">
        <f>SUM(SP!P793:P795)</f>
        <v>1300</v>
      </c>
      <c r="Q281" s="9">
        <f>SUM(SP!Q793:Q795)</f>
        <v>1400</v>
      </c>
      <c r="R281" s="9">
        <f>SUM(SP!R793:R795)</f>
        <v>1500</v>
      </c>
      <c r="S281" s="47">
        <f>SUM(SP!S793:S795)</f>
        <v>1600</v>
      </c>
    </row>
    <row r="282" spans="1:19" ht="12.75" customHeight="1" x14ac:dyDescent="0.2">
      <c r="A282" s="54">
        <f>SP!A797</f>
        <v>12000</v>
      </c>
      <c r="B282" s="9">
        <f>ROUND(SP!B797,-2)</f>
        <v>25000</v>
      </c>
      <c r="C282" s="9">
        <f>SP!C797</f>
        <v>0</v>
      </c>
      <c r="D282" s="9">
        <f>SP!D797</f>
        <v>0</v>
      </c>
      <c r="E282" s="9">
        <f>SP!E797</f>
        <v>50000</v>
      </c>
      <c r="F282" s="578" t="s">
        <v>136</v>
      </c>
      <c r="G282" s="30" t="s">
        <v>1242</v>
      </c>
      <c r="H282" s="9">
        <f>SP!H797</f>
        <v>0</v>
      </c>
      <c r="I282" s="85">
        <f>IF(E282=H282,0,IF(E282=0,100,(H282-E282)/E282*100))</f>
        <v>-100</v>
      </c>
      <c r="J282" s="9">
        <f>SP!J797</f>
        <v>0</v>
      </c>
      <c r="K282" s="9">
        <f>SP!K797</f>
        <v>0</v>
      </c>
      <c r="L282" s="9">
        <f>SP!L797</f>
        <v>0</v>
      </c>
      <c r="M282" s="9">
        <f>SP!M797</f>
        <v>0</v>
      </c>
      <c r="N282" s="9">
        <f>SP!N797</f>
        <v>0</v>
      </c>
      <c r="O282" s="9">
        <f>SP!O797</f>
        <v>0</v>
      </c>
      <c r="P282" s="9">
        <f>SP!P797</f>
        <v>0</v>
      </c>
      <c r="Q282" s="9">
        <f>SP!Q797</f>
        <v>0</v>
      </c>
      <c r="R282" s="9">
        <f>SP!R797</f>
        <v>0</v>
      </c>
      <c r="S282" s="47">
        <f>SP!S797</f>
        <v>0</v>
      </c>
    </row>
    <row r="283" spans="1:19" ht="12.75" customHeight="1" thickBot="1" x14ac:dyDescent="0.25">
      <c r="A283" s="24"/>
      <c r="B283" s="21"/>
      <c r="C283" s="21"/>
      <c r="D283" s="21"/>
      <c r="E283" s="9"/>
      <c r="F283" s="239"/>
      <c r="G283" s="32"/>
      <c r="H283" s="9"/>
      <c r="I283" s="1182"/>
      <c r="J283" s="89"/>
      <c r="K283" s="9"/>
      <c r="L283" s="9"/>
      <c r="M283" s="9"/>
      <c r="N283" s="9"/>
      <c r="O283" s="9"/>
      <c r="P283" s="9"/>
      <c r="Q283" s="9"/>
      <c r="R283" s="9"/>
      <c r="S283" s="47"/>
    </row>
    <row r="284" spans="1:19" s="2226" customFormat="1" ht="12.75" customHeight="1" x14ac:dyDescent="0.2">
      <c r="A284" s="52">
        <f>SUM(A276:A283)</f>
        <v>146100</v>
      </c>
      <c r="B284" s="16">
        <f>SUM(B276:B283)</f>
        <v>138600</v>
      </c>
      <c r="C284" s="16">
        <f>SUM(C276:C283)</f>
        <v>139700</v>
      </c>
      <c r="D284" s="16">
        <f>SUM(D276:D283)</f>
        <v>141600</v>
      </c>
      <c r="E284" s="16">
        <f>SUM(E276:E283)</f>
        <v>108300</v>
      </c>
      <c r="F284" s="239"/>
      <c r="G284" s="1158" t="s">
        <v>2561</v>
      </c>
      <c r="H284" s="16">
        <f>SUM(H276:H283)</f>
        <v>60700</v>
      </c>
      <c r="I284" s="1425">
        <f>IF(E284=H284,0,IF(E284=0,100,(H284-E284)/E284*100))</f>
        <v>-43.951985226223456</v>
      </c>
      <c r="J284" s="102">
        <f t="shared" ref="J284:R284" si="385">SUM(J276:J283)</f>
        <v>150300</v>
      </c>
      <c r="K284" s="16">
        <f t="shared" si="385"/>
        <v>62200</v>
      </c>
      <c r="L284" s="16">
        <f t="shared" si="385"/>
        <v>64200</v>
      </c>
      <c r="M284" s="16">
        <f t="shared" si="385"/>
        <v>66200</v>
      </c>
      <c r="N284" s="16">
        <f t="shared" si="385"/>
        <v>68200</v>
      </c>
      <c r="O284" s="16">
        <f t="shared" si="385"/>
        <v>160200</v>
      </c>
      <c r="P284" s="16">
        <f t="shared" si="385"/>
        <v>72300</v>
      </c>
      <c r="Q284" s="16">
        <f t="shared" si="385"/>
        <v>74500</v>
      </c>
      <c r="R284" s="16">
        <f t="shared" si="385"/>
        <v>76800</v>
      </c>
      <c r="S284" s="2342">
        <f t="shared" ref="S284" si="386">SUM(S276:S283)</f>
        <v>79200</v>
      </c>
    </row>
    <row r="285" spans="1:19" ht="12.75" customHeight="1" x14ac:dyDescent="0.2">
      <c r="A285" s="54"/>
      <c r="B285" s="9"/>
      <c r="C285" s="9"/>
      <c r="D285" s="9"/>
      <c r="E285" s="9"/>
      <c r="F285" s="239"/>
      <c r="G285" s="1158"/>
      <c r="H285" s="9"/>
      <c r="I285" s="1157"/>
      <c r="J285" s="89"/>
      <c r="K285" s="9"/>
      <c r="L285" s="9"/>
      <c r="M285" s="9"/>
      <c r="N285" s="9"/>
      <c r="O285" s="9"/>
      <c r="P285" s="9"/>
      <c r="Q285" s="9"/>
      <c r="R285" s="9"/>
      <c r="S285" s="47"/>
    </row>
    <row r="286" spans="1:19" ht="12.75" customHeight="1" x14ac:dyDescent="0.2">
      <c r="A286" s="54"/>
      <c r="B286" s="9"/>
      <c r="C286" s="9"/>
      <c r="D286" s="9"/>
      <c r="E286" s="9"/>
      <c r="F286" s="239"/>
      <c r="G286" s="50" t="s">
        <v>2169</v>
      </c>
      <c r="H286" s="9"/>
      <c r="I286" s="1157"/>
      <c r="J286" s="89"/>
      <c r="K286" s="9"/>
      <c r="L286" s="9"/>
      <c r="M286" s="9"/>
      <c r="N286" s="9"/>
      <c r="O286" s="9"/>
      <c r="P286" s="9"/>
      <c r="Q286" s="9"/>
      <c r="R286" s="9"/>
      <c r="S286" s="47"/>
    </row>
    <row r="287" spans="1:19" s="39" customFormat="1" ht="12.75" customHeight="1" x14ac:dyDescent="0.2">
      <c r="A287" s="54"/>
      <c r="B287" s="9"/>
      <c r="C287" s="9"/>
      <c r="D287" s="9"/>
      <c r="E287" s="9"/>
      <c r="F287" s="239"/>
      <c r="G287" s="50"/>
      <c r="H287" s="9"/>
      <c r="I287" s="1157"/>
      <c r="J287" s="89"/>
      <c r="K287" s="9"/>
      <c r="L287" s="9"/>
      <c r="M287" s="9"/>
      <c r="N287" s="9"/>
      <c r="O287" s="9"/>
      <c r="P287" s="9"/>
      <c r="Q287" s="9"/>
      <c r="R287" s="9"/>
      <c r="S287" s="47"/>
    </row>
    <row r="288" spans="1:19" ht="12.75" customHeight="1" x14ac:dyDescent="0.2">
      <c r="A288" s="54"/>
      <c r="B288" s="9"/>
      <c r="C288" s="9"/>
      <c r="D288" s="9"/>
      <c r="E288" s="9"/>
      <c r="F288" s="239"/>
      <c r="G288" s="1461" t="s">
        <v>1560</v>
      </c>
      <c r="H288" s="9"/>
      <c r="I288" s="1157"/>
      <c r="J288" s="89"/>
      <c r="K288" s="9"/>
      <c r="L288" s="9"/>
      <c r="M288" s="9"/>
      <c r="N288" s="9"/>
      <c r="O288" s="9"/>
      <c r="P288" s="9"/>
      <c r="Q288" s="9"/>
      <c r="R288" s="9"/>
      <c r="S288" s="47"/>
    </row>
    <row r="289" spans="1:19" s="39" customFormat="1" ht="12.75" customHeight="1" x14ac:dyDescent="0.2">
      <c r="A289" s="54">
        <f>ROUND(SUM(SP!A800:A803),-3)</f>
        <v>223000</v>
      </c>
      <c r="B289" s="9">
        <f>ROUND(SUM(SP!B800:B803),-2)</f>
        <v>238300</v>
      </c>
      <c r="C289" s="9">
        <f>SUM(SP!C800:C803)</f>
        <v>251300</v>
      </c>
      <c r="D289" s="9">
        <f>SUM(SP!D800:D803)</f>
        <v>273600</v>
      </c>
      <c r="E289" s="9">
        <f>SUM(SP!E800:E803)</f>
        <v>248600</v>
      </c>
      <c r="F289" s="239" t="s">
        <v>137</v>
      </c>
      <c r="G289" s="1173" t="s">
        <v>1228</v>
      </c>
      <c r="H289" s="9">
        <f>SUM(SP!H800:H803)</f>
        <v>255200</v>
      </c>
      <c r="I289" s="85">
        <f>IF(E289=H289,0,IF(E289=0,100,(H289-E289)/E289*100))</f>
        <v>2.6548672566371683</v>
      </c>
      <c r="J289" s="89">
        <f>SUM(SP!J800:J803)</f>
        <v>261300</v>
      </c>
      <c r="K289" s="9">
        <f>SUM(SP!K800:K803)</f>
        <v>267400</v>
      </c>
      <c r="L289" s="9">
        <f>SUM(SP!L800:L803)</f>
        <v>273700</v>
      </c>
      <c r="M289" s="9">
        <f>SUM(SP!M800:M803)</f>
        <v>280200</v>
      </c>
      <c r="N289" s="9">
        <f>SUM(SP!N800:N803)</f>
        <v>286800</v>
      </c>
      <c r="O289" s="9">
        <f>SUM(SP!O800:O803)</f>
        <v>293500</v>
      </c>
      <c r="P289" s="9">
        <f>SUM(SP!P800:P803)</f>
        <v>300400</v>
      </c>
      <c r="Q289" s="9">
        <f>SUM(SP!Q800:Q803)</f>
        <v>307400</v>
      </c>
      <c r="R289" s="9">
        <f>SUM(SP!R800:R803)</f>
        <v>314600</v>
      </c>
      <c r="S289" s="47">
        <f>SUM(SP!S800:S803)</f>
        <v>322000</v>
      </c>
    </row>
    <row r="290" spans="1:19" ht="12.75" customHeight="1" x14ac:dyDescent="0.2">
      <c r="A290" s="54">
        <f>ROUND(SUM(SP!A804:A808),-3)</f>
        <v>17000</v>
      </c>
      <c r="B290" s="9">
        <f>ROUND(SUM(SP!B804:B808),-2)</f>
        <v>18700</v>
      </c>
      <c r="C290" s="9">
        <f>SUM(SP!C804:C808)</f>
        <v>19700</v>
      </c>
      <c r="D290" s="9">
        <f>SUM(SP!D804:D808)</f>
        <v>117800</v>
      </c>
      <c r="E290" s="9">
        <f>SUM(SP!E804:E808)</f>
        <v>17100</v>
      </c>
      <c r="F290" s="239" t="s">
        <v>138</v>
      </c>
      <c r="G290" s="634" t="s">
        <v>1856</v>
      </c>
      <c r="H290" s="9">
        <f>SUM(SP!H804:H808)</f>
        <v>27000</v>
      </c>
      <c r="I290" s="85">
        <f>IF(E290=H290,0,IF(E290=0,100,(H290-E290)/E290*100))</f>
        <v>57.894736842105267</v>
      </c>
      <c r="J290" s="89">
        <f>SUM(SP!J804:J808)</f>
        <v>95000</v>
      </c>
      <c r="K290" s="9">
        <f>SUM(SP!K804:K808)</f>
        <v>5200</v>
      </c>
      <c r="L290" s="9">
        <f>SUM(SP!L804:L808)</f>
        <v>5400</v>
      </c>
      <c r="M290" s="9">
        <f>SUM(SP!M804:M808)</f>
        <v>5600</v>
      </c>
      <c r="N290" s="9">
        <f>SUM(SP!N804:N808)</f>
        <v>5800</v>
      </c>
      <c r="O290" s="9">
        <f>SUM(SP!O804:O808)</f>
        <v>96000</v>
      </c>
      <c r="P290" s="9">
        <f>SUM(SP!P804:P808)</f>
        <v>6200</v>
      </c>
      <c r="Q290" s="9">
        <f>SUM(SP!Q804:Q808)</f>
        <v>6400</v>
      </c>
      <c r="R290" s="9">
        <f>SUM(SP!R804:R808)</f>
        <v>6600</v>
      </c>
      <c r="S290" s="47">
        <f>SUM(SP!S804:S808)</f>
        <v>6800</v>
      </c>
    </row>
    <row r="291" spans="1:19" s="39" customFormat="1" ht="12.75" customHeight="1" x14ac:dyDescent="0.2">
      <c r="A291" s="54">
        <f>ROUND(SUM(SP!A809:A823),-3)</f>
        <v>78000</v>
      </c>
      <c r="B291" s="9">
        <f>ROUND(SUM(SP!B809:B823),-2)</f>
        <v>75100</v>
      </c>
      <c r="C291" s="9">
        <f>SUM(SP!C809:C823)</f>
        <v>71000</v>
      </c>
      <c r="D291" s="9">
        <f>SUM(SP!D809:D823)</f>
        <v>83700</v>
      </c>
      <c r="E291" s="9">
        <f>SUM(SP!E809:E823)</f>
        <v>139900</v>
      </c>
      <c r="F291" s="239" t="s">
        <v>137</v>
      </c>
      <c r="G291" s="1150" t="s">
        <v>4564</v>
      </c>
      <c r="H291" s="9">
        <f>SUM(SP!H809:H823)</f>
        <v>78900</v>
      </c>
      <c r="I291" s="85">
        <f>IF(E291=H291,0,IF(E291=0,100,(H291-E291)/E291*100))</f>
        <v>-43.602573266619018</v>
      </c>
      <c r="J291" s="89">
        <f>SUM(SP!J809:J823)</f>
        <v>80300</v>
      </c>
      <c r="K291" s="9">
        <f>SUM(SP!K809:K823)</f>
        <v>83100</v>
      </c>
      <c r="L291" s="9">
        <f>SUM(SP!L809:L823)</f>
        <v>85900</v>
      </c>
      <c r="M291" s="9">
        <f>SUM(SP!M809:M823)</f>
        <v>88700</v>
      </c>
      <c r="N291" s="9">
        <f>SUM(SP!N809:N823)</f>
        <v>91500</v>
      </c>
      <c r="O291" s="9">
        <f>SUM(SP!O809:O823)</f>
        <v>94400</v>
      </c>
      <c r="P291" s="9">
        <f>SUM(SP!P809:P823)</f>
        <v>97300</v>
      </c>
      <c r="Q291" s="9">
        <f>SUM(SP!Q809:Q823)</f>
        <v>100400</v>
      </c>
      <c r="R291" s="9">
        <f>SUM(SP!R809:R823)</f>
        <v>103600</v>
      </c>
      <c r="S291" s="47">
        <f>SUM(SP!S809:S823)</f>
        <v>106800</v>
      </c>
    </row>
    <row r="292" spans="1:19" ht="12.75" customHeight="1" x14ac:dyDescent="0.2">
      <c r="A292" s="54">
        <f>ROUND(SUM(SP!A824:A831),-3)</f>
        <v>183000</v>
      </c>
      <c r="B292" s="9">
        <f>ROUND(SUM(SP!B824:B831),-2)</f>
        <v>231300</v>
      </c>
      <c r="C292" s="9">
        <f>SUM(SP!C824:C831)</f>
        <v>164400</v>
      </c>
      <c r="D292" s="9">
        <f>SUM(SP!D824:D831)</f>
        <v>89000</v>
      </c>
      <c r="E292" s="9">
        <f>SUM(SP!E824:E831)</f>
        <v>177800</v>
      </c>
      <c r="F292" s="239" t="s">
        <v>138</v>
      </c>
      <c r="G292" s="1150" t="s">
        <v>3592</v>
      </c>
      <c r="H292" s="9">
        <f>SUM(SP!H824:H831)</f>
        <v>122000</v>
      </c>
      <c r="I292" s="85">
        <f>IF(E292=H292,0,IF(E292=0,100,(H292-E292)/E292*100))</f>
        <v>-31.38357705286839</v>
      </c>
      <c r="J292" s="89">
        <f>SUM(SP!J824:J831)</f>
        <v>126000</v>
      </c>
      <c r="K292" s="9">
        <f>SUM(SP!K824:K831)</f>
        <v>129300</v>
      </c>
      <c r="L292" s="9">
        <f>SUM(SP!L824:L831)</f>
        <v>132700</v>
      </c>
      <c r="M292" s="9">
        <f>SUM(SP!M824:M831)</f>
        <v>136100</v>
      </c>
      <c r="N292" s="9">
        <f>SUM(SP!N824:N831)</f>
        <v>139600</v>
      </c>
      <c r="O292" s="9">
        <f>SUM(SP!O824:O831)</f>
        <v>143200</v>
      </c>
      <c r="P292" s="9">
        <f>SUM(SP!P824:P831)</f>
        <v>146900</v>
      </c>
      <c r="Q292" s="9">
        <f>SUM(SP!Q824:Q831)</f>
        <v>150700</v>
      </c>
      <c r="R292" s="9">
        <f>SUM(SP!R824:R831)</f>
        <v>154600</v>
      </c>
      <c r="S292" s="47">
        <f>SUM(SP!S824:S831)</f>
        <v>158700</v>
      </c>
    </row>
    <row r="293" spans="1:19" ht="12.75" customHeight="1" x14ac:dyDescent="0.2">
      <c r="A293" s="54"/>
      <c r="B293" s="9"/>
      <c r="C293" s="9"/>
      <c r="D293" s="89"/>
      <c r="E293" s="9"/>
      <c r="F293" s="240"/>
      <c r="G293" s="1150"/>
      <c r="H293" s="9"/>
      <c r="I293" s="85"/>
      <c r="J293" s="89"/>
      <c r="K293" s="9"/>
      <c r="L293" s="46"/>
      <c r="M293" s="9"/>
      <c r="N293" s="9"/>
      <c r="O293" s="9"/>
      <c r="P293" s="9"/>
      <c r="Q293" s="9"/>
      <c r="R293" s="9"/>
      <c r="S293" s="47"/>
    </row>
    <row r="294" spans="1:19" ht="12.75" customHeight="1" x14ac:dyDescent="0.2">
      <c r="A294" s="25"/>
      <c r="B294" s="79"/>
      <c r="C294" s="706"/>
      <c r="D294" s="707"/>
      <c r="E294" s="706"/>
      <c r="F294" s="770"/>
      <c r="G294" s="853" t="s">
        <v>261</v>
      </c>
      <c r="H294" s="79"/>
      <c r="I294" s="584"/>
      <c r="J294" s="77"/>
      <c r="K294" s="79"/>
      <c r="L294" s="79"/>
      <c r="M294" s="79"/>
      <c r="N294" s="79"/>
      <c r="O294" s="79"/>
      <c r="P294" s="79"/>
      <c r="Q294" s="79"/>
      <c r="R294" s="79"/>
      <c r="S294" s="2346"/>
    </row>
    <row r="295" spans="1:19" ht="12.75" customHeight="1" x14ac:dyDescent="0.2">
      <c r="A295" s="45">
        <f>A832</f>
        <v>88100</v>
      </c>
      <c r="B295" s="9">
        <f>B832</f>
        <v>48500</v>
      </c>
      <c r="C295" s="134">
        <f>C832</f>
        <v>26000</v>
      </c>
      <c r="D295" s="136">
        <f>D832</f>
        <v>26600</v>
      </c>
      <c r="E295" s="134">
        <f>E832</f>
        <v>27400</v>
      </c>
      <c r="F295" s="907">
        <v>35150</v>
      </c>
      <c r="G295" s="1154" t="s">
        <v>4565</v>
      </c>
      <c r="H295" s="9">
        <f>H832</f>
        <v>26600</v>
      </c>
      <c r="I295" s="85">
        <f>IF(E295=H295,0,IF(E295=0,100,(H295-E295)/E295*100))</f>
        <v>-2.9197080291970803</v>
      </c>
      <c r="J295" s="89">
        <f t="shared" ref="J295:R295" si="387">J832</f>
        <v>28000</v>
      </c>
      <c r="K295" s="9">
        <f t="shared" si="387"/>
        <v>28600</v>
      </c>
      <c r="L295" s="9">
        <f t="shared" si="387"/>
        <v>29200</v>
      </c>
      <c r="M295" s="9">
        <f t="shared" si="387"/>
        <v>29800</v>
      </c>
      <c r="N295" s="9">
        <f t="shared" si="387"/>
        <v>30400</v>
      </c>
      <c r="O295" s="9">
        <f t="shared" si="387"/>
        <v>31100</v>
      </c>
      <c r="P295" s="9">
        <f t="shared" si="387"/>
        <v>31800</v>
      </c>
      <c r="Q295" s="9">
        <f t="shared" si="387"/>
        <v>32500</v>
      </c>
      <c r="R295" s="9">
        <f t="shared" si="387"/>
        <v>33200</v>
      </c>
      <c r="S295" s="47">
        <f t="shared" ref="S295" si="388">S832</f>
        <v>33900</v>
      </c>
    </row>
    <row r="296" spans="1:19" ht="12.75" customHeight="1" thickBot="1" x14ac:dyDescent="0.25">
      <c r="A296" s="24"/>
      <c r="B296" s="21"/>
      <c r="C296" s="21"/>
      <c r="D296" s="21"/>
      <c r="E296" s="9"/>
      <c r="F296" s="239"/>
      <c r="G296" s="27"/>
      <c r="H296" s="9"/>
      <c r="I296" s="126"/>
      <c r="J296" s="89"/>
      <c r="K296" s="9"/>
      <c r="L296" s="9"/>
      <c r="M296" s="9"/>
      <c r="N296" s="9"/>
      <c r="O296" s="9"/>
      <c r="P296" s="9"/>
      <c r="Q296" s="9"/>
      <c r="R296" s="9"/>
      <c r="S296" s="47"/>
    </row>
    <row r="297" spans="1:19" ht="12.75" customHeight="1" x14ac:dyDescent="0.2">
      <c r="A297" s="52">
        <f>SUM(A286:A296)</f>
        <v>589100</v>
      </c>
      <c r="B297" s="16">
        <f>SUM(B286:B296)</f>
        <v>611900</v>
      </c>
      <c r="C297" s="16">
        <f>SUM(C286:C296)</f>
        <v>532400</v>
      </c>
      <c r="D297" s="16">
        <f>SUM(D286:D296)</f>
        <v>590700</v>
      </c>
      <c r="E297" s="16">
        <f>SUM(E286:E296)</f>
        <v>610800</v>
      </c>
      <c r="F297" s="188"/>
      <c r="G297" s="59" t="s">
        <v>556</v>
      </c>
      <c r="H297" s="16">
        <f>SUM(H286:H296)</f>
        <v>509700</v>
      </c>
      <c r="I297" s="127">
        <f>IF(E297=H297,0,IF(E297=0,100,(H297-E297)/E297*100))</f>
        <v>-16.552062868369351</v>
      </c>
      <c r="J297" s="102">
        <f t="shared" ref="J297:R297" si="389">SUM(J286:J296)</f>
        <v>590600</v>
      </c>
      <c r="K297" s="16">
        <f t="shared" si="389"/>
        <v>513600</v>
      </c>
      <c r="L297" s="16">
        <f t="shared" si="389"/>
        <v>526900</v>
      </c>
      <c r="M297" s="16">
        <f t="shared" si="389"/>
        <v>540400</v>
      </c>
      <c r="N297" s="16">
        <f t="shared" si="389"/>
        <v>554100</v>
      </c>
      <c r="O297" s="16">
        <f t="shared" si="389"/>
        <v>658200</v>
      </c>
      <c r="P297" s="16">
        <f t="shared" si="389"/>
        <v>582600</v>
      </c>
      <c r="Q297" s="16">
        <f t="shared" si="389"/>
        <v>597400</v>
      </c>
      <c r="R297" s="16">
        <f t="shared" si="389"/>
        <v>612600</v>
      </c>
      <c r="S297" s="2342">
        <f t="shared" ref="S297" si="390">SUM(S286:S296)</f>
        <v>628200</v>
      </c>
    </row>
    <row r="298" spans="1:19" ht="12.75" customHeight="1" x14ac:dyDescent="0.2">
      <c r="A298" s="54"/>
      <c r="B298" s="9"/>
      <c r="C298" s="9"/>
      <c r="D298" s="9"/>
      <c r="E298" s="9"/>
      <c r="F298" s="177"/>
      <c r="G298" s="55"/>
      <c r="H298" s="9"/>
      <c r="I298" s="85"/>
      <c r="J298" s="89"/>
      <c r="K298" s="9"/>
      <c r="L298" s="9"/>
      <c r="M298" s="9"/>
      <c r="N298" s="9"/>
      <c r="O298" s="9"/>
      <c r="P298" s="9"/>
      <c r="Q298" s="9"/>
      <c r="R298" s="9"/>
      <c r="S298" s="47"/>
    </row>
    <row r="299" spans="1:19" ht="12.75" customHeight="1" x14ac:dyDescent="0.2">
      <c r="A299" s="24">
        <f>A284-A297</f>
        <v>-443000</v>
      </c>
      <c r="B299" s="21">
        <f>B284-B297</f>
        <v>-473300</v>
      </c>
      <c r="C299" s="21">
        <f>C284-C297</f>
        <v>-392700</v>
      </c>
      <c r="D299" s="21">
        <f>D284-D297</f>
        <v>-449100</v>
      </c>
      <c r="E299" s="21">
        <f>E284-E297</f>
        <v>-502500</v>
      </c>
      <c r="F299" s="188"/>
      <c r="G299" s="1160" t="s">
        <v>1002</v>
      </c>
      <c r="H299" s="21">
        <f>H284-H297</f>
        <v>-449000</v>
      </c>
      <c r="I299" s="126">
        <f>IF(E299=H299,0,IF(E299=0,100,(H299-E299)/E299*100))</f>
        <v>-10.646766169154228</v>
      </c>
      <c r="J299" s="75">
        <f t="shared" ref="J299:R299" si="391">J284-J297</f>
        <v>-440300</v>
      </c>
      <c r="K299" s="21">
        <f t="shared" si="391"/>
        <v>-451400</v>
      </c>
      <c r="L299" s="21">
        <f t="shared" si="391"/>
        <v>-462700</v>
      </c>
      <c r="M299" s="21">
        <f t="shared" si="391"/>
        <v>-474200</v>
      </c>
      <c r="N299" s="21">
        <f t="shared" si="391"/>
        <v>-485900</v>
      </c>
      <c r="O299" s="21">
        <f t="shared" si="391"/>
        <v>-498000</v>
      </c>
      <c r="P299" s="21">
        <f t="shared" si="391"/>
        <v>-510300</v>
      </c>
      <c r="Q299" s="21">
        <f t="shared" si="391"/>
        <v>-522900</v>
      </c>
      <c r="R299" s="21">
        <f t="shared" si="391"/>
        <v>-535800</v>
      </c>
      <c r="S299" s="86">
        <f t="shared" ref="S299" si="392">S284-S297</f>
        <v>-549000</v>
      </c>
    </row>
    <row r="300" spans="1:19" ht="12.75" customHeight="1" x14ac:dyDescent="0.2">
      <c r="A300" s="54">
        <f>A295</f>
        <v>88100</v>
      </c>
      <c r="B300" s="9">
        <f>B295</f>
        <v>48500</v>
      </c>
      <c r="C300" s="9">
        <f>C295</f>
        <v>26000</v>
      </c>
      <c r="D300" s="9">
        <f>D295</f>
        <v>26600</v>
      </c>
      <c r="E300" s="9">
        <f>E295</f>
        <v>27400</v>
      </c>
      <c r="F300" s="177"/>
      <c r="G300" s="1462" t="s">
        <v>1943</v>
      </c>
      <c r="H300" s="9">
        <f>H295</f>
        <v>26600</v>
      </c>
      <c r="I300" s="401">
        <f>IF(E300=H300,0,IF(E300=0,100,(H300-E300)/E300*100))</f>
        <v>-2.9197080291970803</v>
      </c>
      <c r="J300" s="89">
        <f t="shared" ref="J300:R300" si="393">J295</f>
        <v>28000</v>
      </c>
      <c r="K300" s="9">
        <f t="shared" si="393"/>
        <v>28600</v>
      </c>
      <c r="L300" s="9">
        <f t="shared" si="393"/>
        <v>29200</v>
      </c>
      <c r="M300" s="9">
        <f t="shared" si="393"/>
        <v>29800</v>
      </c>
      <c r="N300" s="9">
        <f t="shared" si="393"/>
        <v>30400</v>
      </c>
      <c r="O300" s="9">
        <f t="shared" si="393"/>
        <v>31100</v>
      </c>
      <c r="P300" s="9">
        <f t="shared" si="393"/>
        <v>31800</v>
      </c>
      <c r="Q300" s="9">
        <f t="shared" si="393"/>
        <v>32500</v>
      </c>
      <c r="R300" s="9">
        <f t="shared" si="393"/>
        <v>33200</v>
      </c>
      <c r="S300" s="47">
        <f t="shared" ref="S300" si="394">S295</f>
        <v>33900</v>
      </c>
    </row>
    <row r="301" spans="1:19" ht="12.75" customHeight="1" x14ac:dyDescent="0.2">
      <c r="A301" s="128">
        <f>A299+A300</f>
        <v>-354900</v>
      </c>
      <c r="B301" s="280">
        <f>B299+B300</f>
        <v>-424800</v>
      </c>
      <c r="C301" s="280">
        <f>C299+C300</f>
        <v>-366700</v>
      </c>
      <c r="D301" s="280">
        <f>D299+D300</f>
        <v>-422500</v>
      </c>
      <c r="E301" s="280">
        <f>E299+E300</f>
        <v>-475100</v>
      </c>
      <c r="F301" s="359"/>
      <c r="G301" s="1166" t="s">
        <v>1659</v>
      </c>
      <c r="H301" s="280">
        <f>H299+H300</f>
        <v>-422400</v>
      </c>
      <c r="I301" s="278">
        <f>IF(E301=H301,0,IF(E301=0,100,(H301-E301)/E301*100))</f>
        <v>-11.09240159966323</v>
      </c>
      <c r="J301" s="266">
        <f t="shared" ref="J301:R301" si="395">J299+J300</f>
        <v>-412300</v>
      </c>
      <c r="K301" s="280">
        <f t="shared" si="395"/>
        <v>-422800</v>
      </c>
      <c r="L301" s="280">
        <f t="shared" si="395"/>
        <v>-433500</v>
      </c>
      <c r="M301" s="280">
        <f t="shared" si="395"/>
        <v>-444400</v>
      </c>
      <c r="N301" s="280">
        <f t="shared" si="395"/>
        <v>-455500</v>
      </c>
      <c r="O301" s="280">
        <f t="shared" si="395"/>
        <v>-466900</v>
      </c>
      <c r="P301" s="280">
        <f t="shared" si="395"/>
        <v>-478500</v>
      </c>
      <c r="Q301" s="280">
        <f t="shared" si="395"/>
        <v>-490400</v>
      </c>
      <c r="R301" s="280">
        <f t="shared" si="395"/>
        <v>-502600</v>
      </c>
      <c r="S301" s="2343">
        <f t="shared" ref="S301" si="396">S299+S300</f>
        <v>-515100</v>
      </c>
    </row>
    <row r="302" spans="1:19" s="39" customFormat="1" ht="12.75" customHeight="1" thickBot="1" x14ac:dyDescent="0.25">
      <c r="A302" s="26"/>
      <c r="B302" s="37"/>
      <c r="C302" s="37"/>
      <c r="D302" s="37"/>
      <c r="E302" s="121"/>
      <c r="F302" s="191"/>
      <c r="G302" s="259"/>
      <c r="H302" s="68"/>
      <c r="I302" s="275"/>
      <c r="J302" s="42"/>
      <c r="K302" s="68"/>
      <c r="L302" s="68"/>
      <c r="M302" s="68"/>
      <c r="N302" s="68"/>
      <c r="O302" s="68"/>
      <c r="P302" s="68"/>
      <c r="Q302" s="68"/>
      <c r="R302" s="68"/>
      <c r="S302" s="2344"/>
    </row>
    <row r="303" spans="1:19" ht="12.75" customHeight="1" thickTop="1" x14ac:dyDescent="0.2">
      <c r="A303" s="270"/>
      <c r="B303" s="109"/>
      <c r="C303" s="109"/>
      <c r="D303" s="109"/>
      <c r="E303" s="74"/>
      <c r="F303" s="192"/>
      <c r="G303" s="258"/>
      <c r="H303" s="74"/>
      <c r="I303" s="352"/>
      <c r="J303" s="111"/>
      <c r="K303" s="74"/>
      <c r="L303" s="74"/>
      <c r="M303" s="74"/>
      <c r="N303" s="74"/>
      <c r="O303" s="74"/>
      <c r="P303" s="74"/>
      <c r="Q303" s="74"/>
      <c r="R303" s="74"/>
      <c r="S303" s="2345"/>
    </row>
    <row r="304" spans="1:19" ht="12.75" customHeight="1" x14ac:dyDescent="0.2">
      <c r="A304" s="24"/>
      <c r="B304" s="21"/>
      <c r="C304" s="21"/>
      <c r="D304" s="21"/>
      <c r="E304" s="9"/>
      <c r="F304" s="189"/>
      <c r="G304" s="361" t="s">
        <v>192</v>
      </c>
      <c r="H304" s="9"/>
      <c r="I304" s="126"/>
      <c r="J304" s="89"/>
      <c r="K304" s="9"/>
      <c r="L304" s="9"/>
      <c r="M304" s="9"/>
      <c r="N304" s="9"/>
      <c r="O304" s="9"/>
      <c r="P304" s="9"/>
      <c r="Q304" s="9"/>
      <c r="R304" s="9"/>
      <c r="S304" s="47"/>
    </row>
    <row r="305" spans="1:19" s="38" customFormat="1" ht="12.75" customHeight="1" x14ac:dyDescent="0.25">
      <c r="A305" s="24"/>
      <c r="B305" s="21"/>
      <c r="C305" s="21"/>
      <c r="D305" s="21"/>
      <c r="E305" s="9"/>
      <c r="F305" s="189"/>
      <c r="G305" s="260"/>
      <c r="H305" s="9"/>
      <c r="I305" s="126"/>
      <c r="J305" s="89"/>
      <c r="K305" s="9"/>
      <c r="L305" s="9"/>
      <c r="M305" s="9"/>
      <c r="N305" s="9"/>
      <c r="O305" s="9"/>
      <c r="P305" s="9"/>
      <c r="Q305" s="9"/>
      <c r="R305" s="9"/>
      <c r="S305" s="47"/>
    </row>
    <row r="306" spans="1:19" s="39" customFormat="1" ht="12.75" customHeight="1" x14ac:dyDescent="0.2">
      <c r="A306" s="54">
        <f>ROUND(SP!A838+SP!A654,-3)</f>
        <v>0</v>
      </c>
      <c r="B306" s="9">
        <f>SP!B838+SP!B654</f>
        <v>0</v>
      </c>
      <c r="C306" s="9">
        <f>SP!C838+SP!C654</f>
        <v>0</v>
      </c>
      <c r="D306" s="9">
        <f>SP!D838+SP!D654</f>
        <v>0</v>
      </c>
      <c r="E306" s="9">
        <f>SP!E838+SP!E654</f>
        <v>0</v>
      </c>
      <c r="F306" s="189"/>
      <c r="G306" s="257" t="s">
        <v>2848</v>
      </c>
      <c r="H306" s="9">
        <f>SP!H838+SP!H654</f>
        <v>0</v>
      </c>
      <c r="I306" s="85"/>
      <c r="J306" s="89">
        <f>SP!J838+SP!J654</f>
        <v>0</v>
      </c>
      <c r="K306" s="9">
        <f>SP!K838+SP!K654</f>
        <v>0</v>
      </c>
      <c r="L306" s="9">
        <f>SP!L838+SP!L654</f>
        <v>0</v>
      </c>
      <c r="M306" s="9">
        <f>SP!M838+SP!M654</f>
        <v>0</v>
      </c>
      <c r="N306" s="9">
        <f>SP!N838+SP!N654</f>
        <v>0</v>
      </c>
      <c r="O306" s="9">
        <f>SP!O838+SP!O654</f>
        <v>0</v>
      </c>
      <c r="P306" s="9">
        <f>SP!P838+SP!P654</f>
        <v>0</v>
      </c>
      <c r="Q306" s="9">
        <f>SP!Q838+SP!Q654</f>
        <v>0</v>
      </c>
      <c r="R306" s="9">
        <f>SP!R838+SP!R654</f>
        <v>0</v>
      </c>
      <c r="S306" s="47">
        <f>SP!S838+SP!S654</f>
        <v>0</v>
      </c>
    </row>
    <row r="307" spans="1:19" ht="12.75" customHeight="1" x14ac:dyDescent="0.2">
      <c r="A307" s="54">
        <f>ROUND(SP!A839,-3)</f>
        <v>32000</v>
      </c>
      <c r="B307" s="9">
        <f>SP!B839</f>
        <v>32000</v>
      </c>
      <c r="C307" s="9">
        <f>SP!C839</f>
        <v>61000</v>
      </c>
      <c r="D307" s="9">
        <f>SP!D839</f>
        <v>84300</v>
      </c>
      <c r="E307" s="9">
        <f>SP!E839</f>
        <v>35000</v>
      </c>
      <c r="F307" s="189"/>
      <c r="G307" s="257" t="s">
        <v>1909</v>
      </c>
      <c r="H307" s="9">
        <f>SP!H839</f>
        <v>500</v>
      </c>
      <c r="I307" s="85"/>
      <c r="J307" s="89">
        <f>SP!J839</f>
        <v>0</v>
      </c>
      <c r="K307" s="9">
        <f>SP!K839</f>
        <v>0</v>
      </c>
      <c r="L307" s="9">
        <f>SP!L839</f>
        <v>0</v>
      </c>
      <c r="M307" s="9">
        <f>SP!M839</f>
        <v>0</v>
      </c>
      <c r="N307" s="9">
        <f>SP!N839</f>
        <v>0</v>
      </c>
      <c r="O307" s="9">
        <f>SP!O839</f>
        <v>0</v>
      </c>
      <c r="P307" s="9">
        <f>SP!P839</f>
        <v>0</v>
      </c>
      <c r="Q307" s="9">
        <f>SP!Q839</f>
        <v>0</v>
      </c>
      <c r="R307" s="9">
        <f>SP!R839</f>
        <v>0</v>
      </c>
      <c r="S307" s="47">
        <f>SP!S839</f>
        <v>0</v>
      </c>
    </row>
    <row r="308" spans="1:19" ht="12.75" customHeight="1" x14ac:dyDescent="0.2">
      <c r="A308" s="54">
        <f>ROUND(SP!A840,-3)</f>
        <v>0</v>
      </c>
      <c r="B308" s="9">
        <f>SP!B840</f>
        <v>32300</v>
      </c>
      <c r="C308" s="9">
        <f>SP!C840</f>
        <v>27000</v>
      </c>
      <c r="D308" s="9">
        <f>SP!D840</f>
        <v>61000</v>
      </c>
      <c r="E308" s="9">
        <f>SP!E840</f>
        <v>84300</v>
      </c>
      <c r="F308" s="189"/>
      <c r="G308" s="257" t="s">
        <v>2309</v>
      </c>
      <c r="H308" s="9">
        <f>SP!H840</f>
        <v>0</v>
      </c>
      <c r="I308" s="85"/>
      <c r="J308" s="89">
        <f>SP!J840</f>
        <v>0</v>
      </c>
      <c r="K308" s="9">
        <f>SP!K840</f>
        <v>0</v>
      </c>
      <c r="L308" s="9">
        <f>SP!L840</f>
        <v>0</v>
      </c>
      <c r="M308" s="9">
        <f>SP!M840</f>
        <v>0</v>
      </c>
      <c r="N308" s="9">
        <f>SP!N840</f>
        <v>0</v>
      </c>
      <c r="O308" s="9">
        <f>SP!O840</f>
        <v>0</v>
      </c>
      <c r="P308" s="9">
        <f>SP!P840</f>
        <v>0</v>
      </c>
      <c r="Q308" s="9">
        <f>SP!Q840</f>
        <v>0</v>
      </c>
      <c r="R308" s="9">
        <f>SP!R840</f>
        <v>0</v>
      </c>
      <c r="S308" s="47">
        <f>SP!S840</f>
        <v>0</v>
      </c>
    </row>
    <row r="309" spans="1:19" ht="12.75" customHeight="1" x14ac:dyDescent="0.2">
      <c r="A309" s="54">
        <f>ROUND(SP!A841,-3)</f>
        <v>0</v>
      </c>
      <c r="B309" s="9">
        <f>SP!B841</f>
        <v>0</v>
      </c>
      <c r="C309" s="9">
        <f>SP!C841</f>
        <v>0</v>
      </c>
      <c r="D309" s="9">
        <f>SP!D841</f>
        <v>0</v>
      </c>
      <c r="E309" s="9">
        <f>SP!E841</f>
        <v>0</v>
      </c>
      <c r="F309" s="189"/>
      <c r="G309" s="257" t="s">
        <v>5847</v>
      </c>
      <c r="H309" s="9">
        <f>SP!H841</f>
        <v>0</v>
      </c>
      <c r="I309" s="85"/>
      <c r="J309" s="89">
        <f>SP!J841</f>
        <v>0</v>
      </c>
      <c r="K309" s="9">
        <f>SP!K841</f>
        <v>0</v>
      </c>
      <c r="L309" s="9">
        <f>SP!L841</f>
        <v>0</v>
      </c>
      <c r="M309" s="9">
        <f>SP!M841</f>
        <v>0</v>
      </c>
      <c r="N309" s="9">
        <f>SP!N841</f>
        <v>0</v>
      </c>
      <c r="O309" s="9">
        <f>SP!O841</f>
        <v>0</v>
      </c>
      <c r="P309" s="9">
        <f>SP!P841</f>
        <v>0</v>
      </c>
      <c r="Q309" s="9">
        <f>SP!Q841</f>
        <v>0</v>
      </c>
      <c r="R309" s="9">
        <f>SP!R841</f>
        <v>0</v>
      </c>
      <c r="S309" s="47">
        <f>SP!S841</f>
        <v>0</v>
      </c>
    </row>
    <row r="310" spans="1:19" ht="12.75" customHeight="1" x14ac:dyDescent="0.2">
      <c r="A310" s="54">
        <f>ROUND(SP!A842,-3)</f>
        <v>0</v>
      </c>
      <c r="B310" s="9">
        <f>SP!B842</f>
        <v>0</v>
      </c>
      <c r="C310" s="9">
        <f>SP!C842</f>
        <v>0</v>
      </c>
      <c r="D310" s="9">
        <f>SP!D842</f>
        <v>0</v>
      </c>
      <c r="E310" s="9">
        <f>SP!E842</f>
        <v>0</v>
      </c>
      <c r="F310" s="189"/>
      <c r="G310" s="257" t="s">
        <v>958</v>
      </c>
      <c r="H310" s="9">
        <f>SP!H842</f>
        <v>0</v>
      </c>
      <c r="I310" s="85"/>
      <c r="J310" s="89">
        <f>SP!J842</f>
        <v>0</v>
      </c>
      <c r="K310" s="9">
        <f>SP!K842</f>
        <v>0</v>
      </c>
      <c r="L310" s="9">
        <f>SP!L842</f>
        <v>0</v>
      </c>
      <c r="M310" s="9">
        <f>SP!M842</f>
        <v>0</v>
      </c>
      <c r="N310" s="9">
        <f>SP!N842</f>
        <v>0</v>
      </c>
      <c r="O310" s="9">
        <f>SP!O842</f>
        <v>0</v>
      </c>
      <c r="P310" s="9">
        <f>SP!P842</f>
        <v>0</v>
      </c>
      <c r="Q310" s="9">
        <f>SP!Q842</f>
        <v>0</v>
      </c>
      <c r="R310" s="9">
        <f>SP!R842</f>
        <v>0</v>
      </c>
      <c r="S310" s="47">
        <f>SP!S842</f>
        <v>0</v>
      </c>
    </row>
    <row r="311" spans="1:19" ht="12.75" customHeight="1" x14ac:dyDescent="0.2">
      <c r="A311" s="54"/>
      <c r="B311" s="9"/>
      <c r="C311" s="9"/>
      <c r="D311" s="9"/>
      <c r="E311" s="9"/>
      <c r="F311" s="189"/>
      <c r="G311" s="361"/>
      <c r="H311" s="9"/>
      <c r="I311" s="85"/>
      <c r="J311" s="89"/>
      <c r="K311" s="9"/>
      <c r="L311" s="9"/>
      <c r="M311" s="9"/>
      <c r="N311" s="9"/>
      <c r="O311" s="9"/>
      <c r="P311" s="9"/>
      <c r="Q311" s="9"/>
      <c r="R311" s="9"/>
      <c r="S311" s="47"/>
    </row>
    <row r="312" spans="1:19" ht="12.75" customHeight="1" x14ac:dyDescent="0.2">
      <c r="A312" s="128">
        <f>A301-A306-A307+A308++A309-A310</f>
        <v>-386900</v>
      </c>
      <c r="B312" s="280">
        <f>B301-B306-B307+B308++B309-B310</f>
        <v>-424500</v>
      </c>
      <c r="C312" s="280">
        <f>C301-C306-C307+C308++C309-C310</f>
        <v>-400700</v>
      </c>
      <c r="D312" s="280">
        <f>D301-D306-D307+D308++D309-D310</f>
        <v>-445800</v>
      </c>
      <c r="E312" s="280">
        <f>E301-E306-E307+E308++E309-E310</f>
        <v>-425800</v>
      </c>
      <c r="F312" s="362"/>
      <c r="G312" s="363" t="s">
        <v>2447</v>
      </c>
      <c r="H312" s="280">
        <f>H301-H306-H307+H308++H309-H310</f>
        <v>-422900</v>
      </c>
      <c r="I312" s="278">
        <f>IF(E312=H312,0,IF(E312=0,100,(H312-E312)/E312*100))</f>
        <v>-0.68107092531705027</v>
      </c>
      <c r="J312" s="266">
        <f t="shared" ref="J312:R312" si="397">J301-J306-J307+J308++J309-J310</f>
        <v>-412300</v>
      </c>
      <c r="K312" s="280">
        <f t="shared" si="397"/>
        <v>-422800</v>
      </c>
      <c r="L312" s="280">
        <f t="shared" si="397"/>
        <v>-433500</v>
      </c>
      <c r="M312" s="280">
        <f t="shared" si="397"/>
        <v>-444400</v>
      </c>
      <c r="N312" s="280">
        <f t="shared" si="397"/>
        <v>-455500</v>
      </c>
      <c r="O312" s="280">
        <f t="shared" si="397"/>
        <v>-466900</v>
      </c>
      <c r="P312" s="280">
        <f t="shared" si="397"/>
        <v>-478500</v>
      </c>
      <c r="Q312" s="280">
        <f t="shared" si="397"/>
        <v>-490400</v>
      </c>
      <c r="R312" s="280">
        <f t="shared" si="397"/>
        <v>-502600</v>
      </c>
      <c r="S312" s="2343">
        <f t="shared" ref="S312" si="398">S301-S306-S307+S308++S309-S310</f>
        <v>-515100</v>
      </c>
    </row>
    <row r="313" spans="1:19" ht="12.75" customHeight="1" thickBot="1" x14ac:dyDescent="0.25">
      <c r="A313" s="26"/>
      <c r="B313" s="37"/>
      <c r="C313" s="37"/>
      <c r="D313" s="37"/>
      <c r="E313" s="23"/>
      <c r="F313" s="400"/>
      <c r="G313" s="259"/>
      <c r="H313" s="23"/>
      <c r="I313" s="275"/>
      <c r="J313" s="113"/>
      <c r="K313" s="23"/>
      <c r="L313" s="23"/>
      <c r="M313" s="23"/>
      <c r="N313" s="23"/>
      <c r="O313" s="23"/>
      <c r="P313" s="23"/>
      <c r="Q313" s="23"/>
      <c r="R313" s="23"/>
      <c r="S313" s="112"/>
    </row>
    <row r="314" spans="1:19" ht="12.75" customHeight="1" thickTop="1" thickBot="1" x14ac:dyDescent="0.25">
      <c r="A314" s="27"/>
      <c r="B314" s="27"/>
      <c r="C314" s="27"/>
      <c r="D314" s="27"/>
      <c r="E314" s="27"/>
      <c r="F314" s="468"/>
      <c r="G314" s="84"/>
      <c r="H314" s="46"/>
      <c r="I314" s="2234"/>
      <c r="J314" s="46"/>
      <c r="K314" s="46"/>
      <c r="L314" s="46"/>
      <c r="M314" s="46"/>
      <c r="N314" s="46"/>
      <c r="O314" s="46"/>
      <c r="P314" s="46"/>
      <c r="Q314" s="46"/>
      <c r="R314" s="46"/>
      <c r="S314" s="46"/>
    </row>
    <row r="315" spans="1:19" s="38" customFormat="1" ht="19.5" thickTop="1" thickBot="1" x14ac:dyDescent="0.3">
      <c r="A315" s="2588" t="s">
        <v>454</v>
      </c>
      <c r="B315" s="2589"/>
      <c r="C315" s="2589"/>
      <c r="D315" s="2589"/>
      <c r="E315" s="2589"/>
      <c r="F315" s="2589"/>
      <c r="G315" s="2589"/>
      <c r="H315" s="2589"/>
      <c r="I315" s="2589"/>
      <c r="J315" s="2589"/>
      <c r="K315" s="2589"/>
      <c r="L315" s="2589"/>
      <c r="M315" s="2589"/>
      <c r="N315" s="2589"/>
      <c r="O315" s="2589"/>
      <c r="P315" s="2589"/>
      <c r="Q315" s="2589"/>
      <c r="R315" s="2589"/>
      <c r="S315" s="2590"/>
    </row>
    <row r="316" spans="1:19" s="39" customFormat="1" ht="12.75" customHeight="1" x14ac:dyDescent="0.2">
      <c r="A316" s="2591" t="s">
        <v>1824</v>
      </c>
      <c r="B316" s="2577"/>
      <c r="C316" s="2577"/>
      <c r="D316" s="2577"/>
      <c r="E316" s="2592" t="s">
        <v>2215</v>
      </c>
      <c r="F316" s="2231" t="s">
        <v>2616</v>
      </c>
      <c r="G316" s="188" t="s">
        <v>2213</v>
      </c>
      <c r="H316" s="2576" t="s">
        <v>2215</v>
      </c>
      <c r="I316" s="2577"/>
      <c r="J316" s="2577"/>
      <c r="K316" s="2577"/>
      <c r="L316" s="2577"/>
      <c r="M316" s="2577"/>
      <c r="N316" s="2577"/>
      <c r="O316" s="2577"/>
      <c r="P316" s="2577"/>
      <c r="Q316" s="2577"/>
      <c r="R316" s="2577"/>
      <c r="S316" s="2578"/>
    </row>
    <row r="317" spans="1:19" ht="12.75" customHeight="1" thickBot="1" x14ac:dyDescent="0.25">
      <c r="A317" s="541" t="str">
        <f>A3</f>
        <v>2012/13</v>
      </c>
      <c r="B317" s="28" t="str">
        <f>B3</f>
        <v>2013/14</v>
      </c>
      <c r="C317" s="40" t="str">
        <f>C3</f>
        <v>2014/15</v>
      </c>
      <c r="D317" s="40" t="str">
        <f>D3</f>
        <v>2015/16</v>
      </c>
      <c r="E317" s="40" t="str">
        <f>E3</f>
        <v>2016/17</v>
      </c>
      <c r="F317" s="162" t="s">
        <v>2617</v>
      </c>
      <c r="G317" s="68"/>
      <c r="H317" s="40" t="str">
        <f>H3</f>
        <v>2017/18</v>
      </c>
      <c r="I317" s="1459" t="s">
        <v>492</v>
      </c>
      <c r="J317" s="1257" t="str">
        <f t="shared" ref="J317:S317" si="399">J3</f>
        <v>2018/19</v>
      </c>
      <c r="K317" s="205" t="str">
        <f t="shared" si="399"/>
        <v>2019/20</v>
      </c>
      <c r="L317" s="40" t="str">
        <f t="shared" si="399"/>
        <v>2020/21</v>
      </c>
      <c r="M317" s="40" t="str">
        <f t="shared" si="399"/>
        <v>2021/22</v>
      </c>
      <c r="N317" s="40" t="str">
        <f t="shared" si="399"/>
        <v>2022/23</v>
      </c>
      <c r="O317" s="1257" t="str">
        <f t="shared" si="399"/>
        <v>2023/24</v>
      </c>
      <c r="P317" s="40" t="str">
        <f t="shared" si="399"/>
        <v>2024/25</v>
      </c>
      <c r="Q317" s="28" t="str">
        <f t="shared" si="399"/>
        <v>2025/26</v>
      </c>
      <c r="R317" s="28" t="str">
        <f t="shared" si="399"/>
        <v>2026/27</v>
      </c>
      <c r="S317" s="1620" t="str">
        <f t="shared" si="399"/>
        <v>2027/28</v>
      </c>
    </row>
    <row r="318" spans="1:19" ht="12.75" customHeight="1" x14ac:dyDescent="0.2">
      <c r="A318" s="1432"/>
      <c r="B318" s="9"/>
      <c r="C318" s="9"/>
      <c r="D318" s="9"/>
      <c r="E318" s="9"/>
      <c r="F318" s="167"/>
      <c r="G318" s="256"/>
      <c r="H318" s="9"/>
      <c r="I318" s="85"/>
      <c r="J318" s="89"/>
      <c r="K318" s="9"/>
      <c r="L318" s="9"/>
      <c r="M318" s="9"/>
      <c r="N318" s="9"/>
      <c r="O318" s="89"/>
      <c r="P318" s="9"/>
      <c r="Q318" s="9"/>
      <c r="R318" s="9"/>
      <c r="S318" s="61"/>
    </row>
    <row r="319" spans="1:19" ht="12.75" customHeight="1" x14ac:dyDescent="0.2">
      <c r="A319" s="54"/>
      <c r="B319" s="9"/>
      <c r="C319" s="9"/>
      <c r="D319" s="9"/>
      <c r="E319" s="9"/>
      <c r="F319" s="167"/>
      <c r="G319" s="256" t="s">
        <v>1056</v>
      </c>
      <c r="H319" s="9"/>
      <c r="I319" s="85"/>
      <c r="J319" s="89"/>
      <c r="K319" s="9"/>
      <c r="L319" s="9"/>
      <c r="M319" s="9"/>
      <c r="N319" s="9"/>
      <c r="O319" s="89"/>
      <c r="P319" s="9"/>
      <c r="Q319" s="9"/>
      <c r="R319" s="9"/>
      <c r="S319" s="61"/>
    </row>
    <row r="320" spans="1:19" ht="12.75" customHeight="1" x14ac:dyDescent="0.2">
      <c r="A320" s="54"/>
      <c r="B320" s="9"/>
      <c r="C320" s="9"/>
      <c r="D320" s="9"/>
      <c r="E320" s="9"/>
      <c r="F320" s="167"/>
      <c r="G320" s="780" t="s">
        <v>3181</v>
      </c>
      <c r="H320" s="9"/>
      <c r="I320" s="85"/>
      <c r="J320" s="89"/>
      <c r="K320" s="9"/>
      <c r="L320" s="9"/>
      <c r="M320" s="9"/>
      <c r="N320" s="9"/>
      <c r="O320" s="89"/>
      <c r="P320" s="9"/>
      <c r="Q320" s="9"/>
      <c r="R320" s="9"/>
      <c r="S320" s="61"/>
    </row>
    <row r="321" spans="1:19" ht="12.75" customHeight="1" x14ac:dyDescent="0.2">
      <c r="A321" s="54">
        <v>52400</v>
      </c>
      <c r="B321" s="9">
        <f>82100+600+7000</f>
        <v>89700</v>
      </c>
      <c r="C321" s="9">
        <f>51800+4600+16000</f>
        <v>72400</v>
      </c>
      <c r="D321" s="9">
        <f>14500+26600+100</f>
        <v>41200</v>
      </c>
      <c r="E321" s="9">
        <v>22900</v>
      </c>
      <c r="F321" s="773" t="s">
        <v>786</v>
      </c>
      <c r="G321" s="634" t="s">
        <v>3024</v>
      </c>
      <c r="H321" s="9">
        <v>20000</v>
      </c>
      <c r="I321" s="85">
        <f>IF(E321=H321,0,IF(E321=0,100,(H321-E321)/E321*100))</f>
        <v>-12.663755458515283</v>
      </c>
      <c r="J321" s="89">
        <v>20000</v>
      </c>
      <c r="K321" s="9">
        <f>ROUNDUP(J321+(J321*Assumptions!J$5),-2)</f>
        <v>20500</v>
      </c>
      <c r="L321" s="9">
        <f>ROUNDUP(K321+(K321*Assumptions!K$5),-2)</f>
        <v>21100</v>
      </c>
      <c r="M321" s="9">
        <f>ROUNDUP(L321+(L321*Assumptions!L$5),-2)</f>
        <v>21700</v>
      </c>
      <c r="N321" s="9">
        <f>ROUNDUP(M321+(M321*Assumptions!M$5),-2)</f>
        <v>22300</v>
      </c>
      <c r="O321" s="89">
        <f>ROUNDUP(N321+(N321*Assumptions!N$5),-2)</f>
        <v>22900</v>
      </c>
      <c r="P321" s="9">
        <f>ROUNDUP(O321+(O321*Assumptions!O$5),-2)</f>
        <v>23500</v>
      </c>
      <c r="Q321" s="9">
        <f>ROUNDUP(P321+(P321*Assumptions!P$5),-2)</f>
        <v>24100</v>
      </c>
      <c r="R321" s="9">
        <f>ROUNDUP(Q321+(Q321*Assumptions!Q$5),-2)</f>
        <v>24800</v>
      </c>
      <c r="S321" s="47">
        <f>ROUNDUP(R321+(R321*Assumptions!R$5),-2)</f>
        <v>25500</v>
      </c>
    </row>
    <row r="322" spans="1:19" ht="12.75" customHeight="1" x14ac:dyDescent="0.2">
      <c r="A322" s="54">
        <v>0</v>
      </c>
      <c r="B322" s="46">
        <v>0</v>
      </c>
      <c r="C322" s="9">
        <v>0</v>
      </c>
      <c r="D322" s="89">
        <v>73000</v>
      </c>
      <c r="E322" s="9">
        <v>30800</v>
      </c>
      <c r="F322" s="773" t="s">
        <v>5794</v>
      </c>
      <c r="G322" s="1151" t="s">
        <v>1287</v>
      </c>
      <c r="H322" s="9">
        <v>11000</v>
      </c>
      <c r="I322" s="85">
        <f>IF(E322=H322,0,IF(E322=0,100,(H322-E322)/E322*100))</f>
        <v>-64.285714285714292</v>
      </c>
      <c r="J322" s="89">
        <f>ROUNDUP(H322+(H322*Assumptions!I$5),-2)-11300</f>
        <v>0</v>
      </c>
      <c r="K322" s="9">
        <f>ROUNDUP(J322+(J322*Assumptions!J$5),-2)</f>
        <v>0</v>
      </c>
      <c r="L322" s="9">
        <f>ROUNDUP(K322+(K322*Assumptions!K$5),-2)</f>
        <v>0</v>
      </c>
      <c r="M322" s="9">
        <f>ROUNDUP(L322+(L322*Assumptions!L$5),-2)</f>
        <v>0</v>
      </c>
      <c r="N322" s="9">
        <f>ROUNDUP(M322+(M322*Assumptions!M$5),-2)</f>
        <v>0</v>
      </c>
      <c r="O322" s="89">
        <f>ROUNDUP(N322+(N322*Assumptions!N$5),-2)</f>
        <v>0</v>
      </c>
      <c r="P322" s="9">
        <f>ROUNDUP(O322+(O322*Assumptions!O$5),-2)</f>
        <v>0</v>
      </c>
      <c r="Q322" s="9">
        <f>ROUNDUP(P322+(P322*Assumptions!P$5),-2)</f>
        <v>0</v>
      </c>
      <c r="R322" s="9">
        <f>ROUNDUP(Q322+(Q322*Assumptions!Q$5),-2)</f>
        <v>0</v>
      </c>
      <c r="S322" s="47">
        <f>ROUNDUP(R322+(R322*Assumptions!R$5),-2)</f>
        <v>0</v>
      </c>
    </row>
    <row r="323" spans="1:19" ht="12.75" customHeight="1" x14ac:dyDescent="0.2">
      <c r="A323" s="54">
        <v>0</v>
      </c>
      <c r="B323" s="46">
        <v>0</v>
      </c>
      <c r="C323" s="9">
        <v>0</v>
      </c>
      <c r="D323" s="89">
        <v>0</v>
      </c>
      <c r="E323" s="9">
        <v>0</v>
      </c>
      <c r="F323" s="773" t="s">
        <v>11832</v>
      </c>
      <c r="G323" s="1151" t="s">
        <v>11906</v>
      </c>
      <c r="H323" s="9">
        <v>6500</v>
      </c>
      <c r="I323" s="85">
        <f>IF(E323=H323,0,IF(E323=0,100,(H323-E323)/E323*100))</f>
        <v>100</v>
      </c>
      <c r="J323" s="89">
        <v>0</v>
      </c>
      <c r="K323" s="9">
        <f>ROUNDUP(J323+(J323*Assumptions!J$5),-2)</f>
        <v>0</v>
      </c>
      <c r="L323" s="9">
        <f>ROUNDUP(K323+(K323*Assumptions!K$5),-2)</f>
        <v>0</v>
      </c>
      <c r="M323" s="9">
        <f>ROUNDUP(L323+(L323*Assumptions!L$5),-2)</f>
        <v>0</v>
      </c>
      <c r="N323" s="9">
        <f>ROUNDUP(M323+(M323*Assumptions!M$5),-2)</f>
        <v>0</v>
      </c>
      <c r="O323" s="89">
        <f>ROUNDUP(N323+(N323*Assumptions!N$5),-2)</f>
        <v>0</v>
      </c>
      <c r="P323" s="9">
        <f>ROUNDUP(O323+(O323*Assumptions!O$5),-2)</f>
        <v>0</v>
      </c>
      <c r="Q323" s="9">
        <f>ROUNDUP(P323+(P323*Assumptions!P$5),-2)</f>
        <v>0</v>
      </c>
      <c r="R323" s="9">
        <f>ROUNDUP(Q323+(Q323*Assumptions!Q$5),-2)</f>
        <v>0</v>
      </c>
      <c r="S323" s="47">
        <f>ROUNDUP(R323+(R323*Assumptions!R$5),-2)</f>
        <v>0</v>
      </c>
    </row>
    <row r="324" spans="1:19" ht="12.75" customHeight="1" x14ac:dyDescent="0.2">
      <c r="A324" s="54"/>
      <c r="B324" s="9"/>
      <c r="C324" s="9"/>
      <c r="D324" s="9"/>
      <c r="E324" s="9"/>
      <c r="F324" s="167"/>
      <c r="G324" s="257"/>
      <c r="H324" s="9"/>
      <c r="I324" s="85"/>
      <c r="J324" s="89"/>
      <c r="K324" s="9"/>
      <c r="L324" s="9"/>
      <c r="M324" s="9"/>
      <c r="N324" s="9"/>
      <c r="O324" s="89"/>
      <c r="P324" s="9"/>
      <c r="Q324" s="9"/>
      <c r="R324" s="9"/>
      <c r="S324" s="47"/>
    </row>
    <row r="325" spans="1:19" ht="12.75" customHeight="1" x14ac:dyDescent="0.2">
      <c r="A325" s="54"/>
      <c r="B325" s="9"/>
      <c r="C325" s="9"/>
      <c r="D325" s="9"/>
      <c r="E325" s="9"/>
      <c r="F325" s="167"/>
      <c r="G325" s="260" t="s">
        <v>1242</v>
      </c>
      <c r="H325" s="9"/>
      <c r="I325" s="85"/>
      <c r="J325" s="89"/>
      <c r="K325" s="9"/>
      <c r="L325" s="9"/>
      <c r="M325" s="9"/>
      <c r="N325" s="9"/>
      <c r="O325" s="89"/>
      <c r="P325" s="9"/>
      <c r="Q325" s="9"/>
      <c r="R325" s="9"/>
      <c r="S325" s="47"/>
    </row>
    <row r="326" spans="1:19" ht="12.75" customHeight="1" x14ac:dyDescent="0.2">
      <c r="A326" s="54">
        <v>16900</v>
      </c>
      <c r="B326" s="9">
        <v>18700</v>
      </c>
      <c r="C326" s="9">
        <v>21500</v>
      </c>
      <c r="D326" s="9">
        <f>25385+15</f>
        <v>25400</v>
      </c>
      <c r="E326" s="9">
        <v>5700</v>
      </c>
      <c r="F326" s="167" t="s">
        <v>669</v>
      </c>
      <c r="G326" s="634" t="s">
        <v>2952</v>
      </c>
      <c r="H326" s="9">
        <v>0</v>
      </c>
      <c r="I326" s="85">
        <f>IF(E326=H326,0,IF(E326=0,100,(H326-E326)/E326*100))</f>
        <v>-100</v>
      </c>
      <c r="J326" s="89">
        <f>ROUNDUP(H326+(H326*Assumptions!I$5),-2)</f>
        <v>0</v>
      </c>
      <c r="K326" s="9">
        <f>ROUNDUP(J326+(J326*Assumptions!J$5),-2)</f>
        <v>0</v>
      </c>
      <c r="L326" s="9">
        <f>ROUNDUP(K326+(K326*Assumptions!K$5),-2)</f>
        <v>0</v>
      </c>
      <c r="M326" s="9">
        <f>ROUNDUP(L326+(L326*Assumptions!L$5),-2)</f>
        <v>0</v>
      </c>
      <c r="N326" s="9">
        <f>ROUNDUP(M326+(M326*Assumptions!M$5),-2)</f>
        <v>0</v>
      </c>
      <c r="O326" s="89">
        <f>ROUNDUP(N326+(N326*Assumptions!N$5),-2)</f>
        <v>0</v>
      </c>
      <c r="P326" s="9">
        <f>ROUNDUP(O326+(O326*Assumptions!O$5),-2)</f>
        <v>0</v>
      </c>
      <c r="Q326" s="9">
        <f>ROUNDUP(P326+(P326*Assumptions!P$5),-2)</f>
        <v>0</v>
      </c>
      <c r="R326" s="9">
        <f>ROUNDUP(Q326+(Q326*Assumptions!Q$5),-2)</f>
        <v>0</v>
      </c>
      <c r="S326" s="47">
        <f>ROUNDUP(R326+(R326*Assumptions!R$5),-2)</f>
        <v>0</v>
      </c>
    </row>
    <row r="327" spans="1:19" ht="12.75" customHeight="1" x14ac:dyDescent="0.2">
      <c r="A327" s="54">
        <v>0</v>
      </c>
      <c r="B327" s="46">
        <v>40000</v>
      </c>
      <c r="C327" s="9">
        <v>107700</v>
      </c>
      <c r="D327" s="136">
        <f>37583+17</f>
        <v>37600</v>
      </c>
      <c r="E327" s="9">
        <v>0</v>
      </c>
      <c r="F327" s="773" t="s">
        <v>3804</v>
      </c>
      <c r="G327" s="1151" t="s">
        <v>3585</v>
      </c>
      <c r="H327" s="9">
        <v>0</v>
      </c>
      <c r="I327" s="85">
        <f>IF(E327=H327,0,IF(E327=0,100,(H327-E327)/E327*100))</f>
        <v>0</v>
      </c>
      <c r="J327" s="89">
        <f>ROUNDUP(H327+(H327*Assumptions!I$5),-2)</f>
        <v>0</v>
      </c>
      <c r="K327" s="9">
        <f>ROUNDUP(J327+(J327*Assumptions!J$5),-2)</f>
        <v>0</v>
      </c>
      <c r="L327" s="9">
        <f>ROUNDUP(K327+(K327*Assumptions!K$5),-2)</f>
        <v>0</v>
      </c>
      <c r="M327" s="9">
        <f>ROUNDUP(L327+(L327*Assumptions!L$5),-2)</f>
        <v>0</v>
      </c>
      <c r="N327" s="9">
        <f>ROUNDUP(M327+(M327*Assumptions!M$5),-2)</f>
        <v>0</v>
      </c>
      <c r="O327" s="89">
        <f>ROUNDUP(N327+(N327*Assumptions!N$5),-2)</f>
        <v>0</v>
      </c>
      <c r="P327" s="9">
        <f>ROUNDUP(O327+(O327*Assumptions!O$5),-2)</f>
        <v>0</v>
      </c>
      <c r="Q327" s="9">
        <f>ROUNDUP(P327+(P327*Assumptions!P$5),-2)</f>
        <v>0</v>
      </c>
      <c r="R327" s="9">
        <f>ROUNDUP(Q327+(Q327*Assumptions!Q$5),-2)</f>
        <v>0</v>
      </c>
      <c r="S327" s="47">
        <f>ROUNDUP(R327+(R327*Assumptions!R$5),-2)</f>
        <v>0</v>
      </c>
    </row>
    <row r="328" spans="1:19" ht="12.75" customHeight="1" x14ac:dyDescent="0.2">
      <c r="A328" s="54">
        <v>5000</v>
      </c>
      <c r="B328" s="31">
        <v>20000</v>
      </c>
      <c r="C328" s="79">
        <v>10700</v>
      </c>
      <c r="D328" s="136">
        <v>2000</v>
      </c>
      <c r="E328" s="9">
        <v>25000</v>
      </c>
      <c r="F328" s="773" t="s">
        <v>6402</v>
      </c>
      <c r="G328" s="1151" t="s">
        <v>6478</v>
      </c>
      <c r="H328" s="9">
        <v>10000</v>
      </c>
      <c r="I328" s="85">
        <f>IF(E328=H328,0,IF(E328=0,100,(H328-E328)/E328*100))</f>
        <v>-60</v>
      </c>
      <c r="J328" s="89">
        <f>ROUNDUP(H328+(H328*Assumptions!I$5),-2)-10300</f>
        <v>0</v>
      </c>
      <c r="K328" s="9">
        <f>ROUNDUP(J328+(J328*Assumptions!J$5),-2)</f>
        <v>0</v>
      </c>
      <c r="L328" s="9">
        <f>ROUNDUP(K328+(K328*Assumptions!K$5),-2)</f>
        <v>0</v>
      </c>
      <c r="M328" s="9">
        <f>ROUNDUP(L328+(L328*Assumptions!L$5),-2)</f>
        <v>0</v>
      </c>
      <c r="N328" s="9">
        <f>ROUNDUP(M328+(M328*Assumptions!M$5),-2)</f>
        <v>0</v>
      </c>
      <c r="O328" s="89">
        <f>ROUNDUP(N328+(N328*Assumptions!N$5),-2)</f>
        <v>0</v>
      </c>
      <c r="P328" s="9">
        <f>ROUNDUP(O328+(O328*Assumptions!O$5),-2)</f>
        <v>0</v>
      </c>
      <c r="Q328" s="9">
        <f>ROUNDUP(P328+(P328*Assumptions!P$5),-2)</f>
        <v>0</v>
      </c>
      <c r="R328" s="9">
        <f>ROUNDUP(Q328+(Q328*Assumptions!Q$5),-2)</f>
        <v>0</v>
      </c>
      <c r="S328" s="47">
        <f>ROUNDUP(R328+(R328*Assumptions!R$5),-2)</f>
        <v>0</v>
      </c>
    </row>
    <row r="329" spans="1:19" ht="12.75" customHeight="1" x14ac:dyDescent="0.2">
      <c r="A329" s="54">
        <v>0</v>
      </c>
      <c r="B329" s="9">
        <v>2600</v>
      </c>
      <c r="C329" s="9">
        <f>3800+59000</f>
        <v>62800</v>
      </c>
      <c r="D329" s="9">
        <v>15000</v>
      </c>
      <c r="E329" s="9">
        <v>20000</v>
      </c>
      <c r="F329" s="167" t="s">
        <v>620</v>
      </c>
      <c r="G329" s="634" t="s">
        <v>78</v>
      </c>
      <c r="H329" s="9">
        <v>0</v>
      </c>
      <c r="I329" s="85">
        <f>IF(E329=H329,0,IF(E329=0,100,(H329-E329)/E329*100))</f>
        <v>-100</v>
      </c>
      <c r="J329" s="89">
        <f>ROUNDUP(H329+(H329*Assumptions!I$5),-2)</f>
        <v>0</v>
      </c>
      <c r="K329" s="9">
        <f>ROUNDUP(J329+(J329*Assumptions!J$5),-2)</f>
        <v>0</v>
      </c>
      <c r="L329" s="9">
        <f>ROUNDUP(K329+(K329*Assumptions!K$5),-2)</f>
        <v>0</v>
      </c>
      <c r="M329" s="9">
        <f>ROUNDUP(L329+(L329*Assumptions!L$5),-2)</f>
        <v>0</v>
      </c>
      <c r="N329" s="9">
        <f>ROUNDUP(M329+(M329*Assumptions!M$5),-2)</f>
        <v>0</v>
      </c>
      <c r="O329" s="89">
        <f>ROUNDUP(N329+(N329*Assumptions!N$5),-2)</f>
        <v>0</v>
      </c>
      <c r="P329" s="9">
        <f>ROUNDUP(O329+(O329*Assumptions!O$5),-2)</f>
        <v>0</v>
      </c>
      <c r="Q329" s="9">
        <f>ROUNDUP(P329+(P329*Assumptions!P$5),-2)</f>
        <v>0</v>
      </c>
      <c r="R329" s="9">
        <f>ROUNDUP(Q329+(Q329*Assumptions!Q$5),-2)</f>
        <v>0</v>
      </c>
      <c r="S329" s="47">
        <f>ROUNDUP(R329+(R329*Assumptions!R$5),-2)</f>
        <v>0</v>
      </c>
    </row>
    <row r="330" spans="1:19" ht="12.75" customHeight="1" x14ac:dyDescent="0.2">
      <c r="A330" s="54"/>
      <c r="B330" s="9"/>
      <c r="C330" s="9"/>
      <c r="D330" s="9"/>
      <c r="E330" s="9"/>
      <c r="F330" s="167"/>
      <c r="G330" s="257"/>
      <c r="H330" s="9"/>
      <c r="I330" s="85"/>
      <c r="J330" s="89"/>
      <c r="K330" s="9"/>
      <c r="L330" s="9"/>
      <c r="M330" s="9"/>
      <c r="N330" s="9"/>
      <c r="O330" s="89"/>
      <c r="P330" s="9"/>
      <c r="Q330" s="9"/>
      <c r="R330" s="9"/>
      <c r="S330" s="47"/>
    </row>
    <row r="331" spans="1:19" ht="12.75" customHeight="1" x14ac:dyDescent="0.2">
      <c r="A331" s="54"/>
      <c r="B331" s="9"/>
      <c r="C331" s="9"/>
      <c r="D331" s="9"/>
      <c r="E331" s="9"/>
      <c r="F331" s="167"/>
      <c r="G331" s="780" t="s">
        <v>7014</v>
      </c>
      <c r="H331" s="9"/>
      <c r="I331" s="85"/>
      <c r="J331" s="89"/>
      <c r="K331" s="9"/>
      <c r="L331" s="9"/>
      <c r="M331" s="9"/>
      <c r="N331" s="9"/>
      <c r="O331" s="89"/>
      <c r="P331" s="9"/>
      <c r="Q331" s="9"/>
      <c r="R331" s="9"/>
      <c r="S331" s="47"/>
    </row>
    <row r="332" spans="1:19" ht="12.75" customHeight="1" x14ac:dyDescent="0.2">
      <c r="A332" s="54">
        <v>0</v>
      </c>
      <c r="B332" s="9">
        <v>0</v>
      </c>
      <c r="C332" s="9">
        <v>0</v>
      </c>
      <c r="D332" s="9">
        <v>0</v>
      </c>
      <c r="E332" s="9">
        <v>0</v>
      </c>
      <c r="F332" s="773" t="s">
        <v>11833</v>
      </c>
      <c r="G332" s="634" t="s">
        <v>11834</v>
      </c>
      <c r="H332" s="9">
        <v>1000</v>
      </c>
      <c r="I332" s="85">
        <f t="shared" ref="I332:I334" si="400">IF(E332=H332,0,IF(E332=0,100,(H332-E332)/E332*100))</f>
        <v>100</v>
      </c>
      <c r="J332" s="89">
        <f>ROUNDUP(H332+(H332*Assumptions!I4),-2)-1000</f>
        <v>0</v>
      </c>
      <c r="K332" s="89">
        <f>ROUNDUP(J332+(J332*Assumptions!J4),-2)</f>
        <v>0</v>
      </c>
      <c r="L332" s="89">
        <f>ROUNDUP(K332+(K332*Assumptions!K4),-2)</f>
        <v>0</v>
      </c>
      <c r="M332" s="89">
        <f>ROUNDUP(L332+(L332*Assumptions!L4),-2)</f>
        <v>0</v>
      </c>
      <c r="N332" s="89">
        <f>ROUNDUP(M332+(M332*Assumptions!M4),-2)</f>
        <v>0</v>
      </c>
      <c r="O332" s="89">
        <f>ROUNDUP(N332+(N332*Assumptions!N4),-2)</f>
        <v>0</v>
      </c>
      <c r="P332" s="89">
        <f>ROUNDUP(O332+(O332*Assumptions!O4),-2)</f>
        <v>0</v>
      </c>
      <c r="Q332" s="89">
        <f>ROUNDUP(P332+(P332*Assumptions!P4),-2)</f>
        <v>0</v>
      </c>
      <c r="R332" s="89">
        <f>ROUNDUP(Q332+(Q332*Assumptions!Q4),-2)</f>
        <v>0</v>
      </c>
      <c r="S332" s="61">
        <f>ROUNDUP(R332+(R332*Assumptions!R4),-2)</f>
        <v>0</v>
      </c>
    </row>
    <row r="333" spans="1:19" ht="12.75" customHeight="1" x14ac:dyDescent="0.2">
      <c r="A333" s="54">
        <v>0</v>
      </c>
      <c r="B333" s="9">
        <v>0</v>
      </c>
      <c r="C333" s="9">
        <v>0</v>
      </c>
      <c r="D333" s="9">
        <v>0</v>
      </c>
      <c r="E333" s="9">
        <v>14100</v>
      </c>
      <c r="F333" s="773" t="s">
        <v>11686</v>
      </c>
      <c r="G333" s="634" t="s">
        <v>7015</v>
      </c>
      <c r="H333" s="9">
        <f>13400+2000</f>
        <v>15400</v>
      </c>
      <c r="I333" s="85">
        <f>IF(E333=H333,0,IF(E333=0,100,(H333-E333)/E333*100))</f>
        <v>9.2198581560283674</v>
      </c>
      <c r="J333" s="89">
        <v>16000</v>
      </c>
      <c r="K333" s="89">
        <f>ROUNDUP(J333+(J333*Assumptions!J5),-2)</f>
        <v>16400</v>
      </c>
      <c r="L333" s="89">
        <f>ROUNDUP(K333+(K333*Assumptions!K5),-2)</f>
        <v>16900</v>
      </c>
      <c r="M333" s="89">
        <f>ROUNDUP(L333+(L333*Assumptions!L5),-2)</f>
        <v>17400</v>
      </c>
      <c r="N333" s="89">
        <f>ROUNDUP(M333+(M333*Assumptions!M5),-2)</f>
        <v>17900</v>
      </c>
      <c r="O333" s="89">
        <f>ROUNDUP(N333+(N333*Assumptions!N5),-2)</f>
        <v>18400</v>
      </c>
      <c r="P333" s="89">
        <f>ROUNDUP(O333+(O333*Assumptions!O5),-2)</f>
        <v>18900</v>
      </c>
      <c r="Q333" s="89">
        <f>ROUNDUP(P333+(P333*Assumptions!P5),-2)</f>
        <v>19400</v>
      </c>
      <c r="R333" s="89">
        <f>ROUNDUP(Q333+(Q333*Assumptions!Q5),-2)</f>
        <v>19900</v>
      </c>
      <c r="S333" s="61">
        <f>ROUNDUP(R333+(R333*Assumptions!R5),-2)</f>
        <v>20400</v>
      </c>
    </row>
    <row r="334" spans="1:19" ht="12.75" customHeight="1" x14ac:dyDescent="0.2">
      <c r="A334" s="54">
        <v>0</v>
      </c>
      <c r="B334" s="9">
        <v>0</v>
      </c>
      <c r="C334" s="9">
        <v>0</v>
      </c>
      <c r="D334" s="9">
        <v>0</v>
      </c>
      <c r="E334" s="9">
        <v>1700</v>
      </c>
      <c r="F334" s="773" t="s">
        <v>11687</v>
      </c>
      <c r="G334" s="634" t="s">
        <v>11907</v>
      </c>
      <c r="H334" s="9">
        <v>1000</v>
      </c>
      <c r="I334" s="85">
        <f t="shared" si="400"/>
        <v>-41.17647058823529</v>
      </c>
      <c r="J334" s="89">
        <v>1000</v>
      </c>
      <c r="K334" s="89">
        <f>ROUNDUP(J334+(J334*Assumptions!J6),-2)</f>
        <v>1100</v>
      </c>
      <c r="L334" s="89">
        <f>ROUNDUP(K334+(K334*Assumptions!K6),-2)</f>
        <v>1200</v>
      </c>
      <c r="M334" s="89">
        <f>ROUNDUP(L334+(L334*Assumptions!L6),-2)</f>
        <v>1300</v>
      </c>
      <c r="N334" s="89">
        <f>ROUNDUP(M334+(M334*Assumptions!M6),-2)</f>
        <v>1400</v>
      </c>
      <c r="O334" s="89">
        <f>ROUNDUP(N334+(N334*Assumptions!N6),-2)</f>
        <v>1500</v>
      </c>
      <c r="P334" s="89">
        <f>ROUNDUP(O334+(O334*Assumptions!O6),-2)</f>
        <v>1600</v>
      </c>
      <c r="Q334" s="89">
        <f>ROUNDUP(P334+(P334*Assumptions!P6),-2)</f>
        <v>1700</v>
      </c>
      <c r="R334" s="89">
        <f>ROUNDUP(Q334+(Q334*Assumptions!Q6),-2)</f>
        <v>1800</v>
      </c>
      <c r="S334" s="61">
        <f>ROUNDUP(R334+(R334*Assumptions!R6),-2)</f>
        <v>1900</v>
      </c>
    </row>
    <row r="335" spans="1:19" ht="12.75" customHeight="1" x14ac:dyDescent="0.2">
      <c r="A335" s="54"/>
      <c r="B335" s="9"/>
      <c r="C335" s="9"/>
      <c r="D335" s="9"/>
      <c r="E335" s="9"/>
      <c r="F335" s="167"/>
      <c r="G335" s="257"/>
      <c r="H335" s="9"/>
      <c r="I335" s="85"/>
      <c r="J335" s="89"/>
      <c r="K335" s="9"/>
      <c r="L335" s="9"/>
      <c r="M335" s="9"/>
      <c r="N335" s="9"/>
      <c r="O335" s="89"/>
      <c r="P335" s="9"/>
      <c r="Q335" s="9"/>
      <c r="R335" s="9"/>
      <c r="S335" s="47"/>
    </row>
    <row r="336" spans="1:19" ht="12.75" customHeight="1" x14ac:dyDescent="0.2">
      <c r="A336" s="54"/>
      <c r="B336" s="9"/>
      <c r="C336" s="9"/>
      <c r="D336" s="9"/>
      <c r="E336" s="9"/>
      <c r="F336" s="167"/>
      <c r="G336" s="260" t="s">
        <v>1360</v>
      </c>
      <c r="H336" s="9"/>
      <c r="I336" s="85"/>
      <c r="J336" s="89"/>
      <c r="K336" s="9"/>
      <c r="L336" s="9"/>
      <c r="M336" s="9"/>
      <c r="N336" s="9"/>
      <c r="O336" s="89"/>
      <c r="P336" s="9"/>
      <c r="Q336" s="9"/>
      <c r="R336" s="9"/>
      <c r="S336" s="47"/>
    </row>
    <row r="337" spans="1:19" ht="12.75" customHeight="1" x14ac:dyDescent="0.2">
      <c r="A337" s="54">
        <v>0</v>
      </c>
      <c r="B337" s="9">
        <v>0</v>
      </c>
      <c r="C337" s="9">
        <v>0</v>
      </c>
      <c r="D337" s="89">
        <v>0</v>
      </c>
      <c r="E337" s="89">
        <v>3600</v>
      </c>
      <c r="F337" s="773" t="s">
        <v>11573</v>
      </c>
      <c r="G337" s="257" t="s">
        <v>550</v>
      </c>
      <c r="H337" s="89">
        <v>0</v>
      </c>
      <c r="I337" s="85">
        <f t="shared" ref="I337" si="401">IF(E337=H337,0,IF(E337=0,100,(H337-E337)/E337*100))</f>
        <v>-100</v>
      </c>
      <c r="J337" s="89">
        <v>0</v>
      </c>
      <c r="K337" s="9">
        <v>0</v>
      </c>
      <c r="L337" s="9">
        <v>0</v>
      </c>
      <c r="M337" s="9">
        <v>0</v>
      </c>
      <c r="N337" s="9">
        <v>0</v>
      </c>
      <c r="O337" s="89">
        <v>0</v>
      </c>
      <c r="P337" s="9">
        <v>0</v>
      </c>
      <c r="Q337" s="9">
        <v>0</v>
      </c>
      <c r="R337" s="9">
        <v>0</v>
      </c>
      <c r="S337" s="47">
        <v>0</v>
      </c>
    </row>
    <row r="338" spans="1:19" ht="12.75" customHeight="1" x14ac:dyDescent="0.2">
      <c r="A338" s="54">
        <v>13500</v>
      </c>
      <c r="B338" s="79">
        <v>13900</v>
      </c>
      <c r="C338" s="9">
        <v>16200</v>
      </c>
      <c r="D338" s="89">
        <f>19493+7</f>
        <v>19500</v>
      </c>
      <c r="E338" s="89">
        <v>23900</v>
      </c>
      <c r="F338" s="469" t="s">
        <v>941</v>
      </c>
      <c r="G338" s="9" t="s">
        <v>198</v>
      </c>
      <c r="H338" s="89">
        <v>13000</v>
      </c>
      <c r="I338" s="85">
        <f t="shared" ref="I338:I344" si="402">IF(E338=H338,0,IF(E338=0,100,(H338-E338)/E338*100))</f>
        <v>-45.60669456066946</v>
      </c>
      <c r="J338" s="89">
        <f>IF('Sec 94'!G4*Assumptions!I$14/2&gt;0,ROUND('Sec 94'!G4*Assumptions!I$14,-3)/2,0)</f>
        <v>12000</v>
      </c>
      <c r="K338" s="9">
        <f>IF('Sec 94'!H4*Assumptions!J$14/2&gt;0,ROUND('Sec 94'!H4*Assumptions!J$14,-3)/2,0)</f>
        <v>19500</v>
      </c>
      <c r="L338" s="9">
        <f>IF('Sec 94'!I4*Assumptions!K$14/2&gt;0,ROUND('Sec 94'!I4*Assumptions!K$14,-3)/2,0)</f>
        <v>27000</v>
      </c>
      <c r="M338" s="9">
        <f>IF('Sec 94'!J4*Assumptions!L$14/2&gt;0,ROUND('Sec 94'!J4*Assumptions!L$14,-3)/2,0)</f>
        <v>35000</v>
      </c>
      <c r="N338" s="9">
        <f>IF('Sec 94'!K4*Assumptions!M$14/2&gt;0,ROUND('Sec 94'!K4*Assumptions!M$14,-3)/2,0)</f>
        <v>43500</v>
      </c>
      <c r="O338" s="89">
        <f>IF('Sec 94'!L4*Assumptions!N$14/2&gt;0,ROUND('Sec 94'!L4*Assumptions!N$14,-3)/2,0)</f>
        <v>52500</v>
      </c>
      <c r="P338" s="9">
        <f>IF('Sec 94'!M4*Assumptions!O$14/2&gt;0,ROUND('Sec 94'!M4*Assumptions!O$14,-3)/2,0)</f>
        <v>62000</v>
      </c>
      <c r="Q338" s="9">
        <f>IF('Sec 94'!N4*Assumptions!P$14/2&gt;0,ROUND('Sec 94'!N4*Assumptions!P$14,-3)/2,0)</f>
        <v>72500</v>
      </c>
      <c r="R338" s="9">
        <f>IF('Sec 94'!O4*Assumptions!Q$14/2&gt;0,ROUND('Sec 94'!O4*Assumptions!Q$14,-3)/2,0)</f>
        <v>83000</v>
      </c>
      <c r="S338" s="47">
        <f>IF('Sec 94'!P4*Assumptions!R$14/2&gt;0,ROUND('Sec 94'!P4*Assumptions!R$14,-3)/2,0)</f>
        <v>94000</v>
      </c>
    </row>
    <row r="339" spans="1:19" ht="12.75" customHeight="1" x14ac:dyDescent="0.2">
      <c r="A339" s="54">
        <v>27600</v>
      </c>
      <c r="B339" s="79">
        <v>15700</v>
      </c>
      <c r="C339" s="134">
        <f>18700+3300</f>
        <v>22000</v>
      </c>
      <c r="D339" s="89">
        <f>4950+17631+19</f>
        <v>22600</v>
      </c>
      <c r="E339" s="89">
        <v>20300</v>
      </c>
      <c r="F339" s="469" t="s">
        <v>1301</v>
      </c>
      <c r="G339" s="634" t="s">
        <v>11794</v>
      </c>
      <c r="H339" s="89">
        <v>20000</v>
      </c>
      <c r="I339" s="85">
        <f t="shared" si="402"/>
        <v>-1.4778325123152709</v>
      </c>
      <c r="J339" s="89">
        <f>IF('Sec 94'!G5*Assumptions!I$14/2&gt;0,ROUND('Sec 94'!G5*Assumptions!I$14,-3)/2,0)</f>
        <v>19000</v>
      </c>
      <c r="K339" s="9">
        <f>IF('Sec 94'!H5*Assumptions!J$14/2&gt;0,ROUND('Sec 94'!H5*Assumptions!J$14,-3)/2,0)</f>
        <v>29000</v>
      </c>
      <c r="L339" s="9">
        <f>IF('Sec 94'!I5*Assumptions!K$14/2&gt;0,ROUND('Sec 94'!I5*Assumptions!K$14,-3)/2,0)</f>
        <v>39000</v>
      </c>
      <c r="M339" s="9">
        <f>IF('Sec 94'!J5*Assumptions!L$14/2&gt;0,ROUND('Sec 94'!J5*Assumptions!L$14,-3)/2,0)</f>
        <v>50500</v>
      </c>
      <c r="N339" s="9">
        <f>IF('Sec 94'!K5*Assumptions!M$14/2&gt;0,ROUND('Sec 94'!K5*Assumptions!M$14,-3)/2,0)</f>
        <v>62000</v>
      </c>
      <c r="O339" s="89">
        <f>IF('Sec 94'!L5*Assumptions!N$14/2&gt;0,ROUND('Sec 94'!L5*Assumptions!N$14,-3)/2,0)</f>
        <v>74500</v>
      </c>
      <c r="P339" s="9">
        <f>IF('Sec 94'!M5*Assumptions!O$14/2&gt;0,ROUND('Sec 94'!M5*Assumptions!O$14,-3)/2,0)</f>
        <v>87500</v>
      </c>
      <c r="Q339" s="9">
        <f>IF('Sec 94'!N5*Assumptions!P$14/2&gt;0,ROUND('Sec 94'!N5*Assumptions!P$14,-3)/2,0)</f>
        <v>101500</v>
      </c>
      <c r="R339" s="9">
        <f>IF('Sec 94'!O5*Assumptions!Q$14/2&gt;0,ROUND('Sec 94'!O5*Assumptions!Q$14,-3)/2,0)</f>
        <v>116000</v>
      </c>
      <c r="S339" s="47">
        <f>IF('Sec 94'!P5*Assumptions!R$14/2&gt;0,ROUND('Sec 94'!P5*Assumptions!R$14,-3)/2,0)</f>
        <v>131500</v>
      </c>
    </row>
    <row r="340" spans="1:19" ht="12.75" customHeight="1" x14ac:dyDescent="0.2">
      <c r="A340" s="54">
        <v>2700</v>
      </c>
      <c r="B340" s="79">
        <v>3700</v>
      </c>
      <c r="C340" s="134">
        <v>12100</v>
      </c>
      <c r="D340" s="89">
        <v>10100</v>
      </c>
      <c r="E340" s="89">
        <v>7400</v>
      </c>
      <c r="F340" s="469" t="s">
        <v>1289</v>
      </c>
      <c r="G340" s="634" t="s">
        <v>317</v>
      </c>
      <c r="H340" s="89">
        <v>5500</v>
      </c>
      <c r="I340" s="85">
        <f t="shared" si="402"/>
        <v>-25.675675675675674</v>
      </c>
      <c r="J340" s="89">
        <f>IF('Sec 94'!G6*Assumptions!I$14/2&gt;0,ROUND('Sec 94'!G6*Assumptions!I$14,-3)/2,0)</f>
        <v>2500</v>
      </c>
      <c r="K340" s="9">
        <f>IF('Sec 94'!H6*Assumptions!J$14/2&gt;0,ROUND('Sec 94'!H6*Assumptions!J$14,-3)/2,0)</f>
        <v>1500</v>
      </c>
      <c r="L340" s="9">
        <f>IF('Sec 94'!I6*Assumptions!K$14/2&gt;0,ROUND('Sec 94'!I6*Assumptions!K$14,-3)/2,0)</f>
        <v>1500</v>
      </c>
      <c r="M340" s="9">
        <f>IF('Sec 94'!J6*Assumptions!L$14/2&gt;0,ROUND('Sec 94'!J6*Assumptions!L$14,-3)/2,0)</f>
        <v>2500</v>
      </c>
      <c r="N340" s="9">
        <f>IF('Sec 94'!K6*Assumptions!M$14/2&gt;0,ROUND('Sec 94'!K6*Assumptions!M$14,-3)/2,0)</f>
        <v>4000</v>
      </c>
      <c r="O340" s="89">
        <f>IF('Sec 94'!L6*Assumptions!N$14/2&gt;0,ROUND('Sec 94'!L6*Assumptions!N$14,-3)/2,0)</f>
        <v>5000</v>
      </c>
      <c r="P340" s="9">
        <f>IF('Sec 94'!M6*Assumptions!O$14/2&gt;0,ROUND('Sec 94'!M6*Assumptions!O$14,-3)/2,0)</f>
        <v>6500</v>
      </c>
      <c r="Q340" s="9">
        <f>IF('Sec 94'!N6*Assumptions!P$14/2&gt;0,ROUND('Sec 94'!N6*Assumptions!P$14,-3)/2,0)</f>
        <v>8000</v>
      </c>
      <c r="R340" s="9">
        <f>IF('Sec 94'!O6*Assumptions!Q$14/2&gt;0,ROUND('Sec 94'!O6*Assumptions!Q$14,-3)/2,0)</f>
        <v>9500</v>
      </c>
      <c r="S340" s="47">
        <f>IF('Sec 94'!P6*Assumptions!R$14/2&gt;0,ROUND('Sec 94'!P6*Assumptions!R$14,-3)/2,0)</f>
        <v>11000</v>
      </c>
    </row>
    <row r="341" spans="1:19" ht="12.75" customHeight="1" x14ac:dyDescent="0.2">
      <c r="A341" s="54">
        <v>47300</v>
      </c>
      <c r="B341" s="79">
        <v>31600</v>
      </c>
      <c r="C341" s="134">
        <v>12500</v>
      </c>
      <c r="D341" s="89">
        <v>11200</v>
      </c>
      <c r="E341" s="89">
        <f>6300+300</f>
        <v>6600</v>
      </c>
      <c r="F341" s="469" t="s">
        <v>1290</v>
      </c>
      <c r="G341" s="9" t="s">
        <v>1297</v>
      </c>
      <c r="H341" s="89">
        <v>4100</v>
      </c>
      <c r="I341" s="85">
        <f t="shared" si="402"/>
        <v>-37.878787878787875</v>
      </c>
      <c r="J341" s="89">
        <f>IF('Sec 94'!G7*Assumptions!I$14/2&gt;0,ROUND('Sec 94'!G7*Assumptions!I$14,-3)/2,0)</f>
        <v>6000</v>
      </c>
      <c r="K341" s="9">
        <f>IF('Sec 94'!H7*Assumptions!J$14/2&gt;0,ROUND('Sec 94'!H7*Assumptions!J$14,-3)/2,0)</f>
        <v>7000</v>
      </c>
      <c r="L341" s="9">
        <f>IF('Sec 94'!I7*Assumptions!K$14/2&gt;0,ROUND('Sec 94'!I7*Assumptions!K$14,-3)/2,0)</f>
        <v>8000</v>
      </c>
      <c r="M341" s="9">
        <f>IF('Sec 94'!J7*Assumptions!L$14/2&gt;0,ROUND('Sec 94'!J7*Assumptions!L$14,-3)/2,0)</f>
        <v>9000</v>
      </c>
      <c r="N341" s="9">
        <f>IF('Sec 94'!K7*Assumptions!M$14/2&gt;0,ROUND('Sec 94'!K7*Assumptions!M$14,-3)/2,0)</f>
        <v>10000</v>
      </c>
      <c r="O341" s="89">
        <f>IF('Sec 94'!L7*Assumptions!N$14/2&gt;0,ROUND('Sec 94'!L7*Assumptions!N$14,-3)/2,0)</f>
        <v>11500</v>
      </c>
      <c r="P341" s="9">
        <f>IF('Sec 94'!M7*Assumptions!O$14/2&gt;0,ROUND('Sec 94'!M7*Assumptions!O$14,-3)/2,0)</f>
        <v>12500</v>
      </c>
      <c r="Q341" s="9">
        <f>IF('Sec 94'!N7*Assumptions!P$14/2&gt;0,ROUND('Sec 94'!N7*Assumptions!P$14,-3)/2,0)</f>
        <v>14000</v>
      </c>
      <c r="R341" s="9">
        <f>IF('Sec 94'!O7*Assumptions!Q$14/2&gt;0,ROUND('Sec 94'!O7*Assumptions!Q$14,-3)/2,0)</f>
        <v>15000</v>
      </c>
      <c r="S341" s="47">
        <f>IF('Sec 94'!P7*Assumptions!R$14/2&gt;0,ROUND('Sec 94'!P7*Assumptions!R$14,-3)/2,0)</f>
        <v>16500</v>
      </c>
    </row>
    <row r="342" spans="1:19" ht="12.75" customHeight="1" x14ac:dyDescent="0.2">
      <c r="A342" s="54">
        <v>36700</v>
      </c>
      <c r="B342" s="79">
        <v>26300</v>
      </c>
      <c r="C342" s="134">
        <v>20500</v>
      </c>
      <c r="D342" s="89">
        <f>22923-23</f>
        <v>22900</v>
      </c>
      <c r="E342" s="89">
        <v>23300</v>
      </c>
      <c r="F342" s="469" t="s">
        <v>1291</v>
      </c>
      <c r="G342" s="9" t="s">
        <v>401</v>
      </c>
      <c r="H342" s="89">
        <v>11500</v>
      </c>
      <c r="I342" s="85">
        <f t="shared" si="402"/>
        <v>-50.643776824034333</v>
      </c>
      <c r="J342" s="89">
        <f>IF('Sec 94'!G8*Assumptions!I$14/2&gt;0,ROUND('Sec 94'!G8*Assumptions!I$14,-3)/2,0)</f>
        <v>9000</v>
      </c>
      <c r="K342" s="9">
        <f>IF('Sec 94'!H8*Assumptions!J$14/2&gt;0,ROUND('Sec 94'!H8*Assumptions!J$14,-3)/2,0)</f>
        <v>9000</v>
      </c>
      <c r="L342" s="9">
        <f>IF('Sec 94'!I8*Assumptions!K$14/2&gt;0,ROUND('Sec 94'!I8*Assumptions!K$14,-3)/2,0)</f>
        <v>9500</v>
      </c>
      <c r="M342" s="9">
        <f>IF('Sec 94'!J8*Assumptions!L$14/2&gt;0,ROUND('Sec 94'!J8*Assumptions!L$14,-3)/2,0)</f>
        <v>9500</v>
      </c>
      <c r="N342" s="9">
        <f>IF('Sec 94'!K8*Assumptions!M$14/2&gt;0,ROUND('Sec 94'!K8*Assumptions!M$14,-3)/2,0)</f>
        <v>10000</v>
      </c>
      <c r="O342" s="89">
        <f>IF('Sec 94'!L8*Assumptions!N$14/2&gt;0,ROUND('Sec 94'!L8*Assumptions!N$14,-3)/2,0)</f>
        <v>10000</v>
      </c>
      <c r="P342" s="9">
        <f>IF('Sec 94'!M8*Assumptions!O$14/2&gt;0,ROUND('Sec 94'!M8*Assumptions!O$14,-3)/2,0)</f>
        <v>10500</v>
      </c>
      <c r="Q342" s="9">
        <f>IF('Sec 94'!N8*Assumptions!P$14/2&gt;0,ROUND('Sec 94'!N8*Assumptions!P$14,-3)/2,0)</f>
        <v>10500</v>
      </c>
      <c r="R342" s="9">
        <f>IF('Sec 94'!O8*Assumptions!Q$14/2&gt;0,ROUND('Sec 94'!O8*Assumptions!Q$14,-3)/2,0)</f>
        <v>10500</v>
      </c>
      <c r="S342" s="47">
        <f>IF('Sec 94'!P8*Assumptions!R$14/2&gt;0,ROUND('Sec 94'!P8*Assumptions!R$14,-3)/2,0)</f>
        <v>11000</v>
      </c>
    </row>
    <row r="343" spans="1:19" ht="12.75" customHeight="1" x14ac:dyDescent="0.2">
      <c r="A343" s="54">
        <v>33000</v>
      </c>
      <c r="B343" s="79">
        <v>59000</v>
      </c>
      <c r="C343" s="134">
        <v>63200</v>
      </c>
      <c r="D343" s="89">
        <f>51381+19</f>
        <v>51400</v>
      </c>
      <c r="E343" s="89">
        <v>62700</v>
      </c>
      <c r="F343" s="469" t="s">
        <v>2644</v>
      </c>
      <c r="G343" s="9" t="s">
        <v>500</v>
      </c>
      <c r="H343" s="89">
        <v>87900</v>
      </c>
      <c r="I343" s="85">
        <f t="shared" si="402"/>
        <v>40.191387559808611</v>
      </c>
      <c r="J343" s="89">
        <f>IF('Sec 94'!G9*Assumptions!I$14/2&gt;0,ROUND('Sec 94'!G9*Assumptions!I$14,-3)/2,0)</f>
        <v>147000</v>
      </c>
      <c r="K343" s="9">
        <f>IF('Sec 94'!H9*Assumptions!J$14/2&gt;0,ROUND('Sec 94'!H9*Assumptions!J$14,-3)/2,0)</f>
        <v>276500</v>
      </c>
      <c r="L343" s="9">
        <f>IF('Sec 94'!I9*Assumptions!K$14/2&gt;0,ROUND('Sec 94'!I9*Assumptions!K$14,-3)/2,0)</f>
        <v>24500</v>
      </c>
      <c r="M343" s="9">
        <f>IF('Sec 94'!J9*Assumptions!L$14/2&gt;0,ROUND('Sec 94'!J9*Assumptions!L$14,-3)/2,0)</f>
        <v>0</v>
      </c>
      <c r="N343" s="9">
        <f>IF('Sec 94'!K9*Assumptions!M$14/2&gt;0,ROUND('Sec 94'!K9*Assumptions!M$14,-3)/2,0)</f>
        <v>0</v>
      </c>
      <c r="O343" s="89">
        <f>IF('Sec 94'!L9*Assumptions!N$14/2&gt;0,ROUND('Sec 94'!L9*Assumptions!N$14,-3)/2,0)</f>
        <v>65500</v>
      </c>
      <c r="P343" s="9">
        <f>IF('Sec 94'!M9*Assumptions!O$14/2&gt;0,ROUND('Sec 94'!M9*Assumptions!O$14,-3)/2,0)</f>
        <v>170500</v>
      </c>
      <c r="Q343" s="9">
        <f>IF('Sec 94'!N9*Assumptions!P$14/2&gt;0,ROUND('Sec 94'!N9*Assumptions!P$14,-3)/2,0)</f>
        <v>280500</v>
      </c>
      <c r="R343" s="9">
        <f>IF('Sec 94'!O9*Assumptions!Q$14/2&gt;0,ROUND('Sec 94'!O9*Assumptions!Q$14,-3)/2,0)</f>
        <v>396000</v>
      </c>
      <c r="S343" s="47">
        <f>IF('Sec 94'!P9*Assumptions!R$14/2&gt;0,ROUND('Sec 94'!P9*Assumptions!R$14,-3)/2,0)</f>
        <v>516500</v>
      </c>
    </row>
    <row r="344" spans="1:19" ht="12.75" customHeight="1" x14ac:dyDescent="0.2">
      <c r="A344" s="54">
        <v>107000</v>
      </c>
      <c r="B344" s="79">
        <v>45500</v>
      </c>
      <c r="C344" s="134">
        <v>28600</v>
      </c>
      <c r="D344" s="89">
        <f>26757+43</f>
        <v>26800</v>
      </c>
      <c r="E344" s="89">
        <v>34200</v>
      </c>
      <c r="F344" s="469" t="s">
        <v>27</v>
      </c>
      <c r="G344" s="9" t="s">
        <v>2303</v>
      </c>
      <c r="H344" s="89">
        <v>0</v>
      </c>
      <c r="I344" s="85">
        <f t="shared" si="402"/>
        <v>-100</v>
      </c>
      <c r="J344" s="89">
        <v>0</v>
      </c>
      <c r="K344" s="9">
        <v>0</v>
      </c>
      <c r="L344" s="9">
        <v>0</v>
      </c>
      <c r="M344" s="9">
        <v>0</v>
      </c>
      <c r="N344" s="9">
        <v>0</v>
      </c>
      <c r="O344" s="89">
        <v>0</v>
      </c>
      <c r="P344" s="9">
        <v>0</v>
      </c>
      <c r="Q344" s="9">
        <v>0</v>
      </c>
      <c r="R344" s="9">
        <v>0</v>
      </c>
      <c r="S344" s="47">
        <v>0</v>
      </c>
    </row>
    <row r="345" spans="1:19" ht="12.75" customHeight="1" thickBot="1" x14ac:dyDescent="0.25">
      <c r="A345" s="54"/>
      <c r="B345" s="9"/>
      <c r="C345" s="9"/>
      <c r="D345" s="9"/>
      <c r="E345" s="9"/>
      <c r="F345" s="167"/>
      <c r="G345" s="9"/>
      <c r="H345" s="9"/>
      <c r="I345" s="85"/>
      <c r="J345" s="89"/>
      <c r="K345" s="9"/>
      <c r="L345" s="9"/>
      <c r="M345" s="9"/>
      <c r="N345" s="9"/>
      <c r="O345" s="89"/>
      <c r="P345" s="9"/>
      <c r="Q345" s="9"/>
      <c r="R345" s="9"/>
      <c r="S345" s="47"/>
    </row>
    <row r="346" spans="1:19" ht="12.75" customHeight="1" x14ac:dyDescent="0.2">
      <c r="A346" s="52">
        <f>SUM(A320:A345)</f>
        <v>342100</v>
      </c>
      <c r="B346" s="16">
        <f>SUM(B320:B345)</f>
        <v>366700</v>
      </c>
      <c r="C346" s="16">
        <f>SUM(C320:C345)</f>
        <v>450200</v>
      </c>
      <c r="D346" s="16">
        <f>SUM(D320:D345)</f>
        <v>358700</v>
      </c>
      <c r="E346" s="16">
        <f>SUM(E320:E345)</f>
        <v>302200</v>
      </c>
      <c r="F346" s="167"/>
      <c r="G346" s="267" t="s">
        <v>2561</v>
      </c>
      <c r="H346" s="16">
        <f>SUM(H320:H345)</f>
        <v>206900</v>
      </c>
      <c r="I346" s="127">
        <f>IF(E346=H346,0,IF(E346=0,100,(H346-E346)/E346*100))</f>
        <v>-31.535407015221708</v>
      </c>
      <c r="J346" s="102">
        <f t="shared" ref="J346:S346" si="403">SUM(J320:J345)</f>
        <v>232500</v>
      </c>
      <c r="K346" s="16">
        <f t="shared" si="403"/>
        <v>380500</v>
      </c>
      <c r="L346" s="16">
        <f t="shared" si="403"/>
        <v>148700</v>
      </c>
      <c r="M346" s="16">
        <f t="shared" si="403"/>
        <v>146900</v>
      </c>
      <c r="N346" s="16">
        <f t="shared" si="403"/>
        <v>171100</v>
      </c>
      <c r="O346" s="102">
        <f t="shared" si="403"/>
        <v>261800</v>
      </c>
      <c r="P346" s="16">
        <f t="shared" si="403"/>
        <v>393500</v>
      </c>
      <c r="Q346" s="16">
        <f t="shared" si="403"/>
        <v>532200</v>
      </c>
      <c r="R346" s="16">
        <f t="shared" si="403"/>
        <v>676500</v>
      </c>
      <c r="S346" s="2342">
        <f t="shared" si="403"/>
        <v>828300</v>
      </c>
    </row>
    <row r="347" spans="1:19" ht="12.75" customHeight="1" x14ac:dyDescent="0.2">
      <c r="A347" s="54"/>
      <c r="B347" s="9"/>
      <c r="C347" s="9"/>
      <c r="D347" s="9"/>
      <c r="E347" s="9"/>
      <c r="F347" s="167"/>
      <c r="G347" s="21"/>
      <c r="H347" s="9"/>
      <c r="I347" s="85"/>
      <c r="J347" s="89"/>
      <c r="K347" s="9"/>
      <c r="L347" s="9"/>
      <c r="M347" s="9"/>
      <c r="N347" s="9"/>
      <c r="O347" s="89"/>
      <c r="P347" s="9"/>
      <c r="Q347" s="9"/>
      <c r="R347" s="9"/>
      <c r="S347" s="47"/>
    </row>
    <row r="348" spans="1:19" ht="12.75" customHeight="1" x14ac:dyDescent="0.2">
      <c r="A348" s="54"/>
      <c r="B348" s="9"/>
      <c r="C348" s="9"/>
      <c r="D348" s="9"/>
      <c r="E348" s="9"/>
      <c r="F348" s="167"/>
      <c r="G348" s="256" t="s">
        <v>2169</v>
      </c>
      <c r="H348" s="9"/>
      <c r="I348" s="85"/>
      <c r="J348" s="89"/>
      <c r="K348" s="9"/>
      <c r="L348" s="9"/>
      <c r="M348" s="9"/>
      <c r="N348" s="9"/>
      <c r="O348" s="89"/>
      <c r="P348" s="9"/>
      <c r="Q348" s="9"/>
      <c r="R348" s="9"/>
      <c r="S348" s="47"/>
    </row>
    <row r="349" spans="1:19" ht="12.75" customHeight="1" x14ac:dyDescent="0.2">
      <c r="A349" s="54"/>
      <c r="B349" s="9"/>
      <c r="C349" s="9"/>
      <c r="D349" s="9"/>
      <c r="E349" s="9"/>
      <c r="F349" s="167"/>
      <c r="G349" s="260" t="s">
        <v>1228</v>
      </c>
      <c r="H349" s="9"/>
      <c r="I349" s="85"/>
      <c r="J349" s="89"/>
      <c r="K349" s="9"/>
      <c r="L349" s="9"/>
      <c r="M349" s="9"/>
      <c r="N349" s="9"/>
      <c r="O349" s="89"/>
      <c r="P349" s="9"/>
      <c r="Q349" s="9"/>
      <c r="R349" s="9"/>
      <c r="S349" s="47"/>
    </row>
    <row r="350" spans="1:19" ht="12.75" customHeight="1" x14ac:dyDescent="0.2">
      <c r="A350" s="54">
        <v>788400</v>
      </c>
      <c r="B350" s="79">
        <v>799000</v>
      </c>
      <c r="C350" s="9">
        <v>800300</v>
      </c>
      <c r="D350" s="9">
        <f>870286+14</f>
        <v>870300</v>
      </c>
      <c r="E350" s="9">
        <v>926400</v>
      </c>
      <c r="F350" s="773" t="s">
        <v>621</v>
      </c>
      <c r="G350" s="257" t="s">
        <v>1320</v>
      </c>
      <c r="H350" s="9">
        <f>909000</f>
        <v>909000</v>
      </c>
      <c r="I350" s="85">
        <f>IF(E350=H350,0,IF(E350=0,100,(H350-E350)/E350*100))</f>
        <v>-1.8782383419689119</v>
      </c>
      <c r="J350" s="89">
        <f>ROUNDUP(H350+(H350*Assumptions!I$13),-2)</f>
        <v>930000</v>
      </c>
      <c r="K350" s="9">
        <f>ROUNDUP(J350+(J350*Assumptions!J$13),-2)</f>
        <v>951400</v>
      </c>
      <c r="L350" s="9">
        <f>ROUNDUP(K350+(K350*Assumptions!K$13),-2)</f>
        <v>973300</v>
      </c>
      <c r="M350" s="9">
        <f>ROUNDUP(L350+(L350*Assumptions!L$13),-2)</f>
        <v>995700</v>
      </c>
      <c r="N350" s="9">
        <f>ROUNDUP(M350+(M350*Assumptions!M$13),-2)</f>
        <v>1018700</v>
      </c>
      <c r="O350" s="89">
        <f>ROUNDUP(N350+(N350*Assumptions!N$13),-2)</f>
        <v>1042200</v>
      </c>
      <c r="P350" s="9">
        <f>ROUNDUP(O350+(O350*Assumptions!O$13),-2)</f>
        <v>1066200</v>
      </c>
      <c r="Q350" s="9">
        <f>ROUNDUP(P350+(P350*Assumptions!P$13),-2)</f>
        <v>1090800</v>
      </c>
      <c r="R350" s="9">
        <f>ROUNDUP(Q350+(Q350*Assumptions!Q$13),-2)</f>
        <v>1115900</v>
      </c>
      <c r="S350" s="47">
        <f>ROUNDUP(R350+(R350*Assumptions!R$13),-2)</f>
        <v>1141600</v>
      </c>
    </row>
    <row r="351" spans="1:19" ht="12.75" customHeight="1" x14ac:dyDescent="0.2">
      <c r="A351" s="54">
        <v>4000</v>
      </c>
      <c r="B351" s="79">
        <v>4700</v>
      </c>
      <c r="C351" s="9">
        <v>4500</v>
      </c>
      <c r="D351" s="9">
        <f>5102-2</f>
        <v>5100</v>
      </c>
      <c r="E351" s="9">
        <v>1900</v>
      </c>
      <c r="F351" s="167" t="s">
        <v>2586</v>
      </c>
      <c r="G351" s="257" t="s">
        <v>1889</v>
      </c>
      <c r="H351" s="9">
        <v>5000</v>
      </c>
      <c r="I351" s="85">
        <f>IF(E351=H351,0,IF(E351=0,100,(H351-E351)/E351*100))</f>
        <v>163.15789473684211</v>
      </c>
      <c r="J351" s="89">
        <v>5000</v>
      </c>
      <c r="K351" s="9">
        <f>ROUNDUP(J351+(J351*Assumptions!J$5),-2)</f>
        <v>5200</v>
      </c>
      <c r="L351" s="9">
        <f>ROUNDUP(K351+(K351*Assumptions!K$5),-2)</f>
        <v>5400</v>
      </c>
      <c r="M351" s="9">
        <f>ROUNDUP(L351+(L351*Assumptions!L$5),-2)</f>
        <v>5600</v>
      </c>
      <c r="N351" s="9">
        <f>ROUNDUP(M351+(M351*Assumptions!M$5),-2)</f>
        <v>5800</v>
      </c>
      <c r="O351" s="89">
        <f>ROUNDUP(N351+(N351*Assumptions!N$5),-2)</f>
        <v>6000</v>
      </c>
      <c r="P351" s="9">
        <f>ROUNDUP(O351+(O351*Assumptions!O$5),-2)</f>
        <v>6200</v>
      </c>
      <c r="Q351" s="9">
        <f>ROUNDUP(P351+(P351*Assumptions!P$5),-2)</f>
        <v>6400</v>
      </c>
      <c r="R351" s="9">
        <f>ROUNDUP(Q351+(Q351*Assumptions!Q$5),-2)</f>
        <v>6600</v>
      </c>
      <c r="S351" s="47">
        <f>ROUNDUP(R351+(R351*Assumptions!R$5),-2)</f>
        <v>6800</v>
      </c>
    </row>
    <row r="352" spans="1:19" ht="12.75" customHeight="1" x14ac:dyDescent="0.2">
      <c r="A352" s="54">
        <v>17900</v>
      </c>
      <c r="B352" s="79">
        <v>15000</v>
      </c>
      <c r="C352" s="9">
        <v>15500</v>
      </c>
      <c r="D352" s="9">
        <f>15504-4</f>
        <v>15500</v>
      </c>
      <c r="E352" s="9">
        <v>12000</v>
      </c>
      <c r="F352" s="167" t="s">
        <v>409</v>
      </c>
      <c r="G352" s="257" t="s">
        <v>499</v>
      </c>
      <c r="H352" s="9">
        <v>10000</v>
      </c>
      <c r="I352" s="85">
        <f>IF(E352=H352,0,IF(E352=0,100,(H352-E352)/E352*100))</f>
        <v>-16.666666666666664</v>
      </c>
      <c r="J352" s="89">
        <f>ROUNDUP(H352+(H352*Assumptions!I$5),-2)</f>
        <v>10300</v>
      </c>
      <c r="K352" s="9">
        <f>ROUNDUP(J352+(J352*Assumptions!J$5),-2)</f>
        <v>10600</v>
      </c>
      <c r="L352" s="9">
        <f>ROUNDUP(K352+(K352*Assumptions!K$5),-2)</f>
        <v>10900</v>
      </c>
      <c r="M352" s="9">
        <f>ROUNDUP(L352+(L352*Assumptions!L$5),-2)</f>
        <v>11200</v>
      </c>
      <c r="N352" s="9">
        <f>ROUNDUP(M352+(M352*Assumptions!M$5),-2)</f>
        <v>11500</v>
      </c>
      <c r="O352" s="89">
        <f>ROUNDUP(N352+(N352*Assumptions!N$5),-2)</f>
        <v>11800</v>
      </c>
      <c r="P352" s="9">
        <f>ROUNDUP(O352+(O352*Assumptions!O$5),-2)</f>
        <v>12100</v>
      </c>
      <c r="Q352" s="9">
        <f>ROUNDUP(P352+(P352*Assumptions!P$5),-2)</f>
        <v>12500</v>
      </c>
      <c r="R352" s="9">
        <f>ROUNDUP(Q352+(Q352*Assumptions!Q$5),-2)</f>
        <v>12900</v>
      </c>
      <c r="S352" s="47">
        <f>ROUNDUP(R352+(R352*Assumptions!R$5),-2)</f>
        <v>13300</v>
      </c>
    </row>
    <row r="353" spans="1:19" ht="12.75" customHeight="1" x14ac:dyDescent="0.2">
      <c r="A353" s="54"/>
      <c r="B353" s="79"/>
      <c r="C353" s="9"/>
      <c r="D353" s="9"/>
      <c r="E353" s="9"/>
      <c r="F353" s="167"/>
      <c r="G353" s="257"/>
      <c r="H353" s="9"/>
      <c r="I353" s="85"/>
      <c r="J353" s="89"/>
      <c r="K353" s="9"/>
      <c r="L353" s="9"/>
      <c r="M353" s="9"/>
      <c r="N353" s="9"/>
      <c r="O353" s="89"/>
      <c r="P353" s="9"/>
      <c r="Q353" s="9"/>
      <c r="R353" s="9"/>
      <c r="S353" s="47"/>
    </row>
    <row r="354" spans="1:19" ht="12.75" customHeight="1" x14ac:dyDescent="0.2">
      <c r="A354" s="54"/>
      <c r="B354" s="79"/>
      <c r="C354" s="9"/>
      <c r="D354" s="9"/>
      <c r="E354" s="9"/>
      <c r="F354" s="167"/>
      <c r="G354" s="260" t="s">
        <v>2514</v>
      </c>
      <c r="H354" s="9"/>
      <c r="I354" s="85"/>
      <c r="J354" s="89"/>
      <c r="K354" s="9"/>
      <c r="L354" s="9"/>
      <c r="M354" s="9"/>
      <c r="N354" s="9"/>
      <c r="O354" s="89"/>
      <c r="P354" s="9"/>
      <c r="Q354" s="9"/>
      <c r="R354" s="9"/>
      <c r="S354" s="47"/>
    </row>
    <row r="355" spans="1:19" ht="12.75" customHeight="1" x14ac:dyDescent="0.2">
      <c r="A355" s="54">
        <v>3100</v>
      </c>
      <c r="B355" s="79">
        <v>5000</v>
      </c>
      <c r="C355" s="9">
        <v>4100</v>
      </c>
      <c r="D355" s="9">
        <f>4599+1</f>
        <v>4600</v>
      </c>
      <c r="E355" s="9">
        <v>5500</v>
      </c>
      <c r="F355" s="167" t="s">
        <v>2587</v>
      </c>
      <c r="G355" s="257" t="s">
        <v>716</v>
      </c>
      <c r="H355" s="9">
        <v>5000</v>
      </c>
      <c r="I355" s="85">
        <f>IF(E355=H355,0,IF(E355=0,100,(H355-E355)/E355*100))</f>
        <v>-9.0909090909090917</v>
      </c>
      <c r="J355" s="89">
        <v>5200</v>
      </c>
      <c r="K355" s="9">
        <f>ROUNDUP(J355+(J355*Assumptions!J$5),-2)</f>
        <v>5400</v>
      </c>
      <c r="L355" s="9">
        <f>ROUNDUP(K355+(K355*Assumptions!K$5),-2)</f>
        <v>5600</v>
      </c>
      <c r="M355" s="9">
        <f>ROUNDUP(L355+(L355*Assumptions!L$5),-2)</f>
        <v>5800</v>
      </c>
      <c r="N355" s="9">
        <f>ROUNDUP(M355+(M355*Assumptions!M$5),-2)</f>
        <v>6000</v>
      </c>
      <c r="O355" s="89">
        <f>ROUNDUP(N355+(N355*Assumptions!N$5),-2)</f>
        <v>6200</v>
      </c>
      <c r="P355" s="9">
        <f>ROUNDUP(O355+(O355*Assumptions!O$5),-2)</f>
        <v>6400</v>
      </c>
      <c r="Q355" s="9">
        <f>ROUNDUP(P355+(P355*Assumptions!P$5),-2)</f>
        <v>6600</v>
      </c>
      <c r="R355" s="9">
        <f>ROUNDUP(Q355+(Q355*Assumptions!Q$5),-2)</f>
        <v>6800</v>
      </c>
      <c r="S355" s="47">
        <f>ROUNDUP(R355+(R355*Assumptions!R$5),-2)</f>
        <v>7000</v>
      </c>
    </row>
    <row r="356" spans="1:19" ht="12.75" customHeight="1" x14ac:dyDescent="0.2">
      <c r="A356" s="54">
        <v>18100</v>
      </c>
      <c r="B356" s="79">
        <v>17000</v>
      </c>
      <c r="C356" s="9">
        <v>14100</v>
      </c>
      <c r="D356" s="9">
        <f>23781+19</f>
        <v>23800</v>
      </c>
      <c r="E356" s="9">
        <v>22500</v>
      </c>
      <c r="F356" s="167" t="s">
        <v>1188</v>
      </c>
      <c r="G356" s="257" t="s">
        <v>2623</v>
      </c>
      <c r="H356" s="9">
        <v>18000</v>
      </c>
      <c r="I356" s="85">
        <f>IF(E356=H356,0,IF(E356=0,100,(H356-E356)/E356*100))</f>
        <v>-20</v>
      </c>
      <c r="J356" s="89">
        <v>19000</v>
      </c>
      <c r="K356" s="9">
        <f>ROUNDUP(J356+(J356*Assumptions!J$5),-2)</f>
        <v>19500</v>
      </c>
      <c r="L356" s="9">
        <f>ROUNDUP(K356+(K356*Assumptions!K$5),-2)</f>
        <v>20000</v>
      </c>
      <c r="M356" s="9">
        <f>ROUNDUP(L356+(L356*Assumptions!L$5),-2)</f>
        <v>20500</v>
      </c>
      <c r="N356" s="9">
        <f>ROUNDUP(M356+(M356*Assumptions!M$5),-2)</f>
        <v>21100</v>
      </c>
      <c r="O356" s="89">
        <f>ROUNDUP(N356+(N356*Assumptions!N$5),-2)</f>
        <v>21700</v>
      </c>
      <c r="P356" s="9">
        <f>ROUNDUP(O356+(O356*Assumptions!O$5),-2)</f>
        <v>22300</v>
      </c>
      <c r="Q356" s="9">
        <f>ROUNDUP(P356+(P356*Assumptions!P$5),-2)</f>
        <v>22900</v>
      </c>
      <c r="R356" s="9">
        <f>ROUNDUP(Q356+(Q356*Assumptions!Q$5),-2)</f>
        <v>23500</v>
      </c>
      <c r="S356" s="47">
        <f>ROUNDUP(R356+(R356*Assumptions!R$5),-2)</f>
        <v>24100</v>
      </c>
    </row>
    <row r="357" spans="1:19" ht="12.75" customHeight="1" x14ac:dyDescent="0.2">
      <c r="A357" s="54">
        <v>3300</v>
      </c>
      <c r="B357" s="79">
        <v>6300</v>
      </c>
      <c r="C357" s="9">
        <v>3500</v>
      </c>
      <c r="D357" s="9">
        <f>8262-62</f>
        <v>8200</v>
      </c>
      <c r="E357" s="9">
        <v>6300</v>
      </c>
      <c r="F357" s="167" t="s">
        <v>1217</v>
      </c>
      <c r="G357" s="257" t="s">
        <v>666</v>
      </c>
      <c r="H357" s="9">
        <v>6000</v>
      </c>
      <c r="I357" s="85">
        <f>IF(E357=H357,0,IF(E357=0,100,(H357-E357)/E357*100))</f>
        <v>-4.7619047619047619</v>
      </c>
      <c r="J357" s="89">
        <v>6200</v>
      </c>
      <c r="K357" s="9">
        <f>ROUNDUP(J357+(J357*Assumptions!J$5),-2)</f>
        <v>6400</v>
      </c>
      <c r="L357" s="9">
        <f>ROUNDUP(K357+(K357*Assumptions!K$5),-2)</f>
        <v>6600</v>
      </c>
      <c r="M357" s="9">
        <f>ROUNDUP(L357+(L357*Assumptions!L$5),-2)</f>
        <v>6800</v>
      </c>
      <c r="N357" s="9">
        <f>ROUNDUP(M357+(M357*Assumptions!M$5),-2)</f>
        <v>7000</v>
      </c>
      <c r="O357" s="89">
        <f>ROUNDUP(N357+(N357*Assumptions!N$5),-2)</f>
        <v>7200</v>
      </c>
      <c r="P357" s="9">
        <f>ROUNDUP(O357+(O357*Assumptions!O$5),-2)</f>
        <v>7400</v>
      </c>
      <c r="Q357" s="9">
        <f>ROUNDUP(P357+(P357*Assumptions!P$5),-2)</f>
        <v>7600</v>
      </c>
      <c r="R357" s="9">
        <f>ROUNDUP(Q357+(Q357*Assumptions!Q$5),-2)</f>
        <v>7800</v>
      </c>
      <c r="S357" s="47">
        <f>ROUNDUP(R357+(R357*Assumptions!R$5),-2)</f>
        <v>8000</v>
      </c>
    </row>
    <row r="358" spans="1:19" ht="12.75" customHeight="1" x14ac:dyDescent="0.2">
      <c r="A358" s="54"/>
      <c r="B358" s="9"/>
      <c r="C358" s="9"/>
      <c r="D358" s="9"/>
      <c r="E358" s="9"/>
      <c r="F358" s="167"/>
      <c r="G358" s="257"/>
      <c r="H358" s="9"/>
      <c r="I358" s="85"/>
      <c r="J358" s="89"/>
      <c r="K358" s="9"/>
      <c r="L358" s="9"/>
      <c r="M358" s="9"/>
      <c r="N358" s="9"/>
      <c r="O358" s="89"/>
      <c r="P358" s="9"/>
      <c r="Q358" s="9"/>
      <c r="R358" s="9"/>
      <c r="S358" s="47"/>
    </row>
    <row r="359" spans="1:19" ht="12.75" customHeight="1" x14ac:dyDescent="0.2">
      <c r="A359" s="54"/>
      <c r="B359" s="9"/>
      <c r="C359" s="9"/>
      <c r="D359" s="9"/>
      <c r="E359" s="9"/>
      <c r="F359" s="167"/>
      <c r="G359" s="260" t="s">
        <v>290</v>
      </c>
      <c r="H359" s="9"/>
      <c r="I359" s="85"/>
      <c r="J359" s="89"/>
      <c r="K359" s="9"/>
      <c r="L359" s="9"/>
      <c r="M359" s="9"/>
      <c r="N359" s="9"/>
      <c r="O359" s="89"/>
      <c r="P359" s="9"/>
      <c r="Q359" s="9"/>
      <c r="R359" s="9"/>
      <c r="S359" s="47"/>
    </row>
    <row r="360" spans="1:19" ht="12.75" customHeight="1" x14ac:dyDescent="0.2">
      <c r="A360" s="54">
        <v>14200</v>
      </c>
      <c r="B360" s="9">
        <v>15700</v>
      </c>
      <c r="C360" s="9">
        <v>17000</v>
      </c>
      <c r="D360" s="9">
        <f>6164+36</f>
        <v>6200</v>
      </c>
      <c r="E360" s="9">
        <v>13700</v>
      </c>
      <c r="F360" s="167" t="s">
        <v>1489</v>
      </c>
      <c r="G360" s="634" t="s">
        <v>2966</v>
      </c>
      <c r="H360" s="9">
        <v>20000</v>
      </c>
      <c r="I360" s="85">
        <f t="shared" ref="I360:I376" si="404">IF(E360=H360,0,IF(E360=0,100,(H360-E360)/E360*100))</f>
        <v>45.985401459854018</v>
      </c>
      <c r="J360" s="89">
        <v>20000</v>
      </c>
      <c r="K360" s="9">
        <f>ROUNDUP(J360+(J360*Assumptions!J$5),-2)</f>
        <v>20500</v>
      </c>
      <c r="L360" s="9">
        <f>ROUNDUP(K360+(K360*Assumptions!K$5),-2)</f>
        <v>21100</v>
      </c>
      <c r="M360" s="9">
        <f>ROUNDUP(L360+(L360*Assumptions!L$5),-2)</f>
        <v>21700</v>
      </c>
      <c r="N360" s="9">
        <f>ROUNDUP(M360+(M360*Assumptions!M$5),-2)</f>
        <v>22300</v>
      </c>
      <c r="O360" s="89">
        <f>ROUNDUP(N360+(N360*Assumptions!N$5),-2)</f>
        <v>22900</v>
      </c>
      <c r="P360" s="9">
        <f>ROUNDUP(O360+(O360*Assumptions!O$5),-2)</f>
        <v>23500</v>
      </c>
      <c r="Q360" s="9">
        <f>ROUNDUP(P360+(P360*Assumptions!P$5),-2)</f>
        <v>24100</v>
      </c>
      <c r="R360" s="9">
        <f>ROUNDUP(Q360+(Q360*Assumptions!Q$5),-2)</f>
        <v>24800</v>
      </c>
      <c r="S360" s="47">
        <f>ROUNDUP(R360+(R360*Assumptions!R$5),-2)</f>
        <v>25500</v>
      </c>
    </row>
    <row r="361" spans="1:19" ht="12.75" customHeight="1" x14ac:dyDescent="0.2">
      <c r="A361" s="54">
        <v>19200</v>
      </c>
      <c r="B361" s="9">
        <v>10000</v>
      </c>
      <c r="C361" s="9">
        <v>15000</v>
      </c>
      <c r="D361" s="9">
        <v>5000</v>
      </c>
      <c r="E361" s="9">
        <v>0</v>
      </c>
      <c r="F361" s="167" t="s">
        <v>1490</v>
      </c>
      <c r="G361" s="634" t="s">
        <v>6479</v>
      </c>
      <c r="H361" s="9">
        <v>0</v>
      </c>
      <c r="I361" s="85">
        <f t="shared" si="404"/>
        <v>0</v>
      </c>
      <c r="J361" s="89">
        <f>ROUNDUP(H361+(H361*Assumptions!I$5),-2)</f>
        <v>0</v>
      </c>
      <c r="K361" s="9">
        <f>ROUNDUP(J361+(J361*Assumptions!J$5),-2)</f>
        <v>0</v>
      </c>
      <c r="L361" s="9">
        <f>ROUNDUP(K361+(K361*Assumptions!K$5),-2)</f>
        <v>0</v>
      </c>
      <c r="M361" s="9">
        <f>ROUNDUP(L361+(L361*Assumptions!L$5),-2)</f>
        <v>0</v>
      </c>
      <c r="N361" s="9">
        <f>ROUNDUP(M361+(M361*Assumptions!M$5),-2)</f>
        <v>0</v>
      </c>
      <c r="O361" s="89">
        <f>ROUNDUP(N361+(N361*Assumptions!N$5),-2)</f>
        <v>0</v>
      </c>
      <c r="P361" s="9">
        <f>ROUNDUP(O361+(O361*Assumptions!O$5),-2)</f>
        <v>0</v>
      </c>
      <c r="Q361" s="9">
        <f>ROUNDUP(P361+(P361*Assumptions!P$5),-2)</f>
        <v>0</v>
      </c>
      <c r="R361" s="9">
        <f>ROUNDUP(Q361+(Q361*Assumptions!Q$5),-2)</f>
        <v>0</v>
      </c>
      <c r="S361" s="47">
        <f>ROUNDUP(R361+(R361*Assumptions!R$5),-2)</f>
        <v>0</v>
      </c>
    </row>
    <row r="362" spans="1:19" ht="12.75" customHeight="1" x14ac:dyDescent="0.2">
      <c r="A362" s="54">
        <v>14400</v>
      </c>
      <c r="B362" s="9">
        <v>5600</v>
      </c>
      <c r="C362" s="9">
        <v>57500</v>
      </c>
      <c r="D362" s="9">
        <v>6100</v>
      </c>
      <c r="E362" s="9">
        <v>16700</v>
      </c>
      <c r="F362" s="773" t="s">
        <v>4118</v>
      </c>
      <c r="G362" s="634" t="s">
        <v>6770</v>
      </c>
      <c r="H362" s="9">
        <v>20000</v>
      </c>
      <c r="I362" s="85">
        <f t="shared" si="404"/>
        <v>19.760479041916167</v>
      </c>
      <c r="J362" s="89">
        <v>20000</v>
      </c>
      <c r="K362" s="9">
        <f>ROUNDUP(J362+(J362*Assumptions!J$5),-2)</f>
        <v>20500</v>
      </c>
      <c r="L362" s="9">
        <f>ROUNDUP(K362+(K362*Assumptions!K$5),-2)</f>
        <v>21100</v>
      </c>
      <c r="M362" s="9">
        <f>ROUNDUP(L362+(L362*Assumptions!L$5),-2)</f>
        <v>21700</v>
      </c>
      <c r="N362" s="9">
        <f>ROUNDUP(M362+(M362*Assumptions!M$5),-2)</f>
        <v>22300</v>
      </c>
      <c r="O362" s="89">
        <f>ROUNDUP(N362+(N362*Assumptions!N$5),-2)</f>
        <v>22900</v>
      </c>
      <c r="P362" s="9">
        <f>ROUNDUP(O362+(O362*Assumptions!O$5),-2)</f>
        <v>23500</v>
      </c>
      <c r="Q362" s="9">
        <f>ROUNDUP(P362+(P362*Assumptions!P$5),-2)</f>
        <v>24100</v>
      </c>
      <c r="R362" s="9">
        <f>ROUNDUP(Q362+(Q362*Assumptions!Q$5),-2)</f>
        <v>24800</v>
      </c>
      <c r="S362" s="47">
        <f>ROUNDUP(R362+(R362*Assumptions!R$5),-2)</f>
        <v>25500</v>
      </c>
    </row>
    <row r="363" spans="1:19" ht="12.75" customHeight="1" x14ac:dyDescent="0.2">
      <c r="A363" s="54">
        <f>34100+256000</f>
        <v>290100</v>
      </c>
      <c r="B363" s="9">
        <v>27400</v>
      </c>
      <c r="C363" s="9">
        <v>0</v>
      </c>
      <c r="D363" s="9">
        <v>1700</v>
      </c>
      <c r="E363" s="9">
        <v>11800</v>
      </c>
      <c r="F363" s="167" t="s">
        <v>1491</v>
      </c>
      <c r="G363" s="634" t="s">
        <v>6480</v>
      </c>
      <c r="H363" s="9">
        <v>10000</v>
      </c>
      <c r="I363" s="85">
        <f t="shared" si="404"/>
        <v>-15.254237288135593</v>
      </c>
      <c r="J363" s="89">
        <v>10000</v>
      </c>
      <c r="K363" s="9">
        <f>ROUNDUP(J363+(J363*Assumptions!J$5),-2)</f>
        <v>10300</v>
      </c>
      <c r="L363" s="9">
        <f>ROUNDUP(K363+(K363*Assumptions!K$5),-2)</f>
        <v>10600</v>
      </c>
      <c r="M363" s="9">
        <f>ROUNDUP(L363+(L363*Assumptions!L$5),-2)</f>
        <v>10900</v>
      </c>
      <c r="N363" s="9">
        <f>ROUNDUP(M363+(M363*Assumptions!M$5),-2)</f>
        <v>11200</v>
      </c>
      <c r="O363" s="89">
        <f>ROUNDUP(N363+(N363*Assumptions!N$5),-2)</f>
        <v>11500</v>
      </c>
      <c r="P363" s="9">
        <f>ROUNDUP(O363+(O363*Assumptions!O$5),-2)</f>
        <v>11800</v>
      </c>
      <c r="Q363" s="9">
        <f>ROUNDUP(P363+(P363*Assumptions!P$5),-2)</f>
        <v>12100</v>
      </c>
      <c r="R363" s="9">
        <f>ROUNDUP(Q363+(Q363*Assumptions!Q$5),-2)</f>
        <v>12500</v>
      </c>
      <c r="S363" s="47">
        <f>ROUNDUP(R363+(R363*Assumptions!R$5),-2)</f>
        <v>12900</v>
      </c>
    </row>
    <row r="364" spans="1:19" ht="12.75" customHeight="1" x14ac:dyDescent="0.2">
      <c r="A364" s="54">
        <v>0</v>
      </c>
      <c r="B364" s="9">
        <v>19400</v>
      </c>
      <c r="C364" s="9">
        <v>107700</v>
      </c>
      <c r="D364" s="9">
        <f>70526-26</f>
        <v>70500</v>
      </c>
      <c r="E364" s="9">
        <v>1800</v>
      </c>
      <c r="F364" s="773" t="s">
        <v>4063</v>
      </c>
      <c r="G364" s="634" t="s">
        <v>11923</v>
      </c>
      <c r="H364" s="9">
        <f>20000+18200</f>
        <v>38200</v>
      </c>
      <c r="I364" s="85">
        <f t="shared" si="404"/>
        <v>2022.2222222222222</v>
      </c>
      <c r="J364" s="89">
        <v>20000</v>
      </c>
      <c r="K364" s="9">
        <f>ROUNDUP(J364+(J364*Assumptions!J$5),-2)</f>
        <v>20500</v>
      </c>
      <c r="L364" s="9">
        <f>ROUNDUP(K364+(K364*Assumptions!K$5),-2)</f>
        <v>21100</v>
      </c>
      <c r="M364" s="9">
        <f>ROUNDUP(L364+(L364*Assumptions!L$5),-2)</f>
        <v>21700</v>
      </c>
      <c r="N364" s="9">
        <f>ROUNDUP(M364+(M364*Assumptions!M$5),-2)</f>
        <v>22300</v>
      </c>
      <c r="O364" s="89">
        <f>ROUNDUP(N364+(N364*Assumptions!N$5),-2)</f>
        <v>22900</v>
      </c>
      <c r="P364" s="9">
        <f>ROUNDUP(O364+(O364*Assumptions!O$5),-2)</f>
        <v>23500</v>
      </c>
      <c r="Q364" s="9">
        <f>ROUNDUP(P364+(P364*Assumptions!P$5),-2)</f>
        <v>24100</v>
      </c>
      <c r="R364" s="9">
        <f>ROUNDUP(Q364+(Q364*Assumptions!Q$5),-2)</f>
        <v>24800</v>
      </c>
      <c r="S364" s="47">
        <f>ROUNDUP(R364+(R364*Assumptions!R$5),-2)</f>
        <v>25500</v>
      </c>
    </row>
    <row r="365" spans="1:19" ht="12.75" customHeight="1" x14ac:dyDescent="0.2">
      <c r="A365" s="54">
        <v>5500</v>
      </c>
      <c r="B365" s="9">
        <v>34900</v>
      </c>
      <c r="C365" s="9">
        <v>300</v>
      </c>
      <c r="D365" s="9">
        <v>19300</v>
      </c>
      <c r="E365" s="9">
        <v>0</v>
      </c>
      <c r="F365" s="167" t="s">
        <v>1471</v>
      </c>
      <c r="G365" s="634" t="s">
        <v>7258</v>
      </c>
      <c r="H365" s="9">
        <v>0</v>
      </c>
      <c r="I365" s="85">
        <f t="shared" si="404"/>
        <v>0</v>
      </c>
      <c r="J365" s="89">
        <f>ROUNDUP(H365+(H365*Assumptions!I$5),-2)</f>
        <v>0</v>
      </c>
      <c r="K365" s="9">
        <f>ROUNDUP(J365+(J365*Assumptions!J$5),-2)</f>
        <v>0</v>
      </c>
      <c r="L365" s="9">
        <f>ROUNDUP(K365+(K365*Assumptions!K$5),-2)</f>
        <v>0</v>
      </c>
      <c r="M365" s="9">
        <f>ROUNDUP(L365+(L365*Assumptions!L$5),-2)</f>
        <v>0</v>
      </c>
      <c r="N365" s="9">
        <f>ROUNDUP(M365+(M365*Assumptions!M$5),-2)</f>
        <v>0</v>
      </c>
      <c r="O365" s="89">
        <f>ROUNDUP(N365+(N365*Assumptions!N$5),-2)</f>
        <v>0</v>
      </c>
      <c r="P365" s="9">
        <f>ROUNDUP(O365+(O365*Assumptions!O$5),-2)</f>
        <v>0</v>
      </c>
      <c r="Q365" s="9">
        <f>ROUNDUP(P365+(P365*Assumptions!P$5),-2)</f>
        <v>0</v>
      </c>
      <c r="R365" s="9">
        <f>ROUNDUP(Q365+(Q365*Assumptions!Q$5),-2)</f>
        <v>0</v>
      </c>
      <c r="S365" s="47">
        <f>ROUNDUP(R365+(R365*Assumptions!R$5),-2)</f>
        <v>0</v>
      </c>
    </row>
    <row r="366" spans="1:19" ht="12.75" customHeight="1" x14ac:dyDescent="0.2">
      <c r="A366" s="54">
        <v>0</v>
      </c>
      <c r="B366" s="9">
        <v>0</v>
      </c>
      <c r="C366" s="9">
        <v>0</v>
      </c>
      <c r="D366" s="9">
        <v>0</v>
      </c>
      <c r="E366" s="9">
        <v>14300</v>
      </c>
      <c r="F366" s="773" t="s">
        <v>6382</v>
      </c>
      <c r="G366" s="634" t="s">
        <v>6383</v>
      </c>
      <c r="H366" s="9">
        <v>5700</v>
      </c>
      <c r="I366" s="85">
        <f t="shared" si="404"/>
        <v>-60.139860139860133</v>
      </c>
      <c r="J366" s="89">
        <v>0</v>
      </c>
      <c r="K366" s="9">
        <f>ROUNDUP(J366+(J366*Assumptions!J$5),-2)</f>
        <v>0</v>
      </c>
      <c r="L366" s="9">
        <f>ROUNDUP(K366+(K366*Assumptions!K$5),-2)</f>
        <v>0</v>
      </c>
      <c r="M366" s="9">
        <f>ROUNDUP(L366+(L366*Assumptions!L$5),-2)</f>
        <v>0</v>
      </c>
      <c r="N366" s="9">
        <f>ROUNDUP(M366+(M366*Assumptions!M$5),-2)</f>
        <v>0</v>
      </c>
      <c r="O366" s="89">
        <f>ROUNDUP(N366+(N366*Assumptions!N$5),-2)</f>
        <v>0</v>
      </c>
      <c r="P366" s="9">
        <f>ROUNDUP(O366+(O366*Assumptions!O$5),-2)</f>
        <v>0</v>
      </c>
      <c r="Q366" s="9">
        <f>ROUNDUP(P366+(P366*Assumptions!P$5),-2)</f>
        <v>0</v>
      </c>
      <c r="R366" s="9">
        <f>ROUNDUP(Q366+(Q366*Assumptions!Q$5),-2)</f>
        <v>0</v>
      </c>
      <c r="S366" s="47">
        <f>ROUNDUP(R366+(R366*Assumptions!R$5),-2)</f>
        <v>0</v>
      </c>
    </row>
    <row r="367" spans="1:19" s="31" customFormat="1" ht="12.75" customHeight="1" x14ac:dyDescent="0.2">
      <c r="A367" s="54">
        <v>0</v>
      </c>
      <c r="B367" s="9">
        <v>0</v>
      </c>
      <c r="C367" s="9">
        <v>0</v>
      </c>
      <c r="D367" s="9">
        <v>0</v>
      </c>
      <c r="E367" s="9">
        <v>12200</v>
      </c>
      <c r="F367" s="773" t="s">
        <v>6384</v>
      </c>
      <c r="G367" s="634" t="s">
        <v>6474</v>
      </c>
      <c r="H367" s="9">
        <v>2800</v>
      </c>
      <c r="I367" s="85">
        <f t="shared" si="404"/>
        <v>-77.049180327868854</v>
      </c>
      <c r="J367" s="89">
        <v>0</v>
      </c>
      <c r="K367" s="9">
        <f>ROUNDUP(J367+(J367*Assumptions!J$5),-2)</f>
        <v>0</v>
      </c>
      <c r="L367" s="9">
        <f>ROUNDUP(K367+(K367*Assumptions!K$5),-2)</f>
        <v>0</v>
      </c>
      <c r="M367" s="9">
        <f>ROUNDUP(L367+(L367*Assumptions!L$5),-2)</f>
        <v>0</v>
      </c>
      <c r="N367" s="9">
        <f>ROUNDUP(M367+(M367*Assumptions!M$5),-2)</f>
        <v>0</v>
      </c>
      <c r="O367" s="89">
        <f>ROUNDUP(N367+(N367*Assumptions!N$5),-2)</f>
        <v>0</v>
      </c>
      <c r="P367" s="9">
        <f>ROUNDUP(O367+(O367*Assumptions!O$5),-2)</f>
        <v>0</v>
      </c>
      <c r="Q367" s="9">
        <f>ROUNDUP(P367+(P367*Assumptions!P$5),-2)</f>
        <v>0</v>
      </c>
      <c r="R367" s="9">
        <f>ROUNDUP(Q367+(Q367*Assumptions!Q$5),-2)</f>
        <v>0</v>
      </c>
      <c r="S367" s="47">
        <f>ROUNDUP(R367+(R367*Assumptions!R$5),-2)</f>
        <v>0</v>
      </c>
    </row>
    <row r="368" spans="1:19" s="38" customFormat="1" ht="12.75" customHeight="1" x14ac:dyDescent="0.25">
      <c r="A368" s="54">
        <v>0</v>
      </c>
      <c r="B368" s="9">
        <v>0</v>
      </c>
      <c r="C368" s="9">
        <v>0</v>
      </c>
      <c r="D368" s="9">
        <v>0</v>
      </c>
      <c r="E368" s="9">
        <v>2200</v>
      </c>
      <c r="F368" s="773" t="s">
        <v>6385</v>
      </c>
      <c r="G368" s="634" t="s">
        <v>6386</v>
      </c>
      <c r="H368" s="9">
        <v>12800</v>
      </c>
      <c r="I368" s="85">
        <f t="shared" si="404"/>
        <v>481.81818181818181</v>
      </c>
      <c r="J368" s="89">
        <v>0</v>
      </c>
      <c r="K368" s="9">
        <f>ROUNDUP(J368+(J368*Assumptions!J$5),-2)</f>
        <v>0</v>
      </c>
      <c r="L368" s="9">
        <f>ROUNDUP(K368+(K368*Assumptions!K$5),-2)</f>
        <v>0</v>
      </c>
      <c r="M368" s="9">
        <f>ROUNDUP(L368+(L368*Assumptions!L$5),-2)</f>
        <v>0</v>
      </c>
      <c r="N368" s="9">
        <f>ROUNDUP(M368+(M368*Assumptions!M$5),-2)</f>
        <v>0</v>
      </c>
      <c r="O368" s="89">
        <f>ROUNDUP(N368+(N368*Assumptions!N$5),-2)</f>
        <v>0</v>
      </c>
      <c r="P368" s="9">
        <f>ROUNDUP(O368+(O368*Assumptions!O$5),-2)</f>
        <v>0</v>
      </c>
      <c r="Q368" s="9">
        <f>ROUNDUP(P368+(P368*Assumptions!P$5),-2)</f>
        <v>0</v>
      </c>
      <c r="R368" s="9">
        <f>ROUNDUP(Q368+(Q368*Assumptions!Q$5),-2)</f>
        <v>0</v>
      </c>
      <c r="S368" s="47">
        <f>ROUNDUP(R368+(R368*Assumptions!R$5),-2)</f>
        <v>0</v>
      </c>
    </row>
    <row r="369" spans="1:19" s="39" customFormat="1" ht="12.75" customHeight="1" x14ac:dyDescent="0.2">
      <c r="A369" s="54">
        <v>14700</v>
      </c>
      <c r="B369" s="9">
        <v>14700</v>
      </c>
      <c r="C369" s="9">
        <v>14600</v>
      </c>
      <c r="D369" s="9">
        <f>8335-35</f>
        <v>8300</v>
      </c>
      <c r="E369" s="9">
        <v>18700</v>
      </c>
      <c r="F369" s="167" t="s">
        <v>2123</v>
      </c>
      <c r="G369" s="634" t="s">
        <v>2849</v>
      </c>
      <c r="H369" s="9">
        <v>15000</v>
      </c>
      <c r="I369" s="85">
        <f t="shared" si="404"/>
        <v>-19.786096256684495</v>
      </c>
      <c r="J369" s="89">
        <v>15000</v>
      </c>
      <c r="K369" s="9">
        <f>ROUNDUP(J369+(J369*Assumptions!J$5),-2)</f>
        <v>15400</v>
      </c>
      <c r="L369" s="9">
        <f>ROUNDUP(K369+(K369*Assumptions!K$5),-2)</f>
        <v>15800</v>
      </c>
      <c r="M369" s="9">
        <f>ROUNDUP(L369+(L369*Assumptions!L$5),-2)</f>
        <v>16200</v>
      </c>
      <c r="N369" s="9">
        <f>ROUNDUP(M369+(M369*Assumptions!M$5),-2)</f>
        <v>16700</v>
      </c>
      <c r="O369" s="89">
        <f>ROUNDUP(N369+(N369*Assumptions!N$5),-2)</f>
        <v>17200</v>
      </c>
      <c r="P369" s="9">
        <f>ROUNDUP(O369+(O369*Assumptions!O$5),-2)</f>
        <v>17700</v>
      </c>
      <c r="Q369" s="9">
        <f>ROUNDUP(P369+(P369*Assumptions!P$5),-2)</f>
        <v>18200</v>
      </c>
      <c r="R369" s="9">
        <f>ROUNDUP(Q369+(Q369*Assumptions!Q$5),-2)</f>
        <v>18700</v>
      </c>
      <c r="S369" s="47">
        <f>ROUNDUP(R369+(R369*Assumptions!R$5),-2)</f>
        <v>19200</v>
      </c>
    </row>
    <row r="370" spans="1:19" ht="12.75" customHeight="1" x14ac:dyDescent="0.2">
      <c r="A370" s="54">
        <v>10500</v>
      </c>
      <c r="B370" s="9">
        <f>4200+5700</f>
        <v>9900</v>
      </c>
      <c r="C370" s="9">
        <v>11300</v>
      </c>
      <c r="D370" s="9">
        <f>7382+18</f>
        <v>7400</v>
      </c>
      <c r="E370" s="46">
        <v>8800</v>
      </c>
      <c r="F370" s="769" t="s">
        <v>3184</v>
      </c>
      <c r="G370" s="662" t="s">
        <v>11924</v>
      </c>
      <c r="H370" s="9">
        <v>15000</v>
      </c>
      <c r="I370" s="85">
        <f t="shared" si="404"/>
        <v>70.454545454545453</v>
      </c>
      <c r="J370" s="89">
        <v>15000</v>
      </c>
      <c r="K370" s="9">
        <f>ROUNDUP(J370+(J370*Assumptions!J$5),-2)</f>
        <v>15400</v>
      </c>
      <c r="L370" s="9">
        <f>ROUNDUP(K370+(K370*Assumptions!K$5),-2)</f>
        <v>15800</v>
      </c>
      <c r="M370" s="9">
        <f>ROUNDUP(L370+(L370*Assumptions!L$5),-2)</f>
        <v>16200</v>
      </c>
      <c r="N370" s="9">
        <f>ROUNDUP(M370+(M370*Assumptions!M$5),-2)</f>
        <v>16700</v>
      </c>
      <c r="O370" s="9">
        <f>ROUNDUP(N370+(N370*Assumptions!N$5),-2)</f>
        <v>17200</v>
      </c>
      <c r="P370" s="9">
        <f>ROUNDUP(O370+(O370*Assumptions!O$5),-2)</f>
        <v>17700</v>
      </c>
      <c r="Q370" s="9">
        <f>ROUNDUP(P370+(P370*Assumptions!P$5),-2)</f>
        <v>18200</v>
      </c>
      <c r="R370" s="9">
        <f>ROUNDUP(Q370+(Q370*Assumptions!Q$5),-2)</f>
        <v>18700</v>
      </c>
      <c r="S370" s="47">
        <f>ROUNDUP(R370+(R370*Assumptions!R$5),-2)</f>
        <v>19200</v>
      </c>
    </row>
    <row r="371" spans="1:19" ht="12.75" customHeight="1" x14ac:dyDescent="0.2">
      <c r="A371" s="54">
        <f>6600+5600+9500</f>
        <v>21700</v>
      </c>
      <c r="B371" s="9">
        <f>28100+13200</f>
        <v>41300</v>
      </c>
      <c r="C371" s="9">
        <v>5300</v>
      </c>
      <c r="D371" s="9">
        <f>6128-28</f>
        <v>6100</v>
      </c>
      <c r="E371" s="9">
        <v>10800</v>
      </c>
      <c r="F371" s="167" t="s">
        <v>1493</v>
      </c>
      <c r="G371" s="634" t="s">
        <v>4695</v>
      </c>
      <c r="H371" s="9">
        <v>15000</v>
      </c>
      <c r="I371" s="85">
        <f t="shared" si="404"/>
        <v>38.888888888888893</v>
      </c>
      <c r="J371" s="89">
        <v>15000</v>
      </c>
      <c r="K371" s="9">
        <f>ROUNDUP(J371+(J371*Assumptions!J$5),-2)</f>
        <v>15400</v>
      </c>
      <c r="L371" s="9">
        <f>ROUNDUP(K371+(K371*Assumptions!K$5),-2)</f>
        <v>15800</v>
      </c>
      <c r="M371" s="9">
        <f>ROUNDUP(L371+(L371*Assumptions!L$5),-2)</f>
        <v>16200</v>
      </c>
      <c r="N371" s="9">
        <f>ROUNDUP(M371+(M371*Assumptions!M$5),-2)</f>
        <v>16700</v>
      </c>
      <c r="O371" s="89">
        <f>ROUNDUP(N371+(N371*Assumptions!N$5),-2)</f>
        <v>17200</v>
      </c>
      <c r="P371" s="9">
        <f>ROUNDUP(O371+(O371*Assumptions!O$5),-2)</f>
        <v>17700</v>
      </c>
      <c r="Q371" s="9">
        <f>ROUNDUP(P371+(P371*Assumptions!P$5),-2)</f>
        <v>18200</v>
      </c>
      <c r="R371" s="9">
        <f>ROUNDUP(Q371+(Q371*Assumptions!Q$5),-2)</f>
        <v>18700</v>
      </c>
      <c r="S371" s="47">
        <f>ROUNDUP(R371+(R371*Assumptions!R$5),-2)</f>
        <v>19200</v>
      </c>
    </row>
    <row r="372" spans="1:19" ht="12.75" customHeight="1" x14ac:dyDescent="0.2">
      <c r="A372" s="54">
        <v>0</v>
      </c>
      <c r="B372" s="9">
        <v>0</v>
      </c>
      <c r="C372" s="9">
        <v>19400</v>
      </c>
      <c r="D372" s="9">
        <f>2878+22</f>
        <v>2900</v>
      </c>
      <c r="E372" s="9">
        <v>0</v>
      </c>
      <c r="F372" s="773" t="s">
        <v>4117</v>
      </c>
      <c r="G372" s="634" t="s">
        <v>11925</v>
      </c>
      <c r="H372" s="9">
        <v>26000</v>
      </c>
      <c r="I372" s="85">
        <f t="shared" si="404"/>
        <v>100</v>
      </c>
      <c r="J372" s="89">
        <v>26000</v>
      </c>
      <c r="K372" s="9">
        <f>ROUNDUP(J372+(J372*Assumptions!J$5),-2)</f>
        <v>26700</v>
      </c>
      <c r="L372" s="9">
        <f>ROUNDUP(K372+(K372*Assumptions!K$5),-2)</f>
        <v>27400</v>
      </c>
      <c r="M372" s="9">
        <f>ROUNDUP(L372+(L372*Assumptions!L$5),-2)</f>
        <v>28100</v>
      </c>
      <c r="N372" s="9">
        <f>ROUNDUP(M372+(M372*Assumptions!M$5),-2)</f>
        <v>28900</v>
      </c>
      <c r="O372" s="89">
        <f>ROUNDUP(N372+(N372*Assumptions!N$5),-2)</f>
        <v>29700</v>
      </c>
      <c r="P372" s="9">
        <f>ROUNDUP(O372+(O372*Assumptions!O$5),-2)</f>
        <v>30500</v>
      </c>
      <c r="Q372" s="9">
        <f>ROUNDUP(P372+(P372*Assumptions!P$5),-2)</f>
        <v>31300</v>
      </c>
      <c r="R372" s="9">
        <f>ROUNDUP(Q372+(Q372*Assumptions!Q$5),-2)</f>
        <v>32100</v>
      </c>
      <c r="S372" s="47">
        <f>ROUNDUP(R372+(R372*Assumptions!R$5),-2)</f>
        <v>33000</v>
      </c>
    </row>
    <row r="373" spans="1:19" ht="12.75" customHeight="1" x14ac:dyDescent="0.2">
      <c r="A373" s="54">
        <v>0</v>
      </c>
      <c r="B373" s="9">
        <v>0</v>
      </c>
      <c r="C373" s="9">
        <v>0</v>
      </c>
      <c r="D373" s="9">
        <v>0</v>
      </c>
      <c r="E373" s="9">
        <v>25300</v>
      </c>
      <c r="F373" s="773" t="s">
        <v>6848</v>
      </c>
      <c r="G373" s="1151" t="s">
        <v>6849</v>
      </c>
      <c r="H373" s="9">
        <f>10000+14000</f>
        <v>24000</v>
      </c>
      <c r="I373" s="85">
        <f t="shared" si="404"/>
        <v>-5.1383399209486171</v>
      </c>
      <c r="J373" s="9">
        <v>10000</v>
      </c>
      <c r="K373" s="9">
        <v>10000</v>
      </c>
      <c r="L373" s="9">
        <v>10000</v>
      </c>
      <c r="M373" s="9">
        <v>10000</v>
      </c>
      <c r="N373" s="9">
        <v>10000</v>
      </c>
      <c r="O373" s="9">
        <v>10000</v>
      </c>
      <c r="P373" s="9">
        <v>10000</v>
      </c>
      <c r="Q373" s="9">
        <v>10000</v>
      </c>
      <c r="R373" s="9">
        <f>ROUNDUP(Q373+(Q373*Assumptions!Q$5),-2)</f>
        <v>10300</v>
      </c>
      <c r="S373" s="47">
        <f>ROUNDUP(R373+(R373*Assumptions!R$5),-2)</f>
        <v>10600</v>
      </c>
    </row>
    <row r="374" spans="1:19" ht="12.75" customHeight="1" x14ac:dyDescent="0.2">
      <c r="A374" s="54">
        <v>0</v>
      </c>
      <c r="B374" s="9">
        <v>0</v>
      </c>
      <c r="C374" s="9">
        <v>0</v>
      </c>
      <c r="D374" s="9">
        <v>0</v>
      </c>
      <c r="E374" s="9">
        <v>0</v>
      </c>
      <c r="F374" s="773" t="s">
        <v>11835</v>
      </c>
      <c r="G374" s="1151" t="s">
        <v>3247</v>
      </c>
      <c r="H374" s="9">
        <v>3800</v>
      </c>
      <c r="I374" s="85">
        <f t="shared" si="404"/>
        <v>100</v>
      </c>
      <c r="J374" s="9">
        <v>0</v>
      </c>
      <c r="K374" s="9">
        <f>ROUNDUP(J374+(J374*Assumptions!J$5),-2)</f>
        <v>0</v>
      </c>
      <c r="L374" s="9">
        <f>ROUNDUP(K374+(K374*Assumptions!K$5),-2)</f>
        <v>0</v>
      </c>
      <c r="M374" s="9">
        <f>ROUNDUP(L374+(L374*Assumptions!L$5),-2)</f>
        <v>0</v>
      </c>
      <c r="N374" s="9">
        <f>ROUNDUP(M374+(M374*Assumptions!M$5),-2)</f>
        <v>0</v>
      </c>
      <c r="O374" s="89">
        <f>ROUNDUP(N374+(N374*Assumptions!N$5),-2)</f>
        <v>0</v>
      </c>
      <c r="P374" s="9">
        <f>ROUNDUP(O374+(O374*Assumptions!O$5),-2)</f>
        <v>0</v>
      </c>
      <c r="Q374" s="9">
        <f>ROUNDUP(P374+(P374*Assumptions!P$5),-2)</f>
        <v>0</v>
      </c>
      <c r="R374" s="9">
        <f>ROUNDUP(Q374+(Q374*Assumptions!Q$5),-2)</f>
        <v>0</v>
      </c>
      <c r="S374" s="47">
        <f>ROUNDUP(R374+(R374*Assumptions!R$5),-2)</f>
        <v>0</v>
      </c>
    </row>
    <row r="375" spans="1:19" ht="12.75" customHeight="1" x14ac:dyDescent="0.2">
      <c r="A375" s="54">
        <v>0</v>
      </c>
      <c r="B375" s="9">
        <v>0</v>
      </c>
      <c r="C375" s="9">
        <v>0</v>
      </c>
      <c r="D375" s="9">
        <v>0</v>
      </c>
      <c r="E375" s="9">
        <v>0</v>
      </c>
      <c r="F375" s="773" t="s">
        <v>7208</v>
      </c>
      <c r="G375" s="1151" t="s">
        <v>6933</v>
      </c>
      <c r="H375" s="9">
        <v>50000</v>
      </c>
      <c r="I375" s="85">
        <f t="shared" si="404"/>
        <v>100</v>
      </c>
      <c r="J375" s="9">
        <v>0</v>
      </c>
      <c r="K375" s="9">
        <f>ROUNDUP(J375+(J375*Assumptions!J$5),-2)</f>
        <v>0</v>
      </c>
      <c r="L375" s="9">
        <f>ROUNDUP(K375+(K375*Assumptions!K$5),-2)</f>
        <v>0</v>
      </c>
      <c r="M375" s="9">
        <f>ROUNDUP(L375+(L375*Assumptions!L$5),-2)</f>
        <v>0</v>
      </c>
      <c r="N375" s="9">
        <f>ROUNDUP(M375+(M375*Assumptions!M$5),-2)</f>
        <v>0</v>
      </c>
      <c r="O375" s="89">
        <f>ROUNDUP(N375+(N375*Assumptions!N$5),-2)</f>
        <v>0</v>
      </c>
      <c r="P375" s="9">
        <f>ROUNDUP(O375+(O375*Assumptions!O$5),-2)</f>
        <v>0</v>
      </c>
      <c r="Q375" s="9">
        <f>ROUNDUP(P375+(P375*Assumptions!P$5),-2)</f>
        <v>0</v>
      </c>
      <c r="R375" s="9">
        <f>ROUNDUP(Q375+(Q375*Assumptions!Q$5),-2)</f>
        <v>0</v>
      </c>
      <c r="S375" s="47">
        <f>ROUNDUP(R375+(R375*Assumptions!R$5),-2)</f>
        <v>0</v>
      </c>
    </row>
    <row r="376" spans="1:19" ht="12.75" customHeight="1" x14ac:dyDescent="0.2">
      <c r="A376" s="54">
        <v>0</v>
      </c>
      <c r="B376" s="9">
        <v>0</v>
      </c>
      <c r="C376" s="9">
        <v>0</v>
      </c>
      <c r="D376" s="79">
        <f>5362+38</f>
        <v>5400</v>
      </c>
      <c r="E376" s="9">
        <v>0</v>
      </c>
      <c r="F376" s="773" t="s">
        <v>7250</v>
      </c>
      <c r="G376" s="1151" t="s">
        <v>11908</v>
      </c>
      <c r="H376" s="9">
        <v>10000</v>
      </c>
      <c r="I376" s="85">
        <f t="shared" si="404"/>
        <v>100</v>
      </c>
      <c r="J376" s="9">
        <v>0</v>
      </c>
      <c r="K376" s="9">
        <f>ROUNDUP(J376+(J376*Assumptions!J$5),-2)</f>
        <v>0</v>
      </c>
      <c r="L376" s="9">
        <f>ROUNDUP(K376+(K376*Assumptions!K$5),-2)</f>
        <v>0</v>
      </c>
      <c r="M376" s="9">
        <f>ROUNDUP(L376+(L376*Assumptions!L$5),-2)</f>
        <v>0</v>
      </c>
      <c r="N376" s="9">
        <f>ROUNDUP(M376+(M376*Assumptions!M$5),-2)</f>
        <v>0</v>
      </c>
      <c r="O376" s="89">
        <f>ROUNDUP(N376+(N376*Assumptions!N$5),-2)</f>
        <v>0</v>
      </c>
      <c r="P376" s="9">
        <f>ROUNDUP(O376+(O376*Assumptions!O$5),-2)</f>
        <v>0</v>
      </c>
      <c r="Q376" s="9">
        <f>ROUNDUP(P376+(P376*Assumptions!P$5),-2)</f>
        <v>0</v>
      </c>
      <c r="R376" s="9">
        <f>ROUNDUP(Q376+(Q376*Assumptions!Q$5),-2)</f>
        <v>0</v>
      </c>
      <c r="S376" s="47">
        <f>ROUNDUP(R376+(R376*Assumptions!R$5),-2)</f>
        <v>0</v>
      </c>
    </row>
    <row r="377" spans="1:19" ht="12.75" customHeight="1" thickBot="1" x14ac:dyDescent="0.25">
      <c r="A377" s="1433"/>
      <c r="B377" s="929"/>
      <c r="C377" s="929"/>
      <c r="D377" s="929"/>
      <c r="E377" s="929"/>
      <c r="F377" s="1183"/>
      <c r="G377" s="929"/>
      <c r="H377" s="1184"/>
      <c r="I377" s="929"/>
      <c r="J377" s="1184"/>
      <c r="K377" s="1184"/>
      <c r="L377" s="1184"/>
      <c r="M377" s="1184"/>
      <c r="N377" s="1184"/>
      <c r="O377" s="1184"/>
      <c r="P377" s="1184"/>
      <c r="Q377" s="1184"/>
      <c r="R377" s="1184"/>
      <c r="S377" s="2354"/>
    </row>
    <row r="378" spans="1:19" s="38" customFormat="1" ht="19.5" thickTop="1" thickBot="1" x14ac:dyDescent="0.3">
      <c r="A378" s="2588" t="s">
        <v>4480</v>
      </c>
      <c r="B378" s="2589"/>
      <c r="C378" s="2589"/>
      <c r="D378" s="2589"/>
      <c r="E378" s="2589"/>
      <c r="F378" s="2589"/>
      <c r="G378" s="2589"/>
      <c r="H378" s="2589"/>
      <c r="I378" s="2589"/>
      <c r="J378" s="2589"/>
      <c r="K378" s="2589"/>
      <c r="L378" s="2589"/>
      <c r="M378" s="2589"/>
      <c r="N378" s="2589"/>
      <c r="O378" s="2589"/>
      <c r="P378" s="2589"/>
      <c r="Q378" s="2589"/>
      <c r="R378" s="2589"/>
      <c r="S378" s="2590"/>
    </row>
    <row r="379" spans="1:19" s="39" customFormat="1" ht="12.75" customHeight="1" x14ac:dyDescent="0.2">
      <c r="A379" s="2591" t="s">
        <v>1824</v>
      </c>
      <c r="B379" s="2577"/>
      <c r="C379" s="2577"/>
      <c r="D379" s="2577"/>
      <c r="E379" s="2592"/>
      <c r="F379" s="2231" t="s">
        <v>2616</v>
      </c>
      <c r="G379" s="188" t="s">
        <v>2213</v>
      </c>
      <c r="H379" s="2576" t="s">
        <v>2215</v>
      </c>
      <c r="I379" s="2577"/>
      <c r="J379" s="2577"/>
      <c r="K379" s="2577"/>
      <c r="L379" s="2577"/>
      <c r="M379" s="2577"/>
      <c r="N379" s="2577"/>
      <c r="O379" s="2577"/>
      <c r="P379" s="2577"/>
      <c r="Q379" s="2577"/>
      <c r="R379" s="2577"/>
      <c r="S379" s="2578"/>
    </row>
    <row r="380" spans="1:19" ht="12.75" customHeight="1" thickBot="1" x14ac:dyDescent="0.25">
      <c r="A380" s="1011" t="str">
        <f>A$3</f>
        <v>2012/13</v>
      </c>
      <c r="B380" s="28" t="str">
        <f>B$3</f>
        <v>2013/14</v>
      </c>
      <c r="C380" s="40" t="str">
        <f>C$3</f>
        <v>2014/15</v>
      </c>
      <c r="D380" s="40" t="str">
        <f>D$3</f>
        <v>2015/16</v>
      </c>
      <c r="E380" s="40" t="str">
        <f t="shared" ref="E380" si="405">E$3</f>
        <v>2016/17</v>
      </c>
      <c r="F380" s="2008" t="str">
        <f>F317</f>
        <v>ACCOUNT</v>
      </c>
      <c r="G380" s="41"/>
      <c r="H380" s="40" t="str">
        <f t="shared" ref="H380:S380" si="406">H$3</f>
        <v>2017/18</v>
      </c>
      <c r="I380" s="1258" t="str">
        <f t="shared" si="406"/>
        <v>%</v>
      </c>
      <c r="J380" s="40" t="str">
        <f t="shared" si="406"/>
        <v>2018/19</v>
      </c>
      <c r="K380" s="40" t="str">
        <f t="shared" si="406"/>
        <v>2019/20</v>
      </c>
      <c r="L380" s="40" t="str">
        <f t="shared" si="406"/>
        <v>2020/21</v>
      </c>
      <c r="M380" s="40" t="str">
        <f t="shared" si="406"/>
        <v>2021/22</v>
      </c>
      <c r="N380" s="40" t="str">
        <f t="shared" si="406"/>
        <v>2022/23</v>
      </c>
      <c r="O380" s="40" t="str">
        <f t="shared" si="406"/>
        <v>2023/24</v>
      </c>
      <c r="P380" s="40" t="str">
        <f t="shared" si="406"/>
        <v>2024/25</v>
      </c>
      <c r="Q380" s="28" t="str">
        <f t="shared" si="406"/>
        <v>2025/26</v>
      </c>
      <c r="R380" s="28" t="str">
        <f t="shared" si="406"/>
        <v>2026/27</v>
      </c>
      <c r="S380" s="1620" t="str">
        <f t="shared" si="406"/>
        <v>2027/28</v>
      </c>
    </row>
    <row r="381" spans="1:19" ht="12.75" customHeight="1" x14ac:dyDescent="0.2">
      <c r="A381" s="54"/>
      <c r="B381" s="9"/>
      <c r="C381" s="9"/>
      <c r="D381" s="9"/>
      <c r="E381" s="134"/>
      <c r="F381" s="483"/>
      <c r="G381" s="1174"/>
      <c r="H381" s="9"/>
      <c r="I381" s="85"/>
      <c r="J381" s="9"/>
      <c r="K381" s="9"/>
      <c r="L381" s="9"/>
      <c r="M381" s="9"/>
      <c r="N381" s="9"/>
      <c r="O381" s="9"/>
      <c r="P381" s="9"/>
      <c r="Q381" s="9"/>
      <c r="R381" s="9"/>
      <c r="S381" s="61"/>
    </row>
    <row r="382" spans="1:19" ht="12.75" customHeight="1" x14ac:dyDescent="0.2">
      <c r="A382" s="54"/>
      <c r="B382" s="9"/>
      <c r="C382" s="9"/>
      <c r="D382" s="9"/>
      <c r="E382" s="9"/>
      <c r="F382" s="167"/>
      <c r="G382" s="257"/>
      <c r="H382" s="9"/>
      <c r="I382" s="85"/>
      <c r="J382" s="89"/>
      <c r="K382" s="9"/>
      <c r="L382" s="9"/>
      <c r="M382" s="9"/>
      <c r="N382" s="9"/>
      <c r="O382" s="89"/>
      <c r="P382" s="9"/>
      <c r="Q382" s="9"/>
      <c r="R382" s="9"/>
      <c r="S382" s="61"/>
    </row>
    <row r="383" spans="1:19" ht="12.75" customHeight="1" x14ac:dyDescent="0.2">
      <c r="A383" s="54"/>
      <c r="B383" s="9"/>
      <c r="C383" s="9"/>
      <c r="D383" s="9"/>
      <c r="E383" s="9"/>
      <c r="F383" s="167"/>
      <c r="G383" s="780" t="s">
        <v>3023</v>
      </c>
      <c r="H383" s="9"/>
      <c r="I383" s="85"/>
      <c r="J383" s="89"/>
      <c r="K383" s="9"/>
      <c r="L383" s="9"/>
      <c r="M383" s="9"/>
      <c r="N383" s="9"/>
      <c r="O383" s="89"/>
      <c r="P383" s="9"/>
      <c r="Q383" s="9"/>
      <c r="R383" s="9"/>
      <c r="S383" s="61"/>
    </row>
    <row r="384" spans="1:19" ht="12.75" customHeight="1" x14ac:dyDescent="0.2">
      <c r="A384" s="54">
        <v>0</v>
      </c>
      <c r="B384" s="9">
        <v>1500</v>
      </c>
      <c r="C384" s="9">
        <v>4500</v>
      </c>
      <c r="D384" s="9">
        <f>12134-34</f>
        <v>12100</v>
      </c>
      <c r="E384" s="144">
        <v>10800</v>
      </c>
      <c r="F384" s="167" t="s">
        <v>2052</v>
      </c>
      <c r="G384" s="634" t="s">
        <v>6481</v>
      </c>
      <c r="H384" s="9">
        <f>H321</f>
        <v>20000</v>
      </c>
      <c r="I384" s="85">
        <f>IF(E384=H384,0,IF(E384=0,100,(H384-E384)/E384*100))</f>
        <v>85.18518518518519</v>
      </c>
      <c r="J384" s="89">
        <f t="shared" ref="J384:S384" si="407">J321</f>
        <v>20000</v>
      </c>
      <c r="K384" s="9">
        <f t="shared" si="407"/>
        <v>20500</v>
      </c>
      <c r="L384" s="9">
        <f t="shared" si="407"/>
        <v>21100</v>
      </c>
      <c r="M384" s="9">
        <f t="shared" si="407"/>
        <v>21700</v>
      </c>
      <c r="N384" s="9">
        <f t="shared" si="407"/>
        <v>22300</v>
      </c>
      <c r="O384" s="9">
        <f t="shared" si="407"/>
        <v>22900</v>
      </c>
      <c r="P384" s="9">
        <f t="shared" si="407"/>
        <v>23500</v>
      </c>
      <c r="Q384" s="9">
        <f t="shared" si="407"/>
        <v>24100</v>
      </c>
      <c r="R384" s="9">
        <f t="shared" si="407"/>
        <v>24800</v>
      </c>
      <c r="S384" s="47">
        <f t="shared" si="407"/>
        <v>25500</v>
      </c>
    </row>
    <row r="385" spans="1:19" ht="12.75" customHeight="1" x14ac:dyDescent="0.2">
      <c r="A385" s="54">
        <v>1800</v>
      </c>
      <c r="B385" s="9">
        <v>4300</v>
      </c>
      <c r="C385" s="9">
        <v>4000</v>
      </c>
      <c r="D385" s="9">
        <v>0</v>
      </c>
      <c r="E385" s="9">
        <v>0</v>
      </c>
      <c r="F385" s="167" t="s">
        <v>772</v>
      </c>
      <c r="G385" s="634" t="s">
        <v>4392</v>
      </c>
      <c r="H385" s="9">
        <v>4000</v>
      </c>
      <c r="I385" s="85">
        <f>IF(E385=H385,0,IF(E385=0,100,(H385-E385)/E385*100))</f>
        <v>100</v>
      </c>
      <c r="J385" s="89">
        <v>0</v>
      </c>
      <c r="K385" s="9">
        <f>ROUNDUP(J385+(J385*Assumptions!J$5),-2)</f>
        <v>0</v>
      </c>
      <c r="L385" s="9">
        <f>ROUNDUP(K385+(K385*Assumptions!K$5),-2)</f>
        <v>0</v>
      </c>
      <c r="M385" s="9">
        <f>ROUNDUP(L385+(L385*Assumptions!L$5),-2)</f>
        <v>0</v>
      </c>
      <c r="N385" s="9">
        <f>ROUNDUP(M385+(M385*Assumptions!M$5),-2)</f>
        <v>0</v>
      </c>
      <c r="O385" s="89">
        <f>ROUNDUP(N385+(N385*Assumptions!N$5),-2)</f>
        <v>0</v>
      </c>
      <c r="P385" s="9">
        <f>ROUNDUP(O385+(O385*Assumptions!O$5),-2)</f>
        <v>0</v>
      </c>
      <c r="Q385" s="9">
        <f>ROUNDUP(P385+(P385*Assumptions!P$5),-2)</f>
        <v>0</v>
      </c>
      <c r="R385" s="9">
        <f>ROUNDUP(Q385+(Q385*Assumptions!Q$5),-2)</f>
        <v>0</v>
      </c>
      <c r="S385" s="47">
        <f>ROUNDUP(R385+(R385*Assumptions!R$5),-2)</f>
        <v>0</v>
      </c>
    </row>
    <row r="386" spans="1:19" ht="12.75" customHeight="1" x14ac:dyDescent="0.2">
      <c r="A386" s="54">
        <f>7000+500+500+4800</f>
        <v>12800</v>
      </c>
      <c r="B386" s="79">
        <f>1000+15000+2500+100</f>
        <v>18600</v>
      </c>
      <c r="C386" s="9">
        <v>0</v>
      </c>
      <c r="D386" s="9">
        <v>8500</v>
      </c>
      <c r="E386" s="9">
        <v>0</v>
      </c>
      <c r="F386" s="773" t="s">
        <v>1492</v>
      </c>
      <c r="G386" s="634" t="s">
        <v>3480</v>
      </c>
      <c r="H386" s="9">
        <v>0</v>
      </c>
      <c r="I386" s="85">
        <f>IF(E386=H386,0,IF(E386=0,100,(H386-E386)/E386*100))</f>
        <v>0</v>
      </c>
      <c r="J386" s="89">
        <f>ROUNDUP(H386+(H386*Assumptions!I$5),-2)</f>
        <v>0</v>
      </c>
      <c r="K386" s="9">
        <f>ROUNDUP(J386+(J386*Assumptions!J$5),-2)</f>
        <v>0</v>
      </c>
      <c r="L386" s="9">
        <f>ROUNDUP(K386+(K386*Assumptions!K$5),-2)</f>
        <v>0</v>
      </c>
      <c r="M386" s="9">
        <f>ROUNDUP(L386+(L386*Assumptions!L$5),-2)</f>
        <v>0</v>
      </c>
      <c r="N386" s="9">
        <f>ROUNDUP(M386+(M386*Assumptions!M$5),-2)</f>
        <v>0</v>
      </c>
      <c r="O386" s="89">
        <f>ROUNDUP(N386+(N386*Assumptions!N$5),-2)</f>
        <v>0</v>
      </c>
      <c r="P386" s="9">
        <f>ROUNDUP(O386+(O386*Assumptions!O$5),-2)</f>
        <v>0</v>
      </c>
      <c r="Q386" s="9">
        <f>ROUNDUP(P386+(P386*Assumptions!P$5),-2)</f>
        <v>0</v>
      </c>
      <c r="R386" s="9">
        <f>ROUNDUP(Q386+(Q386*Assumptions!Q$5),-2)</f>
        <v>0</v>
      </c>
      <c r="S386" s="47">
        <f>ROUNDUP(R386+(R386*Assumptions!R$5),-2)</f>
        <v>0</v>
      </c>
    </row>
    <row r="387" spans="1:19" ht="12.75" customHeight="1" x14ac:dyDescent="0.2">
      <c r="A387" s="54">
        <v>0</v>
      </c>
      <c r="B387" s="79">
        <v>0</v>
      </c>
      <c r="C387" s="9">
        <v>0</v>
      </c>
      <c r="D387" s="9">
        <v>0</v>
      </c>
      <c r="E387" s="9">
        <v>0</v>
      </c>
      <c r="F387" s="773" t="s">
        <v>7259</v>
      </c>
      <c r="G387" s="634" t="s">
        <v>7260</v>
      </c>
      <c r="H387" s="9">
        <v>3500</v>
      </c>
      <c r="I387" s="85">
        <f>IF(E387=H387,0,IF(E387=0,100,(H387-E387)/E387*100))</f>
        <v>100</v>
      </c>
      <c r="J387" s="89">
        <v>0</v>
      </c>
      <c r="K387" s="9">
        <f>ROUNDUP(J387+(J387*Assumptions!J$5),-2)</f>
        <v>0</v>
      </c>
      <c r="L387" s="9">
        <f>ROUNDUP(K387+(K387*Assumptions!K$5),-2)</f>
        <v>0</v>
      </c>
      <c r="M387" s="9">
        <f>ROUNDUP(L387+(L387*Assumptions!L$5),-2)</f>
        <v>0</v>
      </c>
      <c r="N387" s="9">
        <f>ROUNDUP(M387+(M387*Assumptions!M$5),-2)</f>
        <v>0</v>
      </c>
      <c r="O387" s="89">
        <f>ROUNDUP(N387+(N387*Assumptions!N$5),-2)</f>
        <v>0</v>
      </c>
      <c r="P387" s="9">
        <f>ROUNDUP(O387+(O387*Assumptions!O$5),-2)</f>
        <v>0</v>
      </c>
      <c r="Q387" s="9">
        <f>ROUNDUP(P387+(P387*Assumptions!P$5),-2)</f>
        <v>0</v>
      </c>
      <c r="R387" s="9">
        <f>ROUNDUP(Q387+(Q387*Assumptions!Q$5),-2)</f>
        <v>0</v>
      </c>
      <c r="S387" s="47">
        <f>ROUNDUP(R387+(R387*Assumptions!R$5),-2)</f>
        <v>0</v>
      </c>
    </row>
    <row r="388" spans="1:19" ht="12.75" customHeight="1" x14ac:dyDescent="0.2">
      <c r="A388" s="54">
        <v>0</v>
      </c>
      <c r="B388" s="79">
        <v>0</v>
      </c>
      <c r="C388" s="9">
        <v>0</v>
      </c>
      <c r="D388" s="9">
        <v>0</v>
      </c>
      <c r="E388" s="9">
        <v>15100</v>
      </c>
      <c r="F388" s="773" t="s">
        <v>8878</v>
      </c>
      <c r="G388" s="634" t="s">
        <v>11795</v>
      </c>
      <c r="H388" s="9">
        <v>0</v>
      </c>
      <c r="I388" s="85">
        <f>IF(E388=H388,0,IF(E388=0,100,(H388-E388)/E388*100))</f>
        <v>-100</v>
      </c>
      <c r="J388" s="89">
        <f>ROUNDUP(H388+(H388*Assumptions!I$5),-2)</f>
        <v>0</v>
      </c>
      <c r="K388" s="9">
        <f>ROUNDUP(J388+(J388*Assumptions!J$5),-2)</f>
        <v>0</v>
      </c>
      <c r="L388" s="9">
        <f>ROUNDUP(K388+(K388*Assumptions!K$5),-2)</f>
        <v>0</v>
      </c>
      <c r="M388" s="9">
        <f>ROUNDUP(L388+(L388*Assumptions!L$5),-2)</f>
        <v>0</v>
      </c>
      <c r="N388" s="9">
        <f>ROUNDUP(M388+(M388*Assumptions!M$5),-2)</f>
        <v>0</v>
      </c>
      <c r="O388" s="89">
        <f>ROUNDUP(N388+(N388*Assumptions!N$5),-2)</f>
        <v>0</v>
      </c>
      <c r="P388" s="9">
        <f>ROUNDUP(O388+(O388*Assumptions!O$5),-2)</f>
        <v>0</v>
      </c>
      <c r="Q388" s="9">
        <f>ROUNDUP(P388+(P388*Assumptions!P$5),-2)</f>
        <v>0</v>
      </c>
      <c r="R388" s="9">
        <f>ROUNDUP(Q388+(Q388*Assumptions!Q$5),-2)</f>
        <v>0</v>
      </c>
      <c r="S388" s="47">
        <f>ROUNDUP(R388+(R388*Assumptions!R$5),-2)</f>
        <v>0</v>
      </c>
    </row>
    <row r="389" spans="1:19" ht="12.75" customHeight="1" x14ac:dyDescent="0.2">
      <c r="A389" s="54">
        <v>600</v>
      </c>
      <c r="B389" s="9">
        <v>2300</v>
      </c>
      <c r="C389" s="9">
        <v>0</v>
      </c>
      <c r="D389" s="9">
        <v>0</v>
      </c>
      <c r="E389" s="9">
        <v>0</v>
      </c>
      <c r="F389" s="167" t="s">
        <v>2882</v>
      </c>
      <c r="G389" s="634" t="s">
        <v>4081</v>
      </c>
      <c r="H389" s="9">
        <v>22000</v>
      </c>
      <c r="I389" s="85">
        <f t="shared" ref="I389:I395" si="408">IF(E389=H389,0,IF(E389=0,100,(H389-E389)/E389*100))</f>
        <v>100</v>
      </c>
      <c r="J389" s="89">
        <v>0</v>
      </c>
      <c r="K389" s="9">
        <f>ROUNDUP(J389+(J389*Assumptions!J$5),-2)</f>
        <v>0</v>
      </c>
      <c r="L389" s="9">
        <f>ROUNDUP(K389+(K389*Assumptions!K$5),-2)</f>
        <v>0</v>
      </c>
      <c r="M389" s="9">
        <f>ROUNDUP(L389+(L389*Assumptions!L$5),-2)</f>
        <v>0</v>
      </c>
      <c r="N389" s="9">
        <f>ROUNDUP(M389+(M389*Assumptions!M$5),-2)</f>
        <v>0</v>
      </c>
      <c r="O389" s="89">
        <f>ROUNDUP(N389+(N389*Assumptions!N$5),-2)</f>
        <v>0</v>
      </c>
      <c r="P389" s="9">
        <f>ROUNDUP(O389+(O389*Assumptions!O$5),-2)</f>
        <v>0</v>
      </c>
      <c r="Q389" s="9">
        <f>ROUNDUP(P389+(P389*Assumptions!P$5),-2)</f>
        <v>0</v>
      </c>
      <c r="R389" s="9">
        <f>ROUNDUP(Q389+(Q389*Assumptions!Q$5),-2)</f>
        <v>0</v>
      </c>
      <c r="S389" s="47">
        <f>ROUNDUP(R389+(R389*Assumptions!R$5),-2)</f>
        <v>0</v>
      </c>
    </row>
    <row r="390" spans="1:19" ht="12.75" customHeight="1" x14ac:dyDescent="0.2">
      <c r="A390" s="54">
        <v>0</v>
      </c>
      <c r="B390" s="79">
        <v>4600</v>
      </c>
      <c r="C390" s="79">
        <v>0</v>
      </c>
      <c r="D390" s="9">
        <f>15910-10</f>
        <v>15900</v>
      </c>
      <c r="E390" s="9">
        <v>7300</v>
      </c>
      <c r="F390" s="773" t="s">
        <v>3805</v>
      </c>
      <c r="G390" s="634" t="s">
        <v>4082</v>
      </c>
      <c r="H390" s="9">
        <f>10300+11000</f>
        <v>21300</v>
      </c>
      <c r="I390" s="85">
        <f t="shared" si="408"/>
        <v>191.7808219178082</v>
      </c>
      <c r="J390" s="89">
        <v>0</v>
      </c>
      <c r="K390" s="9">
        <f>ROUNDUP(J390+(J390*Assumptions!J$5),-2)</f>
        <v>0</v>
      </c>
      <c r="L390" s="9">
        <f>ROUNDUP(K390+(K390*Assumptions!K$5),-2)</f>
        <v>0</v>
      </c>
      <c r="M390" s="9">
        <f>ROUNDUP(L390+(L390*Assumptions!L$5),-2)</f>
        <v>0</v>
      </c>
      <c r="N390" s="9">
        <f>ROUNDUP(M390+(M390*Assumptions!M$5),-2)</f>
        <v>0</v>
      </c>
      <c r="O390" s="89">
        <f>ROUNDUP(N390+(N390*Assumptions!N$5),-2)</f>
        <v>0</v>
      </c>
      <c r="P390" s="9">
        <f>ROUNDUP(O390+(O390*Assumptions!O$5),-2)</f>
        <v>0</v>
      </c>
      <c r="Q390" s="9">
        <f>ROUNDUP(P390+(P390*Assumptions!P$5),-2)</f>
        <v>0</v>
      </c>
      <c r="R390" s="9">
        <f>ROUNDUP(Q390+(Q390*Assumptions!Q$5),-2)</f>
        <v>0</v>
      </c>
      <c r="S390" s="47">
        <f>ROUNDUP(R390+(R390*Assumptions!R$5),-2)</f>
        <v>0</v>
      </c>
    </row>
    <row r="391" spans="1:19" ht="12.75" customHeight="1" x14ac:dyDescent="0.2">
      <c r="A391" s="54">
        <v>0</v>
      </c>
      <c r="B391" s="79">
        <v>0</v>
      </c>
      <c r="C391" s="79">
        <v>0</v>
      </c>
      <c r="D391" s="9">
        <f>3414-14</f>
        <v>3400</v>
      </c>
      <c r="E391" s="9">
        <v>0</v>
      </c>
      <c r="F391" s="773" t="s">
        <v>4115</v>
      </c>
      <c r="G391" s="634" t="s">
        <v>4131</v>
      </c>
      <c r="H391" s="9">
        <v>10000</v>
      </c>
      <c r="I391" s="85">
        <f t="shared" si="408"/>
        <v>100</v>
      </c>
      <c r="J391" s="89">
        <v>0</v>
      </c>
      <c r="K391" s="9">
        <f>ROUNDUP(J391+(J391*Assumptions!J$5),-2)</f>
        <v>0</v>
      </c>
      <c r="L391" s="9">
        <f>ROUNDUP(K391+(K391*Assumptions!K$5),-2)</f>
        <v>0</v>
      </c>
      <c r="M391" s="9">
        <f>ROUNDUP(L391+(L391*Assumptions!L$5),-2)</f>
        <v>0</v>
      </c>
      <c r="N391" s="9">
        <f>ROUNDUP(M391+(M391*Assumptions!M$5),-2)</f>
        <v>0</v>
      </c>
      <c r="O391" s="89">
        <f>ROUNDUP(N391+(N391*Assumptions!N$5),-2)</f>
        <v>0</v>
      </c>
      <c r="P391" s="9">
        <f>ROUNDUP(O391+(O391*Assumptions!O$5),-2)</f>
        <v>0</v>
      </c>
      <c r="Q391" s="9">
        <f>ROUNDUP(P391+(P391*Assumptions!P$5),-2)</f>
        <v>0</v>
      </c>
      <c r="R391" s="9">
        <f>ROUNDUP(Q391+(Q391*Assumptions!Q$5),-2)</f>
        <v>0</v>
      </c>
      <c r="S391" s="47">
        <f>ROUNDUP(R391+(R391*Assumptions!R$5),-2)</f>
        <v>0</v>
      </c>
    </row>
    <row r="392" spans="1:19" ht="12.75" customHeight="1" x14ac:dyDescent="0.2">
      <c r="A392" s="54">
        <v>0</v>
      </c>
      <c r="B392" s="79">
        <v>0</v>
      </c>
      <c r="C392" s="79">
        <v>12700</v>
      </c>
      <c r="D392" s="9">
        <f>6555-55</f>
        <v>6500</v>
      </c>
      <c r="E392" s="9">
        <v>0</v>
      </c>
      <c r="F392" s="773" t="s">
        <v>4114</v>
      </c>
      <c r="G392" s="634" t="s">
        <v>5226</v>
      </c>
      <c r="H392" s="9">
        <v>21900</v>
      </c>
      <c r="I392" s="85">
        <f t="shared" si="408"/>
        <v>100</v>
      </c>
      <c r="J392" s="89">
        <v>0</v>
      </c>
      <c r="K392" s="9">
        <f>ROUNDUP(J392+(J392*Assumptions!J$5),-2)</f>
        <v>0</v>
      </c>
      <c r="L392" s="9">
        <f>ROUNDUP(K392+(K392*Assumptions!K$5),-2)</f>
        <v>0</v>
      </c>
      <c r="M392" s="9">
        <f>ROUNDUP(L392+(L392*Assumptions!L$5),-2)</f>
        <v>0</v>
      </c>
      <c r="N392" s="9">
        <f>ROUNDUP(M392+(M392*Assumptions!M$5),-2)</f>
        <v>0</v>
      </c>
      <c r="O392" s="89">
        <f>ROUNDUP(N392+(N392*Assumptions!N$5),-2)</f>
        <v>0</v>
      </c>
      <c r="P392" s="9">
        <f>ROUNDUP(O392+(O392*Assumptions!O$5),-2)</f>
        <v>0</v>
      </c>
      <c r="Q392" s="9">
        <f>ROUNDUP(P392+(P392*Assumptions!P$5),-2)</f>
        <v>0</v>
      </c>
      <c r="R392" s="9">
        <f>ROUNDUP(Q392+(Q392*Assumptions!Q$5),-2)</f>
        <v>0</v>
      </c>
      <c r="S392" s="47">
        <f>ROUNDUP(R392+(R392*Assumptions!R$5),-2)</f>
        <v>0</v>
      </c>
    </row>
    <row r="393" spans="1:19" ht="12.75" customHeight="1" x14ac:dyDescent="0.2">
      <c r="A393" s="54">
        <v>0</v>
      </c>
      <c r="B393" s="79">
        <v>0</v>
      </c>
      <c r="C393" s="79">
        <v>0</v>
      </c>
      <c r="D393" s="9">
        <f>11220-20</f>
        <v>11200</v>
      </c>
      <c r="E393" s="9">
        <v>3200</v>
      </c>
      <c r="F393" s="773" t="s">
        <v>4797</v>
      </c>
      <c r="G393" s="634" t="s">
        <v>5225</v>
      </c>
      <c r="H393" s="9">
        <v>7700</v>
      </c>
      <c r="I393" s="85">
        <f t="shared" si="408"/>
        <v>140.625</v>
      </c>
      <c r="J393" s="89">
        <v>0</v>
      </c>
      <c r="K393" s="9">
        <f>ROUNDUP(J393+(J393*Assumptions!J$5),-2)</f>
        <v>0</v>
      </c>
      <c r="L393" s="9">
        <f>ROUNDUP(K393+(K393*Assumptions!K$5),-2)</f>
        <v>0</v>
      </c>
      <c r="M393" s="9">
        <f>ROUNDUP(L393+(L393*Assumptions!L$5),-2)</f>
        <v>0</v>
      </c>
      <c r="N393" s="9">
        <f>ROUNDUP(M393+(M393*Assumptions!M$5),-2)</f>
        <v>0</v>
      </c>
      <c r="O393" s="89">
        <f>ROUNDUP(N393+(N393*Assumptions!N$5),-2)</f>
        <v>0</v>
      </c>
      <c r="P393" s="9">
        <f>ROUNDUP(O393+(O393*Assumptions!O$5),-2)</f>
        <v>0</v>
      </c>
      <c r="Q393" s="9">
        <f>ROUNDUP(P393+(P393*Assumptions!P$5),-2)</f>
        <v>0</v>
      </c>
      <c r="R393" s="9">
        <f>ROUNDUP(Q393+(Q393*Assumptions!Q$5),-2)</f>
        <v>0</v>
      </c>
      <c r="S393" s="47">
        <f>ROUNDUP(R393+(R393*Assumptions!R$5),-2)</f>
        <v>0</v>
      </c>
    </row>
    <row r="394" spans="1:19" ht="12.75" customHeight="1" x14ac:dyDescent="0.2">
      <c r="A394" s="54">
        <v>0</v>
      </c>
      <c r="B394" s="79">
        <v>0</v>
      </c>
      <c r="C394" s="79">
        <v>0</v>
      </c>
      <c r="D394" s="9">
        <f>3810-10</f>
        <v>3800</v>
      </c>
      <c r="E394" s="9">
        <v>3000</v>
      </c>
      <c r="F394" s="773" t="s">
        <v>4943</v>
      </c>
      <c r="G394" s="634" t="s">
        <v>6475</v>
      </c>
      <c r="H394" s="9">
        <v>12100</v>
      </c>
      <c r="I394" s="85">
        <f t="shared" si="408"/>
        <v>303.33333333333331</v>
      </c>
      <c r="J394" s="89">
        <v>0</v>
      </c>
      <c r="K394" s="9">
        <f>ROUNDUP(J394+(J394*Assumptions!J$5),-2)</f>
        <v>0</v>
      </c>
      <c r="L394" s="9">
        <f>ROUNDUP(K394+(K394*Assumptions!K$5),-2)</f>
        <v>0</v>
      </c>
      <c r="M394" s="9">
        <f>ROUNDUP(L394+(L394*Assumptions!L$5),-2)</f>
        <v>0</v>
      </c>
      <c r="N394" s="9">
        <f>ROUNDUP(M394+(M394*Assumptions!M$5),-2)</f>
        <v>0</v>
      </c>
      <c r="O394" s="89">
        <f>ROUNDUP(N394+(N394*Assumptions!N$5),-2)</f>
        <v>0</v>
      </c>
      <c r="P394" s="9">
        <f>ROUNDUP(O394+(O394*Assumptions!O$5),-2)</f>
        <v>0</v>
      </c>
      <c r="Q394" s="9">
        <f>ROUNDUP(P394+(P394*Assumptions!P$5),-2)</f>
        <v>0</v>
      </c>
      <c r="R394" s="9">
        <f>ROUNDUP(Q394+(Q394*Assumptions!Q$5),-2)</f>
        <v>0</v>
      </c>
      <c r="S394" s="47">
        <f>ROUNDUP(R394+(R394*Assumptions!R$5),-2)</f>
        <v>0</v>
      </c>
    </row>
    <row r="395" spans="1:19" ht="12.75" customHeight="1" x14ac:dyDescent="0.2">
      <c r="A395" s="54">
        <v>0</v>
      </c>
      <c r="B395" s="79">
        <v>0</v>
      </c>
      <c r="C395" s="79">
        <v>0</v>
      </c>
      <c r="D395" s="9">
        <v>0</v>
      </c>
      <c r="E395" s="9">
        <v>8900</v>
      </c>
      <c r="F395" s="773" t="s">
        <v>8505</v>
      </c>
      <c r="G395" s="634" t="s">
        <v>11909</v>
      </c>
      <c r="H395" s="9">
        <v>0</v>
      </c>
      <c r="I395" s="85">
        <f t="shared" si="408"/>
        <v>-100</v>
      </c>
      <c r="J395" s="89">
        <f>ROUNDUP(H395+(H395*Assumptions!I$5),-2)</f>
        <v>0</v>
      </c>
      <c r="K395" s="9">
        <f>ROUNDUP(J395+(J395*Assumptions!J$5),-2)</f>
        <v>0</v>
      </c>
      <c r="L395" s="9">
        <f>ROUNDUP(K395+(K395*Assumptions!K$5),-2)</f>
        <v>0</v>
      </c>
      <c r="M395" s="9">
        <f>ROUNDUP(L395+(L395*Assumptions!L$5),-2)</f>
        <v>0</v>
      </c>
      <c r="N395" s="9">
        <f>ROUNDUP(M395+(M395*Assumptions!M$5),-2)</f>
        <v>0</v>
      </c>
      <c r="O395" s="89">
        <f>ROUNDUP(N395+(N395*Assumptions!N$5),-2)</f>
        <v>0</v>
      </c>
      <c r="P395" s="9">
        <f>ROUNDUP(O395+(O395*Assumptions!O$5),-2)</f>
        <v>0</v>
      </c>
      <c r="Q395" s="9">
        <f>ROUNDUP(P395+(P395*Assumptions!P$5),-2)</f>
        <v>0</v>
      </c>
      <c r="R395" s="9">
        <f>ROUNDUP(Q395+(Q395*Assumptions!Q$5),-2)</f>
        <v>0</v>
      </c>
      <c r="S395" s="47">
        <f>ROUNDUP(R395+(R395*Assumptions!R$5),-2)</f>
        <v>0</v>
      </c>
    </row>
    <row r="396" spans="1:19" ht="12.75" customHeight="1" x14ac:dyDescent="0.2">
      <c r="A396" s="54">
        <v>0</v>
      </c>
      <c r="B396" s="79">
        <v>0</v>
      </c>
      <c r="C396" s="79">
        <v>0</v>
      </c>
      <c r="D396" s="9">
        <f>11620-20</f>
        <v>11600</v>
      </c>
      <c r="E396" s="9">
        <v>0</v>
      </c>
      <c r="F396" s="773" t="s">
        <v>5456</v>
      </c>
      <c r="G396" s="634" t="s">
        <v>6476</v>
      </c>
      <c r="H396" s="9">
        <v>14900</v>
      </c>
      <c r="I396" s="85">
        <f>IF(E396=H396,0,IF(E396=0,100,(H396-E396)/E396*100))</f>
        <v>100</v>
      </c>
      <c r="J396" s="89">
        <v>0</v>
      </c>
      <c r="K396" s="9">
        <f>ROUNDUP(J396+(J396*Assumptions!J$5),-2)</f>
        <v>0</v>
      </c>
      <c r="L396" s="9">
        <f>ROUNDUP(K396+(K396*Assumptions!K$5),-2)</f>
        <v>0</v>
      </c>
      <c r="M396" s="9">
        <f>ROUNDUP(L396+(L396*Assumptions!L$5),-2)</f>
        <v>0</v>
      </c>
      <c r="N396" s="9">
        <f>ROUNDUP(M396+(M396*Assumptions!M$5),-2)</f>
        <v>0</v>
      </c>
      <c r="O396" s="89">
        <f>ROUNDUP(N396+(N396*Assumptions!N$5),-2)</f>
        <v>0</v>
      </c>
      <c r="P396" s="9">
        <f>ROUNDUP(O396+(O396*Assumptions!O$5),-2)</f>
        <v>0</v>
      </c>
      <c r="Q396" s="9">
        <f>ROUNDUP(P396+(P396*Assumptions!P$5),-2)</f>
        <v>0</v>
      </c>
      <c r="R396" s="9">
        <f>ROUNDUP(Q396+(Q396*Assumptions!Q$5),-2)</f>
        <v>0</v>
      </c>
      <c r="S396" s="47">
        <f>ROUNDUP(R396+(R396*Assumptions!R$5),-2)</f>
        <v>0</v>
      </c>
    </row>
    <row r="397" spans="1:19" ht="12.75" customHeight="1" x14ac:dyDescent="0.2">
      <c r="A397" s="54">
        <v>0</v>
      </c>
      <c r="B397" s="79">
        <v>0</v>
      </c>
      <c r="C397" s="79">
        <v>0</v>
      </c>
      <c r="D397" s="9">
        <v>0</v>
      </c>
      <c r="E397" s="9">
        <v>0</v>
      </c>
      <c r="F397" s="773" t="s">
        <v>11837</v>
      </c>
      <c r="G397" s="2355" t="s">
        <v>11906</v>
      </c>
      <c r="H397" s="9">
        <v>6500</v>
      </c>
      <c r="I397" s="85">
        <f>IF(E397=H397,0,IF(E397=0,100,(H397-E397)/E397*100))</f>
        <v>100</v>
      </c>
      <c r="J397" s="89">
        <v>0</v>
      </c>
      <c r="K397" s="9">
        <f>ROUNDUP(J397+(J397*Assumptions!J$5),-2)</f>
        <v>0</v>
      </c>
      <c r="L397" s="9">
        <f>ROUNDUP(K397+(K397*Assumptions!K$5),-2)</f>
        <v>0</v>
      </c>
      <c r="M397" s="9">
        <f>ROUNDUP(L397+(L397*Assumptions!L$5),-2)</f>
        <v>0</v>
      </c>
      <c r="N397" s="9">
        <f>ROUNDUP(M397+(M397*Assumptions!M$5),-2)</f>
        <v>0</v>
      </c>
      <c r="O397" s="89">
        <f>ROUNDUP(N397+(N397*Assumptions!N$5),-2)</f>
        <v>0</v>
      </c>
      <c r="P397" s="9">
        <f>ROUNDUP(O397+(O397*Assumptions!O$5),-2)</f>
        <v>0</v>
      </c>
      <c r="Q397" s="9">
        <f>ROUNDUP(P397+(P397*Assumptions!P$5),-2)</f>
        <v>0</v>
      </c>
      <c r="R397" s="9">
        <f>ROUNDUP(Q397+(Q397*Assumptions!Q$5),-2)</f>
        <v>0</v>
      </c>
      <c r="S397" s="47">
        <f>ROUNDUP(R397+(R397*Assumptions!R$5),-2)</f>
        <v>0</v>
      </c>
    </row>
    <row r="398" spans="1:19" ht="12.75" customHeight="1" x14ac:dyDescent="0.2">
      <c r="A398" s="54">
        <v>0</v>
      </c>
      <c r="B398" s="79">
        <v>0</v>
      </c>
      <c r="C398" s="79">
        <v>0</v>
      </c>
      <c r="D398" s="9">
        <v>0</v>
      </c>
      <c r="E398" s="9">
        <v>15000</v>
      </c>
      <c r="F398" s="773" t="s">
        <v>6847</v>
      </c>
      <c r="G398" s="1151" t="s">
        <v>11910</v>
      </c>
      <c r="H398" s="9">
        <v>12300</v>
      </c>
      <c r="I398" s="85">
        <f>IF(E398=H398,0,IF(E398=0,100,(H398-E398)/E398*100))</f>
        <v>-18</v>
      </c>
      <c r="J398" s="9">
        <v>0</v>
      </c>
      <c r="K398" s="9">
        <v>0</v>
      </c>
      <c r="L398" s="9">
        <v>0</v>
      </c>
      <c r="M398" s="9">
        <v>0</v>
      </c>
      <c r="N398" s="9">
        <v>0</v>
      </c>
      <c r="O398" s="9">
        <v>0</v>
      </c>
      <c r="P398" s="9">
        <v>0</v>
      </c>
      <c r="Q398" s="9">
        <v>0</v>
      </c>
      <c r="R398" s="9">
        <v>0</v>
      </c>
      <c r="S398" s="47">
        <v>0</v>
      </c>
    </row>
    <row r="399" spans="1:19" ht="12.75" customHeight="1" x14ac:dyDescent="0.2">
      <c r="A399" s="54"/>
      <c r="B399" s="9"/>
      <c r="C399" s="9"/>
      <c r="D399" s="9"/>
      <c r="E399" s="9"/>
      <c r="F399" s="167"/>
      <c r="G399" s="257"/>
      <c r="H399" s="9"/>
      <c r="I399" s="85"/>
      <c r="J399" s="89"/>
      <c r="K399" s="9"/>
      <c r="L399" s="9"/>
      <c r="M399" s="9"/>
      <c r="N399" s="9"/>
      <c r="O399" s="89"/>
      <c r="P399" s="9"/>
      <c r="Q399" s="9"/>
      <c r="R399" s="9"/>
      <c r="S399" s="47"/>
    </row>
    <row r="400" spans="1:19" ht="12.75" customHeight="1" x14ac:dyDescent="0.2">
      <c r="A400" s="54"/>
      <c r="B400" s="9"/>
      <c r="C400" s="9"/>
      <c r="D400" s="9"/>
      <c r="E400" s="9"/>
      <c r="F400" s="167"/>
      <c r="G400" s="780" t="s">
        <v>7014</v>
      </c>
      <c r="H400" s="9"/>
      <c r="I400" s="85"/>
      <c r="J400" s="89"/>
      <c r="K400" s="9"/>
      <c r="L400" s="9"/>
      <c r="M400" s="9"/>
      <c r="N400" s="9"/>
      <c r="O400" s="89"/>
      <c r="P400" s="9"/>
      <c r="Q400" s="9"/>
      <c r="R400" s="9"/>
      <c r="S400" s="47"/>
    </row>
    <row r="401" spans="1:19" ht="12.75" customHeight="1" x14ac:dyDescent="0.2">
      <c r="A401" s="54">
        <v>23000</v>
      </c>
      <c r="B401" s="9">
        <f>20700+3300</f>
        <v>24000</v>
      </c>
      <c r="C401" s="9">
        <v>16000</v>
      </c>
      <c r="D401" s="9">
        <f>4951+49</f>
        <v>5000</v>
      </c>
      <c r="E401" s="9">
        <v>8400</v>
      </c>
      <c r="F401" s="773" t="s">
        <v>7019</v>
      </c>
      <c r="G401" s="1151" t="s">
        <v>3392</v>
      </c>
      <c r="H401" s="9">
        <v>15000</v>
      </c>
      <c r="I401" s="85">
        <f>IF(E401=H401,0,IF(E401=0,100,(H401-E401)/E401*100))</f>
        <v>78.571428571428569</v>
      </c>
      <c r="J401" s="89">
        <v>15000</v>
      </c>
      <c r="K401" s="9">
        <f>ROUNDUP(J401+(J401*Assumptions!J$5),-2)</f>
        <v>15400</v>
      </c>
      <c r="L401" s="9">
        <f>ROUNDUP(K401+(K401*Assumptions!K$5),-2)</f>
        <v>15800</v>
      </c>
      <c r="M401" s="9">
        <f>ROUNDUP(L401+(L401*Assumptions!L$5),-2)</f>
        <v>16200</v>
      </c>
      <c r="N401" s="9">
        <f>ROUNDUP(M401+(M401*Assumptions!M$5),-2)</f>
        <v>16700</v>
      </c>
      <c r="O401" s="89">
        <f>ROUNDUP(N401+(N401*Assumptions!N$5),-2)</f>
        <v>17200</v>
      </c>
      <c r="P401" s="9">
        <f>ROUNDUP(O401+(O401*Assumptions!O$5),-2)</f>
        <v>17700</v>
      </c>
      <c r="Q401" s="9">
        <f>ROUNDUP(P401+(P401*Assumptions!P$5),-2)</f>
        <v>18200</v>
      </c>
      <c r="R401" s="9">
        <f>ROUNDUP(Q401+(Q401*Assumptions!Q$5),-2)</f>
        <v>18700</v>
      </c>
      <c r="S401" s="47">
        <f>ROUNDUP(R401+(R401*Assumptions!R$5),-2)</f>
        <v>19200</v>
      </c>
    </row>
    <row r="402" spans="1:19" s="39" customFormat="1" ht="12.75" customHeight="1" x14ac:dyDescent="0.2">
      <c r="A402" s="54"/>
      <c r="B402" s="9"/>
      <c r="C402" s="9"/>
      <c r="D402" s="9"/>
      <c r="E402" s="9"/>
      <c r="F402" s="167"/>
      <c r="G402" s="257"/>
      <c r="H402" s="9"/>
      <c r="I402" s="85"/>
      <c r="J402" s="89"/>
      <c r="K402" s="9"/>
      <c r="L402" s="9"/>
      <c r="M402" s="9"/>
      <c r="N402" s="9"/>
      <c r="O402" s="89"/>
      <c r="P402" s="9"/>
      <c r="Q402" s="9"/>
      <c r="R402" s="9"/>
      <c r="S402" s="47"/>
    </row>
    <row r="403" spans="1:19" ht="12.75" customHeight="1" x14ac:dyDescent="0.2">
      <c r="A403" s="54"/>
      <c r="B403" s="9"/>
      <c r="C403" s="9"/>
      <c r="D403" s="9"/>
      <c r="E403" s="9"/>
      <c r="F403" s="167"/>
      <c r="G403" s="260" t="s">
        <v>2063</v>
      </c>
      <c r="H403" s="9"/>
      <c r="I403" s="85"/>
      <c r="J403" s="89"/>
      <c r="K403" s="9"/>
      <c r="L403" s="9"/>
      <c r="M403" s="9"/>
      <c r="N403" s="9"/>
      <c r="O403" s="89"/>
      <c r="P403" s="9"/>
      <c r="Q403" s="9"/>
      <c r="R403" s="9"/>
      <c r="S403" s="47"/>
    </row>
    <row r="404" spans="1:19" ht="12.75" customHeight="1" x14ac:dyDescent="0.2">
      <c r="A404" s="54">
        <v>0</v>
      </c>
      <c r="B404" s="9">
        <v>0</v>
      </c>
      <c r="C404" s="9">
        <v>8800</v>
      </c>
      <c r="D404" s="9">
        <f>33951+49</f>
        <v>34000</v>
      </c>
      <c r="E404" s="9">
        <v>50000</v>
      </c>
      <c r="F404" s="773" t="s">
        <v>5407</v>
      </c>
      <c r="G404" s="1151" t="s">
        <v>5224</v>
      </c>
      <c r="H404" s="9">
        <v>0</v>
      </c>
      <c r="I404" s="85">
        <f>IF(E404=H404,0,IF(E404=0,100,(H404-E404)/E404*100))</f>
        <v>-100</v>
      </c>
      <c r="J404" s="89">
        <f>ROUNDUP(H404+(H404*Assumptions!I$5),-2)</f>
        <v>0</v>
      </c>
      <c r="K404" s="9">
        <f>ROUNDUP(J404+(J404*Assumptions!J$5),-2)</f>
        <v>0</v>
      </c>
      <c r="L404" s="9">
        <f>ROUNDUP(K404+(K404*Assumptions!K$5),-2)</f>
        <v>0</v>
      </c>
      <c r="M404" s="9">
        <f>ROUNDUP(L404+(L404*Assumptions!L$5),-2)</f>
        <v>0</v>
      </c>
      <c r="N404" s="9">
        <f>ROUNDUP(M404+(M404*Assumptions!M$5),-2)</f>
        <v>0</v>
      </c>
      <c r="O404" s="89">
        <f>ROUNDUP(N404+(N404*Assumptions!N$5),-2)</f>
        <v>0</v>
      </c>
      <c r="P404" s="9">
        <f>ROUNDUP(O404+(O404*Assumptions!O$5),-2)</f>
        <v>0</v>
      </c>
      <c r="Q404" s="9">
        <f>ROUNDUP(P404+(P404*Assumptions!P$5),-2)</f>
        <v>0</v>
      </c>
      <c r="R404" s="9">
        <f>ROUNDUP(Q404+(Q404*Assumptions!Q$5),-2)</f>
        <v>0</v>
      </c>
      <c r="S404" s="47">
        <f>ROUNDUP(R404+(R404*Assumptions!R$5),-2)</f>
        <v>0</v>
      </c>
    </row>
    <row r="405" spans="1:19" ht="12.75" customHeight="1" x14ac:dyDescent="0.2">
      <c r="A405" s="54">
        <v>0</v>
      </c>
      <c r="B405" s="9">
        <v>0</v>
      </c>
      <c r="C405" s="9">
        <f>10000</f>
        <v>10000</v>
      </c>
      <c r="D405" s="9">
        <v>2000</v>
      </c>
      <c r="E405" s="9">
        <v>29300</v>
      </c>
      <c r="F405" s="773" t="s">
        <v>6401</v>
      </c>
      <c r="G405" s="1151" t="s">
        <v>11926</v>
      </c>
      <c r="H405" s="9">
        <v>10000</v>
      </c>
      <c r="I405" s="85">
        <f>IF(E405=H405,0,IF(E405=0,100,(H405-E405)/E405*100))</f>
        <v>-65.870307167235495</v>
      </c>
      <c r="J405" s="89">
        <f>ROUNDUP(H405+(H405*Assumptions!I$5),-2)-10300</f>
        <v>0</v>
      </c>
      <c r="K405" s="9">
        <f>ROUNDUP(J405+(J405*Assumptions!J$5),-2)</f>
        <v>0</v>
      </c>
      <c r="L405" s="9">
        <f>ROUNDUP(K405+(K405*Assumptions!K$5),-2)</f>
        <v>0</v>
      </c>
      <c r="M405" s="9">
        <f>ROUNDUP(L405+(L405*Assumptions!L$5),-2)</f>
        <v>0</v>
      </c>
      <c r="N405" s="9">
        <f>ROUNDUP(M405+(M405*Assumptions!M$5),-2)</f>
        <v>0</v>
      </c>
      <c r="O405" s="89">
        <f>ROUNDUP(N405+(N405*Assumptions!N$5),-2)</f>
        <v>0</v>
      </c>
      <c r="P405" s="9">
        <f>ROUNDUP(O405+(O405*Assumptions!O$5),-2)</f>
        <v>0</v>
      </c>
      <c r="Q405" s="9">
        <f>ROUNDUP(P405+(P405*Assumptions!P$5),-2)</f>
        <v>0</v>
      </c>
      <c r="R405" s="9">
        <f>ROUNDUP(Q405+(Q405*Assumptions!Q$5),-2)</f>
        <v>0</v>
      </c>
      <c r="S405" s="47">
        <f>ROUNDUP(R405+(R405*Assumptions!R$5),-2)</f>
        <v>0</v>
      </c>
    </row>
    <row r="406" spans="1:19" ht="12.75" customHeight="1" x14ac:dyDescent="0.2">
      <c r="A406" s="54">
        <v>7000</v>
      </c>
      <c r="B406" s="9">
        <v>0</v>
      </c>
      <c r="C406" s="9">
        <v>4000</v>
      </c>
      <c r="D406" s="9">
        <f>24714-14</f>
        <v>24700</v>
      </c>
      <c r="E406" s="9">
        <v>1100</v>
      </c>
      <c r="F406" s="773" t="s">
        <v>3935</v>
      </c>
      <c r="G406" s="662" t="s">
        <v>3584</v>
      </c>
      <c r="H406" s="9">
        <v>10000</v>
      </c>
      <c r="I406" s="85">
        <f>IF(E406=H406,0,IF(E406=0,100,(H406-E406)/E406*100))</f>
        <v>809.09090909090912</v>
      </c>
      <c r="J406" s="89">
        <v>15000</v>
      </c>
      <c r="K406" s="9">
        <f>ROUNDUP(J406+(J406*Assumptions!J$5),-2)</f>
        <v>15400</v>
      </c>
      <c r="L406" s="9">
        <f>ROUNDUP(K406+(K406*Assumptions!K$5),-2)</f>
        <v>15800</v>
      </c>
      <c r="M406" s="9">
        <f>ROUNDUP(L406+(L406*Assumptions!L$5),-2)</f>
        <v>16200</v>
      </c>
      <c r="N406" s="9">
        <f>ROUNDUP(M406+(M406*Assumptions!M$5),-2)</f>
        <v>16700</v>
      </c>
      <c r="O406" s="89">
        <f>ROUNDUP(N406+(N406*Assumptions!N$5),-2)</f>
        <v>17200</v>
      </c>
      <c r="P406" s="9">
        <f>ROUNDUP(O406+(O406*Assumptions!O$5),-2)</f>
        <v>17700</v>
      </c>
      <c r="Q406" s="9">
        <f>ROUNDUP(P406+(P406*Assumptions!P$5),-2)</f>
        <v>18200</v>
      </c>
      <c r="R406" s="9">
        <f>ROUNDUP(Q406+(Q406*Assumptions!Q$5),-2)</f>
        <v>18700</v>
      </c>
      <c r="S406" s="47">
        <f>ROUNDUP(R406+(R406*Assumptions!R$5),-2)</f>
        <v>19200</v>
      </c>
    </row>
    <row r="407" spans="1:19" ht="12.75" customHeight="1" thickBot="1" x14ac:dyDescent="0.25">
      <c r="A407" s="54"/>
      <c r="B407" s="9"/>
      <c r="C407" s="9"/>
      <c r="D407" s="9"/>
      <c r="E407" s="9"/>
      <c r="F407" s="167"/>
      <c r="G407" s="256"/>
      <c r="H407" s="9"/>
      <c r="I407" s="85"/>
      <c r="J407" s="89"/>
      <c r="K407" s="9"/>
      <c r="L407" s="9"/>
      <c r="M407" s="9"/>
      <c r="N407" s="9"/>
      <c r="O407" s="89"/>
      <c r="P407" s="9"/>
      <c r="Q407" s="9"/>
      <c r="R407" s="9"/>
      <c r="S407" s="47"/>
    </row>
    <row r="408" spans="1:19" ht="12.75" customHeight="1" x14ac:dyDescent="0.2">
      <c r="A408" s="52">
        <f>SUM(A348:A407)</f>
        <v>1270300</v>
      </c>
      <c r="B408" s="16">
        <f>SUM(B348:B407)</f>
        <v>1081200</v>
      </c>
      <c r="C408" s="16">
        <f>SUM(C348:C407)</f>
        <v>1150100</v>
      </c>
      <c r="D408" s="16">
        <f>SUM(D348:D407)</f>
        <v>1205100</v>
      </c>
      <c r="E408" s="16">
        <f>SUM(E348:E407)</f>
        <v>1263000</v>
      </c>
      <c r="F408" s="167"/>
      <c r="G408" s="267" t="s">
        <v>556</v>
      </c>
      <c r="H408" s="16">
        <f>SUM(H348:H407)</f>
        <v>1412500</v>
      </c>
      <c r="I408" s="127">
        <f>IF(E408=H408,0,IF(E408=0,100,(H408-E408)/E408*100))</f>
        <v>11.836896278701504</v>
      </c>
      <c r="J408" s="102">
        <f t="shared" ref="J408:R408" si="409">SUM(J348:J407)</f>
        <v>1176700</v>
      </c>
      <c r="K408" s="16">
        <f t="shared" si="409"/>
        <v>1204500</v>
      </c>
      <c r="L408" s="16">
        <f t="shared" si="409"/>
        <v>1233200</v>
      </c>
      <c r="M408" s="16">
        <f t="shared" si="409"/>
        <v>1262400</v>
      </c>
      <c r="N408" s="16">
        <f t="shared" si="409"/>
        <v>1292900</v>
      </c>
      <c r="O408" s="102">
        <f t="shared" si="409"/>
        <v>1323900</v>
      </c>
      <c r="P408" s="16">
        <f t="shared" si="409"/>
        <v>1355400</v>
      </c>
      <c r="Q408" s="16">
        <f t="shared" si="409"/>
        <v>1387600</v>
      </c>
      <c r="R408" s="16">
        <f t="shared" si="409"/>
        <v>1421100</v>
      </c>
      <c r="S408" s="2342">
        <f t="shared" ref="S408" si="410">SUM(S348:S407)</f>
        <v>1455300</v>
      </c>
    </row>
    <row r="409" spans="1:19" ht="12.75" customHeight="1" x14ac:dyDescent="0.2">
      <c r="A409" s="54"/>
      <c r="B409" s="9"/>
      <c r="C409" s="9"/>
      <c r="D409" s="9"/>
      <c r="E409" s="9"/>
      <c r="F409" s="167"/>
      <c r="G409" s="257"/>
      <c r="H409" s="9"/>
      <c r="I409" s="85"/>
      <c r="J409" s="89"/>
      <c r="K409" s="9"/>
      <c r="L409" s="9"/>
      <c r="M409" s="9"/>
      <c r="N409" s="9"/>
      <c r="O409" s="89"/>
      <c r="P409" s="9"/>
      <c r="Q409" s="9"/>
      <c r="R409" s="9"/>
      <c r="S409" s="47"/>
    </row>
    <row r="410" spans="1:19" ht="12.75" customHeight="1" x14ac:dyDescent="0.2">
      <c r="A410" s="24">
        <f>A346-A408</f>
        <v>-928200</v>
      </c>
      <c r="B410" s="21">
        <f>B346-B408</f>
        <v>-714500</v>
      </c>
      <c r="C410" s="21">
        <f>C346-C408</f>
        <v>-699900</v>
      </c>
      <c r="D410" s="21">
        <f>D346-D408</f>
        <v>-846400</v>
      </c>
      <c r="E410" s="21">
        <f>E346-E408</f>
        <v>-960800</v>
      </c>
      <c r="F410" s="173"/>
      <c r="G410" s="361" t="s">
        <v>1002</v>
      </c>
      <c r="H410" s="21">
        <f>H346-H408</f>
        <v>-1205600</v>
      </c>
      <c r="I410" s="126">
        <f>IF(E410=H410,0,IF(E410=0,100,(H410-E410)/E410*100))</f>
        <v>25.478767693588679</v>
      </c>
      <c r="J410" s="75">
        <f t="shared" ref="J410:R410" si="411">J346-J408</f>
        <v>-944200</v>
      </c>
      <c r="K410" s="21">
        <f t="shared" si="411"/>
        <v>-824000</v>
      </c>
      <c r="L410" s="21">
        <f t="shared" si="411"/>
        <v>-1084500</v>
      </c>
      <c r="M410" s="21">
        <f t="shared" si="411"/>
        <v>-1115500</v>
      </c>
      <c r="N410" s="21">
        <f t="shared" si="411"/>
        <v>-1121800</v>
      </c>
      <c r="O410" s="75">
        <f t="shared" si="411"/>
        <v>-1062100</v>
      </c>
      <c r="P410" s="21">
        <f t="shared" si="411"/>
        <v>-961900</v>
      </c>
      <c r="Q410" s="21">
        <f t="shared" si="411"/>
        <v>-855400</v>
      </c>
      <c r="R410" s="21">
        <f t="shared" si="411"/>
        <v>-744600</v>
      </c>
      <c r="S410" s="86">
        <f t="shared" ref="S410" si="412">S346-S408</f>
        <v>-627000</v>
      </c>
    </row>
    <row r="411" spans="1:19" ht="12.75" customHeight="1" x14ac:dyDescent="0.2">
      <c r="A411" s="54">
        <v>0</v>
      </c>
      <c r="B411" s="9">
        <v>0</v>
      </c>
      <c r="C411" s="9">
        <v>0</v>
      </c>
      <c r="D411" s="9">
        <v>0</v>
      </c>
      <c r="E411" s="9">
        <v>0</v>
      </c>
      <c r="F411" s="167"/>
      <c r="G411" s="261" t="str">
        <f>F34</f>
        <v>Add Back Depreciation</v>
      </c>
      <c r="H411" s="9">
        <v>0</v>
      </c>
      <c r="I411" s="85">
        <f>IF(E411=H411,0,IF(E411=0,100,(H411-E411)/E411*100))</f>
        <v>0</v>
      </c>
      <c r="J411" s="89">
        <v>0</v>
      </c>
      <c r="K411" s="9">
        <v>0</v>
      </c>
      <c r="L411" s="9">
        <v>0</v>
      </c>
      <c r="M411" s="9">
        <v>0</v>
      </c>
      <c r="N411" s="9">
        <v>0</v>
      </c>
      <c r="O411" s="89">
        <v>0</v>
      </c>
      <c r="P411" s="9">
        <v>0</v>
      </c>
      <c r="Q411" s="9">
        <v>0</v>
      </c>
      <c r="R411" s="9">
        <v>0</v>
      </c>
      <c r="S411" s="47">
        <v>0</v>
      </c>
    </row>
    <row r="412" spans="1:19" s="39" customFormat="1" ht="12.75" customHeight="1" x14ac:dyDescent="0.2">
      <c r="A412" s="128">
        <f>A410+A411</f>
        <v>-928200</v>
      </c>
      <c r="B412" s="280">
        <f>B410+B411</f>
        <v>-714500</v>
      </c>
      <c r="C412" s="280">
        <f>C410+C411</f>
        <v>-699900</v>
      </c>
      <c r="D412" s="280">
        <f>D410+D411</f>
        <v>-846400</v>
      </c>
      <c r="E412" s="280">
        <f>E410+E411</f>
        <v>-960800</v>
      </c>
      <c r="F412" s="372"/>
      <c r="G412" s="363" t="s">
        <v>1659</v>
      </c>
      <c r="H412" s="280">
        <f>H410+H411</f>
        <v>-1205600</v>
      </c>
      <c r="I412" s="278">
        <f>IF(E412=H412,0,IF(E412=0,100,(H412-E412)/E412*100))</f>
        <v>25.478767693588679</v>
      </c>
      <c r="J412" s="266">
        <f t="shared" ref="J412:R412" si="413">J410+J411</f>
        <v>-944200</v>
      </c>
      <c r="K412" s="280">
        <f t="shared" si="413"/>
        <v>-824000</v>
      </c>
      <c r="L412" s="280">
        <f t="shared" si="413"/>
        <v>-1084500</v>
      </c>
      <c r="M412" s="280">
        <f t="shared" si="413"/>
        <v>-1115500</v>
      </c>
      <c r="N412" s="280">
        <f t="shared" si="413"/>
        <v>-1121800</v>
      </c>
      <c r="O412" s="266">
        <f t="shared" si="413"/>
        <v>-1062100</v>
      </c>
      <c r="P412" s="280">
        <f t="shared" si="413"/>
        <v>-961900</v>
      </c>
      <c r="Q412" s="280">
        <f t="shared" si="413"/>
        <v>-855400</v>
      </c>
      <c r="R412" s="280">
        <f t="shared" si="413"/>
        <v>-744600</v>
      </c>
      <c r="S412" s="2343">
        <f t="shared" ref="S412" si="414">S410+S411</f>
        <v>-627000</v>
      </c>
    </row>
    <row r="413" spans="1:19" ht="12.75" customHeight="1" thickBot="1" x14ac:dyDescent="0.25">
      <c r="A413" s="460"/>
      <c r="B413" s="130"/>
      <c r="C413" s="130"/>
      <c r="D413" s="130"/>
      <c r="E413" s="130"/>
      <c r="F413" s="512"/>
      <c r="G413" s="513"/>
      <c r="H413" s="68"/>
      <c r="I413" s="13"/>
      <c r="J413" s="42"/>
      <c r="K413" s="68"/>
      <c r="L413" s="68"/>
      <c r="M413" s="68"/>
      <c r="N413" s="68"/>
      <c r="O413" s="42"/>
      <c r="P413" s="68"/>
      <c r="Q413" s="68"/>
      <c r="R413" s="68"/>
      <c r="S413" s="108"/>
    </row>
    <row r="414" spans="1:19" s="321" customFormat="1" ht="12.75" customHeight="1" thickTop="1" x14ac:dyDescent="0.25">
      <c r="A414" s="24"/>
      <c r="B414" s="21"/>
      <c r="C414" s="21"/>
      <c r="D414" s="21"/>
      <c r="E414" s="21"/>
      <c r="F414" s="167"/>
      <c r="G414" s="260"/>
      <c r="H414" s="74"/>
      <c r="I414" s="126"/>
      <c r="J414" s="111"/>
      <c r="K414" s="74"/>
      <c r="L414" s="74"/>
      <c r="M414" s="74"/>
      <c r="N414" s="74"/>
      <c r="O414" s="74"/>
      <c r="P414" s="74"/>
      <c r="Q414" s="74"/>
      <c r="R414" s="74"/>
      <c r="S414" s="110"/>
    </row>
    <row r="415" spans="1:19" s="38" customFormat="1" ht="12.75" customHeight="1" x14ac:dyDescent="0.25">
      <c r="A415" s="24"/>
      <c r="B415" s="21"/>
      <c r="C415" s="21"/>
      <c r="D415" s="21"/>
      <c r="E415" s="21"/>
      <c r="F415" s="167"/>
      <c r="G415" s="361" t="s">
        <v>192</v>
      </c>
      <c r="H415" s="9"/>
      <c r="I415" s="126"/>
      <c r="J415" s="89"/>
      <c r="K415" s="9"/>
      <c r="L415" s="9"/>
      <c r="M415" s="9"/>
      <c r="N415" s="9"/>
      <c r="O415" s="9"/>
      <c r="P415" s="9"/>
      <c r="Q415" s="9"/>
      <c r="R415" s="9"/>
      <c r="S415" s="61"/>
    </row>
    <row r="416" spans="1:19" s="39" customFormat="1" ht="12.75" customHeight="1" x14ac:dyDescent="0.2">
      <c r="A416" s="54">
        <v>0</v>
      </c>
      <c r="B416" s="9">
        <v>0</v>
      </c>
      <c r="C416" s="9">
        <v>0</v>
      </c>
      <c r="D416" s="9">
        <v>0</v>
      </c>
      <c r="E416" s="9">
        <v>0</v>
      </c>
      <c r="F416" s="167"/>
      <c r="G416" s="257" t="s">
        <v>1759</v>
      </c>
      <c r="H416" s="9">
        <v>0</v>
      </c>
      <c r="I416" s="85"/>
      <c r="J416" s="89">
        <v>0</v>
      </c>
      <c r="K416" s="9">
        <v>0</v>
      </c>
      <c r="L416" s="9">
        <v>0</v>
      </c>
      <c r="M416" s="9">
        <v>0</v>
      </c>
      <c r="N416" s="9">
        <v>0</v>
      </c>
      <c r="O416" s="9">
        <v>0</v>
      </c>
      <c r="P416" s="9">
        <v>0</v>
      </c>
      <c r="Q416" s="9">
        <v>0</v>
      </c>
      <c r="R416" s="9">
        <v>0</v>
      </c>
      <c r="S416" s="61">
        <v>0</v>
      </c>
    </row>
    <row r="417" spans="1:19" ht="12.75" customHeight="1" x14ac:dyDescent="0.2">
      <c r="A417" s="54">
        <v>3460300</v>
      </c>
      <c r="B417" s="9">
        <v>2729700</v>
      </c>
      <c r="C417" s="9">
        <v>3392100</v>
      </c>
      <c r="D417" s="9">
        <f>SUM('Res-Gen'!B7:B7)+'Res-Gen'!B183+'Res-Gen'!B8-50000+'Res-Gen'!B10</f>
        <v>2658200</v>
      </c>
      <c r="E417" s="9">
        <f>2636000+137200</f>
        <v>2773200</v>
      </c>
      <c r="F417" s="167"/>
      <c r="G417" s="257" t="s">
        <v>1909</v>
      </c>
      <c r="H417" s="9">
        <f>SUM('Res-Gen'!H6:H11)</f>
        <v>4191000</v>
      </c>
      <c r="I417" s="85"/>
      <c r="J417" s="89">
        <f>SUM('Res-Gen'!K6:K11)</f>
        <v>7387500</v>
      </c>
      <c r="K417" s="9">
        <f>SUM('Res-Gen'!N6:N11)</f>
        <v>7714500</v>
      </c>
      <c r="L417" s="9">
        <f>SUM('Res-Gen'!Q6:Q11)</f>
        <v>13665500</v>
      </c>
      <c r="M417" s="9">
        <f>SUM('Res-Gen'!T6:T11)</f>
        <v>14000500</v>
      </c>
      <c r="N417" s="9">
        <f>SUM('Res-Gen'!W6:W11)</f>
        <v>6370500</v>
      </c>
      <c r="O417" s="9">
        <f>SUM('Res-Gen'!Z6:Z11)</f>
        <v>6616000</v>
      </c>
      <c r="P417" s="9">
        <f>SUM('Res-Gen'!AC6:AC11)</f>
        <v>6905500</v>
      </c>
      <c r="Q417" s="9">
        <f>SUM('Res-Gen'!AF6:AF11)</f>
        <v>7206000</v>
      </c>
      <c r="R417" s="9">
        <f>SUM('Res-Gen'!AI6:AI11)</f>
        <v>7517000</v>
      </c>
      <c r="S417" s="61">
        <f>SUM('Res-Gen'!AL6:AL10)</f>
        <v>7839500</v>
      </c>
    </row>
    <row r="418" spans="1:19" ht="12.75" customHeight="1" x14ac:dyDescent="0.2">
      <c r="A418" s="54">
        <v>293700</v>
      </c>
      <c r="B418" s="9">
        <v>220400</v>
      </c>
      <c r="C418" s="9">
        <v>286700</v>
      </c>
      <c r="D418" s="9">
        <f>SUM('Res-Gen'!C8:C11)</f>
        <v>239100</v>
      </c>
      <c r="E418" s="9">
        <f>SUM('Res-Gen'!F8:F11)+'Res-Gen'!F25</f>
        <v>185200</v>
      </c>
      <c r="F418" s="167"/>
      <c r="G418" s="257" t="s">
        <v>2309</v>
      </c>
      <c r="H418" s="9">
        <f>'Res-Gen'!I25+'Res-Gen'!I221+'Res-Gen'!I8+'Res-Gen'!I9+'Res-Gen'!I12</f>
        <v>196000</v>
      </c>
      <c r="I418" s="85"/>
      <c r="J418" s="89">
        <f>SUM('Res-Gen'!L8:L11)+'Res-Gen'!L25</f>
        <v>10000</v>
      </c>
      <c r="K418" s="9">
        <f>SUM('Res-Gen'!O8:O11)+'Res-Gen'!O25</f>
        <v>10000</v>
      </c>
      <c r="L418" s="9">
        <f>SUM('Res-Gen'!R8:R11)+'Res-Gen'!R25</f>
        <v>10000</v>
      </c>
      <c r="M418" s="9">
        <f>SUM('Res-Gen'!U8:U11)+'Res-Gen'!U25</f>
        <v>10000</v>
      </c>
      <c r="N418" s="9">
        <f>SUM('Res-Gen'!X8:X11)+'Res-Gen'!X25</f>
        <v>10000</v>
      </c>
      <c r="O418" s="9">
        <f>SUM('Res-Gen'!AA8:AA11)+'Res-Gen'!AA25</f>
        <v>10000</v>
      </c>
      <c r="P418" s="9">
        <f>SUM('Res-Gen'!AD8:AD11)+'Res-Gen'!AD25</f>
        <v>10000</v>
      </c>
      <c r="Q418" s="9">
        <f>SUM('Res-Gen'!AG8:AG11)+'Res-Gen'!AG25</f>
        <v>10000</v>
      </c>
      <c r="R418" s="9">
        <f>SUM('Res-Gen'!AJ8:AJ11)+'Res-Gen'!AJ25</f>
        <v>10300</v>
      </c>
      <c r="S418" s="47">
        <f>SUM('Res-Gen'!AM8:AM11)+'Res-Gen'!AM25</f>
        <v>10600</v>
      </c>
    </row>
    <row r="419" spans="1:19" ht="12.75" customHeight="1" x14ac:dyDescent="0.2">
      <c r="A419" s="54">
        <v>2922200</v>
      </c>
      <c r="B419" s="9">
        <f>'Sec 94'!A28</f>
        <v>2268800</v>
      </c>
      <c r="C419" s="9">
        <f>'Sec 94'!C28</f>
        <v>2924000</v>
      </c>
      <c r="D419" s="9">
        <f>'Sec 94'!E28</f>
        <v>2226100</v>
      </c>
      <c r="E419" s="9">
        <f>'Sec 94'!F28</f>
        <v>2348300</v>
      </c>
      <c r="F419" s="167"/>
      <c r="G419" s="257" t="s">
        <v>5847</v>
      </c>
      <c r="H419" s="9">
        <f>'Sec 94'!G28</f>
        <v>4049000</v>
      </c>
      <c r="I419" s="85"/>
      <c r="J419" s="89">
        <f>'Sec 94'!H28</f>
        <v>7192000</v>
      </c>
      <c r="K419" s="9">
        <f>'Sec 94'!I28</f>
        <v>7372000</v>
      </c>
      <c r="L419" s="9">
        <f>'Sec 94'!J28</f>
        <v>13556000</v>
      </c>
      <c r="M419" s="9">
        <f>'Sec 94'!K28</f>
        <v>13894000</v>
      </c>
      <c r="N419" s="9">
        <f>'Sec 94'!L28</f>
        <v>6241000</v>
      </c>
      <c r="O419" s="9">
        <f>'Sec 94'!M28</f>
        <v>6397000</v>
      </c>
      <c r="P419" s="9">
        <f>'Sec 94'!N28</f>
        <v>6556000</v>
      </c>
      <c r="Q419" s="9">
        <f>'Sec 94'!O28</f>
        <v>6719000</v>
      </c>
      <c r="R419" s="9">
        <f>'Sec 94'!P28</f>
        <v>6887000</v>
      </c>
      <c r="S419" s="61">
        <f>'Sec 94'!Q28</f>
        <v>7059000</v>
      </c>
    </row>
    <row r="420" spans="1:19" ht="12.75" customHeight="1" x14ac:dyDescent="0.2">
      <c r="A420" s="54">
        <v>0</v>
      </c>
      <c r="B420" s="9">
        <v>0</v>
      </c>
      <c r="C420" s="9">
        <v>0</v>
      </c>
      <c r="D420" s="9">
        <v>0</v>
      </c>
      <c r="E420" s="9">
        <v>0</v>
      </c>
      <c r="F420" s="167"/>
      <c r="G420" s="257" t="s">
        <v>958</v>
      </c>
      <c r="H420" s="9">
        <v>0</v>
      </c>
      <c r="I420" s="85"/>
      <c r="J420" s="89">
        <v>0</v>
      </c>
      <c r="K420" s="9">
        <v>0</v>
      </c>
      <c r="L420" s="9">
        <v>0</v>
      </c>
      <c r="M420" s="9">
        <v>0</v>
      </c>
      <c r="N420" s="9">
        <v>0</v>
      </c>
      <c r="O420" s="9">
        <v>0</v>
      </c>
      <c r="P420" s="9">
        <v>0</v>
      </c>
      <c r="Q420" s="9">
        <v>0</v>
      </c>
      <c r="R420" s="9">
        <v>0</v>
      </c>
      <c r="S420" s="61">
        <v>0</v>
      </c>
    </row>
    <row r="421" spans="1:19" ht="12.75" customHeight="1" x14ac:dyDescent="0.2">
      <c r="A421" s="54"/>
      <c r="B421" s="9"/>
      <c r="C421" s="9"/>
      <c r="D421" s="9"/>
      <c r="E421" s="9"/>
      <c r="F421" s="167"/>
      <c r="G421" s="361"/>
      <c r="H421" s="9"/>
      <c r="I421" s="85"/>
      <c r="J421" s="89"/>
      <c r="K421" s="9"/>
      <c r="L421" s="9"/>
      <c r="M421" s="9"/>
      <c r="N421" s="9"/>
      <c r="O421" s="9"/>
      <c r="P421" s="9"/>
      <c r="Q421" s="9"/>
      <c r="R421" s="9"/>
      <c r="S421" s="61"/>
    </row>
    <row r="422" spans="1:19" ht="12.75" customHeight="1" x14ac:dyDescent="0.2">
      <c r="A422" s="128">
        <f>A412-A416-A417+A418++A419-A420</f>
        <v>-1172600</v>
      </c>
      <c r="B422" s="280">
        <f>B412-B416-B417+B418++B419-B420</f>
        <v>-955000</v>
      </c>
      <c r="C422" s="280">
        <f>C412-C416-C417+C418++C419-C420</f>
        <v>-881300</v>
      </c>
      <c r="D422" s="280">
        <f>D412-D416-D417+D418++D419-D420</f>
        <v>-1039400</v>
      </c>
      <c r="E422" s="280">
        <f>E412-E416-E417+E418++E419-E420</f>
        <v>-1200500</v>
      </c>
      <c r="F422" s="372"/>
      <c r="G422" s="363" t="s">
        <v>2447</v>
      </c>
      <c r="H422" s="280">
        <f>H412-H416-H417+H418++H419-H420</f>
        <v>-1151600</v>
      </c>
      <c r="I422" s="278">
        <f>IF(E422=H422,0,IF(E422=0,100,(H422-E422)/E422*100))</f>
        <v>-4.0733027905039565</v>
      </c>
      <c r="J422" s="266">
        <f t="shared" ref="J422:R422" si="415">J412-J416-J417+J418++J419-J420</f>
        <v>-1129700</v>
      </c>
      <c r="K422" s="280">
        <f t="shared" si="415"/>
        <v>-1156500</v>
      </c>
      <c r="L422" s="280">
        <f t="shared" si="415"/>
        <v>-1184000</v>
      </c>
      <c r="M422" s="280">
        <f t="shared" si="415"/>
        <v>-1212000</v>
      </c>
      <c r="N422" s="280">
        <f t="shared" si="415"/>
        <v>-1241300</v>
      </c>
      <c r="O422" s="280">
        <f t="shared" si="415"/>
        <v>-1271100</v>
      </c>
      <c r="P422" s="280">
        <f t="shared" si="415"/>
        <v>-1301400</v>
      </c>
      <c r="Q422" s="280">
        <f t="shared" si="415"/>
        <v>-1332400</v>
      </c>
      <c r="R422" s="280">
        <f t="shared" si="415"/>
        <v>-1364300</v>
      </c>
      <c r="S422" s="282">
        <f t="shared" ref="S422" si="416">S412-S416-S417+S418++S419-S420</f>
        <v>-1396900</v>
      </c>
    </row>
    <row r="423" spans="1:19" ht="12.75" customHeight="1" thickBot="1" x14ac:dyDescent="0.25">
      <c r="A423" s="26"/>
      <c r="B423" s="37"/>
      <c r="C423" s="37"/>
      <c r="D423" s="37"/>
      <c r="E423" s="37"/>
      <c r="F423" s="166"/>
      <c r="G423" s="259"/>
      <c r="H423" s="23"/>
      <c r="I423" s="275"/>
      <c r="J423" s="113"/>
      <c r="K423" s="23"/>
      <c r="L423" s="23"/>
      <c r="M423" s="23"/>
      <c r="N423" s="23"/>
      <c r="O423" s="23"/>
      <c r="P423" s="23"/>
      <c r="Q423" s="23"/>
      <c r="R423" s="23"/>
      <c r="S423" s="112"/>
    </row>
    <row r="424" spans="1:19" ht="12.75" customHeight="1" thickTop="1" thickBot="1" x14ac:dyDescent="0.35">
      <c r="A424" s="374"/>
      <c r="B424" s="374"/>
      <c r="C424" s="374"/>
      <c r="D424" s="374"/>
      <c r="E424" s="374"/>
      <c r="F424" s="1186"/>
      <c r="G424" s="374"/>
      <c r="H424" s="1187"/>
      <c r="I424" s="374"/>
      <c r="J424" s="1187"/>
      <c r="K424" s="1187"/>
      <c r="L424" s="1187"/>
      <c r="M424" s="1187"/>
      <c r="N424" s="1187"/>
      <c r="O424" s="1187"/>
      <c r="P424" s="1187"/>
      <c r="Q424" s="1187"/>
      <c r="R424" s="1187"/>
      <c r="S424" s="1187"/>
    </row>
    <row r="425" spans="1:19" s="38" customFormat="1" ht="19.5" thickTop="1" thickBot="1" x14ac:dyDescent="0.3">
      <c r="A425" s="2588" t="s">
        <v>6919</v>
      </c>
      <c r="B425" s="2589"/>
      <c r="C425" s="2589"/>
      <c r="D425" s="2589"/>
      <c r="E425" s="2589"/>
      <c r="F425" s="2589"/>
      <c r="G425" s="2589"/>
      <c r="H425" s="2589"/>
      <c r="I425" s="2589"/>
      <c r="J425" s="2589"/>
      <c r="K425" s="2589"/>
      <c r="L425" s="2589"/>
      <c r="M425" s="2589"/>
      <c r="N425" s="2589"/>
      <c r="O425" s="2589"/>
      <c r="P425" s="2589"/>
      <c r="Q425" s="2589"/>
      <c r="R425" s="2589"/>
      <c r="S425" s="2590"/>
    </row>
    <row r="426" spans="1:19" s="39" customFormat="1" ht="12.75" customHeight="1" x14ac:dyDescent="0.2">
      <c r="A426" s="2591" t="s">
        <v>1824</v>
      </c>
      <c r="B426" s="2577"/>
      <c r="C426" s="2577"/>
      <c r="D426" s="2577"/>
      <c r="E426" s="2592" t="s">
        <v>2215</v>
      </c>
      <c r="F426" s="2231" t="s">
        <v>2616</v>
      </c>
      <c r="G426" s="188" t="s">
        <v>2213</v>
      </c>
      <c r="H426" s="2576" t="s">
        <v>2215</v>
      </c>
      <c r="I426" s="2577"/>
      <c r="J426" s="2577"/>
      <c r="K426" s="2577"/>
      <c r="L426" s="2577"/>
      <c r="M426" s="2577"/>
      <c r="N426" s="2577"/>
      <c r="O426" s="2577"/>
      <c r="P426" s="2577"/>
      <c r="Q426" s="2577"/>
      <c r="R426" s="2577"/>
      <c r="S426" s="2578"/>
    </row>
    <row r="427" spans="1:19" ht="12.75" customHeight="1" thickBot="1" x14ac:dyDescent="0.25">
      <c r="A427" s="1011" t="str">
        <f>A3</f>
        <v>2012/13</v>
      </c>
      <c r="B427" s="28" t="str">
        <f>B3</f>
        <v>2013/14</v>
      </c>
      <c r="C427" s="40" t="str">
        <f>C3</f>
        <v>2014/15</v>
      </c>
      <c r="D427" s="40" t="str">
        <f>D3</f>
        <v>2015/16</v>
      </c>
      <c r="E427" s="40" t="str">
        <f>E3</f>
        <v>2016/17</v>
      </c>
      <c r="F427" s="2008" t="s">
        <v>2617</v>
      </c>
      <c r="G427" s="41"/>
      <c r="H427" s="40" t="str">
        <f>H3</f>
        <v>2017/18</v>
      </c>
      <c r="I427" s="1459" t="s">
        <v>492</v>
      </c>
      <c r="J427" s="40" t="str">
        <f t="shared" ref="J427:S427" si="417">J3</f>
        <v>2018/19</v>
      </c>
      <c r="K427" s="40" t="str">
        <f t="shared" si="417"/>
        <v>2019/20</v>
      </c>
      <c r="L427" s="40" t="str">
        <f t="shared" si="417"/>
        <v>2020/21</v>
      </c>
      <c r="M427" s="40" t="str">
        <f t="shared" si="417"/>
        <v>2021/22</v>
      </c>
      <c r="N427" s="40" t="str">
        <f t="shared" si="417"/>
        <v>2022/23</v>
      </c>
      <c r="O427" s="40" t="str">
        <f t="shared" si="417"/>
        <v>2023/24</v>
      </c>
      <c r="P427" s="1257" t="str">
        <f t="shared" si="417"/>
        <v>2024/25</v>
      </c>
      <c r="Q427" s="28" t="str">
        <f t="shared" si="417"/>
        <v>2025/26</v>
      </c>
      <c r="R427" s="28" t="str">
        <f t="shared" si="417"/>
        <v>2026/27</v>
      </c>
      <c r="S427" s="1620" t="str">
        <f t="shared" si="417"/>
        <v>2027/28</v>
      </c>
    </row>
    <row r="428" spans="1:19" ht="12.75" customHeight="1" x14ac:dyDescent="0.2">
      <c r="A428" s="2087"/>
      <c r="B428" s="150"/>
      <c r="C428" s="150"/>
      <c r="D428" s="150"/>
      <c r="E428" s="150"/>
      <c r="F428" s="2046"/>
      <c r="G428" s="46"/>
      <c r="H428" s="150"/>
      <c r="I428" s="1395"/>
      <c r="J428" s="150"/>
      <c r="K428" s="150"/>
      <c r="L428" s="150"/>
      <c r="M428" s="150"/>
      <c r="N428" s="150"/>
      <c r="O428" s="150"/>
      <c r="P428" s="152"/>
      <c r="Q428" s="150"/>
      <c r="R428" s="150"/>
      <c r="S428" s="381"/>
    </row>
    <row r="429" spans="1:19" ht="12.75" customHeight="1" x14ac:dyDescent="0.2">
      <c r="A429" s="54"/>
      <c r="B429" s="9"/>
      <c r="C429" s="9"/>
      <c r="D429" s="9"/>
      <c r="E429" s="9"/>
      <c r="F429" s="165"/>
      <c r="G429" s="50" t="s">
        <v>1056</v>
      </c>
      <c r="H429" s="9"/>
      <c r="I429" s="85"/>
      <c r="J429" s="9"/>
      <c r="K429" s="9"/>
      <c r="L429" s="9"/>
      <c r="M429" s="9"/>
      <c r="N429" s="9"/>
      <c r="O429" s="9"/>
      <c r="P429" s="89"/>
      <c r="Q429" s="9"/>
      <c r="R429" s="9"/>
      <c r="S429" s="61"/>
    </row>
    <row r="430" spans="1:19" ht="12.75" customHeight="1" x14ac:dyDescent="0.2">
      <c r="A430" s="528"/>
      <c r="B430" s="150"/>
      <c r="C430" s="150"/>
      <c r="D430" s="150"/>
      <c r="E430" s="150"/>
      <c r="F430" s="150"/>
      <c r="G430" s="56" t="s">
        <v>3181</v>
      </c>
      <c r="H430" s="150"/>
      <c r="I430" s="1395"/>
      <c r="J430" s="9"/>
      <c r="K430" s="150"/>
      <c r="L430" s="150"/>
      <c r="M430" s="150"/>
      <c r="N430" s="150"/>
      <c r="O430" s="150"/>
      <c r="P430" s="152"/>
      <c r="Q430" s="150"/>
      <c r="R430" s="150"/>
      <c r="S430" s="381"/>
    </row>
    <row r="431" spans="1:19" ht="12.75" customHeight="1" x14ac:dyDescent="0.2">
      <c r="A431" s="54">
        <v>32900</v>
      </c>
      <c r="B431" s="9">
        <v>35100</v>
      </c>
      <c r="C431" s="134">
        <v>48000</v>
      </c>
      <c r="D431" s="134">
        <f>53387+13</f>
        <v>53400</v>
      </c>
      <c r="E431" s="134">
        <v>49800</v>
      </c>
      <c r="F431" s="770" t="s">
        <v>3090</v>
      </c>
      <c r="G431" s="772" t="s">
        <v>4484</v>
      </c>
      <c r="H431" s="9">
        <v>45000</v>
      </c>
      <c r="I431" s="85">
        <f t="shared" ref="I431:I444" si="418">IF(E431=H431,0,IF(E431=0,100,(H431-E431)/E431*100))</f>
        <v>-9.6385542168674707</v>
      </c>
      <c r="J431" s="9">
        <v>50000</v>
      </c>
      <c r="K431" s="9">
        <f>ROUNDUP(J431+(J431*Assumptions!J$5),-2)</f>
        <v>51300</v>
      </c>
      <c r="L431" s="9">
        <f>ROUNDUP(K431+(K431*Assumptions!K$5),-2)</f>
        <v>52600</v>
      </c>
      <c r="M431" s="9">
        <f>ROUNDUP(L431+(L431*Assumptions!L$5),-2)</f>
        <v>54000</v>
      </c>
      <c r="N431" s="9">
        <f>ROUNDUP(M431+(M431*Assumptions!M$5),-2)</f>
        <v>55400</v>
      </c>
      <c r="O431" s="9">
        <f>ROUNDUP(N431+(N431*Assumptions!N$5),-2)</f>
        <v>56800</v>
      </c>
      <c r="P431" s="89">
        <f>ROUNDUP(O431+(O431*Assumptions!O$5),-2)</f>
        <v>58300</v>
      </c>
      <c r="Q431" s="9">
        <f>ROUNDUP(P431+(P431*Assumptions!P$5),-2)</f>
        <v>59800</v>
      </c>
      <c r="R431" s="9">
        <f>ROUNDUP(Q431+(Q431*Assumptions!Q$5),-2)</f>
        <v>61300</v>
      </c>
      <c r="S431" s="47">
        <f>ROUNDUP(R431+(R431*Assumptions!R$5),-2)</f>
        <v>62900</v>
      </c>
    </row>
    <row r="432" spans="1:19" ht="12.75" customHeight="1" x14ac:dyDescent="0.2">
      <c r="A432" s="54">
        <v>80000</v>
      </c>
      <c r="B432" s="9">
        <f>82900+2600</f>
        <v>85500</v>
      </c>
      <c r="C432" s="134">
        <v>84500</v>
      </c>
      <c r="D432" s="134">
        <f>86033-33</f>
        <v>86000</v>
      </c>
      <c r="E432" s="134">
        <v>87000</v>
      </c>
      <c r="F432" s="1153" t="s">
        <v>2531</v>
      </c>
      <c r="G432" s="772" t="s">
        <v>4485</v>
      </c>
      <c r="H432" s="9">
        <v>89000</v>
      </c>
      <c r="I432" s="85">
        <f t="shared" si="418"/>
        <v>2.2988505747126435</v>
      </c>
      <c r="J432" s="9">
        <v>91000</v>
      </c>
      <c r="K432" s="9">
        <f>ROUNDUP(J432+(J432*Assumptions!J$5),-2)</f>
        <v>93300</v>
      </c>
      <c r="L432" s="9">
        <f>ROUNDUP(K432+(K432*Assumptions!K$5),-2)</f>
        <v>95700</v>
      </c>
      <c r="M432" s="9">
        <f>ROUNDUP(L432+(L432*Assumptions!L$5),-2)</f>
        <v>98100</v>
      </c>
      <c r="N432" s="9">
        <f>ROUNDUP(M432+(M432*Assumptions!M$5),-2)</f>
        <v>100600</v>
      </c>
      <c r="O432" s="9">
        <f>ROUNDUP(N432+(N432*Assumptions!N$5),-2)</f>
        <v>103200</v>
      </c>
      <c r="P432" s="89">
        <f>ROUNDUP(O432+(O432*Assumptions!O$5),-2)</f>
        <v>105800</v>
      </c>
      <c r="Q432" s="9">
        <f>ROUNDUP(P432+(P432*Assumptions!P$5),-2)</f>
        <v>108500</v>
      </c>
      <c r="R432" s="9">
        <f>ROUNDUP(Q432+(Q432*Assumptions!Q$5),-2)</f>
        <v>111300</v>
      </c>
      <c r="S432" s="47">
        <f>ROUNDUP(R432+(R432*Assumptions!R$5),-2)</f>
        <v>114100</v>
      </c>
    </row>
    <row r="433" spans="1:19" ht="12.75" customHeight="1" x14ac:dyDescent="0.2">
      <c r="A433" s="54">
        <v>0</v>
      </c>
      <c r="B433" s="9">
        <v>5600</v>
      </c>
      <c r="C433" s="134">
        <v>41800</v>
      </c>
      <c r="D433" s="134">
        <f>24438+62</f>
        <v>24500</v>
      </c>
      <c r="E433" s="134">
        <v>23800</v>
      </c>
      <c r="F433" s="770" t="s">
        <v>3078</v>
      </c>
      <c r="G433" s="772" t="s">
        <v>11911</v>
      </c>
      <c r="H433" s="9">
        <f>27000-5000</f>
        <v>22000</v>
      </c>
      <c r="I433" s="85">
        <f t="shared" si="418"/>
        <v>-7.5630252100840334</v>
      </c>
      <c r="J433" s="9">
        <v>40000</v>
      </c>
      <c r="K433" s="9">
        <f>ROUNDUP(J433+(J433*Assumptions!J$5),-2)</f>
        <v>41000</v>
      </c>
      <c r="L433" s="9">
        <f>ROUNDUP(K433+(K433*Assumptions!K$5),-2)</f>
        <v>42100</v>
      </c>
      <c r="M433" s="9">
        <f>ROUNDUP(L433+(L433*Assumptions!L$5),-2)</f>
        <v>43200</v>
      </c>
      <c r="N433" s="9">
        <f>ROUNDUP(M433+(M433*Assumptions!M$5),-2)</f>
        <v>44300</v>
      </c>
      <c r="O433" s="9">
        <f>ROUNDUP(N433+(N433*Assumptions!N$5),-2)</f>
        <v>45500</v>
      </c>
      <c r="P433" s="89">
        <f>ROUNDUP(O433+(O433*Assumptions!O$5),-2)</f>
        <v>46700</v>
      </c>
      <c r="Q433" s="9">
        <f>ROUNDUP(P433+(P433*Assumptions!P$5),-2)</f>
        <v>47900</v>
      </c>
      <c r="R433" s="9">
        <f>ROUNDUP(Q433+(Q433*Assumptions!Q$5),-2)</f>
        <v>49100</v>
      </c>
      <c r="S433" s="47">
        <f>ROUNDUP(R433+(R433*Assumptions!R$5),-2)</f>
        <v>50400</v>
      </c>
    </row>
    <row r="434" spans="1:19" ht="12.75" customHeight="1" x14ac:dyDescent="0.2">
      <c r="A434" s="54">
        <v>0</v>
      </c>
      <c r="B434" s="9">
        <v>0</v>
      </c>
      <c r="C434" s="134">
        <v>0</v>
      </c>
      <c r="D434" s="134">
        <f>363+37</f>
        <v>400</v>
      </c>
      <c r="E434" s="134">
        <v>7300</v>
      </c>
      <c r="F434" s="770" t="s">
        <v>5521</v>
      </c>
      <c r="G434" s="772" t="s">
        <v>5923</v>
      </c>
      <c r="H434" s="9">
        <f>5000+2500+3000</f>
        <v>10500</v>
      </c>
      <c r="I434" s="85">
        <f t="shared" si="418"/>
        <v>43.835616438356162</v>
      </c>
      <c r="J434" s="9">
        <v>10000</v>
      </c>
      <c r="K434" s="9">
        <f>ROUNDUP(J434+(J434*Assumptions!J$5),-2)</f>
        <v>10300</v>
      </c>
      <c r="L434" s="9">
        <f>ROUNDUP(K434+(K434*Assumptions!K$5),-2)</f>
        <v>10600</v>
      </c>
      <c r="M434" s="9">
        <f>ROUNDUP(L434+(L434*Assumptions!L$5),-2)</f>
        <v>10900</v>
      </c>
      <c r="N434" s="9">
        <f>ROUNDUP(M434+(M434*Assumptions!M$5),-2)</f>
        <v>11200</v>
      </c>
      <c r="O434" s="9">
        <f>ROUNDUP(N434+(N434*Assumptions!N$5),-2)</f>
        <v>11500</v>
      </c>
      <c r="P434" s="89">
        <f>ROUNDUP(O434+(O434*Assumptions!O$5),-2)</f>
        <v>11800</v>
      </c>
      <c r="Q434" s="9">
        <f>ROUNDUP(P434+(P434*Assumptions!P$5),-2)</f>
        <v>12100</v>
      </c>
      <c r="R434" s="9">
        <f>ROUNDUP(Q434+(Q434*Assumptions!Q$5),-2)</f>
        <v>12500</v>
      </c>
      <c r="S434" s="47">
        <f>ROUNDUP(R434+(R434*Assumptions!R$5),-2)</f>
        <v>12900</v>
      </c>
    </row>
    <row r="435" spans="1:19" ht="12.75" customHeight="1" x14ac:dyDescent="0.2">
      <c r="A435" s="54">
        <v>0</v>
      </c>
      <c r="B435" s="9">
        <v>0</v>
      </c>
      <c r="C435" s="134">
        <v>0</v>
      </c>
      <c r="D435" s="134">
        <f>770+30</f>
        <v>800</v>
      </c>
      <c r="E435" s="134">
        <v>25200</v>
      </c>
      <c r="F435" s="770" t="s">
        <v>11705</v>
      </c>
      <c r="G435" s="772" t="s">
        <v>6482</v>
      </c>
      <c r="H435" s="79">
        <f>20000+5000</f>
        <v>25000</v>
      </c>
      <c r="I435" s="85">
        <f t="shared" si="418"/>
        <v>-0.79365079365079361</v>
      </c>
      <c r="J435" s="79">
        <v>26000</v>
      </c>
      <c r="K435" s="9">
        <f>ROUNDUP(J435+(J435*Assumptions!J$5),-2)</f>
        <v>26700</v>
      </c>
      <c r="L435" s="9">
        <f>ROUNDUP(K435+(K435*Assumptions!K$5),-2)</f>
        <v>27400</v>
      </c>
      <c r="M435" s="9">
        <f>ROUNDUP(L435+(L435*Assumptions!L$5),-2)</f>
        <v>28100</v>
      </c>
      <c r="N435" s="9">
        <f>ROUNDUP(M435+(M435*Assumptions!M$5),-2)</f>
        <v>28900</v>
      </c>
      <c r="O435" s="9">
        <f>ROUNDUP(N435+(N435*Assumptions!N$5),-2)</f>
        <v>29700</v>
      </c>
      <c r="P435" s="89">
        <f>ROUNDUP(O435+(O435*Assumptions!O$5),-2)</f>
        <v>30500</v>
      </c>
      <c r="Q435" s="9">
        <f>ROUNDUP(P435+(P435*Assumptions!P$5),-2)</f>
        <v>31300</v>
      </c>
      <c r="R435" s="9">
        <f>ROUNDUP(Q435+(Q435*Assumptions!Q$5),-2)</f>
        <v>32100</v>
      </c>
      <c r="S435" s="47">
        <f>ROUNDUP(R435+(R435*Assumptions!R$5),-2)</f>
        <v>33000</v>
      </c>
    </row>
    <row r="436" spans="1:19" ht="12.75" customHeight="1" x14ac:dyDescent="0.2">
      <c r="A436" s="54">
        <v>72400</v>
      </c>
      <c r="B436" s="9">
        <v>88400</v>
      </c>
      <c r="C436" s="134">
        <v>75700</v>
      </c>
      <c r="D436" s="134">
        <f>74109-9</f>
        <v>74100</v>
      </c>
      <c r="E436" s="134">
        <v>69600</v>
      </c>
      <c r="F436" s="1153" t="s">
        <v>2016</v>
      </c>
      <c r="G436" s="772" t="s">
        <v>2963</v>
      </c>
      <c r="H436" s="9">
        <v>75000</v>
      </c>
      <c r="I436" s="85">
        <f t="shared" si="418"/>
        <v>7.7586206896551726</v>
      </c>
      <c r="J436" s="9">
        <v>74000</v>
      </c>
      <c r="K436" s="9">
        <f>ROUNDUP(J436+(J436*Assumptions!J$5),-2)</f>
        <v>75900</v>
      </c>
      <c r="L436" s="9">
        <f>ROUNDUP(K436+(K436*Assumptions!K$5),-2)</f>
        <v>77800</v>
      </c>
      <c r="M436" s="9">
        <f>ROUNDUP(L436+(L436*Assumptions!L$5),-2)</f>
        <v>79800</v>
      </c>
      <c r="N436" s="9">
        <f>ROUNDUP(M436+(M436*Assumptions!M$5),-2)</f>
        <v>81800</v>
      </c>
      <c r="O436" s="9">
        <f>ROUNDUP(N436+(N436*Assumptions!N$5),-2)</f>
        <v>83900</v>
      </c>
      <c r="P436" s="89">
        <f>ROUNDUP(O436+(O436*Assumptions!O$5),-2)</f>
        <v>86000</v>
      </c>
      <c r="Q436" s="9">
        <f>ROUNDUP(P436+(P436*Assumptions!P$5),-2)</f>
        <v>88200</v>
      </c>
      <c r="R436" s="9">
        <f>ROUNDUP(Q436+(Q436*Assumptions!Q$5),-2)</f>
        <v>90500</v>
      </c>
      <c r="S436" s="47">
        <f>ROUNDUP(R436+(R436*Assumptions!R$5),-2)</f>
        <v>92800</v>
      </c>
    </row>
    <row r="437" spans="1:19" ht="12.75" customHeight="1" x14ac:dyDescent="0.2">
      <c r="A437" s="54">
        <v>33800</v>
      </c>
      <c r="B437" s="9">
        <v>14200</v>
      </c>
      <c r="C437" s="134">
        <v>12600</v>
      </c>
      <c r="D437" s="134">
        <f>15205-5</f>
        <v>15200</v>
      </c>
      <c r="E437" s="134">
        <v>14000</v>
      </c>
      <c r="F437" s="770" t="s">
        <v>2979</v>
      </c>
      <c r="G437" s="772" t="s">
        <v>2964</v>
      </c>
      <c r="H437" s="9">
        <f>16000+3000</f>
        <v>19000</v>
      </c>
      <c r="I437" s="85">
        <f t="shared" si="418"/>
        <v>35.714285714285715</v>
      </c>
      <c r="J437" s="9">
        <v>15000</v>
      </c>
      <c r="K437" s="9">
        <f>ROUNDUP(J437+(J437*Assumptions!J$5),-2)</f>
        <v>15400</v>
      </c>
      <c r="L437" s="9">
        <f>ROUNDUP(K437+(K437*Assumptions!K$5),-2)</f>
        <v>15800</v>
      </c>
      <c r="M437" s="9">
        <f>ROUNDUP(L437+(L437*Assumptions!L$5),-2)</f>
        <v>16200</v>
      </c>
      <c r="N437" s="9">
        <f>ROUNDUP(M437+(M437*Assumptions!M$5),-2)</f>
        <v>16700</v>
      </c>
      <c r="O437" s="9">
        <f>ROUNDUP(N437+(N437*Assumptions!N$5),-2)</f>
        <v>17200</v>
      </c>
      <c r="P437" s="89">
        <f>ROUNDUP(O437+(O437*Assumptions!O$5),-2)</f>
        <v>17700</v>
      </c>
      <c r="Q437" s="9">
        <f>ROUNDUP(P437+(P437*Assumptions!P$5),-2)</f>
        <v>18200</v>
      </c>
      <c r="R437" s="9">
        <f>ROUNDUP(Q437+(Q437*Assumptions!Q$5),-2)</f>
        <v>18700</v>
      </c>
      <c r="S437" s="47">
        <f>ROUNDUP(R437+(R437*Assumptions!R$5),-2)</f>
        <v>19200</v>
      </c>
    </row>
    <row r="438" spans="1:19" ht="12.75" customHeight="1" x14ac:dyDescent="0.2">
      <c r="A438" s="54">
        <v>0</v>
      </c>
      <c r="B438" s="9">
        <v>0</v>
      </c>
      <c r="C438" s="134">
        <v>0</v>
      </c>
      <c r="D438" s="134">
        <v>0</v>
      </c>
      <c r="E438" s="134">
        <v>0</v>
      </c>
      <c r="F438" s="770" t="s">
        <v>7209</v>
      </c>
      <c r="G438" s="772" t="s">
        <v>6009</v>
      </c>
      <c r="H438" s="9">
        <v>0</v>
      </c>
      <c r="I438" s="85">
        <f t="shared" si="418"/>
        <v>0</v>
      </c>
      <c r="J438" s="9">
        <v>20000</v>
      </c>
      <c r="K438" s="9">
        <v>40000</v>
      </c>
      <c r="L438" s="9">
        <f>ROUNDUP(K438+(K438*Assumptions!K$5),-2)</f>
        <v>41000</v>
      </c>
      <c r="M438" s="9">
        <f>ROUNDUP(L438+(L438*Assumptions!L$5),-2)</f>
        <v>42100</v>
      </c>
      <c r="N438" s="9">
        <f>ROUNDUP(M438+(M438*Assumptions!M$5),-2)</f>
        <v>43200</v>
      </c>
      <c r="O438" s="9">
        <f>ROUNDUP(N438+(N438*Assumptions!N$5),-2)</f>
        <v>44300</v>
      </c>
      <c r="P438" s="89">
        <f>ROUNDUP(O438+(O438*Assumptions!O$5),-2)</f>
        <v>45500</v>
      </c>
      <c r="Q438" s="9">
        <f>ROUNDUP(P438+(P438*Assumptions!P$5),-2)</f>
        <v>46700</v>
      </c>
      <c r="R438" s="9">
        <f>ROUNDUP(Q438+(Q438*Assumptions!Q$5),-2)</f>
        <v>47900</v>
      </c>
      <c r="S438" s="47">
        <f>ROUNDUP(R438+(R438*Assumptions!R$5),-2)</f>
        <v>49100</v>
      </c>
    </row>
    <row r="439" spans="1:19" ht="12.75" customHeight="1" x14ac:dyDescent="0.2">
      <c r="A439" s="54">
        <v>0</v>
      </c>
      <c r="B439" s="9">
        <v>0</v>
      </c>
      <c r="C439" s="134">
        <v>0</v>
      </c>
      <c r="D439" s="134">
        <v>0</v>
      </c>
      <c r="E439" s="134">
        <v>0</v>
      </c>
      <c r="F439" s="770" t="s">
        <v>7210</v>
      </c>
      <c r="G439" s="772" t="s">
        <v>6898</v>
      </c>
      <c r="H439" s="9">
        <v>0</v>
      </c>
      <c r="I439" s="85">
        <f t="shared" si="418"/>
        <v>0</v>
      </c>
      <c r="J439" s="9">
        <v>50000</v>
      </c>
      <c r="K439" s="9">
        <v>100000</v>
      </c>
      <c r="L439" s="9">
        <f>ROUNDUP(K439+(K439*Assumptions!K$5),-2)</f>
        <v>102500</v>
      </c>
      <c r="M439" s="9">
        <f>ROUNDUP(L439+(L439*Assumptions!L$5),-2)</f>
        <v>105100</v>
      </c>
      <c r="N439" s="9">
        <f>ROUNDUP(M439+(M439*Assumptions!M$5),-2)</f>
        <v>107800</v>
      </c>
      <c r="O439" s="9">
        <f>ROUNDUP(N439+(N439*Assumptions!N$5),-2)</f>
        <v>110500</v>
      </c>
      <c r="P439" s="89">
        <f>ROUNDUP(O439+(O439*Assumptions!O$5),-2)</f>
        <v>113300</v>
      </c>
      <c r="Q439" s="9">
        <f>ROUNDUP(P439+(P439*Assumptions!P$5),-2)</f>
        <v>116200</v>
      </c>
      <c r="R439" s="9">
        <f>ROUNDUP(Q439+(Q439*Assumptions!Q$5),-2)</f>
        <v>119200</v>
      </c>
      <c r="S439" s="47">
        <f>ROUNDUP(R439+(R439*Assumptions!R$5),-2)</f>
        <v>122200</v>
      </c>
    </row>
    <row r="440" spans="1:19" ht="12.75" customHeight="1" x14ac:dyDescent="0.2">
      <c r="A440" s="54">
        <v>0</v>
      </c>
      <c r="B440" s="9">
        <v>0</v>
      </c>
      <c r="C440" s="134">
        <v>0</v>
      </c>
      <c r="D440" s="134">
        <v>0</v>
      </c>
      <c r="E440" s="134">
        <v>0</v>
      </c>
      <c r="F440" s="770" t="s">
        <v>7211</v>
      </c>
      <c r="G440" s="772" t="s">
        <v>6899</v>
      </c>
      <c r="H440" s="9">
        <v>0</v>
      </c>
      <c r="I440" s="85">
        <f t="shared" si="418"/>
        <v>0</v>
      </c>
      <c r="J440" s="9">
        <v>50000</v>
      </c>
      <c r="K440" s="9">
        <v>100000</v>
      </c>
      <c r="L440" s="9">
        <f>ROUNDUP(K440+(K440*Assumptions!K$5),-2)</f>
        <v>102500</v>
      </c>
      <c r="M440" s="9">
        <f>ROUNDUP(L440+(L440*Assumptions!L$5),-2)</f>
        <v>105100</v>
      </c>
      <c r="N440" s="9">
        <f>ROUNDUP(M440+(M440*Assumptions!M$5),-2)</f>
        <v>107800</v>
      </c>
      <c r="O440" s="9">
        <f>ROUNDUP(N440+(N440*Assumptions!N$5),-2)</f>
        <v>110500</v>
      </c>
      <c r="P440" s="89">
        <f>ROUNDUP(O440+(O440*Assumptions!O$5),-2)</f>
        <v>113300</v>
      </c>
      <c r="Q440" s="9">
        <f>ROUNDUP(P440+(P440*Assumptions!P$5),-2)</f>
        <v>116200</v>
      </c>
      <c r="R440" s="9">
        <f>ROUNDUP(Q440+(Q440*Assumptions!Q$5),-2)</f>
        <v>119200</v>
      </c>
      <c r="S440" s="47">
        <f>ROUNDUP(R440+(R440*Assumptions!R$5),-2)</f>
        <v>122200</v>
      </c>
    </row>
    <row r="441" spans="1:19" ht="12.75" customHeight="1" x14ac:dyDescent="0.2">
      <c r="A441" s="54">
        <v>20000</v>
      </c>
      <c r="B441" s="9">
        <v>20200</v>
      </c>
      <c r="C441" s="134">
        <v>19800</v>
      </c>
      <c r="D441" s="134">
        <f>20926-26</f>
        <v>20900</v>
      </c>
      <c r="E441" s="134">
        <v>17700</v>
      </c>
      <c r="F441" s="1153" t="s">
        <v>2476</v>
      </c>
      <c r="G441" s="247" t="s">
        <v>1155</v>
      </c>
      <c r="H441" s="9">
        <f>20000-2000</f>
        <v>18000</v>
      </c>
      <c r="I441" s="85">
        <f t="shared" si="418"/>
        <v>1.6949152542372881</v>
      </c>
      <c r="J441" s="9">
        <v>18000</v>
      </c>
      <c r="K441" s="9">
        <f>ROUNDUP(J441+(J441*Assumptions!J$5),-2)</f>
        <v>18500</v>
      </c>
      <c r="L441" s="9">
        <f>ROUNDUP(K441+(K441*Assumptions!K$5),-2)</f>
        <v>19000</v>
      </c>
      <c r="M441" s="9">
        <f>ROUNDUP(L441+(L441*Assumptions!L$5),-2)</f>
        <v>19500</v>
      </c>
      <c r="N441" s="9">
        <f>ROUNDUP(M441+(M441*Assumptions!M$5),-2)</f>
        <v>20000</v>
      </c>
      <c r="O441" s="9">
        <f>ROUNDUP(N441+(N441*Assumptions!N$5),-2)</f>
        <v>20500</v>
      </c>
      <c r="P441" s="89">
        <f>ROUNDUP(O441+(O441*Assumptions!O$5),-2)</f>
        <v>21100</v>
      </c>
      <c r="Q441" s="9">
        <f>ROUNDUP(P441+(P441*Assumptions!P$5),-2)</f>
        <v>21700</v>
      </c>
      <c r="R441" s="9">
        <f>ROUNDUP(Q441+(Q441*Assumptions!Q$5),-2)</f>
        <v>22300</v>
      </c>
      <c r="S441" s="47">
        <f>ROUNDUP(R441+(R441*Assumptions!R$5),-2)</f>
        <v>22900</v>
      </c>
    </row>
    <row r="442" spans="1:19" ht="12.75" customHeight="1" x14ac:dyDescent="0.2">
      <c r="A442" s="54">
        <v>0</v>
      </c>
      <c r="B442" s="9">
        <v>30200</v>
      </c>
      <c r="C442" s="134">
        <v>43900</v>
      </c>
      <c r="D442" s="134">
        <f>49642-42</f>
        <v>49600</v>
      </c>
      <c r="E442" s="134">
        <v>45800</v>
      </c>
      <c r="F442" s="770" t="s">
        <v>2998</v>
      </c>
      <c r="G442" s="772" t="s">
        <v>3472</v>
      </c>
      <c r="H442" s="9">
        <f>50000-1000+10000</f>
        <v>59000</v>
      </c>
      <c r="I442" s="85">
        <f t="shared" si="418"/>
        <v>28.820960698689959</v>
      </c>
      <c r="J442" s="9">
        <v>60000</v>
      </c>
      <c r="K442" s="9">
        <f>ROUNDUP(J442+(J442*Assumptions!J$5),-2)</f>
        <v>61500</v>
      </c>
      <c r="L442" s="9">
        <f>ROUNDUP(K442+(K442*Assumptions!K$5),-2)</f>
        <v>63100</v>
      </c>
      <c r="M442" s="9">
        <f>ROUNDUP(L442+(L442*Assumptions!L$5),-2)</f>
        <v>64700</v>
      </c>
      <c r="N442" s="9">
        <f>ROUNDUP(M442+(M442*Assumptions!M$5),-2)</f>
        <v>66400</v>
      </c>
      <c r="O442" s="9">
        <f>ROUNDUP(N442+(N442*Assumptions!N$5),-2)</f>
        <v>68100</v>
      </c>
      <c r="P442" s="89">
        <f>ROUNDUP(O442+(O442*Assumptions!O$5),-2)</f>
        <v>69900</v>
      </c>
      <c r="Q442" s="9">
        <f>ROUNDUP(P442+(P442*Assumptions!P$5),-2)</f>
        <v>71700</v>
      </c>
      <c r="R442" s="9">
        <f>ROUNDUP(Q442+(Q442*Assumptions!Q$5),-2)</f>
        <v>73500</v>
      </c>
      <c r="S442" s="47">
        <f>ROUNDUP(R442+(R442*Assumptions!R$5),-2)</f>
        <v>75400</v>
      </c>
    </row>
    <row r="443" spans="1:19" ht="12.75" customHeight="1" x14ac:dyDescent="0.2">
      <c r="A443" s="54">
        <v>0</v>
      </c>
      <c r="B443" s="9">
        <f>49100-B442</f>
        <v>18900</v>
      </c>
      <c r="C443" s="134">
        <v>58400</v>
      </c>
      <c r="D443" s="134">
        <f>58340+60</f>
        <v>58400</v>
      </c>
      <c r="E443" s="134">
        <v>60700</v>
      </c>
      <c r="F443" s="770" t="s">
        <v>4062</v>
      </c>
      <c r="G443" s="772" t="s">
        <v>4487</v>
      </c>
      <c r="H443" s="79">
        <f>66000-7500+2000</f>
        <v>60500</v>
      </c>
      <c r="I443" s="85">
        <f t="shared" si="418"/>
        <v>-0.32948929159802309</v>
      </c>
      <c r="J443" s="9">
        <v>62000</v>
      </c>
      <c r="K443" s="9">
        <f>ROUNDUP(J443+(J443*Assumptions!J$5),-2)</f>
        <v>63600</v>
      </c>
      <c r="L443" s="9">
        <f>ROUNDUP(K443+(K443*Assumptions!K$5),-2)</f>
        <v>65200</v>
      </c>
      <c r="M443" s="9">
        <f>ROUNDUP(L443+(L443*Assumptions!L$5),-2)</f>
        <v>66900</v>
      </c>
      <c r="N443" s="9">
        <f>ROUNDUP(M443+(M443*Assumptions!M$5),-2)</f>
        <v>68600</v>
      </c>
      <c r="O443" s="9">
        <f>ROUNDUP(N443+(N443*Assumptions!N$5),-2)</f>
        <v>70400</v>
      </c>
      <c r="P443" s="89">
        <f>ROUNDUP(O443+(O443*Assumptions!O$5),-2)</f>
        <v>72200</v>
      </c>
      <c r="Q443" s="9">
        <f>ROUNDUP(P443+(P443*Assumptions!P$5),-2)</f>
        <v>74100</v>
      </c>
      <c r="R443" s="9">
        <f>ROUNDUP(Q443+(Q443*Assumptions!Q$5),-2)</f>
        <v>76000</v>
      </c>
      <c r="S443" s="47">
        <f>ROUNDUP(R443+(R443*Assumptions!R$5),-2)</f>
        <v>77900</v>
      </c>
    </row>
    <row r="444" spans="1:19" ht="12.75" customHeight="1" x14ac:dyDescent="0.2">
      <c r="A444" s="54">
        <v>0</v>
      </c>
      <c r="B444" s="9">
        <v>0</v>
      </c>
      <c r="C444" s="134">
        <f>2700+2000</f>
        <v>4700</v>
      </c>
      <c r="D444" s="134">
        <f>2488+12</f>
        <v>2500</v>
      </c>
      <c r="E444" s="134">
        <v>4500</v>
      </c>
      <c r="F444" s="770" t="s">
        <v>4168</v>
      </c>
      <c r="G444" s="772" t="s">
        <v>4486</v>
      </c>
      <c r="H444" s="9">
        <f>3000+2000-1500</f>
        <v>3500</v>
      </c>
      <c r="I444" s="85">
        <f t="shared" si="418"/>
        <v>-22.222222222222221</v>
      </c>
      <c r="J444" s="9">
        <v>4000</v>
      </c>
      <c r="K444" s="9">
        <f>ROUNDUP(J444+(J444*Assumptions!J$5),-2)</f>
        <v>4100</v>
      </c>
      <c r="L444" s="9">
        <f>ROUNDUP(K444+(K444*Assumptions!K$5),-2)</f>
        <v>4300</v>
      </c>
      <c r="M444" s="9">
        <f>ROUNDUP(L444+(L444*Assumptions!L$5),-2)</f>
        <v>4500</v>
      </c>
      <c r="N444" s="9">
        <f>ROUNDUP(M444+(M444*Assumptions!M$5),-2)</f>
        <v>4700</v>
      </c>
      <c r="O444" s="9">
        <f>ROUNDUP(N444+(N444*Assumptions!N$5),-2)</f>
        <v>4900</v>
      </c>
      <c r="P444" s="89">
        <f>ROUNDUP(O444+(O444*Assumptions!O$5),-2)</f>
        <v>5100</v>
      </c>
      <c r="Q444" s="9">
        <f>ROUNDUP(P444+(P444*Assumptions!P$5),-2)</f>
        <v>5300</v>
      </c>
      <c r="R444" s="9">
        <f>ROUNDUP(Q444+(Q444*Assumptions!Q$5),-2)</f>
        <v>5500</v>
      </c>
      <c r="S444" s="47">
        <f>ROUNDUP(R444+(R444*Assumptions!R$5),-2)</f>
        <v>5700</v>
      </c>
    </row>
    <row r="445" spans="1:19" ht="12.75" customHeight="1" x14ac:dyDescent="0.2">
      <c r="A445" s="54"/>
      <c r="B445" s="9"/>
      <c r="C445" s="134"/>
      <c r="D445" s="134"/>
      <c r="E445" s="134"/>
      <c r="F445" s="770"/>
      <c r="G445" s="772"/>
      <c r="H445" s="9"/>
      <c r="I445" s="85"/>
      <c r="J445" s="9"/>
      <c r="K445" s="9"/>
      <c r="L445" s="9"/>
      <c r="M445" s="9"/>
      <c r="N445" s="9"/>
      <c r="O445" s="9"/>
      <c r="P445" s="89"/>
      <c r="Q445" s="9"/>
      <c r="R445" s="9"/>
      <c r="S445" s="47"/>
    </row>
    <row r="446" spans="1:19" ht="12.75" customHeight="1" x14ac:dyDescent="0.2">
      <c r="A446" s="54"/>
      <c r="B446" s="9"/>
      <c r="C446" s="9"/>
      <c r="D446" s="9"/>
      <c r="E446" s="9"/>
      <c r="F446" s="469"/>
      <c r="G446" s="84" t="s">
        <v>677</v>
      </c>
      <c r="H446" s="9"/>
      <c r="I446" s="85"/>
      <c r="J446" s="9"/>
      <c r="K446" s="9"/>
      <c r="L446" s="9"/>
      <c r="M446" s="9"/>
      <c r="N446" s="9"/>
      <c r="O446" s="9"/>
      <c r="P446" s="89"/>
      <c r="Q446" s="9"/>
      <c r="R446" s="9"/>
      <c r="S446" s="47"/>
    </row>
    <row r="447" spans="1:19" ht="12.75" customHeight="1" x14ac:dyDescent="0.2">
      <c r="A447" s="54">
        <f>7800+11400</f>
        <v>19200</v>
      </c>
      <c r="B447" s="9">
        <v>6500</v>
      </c>
      <c r="C447" s="9">
        <v>0</v>
      </c>
      <c r="D447" s="9">
        <v>0</v>
      </c>
      <c r="E447" s="9">
        <v>0</v>
      </c>
      <c r="F447" s="469" t="s">
        <v>1793</v>
      </c>
      <c r="G447" s="58" t="s">
        <v>6767</v>
      </c>
      <c r="H447" s="9">
        <v>0</v>
      </c>
      <c r="I447" s="85">
        <f>IF(E447=H447,0,IF(E447=0,100,(H447-E447)/E447*100))</f>
        <v>0</v>
      </c>
      <c r="J447" s="9">
        <v>0</v>
      </c>
      <c r="K447" s="9">
        <f>ROUNDUP(J447+(J447*Assumptions!J$5),-2)</f>
        <v>0</v>
      </c>
      <c r="L447" s="9">
        <f>ROUNDUP(K447+(K447*Assumptions!K$5),-2)</f>
        <v>0</v>
      </c>
      <c r="M447" s="9">
        <f>ROUNDUP(L447+(L447*Assumptions!L$5),-2)</f>
        <v>0</v>
      </c>
      <c r="N447" s="9">
        <f>ROUNDUP(M447+(M447*Assumptions!M$5),-2)</f>
        <v>0</v>
      </c>
      <c r="O447" s="9">
        <f>ROUNDUP(N447+(N447*Assumptions!N$5),-2)</f>
        <v>0</v>
      </c>
      <c r="P447" s="89">
        <f>ROUNDUP(O447+(O447*Assumptions!O$5),-2)</f>
        <v>0</v>
      </c>
      <c r="Q447" s="9">
        <f>ROUNDUP(P447+(P447*Assumptions!P$5),-2)</f>
        <v>0</v>
      </c>
      <c r="R447" s="9">
        <f>ROUNDUP(Q447+(Q447*Assumptions!Q$5),-2)</f>
        <v>0</v>
      </c>
      <c r="S447" s="47">
        <f>ROUNDUP(R447+(R447*Assumptions!R$5),-2)</f>
        <v>0</v>
      </c>
    </row>
    <row r="448" spans="1:19" ht="12.75" customHeight="1" x14ac:dyDescent="0.2">
      <c r="A448" s="54">
        <v>1500</v>
      </c>
      <c r="B448" s="9">
        <v>1500</v>
      </c>
      <c r="C448" s="9">
        <v>1500</v>
      </c>
      <c r="D448" s="9">
        <f>1538-38</f>
        <v>1500</v>
      </c>
      <c r="E448" s="9">
        <v>1500</v>
      </c>
      <c r="F448" s="469" t="s">
        <v>1794</v>
      </c>
      <c r="G448" s="371" t="s">
        <v>375</v>
      </c>
      <c r="H448" s="9">
        <v>1500</v>
      </c>
      <c r="I448" s="85">
        <f>IF(E448=H448,0,IF(E448=0,100,(H448-E448)/E448*100))</f>
        <v>0</v>
      </c>
      <c r="J448" s="9">
        <v>1500</v>
      </c>
      <c r="K448" s="9">
        <f>ROUNDUP(J448+(J448*Assumptions!J$5),-2)</f>
        <v>1600</v>
      </c>
      <c r="L448" s="9">
        <f>ROUNDUP(K448+(K448*Assumptions!K$5),-2)</f>
        <v>1700</v>
      </c>
      <c r="M448" s="9">
        <f>ROUNDUP(L448+(L448*Assumptions!L$5),-2)</f>
        <v>1800</v>
      </c>
      <c r="N448" s="9">
        <f>ROUNDUP(M448+(M448*Assumptions!M$5),-2)</f>
        <v>1900</v>
      </c>
      <c r="O448" s="9">
        <f>ROUNDUP(N448+(N448*Assumptions!N$5),-2)</f>
        <v>2000</v>
      </c>
      <c r="P448" s="89">
        <f>ROUNDUP(O448+(O448*Assumptions!O$5),-2)</f>
        <v>2100</v>
      </c>
      <c r="Q448" s="9">
        <f>ROUNDUP(P448+(P448*Assumptions!P$5),-2)</f>
        <v>2200</v>
      </c>
      <c r="R448" s="9">
        <f>ROUNDUP(Q448+(Q448*Assumptions!Q$5),-2)</f>
        <v>2300</v>
      </c>
      <c r="S448" s="47">
        <f>ROUNDUP(R448+(R448*Assumptions!R$5),-2)</f>
        <v>2400</v>
      </c>
    </row>
    <row r="449" spans="1:19" ht="12.75" customHeight="1" x14ac:dyDescent="0.2">
      <c r="A449" s="54"/>
      <c r="B449" s="9"/>
      <c r="C449" s="9"/>
      <c r="D449" s="9"/>
      <c r="E449" s="9"/>
      <c r="F449" s="769"/>
      <c r="G449" s="772"/>
      <c r="H449" s="9"/>
      <c r="I449" s="85"/>
      <c r="J449" s="9"/>
      <c r="K449" s="9"/>
      <c r="L449" s="9"/>
      <c r="M449" s="9"/>
      <c r="N449" s="9"/>
      <c r="O449" s="9"/>
      <c r="P449" s="89"/>
      <c r="Q449" s="9"/>
      <c r="R449" s="9"/>
      <c r="S449" s="47"/>
    </row>
    <row r="450" spans="1:19" ht="12.75" customHeight="1" x14ac:dyDescent="0.2">
      <c r="A450" s="54"/>
      <c r="B450" s="9"/>
      <c r="C450" s="9"/>
      <c r="D450" s="9"/>
      <c r="E450" s="9"/>
      <c r="F450" s="769"/>
      <c r="G450" s="542" t="s">
        <v>420</v>
      </c>
      <c r="H450" s="9"/>
      <c r="I450" s="85"/>
      <c r="J450" s="9"/>
      <c r="K450" s="9"/>
      <c r="L450" s="9"/>
      <c r="M450" s="9"/>
      <c r="N450" s="9"/>
      <c r="O450" s="9"/>
      <c r="P450" s="89"/>
      <c r="Q450" s="9"/>
      <c r="R450" s="9"/>
      <c r="S450" s="47"/>
    </row>
    <row r="451" spans="1:19" ht="12.75" customHeight="1" x14ac:dyDescent="0.2">
      <c r="A451" s="54">
        <v>0</v>
      </c>
      <c r="B451" s="9">
        <v>0</v>
      </c>
      <c r="C451" s="9">
        <v>11000</v>
      </c>
      <c r="D451" s="9">
        <f>10488+12</f>
        <v>10500</v>
      </c>
      <c r="E451" s="9">
        <v>11900</v>
      </c>
      <c r="F451" s="771" t="s">
        <v>4169</v>
      </c>
      <c r="G451" s="772" t="s">
        <v>4708</v>
      </c>
      <c r="H451" s="9">
        <f>6600+5000</f>
        <v>11600</v>
      </c>
      <c r="I451" s="85">
        <f t="shared" ref="I451:I457" si="419">IF(E451=H451,0,IF(E451=0,100,(H451-E451)/E451*100))</f>
        <v>-2.5210084033613445</v>
      </c>
      <c r="J451" s="9">
        <v>12000</v>
      </c>
      <c r="K451" s="9">
        <f>ROUNDUP(J451+(J451*Assumptions!J$5),-2)</f>
        <v>12300</v>
      </c>
      <c r="L451" s="9">
        <f>ROUNDUP(K451+(K451*Assumptions!K$5),-2)</f>
        <v>12700</v>
      </c>
      <c r="M451" s="9">
        <f>ROUNDUP(L451+(L451*Assumptions!L$5),-2)</f>
        <v>13100</v>
      </c>
      <c r="N451" s="9">
        <f>ROUNDUP(M451+(M451*Assumptions!M$5),-2)</f>
        <v>13500</v>
      </c>
      <c r="O451" s="9">
        <f>ROUNDUP(N451+(N451*Assumptions!N$5),-2)</f>
        <v>13900</v>
      </c>
      <c r="P451" s="89">
        <f>ROUNDUP(O451+(O451*Assumptions!O$5),-2)</f>
        <v>14300</v>
      </c>
      <c r="Q451" s="9">
        <f>ROUNDUP(P451+(P451*Assumptions!P$5),-2)</f>
        <v>14700</v>
      </c>
      <c r="R451" s="9">
        <f>ROUNDUP(Q451+(Q451*Assumptions!Q$5),-2)</f>
        <v>15100</v>
      </c>
      <c r="S451" s="47">
        <f>ROUNDUP(R451+(R451*Assumptions!R$5),-2)</f>
        <v>15500</v>
      </c>
    </row>
    <row r="452" spans="1:19" ht="12.75" customHeight="1" x14ac:dyDescent="0.2">
      <c r="A452" s="54">
        <v>0</v>
      </c>
      <c r="B452" s="9">
        <v>0</v>
      </c>
      <c r="C452" s="9">
        <v>2300</v>
      </c>
      <c r="D452" s="9">
        <f>2446-46</f>
        <v>2400</v>
      </c>
      <c r="E452" s="9">
        <v>2600</v>
      </c>
      <c r="F452" s="771" t="s">
        <v>4170</v>
      </c>
      <c r="G452" s="772" t="s">
        <v>6768</v>
      </c>
      <c r="H452" s="9">
        <f>1300+1000</f>
        <v>2300</v>
      </c>
      <c r="I452" s="85">
        <f t="shared" si="419"/>
        <v>-11.538461538461538</v>
      </c>
      <c r="J452" s="9">
        <v>0</v>
      </c>
      <c r="K452" s="9">
        <f>ROUNDUP(J452+(J452*Assumptions!J$5),-2)</f>
        <v>0</v>
      </c>
      <c r="L452" s="9">
        <f>ROUNDUP(K452+(K452*Assumptions!K$5),-2)</f>
        <v>0</v>
      </c>
      <c r="M452" s="9">
        <f>ROUNDUP(L452+(L452*Assumptions!L$5),-2)</f>
        <v>0</v>
      </c>
      <c r="N452" s="9">
        <f>ROUNDUP(M452+(M452*Assumptions!M$5),-2)</f>
        <v>0</v>
      </c>
      <c r="O452" s="9">
        <f>ROUNDUP(N452+(N452*Assumptions!N$5),-2)</f>
        <v>0</v>
      </c>
      <c r="P452" s="89">
        <f>ROUNDUP(O452+(O452*Assumptions!O$5),-2)</f>
        <v>0</v>
      </c>
      <c r="Q452" s="9">
        <f>ROUNDUP(P452+(P452*Assumptions!P$5),-2)</f>
        <v>0</v>
      </c>
      <c r="R452" s="9">
        <f>ROUNDUP(Q452+(Q452*Assumptions!Q$5),-2)</f>
        <v>0</v>
      </c>
      <c r="S452" s="47">
        <f>ROUNDUP(R452+(R452*Assumptions!R$5),-2)</f>
        <v>0</v>
      </c>
    </row>
    <row r="453" spans="1:19" ht="12.75" customHeight="1" x14ac:dyDescent="0.2">
      <c r="A453" s="54">
        <v>0</v>
      </c>
      <c r="B453" s="9">
        <v>0</v>
      </c>
      <c r="C453" s="9">
        <v>6700</v>
      </c>
      <c r="D453" s="9">
        <f>14042-42</f>
        <v>14000</v>
      </c>
      <c r="E453" s="9">
        <v>13300</v>
      </c>
      <c r="F453" s="770" t="s">
        <v>3945</v>
      </c>
      <c r="G453" s="662" t="s">
        <v>3741</v>
      </c>
      <c r="H453" s="9">
        <v>7600</v>
      </c>
      <c r="I453" s="85">
        <f t="shared" si="419"/>
        <v>-42.857142857142854</v>
      </c>
      <c r="J453" s="9">
        <v>14000</v>
      </c>
      <c r="K453" s="9">
        <f>ROUNDUP(J453+(J453*Assumptions!J$5),-2)</f>
        <v>14400</v>
      </c>
      <c r="L453" s="9">
        <f>ROUNDUP(K453+(K453*Assumptions!K$5),-2)</f>
        <v>14800</v>
      </c>
      <c r="M453" s="9">
        <f>ROUNDUP(L453+(L453*Assumptions!L$5),-2)</f>
        <v>15200</v>
      </c>
      <c r="N453" s="9">
        <f>ROUNDUP(M453+(M453*Assumptions!M$5),-2)</f>
        <v>15600</v>
      </c>
      <c r="O453" s="9">
        <f>ROUNDUP(N453+(N453*Assumptions!N$5),-2)</f>
        <v>16000</v>
      </c>
      <c r="P453" s="89">
        <f>ROUNDUP(O453+(O453*Assumptions!O$5),-2)</f>
        <v>16400</v>
      </c>
      <c r="Q453" s="9">
        <f>ROUNDUP(P453+(P453*Assumptions!P$5),-2)</f>
        <v>16900</v>
      </c>
      <c r="R453" s="9">
        <f>ROUNDUP(Q453+(Q453*Assumptions!Q$5),-2)</f>
        <v>17400</v>
      </c>
      <c r="S453" s="47">
        <f>ROUNDUP(R453+(R453*Assumptions!R$5),-2)</f>
        <v>17900</v>
      </c>
    </row>
    <row r="454" spans="1:19" ht="12.75" customHeight="1" x14ac:dyDescent="0.2">
      <c r="A454" s="54">
        <v>0</v>
      </c>
      <c r="B454" s="9">
        <v>0</v>
      </c>
      <c r="C454" s="9">
        <v>0</v>
      </c>
      <c r="D454" s="9">
        <v>0</v>
      </c>
      <c r="E454" s="9">
        <v>0</v>
      </c>
      <c r="F454" s="770" t="s">
        <v>3945</v>
      </c>
      <c r="G454" s="79" t="s">
        <v>4955</v>
      </c>
      <c r="H454" s="9">
        <v>6900</v>
      </c>
      <c r="I454" s="85">
        <f t="shared" si="419"/>
        <v>100</v>
      </c>
      <c r="J454" s="9">
        <v>7000</v>
      </c>
      <c r="K454" s="9">
        <f>ROUNDUP(J454+(J454*Assumptions!J$5),-2)</f>
        <v>7200</v>
      </c>
      <c r="L454" s="9">
        <f>ROUNDUP(K454+(K454*Assumptions!K$5),-2)</f>
        <v>7400</v>
      </c>
      <c r="M454" s="9">
        <f>ROUNDUP(L454+(L454*Assumptions!L$5),-2)</f>
        <v>7600</v>
      </c>
      <c r="N454" s="9">
        <f>ROUNDUP(M454+(M454*Assumptions!M$5),-2)</f>
        <v>7800</v>
      </c>
      <c r="O454" s="9">
        <f>ROUNDUP(N454+(N454*Assumptions!N$5),-2)</f>
        <v>8000</v>
      </c>
      <c r="P454" s="89">
        <f>ROUNDUP(O454+(O454*Assumptions!O$5),-2)</f>
        <v>8200</v>
      </c>
      <c r="Q454" s="9">
        <f>ROUNDUP(P454+(P454*Assumptions!P$5),-2)</f>
        <v>8500</v>
      </c>
      <c r="R454" s="9">
        <f>ROUNDUP(Q454+(Q454*Assumptions!Q$5),-2)</f>
        <v>8800</v>
      </c>
      <c r="S454" s="47">
        <f>ROUNDUP(R454+(R454*Assumptions!R$5),-2)</f>
        <v>9100</v>
      </c>
    </row>
    <row r="455" spans="1:19" ht="12.75" customHeight="1" x14ac:dyDescent="0.2">
      <c r="A455" s="54">
        <v>0</v>
      </c>
      <c r="B455" s="9">
        <v>0</v>
      </c>
      <c r="C455" s="9">
        <v>0</v>
      </c>
      <c r="D455" s="9">
        <v>0</v>
      </c>
      <c r="E455" s="9">
        <v>8500</v>
      </c>
      <c r="F455" s="770" t="s">
        <v>11706</v>
      </c>
      <c r="G455" s="2355" t="s">
        <v>7262</v>
      </c>
      <c r="H455" s="9">
        <v>2000</v>
      </c>
      <c r="I455" s="85">
        <f t="shared" si="419"/>
        <v>-76.470588235294116</v>
      </c>
      <c r="J455" s="9">
        <v>2000</v>
      </c>
      <c r="K455" s="9">
        <f>ROUNDUP(J455+(J455*Assumptions!J$5),-2)</f>
        <v>2100</v>
      </c>
      <c r="L455" s="9">
        <f>ROUNDUP(K455+(K455*Assumptions!K$5),-2)</f>
        <v>2200</v>
      </c>
      <c r="M455" s="9">
        <f>ROUNDUP(L455+(L455*Assumptions!L$5),-2)</f>
        <v>2300</v>
      </c>
      <c r="N455" s="9">
        <f>ROUNDUP(M455+(M455*Assumptions!M$5),-2)</f>
        <v>2400</v>
      </c>
      <c r="O455" s="9">
        <f>ROUNDUP(N455+(N455*Assumptions!N$5),-2)</f>
        <v>2500</v>
      </c>
      <c r="P455" s="89">
        <f>ROUNDUP(O455+(O455*Assumptions!O$5),-2)</f>
        <v>2600</v>
      </c>
      <c r="Q455" s="9">
        <f>ROUNDUP(P455+(P455*Assumptions!P$5),-2)</f>
        <v>2700</v>
      </c>
      <c r="R455" s="9">
        <f>ROUNDUP(Q455+(Q455*Assumptions!Q$5),-2)</f>
        <v>2800</v>
      </c>
      <c r="S455" s="47">
        <f>ROUNDUP(R455+(R455*Assumptions!R$5),-2)</f>
        <v>2900</v>
      </c>
    </row>
    <row r="456" spans="1:19" ht="12.75" customHeight="1" x14ac:dyDescent="0.2">
      <c r="A456" s="54">
        <v>9200</v>
      </c>
      <c r="B456" s="9">
        <v>7600</v>
      </c>
      <c r="C456" s="9">
        <v>6700</v>
      </c>
      <c r="D456" s="9">
        <f>6392+8</f>
        <v>6400</v>
      </c>
      <c r="E456" s="9">
        <v>10300</v>
      </c>
      <c r="F456" s="770" t="s">
        <v>3938</v>
      </c>
      <c r="G456" s="371" t="s">
        <v>2095</v>
      </c>
      <c r="H456" s="9">
        <v>7200</v>
      </c>
      <c r="I456" s="85">
        <f t="shared" si="419"/>
        <v>-30.097087378640776</v>
      </c>
      <c r="J456" s="9">
        <v>7400</v>
      </c>
      <c r="K456" s="9">
        <f>ROUNDUP(J456+(J456*Assumptions!J$5),-2)</f>
        <v>7600</v>
      </c>
      <c r="L456" s="9">
        <f>ROUNDUP(K456+(K456*Assumptions!K$5),-2)</f>
        <v>7800</v>
      </c>
      <c r="M456" s="9">
        <f>ROUNDUP(L456+(L456*Assumptions!L$5),-2)</f>
        <v>8000</v>
      </c>
      <c r="N456" s="9">
        <f>ROUNDUP(M456+(M456*Assumptions!M$5),-2)</f>
        <v>8200</v>
      </c>
      <c r="O456" s="9">
        <f>ROUNDUP(N456+(N456*Assumptions!N$5),-2)</f>
        <v>8500</v>
      </c>
      <c r="P456" s="89">
        <f>ROUNDUP(O456+(O456*Assumptions!O$5),-2)</f>
        <v>8800</v>
      </c>
      <c r="Q456" s="9">
        <f>ROUNDUP(P456+(P456*Assumptions!P$5),-2)</f>
        <v>9100</v>
      </c>
      <c r="R456" s="9">
        <f>ROUNDUP(Q456+(Q456*Assumptions!Q$5),-2)</f>
        <v>9400</v>
      </c>
      <c r="S456" s="47">
        <f>ROUNDUP(R456+(R456*Assumptions!R$5),-2)</f>
        <v>9700</v>
      </c>
    </row>
    <row r="457" spans="1:19" ht="12.75" customHeight="1" x14ac:dyDescent="0.2">
      <c r="A457" s="54">
        <v>0</v>
      </c>
      <c r="B457" s="9">
        <v>0</v>
      </c>
      <c r="C457" s="134">
        <v>0</v>
      </c>
      <c r="D457" s="134">
        <f>22727-27</f>
        <v>22700</v>
      </c>
      <c r="E457" s="134">
        <v>0</v>
      </c>
      <c r="F457" s="770" t="s">
        <v>5364</v>
      </c>
      <c r="G457" s="772" t="s">
        <v>5430</v>
      </c>
      <c r="H457" s="9">
        <v>0</v>
      </c>
      <c r="I457" s="85">
        <f t="shared" si="419"/>
        <v>0</v>
      </c>
      <c r="J457" s="9">
        <f>ROUNDUP(H457+(H457*Assumptions!I$5),-2)</f>
        <v>0</v>
      </c>
      <c r="K457" s="9">
        <f>ROUNDUP(J457+(J457*Assumptions!J$5),-2)</f>
        <v>0</v>
      </c>
      <c r="L457" s="9">
        <f>ROUNDUP(K457+(K457*Assumptions!K$5),-2)</f>
        <v>0</v>
      </c>
      <c r="M457" s="9">
        <f>ROUNDUP(L457+(L457*Assumptions!L$5),-2)</f>
        <v>0</v>
      </c>
      <c r="N457" s="9">
        <f>ROUNDUP(M457+(M457*Assumptions!M$5),-2)</f>
        <v>0</v>
      </c>
      <c r="O457" s="9">
        <f>ROUNDUP(N457+(N457*Assumptions!N$5),-2)</f>
        <v>0</v>
      </c>
      <c r="P457" s="89">
        <f>ROUNDUP(O457+(O457*Assumptions!O$5),-2)</f>
        <v>0</v>
      </c>
      <c r="Q457" s="9">
        <f>ROUNDUP(P457+(P457*Assumptions!P$5),-2)</f>
        <v>0</v>
      </c>
      <c r="R457" s="9">
        <f>ROUNDUP(Q457+(Q457*Assumptions!Q$5),-2)</f>
        <v>0</v>
      </c>
      <c r="S457" s="47">
        <f>ROUNDUP(R457+(R457*Assumptions!R$5),-2)</f>
        <v>0</v>
      </c>
    </row>
    <row r="458" spans="1:19" ht="12.75" customHeight="1" thickBot="1" x14ac:dyDescent="0.25">
      <c r="A458" s="54"/>
      <c r="B458" s="9"/>
      <c r="C458" s="9"/>
      <c r="D458" s="9"/>
      <c r="E458" s="9"/>
      <c r="F458" s="469"/>
      <c r="G458" s="46"/>
      <c r="H458" s="9"/>
      <c r="I458" s="85"/>
      <c r="J458" s="9"/>
      <c r="K458" s="9"/>
      <c r="L458" s="9"/>
      <c r="M458" s="9"/>
      <c r="N458" s="9"/>
      <c r="O458" s="9"/>
      <c r="P458" s="89"/>
      <c r="Q458" s="9"/>
      <c r="R458" s="9"/>
      <c r="S458" s="47"/>
    </row>
    <row r="459" spans="1:19" ht="12.75" customHeight="1" x14ac:dyDescent="0.2">
      <c r="A459" s="52">
        <f>SUM(A430:A458)</f>
        <v>269000</v>
      </c>
      <c r="B459" s="16">
        <f>SUM(B430:B458)</f>
        <v>313700</v>
      </c>
      <c r="C459" s="16">
        <f>SUM(C430:C458)</f>
        <v>417600</v>
      </c>
      <c r="D459" s="16">
        <f>SUM(D430:D458)</f>
        <v>443300</v>
      </c>
      <c r="E459" s="16">
        <f>SUM(E430:E458)</f>
        <v>453500</v>
      </c>
      <c r="F459" s="469"/>
      <c r="G459" s="59" t="s">
        <v>2561</v>
      </c>
      <c r="H459" s="16">
        <f>SUM(H430:H458)</f>
        <v>465600</v>
      </c>
      <c r="I459" s="127">
        <f>IF(E459=H459,0,IF(E459=0,100,(H459-E459)/E459*100))</f>
        <v>2.6681367144432193</v>
      </c>
      <c r="J459" s="16">
        <f t="shared" ref="J459:R459" si="420">SUM(J430:J458)</f>
        <v>613900</v>
      </c>
      <c r="K459" s="16">
        <f t="shared" si="420"/>
        <v>746800</v>
      </c>
      <c r="L459" s="16">
        <f t="shared" si="420"/>
        <v>766200</v>
      </c>
      <c r="M459" s="16">
        <f t="shared" si="420"/>
        <v>786200</v>
      </c>
      <c r="N459" s="16">
        <f t="shared" si="420"/>
        <v>806800</v>
      </c>
      <c r="O459" s="16">
        <f t="shared" si="420"/>
        <v>827900</v>
      </c>
      <c r="P459" s="102">
        <f t="shared" si="420"/>
        <v>849600</v>
      </c>
      <c r="Q459" s="16">
        <f t="shared" si="420"/>
        <v>872000</v>
      </c>
      <c r="R459" s="16">
        <f t="shared" si="420"/>
        <v>894900</v>
      </c>
      <c r="S459" s="2342">
        <f t="shared" ref="S459" si="421">SUM(S430:S458)</f>
        <v>918200</v>
      </c>
    </row>
    <row r="460" spans="1:19" ht="12.75" customHeight="1" x14ac:dyDescent="0.2">
      <c r="A460" s="54"/>
      <c r="B460" s="9"/>
      <c r="C460" s="9"/>
      <c r="D460" s="9"/>
      <c r="E460" s="9"/>
      <c r="F460" s="469"/>
      <c r="G460" s="27"/>
      <c r="H460" s="9"/>
      <c r="I460" s="85"/>
      <c r="J460" s="9"/>
      <c r="K460" s="79"/>
      <c r="L460" s="9"/>
      <c r="M460" s="9"/>
      <c r="N460" s="9"/>
      <c r="O460" s="9"/>
      <c r="P460" s="89"/>
      <c r="Q460" s="9"/>
      <c r="R460" s="9"/>
      <c r="S460" s="47"/>
    </row>
    <row r="461" spans="1:19" ht="12.75" customHeight="1" x14ac:dyDescent="0.2">
      <c r="A461" s="54"/>
      <c r="B461" s="9"/>
      <c r="C461" s="9"/>
      <c r="D461" s="9"/>
      <c r="E461" s="9"/>
      <c r="F461" s="469"/>
      <c r="G461" s="91" t="s">
        <v>2169</v>
      </c>
      <c r="H461" s="9"/>
      <c r="I461" s="85"/>
      <c r="J461" s="9"/>
      <c r="K461" s="9"/>
      <c r="L461" s="9"/>
      <c r="M461" s="9"/>
      <c r="N461" s="9"/>
      <c r="O461" s="9"/>
      <c r="P461" s="89"/>
      <c r="Q461" s="9"/>
      <c r="R461" s="9"/>
      <c r="S461" s="47"/>
    </row>
    <row r="462" spans="1:19" ht="12.75" customHeight="1" x14ac:dyDescent="0.2">
      <c r="A462" s="54"/>
      <c r="B462" s="9"/>
      <c r="C462" s="9"/>
      <c r="D462" s="9"/>
      <c r="E462" s="9"/>
      <c r="F462" s="483"/>
      <c r="G462" s="27" t="s">
        <v>1228</v>
      </c>
      <c r="H462" s="9"/>
      <c r="I462" s="85"/>
      <c r="J462" s="9"/>
      <c r="K462" s="9"/>
      <c r="L462" s="9"/>
      <c r="M462" s="9"/>
      <c r="N462" s="9"/>
      <c r="O462" s="9"/>
      <c r="P462" s="89"/>
      <c r="Q462" s="9"/>
      <c r="R462" s="9"/>
      <c r="S462" s="47"/>
    </row>
    <row r="463" spans="1:19" ht="12.75" customHeight="1" x14ac:dyDescent="0.2">
      <c r="A463" s="54">
        <v>93500</v>
      </c>
      <c r="B463" s="9">
        <v>198000</v>
      </c>
      <c r="C463" s="9">
        <f>254800-60000</f>
        <v>194800</v>
      </c>
      <c r="D463" s="9">
        <f>266590+10-60000</f>
        <v>206600</v>
      </c>
      <c r="E463" s="9">
        <f>152600</f>
        <v>152600</v>
      </c>
      <c r="F463" s="469" t="s">
        <v>1795</v>
      </c>
      <c r="G463" s="58" t="s">
        <v>1218</v>
      </c>
      <c r="H463" s="9">
        <f>214000-20000-4000</f>
        <v>190000</v>
      </c>
      <c r="I463" s="85">
        <f>IF(E463=H463,0,IF(E463=0,100,(H463-E463)/E463*100))</f>
        <v>24.508519003931848</v>
      </c>
      <c r="J463" s="9">
        <f>ROUNDUP(H463+(H463*Assumptions!I$13),-2)</f>
        <v>194400</v>
      </c>
      <c r="K463" s="9">
        <f>ROUNDUP(J463+(J463*Assumptions!J$13),-2)</f>
        <v>198900</v>
      </c>
      <c r="L463" s="9">
        <f>ROUNDUP(K463+(K463*Assumptions!K$13),-2)</f>
        <v>203500</v>
      </c>
      <c r="M463" s="9">
        <f>ROUNDUP(L463+(L463*Assumptions!L$13),-2)</f>
        <v>208200</v>
      </c>
      <c r="N463" s="9">
        <f>ROUNDUP(M463+(M463*Assumptions!M$13),-2)</f>
        <v>213000</v>
      </c>
      <c r="O463" s="9">
        <f>ROUNDUP(N463+(N463*Assumptions!N$13),-2)</f>
        <v>217900</v>
      </c>
      <c r="P463" s="89">
        <f>ROUNDUP(O463+(O463*Assumptions!O$13),-2)</f>
        <v>223000</v>
      </c>
      <c r="Q463" s="9">
        <f>ROUNDUP(P463+(P463*Assumptions!P$13),-2)</f>
        <v>228200</v>
      </c>
      <c r="R463" s="9">
        <f>ROUNDUP(Q463+(Q463*Assumptions!Q$13),-2)</f>
        <v>233500</v>
      </c>
      <c r="S463" s="47">
        <f>ROUNDUP(R463+(R463*Assumptions!R$13),-2)</f>
        <v>238900</v>
      </c>
    </row>
    <row r="464" spans="1:19" ht="12.75" customHeight="1" x14ac:dyDescent="0.2">
      <c r="A464" s="54">
        <f>91700+34500</f>
        <v>126200</v>
      </c>
      <c r="B464" s="9">
        <v>123500</v>
      </c>
      <c r="C464" s="134">
        <v>169500</v>
      </c>
      <c r="D464" s="9">
        <f>183498+2</f>
        <v>183500</v>
      </c>
      <c r="E464" s="134">
        <v>216700</v>
      </c>
      <c r="F464" s="1153" t="s">
        <v>829</v>
      </c>
      <c r="G464" s="661" t="s">
        <v>4488</v>
      </c>
      <c r="H464" s="9">
        <f>215000+3000</f>
        <v>218000</v>
      </c>
      <c r="I464" s="85">
        <f>IF(E464=H464,0,IF(E464=0,100,(H464-E464)/E464*100))</f>
        <v>0.59990770650669134</v>
      </c>
      <c r="J464" s="89">
        <f>ROUNDUP(H464+(H464*Assumptions!I$13),-2)</f>
        <v>223100</v>
      </c>
      <c r="K464" s="9">
        <f>ROUNDUP(J464+(J464*Assumptions!J$13),-2)</f>
        <v>228300</v>
      </c>
      <c r="L464" s="9">
        <f>ROUNDUP(K464+(K464*Assumptions!K$13),-2)</f>
        <v>233600</v>
      </c>
      <c r="M464" s="9">
        <f>ROUNDUP(L464+(L464*Assumptions!L$13),-2)</f>
        <v>239000</v>
      </c>
      <c r="N464" s="9">
        <f>ROUNDUP(M464+(M464*Assumptions!M$13),-2)</f>
        <v>244500</v>
      </c>
      <c r="O464" s="9">
        <f>ROUNDUP(N464+(N464*Assumptions!N$13),-2)</f>
        <v>250200</v>
      </c>
      <c r="P464" s="89">
        <f>ROUNDUP(O464+(O464*Assumptions!O$13),-2)</f>
        <v>256000</v>
      </c>
      <c r="Q464" s="9">
        <f>ROUNDUP(P464+(P464*Assumptions!P$13),-2)</f>
        <v>261900</v>
      </c>
      <c r="R464" s="9">
        <f>ROUNDUP(Q464+(Q464*Assumptions!Q$13),-2)</f>
        <v>268000</v>
      </c>
      <c r="S464" s="47">
        <f>ROUNDUP(R464+(R464*Assumptions!R$13),-2)</f>
        <v>274200</v>
      </c>
    </row>
    <row r="465" spans="1:19" ht="12.75" customHeight="1" x14ac:dyDescent="0.2">
      <c r="A465" s="54">
        <v>0</v>
      </c>
      <c r="B465" s="9">
        <v>0</v>
      </c>
      <c r="C465" s="9">
        <v>7200</v>
      </c>
      <c r="D465" s="9">
        <v>7200</v>
      </c>
      <c r="E465" s="9">
        <v>6000</v>
      </c>
      <c r="F465" s="771" t="s">
        <v>3337</v>
      </c>
      <c r="G465" s="634" t="s">
        <v>3577</v>
      </c>
      <c r="H465" s="9">
        <v>5000</v>
      </c>
      <c r="I465" s="85">
        <f>IF(E465=H465,0,IF(E465=0,100,(H465-E465)/E465*100))</f>
        <v>-16.666666666666664</v>
      </c>
      <c r="J465" s="9">
        <f>ROUNDUP(H465+(H465*Assumptions!I$13),-2)</f>
        <v>5200</v>
      </c>
      <c r="K465" s="9">
        <f>ROUNDUP(J465+(J465*Assumptions!J$13),-2)</f>
        <v>5400</v>
      </c>
      <c r="L465" s="9">
        <f>ROUNDUP(K465+(K465*Assumptions!K$13),-2)</f>
        <v>5600</v>
      </c>
      <c r="M465" s="9">
        <f>ROUNDUP(L465+(L465*Assumptions!L$13),-2)</f>
        <v>5800</v>
      </c>
      <c r="N465" s="9">
        <f>ROUNDUP(M465+(M465*Assumptions!M$13),-2)</f>
        <v>6000</v>
      </c>
      <c r="O465" s="9">
        <f>ROUNDUP(N465+(N465*Assumptions!N$13),-2)</f>
        <v>6200</v>
      </c>
      <c r="P465" s="89">
        <f>ROUNDUP(O465+(O465*Assumptions!O$13),-2)</f>
        <v>6400</v>
      </c>
      <c r="Q465" s="9">
        <f>ROUNDUP(P465+(P465*Assumptions!P$13),-2)</f>
        <v>6600</v>
      </c>
      <c r="R465" s="9">
        <f>ROUNDUP(Q465+(Q465*Assumptions!Q$13),-2)</f>
        <v>6800</v>
      </c>
      <c r="S465" s="47">
        <f>ROUNDUP(R465+(R465*Assumptions!R$13),-2)</f>
        <v>7000</v>
      </c>
    </row>
    <row r="466" spans="1:19" ht="12.75" customHeight="1" x14ac:dyDescent="0.2">
      <c r="A466" s="54">
        <v>0</v>
      </c>
      <c r="B466" s="9">
        <v>0</v>
      </c>
      <c r="C466" s="9">
        <v>0</v>
      </c>
      <c r="D466" s="9">
        <v>0</v>
      </c>
      <c r="E466" s="9">
        <v>4100</v>
      </c>
      <c r="F466" s="771" t="s">
        <v>6440</v>
      </c>
      <c r="G466" s="58" t="s">
        <v>484</v>
      </c>
      <c r="H466" s="9">
        <v>0</v>
      </c>
      <c r="I466" s="85">
        <f>IF(E466=H466,0,IF(E466=0,100,(H466-E466)/E466*100))</f>
        <v>-100</v>
      </c>
      <c r="J466" s="9">
        <v>0</v>
      </c>
      <c r="K466" s="9">
        <v>0</v>
      </c>
      <c r="L466" s="9">
        <v>0</v>
      </c>
      <c r="M466" s="9">
        <v>0</v>
      </c>
      <c r="N466" s="9">
        <v>0</v>
      </c>
      <c r="O466" s="9">
        <v>0</v>
      </c>
      <c r="P466" s="89">
        <v>0</v>
      </c>
      <c r="Q466" s="9">
        <v>0</v>
      </c>
      <c r="R466" s="9"/>
      <c r="S466" s="47"/>
    </row>
    <row r="467" spans="1:19" ht="12.75" customHeight="1" x14ac:dyDescent="0.2">
      <c r="A467" s="54"/>
      <c r="B467" s="9"/>
      <c r="C467" s="9"/>
      <c r="D467" s="9"/>
      <c r="E467" s="9"/>
      <c r="F467" s="483"/>
      <c r="G467" s="91"/>
      <c r="H467" s="9"/>
      <c r="I467" s="85"/>
      <c r="J467" s="9"/>
      <c r="K467" s="9"/>
      <c r="L467" s="9"/>
      <c r="M467" s="9"/>
      <c r="N467" s="9"/>
      <c r="O467" s="9"/>
      <c r="P467" s="89"/>
      <c r="Q467" s="9"/>
      <c r="R467" s="9"/>
      <c r="S467" s="47"/>
    </row>
    <row r="468" spans="1:19" ht="12.75" customHeight="1" x14ac:dyDescent="0.2">
      <c r="A468" s="54"/>
      <c r="B468" s="9"/>
      <c r="C468" s="9"/>
      <c r="D468" s="9"/>
      <c r="E468" s="9"/>
      <c r="F468" s="1153"/>
      <c r="G468" s="27" t="s">
        <v>2734</v>
      </c>
      <c r="H468" s="9"/>
      <c r="I468" s="85"/>
      <c r="J468" s="9"/>
      <c r="K468" s="9"/>
      <c r="L468" s="9"/>
      <c r="M468" s="9"/>
      <c r="N468" s="9"/>
      <c r="O468" s="9"/>
      <c r="P468" s="89"/>
      <c r="Q468" s="9"/>
      <c r="R468" s="9"/>
      <c r="S468" s="47"/>
    </row>
    <row r="469" spans="1:19" ht="12.75" customHeight="1" x14ac:dyDescent="0.2">
      <c r="A469" s="54">
        <v>2500</v>
      </c>
      <c r="B469" s="9">
        <v>4000</v>
      </c>
      <c r="C469" s="134">
        <v>3800</v>
      </c>
      <c r="D469" s="9">
        <f>8280+20</f>
        <v>8300</v>
      </c>
      <c r="E469" s="134">
        <v>3200</v>
      </c>
      <c r="F469" s="1153" t="s">
        <v>2549</v>
      </c>
      <c r="G469" s="662" t="s">
        <v>2514</v>
      </c>
      <c r="H469" s="9">
        <f>6100-2500</f>
        <v>3600</v>
      </c>
      <c r="I469" s="85">
        <f t="shared" ref="I469:I476" si="422">IF(E469=H469,0,IF(E469=0,100,(H469-E469)/E469*100))</f>
        <v>12.5</v>
      </c>
      <c r="J469" s="9">
        <f>ROUNDUP(H469+(H469*Assumptions!I$5),-2)</f>
        <v>3700</v>
      </c>
      <c r="K469" s="9">
        <f>ROUNDUP(J469+(J469*Assumptions!J$5),-2)</f>
        <v>3800</v>
      </c>
      <c r="L469" s="9">
        <f>ROUNDUP(K469+(K469*Assumptions!K$5),-2)</f>
        <v>3900</v>
      </c>
      <c r="M469" s="9">
        <f>ROUNDUP(L469+(L469*Assumptions!L$5),-2)</f>
        <v>4000</v>
      </c>
      <c r="N469" s="9">
        <f>ROUNDUP(M469+(M469*Assumptions!M$5),-2)</f>
        <v>4100</v>
      </c>
      <c r="O469" s="9">
        <f>ROUNDUP(N469+(N469*Assumptions!N$5),-2)</f>
        <v>4300</v>
      </c>
      <c r="P469" s="89">
        <f>ROUNDUP(O469+(O469*Assumptions!O$5),-2)</f>
        <v>4500</v>
      </c>
      <c r="Q469" s="9">
        <f>ROUNDUP(P469+(P469*Assumptions!P$5),-2)</f>
        <v>4700</v>
      </c>
      <c r="R469" s="9">
        <f>ROUNDUP(Q469+(Q469*Assumptions!Q$5),-2)</f>
        <v>4900</v>
      </c>
      <c r="S469" s="47">
        <f>ROUNDUP(R469+(R469*Assumptions!R$5),-2)</f>
        <v>5100</v>
      </c>
    </row>
    <row r="470" spans="1:19" ht="12.75" customHeight="1" x14ac:dyDescent="0.2">
      <c r="A470" s="54">
        <v>3500</v>
      </c>
      <c r="B470" s="9">
        <v>3900</v>
      </c>
      <c r="C470" s="134">
        <v>4200</v>
      </c>
      <c r="D470" s="9">
        <f>3331-31</f>
        <v>3300</v>
      </c>
      <c r="E470" s="134">
        <v>3900</v>
      </c>
      <c r="F470" s="1153" t="s">
        <v>445</v>
      </c>
      <c r="G470" s="371" t="s">
        <v>2839</v>
      </c>
      <c r="H470" s="9">
        <v>4000</v>
      </c>
      <c r="I470" s="85">
        <f t="shared" si="422"/>
        <v>2.5641025641025639</v>
      </c>
      <c r="J470" s="9">
        <f>ROUNDUP(H470+(H470*Assumptions!I$5),-2)</f>
        <v>4100</v>
      </c>
      <c r="K470" s="9">
        <f>ROUNDUP(J470+(J470*Assumptions!J$5),-2)</f>
        <v>4300</v>
      </c>
      <c r="L470" s="9">
        <f>ROUNDUP(K470+(K470*Assumptions!K$5),-2)</f>
        <v>4500</v>
      </c>
      <c r="M470" s="9">
        <f>ROUNDUP(L470+(L470*Assumptions!L$5),-2)</f>
        <v>4700</v>
      </c>
      <c r="N470" s="9">
        <f>ROUNDUP(M470+(M470*Assumptions!M$5),-2)</f>
        <v>4900</v>
      </c>
      <c r="O470" s="9">
        <f>ROUNDUP(N470+(N470*Assumptions!N$5),-2)</f>
        <v>5100</v>
      </c>
      <c r="P470" s="89">
        <f>ROUNDUP(O470+(O470*Assumptions!O$5),-2)</f>
        <v>5300</v>
      </c>
      <c r="Q470" s="9">
        <f>ROUNDUP(P470+(P470*Assumptions!P$5),-2)</f>
        <v>5500</v>
      </c>
      <c r="R470" s="9">
        <f>ROUNDUP(Q470+(Q470*Assumptions!Q$5),-2)</f>
        <v>5700</v>
      </c>
      <c r="S470" s="47">
        <f>ROUNDUP(R470+(R470*Assumptions!R$5),-2)</f>
        <v>5900</v>
      </c>
    </row>
    <row r="471" spans="1:19" ht="12.75" customHeight="1" x14ac:dyDescent="0.2">
      <c r="A471" s="54">
        <v>7900</v>
      </c>
      <c r="B471" s="9">
        <v>8800</v>
      </c>
      <c r="C471" s="134">
        <v>7600</v>
      </c>
      <c r="D471" s="9">
        <f>7099+1</f>
        <v>7100</v>
      </c>
      <c r="E471" s="134">
        <v>6600</v>
      </c>
      <c r="F471" s="1153" t="s">
        <v>1915</v>
      </c>
      <c r="G471" s="371" t="s">
        <v>2724</v>
      </c>
      <c r="H471" s="9">
        <f>9000-2000-500-1800</f>
        <v>4700</v>
      </c>
      <c r="I471" s="85">
        <f t="shared" si="422"/>
        <v>-28.787878787878789</v>
      </c>
      <c r="J471" s="9">
        <f>ROUNDUP(H471+(H471*Assumptions!I$5),-2)</f>
        <v>4900</v>
      </c>
      <c r="K471" s="9">
        <f>ROUNDUP(J471+(J471*Assumptions!J$5),-2)</f>
        <v>5100</v>
      </c>
      <c r="L471" s="9">
        <f>ROUNDUP(K471+(K471*Assumptions!K$5),-2)</f>
        <v>5300</v>
      </c>
      <c r="M471" s="9">
        <f>ROUNDUP(L471+(L471*Assumptions!L$5),-2)</f>
        <v>5500</v>
      </c>
      <c r="N471" s="9">
        <f>ROUNDUP(M471+(M471*Assumptions!M$5),-2)</f>
        <v>5700</v>
      </c>
      <c r="O471" s="9">
        <f>ROUNDUP(N471+(N471*Assumptions!N$5),-2)</f>
        <v>5900</v>
      </c>
      <c r="P471" s="89">
        <f>ROUNDUP(O471+(O471*Assumptions!O$5),-2)</f>
        <v>6100</v>
      </c>
      <c r="Q471" s="9">
        <f>ROUNDUP(P471+(P471*Assumptions!P$5),-2)</f>
        <v>6300</v>
      </c>
      <c r="R471" s="9">
        <f>ROUNDUP(Q471+(Q471*Assumptions!Q$5),-2)</f>
        <v>6500</v>
      </c>
      <c r="S471" s="47">
        <f>ROUNDUP(R471+(R471*Assumptions!R$5),-2)</f>
        <v>6700</v>
      </c>
    </row>
    <row r="472" spans="1:19" ht="12.75" customHeight="1" x14ac:dyDescent="0.2">
      <c r="A472" s="54">
        <v>5200</v>
      </c>
      <c r="B472" s="9">
        <v>5500</v>
      </c>
      <c r="C472" s="134">
        <v>6100</v>
      </c>
      <c r="D472" s="9">
        <f>6409-9</f>
        <v>6400</v>
      </c>
      <c r="E472" s="134">
        <v>7300</v>
      </c>
      <c r="F472" s="1153" t="s">
        <v>800</v>
      </c>
      <c r="G472" s="662" t="s">
        <v>1445</v>
      </c>
      <c r="H472" s="9">
        <v>6600</v>
      </c>
      <c r="I472" s="85">
        <f t="shared" si="422"/>
        <v>-9.5890410958904102</v>
      </c>
      <c r="J472" s="9">
        <f>ROUNDUP(H472+(H472*Assumptions!I$5),-2)</f>
        <v>6800</v>
      </c>
      <c r="K472" s="9">
        <f>ROUNDUP(J472+(J472*Assumptions!J$5),-2)</f>
        <v>7000</v>
      </c>
      <c r="L472" s="9">
        <f>ROUNDUP(K472+(K472*Assumptions!K$5),-2)</f>
        <v>7200</v>
      </c>
      <c r="M472" s="9">
        <f>ROUNDUP(L472+(L472*Assumptions!L$5),-2)</f>
        <v>7400</v>
      </c>
      <c r="N472" s="9">
        <f>ROUNDUP(M472+(M472*Assumptions!M$5),-2)</f>
        <v>7600</v>
      </c>
      <c r="O472" s="9">
        <f>ROUNDUP(N472+(N472*Assumptions!N$5),-2)</f>
        <v>7800</v>
      </c>
      <c r="P472" s="89">
        <f>ROUNDUP(O472+(O472*Assumptions!O$5),-2)</f>
        <v>8000</v>
      </c>
      <c r="Q472" s="9">
        <f>ROUNDUP(P472+(P472*Assumptions!P$5),-2)</f>
        <v>8200</v>
      </c>
      <c r="R472" s="9">
        <f>ROUNDUP(Q472+(Q472*Assumptions!Q$5),-2)</f>
        <v>8500</v>
      </c>
      <c r="S472" s="47">
        <f>ROUNDUP(R472+(R472*Assumptions!R$5),-2)</f>
        <v>8800</v>
      </c>
    </row>
    <row r="473" spans="1:19" ht="12.75" customHeight="1" x14ac:dyDescent="0.2">
      <c r="A473" s="54">
        <v>4500</v>
      </c>
      <c r="B473" s="9">
        <v>5600</v>
      </c>
      <c r="C473" s="134">
        <v>3800</v>
      </c>
      <c r="D473" s="9">
        <f>3697+3</f>
        <v>3700</v>
      </c>
      <c r="E473" s="134">
        <v>5400</v>
      </c>
      <c r="F473" s="1153" t="s">
        <v>801</v>
      </c>
      <c r="G473" s="371" t="s">
        <v>2157</v>
      </c>
      <c r="H473" s="9">
        <v>5600</v>
      </c>
      <c r="I473" s="85">
        <f t="shared" si="422"/>
        <v>3.7037037037037033</v>
      </c>
      <c r="J473" s="9">
        <f>ROUNDUP(H473+(H473*Assumptions!I$5),-2)</f>
        <v>5800</v>
      </c>
      <c r="K473" s="9">
        <f>ROUNDUP(J473+(J473*Assumptions!J$5),-2)</f>
        <v>6000</v>
      </c>
      <c r="L473" s="9">
        <f>ROUNDUP(K473+(K473*Assumptions!K$5),-2)</f>
        <v>6200</v>
      </c>
      <c r="M473" s="9">
        <f>ROUNDUP(L473+(L473*Assumptions!L$5),-2)</f>
        <v>6400</v>
      </c>
      <c r="N473" s="9">
        <f>ROUNDUP(M473+(M473*Assumptions!M$5),-2)</f>
        <v>6600</v>
      </c>
      <c r="O473" s="9">
        <f>ROUNDUP(N473+(N473*Assumptions!N$5),-2)</f>
        <v>6800</v>
      </c>
      <c r="P473" s="89">
        <f>ROUNDUP(O473+(O473*Assumptions!O$5),-2)</f>
        <v>7000</v>
      </c>
      <c r="Q473" s="9">
        <f>ROUNDUP(P473+(P473*Assumptions!P$5),-2)</f>
        <v>7200</v>
      </c>
      <c r="R473" s="9">
        <f>ROUNDUP(Q473+(Q473*Assumptions!Q$5),-2)</f>
        <v>7400</v>
      </c>
      <c r="S473" s="47">
        <f>ROUNDUP(R473+(R473*Assumptions!R$5),-2)</f>
        <v>7600</v>
      </c>
    </row>
    <row r="474" spans="1:19" ht="12.75" customHeight="1" x14ac:dyDescent="0.2">
      <c r="A474" s="54">
        <v>14600</v>
      </c>
      <c r="B474" s="9">
        <v>15000</v>
      </c>
      <c r="C474" s="134">
        <v>15100</v>
      </c>
      <c r="D474" s="9">
        <f>17436+64</f>
        <v>17500</v>
      </c>
      <c r="E474" s="134">
        <v>19700</v>
      </c>
      <c r="F474" s="1153" t="s">
        <v>2550</v>
      </c>
      <c r="G474" s="371" t="s">
        <v>1500</v>
      </c>
      <c r="H474" s="9">
        <v>17800</v>
      </c>
      <c r="I474" s="85">
        <f t="shared" si="422"/>
        <v>-9.6446700507614214</v>
      </c>
      <c r="J474" s="9">
        <f>ROUNDUP(H474+(H474*Assumptions!I$5),-2)</f>
        <v>18300</v>
      </c>
      <c r="K474" s="9">
        <f>ROUNDUP(J474+(J474*Assumptions!J$5),-2)</f>
        <v>18800</v>
      </c>
      <c r="L474" s="9">
        <f>ROUNDUP(K474+(K474*Assumptions!K$5),-2)</f>
        <v>19300</v>
      </c>
      <c r="M474" s="9">
        <f>ROUNDUP(L474+(L474*Assumptions!L$5),-2)</f>
        <v>19800</v>
      </c>
      <c r="N474" s="9">
        <f>ROUNDUP(M474+(M474*Assumptions!M$5),-2)</f>
        <v>20300</v>
      </c>
      <c r="O474" s="9">
        <f>ROUNDUP(N474+(N474*Assumptions!N$5),-2)</f>
        <v>20900</v>
      </c>
      <c r="P474" s="89">
        <f>ROUNDUP(O474+(O474*Assumptions!O$5),-2)</f>
        <v>21500</v>
      </c>
      <c r="Q474" s="9">
        <f>ROUNDUP(P474+(P474*Assumptions!P$5),-2)</f>
        <v>22100</v>
      </c>
      <c r="R474" s="9">
        <f>ROUNDUP(Q474+(Q474*Assumptions!Q$5),-2)</f>
        <v>22700</v>
      </c>
      <c r="S474" s="47">
        <f>ROUNDUP(R474+(R474*Assumptions!R$5),-2)</f>
        <v>23300</v>
      </c>
    </row>
    <row r="475" spans="1:19" ht="12.75" customHeight="1" x14ac:dyDescent="0.2">
      <c r="A475" s="54">
        <v>500</v>
      </c>
      <c r="B475" s="9">
        <v>500</v>
      </c>
      <c r="C475" s="134">
        <v>0</v>
      </c>
      <c r="D475" s="9">
        <f>1925-25</f>
        <v>1900</v>
      </c>
      <c r="E475" s="134">
        <v>1600</v>
      </c>
      <c r="F475" s="1153" t="s">
        <v>799</v>
      </c>
      <c r="G475" s="371" t="s">
        <v>2517</v>
      </c>
      <c r="H475" s="9">
        <f>1000+500+500</f>
        <v>2000</v>
      </c>
      <c r="I475" s="85">
        <f t="shared" si="422"/>
        <v>25</v>
      </c>
      <c r="J475" s="9">
        <f>ROUNDUP(H475+(H475*Assumptions!I$5),-2)-500</f>
        <v>1600</v>
      </c>
      <c r="K475" s="9">
        <f>ROUNDUP(J475+(J475*Assumptions!J$5),-2)</f>
        <v>1700</v>
      </c>
      <c r="L475" s="9">
        <f>ROUNDUP(K475+(K475*Assumptions!K$5),-2)</f>
        <v>1800</v>
      </c>
      <c r="M475" s="9">
        <f>ROUNDUP(L475+(L475*Assumptions!L$5),-2)</f>
        <v>1900</v>
      </c>
      <c r="N475" s="9">
        <f>ROUNDUP(M475+(M475*Assumptions!M$5),-2)</f>
        <v>2000</v>
      </c>
      <c r="O475" s="9">
        <f>ROUNDUP(N475+(N475*Assumptions!N$5),-2)</f>
        <v>2100</v>
      </c>
      <c r="P475" s="89">
        <f>ROUNDUP(O475+(O475*Assumptions!O$5),-2)</f>
        <v>2200</v>
      </c>
      <c r="Q475" s="9">
        <f>ROUNDUP(P475+(P475*Assumptions!P$5),-2)</f>
        <v>2300</v>
      </c>
      <c r="R475" s="9">
        <f>ROUNDUP(Q475+(Q475*Assumptions!Q$5),-2)</f>
        <v>2400</v>
      </c>
      <c r="S475" s="47">
        <f>ROUNDUP(R475+(R475*Assumptions!R$5),-2)</f>
        <v>2500</v>
      </c>
    </row>
    <row r="476" spans="1:19" ht="12.75" customHeight="1" x14ac:dyDescent="0.2">
      <c r="A476" s="54">
        <v>9500</v>
      </c>
      <c r="B476" s="9">
        <v>8800</v>
      </c>
      <c r="C476" s="134">
        <v>10500</v>
      </c>
      <c r="D476" s="9">
        <f>10419-19</f>
        <v>10400</v>
      </c>
      <c r="E476" s="134">
        <v>9900</v>
      </c>
      <c r="F476" s="1153" t="s">
        <v>2588</v>
      </c>
      <c r="G476" s="371" t="s">
        <v>709</v>
      </c>
      <c r="H476" s="9">
        <v>8900</v>
      </c>
      <c r="I476" s="85">
        <f t="shared" si="422"/>
        <v>-10.1010101010101</v>
      </c>
      <c r="J476" s="9">
        <f>ROUNDUP(H476+(H476*Assumptions!I$5),-2)</f>
        <v>9200</v>
      </c>
      <c r="K476" s="9">
        <f>ROUNDUP(J476+(J476*Assumptions!J$5),-2)</f>
        <v>9500</v>
      </c>
      <c r="L476" s="9">
        <f>ROUNDUP(K476+(K476*Assumptions!K$5),-2)</f>
        <v>9800</v>
      </c>
      <c r="M476" s="9">
        <f>ROUNDUP(L476+(L476*Assumptions!L$5),-2)</f>
        <v>10100</v>
      </c>
      <c r="N476" s="9">
        <f>ROUNDUP(M476+(M476*Assumptions!M$5),-2)</f>
        <v>10400</v>
      </c>
      <c r="O476" s="9">
        <f>ROUNDUP(N476+(N476*Assumptions!N$5),-2)</f>
        <v>10700</v>
      </c>
      <c r="P476" s="89">
        <f>ROUNDUP(O476+(O476*Assumptions!O$5),-2)</f>
        <v>11000</v>
      </c>
      <c r="Q476" s="9">
        <f>ROUNDUP(P476+(P476*Assumptions!P$5),-2)</f>
        <v>11300</v>
      </c>
      <c r="R476" s="9">
        <f>ROUNDUP(Q476+(Q476*Assumptions!Q$5),-2)</f>
        <v>11600</v>
      </c>
      <c r="S476" s="47">
        <f>ROUNDUP(R476+(R476*Assumptions!R$5),-2)</f>
        <v>11900</v>
      </c>
    </row>
    <row r="477" spans="1:19" ht="12.75" customHeight="1" x14ac:dyDescent="0.2">
      <c r="A477" s="54"/>
      <c r="B477" s="9"/>
      <c r="C477" s="134"/>
      <c r="D477" s="9"/>
      <c r="E477" s="134"/>
      <c r="F477" s="1153"/>
      <c r="G477" s="371"/>
      <c r="H477" s="9"/>
      <c r="I477" s="85"/>
      <c r="J477" s="9"/>
      <c r="K477" s="9"/>
      <c r="L477" s="9"/>
      <c r="M477" s="9"/>
      <c r="N477" s="9"/>
      <c r="O477" s="9"/>
      <c r="P477" s="89"/>
      <c r="Q477" s="9"/>
      <c r="R477" s="9"/>
      <c r="S477" s="47"/>
    </row>
    <row r="478" spans="1:19" ht="12.75" customHeight="1" x14ac:dyDescent="0.2">
      <c r="A478" s="54"/>
      <c r="B478" s="9"/>
      <c r="C478" s="134"/>
      <c r="D478" s="9"/>
      <c r="E478" s="134"/>
      <c r="F478" s="1378"/>
      <c r="G478" s="419" t="s">
        <v>2164</v>
      </c>
      <c r="H478" s="9"/>
      <c r="I478" s="85"/>
      <c r="J478" s="9"/>
      <c r="K478" s="9"/>
      <c r="L478" s="9"/>
      <c r="M478" s="9"/>
      <c r="N478" s="9"/>
      <c r="O478" s="9"/>
      <c r="P478" s="89"/>
      <c r="Q478" s="9"/>
      <c r="R478" s="9"/>
      <c r="S478" s="47"/>
    </row>
    <row r="479" spans="1:19" ht="12.75" customHeight="1" x14ac:dyDescent="0.2">
      <c r="A479" s="54">
        <v>13800</v>
      </c>
      <c r="B479" s="9">
        <v>15400</v>
      </c>
      <c r="C479" s="134">
        <v>12800</v>
      </c>
      <c r="D479" s="9">
        <f>11987+13</f>
        <v>12000</v>
      </c>
      <c r="E479" s="134">
        <v>11200</v>
      </c>
      <c r="F479" s="1153" t="s">
        <v>2467</v>
      </c>
      <c r="G479" s="385" t="s">
        <v>2724</v>
      </c>
      <c r="H479" s="9">
        <f>14300-2000-2000-3100</f>
        <v>7200</v>
      </c>
      <c r="I479" s="85">
        <f>IF(E479=H479,0,IF(E479=0,100,(H479-E479)/E479*100))</f>
        <v>-35.714285714285715</v>
      </c>
      <c r="J479" s="9">
        <f>ROUNDUP(H479+(H479*Assumptions!I$5),-2)</f>
        <v>7400</v>
      </c>
      <c r="K479" s="9">
        <f>ROUNDUP(J479+(J479*Assumptions!J$5),-2)</f>
        <v>7600</v>
      </c>
      <c r="L479" s="9">
        <f>ROUNDUP(K479+(K479*Assumptions!K$5),-2)</f>
        <v>7800</v>
      </c>
      <c r="M479" s="9">
        <f>ROUNDUP(L479+(L479*Assumptions!L$5),-2)</f>
        <v>8000</v>
      </c>
      <c r="N479" s="9">
        <f>ROUNDUP(M479+(M479*Assumptions!M$5),-2)</f>
        <v>8200</v>
      </c>
      <c r="O479" s="9">
        <f>ROUNDUP(N479+(N479*Assumptions!N$5),-2)</f>
        <v>8500</v>
      </c>
      <c r="P479" s="89">
        <f>ROUNDUP(O479+(O479*Assumptions!O$5),-2)</f>
        <v>8800</v>
      </c>
      <c r="Q479" s="9">
        <f>ROUNDUP(P479+(P479*Assumptions!P$5),-2)</f>
        <v>9100</v>
      </c>
      <c r="R479" s="9">
        <f>ROUNDUP(Q479+(Q479*Assumptions!Q$5),-2)</f>
        <v>9400</v>
      </c>
      <c r="S479" s="47">
        <f>ROUNDUP(R479+(R479*Assumptions!R$5),-2)</f>
        <v>9700</v>
      </c>
    </row>
    <row r="480" spans="1:19" ht="12.75" customHeight="1" x14ac:dyDescent="0.2">
      <c r="A480" s="54">
        <v>11300</v>
      </c>
      <c r="B480" s="9">
        <v>11700</v>
      </c>
      <c r="C480" s="134">
        <v>12200</v>
      </c>
      <c r="D480" s="9">
        <f>11945+55</f>
        <v>12000</v>
      </c>
      <c r="E480" s="134">
        <v>12400</v>
      </c>
      <c r="F480" s="1153" t="s">
        <v>28</v>
      </c>
      <c r="G480" s="661" t="s">
        <v>1445</v>
      </c>
      <c r="H480" s="9">
        <v>13200</v>
      </c>
      <c r="I480" s="85">
        <f>IF(E480=H480,0,IF(E480=0,100,(H480-E480)/E480*100))</f>
        <v>6.4516129032258061</v>
      </c>
      <c r="J480" s="9">
        <f>ROUNDUP(H480+(H480*Assumptions!I$5),-2)</f>
        <v>13600</v>
      </c>
      <c r="K480" s="9">
        <f>ROUNDUP(J480+(J480*Assumptions!J$5),-2)</f>
        <v>14000</v>
      </c>
      <c r="L480" s="9">
        <f>ROUNDUP(K480+(K480*Assumptions!K$5),-2)</f>
        <v>14400</v>
      </c>
      <c r="M480" s="9">
        <f>ROUNDUP(L480+(L480*Assumptions!L$5),-2)</f>
        <v>14800</v>
      </c>
      <c r="N480" s="9">
        <f>ROUNDUP(M480+(M480*Assumptions!M$5),-2)</f>
        <v>15200</v>
      </c>
      <c r="O480" s="9">
        <f>ROUNDUP(N480+(N480*Assumptions!N$5),-2)</f>
        <v>15600</v>
      </c>
      <c r="P480" s="89">
        <f>ROUNDUP(O480+(O480*Assumptions!O$5),-2)</f>
        <v>16000</v>
      </c>
      <c r="Q480" s="9">
        <f>ROUNDUP(P480+(P480*Assumptions!P$5),-2)</f>
        <v>16400</v>
      </c>
      <c r="R480" s="9">
        <f>ROUNDUP(Q480+(Q480*Assumptions!Q$5),-2)</f>
        <v>16900</v>
      </c>
      <c r="S480" s="47">
        <f>ROUNDUP(R480+(R480*Assumptions!R$5),-2)</f>
        <v>17400</v>
      </c>
    </row>
    <row r="481" spans="1:19" ht="12.75" customHeight="1" x14ac:dyDescent="0.2">
      <c r="A481" s="54">
        <v>0</v>
      </c>
      <c r="B481" s="9">
        <v>0</v>
      </c>
      <c r="C481" s="1007">
        <v>3700</v>
      </c>
      <c r="D481" s="9">
        <f>2036-36</f>
        <v>2000</v>
      </c>
      <c r="E481" s="134">
        <v>0</v>
      </c>
      <c r="F481" s="770" t="s">
        <v>3936</v>
      </c>
      <c r="G481" s="661" t="s">
        <v>2514</v>
      </c>
      <c r="H481" s="9">
        <f>1000-500</f>
        <v>500</v>
      </c>
      <c r="I481" s="85">
        <f>IF(E481=H481,0,IF(E481=0,100,(H481-E481)/E481*100))</f>
        <v>100</v>
      </c>
      <c r="J481" s="9">
        <f>ROUNDUP(H481+(H481*Assumptions!I$5),-2)</f>
        <v>600</v>
      </c>
      <c r="K481" s="9">
        <f>ROUNDUP(J481+(J481*Assumptions!J$5),-2)</f>
        <v>700</v>
      </c>
      <c r="L481" s="9">
        <f>ROUNDUP(K481+(K481*Assumptions!K$5),-2)</f>
        <v>800</v>
      </c>
      <c r="M481" s="9">
        <f>ROUNDUP(L481+(L481*Assumptions!L$5),-2)</f>
        <v>900</v>
      </c>
      <c r="N481" s="9">
        <f>ROUNDUP(M481+(M481*Assumptions!M$5),-2)</f>
        <v>1000</v>
      </c>
      <c r="O481" s="9">
        <f>ROUNDUP(N481+(N481*Assumptions!N$5),-2)</f>
        <v>1100</v>
      </c>
      <c r="P481" s="89">
        <f>ROUNDUP(O481+(O481*Assumptions!O$5),-2)</f>
        <v>1200</v>
      </c>
      <c r="Q481" s="9">
        <f>ROUNDUP(P481+(P481*Assumptions!P$5),-2)</f>
        <v>1300</v>
      </c>
      <c r="R481" s="9">
        <f>ROUNDUP(Q481+(Q481*Assumptions!Q$5),-2)</f>
        <v>1400</v>
      </c>
      <c r="S481" s="47">
        <f>ROUNDUP(R481+(R481*Assumptions!R$5),-2)</f>
        <v>1500</v>
      </c>
    </row>
    <row r="482" spans="1:19" ht="12.75" customHeight="1" x14ac:dyDescent="0.2">
      <c r="A482" s="54">
        <v>111800</v>
      </c>
      <c r="B482" s="9">
        <v>138100</v>
      </c>
      <c r="C482" s="1007">
        <v>133100</v>
      </c>
      <c r="D482" s="9">
        <f>139728-28</f>
        <v>139700</v>
      </c>
      <c r="E482" s="134">
        <v>147700</v>
      </c>
      <c r="F482" s="1153" t="s">
        <v>29</v>
      </c>
      <c r="G482" s="661" t="s">
        <v>104</v>
      </c>
      <c r="H482" s="9">
        <v>156000</v>
      </c>
      <c r="I482" s="85">
        <f>IF(E482=H482,0,IF(E482=0,100,(H482-E482)/E482*100))</f>
        <v>5.6194989844278949</v>
      </c>
      <c r="J482" s="9">
        <f>ROUNDUP(H482+(H482*Assumptions!I$5),-2)</f>
        <v>159600</v>
      </c>
      <c r="K482" s="9">
        <f>ROUNDUP(J482+(J482*Assumptions!J$5),-2)</f>
        <v>163600</v>
      </c>
      <c r="L482" s="9">
        <f>ROUNDUP(K482+(K482*Assumptions!K$5),-2)</f>
        <v>167700</v>
      </c>
      <c r="M482" s="9">
        <f>ROUNDUP(L482+(L482*Assumptions!L$5),-2)</f>
        <v>171900</v>
      </c>
      <c r="N482" s="9">
        <f>ROUNDUP(M482+(M482*Assumptions!M$5),-2)</f>
        <v>176200</v>
      </c>
      <c r="O482" s="9">
        <f>ROUNDUP(N482+(N482*Assumptions!N$5),-2)</f>
        <v>180700</v>
      </c>
      <c r="P482" s="89">
        <f>ROUNDUP(O482+(O482*Assumptions!O$5),-2)</f>
        <v>185300</v>
      </c>
      <c r="Q482" s="9">
        <f>ROUNDUP(P482+(P482*Assumptions!P$5),-2)</f>
        <v>190000</v>
      </c>
      <c r="R482" s="9">
        <f>ROUNDUP(Q482+(Q482*Assumptions!Q$5),-2)</f>
        <v>194800</v>
      </c>
      <c r="S482" s="47">
        <f>ROUNDUP(R482+(R482*Assumptions!R$5),-2)</f>
        <v>199700</v>
      </c>
    </row>
    <row r="483" spans="1:19" ht="12.75" customHeight="1" x14ac:dyDescent="0.2">
      <c r="A483" s="54">
        <v>0</v>
      </c>
      <c r="B483" s="9">
        <v>0</v>
      </c>
      <c r="C483" s="1007">
        <v>11600</v>
      </c>
      <c r="D483" s="9">
        <f>8393+7</f>
        <v>8400</v>
      </c>
      <c r="E483" s="134">
        <v>11900</v>
      </c>
      <c r="F483" s="770" t="s">
        <v>5141</v>
      </c>
      <c r="G483" s="385" t="s">
        <v>709</v>
      </c>
      <c r="H483" s="9">
        <v>12000</v>
      </c>
      <c r="I483" s="85">
        <f>IF(E483=H483,0,IF(E483=0,100,(H483-E483)/E483*100))</f>
        <v>0.84033613445378152</v>
      </c>
      <c r="J483" s="9">
        <f>ROUNDUP(H483+(H483*Assumptions!I$5),-2)</f>
        <v>12300</v>
      </c>
      <c r="K483" s="9">
        <f>ROUNDUP(J483+(J483*Assumptions!J$5),-2)</f>
        <v>12700</v>
      </c>
      <c r="L483" s="9">
        <f>ROUNDUP(K483+(K483*Assumptions!K$5),-2)</f>
        <v>13100</v>
      </c>
      <c r="M483" s="9">
        <f>ROUNDUP(L483+(L483*Assumptions!L$5),-2)</f>
        <v>13500</v>
      </c>
      <c r="N483" s="9">
        <f>ROUNDUP(M483+(M483*Assumptions!M$5),-2)</f>
        <v>13900</v>
      </c>
      <c r="O483" s="9">
        <f>ROUNDUP(N483+(N483*Assumptions!N$5),-2)</f>
        <v>14300</v>
      </c>
      <c r="P483" s="89">
        <f>ROUNDUP(O483+(O483*Assumptions!O$5),-2)</f>
        <v>14700</v>
      </c>
      <c r="Q483" s="9">
        <f>ROUNDUP(P483+(P483*Assumptions!P$5),-2)</f>
        <v>15100</v>
      </c>
      <c r="R483" s="9">
        <f>ROUNDUP(Q483+(Q483*Assumptions!Q$5),-2)</f>
        <v>15500</v>
      </c>
      <c r="S483" s="47">
        <f>ROUNDUP(R483+(R483*Assumptions!R$5),-2)</f>
        <v>15900</v>
      </c>
    </row>
    <row r="484" spans="1:19" ht="12.75" customHeight="1" thickBot="1" x14ac:dyDescent="0.25">
      <c r="A484" s="1433"/>
      <c r="B484" s="929"/>
      <c r="C484" s="929"/>
      <c r="D484" s="929"/>
      <c r="E484" s="929"/>
      <c r="F484" s="1183"/>
      <c r="G484" s="929"/>
      <c r="H484" s="1184"/>
      <c r="I484" s="929"/>
      <c r="J484" s="1184"/>
      <c r="K484" s="1184"/>
      <c r="L484" s="1184"/>
      <c r="M484" s="1184"/>
      <c r="N484" s="1184"/>
      <c r="O484" s="1184"/>
      <c r="P484" s="1208"/>
      <c r="Q484" s="1184"/>
      <c r="R484" s="1184"/>
      <c r="S484" s="1185"/>
    </row>
    <row r="485" spans="1:19" s="38" customFormat="1" ht="19.5" thickTop="1" thickBot="1" x14ac:dyDescent="0.3">
      <c r="A485" s="2588" t="s">
        <v>7080</v>
      </c>
      <c r="B485" s="2589"/>
      <c r="C485" s="2589"/>
      <c r="D485" s="2589"/>
      <c r="E485" s="2589"/>
      <c r="F485" s="2589"/>
      <c r="G485" s="2589"/>
      <c r="H485" s="2589"/>
      <c r="I485" s="2589"/>
      <c r="J485" s="2589"/>
      <c r="K485" s="2589"/>
      <c r="L485" s="2589"/>
      <c r="M485" s="2589"/>
      <c r="N485" s="2589"/>
      <c r="O485" s="2589"/>
      <c r="P485" s="2589"/>
      <c r="Q485" s="2589"/>
      <c r="R485" s="2589"/>
      <c r="S485" s="2590"/>
    </row>
    <row r="486" spans="1:19" s="39" customFormat="1" ht="12.75" customHeight="1" x14ac:dyDescent="0.2">
      <c r="A486" s="2591" t="s">
        <v>1824</v>
      </c>
      <c r="B486" s="2577"/>
      <c r="C486" s="2577"/>
      <c r="D486" s="2577"/>
      <c r="E486" s="2592" t="s">
        <v>2215</v>
      </c>
      <c r="F486" s="2231" t="s">
        <v>2616</v>
      </c>
      <c r="G486" s="188" t="s">
        <v>2213</v>
      </c>
      <c r="H486" s="2576" t="s">
        <v>2215</v>
      </c>
      <c r="I486" s="2577"/>
      <c r="J486" s="2577"/>
      <c r="K486" s="2577"/>
      <c r="L486" s="2577"/>
      <c r="M486" s="2577"/>
      <c r="N486" s="2577"/>
      <c r="O486" s="2577"/>
      <c r="P486" s="2577"/>
      <c r="Q486" s="2577"/>
      <c r="R486" s="2577"/>
      <c r="S486" s="2578"/>
    </row>
    <row r="487" spans="1:19" ht="12.75" customHeight="1" thickBot="1" x14ac:dyDescent="0.25">
      <c r="A487" s="1011" t="str">
        <f t="shared" ref="A487:F487" si="423">A427</f>
        <v>2012/13</v>
      </c>
      <c r="B487" s="28" t="str">
        <f t="shared" si="423"/>
        <v>2013/14</v>
      </c>
      <c r="C487" s="40" t="str">
        <f t="shared" si="423"/>
        <v>2014/15</v>
      </c>
      <c r="D487" s="40" t="str">
        <f t="shared" si="423"/>
        <v>2015/16</v>
      </c>
      <c r="E487" s="40" t="str">
        <f t="shared" si="423"/>
        <v>2016/17</v>
      </c>
      <c r="F487" s="2008" t="str">
        <f t="shared" si="423"/>
        <v>ACCOUNT</v>
      </c>
      <c r="G487" s="41"/>
      <c r="H487" s="40" t="str">
        <f t="shared" ref="H487:S487" si="424">H427</f>
        <v>2017/18</v>
      </c>
      <c r="I487" s="1258" t="str">
        <f t="shared" si="424"/>
        <v>%</v>
      </c>
      <c r="J487" s="40" t="str">
        <f t="shared" si="424"/>
        <v>2018/19</v>
      </c>
      <c r="K487" s="40" t="str">
        <f t="shared" si="424"/>
        <v>2019/20</v>
      </c>
      <c r="L487" s="40" t="str">
        <f t="shared" si="424"/>
        <v>2020/21</v>
      </c>
      <c r="M487" s="40" t="str">
        <f t="shared" si="424"/>
        <v>2021/22</v>
      </c>
      <c r="N487" s="40" t="str">
        <f t="shared" si="424"/>
        <v>2022/23</v>
      </c>
      <c r="O487" s="40" t="str">
        <f t="shared" si="424"/>
        <v>2023/24</v>
      </c>
      <c r="P487" s="40" t="str">
        <f t="shared" si="424"/>
        <v>2024/25</v>
      </c>
      <c r="Q487" s="28" t="str">
        <f t="shared" si="424"/>
        <v>2025/26</v>
      </c>
      <c r="R487" s="28" t="str">
        <f t="shared" si="424"/>
        <v>2026/27</v>
      </c>
      <c r="S487" s="1620" t="str">
        <f t="shared" si="424"/>
        <v>2027/28</v>
      </c>
    </row>
    <row r="488" spans="1:19" ht="12.75" customHeight="1" x14ac:dyDescent="0.2">
      <c r="A488" s="54"/>
      <c r="B488" s="9"/>
      <c r="C488" s="9"/>
      <c r="D488" s="9"/>
      <c r="E488" s="134"/>
      <c r="F488" s="483"/>
      <c r="G488" s="1174"/>
      <c r="H488" s="9"/>
      <c r="I488" s="85"/>
      <c r="J488" s="9"/>
      <c r="K488" s="9"/>
      <c r="L488" s="9"/>
      <c r="M488" s="9"/>
      <c r="N488" s="9"/>
      <c r="O488" s="9"/>
      <c r="P488" s="9"/>
      <c r="Q488" s="9"/>
      <c r="R488" s="9"/>
      <c r="S488" s="61"/>
    </row>
    <row r="489" spans="1:19" ht="12.75" customHeight="1" x14ac:dyDescent="0.2">
      <c r="A489" s="54"/>
      <c r="B489" s="9"/>
      <c r="C489" s="9"/>
      <c r="D489" s="9"/>
      <c r="E489" s="134"/>
      <c r="F489" s="1153"/>
      <c r="G489" s="21" t="s">
        <v>2851</v>
      </c>
      <c r="H489" s="9"/>
      <c r="I489" s="85"/>
      <c r="J489" s="9"/>
      <c r="K489" s="9"/>
      <c r="L489" s="9"/>
      <c r="M489" s="9"/>
      <c r="N489" s="9"/>
      <c r="O489" s="9"/>
      <c r="P489" s="89"/>
      <c r="Q489" s="9"/>
      <c r="R489" s="9"/>
      <c r="S489" s="47"/>
    </row>
    <row r="490" spans="1:19" ht="12.75" customHeight="1" x14ac:dyDescent="0.2">
      <c r="A490" s="54">
        <v>18200</v>
      </c>
      <c r="B490" s="9">
        <v>8100</v>
      </c>
      <c r="C490" s="134">
        <v>15800</v>
      </c>
      <c r="D490" s="9">
        <f>10021-21</f>
        <v>10000</v>
      </c>
      <c r="E490" s="134">
        <v>8000</v>
      </c>
      <c r="F490" s="1153" t="s">
        <v>830</v>
      </c>
      <c r="G490" s="661" t="s">
        <v>2514</v>
      </c>
      <c r="H490" s="9">
        <f>8700-2500-3500-500</f>
        <v>2200</v>
      </c>
      <c r="I490" s="85">
        <f>IF(E490=H490,0,IF(E490=0,100,(H490-E490)/E490*100))</f>
        <v>-72.5</v>
      </c>
      <c r="J490" s="9">
        <f>ROUNDUP(H490+(H490*Assumptions!I$5),-2)</f>
        <v>2300</v>
      </c>
      <c r="K490" s="9">
        <f>ROUNDUP(J490+(J490*Assumptions!J$5),-2)</f>
        <v>2400</v>
      </c>
      <c r="L490" s="9">
        <f>ROUNDUP(K490+(K490*Assumptions!K$5),-2)</f>
        <v>2500</v>
      </c>
      <c r="M490" s="9">
        <f>ROUNDUP(L490+(L490*Assumptions!L$5),-2)</f>
        <v>2600</v>
      </c>
      <c r="N490" s="9">
        <f>ROUNDUP(M490+(M490*Assumptions!M$5),-2)</f>
        <v>2700</v>
      </c>
      <c r="O490" s="9">
        <f>ROUNDUP(N490+(N490*Assumptions!N$5),-2)</f>
        <v>2800</v>
      </c>
      <c r="P490" s="89">
        <f>ROUNDUP(O490+(O490*Assumptions!O$5),-2)</f>
        <v>2900</v>
      </c>
      <c r="Q490" s="9">
        <f>ROUNDUP(P490+(P490*Assumptions!P$5),-2)</f>
        <v>3000</v>
      </c>
      <c r="R490" s="9">
        <f>ROUNDUP(Q490+(Q490*Assumptions!Q$5),-2)</f>
        <v>3100</v>
      </c>
      <c r="S490" s="47">
        <f>ROUNDUP(R490+(R490*Assumptions!R$5),-2)</f>
        <v>3200</v>
      </c>
    </row>
    <row r="491" spans="1:19" ht="12.75" customHeight="1" x14ac:dyDescent="0.2">
      <c r="A491" s="54">
        <v>0</v>
      </c>
      <c r="B491" s="9">
        <v>0</v>
      </c>
      <c r="C491" s="134">
        <v>0</v>
      </c>
      <c r="D491" s="9">
        <v>0</v>
      </c>
      <c r="E491" s="134">
        <v>0</v>
      </c>
      <c r="F491" s="770" t="s">
        <v>7241</v>
      </c>
      <c r="G491" s="661" t="s">
        <v>7076</v>
      </c>
      <c r="H491" s="9">
        <v>3500</v>
      </c>
      <c r="I491" s="85">
        <f t="shared" ref="I491:I504" si="425">IF(E491=H491,0,IF(E491=0,100,(H491-E491)/E491*100))</f>
        <v>100</v>
      </c>
      <c r="J491" s="9">
        <f>ROUNDUP(H491+(H491*Assumptions!I$5),-2)</f>
        <v>3600</v>
      </c>
      <c r="K491" s="9">
        <f>ROUNDUP(J491+(J491*Assumptions!J$5),-2)</f>
        <v>3700</v>
      </c>
      <c r="L491" s="9">
        <f>ROUNDUP(K491+(K491*Assumptions!K$5),-2)</f>
        <v>3800</v>
      </c>
      <c r="M491" s="9">
        <f>ROUNDUP(L491+(L491*Assumptions!L$5),-2)</f>
        <v>3900</v>
      </c>
      <c r="N491" s="9">
        <f>ROUNDUP(M491+(M491*Assumptions!M$5),-2)</f>
        <v>4000</v>
      </c>
      <c r="O491" s="9">
        <f>ROUNDUP(N491+(N491*Assumptions!N$5),-2)</f>
        <v>4100</v>
      </c>
      <c r="P491" s="89">
        <f>ROUNDUP(O491+(O491*Assumptions!O$5),-2)</f>
        <v>4300</v>
      </c>
      <c r="Q491" s="9">
        <f>ROUNDUP(P491+(P491*Assumptions!P$5),-2)</f>
        <v>4500</v>
      </c>
      <c r="R491" s="9">
        <f>ROUNDUP(Q491+(Q491*Assumptions!Q$5),-2)</f>
        <v>4700</v>
      </c>
      <c r="S491" s="47">
        <f>ROUNDUP(R491+(R491*Assumptions!R$5),-2)</f>
        <v>4900</v>
      </c>
    </row>
    <row r="492" spans="1:19" ht="12.75" customHeight="1" x14ac:dyDescent="0.2">
      <c r="A492" s="54">
        <v>0</v>
      </c>
      <c r="B492" s="9">
        <v>0</v>
      </c>
      <c r="C492" s="134">
        <v>0</v>
      </c>
      <c r="D492" s="9">
        <v>0</v>
      </c>
      <c r="E492" s="134">
        <v>0</v>
      </c>
      <c r="F492" s="770" t="s">
        <v>7242</v>
      </c>
      <c r="G492" s="661" t="s">
        <v>22</v>
      </c>
      <c r="H492" s="9">
        <v>500</v>
      </c>
      <c r="I492" s="85">
        <f t="shared" si="425"/>
        <v>100</v>
      </c>
      <c r="J492" s="9">
        <f>ROUNDUP(H492+(H492*Assumptions!I$5),-2)</f>
        <v>600</v>
      </c>
      <c r="K492" s="9">
        <f>ROUNDUP(J492+(J492*Assumptions!J$5),-2)</f>
        <v>700</v>
      </c>
      <c r="L492" s="9">
        <f>ROUNDUP(K492+(K492*Assumptions!K$5),-2)</f>
        <v>800</v>
      </c>
      <c r="M492" s="9">
        <f>ROUNDUP(L492+(L492*Assumptions!L$5),-2)</f>
        <v>900</v>
      </c>
      <c r="N492" s="9">
        <f>ROUNDUP(M492+(M492*Assumptions!M$5),-2)</f>
        <v>1000</v>
      </c>
      <c r="O492" s="9">
        <f>ROUNDUP(N492+(N492*Assumptions!N$5),-2)</f>
        <v>1100</v>
      </c>
      <c r="P492" s="89">
        <f>ROUNDUP(O492+(O492*Assumptions!O$5),-2)</f>
        <v>1200</v>
      </c>
      <c r="Q492" s="9">
        <f>ROUNDUP(P492+(P492*Assumptions!P$5),-2)</f>
        <v>1300</v>
      </c>
      <c r="R492" s="9">
        <f>ROUNDUP(Q492+(Q492*Assumptions!Q$5),-2)</f>
        <v>1400</v>
      </c>
      <c r="S492" s="47">
        <f>ROUNDUP(R492+(R492*Assumptions!R$5),-2)</f>
        <v>1500</v>
      </c>
    </row>
    <row r="493" spans="1:19" ht="12.75" customHeight="1" x14ac:dyDescent="0.2">
      <c r="A493" s="54">
        <v>2900</v>
      </c>
      <c r="B493" s="9">
        <v>2900</v>
      </c>
      <c r="C493" s="134">
        <v>2000</v>
      </c>
      <c r="D493" s="9">
        <f>1710-10</f>
        <v>1700</v>
      </c>
      <c r="E493" s="134">
        <v>2100</v>
      </c>
      <c r="F493" s="770" t="s">
        <v>447</v>
      </c>
      <c r="G493" s="385" t="s">
        <v>2839</v>
      </c>
      <c r="H493" s="9">
        <v>3300</v>
      </c>
      <c r="I493" s="85">
        <f t="shared" si="425"/>
        <v>57.142857142857139</v>
      </c>
      <c r="J493" s="9">
        <f>ROUNDUP(H493+(H493*Assumptions!I$5),-2)</f>
        <v>3400</v>
      </c>
      <c r="K493" s="9">
        <f>ROUNDUP(J493+(J493*Assumptions!J$5),-2)</f>
        <v>3500</v>
      </c>
      <c r="L493" s="9">
        <f>ROUNDUP(K493+(K493*Assumptions!K$5),-2)</f>
        <v>3600</v>
      </c>
      <c r="M493" s="9">
        <f>ROUNDUP(L493+(L493*Assumptions!L$5),-2)</f>
        <v>3700</v>
      </c>
      <c r="N493" s="9">
        <f>ROUNDUP(M493+(M493*Assumptions!M$5),-2)</f>
        <v>3800</v>
      </c>
      <c r="O493" s="9">
        <f>ROUNDUP(N493+(N493*Assumptions!N$5),-2)</f>
        <v>3900</v>
      </c>
      <c r="P493" s="89">
        <f>ROUNDUP(O493+(O493*Assumptions!O$5),-2)</f>
        <v>4000</v>
      </c>
      <c r="Q493" s="9">
        <f>ROUNDUP(P493+(P493*Assumptions!P$5),-2)</f>
        <v>4100</v>
      </c>
      <c r="R493" s="9">
        <f>ROUNDUP(Q493+(Q493*Assumptions!Q$5),-2)</f>
        <v>4300</v>
      </c>
      <c r="S493" s="47">
        <f>ROUNDUP(R493+(R493*Assumptions!R$5),-2)</f>
        <v>4500</v>
      </c>
    </row>
    <row r="494" spans="1:19" ht="12.75" customHeight="1" x14ac:dyDescent="0.2">
      <c r="A494" s="54">
        <v>1000</v>
      </c>
      <c r="B494" s="9">
        <v>1600</v>
      </c>
      <c r="C494" s="134">
        <v>4700</v>
      </c>
      <c r="D494" s="9">
        <f>2198+2</f>
        <v>2200</v>
      </c>
      <c r="E494" s="134">
        <v>1900</v>
      </c>
      <c r="F494" s="1153" t="s">
        <v>1067</v>
      </c>
      <c r="G494" s="662" t="s">
        <v>3036</v>
      </c>
      <c r="H494" s="9">
        <f>2000+500</f>
        <v>2500</v>
      </c>
      <c r="I494" s="85">
        <f t="shared" si="425"/>
        <v>31.578947368421051</v>
      </c>
      <c r="J494" s="9">
        <f>ROUNDUP(H494+(H494*Assumptions!I$5),-2)-500</f>
        <v>2100</v>
      </c>
      <c r="K494" s="9">
        <f>ROUNDUP(J494+(J494*Assumptions!J$5),-2)</f>
        <v>2200</v>
      </c>
      <c r="L494" s="9">
        <f>ROUNDUP(K494+(K494*Assumptions!K$5),-2)</f>
        <v>2300</v>
      </c>
      <c r="M494" s="9">
        <f>ROUNDUP(L494+(L494*Assumptions!L$5),-2)</f>
        <v>2400</v>
      </c>
      <c r="N494" s="9">
        <f>ROUNDUP(M494+(M494*Assumptions!M$5),-2)</f>
        <v>2500</v>
      </c>
      <c r="O494" s="9">
        <f>ROUNDUP(N494+(N494*Assumptions!N$5),-2)</f>
        <v>2600</v>
      </c>
      <c r="P494" s="89">
        <f>ROUNDUP(O494+(O494*Assumptions!O$5),-2)</f>
        <v>2700</v>
      </c>
      <c r="Q494" s="9">
        <f>ROUNDUP(P494+(P494*Assumptions!P$5),-2)</f>
        <v>2800</v>
      </c>
      <c r="R494" s="9">
        <f>ROUNDUP(Q494+(Q494*Assumptions!Q$5),-2)</f>
        <v>2900</v>
      </c>
      <c r="S494" s="47">
        <f>ROUNDUP(R494+(R494*Assumptions!R$5),-2)</f>
        <v>3000</v>
      </c>
    </row>
    <row r="495" spans="1:19" ht="12.75" customHeight="1" x14ac:dyDescent="0.2">
      <c r="A495" s="54">
        <v>27000</v>
      </c>
      <c r="B495" s="9">
        <v>33800</v>
      </c>
      <c r="C495" s="134">
        <v>23400</v>
      </c>
      <c r="D495" s="9">
        <f>21813-13</f>
        <v>21800</v>
      </c>
      <c r="E495" s="134">
        <v>20400</v>
      </c>
      <c r="F495" s="1153" t="s">
        <v>1969</v>
      </c>
      <c r="G495" s="371" t="s">
        <v>2724</v>
      </c>
      <c r="H495" s="9">
        <f>22400-3000-5700</f>
        <v>13700</v>
      </c>
      <c r="I495" s="85">
        <f t="shared" si="425"/>
        <v>-32.843137254901961</v>
      </c>
      <c r="J495" s="9">
        <f>ROUNDUP(H495+(H495*Assumptions!I$5),-2)</f>
        <v>14100</v>
      </c>
      <c r="K495" s="9">
        <f>ROUNDUP(J495+(J495*Assumptions!J$5),-2)</f>
        <v>14500</v>
      </c>
      <c r="L495" s="9">
        <f>ROUNDUP(K495+(K495*Assumptions!K$5),-2)</f>
        <v>14900</v>
      </c>
      <c r="M495" s="9">
        <f>ROUNDUP(L495+(L495*Assumptions!L$5),-2)</f>
        <v>15300</v>
      </c>
      <c r="N495" s="9">
        <f>ROUNDUP(M495+(M495*Assumptions!M$5),-2)</f>
        <v>15700</v>
      </c>
      <c r="O495" s="9">
        <f>ROUNDUP(N495+(N495*Assumptions!N$5),-2)</f>
        <v>16100</v>
      </c>
      <c r="P495" s="89">
        <f>ROUNDUP(O495+(O495*Assumptions!O$5),-2)</f>
        <v>16600</v>
      </c>
      <c r="Q495" s="9">
        <f>ROUNDUP(P495+(P495*Assumptions!P$5),-2)</f>
        <v>17100</v>
      </c>
      <c r="R495" s="9">
        <f>ROUNDUP(Q495+(Q495*Assumptions!Q$5),-2)</f>
        <v>17600</v>
      </c>
      <c r="S495" s="47">
        <f>ROUNDUP(R495+(R495*Assumptions!R$5),-2)</f>
        <v>18100</v>
      </c>
    </row>
    <row r="496" spans="1:19" ht="12.75" customHeight="1" x14ac:dyDescent="0.2">
      <c r="A496" s="54">
        <v>6800</v>
      </c>
      <c r="B496" s="9">
        <v>7400</v>
      </c>
      <c r="C496" s="134">
        <v>8200</v>
      </c>
      <c r="D496" s="9">
        <f>8078+22</f>
        <v>8100</v>
      </c>
      <c r="E496" s="134">
        <v>9600</v>
      </c>
      <c r="F496" s="1153" t="s">
        <v>1099</v>
      </c>
      <c r="G496" s="385" t="s">
        <v>1445</v>
      </c>
      <c r="H496" s="9">
        <v>9000</v>
      </c>
      <c r="I496" s="85">
        <f t="shared" si="425"/>
        <v>-6.25</v>
      </c>
      <c r="J496" s="9">
        <f>ROUNDUP(H496+(H496*Assumptions!I$5),-2)</f>
        <v>9300</v>
      </c>
      <c r="K496" s="9">
        <f>ROUNDUP(J496+(J496*Assumptions!J$5),-2)</f>
        <v>9600</v>
      </c>
      <c r="L496" s="9">
        <f>ROUNDUP(K496+(K496*Assumptions!K$5),-2)</f>
        <v>9900</v>
      </c>
      <c r="M496" s="9">
        <f>ROUNDUP(L496+(L496*Assumptions!L$5),-2)</f>
        <v>10200</v>
      </c>
      <c r="N496" s="9">
        <f>ROUNDUP(M496+(M496*Assumptions!M$5),-2)</f>
        <v>10500</v>
      </c>
      <c r="O496" s="9">
        <f>ROUNDUP(N496+(N496*Assumptions!N$5),-2)</f>
        <v>10800</v>
      </c>
      <c r="P496" s="89">
        <f>ROUNDUP(O496+(O496*Assumptions!O$5),-2)</f>
        <v>11100</v>
      </c>
      <c r="Q496" s="9">
        <f>ROUNDUP(P496+(P496*Assumptions!P$5),-2)</f>
        <v>11400</v>
      </c>
      <c r="R496" s="9">
        <f>ROUNDUP(Q496+(Q496*Assumptions!Q$5),-2)</f>
        <v>11700</v>
      </c>
      <c r="S496" s="47">
        <f>ROUNDUP(R496+(R496*Assumptions!R$5),-2)</f>
        <v>12000</v>
      </c>
    </row>
    <row r="497" spans="1:19" ht="12.75" customHeight="1" x14ac:dyDescent="0.2">
      <c r="A497" s="54">
        <v>0</v>
      </c>
      <c r="B497" s="9">
        <v>0</v>
      </c>
      <c r="C497" s="134">
        <v>0</v>
      </c>
      <c r="D497" s="9">
        <f>4923-23</f>
        <v>4900</v>
      </c>
      <c r="E497" s="134">
        <v>8500</v>
      </c>
      <c r="F497" s="770" t="s">
        <v>5519</v>
      </c>
      <c r="G497" s="662" t="s">
        <v>5520</v>
      </c>
      <c r="H497" s="9">
        <f>5000+2500+3000</f>
        <v>10500</v>
      </c>
      <c r="I497" s="85">
        <f t="shared" si="425"/>
        <v>23.52941176470588</v>
      </c>
      <c r="J497" s="9">
        <f>ROUNDUP(H497+(H497*Assumptions!I$5),-2)</f>
        <v>10800</v>
      </c>
      <c r="K497" s="9">
        <f>ROUNDUP(J497+(J497*Assumptions!J$5),-2)</f>
        <v>11100</v>
      </c>
      <c r="L497" s="9">
        <f>ROUNDUP(K497+(K497*Assumptions!K$5),-2)</f>
        <v>11400</v>
      </c>
      <c r="M497" s="9">
        <f>ROUNDUP(L497+(L497*Assumptions!L$5),-2)</f>
        <v>11700</v>
      </c>
      <c r="N497" s="9">
        <f>ROUNDUP(M497+(M497*Assumptions!M$5),-2)</f>
        <v>12000</v>
      </c>
      <c r="O497" s="9">
        <f>ROUNDUP(N497+(N497*Assumptions!N$5),-2)</f>
        <v>12300</v>
      </c>
      <c r="P497" s="89">
        <f>ROUNDUP(O497+(O497*Assumptions!O$5),-2)</f>
        <v>12700</v>
      </c>
      <c r="Q497" s="9">
        <f>ROUNDUP(P497+(P497*Assumptions!P$5),-2)</f>
        <v>13100</v>
      </c>
      <c r="R497" s="9">
        <f>ROUNDUP(Q497+(Q497*Assumptions!Q$5),-2)</f>
        <v>13500</v>
      </c>
      <c r="S497" s="47">
        <f>ROUNDUP(R497+(R497*Assumptions!R$5),-2)</f>
        <v>13900</v>
      </c>
    </row>
    <row r="498" spans="1:19" ht="12.75" customHeight="1" x14ac:dyDescent="0.2">
      <c r="A498" s="54">
        <v>6500</v>
      </c>
      <c r="B498" s="9">
        <v>12500</v>
      </c>
      <c r="C498" s="134">
        <v>12700</v>
      </c>
      <c r="D498" s="9">
        <f>14395+5</f>
        <v>14400</v>
      </c>
      <c r="E498" s="134">
        <v>22000</v>
      </c>
      <c r="F498" s="1153" t="s">
        <v>1100</v>
      </c>
      <c r="G498" s="371" t="s">
        <v>2157</v>
      </c>
      <c r="H498" s="9">
        <f>13200-3000</f>
        <v>10200</v>
      </c>
      <c r="I498" s="85">
        <f t="shared" si="425"/>
        <v>-53.63636363636364</v>
      </c>
      <c r="J498" s="9">
        <f>ROUNDUP(H498+(H498*Assumptions!I$5),-2)</f>
        <v>10500</v>
      </c>
      <c r="K498" s="9">
        <f>ROUNDUP(J498+(J498*Assumptions!J$5),-2)</f>
        <v>10800</v>
      </c>
      <c r="L498" s="9">
        <f>ROUNDUP(K498+(K498*Assumptions!K$5),-2)</f>
        <v>11100</v>
      </c>
      <c r="M498" s="9">
        <f>ROUNDUP(L498+(L498*Assumptions!L$5),-2)</f>
        <v>11400</v>
      </c>
      <c r="N498" s="9">
        <f>ROUNDUP(M498+(M498*Assumptions!M$5),-2)</f>
        <v>11700</v>
      </c>
      <c r="O498" s="9">
        <f>ROUNDUP(N498+(N498*Assumptions!N$5),-2)</f>
        <v>12000</v>
      </c>
      <c r="P498" s="89">
        <f>ROUNDUP(O498+(O498*Assumptions!O$5),-2)</f>
        <v>12300</v>
      </c>
      <c r="Q498" s="9">
        <f>ROUNDUP(P498+(P498*Assumptions!P$5),-2)</f>
        <v>12700</v>
      </c>
      <c r="R498" s="9">
        <f>ROUNDUP(Q498+(Q498*Assumptions!Q$5),-2)</f>
        <v>13100</v>
      </c>
      <c r="S498" s="47">
        <f>ROUNDUP(R498+(R498*Assumptions!R$5),-2)</f>
        <v>13500</v>
      </c>
    </row>
    <row r="499" spans="1:19" s="31" customFormat="1" ht="12.75" customHeight="1" x14ac:dyDescent="0.2">
      <c r="A499" s="54">
        <v>32400</v>
      </c>
      <c r="B499" s="9">
        <v>42200</v>
      </c>
      <c r="C499" s="134">
        <v>43500</v>
      </c>
      <c r="D499" s="9">
        <f>36040+60</f>
        <v>36100</v>
      </c>
      <c r="E499" s="134">
        <v>57300</v>
      </c>
      <c r="F499" s="1153" t="s">
        <v>831</v>
      </c>
      <c r="G499" s="385" t="s">
        <v>1500</v>
      </c>
      <c r="H499" s="9">
        <f>45700+1000</f>
        <v>46700</v>
      </c>
      <c r="I499" s="85">
        <f t="shared" si="425"/>
        <v>-18.499127399650959</v>
      </c>
      <c r="J499" s="9">
        <f>ROUNDUP(H499+(H499*Assumptions!I$5),-2)</f>
        <v>47800</v>
      </c>
      <c r="K499" s="9">
        <f>ROUNDUP(J499+(J499*Assumptions!J$5),-2)</f>
        <v>49000</v>
      </c>
      <c r="L499" s="9">
        <f>ROUNDUP(K499+(K499*Assumptions!K$5),-2)</f>
        <v>50300</v>
      </c>
      <c r="M499" s="9">
        <f>ROUNDUP(L499+(L499*Assumptions!L$5),-2)</f>
        <v>51600</v>
      </c>
      <c r="N499" s="9">
        <f>ROUNDUP(M499+(M499*Assumptions!M$5),-2)</f>
        <v>52900</v>
      </c>
      <c r="O499" s="9">
        <f>ROUNDUP(N499+(N499*Assumptions!N$5),-2)</f>
        <v>54300</v>
      </c>
      <c r="P499" s="89">
        <f>ROUNDUP(O499+(O499*Assumptions!O$5),-2)</f>
        <v>55700</v>
      </c>
      <c r="Q499" s="9">
        <f>ROUNDUP(P499+(P499*Assumptions!P$5),-2)</f>
        <v>57100</v>
      </c>
      <c r="R499" s="9">
        <f>ROUNDUP(Q499+(Q499*Assumptions!Q$5),-2)</f>
        <v>58600</v>
      </c>
      <c r="S499" s="47">
        <f>ROUNDUP(R499+(R499*Assumptions!R$5),-2)</f>
        <v>60100</v>
      </c>
    </row>
    <row r="500" spans="1:19" s="38" customFormat="1" ht="12.75" customHeight="1" x14ac:dyDescent="0.25">
      <c r="A500" s="54">
        <v>0</v>
      </c>
      <c r="B500" s="9">
        <v>400</v>
      </c>
      <c r="C500" s="134">
        <v>2000</v>
      </c>
      <c r="D500" s="9">
        <f>2669+31</f>
        <v>2700</v>
      </c>
      <c r="E500" s="134">
        <v>2600</v>
      </c>
      <c r="F500" s="1153" t="s">
        <v>1068</v>
      </c>
      <c r="G500" s="662" t="s">
        <v>1748</v>
      </c>
      <c r="H500" s="9">
        <f>2000+500</f>
        <v>2500</v>
      </c>
      <c r="I500" s="85">
        <f t="shared" si="425"/>
        <v>-3.8461538461538463</v>
      </c>
      <c r="J500" s="9">
        <f>ROUNDUP(H500+(H500*Assumptions!I$5),-2)</f>
        <v>2600</v>
      </c>
      <c r="K500" s="9">
        <f>ROUNDUP(J500+(J500*Assumptions!J$5),-2)</f>
        <v>2700</v>
      </c>
      <c r="L500" s="9">
        <f>ROUNDUP(K500+(K500*Assumptions!K$5),-2)</f>
        <v>2800</v>
      </c>
      <c r="M500" s="9">
        <f>ROUNDUP(L500+(L500*Assumptions!L$5),-2)</f>
        <v>2900</v>
      </c>
      <c r="N500" s="9">
        <f>ROUNDUP(M500+(M500*Assumptions!M$5),-2)</f>
        <v>3000</v>
      </c>
      <c r="O500" s="9">
        <f>ROUNDUP(N500+(N500*Assumptions!N$5),-2)</f>
        <v>3100</v>
      </c>
      <c r="P500" s="89">
        <f>ROUNDUP(O500+(O500*Assumptions!O$5),-2)</f>
        <v>3200</v>
      </c>
      <c r="Q500" s="9">
        <f>ROUNDUP(P500+(P500*Assumptions!P$5),-2)</f>
        <v>3300</v>
      </c>
      <c r="R500" s="9">
        <f>ROUNDUP(Q500+(Q500*Assumptions!Q$5),-2)</f>
        <v>3400</v>
      </c>
      <c r="S500" s="47">
        <f>ROUNDUP(R500+(R500*Assumptions!R$5),-2)</f>
        <v>3500</v>
      </c>
    </row>
    <row r="501" spans="1:19" s="39" customFormat="1" ht="12.75" customHeight="1" x14ac:dyDescent="0.2">
      <c r="A501" s="54">
        <v>0</v>
      </c>
      <c r="B501" s="9">
        <v>2000</v>
      </c>
      <c r="C501" s="134">
        <v>900</v>
      </c>
      <c r="D501" s="9">
        <f>7046-46</f>
        <v>7000</v>
      </c>
      <c r="E501" s="134">
        <v>8400</v>
      </c>
      <c r="F501" s="1153" t="s">
        <v>1971</v>
      </c>
      <c r="G501" s="371" t="s">
        <v>2517</v>
      </c>
      <c r="H501" s="9">
        <f>1000+2500+6000</f>
        <v>9500</v>
      </c>
      <c r="I501" s="85">
        <f t="shared" si="425"/>
        <v>13.095238095238097</v>
      </c>
      <c r="J501" s="9">
        <f>ROUNDUP(H501+(H501*Assumptions!I$5),-2)</f>
        <v>9800</v>
      </c>
      <c r="K501" s="9">
        <f>ROUNDUP(J501+(J501*Assumptions!J$5),-2)</f>
        <v>10100</v>
      </c>
      <c r="L501" s="9">
        <f>ROUNDUP(K501+(K501*Assumptions!K$5),-2)</f>
        <v>10400</v>
      </c>
      <c r="M501" s="9">
        <f>ROUNDUP(L501+(L501*Assumptions!L$5),-2)</f>
        <v>10700</v>
      </c>
      <c r="N501" s="9">
        <f>ROUNDUP(M501+(M501*Assumptions!M$5),-2)</f>
        <v>11000</v>
      </c>
      <c r="O501" s="9">
        <f>ROUNDUP(N501+(N501*Assumptions!N$5),-2)</f>
        <v>11300</v>
      </c>
      <c r="P501" s="89">
        <f>ROUNDUP(O501+(O501*Assumptions!O$5),-2)</f>
        <v>11600</v>
      </c>
      <c r="Q501" s="9">
        <f>ROUNDUP(P501+(P501*Assumptions!P$5),-2)</f>
        <v>11900</v>
      </c>
      <c r="R501" s="9">
        <f>ROUNDUP(Q501+(Q501*Assumptions!Q$5),-2)</f>
        <v>12200</v>
      </c>
      <c r="S501" s="47">
        <f>ROUNDUP(R501+(R501*Assumptions!R$5),-2)</f>
        <v>12600</v>
      </c>
    </row>
    <row r="502" spans="1:19" ht="12.75" customHeight="1" x14ac:dyDescent="0.2">
      <c r="A502" s="54">
        <v>13500</v>
      </c>
      <c r="B502" s="9">
        <v>22400</v>
      </c>
      <c r="C502" s="134">
        <v>10500</v>
      </c>
      <c r="D502" s="9">
        <f>21146-46</f>
        <v>21100</v>
      </c>
      <c r="E502" s="134">
        <v>25100</v>
      </c>
      <c r="F502" s="1153" t="s">
        <v>1098</v>
      </c>
      <c r="G502" s="371" t="s">
        <v>709</v>
      </c>
      <c r="H502" s="9">
        <v>24000</v>
      </c>
      <c r="I502" s="85">
        <f t="shared" si="425"/>
        <v>-4.3824701195219129</v>
      </c>
      <c r="J502" s="9">
        <v>26000</v>
      </c>
      <c r="K502" s="9">
        <f>ROUNDUP(J502+(J502*Assumptions!J$5),-2)</f>
        <v>26700</v>
      </c>
      <c r="L502" s="9">
        <f>ROUNDUP(K502+(K502*Assumptions!K$5),-2)</f>
        <v>27400</v>
      </c>
      <c r="M502" s="9">
        <f>ROUNDUP(L502+(L502*Assumptions!L$5),-2)</f>
        <v>28100</v>
      </c>
      <c r="N502" s="9">
        <f>ROUNDUP(M502+(M502*Assumptions!M$5),-2)</f>
        <v>28900</v>
      </c>
      <c r="O502" s="9">
        <f>ROUNDUP(N502+(N502*Assumptions!N$5),-2)</f>
        <v>29700</v>
      </c>
      <c r="P502" s="89">
        <f>ROUNDUP(O502+(O502*Assumptions!O$5),-2)</f>
        <v>30500</v>
      </c>
      <c r="Q502" s="9">
        <f>ROUNDUP(P502+(P502*Assumptions!P$5),-2)</f>
        <v>31300</v>
      </c>
      <c r="R502" s="9">
        <f>ROUNDUP(Q502+(Q502*Assumptions!Q$5),-2)</f>
        <v>32100</v>
      </c>
      <c r="S502" s="47">
        <f>ROUNDUP(R502+(R502*Assumptions!R$5),-2)</f>
        <v>33000</v>
      </c>
    </row>
    <row r="503" spans="1:19" ht="12.75" customHeight="1" x14ac:dyDescent="0.2">
      <c r="A503" s="54">
        <v>0</v>
      </c>
      <c r="B503" s="9">
        <v>12500</v>
      </c>
      <c r="C503" s="134">
        <v>21000</v>
      </c>
      <c r="D503" s="9">
        <f>17638-38</f>
        <v>17600</v>
      </c>
      <c r="E503" s="134">
        <v>9700</v>
      </c>
      <c r="F503" s="770" t="s">
        <v>3390</v>
      </c>
      <c r="G503" s="662" t="s">
        <v>4778</v>
      </c>
      <c r="H503" s="9">
        <v>8700</v>
      </c>
      <c r="I503" s="85">
        <f t="shared" si="425"/>
        <v>-10.309278350515463</v>
      </c>
      <c r="J503" s="9">
        <f>ROUNDUP(H503+(H503*Assumptions!I$5),-2)</f>
        <v>9000</v>
      </c>
      <c r="K503" s="9">
        <f>ROUNDUP(J503+(J503*Assumptions!J$5),-2)</f>
        <v>9300</v>
      </c>
      <c r="L503" s="9">
        <f>ROUNDUP(K503+(K503*Assumptions!K$5),-2)</f>
        <v>9600</v>
      </c>
      <c r="M503" s="9">
        <f>ROUNDUP(L503+(L503*Assumptions!L$5),-2)</f>
        <v>9900</v>
      </c>
      <c r="N503" s="9">
        <f>ROUNDUP(M503+(M503*Assumptions!M$5),-2)</f>
        <v>10200</v>
      </c>
      <c r="O503" s="9">
        <f>ROUNDUP(N503+(N503*Assumptions!N$5),-2)</f>
        <v>10500</v>
      </c>
      <c r="P503" s="89">
        <f>ROUNDUP(O503+(O503*Assumptions!O$5),-2)</f>
        <v>10800</v>
      </c>
      <c r="Q503" s="9">
        <f>ROUNDUP(P503+(P503*Assumptions!P$5),-2)</f>
        <v>11100</v>
      </c>
      <c r="R503" s="9">
        <f>ROUNDUP(Q503+(Q503*Assumptions!Q$5),-2)</f>
        <v>11400</v>
      </c>
      <c r="S503" s="47">
        <f>ROUNDUP(R503+(R503*Assumptions!R$5),-2)</f>
        <v>11700</v>
      </c>
    </row>
    <row r="504" spans="1:19" ht="12.75" customHeight="1" x14ac:dyDescent="0.2">
      <c r="A504" s="54">
        <v>0</v>
      </c>
      <c r="B504" s="9">
        <v>0</v>
      </c>
      <c r="C504" s="134">
        <v>0</v>
      </c>
      <c r="D504" s="9">
        <v>0</v>
      </c>
      <c r="E504" s="134">
        <v>8700</v>
      </c>
      <c r="F504" s="770" t="s">
        <v>6471</v>
      </c>
      <c r="G504" s="662" t="s">
        <v>6472</v>
      </c>
      <c r="H504" s="9">
        <f>6000+1500</f>
        <v>7500</v>
      </c>
      <c r="I504" s="85">
        <f t="shared" si="425"/>
        <v>-13.793103448275861</v>
      </c>
      <c r="J504" s="9">
        <f>ROUNDUP(H504+(H504*Assumptions!I$5),-2)</f>
        <v>7700</v>
      </c>
      <c r="K504" s="9">
        <f>ROUNDUP(J504+(J504*Assumptions!J$5),-2)</f>
        <v>7900</v>
      </c>
      <c r="L504" s="9">
        <f>ROUNDUP(K504+(K504*Assumptions!K$5),-2)</f>
        <v>8100</v>
      </c>
      <c r="M504" s="9">
        <f>ROUNDUP(L504+(L504*Assumptions!L$5),-2)</f>
        <v>8400</v>
      </c>
      <c r="N504" s="9">
        <f>ROUNDUP(M504+(M504*Assumptions!M$5),-2)</f>
        <v>8700</v>
      </c>
      <c r="O504" s="9">
        <f>ROUNDUP(N504+(N504*Assumptions!N$5),-2)</f>
        <v>9000</v>
      </c>
      <c r="P504" s="89">
        <f>ROUNDUP(O504+(O504*Assumptions!O$5),-2)</f>
        <v>9300</v>
      </c>
      <c r="Q504" s="9">
        <f>ROUNDUP(P504+(P504*Assumptions!P$5),-2)</f>
        <v>9600</v>
      </c>
      <c r="R504" s="9">
        <f>ROUNDUP(Q504+(Q504*Assumptions!Q$5),-2)</f>
        <v>9900</v>
      </c>
      <c r="S504" s="47">
        <f>ROUNDUP(R504+(R504*Assumptions!R$5),-2)</f>
        <v>10200</v>
      </c>
    </row>
    <row r="505" spans="1:19" ht="12.75" customHeight="1" x14ac:dyDescent="0.2">
      <c r="A505" s="54">
        <v>17300</v>
      </c>
      <c r="B505" s="9">
        <v>15200</v>
      </c>
      <c r="C505" s="134">
        <v>12400</v>
      </c>
      <c r="D505" s="9">
        <f>14149-49</f>
        <v>14100</v>
      </c>
      <c r="E505" s="134">
        <v>12800</v>
      </c>
      <c r="F505" s="770" t="s">
        <v>2950</v>
      </c>
      <c r="G505" s="662" t="s">
        <v>2951</v>
      </c>
      <c r="H505" s="9">
        <f>15000+1000</f>
        <v>16000</v>
      </c>
      <c r="I505" s="85">
        <f t="shared" ref="I505:I508" si="426">IF(E505=H505,0,IF(E505=0,100,(H505-E505)/E505*100))</f>
        <v>25</v>
      </c>
      <c r="J505" s="9">
        <f>ROUNDUP(H505+(H505*Assumptions!I$5),-2)</f>
        <v>16400</v>
      </c>
      <c r="K505" s="9">
        <f>ROUNDUP(J505+(J505*Assumptions!J$5),-2)</f>
        <v>16900</v>
      </c>
      <c r="L505" s="9">
        <f>ROUNDUP(K505+(K505*Assumptions!K$5),-2)</f>
        <v>17400</v>
      </c>
      <c r="M505" s="9">
        <f>ROUNDUP(L505+(L505*Assumptions!L$5),-2)</f>
        <v>17900</v>
      </c>
      <c r="N505" s="9">
        <f>ROUNDUP(M505+(M505*Assumptions!M$5),-2)</f>
        <v>18400</v>
      </c>
      <c r="O505" s="9">
        <f>ROUNDUP(N505+(N505*Assumptions!N$5),-2)</f>
        <v>18900</v>
      </c>
      <c r="P505" s="89">
        <f>ROUNDUP(O505+(O505*Assumptions!O$5),-2)</f>
        <v>19400</v>
      </c>
      <c r="Q505" s="9">
        <f>ROUNDUP(P505+(P505*Assumptions!P$5),-2)</f>
        <v>19900</v>
      </c>
      <c r="R505" s="9">
        <f>ROUNDUP(Q505+(Q505*Assumptions!Q$5),-2)</f>
        <v>20400</v>
      </c>
      <c r="S505" s="47">
        <f>ROUNDUP(R505+(R505*Assumptions!R$5),-2)</f>
        <v>21000</v>
      </c>
    </row>
    <row r="506" spans="1:19" ht="12.75" customHeight="1" x14ac:dyDescent="0.2">
      <c r="A506" s="54">
        <v>0</v>
      </c>
      <c r="B506" s="9">
        <v>0</v>
      </c>
      <c r="C506" s="134">
        <v>0</v>
      </c>
      <c r="D506" s="9">
        <v>0</v>
      </c>
      <c r="E506" s="134">
        <v>0</v>
      </c>
      <c r="F506" s="1153" t="s">
        <v>1878</v>
      </c>
      <c r="G506" s="662" t="s">
        <v>4574</v>
      </c>
      <c r="H506" s="9">
        <v>9800</v>
      </c>
      <c r="I506" s="85">
        <f t="shared" si="426"/>
        <v>100</v>
      </c>
      <c r="J506" s="9">
        <f>ROUNDUP(H506+(H506*Assumptions!I$5),-2)</f>
        <v>10100</v>
      </c>
      <c r="K506" s="9">
        <f>ROUNDUP(J506+(J506*Assumptions!J$5),-2)</f>
        <v>10400</v>
      </c>
      <c r="L506" s="9">
        <f>ROUNDUP(K506+(K506*Assumptions!K$5),-2)</f>
        <v>10700</v>
      </c>
      <c r="M506" s="9">
        <f>ROUNDUP(L506+(L506*Assumptions!L$5),-2)</f>
        <v>11000</v>
      </c>
      <c r="N506" s="9">
        <f>ROUNDUP(M506+(M506*Assumptions!M$5),-2)</f>
        <v>11300</v>
      </c>
      <c r="O506" s="9">
        <f>ROUNDUP(N506+(N506*Assumptions!N$5),-2)</f>
        <v>11600</v>
      </c>
      <c r="P506" s="89">
        <f>ROUNDUP(O506+(O506*Assumptions!O$5),-2)</f>
        <v>11900</v>
      </c>
      <c r="Q506" s="9">
        <f>ROUNDUP(P506+(P506*Assumptions!P$5),-2)</f>
        <v>12200</v>
      </c>
      <c r="R506" s="9">
        <f>ROUNDUP(Q506+(Q506*Assumptions!Q$5),-2)</f>
        <v>12600</v>
      </c>
      <c r="S506" s="47">
        <f>ROUNDUP(R506+(R506*Assumptions!R$5),-2)</f>
        <v>13000</v>
      </c>
    </row>
    <row r="507" spans="1:19" ht="12.75" customHeight="1" x14ac:dyDescent="0.2">
      <c r="A507" s="54">
        <v>12000</v>
      </c>
      <c r="B507" s="9">
        <v>11400</v>
      </c>
      <c r="C507" s="134">
        <v>11900</v>
      </c>
      <c r="D507" s="9">
        <f>11904-4</f>
        <v>11900</v>
      </c>
      <c r="E507" s="134">
        <v>13000</v>
      </c>
      <c r="F507" s="1153" t="s">
        <v>1855</v>
      </c>
      <c r="G507" s="385" t="s">
        <v>632</v>
      </c>
      <c r="H507" s="9">
        <v>12000</v>
      </c>
      <c r="I507" s="85">
        <f t="shared" si="426"/>
        <v>-7.6923076923076925</v>
      </c>
      <c r="J507" s="9">
        <f>ROUNDUP(H507+(H507*Assumptions!I$5),-2)</f>
        <v>12300</v>
      </c>
      <c r="K507" s="9">
        <f>ROUNDUP(J507+(J507*Assumptions!J$5),-2)</f>
        <v>12700</v>
      </c>
      <c r="L507" s="9">
        <f>ROUNDUP(K507+(K507*Assumptions!K$5),-2)</f>
        <v>13100</v>
      </c>
      <c r="M507" s="9">
        <f>ROUNDUP(L507+(L507*Assumptions!L$5),-2)</f>
        <v>13500</v>
      </c>
      <c r="N507" s="9">
        <f>ROUNDUP(M507+(M507*Assumptions!M$5),-2)</f>
        <v>13900</v>
      </c>
      <c r="O507" s="9">
        <f>ROUNDUP(N507+(N507*Assumptions!N$5),-2)</f>
        <v>14300</v>
      </c>
      <c r="P507" s="89">
        <f>ROUNDUP(O507+(O507*Assumptions!O$5),-2)</f>
        <v>14700</v>
      </c>
      <c r="Q507" s="9">
        <f>ROUNDUP(P507+(P507*Assumptions!P$5),-2)</f>
        <v>15100</v>
      </c>
      <c r="R507" s="9">
        <f>ROUNDUP(Q507+(Q507*Assumptions!Q$5),-2)</f>
        <v>15500</v>
      </c>
      <c r="S507" s="47">
        <f>ROUNDUP(R507+(R507*Assumptions!R$5),-2)</f>
        <v>15900</v>
      </c>
    </row>
    <row r="508" spans="1:19" ht="12.75" customHeight="1" x14ac:dyDescent="0.2">
      <c r="A508" s="54">
        <v>0</v>
      </c>
      <c r="B508" s="9">
        <v>0</v>
      </c>
      <c r="C508" s="134">
        <v>0</v>
      </c>
      <c r="D508" s="9">
        <v>0</v>
      </c>
      <c r="E508" s="706">
        <v>11800</v>
      </c>
      <c r="F508" s="770" t="s">
        <v>7024</v>
      </c>
      <c r="G508" s="661" t="s">
        <v>6945</v>
      </c>
      <c r="H508" s="9">
        <f>4000+9200+2000</f>
        <v>15200</v>
      </c>
      <c r="I508" s="85">
        <f t="shared" si="426"/>
        <v>28.8135593220339</v>
      </c>
      <c r="J508" s="9">
        <v>17000</v>
      </c>
      <c r="K508" s="9">
        <f>ROUNDUP(J508+(J508*Assumptions!J$5),-2)</f>
        <v>17500</v>
      </c>
      <c r="L508" s="9">
        <f>ROUNDUP(K508+(K508*Assumptions!K$5),-2)</f>
        <v>18000</v>
      </c>
      <c r="M508" s="9">
        <f>ROUNDUP(L508+(L508*Assumptions!L$5),-2)</f>
        <v>18500</v>
      </c>
      <c r="N508" s="9">
        <f>ROUNDUP(M508+(M508*Assumptions!M$5),-2)</f>
        <v>19000</v>
      </c>
      <c r="O508" s="9">
        <f>ROUNDUP(N508+(N508*Assumptions!N$5),-2)</f>
        <v>19500</v>
      </c>
      <c r="P508" s="89">
        <f>ROUNDUP(O508+(O508*Assumptions!O$5),-2)</f>
        <v>20000</v>
      </c>
      <c r="Q508" s="9">
        <f>ROUNDUP(P508+(P508*Assumptions!P$5),-2)</f>
        <v>20500</v>
      </c>
      <c r="R508" s="9">
        <f>ROUNDUP(Q508+(Q508*Assumptions!Q$5),-2)</f>
        <v>21100</v>
      </c>
      <c r="S508" s="47">
        <f>ROUNDUP(R508+(R508*Assumptions!R$5),-2)</f>
        <v>21700</v>
      </c>
    </row>
    <row r="509" spans="1:19" ht="12.75" customHeight="1" x14ac:dyDescent="0.2">
      <c r="A509" s="54"/>
      <c r="B509" s="9"/>
      <c r="C509" s="134"/>
      <c r="D509" s="9"/>
      <c r="E509" s="706"/>
      <c r="F509" s="770"/>
      <c r="G509" s="661"/>
      <c r="H509" s="9"/>
      <c r="I509" s="85"/>
      <c r="J509" s="9"/>
      <c r="K509" s="9"/>
      <c r="L509" s="9"/>
      <c r="M509" s="9"/>
      <c r="N509" s="9"/>
      <c r="O509" s="9"/>
      <c r="P509" s="89"/>
      <c r="Q509" s="9"/>
      <c r="R509" s="9"/>
      <c r="S509" s="61"/>
    </row>
    <row r="510" spans="1:19" ht="12.75" customHeight="1" x14ac:dyDescent="0.2">
      <c r="A510" s="54"/>
      <c r="B510" s="9"/>
      <c r="C510" s="9"/>
      <c r="D510" s="9"/>
      <c r="E510" s="134"/>
      <c r="F510" s="1153"/>
      <c r="G510" s="63" t="s">
        <v>5900</v>
      </c>
      <c r="H510" s="9"/>
      <c r="I510" s="85"/>
      <c r="J510" s="9"/>
      <c r="K510" s="9"/>
      <c r="L510" s="9"/>
      <c r="M510" s="9"/>
      <c r="N510" s="9"/>
      <c r="O510" s="9"/>
      <c r="P510" s="89"/>
      <c r="Q510" s="9"/>
      <c r="R510" s="9"/>
      <c r="S510" s="61"/>
    </row>
    <row r="511" spans="1:19" ht="12.75" customHeight="1" x14ac:dyDescent="0.2">
      <c r="A511" s="54">
        <v>0</v>
      </c>
      <c r="B511" s="9">
        <v>0</v>
      </c>
      <c r="C511" s="134">
        <v>0</v>
      </c>
      <c r="D511" s="9">
        <v>0</v>
      </c>
      <c r="E511" s="134">
        <v>0</v>
      </c>
      <c r="F511" s="770"/>
      <c r="G511" s="661" t="s">
        <v>1320</v>
      </c>
      <c r="H511" s="9">
        <v>0</v>
      </c>
      <c r="I511" s="85">
        <f t="shared" ref="I511:I522" si="427">IF(E511=H511,0,IF(E511=0,100,(H511-E511)/E511*100))</f>
        <v>0</v>
      </c>
      <c r="J511" s="9">
        <f>68000*1.5</f>
        <v>102000</v>
      </c>
      <c r="K511" s="9">
        <f>J511*2</f>
        <v>204000</v>
      </c>
      <c r="L511" s="9">
        <f>ROUNDUP(K511+(K511*Assumptions!K$5),-2)</f>
        <v>209100</v>
      </c>
      <c r="M511" s="9">
        <f>ROUNDUP(L511+(L511*Assumptions!L$5),-2)</f>
        <v>214400</v>
      </c>
      <c r="N511" s="9">
        <f>ROUNDUP(M511+(M511*Assumptions!M$5),-2)</f>
        <v>219800</v>
      </c>
      <c r="O511" s="9">
        <f>ROUNDUP(N511+(N511*Assumptions!N$5),-2)</f>
        <v>225300</v>
      </c>
      <c r="P511" s="89">
        <f>ROUNDUP(O511+(O511*Assumptions!O$5),-2)</f>
        <v>231000</v>
      </c>
      <c r="Q511" s="9">
        <f>ROUNDUP(P511+(P511*Assumptions!P$5),-2)</f>
        <v>236800</v>
      </c>
      <c r="R511" s="9">
        <f>ROUNDUP(Q511+(Q511*Assumptions!Q$5),-2)</f>
        <v>242800</v>
      </c>
      <c r="S511" s="47">
        <f>ROUNDUP(R511+(R511*Assumptions!R$5),-2)</f>
        <v>248900</v>
      </c>
    </row>
    <row r="512" spans="1:19" ht="12.75" customHeight="1" x14ac:dyDescent="0.2">
      <c r="A512" s="54">
        <v>0</v>
      </c>
      <c r="B512" s="9">
        <v>0</v>
      </c>
      <c r="C512" s="134">
        <v>0</v>
      </c>
      <c r="D512" s="9">
        <v>0</v>
      </c>
      <c r="E512" s="134">
        <v>0</v>
      </c>
      <c r="F512" s="770" t="s">
        <v>7212</v>
      </c>
      <c r="G512" s="661" t="s">
        <v>2514</v>
      </c>
      <c r="H512" s="9">
        <v>0</v>
      </c>
      <c r="I512" s="85">
        <f t="shared" ref="I512" si="428">IF(E512=H512,0,IF(E512=0,100,(H512-E512)/E512*100))</f>
        <v>0</v>
      </c>
      <c r="J512" s="9">
        <v>5000</v>
      </c>
      <c r="K512" s="9">
        <v>10000</v>
      </c>
      <c r="L512" s="9">
        <f>ROUNDUP(K512+(K512*Assumptions!K$5),-2)</f>
        <v>10300</v>
      </c>
      <c r="M512" s="9">
        <f>ROUNDUP(L512+(L512*Assumptions!L$5),-2)</f>
        <v>10600</v>
      </c>
      <c r="N512" s="9">
        <f>ROUNDUP(M512+(M512*Assumptions!M$5),-2)</f>
        <v>10900</v>
      </c>
      <c r="O512" s="9">
        <f>ROUNDUP(N512+(N512*Assumptions!N$5),-2)</f>
        <v>11200</v>
      </c>
      <c r="P512" s="89">
        <f>ROUNDUP(O512+(O512*Assumptions!O$5),-2)</f>
        <v>11500</v>
      </c>
      <c r="Q512" s="9">
        <f>ROUNDUP(P512+(P512*Assumptions!P$5),-2)</f>
        <v>11800</v>
      </c>
      <c r="R512" s="9">
        <f>ROUNDUP(Q512+(Q512*Assumptions!Q$5),-2)</f>
        <v>12100</v>
      </c>
      <c r="S512" s="47">
        <f>ROUNDUP(R512+(R512*Assumptions!R$5),-2)</f>
        <v>12500</v>
      </c>
    </row>
    <row r="513" spans="1:19" ht="12.75" customHeight="1" x14ac:dyDescent="0.2">
      <c r="A513" s="54">
        <v>0</v>
      </c>
      <c r="B513" s="9">
        <v>0</v>
      </c>
      <c r="C513" s="134">
        <v>0</v>
      </c>
      <c r="D513" s="9">
        <v>0</v>
      </c>
      <c r="E513" s="134">
        <v>0</v>
      </c>
      <c r="F513" s="770" t="s">
        <v>7213</v>
      </c>
      <c r="G513" s="385" t="s">
        <v>2839</v>
      </c>
      <c r="H513" s="9">
        <v>0</v>
      </c>
      <c r="I513" s="85">
        <f t="shared" si="427"/>
        <v>0</v>
      </c>
      <c r="J513" s="9">
        <v>2500</v>
      </c>
      <c r="K513" s="9">
        <v>5000</v>
      </c>
      <c r="L513" s="9">
        <f>ROUNDUP(K513+(K513*Assumptions!K$5),-2)</f>
        <v>5200</v>
      </c>
      <c r="M513" s="9">
        <f>ROUNDUP(L513+(L513*Assumptions!L$5),-2)</f>
        <v>5400</v>
      </c>
      <c r="N513" s="9">
        <f>ROUNDUP(M513+(M513*Assumptions!M$5),-2)</f>
        <v>5600</v>
      </c>
      <c r="O513" s="9">
        <f>ROUNDUP(N513+(N513*Assumptions!N$5),-2)</f>
        <v>5800</v>
      </c>
      <c r="P513" s="89">
        <f>ROUNDUP(O513+(O513*Assumptions!O$5),-2)</f>
        <v>6000</v>
      </c>
      <c r="Q513" s="9">
        <f>ROUNDUP(P513+(P513*Assumptions!P$5),-2)</f>
        <v>6200</v>
      </c>
      <c r="R513" s="9">
        <f>ROUNDUP(Q513+(Q513*Assumptions!Q$5),-2)</f>
        <v>6400</v>
      </c>
      <c r="S513" s="47">
        <f>ROUNDUP(R513+(R513*Assumptions!R$5),-2)</f>
        <v>6600</v>
      </c>
    </row>
    <row r="514" spans="1:19" ht="12.75" customHeight="1" x14ac:dyDescent="0.2">
      <c r="A514" s="54">
        <v>0</v>
      </c>
      <c r="B514" s="9">
        <v>0</v>
      </c>
      <c r="C514" s="134">
        <v>0</v>
      </c>
      <c r="D514" s="9">
        <v>0</v>
      </c>
      <c r="E514" s="134">
        <v>0</v>
      </c>
      <c r="F514" s="770" t="s">
        <v>7214</v>
      </c>
      <c r="G514" s="662" t="s">
        <v>3036</v>
      </c>
      <c r="H514" s="9">
        <v>0</v>
      </c>
      <c r="I514" s="85">
        <f t="shared" si="427"/>
        <v>0</v>
      </c>
      <c r="J514" s="9">
        <v>2500</v>
      </c>
      <c r="K514" s="9">
        <v>5000</v>
      </c>
      <c r="L514" s="9">
        <f>ROUNDUP(K514+(K514*Assumptions!K$5),-2)</f>
        <v>5200</v>
      </c>
      <c r="M514" s="9">
        <f>ROUNDUP(L514+(L514*Assumptions!L$5),-2)</f>
        <v>5400</v>
      </c>
      <c r="N514" s="9">
        <f>ROUNDUP(M514+(M514*Assumptions!M$5),-2)</f>
        <v>5600</v>
      </c>
      <c r="O514" s="9">
        <f>ROUNDUP(N514+(N514*Assumptions!N$5),-2)</f>
        <v>5800</v>
      </c>
      <c r="P514" s="89">
        <f>ROUNDUP(O514+(O514*Assumptions!O$5),-2)</f>
        <v>6000</v>
      </c>
      <c r="Q514" s="9">
        <f>ROUNDUP(P514+(P514*Assumptions!P$5),-2)</f>
        <v>6200</v>
      </c>
      <c r="R514" s="9">
        <f>ROUNDUP(Q514+(Q514*Assumptions!Q$5),-2)</f>
        <v>6400</v>
      </c>
      <c r="S514" s="47">
        <f>ROUNDUP(R514+(R514*Assumptions!R$5),-2)</f>
        <v>6600</v>
      </c>
    </row>
    <row r="515" spans="1:19" ht="12.75" customHeight="1" x14ac:dyDescent="0.2">
      <c r="A515" s="54">
        <v>0</v>
      </c>
      <c r="B515" s="9">
        <v>0</v>
      </c>
      <c r="C515" s="134">
        <v>0</v>
      </c>
      <c r="D515" s="9">
        <v>0</v>
      </c>
      <c r="E515" s="134">
        <v>0</v>
      </c>
      <c r="F515" s="770" t="s">
        <v>7215</v>
      </c>
      <c r="G515" s="371" t="s">
        <v>2724</v>
      </c>
      <c r="H515" s="9">
        <v>0</v>
      </c>
      <c r="I515" s="85">
        <f t="shared" si="427"/>
        <v>0</v>
      </c>
      <c r="J515" s="9">
        <v>16000</v>
      </c>
      <c r="K515" s="9">
        <v>33000</v>
      </c>
      <c r="L515" s="9">
        <f>ROUNDUP(K515+(K515*Assumptions!K$5),-2)</f>
        <v>33900</v>
      </c>
      <c r="M515" s="9">
        <f>ROUNDUP(L515+(L515*Assumptions!L$5),-2)</f>
        <v>34800</v>
      </c>
      <c r="N515" s="9">
        <f>ROUNDUP(M515+(M515*Assumptions!M$5),-2)</f>
        <v>35700</v>
      </c>
      <c r="O515" s="9">
        <f>ROUNDUP(N515+(N515*Assumptions!N$5),-2)</f>
        <v>36600</v>
      </c>
      <c r="P515" s="89">
        <f>ROUNDUP(O515+(O515*Assumptions!O$5),-2)</f>
        <v>37600</v>
      </c>
      <c r="Q515" s="9">
        <f>ROUNDUP(P515+(P515*Assumptions!P$5),-2)</f>
        <v>38600</v>
      </c>
      <c r="R515" s="9">
        <f>ROUNDUP(Q515+(Q515*Assumptions!Q$5),-2)</f>
        <v>39600</v>
      </c>
      <c r="S515" s="47">
        <f>ROUNDUP(R515+(R515*Assumptions!R$5),-2)</f>
        <v>40600</v>
      </c>
    </row>
    <row r="516" spans="1:19" ht="12.75" customHeight="1" x14ac:dyDescent="0.2">
      <c r="A516" s="54">
        <v>0</v>
      </c>
      <c r="B516" s="9">
        <v>0</v>
      </c>
      <c r="C516" s="134">
        <v>0</v>
      </c>
      <c r="D516" s="9">
        <v>0</v>
      </c>
      <c r="E516" s="134">
        <v>0</v>
      </c>
      <c r="F516" s="770" t="s">
        <v>7216</v>
      </c>
      <c r="G516" s="385" t="s">
        <v>1445</v>
      </c>
      <c r="H516" s="9">
        <v>0</v>
      </c>
      <c r="I516" s="85">
        <f t="shared" si="427"/>
        <v>0</v>
      </c>
      <c r="J516" s="9">
        <v>7500</v>
      </c>
      <c r="K516" s="9">
        <v>15000</v>
      </c>
      <c r="L516" s="9">
        <f>ROUNDUP(K516+(K516*Assumptions!K$5),-2)</f>
        <v>15400</v>
      </c>
      <c r="M516" s="9">
        <f>ROUNDUP(L516+(L516*Assumptions!L$5),-2)</f>
        <v>15800</v>
      </c>
      <c r="N516" s="9">
        <f>ROUNDUP(M516+(M516*Assumptions!M$5),-2)</f>
        <v>16200</v>
      </c>
      <c r="O516" s="9">
        <f>ROUNDUP(N516+(N516*Assumptions!N$5),-2)</f>
        <v>16700</v>
      </c>
      <c r="P516" s="89">
        <f>ROUNDUP(O516+(O516*Assumptions!O$5),-2)</f>
        <v>17200</v>
      </c>
      <c r="Q516" s="9">
        <f>ROUNDUP(P516+(P516*Assumptions!P$5),-2)</f>
        <v>17700</v>
      </c>
      <c r="R516" s="9">
        <f>ROUNDUP(Q516+(Q516*Assumptions!Q$5),-2)</f>
        <v>18200</v>
      </c>
      <c r="S516" s="47">
        <f>ROUNDUP(R516+(R516*Assumptions!R$5),-2)</f>
        <v>18700</v>
      </c>
    </row>
    <row r="517" spans="1:19" ht="12.75" customHeight="1" x14ac:dyDescent="0.2">
      <c r="A517" s="54">
        <v>0</v>
      </c>
      <c r="B517" s="9">
        <v>0</v>
      </c>
      <c r="C517" s="134">
        <v>0</v>
      </c>
      <c r="D517" s="9">
        <v>0</v>
      </c>
      <c r="E517" s="134">
        <v>0</v>
      </c>
      <c r="F517" s="770" t="s">
        <v>7217</v>
      </c>
      <c r="G517" s="662" t="s">
        <v>5520</v>
      </c>
      <c r="H517" s="9">
        <v>0</v>
      </c>
      <c r="I517" s="85">
        <f t="shared" si="427"/>
        <v>0</v>
      </c>
      <c r="J517" s="9">
        <v>7500</v>
      </c>
      <c r="K517" s="9">
        <v>15000</v>
      </c>
      <c r="L517" s="9">
        <f>ROUNDUP(K517+(K517*Assumptions!K$5),-2)</f>
        <v>15400</v>
      </c>
      <c r="M517" s="9">
        <f>ROUNDUP(L517+(L517*Assumptions!L$5),-2)</f>
        <v>15800</v>
      </c>
      <c r="N517" s="9">
        <f>ROUNDUP(M517+(M517*Assumptions!M$5),-2)</f>
        <v>16200</v>
      </c>
      <c r="O517" s="9">
        <f>ROUNDUP(N517+(N517*Assumptions!N$5),-2)</f>
        <v>16700</v>
      </c>
      <c r="P517" s="89">
        <f>ROUNDUP(O517+(O517*Assumptions!O$5),-2)</f>
        <v>17200</v>
      </c>
      <c r="Q517" s="9">
        <f>ROUNDUP(P517+(P517*Assumptions!P$5),-2)</f>
        <v>17700</v>
      </c>
      <c r="R517" s="9">
        <f>ROUNDUP(Q517+(Q517*Assumptions!Q$5),-2)</f>
        <v>18200</v>
      </c>
      <c r="S517" s="47">
        <f>ROUNDUP(R517+(R517*Assumptions!R$5),-2)</f>
        <v>18700</v>
      </c>
    </row>
    <row r="518" spans="1:19" ht="12.75" customHeight="1" x14ac:dyDescent="0.2">
      <c r="A518" s="54">
        <v>0</v>
      </c>
      <c r="B518" s="9">
        <v>0</v>
      </c>
      <c r="C518" s="134">
        <v>0</v>
      </c>
      <c r="D518" s="9">
        <v>0</v>
      </c>
      <c r="E518" s="134">
        <v>0</v>
      </c>
      <c r="F518" s="770" t="s">
        <v>7218</v>
      </c>
      <c r="G518" s="371" t="s">
        <v>2157</v>
      </c>
      <c r="H518" s="9">
        <v>0</v>
      </c>
      <c r="I518" s="85">
        <f t="shared" si="427"/>
        <v>0</v>
      </c>
      <c r="J518" s="9">
        <v>7500</v>
      </c>
      <c r="K518" s="9">
        <v>15000</v>
      </c>
      <c r="L518" s="9">
        <f>ROUNDUP(K518+(K518*Assumptions!K$5),-2)</f>
        <v>15400</v>
      </c>
      <c r="M518" s="9">
        <f>ROUNDUP(L518+(L518*Assumptions!L$5),-2)</f>
        <v>15800</v>
      </c>
      <c r="N518" s="9">
        <f>ROUNDUP(M518+(M518*Assumptions!M$5),-2)</f>
        <v>16200</v>
      </c>
      <c r="O518" s="9">
        <f>ROUNDUP(N518+(N518*Assumptions!N$5),-2)</f>
        <v>16700</v>
      </c>
      <c r="P518" s="89">
        <f>ROUNDUP(O518+(O518*Assumptions!O$5),-2)</f>
        <v>17200</v>
      </c>
      <c r="Q518" s="9">
        <f>ROUNDUP(P518+(P518*Assumptions!P$5),-2)</f>
        <v>17700</v>
      </c>
      <c r="R518" s="9">
        <f>ROUNDUP(Q518+(Q518*Assumptions!Q$5),-2)</f>
        <v>18200</v>
      </c>
      <c r="S518" s="47">
        <f>ROUNDUP(R518+(R518*Assumptions!R$5),-2)</f>
        <v>18700</v>
      </c>
    </row>
    <row r="519" spans="1:19" ht="12.75" customHeight="1" x14ac:dyDescent="0.2">
      <c r="A519" s="54">
        <v>0</v>
      </c>
      <c r="B519" s="9">
        <v>0</v>
      </c>
      <c r="C519" s="134">
        <v>0</v>
      </c>
      <c r="D519" s="9">
        <v>0</v>
      </c>
      <c r="E519" s="134">
        <v>0</v>
      </c>
      <c r="F519" s="770" t="s">
        <v>7219</v>
      </c>
      <c r="G519" s="385" t="s">
        <v>1500</v>
      </c>
      <c r="H519" s="9">
        <v>0</v>
      </c>
      <c r="I519" s="85">
        <f t="shared" si="427"/>
        <v>0</v>
      </c>
      <c r="J519" s="9">
        <v>37000</v>
      </c>
      <c r="K519" s="9">
        <v>75000</v>
      </c>
      <c r="L519" s="9">
        <f>ROUNDUP(K519+(K519*Assumptions!K$5),-2)</f>
        <v>76900</v>
      </c>
      <c r="M519" s="9">
        <f>ROUNDUP(L519+(L519*Assumptions!L$5),-2)</f>
        <v>78900</v>
      </c>
      <c r="N519" s="9">
        <f>ROUNDUP(M519+(M519*Assumptions!M$5),-2)</f>
        <v>80900</v>
      </c>
      <c r="O519" s="9">
        <f>ROUNDUP(N519+(N519*Assumptions!N$5),-2)</f>
        <v>83000</v>
      </c>
      <c r="P519" s="89">
        <f>ROUNDUP(O519+(O519*Assumptions!O$5),-2)</f>
        <v>85100</v>
      </c>
      <c r="Q519" s="9">
        <f>ROUNDUP(P519+(P519*Assumptions!P$5),-2)</f>
        <v>87300</v>
      </c>
      <c r="R519" s="9">
        <f>ROUNDUP(Q519+(Q519*Assumptions!Q$5),-2)</f>
        <v>89500</v>
      </c>
      <c r="S519" s="47">
        <f>ROUNDUP(R519+(R519*Assumptions!R$5),-2)</f>
        <v>91800</v>
      </c>
    </row>
    <row r="520" spans="1:19" s="46" customFormat="1" ht="12.75" customHeight="1" x14ac:dyDescent="0.2">
      <c r="A520" s="54">
        <v>0</v>
      </c>
      <c r="B520" s="9">
        <v>0</v>
      </c>
      <c r="C520" s="134">
        <v>0</v>
      </c>
      <c r="D520" s="9">
        <v>0</v>
      </c>
      <c r="E520" s="134">
        <v>0</v>
      </c>
      <c r="F520" s="770" t="s">
        <v>7220</v>
      </c>
      <c r="G520" s="662" t="s">
        <v>1748</v>
      </c>
      <c r="H520" s="9">
        <v>0</v>
      </c>
      <c r="I520" s="85">
        <f t="shared" si="427"/>
        <v>0</v>
      </c>
      <c r="J520" s="9">
        <v>1000</v>
      </c>
      <c r="K520" s="9">
        <v>2300</v>
      </c>
      <c r="L520" s="9">
        <f>ROUNDUP(K520+(K520*Assumptions!K$5),-2)</f>
        <v>2400</v>
      </c>
      <c r="M520" s="9">
        <f>ROUNDUP(L520+(L520*Assumptions!L$5),-2)</f>
        <v>2500</v>
      </c>
      <c r="N520" s="9">
        <f>ROUNDUP(M520+(M520*Assumptions!M$5),-2)</f>
        <v>2600</v>
      </c>
      <c r="O520" s="9">
        <f>ROUNDUP(N520+(N520*Assumptions!N$5),-2)</f>
        <v>2700</v>
      </c>
      <c r="P520" s="89">
        <f>ROUNDUP(O520+(O520*Assumptions!O$5),-2)</f>
        <v>2800</v>
      </c>
      <c r="Q520" s="9">
        <f>ROUNDUP(P520+(P520*Assumptions!P$5),-2)</f>
        <v>2900</v>
      </c>
      <c r="R520" s="9">
        <f>ROUNDUP(Q520+(Q520*Assumptions!Q$5),-2)</f>
        <v>3000</v>
      </c>
      <c r="S520" s="47">
        <f>ROUNDUP(R520+(R520*Assumptions!R$5),-2)</f>
        <v>3100</v>
      </c>
    </row>
    <row r="521" spans="1:19" ht="12.75" customHeight="1" x14ac:dyDescent="0.2">
      <c r="A521" s="54">
        <v>0</v>
      </c>
      <c r="B521" s="9">
        <v>0</v>
      </c>
      <c r="C521" s="134">
        <v>0</v>
      </c>
      <c r="D521" s="9">
        <v>0</v>
      </c>
      <c r="E521" s="134">
        <v>0</v>
      </c>
      <c r="F521" s="770" t="s">
        <v>7221</v>
      </c>
      <c r="G521" s="371" t="s">
        <v>2517</v>
      </c>
      <c r="H521" s="9">
        <v>0</v>
      </c>
      <c r="I521" s="85">
        <f t="shared" si="427"/>
        <v>0</v>
      </c>
      <c r="J521" s="9">
        <v>2500</v>
      </c>
      <c r="K521" s="9">
        <v>5000</v>
      </c>
      <c r="L521" s="9">
        <f>ROUNDUP(K521+(K521*Assumptions!K$5),-2)</f>
        <v>5200</v>
      </c>
      <c r="M521" s="9">
        <f>ROUNDUP(L521+(L521*Assumptions!L$5),-2)</f>
        <v>5400</v>
      </c>
      <c r="N521" s="9">
        <f>ROUNDUP(M521+(M521*Assumptions!M$5),-2)</f>
        <v>5600</v>
      </c>
      <c r="O521" s="9">
        <f>ROUNDUP(N521+(N521*Assumptions!N$5),-2)</f>
        <v>5800</v>
      </c>
      <c r="P521" s="89">
        <f>ROUNDUP(O521+(O521*Assumptions!O$5),-2)</f>
        <v>6000</v>
      </c>
      <c r="Q521" s="9">
        <f>ROUNDUP(P521+(P521*Assumptions!P$5),-2)</f>
        <v>6200</v>
      </c>
      <c r="R521" s="9">
        <f>ROUNDUP(Q521+(Q521*Assumptions!Q$5),-2)</f>
        <v>6400</v>
      </c>
      <c r="S521" s="47">
        <f>ROUNDUP(R521+(R521*Assumptions!R$5),-2)</f>
        <v>6600</v>
      </c>
    </row>
    <row r="522" spans="1:19" ht="12.75" customHeight="1" x14ac:dyDescent="0.2">
      <c r="A522" s="54">
        <v>0</v>
      </c>
      <c r="B522" s="9">
        <v>0</v>
      </c>
      <c r="C522" s="134">
        <v>0</v>
      </c>
      <c r="D522" s="9">
        <v>0</v>
      </c>
      <c r="E522" s="134">
        <v>0</v>
      </c>
      <c r="F522" s="770" t="s">
        <v>7222</v>
      </c>
      <c r="G522" s="371" t="s">
        <v>709</v>
      </c>
      <c r="H522" s="9">
        <v>0</v>
      </c>
      <c r="I522" s="85">
        <f t="shared" si="427"/>
        <v>0</v>
      </c>
      <c r="J522" s="9">
        <v>24000</v>
      </c>
      <c r="K522" s="9">
        <v>48000</v>
      </c>
      <c r="L522" s="9">
        <f>ROUNDUP(K522+(K522*Assumptions!K$5),-2)</f>
        <v>49200</v>
      </c>
      <c r="M522" s="9">
        <f>ROUNDUP(L522+(L522*Assumptions!L$5),-2)</f>
        <v>50500</v>
      </c>
      <c r="N522" s="9">
        <f>ROUNDUP(M522+(M522*Assumptions!M$5),-2)</f>
        <v>51800</v>
      </c>
      <c r="O522" s="9">
        <f>ROUNDUP(N522+(N522*Assumptions!N$5),-2)</f>
        <v>53100</v>
      </c>
      <c r="P522" s="89">
        <f>ROUNDUP(O522+(O522*Assumptions!O$5),-2)</f>
        <v>54500</v>
      </c>
      <c r="Q522" s="9">
        <f>ROUNDUP(P522+(P522*Assumptions!P$5),-2)</f>
        <v>55900</v>
      </c>
      <c r="R522" s="9">
        <f>ROUNDUP(Q522+(Q522*Assumptions!Q$5),-2)</f>
        <v>57300</v>
      </c>
      <c r="S522" s="47">
        <f>ROUNDUP(R522+(R522*Assumptions!R$5),-2)</f>
        <v>58800</v>
      </c>
    </row>
    <row r="523" spans="1:19" ht="12.75" customHeight="1" x14ac:dyDescent="0.2">
      <c r="A523" s="54"/>
      <c r="B523" s="9"/>
      <c r="C523" s="134"/>
      <c r="D523" s="9"/>
      <c r="E523" s="134"/>
      <c r="F523" s="1153"/>
      <c r="G523" s="371"/>
      <c r="H523" s="9"/>
      <c r="I523" s="85"/>
      <c r="J523" s="9"/>
      <c r="K523" s="9"/>
      <c r="L523" s="9"/>
      <c r="M523" s="9"/>
      <c r="N523" s="9"/>
      <c r="O523" s="9"/>
      <c r="P523" s="89"/>
      <c r="Q523" s="9"/>
      <c r="R523" s="9"/>
      <c r="S523" s="47"/>
    </row>
    <row r="524" spans="1:19" ht="12.75" customHeight="1" x14ac:dyDescent="0.2">
      <c r="A524" s="54"/>
      <c r="B524" s="9"/>
      <c r="C524" s="134"/>
      <c r="D524" s="9"/>
      <c r="E524" s="134"/>
      <c r="F524" s="1153"/>
      <c r="G524" s="320" t="s">
        <v>1155</v>
      </c>
      <c r="H524" s="9"/>
      <c r="I524" s="85"/>
      <c r="J524" s="9"/>
      <c r="K524" s="9"/>
      <c r="L524" s="9"/>
      <c r="M524" s="9"/>
      <c r="N524" s="9"/>
      <c r="O524" s="9"/>
      <c r="P524" s="9"/>
      <c r="Q524" s="9"/>
      <c r="R524" s="9"/>
      <c r="S524" s="47"/>
    </row>
    <row r="525" spans="1:19" ht="12.75" customHeight="1" x14ac:dyDescent="0.2">
      <c r="A525" s="54">
        <v>1000</v>
      </c>
      <c r="B525" s="9">
        <v>500</v>
      </c>
      <c r="C525" s="134">
        <v>1500</v>
      </c>
      <c r="D525" s="9">
        <f>1022-22</f>
        <v>1000</v>
      </c>
      <c r="E525" s="134">
        <v>100</v>
      </c>
      <c r="F525" s="1153" t="s">
        <v>446</v>
      </c>
      <c r="G525" s="662" t="s">
        <v>2514</v>
      </c>
      <c r="H525" s="9">
        <f>1000-500</f>
        <v>500</v>
      </c>
      <c r="I525" s="85">
        <f t="shared" ref="I525:I530" si="429">IF(E525=H525,0,IF(E525=0,100,(H525-E525)/E525*100))</f>
        <v>400</v>
      </c>
      <c r="J525" s="9">
        <f>ROUNDUP(H525+(H525*Assumptions!I$5),-2)</f>
        <v>600</v>
      </c>
      <c r="K525" s="9">
        <f>ROUNDUP(J525+(J525*Assumptions!J$5),-2)</f>
        <v>700</v>
      </c>
      <c r="L525" s="9">
        <f>ROUNDUP(K525+(K525*Assumptions!K$5),-2)</f>
        <v>800</v>
      </c>
      <c r="M525" s="9">
        <f>ROUNDUP(L525+(L525*Assumptions!L$5),-2)</f>
        <v>900</v>
      </c>
      <c r="N525" s="9">
        <f>ROUNDUP(M525+(M525*Assumptions!M$5),-2)</f>
        <v>1000</v>
      </c>
      <c r="O525" s="9">
        <f>ROUNDUP(N525+(N525*Assumptions!N$5),-2)</f>
        <v>1100</v>
      </c>
      <c r="P525" s="9">
        <f>ROUNDUP(O525+(O525*Assumptions!O$5),-2)</f>
        <v>1200</v>
      </c>
      <c r="Q525" s="9">
        <f>ROUNDUP(P525+(P525*Assumptions!P$5),-2)</f>
        <v>1300</v>
      </c>
      <c r="R525" s="9">
        <f>ROUNDUP(Q525+(Q525*Assumptions!Q$5),-2)</f>
        <v>1400</v>
      </c>
      <c r="S525" s="47">
        <f>ROUNDUP(R525+(R525*Assumptions!R$5),-2)</f>
        <v>1500</v>
      </c>
    </row>
    <row r="526" spans="1:19" ht="12.75" customHeight="1" x14ac:dyDescent="0.2">
      <c r="A526" s="54">
        <v>1500</v>
      </c>
      <c r="B526" s="9">
        <v>1700</v>
      </c>
      <c r="C526" s="134">
        <v>1900</v>
      </c>
      <c r="D526" s="9">
        <f>1955+45</f>
        <v>2000</v>
      </c>
      <c r="E526" s="134">
        <v>600</v>
      </c>
      <c r="F526" s="1153" t="s">
        <v>1916</v>
      </c>
      <c r="G526" s="662" t="s">
        <v>1445</v>
      </c>
      <c r="H526" s="9">
        <v>2300</v>
      </c>
      <c r="I526" s="85">
        <f t="shared" si="429"/>
        <v>283.33333333333337</v>
      </c>
      <c r="J526" s="9">
        <f>ROUNDUP(H526+(H526*Assumptions!I$5),-2)</f>
        <v>2400</v>
      </c>
      <c r="K526" s="9">
        <f>ROUNDUP(J526+(J526*Assumptions!J$5),-2)</f>
        <v>2500</v>
      </c>
      <c r="L526" s="9">
        <f>ROUNDUP(K526+(K526*Assumptions!K$5),-2)</f>
        <v>2600</v>
      </c>
      <c r="M526" s="9">
        <f>ROUNDUP(L526+(L526*Assumptions!L$5),-2)</f>
        <v>2700</v>
      </c>
      <c r="N526" s="9">
        <f>ROUNDUP(M526+(M526*Assumptions!M$5),-2)</f>
        <v>2800</v>
      </c>
      <c r="O526" s="9">
        <f>ROUNDUP(N526+(N526*Assumptions!N$5),-2)</f>
        <v>2900</v>
      </c>
      <c r="P526" s="9">
        <f>ROUNDUP(O526+(O526*Assumptions!O$5),-2)</f>
        <v>3000</v>
      </c>
      <c r="Q526" s="9">
        <f>ROUNDUP(P526+(P526*Assumptions!P$5),-2)</f>
        <v>3100</v>
      </c>
      <c r="R526" s="9">
        <f>ROUNDUP(Q526+(Q526*Assumptions!Q$5),-2)</f>
        <v>3200</v>
      </c>
      <c r="S526" s="47">
        <f>ROUNDUP(R526+(R526*Assumptions!R$5),-2)</f>
        <v>3300</v>
      </c>
    </row>
    <row r="527" spans="1:19" ht="12.75" customHeight="1" x14ac:dyDescent="0.2">
      <c r="A527" s="54">
        <v>1400</v>
      </c>
      <c r="B527" s="9">
        <v>500</v>
      </c>
      <c r="C527" s="134">
        <v>400</v>
      </c>
      <c r="D527" s="9">
        <f>193+7</f>
        <v>200</v>
      </c>
      <c r="E527" s="134">
        <v>900</v>
      </c>
      <c r="F527" s="1153" t="s">
        <v>32</v>
      </c>
      <c r="G527" s="662" t="s">
        <v>2157</v>
      </c>
      <c r="H527" s="9">
        <v>1000</v>
      </c>
      <c r="I527" s="85">
        <f t="shared" si="429"/>
        <v>11.111111111111111</v>
      </c>
      <c r="J527" s="9">
        <f>ROUNDUP(H527+(H527*Assumptions!I$5),-2)</f>
        <v>1100</v>
      </c>
      <c r="K527" s="9">
        <f>ROUNDUP(J527+(J527*Assumptions!J$5),-2)</f>
        <v>1200</v>
      </c>
      <c r="L527" s="9">
        <f>ROUNDUP(K527+(K527*Assumptions!K$5),-2)</f>
        <v>1300</v>
      </c>
      <c r="M527" s="9">
        <f>ROUNDUP(L527+(L527*Assumptions!L$5),-2)</f>
        <v>1400</v>
      </c>
      <c r="N527" s="9">
        <f>ROUNDUP(M527+(M527*Assumptions!M$5),-2)</f>
        <v>1500</v>
      </c>
      <c r="O527" s="9">
        <f>ROUNDUP(N527+(N527*Assumptions!N$5),-2)</f>
        <v>1600</v>
      </c>
      <c r="P527" s="9">
        <f>ROUNDUP(O527+(O527*Assumptions!O$5),-2)</f>
        <v>1700</v>
      </c>
      <c r="Q527" s="9">
        <f>ROUNDUP(P527+(P527*Assumptions!P$5),-2)</f>
        <v>1800</v>
      </c>
      <c r="R527" s="9">
        <f>ROUNDUP(Q527+(Q527*Assumptions!Q$5),-2)</f>
        <v>1900</v>
      </c>
      <c r="S527" s="47">
        <f>ROUNDUP(R527+(R527*Assumptions!R$5),-2)</f>
        <v>2000</v>
      </c>
    </row>
    <row r="528" spans="1:19" ht="12.75" customHeight="1" x14ac:dyDescent="0.2">
      <c r="A528" s="54">
        <v>7000</v>
      </c>
      <c r="B528" s="9">
        <v>7300</v>
      </c>
      <c r="C528" s="134">
        <v>7000</v>
      </c>
      <c r="D528" s="9">
        <f>9117-17</f>
        <v>9100</v>
      </c>
      <c r="E528" s="134">
        <v>7800</v>
      </c>
      <c r="F528" s="1153" t="s">
        <v>30</v>
      </c>
      <c r="G528" s="371" t="s">
        <v>1500</v>
      </c>
      <c r="H528" s="9">
        <v>8200</v>
      </c>
      <c r="I528" s="85">
        <f t="shared" si="429"/>
        <v>5.1282051282051277</v>
      </c>
      <c r="J528" s="9">
        <f>ROUNDUP(H528+(H528*Assumptions!I$5),-2)</f>
        <v>8400</v>
      </c>
      <c r="K528" s="9">
        <f>ROUNDUP(J528+(J528*Assumptions!J$5),-2)</f>
        <v>8700</v>
      </c>
      <c r="L528" s="9">
        <f>ROUNDUP(K528+(K528*Assumptions!K$5),-2)</f>
        <v>9000</v>
      </c>
      <c r="M528" s="9">
        <f>ROUNDUP(L528+(L528*Assumptions!L$5),-2)</f>
        <v>9300</v>
      </c>
      <c r="N528" s="9">
        <f>ROUNDUP(M528+(M528*Assumptions!M$5),-2)</f>
        <v>9600</v>
      </c>
      <c r="O528" s="9">
        <f>ROUNDUP(N528+(N528*Assumptions!N$5),-2)</f>
        <v>9900</v>
      </c>
      <c r="P528" s="9">
        <f>ROUNDUP(O528+(O528*Assumptions!O$5),-2)</f>
        <v>10200</v>
      </c>
      <c r="Q528" s="9">
        <f>ROUNDUP(P528+(P528*Assumptions!P$5),-2)</f>
        <v>10500</v>
      </c>
      <c r="R528" s="9">
        <f>ROUNDUP(Q528+(Q528*Assumptions!Q$5),-2)</f>
        <v>10800</v>
      </c>
      <c r="S528" s="47">
        <f>ROUNDUP(R528+(R528*Assumptions!R$5),-2)</f>
        <v>11100</v>
      </c>
    </row>
    <row r="529" spans="1:19" ht="12.75" customHeight="1" x14ac:dyDescent="0.2">
      <c r="A529" s="54">
        <v>5300</v>
      </c>
      <c r="B529" s="9">
        <v>6000</v>
      </c>
      <c r="C529" s="134">
        <v>6400</v>
      </c>
      <c r="D529" s="9">
        <f>4685+15</f>
        <v>4700</v>
      </c>
      <c r="E529" s="134">
        <v>4700</v>
      </c>
      <c r="F529" s="1153" t="s">
        <v>2687</v>
      </c>
      <c r="G529" s="371" t="s">
        <v>709</v>
      </c>
      <c r="H529" s="9">
        <v>6600</v>
      </c>
      <c r="I529" s="85">
        <f t="shared" si="429"/>
        <v>40.425531914893611</v>
      </c>
      <c r="J529" s="9">
        <f>ROUNDUP(H529+(H529*Assumptions!I$5),-2)</f>
        <v>6800</v>
      </c>
      <c r="K529" s="9">
        <f>ROUNDUP(J529+(J529*Assumptions!J$5),-2)</f>
        <v>7000</v>
      </c>
      <c r="L529" s="9">
        <f>ROUNDUP(K529+(K529*Assumptions!K$5),-2)</f>
        <v>7200</v>
      </c>
      <c r="M529" s="9">
        <f>ROUNDUP(L529+(L529*Assumptions!L$5),-2)</f>
        <v>7400</v>
      </c>
      <c r="N529" s="9">
        <f>ROUNDUP(M529+(M529*Assumptions!M$5),-2)</f>
        <v>7600</v>
      </c>
      <c r="O529" s="9">
        <f>ROUNDUP(N529+(N529*Assumptions!N$5),-2)</f>
        <v>7800</v>
      </c>
      <c r="P529" s="9">
        <f>ROUNDUP(O529+(O529*Assumptions!O$5),-2)</f>
        <v>8000</v>
      </c>
      <c r="Q529" s="9">
        <f>ROUNDUP(P529+(P529*Assumptions!P$5),-2)</f>
        <v>8200</v>
      </c>
      <c r="R529" s="9">
        <f>ROUNDUP(Q529+(Q529*Assumptions!Q$5),-2)</f>
        <v>8500</v>
      </c>
      <c r="S529" s="47">
        <f>ROUNDUP(R529+(R529*Assumptions!R$5),-2)</f>
        <v>8800</v>
      </c>
    </row>
    <row r="530" spans="1:19" ht="12.75" customHeight="1" x14ac:dyDescent="0.2">
      <c r="A530" s="54">
        <v>7500</v>
      </c>
      <c r="B530" s="9">
        <v>8200</v>
      </c>
      <c r="C530" s="134">
        <v>8500</v>
      </c>
      <c r="D530" s="9">
        <v>8500</v>
      </c>
      <c r="E530" s="134">
        <v>8500</v>
      </c>
      <c r="F530" s="1153" t="s">
        <v>31</v>
      </c>
      <c r="G530" s="662" t="s">
        <v>3035</v>
      </c>
      <c r="H530" s="9">
        <f>9200-500</f>
        <v>8700</v>
      </c>
      <c r="I530" s="85">
        <f t="shared" si="429"/>
        <v>2.3529411764705883</v>
      </c>
      <c r="J530" s="9">
        <f>ROUNDUP(H530+(H530*Assumptions!I$5),-2)</f>
        <v>9000</v>
      </c>
      <c r="K530" s="9">
        <f>ROUNDUP(J530+(J530*Assumptions!J$5),-2)</f>
        <v>9300</v>
      </c>
      <c r="L530" s="9">
        <f>ROUNDUP(K530+(K530*Assumptions!K$5),-2)</f>
        <v>9600</v>
      </c>
      <c r="M530" s="9">
        <f>ROUNDUP(L530+(L530*Assumptions!L$5),-2)</f>
        <v>9900</v>
      </c>
      <c r="N530" s="9">
        <f>ROUNDUP(M530+(M530*Assumptions!M$5),-2)</f>
        <v>10200</v>
      </c>
      <c r="O530" s="9">
        <f>ROUNDUP(N530+(N530*Assumptions!N$5),-2)</f>
        <v>10500</v>
      </c>
      <c r="P530" s="9">
        <f>ROUNDUP(O530+(O530*Assumptions!O$5),-2)</f>
        <v>10800</v>
      </c>
      <c r="Q530" s="9">
        <f>ROUNDUP(P530+(P530*Assumptions!P$5),-2)</f>
        <v>11100</v>
      </c>
      <c r="R530" s="9">
        <f>ROUNDUP(Q530+(Q530*Assumptions!Q$5),-2)</f>
        <v>11400</v>
      </c>
      <c r="S530" s="47">
        <f>ROUNDUP(R530+(R530*Assumptions!R$5),-2)</f>
        <v>11700</v>
      </c>
    </row>
    <row r="531" spans="1:19" ht="12.75" customHeight="1" x14ac:dyDescent="0.2">
      <c r="A531" s="2088"/>
      <c r="B531" s="150"/>
      <c r="C531" s="150"/>
      <c r="D531" s="150"/>
      <c r="E531" s="150"/>
      <c r="F531" s="2048"/>
      <c r="G531" s="46"/>
      <c r="H531" s="150"/>
      <c r="I531" s="1395"/>
      <c r="J531" s="150"/>
      <c r="K531" s="150"/>
      <c r="L531" s="150"/>
      <c r="M531" s="150"/>
      <c r="N531" s="150"/>
      <c r="O531" s="150"/>
      <c r="P531" s="150"/>
      <c r="Q531" s="150"/>
      <c r="R531" s="150"/>
      <c r="S531" s="2356"/>
    </row>
    <row r="532" spans="1:19" ht="12.75" customHeight="1" x14ac:dyDescent="0.2">
      <c r="A532" s="54"/>
      <c r="B532" s="9"/>
      <c r="C532" s="134"/>
      <c r="D532" s="9"/>
      <c r="E532" s="134"/>
      <c r="F532" s="1153"/>
      <c r="G532" s="912" t="s">
        <v>2261</v>
      </c>
      <c r="H532" s="9"/>
      <c r="I532" s="85"/>
      <c r="J532" s="9"/>
      <c r="K532" s="9"/>
      <c r="L532" s="9"/>
      <c r="M532" s="9"/>
      <c r="N532" s="9"/>
      <c r="O532" s="9"/>
      <c r="P532" s="9"/>
      <c r="Q532" s="9"/>
      <c r="R532" s="9"/>
      <c r="S532" s="47"/>
    </row>
    <row r="533" spans="1:19" ht="12.75" customHeight="1" x14ac:dyDescent="0.2">
      <c r="A533" s="54">
        <v>0</v>
      </c>
      <c r="B533" s="9">
        <v>2500</v>
      </c>
      <c r="C533" s="134">
        <v>4900</v>
      </c>
      <c r="D533" s="9">
        <f>6240-40</f>
        <v>6200</v>
      </c>
      <c r="E533" s="134">
        <v>3300</v>
      </c>
      <c r="F533" s="770" t="s">
        <v>3478</v>
      </c>
      <c r="G533" s="662" t="s">
        <v>2514</v>
      </c>
      <c r="H533" s="9">
        <f>4400-2000</f>
        <v>2400</v>
      </c>
      <c r="I533" s="85">
        <f>IF(E533=H533,0,IF(E533=0,100,(H533-E533)/E533*100))</f>
        <v>-27.27272727272727</v>
      </c>
      <c r="J533" s="9">
        <f>ROUNDUP(H533+(H533*Assumptions!I$5),-2)</f>
        <v>2500</v>
      </c>
      <c r="K533" s="9">
        <f>ROUNDUP(J533+(J533*Assumptions!J$5),-2)</f>
        <v>2600</v>
      </c>
      <c r="L533" s="9">
        <f>ROUNDUP(K533+(K533*Assumptions!K$5),-2)</f>
        <v>2700</v>
      </c>
      <c r="M533" s="9">
        <f>ROUNDUP(L533+(L533*Assumptions!L$5),-2)</f>
        <v>2800</v>
      </c>
      <c r="N533" s="9">
        <f>ROUNDUP(M533+(M533*Assumptions!M$5),-2)</f>
        <v>2900</v>
      </c>
      <c r="O533" s="9">
        <f>ROUNDUP(N533+(N533*Assumptions!N$5),-2)</f>
        <v>3000</v>
      </c>
      <c r="P533" s="9">
        <f>ROUNDUP(O533+(O533*Assumptions!O$5),-2)</f>
        <v>3100</v>
      </c>
      <c r="Q533" s="9">
        <f>ROUNDUP(P533+(P533*Assumptions!P$5),-2)</f>
        <v>3200</v>
      </c>
      <c r="R533" s="9">
        <f>ROUNDUP(Q533+(Q533*Assumptions!Q$5),-2)</f>
        <v>3300</v>
      </c>
      <c r="S533" s="47">
        <f>ROUNDUP(R533+(R533*Assumptions!R$5),-2)</f>
        <v>3400</v>
      </c>
    </row>
    <row r="534" spans="1:19" ht="12.75" customHeight="1" x14ac:dyDescent="0.2">
      <c r="A534" s="54"/>
      <c r="B534" s="9"/>
      <c r="C534" s="134"/>
      <c r="D534" s="9"/>
      <c r="E534" s="134">
        <v>0</v>
      </c>
      <c r="F534" s="770" t="s">
        <v>7077</v>
      </c>
      <c r="G534" s="662" t="s">
        <v>708</v>
      </c>
      <c r="H534" s="9">
        <v>2000</v>
      </c>
      <c r="I534" s="85">
        <f t="shared" ref="I534:I537" si="430">IF(E534=H534,0,IF(E534=0,100,(H534-E534)/E534*100))</f>
        <v>100</v>
      </c>
      <c r="J534" s="9">
        <f>ROUNDUP(H534+(H534*Assumptions!I$5),-2)</f>
        <v>2100</v>
      </c>
      <c r="K534" s="9">
        <f>ROUNDUP(J534+(J534*Assumptions!J$5),-2)</f>
        <v>2200</v>
      </c>
      <c r="L534" s="9">
        <f>ROUNDUP(K534+(K534*Assumptions!K$5),-2)</f>
        <v>2300</v>
      </c>
      <c r="M534" s="9">
        <f>ROUNDUP(L534+(L534*Assumptions!L$5),-2)</f>
        <v>2400</v>
      </c>
      <c r="N534" s="9">
        <f>ROUNDUP(M534+(M534*Assumptions!M$5),-2)</f>
        <v>2500</v>
      </c>
      <c r="O534" s="9">
        <f>ROUNDUP(N534+(N534*Assumptions!N$5),-2)</f>
        <v>2600</v>
      </c>
      <c r="P534" s="9">
        <f>ROUNDUP(O534+(O534*Assumptions!O$5),-2)</f>
        <v>2700</v>
      </c>
      <c r="Q534" s="9">
        <f>ROUNDUP(P534+(P534*Assumptions!P$5),-2)</f>
        <v>2800</v>
      </c>
      <c r="R534" s="9">
        <f>ROUNDUP(Q534+(Q534*Assumptions!Q$5),-2)</f>
        <v>2900</v>
      </c>
      <c r="S534" s="47">
        <f>ROUNDUP(R534+(R534*Assumptions!R$5),-2)</f>
        <v>3000</v>
      </c>
    </row>
    <row r="535" spans="1:19" ht="12.75" customHeight="1" x14ac:dyDescent="0.2">
      <c r="A535" s="54">
        <v>0</v>
      </c>
      <c r="B535" s="9">
        <v>12700</v>
      </c>
      <c r="C535" s="9">
        <v>10800</v>
      </c>
      <c r="D535" s="9">
        <f>10058+42</f>
        <v>10100</v>
      </c>
      <c r="E535" s="9">
        <v>9400</v>
      </c>
      <c r="F535" s="770" t="s">
        <v>3089</v>
      </c>
      <c r="G535" s="661" t="s">
        <v>2724</v>
      </c>
      <c r="H535" s="9">
        <f>10700-500-1500-2600</f>
        <v>6100</v>
      </c>
      <c r="I535" s="85">
        <f t="shared" si="430"/>
        <v>-35.106382978723403</v>
      </c>
      <c r="J535" s="9">
        <f>ROUNDUP(H535+(H535*Assumptions!I$5),-2)</f>
        <v>6300</v>
      </c>
      <c r="K535" s="9">
        <f>ROUNDUP(J535+(J535*Assumptions!J$5),-2)</f>
        <v>6500</v>
      </c>
      <c r="L535" s="9">
        <f>ROUNDUP(K535+(K535*Assumptions!K$5),-2)</f>
        <v>6700</v>
      </c>
      <c r="M535" s="9">
        <f>ROUNDUP(L535+(L535*Assumptions!L$5),-2)</f>
        <v>6900</v>
      </c>
      <c r="N535" s="9">
        <f>ROUNDUP(M535+(M535*Assumptions!M$5),-2)</f>
        <v>7100</v>
      </c>
      <c r="O535" s="9">
        <f>ROUNDUP(N535+(N535*Assumptions!N$5),-2)</f>
        <v>7300</v>
      </c>
      <c r="P535" s="9">
        <f>ROUNDUP(O535+(O535*Assumptions!O$5),-2)</f>
        <v>7500</v>
      </c>
      <c r="Q535" s="9">
        <f>ROUNDUP(P535+(P535*Assumptions!P$5),-2)</f>
        <v>7700</v>
      </c>
      <c r="R535" s="9">
        <f>ROUNDUP(Q535+(Q535*Assumptions!Q$5),-2)</f>
        <v>7900</v>
      </c>
      <c r="S535" s="47">
        <f>ROUNDUP(R535+(R535*Assumptions!R$5),-2)</f>
        <v>8100</v>
      </c>
    </row>
    <row r="536" spans="1:19" ht="12.75" customHeight="1" x14ac:dyDescent="0.2">
      <c r="A536" s="54">
        <v>0</v>
      </c>
      <c r="B536" s="9">
        <v>1600</v>
      </c>
      <c r="C536" s="79">
        <v>8600</v>
      </c>
      <c r="D536" s="9">
        <f>8539-39</f>
        <v>8500</v>
      </c>
      <c r="E536" s="9">
        <v>7400</v>
      </c>
      <c r="F536" s="770" t="s">
        <v>3086</v>
      </c>
      <c r="G536" s="661" t="s">
        <v>1445</v>
      </c>
      <c r="H536" s="9">
        <v>8300</v>
      </c>
      <c r="I536" s="85">
        <f t="shared" si="430"/>
        <v>12.162162162162163</v>
      </c>
      <c r="J536" s="9">
        <f>ROUNDUP(H536+(H536*Assumptions!I$5),-2)</f>
        <v>8500</v>
      </c>
      <c r="K536" s="9">
        <f>ROUNDUP(J536+(J536*Assumptions!J$5),-2)</f>
        <v>8800</v>
      </c>
      <c r="L536" s="9">
        <f>ROUNDUP(K536+(K536*Assumptions!K$5),-2)</f>
        <v>9100</v>
      </c>
      <c r="M536" s="9">
        <f>ROUNDUP(L536+(L536*Assumptions!L$5),-2)</f>
        <v>9400</v>
      </c>
      <c r="N536" s="9">
        <f>ROUNDUP(M536+(M536*Assumptions!M$5),-2)</f>
        <v>9700</v>
      </c>
      <c r="O536" s="9">
        <f>ROUNDUP(N536+(N536*Assumptions!N$5),-2)</f>
        <v>10000</v>
      </c>
      <c r="P536" s="9">
        <f>ROUNDUP(O536+(O536*Assumptions!O$5),-2)</f>
        <v>10300</v>
      </c>
      <c r="Q536" s="9">
        <f>ROUNDUP(P536+(P536*Assumptions!P$5),-2)</f>
        <v>10600</v>
      </c>
      <c r="R536" s="9">
        <f>ROUNDUP(Q536+(Q536*Assumptions!Q$5),-2)</f>
        <v>10900</v>
      </c>
      <c r="S536" s="47">
        <f>ROUNDUP(R536+(R536*Assumptions!R$5),-2)</f>
        <v>11200</v>
      </c>
    </row>
    <row r="537" spans="1:19" ht="12.75" customHeight="1" x14ac:dyDescent="0.2">
      <c r="A537" s="54">
        <v>0</v>
      </c>
      <c r="B537" s="9">
        <v>7200</v>
      </c>
      <c r="C537" s="79">
        <v>7500</v>
      </c>
      <c r="D537" s="9">
        <f>10584+16</f>
        <v>10600</v>
      </c>
      <c r="E537" s="9">
        <v>10300</v>
      </c>
      <c r="F537" s="770" t="s">
        <v>3087</v>
      </c>
      <c r="G537" s="661" t="s">
        <v>2157</v>
      </c>
      <c r="H537" s="9">
        <f>14800-3000</f>
        <v>11800</v>
      </c>
      <c r="I537" s="85">
        <f t="shared" si="430"/>
        <v>14.563106796116504</v>
      </c>
      <c r="J537" s="9">
        <f>ROUNDUP(H537+(H537*Assumptions!I$5),-2)</f>
        <v>12100</v>
      </c>
      <c r="K537" s="9">
        <f>ROUNDUP(J537+(J537*Assumptions!J$5),-2)</f>
        <v>12500</v>
      </c>
      <c r="L537" s="9">
        <f>ROUNDUP(K537+(K537*Assumptions!K$5),-2)</f>
        <v>12900</v>
      </c>
      <c r="M537" s="9">
        <f>ROUNDUP(L537+(L537*Assumptions!L$5),-2)</f>
        <v>13300</v>
      </c>
      <c r="N537" s="9">
        <f>ROUNDUP(M537+(M537*Assumptions!M$5),-2)</f>
        <v>13700</v>
      </c>
      <c r="O537" s="9">
        <f>ROUNDUP(N537+(N537*Assumptions!N$5),-2)</f>
        <v>14100</v>
      </c>
      <c r="P537" s="9">
        <f>ROUNDUP(O537+(O537*Assumptions!O$5),-2)</f>
        <v>14500</v>
      </c>
      <c r="Q537" s="9">
        <f>ROUNDUP(P537+(P537*Assumptions!P$5),-2)</f>
        <v>14900</v>
      </c>
      <c r="R537" s="9">
        <f>ROUNDUP(Q537+(Q537*Assumptions!Q$5),-2)</f>
        <v>15300</v>
      </c>
      <c r="S537" s="47">
        <f>ROUNDUP(R537+(R537*Assumptions!R$5),-2)</f>
        <v>15700</v>
      </c>
    </row>
    <row r="538" spans="1:19" ht="12.75" customHeight="1" x14ac:dyDescent="0.2">
      <c r="A538" s="54">
        <v>0</v>
      </c>
      <c r="B538" s="9">
        <v>44000</v>
      </c>
      <c r="C538" s="134">
        <v>58700</v>
      </c>
      <c r="D538" s="9">
        <f>54532-32</f>
        <v>54500</v>
      </c>
      <c r="E538" s="134">
        <v>46300</v>
      </c>
      <c r="F538" s="770" t="s">
        <v>3083</v>
      </c>
      <c r="G538" s="662" t="s">
        <v>1500</v>
      </c>
      <c r="H538" s="9">
        <v>65000</v>
      </c>
      <c r="I538" s="85">
        <f t="shared" ref="I538:I542" si="431">IF(E538=H538,0,IF(E538=0,100,(H538-E538)/E538*100))</f>
        <v>40.388768898488117</v>
      </c>
      <c r="J538" s="9">
        <f>ROUNDUP(H538+(H538*Assumptions!I$5),-2)</f>
        <v>66500</v>
      </c>
      <c r="K538" s="9">
        <f>ROUNDUP(J538+(J538*Assumptions!J$5),-2)</f>
        <v>68200</v>
      </c>
      <c r="L538" s="9">
        <f>ROUNDUP(K538+(K538*Assumptions!K$5),-2)</f>
        <v>70000</v>
      </c>
      <c r="M538" s="9">
        <f>ROUNDUP(L538+(L538*Assumptions!L$5),-2)</f>
        <v>71800</v>
      </c>
      <c r="N538" s="9">
        <f>ROUNDUP(M538+(M538*Assumptions!M$5),-2)</f>
        <v>73600</v>
      </c>
      <c r="O538" s="9">
        <f>ROUNDUP(N538+(N538*Assumptions!N$5),-2)</f>
        <v>75500</v>
      </c>
      <c r="P538" s="9">
        <f>ROUNDUP(O538+(O538*Assumptions!O$5),-2)</f>
        <v>77400</v>
      </c>
      <c r="Q538" s="9">
        <f>ROUNDUP(P538+(P538*Assumptions!P$5),-2)</f>
        <v>79400</v>
      </c>
      <c r="R538" s="9">
        <f>ROUNDUP(Q538+(Q538*Assumptions!Q$5),-2)</f>
        <v>81400</v>
      </c>
      <c r="S538" s="47">
        <f>ROUNDUP(R538+(R538*Assumptions!R$5),-2)</f>
        <v>83500</v>
      </c>
    </row>
    <row r="539" spans="1:19" ht="12.75" customHeight="1" x14ac:dyDescent="0.2">
      <c r="A539" s="54">
        <v>0</v>
      </c>
      <c r="B539" s="9">
        <v>0</v>
      </c>
      <c r="C539" s="9">
        <v>0</v>
      </c>
      <c r="D539" s="9">
        <f>783+17</f>
        <v>800</v>
      </c>
      <c r="E539" s="9">
        <v>500</v>
      </c>
      <c r="F539" s="770" t="s">
        <v>3088</v>
      </c>
      <c r="G539" s="661" t="s">
        <v>2517</v>
      </c>
      <c r="H539" s="9">
        <v>1200</v>
      </c>
      <c r="I539" s="85">
        <f t="shared" si="431"/>
        <v>140</v>
      </c>
      <c r="J539" s="9">
        <f>ROUNDUP(H539+(H539*Assumptions!I$5),-2)</f>
        <v>1300</v>
      </c>
      <c r="K539" s="9">
        <f>ROUNDUP(J539+(J539*Assumptions!J$5),-2)</f>
        <v>1400</v>
      </c>
      <c r="L539" s="9">
        <f>ROUNDUP(K539+(K539*Assumptions!K$5),-2)</f>
        <v>1500</v>
      </c>
      <c r="M539" s="9">
        <f>ROUNDUP(L539+(L539*Assumptions!L$5),-2)</f>
        <v>1600</v>
      </c>
      <c r="N539" s="9">
        <f>ROUNDUP(M539+(M539*Assumptions!M$5),-2)</f>
        <v>1700</v>
      </c>
      <c r="O539" s="9">
        <f>ROUNDUP(N539+(N539*Assumptions!N$5),-2)</f>
        <v>1800</v>
      </c>
      <c r="P539" s="9">
        <f>ROUNDUP(O539+(O539*Assumptions!O$5),-2)</f>
        <v>1900</v>
      </c>
      <c r="Q539" s="9">
        <f>ROUNDUP(P539+(P539*Assumptions!P$5),-2)</f>
        <v>2000</v>
      </c>
      <c r="R539" s="9">
        <f>ROUNDUP(Q539+(Q539*Assumptions!Q$5),-2)</f>
        <v>2100</v>
      </c>
      <c r="S539" s="47">
        <f>ROUNDUP(R539+(R539*Assumptions!R$5),-2)</f>
        <v>2200</v>
      </c>
    </row>
    <row r="540" spans="1:19" ht="12.75" customHeight="1" x14ac:dyDescent="0.2">
      <c r="A540" s="54">
        <v>0</v>
      </c>
      <c r="B540" s="9">
        <v>3500</v>
      </c>
      <c r="C540" s="9">
        <v>4800</v>
      </c>
      <c r="D540" s="9">
        <f>5431-31</f>
        <v>5400</v>
      </c>
      <c r="E540" s="9">
        <v>5700</v>
      </c>
      <c r="F540" s="770" t="s">
        <v>3084</v>
      </c>
      <c r="G540" s="661" t="s">
        <v>709</v>
      </c>
      <c r="H540" s="9">
        <v>5200</v>
      </c>
      <c r="I540" s="85">
        <f t="shared" si="431"/>
        <v>-8.7719298245614024</v>
      </c>
      <c r="J540" s="9">
        <f>ROUNDUP(H540+(H540*Assumptions!I$5),-2)</f>
        <v>5400</v>
      </c>
      <c r="K540" s="9">
        <f>ROUNDUP(J540+(J540*Assumptions!J$5),-2)</f>
        <v>5600</v>
      </c>
      <c r="L540" s="9">
        <f>ROUNDUP(K540+(K540*Assumptions!K$5),-2)</f>
        <v>5800</v>
      </c>
      <c r="M540" s="9">
        <f>ROUNDUP(L540+(L540*Assumptions!L$5),-2)</f>
        <v>6000</v>
      </c>
      <c r="N540" s="9">
        <f>ROUNDUP(M540+(M540*Assumptions!M$5),-2)</f>
        <v>6200</v>
      </c>
      <c r="O540" s="9">
        <f>ROUNDUP(N540+(N540*Assumptions!N$5),-2)</f>
        <v>6400</v>
      </c>
      <c r="P540" s="9">
        <f>ROUNDUP(O540+(O540*Assumptions!O$5),-2)</f>
        <v>6600</v>
      </c>
      <c r="Q540" s="9">
        <f>ROUNDUP(P540+(P540*Assumptions!P$5),-2)</f>
        <v>6800</v>
      </c>
      <c r="R540" s="9">
        <f>ROUNDUP(Q540+(Q540*Assumptions!Q$5),-2)</f>
        <v>7000</v>
      </c>
      <c r="S540" s="47">
        <f>ROUNDUP(R540+(R540*Assumptions!R$5),-2)</f>
        <v>7200</v>
      </c>
    </row>
    <row r="541" spans="1:19" ht="12.75" customHeight="1" x14ac:dyDescent="0.2">
      <c r="A541" s="54">
        <v>0</v>
      </c>
      <c r="B541" s="9">
        <v>0</v>
      </c>
      <c r="C541" s="9">
        <v>0</v>
      </c>
      <c r="D541" s="9">
        <v>0</v>
      </c>
      <c r="E541" s="9">
        <v>0</v>
      </c>
      <c r="F541" s="770" t="s">
        <v>3085</v>
      </c>
      <c r="G541" s="661" t="s">
        <v>3035</v>
      </c>
      <c r="H541" s="9">
        <v>4900</v>
      </c>
      <c r="I541" s="85">
        <f t="shared" si="431"/>
        <v>100</v>
      </c>
      <c r="J541" s="9">
        <f>ROUNDUP(H541+(H541*Assumptions!I$5),-2)</f>
        <v>5100</v>
      </c>
      <c r="K541" s="9">
        <f>ROUNDUP(J541+(J541*Assumptions!J$5),-2)</f>
        <v>5300</v>
      </c>
      <c r="L541" s="9">
        <f>ROUNDUP(K541+(K541*Assumptions!K$5),-2)</f>
        <v>5500</v>
      </c>
      <c r="M541" s="9">
        <f>ROUNDUP(L541+(L541*Assumptions!L$5),-2)</f>
        <v>5700</v>
      </c>
      <c r="N541" s="9">
        <f>ROUNDUP(M541+(M541*Assumptions!M$5),-2)</f>
        <v>5900</v>
      </c>
      <c r="O541" s="9">
        <f>ROUNDUP(N541+(N541*Assumptions!N$5),-2)</f>
        <v>6100</v>
      </c>
      <c r="P541" s="9">
        <f>ROUNDUP(O541+(O541*Assumptions!O$5),-2)</f>
        <v>6300</v>
      </c>
      <c r="Q541" s="9">
        <f>ROUNDUP(P541+(P541*Assumptions!P$5),-2)</f>
        <v>6500</v>
      </c>
      <c r="R541" s="9">
        <f>ROUNDUP(Q541+(Q541*Assumptions!Q$5),-2)</f>
        <v>6700</v>
      </c>
      <c r="S541" s="47">
        <f>ROUNDUP(R541+(R541*Assumptions!R$5),-2)</f>
        <v>6900</v>
      </c>
    </row>
    <row r="542" spans="1:19" ht="12.75" customHeight="1" x14ac:dyDescent="0.2">
      <c r="A542" s="54">
        <v>0</v>
      </c>
      <c r="B542" s="9">
        <v>0</v>
      </c>
      <c r="C542" s="9">
        <v>16100</v>
      </c>
      <c r="D542" s="9">
        <v>0</v>
      </c>
      <c r="E542" s="9">
        <v>10400</v>
      </c>
      <c r="F542" s="770" t="s">
        <v>3937</v>
      </c>
      <c r="G542" s="661" t="s">
        <v>4575</v>
      </c>
      <c r="H542" s="9">
        <v>10800</v>
      </c>
      <c r="I542" s="85">
        <f t="shared" si="431"/>
        <v>3.8461538461538463</v>
      </c>
      <c r="J542" s="9">
        <f>ROUNDUP(H542+(H542*Assumptions!I$5),-2)</f>
        <v>11100</v>
      </c>
      <c r="K542" s="9">
        <f>ROUNDUP(J542+(J542*Assumptions!J$5),-2)</f>
        <v>11400</v>
      </c>
      <c r="L542" s="9">
        <f>ROUNDUP(K542+(K542*Assumptions!K$5),-2)</f>
        <v>11700</v>
      </c>
      <c r="M542" s="9">
        <f>ROUNDUP(L542+(L542*Assumptions!L$5),-2)</f>
        <v>12000</v>
      </c>
      <c r="N542" s="9">
        <f>ROUNDUP(M542+(M542*Assumptions!M$5),-2)</f>
        <v>12300</v>
      </c>
      <c r="O542" s="9">
        <f>ROUNDUP(N542+(N542*Assumptions!N$5),-2)</f>
        <v>12700</v>
      </c>
      <c r="P542" s="9">
        <f>ROUNDUP(O542+(O542*Assumptions!O$5),-2)</f>
        <v>13100</v>
      </c>
      <c r="Q542" s="9">
        <f>ROUNDUP(P542+(P542*Assumptions!P$5),-2)</f>
        <v>13500</v>
      </c>
      <c r="R542" s="9">
        <f>ROUNDUP(Q542+(Q542*Assumptions!Q$5),-2)</f>
        <v>13900</v>
      </c>
      <c r="S542" s="47">
        <f>ROUNDUP(R542+(R542*Assumptions!R$5),-2)</f>
        <v>14300</v>
      </c>
    </row>
    <row r="543" spans="1:19" ht="12.75" customHeight="1" x14ac:dyDescent="0.2">
      <c r="A543" s="54"/>
      <c r="B543" s="9"/>
      <c r="C543" s="9"/>
      <c r="D543" s="9">
        <f>ROUNDUP(C543+(C543*Assumptions!F$5),-2)</f>
        <v>0</v>
      </c>
      <c r="E543" s="9"/>
      <c r="F543" s="469"/>
      <c r="G543" s="371"/>
      <c r="H543" s="9"/>
      <c r="I543" s="85"/>
      <c r="J543" s="9"/>
      <c r="K543" s="9"/>
      <c r="L543" s="9"/>
      <c r="M543" s="9"/>
      <c r="N543" s="9"/>
      <c r="O543" s="9"/>
      <c r="P543" s="9"/>
      <c r="Q543" s="9"/>
      <c r="R543" s="9"/>
      <c r="S543" s="47"/>
    </row>
    <row r="544" spans="1:19" ht="12.75" customHeight="1" x14ac:dyDescent="0.2">
      <c r="A544" s="54"/>
      <c r="B544" s="9"/>
      <c r="C544" s="9"/>
      <c r="D544" s="9">
        <f>ROUNDUP(C544+(C544*Assumptions!F$5),-2)</f>
        <v>0</v>
      </c>
      <c r="E544" s="9"/>
      <c r="F544" s="469"/>
      <c r="G544" s="260" t="s">
        <v>2240</v>
      </c>
      <c r="H544" s="9"/>
      <c r="I544" s="85"/>
      <c r="J544" s="9"/>
      <c r="K544" s="9"/>
      <c r="L544" s="9"/>
      <c r="M544" s="9"/>
      <c r="N544" s="9"/>
      <c r="O544" s="9"/>
      <c r="P544" s="9"/>
      <c r="Q544" s="9"/>
      <c r="R544" s="9"/>
      <c r="S544" s="47"/>
    </row>
    <row r="545" spans="1:19" ht="12.75" customHeight="1" x14ac:dyDescent="0.2">
      <c r="A545" s="54">
        <v>0</v>
      </c>
      <c r="B545" s="9">
        <v>0</v>
      </c>
      <c r="C545" s="9">
        <v>0</v>
      </c>
      <c r="D545" s="9">
        <f>ROUNDUP(C545+(C545*Assumptions!F$5),-2)</f>
        <v>0</v>
      </c>
      <c r="E545" s="9">
        <v>0</v>
      </c>
      <c r="F545" s="769" t="s">
        <v>2993</v>
      </c>
      <c r="G545" s="662" t="s">
        <v>2994</v>
      </c>
      <c r="H545" s="9">
        <v>0</v>
      </c>
      <c r="I545" s="85">
        <f>IF(E545=H545,0,IF(E545=0,100,(H545-E545)/E545*100))</f>
        <v>0</v>
      </c>
      <c r="J545" s="9">
        <f>ROUNDUP(H545+(H545*Assumptions!I$5),-2)</f>
        <v>0</v>
      </c>
      <c r="K545" s="9">
        <f>ROUNDUP(J545+(J545*Assumptions!J$5),-2)</f>
        <v>0</v>
      </c>
      <c r="L545" s="9">
        <f>ROUNDUP(K545+(K545*Assumptions!K$5),-2)</f>
        <v>0</v>
      </c>
      <c r="M545" s="9">
        <f>ROUNDUP(L545+(L545*Assumptions!L$5),-2)</f>
        <v>0</v>
      </c>
      <c r="N545" s="9">
        <f>ROUNDUP(M545+(M545*Assumptions!M$5),-2)</f>
        <v>0</v>
      </c>
      <c r="O545" s="9">
        <f>ROUNDUP(N545+(N545*Assumptions!N$5),-2)</f>
        <v>0</v>
      </c>
      <c r="P545" s="9">
        <f>ROUNDUP(O545+(O545*Assumptions!O$5),-2)</f>
        <v>0</v>
      </c>
      <c r="Q545" s="9">
        <f>ROUNDUP(P545+(P545*Assumptions!P$5),-2)</f>
        <v>0</v>
      </c>
      <c r="R545" s="9">
        <f>ROUNDUP(Q545+(Q545*Assumptions!Q$5),-2)</f>
        <v>0</v>
      </c>
      <c r="S545" s="47">
        <f>ROUNDUP(R545+(R545*Assumptions!R$5),-2)</f>
        <v>0</v>
      </c>
    </row>
    <row r="546" spans="1:19" ht="12.75" customHeight="1" thickBot="1" x14ac:dyDescent="0.25">
      <c r="A546" s="1433"/>
      <c r="B546" s="929"/>
      <c r="C546" s="929"/>
      <c r="D546" s="929"/>
      <c r="E546" s="929"/>
      <c r="F546" s="1183"/>
      <c r="G546" s="929"/>
      <c r="H546" s="1184"/>
      <c r="I546" s="929"/>
      <c r="J546" s="1184"/>
      <c r="K546" s="1184"/>
      <c r="L546" s="1184"/>
      <c r="M546" s="1184"/>
      <c r="N546" s="1184"/>
      <c r="O546" s="1184"/>
      <c r="P546" s="1208"/>
      <c r="Q546" s="1184"/>
      <c r="R546" s="1184"/>
      <c r="S546" s="1185"/>
    </row>
    <row r="547" spans="1:19" s="38" customFormat="1" ht="19.5" thickTop="1" thickBot="1" x14ac:dyDescent="0.3">
      <c r="A547" s="2588" t="s">
        <v>7080</v>
      </c>
      <c r="B547" s="2589"/>
      <c r="C547" s="2589"/>
      <c r="D547" s="2589"/>
      <c r="E547" s="2589"/>
      <c r="F547" s="2589"/>
      <c r="G547" s="2589"/>
      <c r="H547" s="2589"/>
      <c r="I547" s="2589"/>
      <c r="J547" s="2589"/>
      <c r="K547" s="2589"/>
      <c r="L547" s="2589"/>
      <c r="M547" s="2589"/>
      <c r="N547" s="2589"/>
      <c r="O547" s="2589"/>
      <c r="P547" s="2589"/>
      <c r="Q547" s="2589"/>
      <c r="R547" s="2589"/>
      <c r="S547" s="2590"/>
    </row>
    <row r="548" spans="1:19" s="39" customFormat="1" ht="12.75" customHeight="1" x14ac:dyDescent="0.2">
      <c r="A548" s="2591" t="s">
        <v>1824</v>
      </c>
      <c r="B548" s="2577"/>
      <c r="C548" s="2577"/>
      <c r="D548" s="2577"/>
      <c r="E548" s="2592" t="s">
        <v>2215</v>
      </c>
      <c r="F548" s="2231" t="s">
        <v>2616</v>
      </c>
      <c r="G548" s="188" t="s">
        <v>2213</v>
      </c>
      <c r="H548" s="2576" t="s">
        <v>2215</v>
      </c>
      <c r="I548" s="2577"/>
      <c r="J548" s="2577"/>
      <c r="K548" s="2577"/>
      <c r="L548" s="2577"/>
      <c r="M548" s="2577"/>
      <c r="N548" s="2577"/>
      <c r="O548" s="2577"/>
      <c r="P548" s="2577"/>
      <c r="Q548" s="2577"/>
      <c r="R548" s="2577"/>
      <c r="S548" s="2578"/>
    </row>
    <row r="549" spans="1:19" ht="12.75" customHeight="1" thickBot="1" x14ac:dyDescent="0.25">
      <c r="A549" s="1011" t="str">
        <f>A487</f>
        <v>2012/13</v>
      </c>
      <c r="B549" s="28" t="str">
        <f t="shared" ref="B549:E549" si="432">B487</f>
        <v>2013/14</v>
      </c>
      <c r="C549" s="40" t="str">
        <f t="shared" si="432"/>
        <v>2014/15</v>
      </c>
      <c r="D549" s="40" t="str">
        <f t="shared" si="432"/>
        <v>2015/16</v>
      </c>
      <c r="E549" s="40" t="str">
        <f t="shared" si="432"/>
        <v>2016/17</v>
      </c>
      <c r="F549" s="2067" t="s">
        <v>2617</v>
      </c>
      <c r="G549" s="41"/>
      <c r="H549" s="40" t="str">
        <f t="shared" ref="H549:S549" si="433">H487</f>
        <v>2017/18</v>
      </c>
      <c r="I549" s="1258" t="str">
        <f t="shared" si="433"/>
        <v>%</v>
      </c>
      <c r="J549" s="40" t="str">
        <f t="shared" si="433"/>
        <v>2018/19</v>
      </c>
      <c r="K549" s="40" t="str">
        <f t="shared" si="433"/>
        <v>2019/20</v>
      </c>
      <c r="L549" s="40" t="str">
        <f t="shared" si="433"/>
        <v>2020/21</v>
      </c>
      <c r="M549" s="40" t="str">
        <f t="shared" si="433"/>
        <v>2021/22</v>
      </c>
      <c r="N549" s="40" t="str">
        <f t="shared" si="433"/>
        <v>2022/23</v>
      </c>
      <c r="O549" s="40" t="str">
        <f t="shared" si="433"/>
        <v>2023/24</v>
      </c>
      <c r="P549" s="40" t="str">
        <f t="shared" si="433"/>
        <v>2024/25</v>
      </c>
      <c r="Q549" s="28" t="str">
        <f t="shared" si="433"/>
        <v>2025/26</v>
      </c>
      <c r="R549" s="28" t="str">
        <f t="shared" si="433"/>
        <v>2026/27</v>
      </c>
      <c r="S549" s="1620" t="str">
        <f t="shared" si="433"/>
        <v>2027/28</v>
      </c>
    </row>
    <row r="550" spans="1:19" ht="12.75" customHeight="1" x14ac:dyDescent="0.2">
      <c r="A550" s="54"/>
      <c r="B550" s="9"/>
      <c r="C550" s="9"/>
      <c r="D550" s="9"/>
      <c r="E550" s="134"/>
      <c r="F550" s="483"/>
      <c r="G550" s="1174"/>
      <c r="H550" s="9"/>
      <c r="I550" s="85"/>
      <c r="J550" s="9"/>
      <c r="K550" s="9"/>
      <c r="L550" s="9"/>
      <c r="M550" s="9"/>
      <c r="N550" s="9"/>
      <c r="O550" s="9"/>
      <c r="P550" s="9"/>
      <c r="Q550" s="9"/>
      <c r="R550" s="9"/>
      <c r="S550" s="61"/>
    </row>
    <row r="551" spans="1:19" ht="12.75" customHeight="1" x14ac:dyDescent="0.2">
      <c r="A551" s="54"/>
      <c r="B551" s="9"/>
      <c r="C551" s="9"/>
      <c r="D551" s="9"/>
      <c r="E551" s="9"/>
      <c r="F551" s="483"/>
      <c r="G551" s="247"/>
      <c r="H551" s="9"/>
      <c r="I551" s="85"/>
      <c r="J551" s="9"/>
      <c r="K551" s="9"/>
      <c r="L551" s="9"/>
      <c r="M551" s="9"/>
      <c r="N551" s="9"/>
      <c r="O551" s="9"/>
      <c r="P551" s="9"/>
      <c r="Q551" s="9"/>
      <c r="R551" s="9"/>
      <c r="S551" s="47"/>
    </row>
    <row r="552" spans="1:19" ht="12.75" customHeight="1" x14ac:dyDescent="0.2">
      <c r="A552" s="54"/>
      <c r="B552" s="9"/>
      <c r="C552" s="134"/>
      <c r="D552" s="9"/>
      <c r="E552" s="134"/>
      <c r="F552" s="167"/>
      <c r="G552" s="170" t="s">
        <v>2852</v>
      </c>
      <c r="H552" s="9"/>
      <c r="I552" s="85"/>
      <c r="J552" s="9"/>
      <c r="K552" s="9"/>
      <c r="L552" s="9"/>
      <c r="M552" s="9"/>
      <c r="N552" s="9"/>
      <c r="O552" s="9"/>
      <c r="P552" s="9"/>
      <c r="Q552" s="9"/>
      <c r="R552" s="9"/>
      <c r="S552" s="47"/>
    </row>
    <row r="553" spans="1:19" ht="12.75" customHeight="1" x14ac:dyDescent="0.2">
      <c r="A553" s="54">
        <v>12900</v>
      </c>
      <c r="B553" s="9">
        <v>14400</v>
      </c>
      <c r="C553" s="134">
        <v>13600</v>
      </c>
      <c r="D553" s="9">
        <f>11713-13</f>
        <v>11700</v>
      </c>
      <c r="E553" s="134">
        <v>11000</v>
      </c>
      <c r="F553" s="1153" t="s">
        <v>2468</v>
      </c>
      <c r="G553" s="371" t="s">
        <v>2724</v>
      </c>
      <c r="H553" s="9">
        <f>11000-3400</f>
        <v>7600</v>
      </c>
      <c r="I553" s="85">
        <f>IF(E553=H553,0,IF(E553=0,100,(H553-E553)/E553*100))</f>
        <v>-30.909090909090907</v>
      </c>
      <c r="J553" s="9">
        <f>ROUNDUP(H553+(H553*Assumptions!I$5),-2)</f>
        <v>7800</v>
      </c>
      <c r="K553" s="9">
        <f>ROUNDUP(J553+(J553*Assumptions!J$5),-2)</f>
        <v>8000</v>
      </c>
      <c r="L553" s="9">
        <f>ROUNDUP(K553+(K553*Assumptions!K$5),-2)</f>
        <v>8200</v>
      </c>
      <c r="M553" s="9">
        <f>ROUNDUP(L553+(L553*Assumptions!L$5),-2)</f>
        <v>8500</v>
      </c>
      <c r="N553" s="9">
        <f>ROUNDUP(M553+(M553*Assumptions!M$5),-2)</f>
        <v>8800</v>
      </c>
      <c r="O553" s="9">
        <f>ROUNDUP(N553+(N553*Assumptions!N$5),-2)</f>
        <v>9100</v>
      </c>
      <c r="P553" s="9">
        <f>ROUNDUP(O553+(O553*Assumptions!O$5),-2)</f>
        <v>9400</v>
      </c>
      <c r="Q553" s="9">
        <f>ROUNDUP(P553+(P553*Assumptions!P$5),-2)</f>
        <v>9700</v>
      </c>
      <c r="R553" s="9">
        <f>ROUNDUP(Q553+(Q553*Assumptions!Q$5),-2)</f>
        <v>10000</v>
      </c>
      <c r="S553" s="47">
        <f>ROUNDUP(R553+(R553*Assumptions!R$5),-2)</f>
        <v>10300</v>
      </c>
    </row>
    <row r="554" spans="1:19" ht="12.75" customHeight="1" x14ac:dyDescent="0.2">
      <c r="A554" s="54">
        <v>8700</v>
      </c>
      <c r="B554" s="9">
        <v>19200</v>
      </c>
      <c r="C554" s="134">
        <f>10300+6700</f>
        <v>17000</v>
      </c>
      <c r="D554" s="9">
        <f>21539-39</f>
        <v>21500</v>
      </c>
      <c r="E554" s="134">
        <v>10400</v>
      </c>
      <c r="F554" s="1153" t="s">
        <v>33</v>
      </c>
      <c r="G554" s="662" t="s">
        <v>1445</v>
      </c>
      <c r="H554" s="9">
        <v>15000</v>
      </c>
      <c r="I554" s="85">
        <f>IF(E554=H554,0,IF(E554=0,100,(H554-E554)/E554*100))</f>
        <v>44.230769230769226</v>
      </c>
      <c r="J554" s="9">
        <f>ROUNDUP(H554+(H554*Assumptions!I$5),-2)</f>
        <v>15400</v>
      </c>
      <c r="K554" s="9">
        <f>ROUNDUP(J554+(J554*Assumptions!J$5),-2)</f>
        <v>15800</v>
      </c>
      <c r="L554" s="9">
        <f>ROUNDUP(K554+(K554*Assumptions!K$5),-2)</f>
        <v>16200</v>
      </c>
      <c r="M554" s="9">
        <f>ROUNDUP(L554+(L554*Assumptions!L$5),-2)</f>
        <v>16700</v>
      </c>
      <c r="N554" s="9">
        <f>ROUNDUP(M554+(M554*Assumptions!M$5),-2)</f>
        <v>17200</v>
      </c>
      <c r="O554" s="9">
        <f>ROUNDUP(N554+(N554*Assumptions!N$5),-2)</f>
        <v>17700</v>
      </c>
      <c r="P554" s="9">
        <f>ROUNDUP(O554+(O554*Assumptions!O$5),-2)</f>
        <v>18200</v>
      </c>
      <c r="Q554" s="9">
        <f>ROUNDUP(P554+(P554*Assumptions!P$5),-2)</f>
        <v>18700</v>
      </c>
      <c r="R554" s="9">
        <f>ROUNDUP(Q554+(Q554*Assumptions!Q$5),-2)</f>
        <v>19200</v>
      </c>
      <c r="S554" s="47">
        <f>ROUNDUP(R554+(R554*Assumptions!R$5),-2)</f>
        <v>19700</v>
      </c>
    </row>
    <row r="555" spans="1:19" ht="12.75" customHeight="1" x14ac:dyDescent="0.2">
      <c r="A555" s="54">
        <v>0</v>
      </c>
      <c r="B555" s="9">
        <v>0</v>
      </c>
      <c r="C555" s="134">
        <v>0</v>
      </c>
      <c r="D555" s="9">
        <f>1101-1</f>
        <v>1100</v>
      </c>
      <c r="E555" s="134">
        <v>1100</v>
      </c>
      <c r="F555" s="770" t="s">
        <v>5985</v>
      </c>
      <c r="G555" s="662" t="s">
        <v>3696</v>
      </c>
      <c r="H555" s="9">
        <v>3700</v>
      </c>
      <c r="I555" s="85">
        <f>IF(E555=H555,0,IF(E555=0,100,(H555-E555)/E555*100))</f>
        <v>236.36363636363637</v>
      </c>
      <c r="J555" s="9">
        <f>ROUNDUP(H555+(H555*Assumptions!I$5),-2)</f>
        <v>3800</v>
      </c>
      <c r="K555" s="9">
        <f>ROUNDUP(J555+(J555*Assumptions!J$5),-2)</f>
        <v>3900</v>
      </c>
      <c r="L555" s="9">
        <f>ROUNDUP(K555+(K555*Assumptions!K$5),-2)</f>
        <v>4000</v>
      </c>
      <c r="M555" s="9">
        <f>ROUNDUP(L555+(L555*Assumptions!L$5),-2)</f>
        <v>4100</v>
      </c>
      <c r="N555" s="9">
        <f>ROUNDUP(M555+(M555*Assumptions!M$5),-2)</f>
        <v>4300</v>
      </c>
      <c r="O555" s="9">
        <f>ROUNDUP(N555+(N555*Assumptions!N$5),-2)</f>
        <v>4500</v>
      </c>
      <c r="P555" s="9">
        <f>ROUNDUP(O555+(O555*Assumptions!O$5),-2)</f>
        <v>4700</v>
      </c>
      <c r="Q555" s="9">
        <f>ROUNDUP(P555+(P555*Assumptions!P$5),-2)</f>
        <v>4900</v>
      </c>
      <c r="R555" s="9">
        <f>ROUNDUP(Q555+(Q555*Assumptions!Q$5),-2)</f>
        <v>5100</v>
      </c>
      <c r="S555" s="47">
        <f>ROUNDUP(R555+(R555*Assumptions!R$5),-2)</f>
        <v>5300</v>
      </c>
    </row>
    <row r="556" spans="1:19" ht="12.75" customHeight="1" x14ac:dyDescent="0.2">
      <c r="A556" s="54">
        <v>0</v>
      </c>
      <c r="B556" s="9">
        <v>0</v>
      </c>
      <c r="C556" s="134">
        <v>0</v>
      </c>
      <c r="D556" s="9">
        <v>0</v>
      </c>
      <c r="E556" s="134">
        <v>300</v>
      </c>
      <c r="F556" s="770" t="s">
        <v>7261</v>
      </c>
      <c r="G556" s="662" t="s">
        <v>7262</v>
      </c>
      <c r="H556" s="9">
        <v>7900</v>
      </c>
      <c r="I556" s="85">
        <f>IF(E556=H556,0,IF(E556=0,100,(H556-E556)/E556*100))</f>
        <v>2533.333333333333</v>
      </c>
      <c r="J556" s="9">
        <v>2000</v>
      </c>
      <c r="K556" s="9">
        <f>ROUNDUP(J556+(J556*Assumptions!J$5),-2)</f>
        <v>2100</v>
      </c>
      <c r="L556" s="9">
        <f>ROUNDUP(K556+(K556*Assumptions!K$5),-2)</f>
        <v>2200</v>
      </c>
      <c r="M556" s="9">
        <f>ROUNDUP(L556+(L556*Assumptions!L$5),-2)</f>
        <v>2300</v>
      </c>
      <c r="N556" s="9">
        <f>ROUNDUP(M556+(M556*Assumptions!M$5),-2)</f>
        <v>2400</v>
      </c>
      <c r="O556" s="9">
        <f>ROUNDUP(N556+(N556*Assumptions!N$5),-2)</f>
        <v>2500</v>
      </c>
      <c r="P556" s="9">
        <f>ROUNDUP(O556+(O556*Assumptions!O$5),-2)</f>
        <v>2600</v>
      </c>
      <c r="Q556" s="9">
        <f>ROUNDUP(P556+(P556*Assumptions!P$5),-2)</f>
        <v>2700</v>
      </c>
      <c r="R556" s="9">
        <f>ROUNDUP(Q556+(Q556*Assumptions!Q$5),-2)</f>
        <v>2800</v>
      </c>
      <c r="S556" s="47">
        <f>ROUNDUP(R556+(R556*Assumptions!R$5),-2)</f>
        <v>2900</v>
      </c>
    </row>
    <row r="557" spans="1:19" ht="12.75" customHeight="1" x14ac:dyDescent="0.2">
      <c r="A557" s="54"/>
      <c r="B557" s="9"/>
      <c r="C557" s="134"/>
      <c r="D557" s="9"/>
      <c r="E557" s="134"/>
      <c r="F557" s="770"/>
      <c r="G557" s="662"/>
      <c r="H557" s="9"/>
      <c r="I557" s="85"/>
      <c r="J557" s="9"/>
      <c r="K557" s="9"/>
      <c r="L557" s="9"/>
      <c r="M557" s="9"/>
      <c r="N557" s="9"/>
      <c r="O557" s="9"/>
      <c r="P557" s="9"/>
      <c r="Q557" s="9"/>
      <c r="R557" s="9"/>
      <c r="S557" s="47"/>
    </row>
    <row r="558" spans="1:19" ht="12.75" customHeight="1" x14ac:dyDescent="0.2">
      <c r="A558" s="54"/>
      <c r="B558" s="9"/>
      <c r="C558" s="134"/>
      <c r="D558" s="9"/>
      <c r="E558" s="134"/>
      <c r="F558" s="1153"/>
      <c r="G558" s="421" t="s">
        <v>1280</v>
      </c>
      <c r="H558" s="9"/>
      <c r="I558" s="85"/>
      <c r="J558" s="9"/>
      <c r="K558" s="9"/>
      <c r="L558" s="9"/>
      <c r="M558" s="9"/>
      <c r="N558" s="9"/>
      <c r="O558" s="9"/>
      <c r="P558" s="9"/>
      <c r="Q558" s="9"/>
      <c r="R558" s="9"/>
      <c r="S558" s="47"/>
    </row>
    <row r="559" spans="1:19" ht="12.75" customHeight="1" x14ac:dyDescent="0.2">
      <c r="A559" s="54">
        <v>5200</v>
      </c>
      <c r="B559" s="9">
        <v>5700</v>
      </c>
      <c r="C559" s="134">
        <v>5000</v>
      </c>
      <c r="D559" s="9">
        <f>4638-38</f>
        <v>4600</v>
      </c>
      <c r="E559" s="134">
        <v>4300</v>
      </c>
      <c r="F559" s="1153" t="s">
        <v>2469</v>
      </c>
      <c r="G559" s="371" t="s">
        <v>2724</v>
      </c>
      <c r="H559" s="9">
        <f>5100-500-500-1200</f>
        <v>2900</v>
      </c>
      <c r="I559" s="85">
        <f>IF(E559=H559,0,IF(E559=0,100,(H559-E559)/E559*100))</f>
        <v>-32.558139534883722</v>
      </c>
      <c r="J559" s="9">
        <f>ROUNDUP(H559+(H559*Assumptions!I$5),-2)</f>
        <v>3000</v>
      </c>
      <c r="K559" s="9">
        <f>ROUNDUP(J559+(J559*Assumptions!J$5),-2)</f>
        <v>3100</v>
      </c>
      <c r="L559" s="9">
        <f>ROUNDUP(K559+(K559*Assumptions!K$5),-2)</f>
        <v>3200</v>
      </c>
      <c r="M559" s="9">
        <f>ROUNDUP(L559+(L559*Assumptions!L$5),-2)</f>
        <v>3300</v>
      </c>
      <c r="N559" s="9">
        <f>ROUNDUP(M559+(M559*Assumptions!M$5),-2)</f>
        <v>3400</v>
      </c>
      <c r="O559" s="9">
        <f>ROUNDUP(N559+(N559*Assumptions!N$5),-2)</f>
        <v>3500</v>
      </c>
      <c r="P559" s="9">
        <f>ROUNDUP(O559+(O559*Assumptions!O$5),-2)</f>
        <v>3600</v>
      </c>
      <c r="Q559" s="9">
        <f>ROUNDUP(P559+(P559*Assumptions!P$5),-2)</f>
        <v>3700</v>
      </c>
      <c r="R559" s="9">
        <f>ROUNDUP(Q559+(Q559*Assumptions!Q$5),-2)</f>
        <v>3800</v>
      </c>
      <c r="S559" s="47">
        <f>ROUNDUP(R559+(R559*Assumptions!R$5),-2)</f>
        <v>3900</v>
      </c>
    </row>
    <row r="560" spans="1:19" ht="12.75" customHeight="1" x14ac:dyDescent="0.2">
      <c r="A560" s="54"/>
      <c r="B560" s="9"/>
      <c r="C560" s="9"/>
      <c r="D560" s="9"/>
      <c r="E560" s="9"/>
      <c r="F560" s="469"/>
      <c r="G560" s="247"/>
      <c r="H560" s="9"/>
      <c r="I560" s="85"/>
      <c r="J560" s="9"/>
      <c r="K560" s="9"/>
      <c r="L560" s="9"/>
      <c r="M560" s="9"/>
      <c r="N560" s="9"/>
      <c r="O560" s="9"/>
      <c r="P560" s="89"/>
      <c r="Q560" s="9"/>
      <c r="R560" s="9"/>
      <c r="S560" s="47"/>
    </row>
    <row r="561" spans="1:19" ht="12.75" customHeight="1" x14ac:dyDescent="0.2">
      <c r="A561" s="54"/>
      <c r="B561" s="9"/>
      <c r="C561" s="9"/>
      <c r="D561" s="9"/>
      <c r="E561" s="9"/>
      <c r="F561" s="469"/>
      <c r="G561" s="542" t="s">
        <v>3393</v>
      </c>
      <c r="H561" s="9"/>
      <c r="I561" s="85"/>
      <c r="J561" s="9"/>
      <c r="K561" s="9"/>
      <c r="L561" s="9"/>
      <c r="M561" s="9"/>
      <c r="N561" s="9"/>
      <c r="O561" s="9"/>
      <c r="P561" s="89"/>
      <c r="Q561" s="9"/>
      <c r="R561" s="9"/>
      <c r="S561" s="47"/>
    </row>
    <row r="562" spans="1:19" ht="12.75" customHeight="1" x14ac:dyDescent="0.2">
      <c r="A562" s="54">
        <v>13700</v>
      </c>
      <c r="B562" s="9">
        <v>15200</v>
      </c>
      <c r="C562" s="9">
        <v>11400</v>
      </c>
      <c r="D562" s="9">
        <f>10650+50</f>
        <v>10700</v>
      </c>
      <c r="E562" s="9">
        <v>10000</v>
      </c>
      <c r="F562" s="469" t="s">
        <v>1177</v>
      </c>
      <c r="G562" s="371" t="s">
        <v>1691</v>
      </c>
      <c r="H562" s="9">
        <f>12500-3000-2800</f>
        <v>6700</v>
      </c>
      <c r="I562" s="85">
        <f>IF(E562=H562,0,IF(E562=0,100,(H562-E562)/E562*100))</f>
        <v>-33</v>
      </c>
      <c r="J562" s="9">
        <v>10000</v>
      </c>
      <c r="K562" s="9">
        <f>ROUNDUP(J562+(J562*Assumptions!J$5),-2)</f>
        <v>10300</v>
      </c>
      <c r="L562" s="9">
        <f>ROUNDUP(K562+(K562*Assumptions!K$5),-2)</f>
        <v>10600</v>
      </c>
      <c r="M562" s="9">
        <f>ROUNDUP(L562+(L562*Assumptions!L$5),-2)</f>
        <v>10900</v>
      </c>
      <c r="N562" s="9">
        <f>ROUNDUP(M562+(M562*Assumptions!M$5),-2)</f>
        <v>11200</v>
      </c>
      <c r="O562" s="9">
        <f>ROUNDUP(N562+(N562*Assumptions!N$5),-2)</f>
        <v>11500</v>
      </c>
      <c r="P562" s="89">
        <f>ROUNDUP(O562+(O562*Assumptions!O$5),-2)</f>
        <v>11800</v>
      </c>
      <c r="Q562" s="9">
        <f>ROUNDUP(P562+(P562*Assumptions!P$5),-2)</f>
        <v>12100</v>
      </c>
      <c r="R562" s="9">
        <f>ROUNDUP(Q562+(Q562*Assumptions!Q$5),-2)</f>
        <v>12500</v>
      </c>
      <c r="S562" s="47">
        <f>ROUNDUP(R562+(R562*Assumptions!R$5),-2)</f>
        <v>12900</v>
      </c>
    </row>
    <row r="563" spans="1:19" ht="12.75" customHeight="1" x14ac:dyDescent="0.2">
      <c r="A563" s="54">
        <v>5700</v>
      </c>
      <c r="B563" s="9">
        <v>8000</v>
      </c>
      <c r="C563" s="9">
        <v>2100</v>
      </c>
      <c r="D563" s="9">
        <f>6899+1</f>
        <v>6900</v>
      </c>
      <c r="E563" s="9">
        <v>10500</v>
      </c>
      <c r="F563" s="469" t="s">
        <v>2680</v>
      </c>
      <c r="G563" s="772" t="s">
        <v>3039</v>
      </c>
      <c r="H563" s="9">
        <v>10000</v>
      </c>
      <c r="I563" s="85">
        <f>IF(E563=H563,0,IF(E563=0,100,(H563-E563)/E563*100))</f>
        <v>-4.7619047619047619</v>
      </c>
      <c r="J563" s="9">
        <v>10000</v>
      </c>
      <c r="K563" s="9">
        <f>ROUNDUP(J563+(J563*Assumptions!J$5),-2)</f>
        <v>10300</v>
      </c>
      <c r="L563" s="9">
        <f>ROUNDUP(K563+(K563*Assumptions!K$5),-2)</f>
        <v>10600</v>
      </c>
      <c r="M563" s="9">
        <f>ROUNDUP(L563+(L563*Assumptions!L$5),-2)</f>
        <v>10900</v>
      </c>
      <c r="N563" s="9">
        <f>ROUNDUP(M563+(M563*Assumptions!M$5),-2)</f>
        <v>11200</v>
      </c>
      <c r="O563" s="9">
        <f>ROUNDUP(N563+(N563*Assumptions!N$5),-2)</f>
        <v>11500</v>
      </c>
      <c r="P563" s="89">
        <f>ROUNDUP(O563+(O563*Assumptions!O$5),-2)</f>
        <v>11800</v>
      </c>
      <c r="Q563" s="9">
        <f>ROUNDUP(P563+(P563*Assumptions!P$5),-2)</f>
        <v>12100</v>
      </c>
      <c r="R563" s="9">
        <f>ROUNDUP(Q563+(Q563*Assumptions!Q$5),-2)</f>
        <v>12500</v>
      </c>
      <c r="S563" s="47">
        <f>ROUNDUP(R563+(R563*Assumptions!R$5),-2)</f>
        <v>12900</v>
      </c>
    </row>
    <row r="564" spans="1:19" ht="12.75" customHeight="1" x14ac:dyDescent="0.2">
      <c r="A564" s="54">
        <v>2600</v>
      </c>
      <c r="B564" s="9">
        <v>3100</v>
      </c>
      <c r="C564" s="9">
        <v>2700</v>
      </c>
      <c r="D564" s="9">
        <f>2983+17</f>
        <v>3000</v>
      </c>
      <c r="E564" s="9">
        <v>3000</v>
      </c>
      <c r="F564" s="469" t="s">
        <v>1179</v>
      </c>
      <c r="G564" s="662" t="s">
        <v>3395</v>
      </c>
      <c r="H564" s="9">
        <v>3000</v>
      </c>
      <c r="I564" s="85">
        <f>IF(E564=H564,0,IF(E564=0,100,(H564-E564)/E564*100))</f>
        <v>0</v>
      </c>
      <c r="J564" s="9">
        <v>3000</v>
      </c>
      <c r="K564" s="9">
        <f>ROUNDUP(J564+(J564*Assumptions!J$5),-2)</f>
        <v>3100</v>
      </c>
      <c r="L564" s="9">
        <f>ROUNDUP(K564+(K564*Assumptions!K$5),-2)</f>
        <v>3200</v>
      </c>
      <c r="M564" s="9">
        <f>ROUNDUP(L564+(L564*Assumptions!L$5),-2)</f>
        <v>3300</v>
      </c>
      <c r="N564" s="9">
        <f>ROUNDUP(M564+(M564*Assumptions!M$5),-2)</f>
        <v>3400</v>
      </c>
      <c r="O564" s="9">
        <f>ROUNDUP(N564+(N564*Assumptions!N$5),-2)</f>
        <v>3500</v>
      </c>
      <c r="P564" s="89">
        <f>ROUNDUP(O564+(O564*Assumptions!O$5),-2)</f>
        <v>3600</v>
      </c>
      <c r="Q564" s="9">
        <f>ROUNDUP(P564+(P564*Assumptions!P$5),-2)</f>
        <v>3700</v>
      </c>
      <c r="R564" s="9">
        <f>ROUNDUP(Q564+(Q564*Assumptions!Q$5),-2)</f>
        <v>3800</v>
      </c>
      <c r="S564" s="47">
        <f>ROUNDUP(R564+(R564*Assumptions!R$5),-2)</f>
        <v>3900</v>
      </c>
    </row>
    <row r="565" spans="1:19" ht="12.75" customHeight="1" x14ac:dyDescent="0.2">
      <c r="A565" s="54">
        <v>4100</v>
      </c>
      <c r="B565" s="9">
        <v>4100</v>
      </c>
      <c r="C565" s="9">
        <v>3700</v>
      </c>
      <c r="D565" s="9">
        <f>4356+44</f>
        <v>4400</v>
      </c>
      <c r="E565" s="9">
        <v>4100</v>
      </c>
      <c r="F565" s="469" t="s">
        <v>120</v>
      </c>
      <c r="G565" s="662" t="s">
        <v>3394</v>
      </c>
      <c r="H565" s="9">
        <v>4500</v>
      </c>
      <c r="I565" s="85">
        <f>IF(E565=H565,0,IF(E565=0,100,(H565-E565)/E565*100))</f>
        <v>9.7560975609756095</v>
      </c>
      <c r="J565" s="9">
        <v>4500</v>
      </c>
      <c r="K565" s="9">
        <f>ROUNDUP(J565+(J565*Assumptions!J$5),-2)</f>
        <v>4700</v>
      </c>
      <c r="L565" s="9">
        <f>ROUNDUP(K565+(K565*Assumptions!K$5),-2)</f>
        <v>4900</v>
      </c>
      <c r="M565" s="9">
        <f>ROUNDUP(L565+(L565*Assumptions!L$5),-2)</f>
        <v>5100</v>
      </c>
      <c r="N565" s="9">
        <f>ROUNDUP(M565+(M565*Assumptions!M$5),-2)</f>
        <v>5300</v>
      </c>
      <c r="O565" s="9">
        <f>ROUNDUP(N565+(N565*Assumptions!N$5),-2)</f>
        <v>5500</v>
      </c>
      <c r="P565" s="89">
        <f>ROUNDUP(O565+(O565*Assumptions!O$5),-2)</f>
        <v>5700</v>
      </c>
      <c r="Q565" s="9">
        <f>ROUNDUP(P565+(P565*Assumptions!P$5),-2)</f>
        <v>5900</v>
      </c>
      <c r="R565" s="9">
        <f>ROUNDUP(Q565+(Q565*Assumptions!Q$5),-2)</f>
        <v>6100</v>
      </c>
      <c r="S565" s="47">
        <f>ROUNDUP(R565+(R565*Assumptions!R$5),-2)</f>
        <v>6300</v>
      </c>
    </row>
    <row r="566" spans="1:19" ht="12.75" customHeight="1" x14ac:dyDescent="0.2">
      <c r="A566" s="54"/>
      <c r="B566" s="9"/>
      <c r="C566" s="9"/>
      <c r="D566" s="9"/>
      <c r="E566" s="9"/>
      <c r="F566" s="469"/>
      <c r="G566" s="662"/>
      <c r="H566" s="9"/>
      <c r="I566" s="85"/>
      <c r="J566" s="9"/>
      <c r="K566" s="9"/>
      <c r="L566" s="9"/>
      <c r="M566" s="9"/>
      <c r="N566" s="9"/>
      <c r="O566" s="9"/>
      <c r="P566" s="89"/>
      <c r="Q566" s="9"/>
      <c r="R566" s="9"/>
      <c r="S566" s="47"/>
    </row>
    <row r="567" spans="1:19" ht="12.75" customHeight="1" x14ac:dyDescent="0.2">
      <c r="A567" s="54"/>
      <c r="B567" s="9"/>
      <c r="C567" s="9"/>
      <c r="D567" s="9"/>
      <c r="E567" s="9"/>
      <c r="F567" s="469"/>
      <c r="G567" s="912" t="s">
        <v>6484</v>
      </c>
      <c r="H567" s="9"/>
      <c r="I567" s="85"/>
      <c r="J567" s="9"/>
      <c r="K567" s="9"/>
      <c r="L567" s="9"/>
      <c r="M567" s="9"/>
      <c r="N567" s="9"/>
      <c r="O567" s="9"/>
      <c r="P567" s="89"/>
      <c r="Q567" s="9"/>
      <c r="R567" s="9"/>
      <c r="S567" s="47"/>
    </row>
    <row r="568" spans="1:19" ht="12.75" customHeight="1" x14ac:dyDescent="0.2">
      <c r="A568" s="54">
        <v>100</v>
      </c>
      <c r="B568" s="9">
        <v>2400</v>
      </c>
      <c r="C568" s="9">
        <v>1900</v>
      </c>
      <c r="D568" s="9">
        <f>1742-42</f>
        <v>1700</v>
      </c>
      <c r="E568" s="9">
        <v>1500</v>
      </c>
      <c r="F568" s="769" t="s">
        <v>3150</v>
      </c>
      <c r="G568" s="662" t="s">
        <v>3247</v>
      </c>
      <c r="H568" s="9">
        <v>0</v>
      </c>
      <c r="I568" s="85">
        <f>IF(E568=H568,0,IF(E568=0,100,(H568-E568)/E568*100))</f>
        <v>-100</v>
      </c>
      <c r="J568" s="9">
        <v>0</v>
      </c>
      <c r="K568" s="9">
        <f>ROUNDUP(J568+(J568*Assumptions!J$5),-2)</f>
        <v>0</v>
      </c>
      <c r="L568" s="9">
        <f>ROUNDUP(K568+(K568*Assumptions!K$5),-2)</f>
        <v>0</v>
      </c>
      <c r="M568" s="9">
        <f>ROUNDUP(L568+(L568*Assumptions!L$5),-2)</f>
        <v>0</v>
      </c>
      <c r="N568" s="9">
        <f>ROUNDUP(M568+(M568*Assumptions!M$5),-2)</f>
        <v>0</v>
      </c>
      <c r="O568" s="9">
        <f>ROUNDUP(N568+(N568*Assumptions!N$5),-2)</f>
        <v>0</v>
      </c>
      <c r="P568" s="89">
        <f>ROUNDUP(O568+(O568*Assumptions!O$5),-2)</f>
        <v>0</v>
      </c>
      <c r="Q568" s="9">
        <f>ROUNDUP(P568+(P568*Assumptions!P$5),-2)</f>
        <v>0</v>
      </c>
      <c r="R568" s="9">
        <f>ROUNDUP(Q568+(Q568*Assumptions!Q$5),-2)</f>
        <v>0</v>
      </c>
      <c r="S568" s="47">
        <f>ROUNDUP(R568+(R568*Assumptions!R$5),-2)</f>
        <v>0</v>
      </c>
    </row>
    <row r="569" spans="1:19" ht="12.75" customHeight="1" x14ac:dyDescent="0.2">
      <c r="A569" s="54">
        <v>3700</v>
      </c>
      <c r="B569" s="9">
        <v>1400</v>
      </c>
      <c r="C569" s="9">
        <v>3500</v>
      </c>
      <c r="D569" s="9">
        <f>3779+21</f>
        <v>3800</v>
      </c>
      <c r="E569" s="9">
        <v>6400</v>
      </c>
      <c r="F569" s="469" t="s">
        <v>1178</v>
      </c>
      <c r="G569" s="371" t="s">
        <v>2826</v>
      </c>
      <c r="H569" s="9">
        <v>3800</v>
      </c>
      <c r="I569" s="85">
        <f>IF(E569=H569,0,IF(E569=0,100,(H569-E569)/E569*100))</f>
        <v>-40.625</v>
      </c>
      <c r="J569" s="9">
        <v>4000</v>
      </c>
      <c r="K569" s="9">
        <f>ROUNDUP(J569+(J569*Assumptions!J$5),-2)</f>
        <v>4100</v>
      </c>
      <c r="L569" s="9">
        <f>ROUNDUP(K569+(K569*Assumptions!K$5),-2)</f>
        <v>4300</v>
      </c>
      <c r="M569" s="9">
        <f>ROUNDUP(L569+(L569*Assumptions!L$5),-2)</f>
        <v>4500</v>
      </c>
      <c r="N569" s="9">
        <f>ROUNDUP(M569+(M569*Assumptions!M$5),-2)</f>
        <v>4700</v>
      </c>
      <c r="O569" s="9">
        <f>ROUNDUP(N569+(N569*Assumptions!N$5),-2)</f>
        <v>4900</v>
      </c>
      <c r="P569" s="89">
        <f>ROUNDUP(O569+(O569*Assumptions!O$5),-2)</f>
        <v>5100</v>
      </c>
      <c r="Q569" s="9">
        <f>ROUNDUP(P569+(P569*Assumptions!P$5),-2)</f>
        <v>5300</v>
      </c>
      <c r="R569" s="9">
        <f>ROUNDUP(Q569+(Q569*Assumptions!Q$5),-2)</f>
        <v>5500</v>
      </c>
      <c r="S569" s="47">
        <f>ROUNDUP(R569+(R569*Assumptions!R$5),-2)</f>
        <v>5700</v>
      </c>
    </row>
    <row r="570" spans="1:19" ht="12.75" customHeight="1" x14ac:dyDescent="0.2">
      <c r="A570" s="54">
        <v>7500</v>
      </c>
      <c r="B570" s="9">
        <v>8200</v>
      </c>
      <c r="C570" s="9">
        <v>8400</v>
      </c>
      <c r="D570" s="9">
        <v>8500</v>
      </c>
      <c r="E570" s="9">
        <v>8300</v>
      </c>
      <c r="F570" s="469" t="s">
        <v>1180</v>
      </c>
      <c r="G570" s="662" t="s">
        <v>4576</v>
      </c>
      <c r="H570" s="9">
        <f>9000-500+500</f>
        <v>9000</v>
      </c>
      <c r="I570" s="85">
        <f>IF(E570=H570,0,IF(E570=0,100,(H570-E570)/E570*100))</f>
        <v>8.4337349397590362</v>
      </c>
      <c r="J570" s="9">
        <v>8500</v>
      </c>
      <c r="K570" s="9">
        <f>ROUNDUP(J570+(J570*Assumptions!J$5),-2)</f>
        <v>8800</v>
      </c>
      <c r="L570" s="9">
        <f>ROUNDUP(K570+(K570*Assumptions!K$5),-2)</f>
        <v>9100</v>
      </c>
      <c r="M570" s="9">
        <f>ROUNDUP(L570+(L570*Assumptions!L$5),-2)</f>
        <v>9400</v>
      </c>
      <c r="N570" s="9">
        <f>ROUNDUP(M570+(M570*Assumptions!M$5),-2)</f>
        <v>9700</v>
      </c>
      <c r="O570" s="9">
        <f>ROUNDUP(N570+(N570*Assumptions!N$5),-2)</f>
        <v>10000</v>
      </c>
      <c r="P570" s="89">
        <f>ROUNDUP(O570+(O570*Assumptions!O$5),-2)</f>
        <v>10300</v>
      </c>
      <c r="Q570" s="9">
        <f>ROUNDUP(P570+(P570*Assumptions!P$5),-2)</f>
        <v>10600</v>
      </c>
      <c r="R570" s="9">
        <f>ROUNDUP(Q570+(Q570*Assumptions!Q$5),-2)</f>
        <v>10900</v>
      </c>
      <c r="S570" s="47">
        <f>ROUNDUP(R570+(R570*Assumptions!R$5),-2)</f>
        <v>11200</v>
      </c>
    </row>
    <row r="571" spans="1:19" ht="12.75" customHeight="1" x14ac:dyDescent="0.2">
      <c r="A571" s="54"/>
      <c r="B571" s="9"/>
      <c r="C571" s="134"/>
      <c r="D571" s="9"/>
      <c r="E571" s="134"/>
      <c r="F571" s="1153"/>
      <c r="G571" s="371"/>
      <c r="H571" s="9"/>
      <c r="I571" s="85"/>
      <c r="J571" s="9"/>
      <c r="K571" s="9"/>
      <c r="L571" s="9"/>
      <c r="M571" s="9"/>
      <c r="N571" s="9"/>
      <c r="O571" s="9"/>
      <c r="P571" s="9"/>
      <c r="Q571" s="9"/>
      <c r="R571" s="9"/>
      <c r="S571" s="47"/>
    </row>
    <row r="572" spans="1:19" ht="12.75" customHeight="1" x14ac:dyDescent="0.2">
      <c r="A572" s="54"/>
      <c r="B572" s="9"/>
      <c r="C572" s="9"/>
      <c r="D572" s="9"/>
      <c r="E572" s="9"/>
      <c r="F572" s="469"/>
      <c r="G572" s="320" t="s">
        <v>1112</v>
      </c>
      <c r="H572" s="9"/>
      <c r="I572" s="85"/>
      <c r="J572" s="9"/>
      <c r="K572" s="9"/>
      <c r="L572" s="9"/>
      <c r="M572" s="9"/>
      <c r="N572" s="9"/>
      <c r="O572" s="9"/>
      <c r="P572" s="9"/>
      <c r="Q572" s="9"/>
      <c r="R572" s="9"/>
      <c r="S572" s="47"/>
    </row>
    <row r="573" spans="1:19" ht="12.75" customHeight="1" x14ac:dyDescent="0.2">
      <c r="A573" s="54">
        <v>3300</v>
      </c>
      <c r="B573" s="9">
        <v>2900</v>
      </c>
      <c r="C573" s="9">
        <v>2500</v>
      </c>
      <c r="D573" s="9">
        <f>ROUND('Debt-Gen'!J$10,-2)</f>
        <v>2200</v>
      </c>
      <c r="E573" s="134">
        <v>1800</v>
      </c>
      <c r="F573" s="1153" t="s">
        <v>2295</v>
      </c>
      <c r="G573" s="46" t="s">
        <v>1839</v>
      </c>
      <c r="H573" s="9">
        <f>ROUND('Debt-Gen'!N$10,-2)</f>
        <v>1300</v>
      </c>
      <c r="I573" s="85">
        <f>IF(E573=H573,0,IF(E573=0,100,(H573-E573)/E573*100))</f>
        <v>-27.777777777777779</v>
      </c>
      <c r="J573" s="9">
        <f>ROUND('Debt-Gen'!P$10,-2)</f>
        <v>800</v>
      </c>
      <c r="K573" s="9">
        <f>ROUND('Debt-Gen'!R$10,-2)</f>
        <v>300</v>
      </c>
      <c r="L573" s="9">
        <f>ROUND('Debt-Gen'!T$10,-2)</f>
        <v>0</v>
      </c>
      <c r="M573" s="9">
        <f>ROUND('Debt-Gen'!V$10,-2)</f>
        <v>0</v>
      </c>
      <c r="N573" s="9">
        <f>ROUND('Debt-Gen'!X$10,-2)</f>
        <v>0</v>
      </c>
      <c r="O573" s="9">
        <f>ROUND('Debt-Gen'!Z$10,-2)</f>
        <v>0</v>
      </c>
      <c r="P573" s="9">
        <f>ROUND('Debt-Gen'!AB$10,-2)</f>
        <v>0</v>
      </c>
      <c r="Q573" s="9">
        <f>ROUND('Debt-Gen'!AD$10,-2)</f>
        <v>0</v>
      </c>
      <c r="R573" s="9">
        <f>ROUND('Debt-Gen'!AF$10,-2)</f>
        <v>0</v>
      </c>
      <c r="S573" s="47">
        <f>ROUND('Debt-Gen'!AG$10,-2)</f>
        <v>0</v>
      </c>
    </row>
    <row r="574" spans="1:19" ht="12.75" customHeight="1" x14ac:dyDescent="0.2">
      <c r="A574" s="54">
        <v>11100</v>
      </c>
      <c r="B574" s="9">
        <v>10400</v>
      </c>
      <c r="C574" s="9">
        <f>ROUND('Debt-Gen'!H13,-2)</f>
        <v>9600</v>
      </c>
      <c r="D574" s="9">
        <f>ROUND('Debt-Gen'!J13,-2)</f>
        <v>8900</v>
      </c>
      <c r="E574" s="134">
        <v>7900</v>
      </c>
      <c r="F574" s="1153" t="s">
        <v>1456</v>
      </c>
      <c r="G574" s="662" t="s">
        <v>4489</v>
      </c>
      <c r="H574" s="9">
        <f>ROUND('Debt-Gen'!N13,-2)</f>
        <v>7000</v>
      </c>
      <c r="I574" s="85">
        <f>IF(E574=H574,0,IF(E574=0,100,(H574-E574)/E574*100))</f>
        <v>-11.39240506329114</v>
      </c>
      <c r="J574" s="9">
        <f>ROUND('Debt-Gen'!P13,-2)</f>
        <v>6000</v>
      </c>
      <c r="K574" s="9">
        <f>ROUND('Debt-Gen'!R13,-2)</f>
        <v>5000</v>
      </c>
      <c r="L574" s="9">
        <f>ROUND('Debt-Gen'!T13,-2)</f>
        <v>3700</v>
      </c>
      <c r="M574" s="9">
        <f>ROUND('Debt-Gen'!V13,-2)</f>
        <v>2500</v>
      </c>
      <c r="N574" s="9">
        <f>ROUND('Debt-Gen'!X13,-2)</f>
        <v>1100</v>
      </c>
      <c r="O574" s="9">
        <f>ROUND('Debt-Gen'!Z13,-2)</f>
        <v>0</v>
      </c>
      <c r="P574" s="9">
        <f>ROUND('Debt-Gen'!AB13,-2)</f>
        <v>0</v>
      </c>
      <c r="Q574" s="9">
        <f>ROUND('Debt-Gen'!AD13,-2)</f>
        <v>0</v>
      </c>
      <c r="R574" s="9">
        <f>ROUND('Debt-Gen'!AF13,-2)</f>
        <v>0</v>
      </c>
      <c r="S574" s="47">
        <f>ROUND('Debt-Gen'!AG13,-2)</f>
        <v>0</v>
      </c>
    </row>
    <row r="575" spans="1:19" s="39" customFormat="1" ht="12.75" customHeight="1" x14ac:dyDescent="0.2">
      <c r="A575" s="54"/>
      <c r="B575" s="9"/>
      <c r="C575" s="9"/>
      <c r="D575" s="9"/>
      <c r="E575" s="134"/>
      <c r="F575" s="1153"/>
      <c r="G575" s="662"/>
      <c r="H575" s="9"/>
      <c r="I575" s="85"/>
      <c r="J575" s="9"/>
      <c r="K575" s="9"/>
      <c r="L575" s="9"/>
      <c r="M575" s="9"/>
      <c r="N575" s="9"/>
      <c r="O575" s="9"/>
      <c r="P575" s="9"/>
      <c r="Q575" s="9"/>
      <c r="R575" s="9"/>
      <c r="S575" s="47"/>
    </row>
    <row r="576" spans="1:19" ht="12.75" customHeight="1" x14ac:dyDescent="0.2">
      <c r="A576" s="54"/>
      <c r="B576" s="9"/>
      <c r="C576" s="9"/>
      <c r="D576" s="9"/>
      <c r="E576" s="134"/>
      <c r="F576" s="1153"/>
      <c r="G576" s="912" t="s">
        <v>261</v>
      </c>
      <c r="H576" s="9"/>
      <c r="I576" s="85"/>
      <c r="J576" s="9"/>
      <c r="K576" s="9"/>
      <c r="L576" s="9"/>
      <c r="M576" s="9"/>
      <c r="N576" s="9"/>
      <c r="O576" s="9"/>
      <c r="P576" s="9"/>
      <c r="Q576" s="9"/>
      <c r="R576" s="9"/>
      <c r="S576" s="47"/>
    </row>
    <row r="577" spans="1:19" ht="12.75" customHeight="1" x14ac:dyDescent="0.2">
      <c r="A577" s="54">
        <v>274700</v>
      </c>
      <c r="B577" s="9">
        <v>2600</v>
      </c>
      <c r="C577" s="134">
        <v>49600</v>
      </c>
      <c r="D577" s="134">
        <v>50900</v>
      </c>
      <c r="E577" s="134">
        <v>52600</v>
      </c>
      <c r="F577" s="1153" t="s">
        <v>1762</v>
      </c>
      <c r="G577" s="420" t="s">
        <v>2775</v>
      </c>
      <c r="H577" s="9">
        <v>51000</v>
      </c>
      <c r="I577" s="85">
        <f>IF(E577=H577,0,IF(E577=0,100,(H577-E577)/E577*100))</f>
        <v>-3.041825095057034</v>
      </c>
      <c r="J577" s="9">
        <v>55000</v>
      </c>
      <c r="K577" s="9">
        <f>ROUNDUP(J577+(J577*Assumptions!J$18),-2)</f>
        <v>56100</v>
      </c>
      <c r="L577" s="9">
        <f>ROUNDUP(K577+(K577*Assumptions!K$18),-2)</f>
        <v>57300</v>
      </c>
      <c r="M577" s="9">
        <f>ROUNDUP(L577+(L577*Assumptions!L$18),-2)</f>
        <v>58500</v>
      </c>
      <c r="N577" s="9">
        <f>ROUNDUP(M577+(M577*Assumptions!M$18),-2)</f>
        <v>59700</v>
      </c>
      <c r="O577" s="9">
        <f>ROUNDUP(N577+(N577*Assumptions!N$18),-2)</f>
        <v>60900</v>
      </c>
      <c r="P577" s="9">
        <f>ROUNDUP(O577+(O577*Assumptions!O$18),-2)</f>
        <v>62200</v>
      </c>
      <c r="Q577" s="9">
        <f>ROUNDUP(P577+(P577*Assumptions!P$18),-2)</f>
        <v>63500</v>
      </c>
      <c r="R577" s="9">
        <f>ROUNDUP(Q577+(Q577*Assumptions!Q$18),-2)</f>
        <v>64800</v>
      </c>
      <c r="S577" s="47">
        <f>ROUNDUP(R577+(R577*Assumptions!R$18),-2)</f>
        <v>66100</v>
      </c>
    </row>
    <row r="578" spans="1:19" ht="12.75" customHeight="1" x14ac:dyDescent="0.2">
      <c r="A578" s="54">
        <v>438900</v>
      </c>
      <c r="B578" s="9">
        <v>490200</v>
      </c>
      <c r="C578" s="9">
        <v>530000</v>
      </c>
      <c r="D578" s="9">
        <v>540700</v>
      </c>
      <c r="E578" s="9">
        <v>562500</v>
      </c>
      <c r="F578" s="1153" t="s">
        <v>1106</v>
      </c>
      <c r="G578" s="9" t="s">
        <v>718</v>
      </c>
      <c r="H578" s="9">
        <v>540600</v>
      </c>
      <c r="I578" s="85">
        <f>IF(E578=H578,0,IF(E578=0,100,(H578-E578)/E578*100))</f>
        <v>-3.8933333333333335</v>
      </c>
      <c r="J578" s="9">
        <f>ROUNDUP(H578+(H578*Assumptions!I$18),-2)+8000000/100/2+20000</f>
        <v>611500</v>
      </c>
      <c r="K578" s="9">
        <f>ROUNDUP(J578+(J578*Assumptions!J$18),-2)+8000000/100</f>
        <v>703800</v>
      </c>
      <c r="L578" s="9">
        <f>ROUNDUP(K578+(K578*Assumptions!K$18),-2)</f>
        <v>717900</v>
      </c>
      <c r="M578" s="9">
        <f>ROUNDUP(L578+(L578*Assumptions!L$18),-2)</f>
        <v>732300</v>
      </c>
      <c r="N578" s="9">
        <f>ROUNDUP(M578+(M578*Assumptions!M$18),-2)</f>
        <v>747000</v>
      </c>
      <c r="O578" s="9">
        <f>ROUNDUP(N578+(N578*Assumptions!N$18),-2)</f>
        <v>762000</v>
      </c>
      <c r="P578" s="9">
        <f>ROUNDUP(O578+(O578*Assumptions!O$18),-2)</f>
        <v>777300</v>
      </c>
      <c r="Q578" s="9">
        <f>ROUNDUP(P578+(P578*Assumptions!P$18),-2)</f>
        <v>792900</v>
      </c>
      <c r="R578" s="9">
        <f>ROUNDUP(Q578+(Q578*Assumptions!Q$18),-2)</f>
        <v>808800</v>
      </c>
      <c r="S578" s="47">
        <f>ROUNDUP(R578+(R578*Assumptions!R$18),-2)</f>
        <v>825000</v>
      </c>
    </row>
    <row r="579" spans="1:19" ht="12.75" customHeight="1" x14ac:dyDescent="0.2">
      <c r="A579" s="54">
        <v>180800</v>
      </c>
      <c r="B579" s="9">
        <v>200000</v>
      </c>
      <c r="C579" s="9">
        <v>260000</v>
      </c>
      <c r="D579" s="9">
        <v>270100</v>
      </c>
      <c r="E579" s="9">
        <v>270400</v>
      </c>
      <c r="F579" s="469" t="s">
        <v>121</v>
      </c>
      <c r="G579" s="55" t="s">
        <v>523</v>
      </c>
      <c r="H579" s="9">
        <v>265200</v>
      </c>
      <c r="I579" s="85">
        <f>IF(E579=H579,0,IF(E579=0,100,(H579-E579)/E579*100))</f>
        <v>-1.9230769230769231</v>
      </c>
      <c r="J579" s="9">
        <v>275000</v>
      </c>
      <c r="K579" s="9">
        <f>ROUNDUP(J579+(J579*Assumptions!J$18),-2)</f>
        <v>280500</v>
      </c>
      <c r="L579" s="9">
        <f>ROUNDUP(K579+(K579*Assumptions!K$18),-2)</f>
        <v>286200</v>
      </c>
      <c r="M579" s="9">
        <f>ROUNDUP(L579+(L579*Assumptions!L$18),-2)</f>
        <v>292000</v>
      </c>
      <c r="N579" s="9">
        <f>ROUNDUP(M579+(M579*Assumptions!M$18),-2)</f>
        <v>297900</v>
      </c>
      <c r="O579" s="9">
        <f>ROUNDUP(N579+(N579*Assumptions!N$18),-2)</f>
        <v>303900</v>
      </c>
      <c r="P579" s="9">
        <f>ROUNDUP(O579+(O579*Assumptions!O$18),-2)</f>
        <v>310000</v>
      </c>
      <c r="Q579" s="9">
        <f>ROUNDUP(P579+(P579*Assumptions!P$18),-2)</f>
        <v>316200</v>
      </c>
      <c r="R579" s="9">
        <f>ROUNDUP(Q579+(Q579*Assumptions!Q$18),-2)</f>
        <v>322600</v>
      </c>
      <c r="S579" s="47">
        <f>ROUNDUP(R579+(R579*Assumptions!R$18),-2)</f>
        <v>329100</v>
      </c>
    </row>
    <row r="580" spans="1:19" ht="12.75" customHeight="1" thickBot="1" x14ac:dyDescent="0.25">
      <c r="A580" s="54"/>
      <c r="B580" s="9"/>
      <c r="C580" s="9"/>
      <c r="D580" s="9"/>
      <c r="E580" s="9"/>
      <c r="F580" s="70"/>
      <c r="G580" s="50"/>
      <c r="H580" s="9"/>
      <c r="I580" s="85"/>
      <c r="J580" s="9"/>
      <c r="K580" s="9"/>
      <c r="L580" s="9"/>
      <c r="M580" s="9"/>
      <c r="N580" s="9"/>
      <c r="O580" s="9"/>
      <c r="P580" s="9"/>
      <c r="Q580" s="9"/>
      <c r="R580" s="9"/>
      <c r="S580" s="47"/>
    </row>
    <row r="581" spans="1:19" ht="12.75" customHeight="1" x14ac:dyDescent="0.2">
      <c r="A581" s="52">
        <f>SUM(A461:A580)</f>
        <v>1539100</v>
      </c>
      <c r="B581" s="16">
        <f>SUM(B461:B580)</f>
        <v>1594700</v>
      </c>
      <c r="C581" s="16">
        <f>SUM(C461:C580)</f>
        <v>1823100</v>
      </c>
      <c r="D581" s="16">
        <f>SUM(D461:D580)</f>
        <v>1875900</v>
      </c>
      <c r="E581" s="16">
        <f>SUM(E461:E580)</f>
        <v>1924100</v>
      </c>
      <c r="F581" s="1182"/>
      <c r="G581" s="59" t="s">
        <v>556</v>
      </c>
      <c r="H581" s="16">
        <f>SUM(H461:H580)</f>
        <v>1946600</v>
      </c>
      <c r="I581" s="127">
        <f>IF(E581=H581,0,IF(E581=0,100,(H581-E581)/E581*100))</f>
        <v>1.1693778909620083</v>
      </c>
      <c r="J581" s="16">
        <f t="shared" ref="J581:S581" si="434">SUM(J461:J580)</f>
        <v>2270500</v>
      </c>
      <c r="K581" s="16">
        <f t="shared" si="434"/>
        <v>2615200</v>
      </c>
      <c r="L581" s="16">
        <f t="shared" si="434"/>
        <v>2676500</v>
      </c>
      <c r="M581" s="16">
        <f t="shared" si="434"/>
        <v>2739600</v>
      </c>
      <c r="N581" s="16">
        <f t="shared" si="434"/>
        <v>2803500</v>
      </c>
      <c r="O581" s="16">
        <f t="shared" si="434"/>
        <v>2869700</v>
      </c>
      <c r="P581" s="16">
        <f t="shared" si="434"/>
        <v>2938600</v>
      </c>
      <c r="Q581" s="16">
        <f t="shared" si="434"/>
        <v>3008600</v>
      </c>
      <c r="R581" s="16">
        <f t="shared" si="434"/>
        <v>3080600</v>
      </c>
      <c r="S581" s="60">
        <f t="shared" si="434"/>
        <v>3154100</v>
      </c>
    </row>
    <row r="582" spans="1:19" ht="12.75" customHeight="1" x14ac:dyDescent="0.2">
      <c r="A582" s="54"/>
      <c r="B582" s="9"/>
      <c r="C582" s="9"/>
      <c r="D582" s="9"/>
      <c r="E582" s="9"/>
      <c r="F582" s="1153"/>
      <c r="G582" s="55"/>
      <c r="H582" s="9"/>
      <c r="I582" s="85"/>
      <c r="J582" s="9"/>
      <c r="K582" s="9"/>
      <c r="L582" s="9"/>
      <c r="M582" s="9"/>
      <c r="N582" s="9"/>
      <c r="O582" s="9"/>
      <c r="P582" s="9"/>
      <c r="Q582" s="9"/>
      <c r="R582" s="9"/>
      <c r="S582" s="61"/>
    </row>
    <row r="583" spans="1:19" s="39" customFormat="1" ht="12.75" customHeight="1" x14ac:dyDescent="0.2">
      <c r="A583" s="24">
        <f>A459-A581</f>
        <v>-1270100</v>
      </c>
      <c r="B583" s="21">
        <f>B459-B581</f>
        <v>-1281000</v>
      </c>
      <c r="C583" s="21">
        <f>C459-C581</f>
        <v>-1405500</v>
      </c>
      <c r="D583" s="21">
        <f>D459-D581</f>
        <v>-1432600</v>
      </c>
      <c r="E583" s="21">
        <f>E459-E581</f>
        <v>-1470600</v>
      </c>
      <c r="F583" s="1182"/>
      <c r="G583" s="1161" t="s">
        <v>1002</v>
      </c>
      <c r="H583" s="21">
        <f>H459-H581</f>
        <v>-1481000</v>
      </c>
      <c r="I583" s="126">
        <f>IF(E583=H583,0,IF(E583=0,100,(H583-E583)/E583*100))</f>
        <v>0.70719434244526036</v>
      </c>
      <c r="J583" s="21">
        <f t="shared" ref="J583:S583" si="435">J459-J581</f>
        <v>-1656600</v>
      </c>
      <c r="K583" s="21">
        <f t="shared" si="435"/>
        <v>-1868400</v>
      </c>
      <c r="L583" s="21">
        <f t="shared" si="435"/>
        <v>-1910300</v>
      </c>
      <c r="M583" s="21">
        <f t="shared" si="435"/>
        <v>-1953400</v>
      </c>
      <c r="N583" s="21">
        <f t="shared" si="435"/>
        <v>-1996700</v>
      </c>
      <c r="O583" s="21">
        <f t="shared" si="435"/>
        <v>-2041800</v>
      </c>
      <c r="P583" s="21">
        <f t="shared" si="435"/>
        <v>-2089000</v>
      </c>
      <c r="Q583" s="21">
        <f t="shared" si="435"/>
        <v>-2136600</v>
      </c>
      <c r="R583" s="21">
        <f t="shared" si="435"/>
        <v>-2185700</v>
      </c>
      <c r="S583" s="62">
        <f t="shared" si="435"/>
        <v>-2235900</v>
      </c>
    </row>
    <row r="584" spans="1:19" ht="12.75" customHeight="1" x14ac:dyDescent="0.2">
      <c r="A584" s="54">
        <f>SUM(A576:A580)</f>
        <v>894400</v>
      </c>
      <c r="B584" s="9">
        <f>SUM(B576:B580)</f>
        <v>692800</v>
      </c>
      <c r="C584" s="9">
        <f>SUM(C576:C580)</f>
        <v>839600</v>
      </c>
      <c r="D584" s="9">
        <f>SUM(D576:D580)</f>
        <v>861700</v>
      </c>
      <c r="E584" s="9">
        <f>SUM(E576:E580)</f>
        <v>885500</v>
      </c>
      <c r="F584" s="1153"/>
      <c r="G584" s="217" t="str">
        <f>F34</f>
        <v>Add Back Depreciation</v>
      </c>
      <c r="H584" s="9">
        <f>SUM(H576:H580)</f>
        <v>856800</v>
      </c>
      <c r="I584" s="85">
        <f>IF(E584=H584,0,IF(E584=0,100,(H584-E584)/E584*100))</f>
        <v>-3.2411067193675889</v>
      </c>
      <c r="J584" s="9">
        <f t="shared" ref="J584:R584" si="436">SUM(J576:J580)</f>
        <v>941500</v>
      </c>
      <c r="K584" s="9">
        <f t="shared" si="436"/>
        <v>1040400</v>
      </c>
      <c r="L584" s="9">
        <f t="shared" si="436"/>
        <v>1061400</v>
      </c>
      <c r="M584" s="9">
        <f t="shared" si="436"/>
        <v>1082800</v>
      </c>
      <c r="N584" s="9">
        <f t="shared" si="436"/>
        <v>1104600</v>
      </c>
      <c r="O584" s="9">
        <f t="shared" si="436"/>
        <v>1126800</v>
      </c>
      <c r="P584" s="9">
        <f t="shared" si="436"/>
        <v>1149500</v>
      </c>
      <c r="Q584" s="9">
        <f t="shared" si="436"/>
        <v>1172600</v>
      </c>
      <c r="R584" s="9">
        <f t="shared" si="436"/>
        <v>1196200</v>
      </c>
      <c r="S584" s="61">
        <f t="shared" ref="S584" si="437">SUM(S576:S580)</f>
        <v>1220200</v>
      </c>
    </row>
    <row r="585" spans="1:19" s="46" customFormat="1" ht="12.75" customHeight="1" x14ac:dyDescent="0.2">
      <c r="A585" s="128">
        <f>A583+A584</f>
        <v>-375700</v>
      </c>
      <c r="B585" s="280">
        <f>B583+B584</f>
        <v>-588200</v>
      </c>
      <c r="C585" s="280">
        <f>C583+C584</f>
        <v>-565900</v>
      </c>
      <c r="D585" s="280">
        <f>D583+D584</f>
        <v>-570900</v>
      </c>
      <c r="E585" s="280">
        <f>E583+E584</f>
        <v>-585100</v>
      </c>
      <c r="F585" s="367"/>
      <c r="G585" s="360" t="s">
        <v>1659</v>
      </c>
      <c r="H585" s="280">
        <f>H583+H584</f>
        <v>-624200</v>
      </c>
      <c r="I585" s="278">
        <f>IF(E585=H585,0,IF(E585=0,100,(H585-E585)/E585*100))</f>
        <v>6.6826183558366088</v>
      </c>
      <c r="J585" s="280">
        <f t="shared" ref="J585:R585" si="438">J583+J584</f>
        <v>-715100</v>
      </c>
      <c r="K585" s="280">
        <f t="shared" si="438"/>
        <v>-828000</v>
      </c>
      <c r="L585" s="280">
        <f t="shared" si="438"/>
        <v>-848900</v>
      </c>
      <c r="M585" s="280">
        <f t="shared" si="438"/>
        <v>-870600</v>
      </c>
      <c r="N585" s="280">
        <f t="shared" si="438"/>
        <v>-892100</v>
      </c>
      <c r="O585" s="280">
        <f t="shared" si="438"/>
        <v>-915000</v>
      </c>
      <c r="P585" s="280">
        <f t="shared" si="438"/>
        <v>-939500</v>
      </c>
      <c r="Q585" s="280">
        <f t="shared" si="438"/>
        <v>-964000</v>
      </c>
      <c r="R585" s="280">
        <f t="shared" si="438"/>
        <v>-989500</v>
      </c>
      <c r="S585" s="282">
        <f t="shared" ref="S585" si="439">S583+S584</f>
        <v>-1015700</v>
      </c>
    </row>
    <row r="586" spans="1:19" s="38" customFormat="1" ht="12.75" customHeight="1" thickBot="1" x14ac:dyDescent="0.3">
      <c r="A586" s="460"/>
      <c r="B586" s="130"/>
      <c r="C586" s="130"/>
      <c r="D586" s="130"/>
      <c r="E586" s="130"/>
      <c r="F586" s="452"/>
      <c r="G586" s="453"/>
      <c r="H586" s="68"/>
      <c r="I586" s="13"/>
      <c r="J586" s="68"/>
      <c r="K586" s="68"/>
      <c r="L586" s="68"/>
      <c r="M586" s="68"/>
      <c r="N586" s="68"/>
      <c r="O586" s="68"/>
      <c r="P586" s="68"/>
      <c r="Q586" s="68"/>
      <c r="R586" s="68"/>
      <c r="S586" s="108"/>
    </row>
    <row r="587" spans="1:19" s="39" customFormat="1" ht="12.75" customHeight="1" x14ac:dyDescent="0.2">
      <c r="A587" s="24"/>
      <c r="B587" s="75"/>
      <c r="C587" s="21"/>
      <c r="D587" s="21"/>
      <c r="E587" s="21"/>
      <c r="F587" s="165"/>
      <c r="G587" s="361" t="s">
        <v>192</v>
      </c>
      <c r="H587" s="9"/>
      <c r="I587" s="126"/>
      <c r="J587" s="9"/>
      <c r="K587" s="9"/>
      <c r="L587" s="9"/>
      <c r="M587" s="9"/>
      <c r="N587" s="9"/>
      <c r="O587" s="9"/>
      <c r="P587" s="9"/>
      <c r="Q587" s="9"/>
      <c r="R587" s="9"/>
      <c r="S587" s="61"/>
    </row>
    <row r="588" spans="1:19" ht="12.75" customHeight="1" x14ac:dyDescent="0.2">
      <c r="A588" s="54">
        <v>15000</v>
      </c>
      <c r="B588" s="89">
        <f>ROUND(SUM('Debt-Gen'!E10:E13),-2)</f>
        <v>16200</v>
      </c>
      <c r="C588" s="9">
        <f>ROUND(SUM('Debt-Gen'!G10:G13),-2)</f>
        <v>17300</v>
      </c>
      <c r="D588" s="9">
        <f>ROUND(SUM('Debt-Gen'!I10:I13),-2)</f>
        <v>18500</v>
      </c>
      <c r="E588" s="9">
        <f>ROUND(SUM('Debt-Gen'!K10:K13),-2)</f>
        <v>19900</v>
      </c>
      <c r="F588" s="70"/>
      <c r="G588" s="257" t="s">
        <v>1759</v>
      </c>
      <c r="H588" s="9">
        <f>ROUND(SUM('Debt-Gen'!M10:M13),-2)</f>
        <v>21300</v>
      </c>
      <c r="I588" s="85"/>
      <c r="J588" s="9">
        <f>ROUND(SUM('Debt-Gen'!O10:O13),-2)</f>
        <v>22700</v>
      </c>
      <c r="K588" s="9">
        <f>ROUND(SUM('Debt-Gen'!Q10:Q13),-2)</f>
        <v>22800</v>
      </c>
      <c r="L588" s="9">
        <f>ROUND(SUM('Debt-Gen'!S10:S13),-2)</f>
        <v>16900</v>
      </c>
      <c r="M588" s="9">
        <f>ROUND(SUM('Debt-Gen'!U10:U13),-2)</f>
        <v>18100</v>
      </c>
      <c r="N588" s="9">
        <f>ROUND(SUM('Debt-Gen'!W10:W13),-2)</f>
        <v>19500</v>
      </c>
      <c r="O588" s="9">
        <f>ROUND(SUM('Debt-Gen'!Y10:Y13),-2)</f>
        <v>0</v>
      </c>
      <c r="P588" s="9">
        <f>ROUND(SUM('Debt-Gen'!AA10:AA13),-2)</f>
        <v>0</v>
      </c>
      <c r="Q588" s="9">
        <f>ROUND(SUM('Debt-Gen'!AC10:AC13),-2)</f>
        <v>0</v>
      </c>
      <c r="R588" s="9">
        <f>ROUND(SUM('Debt-Gen'!AD10:AD13),-2)</f>
        <v>0</v>
      </c>
      <c r="S588" s="47">
        <f>ROUND(SUM('Debt-Gen'!AE10:AE13),-2)</f>
        <v>0</v>
      </c>
    </row>
    <row r="589" spans="1:19" ht="12.75" customHeight="1" x14ac:dyDescent="0.2">
      <c r="A589" s="54">
        <v>85700</v>
      </c>
      <c r="B589" s="77">
        <f>104100+38000</f>
        <v>142100</v>
      </c>
      <c r="C589" s="79">
        <f>298600+44000</f>
        <v>342600</v>
      </c>
      <c r="D589" s="9">
        <f>'Res-Gen'!B15+'Res-Gen'!B18+'Res-Gen'!B20+'Res-Gen'!B78+'Res-Gen'!B32+6500+13700</f>
        <v>59300</v>
      </c>
      <c r="E589" s="9">
        <f>22300+1006700</f>
        <v>1029000</v>
      </c>
      <c r="F589" s="70"/>
      <c r="G589" s="257" t="s">
        <v>1909</v>
      </c>
      <c r="H589" s="9">
        <f>'Res-Gen'!H17+'Res-Gen'!H236+31000</f>
        <v>2037900</v>
      </c>
      <c r="I589" s="85"/>
      <c r="J589" s="9">
        <f>'Res-Gen'!K17+'Res-Gen'!K236</f>
        <v>5007000</v>
      </c>
      <c r="K589" s="9">
        <f>'Res-Gen'!N17+'Res-Gen'!N236</f>
        <v>7200</v>
      </c>
      <c r="L589" s="9">
        <f>'Res-Gen'!Q17+'Res-Gen'!Q236</f>
        <v>7400</v>
      </c>
      <c r="M589" s="9">
        <f>'Res-Gen'!T236</f>
        <v>7600</v>
      </c>
      <c r="N589" s="9">
        <f>'Res-Gen'!W236</f>
        <v>7800</v>
      </c>
      <c r="O589" s="9">
        <f>'Res-Gen'!Z236</f>
        <v>8000</v>
      </c>
      <c r="P589" s="89">
        <f>'Res-Gen'!AC236</f>
        <v>8200</v>
      </c>
      <c r="Q589" s="9">
        <f>'Res-Gen'!AF236</f>
        <v>8500</v>
      </c>
      <c r="R589" s="9">
        <f>'Res-Gen'!AI236</f>
        <v>8800</v>
      </c>
      <c r="S589" s="47">
        <f>'Res-Gen'!AL236</f>
        <v>9100</v>
      </c>
    </row>
    <row r="590" spans="1:19" ht="12.75" customHeight="1" x14ac:dyDescent="0.2">
      <c r="A590" s="54">
        <v>80000</v>
      </c>
      <c r="B590" s="89">
        <v>379700</v>
      </c>
      <c r="C590" s="79">
        <f>56100+3000</f>
        <v>59100</v>
      </c>
      <c r="D590" s="9">
        <f>'Res-Gen'!C16+'Res-Gen'!C18+35000+12600+'Res-Gen'!C15+'Res-Gen'!C21</f>
        <v>317100</v>
      </c>
      <c r="E590" s="9">
        <f>1005300+19000</f>
        <v>1024300</v>
      </c>
      <c r="F590" s="70"/>
      <c r="G590" s="257" t="s">
        <v>2309</v>
      </c>
      <c r="H590" s="9">
        <f>'Res-Gen'!I252+SUM('Res-Gen'!I15:I22)</f>
        <v>3032500</v>
      </c>
      <c r="I590" s="85"/>
      <c r="J590" s="9">
        <f>+SUM('Res-Gen'!L15:L22)+'Res-Gen'!L252+'Res-Gen'!L102</f>
        <v>12332000</v>
      </c>
      <c r="K590" s="9">
        <f>'Res-Gen'!O252+SUM('Res-Gen'!O15:O22)</f>
        <v>0</v>
      </c>
      <c r="L590" s="9">
        <f>'Res-Gen'!R252+SUM('Res-Gen'!R15:R22)</f>
        <v>0</v>
      </c>
      <c r="M590" s="9">
        <v>0</v>
      </c>
      <c r="N590" s="9">
        <v>0</v>
      </c>
      <c r="O590" s="9">
        <v>0</v>
      </c>
      <c r="P590" s="9">
        <v>0</v>
      </c>
      <c r="Q590" s="9">
        <v>0</v>
      </c>
      <c r="R590" s="9">
        <v>0</v>
      </c>
      <c r="S590" s="47">
        <v>0</v>
      </c>
    </row>
    <row r="591" spans="1:19" ht="12.75" customHeight="1" x14ac:dyDescent="0.2">
      <c r="A591" s="54">
        <v>0</v>
      </c>
      <c r="B591" s="89">
        <v>9200</v>
      </c>
      <c r="C591" s="9">
        <f>+'Cap Inc'!A8</f>
        <v>180000</v>
      </c>
      <c r="D591" s="9">
        <f>'Cap Inc'!B6</f>
        <v>20000</v>
      </c>
      <c r="E591" s="9">
        <v>0</v>
      </c>
      <c r="F591" s="70"/>
      <c r="G591" s="257" t="s">
        <v>5847</v>
      </c>
      <c r="H591" s="9">
        <v>0</v>
      </c>
      <c r="I591" s="85"/>
      <c r="J591" s="9">
        <v>0</v>
      </c>
      <c r="K591" s="9">
        <f>'Cap Inc'!H7</f>
        <v>0</v>
      </c>
      <c r="L591" s="9">
        <f>'Cap Inc'!I140</f>
        <v>0</v>
      </c>
      <c r="M591" s="9">
        <v>0</v>
      </c>
      <c r="N591" s="9">
        <v>0</v>
      </c>
      <c r="O591" s="9">
        <v>0</v>
      </c>
      <c r="P591" s="9">
        <v>0</v>
      </c>
      <c r="Q591" s="9">
        <v>0</v>
      </c>
      <c r="R591" s="9">
        <v>0</v>
      </c>
      <c r="S591" s="47">
        <v>0</v>
      </c>
    </row>
    <row r="592" spans="1:19" ht="12.75" customHeight="1" x14ac:dyDescent="0.2">
      <c r="A592" s="54">
        <v>0</v>
      </c>
      <c r="B592" s="89">
        <v>237400</v>
      </c>
      <c r="C592" s="9">
        <v>126100</v>
      </c>
      <c r="D592" s="9">
        <f>SUM('Cap-Gen'!E7:'Cap-Gen'!E12)-'Cap-Gen'!E11</f>
        <v>365800</v>
      </c>
      <c r="E592" s="9">
        <v>20200</v>
      </c>
      <c r="F592" s="70"/>
      <c r="G592" s="257" t="s">
        <v>958</v>
      </c>
      <c r="H592" s="9">
        <f>SUM('Cap-Gen'!G7:'Cap-Gen'!G12)</f>
        <v>1043900</v>
      </c>
      <c r="I592" s="85"/>
      <c r="J592" s="9">
        <f>SUM('Cap-Gen'!H7:'Cap-Gen'!H12)</f>
        <v>7356000</v>
      </c>
      <c r="K592" s="9">
        <f>SUM('Cap-Gen'!I7:'Cap-Gen'!I12)</f>
        <v>25000</v>
      </c>
      <c r="L592" s="9">
        <f>SUM('Cap-Gen'!J7:'Cap-Gen'!J12)</f>
        <v>26000</v>
      </c>
      <c r="M592" s="9">
        <f>SUM('Cap-Gen'!K7:'Cap-Gen'!K12)</f>
        <v>27000</v>
      </c>
      <c r="N592" s="9">
        <f>SUM('Cap-Gen'!L7:'Cap-Gen'!L12)</f>
        <v>28000</v>
      </c>
      <c r="O592" s="9">
        <f>SUM('Cap-Gen'!M7:'Cap-Gen'!M12)</f>
        <v>29000</v>
      </c>
      <c r="P592" s="9">
        <f>SUM('Cap-Gen'!N7:'Cap-Gen'!N12)</f>
        <v>30000</v>
      </c>
      <c r="Q592" s="9">
        <f>SUM('Cap-Gen'!O7:'Cap-Gen'!O12)</f>
        <v>31000</v>
      </c>
      <c r="R592" s="9">
        <f>SUM('Cap-Gen'!P7:'Cap-Gen'!P12)</f>
        <v>32000</v>
      </c>
      <c r="S592" s="47">
        <f>SUM('Cap-Gen'!Q7:'Cap-Gen'!Q12)</f>
        <v>33000</v>
      </c>
    </row>
    <row r="593" spans="1:19" ht="12.75" customHeight="1" x14ac:dyDescent="0.2">
      <c r="A593" s="128">
        <f>A585-A588-A589+A590++A591-A592</f>
        <v>-396400</v>
      </c>
      <c r="B593" s="266">
        <f>B585-B588-B589+B590++B591-B592</f>
        <v>-595000</v>
      </c>
      <c r="C593" s="280">
        <f>C585-C588-C589+C590++C591-C592</f>
        <v>-812800</v>
      </c>
      <c r="D593" s="280">
        <f>D585-D588-D589+D590++D591-D592</f>
        <v>-677400</v>
      </c>
      <c r="E593" s="280">
        <f>E585-E588-E589+E590++E591-E592</f>
        <v>-629900</v>
      </c>
      <c r="F593" s="369"/>
      <c r="G593" s="363" t="s">
        <v>2447</v>
      </c>
      <c r="H593" s="280">
        <f>H585-H588-H589+H590++H591-H592</f>
        <v>-694800</v>
      </c>
      <c r="I593" s="278">
        <f>IF(E593=H593,0,IF(E593=0,100,(H593-E593)/E593*100))</f>
        <v>10.303222733767264</v>
      </c>
      <c r="J593" s="280">
        <f t="shared" ref="J593:R593" si="440">J585-J588-J589+J590++J591-J592</f>
        <v>-768800</v>
      </c>
      <c r="K593" s="280">
        <f t="shared" si="440"/>
        <v>-883000</v>
      </c>
      <c r="L593" s="280">
        <f t="shared" si="440"/>
        <v>-899200</v>
      </c>
      <c r="M593" s="280">
        <f t="shared" si="440"/>
        <v>-923300</v>
      </c>
      <c r="N593" s="280">
        <f t="shared" si="440"/>
        <v>-947400</v>
      </c>
      <c r="O593" s="280">
        <f t="shared" si="440"/>
        <v>-952000</v>
      </c>
      <c r="P593" s="280">
        <f t="shared" si="440"/>
        <v>-977700</v>
      </c>
      <c r="Q593" s="280">
        <f t="shared" si="440"/>
        <v>-1003500</v>
      </c>
      <c r="R593" s="280">
        <f t="shared" si="440"/>
        <v>-1030300</v>
      </c>
      <c r="S593" s="282">
        <f t="shared" ref="S593" si="441">S585-S588-S589+S590++S591-S592</f>
        <v>-1057800</v>
      </c>
    </row>
    <row r="594" spans="1:19" ht="12.75" customHeight="1" thickBot="1" x14ac:dyDescent="0.25">
      <c r="A594" s="26"/>
      <c r="B594" s="81"/>
      <c r="C594" s="37"/>
      <c r="D594" s="37"/>
      <c r="E594" s="37"/>
      <c r="F594" s="166"/>
      <c r="G594" s="259"/>
      <c r="H594" s="23"/>
      <c r="I594" s="275"/>
      <c r="J594" s="23"/>
      <c r="K594" s="23"/>
      <c r="L594" s="23"/>
      <c r="M594" s="23"/>
      <c r="N594" s="23"/>
      <c r="O594" s="23"/>
      <c r="P594" s="23"/>
      <c r="Q594" s="23"/>
      <c r="R594" s="23"/>
      <c r="S594" s="112"/>
    </row>
    <row r="595" spans="1:19" s="46" customFormat="1" ht="12.75" customHeight="1" thickTop="1" thickBot="1" x14ac:dyDescent="0.25">
      <c r="A595" s="27"/>
      <c r="B595" s="27"/>
      <c r="C595" s="143"/>
      <c r="D595" s="143"/>
      <c r="E595" s="143"/>
      <c r="F595" s="169"/>
      <c r="G595" s="84"/>
      <c r="I595" s="2339"/>
    </row>
    <row r="596" spans="1:19" s="38" customFormat="1" ht="19.5" thickTop="1" thickBot="1" x14ac:dyDescent="0.3">
      <c r="A596" s="2588" t="s">
        <v>202</v>
      </c>
      <c r="B596" s="2589"/>
      <c r="C596" s="2589"/>
      <c r="D596" s="2589"/>
      <c r="E596" s="2589"/>
      <c r="F596" s="2589"/>
      <c r="G596" s="2589"/>
      <c r="H596" s="2589"/>
      <c r="I596" s="2589"/>
      <c r="J596" s="2589"/>
      <c r="K596" s="2589"/>
      <c r="L596" s="2589"/>
      <c r="M596" s="2589"/>
      <c r="N596" s="2589"/>
      <c r="O596" s="2589"/>
      <c r="P596" s="2589"/>
      <c r="Q596" s="2589"/>
      <c r="R596" s="2589"/>
      <c r="S596" s="2590"/>
    </row>
    <row r="597" spans="1:19" s="39" customFormat="1" ht="12.75" customHeight="1" x14ac:dyDescent="0.2">
      <c r="A597" s="2591" t="s">
        <v>1824</v>
      </c>
      <c r="B597" s="2577"/>
      <c r="C597" s="2577"/>
      <c r="D597" s="2577"/>
      <c r="E597" s="2592" t="s">
        <v>2215</v>
      </c>
      <c r="F597" s="2231" t="s">
        <v>2616</v>
      </c>
      <c r="G597" s="188" t="s">
        <v>2213</v>
      </c>
      <c r="H597" s="2576" t="s">
        <v>2215</v>
      </c>
      <c r="I597" s="2577"/>
      <c r="J597" s="2577"/>
      <c r="K597" s="2577"/>
      <c r="L597" s="2577"/>
      <c r="M597" s="2577"/>
      <c r="N597" s="2577"/>
      <c r="O597" s="2577"/>
      <c r="P597" s="2577"/>
      <c r="Q597" s="2577"/>
      <c r="R597" s="2577"/>
      <c r="S597" s="2578"/>
    </row>
    <row r="598" spans="1:19" ht="12.75" customHeight="1" thickBot="1" x14ac:dyDescent="0.25">
      <c r="A598" s="541" t="str">
        <f>GM!A3</f>
        <v>2012/13</v>
      </c>
      <c r="B598" s="28" t="str">
        <f>GM!B3</f>
        <v>2013/14</v>
      </c>
      <c r="C598" s="40" t="str">
        <f>GM!C3</f>
        <v>2014/15</v>
      </c>
      <c r="D598" s="40" t="str">
        <f>GM!D3</f>
        <v>2015/16</v>
      </c>
      <c r="E598" s="40" t="str">
        <f>GM!E3</f>
        <v>2016/17</v>
      </c>
      <c r="F598" s="40" t="s">
        <v>2617</v>
      </c>
      <c r="G598" s="41"/>
      <c r="H598" s="40" t="str">
        <f>GM!H3</f>
        <v>2017/18</v>
      </c>
      <c r="I598" s="1459" t="s">
        <v>492</v>
      </c>
      <c r="J598" s="40" t="str">
        <f>GM!J3</f>
        <v>2018/19</v>
      </c>
      <c r="K598" s="40" t="str">
        <f>GM!K3</f>
        <v>2019/20</v>
      </c>
      <c r="L598" s="40" t="str">
        <f>GM!L3</f>
        <v>2020/21</v>
      </c>
      <c r="M598" s="40" t="str">
        <f>GM!M3</f>
        <v>2021/22</v>
      </c>
      <c r="N598" s="40" t="str">
        <f>GM!N3</f>
        <v>2022/23</v>
      </c>
      <c r="O598" s="40" t="str">
        <f>GM!O3</f>
        <v>2023/24</v>
      </c>
      <c r="P598" s="40" t="str">
        <f>GM!P3</f>
        <v>2024/25</v>
      </c>
      <c r="Q598" s="28" t="str">
        <f>GM!Q3</f>
        <v>2025/26</v>
      </c>
      <c r="R598" s="28" t="str">
        <f>GM!R3</f>
        <v>2026/27</v>
      </c>
      <c r="S598" s="1620" t="str">
        <f>GM!S3</f>
        <v>2027/28</v>
      </c>
    </row>
    <row r="599" spans="1:19" ht="12.75" customHeight="1" x14ac:dyDescent="0.2">
      <c r="A599" s="528"/>
      <c r="B599" s="150"/>
      <c r="C599" s="150"/>
      <c r="D599" s="150"/>
      <c r="E599" s="150"/>
      <c r="F599" s="150"/>
      <c r="G599" s="46"/>
      <c r="H599" s="150"/>
      <c r="I599" s="2219"/>
      <c r="J599" s="150"/>
      <c r="K599" s="150"/>
      <c r="L599" s="150"/>
      <c r="M599" s="150"/>
      <c r="N599" s="150"/>
      <c r="O599" s="150"/>
      <c r="P599" s="150"/>
      <c r="Q599" s="150"/>
      <c r="R599" s="150"/>
      <c r="S599" s="381"/>
    </row>
    <row r="600" spans="1:19" ht="12.75" customHeight="1" x14ac:dyDescent="0.2">
      <c r="A600" s="54"/>
      <c r="B600" s="9"/>
      <c r="C600" s="9"/>
      <c r="D600" s="9"/>
      <c r="E600" s="9"/>
      <c r="F600" s="175"/>
      <c r="G600" s="91" t="s">
        <v>1056</v>
      </c>
      <c r="H600" s="9"/>
      <c r="I600" s="85"/>
      <c r="J600" s="9"/>
      <c r="K600" s="9"/>
      <c r="L600" s="9"/>
      <c r="M600" s="9"/>
      <c r="N600" s="9"/>
      <c r="O600" s="9"/>
      <c r="P600" s="9"/>
      <c r="Q600" s="9"/>
      <c r="R600" s="9"/>
      <c r="S600" s="61"/>
    </row>
    <row r="601" spans="1:19" ht="12.75" customHeight="1" x14ac:dyDescent="0.2">
      <c r="A601" s="54"/>
      <c r="B601" s="9"/>
      <c r="C601" s="9"/>
      <c r="D601" s="9"/>
      <c r="E601" s="9"/>
      <c r="F601" s="175"/>
      <c r="G601" s="92" t="s">
        <v>3181</v>
      </c>
      <c r="H601" s="9"/>
      <c r="I601" s="85"/>
      <c r="J601" s="9"/>
      <c r="K601" s="9"/>
      <c r="L601" s="9"/>
      <c r="M601" s="9"/>
      <c r="N601" s="9"/>
      <c r="O601" s="9"/>
      <c r="P601" s="9"/>
      <c r="Q601" s="9"/>
      <c r="R601" s="9"/>
      <c r="S601" s="61"/>
    </row>
    <row r="602" spans="1:19" ht="12.75" customHeight="1" x14ac:dyDescent="0.2">
      <c r="A602" s="54">
        <v>0</v>
      </c>
      <c r="B602" s="9">
        <v>0</v>
      </c>
      <c r="C602" s="9">
        <v>5600</v>
      </c>
      <c r="D602" s="9">
        <v>5000</v>
      </c>
      <c r="E602" s="9">
        <v>5500</v>
      </c>
      <c r="F602" s="860" t="s">
        <v>4171</v>
      </c>
      <c r="G602" s="31" t="s">
        <v>4172</v>
      </c>
      <c r="H602" s="9">
        <v>6000</v>
      </c>
      <c r="I602" s="85">
        <f>IF(E602=H602,0,IF(E602=0,100,(H602-E602)/E602*100))</f>
        <v>9.0909090909090917</v>
      </c>
      <c r="J602" s="9">
        <v>6000</v>
      </c>
      <c r="K602" s="9">
        <f>ROUNDUP(J602+(J602*Assumptions!J$5),-2)</f>
        <v>6200</v>
      </c>
      <c r="L602" s="9">
        <f>ROUNDUP(K602+(K602*Assumptions!K$5),-2)</f>
        <v>6400</v>
      </c>
      <c r="M602" s="9">
        <f>ROUNDUP(L602+(L602*Assumptions!L$5),-2)</f>
        <v>6600</v>
      </c>
      <c r="N602" s="9">
        <f>ROUNDUP(M602+(M602*Assumptions!M$5),-2)</f>
        <v>6800</v>
      </c>
      <c r="O602" s="9">
        <f>ROUNDUP(N602+(N602*Assumptions!N$5),-2)</f>
        <v>7000</v>
      </c>
      <c r="P602" s="9">
        <f>ROUNDUP(O602+(O602*Assumptions!O$5),-2)</f>
        <v>7200</v>
      </c>
      <c r="Q602" s="9">
        <f>ROUNDUP(P602+(P602*Assumptions!P$5),-2)</f>
        <v>7400</v>
      </c>
      <c r="R602" s="9">
        <f>ROUNDUP(Q602+(Q602*Assumptions!Q$5),-2)</f>
        <v>7600</v>
      </c>
      <c r="S602" s="47">
        <f>ROUNDUP(R602+(R602*Assumptions!R$5),-2)</f>
        <v>7800</v>
      </c>
    </row>
    <row r="603" spans="1:19" ht="12.75" customHeight="1" x14ac:dyDescent="0.2">
      <c r="A603" s="54">
        <v>11700</v>
      </c>
      <c r="B603" s="9">
        <v>12400</v>
      </c>
      <c r="C603" s="9">
        <v>12700</v>
      </c>
      <c r="D603" s="9">
        <v>11200</v>
      </c>
      <c r="E603" s="9">
        <v>16400</v>
      </c>
      <c r="F603" s="240" t="s">
        <v>1171</v>
      </c>
      <c r="G603" s="46" t="s">
        <v>727</v>
      </c>
      <c r="H603" s="9">
        <f>14000+2000</f>
        <v>16000</v>
      </c>
      <c r="I603" s="85">
        <f>IF(E603=H603,0,IF(E603=0,100,(H603-E603)/E603*100))</f>
        <v>-2.4390243902439024</v>
      </c>
      <c r="J603" s="79">
        <v>16500</v>
      </c>
      <c r="K603" s="9">
        <f>ROUNDUP(J603+(J603*Assumptions!J$5),-2)</f>
        <v>17000</v>
      </c>
      <c r="L603" s="9">
        <f>ROUNDUP(K603+(K603*Assumptions!K$5),-2)</f>
        <v>17500</v>
      </c>
      <c r="M603" s="9">
        <f>ROUNDUP(L603+(L603*Assumptions!L$5),-2)</f>
        <v>18000</v>
      </c>
      <c r="N603" s="9">
        <f>ROUNDUP(M603+(M603*Assumptions!M$5),-2)</f>
        <v>18500</v>
      </c>
      <c r="O603" s="9">
        <f>ROUNDUP(N603+(N603*Assumptions!N$5),-2)</f>
        <v>19000</v>
      </c>
      <c r="P603" s="9">
        <f>ROUNDUP(O603+(O603*Assumptions!O$5),-2)</f>
        <v>19500</v>
      </c>
      <c r="Q603" s="9">
        <f>ROUNDUP(P603+(P603*Assumptions!P$5),-2)</f>
        <v>20000</v>
      </c>
      <c r="R603" s="9">
        <f>ROUNDUP(Q603+(Q603*Assumptions!Q$5),-2)</f>
        <v>20500</v>
      </c>
      <c r="S603" s="47">
        <f>ROUNDUP(R603+(R603*Assumptions!R$5),-2)</f>
        <v>21100</v>
      </c>
    </row>
    <row r="604" spans="1:19" ht="12.75" customHeight="1" x14ac:dyDescent="0.2">
      <c r="A604" s="54">
        <v>2700</v>
      </c>
      <c r="B604" s="9">
        <v>2700</v>
      </c>
      <c r="C604" s="9">
        <v>2500</v>
      </c>
      <c r="D604" s="9">
        <v>600</v>
      </c>
      <c r="E604" s="9">
        <v>2500</v>
      </c>
      <c r="F604" s="240" t="s">
        <v>1517</v>
      </c>
      <c r="G604" s="46" t="s">
        <v>1516</v>
      </c>
      <c r="H604" s="9">
        <f>4000-1000</f>
        <v>3000</v>
      </c>
      <c r="I604" s="85">
        <f>IF(E604=H604,0,IF(E604=0,100,(H604-E604)/E604*100))</f>
        <v>20</v>
      </c>
      <c r="J604" s="9">
        <v>3000</v>
      </c>
      <c r="K604" s="9">
        <f>ROUNDUP(J604+(J604*Assumptions!J$5),-2)</f>
        <v>3100</v>
      </c>
      <c r="L604" s="9">
        <f>ROUNDUP(K604+(K604*Assumptions!K$5),-2)</f>
        <v>3200</v>
      </c>
      <c r="M604" s="9">
        <f>ROUNDUP(L604+(L604*Assumptions!L$5),-2)</f>
        <v>3300</v>
      </c>
      <c r="N604" s="9">
        <f>ROUNDUP(M604+(M604*Assumptions!M$5),-2)</f>
        <v>3400</v>
      </c>
      <c r="O604" s="9">
        <f>ROUNDUP(N604+(N604*Assumptions!N$5),-2)</f>
        <v>3500</v>
      </c>
      <c r="P604" s="9">
        <f>ROUNDUP(O604+(O604*Assumptions!O$5),-2)</f>
        <v>3600</v>
      </c>
      <c r="Q604" s="9">
        <f>ROUNDUP(P604+(P604*Assumptions!P$5),-2)</f>
        <v>3700</v>
      </c>
      <c r="R604" s="9">
        <f>ROUNDUP(Q604+(Q604*Assumptions!Q$5),-2)</f>
        <v>3800</v>
      </c>
      <c r="S604" s="47">
        <f>ROUNDUP(R604+(R604*Assumptions!R$5),-2)</f>
        <v>3900</v>
      </c>
    </row>
    <row r="605" spans="1:19" ht="12.75" customHeight="1" x14ac:dyDescent="0.2">
      <c r="A605" s="54"/>
      <c r="B605" s="9"/>
      <c r="C605" s="9"/>
      <c r="D605" s="9"/>
      <c r="E605" s="9"/>
      <c r="F605" s="240"/>
      <c r="G605" s="92" t="s">
        <v>677</v>
      </c>
      <c r="H605" s="9"/>
      <c r="I605" s="85"/>
      <c r="J605" s="9"/>
      <c r="K605" s="9"/>
      <c r="L605" s="9"/>
      <c r="M605" s="9"/>
      <c r="N605" s="9"/>
      <c r="O605" s="9"/>
      <c r="P605" s="9"/>
      <c r="Q605" s="9"/>
      <c r="R605" s="9"/>
      <c r="S605" s="47"/>
    </row>
    <row r="606" spans="1:19" ht="12.75" customHeight="1" x14ac:dyDescent="0.2">
      <c r="A606" s="54">
        <v>0</v>
      </c>
      <c r="B606" s="9">
        <v>0</v>
      </c>
      <c r="C606" s="9">
        <v>0</v>
      </c>
      <c r="D606" s="9">
        <v>0</v>
      </c>
      <c r="E606" s="9">
        <v>13000</v>
      </c>
      <c r="F606" s="577" t="s">
        <v>6850</v>
      </c>
      <c r="G606" s="31" t="s">
        <v>11914</v>
      </c>
      <c r="H606" s="9">
        <v>5000</v>
      </c>
      <c r="I606" s="85">
        <f>IF(E606=H606,0,IF(E606=0,100,(H606-E606)/E606*100))</f>
        <v>-61.53846153846154</v>
      </c>
      <c r="J606" s="9">
        <v>0</v>
      </c>
      <c r="K606" s="9">
        <f>ROUNDUP(J606+(J606*Assumptions!J$5),-2)</f>
        <v>0</v>
      </c>
      <c r="L606" s="9">
        <f>ROUNDUP(K606+(K606*Assumptions!K$5),-2)</f>
        <v>0</v>
      </c>
      <c r="M606" s="9">
        <f>ROUNDUP(L606+(L606*Assumptions!L$5),-2)</f>
        <v>0</v>
      </c>
      <c r="N606" s="9">
        <f>ROUNDUP(M606+(M606*Assumptions!M$5),-2)</f>
        <v>0</v>
      </c>
      <c r="O606" s="9">
        <f>ROUNDUP(N606+(N606*Assumptions!N$5),-2)</f>
        <v>0</v>
      </c>
      <c r="P606" s="9">
        <f>ROUNDUP(O606+(O606*Assumptions!O$5),-2)</f>
        <v>0</v>
      </c>
      <c r="Q606" s="9">
        <f>ROUNDUP(P606+(P606*Assumptions!P$5),-2)</f>
        <v>0</v>
      </c>
      <c r="R606" s="9">
        <f>ROUNDUP(Q606+(Q606*Assumptions!Q$5),-2)</f>
        <v>0</v>
      </c>
      <c r="S606" s="47">
        <f>ROUNDUP(R606+(R606*Assumptions!R$5),-2)</f>
        <v>0</v>
      </c>
    </row>
    <row r="607" spans="1:19" ht="12.75" customHeight="1" x14ac:dyDescent="0.2">
      <c r="A607" s="54"/>
      <c r="B607" s="9"/>
      <c r="C607" s="9"/>
      <c r="D607" s="9"/>
      <c r="E607" s="9"/>
      <c r="F607" s="240"/>
      <c r="G607" s="542" t="s">
        <v>420</v>
      </c>
      <c r="H607" s="9"/>
      <c r="I607" s="85"/>
      <c r="J607" s="9"/>
      <c r="K607" s="9"/>
      <c r="L607" s="9"/>
      <c r="M607" s="9"/>
      <c r="N607" s="9"/>
      <c r="O607" s="9"/>
      <c r="P607" s="9"/>
      <c r="Q607" s="9"/>
      <c r="R607" s="9"/>
      <c r="S607" s="47"/>
    </row>
    <row r="608" spans="1:19" ht="12.75" customHeight="1" x14ac:dyDescent="0.2">
      <c r="A608" s="54">
        <v>300</v>
      </c>
      <c r="B608" s="9">
        <v>700</v>
      </c>
      <c r="C608" s="9">
        <v>3500</v>
      </c>
      <c r="D608" s="9">
        <v>11200</v>
      </c>
      <c r="E608" s="9">
        <v>12400</v>
      </c>
      <c r="F608" s="240" t="s">
        <v>1172</v>
      </c>
      <c r="G608" s="31" t="s">
        <v>6966</v>
      </c>
      <c r="H608" s="9">
        <v>10000</v>
      </c>
      <c r="I608" s="85">
        <f t="shared" ref="I608:I615" si="442">IF(E608=H608,0,IF(E608=0,100,(H608-E608)/E608*100))</f>
        <v>-19.35483870967742</v>
      </c>
      <c r="J608" s="9">
        <v>12000</v>
      </c>
      <c r="K608" s="9">
        <f>ROUNDUP(J608+(J608*Assumptions!J$5),-2)</f>
        <v>12300</v>
      </c>
      <c r="L608" s="9">
        <f>ROUNDUP(K608+(K608*Assumptions!K$5),-2)</f>
        <v>12700</v>
      </c>
      <c r="M608" s="9">
        <f>ROUNDUP(L608+(L608*Assumptions!L$5),-2)</f>
        <v>13100</v>
      </c>
      <c r="N608" s="9">
        <f>ROUNDUP(M608+(M608*Assumptions!M$5),-2)</f>
        <v>13500</v>
      </c>
      <c r="O608" s="9">
        <f>ROUNDUP(N608+(N608*Assumptions!N$5),-2)</f>
        <v>13900</v>
      </c>
      <c r="P608" s="9">
        <f>ROUNDUP(O608+(O608*Assumptions!O$5),-2)</f>
        <v>14300</v>
      </c>
      <c r="Q608" s="9">
        <f>ROUNDUP(P608+(P608*Assumptions!P$5),-2)</f>
        <v>14700</v>
      </c>
      <c r="R608" s="9">
        <f>ROUNDUP(Q608+(Q608*Assumptions!Q$5),-2)</f>
        <v>15100</v>
      </c>
      <c r="S608" s="47">
        <f>ROUNDUP(R608+(R608*Assumptions!R$5),-2)</f>
        <v>15500</v>
      </c>
    </row>
    <row r="609" spans="1:19" ht="12.75" customHeight="1" x14ac:dyDescent="0.2">
      <c r="A609" s="54">
        <v>28400</v>
      </c>
      <c r="B609" s="9">
        <v>28400</v>
      </c>
      <c r="C609" s="9">
        <v>14700</v>
      </c>
      <c r="D609" s="9">
        <v>17100</v>
      </c>
      <c r="E609" s="9">
        <v>13700</v>
      </c>
      <c r="F609" s="240" t="s">
        <v>1173</v>
      </c>
      <c r="G609" s="31" t="s">
        <v>6967</v>
      </c>
      <c r="H609" s="9">
        <v>16000</v>
      </c>
      <c r="I609" s="85">
        <f t="shared" si="442"/>
        <v>16.788321167883211</v>
      </c>
      <c r="J609" s="9">
        <v>15000</v>
      </c>
      <c r="K609" s="9">
        <f>ROUNDUP(J609+(J609*Assumptions!J$5),-2)</f>
        <v>15400</v>
      </c>
      <c r="L609" s="9">
        <f>ROUNDUP(K609+(K609*Assumptions!K$5),-2)</f>
        <v>15800</v>
      </c>
      <c r="M609" s="9">
        <f>ROUNDUP(L609+(L609*Assumptions!L$5),-2)</f>
        <v>16200</v>
      </c>
      <c r="N609" s="9">
        <f>ROUNDUP(M609+(M609*Assumptions!M$5),-2)</f>
        <v>16700</v>
      </c>
      <c r="O609" s="9">
        <f>ROUNDUP(N609+(N609*Assumptions!N$5),-2)</f>
        <v>17200</v>
      </c>
      <c r="P609" s="9">
        <f>ROUNDUP(O609+(O609*Assumptions!O$5),-2)</f>
        <v>17700</v>
      </c>
      <c r="Q609" s="9">
        <f>ROUNDUP(P609+(P609*Assumptions!P$5),-2)</f>
        <v>18200</v>
      </c>
      <c r="R609" s="9">
        <f>ROUNDUP(Q609+(Q609*Assumptions!Q$5),-2)</f>
        <v>18700</v>
      </c>
      <c r="S609" s="47">
        <f>ROUNDUP(R609+(R609*Assumptions!R$5),-2)</f>
        <v>19200</v>
      </c>
    </row>
    <row r="610" spans="1:19" ht="12.75" customHeight="1" x14ac:dyDescent="0.2">
      <c r="A610" s="54">
        <v>0</v>
      </c>
      <c r="B610" s="9">
        <v>0</v>
      </c>
      <c r="C610" s="9">
        <v>0</v>
      </c>
      <c r="D610" s="9">
        <v>0</v>
      </c>
      <c r="E610" s="9">
        <v>0</v>
      </c>
      <c r="F610" s="577" t="s">
        <v>7223</v>
      </c>
      <c r="G610" s="31" t="s">
        <v>6968</v>
      </c>
      <c r="H610" s="9">
        <v>12500</v>
      </c>
      <c r="I610" s="85">
        <f t="shared" si="442"/>
        <v>100</v>
      </c>
      <c r="J610" s="9">
        <v>25000</v>
      </c>
      <c r="K610" s="9">
        <f>ROUNDUP(J610+(J610*Assumptions!J$5),-2)</f>
        <v>25700</v>
      </c>
      <c r="L610" s="9">
        <f>ROUNDUP(K610+(K610*Assumptions!K$5),-2)</f>
        <v>26400</v>
      </c>
      <c r="M610" s="9">
        <f>ROUNDUP(L610+(L610*Assumptions!L$5),-2)</f>
        <v>27100</v>
      </c>
      <c r="N610" s="9">
        <f>ROUNDUP(M610+(M610*Assumptions!M$5),-2)</f>
        <v>27800</v>
      </c>
      <c r="O610" s="9">
        <f>ROUNDUP(N610+(N610*Assumptions!N$5),-2)</f>
        <v>28500</v>
      </c>
      <c r="P610" s="9">
        <f>ROUNDUP(O610+(O610*Assumptions!O$5),-2)</f>
        <v>29300</v>
      </c>
      <c r="Q610" s="9">
        <f>ROUNDUP(P610+(P610*Assumptions!P$5),-2)</f>
        <v>30100</v>
      </c>
      <c r="R610" s="9">
        <f>ROUNDUP(Q610+(Q610*Assumptions!Q$5),-2)</f>
        <v>30900</v>
      </c>
      <c r="S610" s="47">
        <f>ROUNDUP(R610+(R610*Assumptions!R$5),-2)</f>
        <v>31700</v>
      </c>
    </row>
    <row r="611" spans="1:19" ht="12.75" customHeight="1" x14ac:dyDescent="0.2">
      <c r="A611" s="54">
        <v>3600</v>
      </c>
      <c r="B611" s="9">
        <v>1100</v>
      </c>
      <c r="C611" s="9">
        <v>800</v>
      </c>
      <c r="D611" s="9">
        <v>1000</v>
      </c>
      <c r="E611" s="9">
        <v>1300</v>
      </c>
      <c r="F611" s="240" t="s">
        <v>1174</v>
      </c>
      <c r="G611" s="46" t="s">
        <v>1115</v>
      </c>
      <c r="H611" s="9">
        <v>1000</v>
      </c>
      <c r="I611" s="85">
        <f t="shared" si="442"/>
        <v>-23.076923076923077</v>
      </c>
      <c r="J611" s="9">
        <v>1000</v>
      </c>
      <c r="K611" s="9">
        <f>ROUNDUP(J611+(J611*Assumptions!J$5),-2)</f>
        <v>1100</v>
      </c>
      <c r="L611" s="9">
        <f>ROUNDUP(K611+(K611*Assumptions!K$5),-2)</f>
        <v>1200</v>
      </c>
      <c r="M611" s="9">
        <f>ROUNDUP(L611+(L611*Assumptions!L$5),-2)</f>
        <v>1300</v>
      </c>
      <c r="N611" s="9">
        <f>ROUNDUP(M611+(M611*Assumptions!M$5),-2)</f>
        <v>1400</v>
      </c>
      <c r="O611" s="9">
        <f>ROUNDUP(N611+(N611*Assumptions!N$5),-2)</f>
        <v>1500</v>
      </c>
      <c r="P611" s="9">
        <f>ROUNDUP(O611+(O611*Assumptions!O$5),-2)</f>
        <v>1600</v>
      </c>
      <c r="Q611" s="9">
        <f>ROUNDUP(P611+(P611*Assumptions!P$5),-2)</f>
        <v>1700</v>
      </c>
      <c r="R611" s="9">
        <f>ROUNDUP(Q611+(Q611*Assumptions!Q$5),-2)</f>
        <v>1800</v>
      </c>
      <c r="S611" s="47">
        <f>ROUNDUP(R611+(R611*Assumptions!R$5),-2)</f>
        <v>1900</v>
      </c>
    </row>
    <row r="612" spans="1:19" ht="12.75" customHeight="1" x14ac:dyDescent="0.2">
      <c r="A612" s="54">
        <v>24700</v>
      </c>
      <c r="B612" s="9">
        <f>26300+900</f>
        <v>27200</v>
      </c>
      <c r="C612" s="9">
        <v>32000</v>
      </c>
      <c r="D612" s="9">
        <f>36000-5000</f>
        <v>31000</v>
      </c>
      <c r="E612" s="9">
        <v>31600</v>
      </c>
      <c r="F612" s="240" t="s">
        <v>1170</v>
      </c>
      <c r="G612" s="371" t="s">
        <v>1486</v>
      </c>
      <c r="H612" s="9">
        <f>32000+500</f>
        <v>32500</v>
      </c>
      <c r="I612" s="85">
        <f t="shared" si="442"/>
        <v>2.8481012658227849</v>
      </c>
      <c r="J612" s="9">
        <v>33000</v>
      </c>
      <c r="K612" s="9">
        <f>ROUNDUP(J612+(J612*Assumptions!J$5),-2)</f>
        <v>33900</v>
      </c>
      <c r="L612" s="9">
        <f>ROUNDUP(K612+(K612*Assumptions!K$5),-2)</f>
        <v>34800</v>
      </c>
      <c r="M612" s="9">
        <f>ROUNDUP(L612+(L612*Assumptions!L$5),-2)</f>
        <v>35700</v>
      </c>
      <c r="N612" s="9">
        <f>ROUNDUP(M612+(M612*Assumptions!M$5),-2)</f>
        <v>36600</v>
      </c>
      <c r="O612" s="9">
        <f>ROUNDUP(N612+(N612*Assumptions!N$5),-2)</f>
        <v>37600</v>
      </c>
      <c r="P612" s="9">
        <f>ROUNDUP(O612+(O612*Assumptions!O$5),-2)</f>
        <v>38600</v>
      </c>
      <c r="Q612" s="9">
        <f>ROUNDUP(P612+(P612*Assumptions!P$5),-2)</f>
        <v>39600</v>
      </c>
      <c r="R612" s="9">
        <f>ROUNDUP(Q612+(Q612*Assumptions!Q$5),-2)</f>
        <v>40600</v>
      </c>
      <c r="S612" s="47">
        <f>ROUNDUP(R612+(R612*Assumptions!R$5),-2)</f>
        <v>41700</v>
      </c>
    </row>
    <row r="613" spans="1:19" ht="12.75" customHeight="1" x14ac:dyDescent="0.2">
      <c r="A613" s="54">
        <v>0</v>
      </c>
      <c r="B613" s="79">
        <v>3700</v>
      </c>
      <c r="C613" s="706">
        <v>0</v>
      </c>
      <c r="D613" s="9">
        <v>0</v>
      </c>
      <c r="E613" s="9">
        <v>2400</v>
      </c>
      <c r="F613" s="577" t="s">
        <v>7240</v>
      </c>
      <c r="G613" s="661" t="s">
        <v>6477</v>
      </c>
      <c r="H613" s="9">
        <v>2000</v>
      </c>
      <c r="I613" s="85">
        <f t="shared" si="442"/>
        <v>-16.666666666666664</v>
      </c>
      <c r="J613" s="9">
        <v>2000</v>
      </c>
      <c r="K613" s="9">
        <f>ROUNDUP(J613+(J613*Assumptions!J$5),-2)</f>
        <v>2100</v>
      </c>
      <c r="L613" s="9">
        <f>ROUNDUP(K613+(K613*Assumptions!K$5),-2)</f>
        <v>2200</v>
      </c>
      <c r="M613" s="9">
        <f>ROUNDUP(L613+(L613*Assumptions!L$5),-2)</f>
        <v>2300</v>
      </c>
      <c r="N613" s="9">
        <f>ROUNDUP(M613+(M613*Assumptions!M$5),-2)</f>
        <v>2400</v>
      </c>
      <c r="O613" s="9">
        <f>ROUNDUP(N613+(N613*Assumptions!N$5),-2)</f>
        <v>2500</v>
      </c>
      <c r="P613" s="9">
        <f>ROUNDUP(O613+(O613*Assumptions!O$5),-2)</f>
        <v>2600</v>
      </c>
      <c r="Q613" s="9">
        <f>ROUNDUP(P613+(P613*Assumptions!P$5),-2)</f>
        <v>2700</v>
      </c>
      <c r="R613" s="9">
        <f>ROUNDUP(Q613+(Q613*Assumptions!Q$5),-2)</f>
        <v>2800</v>
      </c>
      <c r="S613" s="47">
        <f>ROUNDUP(R613+(R613*Assumptions!R$5),-2)</f>
        <v>2900</v>
      </c>
    </row>
    <row r="614" spans="1:19" ht="12.75" customHeight="1" thickBot="1" x14ac:dyDescent="0.25">
      <c r="A614" s="54"/>
      <c r="B614" s="79"/>
      <c r="C614" s="706"/>
      <c r="D614" s="9"/>
      <c r="E614" s="9"/>
      <c r="F614" s="577"/>
      <c r="G614" s="772"/>
      <c r="H614" s="9"/>
      <c r="I614" s="85"/>
      <c r="J614" s="9"/>
      <c r="K614" s="9"/>
      <c r="L614" s="9"/>
      <c r="M614" s="9"/>
      <c r="N614" s="9"/>
      <c r="O614" s="9"/>
      <c r="P614" s="9"/>
      <c r="Q614" s="9"/>
      <c r="R614" s="9"/>
      <c r="S614" s="47"/>
    </row>
    <row r="615" spans="1:19" ht="12.75" customHeight="1" x14ac:dyDescent="0.2">
      <c r="A615" s="52">
        <f>SUM(A601:A614)</f>
        <v>71400</v>
      </c>
      <c r="B615" s="16">
        <f>SUM(B601:B614)</f>
        <v>76200</v>
      </c>
      <c r="C615" s="16">
        <f>SUM(C601:C614)</f>
        <v>71800</v>
      </c>
      <c r="D615" s="16">
        <f>SUM(D601:D614)</f>
        <v>77100</v>
      </c>
      <c r="E615" s="16">
        <f>SUM(E601:E614)</f>
        <v>98800</v>
      </c>
      <c r="F615" s="239"/>
      <c r="G615" s="59" t="s">
        <v>2561</v>
      </c>
      <c r="H615" s="16">
        <f>SUM(H601:H614)</f>
        <v>104000</v>
      </c>
      <c r="I615" s="127">
        <f t="shared" si="442"/>
        <v>5.2631578947368416</v>
      </c>
      <c r="J615" s="16">
        <f t="shared" ref="J615:R615" si="443">SUM(J601:J614)</f>
        <v>113500</v>
      </c>
      <c r="K615" s="16">
        <f t="shared" si="443"/>
        <v>116800</v>
      </c>
      <c r="L615" s="16">
        <f t="shared" si="443"/>
        <v>120200</v>
      </c>
      <c r="M615" s="16">
        <f t="shared" si="443"/>
        <v>123600</v>
      </c>
      <c r="N615" s="16">
        <f t="shared" si="443"/>
        <v>127100</v>
      </c>
      <c r="O615" s="16">
        <f t="shared" si="443"/>
        <v>130700</v>
      </c>
      <c r="P615" s="16">
        <f t="shared" si="443"/>
        <v>134400</v>
      </c>
      <c r="Q615" s="16">
        <f t="shared" si="443"/>
        <v>138100</v>
      </c>
      <c r="R615" s="16">
        <f t="shared" si="443"/>
        <v>141800</v>
      </c>
      <c r="S615" s="2342">
        <f t="shared" ref="S615" si="444">SUM(S601:S614)</f>
        <v>145700</v>
      </c>
    </row>
    <row r="616" spans="1:19" ht="12.75" customHeight="1" x14ac:dyDescent="0.2">
      <c r="A616" s="54"/>
      <c r="B616" s="9"/>
      <c r="C616" s="9"/>
      <c r="D616" s="9"/>
      <c r="E616" s="9"/>
      <c r="F616" s="239"/>
      <c r="G616" s="91" t="s">
        <v>2169</v>
      </c>
      <c r="H616" s="9"/>
      <c r="I616" s="85"/>
      <c r="J616" s="9"/>
      <c r="K616" s="9"/>
      <c r="L616" s="9"/>
      <c r="M616" s="9"/>
      <c r="N616" s="9"/>
      <c r="O616" s="9"/>
      <c r="P616" s="9"/>
      <c r="Q616" s="9"/>
      <c r="R616" s="9"/>
      <c r="S616" s="47"/>
    </row>
    <row r="617" spans="1:19" ht="12.75" customHeight="1" x14ac:dyDescent="0.2">
      <c r="A617" s="54"/>
      <c r="B617" s="89"/>
      <c r="C617" s="9"/>
      <c r="D617" s="9"/>
      <c r="E617" s="9"/>
      <c r="F617" s="1378"/>
      <c r="G617" s="912" t="s">
        <v>465</v>
      </c>
      <c r="H617" s="9"/>
      <c r="I617" s="85"/>
      <c r="J617" s="9"/>
      <c r="K617" s="9"/>
      <c r="L617" s="9"/>
      <c r="M617" s="9"/>
      <c r="N617" s="9"/>
      <c r="O617" s="9"/>
      <c r="P617" s="9"/>
      <c r="Q617" s="9"/>
      <c r="R617" s="9"/>
      <c r="S617" s="47"/>
    </row>
    <row r="618" spans="1:19" ht="12.75" customHeight="1" x14ac:dyDescent="0.2">
      <c r="A618" s="54">
        <v>86200</v>
      </c>
      <c r="B618" s="89">
        <v>83800</v>
      </c>
      <c r="C618" s="9">
        <v>113800</v>
      </c>
      <c r="D618" s="9">
        <v>127000</v>
      </c>
      <c r="E618" s="9">
        <v>155800</v>
      </c>
      <c r="F618" s="240" t="s">
        <v>381</v>
      </c>
      <c r="G618" s="371" t="s">
        <v>1320</v>
      </c>
      <c r="H618" s="9">
        <f>148000+6000+16000</f>
        <v>170000</v>
      </c>
      <c r="I618" s="85">
        <f>IF(E618=H618,0,IF(E618=0,100,(H618-E618)/E618*100))</f>
        <v>9.1142490372272142</v>
      </c>
      <c r="J618" s="9">
        <v>172000</v>
      </c>
      <c r="K618" s="9">
        <f>ROUNDUP(J618+(J618*Assumptions!J$13),-2)</f>
        <v>176000</v>
      </c>
      <c r="L618" s="9">
        <f>ROUNDUP(K618+(K618*Assumptions!K$13),-2)</f>
        <v>180100</v>
      </c>
      <c r="M618" s="9">
        <f>ROUNDUP(L618+(L618*Assumptions!L$13),-2)</f>
        <v>184300</v>
      </c>
      <c r="N618" s="9">
        <f>ROUNDUP(M618+(M618*Assumptions!M$13),-2)</f>
        <v>188600</v>
      </c>
      <c r="O618" s="9">
        <f>ROUNDUP(N618+(N618*Assumptions!N$13),-2)</f>
        <v>193000</v>
      </c>
      <c r="P618" s="9">
        <f>ROUNDUP(O618+(O618*Assumptions!O$13),-2)</f>
        <v>197500</v>
      </c>
      <c r="Q618" s="9">
        <f>ROUNDUP(P618+(P618*Assumptions!P$13),-2)</f>
        <v>202100</v>
      </c>
      <c r="R618" s="9">
        <f>ROUNDUP(Q618+(Q618*Assumptions!Q$13),-2)</f>
        <v>206800</v>
      </c>
      <c r="S618" s="47">
        <f>ROUNDUP(R618+(R618*Assumptions!R$13),-2)</f>
        <v>211600</v>
      </c>
    </row>
    <row r="619" spans="1:19" ht="12.75" customHeight="1" x14ac:dyDescent="0.2">
      <c r="A619" s="54">
        <v>1500</v>
      </c>
      <c r="B619" s="9">
        <v>0</v>
      </c>
      <c r="C619" s="9">
        <v>0</v>
      </c>
      <c r="D619" s="9">
        <v>0</v>
      </c>
      <c r="E619" s="9">
        <v>0</v>
      </c>
      <c r="F619" s="240" t="s">
        <v>382</v>
      </c>
      <c r="G619" s="371" t="s">
        <v>2517</v>
      </c>
      <c r="H619" s="79">
        <v>1000</v>
      </c>
      <c r="I619" s="85">
        <f>IF(E619=H619,0,IF(E619=0,100,(H619-E619)/E619*100))</f>
        <v>100</v>
      </c>
      <c r="J619" s="9">
        <v>0</v>
      </c>
      <c r="K619" s="9">
        <f>ROUNDUP(J619+(J619*Assumptions!J$5),-2)</f>
        <v>0</v>
      </c>
      <c r="L619" s="9">
        <f>ROUNDUP(K619+(K619*Assumptions!K$5),-2)</f>
        <v>0</v>
      </c>
      <c r="M619" s="9">
        <f>ROUNDUP(L619+(L619*Assumptions!L$5),-2)</f>
        <v>0</v>
      </c>
      <c r="N619" s="9">
        <f>ROUNDUP(M619+(M619*Assumptions!M$5),-2)</f>
        <v>0</v>
      </c>
      <c r="O619" s="9">
        <f>ROUNDUP(N619+(N619*Assumptions!N$5),-2)</f>
        <v>0</v>
      </c>
      <c r="P619" s="9">
        <f>ROUNDUP(O619+(O619*Assumptions!O$5),-2)</f>
        <v>0</v>
      </c>
      <c r="Q619" s="9">
        <f>ROUNDUP(P619+(P619*Assumptions!P$5),-2)</f>
        <v>0</v>
      </c>
      <c r="R619" s="9">
        <f>ROUNDUP(Q619+(Q619*Assumptions!Q$5),-2)</f>
        <v>0</v>
      </c>
      <c r="S619" s="47">
        <f>ROUNDUP(R619+(R619*Assumptions!R$5),-2)</f>
        <v>0</v>
      </c>
    </row>
    <row r="620" spans="1:19" ht="12.75" customHeight="1" x14ac:dyDescent="0.2">
      <c r="A620" s="54">
        <v>5100</v>
      </c>
      <c r="B620" s="9">
        <v>7200</v>
      </c>
      <c r="C620" s="9">
        <v>7300</v>
      </c>
      <c r="D620" s="9">
        <v>7600</v>
      </c>
      <c r="E620" s="9">
        <v>9500</v>
      </c>
      <c r="F620" s="240" t="s">
        <v>383</v>
      </c>
      <c r="G620" s="371" t="s">
        <v>1500</v>
      </c>
      <c r="H620" s="9">
        <f>8600+1000</f>
        <v>9600</v>
      </c>
      <c r="I620" s="85">
        <f>IF(E620=H620,0,IF(E620=0,100,(H620-E620)/E620*100))</f>
        <v>1.0526315789473684</v>
      </c>
      <c r="J620" s="9">
        <v>10000</v>
      </c>
      <c r="K620" s="9">
        <f>ROUNDUP(J620+(J620*Assumptions!J$5),-2)</f>
        <v>10300</v>
      </c>
      <c r="L620" s="9">
        <f>ROUNDUP(K620+(K620*Assumptions!K$5),-2)</f>
        <v>10600</v>
      </c>
      <c r="M620" s="9">
        <f>ROUNDUP(L620+(L620*Assumptions!L$5),-2)</f>
        <v>10900</v>
      </c>
      <c r="N620" s="9">
        <f>ROUNDUP(M620+(M620*Assumptions!M$5),-2)</f>
        <v>11200</v>
      </c>
      <c r="O620" s="9">
        <f>ROUNDUP(N620+(N620*Assumptions!N$5),-2)</f>
        <v>11500</v>
      </c>
      <c r="P620" s="9">
        <f>ROUNDUP(O620+(O620*Assumptions!O$5),-2)</f>
        <v>11800</v>
      </c>
      <c r="Q620" s="9">
        <f>ROUNDUP(P620+(P620*Assumptions!P$5),-2)</f>
        <v>12100</v>
      </c>
      <c r="R620" s="9">
        <f>ROUNDUP(Q620+(Q620*Assumptions!Q$5),-2)</f>
        <v>12500</v>
      </c>
      <c r="S620" s="47">
        <f>ROUNDUP(R620+(R620*Assumptions!R$5),-2)</f>
        <v>12900</v>
      </c>
    </row>
    <row r="621" spans="1:19" ht="12.75" customHeight="1" x14ac:dyDescent="0.2">
      <c r="A621" s="54">
        <v>18600</v>
      </c>
      <c r="B621" s="89">
        <v>19400</v>
      </c>
      <c r="C621" s="9">
        <v>20100</v>
      </c>
      <c r="D621" s="9">
        <v>20900</v>
      </c>
      <c r="E621" s="9">
        <v>21300</v>
      </c>
      <c r="F621" s="577" t="s">
        <v>6441</v>
      </c>
      <c r="G621" s="662" t="s">
        <v>6442</v>
      </c>
      <c r="H621" s="9">
        <v>21800</v>
      </c>
      <c r="I621" s="85">
        <f>IF(E621=H621,0,IF(E621=0,100,(H621-E621)/E621*100))</f>
        <v>2.3474178403755865</v>
      </c>
      <c r="J621" s="9">
        <v>22400</v>
      </c>
      <c r="K621" s="9">
        <f>ROUNDUP(J621+(J621*Assumptions!J$5),-2)</f>
        <v>23000</v>
      </c>
      <c r="L621" s="9">
        <f>ROUNDUP(K621+(K621*Assumptions!K$5),-2)</f>
        <v>23600</v>
      </c>
      <c r="M621" s="9">
        <f>ROUNDUP(L621+(L621*Assumptions!L$5),-2)</f>
        <v>24200</v>
      </c>
      <c r="N621" s="9">
        <f>ROUNDUP(M621+(M621*Assumptions!M$5),-2)</f>
        <v>24900</v>
      </c>
      <c r="O621" s="9">
        <f>ROUNDUP(N621+(N621*Assumptions!N$5),-2)</f>
        <v>25600</v>
      </c>
      <c r="P621" s="9">
        <f>ROUNDUP(O621+(O621*Assumptions!O$5),-2)</f>
        <v>26300</v>
      </c>
      <c r="Q621" s="9">
        <f>ROUNDUP(P621+(P621*Assumptions!P$5),-2)</f>
        <v>27000</v>
      </c>
      <c r="R621" s="9">
        <f>ROUNDUP(Q621+(Q621*Assumptions!Q$5),-2)</f>
        <v>27700</v>
      </c>
      <c r="S621" s="47">
        <f>ROUNDUP(R621+(R621*Assumptions!R$5),-2)</f>
        <v>28400</v>
      </c>
    </row>
    <row r="622" spans="1:19" ht="12.75" customHeight="1" x14ac:dyDescent="0.2">
      <c r="A622" s="54"/>
      <c r="B622" s="89"/>
      <c r="C622" s="9"/>
      <c r="D622" s="9"/>
      <c r="E622" s="9"/>
      <c r="F622" s="1378"/>
      <c r="G622" s="320" t="s">
        <v>658</v>
      </c>
      <c r="H622" s="9"/>
      <c r="I622" s="85"/>
      <c r="J622" s="9"/>
      <c r="K622" s="9"/>
      <c r="L622" s="9"/>
      <c r="M622" s="9"/>
      <c r="N622" s="9"/>
      <c r="O622" s="9"/>
      <c r="P622" s="9"/>
      <c r="Q622" s="9"/>
      <c r="R622" s="9"/>
      <c r="S622" s="47"/>
    </row>
    <row r="623" spans="1:19" ht="12.75" customHeight="1" x14ac:dyDescent="0.2">
      <c r="A623" s="54">
        <v>1100</v>
      </c>
      <c r="B623" s="9">
        <f>4500-B624-B625</f>
        <v>2200</v>
      </c>
      <c r="C623" s="9">
        <f>1100</f>
        <v>1100</v>
      </c>
      <c r="D623" s="9">
        <v>2300</v>
      </c>
      <c r="E623" s="9">
        <v>1800</v>
      </c>
      <c r="F623" s="240" t="s">
        <v>23</v>
      </c>
      <c r="G623" s="662" t="s">
        <v>2514</v>
      </c>
      <c r="H623" s="9">
        <v>2000</v>
      </c>
      <c r="I623" s="85">
        <f t="shared" ref="I623:I646" si="445">IF(E623=H623,0,IF(E623=0,100,(H623-E623)/E623*100))</f>
        <v>11.111111111111111</v>
      </c>
      <c r="J623" s="9">
        <v>2000</v>
      </c>
      <c r="K623" s="9">
        <f>ROUNDUP(J623+(J623*Assumptions!J$5),-2)</f>
        <v>2100</v>
      </c>
      <c r="L623" s="9">
        <f>ROUNDUP(K623+(K623*Assumptions!K$5),-2)</f>
        <v>2200</v>
      </c>
      <c r="M623" s="9">
        <f>ROUNDUP(L623+(L623*Assumptions!L$5),-2)</f>
        <v>2300</v>
      </c>
      <c r="N623" s="9">
        <f>ROUNDUP(M623+(M623*Assumptions!M$5),-2)</f>
        <v>2400</v>
      </c>
      <c r="O623" s="9">
        <f>ROUNDUP(N623+(N623*Assumptions!N$5),-2)</f>
        <v>2500</v>
      </c>
      <c r="P623" s="9">
        <f>ROUNDUP(O623+(O623*Assumptions!O$5),-2)</f>
        <v>2600</v>
      </c>
      <c r="Q623" s="9">
        <f>ROUNDUP(P623+(P623*Assumptions!P$5),-2)</f>
        <v>2700</v>
      </c>
      <c r="R623" s="9">
        <f>ROUNDUP(Q623+(Q623*Assumptions!Q$5),-2)</f>
        <v>2800</v>
      </c>
      <c r="S623" s="47">
        <f>ROUNDUP(R623+(R623*Assumptions!R$5),-2)</f>
        <v>2900</v>
      </c>
    </row>
    <row r="624" spans="1:19" ht="12.75" customHeight="1" x14ac:dyDescent="0.2">
      <c r="A624" s="54">
        <v>1400</v>
      </c>
      <c r="B624" s="9">
        <v>1200</v>
      </c>
      <c r="C624" s="9">
        <v>900</v>
      </c>
      <c r="D624" s="9">
        <v>1300</v>
      </c>
      <c r="E624" s="9">
        <v>1300</v>
      </c>
      <c r="F624" s="240" t="s">
        <v>367</v>
      </c>
      <c r="G624" s="662" t="s">
        <v>3660</v>
      </c>
      <c r="H624" s="9">
        <v>1600</v>
      </c>
      <c r="I624" s="85">
        <f t="shared" si="445"/>
        <v>23.076923076923077</v>
      </c>
      <c r="J624" s="9">
        <v>1600</v>
      </c>
      <c r="K624" s="9">
        <f>ROUNDUP(J624+(J624*Assumptions!J$5),-2)</f>
        <v>1700</v>
      </c>
      <c r="L624" s="9">
        <f>ROUNDUP(K624+(K624*Assumptions!K$5),-2)</f>
        <v>1800</v>
      </c>
      <c r="M624" s="9">
        <f>ROUNDUP(L624+(L624*Assumptions!L$5),-2)</f>
        <v>1900</v>
      </c>
      <c r="N624" s="9">
        <f>ROUNDUP(M624+(M624*Assumptions!M$5),-2)</f>
        <v>2000</v>
      </c>
      <c r="O624" s="9">
        <f>ROUNDUP(N624+(N624*Assumptions!N$5),-2)</f>
        <v>2100</v>
      </c>
      <c r="P624" s="9">
        <f>ROUNDUP(O624+(O624*Assumptions!O$5),-2)</f>
        <v>2200</v>
      </c>
      <c r="Q624" s="9">
        <f>ROUNDUP(P624+(P624*Assumptions!P$5),-2)</f>
        <v>2300</v>
      </c>
      <c r="R624" s="9">
        <f>ROUNDUP(Q624+(Q624*Assumptions!Q$5),-2)</f>
        <v>2400</v>
      </c>
      <c r="S624" s="47">
        <f>ROUNDUP(R624+(R624*Assumptions!R$5),-2)</f>
        <v>2500</v>
      </c>
    </row>
    <row r="625" spans="1:19" ht="12.75" customHeight="1" x14ac:dyDescent="0.2">
      <c r="A625" s="54">
        <v>700</v>
      </c>
      <c r="B625" s="9">
        <v>1100</v>
      </c>
      <c r="C625" s="9">
        <v>600</v>
      </c>
      <c r="D625" s="9">
        <v>600</v>
      </c>
      <c r="E625" s="9">
        <v>700</v>
      </c>
      <c r="F625" s="240" t="s">
        <v>2636</v>
      </c>
      <c r="G625" s="371" t="s">
        <v>149</v>
      </c>
      <c r="H625" s="9">
        <v>700</v>
      </c>
      <c r="I625" s="85">
        <f t="shared" si="445"/>
        <v>0</v>
      </c>
      <c r="J625" s="9">
        <v>800</v>
      </c>
      <c r="K625" s="9">
        <f>ROUNDUP(J625+(J625*Assumptions!J$5),-2)</f>
        <v>900</v>
      </c>
      <c r="L625" s="9">
        <f>ROUNDUP(K625+(K625*Assumptions!K$5),-2)</f>
        <v>1000</v>
      </c>
      <c r="M625" s="9">
        <f>ROUNDUP(L625+(L625*Assumptions!L$5),-2)</f>
        <v>1100</v>
      </c>
      <c r="N625" s="9">
        <f>ROUNDUP(M625+(M625*Assumptions!M$5),-2)</f>
        <v>1200</v>
      </c>
      <c r="O625" s="9">
        <f>ROUNDUP(N625+(N625*Assumptions!N$5),-2)</f>
        <v>1300</v>
      </c>
      <c r="P625" s="9">
        <f>ROUNDUP(O625+(O625*Assumptions!O$5),-2)</f>
        <v>1400</v>
      </c>
      <c r="Q625" s="9">
        <f>ROUNDUP(P625+(P625*Assumptions!P$5),-2)</f>
        <v>1500</v>
      </c>
      <c r="R625" s="9">
        <f>ROUNDUP(Q625+(Q625*Assumptions!Q$5),-2)</f>
        <v>1600</v>
      </c>
      <c r="S625" s="47">
        <f>ROUNDUP(R625+(R625*Assumptions!R$5),-2)</f>
        <v>1700</v>
      </c>
    </row>
    <row r="626" spans="1:19" ht="12.75" customHeight="1" x14ac:dyDescent="0.2">
      <c r="A626" s="54">
        <v>1500</v>
      </c>
      <c r="B626" s="9">
        <v>1400</v>
      </c>
      <c r="C626" s="9">
        <v>100</v>
      </c>
      <c r="D626" s="9">
        <v>1000</v>
      </c>
      <c r="E626" s="9">
        <v>1300</v>
      </c>
      <c r="F626" s="240" t="s">
        <v>2692</v>
      </c>
      <c r="G626" s="371" t="s">
        <v>22</v>
      </c>
      <c r="H626" s="9">
        <v>1600</v>
      </c>
      <c r="I626" s="85">
        <f t="shared" si="445"/>
        <v>23.076923076923077</v>
      </c>
      <c r="J626" s="9">
        <v>1600</v>
      </c>
      <c r="K626" s="9">
        <f>ROUNDUP(J626+(J626*Assumptions!J$5),-2)</f>
        <v>1700</v>
      </c>
      <c r="L626" s="9">
        <f>ROUNDUP(K626+(K626*Assumptions!K$5),-2)</f>
        <v>1800</v>
      </c>
      <c r="M626" s="9">
        <f>ROUNDUP(L626+(L626*Assumptions!L$5),-2)</f>
        <v>1900</v>
      </c>
      <c r="N626" s="9">
        <f>ROUNDUP(M626+(M626*Assumptions!M$5),-2)</f>
        <v>2000</v>
      </c>
      <c r="O626" s="9">
        <f>ROUNDUP(N626+(N626*Assumptions!N$5),-2)</f>
        <v>2100</v>
      </c>
      <c r="P626" s="9">
        <f>ROUNDUP(O626+(O626*Assumptions!O$5),-2)</f>
        <v>2200</v>
      </c>
      <c r="Q626" s="9">
        <f>ROUNDUP(P626+(P626*Assumptions!P$5),-2)</f>
        <v>2300</v>
      </c>
      <c r="R626" s="9">
        <f>ROUNDUP(Q626+(Q626*Assumptions!Q$5),-2)</f>
        <v>2400</v>
      </c>
      <c r="S626" s="47">
        <f>ROUNDUP(R626+(R626*Assumptions!R$5),-2)</f>
        <v>2500</v>
      </c>
    </row>
    <row r="627" spans="1:19" ht="12.75" customHeight="1" x14ac:dyDescent="0.2">
      <c r="A627" s="54">
        <v>5000</v>
      </c>
      <c r="B627" s="9">
        <v>6400</v>
      </c>
      <c r="C627" s="9">
        <v>4400</v>
      </c>
      <c r="D627" s="9">
        <v>5000</v>
      </c>
      <c r="E627" s="9">
        <v>2700</v>
      </c>
      <c r="F627" s="240" t="s">
        <v>2688</v>
      </c>
      <c r="G627" s="371" t="s">
        <v>1823</v>
      </c>
      <c r="H627" s="9">
        <v>7500</v>
      </c>
      <c r="I627" s="85">
        <f t="shared" si="445"/>
        <v>177.77777777777777</v>
      </c>
      <c r="J627" s="9">
        <v>5000</v>
      </c>
      <c r="K627" s="9">
        <f>ROUNDUP(J627+(J627*Assumptions!J$5),-2)</f>
        <v>5200</v>
      </c>
      <c r="L627" s="9">
        <f>ROUNDUP(K627+(K627*Assumptions!K$5),-2)</f>
        <v>5400</v>
      </c>
      <c r="M627" s="9">
        <f>ROUNDUP(L627+(L627*Assumptions!L$5),-2)</f>
        <v>5600</v>
      </c>
      <c r="N627" s="9">
        <f>ROUNDUP(M627+(M627*Assumptions!M$5),-2)</f>
        <v>5800</v>
      </c>
      <c r="O627" s="9">
        <f>ROUNDUP(N627+(N627*Assumptions!N$5),-2)</f>
        <v>6000</v>
      </c>
      <c r="P627" s="9">
        <f>ROUNDUP(O627+(O627*Assumptions!O$5),-2)</f>
        <v>6200</v>
      </c>
      <c r="Q627" s="9">
        <f>ROUNDUP(P627+(P627*Assumptions!P$5),-2)</f>
        <v>6400</v>
      </c>
      <c r="R627" s="9">
        <f>ROUNDUP(Q627+(Q627*Assumptions!Q$5),-2)</f>
        <v>6600</v>
      </c>
      <c r="S627" s="47">
        <f>ROUNDUP(R627+(R627*Assumptions!R$5),-2)</f>
        <v>6800</v>
      </c>
    </row>
    <row r="628" spans="1:19" ht="12.75" customHeight="1" x14ac:dyDescent="0.2">
      <c r="A628" s="54">
        <v>1700</v>
      </c>
      <c r="B628" s="9">
        <v>1900</v>
      </c>
      <c r="C628" s="9">
        <v>1800</v>
      </c>
      <c r="D628" s="9">
        <v>1800</v>
      </c>
      <c r="E628" s="9">
        <v>1900</v>
      </c>
      <c r="F628" s="240" t="s">
        <v>2693</v>
      </c>
      <c r="G628" s="371" t="s">
        <v>708</v>
      </c>
      <c r="H628" s="9">
        <v>2000</v>
      </c>
      <c r="I628" s="85">
        <f t="shared" si="445"/>
        <v>5.2631578947368416</v>
      </c>
      <c r="J628" s="9">
        <v>2100</v>
      </c>
      <c r="K628" s="9">
        <f>ROUNDUP(J628+(J628*Assumptions!J$5),-2)</f>
        <v>2200</v>
      </c>
      <c r="L628" s="9">
        <f>ROUNDUP(K628+(K628*Assumptions!K$5),-2)</f>
        <v>2300</v>
      </c>
      <c r="M628" s="9">
        <f>ROUNDUP(L628+(L628*Assumptions!L$5),-2)</f>
        <v>2400</v>
      </c>
      <c r="N628" s="9">
        <f>ROUNDUP(M628+(M628*Assumptions!M$5),-2)</f>
        <v>2500</v>
      </c>
      <c r="O628" s="9">
        <f>ROUNDUP(N628+(N628*Assumptions!N$5),-2)</f>
        <v>2600</v>
      </c>
      <c r="P628" s="9">
        <f>ROUNDUP(O628+(O628*Assumptions!O$5),-2)</f>
        <v>2700</v>
      </c>
      <c r="Q628" s="9">
        <f>ROUNDUP(P628+(P628*Assumptions!P$5),-2)</f>
        <v>2800</v>
      </c>
      <c r="R628" s="9">
        <f>ROUNDUP(Q628+(Q628*Assumptions!Q$5),-2)</f>
        <v>2900</v>
      </c>
      <c r="S628" s="47">
        <f>ROUNDUP(R628+(R628*Assumptions!R$5),-2)</f>
        <v>3000</v>
      </c>
    </row>
    <row r="629" spans="1:19" ht="12.75" customHeight="1" x14ac:dyDescent="0.2">
      <c r="A629" s="54">
        <v>1600</v>
      </c>
      <c r="B629" s="9">
        <v>1700</v>
      </c>
      <c r="C629" s="9">
        <v>100</v>
      </c>
      <c r="D629" s="9">
        <v>1600</v>
      </c>
      <c r="E629" s="9">
        <v>1400</v>
      </c>
      <c r="F629" s="240" t="s">
        <v>2690</v>
      </c>
      <c r="G629" s="371" t="s">
        <v>567</v>
      </c>
      <c r="H629" s="9">
        <v>2000</v>
      </c>
      <c r="I629" s="85">
        <f t="shared" si="445"/>
        <v>42.857142857142854</v>
      </c>
      <c r="J629" s="9">
        <v>2000</v>
      </c>
      <c r="K629" s="9">
        <f>ROUNDUP(J629+(J629*Assumptions!J$5),-2)</f>
        <v>2100</v>
      </c>
      <c r="L629" s="9">
        <f>ROUNDUP(K629+(K629*Assumptions!K$5),-2)</f>
        <v>2200</v>
      </c>
      <c r="M629" s="9">
        <f>ROUNDUP(L629+(L629*Assumptions!L$5),-2)</f>
        <v>2300</v>
      </c>
      <c r="N629" s="9">
        <f>ROUNDUP(M629+(M629*Assumptions!M$5),-2)</f>
        <v>2400</v>
      </c>
      <c r="O629" s="9">
        <f>ROUNDUP(N629+(N629*Assumptions!N$5),-2)</f>
        <v>2500</v>
      </c>
      <c r="P629" s="9">
        <f>ROUNDUP(O629+(O629*Assumptions!O$5),-2)</f>
        <v>2600</v>
      </c>
      <c r="Q629" s="9">
        <f>ROUNDUP(P629+(P629*Assumptions!P$5),-2)</f>
        <v>2700</v>
      </c>
      <c r="R629" s="9">
        <f>ROUNDUP(Q629+(Q629*Assumptions!Q$5),-2)</f>
        <v>2800</v>
      </c>
      <c r="S629" s="47">
        <f>ROUNDUP(R629+(R629*Assumptions!R$5),-2)</f>
        <v>2900</v>
      </c>
    </row>
    <row r="630" spans="1:19" ht="12.75" customHeight="1" x14ac:dyDescent="0.2">
      <c r="A630" s="54">
        <v>1000</v>
      </c>
      <c r="B630" s="9">
        <v>900</v>
      </c>
      <c r="C630" s="9">
        <v>1700</v>
      </c>
      <c r="D630" s="9">
        <v>1800</v>
      </c>
      <c r="E630" s="9">
        <v>2300</v>
      </c>
      <c r="F630" s="577" t="s">
        <v>3204</v>
      </c>
      <c r="G630" s="662" t="s">
        <v>666</v>
      </c>
      <c r="H630" s="9">
        <v>2500</v>
      </c>
      <c r="I630" s="85">
        <f t="shared" si="445"/>
        <v>8.695652173913043</v>
      </c>
      <c r="J630" s="9">
        <v>2500</v>
      </c>
      <c r="K630" s="9">
        <f>ROUNDUP(J630+(J630*Assumptions!J$5),-2)</f>
        <v>2600</v>
      </c>
      <c r="L630" s="9">
        <f>ROUNDUP(K630+(K630*Assumptions!K$5),-2)</f>
        <v>2700</v>
      </c>
      <c r="M630" s="9">
        <f>ROUNDUP(L630+(L630*Assumptions!L$5),-2)</f>
        <v>2800</v>
      </c>
      <c r="N630" s="9">
        <f>ROUNDUP(M630+(M630*Assumptions!M$5),-2)</f>
        <v>2900</v>
      </c>
      <c r="O630" s="9">
        <f>ROUNDUP(N630+(N630*Assumptions!N$5),-2)</f>
        <v>3000</v>
      </c>
      <c r="P630" s="9">
        <f>ROUNDUP(O630+(O630*Assumptions!O$5),-2)</f>
        <v>3100</v>
      </c>
      <c r="Q630" s="9">
        <f>ROUNDUP(P630+(P630*Assumptions!P$5),-2)</f>
        <v>3200</v>
      </c>
      <c r="R630" s="9">
        <f>ROUNDUP(Q630+(Q630*Assumptions!Q$5),-2)</f>
        <v>3300</v>
      </c>
      <c r="S630" s="47">
        <f>ROUNDUP(R630+(R630*Assumptions!R$5),-2)</f>
        <v>3400</v>
      </c>
    </row>
    <row r="631" spans="1:19" ht="12.75" customHeight="1" x14ac:dyDescent="0.2">
      <c r="A631" s="54">
        <v>3800</v>
      </c>
      <c r="B631" s="89">
        <v>4200</v>
      </c>
      <c r="C631" s="9">
        <v>3500</v>
      </c>
      <c r="D631" s="9">
        <v>3200</v>
      </c>
      <c r="E631" s="9">
        <v>3000</v>
      </c>
      <c r="F631" s="240" t="s">
        <v>2691</v>
      </c>
      <c r="G631" s="371" t="s">
        <v>2724</v>
      </c>
      <c r="H631" s="9">
        <f>3400-1000</f>
        <v>2400</v>
      </c>
      <c r="I631" s="85">
        <f t="shared" si="445"/>
        <v>-20</v>
      </c>
      <c r="J631" s="9">
        <v>3000</v>
      </c>
      <c r="K631" s="9">
        <f>ROUNDUP(J631+(J631*Assumptions!J$5),-2)</f>
        <v>3100</v>
      </c>
      <c r="L631" s="9">
        <f>ROUNDUP(K631+(K631*Assumptions!K$5),-2)</f>
        <v>3200</v>
      </c>
      <c r="M631" s="9">
        <f>ROUNDUP(L631+(L631*Assumptions!L$5),-2)</f>
        <v>3300</v>
      </c>
      <c r="N631" s="9">
        <f>ROUNDUP(M631+(M631*Assumptions!M$5),-2)</f>
        <v>3400</v>
      </c>
      <c r="O631" s="9">
        <f>ROUNDUP(N631+(N631*Assumptions!N$5),-2)</f>
        <v>3500</v>
      </c>
      <c r="P631" s="9">
        <f>ROUNDUP(O631+(O631*Assumptions!O$5),-2)</f>
        <v>3600</v>
      </c>
      <c r="Q631" s="9">
        <f>ROUNDUP(P631+(P631*Assumptions!P$5),-2)</f>
        <v>3700</v>
      </c>
      <c r="R631" s="9">
        <f>ROUNDUP(Q631+(Q631*Assumptions!Q$5),-2)</f>
        <v>3800</v>
      </c>
      <c r="S631" s="47">
        <f>ROUNDUP(R631+(R631*Assumptions!R$5),-2)</f>
        <v>3900</v>
      </c>
    </row>
    <row r="632" spans="1:19" ht="12.75" customHeight="1" x14ac:dyDescent="0.2">
      <c r="A632" s="54">
        <v>2800</v>
      </c>
      <c r="B632" s="89">
        <v>3100</v>
      </c>
      <c r="C632" s="9">
        <v>5000</v>
      </c>
      <c r="D632" s="9">
        <v>5400</v>
      </c>
      <c r="E632" s="9">
        <v>8900</v>
      </c>
      <c r="F632" s="240" t="s">
        <v>578</v>
      </c>
      <c r="G632" s="662" t="s">
        <v>1445</v>
      </c>
      <c r="H632" s="9">
        <f>5700+3000</f>
        <v>8700</v>
      </c>
      <c r="I632" s="85">
        <f t="shared" si="445"/>
        <v>-2.2471910112359552</v>
      </c>
      <c r="J632" s="9">
        <v>9500</v>
      </c>
      <c r="K632" s="9">
        <f>ROUNDUP(J632+(J632*Assumptions!J$5),-2)</f>
        <v>9800</v>
      </c>
      <c r="L632" s="9">
        <f>ROUNDUP(K632+(K632*Assumptions!K$5),-2)</f>
        <v>10100</v>
      </c>
      <c r="M632" s="9">
        <f>ROUNDUP(L632+(L632*Assumptions!L$5),-2)</f>
        <v>10400</v>
      </c>
      <c r="N632" s="9">
        <f>ROUNDUP(M632+(M632*Assumptions!M$5),-2)</f>
        <v>10700</v>
      </c>
      <c r="O632" s="9">
        <f>ROUNDUP(N632+(N632*Assumptions!N$5),-2)</f>
        <v>11000</v>
      </c>
      <c r="P632" s="9">
        <f>ROUNDUP(O632+(O632*Assumptions!O$5),-2)</f>
        <v>11300</v>
      </c>
      <c r="Q632" s="9">
        <f>ROUNDUP(P632+(P632*Assumptions!P$5),-2)</f>
        <v>11600</v>
      </c>
      <c r="R632" s="9">
        <f>ROUNDUP(Q632+(Q632*Assumptions!Q$5),-2)</f>
        <v>11900</v>
      </c>
      <c r="S632" s="47">
        <f>ROUNDUP(R632+(R632*Assumptions!R$5),-2)</f>
        <v>12200</v>
      </c>
    </row>
    <row r="633" spans="1:19" ht="12.75" customHeight="1" x14ac:dyDescent="0.2">
      <c r="A633" s="54">
        <v>5500</v>
      </c>
      <c r="B633" s="9">
        <v>6400</v>
      </c>
      <c r="C633" s="9">
        <v>5500</v>
      </c>
      <c r="D633" s="9">
        <v>4600</v>
      </c>
      <c r="E633" s="9">
        <v>4800</v>
      </c>
      <c r="F633" s="240" t="s">
        <v>24</v>
      </c>
      <c r="G633" s="371" t="s">
        <v>2157</v>
      </c>
      <c r="H633" s="9">
        <v>5000</v>
      </c>
      <c r="I633" s="85">
        <f t="shared" si="445"/>
        <v>4.1666666666666661</v>
      </c>
      <c r="J633" s="9">
        <v>5200</v>
      </c>
      <c r="K633" s="9">
        <f>ROUNDUP(J633+(J633*Assumptions!J$5),-2)</f>
        <v>5400</v>
      </c>
      <c r="L633" s="9">
        <f>ROUNDUP(K633+(K633*Assumptions!K$5),-2)</f>
        <v>5600</v>
      </c>
      <c r="M633" s="9">
        <f>ROUNDUP(L633+(L633*Assumptions!L$5),-2)</f>
        <v>5800</v>
      </c>
      <c r="N633" s="9">
        <f>ROUNDUP(M633+(M633*Assumptions!M$5),-2)</f>
        <v>6000</v>
      </c>
      <c r="O633" s="9">
        <f>ROUNDUP(N633+(N633*Assumptions!N$5),-2)</f>
        <v>6200</v>
      </c>
      <c r="P633" s="9">
        <f>ROUNDUP(O633+(O633*Assumptions!O$5),-2)</f>
        <v>6400</v>
      </c>
      <c r="Q633" s="9">
        <f>ROUNDUP(P633+(P633*Assumptions!P$5),-2)</f>
        <v>6600</v>
      </c>
      <c r="R633" s="9">
        <f>ROUNDUP(Q633+(Q633*Assumptions!Q$5),-2)</f>
        <v>6800</v>
      </c>
      <c r="S633" s="47">
        <f>ROUNDUP(R633+(R633*Assumptions!R$5),-2)</f>
        <v>7000</v>
      </c>
    </row>
    <row r="634" spans="1:19" ht="12.75" customHeight="1" x14ac:dyDescent="0.2">
      <c r="A634" s="54">
        <v>14400</v>
      </c>
      <c r="B634" s="9">
        <v>15100</v>
      </c>
      <c r="C634" s="9">
        <v>12000</v>
      </c>
      <c r="D634" s="9">
        <v>21200</v>
      </c>
      <c r="E634" s="9">
        <v>17600</v>
      </c>
      <c r="F634" s="240" t="s">
        <v>2689</v>
      </c>
      <c r="G634" s="371" t="s">
        <v>709</v>
      </c>
      <c r="H634" s="9">
        <v>22400</v>
      </c>
      <c r="I634" s="85">
        <f t="shared" si="445"/>
        <v>27.27272727272727</v>
      </c>
      <c r="J634" s="9">
        <v>20000</v>
      </c>
      <c r="K634" s="9">
        <f>ROUNDUP(J634+(J634*Assumptions!J$5),-2)</f>
        <v>20500</v>
      </c>
      <c r="L634" s="9">
        <f>ROUNDUP(K634+(K634*Assumptions!K$5),-2)</f>
        <v>21100</v>
      </c>
      <c r="M634" s="9">
        <f>ROUNDUP(L634+(L634*Assumptions!L$5),-2)</f>
        <v>21700</v>
      </c>
      <c r="N634" s="9">
        <f>ROUNDUP(M634+(M634*Assumptions!M$5),-2)</f>
        <v>22300</v>
      </c>
      <c r="O634" s="9">
        <f>ROUNDUP(N634+(N634*Assumptions!N$5),-2)</f>
        <v>22900</v>
      </c>
      <c r="P634" s="9">
        <f>ROUNDUP(O634+(O634*Assumptions!O$5),-2)</f>
        <v>23500</v>
      </c>
      <c r="Q634" s="9">
        <f>ROUNDUP(P634+(P634*Assumptions!P$5),-2)</f>
        <v>24100</v>
      </c>
      <c r="R634" s="9">
        <f>ROUNDUP(Q634+(Q634*Assumptions!Q$5),-2)</f>
        <v>24800</v>
      </c>
      <c r="S634" s="47">
        <f>ROUNDUP(R634+(R634*Assumptions!R$5),-2)</f>
        <v>25500</v>
      </c>
    </row>
    <row r="635" spans="1:19" ht="12.75" customHeight="1" x14ac:dyDescent="0.2">
      <c r="A635" s="54">
        <v>0</v>
      </c>
      <c r="B635" s="9">
        <v>0</v>
      </c>
      <c r="C635" s="9">
        <v>0</v>
      </c>
      <c r="D635" s="9">
        <v>0</v>
      </c>
      <c r="E635" s="9">
        <v>0</v>
      </c>
      <c r="F635" s="577" t="s">
        <v>11838</v>
      </c>
      <c r="G635" s="2357" t="s">
        <v>11839</v>
      </c>
      <c r="H635" s="9">
        <v>2000</v>
      </c>
      <c r="I635" s="85">
        <f t="shared" ref="I635" si="446">IF(E635=H635,0,IF(E635=0,100,(H635-E635)/E635*100))</f>
        <v>100</v>
      </c>
      <c r="J635" s="9">
        <v>2000</v>
      </c>
      <c r="K635" s="9">
        <f>ROUNDUP(J635+(J635*Assumptions!J$5),-2)</f>
        <v>2100</v>
      </c>
      <c r="L635" s="9">
        <f>ROUNDUP(K635+(K635*Assumptions!K$5),-2)</f>
        <v>2200</v>
      </c>
      <c r="M635" s="9">
        <f>ROUNDUP(L635+(L635*Assumptions!L$5),-2)</f>
        <v>2300</v>
      </c>
      <c r="N635" s="9">
        <f>ROUNDUP(M635+(M635*Assumptions!M$5),-2)</f>
        <v>2400</v>
      </c>
      <c r="O635" s="9">
        <f>ROUNDUP(N635+(N635*Assumptions!N$5),-2)</f>
        <v>2500</v>
      </c>
      <c r="P635" s="9">
        <f>ROUNDUP(O635+(O635*Assumptions!O$5),-2)</f>
        <v>2600</v>
      </c>
      <c r="Q635" s="9">
        <f>ROUNDUP(P635+(P635*Assumptions!P$5),-2)</f>
        <v>2700</v>
      </c>
      <c r="R635" s="9">
        <f>ROUNDUP(Q635+(Q635*Assumptions!Q$5),-2)</f>
        <v>2800</v>
      </c>
      <c r="S635" s="47">
        <f>ROUNDUP(R635+(R635*Assumptions!R$5),-2)</f>
        <v>2900</v>
      </c>
    </row>
    <row r="636" spans="1:19" ht="12.75" customHeight="1" x14ac:dyDescent="0.2">
      <c r="A636" s="54">
        <v>0</v>
      </c>
      <c r="B636" s="9">
        <v>0</v>
      </c>
      <c r="C636" s="9">
        <v>0</v>
      </c>
      <c r="D636" s="9">
        <v>0</v>
      </c>
      <c r="E636" s="9">
        <v>900</v>
      </c>
      <c r="F636" s="577" t="s">
        <v>6443</v>
      </c>
      <c r="G636" s="662" t="s">
        <v>6477</v>
      </c>
      <c r="H636" s="9">
        <v>2000</v>
      </c>
      <c r="I636" s="85">
        <f t="shared" si="445"/>
        <v>122.22222222222223</v>
      </c>
      <c r="J636" s="9">
        <v>2000</v>
      </c>
      <c r="K636" s="9">
        <f>ROUNDUP(J636+(J636*Assumptions!J$5),-2)</f>
        <v>2100</v>
      </c>
      <c r="L636" s="9">
        <f>ROUNDUP(K636+(K636*Assumptions!K$5),-2)</f>
        <v>2200</v>
      </c>
      <c r="M636" s="9">
        <f>ROUNDUP(L636+(L636*Assumptions!L$5),-2)</f>
        <v>2300</v>
      </c>
      <c r="N636" s="9">
        <f>ROUNDUP(M636+(M636*Assumptions!M$5),-2)</f>
        <v>2400</v>
      </c>
      <c r="O636" s="9">
        <f>ROUNDUP(N636+(N636*Assumptions!N$5),-2)</f>
        <v>2500</v>
      </c>
      <c r="P636" s="9">
        <f>ROUNDUP(O636+(O636*Assumptions!O$5),-2)</f>
        <v>2600</v>
      </c>
      <c r="Q636" s="9">
        <f>ROUNDUP(P636+(P636*Assumptions!P$5),-2)</f>
        <v>2700</v>
      </c>
      <c r="R636" s="9">
        <f>ROUNDUP(Q636+(Q636*Assumptions!Q$5),-2)</f>
        <v>2800</v>
      </c>
      <c r="S636" s="47">
        <f>ROUNDUP(R636+(R636*Assumptions!R$5),-2)</f>
        <v>2900</v>
      </c>
    </row>
    <row r="637" spans="1:19" ht="12.75" customHeight="1" x14ac:dyDescent="0.2">
      <c r="A637" s="54">
        <f>12900+1900</f>
        <v>14800</v>
      </c>
      <c r="B637" s="9">
        <f>14100+10300</f>
        <v>24400</v>
      </c>
      <c r="C637" s="9">
        <v>14300</v>
      </c>
      <c r="D637" s="9">
        <v>14300</v>
      </c>
      <c r="E637" s="9">
        <v>13800</v>
      </c>
      <c r="F637" s="240" t="s">
        <v>364</v>
      </c>
      <c r="G637" s="371" t="s">
        <v>2301</v>
      </c>
      <c r="H637" s="9">
        <v>13100</v>
      </c>
      <c r="I637" s="85">
        <f t="shared" si="445"/>
        <v>-5.0724637681159424</v>
      </c>
      <c r="J637" s="9">
        <v>13500</v>
      </c>
      <c r="K637" s="9">
        <f>ROUNDUP(J637+(J637*Assumptions!J$5),-2)</f>
        <v>13900</v>
      </c>
      <c r="L637" s="9">
        <f>ROUNDUP(K637+(K637*Assumptions!K$5),-2)</f>
        <v>14300</v>
      </c>
      <c r="M637" s="9">
        <f>ROUNDUP(L637+(L637*Assumptions!L$5),-2)</f>
        <v>14700</v>
      </c>
      <c r="N637" s="9">
        <f>ROUNDUP(M637+(M637*Assumptions!M$5),-2)</f>
        <v>15100</v>
      </c>
      <c r="O637" s="9">
        <f>ROUNDUP(N637+(N637*Assumptions!N$5),-2)</f>
        <v>15500</v>
      </c>
      <c r="P637" s="9">
        <f>ROUNDUP(O637+(O637*Assumptions!O$5),-2)</f>
        <v>15900</v>
      </c>
      <c r="Q637" s="9">
        <f>ROUNDUP(P637+(P637*Assumptions!P$5),-2)</f>
        <v>16300</v>
      </c>
      <c r="R637" s="9">
        <f>ROUNDUP(Q637+(Q637*Assumptions!Q$5),-2)</f>
        <v>16800</v>
      </c>
      <c r="S637" s="47">
        <f>ROUNDUP(R637+(R637*Assumptions!R$5),-2)</f>
        <v>17300</v>
      </c>
    </row>
    <row r="638" spans="1:19" ht="12.75" customHeight="1" x14ac:dyDescent="0.2">
      <c r="A638" s="54">
        <v>500</v>
      </c>
      <c r="B638" s="9">
        <v>600</v>
      </c>
      <c r="C638" s="9">
        <v>30900</v>
      </c>
      <c r="D638" s="9">
        <v>15600</v>
      </c>
      <c r="E638" s="9">
        <v>31500</v>
      </c>
      <c r="F638" s="240" t="s">
        <v>366</v>
      </c>
      <c r="G638" s="662" t="s">
        <v>3273</v>
      </c>
      <c r="H638" s="9">
        <f>ROUND(H612/2,-3)</f>
        <v>16000</v>
      </c>
      <c r="I638" s="85">
        <f t="shared" si="445"/>
        <v>-49.206349206349202</v>
      </c>
      <c r="J638" s="9">
        <v>17000</v>
      </c>
      <c r="K638" s="9">
        <f t="shared" ref="K638:R638" si="447">ROUND(K612/2,-3)</f>
        <v>17000</v>
      </c>
      <c r="L638" s="9">
        <f t="shared" si="447"/>
        <v>17000</v>
      </c>
      <c r="M638" s="9">
        <f t="shared" si="447"/>
        <v>18000</v>
      </c>
      <c r="N638" s="9">
        <f t="shared" si="447"/>
        <v>18000</v>
      </c>
      <c r="O638" s="9">
        <f t="shared" si="447"/>
        <v>19000</v>
      </c>
      <c r="P638" s="9">
        <f t="shared" si="447"/>
        <v>19000</v>
      </c>
      <c r="Q638" s="9">
        <f t="shared" si="447"/>
        <v>20000</v>
      </c>
      <c r="R638" s="9">
        <f t="shared" si="447"/>
        <v>20000</v>
      </c>
      <c r="S638" s="47">
        <f t="shared" ref="S638" si="448">ROUND(S612/2,-3)</f>
        <v>21000</v>
      </c>
    </row>
    <row r="639" spans="1:19" s="39" customFormat="1" ht="12.75" customHeight="1" x14ac:dyDescent="0.2">
      <c r="A639" s="54">
        <v>4000</v>
      </c>
      <c r="B639" s="9">
        <v>3300</v>
      </c>
      <c r="C639" s="9">
        <v>3000</v>
      </c>
      <c r="D639" s="9">
        <v>1000</v>
      </c>
      <c r="E639" s="9">
        <v>2900</v>
      </c>
      <c r="F639" s="917" t="s">
        <v>1673</v>
      </c>
      <c r="G639" s="371" t="s">
        <v>1672</v>
      </c>
      <c r="H639" s="9">
        <v>4000</v>
      </c>
      <c r="I639" s="85">
        <f t="shared" si="445"/>
        <v>37.931034482758619</v>
      </c>
      <c r="J639" s="9">
        <v>4000</v>
      </c>
      <c r="K639" s="9">
        <f>ROUNDUP(J639+(J639*Assumptions!J$5),-2)</f>
        <v>4100</v>
      </c>
      <c r="L639" s="9">
        <f>ROUNDUP(K639+(K639*Assumptions!K$5),-2)</f>
        <v>4300</v>
      </c>
      <c r="M639" s="9">
        <f>ROUNDUP(L639+(L639*Assumptions!L$5),-2)</f>
        <v>4500</v>
      </c>
      <c r="N639" s="9">
        <f>ROUNDUP(M639+(M639*Assumptions!M$5),-2)</f>
        <v>4700</v>
      </c>
      <c r="O639" s="9">
        <f>ROUNDUP(N639+(N639*Assumptions!N$5),-2)</f>
        <v>4900</v>
      </c>
      <c r="P639" s="9">
        <f>ROUNDUP(O639+(O639*Assumptions!O$5),-2)</f>
        <v>5100</v>
      </c>
      <c r="Q639" s="9">
        <f>ROUNDUP(P639+(P639*Assumptions!P$5),-2)</f>
        <v>5300</v>
      </c>
      <c r="R639" s="9">
        <f>ROUNDUP(Q639+(Q639*Assumptions!Q$5),-2)</f>
        <v>5500</v>
      </c>
      <c r="S639" s="47">
        <f>ROUNDUP(R639+(R639*Assumptions!R$5),-2)</f>
        <v>5700</v>
      </c>
    </row>
    <row r="640" spans="1:19" s="39" customFormat="1" ht="12.75" customHeight="1" x14ac:dyDescent="0.2">
      <c r="A640" s="54">
        <v>500</v>
      </c>
      <c r="B640" s="9">
        <v>300</v>
      </c>
      <c r="C640" s="9">
        <v>6400</v>
      </c>
      <c r="D640" s="9">
        <v>400</v>
      </c>
      <c r="E640" s="9">
        <v>6800</v>
      </c>
      <c r="F640" s="917" t="s">
        <v>365</v>
      </c>
      <c r="G640" s="371" t="s">
        <v>992</v>
      </c>
      <c r="H640" s="9">
        <v>7700</v>
      </c>
      <c r="I640" s="85">
        <f t="shared" si="445"/>
        <v>13.23529411764706</v>
      </c>
      <c r="J640" s="9">
        <v>7700</v>
      </c>
      <c r="K640" s="9">
        <f>ROUNDUP(J640+(J640*Assumptions!J$5),-2)</f>
        <v>7900</v>
      </c>
      <c r="L640" s="9">
        <f>ROUNDUP(K640+(K640*Assumptions!K$5),-2)</f>
        <v>8100</v>
      </c>
      <c r="M640" s="9">
        <f>ROUNDUP(L640+(L640*Assumptions!L$5),-2)</f>
        <v>8400</v>
      </c>
      <c r="N640" s="9">
        <f>ROUNDUP(M640+(M640*Assumptions!M$5),-2)</f>
        <v>8700</v>
      </c>
      <c r="O640" s="9">
        <f>ROUNDUP(N640+(N640*Assumptions!N$5),-2)</f>
        <v>9000</v>
      </c>
      <c r="P640" s="9">
        <f>ROUNDUP(O640+(O640*Assumptions!O$5),-2)</f>
        <v>9300</v>
      </c>
      <c r="Q640" s="9">
        <f>ROUNDUP(P640+(P640*Assumptions!P$5),-2)</f>
        <v>9600</v>
      </c>
      <c r="R640" s="9">
        <f>ROUNDUP(Q640+(Q640*Assumptions!Q$5),-2)</f>
        <v>9900</v>
      </c>
      <c r="S640" s="47">
        <f>ROUNDUP(R640+(R640*Assumptions!R$5),-2)</f>
        <v>10200</v>
      </c>
    </row>
    <row r="641" spans="1:19" ht="12.75" customHeight="1" x14ac:dyDescent="0.2">
      <c r="A641" s="54">
        <v>0</v>
      </c>
      <c r="B641" s="9">
        <v>0</v>
      </c>
      <c r="C641" s="9">
        <v>4800</v>
      </c>
      <c r="D641" s="9">
        <v>3900</v>
      </c>
      <c r="E641" s="9">
        <v>5100</v>
      </c>
      <c r="F641" s="917" t="s">
        <v>1421</v>
      </c>
      <c r="G641" s="662" t="s">
        <v>4080</v>
      </c>
      <c r="H641" s="9">
        <v>4600</v>
      </c>
      <c r="I641" s="85">
        <f t="shared" si="445"/>
        <v>-9.8039215686274517</v>
      </c>
      <c r="J641" s="9">
        <v>5000</v>
      </c>
      <c r="K641" s="9">
        <f>ROUNDUP(J641+(J641*Assumptions!J$5),-2)</f>
        <v>5200</v>
      </c>
      <c r="L641" s="9">
        <f>ROUNDUP(K641+(K641*Assumptions!K$5),-2)</f>
        <v>5400</v>
      </c>
      <c r="M641" s="9">
        <f>ROUNDUP(L641+(L641*Assumptions!L$5),-2)</f>
        <v>5600</v>
      </c>
      <c r="N641" s="9">
        <f>ROUNDUP(M641+(M641*Assumptions!M$5),-2)</f>
        <v>5800</v>
      </c>
      <c r="O641" s="9">
        <f>ROUNDUP(N641+(N641*Assumptions!N$5),-2)</f>
        <v>6000</v>
      </c>
      <c r="P641" s="9">
        <f>ROUNDUP(O641+(O641*Assumptions!O$5),-2)</f>
        <v>6200</v>
      </c>
      <c r="Q641" s="9">
        <f>ROUNDUP(P641+(P641*Assumptions!P$5),-2)</f>
        <v>6400</v>
      </c>
      <c r="R641" s="9">
        <f>ROUNDUP(Q641+(Q641*Assumptions!Q$5),-2)</f>
        <v>6600</v>
      </c>
      <c r="S641" s="47">
        <f>ROUNDUP(R641+(R641*Assumptions!R$5),-2)</f>
        <v>6800</v>
      </c>
    </row>
    <row r="642" spans="1:19" s="39" customFormat="1" ht="12.75" customHeight="1" x14ac:dyDescent="0.2">
      <c r="A642" s="54">
        <v>1500</v>
      </c>
      <c r="B642" s="9">
        <v>0</v>
      </c>
      <c r="C642" s="9">
        <v>1700</v>
      </c>
      <c r="D642" s="9">
        <v>15300</v>
      </c>
      <c r="E642" s="9">
        <v>1600</v>
      </c>
      <c r="F642" s="917" t="s">
        <v>4924</v>
      </c>
      <c r="G642" s="662" t="s">
        <v>3502</v>
      </c>
      <c r="H642" s="9">
        <f>2000+700</f>
        <v>2700</v>
      </c>
      <c r="I642" s="85">
        <f t="shared" si="445"/>
        <v>68.75</v>
      </c>
      <c r="J642" s="9">
        <v>2000</v>
      </c>
      <c r="K642" s="9">
        <f>ROUNDUP(J642+(J642*Assumptions!J$5),-2)</f>
        <v>2100</v>
      </c>
      <c r="L642" s="9">
        <f>ROUNDUP(K642+(K642*Assumptions!K$5),-2)</f>
        <v>2200</v>
      </c>
      <c r="M642" s="9">
        <f>ROUNDUP(L642+(L642*Assumptions!L$5),-2)</f>
        <v>2300</v>
      </c>
      <c r="N642" s="9">
        <f>ROUNDUP(M642+(M642*Assumptions!M$5),-2)</f>
        <v>2400</v>
      </c>
      <c r="O642" s="9">
        <f>ROUNDUP(N642+(N642*Assumptions!N$5),-2)</f>
        <v>2500</v>
      </c>
      <c r="P642" s="9">
        <f>ROUNDUP(O642+(O642*Assumptions!O$5),-2)</f>
        <v>2600</v>
      </c>
      <c r="Q642" s="9">
        <f>ROUNDUP(P642+(P642*Assumptions!P$5),-2)</f>
        <v>2700</v>
      </c>
      <c r="R642" s="9">
        <f>ROUNDUP(Q642+(Q642*Assumptions!Q$5),-2)</f>
        <v>2800</v>
      </c>
      <c r="S642" s="47">
        <f>ROUNDUP(R642+(R642*Assumptions!R$5),-2)</f>
        <v>2900</v>
      </c>
    </row>
    <row r="643" spans="1:19" ht="12.75" customHeight="1" x14ac:dyDescent="0.2">
      <c r="A643" s="54">
        <v>0</v>
      </c>
      <c r="B643" s="9">
        <v>0</v>
      </c>
      <c r="C643" s="9">
        <v>0</v>
      </c>
      <c r="D643" s="9">
        <v>0</v>
      </c>
      <c r="E643" s="9">
        <v>2500</v>
      </c>
      <c r="F643" s="917" t="s">
        <v>6660</v>
      </c>
      <c r="G643" s="31" t="s">
        <v>6703</v>
      </c>
      <c r="H643" s="9">
        <v>2500</v>
      </c>
      <c r="I643" s="85">
        <f t="shared" si="445"/>
        <v>0</v>
      </c>
      <c r="J643" s="9">
        <v>0</v>
      </c>
      <c r="K643" s="9">
        <f>ROUNDUP(J643+(J643*Assumptions!J$5),-2)</f>
        <v>0</v>
      </c>
      <c r="L643" s="9">
        <f>ROUNDUP(K643+(K643*Assumptions!K$5),-2)</f>
        <v>0</v>
      </c>
      <c r="M643" s="9">
        <f>ROUNDUP(L643+(L643*Assumptions!L$5),-2)</f>
        <v>0</v>
      </c>
      <c r="N643" s="9">
        <f>ROUNDUP(M643+(M643*Assumptions!M$5),-2)</f>
        <v>0</v>
      </c>
      <c r="O643" s="9">
        <f>ROUNDUP(N643+(N643*Assumptions!N$5),-2)</f>
        <v>0</v>
      </c>
      <c r="P643" s="9">
        <f>ROUNDUP(O643+(O643*Assumptions!O$5),-2)</f>
        <v>0</v>
      </c>
      <c r="Q643" s="9">
        <f>ROUNDUP(P643+(P643*Assumptions!P$5),-2)</f>
        <v>0</v>
      </c>
      <c r="R643" s="9">
        <f>ROUNDUP(Q643+(Q643*Assumptions!Q$5),-2)</f>
        <v>0</v>
      </c>
      <c r="S643" s="47">
        <f>ROUNDUP(R643+(R643*Assumptions!R$5),-2)</f>
        <v>0</v>
      </c>
    </row>
    <row r="644" spans="1:19" ht="12.75" customHeight="1" x14ac:dyDescent="0.2">
      <c r="A644" s="54">
        <v>0</v>
      </c>
      <c r="B644" s="9">
        <v>0</v>
      </c>
      <c r="C644" s="9">
        <v>0</v>
      </c>
      <c r="D644" s="9">
        <v>0</v>
      </c>
      <c r="E644" s="9">
        <v>2400</v>
      </c>
      <c r="F644" s="917" t="s">
        <v>6851</v>
      </c>
      <c r="G644" s="31" t="s">
        <v>6960</v>
      </c>
      <c r="H644" s="9">
        <v>5600</v>
      </c>
      <c r="I644" s="85">
        <f t="shared" si="445"/>
        <v>133.33333333333331</v>
      </c>
      <c r="J644" s="9">
        <v>0</v>
      </c>
      <c r="K644" s="9">
        <f>ROUNDUP(J644+(J644*Assumptions!J$5),-2)</f>
        <v>0</v>
      </c>
      <c r="L644" s="9">
        <f>ROUNDUP(K644+(K644*Assumptions!K$5),-2)</f>
        <v>0</v>
      </c>
      <c r="M644" s="9">
        <f>ROUNDUP(L644+(L644*Assumptions!L$5),-2)</f>
        <v>0</v>
      </c>
      <c r="N644" s="9">
        <f>ROUNDUP(M644+(M644*Assumptions!M$5),-2)</f>
        <v>0</v>
      </c>
      <c r="O644" s="9">
        <f>ROUNDUP(N644+(N644*Assumptions!N$5),-2)</f>
        <v>0</v>
      </c>
      <c r="P644" s="9">
        <f>ROUNDUP(O644+(O644*Assumptions!O$5),-2)</f>
        <v>0</v>
      </c>
      <c r="Q644" s="9">
        <f>ROUNDUP(P644+(P644*Assumptions!P$5),-2)</f>
        <v>0</v>
      </c>
      <c r="R644" s="9">
        <f>ROUNDUP(Q644+(Q644*Assumptions!Q$5),-2)</f>
        <v>0</v>
      </c>
      <c r="S644" s="47">
        <f>ROUNDUP(R644+(R644*Assumptions!R$5),-2)</f>
        <v>0</v>
      </c>
    </row>
    <row r="645" spans="1:19" ht="12.75" customHeight="1" x14ac:dyDescent="0.2">
      <c r="A645" s="54">
        <v>0</v>
      </c>
      <c r="B645" s="9">
        <v>0</v>
      </c>
      <c r="C645" s="9">
        <v>0</v>
      </c>
      <c r="D645" s="9">
        <v>0</v>
      </c>
      <c r="E645" s="9">
        <v>0</v>
      </c>
      <c r="F645" s="917" t="s">
        <v>7224</v>
      </c>
      <c r="G645" s="31" t="s">
        <v>7010</v>
      </c>
      <c r="H645" s="9">
        <f>4500-2000</f>
        <v>2500</v>
      </c>
      <c r="I645" s="85">
        <f t="shared" si="445"/>
        <v>100</v>
      </c>
      <c r="J645" s="9">
        <v>2500</v>
      </c>
      <c r="K645" s="9">
        <f>ROUNDUP(J645+(J645*Assumptions!J$5),-2)</f>
        <v>2600</v>
      </c>
      <c r="L645" s="9">
        <f>ROUNDUP(J645+(J645*Assumptions!K$5),-2)</f>
        <v>2600</v>
      </c>
      <c r="M645" s="9">
        <f>ROUNDUP(K645+(K645*Assumptions!L$5),-2)</f>
        <v>2700</v>
      </c>
      <c r="N645" s="9">
        <f>ROUNDUP(L645+(L645*Assumptions!M$5),-2)</f>
        <v>2700</v>
      </c>
      <c r="O645" s="9">
        <f>ROUNDUP(M645+(M645*Assumptions!N$5),-2)</f>
        <v>2800</v>
      </c>
      <c r="P645" s="9">
        <f>ROUNDUP(N645+(N645*Assumptions!O$5),-2)</f>
        <v>2800</v>
      </c>
      <c r="Q645" s="9">
        <f>ROUNDUP(O645+(O645*Assumptions!P$5),-2)</f>
        <v>2900</v>
      </c>
      <c r="R645" s="9">
        <f>ROUNDUP(P645+(P645*Assumptions!Q$5),-2)</f>
        <v>2900</v>
      </c>
      <c r="S645" s="47">
        <f>ROUNDUP(Q645+(Q645*Assumptions!R$5),-2)</f>
        <v>3000</v>
      </c>
    </row>
    <row r="646" spans="1:19" ht="12.75" customHeight="1" x14ac:dyDescent="0.2">
      <c r="A646" s="54">
        <v>0</v>
      </c>
      <c r="B646" s="9">
        <v>0</v>
      </c>
      <c r="C646" s="9">
        <v>0</v>
      </c>
      <c r="D646" s="9">
        <v>0</v>
      </c>
      <c r="E646" s="9">
        <v>0</v>
      </c>
      <c r="F646" s="917" t="s">
        <v>7225</v>
      </c>
      <c r="G646" s="31" t="s">
        <v>7011</v>
      </c>
      <c r="H646" s="9">
        <v>7400</v>
      </c>
      <c r="I646" s="85">
        <f t="shared" si="445"/>
        <v>100</v>
      </c>
      <c r="J646" s="9">
        <v>15000</v>
      </c>
      <c r="K646" s="9">
        <f>ROUNDUP(J646+(J646*Assumptions!J$5),-2)</f>
        <v>15400</v>
      </c>
      <c r="L646" s="9">
        <f>ROUNDUP(J646+(J646*Assumptions!K$5),-2)</f>
        <v>15400</v>
      </c>
      <c r="M646" s="9">
        <f>ROUNDUP(K646+(K646*Assumptions!L$5),-2)</f>
        <v>15800</v>
      </c>
      <c r="N646" s="9">
        <f>ROUNDUP(L646+(L646*Assumptions!M$5),-2)</f>
        <v>15800</v>
      </c>
      <c r="O646" s="9">
        <f>ROUNDUP(M646+(M646*Assumptions!N$5),-2)</f>
        <v>16200</v>
      </c>
      <c r="P646" s="9">
        <f>ROUNDUP(N646+(N646*Assumptions!O$5),-2)</f>
        <v>16200</v>
      </c>
      <c r="Q646" s="9">
        <f>ROUNDUP(O646+(O646*Assumptions!P$5),-2)</f>
        <v>16700</v>
      </c>
      <c r="R646" s="9">
        <f>ROUNDUP(P646+(P646*Assumptions!Q$5),-2)</f>
        <v>16700</v>
      </c>
      <c r="S646" s="47">
        <f>ROUNDUP(Q646+(Q646*Assumptions!R$5),-2)</f>
        <v>17200</v>
      </c>
    </row>
    <row r="647" spans="1:19" ht="12.75" customHeight="1" x14ac:dyDescent="0.2">
      <c r="A647" s="54"/>
      <c r="B647" s="89"/>
      <c r="C647" s="9"/>
      <c r="D647" s="9"/>
      <c r="E647" s="9"/>
      <c r="F647" s="240"/>
      <c r="G647" s="63" t="s">
        <v>261</v>
      </c>
      <c r="H647" s="9"/>
      <c r="I647" s="85"/>
      <c r="J647" s="9"/>
      <c r="K647" s="9"/>
      <c r="L647" s="9"/>
      <c r="M647" s="9"/>
      <c r="N647" s="9"/>
      <c r="O647" s="9"/>
      <c r="P647" s="9"/>
      <c r="Q647" s="9"/>
      <c r="R647" s="9"/>
      <c r="S647" s="47"/>
    </row>
    <row r="648" spans="1:19" ht="12.75" customHeight="1" thickBot="1" x14ac:dyDescent="0.25">
      <c r="A648" s="54">
        <v>43800</v>
      </c>
      <c r="B648" s="9">
        <v>45000</v>
      </c>
      <c r="C648" s="9">
        <v>45100</v>
      </c>
      <c r="D648" s="9">
        <v>46000</v>
      </c>
      <c r="E648" s="9">
        <v>48200</v>
      </c>
      <c r="F648" s="577" t="s">
        <v>6614</v>
      </c>
      <c r="G648" s="662" t="s">
        <v>3639</v>
      </c>
      <c r="H648" s="9">
        <v>45900</v>
      </c>
      <c r="I648" s="85">
        <f>IF(E648=H648,0,IF(E648=0,100,(H648-E648)/E648*100))</f>
        <v>-4.7717842323651452</v>
      </c>
      <c r="J648" s="9">
        <v>50000</v>
      </c>
      <c r="K648" s="9">
        <f>ROUNDUP(J648+(J648*Assumptions!J$18),-2)</f>
        <v>51000</v>
      </c>
      <c r="L648" s="9">
        <f>ROUNDUP(K648+(K648*Assumptions!K$18),-2)</f>
        <v>52100</v>
      </c>
      <c r="M648" s="9">
        <f>ROUNDUP(L648+(L648*Assumptions!L$18),-2)</f>
        <v>53200</v>
      </c>
      <c r="N648" s="9">
        <f>ROUNDUP(M648+(M648*Assumptions!M$18),-2)</f>
        <v>54300</v>
      </c>
      <c r="O648" s="9">
        <f>ROUNDUP(N648+(N648*Assumptions!N$18),-2)</f>
        <v>55400</v>
      </c>
      <c r="P648" s="9">
        <f>ROUNDUP(O648+(O648*Assumptions!O$18),-2)</f>
        <v>56600</v>
      </c>
      <c r="Q648" s="9">
        <f>ROUNDUP(P648+(P648*Assumptions!P$18),-2)</f>
        <v>57800</v>
      </c>
      <c r="R648" s="9">
        <f>ROUNDUP(Q648+(Q648*Assumptions!Q$18),-2)</f>
        <v>59000</v>
      </c>
      <c r="S648" s="47">
        <f>ROUNDUP(R648+(R648*Assumptions!R$18),-2)</f>
        <v>60200</v>
      </c>
    </row>
    <row r="649" spans="1:19" s="39" customFormat="1" ht="12.75" customHeight="1" x14ac:dyDescent="0.2">
      <c r="A649" s="52">
        <f>SUM(A616:A648)</f>
        <v>217000</v>
      </c>
      <c r="B649" s="102">
        <f>SUM(B616:B648)</f>
        <v>229600</v>
      </c>
      <c r="C649" s="16">
        <f>SUM(C616:C648)</f>
        <v>284100</v>
      </c>
      <c r="D649" s="16">
        <f>SUM(D616:D648)</f>
        <v>301800</v>
      </c>
      <c r="E649" s="16">
        <f>SUM(E616:E648)</f>
        <v>350000</v>
      </c>
      <c r="F649" s="188"/>
      <c r="G649" s="267" t="s">
        <v>556</v>
      </c>
      <c r="H649" s="16">
        <f>SUM(H616:H648)</f>
        <v>376800</v>
      </c>
      <c r="I649" s="127">
        <f>IF(E649=H649,0,IF(E649=0,100,(H649-E649)/E649*100))</f>
        <v>7.6571428571428566</v>
      </c>
      <c r="J649" s="16">
        <f t="shared" ref="J649:R649" si="449">SUM(J616:J648)</f>
        <v>380400</v>
      </c>
      <c r="K649" s="16">
        <f t="shared" si="449"/>
        <v>390000</v>
      </c>
      <c r="L649" s="16">
        <f t="shared" si="449"/>
        <v>399500</v>
      </c>
      <c r="M649" s="16">
        <f t="shared" si="449"/>
        <v>410700</v>
      </c>
      <c r="N649" s="16">
        <f t="shared" si="449"/>
        <v>420600</v>
      </c>
      <c r="O649" s="16">
        <f t="shared" si="449"/>
        <v>432100</v>
      </c>
      <c r="P649" s="16">
        <f t="shared" si="449"/>
        <v>442300</v>
      </c>
      <c r="Q649" s="16">
        <f t="shared" si="449"/>
        <v>454200</v>
      </c>
      <c r="R649" s="16">
        <f t="shared" si="449"/>
        <v>464900</v>
      </c>
      <c r="S649" s="2342">
        <f t="shared" ref="S649" si="450">SUM(S616:S648)</f>
        <v>477300</v>
      </c>
    </row>
    <row r="650" spans="1:19" ht="12.75" customHeight="1" x14ac:dyDescent="0.2">
      <c r="A650" s="24">
        <f>A615-A649</f>
        <v>-145600</v>
      </c>
      <c r="B650" s="21">
        <f>B615-B649</f>
        <v>-153400</v>
      </c>
      <c r="C650" s="21">
        <f>C615-C649</f>
        <v>-212300</v>
      </c>
      <c r="D650" s="21">
        <f>D615-D649</f>
        <v>-224700</v>
      </c>
      <c r="E650" s="21">
        <f>E615-E649</f>
        <v>-251200</v>
      </c>
      <c r="F650" s="188"/>
      <c r="G650" s="1161" t="s">
        <v>1002</v>
      </c>
      <c r="H650" s="21">
        <f>H615-H649</f>
        <v>-272800</v>
      </c>
      <c r="I650" s="126">
        <f>IF(E650=H650,0,IF(E650=0,100,(H650-E650)/E650*100))</f>
        <v>8.598726114649681</v>
      </c>
      <c r="J650" s="21">
        <f t="shared" ref="J650:R650" si="451">J615-J649</f>
        <v>-266900</v>
      </c>
      <c r="K650" s="21">
        <f t="shared" si="451"/>
        <v>-273200</v>
      </c>
      <c r="L650" s="21">
        <f t="shared" si="451"/>
        <v>-279300</v>
      </c>
      <c r="M650" s="21">
        <f t="shared" si="451"/>
        <v>-287100</v>
      </c>
      <c r="N650" s="21">
        <f t="shared" si="451"/>
        <v>-293500</v>
      </c>
      <c r="O650" s="21">
        <f t="shared" si="451"/>
        <v>-301400</v>
      </c>
      <c r="P650" s="21">
        <f t="shared" si="451"/>
        <v>-307900</v>
      </c>
      <c r="Q650" s="21">
        <f t="shared" si="451"/>
        <v>-316100</v>
      </c>
      <c r="R650" s="21">
        <f t="shared" si="451"/>
        <v>-323100</v>
      </c>
      <c r="S650" s="86">
        <f t="shared" ref="S650" si="452">S615-S649</f>
        <v>-331600</v>
      </c>
    </row>
    <row r="651" spans="1:19" ht="12.75" customHeight="1" x14ac:dyDescent="0.2">
      <c r="A651" s="54">
        <f>A648</f>
        <v>43800</v>
      </c>
      <c r="B651" s="9">
        <f>B648</f>
        <v>45000</v>
      </c>
      <c r="C651" s="9">
        <f>C648</f>
        <v>45100</v>
      </c>
      <c r="D651" s="9">
        <f>D648</f>
        <v>46000</v>
      </c>
      <c r="E651" s="9">
        <f>E648</f>
        <v>48200</v>
      </c>
      <c r="F651" s="177"/>
      <c r="G651" s="217" t="s">
        <v>1943</v>
      </c>
      <c r="H651" s="9">
        <f>H648</f>
        <v>45900</v>
      </c>
      <c r="I651" s="85">
        <f>IF(E651=H651,0,IF(E651=0,100,(H651-E651)/E651*100))</f>
        <v>-4.7717842323651452</v>
      </c>
      <c r="J651" s="9">
        <f t="shared" ref="J651:R651" si="453">J648</f>
        <v>50000</v>
      </c>
      <c r="K651" s="9">
        <f t="shared" si="453"/>
        <v>51000</v>
      </c>
      <c r="L651" s="9">
        <f t="shared" si="453"/>
        <v>52100</v>
      </c>
      <c r="M651" s="9">
        <f t="shared" si="453"/>
        <v>53200</v>
      </c>
      <c r="N651" s="9">
        <f t="shared" si="453"/>
        <v>54300</v>
      </c>
      <c r="O651" s="9">
        <f t="shared" si="453"/>
        <v>55400</v>
      </c>
      <c r="P651" s="9">
        <f t="shared" si="453"/>
        <v>56600</v>
      </c>
      <c r="Q651" s="9">
        <f t="shared" si="453"/>
        <v>57800</v>
      </c>
      <c r="R651" s="9">
        <f t="shared" si="453"/>
        <v>59000</v>
      </c>
      <c r="S651" s="47">
        <f t="shared" ref="S651" si="454">S648</f>
        <v>60200</v>
      </c>
    </row>
    <row r="652" spans="1:19" s="38" customFormat="1" ht="12.75" customHeight="1" thickBot="1" x14ac:dyDescent="0.3">
      <c r="A652" s="1017">
        <f>A650+A651</f>
        <v>-101800</v>
      </c>
      <c r="B652" s="1018">
        <f>B650+B651</f>
        <v>-108400</v>
      </c>
      <c r="C652" s="1018">
        <f>C650+C651</f>
        <v>-167200</v>
      </c>
      <c r="D652" s="1018">
        <f>D650+D651</f>
        <v>-178700</v>
      </c>
      <c r="E652" s="1018">
        <f t="shared" ref="E652" si="455">E650+E651</f>
        <v>-203000</v>
      </c>
      <c r="F652" s="1673"/>
      <c r="G652" s="1674" t="s">
        <v>1659</v>
      </c>
      <c r="H652" s="1018">
        <f t="shared" ref="H652:O652" si="456">H650+H651</f>
        <v>-226900</v>
      </c>
      <c r="I652" s="1022">
        <f>IF(E652=H652,0,IF(E652=0,100,(H652-E652)/E652*100))</f>
        <v>11.773399014778326</v>
      </c>
      <c r="J652" s="1018">
        <f t="shared" si="456"/>
        <v>-216900</v>
      </c>
      <c r="K652" s="1018">
        <f t="shared" si="456"/>
        <v>-222200</v>
      </c>
      <c r="L652" s="1018">
        <f t="shared" si="456"/>
        <v>-227200</v>
      </c>
      <c r="M652" s="1018">
        <f t="shared" si="456"/>
        <v>-233900</v>
      </c>
      <c r="N652" s="1018">
        <f t="shared" si="456"/>
        <v>-239200</v>
      </c>
      <c r="O652" s="1018">
        <f t="shared" si="456"/>
        <v>-246000</v>
      </c>
      <c r="P652" s="1018">
        <f t="shared" ref="P652:Q652" si="457">P650+P651</f>
        <v>-251300</v>
      </c>
      <c r="Q652" s="1018">
        <f t="shared" si="457"/>
        <v>-258300</v>
      </c>
      <c r="R652" s="1018">
        <f t="shared" ref="R652" si="458">R650+R651</f>
        <v>-264100</v>
      </c>
      <c r="S652" s="2358">
        <f t="shared" ref="S652" si="459">S650+S651</f>
        <v>-271400</v>
      </c>
    </row>
    <row r="653" spans="1:19" s="39" customFormat="1" ht="12.75" customHeight="1" thickTop="1" x14ac:dyDescent="0.2">
      <c r="A653" s="24"/>
      <c r="B653" s="75"/>
      <c r="C653" s="21"/>
      <c r="D653" s="21"/>
      <c r="E653" s="9"/>
      <c r="F653" s="189"/>
      <c r="G653" s="361" t="s">
        <v>192</v>
      </c>
      <c r="H653" s="9"/>
      <c r="I653" s="126"/>
      <c r="J653" s="9"/>
      <c r="K653" s="9"/>
      <c r="L653" s="9"/>
      <c r="M653" s="9"/>
      <c r="N653" s="9"/>
      <c r="O653" s="9"/>
      <c r="P653" s="9"/>
      <c r="Q653" s="9"/>
      <c r="R653" s="9"/>
      <c r="S653" s="61"/>
    </row>
    <row r="654" spans="1:19" ht="12.75" customHeight="1" x14ac:dyDescent="0.2">
      <c r="A654" s="54">
        <v>0</v>
      </c>
      <c r="B654" s="89">
        <v>0</v>
      </c>
      <c r="C654" s="9">
        <v>0</v>
      </c>
      <c r="D654" s="9">
        <v>0</v>
      </c>
      <c r="E654" s="9">
        <v>0</v>
      </c>
      <c r="F654" s="189"/>
      <c r="G654" s="257" t="s">
        <v>2848</v>
      </c>
      <c r="H654" s="9">
        <v>0</v>
      </c>
      <c r="I654" s="85"/>
      <c r="J654" s="9">
        <v>0</v>
      </c>
      <c r="K654" s="9">
        <v>0</v>
      </c>
      <c r="L654" s="9">
        <v>0</v>
      </c>
      <c r="M654" s="9">
        <v>0</v>
      </c>
      <c r="N654" s="9">
        <v>0</v>
      </c>
      <c r="O654" s="9">
        <v>0</v>
      </c>
      <c r="P654" s="9">
        <v>0</v>
      </c>
      <c r="Q654" s="9">
        <v>0</v>
      </c>
      <c r="R654" s="9">
        <v>0</v>
      </c>
      <c r="S654" s="61">
        <v>0</v>
      </c>
    </row>
    <row r="655" spans="1:19" ht="12.75" customHeight="1" x14ac:dyDescent="0.2">
      <c r="A655" s="54">
        <v>18000</v>
      </c>
      <c r="B655" s="89">
        <v>37000</v>
      </c>
      <c r="C655" s="9">
        <v>27300</v>
      </c>
      <c r="D655" s="9">
        <v>22000</v>
      </c>
      <c r="E655" s="9">
        <f>SUM('Res-Gen'!E23:E25)</f>
        <v>81000</v>
      </c>
      <c r="F655" s="189"/>
      <c r="G655" s="257" t="s">
        <v>1909</v>
      </c>
      <c r="H655" s="9">
        <f>SUM('Res-Gen'!H23:H25)+1000</f>
        <v>11000</v>
      </c>
      <c r="I655" s="85"/>
      <c r="J655" s="9">
        <f>SUM('Res-Gen'!K23:K25)</f>
        <v>10000</v>
      </c>
      <c r="K655" s="9">
        <f>SUM('Res-Gen'!N23:N25)</f>
        <v>10000</v>
      </c>
      <c r="L655" s="9">
        <f>SUM('Res-Gen'!Q23:Q25)</f>
        <v>10000</v>
      </c>
      <c r="M655" s="9">
        <f>SUM('Res-Gen'!T23:T25)</f>
        <v>10000</v>
      </c>
      <c r="N655" s="9">
        <f>SUM('Res-Gen'!W23:W25)</f>
        <v>10000</v>
      </c>
      <c r="O655" s="9">
        <f>SUM('Res-Gen'!Z23:Z25)</f>
        <v>10000</v>
      </c>
      <c r="P655" s="9">
        <f>SUM('Res-Gen'!AC23:AC25)</f>
        <v>10000</v>
      </c>
      <c r="Q655" s="9">
        <f>SUM('Res-Gen'!AF23:AF25)</f>
        <v>10000</v>
      </c>
      <c r="R655" s="9">
        <f>SUM('Res-Gen'!AI23:AI25)</f>
        <v>10000</v>
      </c>
      <c r="S655" s="61">
        <f>SUM('Res-Gen'!AL23:AL25)</f>
        <v>10000</v>
      </c>
    </row>
    <row r="656" spans="1:19" ht="12.75" customHeight="1" x14ac:dyDescent="0.2">
      <c r="A656" s="54">
        <v>20000</v>
      </c>
      <c r="B656" s="89">
        <v>60000</v>
      </c>
      <c r="C656" s="9">
        <v>62000</v>
      </c>
      <c r="D656" s="9">
        <f>SUM('Res-Gen'!C23:C25)</f>
        <v>27300</v>
      </c>
      <c r="E656" s="9">
        <v>27000</v>
      </c>
      <c r="F656" s="189"/>
      <c r="G656" s="257" t="s">
        <v>2309</v>
      </c>
      <c r="H656" s="9">
        <f>+SUM('Res-Gen'!I24)</f>
        <v>71000</v>
      </c>
      <c r="I656" s="85"/>
      <c r="J656" s="9">
        <v>0</v>
      </c>
      <c r="K656" s="9">
        <v>0</v>
      </c>
      <c r="L656" s="9">
        <v>0</v>
      </c>
      <c r="M656" s="9">
        <v>0</v>
      </c>
      <c r="N656" s="9">
        <v>0</v>
      </c>
      <c r="O656" s="9">
        <v>0</v>
      </c>
      <c r="P656" s="9">
        <v>0</v>
      </c>
      <c r="Q656" s="9">
        <v>0</v>
      </c>
      <c r="R656" s="9">
        <v>0</v>
      </c>
      <c r="S656" s="61">
        <v>0</v>
      </c>
    </row>
    <row r="657" spans="1:19" ht="12.75" customHeight="1" x14ac:dyDescent="0.2">
      <c r="A657" s="54">
        <v>0</v>
      </c>
      <c r="B657" s="9">
        <v>0</v>
      </c>
      <c r="C657" s="9">
        <v>0</v>
      </c>
      <c r="D657" s="9">
        <v>0</v>
      </c>
      <c r="E657" s="9">
        <v>40000</v>
      </c>
      <c r="F657" s="189"/>
      <c r="G657" s="257" t="s">
        <v>5847</v>
      </c>
      <c r="H657" s="9">
        <v>0</v>
      </c>
      <c r="I657" s="85"/>
      <c r="J657" s="9">
        <v>0</v>
      </c>
      <c r="K657" s="9">
        <v>0</v>
      </c>
      <c r="L657" s="9">
        <v>0</v>
      </c>
      <c r="M657" s="9">
        <v>0</v>
      </c>
      <c r="N657" s="9">
        <v>0</v>
      </c>
      <c r="O657" s="9">
        <v>0</v>
      </c>
      <c r="P657" s="9">
        <v>0</v>
      </c>
      <c r="Q657" s="9">
        <v>0</v>
      </c>
      <c r="R657" s="9">
        <v>0</v>
      </c>
      <c r="S657" s="61">
        <v>0</v>
      </c>
    </row>
    <row r="658" spans="1:19" ht="12.75" customHeight="1" x14ac:dyDescent="0.2">
      <c r="A658" s="54">
        <v>16700</v>
      </c>
      <c r="B658" s="9">
        <v>44500</v>
      </c>
      <c r="C658" s="9">
        <v>13300</v>
      </c>
      <c r="D658" s="9">
        <f>'Cap-Gen'!E22</f>
        <v>600</v>
      </c>
      <c r="E658" s="9">
        <v>3700</v>
      </c>
      <c r="F658" s="189"/>
      <c r="G658" s="257" t="s">
        <v>958</v>
      </c>
      <c r="H658" s="9">
        <f>'Cap-Gen'!G21+'Cap-Gen'!G23</f>
        <v>77200</v>
      </c>
      <c r="I658" s="85"/>
      <c r="J658" s="9">
        <f>'Cap-Gen'!H21</f>
        <v>0</v>
      </c>
      <c r="K658" s="9">
        <f>'Cap-Gen'!I21</f>
        <v>0</v>
      </c>
      <c r="L658" s="9">
        <f>'Cap-Gen'!J21</f>
        <v>0</v>
      </c>
      <c r="M658" s="9">
        <f>'Cap-Gen'!K21</f>
        <v>0</v>
      </c>
      <c r="N658" s="9">
        <f>'Cap-Gen'!L21</f>
        <v>0</v>
      </c>
      <c r="O658" s="9">
        <f>'Cap-Gen'!M21</f>
        <v>0</v>
      </c>
      <c r="P658" s="9">
        <f>'Cap-Gen'!N21</f>
        <v>0</v>
      </c>
      <c r="Q658" s="9">
        <f>'Cap-Gen'!O21</f>
        <v>0</v>
      </c>
      <c r="R658" s="9">
        <f>'Cap-Gen'!P21</f>
        <v>0</v>
      </c>
      <c r="S658" s="61">
        <f>'Cap-Gen'!Q21</f>
        <v>0</v>
      </c>
    </row>
    <row r="659" spans="1:19" ht="12.75" customHeight="1" x14ac:dyDescent="0.2">
      <c r="A659" s="128">
        <f>A652-A654-A655+A656++A657-A658</f>
        <v>-116500</v>
      </c>
      <c r="B659" s="266">
        <f>B652-B654-B655+B656++B657-B658</f>
        <v>-129900</v>
      </c>
      <c r="C659" s="280">
        <f>C652-C654-C655+C656++C657-C658</f>
        <v>-145800</v>
      </c>
      <c r="D659" s="280">
        <f>D652-D654-D655+D656++D657-D658</f>
        <v>-174000</v>
      </c>
      <c r="E659" s="280">
        <f>E652-E654-E655+E656++E657-E658</f>
        <v>-220700</v>
      </c>
      <c r="F659" s="362"/>
      <c r="G659" s="363" t="s">
        <v>2447</v>
      </c>
      <c r="H659" s="280">
        <f>H652-H654-H655+H656++H657-H658</f>
        <v>-244100</v>
      </c>
      <c r="I659" s="278">
        <f>IF(E659=H659,0,IF(E659=0,100,(H659-E659)/E659*100))</f>
        <v>10.602628001812416</v>
      </c>
      <c r="J659" s="280">
        <f t="shared" ref="J659:R659" si="460">J652-J654-J655+J656++J657-J658</f>
        <v>-226900</v>
      </c>
      <c r="K659" s="280">
        <f t="shared" si="460"/>
        <v>-232200</v>
      </c>
      <c r="L659" s="280">
        <f t="shared" si="460"/>
        <v>-237200</v>
      </c>
      <c r="M659" s="280">
        <f t="shared" si="460"/>
        <v>-243900</v>
      </c>
      <c r="N659" s="280">
        <f t="shared" si="460"/>
        <v>-249200</v>
      </c>
      <c r="O659" s="280">
        <f t="shared" si="460"/>
        <v>-256000</v>
      </c>
      <c r="P659" s="280">
        <f t="shared" si="460"/>
        <v>-261300</v>
      </c>
      <c r="Q659" s="280">
        <f t="shared" si="460"/>
        <v>-268300</v>
      </c>
      <c r="R659" s="280">
        <f t="shared" si="460"/>
        <v>-274100</v>
      </c>
      <c r="S659" s="282">
        <f t="shared" ref="S659" si="461">S652-S654-S655+S656++S657-S658</f>
        <v>-281400</v>
      </c>
    </row>
    <row r="660" spans="1:19" ht="12.75" customHeight="1" thickBot="1" x14ac:dyDescent="0.25">
      <c r="A660" s="26"/>
      <c r="B660" s="81"/>
      <c r="C660" s="37"/>
      <c r="D660" s="37"/>
      <c r="E660" s="23"/>
      <c r="F660" s="190"/>
      <c r="G660" s="259"/>
      <c r="H660" s="23"/>
      <c r="I660" s="275"/>
      <c r="J660" s="23"/>
      <c r="K660" s="23"/>
      <c r="L660" s="23"/>
      <c r="M660" s="23"/>
      <c r="N660" s="23"/>
      <c r="O660" s="23"/>
      <c r="P660" s="23"/>
      <c r="Q660" s="23"/>
      <c r="R660" s="23"/>
      <c r="S660" s="112"/>
    </row>
    <row r="661" spans="1:19" ht="12.75" customHeight="1" thickTop="1" thickBot="1" x14ac:dyDescent="0.25">
      <c r="A661" s="27"/>
      <c r="B661" s="84"/>
      <c r="C661" s="84"/>
      <c r="D661" s="84"/>
      <c r="E661" s="84"/>
      <c r="F661" s="189"/>
      <c r="G661" s="84"/>
      <c r="H661" s="46"/>
      <c r="I661" s="84"/>
      <c r="J661" s="46"/>
      <c r="K661" s="46"/>
      <c r="L661" s="46"/>
      <c r="M661" s="46"/>
      <c r="N661" s="46"/>
      <c r="O661" s="46"/>
      <c r="P661" s="46"/>
      <c r="Q661" s="46"/>
      <c r="R661" s="46"/>
      <c r="S661" s="46"/>
    </row>
    <row r="662" spans="1:19" s="38" customFormat="1" ht="19.5" thickTop="1" thickBot="1" x14ac:dyDescent="0.3">
      <c r="A662" s="2588" t="s">
        <v>3479</v>
      </c>
      <c r="B662" s="2589"/>
      <c r="C662" s="2589"/>
      <c r="D662" s="2589"/>
      <c r="E662" s="2589"/>
      <c r="F662" s="2589"/>
      <c r="G662" s="2589"/>
      <c r="H662" s="2589"/>
      <c r="I662" s="2589"/>
      <c r="J662" s="2589"/>
      <c r="K662" s="2589"/>
      <c r="L662" s="2589"/>
      <c r="M662" s="2589"/>
      <c r="N662" s="2589"/>
      <c r="O662" s="2589"/>
      <c r="P662" s="2589"/>
      <c r="Q662" s="2589"/>
      <c r="R662" s="2589"/>
      <c r="S662" s="2590"/>
    </row>
    <row r="663" spans="1:19" s="39" customFormat="1" ht="12.75" customHeight="1" x14ac:dyDescent="0.2">
      <c r="A663" s="2591" t="s">
        <v>1824</v>
      </c>
      <c r="B663" s="2577"/>
      <c r="C663" s="2577"/>
      <c r="D663" s="2577"/>
      <c r="E663" s="2592" t="s">
        <v>2215</v>
      </c>
      <c r="F663" s="2231" t="s">
        <v>2616</v>
      </c>
      <c r="G663" s="188" t="s">
        <v>2213</v>
      </c>
      <c r="H663" s="2576" t="s">
        <v>2215</v>
      </c>
      <c r="I663" s="2577"/>
      <c r="J663" s="2577"/>
      <c r="K663" s="2577"/>
      <c r="L663" s="2577"/>
      <c r="M663" s="2577"/>
      <c r="N663" s="2577"/>
      <c r="O663" s="2577"/>
      <c r="P663" s="2577"/>
      <c r="Q663" s="2577"/>
      <c r="R663" s="2577"/>
      <c r="S663" s="2578"/>
    </row>
    <row r="664" spans="1:19" ht="12.75" customHeight="1" thickBot="1" x14ac:dyDescent="0.25">
      <c r="A664" s="541" t="str">
        <f>GM!A3</f>
        <v>2012/13</v>
      </c>
      <c r="B664" s="28" t="str">
        <f>GM!B3</f>
        <v>2013/14</v>
      </c>
      <c r="C664" s="40" t="str">
        <f>GM!C3</f>
        <v>2014/15</v>
      </c>
      <c r="D664" s="40" t="str">
        <f>GM!D3</f>
        <v>2015/16</v>
      </c>
      <c r="E664" s="40" t="str">
        <f>GM!E3</f>
        <v>2016/17</v>
      </c>
      <c r="F664" s="40" t="s">
        <v>2617</v>
      </c>
      <c r="G664" s="41"/>
      <c r="H664" s="40" t="str">
        <f>GM!H3</f>
        <v>2017/18</v>
      </c>
      <c r="I664" s="1459" t="s">
        <v>492</v>
      </c>
      <c r="J664" s="40" t="str">
        <f>GM!J3</f>
        <v>2018/19</v>
      </c>
      <c r="K664" s="40" t="str">
        <f>GM!K3</f>
        <v>2019/20</v>
      </c>
      <c r="L664" s="40" t="str">
        <f>GM!L3</f>
        <v>2020/21</v>
      </c>
      <c r="M664" s="40" t="str">
        <f>GM!M3</f>
        <v>2021/22</v>
      </c>
      <c r="N664" s="40" t="str">
        <f>GM!N3</f>
        <v>2022/23</v>
      </c>
      <c r="O664" s="40" t="str">
        <f>GM!O3</f>
        <v>2023/24</v>
      </c>
      <c r="P664" s="1257" t="str">
        <f>GM!P3</f>
        <v>2024/25</v>
      </c>
      <c r="Q664" s="28" t="str">
        <f>GM!Q3</f>
        <v>2025/26</v>
      </c>
      <c r="R664" s="28" t="str">
        <f>GM!R3</f>
        <v>2026/27</v>
      </c>
      <c r="S664" s="1620" t="str">
        <f>GM!S3</f>
        <v>2027/28</v>
      </c>
    </row>
    <row r="665" spans="1:19" ht="12.75" customHeight="1" x14ac:dyDescent="0.2">
      <c r="A665" s="54"/>
      <c r="B665" s="9"/>
      <c r="C665" s="9"/>
      <c r="D665" s="9"/>
      <c r="E665" s="9"/>
      <c r="F665" s="175"/>
      <c r="G665" s="27"/>
      <c r="H665" s="9"/>
      <c r="I665" s="85"/>
      <c r="J665" s="9"/>
      <c r="K665" s="9"/>
      <c r="L665" s="9"/>
      <c r="M665" s="9"/>
      <c r="N665" s="9"/>
      <c r="O665" s="9"/>
      <c r="P665" s="89"/>
      <c r="Q665" s="9"/>
      <c r="R665" s="9"/>
      <c r="S665" s="61"/>
    </row>
    <row r="666" spans="1:19" ht="12.75" customHeight="1" x14ac:dyDescent="0.2">
      <c r="A666" s="54"/>
      <c r="B666" s="9"/>
      <c r="C666" s="9"/>
      <c r="D666" s="9"/>
      <c r="E666" s="9"/>
      <c r="F666" s="175"/>
      <c r="G666" s="91" t="s">
        <v>1056</v>
      </c>
      <c r="H666" s="9"/>
      <c r="I666" s="85"/>
      <c r="J666" s="9"/>
      <c r="K666" s="9"/>
      <c r="L666" s="9"/>
      <c r="M666" s="9"/>
      <c r="N666" s="9"/>
      <c r="O666" s="9"/>
      <c r="P666" s="89"/>
      <c r="Q666" s="9"/>
      <c r="R666" s="9"/>
      <c r="S666" s="61"/>
    </row>
    <row r="667" spans="1:19" ht="12.75" customHeight="1" x14ac:dyDescent="0.2">
      <c r="A667" s="54"/>
      <c r="B667" s="9"/>
      <c r="C667" s="9"/>
      <c r="D667" s="9"/>
      <c r="E667" s="9"/>
      <c r="F667" s="175"/>
      <c r="G667" s="91"/>
      <c r="H667" s="9"/>
      <c r="I667" s="85"/>
      <c r="J667" s="9"/>
      <c r="K667" s="9"/>
      <c r="L667" s="9"/>
      <c r="M667" s="9"/>
      <c r="N667" s="9"/>
      <c r="O667" s="9"/>
      <c r="P667" s="89"/>
      <c r="Q667" s="9"/>
      <c r="R667" s="9"/>
      <c r="S667" s="61"/>
    </row>
    <row r="668" spans="1:19" ht="12.75" customHeight="1" x14ac:dyDescent="0.2">
      <c r="A668" s="54"/>
      <c r="B668" s="9"/>
      <c r="C668" s="9"/>
      <c r="D668" s="9"/>
      <c r="E668" s="9"/>
      <c r="F668" s="175"/>
      <c r="G668" s="92" t="s">
        <v>677</v>
      </c>
      <c r="H668" s="9"/>
      <c r="I668" s="85"/>
      <c r="J668" s="9"/>
      <c r="K668" s="9"/>
      <c r="L668" s="9"/>
      <c r="M668" s="9"/>
      <c r="N668" s="9"/>
      <c r="O668" s="9"/>
      <c r="P668" s="89"/>
      <c r="Q668" s="9"/>
      <c r="R668" s="9"/>
      <c r="S668" s="61"/>
    </row>
    <row r="669" spans="1:19" ht="12.75" customHeight="1" x14ac:dyDescent="0.2">
      <c r="A669" s="54">
        <v>79400</v>
      </c>
      <c r="B669" s="9">
        <v>75800</v>
      </c>
      <c r="C669" s="9">
        <v>76500</v>
      </c>
      <c r="D669" s="9">
        <f>82000-5000</f>
        <v>77000</v>
      </c>
      <c r="E669" s="9">
        <v>77400</v>
      </c>
      <c r="F669" s="240" t="s">
        <v>1929</v>
      </c>
      <c r="G669" s="247" t="s">
        <v>2201</v>
      </c>
      <c r="H669" s="9">
        <v>78000</v>
      </c>
      <c r="I669" s="85">
        <f>IF(E669=H669,0,IF(E669=0,100,(H669-E669)/E669*100))</f>
        <v>0.77519379844961245</v>
      </c>
      <c r="J669" s="9">
        <f>ROUNDUP(H669+(H669*Assumptions!I$5),-2)</f>
        <v>79800</v>
      </c>
      <c r="K669" s="9">
        <f>ROUNDUP(J669+(J669*Assumptions!J$5),-2)</f>
        <v>81800</v>
      </c>
      <c r="L669" s="9">
        <f>ROUNDUP(K669+(K669*Assumptions!K$5),-2)</f>
        <v>83900</v>
      </c>
      <c r="M669" s="9">
        <f>ROUNDUP(L669+(L669*Assumptions!L$5),-2)</f>
        <v>86000</v>
      </c>
      <c r="N669" s="9">
        <f>ROUNDUP(M669+(M669*Assumptions!M$5),-2)</f>
        <v>88200</v>
      </c>
      <c r="O669" s="9">
        <f>ROUNDUP(N669+(N669*Assumptions!N$5),-2)</f>
        <v>90500</v>
      </c>
      <c r="P669" s="89">
        <f>ROUNDUP(O669+(O669*Assumptions!O$5),-2)</f>
        <v>92800</v>
      </c>
      <c r="Q669" s="9">
        <f>ROUNDUP(P669+(P669*Assumptions!P$5),-2)</f>
        <v>95200</v>
      </c>
      <c r="R669" s="9">
        <f>ROUNDUP(Q669+(Q669*Assumptions!Q$5),-2)</f>
        <v>97600</v>
      </c>
      <c r="S669" s="47">
        <f>ROUNDUP(R669+(R669*Assumptions!R$5),-2)</f>
        <v>100100</v>
      </c>
    </row>
    <row r="670" spans="1:19" ht="12.75" customHeight="1" x14ac:dyDescent="0.2">
      <c r="A670" s="54">
        <v>36200</v>
      </c>
      <c r="B670" s="9">
        <v>34600</v>
      </c>
      <c r="C670" s="9">
        <f>136300-76500</f>
        <v>59800</v>
      </c>
      <c r="D670" s="9">
        <v>34900</v>
      </c>
      <c r="E670" s="9">
        <v>40900</v>
      </c>
      <c r="F670" s="240" t="s">
        <v>1930</v>
      </c>
      <c r="G670" s="247" t="s">
        <v>143</v>
      </c>
      <c r="H670" s="9">
        <v>0</v>
      </c>
      <c r="I670" s="85">
        <f>IF(E670=H670,0,IF(E670=0,100,(H670-E670)/E670*100))</f>
        <v>-100</v>
      </c>
      <c r="J670" s="9">
        <f>ROUNDUP(H670+(H670*Assumptions!I$5),-2)</f>
        <v>0</v>
      </c>
      <c r="K670" s="9">
        <f>ROUNDUP(J670+(J670*Assumptions!J$5),-2)</f>
        <v>0</v>
      </c>
      <c r="L670" s="9">
        <f>ROUNDUP(K670+(K670*Assumptions!K$5),-2)</f>
        <v>0</v>
      </c>
      <c r="M670" s="9">
        <f>ROUNDUP(L670+(L670*Assumptions!L$5),-2)</f>
        <v>0</v>
      </c>
      <c r="N670" s="9">
        <f>ROUNDUP(M670+(M670*Assumptions!M$5),-2)</f>
        <v>0</v>
      </c>
      <c r="O670" s="9">
        <f>ROUNDUP(N670+(N670*Assumptions!N$5),-2)</f>
        <v>0</v>
      </c>
      <c r="P670" s="89">
        <f>ROUNDUP(O670+(O670*Assumptions!O$5),-2)</f>
        <v>0</v>
      </c>
      <c r="Q670" s="9">
        <f>ROUNDUP(P670+(P670*Assumptions!P$5),-2)</f>
        <v>0</v>
      </c>
      <c r="R670" s="9">
        <f>ROUNDUP(Q670+(Q670*Assumptions!Q$5),-2)</f>
        <v>0</v>
      </c>
      <c r="S670" s="47">
        <f>ROUNDUP(R670+(R670*Assumptions!R$5),-2)</f>
        <v>0</v>
      </c>
    </row>
    <row r="671" spans="1:19" ht="12.75" customHeight="1" thickBot="1" x14ac:dyDescent="0.25">
      <c r="A671" s="24"/>
      <c r="B671" s="21"/>
      <c r="C671" s="21"/>
      <c r="D671" s="21"/>
      <c r="E671" s="9"/>
      <c r="F671" s="239"/>
      <c r="G671" s="27"/>
      <c r="H671" s="9"/>
      <c r="I671" s="126"/>
      <c r="J671" s="9"/>
      <c r="K671" s="9"/>
      <c r="L671" s="9"/>
      <c r="M671" s="9"/>
      <c r="N671" s="9"/>
      <c r="O671" s="9"/>
      <c r="P671" s="89"/>
      <c r="Q671" s="9"/>
      <c r="R671" s="9"/>
      <c r="S671" s="47"/>
    </row>
    <row r="672" spans="1:19" ht="12.75" customHeight="1" x14ac:dyDescent="0.2">
      <c r="A672" s="52">
        <f>SUM(A667:A671)</f>
        <v>115600</v>
      </c>
      <c r="B672" s="16">
        <f>SUM(B667:B671)</f>
        <v>110400</v>
      </c>
      <c r="C672" s="16">
        <f>SUM(C667:C671)</f>
        <v>136300</v>
      </c>
      <c r="D672" s="16">
        <f>SUM(D667:D671)</f>
        <v>111900</v>
      </c>
      <c r="E672" s="16">
        <f t="shared" ref="E672" si="462">SUM(E667:E671)</f>
        <v>118300</v>
      </c>
      <c r="F672" s="239"/>
      <c r="G672" s="59" t="s">
        <v>2561</v>
      </c>
      <c r="H672" s="16">
        <f t="shared" ref="H672:O672" si="463">SUM(H667:H671)</f>
        <v>78000</v>
      </c>
      <c r="I672" s="127">
        <f>IF(E672=H672,0,IF(E672=0,100,(H672-E672)/E672*100))</f>
        <v>-34.065934065934066</v>
      </c>
      <c r="J672" s="16">
        <f t="shared" si="463"/>
        <v>79800</v>
      </c>
      <c r="K672" s="16">
        <f t="shared" si="463"/>
        <v>81800</v>
      </c>
      <c r="L672" s="16">
        <f t="shared" si="463"/>
        <v>83900</v>
      </c>
      <c r="M672" s="16">
        <f t="shared" si="463"/>
        <v>86000</v>
      </c>
      <c r="N672" s="16">
        <f t="shared" si="463"/>
        <v>88200</v>
      </c>
      <c r="O672" s="16">
        <f t="shared" si="463"/>
        <v>90500</v>
      </c>
      <c r="P672" s="102">
        <f t="shared" ref="P672:Q672" si="464">SUM(P667:P671)</f>
        <v>92800</v>
      </c>
      <c r="Q672" s="16">
        <f t="shared" si="464"/>
        <v>95200</v>
      </c>
      <c r="R672" s="16">
        <f t="shared" ref="R672" si="465">SUM(R667:R671)</f>
        <v>97600</v>
      </c>
      <c r="S672" s="2342">
        <f t="shared" ref="S672" si="466">SUM(S667:S671)</f>
        <v>100100</v>
      </c>
    </row>
    <row r="673" spans="1:19" ht="12.75" customHeight="1" x14ac:dyDescent="0.2">
      <c r="A673" s="54"/>
      <c r="B673" s="9"/>
      <c r="C673" s="9"/>
      <c r="D673" s="9"/>
      <c r="E673" s="9"/>
      <c r="F673" s="239"/>
      <c r="G673" s="59"/>
      <c r="H673" s="9"/>
      <c r="I673" s="85"/>
      <c r="J673" s="9"/>
      <c r="K673" s="9"/>
      <c r="L673" s="9"/>
      <c r="M673" s="9"/>
      <c r="N673" s="9"/>
      <c r="O673" s="9"/>
      <c r="P673" s="89"/>
      <c r="Q673" s="9"/>
      <c r="R673" s="9"/>
      <c r="S673" s="47"/>
    </row>
    <row r="674" spans="1:19" ht="12.75" customHeight="1" x14ac:dyDescent="0.2">
      <c r="A674" s="54"/>
      <c r="B674" s="9"/>
      <c r="C674" s="9"/>
      <c r="D674" s="9"/>
      <c r="E674" s="9"/>
      <c r="F674" s="239"/>
      <c r="G674" s="91" t="s">
        <v>2169</v>
      </c>
      <c r="H674" s="9"/>
      <c r="I674" s="85"/>
      <c r="J674" s="9"/>
      <c r="K674" s="9"/>
      <c r="L674" s="9"/>
      <c r="M674" s="9"/>
      <c r="N674" s="9"/>
      <c r="O674" s="9"/>
      <c r="P674" s="89"/>
      <c r="Q674" s="9"/>
      <c r="R674" s="9"/>
      <c r="S674" s="47"/>
    </row>
    <row r="675" spans="1:19" ht="12.75" customHeight="1" x14ac:dyDescent="0.2">
      <c r="A675" s="54"/>
      <c r="B675" s="89"/>
      <c r="C675" s="9"/>
      <c r="D675" s="9"/>
      <c r="E675" s="9"/>
      <c r="F675" s="239"/>
      <c r="G675" s="1173"/>
      <c r="H675" s="9"/>
      <c r="I675" s="85"/>
      <c r="J675" s="9"/>
      <c r="K675" s="9"/>
      <c r="L675" s="9"/>
      <c r="M675" s="9"/>
      <c r="N675" s="9"/>
      <c r="O675" s="9"/>
      <c r="P675" s="89"/>
      <c r="Q675" s="9"/>
      <c r="R675" s="9"/>
      <c r="S675" s="47"/>
    </row>
    <row r="676" spans="1:19" ht="12.75" customHeight="1" x14ac:dyDescent="0.2">
      <c r="A676" s="54"/>
      <c r="B676" s="89"/>
      <c r="C676" s="9"/>
      <c r="D676" s="9"/>
      <c r="E676" s="9"/>
      <c r="F676" s="240"/>
      <c r="G676" s="319" t="s">
        <v>1460</v>
      </c>
      <c r="H676" s="9"/>
      <c r="I676" s="85"/>
      <c r="J676" s="9"/>
      <c r="K676" s="9"/>
      <c r="L676" s="9"/>
      <c r="M676" s="9"/>
      <c r="N676" s="9"/>
      <c r="O676" s="9"/>
      <c r="P676" s="89"/>
      <c r="Q676" s="9"/>
      <c r="R676" s="9"/>
      <c r="S676" s="47"/>
    </row>
    <row r="677" spans="1:19" ht="12.75" customHeight="1" x14ac:dyDescent="0.2">
      <c r="A677" s="54">
        <v>1208700</v>
      </c>
      <c r="B677" s="9">
        <v>1253300</v>
      </c>
      <c r="C677" s="9">
        <v>1274700</v>
      </c>
      <c r="D677" s="9">
        <v>1298000</v>
      </c>
      <c r="E677" s="9">
        <v>1336900</v>
      </c>
      <c r="F677" s="240" t="s">
        <v>629</v>
      </c>
      <c r="G677" s="247" t="s">
        <v>266</v>
      </c>
      <c r="H677" s="9">
        <f>1344900-7700</f>
        <v>1337200</v>
      </c>
      <c r="I677" s="85">
        <f>IF(E677=H677,0,IF(E677=0,100,(H677-E677)/E677*100))</f>
        <v>2.2439973072032313E-2</v>
      </c>
      <c r="J677" s="9">
        <v>1371000</v>
      </c>
      <c r="K677" s="9">
        <f>ROUNDUP(J677+(J677*Assumptions!J$5),-2)</f>
        <v>1405300</v>
      </c>
      <c r="L677" s="9">
        <f>ROUNDUP(K677+(K677*Assumptions!K$5),-2)</f>
        <v>1440500</v>
      </c>
      <c r="M677" s="9">
        <f>ROUNDUP(L677+(L677*Assumptions!L$5),-2)</f>
        <v>1476600</v>
      </c>
      <c r="N677" s="9">
        <f>ROUNDUP(M677+(M677*Assumptions!M$5),-2)</f>
        <v>1513600</v>
      </c>
      <c r="O677" s="9">
        <f>ROUNDUP(N677+(N677*Assumptions!N$5),-2)</f>
        <v>1551500</v>
      </c>
      <c r="P677" s="9">
        <f>ROUNDUP(O677+(O677*Assumptions!O$5),-2)</f>
        <v>1590300</v>
      </c>
      <c r="Q677" s="9">
        <f>ROUNDUP(P677+(P677*Assumptions!P$5),-2)</f>
        <v>1630100</v>
      </c>
      <c r="R677" s="9">
        <f>ROUNDUP(Q677+(Q677*Assumptions!Q$5),-2)</f>
        <v>1670900</v>
      </c>
      <c r="S677" s="47">
        <f>ROUNDUP(R677+(R677*Assumptions!R$5),-2)</f>
        <v>1712700</v>
      </c>
    </row>
    <row r="678" spans="1:19" ht="12.75" customHeight="1" x14ac:dyDescent="0.2">
      <c r="A678" s="54"/>
      <c r="B678" s="89"/>
      <c r="C678" s="9"/>
      <c r="D678" s="9"/>
      <c r="E678" s="9"/>
      <c r="F678" s="240"/>
      <c r="G678" s="247"/>
      <c r="H678" s="9"/>
      <c r="I678" s="85"/>
      <c r="J678" s="9"/>
      <c r="K678" s="9"/>
      <c r="L678" s="9"/>
      <c r="M678" s="9"/>
      <c r="N678" s="9"/>
      <c r="O678" s="9"/>
      <c r="P678" s="89"/>
      <c r="Q678" s="9"/>
      <c r="R678" s="9"/>
      <c r="S678" s="47"/>
    </row>
    <row r="679" spans="1:19" ht="12.75" customHeight="1" x14ac:dyDescent="0.2">
      <c r="A679" s="54"/>
      <c r="B679" s="89"/>
      <c r="C679" s="9"/>
      <c r="D679" s="9"/>
      <c r="E679" s="9"/>
      <c r="F679" s="1378"/>
      <c r="G679" s="319" t="s">
        <v>2827</v>
      </c>
      <c r="H679" s="9"/>
      <c r="I679" s="85"/>
      <c r="J679" s="9"/>
      <c r="K679" s="9"/>
      <c r="L679" s="9"/>
      <c r="M679" s="9"/>
      <c r="N679" s="9"/>
      <c r="O679" s="9"/>
      <c r="P679" s="89"/>
      <c r="Q679" s="9"/>
      <c r="R679" s="9"/>
      <c r="S679" s="47"/>
    </row>
    <row r="680" spans="1:19" ht="12.75" customHeight="1" x14ac:dyDescent="0.2">
      <c r="A680" s="54">
        <v>12000</v>
      </c>
      <c r="B680" s="9">
        <v>13400</v>
      </c>
      <c r="C680" s="9">
        <v>10900</v>
      </c>
      <c r="D680" s="9">
        <v>10200</v>
      </c>
      <c r="E680" s="9">
        <v>9500</v>
      </c>
      <c r="F680" s="240" t="s">
        <v>2454</v>
      </c>
      <c r="G680" s="247" t="s">
        <v>2724</v>
      </c>
      <c r="H680" s="9">
        <f>10200-1000-2600</f>
        <v>6600</v>
      </c>
      <c r="I680" s="85">
        <f>IF(E680=H680,0,IF(E680=0,100,(H680-E680)/E680*100))</f>
        <v>-30.526315789473685</v>
      </c>
      <c r="J680" s="9">
        <v>7000</v>
      </c>
      <c r="K680" s="9">
        <f>ROUNDUP(J680+(J680*Assumptions!J$5),-2)</f>
        <v>7200</v>
      </c>
      <c r="L680" s="9">
        <f>ROUNDUP(K680+(K680*Assumptions!K$5),-2)</f>
        <v>7400</v>
      </c>
      <c r="M680" s="9">
        <f>ROUNDUP(L680+(L680*Assumptions!L$5),-2)</f>
        <v>7600</v>
      </c>
      <c r="N680" s="9">
        <f>ROUNDUP(M680+(M680*Assumptions!M$5),-2)</f>
        <v>7800</v>
      </c>
      <c r="O680" s="9">
        <f>ROUNDUP(N680+(N680*Assumptions!N$5),-2)</f>
        <v>8000</v>
      </c>
      <c r="P680" s="89">
        <f>ROUNDUP(O680+(O680*Assumptions!O$5),-2)</f>
        <v>8200</v>
      </c>
      <c r="Q680" s="9">
        <f>ROUNDUP(P680+(P680*Assumptions!P$5),-2)</f>
        <v>8500</v>
      </c>
      <c r="R680" s="9">
        <f>ROUNDUP(Q680+(Q680*Assumptions!Q$5),-2)</f>
        <v>8800</v>
      </c>
      <c r="S680" s="47">
        <f>ROUNDUP(R680+(R680*Assumptions!R$5),-2)</f>
        <v>9100</v>
      </c>
    </row>
    <row r="681" spans="1:19" ht="12.75" customHeight="1" x14ac:dyDescent="0.2">
      <c r="A681" s="54">
        <v>2900</v>
      </c>
      <c r="B681" s="9">
        <v>3300</v>
      </c>
      <c r="C681" s="9">
        <v>3600</v>
      </c>
      <c r="D681" s="9">
        <v>3900</v>
      </c>
      <c r="E681" s="9">
        <v>7600</v>
      </c>
      <c r="F681" s="240" t="s">
        <v>1931</v>
      </c>
      <c r="G681" s="772" t="s">
        <v>1445</v>
      </c>
      <c r="H681" s="9">
        <v>5000</v>
      </c>
      <c r="I681" s="85">
        <f>IF(E681=H681,0,IF(E681=0,100,(H681-E681)/E681*100))</f>
        <v>-34.210526315789473</v>
      </c>
      <c r="J681" s="9">
        <v>8000</v>
      </c>
      <c r="K681" s="9">
        <f>ROUNDUP(J681+(J681*Assumptions!J$5),-2)</f>
        <v>8200</v>
      </c>
      <c r="L681" s="9">
        <f>ROUNDUP(K681+(K681*Assumptions!K$5),-2)</f>
        <v>8500</v>
      </c>
      <c r="M681" s="9">
        <f>ROUNDUP(L681+(L681*Assumptions!L$5),-2)</f>
        <v>8800</v>
      </c>
      <c r="N681" s="9">
        <f>ROUNDUP(M681+(M681*Assumptions!M$5),-2)</f>
        <v>9100</v>
      </c>
      <c r="O681" s="9">
        <f>ROUNDUP(N681+(N681*Assumptions!N$5),-2)</f>
        <v>9400</v>
      </c>
      <c r="P681" s="89">
        <f>ROUNDUP(O681+(O681*Assumptions!O$5),-2)</f>
        <v>9700</v>
      </c>
      <c r="Q681" s="9">
        <f>ROUNDUP(P681+(P681*Assumptions!P$5),-2)</f>
        <v>10000</v>
      </c>
      <c r="R681" s="9">
        <f>ROUNDUP(Q681+(Q681*Assumptions!Q$5),-2)</f>
        <v>10300</v>
      </c>
      <c r="S681" s="47">
        <f>ROUNDUP(R681+(R681*Assumptions!R$5),-2)</f>
        <v>10600</v>
      </c>
    </row>
    <row r="682" spans="1:19" ht="12.75" customHeight="1" x14ac:dyDescent="0.2">
      <c r="A682" s="54">
        <v>4100</v>
      </c>
      <c r="B682" s="9">
        <v>3300</v>
      </c>
      <c r="C682" s="9">
        <v>5200</v>
      </c>
      <c r="D682" s="9">
        <v>4700</v>
      </c>
      <c r="E682" s="9">
        <v>5900</v>
      </c>
      <c r="F682" s="240" t="s">
        <v>2655</v>
      </c>
      <c r="G682" s="247" t="s">
        <v>2157</v>
      </c>
      <c r="H682" s="9">
        <v>5600</v>
      </c>
      <c r="I682" s="85">
        <f>IF(E682=H682,0,IF(E682=0,100,(H682-E682)/E682*100))</f>
        <v>-5.0847457627118651</v>
      </c>
      <c r="J682" s="9">
        <v>6000</v>
      </c>
      <c r="K682" s="9">
        <f>ROUNDUP(J682+(J682*Assumptions!J$5),-2)</f>
        <v>6200</v>
      </c>
      <c r="L682" s="9">
        <f>ROUNDUP(K682+(K682*Assumptions!K$5),-2)</f>
        <v>6400</v>
      </c>
      <c r="M682" s="9">
        <f>ROUNDUP(L682+(L682*Assumptions!L$5),-2)</f>
        <v>6600</v>
      </c>
      <c r="N682" s="9">
        <f>ROUNDUP(M682+(M682*Assumptions!M$5),-2)</f>
        <v>6800</v>
      </c>
      <c r="O682" s="9">
        <f>ROUNDUP(N682+(N682*Assumptions!N$5),-2)</f>
        <v>7000</v>
      </c>
      <c r="P682" s="89">
        <f>ROUNDUP(O682+(O682*Assumptions!O$5),-2)</f>
        <v>7200</v>
      </c>
      <c r="Q682" s="9">
        <f>ROUNDUP(P682+(P682*Assumptions!P$5),-2)</f>
        <v>7400</v>
      </c>
      <c r="R682" s="9">
        <f>ROUNDUP(Q682+(Q682*Assumptions!Q$5),-2)</f>
        <v>7600</v>
      </c>
      <c r="S682" s="47">
        <f>ROUNDUP(R682+(R682*Assumptions!R$5),-2)</f>
        <v>7800</v>
      </c>
    </row>
    <row r="683" spans="1:19" s="65" customFormat="1" ht="12.75" customHeight="1" x14ac:dyDescent="0.2">
      <c r="A683" s="54"/>
      <c r="B683" s="89"/>
      <c r="C683" s="9"/>
      <c r="D683" s="9"/>
      <c r="E683" s="9"/>
      <c r="F683" s="240"/>
      <c r="G683" s="247"/>
      <c r="H683" s="9"/>
      <c r="I683" s="85"/>
      <c r="J683" s="9"/>
      <c r="K683" s="9"/>
      <c r="L683" s="9"/>
      <c r="M683" s="9"/>
      <c r="N683" s="9"/>
      <c r="O683" s="9"/>
      <c r="P683" s="89"/>
      <c r="Q683" s="9"/>
      <c r="R683" s="9"/>
      <c r="S683" s="47"/>
    </row>
    <row r="684" spans="1:19" ht="12.75" customHeight="1" x14ac:dyDescent="0.2">
      <c r="A684" s="54"/>
      <c r="B684" s="89"/>
      <c r="C684" s="9"/>
      <c r="D684" s="9"/>
      <c r="E684" s="9"/>
      <c r="F684" s="240"/>
      <c r="G684" s="319" t="s">
        <v>1136</v>
      </c>
      <c r="H684" s="9"/>
      <c r="I684" s="85"/>
      <c r="J684" s="9"/>
      <c r="K684" s="9"/>
      <c r="L684" s="9"/>
      <c r="M684" s="9"/>
      <c r="N684" s="9"/>
      <c r="O684" s="9"/>
      <c r="P684" s="89"/>
      <c r="Q684" s="9"/>
      <c r="R684" s="9"/>
      <c r="S684" s="47"/>
    </row>
    <row r="685" spans="1:19" ht="12.75" customHeight="1" x14ac:dyDescent="0.2">
      <c r="A685" s="54">
        <v>28700</v>
      </c>
      <c r="B685" s="9">
        <v>26700</v>
      </c>
      <c r="C685" s="9">
        <v>29100</v>
      </c>
      <c r="D685" s="9">
        <v>26100</v>
      </c>
      <c r="E685" s="9">
        <v>27600</v>
      </c>
      <c r="F685" s="240" t="s">
        <v>2455</v>
      </c>
      <c r="G685" s="247" t="s">
        <v>709</v>
      </c>
      <c r="H685" s="9">
        <v>30000</v>
      </c>
      <c r="I685" s="85">
        <f>IF(E685=H685,0,IF(E685=0,100,(H685-E685)/E685*100))</f>
        <v>8.695652173913043</v>
      </c>
      <c r="J685" s="9">
        <v>30000</v>
      </c>
      <c r="K685" s="9">
        <f>ROUNDUP(J685+(J685*Assumptions!J$5),-2)</f>
        <v>30800</v>
      </c>
      <c r="L685" s="9">
        <f>ROUNDUP(K685+(K685*Assumptions!K$5),-2)</f>
        <v>31600</v>
      </c>
      <c r="M685" s="9">
        <f>ROUNDUP(L685+(L685*Assumptions!L$5),-2)</f>
        <v>32400</v>
      </c>
      <c r="N685" s="9">
        <f>ROUNDUP(M685+(M685*Assumptions!M$5),-2)</f>
        <v>33300</v>
      </c>
      <c r="O685" s="9">
        <f>ROUNDUP(N685+(N685*Assumptions!N$5),-2)</f>
        <v>34200</v>
      </c>
      <c r="P685" s="89">
        <f>ROUNDUP(O685+(O685*Assumptions!O$5),-2)</f>
        <v>35100</v>
      </c>
      <c r="Q685" s="9">
        <f>ROUNDUP(P685+(P685*Assumptions!P$5),-2)</f>
        <v>36000</v>
      </c>
      <c r="R685" s="9">
        <f>ROUNDUP(Q685+(Q685*Assumptions!Q$5),-2)</f>
        <v>36900</v>
      </c>
      <c r="S685" s="47">
        <f>ROUNDUP(R685+(R685*Assumptions!R$5),-2)</f>
        <v>37900</v>
      </c>
    </row>
    <row r="686" spans="1:19" ht="12.75" customHeight="1" x14ac:dyDescent="0.2">
      <c r="A686" s="54">
        <v>30900</v>
      </c>
      <c r="B686" s="9">
        <v>34400</v>
      </c>
      <c r="C686" s="9">
        <v>22600</v>
      </c>
      <c r="D686" s="9">
        <v>33100</v>
      </c>
      <c r="E686" s="9">
        <v>30600</v>
      </c>
      <c r="F686" s="240" t="s">
        <v>627</v>
      </c>
      <c r="G686" s="247" t="s">
        <v>1500</v>
      </c>
      <c r="H686" s="9">
        <f>30000+7000</f>
        <v>37000</v>
      </c>
      <c r="I686" s="85">
        <f>IF(E686=H686,0,IF(E686=0,100,(H686-E686)/E686*100))</f>
        <v>20.915032679738562</v>
      </c>
      <c r="J686" s="9">
        <v>32000</v>
      </c>
      <c r="K686" s="9">
        <f>ROUNDUP(J686+(J686*Assumptions!J$5),-2)</f>
        <v>32800</v>
      </c>
      <c r="L686" s="9">
        <f>ROUNDUP(K686+(K686*Assumptions!K$5),-2)</f>
        <v>33700</v>
      </c>
      <c r="M686" s="9">
        <f>ROUNDUP(L686+(L686*Assumptions!L$5),-2)</f>
        <v>34600</v>
      </c>
      <c r="N686" s="9">
        <f>ROUNDUP(M686+(M686*Assumptions!M$5),-2)</f>
        <v>35500</v>
      </c>
      <c r="O686" s="9">
        <f>ROUNDUP(N686+(N686*Assumptions!N$5),-2)</f>
        <v>36400</v>
      </c>
      <c r="P686" s="89">
        <f>ROUNDUP(O686+(O686*Assumptions!O$5),-2)</f>
        <v>37400</v>
      </c>
      <c r="Q686" s="9">
        <f>ROUNDUP(P686+(P686*Assumptions!P$5),-2)</f>
        <v>38400</v>
      </c>
      <c r="R686" s="9">
        <f>ROUNDUP(Q686+(Q686*Assumptions!Q$5),-2)</f>
        <v>39400</v>
      </c>
      <c r="S686" s="47">
        <f>ROUNDUP(R686+(R686*Assumptions!R$5),-2)</f>
        <v>40400</v>
      </c>
    </row>
    <row r="687" spans="1:19" ht="12.75" customHeight="1" x14ac:dyDescent="0.2">
      <c r="A687" s="54">
        <v>3700</v>
      </c>
      <c r="B687" s="9">
        <v>300</v>
      </c>
      <c r="C687" s="9">
        <v>1000</v>
      </c>
      <c r="D687" s="9">
        <v>600</v>
      </c>
      <c r="E687" s="9">
        <v>2100</v>
      </c>
      <c r="F687" s="240" t="s">
        <v>628</v>
      </c>
      <c r="G687" s="247" t="s">
        <v>666</v>
      </c>
      <c r="H687" s="9">
        <v>2000</v>
      </c>
      <c r="I687" s="85">
        <f>IF(E687=H687,0,IF(E687=0,100,(H687-E687)/E687*100))</f>
        <v>-4.7619047619047619</v>
      </c>
      <c r="J687" s="9">
        <v>2000</v>
      </c>
      <c r="K687" s="9">
        <f>ROUNDUP(J687+(J687*Assumptions!J$5),-2)</f>
        <v>2100</v>
      </c>
      <c r="L687" s="9">
        <f>ROUNDUP(K687+(K687*Assumptions!K$5),-2)</f>
        <v>2200</v>
      </c>
      <c r="M687" s="9">
        <f>ROUNDUP(L687+(L687*Assumptions!L$5),-2)</f>
        <v>2300</v>
      </c>
      <c r="N687" s="9">
        <f>ROUNDUP(M687+(M687*Assumptions!M$5),-2)</f>
        <v>2400</v>
      </c>
      <c r="O687" s="9">
        <f>ROUNDUP(N687+(N687*Assumptions!N$5),-2)</f>
        <v>2500</v>
      </c>
      <c r="P687" s="89">
        <f>ROUNDUP(O687+(O687*Assumptions!O$5),-2)</f>
        <v>2600</v>
      </c>
      <c r="Q687" s="9">
        <f>ROUNDUP(P687+(P687*Assumptions!P$5),-2)</f>
        <v>2700</v>
      </c>
      <c r="R687" s="9">
        <f>ROUNDUP(Q687+(Q687*Assumptions!Q$5),-2)</f>
        <v>2800</v>
      </c>
      <c r="S687" s="47">
        <f>ROUNDUP(R687+(R687*Assumptions!R$5),-2)</f>
        <v>2900</v>
      </c>
    </row>
    <row r="688" spans="1:19" ht="12.75" customHeight="1" x14ac:dyDescent="0.2">
      <c r="A688" s="54"/>
      <c r="B688" s="89"/>
      <c r="C688" s="9"/>
      <c r="D688" s="9"/>
      <c r="E688" s="9"/>
      <c r="F688" s="730"/>
      <c r="G688" s="247"/>
      <c r="H688" s="9"/>
      <c r="I688" s="85"/>
      <c r="J688" s="9"/>
      <c r="K688" s="9"/>
      <c r="L688" s="9"/>
      <c r="M688" s="9"/>
      <c r="N688" s="9"/>
      <c r="O688" s="9"/>
      <c r="P688" s="89"/>
      <c r="Q688" s="9"/>
      <c r="R688" s="9"/>
      <c r="S688" s="47"/>
    </row>
    <row r="689" spans="1:19" s="39" customFormat="1" ht="12.75" customHeight="1" x14ac:dyDescent="0.2">
      <c r="A689" s="54"/>
      <c r="B689" s="89"/>
      <c r="C689" s="9"/>
      <c r="D689" s="9"/>
      <c r="E689" s="9"/>
      <c r="F689" s="1378"/>
      <c r="G689" s="319" t="s">
        <v>408</v>
      </c>
      <c r="H689" s="9"/>
      <c r="I689" s="85"/>
      <c r="J689" s="9"/>
      <c r="K689" s="9"/>
      <c r="L689" s="9"/>
      <c r="M689" s="9"/>
      <c r="N689" s="9"/>
      <c r="O689" s="9"/>
      <c r="P689" s="89"/>
      <c r="Q689" s="9"/>
      <c r="R689" s="9"/>
      <c r="S689" s="47"/>
    </row>
    <row r="690" spans="1:19" ht="12.75" customHeight="1" x14ac:dyDescent="0.2">
      <c r="A690" s="54">
        <v>1200</v>
      </c>
      <c r="B690" s="9">
        <v>1100</v>
      </c>
      <c r="C690" s="9">
        <v>1100</v>
      </c>
      <c r="D690" s="9">
        <v>1100</v>
      </c>
      <c r="E690" s="9">
        <v>1100</v>
      </c>
      <c r="F690" s="240" t="s">
        <v>2453</v>
      </c>
      <c r="G690" s="772" t="s">
        <v>2839</v>
      </c>
      <c r="H690" s="9">
        <v>1500</v>
      </c>
      <c r="I690" s="85">
        <f>IF(E690=H690,0,IF(E690=0,100,(H690-E690)/E690*100))</f>
        <v>36.363636363636367</v>
      </c>
      <c r="J690" s="9">
        <v>1200</v>
      </c>
      <c r="K690" s="9">
        <f>ROUNDUP(J690+(J690*Assumptions!J$5),-2)</f>
        <v>1300</v>
      </c>
      <c r="L690" s="9">
        <f>ROUNDUP(K690+(K690*Assumptions!K$5),-2)</f>
        <v>1400</v>
      </c>
      <c r="M690" s="9">
        <f>ROUNDUP(L690+(L690*Assumptions!L$5),-2)</f>
        <v>1500</v>
      </c>
      <c r="N690" s="9">
        <f>ROUNDUP(M690+(M690*Assumptions!M$5),-2)</f>
        <v>1600</v>
      </c>
      <c r="O690" s="9">
        <f>ROUNDUP(N690+(N690*Assumptions!N$5),-2)</f>
        <v>1700</v>
      </c>
      <c r="P690" s="89">
        <f>ROUNDUP(O690+(O690*Assumptions!O$5),-2)</f>
        <v>1800</v>
      </c>
      <c r="Q690" s="9">
        <f>ROUNDUP(P690+(P690*Assumptions!P$5),-2)</f>
        <v>1900</v>
      </c>
      <c r="R690" s="9">
        <f>ROUNDUP(Q690+(Q690*Assumptions!Q$5),-2)</f>
        <v>2000</v>
      </c>
      <c r="S690" s="47">
        <f>ROUNDUP(R690+(R690*Assumptions!R$5),-2)</f>
        <v>2100</v>
      </c>
    </row>
    <row r="691" spans="1:19" s="39" customFormat="1" ht="12.75" customHeight="1" x14ac:dyDescent="0.2">
      <c r="A691" s="54">
        <v>14600</v>
      </c>
      <c r="B691" s="9">
        <v>15800</v>
      </c>
      <c r="C691" s="9">
        <v>16100</v>
      </c>
      <c r="D691" s="9">
        <v>15700</v>
      </c>
      <c r="E691" s="9">
        <v>16500</v>
      </c>
      <c r="F691" s="240" t="s">
        <v>625</v>
      </c>
      <c r="G691" s="772" t="s">
        <v>4577</v>
      </c>
      <c r="H691" s="9">
        <v>17300</v>
      </c>
      <c r="I691" s="85">
        <f>IF(E691=H691,0,IF(E691=0,100,(H691-E691)/E691*100))</f>
        <v>4.8484848484848486</v>
      </c>
      <c r="J691" s="9">
        <v>17300</v>
      </c>
      <c r="K691" s="9">
        <f>ROUNDUP(J691+(J691*Assumptions!J$5),-2)</f>
        <v>17800</v>
      </c>
      <c r="L691" s="9">
        <f>ROUNDUP(K691+(K691*Assumptions!K$5),-2)</f>
        <v>18300</v>
      </c>
      <c r="M691" s="9">
        <f>ROUNDUP(L691+(L691*Assumptions!L$5),-2)</f>
        <v>18800</v>
      </c>
      <c r="N691" s="9">
        <f>ROUNDUP(M691+(M691*Assumptions!M$5),-2)</f>
        <v>19300</v>
      </c>
      <c r="O691" s="9">
        <f>ROUNDUP(N691+(N691*Assumptions!N$5),-2)</f>
        <v>19800</v>
      </c>
      <c r="P691" s="89">
        <f>ROUNDUP(O691+(O691*Assumptions!O$5),-2)</f>
        <v>20300</v>
      </c>
      <c r="Q691" s="9">
        <f>ROUNDUP(P691+(P691*Assumptions!P$5),-2)</f>
        <v>20900</v>
      </c>
      <c r="R691" s="9">
        <f>ROUNDUP(Q691+(Q691*Assumptions!Q$5),-2)</f>
        <v>21500</v>
      </c>
      <c r="S691" s="47">
        <f>ROUNDUP(R691+(R691*Assumptions!R$5),-2)</f>
        <v>22100</v>
      </c>
    </row>
    <row r="692" spans="1:19" ht="12.75" customHeight="1" x14ac:dyDescent="0.2">
      <c r="A692" s="54"/>
      <c r="B692" s="89"/>
      <c r="C692" s="9"/>
      <c r="D692" s="9"/>
      <c r="E692" s="9"/>
      <c r="F692" s="240"/>
      <c r="G692" s="772"/>
      <c r="H692" s="9"/>
      <c r="I692" s="85"/>
      <c r="J692" s="9"/>
      <c r="K692" s="9"/>
      <c r="L692" s="9"/>
      <c r="M692" s="9"/>
      <c r="N692" s="9"/>
      <c r="O692" s="9"/>
      <c r="P692" s="89"/>
      <c r="Q692" s="9"/>
      <c r="R692" s="9"/>
      <c r="S692" s="47"/>
    </row>
    <row r="693" spans="1:19" s="39" customFormat="1" ht="12.75" customHeight="1" x14ac:dyDescent="0.2">
      <c r="A693" s="198"/>
      <c r="B693" s="107"/>
      <c r="C693" s="63"/>
      <c r="D693" s="63"/>
      <c r="E693" s="63"/>
      <c r="F693" s="848"/>
      <c r="G693" s="542" t="s">
        <v>3481</v>
      </c>
      <c r="H693" s="63"/>
      <c r="I693" s="220"/>
      <c r="J693" s="63"/>
      <c r="K693" s="63"/>
      <c r="L693" s="63"/>
      <c r="M693" s="63"/>
      <c r="N693" s="63"/>
      <c r="O693" s="63"/>
      <c r="P693" s="107"/>
      <c r="Q693" s="63"/>
      <c r="R693" s="63"/>
      <c r="S693" s="2348"/>
    </row>
    <row r="694" spans="1:19" ht="12.75" customHeight="1" x14ac:dyDescent="0.2">
      <c r="A694" s="54">
        <v>34000</v>
      </c>
      <c r="B694" s="89">
        <v>15600</v>
      </c>
      <c r="C694" s="9">
        <v>37100</v>
      </c>
      <c r="D694" s="9">
        <v>25600</v>
      </c>
      <c r="E694" s="9">
        <v>23600</v>
      </c>
      <c r="F694" s="240" t="s">
        <v>626</v>
      </c>
      <c r="G694" s="247" t="s">
        <v>155</v>
      </c>
      <c r="H694" s="9">
        <v>4000</v>
      </c>
      <c r="I694" s="85">
        <f>IF(E694=H694,0,IF(E694=0,100,(H694-E694)/E694*100))</f>
        <v>-83.050847457627114</v>
      </c>
      <c r="J694" s="9">
        <v>0</v>
      </c>
      <c r="K694" s="9">
        <f>ROUNDUP(J694+(J694*Assumptions!J$5),-2)</f>
        <v>0</v>
      </c>
      <c r="L694" s="9">
        <f>ROUNDUP(K694+(K694*Assumptions!K$5),-2)</f>
        <v>0</v>
      </c>
      <c r="M694" s="9">
        <f>ROUNDUP(L694+(L694*Assumptions!L$5),-2)</f>
        <v>0</v>
      </c>
      <c r="N694" s="9">
        <f>ROUNDUP(M694+(M694*Assumptions!M$5),-2)</f>
        <v>0</v>
      </c>
      <c r="O694" s="9">
        <f>ROUNDUP(N694+(N694*Assumptions!N$5),-2)</f>
        <v>0</v>
      </c>
      <c r="P694" s="89">
        <f>ROUNDUP(O694+(O694*Assumptions!O$5),-2)</f>
        <v>0</v>
      </c>
      <c r="Q694" s="9">
        <f>ROUNDUP(P694+(P694*Assumptions!P$5),-2)</f>
        <v>0</v>
      </c>
      <c r="R694" s="9">
        <f>ROUNDUP(Q694+(Q694*Assumptions!Q$5),-2)</f>
        <v>0</v>
      </c>
      <c r="S694" s="47">
        <f>ROUNDUP(R694+(R694*Assumptions!R$5),-2)</f>
        <v>0</v>
      </c>
    </row>
    <row r="695" spans="1:19" ht="12.75" customHeight="1" x14ac:dyDescent="0.2">
      <c r="A695" s="54"/>
      <c r="B695" s="9"/>
      <c r="C695" s="9"/>
      <c r="D695" s="9"/>
      <c r="E695" s="9"/>
      <c r="F695" s="240"/>
      <c r="G695" s="247"/>
      <c r="H695" s="9"/>
      <c r="I695" s="85"/>
      <c r="J695" s="9"/>
      <c r="K695" s="9"/>
      <c r="L695" s="9"/>
      <c r="M695" s="9"/>
      <c r="N695" s="9"/>
      <c r="O695" s="9"/>
      <c r="P695" s="89"/>
      <c r="Q695" s="9"/>
      <c r="R695" s="9"/>
      <c r="S695" s="47"/>
    </row>
    <row r="696" spans="1:19" ht="12.75" customHeight="1" x14ac:dyDescent="0.2">
      <c r="A696" s="54"/>
      <c r="B696" s="9"/>
      <c r="C696" s="9"/>
      <c r="D696" s="9"/>
      <c r="E696" s="9"/>
      <c r="F696" s="240"/>
      <c r="G696" s="1461" t="s">
        <v>261</v>
      </c>
      <c r="H696" s="9"/>
      <c r="I696" s="85"/>
      <c r="J696" s="9"/>
      <c r="K696" s="9"/>
      <c r="L696" s="9"/>
      <c r="M696" s="9"/>
      <c r="N696" s="9"/>
      <c r="O696" s="9"/>
      <c r="P696" s="89"/>
      <c r="Q696" s="9"/>
      <c r="R696" s="9"/>
      <c r="S696" s="47"/>
    </row>
    <row r="697" spans="1:19" ht="12.75" customHeight="1" x14ac:dyDescent="0.2">
      <c r="A697" s="54">
        <v>173000</v>
      </c>
      <c r="B697" s="9">
        <f>314900-45000</f>
        <v>269900</v>
      </c>
      <c r="C697" s="9">
        <v>148500</v>
      </c>
      <c r="D697" s="9">
        <v>152000</v>
      </c>
      <c r="E697" s="9">
        <v>166700</v>
      </c>
      <c r="F697" s="240" t="s">
        <v>630</v>
      </c>
      <c r="G697" s="772" t="s">
        <v>3640</v>
      </c>
      <c r="H697" s="9">
        <v>152000</v>
      </c>
      <c r="I697" s="85">
        <f>IF(E697=H697,0,IF(E697=0,100,(H697-E697)/E697*100))</f>
        <v>-8.8182363527294534</v>
      </c>
      <c r="J697" s="9">
        <v>170000</v>
      </c>
      <c r="K697" s="9">
        <f>ROUNDUP(J697+(J697*Assumptions!J$18),-2)</f>
        <v>173400</v>
      </c>
      <c r="L697" s="9">
        <f>ROUNDUP(K697+(K697*Assumptions!K$18),-2)</f>
        <v>176900</v>
      </c>
      <c r="M697" s="9">
        <f>ROUNDUP(L697+(L697*Assumptions!L$18),-2)</f>
        <v>180500</v>
      </c>
      <c r="N697" s="9">
        <f>ROUNDUP(M697+(M697*Assumptions!M$18),-2)</f>
        <v>184200</v>
      </c>
      <c r="O697" s="9">
        <f>ROUNDUP(N697+(N697*Assumptions!N$18),-2)</f>
        <v>187900</v>
      </c>
      <c r="P697" s="89">
        <f>ROUNDUP(O697+(O697*Assumptions!O$18),-2)</f>
        <v>191700</v>
      </c>
      <c r="Q697" s="9">
        <f>ROUNDUP(P697+(P697*Assumptions!P$18),-2)</f>
        <v>195600</v>
      </c>
      <c r="R697" s="9">
        <f>ROUNDUP(Q697+(Q697*Assumptions!Q$18),-2)</f>
        <v>199600</v>
      </c>
      <c r="S697" s="47">
        <f>ROUNDUP(R697+(R697*Assumptions!R$18),-2)</f>
        <v>203600</v>
      </c>
    </row>
    <row r="698" spans="1:19" ht="12.75" customHeight="1" thickBot="1" x14ac:dyDescent="0.25">
      <c r="A698" s="24"/>
      <c r="B698" s="75"/>
      <c r="C698" s="21"/>
      <c r="D698" s="21"/>
      <c r="E698" s="9"/>
      <c r="F698" s="239"/>
      <c r="G698" s="32"/>
      <c r="H698" s="9"/>
      <c r="I698" s="126"/>
      <c r="J698" s="9"/>
      <c r="K698" s="9"/>
      <c r="L698" s="9"/>
      <c r="M698" s="9"/>
      <c r="N698" s="9"/>
      <c r="O698" s="9"/>
      <c r="P698" s="89"/>
      <c r="Q698" s="9"/>
      <c r="R698" s="9"/>
      <c r="S698" s="47"/>
    </row>
    <row r="699" spans="1:19" ht="12.75" customHeight="1" x14ac:dyDescent="0.2">
      <c r="A699" s="52">
        <f>SUM(A674:A698)</f>
        <v>1513800</v>
      </c>
      <c r="B699" s="102">
        <f>SUM(B674:B698)</f>
        <v>1637100</v>
      </c>
      <c r="C699" s="16">
        <f>SUM(C674:C698)</f>
        <v>1549900</v>
      </c>
      <c r="D699" s="16">
        <f>SUM(D674:D698)</f>
        <v>1571000</v>
      </c>
      <c r="E699" s="16">
        <f>SUM(E674:E698)</f>
        <v>1628100</v>
      </c>
      <c r="F699" s="2207"/>
      <c r="G699" s="1158" t="s">
        <v>556</v>
      </c>
      <c r="H699" s="16">
        <f>SUM(H674:H698)</f>
        <v>1598200</v>
      </c>
      <c r="I699" s="127">
        <f>IF(E699=H699,0,IF(E699=0,100,(H699-E699)/E699*100))</f>
        <v>-1.8364965296971931</v>
      </c>
      <c r="J699" s="16">
        <f t="shared" ref="J699:R699" si="467">SUM(J674:J698)</f>
        <v>1644500</v>
      </c>
      <c r="K699" s="16">
        <f t="shared" si="467"/>
        <v>1685100</v>
      </c>
      <c r="L699" s="16">
        <f t="shared" si="467"/>
        <v>1726900</v>
      </c>
      <c r="M699" s="16">
        <f t="shared" si="467"/>
        <v>1769700</v>
      </c>
      <c r="N699" s="16">
        <f t="shared" si="467"/>
        <v>1813600</v>
      </c>
      <c r="O699" s="16">
        <f t="shared" si="467"/>
        <v>1858400</v>
      </c>
      <c r="P699" s="102">
        <f t="shared" si="467"/>
        <v>1904300</v>
      </c>
      <c r="Q699" s="16">
        <f t="shared" si="467"/>
        <v>1951500</v>
      </c>
      <c r="R699" s="16">
        <f t="shared" si="467"/>
        <v>1999800</v>
      </c>
      <c r="S699" s="2342">
        <f t="shared" ref="S699" si="468">SUM(S674:S698)</f>
        <v>2049200</v>
      </c>
    </row>
    <row r="700" spans="1:19" ht="12.75" customHeight="1" x14ac:dyDescent="0.2">
      <c r="A700" s="54"/>
      <c r="B700" s="9"/>
      <c r="C700" s="9"/>
      <c r="D700" s="9"/>
      <c r="E700" s="9"/>
      <c r="F700" s="177"/>
      <c r="G700" s="55"/>
      <c r="H700" s="9"/>
      <c r="I700" s="85"/>
      <c r="J700" s="9"/>
      <c r="K700" s="9"/>
      <c r="L700" s="9"/>
      <c r="M700" s="9"/>
      <c r="N700" s="9"/>
      <c r="O700" s="9"/>
      <c r="P700" s="89"/>
      <c r="Q700" s="9"/>
      <c r="R700" s="9"/>
      <c r="S700" s="47"/>
    </row>
    <row r="701" spans="1:19" ht="12.75" customHeight="1" x14ac:dyDescent="0.2">
      <c r="A701" s="24">
        <f>A672-A699</f>
        <v>-1398200</v>
      </c>
      <c r="B701" s="21">
        <f>B672-B699</f>
        <v>-1526700</v>
      </c>
      <c r="C701" s="21">
        <f>C672-C699</f>
        <v>-1413600</v>
      </c>
      <c r="D701" s="21">
        <f>D672-D699</f>
        <v>-1459100</v>
      </c>
      <c r="E701" s="21">
        <f>E672-E699</f>
        <v>-1509800</v>
      </c>
      <c r="F701" s="188"/>
      <c r="G701" s="366" t="s">
        <v>1002</v>
      </c>
      <c r="H701" s="21">
        <f>H672-H699</f>
        <v>-1520200</v>
      </c>
      <c r="I701" s="126">
        <f>IF(E701=H701,0,IF(E701=0,100,(H701-E701)/E701*100))</f>
        <v>0.68883295800768318</v>
      </c>
      <c r="J701" s="21">
        <f t="shared" ref="J701:R701" si="469">J672-J699</f>
        <v>-1564700</v>
      </c>
      <c r="K701" s="21">
        <f t="shared" si="469"/>
        <v>-1603300</v>
      </c>
      <c r="L701" s="21">
        <f t="shared" si="469"/>
        <v>-1643000</v>
      </c>
      <c r="M701" s="21">
        <f t="shared" si="469"/>
        <v>-1683700</v>
      </c>
      <c r="N701" s="21">
        <f t="shared" si="469"/>
        <v>-1725400</v>
      </c>
      <c r="O701" s="21">
        <f t="shared" si="469"/>
        <v>-1767900</v>
      </c>
      <c r="P701" s="75">
        <f t="shared" si="469"/>
        <v>-1811500</v>
      </c>
      <c r="Q701" s="21">
        <f t="shared" si="469"/>
        <v>-1856300</v>
      </c>
      <c r="R701" s="21">
        <f t="shared" si="469"/>
        <v>-1902200</v>
      </c>
      <c r="S701" s="86">
        <f t="shared" ref="S701" si="470">S672-S699</f>
        <v>-1949100</v>
      </c>
    </row>
    <row r="702" spans="1:19" ht="12.75" customHeight="1" x14ac:dyDescent="0.2">
      <c r="A702" s="54">
        <f t="shared" ref="A702:B702" si="471">A697</f>
        <v>173000</v>
      </c>
      <c r="B702" s="9">
        <f t="shared" si="471"/>
        <v>269900</v>
      </c>
      <c r="C702" s="9">
        <f>C697</f>
        <v>148500</v>
      </c>
      <c r="D702" s="9">
        <f>D697</f>
        <v>152000</v>
      </c>
      <c r="E702" s="9">
        <f t="shared" ref="E702" si="472">E697</f>
        <v>166700</v>
      </c>
      <c r="F702" s="177"/>
      <c r="G702" s="217" t="s">
        <v>1943</v>
      </c>
      <c r="H702" s="9">
        <f t="shared" ref="H702:O702" si="473">H697</f>
        <v>152000</v>
      </c>
      <c r="I702" s="85">
        <f>IF(E702=H702,0,IF(E702=0,100,(H702-E702)/E702*100))</f>
        <v>-8.8182363527294534</v>
      </c>
      <c r="J702" s="9">
        <f t="shared" si="473"/>
        <v>170000</v>
      </c>
      <c r="K702" s="9">
        <f t="shared" si="473"/>
        <v>173400</v>
      </c>
      <c r="L702" s="9">
        <f t="shared" si="473"/>
        <v>176900</v>
      </c>
      <c r="M702" s="9">
        <f t="shared" si="473"/>
        <v>180500</v>
      </c>
      <c r="N702" s="9">
        <f t="shared" si="473"/>
        <v>184200</v>
      </c>
      <c r="O702" s="9">
        <f t="shared" si="473"/>
        <v>187900</v>
      </c>
      <c r="P702" s="89">
        <f t="shared" ref="P702:Q702" si="474">P697</f>
        <v>191700</v>
      </c>
      <c r="Q702" s="9">
        <f t="shared" si="474"/>
        <v>195600</v>
      </c>
      <c r="R702" s="9">
        <f t="shared" ref="R702" si="475">R697</f>
        <v>199600</v>
      </c>
      <c r="S702" s="47">
        <f t="shared" ref="S702" si="476">S697</f>
        <v>203600</v>
      </c>
    </row>
    <row r="703" spans="1:19" ht="12.75" customHeight="1" x14ac:dyDescent="0.2">
      <c r="A703" s="128">
        <f>A701+A702</f>
        <v>-1225200</v>
      </c>
      <c r="B703" s="280">
        <f>B701+B702</f>
        <v>-1256800</v>
      </c>
      <c r="C703" s="280">
        <f>C701+C702</f>
        <v>-1265100</v>
      </c>
      <c r="D703" s="280">
        <f>D701+D702</f>
        <v>-1307100</v>
      </c>
      <c r="E703" s="280">
        <f t="shared" ref="E703" si="477">E701+E702</f>
        <v>-1343100</v>
      </c>
      <c r="F703" s="359"/>
      <c r="G703" s="360" t="s">
        <v>1659</v>
      </c>
      <c r="H703" s="280">
        <f t="shared" ref="H703:O703" si="478">H701+H702</f>
        <v>-1368200</v>
      </c>
      <c r="I703" s="278">
        <f>IF(E703=H703,0,IF(E703=0,100,(H703-E703)/E703*100))</f>
        <v>1.8688109597200506</v>
      </c>
      <c r="J703" s="280">
        <f t="shared" si="478"/>
        <v>-1394700</v>
      </c>
      <c r="K703" s="280">
        <f t="shared" si="478"/>
        <v>-1429900</v>
      </c>
      <c r="L703" s="280">
        <f t="shared" si="478"/>
        <v>-1466100</v>
      </c>
      <c r="M703" s="280">
        <f t="shared" si="478"/>
        <v>-1503200</v>
      </c>
      <c r="N703" s="280">
        <f t="shared" si="478"/>
        <v>-1541200</v>
      </c>
      <c r="O703" s="280">
        <f t="shared" si="478"/>
        <v>-1580000</v>
      </c>
      <c r="P703" s="266">
        <f t="shared" ref="P703:Q703" si="479">P701+P702</f>
        <v>-1619800</v>
      </c>
      <c r="Q703" s="280">
        <f t="shared" si="479"/>
        <v>-1660700</v>
      </c>
      <c r="R703" s="280">
        <f t="shared" ref="R703" si="480">R701+R702</f>
        <v>-1702600</v>
      </c>
      <c r="S703" s="2343">
        <f t="shared" ref="S703" si="481">S701+S702</f>
        <v>-1745500</v>
      </c>
    </row>
    <row r="704" spans="1:19" s="39" customFormat="1" ht="12.75" customHeight="1" thickBot="1" x14ac:dyDescent="0.25">
      <c r="A704" s="26"/>
      <c r="B704" s="37"/>
      <c r="C704" s="37"/>
      <c r="D704" s="37"/>
      <c r="E704" s="23"/>
      <c r="F704" s="191"/>
      <c r="G704" s="88"/>
      <c r="H704" s="68"/>
      <c r="I704" s="275"/>
      <c r="J704" s="68"/>
      <c r="K704" s="68"/>
      <c r="L704" s="68"/>
      <c r="M704" s="68"/>
      <c r="N704" s="68"/>
      <c r="O704" s="68"/>
      <c r="P704" s="42"/>
      <c r="Q704" s="68"/>
      <c r="R704" s="68"/>
      <c r="S704" s="108"/>
    </row>
    <row r="705" spans="1:19" ht="12.75" customHeight="1" thickTop="1" x14ac:dyDescent="0.2">
      <c r="A705" s="270"/>
      <c r="B705" s="69"/>
      <c r="C705" s="109"/>
      <c r="D705" s="109"/>
      <c r="E705" s="74"/>
      <c r="F705" s="192"/>
      <c r="G705" s="455"/>
      <c r="H705" s="74"/>
      <c r="I705" s="352"/>
      <c r="J705" s="74"/>
      <c r="K705" s="74"/>
      <c r="L705" s="74"/>
      <c r="M705" s="74"/>
      <c r="N705" s="74"/>
      <c r="O705" s="74"/>
      <c r="P705" s="111"/>
      <c r="Q705" s="74"/>
      <c r="R705" s="74"/>
      <c r="S705" s="110"/>
    </row>
    <row r="706" spans="1:19" ht="12.75" customHeight="1" x14ac:dyDescent="0.2">
      <c r="A706" s="24"/>
      <c r="B706" s="75"/>
      <c r="C706" s="21"/>
      <c r="D706" s="21"/>
      <c r="E706" s="9"/>
      <c r="F706" s="189"/>
      <c r="G706" s="1160" t="s">
        <v>192</v>
      </c>
      <c r="H706" s="9"/>
      <c r="I706" s="126"/>
      <c r="J706" s="9"/>
      <c r="K706" s="9"/>
      <c r="L706" s="9"/>
      <c r="M706" s="9"/>
      <c r="N706" s="9"/>
      <c r="O706" s="9"/>
      <c r="P706" s="89"/>
      <c r="Q706" s="9"/>
      <c r="R706" s="9"/>
      <c r="S706" s="61"/>
    </row>
    <row r="707" spans="1:19" s="38" customFormat="1" ht="12.75" customHeight="1" x14ac:dyDescent="0.25">
      <c r="A707" s="24"/>
      <c r="B707" s="75"/>
      <c r="C707" s="21"/>
      <c r="D707" s="21"/>
      <c r="E707" s="9"/>
      <c r="F707" s="189"/>
      <c r="G707" s="122"/>
      <c r="H707" s="9"/>
      <c r="I707" s="126"/>
      <c r="J707" s="9"/>
      <c r="K707" s="9"/>
      <c r="L707" s="9"/>
      <c r="M707" s="9"/>
      <c r="N707" s="9"/>
      <c r="O707" s="9"/>
      <c r="P707" s="89"/>
      <c r="Q707" s="9"/>
      <c r="R707" s="9"/>
      <c r="S707" s="61"/>
    </row>
    <row r="708" spans="1:19" s="39" customFormat="1" ht="12.75" customHeight="1" x14ac:dyDescent="0.2">
      <c r="A708" s="54">
        <v>0</v>
      </c>
      <c r="B708" s="89">
        <v>0</v>
      </c>
      <c r="C708" s="89">
        <v>0</v>
      </c>
      <c r="D708" s="9">
        <v>0</v>
      </c>
      <c r="E708" s="9">
        <v>0</v>
      </c>
      <c r="F708" s="189"/>
      <c r="G708" s="1173" t="s">
        <v>2848</v>
      </c>
      <c r="H708" s="9">
        <v>0</v>
      </c>
      <c r="I708" s="85"/>
      <c r="J708" s="9">
        <v>0</v>
      </c>
      <c r="K708" s="9">
        <v>0</v>
      </c>
      <c r="L708" s="9">
        <v>0</v>
      </c>
      <c r="M708" s="9">
        <v>0</v>
      </c>
      <c r="N708" s="9">
        <v>0</v>
      </c>
      <c r="O708" s="9">
        <v>0</v>
      </c>
      <c r="P708" s="89">
        <v>0</v>
      </c>
      <c r="Q708" s="9">
        <v>0</v>
      </c>
      <c r="R708" s="9">
        <v>0</v>
      </c>
      <c r="S708" s="47">
        <v>0</v>
      </c>
    </row>
    <row r="709" spans="1:19" ht="12.75" customHeight="1" x14ac:dyDescent="0.2">
      <c r="A709" s="54">
        <v>60700</v>
      </c>
      <c r="B709" s="89">
        <v>253800</v>
      </c>
      <c r="C709" s="9">
        <v>120100</v>
      </c>
      <c r="D709" s="9">
        <f>SUM('Res-Gen'!B27:B29)</f>
        <v>64200</v>
      </c>
      <c r="E709" s="9">
        <f>SUM('Res-Gen'!E27:E29)</f>
        <v>81600</v>
      </c>
      <c r="F709" s="189"/>
      <c r="G709" s="1173" t="s">
        <v>1909</v>
      </c>
      <c r="H709" s="9">
        <f>SUM('Res-Gen'!H27:H29)+2600</f>
        <v>2600</v>
      </c>
      <c r="I709" s="85"/>
      <c r="J709" s="9">
        <f>SUM('Res-Gen'!K27:K29)</f>
        <v>0</v>
      </c>
      <c r="K709" s="9">
        <f>SUM('Res-Gen'!N27:N29)</f>
        <v>0</v>
      </c>
      <c r="L709" s="9">
        <f>SUM('Res-Gen'!Q27:Q29)</f>
        <v>0</v>
      </c>
      <c r="M709" s="9">
        <f>SUM('Res-Gen'!T27:T29)</f>
        <v>0</v>
      </c>
      <c r="N709" s="9">
        <f>SUM('Res-Gen'!W27:W29)</f>
        <v>0</v>
      </c>
      <c r="O709" s="9">
        <f>SUM('Res-Gen'!Z27:Z29)</f>
        <v>0</v>
      </c>
      <c r="P709" s="89">
        <f>SUM('Res-Gen'!AC27:AC29)</f>
        <v>0</v>
      </c>
      <c r="Q709" s="9">
        <f>SUM('Res-Gen'!AF27:AF29)</f>
        <v>0</v>
      </c>
      <c r="R709" s="9">
        <f>SUM('Res-Gen'!AI27:AI29)</f>
        <v>0</v>
      </c>
      <c r="S709" s="47">
        <f>SUM('Res-Gen'!AL27:AL29)</f>
        <v>0</v>
      </c>
    </row>
    <row r="710" spans="1:19" ht="12.75" customHeight="1" x14ac:dyDescent="0.2">
      <c r="A710" s="54">
        <v>58500</v>
      </c>
      <c r="B710" s="89">
        <v>209200</v>
      </c>
      <c r="C710" s="9">
        <v>253800</v>
      </c>
      <c r="D710" s="9">
        <f>'Res-Gen'!C28+33300</f>
        <v>88100</v>
      </c>
      <c r="E710" s="9">
        <f>SUM('Res-Gen'!F27:F28)</f>
        <v>64200</v>
      </c>
      <c r="F710" s="189"/>
      <c r="G710" s="1173" t="s">
        <v>2309</v>
      </c>
      <c r="H710" s="9">
        <f>SUM('Res-Gen'!I27:I28)</f>
        <v>4000</v>
      </c>
      <c r="I710" s="85"/>
      <c r="J710" s="9">
        <f>SUM('Res-Gen'!L27:L28)</f>
        <v>0</v>
      </c>
      <c r="K710" s="9">
        <f>SUM('Res-Gen'!O27:O28)</f>
        <v>0</v>
      </c>
      <c r="L710" s="9">
        <f>SUM('Res-Gen'!R27:R28)</f>
        <v>0</v>
      </c>
      <c r="M710" s="9">
        <f>SUM('Res-Gen'!U27:U28)</f>
        <v>0</v>
      </c>
      <c r="N710" s="9">
        <f>SUM('Res-Gen'!X27:X28)</f>
        <v>0</v>
      </c>
      <c r="O710" s="9">
        <f>SUM('Res-Gen'!AA27:AA28)</f>
        <v>0</v>
      </c>
      <c r="P710" s="89">
        <f>SUM('Res-Gen'!AD27:AD28)</f>
        <v>0</v>
      </c>
      <c r="Q710" s="9">
        <f>SUM('Res-Gen'!AG27:AG28)</f>
        <v>0</v>
      </c>
      <c r="R710" s="9">
        <f>SUM('Res-Gen'!AJ27:AJ28)</f>
        <v>0</v>
      </c>
      <c r="S710" s="47">
        <f>SUM('Res-Gen'!AM27:AM28)</f>
        <v>0</v>
      </c>
    </row>
    <row r="711" spans="1:19" ht="12.75" customHeight="1" x14ac:dyDescent="0.2">
      <c r="A711" s="54">
        <v>0</v>
      </c>
      <c r="B711" s="9">
        <v>16000</v>
      </c>
      <c r="C711" s="9">
        <v>0</v>
      </c>
      <c r="D711" s="9">
        <f>SUM('Cap-Gen'!R13:T14)</f>
        <v>0</v>
      </c>
      <c r="E711" s="9">
        <f>SUM('Cap-Gen'!W13:Y14)</f>
        <v>0</v>
      </c>
      <c r="F711" s="189"/>
      <c r="G711" s="257" t="s">
        <v>5847</v>
      </c>
      <c r="H711" s="9">
        <v>0</v>
      </c>
      <c r="I711" s="85"/>
      <c r="J711" s="9">
        <v>0</v>
      </c>
      <c r="K711" s="9">
        <v>0</v>
      </c>
      <c r="L711" s="9">
        <v>0</v>
      </c>
      <c r="M711" s="9">
        <v>0</v>
      </c>
      <c r="N711" s="9">
        <v>0</v>
      </c>
      <c r="O711" s="9">
        <v>0</v>
      </c>
      <c r="P711" s="89">
        <v>0</v>
      </c>
      <c r="Q711" s="9">
        <v>0</v>
      </c>
      <c r="R711" s="9">
        <v>0</v>
      </c>
      <c r="S711" s="47">
        <v>0</v>
      </c>
    </row>
    <row r="712" spans="1:19" ht="12.75" customHeight="1" x14ac:dyDescent="0.2">
      <c r="A712" s="54">
        <v>0</v>
      </c>
      <c r="B712" s="89">
        <v>10400</v>
      </c>
      <c r="C712" s="9">
        <v>156600</v>
      </c>
      <c r="D712" s="9">
        <f>SUM('Cap-Gen'!E13:E14)</f>
        <v>39300</v>
      </c>
      <c r="E712" s="9">
        <f>SUM('Cap-Gen'!F13:F14)</f>
        <v>0</v>
      </c>
      <c r="F712" s="189"/>
      <c r="G712" s="257" t="s">
        <v>958</v>
      </c>
      <c r="H712" s="9">
        <f>SUM('Cap-Gen'!G13:G14)</f>
        <v>0</v>
      </c>
      <c r="I712" s="85"/>
      <c r="J712" s="9">
        <f>SUM('Cap-Gen'!H13:H14)</f>
        <v>0</v>
      </c>
      <c r="K712" s="9">
        <f>SUM('Cap-Gen'!I13:I14)</f>
        <v>0</v>
      </c>
      <c r="L712" s="9">
        <f>SUM('Cap-Gen'!J13:J14)</f>
        <v>0</v>
      </c>
      <c r="M712" s="9">
        <f>SUM('Cap-Gen'!K13:K14)</f>
        <v>0</v>
      </c>
      <c r="N712" s="9">
        <f>SUM('Cap-Gen'!L13:L14)</f>
        <v>0</v>
      </c>
      <c r="O712" s="9">
        <f>SUM('Cap-Gen'!M13:M14)</f>
        <v>0</v>
      </c>
      <c r="P712" s="89">
        <f>SUM('Cap-Gen'!N13:N14)</f>
        <v>0</v>
      </c>
      <c r="Q712" s="9">
        <f>SUM('Cap-Gen'!O13:O14)</f>
        <v>0</v>
      </c>
      <c r="R712" s="9">
        <f>SUM('Cap-Gen'!P13:P14)</f>
        <v>0</v>
      </c>
      <c r="S712" s="47">
        <f>SUM('Cap-Gen'!Q13:Q14)</f>
        <v>0</v>
      </c>
    </row>
    <row r="713" spans="1:19" ht="12.75" customHeight="1" x14ac:dyDescent="0.2">
      <c r="A713" s="54"/>
      <c r="B713" s="89"/>
      <c r="C713" s="9"/>
      <c r="D713" s="9"/>
      <c r="E713" s="9"/>
      <c r="F713" s="189"/>
      <c r="G713" s="361"/>
      <c r="H713" s="9"/>
      <c r="I713" s="85"/>
      <c r="J713" s="9"/>
      <c r="K713" s="9"/>
      <c r="L713" s="9"/>
      <c r="M713" s="9"/>
      <c r="N713" s="9"/>
      <c r="O713" s="9"/>
      <c r="P713" s="89"/>
      <c r="Q713" s="9"/>
      <c r="R713" s="9"/>
      <c r="S713" s="61"/>
    </row>
    <row r="714" spans="1:19" ht="12.75" customHeight="1" x14ac:dyDescent="0.2">
      <c r="A714" s="128">
        <f>A703-A708-A709+A710++A711-A712</f>
        <v>-1227400</v>
      </c>
      <c r="B714" s="266">
        <f>B703-B708-B709+B710++B711-B712</f>
        <v>-1295800</v>
      </c>
      <c r="C714" s="280">
        <f>C703-C708-C709+C710++C711-C712</f>
        <v>-1288000</v>
      </c>
      <c r="D714" s="280">
        <f>D703-D708-D709+D710++D711-D712</f>
        <v>-1322500</v>
      </c>
      <c r="E714" s="280">
        <f t="shared" ref="E714" si="482">E703-E708-E709+E710++E711-E712</f>
        <v>-1360500</v>
      </c>
      <c r="F714" s="362"/>
      <c r="G714" s="363" t="s">
        <v>2447</v>
      </c>
      <c r="H714" s="280">
        <f t="shared" ref="H714:O714" si="483">H703-H708-H709+H710++H711-H712</f>
        <v>-1366800</v>
      </c>
      <c r="I714" s="278">
        <f>IF(E714=H714,0,IF(E714=0,100,(H714-E714)/E714*100))</f>
        <v>0.46306504961411249</v>
      </c>
      <c r="J714" s="280">
        <f t="shared" si="483"/>
        <v>-1394700</v>
      </c>
      <c r="K714" s="280">
        <f t="shared" si="483"/>
        <v>-1429900</v>
      </c>
      <c r="L714" s="280">
        <f t="shared" si="483"/>
        <v>-1466100</v>
      </c>
      <c r="M714" s="280">
        <f t="shared" si="483"/>
        <v>-1503200</v>
      </c>
      <c r="N714" s="280">
        <f t="shared" si="483"/>
        <v>-1541200</v>
      </c>
      <c r="O714" s="280">
        <f t="shared" si="483"/>
        <v>-1580000</v>
      </c>
      <c r="P714" s="266">
        <f t="shared" ref="P714:Q714" si="484">P703-P708-P709+P710++P711-P712</f>
        <v>-1619800</v>
      </c>
      <c r="Q714" s="280">
        <f t="shared" si="484"/>
        <v>-1660700</v>
      </c>
      <c r="R714" s="280">
        <f t="shared" ref="R714:S714" si="485">R703-R708-R709+R710++R711-R712</f>
        <v>-1702600</v>
      </c>
      <c r="S714" s="282">
        <f t="shared" si="485"/>
        <v>-1745500</v>
      </c>
    </row>
    <row r="715" spans="1:19" ht="12.75" customHeight="1" thickBot="1" x14ac:dyDescent="0.25">
      <c r="A715" s="26"/>
      <c r="B715" s="81"/>
      <c r="C715" s="851"/>
      <c r="D715" s="37"/>
      <c r="E715" s="23"/>
      <c r="F715" s="400"/>
      <c r="G715" s="259"/>
      <c r="H715" s="23"/>
      <c r="I715" s="275"/>
      <c r="J715" s="23"/>
      <c r="K715" s="23"/>
      <c r="L715" s="23"/>
      <c r="M715" s="23"/>
      <c r="N715" s="23"/>
      <c r="O715" s="23"/>
      <c r="P715" s="113"/>
      <c r="Q715" s="23"/>
      <c r="R715" s="23"/>
      <c r="S715" s="112"/>
    </row>
    <row r="716" spans="1:19" s="46" customFormat="1" ht="12.75" customHeight="1" thickTop="1" thickBot="1" x14ac:dyDescent="0.25">
      <c r="C716" s="144"/>
      <c r="D716" s="144"/>
      <c r="E716" s="144"/>
      <c r="F716" s="373"/>
      <c r="I716" s="70"/>
    </row>
    <row r="717" spans="1:19" s="38" customFormat="1" ht="19.5" thickTop="1" thickBot="1" x14ac:dyDescent="0.3">
      <c r="A717" s="2588" t="s">
        <v>2310</v>
      </c>
      <c r="B717" s="2589"/>
      <c r="C717" s="2589"/>
      <c r="D717" s="2589"/>
      <c r="E717" s="2589"/>
      <c r="F717" s="2589"/>
      <c r="G717" s="2589"/>
      <c r="H717" s="2589"/>
      <c r="I717" s="2589"/>
      <c r="J717" s="2589"/>
      <c r="K717" s="2589"/>
      <c r="L717" s="2589"/>
      <c r="M717" s="2589"/>
      <c r="N717" s="2589"/>
      <c r="O717" s="2589"/>
      <c r="P717" s="2589"/>
      <c r="Q717" s="2589"/>
      <c r="R717" s="2589"/>
      <c r="S717" s="2590"/>
    </row>
    <row r="718" spans="1:19" s="39" customFormat="1" ht="12.75" customHeight="1" x14ac:dyDescent="0.2">
      <c r="A718" s="2591" t="s">
        <v>1824</v>
      </c>
      <c r="B718" s="2577"/>
      <c r="C718" s="2577"/>
      <c r="D718" s="2577"/>
      <c r="E718" s="2592" t="s">
        <v>2215</v>
      </c>
      <c r="F718" s="2231" t="s">
        <v>2616</v>
      </c>
      <c r="G718" s="188" t="s">
        <v>2213</v>
      </c>
      <c r="H718" s="2576" t="s">
        <v>2215</v>
      </c>
      <c r="I718" s="2577"/>
      <c r="J718" s="2577"/>
      <c r="K718" s="2577"/>
      <c r="L718" s="2577"/>
      <c r="M718" s="2577"/>
      <c r="N718" s="2577"/>
      <c r="O718" s="2577"/>
      <c r="P718" s="2577"/>
      <c r="Q718" s="2577"/>
      <c r="R718" s="2577"/>
      <c r="S718" s="2578"/>
    </row>
    <row r="719" spans="1:19" ht="12.75" customHeight="1" thickBot="1" x14ac:dyDescent="0.25">
      <c r="A719" s="541" t="str">
        <f>CIV!A3</f>
        <v>2012/13</v>
      </c>
      <c r="B719" s="28" t="str">
        <f>CIV!B3</f>
        <v>2013/14</v>
      </c>
      <c r="C719" s="40" t="str">
        <f>CIV!C3</f>
        <v>2014/15</v>
      </c>
      <c r="D719" s="40" t="str">
        <f>CIV!D3</f>
        <v>2015/16</v>
      </c>
      <c r="E719" s="40" t="str">
        <f>CIV!E3</f>
        <v>2016/17</v>
      </c>
      <c r="F719" s="40" t="str">
        <f>CIV!F1718</f>
        <v>ACCOUNT</v>
      </c>
      <c r="G719" s="2072"/>
      <c r="H719" s="40" t="str">
        <f>CIV!H3</f>
        <v>2017/18</v>
      </c>
      <c r="I719" s="1459" t="s">
        <v>492</v>
      </c>
      <c r="J719" s="40" t="str">
        <f>CIV!J3</f>
        <v>2018/19</v>
      </c>
      <c r="K719" s="40" t="str">
        <f>CIV!K3</f>
        <v>2019/20</v>
      </c>
      <c r="L719" s="40" t="str">
        <f>CIV!L3</f>
        <v>2020/21</v>
      </c>
      <c r="M719" s="40" t="str">
        <f>CIV!M3</f>
        <v>2021/22</v>
      </c>
      <c r="N719" s="40" t="str">
        <f>CIV!N3</f>
        <v>2022/23</v>
      </c>
      <c r="O719" s="40" t="str">
        <f>CIV!O3</f>
        <v>2023/24</v>
      </c>
      <c r="P719" s="40" t="str">
        <f>CIV!P3</f>
        <v>2024/25</v>
      </c>
      <c r="Q719" s="28" t="str">
        <f>CIV!Q3</f>
        <v>2025/26</v>
      </c>
      <c r="R719" s="28" t="str">
        <f>CIV!R3</f>
        <v>2026/27</v>
      </c>
      <c r="S719" s="1620" t="str">
        <f>CIV!S3</f>
        <v>2027/28</v>
      </c>
    </row>
    <row r="720" spans="1:19" ht="12.75" customHeight="1" x14ac:dyDescent="0.2">
      <c r="A720" s="45"/>
      <c r="B720" s="9"/>
      <c r="C720" s="134"/>
      <c r="D720" s="134"/>
      <c r="E720" s="134"/>
      <c r="F720" s="1152"/>
      <c r="G720" s="50" t="s">
        <v>1056</v>
      </c>
      <c r="H720" s="9"/>
      <c r="I720" s="85"/>
      <c r="J720" s="9"/>
      <c r="K720" s="9"/>
      <c r="L720" s="9"/>
      <c r="M720" s="9"/>
      <c r="N720" s="9"/>
      <c r="O720" s="9"/>
      <c r="P720" s="9"/>
      <c r="Q720" s="9"/>
      <c r="R720" s="9"/>
      <c r="S720" s="61"/>
    </row>
    <row r="721" spans="1:19" ht="12.75" customHeight="1" x14ac:dyDescent="0.2">
      <c r="A721" s="45"/>
      <c r="B721" s="9"/>
      <c r="C721" s="134"/>
      <c r="D721" s="134"/>
      <c r="E721" s="134"/>
      <c r="F721" s="1152"/>
      <c r="G721" s="260" t="s">
        <v>1156</v>
      </c>
      <c r="H721" s="9"/>
      <c r="I721" s="85"/>
      <c r="J721" s="9"/>
      <c r="K721" s="9"/>
      <c r="L721" s="9"/>
      <c r="M721" s="9"/>
      <c r="N721" s="9"/>
      <c r="O721" s="9"/>
      <c r="P721" s="9"/>
      <c r="Q721" s="9"/>
      <c r="R721" s="9"/>
      <c r="S721" s="61"/>
    </row>
    <row r="722" spans="1:19" ht="12.75" customHeight="1" x14ac:dyDescent="0.2">
      <c r="A722" s="54">
        <v>133400</v>
      </c>
      <c r="B722" s="9">
        <v>144000</v>
      </c>
      <c r="C722" s="134">
        <v>142500</v>
      </c>
      <c r="D722" s="134">
        <v>185200</v>
      </c>
      <c r="E722" s="134">
        <v>196000</v>
      </c>
      <c r="F722" s="469" t="s">
        <v>2118</v>
      </c>
      <c r="G722" s="257" t="s">
        <v>2403</v>
      </c>
      <c r="H722" s="9">
        <v>165000</v>
      </c>
      <c r="I722" s="85">
        <f>IF(E722=H722,0,IF(E722=0,100,(H722-E722)/E722*100))</f>
        <v>-15.816326530612246</v>
      </c>
      <c r="J722" s="9">
        <v>225000</v>
      </c>
      <c r="K722" s="9">
        <f>ROUNDUP(J722+(J722*Assumptions!J$5),-2)</f>
        <v>230700</v>
      </c>
      <c r="L722" s="9">
        <f>ROUNDUP(K722+(K722*Assumptions!K$5),-2)</f>
        <v>236500</v>
      </c>
      <c r="M722" s="9">
        <f>ROUNDUP(L722+(L722*Assumptions!L$5),-2)</f>
        <v>242500</v>
      </c>
      <c r="N722" s="9">
        <f>ROUNDUP(M722+(M722*Assumptions!M$5),-2)</f>
        <v>248600</v>
      </c>
      <c r="O722" s="9">
        <f>ROUNDUP(N722+(N722*Assumptions!N$5),-2)</f>
        <v>254900</v>
      </c>
      <c r="P722" s="9">
        <f>ROUNDUP(O722+(O722*Assumptions!O$5),-2)</f>
        <v>261300</v>
      </c>
      <c r="Q722" s="9">
        <f>ROUNDUP(P722+(P722*Assumptions!P$5),-2)</f>
        <v>267900</v>
      </c>
      <c r="R722" s="9">
        <f>ROUNDUP(Q722+(Q722*Assumptions!Q$5),-2)</f>
        <v>274600</v>
      </c>
      <c r="S722" s="47">
        <f>ROUNDUP(R722+(R722*Assumptions!R$5),-2)</f>
        <v>281500</v>
      </c>
    </row>
    <row r="723" spans="1:19" ht="12.75" customHeight="1" x14ac:dyDescent="0.2">
      <c r="A723" s="54">
        <v>7700</v>
      </c>
      <c r="B723" s="9">
        <v>7600</v>
      </c>
      <c r="C723" s="134">
        <v>7800</v>
      </c>
      <c r="D723" s="134">
        <v>8000</v>
      </c>
      <c r="E723" s="134">
        <v>8000</v>
      </c>
      <c r="F723" s="469" t="s">
        <v>2119</v>
      </c>
      <c r="G723" s="257" t="s">
        <v>319</v>
      </c>
      <c r="H723" s="9">
        <v>8000</v>
      </c>
      <c r="I723" s="85">
        <f>IF(E723=H723,0,IF(E723=0,100,(H723-E723)/E723*100))</f>
        <v>0</v>
      </c>
      <c r="J723" s="9">
        <f>ROUNDUP(H723+(H723*Assumptions!I$5),-2)</f>
        <v>8200</v>
      </c>
      <c r="K723" s="9">
        <f>ROUNDUP(J723+(J723*Assumptions!J$5),-2)</f>
        <v>8500</v>
      </c>
      <c r="L723" s="9">
        <f>ROUNDUP(K723+(K723*Assumptions!K$5),-2)</f>
        <v>8800</v>
      </c>
      <c r="M723" s="9">
        <f>ROUNDUP(L723+(L723*Assumptions!L$5),-2)</f>
        <v>9100</v>
      </c>
      <c r="N723" s="9">
        <f>ROUNDUP(M723+(M723*Assumptions!M$5),-2)</f>
        <v>9400</v>
      </c>
      <c r="O723" s="9">
        <f>ROUNDUP(N723+(N723*Assumptions!N$5),-2)</f>
        <v>9700</v>
      </c>
      <c r="P723" s="9">
        <f>ROUNDUP(O723+(O723*Assumptions!O$5),-2)</f>
        <v>10000</v>
      </c>
      <c r="Q723" s="9">
        <f>ROUNDUP(P723+(P723*Assumptions!P$5),-2)</f>
        <v>10300</v>
      </c>
      <c r="R723" s="9">
        <f>ROUNDUP(Q723+(Q723*Assumptions!Q$5),-2)</f>
        <v>10600</v>
      </c>
      <c r="S723" s="47">
        <f>ROUNDUP(R723+(R723*Assumptions!R$5),-2)</f>
        <v>10900</v>
      </c>
    </row>
    <row r="724" spans="1:19" ht="12.75" customHeight="1" x14ac:dyDescent="0.2">
      <c r="A724" s="54">
        <v>37200</v>
      </c>
      <c r="B724" s="9">
        <v>42000</v>
      </c>
      <c r="C724" s="134">
        <v>48100</v>
      </c>
      <c r="D724" s="134">
        <f>39000+15000</f>
        <v>54000</v>
      </c>
      <c r="E724" s="134">
        <v>51600</v>
      </c>
      <c r="F724" s="469" t="s">
        <v>2120</v>
      </c>
      <c r="G724" s="257" t="s">
        <v>458</v>
      </c>
      <c r="H724" s="9">
        <v>55000</v>
      </c>
      <c r="I724" s="85">
        <f>IF(E724=H724,0,IF(E724=0,100,(H724-E724)/E724*100))</f>
        <v>6.5891472868217065</v>
      </c>
      <c r="J724" s="9">
        <v>59000</v>
      </c>
      <c r="K724" s="9">
        <f>ROUNDUP(J724+(J724*Assumptions!J$5),-2)</f>
        <v>60500</v>
      </c>
      <c r="L724" s="9">
        <f>ROUNDUP(K724+(K724*Assumptions!K$5),-2)</f>
        <v>62100</v>
      </c>
      <c r="M724" s="9">
        <f>ROUNDUP(L724+(L724*Assumptions!L$5),-2)</f>
        <v>63700</v>
      </c>
      <c r="N724" s="9">
        <f>ROUNDUP(M724+(M724*Assumptions!M$5),-2)</f>
        <v>65300</v>
      </c>
      <c r="O724" s="9">
        <f>ROUNDUP(N724+(N724*Assumptions!N$5),-2)</f>
        <v>67000</v>
      </c>
      <c r="P724" s="9">
        <f>ROUNDUP(O724+(O724*Assumptions!O$5),-2)</f>
        <v>68700</v>
      </c>
      <c r="Q724" s="9">
        <f>ROUNDUP(P724+(P724*Assumptions!P$5),-2)</f>
        <v>70500</v>
      </c>
      <c r="R724" s="9">
        <f>ROUNDUP(Q724+(Q724*Assumptions!Q$5),-2)</f>
        <v>72300</v>
      </c>
      <c r="S724" s="47">
        <f>ROUNDUP(R724+(R724*Assumptions!R$5),-2)</f>
        <v>74200</v>
      </c>
    </row>
    <row r="725" spans="1:19" ht="12.75" customHeight="1" x14ac:dyDescent="0.2">
      <c r="A725" s="54"/>
      <c r="B725" s="9"/>
      <c r="C725" s="134"/>
      <c r="D725" s="134"/>
      <c r="E725" s="134"/>
      <c r="F725" s="469"/>
      <c r="G725" s="260" t="s">
        <v>1982</v>
      </c>
      <c r="H725" s="9"/>
      <c r="I725" s="85"/>
      <c r="J725" s="9"/>
      <c r="K725" s="9"/>
      <c r="L725" s="9"/>
      <c r="M725" s="9"/>
      <c r="N725" s="9"/>
      <c r="O725" s="9"/>
      <c r="P725" s="9"/>
      <c r="Q725" s="9"/>
      <c r="R725" s="9"/>
      <c r="S725" s="47"/>
    </row>
    <row r="726" spans="1:19" ht="12.75" customHeight="1" x14ac:dyDescent="0.2">
      <c r="A726" s="54">
        <v>73000</v>
      </c>
      <c r="B726" s="9">
        <v>76200</v>
      </c>
      <c r="C726" s="134">
        <v>76500</v>
      </c>
      <c r="D726" s="134">
        <v>78800</v>
      </c>
      <c r="E726" s="134">
        <v>93600</v>
      </c>
      <c r="F726" s="469" t="s">
        <v>1198</v>
      </c>
      <c r="G726" s="257" t="s">
        <v>2403</v>
      </c>
      <c r="H726" s="9">
        <v>79000</v>
      </c>
      <c r="I726" s="85">
        <f>IF(E726=H726,0,IF(E726=0,100,(H726-E726)/E726*100))</f>
        <v>-15.598290598290598</v>
      </c>
      <c r="J726" s="9">
        <v>107000</v>
      </c>
      <c r="K726" s="9">
        <f>ROUNDUP(J726+(J726*Assumptions!J$5),-2)</f>
        <v>109700</v>
      </c>
      <c r="L726" s="9">
        <f>ROUNDUP(K726+(K726*Assumptions!K$5),-2)</f>
        <v>112500</v>
      </c>
      <c r="M726" s="9">
        <f>ROUNDUP(L726+(L726*Assumptions!L$5),-2)</f>
        <v>115400</v>
      </c>
      <c r="N726" s="9">
        <f>ROUNDUP(M726+(M726*Assumptions!M$5),-2)</f>
        <v>118300</v>
      </c>
      <c r="O726" s="9">
        <f>ROUNDUP(N726+(N726*Assumptions!N$5),-2)</f>
        <v>121300</v>
      </c>
      <c r="P726" s="9">
        <f>ROUNDUP(O726+(O726*Assumptions!O$5),-2)</f>
        <v>124400</v>
      </c>
      <c r="Q726" s="9">
        <f>ROUNDUP(P726+(P726*Assumptions!P$5),-2)</f>
        <v>127600</v>
      </c>
      <c r="R726" s="9">
        <f>ROUNDUP(Q726+(Q726*Assumptions!Q$5),-2)</f>
        <v>130800</v>
      </c>
      <c r="S726" s="47">
        <f>ROUNDUP(R726+(R726*Assumptions!R$5),-2)</f>
        <v>134100</v>
      </c>
    </row>
    <row r="727" spans="1:19" ht="12.75" customHeight="1" thickBot="1" x14ac:dyDescent="0.25">
      <c r="A727" s="54">
        <v>70200</v>
      </c>
      <c r="B727" s="9">
        <v>78900</v>
      </c>
      <c r="C727" s="134">
        <v>79200</v>
      </c>
      <c r="D727" s="134">
        <v>81300</v>
      </c>
      <c r="E727" s="134">
        <v>86200</v>
      </c>
      <c r="F727" s="469" t="s">
        <v>1199</v>
      </c>
      <c r="G727" s="257" t="s">
        <v>458</v>
      </c>
      <c r="H727" s="9">
        <v>81000</v>
      </c>
      <c r="I727" s="85">
        <f>IF(E727=H727,0,IF(E727=0,100,(H727-E727)/E727*100))</f>
        <v>-6.0324825986078885</v>
      </c>
      <c r="J727" s="9">
        <v>99000</v>
      </c>
      <c r="K727" s="9">
        <f>ROUNDUP(J727+(J727*Assumptions!J$5),-2)</f>
        <v>101500</v>
      </c>
      <c r="L727" s="9">
        <f>ROUNDUP(K727+(K727*Assumptions!K$5),-2)</f>
        <v>104100</v>
      </c>
      <c r="M727" s="9">
        <f>ROUNDUP(L727+(L727*Assumptions!L$5),-2)</f>
        <v>106800</v>
      </c>
      <c r="N727" s="9">
        <f>ROUNDUP(M727+(M727*Assumptions!M$5),-2)</f>
        <v>109500</v>
      </c>
      <c r="O727" s="9">
        <f>ROUNDUP(N727+(N727*Assumptions!N$5),-2)</f>
        <v>112300</v>
      </c>
      <c r="P727" s="9">
        <f>ROUNDUP(O727+(O727*Assumptions!O$5),-2)</f>
        <v>115200</v>
      </c>
      <c r="Q727" s="9">
        <f>ROUNDUP(P727+(P727*Assumptions!P$5),-2)</f>
        <v>118100</v>
      </c>
      <c r="R727" s="9">
        <f>ROUNDUP(Q727+(Q727*Assumptions!Q$5),-2)</f>
        <v>121100</v>
      </c>
      <c r="S727" s="47">
        <f>ROUNDUP(R727+(R727*Assumptions!R$5),-2)</f>
        <v>124200</v>
      </c>
    </row>
    <row r="728" spans="1:19" ht="12.75" customHeight="1" x14ac:dyDescent="0.2">
      <c r="A728" s="52">
        <f>SUM(A720:A727)</f>
        <v>321500</v>
      </c>
      <c r="B728" s="16">
        <f>SUM(B720:B727)</f>
        <v>348700</v>
      </c>
      <c r="C728" s="145">
        <f>SUM(C720:C727)</f>
        <v>354100</v>
      </c>
      <c r="D728" s="145">
        <f>SUM(D720:D727)</f>
        <v>407300</v>
      </c>
      <c r="E728" s="145">
        <f t="shared" ref="E728" si="486">SUM(E720:E727)</f>
        <v>435400</v>
      </c>
      <c r="F728" s="173"/>
      <c r="G728" s="170"/>
      <c r="H728" s="16">
        <f t="shared" ref="H728:P728" si="487">SUM(H720:H727)</f>
        <v>388000</v>
      </c>
      <c r="I728" s="127">
        <f>IF(E728=H728,0,IF(E728=0,100,(H728-E728)/E728*100))</f>
        <v>-10.886541111621497</v>
      </c>
      <c r="J728" s="16">
        <f t="shared" si="487"/>
        <v>498200</v>
      </c>
      <c r="K728" s="16">
        <f t="shared" si="487"/>
        <v>510900</v>
      </c>
      <c r="L728" s="16">
        <f t="shared" si="487"/>
        <v>524000</v>
      </c>
      <c r="M728" s="16">
        <f t="shared" si="487"/>
        <v>537500</v>
      </c>
      <c r="N728" s="16">
        <f t="shared" si="487"/>
        <v>551100</v>
      </c>
      <c r="O728" s="16">
        <f t="shared" si="487"/>
        <v>565200</v>
      </c>
      <c r="P728" s="16">
        <f t="shared" si="487"/>
        <v>579600</v>
      </c>
      <c r="Q728" s="16">
        <f t="shared" ref="Q728" si="488">SUM(Q720:Q727)</f>
        <v>594400</v>
      </c>
      <c r="R728" s="16">
        <f t="shared" ref="R728" si="489">SUM(R720:R727)</f>
        <v>609400</v>
      </c>
      <c r="S728" s="2342">
        <f t="shared" ref="S728" si="490">SUM(S720:S727)</f>
        <v>624900</v>
      </c>
    </row>
    <row r="729" spans="1:19" ht="12.75" customHeight="1" x14ac:dyDescent="0.2">
      <c r="A729" s="54"/>
      <c r="B729" s="9"/>
      <c r="C729" s="134"/>
      <c r="D729" s="134"/>
      <c r="E729" s="134"/>
      <c r="F729" s="167"/>
      <c r="G729" s="50" t="s">
        <v>2169</v>
      </c>
      <c r="H729" s="9"/>
      <c r="I729" s="85"/>
      <c r="J729" s="9"/>
      <c r="K729" s="9"/>
      <c r="L729" s="9"/>
      <c r="M729" s="9"/>
      <c r="N729" s="9"/>
      <c r="O729" s="9"/>
      <c r="P729" s="9"/>
      <c r="Q729" s="9"/>
      <c r="R729" s="9"/>
      <c r="S729" s="47"/>
    </row>
    <row r="730" spans="1:19" ht="12.75" customHeight="1" x14ac:dyDescent="0.2">
      <c r="A730" s="54"/>
      <c r="B730" s="9"/>
      <c r="C730" s="134"/>
      <c r="D730" s="134"/>
      <c r="E730" s="134"/>
      <c r="F730" s="167"/>
      <c r="G730" s="170" t="s">
        <v>1359</v>
      </c>
      <c r="H730" s="9"/>
      <c r="I730" s="85"/>
      <c r="J730" s="9"/>
      <c r="K730" s="9"/>
      <c r="L730" s="9"/>
      <c r="M730" s="9"/>
      <c r="N730" s="9"/>
      <c r="O730" s="9"/>
      <c r="P730" s="9"/>
      <c r="Q730" s="9"/>
      <c r="R730" s="9"/>
      <c r="S730" s="47"/>
    </row>
    <row r="731" spans="1:19" ht="12.75" customHeight="1" x14ac:dyDescent="0.2">
      <c r="A731" s="54"/>
      <c r="B731" s="9"/>
      <c r="C731" s="134"/>
      <c r="D731" s="134"/>
      <c r="E731" s="134"/>
      <c r="F731" s="1153"/>
      <c r="G731" s="21" t="s">
        <v>584</v>
      </c>
      <c r="H731" s="9"/>
      <c r="I731" s="85"/>
      <c r="J731" s="9"/>
      <c r="K731" s="9"/>
      <c r="L731" s="9"/>
      <c r="M731" s="9"/>
      <c r="N731" s="9"/>
      <c r="O731" s="9"/>
      <c r="P731" s="9"/>
      <c r="Q731" s="9"/>
      <c r="R731" s="9"/>
      <c r="S731" s="47"/>
    </row>
    <row r="732" spans="1:19" ht="12.75" customHeight="1" x14ac:dyDescent="0.2">
      <c r="A732" s="54">
        <v>800</v>
      </c>
      <c r="B732" s="9">
        <v>1000</v>
      </c>
      <c r="C732" s="134">
        <v>1300</v>
      </c>
      <c r="D732" s="134">
        <v>1600</v>
      </c>
      <c r="E732" s="134">
        <v>1700</v>
      </c>
      <c r="F732" s="770" t="s">
        <v>3341</v>
      </c>
      <c r="G732" s="77" t="s">
        <v>4084</v>
      </c>
      <c r="H732" s="9">
        <v>1000</v>
      </c>
      <c r="I732" s="85">
        <f t="shared" ref="I732:I739" si="491">IF(E732=H732,0,IF(E732=0,100,(H732-E732)/E732*100))</f>
        <v>-41.17647058823529</v>
      </c>
      <c r="J732" s="9">
        <f>ROUNDUP(H732+(H732*Assumptions!I$5),-2)</f>
        <v>1100</v>
      </c>
      <c r="K732" s="9">
        <f>ROUNDUP(J732+(J732*Assumptions!J$5),-2)</f>
        <v>1200</v>
      </c>
      <c r="L732" s="9">
        <f>ROUNDUP(K732+(K732*Assumptions!K$5),-2)</f>
        <v>1300</v>
      </c>
      <c r="M732" s="9">
        <f>ROUNDUP(L732+(L732*Assumptions!L$5),-2)</f>
        <v>1400</v>
      </c>
      <c r="N732" s="9">
        <f>ROUNDUP(M732+(M732*Assumptions!M$5),-2)</f>
        <v>1500</v>
      </c>
      <c r="O732" s="9">
        <f>ROUNDUP(N732+(N732*Assumptions!N$5),-2)</f>
        <v>1600</v>
      </c>
      <c r="P732" s="9">
        <f>ROUNDUP(O732+(O732*Assumptions!O$5),-2)</f>
        <v>1700</v>
      </c>
      <c r="Q732" s="9">
        <f>ROUNDUP(P732+(P732*Assumptions!P$5),-2)</f>
        <v>1800</v>
      </c>
      <c r="R732" s="9">
        <f>ROUNDUP(Q732+(Q732*Assumptions!Q$5),-2)</f>
        <v>1900</v>
      </c>
      <c r="S732" s="47">
        <f>ROUNDUP(R732+(R732*Assumptions!R$5),-2)</f>
        <v>2000</v>
      </c>
    </row>
    <row r="733" spans="1:19" ht="12.75" customHeight="1" x14ac:dyDescent="0.2">
      <c r="A733" s="54">
        <v>22000</v>
      </c>
      <c r="B733" s="9">
        <v>22400</v>
      </c>
      <c r="C733" s="134">
        <v>28100</v>
      </c>
      <c r="D733" s="134">
        <v>24500</v>
      </c>
      <c r="E733" s="134">
        <v>20700</v>
      </c>
      <c r="F733" s="469" t="s">
        <v>1053</v>
      </c>
      <c r="G733" s="371" t="s">
        <v>893</v>
      </c>
      <c r="H733" s="9">
        <v>28000</v>
      </c>
      <c r="I733" s="85">
        <f t="shared" si="491"/>
        <v>35.265700483091791</v>
      </c>
      <c r="J733" s="9">
        <v>25000</v>
      </c>
      <c r="K733" s="9">
        <f>ROUNDUP(J733+(J733*Assumptions!J$5),-2)</f>
        <v>25700</v>
      </c>
      <c r="L733" s="9">
        <f>ROUNDUP(K733+(K733*Assumptions!K$5),-2)</f>
        <v>26400</v>
      </c>
      <c r="M733" s="9">
        <f>ROUNDUP(L733+(L733*Assumptions!L$5),-2)</f>
        <v>27100</v>
      </c>
      <c r="N733" s="9">
        <f>ROUNDUP(M733+(M733*Assumptions!M$5),-2)</f>
        <v>27800</v>
      </c>
      <c r="O733" s="9">
        <f>ROUNDUP(N733+(N733*Assumptions!N$5),-2)</f>
        <v>28500</v>
      </c>
      <c r="P733" s="9">
        <f>ROUNDUP(O733+(O733*Assumptions!O$5),-2)</f>
        <v>29300</v>
      </c>
      <c r="Q733" s="9">
        <f>ROUNDUP(P733+(P733*Assumptions!P$5),-2)</f>
        <v>30100</v>
      </c>
      <c r="R733" s="9">
        <f>ROUNDUP(Q733+(Q733*Assumptions!Q$5),-2)</f>
        <v>30900</v>
      </c>
      <c r="S733" s="47">
        <f>ROUNDUP(R733+(R733*Assumptions!R$5),-2)</f>
        <v>31700</v>
      </c>
    </row>
    <row r="734" spans="1:19" ht="12.75" customHeight="1" x14ac:dyDescent="0.2">
      <c r="A734" s="54">
        <v>3800</v>
      </c>
      <c r="B734" s="9">
        <v>4200</v>
      </c>
      <c r="C734" s="134">
        <v>6800</v>
      </c>
      <c r="D734" s="134">
        <v>6300</v>
      </c>
      <c r="E734" s="134">
        <v>5800</v>
      </c>
      <c r="F734" s="469" t="s">
        <v>1271</v>
      </c>
      <c r="G734" s="371" t="s">
        <v>2724</v>
      </c>
      <c r="H734" s="9">
        <f>10000-600</f>
        <v>9400</v>
      </c>
      <c r="I734" s="85">
        <f t="shared" si="491"/>
        <v>62.068965517241381</v>
      </c>
      <c r="J734" s="9">
        <f>ROUNDUP(H734+(H734*Assumptions!I$5),-2)</f>
        <v>9700</v>
      </c>
      <c r="K734" s="9">
        <f>ROUNDUP(J734+(J734*Assumptions!J$5),-2)</f>
        <v>10000</v>
      </c>
      <c r="L734" s="9">
        <f>ROUNDUP(K734+(K734*Assumptions!K$5),-2)</f>
        <v>10300</v>
      </c>
      <c r="M734" s="9">
        <f>ROUNDUP(L734+(L734*Assumptions!L$5),-2)</f>
        <v>10600</v>
      </c>
      <c r="N734" s="9">
        <f>ROUNDUP(M734+(M734*Assumptions!M$5),-2)</f>
        <v>10900</v>
      </c>
      <c r="O734" s="9">
        <f>ROUNDUP(N734+(N734*Assumptions!N$5),-2)</f>
        <v>11200</v>
      </c>
      <c r="P734" s="9">
        <f>ROUNDUP(O734+(O734*Assumptions!O$5),-2)</f>
        <v>11500</v>
      </c>
      <c r="Q734" s="9">
        <f>ROUNDUP(P734+(P734*Assumptions!P$5),-2)</f>
        <v>11800</v>
      </c>
      <c r="R734" s="9">
        <f>ROUNDUP(Q734+(Q734*Assumptions!Q$5),-2)</f>
        <v>12100</v>
      </c>
      <c r="S734" s="47">
        <f>ROUNDUP(R734+(R734*Assumptions!R$5),-2)</f>
        <v>12500</v>
      </c>
    </row>
    <row r="735" spans="1:19" ht="12.75" customHeight="1" x14ac:dyDescent="0.2">
      <c r="A735" s="54">
        <v>62300</v>
      </c>
      <c r="B735" s="9">
        <v>85700</v>
      </c>
      <c r="C735" s="134">
        <v>42000</v>
      </c>
      <c r="D735" s="134">
        <v>71200</v>
      </c>
      <c r="E735" s="134">
        <v>104300</v>
      </c>
      <c r="F735" s="469" t="s">
        <v>1141</v>
      </c>
      <c r="G735" s="662" t="s">
        <v>1445</v>
      </c>
      <c r="H735" s="9">
        <v>70000</v>
      </c>
      <c r="I735" s="85">
        <f t="shared" si="491"/>
        <v>-32.885906040268459</v>
      </c>
      <c r="J735" s="9">
        <v>75000</v>
      </c>
      <c r="K735" s="9">
        <f>ROUNDUP(J735+(J735*Assumptions!J$5),-2)</f>
        <v>76900</v>
      </c>
      <c r="L735" s="9">
        <f>ROUNDUP(K735+(K735*Assumptions!K$5),-2)</f>
        <v>78900</v>
      </c>
      <c r="M735" s="9">
        <f>ROUNDUP(L735+(L735*Assumptions!L$5),-2)</f>
        <v>80900</v>
      </c>
      <c r="N735" s="9">
        <f>ROUNDUP(M735+(M735*Assumptions!M$5),-2)</f>
        <v>83000</v>
      </c>
      <c r="O735" s="9">
        <f>ROUNDUP(N735+(N735*Assumptions!N$5),-2)</f>
        <v>85100</v>
      </c>
      <c r="P735" s="9">
        <f>ROUNDUP(O735+(O735*Assumptions!O$5),-2)</f>
        <v>87300</v>
      </c>
      <c r="Q735" s="9">
        <f>ROUNDUP(P735+(P735*Assumptions!P$5),-2)</f>
        <v>89500</v>
      </c>
      <c r="R735" s="9">
        <f>ROUNDUP(Q735+(Q735*Assumptions!Q$5),-2)</f>
        <v>91800</v>
      </c>
      <c r="S735" s="47">
        <f>ROUNDUP(R735+(R735*Assumptions!R$5),-2)</f>
        <v>94100</v>
      </c>
    </row>
    <row r="736" spans="1:19" ht="12.75" customHeight="1" x14ac:dyDescent="0.2">
      <c r="A736" s="54">
        <v>12800</v>
      </c>
      <c r="B736" s="9">
        <v>12400</v>
      </c>
      <c r="C736" s="134">
        <v>11800</v>
      </c>
      <c r="D736" s="134">
        <v>11800</v>
      </c>
      <c r="E736" s="134">
        <v>10300</v>
      </c>
      <c r="F736" s="469" t="s">
        <v>1270</v>
      </c>
      <c r="G736" s="371" t="s">
        <v>709</v>
      </c>
      <c r="H736" s="9">
        <v>47500</v>
      </c>
      <c r="I736" s="85">
        <f t="shared" si="491"/>
        <v>361.16504854368935</v>
      </c>
      <c r="J736" s="9">
        <v>60000</v>
      </c>
      <c r="K736" s="9">
        <f>ROUNDUP(J736+(J736*Assumptions!J$5),-2)</f>
        <v>61500</v>
      </c>
      <c r="L736" s="9">
        <f>ROUNDUP(K736+(K736*Assumptions!K$5),-2)</f>
        <v>63100</v>
      </c>
      <c r="M736" s="9">
        <f>ROUNDUP(L736+(L736*Assumptions!L$5),-2)</f>
        <v>64700</v>
      </c>
      <c r="N736" s="9">
        <f>ROUNDUP(M736+(M736*Assumptions!M$5),-2)</f>
        <v>66400</v>
      </c>
      <c r="O736" s="9">
        <f>ROUNDUP(N736+(N736*Assumptions!N$5),-2)</f>
        <v>68100</v>
      </c>
      <c r="P736" s="9">
        <f>ROUNDUP(O736+(O736*Assumptions!O$5),-2)</f>
        <v>69900</v>
      </c>
      <c r="Q736" s="9">
        <f>ROUNDUP(P736+(P736*Assumptions!P$5),-2)</f>
        <v>71700</v>
      </c>
      <c r="R736" s="9">
        <f>ROUNDUP(Q736+(Q736*Assumptions!Q$5),-2)</f>
        <v>73500</v>
      </c>
      <c r="S736" s="47">
        <f>ROUNDUP(R736+(R736*Assumptions!R$5),-2)</f>
        <v>75400</v>
      </c>
    </row>
    <row r="737" spans="1:19" ht="12.75" customHeight="1" x14ac:dyDescent="0.2">
      <c r="A737" s="54">
        <v>800</v>
      </c>
      <c r="B737" s="9">
        <v>700</v>
      </c>
      <c r="C737" s="134">
        <v>400</v>
      </c>
      <c r="D737" s="134">
        <v>300</v>
      </c>
      <c r="E737" s="134">
        <v>300</v>
      </c>
      <c r="F737" s="469" t="s">
        <v>1366</v>
      </c>
      <c r="G737" s="371" t="s">
        <v>708</v>
      </c>
      <c r="H737" s="9">
        <v>600</v>
      </c>
      <c r="I737" s="85">
        <f t="shared" si="491"/>
        <v>100</v>
      </c>
      <c r="J737" s="9">
        <f>ROUNDUP(H737+(H737*Assumptions!I$5),-2)</f>
        <v>700</v>
      </c>
      <c r="K737" s="9">
        <f>ROUNDUP(J737+(J737*Assumptions!J$5),-2)</f>
        <v>800</v>
      </c>
      <c r="L737" s="9">
        <f>ROUNDUP(K737+(K737*Assumptions!K$5),-2)</f>
        <v>900</v>
      </c>
      <c r="M737" s="9">
        <f>ROUNDUP(L737+(L737*Assumptions!L$5),-2)</f>
        <v>1000</v>
      </c>
      <c r="N737" s="9">
        <f>ROUNDUP(M737+(M737*Assumptions!M$5),-2)</f>
        <v>1100</v>
      </c>
      <c r="O737" s="9">
        <f>ROUNDUP(N737+(N737*Assumptions!N$5),-2)</f>
        <v>1200</v>
      </c>
      <c r="P737" s="9">
        <f>ROUNDUP(O737+(O737*Assumptions!O$5),-2)</f>
        <v>1300</v>
      </c>
      <c r="Q737" s="9">
        <f>ROUNDUP(P737+(P737*Assumptions!P$5),-2)</f>
        <v>1400</v>
      </c>
      <c r="R737" s="9">
        <f>ROUNDUP(Q737+(Q737*Assumptions!Q$5),-2)</f>
        <v>1500</v>
      </c>
      <c r="S737" s="47">
        <f>ROUNDUP(R737+(R737*Assumptions!R$5),-2)</f>
        <v>1600</v>
      </c>
    </row>
    <row r="738" spans="1:19" ht="12.75" customHeight="1" x14ac:dyDescent="0.2">
      <c r="A738" s="54">
        <v>47600</v>
      </c>
      <c r="B738" s="9">
        <v>65600</v>
      </c>
      <c r="C738" s="134">
        <f>29100-400</f>
        <v>28700</v>
      </c>
      <c r="D738" s="134">
        <v>13100</v>
      </c>
      <c r="E738" s="134">
        <f>10300+1500</f>
        <v>11800</v>
      </c>
      <c r="F738" s="469" t="s">
        <v>2562</v>
      </c>
      <c r="G738" s="371" t="s">
        <v>970</v>
      </c>
      <c r="H738" s="9">
        <v>5000</v>
      </c>
      <c r="I738" s="85">
        <f t="shared" si="491"/>
        <v>-57.627118644067799</v>
      </c>
      <c r="J738" s="9">
        <v>15000</v>
      </c>
      <c r="K738" s="9">
        <f>ROUNDUP(J738+(J738*Assumptions!J$5),-2)</f>
        <v>15400</v>
      </c>
      <c r="L738" s="9">
        <f>ROUNDUP(K738+(K738*Assumptions!K$5),-2)</f>
        <v>15800</v>
      </c>
      <c r="M738" s="9">
        <f>ROUNDUP(L738+(L738*Assumptions!L$5),-2)</f>
        <v>16200</v>
      </c>
      <c r="N738" s="9">
        <f>ROUNDUP(M738+(M738*Assumptions!M$5),-2)</f>
        <v>16700</v>
      </c>
      <c r="O738" s="9">
        <f>ROUNDUP(N738+(N738*Assumptions!N$5),-2)</f>
        <v>17200</v>
      </c>
      <c r="P738" s="9">
        <f>ROUNDUP(O738+(O738*Assumptions!O$5),-2)</f>
        <v>17700</v>
      </c>
      <c r="Q738" s="9">
        <f>ROUNDUP(P738+(P738*Assumptions!P$5),-2)</f>
        <v>18200</v>
      </c>
      <c r="R738" s="9">
        <f>ROUNDUP(Q738+(Q738*Assumptions!Q$5),-2)</f>
        <v>18700</v>
      </c>
      <c r="S738" s="47">
        <f>ROUNDUP(R738+(R738*Assumptions!R$5),-2)</f>
        <v>19200</v>
      </c>
    </row>
    <row r="739" spans="1:19" ht="12.75" customHeight="1" x14ac:dyDescent="0.2">
      <c r="A739" s="54">
        <v>0</v>
      </c>
      <c r="B739" s="9">
        <v>0</v>
      </c>
      <c r="C739" s="134">
        <v>0</v>
      </c>
      <c r="D739" s="134">
        <v>0</v>
      </c>
      <c r="E739" s="134">
        <v>0</v>
      </c>
      <c r="F739" s="769" t="s">
        <v>7226</v>
      </c>
      <c r="G739" s="662" t="s">
        <v>4705</v>
      </c>
      <c r="H739" s="9">
        <v>25000</v>
      </c>
      <c r="I739" s="85">
        <f t="shared" si="491"/>
        <v>100</v>
      </c>
      <c r="J739" s="9">
        <v>30000</v>
      </c>
      <c r="K739" s="9">
        <f>ROUNDUP(J739+(J739*Assumptions!J$5),-2)</f>
        <v>30800</v>
      </c>
      <c r="L739" s="9">
        <f>ROUNDUP(K739+(K739*Assumptions!K$5),-2)</f>
        <v>31600</v>
      </c>
      <c r="M739" s="9">
        <f>ROUNDUP(L739+(L739*Assumptions!L$5),-2)</f>
        <v>32400</v>
      </c>
      <c r="N739" s="9">
        <f>ROUNDUP(M739+(M739*Assumptions!M$5),-2)</f>
        <v>33300</v>
      </c>
      <c r="O739" s="9">
        <f>ROUNDUP(N739+(N739*Assumptions!N$5),-2)</f>
        <v>34200</v>
      </c>
      <c r="P739" s="9">
        <f>ROUNDUP(O739+(O739*Assumptions!O$5),-2)</f>
        <v>35100</v>
      </c>
      <c r="Q739" s="9">
        <f>ROUNDUP(P739+(P739*Assumptions!P$5),-2)</f>
        <v>36000</v>
      </c>
      <c r="R739" s="9">
        <f>ROUNDUP(Q739+(Q739*Assumptions!Q$5),-2)</f>
        <v>36900</v>
      </c>
      <c r="S739" s="47">
        <f>ROUNDUP(R739+(R739*Assumptions!R$5),-2)</f>
        <v>37900</v>
      </c>
    </row>
    <row r="740" spans="1:19" ht="12.75" customHeight="1" x14ac:dyDescent="0.2">
      <c r="A740" s="54"/>
      <c r="B740" s="9"/>
      <c r="C740" s="134"/>
      <c r="D740" s="134"/>
      <c r="E740" s="134"/>
      <c r="F740" s="469"/>
      <c r="G740" s="320" t="s">
        <v>2311</v>
      </c>
      <c r="H740" s="9"/>
      <c r="I740" s="85"/>
      <c r="J740" s="9"/>
      <c r="K740" s="9"/>
      <c r="L740" s="9"/>
      <c r="M740" s="9"/>
      <c r="N740" s="9"/>
      <c r="O740" s="9"/>
      <c r="P740" s="9"/>
      <c r="Q740" s="9"/>
      <c r="R740" s="9"/>
      <c r="S740" s="47"/>
    </row>
    <row r="741" spans="1:19" ht="12.75" customHeight="1" x14ac:dyDescent="0.2">
      <c r="A741" s="54">
        <v>155500</v>
      </c>
      <c r="B741" s="9">
        <v>153900</v>
      </c>
      <c r="C741" s="134">
        <v>161800</v>
      </c>
      <c r="D741" s="134">
        <v>159600</v>
      </c>
      <c r="E741" s="134">
        <v>165900</v>
      </c>
      <c r="F741" s="469" t="s">
        <v>4</v>
      </c>
      <c r="G741" s="662" t="s">
        <v>3013</v>
      </c>
      <c r="H741" s="9">
        <v>170000</v>
      </c>
      <c r="I741" s="85">
        <f>IF(E741=H741,0,IF(E741=0,100,(H741-E741)/E741*100))</f>
        <v>2.4713682941531041</v>
      </c>
      <c r="J741" s="9">
        <f>ROUNDUP(H741+(H741*Assumptions!I$5),-2)</f>
        <v>174000</v>
      </c>
      <c r="K741" s="9">
        <f>ROUNDUP(J741+(J741*Assumptions!J$5),-2)</f>
        <v>178400</v>
      </c>
      <c r="L741" s="9">
        <f>ROUNDUP(K741+(K741*Assumptions!K$5),-2)</f>
        <v>182900</v>
      </c>
      <c r="M741" s="9">
        <f>ROUNDUP(L741+(L741*Assumptions!L$5),-2)</f>
        <v>187500</v>
      </c>
      <c r="N741" s="9">
        <f>ROUNDUP(M741+(M741*Assumptions!M$5),-2)</f>
        <v>192200</v>
      </c>
      <c r="O741" s="9">
        <f>ROUNDUP(N741+(N741*Assumptions!N$5),-2)</f>
        <v>197100</v>
      </c>
      <c r="P741" s="9">
        <f>ROUNDUP(O741+(O741*Assumptions!O$5),-2)</f>
        <v>202100</v>
      </c>
      <c r="Q741" s="9">
        <f>ROUNDUP(P741+(P741*Assumptions!P$5),-2)</f>
        <v>207200</v>
      </c>
      <c r="R741" s="9">
        <f>ROUNDUP(Q741+(Q741*Assumptions!Q$5),-2)</f>
        <v>212400</v>
      </c>
      <c r="S741" s="47">
        <f>ROUNDUP(R741+(R741*Assumptions!R$5),-2)</f>
        <v>217800</v>
      </c>
    </row>
    <row r="742" spans="1:19" ht="12.75" customHeight="1" x14ac:dyDescent="0.2">
      <c r="A742" s="54">
        <v>44100</v>
      </c>
      <c r="B742" s="9">
        <v>47300</v>
      </c>
      <c r="C742" s="134">
        <v>38700</v>
      </c>
      <c r="D742" s="134">
        <v>36300</v>
      </c>
      <c r="E742" s="134">
        <v>39500</v>
      </c>
      <c r="F742" s="469" t="s">
        <v>5</v>
      </c>
      <c r="G742" s="662" t="s">
        <v>4802</v>
      </c>
      <c r="H742" s="9">
        <v>30000</v>
      </c>
      <c r="I742" s="85">
        <f>IF(E742=H742,0,IF(E742=0,100,(H742-E742)/E742*100))</f>
        <v>-24.050632911392405</v>
      </c>
      <c r="J742" s="9">
        <v>45000</v>
      </c>
      <c r="K742" s="9">
        <f>ROUNDUP(J742+(J742*Assumptions!J$5),-2)</f>
        <v>46200</v>
      </c>
      <c r="L742" s="9">
        <f>ROUNDUP(K742+(K742*Assumptions!K$5),-2)</f>
        <v>47400</v>
      </c>
      <c r="M742" s="9">
        <f>ROUNDUP(L742+(L742*Assumptions!L$5),-2)</f>
        <v>48600</v>
      </c>
      <c r="N742" s="9">
        <f>ROUNDUP(M742+(M742*Assumptions!M$5),-2)</f>
        <v>49900</v>
      </c>
      <c r="O742" s="9">
        <f>ROUNDUP(N742+(N742*Assumptions!N$5),-2)</f>
        <v>51200</v>
      </c>
      <c r="P742" s="9">
        <f>ROUNDUP(O742+(O742*Assumptions!O$5),-2)</f>
        <v>52500</v>
      </c>
      <c r="Q742" s="9">
        <f>ROUNDUP(P742+(P742*Assumptions!P$5),-2)</f>
        <v>53900</v>
      </c>
      <c r="R742" s="9">
        <f>ROUNDUP(Q742+(Q742*Assumptions!Q$5),-2)</f>
        <v>55300</v>
      </c>
      <c r="S742" s="47">
        <f>ROUNDUP(R742+(R742*Assumptions!R$5),-2)</f>
        <v>56700</v>
      </c>
    </row>
    <row r="743" spans="1:19" ht="12.75" customHeight="1" x14ac:dyDescent="0.2">
      <c r="A743" s="54"/>
      <c r="B743" s="9"/>
      <c r="C743" s="134"/>
      <c r="D743" s="134"/>
      <c r="E743" s="134"/>
      <c r="F743" s="469"/>
      <c r="G743" s="912" t="s">
        <v>3674</v>
      </c>
      <c r="H743" s="9"/>
      <c r="I743" s="85"/>
      <c r="J743" s="9"/>
      <c r="K743" s="9"/>
      <c r="L743" s="9"/>
      <c r="M743" s="9"/>
      <c r="N743" s="9"/>
      <c r="O743" s="9"/>
      <c r="P743" s="9"/>
      <c r="Q743" s="9"/>
      <c r="R743" s="9"/>
      <c r="S743" s="47"/>
    </row>
    <row r="744" spans="1:19" ht="12.75" customHeight="1" x14ac:dyDescent="0.2">
      <c r="A744" s="54">
        <v>900</v>
      </c>
      <c r="B744" s="9">
        <f>ROUND('Debt-Gen'!F16,-2)</f>
        <v>400</v>
      </c>
      <c r="C744" s="9">
        <f>ROUND('Debt-Gen'!H16,-2)</f>
        <v>0</v>
      </c>
      <c r="D744" s="9">
        <f>280000-80000-200000</f>
        <v>0</v>
      </c>
      <c r="E744" s="134">
        <v>7200</v>
      </c>
      <c r="F744" s="469" t="s">
        <v>6</v>
      </c>
      <c r="G744" s="371" t="s">
        <v>715</v>
      </c>
      <c r="H744" s="9">
        <f>ROUND(SUM('Debt-Gen'!N16:'Debt-Gen'!N18),-2)</f>
        <v>239700</v>
      </c>
      <c r="I744" s="85">
        <f>IF(E744=H744,0,IF(E744=0,100,(H744-E744)/E744*100))</f>
        <v>3229.1666666666665</v>
      </c>
      <c r="J744" s="9">
        <f>ROUND(SUM('Debt-Gen'!P16:'Debt-Gen'!P18),-2)</f>
        <v>269200</v>
      </c>
      <c r="K744" s="9">
        <f>ROUND(SUM('Debt-Gen'!R16:'Debt-Gen'!R18),-2)</f>
        <v>259700</v>
      </c>
      <c r="L744" s="9">
        <f>ROUND(SUM('Debt-Gen'!T16:'Debt-Gen'!T18),-2)</f>
        <v>248700</v>
      </c>
      <c r="M744" s="9">
        <f>ROUND(SUM('Debt-Gen'!V16:'Debt-Gen'!V18),-2)</f>
        <v>238400</v>
      </c>
      <c r="N744" s="9">
        <f>ROUND(SUM('Debt-Gen'!X16:'Debt-Gen'!X18),-2)</f>
        <v>227700</v>
      </c>
      <c r="O744" s="9">
        <f>ROUND(SUM('Debt-Gen'!Z16:'Debt-Gen'!Z18),-2)</f>
        <v>215600</v>
      </c>
      <c r="P744" s="9">
        <f>ROUND(SUM('Debt-Gen'!AB16:'Debt-Gen'!AB18),-2)</f>
        <v>204100</v>
      </c>
      <c r="Q744" s="9">
        <f>ROUND(SUM('Debt-Gen'!AD16:'Debt-Gen'!AD18),-2)</f>
        <v>192100</v>
      </c>
      <c r="R744" s="9">
        <f>ROUND(SUM('Debt-Gen'!AF16:'Debt-Gen'!AF18),-2)</f>
        <v>178600</v>
      </c>
      <c r="S744" s="47">
        <f>ROUND(SUM('Debt-Gen'!AH16:'Debt-Gen'!AH18),-2)</f>
        <v>165700</v>
      </c>
    </row>
    <row r="745" spans="1:19" ht="12.75" customHeight="1" x14ac:dyDescent="0.2">
      <c r="A745" s="54"/>
      <c r="B745" s="9"/>
      <c r="C745" s="134"/>
      <c r="D745" s="134"/>
      <c r="E745" s="134"/>
      <c r="F745" s="167"/>
      <c r="G745" s="421" t="s">
        <v>1054</v>
      </c>
      <c r="H745" s="9"/>
      <c r="I745" s="85"/>
      <c r="J745" s="9"/>
      <c r="K745" s="9"/>
      <c r="L745" s="9"/>
      <c r="M745" s="9"/>
      <c r="N745" s="9"/>
      <c r="O745" s="9"/>
      <c r="P745" s="9"/>
      <c r="Q745" s="9"/>
      <c r="R745" s="9"/>
      <c r="S745" s="47"/>
    </row>
    <row r="746" spans="1:19" ht="12.75" customHeight="1" x14ac:dyDescent="0.2">
      <c r="A746" s="54"/>
      <c r="B746" s="9"/>
      <c r="C746" s="134"/>
      <c r="D746" s="134"/>
      <c r="E746" s="134"/>
      <c r="F746" s="1153"/>
      <c r="G746" s="21" t="s">
        <v>584</v>
      </c>
      <c r="H746" s="9"/>
      <c r="I746" s="85"/>
      <c r="J746" s="9"/>
      <c r="K746" s="9"/>
      <c r="L746" s="9"/>
      <c r="M746" s="9"/>
      <c r="N746" s="9"/>
      <c r="O746" s="9"/>
      <c r="P746" s="9"/>
      <c r="Q746" s="9"/>
      <c r="R746" s="9"/>
      <c r="S746" s="47"/>
    </row>
    <row r="747" spans="1:19" ht="12.75" customHeight="1" x14ac:dyDescent="0.2">
      <c r="A747" s="54">
        <v>500</v>
      </c>
      <c r="B747" s="9">
        <v>1000</v>
      </c>
      <c r="C747" s="134">
        <v>700</v>
      </c>
      <c r="D747" s="134">
        <v>800</v>
      </c>
      <c r="E747" s="134">
        <v>900</v>
      </c>
      <c r="F747" s="770" t="s">
        <v>3342</v>
      </c>
      <c r="G747" s="77" t="s">
        <v>4084</v>
      </c>
      <c r="H747" s="9">
        <v>1000</v>
      </c>
      <c r="I747" s="85">
        <f t="shared" ref="I747:I754" si="492">IF(E747=H747,0,IF(E747=0,100,(H747-E747)/E747*100))</f>
        <v>11.111111111111111</v>
      </c>
      <c r="J747" s="9">
        <f>ROUNDUP(H747+(H747*Assumptions!I$5),-2)</f>
        <v>1100</v>
      </c>
      <c r="K747" s="9">
        <f>ROUNDUP(J747+(J747*Assumptions!J$5),-2)</f>
        <v>1200</v>
      </c>
      <c r="L747" s="9">
        <f>ROUNDUP(K747+(K747*Assumptions!K$5),-2)</f>
        <v>1300</v>
      </c>
      <c r="M747" s="9">
        <f>ROUNDUP(L747+(L747*Assumptions!L$5),-2)</f>
        <v>1400</v>
      </c>
      <c r="N747" s="9">
        <f>ROUNDUP(M747+(M747*Assumptions!M$5),-2)</f>
        <v>1500</v>
      </c>
      <c r="O747" s="9">
        <f>ROUNDUP(N747+(N747*Assumptions!N$5),-2)</f>
        <v>1600</v>
      </c>
      <c r="P747" s="9">
        <f>ROUNDUP(O747+(O747*Assumptions!O$5),-2)</f>
        <v>1700</v>
      </c>
      <c r="Q747" s="9">
        <f>ROUNDUP(P747+(P747*Assumptions!P$5),-2)</f>
        <v>1800</v>
      </c>
      <c r="R747" s="9">
        <f>ROUNDUP(Q747+(Q747*Assumptions!Q$5),-2)</f>
        <v>1900</v>
      </c>
      <c r="S747" s="47">
        <f>ROUNDUP(R747+(R747*Assumptions!R$5),-2)</f>
        <v>2000</v>
      </c>
    </row>
    <row r="748" spans="1:19" ht="12.75" customHeight="1" x14ac:dyDescent="0.2">
      <c r="A748" s="54">
        <v>22700</v>
      </c>
      <c r="B748" s="9">
        <v>26500</v>
      </c>
      <c r="C748" s="134">
        <v>24300</v>
      </c>
      <c r="D748" s="134">
        <v>27500</v>
      </c>
      <c r="E748" s="134">
        <v>24800</v>
      </c>
      <c r="F748" s="469" t="s">
        <v>516</v>
      </c>
      <c r="G748" s="371" t="s">
        <v>893</v>
      </c>
      <c r="H748" s="9">
        <v>28000</v>
      </c>
      <c r="I748" s="85">
        <f t="shared" si="492"/>
        <v>12.903225806451612</v>
      </c>
      <c r="J748" s="9">
        <v>25000</v>
      </c>
      <c r="K748" s="9">
        <f>ROUNDUP(J748+(J748*Assumptions!J$5),-2)</f>
        <v>25700</v>
      </c>
      <c r="L748" s="9">
        <f>ROUNDUP(K748+(K748*Assumptions!K$5),-2)</f>
        <v>26400</v>
      </c>
      <c r="M748" s="9">
        <f>ROUNDUP(L748+(L748*Assumptions!L$5),-2)</f>
        <v>27100</v>
      </c>
      <c r="N748" s="9">
        <f>ROUNDUP(M748+(M748*Assumptions!M$5),-2)</f>
        <v>27800</v>
      </c>
      <c r="O748" s="9">
        <f>ROUNDUP(N748+(N748*Assumptions!N$5),-2)</f>
        <v>28500</v>
      </c>
      <c r="P748" s="9">
        <f>ROUNDUP(O748+(O748*Assumptions!O$5),-2)</f>
        <v>29300</v>
      </c>
      <c r="Q748" s="9">
        <f>ROUNDUP(P748+(P748*Assumptions!P$5),-2)</f>
        <v>30100</v>
      </c>
      <c r="R748" s="9">
        <f>ROUNDUP(Q748+(Q748*Assumptions!Q$5),-2)</f>
        <v>30900</v>
      </c>
      <c r="S748" s="47">
        <f>ROUNDUP(R748+(R748*Assumptions!R$5),-2)</f>
        <v>31700</v>
      </c>
    </row>
    <row r="749" spans="1:19" ht="12.75" customHeight="1" x14ac:dyDescent="0.2">
      <c r="A749" s="54">
        <v>2500</v>
      </c>
      <c r="B749" s="9">
        <v>2800</v>
      </c>
      <c r="C749" s="134">
        <v>5800</v>
      </c>
      <c r="D749" s="134">
        <v>4800</v>
      </c>
      <c r="E749" s="134">
        <v>4400</v>
      </c>
      <c r="F749" s="469" t="s">
        <v>1273</v>
      </c>
      <c r="G749" s="385" t="s">
        <v>2724</v>
      </c>
      <c r="H749" s="9">
        <f>10000-2400</f>
        <v>7600</v>
      </c>
      <c r="I749" s="85">
        <f t="shared" si="492"/>
        <v>72.727272727272734</v>
      </c>
      <c r="J749" s="9">
        <f>ROUNDUP(H749+(H749*Assumptions!I$5),-2)</f>
        <v>7800</v>
      </c>
      <c r="K749" s="9">
        <f>ROUNDUP(J749+(J749*Assumptions!J$5),-2)</f>
        <v>8000</v>
      </c>
      <c r="L749" s="9">
        <f>ROUNDUP(K749+(K749*Assumptions!K$5),-2)</f>
        <v>8200</v>
      </c>
      <c r="M749" s="9">
        <f>ROUNDUP(L749+(L749*Assumptions!L$5),-2)</f>
        <v>8500</v>
      </c>
      <c r="N749" s="9">
        <f>ROUNDUP(M749+(M749*Assumptions!M$5),-2)</f>
        <v>8800</v>
      </c>
      <c r="O749" s="9">
        <f>ROUNDUP(N749+(N749*Assumptions!N$5),-2)</f>
        <v>9100</v>
      </c>
      <c r="P749" s="9">
        <f>ROUNDUP(O749+(O749*Assumptions!O$5),-2)</f>
        <v>9400</v>
      </c>
      <c r="Q749" s="9">
        <f>ROUNDUP(P749+(P749*Assumptions!P$5),-2)</f>
        <v>9700</v>
      </c>
      <c r="R749" s="9">
        <f>ROUNDUP(Q749+(Q749*Assumptions!Q$5),-2)</f>
        <v>10000</v>
      </c>
      <c r="S749" s="47">
        <f>ROUNDUP(R749+(R749*Assumptions!R$5),-2)</f>
        <v>10300</v>
      </c>
    </row>
    <row r="750" spans="1:19" ht="12.75" customHeight="1" x14ac:dyDescent="0.2">
      <c r="A750" s="54">
        <v>52300</v>
      </c>
      <c r="B750" s="9">
        <v>66000</v>
      </c>
      <c r="C750" s="134">
        <v>66300</v>
      </c>
      <c r="D750" s="134">
        <v>60200</v>
      </c>
      <c r="E750" s="134">
        <v>57200</v>
      </c>
      <c r="F750" s="469" t="s">
        <v>2328</v>
      </c>
      <c r="G750" s="662" t="s">
        <v>1445</v>
      </c>
      <c r="H750" s="9">
        <v>70000</v>
      </c>
      <c r="I750" s="85">
        <f t="shared" si="492"/>
        <v>22.377622377622377</v>
      </c>
      <c r="J750" s="9">
        <v>75000</v>
      </c>
      <c r="K750" s="9">
        <f>ROUNDUP(J750+(J750*Assumptions!J$5),-2)</f>
        <v>76900</v>
      </c>
      <c r="L750" s="9">
        <f>ROUNDUP(K750+(K750*Assumptions!K$5),-2)</f>
        <v>78900</v>
      </c>
      <c r="M750" s="9">
        <f>ROUNDUP(L750+(L750*Assumptions!L$5),-2)</f>
        <v>80900</v>
      </c>
      <c r="N750" s="9">
        <f>ROUNDUP(M750+(M750*Assumptions!M$5),-2)</f>
        <v>83000</v>
      </c>
      <c r="O750" s="9">
        <f>ROUNDUP(N750+(N750*Assumptions!N$5),-2)</f>
        <v>85100</v>
      </c>
      <c r="P750" s="9">
        <f>ROUNDUP(O750+(O750*Assumptions!O$5),-2)</f>
        <v>87300</v>
      </c>
      <c r="Q750" s="9">
        <f>ROUNDUP(P750+(P750*Assumptions!P$5),-2)</f>
        <v>89500</v>
      </c>
      <c r="R750" s="9">
        <f>ROUNDUP(Q750+(Q750*Assumptions!Q$5),-2)</f>
        <v>91800</v>
      </c>
      <c r="S750" s="47">
        <f>ROUNDUP(R750+(R750*Assumptions!R$5),-2)</f>
        <v>94100</v>
      </c>
    </row>
    <row r="751" spans="1:19" ht="12.75" customHeight="1" x14ac:dyDescent="0.2">
      <c r="A751" s="54">
        <v>22200</v>
      </c>
      <c r="B751" s="9">
        <v>23000</v>
      </c>
      <c r="C751" s="134">
        <v>20000</v>
      </c>
      <c r="D751" s="134">
        <v>20700</v>
      </c>
      <c r="E751" s="134">
        <v>21100</v>
      </c>
      <c r="F751" s="469" t="s">
        <v>1272</v>
      </c>
      <c r="G751" s="371" t="s">
        <v>709</v>
      </c>
      <c r="H751" s="9">
        <v>47500</v>
      </c>
      <c r="I751" s="85">
        <f t="shared" si="492"/>
        <v>125.11848341232228</v>
      </c>
      <c r="J751" s="9">
        <v>60000</v>
      </c>
      <c r="K751" s="9">
        <f>ROUNDUP(J751+(J751*Assumptions!J$5),-2)</f>
        <v>61500</v>
      </c>
      <c r="L751" s="9">
        <f>ROUNDUP(K751+(K751*Assumptions!K$5),-2)</f>
        <v>63100</v>
      </c>
      <c r="M751" s="9">
        <f>ROUNDUP(L751+(L751*Assumptions!L$5),-2)</f>
        <v>64700</v>
      </c>
      <c r="N751" s="9">
        <f>ROUNDUP(M751+(M751*Assumptions!M$5),-2)</f>
        <v>66400</v>
      </c>
      <c r="O751" s="9">
        <f>ROUNDUP(N751+(N751*Assumptions!N$5),-2)</f>
        <v>68100</v>
      </c>
      <c r="P751" s="9">
        <f>ROUNDUP(O751+(O751*Assumptions!O$5),-2)</f>
        <v>69900</v>
      </c>
      <c r="Q751" s="9">
        <f>ROUNDUP(P751+(P751*Assumptions!P$5),-2)</f>
        <v>71700</v>
      </c>
      <c r="R751" s="9">
        <f>ROUNDUP(Q751+(Q751*Assumptions!Q$5),-2)</f>
        <v>73500</v>
      </c>
      <c r="S751" s="47">
        <f>ROUNDUP(R751+(R751*Assumptions!R$5),-2)</f>
        <v>75400</v>
      </c>
    </row>
    <row r="752" spans="1:19" ht="12.75" customHeight="1" x14ac:dyDescent="0.2">
      <c r="A752" s="54">
        <v>1000</v>
      </c>
      <c r="B752" s="9">
        <v>900</v>
      </c>
      <c r="C752" s="134">
        <v>500</v>
      </c>
      <c r="D752" s="134">
        <v>500</v>
      </c>
      <c r="E752" s="134">
        <v>700</v>
      </c>
      <c r="F752" s="469" t="s">
        <v>7</v>
      </c>
      <c r="G752" s="371" t="s">
        <v>708</v>
      </c>
      <c r="H752" s="9">
        <v>600</v>
      </c>
      <c r="I752" s="85">
        <f t="shared" si="492"/>
        <v>-14.285714285714285</v>
      </c>
      <c r="J752" s="9">
        <f>ROUNDUP(H752+(H752*Assumptions!I$5),-2)</f>
        <v>700</v>
      </c>
      <c r="K752" s="9">
        <f>ROUNDUP(J752+(J752*Assumptions!J$5),-2)</f>
        <v>800</v>
      </c>
      <c r="L752" s="9">
        <f>ROUNDUP(K752+(K752*Assumptions!K$5),-2)</f>
        <v>900</v>
      </c>
      <c r="M752" s="9">
        <f>ROUNDUP(L752+(L752*Assumptions!L$5),-2)</f>
        <v>1000</v>
      </c>
      <c r="N752" s="9">
        <f>ROUNDUP(M752+(M752*Assumptions!M$5),-2)</f>
        <v>1100</v>
      </c>
      <c r="O752" s="9">
        <f>ROUNDUP(N752+(N752*Assumptions!N$5),-2)</f>
        <v>1200</v>
      </c>
      <c r="P752" s="9">
        <f>ROUNDUP(O752+(O752*Assumptions!O$5),-2)</f>
        <v>1300</v>
      </c>
      <c r="Q752" s="9">
        <f>ROUNDUP(P752+(P752*Assumptions!P$5),-2)</f>
        <v>1400</v>
      </c>
      <c r="R752" s="9">
        <f>ROUNDUP(Q752+(Q752*Assumptions!Q$5),-2)</f>
        <v>1500</v>
      </c>
      <c r="S752" s="47">
        <f>ROUNDUP(R752+(R752*Assumptions!R$5),-2)</f>
        <v>1600</v>
      </c>
    </row>
    <row r="753" spans="1:19" ht="12.75" customHeight="1" x14ac:dyDescent="0.2">
      <c r="A753" s="54">
        <v>69400</v>
      </c>
      <c r="B753" s="9">
        <f>71200-B752</f>
        <v>70300</v>
      </c>
      <c r="C753" s="134">
        <f>49500-500</f>
        <v>49000</v>
      </c>
      <c r="D753" s="134">
        <f>5000+45000-45000+10000</f>
        <v>15000</v>
      </c>
      <c r="E753" s="134">
        <f>8900+600</f>
        <v>9500</v>
      </c>
      <c r="F753" s="469" t="s">
        <v>517</v>
      </c>
      <c r="G753" s="371" t="s">
        <v>970</v>
      </c>
      <c r="H753" s="9">
        <v>5000</v>
      </c>
      <c r="I753" s="85">
        <f t="shared" si="492"/>
        <v>-47.368421052631575</v>
      </c>
      <c r="J753" s="9">
        <v>15000</v>
      </c>
      <c r="K753" s="9">
        <f>ROUNDUP(J753+(J753*Assumptions!J$5),-2)</f>
        <v>15400</v>
      </c>
      <c r="L753" s="9">
        <f>ROUNDUP(K753+(K753*Assumptions!K$5),-2)</f>
        <v>15800</v>
      </c>
      <c r="M753" s="9">
        <f>ROUNDUP(L753+(L753*Assumptions!L$5),-2)</f>
        <v>16200</v>
      </c>
      <c r="N753" s="9">
        <f>ROUNDUP(M753+(M753*Assumptions!M$5),-2)</f>
        <v>16700</v>
      </c>
      <c r="O753" s="9">
        <f>ROUNDUP(N753+(N753*Assumptions!N$5),-2)</f>
        <v>17200</v>
      </c>
      <c r="P753" s="9">
        <f>ROUNDUP(O753+(O753*Assumptions!O$5),-2)</f>
        <v>17700</v>
      </c>
      <c r="Q753" s="9">
        <f>ROUNDUP(P753+(P753*Assumptions!P$5),-2)</f>
        <v>18200</v>
      </c>
      <c r="R753" s="9">
        <f>ROUNDUP(Q753+(Q753*Assumptions!Q$5),-2)</f>
        <v>18700</v>
      </c>
      <c r="S753" s="47">
        <f>ROUNDUP(R753+(R753*Assumptions!R$5),-2)</f>
        <v>19200</v>
      </c>
    </row>
    <row r="754" spans="1:19" ht="12.75" customHeight="1" x14ac:dyDescent="0.2">
      <c r="A754" s="54">
        <v>38500</v>
      </c>
      <c r="B754" s="9">
        <v>36900</v>
      </c>
      <c r="C754" s="134">
        <v>30900</v>
      </c>
      <c r="D754" s="134">
        <v>25800</v>
      </c>
      <c r="E754" s="134">
        <v>17800</v>
      </c>
      <c r="F754" s="469" t="s">
        <v>311</v>
      </c>
      <c r="G754" s="662" t="s">
        <v>4705</v>
      </c>
      <c r="H754" s="9">
        <v>25000</v>
      </c>
      <c r="I754" s="85">
        <f t="shared" si="492"/>
        <v>40.449438202247187</v>
      </c>
      <c r="J754" s="9">
        <v>30000</v>
      </c>
      <c r="K754" s="9">
        <f>ROUNDUP(J754+(J754*Assumptions!J$5),-2)</f>
        <v>30800</v>
      </c>
      <c r="L754" s="9">
        <f>ROUNDUP(K754+(K754*Assumptions!K$5),-2)</f>
        <v>31600</v>
      </c>
      <c r="M754" s="9">
        <f>ROUNDUP(L754+(L754*Assumptions!L$5),-2)</f>
        <v>32400</v>
      </c>
      <c r="N754" s="9">
        <f>ROUNDUP(M754+(M754*Assumptions!M$5),-2)</f>
        <v>33300</v>
      </c>
      <c r="O754" s="9">
        <f>ROUNDUP(N754+(N754*Assumptions!N$5),-2)</f>
        <v>34200</v>
      </c>
      <c r="P754" s="9">
        <f>ROUNDUP(O754+(O754*Assumptions!O$5),-2)</f>
        <v>35100</v>
      </c>
      <c r="Q754" s="9">
        <f>ROUNDUP(P754+(P754*Assumptions!P$5),-2)</f>
        <v>36000</v>
      </c>
      <c r="R754" s="9">
        <f>ROUNDUP(Q754+(Q754*Assumptions!Q$5),-2)</f>
        <v>36900</v>
      </c>
      <c r="S754" s="47">
        <f>ROUNDUP(R754+(R754*Assumptions!R$5),-2)</f>
        <v>37900</v>
      </c>
    </row>
    <row r="755" spans="1:19" ht="12.75" customHeight="1" x14ac:dyDescent="0.2">
      <c r="A755" s="54"/>
      <c r="B755" s="9"/>
      <c r="C755" s="134"/>
      <c r="D755" s="134"/>
      <c r="E755" s="134"/>
      <c r="F755" s="469"/>
      <c r="G755" s="320" t="s">
        <v>2311</v>
      </c>
      <c r="H755" s="9"/>
      <c r="I755" s="85"/>
      <c r="J755" s="9"/>
      <c r="K755" s="9"/>
      <c r="L755" s="9"/>
      <c r="M755" s="9"/>
      <c r="N755" s="9"/>
      <c r="O755" s="9"/>
      <c r="P755" s="9"/>
      <c r="Q755" s="9"/>
      <c r="R755" s="9"/>
      <c r="S755" s="47"/>
    </row>
    <row r="756" spans="1:19" ht="12.75" customHeight="1" x14ac:dyDescent="0.2">
      <c r="A756" s="54">
        <v>157300</v>
      </c>
      <c r="B756" s="9">
        <v>153300</v>
      </c>
      <c r="C756" s="134">
        <v>163500</v>
      </c>
      <c r="D756" s="134">
        <v>168500</v>
      </c>
      <c r="E756" s="134">
        <v>169700</v>
      </c>
      <c r="F756" s="469" t="s">
        <v>312</v>
      </c>
      <c r="G756" s="662" t="s">
        <v>3012</v>
      </c>
      <c r="H756" s="9">
        <v>170000</v>
      </c>
      <c r="I756" s="85">
        <f>IF(E756=H756,0,IF(E756=0,100,(H756-E756)/E756*100))</f>
        <v>0.17678255745433119</v>
      </c>
      <c r="J756" s="9">
        <f>ROUNDUP(H756+(H756*Assumptions!I$5),-2)</f>
        <v>174000</v>
      </c>
      <c r="K756" s="9">
        <f>ROUNDUP(J756+(J756*Assumptions!J$5),-2)</f>
        <v>178400</v>
      </c>
      <c r="L756" s="9">
        <f>ROUNDUP(K756+(K756*Assumptions!K$5),-2)</f>
        <v>182900</v>
      </c>
      <c r="M756" s="9">
        <f>ROUNDUP(L756+(L756*Assumptions!L$5),-2)</f>
        <v>187500</v>
      </c>
      <c r="N756" s="9">
        <f>ROUNDUP(M756+(M756*Assumptions!M$5),-2)</f>
        <v>192200</v>
      </c>
      <c r="O756" s="9">
        <f>ROUNDUP(N756+(N756*Assumptions!N$5),-2)</f>
        <v>197100</v>
      </c>
      <c r="P756" s="9">
        <f>ROUNDUP(O756+(O756*Assumptions!O$5),-2)</f>
        <v>202100</v>
      </c>
      <c r="Q756" s="9">
        <f>ROUNDUP(P756+(P756*Assumptions!P$5),-2)</f>
        <v>207200</v>
      </c>
      <c r="R756" s="9">
        <f>ROUNDUP(Q756+(Q756*Assumptions!Q$5),-2)</f>
        <v>212400</v>
      </c>
      <c r="S756" s="47">
        <f>ROUNDUP(R756+(R756*Assumptions!R$5),-2)</f>
        <v>217800</v>
      </c>
    </row>
    <row r="757" spans="1:19" s="39" customFormat="1" ht="12.75" customHeight="1" x14ac:dyDescent="0.2">
      <c r="A757" s="54">
        <v>38800</v>
      </c>
      <c r="B757" s="9">
        <v>44600</v>
      </c>
      <c r="C757" s="134">
        <v>40700</v>
      </c>
      <c r="D757" s="134">
        <v>41500</v>
      </c>
      <c r="E757" s="134">
        <v>46800</v>
      </c>
      <c r="F757" s="469" t="s">
        <v>1371</v>
      </c>
      <c r="G757" s="662" t="s">
        <v>4801</v>
      </c>
      <c r="H757" s="9">
        <v>30000</v>
      </c>
      <c r="I757" s="85">
        <f>IF(E757=H757,0,IF(E757=0,100,(H757-E757)/E757*100))</f>
        <v>-35.897435897435898</v>
      </c>
      <c r="J757" s="9">
        <v>45000</v>
      </c>
      <c r="K757" s="9">
        <f>ROUNDUP(J757+(J757*Assumptions!J$5),-2)</f>
        <v>46200</v>
      </c>
      <c r="L757" s="9">
        <f>ROUNDUP(K757+(K757*Assumptions!K$5),-2)</f>
        <v>47400</v>
      </c>
      <c r="M757" s="9">
        <f>ROUNDUP(L757+(L757*Assumptions!L$5),-2)</f>
        <v>48600</v>
      </c>
      <c r="N757" s="9">
        <f>ROUNDUP(M757+(M757*Assumptions!M$5),-2)</f>
        <v>49900</v>
      </c>
      <c r="O757" s="9">
        <f>ROUNDUP(N757+(N757*Assumptions!N$5),-2)</f>
        <v>51200</v>
      </c>
      <c r="P757" s="9">
        <f>ROUNDUP(O757+(O757*Assumptions!O$5),-2)</f>
        <v>52500</v>
      </c>
      <c r="Q757" s="9">
        <f>ROUNDUP(P757+(P757*Assumptions!P$5),-2)</f>
        <v>53900</v>
      </c>
      <c r="R757" s="9">
        <f>ROUNDUP(Q757+(Q757*Assumptions!Q$5),-2)</f>
        <v>55300</v>
      </c>
      <c r="S757" s="47">
        <f>ROUNDUP(R757+(R757*Assumptions!R$5),-2)</f>
        <v>56700</v>
      </c>
    </row>
    <row r="758" spans="1:19" ht="12.75" customHeight="1" x14ac:dyDescent="0.2">
      <c r="A758" s="54"/>
      <c r="B758" s="9"/>
      <c r="C758" s="134"/>
      <c r="D758" s="134"/>
      <c r="E758" s="134"/>
      <c r="F758" s="469"/>
      <c r="G758" s="912" t="s">
        <v>3674</v>
      </c>
      <c r="H758" s="9"/>
      <c r="I758" s="85"/>
      <c r="J758" s="9"/>
      <c r="K758" s="9"/>
      <c r="L758" s="9"/>
      <c r="M758" s="9"/>
      <c r="N758" s="9"/>
      <c r="O758" s="9"/>
      <c r="P758" s="9"/>
      <c r="Q758" s="9"/>
      <c r="R758" s="9"/>
      <c r="S758" s="47"/>
    </row>
    <row r="759" spans="1:19" ht="12.75" customHeight="1" x14ac:dyDescent="0.2">
      <c r="A759" s="54">
        <v>0</v>
      </c>
      <c r="B759" s="9">
        <f>ROUND('Debt-Gen'!F17,-2)</f>
        <v>0</v>
      </c>
      <c r="C759" s="9">
        <f>ROUND('Debt-Gen'!H17,-2)</f>
        <v>0</v>
      </c>
      <c r="D759" s="9">
        <f>ROUND('Debt-Gen'!J17,-2)</f>
        <v>0</v>
      </c>
      <c r="E759" s="134">
        <v>0</v>
      </c>
      <c r="F759" s="469" t="s">
        <v>6</v>
      </c>
      <c r="G759" s="662" t="s">
        <v>3675</v>
      </c>
      <c r="H759" s="9">
        <f>ROUND(SUM('Debt-Gen'!N19:'Debt-Gen'!N21),-2)</f>
        <v>190600</v>
      </c>
      <c r="I759" s="85">
        <f>IF(E759=H759,0,IF(E759=0,100,(H759-E759)/E759*100))</f>
        <v>100</v>
      </c>
      <c r="J759" s="9">
        <f>ROUND(SUM('Debt-Gen'!P19:'Debt-Gen'!P21),-2)</f>
        <v>212500</v>
      </c>
      <c r="K759" s="9">
        <f>ROUND(SUM('Debt-Gen'!R19:'Debt-Gen'!R21),-2)</f>
        <v>204100</v>
      </c>
      <c r="L759" s="9">
        <f>ROUND(SUM('Debt-Gen'!T19:'Debt-Gen'!T21),-2)</f>
        <v>196400</v>
      </c>
      <c r="M759" s="9">
        <f>ROUND(SUM('Debt-Gen'!V19:'Debt-Gen'!V21),-2)</f>
        <v>187500</v>
      </c>
      <c r="N759" s="9">
        <f>ROUND(SUM('Debt-Gen'!X19:'Debt-Gen'!X21),-2)</f>
        <v>179200</v>
      </c>
      <c r="O759" s="9">
        <f>ROUND(SUM('Debt-Gen'!Z19:'Debt-Gen'!Z21),-2)</f>
        <v>169600</v>
      </c>
      <c r="P759" s="9">
        <f>ROUND(SUM('Debt-Gen'!AB19:'Debt-Gen'!AB21),-2)</f>
        <v>160600</v>
      </c>
      <c r="Q759" s="9">
        <f>ROUND(SUM('Debt-Gen'!AD19:'Debt-Gen'!AD21),-2)</f>
        <v>150400</v>
      </c>
      <c r="R759" s="9">
        <f>ROUND(SUM('Debt-Gen'!AF19:'Debt-Gen'!AF21),-2)</f>
        <v>140700</v>
      </c>
      <c r="S759" s="47">
        <f>ROUND(SUM('Debt-Gen'!AH19:'Debt-Gen'!AH21),-2)</f>
        <v>129700</v>
      </c>
    </row>
    <row r="760" spans="1:19" ht="12.75" customHeight="1" x14ac:dyDescent="0.2">
      <c r="A760" s="54"/>
      <c r="B760" s="9"/>
      <c r="C760" s="134"/>
      <c r="D760" s="134"/>
      <c r="E760" s="134"/>
      <c r="F760" s="469"/>
      <c r="G760" s="63" t="s">
        <v>261</v>
      </c>
      <c r="H760" s="9"/>
      <c r="I760" s="85"/>
      <c r="J760" s="9"/>
      <c r="K760" s="9"/>
      <c r="L760" s="9"/>
      <c r="M760" s="9"/>
      <c r="N760" s="9"/>
      <c r="O760" s="9"/>
      <c r="P760" s="9"/>
      <c r="Q760" s="9"/>
      <c r="R760" s="9"/>
      <c r="S760" s="47"/>
    </row>
    <row r="761" spans="1:19" ht="12.75" customHeight="1" x14ac:dyDescent="0.2">
      <c r="A761" s="54">
        <v>125000</v>
      </c>
      <c r="B761" s="9">
        <v>48200</v>
      </c>
      <c r="C761" s="134">
        <v>100800</v>
      </c>
      <c r="D761" s="134">
        <v>102800</v>
      </c>
      <c r="E761" s="134">
        <v>52000</v>
      </c>
      <c r="F761" s="469" t="s">
        <v>1372</v>
      </c>
      <c r="G761" s="781" t="s">
        <v>3641</v>
      </c>
      <c r="H761" s="9">
        <v>184700</v>
      </c>
      <c r="I761" s="85">
        <f>IF(E761=H761,0,IF(E761=0,100,(H761-E761)/E761*100))</f>
        <v>255.19230769230768</v>
      </c>
      <c r="J761" s="9">
        <f>ROUNDUP(H761+(H761*Assumptions!I$18),-2)</f>
        <v>188400</v>
      </c>
      <c r="K761" s="9">
        <f>ROUNDUP(J761+(J761*Assumptions!J$18),-2)</f>
        <v>192200</v>
      </c>
      <c r="L761" s="9">
        <f>ROUNDUP(K761+(K761*Assumptions!K$18),-2)</f>
        <v>196100</v>
      </c>
      <c r="M761" s="9">
        <f>ROUNDUP(L761+(L761*Assumptions!L$18),-2)</f>
        <v>200100</v>
      </c>
      <c r="N761" s="9">
        <f>ROUNDUP(M761+(M761*Assumptions!M$18),-2)</f>
        <v>204200</v>
      </c>
      <c r="O761" s="9">
        <f>ROUNDUP(N761+(N761*Assumptions!N$18),-2)</f>
        <v>208300</v>
      </c>
      <c r="P761" s="9">
        <f>ROUNDUP(O761+(O761*Assumptions!O$18),-2)</f>
        <v>212500</v>
      </c>
      <c r="Q761" s="9">
        <f>ROUNDUP(P761+(P761*Assumptions!P$18),-2)</f>
        <v>216800</v>
      </c>
      <c r="R761" s="9">
        <f>ROUNDUP(Q761+(Q761*Assumptions!Q$18),-2)</f>
        <v>221200</v>
      </c>
      <c r="S761" s="47">
        <f>ROUNDUP(R761+(R761*Assumptions!R$18),-2)</f>
        <v>225700</v>
      </c>
    </row>
    <row r="762" spans="1:19" ht="12.75" customHeight="1" thickBot="1" x14ac:dyDescent="0.25">
      <c r="A762" s="54"/>
      <c r="B762" s="9"/>
      <c r="C762" s="134"/>
      <c r="D762" s="134"/>
      <c r="E762" s="134"/>
      <c r="F762" s="167"/>
      <c r="G762" s="167"/>
      <c r="H762" s="9"/>
      <c r="I762" s="85"/>
      <c r="J762" s="9"/>
      <c r="K762" s="9"/>
      <c r="L762" s="9"/>
      <c r="M762" s="9"/>
      <c r="N762" s="9"/>
      <c r="O762" s="9"/>
      <c r="P762" s="9"/>
      <c r="Q762" s="9"/>
      <c r="R762" s="9"/>
      <c r="S762" s="47"/>
    </row>
    <row r="763" spans="1:19" ht="12.75" customHeight="1" x14ac:dyDescent="0.2">
      <c r="A763" s="52">
        <f>SUM(A729:A762)</f>
        <v>880800</v>
      </c>
      <c r="B763" s="16">
        <f>SUM(B729:B762)</f>
        <v>867100</v>
      </c>
      <c r="C763" s="145">
        <f>SUM(C729:C762)</f>
        <v>822100</v>
      </c>
      <c r="D763" s="145">
        <f>SUM(D729:D762)</f>
        <v>792800</v>
      </c>
      <c r="E763" s="145">
        <f t="shared" ref="E763" si="493">SUM(E729:E762)</f>
        <v>772400</v>
      </c>
      <c r="F763" s="1182"/>
      <c r="G763" s="267" t="s">
        <v>556</v>
      </c>
      <c r="H763" s="16">
        <f t="shared" ref="H763:P763" si="494">SUM(H729:H762)</f>
        <v>1386200</v>
      </c>
      <c r="I763" s="127">
        <f>IF(E763=H763,0,IF(E763=0,100,(H763-E763)/E763*100))</f>
        <v>79.4665976178146</v>
      </c>
      <c r="J763" s="16">
        <f t="shared" si="494"/>
        <v>1539200</v>
      </c>
      <c r="K763" s="16">
        <f t="shared" si="494"/>
        <v>1547800</v>
      </c>
      <c r="L763" s="16">
        <f t="shared" si="494"/>
        <v>1556300</v>
      </c>
      <c r="M763" s="16">
        <f t="shared" si="494"/>
        <v>1564700</v>
      </c>
      <c r="N763" s="16">
        <f t="shared" si="494"/>
        <v>1574600</v>
      </c>
      <c r="O763" s="16">
        <f t="shared" si="494"/>
        <v>1582200</v>
      </c>
      <c r="P763" s="16">
        <f t="shared" si="494"/>
        <v>1591900</v>
      </c>
      <c r="Q763" s="16">
        <f t="shared" ref="Q763" si="495">SUM(Q729:Q762)</f>
        <v>1600400</v>
      </c>
      <c r="R763" s="16">
        <f t="shared" ref="R763" si="496">SUM(R729:R762)</f>
        <v>1608400</v>
      </c>
      <c r="S763" s="2342">
        <f t="shared" ref="S763" si="497">SUM(S729:S762)</f>
        <v>1616700</v>
      </c>
    </row>
    <row r="764" spans="1:19" ht="12.75" customHeight="1" x14ac:dyDescent="0.2">
      <c r="A764" s="54"/>
      <c r="B764" s="9"/>
      <c r="C764" s="134"/>
      <c r="D764" s="134">
        <f>D763-D761-D744</f>
        <v>690000</v>
      </c>
      <c r="E764" s="134"/>
      <c r="F764" s="1153"/>
      <c r="G764" s="257"/>
      <c r="H764" s="21"/>
      <c r="I764" s="85"/>
      <c r="J764" s="21"/>
      <c r="K764" s="21"/>
      <c r="L764" s="21"/>
      <c r="M764" s="21"/>
      <c r="N764" s="21"/>
      <c r="O764" s="21"/>
      <c r="P764" s="21"/>
      <c r="Q764" s="21"/>
      <c r="R764" s="21"/>
      <c r="S764" s="86"/>
    </row>
    <row r="765" spans="1:19" ht="12.75" customHeight="1" x14ac:dyDescent="0.2">
      <c r="A765" s="24">
        <f>A728-A763</f>
        <v>-559300</v>
      </c>
      <c r="B765" s="21">
        <f>B728-B763</f>
        <v>-518400</v>
      </c>
      <c r="C765" s="138">
        <f>C728-C763</f>
        <v>-468000</v>
      </c>
      <c r="D765" s="138">
        <f>D728-D763</f>
        <v>-385500</v>
      </c>
      <c r="E765" s="138">
        <f t="shared" ref="E765" si="498">E728-E763</f>
        <v>-337000</v>
      </c>
      <c r="F765" s="164"/>
      <c r="G765" s="361" t="s">
        <v>1002</v>
      </c>
      <c r="H765" s="21">
        <f t="shared" ref="H765:P765" si="499">H728-H763</f>
        <v>-998200</v>
      </c>
      <c r="I765" s="126">
        <f>IF(E765=H765,0,IF(E765=0,100,(H765-E765)/E765*100))</f>
        <v>196.20178041543025</v>
      </c>
      <c r="J765" s="21">
        <f t="shared" si="499"/>
        <v>-1041000</v>
      </c>
      <c r="K765" s="21">
        <f t="shared" si="499"/>
        <v>-1036900</v>
      </c>
      <c r="L765" s="21">
        <f t="shared" si="499"/>
        <v>-1032300</v>
      </c>
      <c r="M765" s="21">
        <f t="shared" si="499"/>
        <v>-1027200</v>
      </c>
      <c r="N765" s="21">
        <f t="shared" si="499"/>
        <v>-1023500</v>
      </c>
      <c r="O765" s="21">
        <f t="shared" si="499"/>
        <v>-1017000</v>
      </c>
      <c r="P765" s="21">
        <f t="shared" si="499"/>
        <v>-1012300</v>
      </c>
      <c r="Q765" s="21">
        <f t="shared" ref="Q765" si="500">Q728-Q763</f>
        <v>-1006000</v>
      </c>
      <c r="R765" s="21">
        <f t="shared" ref="R765" si="501">R728-R763</f>
        <v>-999000</v>
      </c>
      <c r="S765" s="86">
        <f t="shared" ref="S765" si="502">S728-S763</f>
        <v>-991800</v>
      </c>
    </row>
    <row r="766" spans="1:19" s="39" customFormat="1" ht="12.75" customHeight="1" x14ac:dyDescent="0.2">
      <c r="A766" s="54">
        <f>A761</f>
        <v>125000</v>
      </c>
      <c r="B766" s="9">
        <f>B761</f>
        <v>48200</v>
      </c>
      <c r="C766" s="134">
        <f>C761</f>
        <v>100800</v>
      </c>
      <c r="D766" s="134">
        <f>D761</f>
        <v>102800</v>
      </c>
      <c r="E766" s="134">
        <f t="shared" ref="E766" si="503">E761</f>
        <v>52000</v>
      </c>
      <c r="F766" s="1153"/>
      <c r="G766" s="261" t="s">
        <v>1943</v>
      </c>
      <c r="H766" s="9">
        <f t="shared" ref="H766:O766" si="504">H761</f>
        <v>184700</v>
      </c>
      <c r="I766" s="85">
        <f>IF(E766=H766,0,IF(E766=0,100,(H766-E766)/E766*100))</f>
        <v>255.19230769230768</v>
      </c>
      <c r="J766" s="9">
        <f t="shared" si="504"/>
        <v>188400</v>
      </c>
      <c r="K766" s="9">
        <f t="shared" si="504"/>
        <v>192200</v>
      </c>
      <c r="L766" s="9">
        <f t="shared" si="504"/>
        <v>196100</v>
      </c>
      <c r="M766" s="9">
        <f t="shared" si="504"/>
        <v>200100</v>
      </c>
      <c r="N766" s="9">
        <f t="shared" si="504"/>
        <v>204200</v>
      </c>
      <c r="O766" s="9">
        <f t="shared" si="504"/>
        <v>208300</v>
      </c>
      <c r="P766" s="9">
        <f t="shared" ref="P766:Q766" si="505">P761</f>
        <v>212500</v>
      </c>
      <c r="Q766" s="9">
        <f t="shared" si="505"/>
        <v>216800</v>
      </c>
      <c r="R766" s="9">
        <f t="shared" ref="R766" si="506">R761</f>
        <v>221200</v>
      </c>
      <c r="S766" s="47">
        <f t="shared" ref="S766" si="507">S761</f>
        <v>225700</v>
      </c>
    </row>
    <row r="767" spans="1:19" ht="12.75" customHeight="1" x14ac:dyDescent="0.2">
      <c r="A767" s="128">
        <f>A765+A766</f>
        <v>-434300</v>
      </c>
      <c r="B767" s="280">
        <f>B765+B766</f>
        <v>-470200</v>
      </c>
      <c r="C767" s="529">
        <f>C765+C766</f>
        <v>-367200</v>
      </c>
      <c r="D767" s="529">
        <f>D765+D766</f>
        <v>-282700</v>
      </c>
      <c r="E767" s="529">
        <f t="shared" ref="E767" si="508">E765+E766</f>
        <v>-285000</v>
      </c>
      <c r="F767" s="367"/>
      <c r="G767" s="363" t="s">
        <v>1659</v>
      </c>
      <c r="H767" s="280">
        <f t="shared" ref="H767:O767" si="509">H765+H766</f>
        <v>-813500</v>
      </c>
      <c r="I767" s="278">
        <f>IF(E767=H767,0,IF(E767=0,100,(H767-E767)/E767*100))</f>
        <v>185.43859649122808</v>
      </c>
      <c r="J767" s="280">
        <f t="shared" si="509"/>
        <v>-852600</v>
      </c>
      <c r="K767" s="280">
        <f t="shared" si="509"/>
        <v>-844700</v>
      </c>
      <c r="L767" s="280">
        <f t="shared" si="509"/>
        <v>-836200</v>
      </c>
      <c r="M767" s="280">
        <f t="shared" si="509"/>
        <v>-827100</v>
      </c>
      <c r="N767" s="280">
        <f t="shared" si="509"/>
        <v>-819300</v>
      </c>
      <c r="O767" s="280">
        <f t="shared" si="509"/>
        <v>-808700</v>
      </c>
      <c r="P767" s="280">
        <f t="shared" ref="P767:Q767" si="510">P765+P766</f>
        <v>-799800</v>
      </c>
      <c r="Q767" s="280">
        <f t="shared" si="510"/>
        <v>-789200</v>
      </c>
      <c r="R767" s="280">
        <f t="shared" ref="R767" si="511">R765+R766</f>
        <v>-777800</v>
      </c>
      <c r="S767" s="2343">
        <f t="shared" ref="S767" si="512">S765+S766</f>
        <v>-766100</v>
      </c>
    </row>
    <row r="768" spans="1:19" ht="12.75" customHeight="1" thickBot="1" x14ac:dyDescent="0.25">
      <c r="A768" s="432"/>
      <c r="B768" s="37"/>
      <c r="C768" s="146"/>
      <c r="D768" s="146"/>
      <c r="E768" s="146"/>
      <c r="F768" s="1169"/>
      <c r="G768" s="1169"/>
      <c r="H768" s="68"/>
      <c r="I768" s="275"/>
      <c r="J768" s="68"/>
      <c r="K768" s="68"/>
      <c r="L768" s="68"/>
      <c r="M768" s="68"/>
      <c r="N768" s="68"/>
      <c r="O768" s="68"/>
      <c r="P768" s="68"/>
      <c r="Q768" s="68"/>
      <c r="R768" s="68"/>
      <c r="S768" s="108"/>
    </row>
    <row r="769" spans="1:19" s="38" customFormat="1" ht="12.75" customHeight="1" thickTop="1" x14ac:dyDescent="0.25">
      <c r="A769" s="270"/>
      <c r="B769" s="109"/>
      <c r="C769" s="531"/>
      <c r="D769" s="531"/>
      <c r="E769" s="531"/>
      <c r="F769" s="254"/>
      <c r="G769" s="254"/>
      <c r="H769" s="74"/>
      <c r="I769" s="352"/>
      <c r="J769" s="74"/>
      <c r="K769" s="74"/>
      <c r="L769" s="74"/>
      <c r="M769" s="74"/>
      <c r="N769" s="74"/>
      <c r="O769" s="74"/>
      <c r="P769" s="74"/>
      <c r="Q769" s="74"/>
      <c r="R769" s="74"/>
      <c r="S769" s="110"/>
    </row>
    <row r="770" spans="1:19" s="39" customFormat="1" ht="12.75" customHeight="1" x14ac:dyDescent="0.2">
      <c r="A770" s="24"/>
      <c r="B770" s="21"/>
      <c r="C770" s="138"/>
      <c r="D770" s="138"/>
      <c r="E770" s="138"/>
      <c r="F770" s="167"/>
      <c r="G770" s="361" t="s">
        <v>192</v>
      </c>
      <c r="H770" s="9"/>
      <c r="I770" s="126"/>
      <c r="J770" s="9"/>
      <c r="K770" s="9"/>
      <c r="L770" s="9"/>
      <c r="M770" s="9"/>
      <c r="N770" s="9"/>
      <c r="O770" s="9"/>
      <c r="P770" s="9"/>
      <c r="Q770" s="9"/>
      <c r="R770" s="9"/>
      <c r="S770" s="61"/>
    </row>
    <row r="771" spans="1:19" ht="12.75" customHeight="1" x14ac:dyDescent="0.2">
      <c r="A771" s="54">
        <v>7600</v>
      </c>
      <c r="B771" s="9">
        <f>ROUND('Debt-Gen'!E16+'Debt-Gen'!E17,-2)</f>
        <v>8100</v>
      </c>
      <c r="C771" s="9">
        <f>ROUND('Debt-Gen'!G16,-2)+ROUND('Debt-Gen'!G17,-2)</f>
        <v>0</v>
      </c>
      <c r="D771" s="9">
        <f>ROUND('Debt-Gen'!I16,-2)+ROUND('Debt-Gen'!I17,-2)</f>
        <v>0</v>
      </c>
      <c r="E771" s="134">
        <f>ROUND(SUM('Debt-Gen'!K16:'Debt-Gen'!K20),-2)</f>
        <v>0</v>
      </c>
      <c r="F771" s="167"/>
      <c r="G771" s="257" t="str">
        <f>CIV!G1775</f>
        <v>Less Loan Principal Repayments</v>
      </c>
      <c r="H771" s="9">
        <f>ROUND(SUM('Debt-Gen'!M16:'Debt-Gen'!M21),-2)</f>
        <v>338600</v>
      </c>
      <c r="I771" s="85"/>
      <c r="J771" s="9">
        <f>ROUND(SUM('Debt-Gen'!O16:'Debt-Gen'!O21),-2)</f>
        <v>463000</v>
      </c>
      <c r="K771" s="9">
        <f>ROUND(SUM('Debt-Gen'!Q16:'Debt-Gen'!Q21),-2)</f>
        <v>481000</v>
      </c>
      <c r="L771" s="9">
        <f>ROUND(SUM('Debt-Gen'!S16:'Debt-Gen'!S21),-2)</f>
        <v>499600</v>
      </c>
      <c r="M771" s="9">
        <f>ROUND(SUM('Debt-Gen'!U16:'Debt-Gen'!U21),-2)</f>
        <v>518900</v>
      </c>
      <c r="N771" s="9">
        <f>ROUND(SUM('Debt-Gen'!W16:'Debt-Gen'!W21),-2)</f>
        <v>537900</v>
      </c>
      <c r="O771" s="134">
        <f>ROUND(SUM('Debt-Gen'!Y16:'Debt-Gen'!Y21),-2)</f>
        <v>559600</v>
      </c>
      <c r="P771" s="134">
        <f>ROUND(SUM('Debt-Gen'!AA16:'Debt-Gen'!AA21),-2)</f>
        <v>580000</v>
      </c>
      <c r="Q771" s="134">
        <f>ROUND(SUM('Debt-Gen'!AC16:'Debt-Gen'!AC21),-2)</f>
        <v>602300</v>
      </c>
      <c r="R771" s="134">
        <f>ROUND(SUM('Debt-Gen'!AE16:'Debt-Gen'!AE21),-2)</f>
        <v>625400</v>
      </c>
      <c r="S771" s="2359">
        <f>ROUND(SUM('Debt-Gen'!AG16:'Debt-Gen'!AG21),-2)</f>
        <v>649300</v>
      </c>
    </row>
    <row r="772" spans="1:19" ht="12.75" customHeight="1" x14ac:dyDescent="0.2">
      <c r="A772" s="54">
        <v>0</v>
      </c>
      <c r="B772" s="9">
        <v>0</v>
      </c>
      <c r="C772" s="134">
        <v>166400</v>
      </c>
      <c r="D772" s="134">
        <f>'Res-Gen'!B33</f>
        <v>439000</v>
      </c>
      <c r="E772" s="134">
        <v>5902800</v>
      </c>
      <c r="F772" s="167"/>
      <c r="G772" s="257" t="str">
        <f>CIV!G1776</f>
        <v>Less Transfer to Reserves</v>
      </c>
      <c r="H772" s="9">
        <v>3000</v>
      </c>
      <c r="I772" s="85"/>
      <c r="J772" s="9">
        <v>0</v>
      </c>
      <c r="K772" s="9">
        <v>0</v>
      </c>
      <c r="L772" s="9">
        <v>0</v>
      </c>
      <c r="M772" s="9">
        <v>0</v>
      </c>
      <c r="N772" s="9">
        <v>0</v>
      </c>
      <c r="O772" s="9">
        <v>0</v>
      </c>
      <c r="P772" s="9">
        <v>0</v>
      </c>
      <c r="Q772" s="9">
        <v>0</v>
      </c>
      <c r="R772" s="9">
        <v>0</v>
      </c>
      <c r="S772" s="47">
        <v>0</v>
      </c>
    </row>
    <row r="773" spans="1:19" ht="12.75" customHeight="1" x14ac:dyDescent="0.2">
      <c r="A773" s="54">
        <v>0</v>
      </c>
      <c r="B773" s="9">
        <v>0</v>
      </c>
      <c r="C773" s="134">
        <v>200000</v>
      </c>
      <c r="D773" s="134">
        <f>'Res-Gen'!C33</f>
        <v>115400</v>
      </c>
      <c r="E773" s="134">
        <f>'Res-Gen'!F33</f>
        <v>1379000</v>
      </c>
      <c r="F773" s="167"/>
      <c r="G773" s="257" t="str">
        <f>CIV!G1777</f>
        <v>Add Transfer from Reserves</v>
      </c>
      <c r="H773" s="9">
        <f>+'Res-Gen'!I33</f>
        <v>5013800</v>
      </c>
      <c r="I773" s="85"/>
      <c r="J773" s="9">
        <v>0</v>
      </c>
      <c r="K773" s="9">
        <v>0</v>
      </c>
      <c r="L773" s="9">
        <v>0</v>
      </c>
      <c r="M773" s="9">
        <v>0</v>
      </c>
      <c r="N773" s="9">
        <v>0</v>
      </c>
      <c r="O773" s="9">
        <v>0</v>
      </c>
      <c r="P773" s="9">
        <v>0</v>
      </c>
      <c r="Q773" s="9">
        <v>0</v>
      </c>
      <c r="R773" s="9">
        <v>0</v>
      </c>
      <c r="S773" s="47">
        <v>0</v>
      </c>
    </row>
    <row r="774" spans="1:19" ht="12.75" customHeight="1" x14ac:dyDescent="0.2">
      <c r="A774" s="54">
        <v>0</v>
      </c>
      <c r="B774" s="9">
        <v>15000</v>
      </c>
      <c r="C774" s="134">
        <v>0</v>
      </c>
      <c r="D774" s="134">
        <f>'Cap-Gen'!T17</f>
        <v>0</v>
      </c>
      <c r="E774" s="134">
        <f>'Cap-Gen'!Y18+'Cap-Gen'!Y17</f>
        <v>3076900</v>
      </c>
      <c r="F774" s="167"/>
      <c r="G774" s="257" t="str">
        <f>CIV!G1778</f>
        <v>Add Capital Income Applied</v>
      </c>
      <c r="H774" s="9">
        <f>'Cap-Gen'!AD17+'Cap-Gen'!AD18</f>
        <v>6447800</v>
      </c>
      <c r="I774" s="85"/>
      <c r="J774" s="9">
        <v>0</v>
      </c>
      <c r="K774" s="9">
        <v>0</v>
      </c>
      <c r="L774" s="9">
        <v>0</v>
      </c>
      <c r="M774" s="9">
        <v>0</v>
      </c>
      <c r="N774" s="9">
        <v>0</v>
      </c>
      <c r="O774" s="9">
        <v>0</v>
      </c>
      <c r="P774" s="9">
        <v>0</v>
      </c>
      <c r="Q774" s="9">
        <v>0</v>
      </c>
      <c r="R774" s="9">
        <v>0</v>
      </c>
      <c r="S774" s="47">
        <v>0</v>
      </c>
    </row>
    <row r="775" spans="1:19" ht="12.75" customHeight="1" x14ac:dyDescent="0.2">
      <c r="A775" s="54">
        <v>0</v>
      </c>
      <c r="B775" s="9">
        <v>21700</v>
      </c>
      <c r="C775" s="134">
        <v>36400</v>
      </c>
      <c r="D775" s="134">
        <f>SUM('Cap-Gen'!E16:E18)</f>
        <v>115400</v>
      </c>
      <c r="E775" s="134">
        <f>SUM('Cap-Gen'!F16:F18)</f>
        <v>3076900</v>
      </c>
      <c r="F775" s="167"/>
      <c r="G775" s="257" t="str">
        <f>CIV!G1779</f>
        <v>Less Capital Expenditure</v>
      </c>
      <c r="H775" s="134">
        <f>SUM('Cap-Gen'!G16:G18)</f>
        <v>11461600</v>
      </c>
      <c r="I775" s="85"/>
      <c r="J775" s="134">
        <f>SUM('Cap-Gen'!H16:H18)</f>
        <v>0</v>
      </c>
      <c r="K775" s="134">
        <f>SUM('Cap-Gen'!I16:I18)</f>
        <v>0</v>
      </c>
      <c r="L775" s="134">
        <f>SUM('Cap-Gen'!J16:J18)</f>
        <v>0</v>
      </c>
      <c r="M775" s="134">
        <f>SUM('Cap-Gen'!K16:K18)</f>
        <v>0</v>
      </c>
      <c r="N775" s="134">
        <f>SUM('Cap-Gen'!L16:L18)</f>
        <v>0</v>
      </c>
      <c r="O775" s="134">
        <f>SUM('Cap-Gen'!M16:M18)</f>
        <v>0</v>
      </c>
      <c r="P775" s="134">
        <f>SUM('Cap-Gen'!N16:N18)</f>
        <v>0</v>
      </c>
      <c r="Q775" s="134">
        <f>SUM('Cap-Gen'!O16:O18)</f>
        <v>0</v>
      </c>
      <c r="R775" s="134">
        <f>SUM('Cap-Gen'!R16:R18)</f>
        <v>0</v>
      </c>
      <c r="S775" s="2359">
        <f>SUM('Cap-Gen'!S16:S18)</f>
        <v>0</v>
      </c>
    </row>
    <row r="776" spans="1:19" ht="12.75" customHeight="1" x14ac:dyDescent="0.2">
      <c r="A776" s="128">
        <f>A767-A771-A772+A773++A774-A775</f>
        <v>-441900</v>
      </c>
      <c r="B776" s="280">
        <f>B767-B771-B772+B773++B774-B775</f>
        <v>-485000</v>
      </c>
      <c r="C776" s="529">
        <f>C767-C771-C772+C773++C774-C775</f>
        <v>-370000</v>
      </c>
      <c r="D776" s="529">
        <f>D767-D771-D772+D773++D774-D775</f>
        <v>-721700</v>
      </c>
      <c r="E776" s="529">
        <f>E767-E771-E772+E773++E774-E775</f>
        <v>-4808800</v>
      </c>
      <c r="F776" s="372"/>
      <c r="G776" s="363" t="s">
        <v>2447</v>
      </c>
      <c r="H776" s="280">
        <f t="shared" ref="H776:P776" si="513">H767-H771-H772+H773++H774-H775</f>
        <v>-1155100</v>
      </c>
      <c r="I776" s="278">
        <f>IF(E776=H776,0,IF(E776=0,100,(H776-E776)/E776*100))</f>
        <v>-75.979454333721506</v>
      </c>
      <c r="J776" s="280">
        <f t="shared" si="513"/>
        <v>-1315600</v>
      </c>
      <c r="K776" s="280">
        <f t="shared" si="513"/>
        <v>-1325700</v>
      </c>
      <c r="L776" s="280">
        <f t="shared" si="513"/>
        <v>-1335800</v>
      </c>
      <c r="M776" s="280">
        <f t="shared" si="513"/>
        <v>-1346000</v>
      </c>
      <c r="N776" s="280">
        <f t="shared" si="513"/>
        <v>-1357200</v>
      </c>
      <c r="O776" s="280">
        <f t="shared" si="513"/>
        <v>-1368300</v>
      </c>
      <c r="P776" s="280">
        <f t="shared" si="513"/>
        <v>-1379800</v>
      </c>
      <c r="Q776" s="280">
        <f t="shared" ref="Q776" si="514">Q767-Q771-Q772+Q773++Q774-Q775</f>
        <v>-1391500</v>
      </c>
      <c r="R776" s="280">
        <f t="shared" ref="R776:S776" si="515">R767-R771-R772+R773++R774-R775</f>
        <v>-1403200</v>
      </c>
      <c r="S776" s="282">
        <f t="shared" si="515"/>
        <v>-1415400</v>
      </c>
    </row>
    <row r="777" spans="1:19" ht="12.75" customHeight="1" thickBot="1" x14ac:dyDescent="0.25">
      <c r="A777" s="26"/>
      <c r="B777" s="37"/>
      <c r="C777" s="146"/>
      <c r="D777" s="146"/>
      <c r="E777" s="146"/>
      <c r="F777" s="166"/>
      <c r="G777" s="166"/>
      <c r="H777" s="23"/>
      <c r="I777" s="275"/>
      <c r="J777" s="23"/>
      <c r="K777" s="23"/>
      <c r="L777" s="23"/>
      <c r="M777" s="23"/>
      <c r="N777" s="23"/>
      <c r="O777" s="23"/>
      <c r="P777" s="23"/>
      <c r="Q777" s="23"/>
      <c r="R777" s="23"/>
      <c r="S777" s="112"/>
    </row>
    <row r="778" spans="1:19" ht="12.75" customHeight="1" thickTop="1" thickBot="1" x14ac:dyDescent="0.25">
      <c r="A778" s="27"/>
      <c r="B778" s="27"/>
      <c r="C778" s="27"/>
      <c r="D778" s="27"/>
      <c r="E778" s="46"/>
      <c r="F778" s="179"/>
      <c r="G778" s="84"/>
      <c r="H778" s="46"/>
      <c r="I778" s="2234"/>
      <c r="J778" s="46"/>
      <c r="K778" s="46"/>
      <c r="L778" s="46"/>
      <c r="M778" s="46"/>
      <c r="N778" s="46"/>
      <c r="O778" s="46"/>
      <c r="P778" s="46"/>
      <c r="Q778" s="46"/>
      <c r="R778" s="46"/>
      <c r="S778" s="46"/>
    </row>
    <row r="779" spans="1:19" s="38" customFormat="1" ht="19.5" thickTop="1" thickBot="1" x14ac:dyDescent="0.3">
      <c r="A779" s="2588" t="str">
        <f>SP!A271</f>
        <v>TOURISM</v>
      </c>
      <c r="B779" s="2589"/>
      <c r="C779" s="2589"/>
      <c r="D779" s="2589"/>
      <c r="E779" s="2589"/>
      <c r="F779" s="2589"/>
      <c r="G779" s="2589"/>
      <c r="H779" s="2589"/>
      <c r="I779" s="2589"/>
      <c r="J779" s="2589"/>
      <c r="K779" s="2589"/>
      <c r="L779" s="2589"/>
      <c r="M779" s="2589"/>
      <c r="N779" s="2589"/>
      <c r="O779" s="2589"/>
      <c r="P779" s="2589"/>
      <c r="Q779" s="2589"/>
      <c r="R779" s="2589"/>
      <c r="S779" s="2590"/>
    </row>
    <row r="780" spans="1:19" s="39" customFormat="1" ht="12.75" customHeight="1" x14ac:dyDescent="0.2">
      <c r="A780" s="2591" t="s">
        <v>1824</v>
      </c>
      <c r="B780" s="2577"/>
      <c r="C780" s="2577"/>
      <c r="D780" s="2577"/>
      <c r="E780" s="2592" t="s">
        <v>2215</v>
      </c>
      <c r="F780" s="2231" t="s">
        <v>2616</v>
      </c>
      <c r="G780" s="188" t="s">
        <v>2213</v>
      </c>
      <c r="H780" s="2576" t="s">
        <v>2215</v>
      </c>
      <c r="I780" s="2577"/>
      <c r="J780" s="2577"/>
      <c r="K780" s="2577"/>
      <c r="L780" s="2577"/>
      <c r="M780" s="2577"/>
      <c r="N780" s="2577"/>
      <c r="O780" s="2577"/>
      <c r="P780" s="2577"/>
      <c r="Q780" s="2577"/>
      <c r="R780" s="2577"/>
      <c r="S780" s="2578"/>
    </row>
    <row r="781" spans="1:19" ht="12.75" customHeight="1" thickBot="1" x14ac:dyDescent="0.25">
      <c r="A781" s="541" t="str">
        <f>GM!A3</f>
        <v>2012/13</v>
      </c>
      <c r="B781" s="28" t="str">
        <f>GM!B3</f>
        <v>2013/14</v>
      </c>
      <c r="C781" s="40" t="str">
        <f>GM!C3</f>
        <v>2014/15</v>
      </c>
      <c r="D781" s="40" t="str">
        <f>GM!D3</f>
        <v>2015/16</v>
      </c>
      <c r="E781" s="40" t="str">
        <f>GM!E3</f>
        <v>2016/17</v>
      </c>
      <c r="F781" s="40" t="s">
        <v>2617</v>
      </c>
      <c r="G781" s="41"/>
      <c r="H781" s="40" t="str">
        <f>GM!H3</f>
        <v>2017/18</v>
      </c>
      <c r="I781" s="1459" t="s">
        <v>492</v>
      </c>
      <c r="J781" s="40" t="str">
        <f>GM!J3</f>
        <v>2018/19</v>
      </c>
      <c r="K781" s="40" t="str">
        <f>GM!K3</f>
        <v>2019/20</v>
      </c>
      <c r="L781" s="40" t="str">
        <f>GM!L3</f>
        <v>2020/21</v>
      </c>
      <c r="M781" s="40" t="str">
        <f>GM!M3</f>
        <v>2021/22</v>
      </c>
      <c r="N781" s="40" t="str">
        <f>GM!N3</f>
        <v>2022/23</v>
      </c>
      <c r="O781" s="40" t="str">
        <f>GM!O3</f>
        <v>2023/24</v>
      </c>
      <c r="P781" s="1257" t="str">
        <f>GM!P3</f>
        <v>2024/25</v>
      </c>
      <c r="Q781" s="28" t="str">
        <f>GM!Q3</f>
        <v>2025/26</v>
      </c>
      <c r="R781" s="28" t="str">
        <f>GM!R3</f>
        <v>2026/27</v>
      </c>
      <c r="S781" s="1620" t="str">
        <f>GM!S3</f>
        <v>2027/28</v>
      </c>
    </row>
    <row r="782" spans="1:19" ht="12.75" customHeight="1" x14ac:dyDescent="0.2">
      <c r="A782" s="54"/>
      <c r="B782" s="9"/>
      <c r="C782" s="9"/>
      <c r="D782" s="9"/>
      <c r="E782" s="9"/>
      <c r="F782" s="175"/>
      <c r="G782" s="91" t="s">
        <v>1056</v>
      </c>
      <c r="H782" s="9"/>
      <c r="I782" s="85"/>
      <c r="J782" s="9"/>
      <c r="K782" s="9"/>
      <c r="L782" s="9"/>
      <c r="M782" s="9"/>
      <c r="N782" s="9"/>
      <c r="O782" s="9"/>
      <c r="P782" s="89"/>
      <c r="Q782" s="9"/>
      <c r="R782" s="9"/>
      <c r="S782" s="61"/>
    </row>
    <row r="783" spans="1:19" ht="12.75" customHeight="1" x14ac:dyDescent="0.2">
      <c r="A783" s="54"/>
      <c r="B783" s="89"/>
      <c r="C783" s="9"/>
      <c r="D783" s="9"/>
      <c r="E783" s="9"/>
      <c r="F783" s="240"/>
      <c r="G783" s="319" t="s">
        <v>725</v>
      </c>
      <c r="H783" s="9"/>
      <c r="I783" s="85"/>
      <c r="J783" s="9"/>
      <c r="K783" s="9"/>
      <c r="L783" s="9"/>
      <c r="M783" s="9"/>
      <c r="N783" s="9"/>
      <c r="O783" s="9"/>
      <c r="P783" s="89"/>
      <c r="Q783" s="9"/>
      <c r="R783" s="9"/>
      <c r="S783" s="61"/>
    </row>
    <row r="784" spans="1:19" ht="12.75" customHeight="1" x14ac:dyDescent="0.2">
      <c r="A784" s="54">
        <v>4900</v>
      </c>
      <c r="B784" s="9">
        <v>5800</v>
      </c>
      <c r="C784" s="9">
        <v>8600</v>
      </c>
      <c r="D784" s="9">
        <v>7200</v>
      </c>
      <c r="E784" s="9">
        <v>5700</v>
      </c>
      <c r="F784" s="240" t="s">
        <v>2357</v>
      </c>
      <c r="G784" s="247" t="s">
        <v>1264</v>
      </c>
      <c r="H784" s="9">
        <f>9000-1000</f>
        <v>8000</v>
      </c>
      <c r="I784" s="85">
        <f t="shared" ref="I784:I789" si="516">IF(E784=H784,0,IF(E784=0,100,(H784-E784)/E784*100))</f>
        <v>40.350877192982452</v>
      </c>
      <c r="J784" s="9">
        <v>7000</v>
      </c>
      <c r="K784" s="9">
        <f>ROUNDUP(J784+(J784*Assumptions!J$5),-2)</f>
        <v>7200</v>
      </c>
      <c r="L784" s="9">
        <f>ROUNDUP(K784+(K784*Assumptions!K$5),-2)</f>
        <v>7400</v>
      </c>
      <c r="M784" s="9">
        <f>ROUNDUP(L784+(L784*Assumptions!L$5),-2)</f>
        <v>7600</v>
      </c>
      <c r="N784" s="9">
        <f>ROUNDUP(M784+(M784*Assumptions!M$5),-2)</f>
        <v>7800</v>
      </c>
      <c r="O784" s="9">
        <f>ROUNDUP(N784+(N784*Assumptions!N$5),-2)</f>
        <v>8000</v>
      </c>
      <c r="P784" s="89">
        <f>ROUNDUP(O784+(O784*Assumptions!O$5),-2)</f>
        <v>8200</v>
      </c>
      <c r="Q784" s="9">
        <f>ROUNDUP(P784+(P784*Assumptions!P$5),-2)</f>
        <v>8500</v>
      </c>
      <c r="R784" s="9">
        <f>ROUNDUP(Q784+(Q784*Assumptions!Q$5),-2)</f>
        <v>8800</v>
      </c>
      <c r="S784" s="47">
        <f>ROUNDUP(R784+(R784*Assumptions!R$5),-2)</f>
        <v>9100</v>
      </c>
    </row>
    <row r="785" spans="1:19" ht="12.75" customHeight="1" x14ac:dyDescent="0.2">
      <c r="A785" s="54">
        <v>100</v>
      </c>
      <c r="B785" s="9">
        <v>1100</v>
      </c>
      <c r="C785" s="9">
        <v>1400</v>
      </c>
      <c r="D785" s="9">
        <v>2800</v>
      </c>
      <c r="E785" s="9">
        <v>900</v>
      </c>
      <c r="F785" s="240" t="s">
        <v>2358</v>
      </c>
      <c r="G785" s="247" t="s">
        <v>2136</v>
      </c>
      <c r="H785" s="9">
        <f>3200-2000</f>
        <v>1200</v>
      </c>
      <c r="I785" s="85">
        <f t="shared" si="516"/>
        <v>33.333333333333329</v>
      </c>
      <c r="J785" s="9">
        <v>1000</v>
      </c>
      <c r="K785" s="9">
        <f>ROUNDUP(J785+(J785*Assumptions!J$5),-2)</f>
        <v>1100</v>
      </c>
      <c r="L785" s="9">
        <f>ROUNDUP(K785+(K785*Assumptions!K$5),-2)</f>
        <v>1200</v>
      </c>
      <c r="M785" s="9">
        <f>ROUNDUP(L785+(L785*Assumptions!L$5),-2)</f>
        <v>1300</v>
      </c>
      <c r="N785" s="9">
        <f>ROUNDUP(M785+(M785*Assumptions!M$5),-2)</f>
        <v>1400</v>
      </c>
      <c r="O785" s="9">
        <f>ROUNDUP(N785+(N785*Assumptions!N$5),-2)</f>
        <v>1500</v>
      </c>
      <c r="P785" s="89">
        <f>ROUNDUP(O785+(O785*Assumptions!O$5),-2)</f>
        <v>1600</v>
      </c>
      <c r="Q785" s="9">
        <f>ROUNDUP(P785+(P785*Assumptions!P$5),-2)</f>
        <v>1700</v>
      </c>
      <c r="R785" s="9">
        <f>ROUNDUP(Q785+(Q785*Assumptions!Q$5),-2)</f>
        <v>1800</v>
      </c>
      <c r="S785" s="47">
        <f>ROUNDUP(R785+(R785*Assumptions!R$5),-2)</f>
        <v>1900</v>
      </c>
    </row>
    <row r="786" spans="1:19" ht="12.75" customHeight="1" x14ac:dyDescent="0.2">
      <c r="A786" s="54">
        <v>0</v>
      </c>
      <c r="B786" s="77">
        <v>2000</v>
      </c>
      <c r="C786" s="9">
        <v>2500</v>
      </c>
      <c r="D786" s="9">
        <v>3500</v>
      </c>
      <c r="E786" s="9">
        <v>3600</v>
      </c>
      <c r="F786" s="577" t="s">
        <v>3806</v>
      </c>
      <c r="G786" s="772" t="s">
        <v>4442</v>
      </c>
      <c r="H786" s="9">
        <f>3200+1500-4700</f>
        <v>0</v>
      </c>
      <c r="I786" s="85">
        <f t="shared" si="516"/>
        <v>-100</v>
      </c>
      <c r="J786" s="9">
        <v>0</v>
      </c>
      <c r="K786" s="9">
        <f>ROUNDUP(J786+(J786*Assumptions!J$5),-2)</f>
        <v>0</v>
      </c>
      <c r="L786" s="9">
        <f>ROUNDUP(K786+(K786*Assumptions!K$5),-2)</f>
        <v>0</v>
      </c>
      <c r="M786" s="9">
        <f>ROUNDUP(L786+(L786*Assumptions!L$5),-2)</f>
        <v>0</v>
      </c>
      <c r="N786" s="9">
        <f>ROUNDUP(M786+(M786*Assumptions!M$5),-2)</f>
        <v>0</v>
      </c>
      <c r="O786" s="9">
        <f>ROUNDUP(N786+(N786*Assumptions!N$5),-2)</f>
        <v>0</v>
      </c>
      <c r="P786" s="89">
        <f>ROUNDUP(O786+(O786*Assumptions!O$5),-2)</f>
        <v>0</v>
      </c>
      <c r="Q786" s="9">
        <f>ROUNDUP(P786+(P786*Assumptions!P$5),-2)</f>
        <v>0</v>
      </c>
      <c r="R786" s="9">
        <f>ROUNDUP(Q786+(Q786*Assumptions!Q$5),-2)</f>
        <v>0</v>
      </c>
      <c r="S786" s="47">
        <f>ROUNDUP(R786+(R786*Assumptions!R$5),-2)</f>
        <v>0</v>
      </c>
    </row>
    <row r="787" spans="1:19" ht="12.75" customHeight="1" x14ac:dyDescent="0.2">
      <c r="A787" s="54">
        <v>200</v>
      </c>
      <c r="B787" s="9">
        <v>500</v>
      </c>
      <c r="C787" s="9">
        <v>400</v>
      </c>
      <c r="D787" s="9">
        <v>600</v>
      </c>
      <c r="E787" s="9">
        <v>500</v>
      </c>
      <c r="F787" s="240" t="s">
        <v>253</v>
      </c>
      <c r="G787" s="247" t="s">
        <v>2321</v>
      </c>
      <c r="H787" s="9">
        <v>600</v>
      </c>
      <c r="I787" s="85">
        <f t="shared" si="516"/>
        <v>20</v>
      </c>
      <c r="J787" s="9">
        <v>700</v>
      </c>
      <c r="K787" s="9">
        <f>ROUNDUP(J787+(J787*Assumptions!J$5),-2)</f>
        <v>800</v>
      </c>
      <c r="L787" s="9">
        <f>ROUNDUP(K787+(K787*Assumptions!K$5),-2)</f>
        <v>900</v>
      </c>
      <c r="M787" s="9">
        <f>ROUNDUP(L787+(L787*Assumptions!L$5),-2)</f>
        <v>1000</v>
      </c>
      <c r="N787" s="9">
        <f>ROUNDUP(M787+(M787*Assumptions!M$5),-2)</f>
        <v>1100</v>
      </c>
      <c r="O787" s="9">
        <f>ROUNDUP(N787+(N787*Assumptions!N$5),-2)</f>
        <v>1200</v>
      </c>
      <c r="P787" s="89">
        <f>ROUNDUP(O787+(O787*Assumptions!O$5),-2)</f>
        <v>1300</v>
      </c>
      <c r="Q787" s="9">
        <f>ROUNDUP(P787+(P787*Assumptions!P$5),-2)</f>
        <v>1400</v>
      </c>
      <c r="R787" s="9">
        <f>ROUNDUP(Q787+(Q787*Assumptions!Q$5),-2)</f>
        <v>1500</v>
      </c>
      <c r="S787" s="47">
        <f>ROUNDUP(R787+(R787*Assumptions!R$5),-2)</f>
        <v>1600</v>
      </c>
    </row>
    <row r="788" spans="1:19" ht="12.75" customHeight="1" x14ac:dyDescent="0.2">
      <c r="A788" s="54">
        <v>0</v>
      </c>
      <c r="B788" s="9">
        <v>0</v>
      </c>
      <c r="C788" s="9">
        <v>1000</v>
      </c>
      <c r="D788" s="9">
        <v>2400</v>
      </c>
      <c r="E788" s="9">
        <v>2600</v>
      </c>
      <c r="F788" s="577" t="s">
        <v>4173</v>
      </c>
      <c r="G788" s="772" t="s">
        <v>4706</v>
      </c>
      <c r="H788" s="9">
        <f>2600-1000</f>
        <v>1600</v>
      </c>
      <c r="I788" s="85">
        <f t="shared" si="516"/>
        <v>-38.461538461538467</v>
      </c>
      <c r="J788" s="9">
        <v>1500</v>
      </c>
      <c r="K788" s="9">
        <f>ROUNDUP(J788+(J788*Assumptions!J$5),-2)</f>
        <v>1600</v>
      </c>
      <c r="L788" s="9">
        <f>ROUNDUP(K788+(K788*Assumptions!K$5),-2)</f>
        <v>1700</v>
      </c>
      <c r="M788" s="9">
        <f>ROUNDUP(L788+(L788*Assumptions!L$5),-2)</f>
        <v>1800</v>
      </c>
      <c r="N788" s="9">
        <f>ROUNDUP(M788+(M788*Assumptions!M$5),-2)</f>
        <v>1900</v>
      </c>
      <c r="O788" s="9">
        <f>ROUNDUP(N788+(N788*Assumptions!N$5),-2)</f>
        <v>2000</v>
      </c>
      <c r="P788" s="89">
        <f>ROUNDUP(O788+(O788*Assumptions!O$5),-2)</f>
        <v>2100</v>
      </c>
      <c r="Q788" s="9">
        <f>ROUNDUP(P788+(P788*Assumptions!P$5),-2)</f>
        <v>2200</v>
      </c>
      <c r="R788" s="9">
        <f>ROUNDUP(Q788+(Q788*Assumptions!Q$5),-2)</f>
        <v>2300</v>
      </c>
      <c r="S788" s="47">
        <f>ROUNDUP(R788+(R788*Assumptions!R$5),-2)</f>
        <v>2400</v>
      </c>
    </row>
    <row r="789" spans="1:19" ht="12.75" customHeight="1" x14ac:dyDescent="0.2">
      <c r="A789" s="54">
        <v>24100</v>
      </c>
      <c r="B789" s="9">
        <f>31400+200</f>
        <v>31600</v>
      </c>
      <c r="C789" s="9">
        <v>30400</v>
      </c>
      <c r="D789" s="9">
        <v>38200</v>
      </c>
      <c r="E789" s="9">
        <v>31500</v>
      </c>
      <c r="F789" s="240" t="s">
        <v>254</v>
      </c>
      <c r="G789" s="772" t="s">
        <v>4707</v>
      </c>
      <c r="H789" s="79">
        <f>31000+4700</f>
        <v>35700</v>
      </c>
      <c r="I789" s="85">
        <f t="shared" si="516"/>
        <v>13.333333333333334</v>
      </c>
      <c r="J789" s="9">
        <v>36000</v>
      </c>
      <c r="K789" s="9">
        <f>ROUNDUP(J789+(J789*Assumptions!J$5),-2)</f>
        <v>36900</v>
      </c>
      <c r="L789" s="9">
        <f>ROUNDUP(K789+(K789*Assumptions!K$5),-2)</f>
        <v>37900</v>
      </c>
      <c r="M789" s="9">
        <f>ROUNDUP(L789+(L789*Assumptions!L$5),-2)</f>
        <v>38900</v>
      </c>
      <c r="N789" s="9">
        <f>ROUNDUP(M789+(M789*Assumptions!M$5),-2)</f>
        <v>39900</v>
      </c>
      <c r="O789" s="9">
        <f>ROUNDUP(N789+(N789*Assumptions!N$5),-2)</f>
        <v>40900</v>
      </c>
      <c r="P789" s="89">
        <f>ROUNDUP(O789+(O789*Assumptions!O$5),-2)</f>
        <v>42000</v>
      </c>
      <c r="Q789" s="9">
        <f>ROUNDUP(P789+(P789*Assumptions!P$5),-2)</f>
        <v>43100</v>
      </c>
      <c r="R789" s="9">
        <f>ROUNDUP(Q789+(Q789*Assumptions!Q$5),-2)</f>
        <v>44200</v>
      </c>
      <c r="S789" s="47">
        <f>ROUNDUP(R789+(R789*Assumptions!R$5),-2)</f>
        <v>45400</v>
      </c>
    </row>
    <row r="790" spans="1:19" ht="12.75" customHeight="1" x14ac:dyDescent="0.2">
      <c r="A790" s="54"/>
      <c r="B790" s="89"/>
      <c r="C790" s="9"/>
      <c r="D790" s="9"/>
      <c r="E790" s="9"/>
      <c r="F790" s="1378"/>
      <c r="G790" s="542" t="s">
        <v>4083</v>
      </c>
      <c r="H790" s="9"/>
      <c r="I790" s="85"/>
      <c r="J790" s="9"/>
      <c r="K790" s="9"/>
      <c r="L790" s="9"/>
      <c r="M790" s="9"/>
      <c r="N790" s="9"/>
      <c r="O790" s="9"/>
      <c r="P790" s="89"/>
      <c r="Q790" s="9"/>
      <c r="R790" s="9"/>
      <c r="S790" s="47"/>
    </row>
    <row r="791" spans="1:19" ht="12.75" customHeight="1" x14ac:dyDescent="0.2">
      <c r="A791" s="54">
        <f>9100+56400</f>
        <v>65500</v>
      </c>
      <c r="B791" s="9">
        <v>69700</v>
      </c>
      <c r="C791" s="9">
        <v>89800</v>
      </c>
      <c r="D791" s="9">
        <v>83500</v>
      </c>
      <c r="E791" s="9">
        <v>13200</v>
      </c>
      <c r="F791" s="240" t="s">
        <v>2413</v>
      </c>
      <c r="G791" s="371" t="s">
        <v>1024</v>
      </c>
      <c r="H791" s="9">
        <v>0</v>
      </c>
      <c r="I791" s="85">
        <f t="shared" ref="I791:I795" si="517">IF(E791=H791,0,IF(E791=0,100,(H791-E791)/E791*100))</f>
        <v>-100</v>
      </c>
      <c r="J791" s="9">
        <v>90000</v>
      </c>
      <c r="K791" s="9">
        <v>0</v>
      </c>
      <c r="L791" s="9">
        <f>ROUNDUP(K791+(K791*Assumptions!K$5),-2)</f>
        <v>0</v>
      </c>
      <c r="M791" s="9">
        <f>ROUNDUP(L791+(L791*Assumptions!L$5),-2)</f>
        <v>0</v>
      </c>
      <c r="N791" s="9">
        <f>ROUNDUP(M791+(M791*Assumptions!M$5),-2)</f>
        <v>0</v>
      </c>
      <c r="O791" s="9">
        <v>90000</v>
      </c>
      <c r="P791" s="89">
        <v>0</v>
      </c>
      <c r="Q791" s="9">
        <f>ROUNDUP(P791+(P791*Assumptions!P$5),-2)</f>
        <v>0</v>
      </c>
      <c r="R791" s="9">
        <f>ROUNDUP(Q791+(Q791*Assumptions!Q$5),-2)</f>
        <v>0</v>
      </c>
      <c r="S791" s="47">
        <f>ROUNDUP(R791+(R791*Assumptions!R$5),-2)</f>
        <v>0</v>
      </c>
    </row>
    <row r="792" spans="1:19" ht="12.75" customHeight="1" x14ac:dyDescent="0.2">
      <c r="A792" s="54">
        <v>0</v>
      </c>
      <c r="B792" s="9">
        <v>0</v>
      </c>
      <c r="C792" s="9">
        <v>0</v>
      </c>
      <c r="D792" s="9">
        <v>0</v>
      </c>
      <c r="E792" s="9">
        <v>0</v>
      </c>
      <c r="F792" s="240" t="s">
        <v>2413</v>
      </c>
      <c r="G792" s="662" t="s">
        <v>6473</v>
      </c>
      <c r="H792" s="9">
        <v>13000</v>
      </c>
      <c r="I792" s="85">
        <f t="shared" si="517"/>
        <v>100</v>
      </c>
      <c r="J792" s="9">
        <v>13400</v>
      </c>
      <c r="K792" s="9">
        <f>ROUNDUP(J792+(J792*Assumptions!J$5),-2)</f>
        <v>13800</v>
      </c>
      <c r="L792" s="9">
        <f>ROUNDUP(K792+(K792*Assumptions!K$5),-2)</f>
        <v>14200</v>
      </c>
      <c r="M792" s="9">
        <f>ROUNDUP(L792+(L792*Assumptions!L$5),-2)</f>
        <v>14600</v>
      </c>
      <c r="N792" s="9">
        <f>ROUNDUP(M792+(M792*Assumptions!M$5),-2)</f>
        <v>15000</v>
      </c>
      <c r="O792" s="9">
        <f>ROUNDUP(N792+(N792*Assumptions!N$5),-2)</f>
        <v>15400</v>
      </c>
      <c r="P792" s="9">
        <f>ROUNDUP(O792+(O792*Assumptions!O$5),-2)</f>
        <v>15800</v>
      </c>
      <c r="Q792" s="9">
        <f>ROUNDUP(P792+(P792*Assumptions!P$5),-2)</f>
        <v>16200</v>
      </c>
      <c r="R792" s="9">
        <f>ROUNDUP(Q792+(Q792*Assumptions!Q$5),-2)</f>
        <v>16700</v>
      </c>
      <c r="S792" s="47">
        <f>ROUNDUP(R792+(R792*Assumptions!R$5),-2)</f>
        <v>17200</v>
      </c>
    </row>
    <row r="793" spans="1:19" ht="12.75" customHeight="1" x14ac:dyDescent="0.2">
      <c r="A793" s="54">
        <v>3000</v>
      </c>
      <c r="B793" s="9">
        <v>1700</v>
      </c>
      <c r="C793" s="9">
        <v>100</v>
      </c>
      <c r="D793" s="9">
        <v>100</v>
      </c>
      <c r="E793" s="9">
        <v>0</v>
      </c>
      <c r="F793" s="240" t="s">
        <v>2598</v>
      </c>
      <c r="G793" s="662" t="s">
        <v>4105</v>
      </c>
      <c r="H793" s="9">
        <v>0</v>
      </c>
      <c r="I793" s="85">
        <f t="shared" si="517"/>
        <v>0</v>
      </c>
      <c r="J793" s="9">
        <v>0</v>
      </c>
      <c r="K793" s="9">
        <f>ROUNDUP(J793+(J793*Assumptions!J$5),-2)</f>
        <v>0</v>
      </c>
      <c r="L793" s="9">
        <f>ROUNDUP(K793+(K793*Assumptions!K$5),-2)</f>
        <v>0</v>
      </c>
      <c r="M793" s="9">
        <f>ROUNDUP(L793+(L793*Assumptions!L$5),-2)</f>
        <v>0</v>
      </c>
      <c r="N793" s="9">
        <f>ROUNDUP(M793+(M793*Assumptions!M$5),-2)</f>
        <v>0</v>
      </c>
      <c r="O793" s="9">
        <f>ROUNDUP(N793+(N793*Assumptions!N$5),-2)</f>
        <v>0</v>
      </c>
      <c r="P793" s="89">
        <f>ROUNDUP(O793+(O793*Assumptions!O$5),-2)</f>
        <v>0</v>
      </c>
      <c r="Q793" s="9">
        <f>ROUNDUP(P793+(P793*Assumptions!P$5),-2)</f>
        <v>0</v>
      </c>
      <c r="R793" s="9">
        <f>ROUNDUP(Q793+(Q793*Assumptions!Q$5),-2)</f>
        <v>0</v>
      </c>
      <c r="S793" s="47">
        <f>ROUNDUP(R793+(R793*Assumptions!R$5),-2)</f>
        <v>0</v>
      </c>
    </row>
    <row r="794" spans="1:19" ht="12.75" customHeight="1" x14ac:dyDescent="0.2">
      <c r="A794" s="54">
        <v>35700</v>
      </c>
      <c r="B794" s="9">
        <v>1200</v>
      </c>
      <c r="C794" s="9">
        <v>5500</v>
      </c>
      <c r="D794" s="9">
        <f>1500+1500</f>
        <v>3000</v>
      </c>
      <c r="E794" s="9">
        <v>0</v>
      </c>
      <c r="F794" s="577" t="s">
        <v>2971</v>
      </c>
      <c r="G794" s="371" t="s">
        <v>2551</v>
      </c>
      <c r="H794" s="9">
        <v>0</v>
      </c>
      <c r="I794" s="85">
        <f t="shared" si="517"/>
        <v>0</v>
      </c>
      <c r="J794" s="9">
        <v>0</v>
      </c>
      <c r="K794" s="9">
        <f>ROUNDUP(J794+(J794*Assumptions!J$5),-2)</f>
        <v>0</v>
      </c>
      <c r="L794" s="9">
        <f>ROUNDUP(K794+(K794*Assumptions!K$5),-2)</f>
        <v>0</v>
      </c>
      <c r="M794" s="9">
        <f>ROUNDUP(L794+(L794*Assumptions!L$5),-2)</f>
        <v>0</v>
      </c>
      <c r="N794" s="9">
        <f>ROUNDUP(M794+(M794*Assumptions!M$5),-2)</f>
        <v>0</v>
      </c>
      <c r="O794" s="9">
        <f>ROUNDUP(N794+(N794*Assumptions!N$5),-2)</f>
        <v>0</v>
      </c>
      <c r="P794" s="89">
        <f>ROUNDUP(O794+(O794*Assumptions!O$5),-2)</f>
        <v>0</v>
      </c>
      <c r="Q794" s="9">
        <f>ROUNDUP(P794+(P794*Assumptions!P$5),-2)</f>
        <v>0</v>
      </c>
      <c r="R794" s="9">
        <f>ROUNDUP(Q794+(Q794*Assumptions!Q$5),-2)</f>
        <v>0</v>
      </c>
      <c r="S794" s="47">
        <f>ROUNDUP(R794+(R794*Assumptions!R$5),-2)</f>
        <v>0</v>
      </c>
    </row>
    <row r="795" spans="1:19" ht="12.75" customHeight="1" x14ac:dyDescent="0.2">
      <c r="A795" s="54">
        <v>200</v>
      </c>
      <c r="B795" s="9">
        <v>0</v>
      </c>
      <c r="C795" s="9">
        <v>0</v>
      </c>
      <c r="D795" s="9">
        <v>300</v>
      </c>
      <c r="E795" s="9">
        <v>300</v>
      </c>
      <c r="F795" s="771" t="s">
        <v>4927</v>
      </c>
      <c r="G795" s="247" t="s">
        <v>1533</v>
      </c>
      <c r="H795" s="9">
        <v>600</v>
      </c>
      <c r="I795" s="85">
        <f t="shared" si="517"/>
        <v>100</v>
      </c>
      <c r="J795" s="9">
        <f>ROUNDUP(H795+(H795*Assumptions!I$5),-2)</f>
        <v>700</v>
      </c>
      <c r="K795" s="9">
        <f>ROUNDUP(J795+(J795*Assumptions!J$5),-2)</f>
        <v>800</v>
      </c>
      <c r="L795" s="9">
        <f>ROUNDUP(K795+(K795*Assumptions!K$5),-2)</f>
        <v>900</v>
      </c>
      <c r="M795" s="9">
        <f>ROUNDUP(L795+(L795*Assumptions!L$5),-2)</f>
        <v>1000</v>
      </c>
      <c r="N795" s="9">
        <f>ROUNDUP(M795+(M795*Assumptions!M$5),-2)</f>
        <v>1100</v>
      </c>
      <c r="O795" s="9">
        <f>ROUNDUP(N795+(N795*Assumptions!N$5),-2)</f>
        <v>1200</v>
      </c>
      <c r="P795" s="89">
        <f>ROUNDUP(O795+(O795*Assumptions!O$5),-2)</f>
        <v>1300</v>
      </c>
      <c r="Q795" s="9">
        <f>ROUNDUP(P795+(P795*Assumptions!P$5),-2)</f>
        <v>1400</v>
      </c>
      <c r="R795" s="9">
        <f>ROUNDUP(Q795+(Q795*Assumptions!Q$5),-2)</f>
        <v>1500</v>
      </c>
      <c r="S795" s="47">
        <f>ROUNDUP(R795+(R795*Assumptions!R$5),-2)</f>
        <v>1600</v>
      </c>
    </row>
    <row r="796" spans="1:19" ht="12.75" customHeight="1" x14ac:dyDescent="0.2">
      <c r="A796" s="54"/>
      <c r="B796" s="9"/>
      <c r="C796" s="9"/>
      <c r="D796" s="9"/>
      <c r="E796" s="9"/>
      <c r="F796" s="730"/>
      <c r="G796" s="912" t="s">
        <v>677</v>
      </c>
      <c r="H796" s="9"/>
      <c r="I796" s="85"/>
      <c r="J796" s="9"/>
      <c r="K796" s="9"/>
      <c r="L796" s="9"/>
      <c r="M796" s="9"/>
      <c r="N796" s="9"/>
      <c r="O796" s="9"/>
      <c r="P796" s="89"/>
      <c r="Q796" s="9"/>
      <c r="R796" s="9"/>
      <c r="S796" s="47"/>
    </row>
    <row r="797" spans="1:19" ht="12.75" customHeight="1" thickBot="1" x14ac:dyDescent="0.25">
      <c r="A797" s="54">
        <v>12000</v>
      </c>
      <c r="B797" s="9">
        <v>25000</v>
      </c>
      <c r="C797" s="89">
        <v>0</v>
      </c>
      <c r="D797" s="9">
        <v>0</v>
      </c>
      <c r="E797" s="9">
        <v>50000</v>
      </c>
      <c r="F797" s="240" t="s">
        <v>1355</v>
      </c>
      <c r="G797" s="662" t="s">
        <v>2251</v>
      </c>
      <c r="H797" s="9">
        <v>0</v>
      </c>
      <c r="I797" s="85">
        <f>IF(E797=H797,0,IF(E797=0,100,(H797-E797)/E797*100))</f>
        <v>-100</v>
      </c>
      <c r="J797" s="9">
        <f>ROUNDUP(H797+(H797*Assumptions!I$5),-2)</f>
        <v>0</v>
      </c>
      <c r="K797" s="9">
        <f>ROUNDUP(J797+(J797*Assumptions!J$5),-2)</f>
        <v>0</v>
      </c>
      <c r="L797" s="9">
        <f>ROUNDUP(K797+(K797*Assumptions!K$5),-2)</f>
        <v>0</v>
      </c>
      <c r="M797" s="9">
        <f>ROUNDUP(L797+(L797*Assumptions!L$5),-2)</f>
        <v>0</v>
      </c>
      <c r="N797" s="9">
        <f>ROUNDUP(M797+(M797*Assumptions!M$5),-2)</f>
        <v>0</v>
      </c>
      <c r="O797" s="9">
        <f>ROUNDUP(N797+(N797*Assumptions!N$5),-2)</f>
        <v>0</v>
      </c>
      <c r="P797" s="89">
        <f>ROUNDUP(O797+(O797*Assumptions!O$5),-2)</f>
        <v>0</v>
      </c>
      <c r="Q797" s="9">
        <f>ROUNDUP(P797+(P797*Assumptions!P$5),-2)</f>
        <v>0</v>
      </c>
      <c r="R797" s="9">
        <f>ROUNDUP(Q797+(Q797*Assumptions!Q$5),-2)</f>
        <v>0</v>
      </c>
      <c r="S797" s="47">
        <f>ROUNDUP(R797+(R797*Assumptions!R$5),-2)</f>
        <v>0</v>
      </c>
    </row>
    <row r="798" spans="1:19" ht="12.75" customHeight="1" x14ac:dyDescent="0.2">
      <c r="A798" s="52">
        <f>SUM(A783:A797)</f>
        <v>145700</v>
      </c>
      <c r="B798" s="102">
        <f>SUM(B783:B797)</f>
        <v>138600</v>
      </c>
      <c r="C798" s="16">
        <f>SUM(C783:C797)</f>
        <v>139700</v>
      </c>
      <c r="D798" s="16">
        <f>SUM(D783:D797)</f>
        <v>141600</v>
      </c>
      <c r="E798" s="16">
        <f>SUM(E783:E797)</f>
        <v>108300</v>
      </c>
      <c r="F798" s="240"/>
      <c r="G798" s="267" t="s">
        <v>2561</v>
      </c>
      <c r="H798" s="16">
        <f>SUM(H783:H797)</f>
        <v>60700</v>
      </c>
      <c r="I798" s="1425">
        <f>IF(E798=H798,0,IF(E798=0,100,(H798-E798)/E798*100))</f>
        <v>-43.951985226223456</v>
      </c>
      <c r="J798" s="16">
        <f t="shared" ref="J798:S798" si="518">SUM(J783:J797)</f>
        <v>150300</v>
      </c>
      <c r="K798" s="16">
        <f t="shared" si="518"/>
        <v>62200</v>
      </c>
      <c r="L798" s="16">
        <f t="shared" si="518"/>
        <v>64200</v>
      </c>
      <c r="M798" s="16">
        <f t="shared" si="518"/>
        <v>66200</v>
      </c>
      <c r="N798" s="16">
        <f t="shared" si="518"/>
        <v>68200</v>
      </c>
      <c r="O798" s="16">
        <f t="shared" si="518"/>
        <v>160200</v>
      </c>
      <c r="P798" s="102">
        <f t="shared" si="518"/>
        <v>72300</v>
      </c>
      <c r="Q798" s="16">
        <f t="shared" si="518"/>
        <v>74500</v>
      </c>
      <c r="R798" s="16">
        <f t="shared" si="518"/>
        <v>76800</v>
      </c>
      <c r="S798" s="2342">
        <f t="shared" si="518"/>
        <v>79200</v>
      </c>
    </row>
    <row r="799" spans="1:19" ht="12.75" customHeight="1" x14ac:dyDescent="0.2">
      <c r="A799" s="54"/>
      <c r="B799" s="89"/>
      <c r="C799" s="9"/>
      <c r="D799" s="9"/>
      <c r="E799" s="9"/>
      <c r="F799" s="240"/>
      <c r="G799" s="256" t="s">
        <v>2169</v>
      </c>
      <c r="H799" s="9"/>
      <c r="I799" s="85"/>
      <c r="J799" s="9"/>
      <c r="K799" s="9"/>
      <c r="L799" s="9"/>
      <c r="M799" s="9"/>
      <c r="N799" s="9"/>
      <c r="O799" s="9"/>
      <c r="P799" s="89"/>
      <c r="Q799" s="9"/>
      <c r="R799" s="9"/>
      <c r="S799" s="47"/>
    </row>
    <row r="800" spans="1:19" ht="12.75" customHeight="1" x14ac:dyDescent="0.2">
      <c r="A800" s="54"/>
      <c r="B800" s="89"/>
      <c r="C800" s="9"/>
      <c r="D800" s="9"/>
      <c r="E800" s="9"/>
      <c r="F800" s="240"/>
      <c r="G800" s="260" t="s">
        <v>1228</v>
      </c>
      <c r="H800" s="9"/>
      <c r="I800" s="85"/>
      <c r="J800" s="9"/>
      <c r="K800" s="9"/>
      <c r="L800" s="9"/>
      <c r="M800" s="9"/>
      <c r="N800" s="9"/>
      <c r="O800" s="9"/>
      <c r="P800" s="89"/>
      <c r="Q800" s="9"/>
      <c r="R800" s="9"/>
      <c r="S800" s="47"/>
    </row>
    <row r="801" spans="1:19" ht="12.75" customHeight="1" x14ac:dyDescent="0.2">
      <c r="A801" s="54">
        <v>220000</v>
      </c>
      <c r="B801" s="9">
        <v>235000</v>
      </c>
      <c r="C801" s="9">
        <v>250000</v>
      </c>
      <c r="D801" s="9">
        <v>268000</v>
      </c>
      <c r="E801" s="9">
        <v>246400</v>
      </c>
      <c r="F801" s="240" t="s">
        <v>2414</v>
      </c>
      <c r="G801" s="257" t="s">
        <v>1320</v>
      </c>
      <c r="H801" s="9">
        <v>250000</v>
      </c>
      <c r="I801" s="85">
        <f>IF(E801=H801,0,IF(E801=0,100,(H801-E801)/E801*100))</f>
        <v>1.4610389610389609</v>
      </c>
      <c r="J801" s="9">
        <v>256000</v>
      </c>
      <c r="K801" s="9">
        <f>ROUND((J801*Assumptions!J$13)+SP!J801,-2)</f>
        <v>261900</v>
      </c>
      <c r="L801" s="9">
        <f>ROUND((K801*Assumptions!K$13)+SP!K801,-2)</f>
        <v>267900</v>
      </c>
      <c r="M801" s="9">
        <f>ROUND((L801*Assumptions!L$13)+SP!L801,-2)</f>
        <v>274100</v>
      </c>
      <c r="N801" s="9">
        <f>ROUND((M801*Assumptions!M$13)+SP!M801,-2)</f>
        <v>280400</v>
      </c>
      <c r="O801" s="9">
        <f>ROUND((N801*Assumptions!N$13)+SP!N801,-2)</f>
        <v>286800</v>
      </c>
      <c r="P801" s="89">
        <f>ROUND((O801*Assumptions!O$13)+SP!O801,-2)</f>
        <v>293400</v>
      </c>
      <c r="Q801" s="9">
        <f>ROUND((P801*Assumptions!P$13)+SP!P801,-2)</f>
        <v>300100</v>
      </c>
      <c r="R801" s="9">
        <f>ROUND((Q801*Assumptions!Q$13)+SP!Q801,-2)</f>
        <v>307000</v>
      </c>
      <c r="S801" s="47">
        <f>ROUND((R801*Assumptions!R$13)+SP!R801,-2)</f>
        <v>314100</v>
      </c>
    </row>
    <row r="802" spans="1:19" ht="12.75" customHeight="1" x14ac:dyDescent="0.2">
      <c r="A802" s="54">
        <v>200</v>
      </c>
      <c r="B802" s="9">
        <v>0</v>
      </c>
      <c r="C802" s="9">
        <v>0</v>
      </c>
      <c r="D802" s="9">
        <v>0</v>
      </c>
      <c r="E802" s="9">
        <v>0</v>
      </c>
      <c r="F802" s="240" t="s">
        <v>1942</v>
      </c>
      <c r="G802" s="257" t="s">
        <v>710</v>
      </c>
      <c r="H802" s="9">
        <v>1200</v>
      </c>
      <c r="I802" s="85">
        <f>IF(E802=H802,0,IF(E802=0,100,(H802-E802)/E802*100))</f>
        <v>100</v>
      </c>
      <c r="J802" s="9">
        <v>1300</v>
      </c>
      <c r="K802" s="9">
        <f>ROUNDUP(J802+(J802*Assumptions!J$5),-2)</f>
        <v>1400</v>
      </c>
      <c r="L802" s="9">
        <f>ROUNDUP(K802+(K802*Assumptions!K$5),-2)</f>
        <v>1500</v>
      </c>
      <c r="M802" s="9">
        <f>ROUNDUP(L802+(L802*Assumptions!L$5),-2)</f>
        <v>1600</v>
      </c>
      <c r="N802" s="9">
        <f>ROUNDUP(M802+(M802*Assumptions!M$5),-2)</f>
        <v>1700</v>
      </c>
      <c r="O802" s="9">
        <f>ROUNDUP(N802+(N802*Assumptions!N$5),-2)</f>
        <v>1800</v>
      </c>
      <c r="P802" s="89">
        <f>ROUNDUP(O802+(O802*Assumptions!O$5),-2)</f>
        <v>1900</v>
      </c>
      <c r="Q802" s="9">
        <f>ROUNDUP(P802+(P802*Assumptions!P$5),-2)</f>
        <v>2000</v>
      </c>
      <c r="R802" s="9">
        <f>ROUNDUP(Q802+(Q802*Assumptions!Q$5),-2)</f>
        <v>2100</v>
      </c>
      <c r="S802" s="47">
        <f>ROUNDUP(R802+(R802*Assumptions!R$5),-2)</f>
        <v>2200</v>
      </c>
    </row>
    <row r="803" spans="1:19" ht="12.75" customHeight="1" x14ac:dyDescent="0.2">
      <c r="A803" s="54">
        <v>2700</v>
      </c>
      <c r="B803" s="9">
        <v>3300</v>
      </c>
      <c r="C803" s="9">
        <v>1300</v>
      </c>
      <c r="D803" s="9">
        <v>5600</v>
      </c>
      <c r="E803" s="9">
        <v>2200</v>
      </c>
      <c r="F803" s="240" t="s">
        <v>1542</v>
      </c>
      <c r="G803" s="257" t="s">
        <v>1889</v>
      </c>
      <c r="H803" s="9">
        <v>4000</v>
      </c>
      <c r="I803" s="85">
        <f>IF(E803=H803,0,IF(E803=0,100,(H803-E803)/E803*100))</f>
        <v>81.818181818181827</v>
      </c>
      <c r="J803" s="9">
        <v>4000</v>
      </c>
      <c r="K803" s="9">
        <f>ROUNDUP(J803+(J803*Assumptions!J$5),-2)</f>
        <v>4100</v>
      </c>
      <c r="L803" s="9">
        <f>ROUNDUP(K803+(K803*Assumptions!K$5),-2)</f>
        <v>4300</v>
      </c>
      <c r="M803" s="9">
        <f>ROUNDUP(L803+(L803*Assumptions!L$5),-2)</f>
        <v>4500</v>
      </c>
      <c r="N803" s="9">
        <f>ROUNDUP(M803+(M803*Assumptions!M$5),-2)</f>
        <v>4700</v>
      </c>
      <c r="O803" s="9">
        <f>ROUNDUP(N803+(N803*Assumptions!N$5),-2)</f>
        <v>4900</v>
      </c>
      <c r="P803" s="89">
        <f>ROUNDUP(O803+(O803*Assumptions!O$5),-2)</f>
        <v>5100</v>
      </c>
      <c r="Q803" s="9">
        <f>ROUNDUP(P803+(P803*Assumptions!P$5),-2)</f>
        <v>5300</v>
      </c>
      <c r="R803" s="9">
        <f>ROUNDUP(Q803+(Q803*Assumptions!Q$5),-2)</f>
        <v>5500</v>
      </c>
      <c r="S803" s="47">
        <f>ROUNDUP(R803+(R803*Assumptions!R$5),-2)</f>
        <v>5700</v>
      </c>
    </row>
    <row r="804" spans="1:19" ht="12.75" customHeight="1" x14ac:dyDescent="0.2">
      <c r="A804" s="54"/>
      <c r="B804" s="89"/>
      <c r="C804" s="9"/>
      <c r="D804" s="9"/>
      <c r="E804" s="9"/>
      <c r="F804" s="240"/>
      <c r="G804" s="260" t="s">
        <v>1856</v>
      </c>
      <c r="H804" s="9"/>
      <c r="I804" s="85"/>
      <c r="J804" s="9"/>
      <c r="K804" s="9"/>
      <c r="L804" s="9"/>
      <c r="M804" s="9"/>
      <c r="N804" s="9"/>
      <c r="O804" s="9"/>
      <c r="P804" s="89"/>
      <c r="Q804" s="9"/>
      <c r="R804" s="9"/>
      <c r="S804" s="47"/>
    </row>
    <row r="805" spans="1:19" ht="12.75" customHeight="1" x14ac:dyDescent="0.2">
      <c r="A805" s="54">
        <v>0</v>
      </c>
      <c r="B805" s="9">
        <v>0</v>
      </c>
      <c r="C805" s="9">
        <v>0</v>
      </c>
      <c r="D805" s="9">
        <v>89600</v>
      </c>
      <c r="E805" s="9">
        <v>0</v>
      </c>
      <c r="F805" s="577" t="s">
        <v>5795</v>
      </c>
      <c r="G805" s="634" t="s">
        <v>5796</v>
      </c>
      <c r="H805" s="9">
        <f>H791</f>
        <v>0</v>
      </c>
      <c r="I805" s="85">
        <f>IF(E805=H805,0,IF(E805=0,100,(H805-E805)/E805*100))</f>
        <v>0</v>
      </c>
      <c r="J805" s="9">
        <f t="shared" ref="J805:S805" si="519">J791</f>
        <v>90000</v>
      </c>
      <c r="K805" s="9">
        <f t="shared" si="519"/>
        <v>0</v>
      </c>
      <c r="L805" s="9">
        <f t="shared" si="519"/>
        <v>0</v>
      </c>
      <c r="M805" s="9">
        <f t="shared" si="519"/>
        <v>0</v>
      </c>
      <c r="N805" s="9">
        <f t="shared" si="519"/>
        <v>0</v>
      </c>
      <c r="O805" s="9">
        <f t="shared" si="519"/>
        <v>90000</v>
      </c>
      <c r="P805" s="89">
        <f t="shared" si="519"/>
        <v>0</v>
      </c>
      <c r="Q805" s="9">
        <f t="shared" si="519"/>
        <v>0</v>
      </c>
      <c r="R805" s="9">
        <f t="shared" si="519"/>
        <v>0</v>
      </c>
      <c r="S805" s="47">
        <f t="shared" si="519"/>
        <v>0</v>
      </c>
    </row>
    <row r="806" spans="1:19" ht="12.75" customHeight="1" x14ac:dyDescent="0.2">
      <c r="A806" s="54">
        <v>13700</v>
      </c>
      <c r="B806" s="9">
        <v>16200</v>
      </c>
      <c r="C806" s="9">
        <v>16800</v>
      </c>
      <c r="D806" s="9">
        <v>25300</v>
      </c>
      <c r="E806" s="9">
        <v>14900</v>
      </c>
      <c r="F806" s="240" t="s">
        <v>2122</v>
      </c>
      <c r="G806" s="634" t="s">
        <v>3016</v>
      </c>
      <c r="H806" s="9">
        <v>24000</v>
      </c>
      <c r="I806" s="85">
        <f>IF(E806=H806,0,IF(E806=0,100,(H806-E806)/E806*100))</f>
        <v>61.073825503355707</v>
      </c>
      <c r="J806" s="9">
        <v>2000</v>
      </c>
      <c r="K806" s="9">
        <f>ROUNDUP(J806+(J806*Assumptions!J$5),-2)</f>
        <v>2100</v>
      </c>
      <c r="L806" s="9">
        <f>ROUNDUP(K806+(K806*Assumptions!K$5),-2)</f>
        <v>2200</v>
      </c>
      <c r="M806" s="9">
        <f>ROUNDUP(L806+(L806*Assumptions!L$5),-2)</f>
        <v>2300</v>
      </c>
      <c r="N806" s="9">
        <f>ROUNDUP(M806+(M806*Assumptions!M$5),-2)</f>
        <v>2400</v>
      </c>
      <c r="O806" s="9">
        <f>ROUNDUP(N806+(N806*Assumptions!N$5),-2)</f>
        <v>2500</v>
      </c>
      <c r="P806" s="89">
        <f>ROUNDUP(O806+(O806*Assumptions!O$5),-2)</f>
        <v>2600</v>
      </c>
      <c r="Q806" s="9">
        <f>ROUNDUP(P806+(P806*Assumptions!P$5),-2)</f>
        <v>2700</v>
      </c>
      <c r="R806" s="9">
        <f>ROUNDUP(Q806+(Q806*Assumptions!Q$5),-2)</f>
        <v>2800</v>
      </c>
      <c r="S806" s="47">
        <f>ROUNDUP(R806+(R806*Assumptions!R$5),-2)</f>
        <v>2900</v>
      </c>
    </row>
    <row r="807" spans="1:19" ht="12.75" customHeight="1" x14ac:dyDescent="0.2">
      <c r="A807" s="54">
        <v>2200</v>
      </c>
      <c r="B807" s="9">
        <v>2500</v>
      </c>
      <c r="C807" s="9">
        <v>1600</v>
      </c>
      <c r="D807" s="9">
        <v>2400</v>
      </c>
      <c r="E807" s="9">
        <v>2200</v>
      </c>
      <c r="F807" s="240" t="s">
        <v>25</v>
      </c>
      <c r="G807" s="257" t="s">
        <v>397</v>
      </c>
      <c r="H807" s="9">
        <v>3000</v>
      </c>
      <c r="I807" s="85">
        <f>IF(E807=H807,0,IF(E807=0,100,(H807-E807)/E807*100))</f>
        <v>36.363636363636367</v>
      </c>
      <c r="J807" s="9">
        <v>3000</v>
      </c>
      <c r="K807" s="9">
        <f>ROUNDUP(J807+(J807*Assumptions!J$5),-2)</f>
        <v>3100</v>
      </c>
      <c r="L807" s="9">
        <f>ROUNDUP(K807+(K807*Assumptions!K$5),-2)</f>
        <v>3200</v>
      </c>
      <c r="M807" s="9">
        <f>ROUNDUP(L807+(L807*Assumptions!L$5),-2)</f>
        <v>3300</v>
      </c>
      <c r="N807" s="9">
        <f>ROUNDUP(M807+(M807*Assumptions!M$5),-2)</f>
        <v>3400</v>
      </c>
      <c r="O807" s="9">
        <f>ROUNDUP(N807+(N807*Assumptions!N$5),-2)</f>
        <v>3500</v>
      </c>
      <c r="P807" s="89">
        <f>ROUNDUP(O807+(O807*Assumptions!O$5),-2)</f>
        <v>3600</v>
      </c>
      <c r="Q807" s="9">
        <f>ROUNDUP(P807+(P807*Assumptions!P$5),-2)</f>
        <v>3700</v>
      </c>
      <c r="R807" s="9">
        <f>ROUNDUP(Q807+(Q807*Assumptions!Q$5),-2)</f>
        <v>3800</v>
      </c>
      <c r="S807" s="47">
        <f>ROUNDUP(R807+(R807*Assumptions!R$5),-2)</f>
        <v>3900</v>
      </c>
    </row>
    <row r="808" spans="1:19" ht="12.75" customHeight="1" x14ac:dyDescent="0.2">
      <c r="A808" s="54">
        <v>800</v>
      </c>
      <c r="B808" s="89">
        <v>0</v>
      </c>
      <c r="C808" s="9">
        <v>1300</v>
      </c>
      <c r="D808" s="9">
        <v>500</v>
      </c>
      <c r="E808" s="9">
        <v>0</v>
      </c>
      <c r="F808" s="577" t="s">
        <v>2961</v>
      </c>
      <c r="G808" s="634" t="s">
        <v>3017</v>
      </c>
      <c r="H808" s="9">
        <v>0</v>
      </c>
      <c r="I808" s="85">
        <f>IF(E808=H808,0,IF(E808=0,100,(H808-E808)/E808*100))</f>
        <v>0</v>
      </c>
      <c r="J808" s="9">
        <v>0</v>
      </c>
      <c r="K808" s="9">
        <f>ROUNDUP(J808+(J808*Assumptions!J$5),-2)</f>
        <v>0</v>
      </c>
      <c r="L808" s="9">
        <f>ROUNDUP(K808+(K808*Assumptions!K$5),-2)</f>
        <v>0</v>
      </c>
      <c r="M808" s="9">
        <f>ROUNDUP(L808+(L808*Assumptions!L$5),-2)</f>
        <v>0</v>
      </c>
      <c r="N808" s="9">
        <f>ROUNDUP(M808+(M808*Assumptions!M$5),-2)</f>
        <v>0</v>
      </c>
      <c r="O808" s="9">
        <f>ROUNDUP(N808+(N808*Assumptions!N$5),-2)</f>
        <v>0</v>
      </c>
      <c r="P808" s="89">
        <f>ROUNDUP(O808+(O808*Assumptions!O$5),-2)</f>
        <v>0</v>
      </c>
      <c r="Q808" s="9">
        <f>ROUNDUP(P808+(P808*Assumptions!P$5),-2)</f>
        <v>0</v>
      </c>
      <c r="R808" s="9">
        <f>ROUNDUP(Q808+(Q808*Assumptions!Q$5),-2)</f>
        <v>0</v>
      </c>
      <c r="S808" s="47">
        <f>ROUNDUP(R808+(R808*Assumptions!R$5),-2)</f>
        <v>0</v>
      </c>
    </row>
    <row r="809" spans="1:19" ht="12.75" customHeight="1" x14ac:dyDescent="0.2">
      <c r="A809" s="54"/>
      <c r="B809" s="89"/>
      <c r="C809" s="9"/>
      <c r="D809" s="9"/>
      <c r="E809" s="9"/>
      <c r="F809" s="240"/>
      <c r="G809" s="260" t="s">
        <v>658</v>
      </c>
      <c r="H809" s="9"/>
      <c r="I809" s="85"/>
      <c r="J809" s="9"/>
      <c r="K809" s="9"/>
      <c r="L809" s="9"/>
      <c r="M809" s="9"/>
      <c r="N809" s="9"/>
      <c r="O809" s="9"/>
      <c r="P809" s="89"/>
      <c r="Q809" s="9"/>
      <c r="R809" s="9"/>
      <c r="S809" s="47"/>
    </row>
    <row r="810" spans="1:19" ht="12.75" customHeight="1" x14ac:dyDescent="0.2">
      <c r="A810" s="54">
        <v>11000</v>
      </c>
      <c r="B810" s="9">
        <v>7500</v>
      </c>
      <c r="C810" s="9">
        <v>5200</v>
      </c>
      <c r="D810" s="9">
        <v>11600</v>
      </c>
      <c r="E810" s="9">
        <v>11700</v>
      </c>
      <c r="F810" s="240" t="s">
        <v>2456</v>
      </c>
      <c r="G810" s="634" t="s">
        <v>638</v>
      </c>
      <c r="H810" s="9">
        <v>10500</v>
      </c>
      <c r="I810" s="85">
        <f>IF(E810=H810,0,IF(E810=0,100,(H810-E810)/E810*100))</f>
        <v>-10.256410256410255</v>
      </c>
      <c r="J810" s="9">
        <v>11000</v>
      </c>
      <c r="K810" s="9">
        <f>ROUNDUP(J810+(J810*Assumptions!J$5),-2)</f>
        <v>11300</v>
      </c>
      <c r="L810" s="9">
        <f>ROUNDUP(K810+(K810*Assumptions!K$5),-2)</f>
        <v>11600</v>
      </c>
      <c r="M810" s="9">
        <f>ROUNDUP(L810+(L810*Assumptions!L$5),-2)</f>
        <v>11900</v>
      </c>
      <c r="N810" s="9">
        <f>ROUNDUP(M810+(M810*Assumptions!M$5),-2)</f>
        <v>12200</v>
      </c>
      <c r="O810" s="9">
        <f>ROUNDUP(N810+(N810*Assumptions!N$5),-2)</f>
        <v>12600</v>
      </c>
      <c r="P810" s="89">
        <f>ROUNDUP(O810+(O810*Assumptions!O$5),-2)</f>
        <v>13000</v>
      </c>
      <c r="Q810" s="9">
        <f>ROUNDUP(P810+(P810*Assumptions!P$5),-2)</f>
        <v>13400</v>
      </c>
      <c r="R810" s="9">
        <f>ROUNDUP(Q810+(Q810*Assumptions!Q$5),-2)</f>
        <v>13800</v>
      </c>
      <c r="S810" s="47">
        <f>ROUNDUP(R810+(R810*Assumptions!R$5),-2)</f>
        <v>14200</v>
      </c>
    </row>
    <row r="811" spans="1:19" ht="12.75" customHeight="1" x14ac:dyDescent="0.2">
      <c r="A811" s="54">
        <v>11200</v>
      </c>
      <c r="B811" s="9">
        <v>9900</v>
      </c>
      <c r="C811" s="9">
        <v>7100</v>
      </c>
      <c r="D811" s="9">
        <v>8100</v>
      </c>
      <c r="E811" s="9">
        <v>8300</v>
      </c>
      <c r="F811" s="240" t="s">
        <v>2457</v>
      </c>
      <c r="G811" s="257" t="s">
        <v>1004</v>
      </c>
      <c r="H811" s="9">
        <v>8500</v>
      </c>
      <c r="I811" s="85">
        <f>IF(E811=H811,0,IF(E811=0,100,(H811-E811)/E811*100))</f>
        <v>2.4096385542168677</v>
      </c>
      <c r="J811" s="9">
        <v>8800</v>
      </c>
      <c r="K811" s="9">
        <f>ROUNDUP(J811+(J811*Assumptions!J$5),-2)</f>
        <v>9100</v>
      </c>
      <c r="L811" s="9">
        <f>ROUNDUP(K811+(K811*Assumptions!K$5),-2)</f>
        <v>9400</v>
      </c>
      <c r="M811" s="9">
        <f>ROUNDUP(L811+(L811*Assumptions!L$5),-2)</f>
        <v>9700</v>
      </c>
      <c r="N811" s="9">
        <f>ROUNDUP(M811+(M811*Assumptions!M$5),-2)</f>
        <v>10000</v>
      </c>
      <c r="O811" s="9">
        <f>ROUNDUP(N811+(N811*Assumptions!N$5),-2)</f>
        <v>10300</v>
      </c>
      <c r="P811" s="89">
        <f>ROUNDUP(O811+(O811*Assumptions!O$5),-2)</f>
        <v>10600</v>
      </c>
      <c r="Q811" s="9">
        <f>ROUNDUP(P811+(P811*Assumptions!P$5),-2)</f>
        <v>10900</v>
      </c>
      <c r="R811" s="9">
        <f>ROUNDUP(Q811+(Q811*Assumptions!Q$5),-2)</f>
        <v>11200</v>
      </c>
      <c r="S811" s="47">
        <f>ROUNDUP(R811+(R811*Assumptions!R$5),-2)</f>
        <v>11500</v>
      </c>
    </row>
    <row r="812" spans="1:19" ht="12.75" customHeight="1" x14ac:dyDescent="0.2">
      <c r="A812" s="54">
        <v>6800</v>
      </c>
      <c r="B812" s="9">
        <v>7600</v>
      </c>
      <c r="C812" s="9">
        <v>5300</v>
      </c>
      <c r="D812" s="9">
        <v>3900</v>
      </c>
      <c r="E812" s="9">
        <v>4100</v>
      </c>
      <c r="F812" s="240" t="s">
        <v>2459</v>
      </c>
      <c r="G812" s="257" t="s">
        <v>930</v>
      </c>
      <c r="H812" s="9">
        <v>4500</v>
      </c>
      <c r="I812" s="85">
        <f>IF(E812=H812,0,IF(E812=0,100,(H812-E812)/E812*100))</f>
        <v>9.7560975609756095</v>
      </c>
      <c r="J812" s="9">
        <v>4500</v>
      </c>
      <c r="K812" s="9">
        <f>ROUNDUP(J812+(J812*Assumptions!J$5),-2)</f>
        <v>4700</v>
      </c>
      <c r="L812" s="9">
        <f>ROUNDUP(K812+(K812*Assumptions!K$5),-2)</f>
        <v>4900</v>
      </c>
      <c r="M812" s="9">
        <f>ROUNDUP(L812+(L812*Assumptions!L$5),-2)</f>
        <v>5100</v>
      </c>
      <c r="N812" s="9">
        <f>ROUNDUP(M812+(M812*Assumptions!M$5),-2)</f>
        <v>5300</v>
      </c>
      <c r="O812" s="9">
        <f>ROUNDUP(N812+(N812*Assumptions!N$5),-2)</f>
        <v>5500</v>
      </c>
      <c r="P812" s="89">
        <f>ROUNDUP(O812+(O812*Assumptions!O$5),-2)</f>
        <v>5700</v>
      </c>
      <c r="Q812" s="9">
        <f>ROUNDUP(P812+(P812*Assumptions!P$5),-2)</f>
        <v>5900</v>
      </c>
      <c r="R812" s="9">
        <f>ROUNDUP(Q812+(Q812*Assumptions!Q$5),-2)</f>
        <v>6100</v>
      </c>
      <c r="S812" s="47">
        <f>ROUNDUP(R812+(R812*Assumptions!R$5),-2)</f>
        <v>6300</v>
      </c>
    </row>
    <row r="813" spans="1:19" ht="12.75" customHeight="1" x14ac:dyDescent="0.2">
      <c r="A813" s="54">
        <v>900</v>
      </c>
      <c r="B813" s="9">
        <v>900</v>
      </c>
      <c r="C813" s="9">
        <v>1000</v>
      </c>
      <c r="D813" s="9">
        <v>1600</v>
      </c>
      <c r="E813" s="9">
        <v>1000</v>
      </c>
      <c r="F813" s="240" t="s">
        <v>2461</v>
      </c>
      <c r="G813" s="257" t="s">
        <v>597</v>
      </c>
      <c r="H813" s="9">
        <v>1000</v>
      </c>
      <c r="I813" s="85">
        <f>IF(E813=H813,0,IF(E813=0,100,(H813-E813)/E813*100))</f>
        <v>0</v>
      </c>
      <c r="J813" s="9">
        <v>1000</v>
      </c>
      <c r="K813" s="9">
        <f>ROUNDUP(J813+(J813*Assumptions!J$5),-2)</f>
        <v>1100</v>
      </c>
      <c r="L813" s="9">
        <f>ROUNDUP(K813+(K813*Assumptions!K$5),-2)</f>
        <v>1200</v>
      </c>
      <c r="M813" s="9">
        <f>ROUNDUP(L813+(L813*Assumptions!L$5),-2)</f>
        <v>1300</v>
      </c>
      <c r="N813" s="9">
        <f>ROUNDUP(M813+(M813*Assumptions!M$5),-2)</f>
        <v>1400</v>
      </c>
      <c r="O813" s="9">
        <f>ROUNDUP(N813+(N813*Assumptions!N$5),-2)</f>
        <v>1500</v>
      </c>
      <c r="P813" s="89">
        <f>ROUNDUP(O813+(O813*Assumptions!O$5),-2)</f>
        <v>1600</v>
      </c>
      <c r="Q813" s="9">
        <f>ROUNDUP(P813+(P813*Assumptions!P$5),-2)</f>
        <v>1700</v>
      </c>
      <c r="R813" s="9">
        <f>ROUNDUP(Q813+(Q813*Assumptions!Q$5),-2)</f>
        <v>1800</v>
      </c>
      <c r="S813" s="47">
        <f>ROUNDUP(R813+(R813*Assumptions!R$5),-2)</f>
        <v>1900</v>
      </c>
    </row>
    <row r="814" spans="1:19" ht="12.75" customHeight="1" x14ac:dyDescent="0.2">
      <c r="A814" s="54">
        <v>0</v>
      </c>
      <c r="B814" s="9">
        <v>0</v>
      </c>
      <c r="C814" s="9">
        <v>0</v>
      </c>
      <c r="D814" s="9">
        <v>0</v>
      </c>
      <c r="E814" s="9">
        <v>55000</v>
      </c>
      <c r="F814" s="577" t="s">
        <v>11653</v>
      </c>
      <c r="G814" s="634" t="s">
        <v>11796</v>
      </c>
      <c r="H814" s="9">
        <v>0</v>
      </c>
      <c r="I814" s="85">
        <f>IF(E814=H814,0,IF(E814=0,100,(H814-E814)/E814*100))</f>
        <v>-100</v>
      </c>
      <c r="J814" s="9">
        <v>0</v>
      </c>
      <c r="K814" s="9">
        <f>ROUNDUP(J814+(J814*Assumptions!J$5),-2)</f>
        <v>0</v>
      </c>
      <c r="L814" s="9">
        <f>ROUNDUP(K814+(K814*Assumptions!K$5),-2)</f>
        <v>0</v>
      </c>
      <c r="M814" s="9">
        <f>ROUNDUP(L814+(L814*Assumptions!L$5),-2)</f>
        <v>0</v>
      </c>
      <c r="N814" s="9">
        <f>ROUNDUP(M814+(M814*Assumptions!M$5),-2)</f>
        <v>0</v>
      </c>
      <c r="O814" s="9">
        <f>ROUNDUP(N814+(N814*Assumptions!N$5),-2)</f>
        <v>0</v>
      </c>
      <c r="P814" s="89">
        <f>ROUNDUP(O814+(O814*Assumptions!O$5),-2)</f>
        <v>0</v>
      </c>
      <c r="Q814" s="9">
        <f>ROUNDUP(P814+(P814*Assumptions!P$5),-2)</f>
        <v>0</v>
      </c>
      <c r="R814" s="9">
        <f>ROUNDUP(Q814+(Q814*Assumptions!Q$5),-2)</f>
        <v>0</v>
      </c>
      <c r="S814" s="47">
        <f>ROUNDUP(R814+(R814*Assumptions!R$5),-2)</f>
        <v>0</v>
      </c>
    </row>
    <row r="815" spans="1:19" ht="12.75" customHeight="1" x14ac:dyDescent="0.2">
      <c r="A815" s="54">
        <v>2200</v>
      </c>
      <c r="B815" s="9">
        <v>2500</v>
      </c>
      <c r="C815" s="9">
        <v>2000</v>
      </c>
      <c r="D815" s="9">
        <v>1900</v>
      </c>
      <c r="E815" s="9">
        <v>1800</v>
      </c>
      <c r="F815" s="240" t="s">
        <v>2458</v>
      </c>
      <c r="G815" s="257" t="s">
        <v>2724</v>
      </c>
      <c r="H815" s="9">
        <f>2000-500</f>
        <v>1500</v>
      </c>
      <c r="I815" s="85">
        <f t="shared" ref="I815:I823" si="520">IF(E815=H815,0,IF(E815=0,100,(H815-E815)/E815*100))</f>
        <v>-16.666666666666664</v>
      </c>
      <c r="J815" s="9">
        <v>1200</v>
      </c>
      <c r="K815" s="9">
        <f>ROUNDUP(J815+(J815*Assumptions!J$5),-2)</f>
        <v>1300</v>
      </c>
      <c r="L815" s="9">
        <f>ROUNDUP(K815+(K815*Assumptions!K$5),-2)</f>
        <v>1400</v>
      </c>
      <c r="M815" s="9">
        <f>ROUNDUP(L815+(L815*Assumptions!L$5),-2)</f>
        <v>1500</v>
      </c>
      <c r="N815" s="9">
        <f>ROUNDUP(M815+(M815*Assumptions!M$5),-2)</f>
        <v>1600</v>
      </c>
      <c r="O815" s="9">
        <f>ROUNDUP(N815+(N815*Assumptions!N$5),-2)</f>
        <v>1700</v>
      </c>
      <c r="P815" s="89">
        <f>ROUNDUP(O815+(O815*Assumptions!O$5),-2)</f>
        <v>1800</v>
      </c>
      <c r="Q815" s="9">
        <f>ROUNDUP(P815+(P815*Assumptions!P$5),-2)</f>
        <v>1900</v>
      </c>
      <c r="R815" s="9">
        <f>ROUNDUP(Q815+(Q815*Assumptions!Q$5),-2)</f>
        <v>2000</v>
      </c>
      <c r="S815" s="47">
        <f>ROUNDUP(R815+(R815*Assumptions!R$5),-2)</f>
        <v>2100</v>
      </c>
    </row>
    <row r="816" spans="1:19" ht="12.75" customHeight="1" x14ac:dyDescent="0.2">
      <c r="A816" s="54">
        <v>2200</v>
      </c>
      <c r="B816" s="9">
        <v>2400</v>
      </c>
      <c r="C816" s="9">
        <v>2700</v>
      </c>
      <c r="D816" s="9">
        <v>2800</v>
      </c>
      <c r="E816" s="9">
        <v>900</v>
      </c>
      <c r="F816" s="240" t="s">
        <v>1854</v>
      </c>
      <c r="G816" s="257" t="s">
        <v>1296</v>
      </c>
      <c r="H816" s="9">
        <v>2700</v>
      </c>
      <c r="I816" s="85">
        <f t="shared" si="520"/>
        <v>200</v>
      </c>
      <c r="J816" s="9">
        <v>2800</v>
      </c>
      <c r="K816" s="9">
        <f>ROUNDUP(J816+(J816*Assumptions!J$5),-2)</f>
        <v>2900</v>
      </c>
      <c r="L816" s="9">
        <f>ROUNDUP(K816+(K816*Assumptions!K$5),-2)</f>
        <v>3000</v>
      </c>
      <c r="M816" s="9">
        <f>ROUNDUP(L816+(L816*Assumptions!L$5),-2)</f>
        <v>3100</v>
      </c>
      <c r="N816" s="9">
        <f>ROUNDUP(M816+(M816*Assumptions!M$5),-2)</f>
        <v>3200</v>
      </c>
      <c r="O816" s="9">
        <f>ROUNDUP(N816+(N816*Assumptions!N$5),-2)</f>
        <v>3300</v>
      </c>
      <c r="P816" s="89">
        <f>ROUNDUP(O816+(O816*Assumptions!O$5),-2)</f>
        <v>3400</v>
      </c>
      <c r="Q816" s="9">
        <f>ROUNDUP(P816+(P816*Assumptions!P$5),-2)</f>
        <v>3500</v>
      </c>
      <c r="R816" s="9">
        <f>ROUNDUP(Q816+(Q816*Assumptions!Q$5),-2)</f>
        <v>3600</v>
      </c>
      <c r="S816" s="47">
        <f>ROUNDUP(R816+(R816*Assumptions!R$5),-2)</f>
        <v>3700</v>
      </c>
    </row>
    <row r="817" spans="1:19" ht="12.75" customHeight="1" x14ac:dyDescent="0.2">
      <c r="A817" s="54">
        <v>2500</v>
      </c>
      <c r="B817" s="9">
        <v>2700</v>
      </c>
      <c r="C817" s="9">
        <v>2100</v>
      </c>
      <c r="D817" s="9">
        <v>2200</v>
      </c>
      <c r="E817" s="9">
        <v>10100</v>
      </c>
      <c r="F817" s="240" t="s">
        <v>26</v>
      </c>
      <c r="G817" s="257" t="s">
        <v>2157</v>
      </c>
      <c r="H817" s="9">
        <v>3000</v>
      </c>
      <c r="I817" s="85">
        <f t="shared" si="520"/>
        <v>-70.297029702970292</v>
      </c>
      <c r="J817" s="9">
        <v>3200</v>
      </c>
      <c r="K817" s="9">
        <f>ROUNDUP(J817+(J817*Assumptions!J$5),-2)</f>
        <v>3300</v>
      </c>
      <c r="L817" s="9">
        <f>ROUNDUP(K817+(K817*Assumptions!K$5),-2)</f>
        <v>3400</v>
      </c>
      <c r="M817" s="9">
        <f>ROUNDUP(L817+(L817*Assumptions!L$5),-2)</f>
        <v>3500</v>
      </c>
      <c r="N817" s="9">
        <f>ROUNDUP(M817+(M817*Assumptions!M$5),-2)</f>
        <v>3600</v>
      </c>
      <c r="O817" s="9">
        <f>ROUNDUP(N817+(N817*Assumptions!N$5),-2)</f>
        <v>3700</v>
      </c>
      <c r="P817" s="89">
        <f>ROUNDUP(O817+(O817*Assumptions!O$5),-2)</f>
        <v>3800</v>
      </c>
      <c r="Q817" s="9">
        <f>ROUNDUP(P817+(P817*Assumptions!P$5),-2)</f>
        <v>3900</v>
      </c>
      <c r="R817" s="9">
        <f>ROUNDUP(Q817+(Q817*Assumptions!Q$5),-2)</f>
        <v>4000</v>
      </c>
      <c r="S817" s="47">
        <f>ROUNDUP(R817+(R817*Assumptions!R$5),-2)</f>
        <v>4100</v>
      </c>
    </row>
    <row r="818" spans="1:19" ht="12.75" customHeight="1" x14ac:dyDescent="0.2">
      <c r="A818" s="54">
        <v>7900</v>
      </c>
      <c r="B818" s="9">
        <v>8200</v>
      </c>
      <c r="C818" s="9">
        <v>8500</v>
      </c>
      <c r="D818" s="9">
        <v>8700</v>
      </c>
      <c r="E818" s="9">
        <v>11800</v>
      </c>
      <c r="F818" s="240" t="s">
        <v>1341</v>
      </c>
      <c r="G818" s="257" t="s">
        <v>711</v>
      </c>
      <c r="H818" s="9">
        <v>9700</v>
      </c>
      <c r="I818" s="85">
        <f t="shared" si="520"/>
        <v>-17.796610169491526</v>
      </c>
      <c r="J818" s="9">
        <f>ROUNDUP(H818+(H818*Assumptions!I$5),-2)</f>
        <v>10000</v>
      </c>
      <c r="K818" s="9">
        <f>ROUNDUP(J818+(J818*Assumptions!J$5),-2)</f>
        <v>10300</v>
      </c>
      <c r="L818" s="9">
        <f>ROUNDUP(K818+(K818*Assumptions!K$5),-2)</f>
        <v>10600</v>
      </c>
      <c r="M818" s="9">
        <f>ROUNDUP(L818+(L818*Assumptions!L$5),-2)</f>
        <v>10900</v>
      </c>
      <c r="N818" s="9">
        <f>ROUNDUP(M818+(M818*Assumptions!M$5),-2)</f>
        <v>11200</v>
      </c>
      <c r="O818" s="9">
        <f>ROUNDUP(N818+(N818*Assumptions!N$5),-2)</f>
        <v>11500</v>
      </c>
      <c r="P818" s="89">
        <f>ROUNDUP(O818+(O818*Assumptions!O$5),-2)</f>
        <v>11800</v>
      </c>
      <c r="Q818" s="9">
        <f>ROUNDUP(P818+(P818*Assumptions!P$5),-2)</f>
        <v>12100</v>
      </c>
      <c r="R818" s="9">
        <f>ROUNDUP(Q818+(Q818*Assumptions!Q$5),-2)</f>
        <v>12500</v>
      </c>
      <c r="S818" s="47">
        <f>ROUNDUP(R818+(R818*Assumptions!R$5),-2)</f>
        <v>12900</v>
      </c>
    </row>
    <row r="819" spans="1:19" ht="12.75" customHeight="1" x14ac:dyDescent="0.2">
      <c r="A819" s="54">
        <v>3100</v>
      </c>
      <c r="B819" s="9">
        <v>900</v>
      </c>
      <c r="C819" s="9">
        <v>6000</v>
      </c>
      <c r="D819" s="9">
        <v>12600</v>
      </c>
      <c r="E819" s="9">
        <v>4300</v>
      </c>
      <c r="F819" s="240" t="s">
        <v>2267</v>
      </c>
      <c r="G819" s="257" t="s">
        <v>554</v>
      </c>
      <c r="H819" s="9">
        <v>4100</v>
      </c>
      <c r="I819" s="85">
        <f t="shared" si="520"/>
        <v>-4.6511627906976747</v>
      </c>
      <c r="J819" s="9">
        <v>4500</v>
      </c>
      <c r="K819" s="9">
        <f>ROUNDUP(J819+(J819*Assumptions!J$5),-2)</f>
        <v>4700</v>
      </c>
      <c r="L819" s="9">
        <f>ROUNDUP(K819+(K819*Assumptions!K$5),-2)</f>
        <v>4900</v>
      </c>
      <c r="M819" s="9">
        <f>ROUNDUP(L819+(L819*Assumptions!L$5),-2)</f>
        <v>5100</v>
      </c>
      <c r="N819" s="9">
        <f>ROUNDUP(M819+(M819*Assumptions!M$5),-2)</f>
        <v>5300</v>
      </c>
      <c r="O819" s="9">
        <f>ROUNDUP(N819+(N819*Assumptions!N$5),-2)</f>
        <v>5500</v>
      </c>
      <c r="P819" s="89">
        <f>ROUNDUP(O819+(O819*Assumptions!O$5),-2)</f>
        <v>5700</v>
      </c>
      <c r="Q819" s="9">
        <f>ROUNDUP(P819+(P819*Assumptions!P$5),-2)</f>
        <v>5900</v>
      </c>
      <c r="R819" s="9">
        <f>ROUNDUP(Q819+(Q819*Assumptions!Q$5),-2)</f>
        <v>6100</v>
      </c>
      <c r="S819" s="47">
        <f>ROUNDUP(R819+(R819*Assumptions!R$5),-2)</f>
        <v>6300</v>
      </c>
    </row>
    <row r="820" spans="1:19" ht="12.75" customHeight="1" x14ac:dyDescent="0.2">
      <c r="A820" s="54">
        <v>14300</v>
      </c>
      <c r="B820" s="9">
        <v>15700</v>
      </c>
      <c r="C820" s="9">
        <v>14100</v>
      </c>
      <c r="D820" s="9">
        <v>12000</v>
      </c>
      <c r="E820" s="9">
        <v>12200</v>
      </c>
      <c r="F820" s="240" t="s">
        <v>2460</v>
      </c>
      <c r="G820" s="257" t="s">
        <v>709</v>
      </c>
      <c r="H820" s="9">
        <v>14000</v>
      </c>
      <c r="I820" s="85">
        <f t="shared" si="520"/>
        <v>14.754098360655737</v>
      </c>
      <c r="J820" s="9">
        <v>14000</v>
      </c>
      <c r="K820" s="9">
        <f>ROUNDUP(J820+(J820*Assumptions!J$5),-2)</f>
        <v>14400</v>
      </c>
      <c r="L820" s="9">
        <f>ROUNDUP(K820+(K820*Assumptions!K$5),-2)</f>
        <v>14800</v>
      </c>
      <c r="M820" s="9">
        <f>ROUNDUP(L820+(L820*Assumptions!L$5),-2)</f>
        <v>15200</v>
      </c>
      <c r="N820" s="9">
        <f>ROUNDUP(M820+(M820*Assumptions!M$5),-2)</f>
        <v>15600</v>
      </c>
      <c r="O820" s="9">
        <f>ROUNDUP(N820+(N820*Assumptions!N$5),-2)</f>
        <v>16000</v>
      </c>
      <c r="P820" s="89">
        <f>ROUNDUP(O820+(O820*Assumptions!O$5),-2)</f>
        <v>16400</v>
      </c>
      <c r="Q820" s="9">
        <f>ROUNDUP(P820+(P820*Assumptions!P$5),-2)</f>
        <v>16900</v>
      </c>
      <c r="R820" s="9">
        <f>ROUNDUP(Q820+(Q820*Assumptions!Q$5),-2)</f>
        <v>17400</v>
      </c>
      <c r="S820" s="47">
        <f>ROUNDUP(R820+(R820*Assumptions!R$5),-2)</f>
        <v>17900</v>
      </c>
    </row>
    <row r="821" spans="1:19" ht="12.75" customHeight="1" x14ac:dyDescent="0.2">
      <c r="A821" s="54">
        <v>14600</v>
      </c>
      <c r="B821" s="9">
        <v>15800</v>
      </c>
      <c r="C821" s="9">
        <v>16000</v>
      </c>
      <c r="D821" s="9">
        <f>17000+500</f>
        <v>17500</v>
      </c>
      <c r="E821" s="9">
        <v>17400</v>
      </c>
      <c r="F821" s="240" t="s">
        <v>1853</v>
      </c>
      <c r="G821" s="634" t="s">
        <v>3015</v>
      </c>
      <c r="H821" s="9">
        <v>17700</v>
      </c>
      <c r="I821" s="85">
        <f t="shared" si="520"/>
        <v>1.7241379310344827</v>
      </c>
      <c r="J821" s="9">
        <v>17500</v>
      </c>
      <c r="K821" s="9">
        <f>ROUNDUP(J821+(J821*Assumptions!J$5),-2)</f>
        <v>18000</v>
      </c>
      <c r="L821" s="9">
        <f>ROUNDUP(K821+(K821*Assumptions!K$5),-2)</f>
        <v>18500</v>
      </c>
      <c r="M821" s="9">
        <f>ROUNDUP(L821+(L821*Assumptions!L$5),-2)</f>
        <v>19000</v>
      </c>
      <c r="N821" s="9">
        <f>ROUNDUP(M821+(M821*Assumptions!M$5),-2)</f>
        <v>19500</v>
      </c>
      <c r="O821" s="9">
        <f>ROUNDUP(N821+(N821*Assumptions!N$5),-2)</f>
        <v>20000</v>
      </c>
      <c r="P821" s="89">
        <f>ROUNDUP(O821+(O821*Assumptions!O$5),-2)</f>
        <v>20500</v>
      </c>
      <c r="Q821" s="9">
        <f>ROUNDUP(P821+(P821*Assumptions!P$5),-2)</f>
        <v>21100</v>
      </c>
      <c r="R821" s="9">
        <f>ROUNDUP(Q821+(Q821*Assumptions!Q$5),-2)</f>
        <v>21700</v>
      </c>
      <c r="S821" s="47">
        <f>ROUNDUP(R821+(R821*Assumptions!R$5),-2)</f>
        <v>22300</v>
      </c>
    </row>
    <row r="822" spans="1:19" ht="12.75" customHeight="1" x14ac:dyDescent="0.2">
      <c r="A822" s="54">
        <v>600</v>
      </c>
      <c r="B822" s="9">
        <v>200</v>
      </c>
      <c r="C822" s="9">
        <v>100</v>
      </c>
      <c r="D822" s="9">
        <v>0</v>
      </c>
      <c r="E822" s="9">
        <v>500</v>
      </c>
      <c r="F822" s="240" t="s">
        <v>2266</v>
      </c>
      <c r="G822" s="257" t="s">
        <v>2274</v>
      </c>
      <c r="H822" s="9">
        <v>700</v>
      </c>
      <c r="I822" s="85">
        <f t="shared" si="520"/>
        <v>40</v>
      </c>
      <c r="J822" s="9">
        <v>800</v>
      </c>
      <c r="K822" s="9">
        <f>ROUNDUP(J822+(J822*Assumptions!J$5),-2)</f>
        <v>900</v>
      </c>
      <c r="L822" s="9">
        <f>ROUNDUP(K822+(K822*Assumptions!K$5),-2)</f>
        <v>1000</v>
      </c>
      <c r="M822" s="9">
        <f>ROUNDUP(L822+(L822*Assumptions!L$5),-2)</f>
        <v>1100</v>
      </c>
      <c r="N822" s="9">
        <f>ROUNDUP(M822+(M822*Assumptions!M$5),-2)</f>
        <v>1200</v>
      </c>
      <c r="O822" s="9">
        <f>ROUNDUP(N822+(N822*Assumptions!N$5),-2)</f>
        <v>1300</v>
      </c>
      <c r="P822" s="89">
        <f>ROUNDUP(O822+(O822*Assumptions!O$5),-2)</f>
        <v>1400</v>
      </c>
      <c r="Q822" s="9">
        <f>ROUNDUP(P822+(P822*Assumptions!P$5),-2)</f>
        <v>1500</v>
      </c>
      <c r="R822" s="9">
        <f>ROUNDUP(Q822+(Q822*Assumptions!Q$5),-2)</f>
        <v>1600</v>
      </c>
      <c r="S822" s="47">
        <f>ROUNDUP(R822+(R822*Assumptions!R$5),-2)</f>
        <v>1700</v>
      </c>
    </row>
    <row r="823" spans="1:19" ht="12.75" customHeight="1" x14ac:dyDescent="0.2">
      <c r="A823" s="54">
        <v>800</v>
      </c>
      <c r="B823" s="9">
        <v>800</v>
      </c>
      <c r="C823" s="9">
        <v>900</v>
      </c>
      <c r="D823" s="9">
        <v>800</v>
      </c>
      <c r="E823" s="9">
        <v>800</v>
      </c>
      <c r="F823" s="240" t="s">
        <v>2268</v>
      </c>
      <c r="G823" s="257" t="s">
        <v>1340</v>
      </c>
      <c r="H823" s="9">
        <v>1000</v>
      </c>
      <c r="I823" s="85">
        <f t="shared" si="520"/>
        <v>25</v>
      </c>
      <c r="J823" s="9">
        <v>1000</v>
      </c>
      <c r="K823" s="9">
        <f>ROUNDUP(J823+(J823*Assumptions!J$5),-2)</f>
        <v>1100</v>
      </c>
      <c r="L823" s="9">
        <f>ROUNDUP(K823+(K823*Assumptions!K$5),-2)</f>
        <v>1200</v>
      </c>
      <c r="M823" s="9">
        <f>ROUNDUP(L823+(L823*Assumptions!L$5),-2)</f>
        <v>1300</v>
      </c>
      <c r="N823" s="9">
        <f>ROUNDUP(M823+(M823*Assumptions!M$5),-2)</f>
        <v>1400</v>
      </c>
      <c r="O823" s="9">
        <f>ROUNDUP(N823+(N823*Assumptions!N$5),-2)</f>
        <v>1500</v>
      </c>
      <c r="P823" s="89">
        <f>ROUNDUP(O823+(O823*Assumptions!O$5),-2)</f>
        <v>1600</v>
      </c>
      <c r="Q823" s="9">
        <f>ROUNDUP(P823+(P823*Assumptions!P$5),-2)</f>
        <v>1700</v>
      </c>
      <c r="R823" s="9">
        <f>ROUNDUP(Q823+(Q823*Assumptions!Q$5),-2)</f>
        <v>1800</v>
      </c>
      <c r="S823" s="47">
        <f>ROUNDUP(R823+(R823*Assumptions!R$5),-2)</f>
        <v>1900</v>
      </c>
    </row>
    <row r="824" spans="1:19" s="39" customFormat="1" ht="12.75" customHeight="1" x14ac:dyDescent="0.2">
      <c r="A824" s="54"/>
      <c r="B824" s="89"/>
      <c r="C824" s="9"/>
      <c r="D824" s="9"/>
      <c r="E824" s="9"/>
      <c r="F824" s="240"/>
      <c r="G824" s="260" t="s">
        <v>276</v>
      </c>
      <c r="H824" s="9"/>
      <c r="I824" s="85"/>
      <c r="J824" s="9"/>
      <c r="K824" s="9"/>
      <c r="L824" s="9"/>
      <c r="M824" s="9"/>
      <c r="N824" s="9"/>
      <c r="O824" s="9"/>
      <c r="P824" s="89"/>
      <c r="Q824" s="9"/>
      <c r="R824" s="9"/>
      <c r="S824" s="47"/>
    </row>
    <row r="825" spans="1:19" ht="12.75" customHeight="1" x14ac:dyDescent="0.2">
      <c r="A825" s="54">
        <v>100500</v>
      </c>
      <c r="B825" s="9">
        <v>140700</v>
      </c>
      <c r="C825" s="9">
        <v>138900</v>
      </c>
      <c r="D825" s="9">
        <v>65700</v>
      </c>
      <c r="E825" s="9">
        <v>84600</v>
      </c>
      <c r="F825" s="240" t="s">
        <v>94</v>
      </c>
      <c r="G825" s="257" t="s">
        <v>276</v>
      </c>
      <c r="H825" s="9">
        <v>100000</v>
      </c>
      <c r="I825" s="85">
        <f t="shared" ref="I825:I830" si="521">IF(E825=H825,0,IF(E825=0,100,(H825-E825)/E825*100))</f>
        <v>18.203309692671397</v>
      </c>
      <c r="J825" s="9">
        <v>102500</v>
      </c>
      <c r="K825" s="9">
        <f>ROUNDUP(J825+(J825*Assumptions!J$5),-2)</f>
        <v>105100</v>
      </c>
      <c r="L825" s="9">
        <f>ROUNDUP(K825+(K825*Assumptions!K$5),-2)</f>
        <v>107800</v>
      </c>
      <c r="M825" s="9">
        <f>ROUNDUP(L825+(L825*Assumptions!L$5),-2)</f>
        <v>110500</v>
      </c>
      <c r="N825" s="9">
        <f>ROUNDUP(M825+(M825*Assumptions!M$5),-2)</f>
        <v>113300</v>
      </c>
      <c r="O825" s="9">
        <f>ROUNDUP(N825+(N825*Assumptions!N$5),-2)</f>
        <v>116200</v>
      </c>
      <c r="P825" s="89">
        <f>ROUNDUP(O825+(O825*Assumptions!O$5),-2)</f>
        <v>119200</v>
      </c>
      <c r="Q825" s="9">
        <f>ROUNDUP(P825+(P825*Assumptions!P$5),-2)</f>
        <v>122200</v>
      </c>
      <c r="R825" s="9">
        <f>ROUNDUP(Q825+(Q825*Assumptions!Q$5),-2)</f>
        <v>125300</v>
      </c>
      <c r="S825" s="47">
        <f>ROUNDUP(R825+(R825*Assumptions!R$5),-2)</f>
        <v>128500</v>
      </c>
    </row>
    <row r="826" spans="1:19" s="39" customFormat="1" ht="12.75" customHeight="1" x14ac:dyDescent="0.2">
      <c r="A826" s="54">
        <v>19700</v>
      </c>
      <c r="B826" s="9">
        <v>19900</v>
      </c>
      <c r="C826" s="136">
        <v>7500</v>
      </c>
      <c r="D826" s="9">
        <v>4100</v>
      </c>
      <c r="E826" s="9">
        <v>1600</v>
      </c>
      <c r="F826" s="771" t="s">
        <v>3208</v>
      </c>
      <c r="G826" s="662" t="s">
        <v>3040</v>
      </c>
      <c r="H826" s="9">
        <v>10000</v>
      </c>
      <c r="I826" s="85">
        <f t="shared" si="521"/>
        <v>525</v>
      </c>
      <c r="J826" s="9">
        <v>10500</v>
      </c>
      <c r="K826" s="9">
        <f>ROUNDUP(J826+(J826*Assumptions!J$5),-2)</f>
        <v>10800</v>
      </c>
      <c r="L826" s="9">
        <f>ROUNDUP(K826+(K826*Assumptions!K$5),-2)</f>
        <v>11100</v>
      </c>
      <c r="M826" s="9">
        <f>ROUNDUP(L826+(L826*Assumptions!L$5),-2)</f>
        <v>11400</v>
      </c>
      <c r="N826" s="9">
        <f>ROUNDUP(M826+(M826*Assumptions!M$5),-2)</f>
        <v>11700</v>
      </c>
      <c r="O826" s="9">
        <f>ROUNDUP(N826+(N826*Assumptions!N$5),-2)</f>
        <v>12000</v>
      </c>
      <c r="P826" s="89">
        <f>ROUNDUP(O826+(O826*Assumptions!O$5),-2)</f>
        <v>12300</v>
      </c>
      <c r="Q826" s="9">
        <f>ROUNDUP(P826+(P826*Assumptions!P$5),-2)</f>
        <v>12700</v>
      </c>
      <c r="R826" s="9">
        <f>ROUNDUP(Q826+(Q826*Assumptions!Q$5),-2)</f>
        <v>13100</v>
      </c>
      <c r="S826" s="47">
        <f>ROUNDUP(R826+(R826*Assumptions!R$5),-2)</f>
        <v>13500</v>
      </c>
    </row>
    <row r="827" spans="1:19" ht="12.75" customHeight="1" x14ac:dyDescent="0.2">
      <c r="A827" s="54">
        <v>57400</v>
      </c>
      <c r="B827" s="9">
        <v>11900</v>
      </c>
      <c r="C827" s="9">
        <v>0</v>
      </c>
      <c r="D827" s="9">
        <f>ROUNDUP(C827+(C827*Assumptions!F$5),-2)</f>
        <v>0</v>
      </c>
      <c r="E827" s="9">
        <v>0</v>
      </c>
      <c r="F827" s="240" t="s">
        <v>1356</v>
      </c>
      <c r="G827" s="257" t="s">
        <v>1357</v>
      </c>
      <c r="H827" s="9">
        <v>0</v>
      </c>
      <c r="I827" s="85">
        <f t="shared" si="521"/>
        <v>0</v>
      </c>
      <c r="J827" s="9">
        <v>0</v>
      </c>
      <c r="K827" s="9">
        <f>ROUNDUP(J827+(J827*Assumptions!J$5),-2)</f>
        <v>0</v>
      </c>
      <c r="L827" s="9">
        <f>ROUNDUP(K827+(K827*Assumptions!K$5),-2)</f>
        <v>0</v>
      </c>
      <c r="M827" s="9">
        <f>ROUNDUP(L827+(L827*Assumptions!L$5),-2)</f>
        <v>0</v>
      </c>
      <c r="N827" s="9">
        <f>ROUNDUP(M827+(M827*Assumptions!M$5),-2)</f>
        <v>0</v>
      </c>
      <c r="O827" s="9">
        <f>ROUNDUP(N827+(N827*Assumptions!N$5),-2)</f>
        <v>0</v>
      </c>
      <c r="P827" s="89">
        <f>ROUNDUP(O827+(O827*Assumptions!O$5),-2)</f>
        <v>0</v>
      </c>
      <c r="Q827" s="9">
        <f>ROUNDUP(P827+(P827*Assumptions!P$5),-2)</f>
        <v>0</v>
      </c>
      <c r="R827" s="9">
        <f>ROUNDUP(Q827+(Q827*Assumptions!Q$5),-2)</f>
        <v>0</v>
      </c>
      <c r="S827" s="47">
        <f>ROUNDUP(R827+(R827*Assumptions!R$5),-2)</f>
        <v>0</v>
      </c>
    </row>
    <row r="828" spans="1:19" s="39" customFormat="1" ht="12.75" customHeight="1" x14ac:dyDescent="0.2">
      <c r="A828" s="54">
        <v>0</v>
      </c>
      <c r="B828" s="9">
        <v>43000</v>
      </c>
      <c r="C828" s="9">
        <v>7000</v>
      </c>
      <c r="D828" s="9">
        <v>0</v>
      </c>
      <c r="E828" s="9">
        <v>0</v>
      </c>
      <c r="F828" s="577" t="s">
        <v>3231</v>
      </c>
      <c r="G828" s="634" t="s">
        <v>4327</v>
      </c>
      <c r="H828" s="9">
        <v>0</v>
      </c>
      <c r="I828" s="85">
        <f t="shared" si="521"/>
        <v>0</v>
      </c>
      <c r="J828" s="9">
        <v>0</v>
      </c>
      <c r="K828" s="9">
        <f>ROUNDUP(J828+(J828*Assumptions!J$5),-2)</f>
        <v>0</v>
      </c>
      <c r="L828" s="9">
        <f>ROUNDUP(K828+(K828*Assumptions!K$5),-2)</f>
        <v>0</v>
      </c>
      <c r="M828" s="9">
        <f>ROUNDUP(L828+(L828*Assumptions!L$5),-2)</f>
        <v>0</v>
      </c>
      <c r="N828" s="9">
        <f>ROUNDUP(M828+(M828*Assumptions!M$5),-2)</f>
        <v>0</v>
      </c>
      <c r="O828" s="9">
        <f>ROUNDUP(N828+(N828*Assumptions!N$5),-2)</f>
        <v>0</v>
      </c>
      <c r="P828" s="89">
        <f>ROUNDUP(O828+(O828*Assumptions!O$5),-2)</f>
        <v>0</v>
      </c>
      <c r="Q828" s="9">
        <f>ROUNDUP(P828+(P828*Assumptions!P$5),-2)</f>
        <v>0</v>
      </c>
      <c r="R828" s="9">
        <f>ROUNDUP(Q828+(Q828*Assumptions!Q$5),-2)</f>
        <v>0</v>
      </c>
      <c r="S828" s="47">
        <f>ROUNDUP(R828+(R828*Assumptions!R$5),-2)</f>
        <v>0</v>
      </c>
    </row>
    <row r="829" spans="1:19" ht="12.75" customHeight="1" x14ac:dyDescent="0.2">
      <c r="A829" s="54">
        <v>0</v>
      </c>
      <c r="B829" s="9">
        <v>0</v>
      </c>
      <c r="C829" s="9">
        <v>0</v>
      </c>
      <c r="D829" s="9">
        <v>0</v>
      </c>
      <c r="E829" s="9">
        <v>76200</v>
      </c>
      <c r="F829" s="577" t="s">
        <v>6445</v>
      </c>
      <c r="G829" s="634" t="s">
        <v>6446</v>
      </c>
      <c r="H829" s="9">
        <v>0</v>
      </c>
      <c r="I829" s="85">
        <f t="shared" si="521"/>
        <v>-100</v>
      </c>
      <c r="J829" s="9">
        <v>0</v>
      </c>
      <c r="K829" s="9">
        <v>0</v>
      </c>
      <c r="L829" s="9">
        <v>0</v>
      </c>
      <c r="M829" s="9">
        <v>0</v>
      </c>
      <c r="N829" s="9">
        <v>0</v>
      </c>
      <c r="O829" s="9">
        <v>0</v>
      </c>
      <c r="P829" s="9">
        <v>0</v>
      </c>
      <c r="Q829" s="9">
        <v>0</v>
      </c>
      <c r="R829" s="9">
        <v>0</v>
      </c>
      <c r="S829" s="47">
        <v>0</v>
      </c>
    </row>
    <row r="830" spans="1:19" ht="12.75" customHeight="1" x14ac:dyDescent="0.2">
      <c r="A830" s="54">
        <v>5600</v>
      </c>
      <c r="B830" s="9">
        <v>15800</v>
      </c>
      <c r="C830" s="136">
        <f>10000+1000</f>
        <v>11000</v>
      </c>
      <c r="D830" s="136">
        <v>19200</v>
      </c>
      <c r="E830" s="134">
        <v>15400</v>
      </c>
      <c r="F830" s="240" t="s">
        <v>1652</v>
      </c>
      <c r="G830" s="247" t="s">
        <v>1497</v>
      </c>
      <c r="H830" s="9">
        <v>12000</v>
      </c>
      <c r="I830" s="85">
        <f t="shared" si="521"/>
        <v>-22.077922077922079</v>
      </c>
      <c r="J830" s="9">
        <v>13000</v>
      </c>
      <c r="K830" s="9">
        <f>ROUNDUP(J830+(J830*Assumptions!J$5),-2)</f>
        <v>13400</v>
      </c>
      <c r="L830" s="9">
        <f>ROUNDUP(K830+(K830*Assumptions!K$5),-2)</f>
        <v>13800</v>
      </c>
      <c r="M830" s="9">
        <f>ROUNDUP(L830+(L830*Assumptions!L$5),-2)</f>
        <v>14200</v>
      </c>
      <c r="N830" s="9">
        <f>ROUNDUP(M830+(M830*Assumptions!M$5),-2)</f>
        <v>14600</v>
      </c>
      <c r="O830" s="9">
        <f>ROUNDUP(N830+(N830*Assumptions!N$5),-2)</f>
        <v>15000</v>
      </c>
      <c r="P830" s="9">
        <f>ROUNDUP(O830+(O830*Assumptions!O$5),-2)</f>
        <v>15400</v>
      </c>
      <c r="Q830" s="9">
        <f>ROUNDUP(P830+(P830*Assumptions!P$5),-2)</f>
        <v>15800</v>
      </c>
      <c r="R830" s="9">
        <f>ROUNDUP(Q830+(Q830*Assumptions!Q$5),-2)</f>
        <v>16200</v>
      </c>
      <c r="S830" s="47">
        <f>ROUNDUP(R830+(R830*Assumptions!R$5),-2)</f>
        <v>16700</v>
      </c>
    </row>
    <row r="831" spans="1:19" ht="12.75" customHeight="1" x14ac:dyDescent="0.2">
      <c r="A831" s="54"/>
      <c r="B831" s="9"/>
      <c r="C831" s="9"/>
      <c r="D831" s="9"/>
      <c r="E831" s="9"/>
      <c r="F831" s="577"/>
      <c r="G831" s="1461" t="s">
        <v>261</v>
      </c>
      <c r="H831" s="9"/>
      <c r="I831" s="85"/>
      <c r="J831" s="9"/>
      <c r="K831" s="9"/>
      <c r="L831" s="9"/>
      <c r="M831" s="9"/>
      <c r="N831" s="9"/>
      <c r="O831" s="9"/>
      <c r="P831" s="9"/>
      <c r="Q831" s="9"/>
      <c r="R831" s="9"/>
      <c r="S831" s="47"/>
    </row>
    <row r="832" spans="1:19" ht="12.75" customHeight="1" thickBot="1" x14ac:dyDescent="0.25">
      <c r="A832" s="54">
        <v>88100</v>
      </c>
      <c r="B832" s="9">
        <v>48500</v>
      </c>
      <c r="C832" s="9">
        <v>26000</v>
      </c>
      <c r="D832" s="9">
        <v>26600</v>
      </c>
      <c r="E832" s="9">
        <v>27400</v>
      </c>
      <c r="F832" s="240" t="s">
        <v>2162</v>
      </c>
      <c r="G832" s="1173" t="s">
        <v>2345</v>
      </c>
      <c r="H832" s="9">
        <v>26600</v>
      </c>
      <c r="I832" s="85">
        <f>IF(E832=H832,0,IF(E832=0,100,(H832-E832)/E832*100))</f>
        <v>-2.9197080291970803</v>
      </c>
      <c r="J832" s="9">
        <v>28000</v>
      </c>
      <c r="K832" s="9">
        <f>ROUNDUP(J832+(J832*Assumptions!J$18),-2)</f>
        <v>28600</v>
      </c>
      <c r="L832" s="9">
        <f>ROUNDUP(K832+(K832*Assumptions!K$18),-2)</f>
        <v>29200</v>
      </c>
      <c r="M832" s="9">
        <f>ROUNDUP(L832+(L832*Assumptions!L$18),-2)</f>
        <v>29800</v>
      </c>
      <c r="N832" s="9">
        <f>ROUNDUP(M832+(M832*Assumptions!M$18),-2)</f>
        <v>30400</v>
      </c>
      <c r="O832" s="9">
        <f>ROUNDUP(N832+(N832*Assumptions!N$18),-2)</f>
        <v>31100</v>
      </c>
      <c r="P832" s="9">
        <f>ROUNDUP(O832+(O832*Assumptions!O$18),-2)</f>
        <v>31800</v>
      </c>
      <c r="Q832" s="9">
        <f>ROUNDUP(P832+(P832*Assumptions!P$18),-2)</f>
        <v>32500</v>
      </c>
      <c r="R832" s="9">
        <f>ROUNDUP(Q832+(Q832*Assumptions!Q$18),-2)</f>
        <v>33200</v>
      </c>
      <c r="S832" s="47">
        <f>ROUNDUP(R832+(R832*Assumptions!R$18),-2)</f>
        <v>33900</v>
      </c>
    </row>
    <row r="833" spans="1:19" ht="12.75" customHeight="1" x14ac:dyDescent="0.2">
      <c r="A833" s="52">
        <f>SUM(A799:A832)</f>
        <v>589000</v>
      </c>
      <c r="B833" s="16">
        <f>SUM(B799:B832)</f>
        <v>611900</v>
      </c>
      <c r="C833" s="16">
        <f>SUM(C799:C832)</f>
        <v>532400</v>
      </c>
      <c r="D833" s="16">
        <f>SUM(D799:D832)</f>
        <v>590700</v>
      </c>
      <c r="E833" s="16">
        <f>SUM(E799:E832)</f>
        <v>610800</v>
      </c>
      <c r="F833" s="2207"/>
      <c r="G833" s="59" t="s">
        <v>556</v>
      </c>
      <c r="H833" s="16">
        <f>SUM(H799:H832)</f>
        <v>509700</v>
      </c>
      <c r="I833" s="127">
        <f>IF(E833=H833,0,IF(E833=0,100,(H833-E833)/E833*100))</f>
        <v>-16.552062868369351</v>
      </c>
      <c r="J833" s="16">
        <f t="shared" ref="J833:S833" si="522">SUM(J799:J832)</f>
        <v>590600</v>
      </c>
      <c r="K833" s="16">
        <f t="shared" si="522"/>
        <v>513600</v>
      </c>
      <c r="L833" s="16">
        <f t="shared" si="522"/>
        <v>526900</v>
      </c>
      <c r="M833" s="16">
        <f t="shared" si="522"/>
        <v>540400</v>
      </c>
      <c r="N833" s="16">
        <f t="shared" si="522"/>
        <v>554100</v>
      </c>
      <c r="O833" s="16">
        <f t="shared" si="522"/>
        <v>658200</v>
      </c>
      <c r="P833" s="16">
        <f t="shared" si="522"/>
        <v>582600</v>
      </c>
      <c r="Q833" s="16">
        <f t="shared" si="522"/>
        <v>597400</v>
      </c>
      <c r="R833" s="16">
        <f t="shared" si="522"/>
        <v>612600</v>
      </c>
      <c r="S833" s="2342">
        <f t="shared" si="522"/>
        <v>628200</v>
      </c>
    </row>
    <row r="834" spans="1:19" ht="12.75" customHeight="1" x14ac:dyDescent="0.2">
      <c r="A834" s="24">
        <f>A798-A833</f>
        <v>-443300</v>
      </c>
      <c r="B834" s="75">
        <f>B798-B833</f>
        <v>-473300</v>
      </c>
      <c r="C834" s="21">
        <f>C798-C833</f>
        <v>-392700</v>
      </c>
      <c r="D834" s="21">
        <f>D798-D833</f>
        <v>-449100</v>
      </c>
      <c r="E834" s="21">
        <f>E798-E833</f>
        <v>-502500</v>
      </c>
      <c r="F834" s="188"/>
      <c r="G834" s="1160" t="s">
        <v>1002</v>
      </c>
      <c r="H834" s="21">
        <f>H798-H833</f>
        <v>-449000</v>
      </c>
      <c r="I834" s="126">
        <f>IF(E834=H834,0,IF(E834=0,100,(H834-E834)/E834*100))</f>
        <v>-10.646766169154228</v>
      </c>
      <c r="J834" s="21">
        <f t="shared" ref="J834:S834" si="523">J798-J833</f>
        <v>-440300</v>
      </c>
      <c r="K834" s="21">
        <f t="shared" si="523"/>
        <v>-451400</v>
      </c>
      <c r="L834" s="21">
        <f t="shared" si="523"/>
        <v>-462700</v>
      </c>
      <c r="M834" s="21">
        <f t="shared" si="523"/>
        <v>-474200</v>
      </c>
      <c r="N834" s="21">
        <f t="shared" si="523"/>
        <v>-485900</v>
      </c>
      <c r="O834" s="21">
        <f t="shared" si="523"/>
        <v>-498000</v>
      </c>
      <c r="P834" s="21">
        <f t="shared" si="523"/>
        <v>-510300</v>
      </c>
      <c r="Q834" s="21">
        <f t="shared" si="523"/>
        <v>-522900</v>
      </c>
      <c r="R834" s="21">
        <f t="shared" si="523"/>
        <v>-535800</v>
      </c>
      <c r="S834" s="86">
        <f t="shared" si="523"/>
        <v>-549000</v>
      </c>
    </row>
    <row r="835" spans="1:19" s="39" customFormat="1" ht="12.75" customHeight="1" x14ac:dyDescent="0.2">
      <c r="A835" s="54">
        <f>SUM(A832:A832)</f>
        <v>88100</v>
      </c>
      <c r="B835" s="89">
        <f>SUM(B832:B832)</f>
        <v>48500</v>
      </c>
      <c r="C835" s="9">
        <f>SUM(C832:C832)</f>
        <v>26000</v>
      </c>
      <c r="D835" s="9">
        <f>SUM(D832:D832)</f>
        <v>26600</v>
      </c>
      <c r="E835" s="9">
        <f>SUM(E832:E832)</f>
        <v>27400</v>
      </c>
      <c r="F835" s="177"/>
      <c r="G835" s="1462" t="s">
        <v>1943</v>
      </c>
      <c r="H835" s="9">
        <f>SUM(H832:H832)</f>
        <v>26600</v>
      </c>
      <c r="I835" s="85">
        <f>IF(E835=H835,0,IF(E835=0,100,(H835-E835)/E835*100))</f>
        <v>-2.9197080291970803</v>
      </c>
      <c r="J835" s="9">
        <f t="shared" ref="J835:S835" si="524">SUM(J832:J832)</f>
        <v>28000</v>
      </c>
      <c r="K835" s="9">
        <f t="shared" si="524"/>
        <v>28600</v>
      </c>
      <c r="L835" s="9">
        <f t="shared" si="524"/>
        <v>29200</v>
      </c>
      <c r="M835" s="9">
        <f t="shared" si="524"/>
        <v>29800</v>
      </c>
      <c r="N835" s="9">
        <f t="shared" si="524"/>
        <v>30400</v>
      </c>
      <c r="O835" s="9">
        <f t="shared" si="524"/>
        <v>31100</v>
      </c>
      <c r="P835" s="9">
        <f t="shared" si="524"/>
        <v>31800</v>
      </c>
      <c r="Q835" s="9">
        <f t="shared" si="524"/>
        <v>32500</v>
      </c>
      <c r="R835" s="9">
        <f t="shared" si="524"/>
        <v>33200</v>
      </c>
      <c r="S835" s="47">
        <f t="shared" si="524"/>
        <v>33900</v>
      </c>
    </row>
    <row r="836" spans="1:19" ht="12.75" customHeight="1" thickBot="1" x14ac:dyDescent="0.25">
      <c r="A836" s="1017">
        <f>A834+A835</f>
        <v>-355200</v>
      </c>
      <c r="B836" s="1024">
        <f>B834+B835</f>
        <v>-424800</v>
      </c>
      <c r="C836" s="1018">
        <f>C834+C835</f>
        <v>-366700</v>
      </c>
      <c r="D836" s="1018">
        <f>D834+D835</f>
        <v>-422500</v>
      </c>
      <c r="E836" s="1018">
        <f t="shared" ref="E836" si="525">E834+E835</f>
        <v>-475100</v>
      </c>
      <c r="F836" s="1673"/>
      <c r="G836" s="2373" t="s">
        <v>1659</v>
      </c>
      <c r="H836" s="1018">
        <f t="shared" ref="H836:O836" si="526">H834+H835</f>
        <v>-422400</v>
      </c>
      <c r="I836" s="1022">
        <f>IF(E836=H836,0,IF(E836=0,100,(H836-E836)/E836*100))</f>
        <v>-11.09240159966323</v>
      </c>
      <c r="J836" s="1018">
        <f t="shared" si="526"/>
        <v>-412300</v>
      </c>
      <c r="K836" s="1018">
        <f t="shared" si="526"/>
        <v>-422800</v>
      </c>
      <c r="L836" s="1018">
        <f t="shared" si="526"/>
        <v>-433500</v>
      </c>
      <c r="M836" s="1018">
        <f t="shared" si="526"/>
        <v>-444400</v>
      </c>
      <c r="N836" s="1018">
        <f t="shared" si="526"/>
        <v>-455500</v>
      </c>
      <c r="O836" s="1018">
        <f t="shared" si="526"/>
        <v>-466900</v>
      </c>
      <c r="P836" s="1018">
        <f t="shared" ref="P836:Q836" si="527">P834+P835</f>
        <v>-478500</v>
      </c>
      <c r="Q836" s="1018">
        <f t="shared" si="527"/>
        <v>-490400</v>
      </c>
      <c r="R836" s="1018">
        <f t="shared" ref="R836" si="528">R834+R835</f>
        <v>-502600</v>
      </c>
      <c r="S836" s="2358">
        <f t="shared" ref="S836" si="529">S834+S835</f>
        <v>-515100</v>
      </c>
    </row>
    <row r="837" spans="1:19" ht="12.75" customHeight="1" thickTop="1" x14ac:dyDescent="0.2">
      <c r="A837" s="24"/>
      <c r="B837" s="75"/>
      <c r="C837" s="21"/>
      <c r="D837" s="21"/>
      <c r="E837" s="9"/>
      <c r="F837" s="189"/>
      <c r="G837" s="1160" t="s">
        <v>192</v>
      </c>
      <c r="H837" s="9"/>
      <c r="I837" s="126"/>
      <c r="J837" s="9"/>
      <c r="K837" s="9"/>
      <c r="L837" s="9"/>
      <c r="M837" s="9"/>
      <c r="N837" s="9"/>
      <c r="O837" s="9"/>
      <c r="P837" s="9"/>
      <c r="Q837" s="9"/>
      <c r="R837" s="9"/>
      <c r="S837" s="61"/>
    </row>
    <row r="838" spans="1:19" ht="12.75" customHeight="1" x14ac:dyDescent="0.2">
      <c r="A838" s="54">
        <v>0</v>
      </c>
      <c r="B838" s="89">
        <v>0</v>
      </c>
      <c r="C838" s="89">
        <v>0</v>
      </c>
      <c r="D838" s="89">
        <v>0</v>
      </c>
      <c r="E838" s="9">
        <v>0</v>
      </c>
      <c r="F838" s="189"/>
      <c r="G838" s="1173" t="s">
        <v>2848</v>
      </c>
      <c r="H838" s="9">
        <v>0</v>
      </c>
      <c r="I838" s="85"/>
      <c r="J838" s="9">
        <v>0</v>
      </c>
      <c r="K838" s="9">
        <v>0</v>
      </c>
      <c r="L838" s="9">
        <v>0</v>
      </c>
      <c r="M838" s="9">
        <v>0</v>
      </c>
      <c r="N838" s="9">
        <v>0</v>
      </c>
      <c r="O838" s="9">
        <v>0</v>
      </c>
      <c r="P838" s="9">
        <v>0</v>
      </c>
      <c r="Q838" s="9">
        <v>0</v>
      </c>
      <c r="R838" s="9">
        <v>0</v>
      </c>
      <c r="S838" s="47">
        <v>0</v>
      </c>
    </row>
    <row r="839" spans="1:19" ht="12.75" customHeight="1" x14ac:dyDescent="0.2">
      <c r="A839" s="54">
        <v>32300</v>
      </c>
      <c r="B839" s="89">
        <v>32000</v>
      </c>
      <c r="C839" s="89">
        <v>61000</v>
      </c>
      <c r="D839" s="9">
        <f>'Res-Gen'!B37</f>
        <v>84300</v>
      </c>
      <c r="E839" s="9">
        <v>35000</v>
      </c>
      <c r="F839" s="189"/>
      <c r="G839" s="1173" t="s">
        <v>1909</v>
      </c>
      <c r="H839" s="9">
        <v>500</v>
      </c>
      <c r="I839" s="85"/>
      <c r="J839" s="9">
        <v>0</v>
      </c>
      <c r="K839" s="9">
        <v>0</v>
      </c>
      <c r="L839" s="9">
        <v>0</v>
      </c>
      <c r="M839" s="9">
        <v>0</v>
      </c>
      <c r="N839" s="9"/>
      <c r="O839" s="9">
        <v>0</v>
      </c>
      <c r="P839" s="9">
        <v>0</v>
      </c>
      <c r="Q839" s="9">
        <v>0</v>
      </c>
      <c r="R839" s="9">
        <v>0</v>
      </c>
      <c r="S839" s="47">
        <v>0</v>
      </c>
    </row>
    <row r="840" spans="1:19" ht="12.75" customHeight="1" x14ac:dyDescent="0.2">
      <c r="A840" s="54">
        <v>0</v>
      </c>
      <c r="B840" s="89">
        <v>32300</v>
      </c>
      <c r="C840" s="9">
        <v>27000</v>
      </c>
      <c r="D840" s="9">
        <f>'Res-Gen'!C37</f>
        <v>61000</v>
      </c>
      <c r="E840" s="9">
        <f>'Res-Gen'!F37</f>
        <v>84300</v>
      </c>
      <c r="F840" s="189"/>
      <c r="G840" s="1173" t="s">
        <v>2309</v>
      </c>
      <c r="H840" s="9">
        <v>0</v>
      </c>
      <c r="I840" s="85"/>
      <c r="J840" s="9">
        <v>0</v>
      </c>
      <c r="K840" s="9">
        <v>0</v>
      </c>
      <c r="L840" s="9">
        <v>0</v>
      </c>
      <c r="M840" s="9">
        <v>0</v>
      </c>
      <c r="N840" s="9">
        <v>0</v>
      </c>
      <c r="O840" s="9">
        <v>0</v>
      </c>
      <c r="P840" s="9">
        <v>0</v>
      </c>
      <c r="Q840" s="9">
        <v>0</v>
      </c>
      <c r="R840" s="9">
        <v>0</v>
      </c>
      <c r="S840" s="47">
        <v>0</v>
      </c>
    </row>
    <row r="841" spans="1:19" ht="12.75" customHeight="1" x14ac:dyDescent="0.2">
      <c r="A841" s="54">
        <v>0</v>
      </c>
      <c r="B841" s="89">
        <v>0</v>
      </c>
      <c r="C841" s="9">
        <v>0</v>
      </c>
      <c r="D841" s="9">
        <v>0</v>
      </c>
      <c r="E841" s="9">
        <v>0</v>
      </c>
      <c r="F841" s="189"/>
      <c r="G841" s="1173" t="s">
        <v>5847</v>
      </c>
      <c r="H841" s="9">
        <v>0</v>
      </c>
      <c r="I841" s="85"/>
      <c r="J841" s="9">
        <v>0</v>
      </c>
      <c r="K841" s="9">
        <v>0</v>
      </c>
      <c r="L841" s="9">
        <v>0</v>
      </c>
      <c r="M841" s="9">
        <v>0</v>
      </c>
      <c r="N841" s="9">
        <v>0</v>
      </c>
      <c r="O841" s="9">
        <v>0</v>
      </c>
      <c r="P841" s="9">
        <v>0</v>
      </c>
      <c r="Q841" s="9">
        <v>0</v>
      </c>
      <c r="R841" s="9">
        <v>0</v>
      </c>
      <c r="S841" s="47">
        <v>0</v>
      </c>
    </row>
    <row r="842" spans="1:19" ht="12.75" customHeight="1" x14ac:dyDescent="0.2">
      <c r="A842" s="54">
        <v>0</v>
      </c>
      <c r="B842" s="89">
        <v>0</v>
      </c>
      <c r="C842" s="9">
        <v>0</v>
      </c>
      <c r="D842" s="9">
        <v>0</v>
      </c>
      <c r="E842" s="9">
        <v>0</v>
      </c>
      <c r="F842" s="189"/>
      <c r="G842" s="257" t="s">
        <v>958</v>
      </c>
      <c r="H842" s="9">
        <v>0</v>
      </c>
      <c r="I842" s="85"/>
      <c r="J842" s="9">
        <v>0</v>
      </c>
      <c r="K842" s="9">
        <v>0</v>
      </c>
      <c r="L842" s="9">
        <v>0</v>
      </c>
      <c r="M842" s="9">
        <v>0</v>
      </c>
      <c r="N842" s="9">
        <v>0</v>
      </c>
      <c r="O842" s="9">
        <v>0</v>
      </c>
      <c r="P842" s="9">
        <v>0</v>
      </c>
      <c r="Q842" s="9">
        <v>0</v>
      </c>
      <c r="R842" s="9">
        <v>0</v>
      </c>
      <c r="S842" s="47">
        <v>0</v>
      </c>
    </row>
    <row r="843" spans="1:19" ht="12.75" customHeight="1" x14ac:dyDescent="0.2">
      <c r="A843" s="128">
        <f>A836-A838-A839+A840++A841-A842</f>
        <v>-387500</v>
      </c>
      <c r="B843" s="266">
        <f>B836-B838-B839+B840++B841-B842</f>
        <v>-424500</v>
      </c>
      <c r="C843" s="280">
        <f>C836-C838-C839+C840++C841-C842</f>
        <v>-400700</v>
      </c>
      <c r="D843" s="280">
        <f>D836-D838-D839+D840++D841-D842</f>
        <v>-445800</v>
      </c>
      <c r="E843" s="280">
        <f>E836-E838-E839+E840++E841-E842</f>
        <v>-425800</v>
      </c>
      <c r="F843" s="362"/>
      <c r="G843" s="363" t="s">
        <v>2447</v>
      </c>
      <c r="H843" s="280">
        <f>H836-H838-H839+H840++H841-H842</f>
        <v>-422900</v>
      </c>
      <c r="I843" s="278">
        <f>IF(E843=H843,0,IF(E843=0,100,(H843-E843)/E843*100))</f>
        <v>-0.68107092531705027</v>
      </c>
      <c r="J843" s="280">
        <f t="shared" ref="J843:S843" si="530">J836-J838-J839+J840++J841-J842</f>
        <v>-412300</v>
      </c>
      <c r="K843" s="280">
        <f t="shared" si="530"/>
        <v>-422800</v>
      </c>
      <c r="L843" s="280">
        <f t="shared" si="530"/>
        <v>-433500</v>
      </c>
      <c r="M843" s="280">
        <f t="shared" si="530"/>
        <v>-444400</v>
      </c>
      <c r="N843" s="280">
        <f t="shared" si="530"/>
        <v>-455500</v>
      </c>
      <c r="O843" s="280">
        <f t="shared" si="530"/>
        <v>-466900</v>
      </c>
      <c r="P843" s="280">
        <f t="shared" si="530"/>
        <v>-478500</v>
      </c>
      <c r="Q843" s="280">
        <f t="shared" si="530"/>
        <v>-490400</v>
      </c>
      <c r="R843" s="280">
        <f t="shared" si="530"/>
        <v>-502600</v>
      </c>
      <c r="S843" s="282">
        <f t="shared" si="530"/>
        <v>-515100</v>
      </c>
    </row>
    <row r="844" spans="1:19" ht="12.75" customHeight="1" thickBot="1" x14ac:dyDescent="0.25">
      <c r="A844" s="26"/>
      <c r="B844" s="81"/>
      <c r="C844" s="37"/>
      <c r="D844" s="37"/>
      <c r="E844" s="23"/>
      <c r="F844" s="400"/>
      <c r="G844" s="259"/>
      <c r="H844" s="23"/>
      <c r="I844" s="275"/>
      <c r="J844" s="23"/>
      <c r="K844" s="23"/>
      <c r="L844" s="23"/>
      <c r="M844" s="23"/>
      <c r="N844" s="23"/>
      <c r="O844" s="23"/>
      <c r="P844" s="23"/>
      <c r="Q844" s="23"/>
      <c r="R844" s="23"/>
      <c r="S844" s="112"/>
    </row>
    <row r="845" spans="1:19" ht="12.75" customHeight="1" thickTop="1" thickBot="1" x14ac:dyDescent="0.25">
      <c r="A845" s="27"/>
      <c r="B845" s="27"/>
      <c r="C845" s="27"/>
      <c r="D845" s="27"/>
      <c r="E845" s="27"/>
      <c r="F845" s="169"/>
      <c r="G845" s="84"/>
      <c r="H845" s="46"/>
      <c r="I845" s="2234"/>
      <c r="J845" s="46"/>
      <c r="K845" s="46"/>
      <c r="L845" s="46"/>
      <c r="M845" s="46"/>
      <c r="N845" s="46"/>
      <c r="O845" s="46"/>
      <c r="P845" s="46"/>
      <c r="Q845" s="46"/>
      <c r="R845" s="46"/>
      <c r="S845" s="46"/>
    </row>
    <row r="846" spans="1:19" ht="12.75" customHeight="1" x14ac:dyDescent="0.2">
      <c r="A846" s="2591" t="s">
        <v>1824</v>
      </c>
      <c r="B846" s="2577"/>
      <c r="C846" s="2577"/>
      <c r="D846" s="2577"/>
      <c r="E846" s="2592"/>
      <c r="F846" s="1162" t="s">
        <v>2616</v>
      </c>
      <c r="G846" s="1163" t="s">
        <v>2213</v>
      </c>
      <c r="H846" s="2576" t="s">
        <v>2215</v>
      </c>
      <c r="I846" s="2577"/>
      <c r="J846" s="2577"/>
      <c r="K846" s="2577"/>
      <c r="L846" s="2577"/>
      <c r="M846" s="2577"/>
      <c r="N846" s="2577"/>
      <c r="O846" s="2577"/>
      <c r="P846" s="2577"/>
      <c r="Q846" s="2577"/>
      <c r="R846" s="2577"/>
      <c r="S846" s="2592"/>
    </row>
    <row r="847" spans="1:19" s="46" customFormat="1" ht="12.75" customHeight="1" thickBot="1" x14ac:dyDescent="0.25">
      <c r="A847" s="1008" t="str">
        <f>A3</f>
        <v>2012/13</v>
      </c>
      <c r="B847" s="28" t="str">
        <f>B3</f>
        <v>2013/14</v>
      </c>
      <c r="C847" s="28" t="str">
        <f>C3</f>
        <v>2014/15</v>
      </c>
      <c r="D847" s="28" t="str">
        <f>D3</f>
        <v>2015/16</v>
      </c>
      <c r="E847" s="28" t="str">
        <f>E3</f>
        <v>2016/17</v>
      </c>
      <c r="F847" s="162" t="s">
        <v>2617</v>
      </c>
      <c r="G847" s="68"/>
      <c r="H847" s="28" t="str">
        <f>H3</f>
        <v>2017/18</v>
      </c>
      <c r="I847" s="2069" t="s">
        <v>492</v>
      </c>
      <c r="J847" s="28" t="str">
        <f t="shared" ref="J847:S847" si="531">J3</f>
        <v>2018/19</v>
      </c>
      <c r="K847" s="28" t="str">
        <f t="shared" si="531"/>
        <v>2019/20</v>
      </c>
      <c r="L847" s="28" t="str">
        <f t="shared" si="531"/>
        <v>2020/21</v>
      </c>
      <c r="M847" s="28" t="str">
        <f t="shared" si="531"/>
        <v>2021/22</v>
      </c>
      <c r="N847" s="28" t="str">
        <f t="shared" si="531"/>
        <v>2022/23</v>
      </c>
      <c r="O847" s="28" t="str">
        <f t="shared" si="531"/>
        <v>2023/24</v>
      </c>
      <c r="P847" s="28" t="str">
        <f t="shared" si="531"/>
        <v>2024/25</v>
      </c>
      <c r="Q847" s="28" t="str">
        <f t="shared" si="531"/>
        <v>2025/26</v>
      </c>
      <c r="R847" s="28" t="str">
        <f t="shared" si="531"/>
        <v>2026/27</v>
      </c>
      <c r="S847" s="1262" t="str">
        <f t="shared" si="531"/>
        <v>2027/28</v>
      </c>
    </row>
    <row r="848" spans="1:19" s="39" customFormat="1" ht="12.75" customHeight="1" x14ac:dyDescent="0.2">
      <c r="A848" s="45"/>
      <c r="B848" s="9"/>
      <c r="C848" s="9"/>
      <c r="D848" s="9"/>
      <c r="E848" s="9"/>
      <c r="F848" s="167"/>
      <c r="G848" s="21"/>
      <c r="H848" s="9"/>
      <c r="I848" s="85"/>
      <c r="J848" s="9"/>
      <c r="K848" s="9"/>
      <c r="L848" s="9"/>
      <c r="M848" s="9"/>
      <c r="N848" s="9"/>
      <c r="O848" s="9"/>
      <c r="P848" s="9"/>
      <c r="Q848" s="9"/>
      <c r="R848" s="9"/>
      <c r="S848" s="61"/>
    </row>
    <row r="849" spans="1:19" ht="12.75" customHeight="1" x14ac:dyDescent="0.2">
      <c r="A849" s="45">
        <f>A84</f>
        <v>-928400</v>
      </c>
      <c r="B849" s="9">
        <f>B84</f>
        <v>-714500</v>
      </c>
      <c r="C849" s="9">
        <f>C84</f>
        <v>-699900</v>
      </c>
      <c r="D849" s="9">
        <f>D84</f>
        <v>-846400</v>
      </c>
      <c r="E849" s="9">
        <f>E84</f>
        <v>-960800</v>
      </c>
      <c r="F849" s="167"/>
      <c r="G849" s="9" t="str">
        <f>F7</f>
        <v>Strategic Planning</v>
      </c>
      <c r="H849" s="9">
        <f>H84</f>
        <v>-1205600</v>
      </c>
      <c r="I849" s="85">
        <f>IF(E849=H849,0,IF(E849=0,100,(H849-E849)/E849*100))</f>
        <v>25.478767693588679</v>
      </c>
      <c r="J849" s="9">
        <f t="shared" ref="J849:S849" si="532">J84</f>
        <v>-944200</v>
      </c>
      <c r="K849" s="9">
        <f t="shared" si="532"/>
        <v>-824000</v>
      </c>
      <c r="L849" s="9">
        <f t="shared" si="532"/>
        <v>-1084500</v>
      </c>
      <c r="M849" s="9">
        <f t="shared" si="532"/>
        <v>-1115500</v>
      </c>
      <c r="N849" s="9">
        <f t="shared" si="532"/>
        <v>-1121800</v>
      </c>
      <c r="O849" s="9">
        <f t="shared" si="532"/>
        <v>-1062100</v>
      </c>
      <c r="P849" s="9">
        <f t="shared" si="532"/>
        <v>-961900</v>
      </c>
      <c r="Q849" s="9">
        <f t="shared" si="532"/>
        <v>-855400</v>
      </c>
      <c r="R849" s="9">
        <f t="shared" si="532"/>
        <v>-744600</v>
      </c>
      <c r="S849" s="61">
        <f t="shared" si="532"/>
        <v>-627000</v>
      </c>
    </row>
    <row r="850" spans="1:19" ht="12.75" customHeight="1" x14ac:dyDescent="0.2">
      <c r="A850" s="45">
        <f>A143</f>
        <v>-478200</v>
      </c>
      <c r="B850" s="9">
        <f>B143</f>
        <v>-696600</v>
      </c>
      <c r="C850" s="9">
        <f>C143</f>
        <v>-733100</v>
      </c>
      <c r="D850" s="9">
        <f>D143</f>
        <v>-749600</v>
      </c>
      <c r="E850" s="9">
        <f>E143</f>
        <v>-788100</v>
      </c>
      <c r="F850" s="167"/>
      <c r="G850" s="9" t="str">
        <f>F8</f>
        <v>Community Facilities</v>
      </c>
      <c r="H850" s="9">
        <f>H143</f>
        <v>-851100</v>
      </c>
      <c r="I850" s="85">
        <f>IF(E850=H850,0,IF(E850=0,100,(H850-E850)/E850*100))</f>
        <v>7.9939094023601065</v>
      </c>
      <c r="J850" s="9">
        <f t="shared" ref="J850:S850" si="533">J143</f>
        <v>-932000</v>
      </c>
      <c r="K850" s="9">
        <f t="shared" si="533"/>
        <v>-1050200</v>
      </c>
      <c r="L850" s="9">
        <f t="shared" si="533"/>
        <v>-1076100</v>
      </c>
      <c r="M850" s="9">
        <f t="shared" si="533"/>
        <v>-1104500</v>
      </c>
      <c r="N850" s="9">
        <f t="shared" si="533"/>
        <v>-1131300</v>
      </c>
      <c r="O850" s="9">
        <f t="shared" si="533"/>
        <v>-1161000</v>
      </c>
      <c r="P850" s="9">
        <f t="shared" si="533"/>
        <v>-1190800</v>
      </c>
      <c r="Q850" s="9">
        <f t="shared" si="533"/>
        <v>-1222300</v>
      </c>
      <c r="R850" s="9">
        <f t="shared" si="533"/>
        <v>-1253600</v>
      </c>
      <c r="S850" s="61">
        <f t="shared" si="533"/>
        <v>-1287100</v>
      </c>
    </row>
    <row r="851" spans="1:19" ht="12.75" customHeight="1" x14ac:dyDescent="0.2">
      <c r="A851" s="45">
        <f>A196</f>
        <v>-1226000</v>
      </c>
      <c r="B851" s="9">
        <f>B196</f>
        <v>-1256800</v>
      </c>
      <c r="C851" s="9">
        <f>C196</f>
        <v>-1265100</v>
      </c>
      <c r="D851" s="9">
        <f>D196</f>
        <v>-1307100</v>
      </c>
      <c r="E851" s="9">
        <f>E196</f>
        <v>-1343100</v>
      </c>
      <c r="F851" s="167"/>
      <c r="G851" s="9" t="str">
        <f>F9</f>
        <v>Library Services</v>
      </c>
      <c r="H851" s="9">
        <f>H196</f>
        <v>-1368200</v>
      </c>
      <c r="I851" s="85">
        <f>IF(E851=H851,0,IF(E851=0,100,(H851-E851)/E851*100))</f>
        <v>1.8688109597200506</v>
      </c>
      <c r="J851" s="9">
        <f t="shared" ref="J851:S851" si="534">J196</f>
        <v>-1394700</v>
      </c>
      <c r="K851" s="9">
        <f t="shared" si="534"/>
        <v>-1429900</v>
      </c>
      <c r="L851" s="9">
        <f t="shared" si="534"/>
        <v>-1466100</v>
      </c>
      <c r="M851" s="9">
        <f t="shared" si="534"/>
        <v>-1503200</v>
      </c>
      <c r="N851" s="9">
        <f t="shared" si="534"/>
        <v>-1541200</v>
      </c>
      <c r="O851" s="9">
        <f t="shared" si="534"/>
        <v>-1580000</v>
      </c>
      <c r="P851" s="9">
        <f t="shared" si="534"/>
        <v>-1619800</v>
      </c>
      <c r="Q851" s="9">
        <f t="shared" si="534"/>
        <v>-1660700</v>
      </c>
      <c r="R851" s="9">
        <f t="shared" si="534"/>
        <v>-1702600</v>
      </c>
      <c r="S851" s="61">
        <f t="shared" si="534"/>
        <v>-1745500</v>
      </c>
    </row>
    <row r="852" spans="1:19" ht="12.75" customHeight="1" x14ac:dyDescent="0.2">
      <c r="A852" s="45">
        <f>A247</f>
        <v>-435100</v>
      </c>
      <c r="B852" s="9">
        <f>B247</f>
        <v>-470200</v>
      </c>
      <c r="C852" s="9">
        <f>C247</f>
        <v>-367200</v>
      </c>
      <c r="D852" s="9">
        <f>D247</f>
        <v>-282700</v>
      </c>
      <c r="E852" s="9">
        <f>E247</f>
        <v>-285000</v>
      </c>
      <c r="F852" s="167"/>
      <c r="G852" s="9" t="str">
        <f>F10</f>
        <v>Swimming Pools</v>
      </c>
      <c r="H852" s="9">
        <f>H247</f>
        <v>-813500</v>
      </c>
      <c r="I852" s="85">
        <f>IF(E852=H852,0,IF(E852=0,100,(H852-E852)/E852*100))</f>
        <v>185.43859649122808</v>
      </c>
      <c r="J852" s="9">
        <f t="shared" ref="J852:S852" si="535">J247</f>
        <v>-852600</v>
      </c>
      <c r="K852" s="9">
        <f t="shared" si="535"/>
        <v>-844700</v>
      </c>
      <c r="L852" s="9">
        <f t="shared" si="535"/>
        <v>-836200</v>
      </c>
      <c r="M852" s="9">
        <f t="shared" si="535"/>
        <v>-827100</v>
      </c>
      <c r="N852" s="9">
        <f t="shared" si="535"/>
        <v>-819300</v>
      </c>
      <c r="O852" s="9">
        <f t="shared" si="535"/>
        <v>-808700</v>
      </c>
      <c r="P852" s="9">
        <f t="shared" si="535"/>
        <v>-799800</v>
      </c>
      <c r="Q852" s="9">
        <f t="shared" si="535"/>
        <v>-789200</v>
      </c>
      <c r="R852" s="9">
        <f t="shared" si="535"/>
        <v>-777800</v>
      </c>
      <c r="S852" s="61">
        <f t="shared" si="535"/>
        <v>-766100</v>
      </c>
    </row>
    <row r="853" spans="1:19" ht="12.75" customHeight="1" x14ac:dyDescent="0.2">
      <c r="A853" s="45">
        <f>A301</f>
        <v>-354900</v>
      </c>
      <c r="B853" s="9">
        <f>B301</f>
        <v>-424800</v>
      </c>
      <c r="C853" s="9">
        <f>C301</f>
        <v>-366700</v>
      </c>
      <c r="D853" s="9">
        <f>D301</f>
        <v>-422500</v>
      </c>
      <c r="E853" s="9">
        <f>E301</f>
        <v>-475100</v>
      </c>
      <c r="F853" s="167"/>
      <c r="G853" s="9" t="str">
        <f>F11</f>
        <v>Tourism</v>
      </c>
      <c r="H853" s="9">
        <f>H301</f>
        <v>-422400</v>
      </c>
      <c r="I853" s="85">
        <f>IF(E853=H853,0,IF(E853=0,100,(H853-E853)/E853*100))</f>
        <v>-11.09240159966323</v>
      </c>
      <c r="J853" s="9">
        <f t="shared" ref="J853:S853" si="536">J301</f>
        <v>-412300</v>
      </c>
      <c r="K853" s="9">
        <f t="shared" si="536"/>
        <v>-422800</v>
      </c>
      <c r="L853" s="9">
        <f t="shared" si="536"/>
        <v>-433500</v>
      </c>
      <c r="M853" s="9">
        <f t="shared" si="536"/>
        <v>-444400</v>
      </c>
      <c r="N853" s="9">
        <f t="shared" si="536"/>
        <v>-455500</v>
      </c>
      <c r="O853" s="9">
        <f t="shared" si="536"/>
        <v>-466900</v>
      </c>
      <c r="P853" s="9">
        <f t="shared" si="536"/>
        <v>-478500</v>
      </c>
      <c r="Q853" s="9">
        <f t="shared" si="536"/>
        <v>-490400</v>
      </c>
      <c r="R853" s="9">
        <f t="shared" si="536"/>
        <v>-502600</v>
      </c>
      <c r="S853" s="61">
        <f t="shared" si="536"/>
        <v>-515100</v>
      </c>
    </row>
    <row r="854" spans="1:19" ht="12.75" customHeight="1" thickBot="1" x14ac:dyDescent="0.25">
      <c r="A854" s="544"/>
      <c r="B854" s="21"/>
      <c r="C854" s="21"/>
      <c r="D854" s="21"/>
      <c r="E854" s="21"/>
      <c r="F854" s="167"/>
      <c r="G854" s="9"/>
      <c r="H854" s="9"/>
      <c r="I854" s="126"/>
      <c r="J854" s="9"/>
      <c r="K854" s="9"/>
      <c r="L854" s="9"/>
      <c r="M854" s="9"/>
      <c r="N854" s="9"/>
      <c r="O854" s="9"/>
      <c r="P854" s="9"/>
      <c r="Q854" s="9"/>
      <c r="R854" s="9"/>
      <c r="S854" s="61"/>
    </row>
    <row r="855" spans="1:19" ht="12.75" customHeight="1" x14ac:dyDescent="0.2">
      <c r="A855" s="545">
        <f>SUM(A849:A854)</f>
        <v>-3422600</v>
      </c>
      <c r="B855" s="16">
        <f>SUM(B849:B854)</f>
        <v>-3562900</v>
      </c>
      <c r="C855" s="16">
        <f>SUM(C849:C854)</f>
        <v>-3432000</v>
      </c>
      <c r="D855" s="16">
        <f>SUM(D849:D854)</f>
        <v>-3608300</v>
      </c>
      <c r="E855" s="16">
        <f>SUM(E849:E854)</f>
        <v>-3852100</v>
      </c>
      <c r="F855" s="167"/>
      <c r="G855" s="361" t="s">
        <v>2143</v>
      </c>
      <c r="H855" s="16">
        <f>SUM(H849:H854)</f>
        <v>-4660800</v>
      </c>
      <c r="I855" s="126">
        <f>IF(E855=H855,0,IF(E855=0,100,(H855-E855)/E855*100))</f>
        <v>20.993743672282651</v>
      </c>
      <c r="J855" s="16">
        <f t="shared" ref="J855:R855" si="537">SUM(J849:J854)</f>
        <v>-4535800</v>
      </c>
      <c r="K855" s="16">
        <f t="shared" si="537"/>
        <v>-4571600</v>
      </c>
      <c r="L855" s="16">
        <f t="shared" si="537"/>
        <v>-4896400</v>
      </c>
      <c r="M855" s="16">
        <f t="shared" si="537"/>
        <v>-4994700</v>
      </c>
      <c r="N855" s="16">
        <f t="shared" si="537"/>
        <v>-5069100</v>
      </c>
      <c r="O855" s="16">
        <f t="shared" si="537"/>
        <v>-5078700</v>
      </c>
      <c r="P855" s="16">
        <f t="shared" si="537"/>
        <v>-5050800</v>
      </c>
      <c r="Q855" s="16">
        <f t="shared" si="537"/>
        <v>-5018000</v>
      </c>
      <c r="R855" s="16">
        <f t="shared" si="537"/>
        <v>-4981200</v>
      </c>
      <c r="S855" s="60">
        <f t="shared" ref="S855" si="538">SUM(S849:S854)</f>
        <v>-4940800</v>
      </c>
    </row>
    <row r="856" spans="1:19" ht="12.75" customHeight="1" thickBot="1" x14ac:dyDescent="0.25">
      <c r="A856" s="432"/>
      <c r="B856" s="37"/>
      <c r="C856" s="37"/>
      <c r="D856" s="37"/>
      <c r="E856" s="37"/>
      <c r="F856" s="168"/>
      <c r="G856" s="259"/>
      <c r="H856" s="23"/>
      <c r="I856" s="275"/>
      <c r="J856" s="23"/>
      <c r="K856" s="23"/>
      <c r="L856" s="23"/>
      <c r="M856" s="23"/>
      <c r="N856" s="23"/>
      <c r="O856" s="23"/>
      <c r="P856" s="23"/>
      <c r="Q856" s="23"/>
      <c r="R856" s="23"/>
      <c r="S856" s="112"/>
    </row>
    <row r="857" spans="1:19" ht="12.75" customHeight="1" thickTop="1" thickBot="1" x14ac:dyDescent="0.25">
      <c r="A857" s="27"/>
      <c r="B857" s="27"/>
      <c r="C857" s="27"/>
      <c r="D857" s="27"/>
      <c r="E857" s="27"/>
      <c r="F857" s="165"/>
      <c r="G857" s="84"/>
      <c r="H857" s="27"/>
      <c r="I857" s="2234"/>
      <c r="J857" s="27"/>
      <c r="K857" s="27"/>
      <c r="L857" s="46"/>
      <c r="M857" s="46"/>
      <c r="N857" s="46"/>
      <c r="O857" s="46"/>
      <c r="P857" s="46"/>
      <c r="Q857" s="46"/>
      <c r="R857" s="46"/>
      <c r="S857" s="46"/>
    </row>
    <row r="858" spans="1:19" ht="12.75" customHeight="1" x14ac:dyDescent="0.2">
      <c r="A858" s="2591" t="s">
        <v>1824</v>
      </c>
      <c r="B858" s="2577"/>
      <c r="C858" s="2577"/>
      <c r="D858" s="2577"/>
      <c r="E858" s="2592"/>
      <c r="F858" s="1162" t="s">
        <v>2616</v>
      </c>
      <c r="G858" s="1163" t="s">
        <v>2213</v>
      </c>
      <c r="H858" s="2576" t="s">
        <v>2215</v>
      </c>
      <c r="I858" s="2577"/>
      <c r="J858" s="2577"/>
      <c r="K858" s="2577"/>
      <c r="L858" s="2577"/>
      <c r="M858" s="2577"/>
      <c r="N858" s="2577"/>
      <c r="O858" s="2577"/>
      <c r="P858" s="2577"/>
      <c r="Q858" s="2577"/>
      <c r="R858" s="2577"/>
      <c r="S858" s="2592"/>
    </row>
    <row r="859" spans="1:19" ht="12.75" customHeight="1" thickBot="1" x14ac:dyDescent="0.25">
      <c r="A859" s="541" t="str">
        <f>A3</f>
        <v>2012/13</v>
      </c>
      <c r="B859" s="28" t="str">
        <f>B3</f>
        <v>2013/14</v>
      </c>
      <c r="C859" s="28" t="str">
        <f>C3</f>
        <v>2014/15</v>
      </c>
      <c r="D859" s="28" t="str">
        <f>D3</f>
        <v>2015/16</v>
      </c>
      <c r="E859" s="28" t="str">
        <f>E3</f>
        <v>2016/17</v>
      </c>
      <c r="F859" s="162"/>
      <c r="G859" s="41"/>
      <c r="H859" s="28" t="str">
        <f>H3</f>
        <v>2017/18</v>
      </c>
      <c r="I859" s="1588" t="s">
        <v>492</v>
      </c>
      <c r="J859" s="464" t="str">
        <f t="shared" ref="J859:S859" si="539">J3</f>
        <v>2018/19</v>
      </c>
      <c r="K859" s="2073" t="str">
        <f t="shared" si="539"/>
        <v>2019/20</v>
      </c>
      <c r="L859" s="28" t="str">
        <f t="shared" si="539"/>
        <v>2020/21</v>
      </c>
      <c r="M859" s="28" t="str">
        <f t="shared" si="539"/>
        <v>2021/22</v>
      </c>
      <c r="N859" s="28" t="str">
        <f t="shared" si="539"/>
        <v>2022/23</v>
      </c>
      <c r="O859" s="2073" t="str">
        <f t="shared" si="539"/>
        <v>2023/24</v>
      </c>
      <c r="P859" s="28" t="str">
        <f t="shared" si="539"/>
        <v>2024/25</v>
      </c>
      <c r="Q859" s="28" t="str">
        <f t="shared" si="539"/>
        <v>2025/26</v>
      </c>
      <c r="R859" s="28" t="str">
        <f t="shared" si="539"/>
        <v>2026/27</v>
      </c>
      <c r="S859" s="1262" t="str">
        <f t="shared" si="539"/>
        <v>2027/28</v>
      </c>
    </row>
    <row r="860" spans="1:19" ht="12.75" customHeight="1" x14ac:dyDescent="0.2">
      <c r="A860" s="54"/>
      <c r="B860" s="9"/>
      <c r="C860" s="9"/>
      <c r="D860" s="9"/>
      <c r="E860" s="9"/>
      <c r="F860" s="167"/>
      <c r="G860" s="27"/>
      <c r="H860" s="9"/>
      <c r="I860" s="85"/>
      <c r="J860" s="89"/>
      <c r="K860" s="9"/>
      <c r="L860" s="9"/>
      <c r="M860" s="9"/>
      <c r="N860" s="9"/>
      <c r="O860" s="46"/>
      <c r="P860" s="9"/>
      <c r="Q860" s="9"/>
      <c r="R860" s="9"/>
      <c r="S860" s="61"/>
    </row>
    <row r="861" spans="1:19" ht="12.75" customHeight="1" x14ac:dyDescent="0.2">
      <c r="A861" s="54">
        <f>A82</f>
        <v>-928400</v>
      </c>
      <c r="B861" s="79">
        <f>B82</f>
        <v>-714500</v>
      </c>
      <c r="C861" s="9">
        <f>C82</f>
        <v>-699900</v>
      </c>
      <c r="D861" s="9">
        <f>D82</f>
        <v>-846400</v>
      </c>
      <c r="E861" s="9">
        <f>E82</f>
        <v>-960800</v>
      </c>
      <c r="F861" s="167"/>
      <c r="G861" s="46" t="str">
        <f>F7</f>
        <v>Strategic Planning</v>
      </c>
      <c r="H861" s="9">
        <f>H82</f>
        <v>-1205600</v>
      </c>
      <c r="I861" s="85">
        <f>IF(E861=H861,0,IF(E861=0,100,(H861-E861)/E861*100))</f>
        <v>25.478767693588679</v>
      </c>
      <c r="J861" s="89">
        <f t="shared" ref="J861:S861" si="540">J82</f>
        <v>-944200</v>
      </c>
      <c r="K861" s="9">
        <f t="shared" si="540"/>
        <v>-824000</v>
      </c>
      <c r="L861" s="9">
        <f t="shared" si="540"/>
        <v>-1084500</v>
      </c>
      <c r="M861" s="9">
        <f t="shared" si="540"/>
        <v>-1115500</v>
      </c>
      <c r="N861" s="9">
        <f t="shared" si="540"/>
        <v>-1121800</v>
      </c>
      <c r="O861" s="46">
        <f t="shared" si="540"/>
        <v>-1062100</v>
      </c>
      <c r="P861" s="9">
        <f t="shared" si="540"/>
        <v>-961900</v>
      </c>
      <c r="Q861" s="9">
        <f t="shared" si="540"/>
        <v>-855400</v>
      </c>
      <c r="R861" s="9">
        <f t="shared" si="540"/>
        <v>-744600</v>
      </c>
      <c r="S861" s="61">
        <f t="shared" si="540"/>
        <v>-627000</v>
      </c>
    </row>
    <row r="862" spans="1:19" ht="12.75" customHeight="1" x14ac:dyDescent="0.2">
      <c r="A862" s="54">
        <f>A141</f>
        <v>-1416400</v>
      </c>
      <c r="B862" s="79">
        <f>B141</f>
        <v>-1434400</v>
      </c>
      <c r="C862" s="9">
        <f>C141</f>
        <v>-1617800</v>
      </c>
      <c r="D862" s="9">
        <f>D141</f>
        <v>-1657300</v>
      </c>
      <c r="E862" s="9">
        <f>E141</f>
        <v>-1721800</v>
      </c>
      <c r="F862" s="167"/>
      <c r="G862" s="46" t="str">
        <f>F8</f>
        <v>Community Facilities</v>
      </c>
      <c r="H862" s="9">
        <f>H141</f>
        <v>-1753800</v>
      </c>
      <c r="I862" s="85">
        <f>IF(E862=H862,0,IF(E862=0,100,(H862-E862)/E862*100))</f>
        <v>1.8585201533279125</v>
      </c>
      <c r="J862" s="89">
        <f t="shared" ref="J862:S862" si="541">J141</f>
        <v>-1923500</v>
      </c>
      <c r="K862" s="9">
        <f t="shared" si="541"/>
        <v>-2141600</v>
      </c>
      <c r="L862" s="9">
        <f t="shared" si="541"/>
        <v>-2189600</v>
      </c>
      <c r="M862" s="9">
        <f t="shared" si="541"/>
        <v>-2240500</v>
      </c>
      <c r="N862" s="9">
        <f t="shared" si="541"/>
        <v>-2290200</v>
      </c>
      <c r="O862" s="46">
        <f t="shared" si="541"/>
        <v>-2343200</v>
      </c>
      <c r="P862" s="9">
        <f t="shared" si="541"/>
        <v>-2396900</v>
      </c>
      <c r="Q862" s="9">
        <f t="shared" si="541"/>
        <v>-2452700</v>
      </c>
      <c r="R862" s="9">
        <f t="shared" si="541"/>
        <v>-2508800</v>
      </c>
      <c r="S862" s="61">
        <f t="shared" si="541"/>
        <v>-2567500</v>
      </c>
    </row>
    <row r="863" spans="1:19" ht="12.75" customHeight="1" x14ac:dyDescent="0.2">
      <c r="A863" s="54">
        <f>A194</f>
        <v>-1399000</v>
      </c>
      <c r="B863" s="79">
        <f>B194</f>
        <v>-1526700</v>
      </c>
      <c r="C863" s="9">
        <f>C194</f>
        <v>-1413600</v>
      </c>
      <c r="D863" s="9">
        <f>D194</f>
        <v>-1459100</v>
      </c>
      <c r="E863" s="9">
        <f>E194</f>
        <v>-1509800</v>
      </c>
      <c r="F863" s="167"/>
      <c r="G863" s="46" t="str">
        <f>F9</f>
        <v>Library Services</v>
      </c>
      <c r="H863" s="9">
        <f>H194</f>
        <v>-1520200</v>
      </c>
      <c r="I863" s="85">
        <f>IF(E863=H863,0,IF(E863=0,100,(H863-E863)/E863*100))</f>
        <v>0.68883295800768318</v>
      </c>
      <c r="J863" s="89">
        <f t="shared" ref="J863:S863" si="542">J194</f>
        <v>-1564700</v>
      </c>
      <c r="K863" s="9">
        <f t="shared" si="542"/>
        <v>-1603300</v>
      </c>
      <c r="L863" s="9">
        <f t="shared" si="542"/>
        <v>-1643000</v>
      </c>
      <c r="M863" s="9">
        <f t="shared" si="542"/>
        <v>-1683700</v>
      </c>
      <c r="N863" s="9">
        <f t="shared" si="542"/>
        <v>-1725400</v>
      </c>
      <c r="O863" s="46">
        <f t="shared" si="542"/>
        <v>-1767900</v>
      </c>
      <c r="P863" s="9">
        <f t="shared" si="542"/>
        <v>-1811500</v>
      </c>
      <c r="Q863" s="9">
        <f t="shared" si="542"/>
        <v>-1856300</v>
      </c>
      <c r="R863" s="9">
        <f t="shared" si="542"/>
        <v>-1902200</v>
      </c>
      <c r="S863" s="61">
        <f t="shared" si="542"/>
        <v>-1949100</v>
      </c>
    </row>
    <row r="864" spans="1:19" ht="12.75" customHeight="1" x14ac:dyDescent="0.2">
      <c r="A864" s="54">
        <f>A245</f>
        <v>-560100</v>
      </c>
      <c r="B864" s="79">
        <f>B245</f>
        <v>-518400</v>
      </c>
      <c r="C864" s="9">
        <f>C245</f>
        <v>-468000</v>
      </c>
      <c r="D864" s="9">
        <f>D245</f>
        <v>-385500</v>
      </c>
      <c r="E864" s="9">
        <f>E245</f>
        <v>-337000</v>
      </c>
      <c r="F864" s="167"/>
      <c r="G864" s="46" t="str">
        <f>F10</f>
        <v>Swimming Pools</v>
      </c>
      <c r="H864" s="9">
        <f>H245</f>
        <v>-998200</v>
      </c>
      <c r="I864" s="85">
        <f>IF(E864=H864,0,IF(E864=0,100,(H864-E864)/E864*100))</f>
        <v>196.20178041543025</v>
      </c>
      <c r="J864" s="89">
        <f t="shared" ref="J864:S864" si="543">J245</f>
        <v>-1041000</v>
      </c>
      <c r="K864" s="9">
        <f t="shared" si="543"/>
        <v>-1036900</v>
      </c>
      <c r="L864" s="9">
        <f t="shared" si="543"/>
        <v>-1032300</v>
      </c>
      <c r="M864" s="9">
        <f t="shared" si="543"/>
        <v>-1027200</v>
      </c>
      <c r="N864" s="9">
        <f t="shared" si="543"/>
        <v>-1023500</v>
      </c>
      <c r="O864" s="46">
        <f t="shared" si="543"/>
        <v>-1017000</v>
      </c>
      <c r="P864" s="9">
        <f t="shared" si="543"/>
        <v>-1012300</v>
      </c>
      <c r="Q864" s="9">
        <f t="shared" si="543"/>
        <v>-1006000</v>
      </c>
      <c r="R864" s="9">
        <f t="shared" si="543"/>
        <v>-999000</v>
      </c>
      <c r="S864" s="61">
        <f t="shared" si="543"/>
        <v>-991800</v>
      </c>
    </row>
    <row r="865" spans="1:19" s="46" customFormat="1" ht="12.75" customHeight="1" x14ac:dyDescent="0.2">
      <c r="A865" s="54">
        <f>A299</f>
        <v>-443000</v>
      </c>
      <c r="B865" s="79">
        <f>B299</f>
        <v>-473300</v>
      </c>
      <c r="C865" s="9">
        <f>C299</f>
        <v>-392700</v>
      </c>
      <c r="D865" s="9">
        <f>D299</f>
        <v>-449100</v>
      </c>
      <c r="E865" s="9">
        <f>E299</f>
        <v>-502500</v>
      </c>
      <c r="F865" s="167"/>
      <c r="G865" s="46" t="str">
        <f>F11</f>
        <v>Tourism</v>
      </c>
      <c r="H865" s="9">
        <f>H299</f>
        <v>-449000</v>
      </c>
      <c r="I865" s="85">
        <f>IF(E865=H865,0,IF(E865=0,100,(H865-E865)/E865*100))</f>
        <v>-10.646766169154228</v>
      </c>
      <c r="J865" s="89">
        <f t="shared" ref="J865:S865" si="544">J299</f>
        <v>-440300</v>
      </c>
      <c r="K865" s="9">
        <f t="shared" si="544"/>
        <v>-451400</v>
      </c>
      <c r="L865" s="9">
        <f t="shared" si="544"/>
        <v>-462700</v>
      </c>
      <c r="M865" s="9">
        <f t="shared" si="544"/>
        <v>-474200</v>
      </c>
      <c r="N865" s="9">
        <f t="shared" si="544"/>
        <v>-485900</v>
      </c>
      <c r="O865" s="46">
        <f t="shared" si="544"/>
        <v>-498000</v>
      </c>
      <c r="P865" s="9">
        <f t="shared" si="544"/>
        <v>-510300</v>
      </c>
      <c r="Q865" s="9">
        <f t="shared" si="544"/>
        <v>-522900</v>
      </c>
      <c r="R865" s="9">
        <f t="shared" si="544"/>
        <v>-535800</v>
      </c>
      <c r="S865" s="61">
        <f t="shared" si="544"/>
        <v>-549000</v>
      </c>
    </row>
    <row r="866" spans="1:19" s="39" customFormat="1" ht="12.75" customHeight="1" thickBot="1" x14ac:dyDescent="0.25">
      <c r="A866" s="24"/>
      <c r="B866" s="21"/>
      <c r="C866" s="21"/>
      <c r="D866" s="21"/>
      <c r="E866" s="21"/>
      <c r="F866" s="167"/>
      <c r="G866" s="46"/>
      <c r="H866" s="9"/>
      <c r="I866" s="126"/>
      <c r="J866" s="89"/>
      <c r="K866" s="9"/>
      <c r="L866" s="9"/>
      <c r="M866" s="9"/>
      <c r="N866" s="9"/>
      <c r="O866" s="46"/>
      <c r="P866" s="9"/>
      <c r="Q866" s="9"/>
      <c r="R866" s="9"/>
      <c r="S866" s="61"/>
    </row>
    <row r="867" spans="1:19" ht="12.75" customHeight="1" x14ac:dyDescent="0.2">
      <c r="A867" s="52">
        <f>SUM(A861:A866)</f>
        <v>-4746900</v>
      </c>
      <c r="B867" s="16">
        <f>SUM(B861:B866)</f>
        <v>-4667300</v>
      </c>
      <c r="C867" s="16">
        <f>SUM(C861:C866)</f>
        <v>-4592000</v>
      </c>
      <c r="D867" s="16">
        <f>SUM(D861:D866)</f>
        <v>-4797400</v>
      </c>
      <c r="E867" s="16">
        <f>SUM(E861:E866)</f>
        <v>-5031900</v>
      </c>
      <c r="F867" s="167"/>
      <c r="G867" s="366" t="s">
        <v>361</v>
      </c>
      <c r="H867" s="16">
        <f>SUM(H861:H866)</f>
        <v>-5926800</v>
      </c>
      <c r="I867" s="126">
        <f>IF(E867=H867,0,IF(E867=0,100,(H867-E867)/E867*100))</f>
        <v>17.784534668812974</v>
      </c>
      <c r="J867" s="102">
        <f t="shared" ref="J867:R867" si="545">SUM(J861:J866)</f>
        <v>-5913700</v>
      </c>
      <c r="K867" s="16">
        <f t="shared" si="545"/>
        <v>-6057200</v>
      </c>
      <c r="L867" s="16">
        <f t="shared" si="545"/>
        <v>-6412100</v>
      </c>
      <c r="M867" s="16">
        <f t="shared" si="545"/>
        <v>-6541100</v>
      </c>
      <c r="N867" s="16">
        <f t="shared" si="545"/>
        <v>-6646800</v>
      </c>
      <c r="O867" s="124">
        <f t="shared" si="545"/>
        <v>-6688200</v>
      </c>
      <c r="P867" s="16">
        <f t="shared" si="545"/>
        <v>-6692900</v>
      </c>
      <c r="Q867" s="16">
        <f t="shared" si="545"/>
        <v>-6693300</v>
      </c>
      <c r="R867" s="16">
        <f t="shared" si="545"/>
        <v>-6690400</v>
      </c>
      <c r="S867" s="60">
        <f t="shared" ref="S867" si="546">SUM(S861:S866)</f>
        <v>-6684400</v>
      </c>
    </row>
    <row r="868" spans="1:19" ht="12.75" customHeight="1" x14ac:dyDescent="0.2">
      <c r="A868" s="24"/>
      <c r="B868" s="21"/>
      <c r="C868" s="21"/>
      <c r="D868" s="21"/>
      <c r="E868" s="21"/>
      <c r="F868" s="167"/>
      <c r="G868" s="366"/>
      <c r="H868" s="21"/>
      <c r="I868" s="126"/>
      <c r="J868" s="75"/>
      <c r="K868" s="21"/>
      <c r="L868" s="21"/>
      <c r="M868" s="21"/>
      <c r="N868" s="21"/>
      <c r="O868" s="27"/>
      <c r="P868" s="21"/>
      <c r="Q868" s="21"/>
      <c r="R868" s="21"/>
      <c r="S868" s="62"/>
    </row>
    <row r="869" spans="1:19" ht="12.75" customHeight="1" x14ac:dyDescent="0.2">
      <c r="A869" s="24">
        <f>A855</f>
        <v>-3422600</v>
      </c>
      <c r="B869" s="21">
        <f>B855</f>
        <v>-3562900</v>
      </c>
      <c r="C869" s="21">
        <f>C855</f>
        <v>-3432000</v>
      </c>
      <c r="D869" s="21">
        <f>D855</f>
        <v>-3608300</v>
      </c>
      <c r="E869" s="21">
        <f>E855</f>
        <v>-3852100</v>
      </c>
      <c r="F869" s="167"/>
      <c r="G869" s="366" t="s">
        <v>2755</v>
      </c>
      <c r="H869" s="21">
        <f>H855</f>
        <v>-4660800</v>
      </c>
      <c r="I869" s="85">
        <f>IF(E869=H869,0,IF(E869=0,100,(H869-E869)/E869*100))</f>
        <v>20.993743672282651</v>
      </c>
      <c r="J869" s="75">
        <f t="shared" ref="J869:R869" si="547">J855</f>
        <v>-4535800</v>
      </c>
      <c r="K869" s="21">
        <f t="shared" si="547"/>
        <v>-4571600</v>
      </c>
      <c r="L869" s="21">
        <f t="shared" si="547"/>
        <v>-4896400</v>
      </c>
      <c r="M869" s="21">
        <f t="shared" si="547"/>
        <v>-4994700</v>
      </c>
      <c r="N869" s="21">
        <f t="shared" si="547"/>
        <v>-5069100</v>
      </c>
      <c r="O869" s="27">
        <f t="shared" si="547"/>
        <v>-5078700</v>
      </c>
      <c r="P869" s="21">
        <f t="shared" si="547"/>
        <v>-5050800</v>
      </c>
      <c r="Q869" s="21">
        <f t="shared" si="547"/>
        <v>-5018000</v>
      </c>
      <c r="R869" s="21">
        <f t="shared" si="547"/>
        <v>-4981200</v>
      </c>
      <c r="S869" s="62">
        <f t="shared" ref="S869" si="548">S855</f>
        <v>-4940800</v>
      </c>
    </row>
    <row r="870" spans="1:19" ht="12.75" customHeight="1" x14ac:dyDescent="0.2">
      <c r="A870" s="24"/>
      <c r="B870" s="21"/>
      <c r="C870" s="21"/>
      <c r="D870" s="21"/>
      <c r="E870" s="21"/>
      <c r="F870" s="167"/>
      <c r="G870" s="366"/>
      <c r="H870" s="21"/>
      <c r="I870" s="126"/>
      <c r="J870" s="75"/>
      <c r="K870" s="21"/>
      <c r="L870" s="21"/>
      <c r="M870" s="21"/>
      <c r="N870" s="21"/>
      <c r="O870" s="27"/>
      <c r="P870" s="21"/>
      <c r="Q870" s="21"/>
      <c r="R870" s="21"/>
      <c r="S870" s="62"/>
    </row>
    <row r="871" spans="1:19" ht="12.75" customHeight="1" x14ac:dyDescent="0.2">
      <c r="A871" s="24">
        <f>ROUND(A835+A766+A702+A651+A584+A411,-2)</f>
        <v>1324300</v>
      </c>
      <c r="B871" s="21">
        <f>ROUND(B835+B766+B702+B651+B584+B411,-2)</f>
        <v>1104400</v>
      </c>
      <c r="C871" s="21">
        <f>ROUND(C835+C766+C702+C651+C584+C411,-2)</f>
        <v>1160000</v>
      </c>
      <c r="D871" s="21">
        <f>ROUND(D835+D766+D702+D651+D584+D411,-2)</f>
        <v>1189100</v>
      </c>
      <c r="E871" s="21">
        <f>ROUND(E835+E766+E702+E651+E584+E411,-2)</f>
        <v>1179800</v>
      </c>
      <c r="F871" s="167"/>
      <c r="G871" s="366" t="s">
        <v>2035</v>
      </c>
      <c r="H871" s="21">
        <f>ROUND(H835+H766+H702+H651+H584+H411,-2)</f>
        <v>1266000</v>
      </c>
      <c r="I871" s="85">
        <f>IF(E871=H871,0,IF(E871=0,100,(H871-E871)/E871*100))</f>
        <v>7.3063231056111206</v>
      </c>
      <c r="J871" s="75">
        <f t="shared" ref="J871:S871" si="549">ROUND(J835+J766+J702+J651+J584+J411,-2)</f>
        <v>1377900</v>
      </c>
      <c r="K871" s="21">
        <f t="shared" si="549"/>
        <v>1485600</v>
      </c>
      <c r="L871" s="21">
        <f t="shared" si="549"/>
        <v>1515700</v>
      </c>
      <c r="M871" s="21">
        <f t="shared" si="549"/>
        <v>1546400</v>
      </c>
      <c r="N871" s="21">
        <f t="shared" si="549"/>
        <v>1577700</v>
      </c>
      <c r="O871" s="27">
        <f t="shared" si="549"/>
        <v>1609500</v>
      </c>
      <c r="P871" s="21">
        <f t="shared" si="549"/>
        <v>1642100</v>
      </c>
      <c r="Q871" s="21">
        <f t="shared" si="549"/>
        <v>1675300</v>
      </c>
      <c r="R871" s="21">
        <f t="shared" si="549"/>
        <v>1709200</v>
      </c>
      <c r="S871" s="62">
        <f t="shared" si="549"/>
        <v>1743600</v>
      </c>
    </row>
    <row r="872" spans="1:19" ht="12.75" customHeight="1" x14ac:dyDescent="0.2">
      <c r="A872" s="24"/>
      <c r="B872" s="21"/>
      <c r="C872" s="21"/>
      <c r="D872" s="21"/>
      <c r="E872" s="21"/>
      <c r="F872" s="167"/>
      <c r="G872" s="366"/>
      <c r="H872" s="21"/>
      <c r="I872" s="126"/>
      <c r="J872" s="75"/>
      <c r="K872" s="21"/>
      <c r="L872" s="21"/>
      <c r="M872" s="21"/>
      <c r="N872" s="21"/>
      <c r="O872" s="27"/>
      <c r="P872" s="21"/>
      <c r="Q872" s="21"/>
      <c r="R872" s="21"/>
      <c r="S872" s="62"/>
    </row>
    <row r="873" spans="1:19" s="39" customFormat="1" ht="12.75" customHeight="1" x14ac:dyDescent="0.2">
      <c r="A873" s="24">
        <f>ROUND(A867+A871-A869,-3)</f>
        <v>0</v>
      </c>
      <c r="B873" s="21">
        <f>B867+B871-B869</f>
        <v>0</v>
      </c>
      <c r="C873" s="21">
        <f>C867+C871-C869</f>
        <v>0</v>
      </c>
      <c r="D873" s="21">
        <f>D867+D871-D869</f>
        <v>0</v>
      </c>
      <c r="E873" s="21">
        <f t="shared" ref="E873" si="550">E867+E871-E869</f>
        <v>0</v>
      </c>
      <c r="F873" s="167"/>
      <c r="G873" s="366" t="s">
        <v>1731</v>
      </c>
      <c r="H873" s="21">
        <f t="shared" ref="H873:O873" si="551">H867+H871-H869</f>
        <v>0</v>
      </c>
      <c r="I873" s="85"/>
      <c r="J873" s="75">
        <f t="shared" si="551"/>
        <v>0</v>
      </c>
      <c r="K873" s="21">
        <f t="shared" si="551"/>
        <v>0</v>
      </c>
      <c r="L873" s="21">
        <f t="shared" si="551"/>
        <v>0</v>
      </c>
      <c r="M873" s="21">
        <f t="shared" si="551"/>
        <v>0</v>
      </c>
      <c r="N873" s="21">
        <f t="shared" si="551"/>
        <v>0</v>
      </c>
      <c r="O873" s="27">
        <f t="shared" si="551"/>
        <v>0</v>
      </c>
      <c r="P873" s="21">
        <f t="shared" ref="P873:Q873" si="552">P867+P871-P869</f>
        <v>0</v>
      </c>
      <c r="Q873" s="21">
        <f t="shared" si="552"/>
        <v>0</v>
      </c>
      <c r="R873" s="21">
        <f t="shared" ref="R873:S873" si="553">R867+R871-R869</f>
        <v>0</v>
      </c>
      <c r="S873" s="62">
        <f t="shared" si="553"/>
        <v>0</v>
      </c>
    </row>
    <row r="874" spans="1:19" ht="12.75" customHeight="1" thickBot="1" x14ac:dyDescent="0.25">
      <c r="A874" s="26"/>
      <c r="B874" s="37"/>
      <c r="C874" s="37"/>
      <c r="D874" s="37"/>
      <c r="E874" s="37"/>
      <c r="F874" s="168"/>
      <c r="G874" s="88"/>
      <c r="H874" s="23"/>
      <c r="I874" s="275"/>
      <c r="J874" s="113"/>
      <c r="K874" s="23"/>
      <c r="L874" s="23"/>
      <c r="M874" s="23"/>
      <c r="N874" s="23"/>
      <c r="O874" s="121"/>
      <c r="P874" s="23"/>
      <c r="Q874" s="23"/>
      <c r="R874" s="23"/>
      <c r="S874" s="112"/>
    </row>
    <row r="875" spans="1:19" ht="12.75" customHeight="1" thickTop="1" thickBot="1" x14ac:dyDescent="0.25">
      <c r="A875" s="46"/>
      <c r="B875" s="46"/>
      <c r="C875" s="46"/>
      <c r="D875" s="46"/>
      <c r="E875" s="46"/>
      <c r="F875" s="373"/>
      <c r="G875" s="46"/>
      <c r="H875" s="46"/>
      <c r="I875" s="70"/>
      <c r="J875" s="46"/>
      <c r="K875" s="46"/>
      <c r="L875" s="46"/>
      <c r="M875" s="46"/>
      <c r="N875" s="46"/>
      <c r="O875" s="46"/>
      <c r="P875" s="46"/>
      <c r="Q875" s="46"/>
      <c r="R875" s="46"/>
      <c r="S875" s="46"/>
    </row>
    <row r="876" spans="1:19" ht="12.75" customHeight="1" x14ac:dyDescent="0.2">
      <c r="A876" s="2591" t="s">
        <v>1824</v>
      </c>
      <c r="B876" s="2577"/>
      <c r="C876" s="2577"/>
      <c r="D876" s="2577"/>
      <c r="E876" s="2592"/>
      <c r="F876" s="1162" t="s">
        <v>2616</v>
      </c>
      <c r="G876" s="1163" t="s">
        <v>2213</v>
      </c>
      <c r="H876" s="2576" t="s">
        <v>2215</v>
      </c>
      <c r="I876" s="2577"/>
      <c r="J876" s="2577"/>
      <c r="K876" s="2577"/>
      <c r="L876" s="2577"/>
      <c r="M876" s="2577"/>
      <c r="N876" s="2577"/>
      <c r="O876" s="2577"/>
      <c r="P876" s="2577"/>
      <c r="Q876" s="2577"/>
      <c r="R876" s="2577"/>
      <c r="S876" s="2592"/>
    </row>
    <row r="877" spans="1:19" ht="12.75" customHeight="1" thickBot="1" x14ac:dyDescent="0.25">
      <c r="A877" s="541" t="str">
        <f>A3</f>
        <v>2012/13</v>
      </c>
      <c r="B877" s="40" t="str">
        <f>B3</f>
        <v>2013/14</v>
      </c>
      <c r="C877" s="28" t="str">
        <f>C3</f>
        <v>2014/15</v>
      </c>
      <c r="D877" s="28" t="str">
        <f>D3</f>
        <v>2015/16</v>
      </c>
      <c r="E877" s="28" t="str">
        <f>E3</f>
        <v>2016/17</v>
      </c>
      <c r="F877" s="162" t="s">
        <v>2617</v>
      </c>
      <c r="G877" s="41"/>
      <c r="H877" s="28" t="str">
        <f>H3</f>
        <v>2017/18</v>
      </c>
      <c r="I877" s="1588" t="s">
        <v>492</v>
      </c>
      <c r="J877" s="28" t="str">
        <f t="shared" ref="J877:S877" si="554">J3</f>
        <v>2018/19</v>
      </c>
      <c r="K877" s="28" t="str">
        <f t="shared" si="554"/>
        <v>2019/20</v>
      </c>
      <c r="L877" s="28" t="str">
        <f t="shared" si="554"/>
        <v>2020/21</v>
      </c>
      <c r="M877" s="28" t="str">
        <f t="shared" si="554"/>
        <v>2021/22</v>
      </c>
      <c r="N877" s="28" t="str">
        <f t="shared" si="554"/>
        <v>2022/23</v>
      </c>
      <c r="O877" s="28" t="str">
        <f t="shared" si="554"/>
        <v>2023/24</v>
      </c>
      <c r="P877" s="28" t="str">
        <f t="shared" si="554"/>
        <v>2024/25</v>
      </c>
      <c r="Q877" s="28" t="str">
        <f t="shared" si="554"/>
        <v>2025/26</v>
      </c>
      <c r="R877" s="28" t="str">
        <f t="shared" si="554"/>
        <v>2026/27</v>
      </c>
      <c r="S877" s="1262" t="str">
        <f t="shared" si="554"/>
        <v>2027/28</v>
      </c>
    </row>
    <row r="878" spans="1:19" ht="12.75" customHeight="1" x14ac:dyDescent="0.2">
      <c r="A878" s="54"/>
      <c r="B878" s="9"/>
      <c r="C878" s="9"/>
      <c r="D878" s="9"/>
      <c r="E878" s="9"/>
      <c r="F878" s="167"/>
      <c r="G878" s="27"/>
      <c r="H878" s="9"/>
      <c r="I878" s="85"/>
      <c r="J878" s="9"/>
      <c r="K878" s="9"/>
      <c r="L878" s="9"/>
      <c r="M878" s="9"/>
      <c r="N878" s="9"/>
      <c r="O878" s="9"/>
      <c r="P878" s="9"/>
      <c r="Q878" s="9"/>
      <c r="R878" s="9"/>
      <c r="S878" s="61"/>
    </row>
    <row r="879" spans="1:19" s="39" customFormat="1" ht="12.75" customHeight="1" x14ac:dyDescent="0.2">
      <c r="A879" s="54"/>
      <c r="B879" s="9"/>
      <c r="C879" s="9"/>
      <c r="D879" s="9"/>
      <c r="E879" s="9"/>
      <c r="F879" s="167"/>
      <c r="G879" s="27" t="s">
        <v>388</v>
      </c>
      <c r="H879" s="9"/>
      <c r="I879" s="85"/>
      <c r="J879" s="9"/>
      <c r="K879" s="9"/>
      <c r="L879" s="9"/>
      <c r="M879" s="9"/>
      <c r="N879" s="9"/>
      <c r="O879" s="9"/>
      <c r="P879" s="9"/>
      <c r="Q879" s="9"/>
      <c r="R879" s="9"/>
      <c r="S879" s="61"/>
    </row>
    <row r="880" spans="1:19" ht="12.75" customHeight="1" x14ac:dyDescent="0.2">
      <c r="A880" s="54"/>
      <c r="B880" s="9"/>
      <c r="C880" s="9"/>
      <c r="D880" s="9"/>
      <c r="E880" s="9"/>
      <c r="F880" s="167"/>
      <c r="G880" s="27"/>
      <c r="H880" s="9"/>
      <c r="I880" s="85"/>
      <c r="J880" s="9"/>
      <c r="K880" s="9"/>
      <c r="L880" s="9"/>
      <c r="M880" s="9"/>
      <c r="N880" s="9"/>
      <c r="O880" s="9"/>
      <c r="P880" s="9"/>
      <c r="Q880" s="9"/>
      <c r="R880" s="9"/>
      <c r="S880" s="61"/>
    </row>
    <row r="881" spans="1:19" ht="12.75" customHeight="1" x14ac:dyDescent="0.2">
      <c r="A881" s="54">
        <f>A13</f>
        <v>1264000</v>
      </c>
      <c r="B881" s="9">
        <f>B13</f>
        <v>1354300</v>
      </c>
      <c r="C881" s="9">
        <f>C13</f>
        <v>1569700</v>
      </c>
      <c r="D881" s="9">
        <f>D13</f>
        <v>1539900</v>
      </c>
      <c r="E881" s="9">
        <f>E13</f>
        <v>1516500</v>
      </c>
      <c r="F881" s="167"/>
      <c r="G881" s="31" t="s">
        <v>3554</v>
      </c>
      <c r="H881" s="9">
        <f>H13</f>
        <v>1303200</v>
      </c>
      <c r="I881" s="85">
        <f>IF(E881=H881,0,IF(E881=0,100,(H881-E881)/E881*100))</f>
        <v>-14.065281899109792</v>
      </c>
      <c r="J881" s="9">
        <f t="shared" ref="J881:S881" si="555">J13</f>
        <v>1688200</v>
      </c>
      <c r="K881" s="9">
        <f t="shared" si="555"/>
        <v>1899000</v>
      </c>
      <c r="L881" s="9">
        <f t="shared" si="555"/>
        <v>1707200</v>
      </c>
      <c r="M881" s="9">
        <f t="shared" si="555"/>
        <v>1746400</v>
      </c>
      <c r="N881" s="9">
        <f t="shared" si="555"/>
        <v>1812500</v>
      </c>
      <c r="O881" s="9">
        <f t="shared" si="555"/>
        <v>2036300</v>
      </c>
      <c r="P881" s="9">
        <f t="shared" si="555"/>
        <v>2122200</v>
      </c>
      <c r="Q881" s="9">
        <f t="shared" si="555"/>
        <v>2306400</v>
      </c>
      <c r="R881" s="9">
        <f t="shared" si="555"/>
        <v>2497000</v>
      </c>
      <c r="S881" s="61">
        <f t="shared" si="555"/>
        <v>2696400</v>
      </c>
    </row>
    <row r="882" spans="1:19" ht="12.75" customHeight="1" thickBot="1" x14ac:dyDescent="0.25">
      <c r="A882" s="54"/>
      <c r="B882" s="9"/>
      <c r="C882" s="9"/>
      <c r="D882" s="9"/>
      <c r="E882" s="9"/>
      <c r="F882" s="1153"/>
      <c r="G882" s="46"/>
      <c r="H882" s="9"/>
      <c r="I882" s="85"/>
      <c r="J882" s="9"/>
      <c r="K882" s="9"/>
      <c r="L882" s="9"/>
      <c r="M882" s="9"/>
      <c r="N882" s="9"/>
      <c r="O882" s="9"/>
      <c r="P882" s="9"/>
      <c r="Q882" s="9"/>
      <c r="R882" s="9"/>
      <c r="S882" s="61"/>
    </row>
    <row r="883" spans="1:19" ht="12.75" customHeight="1" x14ac:dyDescent="0.2">
      <c r="A883" s="52">
        <f>SUM(A881:A882)</f>
        <v>1264000</v>
      </c>
      <c r="B883" s="16">
        <f>SUM(B881:B882)</f>
        <v>1354300</v>
      </c>
      <c r="C883" s="16">
        <f>SUM(C881:C882)</f>
        <v>1569700</v>
      </c>
      <c r="D883" s="16">
        <f>SUM(D881:D882)</f>
        <v>1539900</v>
      </c>
      <c r="E883" s="16">
        <f t="shared" ref="E883" si="556">SUM(E881:E882)</f>
        <v>1516500</v>
      </c>
      <c r="F883" s="164"/>
      <c r="G883" s="59" t="s">
        <v>2561</v>
      </c>
      <c r="H883" s="16">
        <f t="shared" ref="H883:J883" si="557">SUM(H881:H882)</f>
        <v>1303200</v>
      </c>
      <c r="I883" s="126">
        <f>IF(E883=H883,0,IF(E883=0,100,(H883-E883)/E883*100))</f>
        <v>-14.065281899109792</v>
      </c>
      <c r="J883" s="16">
        <f t="shared" si="557"/>
        <v>1688200</v>
      </c>
      <c r="K883" s="16">
        <f t="shared" ref="K883:P883" si="558">SUM(K881:K882)</f>
        <v>1899000</v>
      </c>
      <c r="L883" s="16">
        <f t="shared" si="558"/>
        <v>1707200</v>
      </c>
      <c r="M883" s="16">
        <f t="shared" si="558"/>
        <v>1746400</v>
      </c>
      <c r="N883" s="16">
        <f t="shared" si="558"/>
        <v>1812500</v>
      </c>
      <c r="O883" s="16">
        <f t="shared" si="558"/>
        <v>2036300</v>
      </c>
      <c r="P883" s="16">
        <f t="shared" si="558"/>
        <v>2122200</v>
      </c>
      <c r="Q883" s="16">
        <f t="shared" ref="Q883" si="559">SUM(Q881:Q882)</f>
        <v>2306400</v>
      </c>
      <c r="R883" s="16">
        <f t="shared" ref="R883:S883" si="560">SUM(R881:R882)</f>
        <v>2497000</v>
      </c>
      <c r="S883" s="60">
        <f t="shared" si="560"/>
        <v>2696400</v>
      </c>
    </row>
    <row r="884" spans="1:19" ht="12.75" customHeight="1" x14ac:dyDescent="0.2">
      <c r="A884" s="54"/>
      <c r="B884" s="9"/>
      <c r="C884" s="9"/>
      <c r="D884" s="9"/>
      <c r="E884" s="9"/>
      <c r="F884" s="1153"/>
      <c r="G884" s="46"/>
      <c r="H884" s="9"/>
      <c r="I884" s="85"/>
      <c r="J884" s="9"/>
      <c r="K884" s="9"/>
      <c r="L884" s="9"/>
      <c r="M884" s="9"/>
      <c r="N884" s="9"/>
      <c r="O884" s="9"/>
      <c r="P884" s="9"/>
      <c r="Q884" s="9"/>
      <c r="R884" s="9"/>
      <c r="S884" s="61"/>
    </row>
    <row r="885" spans="1:19" s="46" customFormat="1" ht="12.75" customHeight="1" x14ac:dyDescent="0.2">
      <c r="A885" s="54"/>
      <c r="B885" s="9"/>
      <c r="C885" s="9"/>
      <c r="D885" s="9"/>
      <c r="E885" s="9"/>
      <c r="F885" s="1153"/>
      <c r="G885" s="91" t="s">
        <v>2169</v>
      </c>
      <c r="H885" s="9"/>
      <c r="I885" s="85"/>
      <c r="J885" s="9"/>
      <c r="K885" s="9"/>
      <c r="L885" s="9"/>
      <c r="M885" s="9"/>
      <c r="N885" s="9"/>
      <c r="O885" s="9"/>
      <c r="P885" s="9"/>
      <c r="Q885" s="9"/>
      <c r="R885" s="9"/>
      <c r="S885" s="61"/>
    </row>
    <row r="886" spans="1:19" s="39" customFormat="1" ht="12.75" customHeight="1" x14ac:dyDescent="0.2">
      <c r="A886" s="54"/>
      <c r="B886" s="9"/>
      <c r="C886" s="9"/>
      <c r="D886" s="9"/>
      <c r="E886" s="9"/>
      <c r="F886" s="167"/>
      <c r="G886" s="27"/>
      <c r="H886" s="9"/>
      <c r="I886" s="85"/>
      <c r="J886" s="9"/>
      <c r="K886" s="9"/>
      <c r="L886" s="9"/>
      <c r="M886" s="9"/>
      <c r="N886" s="9"/>
      <c r="O886" s="9"/>
      <c r="P886" s="9"/>
      <c r="Q886" s="9"/>
      <c r="R886" s="9"/>
      <c r="S886" s="61"/>
    </row>
    <row r="887" spans="1:19" ht="12.75" customHeight="1" x14ac:dyDescent="0.2">
      <c r="A887" s="54">
        <f>A23</f>
        <v>6010900</v>
      </c>
      <c r="B887" s="9">
        <f>B23</f>
        <v>6021600</v>
      </c>
      <c r="C887" s="9">
        <f>C23</f>
        <v>6161700</v>
      </c>
      <c r="D887" s="9">
        <f>D23</f>
        <v>6337300</v>
      </c>
      <c r="E887" s="9">
        <f>E23</f>
        <v>6548400</v>
      </c>
      <c r="F887" s="167"/>
      <c r="G887" s="46" t="str">
        <f>G881</f>
        <v>Group</v>
      </c>
      <c r="H887" s="9">
        <f>H23</f>
        <v>7230000</v>
      </c>
      <c r="I887" s="85">
        <f>IF(E887=H887,0,IF(E887=0,100,(H887-E887)/E887*100))</f>
        <v>10.408649441084846</v>
      </c>
      <c r="J887" s="9">
        <f t="shared" ref="J887:S887" si="561">J23</f>
        <v>7601900</v>
      </c>
      <c r="K887" s="9">
        <f t="shared" si="561"/>
        <v>7956200</v>
      </c>
      <c r="L887" s="9">
        <f t="shared" si="561"/>
        <v>8119300</v>
      </c>
      <c r="M887" s="9">
        <f t="shared" si="561"/>
        <v>8287500</v>
      </c>
      <c r="N887" s="9">
        <f t="shared" si="561"/>
        <v>8459300</v>
      </c>
      <c r="O887" s="9">
        <f t="shared" si="561"/>
        <v>8724500</v>
      </c>
      <c r="P887" s="9">
        <f t="shared" si="561"/>
        <v>8815100</v>
      </c>
      <c r="Q887" s="9">
        <f t="shared" si="561"/>
        <v>8999700</v>
      </c>
      <c r="R887" s="9">
        <f t="shared" si="561"/>
        <v>9187400</v>
      </c>
      <c r="S887" s="61">
        <f t="shared" si="561"/>
        <v>9380800</v>
      </c>
    </row>
    <row r="888" spans="1:19" ht="12.75" customHeight="1" thickBot="1" x14ac:dyDescent="0.25">
      <c r="A888" s="54"/>
      <c r="B888" s="9"/>
      <c r="C888" s="9"/>
      <c r="D888" s="9"/>
      <c r="E888" s="9"/>
      <c r="F888" s="1153"/>
      <c r="G888" s="55"/>
      <c r="H888" s="9"/>
      <c r="I888" s="85"/>
      <c r="J888" s="9"/>
      <c r="K888" s="9"/>
      <c r="L888" s="9"/>
      <c r="M888" s="9"/>
      <c r="N888" s="9"/>
      <c r="O888" s="9"/>
      <c r="P888" s="9"/>
      <c r="Q888" s="9"/>
      <c r="R888" s="9"/>
      <c r="S888" s="61"/>
    </row>
    <row r="889" spans="1:19" ht="12.75" customHeight="1" x14ac:dyDescent="0.2">
      <c r="A889" s="52">
        <f>SUM(A886:A888)</f>
        <v>6010900</v>
      </c>
      <c r="B889" s="16">
        <f>SUM(B886:B888)</f>
        <v>6021600</v>
      </c>
      <c r="C889" s="16">
        <f>SUM(C886:C888)</f>
        <v>6161700</v>
      </c>
      <c r="D889" s="16">
        <f>SUM(D886:D888)</f>
        <v>6337300</v>
      </c>
      <c r="E889" s="16">
        <f t="shared" ref="E889" si="562">SUM(E886:E888)</f>
        <v>6548400</v>
      </c>
      <c r="F889" s="164"/>
      <c r="G889" s="59" t="s">
        <v>556</v>
      </c>
      <c r="H889" s="16">
        <f t="shared" ref="H889:J889" si="563">SUM(H886:H888)</f>
        <v>7230000</v>
      </c>
      <c r="I889" s="126">
        <f>IF(E889=H889,0,IF(E889=0,100,(H889-E889)/E889*100))</f>
        <v>10.408649441084846</v>
      </c>
      <c r="J889" s="16">
        <f t="shared" si="563"/>
        <v>7601900</v>
      </c>
      <c r="K889" s="16">
        <f t="shared" ref="K889:P889" si="564">SUM(K886:K888)</f>
        <v>7956200</v>
      </c>
      <c r="L889" s="16">
        <f t="shared" si="564"/>
        <v>8119300</v>
      </c>
      <c r="M889" s="16">
        <f t="shared" si="564"/>
        <v>8287500</v>
      </c>
      <c r="N889" s="16">
        <f t="shared" si="564"/>
        <v>8459300</v>
      </c>
      <c r="O889" s="16">
        <f t="shared" si="564"/>
        <v>8724500</v>
      </c>
      <c r="P889" s="16">
        <f t="shared" si="564"/>
        <v>8815100</v>
      </c>
      <c r="Q889" s="16">
        <f t="shared" ref="Q889" si="565">SUM(Q886:Q888)</f>
        <v>8999700</v>
      </c>
      <c r="R889" s="16">
        <f t="shared" ref="R889:S889" si="566">SUM(R886:R888)</f>
        <v>9187400</v>
      </c>
      <c r="S889" s="60">
        <f t="shared" si="566"/>
        <v>9380800</v>
      </c>
    </row>
    <row r="890" spans="1:19" ht="12.75" customHeight="1" thickBot="1" x14ac:dyDescent="0.25">
      <c r="A890" s="24"/>
      <c r="B890" s="21"/>
      <c r="C890" s="21"/>
      <c r="D890" s="21"/>
      <c r="E890" s="21"/>
      <c r="F890" s="167"/>
      <c r="G890" s="46"/>
      <c r="H890" s="9"/>
      <c r="I890" s="126"/>
      <c r="J890" s="9"/>
      <c r="K890" s="9"/>
      <c r="L890" s="9"/>
      <c r="M890" s="9"/>
      <c r="N890" s="9"/>
      <c r="O890" s="9"/>
      <c r="P890" s="9"/>
      <c r="Q890" s="9"/>
      <c r="R890" s="9"/>
      <c r="S890" s="61"/>
    </row>
    <row r="891" spans="1:19" ht="12.75" customHeight="1" x14ac:dyDescent="0.2">
      <c r="A891" s="52">
        <f>A883-A889</f>
        <v>-4746900</v>
      </c>
      <c r="B891" s="16">
        <f>B883-B889</f>
        <v>-4667300</v>
      </c>
      <c r="C891" s="16">
        <f>C883-C889</f>
        <v>-4592000</v>
      </c>
      <c r="D891" s="16">
        <f>D883-D889</f>
        <v>-4797400</v>
      </c>
      <c r="E891" s="16">
        <f t="shared" ref="E891" si="567">E883-E889</f>
        <v>-5031900</v>
      </c>
      <c r="F891" s="167"/>
      <c r="G891" s="366" t="s">
        <v>361</v>
      </c>
      <c r="H891" s="16">
        <f t="shared" ref="H891:L891" si="568">H883-H889</f>
        <v>-5926800</v>
      </c>
      <c r="I891" s="126">
        <f>IF(E891=H891,0,IF(E891=0,100,(H891-E891)/E891*100))</f>
        <v>17.784534668812974</v>
      </c>
      <c r="J891" s="16">
        <f t="shared" si="568"/>
        <v>-5913700</v>
      </c>
      <c r="K891" s="16">
        <f t="shared" si="568"/>
        <v>-6057200</v>
      </c>
      <c r="L891" s="16">
        <f t="shared" si="568"/>
        <v>-6412100</v>
      </c>
      <c r="M891" s="16">
        <f t="shared" ref="M891:R891" si="569">M883-M889</f>
        <v>-6541100</v>
      </c>
      <c r="N891" s="16">
        <f t="shared" si="569"/>
        <v>-6646800</v>
      </c>
      <c r="O891" s="16">
        <f t="shared" si="569"/>
        <v>-6688200</v>
      </c>
      <c r="P891" s="16">
        <f t="shared" si="569"/>
        <v>-6692900</v>
      </c>
      <c r="Q891" s="16">
        <f t="shared" si="569"/>
        <v>-6693300</v>
      </c>
      <c r="R891" s="16">
        <f t="shared" si="569"/>
        <v>-6690400</v>
      </c>
      <c r="S891" s="60">
        <f t="shared" ref="S891" si="570">S883-S889</f>
        <v>-6684400</v>
      </c>
    </row>
    <row r="892" spans="1:19" ht="12.75" customHeight="1" x14ac:dyDescent="0.2">
      <c r="A892" s="24"/>
      <c r="B892" s="21"/>
      <c r="C892" s="21"/>
      <c r="D892" s="21"/>
      <c r="E892" s="21"/>
      <c r="F892" s="167"/>
      <c r="G892" s="366"/>
      <c r="H892" s="21"/>
      <c r="I892" s="126"/>
      <c r="J892" s="21"/>
      <c r="K892" s="21"/>
      <c r="L892" s="21"/>
      <c r="M892" s="21"/>
      <c r="N892" s="21"/>
      <c r="O892" s="21"/>
      <c r="P892" s="21"/>
      <c r="Q892" s="21"/>
      <c r="R892" s="21"/>
      <c r="S892" s="62"/>
    </row>
    <row r="893" spans="1:19" ht="12.75" customHeight="1" x14ac:dyDescent="0.2">
      <c r="A893" s="24">
        <f>A891-A867</f>
        <v>0</v>
      </c>
      <c r="B893" s="21">
        <f>B891-B867</f>
        <v>0</v>
      </c>
      <c r="C893" s="21">
        <f>C891-C867</f>
        <v>0</v>
      </c>
      <c r="D893" s="21">
        <f>D891-D867</f>
        <v>0</v>
      </c>
      <c r="E893" s="21">
        <f t="shared" ref="E893" si="571">E891-E867</f>
        <v>0</v>
      </c>
      <c r="F893" s="167"/>
      <c r="G893" s="366" t="s">
        <v>1731</v>
      </c>
      <c r="H893" s="21">
        <f t="shared" ref="H893:P893" si="572">H891-H867</f>
        <v>0</v>
      </c>
      <c r="I893" s="126"/>
      <c r="J893" s="21">
        <f t="shared" si="572"/>
        <v>0</v>
      </c>
      <c r="K893" s="21">
        <f t="shared" si="572"/>
        <v>0</v>
      </c>
      <c r="L893" s="21">
        <f t="shared" si="572"/>
        <v>0</v>
      </c>
      <c r="M893" s="21">
        <f t="shared" si="572"/>
        <v>0</v>
      </c>
      <c r="N893" s="21">
        <f t="shared" si="572"/>
        <v>0</v>
      </c>
      <c r="O893" s="21">
        <f t="shared" si="572"/>
        <v>0</v>
      </c>
      <c r="P893" s="21">
        <f t="shared" si="572"/>
        <v>0</v>
      </c>
      <c r="Q893" s="21">
        <f t="shared" ref="Q893" si="573">Q891-Q867</f>
        <v>0</v>
      </c>
      <c r="R893" s="21">
        <f t="shared" ref="R893:S893" si="574">R891-R867</f>
        <v>0</v>
      </c>
      <c r="S893" s="62">
        <f t="shared" si="574"/>
        <v>0</v>
      </c>
    </row>
    <row r="894" spans="1:19" s="39" customFormat="1" ht="12.75" customHeight="1" thickBot="1" x14ac:dyDescent="0.25">
      <c r="A894" s="26"/>
      <c r="B894" s="37"/>
      <c r="C894" s="37"/>
      <c r="D894" s="37"/>
      <c r="E894" s="37"/>
      <c r="F894" s="168"/>
      <c r="G894" s="1009"/>
      <c r="H894" s="37"/>
      <c r="I894" s="275"/>
      <c r="J894" s="37"/>
      <c r="K894" s="37"/>
      <c r="L894" s="37"/>
      <c r="M894" s="37"/>
      <c r="N894" s="37"/>
      <c r="O894" s="37"/>
      <c r="P894" s="37"/>
      <c r="Q894" s="37"/>
      <c r="R894" s="37"/>
      <c r="S894" s="82"/>
    </row>
    <row r="895" spans="1:19" ht="12.75" customHeight="1" thickTop="1" thickBot="1" x14ac:dyDescent="0.25">
      <c r="A895" s="46"/>
      <c r="B895" s="46"/>
      <c r="C895" s="46"/>
      <c r="D895" s="46"/>
      <c r="E895" s="46"/>
      <c r="F895" s="373"/>
      <c r="G895" s="46"/>
      <c r="H895" s="46"/>
      <c r="I895" s="70"/>
      <c r="J895" s="46"/>
      <c r="K895" s="46"/>
      <c r="L895" s="46"/>
      <c r="M895" s="46"/>
      <c r="N895" s="46"/>
      <c r="O895" s="46"/>
      <c r="P895" s="46"/>
      <c r="Q895" s="46"/>
      <c r="R895" s="46"/>
      <c r="S895" s="46"/>
    </row>
    <row r="896" spans="1:19" ht="12.75" customHeight="1" x14ac:dyDescent="0.2">
      <c r="A896" s="2591" t="s">
        <v>1824</v>
      </c>
      <c r="B896" s="2577"/>
      <c r="C896" s="2577"/>
      <c r="D896" s="2577"/>
      <c r="E896" s="2592"/>
      <c r="F896" s="1162" t="s">
        <v>2616</v>
      </c>
      <c r="G896" s="1163" t="s">
        <v>2213</v>
      </c>
      <c r="H896" s="2576" t="s">
        <v>2215</v>
      </c>
      <c r="I896" s="2577"/>
      <c r="J896" s="2577"/>
      <c r="K896" s="2577"/>
      <c r="L896" s="2577"/>
      <c r="M896" s="2577"/>
      <c r="N896" s="2577"/>
      <c r="O896" s="2577"/>
      <c r="P896" s="2577"/>
      <c r="Q896" s="2577"/>
      <c r="R896" s="2577"/>
      <c r="S896" s="2592"/>
    </row>
    <row r="897" spans="1:19" ht="12.75" customHeight="1" thickBot="1" x14ac:dyDescent="0.25">
      <c r="A897" s="541" t="str">
        <f>A3</f>
        <v>2012/13</v>
      </c>
      <c r="B897" s="28" t="str">
        <f>B3</f>
        <v>2013/14</v>
      </c>
      <c r="C897" s="28" t="str">
        <f>C3</f>
        <v>2014/15</v>
      </c>
      <c r="D897" s="28" t="str">
        <f>D3</f>
        <v>2015/16</v>
      </c>
      <c r="E897" s="1511" t="str">
        <f>E3</f>
        <v>2016/17</v>
      </c>
      <c r="F897" s="162" t="s">
        <v>2617</v>
      </c>
      <c r="G897" s="41"/>
      <c r="H897" s="28" t="str">
        <f>H3</f>
        <v>2017/18</v>
      </c>
      <c r="I897" s="1436" t="s">
        <v>492</v>
      </c>
      <c r="J897" s="28" t="str">
        <f t="shared" ref="J897:S897" si="575">J3</f>
        <v>2018/19</v>
      </c>
      <c r="K897" s="28" t="str">
        <f t="shared" si="575"/>
        <v>2019/20</v>
      </c>
      <c r="L897" s="28" t="str">
        <f t="shared" si="575"/>
        <v>2020/21</v>
      </c>
      <c r="M897" s="28" t="str">
        <f t="shared" si="575"/>
        <v>2021/22</v>
      </c>
      <c r="N897" s="28" t="str">
        <f t="shared" si="575"/>
        <v>2022/23</v>
      </c>
      <c r="O897" s="28" t="str">
        <f t="shared" si="575"/>
        <v>2023/24</v>
      </c>
      <c r="P897" s="28" t="str">
        <f t="shared" si="575"/>
        <v>2024/25</v>
      </c>
      <c r="Q897" s="28" t="str">
        <f t="shared" si="575"/>
        <v>2025/26</v>
      </c>
      <c r="R897" s="28" t="str">
        <f t="shared" si="575"/>
        <v>2026/27</v>
      </c>
      <c r="S897" s="1262" t="str">
        <f t="shared" si="575"/>
        <v>2027/28</v>
      </c>
    </row>
    <row r="898" spans="1:19" ht="12.75" customHeight="1" x14ac:dyDescent="0.2">
      <c r="A898" s="54"/>
      <c r="B898" s="9"/>
      <c r="C898" s="9"/>
      <c r="D898" s="9"/>
      <c r="E898" s="29"/>
      <c r="F898" s="167"/>
      <c r="G898" s="27"/>
      <c r="H898" s="9"/>
      <c r="I898" s="85"/>
      <c r="J898" s="9"/>
      <c r="K898" s="9"/>
      <c r="L898" s="9"/>
      <c r="M898" s="9"/>
      <c r="N898" s="9"/>
      <c r="O898" s="9"/>
      <c r="P898" s="9"/>
      <c r="Q898" s="9"/>
      <c r="R898" s="9"/>
      <c r="S898" s="61"/>
    </row>
    <row r="899" spans="1:19" ht="12.75" customHeight="1" x14ac:dyDescent="0.2">
      <c r="A899" s="54">
        <f t="shared" ref="A899:E903" si="576">A40</f>
        <v>23000</v>
      </c>
      <c r="B899" s="9">
        <f t="shared" si="576"/>
        <v>24300</v>
      </c>
      <c r="C899" s="9">
        <f t="shared" si="576"/>
        <v>17300</v>
      </c>
      <c r="D899" s="9">
        <f t="shared" si="576"/>
        <v>18500</v>
      </c>
      <c r="E899" s="9">
        <f t="shared" si="576"/>
        <v>19900</v>
      </c>
      <c r="F899" s="167"/>
      <c r="G899" s="1173" t="s">
        <v>2049</v>
      </c>
      <c r="H899" s="9">
        <f>H40</f>
        <v>359900</v>
      </c>
      <c r="I899" s="85"/>
      <c r="J899" s="9">
        <f t="shared" ref="J899:S899" si="577">J40</f>
        <v>485700</v>
      </c>
      <c r="K899" s="9">
        <f t="shared" si="577"/>
        <v>503800</v>
      </c>
      <c r="L899" s="9">
        <f t="shared" si="577"/>
        <v>516500</v>
      </c>
      <c r="M899" s="9">
        <f t="shared" si="577"/>
        <v>537000</v>
      </c>
      <c r="N899" s="9">
        <f t="shared" si="577"/>
        <v>557400</v>
      </c>
      <c r="O899" s="9">
        <f t="shared" si="577"/>
        <v>559600</v>
      </c>
      <c r="P899" s="9">
        <f t="shared" si="577"/>
        <v>580000</v>
      </c>
      <c r="Q899" s="9">
        <f t="shared" si="577"/>
        <v>602300</v>
      </c>
      <c r="R899" s="9">
        <f t="shared" si="577"/>
        <v>625400</v>
      </c>
      <c r="S899" s="61">
        <f t="shared" si="577"/>
        <v>649300</v>
      </c>
    </row>
    <row r="900" spans="1:19" ht="12.75" customHeight="1" x14ac:dyDescent="0.2">
      <c r="A900" s="54">
        <f t="shared" si="576"/>
        <v>3657000</v>
      </c>
      <c r="B900" s="9">
        <f t="shared" si="576"/>
        <v>3194600</v>
      </c>
      <c r="C900" s="9">
        <f t="shared" si="576"/>
        <v>4109500</v>
      </c>
      <c r="D900" s="9">
        <f t="shared" si="576"/>
        <v>3327000</v>
      </c>
      <c r="E900" s="9">
        <f t="shared" si="576"/>
        <v>9902600</v>
      </c>
      <c r="F900" s="167"/>
      <c r="G900" s="1173" t="s">
        <v>1909</v>
      </c>
      <c r="H900" s="9">
        <f>H41</f>
        <v>6246000</v>
      </c>
      <c r="I900" s="85"/>
      <c r="J900" s="9">
        <f t="shared" ref="J900:S900" si="578">J41</f>
        <v>12404500</v>
      </c>
      <c r="K900" s="9">
        <f t="shared" si="578"/>
        <v>7731700</v>
      </c>
      <c r="L900" s="9">
        <f t="shared" si="578"/>
        <v>13682900</v>
      </c>
      <c r="M900" s="9">
        <f t="shared" si="578"/>
        <v>14018100</v>
      </c>
      <c r="N900" s="9">
        <f t="shared" si="578"/>
        <v>6388300</v>
      </c>
      <c r="O900" s="9">
        <f t="shared" si="578"/>
        <v>6634000</v>
      </c>
      <c r="P900" s="9">
        <f t="shared" si="578"/>
        <v>6923700</v>
      </c>
      <c r="Q900" s="9">
        <f t="shared" si="578"/>
        <v>7224500</v>
      </c>
      <c r="R900" s="9">
        <f t="shared" si="578"/>
        <v>7535800</v>
      </c>
      <c r="S900" s="61">
        <f t="shared" si="578"/>
        <v>7858600</v>
      </c>
    </row>
    <row r="901" spans="1:19" ht="12.75" customHeight="1" x14ac:dyDescent="0.2">
      <c r="A901" s="54">
        <f t="shared" si="576"/>
        <v>453000</v>
      </c>
      <c r="B901" s="9">
        <f t="shared" si="576"/>
        <v>901600</v>
      </c>
      <c r="C901" s="9">
        <f t="shared" si="576"/>
        <v>888600</v>
      </c>
      <c r="D901" s="9">
        <f t="shared" si="576"/>
        <v>848000</v>
      </c>
      <c r="E901" s="9">
        <f t="shared" si="576"/>
        <v>2764000</v>
      </c>
      <c r="F901" s="167"/>
      <c r="G901" s="1173" t="s">
        <v>2309</v>
      </c>
      <c r="H901" s="9">
        <f>H42</f>
        <v>8317300</v>
      </c>
      <c r="I901" s="85"/>
      <c r="J901" s="9">
        <f t="shared" ref="J901:S901" si="579">J42</f>
        <v>12342000</v>
      </c>
      <c r="K901" s="9">
        <f t="shared" si="579"/>
        <v>10000</v>
      </c>
      <c r="L901" s="9">
        <f t="shared" si="579"/>
        <v>10000</v>
      </c>
      <c r="M901" s="9">
        <f t="shared" si="579"/>
        <v>10000</v>
      </c>
      <c r="N901" s="9">
        <f t="shared" si="579"/>
        <v>10000</v>
      </c>
      <c r="O901" s="9">
        <f t="shared" si="579"/>
        <v>10000</v>
      </c>
      <c r="P901" s="9">
        <f t="shared" si="579"/>
        <v>10000</v>
      </c>
      <c r="Q901" s="9">
        <f t="shared" si="579"/>
        <v>10000</v>
      </c>
      <c r="R901" s="9">
        <f t="shared" si="579"/>
        <v>10300</v>
      </c>
      <c r="S901" s="61">
        <f t="shared" si="579"/>
        <v>10600</v>
      </c>
    </row>
    <row r="902" spans="1:19" ht="12.75" customHeight="1" x14ac:dyDescent="0.2">
      <c r="A902" s="54">
        <f t="shared" si="576"/>
        <v>2922000</v>
      </c>
      <c r="B902" s="9">
        <f t="shared" si="576"/>
        <v>2309000</v>
      </c>
      <c r="C902" s="9">
        <f t="shared" si="576"/>
        <v>3104000</v>
      </c>
      <c r="D902" s="9">
        <f t="shared" si="576"/>
        <v>2246100</v>
      </c>
      <c r="E902" s="9">
        <f t="shared" si="576"/>
        <v>5465200</v>
      </c>
      <c r="F902" s="167"/>
      <c r="G902" s="1173" t="s">
        <v>5847</v>
      </c>
      <c r="H902" s="9">
        <f>H43</f>
        <v>10496800</v>
      </c>
      <c r="I902" s="85"/>
      <c r="J902" s="9">
        <f t="shared" ref="J902:S902" si="580">J43</f>
        <v>7192000</v>
      </c>
      <c r="K902" s="9">
        <f t="shared" si="580"/>
        <v>7372000</v>
      </c>
      <c r="L902" s="9">
        <f t="shared" si="580"/>
        <v>13556000</v>
      </c>
      <c r="M902" s="9">
        <f t="shared" si="580"/>
        <v>13894000</v>
      </c>
      <c r="N902" s="9">
        <f t="shared" si="580"/>
        <v>6241000</v>
      </c>
      <c r="O902" s="9">
        <f t="shared" si="580"/>
        <v>6397000</v>
      </c>
      <c r="P902" s="9">
        <f t="shared" si="580"/>
        <v>6556000</v>
      </c>
      <c r="Q902" s="9">
        <f t="shared" si="580"/>
        <v>6719000</v>
      </c>
      <c r="R902" s="9">
        <f t="shared" si="580"/>
        <v>6887000</v>
      </c>
      <c r="S902" s="61">
        <f t="shared" si="580"/>
        <v>7059000</v>
      </c>
    </row>
    <row r="903" spans="1:19" ht="12.75" customHeight="1" x14ac:dyDescent="0.2">
      <c r="A903" s="54">
        <f t="shared" si="576"/>
        <v>17000</v>
      </c>
      <c r="B903" s="9">
        <f t="shared" si="576"/>
        <v>314000</v>
      </c>
      <c r="C903" s="9">
        <f t="shared" si="576"/>
        <v>332400</v>
      </c>
      <c r="D903" s="9">
        <f t="shared" si="576"/>
        <v>521100</v>
      </c>
      <c r="E903" s="9">
        <f t="shared" si="576"/>
        <v>3100800</v>
      </c>
      <c r="F903" s="167"/>
      <c r="G903" s="1173" t="s">
        <v>958</v>
      </c>
      <c r="H903" s="9">
        <f>H44</f>
        <v>12582700</v>
      </c>
      <c r="I903" s="85"/>
      <c r="J903" s="9">
        <f t="shared" ref="J903:S903" si="581">J44</f>
        <v>7356000</v>
      </c>
      <c r="K903" s="9">
        <f t="shared" si="581"/>
        <v>25000</v>
      </c>
      <c r="L903" s="9">
        <f t="shared" si="581"/>
        <v>26000</v>
      </c>
      <c r="M903" s="9">
        <f t="shared" si="581"/>
        <v>27000</v>
      </c>
      <c r="N903" s="9">
        <f t="shared" si="581"/>
        <v>28000</v>
      </c>
      <c r="O903" s="9">
        <f t="shared" si="581"/>
        <v>29000</v>
      </c>
      <c r="P903" s="9">
        <f t="shared" si="581"/>
        <v>30000</v>
      </c>
      <c r="Q903" s="9">
        <f t="shared" si="581"/>
        <v>31000</v>
      </c>
      <c r="R903" s="9">
        <f t="shared" si="581"/>
        <v>32000</v>
      </c>
      <c r="S903" s="61">
        <f t="shared" si="581"/>
        <v>33000</v>
      </c>
    </row>
    <row r="904" spans="1:19" ht="12.75" customHeight="1" x14ac:dyDescent="0.2">
      <c r="A904" s="24">
        <f>-A899-A900+A901++A902-A903</f>
        <v>-322000</v>
      </c>
      <c r="B904" s="21">
        <f>-B899-B900+B901++B902-B903</f>
        <v>-322300</v>
      </c>
      <c r="C904" s="21">
        <f>-C899-C900+C901++C902-C903</f>
        <v>-466600</v>
      </c>
      <c r="D904" s="21">
        <f>-D899-D900+D901++D902-D903</f>
        <v>-772500</v>
      </c>
      <c r="E904" s="21">
        <f>-E899-E900+E901++E902-E903</f>
        <v>-4794100</v>
      </c>
      <c r="F904" s="173"/>
      <c r="G904" s="84" t="s">
        <v>1504</v>
      </c>
      <c r="H904" s="21">
        <f t="shared" ref="H904:J904" si="582">-H899-H900+H901++H902-H903</f>
        <v>-374500</v>
      </c>
      <c r="I904" s="126"/>
      <c r="J904" s="21">
        <f t="shared" si="582"/>
        <v>-712200</v>
      </c>
      <c r="K904" s="21">
        <f t="shared" ref="K904:P904" si="583">-K899-K900+K901++K902-K903</f>
        <v>-878500</v>
      </c>
      <c r="L904" s="21">
        <f t="shared" si="583"/>
        <v>-659400</v>
      </c>
      <c r="M904" s="21">
        <f t="shared" si="583"/>
        <v>-678100</v>
      </c>
      <c r="N904" s="21">
        <f t="shared" si="583"/>
        <v>-722700</v>
      </c>
      <c r="O904" s="21">
        <f t="shared" si="583"/>
        <v>-815600</v>
      </c>
      <c r="P904" s="21">
        <f t="shared" si="583"/>
        <v>-967700</v>
      </c>
      <c r="Q904" s="21">
        <f t="shared" ref="Q904" si="584">-Q899-Q900+Q901++Q902-Q903</f>
        <v>-1128800</v>
      </c>
      <c r="R904" s="21">
        <f t="shared" ref="R904:S904" si="585">-R899-R900+R901++R902-R903</f>
        <v>-1295900</v>
      </c>
      <c r="S904" s="62">
        <f t="shared" si="585"/>
        <v>-1471300</v>
      </c>
    </row>
    <row r="905" spans="1:19" ht="12.75" customHeight="1" thickBot="1" x14ac:dyDescent="0.25">
      <c r="A905" s="26"/>
      <c r="B905" s="37"/>
      <c r="C905" s="37"/>
      <c r="D905" s="37"/>
      <c r="E905" s="35"/>
      <c r="F905" s="168"/>
      <c r="G905" s="88"/>
      <c r="H905" s="23"/>
      <c r="I905" s="275"/>
      <c r="J905" s="23"/>
      <c r="K905" s="23"/>
      <c r="L905" s="23"/>
      <c r="M905" s="23"/>
      <c r="N905" s="23"/>
      <c r="O905" s="23"/>
      <c r="P905" s="23"/>
      <c r="Q905" s="23"/>
      <c r="R905" s="23"/>
      <c r="S905" s="112"/>
    </row>
    <row r="906" spans="1:19" ht="12.75" customHeight="1" thickTop="1" x14ac:dyDescent="0.2"/>
    <row r="1110" spans="6:6" x14ac:dyDescent="0.2">
      <c r="F1110" s="370" t="s">
        <v>7245</v>
      </c>
    </row>
  </sheetData>
  <autoFilter ref="G1:G1110"/>
  <mergeCells count="55">
    <mergeCell ref="A596:S596"/>
    <mergeCell ref="A662:S662"/>
    <mergeCell ref="A717:S717"/>
    <mergeCell ref="H597:S597"/>
    <mergeCell ref="H663:S663"/>
    <mergeCell ref="A896:E896"/>
    <mergeCell ref="A779:S779"/>
    <mergeCell ref="H718:S718"/>
    <mergeCell ref="H780:S780"/>
    <mergeCell ref="A597:E597"/>
    <mergeCell ref="A663:E663"/>
    <mergeCell ref="A718:E718"/>
    <mergeCell ref="A780:E780"/>
    <mergeCell ref="A846:E846"/>
    <mergeCell ref="A858:E858"/>
    <mergeCell ref="A876:E876"/>
    <mergeCell ref="H846:S846"/>
    <mergeCell ref="H876:S876"/>
    <mergeCell ref="H858:S858"/>
    <mergeCell ref="H896:S896"/>
    <mergeCell ref="A1:S1"/>
    <mergeCell ref="A49:S49"/>
    <mergeCell ref="H2:S2"/>
    <mergeCell ref="H50:S50"/>
    <mergeCell ref="A167:E167"/>
    <mergeCell ref="A98:S98"/>
    <mergeCell ref="H99:S99"/>
    <mergeCell ref="H167:S167"/>
    <mergeCell ref="A166:S166"/>
    <mergeCell ref="A99:E99"/>
    <mergeCell ref="A2:E2"/>
    <mergeCell ref="A50:E50"/>
    <mergeCell ref="H211:S211"/>
    <mergeCell ref="H261:S261"/>
    <mergeCell ref="H272:S272"/>
    <mergeCell ref="A210:S210"/>
    <mergeCell ref="A271:S271"/>
    <mergeCell ref="A211:E211"/>
    <mergeCell ref="A272:E272"/>
    <mergeCell ref="A261:E261"/>
    <mergeCell ref="A547:S547"/>
    <mergeCell ref="A548:E548"/>
    <mergeCell ref="H548:S548"/>
    <mergeCell ref="A315:S315"/>
    <mergeCell ref="A378:S378"/>
    <mergeCell ref="H316:S316"/>
    <mergeCell ref="A426:E426"/>
    <mergeCell ref="A486:E486"/>
    <mergeCell ref="A316:E316"/>
    <mergeCell ref="A379:E379"/>
    <mergeCell ref="A425:S425"/>
    <mergeCell ref="A485:S485"/>
    <mergeCell ref="H379:S379"/>
    <mergeCell ref="H426:S426"/>
    <mergeCell ref="H486:S486"/>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15" manualBreakCount="15">
    <brk id="48" max="16383" man="1"/>
    <brk id="97" max="16383" man="1"/>
    <brk id="163" max="16383" man="1"/>
    <brk id="208" max="16383" man="1"/>
    <brk id="268" max="16383" man="1"/>
    <brk id="313" max="16383" man="1"/>
    <brk id="377" max="16383" man="1"/>
    <brk id="423" max="16383" man="1"/>
    <brk id="484" max="16383" man="1"/>
    <brk id="546" max="16383" man="1"/>
    <brk id="594" max="16383" man="1"/>
    <brk id="660" max="16383" man="1"/>
    <brk id="715" max="16383" man="1"/>
    <brk id="778" max="16383" man="1"/>
    <brk id="844"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sheetPr>
  <dimension ref="A1:T1108"/>
  <sheetViews>
    <sheetView showGridLines="0" topLeftCell="A357" workbookViewId="0">
      <selection activeCell="H383" sqref="H383"/>
    </sheetView>
  </sheetViews>
  <sheetFormatPr defaultColWidth="9.140625" defaultRowHeight="12.75" x14ac:dyDescent="0.2"/>
  <cols>
    <col min="1" max="2" width="10.28515625" style="34" bestFit="1" customWidth="1"/>
    <col min="3" max="4" width="10.28515625" style="46" bestFit="1" customWidth="1"/>
    <col min="5" max="5" width="10.28515625" style="34" bestFit="1" customWidth="1"/>
    <col min="6" max="6" width="16.28515625" style="490" customWidth="1"/>
    <col min="7" max="7" width="36.7109375" style="34" customWidth="1"/>
    <col min="8" max="8" width="10.28515625" style="34" bestFit="1" customWidth="1"/>
    <col min="9" max="9" width="6.7109375" style="96" bestFit="1" customWidth="1"/>
    <col min="10" max="19" width="10.28515625" style="34" customWidth="1"/>
    <col min="20" max="20" width="10.140625" style="34" customWidth="1"/>
    <col min="21" max="16384" width="9.140625" style="34"/>
  </cols>
  <sheetData>
    <row r="1" spans="1:19" s="38" customFormat="1" ht="18.75" customHeight="1" thickTop="1" thickBot="1" x14ac:dyDescent="0.3">
      <c r="A1" s="2601" t="s">
        <v>3235</v>
      </c>
      <c r="B1" s="2602"/>
      <c r="C1" s="2602"/>
      <c r="D1" s="2602"/>
      <c r="E1" s="2602"/>
      <c r="F1" s="2602"/>
      <c r="G1" s="2602"/>
      <c r="H1" s="2602"/>
      <c r="I1" s="2602"/>
      <c r="J1" s="2602"/>
      <c r="K1" s="2602"/>
      <c r="L1" s="2602"/>
      <c r="M1" s="2602"/>
      <c r="N1" s="2602"/>
      <c r="O1" s="2602"/>
      <c r="P1" s="2602"/>
      <c r="Q1" s="2602"/>
      <c r="R1" s="2602"/>
      <c r="S1" s="2603"/>
    </row>
    <row r="2" spans="1:19" s="39" customFormat="1" ht="13.5" thickBot="1" x14ac:dyDescent="0.25">
      <c r="A2" s="2604" t="s">
        <v>1824</v>
      </c>
      <c r="B2" s="2605"/>
      <c r="C2" s="2605"/>
      <c r="D2" s="2605"/>
      <c r="E2" s="2606"/>
      <c r="F2" s="2247" t="s">
        <v>2213</v>
      </c>
      <c r="G2" s="1163"/>
      <c r="H2" s="2568" t="s">
        <v>2215</v>
      </c>
      <c r="I2" s="2568"/>
      <c r="J2" s="2568"/>
      <c r="K2" s="2568"/>
      <c r="L2" s="2568"/>
      <c r="M2" s="2568"/>
      <c r="N2" s="2568"/>
      <c r="O2" s="2568"/>
      <c r="P2" s="2568"/>
      <c r="Q2" s="2568"/>
      <c r="R2" s="2568"/>
      <c r="S2" s="2607"/>
    </row>
    <row r="3" spans="1:19" ht="13.5" thickBot="1" x14ac:dyDescent="0.25">
      <c r="A3" s="1526" t="str">
        <f>SP!A3</f>
        <v>2012/13</v>
      </c>
      <c r="B3" s="40" t="str">
        <f>SP!B3</f>
        <v>2013/14</v>
      </c>
      <c r="C3" s="40" t="str">
        <f>SP!C3</f>
        <v>2014/15</v>
      </c>
      <c r="D3" s="40" t="str">
        <f>SP!D3</f>
        <v>2015/16</v>
      </c>
      <c r="E3" s="1581" t="str">
        <f>SP!E3</f>
        <v>2016/17</v>
      </c>
      <c r="F3" s="470"/>
      <c r="G3" s="41"/>
      <c r="H3" s="40" t="str">
        <f>SP!H3</f>
        <v>2017/18</v>
      </c>
      <c r="I3" s="1445" t="str">
        <f>SP!I3</f>
        <v>%</v>
      </c>
      <c r="J3" s="40" t="str">
        <f>SP!J3</f>
        <v>2018/19</v>
      </c>
      <c r="K3" s="40" t="str">
        <f>SP!K3</f>
        <v>2019/20</v>
      </c>
      <c r="L3" s="40" t="str">
        <f>SP!L3</f>
        <v>2020/21</v>
      </c>
      <c r="M3" s="40" t="str">
        <f>SP!M3</f>
        <v>2021/22</v>
      </c>
      <c r="N3" s="40" t="str">
        <f>SP!N3</f>
        <v>2022/23</v>
      </c>
      <c r="O3" s="40" t="str">
        <f>SP!O3</f>
        <v>2023/24</v>
      </c>
      <c r="P3" s="1257" t="str">
        <f>SP!P3</f>
        <v>2024/25</v>
      </c>
      <c r="Q3" s="40" t="str">
        <f>SP!Q3</f>
        <v>2025/26</v>
      </c>
      <c r="R3" s="40" t="str">
        <f>SP!R3</f>
        <v>2026/27</v>
      </c>
      <c r="S3" s="1620" t="str">
        <f>SP!S3</f>
        <v>2027/28</v>
      </c>
    </row>
    <row r="4" spans="1:19" x14ac:dyDescent="0.2">
      <c r="A4" s="1432"/>
      <c r="B4" s="116"/>
      <c r="C4" s="9"/>
      <c r="D4" s="116"/>
      <c r="E4" s="116"/>
      <c r="F4" s="471"/>
      <c r="G4" s="27"/>
      <c r="H4" s="116"/>
      <c r="I4" s="1010"/>
      <c r="J4" s="116"/>
      <c r="K4" s="116"/>
      <c r="L4" s="116"/>
      <c r="M4" s="116"/>
      <c r="N4" s="116"/>
      <c r="O4" s="116"/>
      <c r="P4" s="89"/>
      <c r="Q4" s="9"/>
      <c r="R4" s="9"/>
      <c r="S4" s="61"/>
    </row>
    <row r="5" spans="1:19" x14ac:dyDescent="0.2">
      <c r="A5" s="427"/>
      <c r="B5" s="97"/>
      <c r="C5" s="97"/>
      <c r="D5" s="97"/>
      <c r="E5" s="9"/>
      <c r="F5" s="472" t="s">
        <v>1056</v>
      </c>
      <c r="G5" s="27"/>
      <c r="H5" s="9"/>
      <c r="I5" s="85"/>
      <c r="J5" s="9"/>
      <c r="K5" s="9"/>
      <c r="L5" s="9"/>
      <c r="M5" s="9"/>
      <c r="N5" s="9"/>
      <c r="O5" s="9"/>
      <c r="P5" s="89"/>
      <c r="Q5" s="9"/>
      <c r="R5" s="9"/>
      <c r="S5" s="61"/>
    </row>
    <row r="6" spans="1:19" x14ac:dyDescent="0.2">
      <c r="A6" s="427"/>
      <c r="B6" s="97"/>
      <c r="C6" s="97"/>
      <c r="D6" s="97"/>
      <c r="E6" s="9"/>
      <c r="F6" s="471"/>
      <c r="G6" s="27"/>
      <c r="H6" s="9"/>
      <c r="I6" s="85"/>
      <c r="J6" s="9"/>
      <c r="K6" s="9"/>
      <c r="L6" s="9"/>
      <c r="M6" s="9"/>
      <c r="N6" s="9"/>
      <c r="O6" s="9"/>
      <c r="P6" s="89"/>
      <c r="Q6" s="9"/>
      <c r="R6" s="9"/>
      <c r="S6" s="61"/>
    </row>
    <row r="7" spans="1:19" x14ac:dyDescent="0.2">
      <c r="A7" s="427">
        <f>A56</f>
        <v>383000</v>
      </c>
      <c r="B7" s="97">
        <f>B56</f>
        <v>418900</v>
      </c>
      <c r="C7" s="97">
        <f>C56</f>
        <v>342800</v>
      </c>
      <c r="D7" s="97">
        <f>D56</f>
        <v>642000</v>
      </c>
      <c r="E7" s="9">
        <f t="shared" ref="E7" si="0">E56</f>
        <v>801100</v>
      </c>
      <c r="F7" s="473" t="str">
        <f>G466</f>
        <v>Development Services</v>
      </c>
      <c r="G7" s="46"/>
      <c r="H7" s="9">
        <f t="shared" ref="H7:L7" si="1">H56</f>
        <v>798900</v>
      </c>
      <c r="I7" s="85">
        <f>IF(E7=H7,0,IF(E7=0,100,(H7-E7)/E7*100))</f>
        <v>-0.27462239420796403</v>
      </c>
      <c r="J7" s="9">
        <f t="shared" si="1"/>
        <v>748900</v>
      </c>
      <c r="K7" s="9">
        <f t="shared" si="1"/>
        <v>768300</v>
      </c>
      <c r="L7" s="9">
        <f t="shared" si="1"/>
        <v>788300</v>
      </c>
      <c r="M7" s="9">
        <f t="shared" ref="M7:R7" si="2">M56</f>
        <v>808700</v>
      </c>
      <c r="N7" s="9">
        <f t="shared" si="2"/>
        <v>829600</v>
      </c>
      <c r="O7" s="9">
        <f t="shared" si="2"/>
        <v>851000</v>
      </c>
      <c r="P7" s="89">
        <f t="shared" si="2"/>
        <v>873000</v>
      </c>
      <c r="Q7" s="9">
        <f t="shared" si="2"/>
        <v>895600</v>
      </c>
      <c r="R7" s="9">
        <f t="shared" si="2"/>
        <v>918700</v>
      </c>
      <c r="S7" s="47">
        <f t="shared" ref="S7" si="3">S56</f>
        <v>942400</v>
      </c>
    </row>
    <row r="8" spans="1:19" x14ac:dyDescent="0.2">
      <c r="A8" s="427">
        <f>A91</f>
        <v>572000</v>
      </c>
      <c r="B8" s="97">
        <f>B91</f>
        <v>846400</v>
      </c>
      <c r="C8" s="97">
        <f>C91</f>
        <v>1144000</v>
      </c>
      <c r="D8" s="97">
        <f>D91</f>
        <v>1387400</v>
      </c>
      <c r="E8" s="9">
        <f t="shared" ref="E8" si="4">E91</f>
        <v>1479800</v>
      </c>
      <c r="F8" s="473" t="str">
        <f>G467</f>
        <v>Building Services</v>
      </c>
      <c r="G8" s="46"/>
      <c r="H8" s="9">
        <f t="shared" ref="H8:L8" si="5">H91</f>
        <v>1360600</v>
      </c>
      <c r="I8" s="85">
        <f>IF(E8=H8,0,IF(E8=0,100,(H8-E8)/E8*100))</f>
        <v>-8.0551425868360589</v>
      </c>
      <c r="J8" s="9">
        <f t="shared" si="5"/>
        <v>1311000</v>
      </c>
      <c r="K8" s="9">
        <f t="shared" si="5"/>
        <v>1344300</v>
      </c>
      <c r="L8" s="9">
        <f t="shared" si="5"/>
        <v>1379000</v>
      </c>
      <c r="M8" s="9">
        <f t="shared" ref="M8:R8" si="6">M91</f>
        <v>1414400</v>
      </c>
      <c r="N8" s="9">
        <f t="shared" si="6"/>
        <v>1450800</v>
      </c>
      <c r="O8" s="9">
        <f t="shared" si="6"/>
        <v>1487900</v>
      </c>
      <c r="P8" s="89">
        <f t="shared" si="6"/>
        <v>1525900</v>
      </c>
      <c r="Q8" s="9">
        <f t="shared" si="6"/>
        <v>1564900</v>
      </c>
      <c r="R8" s="9">
        <f t="shared" si="6"/>
        <v>1605000</v>
      </c>
      <c r="S8" s="47">
        <f t="shared" ref="S8" si="7">S91</f>
        <v>1645900</v>
      </c>
    </row>
    <row r="9" spans="1:19" x14ac:dyDescent="0.2">
      <c r="A9" s="427">
        <f>A131</f>
        <v>188200</v>
      </c>
      <c r="B9" s="97">
        <f>B131</f>
        <v>184800</v>
      </c>
      <c r="C9" s="97">
        <f>C131</f>
        <v>238100</v>
      </c>
      <c r="D9" s="97">
        <f>D131</f>
        <v>262400</v>
      </c>
      <c r="E9" s="9">
        <f>E131</f>
        <v>272700</v>
      </c>
      <c r="F9" s="473" t="str">
        <f>G468</f>
        <v>Environmental and Public Health</v>
      </c>
      <c r="G9" s="46"/>
      <c r="H9" s="9">
        <f t="shared" ref="H9:L9" si="8">H131</f>
        <v>393500</v>
      </c>
      <c r="I9" s="85">
        <f>IF(E9=H9,0,IF(E9=0,100,(H9-E9)/E9*100))</f>
        <v>44.297763109644301</v>
      </c>
      <c r="J9" s="9">
        <f t="shared" si="8"/>
        <v>299800</v>
      </c>
      <c r="K9" s="9">
        <f t="shared" si="8"/>
        <v>307900</v>
      </c>
      <c r="L9" s="9">
        <f t="shared" si="8"/>
        <v>316300</v>
      </c>
      <c r="M9" s="9">
        <f t="shared" ref="M9:R9" si="9">M131</f>
        <v>324900</v>
      </c>
      <c r="N9" s="9">
        <f t="shared" si="9"/>
        <v>333800</v>
      </c>
      <c r="O9" s="9">
        <f t="shared" si="9"/>
        <v>342800</v>
      </c>
      <c r="P9" s="89">
        <f t="shared" si="9"/>
        <v>352000</v>
      </c>
      <c r="Q9" s="9">
        <f t="shared" si="9"/>
        <v>361400</v>
      </c>
      <c r="R9" s="9">
        <f t="shared" si="9"/>
        <v>371000</v>
      </c>
      <c r="S9" s="47">
        <f t="shared" ref="S9" si="10">S131</f>
        <v>380800</v>
      </c>
    </row>
    <row r="10" spans="1:19" x14ac:dyDescent="0.2">
      <c r="A10" s="427">
        <f>A180</f>
        <v>110600</v>
      </c>
      <c r="B10" s="97">
        <f>B180</f>
        <v>163400</v>
      </c>
      <c r="C10" s="97">
        <f>C180</f>
        <v>313900</v>
      </c>
      <c r="D10" s="97">
        <f>D180</f>
        <v>233100</v>
      </c>
      <c r="E10" s="9">
        <f t="shared" ref="E10" si="11">E180</f>
        <v>183300</v>
      </c>
      <c r="F10" s="473" t="str">
        <f>G469</f>
        <v>Public Order</v>
      </c>
      <c r="G10" s="46"/>
      <c r="H10" s="9">
        <f t="shared" ref="H10:O10" si="12">H180</f>
        <v>230000</v>
      </c>
      <c r="I10" s="85">
        <f>IF(E10=H10,0,IF(E10=0,100,(H10-E10)/E10*100))</f>
        <v>25.477359519912714</v>
      </c>
      <c r="J10" s="9">
        <f t="shared" si="12"/>
        <v>233200</v>
      </c>
      <c r="K10" s="9">
        <f t="shared" si="12"/>
        <v>239600</v>
      </c>
      <c r="L10" s="9">
        <f t="shared" si="12"/>
        <v>246200</v>
      </c>
      <c r="M10" s="9">
        <f t="shared" si="12"/>
        <v>252900</v>
      </c>
      <c r="N10" s="9">
        <f t="shared" si="12"/>
        <v>259700</v>
      </c>
      <c r="O10" s="9">
        <f t="shared" si="12"/>
        <v>266600</v>
      </c>
      <c r="P10" s="89">
        <f t="shared" ref="P10:Q10" si="13">P180</f>
        <v>273700</v>
      </c>
      <c r="Q10" s="9">
        <f t="shared" si="13"/>
        <v>281000</v>
      </c>
      <c r="R10" s="9">
        <f t="shared" ref="R10" si="14">R180</f>
        <v>288500</v>
      </c>
      <c r="S10" s="47">
        <f t="shared" ref="S10" si="15">S180</f>
        <v>296300</v>
      </c>
    </row>
    <row r="11" spans="1:19" ht="13.5" thickBot="1" x14ac:dyDescent="0.25">
      <c r="A11" s="1435"/>
      <c r="B11" s="97"/>
      <c r="C11" s="99"/>
      <c r="D11" s="97"/>
      <c r="E11" s="9"/>
      <c r="F11" s="473"/>
      <c r="G11" s="89"/>
      <c r="H11" s="9"/>
      <c r="I11" s="85"/>
      <c r="J11" s="9"/>
      <c r="K11" s="9"/>
      <c r="L11" s="9"/>
      <c r="M11" s="9"/>
      <c r="N11" s="9"/>
      <c r="O11" s="9"/>
      <c r="P11" s="89"/>
      <c r="Q11" s="9"/>
      <c r="R11" s="9"/>
      <c r="S11" s="47"/>
    </row>
    <row r="12" spans="1:19" s="39" customFormat="1" x14ac:dyDescent="0.2">
      <c r="A12" s="428">
        <f>SUM(A5:A11)</f>
        <v>1253800</v>
      </c>
      <c r="B12" s="100">
        <f>SUM(B5:B11)</f>
        <v>1613500</v>
      </c>
      <c r="C12" s="101">
        <f>SUM(C5:C11)</f>
        <v>2038800</v>
      </c>
      <c r="D12" s="100">
        <f>SUM(D5:D11)</f>
        <v>2524900</v>
      </c>
      <c r="E12" s="16">
        <f t="shared" ref="E12" si="16">SUM(E5:E11)</f>
        <v>2736900</v>
      </c>
      <c r="F12" s="1202" t="s">
        <v>2561</v>
      </c>
      <c r="G12" s="75"/>
      <c r="H12" s="16">
        <f t="shared" ref="H12:O12" si="17">SUM(H5:H11)</f>
        <v>2783000</v>
      </c>
      <c r="I12" s="127">
        <f>IF(E12=H12,0,IF(E12=0,100,(H12-E12)/E12*100))</f>
        <v>1.6843874456501884</v>
      </c>
      <c r="J12" s="16">
        <f t="shared" si="17"/>
        <v>2592900</v>
      </c>
      <c r="K12" s="16">
        <f t="shared" si="17"/>
        <v>2660100</v>
      </c>
      <c r="L12" s="16">
        <f t="shared" si="17"/>
        <v>2729800</v>
      </c>
      <c r="M12" s="16">
        <f t="shared" si="17"/>
        <v>2800900</v>
      </c>
      <c r="N12" s="16">
        <f t="shared" si="17"/>
        <v>2873900</v>
      </c>
      <c r="O12" s="16">
        <f t="shared" si="17"/>
        <v>2948300</v>
      </c>
      <c r="P12" s="102">
        <f t="shared" ref="P12:Q12" si="18">SUM(P5:P11)</f>
        <v>3024600</v>
      </c>
      <c r="Q12" s="16">
        <f t="shared" si="18"/>
        <v>3102900</v>
      </c>
      <c r="R12" s="16">
        <f t="shared" ref="R12" si="19">SUM(R5:R11)</f>
        <v>3183200</v>
      </c>
      <c r="S12" s="2342">
        <f t="shared" ref="S12" si="20">SUM(S5:S11)</f>
        <v>3265400</v>
      </c>
    </row>
    <row r="13" spans="1:19" x14ac:dyDescent="0.2">
      <c r="A13" s="427"/>
      <c r="B13" s="97"/>
      <c r="C13" s="99"/>
      <c r="D13" s="97"/>
      <c r="E13" s="9"/>
      <c r="F13" s="473"/>
      <c r="G13" s="89"/>
      <c r="H13" s="9"/>
      <c r="I13" s="85"/>
      <c r="J13" s="9"/>
      <c r="K13" s="9"/>
      <c r="L13" s="9"/>
      <c r="M13" s="9"/>
      <c r="N13" s="9"/>
      <c r="O13" s="9"/>
      <c r="P13" s="89"/>
      <c r="Q13" s="9"/>
      <c r="R13" s="9"/>
      <c r="S13" s="47"/>
    </row>
    <row r="14" spans="1:19" x14ac:dyDescent="0.2">
      <c r="A14" s="427"/>
      <c r="B14" s="97"/>
      <c r="C14" s="99"/>
      <c r="D14" s="97"/>
      <c r="E14" s="9"/>
      <c r="F14" s="472" t="s">
        <v>2169</v>
      </c>
      <c r="G14" s="89"/>
      <c r="H14" s="9"/>
      <c r="I14" s="85"/>
      <c r="J14" s="9"/>
      <c r="K14" s="9"/>
      <c r="L14" s="9"/>
      <c r="M14" s="9"/>
      <c r="N14" s="9"/>
      <c r="O14" s="9"/>
      <c r="P14" s="89"/>
      <c r="Q14" s="9"/>
      <c r="R14" s="9"/>
      <c r="S14" s="47"/>
    </row>
    <row r="15" spans="1:19" x14ac:dyDescent="0.2">
      <c r="A15" s="427"/>
      <c r="B15" s="97"/>
      <c r="C15" s="97"/>
      <c r="D15" s="97"/>
      <c r="E15" s="9"/>
      <c r="F15" s="471"/>
      <c r="G15" s="75"/>
      <c r="H15" s="9"/>
      <c r="I15" s="85"/>
      <c r="J15" s="9"/>
      <c r="K15" s="9"/>
      <c r="L15" s="9"/>
      <c r="M15" s="9"/>
      <c r="N15" s="9"/>
      <c r="O15" s="9"/>
      <c r="P15" s="89"/>
      <c r="Q15" s="9"/>
      <c r="R15" s="9"/>
      <c r="S15" s="47"/>
    </row>
    <row r="16" spans="1:19" x14ac:dyDescent="0.2">
      <c r="A16" s="427">
        <f>A64</f>
        <v>1373000</v>
      </c>
      <c r="B16" s="97">
        <f>B64</f>
        <v>1284300</v>
      </c>
      <c r="C16" s="97">
        <f>C64</f>
        <v>1277900</v>
      </c>
      <c r="D16" s="97">
        <f>D64</f>
        <v>1303300</v>
      </c>
      <c r="E16" s="9">
        <f t="shared" ref="E16" si="21">E64</f>
        <v>1889600</v>
      </c>
      <c r="F16" s="473" t="str">
        <f>F7</f>
        <v>Development Services</v>
      </c>
      <c r="G16" s="89"/>
      <c r="H16" s="9">
        <f t="shared" ref="H16:L16" si="22">H64</f>
        <v>1727500</v>
      </c>
      <c r="I16" s="85">
        <f>IF(E16=H16,0,IF(E16=0,100,(H16-E16)/E16*100))</f>
        <v>-8.578535139712109</v>
      </c>
      <c r="J16" s="9">
        <f t="shared" si="22"/>
        <v>1780000</v>
      </c>
      <c r="K16" s="9">
        <f t="shared" si="22"/>
        <v>1821800</v>
      </c>
      <c r="L16" s="9">
        <f t="shared" si="22"/>
        <v>1864500</v>
      </c>
      <c r="M16" s="9">
        <f t="shared" ref="M16:R16" si="23">M64</f>
        <v>1908200</v>
      </c>
      <c r="N16" s="9">
        <f t="shared" si="23"/>
        <v>1953200</v>
      </c>
      <c r="O16" s="9">
        <f t="shared" si="23"/>
        <v>1999200</v>
      </c>
      <c r="P16" s="89">
        <f t="shared" si="23"/>
        <v>2046300</v>
      </c>
      <c r="Q16" s="9">
        <f t="shared" si="23"/>
        <v>2094500</v>
      </c>
      <c r="R16" s="9">
        <f t="shared" si="23"/>
        <v>2143700</v>
      </c>
      <c r="S16" s="47">
        <f t="shared" ref="S16" si="24">S64</f>
        <v>2193900</v>
      </c>
    </row>
    <row r="17" spans="1:19" x14ac:dyDescent="0.2">
      <c r="A17" s="427">
        <f>A99</f>
        <v>1000000</v>
      </c>
      <c r="B17" s="97">
        <f>B99</f>
        <v>949000</v>
      </c>
      <c r="C17" s="97">
        <f>C99</f>
        <v>926900</v>
      </c>
      <c r="D17" s="97">
        <f>D99</f>
        <v>1070600</v>
      </c>
      <c r="E17" s="9">
        <f t="shared" ref="E17" si="25">E99</f>
        <v>1115100</v>
      </c>
      <c r="F17" s="473" t="str">
        <f>F8</f>
        <v>Building Services</v>
      </c>
      <c r="G17" s="89"/>
      <c r="H17" s="9">
        <f t="shared" ref="H17:L17" si="26">H99</f>
        <v>1173500</v>
      </c>
      <c r="I17" s="85">
        <f>IF(E17=H17,0,IF(E17=0,100,(H17-E17)/E17*100))</f>
        <v>5.2371984575374402</v>
      </c>
      <c r="J17" s="9">
        <f t="shared" si="26"/>
        <v>1137300</v>
      </c>
      <c r="K17" s="9">
        <f t="shared" si="26"/>
        <v>1163800</v>
      </c>
      <c r="L17" s="9">
        <f t="shared" si="26"/>
        <v>1191000</v>
      </c>
      <c r="M17" s="9">
        <f t="shared" ref="M17:R17" si="27">M99</f>
        <v>1218700</v>
      </c>
      <c r="N17" s="9">
        <f t="shared" si="27"/>
        <v>1247100</v>
      </c>
      <c r="O17" s="9">
        <f t="shared" si="27"/>
        <v>1276200</v>
      </c>
      <c r="P17" s="89">
        <f t="shared" si="27"/>
        <v>1305900</v>
      </c>
      <c r="Q17" s="9">
        <f t="shared" si="27"/>
        <v>1336300</v>
      </c>
      <c r="R17" s="9">
        <f t="shared" si="27"/>
        <v>1367400</v>
      </c>
      <c r="S17" s="47">
        <f t="shared" ref="S17" si="28">S99</f>
        <v>1399300</v>
      </c>
    </row>
    <row r="18" spans="1:19" x14ac:dyDescent="0.2">
      <c r="A18" s="427">
        <f>A150</f>
        <v>815000</v>
      </c>
      <c r="B18" s="97">
        <f>B150</f>
        <v>854400</v>
      </c>
      <c r="C18" s="97">
        <f>C150</f>
        <v>763400</v>
      </c>
      <c r="D18" s="97">
        <f>D150</f>
        <v>956700</v>
      </c>
      <c r="E18" s="9">
        <f t="shared" ref="E18" si="29">E150</f>
        <v>1110300</v>
      </c>
      <c r="F18" s="473" t="str">
        <f>F9</f>
        <v>Environmental and Public Health</v>
      </c>
      <c r="G18" s="89"/>
      <c r="H18" s="9">
        <f t="shared" ref="H18:L18" si="30">H150</f>
        <v>1688400</v>
      </c>
      <c r="I18" s="85">
        <f>IF(E18=H18,0,IF(E18=0,100,(H18-E18)/E18*100))</f>
        <v>52.067008916509053</v>
      </c>
      <c r="J18" s="9">
        <f t="shared" si="30"/>
        <v>1189700</v>
      </c>
      <c r="K18" s="9">
        <f t="shared" si="30"/>
        <v>1218000</v>
      </c>
      <c r="L18" s="9">
        <f t="shared" si="30"/>
        <v>1247100</v>
      </c>
      <c r="M18" s="9">
        <f t="shared" ref="M18:R18" si="31">M150</f>
        <v>1277000</v>
      </c>
      <c r="N18" s="9">
        <f t="shared" si="31"/>
        <v>1307500</v>
      </c>
      <c r="O18" s="9">
        <f t="shared" si="31"/>
        <v>1338700</v>
      </c>
      <c r="P18" s="89">
        <f t="shared" si="31"/>
        <v>1370600</v>
      </c>
      <c r="Q18" s="9">
        <f t="shared" si="31"/>
        <v>1403100</v>
      </c>
      <c r="R18" s="9">
        <f t="shared" si="31"/>
        <v>1436600</v>
      </c>
      <c r="S18" s="47">
        <f t="shared" ref="S18" si="32">S150</f>
        <v>1470800</v>
      </c>
    </row>
    <row r="19" spans="1:19" x14ac:dyDescent="0.2">
      <c r="A19" s="427">
        <f>A194</f>
        <v>388000</v>
      </c>
      <c r="B19" s="97">
        <f>B194</f>
        <v>480900</v>
      </c>
      <c r="C19" s="97">
        <f>C194</f>
        <v>524100</v>
      </c>
      <c r="D19" s="97">
        <f>D194</f>
        <v>547200</v>
      </c>
      <c r="E19" s="9">
        <f t="shared" ref="E19" si="33">E194</f>
        <v>572300</v>
      </c>
      <c r="F19" s="473" t="str">
        <f>F10</f>
        <v>Public Order</v>
      </c>
      <c r="G19" s="89"/>
      <c r="H19" s="9">
        <f t="shared" ref="H19:O19" si="34">H194</f>
        <v>561700</v>
      </c>
      <c r="I19" s="85">
        <f>IF(E19=H19,0,IF(E19=0,100,(H19-E19)/E19*100))</f>
        <v>-1.8521754324654902</v>
      </c>
      <c r="J19" s="9">
        <f t="shared" si="34"/>
        <v>580000</v>
      </c>
      <c r="K19" s="9">
        <f t="shared" si="34"/>
        <v>594100</v>
      </c>
      <c r="L19" s="9">
        <f t="shared" si="34"/>
        <v>608900</v>
      </c>
      <c r="M19" s="9">
        <f t="shared" si="34"/>
        <v>624300</v>
      </c>
      <c r="N19" s="9">
        <f t="shared" si="34"/>
        <v>639900</v>
      </c>
      <c r="O19" s="9">
        <f t="shared" si="34"/>
        <v>655800</v>
      </c>
      <c r="P19" s="89">
        <f t="shared" ref="P19:Q19" si="35">P194</f>
        <v>672100</v>
      </c>
      <c r="Q19" s="9">
        <f t="shared" si="35"/>
        <v>688900</v>
      </c>
      <c r="R19" s="9">
        <f t="shared" ref="R19" si="36">R194</f>
        <v>706100</v>
      </c>
      <c r="S19" s="47">
        <f t="shared" ref="S19" si="37">S194</f>
        <v>723600</v>
      </c>
    </row>
    <row r="20" spans="1:19" ht="13.5" thickBot="1" x14ac:dyDescent="0.25">
      <c r="A20" s="1435"/>
      <c r="B20" s="398"/>
      <c r="C20" s="99"/>
      <c r="D20" s="97"/>
      <c r="E20" s="9"/>
      <c r="F20" s="475"/>
      <c r="G20" s="89"/>
      <c r="H20" s="9"/>
      <c r="I20" s="85"/>
      <c r="J20" s="9"/>
      <c r="K20" s="9"/>
      <c r="L20" s="9"/>
      <c r="M20" s="9"/>
      <c r="N20" s="9"/>
      <c r="O20" s="9"/>
      <c r="P20" s="89"/>
      <c r="Q20" s="9"/>
      <c r="R20" s="9"/>
      <c r="S20" s="47"/>
    </row>
    <row r="21" spans="1:19" s="39" customFormat="1" x14ac:dyDescent="0.2">
      <c r="A21" s="428">
        <f>SUM(A14:A20)</f>
        <v>3576000</v>
      </c>
      <c r="B21" s="100">
        <f>SUM(B14:B20)</f>
        <v>3568600</v>
      </c>
      <c r="C21" s="101">
        <f>SUM(C14:C20)</f>
        <v>3492300</v>
      </c>
      <c r="D21" s="100">
        <f>SUM(D14:D20)</f>
        <v>3877800</v>
      </c>
      <c r="E21" s="16">
        <f t="shared" ref="E21" si="38">SUM(E14:E20)</f>
        <v>4687300</v>
      </c>
      <c r="F21" s="474" t="s">
        <v>556</v>
      </c>
      <c r="G21" s="75"/>
      <c r="H21" s="16">
        <f t="shared" ref="H21:O21" si="39">SUM(H14:H20)</f>
        <v>5151100</v>
      </c>
      <c r="I21" s="127">
        <f>IF(E21=H21,0,IF(E21=0,100,(H21-E21)/E21*100))</f>
        <v>9.8948221790796396</v>
      </c>
      <c r="J21" s="16">
        <f t="shared" si="39"/>
        <v>4687000</v>
      </c>
      <c r="K21" s="16">
        <f t="shared" si="39"/>
        <v>4797700</v>
      </c>
      <c r="L21" s="16">
        <f t="shared" si="39"/>
        <v>4911500</v>
      </c>
      <c r="M21" s="16">
        <f t="shared" si="39"/>
        <v>5028200</v>
      </c>
      <c r="N21" s="16">
        <f t="shared" si="39"/>
        <v>5147700</v>
      </c>
      <c r="O21" s="16">
        <f t="shared" si="39"/>
        <v>5269900</v>
      </c>
      <c r="P21" s="102">
        <f t="shared" ref="P21:Q21" si="40">SUM(P14:P20)</f>
        <v>5394900</v>
      </c>
      <c r="Q21" s="16">
        <f t="shared" si="40"/>
        <v>5522800</v>
      </c>
      <c r="R21" s="16">
        <f t="shared" ref="R21" si="41">SUM(R14:R20)</f>
        <v>5653800</v>
      </c>
      <c r="S21" s="2342">
        <f t="shared" ref="S21" si="42">SUM(S14:S20)</f>
        <v>5787600</v>
      </c>
    </row>
    <row r="22" spans="1:19" x14ac:dyDescent="0.2">
      <c r="A22" s="427"/>
      <c r="B22" s="97"/>
      <c r="C22" s="99"/>
      <c r="D22" s="97"/>
      <c r="E22" s="9"/>
      <c r="F22" s="473"/>
      <c r="G22" s="89"/>
      <c r="H22" s="9"/>
      <c r="I22" s="85"/>
      <c r="J22" s="9"/>
      <c r="K22" s="9"/>
      <c r="L22" s="9"/>
      <c r="M22" s="9"/>
      <c r="N22" s="9"/>
      <c r="O22" s="9"/>
      <c r="P22" s="89"/>
      <c r="Q22" s="9"/>
      <c r="R22" s="9"/>
      <c r="S22" s="47"/>
    </row>
    <row r="23" spans="1:19" x14ac:dyDescent="0.2">
      <c r="A23" s="427"/>
      <c r="B23" s="97"/>
      <c r="C23" s="99"/>
      <c r="D23" s="97"/>
      <c r="E23" s="9"/>
      <c r="F23" s="1188" t="s">
        <v>4617</v>
      </c>
      <c r="G23" s="1161"/>
      <c r="H23" s="9"/>
      <c r="I23" s="85"/>
      <c r="J23" s="9"/>
      <c r="K23" s="9"/>
      <c r="L23" s="9"/>
      <c r="M23" s="9"/>
      <c r="N23" s="9"/>
      <c r="O23" s="9"/>
      <c r="P23" s="89"/>
      <c r="Q23" s="9"/>
      <c r="R23" s="9"/>
      <c r="S23" s="47"/>
    </row>
    <row r="24" spans="1:19" x14ac:dyDescent="0.2">
      <c r="A24" s="427"/>
      <c r="B24" s="97"/>
      <c r="C24" s="97"/>
      <c r="D24" s="97"/>
      <c r="E24" s="9"/>
      <c r="F24" s="471"/>
      <c r="G24" s="75"/>
      <c r="H24" s="9"/>
      <c r="I24" s="85"/>
      <c r="J24" s="9"/>
      <c r="K24" s="9"/>
      <c r="L24" s="9"/>
      <c r="M24" s="9"/>
      <c r="N24" s="9"/>
      <c r="O24" s="9"/>
      <c r="P24" s="89"/>
      <c r="Q24" s="9"/>
      <c r="R24" s="9"/>
      <c r="S24" s="47"/>
    </row>
    <row r="25" spans="1:19" x14ac:dyDescent="0.2">
      <c r="A25" s="427">
        <f t="shared" ref="A25:B25" si="43">A7-A16</f>
        <v>-990000</v>
      </c>
      <c r="B25" s="97">
        <f t="shared" si="43"/>
        <v>-865400</v>
      </c>
      <c r="C25" s="97">
        <f t="shared" ref="C25:C28" si="44">C7-C16</f>
        <v>-935100</v>
      </c>
      <c r="D25" s="97">
        <f t="shared" ref="D25:E28" si="45">D7-D16</f>
        <v>-661300</v>
      </c>
      <c r="E25" s="9">
        <f t="shared" si="45"/>
        <v>-1088500</v>
      </c>
      <c r="F25" s="473" t="str">
        <f>F16</f>
        <v>Development Services</v>
      </c>
      <c r="G25" s="89"/>
      <c r="H25" s="9">
        <f t="shared" ref="H25:P25" si="46">H7-H16</f>
        <v>-928600</v>
      </c>
      <c r="I25" s="85">
        <f>IF(E25=H25,0,IF(E25=0,100,(H25-E25)/E25*100))</f>
        <v>-14.689940284795592</v>
      </c>
      <c r="J25" s="9">
        <f t="shared" si="46"/>
        <v>-1031100</v>
      </c>
      <c r="K25" s="9">
        <f t="shared" si="46"/>
        <v>-1053500</v>
      </c>
      <c r="L25" s="9">
        <f t="shared" si="46"/>
        <v>-1076200</v>
      </c>
      <c r="M25" s="9">
        <f t="shared" si="46"/>
        <v>-1099500</v>
      </c>
      <c r="N25" s="9">
        <f t="shared" si="46"/>
        <v>-1123600</v>
      </c>
      <c r="O25" s="9">
        <f t="shared" si="46"/>
        <v>-1148200</v>
      </c>
      <c r="P25" s="89">
        <f t="shared" si="46"/>
        <v>-1173300</v>
      </c>
      <c r="Q25" s="9">
        <f t="shared" ref="Q25" si="47">Q7-Q16</f>
        <v>-1198900</v>
      </c>
      <c r="R25" s="9">
        <f t="shared" ref="R25" si="48">R7-R16</f>
        <v>-1225000</v>
      </c>
      <c r="S25" s="47">
        <f t="shared" ref="S25" si="49">S7-S16</f>
        <v>-1251500</v>
      </c>
    </row>
    <row r="26" spans="1:19" x14ac:dyDescent="0.2">
      <c r="A26" s="427">
        <f t="shared" ref="A26:B26" si="50">A8-A17</f>
        <v>-428000</v>
      </c>
      <c r="B26" s="97">
        <f t="shared" si="50"/>
        <v>-102600</v>
      </c>
      <c r="C26" s="97">
        <f t="shared" si="44"/>
        <v>217100</v>
      </c>
      <c r="D26" s="97">
        <f t="shared" si="45"/>
        <v>316800</v>
      </c>
      <c r="E26" s="9">
        <f t="shared" si="45"/>
        <v>364700</v>
      </c>
      <c r="F26" s="473" t="str">
        <f>F17</f>
        <v>Building Services</v>
      </c>
      <c r="G26" s="89"/>
      <c r="H26" s="9">
        <f t="shared" ref="H26:P26" si="51">H8-H17</f>
        <v>187100</v>
      </c>
      <c r="I26" s="85">
        <f>IF(E26=H26,0,IF(E26=0,100,(H26-E26)/E26*100))</f>
        <v>-48.697559638058678</v>
      </c>
      <c r="J26" s="9">
        <f t="shared" si="51"/>
        <v>173700</v>
      </c>
      <c r="K26" s="9">
        <f t="shared" si="51"/>
        <v>180500</v>
      </c>
      <c r="L26" s="9">
        <f t="shared" si="51"/>
        <v>188000</v>
      </c>
      <c r="M26" s="9">
        <f t="shared" si="51"/>
        <v>195700</v>
      </c>
      <c r="N26" s="9">
        <f t="shared" si="51"/>
        <v>203700</v>
      </c>
      <c r="O26" s="9">
        <f t="shared" si="51"/>
        <v>211700</v>
      </c>
      <c r="P26" s="89">
        <f t="shared" si="51"/>
        <v>220000</v>
      </c>
      <c r="Q26" s="9">
        <f t="shared" ref="Q26" si="52">Q8-Q17</f>
        <v>228600</v>
      </c>
      <c r="R26" s="9">
        <f t="shared" ref="R26" si="53">R8-R17</f>
        <v>237600</v>
      </c>
      <c r="S26" s="47">
        <f t="shared" ref="S26" si="54">S8-S17</f>
        <v>246600</v>
      </c>
    </row>
    <row r="27" spans="1:19" x14ac:dyDescent="0.2">
      <c r="A27" s="427">
        <f t="shared" ref="A27:B27" si="55">A9-A18</f>
        <v>-626800</v>
      </c>
      <c r="B27" s="97">
        <f t="shared" si="55"/>
        <v>-669600</v>
      </c>
      <c r="C27" s="97">
        <f t="shared" si="44"/>
        <v>-525300</v>
      </c>
      <c r="D27" s="97">
        <f t="shared" si="45"/>
        <v>-694300</v>
      </c>
      <c r="E27" s="9">
        <f t="shared" si="45"/>
        <v>-837600</v>
      </c>
      <c r="F27" s="473" t="str">
        <f>F18</f>
        <v>Environmental and Public Health</v>
      </c>
      <c r="G27" s="89"/>
      <c r="H27" s="9">
        <f t="shared" ref="H27:P27" si="56">H9-H18</f>
        <v>-1294900</v>
      </c>
      <c r="I27" s="85">
        <f>IF(E27=H27,0,IF(E27=0,100,(H27-E27)/E27*100))</f>
        <v>54.59646609360076</v>
      </c>
      <c r="J27" s="9">
        <f t="shared" si="56"/>
        <v>-889900</v>
      </c>
      <c r="K27" s="9">
        <f t="shared" si="56"/>
        <v>-910100</v>
      </c>
      <c r="L27" s="9">
        <f t="shared" si="56"/>
        <v>-930800</v>
      </c>
      <c r="M27" s="9">
        <f t="shared" si="56"/>
        <v>-952100</v>
      </c>
      <c r="N27" s="9">
        <f t="shared" si="56"/>
        <v>-973700</v>
      </c>
      <c r="O27" s="9">
        <f t="shared" si="56"/>
        <v>-995900</v>
      </c>
      <c r="P27" s="89">
        <f t="shared" si="56"/>
        <v>-1018600</v>
      </c>
      <c r="Q27" s="9">
        <f t="shared" ref="Q27" si="57">Q9-Q18</f>
        <v>-1041700</v>
      </c>
      <c r="R27" s="9">
        <f t="shared" ref="R27" si="58">R9-R18</f>
        <v>-1065600</v>
      </c>
      <c r="S27" s="47">
        <f t="shared" ref="S27" si="59">S9-S18</f>
        <v>-1090000</v>
      </c>
    </row>
    <row r="28" spans="1:19" x14ac:dyDescent="0.2">
      <c r="A28" s="427">
        <f t="shared" ref="A28:B28" si="60">A10-A19</f>
        <v>-277400</v>
      </c>
      <c r="B28" s="97">
        <f t="shared" si="60"/>
        <v>-317500</v>
      </c>
      <c r="C28" s="97">
        <f t="shared" si="44"/>
        <v>-210200</v>
      </c>
      <c r="D28" s="97">
        <f t="shared" si="45"/>
        <v>-314100</v>
      </c>
      <c r="E28" s="9">
        <f t="shared" si="45"/>
        <v>-389000</v>
      </c>
      <c r="F28" s="473" t="str">
        <f>F19</f>
        <v>Public Order</v>
      </c>
      <c r="G28" s="89"/>
      <c r="H28" s="9">
        <f t="shared" ref="H28:P28" si="61">H10-H19</f>
        <v>-331700</v>
      </c>
      <c r="I28" s="85">
        <f>IF(E28=H28,0,IF(E28=0,100,(H28-E28)/E28*100))</f>
        <v>-14.730077120822621</v>
      </c>
      <c r="J28" s="9">
        <f t="shared" si="61"/>
        <v>-346800</v>
      </c>
      <c r="K28" s="9">
        <f t="shared" si="61"/>
        <v>-354500</v>
      </c>
      <c r="L28" s="9">
        <f t="shared" si="61"/>
        <v>-362700</v>
      </c>
      <c r="M28" s="9">
        <f t="shared" si="61"/>
        <v>-371400</v>
      </c>
      <c r="N28" s="9">
        <f t="shared" si="61"/>
        <v>-380200</v>
      </c>
      <c r="O28" s="9">
        <f t="shared" si="61"/>
        <v>-389200</v>
      </c>
      <c r="P28" s="89">
        <f t="shared" si="61"/>
        <v>-398400</v>
      </c>
      <c r="Q28" s="9">
        <f t="shared" ref="Q28" si="62">Q10-Q19</f>
        <v>-407900</v>
      </c>
      <c r="R28" s="9">
        <f t="shared" ref="R28" si="63">R10-R19</f>
        <v>-417600</v>
      </c>
      <c r="S28" s="47">
        <f t="shared" ref="S28" si="64">S10-S19</f>
        <v>-427300</v>
      </c>
    </row>
    <row r="29" spans="1:19" ht="13.5" thickBot="1" x14ac:dyDescent="0.25">
      <c r="A29" s="429"/>
      <c r="B29" s="103"/>
      <c r="C29" s="103"/>
      <c r="D29" s="103"/>
      <c r="E29" s="9"/>
      <c r="F29" s="473"/>
      <c r="G29" s="75"/>
      <c r="H29" s="9"/>
      <c r="I29" s="85"/>
      <c r="J29" s="9"/>
      <c r="K29" s="9"/>
      <c r="L29" s="9"/>
      <c r="M29" s="9"/>
      <c r="N29" s="9"/>
      <c r="O29" s="9"/>
      <c r="P29" s="89"/>
      <c r="Q29" s="9"/>
      <c r="R29" s="9"/>
      <c r="S29" s="47"/>
    </row>
    <row r="30" spans="1:19" x14ac:dyDescent="0.2">
      <c r="A30" s="428">
        <f>A12-A21</f>
        <v>-2322200</v>
      </c>
      <c r="B30" s="100">
        <f>B12-B21</f>
        <v>-1955100</v>
      </c>
      <c r="C30" s="101">
        <f>C12-C21</f>
        <v>-1453500</v>
      </c>
      <c r="D30" s="100">
        <f>D12-D21</f>
        <v>-1352900</v>
      </c>
      <c r="E30" s="16">
        <f t="shared" ref="E30" si="65">E12-E21</f>
        <v>-1950400</v>
      </c>
      <c r="F30" s="1079" t="s">
        <v>4615</v>
      </c>
      <c r="G30" s="89"/>
      <c r="H30" s="16">
        <f t="shared" ref="H30:P30" si="66">H12-H21</f>
        <v>-2368100</v>
      </c>
      <c r="I30" s="127">
        <f>IF(E30=H30,0,IF(E30=0,100,(H30-E30)/E30*100))</f>
        <v>21.416119770303528</v>
      </c>
      <c r="J30" s="16">
        <f t="shared" si="66"/>
        <v>-2094100</v>
      </c>
      <c r="K30" s="16">
        <f t="shared" si="66"/>
        <v>-2137600</v>
      </c>
      <c r="L30" s="16">
        <f t="shared" si="66"/>
        <v>-2181700</v>
      </c>
      <c r="M30" s="16">
        <f t="shared" si="66"/>
        <v>-2227300</v>
      </c>
      <c r="N30" s="16">
        <f t="shared" si="66"/>
        <v>-2273800</v>
      </c>
      <c r="O30" s="16">
        <f t="shared" si="66"/>
        <v>-2321600</v>
      </c>
      <c r="P30" s="102">
        <f t="shared" si="66"/>
        <v>-2370300</v>
      </c>
      <c r="Q30" s="16">
        <f t="shared" ref="Q30" si="67">Q12-Q21</f>
        <v>-2419900</v>
      </c>
      <c r="R30" s="16">
        <f t="shared" ref="R30" si="68">R12-R21</f>
        <v>-2470600</v>
      </c>
      <c r="S30" s="2342">
        <f t="shared" ref="S30" si="69">S12-S21</f>
        <v>-2522200</v>
      </c>
    </row>
    <row r="31" spans="1:19" x14ac:dyDescent="0.2">
      <c r="A31" s="427">
        <f>ROUND(A486,-3)</f>
        <v>5000</v>
      </c>
      <c r="B31" s="97">
        <f>B486</f>
        <v>9800</v>
      </c>
      <c r="C31" s="99">
        <f>C486</f>
        <v>4400</v>
      </c>
      <c r="D31" s="97">
        <f>D486</f>
        <v>4500</v>
      </c>
      <c r="E31" s="9">
        <f t="shared" ref="E31" si="70">E486</f>
        <v>5300</v>
      </c>
      <c r="F31" s="476" t="s">
        <v>1943</v>
      </c>
      <c r="G31" s="89"/>
      <c r="H31" s="9">
        <f t="shared" ref="H31:O31" si="71">H486</f>
        <v>4500</v>
      </c>
      <c r="I31" s="85">
        <f>IF(E31=H31,0,IF(E31=0,100,(H31-E31)/E31*100))</f>
        <v>-15.09433962264151</v>
      </c>
      <c r="J31" s="9">
        <f t="shared" si="71"/>
        <v>5500</v>
      </c>
      <c r="K31" s="9">
        <f t="shared" si="71"/>
        <v>5700</v>
      </c>
      <c r="L31" s="9">
        <f t="shared" si="71"/>
        <v>5900</v>
      </c>
      <c r="M31" s="9">
        <f t="shared" si="71"/>
        <v>6100</v>
      </c>
      <c r="N31" s="9">
        <f t="shared" si="71"/>
        <v>6300</v>
      </c>
      <c r="O31" s="9">
        <f t="shared" si="71"/>
        <v>6500</v>
      </c>
      <c r="P31" s="89">
        <f t="shared" ref="P31:Q31" si="72">P486</f>
        <v>6700</v>
      </c>
      <c r="Q31" s="9">
        <f t="shared" si="72"/>
        <v>6900</v>
      </c>
      <c r="R31" s="9">
        <f t="shared" ref="R31" si="73">R486</f>
        <v>7100</v>
      </c>
      <c r="S31" s="47">
        <f t="shared" ref="S31" si="74">S486</f>
        <v>7300</v>
      </c>
    </row>
    <row r="32" spans="1:19" s="39" customFormat="1" x14ac:dyDescent="0.2">
      <c r="A32" s="128">
        <f>A30+A31</f>
        <v>-2317200</v>
      </c>
      <c r="B32" s="280">
        <f>B30+B31</f>
        <v>-1945300</v>
      </c>
      <c r="C32" s="266">
        <f>C30+C31</f>
        <v>-1449100</v>
      </c>
      <c r="D32" s="280">
        <f>D30+D31</f>
        <v>-1348400</v>
      </c>
      <c r="E32" s="280">
        <f t="shared" ref="E32" si="75">E30+E31</f>
        <v>-1945100</v>
      </c>
      <c r="F32" s="1080" t="s">
        <v>4618</v>
      </c>
      <c r="G32" s="266"/>
      <c r="H32" s="280">
        <f t="shared" ref="H32:O32" si="76">H30+H31</f>
        <v>-2363600</v>
      </c>
      <c r="I32" s="278">
        <f>IF(E32=H32,0,IF(E32=0,100,(H32-E32)/E32*100))</f>
        <v>21.515603310883762</v>
      </c>
      <c r="J32" s="280">
        <f t="shared" si="76"/>
        <v>-2088600</v>
      </c>
      <c r="K32" s="280">
        <f t="shared" si="76"/>
        <v>-2131900</v>
      </c>
      <c r="L32" s="280">
        <f t="shared" si="76"/>
        <v>-2175800</v>
      </c>
      <c r="M32" s="280">
        <f t="shared" si="76"/>
        <v>-2221200</v>
      </c>
      <c r="N32" s="280">
        <f t="shared" si="76"/>
        <v>-2267500</v>
      </c>
      <c r="O32" s="280">
        <f t="shared" si="76"/>
        <v>-2315100</v>
      </c>
      <c r="P32" s="266">
        <f t="shared" ref="P32:Q32" si="77">P30+P31</f>
        <v>-2363600</v>
      </c>
      <c r="Q32" s="280">
        <f t="shared" si="77"/>
        <v>-2413000</v>
      </c>
      <c r="R32" s="280">
        <f t="shared" ref="R32" si="78">R30+R31</f>
        <v>-2463500</v>
      </c>
      <c r="S32" s="2343">
        <f t="shared" ref="S32" si="79">S30+S31</f>
        <v>-2514900</v>
      </c>
    </row>
    <row r="33" spans="1:19" ht="13.5" thickBot="1" x14ac:dyDescent="0.25">
      <c r="A33" s="514"/>
      <c r="B33" s="288"/>
      <c r="C33" s="288"/>
      <c r="D33" s="288"/>
      <c r="E33" s="23"/>
      <c r="F33" s="478"/>
      <c r="G33" s="81"/>
      <c r="H33" s="68"/>
      <c r="I33" s="87"/>
      <c r="J33" s="68"/>
      <c r="K33" s="68"/>
      <c r="L33" s="68"/>
      <c r="M33" s="68"/>
      <c r="N33" s="68"/>
      <c r="O33" s="68"/>
      <c r="P33" s="42"/>
      <c r="Q33" s="68"/>
      <c r="R33" s="68"/>
      <c r="S33" s="2344"/>
    </row>
    <row r="34" spans="1:19" ht="13.5" thickTop="1" x14ac:dyDescent="0.2">
      <c r="A34" s="270"/>
      <c r="B34" s="109"/>
      <c r="C34" s="69"/>
      <c r="D34" s="109"/>
      <c r="E34" s="74"/>
      <c r="F34" s="479"/>
      <c r="G34" s="69"/>
      <c r="H34" s="74"/>
      <c r="I34" s="1642"/>
      <c r="J34" s="74"/>
      <c r="K34" s="74"/>
      <c r="L34" s="74"/>
      <c r="M34" s="74"/>
      <c r="N34" s="74"/>
      <c r="O34" s="74"/>
      <c r="P34" s="111"/>
      <c r="Q34" s="74"/>
      <c r="R34" s="74"/>
      <c r="S34" s="2345"/>
    </row>
    <row r="35" spans="1:19" x14ac:dyDescent="0.2">
      <c r="A35" s="24"/>
      <c r="B35" s="21"/>
      <c r="C35" s="75"/>
      <c r="D35" s="21"/>
      <c r="E35" s="9"/>
      <c r="F35" s="480" t="s">
        <v>192</v>
      </c>
      <c r="G35" s="75"/>
      <c r="H35" s="9"/>
      <c r="I35" s="85"/>
      <c r="J35" s="9"/>
      <c r="K35" s="9"/>
      <c r="L35" s="9"/>
      <c r="M35" s="9"/>
      <c r="N35" s="9"/>
      <c r="O35" s="9"/>
      <c r="P35" s="89"/>
      <c r="Q35" s="9"/>
      <c r="R35" s="9"/>
      <c r="S35" s="47"/>
    </row>
    <row r="36" spans="1:19" x14ac:dyDescent="0.2">
      <c r="A36" s="24"/>
      <c r="B36" s="21"/>
      <c r="C36" s="75"/>
      <c r="D36" s="21"/>
      <c r="E36" s="9"/>
      <c r="F36" s="481"/>
      <c r="G36" s="75"/>
      <c r="H36" s="9"/>
      <c r="I36" s="85"/>
      <c r="J36" s="9"/>
      <c r="K36" s="9"/>
      <c r="L36" s="9"/>
      <c r="M36" s="9"/>
      <c r="N36" s="9"/>
      <c r="O36" s="9"/>
      <c r="P36" s="89"/>
      <c r="Q36" s="9"/>
      <c r="R36" s="9"/>
      <c r="S36" s="47"/>
    </row>
    <row r="37" spans="1:19" x14ac:dyDescent="0.2">
      <c r="A37" s="54">
        <f>ROUND(A73+A108+A159+CIV!A556+A203,-3)</f>
        <v>6000</v>
      </c>
      <c r="B37" s="9">
        <f>B73+B108+B159+CIV!B556+B203</f>
        <v>6100</v>
      </c>
      <c r="C37" s="89">
        <f>C73+C108+C159+CIV!C556+C203</f>
        <v>6500</v>
      </c>
      <c r="D37" s="9">
        <f>D73+D108+D159+CIV!D556+D203</f>
        <v>6900</v>
      </c>
      <c r="E37" s="9">
        <f>E73+E108+E159+CIV!D556+E203</f>
        <v>7300</v>
      </c>
      <c r="F37" s="475" t="s">
        <v>2848</v>
      </c>
      <c r="G37" s="1174"/>
      <c r="H37" s="9">
        <f>H73+H108+H159+CIV!H556+H203</f>
        <v>7800</v>
      </c>
      <c r="I37" s="85">
        <f>IF(E37=H37,0,IF(E37=0,100,(H37-E37)/E37*100))</f>
        <v>6.8493150684931505</v>
      </c>
      <c r="J37" s="9">
        <f>J73+J108+J159+CIV!J556+J203</f>
        <v>8300</v>
      </c>
      <c r="K37" s="9">
        <f>K73+K108+K159+CIV!K556+K203</f>
        <v>7300</v>
      </c>
      <c r="L37" s="9">
        <f>L73+L108+L159+CIV!L556+L203</f>
        <v>0</v>
      </c>
      <c r="M37" s="9">
        <f>M73+M108+M159+CIV!M556+M203</f>
        <v>0</v>
      </c>
      <c r="N37" s="9">
        <f>N73+N108+N159+CIV!N556+N203</f>
        <v>0</v>
      </c>
      <c r="O37" s="9">
        <f>O73+O108+O159+CIV!O556+O203</f>
        <v>0</v>
      </c>
      <c r="P37" s="89">
        <f>P73+P108+P159+CIV!P556+P203</f>
        <v>0</v>
      </c>
      <c r="Q37" s="9">
        <f>Q73+Q108+Q159+CIV!Q556+Q203</f>
        <v>0</v>
      </c>
      <c r="R37" s="9">
        <f>R73+R108+R159+CIV!R556+R203</f>
        <v>0</v>
      </c>
      <c r="S37" s="47">
        <f>S73+S108+S159+CIV!S556+S203</f>
        <v>0</v>
      </c>
    </row>
    <row r="38" spans="1:19" x14ac:dyDescent="0.2">
      <c r="A38" s="54">
        <f>ROUND(A74+A109+A160++A204,-3)</f>
        <v>176000</v>
      </c>
      <c r="B38" s="9">
        <f t="shared" ref="B38:E41" si="80">B74+B109+B160+B204</f>
        <v>412300</v>
      </c>
      <c r="C38" s="89">
        <f t="shared" si="80"/>
        <v>44000</v>
      </c>
      <c r="D38" s="9">
        <f t="shared" si="80"/>
        <v>78000</v>
      </c>
      <c r="E38" s="9">
        <f t="shared" si="80"/>
        <v>542500</v>
      </c>
      <c r="F38" s="482" t="s">
        <v>1909</v>
      </c>
      <c r="G38" s="1174"/>
      <c r="H38" s="9">
        <f>H74+H109+H160+H204</f>
        <v>500</v>
      </c>
      <c r="I38" s="85">
        <f>IF(E38=H38,0,IF(E38=0,100,(H38-E38)/E38*100))</f>
        <v>-99.907834101382491</v>
      </c>
      <c r="J38" s="9">
        <f t="shared" ref="J38:R38" si="81">J74+J109+J160+J204</f>
        <v>0</v>
      </c>
      <c r="K38" s="9">
        <f t="shared" si="81"/>
        <v>0</v>
      </c>
      <c r="L38" s="9">
        <f t="shared" si="81"/>
        <v>0</v>
      </c>
      <c r="M38" s="9">
        <f t="shared" si="81"/>
        <v>0</v>
      </c>
      <c r="N38" s="9">
        <f t="shared" si="81"/>
        <v>0</v>
      </c>
      <c r="O38" s="9">
        <f t="shared" si="81"/>
        <v>0</v>
      </c>
      <c r="P38" s="89">
        <f t="shared" si="81"/>
        <v>0</v>
      </c>
      <c r="Q38" s="9">
        <f t="shared" si="81"/>
        <v>0</v>
      </c>
      <c r="R38" s="9">
        <f t="shared" si="81"/>
        <v>0</v>
      </c>
      <c r="S38" s="47">
        <f t="shared" ref="S38" si="82">S74+S109+S160+S204</f>
        <v>0</v>
      </c>
    </row>
    <row r="39" spans="1:19" x14ac:dyDescent="0.2">
      <c r="A39" s="54">
        <f>ROUND(A75+A110+A161+A205,-3)</f>
        <v>281000</v>
      </c>
      <c r="B39" s="9">
        <f t="shared" si="80"/>
        <v>885700</v>
      </c>
      <c r="C39" s="89">
        <f t="shared" si="80"/>
        <v>39300</v>
      </c>
      <c r="D39" s="9">
        <f t="shared" si="80"/>
        <v>54000</v>
      </c>
      <c r="E39" s="9">
        <f t="shared" si="80"/>
        <v>184700</v>
      </c>
      <c r="F39" s="482" t="s">
        <v>2309</v>
      </c>
      <c r="G39" s="1174"/>
      <c r="H39" s="9">
        <f>H75+H110+H161+H205</f>
        <v>754200</v>
      </c>
      <c r="I39" s="85">
        <f>IF(E39=H39,0,IF(E39=0,100,(H39-E39)/E39*100))</f>
        <v>308.33784515430426</v>
      </c>
      <c r="J39" s="9">
        <f t="shared" ref="J39:R39" si="83">J75+J110+J161+J205</f>
        <v>0</v>
      </c>
      <c r="K39" s="9">
        <f t="shared" si="83"/>
        <v>0</v>
      </c>
      <c r="L39" s="9">
        <f t="shared" si="83"/>
        <v>0</v>
      </c>
      <c r="M39" s="9">
        <f t="shared" si="83"/>
        <v>0</v>
      </c>
      <c r="N39" s="9">
        <f t="shared" si="83"/>
        <v>0</v>
      </c>
      <c r="O39" s="9">
        <f t="shared" si="83"/>
        <v>0</v>
      </c>
      <c r="P39" s="89">
        <f t="shared" si="83"/>
        <v>0</v>
      </c>
      <c r="Q39" s="9">
        <f t="shared" si="83"/>
        <v>0</v>
      </c>
      <c r="R39" s="9">
        <f t="shared" si="83"/>
        <v>0</v>
      </c>
      <c r="S39" s="47">
        <f t="shared" ref="S39" si="84">S75+S110+S161+S205</f>
        <v>0</v>
      </c>
    </row>
    <row r="40" spans="1:19" x14ac:dyDescent="0.2">
      <c r="A40" s="54">
        <f>ROUND(A76+A111+A162+A206,-3)</f>
        <v>0</v>
      </c>
      <c r="B40" s="9">
        <f t="shared" si="80"/>
        <v>340000</v>
      </c>
      <c r="C40" s="89">
        <f t="shared" si="80"/>
        <v>0</v>
      </c>
      <c r="D40" s="9">
        <f t="shared" si="80"/>
        <v>0</v>
      </c>
      <c r="E40" s="9">
        <f t="shared" si="80"/>
        <v>95000</v>
      </c>
      <c r="F40" s="1013" t="s">
        <v>5847</v>
      </c>
      <c r="G40" s="1174"/>
      <c r="H40" s="9">
        <f>H76+H111+H162+H206</f>
        <v>181900</v>
      </c>
      <c r="I40" s="85">
        <f>IF(E40=H40,0,IF(E40=0,100,(H40-E40)/E40*100))</f>
        <v>91.473684210526315</v>
      </c>
      <c r="J40" s="9">
        <f t="shared" ref="J40:R40" si="85">J76+J111+J162+J206</f>
        <v>0</v>
      </c>
      <c r="K40" s="9">
        <f t="shared" si="85"/>
        <v>0</v>
      </c>
      <c r="L40" s="9">
        <f t="shared" si="85"/>
        <v>0</v>
      </c>
      <c r="M40" s="9">
        <f t="shared" si="85"/>
        <v>0</v>
      </c>
      <c r="N40" s="9">
        <f t="shared" si="85"/>
        <v>0</v>
      </c>
      <c r="O40" s="9">
        <f t="shared" si="85"/>
        <v>0</v>
      </c>
      <c r="P40" s="89">
        <f t="shared" si="85"/>
        <v>0</v>
      </c>
      <c r="Q40" s="9">
        <f t="shared" si="85"/>
        <v>0</v>
      </c>
      <c r="R40" s="9">
        <f t="shared" si="85"/>
        <v>0</v>
      </c>
      <c r="S40" s="47">
        <f t="shared" ref="S40" si="86">S76+S111+S162+S206</f>
        <v>0</v>
      </c>
    </row>
    <row r="41" spans="1:19" x14ac:dyDescent="0.2">
      <c r="A41" s="54">
        <f>ROUND(A77+A112+A163+A207,-3)</f>
        <v>142000</v>
      </c>
      <c r="B41" s="9">
        <f t="shared" si="80"/>
        <v>796900</v>
      </c>
      <c r="C41" s="89">
        <f t="shared" si="80"/>
        <v>22400</v>
      </c>
      <c r="D41" s="9">
        <f t="shared" si="80"/>
        <v>5100</v>
      </c>
      <c r="E41" s="9">
        <f t="shared" si="80"/>
        <v>0</v>
      </c>
      <c r="F41" s="482" t="s">
        <v>958</v>
      </c>
      <c r="G41" s="1174"/>
      <c r="H41" s="9">
        <f>H77+H112+H163+H207</f>
        <v>816000</v>
      </c>
      <c r="I41" s="85">
        <f>IF(E41=H41,0,IF(E41=0,100,(H41-E41)/E41*100))</f>
        <v>100</v>
      </c>
      <c r="J41" s="9">
        <f t="shared" ref="J41:R41" si="87">J77+J112+J163+J207</f>
        <v>0</v>
      </c>
      <c r="K41" s="9">
        <f t="shared" si="87"/>
        <v>0</v>
      </c>
      <c r="L41" s="9">
        <f t="shared" si="87"/>
        <v>0</v>
      </c>
      <c r="M41" s="9">
        <f t="shared" si="87"/>
        <v>0</v>
      </c>
      <c r="N41" s="9">
        <f t="shared" si="87"/>
        <v>0</v>
      </c>
      <c r="O41" s="9">
        <f t="shared" si="87"/>
        <v>0</v>
      </c>
      <c r="P41" s="89">
        <f t="shared" si="87"/>
        <v>0</v>
      </c>
      <c r="Q41" s="9">
        <f t="shared" si="87"/>
        <v>0</v>
      </c>
      <c r="R41" s="9">
        <f t="shared" si="87"/>
        <v>0</v>
      </c>
      <c r="S41" s="47">
        <f t="shared" ref="S41" si="88">S77+S112+S163+S207</f>
        <v>0</v>
      </c>
    </row>
    <row r="42" spans="1:19" x14ac:dyDescent="0.2">
      <c r="A42" s="54"/>
      <c r="B42" s="9"/>
      <c r="C42" s="89"/>
      <c r="D42" s="9"/>
      <c r="E42" s="9"/>
      <c r="F42" s="480"/>
      <c r="G42" s="89"/>
      <c r="H42" s="9"/>
      <c r="I42" s="85"/>
      <c r="J42" s="9"/>
      <c r="K42" s="9"/>
      <c r="L42" s="9"/>
      <c r="M42" s="9"/>
      <c r="N42" s="9"/>
      <c r="O42" s="9"/>
      <c r="P42" s="89"/>
      <c r="Q42" s="9"/>
      <c r="R42" s="9"/>
      <c r="S42" s="61"/>
    </row>
    <row r="43" spans="1:19" s="39" customFormat="1" x14ac:dyDescent="0.2">
      <c r="A43" s="128">
        <f>A32-A37-A38+A39++A40-A41</f>
        <v>-2360200</v>
      </c>
      <c r="B43" s="280">
        <f>B32-B37-B38+B39++B40-B41</f>
        <v>-1934900</v>
      </c>
      <c r="C43" s="266">
        <f>C32-C37-C38+C39++C40-C41</f>
        <v>-1482700</v>
      </c>
      <c r="D43" s="280">
        <f>D32-D37-D38+D39++D40-D41</f>
        <v>-1384400</v>
      </c>
      <c r="E43" s="280">
        <f t="shared" ref="E43" si="89">E32-E37-E38+E39++E40-E41</f>
        <v>-2215200</v>
      </c>
      <c r="F43" s="477" t="s">
        <v>2447</v>
      </c>
      <c r="G43" s="266"/>
      <c r="H43" s="280">
        <f t="shared" ref="H43:L43" si="90">H32-H37-H38+H39++H40-H41</f>
        <v>-2251800</v>
      </c>
      <c r="I43" s="278">
        <f>IF(E43=H43,0,IF(E43=0,100,(H43-E43)/E43*100))</f>
        <v>1.6522210184182016</v>
      </c>
      <c r="J43" s="280">
        <f t="shared" si="90"/>
        <v>-2096900</v>
      </c>
      <c r="K43" s="280">
        <f t="shared" si="90"/>
        <v>-2139200</v>
      </c>
      <c r="L43" s="280">
        <f t="shared" si="90"/>
        <v>-2175800</v>
      </c>
      <c r="M43" s="280">
        <f t="shared" ref="M43:R43" si="91">M32-M37-M38+M39++M40-M41</f>
        <v>-2221200</v>
      </c>
      <c r="N43" s="280">
        <f t="shared" si="91"/>
        <v>-2267500</v>
      </c>
      <c r="O43" s="280">
        <f t="shared" si="91"/>
        <v>-2315100</v>
      </c>
      <c r="P43" s="266">
        <f t="shared" si="91"/>
        <v>-2363600</v>
      </c>
      <c r="Q43" s="280">
        <f t="shared" si="91"/>
        <v>-2413000</v>
      </c>
      <c r="R43" s="280">
        <f t="shared" si="91"/>
        <v>-2463500</v>
      </c>
      <c r="S43" s="282">
        <f t="shared" ref="S43" si="92">S32-S37-S38+S39++S40-S41</f>
        <v>-2514900</v>
      </c>
    </row>
    <row r="44" spans="1:19" ht="13.5" thickBot="1" x14ac:dyDescent="0.25">
      <c r="A44" s="26"/>
      <c r="B44" s="37"/>
      <c r="C44" s="81"/>
      <c r="D44" s="37"/>
      <c r="E44" s="592"/>
      <c r="F44" s="478"/>
      <c r="G44" s="81"/>
      <c r="H44" s="23"/>
      <c r="I44" s="751"/>
      <c r="J44" s="23"/>
      <c r="K44" s="23"/>
      <c r="L44" s="23"/>
      <c r="M44" s="23"/>
      <c r="N44" s="23"/>
      <c r="O44" s="23"/>
      <c r="P44" s="113"/>
      <c r="Q44" s="23"/>
      <c r="R44" s="23"/>
      <c r="S44" s="112"/>
    </row>
    <row r="45" spans="1:19" s="46" customFormat="1" ht="14.25" thickTop="1" thickBot="1" x14ac:dyDescent="0.25">
      <c r="A45" s="27"/>
      <c r="B45" s="27"/>
      <c r="C45" s="466"/>
      <c r="D45" s="27"/>
      <c r="F45" s="481"/>
      <c r="G45" s="27"/>
      <c r="I45" s="70"/>
    </row>
    <row r="46" spans="1:19" s="38" customFormat="1" ht="18.75" customHeight="1" thickTop="1" thickBot="1" x14ac:dyDescent="0.3">
      <c r="A46" s="2601" t="s">
        <v>1646</v>
      </c>
      <c r="B46" s="2602"/>
      <c r="C46" s="2602"/>
      <c r="D46" s="2602"/>
      <c r="E46" s="2602"/>
      <c r="F46" s="2602"/>
      <c r="G46" s="2602"/>
      <c r="H46" s="2602"/>
      <c r="I46" s="2602"/>
      <c r="J46" s="2602"/>
      <c r="K46" s="2602"/>
      <c r="L46" s="2602"/>
      <c r="M46" s="2602"/>
      <c r="N46" s="2602"/>
      <c r="O46" s="2602"/>
      <c r="P46" s="2602"/>
      <c r="Q46" s="2602"/>
      <c r="R46" s="2602"/>
      <c r="S46" s="2603"/>
    </row>
    <row r="47" spans="1:19" s="39" customFormat="1" x14ac:dyDescent="0.2">
      <c r="A47" s="2598" t="s">
        <v>1824</v>
      </c>
      <c r="B47" s="2599"/>
      <c r="C47" s="2599"/>
      <c r="D47" s="2599"/>
      <c r="E47" s="2600"/>
      <c r="F47" s="1163" t="s">
        <v>2616</v>
      </c>
      <c r="G47" s="2231" t="s">
        <v>2213</v>
      </c>
      <c r="H47" s="2576" t="s">
        <v>2215</v>
      </c>
      <c r="I47" s="2577"/>
      <c r="J47" s="2577"/>
      <c r="K47" s="2577"/>
      <c r="L47" s="2577"/>
      <c r="M47" s="2577"/>
      <c r="N47" s="2577"/>
      <c r="O47" s="2577"/>
      <c r="P47" s="2577"/>
      <c r="Q47" s="2577"/>
      <c r="R47" s="2577"/>
      <c r="S47" s="2578"/>
    </row>
    <row r="48" spans="1:19" ht="13.5" thickBot="1" x14ac:dyDescent="0.25">
      <c r="A48" s="1647" t="str">
        <f>SP!A3</f>
        <v>2012/13</v>
      </c>
      <c r="B48" s="40" t="str">
        <f>B3</f>
        <v>2013/14</v>
      </c>
      <c r="C48" s="40" t="str">
        <f>SP!C3</f>
        <v>2014/15</v>
      </c>
      <c r="D48" s="40" t="str">
        <f>SP!D3</f>
        <v>2015/16</v>
      </c>
      <c r="E48" s="40" t="str">
        <f>SP!E3</f>
        <v>2016/17</v>
      </c>
      <c r="F48" s="2071" t="s">
        <v>2617</v>
      </c>
      <c r="G48" s="41"/>
      <c r="H48" s="40" t="str">
        <f>SP!H3</f>
        <v>2017/18</v>
      </c>
      <c r="I48" s="40" t="str">
        <f>SP!I3</f>
        <v>%</v>
      </c>
      <c r="J48" s="40" t="str">
        <f>SP!J3</f>
        <v>2018/19</v>
      </c>
      <c r="K48" s="40" t="str">
        <f>SP!K3</f>
        <v>2019/20</v>
      </c>
      <c r="L48" s="40" t="str">
        <f>SP!L3</f>
        <v>2020/21</v>
      </c>
      <c r="M48" s="40" t="str">
        <f>SP!M3</f>
        <v>2021/22</v>
      </c>
      <c r="N48" s="40" t="str">
        <f>SP!N3</f>
        <v>2022/23</v>
      </c>
      <c r="O48" s="40" t="str">
        <f>SP!O3</f>
        <v>2023/24</v>
      </c>
      <c r="P48" s="40" t="str">
        <f>SP!P3</f>
        <v>2024/25</v>
      </c>
      <c r="Q48" s="40" t="str">
        <f>SP!Q3</f>
        <v>2025/26</v>
      </c>
      <c r="R48" s="40" t="str">
        <f>SP!R3</f>
        <v>2026/27</v>
      </c>
      <c r="S48" s="1620" t="str">
        <f>SP!S3</f>
        <v>2027/28</v>
      </c>
    </row>
    <row r="49" spans="1:19" x14ac:dyDescent="0.2">
      <c r="A49" s="54"/>
      <c r="B49" s="9"/>
      <c r="C49" s="9"/>
      <c r="D49" s="9"/>
      <c r="E49" s="9"/>
      <c r="F49" s="483"/>
      <c r="G49" s="46"/>
      <c r="H49" s="9"/>
      <c r="I49" s="85"/>
      <c r="J49" s="9"/>
      <c r="K49" s="9"/>
      <c r="L49" s="9"/>
      <c r="M49" s="9"/>
      <c r="N49" s="9"/>
      <c r="O49" s="9"/>
      <c r="P49" s="9"/>
      <c r="Q49" s="9"/>
      <c r="R49" s="9"/>
      <c r="S49" s="61"/>
    </row>
    <row r="50" spans="1:19" x14ac:dyDescent="0.2">
      <c r="A50" s="54"/>
      <c r="B50" s="9"/>
      <c r="C50" s="9"/>
      <c r="D50" s="9"/>
      <c r="E50" s="9"/>
      <c r="F50" s="469"/>
      <c r="G50" s="91" t="s">
        <v>1056</v>
      </c>
      <c r="H50" s="9"/>
      <c r="I50" s="85"/>
      <c r="J50" s="9"/>
      <c r="K50" s="9"/>
      <c r="L50" s="9"/>
      <c r="M50" s="9"/>
      <c r="N50" s="9"/>
      <c r="O50" s="9"/>
      <c r="P50" s="9"/>
      <c r="Q50" s="9"/>
      <c r="R50" s="9"/>
      <c r="S50" s="61"/>
    </row>
    <row r="51" spans="1:19" x14ac:dyDescent="0.2">
      <c r="A51" s="54"/>
      <c r="B51" s="9"/>
      <c r="C51" s="9"/>
      <c r="D51" s="9"/>
      <c r="E51" s="9"/>
      <c r="F51" s="469"/>
      <c r="G51" s="91"/>
      <c r="H51" s="9"/>
      <c r="I51" s="85"/>
      <c r="J51" s="9"/>
      <c r="K51" s="9"/>
      <c r="L51" s="9"/>
      <c r="M51" s="9"/>
      <c r="N51" s="9"/>
      <c r="O51" s="9"/>
      <c r="P51" s="9"/>
      <c r="Q51" s="9"/>
      <c r="R51" s="9"/>
      <c r="S51" s="61"/>
    </row>
    <row r="52" spans="1:19" x14ac:dyDescent="0.2">
      <c r="A52" s="54">
        <f>ROUND(SUM(A218:A233),-3)</f>
        <v>334000</v>
      </c>
      <c r="B52" s="9">
        <f>SUM(B218:B233)</f>
        <v>384200</v>
      </c>
      <c r="C52" s="9">
        <f>SUM(C218:C233)</f>
        <v>337700</v>
      </c>
      <c r="D52" s="9">
        <f>SUM(D218:D233)</f>
        <v>622300</v>
      </c>
      <c r="E52" s="9">
        <f>SUM(E218:E233)</f>
        <v>711100</v>
      </c>
      <c r="F52" s="167">
        <v>21000</v>
      </c>
      <c r="G52" s="31" t="s">
        <v>3041</v>
      </c>
      <c r="H52" s="9">
        <f t="shared" ref="H52:R52" si="93">SUM(H218:H233)</f>
        <v>688900</v>
      </c>
      <c r="I52" s="85">
        <f>IF(E52=H52,0,IF(E52=0,100,(H52-E52)/E52*100))</f>
        <v>-3.1219237800590638</v>
      </c>
      <c r="J52" s="9">
        <f t="shared" si="93"/>
        <v>688900</v>
      </c>
      <c r="K52" s="9">
        <f t="shared" si="93"/>
        <v>706800</v>
      </c>
      <c r="L52" s="9">
        <f t="shared" si="93"/>
        <v>725200</v>
      </c>
      <c r="M52" s="9">
        <f t="shared" si="93"/>
        <v>744000</v>
      </c>
      <c r="N52" s="9">
        <f t="shared" si="93"/>
        <v>763200</v>
      </c>
      <c r="O52" s="9">
        <f t="shared" si="93"/>
        <v>782900</v>
      </c>
      <c r="P52" s="9">
        <f t="shared" si="93"/>
        <v>803100</v>
      </c>
      <c r="Q52" s="9">
        <f t="shared" si="93"/>
        <v>823900</v>
      </c>
      <c r="R52" s="9">
        <f t="shared" si="93"/>
        <v>845200</v>
      </c>
      <c r="S52" s="47">
        <f t="shared" ref="S52" si="94">SUM(S218:S233)</f>
        <v>867000</v>
      </c>
    </row>
    <row r="53" spans="1:19" x14ac:dyDescent="0.2">
      <c r="A53" s="54">
        <f>ROUND(A235,-3)</f>
        <v>30000</v>
      </c>
      <c r="B53" s="9">
        <f>B235</f>
        <v>0</v>
      </c>
      <c r="C53" s="9">
        <f>C235</f>
        <v>0</v>
      </c>
      <c r="D53" s="9">
        <f>D235</f>
        <v>0</v>
      </c>
      <c r="E53" s="9">
        <f t="shared" ref="E53" si="95">E235</f>
        <v>0</v>
      </c>
      <c r="F53" s="167">
        <v>21002</v>
      </c>
      <c r="G53" s="31" t="s">
        <v>677</v>
      </c>
      <c r="H53" s="9">
        <f t="shared" ref="H53:O53" si="96">H235</f>
        <v>0</v>
      </c>
      <c r="I53" s="85">
        <f>IF(E53=H53,0,IF(E53=0,100,(H53-E53)/E53*100))</f>
        <v>0</v>
      </c>
      <c r="J53" s="9">
        <f t="shared" si="96"/>
        <v>0</v>
      </c>
      <c r="K53" s="9">
        <f t="shared" si="96"/>
        <v>0</v>
      </c>
      <c r="L53" s="9">
        <f t="shared" si="96"/>
        <v>0</v>
      </c>
      <c r="M53" s="9">
        <f t="shared" si="96"/>
        <v>0</v>
      </c>
      <c r="N53" s="9">
        <f t="shared" si="96"/>
        <v>0</v>
      </c>
      <c r="O53" s="9">
        <f t="shared" si="96"/>
        <v>0</v>
      </c>
      <c r="P53" s="9">
        <f t="shared" ref="P53:Q53" si="97">P235</f>
        <v>0</v>
      </c>
      <c r="Q53" s="9">
        <f t="shared" si="97"/>
        <v>0</v>
      </c>
      <c r="R53" s="9">
        <f t="shared" ref="R53" si="98">R235</f>
        <v>0</v>
      </c>
      <c r="S53" s="47">
        <f t="shared" ref="S53" si="99">S235</f>
        <v>0</v>
      </c>
    </row>
    <row r="54" spans="1:19" x14ac:dyDescent="0.2">
      <c r="A54" s="54">
        <f>ROUND(SUM(A237:A238),-3)</f>
        <v>19000</v>
      </c>
      <c r="B54" s="9">
        <f>SUM(B237:B238)</f>
        <v>34700</v>
      </c>
      <c r="C54" s="9">
        <f>SUM(C237:C238)</f>
        <v>5100</v>
      </c>
      <c r="D54" s="9">
        <f>SUM(D237:D238)</f>
        <v>19700</v>
      </c>
      <c r="E54" s="9">
        <f t="shared" ref="E54" si="100">SUM(E237:E238)</f>
        <v>90000</v>
      </c>
      <c r="F54" s="167">
        <v>21001</v>
      </c>
      <c r="G54" s="31" t="s">
        <v>3587</v>
      </c>
      <c r="H54" s="9">
        <f t="shared" ref="H54:O54" si="101">SUM(H237:H238)</f>
        <v>110000</v>
      </c>
      <c r="I54" s="85">
        <f>IF(E54=H54,0,IF(E54=0,100,(H54-E54)/E54*100))</f>
        <v>22.222222222222221</v>
      </c>
      <c r="J54" s="9">
        <f t="shared" si="101"/>
        <v>60000</v>
      </c>
      <c r="K54" s="9">
        <f t="shared" si="101"/>
        <v>61500</v>
      </c>
      <c r="L54" s="9">
        <f t="shared" si="101"/>
        <v>63100</v>
      </c>
      <c r="M54" s="9">
        <f t="shared" si="101"/>
        <v>64700</v>
      </c>
      <c r="N54" s="9">
        <f t="shared" si="101"/>
        <v>66400</v>
      </c>
      <c r="O54" s="9">
        <f t="shared" si="101"/>
        <v>68100</v>
      </c>
      <c r="P54" s="9">
        <f t="shared" ref="P54:Q54" si="102">SUM(P237:P238)</f>
        <v>69900</v>
      </c>
      <c r="Q54" s="9">
        <f t="shared" si="102"/>
        <v>71700</v>
      </c>
      <c r="R54" s="9">
        <f t="shared" ref="R54" si="103">SUM(R237:R238)</f>
        <v>73500</v>
      </c>
      <c r="S54" s="47">
        <f t="shared" ref="S54" si="104">SUM(S237:S238)</f>
        <v>75400</v>
      </c>
    </row>
    <row r="55" spans="1:19" ht="13.5" thickBot="1" x14ac:dyDescent="0.25">
      <c r="A55" s="54"/>
      <c r="B55" s="9"/>
      <c r="C55" s="9"/>
      <c r="D55" s="9"/>
      <c r="E55" s="9"/>
      <c r="F55" s="469"/>
      <c r="G55" s="46"/>
      <c r="H55" s="9"/>
      <c r="I55" s="85"/>
      <c r="J55" s="9"/>
      <c r="K55" s="9"/>
      <c r="L55" s="9"/>
      <c r="M55" s="9"/>
      <c r="N55" s="9"/>
      <c r="O55" s="9"/>
      <c r="P55" s="9"/>
      <c r="Q55" s="9"/>
      <c r="R55" s="9"/>
      <c r="S55" s="47"/>
    </row>
    <row r="56" spans="1:19" s="39" customFormat="1" x14ac:dyDescent="0.2">
      <c r="A56" s="52">
        <f>SUM(A52:A55)</f>
        <v>383000</v>
      </c>
      <c r="B56" s="16">
        <f>SUM(B52:B55)</f>
        <v>418900</v>
      </c>
      <c r="C56" s="16">
        <f>SUM(C52:C55)</f>
        <v>342800</v>
      </c>
      <c r="D56" s="16">
        <f>SUM(D52:D55)</f>
        <v>642000</v>
      </c>
      <c r="E56" s="16">
        <f t="shared" ref="E56" si="105">SUM(E52:E55)</f>
        <v>801100</v>
      </c>
      <c r="F56" s="498"/>
      <c r="G56" s="59" t="s">
        <v>2561</v>
      </c>
      <c r="H56" s="16">
        <f t="shared" ref="H56:O56" si="106">SUM(H52:H55)</f>
        <v>798900</v>
      </c>
      <c r="I56" s="127">
        <f>IF(E56=H56,0,IF(E56=0,100,(H56-E56)/E56*100))</f>
        <v>-0.27462239420796403</v>
      </c>
      <c r="J56" s="16">
        <f t="shared" si="106"/>
        <v>748900</v>
      </c>
      <c r="K56" s="16">
        <f t="shared" si="106"/>
        <v>768300</v>
      </c>
      <c r="L56" s="16">
        <f t="shared" si="106"/>
        <v>788300</v>
      </c>
      <c r="M56" s="16">
        <f t="shared" si="106"/>
        <v>808700</v>
      </c>
      <c r="N56" s="16">
        <f t="shared" si="106"/>
        <v>829600</v>
      </c>
      <c r="O56" s="16">
        <f t="shared" si="106"/>
        <v>851000</v>
      </c>
      <c r="P56" s="16">
        <f t="shared" ref="P56:Q56" si="107">SUM(P52:P55)</f>
        <v>873000</v>
      </c>
      <c r="Q56" s="16">
        <f t="shared" si="107"/>
        <v>895600</v>
      </c>
      <c r="R56" s="16">
        <f t="shared" ref="R56" si="108">SUM(R52:R55)</f>
        <v>918700</v>
      </c>
      <c r="S56" s="2342">
        <f t="shared" ref="S56" si="109">SUM(S52:S55)</f>
        <v>942400</v>
      </c>
    </row>
    <row r="57" spans="1:19" x14ac:dyDescent="0.2">
      <c r="A57" s="54"/>
      <c r="B57" s="9"/>
      <c r="C57" s="9"/>
      <c r="D57" s="9"/>
      <c r="E57" s="9"/>
      <c r="F57" s="469"/>
      <c r="G57" s="46"/>
      <c r="H57" s="9"/>
      <c r="I57" s="85"/>
      <c r="J57" s="9"/>
      <c r="K57" s="9"/>
      <c r="L57" s="9"/>
      <c r="M57" s="9"/>
      <c r="N57" s="9"/>
      <c r="O57" s="9"/>
      <c r="P57" s="9"/>
      <c r="Q57" s="9"/>
      <c r="R57" s="9"/>
      <c r="S57" s="47"/>
    </row>
    <row r="58" spans="1:19" x14ac:dyDescent="0.2">
      <c r="A58" s="54"/>
      <c r="B58" s="9"/>
      <c r="C58" s="9"/>
      <c r="D58" s="9"/>
      <c r="E58" s="9"/>
      <c r="F58" s="469"/>
      <c r="G58" s="91" t="s">
        <v>2169</v>
      </c>
      <c r="H58" s="9"/>
      <c r="I58" s="85"/>
      <c r="J58" s="9"/>
      <c r="K58" s="9"/>
      <c r="L58" s="9"/>
      <c r="M58" s="9"/>
      <c r="N58" s="9"/>
      <c r="O58" s="9"/>
      <c r="P58" s="9"/>
      <c r="Q58" s="9"/>
      <c r="R58" s="9"/>
      <c r="S58" s="47"/>
    </row>
    <row r="59" spans="1:19" x14ac:dyDescent="0.2">
      <c r="A59" s="54"/>
      <c r="B59" s="9"/>
      <c r="C59" s="9"/>
      <c r="D59" s="9"/>
      <c r="E59" s="9"/>
      <c r="F59" s="469"/>
      <c r="G59" s="27"/>
      <c r="H59" s="9"/>
      <c r="I59" s="85"/>
      <c r="J59" s="9"/>
      <c r="K59" s="9"/>
      <c r="L59" s="9"/>
      <c r="M59" s="9"/>
      <c r="N59" s="9"/>
      <c r="O59" s="9"/>
      <c r="P59" s="9"/>
      <c r="Q59" s="9"/>
      <c r="R59" s="9"/>
      <c r="S59" s="47"/>
    </row>
    <row r="60" spans="1:19" x14ac:dyDescent="0.2">
      <c r="A60" s="54">
        <f>ROUND(SUM(A244:A248),-3)</f>
        <v>1262000</v>
      </c>
      <c r="B60" s="9">
        <f>SUM(B244:B248)</f>
        <v>1119600</v>
      </c>
      <c r="C60" s="9">
        <f>SUM(C244:C248)</f>
        <v>1121500</v>
      </c>
      <c r="D60" s="9">
        <f>SUM(D244:D248)</f>
        <v>1184100</v>
      </c>
      <c r="E60" s="9">
        <f t="shared" ref="E60" si="110">SUM(E244:E248)</f>
        <v>1481600</v>
      </c>
      <c r="F60" s="167">
        <v>31000</v>
      </c>
      <c r="G60" s="46" t="s">
        <v>1228</v>
      </c>
      <c r="H60" s="9">
        <f t="shared" ref="H60:O60" si="111">SUM(H244:H248)</f>
        <v>1504500</v>
      </c>
      <c r="I60" s="85">
        <f>IF(E60=H60,0,IF(E60=0,100,(H60-E60)/E60*100))</f>
        <v>1.5456263498920086</v>
      </c>
      <c r="J60" s="9">
        <f t="shared" si="111"/>
        <v>1543000</v>
      </c>
      <c r="K60" s="9">
        <f t="shared" si="111"/>
        <v>1578700</v>
      </c>
      <c r="L60" s="9">
        <f t="shared" si="111"/>
        <v>1615200</v>
      </c>
      <c r="M60" s="9">
        <f t="shared" si="111"/>
        <v>1652500</v>
      </c>
      <c r="N60" s="9">
        <f t="shared" si="111"/>
        <v>1690800</v>
      </c>
      <c r="O60" s="9">
        <f t="shared" si="111"/>
        <v>1729900</v>
      </c>
      <c r="P60" s="9">
        <f t="shared" ref="P60:Q60" si="112">SUM(P244:P248)</f>
        <v>1769900</v>
      </c>
      <c r="Q60" s="9">
        <f t="shared" si="112"/>
        <v>1810900</v>
      </c>
      <c r="R60" s="9">
        <f t="shared" ref="R60" si="113">SUM(R244:R248)</f>
        <v>1852800</v>
      </c>
      <c r="S60" s="47">
        <f t="shared" ref="S60" si="114">SUM(S244:S248)</f>
        <v>1895600</v>
      </c>
    </row>
    <row r="61" spans="1:19" x14ac:dyDescent="0.2">
      <c r="A61" s="54">
        <f>ROUND(SUM(A249:A255),-3)</f>
        <v>53000</v>
      </c>
      <c r="B61" s="9">
        <f>SUM(B249:B255)</f>
        <v>64600</v>
      </c>
      <c r="C61" s="9">
        <f>SUM(C249:C255)</f>
        <v>53400</v>
      </c>
      <c r="D61" s="9">
        <f>SUM(D249:D255)</f>
        <v>69700</v>
      </c>
      <c r="E61" s="9">
        <f t="shared" ref="E61" si="115">SUM(E249:E255)</f>
        <v>81200</v>
      </c>
      <c r="F61" s="167">
        <v>31000</v>
      </c>
      <c r="G61" s="31" t="s">
        <v>4709</v>
      </c>
      <c r="H61" s="9">
        <f t="shared" ref="H61:P61" si="116">SUM(H249:H255)</f>
        <v>73000</v>
      </c>
      <c r="I61" s="85">
        <f>IF(E61=H61,0,IF(E61=0,100,(H61-E61)/E61*100))</f>
        <v>-10.098522167487685</v>
      </c>
      <c r="J61" s="9">
        <f t="shared" si="116"/>
        <v>77000</v>
      </c>
      <c r="K61" s="9">
        <f t="shared" si="116"/>
        <v>79100</v>
      </c>
      <c r="L61" s="9">
        <f t="shared" si="116"/>
        <v>81200</v>
      </c>
      <c r="M61" s="9">
        <f t="shared" si="116"/>
        <v>83300</v>
      </c>
      <c r="N61" s="9">
        <f t="shared" si="116"/>
        <v>85600</v>
      </c>
      <c r="O61" s="9">
        <f t="shared" si="116"/>
        <v>88000</v>
      </c>
      <c r="P61" s="9">
        <f t="shared" si="116"/>
        <v>90500</v>
      </c>
      <c r="Q61" s="9">
        <f t="shared" ref="Q61" si="117">SUM(Q249:Q255)</f>
        <v>93000</v>
      </c>
      <c r="R61" s="9">
        <f t="shared" ref="R61" si="118">SUM(R249:R255)</f>
        <v>95500</v>
      </c>
      <c r="S61" s="47">
        <f t="shared" ref="S61" si="119">SUM(S249:S255)</f>
        <v>98000</v>
      </c>
    </row>
    <row r="62" spans="1:19" x14ac:dyDescent="0.2">
      <c r="A62" s="54">
        <f>ROUND(SUM(A256:A257),-3)</f>
        <v>58000</v>
      </c>
      <c r="B62" s="9">
        <f>SUM(B256:B257)</f>
        <v>100100</v>
      </c>
      <c r="C62" s="9">
        <f>SUM(C256:C257)</f>
        <v>103000</v>
      </c>
      <c r="D62" s="9">
        <f>SUM(D256:D257)</f>
        <v>49500</v>
      </c>
      <c r="E62" s="9">
        <f t="shared" ref="E62" si="120">SUM(E256:E257)</f>
        <v>326800</v>
      </c>
      <c r="F62" s="167">
        <v>31000</v>
      </c>
      <c r="G62" s="46" t="s">
        <v>150</v>
      </c>
      <c r="H62" s="9">
        <f t="shared" ref="H62:O62" si="121">SUM(H256:H257)</f>
        <v>150000</v>
      </c>
      <c r="I62" s="85">
        <f>IF(E62=H62,0,IF(E62=0,100,(H62-E62)/E62*100))</f>
        <v>-54.100367197062425</v>
      </c>
      <c r="J62" s="9">
        <f t="shared" si="121"/>
        <v>160000</v>
      </c>
      <c r="K62" s="9">
        <f t="shared" si="121"/>
        <v>164000</v>
      </c>
      <c r="L62" s="9">
        <f t="shared" si="121"/>
        <v>168100</v>
      </c>
      <c r="M62" s="9">
        <f t="shared" si="121"/>
        <v>172400</v>
      </c>
      <c r="N62" s="9">
        <f t="shared" si="121"/>
        <v>176800</v>
      </c>
      <c r="O62" s="9">
        <f t="shared" si="121"/>
        <v>181300</v>
      </c>
      <c r="P62" s="9">
        <f t="shared" ref="P62:Q62" si="122">SUM(P256:P257)</f>
        <v>185900</v>
      </c>
      <c r="Q62" s="9">
        <f t="shared" si="122"/>
        <v>190600</v>
      </c>
      <c r="R62" s="9">
        <f t="shared" ref="R62" si="123">SUM(R256:R257)</f>
        <v>195400</v>
      </c>
      <c r="S62" s="47">
        <f t="shared" ref="S62" si="124">SUM(S256:S257)</f>
        <v>200300</v>
      </c>
    </row>
    <row r="63" spans="1:19" ht="13.5" thickBot="1" x14ac:dyDescent="0.25">
      <c r="A63" s="54"/>
      <c r="B63" s="9"/>
      <c r="C63" s="9"/>
      <c r="D63" s="9"/>
      <c r="E63" s="9"/>
      <c r="F63" s="469"/>
      <c r="G63" s="46"/>
      <c r="H63" s="9"/>
      <c r="I63" s="85"/>
      <c r="J63" s="9"/>
      <c r="K63" s="9"/>
      <c r="L63" s="9"/>
      <c r="M63" s="9"/>
      <c r="N63" s="9"/>
      <c r="O63" s="9"/>
      <c r="P63" s="9"/>
      <c r="Q63" s="9"/>
      <c r="R63" s="9"/>
      <c r="S63" s="47"/>
    </row>
    <row r="64" spans="1:19" s="39" customFormat="1" x14ac:dyDescent="0.2">
      <c r="A64" s="52">
        <f>SUM(A59:A63)</f>
        <v>1373000</v>
      </c>
      <c r="B64" s="16">
        <f>SUM(B59:B63)</f>
        <v>1284300</v>
      </c>
      <c r="C64" s="16">
        <f>SUM(C59:C63)</f>
        <v>1277900</v>
      </c>
      <c r="D64" s="16">
        <f>SUM(D59:D63)</f>
        <v>1303300</v>
      </c>
      <c r="E64" s="16">
        <f>SUM(E59:E63)</f>
        <v>1889600</v>
      </c>
      <c r="F64" s="484"/>
      <c r="G64" s="59" t="s">
        <v>556</v>
      </c>
      <c r="H64" s="16">
        <f t="shared" ref="H64:R64" si="125">SUM(H59:H63)</f>
        <v>1727500</v>
      </c>
      <c r="I64" s="127">
        <f>IF(E64=H64,0,IF(E64=0,100,(H64-E64)/E64*100))</f>
        <v>-8.578535139712109</v>
      </c>
      <c r="J64" s="16">
        <f t="shared" si="125"/>
        <v>1780000</v>
      </c>
      <c r="K64" s="16">
        <f t="shared" si="125"/>
        <v>1821800</v>
      </c>
      <c r="L64" s="16">
        <f t="shared" si="125"/>
        <v>1864500</v>
      </c>
      <c r="M64" s="16">
        <f t="shared" si="125"/>
        <v>1908200</v>
      </c>
      <c r="N64" s="16">
        <f t="shared" si="125"/>
        <v>1953200</v>
      </c>
      <c r="O64" s="16">
        <f t="shared" si="125"/>
        <v>1999200</v>
      </c>
      <c r="P64" s="16">
        <f t="shared" si="125"/>
        <v>2046300</v>
      </c>
      <c r="Q64" s="16">
        <f t="shared" si="125"/>
        <v>2094500</v>
      </c>
      <c r="R64" s="16">
        <f t="shared" si="125"/>
        <v>2143700</v>
      </c>
      <c r="S64" s="2342">
        <f t="shared" ref="S64" si="126">SUM(S59:S63)</f>
        <v>2193900</v>
      </c>
    </row>
    <row r="65" spans="1:19" x14ac:dyDescent="0.2">
      <c r="A65" s="54"/>
      <c r="B65" s="9"/>
      <c r="C65" s="9"/>
      <c r="D65" s="9"/>
      <c r="E65" s="9"/>
      <c r="F65" s="483"/>
      <c r="G65" s="55"/>
      <c r="H65" s="9"/>
      <c r="I65" s="85"/>
      <c r="J65" s="9"/>
      <c r="K65" s="9"/>
      <c r="L65" s="9"/>
      <c r="M65" s="9"/>
      <c r="N65" s="9"/>
      <c r="O65" s="9"/>
      <c r="P65" s="9"/>
      <c r="Q65" s="9"/>
      <c r="R65" s="9"/>
      <c r="S65" s="47"/>
    </row>
    <row r="66" spans="1:19" s="39" customFormat="1" x14ac:dyDescent="0.2">
      <c r="A66" s="24">
        <f>A56-A64</f>
        <v>-990000</v>
      </c>
      <c r="B66" s="21">
        <f>B56-B64</f>
        <v>-865400</v>
      </c>
      <c r="C66" s="21">
        <f>C56-C64</f>
        <v>-935100</v>
      </c>
      <c r="D66" s="21">
        <f>D56-D64</f>
        <v>-661300</v>
      </c>
      <c r="E66" s="21">
        <f>E56-E64</f>
        <v>-1088500</v>
      </c>
      <c r="F66" s="484"/>
      <c r="G66" s="361" t="s">
        <v>1002</v>
      </c>
      <c r="H66" s="21">
        <f t="shared" ref="H66:R66" si="127">H56-H64</f>
        <v>-928600</v>
      </c>
      <c r="I66" s="126">
        <f>IF(E66=H66,0,IF(E66=0,100,(H66-E66)/E66*100))</f>
        <v>-14.689940284795592</v>
      </c>
      <c r="J66" s="21">
        <f t="shared" si="127"/>
        <v>-1031100</v>
      </c>
      <c r="K66" s="21">
        <f t="shared" si="127"/>
        <v>-1053500</v>
      </c>
      <c r="L66" s="21">
        <f t="shared" si="127"/>
        <v>-1076200</v>
      </c>
      <c r="M66" s="21">
        <f t="shared" si="127"/>
        <v>-1099500</v>
      </c>
      <c r="N66" s="21">
        <f t="shared" si="127"/>
        <v>-1123600</v>
      </c>
      <c r="O66" s="21">
        <f t="shared" si="127"/>
        <v>-1148200</v>
      </c>
      <c r="P66" s="21">
        <f t="shared" si="127"/>
        <v>-1173300</v>
      </c>
      <c r="Q66" s="21">
        <f t="shared" si="127"/>
        <v>-1198900</v>
      </c>
      <c r="R66" s="21">
        <f t="shared" si="127"/>
        <v>-1225000</v>
      </c>
      <c r="S66" s="86">
        <f t="shared" ref="S66" si="128">S56-S64</f>
        <v>-1251500</v>
      </c>
    </row>
    <row r="67" spans="1:19" x14ac:dyDescent="0.2">
      <c r="A67" s="54">
        <v>0</v>
      </c>
      <c r="B67" s="9">
        <v>0</v>
      </c>
      <c r="C67" s="9">
        <v>0</v>
      </c>
      <c r="D67" s="9">
        <v>0</v>
      </c>
      <c r="E67" s="9">
        <v>0</v>
      </c>
      <c r="F67" s="483"/>
      <c r="G67" s="261" t="s">
        <v>1943</v>
      </c>
      <c r="H67" s="9">
        <v>0</v>
      </c>
      <c r="I67" s="85">
        <f>IF(E67=H67,0,IF(E67=0,100,(H67-E67)/E67*100))</f>
        <v>0</v>
      </c>
      <c r="J67" s="9">
        <v>0</v>
      </c>
      <c r="K67" s="9">
        <v>0</v>
      </c>
      <c r="L67" s="9">
        <v>0</v>
      </c>
      <c r="M67" s="9">
        <v>0</v>
      </c>
      <c r="N67" s="9">
        <v>0</v>
      </c>
      <c r="O67" s="9">
        <v>0</v>
      </c>
      <c r="P67" s="9">
        <v>0</v>
      </c>
      <c r="Q67" s="9">
        <v>0</v>
      </c>
      <c r="R67" s="9">
        <v>0</v>
      </c>
      <c r="S67" s="47">
        <v>0</v>
      </c>
    </row>
    <row r="68" spans="1:19" s="39" customFormat="1" x14ac:dyDescent="0.2">
      <c r="A68" s="128">
        <f>A66+A67</f>
        <v>-990000</v>
      </c>
      <c r="B68" s="280">
        <f>B66+B67</f>
        <v>-865400</v>
      </c>
      <c r="C68" s="280">
        <f>C66+C67</f>
        <v>-935100</v>
      </c>
      <c r="D68" s="280">
        <f>D66+D67</f>
        <v>-661300</v>
      </c>
      <c r="E68" s="280">
        <f t="shared" ref="E68" si="129">E66+E67</f>
        <v>-1088500</v>
      </c>
      <c r="F68" s="485"/>
      <c r="G68" s="363" t="s">
        <v>1659</v>
      </c>
      <c r="H68" s="280">
        <f t="shared" ref="H68:O68" si="130">H66+H67</f>
        <v>-928600</v>
      </c>
      <c r="I68" s="278">
        <f>IF(E68=H68,0,IF(E68=0,100,(H68-E68)/E68*100))</f>
        <v>-14.689940284795592</v>
      </c>
      <c r="J68" s="280">
        <f t="shared" si="130"/>
        <v>-1031100</v>
      </c>
      <c r="K68" s="280">
        <f t="shared" si="130"/>
        <v>-1053500</v>
      </c>
      <c r="L68" s="280">
        <f t="shared" si="130"/>
        <v>-1076200</v>
      </c>
      <c r="M68" s="280">
        <f t="shared" si="130"/>
        <v>-1099500</v>
      </c>
      <c r="N68" s="280">
        <f t="shared" si="130"/>
        <v>-1123600</v>
      </c>
      <c r="O68" s="280">
        <f t="shared" si="130"/>
        <v>-1148200</v>
      </c>
      <c r="P68" s="280">
        <f t="shared" ref="P68:Q68" si="131">P66+P67</f>
        <v>-1173300</v>
      </c>
      <c r="Q68" s="280">
        <f t="shared" si="131"/>
        <v>-1198900</v>
      </c>
      <c r="R68" s="280">
        <f t="shared" ref="R68" si="132">R66+R67</f>
        <v>-1225000</v>
      </c>
      <c r="S68" s="2343">
        <f t="shared" ref="S68" si="133">S66+S67</f>
        <v>-1251500</v>
      </c>
    </row>
    <row r="69" spans="1:19" ht="13.5" thickBot="1" x14ac:dyDescent="0.25">
      <c r="A69" s="118"/>
      <c r="B69" s="23"/>
      <c r="C69" s="23"/>
      <c r="D69" s="23"/>
      <c r="E69" s="23"/>
      <c r="F69" s="486"/>
      <c r="G69" s="368"/>
      <c r="H69" s="68"/>
      <c r="I69" s="87"/>
      <c r="J69" s="68"/>
      <c r="K69" s="68"/>
      <c r="L69" s="68"/>
      <c r="M69" s="68"/>
      <c r="N69" s="68"/>
      <c r="O69" s="68"/>
      <c r="P69" s="68"/>
      <c r="Q69" s="68"/>
      <c r="R69" s="68"/>
      <c r="S69" s="2344"/>
    </row>
    <row r="70" spans="1:19" ht="13.5" thickTop="1" x14ac:dyDescent="0.2">
      <c r="A70" s="270"/>
      <c r="B70" s="109"/>
      <c r="C70" s="109"/>
      <c r="D70" s="109"/>
      <c r="E70" s="109"/>
      <c r="F70" s="487"/>
      <c r="G70" s="258"/>
      <c r="H70" s="74"/>
      <c r="I70" s="352"/>
      <c r="J70" s="74"/>
      <c r="K70" s="74"/>
      <c r="L70" s="74"/>
      <c r="M70" s="74"/>
      <c r="N70" s="74"/>
      <c r="O70" s="74"/>
      <c r="P70" s="74"/>
      <c r="Q70" s="74"/>
      <c r="R70" s="74"/>
      <c r="S70" s="2345"/>
    </row>
    <row r="71" spans="1:19" x14ac:dyDescent="0.2">
      <c r="A71" s="24"/>
      <c r="B71" s="21"/>
      <c r="C71" s="21"/>
      <c r="D71" s="21"/>
      <c r="E71" s="21"/>
      <c r="F71" s="468"/>
      <c r="G71" s="361" t="s">
        <v>192</v>
      </c>
      <c r="H71" s="9"/>
      <c r="I71" s="126"/>
      <c r="J71" s="9"/>
      <c r="K71" s="9"/>
      <c r="L71" s="9"/>
      <c r="M71" s="9"/>
      <c r="N71" s="9"/>
      <c r="O71" s="9"/>
      <c r="P71" s="9"/>
      <c r="Q71" s="9"/>
      <c r="R71" s="9"/>
      <c r="S71" s="47"/>
    </row>
    <row r="72" spans="1:19" x14ac:dyDescent="0.2">
      <c r="A72" s="24"/>
      <c r="B72" s="21"/>
      <c r="C72" s="21"/>
      <c r="D72" s="21"/>
      <c r="E72" s="21"/>
      <c r="F72" s="468"/>
      <c r="G72" s="260"/>
      <c r="H72" s="9"/>
      <c r="I72" s="126"/>
      <c r="J72" s="9"/>
      <c r="K72" s="9"/>
      <c r="L72" s="9"/>
      <c r="M72" s="9"/>
      <c r="N72" s="9"/>
      <c r="O72" s="9"/>
      <c r="P72" s="9"/>
      <c r="Q72" s="9"/>
      <c r="R72" s="9"/>
      <c r="S72" s="47"/>
    </row>
    <row r="73" spans="1:19" x14ac:dyDescent="0.2">
      <c r="A73" s="54">
        <f t="shared" ref="A73:A77" si="134">ROUND(A268,-3)</f>
        <v>0</v>
      </c>
      <c r="B73" s="9">
        <f t="shared" ref="B73:C77" si="135">B268</f>
        <v>0</v>
      </c>
      <c r="C73" s="9">
        <f t="shared" si="135"/>
        <v>0</v>
      </c>
      <c r="D73" s="9">
        <f>D268</f>
        <v>0</v>
      </c>
      <c r="E73" s="9">
        <f t="shared" ref="E73" si="136">E268</f>
        <v>0</v>
      </c>
      <c r="F73" s="468"/>
      <c r="G73" s="257" t="s">
        <v>1759</v>
      </c>
      <c r="H73" s="9">
        <f t="shared" ref="H73:O73" si="137">H268</f>
        <v>0</v>
      </c>
      <c r="I73" s="85">
        <f>IF(E73=H73,0,IF(E73=0,100,(H73-E73)/E73*100))</f>
        <v>0</v>
      </c>
      <c r="J73" s="9">
        <f t="shared" si="137"/>
        <v>0</v>
      </c>
      <c r="K73" s="9">
        <f t="shared" si="137"/>
        <v>0</v>
      </c>
      <c r="L73" s="9">
        <f t="shared" si="137"/>
        <v>0</v>
      </c>
      <c r="M73" s="9">
        <f t="shared" si="137"/>
        <v>0</v>
      </c>
      <c r="N73" s="9">
        <f t="shared" si="137"/>
        <v>0</v>
      </c>
      <c r="O73" s="9">
        <f t="shared" si="137"/>
        <v>0</v>
      </c>
      <c r="P73" s="9">
        <f t="shared" ref="P73:Q73" si="138">P268</f>
        <v>0</v>
      </c>
      <c r="Q73" s="9">
        <f t="shared" si="138"/>
        <v>0</v>
      </c>
      <c r="R73" s="9">
        <f t="shared" ref="R73" si="139">R268</f>
        <v>0</v>
      </c>
      <c r="S73" s="47">
        <f t="shared" ref="S73" si="140">S268</f>
        <v>0</v>
      </c>
    </row>
    <row r="74" spans="1:19" x14ac:dyDescent="0.2">
      <c r="A74" s="54">
        <f t="shared" si="134"/>
        <v>22000</v>
      </c>
      <c r="B74" s="9">
        <f t="shared" si="135"/>
        <v>0</v>
      </c>
      <c r="C74" s="9">
        <f t="shared" si="135"/>
        <v>0</v>
      </c>
      <c r="D74" s="9">
        <f>D269</f>
        <v>50000</v>
      </c>
      <c r="E74" s="9">
        <f t="shared" ref="E74" si="141">E269</f>
        <v>233000</v>
      </c>
      <c r="F74" s="468"/>
      <c r="G74" s="257" t="s">
        <v>1909</v>
      </c>
      <c r="H74" s="9">
        <f t="shared" ref="H74:O74" si="142">H269</f>
        <v>0</v>
      </c>
      <c r="I74" s="85">
        <f>IF(E74=H74,0,IF(E74=0,100,(H74-E74)/E74*100))</f>
        <v>-100</v>
      </c>
      <c r="J74" s="9">
        <f t="shared" si="142"/>
        <v>0</v>
      </c>
      <c r="K74" s="9">
        <f t="shared" si="142"/>
        <v>0</v>
      </c>
      <c r="L74" s="9">
        <f t="shared" si="142"/>
        <v>0</v>
      </c>
      <c r="M74" s="9">
        <f t="shared" si="142"/>
        <v>0</v>
      </c>
      <c r="N74" s="9">
        <f t="shared" si="142"/>
        <v>0</v>
      </c>
      <c r="O74" s="9">
        <f t="shared" si="142"/>
        <v>0</v>
      </c>
      <c r="P74" s="9">
        <f t="shared" ref="P74:Q74" si="143">P269</f>
        <v>0</v>
      </c>
      <c r="Q74" s="9">
        <f t="shared" si="143"/>
        <v>0</v>
      </c>
      <c r="R74" s="9">
        <f t="shared" ref="R74" si="144">R269</f>
        <v>0</v>
      </c>
      <c r="S74" s="47">
        <f t="shared" ref="S74" si="145">S269</f>
        <v>0</v>
      </c>
    </row>
    <row r="75" spans="1:19" x14ac:dyDescent="0.2">
      <c r="A75" s="54">
        <f t="shared" si="134"/>
        <v>0</v>
      </c>
      <c r="B75" s="9">
        <f t="shared" si="135"/>
        <v>21600</v>
      </c>
      <c r="C75" s="9">
        <f t="shared" si="135"/>
        <v>0</v>
      </c>
      <c r="D75" s="9">
        <f>D270</f>
        <v>0</v>
      </c>
      <c r="E75" s="9">
        <f t="shared" ref="E75" si="146">E270</f>
        <v>0</v>
      </c>
      <c r="F75" s="468"/>
      <c r="G75" s="257" t="s">
        <v>2309</v>
      </c>
      <c r="H75" s="9">
        <f t="shared" ref="H75:O75" si="147">H270</f>
        <v>23000</v>
      </c>
      <c r="I75" s="85">
        <f>IF(E75=H75,0,IF(E75=0,100,(H75-E75)/E75*100))</f>
        <v>100</v>
      </c>
      <c r="J75" s="9">
        <f t="shared" si="147"/>
        <v>0</v>
      </c>
      <c r="K75" s="9">
        <f t="shared" si="147"/>
        <v>0</v>
      </c>
      <c r="L75" s="9">
        <f t="shared" si="147"/>
        <v>0</v>
      </c>
      <c r="M75" s="9">
        <f t="shared" si="147"/>
        <v>0</v>
      </c>
      <c r="N75" s="9">
        <f t="shared" si="147"/>
        <v>0</v>
      </c>
      <c r="O75" s="9">
        <f t="shared" si="147"/>
        <v>0</v>
      </c>
      <c r="P75" s="9">
        <f t="shared" ref="P75:Q75" si="148">P270</f>
        <v>0</v>
      </c>
      <c r="Q75" s="9">
        <f t="shared" si="148"/>
        <v>0</v>
      </c>
      <c r="R75" s="9">
        <f t="shared" ref="R75" si="149">R270</f>
        <v>0</v>
      </c>
      <c r="S75" s="47">
        <f t="shared" ref="S75" si="150">S270</f>
        <v>0</v>
      </c>
    </row>
    <row r="76" spans="1:19" x14ac:dyDescent="0.2">
      <c r="A76" s="54">
        <f t="shared" si="134"/>
        <v>0</v>
      </c>
      <c r="B76" s="9">
        <f t="shared" si="135"/>
        <v>0</v>
      </c>
      <c r="C76" s="9">
        <f t="shared" si="135"/>
        <v>0</v>
      </c>
      <c r="D76" s="9">
        <f>D271</f>
        <v>0</v>
      </c>
      <c r="E76" s="9">
        <f t="shared" ref="E76" si="151">E271</f>
        <v>0</v>
      </c>
      <c r="F76" s="468"/>
      <c r="G76" s="257" t="s">
        <v>5847</v>
      </c>
      <c r="H76" s="9">
        <f t="shared" ref="H76:O76" si="152">H271</f>
        <v>0</v>
      </c>
      <c r="I76" s="85">
        <f>IF(E76=H76,0,IF(E76=0,100,(H76-E76)/E76*100))</f>
        <v>0</v>
      </c>
      <c r="J76" s="9">
        <f t="shared" si="152"/>
        <v>0</v>
      </c>
      <c r="K76" s="9">
        <f t="shared" si="152"/>
        <v>0</v>
      </c>
      <c r="L76" s="9">
        <f t="shared" si="152"/>
        <v>0</v>
      </c>
      <c r="M76" s="9">
        <f t="shared" si="152"/>
        <v>0</v>
      </c>
      <c r="N76" s="9">
        <f t="shared" si="152"/>
        <v>0</v>
      </c>
      <c r="O76" s="9">
        <f t="shared" si="152"/>
        <v>0</v>
      </c>
      <c r="P76" s="9">
        <f t="shared" ref="P76:Q76" si="153">P271</f>
        <v>0</v>
      </c>
      <c r="Q76" s="9">
        <f t="shared" si="153"/>
        <v>0</v>
      </c>
      <c r="R76" s="9">
        <f t="shared" ref="R76" si="154">R271</f>
        <v>0</v>
      </c>
      <c r="S76" s="47">
        <f t="shared" ref="S76" si="155">S271</f>
        <v>0</v>
      </c>
    </row>
    <row r="77" spans="1:19" x14ac:dyDescent="0.2">
      <c r="A77" s="54">
        <f t="shared" si="134"/>
        <v>0</v>
      </c>
      <c r="B77" s="9">
        <f t="shared" si="135"/>
        <v>0</v>
      </c>
      <c r="C77" s="9">
        <f t="shared" si="135"/>
        <v>0</v>
      </c>
      <c r="D77" s="9">
        <f>D272</f>
        <v>0</v>
      </c>
      <c r="E77" s="9">
        <f t="shared" ref="E77" si="156">E272</f>
        <v>0</v>
      </c>
      <c r="F77" s="468"/>
      <c r="G77" s="257" t="s">
        <v>958</v>
      </c>
      <c r="H77" s="9">
        <f t="shared" ref="H77:O77" si="157">H272</f>
        <v>0</v>
      </c>
      <c r="I77" s="85">
        <f t="shared" ref="I77" si="158">I272</f>
        <v>0</v>
      </c>
      <c r="J77" s="9">
        <f t="shared" si="157"/>
        <v>0</v>
      </c>
      <c r="K77" s="9">
        <f t="shared" si="157"/>
        <v>0</v>
      </c>
      <c r="L77" s="9">
        <f t="shared" si="157"/>
        <v>0</v>
      </c>
      <c r="M77" s="9">
        <f t="shared" si="157"/>
        <v>0</v>
      </c>
      <c r="N77" s="9">
        <f t="shared" si="157"/>
        <v>0</v>
      </c>
      <c r="O77" s="9">
        <f t="shared" si="157"/>
        <v>0</v>
      </c>
      <c r="P77" s="9">
        <f t="shared" ref="P77:Q77" si="159">P272</f>
        <v>0</v>
      </c>
      <c r="Q77" s="9">
        <f t="shared" si="159"/>
        <v>0</v>
      </c>
      <c r="R77" s="9">
        <f t="shared" ref="R77" si="160">R272</f>
        <v>0</v>
      </c>
      <c r="S77" s="47">
        <f t="shared" ref="S77" si="161">S272</f>
        <v>0</v>
      </c>
    </row>
    <row r="78" spans="1:19" x14ac:dyDescent="0.2">
      <c r="A78" s="54"/>
      <c r="B78" s="9"/>
      <c r="C78" s="9"/>
      <c r="D78" s="9"/>
      <c r="E78" s="9"/>
      <c r="F78" s="468"/>
      <c r="G78" s="361"/>
      <c r="H78" s="9"/>
      <c r="I78" s="85"/>
      <c r="J78" s="9"/>
      <c r="K78" s="9"/>
      <c r="L78" s="9"/>
      <c r="M78" s="9"/>
      <c r="N78" s="9"/>
      <c r="O78" s="9"/>
      <c r="P78" s="9"/>
      <c r="Q78" s="9"/>
      <c r="R78" s="9"/>
      <c r="S78" s="61"/>
    </row>
    <row r="79" spans="1:19" s="39" customFormat="1" x14ac:dyDescent="0.2">
      <c r="A79" s="128">
        <f>A68-A73-A74+A75++A76-A77</f>
        <v>-1012000</v>
      </c>
      <c r="B79" s="280">
        <f>B68-B73-B74+B75++B76-B77</f>
        <v>-843800</v>
      </c>
      <c r="C79" s="280">
        <f>C68-C73-C74+C75++C76-C77</f>
        <v>-935100</v>
      </c>
      <c r="D79" s="280">
        <f>D68-D73-D74+D75++D76-D77</f>
        <v>-711300</v>
      </c>
      <c r="E79" s="280">
        <f t="shared" ref="E79" si="162">E68-E73-E74+E75++E76-E77</f>
        <v>-1321500</v>
      </c>
      <c r="F79" s="488"/>
      <c r="G79" s="363" t="s">
        <v>2447</v>
      </c>
      <c r="H79" s="280">
        <f t="shared" ref="H79:L79" si="163">H68-H73-H74+H75++H76-H77</f>
        <v>-905600</v>
      </c>
      <c r="I79" s="278">
        <f>IF(E79=H79,0,IF(E79=0,100,(H79-E79)/E79*100))</f>
        <v>-31.471812334468407</v>
      </c>
      <c r="J79" s="280">
        <f t="shared" si="163"/>
        <v>-1031100</v>
      </c>
      <c r="K79" s="280">
        <f t="shared" si="163"/>
        <v>-1053500</v>
      </c>
      <c r="L79" s="280">
        <f t="shared" si="163"/>
        <v>-1076200</v>
      </c>
      <c r="M79" s="280">
        <f t="shared" ref="M79:R79" si="164">M68-M73-M74+M75++M76-M77</f>
        <v>-1099500</v>
      </c>
      <c r="N79" s="280">
        <f t="shared" si="164"/>
        <v>-1123600</v>
      </c>
      <c r="O79" s="280">
        <f t="shared" si="164"/>
        <v>-1148200</v>
      </c>
      <c r="P79" s="280">
        <f t="shared" si="164"/>
        <v>-1173300</v>
      </c>
      <c r="Q79" s="280">
        <f t="shared" si="164"/>
        <v>-1198900</v>
      </c>
      <c r="R79" s="280">
        <f t="shared" si="164"/>
        <v>-1225000</v>
      </c>
      <c r="S79" s="282">
        <f t="shared" ref="S79" si="165">S68-S73-S74+S75++S76-S77</f>
        <v>-1251500</v>
      </c>
    </row>
    <row r="80" spans="1:19" ht="13.5" thickBot="1" x14ac:dyDescent="0.25">
      <c r="A80" s="26"/>
      <c r="B80" s="37"/>
      <c r="C80" s="37"/>
      <c r="D80" s="37"/>
      <c r="E80" s="37"/>
      <c r="F80" s="489"/>
      <c r="G80" s="259"/>
      <c r="H80" s="23"/>
      <c r="I80" s="275"/>
      <c r="J80" s="23"/>
      <c r="K80" s="23"/>
      <c r="L80" s="23"/>
      <c r="M80" s="23"/>
      <c r="N80" s="23"/>
      <c r="O80" s="23"/>
      <c r="P80" s="23"/>
      <c r="Q80" s="23"/>
      <c r="R80" s="23"/>
      <c r="S80" s="112"/>
    </row>
    <row r="81" spans="1:19" ht="13.5" thickTop="1" x14ac:dyDescent="0.2">
      <c r="A81" s="27"/>
      <c r="B81" s="27"/>
      <c r="C81" s="27"/>
      <c r="D81" s="27"/>
      <c r="E81" s="27"/>
      <c r="F81" s="471"/>
      <c r="G81" s="84"/>
      <c r="H81" s="46"/>
      <c r="I81" s="2234"/>
      <c r="J81" s="46"/>
      <c r="K81" s="46"/>
      <c r="L81" s="46"/>
      <c r="M81" s="46"/>
      <c r="N81" s="46"/>
      <c r="O81" s="46"/>
      <c r="P81" s="46"/>
      <c r="Q81" s="46"/>
      <c r="R81" s="46"/>
      <c r="S81" s="46"/>
    </row>
    <row r="82" spans="1:19" ht="13.5" thickBot="1" x14ac:dyDescent="0.25"/>
    <row r="83" spans="1:19" s="38" customFormat="1" ht="18.75" customHeight="1" thickTop="1" thickBot="1" x14ac:dyDescent="0.3">
      <c r="A83" s="2601" t="s">
        <v>1645</v>
      </c>
      <c r="B83" s="2602"/>
      <c r="C83" s="2602"/>
      <c r="D83" s="2602"/>
      <c r="E83" s="2602"/>
      <c r="F83" s="2602"/>
      <c r="G83" s="2602"/>
      <c r="H83" s="2602"/>
      <c r="I83" s="2602"/>
      <c r="J83" s="2602"/>
      <c r="K83" s="2602"/>
      <c r="L83" s="2602"/>
      <c r="M83" s="2602"/>
      <c r="N83" s="2602"/>
      <c r="O83" s="2602"/>
      <c r="P83" s="2602"/>
      <c r="Q83" s="2602"/>
      <c r="R83" s="2602"/>
      <c r="S83" s="2603"/>
    </row>
    <row r="84" spans="1:19" s="39" customFormat="1" x14ac:dyDescent="0.2">
      <c r="A84" s="2598" t="s">
        <v>1824</v>
      </c>
      <c r="B84" s="2599"/>
      <c r="C84" s="2599"/>
      <c r="D84" s="2599"/>
      <c r="E84" s="2600"/>
      <c r="F84" s="1163" t="s">
        <v>2616</v>
      </c>
      <c r="G84" s="2231" t="s">
        <v>2213</v>
      </c>
      <c r="H84" s="2576" t="s">
        <v>2215</v>
      </c>
      <c r="I84" s="2577"/>
      <c r="J84" s="2577"/>
      <c r="K84" s="2577"/>
      <c r="L84" s="2577"/>
      <c r="M84" s="2577"/>
      <c r="N84" s="2577"/>
      <c r="O84" s="2577"/>
      <c r="P84" s="2577"/>
      <c r="Q84" s="2577"/>
      <c r="R84" s="2577"/>
      <c r="S84" s="2578"/>
    </row>
    <row r="85" spans="1:19" ht="13.5" thickBot="1" x14ac:dyDescent="0.25">
      <c r="A85" s="1647" t="str">
        <f>A3</f>
        <v>2012/13</v>
      </c>
      <c r="B85" s="40" t="str">
        <f>B3</f>
        <v>2013/14</v>
      </c>
      <c r="C85" s="40" t="str">
        <f>C3</f>
        <v>2014/15</v>
      </c>
      <c r="D85" s="40" t="str">
        <f>D3</f>
        <v>2015/16</v>
      </c>
      <c r="E85" s="40" t="str">
        <f>E3</f>
        <v>2016/17</v>
      </c>
      <c r="F85" s="2071" t="s">
        <v>2617</v>
      </c>
      <c r="G85" s="41"/>
      <c r="H85" s="40" t="str">
        <f t="shared" ref="H85:R85" si="166">H3</f>
        <v>2017/18</v>
      </c>
      <c r="I85" s="40" t="str">
        <f>I3</f>
        <v>%</v>
      </c>
      <c r="J85" s="40" t="str">
        <f t="shared" si="166"/>
        <v>2018/19</v>
      </c>
      <c r="K85" s="40" t="str">
        <f t="shared" si="166"/>
        <v>2019/20</v>
      </c>
      <c r="L85" s="40" t="str">
        <f t="shared" si="166"/>
        <v>2020/21</v>
      </c>
      <c r="M85" s="40" t="str">
        <f t="shared" si="166"/>
        <v>2021/22</v>
      </c>
      <c r="N85" s="40" t="str">
        <f t="shared" si="166"/>
        <v>2022/23</v>
      </c>
      <c r="O85" s="40" t="str">
        <f t="shared" si="166"/>
        <v>2023/24</v>
      </c>
      <c r="P85" s="40" t="str">
        <f t="shared" si="166"/>
        <v>2024/25</v>
      </c>
      <c r="Q85" s="40" t="str">
        <f t="shared" si="166"/>
        <v>2025/26</v>
      </c>
      <c r="R85" s="40" t="str">
        <f t="shared" si="166"/>
        <v>2026/27</v>
      </c>
      <c r="S85" s="1620" t="str">
        <f t="shared" ref="S85" si="167">S3</f>
        <v>2027/28</v>
      </c>
    </row>
    <row r="86" spans="1:19" x14ac:dyDescent="0.2">
      <c r="A86" s="54"/>
      <c r="B86" s="9"/>
      <c r="C86" s="9"/>
      <c r="D86" s="9"/>
      <c r="E86" s="9"/>
      <c r="F86" s="469"/>
      <c r="G86" s="27"/>
      <c r="H86" s="9"/>
      <c r="I86" s="85"/>
      <c r="J86" s="9"/>
      <c r="K86" s="9"/>
      <c r="L86" s="9"/>
      <c r="M86" s="9"/>
      <c r="N86" s="9"/>
      <c r="O86" s="9"/>
      <c r="P86" s="9"/>
      <c r="Q86" s="9"/>
      <c r="R86" s="9"/>
      <c r="S86" s="61"/>
    </row>
    <row r="87" spans="1:19" x14ac:dyDescent="0.2">
      <c r="A87" s="54"/>
      <c r="B87" s="9"/>
      <c r="C87" s="9"/>
      <c r="D87" s="9"/>
      <c r="E87" s="9"/>
      <c r="F87" s="469"/>
      <c r="G87" s="91" t="s">
        <v>1056</v>
      </c>
      <c r="H87" s="9"/>
      <c r="I87" s="85"/>
      <c r="J87" s="9"/>
      <c r="K87" s="9"/>
      <c r="L87" s="9"/>
      <c r="M87" s="9"/>
      <c r="N87" s="9"/>
      <c r="O87" s="9"/>
      <c r="P87" s="9"/>
      <c r="Q87" s="9"/>
      <c r="R87" s="9"/>
      <c r="S87" s="61"/>
    </row>
    <row r="88" spans="1:19" x14ac:dyDescent="0.2">
      <c r="A88" s="54"/>
      <c r="B88" s="9"/>
      <c r="C88" s="9"/>
      <c r="D88" s="9"/>
      <c r="E88" s="9"/>
      <c r="F88" s="469"/>
      <c r="G88" s="91"/>
      <c r="H88" s="9"/>
      <c r="I88" s="85"/>
      <c r="J88" s="9"/>
      <c r="K88" s="9"/>
      <c r="L88" s="9"/>
      <c r="M88" s="9"/>
      <c r="N88" s="9"/>
      <c r="O88" s="9"/>
      <c r="P88" s="9"/>
      <c r="Q88" s="9"/>
      <c r="R88" s="9"/>
      <c r="S88" s="61"/>
    </row>
    <row r="89" spans="1:19" x14ac:dyDescent="0.2">
      <c r="A89" s="54">
        <f>ROUND(SUM(A282:A306),-3)</f>
        <v>572000</v>
      </c>
      <c r="B89" s="9">
        <f>SUM(B282:B306)</f>
        <v>846400</v>
      </c>
      <c r="C89" s="9">
        <f>SUM(C282:C306)</f>
        <v>1144000</v>
      </c>
      <c r="D89" s="9">
        <f>SUM(D282:D306)</f>
        <v>1387400</v>
      </c>
      <c r="E89" s="9">
        <f>SUM(E282:E306)</f>
        <v>1479800</v>
      </c>
      <c r="F89" s="167">
        <v>21020</v>
      </c>
      <c r="G89" s="31" t="s">
        <v>2829</v>
      </c>
      <c r="H89" s="9">
        <f>SUM(H282:H306)</f>
        <v>1360600</v>
      </c>
      <c r="I89" s="85">
        <f>IF(E89=H89,0,IF(E89=0,100,(H89-E89)/E89*100))</f>
        <v>-8.0551425868360589</v>
      </c>
      <c r="J89" s="9">
        <f t="shared" ref="J89:S89" si="168">SUM(J282:J306)</f>
        <v>1311000</v>
      </c>
      <c r="K89" s="9">
        <f t="shared" si="168"/>
        <v>1344300</v>
      </c>
      <c r="L89" s="9">
        <f t="shared" si="168"/>
        <v>1379000</v>
      </c>
      <c r="M89" s="9">
        <f t="shared" si="168"/>
        <v>1414400</v>
      </c>
      <c r="N89" s="9">
        <f t="shared" si="168"/>
        <v>1450800</v>
      </c>
      <c r="O89" s="9">
        <f t="shared" si="168"/>
        <v>1487900</v>
      </c>
      <c r="P89" s="9">
        <f t="shared" si="168"/>
        <v>1525900</v>
      </c>
      <c r="Q89" s="9">
        <f t="shared" si="168"/>
        <v>1564900</v>
      </c>
      <c r="R89" s="9">
        <f t="shared" si="168"/>
        <v>1605000</v>
      </c>
      <c r="S89" s="47">
        <f t="shared" si="168"/>
        <v>1645900</v>
      </c>
    </row>
    <row r="90" spans="1:19" ht="13.5" thickBot="1" x14ac:dyDescent="0.25">
      <c r="A90" s="24"/>
      <c r="B90" s="21"/>
      <c r="C90" s="21"/>
      <c r="D90" s="21"/>
      <c r="E90" s="21"/>
      <c r="F90" s="167"/>
      <c r="G90" s="27"/>
      <c r="H90" s="9"/>
      <c r="I90" s="126"/>
      <c r="J90" s="9"/>
      <c r="K90" s="9"/>
      <c r="L90" s="9"/>
      <c r="M90" s="9"/>
      <c r="N90" s="9"/>
      <c r="O90" s="9"/>
      <c r="P90" s="9"/>
      <c r="Q90" s="9"/>
      <c r="R90" s="9"/>
      <c r="S90" s="47"/>
    </row>
    <row r="91" spans="1:19" x14ac:dyDescent="0.2">
      <c r="A91" s="52">
        <f>SUM(A88:A90)</f>
        <v>572000</v>
      </c>
      <c r="B91" s="16">
        <f>SUM(B88:B90)</f>
        <v>846400</v>
      </c>
      <c r="C91" s="16">
        <f>SUM(C88:C90)</f>
        <v>1144000</v>
      </c>
      <c r="D91" s="16">
        <f>SUM(D88:D90)</f>
        <v>1387400</v>
      </c>
      <c r="E91" s="16">
        <f t="shared" ref="E91" si="169">SUM(E88:E90)</f>
        <v>1479800</v>
      </c>
      <c r="F91" s="167"/>
      <c r="G91" s="59" t="s">
        <v>2561</v>
      </c>
      <c r="H91" s="16">
        <f t="shared" ref="H91:O91" si="170">SUM(H88:H90)</f>
        <v>1360600</v>
      </c>
      <c r="I91" s="127">
        <f>IF(E91=H91,0,IF(E91=0,100,(H91-E91)/E91*100))</f>
        <v>-8.0551425868360589</v>
      </c>
      <c r="J91" s="16">
        <f t="shared" si="170"/>
        <v>1311000</v>
      </c>
      <c r="K91" s="16">
        <f t="shared" si="170"/>
        <v>1344300</v>
      </c>
      <c r="L91" s="16">
        <f t="shared" si="170"/>
        <v>1379000</v>
      </c>
      <c r="M91" s="16">
        <f t="shared" si="170"/>
        <v>1414400</v>
      </c>
      <c r="N91" s="16">
        <f t="shared" si="170"/>
        <v>1450800</v>
      </c>
      <c r="O91" s="16">
        <f t="shared" si="170"/>
        <v>1487900</v>
      </c>
      <c r="P91" s="16">
        <f t="shared" ref="P91:Q91" si="171">SUM(P88:P90)</f>
        <v>1525900</v>
      </c>
      <c r="Q91" s="16">
        <f t="shared" si="171"/>
        <v>1564900</v>
      </c>
      <c r="R91" s="16">
        <f t="shared" ref="R91" si="172">SUM(R88:R90)</f>
        <v>1605000</v>
      </c>
      <c r="S91" s="2342">
        <f t="shared" ref="S91" si="173">SUM(S88:S90)</f>
        <v>1645900</v>
      </c>
    </row>
    <row r="92" spans="1:19" x14ac:dyDescent="0.2">
      <c r="A92" s="54"/>
      <c r="B92" s="9"/>
      <c r="C92" s="9"/>
      <c r="D92" s="9"/>
      <c r="E92" s="9"/>
      <c r="F92" s="167"/>
      <c r="G92" s="59"/>
      <c r="H92" s="9"/>
      <c r="I92" s="85"/>
      <c r="J92" s="9"/>
      <c r="K92" s="9"/>
      <c r="L92" s="9"/>
      <c r="M92" s="9"/>
      <c r="N92" s="9"/>
      <c r="O92" s="9"/>
      <c r="P92" s="9"/>
      <c r="Q92" s="9"/>
      <c r="R92" s="9"/>
      <c r="S92" s="47"/>
    </row>
    <row r="93" spans="1:19" x14ac:dyDescent="0.2">
      <c r="A93" s="54"/>
      <c r="B93" s="9"/>
      <c r="C93" s="9"/>
      <c r="D93" s="9"/>
      <c r="E93" s="9"/>
      <c r="F93" s="167"/>
      <c r="G93" s="91" t="s">
        <v>2169</v>
      </c>
      <c r="H93" s="9"/>
      <c r="I93" s="85"/>
      <c r="J93" s="9"/>
      <c r="K93" s="9"/>
      <c r="L93" s="9"/>
      <c r="M93" s="9"/>
      <c r="N93" s="9"/>
      <c r="O93" s="9"/>
      <c r="P93" s="9"/>
      <c r="Q93" s="9"/>
      <c r="R93" s="9"/>
      <c r="S93" s="47"/>
    </row>
    <row r="94" spans="1:19" x14ac:dyDescent="0.2">
      <c r="A94" s="54"/>
      <c r="B94" s="9"/>
      <c r="C94" s="9"/>
      <c r="D94" s="9"/>
      <c r="E94" s="9"/>
      <c r="F94" s="167"/>
      <c r="G94" s="55"/>
      <c r="H94" s="9"/>
      <c r="I94" s="85"/>
      <c r="J94" s="9"/>
      <c r="K94" s="9"/>
      <c r="L94" s="9"/>
      <c r="M94" s="9"/>
      <c r="N94" s="9"/>
      <c r="O94" s="9"/>
      <c r="P94" s="9"/>
      <c r="Q94" s="9"/>
      <c r="R94" s="9"/>
      <c r="S94" s="47"/>
    </row>
    <row r="95" spans="1:19" x14ac:dyDescent="0.2">
      <c r="A95" s="54">
        <f>ROUND(SUM(A310:A313),-3)</f>
        <v>950000</v>
      </c>
      <c r="B95" s="9">
        <f>SUM(B310:B313)</f>
        <v>929600</v>
      </c>
      <c r="C95" s="9">
        <f>SUM(C310:C313)</f>
        <v>906000</v>
      </c>
      <c r="D95" s="9">
        <f>SUM(D310:D313)</f>
        <v>1031800</v>
      </c>
      <c r="E95" s="9">
        <f>SUM(E310:E313)</f>
        <v>1080800</v>
      </c>
      <c r="F95" s="167">
        <v>31020</v>
      </c>
      <c r="G95" s="46" t="s">
        <v>1228</v>
      </c>
      <c r="H95" s="9">
        <f>SUM(H310:H313)</f>
        <v>1091500</v>
      </c>
      <c r="I95" s="85">
        <f>IF(E95=H95,0,IF(E95=0,100,(H95-E95)/E95*100))</f>
        <v>0.99000740192450032</v>
      </c>
      <c r="J95" s="9">
        <f t="shared" ref="J95:R95" si="174">SUM(J310:J313)</f>
        <v>1102300</v>
      </c>
      <c r="K95" s="9">
        <f t="shared" si="174"/>
        <v>1127900</v>
      </c>
      <c r="L95" s="9">
        <f t="shared" si="174"/>
        <v>1154100</v>
      </c>
      <c r="M95" s="9">
        <f t="shared" si="174"/>
        <v>1180800</v>
      </c>
      <c r="N95" s="9">
        <f t="shared" si="174"/>
        <v>1208100</v>
      </c>
      <c r="O95" s="9">
        <f t="shared" si="174"/>
        <v>1236100</v>
      </c>
      <c r="P95" s="9">
        <f t="shared" si="174"/>
        <v>1264700</v>
      </c>
      <c r="Q95" s="9">
        <f t="shared" si="174"/>
        <v>1294000</v>
      </c>
      <c r="R95" s="9">
        <f t="shared" si="174"/>
        <v>1323900</v>
      </c>
      <c r="S95" s="47">
        <f t="shared" ref="S95" si="175">SUM(S310:S313)</f>
        <v>1354600</v>
      </c>
    </row>
    <row r="96" spans="1:19" x14ac:dyDescent="0.2">
      <c r="A96" s="54">
        <f>ROUND(SUM(A314:A315),-3)</f>
        <v>14000</v>
      </c>
      <c r="B96" s="9">
        <f>SUM(B314:B315)</f>
        <v>13800</v>
      </c>
      <c r="C96" s="9">
        <f>SUM(C314:C315)</f>
        <v>14600</v>
      </c>
      <c r="D96" s="9">
        <f>SUM(D314:D315)</f>
        <v>25900</v>
      </c>
      <c r="E96" s="9">
        <f>SUM(E314:E316)</f>
        <v>22900</v>
      </c>
      <c r="F96" s="167">
        <v>31020</v>
      </c>
      <c r="G96" s="31" t="s">
        <v>4709</v>
      </c>
      <c r="H96" s="9">
        <f t="shared" ref="H96:Q96" si="176">SUM(H314:H316)</f>
        <v>12000</v>
      </c>
      <c r="I96" s="85">
        <f>IF(E96=H96,0,IF(E96=0,100,(H96-E96)/E96*100))</f>
        <v>-47.598253275109172</v>
      </c>
      <c r="J96" s="9">
        <f t="shared" si="176"/>
        <v>15000</v>
      </c>
      <c r="K96" s="9">
        <f t="shared" si="176"/>
        <v>15400</v>
      </c>
      <c r="L96" s="9">
        <f t="shared" si="176"/>
        <v>15800</v>
      </c>
      <c r="M96" s="9">
        <f t="shared" si="176"/>
        <v>16200</v>
      </c>
      <c r="N96" s="9">
        <f t="shared" si="176"/>
        <v>16700</v>
      </c>
      <c r="O96" s="9">
        <f t="shared" si="176"/>
        <v>17200</v>
      </c>
      <c r="P96" s="9">
        <f t="shared" si="176"/>
        <v>17700</v>
      </c>
      <c r="Q96" s="9">
        <f t="shared" si="176"/>
        <v>18200</v>
      </c>
      <c r="R96" s="9">
        <f t="shared" ref="R96" si="177">SUM(R314:R316)</f>
        <v>18700</v>
      </c>
      <c r="S96" s="47">
        <f t="shared" ref="S96" si="178">SUM(S314:S316)</f>
        <v>19200</v>
      </c>
    </row>
    <row r="97" spans="1:19" x14ac:dyDescent="0.2">
      <c r="A97" s="54">
        <f>ROUND(SUM(A316:A317),-3)</f>
        <v>36000</v>
      </c>
      <c r="B97" s="9">
        <f>SUM(B316:B317)</f>
        <v>5600</v>
      </c>
      <c r="C97" s="9">
        <f>SUM(C316:C317)</f>
        <v>6300</v>
      </c>
      <c r="D97" s="9">
        <f>SUM(D316:D317)</f>
        <v>12900</v>
      </c>
      <c r="E97" s="9">
        <f t="shared" ref="E97" si="179">SUM(E316:E317)</f>
        <v>11400</v>
      </c>
      <c r="F97" s="167">
        <v>31020</v>
      </c>
      <c r="G97" s="46" t="s">
        <v>150</v>
      </c>
      <c r="H97" s="9">
        <f t="shared" ref="H97:P97" si="180">SUM(H316:H317)</f>
        <v>70000</v>
      </c>
      <c r="I97" s="85">
        <f>IF(E97=H97,0,IF(E97=0,100,(H97-E97)/E97*100))</f>
        <v>514.0350877192983</v>
      </c>
      <c r="J97" s="9">
        <f t="shared" si="180"/>
        <v>20000</v>
      </c>
      <c r="K97" s="9">
        <f t="shared" si="180"/>
        <v>20500</v>
      </c>
      <c r="L97" s="9">
        <f t="shared" si="180"/>
        <v>21100</v>
      </c>
      <c r="M97" s="9">
        <f t="shared" si="180"/>
        <v>21700</v>
      </c>
      <c r="N97" s="9">
        <f t="shared" si="180"/>
        <v>22300</v>
      </c>
      <c r="O97" s="9">
        <f t="shared" si="180"/>
        <v>22900</v>
      </c>
      <c r="P97" s="9">
        <f t="shared" si="180"/>
        <v>23500</v>
      </c>
      <c r="Q97" s="9">
        <f t="shared" ref="Q97" si="181">SUM(Q316:Q317)</f>
        <v>24100</v>
      </c>
      <c r="R97" s="9">
        <f t="shared" ref="R97" si="182">SUM(R316:R317)</f>
        <v>24800</v>
      </c>
      <c r="S97" s="47">
        <f t="shared" ref="S97" si="183">SUM(S316:S317)</f>
        <v>25500</v>
      </c>
    </row>
    <row r="98" spans="1:19" ht="13.5" thickBot="1" x14ac:dyDescent="0.25">
      <c r="A98" s="24"/>
      <c r="B98" s="21"/>
      <c r="C98" s="21"/>
      <c r="D98" s="21"/>
      <c r="E98" s="21"/>
      <c r="F98" s="469"/>
      <c r="G98" s="27"/>
      <c r="H98" s="9"/>
      <c r="I98" s="126"/>
      <c r="J98" s="9"/>
      <c r="K98" s="9"/>
      <c r="L98" s="9"/>
      <c r="M98" s="9"/>
      <c r="N98" s="9"/>
      <c r="O98" s="9"/>
      <c r="P98" s="9"/>
      <c r="Q98" s="9"/>
      <c r="R98" s="9"/>
      <c r="S98" s="47"/>
    </row>
    <row r="99" spans="1:19" s="39" customFormat="1" x14ac:dyDescent="0.2">
      <c r="A99" s="52">
        <f>SUM(A94:A98)</f>
        <v>1000000</v>
      </c>
      <c r="B99" s="16">
        <f>SUM(B94:B98)</f>
        <v>949000</v>
      </c>
      <c r="C99" s="16">
        <f>SUM(C94:C98)</f>
        <v>926900</v>
      </c>
      <c r="D99" s="16">
        <f>SUM(D94:D98)</f>
        <v>1070600</v>
      </c>
      <c r="E99" s="16">
        <f t="shared" ref="E99" si="184">SUM(E94:E98)</f>
        <v>1115100</v>
      </c>
      <c r="F99" s="484"/>
      <c r="G99" s="59" t="s">
        <v>556</v>
      </c>
      <c r="H99" s="16">
        <f t="shared" ref="H99:O99" si="185">SUM(H94:H98)</f>
        <v>1173500</v>
      </c>
      <c r="I99" s="127">
        <f>IF(E99=H99,0,IF(E99=0,100,(H99-E99)/E99*100))</f>
        <v>5.2371984575374402</v>
      </c>
      <c r="J99" s="16">
        <f t="shared" si="185"/>
        <v>1137300</v>
      </c>
      <c r="K99" s="16">
        <f t="shared" si="185"/>
        <v>1163800</v>
      </c>
      <c r="L99" s="16">
        <f t="shared" si="185"/>
        <v>1191000</v>
      </c>
      <c r="M99" s="16">
        <f t="shared" si="185"/>
        <v>1218700</v>
      </c>
      <c r="N99" s="16">
        <f t="shared" si="185"/>
        <v>1247100</v>
      </c>
      <c r="O99" s="16">
        <f t="shared" si="185"/>
        <v>1276200</v>
      </c>
      <c r="P99" s="16">
        <f t="shared" ref="P99:Q99" si="186">SUM(P94:P98)</f>
        <v>1305900</v>
      </c>
      <c r="Q99" s="16">
        <f t="shared" si="186"/>
        <v>1336300</v>
      </c>
      <c r="R99" s="16">
        <f t="shared" ref="R99" si="187">SUM(R94:R98)</f>
        <v>1367400</v>
      </c>
      <c r="S99" s="2342">
        <f t="shared" ref="S99" si="188">SUM(S94:S98)</f>
        <v>1399300</v>
      </c>
    </row>
    <row r="100" spans="1:19" x14ac:dyDescent="0.2">
      <c r="A100" s="54"/>
      <c r="B100" s="9"/>
      <c r="C100" s="9"/>
      <c r="D100" s="9"/>
      <c r="E100" s="9"/>
      <c r="F100" s="483"/>
      <c r="G100" s="55"/>
      <c r="H100" s="9"/>
      <c r="I100" s="85">
        <f>IF(E100=H100,0,IF(E100=0,100,(H100-E100)/E100*100))</f>
        <v>0</v>
      </c>
      <c r="J100" s="9"/>
      <c r="K100" s="9"/>
      <c r="L100" s="9"/>
      <c r="M100" s="9"/>
      <c r="N100" s="9"/>
      <c r="O100" s="9"/>
      <c r="P100" s="9"/>
      <c r="Q100" s="9"/>
      <c r="R100" s="9"/>
      <c r="S100" s="47"/>
    </row>
    <row r="101" spans="1:19" s="39" customFormat="1" x14ac:dyDescent="0.2">
      <c r="A101" s="24">
        <f>A91-A99</f>
        <v>-428000</v>
      </c>
      <c r="B101" s="21">
        <f>B91-B99</f>
        <v>-102600</v>
      </c>
      <c r="C101" s="21">
        <f>C91-C99</f>
        <v>217100</v>
      </c>
      <c r="D101" s="21">
        <f>D91-D99</f>
        <v>316800</v>
      </c>
      <c r="E101" s="21">
        <f t="shared" ref="E101" si="189">E91-E99</f>
        <v>364700</v>
      </c>
      <c r="F101" s="484"/>
      <c r="G101" s="1161" t="s">
        <v>1002</v>
      </c>
      <c r="H101" s="21">
        <f t="shared" ref="H101:L101" si="190">H91-H99</f>
        <v>187100</v>
      </c>
      <c r="I101" s="126">
        <f>IF(E101=H101,0,IF(E101=0,100,(H101-E101)/E101*100))</f>
        <v>-48.697559638058678</v>
      </c>
      <c r="J101" s="21">
        <f t="shared" si="190"/>
        <v>173700</v>
      </c>
      <c r="K101" s="21">
        <f t="shared" si="190"/>
        <v>180500</v>
      </c>
      <c r="L101" s="21">
        <f t="shared" si="190"/>
        <v>188000</v>
      </c>
      <c r="M101" s="21">
        <f t="shared" ref="M101:R101" si="191">M91-M99</f>
        <v>195700</v>
      </c>
      <c r="N101" s="21">
        <f t="shared" si="191"/>
        <v>203700</v>
      </c>
      <c r="O101" s="21">
        <f t="shared" si="191"/>
        <v>211700</v>
      </c>
      <c r="P101" s="21">
        <f t="shared" si="191"/>
        <v>220000</v>
      </c>
      <c r="Q101" s="21">
        <f t="shared" si="191"/>
        <v>228600</v>
      </c>
      <c r="R101" s="21">
        <f t="shared" si="191"/>
        <v>237600</v>
      </c>
      <c r="S101" s="86">
        <f t="shared" ref="S101" si="192">S91-S99</f>
        <v>246600</v>
      </c>
    </row>
    <row r="102" spans="1:19" x14ac:dyDescent="0.2">
      <c r="A102" s="54"/>
      <c r="B102" s="9"/>
      <c r="C102" s="9"/>
      <c r="D102" s="9"/>
      <c r="E102" s="9"/>
      <c r="F102" s="483"/>
      <c r="G102" s="217"/>
      <c r="H102" s="9"/>
      <c r="I102" s="85">
        <f>IF(E102=H102,0,IF(E102=0,100,(H102-E102)/E102*100))</f>
        <v>0</v>
      </c>
      <c r="J102" s="9"/>
      <c r="K102" s="9"/>
      <c r="L102" s="9"/>
      <c r="M102" s="9"/>
      <c r="N102" s="9"/>
      <c r="O102" s="9"/>
      <c r="P102" s="9"/>
      <c r="Q102" s="9"/>
      <c r="R102" s="9"/>
      <c r="S102" s="47"/>
    </row>
    <row r="103" spans="1:19" s="39" customFormat="1" x14ac:dyDescent="0.2">
      <c r="A103" s="128">
        <f>A101</f>
        <v>-428000</v>
      </c>
      <c r="B103" s="280">
        <f>B101</f>
        <v>-102600</v>
      </c>
      <c r="C103" s="280">
        <f>C101</f>
        <v>217100</v>
      </c>
      <c r="D103" s="280">
        <f>D101</f>
        <v>316800</v>
      </c>
      <c r="E103" s="280">
        <f t="shared" ref="E103" si="193">E101</f>
        <v>364700</v>
      </c>
      <c r="F103" s="485"/>
      <c r="G103" s="360" t="s">
        <v>1659</v>
      </c>
      <c r="H103" s="280">
        <f t="shared" ref="H103:L103" si="194">H101</f>
        <v>187100</v>
      </c>
      <c r="I103" s="278">
        <f>IF(E103=H103,0,IF(E103=0,100,(H103-E103)/E103*100))</f>
        <v>-48.697559638058678</v>
      </c>
      <c r="J103" s="280">
        <f t="shared" si="194"/>
        <v>173700</v>
      </c>
      <c r="K103" s="280">
        <f t="shared" si="194"/>
        <v>180500</v>
      </c>
      <c r="L103" s="280">
        <f t="shared" si="194"/>
        <v>188000</v>
      </c>
      <c r="M103" s="280">
        <f t="shared" ref="M103:R103" si="195">M101</f>
        <v>195700</v>
      </c>
      <c r="N103" s="280">
        <f t="shared" si="195"/>
        <v>203700</v>
      </c>
      <c r="O103" s="280">
        <f t="shared" si="195"/>
        <v>211700</v>
      </c>
      <c r="P103" s="280">
        <f t="shared" si="195"/>
        <v>220000</v>
      </c>
      <c r="Q103" s="280">
        <f t="shared" si="195"/>
        <v>228600</v>
      </c>
      <c r="R103" s="280">
        <f t="shared" si="195"/>
        <v>237600</v>
      </c>
      <c r="S103" s="2343">
        <f t="shared" ref="S103" si="196">S101</f>
        <v>246600</v>
      </c>
    </row>
    <row r="104" spans="1:19" ht="13.5" thickBot="1" x14ac:dyDescent="0.25">
      <c r="A104" s="26"/>
      <c r="B104" s="37"/>
      <c r="C104" s="37"/>
      <c r="D104" s="37"/>
      <c r="E104" s="37"/>
      <c r="F104" s="491"/>
      <c r="G104" s="88"/>
      <c r="H104" s="68"/>
      <c r="I104" s="275"/>
      <c r="J104" s="68"/>
      <c r="K104" s="68"/>
      <c r="L104" s="68"/>
      <c r="M104" s="68"/>
      <c r="N104" s="68"/>
      <c r="O104" s="68"/>
      <c r="P104" s="68"/>
      <c r="Q104" s="68"/>
      <c r="R104" s="68"/>
      <c r="S104" s="2344"/>
    </row>
    <row r="105" spans="1:19" ht="13.5" thickTop="1" x14ac:dyDescent="0.2">
      <c r="A105" s="270"/>
      <c r="B105" s="109"/>
      <c r="C105" s="109"/>
      <c r="D105" s="352"/>
      <c r="E105" s="109"/>
      <c r="F105" s="487"/>
      <c r="G105" s="258"/>
      <c r="H105" s="74"/>
      <c r="I105" s="352"/>
      <c r="J105" s="74"/>
      <c r="K105" s="74"/>
      <c r="L105" s="74"/>
      <c r="M105" s="74"/>
      <c r="N105" s="74"/>
      <c r="O105" s="74"/>
      <c r="P105" s="74"/>
      <c r="Q105" s="74"/>
      <c r="R105" s="74"/>
      <c r="S105" s="2345"/>
    </row>
    <row r="106" spans="1:19" x14ac:dyDescent="0.2">
      <c r="A106" s="24"/>
      <c r="B106" s="21"/>
      <c r="C106" s="21"/>
      <c r="D106" s="126"/>
      <c r="E106" s="21"/>
      <c r="F106" s="468"/>
      <c r="G106" s="361" t="s">
        <v>192</v>
      </c>
      <c r="H106" s="9"/>
      <c r="I106" s="126"/>
      <c r="J106" s="9"/>
      <c r="K106" s="9"/>
      <c r="L106" s="9"/>
      <c r="M106" s="9"/>
      <c r="N106" s="9"/>
      <c r="O106" s="9"/>
      <c r="P106" s="9"/>
      <c r="Q106" s="9"/>
      <c r="R106" s="9"/>
      <c r="S106" s="47"/>
    </row>
    <row r="107" spans="1:19" x14ac:dyDescent="0.2">
      <c r="A107" s="24"/>
      <c r="B107" s="21"/>
      <c r="C107" s="21"/>
      <c r="D107" s="103"/>
      <c r="E107" s="21"/>
      <c r="F107" s="468"/>
      <c r="G107" s="260"/>
      <c r="H107" s="9"/>
      <c r="I107" s="126"/>
      <c r="J107" s="9"/>
      <c r="K107" s="9"/>
      <c r="L107" s="9"/>
      <c r="M107" s="9"/>
      <c r="N107" s="9"/>
      <c r="O107" s="9"/>
      <c r="P107" s="9"/>
      <c r="Q107" s="9"/>
      <c r="R107" s="9"/>
      <c r="S107" s="47"/>
    </row>
    <row r="108" spans="1:19" x14ac:dyDescent="0.2">
      <c r="A108" s="54">
        <f t="shared" ref="A108:A112" si="197">ROUND(A327,-3)</f>
        <v>0</v>
      </c>
      <c r="B108" s="9">
        <f t="shared" ref="B108:C112" si="198">B327</f>
        <v>0</v>
      </c>
      <c r="C108" s="9">
        <f t="shared" si="198"/>
        <v>0</v>
      </c>
      <c r="D108" s="97">
        <f>D327</f>
        <v>0</v>
      </c>
      <c r="E108" s="9">
        <f t="shared" ref="E108" si="199">E327</f>
        <v>0</v>
      </c>
      <c r="F108" s="468"/>
      <c r="G108" s="257" t="s">
        <v>1759</v>
      </c>
      <c r="H108" s="9">
        <f t="shared" ref="H108:O108" si="200">H327</f>
        <v>0</v>
      </c>
      <c r="I108" s="85">
        <f>IF(E108=H108,0,IF(E108=0,100,(H108-E108)/E108*100))</f>
        <v>0</v>
      </c>
      <c r="J108" s="9">
        <f t="shared" si="200"/>
        <v>0</v>
      </c>
      <c r="K108" s="9">
        <f t="shared" si="200"/>
        <v>0</v>
      </c>
      <c r="L108" s="9">
        <f t="shared" si="200"/>
        <v>0</v>
      </c>
      <c r="M108" s="9">
        <f t="shared" si="200"/>
        <v>0</v>
      </c>
      <c r="N108" s="9">
        <f t="shared" si="200"/>
        <v>0</v>
      </c>
      <c r="O108" s="9">
        <f t="shared" si="200"/>
        <v>0</v>
      </c>
      <c r="P108" s="9">
        <f t="shared" ref="P108:Q108" si="201">P327</f>
        <v>0</v>
      </c>
      <c r="Q108" s="9">
        <f t="shared" si="201"/>
        <v>0</v>
      </c>
      <c r="R108" s="9">
        <f t="shared" ref="R108" si="202">R327</f>
        <v>0</v>
      </c>
      <c r="S108" s="47">
        <f t="shared" ref="S108" si="203">S327</f>
        <v>0</v>
      </c>
    </row>
    <row r="109" spans="1:19" x14ac:dyDescent="0.2">
      <c r="A109" s="54">
        <f t="shared" si="197"/>
        <v>0</v>
      </c>
      <c r="B109" s="9">
        <f t="shared" si="198"/>
        <v>0</v>
      </c>
      <c r="C109" s="9">
        <f t="shared" si="198"/>
        <v>0</v>
      </c>
      <c r="D109" s="97">
        <f>D328</f>
        <v>0</v>
      </c>
      <c r="E109" s="9">
        <f t="shared" ref="E109" si="204">E328</f>
        <v>0</v>
      </c>
      <c r="F109" s="468"/>
      <c r="G109" s="257" t="s">
        <v>1909</v>
      </c>
      <c r="H109" s="9">
        <f t="shared" ref="H109:O109" si="205">H328</f>
        <v>0</v>
      </c>
      <c r="I109" s="85">
        <f>IF(E109=H109,0,IF(E109=0,100,(H109-E109)/E109*100))</f>
        <v>0</v>
      </c>
      <c r="J109" s="9">
        <f t="shared" si="205"/>
        <v>0</v>
      </c>
      <c r="K109" s="9">
        <f t="shared" si="205"/>
        <v>0</v>
      </c>
      <c r="L109" s="9">
        <f t="shared" si="205"/>
        <v>0</v>
      </c>
      <c r="M109" s="9">
        <f t="shared" si="205"/>
        <v>0</v>
      </c>
      <c r="N109" s="9">
        <f t="shared" si="205"/>
        <v>0</v>
      </c>
      <c r="O109" s="9">
        <f t="shared" si="205"/>
        <v>0</v>
      </c>
      <c r="P109" s="9">
        <f t="shared" ref="P109:Q109" si="206">P328</f>
        <v>0</v>
      </c>
      <c r="Q109" s="9">
        <f t="shared" si="206"/>
        <v>0</v>
      </c>
      <c r="R109" s="9">
        <f t="shared" ref="R109" si="207">R328</f>
        <v>0</v>
      </c>
      <c r="S109" s="47">
        <f t="shared" ref="S109" si="208">S328</f>
        <v>0</v>
      </c>
    </row>
    <row r="110" spans="1:19" x14ac:dyDescent="0.2">
      <c r="A110" s="54">
        <f t="shared" si="197"/>
        <v>0</v>
      </c>
      <c r="B110" s="9">
        <f t="shared" si="198"/>
        <v>0</v>
      </c>
      <c r="C110" s="9">
        <f t="shared" si="198"/>
        <v>0</v>
      </c>
      <c r="D110" s="97">
        <f>D329</f>
        <v>0</v>
      </c>
      <c r="E110" s="9">
        <f t="shared" ref="E110" si="209">E329</f>
        <v>0</v>
      </c>
      <c r="F110" s="468"/>
      <c r="G110" s="257" t="s">
        <v>2309</v>
      </c>
      <c r="H110" s="9">
        <f t="shared" ref="H110:O110" si="210">H329</f>
        <v>0</v>
      </c>
      <c r="I110" s="85">
        <f>IF(E110=H110,0,IF(E110=0,100,(H110-E110)/E110*100))</f>
        <v>0</v>
      </c>
      <c r="J110" s="9">
        <f t="shared" si="210"/>
        <v>0</v>
      </c>
      <c r="K110" s="9">
        <f t="shared" si="210"/>
        <v>0</v>
      </c>
      <c r="L110" s="9">
        <f t="shared" si="210"/>
        <v>0</v>
      </c>
      <c r="M110" s="9">
        <f t="shared" si="210"/>
        <v>0</v>
      </c>
      <c r="N110" s="9">
        <f t="shared" si="210"/>
        <v>0</v>
      </c>
      <c r="O110" s="9">
        <f t="shared" si="210"/>
        <v>0</v>
      </c>
      <c r="P110" s="9">
        <f t="shared" ref="P110:Q110" si="211">P329</f>
        <v>0</v>
      </c>
      <c r="Q110" s="9">
        <f t="shared" si="211"/>
        <v>0</v>
      </c>
      <c r="R110" s="9">
        <f t="shared" ref="R110" si="212">R329</f>
        <v>0</v>
      </c>
      <c r="S110" s="47">
        <f t="shared" ref="S110" si="213">S329</f>
        <v>0</v>
      </c>
    </row>
    <row r="111" spans="1:19" x14ac:dyDescent="0.2">
      <c r="A111" s="54">
        <f t="shared" si="197"/>
        <v>0</v>
      </c>
      <c r="B111" s="9">
        <f t="shared" si="198"/>
        <v>0</v>
      </c>
      <c r="C111" s="9">
        <f t="shared" si="198"/>
        <v>0</v>
      </c>
      <c r="D111" s="97">
        <f>D330</f>
        <v>0</v>
      </c>
      <c r="E111" s="9">
        <f t="shared" ref="E111" si="214">E330</f>
        <v>0</v>
      </c>
      <c r="F111" s="468"/>
      <c r="G111" s="257" t="s">
        <v>5847</v>
      </c>
      <c r="H111" s="9">
        <f t="shared" ref="H111:O111" si="215">H330</f>
        <v>0</v>
      </c>
      <c r="I111" s="85">
        <f>IF(E111=H111,0,IF(E111=0,100,(H111-E111)/E111*100))</f>
        <v>0</v>
      </c>
      <c r="J111" s="9">
        <f t="shared" si="215"/>
        <v>0</v>
      </c>
      <c r="K111" s="9">
        <f t="shared" si="215"/>
        <v>0</v>
      </c>
      <c r="L111" s="9">
        <f t="shared" si="215"/>
        <v>0</v>
      </c>
      <c r="M111" s="9">
        <f t="shared" si="215"/>
        <v>0</v>
      </c>
      <c r="N111" s="9">
        <f t="shared" si="215"/>
        <v>0</v>
      </c>
      <c r="O111" s="9">
        <f t="shared" si="215"/>
        <v>0</v>
      </c>
      <c r="P111" s="9">
        <f t="shared" ref="P111:Q111" si="216">P330</f>
        <v>0</v>
      </c>
      <c r="Q111" s="9">
        <f t="shared" si="216"/>
        <v>0</v>
      </c>
      <c r="R111" s="9">
        <f t="shared" ref="R111" si="217">R330</f>
        <v>0</v>
      </c>
      <c r="S111" s="47">
        <f t="shared" ref="S111" si="218">S330</f>
        <v>0</v>
      </c>
    </row>
    <row r="112" spans="1:19" x14ac:dyDescent="0.2">
      <c r="A112" s="54">
        <f t="shared" si="197"/>
        <v>0</v>
      </c>
      <c r="B112" s="9">
        <f t="shared" si="198"/>
        <v>0</v>
      </c>
      <c r="C112" s="9">
        <f t="shared" si="198"/>
        <v>0</v>
      </c>
      <c r="D112" s="97">
        <f>D331</f>
        <v>0</v>
      </c>
      <c r="E112" s="9">
        <f t="shared" ref="E112" si="219">E331</f>
        <v>0</v>
      </c>
      <c r="F112" s="468"/>
      <c r="G112" s="257" t="s">
        <v>958</v>
      </c>
      <c r="H112" s="9">
        <f t="shared" ref="H112:O112" si="220">H331</f>
        <v>0</v>
      </c>
      <c r="I112" s="85">
        <f>IF(E112=H112,0,IF(E112=0,100,(H112-E112)/E112*100))</f>
        <v>0</v>
      </c>
      <c r="J112" s="9">
        <f t="shared" si="220"/>
        <v>0</v>
      </c>
      <c r="K112" s="9">
        <f t="shared" si="220"/>
        <v>0</v>
      </c>
      <c r="L112" s="9">
        <f t="shared" si="220"/>
        <v>0</v>
      </c>
      <c r="M112" s="9">
        <f t="shared" si="220"/>
        <v>0</v>
      </c>
      <c r="N112" s="9">
        <f t="shared" si="220"/>
        <v>0</v>
      </c>
      <c r="O112" s="9">
        <f t="shared" si="220"/>
        <v>0</v>
      </c>
      <c r="P112" s="9">
        <f t="shared" ref="P112:Q112" si="221">P331</f>
        <v>0</v>
      </c>
      <c r="Q112" s="9">
        <f t="shared" si="221"/>
        <v>0</v>
      </c>
      <c r="R112" s="9">
        <f t="shared" ref="R112" si="222">R331</f>
        <v>0</v>
      </c>
      <c r="S112" s="47">
        <f t="shared" ref="S112" si="223">S331</f>
        <v>0</v>
      </c>
    </row>
    <row r="113" spans="1:19" x14ac:dyDescent="0.2">
      <c r="A113" s="54"/>
      <c r="B113" s="9"/>
      <c r="C113" s="9"/>
      <c r="D113" s="97"/>
      <c r="E113" s="9"/>
      <c r="F113" s="468"/>
      <c r="G113" s="361"/>
      <c r="H113" s="9"/>
      <c r="I113" s="85"/>
      <c r="J113" s="9"/>
      <c r="K113" s="9"/>
      <c r="L113" s="9"/>
      <c r="M113" s="9"/>
      <c r="N113" s="9"/>
      <c r="O113" s="9"/>
      <c r="P113" s="9"/>
      <c r="Q113" s="9"/>
      <c r="R113" s="9"/>
      <c r="S113" s="61"/>
    </row>
    <row r="114" spans="1:19" s="39" customFormat="1" x14ac:dyDescent="0.2">
      <c r="A114" s="128">
        <f>A103-A108-A109+A110++A111-A112</f>
        <v>-428000</v>
      </c>
      <c r="B114" s="280">
        <f>B103-B108-B109+B110++B111-B112</f>
        <v>-102600</v>
      </c>
      <c r="C114" s="280">
        <f>C103-C108-C109+C110++C111-C112</f>
        <v>217100</v>
      </c>
      <c r="D114" s="624">
        <f>D103-D108-D109+D110++D111-D112</f>
        <v>316800</v>
      </c>
      <c r="E114" s="280">
        <f t="shared" ref="E114" si="224">E103-E108-E109+E110++E111-E112</f>
        <v>364700</v>
      </c>
      <c r="F114" s="488"/>
      <c r="G114" s="363" t="s">
        <v>2447</v>
      </c>
      <c r="H114" s="280">
        <f t="shared" ref="H114:L114" si="225">H103-H108-H109+H110++H111-H112</f>
        <v>187100</v>
      </c>
      <c r="I114" s="278">
        <f>IF(E114=H114,0,IF(E114=0,100,(H114-E114)/E114*100))</f>
        <v>-48.697559638058678</v>
      </c>
      <c r="J114" s="280">
        <f t="shared" si="225"/>
        <v>173700</v>
      </c>
      <c r="K114" s="280">
        <f t="shared" si="225"/>
        <v>180500</v>
      </c>
      <c r="L114" s="280">
        <f t="shared" si="225"/>
        <v>188000</v>
      </c>
      <c r="M114" s="280">
        <f t="shared" ref="M114:R114" si="226">M103-M108-M109+M110++M111-M112</f>
        <v>195700</v>
      </c>
      <c r="N114" s="280">
        <f t="shared" si="226"/>
        <v>203700</v>
      </c>
      <c r="O114" s="280">
        <f t="shared" si="226"/>
        <v>211700</v>
      </c>
      <c r="P114" s="280">
        <f t="shared" si="226"/>
        <v>220000</v>
      </c>
      <c r="Q114" s="280">
        <f t="shared" si="226"/>
        <v>228600</v>
      </c>
      <c r="R114" s="280">
        <f t="shared" si="226"/>
        <v>237600</v>
      </c>
      <c r="S114" s="282">
        <f t="shared" ref="S114" si="227">S103-S108-S109+S110++S111-S112</f>
        <v>246600</v>
      </c>
    </row>
    <row r="115" spans="1:19" ht="13.5" thickBot="1" x14ac:dyDescent="0.25">
      <c r="A115" s="26"/>
      <c r="B115" s="37"/>
      <c r="C115" s="37"/>
      <c r="D115" s="275"/>
      <c r="E115" s="37"/>
      <c r="F115" s="489"/>
      <c r="G115" s="259"/>
      <c r="H115" s="23"/>
      <c r="I115" s="275"/>
      <c r="J115" s="23"/>
      <c r="K115" s="23"/>
      <c r="L115" s="23"/>
      <c r="M115" s="23"/>
      <c r="N115" s="23"/>
      <c r="O115" s="23"/>
      <c r="P115" s="23"/>
      <c r="Q115" s="23"/>
      <c r="R115" s="23"/>
      <c r="S115" s="112"/>
    </row>
    <row r="116" spans="1:19" ht="14.25" thickTop="1" thickBot="1" x14ac:dyDescent="0.25">
      <c r="A116" s="27"/>
      <c r="B116" s="27"/>
      <c r="C116" s="27"/>
      <c r="D116" s="27"/>
      <c r="E116" s="27"/>
      <c r="F116" s="468"/>
      <c r="G116" s="84"/>
      <c r="H116" s="46"/>
      <c r="I116" s="2234"/>
      <c r="J116" s="46"/>
      <c r="K116" s="46"/>
      <c r="L116" s="46"/>
      <c r="M116" s="46"/>
      <c r="N116" s="46"/>
      <c r="O116" s="46"/>
      <c r="P116" s="46"/>
      <c r="Q116" s="46"/>
      <c r="R116" s="46"/>
      <c r="S116" s="46"/>
    </row>
    <row r="117" spans="1:19" s="38" customFormat="1" ht="18.75" customHeight="1" thickTop="1" thickBot="1" x14ac:dyDescent="0.3">
      <c r="A117" s="2601" t="s">
        <v>3131</v>
      </c>
      <c r="B117" s="2602"/>
      <c r="C117" s="2602"/>
      <c r="D117" s="2602"/>
      <c r="E117" s="2602"/>
      <c r="F117" s="2602"/>
      <c r="G117" s="2602"/>
      <c r="H117" s="2602"/>
      <c r="I117" s="2602"/>
      <c r="J117" s="2602"/>
      <c r="K117" s="2602"/>
      <c r="L117" s="2602"/>
      <c r="M117" s="2602"/>
      <c r="N117" s="2602"/>
      <c r="O117" s="2602"/>
      <c r="P117" s="2602"/>
      <c r="Q117" s="2602"/>
      <c r="R117" s="2602"/>
      <c r="S117" s="2603"/>
    </row>
    <row r="118" spans="1:19" s="39" customFormat="1" x14ac:dyDescent="0.2">
      <c r="A118" s="2598" t="s">
        <v>1824</v>
      </c>
      <c r="B118" s="2599"/>
      <c r="C118" s="2599"/>
      <c r="D118" s="2599"/>
      <c r="E118" s="2600"/>
      <c r="F118" s="1163" t="s">
        <v>2616</v>
      </c>
      <c r="G118" s="2231" t="s">
        <v>2213</v>
      </c>
      <c r="H118" s="2576" t="s">
        <v>2215</v>
      </c>
      <c r="I118" s="2577"/>
      <c r="J118" s="2577"/>
      <c r="K118" s="2577"/>
      <c r="L118" s="2577"/>
      <c r="M118" s="2577"/>
      <c r="N118" s="2577"/>
      <c r="O118" s="2577"/>
      <c r="P118" s="2577"/>
      <c r="Q118" s="2577"/>
      <c r="R118" s="2577"/>
      <c r="S118" s="2578"/>
    </row>
    <row r="119" spans="1:19" ht="13.5" thickBot="1" x14ac:dyDescent="0.25">
      <c r="A119" s="1647" t="str">
        <f>A3</f>
        <v>2012/13</v>
      </c>
      <c r="B119" s="40" t="str">
        <f>B3</f>
        <v>2013/14</v>
      </c>
      <c r="C119" s="40" t="str">
        <f>C3</f>
        <v>2014/15</v>
      </c>
      <c r="D119" s="40" t="str">
        <f>D3</f>
        <v>2015/16</v>
      </c>
      <c r="E119" s="40" t="str">
        <f>E3</f>
        <v>2016/17</v>
      </c>
      <c r="F119" s="2071" t="s">
        <v>2617</v>
      </c>
      <c r="G119" s="41"/>
      <c r="H119" s="40" t="str">
        <f t="shared" ref="H119:R119" si="228">H3</f>
        <v>2017/18</v>
      </c>
      <c r="I119" s="40" t="str">
        <f>I3</f>
        <v>%</v>
      </c>
      <c r="J119" s="40" t="str">
        <f t="shared" si="228"/>
        <v>2018/19</v>
      </c>
      <c r="K119" s="40" t="str">
        <f t="shared" si="228"/>
        <v>2019/20</v>
      </c>
      <c r="L119" s="40" t="str">
        <f t="shared" si="228"/>
        <v>2020/21</v>
      </c>
      <c r="M119" s="40" t="str">
        <f t="shared" si="228"/>
        <v>2021/22</v>
      </c>
      <c r="N119" s="40" t="str">
        <f t="shared" si="228"/>
        <v>2022/23</v>
      </c>
      <c r="O119" s="40" t="str">
        <f t="shared" si="228"/>
        <v>2023/24</v>
      </c>
      <c r="P119" s="1257" t="str">
        <f t="shared" si="228"/>
        <v>2024/25</v>
      </c>
      <c r="Q119" s="40" t="str">
        <f t="shared" si="228"/>
        <v>2025/26</v>
      </c>
      <c r="R119" s="40" t="str">
        <f t="shared" si="228"/>
        <v>2026/27</v>
      </c>
      <c r="S119" s="1620" t="str">
        <f t="shared" ref="S119" si="229">S3</f>
        <v>2027/28</v>
      </c>
    </row>
    <row r="120" spans="1:19" x14ac:dyDescent="0.2">
      <c r="A120" s="54"/>
      <c r="B120" s="9"/>
      <c r="C120" s="9"/>
      <c r="D120" s="9"/>
      <c r="E120" s="9"/>
      <c r="F120" s="469"/>
      <c r="G120" s="27"/>
      <c r="H120" s="9"/>
      <c r="I120" s="85"/>
      <c r="J120" s="9"/>
      <c r="K120" s="9"/>
      <c r="L120" s="9"/>
      <c r="M120" s="9"/>
      <c r="N120" s="9"/>
      <c r="O120" s="9"/>
      <c r="P120" s="89"/>
      <c r="Q120" s="9"/>
      <c r="R120" s="9"/>
      <c r="S120" s="61"/>
    </row>
    <row r="121" spans="1:19" x14ac:dyDescent="0.2">
      <c r="A121" s="54"/>
      <c r="B121" s="9"/>
      <c r="C121" s="9"/>
      <c r="D121" s="9"/>
      <c r="E121" s="9"/>
      <c r="F121" s="469"/>
      <c r="G121" s="91" t="s">
        <v>1056</v>
      </c>
      <c r="H121" s="9"/>
      <c r="I121" s="85"/>
      <c r="J121" s="9"/>
      <c r="K121" s="9"/>
      <c r="L121" s="9"/>
      <c r="M121" s="9"/>
      <c r="N121" s="9"/>
      <c r="O121" s="9"/>
      <c r="P121" s="89"/>
      <c r="Q121" s="9"/>
      <c r="R121" s="9"/>
      <c r="S121" s="61"/>
    </row>
    <row r="122" spans="1:19" x14ac:dyDescent="0.2">
      <c r="A122" s="54"/>
      <c r="B122" s="9"/>
      <c r="C122" s="9"/>
      <c r="D122" s="9"/>
      <c r="E122" s="9"/>
      <c r="F122" s="167"/>
      <c r="G122" s="59"/>
      <c r="H122" s="9"/>
      <c r="I122" s="85"/>
      <c r="J122" s="9"/>
      <c r="K122" s="9"/>
      <c r="L122" s="9"/>
      <c r="M122" s="9"/>
      <c r="N122" s="9"/>
      <c r="O122" s="9"/>
      <c r="P122" s="89"/>
      <c r="Q122" s="9"/>
      <c r="R122" s="9"/>
      <c r="S122" s="61"/>
    </row>
    <row r="123" spans="1:19" x14ac:dyDescent="0.2">
      <c r="A123" s="54"/>
      <c r="B123" s="9"/>
      <c r="C123" s="9"/>
      <c r="D123" s="9"/>
      <c r="E123" s="9"/>
      <c r="F123" s="167"/>
      <c r="G123" s="84" t="s">
        <v>978</v>
      </c>
      <c r="H123" s="9"/>
      <c r="I123" s="85"/>
      <c r="J123" s="9"/>
      <c r="K123" s="9"/>
      <c r="L123" s="9"/>
      <c r="M123" s="9"/>
      <c r="N123" s="9"/>
      <c r="O123" s="9"/>
      <c r="P123" s="89"/>
      <c r="Q123" s="9"/>
      <c r="R123" s="9"/>
      <c r="S123" s="61"/>
    </row>
    <row r="124" spans="1:19" x14ac:dyDescent="0.2">
      <c r="A124" s="54">
        <f>SUM(A340:A344)</f>
        <v>79700</v>
      </c>
      <c r="B124" s="9">
        <f>SUM(B340:B344)</f>
        <v>79400</v>
      </c>
      <c r="C124" s="9">
        <f t="shared" ref="C124:D124" si="230">SUM(C340:C344)</f>
        <v>109900</v>
      </c>
      <c r="D124" s="9">
        <f t="shared" si="230"/>
        <v>128600</v>
      </c>
      <c r="E124" s="9">
        <f>SUM(E340:E344)</f>
        <v>141800</v>
      </c>
      <c r="F124" s="167">
        <v>21040</v>
      </c>
      <c r="G124" s="58" t="s">
        <v>6759</v>
      </c>
      <c r="H124" s="9">
        <f t="shared" ref="H124:Q124" si="231">SUM(H340:H344)</f>
        <v>157000</v>
      </c>
      <c r="I124" s="85">
        <f t="shared" ref="I124:I129" si="232">IF(E124=H124,0,IF(E124=0,100,(H124-E124)/E124*100))</f>
        <v>10.719322990126939</v>
      </c>
      <c r="J124" s="9">
        <f t="shared" si="231"/>
        <v>159300</v>
      </c>
      <c r="K124" s="9">
        <f t="shared" si="231"/>
        <v>163400</v>
      </c>
      <c r="L124" s="9">
        <f t="shared" si="231"/>
        <v>167600</v>
      </c>
      <c r="M124" s="9">
        <f t="shared" si="231"/>
        <v>171900</v>
      </c>
      <c r="N124" s="9">
        <f t="shared" si="231"/>
        <v>176300</v>
      </c>
      <c r="O124" s="9">
        <f t="shared" si="231"/>
        <v>180800</v>
      </c>
      <c r="P124" s="89">
        <f t="shared" si="231"/>
        <v>185400</v>
      </c>
      <c r="Q124" s="9">
        <f t="shared" si="231"/>
        <v>190100</v>
      </c>
      <c r="R124" s="9">
        <f t="shared" ref="R124" si="233">SUM(R340:R344)</f>
        <v>194900</v>
      </c>
      <c r="S124" s="47">
        <f t="shared" ref="S124" si="234">SUM(S340:S344)</f>
        <v>199900</v>
      </c>
    </row>
    <row r="125" spans="1:19" x14ac:dyDescent="0.2">
      <c r="A125" s="54">
        <f>SUM(A345:A349)</f>
        <v>89800</v>
      </c>
      <c r="B125" s="9">
        <f>SUM(B345:B349)</f>
        <v>91400</v>
      </c>
      <c r="C125" s="9">
        <f t="shared" ref="C125:D125" si="235">SUM(C345:C349)</f>
        <v>108400</v>
      </c>
      <c r="D125" s="9">
        <f t="shared" si="235"/>
        <v>115100</v>
      </c>
      <c r="E125" s="9">
        <f>SUM(E345:E349)</f>
        <v>114100</v>
      </c>
      <c r="F125" s="167">
        <v>21040</v>
      </c>
      <c r="G125" s="58" t="s">
        <v>6762</v>
      </c>
      <c r="H125" s="9">
        <f t="shared" ref="H125:Q125" si="236">SUM(H345:H349)</f>
        <v>120000</v>
      </c>
      <c r="I125" s="85">
        <f t="shared" si="232"/>
        <v>5.1709027169149868</v>
      </c>
      <c r="J125" s="9">
        <f t="shared" si="236"/>
        <v>122300</v>
      </c>
      <c r="K125" s="9">
        <f t="shared" si="236"/>
        <v>125600</v>
      </c>
      <c r="L125" s="9">
        <f t="shared" si="236"/>
        <v>129000</v>
      </c>
      <c r="M125" s="9">
        <f t="shared" si="236"/>
        <v>132500</v>
      </c>
      <c r="N125" s="9">
        <f t="shared" si="236"/>
        <v>136200</v>
      </c>
      <c r="O125" s="9">
        <f t="shared" si="236"/>
        <v>139900</v>
      </c>
      <c r="P125" s="89">
        <f t="shared" si="236"/>
        <v>143700</v>
      </c>
      <c r="Q125" s="9">
        <f t="shared" si="236"/>
        <v>147600</v>
      </c>
      <c r="R125" s="9">
        <f t="shared" ref="R125" si="237">SUM(R345:R349)</f>
        <v>151600</v>
      </c>
      <c r="S125" s="47">
        <f t="shared" ref="S125" si="238">SUM(S345:S349)</f>
        <v>155600</v>
      </c>
    </row>
    <row r="126" spans="1:19" x14ac:dyDescent="0.2">
      <c r="A126" s="54">
        <f>SUM(A350:A355)</f>
        <v>7700</v>
      </c>
      <c r="B126" s="9">
        <f>SUM(B350:B355)</f>
        <v>13300</v>
      </c>
      <c r="C126" s="9">
        <f t="shared" ref="C126:D126" si="239">SUM(C350:C355)</f>
        <v>18400</v>
      </c>
      <c r="D126" s="9">
        <f t="shared" si="239"/>
        <v>16100</v>
      </c>
      <c r="E126" s="9">
        <f>SUM(E350:E355)</f>
        <v>15500</v>
      </c>
      <c r="F126" s="167">
        <v>21040</v>
      </c>
      <c r="G126" s="58" t="s">
        <v>6761</v>
      </c>
      <c r="H126" s="9">
        <f t="shared" ref="H126:Q126" si="240">SUM(H350:H355)</f>
        <v>15000</v>
      </c>
      <c r="I126" s="85">
        <f t="shared" si="232"/>
        <v>-3.225806451612903</v>
      </c>
      <c r="J126" s="9">
        <f t="shared" si="240"/>
        <v>15200</v>
      </c>
      <c r="K126" s="9">
        <f t="shared" si="240"/>
        <v>15800</v>
      </c>
      <c r="L126" s="9">
        <f t="shared" si="240"/>
        <v>16500</v>
      </c>
      <c r="M126" s="9">
        <f t="shared" si="240"/>
        <v>17200</v>
      </c>
      <c r="N126" s="9">
        <f t="shared" si="240"/>
        <v>17900</v>
      </c>
      <c r="O126" s="9">
        <f t="shared" si="240"/>
        <v>18600</v>
      </c>
      <c r="P126" s="89">
        <f t="shared" si="240"/>
        <v>19300</v>
      </c>
      <c r="Q126" s="9">
        <f t="shared" si="240"/>
        <v>20000</v>
      </c>
      <c r="R126" s="9">
        <f t="shared" ref="R126" si="241">SUM(R350:R355)</f>
        <v>20700</v>
      </c>
      <c r="S126" s="47">
        <f t="shared" ref="S126" si="242">SUM(S350:S355)</f>
        <v>21400</v>
      </c>
    </row>
    <row r="127" spans="1:19" x14ac:dyDescent="0.2">
      <c r="A127" s="54">
        <f>ROUND(SUM(A356:A356),-3)</f>
        <v>0</v>
      </c>
      <c r="B127" s="9">
        <f>SUM(B356:B356)</f>
        <v>0</v>
      </c>
      <c r="C127" s="9">
        <f>SUM(C356:C356)</f>
        <v>0</v>
      </c>
      <c r="D127" s="9">
        <f>SUM(D356:D356)</f>
        <v>0</v>
      </c>
      <c r="E127" s="9">
        <f>SUM(E356:E356)</f>
        <v>0</v>
      </c>
      <c r="F127" s="167">
        <v>21041</v>
      </c>
      <c r="G127" s="58" t="s">
        <v>2828</v>
      </c>
      <c r="H127" s="9">
        <f t="shared" ref="H127:R127" si="243">SUM(H356:H356)</f>
        <v>0</v>
      </c>
      <c r="I127" s="85">
        <f t="shared" si="232"/>
        <v>0</v>
      </c>
      <c r="J127" s="9">
        <f t="shared" si="243"/>
        <v>0</v>
      </c>
      <c r="K127" s="9">
        <f t="shared" si="243"/>
        <v>0</v>
      </c>
      <c r="L127" s="9">
        <f t="shared" si="243"/>
        <v>0</v>
      </c>
      <c r="M127" s="9">
        <f t="shared" si="243"/>
        <v>0</v>
      </c>
      <c r="N127" s="9">
        <f t="shared" si="243"/>
        <v>0</v>
      </c>
      <c r="O127" s="9">
        <f t="shared" si="243"/>
        <v>0</v>
      </c>
      <c r="P127" s="89">
        <f t="shared" si="243"/>
        <v>0</v>
      </c>
      <c r="Q127" s="9">
        <f t="shared" si="243"/>
        <v>0</v>
      </c>
      <c r="R127" s="9">
        <f t="shared" si="243"/>
        <v>0</v>
      </c>
      <c r="S127" s="47">
        <f t="shared" ref="S127" si="244">SUM(S356:S356)</f>
        <v>0</v>
      </c>
    </row>
    <row r="128" spans="1:19" x14ac:dyDescent="0.2">
      <c r="A128" s="54">
        <f>ROUND(SUM(A357:A358),-3)</f>
        <v>11000</v>
      </c>
      <c r="B128" s="9">
        <f>SUM(B357:B358)</f>
        <v>700</v>
      </c>
      <c r="C128" s="9">
        <f t="shared" ref="C128:D128" si="245">SUM(C357:C358)</f>
        <v>1400</v>
      </c>
      <c r="D128" s="9">
        <f t="shared" si="245"/>
        <v>2600</v>
      </c>
      <c r="E128" s="9">
        <f>SUM(E357:E358)</f>
        <v>1300</v>
      </c>
      <c r="F128" s="167">
        <v>21040</v>
      </c>
      <c r="G128" s="30" t="s">
        <v>6760</v>
      </c>
      <c r="H128" s="9">
        <f t="shared" ref="H128" si="246">SUM(H357:H358)</f>
        <v>3000</v>
      </c>
      <c r="I128" s="85">
        <f t="shared" si="232"/>
        <v>130.76923076923077</v>
      </c>
      <c r="J128" s="9">
        <f t="shared" ref="J128:R128" si="247">SUM(J357:J358)</f>
        <v>3000</v>
      </c>
      <c r="K128" s="9">
        <f t="shared" si="247"/>
        <v>3100</v>
      </c>
      <c r="L128" s="9">
        <f t="shared" si="247"/>
        <v>3200</v>
      </c>
      <c r="M128" s="9">
        <f t="shared" si="247"/>
        <v>3300</v>
      </c>
      <c r="N128" s="9">
        <f t="shared" si="247"/>
        <v>3400</v>
      </c>
      <c r="O128" s="9">
        <f t="shared" si="247"/>
        <v>3500</v>
      </c>
      <c r="P128" s="89">
        <f t="shared" si="247"/>
        <v>3600</v>
      </c>
      <c r="Q128" s="9">
        <f t="shared" si="247"/>
        <v>3700</v>
      </c>
      <c r="R128" s="9">
        <f t="shared" si="247"/>
        <v>3800</v>
      </c>
      <c r="S128" s="47">
        <f t="shared" ref="S128" si="248">SUM(S357:S358)</f>
        <v>3900</v>
      </c>
    </row>
    <row r="129" spans="1:19" x14ac:dyDescent="0.2">
      <c r="A129" s="54">
        <v>0</v>
      </c>
      <c r="B129" s="9">
        <v>0</v>
      </c>
      <c r="C129" s="9">
        <v>0</v>
      </c>
      <c r="D129" s="9">
        <v>0</v>
      </c>
      <c r="E129" s="9">
        <v>0</v>
      </c>
      <c r="F129" s="167">
        <v>21042</v>
      </c>
      <c r="G129" s="31" t="s">
        <v>11842</v>
      </c>
      <c r="H129" s="9">
        <f>+H359</f>
        <v>98500</v>
      </c>
      <c r="I129" s="85">
        <f t="shared" si="232"/>
        <v>100</v>
      </c>
      <c r="J129" s="9">
        <f>+J359</f>
        <v>0</v>
      </c>
      <c r="K129" s="9">
        <f t="shared" ref="K129:R129" si="249">+K359</f>
        <v>0</v>
      </c>
      <c r="L129" s="9">
        <f t="shared" si="249"/>
        <v>0</v>
      </c>
      <c r="M129" s="9">
        <f t="shared" si="249"/>
        <v>0</v>
      </c>
      <c r="N129" s="9">
        <f t="shared" si="249"/>
        <v>0</v>
      </c>
      <c r="O129" s="9">
        <f t="shared" si="249"/>
        <v>0</v>
      </c>
      <c r="P129" s="9">
        <f t="shared" si="249"/>
        <v>0</v>
      </c>
      <c r="Q129" s="9">
        <f t="shared" si="249"/>
        <v>0</v>
      </c>
      <c r="R129" s="9">
        <f t="shared" si="249"/>
        <v>0</v>
      </c>
      <c r="S129" s="47">
        <f t="shared" ref="S129" si="250">+S359</f>
        <v>0</v>
      </c>
    </row>
    <row r="130" spans="1:19" ht="13.5" thickBot="1" x14ac:dyDescent="0.25">
      <c r="A130" s="24"/>
      <c r="B130" s="21"/>
      <c r="C130" s="21"/>
      <c r="D130" s="21"/>
      <c r="E130" s="21"/>
      <c r="F130" s="167"/>
      <c r="G130" s="27"/>
      <c r="H130" s="9"/>
      <c r="I130" s="126"/>
      <c r="J130" s="9"/>
      <c r="K130" s="9"/>
      <c r="L130" s="9"/>
      <c r="M130" s="9"/>
      <c r="N130" s="9"/>
      <c r="O130" s="9"/>
      <c r="P130" s="89"/>
      <c r="Q130" s="9"/>
      <c r="R130" s="9"/>
      <c r="S130" s="47"/>
    </row>
    <row r="131" spans="1:19" x14ac:dyDescent="0.2">
      <c r="A131" s="52">
        <f>SUM(A122:A130)</f>
        <v>188200</v>
      </c>
      <c r="B131" s="16">
        <f>SUM(B122:B130)</f>
        <v>184800</v>
      </c>
      <c r="C131" s="16">
        <f>SUM(C122:C130)</f>
        <v>238100</v>
      </c>
      <c r="D131" s="16">
        <f>SUM(D122:D130)</f>
        <v>262400</v>
      </c>
      <c r="E131" s="16">
        <f>SUM(E122:E130)</f>
        <v>272700</v>
      </c>
      <c r="F131" s="167"/>
      <c r="G131" s="59" t="s">
        <v>2561</v>
      </c>
      <c r="H131" s="16">
        <f t="shared" ref="H131:Q131" si="251">SUM(H122:H130)</f>
        <v>393500</v>
      </c>
      <c r="I131" s="127">
        <f>SUM(I122:I130)</f>
        <v>243.43365002465978</v>
      </c>
      <c r="J131" s="16">
        <f t="shared" si="251"/>
        <v>299800</v>
      </c>
      <c r="K131" s="16">
        <f t="shared" si="251"/>
        <v>307900</v>
      </c>
      <c r="L131" s="16">
        <f t="shared" si="251"/>
        <v>316300</v>
      </c>
      <c r="M131" s="16">
        <f t="shared" si="251"/>
        <v>324900</v>
      </c>
      <c r="N131" s="16">
        <f t="shared" si="251"/>
        <v>333800</v>
      </c>
      <c r="O131" s="16">
        <f t="shared" si="251"/>
        <v>342800</v>
      </c>
      <c r="P131" s="102">
        <f t="shared" si="251"/>
        <v>352000</v>
      </c>
      <c r="Q131" s="16">
        <f t="shared" si="251"/>
        <v>361400</v>
      </c>
      <c r="R131" s="16">
        <f t="shared" ref="R131" si="252">SUM(R122:R130)</f>
        <v>371000</v>
      </c>
      <c r="S131" s="2342">
        <f t="shared" ref="S131" si="253">SUM(S122:S130)</f>
        <v>380800</v>
      </c>
    </row>
    <row r="132" spans="1:19" x14ac:dyDescent="0.2">
      <c r="A132" s="54"/>
      <c r="B132" s="9"/>
      <c r="C132" s="9"/>
      <c r="D132" s="9"/>
      <c r="E132" s="9"/>
      <c r="F132" s="167"/>
      <c r="G132" s="59"/>
      <c r="H132" s="9"/>
      <c r="I132" s="85"/>
      <c r="J132" s="9"/>
      <c r="K132" s="9"/>
      <c r="L132" s="9"/>
      <c r="M132" s="9"/>
      <c r="N132" s="9"/>
      <c r="O132" s="9"/>
      <c r="P132" s="89"/>
      <c r="Q132" s="9"/>
      <c r="R132" s="9"/>
      <c r="S132" s="47"/>
    </row>
    <row r="133" spans="1:19" x14ac:dyDescent="0.2">
      <c r="A133" s="54"/>
      <c r="B133" s="9"/>
      <c r="C133" s="9"/>
      <c r="D133" s="9"/>
      <c r="E133" s="9"/>
      <c r="F133" s="167"/>
      <c r="G133" s="91" t="s">
        <v>2169</v>
      </c>
      <c r="H133" s="9"/>
      <c r="I133" s="85"/>
      <c r="J133" s="9"/>
      <c r="K133" s="9"/>
      <c r="L133" s="9"/>
      <c r="M133" s="9"/>
      <c r="N133" s="9"/>
      <c r="O133" s="9"/>
      <c r="P133" s="89"/>
      <c r="Q133" s="9"/>
      <c r="R133" s="9"/>
      <c r="S133" s="47"/>
    </row>
    <row r="134" spans="1:19" x14ac:dyDescent="0.2">
      <c r="A134" s="54"/>
      <c r="B134" s="9"/>
      <c r="C134" s="9"/>
      <c r="D134" s="9"/>
      <c r="E134" s="9"/>
      <c r="F134" s="167"/>
      <c r="G134" s="91"/>
      <c r="H134" s="9"/>
      <c r="I134" s="85"/>
      <c r="J134" s="9"/>
      <c r="K134" s="9"/>
      <c r="L134" s="9"/>
      <c r="M134" s="9"/>
      <c r="N134" s="9"/>
      <c r="O134" s="9"/>
      <c r="P134" s="89"/>
      <c r="Q134" s="9"/>
      <c r="R134" s="9"/>
      <c r="S134" s="47"/>
    </row>
    <row r="135" spans="1:19" x14ac:dyDescent="0.2">
      <c r="A135" s="54"/>
      <c r="B135" s="9"/>
      <c r="C135" s="9"/>
      <c r="D135" s="9"/>
      <c r="E135" s="9"/>
      <c r="F135" s="167"/>
      <c r="G135" s="27" t="s">
        <v>978</v>
      </c>
      <c r="H135" s="9"/>
      <c r="I135" s="85"/>
      <c r="J135" s="9"/>
      <c r="K135" s="9"/>
      <c r="L135" s="9"/>
      <c r="M135" s="9"/>
      <c r="N135" s="9"/>
      <c r="O135" s="9"/>
      <c r="P135" s="89"/>
      <c r="Q135" s="9"/>
      <c r="R135" s="9"/>
      <c r="S135" s="47"/>
    </row>
    <row r="136" spans="1:19" x14ac:dyDescent="0.2">
      <c r="A136" s="54">
        <f>ROUND(SUM(A363:A366),-3)</f>
        <v>787000</v>
      </c>
      <c r="B136" s="9">
        <f>SUM(B363:B366)</f>
        <v>780600</v>
      </c>
      <c r="C136" s="9">
        <f>SUM(C363:C366)</f>
        <v>709100</v>
      </c>
      <c r="D136" s="9">
        <f>SUM(D363:D366)</f>
        <v>887700</v>
      </c>
      <c r="E136" s="9">
        <f t="shared" ref="E136" si="254">SUM(E363:E366)</f>
        <v>1019000</v>
      </c>
      <c r="F136" s="167">
        <v>31040</v>
      </c>
      <c r="G136" s="46" t="s">
        <v>1228</v>
      </c>
      <c r="H136" s="9">
        <f t="shared" ref="H136:P136" si="255">SUM(H363:H366)</f>
        <v>1009000</v>
      </c>
      <c r="I136" s="85">
        <f>IF(E136=H136,0,IF(E136=0,100,(H136-E136)/E136*100))</f>
        <v>-0.98135426889106969</v>
      </c>
      <c r="J136" s="9">
        <f t="shared" si="255"/>
        <v>1059400</v>
      </c>
      <c r="K136" s="9">
        <f t="shared" si="255"/>
        <v>1083900</v>
      </c>
      <c r="L136" s="9">
        <f t="shared" si="255"/>
        <v>1109000</v>
      </c>
      <c r="M136" s="9">
        <f t="shared" si="255"/>
        <v>1134600</v>
      </c>
      <c r="N136" s="9">
        <f t="shared" si="255"/>
        <v>1160800</v>
      </c>
      <c r="O136" s="9">
        <f t="shared" si="255"/>
        <v>1187700</v>
      </c>
      <c r="P136" s="89">
        <f t="shared" si="255"/>
        <v>1215300</v>
      </c>
      <c r="Q136" s="9">
        <f t="shared" ref="Q136" si="256">SUM(Q363:Q366)</f>
        <v>1243500</v>
      </c>
      <c r="R136" s="9">
        <f t="shared" ref="R136" si="257">SUM(R363:R366)</f>
        <v>1272300</v>
      </c>
      <c r="S136" s="47">
        <f t="shared" ref="S136" si="258">SUM(S363:S366)</f>
        <v>1301800</v>
      </c>
    </row>
    <row r="137" spans="1:19" x14ac:dyDescent="0.2">
      <c r="A137" s="54">
        <f>ROUND(SUM(A367:A370),-3)</f>
        <v>10000</v>
      </c>
      <c r="B137" s="9">
        <f>SUM(B367:B370)</f>
        <v>14200</v>
      </c>
      <c r="C137" s="9">
        <f>SUM(C367:C370)</f>
        <v>19800</v>
      </c>
      <c r="D137" s="9">
        <f>SUM(D367:D370)</f>
        <v>35300</v>
      </c>
      <c r="E137" s="9">
        <f t="shared" ref="E137" si="259">SUM(E367:E370)</f>
        <v>25100</v>
      </c>
      <c r="F137" s="167">
        <v>31040</v>
      </c>
      <c r="G137" s="31" t="s">
        <v>4709</v>
      </c>
      <c r="H137" s="9">
        <f t="shared" ref="H137:O137" si="260">SUM(H367:H370)</f>
        <v>79000</v>
      </c>
      <c r="I137" s="85">
        <f>IF(E137=H137,0,IF(E137=0,100,(H137-E137)/E137*100))</f>
        <v>214.74103585657369</v>
      </c>
      <c r="J137" s="9">
        <f t="shared" si="260"/>
        <v>31000</v>
      </c>
      <c r="K137" s="9">
        <f t="shared" si="260"/>
        <v>31900</v>
      </c>
      <c r="L137" s="9">
        <f t="shared" si="260"/>
        <v>32900</v>
      </c>
      <c r="M137" s="9">
        <f t="shared" si="260"/>
        <v>33900</v>
      </c>
      <c r="N137" s="9">
        <f t="shared" si="260"/>
        <v>34900</v>
      </c>
      <c r="O137" s="9">
        <f t="shared" si="260"/>
        <v>35900</v>
      </c>
      <c r="P137" s="89">
        <f t="shared" ref="P137:Q137" si="261">SUM(P367:P370)</f>
        <v>36900</v>
      </c>
      <c r="Q137" s="9">
        <f t="shared" si="261"/>
        <v>37900</v>
      </c>
      <c r="R137" s="9">
        <f t="shared" ref="R137" si="262">SUM(R367:R370)</f>
        <v>39100</v>
      </c>
      <c r="S137" s="47">
        <f t="shared" ref="S137" si="263">SUM(S367:S370)</f>
        <v>40300</v>
      </c>
    </row>
    <row r="138" spans="1:19" x14ac:dyDescent="0.2">
      <c r="A138" s="54">
        <f>ROUND(SUM(A371:A374),-3)</f>
        <v>7000</v>
      </c>
      <c r="B138" s="9">
        <f>SUM(B371:B374)</f>
        <v>2900</v>
      </c>
      <c r="C138" s="9">
        <f>SUM(C371:C374)</f>
        <v>7400</v>
      </c>
      <c r="D138" s="9">
        <f>SUM(D371:D374)</f>
        <v>6900</v>
      </c>
      <c r="E138" s="9">
        <f t="shared" ref="E138" si="264">SUM(E371:E374)</f>
        <v>11300</v>
      </c>
      <c r="F138" s="167">
        <v>31040</v>
      </c>
      <c r="G138" s="31" t="s">
        <v>3042</v>
      </c>
      <c r="H138" s="9">
        <f t="shared" ref="H138:P138" si="265">SUM(H371:H374)</f>
        <v>18000</v>
      </c>
      <c r="I138" s="85">
        <f>IF(E138=H138,0,IF(E138=0,100,(H138-E138)/E138*100))</f>
        <v>59.292035398230091</v>
      </c>
      <c r="J138" s="9">
        <f t="shared" si="265"/>
        <v>11000</v>
      </c>
      <c r="K138" s="9">
        <f t="shared" si="265"/>
        <v>11400</v>
      </c>
      <c r="L138" s="9">
        <f t="shared" si="265"/>
        <v>11900</v>
      </c>
      <c r="M138" s="9">
        <f t="shared" si="265"/>
        <v>12400</v>
      </c>
      <c r="N138" s="9">
        <f t="shared" si="265"/>
        <v>12900</v>
      </c>
      <c r="O138" s="9">
        <f t="shared" si="265"/>
        <v>13400</v>
      </c>
      <c r="P138" s="89">
        <f t="shared" si="265"/>
        <v>13900</v>
      </c>
      <c r="Q138" s="9">
        <f t="shared" ref="Q138" si="266">SUM(Q371:Q374)</f>
        <v>14400</v>
      </c>
      <c r="R138" s="9">
        <f t="shared" ref="R138" si="267">SUM(R371:R374)</f>
        <v>14900</v>
      </c>
      <c r="S138" s="47">
        <f t="shared" ref="S138" si="268">SUM(S371:S374)</f>
        <v>15400</v>
      </c>
    </row>
    <row r="139" spans="1:19" x14ac:dyDescent="0.2">
      <c r="A139" s="54"/>
      <c r="B139" s="9"/>
      <c r="C139" s="136"/>
      <c r="D139" s="136"/>
      <c r="E139" s="9"/>
      <c r="F139" s="1153"/>
      <c r="G139" s="247"/>
      <c r="H139" s="9"/>
      <c r="I139" s="85"/>
      <c r="J139" s="9"/>
      <c r="K139" s="9"/>
      <c r="L139" s="9"/>
      <c r="M139" s="9"/>
      <c r="N139" s="9"/>
      <c r="O139" s="9"/>
      <c r="P139" s="89"/>
      <c r="Q139" s="9"/>
      <c r="R139" s="9"/>
      <c r="S139" s="47"/>
    </row>
    <row r="140" spans="1:19" x14ac:dyDescent="0.2">
      <c r="A140" s="54"/>
      <c r="B140" s="9"/>
      <c r="C140" s="89"/>
      <c r="D140" s="89"/>
      <c r="E140" s="9"/>
      <c r="F140" s="2076"/>
      <c r="G140" s="542" t="s">
        <v>141</v>
      </c>
      <c r="H140" s="9"/>
      <c r="I140" s="85"/>
      <c r="J140" s="9"/>
      <c r="K140" s="9"/>
      <c r="L140" s="9"/>
      <c r="M140" s="9"/>
      <c r="N140" s="9"/>
      <c r="O140" s="9"/>
      <c r="P140" s="89"/>
      <c r="Q140" s="9"/>
      <c r="R140" s="9"/>
      <c r="S140" s="47"/>
    </row>
    <row r="141" spans="1:19" x14ac:dyDescent="0.2">
      <c r="A141" s="54">
        <f>ROUND(SUM(A376:A378),-3)</f>
        <v>11000</v>
      </c>
      <c r="B141" s="9">
        <f>SUM(B376:B378)</f>
        <v>14600</v>
      </c>
      <c r="C141" s="9">
        <f>SUM(C376:C378)</f>
        <v>14600</v>
      </c>
      <c r="D141" s="9">
        <f>SUM(D376:D378)</f>
        <v>14100</v>
      </c>
      <c r="E141" s="9">
        <f t="shared" ref="E141" si="269">SUM(E376:E378)</f>
        <v>27700</v>
      </c>
      <c r="F141" s="1153">
        <v>31042</v>
      </c>
      <c r="G141" s="247" t="s">
        <v>770</v>
      </c>
      <c r="H141" s="9">
        <f t="shared" ref="H141:P141" si="270">SUM(H376:H378)</f>
        <v>25000</v>
      </c>
      <c r="I141" s="85">
        <f>IF(E141=H141,0,IF(E141=0,100,(H141-E141)/E141*100))</f>
        <v>-9.7472924187725631</v>
      </c>
      <c r="J141" s="9">
        <f t="shared" si="270"/>
        <v>25900</v>
      </c>
      <c r="K141" s="9">
        <f t="shared" si="270"/>
        <v>26700</v>
      </c>
      <c r="L141" s="9">
        <f t="shared" si="270"/>
        <v>27500</v>
      </c>
      <c r="M141" s="9">
        <f t="shared" si="270"/>
        <v>28400</v>
      </c>
      <c r="N141" s="9">
        <f t="shared" si="270"/>
        <v>29300</v>
      </c>
      <c r="O141" s="9">
        <f t="shared" si="270"/>
        <v>30200</v>
      </c>
      <c r="P141" s="89">
        <f t="shared" si="270"/>
        <v>31100</v>
      </c>
      <c r="Q141" s="9">
        <f t="shared" ref="Q141" si="271">SUM(Q376:Q378)</f>
        <v>32000</v>
      </c>
      <c r="R141" s="9">
        <f t="shared" ref="R141" si="272">SUM(R376:R378)</f>
        <v>32900</v>
      </c>
      <c r="S141" s="47">
        <f t="shared" ref="S141" si="273">SUM(S376:S378)</f>
        <v>33800</v>
      </c>
    </row>
    <row r="142" spans="1:19" x14ac:dyDescent="0.2">
      <c r="A142" s="54">
        <f t="shared" ref="A142" si="274">SUM(A379:A381)</f>
        <v>0</v>
      </c>
      <c r="B142" s="9">
        <f>SUM(B379:B381)</f>
        <v>10600</v>
      </c>
      <c r="C142" s="9">
        <f>SUM(C379:C381)</f>
        <v>0</v>
      </c>
      <c r="D142" s="9">
        <f>SUM(D379:D381)</f>
        <v>0</v>
      </c>
      <c r="E142" s="9">
        <f t="shared" ref="E142" si="275">SUM(E379:E381)</f>
        <v>5400</v>
      </c>
      <c r="F142" s="1153">
        <v>31045</v>
      </c>
      <c r="G142" s="772" t="s">
        <v>4621</v>
      </c>
      <c r="H142" s="9">
        <f>SUM(H381:H381)</f>
        <v>44600</v>
      </c>
      <c r="I142" s="85">
        <f>IF(E142=H142,0,IF(E142=0,100,(H142-E142)/E142*100))</f>
        <v>725.92592592592598</v>
      </c>
      <c r="J142" s="9">
        <f t="shared" ref="J142:P142" si="276">SUM(J379:J381)</f>
        <v>30800</v>
      </c>
      <c r="K142" s="9">
        <f t="shared" si="276"/>
        <v>31600</v>
      </c>
      <c r="L142" s="9">
        <f t="shared" si="276"/>
        <v>32400</v>
      </c>
      <c r="M142" s="9">
        <f t="shared" si="276"/>
        <v>33300</v>
      </c>
      <c r="N142" s="9">
        <f t="shared" si="276"/>
        <v>34200</v>
      </c>
      <c r="O142" s="9">
        <f t="shared" si="276"/>
        <v>35100</v>
      </c>
      <c r="P142" s="89">
        <f t="shared" si="276"/>
        <v>36000</v>
      </c>
      <c r="Q142" s="9">
        <f t="shared" ref="Q142" si="277">SUM(Q379:Q381)</f>
        <v>36900</v>
      </c>
      <c r="R142" s="9">
        <f t="shared" ref="R142" si="278">SUM(R379:R381)</f>
        <v>37900</v>
      </c>
      <c r="S142" s="47">
        <f t="shared" ref="S142" si="279">SUM(S379:S381)</f>
        <v>38900</v>
      </c>
    </row>
    <row r="143" spans="1:19" x14ac:dyDescent="0.2">
      <c r="A143" s="54">
        <f>SUM(A382:A382)</f>
        <v>0</v>
      </c>
      <c r="B143" s="9">
        <f t="shared" ref="B143:D143" si="280">SUM(B382:B382)</f>
        <v>31100</v>
      </c>
      <c r="C143" s="9">
        <f t="shared" si="280"/>
        <v>12000</v>
      </c>
      <c r="D143" s="9">
        <f t="shared" si="280"/>
        <v>12100</v>
      </c>
      <c r="E143" s="9">
        <f>SUM(E382:E382)</f>
        <v>21300</v>
      </c>
      <c r="F143" s="1153">
        <v>31045</v>
      </c>
      <c r="G143" s="772" t="s">
        <v>4143</v>
      </c>
      <c r="H143" s="9">
        <f t="shared" ref="H143:Q143" si="281">SUM(H382:H382)</f>
        <v>106000</v>
      </c>
      <c r="I143" s="85">
        <f>IF(E143=H143,0,IF(E143=0,100,(H143-E143)/E143*100))</f>
        <v>397.65258215962439</v>
      </c>
      <c r="J143" s="9">
        <f t="shared" si="281"/>
        <v>30800</v>
      </c>
      <c r="K143" s="9">
        <f t="shared" si="281"/>
        <v>31600</v>
      </c>
      <c r="L143" s="9">
        <f t="shared" si="281"/>
        <v>32400</v>
      </c>
      <c r="M143" s="9">
        <f t="shared" si="281"/>
        <v>33300</v>
      </c>
      <c r="N143" s="9">
        <f t="shared" si="281"/>
        <v>34200</v>
      </c>
      <c r="O143" s="9">
        <f t="shared" si="281"/>
        <v>35100</v>
      </c>
      <c r="P143" s="89">
        <f t="shared" si="281"/>
        <v>36000</v>
      </c>
      <c r="Q143" s="9">
        <f t="shared" si="281"/>
        <v>36900</v>
      </c>
      <c r="R143" s="9">
        <f t="shared" ref="R143" si="282">SUM(R382:R382)</f>
        <v>37900</v>
      </c>
      <c r="S143" s="47">
        <f t="shared" ref="S143" si="283">SUM(S382:S382)</f>
        <v>38900</v>
      </c>
    </row>
    <row r="144" spans="1:19" x14ac:dyDescent="0.2">
      <c r="A144" s="54">
        <f>SUM(A383:A383)</f>
        <v>0</v>
      </c>
      <c r="B144" s="9">
        <f t="shared" ref="B144:D144" si="284">SUM(B383:B383)</f>
        <v>0</v>
      </c>
      <c r="C144" s="9">
        <f t="shared" si="284"/>
        <v>0</v>
      </c>
      <c r="D144" s="9">
        <f t="shared" si="284"/>
        <v>0</v>
      </c>
      <c r="E144" s="9">
        <f>SUM(E383:E383)</f>
        <v>0</v>
      </c>
      <c r="F144" s="1153">
        <v>31045</v>
      </c>
      <c r="G144" s="772" t="s">
        <v>6805</v>
      </c>
      <c r="H144" s="9">
        <f t="shared" ref="H144:Q144" si="285">SUM(H383:H383)</f>
        <v>307600</v>
      </c>
      <c r="I144" s="85">
        <f>IF(E144=H144,0,IF(E144=0,100,(H144-E144)/E144*100))</f>
        <v>100</v>
      </c>
      <c r="J144" s="9">
        <f t="shared" si="285"/>
        <v>0</v>
      </c>
      <c r="K144" s="9">
        <f t="shared" si="285"/>
        <v>0</v>
      </c>
      <c r="L144" s="9">
        <f t="shared" si="285"/>
        <v>0</v>
      </c>
      <c r="M144" s="9">
        <f t="shared" si="285"/>
        <v>0</v>
      </c>
      <c r="N144" s="9">
        <f t="shared" si="285"/>
        <v>0</v>
      </c>
      <c r="O144" s="9">
        <f t="shared" si="285"/>
        <v>0</v>
      </c>
      <c r="P144" s="89">
        <f t="shared" si="285"/>
        <v>0</v>
      </c>
      <c r="Q144" s="9">
        <f t="shared" si="285"/>
        <v>0</v>
      </c>
      <c r="R144" s="9">
        <f t="shared" ref="R144" si="286">SUM(R383:R383)</f>
        <v>0</v>
      </c>
      <c r="S144" s="47">
        <f t="shared" ref="S144" si="287">SUM(S383:S383)</f>
        <v>0</v>
      </c>
    </row>
    <row r="145" spans="1:19" x14ac:dyDescent="0.2">
      <c r="A145" s="54"/>
      <c r="B145" s="9"/>
      <c r="C145" s="9"/>
      <c r="D145" s="9"/>
      <c r="E145" s="9"/>
      <c r="F145" s="1153">
        <v>31045</v>
      </c>
      <c r="G145" s="31" t="s">
        <v>11841</v>
      </c>
      <c r="H145" s="9">
        <f>+H380</f>
        <v>98500</v>
      </c>
      <c r="I145" s="85">
        <f>IF(E145=H145,0,IF(E145=0,100,(H145-E145)/E145*100))</f>
        <v>100</v>
      </c>
      <c r="J145" s="9">
        <f t="shared" ref="J145:Q145" si="288">+J380</f>
        <v>0</v>
      </c>
      <c r="K145" s="9">
        <f t="shared" si="288"/>
        <v>0</v>
      </c>
      <c r="L145" s="9">
        <f t="shared" si="288"/>
        <v>0</v>
      </c>
      <c r="M145" s="9">
        <f t="shared" si="288"/>
        <v>0</v>
      </c>
      <c r="N145" s="9">
        <f t="shared" si="288"/>
        <v>0</v>
      </c>
      <c r="O145" s="9">
        <f t="shared" si="288"/>
        <v>0</v>
      </c>
      <c r="P145" s="9">
        <f t="shared" si="288"/>
        <v>0</v>
      </c>
      <c r="Q145" s="9">
        <f t="shared" si="288"/>
        <v>0</v>
      </c>
      <c r="R145" s="9">
        <v>0</v>
      </c>
      <c r="S145" s="47">
        <v>0</v>
      </c>
    </row>
    <row r="146" spans="1:19" x14ac:dyDescent="0.2">
      <c r="A146" s="54"/>
      <c r="B146" s="9"/>
      <c r="C146" s="9"/>
      <c r="D146" s="9"/>
      <c r="E146" s="9"/>
      <c r="F146" s="1153"/>
      <c r="G146" s="31"/>
      <c r="H146" s="9"/>
      <c r="I146" s="85"/>
      <c r="J146" s="9"/>
      <c r="K146" s="9"/>
      <c r="L146" s="9"/>
      <c r="M146" s="9"/>
      <c r="N146" s="9"/>
      <c r="O146" s="9"/>
      <c r="P146" s="89"/>
      <c r="Q146" s="9"/>
      <c r="R146" s="9"/>
      <c r="S146" s="47"/>
    </row>
    <row r="147" spans="1:19" x14ac:dyDescent="0.2">
      <c r="A147" s="54"/>
      <c r="B147" s="9"/>
      <c r="C147" s="9"/>
      <c r="D147" s="9"/>
      <c r="E147" s="9"/>
      <c r="F147" s="1153"/>
      <c r="G147" s="84" t="s">
        <v>1644</v>
      </c>
      <c r="H147" s="9"/>
      <c r="I147" s="85"/>
      <c r="J147" s="9"/>
      <c r="K147" s="9"/>
      <c r="L147" s="9"/>
      <c r="M147" s="9"/>
      <c r="N147" s="9"/>
      <c r="O147" s="9"/>
      <c r="P147" s="89"/>
      <c r="Q147" s="9"/>
      <c r="R147" s="9"/>
      <c r="S147" s="47"/>
    </row>
    <row r="148" spans="1:19" x14ac:dyDescent="0.2">
      <c r="A148" s="54">
        <f>ROUND(SUM(A384:A385),-3)</f>
        <v>0</v>
      </c>
      <c r="B148" s="9">
        <f>SUM(B384:B385)</f>
        <v>400</v>
      </c>
      <c r="C148" s="9">
        <f>SUM(C384:C385)</f>
        <v>500</v>
      </c>
      <c r="D148" s="9">
        <f>SUM(D384:D385)</f>
        <v>600</v>
      </c>
      <c r="E148" s="9">
        <f t="shared" ref="E148" si="289">SUM(E384:E385)</f>
        <v>500</v>
      </c>
      <c r="F148" s="1153">
        <v>31043</v>
      </c>
      <c r="G148" s="46" t="s">
        <v>553</v>
      </c>
      <c r="H148" s="9">
        <f t="shared" ref="H148:O148" si="290">SUM(H384:H385)</f>
        <v>700</v>
      </c>
      <c r="I148" s="85">
        <f>IF(E148=H148,0,IF(E148=0,100,(H148-E148)/E148*100))</f>
        <v>40</v>
      </c>
      <c r="J148" s="9">
        <f t="shared" si="290"/>
        <v>800</v>
      </c>
      <c r="K148" s="9">
        <f t="shared" si="290"/>
        <v>900</v>
      </c>
      <c r="L148" s="9">
        <f t="shared" si="290"/>
        <v>1000</v>
      </c>
      <c r="M148" s="9">
        <f t="shared" si="290"/>
        <v>1100</v>
      </c>
      <c r="N148" s="9">
        <f t="shared" si="290"/>
        <v>1200</v>
      </c>
      <c r="O148" s="9">
        <f t="shared" si="290"/>
        <v>1300</v>
      </c>
      <c r="P148" s="89">
        <f t="shared" ref="P148:Q148" si="291">SUM(P384:P385)</f>
        <v>1400</v>
      </c>
      <c r="Q148" s="9">
        <f t="shared" si="291"/>
        <v>1500</v>
      </c>
      <c r="R148" s="9">
        <f t="shared" ref="R148" si="292">SUM(R384:R385)</f>
        <v>1600</v>
      </c>
      <c r="S148" s="47">
        <f t="shared" ref="S148" si="293">SUM(S384:S385)</f>
        <v>1700</v>
      </c>
    </row>
    <row r="149" spans="1:19" ht="13.5" thickBot="1" x14ac:dyDescent="0.25">
      <c r="A149" s="24"/>
      <c r="B149" s="21"/>
      <c r="C149" s="21"/>
      <c r="D149" s="21"/>
      <c r="E149" s="21"/>
      <c r="F149" s="167"/>
      <c r="G149" s="27"/>
      <c r="H149" s="9"/>
      <c r="I149" s="126"/>
      <c r="J149" s="9"/>
      <c r="K149" s="9"/>
      <c r="L149" s="9"/>
      <c r="M149" s="9"/>
      <c r="N149" s="9"/>
      <c r="O149" s="9"/>
      <c r="P149" s="89"/>
      <c r="Q149" s="9"/>
      <c r="R149" s="9"/>
      <c r="S149" s="47"/>
    </row>
    <row r="150" spans="1:19" s="39" customFormat="1" x14ac:dyDescent="0.2">
      <c r="A150" s="52">
        <f>SUM(A136:A149)</f>
        <v>815000</v>
      </c>
      <c r="B150" s="16">
        <f>SUM(B136:B149)</f>
        <v>854400</v>
      </c>
      <c r="C150" s="16">
        <f>SUM(C136:C149)</f>
        <v>763400</v>
      </c>
      <c r="D150" s="16">
        <f>SUM(D136:D149)</f>
        <v>956700</v>
      </c>
      <c r="E150" s="16">
        <f t="shared" ref="E150" si="294">SUM(E136:E149)</f>
        <v>1110300</v>
      </c>
      <c r="F150" s="484"/>
      <c r="G150" s="59" t="s">
        <v>556</v>
      </c>
      <c r="H150" s="16">
        <f>SUM(H136:H149)</f>
        <v>1688400</v>
      </c>
      <c r="I150" s="127">
        <f>IF(E150=H150,0,IF(E150=0,100,(H150-E150)/E150*100))</f>
        <v>52.067008916509053</v>
      </c>
      <c r="J150" s="16">
        <f t="shared" ref="J150:P150" si="295">SUM(J136:J149)</f>
        <v>1189700</v>
      </c>
      <c r="K150" s="16">
        <f t="shared" si="295"/>
        <v>1218000</v>
      </c>
      <c r="L150" s="16">
        <f t="shared" si="295"/>
        <v>1247100</v>
      </c>
      <c r="M150" s="16">
        <f t="shared" si="295"/>
        <v>1277000</v>
      </c>
      <c r="N150" s="16">
        <f t="shared" si="295"/>
        <v>1307500</v>
      </c>
      <c r="O150" s="16">
        <f t="shared" si="295"/>
        <v>1338700</v>
      </c>
      <c r="P150" s="102">
        <f t="shared" si="295"/>
        <v>1370600</v>
      </c>
      <c r="Q150" s="16">
        <f t="shared" ref="Q150" si="296">SUM(Q136:Q149)</f>
        <v>1403100</v>
      </c>
      <c r="R150" s="16">
        <f t="shared" ref="R150" si="297">SUM(R136:R149)</f>
        <v>1436600</v>
      </c>
      <c r="S150" s="2342">
        <f t="shared" ref="S150" si="298">SUM(S136:S149)</f>
        <v>1470800</v>
      </c>
    </row>
    <row r="151" spans="1:19" x14ac:dyDescent="0.2">
      <c r="A151" s="54"/>
      <c r="B151" s="9"/>
      <c r="C151" s="9"/>
      <c r="D151" s="9"/>
      <c r="E151" s="9"/>
      <c r="F151" s="483"/>
      <c r="G151" s="55"/>
      <c r="H151" s="9"/>
      <c r="I151" s="85"/>
      <c r="J151" s="9"/>
      <c r="K151" s="9"/>
      <c r="L151" s="9"/>
      <c r="M151" s="9"/>
      <c r="N151" s="9"/>
      <c r="O151" s="9"/>
      <c r="P151" s="89"/>
      <c r="Q151" s="9"/>
      <c r="R151" s="9"/>
      <c r="S151" s="47"/>
    </row>
    <row r="152" spans="1:19" s="39" customFormat="1" x14ac:dyDescent="0.2">
      <c r="A152" s="24">
        <f>A131-A150</f>
        <v>-626800</v>
      </c>
      <c r="B152" s="21">
        <f>B131-B150</f>
        <v>-669600</v>
      </c>
      <c r="C152" s="21">
        <f>C131-C150</f>
        <v>-525300</v>
      </c>
      <c r="D152" s="21">
        <f>D131-D150</f>
        <v>-694300</v>
      </c>
      <c r="E152" s="21">
        <f t="shared" ref="E152" si="299">E131-E150</f>
        <v>-837600</v>
      </c>
      <c r="F152" s="484"/>
      <c r="G152" s="366" t="s">
        <v>1002</v>
      </c>
      <c r="H152" s="21">
        <f t="shared" ref="H152:P152" si="300">H131-H150</f>
        <v>-1294900</v>
      </c>
      <c r="I152" s="126">
        <f>IF(E152=H152,0,IF(E152=0,100,(H152-E152)/E152*100))</f>
        <v>54.59646609360076</v>
      </c>
      <c r="J152" s="21">
        <f t="shared" si="300"/>
        <v>-889900</v>
      </c>
      <c r="K152" s="21">
        <f t="shared" si="300"/>
        <v>-910100</v>
      </c>
      <c r="L152" s="21">
        <f t="shared" si="300"/>
        <v>-930800</v>
      </c>
      <c r="M152" s="21">
        <f t="shared" si="300"/>
        <v>-952100</v>
      </c>
      <c r="N152" s="21">
        <f t="shared" si="300"/>
        <v>-973700</v>
      </c>
      <c r="O152" s="21">
        <f t="shared" si="300"/>
        <v>-995900</v>
      </c>
      <c r="P152" s="75">
        <f t="shared" si="300"/>
        <v>-1018600</v>
      </c>
      <c r="Q152" s="21">
        <f t="shared" ref="Q152" si="301">Q131-Q150</f>
        <v>-1041700</v>
      </c>
      <c r="R152" s="21">
        <f t="shared" ref="R152" si="302">R131-R150</f>
        <v>-1065600</v>
      </c>
      <c r="S152" s="86">
        <f t="shared" ref="S152" si="303">S131-S150</f>
        <v>-1090000</v>
      </c>
    </row>
    <row r="153" spans="1:19" x14ac:dyDescent="0.2">
      <c r="A153" s="54">
        <v>0</v>
      </c>
      <c r="B153" s="9">
        <v>0</v>
      </c>
      <c r="C153" s="9">
        <v>0</v>
      </c>
      <c r="D153" s="9">
        <v>0</v>
      </c>
      <c r="E153" s="9">
        <v>0</v>
      </c>
      <c r="F153" s="483"/>
      <c r="G153" s="217" t="s">
        <v>1943</v>
      </c>
      <c r="H153" s="9">
        <v>0</v>
      </c>
      <c r="I153" s="85">
        <f>IF(E153=H153,0,IF(E153=0,100,(H153-E153)/E153*100))</f>
        <v>0</v>
      </c>
      <c r="J153" s="9">
        <v>0</v>
      </c>
      <c r="K153" s="9">
        <v>0</v>
      </c>
      <c r="L153" s="9">
        <v>0</v>
      </c>
      <c r="M153" s="9">
        <v>0</v>
      </c>
      <c r="N153" s="9">
        <v>0</v>
      </c>
      <c r="O153" s="9">
        <v>0</v>
      </c>
      <c r="P153" s="89">
        <v>0</v>
      </c>
      <c r="Q153" s="9">
        <v>0</v>
      </c>
      <c r="R153" s="9">
        <v>0</v>
      </c>
      <c r="S153" s="47">
        <v>0</v>
      </c>
    </row>
    <row r="154" spans="1:19" s="39" customFormat="1" x14ac:dyDescent="0.2">
      <c r="A154" s="128">
        <f>A153+A152</f>
        <v>-626800</v>
      </c>
      <c r="B154" s="280">
        <f>B153+B152</f>
        <v>-669600</v>
      </c>
      <c r="C154" s="280">
        <f>C153+C152</f>
        <v>-525300</v>
      </c>
      <c r="D154" s="280">
        <f>D153+D152</f>
        <v>-694300</v>
      </c>
      <c r="E154" s="280">
        <f t="shared" ref="E154" si="304">E153+E152</f>
        <v>-837600</v>
      </c>
      <c r="F154" s="485"/>
      <c r="G154" s="360" t="s">
        <v>1659</v>
      </c>
      <c r="H154" s="280">
        <f t="shared" ref="H154:O154" si="305">H153+H152</f>
        <v>-1294900</v>
      </c>
      <c r="I154" s="278">
        <f>IF(E154=H154,0,IF(E154=0,100,(H154-E154)/E154*100))</f>
        <v>54.59646609360076</v>
      </c>
      <c r="J154" s="280">
        <f t="shared" si="305"/>
        <v>-889900</v>
      </c>
      <c r="K154" s="280">
        <f t="shared" si="305"/>
        <v>-910100</v>
      </c>
      <c r="L154" s="280">
        <f t="shared" si="305"/>
        <v>-930800</v>
      </c>
      <c r="M154" s="280">
        <f t="shared" si="305"/>
        <v>-952100</v>
      </c>
      <c r="N154" s="280">
        <f t="shared" si="305"/>
        <v>-973700</v>
      </c>
      <c r="O154" s="280">
        <f t="shared" si="305"/>
        <v>-995900</v>
      </c>
      <c r="P154" s="266">
        <f t="shared" ref="P154:Q154" si="306">P153+P152</f>
        <v>-1018600</v>
      </c>
      <c r="Q154" s="280">
        <f t="shared" si="306"/>
        <v>-1041700</v>
      </c>
      <c r="R154" s="280">
        <f t="shared" ref="R154" si="307">R153+R152</f>
        <v>-1065600</v>
      </c>
      <c r="S154" s="2343">
        <f t="shared" ref="S154" si="308">S153+S152</f>
        <v>-1090000</v>
      </c>
    </row>
    <row r="155" spans="1:19" ht="13.5" thickBot="1" x14ac:dyDescent="0.25">
      <c r="A155" s="26"/>
      <c r="B155" s="37"/>
      <c r="C155" s="37"/>
      <c r="D155" s="37"/>
      <c r="E155" s="37"/>
      <c r="F155" s="491"/>
      <c r="G155" s="88"/>
      <c r="H155" s="68"/>
      <c r="I155" s="275"/>
      <c r="J155" s="68"/>
      <c r="K155" s="68"/>
      <c r="L155" s="68"/>
      <c r="M155" s="68"/>
      <c r="N155" s="68"/>
      <c r="O155" s="68"/>
      <c r="P155" s="42"/>
      <c r="Q155" s="68"/>
      <c r="R155" s="68"/>
      <c r="S155" s="108"/>
    </row>
    <row r="156" spans="1:19" ht="13.5" thickTop="1" x14ac:dyDescent="0.2">
      <c r="A156" s="270"/>
      <c r="B156" s="109"/>
      <c r="C156" s="109"/>
      <c r="D156" s="109"/>
      <c r="E156" s="109"/>
      <c r="F156" s="468"/>
      <c r="G156" s="71"/>
      <c r="H156" s="74"/>
      <c r="I156" s="352"/>
      <c r="J156" s="74"/>
      <c r="K156" s="74"/>
      <c r="L156" s="74"/>
      <c r="M156" s="74"/>
      <c r="N156" s="74"/>
      <c r="O156" s="74"/>
      <c r="P156" s="111"/>
      <c r="Q156" s="74"/>
      <c r="R156" s="74"/>
      <c r="S156" s="110"/>
    </row>
    <row r="157" spans="1:19" x14ac:dyDescent="0.2">
      <c r="A157" s="24"/>
      <c r="B157" s="21"/>
      <c r="C157" s="21"/>
      <c r="D157" s="21"/>
      <c r="E157" s="21"/>
      <c r="F157" s="468"/>
      <c r="G157" s="1160" t="s">
        <v>192</v>
      </c>
      <c r="H157" s="9"/>
      <c r="I157" s="126"/>
      <c r="J157" s="9"/>
      <c r="K157" s="9"/>
      <c r="L157" s="9"/>
      <c r="M157" s="9"/>
      <c r="N157" s="9"/>
      <c r="O157" s="9"/>
      <c r="P157" s="89"/>
      <c r="Q157" s="9"/>
      <c r="R157" s="9"/>
      <c r="S157" s="61"/>
    </row>
    <row r="158" spans="1:19" x14ac:dyDescent="0.2">
      <c r="A158" s="24"/>
      <c r="B158" s="21"/>
      <c r="C158" s="21"/>
      <c r="D158" s="21"/>
      <c r="E158" s="21"/>
      <c r="F158" s="468"/>
      <c r="G158" s="122"/>
      <c r="H158" s="9"/>
      <c r="I158" s="126"/>
      <c r="J158" s="9"/>
      <c r="K158" s="9"/>
      <c r="L158" s="9"/>
      <c r="M158" s="9"/>
      <c r="N158" s="9"/>
      <c r="O158" s="9"/>
      <c r="P158" s="89"/>
      <c r="Q158" s="9"/>
      <c r="R158" s="9"/>
      <c r="S158" s="61"/>
    </row>
    <row r="159" spans="1:19" x14ac:dyDescent="0.2">
      <c r="A159" s="54">
        <f t="shared" ref="A159:A163" si="309">ROUND(A394,-3)</f>
        <v>0</v>
      </c>
      <c r="B159" s="9">
        <f t="shared" ref="B159:C163" si="310">B394</f>
        <v>0</v>
      </c>
      <c r="C159" s="9">
        <f t="shared" si="310"/>
        <v>0</v>
      </c>
      <c r="D159" s="9">
        <f>D394</f>
        <v>0</v>
      </c>
      <c r="E159" s="9">
        <f t="shared" ref="E159" si="311">E394</f>
        <v>0</v>
      </c>
      <c r="F159" s="468"/>
      <c r="G159" s="1173" t="s">
        <v>1759</v>
      </c>
      <c r="H159" s="9">
        <f t="shared" ref="H159:N159" si="312">H394</f>
        <v>0</v>
      </c>
      <c r="I159" s="85">
        <f>IF(E159=H159,0,IF(E159=0,100,(H159-E159)/E159*100))</f>
        <v>0</v>
      </c>
      <c r="J159" s="9">
        <f t="shared" si="312"/>
        <v>0</v>
      </c>
      <c r="K159" s="9">
        <f t="shared" si="312"/>
        <v>0</v>
      </c>
      <c r="L159" s="9">
        <f t="shared" si="312"/>
        <v>0</v>
      </c>
      <c r="M159" s="9">
        <f t="shared" si="312"/>
        <v>0</v>
      </c>
      <c r="N159" s="9">
        <f t="shared" si="312"/>
        <v>0</v>
      </c>
      <c r="O159" s="9">
        <f t="shared" ref="O159:P163" si="313">O394</f>
        <v>0</v>
      </c>
      <c r="P159" s="89">
        <f t="shared" si="313"/>
        <v>0</v>
      </c>
      <c r="Q159" s="9">
        <f t="shared" ref="Q159" si="314">Q394</f>
        <v>0</v>
      </c>
      <c r="R159" s="9">
        <f t="shared" ref="R159" si="315">R394</f>
        <v>0</v>
      </c>
      <c r="S159" s="47">
        <f t="shared" ref="S159" si="316">S394</f>
        <v>0</v>
      </c>
    </row>
    <row r="160" spans="1:19" x14ac:dyDescent="0.2">
      <c r="A160" s="54">
        <f t="shared" si="309"/>
        <v>20000</v>
      </c>
      <c r="B160" s="9">
        <f t="shared" si="310"/>
        <v>27000</v>
      </c>
      <c r="C160" s="9">
        <f t="shared" si="310"/>
        <v>44000</v>
      </c>
      <c r="D160" s="9">
        <f>D395</f>
        <v>28000</v>
      </c>
      <c r="E160" s="9">
        <f t="shared" ref="E160" si="317">E395</f>
        <v>303000</v>
      </c>
      <c r="F160" s="468"/>
      <c r="G160" s="1173" t="s">
        <v>1909</v>
      </c>
      <c r="H160" s="9">
        <f t="shared" ref="H160:N160" si="318">H395</f>
        <v>0</v>
      </c>
      <c r="I160" s="85">
        <f>IF(E160=H160,0,IF(E160=0,100,(H160-E160)/E160*100))</f>
        <v>-100</v>
      </c>
      <c r="J160" s="9">
        <f t="shared" si="318"/>
        <v>0</v>
      </c>
      <c r="K160" s="9">
        <f t="shared" si="318"/>
        <v>0</v>
      </c>
      <c r="L160" s="9">
        <f t="shared" si="318"/>
        <v>0</v>
      </c>
      <c r="M160" s="9">
        <f t="shared" si="318"/>
        <v>0</v>
      </c>
      <c r="N160" s="9">
        <f t="shared" si="318"/>
        <v>0</v>
      </c>
      <c r="O160" s="9">
        <f t="shared" si="313"/>
        <v>0</v>
      </c>
      <c r="P160" s="89">
        <f t="shared" si="313"/>
        <v>0</v>
      </c>
      <c r="Q160" s="9">
        <f t="shared" ref="Q160" si="319">Q395</f>
        <v>0</v>
      </c>
      <c r="R160" s="9">
        <f t="shared" ref="R160" si="320">R395</f>
        <v>0</v>
      </c>
      <c r="S160" s="47">
        <f t="shared" ref="S160" si="321">S395</f>
        <v>0</v>
      </c>
    </row>
    <row r="161" spans="1:19" x14ac:dyDescent="0.2">
      <c r="A161" s="54">
        <f t="shared" si="309"/>
        <v>5000</v>
      </c>
      <c r="B161" s="9">
        <f t="shared" si="310"/>
        <v>20300</v>
      </c>
      <c r="C161" s="9">
        <f t="shared" si="310"/>
        <v>14000</v>
      </c>
      <c r="D161" s="9">
        <f>D396</f>
        <v>54000</v>
      </c>
      <c r="E161" s="9">
        <f t="shared" ref="E161" si="322">E396</f>
        <v>184700</v>
      </c>
      <c r="F161" s="468"/>
      <c r="G161" s="1173" t="s">
        <v>2309</v>
      </c>
      <c r="H161" s="9">
        <f t="shared" ref="H161:N161" si="323">H396</f>
        <v>724700</v>
      </c>
      <c r="I161" s="85">
        <f>IF(E161=H161,0,IF(E161=0,100,(H161-E161)/E161*100))</f>
        <v>292.36599891716298</v>
      </c>
      <c r="J161" s="9">
        <f t="shared" si="323"/>
        <v>0</v>
      </c>
      <c r="K161" s="9">
        <f t="shared" si="323"/>
        <v>0</v>
      </c>
      <c r="L161" s="9">
        <f t="shared" si="323"/>
        <v>0</v>
      </c>
      <c r="M161" s="9">
        <f t="shared" si="323"/>
        <v>0</v>
      </c>
      <c r="N161" s="9">
        <f t="shared" si="323"/>
        <v>0</v>
      </c>
      <c r="O161" s="9">
        <f t="shared" si="313"/>
        <v>0</v>
      </c>
      <c r="P161" s="89">
        <f t="shared" si="313"/>
        <v>0</v>
      </c>
      <c r="Q161" s="9">
        <f t="shared" ref="Q161" si="324">Q396</f>
        <v>0</v>
      </c>
      <c r="R161" s="9">
        <f t="shared" ref="R161" si="325">R396</f>
        <v>0</v>
      </c>
      <c r="S161" s="47">
        <f t="shared" ref="S161" si="326">S396</f>
        <v>0</v>
      </c>
    </row>
    <row r="162" spans="1:19" x14ac:dyDescent="0.2">
      <c r="A162" s="54">
        <f t="shared" si="309"/>
        <v>0</v>
      </c>
      <c r="B162" s="9">
        <f t="shared" si="310"/>
        <v>0</v>
      </c>
      <c r="C162" s="9">
        <f t="shared" si="310"/>
        <v>0</v>
      </c>
      <c r="D162" s="9">
        <f>D397</f>
        <v>0</v>
      </c>
      <c r="E162" s="9">
        <f t="shared" ref="E162" si="327">E397</f>
        <v>95000</v>
      </c>
      <c r="F162" s="468"/>
      <c r="G162" s="1173" t="s">
        <v>5847</v>
      </c>
      <c r="H162" s="9">
        <f t="shared" ref="H162:N162" si="328">H397</f>
        <v>181900</v>
      </c>
      <c r="I162" s="85">
        <f>IF(E162=H162,0,IF(E162=0,100,(H162-E162)/E162*100))</f>
        <v>91.473684210526315</v>
      </c>
      <c r="J162" s="9">
        <f t="shared" si="328"/>
        <v>0</v>
      </c>
      <c r="K162" s="9">
        <f t="shared" si="328"/>
        <v>0</v>
      </c>
      <c r="L162" s="9">
        <f t="shared" si="328"/>
        <v>0</v>
      </c>
      <c r="M162" s="9">
        <f t="shared" si="328"/>
        <v>0</v>
      </c>
      <c r="N162" s="9">
        <f t="shared" si="328"/>
        <v>0</v>
      </c>
      <c r="O162" s="9">
        <f t="shared" si="313"/>
        <v>0</v>
      </c>
      <c r="P162" s="89">
        <f t="shared" si="313"/>
        <v>0</v>
      </c>
      <c r="Q162" s="9">
        <f t="shared" ref="Q162" si="329">Q397</f>
        <v>0</v>
      </c>
      <c r="R162" s="9">
        <f t="shared" ref="R162" si="330">R397</f>
        <v>0</v>
      </c>
      <c r="S162" s="47">
        <f t="shared" ref="S162" si="331">S397</f>
        <v>0</v>
      </c>
    </row>
    <row r="163" spans="1:19" x14ac:dyDescent="0.2">
      <c r="A163" s="54">
        <f t="shared" si="309"/>
        <v>0</v>
      </c>
      <c r="B163" s="9">
        <f t="shared" si="310"/>
        <v>0</v>
      </c>
      <c r="C163" s="9">
        <f t="shared" si="310"/>
        <v>0</v>
      </c>
      <c r="D163" s="9">
        <f>D398</f>
        <v>0</v>
      </c>
      <c r="E163" s="9">
        <f t="shared" ref="E163" si="332">E398</f>
        <v>0</v>
      </c>
      <c r="F163" s="468"/>
      <c r="G163" s="1173" t="s">
        <v>958</v>
      </c>
      <c r="H163" s="9">
        <f t="shared" ref="H163:N163" si="333">H398</f>
        <v>816000</v>
      </c>
      <c r="I163" s="85">
        <f>IF(E163=H163,0,IF(E163=0,100,(H163-E163)/E163*100))</f>
        <v>100</v>
      </c>
      <c r="J163" s="9">
        <f t="shared" si="333"/>
        <v>0</v>
      </c>
      <c r="K163" s="9">
        <f t="shared" si="333"/>
        <v>0</v>
      </c>
      <c r="L163" s="9">
        <f t="shared" si="333"/>
        <v>0</v>
      </c>
      <c r="M163" s="9">
        <f t="shared" si="333"/>
        <v>0</v>
      </c>
      <c r="N163" s="9">
        <f t="shared" si="333"/>
        <v>0</v>
      </c>
      <c r="O163" s="9">
        <f t="shared" si="313"/>
        <v>0</v>
      </c>
      <c r="P163" s="89">
        <f t="shared" si="313"/>
        <v>0</v>
      </c>
      <c r="Q163" s="9">
        <f t="shared" ref="Q163" si="334">Q398</f>
        <v>0</v>
      </c>
      <c r="R163" s="9">
        <f t="shared" ref="R163" si="335">R398</f>
        <v>0</v>
      </c>
      <c r="S163" s="47">
        <f t="shared" ref="S163" si="336">S398</f>
        <v>0</v>
      </c>
    </row>
    <row r="164" spans="1:19" x14ac:dyDescent="0.2">
      <c r="A164" s="54"/>
      <c r="B164" s="9"/>
      <c r="C164" s="9"/>
      <c r="D164" s="9"/>
      <c r="E164" s="9"/>
      <c r="F164" s="468"/>
      <c r="G164" s="1160"/>
      <c r="H164" s="9"/>
      <c r="I164" s="85"/>
      <c r="J164" s="9"/>
      <c r="K164" s="9"/>
      <c r="L164" s="9"/>
      <c r="M164" s="9"/>
      <c r="N164" s="9"/>
      <c r="O164" s="9"/>
      <c r="P164" s="89"/>
      <c r="Q164" s="9"/>
      <c r="R164" s="9"/>
      <c r="S164" s="61"/>
    </row>
    <row r="165" spans="1:19" s="39" customFormat="1" x14ac:dyDescent="0.2">
      <c r="A165" s="128">
        <f>A154-A159-A160+A161+A162-A163</f>
        <v>-641800</v>
      </c>
      <c r="B165" s="280">
        <f>B154-B159-B160+B161+B162-B163</f>
        <v>-676300</v>
      </c>
      <c r="C165" s="280">
        <f>C154-C159-C160+C161++C162-C163</f>
        <v>-555300</v>
      </c>
      <c r="D165" s="280">
        <f>D154-D159-D160+D161++D162-D163</f>
        <v>-668300</v>
      </c>
      <c r="E165" s="280">
        <f t="shared" ref="E165" si="337">E154-E159-E160+E161++E162-E163</f>
        <v>-860900</v>
      </c>
      <c r="F165" s="488"/>
      <c r="G165" s="1166" t="s">
        <v>2447</v>
      </c>
      <c r="H165" s="280">
        <f t="shared" ref="H165:O165" si="338">H154-H159-H160+H161++H162-H163</f>
        <v>-1204300</v>
      </c>
      <c r="I165" s="278">
        <f>IF(E165=H165,0,IF(E165=0,100,(H165-E165)/E165*100))</f>
        <v>39.888488790800324</v>
      </c>
      <c r="J165" s="280">
        <f t="shared" si="338"/>
        <v>-889900</v>
      </c>
      <c r="K165" s="280">
        <f t="shared" si="338"/>
        <v>-910100</v>
      </c>
      <c r="L165" s="280">
        <f t="shared" si="338"/>
        <v>-930800</v>
      </c>
      <c r="M165" s="280">
        <f t="shared" si="338"/>
        <v>-952100</v>
      </c>
      <c r="N165" s="280">
        <f t="shared" si="338"/>
        <v>-973700</v>
      </c>
      <c r="O165" s="280">
        <f t="shared" si="338"/>
        <v>-995900</v>
      </c>
      <c r="P165" s="266">
        <f t="shared" ref="P165:Q165" si="339">P154-P159-P160+P161++P162-P163</f>
        <v>-1018600</v>
      </c>
      <c r="Q165" s="280">
        <f t="shared" si="339"/>
        <v>-1041700</v>
      </c>
      <c r="R165" s="280">
        <f t="shared" ref="R165:S165" si="340">R154-R159-R160+R161++R162-R163</f>
        <v>-1065600</v>
      </c>
      <c r="S165" s="282">
        <f t="shared" si="340"/>
        <v>-1090000</v>
      </c>
    </row>
    <row r="166" spans="1:19" ht="13.5" thickBot="1" x14ac:dyDescent="0.25">
      <c r="A166" s="26"/>
      <c r="B166" s="37"/>
      <c r="C166" s="37"/>
      <c r="D166" s="37"/>
      <c r="E166" s="37"/>
      <c r="F166" s="489"/>
      <c r="G166" s="66"/>
      <c r="H166" s="23"/>
      <c r="I166" s="275"/>
      <c r="J166" s="23"/>
      <c r="K166" s="23"/>
      <c r="L166" s="23"/>
      <c r="M166" s="23"/>
      <c r="N166" s="23"/>
      <c r="O166" s="23"/>
      <c r="P166" s="113"/>
      <c r="Q166" s="23"/>
      <c r="R166" s="23"/>
      <c r="S166" s="112"/>
    </row>
    <row r="167" spans="1:19" s="46" customFormat="1" ht="14.25" thickTop="1" thickBot="1" x14ac:dyDescent="0.25">
      <c r="A167" s="27"/>
      <c r="B167" s="27"/>
      <c r="C167" s="27"/>
      <c r="D167" s="27"/>
      <c r="E167" s="27"/>
      <c r="F167" s="493"/>
      <c r="G167" s="27"/>
      <c r="H167" s="27"/>
      <c r="I167" s="2234"/>
    </row>
    <row r="168" spans="1:19" s="38" customFormat="1" ht="18.75" customHeight="1" thickTop="1" thickBot="1" x14ac:dyDescent="0.3">
      <c r="A168" s="2601" t="s">
        <v>7012</v>
      </c>
      <c r="B168" s="2602"/>
      <c r="C168" s="2602"/>
      <c r="D168" s="2602"/>
      <c r="E168" s="2602"/>
      <c r="F168" s="2602"/>
      <c r="G168" s="2602"/>
      <c r="H168" s="2602"/>
      <c r="I168" s="2602"/>
      <c r="J168" s="2602"/>
      <c r="K168" s="2602"/>
      <c r="L168" s="2602"/>
      <c r="M168" s="2602"/>
      <c r="N168" s="2602"/>
      <c r="O168" s="2602"/>
      <c r="P168" s="2602"/>
      <c r="Q168" s="2602"/>
      <c r="R168" s="2602"/>
      <c r="S168" s="2603"/>
    </row>
    <row r="169" spans="1:19" s="39" customFormat="1" x14ac:dyDescent="0.2">
      <c r="A169" s="2598" t="s">
        <v>1824</v>
      </c>
      <c r="B169" s="2599"/>
      <c r="C169" s="2599"/>
      <c r="D169" s="2599"/>
      <c r="E169" s="2600"/>
      <c r="F169" s="1163" t="s">
        <v>2616</v>
      </c>
      <c r="G169" s="2231" t="s">
        <v>2213</v>
      </c>
      <c r="H169" s="2576" t="s">
        <v>2215</v>
      </c>
      <c r="I169" s="2577"/>
      <c r="J169" s="2577"/>
      <c r="K169" s="2577"/>
      <c r="L169" s="2577"/>
      <c r="M169" s="2577"/>
      <c r="N169" s="2577"/>
      <c r="O169" s="2577"/>
      <c r="P169" s="2577"/>
      <c r="Q169" s="2577"/>
      <c r="R169" s="2577"/>
      <c r="S169" s="2578"/>
    </row>
    <row r="170" spans="1:19" ht="13.5" thickBot="1" x14ac:dyDescent="0.25">
      <c r="A170" s="1647" t="str">
        <f>A3</f>
        <v>2012/13</v>
      </c>
      <c r="B170" s="40" t="str">
        <f>B3</f>
        <v>2013/14</v>
      </c>
      <c r="C170" s="40" t="str">
        <f>C3</f>
        <v>2014/15</v>
      </c>
      <c r="D170" s="40" t="str">
        <f>D3</f>
        <v>2015/16</v>
      </c>
      <c r="E170" s="40" t="str">
        <f>E3</f>
        <v>2016/17</v>
      </c>
      <c r="F170" s="2071" t="s">
        <v>2617</v>
      </c>
      <c r="G170" s="41"/>
      <c r="H170" s="40" t="str">
        <f t="shared" ref="H170:R170" si="341">H3</f>
        <v>2017/18</v>
      </c>
      <c r="I170" s="40" t="str">
        <f>I3</f>
        <v>%</v>
      </c>
      <c r="J170" s="40" t="str">
        <f t="shared" si="341"/>
        <v>2018/19</v>
      </c>
      <c r="K170" s="40" t="str">
        <f t="shared" si="341"/>
        <v>2019/20</v>
      </c>
      <c r="L170" s="40" t="str">
        <f t="shared" si="341"/>
        <v>2020/21</v>
      </c>
      <c r="M170" s="40" t="str">
        <f t="shared" si="341"/>
        <v>2021/22</v>
      </c>
      <c r="N170" s="40" t="str">
        <f t="shared" si="341"/>
        <v>2022/23</v>
      </c>
      <c r="O170" s="40" t="str">
        <f t="shared" si="341"/>
        <v>2023/24</v>
      </c>
      <c r="P170" s="1257" t="str">
        <f t="shared" si="341"/>
        <v>2024/25</v>
      </c>
      <c r="Q170" s="40" t="str">
        <f t="shared" si="341"/>
        <v>2025/26</v>
      </c>
      <c r="R170" s="40" t="str">
        <f t="shared" si="341"/>
        <v>2026/27</v>
      </c>
      <c r="S170" s="1620" t="str">
        <f t="shared" ref="S170" si="342">S3</f>
        <v>2027/28</v>
      </c>
    </row>
    <row r="171" spans="1:19" x14ac:dyDescent="0.2">
      <c r="A171" s="54"/>
      <c r="B171" s="9"/>
      <c r="C171" s="9"/>
      <c r="D171" s="9"/>
      <c r="E171" s="9"/>
      <c r="F171" s="483"/>
      <c r="G171" s="46"/>
      <c r="H171" s="9"/>
      <c r="I171" s="85"/>
      <c r="J171" s="9"/>
      <c r="K171" s="9"/>
      <c r="L171" s="9"/>
      <c r="M171" s="9"/>
      <c r="N171" s="9"/>
      <c r="O171" s="9"/>
      <c r="P171" s="89"/>
      <c r="Q171" s="9"/>
      <c r="R171" s="9"/>
      <c r="S171" s="61"/>
    </row>
    <row r="172" spans="1:19" x14ac:dyDescent="0.2">
      <c r="A172" s="54"/>
      <c r="B172" s="9"/>
      <c r="C172" s="9"/>
      <c r="D172" s="9"/>
      <c r="E172" s="9"/>
      <c r="F172" s="483"/>
      <c r="G172" s="91" t="s">
        <v>1056</v>
      </c>
      <c r="H172" s="9"/>
      <c r="I172" s="85"/>
      <c r="J172" s="9"/>
      <c r="K172" s="9"/>
      <c r="L172" s="9"/>
      <c r="M172" s="9"/>
      <c r="N172" s="9"/>
      <c r="O172" s="9"/>
      <c r="P172" s="89"/>
      <c r="Q172" s="9"/>
      <c r="R172" s="9"/>
      <c r="S172" s="61"/>
    </row>
    <row r="173" spans="1:19" x14ac:dyDescent="0.2">
      <c r="A173" s="54"/>
      <c r="B173" s="9"/>
      <c r="C173" s="9"/>
      <c r="D173" s="9"/>
      <c r="E173" s="9"/>
      <c r="F173" s="1153"/>
      <c r="G173" s="91"/>
      <c r="H173" s="9"/>
      <c r="I173" s="85"/>
      <c r="J173" s="9"/>
      <c r="K173" s="9"/>
      <c r="L173" s="9"/>
      <c r="M173" s="9"/>
      <c r="N173" s="9"/>
      <c r="O173" s="9"/>
      <c r="P173" s="89"/>
      <c r="Q173" s="9"/>
      <c r="R173" s="9"/>
      <c r="S173" s="61"/>
    </row>
    <row r="174" spans="1:19" x14ac:dyDescent="0.2">
      <c r="A174" s="54"/>
      <c r="B174" s="9"/>
      <c r="C174" s="9"/>
      <c r="D174" s="9"/>
      <c r="E174" s="9"/>
      <c r="F174" s="1153"/>
      <c r="G174" s="27" t="s">
        <v>2297</v>
      </c>
      <c r="H174" s="9"/>
      <c r="I174" s="85"/>
      <c r="J174" s="9"/>
      <c r="K174" s="9"/>
      <c r="L174" s="9"/>
      <c r="M174" s="9"/>
      <c r="N174" s="9"/>
      <c r="O174" s="9"/>
      <c r="P174" s="89"/>
      <c r="Q174" s="9"/>
      <c r="R174" s="9"/>
      <c r="S174" s="61"/>
    </row>
    <row r="175" spans="1:19" x14ac:dyDescent="0.2">
      <c r="A175" s="54">
        <f>ROUND(SUM(A406:A411),-3)</f>
        <v>32000</v>
      </c>
      <c r="B175" s="9">
        <f>SUM(B406:B411)</f>
        <v>47100</v>
      </c>
      <c r="C175" s="9">
        <f>SUM(C406:C411)</f>
        <v>56400</v>
      </c>
      <c r="D175" s="9">
        <f>SUM(D406:D411)</f>
        <v>46100</v>
      </c>
      <c r="E175" s="9">
        <f t="shared" ref="E175" si="343">SUM(E406:E411)</f>
        <v>35400</v>
      </c>
      <c r="F175" s="165">
        <v>21080</v>
      </c>
      <c r="G175" s="1150" t="s">
        <v>2829</v>
      </c>
      <c r="H175" s="9">
        <f t="shared" ref="H175:O175" si="344">SUM(H406:H411)</f>
        <v>38000</v>
      </c>
      <c r="I175" s="85">
        <f>IF(E175=H175,0,IF(E175=0,100,(H175-E175)/E175*100))</f>
        <v>7.3446327683615822</v>
      </c>
      <c r="J175" s="9">
        <f t="shared" si="344"/>
        <v>38200</v>
      </c>
      <c r="K175" s="9">
        <f t="shared" si="344"/>
        <v>39400</v>
      </c>
      <c r="L175" s="9">
        <f t="shared" si="344"/>
        <v>40700</v>
      </c>
      <c r="M175" s="9">
        <f t="shared" si="344"/>
        <v>42000</v>
      </c>
      <c r="N175" s="9">
        <f t="shared" si="344"/>
        <v>43300</v>
      </c>
      <c r="O175" s="9">
        <f t="shared" si="344"/>
        <v>44600</v>
      </c>
      <c r="P175" s="89">
        <f t="shared" ref="P175:Q175" si="345">SUM(P406:P411)</f>
        <v>45900</v>
      </c>
      <c r="Q175" s="9">
        <f t="shared" si="345"/>
        <v>47300</v>
      </c>
      <c r="R175" s="9">
        <f t="shared" ref="R175" si="346">SUM(R406:R411)</f>
        <v>48700</v>
      </c>
      <c r="S175" s="47">
        <f t="shared" ref="S175" si="347">SUM(S406:S411)</f>
        <v>50200</v>
      </c>
    </row>
    <row r="176" spans="1:19" x14ac:dyDescent="0.2">
      <c r="A176" s="54">
        <f>SUM(A413)</f>
        <v>56600</v>
      </c>
      <c r="B176" s="9">
        <f>SUM(B413:B413)</f>
        <v>77000</v>
      </c>
      <c r="C176" s="9">
        <f t="shared" ref="C176:D176" si="348">SUM(C413:C413)</f>
        <v>195500</v>
      </c>
      <c r="D176" s="9">
        <f t="shared" si="348"/>
        <v>129800</v>
      </c>
      <c r="E176" s="9">
        <f>SUM(E413:E413)</f>
        <v>101200</v>
      </c>
      <c r="F176" s="165">
        <v>21081</v>
      </c>
      <c r="G176" s="1150" t="s">
        <v>2131</v>
      </c>
      <c r="H176" s="9">
        <f t="shared" ref="H176:Q176" si="349">SUM(H413:H413)</f>
        <v>130000</v>
      </c>
      <c r="I176" s="85">
        <f>IF(E176=H176,0,IF(E176=0,100,(H176-E176)/E176*100))</f>
        <v>28.458498023715418</v>
      </c>
      <c r="J176" s="9">
        <f t="shared" si="349"/>
        <v>133000</v>
      </c>
      <c r="K176" s="9">
        <f t="shared" si="349"/>
        <v>136400</v>
      </c>
      <c r="L176" s="9">
        <f t="shared" si="349"/>
        <v>139900</v>
      </c>
      <c r="M176" s="9">
        <f t="shared" si="349"/>
        <v>143400</v>
      </c>
      <c r="N176" s="9">
        <f t="shared" si="349"/>
        <v>147000</v>
      </c>
      <c r="O176" s="9">
        <f t="shared" si="349"/>
        <v>150700</v>
      </c>
      <c r="P176" s="89">
        <f t="shared" si="349"/>
        <v>154500</v>
      </c>
      <c r="Q176" s="9">
        <f t="shared" si="349"/>
        <v>158400</v>
      </c>
      <c r="R176" s="9">
        <f t="shared" ref="R176" si="350">SUM(R413:R413)</f>
        <v>162400</v>
      </c>
      <c r="S176" s="47">
        <f t="shared" ref="S176" si="351">SUM(S413:S413)</f>
        <v>166500</v>
      </c>
    </row>
    <row r="177" spans="1:19" x14ac:dyDescent="0.2">
      <c r="A177" s="54">
        <f>SUM(A414)</f>
        <v>13000</v>
      </c>
      <c r="B177" s="9">
        <f>SUM(B414:B414)</f>
        <v>23100</v>
      </c>
      <c r="C177" s="9">
        <f t="shared" ref="C177:D177" si="352">SUM(C414:C414)</f>
        <v>51500</v>
      </c>
      <c r="D177" s="9">
        <f t="shared" si="352"/>
        <v>44400</v>
      </c>
      <c r="E177" s="9">
        <f>SUM(E414:E414)</f>
        <v>35000</v>
      </c>
      <c r="F177" s="165">
        <v>21081</v>
      </c>
      <c r="G177" s="1150" t="s">
        <v>2754</v>
      </c>
      <c r="H177" s="9">
        <f t="shared" ref="H177:Q177" si="353">SUM(H414:H414)</f>
        <v>50000</v>
      </c>
      <c r="I177" s="85">
        <f>IF(E177=H177,0,IF(E177=0,100,(H177-E177)/E177*100))</f>
        <v>42.857142857142854</v>
      </c>
      <c r="J177" s="9">
        <f t="shared" si="353"/>
        <v>50000</v>
      </c>
      <c r="K177" s="9">
        <f t="shared" si="353"/>
        <v>51300</v>
      </c>
      <c r="L177" s="9">
        <f t="shared" si="353"/>
        <v>52600</v>
      </c>
      <c r="M177" s="9">
        <f t="shared" si="353"/>
        <v>54000</v>
      </c>
      <c r="N177" s="9">
        <f t="shared" si="353"/>
        <v>55400</v>
      </c>
      <c r="O177" s="9">
        <f t="shared" si="353"/>
        <v>56800</v>
      </c>
      <c r="P177" s="89">
        <f t="shared" si="353"/>
        <v>58300</v>
      </c>
      <c r="Q177" s="9">
        <f t="shared" si="353"/>
        <v>59800</v>
      </c>
      <c r="R177" s="9">
        <f t="shared" ref="R177" si="354">SUM(R414:R414)</f>
        <v>61300</v>
      </c>
      <c r="S177" s="47">
        <f t="shared" ref="S177" si="355">SUM(S414:S414)</f>
        <v>62900</v>
      </c>
    </row>
    <row r="178" spans="1:19" x14ac:dyDescent="0.2">
      <c r="A178" s="54">
        <f>ROUND(SUM(A415:A418),-3)</f>
        <v>9000</v>
      </c>
      <c r="B178" s="9">
        <f>SUM(B415:B418)</f>
        <v>16200</v>
      </c>
      <c r="C178" s="9">
        <f t="shared" ref="C178:D178" si="356">SUM(C415:C418)</f>
        <v>10500</v>
      </c>
      <c r="D178" s="9">
        <f t="shared" si="356"/>
        <v>12800</v>
      </c>
      <c r="E178" s="9">
        <f>SUM(E415:E418)</f>
        <v>11700</v>
      </c>
      <c r="F178" s="165">
        <v>21081</v>
      </c>
      <c r="G178" s="1150" t="s">
        <v>6758</v>
      </c>
      <c r="H178" s="9">
        <f t="shared" ref="H178:Q178" si="357">SUM(H415:H418)</f>
        <v>12000</v>
      </c>
      <c r="I178" s="85">
        <f>IF(E178=H178,0,IF(E178=0,100,(H178-E178)/E178*100))</f>
        <v>2.5641025641025639</v>
      </c>
      <c r="J178" s="9">
        <f t="shared" si="357"/>
        <v>12000</v>
      </c>
      <c r="K178" s="9">
        <f t="shared" si="357"/>
        <v>12500</v>
      </c>
      <c r="L178" s="9">
        <f t="shared" si="357"/>
        <v>13000</v>
      </c>
      <c r="M178" s="9">
        <f t="shared" si="357"/>
        <v>13500</v>
      </c>
      <c r="N178" s="9">
        <f t="shared" si="357"/>
        <v>14000</v>
      </c>
      <c r="O178" s="9">
        <f t="shared" si="357"/>
        <v>14500</v>
      </c>
      <c r="P178" s="89">
        <f t="shared" si="357"/>
        <v>15000</v>
      </c>
      <c r="Q178" s="9">
        <f t="shared" si="357"/>
        <v>15500</v>
      </c>
      <c r="R178" s="9">
        <f t="shared" ref="R178" si="358">SUM(R415:R418)</f>
        <v>16100</v>
      </c>
      <c r="S178" s="47">
        <f t="shared" ref="S178" si="359">SUM(S415:S418)</f>
        <v>16700</v>
      </c>
    </row>
    <row r="179" spans="1:19" ht="13.5" thickBot="1" x14ac:dyDescent="0.25">
      <c r="A179" s="54"/>
      <c r="B179" s="9"/>
      <c r="C179" s="9"/>
      <c r="D179" s="9"/>
      <c r="E179" s="9"/>
      <c r="F179" s="1153"/>
      <c r="G179" s="46"/>
      <c r="H179" s="9"/>
      <c r="I179" s="85"/>
      <c r="J179" s="9"/>
      <c r="K179" s="9"/>
      <c r="L179" s="9"/>
      <c r="M179" s="9"/>
      <c r="N179" s="9"/>
      <c r="O179" s="9"/>
      <c r="P179" s="89"/>
      <c r="Q179" s="9"/>
      <c r="R179" s="9"/>
      <c r="S179" s="47"/>
    </row>
    <row r="180" spans="1:19" s="39" customFormat="1" x14ac:dyDescent="0.2">
      <c r="A180" s="52">
        <f>SUM(A172:A179)</f>
        <v>110600</v>
      </c>
      <c r="B180" s="16">
        <f>SUM(B172:B179)</f>
        <v>163400</v>
      </c>
      <c r="C180" s="16">
        <f>SUM(C172:C179)</f>
        <v>313900</v>
      </c>
      <c r="D180" s="16">
        <f>SUM(D172:D179)</f>
        <v>233100</v>
      </c>
      <c r="E180" s="16">
        <f t="shared" ref="E180" si="360">SUM(E172:E179)</f>
        <v>183300</v>
      </c>
      <c r="F180" s="164"/>
      <c r="G180" s="59" t="s">
        <v>2561</v>
      </c>
      <c r="H180" s="16">
        <f t="shared" ref="H180:O180" si="361">SUM(H172:H179)</f>
        <v>230000</v>
      </c>
      <c r="I180" s="127">
        <f>IF(E180=H180,0,IF(E180=0,100,(H180-E180)/E180*100))</f>
        <v>25.477359519912714</v>
      </c>
      <c r="J180" s="16">
        <f t="shared" si="361"/>
        <v>233200</v>
      </c>
      <c r="K180" s="16">
        <f t="shared" si="361"/>
        <v>239600</v>
      </c>
      <c r="L180" s="16">
        <f t="shared" si="361"/>
        <v>246200</v>
      </c>
      <c r="M180" s="16">
        <f t="shared" si="361"/>
        <v>252900</v>
      </c>
      <c r="N180" s="16">
        <f t="shared" si="361"/>
        <v>259700</v>
      </c>
      <c r="O180" s="16">
        <f t="shared" si="361"/>
        <v>266600</v>
      </c>
      <c r="P180" s="102">
        <f t="shared" ref="P180:Q180" si="362">SUM(P172:P179)</f>
        <v>273700</v>
      </c>
      <c r="Q180" s="16">
        <f t="shared" si="362"/>
        <v>281000</v>
      </c>
      <c r="R180" s="16">
        <f t="shared" ref="R180" si="363">SUM(R172:R179)</f>
        <v>288500</v>
      </c>
      <c r="S180" s="2342">
        <f t="shared" ref="S180" si="364">SUM(S172:S179)</f>
        <v>296300</v>
      </c>
    </row>
    <row r="181" spans="1:19" x14ac:dyDescent="0.2">
      <c r="A181" s="54"/>
      <c r="B181" s="9"/>
      <c r="C181" s="9"/>
      <c r="D181" s="9"/>
      <c r="E181" s="9"/>
      <c r="F181" s="1153"/>
      <c r="G181" s="46"/>
      <c r="H181" s="9"/>
      <c r="I181" s="85"/>
      <c r="J181" s="9"/>
      <c r="K181" s="9"/>
      <c r="L181" s="9"/>
      <c r="M181" s="9"/>
      <c r="N181" s="9"/>
      <c r="O181" s="9"/>
      <c r="P181" s="89"/>
      <c r="Q181" s="9"/>
      <c r="R181" s="9"/>
      <c r="S181" s="47"/>
    </row>
    <row r="182" spans="1:19" x14ac:dyDescent="0.2">
      <c r="A182" s="54"/>
      <c r="B182" s="9"/>
      <c r="C182" s="9"/>
      <c r="D182" s="9"/>
      <c r="E182" s="9"/>
      <c r="F182" s="1153"/>
      <c r="G182" s="91" t="s">
        <v>2169</v>
      </c>
      <c r="H182" s="9"/>
      <c r="I182" s="85"/>
      <c r="J182" s="9"/>
      <c r="K182" s="9"/>
      <c r="L182" s="9"/>
      <c r="M182" s="9"/>
      <c r="N182" s="9"/>
      <c r="O182" s="9"/>
      <c r="P182" s="89"/>
      <c r="Q182" s="9"/>
      <c r="R182" s="9"/>
      <c r="S182" s="47"/>
    </row>
    <row r="183" spans="1:19" x14ac:dyDescent="0.2">
      <c r="A183" s="54"/>
      <c r="B183" s="9"/>
      <c r="C183" s="9"/>
      <c r="D183" s="9"/>
      <c r="E183" s="9"/>
      <c r="F183" s="1153"/>
      <c r="G183" s="91"/>
      <c r="H183" s="9"/>
      <c r="I183" s="85"/>
      <c r="J183" s="9"/>
      <c r="K183" s="9"/>
      <c r="L183" s="9"/>
      <c r="M183" s="9"/>
      <c r="N183" s="9"/>
      <c r="O183" s="9"/>
      <c r="P183" s="89"/>
      <c r="Q183" s="9"/>
      <c r="R183" s="9"/>
      <c r="S183" s="47"/>
    </row>
    <row r="184" spans="1:19" x14ac:dyDescent="0.2">
      <c r="A184" s="54"/>
      <c r="B184" s="9"/>
      <c r="C184" s="9"/>
      <c r="D184" s="9"/>
      <c r="E184" s="9"/>
      <c r="F184" s="1153"/>
      <c r="G184" s="122" t="s">
        <v>2263</v>
      </c>
      <c r="H184" s="9"/>
      <c r="I184" s="85"/>
      <c r="J184" s="9"/>
      <c r="K184" s="9"/>
      <c r="L184" s="9"/>
      <c r="M184" s="9"/>
      <c r="N184" s="9"/>
      <c r="O184" s="9"/>
      <c r="P184" s="89"/>
      <c r="Q184" s="9"/>
      <c r="R184" s="9"/>
      <c r="S184" s="47"/>
    </row>
    <row r="185" spans="1:19" x14ac:dyDescent="0.2">
      <c r="A185" s="54">
        <f>ROUND(SUM(A423:A426),-3)</f>
        <v>332000</v>
      </c>
      <c r="B185" s="9">
        <f>SUM(B423:B426)</f>
        <v>394400</v>
      </c>
      <c r="C185" s="9">
        <f>SUM(C422:C426)</f>
        <v>443300</v>
      </c>
      <c r="D185" s="9">
        <f>SUM(D422:D426)</f>
        <v>469800</v>
      </c>
      <c r="E185" s="9">
        <f t="shared" ref="E185" si="365">SUM(E422:E426)</f>
        <v>485200</v>
      </c>
      <c r="F185" s="1153">
        <v>31080</v>
      </c>
      <c r="G185" s="46" t="s">
        <v>1320</v>
      </c>
      <c r="H185" s="9">
        <f t="shared" ref="H185:P185" si="366">SUM(H422:H426)</f>
        <v>461000</v>
      </c>
      <c r="I185" s="85">
        <f>IF(E185=H185,0,IF(E185=0,100,(H185-E185)/E185*100))</f>
        <v>-4.9876339653751032</v>
      </c>
      <c r="J185" s="9">
        <f t="shared" si="366"/>
        <v>487000</v>
      </c>
      <c r="K185" s="9">
        <f t="shared" si="366"/>
        <v>498400</v>
      </c>
      <c r="L185" s="9">
        <f t="shared" si="366"/>
        <v>510000</v>
      </c>
      <c r="M185" s="9">
        <f t="shared" si="366"/>
        <v>521900</v>
      </c>
      <c r="N185" s="9">
        <f t="shared" si="366"/>
        <v>534000</v>
      </c>
      <c r="O185" s="9">
        <f t="shared" si="366"/>
        <v>546400</v>
      </c>
      <c r="P185" s="89">
        <f t="shared" si="366"/>
        <v>559100</v>
      </c>
      <c r="Q185" s="9">
        <f t="shared" ref="Q185" si="367">SUM(Q422:Q426)</f>
        <v>572100</v>
      </c>
      <c r="R185" s="9">
        <f t="shared" ref="R185" si="368">SUM(R422:R426)</f>
        <v>585400</v>
      </c>
      <c r="S185" s="47">
        <f t="shared" ref="S185" si="369">SUM(S422:S426)</f>
        <v>599000</v>
      </c>
    </row>
    <row r="186" spans="1:19" x14ac:dyDescent="0.2">
      <c r="A186" s="54">
        <f>ROUND(SUM(A427:A443),-3)</f>
        <v>48000</v>
      </c>
      <c r="B186" s="9">
        <f>SUM(B427:B443)</f>
        <v>73700</v>
      </c>
      <c r="C186" s="9">
        <f>SUM(C427:C443)</f>
        <v>73900</v>
      </c>
      <c r="D186" s="9">
        <f>SUM(D427:D443)</f>
        <v>70700</v>
      </c>
      <c r="E186" s="9">
        <f t="shared" ref="E186" si="370">SUM(E427:E443)</f>
        <v>80000</v>
      </c>
      <c r="F186" s="1153">
        <v>31083</v>
      </c>
      <c r="G186" s="1173" t="s">
        <v>1656</v>
      </c>
      <c r="H186" s="9">
        <f t="shared" ref="H186:P186" si="371">SUM(H427:H443)</f>
        <v>94900</v>
      </c>
      <c r="I186" s="85">
        <f>IF(E186=H186,0,IF(E186=0,100,(H186-E186)/E186*100))</f>
        <v>18.625</v>
      </c>
      <c r="J186" s="9">
        <f t="shared" si="371"/>
        <v>86700</v>
      </c>
      <c r="K186" s="9">
        <f t="shared" si="371"/>
        <v>89700</v>
      </c>
      <c r="L186" s="9">
        <f t="shared" si="371"/>
        <v>93000</v>
      </c>
      <c r="M186" s="9">
        <f t="shared" si="371"/>
        <v>96300</v>
      </c>
      <c r="N186" s="9">
        <f t="shared" si="371"/>
        <v>99600</v>
      </c>
      <c r="O186" s="9">
        <f t="shared" si="371"/>
        <v>102900</v>
      </c>
      <c r="P186" s="89">
        <f t="shared" si="371"/>
        <v>106300</v>
      </c>
      <c r="Q186" s="9">
        <f t="shared" ref="Q186" si="372">SUM(Q427:Q443)</f>
        <v>109900</v>
      </c>
      <c r="R186" s="9">
        <f t="shared" ref="R186" si="373">SUM(R427:R443)</f>
        <v>113600</v>
      </c>
      <c r="S186" s="47">
        <f t="shared" ref="S186" si="374">SUM(S427:S443)</f>
        <v>117300</v>
      </c>
    </row>
    <row r="187" spans="1:19" x14ac:dyDescent="0.2">
      <c r="A187" s="54"/>
      <c r="B187" s="9"/>
      <c r="C187" s="9"/>
      <c r="D187" s="9"/>
      <c r="E187" s="9"/>
      <c r="F187" s="165"/>
      <c r="G187" s="1173"/>
      <c r="H187" s="9"/>
      <c r="I187" s="85"/>
      <c r="J187" s="9"/>
      <c r="K187" s="9"/>
      <c r="L187" s="9"/>
      <c r="M187" s="9"/>
      <c r="N187" s="9"/>
      <c r="O187" s="9"/>
      <c r="P187" s="89"/>
      <c r="Q187" s="9"/>
      <c r="R187" s="9"/>
      <c r="S187" s="47"/>
    </row>
    <row r="188" spans="1:19" x14ac:dyDescent="0.2">
      <c r="A188" s="54"/>
      <c r="B188" s="9"/>
      <c r="C188" s="9"/>
      <c r="D188" s="9"/>
      <c r="E188" s="9"/>
      <c r="F188" s="165"/>
      <c r="G188" s="122" t="s">
        <v>1112</v>
      </c>
      <c r="H188" s="9"/>
      <c r="I188" s="85"/>
      <c r="J188" s="9"/>
      <c r="K188" s="9"/>
      <c r="L188" s="9"/>
      <c r="M188" s="9"/>
      <c r="N188" s="9"/>
      <c r="O188" s="9"/>
      <c r="P188" s="89"/>
      <c r="Q188" s="9"/>
      <c r="R188" s="9"/>
      <c r="S188" s="47"/>
    </row>
    <row r="189" spans="1:19" x14ac:dyDescent="0.2">
      <c r="A189" s="54">
        <f>ROUND(SUM(A444:A445),-3)</f>
        <v>3000</v>
      </c>
      <c r="B189" s="9">
        <f>SUM(B444:B445)</f>
        <v>3000</v>
      </c>
      <c r="C189" s="9">
        <f>SUM(C444:C445)</f>
        <v>2500</v>
      </c>
      <c r="D189" s="9">
        <f>SUM(D444:D445)</f>
        <v>2200</v>
      </c>
      <c r="E189" s="9">
        <f t="shared" ref="E189" si="375">SUM(E444:E445)</f>
        <v>1800</v>
      </c>
      <c r="F189" s="165">
        <v>31083</v>
      </c>
      <c r="G189" s="1173" t="s">
        <v>697</v>
      </c>
      <c r="H189" s="9">
        <f t="shared" ref="H189:O189" si="376">SUM(H444:H445)</f>
        <v>1300</v>
      </c>
      <c r="I189" s="85">
        <f>IF(E189=H189,0,IF(E189=0,100,(H189-E189)/E189*100))</f>
        <v>-27.777777777777779</v>
      </c>
      <c r="J189" s="9">
        <f t="shared" si="376"/>
        <v>800</v>
      </c>
      <c r="K189" s="9">
        <f t="shared" si="376"/>
        <v>300</v>
      </c>
      <c r="L189" s="9">
        <f t="shared" si="376"/>
        <v>0</v>
      </c>
      <c r="M189" s="9">
        <f t="shared" si="376"/>
        <v>0</v>
      </c>
      <c r="N189" s="9">
        <f t="shared" si="376"/>
        <v>0</v>
      </c>
      <c r="O189" s="9">
        <f t="shared" si="376"/>
        <v>0</v>
      </c>
      <c r="P189" s="89">
        <f t="shared" ref="P189:Q189" si="377">SUM(P444:P445)</f>
        <v>0</v>
      </c>
      <c r="Q189" s="9">
        <f t="shared" si="377"/>
        <v>0</v>
      </c>
      <c r="R189" s="9">
        <f t="shared" ref="R189" si="378">SUM(R444:R445)</f>
        <v>0</v>
      </c>
      <c r="S189" s="47">
        <f t="shared" ref="S189" si="379">SUM(S444:S445)</f>
        <v>0</v>
      </c>
    </row>
    <row r="190" spans="1:19" x14ac:dyDescent="0.2">
      <c r="A190" s="54"/>
      <c r="B190" s="9"/>
      <c r="C190" s="9"/>
      <c r="D190" s="9"/>
      <c r="E190" s="9"/>
      <c r="F190" s="165"/>
      <c r="G190" s="1173"/>
      <c r="H190" s="9"/>
      <c r="I190" s="85"/>
      <c r="J190" s="9"/>
      <c r="K190" s="9"/>
      <c r="L190" s="9"/>
      <c r="M190" s="9"/>
      <c r="N190" s="9"/>
      <c r="O190" s="9"/>
      <c r="P190" s="89"/>
      <c r="Q190" s="9"/>
      <c r="R190" s="9"/>
      <c r="S190" s="47"/>
    </row>
    <row r="191" spans="1:19" x14ac:dyDescent="0.2">
      <c r="A191" s="54"/>
      <c r="B191" s="9"/>
      <c r="C191" s="9"/>
      <c r="D191" s="9"/>
      <c r="E191" s="9"/>
      <c r="F191" s="165"/>
      <c r="G191" s="853" t="s">
        <v>261</v>
      </c>
      <c r="H191" s="9"/>
      <c r="I191" s="85"/>
      <c r="J191" s="9"/>
      <c r="K191" s="9"/>
      <c r="L191" s="9"/>
      <c r="M191" s="9"/>
      <c r="N191" s="9"/>
      <c r="O191" s="9"/>
      <c r="P191" s="89"/>
      <c r="Q191" s="9"/>
      <c r="R191" s="9"/>
      <c r="S191" s="47"/>
    </row>
    <row r="192" spans="1:19" x14ac:dyDescent="0.2">
      <c r="A192" s="54">
        <f>ROUND(A447,-3)</f>
        <v>5000</v>
      </c>
      <c r="B192" s="9">
        <f>B447</f>
        <v>9800</v>
      </c>
      <c r="C192" s="9">
        <f>C447</f>
        <v>4400</v>
      </c>
      <c r="D192" s="9">
        <f>D447</f>
        <v>4500</v>
      </c>
      <c r="E192" s="9">
        <f t="shared" ref="E192" si="380">E447</f>
        <v>5300</v>
      </c>
      <c r="F192" s="165">
        <v>31083</v>
      </c>
      <c r="G192" s="1173" t="s">
        <v>2513</v>
      </c>
      <c r="H192" s="9">
        <f t="shared" ref="H192:O192" si="381">H447</f>
        <v>4500</v>
      </c>
      <c r="I192" s="85">
        <f>IF(E192=H192,0,IF(E192=0,100,(H192-E192)/E192*100))</f>
        <v>-15.09433962264151</v>
      </c>
      <c r="J192" s="9">
        <f t="shared" si="381"/>
        <v>5500</v>
      </c>
      <c r="K192" s="9">
        <f t="shared" si="381"/>
        <v>5700</v>
      </c>
      <c r="L192" s="9">
        <f t="shared" si="381"/>
        <v>5900</v>
      </c>
      <c r="M192" s="9">
        <f t="shared" si="381"/>
        <v>6100</v>
      </c>
      <c r="N192" s="9">
        <f t="shared" si="381"/>
        <v>6300</v>
      </c>
      <c r="O192" s="9">
        <f t="shared" si="381"/>
        <v>6500</v>
      </c>
      <c r="P192" s="89">
        <f t="shared" ref="P192:Q192" si="382">P447</f>
        <v>6700</v>
      </c>
      <c r="Q192" s="9">
        <f t="shared" si="382"/>
        <v>6900</v>
      </c>
      <c r="R192" s="9">
        <f t="shared" ref="R192" si="383">R447</f>
        <v>7100</v>
      </c>
      <c r="S192" s="47">
        <f t="shared" ref="S192" si="384">S447</f>
        <v>7300</v>
      </c>
    </row>
    <row r="193" spans="1:19" ht="13.5" thickBot="1" x14ac:dyDescent="0.25">
      <c r="A193" s="54"/>
      <c r="B193" s="9"/>
      <c r="C193" s="9"/>
      <c r="D193" s="9"/>
      <c r="E193" s="9"/>
      <c r="F193" s="1153"/>
      <c r="G193" s="55"/>
      <c r="H193" s="9"/>
      <c r="I193" s="85"/>
      <c r="J193" s="9"/>
      <c r="K193" s="9"/>
      <c r="L193" s="9"/>
      <c r="M193" s="9"/>
      <c r="N193" s="9"/>
      <c r="O193" s="9"/>
      <c r="P193" s="89"/>
      <c r="Q193" s="9"/>
      <c r="R193" s="9"/>
      <c r="S193" s="47"/>
    </row>
    <row r="194" spans="1:19" s="39" customFormat="1" x14ac:dyDescent="0.2">
      <c r="A194" s="52">
        <f>SUM(A182:A193)</f>
        <v>388000</v>
      </c>
      <c r="B194" s="16">
        <f>SUM(B182:B193)</f>
        <v>480900</v>
      </c>
      <c r="C194" s="16">
        <f>SUM(C182:C193)</f>
        <v>524100</v>
      </c>
      <c r="D194" s="16">
        <f>SUM(D182:D193)</f>
        <v>547200</v>
      </c>
      <c r="E194" s="16">
        <f>SUM(E182:E193)</f>
        <v>572300</v>
      </c>
      <c r="F194" s="484"/>
      <c r="G194" s="59" t="s">
        <v>556</v>
      </c>
      <c r="H194" s="16">
        <f>SUM(H182:H193)</f>
        <v>561700</v>
      </c>
      <c r="I194" s="127">
        <f>IF(E194=H194,0,IF(E194=0,100,(H194-E194)/E194*100))</f>
        <v>-1.8521754324654902</v>
      </c>
      <c r="J194" s="16">
        <f t="shared" ref="J194:R194" si="385">SUM(J182:J193)</f>
        <v>580000</v>
      </c>
      <c r="K194" s="16">
        <f t="shared" si="385"/>
        <v>594100</v>
      </c>
      <c r="L194" s="16">
        <f t="shared" si="385"/>
        <v>608900</v>
      </c>
      <c r="M194" s="16">
        <f t="shared" si="385"/>
        <v>624300</v>
      </c>
      <c r="N194" s="16">
        <f t="shared" si="385"/>
        <v>639900</v>
      </c>
      <c r="O194" s="16">
        <f t="shared" si="385"/>
        <v>655800</v>
      </c>
      <c r="P194" s="102">
        <f t="shared" si="385"/>
        <v>672100</v>
      </c>
      <c r="Q194" s="16">
        <f t="shared" si="385"/>
        <v>688900</v>
      </c>
      <c r="R194" s="16">
        <f t="shared" si="385"/>
        <v>706100</v>
      </c>
      <c r="S194" s="2342">
        <f t="shared" ref="S194" si="386">SUM(S182:S193)</f>
        <v>723600</v>
      </c>
    </row>
    <row r="195" spans="1:19" x14ac:dyDescent="0.2">
      <c r="A195" s="54"/>
      <c r="B195" s="9"/>
      <c r="C195" s="9"/>
      <c r="D195" s="9"/>
      <c r="E195" s="9"/>
      <c r="F195" s="483"/>
      <c r="G195" s="55"/>
      <c r="H195" s="9"/>
      <c r="I195" s="85"/>
      <c r="J195" s="9"/>
      <c r="K195" s="9"/>
      <c r="L195" s="9"/>
      <c r="M195" s="9"/>
      <c r="N195" s="9"/>
      <c r="O195" s="9"/>
      <c r="P195" s="89"/>
      <c r="Q195" s="9"/>
      <c r="R195" s="9"/>
      <c r="S195" s="47"/>
    </row>
    <row r="196" spans="1:19" s="39" customFormat="1" x14ac:dyDescent="0.2">
      <c r="A196" s="24">
        <f>A180-A194</f>
        <v>-277400</v>
      </c>
      <c r="B196" s="21">
        <f>B180-B194</f>
        <v>-317500</v>
      </c>
      <c r="C196" s="21">
        <f>C180-C194</f>
        <v>-210200</v>
      </c>
      <c r="D196" s="21">
        <f>D180-D194</f>
        <v>-314100</v>
      </c>
      <c r="E196" s="21">
        <f>E180-E194</f>
        <v>-389000</v>
      </c>
      <c r="F196" s="484"/>
      <c r="G196" s="366" t="s">
        <v>1002</v>
      </c>
      <c r="H196" s="21">
        <f>H180-H194</f>
        <v>-331700</v>
      </c>
      <c r="I196" s="126">
        <f>IF(E196=H196,0,IF(E196=0,100,(H196-E196)/E196*100))</f>
        <v>-14.730077120822621</v>
      </c>
      <c r="J196" s="21">
        <f t="shared" ref="J196:R196" si="387">J180-J194</f>
        <v>-346800</v>
      </c>
      <c r="K196" s="21">
        <f t="shared" si="387"/>
        <v>-354500</v>
      </c>
      <c r="L196" s="21">
        <f t="shared" si="387"/>
        <v>-362700</v>
      </c>
      <c r="M196" s="21">
        <f t="shared" si="387"/>
        <v>-371400</v>
      </c>
      <c r="N196" s="21">
        <f t="shared" si="387"/>
        <v>-380200</v>
      </c>
      <c r="O196" s="21">
        <f t="shared" si="387"/>
        <v>-389200</v>
      </c>
      <c r="P196" s="75">
        <f t="shared" si="387"/>
        <v>-398400</v>
      </c>
      <c r="Q196" s="21">
        <f t="shared" si="387"/>
        <v>-407900</v>
      </c>
      <c r="R196" s="21">
        <f t="shared" si="387"/>
        <v>-417600</v>
      </c>
      <c r="S196" s="86">
        <f t="shared" ref="S196" si="388">S180-S194</f>
        <v>-427300</v>
      </c>
    </row>
    <row r="197" spans="1:19" x14ac:dyDescent="0.2">
      <c r="A197" s="45">
        <f>A192</f>
        <v>5000</v>
      </c>
      <c r="B197" s="9">
        <f>B192</f>
        <v>9800</v>
      </c>
      <c r="C197" s="9">
        <f>C192</f>
        <v>4400</v>
      </c>
      <c r="D197" s="9">
        <f>D192</f>
        <v>4500</v>
      </c>
      <c r="E197" s="9">
        <f t="shared" ref="E197" si="389">E192</f>
        <v>5300</v>
      </c>
      <c r="F197" s="483"/>
      <c r="G197" s="1462" t="s">
        <v>1943</v>
      </c>
      <c r="H197" s="9">
        <f t="shared" ref="H197:O197" si="390">H192</f>
        <v>4500</v>
      </c>
      <c r="I197" s="85">
        <f>IF(E197=H197,0,IF(E197=0,100,(H197-E197)/E197*100))</f>
        <v>-15.09433962264151</v>
      </c>
      <c r="J197" s="9">
        <f t="shared" si="390"/>
        <v>5500</v>
      </c>
      <c r="K197" s="9">
        <f t="shared" si="390"/>
        <v>5700</v>
      </c>
      <c r="L197" s="9">
        <f t="shared" si="390"/>
        <v>5900</v>
      </c>
      <c r="M197" s="9">
        <f t="shared" si="390"/>
        <v>6100</v>
      </c>
      <c r="N197" s="9">
        <f t="shared" si="390"/>
        <v>6300</v>
      </c>
      <c r="O197" s="9">
        <f t="shared" si="390"/>
        <v>6500</v>
      </c>
      <c r="P197" s="89">
        <f t="shared" ref="P197:Q197" si="391">P192</f>
        <v>6700</v>
      </c>
      <c r="Q197" s="9">
        <f t="shared" si="391"/>
        <v>6900</v>
      </c>
      <c r="R197" s="9">
        <f t="shared" ref="R197" si="392">R192</f>
        <v>7100</v>
      </c>
      <c r="S197" s="47">
        <f t="shared" ref="S197" si="393">S192</f>
        <v>7300</v>
      </c>
    </row>
    <row r="198" spans="1:19" s="39" customFormat="1" x14ac:dyDescent="0.2">
      <c r="A198" s="543">
        <f>A196+A197</f>
        <v>-272400</v>
      </c>
      <c r="B198" s="280">
        <f>B196+B197</f>
        <v>-307700</v>
      </c>
      <c r="C198" s="280">
        <f>C196+C197</f>
        <v>-205800</v>
      </c>
      <c r="D198" s="280">
        <f>D196+D197</f>
        <v>-309600</v>
      </c>
      <c r="E198" s="280">
        <f t="shared" ref="E198" si="394">E196+E197</f>
        <v>-383700</v>
      </c>
      <c r="F198" s="485"/>
      <c r="G198" s="1166" t="s">
        <v>1659</v>
      </c>
      <c r="H198" s="280">
        <f t="shared" ref="H198:O198" si="395">H196+H197</f>
        <v>-327200</v>
      </c>
      <c r="I198" s="278">
        <f>IF(E198=H198,0,IF(E198=0,100,(H198-E198)/E198*100))</f>
        <v>-14.725045608548346</v>
      </c>
      <c r="J198" s="280">
        <f t="shared" si="395"/>
        <v>-341300</v>
      </c>
      <c r="K198" s="280">
        <f t="shared" si="395"/>
        <v>-348800</v>
      </c>
      <c r="L198" s="280">
        <f t="shared" si="395"/>
        <v>-356800</v>
      </c>
      <c r="M198" s="280">
        <f t="shared" si="395"/>
        <v>-365300</v>
      </c>
      <c r="N198" s="280">
        <f t="shared" si="395"/>
        <v>-373900</v>
      </c>
      <c r="O198" s="280">
        <f t="shared" si="395"/>
        <v>-382700</v>
      </c>
      <c r="P198" s="266">
        <f t="shared" ref="P198:Q198" si="396">P196+P197</f>
        <v>-391700</v>
      </c>
      <c r="Q198" s="280">
        <f t="shared" si="396"/>
        <v>-401000</v>
      </c>
      <c r="R198" s="280">
        <f t="shared" ref="R198" si="397">R196+R197</f>
        <v>-410500</v>
      </c>
      <c r="S198" s="2343">
        <f t="shared" ref="S198" si="398">S196+S197</f>
        <v>-420000</v>
      </c>
    </row>
    <row r="199" spans="1:19" ht="13.5" thickBot="1" x14ac:dyDescent="0.25">
      <c r="A199" s="432"/>
      <c r="B199" s="37"/>
      <c r="C199" s="37"/>
      <c r="D199" s="37"/>
      <c r="E199" s="37"/>
      <c r="F199" s="494"/>
      <c r="G199" s="66"/>
      <c r="H199" s="68"/>
      <c r="I199" s="275"/>
      <c r="J199" s="68"/>
      <c r="K199" s="68"/>
      <c r="L199" s="68"/>
      <c r="M199" s="68"/>
      <c r="N199" s="68"/>
      <c r="O199" s="68"/>
      <c r="P199" s="42"/>
      <c r="Q199" s="68"/>
      <c r="R199" s="68"/>
      <c r="S199" s="2344"/>
    </row>
    <row r="200" spans="1:19" ht="13.5" thickTop="1" x14ac:dyDescent="0.2">
      <c r="A200" s="1434"/>
      <c r="B200" s="109"/>
      <c r="C200" s="109"/>
      <c r="D200" s="109"/>
      <c r="E200" s="109"/>
      <c r="F200" s="468"/>
      <c r="G200" s="71"/>
      <c r="H200" s="74"/>
      <c r="I200" s="352"/>
      <c r="J200" s="74"/>
      <c r="K200" s="74"/>
      <c r="L200" s="74"/>
      <c r="M200" s="74"/>
      <c r="N200" s="74"/>
      <c r="O200" s="74"/>
      <c r="P200" s="111"/>
      <c r="Q200" s="74"/>
      <c r="R200" s="74"/>
      <c r="S200" s="2345"/>
    </row>
    <row r="201" spans="1:19" x14ac:dyDescent="0.2">
      <c r="A201" s="544"/>
      <c r="B201" s="21"/>
      <c r="C201" s="21"/>
      <c r="D201" s="21"/>
      <c r="E201" s="21"/>
      <c r="F201" s="468"/>
      <c r="G201" s="1160" t="s">
        <v>192</v>
      </c>
      <c r="H201" s="9"/>
      <c r="I201" s="126"/>
      <c r="J201" s="9"/>
      <c r="K201" s="9"/>
      <c r="L201" s="9"/>
      <c r="M201" s="9"/>
      <c r="N201" s="9"/>
      <c r="O201" s="9"/>
      <c r="P201" s="89"/>
      <c r="Q201" s="9"/>
      <c r="R201" s="9"/>
      <c r="S201" s="47"/>
    </row>
    <row r="202" spans="1:19" x14ac:dyDescent="0.2">
      <c r="A202" s="544"/>
      <c r="B202" s="21"/>
      <c r="C202" s="21"/>
      <c r="D202" s="21"/>
      <c r="E202" s="21"/>
      <c r="F202" s="468"/>
      <c r="G202" s="122"/>
      <c r="H202" s="9"/>
      <c r="I202" s="126"/>
      <c r="J202" s="9"/>
      <c r="K202" s="9"/>
      <c r="L202" s="9"/>
      <c r="M202" s="9"/>
      <c r="N202" s="9"/>
      <c r="O202" s="9"/>
      <c r="P202" s="89"/>
      <c r="Q202" s="9"/>
      <c r="R202" s="9"/>
      <c r="S202" s="47"/>
    </row>
    <row r="203" spans="1:19" x14ac:dyDescent="0.2">
      <c r="A203" s="45">
        <f t="shared" ref="A203:A207" si="399">ROUND(A455,-3)</f>
        <v>6000</v>
      </c>
      <c r="B203" s="9">
        <f t="shared" ref="B203:C207" si="400">B455</f>
        <v>6100</v>
      </c>
      <c r="C203" s="9">
        <f t="shared" si="400"/>
        <v>6500</v>
      </c>
      <c r="D203" s="9">
        <f>D455</f>
        <v>6900</v>
      </c>
      <c r="E203" s="9">
        <f t="shared" ref="E203" si="401">E455</f>
        <v>7300</v>
      </c>
      <c r="F203" s="468"/>
      <c r="G203" s="1173" t="s">
        <v>1759</v>
      </c>
      <c r="H203" s="9">
        <f t="shared" ref="H203:O203" si="402">H455</f>
        <v>7800</v>
      </c>
      <c r="I203" s="85">
        <f>IF(E203=H203,0,IF(E203=0,100,(H203-E203)/E203*100))</f>
        <v>6.8493150684931505</v>
      </c>
      <c r="J203" s="9">
        <f t="shared" si="402"/>
        <v>8300</v>
      </c>
      <c r="K203" s="9">
        <f t="shared" si="402"/>
        <v>7300</v>
      </c>
      <c r="L203" s="9">
        <f t="shared" si="402"/>
        <v>0</v>
      </c>
      <c r="M203" s="9">
        <f t="shared" si="402"/>
        <v>0</v>
      </c>
      <c r="N203" s="9">
        <f t="shared" si="402"/>
        <v>0</v>
      </c>
      <c r="O203" s="9">
        <f t="shared" si="402"/>
        <v>0</v>
      </c>
      <c r="P203" s="89">
        <f t="shared" ref="P203:Q203" si="403">P455</f>
        <v>0</v>
      </c>
      <c r="Q203" s="9">
        <f t="shared" si="403"/>
        <v>0</v>
      </c>
      <c r="R203" s="9">
        <f t="shared" ref="R203" si="404">R455</f>
        <v>0</v>
      </c>
      <c r="S203" s="47">
        <f t="shared" ref="S203" si="405">S455</f>
        <v>0</v>
      </c>
    </row>
    <row r="204" spans="1:19" x14ac:dyDescent="0.2">
      <c r="A204" s="45">
        <f t="shared" si="399"/>
        <v>134000</v>
      </c>
      <c r="B204" s="9">
        <f t="shared" si="400"/>
        <v>385300</v>
      </c>
      <c r="C204" s="9">
        <f t="shared" si="400"/>
        <v>0</v>
      </c>
      <c r="D204" s="9">
        <f>D456</f>
        <v>0</v>
      </c>
      <c r="E204" s="9">
        <f t="shared" ref="E204" si="406">E456</f>
        <v>6500</v>
      </c>
      <c r="F204" s="468"/>
      <c r="G204" s="1173" t="s">
        <v>1909</v>
      </c>
      <c r="H204" s="9">
        <f t="shared" ref="H204:O204" si="407">H456</f>
        <v>500</v>
      </c>
      <c r="I204" s="85">
        <f>IF(E204=H204,0,IF(E204=0,100,(H204-E204)/E204*100))</f>
        <v>-92.307692307692307</v>
      </c>
      <c r="J204" s="9">
        <f t="shared" si="407"/>
        <v>0</v>
      </c>
      <c r="K204" s="9">
        <f t="shared" si="407"/>
        <v>0</v>
      </c>
      <c r="L204" s="9">
        <f t="shared" si="407"/>
        <v>0</v>
      </c>
      <c r="M204" s="9">
        <f t="shared" si="407"/>
        <v>0</v>
      </c>
      <c r="N204" s="9">
        <f t="shared" si="407"/>
        <v>0</v>
      </c>
      <c r="O204" s="9">
        <f t="shared" si="407"/>
        <v>0</v>
      </c>
      <c r="P204" s="89">
        <f t="shared" ref="P204:Q204" si="408">P456</f>
        <v>0</v>
      </c>
      <c r="Q204" s="9">
        <f t="shared" si="408"/>
        <v>0</v>
      </c>
      <c r="R204" s="9">
        <f t="shared" ref="R204" si="409">R456</f>
        <v>0</v>
      </c>
      <c r="S204" s="47">
        <f t="shared" ref="S204" si="410">S456</f>
        <v>0</v>
      </c>
    </row>
    <row r="205" spans="1:19" x14ac:dyDescent="0.2">
      <c r="A205" s="45">
        <f t="shared" si="399"/>
        <v>276000</v>
      </c>
      <c r="B205" s="9">
        <f t="shared" si="400"/>
        <v>843800</v>
      </c>
      <c r="C205" s="89">
        <f t="shared" si="400"/>
        <v>25300</v>
      </c>
      <c r="D205" s="89">
        <f>D457</f>
        <v>0</v>
      </c>
      <c r="E205" s="9">
        <f t="shared" ref="E205" si="411">E457</f>
        <v>0</v>
      </c>
      <c r="F205" s="468"/>
      <c r="G205" s="1173" t="s">
        <v>2309</v>
      </c>
      <c r="H205" s="9">
        <f t="shared" ref="H205:O205" si="412">H457</f>
        <v>6500</v>
      </c>
      <c r="I205" s="85">
        <f>IF(E205=H205,0,IF(E205=0,100,(H205-E205)/E205*100))</f>
        <v>100</v>
      </c>
      <c r="J205" s="9">
        <f t="shared" si="412"/>
        <v>0</v>
      </c>
      <c r="K205" s="9">
        <f t="shared" si="412"/>
        <v>0</v>
      </c>
      <c r="L205" s="9">
        <f t="shared" si="412"/>
        <v>0</v>
      </c>
      <c r="M205" s="9">
        <f t="shared" si="412"/>
        <v>0</v>
      </c>
      <c r="N205" s="9">
        <f t="shared" si="412"/>
        <v>0</v>
      </c>
      <c r="O205" s="9">
        <f t="shared" si="412"/>
        <v>0</v>
      </c>
      <c r="P205" s="89">
        <f t="shared" ref="P205:Q205" si="413">P457</f>
        <v>0</v>
      </c>
      <c r="Q205" s="9">
        <f t="shared" si="413"/>
        <v>0</v>
      </c>
      <c r="R205" s="9">
        <f t="shared" ref="R205" si="414">R457</f>
        <v>0</v>
      </c>
      <c r="S205" s="47">
        <f t="shared" ref="S205" si="415">S457</f>
        <v>0</v>
      </c>
    </row>
    <row r="206" spans="1:19" x14ac:dyDescent="0.2">
      <c r="A206" s="45">
        <f t="shared" si="399"/>
        <v>0</v>
      </c>
      <c r="B206" s="9">
        <f t="shared" si="400"/>
        <v>340000</v>
      </c>
      <c r="C206" s="9">
        <f t="shared" si="400"/>
        <v>0</v>
      </c>
      <c r="D206" s="9">
        <f>D458</f>
        <v>0</v>
      </c>
      <c r="E206" s="9">
        <f t="shared" ref="E206" si="416">E458</f>
        <v>0</v>
      </c>
      <c r="F206" s="468"/>
      <c r="G206" s="1173" t="s">
        <v>5847</v>
      </c>
      <c r="H206" s="9">
        <f t="shared" ref="H206:O206" si="417">H458</f>
        <v>0</v>
      </c>
      <c r="I206" s="85">
        <f>IF(E206=H206,0,IF(E206=0,100,(H206-E206)/E206*100))</f>
        <v>0</v>
      </c>
      <c r="J206" s="9">
        <f t="shared" si="417"/>
        <v>0</v>
      </c>
      <c r="K206" s="9">
        <f t="shared" si="417"/>
        <v>0</v>
      </c>
      <c r="L206" s="9">
        <f t="shared" si="417"/>
        <v>0</v>
      </c>
      <c r="M206" s="9">
        <f t="shared" si="417"/>
        <v>0</v>
      </c>
      <c r="N206" s="9">
        <f t="shared" si="417"/>
        <v>0</v>
      </c>
      <c r="O206" s="9">
        <f t="shared" si="417"/>
        <v>0</v>
      </c>
      <c r="P206" s="89">
        <f t="shared" ref="P206:Q206" si="418">P458</f>
        <v>0</v>
      </c>
      <c r="Q206" s="9">
        <f t="shared" si="418"/>
        <v>0</v>
      </c>
      <c r="R206" s="9">
        <f t="shared" ref="R206" si="419">R458</f>
        <v>0</v>
      </c>
      <c r="S206" s="47">
        <f t="shared" ref="S206" si="420">S458</f>
        <v>0</v>
      </c>
    </row>
    <row r="207" spans="1:19" x14ac:dyDescent="0.2">
      <c r="A207" s="45">
        <f t="shared" si="399"/>
        <v>142000</v>
      </c>
      <c r="B207" s="9">
        <f t="shared" si="400"/>
        <v>796900</v>
      </c>
      <c r="C207" s="9">
        <f t="shared" si="400"/>
        <v>22400</v>
      </c>
      <c r="D207" s="9">
        <f>D459</f>
        <v>5100</v>
      </c>
      <c r="E207" s="9">
        <f t="shared" ref="E207" si="421">E459</f>
        <v>0</v>
      </c>
      <c r="F207" s="468"/>
      <c r="G207" s="1173" t="s">
        <v>958</v>
      </c>
      <c r="H207" s="9">
        <f t="shared" ref="H207:O207" si="422">H459</f>
        <v>0</v>
      </c>
      <c r="I207" s="85">
        <f>IF(E207=H207,0,IF(E207=0,100,(H207-E207)/E207*100))</f>
        <v>0</v>
      </c>
      <c r="J207" s="9">
        <f t="shared" si="422"/>
        <v>0</v>
      </c>
      <c r="K207" s="9">
        <f t="shared" si="422"/>
        <v>0</v>
      </c>
      <c r="L207" s="9">
        <f t="shared" si="422"/>
        <v>0</v>
      </c>
      <c r="M207" s="9">
        <f t="shared" si="422"/>
        <v>0</v>
      </c>
      <c r="N207" s="9">
        <f t="shared" si="422"/>
        <v>0</v>
      </c>
      <c r="O207" s="9">
        <f t="shared" si="422"/>
        <v>0</v>
      </c>
      <c r="P207" s="89">
        <f t="shared" ref="P207:Q207" si="423">P459</f>
        <v>0</v>
      </c>
      <c r="Q207" s="9">
        <f t="shared" si="423"/>
        <v>0</v>
      </c>
      <c r="R207" s="9">
        <f t="shared" ref="R207" si="424">R459</f>
        <v>0</v>
      </c>
      <c r="S207" s="47">
        <f t="shared" ref="S207" si="425">S459</f>
        <v>0</v>
      </c>
    </row>
    <row r="208" spans="1:19" x14ac:dyDescent="0.2">
      <c r="A208" s="45"/>
      <c r="B208" s="9"/>
      <c r="C208" s="9"/>
      <c r="D208" s="9"/>
      <c r="E208" s="9"/>
      <c r="F208" s="468"/>
      <c r="G208" s="1160"/>
      <c r="H208" s="9"/>
      <c r="I208" s="85"/>
      <c r="J208" s="9"/>
      <c r="K208" s="9"/>
      <c r="L208" s="9"/>
      <c r="M208" s="9"/>
      <c r="N208" s="9"/>
      <c r="O208" s="9"/>
      <c r="P208" s="89"/>
      <c r="Q208" s="9"/>
      <c r="R208" s="9"/>
      <c r="S208" s="61"/>
    </row>
    <row r="209" spans="1:19" s="39" customFormat="1" x14ac:dyDescent="0.2">
      <c r="A209" s="543">
        <f>A198-A203-A204+A205++A206-A207</f>
        <v>-278400</v>
      </c>
      <c r="B209" s="280">
        <f>B198-B203-B204+B205++B206-B207</f>
        <v>-312200</v>
      </c>
      <c r="C209" s="280">
        <f>C198-C203-C204+C205++C206-C207</f>
        <v>-209400</v>
      </c>
      <c r="D209" s="280">
        <f>D198-D203-D204+D205++D206-D207</f>
        <v>-321600</v>
      </c>
      <c r="E209" s="280">
        <f t="shared" ref="E209" si="426">E198-E203-E204+E205++E206-E207</f>
        <v>-397500</v>
      </c>
      <c r="F209" s="488"/>
      <c r="G209" s="1166" t="s">
        <v>2447</v>
      </c>
      <c r="H209" s="280">
        <f t="shared" ref="H209:O209" si="427">H198-H203-H204+H205++H206-H207</f>
        <v>-329000</v>
      </c>
      <c r="I209" s="278">
        <f>IF(E209=H209,0,IF(E209=0,100,(H209-E209)/E209*100))</f>
        <v>-17.232704402515722</v>
      </c>
      <c r="J209" s="280">
        <f t="shared" si="427"/>
        <v>-349600</v>
      </c>
      <c r="K209" s="280">
        <f t="shared" si="427"/>
        <v>-356100</v>
      </c>
      <c r="L209" s="280">
        <f t="shared" si="427"/>
        <v>-356800</v>
      </c>
      <c r="M209" s="280">
        <f t="shared" si="427"/>
        <v>-365300</v>
      </c>
      <c r="N209" s="280">
        <f t="shared" si="427"/>
        <v>-373900</v>
      </c>
      <c r="O209" s="280">
        <f t="shared" si="427"/>
        <v>-382700</v>
      </c>
      <c r="P209" s="266">
        <f t="shared" ref="P209:Q209" si="428">P198-P203-P204+P205++P206-P207</f>
        <v>-391700</v>
      </c>
      <c r="Q209" s="280">
        <f t="shared" si="428"/>
        <v>-401000</v>
      </c>
      <c r="R209" s="280">
        <f t="shared" ref="R209:S209" si="429">R198-R203-R204+R205++R206-R207</f>
        <v>-410500</v>
      </c>
      <c r="S209" s="282">
        <f t="shared" si="429"/>
        <v>-420000</v>
      </c>
    </row>
    <row r="210" spans="1:19" ht="13.5" thickBot="1" x14ac:dyDescent="0.25">
      <c r="A210" s="432"/>
      <c r="B210" s="37"/>
      <c r="C210" s="37"/>
      <c r="D210" s="37"/>
      <c r="E210" s="37"/>
      <c r="F210" s="489"/>
      <c r="G210" s="66"/>
      <c r="H210" s="23"/>
      <c r="I210" s="275"/>
      <c r="J210" s="23"/>
      <c r="K210" s="23"/>
      <c r="L210" s="23"/>
      <c r="M210" s="23"/>
      <c r="N210" s="23"/>
      <c r="O210" s="23"/>
      <c r="P210" s="113"/>
      <c r="Q210" s="23"/>
      <c r="R210" s="23"/>
      <c r="S210" s="112"/>
    </row>
    <row r="211" spans="1:19" s="46" customFormat="1" ht="14.25" thickTop="1" thickBot="1" x14ac:dyDescent="0.25">
      <c r="A211" s="27"/>
      <c r="B211" s="27"/>
      <c r="C211" s="27"/>
      <c r="D211" s="27"/>
      <c r="F211" s="481"/>
      <c r="G211" s="27"/>
      <c r="I211" s="70"/>
    </row>
    <row r="212" spans="1:19" s="38" customFormat="1" ht="18.75" customHeight="1" thickTop="1" thickBot="1" x14ac:dyDescent="0.3">
      <c r="A212" s="2601" t="str">
        <f>A46</f>
        <v>DEVELOPMENT SERVICES</v>
      </c>
      <c r="B212" s="2602"/>
      <c r="C212" s="2602"/>
      <c r="D212" s="2602"/>
      <c r="E212" s="2602"/>
      <c r="F212" s="2602"/>
      <c r="G212" s="2602"/>
      <c r="H212" s="2602"/>
      <c r="I212" s="2602"/>
      <c r="J212" s="2602"/>
      <c r="K212" s="2602"/>
      <c r="L212" s="2602"/>
      <c r="M212" s="2602"/>
      <c r="N212" s="2602"/>
      <c r="O212" s="2602"/>
      <c r="P212" s="2602"/>
      <c r="Q212" s="2602"/>
      <c r="R212" s="2602"/>
      <c r="S212" s="2603"/>
    </row>
    <row r="213" spans="1:19" s="39" customFormat="1" x14ac:dyDescent="0.2">
      <c r="A213" s="2598" t="s">
        <v>1824</v>
      </c>
      <c r="B213" s="2599"/>
      <c r="C213" s="2599"/>
      <c r="D213" s="2599"/>
      <c r="E213" s="2600"/>
      <c r="F213" s="1163" t="s">
        <v>2616</v>
      </c>
      <c r="G213" s="2231" t="s">
        <v>2213</v>
      </c>
      <c r="H213" s="2576" t="s">
        <v>2215</v>
      </c>
      <c r="I213" s="2577"/>
      <c r="J213" s="2577"/>
      <c r="K213" s="2577"/>
      <c r="L213" s="2577"/>
      <c r="M213" s="2577"/>
      <c r="N213" s="2577"/>
      <c r="O213" s="2577"/>
      <c r="P213" s="2577"/>
      <c r="Q213" s="2577"/>
      <c r="R213" s="2577"/>
      <c r="S213" s="2578"/>
    </row>
    <row r="214" spans="1:19" ht="13.5" thickBot="1" x14ac:dyDescent="0.25">
      <c r="A214" s="1647" t="str">
        <f>A3</f>
        <v>2012/13</v>
      </c>
      <c r="B214" s="40" t="str">
        <f>B3</f>
        <v>2013/14</v>
      </c>
      <c r="C214" s="40" t="str">
        <f>C3</f>
        <v>2014/15</v>
      </c>
      <c r="D214" s="40" t="str">
        <f>D3</f>
        <v>2015/16</v>
      </c>
      <c r="E214" s="40" t="str">
        <f>E3</f>
        <v>2016/17</v>
      </c>
      <c r="F214" s="2071" t="str">
        <f>F170</f>
        <v>ACCOUNT</v>
      </c>
      <c r="G214" s="41"/>
      <c r="H214" s="40" t="str">
        <f t="shared" ref="H214:R214" si="430">H3</f>
        <v>2017/18</v>
      </c>
      <c r="I214" s="40" t="str">
        <f t="shared" si="430"/>
        <v>%</v>
      </c>
      <c r="J214" s="40" t="str">
        <f t="shared" si="430"/>
        <v>2018/19</v>
      </c>
      <c r="K214" s="40" t="str">
        <f t="shared" si="430"/>
        <v>2019/20</v>
      </c>
      <c r="L214" s="40" t="str">
        <f t="shared" si="430"/>
        <v>2020/21</v>
      </c>
      <c r="M214" s="40" t="str">
        <f t="shared" si="430"/>
        <v>2021/22</v>
      </c>
      <c r="N214" s="40" t="str">
        <f t="shared" si="430"/>
        <v>2022/23</v>
      </c>
      <c r="O214" s="40" t="str">
        <f t="shared" si="430"/>
        <v>2023/24</v>
      </c>
      <c r="P214" s="40" t="str">
        <f t="shared" si="430"/>
        <v>2024/25</v>
      </c>
      <c r="Q214" s="40" t="str">
        <f t="shared" si="430"/>
        <v>2025/26</v>
      </c>
      <c r="R214" s="40" t="str">
        <f t="shared" si="430"/>
        <v>2026/27</v>
      </c>
      <c r="S214" s="1620" t="str">
        <f t="shared" ref="S214" si="431">S3</f>
        <v>2027/28</v>
      </c>
    </row>
    <row r="215" spans="1:19" x14ac:dyDescent="0.2">
      <c r="A215" s="54"/>
      <c r="B215" s="9"/>
      <c r="C215" s="9"/>
      <c r="D215" s="9"/>
      <c r="E215" s="9"/>
      <c r="F215" s="483"/>
      <c r="G215" s="46"/>
      <c r="H215" s="9"/>
      <c r="I215" s="85"/>
      <c r="J215" s="9"/>
      <c r="K215" s="9"/>
      <c r="L215" s="9"/>
      <c r="M215" s="9"/>
      <c r="N215" s="9"/>
      <c r="O215" s="9"/>
      <c r="P215" s="9"/>
      <c r="Q215" s="9"/>
      <c r="R215" s="9"/>
      <c r="S215" s="61"/>
    </row>
    <row r="216" spans="1:19" x14ac:dyDescent="0.2">
      <c r="A216" s="54"/>
      <c r="B216" s="9"/>
      <c r="C216" s="9"/>
      <c r="D216" s="9"/>
      <c r="E216" s="9"/>
      <c r="F216" s="483"/>
      <c r="G216" s="91" t="s">
        <v>1056</v>
      </c>
      <c r="H216" s="9"/>
      <c r="I216" s="85"/>
      <c r="J216" s="9"/>
      <c r="K216" s="9"/>
      <c r="L216" s="9"/>
      <c r="M216" s="9"/>
      <c r="N216" s="9"/>
      <c r="O216" s="9"/>
      <c r="P216" s="9"/>
      <c r="Q216" s="9"/>
      <c r="R216" s="9"/>
      <c r="S216" s="61"/>
    </row>
    <row r="217" spans="1:19" x14ac:dyDescent="0.2">
      <c r="A217" s="54"/>
      <c r="B217" s="9"/>
      <c r="C217" s="9"/>
      <c r="D217" s="9"/>
      <c r="E217" s="9"/>
      <c r="F217" s="483"/>
      <c r="G217" s="91"/>
      <c r="H217" s="9"/>
      <c r="I217" s="85"/>
      <c r="J217" s="9"/>
      <c r="K217" s="9"/>
      <c r="L217" s="9"/>
      <c r="M217" s="9"/>
      <c r="N217" s="9"/>
      <c r="O217" s="9"/>
      <c r="P217" s="9"/>
      <c r="Q217" s="9"/>
      <c r="R217" s="9"/>
      <c r="S217" s="61"/>
    </row>
    <row r="218" spans="1:19" x14ac:dyDescent="0.2">
      <c r="A218" s="54"/>
      <c r="B218" s="9"/>
      <c r="C218" s="9"/>
      <c r="D218" s="9"/>
      <c r="E218" s="9"/>
      <c r="F218" s="483"/>
      <c r="G218" s="853" t="s">
        <v>3181</v>
      </c>
      <c r="H218" s="9"/>
      <c r="I218" s="85"/>
      <c r="J218" s="9"/>
      <c r="K218" s="9"/>
      <c r="L218" s="9"/>
      <c r="M218" s="9"/>
      <c r="N218" s="9"/>
      <c r="O218" s="9"/>
      <c r="P218" s="9"/>
      <c r="Q218" s="9"/>
      <c r="R218" s="9"/>
      <c r="S218" s="61"/>
    </row>
    <row r="219" spans="1:19" x14ac:dyDescent="0.2">
      <c r="A219" s="54">
        <v>92500</v>
      </c>
      <c r="B219" s="79">
        <v>110700</v>
      </c>
      <c r="C219" s="9">
        <v>87300</v>
      </c>
      <c r="D219" s="9">
        <v>183600</v>
      </c>
      <c r="E219" s="9">
        <v>235700</v>
      </c>
      <c r="F219" s="469" t="s">
        <v>122</v>
      </c>
      <c r="G219" s="247" t="s">
        <v>1509</v>
      </c>
      <c r="H219" s="79">
        <v>198000</v>
      </c>
      <c r="I219" s="85">
        <f t="shared" ref="I219:I232" si="432">IF(E219=H219,0,IF(E219=0,100,(H219-E219)/E219*100))</f>
        <v>-15.994908782350445</v>
      </c>
      <c r="J219" s="9">
        <v>198000</v>
      </c>
      <c r="K219" s="9">
        <f>ROUNDUP(J219+(J219*Assumptions!J$5),-2)</f>
        <v>203000</v>
      </c>
      <c r="L219" s="9">
        <f>ROUNDUP(K219+(K219*Assumptions!K$5),-2)</f>
        <v>208100</v>
      </c>
      <c r="M219" s="9">
        <f>ROUNDUP(L219+(L219*Assumptions!L$5),-2)</f>
        <v>213400</v>
      </c>
      <c r="N219" s="9">
        <f>ROUNDUP(M219+(M219*Assumptions!M$5),-2)</f>
        <v>218800</v>
      </c>
      <c r="O219" s="9">
        <f>ROUNDUP(N219+(N219*Assumptions!N$5),-2)</f>
        <v>224300</v>
      </c>
      <c r="P219" s="9">
        <f>ROUNDUP(O219+(O219*Assumptions!O$5),-2)</f>
        <v>230000</v>
      </c>
      <c r="Q219" s="9">
        <f>ROUNDUP(P219+(P219*Assumptions!P$5),-2)</f>
        <v>235800</v>
      </c>
      <c r="R219" s="9">
        <f>ROUNDUP(Q219+(Q219*Assumptions!Q$5),-2)</f>
        <v>241700</v>
      </c>
      <c r="S219" s="47">
        <f>ROUNDUP(R219+(R219*Assumptions!R$5),-2)</f>
        <v>247800</v>
      </c>
    </row>
    <row r="220" spans="1:19" x14ac:dyDescent="0.2">
      <c r="A220" s="54">
        <v>33300</v>
      </c>
      <c r="B220" s="79">
        <v>19300</v>
      </c>
      <c r="C220" s="9">
        <v>15700</v>
      </c>
      <c r="D220" s="9">
        <v>24700</v>
      </c>
      <c r="E220" s="9">
        <v>23600</v>
      </c>
      <c r="F220" s="469" t="s">
        <v>123</v>
      </c>
      <c r="G220" s="772" t="s">
        <v>4490</v>
      </c>
      <c r="H220" s="9">
        <v>21000</v>
      </c>
      <c r="I220" s="85">
        <f t="shared" si="432"/>
        <v>-11.016949152542372</v>
      </c>
      <c r="J220" s="9">
        <v>21000</v>
      </c>
      <c r="K220" s="9">
        <f>ROUNDUP(J220+(J220*Assumptions!J$5),-2)</f>
        <v>21600</v>
      </c>
      <c r="L220" s="9">
        <f>ROUNDUP(K220+(K220*Assumptions!K$5),-2)</f>
        <v>22200</v>
      </c>
      <c r="M220" s="9">
        <f>ROUNDUP(L220+(L220*Assumptions!L$5),-2)</f>
        <v>22800</v>
      </c>
      <c r="N220" s="9">
        <f>ROUNDUP(M220+(M220*Assumptions!M$5),-2)</f>
        <v>23400</v>
      </c>
      <c r="O220" s="9">
        <f>ROUNDUP(N220+(N220*Assumptions!N$5),-2)</f>
        <v>24000</v>
      </c>
      <c r="P220" s="9">
        <f>ROUNDUP(O220+(O220*Assumptions!O$5),-2)</f>
        <v>24600</v>
      </c>
      <c r="Q220" s="9">
        <f>ROUNDUP(P220+(P220*Assumptions!P$5),-2)</f>
        <v>25300</v>
      </c>
      <c r="R220" s="9">
        <f>ROUNDUP(Q220+(Q220*Assumptions!Q$5),-2)</f>
        <v>26000</v>
      </c>
      <c r="S220" s="47">
        <f>ROUNDUP(R220+(R220*Assumptions!R$5),-2)</f>
        <v>26700</v>
      </c>
    </row>
    <row r="221" spans="1:19" x14ac:dyDescent="0.2">
      <c r="A221" s="54">
        <v>0</v>
      </c>
      <c r="B221" s="79">
        <v>3600</v>
      </c>
      <c r="C221" s="79">
        <v>3000</v>
      </c>
      <c r="D221" s="9">
        <v>2900</v>
      </c>
      <c r="E221" s="9">
        <v>2900</v>
      </c>
      <c r="F221" s="769" t="s">
        <v>3801</v>
      </c>
      <c r="G221" s="772" t="s">
        <v>4612</v>
      </c>
      <c r="H221" s="9">
        <v>2000</v>
      </c>
      <c r="I221" s="85">
        <f t="shared" si="432"/>
        <v>-31.03448275862069</v>
      </c>
      <c r="J221" s="9">
        <v>2000</v>
      </c>
      <c r="K221" s="9">
        <f>ROUNDUP(J221+(J221*Assumptions!J$5),-2)</f>
        <v>2100</v>
      </c>
      <c r="L221" s="9">
        <f>ROUNDUP(K221+(K221*Assumptions!K$5),-2)</f>
        <v>2200</v>
      </c>
      <c r="M221" s="9">
        <f>ROUNDUP(L221+(L221*Assumptions!L$5),-2)</f>
        <v>2300</v>
      </c>
      <c r="N221" s="9">
        <f>ROUNDUP(M221+(M221*Assumptions!M$5),-2)</f>
        <v>2400</v>
      </c>
      <c r="O221" s="9">
        <f>ROUNDUP(N221+(N221*Assumptions!N$5),-2)</f>
        <v>2500</v>
      </c>
      <c r="P221" s="9">
        <f>ROUNDUP(O221+(O221*Assumptions!O$5),-2)</f>
        <v>2600</v>
      </c>
      <c r="Q221" s="9">
        <f>ROUNDUP(P221+(P221*Assumptions!P$5),-2)</f>
        <v>2700</v>
      </c>
      <c r="R221" s="9">
        <f>ROUNDUP(Q221+(Q221*Assumptions!Q$5),-2)</f>
        <v>2800</v>
      </c>
      <c r="S221" s="47">
        <f>ROUNDUP(R221+(R221*Assumptions!R$5),-2)</f>
        <v>2900</v>
      </c>
    </row>
    <row r="222" spans="1:19" x14ac:dyDescent="0.2">
      <c r="A222" s="54">
        <v>9800</v>
      </c>
      <c r="B222" s="79">
        <v>19000</v>
      </c>
      <c r="C222" s="9">
        <v>9400</v>
      </c>
      <c r="D222" s="9">
        <v>80100</v>
      </c>
      <c r="E222" s="9">
        <v>216200</v>
      </c>
      <c r="F222" s="469" t="s">
        <v>124</v>
      </c>
      <c r="G222" s="772" t="s">
        <v>4491</v>
      </c>
      <c r="H222" s="9">
        <v>201000</v>
      </c>
      <c r="I222" s="85">
        <f t="shared" si="432"/>
        <v>-7.0305272895467157</v>
      </c>
      <c r="J222" s="9">
        <v>201000</v>
      </c>
      <c r="K222" s="9">
        <f>ROUNDUP(J222+(J222*Assumptions!J$5),-2)</f>
        <v>206100</v>
      </c>
      <c r="L222" s="9">
        <f>ROUNDUP(K222+(K222*Assumptions!K$5),-2)</f>
        <v>211300</v>
      </c>
      <c r="M222" s="9">
        <f>ROUNDUP(L222+(L222*Assumptions!L$5),-2)</f>
        <v>216600</v>
      </c>
      <c r="N222" s="9">
        <f>ROUNDUP(M222+(M222*Assumptions!M$5),-2)</f>
        <v>222100</v>
      </c>
      <c r="O222" s="9">
        <f>ROUNDUP(N222+(N222*Assumptions!N$5),-2)</f>
        <v>227700</v>
      </c>
      <c r="P222" s="9">
        <f>ROUNDUP(O222+(O222*Assumptions!O$5),-2)</f>
        <v>233400</v>
      </c>
      <c r="Q222" s="9">
        <f>ROUNDUP(P222+(P222*Assumptions!P$5),-2)</f>
        <v>239300</v>
      </c>
      <c r="R222" s="9">
        <f>ROUNDUP(Q222+(Q222*Assumptions!Q$5),-2)</f>
        <v>245300</v>
      </c>
      <c r="S222" s="47">
        <f>ROUNDUP(R222+(R222*Assumptions!R$5),-2)</f>
        <v>251500</v>
      </c>
    </row>
    <row r="223" spans="1:19" x14ac:dyDescent="0.2">
      <c r="A223" s="54">
        <v>6700</v>
      </c>
      <c r="B223" s="79">
        <v>4000</v>
      </c>
      <c r="C223" s="9">
        <v>9400</v>
      </c>
      <c r="D223" s="9">
        <v>6700</v>
      </c>
      <c r="E223" s="9">
        <v>9400</v>
      </c>
      <c r="F223" s="469" t="s">
        <v>559</v>
      </c>
      <c r="G223" s="247" t="s">
        <v>473</v>
      </c>
      <c r="H223" s="9">
        <v>8000</v>
      </c>
      <c r="I223" s="85">
        <f t="shared" si="432"/>
        <v>-14.893617021276595</v>
      </c>
      <c r="J223" s="9">
        <v>8000</v>
      </c>
      <c r="K223" s="9">
        <f>ROUNDUP(J223+(J223*Assumptions!J$5),-2)</f>
        <v>8200</v>
      </c>
      <c r="L223" s="9">
        <f>ROUNDUP(K223+(K223*Assumptions!K$5),-2)</f>
        <v>8500</v>
      </c>
      <c r="M223" s="9">
        <f>ROUNDUP(L223+(L223*Assumptions!L$5),-2)</f>
        <v>8800</v>
      </c>
      <c r="N223" s="9">
        <f>ROUNDUP(M223+(M223*Assumptions!M$5),-2)</f>
        <v>9100</v>
      </c>
      <c r="O223" s="9">
        <f>ROUNDUP(N223+(N223*Assumptions!N$5),-2)</f>
        <v>9400</v>
      </c>
      <c r="P223" s="9">
        <f>ROUNDUP(O223+(O223*Assumptions!O$5),-2)</f>
        <v>9700</v>
      </c>
      <c r="Q223" s="9">
        <f>ROUNDUP(P223+(P223*Assumptions!P$5),-2)</f>
        <v>10000</v>
      </c>
      <c r="R223" s="9">
        <f>ROUNDUP(Q223+(Q223*Assumptions!Q$5),-2)</f>
        <v>10300</v>
      </c>
      <c r="S223" s="47">
        <f>ROUNDUP(R223+(R223*Assumptions!R$5),-2)</f>
        <v>10600</v>
      </c>
    </row>
    <row r="224" spans="1:19" x14ac:dyDescent="0.2">
      <c r="A224" s="54">
        <v>16400</v>
      </c>
      <c r="B224" s="79">
        <v>32900</v>
      </c>
      <c r="C224" s="9">
        <v>20200</v>
      </c>
      <c r="D224" s="9">
        <v>94100</v>
      </c>
      <c r="E224" s="9">
        <v>54800</v>
      </c>
      <c r="F224" s="469" t="s">
        <v>2758</v>
      </c>
      <c r="G224" s="247" t="s">
        <v>839</v>
      </c>
      <c r="H224" s="9">
        <v>37000</v>
      </c>
      <c r="I224" s="85">
        <f t="shared" si="432"/>
        <v>-32.481751824817515</v>
      </c>
      <c r="J224" s="9">
        <v>37000</v>
      </c>
      <c r="K224" s="9">
        <f>ROUNDUP(J224+(J224*Assumptions!J$5),-2)</f>
        <v>38000</v>
      </c>
      <c r="L224" s="9">
        <f>ROUNDUP(K224+(K224*Assumptions!K$5),-2)</f>
        <v>39000</v>
      </c>
      <c r="M224" s="9">
        <f>ROUNDUP(L224+(L224*Assumptions!L$5),-2)</f>
        <v>40000</v>
      </c>
      <c r="N224" s="9">
        <f>ROUNDUP(M224+(M224*Assumptions!M$5),-2)</f>
        <v>41000</v>
      </c>
      <c r="O224" s="9">
        <f>ROUNDUP(N224+(N224*Assumptions!N$5),-2)</f>
        <v>42100</v>
      </c>
      <c r="P224" s="9">
        <f>ROUNDUP(O224+(O224*Assumptions!O$5),-2)</f>
        <v>43200</v>
      </c>
      <c r="Q224" s="9">
        <f>ROUNDUP(P224+(P224*Assumptions!P$5),-2)</f>
        <v>44300</v>
      </c>
      <c r="R224" s="9">
        <f>ROUNDUP(Q224+(Q224*Assumptions!Q$5),-2)</f>
        <v>45500</v>
      </c>
      <c r="S224" s="47">
        <f>ROUNDUP(R224+(R224*Assumptions!R$5),-2)</f>
        <v>46700</v>
      </c>
    </row>
    <row r="225" spans="1:19" x14ac:dyDescent="0.2">
      <c r="A225" s="54">
        <v>9400</v>
      </c>
      <c r="B225" s="79">
        <v>9600</v>
      </c>
      <c r="C225" s="9">
        <v>11100</v>
      </c>
      <c r="D225" s="9">
        <v>12200</v>
      </c>
      <c r="E225" s="9">
        <v>6000</v>
      </c>
      <c r="F225" s="469" t="s">
        <v>2759</v>
      </c>
      <c r="G225" s="247" t="s">
        <v>840</v>
      </c>
      <c r="H225" s="9">
        <v>7000</v>
      </c>
      <c r="I225" s="85">
        <f t="shared" si="432"/>
        <v>16.666666666666664</v>
      </c>
      <c r="J225" s="9">
        <v>7000</v>
      </c>
      <c r="K225" s="9">
        <f>ROUNDUP(J225+(J225*Assumptions!J$5),-2)</f>
        <v>7200</v>
      </c>
      <c r="L225" s="9">
        <f>ROUNDUP(K225+(K225*Assumptions!K$5),-2)</f>
        <v>7400</v>
      </c>
      <c r="M225" s="9">
        <f>ROUNDUP(L225+(L225*Assumptions!L$5),-2)</f>
        <v>7600</v>
      </c>
      <c r="N225" s="9">
        <f>ROUNDUP(M225+(M225*Assumptions!M$5),-2)</f>
        <v>7800</v>
      </c>
      <c r="O225" s="9">
        <f>ROUNDUP(N225+(N225*Assumptions!N$5),-2)</f>
        <v>8000</v>
      </c>
      <c r="P225" s="9">
        <f>ROUNDUP(O225+(O225*Assumptions!O$5),-2)</f>
        <v>8200</v>
      </c>
      <c r="Q225" s="9">
        <f>ROUNDUP(P225+(P225*Assumptions!P$5),-2)</f>
        <v>8500</v>
      </c>
      <c r="R225" s="9">
        <f>ROUNDUP(Q225+(Q225*Assumptions!Q$5),-2)</f>
        <v>8800</v>
      </c>
      <c r="S225" s="47">
        <f>ROUNDUP(R225+(R225*Assumptions!R$5),-2)</f>
        <v>9100</v>
      </c>
    </row>
    <row r="226" spans="1:19" x14ac:dyDescent="0.2">
      <c r="A226" s="54">
        <v>119400</v>
      </c>
      <c r="B226" s="79">
        <v>118200</v>
      </c>
      <c r="C226" s="79">
        <v>128400</v>
      </c>
      <c r="D226" s="79">
        <v>119500</v>
      </c>
      <c r="E226" s="9">
        <v>108700</v>
      </c>
      <c r="F226" s="469" t="s">
        <v>2760</v>
      </c>
      <c r="G226" s="247" t="s">
        <v>1071</v>
      </c>
      <c r="H226" s="9">
        <v>106000</v>
      </c>
      <c r="I226" s="85">
        <f t="shared" si="432"/>
        <v>-2.4839006439742408</v>
      </c>
      <c r="J226" s="9">
        <v>106000</v>
      </c>
      <c r="K226" s="9">
        <f>ROUNDUP(J226+(J226*Assumptions!J$5),-2)</f>
        <v>108700</v>
      </c>
      <c r="L226" s="9">
        <f>ROUNDUP(K226+(K226*Assumptions!K$5),-2)</f>
        <v>111500</v>
      </c>
      <c r="M226" s="9">
        <f>ROUNDUP(L226+(L226*Assumptions!L$5),-2)</f>
        <v>114300</v>
      </c>
      <c r="N226" s="9">
        <f>ROUNDUP(M226+(M226*Assumptions!M$5),-2)</f>
        <v>117200</v>
      </c>
      <c r="O226" s="9">
        <f>ROUNDUP(N226+(N226*Assumptions!N$5),-2)</f>
        <v>120200</v>
      </c>
      <c r="P226" s="9">
        <f>ROUNDUP(O226+(O226*Assumptions!O$5),-2)</f>
        <v>123300</v>
      </c>
      <c r="Q226" s="9">
        <f>ROUNDUP(P226+(P226*Assumptions!P$5),-2)</f>
        <v>126400</v>
      </c>
      <c r="R226" s="9">
        <f>ROUNDUP(Q226+(Q226*Assumptions!Q$5),-2)</f>
        <v>129600</v>
      </c>
      <c r="S226" s="47">
        <f>ROUNDUP(R226+(R226*Assumptions!R$5),-2)</f>
        <v>132900</v>
      </c>
    </row>
    <row r="227" spans="1:19" x14ac:dyDescent="0.2">
      <c r="A227" s="54">
        <v>16300</v>
      </c>
      <c r="B227" s="79">
        <v>13200</v>
      </c>
      <c r="C227" s="79">
        <v>13100</v>
      </c>
      <c r="D227" s="79">
        <v>15200</v>
      </c>
      <c r="E227" s="9">
        <v>13700</v>
      </c>
      <c r="F227" s="469" t="s">
        <v>2761</v>
      </c>
      <c r="G227" s="772" t="s">
        <v>4492</v>
      </c>
      <c r="H227" s="9">
        <v>11000</v>
      </c>
      <c r="I227" s="85">
        <f t="shared" si="432"/>
        <v>-19.708029197080293</v>
      </c>
      <c r="J227" s="9">
        <v>11000</v>
      </c>
      <c r="K227" s="9">
        <f>ROUNDUP(J227+(J227*Assumptions!J$5),-2)</f>
        <v>11300</v>
      </c>
      <c r="L227" s="9">
        <f>ROUNDUP(K227+(K227*Assumptions!K$5),-2)</f>
        <v>11600</v>
      </c>
      <c r="M227" s="9">
        <f>ROUNDUP(L227+(L227*Assumptions!L$5),-2)</f>
        <v>11900</v>
      </c>
      <c r="N227" s="9">
        <f>ROUNDUP(M227+(M227*Assumptions!M$5),-2)</f>
        <v>12200</v>
      </c>
      <c r="O227" s="9">
        <f>ROUNDUP(N227+(N227*Assumptions!N$5),-2)</f>
        <v>12600</v>
      </c>
      <c r="P227" s="9">
        <f>ROUNDUP(O227+(O227*Assumptions!O$5),-2)</f>
        <v>13000</v>
      </c>
      <c r="Q227" s="9">
        <f>ROUNDUP(P227+(P227*Assumptions!P$5),-2)</f>
        <v>13400</v>
      </c>
      <c r="R227" s="9">
        <f>ROUNDUP(Q227+(Q227*Assumptions!Q$5),-2)</f>
        <v>13800</v>
      </c>
      <c r="S227" s="47">
        <f>ROUNDUP(R227+(R227*Assumptions!R$5),-2)</f>
        <v>14200</v>
      </c>
    </row>
    <row r="228" spans="1:19" x14ac:dyDescent="0.2">
      <c r="A228" s="54">
        <v>0</v>
      </c>
      <c r="B228" s="79">
        <v>0</v>
      </c>
      <c r="C228" s="79">
        <v>0</v>
      </c>
      <c r="D228" s="79">
        <v>32400</v>
      </c>
      <c r="E228" s="9">
        <v>21500</v>
      </c>
      <c r="F228" s="469" t="s">
        <v>6335</v>
      </c>
      <c r="G228" s="772" t="s">
        <v>5797</v>
      </c>
      <c r="H228" s="9">
        <v>17000</v>
      </c>
      <c r="I228" s="85">
        <f t="shared" si="432"/>
        <v>-20.930232558139537</v>
      </c>
      <c r="J228" s="9">
        <v>17000</v>
      </c>
      <c r="K228" s="9">
        <f>ROUNDUP(J228+(J228*Assumptions!J$5),-2)</f>
        <v>17500</v>
      </c>
      <c r="L228" s="9">
        <f>ROUNDUP(K228+(K228*Assumptions!K$5),-2)</f>
        <v>18000</v>
      </c>
      <c r="M228" s="9">
        <f>ROUNDUP(L228+(L228*Assumptions!L$5),-2)</f>
        <v>18500</v>
      </c>
      <c r="N228" s="9">
        <f>ROUNDUP(M228+(M228*Assumptions!M$5),-2)</f>
        <v>19000</v>
      </c>
      <c r="O228" s="9">
        <f>ROUNDUP(N228+(N228*Assumptions!N$5),-2)</f>
        <v>19500</v>
      </c>
      <c r="P228" s="9">
        <f>ROUNDUP(O228+(O228*Assumptions!O$5),-2)</f>
        <v>20000</v>
      </c>
      <c r="Q228" s="9">
        <f>ROUNDUP(P228+(P228*Assumptions!P$5),-2)</f>
        <v>20500</v>
      </c>
      <c r="R228" s="9">
        <f>ROUNDUP(Q228+(Q228*Assumptions!Q$5),-2)</f>
        <v>21100</v>
      </c>
      <c r="S228" s="47">
        <f>ROUNDUP(R228+(R228*Assumptions!R$5),-2)</f>
        <v>21700</v>
      </c>
    </row>
    <row r="229" spans="1:19" x14ac:dyDescent="0.2">
      <c r="A229" s="54">
        <v>3500</v>
      </c>
      <c r="B229" s="79">
        <v>7000</v>
      </c>
      <c r="C229" s="79">
        <v>5200</v>
      </c>
      <c r="D229" s="79">
        <v>12900</v>
      </c>
      <c r="E229" s="9">
        <v>18600</v>
      </c>
      <c r="F229" s="469" t="s">
        <v>2762</v>
      </c>
      <c r="G229" s="247" t="s">
        <v>723</v>
      </c>
      <c r="H229" s="9">
        <v>11900</v>
      </c>
      <c r="I229" s="85">
        <f t="shared" si="432"/>
        <v>-36.021505376344088</v>
      </c>
      <c r="J229" s="9">
        <v>11900</v>
      </c>
      <c r="K229" s="9">
        <f>ROUNDUP(J229+(J229*Assumptions!J$5),-2)</f>
        <v>12200</v>
      </c>
      <c r="L229" s="9">
        <f>ROUNDUP(K229+(K229*Assumptions!K$5),-2)</f>
        <v>12600</v>
      </c>
      <c r="M229" s="9">
        <f>ROUNDUP(L229+(L229*Assumptions!L$5),-2)</f>
        <v>13000</v>
      </c>
      <c r="N229" s="9">
        <f>ROUNDUP(M229+(M229*Assumptions!M$5),-2)</f>
        <v>13400</v>
      </c>
      <c r="O229" s="9">
        <f>ROUNDUP(N229+(N229*Assumptions!N$5),-2)</f>
        <v>13800</v>
      </c>
      <c r="P229" s="9">
        <f>ROUNDUP(O229+(O229*Assumptions!O$5),-2)</f>
        <v>14200</v>
      </c>
      <c r="Q229" s="9">
        <f>ROUNDUP(P229+(P229*Assumptions!P$5),-2)</f>
        <v>14600</v>
      </c>
      <c r="R229" s="9">
        <f>ROUNDUP(Q229+(Q229*Assumptions!Q$5),-2)</f>
        <v>15000</v>
      </c>
      <c r="S229" s="47">
        <f>ROUNDUP(R229+(R229*Assumptions!R$5),-2)</f>
        <v>15400</v>
      </c>
    </row>
    <row r="230" spans="1:19" x14ac:dyDescent="0.2">
      <c r="A230" s="54">
        <v>18300</v>
      </c>
      <c r="B230" s="79">
        <v>22000</v>
      </c>
      <c r="C230" s="9">
        <v>23600</v>
      </c>
      <c r="D230" s="9">
        <v>18900</v>
      </c>
      <c r="E230" s="9">
        <v>0</v>
      </c>
      <c r="F230" s="469" t="s">
        <v>6922</v>
      </c>
      <c r="G230" s="371" t="s">
        <v>494</v>
      </c>
      <c r="H230" s="9">
        <v>25000</v>
      </c>
      <c r="I230" s="85">
        <f t="shared" si="432"/>
        <v>100</v>
      </c>
      <c r="J230" s="9">
        <v>25000</v>
      </c>
      <c r="K230" s="9">
        <f>ROUNDUP(J230+(J230*Assumptions!J$5),-2)</f>
        <v>25700</v>
      </c>
      <c r="L230" s="9">
        <f>ROUNDUP(K230+(K230*Assumptions!K$5),-2)</f>
        <v>26400</v>
      </c>
      <c r="M230" s="9">
        <f>ROUNDUP(L230+(L230*Assumptions!L$5),-2)</f>
        <v>27100</v>
      </c>
      <c r="N230" s="9">
        <f>ROUNDUP(M230+(M230*Assumptions!M$5),-2)</f>
        <v>27800</v>
      </c>
      <c r="O230" s="9">
        <f>ROUNDUP(N230+(N230*Assumptions!N$5),-2)</f>
        <v>28500</v>
      </c>
      <c r="P230" s="9">
        <f>ROUNDUP(O230+(O230*Assumptions!O$5),-2)</f>
        <v>29300</v>
      </c>
      <c r="Q230" s="9">
        <f>ROUNDUP(P230+(P230*Assumptions!P$5),-2)</f>
        <v>30100</v>
      </c>
      <c r="R230" s="9">
        <f>ROUNDUP(Q230+(Q230*Assumptions!Q$5),-2)</f>
        <v>30900</v>
      </c>
      <c r="S230" s="47">
        <f>ROUNDUP(R230+(R230*Assumptions!R$5),-2)</f>
        <v>31700</v>
      </c>
    </row>
    <row r="231" spans="1:19" x14ac:dyDescent="0.2">
      <c r="A231" s="54">
        <v>7200</v>
      </c>
      <c r="B231" s="79">
        <v>20000</v>
      </c>
      <c r="C231" s="9">
        <v>8200</v>
      </c>
      <c r="D231" s="9">
        <v>18600</v>
      </c>
      <c r="E231" s="9">
        <v>0</v>
      </c>
      <c r="F231" s="469" t="s">
        <v>6923</v>
      </c>
      <c r="G231" s="371" t="s">
        <v>4494</v>
      </c>
      <c r="H231" s="9">
        <v>42000</v>
      </c>
      <c r="I231" s="85">
        <f t="shared" si="432"/>
        <v>100</v>
      </c>
      <c r="J231" s="9">
        <v>42000</v>
      </c>
      <c r="K231" s="9">
        <f>ROUNDUP(J231+(J231*Assumptions!J$5),-2)</f>
        <v>43100</v>
      </c>
      <c r="L231" s="9">
        <f>ROUNDUP(K231+(K231*Assumptions!K$5),-2)</f>
        <v>44200</v>
      </c>
      <c r="M231" s="9">
        <f>ROUNDUP(L231+(L231*Assumptions!L$5),-2)</f>
        <v>45400</v>
      </c>
      <c r="N231" s="9">
        <f>ROUNDUP(M231+(M231*Assumptions!M$5),-2)</f>
        <v>46600</v>
      </c>
      <c r="O231" s="9">
        <f>ROUNDUP(N231+(N231*Assumptions!N$5),-2)</f>
        <v>47800</v>
      </c>
      <c r="P231" s="9">
        <f>ROUNDUP(O231+(O231*Assumptions!O$5),-2)</f>
        <v>49000</v>
      </c>
      <c r="Q231" s="9">
        <f>ROUNDUP(P231+(P231*Assumptions!P$5),-2)</f>
        <v>50300</v>
      </c>
      <c r="R231" s="9">
        <f>ROUNDUP(Q231+(Q231*Assumptions!Q$5),-2)</f>
        <v>51600</v>
      </c>
      <c r="S231" s="47">
        <f>ROUNDUP(R231+(R231*Assumptions!R$5),-2)</f>
        <v>52900</v>
      </c>
    </row>
    <row r="232" spans="1:19" x14ac:dyDescent="0.2">
      <c r="A232" s="54">
        <v>700</v>
      </c>
      <c r="B232" s="79">
        <v>4700</v>
      </c>
      <c r="C232" s="9">
        <v>3100</v>
      </c>
      <c r="D232" s="9">
        <v>500</v>
      </c>
      <c r="E232" s="9">
        <v>0</v>
      </c>
      <c r="F232" s="769" t="s">
        <v>7235</v>
      </c>
      <c r="G232" s="371" t="s">
        <v>784</v>
      </c>
      <c r="H232" s="9">
        <v>2000</v>
      </c>
      <c r="I232" s="85">
        <f t="shared" si="432"/>
        <v>100</v>
      </c>
      <c r="J232" s="9">
        <v>2000</v>
      </c>
      <c r="K232" s="9">
        <f>ROUNDUP(J232+(J232*Assumptions!J$5),-2)</f>
        <v>2100</v>
      </c>
      <c r="L232" s="9">
        <f>ROUNDUP(K232+(K232*Assumptions!K$5),-2)</f>
        <v>2200</v>
      </c>
      <c r="M232" s="9">
        <f>ROUNDUP(L232+(L232*Assumptions!L$5),-2)</f>
        <v>2300</v>
      </c>
      <c r="N232" s="9">
        <f>ROUNDUP(M232+(M232*Assumptions!M$5),-2)</f>
        <v>2400</v>
      </c>
      <c r="O232" s="9">
        <f>ROUNDUP(N232+(N232*Assumptions!N$5),-2)</f>
        <v>2500</v>
      </c>
      <c r="P232" s="9">
        <f>ROUNDUP(O232+(O232*Assumptions!O$5),-2)</f>
        <v>2600</v>
      </c>
      <c r="Q232" s="9">
        <f>ROUNDUP(P232+(P232*Assumptions!P$5),-2)</f>
        <v>2700</v>
      </c>
      <c r="R232" s="9">
        <f>ROUNDUP(Q232+(Q232*Assumptions!Q$5),-2)</f>
        <v>2800</v>
      </c>
      <c r="S232" s="47">
        <f>ROUNDUP(R232+(R232*Assumptions!R$5),-2)</f>
        <v>2900</v>
      </c>
    </row>
    <row r="233" spans="1:19" x14ac:dyDescent="0.2">
      <c r="A233" s="54"/>
      <c r="B233" s="79"/>
      <c r="C233" s="9"/>
      <c r="D233" s="9"/>
      <c r="E233" s="9"/>
      <c r="F233" s="469"/>
      <c r="G233" s="247"/>
      <c r="H233" s="9"/>
      <c r="I233" s="85"/>
      <c r="J233" s="9"/>
      <c r="K233" s="9"/>
      <c r="L233" s="9"/>
      <c r="M233" s="9"/>
      <c r="N233" s="9"/>
      <c r="O233" s="9"/>
      <c r="P233" s="9"/>
      <c r="Q233" s="9"/>
      <c r="R233" s="9"/>
      <c r="S233" s="47"/>
    </row>
    <row r="234" spans="1:19" x14ac:dyDescent="0.2">
      <c r="A234" s="54"/>
      <c r="B234" s="79"/>
      <c r="C234" s="9"/>
      <c r="D234" s="9"/>
      <c r="E234" s="9"/>
      <c r="F234" s="469"/>
      <c r="G234" s="542" t="s">
        <v>677</v>
      </c>
      <c r="H234" s="9"/>
      <c r="I234" s="85"/>
      <c r="J234" s="9"/>
      <c r="K234" s="9"/>
      <c r="L234" s="9"/>
      <c r="M234" s="9"/>
      <c r="N234" s="9"/>
      <c r="O234" s="9"/>
      <c r="P234" s="9"/>
      <c r="Q234" s="9"/>
      <c r="R234" s="9"/>
      <c r="S234" s="47"/>
    </row>
    <row r="235" spans="1:19" x14ac:dyDescent="0.2">
      <c r="A235" s="54">
        <v>30000</v>
      </c>
      <c r="B235" s="79">
        <v>0</v>
      </c>
      <c r="C235" s="9">
        <v>0</v>
      </c>
      <c r="D235" s="9">
        <v>0</v>
      </c>
      <c r="E235" s="9">
        <v>0</v>
      </c>
      <c r="F235" s="769" t="s">
        <v>3187</v>
      </c>
      <c r="G235" s="772" t="s">
        <v>3186</v>
      </c>
      <c r="H235" s="9">
        <v>0</v>
      </c>
      <c r="I235" s="85">
        <f>IF(E235=H235,0,IF(E235=0,100,(H235-E235)/E235*100))</f>
        <v>0</v>
      </c>
      <c r="J235" s="9">
        <f>ROUNDUP(H235+(H235*Assumptions!I$5),-2)</f>
        <v>0</v>
      </c>
      <c r="K235" s="9">
        <f>ROUNDUP(J235+(J235*Assumptions!J$5),-2)</f>
        <v>0</v>
      </c>
      <c r="L235" s="9">
        <f>ROUNDUP(K235+(K235*Assumptions!K$5),-2)</f>
        <v>0</v>
      </c>
      <c r="M235" s="9">
        <f>ROUNDUP(L235+(L235*Assumptions!L$5),-2)</f>
        <v>0</v>
      </c>
      <c r="N235" s="9">
        <f>ROUNDUP(M235+(M235*Assumptions!M$5),-2)</f>
        <v>0</v>
      </c>
      <c r="O235" s="9">
        <f>ROUNDUP(N235+(N235*Assumptions!N$5),-2)</f>
        <v>0</v>
      </c>
      <c r="P235" s="9">
        <f>ROUNDUP(O235+(O235*Assumptions!O$5),-2)</f>
        <v>0</v>
      </c>
      <c r="Q235" s="9">
        <f>ROUNDUP(P235+(P235*Assumptions!P$5),-2)</f>
        <v>0</v>
      </c>
      <c r="R235" s="9">
        <f>ROUNDUP(Q235+(Q235*Assumptions!Q$5),-2)</f>
        <v>0</v>
      </c>
      <c r="S235" s="47">
        <f>ROUNDUP(R235+(R235*Assumptions!R$5),-2)</f>
        <v>0</v>
      </c>
    </row>
    <row r="236" spans="1:19" x14ac:dyDescent="0.2">
      <c r="A236" s="1648"/>
      <c r="B236" s="943"/>
      <c r="C236" s="9"/>
      <c r="D236" s="9"/>
      <c r="E236" s="9"/>
      <c r="F236" s="469"/>
      <c r="G236" s="247"/>
      <c r="H236" s="9"/>
      <c r="I236" s="85"/>
      <c r="J236" s="9"/>
      <c r="K236" s="9"/>
      <c r="L236" s="9"/>
      <c r="M236" s="9"/>
      <c r="N236" s="9"/>
      <c r="O236" s="9"/>
      <c r="P236" s="9"/>
      <c r="Q236" s="9"/>
      <c r="R236" s="9"/>
      <c r="S236" s="47"/>
    </row>
    <row r="237" spans="1:19" x14ac:dyDescent="0.2">
      <c r="A237" s="1649"/>
      <c r="B237" s="1644"/>
      <c r="C237" s="9"/>
      <c r="D237" s="9"/>
      <c r="E237" s="9"/>
      <c r="F237" s="469"/>
      <c r="G237" s="319" t="s">
        <v>420</v>
      </c>
      <c r="H237" s="9"/>
      <c r="I237" s="85"/>
      <c r="J237" s="9"/>
      <c r="K237" s="9"/>
      <c r="L237" s="9"/>
      <c r="M237" s="9"/>
      <c r="N237" s="9"/>
      <c r="O237" s="9"/>
      <c r="P237" s="9"/>
      <c r="Q237" s="9"/>
      <c r="R237" s="9"/>
      <c r="S237" s="47"/>
    </row>
    <row r="238" spans="1:19" x14ac:dyDescent="0.2">
      <c r="A238" s="54">
        <v>18900</v>
      </c>
      <c r="B238" s="79">
        <v>34700</v>
      </c>
      <c r="C238" s="9">
        <v>5100</v>
      </c>
      <c r="D238" s="9">
        <v>19700</v>
      </c>
      <c r="E238" s="9">
        <v>90000</v>
      </c>
      <c r="F238" s="469" t="s">
        <v>2763</v>
      </c>
      <c r="G238" s="247" t="s">
        <v>1294</v>
      </c>
      <c r="H238" s="9">
        <v>110000</v>
      </c>
      <c r="I238" s="85">
        <f>IF(E238=H238,0,IF(E238=0,100,(H238-E238)/E238*100))</f>
        <v>22.222222222222221</v>
      </c>
      <c r="J238" s="9">
        <v>60000</v>
      </c>
      <c r="K238" s="9">
        <f>ROUNDUP(J238+(J238*Assumptions!J$5),-2)</f>
        <v>61500</v>
      </c>
      <c r="L238" s="9">
        <f>ROUNDUP(K238+(K238*Assumptions!K$5),-2)</f>
        <v>63100</v>
      </c>
      <c r="M238" s="9">
        <f>ROUNDUP(L238+(L238*Assumptions!L$5),-2)</f>
        <v>64700</v>
      </c>
      <c r="N238" s="9">
        <f>ROUNDUP(M238+(M238*Assumptions!M$5),-2)</f>
        <v>66400</v>
      </c>
      <c r="O238" s="9">
        <f>ROUNDUP(N238+(N238*Assumptions!N$5),-2)</f>
        <v>68100</v>
      </c>
      <c r="P238" s="9">
        <f>ROUNDUP(O238+(O238*Assumptions!O$5),-2)</f>
        <v>69900</v>
      </c>
      <c r="Q238" s="9">
        <f>ROUNDUP(P238+(P238*Assumptions!P$5),-2)</f>
        <v>71700</v>
      </c>
      <c r="R238" s="9">
        <f>ROUNDUP(Q238+(Q238*Assumptions!Q$5),-2)</f>
        <v>73500</v>
      </c>
      <c r="S238" s="47">
        <f>ROUNDUP(R238+(R238*Assumptions!R$5),-2)</f>
        <v>75400</v>
      </c>
    </row>
    <row r="239" spans="1:19" ht="13.5" thickBot="1" x14ac:dyDescent="0.25">
      <c r="A239" s="54"/>
      <c r="B239" s="9"/>
      <c r="C239" s="9"/>
      <c r="D239" s="9"/>
      <c r="E239" s="9"/>
      <c r="F239" s="469"/>
      <c r="G239" s="46"/>
      <c r="H239" s="9"/>
      <c r="I239" s="85"/>
      <c r="J239" s="9"/>
      <c r="K239" s="9"/>
      <c r="L239" s="9"/>
      <c r="M239" s="9"/>
      <c r="N239" s="9"/>
      <c r="O239" s="9"/>
      <c r="P239" s="9"/>
      <c r="Q239" s="9"/>
      <c r="R239" s="9"/>
      <c r="S239" s="47"/>
    </row>
    <row r="240" spans="1:19" s="39" customFormat="1" x14ac:dyDescent="0.2">
      <c r="A240" s="52">
        <f>SUM(A218:A239)</f>
        <v>382400</v>
      </c>
      <c r="B240" s="16">
        <f>SUM(B218:B239)</f>
        <v>418900</v>
      </c>
      <c r="C240" s="16">
        <f>SUM(C218:C239)</f>
        <v>342800</v>
      </c>
      <c r="D240" s="16">
        <f>SUM(D218:D239)</f>
        <v>642000</v>
      </c>
      <c r="E240" s="16">
        <f>SUM(E218:E239)</f>
        <v>801100</v>
      </c>
      <c r="F240" s="469"/>
      <c r="G240" s="59" t="s">
        <v>2561</v>
      </c>
      <c r="H240" s="16">
        <f t="shared" ref="H240:R240" si="433">SUM(H218:H239)</f>
        <v>798900</v>
      </c>
      <c r="I240" s="127">
        <f>IF(E240=H240,0,IF(E240=0,100,(H240-E240)/E240*100))</f>
        <v>-0.27462239420796403</v>
      </c>
      <c r="J240" s="16">
        <f t="shared" si="433"/>
        <v>748900</v>
      </c>
      <c r="K240" s="16">
        <f t="shared" si="433"/>
        <v>768300</v>
      </c>
      <c r="L240" s="16">
        <f t="shared" si="433"/>
        <v>788300</v>
      </c>
      <c r="M240" s="16">
        <f t="shared" si="433"/>
        <v>808700</v>
      </c>
      <c r="N240" s="16">
        <f t="shared" si="433"/>
        <v>829600</v>
      </c>
      <c r="O240" s="16">
        <f t="shared" si="433"/>
        <v>851000</v>
      </c>
      <c r="P240" s="16">
        <f t="shared" si="433"/>
        <v>873000</v>
      </c>
      <c r="Q240" s="16">
        <f t="shared" si="433"/>
        <v>895600</v>
      </c>
      <c r="R240" s="16">
        <f t="shared" si="433"/>
        <v>918700</v>
      </c>
      <c r="S240" s="2342">
        <f t="shared" ref="S240" si="434">SUM(S218:S239)</f>
        <v>942400</v>
      </c>
    </row>
    <row r="241" spans="1:19" x14ac:dyDescent="0.2">
      <c r="A241" s="54"/>
      <c r="B241" s="9"/>
      <c r="C241" s="9"/>
      <c r="D241" s="9"/>
      <c r="E241" s="9"/>
      <c r="F241" s="469"/>
      <c r="G241" s="46"/>
      <c r="H241" s="9"/>
      <c r="I241" s="85"/>
      <c r="J241" s="9"/>
      <c r="K241" s="9"/>
      <c r="L241" s="9"/>
      <c r="M241" s="9"/>
      <c r="N241" s="9"/>
      <c r="O241" s="9"/>
      <c r="P241" s="9"/>
      <c r="Q241" s="9"/>
      <c r="R241" s="9"/>
      <c r="S241" s="47"/>
    </row>
    <row r="242" spans="1:19" x14ac:dyDescent="0.2">
      <c r="A242" s="54"/>
      <c r="B242" s="9"/>
      <c r="C242" s="9"/>
      <c r="D242" s="9"/>
      <c r="E242" s="9"/>
      <c r="F242" s="469"/>
      <c r="G242" s="91" t="s">
        <v>2169</v>
      </c>
      <c r="H242" s="9"/>
      <c r="I242" s="85"/>
      <c r="J242" s="9"/>
      <c r="K242" s="9"/>
      <c r="L242" s="9"/>
      <c r="M242" s="9"/>
      <c r="N242" s="9"/>
      <c r="O242" s="9"/>
      <c r="P242" s="9"/>
      <c r="Q242" s="9"/>
      <c r="R242" s="9"/>
      <c r="S242" s="47"/>
    </row>
    <row r="243" spans="1:19" x14ac:dyDescent="0.2">
      <c r="A243" s="54"/>
      <c r="B243" s="9"/>
      <c r="C243" s="9"/>
      <c r="D243" s="9"/>
      <c r="E243" s="9"/>
      <c r="F243" s="469"/>
      <c r="G243" s="27"/>
      <c r="H243" s="9"/>
      <c r="I243" s="85"/>
      <c r="J243" s="9"/>
      <c r="K243" s="9"/>
      <c r="L243" s="9"/>
      <c r="M243" s="9"/>
      <c r="N243" s="9"/>
      <c r="O243" s="9"/>
      <c r="P243" s="9"/>
      <c r="Q243" s="9"/>
      <c r="R243" s="9"/>
      <c r="S243" s="47"/>
    </row>
    <row r="244" spans="1:19" x14ac:dyDescent="0.2">
      <c r="A244" s="54"/>
      <c r="B244" s="1644"/>
      <c r="C244" s="9"/>
      <c r="D244" s="9"/>
      <c r="E244" s="9"/>
      <c r="F244" s="469"/>
      <c r="G244" s="319" t="s">
        <v>1228</v>
      </c>
      <c r="H244" s="9"/>
      <c r="I244" s="85"/>
      <c r="J244" s="9"/>
      <c r="K244" s="9"/>
      <c r="L244" s="9"/>
      <c r="M244" s="9"/>
      <c r="N244" s="9"/>
      <c r="O244" s="9"/>
      <c r="P244" s="9"/>
      <c r="Q244" s="9"/>
      <c r="R244" s="9"/>
      <c r="S244" s="47"/>
    </row>
    <row r="245" spans="1:19" x14ac:dyDescent="0.2">
      <c r="A245" s="54">
        <v>1204300</v>
      </c>
      <c r="B245" s="79">
        <f>1063400+8000</f>
        <v>1071400</v>
      </c>
      <c r="C245" s="9">
        <f>1063700+8300</f>
        <v>1072000</v>
      </c>
      <c r="D245" s="9">
        <f>1124100+8600</f>
        <v>1132700</v>
      </c>
      <c r="E245" s="9">
        <f>1060400+300000+37300+25000+8800</f>
        <v>1431500</v>
      </c>
      <c r="F245" s="469" t="s">
        <v>2764</v>
      </c>
      <c r="G245" s="247" t="s">
        <v>1320</v>
      </c>
      <c r="H245" s="9">
        <v>1456000</v>
      </c>
      <c r="I245" s="85">
        <f>IF(E245=H245,0,IF(E245=0,100,(H245-E245)/E245*100))</f>
        <v>1.7114914425427872</v>
      </c>
      <c r="J245" s="9">
        <v>1493000</v>
      </c>
      <c r="K245" s="9">
        <f>ROUND(J245*Assumptions!J$13+DEH!J245,-2)</f>
        <v>1527300</v>
      </c>
      <c r="L245" s="9">
        <f>ROUND(K245*Assumptions!K$13+DEH!K245,-2)</f>
        <v>1562400</v>
      </c>
      <c r="M245" s="9">
        <f>ROUND(L245*Assumptions!L$13+DEH!L245,-2)</f>
        <v>1598300</v>
      </c>
      <c r="N245" s="9">
        <f>ROUND(M245*Assumptions!M$13+DEH!M245,-2)</f>
        <v>1635100</v>
      </c>
      <c r="O245" s="9">
        <f>ROUND(N245*Assumptions!N$13+DEH!N245,-2)</f>
        <v>1672700</v>
      </c>
      <c r="P245" s="9">
        <f>ROUND(O245*Assumptions!O$13+DEH!O245,-2)</f>
        <v>1711200</v>
      </c>
      <c r="Q245" s="9">
        <f>ROUND(P245*Assumptions!P$13+DEH!P245,-2)</f>
        <v>1750600</v>
      </c>
      <c r="R245" s="9">
        <f>ROUND(Q245*Assumptions!Q$13+DEH!Q245,-2)</f>
        <v>1790900</v>
      </c>
      <c r="S245" s="47">
        <f>ROUND(R245*Assumptions!R$13+DEH!R245,-2)</f>
        <v>1832100</v>
      </c>
    </row>
    <row r="246" spans="1:19" x14ac:dyDescent="0.2">
      <c r="A246" s="54">
        <v>4400</v>
      </c>
      <c r="B246" s="79">
        <v>1200</v>
      </c>
      <c r="C246" s="9">
        <v>1000</v>
      </c>
      <c r="D246" s="9">
        <v>2900</v>
      </c>
      <c r="E246" s="9">
        <v>100</v>
      </c>
      <c r="F246" s="469" t="s">
        <v>2594</v>
      </c>
      <c r="G246" s="247" t="s">
        <v>1889</v>
      </c>
      <c r="H246" s="9">
        <v>4500</v>
      </c>
      <c r="I246" s="85">
        <f>IF(E246=H246,0,IF(E246=0,100,(H246-E246)/E246*100))</f>
        <v>4400</v>
      </c>
      <c r="J246" s="9">
        <v>5000</v>
      </c>
      <c r="K246" s="9">
        <f>ROUNDUP(J246+(J246*Assumptions!J$5),-2)</f>
        <v>5200</v>
      </c>
      <c r="L246" s="9">
        <f>ROUNDUP(K246+(K246*Assumptions!K$5),-2)</f>
        <v>5400</v>
      </c>
      <c r="M246" s="9">
        <f>ROUNDUP(L246+(L246*Assumptions!L$5),-2)</f>
        <v>5600</v>
      </c>
      <c r="N246" s="9">
        <f>ROUNDUP(M246+(M246*Assumptions!M$5),-2)</f>
        <v>5800</v>
      </c>
      <c r="O246" s="9">
        <f>ROUNDUP(N246+(N246*Assumptions!N$5),-2)</f>
        <v>6000</v>
      </c>
      <c r="P246" s="9">
        <f>ROUNDUP(O246+(O246*Assumptions!O$5),-2)</f>
        <v>6200</v>
      </c>
      <c r="Q246" s="9">
        <f>ROUNDUP(P246+(P246*Assumptions!P$5),-2)</f>
        <v>6400</v>
      </c>
      <c r="R246" s="9">
        <f>ROUNDUP(Q246+(Q246*Assumptions!Q$5),-2)</f>
        <v>6600</v>
      </c>
      <c r="S246" s="47">
        <f>ROUNDUP(R246+(R246*Assumptions!R$5),-2)</f>
        <v>6800</v>
      </c>
    </row>
    <row r="247" spans="1:19" x14ac:dyDescent="0.2">
      <c r="A247" s="54">
        <v>52800</v>
      </c>
      <c r="B247" s="79">
        <v>47000</v>
      </c>
      <c r="C247" s="9">
        <v>48500</v>
      </c>
      <c r="D247" s="9">
        <v>48500</v>
      </c>
      <c r="E247" s="9">
        <v>50000</v>
      </c>
      <c r="F247" s="469" t="s">
        <v>410</v>
      </c>
      <c r="G247" s="247" t="s">
        <v>525</v>
      </c>
      <c r="H247" s="9">
        <v>44000</v>
      </c>
      <c r="I247" s="85">
        <f>IF(E247=H247,0,IF(E247=0,100,(H247-E247)/E247*100))</f>
        <v>-12</v>
      </c>
      <c r="J247" s="9">
        <v>45000</v>
      </c>
      <c r="K247" s="9">
        <f>ROUNDUP(J247+(J247*Assumptions!J$5),-2)</f>
        <v>46200</v>
      </c>
      <c r="L247" s="9">
        <f>ROUNDUP(K247+(K247*Assumptions!K$5),-2)</f>
        <v>47400</v>
      </c>
      <c r="M247" s="9">
        <f>ROUNDUP(L247+(L247*Assumptions!L$5),-2)</f>
        <v>48600</v>
      </c>
      <c r="N247" s="9">
        <f>ROUNDUP(M247+(M247*Assumptions!M$5),-2)</f>
        <v>49900</v>
      </c>
      <c r="O247" s="9">
        <f>ROUNDUP(N247+(N247*Assumptions!N$5),-2)</f>
        <v>51200</v>
      </c>
      <c r="P247" s="9">
        <f>ROUNDUP(O247+(O247*Assumptions!O$5),-2)</f>
        <v>52500</v>
      </c>
      <c r="Q247" s="9">
        <f>ROUNDUP(P247+(P247*Assumptions!P$5),-2)</f>
        <v>53900</v>
      </c>
      <c r="R247" s="9">
        <f>ROUNDUP(Q247+(Q247*Assumptions!Q$5),-2)</f>
        <v>55300</v>
      </c>
      <c r="S247" s="47">
        <f>ROUNDUP(R247+(R247*Assumptions!R$5),-2)</f>
        <v>56700</v>
      </c>
    </row>
    <row r="248" spans="1:19" x14ac:dyDescent="0.2">
      <c r="A248" s="1648"/>
      <c r="B248" s="943"/>
      <c r="C248" s="9"/>
      <c r="D248" s="9"/>
      <c r="E248" s="9"/>
      <c r="F248" s="469"/>
      <c r="G248" s="247"/>
      <c r="H248" s="9"/>
      <c r="I248" s="85"/>
      <c r="J248" s="9"/>
      <c r="K248" s="9"/>
      <c r="L248" s="9"/>
      <c r="M248" s="9"/>
      <c r="N248" s="9"/>
      <c r="O248" s="9"/>
      <c r="P248" s="9"/>
      <c r="Q248" s="9"/>
      <c r="R248" s="9"/>
      <c r="S248" s="47"/>
    </row>
    <row r="249" spans="1:19" x14ac:dyDescent="0.2">
      <c r="A249" s="1649"/>
      <c r="B249" s="1644"/>
      <c r="C249" s="9"/>
      <c r="D249" s="9"/>
      <c r="E249" s="9"/>
      <c r="F249" s="469"/>
      <c r="G249" s="319" t="s">
        <v>1076</v>
      </c>
      <c r="H249" s="9"/>
      <c r="I249" s="85"/>
      <c r="J249" s="9"/>
      <c r="K249" s="9"/>
      <c r="L249" s="9"/>
      <c r="M249" s="9"/>
      <c r="N249" s="9"/>
      <c r="O249" s="9"/>
      <c r="P249" s="9"/>
      <c r="Q249" s="9"/>
      <c r="R249" s="9"/>
      <c r="S249" s="47"/>
    </row>
    <row r="250" spans="1:19" x14ac:dyDescent="0.2">
      <c r="A250" s="54">
        <v>16200</v>
      </c>
      <c r="B250" s="79">
        <v>24300</v>
      </c>
      <c r="C250" s="9">
        <v>20700</v>
      </c>
      <c r="D250" s="9">
        <v>27600</v>
      </c>
      <c r="E250" s="9">
        <v>23000</v>
      </c>
      <c r="F250" s="469" t="s">
        <v>1095</v>
      </c>
      <c r="G250" s="247" t="s">
        <v>2514</v>
      </c>
      <c r="H250" s="9">
        <v>15000</v>
      </c>
      <c r="I250" s="85">
        <f>IF(E250=H250,0,IF(E250=0,100,(H250-E250)/E250*100))</f>
        <v>-34.782608695652172</v>
      </c>
      <c r="J250" s="79">
        <v>22000</v>
      </c>
      <c r="K250" s="9">
        <f>ROUNDUP(J250+(J250*Assumptions!J$5),-2)</f>
        <v>22600</v>
      </c>
      <c r="L250" s="9">
        <f>ROUNDUP(K250+(K250*Assumptions!K$5),-2)</f>
        <v>23200</v>
      </c>
      <c r="M250" s="9">
        <f>ROUNDUP(L250+(L250*Assumptions!L$5),-2)</f>
        <v>23800</v>
      </c>
      <c r="N250" s="9">
        <f>ROUNDUP(M250+(M250*Assumptions!M$5),-2)</f>
        <v>24400</v>
      </c>
      <c r="O250" s="9">
        <f>ROUNDUP(N250+(N250*Assumptions!N$5),-2)</f>
        <v>25100</v>
      </c>
      <c r="P250" s="9">
        <f>ROUNDUP(O250+(O250*Assumptions!O$5),-2)</f>
        <v>25800</v>
      </c>
      <c r="Q250" s="9">
        <f>ROUNDUP(P250+(P250*Assumptions!P$5),-2)</f>
        <v>26500</v>
      </c>
      <c r="R250" s="9">
        <f>ROUNDUP(Q250+(Q250*Assumptions!Q$5),-2)</f>
        <v>27200</v>
      </c>
      <c r="S250" s="47">
        <f>ROUNDUP(R250+(R250*Assumptions!R$5),-2)</f>
        <v>27900</v>
      </c>
    </row>
    <row r="251" spans="1:19" x14ac:dyDescent="0.2">
      <c r="A251" s="54">
        <v>26100</v>
      </c>
      <c r="B251" s="79">
        <v>19100</v>
      </c>
      <c r="C251" s="9">
        <v>23100</v>
      </c>
      <c r="D251" s="9">
        <v>33100</v>
      </c>
      <c r="E251" s="79">
        <v>31000</v>
      </c>
      <c r="F251" s="469" t="s">
        <v>1917</v>
      </c>
      <c r="G251" s="247" t="s">
        <v>526</v>
      </c>
      <c r="H251" s="9">
        <v>20000</v>
      </c>
      <c r="I251" s="584">
        <f>IF(E251=H251,0,IF(E251=0,100,(H251-E251)/E251*100))</f>
        <v>-35.483870967741936</v>
      </c>
      <c r="J251" s="9">
        <v>25000</v>
      </c>
      <c r="K251" s="9">
        <f>ROUNDUP(J251+(J251*Assumptions!J$5),-2)</f>
        <v>25700</v>
      </c>
      <c r="L251" s="9">
        <f>ROUNDUP(K251+(K251*Assumptions!K$5),-2)</f>
        <v>26400</v>
      </c>
      <c r="M251" s="9">
        <f>ROUNDUP(L251+(L251*Assumptions!L$5),-2)</f>
        <v>27100</v>
      </c>
      <c r="N251" s="9">
        <f>ROUNDUP(M251+(M251*Assumptions!M$5),-2)</f>
        <v>27800</v>
      </c>
      <c r="O251" s="9">
        <f>ROUNDUP(N251+(N251*Assumptions!N$5),-2)</f>
        <v>28500</v>
      </c>
      <c r="P251" s="9">
        <f>ROUNDUP(O251+(O251*Assumptions!O$5),-2)</f>
        <v>29300</v>
      </c>
      <c r="Q251" s="9">
        <f>ROUNDUP(P251+(P251*Assumptions!P$5),-2)</f>
        <v>30100</v>
      </c>
      <c r="R251" s="9">
        <f>ROUNDUP(Q251+(Q251*Assumptions!Q$5),-2)</f>
        <v>30900</v>
      </c>
      <c r="S251" s="47">
        <f>ROUNDUP(R251+(R251*Assumptions!R$5),-2)</f>
        <v>31700</v>
      </c>
    </row>
    <row r="252" spans="1:19" x14ac:dyDescent="0.2">
      <c r="A252" s="54">
        <v>11100</v>
      </c>
      <c r="B252" s="79">
        <v>21200</v>
      </c>
      <c r="C252" s="9">
        <v>9600</v>
      </c>
      <c r="D252" s="9">
        <v>9000</v>
      </c>
      <c r="E252" s="9">
        <v>11500</v>
      </c>
      <c r="F252" s="769" t="s">
        <v>1266</v>
      </c>
      <c r="G252" s="247" t="s">
        <v>1983</v>
      </c>
      <c r="H252" s="9">
        <f>10000+5000</f>
        <v>15000</v>
      </c>
      <c r="I252" s="85">
        <f>IF(E252=H252,0,IF(E252=0,100,(H252-E252)/E252*100))</f>
        <v>30.434782608695656</v>
      </c>
      <c r="J252" s="9">
        <v>15000</v>
      </c>
      <c r="K252" s="9">
        <f>ROUNDUP(J252+(J252*Assumptions!J$5),-2)</f>
        <v>15400</v>
      </c>
      <c r="L252" s="9">
        <f>ROUNDUP(K252+(K252*Assumptions!K$5),-2)</f>
        <v>15800</v>
      </c>
      <c r="M252" s="9">
        <f>ROUNDUP(L252+(L252*Assumptions!L$5),-2)</f>
        <v>16200</v>
      </c>
      <c r="N252" s="9">
        <f>ROUNDUP(M252+(M252*Assumptions!M$5),-2)</f>
        <v>16700</v>
      </c>
      <c r="O252" s="9">
        <f>ROUNDUP(N252+(N252*Assumptions!N$5),-2)</f>
        <v>17200</v>
      </c>
      <c r="P252" s="9">
        <f>ROUNDUP(O252+(O252*Assumptions!O$5),-2)</f>
        <v>17700</v>
      </c>
      <c r="Q252" s="9">
        <f>ROUNDUP(P252+(P252*Assumptions!P$5),-2)</f>
        <v>18200</v>
      </c>
      <c r="R252" s="9">
        <f>ROUNDUP(Q252+(Q252*Assumptions!Q$5),-2)</f>
        <v>18700</v>
      </c>
      <c r="S252" s="47">
        <f>ROUNDUP(R252+(R252*Assumptions!R$5),-2)</f>
        <v>19200</v>
      </c>
    </row>
    <row r="253" spans="1:19" x14ac:dyDescent="0.2">
      <c r="A253" s="54"/>
      <c r="B253" s="79"/>
      <c r="C253" s="9"/>
      <c r="D253" s="9"/>
      <c r="E253" s="9">
        <v>15700</v>
      </c>
      <c r="F253" s="769" t="s">
        <v>11657</v>
      </c>
      <c r="G253" s="772" t="s">
        <v>11796</v>
      </c>
      <c r="H253" s="9"/>
      <c r="I253" s="85"/>
      <c r="J253" s="9"/>
      <c r="K253" s="9"/>
      <c r="L253" s="9"/>
      <c r="M253" s="9"/>
      <c r="N253" s="9"/>
      <c r="O253" s="9"/>
      <c r="P253" s="9"/>
      <c r="Q253" s="9"/>
      <c r="R253" s="9"/>
      <c r="S253" s="47"/>
    </row>
    <row r="254" spans="1:19" x14ac:dyDescent="0.2">
      <c r="A254" s="54">
        <v>0</v>
      </c>
      <c r="B254" s="79">
        <v>0</v>
      </c>
      <c r="C254" s="9">
        <v>0</v>
      </c>
      <c r="D254" s="9">
        <v>0</v>
      </c>
      <c r="E254" s="9">
        <v>0</v>
      </c>
      <c r="F254" s="769" t="s">
        <v>6853</v>
      </c>
      <c r="G254" s="772" t="s">
        <v>11912</v>
      </c>
      <c r="H254" s="9">
        <v>23000</v>
      </c>
      <c r="I254" s="85">
        <f>IF(E254=H254,0,IF(E254=0,100,(H254-E254)/E254*100))</f>
        <v>100</v>
      </c>
      <c r="J254" s="9">
        <v>15000</v>
      </c>
      <c r="K254" s="9">
        <f>ROUNDUP(J254+(J254*Assumptions!J$5),-2)</f>
        <v>15400</v>
      </c>
      <c r="L254" s="9">
        <f>ROUNDUP(K254+(K254*Assumptions!K$5),-2)</f>
        <v>15800</v>
      </c>
      <c r="M254" s="9">
        <f>ROUNDUP(L254+(L254*Assumptions!L$5),-2)</f>
        <v>16200</v>
      </c>
      <c r="N254" s="9">
        <f>ROUNDUP(M254+(M254*Assumptions!M$5),-2)</f>
        <v>16700</v>
      </c>
      <c r="O254" s="9">
        <f>ROUNDUP(N254+(N254*Assumptions!N$5),-2)</f>
        <v>17200</v>
      </c>
      <c r="P254" s="9">
        <f>ROUNDUP(O254+(O254*Assumptions!O$5),-2)</f>
        <v>17700</v>
      </c>
      <c r="Q254" s="9">
        <f>ROUNDUP(P254+(P254*Assumptions!P$5),-2)</f>
        <v>18200</v>
      </c>
      <c r="R254" s="9">
        <f>ROUNDUP(Q254+(Q254*Assumptions!Q$5),-2)</f>
        <v>18700</v>
      </c>
      <c r="S254" s="47">
        <f>ROUNDUP(R254+(R254*Assumptions!R$5),-2)</f>
        <v>19200</v>
      </c>
    </row>
    <row r="255" spans="1:19" x14ac:dyDescent="0.2">
      <c r="A255" s="1648"/>
      <c r="B255" s="943"/>
      <c r="C255" s="9"/>
      <c r="D255" s="9"/>
      <c r="E255" s="9"/>
      <c r="F255" s="469"/>
      <c r="G255" s="247"/>
      <c r="H255" s="9"/>
      <c r="I255" s="85"/>
      <c r="J255" s="9"/>
      <c r="K255" s="9"/>
      <c r="L255" s="9"/>
      <c r="M255" s="9"/>
      <c r="N255" s="9"/>
      <c r="O255" s="9"/>
      <c r="P255" s="9"/>
      <c r="Q255" s="9"/>
      <c r="R255" s="9"/>
      <c r="S255" s="47"/>
    </row>
    <row r="256" spans="1:19" x14ac:dyDescent="0.2">
      <c r="A256" s="1649"/>
      <c r="B256" s="1644"/>
      <c r="C256" s="9"/>
      <c r="D256" s="9"/>
      <c r="E256" s="9"/>
      <c r="F256" s="469"/>
      <c r="G256" s="319" t="s">
        <v>2103</v>
      </c>
      <c r="H256" s="9"/>
      <c r="I256" s="85"/>
      <c r="J256" s="9"/>
      <c r="K256" s="9"/>
      <c r="L256" s="9"/>
      <c r="M256" s="9"/>
      <c r="N256" s="9"/>
      <c r="O256" s="9"/>
      <c r="P256" s="9"/>
      <c r="Q256" s="9"/>
      <c r="R256" s="9"/>
      <c r="S256" s="47"/>
    </row>
    <row r="257" spans="1:19" x14ac:dyDescent="0.2">
      <c r="A257" s="54">
        <v>57700</v>
      </c>
      <c r="B257" s="79">
        <f>97900+2200</f>
        <v>100100</v>
      </c>
      <c r="C257" s="9">
        <v>103000</v>
      </c>
      <c r="D257" s="9">
        <v>49500</v>
      </c>
      <c r="E257" s="9">
        <v>326800</v>
      </c>
      <c r="F257" s="469" t="s">
        <v>1096</v>
      </c>
      <c r="G257" s="247" t="s">
        <v>1640</v>
      </c>
      <c r="H257" s="9">
        <v>150000</v>
      </c>
      <c r="I257" s="85">
        <f>IF(E257=H257,0,IF(E257=0,100,(H257-E257)/E257*100))</f>
        <v>-54.100367197062425</v>
      </c>
      <c r="J257" s="9">
        <v>160000</v>
      </c>
      <c r="K257" s="9">
        <f>ROUNDUP(J257+(J257*Assumptions!J$5),-2)</f>
        <v>164000</v>
      </c>
      <c r="L257" s="9">
        <f>ROUNDUP(K257+(K257*Assumptions!K$5),-2)</f>
        <v>168100</v>
      </c>
      <c r="M257" s="9">
        <f>ROUNDUP(L257+(L257*Assumptions!L$5),-2)</f>
        <v>172400</v>
      </c>
      <c r="N257" s="9">
        <f>ROUNDUP(M257+(M257*Assumptions!M$5),-2)</f>
        <v>176800</v>
      </c>
      <c r="O257" s="9">
        <f>ROUNDUP(N257+(N257*Assumptions!N$5),-2)</f>
        <v>181300</v>
      </c>
      <c r="P257" s="9">
        <f>ROUNDUP(O257+(O257*Assumptions!O$5),-2)</f>
        <v>185900</v>
      </c>
      <c r="Q257" s="9">
        <f>ROUNDUP(P257+(P257*Assumptions!P$5),-2)</f>
        <v>190600</v>
      </c>
      <c r="R257" s="9">
        <f>ROUNDUP(Q257+(Q257*Assumptions!Q$5),-2)</f>
        <v>195400</v>
      </c>
      <c r="S257" s="47">
        <f>ROUNDUP(R257+(R257*Assumptions!R$5),-2)</f>
        <v>200300</v>
      </c>
    </row>
    <row r="258" spans="1:19" ht="13.5" thickBot="1" x14ac:dyDescent="0.25">
      <c r="A258" s="54"/>
      <c r="B258" s="9"/>
      <c r="C258" s="9"/>
      <c r="D258" s="9"/>
      <c r="E258" s="9"/>
      <c r="F258" s="483"/>
      <c r="G258" s="46"/>
      <c r="H258" s="9"/>
      <c r="I258" s="85"/>
      <c r="J258" s="9"/>
      <c r="K258" s="9"/>
      <c r="L258" s="9"/>
      <c r="M258" s="9"/>
      <c r="N258" s="9"/>
      <c r="O258" s="9"/>
      <c r="P258" s="9"/>
      <c r="Q258" s="9"/>
      <c r="R258" s="9"/>
      <c r="S258" s="47"/>
    </row>
    <row r="259" spans="1:19" s="39" customFormat="1" x14ac:dyDescent="0.2">
      <c r="A259" s="52">
        <f>SUM(A243:A258)</f>
        <v>1372600</v>
      </c>
      <c r="B259" s="16">
        <f>SUM(B243:B258)</f>
        <v>1284300</v>
      </c>
      <c r="C259" s="16">
        <f>SUM(C243:C258)</f>
        <v>1277900</v>
      </c>
      <c r="D259" s="16">
        <f>SUM(D243:D258)</f>
        <v>1303300</v>
      </c>
      <c r="E259" s="16">
        <f t="shared" ref="E259" si="435">SUM(E243:E258)</f>
        <v>1889600</v>
      </c>
      <c r="F259" s="484"/>
      <c r="G259" s="59" t="s">
        <v>556</v>
      </c>
      <c r="H259" s="16">
        <f t="shared" ref="H259:P259" si="436">SUM(H243:H258)</f>
        <v>1727500</v>
      </c>
      <c r="I259" s="127">
        <f>IF(E259=H259,0,IF(E259=0,100,(H259-E259)/E259*100))</f>
        <v>-8.578535139712109</v>
      </c>
      <c r="J259" s="16">
        <f t="shared" si="436"/>
        <v>1780000</v>
      </c>
      <c r="K259" s="16">
        <f t="shared" si="436"/>
        <v>1821800</v>
      </c>
      <c r="L259" s="16">
        <f t="shared" si="436"/>
        <v>1864500</v>
      </c>
      <c r="M259" s="16">
        <f t="shared" si="436"/>
        <v>1908200</v>
      </c>
      <c r="N259" s="16">
        <f t="shared" si="436"/>
        <v>1953200</v>
      </c>
      <c r="O259" s="16">
        <f t="shared" si="436"/>
        <v>1999200</v>
      </c>
      <c r="P259" s="16">
        <f t="shared" si="436"/>
        <v>2046300</v>
      </c>
      <c r="Q259" s="16">
        <f t="shared" ref="Q259" si="437">SUM(Q243:Q258)</f>
        <v>2094500</v>
      </c>
      <c r="R259" s="16">
        <f t="shared" ref="R259" si="438">SUM(R243:R258)</f>
        <v>2143700</v>
      </c>
      <c r="S259" s="2342">
        <f t="shared" ref="S259" si="439">SUM(S243:S258)</f>
        <v>2193900</v>
      </c>
    </row>
    <row r="260" spans="1:19" x14ac:dyDescent="0.2">
      <c r="A260" s="54"/>
      <c r="B260" s="9"/>
      <c r="C260" s="9"/>
      <c r="D260" s="9"/>
      <c r="E260" s="9"/>
      <c r="F260" s="483"/>
      <c r="G260" s="55"/>
      <c r="H260" s="9"/>
      <c r="I260" s="85"/>
      <c r="J260" s="9"/>
      <c r="K260" s="9"/>
      <c r="L260" s="9"/>
      <c r="M260" s="9"/>
      <c r="N260" s="9"/>
      <c r="O260" s="9"/>
      <c r="P260" s="9"/>
      <c r="Q260" s="9"/>
      <c r="R260" s="9"/>
      <c r="S260" s="61"/>
    </row>
    <row r="261" spans="1:19" s="39" customFormat="1" x14ac:dyDescent="0.2">
      <c r="A261" s="24">
        <f>A240-A259</f>
        <v>-990200</v>
      </c>
      <c r="B261" s="21">
        <f>B240-B259</f>
        <v>-865400</v>
      </c>
      <c r="C261" s="21">
        <f>C240-C259</f>
        <v>-935100</v>
      </c>
      <c r="D261" s="21">
        <f>D240-D259</f>
        <v>-661300</v>
      </c>
      <c r="E261" s="21">
        <f t="shared" ref="E261" si="440">E240-E259</f>
        <v>-1088500</v>
      </c>
      <c r="F261" s="484"/>
      <c r="G261" s="1160" t="s">
        <v>1002</v>
      </c>
      <c r="H261" s="21">
        <f t="shared" ref="H261:P261" si="441">H240-H259</f>
        <v>-928600</v>
      </c>
      <c r="I261" s="126">
        <f>IF(E261=H261,0,IF(E261=0,100,(H261-E261)/E261*100))</f>
        <v>-14.689940284795592</v>
      </c>
      <c r="J261" s="21">
        <f t="shared" si="441"/>
        <v>-1031100</v>
      </c>
      <c r="K261" s="21">
        <f t="shared" si="441"/>
        <v>-1053500</v>
      </c>
      <c r="L261" s="21">
        <f t="shared" si="441"/>
        <v>-1076200</v>
      </c>
      <c r="M261" s="21">
        <f t="shared" si="441"/>
        <v>-1099500</v>
      </c>
      <c r="N261" s="21">
        <f t="shared" si="441"/>
        <v>-1123600</v>
      </c>
      <c r="O261" s="21">
        <f t="shared" si="441"/>
        <v>-1148200</v>
      </c>
      <c r="P261" s="21">
        <f t="shared" si="441"/>
        <v>-1173300</v>
      </c>
      <c r="Q261" s="21">
        <f t="shared" ref="Q261" si="442">Q240-Q259</f>
        <v>-1198900</v>
      </c>
      <c r="R261" s="21">
        <f t="shared" ref="R261:S261" si="443">R240-R259</f>
        <v>-1225000</v>
      </c>
      <c r="S261" s="62">
        <f t="shared" si="443"/>
        <v>-1251500</v>
      </c>
    </row>
    <row r="262" spans="1:19" x14ac:dyDescent="0.2">
      <c r="A262" s="54">
        <v>0</v>
      </c>
      <c r="B262" s="9">
        <v>0</v>
      </c>
      <c r="C262" s="9">
        <v>0</v>
      </c>
      <c r="D262" s="9">
        <v>0</v>
      </c>
      <c r="E262" s="9">
        <v>0</v>
      </c>
      <c r="F262" s="483"/>
      <c r="G262" s="1462" t="s">
        <v>1943</v>
      </c>
      <c r="H262" s="9">
        <v>0</v>
      </c>
      <c r="I262" s="85">
        <f>IF(E262=H262,0,IF(E262=0,100,(H262-E262)/E262*100))</f>
        <v>0</v>
      </c>
      <c r="J262" s="9">
        <v>0</v>
      </c>
      <c r="K262" s="9">
        <v>0</v>
      </c>
      <c r="L262" s="9">
        <v>0</v>
      </c>
      <c r="M262" s="9">
        <v>0</v>
      </c>
      <c r="N262" s="9">
        <v>0</v>
      </c>
      <c r="O262" s="9">
        <v>0</v>
      </c>
      <c r="P262" s="9">
        <v>0</v>
      </c>
      <c r="Q262" s="9">
        <v>0</v>
      </c>
      <c r="R262" s="9">
        <v>0</v>
      </c>
      <c r="S262" s="61">
        <v>0</v>
      </c>
    </row>
    <row r="263" spans="1:19" s="39" customFormat="1" x14ac:dyDescent="0.2">
      <c r="A263" s="128">
        <f>A261+A262</f>
        <v>-990200</v>
      </c>
      <c r="B263" s="280">
        <f>B261+B262</f>
        <v>-865400</v>
      </c>
      <c r="C263" s="280">
        <f>C261+C262</f>
        <v>-935100</v>
      </c>
      <c r="D263" s="280">
        <f>D261+D262</f>
        <v>-661300</v>
      </c>
      <c r="E263" s="280">
        <f t="shared" ref="E263" si="444">E261+E262</f>
        <v>-1088500</v>
      </c>
      <c r="F263" s="485"/>
      <c r="G263" s="1166" t="s">
        <v>1659</v>
      </c>
      <c r="H263" s="280">
        <f t="shared" ref="H263:O263" si="445">H261+H262</f>
        <v>-928600</v>
      </c>
      <c r="I263" s="278">
        <f>IF(E263=H263,0,IF(E263=0,100,(H263-E263)/E263*100))</f>
        <v>-14.689940284795592</v>
      </c>
      <c r="J263" s="280">
        <f t="shared" si="445"/>
        <v>-1031100</v>
      </c>
      <c r="K263" s="280">
        <f t="shared" si="445"/>
        <v>-1053500</v>
      </c>
      <c r="L263" s="280">
        <f t="shared" si="445"/>
        <v>-1076200</v>
      </c>
      <c r="M263" s="280">
        <f t="shared" si="445"/>
        <v>-1099500</v>
      </c>
      <c r="N263" s="280">
        <f t="shared" si="445"/>
        <v>-1123600</v>
      </c>
      <c r="O263" s="280">
        <f t="shared" si="445"/>
        <v>-1148200</v>
      </c>
      <c r="P263" s="280">
        <f t="shared" ref="P263:Q263" si="446">P261+P262</f>
        <v>-1173300</v>
      </c>
      <c r="Q263" s="280">
        <f t="shared" si="446"/>
        <v>-1198900</v>
      </c>
      <c r="R263" s="280">
        <f t="shared" ref="R263:S263" si="447">R261+R262</f>
        <v>-1225000</v>
      </c>
      <c r="S263" s="282">
        <f t="shared" si="447"/>
        <v>-1251500</v>
      </c>
    </row>
    <row r="264" spans="1:19" ht="13.5" thickBot="1" x14ac:dyDescent="0.25">
      <c r="A264" s="54"/>
      <c r="B264" s="9"/>
      <c r="C264" s="9"/>
      <c r="D264" s="9"/>
      <c r="E264" s="9"/>
      <c r="F264" s="483"/>
      <c r="G264" s="1160"/>
      <c r="H264" s="68"/>
      <c r="I264" s="85"/>
      <c r="J264" s="68"/>
      <c r="K264" s="68"/>
      <c r="L264" s="68"/>
      <c r="M264" s="68"/>
      <c r="N264" s="68"/>
      <c r="O264" s="68"/>
      <c r="P264" s="68"/>
      <c r="Q264" s="68"/>
      <c r="R264" s="68"/>
      <c r="S264" s="108"/>
    </row>
    <row r="265" spans="1:19" ht="13.5" thickTop="1" x14ac:dyDescent="0.2">
      <c r="A265" s="270"/>
      <c r="B265" s="109"/>
      <c r="C265" s="109"/>
      <c r="D265" s="109"/>
      <c r="E265" s="109"/>
      <c r="F265" s="487"/>
      <c r="G265" s="455"/>
      <c r="H265" s="74"/>
      <c r="I265" s="352"/>
      <c r="J265" s="74"/>
      <c r="K265" s="74"/>
      <c r="L265" s="74"/>
      <c r="M265" s="74"/>
      <c r="N265" s="74"/>
      <c r="O265" s="74"/>
      <c r="P265" s="74"/>
      <c r="Q265" s="74"/>
      <c r="R265" s="74"/>
      <c r="S265" s="110"/>
    </row>
    <row r="266" spans="1:19" x14ac:dyDescent="0.2">
      <c r="A266" s="24"/>
      <c r="B266" s="21"/>
      <c r="C266" s="21"/>
      <c r="D266" s="21"/>
      <c r="E266" s="21"/>
      <c r="F266" s="468"/>
      <c r="G266" s="1160" t="s">
        <v>192</v>
      </c>
      <c r="H266" s="9"/>
      <c r="I266" s="126"/>
      <c r="J266" s="9"/>
      <c r="K266" s="9"/>
      <c r="L266" s="9"/>
      <c r="M266" s="9"/>
      <c r="N266" s="9"/>
      <c r="O266" s="9"/>
      <c r="P266" s="9"/>
      <c r="Q266" s="9"/>
      <c r="R266" s="9"/>
      <c r="S266" s="61"/>
    </row>
    <row r="267" spans="1:19" x14ac:dyDescent="0.2">
      <c r="A267" s="24"/>
      <c r="B267" s="21"/>
      <c r="C267" s="21"/>
      <c r="D267" s="21"/>
      <c r="E267" s="21"/>
      <c r="F267" s="468"/>
      <c r="G267" s="122"/>
      <c r="H267" s="9"/>
      <c r="I267" s="126"/>
      <c r="J267" s="9"/>
      <c r="K267" s="9"/>
      <c r="L267" s="9"/>
      <c r="M267" s="9"/>
      <c r="N267" s="9"/>
      <c r="O267" s="9"/>
      <c r="P267" s="9"/>
      <c r="Q267" s="9"/>
      <c r="R267" s="9"/>
      <c r="S267" s="61"/>
    </row>
    <row r="268" spans="1:19" x14ac:dyDescent="0.2">
      <c r="A268" s="54">
        <v>0</v>
      </c>
      <c r="B268" s="9">
        <v>0</v>
      </c>
      <c r="C268" s="9">
        <v>0</v>
      </c>
      <c r="D268" s="9">
        <v>0</v>
      </c>
      <c r="E268" s="9">
        <v>0</v>
      </c>
      <c r="F268" s="468"/>
      <c r="G268" s="257" t="s">
        <v>1759</v>
      </c>
      <c r="H268" s="9">
        <v>0</v>
      </c>
      <c r="I268" s="70">
        <f>IF(E268=H268,0,IF(E268=0,100,(H268-E268)/E268*100))</f>
        <v>0</v>
      </c>
      <c r="J268" s="9">
        <v>0</v>
      </c>
      <c r="K268" s="9">
        <v>0</v>
      </c>
      <c r="L268" s="9">
        <v>0</v>
      </c>
      <c r="M268" s="9">
        <v>0</v>
      </c>
      <c r="N268" s="9">
        <v>0</v>
      </c>
      <c r="O268" s="9">
        <v>0</v>
      </c>
      <c r="P268" s="9">
        <v>0</v>
      </c>
      <c r="Q268" s="9">
        <v>0</v>
      </c>
      <c r="R268" s="9">
        <v>0</v>
      </c>
      <c r="S268" s="61">
        <v>0</v>
      </c>
    </row>
    <row r="269" spans="1:19" x14ac:dyDescent="0.2">
      <c r="A269" s="54">
        <v>21600</v>
      </c>
      <c r="B269" s="9">
        <v>0</v>
      </c>
      <c r="C269" s="9">
        <v>0</v>
      </c>
      <c r="D269" s="9">
        <f>'Res-Gen'!B140</f>
        <v>50000</v>
      </c>
      <c r="E269" s="9">
        <v>233000</v>
      </c>
      <c r="F269" s="468"/>
      <c r="G269" s="257" t="s">
        <v>1909</v>
      </c>
      <c r="H269" s="9">
        <v>0</v>
      </c>
      <c r="I269" s="70">
        <f>IF(E269=H269,0,IF(E269=0,100,(H269-E269)/E269*100))</f>
        <v>-100</v>
      </c>
      <c r="J269" s="9">
        <v>0</v>
      </c>
      <c r="K269" s="9">
        <v>0</v>
      </c>
      <c r="L269" s="9">
        <v>0</v>
      </c>
      <c r="M269" s="9">
        <v>0</v>
      </c>
      <c r="N269" s="9">
        <v>0</v>
      </c>
      <c r="O269" s="9">
        <v>0</v>
      </c>
      <c r="P269" s="9">
        <v>0</v>
      </c>
      <c r="Q269" s="9">
        <v>0</v>
      </c>
      <c r="R269" s="9">
        <v>0</v>
      </c>
      <c r="S269" s="61">
        <v>0</v>
      </c>
    </row>
    <row r="270" spans="1:19" x14ac:dyDescent="0.2">
      <c r="A270" s="54">
        <v>0</v>
      </c>
      <c r="B270" s="9">
        <v>21600</v>
      </c>
      <c r="C270" s="89">
        <v>0</v>
      </c>
      <c r="D270" s="89">
        <v>0</v>
      </c>
      <c r="E270" s="9">
        <v>0</v>
      </c>
      <c r="F270" s="468"/>
      <c r="G270" s="257" t="s">
        <v>2309</v>
      </c>
      <c r="H270" s="9">
        <f>+'Res-Gen'!I141</f>
        <v>23000</v>
      </c>
      <c r="I270" s="70">
        <f>IF(E270=H270,0,IF(E270=0,100,(H270-E270)/E270*100))</f>
        <v>100</v>
      </c>
      <c r="J270" s="9">
        <v>0</v>
      </c>
      <c r="K270" s="9">
        <v>0</v>
      </c>
      <c r="L270" s="9">
        <v>0</v>
      </c>
      <c r="M270" s="9">
        <v>0</v>
      </c>
      <c r="N270" s="9">
        <v>0</v>
      </c>
      <c r="O270" s="9">
        <v>0</v>
      </c>
      <c r="P270" s="9">
        <v>0</v>
      </c>
      <c r="Q270" s="9">
        <v>0</v>
      </c>
      <c r="R270" s="9">
        <v>0</v>
      </c>
      <c r="S270" s="61">
        <v>0</v>
      </c>
    </row>
    <row r="271" spans="1:19" x14ac:dyDescent="0.2">
      <c r="A271" s="54">
        <v>0</v>
      </c>
      <c r="B271" s="9">
        <v>0</v>
      </c>
      <c r="C271" s="9">
        <v>0</v>
      </c>
      <c r="D271" s="9">
        <v>0</v>
      </c>
      <c r="E271" s="9">
        <v>0</v>
      </c>
      <c r="F271" s="468"/>
      <c r="G271" s="257" t="s">
        <v>5847</v>
      </c>
      <c r="H271" s="9">
        <v>0</v>
      </c>
      <c r="I271" s="70">
        <f>IF(E271=H271,0,IF(E271=0,100,(H271-E271)/E271*100))</f>
        <v>0</v>
      </c>
      <c r="J271" s="9">
        <v>0</v>
      </c>
      <c r="K271" s="9">
        <v>0</v>
      </c>
      <c r="L271" s="9">
        <v>0</v>
      </c>
      <c r="M271" s="9">
        <v>0</v>
      </c>
      <c r="N271" s="9">
        <v>0</v>
      </c>
      <c r="O271" s="9">
        <v>0</v>
      </c>
      <c r="P271" s="9">
        <v>0</v>
      </c>
      <c r="Q271" s="9">
        <v>0</v>
      </c>
      <c r="R271" s="9">
        <v>0</v>
      </c>
      <c r="S271" s="61">
        <v>0</v>
      </c>
    </row>
    <row r="272" spans="1:19" x14ac:dyDescent="0.2">
      <c r="A272" s="54">
        <v>0</v>
      </c>
      <c r="B272" s="9">
        <v>0</v>
      </c>
      <c r="C272" s="9">
        <v>0</v>
      </c>
      <c r="D272" s="9">
        <v>0</v>
      </c>
      <c r="E272" s="9">
        <v>0</v>
      </c>
      <c r="F272" s="468"/>
      <c r="G272" s="257" t="s">
        <v>958</v>
      </c>
      <c r="H272" s="9">
        <v>0</v>
      </c>
      <c r="I272" s="70">
        <f>IF(E272=H272,0,IF(E272=0,100,(H272-E272)/E272*100))</f>
        <v>0</v>
      </c>
      <c r="J272" s="9">
        <v>0</v>
      </c>
      <c r="K272" s="9">
        <v>0</v>
      </c>
      <c r="L272" s="9">
        <v>0</v>
      </c>
      <c r="M272" s="9">
        <v>0</v>
      </c>
      <c r="N272" s="9">
        <v>0</v>
      </c>
      <c r="O272" s="9">
        <v>0</v>
      </c>
      <c r="P272" s="9">
        <v>0</v>
      </c>
      <c r="Q272" s="9">
        <v>0</v>
      </c>
      <c r="R272" s="9">
        <v>0</v>
      </c>
      <c r="S272" s="61">
        <v>0</v>
      </c>
    </row>
    <row r="273" spans="1:19" x14ac:dyDescent="0.2">
      <c r="A273" s="54"/>
      <c r="B273" s="9"/>
      <c r="C273" s="9"/>
      <c r="D273" s="9"/>
      <c r="E273" s="9"/>
      <c r="F273" s="468"/>
      <c r="G273" s="361"/>
      <c r="H273" s="9"/>
      <c r="I273" s="70"/>
      <c r="J273" s="9"/>
      <c r="K273" s="9"/>
      <c r="L273" s="9"/>
      <c r="M273" s="9"/>
      <c r="N273" s="9"/>
      <c r="O273" s="9"/>
      <c r="P273" s="9"/>
      <c r="Q273" s="9"/>
      <c r="R273" s="9"/>
      <c r="S273" s="61"/>
    </row>
    <row r="274" spans="1:19" s="39" customFormat="1" x14ac:dyDescent="0.2">
      <c r="A274" s="128">
        <f>A263-A268-A269+A270++A271-A272</f>
        <v>-1011800</v>
      </c>
      <c r="B274" s="280">
        <f>B263-B268-B269+B270++B271-B272</f>
        <v>-843800</v>
      </c>
      <c r="C274" s="280">
        <f>C263-C268-C269+C270++C271-C272</f>
        <v>-935100</v>
      </c>
      <c r="D274" s="280">
        <f>D263-D268-D269+D270++D271-D272</f>
        <v>-711300</v>
      </c>
      <c r="E274" s="280">
        <f t="shared" ref="E274" si="448">E263-E268-E269+E270++E271-E272</f>
        <v>-1321500</v>
      </c>
      <c r="F274" s="488"/>
      <c r="G274" s="363" t="s">
        <v>2447</v>
      </c>
      <c r="H274" s="280">
        <f t="shared" ref="H274:O274" si="449">H263-H268-H269+H270++H271-H272</f>
        <v>-905600</v>
      </c>
      <c r="I274" s="380">
        <f>IF(E274=H274,0,IF(E274=0,100,(H274-E274)/E274*100))</f>
        <v>-31.471812334468407</v>
      </c>
      <c r="J274" s="280">
        <f t="shared" si="449"/>
        <v>-1031100</v>
      </c>
      <c r="K274" s="280">
        <f t="shared" si="449"/>
        <v>-1053500</v>
      </c>
      <c r="L274" s="280">
        <f t="shared" si="449"/>
        <v>-1076200</v>
      </c>
      <c r="M274" s="280">
        <f t="shared" si="449"/>
        <v>-1099500</v>
      </c>
      <c r="N274" s="280">
        <f t="shared" si="449"/>
        <v>-1123600</v>
      </c>
      <c r="O274" s="280">
        <f t="shared" si="449"/>
        <v>-1148200</v>
      </c>
      <c r="P274" s="280">
        <f t="shared" ref="P274:Q274" si="450">P263-P268-P269+P270++P271-P272</f>
        <v>-1173300</v>
      </c>
      <c r="Q274" s="280">
        <f t="shared" si="450"/>
        <v>-1198900</v>
      </c>
      <c r="R274" s="280">
        <f t="shared" ref="R274:S274" si="451">R263-R268-R269+R270++R271-R272</f>
        <v>-1225000</v>
      </c>
      <c r="S274" s="282">
        <f t="shared" si="451"/>
        <v>-1251500</v>
      </c>
    </row>
    <row r="275" spans="1:19" ht="13.5" thickBot="1" x14ac:dyDescent="0.25">
      <c r="A275" s="26"/>
      <c r="B275" s="37"/>
      <c r="C275" s="37"/>
      <c r="D275" s="37"/>
      <c r="E275" s="37"/>
      <c r="F275" s="492"/>
      <c r="G275" s="259"/>
      <c r="H275" s="23"/>
      <c r="I275" s="1643"/>
      <c r="J275" s="23"/>
      <c r="K275" s="23"/>
      <c r="L275" s="23"/>
      <c r="M275" s="23"/>
      <c r="N275" s="23"/>
      <c r="O275" s="23"/>
      <c r="P275" s="23"/>
      <c r="Q275" s="23"/>
      <c r="R275" s="23"/>
      <c r="S275" s="112"/>
    </row>
    <row r="276" spans="1:19" ht="14.25" thickTop="1" thickBot="1" x14ac:dyDescent="0.25">
      <c r="A276" s="27"/>
      <c r="B276" s="27"/>
      <c r="C276" s="27"/>
      <c r="D276" s="27"/>
      <c r="E276" s="27"/>
      <c r="F276" s="471"/>
      <c r="G276" s="84"/>
      <c r="H276" s="46"/>
      <c r="I276" s="2234"/>
      <c r="J276" s="46"/>
      <c r="K276" s="46"/>
      <c r="L276" s="46"/>
      <c r="M276" s="46"/>
      <c r="N276" s="46"/>
      <c r="O276" s="46"/>
      <c r="P276" s="46"/>
      <c r="Q276" s="46"/>
      <c r="R276" s="46"/>
      <c r="S276" s="46"/>
    </row>
    <row r="277" spans="1:19" s="38" customFormat="1" ht="18.75" customHeight="1" thickTop="1" thickBot="1" x14ac:dyDescent="0.3">
      <c r="A277" s="2601" t="str">
        <f>A83</f>
        <v>BUILDING SERVICES</v>
      </c>
      <c r="B277" s="2602"/>
      <c r="C277" s="2602"/>
      <c r="D277" s="2602"/>
      <c r="E277" s="2602"/>
      <c r="F277" s="2602"/>
      <c r="G277" s="2602"/>
      <c r="H277" s="2602"/>
      <c r="I277" s="2602"/>
      <c r="J277" s="2602"/>
      <c r="K277" s="2602"/>
      <c r="L277" s="2602"/>
      <c r="M277" s="2602"/>
      <c r="N277" s="2602"/>
      <c r="O277" s="2602"/>
      <c r="P277" s="2602"/>
      <c r="Q277" s="2602"/>
      <c r="R277" s="2602"/>
      <c r="S277" s="2603"/>
    </row>
    <row r="278" spans="1:19" s="39" customFormat="1" x14ac:dyDescent="0.2">
      <c r="A278" s="2598" t="s">
        <v>1824</v>
      </c>
      <c r="B278" s="2599"/>
      <c r="C278" s="2599"/>
      <c r="D278" s="2599"/>
      <c r="E278" s="2600"/>
      <c r="F278" s="1163" t="s">
        <v>2616</v>
      </c>
      <c r="G278" s="2231" t="s">
        <v>2213</v>
      </c>
      <c r="H278" s="2576" t="s">
        <v>2215</v>
      </c>
      <c r="I278" s="2577"/>
      <c r="J278" s="2577"/>
      <c r="K278" s="2577"/>
      <c r="L278" s="2577"/>
      <c r="M278" s="2577"/>
      <c r="N278" s="2577"/>
      <c r="O278" s="2577"/>
      <c r="P278" s="2577"/>
      <c r="Q278" s="2577"/>
      <c r="R278" s="2577"/>
      <c r="S278" s="2578"/>
    </row>
    <row r="279" spans="1:19" ht="13.5" thickBot="1" x14ac:dyDescent="0.25">
      <c r="A279" s="1647" t="str">
        <f>A3</f>
        <v>2012/13</v>
      </c>
      <c r="B279" s="40" t="str">
        <f>B3</f>
        <v>2013/14</v>
      </c>
      <c r="C279" s="40" t="str">
        <f>C3</f>
        <v>2014/15</v>
      </c>
      <c r="D279" s="40" t="str">
        <f>D3</f>
        <v>2015/16</v>
      </c>
      <c r="E279" s="40" t="str">
        <f>E3</f>
        <v>2016/17</v>
      </c>
      <c r="F279" s="2071" t="s">
        <v>2617</v>
      </c>
      <c r="G279" s="41"/>
      <c r="H279" s="40" t="str">
        <f t="shared" ref="H279:R279" si="452">H3</f>
        <v>2017/18</v>
      </c>
      <c r="I279" s="40" t="str">
        <f t="shared" si="452"/>
        <v>%</v>
      </c>
      <c r="J279" s="40" t="str">
        <f t="shared" si="452"/>
        <v>2018/19</v>
      </c>
      <c r="K279" s="40" t="str">
        <f t="shared" si="452"/>
        <v>2019/20</v>
      </c>
      <c r="L279" s="40" t="str">
        <f t="shared" si="452"/>
        <v>2020/21</v>
      </c>
      <c r="M279" s="40" t="str">
        <f t="shared" si="452"/>
        <v>2021/22</v>
      </c>
      <c r="N279" s="40" t="str">
        <f t="shared" si="452"/>
        <v>2022/23</v>
      </c>
      <c r="O279" s="40" t="str">
        <f t="shared" si="452"/>
        <v>2023/24</v>
      </c>
      <c r="P279" s="40" t="str">
        <f t="shared" si="452"/>
        <v>2024/25</v>
      </c>
      <c r="Q279" s="40" t="str">
        <f t="shared" si="452"/>
        <v>2025/26</v>
      </c>
      <c r="R279" s="40" t="str">
        <f t="shared" si="452"/>
        <v>2026/27</v>
      </c>
      <c r="S279" s="1620" t="str">
        <f t="shared" ref="S279" si="453">S3</f>
        <v>2027/28</v>
      </c>
    </row>
    <row r="280" spans="1:19" x14ac:dyDescent="0.2">
      <c r="A280" s="54"/>
      <c r="B280" s="9"/>
      <c r="C280" s="9"/>
      <c r="D280" s="9"/>
      <c r="E280" s="9"/>
      <c r="F280" s="469"/>
      <c r="G280" s="27"/>
      <c r="H280" s="9"/>
      <c r="I280" s="85"/>
      <c r="J280" s="9"/>
      <c r="K280" s="9"/>
      <c r="L280" s="9"/>
      <c r="M280" s="9"/>
      <c r="N280" s="9"/>
      <c r="O280" s="9"/>
      <c r="P280" s="9"/>
      <c r="Q280" s="9"/>
      <c r="R280" s="9"/>
      <c r="S280" s="61"/>
    </row>
    <row r="281" spans="1:19" x14ac:dyDescent="0.2">
      <c r="A281" s="54"/>
      <c r="B281" s="9"/>
      <c r="C281" s="9"/>
      <c r="D281" s="9"/>
      <c r="E281" s="9"/>
      <c r="F281" s="469"/>
      <c r="G281" s="91" t="s">
        <v>1056</v>
      </c>
      <c r="H281" s="9"/>
      <c r="I281" s="85"/>
      <c r="J281" s="9"/>
      <c r="K281" s="9"/>
      <c r="L281" s="9"/>
      <c r="M281" s="9"/>
      <c r="N281" s="9"/>
      <c r="O281" s="9"/>
      <c r="P281" s="9"/>
      <c r="Q281" s="9"/>
      <c r="R281" s="9"/>
      <c r="S281" s="61"/>
    </row>
    <row r="282" spans="1:19" x14ac:dyDescent="0.2">
      <c r="A282" s="54"/>
      <c r="B282" s="1645"/>
      <c r="C282" s="9"/>
      <c r="D282" s="9"/>
      <c r="E282" s="9"/>
      <c r="F282" s="2077"/>
      <c r="G282" s="780" t="s">
        <v>3181</v>
      </c>
      <c r="H282" s="9"/>
      <c r="I282" s="85"/>
      <c r="J282" s="9"/>
      <c r="K282" s="9"/>
      <c r="L282" s="9"/>
      <c r="M282" s="9"/>
      <c r="N282" s="9"/>
      <c r="O282" s="9"/>
      <c r="P282" s="9"/>
      <c r="Q282" s="9"/>
      <c r="R282" s="9"/>
      <c r="S282" s="61"/>
    </row>
    <row r="283" spans="1:19" x14ac:dyDescent="0.2">
      <c r="A283" s="54">
        <v>0</v>
      </c>
      <c r="B283" s="1646">
        <v>1700</v>
      </c>
      <c r="C283" s="79">
        <v>10500</v>
      </c>
      <c r="D283" s="79">
        <v>3400</v>
      </c>
      <c r="E283" s="9">
        <v>-100</v>
      </c>
      <c r="F283" s="771" t="s">
        <v>3802</v>
      </c>
      <c r="G283" s="1151" t="s">
        <v>3803</v>
      </c>
      <c r="H283" s="9">
        <v>3000</v>
      </c>
      <c r="I283" s="85">
        <f>IF(E283=H283,0,IF(E283=0,100,(H283-E283)/E283*100))</f>
        <v>-3100</v>
      </c>
      <c r="J283" s="9">
        <v>0</v>
      </c>
      <c r="K283" s="9">
        <f>ROUNDUP(J283+(J283*Assumptions!J$5),-2)</f>
        <v>0</v>
      </c>
      <c r="L283" s="9">
        <f>ROUNDUP(K283+(K283*Assumptions!K$5),-2)</f>
        <v>0</v>
      </c>
      <c r="M283" s="9">
        <f>ROUNDUP(L283+(L283*Assumptions!L$5),-2)</f>
        <v>0</v>
      </c>
      <c r="N283" s="9">
        <f>ROUNDUP(M283+(M283*Assumptions!M$5),-2)</f>
        <v>0</v>
      </c>
      <c r="O283" s="9">
        <f>ROUNDUP(N283+(N283*Assumptions!N$5),-2)</f>
        <v>0</v>
      </c>
      <c r="P283" s="9">
        <f>ROUNDUP(O283+(O283*Assumptions!O$5),-2)</f>
        <v>0</v>
      </c>
      <c r="Q283" s="9">
        <f>ROUNDUP(P283+(P283*Assumptions!P$5),-2)</f>
        <v>0</v>
      </c>
      <c r="R283" s="9">
        <f>ROUNDUP(Q283+(Q283*Assumptions!Q$5),-2)</f>
        <v>0</v>
      </c>
      <c r="S283" s="47">
        <f>ROUNDUP(R283+(R283*Assumptions!R$5),-2)</f>
        <v>0</v>
      </c>
    </row>
    <row r="284" spans="1:19" x14ac:dyDescent="0.2">
      <c r="A284" s="54">
        <v>173800</v>
      </c>
      <c r="B284" s="79">
        <v>266400</v>
      </c>
      <c r="C284" s="9">
        <v>336400</v>
      </c>
      <c r="D284" s="9">
        <v>373300</v>
      </c>
      <c r="E284" s="9">
        <v>407400</v>
      </c>
      <c r="F284" s="469" t="s">
        <v>490</v>
      </c>
      <c r="G284" s="662" t="s">
        <v>4493</v>
      </c>
      <c r="H284" s="9">
        <f>382000-12000</f>
        <v>370000</v>
      </c>
      <c r="I284" s="85">
        <f>IF(E284=H284,0,IF(E284=0,100,(H284-E284)/E284*100))</f>
        <v>-9.1801669121256761</v>
      </c>
      <c r="J284" s="9">
        <v>352000</v>
      </c>
      <c r="K284" s="9">
        <f>ROUNDUP(J284+(J284*Assumptions!J$5),-2)</f>
        <v>360800</v>
      </c>
      <c r="L284" s="9">
        <f>ROUNDUP(K284+(K284*Assumptions!K$5),-2)</f>
        <v>369900</v>
      </c>
      <c r="M284" s="9">
        <f>ROUNDUP(L284+(L284*Assumptions!L$5),-2)</f>
        <v>379200</v>
      </c>
      <c r="N284" s="9">
        <f>ROUNDUP(M284+(M284*Assumptions!M$5),-2)</f>
        <v>388700</v>
      </c>
      <c r="O284" s="9">
        <f>ROUNDUP(N284+(N284*Assumptions!N$5),-2)</f>
        <v>398500</v>
      </c>
      <c r="P284" s="9">
        <f>ROUNDUP(O284+(O284*Assumptions!O$5),-2)</f>
        <v>408500</v>
      </c>
      <c r="Q284" s="9">
        <f>ROUNDUP(P284+(P284*Assumptions!P$5),-2)</f>
        <v>418800</v>
      </c>
      <c r="R284" s="9">
        <f>ROUNDUP(Q284+(Q284*Assumptions!Q$5),-2)</f>
        <v>429300</v>
      </c>
      <c r="S284" s="47">
        <f>ROUNDUP(R284+(R284*Assumptions!R$5),-2)</f>
        <v>440100</v>
      </c>
    </row>
    <row r="285" spans="1:19" x14ac:dyDescent="0.2">
      <c r="A285" s="54">
        <v>72100</v>
      </c>
      <c r="B285" s="79">
        <v>94000</v>
      </c>
      <c r="C285" s="9">
        <v>125100</v>
      </c>
      <c r="D285" s="9">
        <f>133300+1100+500</f>
        <v>134900</v>
      </c>
      <c r="E285" s="9">
        <v>120500</v>
      </c>
      <c r="F285" s="469" t="s">
        <v>1299</v>
      </c>
      <c r="G285" s="371" t="s">
        <v>551</v>
      </c>
      <c r="H285" s="9">
        <f>108000+20000</f>
        <v>128000</v>
      </c>
      <c r="I285" s="85">
        <f>IF(E285=H285,0,IF(E285=0,100,(H285-E285)/E285*100))</f>
        <v>6.2240663900414939</v>
      </c>
      <c r="J285" s="9">
        <v>122000</v>
      </c>
      <c r="K285" s="9">
        <f>ROUNDUP(J285+(J285*Assumptions!J$5),-2)</f>
        <v>125100</v>
      </c>
      <c r="L285" s="9">
        <f>ROUNDUP(K285+(K285*Assumptions!K$5),-2)</f>
        <v>128300</v>
      </c>
      <c r="M285" s="9">
        <f>ROUNDUP(L285+(L285*Assumptions!L$5),-2)</f>
        <v>131600</v>
      </c>
      <c r="N285" s="9">
        <f>ROUNDUP(M285+(M285*Assumptions!M$5),-2)</f>
        <v>134900</v>
      </c>
      <c r="O285" s="9">
        <f>ROUNDUP(N285+(N285*Assumptions!N$5),-2)</f>
        <v>138300</v>
      </c>
      <c r="P285" s="9">
        <f>ROUNDUP(O285+(O285*Assumptions!O$5),-2)</f>
        <v>141800</v>
      </c>
      <c r="Q285" s="9">
        <f>ROUNDUP(P285+(P285*Assumptions!P$5),-2)</f>
        <v>145400</v>
      </c>
      <c r="R285" s="9">
        <f>ROUNDUP(Q285+(Q285*Assumptions!Q$5),-2)</f>
        <v>149100</v>
      </c>
      <c r="S285" s="47">
        <f>ROUNDUP(R285+(R285*Assumptions!R$5),-2)</f>
        <v>152900</v>
      </c>
    </row>
    <row r="286" spans="1:19" x14ac:dyDescent="0.2">
      <c r="A286" s="54">
        <v>57900</v>
      </c>
      <c r="B286" s="79">
        <v>123900</v>
      </c>
      <c r="C286" s="9">
        <f>172400+500</f>
        <v>172900</v>
      </c>
      <c r="D286" s="9">
        <v>214900</v>
      </c>
      <c r="E286" s="9">
        <f>227400+1200+800</f>
        <v>229400</v>
      </c>
      <c r="F286" s="469" t="s">
        <v>1300</v>
      </c>
      <c r="G286" s="371" t="s">
        <v>552</v>
      </c>
      <c r="H286" s="9">
        <f>206000+18000</f>
        <v>224000</v>
      </c>
      <c r="I286" s="85">
        <f t="shared" ref="I286:I288" si="454">IF(E286=H286,0,IF(E286=0,100,(H286-E286)/E286*100))</f>
        <v>-2.3539668700959022</v>
      </c>
      <c r="J286" s="9">
        <v>213000</v>
      </c>
      <c r="K286" s="9">
        <f>ROUNDUP(J286+(J286*Assumptions!J$5),-2)</f>
        <v>218400</v>
      </c>
      <c r="L286" s="9">
        <f>ROUNDUP(K286+(K286*Assumptions!K$5),-2)</f>
        <v>223900</v>
      </c>
      <c r="M286" s="9">
        <f>ROUNDUP(L286+(L286*Assumptions!L$5),-2)</f>
        <v>229500</v>
      </c>
      <c r="N286" s="9">
        <f>ROUNDUP(M286+(M286*Assumptions!M$5),-2)</f>
        <v>235300</v>
      </c>
      <c r="O286" s="9">
        <f>ROUNDUP(N286+(N286*Assumptions!N$5),-2)</f>
        <v>241200</v>
      </c>
      <c r="P286" s="9">
        <f>ROUNDUP(O286+(O286*Assumptions!O$5),-2)</f>
        <v>247300</v>
      </c>
      <c r="Q286" s="9">
        <f>ROUNDUP(P286+(P286*Assumptions!P$5),-2)</f>
        <v>253500</v>
      </c>
      <c r="R286" s="9">
        <f>ROUNDUP(Q286+(Q286*Assumptions!Q$5),-2)</f>
        <v>259900</v>
      </c>
      <c r="S286" s="47">
        <f>ROUNDUP(R286+(R286*Assumptions!R$5),-2)</f>
        <v>266400</v>
      </c>
    </row>
    <row r="287" spans="1:19" x14ac:dyDescent="0.2">
      <c r="A287" s="54">
        <v>90000</v>
      </c>
      <c r="B287" s="79">
        <v>120000</v>
      </c>
      <c r="C287" s="9">
        <v>198600</v>
      </c>
      <c r="D287" s="9">
        <v>273300</v>
      </c>
      <c r="E287" s="9">
        <v>273400</v>
      </c>
      <c r="F287" s="469" t="s">
        <v>2319</v>
      </c>
      <c r="G287" s="371" t="s">
        <v>2559</v>
      </c>
      <c r="H287" s="9">
        <f>266000+8000</f>
        <v>274000</v>
      </c>
      <c r="I287" s="85">
        <f t="shared" si="454"/>
        <v>0.21945866861741037</v>
      </c>
      <c r="J287" s="9">
        <v>260000</v>
      </c>
      <c r="K287" s="9">
        <f>ROUNDUP(J287+(J287*Assumptions!J$5),-2)</f>
        <v>266500</v>
      </c>
      <c r="L287" s="9">
        <f>ROUNDUP(K287+(K287*Assumptions!K$5),-2)</f>
        <v>273200</v>
      </c>
      <c r="M287" s="9">
        <f>ROUNDUP(L287+(L287*Assumptions!L$5),-2)</f>
        <v>280100</v>
      </c>
      <c r="N287" s="9">
        <f>ROUNDUP(M287+(M287*Assumptions!M$5),-2)</f>
        <v>287200</v>
      </c>
      <c r="O287" s="9">
        <f>ROUNDUP(N287+(N287*Assumptions!N$5),-2)</f>
        <v>294400</v>
      </c>
      <c r="P287" s="9">
        <f>ROUNDUP(O287+(O287*Assumptions!O$5),-2)</f>
        <v>301800</v>
      </c>
      <c r="Q287" s="9">
        <f>ROUNDUP(P287+(P287*Assumptions!P$5),-2)</f>
        <v>309400</v>
      </c>
      <c r="R287" s="9">
        <f>ROUNDUP(Q287+(Q287*Assumptions!Q$5),-2)</f>
        <v>317200</v>
      </c>
      <c r="S287" s="47">
        <f>ROUNDUP(R287+(R287*Assumptions!R$5),-2)</f>
        <v>325200</v>
      </c>
    </row>
    <row r="288" spans="1:19" x14ac:dyDescent="0.2">
      <c r="A288" s="54">
        <v>87700</v>
      </c>
      <c r="B288" s="79">
        <v>117000</v>
      </c>
      <c r="C288" s="9">
        <v>145100</v>
      </c>
      <c r="D288" s="9">
        <v>153200</v>
      </c>
      <c r="E288" s="9">
        <v>150900</v>
      </c>
      <c r="F288" s="469" t="s">
        <v>2283</v>
      </c>
      <c r="G288" s="371" t="s">
        <v>1086</v>
      </c>
      <c r="H288" s="9">
        <f>136000+13000</f>
        <v>149000</v>
      </c>
      <c r="I288" s="85">
        <f t="shared" si="454"/>
        <v>-1.2591119946984757</v>
      </c>
      <c r="J288" s="9">
        <v>142000</v>
      </c>
      <c r="K288" s="9">
        <f>ROUNDUP(J288+(J288*Assumptions!J$5),-2)</f>
        <v>145600</v>
      </c>
      <c r="L288" s="9">
        <f>ROUNDUP(K288+(K288*Assumptions!K$5),-2)</f>
        <v>149300</v>
      </c>
      <c r="M288" s="9">
        <f>ROUNDUP(L288+(L288*Assumptions!L$5),-2)</f>
        <v>153100</v>
      </c>
      <c r="N288" s="9">
        <f>ROUNDUP(M288+(M288*Assumptions!M$5),-2)</f>
        <v>157000</v>
      </c>
      <c r="O288" s="9">
        <f>ROUNDUP(N288+(N288*Assumptions!N$5),-2)</f>
        <v>161000</v>
      </c>
      <c r="P288" s="9">
        <f>ROUNDUP(O288+(O288*Assumptions!O$5),-2)</f>
        <v>165100</v>
      </c>
      <c r="Q288" s="9">
        <f>ROUNDUP(P288+(P288*Assumptions!P$5),-2)</f>
        <v>169300</v>
      </c>
      <c r="R288" s="9">
        <f>ROUNDUP(Q288+(Q288*Assumptions!Q$5),-2)</f>
        <v>173600</v>
      </c>
      <c r="S288" s="47">
        <f>ROUNDUP(R288+(R288*Assumptions!R$5),-2)</f>
        <v>178000</v>
      </c>
    </row>
    <row r="289" spans="1:19" x14ac:dyDescent="0.2">
      <c r="A289" s="54">
        <v>0</v>
      </c>
      <c r="B289" s="79">
        <v>0</v>
      </c>
      <c r="C289" s="9">
        <v>0</v>
      </c>
      <c r="D289" s="9">
        <v>0</v>
      </c>
      <c r="E289" s="9">
        <v>20800</v>
      </c>
      <c r="F289" s="769" t="s">
        <v>7021</v>
      </c>
      <c r="G289" s="662" t="s">
        <v>7022</v>
      </c>
      <c r="H289" s="9">
        <v>0</v>
      </c>
      <c r="I289" s="85">
        <f t="shared" ref="I289:I297" si="455">IF(E289=H289,0,IF(E289=0,100,(H289-E289)/E289*100))</f>
        <v>-100</v>
      </c>
      <c r="J289" s="9">
        <v>0</v>
      </c>
      <c r="K289" s="9">
        <f>ROUNDUP(J289+(J289*Assumptions!J$5),-2)</f>
        <v>0</v>
      </c>
      <c r="L289" s="9">
        <f>ROUNDUP(K289+(K289*Assumptions!K$5),-2)</f>
        <v>0</v>
      </c>
      <c r="M289" s="9">
        <f>ROUNDUP(L289+(L289*Assumptions!L$5),-2)</f>
        <v>0</v>
      </c>
      <c r="N289" s="9">
        <f>ROUNDUP(M289+(M289*Assumptions!M$5),-2)</f>
        <v>0</v>
      </c>
      <c r="O289" s="9">
        <f>ROUNDUP(N289+(N289*Assumptions!N$5),-2)</f>
        <v>0</v>
      </c>
      <c r="P289" s="9">
        <f>ROUNDUP(O289+(O289*Assumptions!O$5),-2)</f>
        <v>0</v>
      </c>
      <c r="Q289" s="9">
        <f>ROUNDUP(P289+(P289*Assumptions!P$5),-2)</f>
        <v>0</v>
      </c>
      <c r="R289" s="9">
        <f>ROUNDUP(Q289+(Q289*Assumptions!Q$5),-2)</f>
        <v>0</v>
      </c>
      <c r="S289" s="47">
        <f>ROUNDUP(R289+(R289*Assumptions!R$5),-2)</f>
        <v>0</v>
      </c>
    </row>
    <row r="290" spans="1:19" x14ac:dyDescent="0.2">
      <c r="A290" s="54">
        <v>11300</v>
      </c>
      <c r="B290" s="79">
        <v>12800</v>
      </c>
      <c r="C290" s="9">
        <v>19200</v>
      </c>
      <c r="D290" s="9">
        <v>21000</v>
      </c>
      <c r="E290" s="9">
        <v>20700</v>
      </c>
      <c r="F290" s="469" t="s">
        <v>2396</v>
      </c>
      <c r="G290" s="371" t="s">
        <v>1211</v>
      </c>
      <c r="H290" s="9">
        <f>16000+3000</f>
        <v>19000</v>
      </c>
      <c r="I290" s="85">
        <f t="shared" si="455"/>
        <v>-8.2125603864734309</v>
      </c>
      <c r="J290" s="9">
        <v>20000</v>
      </c>
      <c r="K290" s="9">
        <f>ROUNDUP(J290+(J290*Assumptions!J$5),-2)</f>
        <v>20500</v>
      </c>
      <c r="L290" s="9">
        <f>ROUNDUP(K290+(K290*Assumptions!K$5),-2)</f>
        <v>21100</v>
      </c>
      <c r="M290" s="9">
        <f>ROUNDUP(L290+(L290*Assumptions!L$5),-2)</f>
        <v>21700</v>
      </c>
      <c r="N290" s="9">
        <f>ROUNDUP(M290+(M290*Assumptions!M$5),-2)</f>
        <v>22300</v>
      </c>
      <c r="O290" s="9">
        <f>ROUNDUP(N290+(N290*Assumptions!N$5),-2)</f>
        <v>22900</v>
      </c>
      <c r="P290" s="9">
        <f>ROUNDUP(O290+(O290*Assumptions!O$5),-2)</f>
        <v>23500</v>
      </c>
      <c r="Q290" s="9">
        <f>ROUNDUP(P290+(P290*Assumptions!P$5),-2)</f>
        <v>24100</v>
      </c>
      <c r="R290" s="9">
        <f>ROUNDUP(Q290+(Q290*Assumptions!Q$5),-2)</f>
        <v>24800</v>
      </c>
      <c r="S290" s="47">
        <f>ROUNDUP(R290+(R290*Assumptions!R$5),-2)</f>
        <v>25500</v>
      </c>
    </row>
    <row r="291" spans="1:19" x14ac:dyDescent="0.2">
      <c r="A291" s="54">
        <v>6700</v>
      </c>
      <c r="B291" s="79">
        <v>9400</v>
      </c>
      <c r="C291" s="9">
        <v>13400</v>
      </c>
      <c r="D291" s="9">
        <v>12700</v>
      </c>
      <c r="E291" s="9">
        <v>17100</v>
      </c>
      <c r="F291" s="469" t="s">
        <v>2397</v>
      </c>
      <c r="G291" s="371" t="s">
        <v>336</v>
      </c>
      <c r="H291" s="9">
        <v>13000</v>
      </c>
      <c r="I291" s="85">
        <f t="shared" si="455"/>
        <v>-23.976608187134502</v>
      </c>
      <c r="J291" s="9">
        <v>12000</v>
      </c>
      <c r="K291" s="9">
        <f>ROUNDUP(J291+(J291*Assumptions!J$5),-2)</f>
        <v>12300</v>
      </c>
      <c r="L291" s="9">
        <f>ROUNDUP(K291+(K291*Assumptions!K$5),-2)</f>
        <v>12700</v>
      </c>
      <c r="M291" s="9">
        <f>ROUNDUP(L291+(L291*Assumptions!L$5),-2)</f>
        <v>13100</v>
      </c>
      <c r="N291" s="9">
        <f>ROUNDUP(M291+(M291*Assumptions!M$5),-2)</f>
        <v>13500</v>
      </c>
      <c r="O291" s="9">
        <f>ROUNDUP(N291+(N291*Assumptions!N$5),-2)</f>
        <v>13900</v>
      </c>
      <c r="P291" s="9">
        <f>ROUNDUP(O291+(O291*Assumptions!O$5),-2)</f>
        <v>14300</v>
      </c>
      <c r="Q291" s="9">
        <f>ROUNDUP(P291+(P291*Assumptions!P$5),-2)</f>
        <v>14700</v>
      </c>
      <c r="R291" s="9">
        <f>ROUNDUP(Q291+(Q291*Assumptions!Q$5),-2)</f>
        <v>15100</v>
      </c>
      <c r="S291" s="47">
        <f>ROUNDUP(R291+(R291*Assumptions!R$5),-2)</f>
        <v>15500</v>
      </c>
    </row>
    <row r="292" spans="1:19" x14ac:dyDescent="0.2">
      <c r="A292" s="54">
        <v>0</v>
      </c>
      <c r="B292" s="79">
        <v>0</v>
      </c>
      <c r="C292" s="9">
        <v>0</v>
      </c>
      <c r="D292" s="9">
        <v>0</v>
      </c>
      <c r="E292" s="9">
        <v>30100</v>
      </c>
      <c r="F292" s="769" t="s">
        <v>11698</v>
      </c>
      <c r="G292" s="662" t="s">
        <v>11797</v>
      </c>
      <c r="H292" s="9">
        <v>0</v>
      </c>
      <c r="I292" s="85">
        <f t="shared" si="455"/>
        <v>-100</v>
      </c>
      <c r="J292" s="9">
        <v>0</v>
      </c>
      <c r="K292" s="9">
        <f>ROUNDUP(J292+(J292*Assumptions!J$5),-2)</f>
        <v>0</v>
      </c>
      <c r="L292" s="9">
        <f>ROUNDUP(K292+(K292*Assumptions!K$5),-2)</f>
        <v>0</v>
      </c>
      <c r="M292" s="9">
        <f>ROUNDUP(L292+(L292*Assumptions!L$5),-2)</f>
        <v>0</v>
      </c>
      <c r="N292" s="9">
        <f>ROUNDUP(M292+(M292*Assumptions!M$5),-2)</f>
        <v>0</v>
      </c>
      <c r="O292" s="9">
        <f>ROUNDUP(N292+(N292*Assumptions!N$5),-2)</f>
        <v>0</v>
      </c>
      <c r="P292" s="9">
        <f>ROUNDUP(O292+(O292*Assumptions!O$5),-2)</f>
        <v>0</v>
      </c>
      <c r="Q292" s="9">
        <f>ROUNDUP(P292+(P292*Assumptions!P$5),-2)</f>
        <v>0</v>
      </c>
      <c r="R292" s="9">
        <f>ROUNDUP(Q292+(Q292*Assumptions!Q$5),-2)</f>
        <v>0</v>
      </c>
      <c r="S292" s="47">
        <f>ROUNDUP(R292+(R292*Assumptions!R$5),-2)</f>
        <v>0</v>
      </c>
    </row>
    <row r="293" spans="1:19" x14ac:dyDescent="0.2">
      <c r="A293" s="54">
        <v>5200</v>
      </c>
      <c r="B293" s="79">
        <v>7300</v>
      </c>
      <c r="C293" s="9">
        <v>8000</v>
      </c>
      <c r="D293" s="9">
        <v>11800</v>
      </c>
      <c r="E293" s="9">
        <v>22300</v>
      </c>
      <c r="F293" s="469" t="s">
        <v>2398</v>
      </c>
      <c r="G293" s="371" t="s">
        <v>749</v>
      </c>
      <c r="H293" s="9">
        <v>30000</v>
      </c>
      <c r="I293" s="85">
        <f t="shared" si="455"/>
        <v>34.529147982062781</v>
      </c>
      <c r="J293" s="9">
        <v>24000</v>
      </c>
      <c r="K293" s="9">
        <f>ROUNDUP(J293+(J293*Assumptions!J$5),-2)</f>
        <v>24600</v>
      </c>
      <c r="L293" s="9">
        <f>ROUNDUP(K293+(K293*Assumptions!K$5),-2)</f>
        <v>25300</v>
      </c>
      <c r="M293" s="9">
        <f>ROUNDUP(L293+(L293*Assumptions!L$5),-2)</f>
        <v>26000</v>
      </c>
      <c r="N293" s="9">
        <f>ROUNDUP(M293+(M293*Assumptions!M$5),-2)</f>
        <v>26700</v>
      </c>
      <c r="O293" s="9">
        <f>ROUNDUP(N293+(N293*Assumptions!N$5),-2)</f>
        <v>27400</v>
      </c>
      <c r="P293" s="9">
        <f>ROUNDUP(O293+(O293*Assumptions!O$5),-2)</f>
        <v>28100</v>
      </c>
      <c r="Q293" s="9">
        <f>ROUNDUP(P293+(P293*Assumptions!P$5),-2)</f>
        <v>28900</v>
      </c>
      <c r="R293" s="9">
        <f>ROUNDUP(Q293+(Q293*Assumptions!Q$5),-2)</f>
        <v>29700</v>
      </c>
      <c r="S293" s="47">
        <f>ROUNDUP(R293+(R293*Assumptions!R$5),-2)</f>
        <v>30500</v>
      </c>
    </row>
    <row r="294" spans="1:19" x14ac:dyDescent="0.2">
      <c r="A294" s="54">
        <v>11500</v>
      </c>
      <c r="B294" s="79">
        <v>18600</v>
      </c>
      <c r="C294" s="9">
        <v>24900</v>
      </c>
      <c r="D294" s="9">
        <v>91600</v>
      </c>
      <c r="E294" s="9">
        <v>103600</v>
      </c>
      <c r="F294" s="469" t="s">
        <v>2399</v>
      </c>
      <c r="G294" s="371" t="s">
        <v>2299</v>
      </c>
      <c r="H294" s="9">
        <v>79000</v>
      </c>
      <c r="I294" s="85">
        <f t="shared" si="455"/>
        <v>-23.745173745173744</v>
      </c>
      <c r="J294" s="9">
        <v>75000</v>
      </c>
      <c r="K294" s="9">
        <f>ROUNDUP(J294+(J294*Assumptions!J$5),-2)</f>
        <v>76900</v>
      </c>
      <c r="L294" s="9">
        <f>ROUNDUP(K294+(K294*Assumptions!K$5),-2)</f>
        <v>78900</v>
      </c>
      <c r="M294" s="9">
        <f>ROUNDUP(L294+(L294*Assumptions!L$5),-2)</f>
        <v>80900</v>
      </c>
      <c r="N294" s="9">
        <f>ROUNDUP(M294+(M294*Assumptions!M$5),-2)</f>
        <v>83000</v>
      </c>
      <c r="O294" s="9">
        <f>ROUNDUP(N294+(N294*Assumptions!N$5),-2)</f>
        <v>85100</v>
      </c>
      <c r="P294" s="9">
        <f>ROUNDUP(O294+(O294*Assumptions!O$5),-2)</f>
        <v>87300</v>
      </c>
      <c r="Q294" s="9">
        <f>ROUNDUP(P294+(P294*Assumptions!P$5),-2)</f>
        <v>89500</v>
      </c>
      <c r="R294" s="9">
        <f>ROUNDUP(Q294+(Q294*Assumptions!Q$5),-2)</f>
        <v>91800</v>
      </c>
      <c r="S294" s="47">
        <f>ROUNDUP(R294+(R294*Assumptions!R$5),-2)</f>
        <v>94100</v>
      </c>
    </row>
    <row r="295" spans="1:19" x14ac:dyDescent="0.2">
      <c r="A295" s="54">
        <v>1200</v>
      </c>
      <c r="B295" s="79">
        <v>1600</v>
      </c>
      <c r="C295" s="9">
        <v>5600</v>
      </c>
      <c r="D295" s="9">
        <v>6300</v>
      </c>
      <c r="E295" s="9">
        <v>-5900</v>
      </c>
      <c r="F295" s="769" t="s">
        <v>2949</v>
      </c>
      <c r="G295" s="371" t="s">
        <v>448</v>
      </c>
      <c r="H295" s="9">
        <v>10000</v>
      </c>
      <c r="I295" s="85">
        <f t="shared" si="455"/>
        <v>-269.49152542372883</v>
      </c>
      <c r="J295" s="9">
        <v>10000</v>
      </c>
      <c r="K295" s="9">
        <f>ROUNDUP(J295+(J295*Assumptions!J$5),-2)</f>
        <v>10300</v>
      </c>
      <c r="L295" s="9">
        <f>ROUNDUP(K295+(K295*Assumptions!K$5),-2)</f>
        <v>10600</v>
      </c>
      <c r="M295" s="9">
        <f>ROUNDUP(L295+(L295*Assumptions!L$5),-2)</f>
        <v>10900</v>
      </c>
      <c r="N295" s="9">
        <f>ROUNDUP(M295+(M295*Assumptions!M$5),-2)</f>
        <v>11200</v>
      </c>
      <c r="O295" s="9">
        <f>ROUNDUP(N295+(N295*Assumptions!N$5),-2)</f>
        <v>11500</v>
      </c>
      <c r="P295" s="9">
        <f>ROUNDUP(O295+(O295*Assumptions!O$5),-2)</f>
        <v>11800</v>
      </c>
      <c r="Q295" s="9">
        <f>ROUNDUP(P295+(P295*Assumptions!P$5),-2)</f>
        <v>12100</v>
      </c>
      <c r="R295" s="9">
        <f>ROUNDUP(Q295+(Q295*Assumptions!Q$5),-2)</f>
        <v>12500</v>
      </c>
      <c r="S295" s="47">
        <f>ROUNDUP(R295+(R295*Assumptions!R$5),-2)</f>
        <v>12900</v>
      </c>
    </row>
    <row r="296" spans="1:19" x14ac:dyDescent="0.2">
      <c r="A296" s="1648">
        <v>3700</v>
      </c>
      <c r="B296" s="1646">
        <v>7500</v>
      </c>
      <c r="C296" s="9">
        <v>9800</v>
      </c>
      <c r="D296" s="9">
        <v>14500</v>
      </c>
      <c r="E296" s="9">
        <v>14300</v>
      </c>
      <c r="F296" s="469" t="s">
        <v>637</v>
      </c>
      <c r="G296" s="371" t="s">
        <v>1557</v>
      </c>
      <c r="H296" s="9">
        <v>11000</v>
      </c>
      <c r="I296" s="85">
        <f t="shared" si="455"/>
        <v>-23.076923076923077</v>
      </c>
      <c r="J296" s="9">
        <v>15000</v>
      </c>
      <c r="K296" s="9">
        <f>ROUNDUP(J296+(J296*Assumptions!J$5),-2)</f>
        <v>15400</v>
      </c>
      <c r="L296" s="9">
        <f>ROUNDUP(K296+(K296*Assumptions!K$5),-2)</f>
        <v>15800</v>
      </c>
      <c r="M296" s="9">
        <f>ROUNDUP(L296+(L296*Assumptions!L$5),-2)</f>
        <v>16200</v>
      </c>
      <c r="N296" s="9">
        <f>ROUNDUP(M296+(M296*Assumptions!M$5),-2)</f>
        <v>16700</v>
      </c>
      <c r="O296" s="9">
        <f>ROUNDUP(N296+(N296*Assumptions!N$5),-2)</f>
        <v>17200</v>
      </c>
      <c r="P296" s="9">
        <f>ROUNDUP(O296+(O296*Assumptions!O$5),-2)</f>
        <v>17700</v>
      </c>
      <c r="Q296" s="9">
        <f>ROUNDUP(P296+(P296*Assumptions!P$5),-2)</f>
        <v>18200</v>
      </c>
      <c r="R296" s="9">
        <f>ROUNDUP(Q296+(Q296*Assumptions!Q$5),-2)</f>
        <v>18700</v>
      </c>
      <c r="S296" s="47">
        <f>ROUNDUP(R296+(R296*Assumptions!R$5),-2)</f>
        <v>19200</v>
      </c>
    </row>
    <row r="297" spans="1:19" x14ac:dyDescent="0.2">
      <c r="A297" s="54">
        <v>29900</v>
      </c>
      <c r="B297" s="79">
        <v>41700</v>
      </c>
      <c r="C297" s="9">
        <v>55600</v>
      </c>
      <c r="D297" s="9">
        <v>59400</v>
      </c>
      <c r="E297" s="9">
        <f>54100+1400</f>
        <v>55500</v>
      </c>
      <c r="F297" s="469" t="s">
        <v>76</v>
      </c>
      <c r="G297" s="371" t="s">
        <v>2794</v>
      </c>
      <c r="H297" s="9">
        <f>4600+20000</f>
        <v>24600</v>
      </c>
      <c r="I297" s="85">
        <f t="shared" si="455"/>
        <v>-55.67567567567567</v>
      </c>
      <c r="J297" s="9">
        <v>45000</v>
      </c>
      <c r="K297" s="9">
        <f>ROUNDUP(J297+(J297*Assumptions!J$5),-2)</f>
        <v>46200</v>
      </c>
      <c r="L297" s="9">
        <f>ROUNDUP(K297+(K297*Assumptions!K$5),-2)</f>
        <v>47400</v>
      </c>
      <c r="M297" s="9">
        <f>ROUNDUP(L297+(L297*Assumptions!L$5),-2)</f>
        <v>48600</v>
      </c>
      <c r="N297" s="9">
        <f>ROUNDUP(M297+(M297*Assumptions!M$5),-2)</f>
        <v>49900</v>
      </c>
      <c r="O297" s="9">
        <f>ROUNDUP(N297+(N297*Assumptions!N$5),-2)</f>
        <v>51200</v>
      </c>
      <c r="P297" s="9">
        <f>ROUNDUP(O297+(O297*Assumptions!O$5),-2)</f>
        <v>52500</v>
      </c>
      <c r="Q297" s="9">
        <f>ROUNDUP(P297+(P297*Assumptions!P$5),-2)</f>
        <v>53900</v>
      </c>
      <c r="R297" s="9">
        <f>ROUNDUP(Q297+(Q297*Assumptions!Q$5),-2)</f>
        <v>55300</v>
      </c>
      <c r="S297" s="47">
        <f>ROUNDUP(R297+(R297*Assumptions!R$5),-2)</f>
        <v>56700</v>
      </c>
    </row>
    <row r="298" spans="1:19" x14ac:dyDescent="0.2">
      <c r="A298" s="54"/>
      <c r="B298" s="9"/>
      <c r="C298" s="9"/>
      <c r="D298" s="9"/>
      <c r="E298" s="9"/>
      <c r="F298" s="469"/>
      <c r="G298" s="320" t="s">
        <v>2132</v>
      </c>
      <c r="H298" s="9"/>
      <c r="I298" s="85"/>
      <c r="J298" s="9"/>
      <c r="K298" s="9"/>
      <c r="L298" s="9"/>
      <c r="M298" s="9"/>
      <c r="N298" s="9"/>
      <c r="O298" s="9"/>
      <c r="P298" s="9"/>
      <c r="Q298" s="9"/>
      <c r="R298" s="9"/>
      <c r="S298" s="47"/>
    </row>
    <row r="299" spans="1:19" x14ac:dyDescent="0.2">
      <c r="A299" s="54">
        <v>4000</v>
      </c>
      <c r="B299" s="79">
        <v>500</v>
      </c>
      <c r="C299" s="9">
        <v>2000</v>
      </c>
      <c r="D299" s="9">
        <v>0</v>
      </c>
      <c r="E299" s="9">
        <v>0</v>
      </c>
      <c r="F299" s="469" t="s">
        <v>296</v>
      </c>
      <c r="G299" s="371" t="s">
        <v>1040</v>
      </c>
      <c r="H299" s="9">
        <v>5000</v>
      </c>
      <c r="I299" s="85">
        <f t="shared" ref="I299:I305" si="456">IF(E299=H299,0,IF(E299=0,100,(H299-E299)/E299*100))</f>
        <v>100</v>
      </c>
      <c r="J299" s="9">
        <v>0</v>
      </c>
      <c r="K299" s="9">
        <f>ROUNDUP(J299+(J299*Assumptions!J$5),-2)</f>
        <v>0</v>
      </c>
      <c r="L299" s="9">
        <f>ROUNDUP(K299+(K299*Assumptions!K$5),-2)</f>
        <v>0</v>
      </c>
      <c r="M299" s="9">
        <f>ROUNDUP(L299+(L299*Assumptions!L$5),-2)</f>
        <v>0</v>
      </c>
      <c r="N299" s="9">
        <f>ROUNDUP(M299+(M299*Assumptions!M$5),-2)</f>
        <v>0</v>
      </c>
      <c r="O299" s="9">
        <f>ROUNDUP(N299+(N299*Assumptions!N$5),-2)</f>
        <v>0</v>
      </c>
      <c r="P299" s="9">
        <f>ROUNDUP(O299+(O299*Assumptions!O$5),-2)</f>
        <v>0</v>
      </c>
      <c r="Q299" s="9">
        <f>ROUNDUP(P299+(P299*Assumptions!P$5),-2)</f>
        <v>0</v>
      </c>
      <c r="R299" s="9">
        <f>ROUNDUP(Q299+(Q299*Assumptions!Q$5),-2)</f>
        <v>0</v>
      </c>
      <c r="S299" s="47">
        <f>ROUNDUP(R299+(R299*Assumptions!R$5),-2)</f>
        <v>0</v>
      </c>
    </row>
    <row r="300" spans="1:19" x14ac:dyDescent="0.2">
      <c r="A300" s="54">
        <v>1700</v>
      </c>
      <c r="B300" s="79">
        <v>400</v>
      </c>
      <c r="C300" s="9">
        <v>600</v>
      </c>
      <c r="D300" s="9">
        <v>1400</v>
      </c>
      <c r="E300" s="9">
        <v>400</v>
      </c>
      <c r="F300" s="469" t="s">
        <v>297</v>
      </c>
      <c r="G300" s="371" t="s">
        <v>2154</v>
      </c>
      <c r="H300" s="9">
        <v>0</v>
      </c>
      <c r="I300" s="85">
        <f t="shared" si="456"/>
        <v>-100</v>
      </c>
      <c r="J300" s="9">
        <v>0</v>
      </c>
      <c r="K300" s="9">
        <f>ROUNDUP(J300+(J300*Assumptions!J$5),-2)</f>
        <v>0</v>
      </c>
      <c r="L300" s="9">
        <f>ROUNDUP(K300+(K300*Assumptions!K$5),-2)</f>
        <v>0</v>
      </c>
      <c r="M300" s="9">
        <f>ROUNDUP(L300+(L300*Assumptions!L$5),-2)</f>
        <v>0</v>
      </c>
      <c r="N300" s="9">
        <f>ROUNDUP(M300+(M300*Assumptions!M$5),-2)</f>
        <v>0</v>
      </c>
      <c r="O300" s="9">
        <f>ROUNDUP(N300+(N300*Assumptions!N$5),-2)</f>
        <v>0</v>
      </c>
      <c r="P300" s="9">
        <f>ROUNDUP(O300+(O300*Assumptions!O$5),-2)</f>
        <v>0</v>
      </c>
      <c r="Q300" s="9">
        <f>ROUNDUP(P300+(P300*Assumptions!P$5),-2)</f>
        <v>0</v>
      </c>
      <c r="R300" s="9">
        <f>ROUNDUP(Q300+(Q300*Assumptions!Q$5),-2)</f>
        <v>0</v>
      </c>
      <c r="S300" s="47">
        <f>ROUNDUP(R300+(R300*Assumptions!R$5),-2)</f>
        <v>0</v>
      </c>
    </row>
    <row r="301" spans="1:19" x14ac:dyDescent="0.2">
      <c r="A301" s="54">
        <v>6100</v>
      </c>
      <c r="B301" s="79">
        <v>9100</v>
      </c>
      <c r="C301" s="9">
        <v>8600</v>
      </c>
      <c r="D301" s="9">
        <v>7300</v>
      </c>
      <c r="E301" s="9">
        <v>10600</v>
      </c>
      <c r="F301" s="469" t="s">
        <v>1387</v>
      </c>
      <c r="G301" s="371" t="s">
        <v>2155</v>
      </c>
      <c r="H301" s="9">
        <v>8000</v>
      </c>
      <c r="I301" s="85">
        <f t="shared" si="456"/>
        <v>-24.528301886792452</v>
      </c>
      <c r="J301" s="9">
        <v>8000</v>
      </c>
      <c r="K301" s="9">
        <f>ROUNDUP(J301+(J301*Assumptions!J$5),-2)</f>
        <v>8200</v>
      </c>
      <c r="L301" s="9">
        <f>ROUNDUP(K301+(K301*Assumptions!K$5),-2)</f>
        <v>8500</v>
      </c>
      <c r="M301" s="9">
        <f>ROUNDUP(L301+(L301*Assumptions!L$5),-2)</f>
        <v>8800</v>
      </c>
      <c r="N301" s="9">
        <f>ROUNDUP(M301+(M301*Assumptions!M$5),-2)</f>
        <v>9100</v>
      </c>
      <c r="O301" s="9">
        <f>ROUNDUP(N301+(N301*Assumptions!N$5),-2)</f>
        <v>9400</v>
      </c>
      <c r="P301" s="9">
        <f>ROUNDUP(O301+(O301*Assumptions!O$5),-2)</f>
        <v>9700</v>
      </c>
      <c r="Q301" s="9">
        <f>ROUNDUP(P301+(P301*Assumptions!P$5),-2)</f>
        <v>10000</v>
      </c>
      <c r="R301" s="9">
        <f>ROUNDUP(Q301+(Q301*Assumptions!Q$5),-2)</f>
        <v>10300</v>
      </c>
      <c r="S301" s="47">
        <f>ROUNDUP(R301+(R301*Assumptions!R$5),-2)</f>
        <v>10600</v>
      </c>
    </row>
    <row r="302" spans="1:19" x14ac:dyDescent="0.2">
      <c r="A302" s="54">
        <v>600</v>
      </c>
      <c r="B302" s="79">
        <v>800</v>
      </c>
      <c r="C302" s="9">
        <v>300</v>
      </c>
      <c r="D302" s="9">
        <v>800</v>
      </c>
      <c r="E302" s="9">
        <v>-500</v>
      </c>
      <c r="F302" s="469" t="s">
        <v>1388</v>
      </c>
      <c r="G302" s="371" t="s">
        <v>498</v>
      </c>
      <c r="H302" s="9">
        <v>1000</v>
      </c>
      <c r="I302" s="85">
        <f t="shared" si="456"/>
        <v>-300</v>
      </c>
      <c r="J302" s="9">
        <v>1000</v>
      </c>
      <c r="K302" s="9">
        <f>ROUNDUP(J302+(J302*Assumptions!J$5),-2)</f>
        <v>1100</v>
      </c>
      <c r="L302" s="9">
        <f>ROUNDUP(K302+(K302*Assumptions!K$5),-2)</f>
        <v>1200</v>
      </c>
      <c r="M302" s="9">
        <f>ROUNDUP(L302+(L302*Assumptions!L$5),-2)</f>
        <v>1300</v>
      </c>
      <c r="N302" s="9">
        <f>ROUNDUP(M302+(M302*Assumptions!M$5),-2)</f>
        <v>1400</v>
      </c>
      <c r="O302" s="9">
        <f>ROUNDUP(N302+(N302*Assumptions!N$5),-2)</f>
        <v>1500</v>
      </c>
      <c r="P302" s="9">
        <f>ROUNDUP(O302+(O302*Assumptions!O$5),-2)</f>
        <v>1600</v>
      </c>
      <c r="Q302" s="9">
        <f>ROUNDUP(P302+(P302*Assumptions!P$5),-2)</f>
        <v>1700</v>
      </c>
      <c r="R302" s="9">
        <f>ROUNDUP(Q302+(Q302*Assumptions!Q$5),-2)</f>
        <v>1800</v>
      </c>
      <c r="S302" s="47">
        <f>ROUNDUP(R302+(R302*Assumptions!R$5),-2)</f>
        <v>1900</v>
      </c>
    </row>
    <row r="303" spans="1:19" x14ac:dyDescent="0.2">
      <c r="A303" s="54">
        <v>3200</v>
      </c>
      <c r="B303" s="79">
        <v>5800</v>
      </c>
      <c r="C303" s="9">
        <v>4700</v>
      </c>
      <c r="D303" s="9">
        <v>3800</v>
      </c>
      <c r="E303" s="79">
        <v>6600</v>
      </c>
      <c r="F303" s="469" t="s">
        <v>825</v>
      </c>
      <c r="G303" s="371" t="s">
        <v>2605</v>
      </c>
      <c r="H303" s="9">
        <v>5000</v>
      </c>
      <c r="I303" s="85">
        <f t="shared" si="456"/>
        <v>-24.242424242424242</v>
      </c>
      <c r="J303" s="9">
        <v>5000</v>
      </c>
      <c r="K303" s="9">
        <f>ROUNDUP(J303+(J303*Assumptions!J$5),-2)</f>
        <v>5200</v>
      </c>
      <c r="L303" s="9">
        <f>ROUNDUP(K303+(K303*Assumptions!K$5),-2)</f>
        <v>5400</v>
      </c>
      <c r="M303" s="9">
        <f>ROUNDUP(L303+(L303*Assumptions!L$5),-2)</f>
        <v>5600</v>
      </c>
      <c r="N303" s="9">
        <f>ROUNDUP(M303+(M303*Assumptions!M$5),-2)</f>
        <v>5800</v>
      </c>
      <c r="O303" s="9">
        <f>ROUNDUP(N303+(N303*Assumptions!N$5),-2)</f>
        <v>6000</v>
      </c>
      <c r="P303" s="9">
        <f>ROUNDUP(O303+(O303*Assumptions!O$5),-2)</f>
        <v>6200</v>
      </c>
      <c r="Q303" s="9">
        <f>ROUNDUP(P303+(P303*Assumptions!P$5),-2)</f>
        <v>6400</v>
      </c>
      <c r="R303" s="9">
        <f>ROUNDUP(Q303+(Q303*Assumptions!Q$5),-2)</f>
        <v>6600</v>
      </c>
      <c r="S303" s="47">
        <f>ROUNDUP(R303+(R303*Assumptions!R$5),-2)</f>
        <v>6800</v>
      </c>
    </row>
    <row r="304" spans="1:19" x14ac:dyDescent="0.2">
      <c r="A304" s="54">
        <v>3400</v>
      </c>
      <c r="B304" s="79">
        <v>5300</v>
      </c>
      <c r="C304" s="9">
        <v>1800</v>
      </c>
      <c r="D304" s="9">
        <v>2500</v>
      </c>
      <c r="E304" s="9">
        <v>1700</v>
      </c>
      <c r="F304" s="469" t="s">
        <v>1465</v>
      </c>
      <c r="G304" s="371" t="s">
        <v>749</v>
      </c>
      <c r="H304" s="9">
        <v>4000</v>
      </c>
      <c r="I304" s="85">
        <f t="shared" si="456"/>
        <v>135.29411764705884</v>
      </c>
      <c r="J304" s="9">
        <v>4000</v>
      </c>
      <c r="K304" s="9">
        <f>ROUNDUP(J304+(J304*Assumptions!J$5),-2)</f>
        <v>4100</v>
      </c>
      <c r="L304" s="9">
        <f>ROUNDUP(K304+(K304*Assumptions!K$5),-2)</f>
        <v>4300</v>
      </c>
      <c r="M304" s="9">
        <f>ROUNDUP(L304+(L304*Assumptions!L$5),-2)</f>
        <v>4500</v>
      </c>
      <c r="N304" s="9">
        <f>ROUNDUP(M304+(M304*Assumptions!M$5),-2)</f>
        <v>4700</v>
      </c>
      <c r="O304" s="9">
        <f>ROUNDUP(N304+(N304*Assumptions!N$5),-2)</f>
        <v>4900</v>
      </c>
      <c r="P304" s="9">
        <f>ROUNDUP(O304+(O304*Assumptions!O$5),-2)</f>
        <v>5100</v>
      </c>
      <c r="Q304" s="9">
        <f>ROUNDUP(P304+(P304*Assumptions!P$5),-2)</f>
        <v>5300</v>
      </c>
      <c r="R304" s="9">
        <f>ROUNDUP(Q304+(Q304*Assumptions!Q$5),-2)</f>
        <v>5500</v>
      </c>
      <c r="S304" s="47">
        <f>ROUNDUP(R304+(R304*Assumptions!R$5),-2)</f>
        <v>5700</v>
      </c>
    </row>
    <row r="305" spans="1:19" x14ac:dyDescent="0.2">
      <c r="A305" s="54">
        <v>1500</v>
      </c>
      <c r="B305" s="79">
        <v>2600</v>
      </c>
      <c r="C305" s="9">
        <v>900</v>
      </c>
      <c r="D305" s="9">
        <v>1300</v>
      </c>
      <c r="E305" s="9">
        <v>1000</v>
      </c>
      <c r="F305" s="469" t="s">
        <v>1466</v>
      </c>
      <c r="G305" s="662" t="s">
        <v>4494</v>
      </c>
      <c r="H305" s="9">
        <v>3000</v>
      </c>
      <c r="I305" s="85">
        <f t="shared" si="456"/>
        <v>200</v>
      </c>
      <c r="J305" s="9">
        <v>3000</v>
      </c>
      <c r="K305" s="9">
        <f>ROUNDUP(J305+(J305*Assumptions!J$5),-2)</f>
        <v>3100</v>
      </c>
      <c r="L305" s="9">
        <f>ROUNDUP(K305+(K305*Assumptions!K$5),-2)</f>
        <v>3200</v>
      </c>
      <c r="M305" s="9">
        <f>ROUNDUP(L305+(L305*Assumptions!L$5),-2)</f>
        <v>3300</v>
      </c>
      <c r="N305" s="9">
        <f>ROUNDUP(M305+(M305*Assumptions!M$5),-2)</f>
        <v>3400</v>
      </c>
      <c r="O305" s="9">
        <f>ROUNDUP(N305+(N305*Assumptions!N$5),-2)</f>
        <v>3500</v>
      </c>
      <c r="P305" s="9">
        <f>ROUNDUP(O305+(O305*Assumptions!O$5),-2)</f>
        <v>3600</v>
      </c>
      <c r="Q305" s="9">
        <f>ROUNDUP(P305+(P305*Assumptions!P$5),-2)</f>
        <v>3700</v>
      </c>
      <c r="R305" s="9">
        <f>ROUNDUP(Q305+(Q305*Assumptions!Q$5),-2)</f>
        <v>3800</v>
      </c>
      <c r="S305" s="47">
        <f>ROUNDUP(R305+(R305*Assumptions!R$5),-2)</f>
        <v>3900</v>
      </c>
    </row>
    <row r="306" spans="1:19" ht="13.5" thickBot="1" x14ac:dyDescent="0.25">
      <c r="A306" s="24"/>
      <c r="B306" s="21"/>
      <c r="C306" s="21"/>
      <c r="D306" s="21"/>
      <c r="E306" s="21"/>
      <c r="F306" s="469"/>
      <c r="G306" s="27"/>
      <c r="H306" s="9"/>
      <c r="I306" s="126"/>
      <c r="J306" s="9"/>
      <c r="K306" s="9"/>
      <c r="L306" s="9"/>
      <c r="M306" s="9"/>
      <c r="N306" s="9"/>
      <c r="O306" s="9"/>
      <c r="P306" s="9"/>
      <c r="Q306" s="9"/>
      <c r="R306" s="9"/>
      <c r="S306" s="47"/>
    </row>
    <row r="307" spans="1:19" x14ac:dyDescent="0.2">
      <c r="A307" s="52">
        <f>SUM(A282:A306)</f>
        <v>571500</v>
      </c>
      <c r="B307" s="16">
        <f>SUM(B282:B306)</f>
        <v>846400</v>
      </c>
      <c r="C307" s="16">
        <f>SUM(C282:C306)</f>
        <v>1144000</v>
      </c>
      <c r="D307" s="16">
        <f>SUM(D282:D306)</f>
        <v>1387400</v>
      </c>
      <c r="E307" s="16">
        <f>SUM(E282:E306)</f>
        <v>1479800</v>
      </c>
      <c r="F307" s="469"/>
      <c r="G307" s="59" t="s">
        <v>2561</v>
      </c>
      <c r="H307" s="16">
        <f>SUM(H282:H306)</f>
        <v>1360600</v>
      </c>
      <c r="I307" s="127">
        <f>IF(E307=H307,0,IF(E307=0,100,(H307-E307)/E307*100))</f>
        <v>-8.0551425868360589</v>
      </c>
      <c r="J307" s="16">
        <f t="shared" ref="J307:S307" si="457">SUM(J282:J306)</f>
        <v>1311000</v>
      </c>
      <c r="K307" s="16">
        <f t="shared" si="457"/>
        <v>1344300</v>
      </c>
      <c r="L307" s="16">
        <f t="shared" si="457"/>
        <v>1379000</v>
      </c>
      <c r="M307" s="16">
        <f t="shared" si="457"/>
        <v>1414400</v>
      </c>
      <c r="N307" s="16">
        <f t="shared" si="457"/>
        <v>1450800</v>
      </c>
      <c r="O307" s="16">
        <f t="shared" si="457"/>
        <v>1487900</v>
      </c>
      <c r="P307" s="16">
        <f t="shared" si="457"/>
        <v>1525900</v>
      </c>
      <c r="Q307" s="16">
        <f t="shared" si="457"/>
        <v>1564900</v>
      </c>
      <c r="R307" s="16">
        <f t="shared" si="457"/>
        <v>1605000</v>
      </c>
      <c r="S307" s="2342">
        <f t="shared" si="457"/>
        <v>1645900</v>
      </c>
    </row>
    <row r="308" spans="1:19" x14ac:dyDescent="0.2">
      <c r="A308" s="54"/>
      <c r="B308" s="9"/>
      <c r="C308" s="9"/>
      <c r="D308" s="9"/>
      <c r="E308" s="9"/>
      <c r="F308" s="469"/>
      <c r="G308" s="59"/>
      <c r="H308" s="9"/>
      <c r="I308" s="85"/>
      <c r="J308" s="9"/>
      <c r="K308" s="9"/>
      <c r="L308" s="9"/>
      <c r="M308" s="9"/>
      <c r="N308" s="9"/>
      <c r="O308" s="9"/>
      <c r="P308" s="9"/>
      <c r="Q308" s="9"/>
      <c r="R308" s="9"/>
      <c r="S308" s="47"/>
    </row>
    <row r="309" spans="1:19" x14ac:dyDescent="0.2">
      <c r="A309" s="54"/>
      <c r="B309" s="9"/>
      <c r="C309" s="9"/>
      <c r="D309" s="9"/>
      <c r="E309" s="9"/>
      <c r="F309" s="469"/>
      <c r="G309" s="91" t="s">
        <v>2169</v>
      </c>
      <c r="H309" s="9"/>
      <c r="I309" s="85"/>
      <c r="J309" s="9"/>
      <c r="K309" s="9"/>
      <c r="L309" s="9"/>
      <c r="M309" s="9"/>
      <c r="N309" s="9"/>
      <c r="O309" s="9"/>
      <c r="P309" s="9"/>
      <c r="Q309" s="9"/>
      <c r="R309" s="9"/>
      <c r="S309" s="47"/>
    </row>
    <row r="310" spans="1:19" x14ac:dyDescent="0.2">
      <c r="A310" s="54"/>
      <c r="B310" s="1645"/>
      <c r="C310" s="9"/>
      <c r="D310" s="9"/>
      <c r="E310" s="9"/>
      <c r="F310" s="469"/>
      <c r="G310" s="320" t="s">
        <v>1228</v>
      </c>
      <c r="H310" s="9"/>
      <c r="I310" s="85"/>
      <c r="J310" s="9"/>
      <c r="K310" s="9"/>
      <c r="L310" s="9"/>
      <c r="M310" s="9"/>
      <c r="N310" s="9"/>
      <c r="O310" s="9"/>
      <c r="P310" s="9"/>
      <c r="Q310" s="9"/>
      <c r="R310" s="9"/>
      <c r="S310" s="47"/>
    </row>
    <row r="311" spans="1:19" x14ac:dyDescent="0.2">
      <c r="A311" s="54">
        <v>889200</v>
      </c>
      <c r="B311" s="79">
        <v>875900</v>
      </c>
      <c r="C311" s="9">
        <v>851100</v>
      </c>
      <c r="D311" s="9">
        <v>976700</v>
      </c>
      <c r="E311" s="9">
        <f>964600+100000-25000</f>
        <v>1039600</v>
      </c>
      <c r="F311" s="469" t="s">
        <v>77</v>
      </c>
      <c r="G311" s="371" t="s">
        <v>1320</v>
      </c>
      <c r="H311" s="9">
        <f>1039000+16000</f>
        <v>1055000</v>
      </c>
      <c r="I311" s="85">
        <f>IF(E311=H311,0,IF(E311=0,100,(H311-E311)/E311*100))</f>
        <v>1.4813389765294342</v>
      </c>
      <c r="J311" s="9">
        <v>1065000</v>
      </c>
      <c r="K311" s="9">
        <f>ROUND(J311*Assumptions!J$13+DEH!J311,-2)</f>
        <v>1089500</v>
      </c>
      <c r="L311" s="9">
        <f>ROUND(K311*Assumptions!K$13+DEH!K311,-2)</f>
        <v>1114600</v>
      </c>
      <c r="M311" s="9">
        <f>ROUND(L311*Assumptions!L$13+DEH!L311,-2)</f>
        <v>1140200</v>
      </c>
      <c r="N311" s="9">
        <f>ROUND(M311*Assumptions!M$13+DEH!M311,-2)</f>
        <v>1166400</v>
      </c>
      <c r="O311" s="9">
        <f>ROUND(N311*Assumptions!N$13+DEH!N311,-2)</f>
        <v>1193200</v>
      </c>
      <c r="P311" s="9">
        <f>ROUND(O311*Assumptions!O$13+DEH!O311,-2)</f>
        <v>1220600</v>
      </c>
      <c r="Q311" s="9">
        <f>ROUND(P311*Assumptions!P$13+DEH!P311,-2)</f>
        <v>1248700</v>
      </c>
      <c r="R311" s="9">
        <f>ROUND(Q311*Assumptions!Q$13+DEH!Q311,-2)</f>
        <v>1277400</v>
      </c>
      <c r="S311" s="47">
        <f>ROUND(R311*Assumptions!R$13+DEH!R311,-2)</f>
        <v>1306800</v>
      </c>
    </row>
    <row r="312" spans="1:19" x14ac:dyDescent="0.2">
      <c r="A312" s="54">
        <v>1700</v>
      </c>
      <c r="B312" s="79">
        <v>3200</v>
      </c>
      <c r="C312" s="9">
        <v>2800</v>
      </c>
      <c r="D312" s="9">
        <v>3000</v>
      </c>
      <c r="E312" s="9">
        <v>4200</v>
      </c>
      <c r="F312" s="469" t="s">
        <v>2593</v>
      </c>
      <c r="G312" s="371" t="s">
        <v>1889</v>
      </c>
      <c r="H312" s="9">
        <v>4500</v>
      </c>
      <c r="I312" s="85">
        <f>IF(E312=H312,0,IF(E312=0,100,(H312-E312)/E312*100))</f>
        <v>7.1428571428571423</v>
      </c>
      <c r="J312" s="9">
        <v>4500</v>
      </c>
      <c r="K312" s="9">
        <f>ROUNDUP(J312+(J312*Assumptions!J$5),-2)</f>
        <v>4700</v>
      </c>
      <c r="L312" s="9">
        <f>ROUNDUP(K312+(K312*Assumptions!K$5),-2)</f>
        <v>4900</v>
      </c>
      <c r="M312" s="9">
        <f>ROUNDUP(L312+(L312*Assumptions!L$5),-2)</f>
        <v>5100</v>
      </c>
      <c r="N312" s="9">
        <f>ROUNDUP(M312+(M312*Assumptions!M$5),-2)</f>
        <v>5300</v>
      </c>
      <c r="O312" s="9">
        <f>ROUNDUP(N312+(N312*Assumptions!N$5),-2)</f>
        <v>5500</v>
      </c>
      <c r="P312" s="9">
        <f>ROUNDUP(O312+(O312*Assumptions!O$5),-2)</f>
        <v>5700</v>
      </c>
      <c r="Q312" s="9">
        <f>ROUNDUP(P312+(P312*Assumptions!P$5),-2)</f>
        <v>5900</v>
      </c>
      <c r="R312" s="9">
        <f>ROUNDUP(Q312+(Q312*Assumptions!Q$5),-2)</f>
        <v>6100</v>
      </c>
      <c r="S312" s="47">
        <f>ROUNDUP(R312+(R312*Assumptions!R$5),-2)</f>
        <v>6300</v>
      </c>
    </row>
    <row r="313" spans="1:19" x14ac:dyDescent="0.2">
      <c r="A313" s="54">
        <v>58700</v>
      </c>
      <c r="B313" s="79">
        <v>50500</v>
      </c>
      <c r="C313" s="9">
        <v>52100</v>
      </c>
      <c r="D313" s="9">
        <v>52100</v>
      </c>
      <c r="E313" s="9">
        <v>37000</v>
      </c>
      <c r="F313" s="469" t="s">
        <v>1933</v>
      </c>
      <c r="G313" s="371" t="s">
        <v>525</v>
      </c>
      <c r="H313" s="9">
        <v>32000</v>
      </c>
      <c r="I313" s="85">
        <f>IF(E313=H313,0,IF(E313=0,100,(H313-E313)/E313*100))</f>
        <v>-13.513513513513514</v>
      </c>
      <c r="J313" s="9">
        <v>32800</v>
      </c>
      <c r="K313" s="9">
        <f>ROUNDUP(J313+(J313*Assumptions!J$5),-2)</f>
        <v>33700</v>
      </c>
      <c r="L313" s="9">
        <f>ROUNDUP(K313+(K313*Assumptions!K$5),-2)</f>
        <v>34600</v>
      </c>
      <c r="M313" s="9">
        <f>ROUNDUP(L313+(L313*Assumptions!L$5),-2)</f>
        <v>35500</v>
      </c>
      <c r="N313" s="9">
        <f>ROUNDUP(M313+(M313*Assumptions!M$5),-2)</f>
        <v>36400</v>
      </c>
      <c r="O313" s="9">
        <f>ROUNDUP(N313+(N313*Assumptions!N$5),-2)</f>
        <v>37400</v>
      </c>
      <c r="P313" s="9">
        <f>ROUNDUP(O313+(O313*Assumptions!O$5),-2)</f>
        <v>38400</v>
      </c>
      <c r="Q313" s="9">
        <f>ROUNDUP(P313+(P313*Assumptions!P$5),-2)</f>
        <v>39400</v>
      </c>
      <c r="R313" s="9">
        <f>ROUNDUP(Q313+(Q313*Assumptions!Q$5),-2)</f>
        <v>40400</v>
      </c>
      <c r="S313" s="47">
        <f>ROUNDUP(R313+(R313*Assumptions!R$5),-2)</f>
        <v>41500</v>
      </c>
    </row>
    <row r="314" spans="1:19" x14ac:dyDescent="0.2">
      <c r="A314" s="1649"/>
      <c r="B314" s="1645"/>
      <c r="C314" s="9"/>
      <c r="D314" s="9"/>
      <c r="E314" s="9"/>
      <c r="F314" s="469"/>
      <c r="G314" s="320" t="s">
        <v>1076</v>
      </c>
      <c r="H314" s="9"/>
      <c r="I314" s="85"/>
      <c r="J314" s="9"/>
      <c r="K314" s="9"/>
      <c r="L314" s="9"/>
      <c r="M314" s="9"/>
      <c r="N314" s="9"/>
      <c r="O314" s="9"/>
      <c r="P314" s="9"/>
      <c r="Q314" s="9"/>
      <c r="R314" s="9"/>
      <c r="S314" s="47"/>
    </row>
    <row r="315" spans="1:19" x14ac:dyDescent="0.2">
      <c r="A315" s="54">
        <v>13800</v>
      </c>
      <c r="B315" s="79">
        <v>13800</v>
      </c>
      <c r="C315" s="9">
        <v>14600</v>
      </c>
      <c r="D315" s="9">
        <f>25300+600</f>
        <v>25900</v>
      </c>
      <c r="E315" s="9">
        <v>22900</v>
      </c>
      <c r="F315" s="469" t="s">
        <v>2814</v>
      </c>
      <c r="G315" s="371" t="s">
        <v>2514</v>
      </c>
      <c r="H315" s="9">
        <v>12000</v>
      </c>
      <c r="I315" s="85">
        <f>IF(E315=H315,0,IF(E315=0,100,(H315-E315)/E315*100))</f>
        <v>-47.598253275109172</v>
      </c>
      <c r="J315" s="9">
        <v>15000</v>
      </c>
      <c r="K315" s="9">
        <f>ROUNDUP(J315+(J315*Assumptions!J$5),-2)</f>
        <v>15400</v>
      </c>
      <c r="L315" s="9">
        <f>ROUNDUP(K315+(K315*Assumptions!K$5),-2)</f>
        <v>15800</v>
      </c>
      <c r="M315" s="9">
        <f>ROUNDUP(L315+(L315*Assumptions!L$5),-2)</f>
        <v>16200</v>
      </c>
      <c r="N315" s="9">
        <f>ROUNDUP(M315+(M315*Assumptions!M$5),-2)</f>
        <v>16700</v>
      </c>
      <c r="O315" s="9">
        <f>ROUNDUP(N315+(N315*Assumptions!N$5),-2)</f>
        <v>17200</v>
      </c>
      <c r="P315" s="9">
        <f>ROUNDUP(O315+(O315*Assumptions!O$5),-2)</f>
        <v>17700</v>
      </c>
      <c r="Q315" s="9">
        <f>ROUNDUP(P315+(P315*Assumptions!P$5),-2)</f>
        <v>18200</v>
      </c>
      <c r="R315" s="9">
        <f>ROUNDUP(Q315+(Q315*Assumptions!Q$5),-2)</f>
        <v>18700</v>
      </c>
      <c r="S315" s="47">
        <f>ROUNDUP(R315+(R315*Assumptions!R$5),-2)</f>
        <v>19200</v>
      </c>
    </row>
    <row r="316" spans="1:19" x14ac:dyDescent="0.2">
      <c r="A316" s="1649"/>
      <c r="B316" s="1645"/>
      <c r="C316" s="9"/>
      <c r="D316" s="9"/>
      <c r="E316" s="9"/>
      <c r="F316" s="469"/>
      <c r="G316" s="320" t="s">
        <v>2103</v>
      </c>
      <c r="H316" s="9"/>
      <c r="I316" s="85"/>
      <c r="J316" s="9"/>
      <c r="K316" s="9"/>
      <c r="L316" s="9"/>
      <c r="M316" s="9"/>
      <c r="N316" s="9"/>
      <c r="O316" s="9"/>
      <c r="P316" s="9"/>
      <c r="Q316" s="9"/>
      <c r="R316" s="9"/>
      <c r="S316" s="47"/>
    </row>
    <row r="317" spans="1:19" x14ac:dyDescent="0.2">
      <c r="A317" s="54">
        <v>35600</v>
      </c>
      <c r="B317" s="79">
        <v>5600</v>
      </c>
      <c r="C317" s="9">
        <v>6300</v>
      </c>
      <c r="D317" s="9">
        <v>12900</v>
      </c>
      <c r="E317" s="9">
        <v>11400</v>
      </c>
      <c r="F317" s="469" t="s">
        <v>71</v>
      </c>
      <c r="G317" s="371" t="s">
        <v>2103</v>
      </c>
      <c r="H317" s="9">
        <f>15000+55000</f>
        <v>70000</v>
      </c>
      <c r="I317" s="85">
        <f>IF(E317=H317,0,IF(E317=0,100,(H317-E317)/E317*100))</f>
        <v>514.0350877192983</v>
      </c>
      <c r="J317" s="9">
        <v>20000</v>
      </c>
      <c r="K317" s="9">
        <f>ROUNDUP(J317+(J317*Assumptions!J$5),-2)</f>
        <v>20500</v>
      </c>
      <c r="L317" s="9">
        <f>ROUNDUP(K317+(K317*Assumptions!K$5),-2)</f>
        <v>21100</v>
      </c>
      <c r="M317" s="9">
        <f>ROUNDUP(L317+(L317*Assumptions!L$5),-2)</f>
        <v>21700</v>
      </c>
      <c r="N317" s="9">
        <f>ROUNDUP(M317+(M317*Assumptions!M$5),-2)</f>
        <v>22300</v>
      </c>
      <c r="O317" s="9">
        <f>ROUNDUP(N317+(N317*Assumptions!N$5),-2)</f>
        <v>22900</v>
      </c>
      <c r="P317" s="9">
        <f>ROUNDUP(O317+(O317*Assumptions!O$5),-2)</f>
        <v>23500</v>
      </c>
      <c r="Q317" s="9">
        <f>ROUNDUP(P317+(P317*Assumptions!P$5),-2)</f>
        <v>24100</v>
      </c>
      <c r="R317" s="9">
        <f>ROUNDUP(Q317+(Q317*Assumptions!Q$5),-2)</f>
        <v>24800</v>
      </c>
      <c r="S317" s="47">
        <f>ROUNDUP(R317+(R317*Assumptions!R$5),-2)</f>
        <v>25500</v>
      </c>
    </row>
    <row r="318" spans="1:19" ht="13.5" thickBot="1" x14ac:dyDescent="0.25">
      <c r="A318" s="24"/>
      <c r="B318" s="21"/>
      <c r="C318" s="21"/>
      <c r="D318" s="21"/>
      <c r="E318" s="21"/>
      <c r="F318" s="469"/>
      <c r="G318" s="27"/>
      <c r="H318" s="9"/>
      <c r="I318" s="126"/>
      <c r="J318" s="9"/>
      <c r="K318" s="9"/>
      <c r="L318" s="9"/>
      <c r="M318" s="9"/>
      <c r="N318" s="9"/>
      <c r="O318" s="9"/>
      <c r="P318" s="9"/>
      <c r="Q318" s="9"/>
      <c r="R318" s="9"/>
      <c r="S318" s="47"/>
    </row>
    <row r="319" spans="1:19" s="39" customFormat="1" x14ac:dyDescent="0.2">
      <c r="A319" s="52">
        <f>SUM(A310:A318)</f>
        <v>999000</v>
      </c>
      <c r="B319" s="16">
        <f>SUM(B310:B318)</f>
        <v>949000</v>
      </c>
      <c r="C319" s="16">
        <f>SUM(C310:C318)</f>
        <v>926900</v>
      </c>
      <c r="D319" s="16">
        <f>SUM(D310:D318)</f>
        <v>1070600</v>
      </c>
      <c r="E319" s="16">
        <f>SUM(E310:E318)</f>
        <v>1115100</v>
      </c>
      <c r="F319" s="484"/>
      <c r="G319" s="59" t="s">
        <v>556</v>
      </c>
      <c r="H319" s="16">
        <f>SUM(H310:H318)</f>
        <v>1173500</v>
      </c>
      <c r="I319" s="127">
        <f>IF(E319=H319,0,IF(E319=0,100,(H319-E319)/E319*100))</f>
        <v>5.2371984575374402</v>
      </c>
      <c r="J319" s="16">
        <f t="shared" ref="J319:R319" si="458">SUM(J310:J318)</f>
        <v>1137300</v>
      </c>
      <c r="K319" s="16">
        <f t="shared" si="458"/>
        <v>1163800</v>
      </c>
      <c r="L319" s="16">
        <f t="shared" si="458"/>
        <v>1191000</v>
      </c>
      <c r="M319" s="16">
        <f t="shared" si="458"/>
        <v>1218700</v>
      </c>
      <c r="N319" s="16">
        <f t="shared" si="458"/>
        <v>1247100</v>
      </c>
      <c r="O319" s="16">
        <f t="shared" si="458"/>
        <v>1276200</v>
      </c>
      <c r="P319" s="16">
        <f t="shared" si="458"/>
        <v>1305900</v>
      </c>
      <c r="Q319" s="16">
        <f t="shared" si="458"/>
        <v>1336300</v>
      </c>
      <c r="R319" s="16">
        <f t="shared" si="458"/>
        <v>1367400</v>
      </c>
      <c r="S319" s="2342">
        <f t="shared" ref="S319" si="459">SUM(S310:S318)</f>
        <v>1399300</v>
      </c>
    </row>
    <row r="320" spans="1:19" x14ac:dyDescent="0.2">
      <c r="A320" s="54"/>
      <c r="B320" s="9"/>
      <c r="C320" s="9"/>
      <c r="D320" s="9"/>
      <c r="E320" s="9"/>
      <c r="F320" s="483"/>
      <c r="G320" s="55"/>
      <c r="H320" s="9"/>
      <c r="I320" s="85"/>
      <c r="J320" s="9"/>
      <c r="K320" s="9"/>
      <c r="L320" s="9"/>
      <c r="M320" s="9"/>
      <c r="N320" s="9"/>
      <c r="O320" s="9"/>
      <c r="P320" s="9"/>
      <c r="Q320" s="9"/>
      <c r="R320" s="9"/>
      <c r="S320" s="47"/>
    </row>
    <row r="321" spans="1:19" s="39" customFormat="1" x14ac:dyDescent="0.2">
      <c r="A321" s="24">
        <f>A307-A319</f>
        <v>-427500</v>
      </c>
      <c r="B321" s="21">
        <f>B307-B319</f>
        <v>-102600</v>
      </c>
      <c r="C321" s="21">
        <f>C307-C319</f>
        <v>217100</v>
      </c>
      <c r="D321" s="21">
        <f>D307-D319</f>
        <v>316800</v>
      </c>
      <c r="E321" s="21">
        <f>E307-E319</f>
        <v>364700</v>
      </c>
      <c r="F321" s="484"/>
      <c r="G321" s="1161" t="s">
        <v>1002</v>
      </c>
      <c r="H321" s="21">
        <f>H307-H319</f>
        <v>187100</v>
      </c>
      <c r="I321" s="126">
        <f>IF(E321=H321,0,IF(E321=0,100,(H321-E321)/E321*100))</f>
        <v>-48.697559638058678</v>
      </c>
      <c r="J321" s="21">
        <f t="shared" ref="J321:R321" si="460">J307-J319</f>
        <v>173700</v>
      </c>
      <c r="K321" s="21">
        <f t="shared" si="460"/>
        <v>180500</v>
      </c>
      <c r="L321" s="21">
        <f t="shared" si="460"/>
        <v>188000</v>
      </c>
      <c r="M321" s="21">
        <f t="shared" si="460"/>
        <v>195700</v>
      </c>
      <c r="N321" s="21">
        <f t="shared" si="460"/>
        <v>203700</v>
      </c>
      <c r="O321" s="21">
        <f t="shared" si="460"/>
        <v>211700</v>
      </c>
      <c r="P321" s="21">
        <f t="shared" si="460"/>
        <v>220000</v>
      </c>
      <c r="Q321" s="21">
        <f t="shared" si="460"/>
        <v>228600</v>
      </c>
      <c r="R321" s="21">
        <f t="shared" si="460"/>
        <v>237600</v>
      </c>
      <c r="S321" s="86">
        <f t="shared" ref="S321" si="461">S307-S319</f>
        <v>246600</v>
      </c>
    </row>
    <row r="322" spans="1:19" x14ac:dyDescent="0.2">
      <c r="A322" s="54"/>
      <c r="B322" s="9"/>
      <c r="C322" s="9"/>
      <c r="D322" s="9"/>
      <c r="E322" s="9"/>
      <c r="F322" s="483"/>
      <c r="G322" s="217"/>
      <c r="H322" s="9"/>
      <c r="I322" s="85"/>
      <c r="J322" s="9"/>
      <c r="K322" s="9"/>
      <c r="L322" s="9"/>
      <c r="M322" s="9"/>
      <c r="N322" s="9"/>
      <c r="O322" s="9"/>
      <c r="P322" s="9"/>
      <c r="Q322" s="9"/>
      <c r="R322" s="9"/>
      <c r="S322" s="47"/>
    </row>
    <row r="323" spans="1:19" s="39" customFormat="1" x14ac:dyDescent="0.2">
      <c r="A323" s="128">
        <f>A321</f>
        <v>-427500</v>
      </c>
      <c r="B323" s="280">
        <f>B321</f>
        <v>-102600</v>
      </c>
      <c r="C323" s="280">
        <f>C321</f>
        <v>217100</v>
      </c>
      <c r="D323" s="280">
        <f>D321</f>
        <v>316800</v>
      </c>
      <c r="E323" s="280">
        <f t="shared" ref="E323" si="462">E321</f>
        <v>364700</v>
      </c>
      <c r="F323" s="485"/>
      <c r="G323" s="360" t="s">
        <v>1659</v>
      </c>
      <c r="H323" s="280">
        <f t="shared" ref="H323:O323" si="463">H321</f>
        <v>187100</v>
      </c>
      <c r="I323" s="278">
        <f>IF(E323=H323,0,IF(E323=0,100,(H323-E323)/E323*100))</f>
        <v>-48.697559638058678</v>
      </c>
      <c r="J323" s="280">
        <f t="shared" si="463"/>
        <v>173700</v>
      </c>
      <c r="K323" s="280">
        <f t="shared" si="463"/>
        <v>180500</v>
      </c>
      <c r="L323" s="280">
        <f t="shared" si="463"/>
        <v>188000</v>
      </c>
      <c r="M323" s="280">
        <f t="shared" si="463"/>
        <v>195700</v>
      </c>
      <c r="N323" s="280">
        <f t="shared" si="463"/>
        <v>203700</v>
      </c>
      <c r="O323" s="280">
        <f t="shared" si="463"/>
        <v>211700</v>
      </c>
      <c r="P323" s="280">
        <f t="shared" ref="P323:Q323" si="464">P321</f>
        <v>220000</v>
      </c>
      <c r="Q323" s="280">
        <f t="shared" si="464"/>
        <v>228600</v>
      </c>
      <c r="R323" s="280">
        <f t="shared" ref="R323" si="465">R321</f>
        <v>237600</v>
      </c>
      <c r="S323" s="2343">
        <f t="shared" ref="S323" si="466">S321</f>
        <v>246600</v>
      </c>
    </row>
    <row r="324" spans="1:19" ht="13.5" thickBot="1" x14ac:dyDescent="0.25">
      <c r="A324" s="24"/>
      <c r="B324" s="21"/>
      <c r="C324" s="21"/>
      <c r="D324" s="21"/>
      <c r="E324" s="21"/>
      <c r="F324" s="469"/>
      <c r="G324" s="84"/>
      <c r="H324" s="68"/>
      <c r="I324" s="126"/>
      <c r="J324" s="68"/>
      <c r="K324" s="68"/>
      <c r="L324" s="68"/>
      <c r="M324" s="68"/>
      <c r="N324" s="68"/>
      <c r="O324" s="68"/>
      <c r="P324" s="68"/>
      <c r="Q324" s="68"/>
      <c r="R324" s="68"/>
      <c r="S324" s="108"/>
    </row>
    <row r="325" spans="1:19" ht="13.5" thickTop="1" x14ac:dyDescent="0.2">
      <c r="A325" s="270"/>
      <c r="B325" s="69"/>
      <c r="C325" s="109"/>
      <c r="D325" s="109"/>
      <c r="E325" s="109"/>
      <c r="F325" s="487"/>
      <c r="G325" s="258"/>
      <c r="H325" s="74"/>
      <c r="I325" s="352"/>
      <c r="J325" s="74"/>
      <c r="K325" s="74"/>
      <c r="L325" s="74"/>
      <c r="M325" s="74"/>
      <c r="N325" s="74"/>
      <c r="O325" s="74"/>
      <c r="P325" s="74"/>
      <c r="Q325" s="74"/>
      <c r="R325" s="74"/>
      <c r="S325" s="110"/>
    </row>
    <row r="326" spans="1:19" x14ac:dyDescent="0.2">
      <c r="A326" s="24"/>
      <c r="B326" s="75"/>
      <c r="C326" s="21"/>
      <c r="D326" s="21"/>
      <c r="E326" s="21"/>
      <c r="F326" s="468"/>
      <c r="G326" s="361" t="s">
        <v>192</v>
      </c>
      <c r="H326" s="9"/>
      <c r="I326" s="126"/>
      <c r="J326" s="9"/>
      <c r="K326" s="9"/>
      <c r="L326" s="9"/>
      <c r="M326" s="9"/>
      <c r="N326" s="9"/>
      <c r="O326" s="9"/>
      <c r="P326" s="9"/>
      <c r="Q326" s="9"/>
      <c r="R326" s="9"/>
      <c r="S326" s="61"/>
    </row>
    <row r="327" spans="1:19" x14ac:dyDescent="0.2">
      <c r="A327" s="54">
        <v>0</v>
      </c>
      <c r="B327" s="89">
        <v>0</v>
      </c>
      <c r="C327" s="9">
        <v>0</v>
      </c>
      <c r="D327" s="9">
        <v>0</v>
      </c>
      <c r="E327" s="9">
        <v>0</v>
      </c>
      <c r="F327" s="468"/>
      <c r="G327" s="257" t="s">
        <v>1759</v>
      </c>
      <c r="H327" s="9">
        <v>0</v>
      </c>
      <c r="I327" s="85">
        <f>IF(E327=H327,0,IF(E327=0,100,(H327-E327)/E327*100))</f>
        <v>0</v>
      </c>
      <c r="J327" s="9">
        <v>0</v>
      </c>
      <c r="K327" s="9">
        <v>0</v>
      </c>
      <c r="L327" s="9">
        <v>0</v>
      </c>
      <c r="M327" s="9">
        <v>0</v>
      </c>
      <c r="N327" s="9">
        <v>0</v>
      </c>
      <c r="O327" s="9">
        <v>0</v>
      </c>
      <c r="P327" s="9">
        <v>0</v>
      </c>
      <c r="Q327" s="9">
        <v>0</v>
      </c>
      <c r="R327" s="9">
        <v>0</v>
      </c>
      <c r="S327" s="61">
        <v>0</v>
      </c>
    </row>
    <row r="328" spans="1:19" x14ac:dyDescent="0.2">
      <c r="A328" s="54">
        <v>0</v>
      </c>
      <c r="B328" s="89">
        <v>0</v>
      </c>
      <c r="C328" s="9">
        <v>0</v>
      </c>
      <c r="D328" s="9">
        <v>0</v>
      </c>
      <c r="E328" s="9">
        <v>0</v>
      </c>
      <c r="F328" s="468"/>
      <c r="G328" s="257" t="s">
        <v>1909</v>
      </c>
      <c r="H328" s="9">
        <v>0</v>
      </c>
      <c r="I328" s="85">
        <f>IF(E328=H328,0,IF(E328=0,100,(H328-E328)/E328*100))</f>
        <v>0</v>
      </c>
      <c r="J328" s="9">
        <v>0</v>
      </c>
      <c r="K328" s="9">
        <v>0</v>
      </c>
      <c r="L328" s="9">
        <v>0</v>
      </c>
      <c r="M328" s="9">
        <v>0</v>
      </c>
      <c r="N328" s="9">
        <v>0</v>
      </c>
      <c r="O328" s="9">
        <v>0</v>
      </c>
      <c r="P328" s="9">
        <v>0</v>
      </c>
      <c r="Q328" s="9">
        <v>0</v>
      </c>
      <c r="R328" s="9">
        <v>0</v>
      </c>
      <c r="S328" s="61">
        <v>0</v>
      </c>
    </row>
    <row r="329" spans="1:19" x14ac:dyDescent="0.2">
      <c r="A329" s="54">
        <v>0</v>
      </c>
      <c r="B329" s="89">
        <v>0</v>
      </c>
      <c r="C329" s="9">
        <v>0</v>
      </c>
      <c r="D329" s="9">
        <v>0</v>
      </c>
      <c r="E329" s="9">
        <v>0</v>
      </c>
      <c r="F329" s="468"/>
      <c r="G329" s="257" t="s">
        <v>2309</v>
      </c>
      <c r="H329" s="9">
        <v>0</v>
      </c>
      <c r="I329" s="85">
        <f>IF(E329=H329,0,IF(E329=0,100,(H329-E329)/E329*100))</f>
        <v>0</v>
      </c>
      <c r="J329" s="9">
        <v>0</v>
      </c>
      <c r="K329" s="9">
        <v>0</v>
      </c>
      <c r="L329" s="9">
        <v>0</v>
      </c>
      <c r="M329" s="9">
        <v>0</v>
      </c>
      <c r="N329" s="9">
        <v>0</v>
      </c>
      <c r="O329" s="9">
        <v>0</v>
      </c>
      <c r="P329" s="9">
        <v>0</v>
      </c>
      <c r="Q329" s="9">
        <v>0</v>
      </c>
      <c r="R329" s="9">
        <v>0</v>
      </c>
      <c r="S329" s="61">
        <v>0</v>
      </c>
    </row>
    <row r="330" spans="1:19" x14ac:dyDescent="0.2">
      <c r="A330" s="54">
        <v>0</v>
      </c>
      <c r="B330" s="89">
        <v>0</v>
      </c>
      <c r="C330" s="9">
        <v>0</v>
      </c>
      <c r="D330" s="9">
        <v>0</v>
      </c>
      <c r="E330" s="9">
        <v>0</v>
      </c>
      <c r="F330" s="468"/>
      <c r="G330" s="257" t="s">
        <v>5847</v>
      </c>
      <c r="H330" s="9">
        <v>0</v>
      </c>
      <c r="I330" s="85">
        <f>IF(E330=H330,0,IF(E330=0,100,(H330-E330)/E330*100))</f>
        <v>0</v>
      </c>
      <c r="J330" s="9">
        <v>0</v>
      </c>
      <c r="K330" s="9">
        <v>0</v>
      </c>
      <c r="L330" s="9">
        <v>0</v>
      </c>
      <c r="M330" s="9">
        <v>0</v>
      </c>
      <c r="N330" s="9">
        <v>0</v>
      </c>
      <c r="O330" s="9">
        <v>0</v>
      </c>
      <c r="P330" s="9">
        <v>0</v>
      </c>
      <c r="Q330" s="9">
        <v>0</v>
      </c>
      <c r="R330" s="9">
        <v>0</v>
      </c>
      <c r="S330" s="61">
        <v>0</v>
      </c>
    </row>
    <row r="331" spans="1:19" x14ac:dyDescent="0.2">
      <c r="A331" s="54">
        <v>0</v>
      </c>
      <c r="B331" s="89">
        <v>0</v>
      </c>
      <c r="C331" s="9">
        <v>0</v>
      </c>
      <c r="D331" s="9">
        <v>0</v>
      </c>
      <c r="E331" s="9">
        <v>0</v>
      </c>
      <c r="F331" s="468"/>
      <c r="G331" s="257" t="s">
        <v>958</v>
      </c>
      <c r="H331" s="9">
        <v>0</v>
      </c>
      <c r="I331" s="85">
        <f>IF(E331=H331,0,IF(E331=0,100,(H331-E331)/E331*100))</f>
        <v>0</v>
      </c>
      <c r="J331" s="9">
        <v>0</v>
      </c>
      <c r="K331" s="9">
        <v>0</v>
      </c>
      <c r="L331" s="9">
        <v>0</v>
      </c>
      <c r="M331" s="9">
        <v>0</v>
      </c>
      <c r="N331" s="9">
        <v>0</v>
      </c>
      <c r="O331" s="9">
        <v>0</v>
      </c>
      <c r="P331" s="9">
        <v>0</v>
      </c>
      <c r="Q331" s="9">
        <v>0</v>
      </c>
      <c r="R331" s="9">
        <v>0</v>
      </c>
      <c r="S331" s="61">
        <v>0</v>
      </c>
    </row>
    <row r="332" spans="1:19" x14ac:dyDescent="0.2">
      <c r="A332" s="54"/>
      <c r="B332" s="89"/>
      <c r="C332" s="9"/>
      <c r="D332" s="9"/>
      <c r="E332" s="9"/>
      <c r="F332" s="468"/>
      <c r="G332" s="361"/>
      <c r="H332" s="9"/>
      <c r="I332" s="85"/>
      <c r="J332" s="9"/>
      <c r="K332" s="9"/>
      <c r="L332" s="9"/>
      <c r="M332" s="9"/>
      <c r="N332" s="9"/>
      <c r="O332" s="9"/>
      <c r="P332" s="9"/>
      <c r="Q332" s="9"/>
      <c r="R332" s="9"/>
      <c r="S332" s="61"/>
    </row>
    <row r="333" spans="1:19" s="39" customFormat="1" x14ac:dyDescent="0.2">
      <c r="A333" s="128">
        <f>A323-A327-A328+A329++A330-A331</f>
        <v>-427500</v>
      </c>
      <c r="B333" s="266">
        <f>B323-B327-B328+B329++B330-B331</f>
        <v>-102600</v>
      </c>
      <c r="C333" s="280">
        <f>C323-C327-C328+C329++C330-C331</f>
        <v>217100</v>
      </c>
      <c r="D333" s="280">
        <f>D323-D327-D328+D329++D330-D331</f>
        <v>316800</v>
      </c>
      <c r="E333" s="280">
        <f t="shared" ref="E333" si="467">E323-E327-E328+E329++E330-E331</f>
        <v>364700</v>
      </c>
      <c r="F333" s="488"/>
      <c r="G333" s="363" t="s">
        <v>2447</v>
      </c>
      <c r="H333" s="280">
        <f t="shared" ref="H333:P333" si="468">H323-H327-H328+H329++H330-H331</f>
        <v>187100</v>
      </c>
      <c r="I333" s="278">
        <f>IF(E333=H333,0,IF(E333=0,100,(H333-E333)/E333*100))</f>
        <v>-48.697559638058678</v>
      </c>
      <c r="J333" s="280">
        <f t="shared" si="468"/>
        <v>173700</v>
      </c>
      <c r="K333" s="280">
        <f t="shared" si="468"/>
        <v>180500</v>
      </c>
      <c r="L333" s="280">
        <f t="shared" si="468"/>
        <v>188000</v>
      </c>
      <c r="M333" s="280">
        <f t="shared" si="468"/>
        <v>195700</v>
      </c>
      <c r="N333" s="280">
        <f t="shared" si="468"/>
        <v>203700</v>
      </c>
      <c r="O333" s="280">
        <f t="shared" si="468"/>
        <v>211700</v>
      </c>
      <c r="P333" s="280">
        <f t="shared" si="468"/>
        <v>220000</v>
      </c>
      <c r="Q333" s="280">
        <f t="shared" ref="Q333" si="469">Q323-Q327-Q328+Q329++Q330-Q331</f>
        <v>228600</v>
      </c>
      <c r="R333" s="280">
        <f t="shared" ref="R333:S333" si="470">R323-R327-R328+R329++R330-R331</f>
        <v>237600</v>
      </c>
      <c r="S333" s="282">
        <f t="shared" si="470"/>
        <v>246600</v>
      </c>
    </row>
    <row r="334" spans="1:19" ht="13.5" thickBot="1" x14ac:dyDescent="0.25">
      <c r="A334" s="26"/>
      <c r="B334" s="81"/>
      <c r="C334" s="37"/>
      <c r="D334" s="37"/>
      <c r="E334" s="37"/>
      <c r="F334" s="489"/>
      <c r="G334" s="259"/>
      <c r="H334" s="23"/>
      <c r="I334" s="275"/>
      <c r="J334" s="23"/>
      <c r="K334" s="23"/>
      <c r="L334" s="23"/>
      <c r="M334" s="23"/>
      <c r="N334" s="23"/>
      <c r="O334" s="23"/>
      <c r="P334" s="23"/>
      <c r="Q334" s="23"/>
      <c r="R334" s="23"/>
      <c r="S334" s="112"/>
    </row>
    <row r="335" spans="1:19" ht="14.25" thickTop="1" thickBot="1" x14ac:dyDescent="0.25">
      <c r="A335" s="27"/>
      <c r="B335" s="27"/>
      <c r="C335" s="27"/>
      <c r="D335" s="27"/>
      <c r="E335" s="27"/>
      <c r="F335" s="468"/>
      <c r="G335" s="84"/>
      <c r="H335" s="46"/>
      <c r="I335" s="2234"/>
      <c r="J335" s="46"/>
      <c r="K335" s="46"/>
      <c r="L335" s="46"/>
      <c r="M335" s="46"/>
      <c r="N335" s="46"/>
      <c r="O335" s="46"/>
      <c r="P335" s="46"/>
      <c r="Q335" s="46"/>
      <c r="R335" s="46"/>
      <c r="S335" s="46"/>
    </row>
    <row r="336" spans="1:19" s="38" customFormat="1" ht="18.75" customHeight="1" thickTop="1" thickBot="1" x14ac:dyDescent="0.3">
      <c r="A336" s="2601" t="str">
        <f>A117</f>
        <v>ENVIRONMENTAL AND PUBLIC HEALTH</v>
      </c>
      <c r="B336" s="2602"/>
      <c r="C336" s="2602"/>
      <c r="D336" s="2602"/>
      <c r="E336" s="2602"/>
      <c r="F336" s="2602"/>
      <c r="G336" s="2602"/>
      <c r="H336" s="2602"/>
      <c r="I336" s="2602"/>
      <c r="J336" s="2602"/>
      <c r="K336" s="2602"/>
      <c r="L336" s="2602"/>
      <c r="M336" s="2602"/>
      <c r="N336" s="2602"/>
      <c r="O336" s="2602"/>
      <c r="P336" s="2602"/>
      <c r="Q336" s="2602"/>
      <c r="R336" s="2602"/>
      <c r="S336" s="2603"/>
    </row>
    <row r="337" spans="1:19" s="39" customFormat="1" x14ac:dyDescent="0.2">
      <c r="A337" s="2598" t="s">
        <v>1824</v>
      </c>
      <c r="B337" s="2599"/>
      <c r="C337" s="2599"/>
      <c r="D337" s="2599"/>
      <c r="E337" s="2600"/>
      <c r="F337" s="1163" t="s">
        <v>2616</v>
      </c>
      <c r="G337" s="2231" t="s">
        <v>2213</v>
      </c>
      <c r="H337" s="2576" t="s">
        <v>2215</v>
      </c>
      <c r="I337" s="2577"/>
      <c r="J337" s="2577"/>
      <c r="K337" s="2577"/>
      <c r="L337" s="2577"/>
      <c r="M337" s="2577"/>
      <c r="N337" s="2577"/>
      <c r="O337" s="2577"/>
      <c r="P337" s="2577"/>
      <c r="Q337" s="2577"/>
      <c r="R337" s="2577"/>
      <c r="S337" s="2578"/>
    </row>
    <row r="338" spans="1:19" ht="13.5" thickBot="1" x14ac:dyDescent="0.25">
      <c r="A338" s="1647" t="str">
        <f>A3</f>
        <v>2012/13</v>
      </c>
      <c r="B338" s="40" t="str">
        <f>B3</f>
        <v>2013/14</v>
      </c>
      <c r="C338" s="40" t="str">
        <f>C3</f>
        <v>2014/15</v>
      </c>
      <c r="D338" s="40" t="str">
        <f>D3</f>
        <v>2015/16</v>
      </c>
      <c r="E338" s="40" t="str">
        <f>E3</f>
        <v>2016/17</v>
      </c>
      <c r="F338" s="2071" t="s">
        <v>2617</v>
      </c>
      <c r="G338" s="41"/>
      <c r="H338" s="40" t="str">
        <f t="shared" ref="H338:S338" si="471">H3</f>
        <v>2017/18</v>
      </c>
      <c r="I338" s="40" t="str">
        <f t="shared" si="471"/>
        <v>%</v>
      </c>
      <c r="J338" s="40" t="str">
        <f t="shared" si="471"/>
        <v>2018/19</v>
      </c>
      <c r="K338" s="40" t="str">
        <f t="shared" si="471"/>
        <v>2019/20</v>
      </c>
      <c r="L338" s="40" t="str">
        <f t="shared" si="471"/>
        <v>2020/21</v>
      </c>
      <c r="M338" s="40" t="str">
        <f t="shared" si="471"/>
        <v>2021/22</v>
      </c>
      <c r="N338" s="40" t="str">
        <f t="shared" si="471"/>
        <v>2022/23</v>
      </c>
      <c r="O338" s="40" t="str">
        <f t="shared" si="471"/>
        <v>2023/24</v>
      </c>
      <c r="P338" s="40" t="str">
        <f t="shared" si="471"/>
        <v>2024/25</v>
      </c>
      <c r="Q338" s="40" t="str">
        <f t="shared" si="471"/>
        <v>2025/26</v>
      </c>
      <c r="R338" s="40" t="str">
        <f t="shared" si="471"/>
        <v>2026/27</v>
      </c>
      <c r="S338" s="1620" t="str">
        <f t="shared" si="471"/>
        <v>2027/28</v>
      </c>
    </row>
    <row r="339" spans="1:19" x14ac:dyDescent="0.2">
      <c r="A339" s="54"/>
      <c r="B339" s="9"/>
      <c r="C339" s="9"/>
      <c r="D339" s="9"/>
      <c r="E339" s="9"/>
      <c r="F339" s="469"/>
      <c r="G339" s="91" t="s">
        <v>1056</v>
      </c>
      <c r="H339" s="9"/>
      <c r="I339" s="85"/>
      <c r="J339" s="9"/>
      <c r="K339" s="9"/>
      <c r="L339" s="9"/>
      <c r="M339" s="9"/>
      <c r="N339" s="9"/>
      <c r="O339" s="9"/>
      <c r="P339" s="9"/>
      <c r="Q339" s="9"/>
      <c r="R339" s="9"/>
      <c r="S339" s="61"/>
    </row>
    <row r="340" spans="1:19" x14ac:dyDescent="0.2">
      <c r="A340" s="54"/>
      <c r="B340" s="9"/>
      <c r="C340" s="9"/>
      <c r="D340" s="9"/>
      <c r="E340" s="9"/>
      <c r="F340" s="469"/>
      <c r="G340" s="853" t="s">
        <v>3181</v>
      </c>
      <c r="H340" s="9"/>
      <c r="I340" s="85"/>
      <c r="J340" s="9"/>
      <c r="K340" s="9"/>
      <c r="L340" s="9"/>
      <c r="M340" s="9"/>
      <c r="N340" s="9"/>
      <c r="O340" s="9"/>
      <c r="P340" s="9"/>
      <c r="Q340" s="9"/>
      <c r="R340" s="9"/>
      <c r="S340" s="61"/>
    </row>
    <row r="341" spans="1:19" x14ac:dyDescent="0.2">
      <c r="A341" s="54">
        <v>500</v>
      </c>
      <c r="B341" s="79">
        <v>100</v>
      </c>
      <c r="C341" s="136">
        <v>4000</v>
      </c>
      <c r="D341" s="9">
        <v>8200</v>
      </c>
      <c r="E341" s="134">
        <v>9300</v>
      </c>
      <c r="F341" s="469" t="s">
        <v>1391</v>
      </c>
      <c r="G341" s="247" t="s">
        <v>507</v>
      </c>
      <c r="H341" s="9">
        <v>9000</v>
      </c>
      <c r="I341" s="85">
        <f t="shared" ref="I341:I354" si="472">IF(E341=H341,0,IF(E341=0,100,(H341-E341)/E341*100))</f>
        <v>-3.225806451612903</v>
      </c>
      <c r="J341" s="9">
        <v>9300</v>
      </c>
      <c r="K341" s="9">
        <f>ROUNDUP(J341+(J341*Assumptions!J$5),-2)</f>
        <v>9600</v>
      </c>
      <c r="L341" s="9">
        <f>ROUNDUP(K341+(K341*Assumptions!K$5),-2)</f>
        <v>9900</v>
      </c>
      <c r="M341" s="9">
        <f>ROUNDUP(L341+(L341*Assumptions!L$5),-2)</f>
        <v>10200</v>
      </c>
      <c r="N341" s="9">
        <f>ROUNDUP(M341+(M341*Assumptions!M$5),-2)</f>
        <v>10500</v>
      </c>
      <c r="O341" s="9">
        <f>ROUNDUP(N341+(N341*Assumptions!N$5),-2)</f>
        <v>10800</v>
      </c>
      <c r="P341" s="9">
        <f>ROUNDUP(O341+(O341*Assumptions!O$5),-2)</f>
        <v>11100</v>
      </c>
      <c r="Q341" s="9">
        <f>ROUNDUP(P341+(P341*Assumptions!P$5),-2)</f>
        <v>11400</v>
      </c>
      <c r="R341" s="9">
        <f>ROUNDUP(Q341+(Q341*Assumptions!Q$5),-2)</f>
        <v>11700</v>
      </c>
      <c r="S341" s="47">
        <f>ROUNDUP(R341+(R341*Assumptions!R$5),-2)</f>
        <v>12000</v>
      </c>
    </row>
    <row r="342" spans="1:19" x14ac:dyDescent="0.2">
      <c r="A342" s="54">
        <v>67000</v>
      </c>
      <c r="B342" s="79">
        <v>70000</v>
      </c>
      <c r="C342" s="136">
        <v>103900</v>
      </c>
      <c r="D342" s="9">
        <v>117300</v>
      </c>
      <c r="E342" s="134">
        <v>130600</v>
      </c>
      <c r="F342" s="469" t="s">
        <v>316</v>
      </c>
      <c r="G342" s="247" t="s">
        <v>1479</v>
      </c>
      <c r="H342" s="9">
        <f>133000+12000</f>
        <v>145000</v>
      </c>
      <c r="I342" s="85">
        <f t="shared" si="472"/>
        <v>11.026033690658499</v>
      </c>
      <c r="J342" s="9">
        <v>148000</v>
      </c>
      <c r="K342" s="9">
        <f>ROUNDUP(J342+(J342*Assumptions!J$5),-2)</f>
        <v>151700</v>
      </c>
      <c r="L342" s="9">
        <f>ROUNDUP(K342+(K342*Assumptions!K$5),-2)</f>
        <v>155500</v>
      </c>
      <c r="M342" s="9">
        <f>ROUNDUP(L342+(L342*Assumptions!L$5),-2)</f>
        <v>159400</v>
      </c>
      <c r="N342" s="9">
        <f>ROUNDUP(M342+(M342*Assumptions!M$5),-2)</f>
        <v>163400</v>
      </c>
      <c r="O342" s="9">
        <f>ROUNDUP(N342+(N342*Assumptions!N$5),-2)</f>
        <v>167500</v>
      </c>
      <c r="P342" s="9">
        <f>ROUNDUP(O342+(O342*Assumptions!O$5),-2)</f>
        <v>171700</v>
      </c>
      <c r="Q342" s="9">
        <f>ROUNDUP(P342+(P342*Assumptions!P$5),-2)</f>
        <v>176000</v>
      </c>
      <c r="R342" s="9">
        <f>ROUNDUP(Q342+(Q342*Assumptions!Q$5),-2)</f>
        <v>180400</v>
      </c>
      <c r="S342" s="47">
        <f>ROUNDUP(R342+(R342*Assumptions!R$5),-2)</f>
        <v>185000</v>
      </c>
    </row>
    <row r="343" spans="1:19" x14ac:dyDescent="0.2">
      <c r="A343" s="54">
        <v>10700</v>
      </c>
      <c r="B343" s="79">
        <v>7300</v>
      </c>
      <c r="C343" s="136">
        <v>0</v>
      </c>
      <c r="D343" s="9">
        <v>0</v>
      </c>
      <c r="E343" s="134">
        <v>0</v>
      </c>
      <c r="F343" s="469" t="s">
        <v>851</v>
      </c>
      <c r="G343" s="772" t="s">
        <v>5434</v>
      </c>
      <c r="H343" s="9">
        <v>1000</v>
      </c>
      <c r="I343" s="85">
        <f t="shared" si="472"/>
        <v>100</v>
      </c>
      <c r="J343" s="9">
        <v>0</v>
      </c>
      <c r="K343" s="9">
        <f>ROUNDUP(J343+(J343*Assumptions!J$5),-2)</f>
        <v>0</v>
      </c>
      <c r="L343" s="9">
        <f>ROUNDUP(K343+(K343*Assumptions!K$5),-2)</f>
        <v>0</v>
      </c>
      <c r="M343" s="9">
        <f>ROUNDUP(L343+(L343*Assumptions!L$5),-2)</f>
        <v>0</v>
      </c>
      <c r="N343" s="9">
        <f>ROUNDUP(M343+(M343*Assumptions!M$5),-2)</f>
        <v>0</v>
      </c>
      <c r="O343" s="9">
        <f>ROUNDUP(N343+(N343*Assumptions!N$5),-2)</f>
        <v>0</v>
      </c>
      <c r="P343" s="9">
        <f>ROUNDUP(O343+(O343*Assumptions!O$5),-2)</f>
        <v>0</v>
      </c>
      <c r="Q343" s="9">
        <f>ROUNDUP(P343+(P343*Assumptions!P$5),-2)</f>
        <v>0</v>
      </c>
      <c r="R343" s="9">
        <f>ROUNDUP(Q343+(Q343*Assumptions!Q$5),-2)</f>
        <v>0</v>
      </c>
      <c r="S343" s="47">
        <f>ROUNDUP(R343+(R343*Assumptions!R$5),-2)</f>
        <v>0</v>
      </c>
    </row>
    <row r="344" spans="1:19" x14ac:dyDescent="0.2">
      <c r="A344" s="54">
        <v>1500</v>
      </c>
      <c r="B344" s="79">
        <v>2000</v>
      </c>
      <c r="C344" s="136">
        <v>2000</v>
      </c>
      <c r="D344" s="9">
        <v>3100</v>
      </c>
      <c r="E344" s="134">
        <v>1900</v>
      </c>
      <c r="F344" s="469" t="s">
        <v>852</v>
      </c>
      <c r="G344" s="772" t="s">
        <v>5433</v>
      </c>
      <c r="H344" s="9">
        <v>2000</v>
      </c>
      <c r="I344" s="85">
        <f t="shared" si="472"/>
        <v>5.2631578947368416</v>
      </c>
      <c r="J344" s="9">
        <v>2000</v>
      </c>
      <c r="K344" s="9">
        <f>ROUNDUP(J344+(J344*Assumptions!J$5),-2)</f>
        <v>2100</v>
      </c>
      <c r="L344" s="9">
        <f>ROUNDUP(K344+(K344*Assumptions!K$5),-2)</f>
        <v>2200</v>
      </c>
      <c r="M344" s="9">
        <f>ROUNDUP(L344+(L344*Assumptions!L$5),-2)</f>
        <v>2300</v>
      </c>
      <c r="N344" s="9">
        <f>ROUNDUP(M344+(M344*Assumptions!M$5),-2)</f>
        <v>2400</v>
      </c>
      <c r="O344" s="9">
        <f>ROUNDUP(N344+(N344*Assumptions!N$5),-2)</f>
        <v>2500</v>
      </c>
      <c r="P344" s="9">
        <f>ROUNDUP(O344+(O344*Assumptions!O$5),-2)</f>
        <v>2600</v>
      </c>
      <c r="Q344" s="9">
        <f>ROUNDUP(P344+(P344*Assumptions!P$5),-2)</f>
        <v>2700</v>
      </c>
      <c r="R344" s="9">
        <f>ROUNDUP(Q344+(Q344*Assumptions!Q$5),-2)</f>
        <v>2800</v>
      </c>
      <c r="S344" s="47">
        <f>ROUNDUP(R344+(R344*Assumptions!R$5),-2)</f>
        <v>2900</v>
      </c>
    </row>
    <row r="345" spans="1:19" x14ac:dyDescent="0.2">
      <c r="A345" s="54">
        <v>5800</v>
      </c>
      <c r="B345" s="79">
        <v>6000</v>
      </c>
      <c r="C345" s="9">
        <v>7000</v>
      </c>
      <c r="D345" s="9">
        <v>8900</v>
      </c>
      <c r="E345" s="9">
        <v>4200</v>
      </c>
      <c r="F345" s="469" t="s">
        <v>1918</v>
      </c>
      <c r="G345" s="247" t="s">
        <v>1919</v>
      </c>
      <c r="H345" s="9">
        <v>8000</v>
      </c>
      <c r="I345" s="85">
        <f t="shared" si="472"/>
        <v>90.476190476190482</v>
      </c>
      <c r="J345" s="9">
        <v>8000</v>
      </c>
      <c r="K345" s="9">
        <f>ROUNDUP(J345+(J345*Assumptions!J$5),-2)</f>
        <v>8200</v>
      </c>
      <c r="L345" s="9">
        <f>ROUNDUP(K345+(K345*Assumptions!K$5),-2)</f>
        <v>8500</v>
      </c>
      <c r="M345" s="9">
        <f>ROUNDUP(L345+(L345*Assumptions!L$5),-2)</f>
        <v>8800</v>
      </c>
      <c r="N345" s="9">
        <f>ROUNDUP(M345+(M345*Assumptions!M$5),-2)</f>
        <v>9100</v>
      </c>
      <c r="O345" s="9">
        <f>ROUNDUP(N345+(N345*Assumptions!N$5),-2)</f>
        <v>9400</v>
      </c>
      <c r="P345" s="9">
        <f>ROUNDUP(O345+(O345*Assumptions!O$5),-2)</f>
        <v>9700</v>
      </c>
      <c r="Q345" s="9">
        <f>ROUNDUP(P345+(P345*Assumptions!P$5),-2)</f>
        <v>10000</v>
      </c>
      <c r="R345" s="9">
        <f>ROUNDUP(Q345+(Q345*Assumptions!Q$5),-2)</f>
        <v>10300</v>
      </c>
      <c r="S345" s="47">
        <f>ROUNDUP(R345+(R345*Assumptions!R$5),-2)</f>
        <v>10600</v>
      </c>
    </row>
    <row r="346" spans="1:19" x14ac:dyDescent="0.2">
      <c r="A346" s="54">
        <v>74300</v>
      </c>
      <c r="B346" s="79">
        <v>75500</v>
      </c>
      <c r="C346" s="9">
        <v>89700</v>
      </c>
      <c r="D346" s="9">
        <v>93700</v>
      </c>
      <c r="E346" s="9">
        <v>97900</v>
      </c>
      <c r="F346" s="469" t="s">
        <v>937</v>
      </c>
      <c r="G346" s="772" t="s">
        <v>4495</v>
      </c>
      <c r="H346" s="9">
        <f>96000+3000</f>
        <v>99000</v>
      </c>
      <c r="I346" s="85">
        <f t="shared" si="472"/>
        <v>1.1235955056179776</v>
      </c>
      <c r="J346" s="9">
        <v>101000</v>
      </c>
      <c r="K346" s="9">
        <f>ROUNDUP(J346+(J346*Assumptions!J$5),-2)</f>
        <v>103600</v>
      </c>
      <c r="L346" s="9">
        <f>ROUNDUP(K346+(K346*Assumptions!K$5),-2)</f>
        <v>106200</v>
      </c>
      <c r="M346" s="9">
        <f>ROUNDUP(L346+(L346*Assumptions!L$5),-2)</f>
        <v>108900</v>
      </c>
      <c r="N346" s="9">
        <f>ROUNDUP(M346+(M346*Assumptions!M$5),-2)</f>
        <v>111700</v>
      </c>
      <c r="O346" s="9">
        <f>ROUNDUP(N346+(N346*Assumptions!N$5),-2)</f>
        <v>114500</v>
      </c>
      <c r="P346" s="9">
        <f>ROUNDUP(O346+(O346*Assumptions!O$5),-2)</f>
        <v>117400</v>
      </c>
      <c r="Q346" s="9">
        <f>ROUNDUP(P346+(P346*Assumptions!P$5),-2)</f>
        <v>120400</v>
      </c>
      <c r="R346" s="9">
        <f>ROUNDUP(Q346+(Q346*Assumptions!Q$5),-2)</f>
        <v>123500</v>
      </c>
      <c r="S346" s="47">
        <f>ROUNDUP(R346+(R346*Assumptions!R$5),-2)</f>
        <v>126600</v>
      </c>
    </row>
    <row r="347" spans="1:19" x14ac:dyDescent="0.2">
      <c r="A347" s="54">
        <v>7500</v>
      </c>
      <c r="B347" s="79">
        <v>7600</v>
      </c>
      <c r="C347" s="9">
        <v>7600</v>
      </c>
      <c r="D347" s="9">
        <f>8000+2000+1000</f>
        <v>11000</v>
      </c>
      <c r="E347" s="9">
        <v>9600</v>
      </c>
      <c r="F347" s="469" t="s">
        <v>370</v>
      </c>
      <c r="G347" s="772" t="s">
        <v>4496</v>
      </c>
      <c r="H347" s="9">
        <v>11000</v>
      </c>
      <c r="I347" s="85">
        <f t="shared" si="472"/>
        <v>14.583333333333334</v>
      </c>
      <c r="J347" s="9">
        <v>11300</v>
      </c>
      <c r="K347" s="9">
        <f>ROUNDUP(J347+(J347*Assumptions!J$5),-2)</f>
        <v>11600</v>
      </c>
      <c r="L347" s="9">
        <f>ROUNDUP(K347+(K347*Assumptions!K$5),-2)</f>
        <v>11900</v>
      </c>
      <c r="M347" s="9">
        <f>ROUNDUP(L347+(L347*Assumptions!L$5),-2)</f>
        <v>12200</v>
      </c>
      <c r="N347" s="9">
        <f>ROUNDUP(M347+(M347*Assumptions!M$5),-2)</f>
        <v>12600</v>
      </c>
      <c r="O347" s="9">
        <f>ROUNDUP(N347+(N347*Assumptions!N$5),-2)</f>
        <v>13000</v>
      </c>
      <c r="P347" s="9">
        <f>ROUNDUP(O347+(O347*Assumptions!O$5),-2)</f>
        <v>13400</v>
      </c>
      <c r="Q347" s="9">
        <f>ROUNDUP(P347+(P347*Assumptions!P$5),-2)</f>
        <v>13800</v>
      </c>
      <c r="R347" s="9">
        <f>ROUNDUP(Q347+(Q347*Assumptions!Q$5),-2)</f>
        <v>14200</v>
      </c>
      <c r="S347" s="47">
        <f>ROUNDUP(R347+(R347*Assumptions!R$5),-2)</f>
        <v>14600</v>
      </c>
    </row>
    <row r="348" spans="1:19" x14ac:dyDescent="0.2">
      <c r="A348" s="54">
        <v>1600</v>
      </c>
      <c r="B348" s="79">
        <v>100</v>
      </c>
      <c r="C348" s="9">
        <v>3300</v>
      </c>
      <c r="D348" s="9">
        <v>300</v>
      </c>
      <c r="E348" s="9">
        <v>1700</v>
      </c>
      <c r="F348" s="469" t="s">
        <v>371</v>
      </c>
      <c r="G348" s="247" t="s">
        <v>1239</v>
      </c>
      <c r="H348" s="9">
        <v>1000</v>
      </c>
      <c r="I348" s="85">
        <f t="shared" si="472"/>
        <v>-41.17647058823529</v>
      </c>
      <c r="J348" s="9">
        <v>1000</v>
      </c>
      <c r="K348" s="9">
        <f>ROUNDUP(J348+(J348*Assumptions!J$5),-2)</f>
        <v>1100</v>
      </c>
      <c r="L348" s="9">
        <f>ROUNDUP(K348+(K348*Assumptions!K$5),-2)</f>
        <v>1200</v>
      </c>
      <c r="M348" s="9">
        <f>ROUNDUP(L348+(L348*Assumptions!L$5),-2)</f>
        <v>1300</v>
      </c>
      <c r="N348" s="9">
        <f>ROUNDUP(M348+(M348*Assumptions!M$5),-2)</f>
        <v>1400</v>
      </c>
      <c r="O348" s="9">
        <f>ROUNDUP(N348+(N348*Assumptions!N$5),-2)</f>
        <v>1500</v>
      </c>
      <c r="P348" s="9">
        <f>ROUNDUP(O348+(O348*Assumptions!O$5),-2)</f>
        <v>1600</v>
      </c>
      <c r="Q348" s="9">
        <f>ROUNDUP(P348+(P348*Assumptions!P$5),-2)</f>
        <v>1700</v>
      </c>
      <c r="R348" s="9">
        <f>ROUNDUP(Q348+(Q348*Assumptions!Q$5),-2)</f>
        <v>1800</v>
      </c>
      <c r="S348" s="47">
        <f>ROUNDUP(R348+(R348*Assumptions!R$5),-2)</f>
        <v>1900</v>
      </c>
    </row>
    <row r="349" spans="1:19" x14ac:dyDescent="0.2">
      <c r="A349" s="54">
        <v>600</v>
      </c>
      <c r="B349" s="79">
        <v>2200</v>
      </c>
      <c r="C349" s="9">
        <v>800</v>
      </c>
      <c r="D349" s="9">
        <v>1200</v>
      </c>
      <c r="E349" s="9">
        <v>700</v>
      </c>
      <c r="F349" s="469" t="s">
        <v>372</v>
      </c>
      <c r="G349" s="247" t="s">
        <v>1058</v>
      </c>
      <c r="H349" s="9">
        <v>1000</v>
      </c>
      <c r="I349" s="85">
        <f t="shared" si="472"/>
        <v>42.857142857142854</v>
      </c>
      <c r="J349" s="9">
        <v>1000</v>
      </c>
      <c r="K349" s="9">
        <f>ROUNDUP(J349+(J349*Assumptions!J$5),-2)</f>
        <v>1100</v>
      </c>
      <c r="L349" s="9">
        <f>ROUNDUP(K349+(K349*Assumptions!K$5),-2)</f>
        <v>1200</v>
      </c>
      <c r="M349" s="9">
        <f>ROUNDUP(L349+(L349*Assumptions!L$5),-2)</f>
        <v>1300</v>
      </c>
      <c r="N349" s="9">
        <f>ROUNDUP(M349+(M349*Assumptions!M$5),-2)</f>
        <v>1400</v>
      </c>
      <c r="O349" s="9">
        <f>ROUNDUP(N349+(N349*Assumptions!N$5),-2)</f>
        <v>1500</v>
      </c>
      <c r="P349" s="9">
        <f>ROUNDUP(O349+(O349*Assumptions!O$5),-2)</f>
        <v>1600</v>
      </c>
      <c r="Q349" s="9">
        <f>ROUNDUP(P349+(P349*Assumptions!P$5),-2)</f>
        <v>1700</v>
      </c>
      <c r="R349" s="9">
        <f>ROUNDUP(Q349+(Q349*Assumptions!Q$5),-2)</f>
        <v>1800</v>
      </c>
      <c r="S349" s="47">
        <f>ROUNDUP(R349+(R349*Assumptions!R$5),-2)</f>
        <v>1900</v>
      </c>
    </row>
    <row r="350" spans="1:19" x14ac:dyDescent="0.2">
      <c r="A350" s="54">
        <v>600</v>
      </c>
      <c r="B350" s="79">
        <v>600</v>
      </c>
      <c r="C350" s="9">
        <v>800</v>
      </c>
      <c r="D350" s="9">
        <v>700</v>
      </c>
      <c r="E350" s="9">
        <v>600</v>
      </c>
      <c r="F350" s="469" t="s">
        <v>1390</v>
      </c>
      <c r="G350" s="247" t="s">
        <v>1642</v>
      </c>
      <c r="H350" s="9">
        <v>1000</v>
      </c>
      <c r="I350" s="85">
        <f t="shared" si="472"/>
        <v>66.666666666666657</v>
      </c>
      <c r="J350" s="9">
        <v>1000</v>
      </c>
      <c r="K350" s="9">
        <f>ROUNDUP(J350+(J350*Assumptions!J$5),-2)</f>
        <v>1100</v>
      </c>
      <c r="L350" s="9">
        <f>ROUNDUP(K350+(K350*Assumptions!K$5),-2)</f>
        <v>1200</v>
      </c>
      <c r="M350" s="9">
        <f>ROUNDUP(L350+(L350*Assumptions!L$5),-2)</f>
        <v>1300</v>
      </c>
      <c r="N350" s="9">
        <f>ROUNDUP(M350+(M350*Assumptions!M$5),-2)</f>
        <v>1400</v>
      </c>
      <c r="O350" s="9">
        <f>ROUNDUP(N350+(N350*Assumptions!N$5),-2)</f>
        <v>1500</v>
      </c>
      <c r="P350" s="9">
        <f>ROUNDUP(O350+(O350*Assumptions!O$5),-2)</f>
        <v>1600</v>
      </c>
      <c r="Q350" s="9">
        <f>ROUNDUP(P350+(P350*Assumptions!P$5),-2)</f>
        <v>1700</v>
      </c>
      <c r="R350" s="9">
        <f>ROUNDUP(Q350+(Q350*Assumptions!Q$5),-2)</f>
        <v>1800</v>
      </c>
      <c r="S350" s="47">
        <f>ROUNDUP(R350+(R350*Assumptions!R$5),-2)</f>
        <v>1900</v>
      </c>
    </row>
    <row r="351" spans="1:19" x14ac:dyDescent="0.2">
      <c r="A351" s="54">
        <v>-900</v>
      </c>
      <c r="B351" s="79">
        <v>1000</v>
      </c>
      <c r="C351" s="9">
        <v>8600</v>
      </c>
      <c r="D351" s="9">
        <v>5400</v>
      </c>
      <c r="E351" s="9">
        <v>1700</v>
      </c>
      <c r="F351" s="469" t="s">
        <v>1913</v>
      </c>
      <c r="G351" s="247" t="s">
        <v>1240</v>
      </c>
      <c r="H351" s="9">
        <v>4000</v>
      </c>
      <c r="I351" s="85">
        <f t="shared" si="472"/>
        <v>135.29411764705884</v>
      </c>
      <c r="J351" s="9">
        <v>4000</v>
      </c>
      <c r="K351" s="9">
        <f>ROUNDUP(J351+(J351*Assumptions!J$5),-2)</f>
        <v>4100</v>
      </c>
      <c r="L351" s="9">
        <f>ROUNDUP(K351+(K351*Assumptions!K$5),-2)</f>
        <v>4300</v>
      </c>
      <c r="M351" s="9">
        <f>ROUNDUP(L351+(L351*Assumptions!L$5),-2)</f>
        <v>4500</v>
      </c>
      <c r="N351" s="9">
        <f>ROUNDUP(M351+(M351*Assumptions!M$5),-2)</f>
        <v>4700</v>
      </c>
      <c r="O351" s="9">
        <f>ROUNDUP(N351+(N351*Assumptions!N$5),-2)</f>
        <v>4900</v>
      </c>
      <c r="P351" s="9">
        <f>ROUNDUP(O351+(O351*Assumptions!O$5),-2)</f>
        <v>5100</v>
      </c>
      <c r="Q351" s="9">
        <f>ROUNDUP(P351+(P351*Assumptions!P$5),-2)</f>
        <v>5300</v>
      </c>
      <c r="R351" s="9">
        <f>ROUNDUP(Q351+(Q351*Assumptions!Q$5),-2)</f>
        <v>5500</v>
      </c>
      <c r="S351" s="47">
        <f>ROUNDUP(R351+(R351*Assumptions!R$5),-2)</f>
        <v>5700</v>
      </c>
    </row>
    <row r="352" spans="1:19" x14ac:dyDescent="0.2">
      <c r="A352" s="54">
        <v>2700</v>
      </c>
      <c r="B352" s="79">
        <v>3400</v>
      </c>
      <c r="C352" s="9">
        <v>4400</v>
      </c>
      <c r="D352" s="9">
        <v>5400</v>
      </c>
      <c r="E352" s="79">
        <v>7000</v>
      </c>
      <c r="F352" s="469" t="s">
        <v>442</v>
      </c>
      <c r="G352" s="247" t="s">
        <v>2105</v>
      </c>
      <c r="H352" s="9">
        <v>5000</v>
      </c>
      <c r="I352" s="584">
        <f t="shared" si="472"/>
        <v>-28.571428571428569</v>
      </c>
      <c r="J352" s="9">
        <v>5200</v>
      </c>
      <c r="K352" s="9">
        <f>ROUNDUP(J352+(J352*Assumptions!J$5),-2)</f>
        <v>5400</v>
      </c>
      <c r="L352" s="9">
        <f>ROUNDUP(K352+(K352*Assumptions!K$5),-2)</f>
        <v>5600</v>
      </c>
      <c r="M352" s="9">
        <f>ROUNDUP(L352+(L352*Assumptions!L$5),-2)</f>
        <v>5800</v>
      </c>
      <c r="N352" s="9">
        <f>ROUNDUP(M352+(M352*Assumptions!M$5),-2)</f>
        <v>6000</v>
      </c>
      <c r="O352" s="9">
        <f>ROUNDUP(N352+(N352*Assumptions!N$5),-2)</f>
        <v>6200</v>
      </c>
      <c r="P352" s="9">
        <f>ROUNDUP(O352+(O352*Assumptions!O$5),-2)</f>
        <v>6400</v>
      </c>
      <c r="Q352" s="9">
        <f>ROUNDUP(P352+(P352*Assumptions!P$5),-2)</f>
        <v>6600</v>
      </c>
      <c r="R352" s="9">
        <f>ROUNDUP(Q352+(Q352*Assumptions!Q$5),-2)</f>
        <v>6800</v>
      </c>
      <c r="S352" s="47">
        <f>ROUNDUP(R352+(R352*Assumptions!R$5),-2)</f>
        <v>7000</v>
      </c>
    </row>
    <row r="353" spans="1:19" x14ac:dyDescent="0.2">
      <c r="A353" s="54">
        <v>2700</v>
      </c>
      <c r="B353" s="79">
        <f>6000+1200</f>
        <v>7200</v>
      </c>
      <c r="C353" s="9">
        <v>3800</v>
      </c>
      <c r="D353" s="9">
        <v>3400</v>
      </c>
      <c r="E353" s="9">
        <v>3700</v>
      </c>
      <c r="F353" s="469" t="s">
        <v>441</v>
      </c>
      <c r="G353" s="247" t="s">
        <v>483</v>
      </c>
      <c r="H353" s="9">
        <v>3000</v>
      </c>
      <c r="I353" s="85">
        <f t="shared" si="472"/>
        <v>-18.918918918918919</v>
      </c>
      <c r="J353" s="9">
        <v>3000</v>
      </c>
      <c r="K353" s="9">
        <f>ROUNDUP(J353+(J353*Assumptions!J$5),-2)</f>
        <v>3100</v>
      </c>
      <c r="L353" s="9">
        <f>ROUNDUP(K353+(K353*Assumptions!K$5),-2)</f>
        <v>3200</v>
      </c>
      <c r="M353" s="9">
        <f>ROUNDUP(L353+(L353*Assumptions!L$5),-2)</f>
        <v>3300</v>
      </c>
      <c r="N353" s="9">
        <f>ROUNDUP(M353+(M353*Assumptions!M$5),-2)</f>
        <v>3400</v>
      </c>
      <c r="O353" s="9">
        <f>ROUNDUP(N353+(N353*Assumptions!N$5),-2)</f>
        <v>3500</v>
      </c>
      <c r="P353" s="9">
        <f>ROUNDUP(O353+(O353*Assumptions!O$5),-2)</f>
        <v>3600</v>
      </c>
      <c r="Q353" s="9">
        <f>ROUNDUP(P353+(P353*Assumptions!P$5),-2)</f>
        <v>3700</v>
      </c>
      <c r="R353" s="9">
        <f>ROUNDUP(Q353+(Q353*Assumptions!Q$5),-2)</f>
        <v>3800</v>
      </c>
      <c r="S353" s="47">
        <f>ROUNDUP(R353+(R353*Assumptions!R$5),-2)</f>
        <v>3900</v>
      </c>
    </row>
    <row r="354" spans="1:19" x14ac:dyDescent="0.2">
      <c r="A354" s="54">
        <v>2600</v>
      </c>
      <c r="B354" s="79">
        <v>1100</v>
      </c>
      <c r="C354" s="9">
        <v>800</v>
      </c>
      <c r="D354" s="9">
        <v>1200</v>
      </c>
      <c r="E354" s="9">
        <v>2500</v>
      </c>
      <c r="F354" s="469" t="s">
        <v>2518</v>
      </c>
      <c r="G354" s="247" t="s">
        <v>854</v>
      </c>
      <c r="H354" s="9">
        <v>2000</v>
      </c>
      <c r="I354" s="85">
        <f t="shared" si="472"/>
        <v>-20</v>
      </c>
      <c r="J354" s="9">
        <v>2000</v>
      </c>
      <c r="K354" s="9">
        <f>ROUNDUP(J354+(J354*Assumptions!J$5),-2)</f>
        <v>2100</v>
      </c>
      <c r="L354" s="9">
        <f>ROUNDUP(K354+(K354*Assumptions!K$5),-2)</f>
        <v>2200</v>
      </c>
      <c r="M354" s="9">
        <f>ROUNDUP(L354+(L354*Assumptions!L$5),-2)</f>
        <v>2300</v>
      </c>
      <c r="N354" s="9">
        <f>ROUNDUP(M354+(M354*Assumptions!M$5),-2)</f>
        <v>2400</v>
      </c>
      <c r="O354" s="9">
        <f>ROUNDUP(N354+(N354*Assumptions!N$5),-2)</f>
        <v>2500</v>
      </c>
      <c r="P354" s="9">
        <f>ROUNDUP(O354+(O354*Assumptions!O$5),-2)</f>
        <v>2600</v>
      </c>
      <c r="Q354" s="9">
        <f>ROUNDUP(P354+(P354*Assumptions!P$5),-2)</f>
        <v>2700</v>
      </c>
      <c r="R354" s="9">
        <f>ROUNDUP(Q354+(Q354*Assumptions!Q$5),-2)</f>
        <v>2800</v>
      </c>
      <c r="S354" s="47">
        <f>ROUNDUP(R354+(R354*Assumptions!R$5),-2)</f>
        <v>2900</v>
      </c>
    </row>
    <row r="355" spans="1:19" x14ac:dyDescent="0.2">
      <c r="A355" s="54"/>
      <c r="B355" s="79"/>
      <c r="C355" s="9"/>
      <c r="D355" s="9"/>
      <c r="E355" s="9"/>
      <c r="F355" s="469"/>
      <c r="G355" s="542" t="s">
        <v>677</v>
      </c>
      <c r="H355" s="9"/>
      <c r="I355" s="85"/>
      <c r="J355" s="9"/>
      <c r="K355" s="9"/>
      <c r="L355" s="9"/>
      <c r="M355" s="9"/>
      <c r="N355" s="9"/>
      <c r="O355" s="9"/>
      <c r="P355" s="9"/>
      <c r="Q355" s="9"/>
      <c r="R355" s="9"/>
      <c r="S355" s="47"/>
    </row>
    <row r="356" spans="1:19" x14ac:dyDescent="0.2">
      <c r="A356" s="54">
        <v>0</v>
      </c>
      <c r="B356" s="79">
        <v>0</v>
      </c>
      <c r="C356" s="9">
        <v>0</v>
      </c>
      <c r="D356" s="9">
        <v>0</v>
      </c>
      <c r="E356" s="9">
        <v>0</v>
      </c>
      <c r="F356" s="769"/>
      <c r="G356" s="772" t="s">
        <v>5970</v>
      </c>
      <c r="H356" s="9">
        <v>0</v>
      </c>
      <c r="I356" s="85">
        <f>IF(E356=H356,0,IF(E356=0,100,(H356-E356)/E356*100))</f>
        <v>0</v>
      </c>
      <c r="J356" s="9">
        <v>0</v>
      </c>
      <c r="K356" s="9">
        <v>0</v>
      </c>
      <c r="L356" s="9">
        <v>0</v>
      </c>
      <c r="M356" s="9">
        <v>0</v>
      </c>
      <c r="N356" s="9">
        <v>0</v>
      </c>
      <c r="O356" s="9">
        <v>0</v>
      </c>
      <c r="P356" s="9">
        <v>0</v>
      </c>
      <c r="Q356" s="9">
        <v>0</v>
      </c>
      <c r="R356" s="9">
        <v>0</v>
      </c>
      <c r="S356" s="47">
        <v>0</v>
      </c>
    </row>
    <row r="357" spans="1:19" x14ac:dyDescent="0.2">
      <c r="A357" s="54"/>
      <c r="B357" s="79"/>
      <c r="C357" s="9"/>
      <c r="D357" s="9"/>
      <c r="E357" s="9"/>
      <c r="F357" s="469"/>
      <c r="G357" s="319" t="s">
        <v>420</v>
      </c>
      <c r="H357" s="9"/>
      <c r="I357" s="85"/>
      <c r="J357" s="9"/>
      <c r="K357" s="9"/>
      <c r="L357" s="9"/>
      <c r="M357" s="9"/>
      <c r="N357" s="9"/>
      <c r="O357" s="9"/>
      <c r="P357" s="9"/>
      <c r="Q357" s="9"/>
      <c r="R357" s="9"/>
      <c r="S357" s="47"/>
    </row>
    <row r="358" spans="1:19" x14ac:dyDescent="0.2">
      <c r="A358" s="54">
        <v>10700</v>
      </c>
      <c r="B358" s="79">
        <v>700</v>
      </c>
      <c r="C358" s="9">
        <v>1400</v>
      </c>
      <c r="D358" s="9">
        <v>2600</v>
      </c>
      <c r="E358" s="9">
        <v>1300</v>
      </c>
      <c r="F358" s="469" t="s">
        <v>1118</v>
      </c>
      <c r="G358" s="247" t="s">
        <v>1844</v>
      </c>
      <c r="H358" s="9">
        <v>3000</v>
      </c>
      <c r="I358" s="85">
        <f>IF(E358=H358,0,IF(E358=0,100,(H358-E358)/E358*100))</f>
        <v>130.76923076923077</v>
      </c>
      <c r="J358" s="9">
        <v>3000</v>
      </c>
      <c r="K358" s="9">
        <f>ROUNDUP(J358+(J358*Assumptions!J$5),-2)</f>
        <v>3100</v>
      </c>
      <c r="L358" s="9">
        <f>ROUNDUP(K358+(K358*Assumptions!K$5),-2)</f>
        <v>3200</v>
      </c>
      <c r="M358" s="9">
        <f>ROUNDUP(L358+(L358*Assumptions!L$5),-2)</f>
        <v>3300</v>
      </c>
      <c r="N358" s="9">
        <f>ROUNDUP(M358+(M358*Assumptions!M$5),-2)</f>
        <v>3400</v>
      </c>
      <c r="O358" s="9">
        <f>ROUNDUP(N358+(N358*Assumptions!N$5),-2)</f>
        <v>3500</v>
      </c>
      <c r="P358" s="9">
        <f>ROUNDUP(O358+(O358*Assumptions!O$5),-2)</f>
        <v>3600</v>
      </c>
      <c r="Q358" s="9">
        <f>ROUNDUP(P358+(P358*Assumptions!P$5),-2)</f>
        <v>3700</v>
      </c>
      <c r="R358" s="9">
        <f>ROUNDUP(Q358+(Q358*Assumptions!Q$5),-2)</f>
        <v>3800</v>
      </c>
      <c r="S358" s="47">
        <f>ROUNDUP(R358+(R358*Assumptions!R$5),-2)</f>
        <v>3900</v>
      </c>
    </row>
    <row r="359" spans="1:19" x14ac:dyDescent="0.2">
      <c r="A359" s="54">
        <v>0</v>
      </c>
      <c r="B359" s="79">
        <v>0</v>
      </c>
      <c r="C359" s="9">
        <v>0</v>
      </c>
      <c r="D359" s="9">
        <v>0</v>
      </c>
      <c r="E359" s="9">
        <v>0</v>
      </c>
      <c r="F359" s="769" t="s">
        <v>11840</v>
      </c>
      <c r="G359" s="2355" t="s">
        <v>11913</v>
      </c>
      <c r="H359" s="9">
        <v>98500</v>
      </c>
      <c r="I359" s="85">
        <f>IF(E359=H359,0,IF(E359=0,100,(H359-E359)/E359*100))</f>
        <v>100</v>
      </c>
      <c r="J359" s="9">
        <v>0</v>
      </c>
      <c r="K359" s="9">
        <f>ROUNDUP(J359+(J359*Assumptions!J$5),-2)</f>
        <v>0</v>
      </c>
      <c r="L359" s="9">
        <f>ROUNDUP(K359+(K359*Assumptions!K$5),-2)</f>
        <v>0</v>
      </c>
      <c r="M359" s="9">
        <f>ROUNDUP(L359+(L359*Assumptions!L$5),-2)</f>
        <v>0</v>
      </c>
      <c r="N359" s="9">
        <f>ROUNDUP(M359+(M359*Assumptions!M$5),-2)</f>
        <v>0</v>
      </c>
      <c r="O359" s="9">
        <f>ROUNDUP(N359+(N359*Assumptions!N$5),-2)</f>
        <v>0</v>
      </c>
      <c r="P359" s="9">
        <f>ROUNDUP(O359+(O359*Assumptions!O$5),-2)</f>
        <v>0</v>
      </c>
      <c r="Q359" s="9">
        <f>ROUNDUP(P359+(P359*Assumptions!P$5),-2)</f>
        <v>0</v>
      </c>
      <c r="R359" s="9">
        <f>ROUNDUP(Q359+(Q359*Assumptions!Q$5),-2)</f>
        <v>0</v>
      </c>
      <c r="S359" s="47">
        <f>ROUNDUP(R359+(R359*Assumptions!R$5),-2)</f>
        <v>0</v>
      </c>
    </row>
    <row r="360" spans="1:19" ht="13.5" thickBot="1" x14ac:dyDescent="0.25">
      <c r="A360" s="24"/>
      <c r="B360" s="21"/>
      <c r="C360" s="21"/>
      <c r="D360" s="21"/>
      <c r="E360" s="21"/>
      <c r="F360" s="469"/>
      <c r="G360" s="27"/>
      <c r="H360" s="9"/>
      <c r="I360" s="126"/>
      <c r="J360" s="9"/>
      <c r="K360" s="9"/>
      <c r="L360" s="9"/>
      <c r="M360" s="9"/>
      <c r="N360" s="9"/>
      <c r="O360" s="9"/>
      <c r="P360" s="9"/>
      <c r="Q360" s="9"/>
      <c r="R360" s="9"/>
      <c r="S360" s="47"/>
    </row>
    <row r="361" spans="1:19" x14ac:dyDescent="0.2">
      <c r="A361" s="52">
        <f>SUM(A340:A360)</f>
        <v>187900</v>
      </c>
      <c r="B361" s="16">
        <f>SUM(B340:B360)</f>
        <v>184800</v>
      </c>
      <c r="C361" s="16">
        <f>SUM(C340:C360)</f>
        <v>238100</v>
      </c>
      <c r="D361" s="16">
        <f>SUM(D340:D360)</f>
        <v>262400</v>
      </c>
      <c r="E361" s="16">
        <f>SUM(E340:E360)</f>
        <v>272700</v>
      </c>
      <c r="F361" s="469"/>
      <c r="G361" s="59" t="s">
        <v>2561</v>
      </c>
      <c r="H361" s="16">
        <f t="shared" ref="H361:R361" si="473">SUM(H340:H360)</f>
        <v>393500</v>
      </c>
      <c r="I361" s="127">
        <f>IF(E361=H361,0,IF(E361=0,100,(H361-E361)/E361*100))</f>
        <v>44.297763109644301</v>
      </c>
      <c r="J361" s="16">
        <f t="shared" si="473"/>
        <v>299800</v>
      </c>
      <c r="K361" s="16">
        <f t="shared" si="473"/>
        <v>307900</v>
      </c>
      <c r="L361" s="16">
        <f t="shared" si="473"/>
        <v>316300</v>
      </c>
      <c r="M361" s="16">
        <f t="shared" si="473"/>
        <v>324900</v>
      </c>
      <c r="N361" s="16">
        <f t="shared" si="473"/>
        <v>333800</v>
      </c>
      <c r="O361" s="16">
        <f t="shared" si="473"/>
        <v>342800</v>
      </c>
      <c r="P361" s="16">
        <f t="shared" si="473"/>
        <v>352000</v>
      </c>
      <c r="Q361" s="16">
        <f t="shared" si="473"/>
        <v>361400</v>
      </c>
      <c r="R361" s="16">
        <f t="shared" si="473"/>
        <v>371000</v>
      </c>
      <c r="S361" s="2342">
        <f t="shared" ref="S361" si="474">SUM(S340:S360)</f>
        <v>380800</v>
      </c>
    </row>
    <row r="362" spans="1:19" x14ac:dyDescent="0.2">
      <c r="A362" s="54"/>
      <c r="B362" s="9"/>
      <c r="C362" s="9"/>
      <c r="D362" s="9"/>
      <c r="E362" s="9"/>
      <c r="F362" s="469"/>
      <c r="G362" s="91" t="s">
        <v>2169</v>
      </c>
      <c r="H362" s="9"/>
      <c r="I362" s="85"/>
      <c r="J362" s="9"/>
      <c r="K362" s="9"/>
      <c r="L362" s="9"/>
      <c r="M362" s="9"/>
      <c r="N362" s="9"/>
      <c r="O362" s="9"/>
      <c r="P362" s="9"/>
      <c r="Q362" s="9"/>
      <c r="R362" s="9"/>
      <c r="S362" s="47"/>
    </row>
    <row r="363" spans="1:19" x14ac:dyDescent="0.2">
      <c r="A363" s="54"/>
      <c r="B363" s="9"/>
      <c r="C363" s="9"/>
      <c r="D363" s="9"/>
      <c r="E363" s="9"/>
      <c r="F363" s="469"/>
      <c r="G363" s="27" t="s">
        <v>667</v>
      </c>
      <c r="H363" s="9"/>
      <c r="I363" s="85"/>
      <c r="J363" s="9"/>
      <c r="K363" s="9"/>
      <c r="L363" s="9"/>
      <c r="M363" s="9"/>
      <c r="N363" s="9"/>
      <c r="O363" s="9"/>
      <c r="P363" s="9"/>
      <c r="Q363" s="9"/>
      <c r="R363" s="9"/>
      <c r="S363" s="47"/>
    </row>
    <row r="364" spans="1:19" x14ac:dyDescent="0.2">
      <c r="A364" s="54">
        <v>747500</v>
      </c>
      <c r="B364" s="79">
        <v>745000</v>
      </c>
      <c r="C364" s="9">
        <v>671400</v>
      </c>
      <c r="D364" s="9">
        <v>850200</v>
      </c>
      <c r="E364" s="9">
        <f>727600+250000</f>
        <v>977600</v>
      </c>
      <c r="F364" s="469" t="s">
        <v>443</v>
      </c>
      <c r="G364" s="247" t="s">
        <v>1320</v>
      </c>
      <c r="H364" s="9">
        <f>998000-25000</f>
        <v>973000</v>
      </c>
      <c r="I364" s="85">
        <f>IF(E364=H364,0,IF(E364=0,100,(H364-E364)/E364*100))</f>
        <v>-0.47054009819967263</v>
      </c>
      <c r="J364" s="9">
        <v>1023000</v>
      </c>
      <c r="K364" s="9">
        <f>ROUND(J364*Assumptions!J$13+DEH!J364,-2)</f>
        <v>1046500</v>
      </c>
      <c r="L364" s="9">
        <f>ROUND(K364*Assumptions!K$13+DEH!K364,-2)</f>
        <v>1070600</v>
      </c>
      <c r="M364" s="9">
        <f>ROUND(L364*Assumptions!L$13+DEH!L364,-2)</f>
        <v>1095200</v>
      </c>
      <c r="N364" s="9">
        <f>ROUND(M364*Assumptions!M$13+DEH!M364,-2)</f>
        <v>1120400</v>
      </c>
      <c r="O364" s="9">
        <f>ROUND(N364*Assumptions!N$13+DEH!N364,-2)</f>
        <v>1146200</v>
      </c>
      <c r="P364" s="9">
        <f>ROUND(O364*Assumptions!O$13+DEH!O364,-2)</f>
        <v>1172600</v>
      </c>
      <c r="Q364" s="9">
        <f>ROUND(P364*Assumptions!P$13+DEH!P364,-2)</f>
        <v>1199600</v>
      </c>
      <c r="R364" s="9">
        <f>ROUND(Q364*Assumptions!Q$13+DEH!Q364,-2)</f>
        <v>1227200</v>
      </c>
      <c r="S364" s="47">
        <f>ROUND(R364*Assumptions!R$13+DEH!R364,-2)</f>
        <v>1255400</v>
      </c>
    </row>
    <row r="365" spans="1:19" x14ac:dyDescent="0.2">
      <c r="A365" s="54">
        <v>905</v>
      </c>
      <c r="B365" s="79">
        <v>2100</v>
      </c>
      <c r="C365" s="9">
        <v>3100</v>
      </c>
      <c r="D365" s="9">
        <v>2900</v>
      </c>
      <c r="E365" s="9">
        <v>4400</v>
      </c>
      <c r="F365" s="469" t="s">
        <v>2508</v>
      </c>
      <c r="G365" s="247" t="s">
        <v>1889</v>
      </c>
      <c r="H365" s="9">
        <f>3500+500</f>
        <v>4000</v>
      </c>
      <c r="I365" s="85">
        <f>IF(E365=H365,0,IF(E365=0,100,(H365-E365)/E365*100))</f>
        <v>-9.0909090909090917</v>
      </c>
      <c r="J365" s="9">
        <v>3600</v>
      </c>
      <c r="K365" s="9">
        <f>ROUNDUP(J365+(J365*Assumptions!J$5),-2)</f>
        <v>3700</v>
      </c>
      <c r="L365" s="9">
        <f>ROUNDUP(K365+(K365*Assumptions!K$5),-2)</f>
        <v>3800</v>
      </c>
      <c r="M365" s="9">
        <f>ROUNDUP(L365+(L365*Assumptions!L$5),-2)</f>
        <v>3900</v>
      </c>
      <c r="N365" s="9">
        <f>ROUNDUP(M365+(M365*Assumptions!M$5),-2)</f>
        <v>4000</v>
      </c>
      <c r="O365" s="9">
        <f>ROUNDUP(N365+(N365*Assumptions!N$5),-2)</f>
        <v>4100</v>
      </c>
      <c r="P365" s="9">
        <f>ROUNDUP(O365+(O365*Assumptions!O$5),-2)</f>
        <v>4300</v>
      </c>
      <c r="Q365" s="9">
        <f>ROUNDUP(P365+(P365*Assumptions!P$5),-2)</f>
        <v>4500</v>
      </c>
      <c r="R365" s="9">
        <f>ROUNDUP(Q365+(Q365*Assumptions!Q$5),-2)</f>
        <v>4700</v>
      </c>
      <c r="S365" s="47">
        <f>ROUNDUP(R365+(R365*Assumptions!R$5),-2)</f>
        <v>4900</v>
      </c>
    </row>
    <row r="366" spans="1:19" x14ac:dyDescent="0.2">
      <c r="A366" s="54">
        <v>38196</v>
      </c>
      <c r="B366" s="79">
        <v>33500</v>
      </c>
      <c r="C366" s="9">
        <v>34600</v>
      </c>
      <c r="D366" s="9">
        <v>34600</v>
      </c>
      <c r="E366" s="9">
        <v>37000</v>
      </c>
      <c r="F366" s="469" t="s">
        <v>1934</v>
      </c>
      <c r="G366" s="247" t="s">
        <v>525</v>
      </c>
      <c r="H366" s="9">
        <v>32000</v>
      </c>
      <c r="I366" s="85">
        <f>IF(E366=H366,0,IF(E366=0,100,(H366-E366)/E366*100))</f>
        <v>-13.513513513513514</v>
      </c>
      <c r="J366" s="9">
        <v>32800</v>
      </c>
      <c r="K366" s="9">
        <f>ROUNDUP(J366+(J366*Assumptions!J$5),-2)</f>
        <v>33700</v>
      </c>
      <c r="L366" s="9">
        <f>ROUNDUP(K366+(K366*Assumptions!K$5),-2)</f>
        <v>34600</v>
      </c>
      <c r="M366" s="9">
        <f>ROUNDUP(L366+(L366*Assumptions!L$5),-2)</f>
        <v>35500</v>
      </c>
      <c r="N366" s="9">
        <f>ROUNDUP(M366+(M366*Assumptions!M$5),-2)</f>
        <v>36400</v>
      </c>
      <c r="O366" s="9">
        <f>ROUNDUP(N366+(N366*Assumptions!N$5),-2)</f>
        <v>37400</v>
      </c>
      <c r="P366" s="9">
        <f>ROUNDUP(O366+(O366*Assumptions!O$5),-2)</f>
        <v>38400</v>
      </c>
      <c r="Q366" s="9">
        <f>ROUNDUP(P366+(P366*Assumptions!P$5),-2)</f>
        <v>39400</v>
      </c>
      <c r="R366" s="9">
        <f>ROUNDUP(Q366+(Q366*Assumptions!Q$5),-2)</f>
        <v>40400</v>
      </c>
      <c r="S366" s="47">
        <f>ROUNDUP(R366+(R366*Assumptions!R$5),-2)</f>
        <v>41500</v>
      </c>
    </row>
    <row r="367" spans="1:19" x14ac:dyDescent="0.2">
      <c r="A367" s="54"/>
      <c r="B367" s="79"/>
      <c r="C367" s="9"/>
      <c r="D367" s="9"/>
      <c r="E367" s="9"/>
      <c r="F367" s="469"/>
      <c r="G367" s="319" t="s">
        <v>2514</v>
      </c>
      <c r="H367" s="9"/>
      <c r="I367" s="85"/>
      <c r="J367" s="9"/>
      <c r="K367" s="9"/>
      <c r="L367" s="9"/>
      <c r="M367" s="9"/>
      <c r="N367" s="9"/>
      <c r="O367" s="9"/>
      <c r="P367" s="9"/>
      <c r="Q367" s="9"/>
      <c r="R367" s="9"/>
      <c r="S367" s="47"/>
    </row>
    <row r="368" spans="1:19" x14ac:dyDescent="0.2">
      <c r="A368" s="54">
        <v>6528</v>
      </c>
      <c r="B368" s="79">
        <v>8200</v>
      </c>
      <c r="C368" s="9">
        <v>10700</v>
      </c>
      <c r="D368" s="9">
        <v>9800</v>
      </c>
      <c r="E368" s="9">
        <v>10000</v>
      </c>
      <c r="F368" s="469" t="s">
        <v>444</v>
      </c>
      <c r="G368" s="247" t="s">
        <v>2514</v>
      </c>
      <c r="H368" s="9">
        <v>8000</v>
      </c>
      <c r="I368" s="85">
        <f>IF(E368=H368,0,IF(E368=0,100,(H368-E368)/E368*100))</f>
        <v>-20</v>
      </c>
      <c r="J368" s="9">
        <v>10000</v>
      </c>
      <c r="K368" s="9">
        <f>ROUNDUP(J368+(J368*Assumptions!J$5),-2)</f>
        <v>10300</v>
      </c>
      <c r="L368" s="9">
        <f>ROUNDUP(K368+(K368*Assumptions!K$5),-2)</f>
        <v>10600</v>
      </c>
      <c r="M368" s="9">
        <f>ROUNDUP(L368+(L368*Assumptions!L$5),-2)</f>
        <v>10900</v>
      </c>
      <c r="N368" s="9">
        <f>ROUNDUP(M368+(M368*Assumptions!M$5),-2)</f>
        <v>11200</v>
      </c>
      <c r="O368" s="9">
        <f>ROUNDUP(N368+(N368*Assumptions!N$5),-2)</f>
        <v>11500</v>
      </c>
      <c r="P368" s="9">
        <f>ROUNDUP(O368+(O368*Assumptions!O$5),-2)</f>
        <v>11800</v>
      </c>
      <c r="Q368" s="9">
        <f>ROUNDUP(P368+(P368*Assumptions!P$5),-2)</f>
        <v>12100</v>
      </c>
      <c r="R368" s="9">
        <f>ROUNDUP(Q368+(Q368*Assumptions!Q$5),-2)</f>
        <v>12500</v>
      </c>
      <c r="S368" s="47">
        <f>ROUNDUP(R368+(R368*Assumptions!R$5),-2)</f>
        <v>12900</v>
      </c>
    </row>
    <row r="369" spans="1:19" x14ac:dyDescent="0.2">
      <c r="A369" s="54">
        <v>3008</v>
      </c>
      <c r="B369" s="79">
        <v>5500</v>
      </c>
      <c r="C369" s="9">
        <v>8200</v>
      </c>
      <c r="D369" s="9">
        <v>25500</v>
      </c>
      <c r="E369" s="9">
        <v>15100</v>
      </c>
      <c r="F369" s="469" t="s">
        <v>1267</v>
      </c>
      <c r="G369" s="247" t="s">
        <v>2103</v>
      </c>
      <c r="H369" s="9">
        <f>10000+60000</f>
        <v>70000</v>
      </c>
      <c r="I369" s="85">
        <f>IF(E369=H369,0,IF(E369=0,100,(H369-E369)/E369*100))</f>
        <v>363.57615894039736</v>
      </c>
      <c r="J369" s="9">
        <v>20000</v>
      </c>
      <c r="K369" s="9">
        <f>ROUNDUP(J369+(J369*Assumptions!J$5),-2)</f>
        <v>20500</v>
      </c>
      <c r="L369" s="9">
        <f>ROUNDUP(K369+(K369*Assumptions!K$5),-2)</f>
        <v>21100</v>
      </c>
      <c r="M369" s="9">
        <f>ROUNDUP(L369+(L369*Assumptions!L$5),-2)</f>
        <v>21700</v>
      </c>
      <c r="N369" s="9">
        <f>ROUNDUP(M369+(M369*Assumptions!M$5),-2)</f>
        <v>22300</v>
      </c>
      <c r="O369" s="9">
        <f>ROUNDUP(N369+(N369*Assumptions!N$5),-2)</f>
        <v>22900</v>
      </c>
      <c r="P369" s="9">
        <f>ROUNDUP(O369+(O369*Assumptions!O$5),-2)</f>
        <v>23500</v>
      </c>
      <c r="Q369" s="9">
        <f>ROUNDUP(P369+(P369*Assumptions!P$5),-2)</f>
        <v>24100</v>
      </c>
      <c r="R369" s="9">
        <f>ROUNDUP(Q369+(Q369*Assumptions!Q$5),-2)</f>
        <v>24800</v>
      </c>
      <c r="S369" s="47">
        <f>ROUNDUP(R369+(R369*Assumptions!R$5),-2)</f>
        <v>25500</v>
      </c>
    </row>
    <row r="370" spans="1:19" x14ac:dyDescent="0.2">
      <c r="A370" s="54">
        <v>362</v>
      </c>
      <c r="B370" s="79">
        <v>500</v>
      </c>
      <c r="C370" s="9">
        <v>900</v>
      </c>
      <c r="D370" s="9">
        <v>0</v>
      </c>
      <c r="E370" s="9">
        <v>0</v>
      </c>
      <c r="F370" s="469" t="s">
        <v>2478</v>
      </c>
      <c r="G370" s="247" t="s">
        <v>526</v>
      </c>
      <c r="H370" s="9">
        <v>1000</v>
      </c>
      <c r="I370" s="85">
        <f>IF(E370=H370,0,IF(E370=0,100,(H370-E370)/E370*100))</f>
        <v>100</v>
      </c>
      <c r="J370" s="9">
        <v>1000</v>
      </c>
      <c r="K370" s="9">
        <f>ROUNDUP(J370+(J370*Assumptions!J$5),-2)</f>
        <v>1100</v>
      </c>
      <c r="L370" s="9">
        <f>ROUNDUP(K370+(K370*Assumptions!K$5),-2)</f>
        <v>1200</v>
      </c>
      <c r="M370" s="9">
        <f>ROUNDUP(L370+(L370*Assumptions!L$5),-2)</f>
        <v>1300</v>
      </c>
      <c r="N370" s="9">
        <f>ROUNDUP(M370+(M370*Assumptions!M$5),-2)</f>
        <v>1400</v>
      </c>
      <c r="O370" s="9">
        <f>ROUNDUP(N370+(N370*Assumptions!N$5),-2)</f>
        <v>1500</v>
      </c>
      <c r="P370" s="9">
        <f>ROUNDUP(O370+(O370*Assumptions!O$5),-2)</f>
        <v>1600</v>
      </c>
      <c r="Q370" s="9">
        <f>ROUNDUP(P370+(P370*Assumptions!P$5),-2)</f>
        <v>1700</v>
      </c>
      <c r="R370" s="9">
        <f>ROUNDUP(Q370+(Q370*Assumptions!Q$5),-2)</f>
        <v>1800</v>
      </c>
      <c r="S370" s="47">
        <f>ROUNDUP(R370+(R370*Assumptions!R$5),-2)</f>
        <v>1900</v>
      </c>
    </row>
    <row r="371" spans="1:19" x14ac:dyDescent="0.2">
      <c r="A371" s="54"/>
      <c r="B371" s="79"/>
      <c r="C371" s="9"/>
      <c r="D371" s="9"/>
      <c r="E371" s="9"/>
      <c r="F371" s="469"/>
      <c r="G371" s="319" t="s">
        <v>408</v>
      </c>
      <c r="H371" s="9"/>
      <c r="I371" s="85"/>
      <c r="J371" s="9"/>
      <c r="K371" s="9"/>
      <c r="L371" s="9"/>
      <c r="M371" s="9"/>
      <c r="N371" s="9"/>
      <c r="O371" s="9"/>
      <c r="P371" s="9"/>
      <c r="Q371" s="9"/>
      <c r="R371" s="9"/>
      <c r="S371" s="47"/>
    </row>
    <row r="372" spans="1:19" x14ac:dyDescent="0.2">
      <c r="A372" s="54">
        <v>5180</v>
      </c>
      <c r="B372" s="79">
        <v>500</v>
      </c>
      <c r="C372" s="9">
        <v>6800</v>
      </c>
      <c r="D372" s="9">
        <v>2900</v>
      </c>
      <c r="E372" s="9">
        <v>6200</v>
      </c>
      <c r="F372" s="469" t="s">
        <v>326</v>
      </c>
      <c r="G372" s="772" t="s">
        <v>6961</v>
      </c>
      <c r="H372" s="9">
        <v>10000</v>
      </c>
      <c r="I372" s="85">
        <f>IF(E372=H372,0,IF(E372=0,100,(H372-E372)/E372*100))</f>
        <v>61.29032258064516</v>
      </c>
      <c r="J372" s="9">
        <v>5000</v>
      </c>
      <c r="K372" s="9">
        <f>ROUNDUP(J372+(J372*Assumptions!J$5),-2)</f>
        <v>5200</v>
      </c>
      <c r="L372" s="9">
        <f>ROUNDUP(K372+(K372*Assumptions!K$5),-2)</f>
        <v>5400</v>
      </c>
      <c r="M372" s="9">
        <f>ROUNDUP(L372+(L372*Assumptions!L$5),-2)</f>
        <v>5600</v>
      </c>
      <c r="N372" s="9">
        <f>ROUNDUP(M372+(M372*Assumptions!M$5),-2)</f>
        <v>5800</v>
      </c>
      <c r="O372" s="9">
        <f>ROUNDUP(N372+(N372*Assumptions!N$5),-2)</f>
        <v>6000</v>
      </c>
      <c r="P372" s="9">
        <f>ROUNDUP(O372+(O372*Assumptions!O$5),-2)</f>
        <v>6200</v>
      </c>
      <c r="Q372" s="9">
        <f>ROUNDUP(P372+(P372*Assumptions!P$5),-2)</f>
        <v>6400</v>
      </c>
      <c r="R372" s="9">
        <f>ROUNDUP(Q372+(Q372*Assumptions!Q$5),-2)</f>
        <v>6600</v>
      </c>
      <c r="S372" s="47">
        <f>ROUNDUP(R372+(R372*Assumptions!R$5),-2)</f>
        <v>6800</v>
      </c>
    </row>
    <row r="373" spans="1:19" x14ac:dyDescent="0.2">
      <c r="A373" s="54">
        <v>0</v>
      </c>
      <c r="B373" s="79">
        <v>0</v>
      </c>
      <c r="C373" s="9">
        <v>0</v>
      </c>
      <c r="D373" s="9">
        <v>2200</v>
      </c>
      <c r="E373" s="9">
        <v>3700</v>
      </c>
      <c r="F373" s="769" t="s">
        <v>5986</v>
      </c>
      <c r="G373" s="772" t="s">
        <v>5987</v>
      </c>
      <c r="H373" s="9">
        <v>4000</v>
      </c>
      <c r="I373" s="85">
        <f>IF(E373=H373,0,IF(E373=0,100,(H373-E373)/E373*100))</f>
        <v>8.1081081081081088</v>
      </c>
      <c r="J373" s="9">
        <v>4000</v>
      </c>
      <c r="K373" s="9">
        <f>ROUNDUP(J373+(J373*Assumptions!J$5),-2)</f>
        <v>4100</v>
      </c>
      <c r="L373" s="9">
        <f>ROUNDUP(K373+(K373*Assumptions!K$5),-2)</f>
        <v>4300</v>
      </c>
      <c r="M373" s="9">
        <f>ROUNDUP(L373+(L373*Assumptions!L$5),-2)</f>
        <v>4500</v>
      </c>
      <c r="N373" s="9">
        <f>ROUNDUP(M373+(M373*Assumptions!M$5),-2)</f>
        <v>4700</v>
      </c>
      <c r="O373" s="9">
        <f>ROUNDUP(N373+(N373*Assumptions!N$5),-2)</f>
        <v>4900</v>
      </c>
      <c r="P373" s="9">
        <f>ROUNDUP(O373+(O373*Assumptions!O$5),-2)</f>
        <v>5100</v>
      </c>
      <c r="Q373" s="9">
        <f>ROUNDUP(P373+(P373*Assumptions!P$5),-2)</f>
        <v>5300</v>
      </c>
      <c r="R373" s="9">
        <f>ROUNDUP(Q373+(Q373*Assumptions!Q$5),-2)</f>
        <v>5500</v>
      </c>
      <c r="S373" s="47">
        <f>ROUNDUP(R373+(R373*Assumptions!R$5),-2)</f>
        <v>5700</v>
      </c>
    </row>
    <row r="374" spans="1:19" x14ac:dyDescent="0.2">
      <c r="A374" s="54">
        <v>1730</v>
      </c>
      <c r="B374" s="79">
        <v>2400</v>
      </c>
      <c r="C374" s="9">
        <v>600</v>
      </c>
      <c r="D374" s="9">
        <v>1800</v>
      </c>
      <c r="E374" s="9">
        <v>1400</v>
      </c>
      <c r="F374" s="469" t="s">
        <v>1175</v>
      </c>
      <c r="G374" s="772" t="s">
        <v>2965</v>
      </c>
      <c r="H374" s="9">
        <f>2000+2000</f>
        <v>4000</v>
      </c>
      <c r="I374" s="85">
        <f>IF(E374=H374,0,IF(E374=0,100,(H374-E374)/E374*100))</f>
        <v>185.71428571428572</v>
      </c>
      <c r="J374" s="9">
        <v>2000</v>
      </c>
      <c r="K374" s="9">
        <f>ROUNDUP(J374+(J374*Assumptions!J$5),-2)</f>
        <v>2100</v>
      </c>
      <c r="L374" s="9">
        <f>ROUNDUP(K374+(K374*Assumptions!K$5),-2)</f>
        <v>2200</v>
      </c>
      <c r="M374" s="9">
        <f>ROUNDUP(L374+(L374*Assumptions!L$5),-2)</f>
        <v>2300</v>
      </c>
      <c r="N374" s="9">
        <f>ROUNDUP(M374+(M374*Assumptions!M$5),-2)</f>
        <v>2400</v>
      </c>
      <c r="O374" s="9">
        <f>ROUNDUP(N374+(N374*Assumptions!N$5),-2)</f>
        <v>2500</v>
      </c>
      <c r="P374" s="9">
        <f>ROUNDUP(O374+(O374*Assumptions!O$5),-2)</f>
        <v>2600</v>
      </c>
      <c r="Q374" s="9">
        <f>ROUNDUP(P374+(P374*Assumptions!P$5),-2)</f>
        <v>2700</v>
      </c>
      <c r="R374" s="9">
        <f>ROUNDUP(Q374+(Q374*Assumptions!Q$5),-2)</f>
        <v>2800</v>
      </c>
      <c r="S374" s="47">
        <f>ROUNDUP(R374+(R374*Assumptions!R$5),-2)</f>
        <v>2900</v>
      </c>
    </row>
    <row r="375" spans="1:19" x14ac:dyDescent="0.2">
      <c r="A375" s="54"/>
      <c r="B375" s="79"/>
      <c r="C375" s="89"/>
      <c r="D375" s="9"/>
      <c r="E375" s="9"/>
      <c r="F375" s="469"/>
      <c r="G375" s="319" t="s">
        <v>756</v>
      </c>
      <c r="H375" s="9"/>
      <c r="I375" s="85"/>
      <c r="J375" s="9"/>
      <c r="K375" s="9"/>
      <c r="L375" s="9"/>
      <c r="M375" s="9"/>
      <c r="N375" s="9"/>
      <c r="O375" s="9"/>
      <c r="P375" s="9"/>
      <c r="Q375" s="9"/>
      <c r="R375" s="9"/>
      <c r="S375" s="47"/>
    </row>
    <row r="376" spans="1:19" x14ac:dyDescent="0.2">
      <c r="A376" s="54">
        <v>4379</v>
      </c>
      <c r="B376" s="79">
        <v>4000</v>
      </c>
      <c r="C376" s="9">
        <v>8300</v>
      </c>
      <c r="D376" s="9">
        <v>8300</v>
      </c>
      <c r="E376" s="9">
        <v>10300</v>
      </c>
      <c r="F376" s="469" t="s">
        <v>794</v>
      </c>
      <c r="G376" s="247" t="s">
        <v>1714</v>
      </c>
      <c r="H376" s="9">
        <v>15000</v>
      </c>
      <c r="I376" s="85">
        <f>IF(E376=H376,0,IF(E376=0,100,(H376-E376)/E376*100))</f>
        <v>45.631067961165051</v>
      </c>
      <c r="J376" s="9">
        <v>15500</v>
      </c>
      <c r="K376" s="9">
        <f>ROUNDUP(J376+(J376*Assumptions!J$5),-2)</f>
        <v>15900</v>
      </c>
      <c r="L376" s="9">
        <f>ROUNDUP(K376+(K376*Assumptions!K$5),-2)</f>
        <v>16300</v>
      </c>
      <c r="M376" s="9">
        <f>ROUNDUP(L376+(L376*Assumptions!L$5),-2)</f>
        <v>16800</v>
      </c>
      <c r="N376" s="9">
        <f>ROUNDUP(M376+(M376*Assumptions!M$5),-2)</f>
        <v>17300</v>
      </c>
      <c r="O376" s="9">
        <f>ROUNDUP(N376+(N376*Assumptions!N$5),-2)</f>
        <v>17800</v>
      </c>
      <c r="P376" s="9">
        <f>ROUNDUP(O376+(O376*Assumptions!O$5),-2)</f>
        <v>18300</v>
      </c>
      <c r="Q376" s="9">
        <f>ROUNDUP(P376+(P376*Assumptions!P$5),-2)</f>
        <v>18800</v>
      </c>
      <c r="R376" s="9">
        <f>ROUNDUP(Q376+(Q376*Assumptions!Q$5),-2)</f>
        <v>19300</v>
      </c>
      <c r="S376" s="47">
        <f>ROUNDUP(R376+(R376*Assumptions!R$5),-2)</f>
        <v>19800</v>
      </c>
    </row>
    <row r="377" spans="1:19" x14ac:dyDescent="0.2">
      <c r="A377" s="54">
        <v>5822</v>
      </c>
      <c r="B377" s="79">
        <v>5900</v>
      </c>
      <c r="C377" s="9">
        <v>5000</v>
      </c>
      <c r="D377" s="9">
        <v>5000</v>
      </c>
      <c r="E377" s="9">
        <v>16200</v>
      </c>
      <c r="F377" s="469" t="s">
        <v>795</v>
      </c>
      <c r="G377" s="247" t="s">
        <v>2662</v>
      </c>
      <c r="H377" s="9">
        <v>5000</v>
      </c>
      <c r="I377" s="85">
        <f>IF(E377=H377,0,IF(E377=0,100,(H377-E377)/E377*100))</f>
        <v>-69.135802469135797</v>
      </c>
      <c r="J377" s="9">
        <v>5200</v>
      </c>
      <c r="K377" s="9">
        <f>ROUNDUP(J377+(J377*Assumptions!J$5),-2)</f>
        <v>5400</v>
      </c>
      <c r="L377" s="9">
        <f>ROUNDUP(K377+(K377*Assumptions!K$5),-2)</f>
        <v>5600</v>
      </c>
      <c r="M377" s="9">
        <f>ROUNDUP(L377+(L377*Assumptions!L$5),-2)</f>
        <v>5800</v>
      </c>
      <c r="N377" s="9">
        <f>ROUNDUP(M377+(M377*Assumptions!M$5),-2)</f>
        <v>6000</v>
      </c>
      <c r="O377" s="9">
        <f>ROUNDUP(N377+(N377*Assumptions!N$5),-2)</f>
        <v>6200</v>
      </c>
      <c r="P377" s="9">
        <f>ROUNDUP(O377+(O377*Assumptions!O$5),-2)</f>
        <v>6400</v>
      </c>
      <c r="Q377" s="9">
        <f>ROUNDUP(P377+(P377*Assumptions!P$5),-2)</f>
        <v>6600</v>
      </c>
      <c r="R377" s="9">
        <f>ROUNDUP(Q377+(Q377*Assumptions!Q$5),-2)</f>
        <v>6800</v>
      </c>
      <c r="S377" s="47">
        <f>ROUNDUP(R377+(R377*Assumptions!R$5),-2)</f>
        <v>7000</v>
      </c>
    </row>
    <row r="378" spans="1:19" x14ac:dyDescent="0.2">
      <c r="A378" s="54">
        <v>1051</v>
      </c>
      <c r="B378" s="79">
        <v>4700</v>
      </c>
      <c r="C378" s="9">
        <v>1300</v>
      </c>
      <c r="D378" s="9">
        <v>800</v>
      </c>
      <c r="E378" s="9">
        <v>1200</v>
      </c>
      <c r="F378" s="469" t="s">
        <v>1633</v>
      </c>
      <c r="G378" s="247" t="s">
        <v>2663</v>
      </c>
      <c r="H378" s="9">
        <v>5000</v>
      </c>
      <c r="I378" s="85">
        <f>IF(E378=H378,0,IF(E378=0,100,(H378-E378)/E378*100))</f>
        <v>316.66666666666663</v>
      </c>
      <c r="J378" s="9">
        <v>5200</v>
      </c>
      <c r="K378" s="9">
        <f>ROUNDUP(J378+(J378*Assumptions!J$5),-2)</f>
        <v>5400</v>
      </c>
      <c r="L378" s="9">
        <f>ROUNDUP(K378+(K378*Assumptions!K$5),-2)</f>
        <v>5600</v>
      </c>
      <c r="M378" s="9">
        <f>ROUNDUP(L378+(L378*Assumptions!L$5),-2)</f>
        <v>5800</v>
      </c>
      <c r="N378" s="9">
        <f>ROUNDUP(M378+(M378*Assumptions!M$5),-2)</f>
        <v>6000</v>
      </c>
      <c r="O378" s="9">
        <f>ROUNDUP(N378+(N378*Assumptions!N$5),-2)</f>
        <v>6200</v>
      </c>
      <c r="P378" s="9">
        <f>ROUNDUP(O378+(O378*Assumptions!O$5),-2)</f>
        <v>6400</v>
      </c>
      <c r="Q378" s="9">
        <f>ROUNDUP(P378+(P378*Assumptions!P$5),-2)</f>
        <v>6600</v>
      </c>
      <c r="R378" s="9">
        <f>ROUNDUP(Q378+(Q378*Assumptions!Q$5),-2)</f>
        <v>6800</v>
      </c>
      <c r="S378" s="47">
        <f>ROUNDUP(R378+(R378*Assumptions!R$5),-2)</f>
        <v>7000</v>
      </c>
    </row>
    <row r="379" spans="1:19" x14ac:dyDescent="0.2">
      <c r="A379" s="54"/>
      <c r="B379" s="79"/>
      <c r="C379" s="89"/>
      <c r="D379" s="136"/>
      <c r="E379" s="9"/>
      <c r="F379" s="469"/>
      <c r="G379" s="542" t="s">
        <v>6807</v>
      </c>
      <c r="H379" s="9"/>
      <c r="I379" s="85"/>
      <c r="J379" s="9"/>
      <c r="K379" s="9"/>
      <c r="L379" s="9"/>
      <c r="M379" s="9"/>
      <c r="N379" s="9"/>
      <c r="O379" s="9"/>
      <c r="P379" s="9"/>
      <c r="Q379" s="9"/>
      <c r="R379" s="9"/>
      <c r="S379" s="47"/>
    </row>
    <row r="380" spans="1:19" x14ac:dyDescent="0.2">
      <c r="A380" s="54">
        <v>0</v>
      </c>
      <c r="B380" s="79">
        <v>0</v>
      </c>
      <c r="C380" s="136">
        <v>0</v>
      </c>
      <c r="D380" s="9">
        <v>0</v>
      </c>
      <c r="E380" s="134">
        <v>0</v>
      </c>
      <c r="F380" s="769" t="s">
        <v>11843</v>
      </c>
      <c r="G380" s="2355" t="s">
        <v>11913</v>
      </c>
      <c r="H380" s="9">
        <v>98500</v>
      </c>
      <c r="I380" s="85">
        <f>IF(E380=H380,0,IF(E380=0,100,(H380-E380)/E380*100))</f>
        <v>100</v>
      </c>
      <c r="J380" s="9">
        <v>0</v>
      </c>
      <c r="K380" s="9">
        <f>ROUNDUP(J380+(J380*Assumptions!J$5),-2)</f>
        <v>0</v>
      </c>
      <c r="L380" s="9">
        <f>ROUNDUP(K380+(K380*Assumptions!K$5),-2)</f>
        <v>0</v>
      </c>
      <c r="M380" s="9">
        <f>ROUNDUP(L380+(L380*Assumptions!L$5),-2)</f>
        <v>0</v>
      </c>
      <c r="N380" s="9">
        <f>ROUNDUP(M380+(M380*Assumptions!M$5),-2)</f>
        <v>0</v>
      </c>
      <c r="O380" s="9">
        <f>ROUNDUP(N380+(N380*Assumptions!N$5),-2)</f>
        <v>0</v>
      </c>
      <c r="P380" s="9">
        <f>ROUNDUP(O380+(O380*Assumptions!O$5),-2)</f>
        <v>0</v>
      </c>
      <c r="Q380" s="9">
        <f>ROUNDUP(P380+(P380*Assumptions!P$5),-2)</f>
        <v>0</v>
      </c>
      <c r="R380" s="9">
        <f>ROUNDUP(Q380+(Q380*Assumptions!Q$5),-2)</f>
        <v>0</v>
      </c>
      <c r="S380" s="47">
        <f>ROUNDUP(R380+(R380*Assumptions!R$5),-2)</f>
        <v>0</v>
      </c>
    </row>
    <row r="381" spans="1:19" x14ac:dyDescent="0.2">
      <c r="A381" s="54">
        <v>0</v>
      </c>
      <c r="B381" s="79">
        <v>10600</v>
      </c>
      <c r="C381" s="136">
        <v>0</v>
      </c>
      <c r="D381" s="9">
        <f>20000+15000-35000</f>
        <v>0</v>
      </c>
      <c r="E381" s="134">
        <v>5400</v>
      </c>
      <c r="F381" s="469" t="s">
        <v>284</v>
      </c>
      <c r="G381" s="772" t="s">
        <v>4655</v>
      </c>
      <c r="H381" s="9">
        <f>30000+14600</f>
        <v>44600</v>
      </c>
      <c r="I381" s="85">
        <f>IF(E381=H381,0,IF(E381=0,100,(H381-E381)/E381*100))</f>
        <v>725.92592592592598</v>
      </c>
      <c r="J381" s="9">
        <v>30800</v>
      </c>
      <c r="K381" s="9">
        <f>ROUNDUP(J381+(J381*Assumptions!J$5),-2)</f>
        <v>31600</v>
      </c>
      <c r="L381" s="9">
        <f>ROUNDUP(K381+(K381*Assumptions!K$5),-2)</f>
        <v>32400</v>
      </c>
      <c r="M381" s="9">
        <f>ROUNDUP(L381+(L381*Assumptions!L$5),-2)</f>
        <v>33300</v>
      </c>
      <c r="N381" s="9">
        <f>ROUNDUP(M381+(M381*Assumptions!M$5),-2)</f>
        <v>34200</v>
      </c>
      <c r="O381" s="9">
        <f>ROUNDUP(N381+(N381*Assumptions!N$5),-2)</f>
        <v>35100</v>
      </c>
      <c r="P381" s="9">
        <f>ROUNDUP(O381+(O381*Assumptions!O$5),-2)</f>
        <v>36000</v>
      </c>
      <c r="Q381" s="9">
        <f>ROUNDUP(P381+(P381*Assumptions!P$5),-2)</f>
        <v>36900</v>
      </c>
      <c r="R381" s="9">
        <f>ROUNDUP(Q381+(Q381*Assumptions!Q$5),-2)</f>
        <v>37900</v>
      </c>
      <c r="S381" s="47">
        <f>ROUNDUP(R381+(R381*Assumptions!R$5),-2)</f>
        <v>38900</v>
      </c>
    </row>
    <row r="382" spans="1:19" x14ac:dyDescent="0.2">
      <c r="A382" s="54">
        <v>0</v>
      </c>
      <c r="B382" s="79">
        <v>31100</v>
      </c>
      <c r="C382" s="136">
        <v>12000</v>
      </c>
      <c r="D382" s="9">
        <v>12100</v>
      </c>
      <c r="E382" s="134">
        <v>21300</v>
      </c>
      <c r="F382" s="469" t="s">
        <v>285</v>
      </c>
      <c r="G382" s="772" t="s">
        <v>5969</v>
      </c>
      <c r="H382" s="9">
        <v>106000</v>
      </c>
      <c r="I382" s="85">
        <f>IF(E382=H382,0,IF(E382=0,100,(H382-E382)/E382*100))</f>
        <v>397.65258215962439</v>
      </c>
      <c r="J382" s="9">
        <v>30800</v>
      </c>
      <c r="K382" s="9">
        <f>ROUNDUP(J382+(J382*Assumptions!J$5),-2)</f>
        <v>31600</v>
      </c>
      <c r="L382" s="9">
        <f>ROUNDUP(K382+(K382*Assumptions!K$5),-2)</f>
        <v>32400</v>
      </c>
      <c r="M382" s="9">
        <f>ROUNDUP(L382+(L382*Assumptions!L$5),-2)</f>
        <v>33300</v>
      </c>
      <c r="N382" s="9">
        <f>ROUNDUP(M382+(M382*Assumptions!M$5),-2)</f>
        <v>34200</v>
      </c>
      <c r="O382" s="9">
        <f>ROUNDUP(N382+(N382*Assumptions!N$5),-2)</f>
        <v>35100</v>
      </c>
      <c r="P382" s="9">
        <f>ROUNDUP(O382+(O382*Assumptions!O$5),-2)</f>
        <v>36000</v>
      </c>
      <c r="Q382" s="9">
        <f>ROUNDUP(P382+(P382*Assumptions!P$5),-2)</f>
        <v>36900</v>
      </c>
      <c r="R382" s="9">
        <f>ROUNDUP(Q382+(Q382*Assumptions!Q$5),-2)</f>
        <v>37900</v>
      </c>
      <c r="S382" s="47">
        <f>ROUNDUP(R382+(R382*Assumptions!R$5),-2)</f>
        <v>38900</v>
      </c>
    </row>
    <row r="383" spans="1:19" x14ac:dyDescent="0.2">
      <c r="A383" s="54">
        <v>0</v>
      </c>
      <c r="B383" s="79">
        <v>0</v>
      </c>
      <c r="C383" s="136">
        <v>0</v>
      </c>
      <c r="D383" s="9">
        <v>0</v>
      </c>
      <c r="E383" s="134"/>
      <c r="F383" s="769" t="s">
        <v>7227</v>
      </c>
      <c r="G383" s="2555" t="s">
        <v>6808</v>
      </c>
      <c r="H383" s="79">
        <v>307600</v>
      </c>
      <c r="I383" s="85">
        <f>IF(E383=H383,0,IF(E383=0,100,(H383-E383)/E383*100))</f>
        <v>100</v>
      </c>
      <c r="J383" s="79">
        <v>0</v>
      </c>
      <c r="K383" s="79">
        <v>0</v>
      </c>
      <c r="L383" s="9">
        <v>0</v>
      </c>
      <c r="M383" s="9">
        <v>0</v>
      </c>
      <c r="N383" s="9">
        <v>0</v>
      </c>
      <c r="O383" s="9">
        <v>0</v>
      </c>
      <c r="P383" s="9">
        <v>0</v>
      </c>
      <c r="Q383" s="9">
        <v>0</v>
      </c>
      <c r="R383" s="9">
        <v>0</v>
      </c>
      <c r="S383" s="47">
        <v>0</v>
      </c>
    </row>
    <row r="384" spans="1:19" x14ac:dyDescent="0.2">
      <c r="A384" s="54"/>
      <c r="B384" s="79"/>
      <c r="C384" s="9"/>
      <c r="D384" s="9"/>
      <c r="E384" s="9"/>
      <c r="F384" s="469"/>
      <c r="G384" s="319" t="s">
        <v>553</v>
      </c>
      <c r="H384" s="9"/>
      <c r="I384" s="85"/>
      <c r="J384" s="9"/>
      <c r="K384" s="9"/>
      <c r="L384" s="9"/>
      <c r="M384" s="9"/>
      <c r="N384" s="9"/>
      <c r="O384" s="9"/>
      <c r="P384" s="9"/>
      <c r="Q384" s="9"/>
      <c r="R384" s="9"/>
      <c r="S384" s="47"/>
    </row>
    <row r="385" spans="1:20" ht="13.5" thickBot="1" x14ac:dyDescent="0.25">
      <c r="A385" s="54">
        <v>255</v>
      </c>
      <c r="B385" s="79">
        <v>400</v>
      </c>
      <c r="C385" s="9">
        <v>500</v>
      </c>
      <c r="D385" s="9">
        <v>600</v>
      </c>
      <c r="E385" s="9">
        <v>500</v>
      </c>
      <c r="F385" s="469" t="s">
        <v>1634</v>
      </c>
      <c r="G385" s="772" t="s">
        <v>553</v>
      </c>
      <c r="H385" s="9">
        <v>700</v>
      </c>
      <c r="I385" s="85">
        <f>IF(E385=H385,0,IF(E385=0,100,(H385-E385)/E385*100))</f>
        <v>40</v>
      </c>
      <c r="J385" s="9">
        <f>ROUNDUP(H385+(H385*Assumptions!I$5),-2)</f>
        <v>800</v>
      </c>
      <c r="K385" s="9">
        <f>ROUNDUP(J385+(J385*Assumptions!J$5),-2)</f>
        <v>900</v>
      </c>
      <c r="L385" s="9">
        <f>ROUNDUP(K385+(K385*Assumptions!K$5),-2)</f>
        <v>1000</v>
      </c>
      <c r="M385" s="9">
        <f>ROUNDUP(L385+(L385*Assumptions!L$5),-2)</f>
        <v>1100</v>
      </c>
      <c r="N385" s="9">
        <f>ROUNDUP(M385+(M385*Assumptions!M$5),-2)</f>
        <v>1200</v>
      </c>
      <c r="O385" s="9">
        <f>ROUNDUP(N385+(N385*Assumptions!N$5),-2)</f>
        <v>1300</v>
      </c>
      <c r="P385" s="9">
        <f>ROUNDUP(O385+(O385*Assumptions!O$5),-2)</f>
        <v>1400</v>
      </c>
      <c r="Q385" s="9">
        <f>ROUNDUP(P385+(P385*Assumptions!P$5),-2)</f>
        <v>1500</v>
      </c>
      <c r="R385" s="9">
        <f>ROUNDUP(Q385+(Q385*Assumptions!Q$5),-2)</f>
        <v>1600</v>
      </c>
      <c r="S385" s="47">
        <f>ROUNDUP(R385+(R385*Assumptions!R$5),-2)</f>
        <v>1700</v>
      </c>
    </row>
    <row r="386" spans="1:20" s="39" customFormat="1" x14ac:dyDescent="0.2">
      <c r="A386" s="52">
        <f>SUM(A363:A385)</f>
        <v>814916</v>
      </c>
      <c r="B386" s="16">
        <f>SUM(B363:B385)</f>
        <v>854400</v>
      </c>
      <c r="C386" s="16">
        <f>SUM(C363:C385)</f>
        <v>763400</v>
      </c>
      <c r="D386" s="16">
        <f>SUM(D363:D385)</f>
        <v>956700</v>
      </c>
      <c r="E386" s="16">
        <f>SUM(E363:E385)</f>
        <v>1110300</v>
      </c>
      <c r="F386" s="484"/>
      <c r="G386" s="59" t="s">
        <v>556</v>
      </c>
      <c r="H386" s="16">
        <f>SUM(H363:H385)</f>
        <v>1688400</v>
      </c>
      <c r="I386" s="127">
        <f>IF(E386=H386,0,IF(E386=0,100,(H386-E386)/E386*100))</f>
        <v>52.067008916509053</v>
      </c>
      <c r="J386" s="16">
        <f t="shared" ref="J386:R386" si="475">SUM(J363:J385)</f>
        <v>1189700</v>
      </c>
      <c r="K386" s="16">
        <f t="shared" si="475"/>
        <v>1218000</v>
      </c>
      <c r="L386" s="16">
        <f t="shared" si="475"/>
        <v>1247100</v>
      </c>
      <c r="M386" s="16">
        <f t="shared" si="475"/>
        <v>1277000</v>
      </c>
      <c r="N386" s="16">
        <f t="shared" si="475"/>
        <v>1307500</v>
      </c>
      <c r="O386" s="16">
        <f t="shared" si="475"/>
        <v>1338700</v>
      </c>
      <c r="P386" s="16">
        <f t="shared" si="475"/>
        <v>1370600</v>
      </c>
      <c r="Q386" s="16">
        <f t="shared" si="475"/>
        <v>1403100</v>
      </c>
      <c r="R386" s="16">
        <f t="shared" si="475"/>
        <v>1436600</v>
      </c>
      <c r="S386" s="2342">
        <f t="shared" ref="S386" si="476">SUM(S363:S385)</f>
        <v>1470800</v>
      </c>
    </row>
    <row r="387" spans="1:20" x14ac:dyDescent="0.2">
      <c r="A387" s="54"/>
      <c r="B387" s="9"/>
      <c r="C387" s="9"/>
      <c r="D387" s="9"/>
      <c r="E387" s="9"/>
      <c r="F387" s="483"/>
      <c r="G387" s="55"/>
      <c r="H387" s="9"/>
      <c r="I387" s="85"/>
      <c r="J387" s="9"/>
      <c r="K387" s="9"/>
      <c r="L387" s="9"/>
      <c r="M387" s="9"/>
      <c r="N387" s="9"/>
      <c r="O387" s="9"/>
      <c r="P387" s="9"/>
      <c r="Q387" s="9"/>
      <c r="R387" s="9"/>
      <c r="S387" s="47"/>
    </row>
    <row r="388" spans="1:20" s="39" customFormat="1" x14ac:dyDescent="0.2">
      <c r="A388" s="24">
        <f>A361-A386</f>
        <v>-627016</v>
      </c>
      <c r="B388" s="21">
        <f>B361-B386</f>
        <v>-669600</v>
      </c>
      <c r="C388" s="21">
        <f>C361-C386</f>
        <v>-525300</v>
      </c>
      <c r="D388" s="21">
        <f>D361-D386</f>
        <v>-694300</v>
      </c>
      <c r="E388" s="21">
        <f>E361-E386</f>
        <v>-837600</v>
      </c>
      <c r="F388" s="484"/>
      <c r="G388" s="366" t="s">
        <v>1002</v>
      </c>
      <c r="H388" s="21">
        <f>H361-H386</f>
        <v>-1294900</v>
      </c>
      <c r="I388" s="126">
        <f>IF(E388=H388,0,IF(E388=0,100,(H388-E388)/E388*100))</f>
        <v>54.59646609360076</v>
      </c>
      <c r="J388" s="21">
        <f t="shared" ref="J388:R388" si="477">J361-J386</f>
        <v>-889900</v>
      </c>
      <c r="K388" s="21">
        <f t="shared" si="477"/>
        <v>-910100</v>
      </c>
      <c r="L388" s="21">
        <f t="shared" si="477"/>
        <v>-930800</v>
      </c>
      <c r="M388" s="21">
        <f t="shared" si="477"/>
        <v>-952100</v>
      </c>
      <c r="N388" s="21">
        <f t="shared" si="477"/>
        <v>-973700</v>
      </c>
      <c r="O388" s="21">
        <f t="shared" si="477"/>
        <v>-995900</v>
      </c>
      <c r="P388" s="21">
        <f t="shared" si="477"/>
        <v>-1018600</v>
      </c>
      <c r="Q388" s="21">
        <f t="shared" si="477"/>
        <v>-1041700</v>
      </c>
      <c r="R388" s="21">
        <f t="shared" si="477"/>
        <v>-1065600</v>
      </c>
      <c r="S388" s="86">
        <f t="shared" ref="S388" si="478">S361-S386</f>
        <v>-1090000</v>
      </c>
    </row>
    <row r="389" spans="1:20" x14ac:dyDescent="0.2">
      <c r="A389" s="54"/>
      <c r="B389" s="9"/>
      <c r="C389" s="9"/>
      <c r="D389" s="9"/>
      <c r="E389" s="9"/>
      <c r="F389" s="483"/>
      <c r="G389" s="217"/>
      <c r="H389" s="9"/>
      <c r="I389" s="85"/>
      <c r="J389" s="9"/>
      <c r="K389" s="9"/>
      <c r="L389" s="9"/>
      <c r="M389" s="9"/>
      <c r="N389" s="9"/>
      <c r="O389" s="9"/>
      <c r="P389" s="9"/>
      <c r="Q389" s="9"/>
      <c r="R389" s="9"/>
      <c r="S389" s="47"/>
    </row>
    <row r="390" spans="1:20" s="39" customFormat="1" x14ac:dyDescent="0.2">
      <c r="A390" s="128">
        <f>A389+A388</f>
        <v>-627016</v>
      </c>
      <c r="B390" s="280">
        <f>B389+B388</f>
        <v>-669600</v>
      </c>
      <c r="C390" s="280">
        <f>C389+C388</f>
        <v>-525300</v>
      </c>
      <c r="D390" s="280">
        <f>D389+D388</f>
        <v>-694300</v>
      </c>
      <c r="E390" s="280">
        <f t="shared" ref="E390" si="479">E389+E388</f>
        <v>-837600</v>
      </c>
      <c r="F390" s="485"/>
      <c r="G390" s="360" t="s">
        <v>1659</v>
      </c>
      <c r="H390" s="280">
        <f t="shared" ref="H390:O390" si="480">H389+H388</f>
        <v>-1294900</v>
      </c>
      <c r="I390" s="278">
        <f>IF(E390=H390,0,IF(E390=0,100,(H390-E390)/E390*100))</f>
        <v>54.59646609360076</v>
      </c>
      <c r="J390" s="280">
        <f t="shared" si="480"/>
        <v>-889900</v>
      </c>
      <c r="K390" s="280">
        <f t="shared" si="480"/>
        <v>-910100</v>
      </c>
      <c r="L390" s="280">
        <f t="shared" si="480"/>
        <v>-930800</v>
      </c>
      <c r="M390" s="280">
        <f t="shared" si="480"/>
        <v>-952100</v>
      </c>
      <c r="N390" s="280">
        <f t="shared" si="480"/>
        <v>-973700</v>
      </c>
      <c r="O390" s="280">
        <f t="shared" si="480"/>
        <v>-995900</v>
      </c>
      <c r="P390" s="280">
        <f t="shared" ref="P390:Q390" si="481">P389+P388</f>
        <v>-1018600</v>
      </c>
      <c r="Q390" s="280">
        <f t="shared" si="481"/>
        <v>-1041700</v>
      </c>
      <c r="R390" s="280">
        <f t="shared" ref="R390" si="482">R389+R388</f>
        <v>-1065600</v>
      </c>
      <c r="S390" s="2343">
        <f t="shared" ref="S390" si="483">S389+S388</f>
        <v>-1090000</v>
      </c>
    </row>
    <row r="391" spans="1:20" ht="13.5" thickBot="1" x14ac:dyDescent="0.25">
      <c r="A391" s="24"/>
      <c r="B391" s="21"/>
      <c r="C391" s="21"/>
      <c r="D391" s="21"/>
      <c r="E391" s="21"/>
      <c r="F391" s="469"/>
      <c r="G391" s="84"/>
      <c r="H391" s="68"/>
      <c r="I391" s="126"/>
      <c r="J391" s="68"/>
      <c r="K391" s="68"/>
      <c r="L391" s="68"/>
      <c r="M391" s="68"/>
      <c r="N391" s="68"/>
      <c r="O391" s="68"/>
      <c r="P391" s="68"/>
      <c r="Q391" s="68"/>
      <c r="R391" s="68"/>
      <c r="S391" s="108"/>
    </row>
    <row r="392" spans="1:20" ht="13.5" thickTop="1" x14ac:dyDescent="0.2">
      <c r="A392" s="270"/>
      <c r="B392" s="109"/>
      <c r="C392" s="109"/>
      <c r="D392" s="109"/>
      <c r="E392" s="109"/>
      <c r="F392" s="487"/>
      <c r="G392" s="455"/>
      <c r="H392" s="74"/>
      <c r="I392" s="352"/>
      <c r="J392" s="74"/>
      <c r="K392" s="74"/>
      <c r="L392" s="74"/>
      <c r="M392" s="74"/>
      <c r="N392" s="74"/>
      <c r="O392" s="74"/>
      <c r="P392" s="74"/>
      <c r="Q392" s="74"/>
      <c r="R392" s="74"/>
      <c r="S392" s="110"/>
    </row>
    <row r="393" spans="1:20" ht="13.5" customHeight="1" x14ac:dyDescent="0.2">
      <c r="A393" s="24"/>
      <c r="B393" s="21"/>
      <c r="C393" s="21"/>
      <c r="D393" s="21"/>
      <c r="E393" s="21"/>
      <c r="F393" s="468"/>
      <c r="G393" s="1160" t="s">
        <v>192</v>
      </c>
      <c r="H393" s="9"/>
      <c r="I393" s="126"/>
      <c r="J393" s="9"/>
      <c r="K393" s="9"/>
      <c r="L393" s="9"/>
      <c r="M393" s="9"/>
      <c r="N393" s="9"/>
      <c r="O393" s="9"/>
      <c r="P393" s="9"/>
      <c r="Q393" s="9"/>
      <c r="R393" s="9"/>
      <c r="S393" s="61"/>
    </row>
    <row r="394" spans="1:20" x14ac:dyDescent="0.2">
      <c r="A394" s="54">
        <v>0</v>
      </c>
      <c r="B394" s="9">
        <v>0</v>
      </c>
      <c r="C394" s="9">
        <v>0</v>
      </c>
      <c r="D394" s="9">
        <v>0</v>
      </c>
      <c r="E394" s="9">
        <v>0</v>
      </c>
      <c r="F394" s="468"/>
      <c r="G394" s="1173" t="s">
        <v>1759</v>
      </c>
      <c r="H394" s="9">
        <v>0</v>
      </c>
      <c r="I394" s="85">
        <f t="shared" ref="I394:I399" si="484">IF(E394=H394,0,IF(E394=0,100,(H394-E394)/E394*100))</f>
        <v>0</v>
      </c>
      <c r="J394" s="9">
        <v>0</v>
      </c>
      <c r="K394" s="9">
        <v>0</v>
      </c>
      <c r="L394" s="9">
        <v>0</v>
      </c>
      <c r="M394" s="9">
        <v>0</v>
      </c>
      <c r="N394" s="9">
        <v>0</v>
      </c>
      <c r="O394" s="9">
        <v>0</v>
      </c>
      <c r="P394" s="9">
        <v>0</v>
      </c>
      <c r="Q394" s="9">
        <v>0</v>
      </c>
      <c r="R394" s="9">
        <v>0</v>
      </c>
      <c r="S394" s="61">
        <v>0</v>
      </c>
    </row>
    <row r="395" spans="1:20" x14ac:dyDescent="0.2">
      <c r="A395" s="54">
        <v>20300</v>
      </c>
      <c r="B395" s="9">
        <v>27000</v>
      </c>
      <c r="C395" s="9">
        <v>44000</v>
      </c>
      <c r="D395" s="9">
        <f>'Res-Gen'!B144</f>
        <v>28000</v>
      </c>
      <c r="E395" s="9">
        <v>303000</v>
      </c>
      <c r="F395" s="468"/>
      <c r="G395" s="1173" t="s">
        <v>1909</v>
      </c>
      <c r="H395" s="9">
        <v>0</v>
      </c>
      <c r="I395" s="85">
        <f t="shared" si="484"/>
        <v>-100</v>
      </c>
      <c r="J395" s="9">
        <v>0</v>
      </c>
      <c r="K395" s="9">
        <v>0</v>
      </c>
      <c r="L395" s="9">
        <v>0</v>
      </c>
      <c r="M395" s="9">
        <v>0</v>
      </c>
      <c r="N395" s="9">
        <v>0</v>
      </c>
      <c r="O395" s="9">
        <v>0</v>
      </c>
      <c r="P395" s="9">
        <v>0</v>
      </c>
      <c r="Q395" s="9">
        <v>0</v>
      </c>
      <c r="R395" s="9">
        <v>0</v>
      </c>
      <c r="S395" s="61">
        <v>0</v>
      </c>
    </row>
    <row r="396" spans="1:20" x14ac:dyDescent="0.2">
      <c r="A396" s="54">
        <v>5300</v>
      </c>
      <c r="B396" s="9">
        <v>20300</v>
      </c>
      <c r="C396" s="9">
        <v>14000</v>
      </c>
      <c r="D396" s="9">
        <f>SUM('Res-Gen'!C143:C145)+12000</f>
        <v>54000</v>
      </c>
      <c r="E396" s="9">
        <f>SUM('Res-Gen'!F143:F144)+'Sec 94'!F40+'Res-Gen'!F247+'Res-Gen'!F80</f>
        <v>184700</v>
      </c>
      <c r="F396" s="468"/>
      <c r="G396" s="1173" t="s">
        <v>2309</v>
      </c>
      <c r="H396" s="9">
        <f>SUM('Res-Gen'!I143:I144)+'Sec 94'!G40+'Res-Gen'!I247+'Res-Gen'!I80+'Res-Gen'!I179</f>
        <v>724700</v>
      </c>
      <c r="I396" s="85">
        <f t="shared" si="484"/>
        <v>292.36599891716298</v>
      </c>
      <c r="J396" s="9">
        <f>SUM('Res-Gen'!L143:L144)+'Sec 94'!H40</f>
        <v>0</v>
      </c>
      <c r="K396" s="9">
        <f>SUM('Res-Gen'!O143:O144)+'Sec 94'!I40</f>
        <v>0</v>
      </c>
      <c r="L396" s="9">
        <f>SUM('Res-Gen'!R143:R144)</f>
        <v>0</v>
      </c>
      <c r="M396" s="9">
        <f>SUM('Res-Gen'!U143:U144)</f>
        <v>0</v>
      </c>
      <c r="N396" s="9">
        <f>SUM('Res-Gen'!X143:X144)</f>
        <v>0</v>
      </c>
      <c r="O396" s="9">
        <f>SUM('Res-Gen'!AA143:AA144)</f>
        <v>0</v>
      </c>
      <c r="P396" s="9">
        <f>SUM('Res-Gen'!AD143:AD144)</f>
        <v>0</v>
      </c>
      <c r="Q396" s="9">
        <f>SUM('Res-Gen'!AG143:AG144)</f>
        <v>0</v>
      </c>
      <c r="R396" s="9">
        <f>SUM('Res-Gen'!AJ143:AJ144)</f>
        <v>0</v>
      </c>
      <c r="S396" s="47">
        <f>SUM('Res-Gen'!AM143:AM144)</f>
        <v>0</v>
      </c>
      <c r="T396" s="1102"/>
    </row>
    <row r="397" spans="1:20" x14ac:dyDescent="0.2">
      <c r="A397" s="54">
        <v>0</v>
      </c>
      <c r="B397" s="9">
        <v>0</v>
      </c>
      <c r="C397" s="9">
        <f>'Sec 94'!C40</f>
        <v>0</v>
      </c>
      <c r="D397" s="9">
        <f>SUM('Cap-Gen'!R70)</f>
        <v>0</v>
      </c>
      <c r="E397" s="9">
        <v>95000</v>
      </c>
      <c r="F397" s="468"/>
      <c r="G397" s="1173" t="s">
        <v>5847</v>
      </c>
      <c r="H397" s="9">
        <f>SUM('Cap-Gen'!AB70)</f>
        <v>181900</v>
      </c>
      <c r="I397" s="85">
        <f t="shared" si="484"/>
        <v>91.473684210526315</v>
      </c>
      <c r="J397" s="9">
        <f>SUM('Cap-Gen'!AG70)</f>
        <v>0</v>
      </c>
      <c r="K397" s="9">
        <f>SUM('Cap-Gen'!AL70)</f>
        <v>0</v>
      </c>
      <c r="L397" s="9">
        <f>SUM('Cap-Gen'!AQ70)</f>
        <v>0</v>
      </c>
      <c r="M397" s="9">
        <v>0</v>
      </c>
      <c r="N397" s="9">
        <v>0</v>
      </c>
      <c r="O397" s="9">
        <v>0</v>
      </c>
      <c r="P397" s="9">
        <v>0</v>
      </c>
      <c r="Q397" s="9">
        <v>0</v>
      </c>
      <c r="R397" s="9">
        <v>0</v>
      </c>
      <c r="S397" s="61">
        <v>0</v>
      </c>
    </row>
    <row r="398" spans="1:20" x14ac:dyDescent="0.2">
      <c r="A398" s="54">
        <v>0</v>
      </c>
      <c r="B398" s="9">
        <v>0</v>
      </c>
      <c r="C398" s="9">
        <v>0</v>
      </c>
      <c r="D398" s="9">
        <f>'Cap-Gen'!E70</f>
        <v>0</v>
      </c>
      <c r="E398" s="9">
        <f>'Cap-Gen'!F70</f>
        <v>0</v>
      </c>
      <c r="F398" s="468"/>
      <c r="G398" s="1173" t="s">
        <v>958</v>
      </c>
      <c r="H398" s="9">
        <f>'Cap-Gen'!G70</f>
        <v>816000</v>
      </c>
      <c r="I398" s="85">
        <f t="shared" si="484"/>
        <v>100</v>
      </c>
      <c r="J398" s="9">
        <f>'Cap-Gen'!H70</f>
        <v>0</v>
      </c>
      <c r="K398" s="9">
        <f>'Cap-Gen'!I70</f>
        <v>0</v>
      </c>
      <c r="L398" s="9">
        <f>'Cap-Gen'!J70</f>
        <v>0</v>
      </c>
      <c r="M398" s="9">
        <f>'Cap-Gen'!K70</f>
        <v>0</v>
      </c>
      <c r="N398" s="9">
        <f>'Cap-Gen'!L70</f>
        <v>0</v>
      </c>
      <c r="O398" s="9">
        <f>'Cap-Gen'!M70</f>
        <v>0</v>
      </c>
      <c r="P398" s="9">
        <f>'Cap-Gen'!N70</f>
        <v>0</v>
      </c>
      <c r="Q398" s="9">
        <f>'Cap-Gen'!O70</f>
        <v>0</v>
      </c>
      <c r="R398" s="9">
        <f>'Cap-Gen'!P70</f>
        <v>0</v>
      </c>
      <c r="S398" s="61">
        <f>'Cap-Gen'!R70</f>
        <v>0</v>
      </c>
    </row>
    <row r="399" spans="1:20" s="39" customFormat="1" x14ac:dyDescent="0.2">
      <c r="A399" s="128">
        <f>A390-A394-A395+A396+A397-A398</f>
        <v>-642016</v>
      </c>
      <c r="B399" s="280">
        <f>B390-B394-B395+B396+B397-B398</f>
        <v>-676300</v>
      </c>
      <c r="C399" s="280">
        <f>C390-C394-C395+C396++C397-C398</f>
        <v>-555300</v>
      </c>
      <c r="D399" s="280">
        <f>D390-D394-D395+D396++D397-D398</f>
        <v>-668300</v>
      </c>
      <c r="E399" s="280">
        <f t="shared" ref="E399" si="485">E390-E394-E395+E396++E397-E398</f>
        <v>-860900</v>
      </c>
      <c r="F399" s="488"/>
      <c r="G399" s="1166" t="s">
        <v>2447</v>
      </c>
      <c r="H399" s="280">
        <f t="shared" ref="H399:O399" si="486">H390-H394-H395+H396++H397-H398</f>
        <v>-1204300</v>
      </c>
      <c r="I399" s="278">
        <f t="shared" si="484"/>
        <v>39.888488790800324</v>
      </c>
      <c r="J399" s="280">
        <f t="shared" si="486"/>
        <v>-889900</v>
      </c>
      <c r="K399" s="280">
        <f t="shared" si="486"/>
        <v>-910100</v>
      </c>
      <c r="L399" s="280">
        <f t="shared" si="486"/>
        <v>-930800</v>
      </c>
      <c r="M399" s="280">
        <f t="shared" si="486"/>
        <v>-952100</v>
      </c>
      <c r="N399" s="280">
        <f t="shared" si="486"/>
        <v>-973700</v>
      </c>
      <c r="O399" s="280">
        <f t="shared" si="486"/>
        <v>-995900</v>
      </c>
      <c r="P399" s="280">
        <f t="shared" ref="P399:Q399" si="487">P390-P394-P395+P396++P397-P398</f>
        <v>-1018600</v>
      </c>
      <c r="Q399" s="280">
        <f t="shared" si="487"/>
        <v>-1041700</v>
      </c>
      <c r="R399" s="280">
        <f t="shared" ref="R399:S399" si="488">R390-R394-R395+R396++R397-R398</f>
        <v>-1065600</v>
      </c>
      <c r="S399" s="282">
        <f t="shared" si="488"/>
        <v>-1090000</v>
      </c>
    </row>
    <row r="400" spans="1:20" ht="13.5" thickBot="1" x14ac:dyDescent="0.25">
      <c r="A400" s="26"/>
      <c r="B400" s="37"/>
      <c r="C400" s="37"/>
      <c r="D400" s="37"/>
      <c r="E400" s="37"/>
      <c r="F400" s="489"/>
      <c r="G400" s="66"/>
      <c r="H400" s="23"/>
      <c r="I400" s="275"/>
      <c r="J400" s="23"/>
      <c r="K400" s="23"/>
      <c r="L400" s="23"/>
      <c r="M400" s="23"/>
      <c r="N400" s="23"/>
      <c r="O400" s="23"/>
      <c r="P400" s="23"/>
      <c r="Q400" s="23"/>
      <c r="R400" s="23"/>
      <c r="S400" s="112"/>
    </row>
    <row r="401" spans="1:19" ht="14.25" thickTop="1" thickBot="1" x14ac:dyDescent="0.25">
      <c r="A401" s="27"/>
      <c r="B401" s="27"/>
      <c r="C401" s="27"/>
      <c r="D401" s="27"/>
      <c r="E401" s="27"/>
      <c r="F401" s="493"/>
      <c r="G401" s="27"/>
      <c r="H401" s="27"/>
      <c r="I401" s="2234"/>
    </row>
    <row r="402" spans="1:19" s="38" customFormat="1" ht="18.75" customHeight="1" thickTop="1" thickBot="1" x14ac:dyDescent="0.3">
      <c r="A402" s="2601" t="str">
        <f>A168</f>
        <v>PUBLIC ORDER</v>
      </c>
      <c r="B402" s="2602"/>
      <c r="C402" s="2602"/>
      <c r="D402" s="2602"/>
      <c r="E402" s="2602"/>
      <c r="F402" s="2602"/>
      <c r="G402" s="2602"/>
      <c r="H402" s="2602"/>
      <c r="I402" s="2602"/>
      <c r="J402" s="2602"/>
      <c r="K402" s="2602"/>
      <c r="L402" s="2602"/>
      <c r="M402" s="2602"/>
      <c r="N402" s="2602"/>
      <c r="O402" s="2602"/>
      <c r="P402" s="2602"/>
      <c r="Q402" s="2602"/>
      <c r="R402" s="2602"/>
      <c r="S402" s="2603"/>
    </row>
    <row r="403" spans="1:19" s="39" customFormat="1" x14ac:dyDescent="0.2">
      <c r="A403" s="2598" t="s">
        <v>1824</v>
      </c>
      <c r="B403" s="2599"/>
      <c r="C403" s="2599"/>
      <c r="D403" s="2599"/>
      <c r="E403" s="2600"/>
      <c r="F403" s="1163" t="s">
        <v>2616</v>
      </c>
      <c r="G403" s="2231" t="s">
        <v>2213</v>
      </c>
      <c r="H403" s="2576" t="s">
        <v>2215</v>
      </c>
      <c r="I403" s="2577"/>
      <c r="J403" s="2577"/>
      <c r="K403" s="2577"/>
      <c r="L403" s="2577"/>
      <c r="M403" s="2577"/>
      <c r="N403" s="2577"/>
      <c r="O403" s="2577"/>
      <c r="P403" s="2577"/>
      <c r="Q403" s="2577"/>
      <c r="R403" s="2577"/>
      <c r="S403" s="2578"/>
    </row>
    <row r="404" spans="1:19" ht="13.5" thickBot="1" x14ac:dyDescent="0.25">
      <c r="A404" s="1647" t="str">
        <f>A3</f>
        <v>2012/13</v>
      </c>
      <c r="B404" s="40" t="str">
        <f>B3</f>
        <v>2013/14</v>
      </c>
      <c r="C404" s="40" t="str">
        <f>C3</f>
        <v>2014/15</v>
      </c>
      <c r="D404" s="40" t="str">
        <f>D3</f>
        <v>2015/16</v>
      </c>
      <c r="E404" s="40" t="str">
        <f>E3</f>
        <v>2016/17</v>
      </c>
      <c r="F404" s="2071" t="s">
        <v>2617</v>
      </c>
      <c r="G404" s="41"/>
      <c r="H404" s="40" t="str">
        <f t="shared" ref="H404:S404" si="489">H3</f>
        <v>2017/18</v>
      </c>
      <c r="I404" s="40" t="str">
        <f t="shared" si="489"/>
        <v>%</v>
      </c>
      <c r="J404" s="40" t="str">
        <f t="shared" si="489"/>
        <v>2018/19</v>
      </c>
      <c r="K404" s="40" t="str">
        <f t="shared" si="489"/>
        <v>2019/20</v>
      </c>
      <c r="L404" s="40" t="str">
        <f t="shared" si="489"/>
        <v>2020/21</v>
      </c>
      <c r="M404" s="40" t="str">
        <f t="shared" si="489"/>
        <v>2021/22</v>
      </c>
      <c r="N404" s="40" t="str">
        <f t="shared" si="489"/>
        <v>2022/23</v>
      </c>
      <c r="O404" s="40" t="str">
        <f t="shared" si="489"/>
        <v>2023/24</v>
      </c>
      <c r="P404" s="40" t="str">
        <f t="shared" si="489"/>
        <v>2024/25</v>
      </c>
      <c r="Q404" s="40" t="str">
        <f t="shared" si="489"/>
        <v>2025/26</v>
      </c>
      <c r="R404" s="40" t="str">
        <f t="shared" si="489"/>
        <v>2026/27</v>
      </c>
      <c r="S404" s="1620" t="str">
        <f t="shared" si="489"/>
        <v>2027/28</v>
      </c>
    </row>
    <row r="405" spans="1:19" x14ac:dyDescent="0.2">
      <c r="A405" s="54"/>
      <c r="B405" s="9"/>
      <c r="C405" s="9"/>
      <c r="D405" s="9"/>
      <c r="E405" s="9"/>
      <c r="F405" s="483"/>
      <c r="G405" s="91" t="s">
        <v>1056</v>
      </c>
      <c r="H405" s="9"/>
      <c r="I405" s="85"/>
      <c r="J405" s="9"/>
      <c r="K405" s="9"/>
      <c r="L405" s="9"/>
      <c r="M405" s="9"/>
      <c r="N405" s="9"/>
      <c r="O405" s="9"/>
      <c r="P405" s="9"/>
      <c r="Q405" s="9"/>
      <c r="R405" s="9"/>
      <c r="S405" s="61"/>
    </row>
    <row r="406" spans="1:19" x14ac:dyDescent="0.2">
      <c r="A406" s="54"/>
      <c r="B406" s="9"/>
      <c r="C406" s="9"/>
      <c r="D406" s="9"/>
      <c r="E406" s="9"/>
      <c r="F406" s="2077"/>
      <c r="G406" s="780" t="s">
        <v>3181</v>
      </c>
      <c r="H406" s="9"/>
      <c r="I406" s="85"/>
      <c r="J406" s="9"/>
      <c r="K406" s="9"/>
      <c r="L406" s="9"/>
      <c r="M406" s="9"/>
      <c r="N406" s="9"/>
      <c r="O406" s="9"/>
      <c r="P406" s="9"/>
      <c r="Q406" s="9"/>
      <c r="R406" s="9"/>
      <c r="S406" s="61"/>
    </row>
    <row r="407" spans="1:19" x14ac:dyDescent="0.2">
      <c r="A407" s="54">
        <v>22200</v>
      </c>
      <c r="B407" s="79">
        <v>36900</v>
      </c>
      <c r="C407" s="9">
        <v>48300</v>
      </c>
      <c r="D407" s="9">
        <v>36500</v>
      </c>
      <c r="E407" s="9">
        <v>26400</v>
      </c>
      <c r="F407" s="469" t="s">
        <v>1232</v>
      </c>
      <c r="G407" s="371" t="s">
        <v>1655</v>
      </c>
      <c r="H407" s="9">
        <f>18000+10000</f>
        <v>28000</v>
      </c>
      <c r="I407" s="85">
        <f>IF(E407=H407,0,IF(E407=0,100,(H407-E407)/E407*100))</f>
        <v>6.0606060606060606</v>
      </c>
      <c r="J407" s="9">
        <v>28000</v>
      </c>
      <c r="K407" s="9">
        <f>ROUNDUP(J407+(J407*Assumptions!J$5),-2)</f>
        <v>28700</v>
      </c>
      <c r="L407" s="9">
        <f>ROUNDUP(K407+(K407*Assumptions!K$5),-2)</f>
        <v>29500</v>
      </c>
      <c r="M407" s="9">
        <f>ROUNDUP(L407+(L407*Assumptions!L$5),-2)</f>
        <v>30300</v>
      </c>
      <c r="N407" s="9">
        <f>ROUNDUP(M407+(M407*Assumptions!M$5),-2)</f>
        <v>31100</v>
      </c>
      <c r="O407" s="9">
        <f>ROUNDUP(N407+(N407*Assumptions!N$5),-2)</f>
        <v>31900</v>
      </c>
      <c r="P407" s="9">
        <f>ROUNDUP(O407+(O407*Assumptions!O$5),-2)</f>
        <v>32700</v>
      </c>
      <c r="Q407" s="9">
        <f>ROUNDUP(P407+(P407*Assumptions!P$5),-2)</f>
        <v>33600</v>
      </c>
      <c r="R407" s="9">
        <f>ROUNDUP(Q407+(Q407*Assumptions!Q$5),-2)</f>
        <v>34500</v>
      </c>
      <c r="S407" s="47">
        <f>ROUNDUP(R407+(R407*Assumptions!R$5),-2)</f>
        <v>35400</v>
      </c>
    </row>
    <row r="408" spans="1:19" x14ac:dyDescent="0.2">
      <c r="A408" s="54">
        <v>6500</v>
      </c>
      <c r="B408" s="79">
        <v>7600</v>
      </c>
      <c r="C408" s="9">
        <v>4900</v>
      </c>
      <c r="D408" s="9">
        <v>6100</v>
      </c>
      <c r="E408" s="9">
        <v>5600</v>
      </c>
      <c r="F408" s="469" t="s">
        <v>1233</v>
      </c>
      <c r="G408" s="371" t="s">
        <v>2753</v>
      </c>
      <c r="H408" s="9">
        <v>6500</v>
      </c>
      <c r="I408" s="85">
        <f>IF(E408=H408,0,IF(E408=0,100,(H408-E408)/E408*100))</f>
        <v>16.071428571428573</v>
      </c>
      <c r="J408" s="9">
        <v>6500</v>
      </c>
      <c r="K408" s="9">
        <f>ROUNDUP(J408+(J408*Assumptions!J$5),-2)</f>
        <v>6700</v>
      </c>
      <c r="L408" s="9">
        <f>ROUNDUP(K408+(K408*Assumptions!K$5),-2)</f>
        <v>6900</v>
      </c>
      <c r="M408" s="9">
        <f>ROUNDUP(L408+(L408*Assumptions!L$5),-2)</f>
        <v>7100</v>
      </c>
      <c r="N408" s="9">
        <f>ROUNDUP(M408+(M408*Assumptions!M$5),-2)</f>
        <v>7300</v>
      </c>
      <c r="O408" s="9">
        <f>ROUNDUP(N408+(N408*Assumptions!N$5),-2)</f>
        <v>7500</v>
      </c>
      <c r="P408" s="9">
        <f>ROUNDUP(O408+(O408*Assumptions!O$5),-2)</f>
        <v>7700</v>
      </c>
      <c r="Q408" s="9">
        <f>ROUNDUP(P408+(P408*Assumptions!P$5),-2)</f>
        <v>7900</v>
      </c>
      <c r="R408" s="9">
        <f>ROUNDUP(Q408+(Q408*Assumptions!Q$5),-2)</f>
        <v>8100</v>
      </c>
      <c r="S408" s="47">
        <f>ROUNDUP(R408+(R408*Assumptions!R$5),-2)</f>
        <v>8400</v>
      </c>
    </row>
    <row r="409" spans="1:19" x14ac:dyDescent="0.2">
      <c r="A409" s="54">
        <v>1200</v>
      </c>
      <c r="B409" s="79">
        <v>1500</v>
      </c>
      <c r="C409" s="9">
        <v>1200</v>
      </c>
      <c r="D409" s="9">
        <v>1600</v>
      </c>
      <c r="E409" s="9">
        <v>1800</v>
      </c>
      <c r="F409" s="469" t="s">
        <v>1235</v>
      </c>
      <c r="G409" s="371" t="s">
        <v>2292</v>
      </c>
      <c r="H409" s="9">
        <v>1500</v>
      </c>
      <c r="I409" s="85">
        <f>IF(E409=H409,0,IF(E409=0,100,(H409-E409)/E409*100))</f>
        <v>-16.666666666666664</v>
      </c>
      <c r="J409" s="9">
        <v>1600</v>
      </c>
      <c r="K409" s="9">
        <f>ROUNDUP(J409+(J409*Assumptions!J$5),-2)</f>
        <v>1700</v>
      </c>
      <c r="L409" s="9">
        <f>ROUNDUP(K409+(K409*Assumptions!K$5),-2)</f>
        <v>1800</v>
      </c>
      <c r="M409" s="9">
        <f>ROUNDUP(L409+(L409*Assumptions!L$5),-2)</f>
        <v>1900</v>
      </c>
      <c r="N409" s="9">
        <f>ROUNDUP(M409+(M409*Assumptions!M$5),-2)</f>
        <v>2000</v>
      </c>
      <c r="O409" s="9">
        <f>ROUNDUP(N409+(N409*Assumptions!N$5),-2)</f>
        <v>2100</v>
      </c>
      <c r="P409" s="9">
        <f>ROUNDUP(O409+(O409*Assumptions!O$5),-2)</f>
        <v>2200</v>
      </c>
      <c r="Q409" s="9">
        <f>ROUNDUP(P409+(P409*Assumptions!P$5),-2)</f>
        <v>2300</v>
      </c>
      <c r="R409" s="9">
        <f>ROUNDUP(Q409+(Q409*Assumptions!Q$5),-2)</f>
        <v>2400</v>
      </c>
      <c r="S409" s="47">
        <f>ROUNDUP(R409+(R409*Assumptions!R$5),-2)</f>
        <v>2500</v>
      </c>
    </row>
    <row r="410" spans="1:19" x14ac:dyDescent="0.2">
      <c r="A410" s="54">
        <v>1100</v>
      </c>
      <c r="B410" s="79">
        <v>500</v>
      </c>
      <c r="C410" s="9">
        <v>1500</v>
      </c>
      <c r="D410" s="9">
        <v>1900</v>
      </c>
      <c r="E410" s="9">
        <v>1600</v>
      </c>
      <c r="F410" s="469" t="s">
        <v>1236</v>
      </c>
      <c r="G410" s="371" t="s">
        <v>2527</v>
      </c>
      <c r="H410" s="9">
        <v>1500</v>
      </c>
      <c r="I410" s="85">
        <f>IF(E410=H410,0,IF(E410=0,100,(H410-E410)/E410*100))</f>
        <v>-6.25</v>
      </c>
      <c r="J410" s="9">
        <v>1600</v>
      </c>
      <c r="K410" s="9">
        <f>ROUNDUP(J410+(J410*Assumptions!J$5),-2)</f>
        <v>1700</v>
      </c>
      <c r="L410" s="9">
        <f>ROUNDUP(K410+(K410*Assumptions!K$5),-2)</f>
        <v>1800</v>
      </c>
      <c r="M410" s="9">
        <f>ROUNDUP(L410+(L410*Assumptions!L$5),-2)</f>
        <v>1900</v>
      </c>
      <c r="N410" s="9">
        <f>ROUNDUP(M410+(M410*Assumptions!M$5),-2)</f>
        <v>2000</v>
      </c>
      <c r="O410" s="9">
        <f>ROUNDUP(N410+(N410*Assumptions!N$5),-2)</f>
        <v>2100</v>
      </c>
      <c r="P410" s="9">
        <f>ROUNDUP(O410+(O410*Assumptions!O$5),-2)</f>
        <v>2200</v>
      </c>
      <c r="Q410" s="9">
        <f>ROUNDUP(P410+(P410*Assumptions!P$5),-2)</f>
        <v>2300</v>
      </c>
      <c r="R410" s="9">
        <f>ROUNDUP(Q410+(Q410*Assumptions!Q$5),-2)</f>
        <v>2400</v>
      </c>
      <c r="S410" s="47">
        <f>ROUNDUP(R410+(R410*Assumptions!R$5),-2)</f>
        <v>2500</v>
      </c>
    </row>
    <row r="411" spans="1:19" x14ac:dyDescent="0.2">
      <c r="A411" s="54">
        <v>600</v>
      </c>
      <c r="B411" s="79">
        <v>600</v>
      </c>
      <c r="C411" s="9">
        <v>500</v>
      </c>
      <c r="D411" s="9">
        <v>0</v>
      </c>
      <c r="E411" s="9">
        <v>0</v>
      </c>
      <c r="F411" s="469" t="s">
        <v>1237</v>
      </c>
      <c r="G411" s="371" t="s">
        <v>1295</v>
      </c>
      <c r="H411" s="9">
        <v>500</v>
      </c>
      <c r="I411" s="85">
        <f>IF(E411=H411,0,IF(E411=0,100,(H411-E411)/E411*100))</f>
        <v>100</v>
      </c>
      <c r="J411" s="9">
        <v>500</v>
      </c>
      <c r="K411" s="9">
        <f>ROUNDUP(J411+(J411*Assumptions!J$5),-2)</f>
        <v>600</v>
      </c>
      <c r="L411" s="9">
        <f>ROUNDUP(K411+(K411*Assumptions!K$5),-2)</f>
        <v>700</v>
      </c>
      <c r="M411" s="9">
        <f>ROUNDUP(L411+(L411*Assumptions!L$5),-2)</f>
        <v>800</v>
      </c>
      <c r="N411" s="9">
        <f>ROUNDUP(M411+(M411*Assumptions!M$5),-2)</f>
        <v>900</v>
      </c>
      <c r="O411" s="9">
        <f>ROUNDUP(N411+(N411*Assumptions!N$5),-2)</f>
        <v>1000</v>
      </c>
      <c r="P411" s="9">
        <f>ROUNDUP(O411+(O411*Assumptions!O$5),-2)</f>
        <v>1100</v>
      </c>
      <c r="Q411" s="9">
        <f>ROUNDUP(P411+(P411*Assumptions!P$5),-2)</f>
        <v>1200</v>
      </c>
      <c r="R411" s="9">
        <f>ROUNDUP(Q411+(Q411*Assumptions!Q$5),-2)</f>
        <v>1300</v>
      </c>
      <c r="S411" s="47">
        <f>ROUNDUP(R411+(R411*Assumptions!R$5),-2)</f>
        <v>1400</v>
      </c>
    </row>
    <row r="412" spans="1:19" x14ac:dyDescent="0.2">
      <c r="A412" s="54"/>
      <c r="B412" s="79"/>
      <c r="C412" s="9"/>
      <c r="D412" s="9"/>
      <c r="E412" s="9"/>
      <c r="F412" s="469"/>
      <c r="G412" s="912" t="s">
        <v>420</v>
      </c>
      <c r="H412" s="9"/>
      <c r="I412" s="85"/>
      <c r="J412" s="9"/>
      <c r="K412" s="9"/>
      <c r="L412" s="9"/>
      <c r="M412" s="9"/>
      <c r="N412" s="9"/>
      <c r="O412" s="9"/>
      <c r="P412" s="9"/>
      <c r="Q412" s="9"/>
      <c r="R412" s="9"/>
      <c r="S412" s="47"/>
    </row>
    <row r="413" spans="1:19" x14ac:dyDescent="0.2">
      <c r="A413" s="54">
        <v>56600</v>
      </c>
      <c r="B413" s="79">
        <v>77000</v>
      </c>
      <c r="C413" s="9">
        <v>195500</v>
      </c>
      <c r="D413" s="9">
        <v>129800</v>
      </c>
      <c r="E413" s="9">
        <v>101200</v>
      </c>
      <c r="F413" s="469" t="s">
        <v>1231</v>
      </c>
      <c r="G413" s="371" t="s">
        <v>2131</v>
      </c>
      <c r="H413" s="9">
        <v>130000</v>
      </c>
      <c r="I413" s="85">
        <f>IF(E413=H413,0,IF(E413=0,100,(H413-E413)/E413*100))</f>
        <v>28.458498023715418</v>
      </c>
      <c r="J413" s="9">
        <v>133000</v>
      </c>
      <c r="K413" s="9">
        <f>ROUNDUP(J413+(J413*Assumptions!J$5),-2)</f>
        <v>136400</v>
      </c>
      <c r="L413" s="9">
        <f>ROUNDUP(K413+(K413*Assumptions!K$5),-2)</f>
        <v>139900</v>
      </c>
      <c r="M413" s="9">
        <f>ROUNDUP(L413+(L413*Assumptions!L$5),-2)</f>
        <v>143400</v>
      </c>
      <c r="N413" s="9">
        <f>ROUNDUP(M413+(M413*Assumptions!M$5),-2)</f>
        <v>147000</v>
      </c>
      <c r="O413" s="9">
        <f>ROUNDUP(N413+(N413*Assumptions!N$5),-2)</f>
        <v>150700</v>
      </c>
      <c r="P413" s="9">
        <f>ROUNDUP(O413+(O413*Assumptions!O$5),-2)</f>
        <v>154500</v>
      </c>
      <c r="Q413" s="9">
        <f>ROUNDUP(P413+(P413*Assumptions!P$5),-2)</f>
        <v>158400</v>
      </c>
      <c r="R413" s="9">
        <f>ROUNDUP(Q413+(Q413*Assumptions!Q$5),-2)</f>
        <v>162400</v>
      </c>
      <c r="S413" s="47">
        <f>ROUNDUP(R413+(R413*Assumptions!R$5),-2)</f>
        <v>166500</v>
      </c>
    </row>
    <row r="414" spans="1:19" x14ac:dyDescent="0.2">
      <c r="A414" s="54">
        <v>13000</v>
      </c>
      <c r="B414" s="79">
        <v>23100</v>
      </c>
      <c r="C414" s="9">
        <v>51500</v>
      </c>
      <c r="D414" s="9">
        <v>44400</v>
      </c>
      <c r="E414" s="9">
        <v>35000</v>
      </c>
      <c r="F414" s="469" t="s">
        <v>1234</v>
      </c>
      <c r="G414" s="371" t="s">
        <v>2754</v>
      </c>
      <c r="H414" s="9">
        <f>40000+10000</f>
        <v>50000</v>
      </c>
      <c r="I414" s="85">
        <f>IF(E414=H414,0,IF(E414=0,100,(H414-E414)/E414*100))</f>
        <v>42.857142857142854</v>
      </c>
      <c r="J414" s="9">
        <v>50000</v>
      </c>
      <c r="K414" s="9">
        <f>ROUNDUP(J414+(J414*Assumptions!J$5),-2)</f>
        <v>51300</v>
      </c>
      <c r="L414" s="9">
        <f>ROUNDUP(K414+(K414*Assumptions!K$5),-2)</f>
        <v>52600</v>
      </c>
      <c r="M414" s="9">
        <f>ROUNDUP(L414+(L414*Assumptions!L$5),-2)</f>
        <v>54000</v>
      </c>
      <c r="N414" s="9">
        <f>ROUNDUP(M414+(M414*Assumptions!M$5),-2)</f>
        <v>55400</v>
      </c>
      <c r="O414" s="9">
        <f>ROUNDUP(N414+(N414*Assumptions!N$5),-2)</f>
        <v>56800</v>
      </c>
      <c r="P414" s="9">
        <f>ROUNDUP(O414+(O414*Assumptions!O$5),-2)</f>
        <v>58300</v>
      </c>
      <c r="Q414" s="9">
        <f>ROUNDUP(P414+(P414*Assumptions!P$5),-2)</f>
        <v>59800</v>
      </c>
      <c r="R414" s="9">
        <f>ROUNDUP(Q414+(Q414*Assumptions!Q$5),-2)</f>
        <v>61300</v>
      </c>
      <c r="S414" s="47">
        <f>ROUNDUP(R414+(R414*Assumptions!R$5),-2)</f>
        <v>62900</v>
      </c>
    </row>
    <row r="415" spans="1:19" x14ac:dyDescent="0.2">
      <c r="A415" s="54">
        <v>9300</v>
      </c>
      <c r="B415" s="79">
        <f>14400+600</f>
        <v>15000</v>
      </c>
      <c r="C415" s="9">
        <v>8500</v>
      </c>
      <c r="D415" s="9">
        <v>9900</v>
      </c>
      <c r="E415" s="9">
        <v>7900</v>
      </c>
      <c r="F415" s="469" t="s">
        <v>2694</v>
      </c>
      <c r="G415" s="662" t="s">
        <v>4085</v>
      </c>
      <c r="H415" s="9">
        <v>10000</v>
      </c>
      <c r="I415" s="85">
        <f>IF(E415=H415,0,IF(E415=0,100,(H415-E415)/E415*100))</f>
        <v>26.582278481012654</v>
      </c>
      <c r="J415" s="9">
        <v>10000</v>
      </c>
      <c r="K415" s="9">
        <f>ROUNDUP(J415+(J415*Assumptions!J$5),-2)</f>
        <v>10300</v>
      </c>
      <c r="L415" s="9">
        <f>ROUNDUP(K415+(K415*Assumptions!K$5),-2)</f>
        <v>10600</v>
      </c>
      <c r="M415" s="9">
        <f>ROUNDUP(L415+(L415*Assumptions!L$5),-2)</f>
        <v>10900</v>
      </c>
      <c r="N415" s="9">
        <f>ROUNDUP(M415+(M415*Assumptions!M$5),-2)</f>
        <v>11200</v>
      </c>
      <c r="O415" s="9">
        <f>ROUNDUP(N415+(N415*Assumptions!N$5),-2)</f>
        <v>11500</v>
      </c>
      <c r="P415" s="9">
        <f>ROUNDUP(O415+(O415*Assumptions!O$5),-2)</f>
        <v>11800</v>
      </c>
      <c r="Q415" s="9">
        <f>ROUNDUP(P415+(P415*Assumptions!P$5),-2)</f>
        <v>12100</v>
      </c>
      <c r="R415" s="9">
        <f>ROUNDUP(Q415+(Q415*Assumptions!Q$5),-2)</f>
        <v>12500</v>
      </c>
      <c r="S415" s="47">
        <f>ROUNDUP(R415+(R415*Assumptions!R$5),-2)</f>
        <v>12900</v>
      </c>
    </row>
    <row r="416" spans="1:19" x14ac:dyDescent="0.2">
      <c r="A416" s="54">
        <v>100</v>
      </c>
      <c r="B416" s="79">
        <v>200</v>
      </c>
      <c r="C416" s="9">
        <v>0</v>
      </c>
      <c r="D416" s="9">
        <v>2600</v>
      </c>
      <c r="E416" s="9">
        <v>2400</v>
      </c>
      <c r="F416" s="469" t="s">
        <v>1230</v>
      </c>
      <c r="G416" s="371" t="s">
        <v>1884</v>
      </c>
      <c r="H416" s="9">
        <v>1000</v>
      </c>
      <c r="I416" s="85">
        <f>IF(E416=H416,0,IF(E416=0,100,(H416-E416)/E416*100))</f>
        <v>-58.333333333333336</v>
      </c>
      <c r="J416" s="9">
        <v>1000</v>
      </c>
      <c r="K416" s="9">
        <f>ROUNDUP(J416+(J416*Assumptions!J$5),-2)</f>
        <v>1100</v>
      </c>
      <c r="L416" s="9">
        <f>ROUNDUP(K416+(K416*Assumptions!K$5),-2)</f>
        <v>1200</v>
      </c>
      <c r="M416" s="9">
        <f>ROUNDUP(L416+(L416*Assumptions!L$5),-2)</f>
        <v>1300</v>
      </c>
      <c r="N416" s="9">
        <f>ROUNDUP(M416+(M416*Assumptions!M$5),-2)</f>
        <v>1400</v>
      </c>
      <c r="O416" s="9">
        <f>ROUNDUP(N416+(N416*Assumptions!N$5),-2)</f>
        <v>1500</v>
      </c>
      <c r="P416" s="9">
        <f>ROUNDUP(O416+(O416*Assumptions!O$5),-2)</f>
        <v>1600</v>
      </c>
      <c r="Q416" s="9">
        <f>ROUNDUP(P416+(P416*Assumptions!P$5),-2)</f>
        <v>1700</v>
      </c>
      <c r="R416" s="9">
        <f>ROUNDUP(Q416+(Q416*Assumptions!Q$5),-2)</f>
        <v>1800</v>
      </c>
      <c r="S416" s="47">
        <f>ROUNDUP(R416+(R416*Assumptions!R$5),-2)</f>
        <v>1900</v>
      </c>
    </row>
    <row r="417" spans="1:19" x14ac:dyDescent="0.2">
      <c r="A417" s="54">
        <v>0</v>
      </c>
      <c r="B417" s="79">
        <v>1000</v>
      </c>
      <c r="C417" s="9">
        <v>2000</v>
      </c>
      <c r="D417" s="9">
        <v>300</v>
      </c>
      <c r="E417" s="9">
        <v>1400</v>
      </c>
      <c r="F417" s="469" t="s">
        <v>2721</v>
      </c>
      <c r="G417" s="371" t="s">
        <v>1674</v>
      </c>
      <c r="H417" s="9">
        <v>1000</v>
      </c>
      <c r="I417" s="85">
        <f>IF(E417=H417,0,IF(E417=0,100,(H417-E417)/E417*100))</f>
        <v>-28.571428571428569</v>
      </c>
      <c r="J417" s="9">
        <v>1000</v>
      </c>
      <c r="K417" s="9">
        <f>ROUNDUP(J417+(J417*Assumptions!J$5),-2)</f>
        <v>1100</v>
      </c>
      <c r="L417" s="9">
        <f>ROUNDUP(K417+(K417*Assumptions!K$5),-2)</f>
        <v>1200</v>
      </c>
      <c r="M417" s="9">
        <f>ROUNDUP(L417+(L417*Assumptions!L$5),-2)</f>
        <v>1300</v>
      </c>
      <c r="N417" s="9">
        <f>ROUNDUP(M417+(M417*Assumptions!M$5),-2)</f>
        <v>1400</v>
      </c>
      <c r="O417" s="9">
        <f>ROUNDUP(N417+(N417*Assumptions!N$5),-2)</f>
        <v>1500</v>
      </c>
      <c r="P417" s="9">
        <f>ROUNDUP(O417+(O417*Assumptions!O$5),-2)</f>
        <v>1600</v>
      </c>
      <c r="Q417" s="9">
        <f>ROUNDUP(P417+(P417*Assumptions!P$5),-2)</f>
        <v>1700</v>
      </c>
      <c r="R417" s="9">
        <f>ROUNDUP(Q417+(Q417*Assumptions!Q$5),-2)</f>
        <v>1800</v>
      </c>
      <c r="S417" s="47">
        <f>ROUNDUP(R417+(R417*Assumptions!R$5),-2)</f>
        <v>1900</v>
      </c>
    </row>
    <row r="418" spans="1:19" ht="13.5" thickBot="1" x14ac:dyDescent="0.25">
      <c r="A418" s="54"/>
      <c r="B418" s="9"/>
      <c r="C418" s="9"/>
      <c r="D418" s="9"/>
      <c r="E418" s="9"/>
      <c r="F418" s="469"/>
      <c r="G418" s="46"/>
      <c r="H418" s="9"/>
      <c r="I418" s="85"/>
      <c r="J418" s="9"/>
      <c r="K418" s="9"/>
      <c r="L418" s="9"/>
      <c r="M418" s="9"/>
      <c r="N418" s="9"/>
      <c r="O418" s="9"/>
      <c r="P418" s="9"/>
      <c r="Q418" s="9"/>
      <c r="R418" s="9"/>
      <c r="S418" s="47"/>
    </row>
    <row r="419" spans="1:19" s="39" customFormat="1" x14ac:dyDescent="0.2">
      <c r="A419" s="52">
        <f>SUM(A405:A418)</f>
        <v>110600</v>
      </c>
      <c r="B419" s="16">
        <f>SUM(B405:B418)</f>
        <v>163400</v>
      </c>
      <c r="C419" s="16">
        <f>SUM(C405:C418)</f>
        <v>313900</v>
      </c>
      <c r="D419" s="16">
        <f>SUM(D405:D418)</f>
        <v>233100</v>
      </c>
      <c r="E419" s="16">
        <f>SUM(E405:E418)</f>
        <v>183300</v>
      </c>
      <c r="F419" s="469"/>
      <c r="G419" s="59" t="s">
        <v>2561</v>
      </c>
      <c r="H419" s="16">
        <f t="shared" ref="H419:Q419" si="490">SUM(H405:H418)</f>
        <v>230000</v>
      </c>
      <c r="I419" s="127">
        <f>IF(E419=H419,0,IF(E419=0,100,(H419-E419)/E419*100))</f>
        <v>25.477359519912714</v>
      </c>
      <c r="J419" s="16">
        <f t="shared" si="490"/>
        <v>233200</v>
      </c>
      <c r="K419" s="16">
        <f t="shared" si="490"/>
        <v>239600</v>
      </c>
      <c r="L419" s="16">
        <f t="shared" si="490"/>
        <v>246200</v>
      </c>
      <c r="M419" s="16">
        <f t="shared" si="490"/>
        <v>252900</v>
      </c>
      <c r="N419" s="16">
        <f t="shared" si="490"/>
        <v>259700</v>
      </c>
      <c r="O419" s="16">
        <f t="shared" si="490"/>
        <v>266600</v>
      </c>
      <c r="P419" s="16">
        <f t="shared" si="490"/>
        <v>273700</v>
      </c>
      <c r="Q419" s="16">
        <f t="shared" si="490"/>
        <v>281000</v>
      </c>
      <c r="R419" s="16">
        <f t="shared" ref="R419" si="491">SUM(R405:R418)</f>
        <v>288500</v>
      </c>
      <c r="S419" s="2342">
        <f t="shared" ref="S419" si="492">SUM(S405:S418)</f>
        <v>296300</v>
      </c>
    </row>
    <row r="420" spans="1:19" x14ac:dyDescent="0.2">
      <c r="A420" s="54"/>
      <c r="B420" s="9"/>
      <c r="C420" s="9"/>
      <c r="D420" s="9"/>
      <c r="E420" s="9"/>
      <c r="F420" s="469"/>
      <c r="G420" s="46"/>
      <c r="H420" s="9"/>
      <c r="I420" s="85"/>
      <c r="J420" s="9"/>
      <c r="K420" s="9"/>
      <c r="L420" s="9"/>
      <c r="M420" s="9"/>
      <c r="N420" s="9"/>
      <c r="O420" s="9"/>
      <c r="P420" s="9"/>
      <c r="Q420" s="9"/>
      <c r="R420" s="9"/>
      <c r="S420" s="47"/>
    </row>
    <row r="421" spans="1:19" x14ac:dyDescent="0.2">
      <c r="A421" s="54"/>
      <c r="B421" s="9"/>
      <c r="C421" s="9"/>
      <c r="D421" s="9"/>
      <c r="E421" s="9"/>
      <c r="F421" s="469"/>
      <c r="G421" s="91" t="s">
        <v>2169</v>
      </c>
      <c r="H421" s="9"/>
      <c r="I421" s="85"/>
      <c r="J421" s="9"/>
      <c r="K421" s="9"/>
      <c r="L421" s="9"/>
      <c r="M421" s="9"/>
      <c r="N421" s="9"/>
      <c r="O421" s="9"/>
      <c r="P421" s="9"/>
      <c r="Q421" s="9"/>
      <c r="R421" s="9"/>
      <c r="S421" s="47"/>
    </row>
    <row r="422" spans="1:19" x14ac:dyDescent="0.2">
      <c r="A422" s="54"/>
      <c r="B422" s="79"/>
      <c r="C422" s="9"/>
      <c r="D422" s="9"/>
      <c r="E422" s="9"/>
      <c r="F422" s="469"/>
      <c r="G422" s="853" t="s">
        <v>1228</v>
      </c>
      <c r="H422" s="9"/>
      <c r="I422" s="85"/>
      <c r="J422" s="9"/>
      <c r="K422" s="9"/>
      <c r="L422" s="9"/>
      <c r="M422" s="9"/>
      <c r="N422" s="9"/>
      <c r="O422" s="9"/>
      <c r="P422" s="9"/>
      <c r="Q422" s="9"/>
      <c r="R422" s="9"/>
      <c r="S422" s="47"/>
    </row>
    <row r="423" spans="1:19" x14ac:dyDescent="0.2">
      <c r="A423" s="54">
        <v>327500</v>
      </c>
      <c r="B423" s="79">
        <v>390000</v>
      </c>
      <c r="C423" s="9">
        <v>441700</v>
      </c>
      <c r="D423" s="9">
        <v>465000</v>
      </c>
      <c r="E423" s="9">
        <f>481800-E424</f>
        <v>480900</v>
      </c>
      <c r="F423" s="469" t="s">
        <v>719</v>
      </c>
      <c r="G423" s="1151" t="s">
        <v>3248</v>
      </c>
      <c r="H423" s="9">
        <f>471000-15000</f>
        <v>456000</v>
      </c>
      <c r="I423" s="85">
        <f>IF(E423=H423,0,IF(E423=0,100,(H423-E423)/E423*100))</f>
        <v>-5.1777916406737363</v>
      </c>
      <c r="J423" s="9">
        <v>483000</v>
      </c>
      <c r="K423" s="9">
        <f>ROUNDUP(J423+(J423*Assumptions!J$13),-2)</f>
        <v>494200</v>
      </c>
      <c r="L423" s="9">
        <f>ROUNDUP(K423+(K423*Assumptions!K$13),-2)</f>
        <v>505600</v>
      </c>
      <c r="M423" s="9">
        <f>ROUNDUP(L423+(L423*Assumptions!L$13),-2)</f>
        <v>517300</v>
      </c>
      <c r="N423" s="9">
        <f>ROUNDUP(M423+(M423*Assumptions!M$13),-2)</f>
        <v>529200</v>
      </c>
      <c r="O423" s="9">
        <f>ROUNDUP(N423+(N423*Assumptions!N$13),-2)</f>
        <v>541400</v>
      </c>
      <c r="P423" s="9">
        <f>ROUNDUP(O423+(O423*Assumptions!O$13),-2)</f>
        <v>553900</v>
      </c>
      <c r="Q423" s="9">
        <f>ROUNDUP(P423+(P423*Assumptions!P$13),-2)</f>
        <v>566700</v>
      </c>
      <c r="R423" s="9">
        <f>ROUNDUP(Q423+(Q423*Assumptions!Q$13),-2)</f>
        <v>579800</v>
      </c>
      <c r="S423" s="47">
        <f>ROUNDUP(R423+(R423*Assumptions!R$13),-2)</f>
        <v>593200</v>
      </c>
    </row>
    <row r="424" spans="1:19" x14ac:dyDescent="0.2">
      <c r="A424" s="54">
        <v>1200</v>
      </c>
      <c r="B424" s="79">
        <v>3000</v>
      </c>
      <c r="C424" s="9">
        <v>1000</v>
      </c>
      <c r="D424" s="9">
        <v>2000</v>
      </c>
      <c r="E424" s="9">
        <v>900</v>
      </c>
      <c r="F424" s="469" t="s">
        <v>1028</v>
      </c>
      <c r="G424" s="1151" t="s">
        <v>2017</v>
      </c>
      <c r="H424" s="9">
        <v>1000</v>
      </c>
      <c r="I424" s="85">
        <f>IF(E424=H424,0,IF(E424=0,100,(H424-E424)/E424*100))</f>
        <v>11.111111111111111</v>
      </c>
      <c r="J424" s="9">
        <v>1000</v>
      </c>
      <c r="K424" s="9">
        <f>ROUNDUP(J424+(J424*Assumptions!J$5),-2)</f>
        <v>1100</v>
      </c>
      <c r="L424" s="9">
        <f>ROUNDUP(K424+(K424*Assumptions!K$5),-2)</f>
        <v>1200</v>
      </c>
      <c r="M424" s="9">
        <f>ROUNDUP(L424+(L424*Assumptions!L$5),-2)</f>
        <v>1300</v>
      </c>
      <c r="N424" s="9">
        <f>ROUNDUP(M424+(M424*Assumptions!M$5),-2)</f>
        <v>1400</v>
      </c>
      <c r="O424" s="9">
        <f>ROUNDUP(N424+(N424*Assumptions!N$5),-2)</f>
        <v>1500</v>
      </c>
      <c r="P424" s="9">
        <f>ROUNDUP(O424+(O424*Assumptions!O$5),-2)</f>
        <v>1600</v>
      </c>
      <c r="Q424" s="9">
        <f>ROUNDUP(P424+(P424*Assumptions!P$5),-2)</f>
        <v>1700</v>
      </c>
      <c r="R424" s="9">
        <f>ROUNDUP(Q424+(Q424*Assumptions!Q$5),-2)</f>
        <v>1800</v>
      </c>
      <c r="S424" s="47">
        <f>ROUNDUP(R424+(R424*Assumptions!R$5),-2)</f>
        <v>1900</v>
      </c>
    </row>
    <row r="425" spans="1:19" x14ac:dyDescent="0.2">
      <c r="A425" s="54">
        <v>0</v>
      </c>
      <c r="B425" s="79">
        <v>0</v>
      </c>
      <c r="C425" s="9">
        <v>0</v>
      </c>
      <c r="D425" s="9">
        <v>0</v>
      </c>
      <c r="E425" s="9">
        <v>500</v>
      </c>
      <c r="F425" s="769" t="s">
        <v>11658</v>
      </c>
      <c r="G425" s="58" t="s">
        <v>11796</v>
      </c>
      <c r="H425" s="9">
        <v>0</v>
      </c>
      <c r="I425" s="85">
        <f>IF(E425=H425,0,IF(E425=0,100,(H425-E425)/E425*100))</f>
        <v>-100</v>
      </c>
      <c r="J425" s="9">
        <v>0</v>
      </c>
      <c r="K425" s="9">
        <f>ROUNDUP(J425+(J425*Assumptions!J$5),-2)</f>
        <v>0</v>
      </c>
      <c r="L425" s="9">
        <f>ROUNDUP(K425+(K425*Assumptions!K$5),-2)</f>
        <v>0</v>
      </c>
      <c r="M425" s="9">
        <f>ROUNDUP(L425+(L425*Assumptions!L$5),-2)</f>
        <v>0</v>
      </c>
      <c r="N425" s="9">
        <f>ROUNDUP(M425+(M425*Assumptions!M$5),-2)</f>
        <v>0</v>
      </c>
      <c r="O425" s="9">
        <f>ROUNDUP(N425+(N425*Assumptions!N$5),-2)</f>
        <v>0</v>
      </c>
      <c r="P425" s="9">
        <f>ROUNDUP(O425+(O425*Assumptions!O$5),-2)</f>
        <v>0</v>
      </c>
      <c r="Q425" s="9">
        <f>ROUNDUP(P425+(P425*Assumptions!P$5),-2)</f>
        <v>0</v>
      </c>
      <c r="R425" s="9">
        <f>ROUNDUP(Q425+(Q425*Assumptions!Q$5),-2)</f>
        <v>0</v>
      </c>
      <c r="S425" s="47">
        <f>ROUNDUP(R425+(R425*Assumptions!R$5),-2)</f>
        <v>0</v>
      </c>
    </row>
    <row r="426" spans="1:19" x14ac:dyDescent="0.2">
      <c r="A426" s="54">
        <v>2800</v>
      </c>
      <c r="B426" s="79">
        <v>1400</v>
      </c>
      <c r="C426" s="9">
        <v>600</v>
      </c>
      <c r="D426" s="9">
        <v>2800</v>
      </c>
      <c r="E426" s="9">
        <v>2900</v>
      </c>
      <c r="F426" s="469" t="s">
        <v>2507</v>
      </c>
      <c r="G426" s="1173" t="s">
        <v>37</v>
      </c>
      <c r="H426" s="9">
        <f>2500+1500</f>
        <v>4000</v>
      </c>
      <c r="I426" s="85">
        <f>IF(E426=H426,0,IF(E426=0,100,(H426-E426)/E426*100))</f>
        <v>37.931034482758619</v>
      </c>
      <c r="J426" s="9">
        <v>3000</v>
      </c>
      <c r="K426" s="9">
        <f>ROUNDUP(J426+(J426*Assumptions!J$5),-2)</f>
        <v>3100</v>
      </c>
      <c r="L426" s="9">
        <f>ROUNDUP(K426+(K426*Assumptions!K$5),-2)</f>
        <v>3200</v>
      </c>
      <c r="M426" s="9">
        <f>ROUNDUP(L426+(L426*Assumptions!L$5),-2)</f>
        <v>3300</v>
      </c>
      <c r="N426" s="9">
        <f>ROUNDUP(M426+(M426*Assumptions!M$5),-2)</f>
        <v>3400</v>
      </c>
      <c r="O426" s="9">
        <f>ROUNDUP(N426+(N426*Assumptions!N$5),-2)</f>
        <v>3500</v>
      </c>
      <c r="P426" s="9">
        <f>ROUNDUP(O426+(O426*Assumptions!O$5),-2)</f>
        <v>3600</v>
      </c>
      <c r="Q426" s="9">
        <f>ROUNDUP(P426+(P426*Assumptions!P$5),-2)</f>
        <v>3700</v>
      </c>
      <c r="R426" s="9">
        <f>ROUNDUP(Q426+(Q426*Assumptions!Q$5),-2)</f>
        <v>3800</v>
      </c>
      <c r="S426" s="47">
        <f>ROUNDUP(R426+(R426*Assumptions!R$5),-2)</f>
        <v>3900</v>
      </c>
    </row>
    <row r="427" spans="1:19" x14ac:dyDescent="0.2">
      <c r="A427" s="54"/>
      <c r="B427" s="9"/>
      <c r="C427" s="9"/>
      <c r="D427" s="9"/>
      <c r="E427" s="9"/>
      <c r="F427" s="469"/>
      <c r="G427" s="853" t="s">
        <v>3580</v>
      </c>
      <c r="H427" s="9"/>
      <c r="I427" s="85"/>
      <c r="J427" s="9"/>
      <c r="K427" s="9"/>
      <c r="L427" s="9"/>
      <c r="M427" s="9"/>
      <c r="N427" s="9"/>
      <c r="O427" s="9"/>
      <c r="P427" s="9"/>
      <c r="Q427" s="9"/>
      <c r="R427" s="9"/>
      <c r="S427" s="47"/>
    </row>
    <row r="428" spans="1:19" x14ac:dyDescent="0.2">
      <c r="A428" s="54">
        <v>3900</v>
      </c>
      <c r="B428" s="79">
        <v>3600</v>
      </c>
      <c r="C428" s="9">
        <v>2400</v>
      </c>
      <c r="D428" s="9">
        <v>2600</v>
      </c>
      <c r="E428" s="9">
        <v>2700</v>
      </c>
      <c r="F428" s="469" t="s">
        <v>99</v>
      </c>
      <c r="G428" s="1173" t="s">
        <v>1296</v>
      </c>
      <c r="H428" s="9">
        <v>4000</v>
      </c>
      <c r="I428" s="85">
        <f t="shared" ref="I428:I443" si="493">IF(E428=H428,0,IF(E428=0,100,(H428-E428)/E428*100))</f>
        <v>48.148148148148145</v>
      </c>
      <c r="J428" s="9">
        <v>4000</v>
      </c>
      <c r="K428" s="9">
        <f>ROUNDUP(J428+(J428*Assumptions!J$5),-2)</f>
        <v>4100</v>
      </c>
      <c r="L428" s="9">
        <f>ROUNDUP(K428+(K428*Assumptions!K$5),-2)</f>
        <v>4300</v>
      </c>
      <c r="M428" s="9">
        <f>ROUNDUP(L428+(L428*Assumptions!L$5),-2)</f>
        <v>4500</v>
      </c>
      <c r="N428" s="9">
        <f>ROUNDUP(M428+(M428*Assumptions!M$5),-2)</f>
        <v>4700</v>
      </c>
      <c r="O428" s="9">
        <f>ROUNDUP(N428+(N428*Assumptions!N$5),-2)</f>
        <v>4900</v>
      </c>
      <c r="P428" s="9">
        <f>ROUNDUP(O428+(O428*Assumptions!O$5),-2)</f>
        <v>5100</v>
      </c>
      <c r="Q428" s="9">
        <f>ROUNDUP(P428+(P428*Assumptions!P$5),-2)</f>
        <v>5300</v>
      </c>
      <c r="R428" s="9">
        <f>ROUNDUP(Q428+(Q428*Assumptions!Q$5),-2)</f>
        <v>5500</v>
      </c>
      <c r="S428" s="47">
        <f>ROUNDUP(R428+(R428*Assumptions!R$5),-2)</f>
        <v>5700</v>
      </c>
    </row>
    <row r="429" spans="1:19" x14ac:dyDescent="0.2">
      <c r="A429" s="54">
        <v>19500</v>
      </c>
      <c r="B429" s="79">
        <v>26200</v>
      </c>
      <c r="C429" s="9">
        <v>26500</v>
      </c>
      <c r="D429" s="9">
        <v>22500</v>
      </c>
      <c r="E429" s="9">
        <v>22600</v>
      </c>
      <c r="F429" s="469" t="s">
        <v>1562</v>
      </c>
      <c r="G429" s="1173" t="s">
        <v>1216</v>
      </c>
      <c r="H429" s="9">
        <v>25000</v>
      </c>
      <c r="I429" s="85">
        <f t="shared" si="493"/>
        <v>10.619469026548673</v>
      </c>
      <c r="J429" s="9">
        <v>25000</v>
      </c>
      <c r="K429" s="9">
        <f>ROUNDUP(J429+(J429*Assumptions!J$5),-2)</f>
        <v>25700</v>
      </c>
      <c r="L429" s="9">
        <f>ROUNDUP(K429+(K429*Assumptions!K$5),-2)</f>
        <v>26400</v>
      </c>
      <c r="M429" s="9">
        <f>ROUNDUP(L429+(L429*Assumptions!L$5),-2)</f>
        <v>27100</v>
      </c>
      <c r="N429" s="9">
        <f>ROUNDUP(M429+(M429*Assumptions!M$5),-2)</f>
        <v>27800</v>
      </c>
      <c r="O429" s="9">
        <f>ROUNDUP(N429+(N429*Assumptions!N$5),-2)</f>
        <v>28500</v>
      </c>
      <c r="P429" s="9">
        <f>ROUNDUP(O429+(O429*Assumptions!O$5),-2)</f>
        <v>29300</v>
      </c>
      <c r="Q429" s="9">
        <f>ROUNDUP(P429+(P429*Assumptions!P$5),-2)</f>
        <v>30100</v>
      </c>
      <c r="R429" s="9">
        <f>ROUNDUP(Q429+(Q429*Assumptions!Q$5),-2)</f>
        <v>30900</v>
      </c>
      <c r="S429" s="47">
        <f>ROUNDUP(R429+(R429*Assumptions!R$5),-2)</f>
        <v>31700</v>
      </c>
    </row>
    <row r="430" spans="1:19" x14ac:dyDescent="0.2">
      <c r="A430" s="54">
        <v>2100</v>
      </c>
      <c r="B430" s="79">
        <v>3200</v>
      </c>
      <c r="C430" s="9">
        <v>2700</v>
      </c>
      <c r="D430" s="9">
        <v>4500</v>
      </c>
      <c r="E430" s="9">
        <v>7400</v>
      </c>
      <c r="F430" s="469" t="s">
        <v>1564</v>
      </c>
      <c r="G430" s="1173" t="s">
        <v>2842</v>
      </c>
      <c r="H430" s="9">
        <f>3000+3000</f>
        <v>6000</v>
      </c>
      <c r="I430" s="85">
        <f t="shared" si="493"/>
        <v>-18.918918918918919</v>
      </c>
      <c r="J430" s="9">
        <v>7000</v>
      </c>
      <c r="K430" s="9">
        <f>ROUNDUP(J430+(J430*Assumptions!J$5),-2)</f>
        <v>7200</v>
      </c>
      <c r="L430" s="9">
        <f>ROUNDUP(K430+(K430*Assumptions!K$5),-2)</f>
        <v>7400</v>
      </c>
      <c r="M430" s="9">
        <f>ROUNDUP(L430+(L430*Assumptions!L$5),-2)</f>
        <v>7600</v>
      </c>
      <c r="N430" s="9">
        <f>ROUNDUP(M430+(M430*Assumptions!M$5),-2)</f>
        <v>7800</v>
      </c>
      <c r="O430" s="9">
        <f>ROUNDUP(N430+(N430*Assumptions!N$5),-2)</f>
        <v>8000</v>
      </c>
      <c r="P430" s="9">
        <f>ROUNDUP(O430+(O430*Assumptions!O$5),-2)</f>
        <v>8200</v>
      </c>
      <c r="Q430" s="9">
        <f>ROUNDUP(P430+(P430*Assumptions!P$5),-2)</f>
        <v>8500</v>
      </c>
      <c r="R430" s="9">
        <f>ROUNDUP(Q430+(Q430*Assumptions!Q$5),-2)</f>
        <v>8800</v>
      </c>
      <c r="S430" s="47">
        <f>ROUNDUP(R430+(R430*Assumptions!R$5),-2)</f>
        <v>9100</v>
      </c>
    </row>
    <row r="431" spans="1:19" x14ac:dyDescent="0.2">
      <c r="A431" s="54">
        <v>300</v>
      </c>
      <c r="B431" s="79">
        <v>900</v>
      </c>
      <c r="C431" s="9">
        <v>1300</v>
      </c>
      <c r="D431" s="9">
        <v>1200</v>
      </c>
      <c r="E431" s="9">
        <v>1400</v>
      </c>
      <c r="F431" s="469" t="s">
        <v>1026</v>
      </c>
      <c r="G431" s="1173" t="s">
        <v>2841</v>
      </c>
      <c r="H431" s="9">
        <v>2000</v>
      </c>
      <c r="I431" s="85">
        <f t="shared" si="493"/>
        <v>42.857142857142854</v>
      </c>
      <c r="J431" s="9">
        <v>2000</v>
      </c>
      <c r="K431" s="9">
        <f>ROUNDUP(J431+(J431*Assumptions!J$5),-2)</f>
        <v>2100</v>
      </c>
      <c r="L431" s="9">
        <f>ROUNDUP(K431+(K431*Assumptions!K$5),-2)</f>
        <v>2200</v>
      </c>
      <c r="M431" s="9">
        <f>ROUNDUP(L431+(L431*Assumptions!L$5),-2)</f>
        <v>2300</v>
      </c>
      <c r="N431" s="9">
        <f>ROUNDUP(M431+(M431*Assumptions!M$5),-2)</f>
        <v>2400</v>
      </c>
      <c r="O431" s="9">
        <f>ROUNDUP(N431+(N431*Assumptions!N$5),-2)</f>
        <v>2500</v>
      </c>
      <c r="P431" s="9">
        <f>ROUNDUP(O431+(O431*Assumptions!O$5),-2)</f>
        <v>2600</v>
      </c>
      <c r="Q431" s="9">
        <f>ROUNDUP(P431+(P431*Assumptions!P$5),-2)</f>
        <v>2700</v>
      </c>
      <c r="R431" s="9">
        <f>ROUNDUP(Q431+(Q431*Assumptions!Q$5),-2)</f>
        <v>2800</v>
      </c>
      <c r="S431" s="47">
        <f>ROUNDUP(R431+(R431*Assumptions!R$5),-2)</f>
        <v>2900</v>
      </c>
    </row>
    <row r="432" spans="1:19" x14ac:dyDescent="0.2">
      <c r="A432" s="54">
        <v>4500</v>
      </c>
      <c r="B432" s="79">
        <v>7700</v>
      </c>
      <c r="C432" s="9">
        <v>8400</v>
      </c>
      <c r="D432" s="9">
        <v>7400</v>
      </c>
      <c r="E432" s="9">
        <v>6300</v>
      </c>
      <c r="F432" s="469" t="s">
        <v>2185</v>
      </c>
      <c r="G432" s="1173" t="s">
        <v>2844</v>
      </c>
      <c r="H432" s="9">
        <f>7000+1000</f>
        <v>8000</v>
      </c>
      <c r="I432" s="85">
        <f t="shared" si="493"/>
        <v>26.984126984126984</v>
      </c>
      <c r="J432" s="9">
        <v>8000</v>
      </c>
      <c r="K432" s="9">
        <f>ROUNDUP(J432+(J432*Assumptions!J$5),-2)</f>
        <v>8200</v>
      </c>
      <c r="L432" s="9">
        <f>ROUNDUP(K432+(K432*Assumptions!K$5),-2)</f>
        <v>8500</v>
      </c>
      <c r="M432" s="9">
        <f>ROUNDUP(L432+(L432*Assumptions!L$5),-2)</f>
        <v>8800</v>
      </c>
      <c r="N432" s="9">
        <f>ROUNDUP(M432+(M432*Assumptions!M$5),-2)</f>
        <v>9100</v>
      </c>
      <c r="O432" s="9">
        <f>ROUNDUP(N432+(N432*Assumptions!N$5),-2)</f>
        <v>9400</v>
      </c>
      <c r="P432" s="9">
        <f>ROUNDUP(O432+(O432*Assumptions!O$5),-2)</f>
        <v>9700</v>
      </c>
      <c r="Q432" s="9">
        <f>ROUNDUP(P432+(P432*Assumptions!P$5),-2)</f>
        <v>10000</v>
      </c>
      <c r="R432" s="9">
        <f>ROUNDUP(Q432+(Q432*Assumptions!Q$5),-2)</f>
        <v>10300</v>
      </c>
      <c r="S432" s="47">
        <f>ROUNDUP(R432+(R432*Assumptions!R$5),-2)</f>
        <v>10600</v>
      </c>
    </row>
    <row r="433" spans="1:19" x14ac:dyDescent="0.2">
      <c r="A433" s="54">
        <v>600</v>
      </c>
      <c r="B433" s="79">
        <v>2200</v>
      </c>
      <c r="C433" s="9">
        <v>800</v>
      </c>
      <c r="D433" s="9">
        <v>0</v>
      </c>
      <c r="E433" s="9">
        <v>1900</v>
      </c>
      <c r="F433" s="469" t="s">
        <v>2188</v>
      </c>
      <c r="G433" s="1173" t="s">
        <v>2015</v>
      </c>
      <c r="H433" s="9">
        <v>1000</v>
      </c>
      <c r="I433" s="85">
        <f t="shared" si="493"/>
        <v>-47.368421052631575</v>
      </c>
      <c r="J433" s="9">
        <v>1000</v>
      </c>
      <c r="K433" s="9">
        <f>ROUNDUP(J433+(J433*Assumptions!J$5),-2)</f>
        <v>1100</v>
      </c>
      <c r="L433" s="9">
        <f>ROUNDUP(K433+(K433*Assumptions!K$5),-2)</f>
        <v>1200</v>
      </c>
      <c r="M433" s="9">
        <f>ROUNDUP(L433+(L433*Assumptions!L$5),-2)</f>
        <v>1300</v>
      </c>
      <c r="N433" s="9">
        <f>ROUNDUP(M433+(M433*Assumptions!M$5),-2)</f>
        <v>1400</v>
      </c>
      <c r="O433" s="9">
        <f>ROUNDUP(N433+(N433*Assumptions!N$5),-2)</f>
        <v>1500</v>
      </c>
      <c r="P433" s="9">
        <f>ROUNDUP(O433+(O433*Assumptions!O$5),-2)</f>
        <v>1600</v>
      </c>
      <c r="Q433" s="9">
        <f>ROUNDUP(P433+(P433*Assumptions!P$5),-2)</f>
        <v>1700</v>
      </c>
      <c r="R433" s="9">
        <f>ROUNDUP(Q433+(Q433*Assumptions!Q$5),-2)</f>
        <v>1800</v>
      </c>
      <c r="S433" s="47">
        <f>ROUNDUP(R433+(R433*Assumptions!R$5),-2)</f>
        <v>1900</v>
      </c>
    </row>
    <row r="434" spans="1:19" x14ac:dyDescent="0.2">
      <c r="A434" s="54">
        <v>8700</v>
      </c>
      <c r="B434" s="79">
        <v>13800</v>
      </c>
      <c r="C434" s="9">
        <v>18200</v>
      </c>
      <c r="D434" s="9">
        <v>20500</v>
      </c>
      <c r="E434" s="9">
        <v>23200</v>
      </c>
      <c r="F434" s="469" t="s">
        <v>2189</v>
      </c>
      <c r="G434" s="1173" t="s">
        <v>2671</v>
      </c>
      <c r="H434" s="9">
        <f>16000+4000+6500-500</f>
        <v>26000</v>
      </c>
      <c r="I434" s="85">
        <f t="shared" si="493"/>
        <v>12.068965517241379</v>
      </c>
      <c r="J434" s="9">
        <v>20000</v>
      </c>
      <c r="K434" s="9">
        <f>ROUNDUP(J434+(J434*Assumptions!J$5),-2)</f>
        <v>20500</v>
      </c>
      <c r="L434" s="9">
        <f>ROUNDUP(K434+(K434*Assumptions!K$5),-2)</f>
        <v>21100</v>
      </c>
      <c r="M434" s="9">
        <f>ROUNDUP(L434+(L434*Assumptions!L$5),-2)</f>
        <v>21700</v>
      </c>
      <c r="N434" s="9">
        <f>ROUNDUP(M434+(M434*Assumptions!M$5),-2)</f>
        <v>22300</v>
      </c>
      <c r="O434" s="9">
        <f>ROUNDUP(N434+(N434*Assumptions!N$5),-2)</f>
        <v>22900</v>
      </c>
      <c r="P434" s="9">
        <f>ROUNDUP(O434+(O434*Assumptions!O$5),-2)</f>
        <v>23500</v>
      </c>
      <c r="Q434" s="9">
        <f>ROUNDUP(P434+(P434*Assumptions!P$5),-2)</f>
        <v>24100</v>
      </c>
      <c r="R434" s="9">
        <f>ROUNDUP(Q434+(Q434*Assumptions!Q$5),-2)</f>
        <v>24800</v>
      </c>
      <c r="S434" s="47">
        <f>ROUNDUP(R434+(R434*Assumptions!R$5),-2)</f>
        <v>25500</v>
      </c>
    </row>
    <row r="435" spans="1:19" x14ac:dyDescent="0.2">
      <c r="A435" s="54">
        <v>600</v>
      </c>
      <c r="B435" s="79">
        <v>5800</v>
      </c>
      <c r="C435" s="9">
        <v>2500</v>
      </c>
      <c r="D435" s="9">
        <v>1000</v>
      </c>
      <c r="E435" s="9">
        <f>300+100</f>
        <v>400</v>
      </c>
      <c r="F435" s="469" t="s">
        <v>1027</v>
      </c>
      <c r="G435" s="1173" t="s">
        <v>2843</v>
      </c>
      <c r="H435" s="9">
        <v>3000</v>
      </c>
      <c r="I435" s="85">
        <f t="shared" si="493"/>
        <v>650</v>
      </c>
      <c r="J435" s="9">
        <v>2000</v>
      </c>
      <c r="K435" s="9">
        <f>ROUNDUP(J435+(J435*Assumptions!J$5),-2)</f>
        <v>2100</v>
      </c>
      <c r="L435" s="9">
        <f>ROUNDUP(K435+(K435*Assumptions!K$5),-2)</f>
        <v>2200</v>
      </c>
      <c r="M435" s="9">
        <f>ROUNDUP(L435+(L435*Assumptions!L$5),-2)</f>
        <v>2300</v>
      </c>
      <c r="N435" s="9">
        <f>ROUNDUP(M435+(M435*Assumptions!M$5),-2)</f>
        <v>2400</v>
      </c>
      <c r="O435" s="9">
        <f>ROUNDUP(N435+(N435*Assumptions!N$5),-2)</f>
        <v>2500</v>
      </c>
      <c r="P435" s="9">
        <f>ROUNDUP(O435+(O435*Assumptions!O$5),-2)</f>
        <v>2600</v>
      </c>
      <c r="Q435" s="9">
        <f>ROUNDUP(P435+(P435*Assumptions!P$5),-2)</f>
        <v>2700</v>
      </c>
      <c r="R435" s="9">
        <f>ROUNDUP(Q435+(Q435*Assumptions!Q$5),-2)</f>
        <v>2800</v>
      </c>
      <c r="S435" s="47">
        <f>ROUNDUP(R435+(R435*Assumptions!R$5),-2)</f>
        <v>2900</v>
      </c>
    </row>
    <row r="436" spans="1:19" x14ac:dyDescent="0.2">
      <c r="A436" s="54">
        <v>800</v>
      </c>
      <c r="B436" s="79">
        <v>2100</v>
      </c>
      <c r="C436" s="9">
        <v>4500</v>
      </c>
      <c r="D436" s="9">
        <v>5200</v>
      </c>
      <c r="E436" s="9">
        <v>7600</v>
      </c>
      <c r="F436" s="469" t="s">
        <v>1563</v>
      </c>
      <c r="G436" s="1173" t="s">
        <v>2840</v>
      </c>
      <c r="H436" s="9">
        <v>5500</v>
      </c>
      <c r="I436" s="85">
        <f t="shared" si="493"/>
        <v>-27.631578947368425</v>
      </c>
      <c r="J436" s="9">
        <v>7000</v>
      </c>
      <c r="K436" s="9">
        <f>ROUNDUP(J436+(J436*Assumptions!J$5),-2)</f>
        <v>7200</v>
      </c>
      <c r="L436" s="9">
        <f>ROUNDUP(K436+(K436*Assumptions!K$5),-2)</f>
        <v>7400</v>
      </c>
      <c r="M436" s="9">
        <f>ROUNDUP(L436+(L436*Assumptions!L$5),-2)</f>
        <v>7600</v>
      </c>
      <c r="N436" s="9">
        <f>ROUNDUP(M436+(M436*Assumptions!M$5),-2)</f>
        <v>7800</v>
      </c>
      <c r="O436" s="9">
        <f>ROUNDUP(N436+(N436*Assumptions!N$5),-2)</f>
        <v>8000</v>
      </c>
      <c r="P436" s="9">
        <f>ROUNDUP(O436+(O436*Assumptions!O$5),-2)</f>
        <v>8200</v>
      </c>
      <c r="Q436" s="9">
        <f>ROUNDUP(P436+(P436*Assumptions!P$5),-2)</f>
        <v>8500</v>
      </c>
      <c r="R436" s="9">
        <f>ROUNDUP(Q436+(Q436*Assumptions!Q$5),-2)</f>
        <v>8800</v>
      </c>
      <c r="S436" s="47">
        <f>ROUNDUP(R436+(R436*Assumptions!R$5),-2)</f>
        <v>9100</v>
      </c>
    </row>
    <row r="437" spans="1:19" x14ac:dyDescent="0.2">
      <c r="A437" s="54">
        <v>600</v>
      </c>
      <c r="B437" s="79">
        <v>700</v>
      </c>
      <c r="C437" s="9">
        <v>1400</v>
      </c>
      <c r="D437" s="9">
        <v>1300</v>
      </c>
      <c r="E437" s="9">
        <v>1300</v>
      </c>
      <c r="F437" s="469" t="s">
        <v>2184</v>
      </c>
      <c r="G437" s="1173" t="s">
        <v>2724</v>
      </c>
      <c r="H437" s="9">
        <v>1300</v>
      </c>
      <c r="I437" s="85">
        <f t="shared" si="493"/>
        <v>0</v>
      </c>
      <c r="J437" s="9">
        <v>1400</v>
      </c>
      <c r="K437" s="9">
        <f>ROUNDUP(J437+(J437*Assumptions!J$5),-2)</f>
        <v>1500</v>
      </c>
      <c r="L437" s="9">
        <f>ROUNDUP(K437+(K437*Assumptions!K$5),-2)</f>
        <v>1600</v>
      </c>
      <c r="M437" s="9">
        <f>ROUNDUP(L437+(L437*Assumptions!L$5),-2)</f>
        <v>1700</v>
      </c>
      <c r="N437" s="9">
        <f>ROUNDUP(M437+(M437*Assumptions!M$5),-2)</f>
        <v>1800</v>
      </c>
      <c r="O437" s="9">
        <f>ROUNDUP(N437+(N437*Assumptions!N$5),-2)</f>
        <v>1900</v>
      </c>
      <c r="P437" s="9">
        <f>ROUNDUP(O437+(O437*Assumptions!O$5),-2)</f>
        <v>2000</v>
      </c>
      <c r="Q437" s="9">
        <f>ROUNDUP(P437+(P437*Assumptions!P$5),-2)</f>
        <v>2100</v>
      </c>
      <c r="R437" s="9">
        <f>ROUNDUP(Q437+(Q437*Assumptions!Q$5),-2)</f>
        <v>2200</v>
      </c>
      <c r="S437" s="47">
        <f>ROUNDUP(R437+(R437*Assumptions!R$5),-2)</f>
        <v>2300</v>
      </c>
    </row>
    <row r="438" spans="1:19" x14ac:dyDescent="0.2">
      <c r="A438" s="54">
        <v>300</v>
      </c>
      <c r="B438" s="79">
        <v>1100</v>
      </c>
      <c r="C438" s="9">
        <v>0</v>
      </c>
      <c r="D438" s="9">
        <v>0</v>
      </c>
      <c r="E438" s="9">
        <v>0</v>
      </c>
      <c r="F438" s="469" t="s">
        <v>2186</v>
      </c>
      <c r="G438" s="1173" t="s">
        <v>526</v>
      </c>
      <c r="H438" s="9">
        <f>1000+4000</f>
        <v>5000</v>
      </c>
      <c r="I438" s="85">
        <f t="shared" si="493"/>
        <v>100</v>
      </c>
      <c r="J438" s="9">
        <v>1000</v>
      </c>
      <c r="K438" s="9">
        <f>ROUNDUP(J438+(J438*Assumptions!J$5),-2)</f>
        <v>1100</v>
      </c>
      <c r="L438" s="9">
        <f>ROUNDUP(K438+(K438*Assumptions!K$5),-2)</f>
        <v>1200</v>
      </c>
      <c r="M438" s="9">
        <f>ROUNDUP(L438+(L438*Assumptions!L$5),-2)</f>
        <v>1300</v>
      </c>
      <c r="N438" s="9">
        <f>ROUNDUP(M438+(M438*Assumptions!M$5),-2)</f>
        <v>1400</v>
      </c>
      <c r="O438" s="9">
        <f>ROUNDUP(N438+(N438*Assumptions!N$5),-2)</f>
        <v>1500</v>
      </c>
      <c r="P438" s="9">
        <f>ROUNDUP(O438+(O438*Assumptions!O$5),-2)</f>
        <v>1600</v>
      </c>
      <c r="Q438" s="9">
        <f>ROUNDUP(P438+(P438*Assumptions!P$5),-2)</f>
        <v>1700</v>
      </c>
      <c r="R438" s="9">
        <f>ROUNDUP(Q438+(Q438*Assumptions!Q$5),-2)</f>
        <v>1800</v>
      </c>
      <c r="S438" s="47">
        <f>ROUNDUP(R438+(R438*Assumptions!R$5),-2)</f>
        <v>1900</v>
      </c>
    </row>
    <row r="439" spans="1:19" x14ac:dyDescent="0.2">
      <c r="A439" s="54">
        <v>600</v>
      </c>
      <c r="B439" s="79">
        <v>600</v>
      </c>
      <c r="C439" s="9">
        <v>500</v>
      </c>
      <c r="D439" s="9">
        <v>500</v>
      </c>
      <c r="E439" s="9">
        <v>600</v>
      </c>
      <c r="F439" s="469" t="s">
        <v>2479</v>
      </c>
      <c r="G439" s="1150" t="s">
        <v>149</v>
      </c>
      <c r="H439" s="9">
        <v>600</v>
      </c>
      <c r="I439" s="85">
        <f t="shared" si="493"/>
        <v>0</v>
      </c>
      <c r="J439" s="9">
        <v>700</v>
      </c>
      <c r="K439" s="9">
        <f>ROUNDUP(J439+(J439*Assumptions!J$5),-2)</f>
        <v>800</v>
      </c>
      <c r="L439" s="9">
        <f>ROUNDUP(K439+(K439*Assumptions!K$5),-2)</f>
        <v>900</v>
      </c>
      <c r="M439" s="9">
        <f>ROUNDUP(L439+(L439*Assumptions!L$5),-2)</f>
        <v>1000</v>
      </c>
      <c r="N439" s="9">
        <f>ROUNDUP(M439+(M439*Assumptions!M$5),-2)</f>
        <v>1100</v>
      </c>
      <c r="O439" s="9">
        <f>ROUNDUP(N439+(N439*Assumptions!N$5),-2)</f>
        <v>1200</v>
      </c>
      <c r="P439" s="9">
        <f>ROUNDUP(O439+(O439*Assumptions!O$5),-2)</f>
        <v>1300</v>
      </c>
      <c r="Q439" s="9">
        <f>ROUNDUP(P439+(P439*Assumptions!P$5),-2)</f>
        <v>1400</v>
      </c>
      <c r="R439" s="9">
        <f>ROUNDUP(Q439+(Q439*Assumptions!Q$5),-2)</f>
        <v>1500</v>
      </c>
      <c r="S439" s="47">
        <f>ROUNDUP(R439+(R439*Assumptions!R$5),-2)</f>
        <v>1600</v>
      </c>
    </row>
    <row r="440" spans="1:19" x14ac:dyDescent="0.2">
      <c r="A440" s="54">
        <v>3100</v>
      </c>
      <c r="B440" s="79">
        <v>4600</v>
      </c>
      <c r="C440" s="9">
        <v>4700</v>
      </c>
      <c r="D440" s="9">
        <v>3700</v>
      </c>
      <c r="E440" s="9">
        <v>4400</v>
      </c>
      <c r="F440" s="769" t="s">
        <v>2187</v>
      </c>
      <c r="G440" s="1173" t="s">
        <v>2315</v>
      </c>
      <c r="H440" s="9">
        <v>4000</v>
      </c>
      <c r="I440" s="85">
        <f t="shared" si="493"/>
        <v>-9.0909090909090917</v>
      </c>
      <c r="J440" s="9">
        <v>4100</v>
      </c>
      <c r="K440" s="9">
        <f>ROUNDUP(J440+(J440*Assumptions!J$5),-2)</f>
        <v>4300</v>
      </c>
      <c r="L440" s="9">
        <f>ROUNDUP(K440+(K440*Assumptions!K$5),-2)</f>
        <v>4500</v>
      </c>
      <c r="M440" s="9">
        <f>ROUNDUP(L440+(L440*Assumptions!L$5),-2)</f>
        <v>4700</v>
      </c>
      <c r="N440" s="9">
        <f>ROUNDUP(M440+(M440*Assumptions!M$5),-2)</f>
        <v>4900</v>
      </c>
      <c r="O440" s="9">
        <f>ROUNDUP(N440+(N440*Assumptions!N$5),-2)</f>
        <v>5100</v>
      </c>
      <c r="P440" s="9">
        <f>ROUNDUP(O440+(O440*Assumptions!O$5),-2)</f>
        <v>5300</v>
      </c>
      <c r="Q440" s="9">
        <f>ROUNDUP(P440+(P440*Assumptions!P$5),-2)</f>
        <v>5500</v>
      </c>
      <c r="R440" s="9">
        <f>ROUNDUP(Q440+(Q440*Assumptions!Q$5),-2)</f>
        <v>5700</v>
      </c>
      <c r="S440" s="47">
        <f>ROUNDUP(R440+(R440*Assumptions!R$5),-2)</f>
        <v>5900</v>
      </c>
    </row>
    <row r="441" spans="1:19" x14ac:dyDescent="0.2">
      <c r="A441" s="54">
        <v>0</v>
      </c>
      <c r="B441" s="79">
        <v>1200</v>
      </c>
      <c r="C441" s="9">
        <v>0</v>
      </c>
      <c r="D441" s="9">
        <v>300</v>
      </c>
      <c r="E441" s="9">
        <v>200</v>
      </c>
      <c r="F441" s="469" t="s">
        <v>1676</v>
      </c>
      <c r="G441" s="371" t="s">
        <v>844</v>
      </c>
      <c r="H441" s="9">
        <v>1000</v>
      </c>
      <c r="I441" s="85">
        <f t="shared" si="493"/>
        <v>400</v>
      </c>
      <c r="J441" s="9">
        <v>1000</v>
      </c>
      <c r="K441" s="9">
        <f>ROUNDUP(J441+(J441*Assumptions!J$5),-2)</f>
        <v>1100</v>
      </c>
      <c r="L441" s="9">
        <f>ROUNDUP(K441+(K441*Assumptions!K$5),-2)</f>
        <v>1200</v>
      </c>
      <c r="M441" s="9">
        <f>ROUNDUP(L441+(L441*Assumptions!L$5),-2)</f>
        <v>1300</v>
      </c>
      <c r="N441" s="9">
        <f>ROUNDUP(M441+(M441*Assumptions!M$5),-2)</f>
        <v>1400</v>
      </c>
      <c r="O441" s="9">
        <f>ROUNDUP(N441+(N441*Assumptions!N$5),-2)</f>
        <v>1500</v>
      </c>
      <c r="P441" s="9">
        <f>ROUNDUP(O441+(O441*Assumptions!O$5),-2)</f>
        <v>1600</v>
      </c>
      <c r="Q441" s="9">
        <f>ROUNDUP(P441+(P441*Assumptions!P$5),-2)</f>
        <v>1700</v>
      </c>
      <c r="R441" s="9">
        <f>ROUNDUP(Q441+(Q441*Assumptions!Q$5),-2)</f>
        <v>1800</v>
      </c>
      <c r="S441" s="47">
        <f>ROUNDUP(R441+(R441*Assumptions!R$5),-2)</f>
        <v>1900</v>
      </c>
    </row>
    <row r="442" spans="1:19" x14ac:dyDescent="0.2">
      <c r="A442" s="54">
        <v>2700</v>
      </c>
      <c r="B442" s="79">
        <v>0</v>
      </c>
      <c r="C442" s="9">
        <v>0</v>
      </c>
      <c r="D442" s="9">
        <v>0</v>
      </c>
      <c r="E442" s="9">
        <v>0</v>
      </c>
      <c r="F442" s="469" t="s">
        <v>1083</v>
      </c>
      <c r="G442" s="371" t="s">
        <v>1084</v>
      </c>
      <c r="H442" s="9">
        <v>500</v>
      </c>
      <c r="I442" s="85">
        <f t="shared" si="493"/>
        <v>100</v>
      </c>
      <c r="J442" s="9">
        <v>500</v>
      </c>
      <c r="K442" s="9">
        <f>ROUNDUP(J442+(J442*Assumptions!J$5),-2)</f>
        <v>600</v>
      </c>
      <c r="L442" s="9">
        <f>ROUNDUP(K442+(K442*Assumptions!K$5),-2)</f>
        <v>700</v>
      </c>
      <c r="M442" s="9">
        <f>ROUNDUP(L442+(L442*Assumptions!L$5),-2)</f>
        <v>800</v>
      </c>
      <c r="N442" s="9">
        <f>ROUNDUP(M442+(M442*Assumptions!M$5),-2)</f>
        <v>900</v>
      </c>
      <c r="O442" s="9">
        <f>ROUNDUP(N442+(N442*Assumptions!N$5),-2)</f>
        <v>1000</v>
      </c>
      <c r="P442" s="9">
        <f>ROUNDUP(O442+(O442*Assumptions!O$5),-2)</f>
        <v>1100</v>
      </c>
      <c r="Q442" s="9">
        <f>ROUNDUP(P442+(P442*Assumptions!P$5),-2)</f>
        <v>1200</v>
      </c>
      <c r="R442" s="9">
        <f>ROUNDUP(Q442+(Q442*Assumptions!Q$5),-2)</f>
        <v>1300</v>
      </c>
      <c r="S442" s="47">
        <f>ROUNDUP(R442+(R442*Assumptions!R$5),-2)</f>
        <v>1400</v>
      </c>
    </row>
    <row r="443" spans="1:19" x14ac:dyDescent="0.2">
      <c r="A443" s="54">
        <v>0</v>
      </c>
      <c r="B443" s="79">
        <v>0</v>
      </c>
      <c r="C443" s="9">
        <v>0</v>
      </c>
      <c r="D443" s="9">
        <v>0</v>
      </c>
      <c r="E443" s="9">
        <v>0</v>
      </c>
      <c r="F443" s="769" t="s">
        <v>3619</v>
      </c>
      <c r="G443" s="662" t="s">
        <v>3581</v>
      </c>
      <c r="H443" s="9">
        <v>2000</v>
      </c>
      <c r="I443" s="85">
        <f t="shared" si="493"/>
        <v>100</v>
      </c>
      <c r="J443" s="9">
        <v>2000</v>
      </c>
      <c r="K443" s="9">
        <f>ROUNDUP(J443+(J443*Assumptions!J$5),-2)</f>
        <v>2100</v>
      </c>
      <c r="L443" s="9">
        <f>ROUNDUP(K443+(K443*Assumptions!K$5),-2)</f>
        <v>2200</v>
      </c>
      <c r="M443" s="9">
        <f>ROUNDUP(L443+(L443*Assumptions!L$5),-2)</f>
        <v>2300</v>
      </c>
      <c r="N443" s="9">
        <f>ROUNDUP(M443+(M443*Assumptions!M$5),-2)</f>
        <v>2400</v>
      </c>
      <c r="O443" s="9">
        <f>ROUNDUP(N443+(N443*Assumptions!N$5),-2)</f>
        <v>2500</v>
      </c>
      <c r="P443" s="9">
        <f>ROUNDUP(O443+(O443*Assumptions!O$5),-2)</f>
        <v>2600</v>
      </c>
      <c r="Q443" s="9">
        <f>ROUNDUP(P443+(P443*Assumptions!P$5),-2)</f>
        <v>2700</v>
      </c>
      <c r="R443" s="9">
        <f>ROUNDUP(Q443+(Q443*Assumptions!Q$5),-2)</f>
        <v>2800</v>
      </c>
      <c r="S443" s="47">
        <f>ROUNDUP(R443+(R443*Assumptions!R$5),-2)</f>
        <v>2900</v>
      </c>
    </row>
    <row r="444" spans="1:19" x14ac:dyDescent="0.2">
      <c r="A444" s="54"/>
      <c r="B444" s="9"/>
      <c r="C444" s="9"/>
      <c r="D444" s="9"/>
      <c r="E444" s="9"/>
      <c r="F444" s="469"/>
      <c r="G444" s="122" t="s">
        <v>1112</v>
      </c>
      <c r="H444" s="9"/>
      <c r="I444" s="85"/>
      <c r="J444" s="9"/>
      <c r="K444" s="9"/>
      <c r="L444" s="9"/>
      <c r="M444" s="9"/>
      <c r="N444" s="9"/>
      <c r="O444" s="9"/>
      <c r="P444" s="9"/>
      <c r="Q444" s="9"/>
      <c r="R444" s="9"/>
      <c r="S444" s="47"/>
    </row>
    <row r="445" spans="1:19" x14ac:dyDescent="0.2">
      <c r="A445" s="54">
        <v>3300</v>
      </c>
      <c r="B445" s="9">
        <v>3000</v>
      </c>
      <c r="C445" s="9">
        <v>2500</v>
      </c>
      <c r="D445" s="9">
        <f>ROUND('Debt-Gen'!J7,-2)</f>
        <v>2200</v>
      </c>
      <c r="E445" s="9">
        <v>1800</v>
      </c>
      <c r="F445" s="469" t="s">
        <v>2750</v>
      </c>
      <c r="G445" s="1150" t="s">
        <v>4622</v>
      </c>
      <c r="H445" s="9">
        <f>ROUND('Debt-Gen'!N7,-2)</f>
        <v>1300</v>
      </c>
      <c r="I445" s="85">
        <f>IF(E445=H445,0,IF(E445=0,100,(H445-E445)/E445*100))</f>
        <v>-27.777777777777779</v>
      </c>
      <c r="J445" s="9">
        <f>ROUND('Debt-Gen'!P7,-2)</f>
        <v>800</v>
      </c>
      <c r="K445" s="9">
        <f>ROUND('Debt-Gen'!R7,-2)</f>
        <v>300</v>
      </c>
      <c r="L445" s="9">
        <f>ROUND('Debt-Gen'!T7,-2)</f>
        <v>0</v>
      </c>
      <c r="M445" s="9">
        <f>ROUND('Debt-Gen'!V7,-2)</f>
        <v>0</v>
      </c>
      <c r="N445" s="9">
        <f>ROUND('Debt-Gen'!X7,-2)</f>
        <v>0</v>
      </c>
      <c r="O445" s="9">
        <f>ROUND('Debt-Gen'!Z7,-2)</f>
        <v>0</v>
      </c>
      <c r="P445" s="9">
        <f>ROUND('Debt-Gen'!AB7,-2)</f>
        <v>0</v>
      </c>
      <c r="Q445" s="9">
        <f>ROUND('Debt-Gen'!AD7,-2)</f>
        <v>0</v>
      </c>
      <c r="R445" s="9">
        <f>ROUND('Debt-Gen'!AF7,-2)</f>
        <v>0</v>
      </c>
      <c r="S445" s="47">
        <f>ROUND('Debt-Gen'!AG7,-2)</f>
        <v>0</v>
      </c>
    </row>
    <row r="446" spans="1:19" x14ac:dyDescent="0.2">
      <c r="A446" s="54"/>
      <c r="B446" s="9"/>
      <c r="C446" s="9"/>
      <c r="D446" s="9"/>
      <c r="E446" s="9"/>
      <c r="F446" s="469"/>
      <c r="G446" s="122" t="s">
        <v>261</v>
      </c>
      <c r="H446" s="9"/>
      <c r="I446" s="85"/>
      <c r="J446" s="9"/>
      <c r="K446" s="9"/>
      <c r="L446" s="9"/>
      <c r="M446" s="9"/>
      <c r="N446" s="9"/>
      <c r="O446" s="9"/>
      <c r="P446" s="9"/>
      <c r="Q446" s="9"/>
      <c r="R446" s="9"/>
      <c r="S446" s="47"/>
    </row>
    <row r="447" spans="1:19" ht="13.5" thickBot="1" x14ac:dyDescent="0.25">
      <c r="A447" s="54">
        <v>5000</v>
      </c>
      <c r="B447" s="9">
        <v>9800</v>
      </c>
      <c r="C447" s="9">
        <v>4400</v>
      </c>
      <c r="D447" s="9">
        <v>4500</v>
      </c>
      <c r="E447" s="9">
        <v>5300</v>
      </c>
      <c r="F447" s="469" t="s">
        <v>1561</v>
      </c>
      <c r="G447" s="1173" t="s">
        <v>2513</v>
      </c>
      <c r="H447" s="9">
        <v>4500</v>
      </c>
      <c r="I447" s="85">
        <f>IF(E447=H447,0,IF(E447=0,100,(H447-E447)/E447*100))</f>
        <v>-15.09433962264151</v>
      </c>
      <c r="J447" s="9">
        <v>5500</v>
      </c>
      <c r="K447" s="9">
        <f>ROUNDUP(J447+(J447*Assumptions!J$18),-2)</f>
        <v>5700</v>
      </c>
      <c r="L447" s="9">
        <f>ROUNDUP(K447+(K447*Assumptions!K$18),-2)</f>
        <v>5900</v>
      </c>
      <c r="M447" s="9">
        <f>ROUNDUP(L447+(L447*Assumptions!L$18),-2)</f>
        <v>6100</v>
      </c>
      <c r="N447" s="9">
        <f>ROUNDUP(M447+(M447*Assumptions!M$18),-2)</f>
        <v>6300</v>
      </c>
      <c r="O447" s="9">
        <f>ROUNDUP(N447+(N447*Assumptions!N$18),-2)</f>
        <v>6500</v>
      </c>
      <c r="P447" s="9">
        <f>ROUNDUP(O447+(O447*Assumptions!O$18),-2)</f>
        <v>6700</v>
      </c>
      <c r="Q447" s="9">
        <f>ROUNDUP(P447+(P447*Assumptions!P$18),-2)</f>
        <v>6900</v>
      </c>
      <c r="R447" s="9">
        <f>ROUNDUP(Q447+(Q447*Assumptions!Q$18),-2)</f>
        <v>7100</v>
      </c>
      <c r="S447" s="47">
        <f>ROUNDUP(R447+(R447*Assumptions!R$18),-2)</f>
        <v>7300</v>
      </c>
    </row>
    <row r="448" spans="1:19" s="39" customFormat="1" x14ac:dyDescent="0.2">
      <c r="A448" s="52">
        <f>SUM(A421:A447)</f>
        <v>388100</v>
      </c>
      <c r="B448" s="16">
        <f>SUM(B421:B447)</f>
        <v>480900</v>
      </c>
      <c r="C448" s="16">
        <f>SUM(C421:C447)</f>
        <v>524100</v>
      </c>
      <c r="D448" s="16">
        <f>SUM(D421:D447)</f>
        <v>547200</v>
      </c>
      <c r="E448" s="16">
        <f>SUM(E421:E447)</f>
        <v>572300</v>
      </c>
      <c r="F448" s="2207"/>
      <c r="G448" s="59" t="s">
        <v>556</v>
      </c>
      <c r="H448" s="16">
        <f>SUM(H421:H447)</f>
        <v>561700</v>
      </c>
      <c r="I448" s="127">
        <f>IF(E448=H448,0,IF(E448=0,100,(H448-E448)/E448*100))</f>
        <v>-1.8521754324654902</v>
      </c>
      <c r="J448" s="16">
        <f t="shared" ref="J448:R448" si="494">SUM(J421:J447)</f>
        <v>580000</v>
      </c>
      <c r="K448" s="16">
        <f t="shared" si="494"/>
        <v>594100</v>
      </c>
      <c r="L448" s="16">
        <f t="shared" si="494"/>
        <v>608900</v>
      </c>
      <c r="M448" s="16">
        <f t="shared" si="494"/>
        <v>624300</v>
      </c>
      <c r="N448" s="16">
        <f t="shared" si="494"/>
        <v>639900</v>
      </c>
      <c r="O448" s="16">
        <f t="shared" si="494"/>
        <v>655800</v>
      </c>
      <c r="P448" s="16">
        <f t="shared" si="494"/>
        <v>672100</v>
      </c>
      <c r="Q448" s="16">
        <f t="shared" si="494"/>
        <v>688900</v>
      </c>
      <c r="R448" s="16">
        <f t="shared" si="494"/>
        <v>706100</v>
      </c>
      <c r="S448" s="2342">
        <f t="shared" ref="S448" si="495">SUM(S421:S447)</f>
        <v>723600</v>
      </c>
    </row>
    <row r="449" spans="1:19" x14ac:dyDescent="0.2">
      <c r="A449" s="54"/>
      <c r="B449" s="9"/>
      <c r="C449" s="9"/>
      <c r="D449" s="9"/>
      <c r="E449" s="9"/>
      <c r="F449" s="483"/>
      <c r="G449" s="55"/>
      <c r="H449" s="9"/>
      <c r="I449" s="85"/>
      <c r="J449" s="9"/>
      <c r="K449" s="9"/>
      <c r="L449" s="9"/>
      <c r="M449" s="9"/>
      <c r="N449" s="9"/>
      <c r="O449" s="9"/>
      <c r="P449" s="9"/>
      <c r="Q449" s="9"/>
      <c r="R449" s="9"/>
      <c r="S449" s="61"/>
    </row>
    <row r="450" spans="1:19" s="39" customFormat="1" x14ac:dyDescent="0.2">
      <c r="A450" s="24">
        <f>A419-A448</f>
        <v>-277500</v>
      </c>
      <c r="B450" s="21">
        <f>B419-B448</f>
        <v>-317500</v>
      </c>
      <c r="C450" s="21">
        <f>C419-C448</f>
        <v>-210200</v>
      </c>
      <c r="D450" s="21">
        <f>D419-D448</f>
        <v>-314100</v>
      </c>
      <c r="E450" s="21">
        <f>E419-E448</f>
        <v>-389000</v>
      </c>
      <c r="F450" s="484"/>
      <c r="G450" s="1161" t="s">
        <v>1002</v>
      </c>
      <c r="H450" s="21">
        <f>H419-H448</f>
        <v>-331700</v>
      </c>
      <c r="I450" s="126">
        <f>IF(E450=H450,0,IF(E450=0,100,(H450-E450)/E450*100))</f>
        <v>-14.730077120822621</v>
      </c>
      <c r="J450" s="21">
        <f t="shared" ref="J450:R450" si="496">J419-J448</f>
        <v>-346800</v>
      </c>
      <c r="K450" s="21">
        <f t="shared" si="496"/>
        <v>-354500</v>
      </c>
      <c r="L450" s="21">
        <f t="shared" si="496"/>
        <v>-362700</v>
      </c>
      <c r="M450" s="21">
        <f t="shared" si="496"/>
        <v>-371400</v>
      </c>
      <c r="N450" s="21">
        <f t="shared" si="496"/>
        <v>-380200</v>
      </c>
      <c r="O450" s="21">
        <f t="shared" si="496"/>
        <v>-389200</v>
      </c>
      <c r="P450" s="21">
        <f t="shared" si="496"/>
        <v>-398400</v>
      </c>
      <c r="Q450" s="21">
        <f t="shared" si="496"/>
        <v>-407900</v>
      </c>
      <c r="R450" s="21">
        <f t="shared" si="496"/>
        <v>-417600</v>
      </c>
      <c r="S450" s="62">
        <f t="shared" ref="S450" si="497">S419-S448</f>
        <v>-427300</v>
      </c>
    </row>
    <row r="451" spans="1:19" x14ac:dyDescent="0.2">
      <c r="A451" s="54">
        <f>A447</f>
        <v>5000</v>
      </c>
      <c r="B451" s="89">
        <f>B447</f>
        <v>9800</v>
      </c>
      <c r="C451" s="9">
        <f>C447</f>
        <v>4400</v>
      </c>
      <c r="D451" s="9">
        <f>D447</f>
        <v>4500</v>
      </c>
      <c r="E451" s="9">
        <f t="shared" ref="E451" si="498">E447</f>
        <v>5300</v>
      </c>
      <c r="F451" s="483"/>
      <c r="G451" s="261" t="s">
        <v>1943</v>
      </c>
      <c r="H451" s="9">
        <f t="shared" ref="H451:P451" si="499">H447</f>
        <v>4500</v>
      </c>
      <c r="I451" s="85">
        <f>IF(E451=H451,0,IF(E451=0,100,(H451-E451)/E451*100))</f>
        <v>-15.09433962264151</v>
      </c>
      <c r="J451" s="9">
        <f t="shared" si="499"/>
        <v>5500</v>
      </c>
      <c r="K451" s="9">
        <f t="shared" si="499"/>
        <v>5700</v>
      </c>
      <c r="L451" s="9">
        <f t="shared" si="499"/>
        <v>5900</v>
      </c>
      <c r="M451" s="9">
        <f t="shared" si="499"/>
        <v>6100</v>
      </c>
      <c r="N451" s="9">
        <f t="shared" si="499"/>
        <v>6300</v>
      </c>
      <c r="O451" s="9">
        <f t="shared" si="499"/>
        <v>6500</v>
      </c>
      <c r="P451" s="9">
        <f t="shared" si="499"/>
        <v>6700</v>
      </c>
      <c r="Q451" s="9">
        <f t="shared" ref="Q451" si="500">Q447</f>
        <v>6900</v>
      </c>
      <c r="R451" s="9">
        <f t="shared" ref="R451:S451" si="501">R447</f>
        <v>7100</v>
      </c>
      <c r="S451" s="61">
        <f t="shared" si="501"/>
        <v>7300</v>
      </c>
    </row>
    <row r="452" spans="1:19" s="39" customFormat="1" x14ac:dyDescent="0.2">
      <c r="A452" s="128">
        <f>A450+A451</f>
        <v>-272500</v>
      </c>
      <c r="B452" s="266">
        <f>B450+B451</f>
        <v>-307700</v>
      </c>
      <c r="C452" s="280">
        <f>C450+C451</f>
        <v>-205800</v>
      </c>
      <c r="D452" s="280">
        <f>D450+D451</f>
        <v>-309600</v>
      </c>
      <c r="E452" s="280">
        <f t="shared" ref="E452" si="502">E450+E451</f>
        <v>-383700</v>
      </c>
      <c r="F452" s="485"/>
      <c r="G452" s="363" t="s">
        <v>1659</v>
      </c>
      <c r="H452" s="280">
        <f t="shared" ref="H452:O452" si="503">H450+H451</f>
        <v>-327200</v>
      </c>
      <c r="I452" s="278">
        <f>IF(E452=H452,0,IF(E452=0,100,(H452-E452)/E452*100))</f>
        <v>-14.725045608548346</v>
      </c>
      <c r="J452" s="280">
        <f t="shared" si="503"/>
        <v>-341300</v>
      </c>
      <c r="K452" s="280">
        <f t="shared" si="503"/>
        <v>-348800</v>
      </c>
      <c r="L452" s="280">
        <f t="shared" si="503"/>
        <v>-356800</v>
      </c>
      <c r="M452" s="280">
        <f t="shared" si="503"/>
        <v>-365300</v>
      </c>
      <c r="N452" s="280">
        <f t="shared" si="503"/>
        <v>-373900</v>
      </c>
      <c r="O452" s="280">
        <f t="shared" si="503"/>
        <v>-382700</v>
      </c>
      <c r="P452" s="280">
        <f t="shared" ref="P452:Q452" si="504">P450+P451</f>
        <v>-391700</v>
      </c>
      <c r="Q452" s="280">
        <f t="shared" si="504"/>
        <v>-401000</v>
      </c>
      <c r="R452" s="280">
        <f t="shared" ref="R452:S452" si="505">R450+R451</f>
        <v>-410500</v>
      </c>
      <c r="S452" s="282">
        <f t="shared" si="505"/>
        <v>-420000</v>
      </c>
    </row>
    <row r="453" spans="1:19" ht="13.5" thickBot="1" x14ac:dyDescent="0.25">
      <c r="A453" s="24"/>
      <c r="B453" s="75"/>
      <c r="C453" s="21"/>
      <c r="D453" s="21"/>
      <c r="E453" s="21"/>
      <c r="F453" s="496"/>
      <c r="G453" s="260"/>
      <c r="H453" s="9"/>
      <c r="I453" s="126"/>
      <c r="J453" s="9"/>
      <c r="K453" s="9"/>
      <c r="L453" s="9"/>
      <c r="M453" s="9"/>
      <c r="N453" s="9"/>
      <c r="O453" s="9"/>
      <c r="P453" s="9"/>
      <c r="Q453" s="9"/>
      <c r="R453" s="9"/>
      <c r="S453" s="61"/>
    </row>
    <row r="454" spans="1:19" ht="13.5" thickTop="1" x14ac:dyDescent="0.2">
      <c r="A454" s="270"/>
      <c r="B454" s="69"/>
      <c r="C454" s="109"/>
      <c r="D454" s="109"/>
      <c r="E454" s="109"/>
      <c r="F454" s="487"/>
      <c r="G454" s="1084" t="s">
        <v>192</v>
      </c>
      <c r="H454" s="74"/>
      <c r="I454" s="352"/>
      <c r="J454" s="74"/>
      <c r="K454" s="74"/>
      <c r="L454" s="74"/>
      <c r="M454" s="74"/>
      <c r="N454" s="74"/>
      <c r="O454" s="74"/>
      <c r="P454" s="74"/>
      <c r="Q454" s="74"/>
      <c r="R454" s="74"/>
      <c r="S454" s="110"/>
    </row>
    <row r="455" spans="1:19" x14ac:dyDescent="0.2">
      <c r="A455" s="54">
        <v>5745</v>
      </c>
      <c r="B455" s="89">
        <f>ROUND('Debt-Gen'!E7,-2)</f>
        <v>6100</v>
      </c>
      <c r="C455" s="9">
        <f>ROUND('Debt-Gen'!G7,-2)</f>
        <v>6500</v>
      </c>
      <c r="D455" s="9">
        <f>ROUND('Debt-Gen'!I7,-2)</f>
        <v>6900</v>
      </c>
      <c r="E455" s="9">
        <f>ROUND('Debt-Gen'!K7,-2)</f>
        <v>7300</v>
      </c>
      <c r="F455" s="468"/>
      <c r="G455" s="257" t="s">
        <v>1759</v>
      </c>
      <c r="H455" s="9">
        <f>ROUND('Debt-Gen'!M7,-2)</f>
        <v>7800</v>
      </c>
      <c r="I455" s="85">
        <f t="shared" ref="I455:I460" si="506">IF(E455=H455,0,IF(E455=0,100,(H455-E455)/E455*100))</f>
        <v>6.8493150684931505</v>
      </c>
      <c r="J455" s="9">
        <f>ROUND('Debt-Gen'!O7,-2)</f>
        <v>8300</v>
      </c>
      <c r="K455" s="9">
        <f>ROUND('Debt-Gen'!Q7,-2)</f>
        <v>7300</v>
      </c>
      <c r="L455" s="9">
        <f>ROUND('Debt-Gen'!S7,-2)</f>
        <v>0</v>
      </c>
      <c r="M455" s="9">
        <f>ROUND('Debt-Gen'!U7,-2)</f>
        <v>0</v>
      </c>
      <c r="N455" s="9">
        <f>ROUND('Debt-Gen'!W7,-2)</f>
        <v>0</v>
      </c>
      <c r="O455" s="9">
        <f>ROUND('Debt-Gen'!Y7,-2)</f>
        <v>0</v>
      </c>
      <c r="P455" s="9">
        <f>ROUND('Debt-Gen'!AA7,-2)</f>
        <v>0</v>
      </c>
      <c r="Q455" s="9">
        <f>ROUND('Debt-Gen'!AC7,-2)</f>
        <v>0</v>
      </c>
      <c r="R455" s="9">
        <f>ROUND('Debt-Gen'!AE7,-2)</f>
        <v>0</v>
      </c>
      <c r="S455" s="47">
        <f>ROUND('Debt-Gen'!AG7,-2)</f>
        <v>0</v>
      </c>
    </row>
    <row r="456" spans="1:19" x14ac:dyDescent="0.2">
      <c r="A456" s="54">
        <v>133800</v>
      </c>
      <c r="B456" s="89">
        <v>385300</v>
      </c>
      <c r="C456" s="9">
        <v>0</v>
      </c>
      <c r="D456" s="9">
        <v>0</v>
      </c>
      <c r="E456" s="9">
        <v>6500</v>
      </c>
      <c r="F456" s="468"/>
      <c r="G456" s="257" t="s">
        <v>1909</v>
      </c>
      <c r="H456" s="9">
        <v>500</v>
      </c>
      <c r="I456" s="85">
        <f t="shared" si="506"/>
        <v>-92.307692307692307</v>
      </c>
      <c r="J456" s="9">
        <v>0</v>
      </c>
      <c r="K456" s="9">
        <v>0</v>
      </c>
      <c r="L456" s="9">
        <v>0</v>
      </c>
      <c r="M456" s="9">
        <v>0</v>
      </c>
      <c r="N456" s="9">
        <v>0</v>
      </c>
      <c r="O456" s="9">
        <v>0</v>
      </c>
      <c r="P456" s="9">
        <v>0</v>
      </c>
      <c r="Q456" s="9">
        <v>0</v>
      </c>
      <c r="R456" s="9">
        <v>0</v>
      </c>
      <c r="S456" s="47">
        <v>0</v>
      </c>
    </row>
    <row r="457" spans="1:19" x14ac:dyDescent="0.2">
      <c r="A457" s="54">
        <v>275600</v>
      </c>
      <c r="B457" s="89">
        <v>843800</v>
      </c>
      <c r="C457" s="9">
        <v>25300</v>
      </c>
      <c r="D457" s="9">
        <v>0</v>
      </c>
      <c r="E457" s="9">
        <v>0</v>
      </c>
      <c r="F457" s="468"/>
      <c r="G457" s="257" t="s">
        <v>2309</v>
      </c>
      <c r="H457" s="9">
        <f>+'Res-Gen'!I148</f>
        <v>6500</v>
      </c>
      <c r="I457" s="85">
        <f t="shared" si="506"/>
        <v>100</v>
      </c>
      <c r="J457" s="9">
        <v>0</v>
      </c>
      <c r="K457" s="9">
        <v>0</v>
      </c>
      <c r="L457" s="9">
        <v>0</v>
      </c>
      <c r="M457" s="9">
        <v>0</v>
      </c>
      <c r="N457" s="9">
        <v>0</v>
      </c>
      <c r="O457" s="9">
        <v>0</v>
      </c>
      <c r="P457" s="9">
        <v>0</v>
      </c>
      <c r="Q457" s="9">
        <v>0</v>
      </c>
      <c r="R457" s="9">
        <v>0</v>
      </c>
      <c r="S457" s="47">
        <v>0</v>
      </c>
    </row>
    <row r="458" spans="1:19" x14ac:dyDescent="0.2">
      <c r="A458" s="54">
        <v>0</v>
      </c>
      <c r="B458" s="89">
        <v>340000</v>
      </c>
      <c r="C458" s="9">
        <v>0</v>
      </c>
      <c r="D458" s="9">
        <v>0</v>
      </c>
      <c r="E458" s="9">
        <v>0</v>
      </c>
      <c r="F458" s="468"/>
      <c r="G458" s="257" t="s">
        <v>5847</v>
      </c>
      <c r="H458" s="9">
        <v>0</v>
      </c>
      <c r="I458" s="85">
        <f t="shared" si="506"/>
        <v>0</v>
      </c>
      <c r="J458" s="9">
        <v>0</v>
      </c>
      <c r="K458" s="9">
        <v>0</v>
      </c>
      <c r="L458" s="9">
        <v>0</v>
      </c>
      <c r="M458" s="9">
        <v>0</v>
      </c>
      <c r="N458" s="9">
        <v>0</v>
      </c>
      <c r="O458" s="9">
        <v>0</v>
      </c>
      <c r="P458" s="9">
        <v>0</v>
      </c>
      <c r="Q458" s="9">
        <v>0</v>
      </c>
      <c r="R458" s="9">
        <v>0</v>
      </c>
      <c r="S458" s="47">
        <v>0</v>
      </c>
    </row>
    <row r="459" spans="1:19" x14ac:dyDescent="0.2">
      <c r="A459" s="54">
        <v>141813</v>
      </c>
      <c r="B459" s="89">
        <v>796900</v>
      </c>
      <c r="C459" s="9">
        <v>22400</v>
      </c>
      <c r="D459" s="9">
        <f>'Cap-Gen'!E73</f>
        <v>5100</v>
      </c>
      <c r="E459" s="9">
        <v>0</v>
      </c>
      <c r="F459" s="468"/>
      <c r="G459" s="257" t="s">
        <v>958</v>
      </c>
      <c r="H459" s="9">
        <v>0</v>
      </c>
      <c r="I459" s="85">
        <f t="shared" si="506"/>
        <v>0</v>
      </c>
      <c r="J459" s="9">
        <v>0</v>
      </c>
      <c r="K459" s="9">
        <v>0</v>
      </c>
      <c r="L459" s="9">
        <v>0</v>
      </c>
      <c r="M459" s="9">
        <v>0</v>
      </c>
      <c r="N459" s="9">
        <v>0</v>
      </c>
      <c r="O459" s="9">
        <v>0</v>
      </c>
      <c r="P459" s="9">
        <v>0</v>
      </c>
      <c r="Q459" s="9">
        <v>0</v>
      </c>
      <c r="R459" s="9">
        <v>0</v>
      </c>
      <c r="S459" s="47">
        <v>0</v>
      </c>
    </row>
    <row r="460" spans="1:19" s="39" customFormat="1" x14ac:dyDescent="0.2">
      <c r="A460" s="128">
        <f>A452-A455-A456+A457++A458-A459</f>
        <v>-278258</v>
      </c>
      <c r="B460" s="266">
        <f>B452-B455-B456+B457++B458-B459</f>
        <v>-312200</v>
      </c>
      <c r="C460" s="280">
        <f>C452-C455-C456+C457++C458-C459</f>
        <v>-209400</v>
      </c>
      <c r="D460" s="280">
        <f>D452-D455-D456+D457++D458-D459</f>
        <v>-321600</v>
      </c>
      <c r="E460" s="280">
        <f t="shared" ref="E460" si="507">E452-E455-E456+E457++E458-E459</f>
        <v>-397500</v>
      </c>
      <c r="F460" s="488"/>
      <c r="G460" s="363" t="s">
        <v>2447</v>
      </c>
      <c r="H460" s="280">
        <f t="shared" ref="H460:P460" si="508">H452-H455-H456+H457++H458-H459</f>
        <v>-329000</v>
      </c>
      <c r="I460" s="278">
        <f t="shared" si="506"/>
        <v>-17.232704402515722</v>
      </c>
      <c r="J460" s="280">
        <f t="shared" si="508"/>
        <v>-349600</v>
      </c>
      <c r="K460" s="280">
        <f t="shared" si="508"/>
        <v>-356100</v>
      </c>
      <c r="L460" s="280">
        <f t="shared" si="508"/>
        <v>-356800</v>
      </c>
      <c r="M460" s="280">
        <f t="shared" si="508"/>
        <v>-365300</v>
      </c>
      <c r="N460" s="280">
        <f t="shared" si="508"/>
        <v>-373900</v>
      </c>
      <c r="O460" s="280">
        <f t="shared" si="508"/>
        <v>-382700</v>
      </c>
      <c r="P460" s="280">
        <f t="shared" si="508"/>
        <v>-391700</v>
      </c>
      <c r="Q460" s="280">
        <f t="shared" ref="Q460" si="509">Q452-Q455-Q456+Q457++Q458-Q459</f>
        <v>-401000</v>
      </c>
      <c r="R460" s="280">
        <f t="shared" ref="R460:S460" si="510">R452-R455-R456+R457++R458-R459</f>
        <v>-410500</v>
      </c>
      <c r="S460" s="282">
        <f t="shared" si="510"/>
        <v>-420000</v>
      </c>
    </row>
    <row r="461" spans="1:19" ht="13.5" thickBot="1" x14ac:dyDescent="0.25">
      <c r="A461" s="26"/>
      <c r="B461" s="81"/>
      <c r="C461" s="37"/>
      <c r="D461" s="37"/>
      <c r="E461" s="37"/>
      <c r="F461" s="489"/>
      <c r="G461" s="259"/>
      <c r="H461" s="23"/>
      <c r="I461" s="275"/>
      <c r="J461" s="23"/>
      <c r="K461" s="23"/>
      <c r="L461" s="23"/>
      <c r="M461" s="23"/>
      <c r="N461" s="23"/>
      <c r="O461" s="23"/>
      <c r="P461" s="23"/>
      <c r="Q461" s="23"/>
      <c r="R461" s="23"/>
      <c r="S461" s="112"/>
    </row>
    <row r="462" spans="1:19" ht="14.25" thickTop="1" thickBot="1" x14ac:dyDescent="0.25">
      <c r="F462" s="495"/>
    </row>
    <row r="463" spans="1:19" s="39" customFormat="1" ht="13.5" thickTop="1" x14ac:dyDescent="0.2">
      <c r="A463" s="2610" t="s">
        <v>1824</v>
      </c>
      <c r="B463" s="2611"/>
      <c r="C463" s="2611"/>
      <c r="D463" s="2611"/>
      <c r="E463" s="2612"/>
      <c r="F463" s="2353" t="s">
        <v>2616</v>
      </c>
      <c r="G463" s="2372" t="s">
        <v>2213</v>
      </c>
      <c r="H463" s="2608" t="s">
        <v>2215</v>
      </c>
      <c r="I463" s="2608"/>
      <c r="J463" s="2608"/>
      <c r="K463" s="2608"/>
      <c r="L463" s="2608"/>
      <c r="M463" s="2608"/>
      <c r="N463" s="2608"/>
      <c r="O463" s="2608"/>
      <c r="P463" s="2608"/>
      <c r="Q463" s="2608"/>
      <c r="R463" s="2608"/>
      <c r="S463" s="2609"/>
    </row>
    <row r="464" spans="1:19" ht="13.5" thickBot="1" x14ac:dyDescent="0.25">
      <c r="A464" s="2088" t="str">
        <f>A3</f>
        <v>2012/13</v>
      </c>
      <c r="B464" s="150" t="str">
        <f>B3</f>
        <v>2013/14</v>
      </c>
      <c r="C464" s="150" t="str">
        <f>C3</f>
        <v>2014/15</v>
      </c>
      <c r="D464" s="150" t="str">
        <f>D3</f>
        <v>2015/16</v>
      </c>
      <c r="E464" s="150" t="str">
        <f>E3</f>
        <v>2016/17</v>
      </c>
      <c r="F464" s="2249" t="s">
        <v>2617</v>
      </c>
      <c r="G464" s="46"/>
      <c r="H464" s="2248" t="str">
        <f t="shared" ref="H464:S464" si="511">H3</f>
        <v>2017/18</v>
      </c>
      <c r="I464" s="2248" t="str">
        <f t="shared" si="511"/>
        <v>%</v>
      </c>
      <c r="J464" s="2248" t="str">
        <f t="shared" si="511"/>
        <v>2018/19</v>
      </c>
      <c r="K464" s="2248" t="str">
        <f t="shared" si="511"/>
        <v>2019/20</v>
      </c>
      <c r="L464" s="2248" t="str">
        <f t="shared" si="511"/>
        <v>2020/21</v>
      </c>
      <c r="M464" s="2248" t="str">
        <f t="shared" si="511"/>
        <v>2021/22</v>
      </c>
      <c r="N464" s="2248" t="str">
        <f t="shared" si="511"/>
        <v>2022/23</v>
      </c>
      <c r="O464" s="2248" t="str">
        <f t="shared" si="511"/>
        <v>2023/24</v>
      </c>
      <c r="P464" s="2248" t="str">
        <f t="shared" si="511"/>
        <v>2024/25</v>
      </c>
      <c r="Q464" s="2248" t="str">
        <f t="shared" si="511"/>
        <v>2025/26</v>
      </c>
      <c r="R464" s="2248" t="str">
        <f t="shared" si="511"/>
        <v>2026/27</v>
      </c>
      <c r="S464" s="2376" t="str">
        <f t="shared" si="511"/>
        <v>2027/28</v>
      </c>
    </row>
    <row r="465" spans="1:19" x14ac:dyDescent="0.2">
      <c r="A465" s="1432"/>
      <c r="B465" s="116"/>
      <c r="C465" s="1460"/>
      <c r="D465" s="1460"/>
      <c r="E465" s="116"/>
      <c r="F465" s="2250"/>
      <c r="G465" s="124"/>
      <c r="H465" s="116"/>
      <c r="I465" s="1010"/>
      <c r="J465" s="116"/>
      <c r="K465" s="116"/>
      <c r="L465" s="116"/>
      <c r="M465" s="116"/>
      <c r="N465" s="116"/>
      <c r="O465" s="116"/>
      <c r="P465" s="116"/>
      <c r="Q465" s="116"/>
      <c r="R465" s="116"/>
      <c r="S465" s="1015"/>
    </row>
    <row r="466" spans="1:19" x14ac:dyDescent="0.2">
      <c r="A466" s="54">
        <f>A68</f>
        <v>-990000</v>
      </c>
      <c r="B466" s="9">
        <f>B68</f>
        <v>-865400</v>
      </c>
      <c r="C466" s="29">
        <f>C68</f>
        <v>-935100</v>
      </c>
      <c r="D466" s="29">
        <f>D68</f>
        <v>-661300</v>
      </c>
      <c r="E466" s="9">
        <f>E68</f>
        <v>-1088500</v>
      </c>
      <c r="F466" s="469"/>
      <c r="G466" s="46" t="s">
        <v>1238</v>
      </c>
      <c r="H466" s="9">
        <f>H68</f>
        <v>-928600</v>
      </c>
      <c r="I466" s="85">
        <f>IF(E466=H466,0,IF(E466=0,100,(H466-E466)/E466*100))</f>
        <v>-14.689940284795592</v>
      </c>
      <c r="J466" s="9">
        <f t="shared" ref="J466:S466" si="512">J68</f>
        <v>-1031100</v>
      </c>
      <c r="K466" s="9">
        <f t="shared" si="512"/>
        <v>-1053500</v>
      </c>
      <c r="L466" s="9">
        <f t="shared" si="512"/>
        <v>-1076200</v>
      </c>
      <c r="M466" s="9">
        <f t="shared" si="512"/>
        <v>-1099500</v>
      </c>
      <c r="N466" s="9">
        <f t="shared" si="512"/>
        <v>-1123600</v>
      </c>
      <c r="O466" s="9">
        <f t="shared" si="512"/>
        <v>-1148200</v>
      </c>
      <c r="P466" s="9">
        <f t="shared" si="512"/>
        <v>-1173300</v>
      </c>
      <c r="Q466" s="9">
        <f t="shared" si="512"/>
        <v>-1198900</v>
      </c>
      <c r="R466" s="9">
        <f t="shared" si="512"/>
        <v>-1225000</v>
      </c>
      <c r="S466" s="47">
        <f t="shared" si="512"/>
        <v>-1251500</v>
      </c>
    </row>
    <row r="467" spans="1:19" x14ac:dyDescent="0.2">
      <c r="A467" s="54">
        <f>A103</f>
        <v>-428000</v>
      </c>
      <c r="B467" s="9">
        <f>B103</f>
        <v>-102600</v>
      </c>
      <c r="C467" s="29">
        <f>C103</f>
        <v>217100</v>
      </c>
      <c r="D467" s="29">
        <f>D103</f>
        <v>316800</v>
      </c>
      <c r="E467" s="9">
        <f>E103</f>
        <v>364700</v>
      </c>
      <c r="F467" s="469"/>
      <c r="G467" s="46" t="s">
        <v>2650</v>
      </c>
      <c r="H467" s="9">
        <f>H103</f>
        <v>187100</v>
      </c>
      <c r="I467" s="85">
        <f>IF(E467=H467,0,IF(E467=0,100,(H467-E467)/E467*100))</f>
        <v>-48.697559638058678</v>
      </c>
      <c r="J467" s="9">
        <f t="shared" ref="J467:S467" si="513">J103</f>
        <v>173700</v>
      </c>
      <c r="K467" s="9">
        <f t="shared" si="513"/>
        <v>180500</v>
      </c>
      <c r="L467" s="9">
        <f t="shared" si="513"/>
        <v>188000</v>
      </c>
      <c r="M467" s="9">
        <f t="shared" si="513"/>
        <v>195700</v>
      </c>
      <c r="N467" s="9">
        <f t="shared" si="513"/>
        <v>203700</v>
      </c>
      <c r="O467" s="9">
        <f t="shared" si="513"/>
        <v>211700</v>
      </c>
      <c r="P467" s="9">
        <f t="shared" si="513"/>
        <v>220000</v>
      </c>
      <c r="Q467" s="9">
        <f t="shared" si="513"/>
        <v>228600</v>
      </c>
      <c r="R467" s="9">
        <f t="shared" si="513"/>
        <v>237600</v>
      </c>
      <c r="S467" s="47">
        <f t="shared" si="513"/>
        <v>246600</v>
      </c>
    </row>
    <row r="468" spans="1:19" x14ac:dyDescent="0.2">
      <c r="A468" s="54">
        <f>A154</f>
        <v>-626800</v>
      </c>
      <c r="B468" s="9">
        <f>B154</f>
        <v>-669600</v>
      </c>
      <c r="C468" s="29">
        <f>C154</f>
        <v>-525300</v>
      </c>
      <c r="D468" s="29">
        <f>D154</f>
        <v>-694300</v>
      </c>
      <c r="E468" s="9">
        <f>E154</f>
        <v>-837600</v>
      </c>
      <c r="F468" s="469"/>
      <c r="G468" s="31" t="s">
        <v>3132</v>
      </c>
      <c r="H468" s="9">
        <f>H154</f>
        <v>-1294900</v>
      </c>
      <c r="I468" s="85">
        <f>IF(E468=H468,0,IF(E468=0,100,(H468-E468)/E468*100))</f>
        <v>54.59646609360076</v>
      </c>
      <c r="J468" s="9">
        <f t="shared" ref="J468:S468" si="514">J154</f>
        <v>-889900</v>
      </c>
      <c r="K468" s="9">
        <f t="shared" si="514"/>
        <v>-910100</v>
      </c>
      <c r="L468" s="9">
        <f t="shared" si="514"/>
        <v>-930800</v>
      </c>
      <c r="M468" s="9">
        <f t="shared" si="514"/>
        <v>-952100</v>
      </c>
      <c r="N468" s="9">
        <f t="shared" si="514"/>
        <v>-973700</v>
      </c>
      <c r="O468" s="9">
        <f t="shared" si="514"/>
        <v>-995900</v>
      </c>
      <c r="P468" s="9">
        <f t="shared" si="514"/>
        <v>-1018600</v>
      </c>
      <c r="Q468" s="9">
        <f t="shared" si="514"/>
        <v>-1041700</v>
      </c>
      <c r="R468" s="9">
        <f t="shared" si="514"/>
        <v>-1065600</v>
      </c>
      <c r="S468" s="47">
        <f t="shared" si="514"/>
        <v>-1090000</v>
      </c>
    </row>
    <row r="469" spans="1:19" x14ac:dyDescent="0.2">
      <c r="A469" s="54">
        <f>A198</f>
        <v>-272400</v>
      </c>
      <c r="B469" s="9">
        <f>B198</f>
        <v>-307700</v>
      </c>
      <c r="C469" s="29">
        <f>C198</f>
        <v>-205800</v>
      </c>
      <c r="D469" s="29">
        <f>D198</f>
        <v>-309600</v>
      </c>
      <c r="E469" s="9">
        <f>E198</f>
        <v>-383700</v>
      </c>
      <c r="F469" s="469"/>
      <c r="G469" s="31" t="s">
        <v>4087</v>
      </c>
      <c r="H469" s="9">
        <f>H198</f>
        <v>-327200</v>
      </c>
      <c r="I469" s="85">
        <f>IF(E469=H469,0,IF(E469=0,100,(H469-E469)/E469*100))</f>
        <v>-14.725045608548346</v>
      </c>
      <c r="J469" s="9">
        <f t="shared" ref="J469:S469" si="515">J198</f>
        <v>-341300</v>
      </c>
      <c r="K469" s="9">
        <f t="shared" si="515"/>
        <v>-348800</v>
      </c>
      <c r="L469" s="9">
        <f t="shared" si="515"/>
        <v>-356800</v>
      </c>
      <c r="M469" s="9">
        <f t="shared" si="515"/>
        <v>-365300</v>
      </c>
      <c r="N469" s="9">
        <f t="shared" si="515"/>
        <v>-373900</v>
      </c>
      <c r="O469" s="9">
        <f t="shared" si="515"/>
        <v>-382700</v>
      </c>
      <c r="P469" s="9">
        <f t="shared" si="515"/>
        <v>-391700</v>
      </c>
      <c r="Q469" s="9">
        <f t="shared" si="515"/>
        <v>-401000</v>
      </c>
      <c r="R469" s="9">
        <f t="shared" si="515"/>
        <v>-410500</v>
      </c>
      <c r="S469" s="47">
        <f t="shared" si="515"/>
        <v>-420000</v>
      </c>
    </row>
    <row r="470" spans="1:19" ht="13.5" thickBot="1" x14ac:dyDescent="0.25">
      <c r="A470" s="24"/>
      <c r="B470" s="21"/>
      <c r="C470" s="32"/>
      <c r="D470" s="32"/>
      <c r="E470" s="21"/>
      <c r="F470" s="469"/>
      <c r="G470" s="46"/>
      <c r="H470" s="9"/>
      <c r="I470" s="126"/>
      <c r="J470" s="9"/>
      <c r="K470" s="9"/>
      <c r="L470" s="9"/>
      <c r="M470" s="9"/>
      <c r="N470" s="9"/>
      <c r="O470" s="9"/>
      <c r="P470" s="9"/>
      <c r="Q470" s="9"/>
      <c r="R470" s="9"/>
      <c r="S470" s="47"/>
    </row>
    <row r="471" spans="1:19" x14ac:dyDescent="0.2">
      <c r="A471" s="52">
        <f>SUM(A466:A470)</f>
        <v>-2317200</v>
      </c>
      <c r="B471" s="16">
        <f>SUM(B466:B470)</f>
        <v>-1945300</v>
      </c>
      <c r="C471" s="124">
        <f>SUM(C466:C470)</f>
        <v>-1449100</v>
      </c>
      <c r="D471" s="124">
        <f>SUM(D466:D470)</f>
        <v>-1348400</v>
      </c>
      <c r="E471" s="16">
        <f t="shared" ref="E471" si="516">SUM(E466:E470)</f>
        <v>-1945100</v>
      </c>
      <c r="F471" s="469"/>
      <c r="G471" s="361" t="s">
        <v>2143</v>
      </c>
      <c r="H471" s="16">
        <f t="shared" ref="H471:O471" si="517">SUM(H466:H470)</f>
        <v>-2363600</v>
      </c>
      <c r="I471" s="127">
        <f>IF(E471=H471,0,IF(E471=0,100,(H471-E471)/E471*100))</f>
        <v>21.515603310883762</v>
      </c>
      <c r="J471" s="16">
        <f t="shared" si="517"/>
        <v>-2088600</v>
      </c>
      <c r="K471" s="16">
        <f t="shared" si="517"/>
        <v>-2131900</v>
      </c>
      <c r="L471" s="16">
        <f t="shared" si="517"/>
        <v>-2175800</v>
      </c>
      <c r="M471" s="16">
        <f t="shared" si="517"/>
        <v>-2221200</v>
      </c>
      <c r="N471" s="16">
        <f t="shared" si="517"/>
        <v>-2267500</v>
      </c>
      <c r="O471" s="16">
        <f t="shared" si="517"/>
        <v>-2315100</v>
      </c>
      <c r="P471" s="16">
        <f t="shared" ref="P471:Q471" si="518">SUM(P466:P470)</f>
        <v>-2363600</v>
      </c>
      <c r="Q471" s="16">
        <f t="shared" si="518"/>
        <v>-2413000</v>
      </c>
      <c r="R471" s="16">
        <f t="shared" ref="R471" si="519">SUM(R466:R470)</f>
        <v>-2463500</v>
      </c>
      <c r="S471" s="2342">
        <f t="shared" ref="S471" si="520">SUM(S466:S470)</f>
        <v>-2514900</v>
      </c>
    </row>
    <row r="472" spans="1:19" ht="13.5" thickBot="1" x14ac:dyDescent="0.25">
      <c r="A472" s="26"/>
      <c r="B472" s="37"/>
      <c r="C472" s="35"/>
      <c r="D472" s="35"/>
      <c r="E472" s="37"/>
      <c r="F472" s="491"/>
      <c r="G472" s="88"/>
      <c r="H472" s="23"/>
      <c r="I472" s="275"/>
      <c r="J472" s="23"/>
      <c r="K472" s="23"/>
      <c r="L472" s="23"/>
      <c r="M472" s="23"/>
      <c r="N472" s="23"/>
      <c r="O472" s="23"/>
      <c r="P472" s="23"/>
      <c r="Q472" s="23"/>
      <c r="R472" s="23"/>
      <c r="S472" s="114"/>
    </row>
    <row r="473" spans="1:19" ht="14.25" thickTop="1" thickBot="1" x14ac:dyDescent="0.25">
      <c r="A473" s="27"/>
      <c r="B473" s="27"/>
      <c r="C473" s="27"/>
      <c r="D473" s="27"/>
      <c r="E473" s="27"/>
      <c r="F473" s="468"/>
      <c r="G473" s="84"/>
      <c r="H473" s="27"/>
      <c r="I473" s="2234"/>
      <c r="J473" s="27"/>
      <c r="K473" s="27"/>
      <c r="L473" s="46"/>
      <c r="M473" s="46"/>
      <c r="N473" s="46"/>
      <c r="O473" s="46"/>
      <c r="P473" s="46"/>
      <c r="Q473" s="46"/>
      <c r="R473" s="46"/>
      <c r="S473" s="46"/>
    </row>
    <row r="474" spans="1:19" s="39" customFormat="1" ht="13.5" thickTop="1" x14ac:dyDescent="0.2">
      <c r="A474" s="2610" t="s">
        <v>1824</v>
      </c>
      <c r="B474" s="2611"/>
      <c r="C474" s="2611"/>
      <c r="D474" s="2611"/>
      <c r="E474" s="2612"/>
      <c r="F474" s="2353" t="s">
        <v>2616</v>
      </c>
      <c r="G474" s="2372" t="s">
        <v>2213</v>
      </c>
      <c r="H474" s="2608" t="s">
        <v>2215</v>
      </c>
      <c r="I474" s="2608"/>
      <c r="J474" s="2608"/>
      <c r="K474" s="2608"/>
      <c r="L474" s="2608"/>
      <c r="M474" s="2608"/>
      <c r="N474" s="2608"/>
      <c r="O474" s="2608"/>
      <c r="P474" s="2608"/>
      <c r="Q474" s="2608"/>
      <c r="R474" s="2608"/>
      <c r="S474" s="2609"/>
    </row>
    <row r="475" spans="1:19" ht="13.5" thickBot="1" x14ac:dyDescent="0.25">
      <c r="A475" s="1647" t="str">
        <f>A3</f>
        <v>2012/13</v>
      </c>
      <c r="B475" s="40" t="str">
        <f>B3</f>
        <v>2013/14</v>
      </c>
      <c r="C475" s="1445" t="str">
        <f>C3</f>
        <v>2014/15</v>
      </c>
      <c r="D475" s="40" t="str">
        <f>D3</f>
        <v>2015/16</v>
      </c>
      <c r="E475" s="40" t="str">
        <f>E3</f>
        <v>2016/17</v>
      </c>
      <c r="F475" s="497" t="s">
        <v>2617</v>
      </c>
      <c r="G475" s="41"/>
      <c r="H475" s="28" t="str">
        <f t="shared" ref="H475:S475" si="521">H3</f>
        <v>2017/18</v>
      </c>
      <c r="I475" s="28" t="str">
        <f t="shared" si="521"/>
        <v>%</v>
      </c>
      <c r="J475" s="28" t="str">
        <f t="shared" si="521"/>
        <v>2018/19</v>
      </c>
      <c r="K475" s="28" t="str">
        <f t="shared" si="521"/>
        <v>2019/20</v>
      </c>
      <c r="L475" s="28" t="str">
        <f t="shared" si="521"/>
        <v>2020/21</v>
      </c>
      <c r="M475" s="28" t="str">
        <f t="shared" si="521"/>
        <v>2021/22</v>
      </c>
      <c r="N475" s="28" t="str">
        <f t="shared" si="521"/>
        <v>2022/23</v>
      </c>
      <c r="O475" s="28" t="str">
        <f t="shared" si="521"/>
        <v>2023/24</v>
      </c>
      <c r="P475" s="28" t="str">
        <f t="shared" si="521"/>
        <v>2024/25</v>
      </c>
      <c r="Q475" s="28" t="str">
        <f t="shared" si="521"/>
        <v>2025/26</v>
      </c>
      <c r="R475" s="28" t="str">
        <f t="shared" si="521"/>
        <v>2026/27</v>
      </c>
      <c r="S475" s="1262" t="str">
        <f t="shared" si="521"/>
        <v>2027/28</v>
      </c>
    </row>
    <row r="476" spans="1:19" x14ac:dyDescent="0.2">
      <c r="A476" s="54"/>
      <c r="B476" s="9"/>
      <c r="C476" s="29"/>
      <c r="D476" s="9"/>
      <c r="E476" s="9"/>
      <c r="F476" s="469"/>
      <c r="G476" s="27"/>
      <c r="H476" s="9"/>
      <c r="I476" s="85"/>
      <c r="J476" s="9"/>
      <c r="K476" s="9"/>
      <c r="L476" s="9"/>
      <c r="M476" s="9"/>
      <c r="N476" s="9"/>
      <c r="O476" s="9"/>
      <c r="P476" s="9"/>
      <c r="Q476" s="9"/>
      <c r="R476" s="9"/>
      <c r="S476" s="61"/>
    </row>
    <row r="477" spans="1:19" x14ac:dyDescent="0.2">
      <c r="A477" s="54">
        <f>A66</f>
        <v>-990000</v>
      </c>
      <c r="B477" s="9">
        <f>B66</f>
        <v>-865400</v>
      </c>
      <c r="C477" s="29">
        <f>C66</f>
        <v>-935100</v>
      </c>
      <c r="D477" s="9">
        <f>D66</f>
        <v>-661300</v>
      </c>
      <c r="E477" s="9">
        <f>E66</f>
        <v>-1088500</v>
      </c>
      <c r="F477" s="469"/>
      <c r="G477" s="46" t="str">
        <f>G466</f>
        <v>Development Services</v>
      </c>
      <c r="H477" s="9">
        <f>H66</f>
        <v>-928600</v>
      </c>
      <c r="I477" s="85">
        <f>IF(E477=H477,0,IF(E477=0,100,(H477-E477)/E477*100))</f>
        <v>-14.689940284795592</v>
      </c>
      <c r="J477" s="9">
        <f t="shared" ref="J477:S477" si="522">J66</f>
        <v>-1031100</v>
      </c>
      <c r="K477" s="9">
        <f t="shared" si="522"/>
        <v>-1053500</v>
      </c>
      <c r="L477" s="9">
        <f t="shared" si="522"/>
        <v>-1076200</v>
      </c>
      <c r="M477" s="9">
        <f t="shared" si="522"/>
        <v>-1099500</v>
      </c>
      <c r="N477" s="9">
        <f t="shared" si="522"/>
        <v>-1123600</v>
      </c>
      <c r="O477" s="9">
        <f t="shared" si="522"/>
        <v>-1148200</v>
      </c>
      <c r="P477" s="9">
        <f t="shared" si="522"/>
        <v>-1173300</v>
      </c>
      <c r="Q477" s="9">
        <f t="shared" si="522"/>
        <v>-1198900</v>
      </c>
      <c r="R477" s="9">
        <f t="shared" si="522"/>
        <v>-1225000</v>
      </c>
      <c r="S477" s="47">
        <f t="shared" si="522"/>
        <v>-1251500</v>
      </c>
    </row>
    <row r="478" spans="1:19" x14ac:dyDescent="0.2">
      <c r="A478" s="54">
        <f>A101</f>
        <v>-428000</v>
      </c>
      <c r="B478" s="9">
        <f>B101</f>
        <v>-102600</v>
      </c>
      <c r="C478" s="29">
        <f>C101</f>
        <v>217100</v>
      </c>
      <c r="D478" s="9">
        <f>D101</f>
        <v>316800</v>
      </c>
      <c r="E478" s="9">
        <f>E101</f>
        <v>364700</v>
      </c>
      <c r="F478" s="469"/>
      <c r="G478" s="46" t="str">
        <f>G467</f>
        <v>Building Services</v>
      </c>
      <c r="H478" s="9">
        <f>H101</f>
        <v>187100</v>
      </c>
      <c r="I478" s="85">
        <f>IF(E478=H478,0,IF(E478=0,100,(H478-E478)/E478*100))</f>
        <v>-48.697559638058678</v>
      </c>
      <c r="J478" s="9">
        <f t="shared" ref="J478:S478" si="523">J101</f>
        <v>173700</v>
      </c>
      <c r="K478" s="9">
        <f t="shared" si="523"/>
        <v>180500</v>
      </c>
      <c r="L478" s="9">
        <f t="shared" si="523"/>
        <v>188000</v>
      </c>
      <c r="M478" s="9">
        <f t="shared" si="523"/>
        <v>195700</v>
      </c>
      <c r="N478" s="9">
        <f t="shared" si="523"/>
        <v>203700</v>
      </c>
      <c r="O478" s="9">
        <f t="shared" si="523"/>
        <v>211700</v>
      </c>
      <c r="P478" s="9">
        <f t="shared" si="523"/>
        <v>220000</v>
      </c>
      <c r="Q478" s="9">
        <f t="shared" si="523"/>
        <v>228600</v>
      </c>
      <c r="R478" s="9">
        <f t="shared" si="523"/>
        <v>237600</v>
      </c>
      <c r="S478" s="47">
        <f t="shared" si="523"/>
        <v>246600</v>
      </c>
    </row>
    <row r="479" spans="1:19" x14ac:dyDescent="0.2">
      <c r="A479" s="54">
        <f>A152</f>
        <v>-626800</v>
      </c>
      <c r="B479" s="9">
        <f>B152</f>
        <v>-669600</v>
      </c>
      <c r="C479" s="29">
        <f>C152</f>
        <v>-525300</v>
      </c>
      <c r="D479" s="9">
        <f>D152</f>
        <v>-694300</v>
      </c>
      <c r="E479" s="9">
        <f>E152</f>
        <v>-837600</v>
      </c>
      <c r="F479" s="469"/>
      <c r="G479" s="46" t="str">
        <f>G468</f>
        <v>Environmental and Public Health</v>
      </c>
      <c r="H479" s="9">
        <f>H152</f>
        <v>-1294900</v>
      </c>
      <c r="I479" s="85">
        <f>IF(E479=H479,0,IF(E479=0,100,(H479-E479)/E479*100))</f>
        <v>54.59646609360076</v>
      </c>
      <c r="J479" s="9">
        <f t="shared" ref="J479:S479" si="524">J152</f>
        <v>-889900</v>
      </c>
      <c r="K479" s="9">
        <f t="shared" si="524"/>
        <v>-910100</v>
      </c>
      <c r="L479" s="9">
        <f t="shared" si="524"/>
        <v>-930800</v>
      </c>
      <c r="M479" s="9">
        <f t="shared" si="524"/>
        <v>-952100</v>
      </c>
      <c r="N479" s="9">
        <f t="shared" si="524"/>
        <v>-973700</v>
      </c>
      <c r="O479" s="9">
        <f t="shared" si="524"/>
        <v>-995900</v>
      </c>
      <c r="P479" s="9">
        <f t="shared" si="524"/>
        <v>-1018600</v>
      </c>
      <c r="Q479" s="9">
        <f t="shared" si="524"/>
        <v>-1041700</v>
      </c>
      <c r="R479" s="9">
        <f t="shared" si="524"/>
        <v>-1065600</v>
      </c>
      <c r="S479" s="47">
        <f t="shared" si="524"/>
        <v>-1090000</v>
      </c>
    </row>
    <row r="480" spans="1:19" x14ac:dyDescent="0.2">
      <c r="A480" s="54">
        <f>A196</f>
        <v>-277400</v>
      </c>
      <c r="B480" s="9">
        <f>B196</f>
        <v>-317500</v>
      </c>
      <c r="C480" s="29">
        <f>C196</f>
        <v>-210200</v>
      </c>
      <c r="D480" s="9">
        <f>D196</f>
        <v>-314100</v>
      </c>
      <c r="E480" s="9">
        <f>E196</f>
        <v>-389000</v>
      </c>
      <c r="F480" s="469"/>
      <c r="G480" s="46" t="str">
        <f>G469</f>
        <v>Public Order</v>
      </c>
      <c r="H480" s="9">
        <f>H196</f>
        <v>-331700</v>
      </c>
      <c r="I480" s="85">
        <f>IF(E480=H480,0,IF(E480=0,100,(H480-E480)/E480*100))</f>
        <v>-14.730077120822621</v>
      </c>
      <c r="J480" s="9">
        <f t="shared" ref="J480:S480" si="525">J196</f>
        <v>-346800</v>
      </c>
      <c r="K480" s="9">
        <f t="shared" si="525"/>
        <v>-354500</v>
      </c>
      <c r="L480" s="9">
        <f t="shared" si="525"/>
        <v>-362700</v>
      </c>
      <c r="M480" s="9">
        <f t="shared" si="525"/>
        <v>-371400</v>
      </c>
      <c r="N480" s="9">
        <f t="shared" si="525"/>
        <v>-380200</v>
      </c>
      <c r="O480" s="9">
        <f t="shared" si="525"/>
        <v>-389200</v>
      </c>
      <c r="P480" s="9">
        <f t="shared" si="525"/>
        <v>-398400</v>
      </c>
      <c r="Q480" s="9">
        <f t="shared" si="525"/>
        <v>-407900</v>
      </c>
      <c r="R480" s="9">
        <f t="shared" si="525"/>
        <v>-417600</v>
      </c>
      <c r="S480" s="47">
        <f t="shared" si="525"/>
        <v>-427300</v>
      </c>
    </row>
    <row r="481" spans="1:19" ht="13.5" thickBot="1" x14ac:dyDescent="0.25">
      <c r="A481" s="24"/>
      <c r="B481" s="21"/>
      <c r="C481" s="32"/>
      <c r="D481" s="21"/>
      <c r="E481" s="21"/>
      <c r="F481" s="469"/>
      <c r="G481" s="46"/>
      <c r="H481" s="9"/>
      <c r="I481" s="126"/>
      <c r="J481" s="9"/>
      <c r="K481" s="9"/>
      <c r="L481" s="9"/>
      <c r="M481" s="9"/>
      <c r="N481" s="9"/>
      <c r="O481" s="9"/>
      <c r="P481" s="9"/>
      <c r="Q481" s="9"/>
      <c r="R481" s="9"/>
      <c r="S481" s="47"/>
    </row>
    <row r="482" spans="1:19" x14ac:dyDescent="0.2">
      <c r="A482" s="52">
        <f>SUM(A477:A481)</f>
        <v>-2322200</v>
      </c>
      <c r="B482" s="16">
        <f>SUM(B477:B481)</f>
        <v>-1955100</v>
      </c>
      <c r="C482" s="124">
        <f>SUM(C477:C481)</f>
        <v>-1453500</v>
      </c>
      <c r="D482" s="16">
        <f>SUM(D477:D481)</f>
        <v>-1352900</v>
      </c>
      <c r="E482" s="16">
        <f t="shared" ref="E482" si="526">SUM(E477:E481)</f>
        <v>-1950400</v>
      </c>
      <c r="F482" s="469"/>
      <c r="G482" s="361" t="s">
        <v>361</v>
      </c>
      <c r="H482" s="16">
        <f t="shared" ref="H482:O482" si="527">SUM(H477:H481)</f>
        <v>-2368100</v>
      </c>
      <c r="I482" s="127">
        <f>IF(E482=H482,0,IF(E482=0,100,(H482-E482)/E482*100))</f>
        <v>21.416119770303528</v>
      </c>
      <c r="J482" s="16">
        <f t="shared" si="527"/>
        <v>-2094100</v>
      </c>
      <c r="K482" s="16">
        <f t="shared" si="527"/>
        <v>-2137600</v>
      </c>
      <c r="L482" s="16">
        <f t="shared" si="527"/>
        <v>-2181700</v>
      </c>
      <c r="M482" s="16">
        <f t="shared" si="527"/>
        <v>-2227300</v>
      </c>
      <c r="N482" s="16">
        <f t="shared" si="527"/>
        <v>-2273800</v>
      </c>
      <c r="O482" s="16">
        <f t="shared" si="527"/>
        <v>-2321600</v>
      </c>
      <c r="P482" s="16">
        <f t="shared" ref="P482:Q482" si="528">SUM(P477:P481)</f>
        <v>-2370300</v>
      </c>
      <c r="Q482" s="16">
        <f t="shared" si="528"/>
        <v>-2419900</v>
      </c>
      <c r="R482" s="16">
        <f t="shared" ref="R482" si="529">SUM(R477:R481)</f>
        <v>-2470600</v>
      </c>
      <c r="S482" s="2342">
        <f t="shared" ref="S482" si="530">SUM(S477:S481)</f>
        <v>-2522200</v>
      </c>
    </row>
    <row r="483" spans="1:19" x14ac:dyDescent="0.2">
      <c r="A483" s="24"/>
      <c r="B483" s="21"/>
      <c r="C483" s="27"/>
      <c r="D483" s="21"/>
      <c r="E483" s="21"/>
      <c r="F483" s="469"/>
      <c r="G483" s="361"/>
      <c r="H483" s="21"/>
      <c r="I483" s="126"/>
      <c r="J483" s="21"/>
      <c r="K483" s="21"/>
      <c r="L483" s="21"/>
      <c r="M483" s="21"/>
      <c r="N483" s="21"/>
      <c r="O483" s="21"/>
      <c r="P483" s="21"/>
      <c r="Q483" s="21"/>
      <c r="R483" s="21"/>
      <c r="S483" s="86"/>
    </row>
    <row r="484" spans="1:19" x14ac:dyDescent="0.2">
      <c r="A484" s="24">
        <f>A471</f>
        <v>-2317200</v>
      </c>
      <c r="B484" s="21">
        <f>B471</f>
        <v>-1945300</v>
      </c>
      <c r="C484" s="27">
        <f>C471</f>
        <v>-1449100</v>
      </c>
      <c r="D484" s="21">
        <f>D471</f>
        <v>-1348400</v>
      </c>
      <c r="E484" s="21">
        <f t="shared" ref="E484" si="531">E471</f>
        <v>-1945100</v>
      </c>
      <c r="F484" s="469"/>
      <c r="G484" s="361" t="s">
        <v>2755</v>
      </c>
      <c r="H484" s="21">
        <f t="shared" ref="H484:P484" si="532">H471</f>
        <v>-2363600</v>
      </c>
      <c r="I484" s="126">
        <f>IF(E484=H484,0,IF(E484=0,100,(H484-E484)/E484*100))</f>
        <v>21.515603310883762</v>
      </c>
      <c r="J484" s="21">
        <f t="shared" si="532"/>
        <v>-2088600</v>
      </c>
      <c r="K484" s="21">
        <f t="shared" si="532"/>
        <v>-2131900</v>
      </c>
      <c r="L484" s="21">
        <f t="shared" si="532"/>
        <v>-2175800</v>
      </c>
      <c r="M484" s="21">
        <f t="shared" si="532"/>
        <v>-2221200</v>
      </c>
      <c r="N484" s="21">
        <f t="shared" si="532"/>
        <v>-2267500</v>
      </c>
      <c r="O484" s="21">
        <f t="shared" si="532"/>
        <v>-2315100</v>
      </c>
      <c r="P484" s="21">
        <f t="shared" si="532"/>
        <v>-2363600</v>
      </c>
      <c r="Q484" s="21">
        <f t="shared" ref="Q484" si="533">Q471</f>
        <v>-2413000</v>
      </c>
      <c r="R484" s="21">
        <f t="shared" ref="R484" si="534">R471</f>
        <v>-2463500</v>
      </c>
      <c r="S484" s="86">
        <f t="shared" ref="S484" si="535">S471</f>
        <v>-2514900</v>
      </c>
    </row>
    <row r="485" spans="1:19" x14ac:dyDescent="0.2">
      <c r="A485" s="24"/>
      <c r="B485" s="21"/>
      <c r="C485" s="27"/>
      <c r="D485" s="21"/>
      <c r="E485" s="21"/>
      <c r="F485" s="469"/>
      <c r="G485" s="361"/>
      <c r="H485" s="21"/>
      <c r="I485" s="126"/>
      <c r="J485" s="21"/>
      <c r="K485" s="21"/>
      <c r="L485" s="21"/>
      <c r="M485" s="21"/>
      <c r="N485" s="21"/>
      <c r="O485" s="21"/>
      <c r="P485" s="21"/>
      <c r="Q485" s="21"/>
      <c r="R485" s="21"/>
      <c r="S485" s="86"/>
    </row>
    <row r="486" spans="1:19" x14ac:dyDescent="0.2">
      <c r="A486" s="24">
        <f>A447</f>
        <v>5000</v>
      </c>
      <c r="B486" s="21">
        <f>B447</f>
        <v>9800</v>
      </c>
      <c r="C486" s="27">
        <f>C447</f>
        <v>4400</v>
      </c>
      <c r="D486" s="21">
        <f>D447</f>
        <v>4500</v>
      </c>
      <c r="E486" s="21">
        <f t="shared" ref="E486" si="536">E447</f>
        <v>5300</v>
      </c>
      <c r="F486" s="469"/>
      <c r="G486" s="361" t="s">
        <v>2035</v>
      </c>
      <c r="H486" s="21">
        <f t="shared" ref="H486:P486" si="537">H447</f>
        <v>4500</v>
      </c>
      <c r="I486" s="126">
        <f>IF(E486=H486,0,IF(E486=0,100,(H486-E486)/E486*100))</f>
        <v>-15.09433962264151</v>
      </c>
      <c r="J486" s="21">
        <f t="shared" si="537"/>
        <v>5500</v>
      </c>
      <c r="K486" s="21">
        <f t="shared" si="537"/>
        <v>5700</v>
      </c>
      <c r="L486" s="21">
        <f t="shared" si="537"/>
        <v>5900</v>
      </c>
      <c r="M486" s="21">
        <f t="shared" si="537"/>
        <v>6100</v>
      </c>
      <c r="N486" s="21">
        <f t="shared" si="537"/>
        <v>6300</v>
      </c>
      <c r="O486" s="21">
        <f t="shared" si="537"/>
        <v>6500</v>
      </c>
      <c r="P486" s="21">
        <f t="shared" si="537"/>
        <v>6700</v>
      </c>
      <c r="Q486" s="21">
        <f t="shared" ref="Q486" si="538">Q447</f>
        <v>6900</v>
      </c>
      <c r="R486" s="21">
        <f t="shared" ref="R486" si="539">R447</f>
        <v>7100</v>
      </c>
      <c r="S486" s="86">
        <f t="shared" ref="S486" si="540">S447</f>
        <v>7300</v>
      </c>
    </row>
    <row r="487" spans="1:19" x14ac:dyDescent="0.2">
      <c r="A487" s="24"/>
      <c r="B487" s="21"/>
      <c r="C487" s="27"/>
      <c r="D487" s="21"/>
      <c r="E487" s="21"/>
      <c r="F487" s="469"/>
      <c r="G487" s="361"/>
      <c r="H487" s="21"/>
      <c r="I487" s="126"/>
      <c r="J487" s="21"/>
      <c r="K487" s="21"/>
      <c r="L487" s="21"/>
      <c r="M487" s="21"/>
      <c r="N487" s="21"/>
      <c r="O487" s="21"/>
      <c r="P487" s="21"/>
      <c r="Q487" s="21"/>
      <c r="R487" s="21"/>
      <c r="S487" s="86"/>
    </row>
    <row r="488" spans="1:19" x14ac:dyDescent="0.2">
      <c r="A488" s="24">
        <f>A482+A486-A484</f>
        <v>0</v>
      </c>
      <c r="B488" s="21">
        <f>B482+B486-B484</f>
        <v>0</v>
      </c>
      <c r="C488" s="27">
        <f>C482+C486-C484</f>
        <v>0</v>
      </c>
      <c r="D488" s="21">
        <f>D482+D486-D484</f>
        <v>0</v>
      </c>
      <c r="E488" s="21">
        <f t="shared" ref="E488" si="541">E482+E486-E484</f>
        <v>0</v>
      </c>
      <c r="F488" s="469"/>
      <c r="G488" s="361" t="s">
        <v>1731</v>
      </c>
      <c r="H488" s="21">
        <f t="shared" ref="H488:O488" si="542">H482+H486-H484</f>
        <v>0</v>
      </c>
      <c r="I488" s="126">
        <f>IF(E488=H488,0,IF(E488=0,100,(H488-E488)/E488*100))</f>
        <v>0</v>
      </c>
      <c r="J488" s="21">
        <f t="shared" si="542"/>
        <v>0</v>
      </c>
      <c r="K488" s="21">
        <f t="shared" si="542"/>
        <v>0</v>
      </c>
      <c r="L488" s="21">
        <f t="shared" si="542"/>
        <v>0</v>
      </c>
      <c r="M488" s="21">
        <f t="shared" si="542"/>
        <v>0</v>
      </c>
      <c r="N488" s="21">
        <f t="shared" si="542"/>
        <v>0</v>
      </c>
      <c r="O488" s="21">
        <f t="shared" si="542"/>
        <v>0</v>
      </c>
      <c r="P488" s="21">
        <f t="shared" ref="P488:Q488" si="543">P482+P486-P484</f>
        <v>0</v>
      </c>
      <c r="Q488" s="21">
        <f t="shared" si="543"/>
        <v>0</v>
      </c>
      <c r="R488" s="21">
        <f t="shared" ref="R488" si="544">R482+R486-R484</f>
        <v>0</v>
      </c>
      <c r="S488" s="86">
        <f t="shared" ref="S488" si="545">S482+S486-S484</f>
        <v>0</v>
      </c>
    </row>
    <row r="489" spans="1:19" ht="13.5" thickBot="1" x14ac:dyDescent="0.25">
      <c r="A489" s="26"/>
      <c r="B489" s="37"/>
      <c r="C489" s="35"/>
      <c r="D489" s="37"/>
      <c r="E489" s="37"/>
      <c r="F489" s="491"/>
      <c r="G489" s="88"/>
      <c r="H489" s="23"/>
      <c r="I489" s="275"/>
      <c r="J489" s="23"/>
      <c r="K489" s="23"/>
      <c r="L489" s="23"/>
      <c r="M489" s="23"/>
      <c r="N489" s="23"/>
      <c r="O489" s="23"/>
      <c r="P489" s="23"/>
      <c r="Q489" s="23"/>
      <c r="R489" s="23"/>
      <c r="S489" s="112"/>
    </row>
    <row r="490" spans="1:19" ht="14.25" thickTop="1" thickBot="1" x14ac:dyDescent="0.25"/>
    <row r="491" spans="1:19" s="39" customFormat="1" ht="13.5" thickTop="1" x14ac:dyDescent="0.2">
      <c r="A491" s="2610" t="s">
        <v>1824</v>
      </c>
      <c r="B491" s="2611"/>
      <c r="C491" s="2611"/>
      <c r="D491" s="2611"/>
      <c r="E491" s="2612"/>
      <c r="F491" s="2353" t="s">
        <v>2616</v>
      </c>
      <c r="G491" s="2372" t="s">
        <v>2213</v>
      </c>
      <c r="H491" s="2608" t="s">
        <v>2215</v>
      </c>
      <c r="I491" s="2608"/>
      <c r="J491" s="2608"/>
      <c r="K491" s="2608"/>
      <c r="L491" s="2608"/>
      <c r="M491" s="2608"/>
      <c r="N491" s="2608"/>
      <c r="O491" s="2608"/>
      <c r="P491" s="2608"/>
      <c r="Q491" s="2608"/>
      <c r="R491" s="2608"/>
      <c r="S491" s="2609"/>
    </row>
    <row r="492" spans="1:19" ht="13.5" thickBot="1" x14ac:dyDescent="0.25">
      <c r="A492" s="1647" t="str">
        <f>A3</f>
        <v>2012/13</v>
      </c>
      <c r="B492" s="40" t="str">
        <f>B3</f>
        <v>2013/14</v>
      </c>
      <c r="C492" s="40" t="str">
        <f>C3</f>
        <v>2014/15</v>
      </c>
      <c r="D492" s="40" t="str">
        <f>D3</f>
        <v>2015/16</v>
      </c>
      <c r="E492" s="40" t="str">
        <f>E3</f>
        <v>2016/17</v>
      </c>
      <c r="F492" s="497" t="s">
        <v>2617</v>
      </c>
      <c r="G492" s="41"/>
      <c r="H492" s="28" t="str">
        <f t="shared" ref="H492:S492" si="546">H3</f>
        <v>2017/18</v>
      </c>
      <c r="I492" s="28" t="str">
        <f t="shared" si="546"/>
        <v>%</v>
      </c>
      <c r="J492" s="28" t="str">
        <f t="shared" si="546"/>
        <v>2018/19</v>
      </c>
      <c r="K492" s="28" t="str">
        <f t="shared" si="546"/>
        <v>2019/20</v>
      </c>
      <c r="L492" s="28" t="str">
        <f t="shared" si="546"/>
        <v>2020/21</v>
      </c>
      <c r="M492" s="28" t="str">
        <f t="shared" si="546"/>
        <v>2021/22</v>
      </c>
      <c r="N492" s="28" t="str">
        <f t="shared" si="546"/>
        <v>2022/23</v>
      </c>
      <c r="O492" s="28" t="str">
        <f t="shared" si="546"/>
        <v>2023/24</v>
      </c>
      <c r="P492" s="28" t="str">
        <f t="shared" si="546"/>
        <v>2024/25</v>
      </c>
      <c r="Q492" s="28" t="str">
        <f t="shared" si="546"/>
        <v>2025/26</v>
      </c>
      <c r="R492" s="28" t="str">
        <f t="shared" si="546"/>
        <v>2026/27</v>
      </c>
      <c r="S492" s="1262" t="str">
        <f t="shared" si="546"/>
        <v>2027/28</v>
      </c>
    </row>
    <row r="493" spans="1:19" x14ac:dyDescent="0.2">
      <c r="A493" s="54"/>
      <c r="B493" s="9"/>
      <c r="C493" s="9"/>
      <c r="D493" s="9"/>
      <c r="E493" s="9"/>
      <c r="F493" s="469"/>
      <c r="G493" s="27"/>
      <c r="H493" s="9"/>
      <c r="I493" s="85"/>
      <c r="J493" s="9"/>
      <c r="K493" s="9"/>
      <c r="L493" s="9"/>
      <c r="M493" s="9"/>
      <c r="N493" s="9"/>
      <c r="O493" s="9"/>
      <c r="P493" s="9"/>
      <c r="Q493" s="9"/>
      <c r="R493" s="9"/>
      <c r="S493" s="61"/>
    </row>
    <row r="494" spans="1:19" x14ac:dyDescent="0.2">
      <c r="A494" s="54"/>
      <c r="B494" s="9"/>
      <c r="C494" s="9"/>
      <c r="D494" s="9"/>
      <c r="E494" s="9"/>
      <c r="F494" s="469"/>
      <c r="G494" s="27" t="s">
        <v>388</v>
      </c>
      <c r="H494" s="9"/>
      <c r="I494" s="85"/>
      <c r="J494" s="9"/>
      <c r="K494" s="9"/>
      <c r="L494" s="9"/>
      <c r="M494" s="9"/>
      <c r="N494" s="9"/>
      <c r="O494" s="9"/>
      <c r="P494" s="9"/>
      <c r="Q494" s="9"/>
      <c r="R494" s="9"/>
      <c r="S494" s="61"/>
    </row>
    <row r="495" spans="1:19" x14ac:dyDescent="0.2">
      <c r="A495" s="54"/>
      <c r="B495" s="9"/>
      <c r="C495" s="9"/>
      <c r="D495" s="9"/>
      <c r="E495" s="9"/>
      <c r="F495" s="469"/>
      <c r="G495" s="27"/>
      <c r="H495" s="9"/>
      <c r="I495" s="85"/>
      <c r="J495" s="9"/>
      <c r="K495" s="9"/>
      <c r="L495" s="9"/>
      <c r="M495" s="9"/>
      <c r="N495" s="9"/>
      <c r="O495" s="9"/>
      <c r="P495" s="9"/>
      <c r="Q495" s="9"/>
      <c r="R495" s="9"/>
      <c r="S495" s="61"/>
    </row>
    <row r="496" spans="1:19" x14ac:dyDescent="0.2">
      <c r="A496" s="54">
        <f>A56</f>
        <v>383000</v>
      </c>
      <c r="B496" s="9">
        <f>B56</f>
        <v>418900</v>
      </c>
      <c r="C496" s="9">
        <f>C56</f>
        <v>342800</v>
      </c>
      <c r="D496" s="9">
        <f>D56</f>
        <v>642000</v>
      </c>
      <c r="E496" s="9">
        <f>E56</f>
        <v>801100</v>
      </c>
      <c r="F496" s="469"/>
      <c r="G496" s="46" t="str">
        <f>G477</f>
        <v>Development Services</v>
      </c>
      <c r="H496" s="9">
        <f>H56</f>
        <v>798900</v>
      </c>
      <c r="I496" s="85">
        <f>IF(E496=H496,0,IF(E496=0,100,(H496-E496)/E496*100))</f>
        <v>-0.27462239420796403</v>
      </c>
      <c r="J496" s="9">
        <f t="shared" ref="J496:S496" si="547">J56</f>
        <v>748900</v>
      </c>
      <c r="K496" s="9">
        <f t="shared" si="547"/>
        <v>768300</v>
      </c>
      <c r="L496" s="9">
        <f t="shared" si="547"/>
        <v>788300</v>
      </c>
      <c r="M496" s="9">
        <f t="shared" si="547"/>
        <v>808700</v>
      </c>
      <c r="N496" s="9">
        <f t="shared" si="547"/>
        <v>829600</v>
      </c>
      <c r="O496" s="9">
        <f t="shared" si="547"/>
        <v>851000</v>
      </c>
      <c r="P496" s="9">
        <f t="shared" si="547"/>
        <v>873000</v>
      </c>
      <c r="Q496" s="9">
        <f t="shared" si="547"/>
        <v>895600</v>
      </c>
      <c r="R496" s="9">
        <f t="shared" si="547"/>
        <v>918700</v>
      </c>
      <c r="S496" s="47">
        <f t="shared" si="547"/>
        <v>942400</v>
      </c>
    </row>
    <row r="497" spans="1:19" x14ac:dyDescent="0.2">
      <c r="A497" s="54">
        <f>A91</f>
        <v>572000</v>
      </c>
      <c r="B497" s="9">
        <f>B91</f>
        <v>846400</v>
      </c>
      <c r="C497" s="9">
        <f>C91</f>
        <v>1144000</v>
      </c>
      <c r="D497" s="9">
        <f>D91</f>
        <v>1387400</v>
      </c>
      <c r="E497" s="9">
        <f>E91</f>
        <v>1479800</v>
      </c>
      <c r="F497" s="469"/>
      <c r="G497" s="46" t="str">
        <f>G478</f>
        <v>Building Services</v>
      </c>
      <c r="H497" s="9">
        <f>H91</f>
        <v>1360600</v>
      </c>
      <c r="I497" s="85">
        <f>IF(E497=H497,0,IF(E497=0,100,(H497-E497)/E497*100))</f>
        <v>-8.0551425868360589</v>
      </c>
      <c r="J497" s="9">
        <f t="shared" ref="J497:S497" si="548">J91</f>
        <v>1311000</v>
      </c>
      <c r="K497" s="9">
        <f t="shared" si="548"/>
        <v>1344300</v>
      </c>
      <c r="L497" s="9">
        <f t="shared" si="548"/>
        <v>1379000</v>
      </c>
      <c r="M497" s="9">
        <f t="shared" si="548"/>
        <v>1414400</v>
      </c>
      <c r="N497" s="9">
        <f t="shared" si="548"/>
        <v>1450800</v>
      </c>
      <c r="O497" s="9">
        <f t="shared" si="548"/>
        <v>1487900</v>
      </c>
      <c r="P497" s="9">
        <f t="shared" si="548"/>
        <v>1525900</v>
      </c>
      <c r="Q497" s="9">
        <f t="shared" si="548"/>
        <v>1564900</v>
      </c>
      <c r="R497" s="9">
        <f t="shared" si="548"/>
        <v>1605000</v>
      </c>
      <c r="S497" s="47">
        <f t="shared" si="548"/>
        <v>1645900</v>
      </c>
    </row>
    <row r="498" spans="1:19" x14ac:dyDescent="0.2">
      <c r="A498" s="54">
        <f>A131</f>
        <v>188200</v>
      </c>
      <c r="B498" s="9">
        <f>B131</f>
        <v>184800</v>
      </c>
      <c r="C498" s="9">
        <f>C131</f>
        <v>238100</v>
      </c>
      <c r="D498" s="9">
        <f>D131</f>
        <v>262400</v>
      </c>
      <c r="E498" s="9">
        <f>E131</f>
        <v>272700</v>
      </c>
      <c r="F498" s="483"/>
      <c r="G498" s="46" t="str">
        <f>G479</f>
        <v>Environmental and Public Health</v>
      </c>
      <c r="H498" s="9">
        <f>H131</f>
        <v>393500</v>
      </c>
      <c r="I498" s="85">
        <f>IF(E498=H498,0,IF(E498=0,100,(H498-E498)/E498*100))</f>
        <v>44.297763109644301</v>
      </c>
      <c r="J498" s="9">
        <f t="shared" ref="J498:S498" si="549">J131</f>
        <v>299800</v>
      </c>
      <c r="K498" s="9">
        <f t="shared" si="549"/>
        <v>307900</v>
      </c>
      <c r="L498" s="9">
        <f t="shared" si="549"/>
        <v>316300</v>
      </c>
      <c r="M498" s="9">
        <f t="shared" si="549"/>
        <v>324900</v>
      </c>
      <c r="N498" s="9">
        <f t="shared" si="549"/>
        <v>333800</v>
      </c>
      <c r="O498" s="9">
        <f t="shared" si="549"/>
        <v>342800</v>
      </c>
      <c r="P498" s="9">
        <f t="shared" si="549"/>
        <v>352000</v>
      </c>
      <c r="Q498" s="9">
        <f t="shared" si="549"/>
        <v>361400</v>
      </c>
      <c r="R498" s="9">
        <f t="shared" si="549"/>
        <v>371000</v>
      </c>
      <c r="S498" s="47">
        <f t="shared" si="549"/>
        <v>380800</v>
      </c>
    </row>
    <row r="499" spans="1:19" x14ac:dyDescent="0.2">
      <c r="A499" s="54">
        <f>A180</f>
        <v>110600</v>
      </c>
      <c r="B499" s="9">
        <f>B180</f>
        <v>163400</v>
      </c>
      <c r="C499" s="9">
        <f>C180</f>
        <v>313900</v>
      </c>
      <c r="D499" s="9">
        <f>D180</f>
        <v>233100</v>
      </c>
      <c r="E499" s="9">
        <f>E180</f>
        <v>183300</v>
      </c>
      <c r="F499" s="483"/>
      <c r="G499" s="46" t="str">
        <f>G480</f>
        <v>Public Order</v>
      </c>
      <c r="H499" s="9">
        <f>H180</f>
        <v>230000</v>
      </c>
      <c r="I499" s="85">
        <f>IF(E499=H499,0,IF(E499=0,100,(H499-E499)/E499*100))</f>
        <v>25.477359519912714</v>
      </c>
      <c r="J499" s="9">
        <f t="shared" ref="J499:S499" si="550">J180</f>
        <v>233200</v>
      </c>
      <c r="K499" s="9">
        <f t="shared" si="550"/>
        <v>239600</v>
      </c>
      <c r="L499" s="9">
        <f t="shared" si="550"/>
        <v>246200</v>
      </c>
      <c r="M499" s="9">
        <f t="shared" si="550"/>
        <v>252900</v>
      </c>
      <c r="N499" s="9">
        <f t="shared" si="550"/>
        <v>259700</v>
      </c>
      <c r="O499" s="9">
        <f t="shared" si="550"/>
        <v>266600</v>
      </c>
      <c r="P499" s="9">
        <f t="shared" si="550"/>
        <v>273700</v>
      </c>
      <c r="Q499" s="9">
        <f t="shared" si="550"/>
        <v>281000</v>
      </c>
      <c r="R499" s="9">
        <f t="shared" si="550"/>
        <v>288500</v>
      </c>
      <c r="S499" s="47">
        <f t="shared" si="550"/>
        <v>296300</v>
      </c>
    </row>
    <row r="500" spans="1:19" ht="13.5" thickBot="1" x14ac:dyDescent="0.25">
      <c r="A500" s="54"/>
      <c r="B500" s="9"/>
      <c r="C500" s="9"/>
      <c r="D500" s="9"/>
      <c r="E500" s="9"/>
      <c r="F500" s="483"/>
      <c r="G500" s="29"/>
      <c r="H500" s="9"/>
      <c r="I500" s="85"/>
      <c r="J500" s="9"/>
      <c r="K500" s="9"/>
      <c r="L500" s="9"/>
      <c r="M500" s="9"/>
      <c r="N500" s="9"/>
      <c r="O500" s="9"/>
      <c r="P500" s="9"/>
      <c r="Q500" s="9"/>
      <c r="R500" s="9"/>
      <c r="S500" s="47"/>
    </row>
    <row r="501" spans="1:19" s="39" customFormat="1" x14ac:dyDescent="0.2">
      <c r="A501" s="52">
        <f>SUM(A496:A500)</f>
        <v>1253800</v>
      </c>
      <c r="B501" s="16">
        <f>SUM(B496:B500)</f>
        <v>1613500</v>
      </c>
      <c r="C501" s="16">
        <f>SUM(C496:C500)</f>
        <v>2038800</v>
      </c>
      <c r="D501" s="16">
        <f>SUM(D496:D500)</f>
        <v>2524900</v>
      </c>
      <c r="E501" s="16">
        <f t="shared" ref="E501" si="551">SUM(E496:E500)</f>
        <v>2736900</v>
      </c>
      <c r="F501" s="484"/>
      <c r="G501" s="1158" t="s">
        <v>2561</v>
      </c>
      <c r="H501" s="16">
        <f t="shared" ref="H501:O501" si="552">SUM(H496:H500)</f>
        <v>2783000</v>
      </c>
      <c r="I501" s="127">
        <f>IF(E501=H501,0,IF(E501=0,100,(H501-E501)/E501*100))</f>
        <v>1.6843874456501884</v>
      </c>
      <c r="J501" s="16">
        <f t="shared" si="552"/>
        <v>2592900</v>
      </c>
      <c r="K501" s="16">
        <f t="shared" si="552"/>
        <v>2660100</v>
      </c>
      <c r="L501" s="16">
        <f t="shared" si="552"/>
        <v>2729800</v>
      </c>
      <c r="M501" s="16">
        <f t="shared" si="552"/>
        <v>2800900</v>
      </c>
      <c r="N501" s="16">
        <f t="shared" si="552"/>
        <v>2873900</v>
      </c>
      <c r="O501" s="16">
        <f t="shared" si="552"/>
        <v>2948300</v>
      </c>
      <c r="P501" s="16">
        <f t="shared" ref="P501:Q501" si="553">SUM(P496:P500)</f>
        <v>3024600</v>
      </c>
      <c r="Q501" s="16">
        <f t="shared" si="553"/>
        <v>3102900</v>
      </c>
      <c r="R501" s="16">
        <f t="shared" ref="R501" si="554">SUM(R496:R500)</f>
        <v>3183200</v>
      </c>
      <c r="S501" s="2342">
        <f t="shared" ref="S501" si="555">SUM(S496:S500)</f>
        <v>3265400</v>
      </c>
    </row>
    <row r="502" spans="1:19" x14ac:dyDescent="0.2">
      <c r="A502" s="54"/>
      <c r="B502" s="9"/>
      <c r="C502" s="9"/>
      <c r="D502" s="9"/>
      <c r="E502" s="9"/>
      <c r="F502" s="483"/>
      <c r="G502" s="29"/>
      <c r="H502" s="9"/>
      <c r="I502" s="85"/>
      <c r="J502" s="9"/>
      <c r="K502" s="9"/>
      <c r="L502" s="9"/>
      <c r="M502" s="9"/>
      <c r="N502" s="9"/>
      <c r="O502" s="9"/>
      <c r="P502" s="9"/>
      <c r="Q502" s="9"/>
      <c r="R502" s="9"/>
      <c r="S502" s="47"/>
    </row>
    <row r="503" spans="1:19" x14ac:dyDescent="0.2">
      <c r="A503" s="54"/>
      <c r="B503" s="9"/>
      <c r="C503" s="9"/>
      <c r="D503" s="9"/>
      <c r="E503" s="9"/>
      <c r="F503" s="483"/>
      <c r="G503" s="50" t="s">
        <v>2169</v>
      </c>
      <c r="H503" s="9"/>
      <c r="I503" s="85"/>
      <c r="J503" s="9"/>
      <c r="K503" s="9"/>
      <c r="L503" s="9"/>
      <c r="M503" s="9"/>
      <c r="N503" s="9"/>
      <c r="O503" s="9"/>
      <c r="P503" s="9"/>
      <c r="Q503" s="9"/>
      <c r="R503" s="9"/>
      <c r="S503" s="47"/>
    </row>
    <row r="504" spans="1:19" x14ac:dyDescent="0.2">
      <c r="A504" s="54"/>
      <c r="B504" s="9"/>
      <c r="C504" s="9"/>
      <c r="D504" s="9"/>
      <c r="E504" s="9"/>
      <c r="F504" s="469"/>
      <c r="G504" s="27"/>
      <c r="H504" s="9"/>
      <c r="I504" s="85"/>
      <c r="J504" s="9"/>
      <c r="K504" s="9"/>
      <c r="L504" s="9"/>
      <c r="M504" s="9"/>
      <c r="N504" s="9"/>
      <c r="O504" s="9"/>
      <c r="P504" s="9"/>
      <c r="Q504" s="9"/>
      <c r="R504" s="9"/>
      <c r="S504" s="47"/>
    </row>
    <row r="505" spans="1:19" x14ac:dyDescent="0.2">
      <c r="A505" s="54">
        <f>A64</f>
        <v>1373000</v>
      </c>
      <c r="B505" s="9">
        <f>B64</f>
        <v>1284300</v>
      </c>
      <c r="C505" s="9">
        <f>C64</f>
        <v>1277900</v>
      </c>
      <c r="D505" s="9">
        <f>D64</f>
        <v>1303300</v>
      </c>
      <c r="E505" s="9">
        <f>E64</f>
        <v>1889600</v>
      </c>
      <c r="F505" s="469"/>
      <c r="G505" s="46" t="str">
        <f>G496</f>
        <v>Development Services</v>
      </c>
      <c r="H505" s="9">
        <f>H64</f>
        <v>1727500</v>
      </c>
      <c r="I505" s="85">
        <f>IF(E505=H505,0,IF(E505=0,100,(H505-E505)/E505*100))</f>
        <v>-8.578535139712109</v>
      </c>
      <c r="J505" s="9">
        <f t="shared" ref="J505:S505" si="556">J64</f>
        <v>1780000</v>
      </c>
      <c r="K505" s="9">
        <f t="shared" si="556"/>
        <v>1821800</v>
      </c>
      <c r="L505" s="9">
        <f t="shared" si="556"/>
        <v>1864500</v>
      </c>
      <c r="M505" s="9">
        <f t="shared" si="556"/>
        <v>1908200</v>
      </c>
      <c r="N505" s="9">
        <f t="shared" si="556"/>
        <v>1953200</v>
      </c>
      <c r="O505" s="9">
        <f t="shared" si="556"/>
        <v>1999200</v>
      </c>
      <c r="P505" s="9">
        <f t="shared" si="556"/>
        <v>2046300</v>
      </c>
      <c r="Q505" s="9">
        <f t="shared" si="556"/>
        <v>2094500</v>
      </c>
      <c r="R505" s="9">
        <f t="shared" si="556"/>
        <v>2143700</v>
      </c>
      <c r="S505" s="47">
        <f t="shared" si="556"/>
        <v>2193900</v>
      </c>
    </row>
    <row r="506" spans="1:19" x14ac:dyDescent="0.2">
      <c r="A506" s="54">
        <f>A99</f>
        <v>1000000</v>
      </c>
      <c r="B506" s="9">
        <f>B99</f>
        <v>949000</v>
      </c>
      <c r="C506" s="9">
        <f>C99</f>
        <v>926900</v>
      </c>
      <c r="D506" s="9">
        <f>D99</f>
        <v>1070600</v>
      </c>
      <c r="E506" s="9">
        <f>E99</f>
        <v>1115100</v>
      </c>
      <c r="F506" s="469"/>
      <c r="G506" s="46" t="str">
        <f>G497</f>
        <v>Building Services</v>
      </c>
      <c r="H506" s="9">
        <f>H99</f>
        <v>1173500</v>
      </c>
      <c r="I506" s="85">
        <f>IF(E506=H506,0,IF(E506=0,100,(H506-E506)/E506*100))</f>
        <v>5.2371984575374402</v>
      </c>
      <c r="J506" s="9">
        <f t="shared" ref="J506:S506" si="557">J99</f>
        <v>1137300</v>
      </c>
      <c r="K506" s="9">
        <f t="shared" si="557"/>
        <v>1163800</v>
      </c>
      <c r="L506" s="9">
        <f t="shared" si="557"/>
        <v>1191000</v>
      </c>
      <c r="M506" s="9">
        <f t="shared" si="557"/>
        <v>1218700</v>
      </c>
      <c r="N506" s="9">
        <f t="shared" si="557"/>
        <v>1247100</v>
      </c>
      <c r="O506" s="9">
        <f t="shared" si="557"/>
        <v>1276200</v>
      </c>
      <c r="P506" s="9">
        <f t="shared" si="557"/>
        <v>1305900</v>
      </c>
      <c r="Q506" s="9">
        <f t="shared" si="557"/>
        <v>1336300</v>
      </c>
      <c r="R506" s="9">
        <f t="shared" si="557"/>
        <v>1367400</v>
      </c>
      <c r="S506" s="47">
        <f t="shared" si="557"/>
        <v>1399300</v>
      </c>
    </row>
    <row r="507" spans="1:19" x14ac:dyDescent="0.2">
      <c r="A507" s="54">
        <f>A150</f>
        <v>815000</v>
      </c>
      <c r="B507" s="9">
        <f>B150</f>
        <v>854400</v>
      </c>
      <c r="C507" s="9">
        <f>C150</f>
        <v>763400</v>
      </c>
      <c r="D507" s="9">
        <f>D150</f>
        <v>956700</v>
      </c>
      <c r="E507" s="9">
        <f>E150</f>
        <v>1110300</v>
      </c>
      <c r="F507" s="483"/>
      <c r="G507" s="46" t="str">
        <f>G498</f>
        <v>Environmental and Public Health</v>
      </c>
      <c r="H507" s="9">
        <f>H150</f>
        <v>1688400</v>
      </c>
      <c r="I507" s="85">
        <f>IF(E507=H507,0,IF(E507=0,100,(H507-E507)/E507*100))</f>
        <v>52.067008916509053</v>
      </c>
      <c r="J507" s="9">
        <f t="shared" ref="J507:S507" si="558">J150</f>
        <v>1189700</v>
      </c>
      <c r="K507" s="9">
        <f t="shared" si="558"/>
        <v>1218000</v>
      </c>
      <c r="L507" s="9">
        <f t="shared" si="558"/>
        <v>1247100</v>
      </c>
      <c r="M507" s="9">
        <f t="shared" si="558"/>
        <v>1277000</v>
      </c>
      <c r="N507" s="9">
        <f t="shared" si="558"/>
        <v>1307500</v>
      </c>
      <c r="O507" s="9">
        <f t="shared" si="558"/>
        <v>1338700</v>
      </c>
      <c r="P507" s="9">
        <f t="shared" si="558"/>
        <v>1370600</v>
      </c>
      <c r="Q507" s="9">
        <f t="shared" si="558"/>
        <v>1403100</v>
      </c>
      <c r="R507" s="9">
        <f t="shared" si="558"/>
        <v>1436600</v>
      </c>
      <c r="S507" s="47">
        <f t="shared" si="558"/>
        <v>1470800</v>
      </c>
    </row>
    <row r="508" spans="1:19" x14ac:dyDescent="0.2">
      <c r="A508" s="54">
        <f>A194</f>
        <v>388000</v>
      </c>
      <c r="B508" s="9">
        <f>B194</f>
        <v>480900</v>
      </c>
      <c r="C508" s="9">
        <f>C194</f>
        <v>524100</v>
      </c>
      <c r="D508" s="9">
        <f>D194</f>
        <v>547200</v>
      </c>
      <c r="E508" s="9">
        <f>E194</f>
        <v>572300</v>
      </c>
      <c r="F508" s="483"/>
      <c r="G508" s="29" t="str">
        <f>G499</f>
        <v>Public Order</v>
      </c>
      <c r="H508" s="9">
        <f>H194</f>
        <v>561700</v>
      </c>
      <c r="I508" s="85">
        <f>IF(E508=H508,0,IF(E508=0,100,(H508-E508)/E508*100))</f>
        <v>-1.8521754324654902</v>
      </c>
      <c r="J508" s="9">
        <f t="shared" ref="J508:S508" si="559">J194</f>
        <v>580000</v>
      </c>
      <c r="K508" s="9">
        <f t="shared" si="559"/>
        <v>594100</v>
      </c>
      <c r="L508" s="9">
        <f t="shared" si="559"/>
        <v>608900</v>
      </c>
      <c r="M508" s="9">
        <f t="shared" si="559"/>
        <v>624300</v>
      </c>
      <c r="N508" s="9">
        <f t="shared" si="559"/>
        <v>639900</v>
      </c>
      <c r="O508" s="9">
        <f t="shared" si="559"/>
        <v>655800</v>
      </c>
      <c r="P508" s="9">
        <f t="shared" si="559"/>
        <v>672100</v>
      </c>
      <c r="Q508" s="9">
        <f t="shared" si="559"/>
        <v>688900</v>
      </c>
      <c r="R508" s="9">
        <f t="shared" si="559"/>
        <v>706100</v>
      </c>
      <c r="S508" s="47">
        <f t="shared" si="559"/>
        <v>723600</v>
      </c>
    </row>
    <row r="509" spans="1:19" ht="13.5" thickBot="1" x14ac:dyDescent="0.25">
      <c r="A509" s="54"/>
      <c r="B509" s="9"/>
      <c r="C509" s="9"/>
      <c r="D509" s="9"/>
      <c r="E509" s="9"/>
      <c r="F509" s="483"/>
      <c r="G509" s="1173"/>
      <c r="H509" s="9"/>
      <c r="I509" s="85"/>
      <c r="J509" s="9"/>
      <c r="K509" s="9"/>
      <c r="L509" s="9"/>
      <c r="M509" s="9"/>
      <c r="N509" s="9"/>
      <c r="O509" s="9"/>
      <c r="P509" s="9"/>
      <c r="Q509" s="9"/>
      <c r="R509" s="9"/>
      <c r="S509" s="47"/>
    </row>
    <row r="510" spans="1:19" s="39" customFormat="1" x14ac:dyDescent="0.2">
      <c r="A510" s="52">
        <f>SUM(A504:A509)</f>
        <v>3576000</v>
      </c>
      <c r="B510" s="16">
        <f>SUM(B504:B509)</f>
        <v>3568600</v>
      </c>
      <c r="C510" s="16">
        <f>SUM(C504:C509)</f>
        <v>3492300</v>
      </c>
      <c r="D510" s="16">
        <f>SUM(D504:D509)</f>
        <v>3877800</v>
      </c>
      <c r="E510" s="16">
        <f t="shared" ref="E510" si="560">SUM(E504:E509)</f>
        <v>4687300</v>
      </c>
      <c r="F510" s="484"/>
      <c r="G510" s="1158" t="s">
        <v>556</v>
      </c>
      <c r="H510" s="16">
        <f t="shared" ref="H510:O510" si="561">SUM(H504:H509)</f>
        <v>5151100</v>
      </c>
      <c r="I510" s="127">
        <f>IF(E510=H510,0,IF(E510=0,100,(H510-E510)/E510*100))</f>
        <v>9.8948221790796396</v>
      </c>
      <c r="J510" s="16">
        <f t="shared" si="561"/>
        <v>4687000</v>
      </c>
      <c r="K510" s="16">
        <f t="shared" si="561"/>
        <v>4797700</v>
      </c>
      <c r="L510" s="16">
        <f t="shared" si="561"/>
        <v>4911500</v>
      </c>
      <c r="M510" s="16">
        <f t="shared" si="561"/>
        <v>5028200</v>
      </c>
      <c r="N510" s="16">
        <f t="shared" si="561"/>
        <v>5147700</v>
      </c>
      <c r="O510" s="16">
        <f t="shared" si="561"/>
        <v>5269900</v>
      </c>
      <c r="P510" s="16">
        <f t="shared" ref="P510:Q510" si="562">SUM(P504:P509)</f>
        <v>5394900</v>
      </c>
      <c r="Q510" s="16">
        <f t="shared" si="562"/>
        <v>5522800</v>
      </c>
      <c r="R510" s="16">
        <f t="shared" ref="R510" si="563">SUM(R504:R509)</f>
        <v>5653800</v>
      </c>
      <c r="S510" s="2342">
        <f t="shared" ref="S510" si="564">SUM(S504:S509)</f>
        <v>5787600</v>
      </c>
    </row>
    <row r="511" spans="1:19" ht="13.5" thickBot="1" x14ac:dyDescent="0.25">
      <c r="A511" s="24"/>
      <c r="B511" s="21"/>
      <c r="C511" s="21"/>
      <c r="D511" s="21"/>
      <c r="E511" s="21"/>
      <c r="F511" s="469"/>
      <c r="G511" s="29"/>
      <c r="H511" s="9"/>
      <c r="I511" s="126"/>
      <c r="J511" s="9"/>
      <c r="K511" s="9"/>
      <c r="L511" s="9"/>
      <c r="M511" s="9"/>
      <c r="N511" s="9"/>
      <c r="O511" s="9"/>
      <c r="P511" s="9"/>
      <c r="Q511" s="9"/>
      <c r="R511" s="9"/>
      <c r="S511" s="47"/>
    </row>
    <row r="512" spans="1:19" x14ac:dyDescent="0.2">
      <c r="A512" s="52">
        <f>A501-A510</f>
        <v>-2322200</v>
      </c>
      <c r="B512" s="16">
        <f>B501-B510</f>
        <v>-1955100</v>
      </c>
      <c r="C512" s="16">
        <f>C501-C510</f>
        <v>-1453500</v>
      </c>
      <c r="D512" s="16">
        <f>D501-D510</f>
        <v>-1352900</v>
      </c>
      <c r="E512" s="16">
        <f t="shared" ref="E512" si="565">E501-E510</f>
        <v>-1950400</v>
      </c>
      <c r="F512" s="469"/>
      <c r="G512" s="1160" t="s">
        <v>361</v>
      </c>
      <c r="H512" s="16">
        <f t="shared" ref="H512:O512" si="566">H501-H510</f>
        <v>-2368100</v>
      </c>
      <c r="I512" s="127">
        <f>IF(E512=H512,0,IF(E512=0,100,(H512-E512)/E512*100))</f>
        <v>21.416119770303528</v>
      </c>
      <c r="J512" s="16">
        <f t="shared" si="566"/>
        <v>-2094100</v>
      </c>
      <c r="K512" s="16">
        <f t="shared" si="566"/>
        <v>-2137600</v>
      </c>
      <c r="L512" s="16">
        <f t="shared" si="566"/>
        <v>-2181700</v>
      </c>
      <c r="M512" s="16">
        <f t="shared" si="566"/>
        <v>-2227300</v>
      </c>
      <c r="N512" s="16">
        <f t="shared" si="566"/>
        <v>-2273800</v>
      </c>
      <c r="O512" s="16">
        <f t="shared" si="566"/>
        <v>-2321600</v>
      </c>
      <c r="P512" s="16">
        <f t="shared" ref="P512:Q512" si="567">P501-P510</f>
        <v>-2370300</v>
      </c>
      <c r="Q512" s="16">
        <f t="shared" si="567"/>
        <v>-2419900</v>
      </c>
      <c r="R512" s="16">
        <f t="shared" ref="R512" si="568">R501-R510</f>
        <v>-2470600</v>
      </c>
      <c r="S512" s="2342">
        <f t="shared" ref="S512" si="569">S501-S510</f>
        <v>-2522200</v>
      </c>
    </row>
    <row r="513" spans="1:19" x14ac:dyDescent="0.2">
      <c r="A513" s="24"/>
      <c r="B513" s="21"/>
      <c r="C513" s="21"/>
      <c r="D513" s="21"/>
      <c r="E513" s="21"/>
      <c r="F513" s="469"/>
      <c r="G513" s="1160"/>
      <c r="H513" s="21"/>
      <c r="I513" s="126"/>
      <c r="J513" s="21"/>
      <c r="K513" s="21"/>
      <c r="L513" s="21"/>
      <c r="M513" s="21"/>
      <c r="N513" s="21"/>
      <c r="O513" s="21"/>
      <c r="P513" s="21"/>
      <c r="Q513" s="21"/>
      <c r="R513" s="21"/>
      <c r="S513" s="86"/>
    </row>
    <row r="514" spans="1:19" x14ac:dyDescent="0.2">
      <c r="A514" s="24">
        <f>A512-A482</f>
        <v>0</v>
      </c>
      <c r="B514" s="21">
        <f>B512-B482</f>
        <v>0</v>
      </c>
      <c r="C514" s="21">
        <f>C512-C482</f>
        <v>0</v>
      </c>
      <c r="D514" s="21">
        <f>D512-D482</f>
        <v>0</v>
      </c>
      <c r="E514" s="21">
        <f t="shared" ref="E514" si="570">E512-E482</f>
        <v>0</v>
      </c>
      <c r="F514" s="469"/>
      <c r="G514" s="1160" t="s">
        <v>1731</v>
      </c>
      <c r="H514" s="21">
        <f t="shared" ref="H514:P514" si="571">H512-H482</f>
        <v>0</v>
      </c>
      <c r="I514" s="126">
        <f>IF(E514=H514,0,IF(E514=0,100,(H514-E514)/E514*100))</f>
        <v>0</v>
      </c>
      <c r="J514" s="21">
        <f t="shared" si="571"/>
        <v>0</v>
      </c>
      <c r="K514" s="21">
        <f t="shared" si="571"/>
        <v>0</v>
      </c>
      <c r="L514" s="21">
        <f t="shared" si="571"/>
        <v>0</v>
      </c>
      <c r="M514" s="21">
        <f t="shared" si="571"/>
        <v>0</v>
      </c>
      <c r="N514" s="21">
        <f t="shared" si="571"/>
        <v>0</v>
      </c>
      <c r="O514" s="21">
        <f t="shared" si="571"/>
        <v>0</v>
      </c>
      <c r="P514" s="21">
        <f t="shared" si="571"/>
        <v>0</v>
      </c>
      <c r="Q514" s="21">
        <f t="shared" ref="Q514" si="572">Q512-Q482</f>
        <v>0</v>
      </c>
      <c r="R514" s="21">
        <f t="shared" ref="R514" si="573">R512-R482</f>
        <v>0</v>
      </c>
      <c r="S514" s="86">
        <f t="shared" ref="S514" si="574">S512-S482</f>
        <v>0</v>
      </c>
    </row>
    <row r="515" spans="1:19" ht="13.5" thickBot="1" x14ac:dyDescent="0.25">
      <c r="A515" s="26"/>
      <c r="B515" s="37"/>
      <c r="C515" s="37"/>
      <c r="D515" s="37"/>
      <c r="E515" s="37"/>
      <c r="F515" s="491"/>
      <c r="G515" s="88"/>
      <c r="H515" s="23"/>
      <c r="I515" s="275"/>
      <c r="J515" s="23"/>
      <c r="K515" s="23"/>
      <c r="L515" s="23"/>
      <c r="M515" s="23"/>
      <c r="N515" s="23"/>
      <c r="O515" s="23"/>
      <c r="P515" s="23"/>
      <c r="Q515" s="23"/>
      <c r="R515" s="23"/>
      <c r="S515" s="112"/>
    </row>
    <row r="516" spans="1:19" ht="14.25" thickTop="1" thickBot="1" x14ac:dyDescent="0.25"/>
    <row r="517" spans="1:19" s="39" customFormat="1" ht="13.5" thickTop="1" x14ac:dyDescent="0.2">
      <c r="A517" s="2610" t="s">
        <v>1824</v>
      </c>
      <c r="B517" s="2611"/>
      <c r="C517" s="2611"/>
      <c r="D517" s="2611"/>
      <c r="E517" s="2612"/>
      <c r="F517" s="2353" t="s">
        <v>2616</v>
      </c>
      <c r="G517" s="2372" t="s">
        <v>2213</v>
      </c>
      <c r="H517" s="2608" t="s">
        <v>2215</v>
      </c>
      <c r="I517" s="2608"/>
      <c r="J517" s="2608"/>
      <c r="K517" s="2608"/>
      <c r="L517" s="2608"/>
      <c r="M517" s="2608"/>
      <c r="N517" s="2608"/>
      <c r="O517" s="2608"/>
      <c r="P517" s="2608"/>
      <c r="Q517" s="2608"/>
      <c r="R517" s="2608"/>
      <c r="S517" s="2609"/>
    </row>
    <row r="518" spans="1:19" ht="13.5" thickBot="1" x14ac:dyDescent="0.25">
      <c r="A518" s="1647" t="str">
        <f>A3</f>
        <v>2012/13</v>
      </c>
      <c r="B518" s="40" t="str">
        <f>B3</f>
        <v>2013/14</v>
      </c>
      <c r="C518" s="40" t="str">
        <f>C3</f>
        <v>2014/15</v>
      </c>
      <c r="D518" s="40" t="str">
        <f>D3</f>
        <v>2015/16</v>
      </c>
      <c r="E518" s="40" t="str">
        <f>E3</f>
        <v>2016/17</v>
      </c>
      <c r="F518" s="497" t="s">
        <v>2617</v>
      </c>
      <c r="G518" s="41"/>
      <c r="H518" s="28" t="str">
        <f t="shared" ref="H518:S518" si="575">H3</f>
        <v>2017/18</v>
      </c>
      <c r="I518" s="28" t="str">
        <f t="shared" si="575"/>
        <v>%</v>
      </c>
      <c r="J518" s="28" t="str">
        <f t="shared" si="575"/>
        <v>2018/19</v>
      </c>
      <c r="K518" s="28" t="str">
        <f t="shared" si="575"/>
        <v>2019/20</v>
      </c>
      <c r="L518" s="28" t="str">
        <f t="shared" si="575"/>
        <v>2020/21</v>
      </c>
      <c r="M518" s="28" t="str">
        <f t="shared" si="575"/>
        <v>2021/22</v>
      </c>
      <c r="N518" s="28" t="str">
        <f t="shared" si="575"/>
        <v>2022/23</v>
      </c>
      <c r="O518" s="28" t="str">
        <f t="shared" si="575"/>
        <v>2023/24</v>
      </c>
      <c r="P518" s="28" t="str">
        <f t="shared" si="575"/>
        <v>2024/25</v>
      </c>
      <c r="Q518" s="28" t="str">
        <f t="shared" si="575"/>
        <v>2025/26</v>
      </c>
      <c r="R518" s="28" t="str">
        <f t="shared" si="575"/>
        <v>2026/27</v>
      </c>
      <c r="S518" s="1262" t="str">
        <f t="shared" si="575"/>
        <v>2027/28</v>
      </c>
    </row>
    <row r="519" spans="1:19" x14ac:dyDescent="0.2">
      <c r="A519" s="54"/>
      <c r="B519" s="9"/>
      <c r="C519" s="9"/>
      <c r="D519" s="9"/>
      <c r="E519" s="9"/>
      <c r="F519" s="469"/>
      <c r="G519" s="27"/>
      <c r="H519" s="9"/>
      <c r="I519" s="85"/>
      <c r="J519" s="9"/>
      <c r="K519" s="9"/>
      <c r="L519" s="9"/>
      <c r="M519" s="9"/>
      <c r="N519" s="9"/>
      <c r="O519" s="9"/>
      <c r="P519" s="9"/>
      <c r="Q519" s="9"/>
      <c r="R519" s="9"/>
      <c r="S519" s="61"/>
    </row>
    <row r="520" spans="1:19" x14ac:dyDescent="0.2">
      <c r="A520" s="54">
        <f>A73+A108+A159+CIV!A556+A203</f>
        <v>6000</v>
      </c>
      <c r="B520" s="9">
        <f>B73+B108+B159+CIV!B556+B203</f>
        <v>6100</v>
      </c>
      <c r="C520" s="9">
        <f t="shared" ref="C520:E524" si="576">C73+C108+C159+C203</f>
        <v>6500</v>
      </c>
      <c r="D520" s="9">
        <f t="shared" si="576"/>
        <v>6900</v>
      </c>
      <c r="E520" s="9">
        <f t="shared" si="576"/>
        <v>7300</v>
      </c>
      <c r="F520" s="469"/>
      <c r="G520" s="1173" t="s">
        <v>1759</v>
      </c>
      <c r="H520" s="9">
        <f>H73+H108+H159+H203</f>
        <v>7800</v>
      </c>
      <c r="I520" s="85">
        <f t="shared" ref="I520:I525" si="577">IF(E520=H520,0,IF(E520=0,100,(H520-E520)/E520*100))</f>
        <v>6.8493150684931505</v>
      </c>
      <c r="J520" s="9">
        <f t="shared" ref="J520:S520" si="578">J73+J108+J159+J203</f>
        <v>8300</v>
      </c>
      <c r="K520" s="9">
        <f t="shared" si="578"/>
        <v>7300</v>
      </c>
      <c r="L520" s="9">
        <f t="shared" si="578"/>
        <v>0</v>
      </c>
      <c r="M520" s="9">
        <f t="shared" si="578"/>
        <v>0</v>
      </c>
      <c r="N520" s="9">
        <f t="shared" si="578"/>
        <v>0</v>
      </c>
      <c r="O520" s="9">
        <f t="shared" si="578"/>
        <v>0</v>
      </c>
      <c r="P520" s="9">
        <f t="shared" si="578"/>
        <v>0</v>
      </c>
      <c r="Q520" s="9">
        <f t="shared" si="578"/>
        <v>0</v>
      </c>
      <c r="R520" s="9">
        <f t="shared" si="578"/>
        <v>0</v>
      </c>
      <c r="S520" s="61">
        <f t="shared" si="578"/>
        <v>0</v>
      </c>
    </row>
    <row r="521" spans="1:19" x14ac:dyDescent="0.2">
      <c r="A521" s="54">
        <f t="shared" ref="A521:B524" si="579">A74+A109+A160+A204</f>
        <v>176000</v>
      </c>
      <c r="B521" s="9">
        <f t="shared" si="579"/>
        <v>412300</v>
      </c>
      <c r="C521" s="9">
        <f t="shared" si="576"/>
        <v>44000</v>
      </c>
      <c r="D521" s="9">
        <f t="shared" si="576"/>
        <v>78000</v>
      </c>
      <c r="E521" s="9">
        <f t="shared" si="576"/>
        <v>542500</v>
      </c>
      <c r="F521" s="469"/>
      <c r="G521" s="1173" t="s">
        <v>1909</v>
      </c>
      <c r="H521" s="9">
        <f>H74+H109+H160+H204</f>
        <v>500</v>
      </c>
      <c r="I521" s="85">
        <f t="shared" si="577"/>
        <v>-99.907834101382491</v>
      </c>
      <c r="J521" s="9">
        <f t="shared" ref="J521:S521" si="580">J74+J109+J160+J204</f>
        <v>0</v>
      </c>
      <c r="K521" s="9">
        <f t="shared" si="580"/>
        <v>0</v>
      </c>
      <c r="L521" s="9">
        <f t="shared" si="580"/>
        <v>0</v>
      </c>
      <c r="M521" s="9">
        <f t="shared" si="580"/>
        <v>0</v>
      </c>
      <c r="N521" s="9">
        <f t="shared" si="580"/>
        <v>0</v>
      </c>
      <c r="O521" s="9">
        <f t="shared" si="580"/>
        <v>0</v>
      </c>
      <c r="P521" s="9">
        <f t="shared" si="580"/>
        <v>0</v>
      </c>
      <c r="Q521" s="9">
        <f t="shared" si="580"/>
        <v>0</v>
      </c>
      <c r="R521" s="9">
        <f t="shared" si="580"/>
        <v>0</v>
      </c>
      <c r="S521" s="61">
        <f t="shared" si="580"/>
        <v>0</v>
      </c>
    </row>
    <row r="522" spans="1:19" x14ac:dyDescent="0.2">
      <c r="A522" s="54">
        <f t="shared" si="579"/>
        <v>281000</v>
      </c>
      <c r="B522" s="9">
        <f t="shared" si="579"/>
        <v>885700</v>
      </c>
      <c r="C522" s="9">
        <f t="shared" si="576"/>
        <v>39300</v>
      </c>
      <c r="D522" s="9">
        <f t="shared" si="576"/>
        <v>54000</v>
      </c>
      <c r="E522" s="9">
        <f t="shared" si="576"/>
        <v>184700</v>
      </c>
      <c r="F522" s="469"/>
      <c r="G522" s="1173" t="s">
        <v>2309</v>
      </c>
      <c r="H522" s="9">
        <f>H75+H110+H161+H205</f>
        <v>754200</v>
      </c>
      <c r="I522" s="85">
        <f t="shared" si="577"/>
        <v>308.33784515430426</v>
      </c>
      <c r="J522" s="9">
        <f t="shared" ref="J522:S522" si="581">J75+J110+J161+J205</f>
        <v>0</v>
      </c>
      <c r="K522" s="9">
        <f t="shared" si="581"/>
        <v>0</v>
      </c>
      <c r="L522" s="9">
        <f t="shared" si="581"/>
        <v>0</v>
      </c>
      <c r="M522" s="9">
        <f t="shared" si="581"/>
        <v>0</v>
      </c>
      <c r="N522" s="9">
        <f t="shared" si="581"/>
        <v>0</v>
      </c>
      <c r="O522" s="9">
        <f t="shared" si="581"/>
        <v>0</v>
      </c>
      <c r="P522" s="9">
        <f t="shared" si="581"/>
        <v>0</v>
      </c>
      <c r="Q522" s="9">
        <f t="shared" si="581"/>
        <v>0</v>
      </c>
      <c r="R522" s="9">
        <f t="shared" si="581"/>
        <v>0</v>
      </c>
      <c r="S522" s="61">
        <f t="shared" si="581"/>
        <v>0</v>
      </c>
    </row>
    <row r="523" spans="1:19" x14ac:dyDescent="0.2">
      <c r="A523" s="54">
        <f t="shared" si="579"/>
        <v>0</v>
      </c>
      <c r="B523" s="9">
        <f t="shared" si="579"/>
        <v>340000</v>
      </c>
      <c r="C523" s="9">
        <f t="shared" si="576"/>
        <v>0</v>
      </c>
      <c r="D523" s="9">
        <f t="shared" si="576"/>
        <v>0</v>
      </c>
      <c r="E523" s="9">
        <f t="shared" si="576"/>
        <v>95000</v>
      </c>
      <c r="F523" s="469"/>
      <c r="G523" s="1173" t="s">
        <v>5847</v>
      </c>
      <c r="H523" s="9">
        <f>H76+H111+H162+H206</f>
        <v>181900</v>
      </c>
      <c r="I523" s="85">
        <f t="shared" si="577"/>
        <v>91.473684210526315</v>
      </c>
      <c r="J523" s="9">
        <f t="shared" ref="J523:S523" si="582">J76+J111+J162+J206</f>
        <v>0</v>
      </c>
      <c r="K523" s="9">
        <f t="shared" si="582"/>
        <v>0</v>
      </c>
      <c r="L523" s="9">
        <f t="shared" si="582"/>
        <v>0</v>
      </c>
      <c r="M523" s="9">
        <f t="shared" si="582"/>
        <v>0</v>
      </c>
      <c r="N523" s="9">
        <f t="shared" si="582"/>
        <v>0</v>
      </c>
      <c r="O523" s="9">
        <f t="shared" si="582"/>
        <v>0</v>
      </c>
      <c r="P523" s="9">
        <f t="shared" si="582"/>
        <v>0</v>
      </c>
      <c r="Q523" s="9">
        <f t="shared" si="582"/>
        <v>0</v>
      </c>
      <c r="R523" s="9">
        <f t="shared" si="582"/>
        <v>0</v>
      </c>
      <c r="S523" s="61">
        <f t="shared" si="582"/>
        <v>0</v>
      </c>
    </row>
    <row r="524" spans="1:19" x14ac:dyDescent="0.2">
      <c r="A524" s="54">
        <f t="shared" si="579"/>
        <v>142000</v>
      </c>
      <c r="B524" s="9">
        <f t="shared" si="579"/>
        <v>796900</v>
      </c>
      <c r="C524" s="9">
        <f t="shared" si="576"/>
        <v>22400</v>
      </c>
      <c r="D524" s="9">
        <f t="shared" si="576"/>
        <v>5100</v>
      </c>
      <c r="E524" s="9">
        <f t="shared" si="576"/>
        <v>0</v>
      </c>
      <c r="F524" s="469"/>
      <c r="G524" s="1173" t="s">
        <v>958</v>
      </c>
      <c r="H524" s="9">
        <f>H77+H112+H163+H207</f>
        <v>816000</v>
      </c>
      <c r="I524" s="85">
        <f t="shared" si="577"/>
        <v>100</v>
      </c>
      <c r="J524" s="9">
        <f t="shared" ref="J524:S524" si="583">J77+J112+J163+J207</f>
        <v>0</v>
      </c>
      <c r="K524" s="9">
        <f t="shared" si="583"/>
        <v>0</v>
      </c>
      <c r="L524" s="9">
        <f t="shared" si="583"/>
        <v>0</v>
      </c>
      <c r="M524" s="9">
        <f t="shared" si="583"/>
        <v>0</v>
      </c>
      <c r="N524" s="9">
        <f t="shared" si="583"/>
        <v>0</v>
      </c>
      <c r="O524" s="9">
        <f t="shared" si="583"/>
        <v>0</v>
      </c>
      <c r="P524" s="9">
        <f t="shared" si="583"/>
        <v>0</v>
      </c>
      <c r="Q524" s="9">
        <f t="shared" si="583"/>
        <v>0</v>
      </c>
      <c r="R524" s="9">
        <f t="shared" si="583"/>
        <v>0</v>
      </c>
      <c r="S524" s="61">
        <f t="shared" si="583"/>
        <v>0</v>
      </c>
    </row>
    <row r="525" spans="1:19" s="39" customFormat="1" x14ac:dyDescent="0.2">
      <c r="A525" s="24">
        <f>-A520-A521+A522++A523-A524</f>
        <v>-43000</v>
      </c>
      <c r="B525" s="21">
        <f>-B520-B521+B522++B523-B524</f>
        <v>10400</v>
      </c>
      <c r="C525" s="21">
        <f>-C520-C521+C522++C523-C524</f>
        <v>-33600</v>
      </c>
      <c r="D525" s="21">
        <f>-D520-D521+D522++D523-D524</f>
        <v>-36000</v>
      </c>
      <c r="E525" s="21">
        <f t="shared" ref="E525" si="584">-E520-E521+E522++E523-E524</f>
        <v>-270100</v>
      </c>
      <c r="F525" s="498"/>
      <c r="G525" s="122" t="s">
        <v>1504</v>
      </c>
      <c r="H525" s="21">
        <f t="shared" ref="H525:O525" si="585">-H520-H521+H522++H523-H524</f>
        <v>111800</v>
      </c>
      <c r="I525" s="126">
        <f t="shared" si="577"/>
        <v>-141.39207700851537</v>
      </c>
      <c r="J525" s="21">
        <f t="shared" si="585"/>
        <v>-8300</v>
      </c>
      <c r="K525" s="21">
        <f t="shared" si="585"/>
        <v>-7300</v>
      </c>
      <c r="L525" s="21">
        <f t="shared" si="585"/>
        <v>0</v>
      </c>
      <c r="M525" s="21">
        <f t="shared" si="585"/>
        <v>0</v>
      </c>
      <c r="N525" s="21">
        <f t="shared" si="585"/>
        <v>0</v>
      </c>
      <c r="O525" s="21">
        <f t="shared" si="585"/>
        <v>0</v>
      </c>
      <c r="P525" s="21">
        <f t="shared" ref="P525:Q525" si="586">-P520-P521+P522++P523-P524</f>
        <v>0</v>
      </c>
      <c r="Q525" s="21">
        <f t="shared" si="586"/>
        <v>0</v>
      </c>
      <c r="R525" s="21">
        <f t="shared" ref="R525:S525" si="587">-R520-R521+R522++R523-R524</f>
        <v>0</v>
      </c>
      <c r="S525" s="62">
        <f t="shared" si="587"/>
        <v>0</v>
      </c>
    </row>
    <row r="526" spans="1:19" ht="13.5" thickBot="1" x14ac:dyDescent="0.25">
      <c r="A526" s="26"/>
      <c r="B526" s="37"/>
      <c r="C526" s="37"/>
      <c r="D526" s="37"/>
      <c r="E526" s="37"/>
      <c r="F526" s="491"/>
      <c r="G526" s="88"/>
      <c r="H526" s="23"/>
      <c r="I526" s="275"/>
      <c r="J526" s="23"/>
      <c r="K526" s="23"/>
      <c r="L526" s="23"/>
      <c r="M526" s="23"/>
      <c r="N526" s="23"/>
      <c r="O526" s="23"/>
      <c r="P526" s="23"/>
      <c r="Q526" s="23"/>
      <c r="R526" s="23"/>
      <c r="S526" s="112"/>
    </row>
    <row r="527" spans="1:19" ht="13.5" thickTop="1" x14ac:dyDescent="0.2"/>
    <row r="1108" spans="6:6" x14ac:dyDescent="0.2">
      <c r="F1108" s="490" t="s">
        <v>7245</v>
      </c>
    </row>
  </sheetData>
  <mergeCells count="35">
    <mergeCell ref="H517:S517"/>
    <mergeCell ref="A402:S402"/>
    <mergeCell ref="H403:S403"/>
    <mergeCell ref="H463:S463"/>
    <mergeCell ref="H474:S474"/>
    <mergeCell ref="H491:S491"/>
    <mergeCell ref="A403:E403"/>
    <mergeCell ref="A463:E463"/>
    <mergeCell ref="A474:E474"/>
    <mergeCell ref="A491:E491"/>
    <mergeCell ref="A517:E517"/>
    <mergeCell ref="A278:E278"/>
    <mergeCell ref="A337:E337"/>
    <mergeCell ref="A277:S277"/>
    <mergeCell ref="H278:S278"/>
    <mergeCell ref="A336:S336"/>
    <mergeCell ref="H337:S337"/>
    <mergeCell ref="A2:E2"/>
    <mergeCell ref="A47:E47"/>
    <mergeCell ref="A1:S1"/>
    <mergeCell ref="H2:S2"/>
    <mergeCell ref="A46:S46"/>
    <mergeCell ref="H47:S47"/>
    <mergeCell ref="A169:E169"/>
    <mergeCell ref="A213:E213"/>
    <mergeCell ref="A168:S168"/>
    <mergeCell ref="H169:S169"/>
    <mergeCell ref="A212:S212"/>
    <mergeCell ref="H213:S213"/>
    <mergeCell ref="A84:E84"/>
    <mergeCell ref="A118:E118"/>
    <mergeCell ref="A83:S83"/>
    <mergeCell ref="H84:S84"/>
    <mergeCell ref="A117:S117"/>
    <mergeCell ref="H118:S118"/>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9" manualBreakCount="9">
    <brk id="44" max="16383" man="1"/>
    <brk id="82" max="16383" man="1"/>
    <brk id="115" max="16383" man="1"/>
    <brk id="167" max="16383" man="1"/>
    <brk id="211" max="16383" man="1"/>
    <brk id="275" max="16383" man="1"/>
    <brk id="335" max="16383" man="1"/>
    <brk id="400" max="16383" man="1"/>
    <brk id="46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A8093"/>
  <sheetViews>
    <sheetView showGridLines="0" topLeftCell="A1673" zoomScaleNormal="100" workbookViewId="0">
      <selection activeCell="H1673" sqref="H1:H1048576"/>
    </sheetView>
  </sheetViews>
  <sheetFormatPr defaultColWidth="9.140625" defaultRowHeight="12.75" x14ac:dyDescent="0.2"/>
  <cols>
    <col min="1" max="2" width="11.28515625" style="34" bestFit="1" customWidth="1"/>
    <col min="3" max="4" width="11.28515625" style="136" bestFit="1" customWidth="1"/>
    <col min="5" max="5" width="11.28515625" style="149" bestFit="1" customWidth="1"/>
    <col min="6" max="6" width="15.140625" style="370" customWidth="1"/>
    <col min="7" max="7" width="36.7109375" style="34" customWidth="1"/>
    <col min="8" max="8" width="11.28515625" style="34" bestFit="1" customWidth="1"/>
    <col min="9" max="9" width="7.5703125" style="96" bestFit="1" customWidth="1"/>
    <col min="10" max="19" width="11.28515625" style="34" bestFit="1" customWidth="1"/>
    <col min="20" max="16384" width="9.140625" style="34"/>
  </cols>
  <sheetData>
    <row r="1" spans="1:19" s="38" customFormat="1" ht="18.75" customHeight="1" thickTop="1" thickBot="1" x14ac:dyDescent="0.3">
      <c r="A1" s="2601" t="s">
        <v>3065</v>
      </c>
      <c r="B1" s="2602"/>
      <c r="C1" s="2602"/>
      <c r="D1" s="2602"/>
      <c r="E1" s="2602"/>
      <c r="F1" s="2602"/>
      <c r="G1" s="2602"/>
      <c r="H1" s="2602"/>
      <c r="I1" s="2602"/>
      <c r="J1" s="2602"/>
      <c r="K1" s="2602"/>
      <c r="L1" s="2602"/>
      <c r="M1" s="2602"/>
      <c r="N1" s="2602"/>
      <c r="O1" s="2602"/>
      <c r="P1" s="2602"/>
      <c r="Q1" s="2602"/>
      <c r="R1" s="2602"/>
      <c r="S1" s="2603"/>
    </row>
    <row r="2" spans="1:19" s="39" customFormat="1" ht="13.5" thickBot="1" x14ac:dyDescent="0.25">
      <c r="A2" s="2591" t="s">
        <v>1824</v>
      </c>
      <c r="B2" s="2577"/>
      <c r="C2" s="2577"/>
      <c r="D2" s="2577"/>
      <c r="E2" s="2592"/>
      <c r="F2" s="2246" t="s">
        <v>2213</v>
      </c>
      <c r="G2" s="1163"/>
      <c r="H2" s="2568" t="s">
        <v>2215</v>
      </c>
      <c r="I2" s="2568"/>
      <c r="J2" s="2568"/>
      <c r="K2" s="2568"/>
      <c r="L2" s="2568"/>
      <c r="M2" s="2568"/>
      <c r="N2" s="2568"/>
      <c r="O2" s="2568"/>
      <c r="P2" s="2568"/>
      <c r="Q2" s="2568"/>
      <c r="R2" s="2568"/>
      <c r="S2" s="2607"/>
    </row>
    <row r="3" spans="1:19" ht="13.5" thickBot="1" x14ac:dyDescent="0.25">
      <c r="A3" s="541" t="str">
        <f>SP!A3</f>
        <v>2012/13</v>
      </c>
      <c r="B3" s="28" t="str">
        <f>SP!B3</f>
        <v>2013/14</v>
      </c>
      <c r="C3" s="28" t="str">
        <f>SP!C3</f>
        <v>2014/15</v>
      </c>
      <c r="D3" s="28" t="str">
        <f>SP!D3</f>
        <v>2015/16</v>
      </c>
      <c r="E3" s="28" t="str">
        <f>SP!E3</f>
        <v>2016/17</v>
      </c>
      <c r="F3" s="178"/>
      <c r="G3" s="41"/>
      <c r="H3" s="40" t="str">
        <f>SP!H3</f>
        <v>2017/18</v>
      </c>
      <c r="I3" s="1459" t="s">
        <v>492</v>
      </c>
      <c r="J3" s="40" t="str">
        <f>SP!J3</f>
        <v>2018/19</v>
      </c>
      <c r="K3" s="40" t="str">
        <f>SP!K3</f>
        <v>2019/20</v>
      </c>
      <c r="L3" s="40" t="str">
        <f>SP!L3</f>
        <v>2020/21</v>
      </c>
      <c r="M3" s="40" t="str">
        <f>SP!M3</f>
        <v>2021/22</v>
      </c>
      <c r="N3" s="40" t="str">
        <f>SP!N3</f>
        <v>2022/23</v>
      </c>
      <c r="O3" s="40" t="str">
        <f>SP!O3</f>
        <v>2023/24</v>
      </c>
      <c r="P3" s="1257" t="str">
        <f>SP!P3</f>
        <v>2024/25</v>
      </c>
      <c r="Q3" s="40" t="str">
        <f>SP!Q3</f>
        <v>2025/26</v>
      </c>
      <c r="R3" s="40" t="str">
        <f>SP!R3</f>
        <v>2026/27</v>
      </c>
      <c r="S3" s="1620" t="str">
        <f>SP!S3</f>
        <v>2027/28</v>
      </c>
    </row>
    <row r="4" spans="1:19" x14ac:dyDescent="0.2">
      <c r="A4" s="1432"/>
      <c r="B4" s="116"/>
      <c r="C4" s="9"/>
      <c r="D4" s="9"/>
      <c r="E4" s="9"/>
      <c r="F4" s="179"/>
      <c r="G4" s="102"/>
      <c r="H4" s="9"/>
      <c r="I4" s="85"/>
      <c r="J4" s="9"/>
      <c r="K4" s="9"/>
      <c r="L4" s="9"/>
      <c r="M4" s="9"/>
      <c r="N4" s="9"/>
      <c r="O4" s="9"/>
      <c r="P4" s="89"/>
      <c r="Q4" s="9"/>
      <c r="R4" s="9"/>
      <c r="S4" s="61"/>
    </row>
    <row r="5" spans="1:19" x14ac:dyDescent="0.2">
      <c r="A5" s="427"/>
      <c r="B5" s="97"/>
      <c r="C5" s="97"/>
      <c r="D5" s="97"/>
      <c r="E5" s="9"/>
      <c r="F5" s="180" t="s">
        <v>1056</v>
      </c>
      <c r="G5" s="75"/>
      <c r="H5" s="9"/>
      <c r="I5" s="85"/>
      <c r="J5" s="9"/>
      <c r="K5" s="9"/>
      <c r="L5" s="9"/>
      <c r="M5" s="9"/>
      <c r="N5" s="9"/>
      <c r="O5" s="9"/>
      <c r="P5" s="89"/>
      <c r="Q5" s="9"/>
      <c r="R5" s="9"/>
      <c r="S5" s="61"/>
    </row>
    <row r="6" spans="1:19" x14ac:dyDescent="0.2">
      <c r="A6" s="427">
        <f>A81</f>
        <v>360000</v>
      </c>
      <c r="B6" s="97">
        <f>B81</f>
        <v>308300</v>
      </c>
      <c r="C6" s="97">
        <f>C81</f>
        <v>321800</v>
      </c>
      <c r="D6" s="97">
        <f>D81</f>
        <v>254400</v>
      </c>
      <c r="E6" s="9">
        <f t="shared" ref="E6" si="0">E81</f>
        <v>408600</v>
      </c>
      <c r="F6" s="182" t="str">
        <f>G2053</f>
        <v>Engineering Management</v>
      </c>
      <c r="G6" s="89"/>
      <c r="H6" s="9">
        <f t="shared" ref="H6:O6" si="1">H81</f>
        <v>295600</v>
      </c>
      <c r="I6" s="85">
        <f t="shared" ref="I6:I17" si="2">IF(E6=H6,0,IF(E6=0,100,(H6-E6)/E6*100))</f>
        <v>-27.655408712677438</v>
      </c>
      <c r="J6" s="9">
        <f t="shared" si="1"/>
        <v>269100</v>
      </c>
      <c r="K6" s="9">
        <f t="shared" si="1"/>
        <v>276200</v>
      </c>
      <c r="L6" s="9">
        <f t="shared" si="1"/>
        <v>283500</v>
      </c>
      <c r="M6" s="9">
        <f t="shared" si="1"/>
        <v>290900</v>
      </c>
      <c r="N6" s="9">
        <f t="shared" si="1"/>
        <v>298500</v>
      </c>
      <c r="O6" s="9">
        <f t="shared" si="1"/>
        <v>306300</v>
      </c>
      <c r="P6" s="89">
        <f t="shared" ref="P6:Q6" si="3">P81</f>
        <v>314200</v>
      </c>
      <c r="Q6" s="9">
        <f t="shared" si="3"/>
        <v>322400</v>
      </c>
      <c r="R6" s="9">
        <f t="shared" ref="R6" si="4">R81</f>
        <v>330800</v>
      </c>
      <c r="S6" s="47">
        <f t="shared" ref="S6" si="5">S81</f>
        <v>339400</v>
      </c>
    </row>
    <row r="7" spans="1:19" x14ac:dyDescent="0.2">
      <c r="A7" s="427">
        <f>A132</f>
        <v>5000</v>
      </c>
      <c r="B7" s="97">
        <f>B132</f>
        <v>180100</v>
      </c>
      <c r="C7" s="97">
        <f>C132</f>
        <v>0</v>
      </c>
      <c r="D7" s="97">
        <f>D132</f>
        <v>0</v>
      </c>
      <c r="E7" s="9">
        <f t="shared" ref="E7" si="6">E132</f>
        <v>0</v>
      </c>
      <c r="F7" s="182" t="str">
        <f>G2054</f>
        <v>Procurement and Building Management</v>
      </c>
      <c r="G7" s="89"/>
      <c r="H7" s="9">
        <f t="shared" ref="H7:O7" si="7">H132</f>
        <v>0</v>
      </c>
      <c r="I7" s="85">
        <f t="shared" si="2"/>
        <v>0</v>
      </c>
      <c r="J7" s="9">
        <f t="shared" si="7"/>
        <v>0</v>
      </c>
      <c r="K7" s="9">
        <f t="shared" si="7"/>
        <v>0</v>
      </c>
      <c r="L7" s="9">
        <f t="shared" si="7"/>
        <v>0</v>
      </c>
      <c r="M7" s="9">
        <f t="shared" si="7"/>
        <v>0</v>
      </c>
      <c r="N7" s="9">
        <f t="shared" si="7"/>
        <v>0</v>
      </c>
      <c r="O7" s="9">
        <f t="shared" si="7"/>
        <v>0</v>
      </c>
      <c r="P7" s="89">
        <f t="shared" ref="P7:Q7" si="8">P132</f>
        <v>0</v>
      </c>
      <c r="Q7" s="9">
        <f t="shared" si="8"/>
        <v>0</v>
      </c>
      <c r="R7" s="9">
        <f t="shared" ref="R7" si="9">R132</f>
        <v>0</v>
      </c>
      <c r="S7" s="47">
        <f t="shared" ref="S7" si="10">S132</f>
        <v>0</v>
      </c>
    </row>
    <row r="8" spans="1:19" x14ac:dyDescent="0.2">
      <c r="A8" s="427">
        <f>A196</f>
        <v>329300</v>
      </c>
      <c r="B8" s="97">
        <f>B196</f>
        <v>347400</v>
      </c>
      <c r="C8" s="97">
        <f>C196</f>
        <v>291700</v>
      </c>
      <c r="D8" s="97">
        <f>D196</f>
        <v>374600</v>
      </c>
      <c r="E8" s="9">
        <f t="shared" ref="E8" si="11">E196</f>
        <v>554000</v>
      </c>
      <c r="F8" s="182" t="str">
        <f t="shared" ref="F8:F15" si="12">G2055</f>
        <v>Stormwater and Environmental Protection</v>
      </c>
      <c r="G8" s="89"/>
      <c r="H8" s="9">
        <f t="shared" ref="H8:O8" si="13">H196</f>
        <v>531000</v>
      </c>
      <c r="I8" s="85">
        <f t="shared" si="2"/>
        <v>-4.1516245487364625</v>
      </c>
      <c r="J8" s="9">
        <f t="shared" si="13"/>
        <v>511900</v>
      </c>
      <c r="K8" s="9">
        <f t="shared" si="13"/>
        <v>483900</v>
      </c>
      <c r="L8" s="9">
        <f t="shared" si="13"/>
        <v>385900</v>
      </c>
      <c r="M8" s="9">
        <f t="shared" si="13"/>
        <v>387900</v>
      </c>
      <c r="N8" s="9">
        <f t="shared" si="13"/>
        <v>389900</v>
      </c>
      <c r="O8" s="9">
        <f t="shared" si="13"/>
        <v>391900</v>
      </c>
      <c r="P8" s="89">
        <f t="shared" ref="P8:Q8" si="14">P196</f>
        <v>393900</v>
      </c>
      <c r="Q8" s="9">
        <f t="shared" si="14"/>
        <v>395900</v>
      </c>
      <c r="R8" s="9">
        <f t="shared" ref="R8" si="15">R196</f>
        <v>397900</v>
      </c>
      <c r="S8" s="47">
        <f t="shared" ref="S8" si="16">S196</f>
        <v>399900</v>
      </c>
    </row>
    <row r="9" spans="1:19" x14ac:dyDescent="0.2">
      <c r="A9" s="427">
        <f>A254</f>
        <v>687900</v>
      </c>
      <c r="B9" s="97">
        <f>B254</f>
        <v>499700</v>
      </c>
      <c r="C9" s="97">
        <f>C254</f>
        <v>413800</v>
      </c>
      <c r="D9" s="97">
        <f>D254</f>
        <v>350500</v>
      </c>
      <c r="E9" s="9">
        <f t="shared" ref="E9" si="17">E254</f>
        <v>1636900</v>
      </c>
      <c r="F9" s="182" t="str">
        <f t="shared" si="12"/>
        <v>Roads and Bridges</v>
      </c>
      <c r="G9" s="89"/>
      <c r="H9" s="9">
        <f t="shared" ref="H9:O9" si="18">H254</f>
        <v>947500</v>
      </c>
      <c r="I9" s="85">
        <f t="shared" si="2"/>
        <v>-42.116195247113446</v>
      </c>
      <c r="J9" s="9">
        <f t="shared" si="18"/>
        <v>532000</v>
      </c>
      <c r="K9" s="9">
        <f t="shared" si="18"/>
        <v>666200</v>
      </c>
      <c r="L9" s="9">
        <f t="shared" si="18"/>
        <v>670900</v>
      </c>
      <c r="M9" s="9">
        <f t="shared" si="18"/>
        <v>675500</v>
      </c>
      <c r="N9" s="9">
        <f t="shared" si="18"/>
        <v>680400</v>
      </c>
      <c r="O9" s="9">
        <f t="shared" si="18"/>
        <v>689000</v>
      </c>
      <c r="P9" s="89">
        <f t="shared" ref="P9:Q9" si="19">P254</f>
        <v>700200</v>
      </c>
      <c r="Q9" s="9">
        <f t="shared" si="19"/>
        <v>714300</v>
      </c>
      <c r="R9" s="9">
        <f t="shared" ref="R9" si="20">R254</f>
        <v>728600</v>
      </c>
      <c r="S9" s="47">
        <f t="shared" ref="S9" si="21">S254</f>
        <v>743200</v>
      </c>
    </row>
    <row r="10" spans="1:19" x14ac:dyDescent="0.2">
      <c r="A10" s="427">
        <f>A314</f>
        <v>598700</v>
      </c>
      <c r="B10" s="97">
        <f>B314</f>
        <v>905900</v>
      </c>
      <c r="C10" s="97">
        <f>C314</f>
        <v>896500</v>
      </c>
      <c r="D10" s="97">
        <f>D314</f>
        <v>1375200</v>
      </c>
      <c r="E10" s="9">
        <f t="shared" ref="E10" si="22">E314</f>
        <v>967800</v>
      </c>
      <c r="F10" s="182" t="str">
        <f t="shared" si="12"/>
        <v>Ancillary Transport Services</v>
      </c>
      <c r="G10" s="89"/>
      <c r="H10" s="9">
        <f t="shared" ref="H10:O10" si="23">H314</f>
        <v>808100</v>
      </c>
      <c r="I10" s="85">
        <f t="shared" si="2"/>
        <v>-16.501343252738167</v>
      </c>
      <c r="J10" s="9">
        <f t="shared" si="23"/>
        <v>770100</v>
      </c>
      <c r="K10" s="9">
        <f t="shared" si="23"/>
        <v>783700</v>
      </c>
      <c r="L10" s="9">
        <f t="shared" si="23"/>
        <v>797500</v>
      </c>
      <c r="M10" s="9">
        <f t="shared" si="23"/>
        <v>811500</v>
      </c>
      <c r="N10" s="9">
        <f t="shared" si="23"/>
        <v>826200</v>
      </c>
      <c r="O10" s="9">
        <f t="shared" si="23"/>
        <v>846200</v>
      </c>
      <c r="P10" s="89">
        <f t="shared" ref="P10:Q10" si="24">P314</f>
        <v>867700</v>
      </c>
      <c r="Q10" s="9">
        <f t="shared" si="24"/>
        <v>889800</v>
      </c>
      <c r="R10" s="9">
        <f t="shared" ref="R10" si="25">R314</f>
        <v>912500</v>
      </c>
      <c r="S10" s="47">
        <f t="shared" ref="S10" si="26">S314</f>
        <v>935600</v>
      </c>
    </row>
    <row r="11" spans="1:19" x14ac:dyDescent="0.2">
      <c r="A11" s="427">
        <f>A371</f>
        <v>677000</v>
      </c>
      <c r="B11" s="97">
        <f>B371</f>
        <v>926000</v>
      </c>
      <c r="C11" s="97">
        <f>C371</f>
        <v>866500</v>
      </c>
      <c r="D11" s="97">
        <f>D371</f>
        <v>876000</v>
      </c>
      <c r="E11" s="9">
        <f t="shared" ref="E11" si="27">E371</f>
        <v>1003200</v>
      </c>
      <c r="F11" s="182" t="str">
        <f t="shared" si="12"/>
        <v>Roads and Maritime Services</v>
      </c>
      <c r="G11" s="89"/>
      <c r="H11" s="9">
        <f t="shared" ref="H11:O11" si="28">H371</f>
        <v>746000</v>
      </c>
      <c r="I11" s="85">
        <f t="shared" si="2"/>
        <v>-25.637958532695375</v>
      </c>
      <c r="J11" s="9">
        <f t="shared" si="28"/>
        <v>763900</v>
      </c>
      <c r="K11" s="9">
        <f t="shared" si="28"/>
        <v>783600</v>
      </c>
      <c r="L11" s="9">
        <f t="shared" si="28"/>
        <v>803600</v>
      </c>
      <c r="M11" s="9">
        <f t="shared" si="28"/>
        <v>824100</v>
      </c>
      <c r="N11" s="9">
        <f t="shared" si="28"/>
        <v>845200</v>
      </c>
      <c r="O11" s="9">
        <f t="shared" si="28"/>
        <v>866800</v>
      </c>
      <c r="P11" s="89">
        <f t="shared" ref="P11:Q11" si="29">P371</f>
        <v>888900</v>
      </c>
      <c r="Q11" s="9">
        <f t="shared" si="29"/>
        <v>911400</v>
      </c>
      <c r="R11" s="9">
        <f t="shared" ref="R11" si="30">R371</f>
        <v>934600</v>
      </c>
      <c r="S11" s="47">
        <f t="shared" ref="S11" si="31">S371</f>
        <v>958300</v>
      </c>
    </row>
    <row r="12" spans="1:19" x14ac:dyDescent="0.2">
      <c r="A12" s="427">
        <f>A418</f>
        <v>906200</v>
      </c>
      <c r="B12" s="97">
        <f>B418</f>
        <v>987000</v>
      </c>
      <c r="C12" s="97">
        <f>C418</f>
        <v>963100</v>
      </c>
      <c r="D12" s="97">
        <f>D418</f>
        <v>1049600</v>
      </c>
      <c r="E12" s="9">
        <f t="shared" ref="E12" si="32">E418</f>
        <v>878700</v>
      </c>
      <c r="F12" s="182" t="str">
        <f t="shared" si="12"/>
        <v>Open Spaces and Reserves</v>
      </c>
      <c r="G12" s="89"/>
      <c r="H12" s="9">
        <f t="shared" ref="H12:O12" si="33">H418</f>
        <v>826100</v>
      </c>
      <c r="I12" s="85">
        <f t="shared" si="2"/>
        <v>-5.9861158529646064</v>
      </c>
      <c r="J12" s="9">
        <f t="shared" si="33"/>
        <v>795500</v>
      </c>
      <c r="K12" s="9">
        <f t="shared" si="33"/>
        <v>816200</v>
      </c>
      <c r="L12" s="9">
        <f t="shared" si="33"/>
        <v>837500</v>
      </c>
      <c r="M12" s="9">
        <f t="shared" si="33"/>
        <v>859100</v>
      </c>
      <c r="N12" s="9">
        <f t="shared" si="33"/>
        <v>881300</v>
      </c>
      <c r="O12" s="9">
        <f t="shared" si="33"/>
        <v>904100</v>
      </c>
      <c r="P12" s="89">
        <f t="shared" ref="P12:Q12" si="34">P418</f>
        <v>927400</v>
      </c>
      <c r="Q12" s="9">
        <f t="shared" si="34"/>
        <v>951100</v>
      </c>
      <c r="R12" s="9">
        <f t="shared" ref="R12" si="35">R418</f>
        <v>975500</v>
      </c>
      <c r="S12" s="47">
        <f t="shared" ref="S12" si="36">S418</f>
        <v>1000500</v>
      </c>
    </row>
    <row r="13" spans="1:19" x14ac:dyDescent="0.2">
      <c r="A13" s="427">
        <f>A489</f>
        <v>308500</v>
      </c>
      <c r="B13" s="97">
        <f>B489</f>
        <v>302000</v>
      </c>
      <c r="C13" s="97">
        <f>C489</f>
        <v>326900</v>
      </c>
      <c r="D13" s="97">
        <f>D489</f>
        <v>284000</v>
      </c>
      <c r="E13" s="9">
        <f t="shared" ref="E13" si="37">E489</f>
        <v>265200</v>
      </c>
      <c r="F13" s="182" t="str">
        <f t="shared" si="12"/>
        <v>Fleet Management and Workshop</v>
      </c>
      <c r="G13" s="89"/>
      <c r="H13" s="9">
        <f t="shared" ref="H13:O13" si="38">H489</f>
        <v>247900</v>
      </c>
      <c r="I13" s="85">
        <f t="shared" si="2"/>
        <v>-6.5233785822021124</v>
      </c>
      <c r="J13" s="9">
        <f t="shared" si="38"/>
        <v>249700</v>
      </c>
      <c r="K13" s="9">
        <f t="shared" si="38"/>
        <v>259200</v>
      </c>
      <c r="L13" s="9">
        <f t="shared" si="38"/>
        <v>273800</v>
      </c>
      <c r="M13" s="9">
        <f t="shared" si="38"/>
        <v>276600</v>
      </c>
      <c r="N13" s="9">
        <f t="shared" si="38"/>
        <v>280500</v>
      </c>
      <c r="O13" s="9">
        <f t="shared" si="38"/>
        <v>282600</v>
      </c>
      <c r="P13" s="89">
        <f t="shared" ref="P13:Q13" si="39">P489</f>
        <v>290000</v>
      </c>
      <c r="Q13" s="9">
        <f t="shared" si="39"/>
        <v>305500</v>
      </c>
      <c r="R13" s="9">
        <f t="shared" ref="R13" si="40">R489</f>
        <v>309300</v>
      </c>
      <c r="S13" s="47">
        <f t="shared" ref="S13" si="41">S489</f>
        <v>317200</v>
      </c>
    </row>
    <row r="14" spans="1:19" x14ac:dyDescent="0.2">
      <c r="A14" s="427">
        <f>A535</f>
        <v>249000</v>
      </c>
      <c r="B14" s="97">
        <f>B535</f>
        <v>161500</v>
      </c>
      <c r="C14" s="99">
        <f>C535</f>
        <v>181900</v>
      </c>
      <c r="D14" s="97">
        <f>D535</f>
        <v>172300</v>
      </c>
      <c r="E14" s="9">
        <f t="shared" ref="E14" si="42">E535</f>
        <v>200100</v>
      </c>
      <c r="F14" s="182" t="str">
        <f t="shared" si="12"/>
        <v>Rural Fire Service</v>
      </c>
      <c r="G14" s="89"/>
      <c r="H14" s="9">
        <f t="shared" ref="H14:O14" si="43">H535</f>
        <v>206500</v>
      </c>
      <c r="I14" s="85">
        <f t="shared" si="2"/>
        <v>3.1984007996001997</v>
      </c>
      <c r="J14" s="9">
        <f t="shared" si="43"/>
        <v>211400</v>
      </c>
      <c r="K14" s="9">
        <f t="shared" si="43"/>
        <v>216800</v>
      </c>
      <c r="L14" s="9">
        <f t="shared" si="43"/>
        <v>222300</v>
      </c>
      <c r="M14" s="9">
        <f t="shared" si="43"/>
        <v>228100</v>
      </c>
      <c r="N14" s="9">
        <f t="shared" si="43"/>
        <v>233900</v>
      </c>
      <c r="O14" s="9">
        <f t="shared" si="43"/>
        <v>239900</v>
      </c>
      <c r="P14" s="89">
        <f t="shared" ref="P14:Q14" si="44">P535</f>
        <v>246000</v>
      </c>
      <c r="Q14" s="9">
        <f t="shared" si="44"/>
        <v>252200</v>
      </c>
      <c r="R14" s="9">
        <f t="shared" ref="R14" si="45">R535</f>
        <v>258700</v>
      </c>
      <c r="S14" s="47">
        <f t="shared" ref="S14" si="46">S535</f>
        <v>265300</v>
      </c>
    </row>
    <row r="15" spans="1:19" x14ac:dyDescent="0.2">
      <c r="A15" s="427">
        <f>A578</f>
        <v>411000</v>
      </c>
      <c r="B15" s="97">
        <f>B578</f>
        <v>349700</v>
      </c>
      <c r="C15" s="99">
        <f>C578</f>
        <v>475700</v>
      </c>
      <c r="D15" s="97">
        <f>D578</f>
        <v>377200</v>
      </c>
      <c r="E15" s="9">
        <f t="shared" ref="E15" si="47">E578</f>
        <v>69100</v>
      </c>
      <c r="F15" s="182" t="str">
        <f t="shared" si="12"/>
        <v>Quarries and Sandpit</v>
      </c>
      <c r="G15" s="89"/>
      <c r="H15" s="9">
        <f t="shared" ref="H15:O15" si="48">H578</f>
        <v>67900</v>
      </c>
      <c r="I15" s="85">
        <f t="shared" si="2"/>
        <v>-1.7366136034732274</v>
      </c>
      <c r="J15" s="9">
        <f t="shared" si="48"/>
        <v>69600</v>
      </c>
      <c r="K15" s="9">
        <f t="shared" si="48"/>
        <v>71500</v>
      </c>
      <c r="L15" s="9">
        <f t="shared" si="48"/>
        <v>73400</v>
      </c>
      <c r="M15" s="9">
        <f t="shared" si="48"/>
        <v>75300</v>
      </c>
      <c r="N15" s="9">
        <f t="shared" si="48"/>
        <v>77300</v>
      </c>
      <c r="O15" s="9">
        <f t="shared" si="48"/>
        <v>79300</v>
      </c>
      <c r="P15" s="89">
        <f t="shared" ref="P15:Q15" si="49">P578</f>
        <v>81400</v>
      </c>
      <c r="Q15" s="9">
        <f t="shared" si="49"/>
        <v>83500</v>
      </c>
      <c r="R15" s="9">
        <f t="shared" ref="R15" si="50">R578</f>
        <v>85600</v>
      </c>
      <c r="S15" s="47">
        <f t="shared" ref="S15" si="51">S578</f>
        <v>87800</v>
      </c>
    </row>
    <row r="16" spans="1:19" x14ac:dyDescent="0.2">
      <c r="A16" s="427">
        <f>A634</f>
        <v>2497000</v>
      </c>
      <c r="B16" s="97">
        <f>B634</f>
        <v>2720200</v>
      </c>
      <c r="C16" s="99">
        <f>C634</f>
        <v>3958300</v>
      </c>
      <c r="D16" s="97">
        <f>D634</f>
        <v>3844500</v>
      </c>
      <c r="E16" s="9">
        <f t="shared" ref="E16" si="52">E634</f>
        <v>3350400</v>
      </c>
      <c r="F16" s="782" t="s">
        <v>3063</v>
      </c>
      <c r="G16" s="89"/>
      <c r="H16" s="9">
        <f t="shared" ref="H16:O16" si="53">H634</f>
        <v>2111000</v>
      </c>
      <c r="I16" s="85">
        <f t="shared" si="2"/>
        <v>-36.992597898758355</v>
      </c>
      <c r="J16" s="9">
        <f t="shared" si="53"/>
        <v>2139000</v>
      </c>
      <c r="K16" s="9">
        <f t="shared" si="53"/>
        <v>2233000</v>
      </c>
      <c r="L16" s="9">
        <f t="shared" si="53"/>
        <v>2276000</v>
      </c>
      <c r="M16" s="9">
        <f t="shared" si="53"/>
        <v>2318000</v>
      </c>
      <c r="N16" s="9">
        <f t="shared" si="53"/>
        <v>2359000</v>
      </c>
      <c r="O16" s="9">
        <f t="shared" si="53"/>
        <v>2400000</v>
      </c>
      <c r="P16" s="89">
        <f t="shared" ref="P16:Q16" si="54">P634</f>
        <v>2451000</v>
      </c>
      <c r="Q16" s="9">
        <f t="shared" si="54"/>
        <v>2504000</v>
      </c>
      <c r="R16" s="9">
        <f t="shared" ref="R16" si="55">R634</f>
        <v>2558000</v>
      </c>
      <c r="S16" s="47">
        <f t="shared" ref="S16" si="56">S634</f>
        <v>2614000</v>
      </c>
    </row>
    <row r="17" spans="1:21" x14ac:dyDescent="0.2">
      <c r="A17" s="427">
        <f>A704</f>
        <v>6579200</v>
      </c>
      <c r="B17" s="97">
        <f>B704</f>
        <v>6736500</v>
      </c>
      <c r="C17" s="99">
        <f>C704</f>
        <v>5865100</v>
      </c>
      <c r="D17" s="97">
        <f>D704</f>
        <v>6079500</v>
      </c>
      <c r="E17" s="9">
        <f t="shared" ref="E17" si="57">E704</f>
        <v>6308100</v>
      </c>
      <c r="F17" s="916" t="s">
        <v>1911</v>
      </c>
      <c r="G17" s="89"/>
      <c r="H17" s="9">
        <f t="shared" ref="H17:O17" si="58">H704</f>
        <v>6506800</v>
      </c>
      <c r="I17" s="85">
        <f t="shared" si="2"/>
        <v>3.149918358935337</v>
      </c>
      <c r="J17" s="9">
        <f t="shared" si="58"/>
        <v>6646000</v>
      </c>
      <c r="K17" s="9">
        <f t="shared" si="58"/>
        <v>6776500</v>
      </c>
      <c r="L17" s="9">
        <f t="shared" si="58"/>
        <v>6948500</v>
      </c>
      <c r="M17" s="9">
        <f t="shared" si="58"/>
        <v>7079100</v>
      </c>
      <c r="N17" s="9">
        <f t="shared" si="58"/>
        <v>7258400</v>
      </c>
      <c r="O17" s="9">
        <f t="shared" si="58"/>
        <v>7441500</v>
      </c>
      <c r="P17" s="89">
        <f t="shared" ref="P17:Q17" si="59">P704</f>
        <v>7579600</v>
      </c>
      <c r="Q17" s="9">
        <f t="shared" si="59"/>
        <v>7770700</v>
      </c>
      <c r="R17" s="9">
        <f t="shared" ref="R17" si="60">R704</f>
        <v>7950800</v>
      </c>
      <c r="S17" s="47">
        <f t="shared" ref="S17" si="61">S704</f>
        <v>8117100</v>
      </c>
    </row>
    <row r="18" spans="1:21" ht="13.5" thickBot="1" x14ac:dyDescent="0.25">
      <c r="A18" s="427"/>
      <c r="B18" s="97"/>
      <c r="C18" s="99"/>
      <c r="D18" s="97"/>
      <c r="E18" s="9"/>
      <c r="F18" s="182"/>
      <c r="G18" s="89"/>
      <c r="H18" s="9"/>
      <c r="I18" s="85"/>
      <c r="J18" s="9"/>
      <c r="K18" s="9"/>
      <c r="L18" s="9"/>
      <c r="M18" s="9"/>
      <c r="N18" s="9"/>
      <c r="O18" s="9"/>
      <c r="P18" s="89"/>
      <c r="Q18" s="9"/>
      <c r="R18" s="9"/>
      <c r="S18" s="47"/>
    </row>
    <row r="19" spans="1:21" s="39" customFormat="1" x14ac:dyDescent="0.2">
      <c r="A19" s="428">
        <f>SUM(A5:A18)</f>
        <v>13608800</v>
      </c>
      <c r="B19" s="100">
        <f>SUM(B5:B18)</f>
        <v>14424300</v>
      </c>
      <c r="C19" s="101">
        <f>SUM(C5:C18)</f>
        <v>14561300</v>
      </c>
      <c r="D19" s="100">
        <f>SUM(D5:D18)</f>
        <v>15037800</v>
      </c>
      <c r="E19" s="16">
        <f t="shared" ref="E19" si="62">SUM(E5:E18)</f>
        <v>15642100</v>
      </c>
      <c r="F19" s="404" t="s">
        <v>2561</v>
      </c>
      <c r="G19" s="75"/>
      <c r="H19" s="16">
        <f t="shared" ref="H19:P19" si="63">SUM(H5:H18)</f>
        <v>13294400</v>
      </c>
      <c r="I19" s="127">
        <f>IF(E19=H19,0,IF(E19=0,100,(H19-E19)/E19*100))</f>
        <v>-15.008854309843308</v>
      </c>
      <c r="J19" s="16">
        <f t="shared" si="63"/>
        <v>12958200</v>
      </c>
      <c r="K19" s="16">
        <f t="shared" si="63"/>
        <v>13366800</v>
      </c>
      <c r="L19" s="16">
        <f t="shared" si="63"/>
        <v>13572900</v>
      </c>
      <c r="M19" s="16">
        <f t="shared" si="63"/>
        <v>13826100</v>
      </c>
      <c r="N19" s="16">
        <f t="shared" si="63"/>
        <v>14130600</v>
      </c>
      <c r="O19" s="16">
        <f t="shared" si="63"/>
        <v>14447600</v>
      </c>
      <c r="P19" s="102">
        <f t="shared" si="63"/>
        <v>14740300</v>
      </c>
      <c r="Q19" s="16">
        <f t="shared" ref="Q19" si="64">SUM(Q5:Q18)</f>
        <v>15100800</v>
      </c>
      <c r="R19" s="16">
        <f t="shared" ref="R19" si="65">SUM(R5:R18)</f>
        <v>15442300</v>
      </c>
      <c r="S19" s="2342">
        <f t="shared" ref="S19" si="66">SUM(S5:S18)</f>
        <v>15778300</v>
      </c>
      <c r="U19" s="34"/>
    </row>
    <row r="20" spans="1:21" x14ac:dyDescent="0.2">
      <c r="A20" s="427"/>
      <c r="B20" s="97"/>
      <c r="C20" s="99"/>
      <c r="D20" s="97"/>
      <c r="E20" s="9">
        <f>23522300-E19</f>
        <v>7880200</v>
      </c>
      <c r="F20" s="182"/>
      <c r="G20" s="89"/>
      <c r="H20" s="9"/>
      <c r="I20" s="85"/>
      <c r="J20" s="9"/>
      <c r="K20" s="9"/>
      <c r="L20" s="9"/>
      <c r="M20" s="9"/>
      <c r="N20" s="9"/>
      <c r="O20" s="9"/>
      <c r="P20" s="89"/>
      <c r="Q20" s="9"/>
      <c r="R20" s="9"/>
      <c r="S20" s="47"/>
    </row>
    <row r="21" spans="1:21" x14ac:dyDescent="0.2">
      <c r="A21" s="427"/>
      <c r="B21" s="97"/>
      <c r="C21" s="99"/>
      <c r="D21" s="97"/>
      <c r="E21" s="9"/>
      <c r="F21" s="180" t="s">
        <v>2169</v>
      </c>
      <c r="G21" s="89"/>
      <c r="H21" s="9"/>
      <c r="I21" s="85"/>
      <c r="J21" s="9"/>
      <c r="K21" s="9"/>
      <c r="L21" s="9"/>
      <c r="M21" s="9"/>
      <c r="N21" s="9"/>
      <c r="O21" s="9"/>
      <c r="P21" s="89"/>
      <c r="Q21" s="9"/>
      <c r="R21" s="9"/>
      <c r="S21" s="47"/>
    </row>
    <row r="22" spans="1:21" x14ac:dyDescent="0.2">
      <c r="A22" s="427">
        <f>A105</f>
        <v>2431000</v>
      </c>
      <c r="B22" s="97">
        <f>B105</f>
        <v>2053400</v>
      </c>
      <c r="C22" s="97">
        <f>C105</f>
        <v>2505100</v>
      </c>
      <c r="D22" s="97">
        <f>D105</f>
        <v>2621900</v>
      </c>
      <c r="E22" s="9">
        <f t="shared" ref="E22" si="67">E105</f>
        <v>2655900</v>
      </c>
      <c r="F22" s="182" t="str">
        <f t="shared" ref="F22:F33" si="68">F6</f>
        <v>Engineering Management</v>
      </c>
      <c r="G22" s="89"/>
      <c r="H22" s="9">
        <f t="shared" ref="H22:O22" si="69">H105</f>
        <v>2603800</v>
      </c>
      <c r="I22" s="85">
        <f t="shared" ref="I22:I33" si="70">IF(E22=H22,0,IF(E22=0,100,(H22-E22)/E22*100))</f>
        <v>-1.9616702436085696</v>
      </c>
      <c r="J22" s="9">
        <f t="shared" si="69"/>
        <v>2752100</v>
      </c>
      <c r="K22" s="9">
        <f t="shared" si="69"/>
        <v>2816700</v>
      </c>
      <c r="L22" s="9">
        <f t="shared" si="69"/>
        <v>2882500</v>
      </c>
      <c r="M22" s="9">
        <f t="shared" si="69"/>
        <v>2950000</v>
      </c>
      <c r="N22" s="9">
        <f t="shared" si="69"/>
        <v>3019400</v>
      </c>
      <c r="O22" s="9">
        <f t="shared" si="69"/>
        <v>3090200</v>
      </c>
      <c r="P22" s="89">
        <f t="shared" ref="P22:Q22" si="71">P105</f>
        <v>3162700</v>
      </c>
      <c r="Q22" s="9">
        <f t="shared" si="71"/>
        <v>3236800</v>
      </c>
      <c r="R22" s="9">
        <f t="shared" ref="R22" si="72">R105</f>
        <v>3312500</v>
      </c>
      <c r="S22" s="47">
        <f t="shared" ref="S22" si="73">S105</f>
        <v>3389900</v>
      </c>
    </row>
    <row r="23" spans="1:21" x14ac:dyDescent="0.2">
      <c r="A23" s="427">
        <f>A164</f>
        <v>3004000</v>
      </c>
      <c r="B23" s="97">
        <f>B164</f>
        <v>3634900</v>
      </c>
      <c r="C23" s="97">
        <f>C164</f>
        <v>3726400</v>
      </c>
      <c r="D23" s="97">
        <f>D164</f>
        <v>3713200</v>
      </c>
      <c r="E23" s="9">
        <f t="shared" ref="E23" si="74">E164</f>
        <v>3414800</v>
      </c>
      <c r="F23" s="182" t="str">
        <f t="shared" si="68"/>
        <v>Procurement and Building Management</v>
      </c>
      <c r="G23" s="89"/>
      <c r="H23" s="9">
        <f t="shared" ref="H23:O23" si="75">H164</f>
        <v>3662100</v>
      </c>
      <c r="I23" s="85">
        <f t="shared" si="70"/>
        <v>7.2420053883097104</v>
      </c>
      <c r="J23" s="9">
        <f t="shared" si="75"/>
        <v>3798800</v>
      </c>
      <c r="K23" s="9">
        <f t="shared" si="75"/>
        <v>3887600</v>
      </c>
      <c r="L23" s="9">
        <f t="shared" si="75"/>
        <v>3978600</v>
      </c>
      <c r="M23" s="9">
        <f t="shared" si="75"/>
        <v>4071800</v>
      </c>
      <c r="N23" s="9">
        <f t="shared" si="75"/>
        <v>4166800</v>
      </c>
      <c r="O23" s="9">
        <f t="shared" si="75"/>
        <v>4263900</v>
      </c>
      <c r="P23" s="89">
        <f t="shared" ref="P23:Q23" si="76">P164</f>
        <v>4363100</v>
      </c>
      <c r="Q23" s="9">
        <f t="shared" si="76"/>
        <v>4464700</v>
      </c>
      <c r="R23" s="9">
        <f t="shared" ref="R23" si="77">R164</f>
        <v>4556700</v>
      </c>
      <c r="S23" s="47">
        <f t="shared" ref="S23" si="78">S164</f>
        <v>4651000</v>
      </c>
    </row>
    <row r="24" spans="1:21" x14ac:dyDescent="0.2">
      <c r="A24" s="427">
        <f>A218</f>
        <v>2446000</v>
      </c>
      <c r="B24" s="97">
        <f>B218</f>
        <v>2507800</v>
      </c>
      <c r="C24" s="97">
        <f>C218</f>
        <v>2343200</v>
      </c>
      <c r="D24" s="97">
        <f>D218</f>
        <v>2213900</v>
      </c>
      <c r="E24" s="9">
        <f t="shared" ref="E24" si="79">E218</f>
        <v>2033800</v>
      </c>
      <c r="F24" s="182" t="str">
        <f t="shared" si="68"/>
        <v>Stormwater and Environmental Protection</v>
      </c>
      <c r="G24" s="89"/>
      <c r="H24" s="9">
        <f t="shared" ref="H24:O24" si="80">H218</f>
        <v>2469900</v>
      </c>
      <c r="I24" s="85">
        <f t="shared" si="70"/>
        <v>21.442619726620123</v>
      </c>
      <c r="J24" s="9">
        <f t="shared" si="80"/>
        <v>2374800</v>
      </c>
      <c r="K24" s="9">
        <f t="shared" si="80"/>
        <v>2531700</v>
      </c>
      <c r="L24" s="9">
        <f t="shared" si="80"/>
        <v>2342700</v>
      </c>
      <c r="M24" s="9">
        <f t="shared" si="80"/>
        <v>2394300</v>
      </c>
      <c r="N24" s="9">
        <f t="shared" si="80"/>
        <v>2446900</v>
      </c>
      <c r="O24" s="9">
        <f t="shared" si="80"/>
        <v>2500900</v>
      </c>
      <c r="P24" s="89">
        <f t="shared" ref="P24:Q24" si="81">P218</f>
        <v>2732900</v>
      </c>
      <c r="Q24" s="9">
        <f t="shared" si="81"/>
        <v>2610700</v>
      </c>
      <c r="R24" s="9">
        <f t="shared" ref="R24" si="82">R218</f>
        <v>2668300</v>
      </c>
      <c r="S24" s="47">
        <f t="shared" ref="S24" si="83">S218</f>
        <v>2727100</v>
      </c>
    </row>
    <row r="25" spans="1:21" x14ac:dyDescent="0.2">
      <c r="A25" s="427">
        <f>A274</f>
        <v>15778700</v>
      </c>
      <c r="B25" s="97">
        <f>B274</f>
        <v>12418700</v>
      </c>
      <c r="C25" s="97">
        <f>C274</f>
        <v>12830100</v>
      </c>
      <c r="D25" s="97">
        <f>D274</f>
        <v>9730300</v>
      </c>
      <c r="E25" s="9">
        <f t="shared" ref="E25" si="84">E274</f>
        <v>11869900</v>
      </c>
      <c r="F25" s="182" t="str">
        <f t="shared" si="68"/>
        <v>Roads and Bridges</v>
      </c>
      <c r="G25" s="89"/>
      <c r="H25" s="9">
        <f t="shared" ref="H25:O25" si="85">H274</f>
        <v>8419600</v>
      </c>
      <c r="I25" s="85">
        <f t="shared" si="70"/>
        <v>-29.067641681901279</v>
      </c>
      <c r="J25" s="9">
        <f t="shared" si="85"/>
        <v>8534900</v>
      </c>
      <c r="K25" s="9">
        <f t="shared" si="85"/>
        <v>8656500</v>
      </c>
      <c r="L25" s="9">
        <f t="shared" si="85"/>
        <v>8775800</v>
      </c>
      <c r="M25" s="9">
        <f t="shared" si="85"/>
        <v>9257600</v>
      </c>
      <c r="N25" s="9">
        <f t="shared" si="85"/>
        <v>9392500</v>
      </c>
      <c r="O25" s="9">
        <f t="shared" si="85"/>
        <v>9534000</v>
      </c>
      <c r="P25" s="89">
        <f t="shared" ref="P25:Q25" si="86">P274</f>
        <v>9681600</v>
      </c>
      <c r="Q25" s="9">
        <f t="shared" si="86"/>
        <v>9845000</v>
      </c>
      <c r="R25" s="9">
        <f t="shared" ref="R25" si="87">R274</f>
        <v>10036500</v>
      </c>
      <c r="S25" s="47">
        <f t="shared" ref="S25" si="88">S274</f>
        <v>10232700</v>
      </c>
    </row>
    <row r="26" spans="1:21" x14ac:dyDescent="0.2">
      <c r="A26" s="427">
        <f>A340</f>
        <v>2264000</v>
      </c>
      <c r="B26" s="97">
        <f>B340</f>
        <v>1960000</v>
      </c>
      <c r="C26" s="97">
        <f>C340</f>
        <v>2286800</v>
      </c>
      <c r="D26" s="97">
        <f>D340</f>
        <v>2871400</v>
      </c>
      <c r="E26" s="9">
        <f t="shared" ref="E26" si="89">E340</f>
        <v>2384300</v>
      </c>
      <c r="F26" s="182" t="str">
        <f t="shared" si="68"/>
        <v>Ancillary Transport Services</v>
      </c>
      <c r="G26" s="89"/>
      <c r="H26" s="9">
        <f t="shared" ref="H26:O26" si="90">H340</f>
        <v>2321000</v>
      </c>
      <c r="I26" s="85">
        <f t="shared" si="70"/>
        <v>-2.6548672566371683</v>
      </c>
      <c r="J26" s="9">
        <f t="shared" si="90"/>
        <v>2177800</v>
      </c>
      <c r="K26" s="9">
        <f t="shared" si="90"/>
        <v>2408900</v>
      </c>
      <c r="L26" s="9">
        <f t="shared" si="90"/>
        <v>2347500</v>
      </c>
      <c r="M26" s="9">
        <f t="shared" si="90"/>
        <v>2488300</v>
      </c>
      <c r="N26" s="9">
        <f t="shared" si="90"/>
        <v>2426500</v>
      </c>
      <c r="O26" s="9">
        <f t="shared" si="90"/>
        <v>2578400</v>
      </c>
      <c r="P26" s="89">
        <f t="shared" ref="P26:Q26" si="91">P340</f>
        <v>2524000</v>
      </c>
      <c r="Q26" s="9">
        <f t="shared" si="91"/>
        <v>2681300</v>
      </c>
      <c r="R26" s="9">
        <f t="shared" ref="R26" si="92">R340</f>
        <v>2626800</v>
      </c>
      <c r="S26" s="47">
        <f t="shared" ref="S26" si="93">S340</f>
        <v>2677800</v>
      </c>
    </row>
    <row r="27" spans="1:21" x14ac:dyDescent="0.2">
      <c r="A27" s="427">
        <f>A379</f>
        <v>730000</v>
      </c>
      <c r="B27" s="97">
        <f>B379</f>
        <v>749800</v>
      </c>
      <c r="C27" s="97">
        <f>C379</f>
        <v>669200</v>
      </c>
      <c r="D27" s="97">
        <f>D379</f>
        <v>770000</v>
      </c>
      <c r="E27" s="9">
        <f t="shared" ref="E27" si="94">E379</f>
        <v>915100</v>
      </c>
      <c r="F27" s="182" t="str">
        <f t="shared" si="68"/>
        <v>Roads and Maritime Services</v>
      </c>
      <c r="G27" s="89"/>
      <c r="H27" s="9">
        <f t="shared" ref="H27:O27" si="95">H379</f>
        <v>586000</v>
      </c>
      <c r="I27" s="85">
        <f t="shared" si="70"/>
        <v>-35.96328270134412</v>
      </c>
      <c r="J27" s="9">
        <f t="shared" si="95"/>
        <v>763900</v>
      </c>
      <c r="K27" s="9">
        <f t="shared" si="95"/>
        <v>783600</v>
      </c>
      <c r="L27" s="9">
        <f t="shared" si="95"/>
        <v>803600</v>
      </c>
      <c r="M27" s="9">
        <f t="shared" si="95"/>
        <v>824100</v>
      </c>
      <c r="N27" s="9">
        <f t="shared" si="95"/>
        <v>845200</v>
      </c>
      <c r="O27" s="9">
        <f t="shared" si="95"/>
        <v>866800</v>
      </c>
      <c r="P27" s="89">
        <f t="shared" ref="P27:Q27" si="96">P379</f>
        <v>888900</v>
      </c>
      <c r="Q27" s="9">
        <f t="shared" si="96"/>
        <v>911400</v>
      </c>
      <c r="R27" s="9">
        <f t="shared" ref="R27" si="97">R379</f>
        <v>934600</v>
      </c>
      <c r="S27" s="47">
        <f t="shared" ref="S27" si="98">S379</f>
        <v>958300</v>
      </c>
    </row>
    <row r="28" spans="1:21" x14ac:dyDescent="0.2">
      <c r="A28" s="427">
        <f>A451</f>
        <v>3141000</v>
      </c>
      <c r="B28" s="97">
        <f>B451</f>
        <v>3310700</v>
      </c>
      <c r="C28" s="97">
        <f>C451</f>
        <v>3448900</v>
      </c>
      <c r="D28" s="97">
        <f>D451</f>
        <v>3699500</v>
      </c>
      <c r="E28" s="9">
        <f t="shared" ref="E28" si="99">E451</f>
        <v>5443600</v>
      </c>
      <c r="F28" s="182" t="str">
        <f t="shared" si="68"/>
        <v>Open Spaces and Reserves</v>
      </c>
      <c r="G28" s="89"/>
      <c r="H28" s="9">
        <f t="shared" ref="H28:O28" si="100">H451</f>
        <v>3906100</v>
      </c>
      <c r="I28" s="85">
        <f t="shared" si="70"/>
        <v>-28.244176647806597</v>
      </c>
      <c r="J28" s="9">
        <f t="shared" si="100"/>
        <v>3774600</v>
      </c>
      <c r="K28" s="9">
        <f t="shared" si="100"/>
        <v>3880300</v>
      </c>
      <c r="L28" s="9">
        <f t="shared" si="100"/>
        <v>3980900</v>
      </c>
      <c r="M28" s="9">
        <f t="shared" si="100"/>
        <v>4084000</v>
      </c>
      <c r="N28" s="9">
        <f t="shared" si="100"/>
        <v>4189700</v>
      </c>
      <c r="O28" s="9">
        <f t="shared" si="100"/>
        <v>4297700</v>
      </c>
      <c r="P28" s="89">
        <f t="shared" ref="P28:Q28" si="101">P451</f>
        <v>4408100</v>
      </c>
      <c r="Q28" s="9">
        <f t="shared" si="101"/>
        <v>4521400</v>
      </c>
      <c r="R28" s="9">
        <f t="shared" ref="R28" si="102">R451</f>
        <v>4627000</v>
      </c>
      <c r="S28" s="47">
        <f t="shared" ref="S28" si="103">S451</f>
        <v>4735200</v>
      </c>
    </row>
    <row r="29" spans="1:21" x14ac:dyDescent="0.2">
      <c r="A29" s="427">
        <f>A508</f>
        <v>264200</v>
      </c>
      <c r="B29" s="97">
        <f>B508</f>
        <v>236000</v>
      </c>
      <c r="C29" s="97">
        <f>C508</f>
        <v>40900</v>
      </c>
      <c r="D29" s="97">
        <f>D508</f>
        <v>-205900</v>
      </c>
      <c r="E29" s="9">
        <f t="shared" ref="E29" si="104">E508</f>
        <v>-17500</v>
      </c>
      <c r="F29" s="182" t="str">
        <f t="shared" si="68"/>
        <v>Fleet Management and Workshop</v>
      </c>
      <c r="G29" s="89"/>
      <c r="H29" s="9">
        <f t="shared" ref="H29:O29" si="105">H508</f>
        <v>173700</v>
      </c>
      <c r="I29" s="85">
        <f t="shared" si="70"/>
        <v>-1092.5714285714284</v>
      </c>
      <c r="J29" s="9">
        <f t="shared" si="105"/>
        <v>-57800</v>
      </c>
      <c r="K29" s="9">
        <f t="shared" si="105"/>
        <v>-64300</v>
      </c>
      <c r="L29" s="9">
        <f t="shared" si="105"/>
        <v>-70500</v>
      </c>
      <c r="M29" s="9">
        <f t="shared" si="105"/>
        <v>-77000</v>
      </c>
      <c r="N29" s="9">
        <f t="shared" si="105"/>
        <v>-83700</v>
      </c>
      <c r="O29" s="9">
        <f t="shared" si="105"/>
        <v>-90800</v>
      </c>
      <c r="P29" s="89">
        <f t="shared" ref="P29:Q29" si="106">P508</f>
        <v>-98100</v>
      </c>
      <c r="Q29" s="9">
        <f t="shared" si="106"/>
        <v>-105700</v>
      </c>
      <c r="R29" s="9">
        <f t="shared" ref="R29" si="107">R508</f>
        <v>-83500</v>
      </c>
      <c r="S29" s="47">
        <f t="shared" ref="S29" si="108">S508</f>
        <v>-91700</v>
      </c>
    </row>
    <row r="30" spans="1:21" x14ac:dyDescent="0.2">
      <c r="A30" s="427">
        <f>A547</f>
        <v>407000</v>
      </c>
      <c r="B30" s="97">
        <f>B547</f>
        <v>364900</v>
      </c>
      <c r="C30" s="99">
        <f>C547</f>
        <v>277000</v>
      </c>
      <c r="D30" s="97">
        <f>D547</f>
        <v>330000</v>
      </c>
      <c r="E30" s="9">
        <f t="shared" ref="E30" si="109">E547</f>
        <v>352700</v>
      </c>
      <c r="F30" s="182" t="str">
        <f t="shared" si="68"/>
        <v>Rural Fire Service</v>
      </c>
      <c r="G30" s="89"/>
      <c r="H30" s="9">
        <f t="shared" ref="H30:O30" si="110">H547</f>
        <v>423600</v>
      </c>
      <c r="I30" s="85">
        <f t="shared" si="70"/>
        <v>20.102069747660902</v>
      </c>
      <c r="J30" s="9">
        <f t="shared" si="110"/>
        <v>434200</v>
      </c>
      <c r="K30" s="9">
        <f t="shared" si="110"/>
        <v>445900</v>
      </c>
      <c r="L30" s="9">
        <f t="shared" si="110"/>
        <v>457800</v>
      </c>
      <c r="M30" s="9">
        <f t="shared" si="110"/>
        <v>469900</v>
      </c>
      <c r="N30" s="9">
        <f t="shared" si="110"/>
        <v>482200</v>
      </c>
      <c r="O30" s="9">
        <f t="shared" si="110"/>
        <v>494800</v>
      </c>
      <c r="P30" s="89">
        <f t="shared" ref="P30:Q30" si="111">P547</f>
        <v>507900</v>
      </c>
      <c r="Q30" s="9">
        <f t="shared" si="111"/>
        <v>521400</v>
      </c>
      <c r="R30" s="9">
        <f t="shared" ref="R30" si="112">R547</f>
        <v>535200</v>
      </c>
      <c r="S30" s="47">
        <f t="shared" ref="S30" si="113">S547</f>
        <v>549200</v>
      </c>
    </row>
    <row r="31" spans="1:21" x14ac:dyDescent="0.2">
      <c r="A31" s="427">
        <f>A600</f>
        <v>218000</v>
      </c>
      <c r="B31" s="97">
        <f>B600</f>
        <v>172600</v>
      </c>
      <c r="C31" s="99">
        <f>C600</f>
        <v>227800</v>
      </c>
      <c r="D31" s="97">
        <f>D600</f>
        <v>188400</v>
      </c>
      <c r="E31" s="9">
        <f t="shared" ref="E31" si="114">E600</f>
        <v>144500</v>
      </c>
      <c r="F31" s="182" t="str">
        <f t="shared" si="68"/>
        <v>Quarries and Sandpit</v>
      </c>
      <c r="G31" s="89"/>
      <c r="H31" s="9">
        <f t="shared" ref="H31:O31" si="115">H600</f>
        <v>687800</v>
      </c>
      <c r="I31" s="85">
        <f t="shared" si="70"/>
        <v>375.98615916955021</v>
      </c>
      <c r="J31" s="9">
        <f t="shared" si="115"/>
        <v>90200</v>
      </c>
      <c r="K31" s="9">
        <f t="shared" si="115"/>
        <v>92800</v>
      </c>
      <c r="L31" s="9">
        <f t="shared" si="115"/>
        <v>95400</v>
      </c>
      <c r="M31" s="9">
        <f t="shared" si="115"/>
        <v>98200</v>
      </c>
      <c r="N31" s="9">
        <f t="shared" si="115"/>
        <v>100900</v>
      </c>
      <c r="O31" s="9">
        <f t="shared" si="115"/>
        <v>103800</v>
      </c>
      <c r="P31" s="89">
        <f t="shared" ref="P31:Q31" si="116">P600</f>
        <v>106800</v>
      </c>
      <c r="Q31" s="9">
        <f t="shared" si="116"/>
        <v>109900</v>
      </c>
      <c r="R31" s="9">
        <f t="shared" ref="R31" si="117">R600</f>
        <v>113000</v>
      </c>
      <c r="S31" s="47">
        <f t="shared" ref="S31" si="118">S600</f>
        <v>115200</v>
      </c>
    </row>
    <row r="32" spans="1:21" x14ac:dyDescent="0.2">
      <c r="A32" s="427">
        <f>A677</f>
        <v>2751600</v>
      </c>
      <c r="B32" s="97">
        <f>B677</f>
        <v>2493800</v>
      </c>
      <c r="C32" s="99">
        <f>C677</f>
        <v>2612000</v>
      </c>
      <c r="D32" s="97">
        <f>D677</f>
        <v>3544300</v>
      </c>
      <c r="E32" s="9">
        <f t="shared" ref="E32" si="119">E677</f>
        <v>1463000</v>
      </c>
      <c r="F32" s="182" t="str">
        <f t="shared" si="68"/>
        <v>Landfill and Resource Management</v>
      </c>
      <c r="G32" s="89"/>
      <c r="H32" s="9">
        <f t="shared" ref="H32:O32" si="120">H677</f>
        <v>2413100</v>
      </c>
      <c r="I32" s="85">
        <f t="shared" si="70"/>
        <v>64.941900205058104</v>
      </c>
      <c r="J32" s="9">
        <f t="shared" si="120"/>
        <v>2309200</v>
      </c>
      <c r="K32" s="9">
        <f t="shared" si="120"/>
        <v>2364100</v>
      </c>
      <c r="L32" s="9">
        <f t="shared" si="120"/>
        <v>2420500</v>
      </c>
      <c r="M32" s="9">
        <f t="shared" si="120"/>
        <v>2475500</v>
      </c>
      <c r="N32" s="9">
        <f t="shared" si="120"/>
        <v>2535900</v>
      </c>
      <c r="O32" s="9">
        <f t="shared" si="120"/>
        <v>2596900</v>
      </c>
      <c r="P32" s="89">
        <f t="shared" ref="P32:Q32" si="121">P677</f>
        <v>2659500</v>
      </c>
      <c r="Q32" s="9">
        <f t="shared" si="121"/>
        <v>2721600</v>
      </c>
      <c r="R32" s="9">
        <f t="shared" ref="R32" si="122">R677</f>
        <v>2785300</v>
      </c>
      <c r="S32" s="47">
        <f t="shared" ref="S32" si="123">S677</f>
        <v>2852700</v>
      </c>
    </row>
    <row r="33" spans="1:21" x14ac:dyDescent="0.2">
      <c r="A33" s="427">
        <f>A731</f>
        <v>6163100</v>
      </c>
      <c r="B33" s="97">
        <f>B731</f>
        <v>6082600</v>
      </c>
      <c r="C33" s="99">
        <f>C731</f>
        <v>5865100</v>
      </c>
      <c r="D33" s="97">
        <f>D731</f>
        <v>5916800</v>
      </c>
      <c r="E33" s="9">
        <f t="shared" ref="E33" si="124">E731</f>
        <v>6006800</v>
      </c>
      <c r="F33" s="182" t="str">
        <f t="shared" si="68"/>
        <v>Domestic Waste Management</v>
      </c>
      <c r="G33" s="89"/>
      <c r="H33" s="9">
        <f t="shared" ref="H33:O33" si="125">H731</f>
        <v>6094200</v>
      </c>
      <c r="I33" s="85">
        <f t="shared" si="70"/>
        <v>1.4550176466671105</v>
      </c>
      <c r="J33" s="9">
        <f t="shared" si="125"/>
        <v>6232300</v>
      </c>
      <c r="K33" s="9">
        <f t="shared" si="125"/>
        <v>6380000</v>
      </c>
      <c r="L33" s="9">
        <f t="shared" si="125"/>
        <v>6529800</v>
      </c>
      <c r="M33" s="9">
        <f t="shared" si="125"/>
        <v>6685700</v>
      </c>
      <c r="N33" s="9">
        <f t="shared" si="125"/>
        <v>6844700</v>
      </c>
      <c r="O33" s="9">
        <f t="shared" si="125"/>
        <v>7005700</v>
      </c>
      <c r="P33" s="89">
        <f t="shared" ref="P33:Q33" si="126">P731</f>
        <v>7170800</v>
      </c>
      <c r="Q33" s="9">
        <f t="shared" si="126"/>
        <v>7340000</v>
      </c>
      <c r="R33" s="9">
        <f t="shared" ref="R33" si="127">R731</f>
        <v>7514300</v>
      </c>
      <c r="S33" s="47">
        <f t="shared" ref="S33" si="128">S731</f>
        <v>7691700</v>
      </c>
    </row>
    <row r="34" spans="1:21" ht="13.5" thickBot="1" x14ac:dyDescent="0.25">
      <c r="A34" s="427"/>
      <c r="B34" s="97"/>
      <c r="C34" s="99"/>
      <c r="D34" s="97"/>
      <c r="E34" s="9"/>
      <c r="F34" s="183"/>
      <c r="G34" s="89"/>
      <c r="H34" s="9"/>
      <c r="I34" s="85"/>
      <c r="J34" s="9"/>
      <c r="K34" s="9"/>
      <c r="L34" s="9"/>
      <c r="M34" s="9"/>
      <c r="N34" s="9"/>
      <c r="O34" s="9"/>
      <c r="P34" s="89"/>
      <c r="Q34" s="9"/>
      <c r="R34" s="9"/>
      <c r="S34" s="47"/>
    </row>
    <row r="35" spans="1:21" s="39" customFormat="1" x14ac:dyDescent="0.2">
      <c r="A35" s="428">
        <f>SUM(A21:A34)</f>
        <v>39598600</v>
      </c>
      <c r="B35" s="100">
        <f>SUM(B21:B34)</f>
        <v>35985200</v>
      </c>
      <c r="C35" s="101">
        <f>SUM(C21:C34)</f>
        <v>36832500</v>
      </c>
      <c r="D35" s="100">
        <f>SUM(D21:D34)</f>
        <v>35393800</v>
      </c>
      <c r="E35" s="16">
        <f t="shared" ref="E35" si="129">SUM(E21:E34)</f>
        <v>36666900</v>
      </c>
      <c r="F35" s="181" t="s">
        <v>556</v>
      </c>
      <c r="G35" s="75"/>
      <c r="H35" s="16">
        <f t="shared" ref="H35:P35" si="130">SUM(H21:H34)</f>
        <v>33760900</v>
      </c>
      <c r="I35" s="127">
        <f>IF(E35=H35,0,IF(E35=0,100,(H35-E35)/E35*100))</f>
        <v>-7.9254041110647471</v>
      </c>
      <c r="J35" s="16">
        <f t="shared" si="130"/>
        <v>33185000</v>
      </c>
      <c r="K35" s="16">
        <f t="shared" si="130"/>
        <v>34183800</v>
      </c>
      <c r="L35" s="16">
        <f t="shared" si="130"/>
        <v>34544600</v>
      </c>
      <c r="M35" s="16">
        <f t="shared" si="130"/>
        <v>35722400</v>
      </c>
      <c r="N35" s="16">
        <f t="shared" si="130"/>
        <v>36367000</v>
      </c>
      <c r="O35" s="16">
        <f t="shared" si="130"/>
        <v>37242300</v>
      </c>
      <c r="P35" s="102">
        <f t="shared" si="130"/>
        <v>38108200</v>
      </c>
      <c r="Q35" s="16">
        <f t="shared" ref="Q35" si="131">SUM(Q21:Q34)</f>
        <v>38858500</v>
      </c>
      <c r="R35" s="16">
        <f t="shared" ref="R35" si="132">SUM(R21:R34)</f>
        <v>39626700</v>
      </c>
      <c r="S35" s="2342">
        <f t="shared" ref="S35" si="133">SUM(S21:S34)</f>
        <v>40489100</v>
      </c>
      <c r="U35" s="34"/>
    </row>
    <row r="36" spans="1:21" x14ac:dyDescent="0.2">
      <c r="A36" s="427"/>
      <c r="B36" s="97"/>
      <c r="C36" s="99"/>
      <c r="D36" s="97"/>
      <c r="E36" s="9"/>
      <c r="F36" s="182"/>
      <c r="G36" s="89"/>
      <c r="H36" s="9"/>
      <c r="I36" s="85"/>
      <c r="J36" s="9"/>
      <c r="K36" s="9"/>
      <c r="L36" s="9"/>
      <c r="M36" s="9"/>
      <c r="N36" s="9"/>
      <c r="O36" s="9"/>
      <c r="P36" s="89"/>
      <c r="Q36" s="9"/>
      <c r="R36" s="9"/>
      <c r="S36" s="47"/>
    </row>
    <row r="37" spans="1:21" x14ac:dyDescent="0.2">
      <c r="A37" s="427"/>
      <c r="B37" s="97"/>
      <c r="C37" s="99"/>
      <c r="D37" s="97"/>
      <c r="E37" s="9"/>
      <c r="F37" s="1177" t="s">
        <v>4617</v>
      </c>
      <c r="G37" s="1161"/>
      <c r="H37" s="9"/>
      <c r="I37" s="85"/>
      <c r="J37" s="9"/>
      <c r="K37" s="9"/>
      <c r="L37" s="9"/>
      <c r="M37" s="9"/>
      <c r="N37" s="9"/>
      <c r="O37" s="9"/>
      <c r="P37" s="89"/>
      <c r="Q37" s="9"/>
      <c r="R37" s="9"/>
      <c r="S37" s="47"/>
    </row>
    <row r="38" spans="1:21" x14ac:dyDescent="0.2">
      <c r="A38" s="427">
        <f t="shared" ref="A38:B49" si="134">A6-A22</f>
        <v>-2071000</v>
      </c>
      <c r="B38" s="97">
        <f t="shared" si="134"/>
        <v>-1745100</v>
      </c>
      <c r="C38" s="97">
        <f t="shared" ref="C38:C49" si="135">C6-C22</f>
        <v>-2183300</v>
      </c>
      <c r="D38" s="97">
        <f t="shared" ref="D38:E49" si="136">D6-D22</f>
        <v>-2367500</v>
      </c>
      <c r="E38" s="9">
        <f t="shared" si="136"/>
        <v>-2247300</v>
      </c>
      <c r="F38" s="182" t="str">
        <f t="shared" ref="F38:F49" si="137">F22</f>
        <v>Engineering Management</v>
      </c>
      <c r="G38" s="89"/>
      <c r="H38" s="9">
        <f t="shared" ref="H38:P38" si="138">H6-H22</f>
        <v>-2308200</v>
      </c>
      <c r="I38" s="85">
        <f t="shared" ref="I38:I49" si="139">IF(E38=H38,0,IF(E38=0,100,(H38-E38)/E38*100))</f>
        <v>2.7099185689494059</v>
      </c>
      <c r="J38" s="9">
        <f t="shared" si="138"/>
        <v>-2483000</v>
      </c>
      <c r="K38" s="9">
        <f t="shared" si="138"/>
        <v>-2540500</v>
      </c>
      <c r="L38" s="9">
        <f t="shared" si="138"/>
        <v>-2599000</v>
      </c>
      <c r="M38" s="9">
        <f t="shared" si="138"/>
        <v>-2659100</v>
      </c>
      <c r="N38" s="9">
        <f t="shared" si="138"/>
        <v>-2720900</v>
      </c>
      <c r="O38" s="9">
        <f t="shared" si="138"/>
        <v>-2783900</v>
      </c>
      <c r="P38" s="89">
        <f t="shared" si="138"/>
        <v>-2848500</v>
      </c>
      <c r="Q38" s="9">
        <f t="shared" ref="Q38" si="140">Q6-Q22</f>
        <v>-2914400</v>
      </c>
      <c r="R38" s="9">
        <f t="shared" ref="R38" si="141">R6-R22</f>
        <v>-2981700</v>
      </c>
      <c r="S38" s="47">
        <f t="shared" ref="S38" si="142">S6-S22</f>
        <v>-3050500</v>
      </c>
    </row>
    <row r="39" spans="1:21" x14ac:dyDescent="0.2">
      <c r="A39" s="427">
        <f t="shared" si="134"/>
        <v>-2999000</v>
      </c>
      <c r="B39" s="97">
        <f t="shared" si="134"/>
        <v>-3454800</v>
      </c>
      <c r="C39" s="97">
        <f t="shared" si="135"/>
        <v>-3726400</v>
      </c>
      <c r="D39" s="97">
        <f t="shared" si="136"/>
        <v>-3713200</v>
      </c>
      <c r="E39" s="9">
        <f t="shared" si="136"/>
        <v>-3414800</v>
      </c>
      <c r="F39" s="182" t="str">
        <f t="shared" si="137"/>
        <v>Procurement and Building Management</v>
      </c>
      <c r="G39" s="89"/>
      <c r="H39" s="9">
        <f t="shared" ref="H39:P39" si="143">H7-H23</f>
        <v>-3662100</v>
      </c>
      <c r="I39" s="85">
        <f t="shared" si="139"/>
        <v>7.2420053883097104</v>
      </c>
      <c r="J39" s="9">
        <f t="shared" si="143"/>
        <v>-3798800</v>
      </c>
      <c r="K39" s="9">
        <f t="shared" si="143"/>
        <v>-3887600</v>
      </c>
      <c r="L39" s="9">
        <f t="shared" si="143"/>
        <v>-3978600</v>
      </c>
      <c r="M39" s="9">
        <f t="shared" si="143"/>
        <v>-4071800</v>
      </c>
      <c r="N39" s="9">
        <f t="shared" si="143"/>
        <v>-4166800</v>
      </c>
      <c r="O39" s="9">
        <f t="shared" si="143"/>
        <v>-4263900</v>
      </c>
      <c r="P39" s="89">
        <f t="shared" si="143"/>
        <v>-4363100</v>
      </c>
      <c r="Q39" s="9">
        <f t="shared" ref="Q39" si="144">Q7-Q23</f>
        <v>-4464700</v>
      </c>
      <c r="R39" s="9">
        <f t="shared" ref="R39" si="145">R7-R23</f>
        <v>-4556700</v>
      </c>
      <c r="S39" s="47">
        <f t="shared" ref="S39" si="146">S7-S23</f>
        <v>-4651000</v>
      </c>
    </row>
    <row r="40" spans="1:21" x14ac:dyDescent="0.2">
      <c r="A40" s="427">
        <f t="shared" si="134"/>
        <v>-2116700</v>
      </c>
      <c r="B40" s="97">
        <f t="shared" si="134"/>
        <v>-2160400</v>
      </c>
      <c r="C40" s="97">
        <f t="shared" si="135"/>
        <v>-2051500</v>
      </c>
      <c r="D40" s="97">
        <f t="shared" si="136"/>
        <v>-1839300</v>
      </c>
      <c r="E40" s="9">
        <f t="shared" si="136"/>
        <v>-1479800</v>
      </c>
      <c r="F40" s="182" t="str">
        <f t="shared" si="137"/>
        <v>Stormwater and Environmental Protection</v>
      </c>
      <c r="G40" s="89"/>
      <c r="H40" s="9">
        <f t="shared" ref="H40:P40" si="147">H8-H24</f>
        <v>-1938900</v>
      </c>
      <c r="I40" s="85">
        <f t="shared" si="139"/>
        <v>31.024462765238546</v>
      </c>
      <c r="J40" s="9">
        <f t="shared" si="147"/>
        <v>-1862900</v>
      </c>
      <c r="K40" s="9">
        <f t="shared" si="147"/>
        <v>-2047800</v>
      </c>
      <c r="L40" s="9">
        <f t="shared" si="147"/>
        <v>-1956800</v>
      </c>
      <c r="M40" s="9">
        <f t="shared" si="147"/>
        <v>-2006400</v>
      </c>
      <c r="N40" s="9">
        <f t="shared" si="147"/>
        <v>-2057000</v>
      </c>
      <c r="O40" s="9">
        <f t="shared" si="147"/>
        <v>-2109000</v>
      </c>
      <c r="P40" s="89">
        <f t="shared" si="147"/>
        <v>-2339000</v>
      </c>
      <c r="Q40" s="9">
        <f t="shared" ref="Q40" si="148">Q8-Q24</f>
        <v>-2214800</v>
      </c>
      <c r="R40" s="9">
        <f t="shared" ref="R40" si="149">R8-R24</f>
        <v>-2270400</v>
      </c>
      <c r="S40" s="47">
        <f t="shared" ref="S40" si="150">S8-S24</f>
        <v>-2327200</v>
      </c>
    </row>
    <row r="41" spans="1:21" x14ac:dyDescent="0.2">
      <c r="A41" s="427">
        <f t="shared" si="134"/>
        <v>-15090800</v>
      </c>
      <c r="B41" s="97">
        <f t="shared" si="134"/>
        <v>-11919000</v>
      </c>
      <c r="C41" s="97">
        <f t="shared" si="135"/>
        <v>-12416300</v>
      </c>
      <c r="D41" s="97">
        <f t="shared" si="136"/>
        <v>-9379800</v>
      </c>
      <c r="E41" s="9">
        <f t="shared" si="136"/>
        <v>-10233000</v>
      </c>
      <c r="F41" s="182" t="str">
        <f t="shared" si="137"/>
        <v>Roads and Bridges</v>
      </c>
      <c r="G41" s="89"/>
      <c r="H41" s="9">
        <f t="shared" ref="H41:P41" si="151">H9-H25</f>
        <v>-7472100</v>
      </c>
      <c r="I41" s="85">
        <f t="shared" si="139"/>
        <v>-26.9803576663735</v>
      </c>
      <c r="J41" s="9">
        <f t="shared" si="151"/>
        <v>-8002900</v>
      </c>
      <c r="K41" s="9">
        <f t="shared" si="151"/>
        <v>-7990300</v>
      </c>
      <c r="L41" s="9">
        <f t="shared" si="151"/>
        <v>-8104900</v>
      </c>
      <c r="M41" s="9">
        <f t="shared" si="151"/>
        <v>-8582100</v>
      </c>
      <c r="N41" s="9">
        <f t="shared" si="151"/>
        <v>-8712100</v>
      </c>
      <c r="O41" s="9">
        <f t="shared" si="151"/>
        <v>-8845000</v>
      </c>
      <c r="P41" s="89">
        <f t="shared" si="151"/>
        <v>-8981400</v>
      </c>
      <c r="Q41" s="9">
        <f t="shared" ref="Q41" si="152">Q9-Q25</f>
        <v>-9130700</v>
      </c>
      <c r="R41" s="9">
        <f t="shared" ref="R41" si="153">R9-R25</f>
        <v>-9307900</v>
      </c>
      <c r="S41" s="47">
        <f t="shared" ref="S41" si="154">S9-S25</f>
        <v>-9489500</v>
      </c>
    </row>
    <row r="42" spans="1:21" x14ac:dyDescent="0.2">
      <c r="A42" s="427">
        <f t="shared" si="134"/>
        <v>-1665300</v>
      </c>
      <c r="B42" s="97">
        <f t="shared" si="134"/>
        <v>-1054100</v>
      </c>
      <c r="C42" s="97">
        <f t="shared" si="135"/>
        <v>-1390300</v>
      </c>
      <c r="D42" s="97">
        <f t="shared" si="136"/>
        <v>-1496200</v>
      </c>
      <c r="E42" s="9">
        <f t="shared" si="136"/>
        <v>-1416500</v>
      </c>
      <c r="F42" s="182" t="str">
        <f t="shared" si="137"/>
        <v>Ancillary Transport Services</v>
      </c>
      <c r="G42" s="89"/>
      <c r="H42" s="9">
        <f t="shared" ref="H42:P42" si="155">H10-H26</f>
        <v>-1512900</v>
      </c>
      <c r="I42" s="85">
        <f t="shared" si="139"/>
        <v>6.8055065301800211</v>
      </c>
      <c r="J42" s="9">
        <f t="shared" si="155"/>
        <v>-1407700</v>
      </c>
      <c r="K42" s="9">
        <f t="shared" si="155"/>
        <v>-1625200</v>
      </c>
      <c r="L42" s="9">
        <f t="shared" si="155"/>
        <v>-1550000</v>
      </c>
      <c r="M42" s="9">
        <f t="shared" si="155"/>
        <v>-1676800</v>
      </c>
      <c r="N42" s="9">
        <f t="shared" si="155"/>
        <v>-1600300</v>
      </c>
      <c r="O42" s="9">
        <f t="shared" si="155"/>
        <v>-1732200</v>
      </c>
      <c r="P42" s="89">
        <f t="shared" si="155"/>
        <v>-1656300</v>
      </c>
      <c r="Q42" s="9">
        <f t="shared" ref="Q42" si="156">Q10-Q26</f>
        <v>-1791500</v>
      </c>
      <c r="R42" s="9">
        <f t="shared" ref="R42" si="157">R10-R26</f>
        <v>-1714300</v>
      </c>
      <c r="S42" s="47">
        <f t="shared" ref="S42" si="158">S10-S26</f>
        <v>-1742200</v>
      </c>
    </row>
    <row r="43" spans="1:21" x14ac:dyDescent="0.2">
      <c r="A43" s="427">
        <f t="shared" si="134"/>
        <v>-53000</v>
      </c>
      <c r="B43" s="97">
        <f t="shared" si="134"/>
        <v>176200</v>
      </c>
      <c r="C43" s="97">
        <f t="shared" si="135"/>
        <v>197300</v>
      </c>
      <c r="D43" s="97">
        <f t="shared" si="136"/>
        <v>106000</v>
      </c>
      <c r="E43" s="9">
        <f t="shared" si="136"/>
        <v>88100</v>
      </c>
      <c r="F43" s="182" t="str">
        <f t="shared" si="137"/>
        <v>Roads and Maritime Services</v>
      </c>
      <c r="G43" s="89"/>
      <c r="H43" s="9">
        <f t="shared" ref="H43:P43" si="159">H11-H27</f>
        <v>160000</v>
      </c>
      <c r="I43" s="85">
        <f t="shared" si="139"/>
        <v>81.611804767309877</v>
      </c>
      <c r="J43" s="9">
        <f t="shared" si="159"/>
        <v>0</v>
      </c>
      <c r="K43" s="9">
        <f t="shared" si="159"/>
        <v>0</v>
      </c>
      <c r="L43" s="9">
        <f t="shared" si="159"/>
        <v>0</v>
      </c>
      <c r="M43" s="9">
        <f t="shared" si="159"/>
        <v>0</v>
      </c>
      <c r="N43" s="9">
        <f t="shared" si="159"/>
        <v>0</v>
      </c>
      <c r="O43" s="9">
        <f t="shared" si="159"/>
        <v>0</v>
      </c>
      <c r="P43" s="89">
        <f t="shared" si="159"/>
        <v>0</v>
      </c>
      <c r="Q43" s="9">
        <f t="shared" ref="Q43" si="160">Q11-Q27</f>
        <v>0</v>
      </c>
      <c r="R43" s="9">
        <f t="shared" ref="R43" si="161">R11-R27</f>
        <v>0</v>
      </c>
      <c r="S43" s="47">
        <f t="shared" ref="S43" si="162">S11-S27</f>
        <v>0</v>
      </c>
    </row>
    <row r="44" spans="1:21" x14ac:dyDescent="0.2">
      <c r="A44" s="427">
        <f t="shared" si="134"/>
        <v>-2234800</v>
      </c>
      <c r="B44" s="97">
        <f t="shared" si="134"/>
        <v>-2323700</v>
      </c>
      <c r="C44" s="97">
        <f t="shared" si="135"/>
        <v>-2485800</v>
      </c>
      <c r="D44" s="97">
        <f t="shared" si="136"/>
        <v>-2649900</v>
      </c>
      <c r="E44" s="9">
        <f t="shared" si="136"/>
        <v>-4564900</v>
      </c>
      <c r="F44" s="182" t="str">
        <f t="shared" si="137"/>
        <v>Open Spaces and Reserves</v>
      </c>
      <c r="G44" s="89"/>
      <c r="H44" s="9">
        <f t="shared" ref="H44:P44" si="163">H12-H28</f>
        <v>-3080000</v>
      </c>
      <c r="I44" s="85">
        <f t="shared" si="139"/>
        <v>-32.52864246752393</v>
      </c>
      <c r="J44" s="9">
        <f t="shared" si="163"/>
        <v>-2979100</v>
      </c>
      <c r="K44" s="9">
        <f t="shared" si="163"/>
        <v>-3064100</v>
      </c>
      <c r="L44" s="9">
        <f t="shared" si="163"/>
        <v>-3143400</v>
      </c>
      <c r="M44" s="9">
        <f t="shared" si="163"/>
        <v>-3224900</v>
      </c>
      <c r="N44" s="9">
        <f t="shared" si="163"/>
        <v>-3308400</v>
      </c>
      <c r="O44" s="9">
        <f t="shared" si="163"/>
        <v>-3393600</v>
      </c>
      <c r="P44" s="89">
        <f t="shared" si="163"/>
        <v>-3480700</v>
      </c>
      <c r="Q44" s="9">
        <f t="shared" ref="Q44" si="164">Q12-Q28</f>
        <v>-3570300</v>
      </c>
      <c r="R44" s="9">
        <f t="shared" ref="R44" si="165">R12-R28</f>
        <v>-3651500</v>
      </c>
      <c r="S44" s="47">
        <f t="shared" ref="S44" si="166">S12-S28</f>
        <v>-3734700</v>
      </c>
    </row>
    <row r="45" spans="1:21" x14ac:dyDescent="0.2">
      <c r="A45" s="427">
        <f t="shared" si="134"/>
        <v>44300</v>
      </c>
      <c r="B45" s="97">
        <f t="shared" si="134"/>
        <v>66000</v>
      </c>
      <c r="C45" s="97">
        <f t="shared" si="135"/>
        <v>286000</v>
      </c>
      <c r="D45" s="97">
        <f t="shared" si="136"/>
        <v>489900</v>
      </c>
      <c r="E45" s="9">
        <f t="shared" si="136"/>
        <v>282700</v>
      </c>
      <c r="F45" s="182" t="str">
        <f t="shared" si="137"/>
        <v>Fleet Management and Workshop</v>
      </c>
      <c r="G45" s="89"/>
      <c r="H45" s="9">
        <f t="shared" ref="H45:P45" si="167">H13-H29</f>
        <v>74200</v>
      </c>
      <c r="I45" s="85">
        <f t="shared" si="139"/>
        <v>-73.75309515387336</v>
      </c>
      <c r="J45" s="9">
        <f t="shared" si="167"/>
        <v>307500</v>
      </c>
      <c r="K45" s="9">
        <f t="shared" si="167"/>
        <v>323500</v>
      </c>
      <c r="L45" s="9">
        <f t="shared" si="167"/>
        <v>344300</v>
      </c>
      <c r="M45" s="9">
        <f t="shared" si="167"/>
        <v>353600</v>
      </c>
      <c r="N45" s="9">
        <f t="shared" si="167"/>
        <v>364200</v>
      </c>
      <c r="O45" s="9">
        <f t="shared" si="167"/>
        <v>373400</v>
      </c>
      <c r="P45" s="89">
        <f t="shared" si="167"/>
        <v>388100</v>
      </c>
      <c r="Q45" s="9">
        <f t="shared" ref="Q45" si="168">Q13-Q29</f>
        <v>411200</v>
      </c>
      <c r="R45" s="9">
        <f t="shared" ref="R45" si="169">R13-R29</f>
        <v>392800</v>
      </c>
      <c r="S45" s="47">
        <f t="shared" ref="S45" si="170">S13-S29</f>
        <v>408900</v>
      </c>
    </row>
    <row r="46" spans="1:21" x14ac:dyDescent="0.2">
      <c r="A46" s="427">
        <f t="shared" si="134"/>
        <v>-158000</v>
      </c>
      <c r="B46" s="97">
        <f t="shared" si="134"/>
        <v>-203400</v>
      </c>
      <c r="C46" s="99">
        <f t="shared" si="135"/>
        <v>-95100</v>
      </c>
      <c r="D46" s="97">
        <f t="shared" si="136"/>
        <v>-157700</v>
      </c>
      <c r="E46" s="9">
        <f t="shared" si="136"/>
        <v>-152600</v>
      </c>
      <c r="F46" s="182" t="str">
        <f t="shared" si="137"/>
        <v>Rural Fire Service</v>
      </c>
      <c r="G46" s="89"/>
      <c r="H46" s="9">
        <f t="shared" ref="H46:P46" si="171">H14-H30</f>
        <v>-217100</v>
      </c>
      <c r="I46" s="85">
        <f t="shared" si="139"/>
        <v>42.267365661861071</v>
      </c>
      <c r="J46" s="9">
        <f t="shared" si="171"/>
        <v>-222800</v>
      </c>
      <c r="K46" s="9">
        <f t="shared" si="171"/>
        <v>-229100</v>
      </c>
      <c r="L46" s="9">
        <f t="shared" si="171"/>
        <v>-235500</v>
      </c>
      <c r="M46" s="9">
        <f t="shared" si="171"/>
        <v>-241800</v>
      </c>
      <c r="N46" s="9">
        <f t="shared" si="171"/>
        <v>-248300</v>
      </c>
      <c r="O46" s="9">
        <f t="shared" si="171"/>
        <v>-254900</v>
      </c>
      <c r="P46" s="89">
        <f t="shared" si="171"/>
        <v>-261900</v>
      </c>
      <c r="Q46" s="9">
        <f t="shared" ref="Q46" si="172">Q14-Q30</f>
        <v>-269200</v>
      </c>
      <c r="R46" s="9">
        <f t="shared" ref="R46" si="173">R14-R30</f>
        <v>-276500</v>
      </c>
      <c r="S46" s="47">
        <f t="shared" ref="S46" si="174">S14-S30</f>
        <v>-283900</v>
      </c>
    </row>
    <row r="47" spans="1:21" x14ac:dyDescent="0.2">
      <c r="A47" s="427">
        <f t="shared" si="134"/>
        <v>193000</v>
      </c>
      <c r="B47" s="97">
        <f t="shared" si="134"/>
        <v>177100</v>
      </c>
      <c r="C47" s="99">
        <f t="shared" si="135"/>
        <v>247900</v>
      </c>
      <c r="D47" s="97">
        <f t="shared" si="136"/>
        <v>188800</v>
      </c>
      <c r="E47" s="9">
        <f t="shared" si="136"/>
        <v>-75400</v>
      </c>
      <c r="F47" s="182" t="str">
        <f t="shared" si="137"/>
        <v>Quarries and Sandpit</v>
      </c>
      <c r="G47" s="89"/>
      <c r="H47" s="9">
        <f t="shared" ref="H47:P47" si="175">H15-H31</f>
        <v>-619900</v>
      </c>
      <c r="I47" s="85">
        <f t="shared" si="139"/>
        <v>722.14854111405828</v>
      </c>
      <c r="J47" s="9">
        <f t="shared" si="175"/>
        <v>-20600</v>
      </c>
      <c r="K47" s="9">
        <f t="shared" si="175"/>
        <v>-21300</v>
      </c>
      <c r="L47" s="9">
        <f t="shared" si="175"/>
        <v>-22000</v>
      </c>
      <c r="M47" s="9">
        <f t="shared" si="175"/>
        <v>-22900</v>
      </c>
      <c r="N47" s="9">
        <f t="shared" si="175"/>
        <v>-23600</v>
      </c>
      <c r="O47" s="9">
        <f t="shared" si="175"/>
        <v>-24500</v>
      </c>
      <c r="P47" s="89">
        <f t="shared" si="175"/>
        <v>-25400</v>
      </c>
      <c r="Q47" s="9">
        <f t="shared" ref="Q47" si="176">Q15-Q31</f>
        <v>-26400</v>
      </c>
      <c r="R47" s="9">
        <f t="shared" ref="R47" si="177">R15-R31</f>
        <v>-27400</v>
      </c>
      <c r="S47" s="47">
        <f t="shared" ref="S47" si="178">S15-S31</f>
        <v>-27400</v>
      </c>
    </row>
    <row r="48" spans="1:21" x14ac:dyDescent="0.2">
      <c r="A48" s="427">
        <f t="shared" si="134"/>
        <v>-254600</v>
      </c>
      <c r="B48" s="97">
        <f t="shared" si="134"/>
        <v>226400</v>
      </c>
      <c r="C48" s="99">
        <f t="shared" si="135"/>
        <v>1346300</v>
      </c>
      <c r="D48" s="97">
        <f t="shared" si="136"/>
        <v>300200</v>
      </c>
      <c r="E48" s="9">
        <f t="shared" si="136"/>
        <v>1887400</v>
      </c>
      <c r="F48" s="182" t="str">
        <f t="shared" si="137"/>
        <v>Landfill and Resource Management</v>
      </c>
      <c r="G48" s="89"/>
      <c r="H48" s="9">
        <f t="shared" ref="H48:P48" si="179">H16-H32</f>
        <v>-302100</v>
      </c>
      <c r="I48" s="85">
        <f t="shared" si="139"/>
        <v>-116.00614602098125</v>
      </c>
      <c r="J48" s="9">
        <f t="shared" si="179"/>
        <v>-170200</v>
      </c>
      <c r="K48" s="9">
        <f t="shared" si="179"/>
        <v>-131100</v>
      </c>
      <c r="L48" s="9">
        <f t="shared" si="179"/>
        <v>-144500</v>
      </c>
      <c r="M48" s="9">
        <f t="shared" si="179"/>
        <v>-157500</v>
      </c>
      <c r="N48" s="9">
        <f t="shared" si="179"/>
        <v>-176900</v>
      </c>
      <c r="O48" s="9">
        <f t="shared" si="179"/>
        <v>-196900</v>
      </c>
      <c r="P48" s="89">
        <f t="shared" si="179"/>
        <v>-208500</v>
      </c>
      <c r="Q48" s="9">
        <f t="shared" ref="Q48" si="180">Q16-Q32</f>
        <v>-217600</v>
      </c>
      <c r="R48" s="9">
        <f t="shared" ref="R48" si="181">R16-R32</f>
        <v>-227300</v>
      </c>
      <c r="S48" s="47">
        <f t="shared" ref="S48" si="182">S16-S32</f>
        <v>-238700</v>
      </c>
    </row>
    <row r="49" spans="1:21" x14ac:dyDescent="0.2">
      <c r="A49" s="427">
        <f t="shared" si="134"/>
        <v>416100</v>
      </c>
      <c r="B49" s="97">
        <f t="shared" si="134"/>
        <v>653900</v>
      </c>
      <c r="C49" s="99">
        <f t="shared" si="135"/>
        <v>0</v>
      </c>
      <c r="D49" s="97">
        <f t="shared" si="136"/>
        <v>162700</v>
      </c>
      <c r="E49" s="9">
        <f t="shared" si="136"/>
        <v>301300</v>
      </c>
      <c r="F49" s="182" t="str">
        <f t="shared" si="137"/>
        <v>Domestic Waste Management</v>
      </c>
      <c r="G49" s="89"/>
      <c r="H49" s="9">
        <f t="shared" ref="H49:P49" si="183">H17-H33</f>
        <v>412600</v>
      </c>
      <c r="I49" s="85">
        <f t="shared" si="139"/>
        <v>36.939926983073349</v>
      </c>
      <c r="J49" s="9">
        <f t="shared" si="183"/>
        <v>413700</v>
      </c>
      <c r="K49" s="9">
        <f t="shared" si="183"/>
        <v>396500</v>
      </c>
      <c r="L49" s="9">
        <f t="shared" si="183"/>
        <v>418700</v>
      </c>
      <c r="M49" s="9">
        <f t="shared" si="183"/>
        <v>393400</v>
      </c>
      <c r="N49" s="9">
        <f t="shared" si="183"/>
        <v>413700</v>
      </c>
      <c r="O49" s="9">
        <f t="shared" si="183"/>
        <v>435800</v>
      </c>
      <c r="P49" s="89">
        <f t="shared" si="183"/>
        <v>408800</v>
      </c>
      <c r="Q49" s="9">
        <f t="shared" ref="Q49" si="184">Q17-Q33</f>
        <v>430700</v>
      </c>
      <c r="R49" s="9">
        <f t="shared" ref="R49" si="185">R17-R33</f>
        <v>436500</v>
      </c>
      <c r="S49" s="47">
        <f t="shared" ref="S49" si="186">S17-S33</f>
        <v>425400</v>
      </c>
    </row>
    <row r="50" spans="1:21" ht="13.5" thickBot="1" x14ac:dyDescent="0.25">
      <c r="A50" s="429"/>
      <c r="B50" s="103"/>
      <c r="C50" s="103"/>
      <c r="D50" s="103"/>
      <c r="E50" s="9"/>
      <c r="F50" s="182"/>
      <c r="G50" s="75"/>
      <c r="H50" s="9"/>
      <c r="I50" s="126"/>
      <c r="J50" s="9"/>
      <c r="K50" s="9"/>
      <c r="L50" s="9"/>
      <c r="M50" s="9"/>
      <c r="N50" s="9"/>
      <c r="O50" s="9"/>
      <c r="P50" s="89"/>
      <c r="Q50" s="9"/>
      <c r="R50" s="9"/>
      <c r="S50" s="47"/>
    </row>
    <row r="51" spans="1:21" x14ac:dyDescent="0.2">
      <c r="A51" s="428">
        <f>A19-A35</f>
        <v>-25989800</v>
      </c>
      <c r="B51" s="100">
        <f>B19-B35</f>
        <v>-21560900</v>
      </c>
      <c r="C51" s="101">
        <f>C19-C35</f>
        <v>-22271200</v>
      </c>
      <c r="D51" s="100">
        <f>D19-D35</f>
        <v>-20356000</v>
      </c>
      <c r="E51" s="16">
        <f t="shared" ref="E51" si="187">E19-E35</f>
        <v>-21024800</v>
      </c>
      <c r="F51" s="1081" t="s">
        <v>4615</v>
      </c>
      <c r="G51" s="89"/>
      <c r="H51" s="16">
        <f t="shared" ref="H51:P51" si="188">H19-H35</f>
        <v>-20466500</v>
      </c>
      <c r="I51" s="127">
        <f t="shared" ref="I51:I56" si="189">IF(E51=H51,0,IF(E51=0,100,(H51-E51)/E51*100))</f>
        <v>-2.6554354857121112</v>
      </c>
      <c r="J51" s="16">
        <f t="shared" si="188"/>
        <v>-20226800</v>
      </c>
      <c r="K51" s="16">
        <f t="shared" si="188"/>
        <v>-20817000</v>
      </c>
      <c r="L51" s="16">
        <f t="shared" si="188"/>
        <v>-20971700</v>
      </c>
      <c r="M51" s="16">
        <f t="shared" si="188"/>
        <v>-21896300</v>
      </c>
      <c r="N51" s="16">
        <f t="shared" si="188"/>
        <v>-22236400</v>
      </c>
      <c r="O51" s="16">
        <f t="shared" si="188"/>
        <v>-22794700</v>
      </c>
      <c r="P51" s="102">
        <f t="shared" si="188"/>
        <v>-23367900</v>
      </c>
      <c r="Q51" s="16">
        <f t="shared" ref="Q51" si="190">Q19-Q35</f>
        <v>-23757700</v>
      </c>
      <c r="R51" s="16">
        <f t="shared" ref="R51" si="191">R19-R35</f>
        <v>-24184400</v>
      </c>
      <c r="S51" s="2342">
        <f t="shared" ref="S51" si="192">S19-S35</f>
        <v>-24710800</v>
      </c>
    </row>
    <row r="52" spans="1:21" x14ac:dyDescent="0.2">
      <c r="A52" s="427">
        <f>ROUND(A2090,-3)</f>
        <v>13931000</v>
      </c>
      <c r="B52" s="97">
        <f t="shared" ref="B52:E55" si="193">ROUND(B2090,)</f>
        <v>13367400</v>
      </c>
      <c r="C52" s="99">
        <f t="shared" si="193"/>
        <v>12100500</v>
      </c>
      <c r="D52" s="97">
        <f t="shared" si="193"/>
        <v>12031000</v>
      </c>
      <c r="E52" s="9">
        <f t="shared" si="193"/>
        <v>9486100</v>
      </c>
      <c r="F52" s="217" t="s">
        <v>1943</v>
      </c>
      <c r="G52" s="89"/>
      <c r="H52" s="9">
        <f t="shared" ref="H52:O52" si="194">ROUND(H2090,)</f>
        <v>11003200</v>
      </c>
      <c r="I52" s="85">
        <f t="shared" si="189"/>
        <v>15.992873783746745</v>
      </c>
      <c r="J52" s="9">
        <f t="shared" si="194"/>
        <v>11224400</v>
      </c>
      <c r="K52" s="9">
        <f t="shared" si="194"/>
        <v>11449700</v>
      </c>
      <c r="L52" s="9">
        <f t="shared" si="194"/>
        <v>11679500</v>
      </c>
      <c r="M52" s="9">
        <f t="shared" si="194"/>
        <v>11913900</v>
      </c>
      <c r="N52" s="9">
        <f t="shared" si="194"/>
        <v>12153100</v>
      </c>
      <c r="O52" s="9">
        <f t="shared" si="194"/>
        <v>12397000</v>
      </c>
      <c r="P52" s="89">
        <f t="shared" ref="P52:Q53" si="195">ROUND(P2090,)</f>
        <v>12645800</v>
      </c>
      <c r="Q52" s="9">
        <f t="shared" si="195"/>
        <v>12899600</v>
      </c>
      <c r="R52" s="9">
        <f t="shared" ref="R52" si="196">ROUND(R2090,)</f>
        <v>13158400</v>
      </c>
      <c r="S52" s="47">
        <f t="shared" ref="S52" si="197">ROUND(S2090,)</f>
        <v>13422300</v>
      </c>
    </row>
    <row r="53" spans="1:21" x14ac:dyDescent="0.2">
      <c r="A53" s="427">
        <f>ROUND(A2091,)</f>
        <v>0</v>
      </c>
      <c r="B53" s="97">
        <f t="shared" si="193"/>
        <v>0</v>
      </c>
      <c r="C53" s="99">
        <f t="shared" si="193"/>
        <v>-223900</v>
      </c>
      <c r="D53" s="97">
        <f t="shared" si="193"/>
        <v>-53100</v>
      </c>
      <c r="E53" s="9">
        <f t="shared" si="193"/>
        <v>0</v>
      </c>
      <c r="F53" s="217" t="s">
        <v>5350</v>
      </c>
      <c r="G53" s="89"/>
      <c r="H53" s="9">
        <f t="shared" ref="H53:O53" si="198">ROUND(H2091,)</f>
        <v>0</v>
      </c>
      <c r="I53" s="85">
        <f t="shared" si="189"/>
        <v>0</v>
      </c>
      <c r="J53" s="9">
        <f t="shared" si="198"/>
        <v>0</v>
      </c>
      <c r="K53" s="9">
        <f t="shared" si="198"/>
        <v>0</v>
      </c>
      <c r="L53" s="9">
        <f t="shared" si="198"/>
        <v>0</v>
      </c>
      <c r="M53" s="9">
        <f t="shared" si="198"/>
        <v>0</v>
      </c>
      <c r="N53" s="9">
        <f t="shared" si="198"/>
        <v>0</v>
      </c>
      <c r="O53" s="9">
        <f t="shared" si="198"/>
        <v>0</v>
      </c>
      <c r="P53" s="89">
        <f t="shared" si="195"/>
        <v>0</v>
      </c>
      <c r="Q53" s="9">
        <f t="shared" si="195"/>
        <v>0</v>
      </c>
      <c r="R53" s="9">
        <f t="shared" ref="R53" si="199">ROUND(R2091,)</f>
        <v>0</v>
      </c>
      <c r="S53" s="47">
        <f t="shared" ref="S53" si="200">ROUND(S2091,)</f>
        <v>0</v>
      </c>
    </row>
    <row r="54" spans="1:21" x14ac:dyDescent="0.2">
      <c r="A54" s="427">
        <f>ROUND(+A2092,-3)</f>
        <v>202000</v>
      </c>
      <c r="B54" s="97">
        <f t="shared" si="193"/>
        <v>169300</v>
      </c>
      <c r="C54" s="99">
        <f t="shared" si="193"/>
        <v>231300</v>
      </c>
      <c r="D54" s="97">
        <f t="shared" si="193"/>
        <v>190800</v>
      </c>
      <c r="E54" s="9">
        <f t="shared" si="193"/>
        <v>152000</v>
      </c>
      <c r="F54" s="217" t="s">
        <v>4153</v>
      </c>
      <c r="G54" s="89"/>
      <c r="H54" s="9">
        <f t="shared" ref="H54:P54" si="201">ROUND(H2092,)</f>
        <v>119100</v>
      </c>
      <c r="I54" s="85">
        <f t="shared" si="189"/>
        <v>-21.644736842105264</v>
      </c>
      <c r="J54" s="9">
        <f t="shared" si="201"/>
        <v>70200</v>
      </c>
      <c r="K54" s="9">
        <f t="shared" si="201"/>
        <v>48000</v>
      </c>
      <c r="L54" s="9">
        <f t="shared" si="201"/>
        <v>20600</v>
      </c>
      <c r="M54" s="9">
        <f t="shared" si="201"/>
        <v>21400</v>
      </c>
      <c r="N54" s="9">
        <f t="shared" si="201"/>
        <v>22100</v>
      </c>
      <c r="O54" s="9">
        <f t="shared" si="201"/>
        <v>22900</v>
      </c>
      <c r="P54" s="89">
        <f t="shared" si="201"/>
        <v>23800</v>
      </c>
      <c r="Q54" s="9">
        <f t="shared" ref="Q54" si="202">ROUND(Q2092,)</f>
        <v>24700</v>
      </c>
      <c r="R54" s="9">
        <f t="shared" ref="R54" si="203">ROUND(R2092,)</f>
        <v>25600</v>
      </c>
      <c r="S54" s="47">
        <f t="shared" ref="S54" si="204">ROUND(S2092,)</f>
        <v>25600</v>
      </c>
    </row>
    <row r="55" spans="1:21" x14ac:dyDescent="0.2">
      <c r="A55" s="427">
        <f>ROUND(+A2093,-3)</f>
        <v>4734000</v>
      </c>
      <c r="B55" s="97">
        <f t="shared" si="193"/>
        <v>1892000</v>
      </c>
      <c r="C55" s="99">
        <f t="shared" si="193"/>
        <v>3347700</v>
      </c>
      <c r="D55" s="97">
        <f t="shared" si="193"/>
        <v>0</v>
      </c>
      <c r="E55" s="9">
        <f t="shared" si="193"/>
        <v>5241100</v>
      </c>
      <c r="F55" s="217" t="s">
        <v>4450</v>
      </c>
      <c r="G55" s="89"/>
      <c r="H55" s="9">
        <f t="shared" ref="H55:O55" si="205">ROUND(H2093,)</f>
        <v>0</v>
      </c>
      <c r="I55" s="85">
        <f t="shared" si="189"/>
        <v>-100</v>
      </c>
      <c r="J55" s="9">
        <f t="shared" si="205"/>
        <v>0</v>
      </c>
      <c r="K55" s="9">
        <f t="shared" si="205"/>
        <v>0</v>
      </c>
      <c r="L55" s="9">
        <f t="shared" si="205"/>
        <v>0</v>
      </c>
      <c r="M55" s="9">
        <f t="shared" si="205"/>
        <v>0</v>
      </c>
      <c r="N55" s="9">
        <f t="shared" si="205"/>
        <v>0</v>
      </c>
      <c r="O55" s="9">
        <f t="shared" si="205"/>
        <v>0</v>
      </c>
      <c r="P55" s="89">
        <f t="shared" ref="P55:Q55" si="206">ROUND(P2093,)</f>
        <v>0</v>
      </c>
      <c r="Q55" s="9">
        <f t="shared" si="206"/>
        <v>0</v>
      </c>
      <c r="R55" s="9">
        <f t="shared" ref="R55" si="207">ROUND(R2093,)</f>
        <v>0</v>
      </c>
      <c r="S55" s="47">
        <f t="shared" ref="S55" si="208">ROUND(S2093,)</f>
        <v>0</v>
      </c>
    </row>
    <row r="56" spans="1:21" s="39" customFormat="1" x14ac:dyDescent="0.2">
      <c r="A56" s="128">
        <f t="shared" ref="A56:B56" si="209">SUM(A51:A55)</f>
        <v>-7122800</v>
      </c>
      <c r="B56" s="280">
        <f t="shared" si="209"/>
        <v>-6132200</v>
      </c>
      <c r="C56" s="266">
        <f>SUM(C51:C55)</f>
        <v>-6815600</v>
      </c>
      <c r="D56" s="280">
        <f>SUM(D51:D55)</f>
        <v>-8187300</v>
      </c>
      <c r="E56" s="280">
        <f t="shared" ref="E56" si="210">SUM(E51:E55)</f>
        <v>-6145600</v>
      </c>
      <c r="F56" s="1082" t="s">
        <v>4616</v>
      </c>
      <c r="G56" s="266"/>
      <c r="H56" s="280">
        <f t="shared" ref="H56:O56" si="211">SUM(H51:H55)</f>
        <v>-9344200</v>
      </c>
      <c r="I56" s="278">
        <f t="shared" si="189"/>
        <v>52.046992970580575</v>
      </c>
      <c r="J56" s="280">
        <f t="shared" si="211"/>
        <v>-8932200</v>
      </c>
      <c r="K56" s="280">
        <f t="shared" si="211"/>
        <v>-9319300</v>
      </c>
      <c r="L56" s="280">
        <f t="shared" si="211"/>
        <v>-9271600</v>
      </c>
      <c r="M56" s="280">
        <f t="shared" si="211"/>
        <v>-9961000</v>
      </c>
      <c r="N56" s="280">
        <f t="shared" si="211"/>
        <v>-10061200</v>
      </c>
      <c r="O56" s="280">
        <f t="shared" si="211"/>
        <v>-10374800</v>
      </c>
      <c r="P56" s="266">
        <f t="shared" ref="P56:Q56" si="212">SUM(P51:P55)</f>
        <v>-10698300</v>
      </c>
      <c r="Q56" s="280">
        <f t="shared" si="212"/>
        <v>-10833400</v>
      </c>
      <c r="R56" s="280">
        <f t="shared" ref="R56" si="213">SUM(R51:R55)</f>
        <v>-11000400</v>
      </c>
      <c r="S56" s="2343">
        <f t="shared" ref="S56" si="214">SUM(S51:S55)</f>
        <v>-11262900</v>
      </c>
      <c r="U56" s="34"/>
    </row>
    <row r="57" spans="1:21" ht="13.5" thickBot="1" x14ac:dyDescent="0.25">
      <c r="A57" s="429"/>
      <c r="B57" s="103"/>
      <c r="C57" s="103"/>
      <c r="D57" s="103"/>
      <c r="E57" s="9"/>
      <c r="F57" s="185"/>
      <c r="G57" s="27"/>
      <c r="H57" s="9"/>
      <c r="I57" s="126"/>
      <c r="J57" s="9"/>
      <c r="K57" s="9"/>
      <c r="L57" s="9"/>
      <c r="M57" s="9"/>
      <c r="N57" s="9"/>
      <c r="O57" s="9"/>
      <c r="P57" s="89"/>
      <c r="Q57" s="9"/>
      <c r="R57" s="9"/>
      <c r="S57" s="47"/>
    </row>
    <row r="58" spans="1:21" ht="13.5" thickTop="1" x14ac:dyDescent="0.2">
      <c r="A58" s="270"/>
      <c r="B58" s="109"/>
      <c r="C58" s="69"/>
      <c r="D58" s="109"/>
      <c r="E58" s="74"/>
      <c r="F58" s="184"/>
      <c r="G58" s="69"/>
      <c r="H58" s="74"/>
      <c r="I58" s="352"/>
      <c r="J58" s="74"/>
      <c r="K58" s="74"/>
      <c r="L58" s="74"/>
      <c r="M58" s="74"/>
      <c r="N58" s="74"/>
      <c r="O58" s="74"/>
      <c r="P58" s="111"/>
      <c r="Q58" s="74"/>
      <c r="R58" s="74"/>
      <c r="S58" s="2345"/>
    </row>
    <row r="59" spans="1:21" x14ac:dyDescent="0.2">
      <c r="A59" s="24"/>
      <c r="B59" s="21"/>
      <c r="C59" s="75"/>
      <c r="D59" s="21"/>
      <c r="E59" s="9"/>
      <c r="F59" s="357" t="s">
        <v>192</v>
      </c>
      <c r="G59" s="75"/>
      <c r="H59" s="9"/>
      <c r="I59" s="126"/>
      <c r="J59" s="9"/>
      <c r="K59" s="9"/>
      <c r="L59" s="9"/>
      <c r="M59" s="9"/>
      <c r="N59" s="9"/>
      <c r="O59" s="9"/>
      <c r="P59" s="89"/>
      <c r="Q59" s="9"/>
      <c r="R59" s="9"/>
      <c r="S59" s="47"/>
    </row>
    <row r="60" spans="1:21" x14ac:dyDescent="0.2">
      <c r="A60" s="24"/>
      <c r="B60" s="21"/>
      <c r="C60" s="75"/>
      <c r="D60" s="21"/>
      <c r="E60" s="9"/>
      <c r="F60" s="185"/>
      <c r="G60" s="75"/>
      <c r="H60" s="9"/>
      <c r="I60" s="126"/>
      <c r="J60" s="9"/>
      <c r="K60" s="9"/>
      <c r="L60" s="9"/>
      <c r="M60" s="9"/>
      <c r="N60" s="9"/>
      <c r="O60" s="9"/>
      <c r="P60" s="89"/>
      <c r="Q60" s="9"/>
      <c r="R60" s="9"/>
      <c r="S60" s="47"/>
    </row>
    <row r="61" spans="1:21" x14ac:dyDescent="0.2">
      <c r="A61" s="54">
        <f t="shared" ref="A61:E65" si="215">A114+A228+A285+A349+A388+A460+A517+A556+A611++A684+A740+A174</f>
        <v>1946000</v>
      </c>
      <c r="B61" s="9">
        <f t="shared" si="215"/>
        <v>2347100</v>
      </c>
      <c r="C61" s="89">
        <f t="shared" si="215"/>
        <v>2526100</v>
      </c>
      <c r="D61" s="9">
        <f t="shared" si="215"/>
        <v>2792900</v>
      </c>
      <c r="E61" s="9">
        <f t="shared" si="215"/>
        <v>2595700</v>
      </c>
      <c r="F61" s="55" t="s">
        <v>2848</v>
      </c>
      <c r="G61" s="257"/>
      <c r="H61" s="9">
        <f>H114+H228+H285+H349+H388+H460+H517+H556+H611++H684+H740+H174</f>
        <v>1741200</v>
      </c>
      <c r="I61" s="85">
        <f>IF(E61=H61,0,IF(E61=0,100,(H61-E61)/E61*100))</f>
        <v>-32.919828947875338</v>
      </c>
      <c r="J61" s="9">
        <f t="shared" ref="J61:S61" si="216">J114+J228+J285+J349+J388+J460+J517+J556+J611++J684+J740+J174</f>
        <v>1529200</v>
      </c>
      <c r="K61" s="9">
        <f t="shared" si="216"/>
        <v>1521100</v>
      </c>
      <c r="L61" s="9">
        <f t="shared" si="216"/>
        <v>1171500</v>
      </c>
      <c r="M61" s="9">
        <f t="shared" si="216"/>
        <v>1646500</v>
      </c>
      <c r="N61" s="9">
        <f t="shared" si="216"/>
        <v>1572900</v>
      </c>
      <c r="O61" s="9">
        <f t="shared" si="216"/>
        <v>1490800</v>
      </c>
      <c r="P61" s="89">
        <f t="shared" si="216"/>
        <v>1401900</v>
      </c>
      <c r="Q61" s="9">
        <f t="shared" si="216"/>
        <v>750000</v>
      </c>
      <c r="R61" s="9">
        <f t="shared" si="216"/>
        <v>781000</v>
      </c>
      <c r="S61" s="47">
        <f t="shared" si="216"/>
        <v>812000</v>
      </c>
    </row>
    <row r="62" spans="1:21" x14ac:dyDescent="0.2">
      <c r="A62" s="54">
        <f t="shared" si="215"/>
        <v>17578400</v>
      </c>
      <c r="B62" s="9">
        <f t="shared" si="215"/>
        <v>10223300</v>
      </c>
      <c r="C62" s="89">
        <f t="shared" si="215"/>
        <v>15060600</v>
      </c>
      <c r="D62" s="9">
        <f t="shared" si="215"/>
        <v>12835300</v>
      </c>
      <c r="E62" s="9">
        <f t="shared" si="215"/>
        <v>9955400</v>
      </c>
      <c r="F62" s="358" t="s">
        <v>1909</v>
      </c>
      <c r="G62" s="257"/>
      <c r="H62" s="9">
        <f>H115+H229+H286+H350+H389+H461+H518+H557+H612++H685+H741+H175</f>
        <v>9885100</v>
      </c>
      <c r="I62" s="85">
        <f>IF(E62=H62,0,IF(E62=0,100,(H62-E62)/E62*100))</f>
        <v>-0.70614942644193102</v>
      </c>
      <c r="J62" s="9">
        <f t="shared" ref="J62:S62" si="217">J115+J229+J286+J350+J389+J461+J518+J557+J612++J685+J741+J175</f>
        <v>3238800</v>
      </c>
      <c r="K62" s="9">
        <f t="shared" si="217"/>
        <v>3333400</v>
      </c>
      <c r="L62" s="9">
        <f t="shared" si="217"/>
        <v>3375800</v>
      </c>
      <c r="M62" s="9">
        <f t="shared" si="217"/>
        <v>3400700</v>
      </c>
      <c r="N62" s="9">
        <f t="shared" si="217"/>
        <v>3467100</v>
      </c>
      <c r="O62" s="9">
        <f t="shared" si="217"/>
        <v>3544400</v>
      </c>
      <c r="P62" s="89">
        <f t="shared" si="217"/>
        <v>3582700</v>
      </c>
      <c r="Q62" s="9">
        <f t="shared" si="217"/>
        <v>3661800</v>
      </c>
      <c r="R62" s="9">
        <f t="shared" si="217"/>
        <v>3698800</v>
      </c>
      <c r="S62" s="47">
        <f t="shared" si="217"/>
        <v>3753300</v>
      </c>
    </row>
    <row r="63" spans="1:21" x14ac:dyDescent="0.2">
      <c r="A63" s="54">
        <f t="shared" si="215"/>
        <v>11111000</v>
      </c>
      <c r="B63" s="9">
        <f t="shared" si="215"/>
        <v>17009200</v>
      </c>
      <c r="C63" s="89">
        <f t="shared" si="215"/>
        <v>16815200</v>
      </c>
      <c r="D63" s="9">
        <f t="shared" si="215"/>
        <v>18672700</v>
      </c>
      <c r="E63" s="9">
        <f t="shared" si="215"/>
        <v>12386700</v>
      </c>
      <c r="F63" s="358" t="s">
        <v>2309</v>
      </c>
      <c r="G63" s="257"/>
      <c r="H63" s="9">
        <f>H116+H230+H287+H351+H390+H462+H519+H558+H613++H686+H742+H176</f>
        <v>17223200</v>
      </c>
      <c r="I63" s="85">
        <f>IF(E63=H63,0,IF(E63=0,100,(H63-E63)/E63*100))</f>
        <v>39.045912147706815</v>
      </c>
      <c r="J63" s="9">
        <f t="shared" ref="J63:S63" si="218">J116+J230+J287+J351+J390+J462+J519+J558+J613++J686+J742+J176</f>
        <v>10199500</v>
      </c>
      <c r="K63" s="9">
        <f t="shared" si="218"/>
        <v>19907200</v>
      </c>
      <c r="L63" s="9">
        <f t="shared" si="218"/>
        <v>21072500</v>
      </c>
      <c r="M63" s="9">
        <f t="shared" si="218"/>
        <v>18919900</v>
      </c>
      <c r="N63" s="9">
        <f t="shared" si="218"/>
        <v>5143200</v>
      </c>
      <c r="O63" s="9">
        <f t="shared" si="218"/>
        <v>6407500</v>
      </c>
      <c r="P63" s="89">
        <f t="shared" si="218"/>
        <v>7870600</v>
      </c>
      <c r="Q63" s="9">
        <f t="shared" si="218"/>
        <v>4912400</v>
      </c>
      <c r="R63" s="9">
        <f t="shared" si="218"/>
        <v>8025100</v>
      </c>
      <c r="S63" s="47">
        <f t="shared" si="218"/>
        <v>5944100</v>
      </c>
    </row>
    <row r="64" spans="1:21" x14ac:dyDescent="0.2">
      <c r="A64" s="54">
        <f t="shared" si="215"/>
        <v>13028000</v>
      </c>
      <c r="B64" s="9">
        <f t="shared" si="215"/>
        <v>7871000</v>
      </c>
      <c r="C64" s="89">
        <f t="shared" si="215"/>
        <v>4041900</v>
      </c>
      <c r="D64" s="9">
        <f t="shared" si="215"/>
        <v>5946600</v>
      </c>
      <c r="E64" s="9">
        <f t="shared" si="215"/>
        <v>7180400</v>
      </c>
      <c r="F64" s="358" t="s">
        <v>5847</v>
      </c>
      <c r="G64" s="257"/>
      <c r="H64" s="9">
        <f>H117+H231+H288+H352+H391+H463+H520+H559+H614++H687+H743+H177</f>
        <v>6243600</v>
      </c>
      <c r="I64" s="85">
        <f>IF(E64=H64,0,IF(E64=0,100,(H64-E64)/E64*100))</f>
        <v>-13.046626928861901</v>
      </c>
      <c r="J64" s="9">
        <f t="shared" ref="J64:S64" si="219">J117+J231+J288+J352+J391+J463+J520+J559+J614++J687+J743+J177</f>
        <v>6216900</v>
      </c>
      <c r="K64" s="9">
        <f t="shared" si="219"/>
        <v>297100</v>
      </c>
      <c r="L64" s="9">
        <f t="shared" si="219"/>
        <v>8643100</v>
      </c>
      <c r="M64" s="9">
        <f t="shared" si="219"/>
        <v>309300</v>
      </c>
      <c r="N64" s="9">
        <f t="shared" si="219"/>
        <v>315600</v>
      </c>
      <c r="O64" s="9">
        <f t="shared" si="219"/>
        <v>322000</v>
      </c>
      <c r="P64" s="89">
        <f t="shared" si="219"/>
        <v>328700</v>
      </c>
      <c r="Q64" s="9">
        <f t="shared" si="219"/>
        <v>335400</v>
      </c>
      <c r="R64" s="9">
        <f t="shared" si="219"/>
        <v>342200</v>
      </c>
      <c r="S64" s="47">
        <f t="shared" si="219"/>
        <v>349300</v>
      </c>
    </row>
    <row r="65" spans="1:21" x14ac:dyDescent="0.2">
      <c r="A65" s="54">
        <f t="shared" si="215"/>
        <v>18530000</v>
      </c>
      <c r="B65" s="9">
        <f t="shared" si="215"/>
        <v>20544100</v>
      </c>
      <c r="C65" s="89">
        <f t="shared" si="215"/>
        <v>12522400</v>
      </c>
      <c r="D65" s="9">
        <f t="shared" si="215"/>
        <v>18610900</v>
      </c>
      <c r="E65" s="9">
        <f t="shared" si="215"/>
        <v>18412000</v>
      </c>
      <c r="F65" s="358" t="s">
        <v>958</v>
      </c>
      <c r="G65" s="257"/>
      <c r="H65" s="9">
        <f>H118+H232+H289+H353+H392+H464+H521+H560+H615++H688+H744+H178</f>
        <v>20930800</v>
      </c>
      <c r="I65" s="85">
        <f>IF(E65=H65,0,IF(E65=0,100,(H65-E65)/E65*100))</f>
        <v>13.680208559635021</v>
      </c>
      <c r="J65" s="9">
        <f t="shared" ref="J65:S65" si="220">J118+J232+J289+J353+J392+J464+J521+J560+J615++J688+J744+J178</f>
        <v>21486200</v>
      </c>
      <c r="K65" s="9">
        <f t="shared" si="220"/>
        <v>25389200</v>
      </c>
      <c r="L65" s="9">
        <f t="shared" si="220"/>
        <v>35864900</v>
      </c>
      <c r="M65" s="9">
        <f t="shared" si="220"/>
        <v>24660300</v>
      </c>
      <c r="N65" s="9">
        <f t="shared" si="220"/>
        <v>11310500</v>
      </c>
      <c r="O65" s="9">
        <f t="shared" si="220"/>
        <v>12751400</v>
      </c>
      <c r="P65" s="89">
        <f t="shared" si="220"/>
        <v>14552800</v>
      </c>
      <c r="Q65" s="9">
        <f t="shared" si="220"/>
        <v>12766500</v>
      </c>
      <c r="R65" s="9">
        <f t="shared" si="220"/>
        <v>16214100</v>
      </c>
      <c r="S65" s="47">
        <f t="shared" si="220"/>
        <v>14152000</v>
      </c>
    </row>
    <row r="66" spans="1:21" x14ac:dyDescent="0.2">
      <c r="A66" s="54"/>
      <c r="B66" s="9"/>
      <c r="C66" s="89"/>
      <c r="D66" s="9"/>
      <c r="E66" s="9"/>
      <c r="F66" s="357"/>
      <c r="G66" s="89"/>
      <c r="H66" s="9"/>
      <c r="I66" s="85"/>
      <c r="J66" s="9"/>
      <c r="K66" s="9"/>
      <c r="L66" s="9"/>
      <c r="M66" s="9"/>
      <c r="N66" s="9"/>
      <c r="O66" s="9"/>
      <c r="P66" s="89"/>
      <c r="Q66" s="9"/>
      <c r="R66" s="9"/>
      <c r="S66" s="47"/>
    </row>
    <row r="67" spans="1:21" s="39" customFormat="1" x14ac:dyDescent="0.2">
      <c r="A67" s="128">
        <f>A56-A61-A62+A63++A64-A65</f>
        <v>-21038200</v>
      </c>
      <c r="B67" s="280">
        <f>B56-B61-B62+B63++B64-B65</f>
        <v>-14366500</v>
      </c>
      <c r="C67" s="266">
        <f>C56-C61-C62+C63++C64-C65</f>
        <v>-16067600</v>
      </c>
      <c r="D67" s="280">
        <f>D56-D61-D62+D63++D64-D65</f>
        <v>-17807100</v>
      </c>
      <c r="E67" s="280">
        <f t="shared" ref="E67" si="221">E56-E61-E62+E63++E64-E65</f>
        <v>-17541600</v>
      </c>
      <c r="F67" s="355" t="s">
        <v>2447</v>
      </c>
      <c r="G67" s="266"/>
      <c r="H67" s="280">
        <f t="shared" ref="H67:O67" si="222">H56-H61-H62+H63++H64-H65</f>
        <v>-18434500</v>
      </c>
      <c r="I67" s="278">
        <f>IF(E67=H67,0,IF(E67=0,100,(H67-E67)/E67*100))</f>
        <v>5.0901856159073295</v>
      </c>
      <c r="J67" s="280">
        <f t="shared" si="222"/>
        <v>-18770000</v>
      </c>
      <c r="K67" s="280">
        <f t="shared" si="222"/>
        <v>-19358700</v>
      </c>
      <c r="L67" s="280">
        <f t="shared" si="222"/>
        <v>-19968200</v>
      </c>
      <c r="M67" s="280">
        <f t="shared" si="222"/>
        <v>-20439300</v>
      </c>
      <c r="N67" s="280">
        <f t="shared" si="222"/>
        <v>-20952900</v>
      </c>
      <c r="O67" s="280">
        <f t="shared" si="222"/>
        <v>-21431900</v>
      </c>
      <c r="P67" s="266">
        <f t="shared" ref="P67:Q67" si="223">P56-P61-P62+P63++P64-P65</f>
        <v>-22036400</v>
      </c>
      <c r="Q67" s="280">
        <f t="shared" si="223"/>
        <v>-22763900</v>
      </c>
      <c r="R67" s="280">
        <f t="shared" ref="R67" si="224">R56-R61-R62+R63++R64-R65</f>
        <v>-23327000</v>
      </c>
      <c r="S67" s="2343">
        <f t="shared" ref="S67" si="225">S56-S61-S62+S63++S64-S65</f>
        <v>-23686800</v>
      </c>
      <c r="U67" s="34"/>
    </row>
    <row r="68" spans="1:21" ht="13.5" thickBot="1" x14ac:dyDescent="0.25">
      <c r="A68" s="26"/>
      <c r="B68" s="37"/>
      <c r="C68" s="81"/>
      <c r="D68" s="37"/>
      <c r="E68" s="23"/>
      <c r="F68" s="186"/>
      <c r="G68" s="81"/>
      <c r="H68" s="23"/>
      <c r="I68" s="275"/>
      <c r="J68" s="23"/>
      <c r="K68" s="23"/>
      <c r="L68" s="23"/>
      <c r="M68" s="23"/>
      <c r="N68" s="23"/>
      <c r="O68" s="23"/>
      <c r="P68" s="113"/>
      <c r="Q68" s="23"/>
      <c r="R68" s="23"/>
      <c r="S68" s="114"/>
    </row>
    <row r="69" spans="1:21" ht="14.25" thickTop="1" thickBot="1" x14ac:dyDescent="0.25">
      <c r="A69" s="27"/>
      <c r="B69" s="27"/>
      <c r="C69" s="27"/>
      <c r="D69" s="27"/>
      <c r="E69" s="27"/>
      <c r="F69" s="185"/>
      <c r="G69" s="27"/>
      <c r="H69" s="27"/>
      <c r="I69" s="2234"/>
      <c r="J69" s="27"/>
      <c r="K69" s="46"/>
      <c r="L69" s="46"/>
      <c r="M69" s="46"/>
      <c r="N69" s="46"/>
      <c r="O69" s="46"/>
      <c r="P69" s="46"/>
      <c r="Q69" s="46"/>
      <c r="R69" s="46"/>
      <c r="S69" s="46"/>
    </row>
    <row r="70" spans="1:21" s="38" customFormat="1" ht="18.75" customHeight="1" thickTop="1" thickBot="1" x14ac:dyDescent="0.3">
      <c r="A70" s="2588" t="s">
        <v>4479</v>
      </c>
      <c r="B70" s="2589"/>
      <c r="C70" s="2589"/>
      <c r="D70" s="2589"/>
      <c r="E70" s="2589"/>
      <c r="F70" s="2589"/>
      <c r="G70" s="2589"/>
      <c r="H70" s="2589"/>
      <c r="I70" s="2589"/>
      <c r="J70" s="2589"/>
      <c r="K70" s="2589"/>
      <c r="L70" s="2589"/>
      <c r="M70" s="2589"/>
      <c r="N70" s="2589"/>
      <c r="O70" s="2589"/>
      <c r="P70" s="2589"/>
      <c r="Q70" s="2589"/>
      <c r="R70" s="2589"/>
      <c r="S70" s="2590"/>
      <c r="U70" s="34"/>
    </row>
    <row r="71" spans="1:21" s="39" customFormat="1" ht="13.5" thickBot="1" x14ac:dyDescent="0.25">
      <c r="A71" s="2591" t="s">
        <v>1824</v>
      </c>
      <c r="B71" s="2577"/>
      <c r="C71" s="2577"/>
      <c r="D71" s="2577"/>
      <c r="E71" s="2592"/>
      <c r="F71" s="127" t="s">
        <v>2616</v>
      </c>
      <c r="G71" s="127" t="s">
        <v>2213</v>
      </c>
      <c r="H71" s="2568" t="s">
        <v>2215</v>
      </c>
      <c r="I71" s="2568"/>
      <c r="J71" s="2568"/>
      <c r="K71" s="2568"/>
      <c r="L71" s="2568"/>
      <c r="M71" s="2568"/>
      <c r="N71" s="2568"/>
      <c r="O71" s="2568"/>
      <c r="P71" s="2568"/>
      <c r="Q71" s="2568"/>
      <c r="R71" s="2568"/>
      <c r="S71" s="2607"/>
      <c r="U71" s="34"/>
    </row>
    <row r="72" spans="1:21" ht="12.75" customHeight="1" thickBot="1" x14ac:dyDescent="0.25">
      <c r="A72" s="1526" t="str">
        <f t="shared" ref="A72:B72" si="226">A3</f>
        <v>2012/13</v>
      </c>
      <c r="B72" s="40" t="str">
        <f t="shared" si="226"/>
        <v>2013/14</v>
      </c>
      <c r="C72" s="40" t="str">
        <f>C3</f>
        <v>2014/15</v>
      </c>
      <c r="D72" s="40" t="str">
        <f>D3</f>
        <v>2015/16</v>
      </c>
      <c r="E72" s="1445" t="str">
        <f t="shared" ref="E72" si="227">E3</f>
        <v>2016/17</v>
      </c>
      <c r="F72" s="40" t="s">
        <v>2617</v>
      </c>
      <c r="G72" s="41"/>
      <c r="H72" s="40" t="str">
        <f t="shared" ref="H72:P72" si="228">H3</f>
        <v>2017/18</v>
      </c>
      <c r="I72" s="1258" t="s">
        <v>1286</v>
      </c>
      <c r="J72" s="40" t="str">
        <f t="shared" si="228"/>
        <v>2018/19</v>
      </c>
      <c r="K72" s="40" t="str">
        <f t="shared" si="228"/>
        <v>2019/20</v>
      </c>
      <c r="L72" s="40" t="str">
        <f t="shared" si="228"/>
        <v>2020/21</v>
      </c>
      <c r="M72" s="40" t="str">
        <f t="shared" si="228"/>
        <v>2021/22</v>
      </c>
      <c r="N72" s="40" t="str">
        <f t="shared" si="228"/>
        <v>2022/23</v>
      </c>
      <c r="O72" s="40" t="str">
        <f t="shared" si="228"/>
        <v>2023/24</v>
      </c>
      <c r="P72" s="40" t="str">
        <f t="shared" si="228"/>
        <v>2024/25</v>
      </c>
      <c r="Q72" s="28" t="str">
        <f>Q3</f>
        <v>2025/26</v>
      </c>
      <c r="R72" s="28" t="str">
        <f t="shared" ref="R72:S72" si="229">R3</f>
        <v>2026/27</v>
      </c>
      <c r="S72" s="1620" t="str">
        <f t="shared" si="229"/>
        <v>2027/28</v>
      </c>
    </row>
    <row r="73" spans="1:21" x14ac:dyDescent="0.2">
      <c r="A73" s="2338"/>
      <c r="B73" s="150"/>
      <c r="C73" s="150"/>
      <c r="D73" s="150"/>
      <c r="E73" s="1507"/>
      <c r="F73" s="2046"/>
      <c r="G73" s="46"/>
      <c r="H73" s="150"/>
      <c r="I73" s="1395"/>
      <c r="J73" s="150"/>
      <c r="K73" s="150"/>
      <c r="L73" s="150"/>
      <c r="M73" s="150"/>
      <c r="N73" s="150"/>
      <c r="O73" s="151"/>
      <c r="P73" s="151"/>
      <c r="Q73" s="151"/>
      <c r="R73" s="151"/>
      <c r="S73" s="2047"/>
    </row>
    <row r="74" spans="1:21" x14ac:dyDescent="0.2">
      <c r="A74" s="45"/>
      <c r="B74" s="9"/>
      <c r="C74" s="134"/>
      <c r="D74" s="134"/>
      <c r="E74" s="1442"/>
      <c r="F74" s="167"/>
      <c r="G74" s="91" t="s">
        <v>1056</v>
      </c>
      <c r="H74" s="9"/>
      <c r="I74" s="85"/>
      <c r="J74" s="9"/>
      <c r="K74" s="9"/>
      <c r="L74" s="9"/>
      <c r="M74" s="9"/>
      <c r="N74" s="9"/>
      <c r="O74" s="9"/>
      <c r="P74" s="9"/>
      <c r="Q74" s="9"/>
      <c r="R74" s="9"/>
      <c r="S74" s="61"/>
    </row>
    <row r="75" spans="1:21" x14ac:dyDescent="0.2">
      <c r="A75" s="45"/>
      <c r="B75" s="9"/>
      <c r="C75" s="134"/>
      <c r="D75" s="134"/>
      <c r="E75" s="1442"/>
      <c r="F75" s="167"/>
      <c r="G75" s="46"/>
      <c r="H75" s="9"/>
      <c r="I75" s="85"/>
      <c r="J75" s="9"/>
      <c r="K75" s="9"/>
      <c r="L75" s="9"/>
      <c r="M75" s="9"/>
      <c r="N75" s="9"/>
      <c r="O75" s="9"/>
      <c r="P75" s="9"/>
      <c r="Q75" s="9"/>
      <c r="R75" s="9"/>
      <c r="S75" s="61"/>
    </row>
    <row r="76" spans="1:21" x14ac:dyDescent="0.2">
      <c r="A76" s="45"/>
      <c r="B76" s="9"/>
      <c r="E76" s="1442"/>
      <c r="F76" s="167"/>
      <c r="G76" s="122" t="s">
        <v>1429</v>
      </c>
      <c r="H76" s="9"/>
      <c r="I76" s="85"/>
      <c r="J76" s="9"/>
      <c r="K76" s="9"/>
      <c r="L76" s="9"/>
      <c r="M76" s="9"/>
      <c r="N76" s="9"/>
      <c r="O76" s="9"/>
      <c r="P76" s="9"/>
      <c r="Q76" s="9"/>
      <c r="R76" s="9"/>
      <c r="S76" s="61"/>
    </row>
    <row r="77" spans="1:21" x14ac:dyDescent="0.2">
      <c r="A77" s="45">
        <f>ROUND(SUM(A753:A759),-3)</f>
        <v>277000</v>
      </c>
      <c r="B77" s="9">
        <f>SUM(B753:B759)</f>
        <v>235800</v>
      </c>
      <c r="C77" s="136">
        <f>SUM(C753:C759)</f>
        <v>250800</v>
      </c>
      <c r="D77" s="136">
        <f>SUM(D753:D759)</f>
        <v>205000</v>
      </c>
      <c r="E77" s="1442">
        <f>SUM(E753:E759)</f>
        <v>350500</v>
      </c>
      <c r="F77" s="167">
        <v>22010</v>
      </c>
      <c r="G77" s="1150" t="s">
        <v>6772</v>
      </c>
      <c r="H77" s="9">
        <f t="shared" ref="H77:Q77" si="230">SUM(H753:H759)</f>
        <v>228500</v>
      </c>
      <c r="I77" s="85">
        <f>IF(E77=H77,0,IF(E77=0,100,(H77-E77)/E77*100))</f>
        <v>-34.807417974322398</v>
      </c>
      <c r="J77" s="9">
        <f t="shared" si="230"/>
        <v>213700</v>
      </c>
      <c r="K77" s="9">
        <f t="shared" si="230"/>
        <v>219200</v>
      </c>
      <c r="L77" s="9">
        <f t="shared" si="230"/>
        <v>224900</v>
      </c>
      <c r="M77" s="9">
        <f t="shared" si="230"/>
        <v>230700</v>
      </c>
      <c r="N77" s="9">
        <f t="shared" si="230"/>
        <v>236600</v>
      </c>
      <c r="O77" s="9">
        <f t="shared" si="230"/>
        <v>242700</v>
      </c>
      <c r="P77" s="9">
        <f t="shared" si="230"/>
        <v>248900</v>
      </c>
      <c r="Q77" s="9">
        <f t="shared" si="230"/>
        <v>255300</v>
      </c>
      <c r="R77" s="9">
        <f t="shared" ref="R77" si="231">SUM(R753:R759)</f>
        <v>261900</v>
      </c>
      <c r="S77" s="47">
        <f t="shared" ref="S77" si="232">SUM(S753:S759)</f>
        <v>268700</v>
      </c>
    </row>
    <row r="78" spans="1:21" x14ac:dyDescent="0.2">
      <c r="A78" s="45">
        <f>ROUND(SUM(A760:A766),-3)</f>
        <v>83000</v>
      </c>
      <c r="B78" s="9">
        <f>SUM(B760:B766)</f>
        <v>72500</v>
      </c>
      <c r="C78" s="89">
        <f>SUM(C760:C766)</f>
        <v>71000</v>
      </c>
      <c r="D78" s="9">
        <f>SUM(D760:D766)</f>
        <v>49400</v>
      </c>
      <c r="E78" s="134">
        <f>SUM(E760:E766)</f>
        <v>58100</v>
      </c>
      <c r="F78" s="167">
        <v>22011</v>
      </c>
      <c r="G78" s="1150" t="s">
        <v>4517</v>
      </c>
      <c r="H78" s="9">
        <f t="shared" ref="H78:Q78" si="233">SUM(H760:H766)</f>
        <v>67100</v>
      </c>
      <c r="I78" s="85">
        <f>IF(E78=H78,0,IF(E78=0,100,(H78-E78)/E78*100))</f>
        <v>15.490533562822719</v>
      </c>
      <c r="J78" s="9">
        <f t="shared" si="233"/>
        <v>55400</v>
      </c>
      <c r="K78" s="9">
        <f t="shared" si="233"/>
        <v>57000</v>
      </c>
      <c r="L78" s="9">
        <f t="shared" si="233"/>
        <v>58600</v>
      </c>
      <c r="M78" s="9">
        <f t="shared" si="233"/>
        <v>60200</v>
      </c>
      <c r="N78" s="9">
        <f t="shared" si="233"/>
        <v>61900</v>
      </c>
      <c r="O78" s="9">
        <f t="shared" si="233"/>
        <v>63600</v>
      </c>
      <c r="P78" s="9">
        <f t="shared" si="233"/>
        <v>65300</v>
      </c>
      <c r="Q78" s="9">
        <f t="shared" si="233"/>
        <v>67100</v>
      </c>
      <c r="R78" s="9">
        <f t="shared" ref="R78" si="234">SUM(R760:R766)</f>
        <v>68900</v>
      </c>
      <c r="S78" s="47">
        <f t="shared" ref="S78" si="235">SUM(S760:S766)</f>
        <v>70700</v>
      </c>
    </row>
    <row r="79" spans="1:21" x14ac:dyDescent="0.2">
      <c r="A79" s="45">
        <f>ROUND(+SUM(A766:A766),-3)</f>
        <v>0</v>
      </c>
      <c r="B79" s="9">
        <f>SUM(B766:B766)</f>
        <v>0</v>
      </c>
      <c r="C79" s="89">
        <f>SUM(C766:C766)</f>
        <v>0</v>
      </c>
      <c r="D79" s="9">
        <f>SUM(D766:D766)</f>
        <v>0</v>
      </c>
      <c r="E79" s="134">
        <f t="shared" ref="E79" si="236">SUM(E766:E766)</f>
        <v>0</v>
      </c>
      <c r="F79" s="1152">
        <v>22011</v>
      </c>
      <c r="G79" s="1150" t="s">
        <v>3249</v>
      </c>
      <c r="H79" s="9">
        <f t="shared" ref="H79:O79" si="237">SUM(H766:H766)</f>
        <v>0</v>
      </c>
      <c r="I79" s="85">
        <f>IF(E79=H79,0,IF(E79=0,100,(H79-E79)/E79*100))</f>
        <v>0</v>
      </c>
      <c r="J79" s="9">
        <f t="shared" si="237"/>
        <v>0</v>
      </c>
      <c r="K79" s="9">
        <f t="shared" si="237"/>
        <v>0</v>
      </c>
      <c r="L79" s="9">
        <f t="shared" si="237"/>
        <v>0</v>
      </c>
      <c r="M79" s="9">
        <f t="shared" si="237"/>
        <v>0</v>
      </c>
      <c r="N79" s="9">
        <f t="shared" si="237"/>
        <v>0</v>
      </c>
      <c r="O79" s="9">
        <f t="shared" si="237"/>
        <v>0</v>
      </c>
      <c r="P79" s="9">
        <f t="shared" ref="P79:Q79" si="238">SUM(P766:P766)</f>
        <v>0</v>
      </c>
      <c r="Q79" s="9">
        <f t="shared" si="238"/>
        <v>0</v>
      </c>
      <c r="R79" s="9">
        <f t="shared" ref="R79" si="239">SUM(R766:R766)</f>
        <v>0</v>
      </c>
      <c r="S79" s="47">
        <f t="shared" ref="S79" si="240">SUM(S766:S766)</f>
        <v>0</v>
      </c>
    </row>
    <row r="80" spans="1:21" ht="13.5" thickBot="1" x14ac:dyDescent="0.25">
      <c r="A80" s="45"/>
      <c r="B80" s="9"/>
      <c r="C80" s="134"/>
      <c r="D80" s="134"/>
      <c r="E80" s="134"/>
      <c r="F80" s="249"/>
      <c r="G80" s="1173"/>
      <c r="H80" s="9"/>
      <c r="I80" s="85"/>
      <c r="J80" s="9"/>
      <c r="K80" s="9"/>
      <c r="L80" s="9"/>
      <c r="M80" s="9"/>
      <c r="N80" s="9"/>
      <c r="O80" s="9"/>
      <c r="P80" s="9"/>
      <c r="Q80" s="9"/>
      <c r="R80" s="9"/>
      <c r="S80" s="47"/>
    </row>
    <row r="81" spans="1:21" s="39" customFormat="1" x14ac:dyDescent="0.2">
      <c r="A81" s="545">
        <f>SUM(A77:A80)</f>
        <v>360000</v>
      </c>
      <c r="B81" s="16">
        <f>SUM(B77:B80)</f>
        <v>308300</v>
      </c>
      <c r="C81" s="145">
        <f>SUM(C77:C80)</f>
        <v>321800</v>
      </c>
      <c r="D81" s="145">
        <f>SUM(D77:D80)</f>
        <v>254400</v>
      </c>
      <c r="E81" s="145">
        <f t="shared" ref="E81" si="241">SUM(E77:E80)</f>
        <v>408600</v>
      </c>
      <c r="F81" s="163"/>
      <c r="G81" s="1158" t="s">
        <v>2561</v>
      </c>
      <c r="H81" s="16">
        <f t="shared" ref="H81:O81" si="242">SUM(H77:H80)</f>
        <v>295600</v>
      </c>
      <c r="I81" s="127">
        <f>IF(E81=H81,0,IF(E81=0,100,(H81-E81)/E81*100))</f>
        <v>-27.655408712677438</v>
      </c>
      <c r="J81" s="16">
        <f t="shared" si="242"/>
        <v>269100</v>
      </c>
      <c r="K81" s="16">
        <f t="shared" si="242"/>
        <v>276200</v>
      </c>
      <c r="L81" s="16">
        <f t="shared" si="242"/>
        <v>283500</v>
      </c>
      <c r="M81" s="16">
        <f t="shared" si="242"/>
        <v>290900</v>
      </c>
      <c r="N81" s="16">
        <f t="shared" si="242"/>
        <v>298500</v>
      </c>
      <c r="O81" s="16">
        <f t="shared" si="242"/>
        <v>306300</v>
      </c>
      <c r="P81" s="16">
        <f t="shared" ref="P81:Q81" si="243">SUM(P77:P80)</f>
        <v>314200</v>
      </c>
      <c r="Q81" s="16">
        <f t="shared" si="243"/>
        <v>322400</v>
      </c>
      <c r="R81" s="16">
        <f t="shared" ref="R81" si="244">SUM(R77:R80)</f>
        <v>330800</v>
      </c>
      <c r="S81" s="2342">
        <f t="shared" ref="S81" si="245">SUM(S77:S80)</f>
        <v>339400</v>
      </c>
      <c r="U81" s="34"/>
    </row>
    <row r="82" spans="1:21" x14ac:dyDescent="0.2">
      <c r="A82" s="45"/>
      <c r="B82" s="9"/>
      <c r="C82" s="134"/>
      <c r="D82" s="134"/>
      <c r="E82" s="134"/>
      <c r="F82" s="1152"/>
      <c r="G82" s="32"/>
      <c r="H82" s="9"/>
      <c r="I82" s="85"/>
      <c r="J82" s="9"/>
      <c r="K82" s="9"/>
      <c r="L82" s="9"/>
      <c r="M82" s="9"/>
      <c r="N82" s="9"/>
      <c r="O82" s="9"/>
      <c r="P82" s="9"/>
      <c r="Q82" s="9"/>
      <c r="R82" s="9"/>
      <c r="S82" s="47"/>
    </row>
    <row r="83" spans="1:21" x14ac:dyDescent="0.2">
      <c r="A83" s="45"/>
      <c r="B83" s="9"/>
      <c r="C83" s="134"/>
      <c r="D83" s="134"/>
      <c r="E83" s="134"/>
      <c r="F83" s="167"/>
      <c r="G83" s="91" t="s">
        <v>2169</v>
      </c>
      <c r="H83" s="9"/>
      <c r="I83" s="85"/>
      <c r="J83" s="9"/>
      <c r="K83" s="9"/>
      <c r="L83" s="9"/>
      <c r="M83" s="9"/>
      <c r="N83" s="9"/>
      <c r="O83" s="9"/>
      <c r="P83" s="9"/>
      <c r="Q83" s="9"/>
      <c r="R83" s="9"/>
      <c r="S83" s="47"/>
    </row>
    <row r="84" spans="1:21" x14ac:dyDescent="0.2">
      <c r="A84" s="45"/>
      <c r="B84" s="403"/>
      <c r="E84" s="134"/>
      <c r="F84" s="1152"/>
      <c r="G84" s="29"/>
      <c r="H84" s="9"/>
      <c r="I84" s="85"/>
      <c r="J84" s="9"/>
      <c r="K84" s="9"/>
      <c r="L84" s="9"/>
      <c r="M84" s="9"/>
      <c r="N84" s="9"/>
      <c r="O84" s="9"/>
      <c r="P84" s="9"/>
      <c r="Q84" s="9"/>
      <c r="R84" s="9"/>
      <c r="S84" s="47"/>
    </row>
    <row r="85" spans="1:21" x14ac:dyDescent="0.2">
      <c r="A85" s="45"/>
      <c r="B85" s="9"/>
      <c r="E85" s="134"/>
      <c r="F85" s="1152"/>
      <c r="G85" s="32" t="s">
        <v>325</v>
      </c>
      <c r="H85" s="9"/>
      <c r="I85" s="85"/>
      <c r="J85" s="9"/>
      <c r="K85" s="9"/>
      <c r="L85" s="9"/>
      <c r="M85" s="9"/>
      <c r="N85" s="9"/>
      <c r="O85" s="9"/>
      <c r="P85" s="9"/>
      <c r="Q85" s="9"/>
      <c r="R85" s="9"/>
      <c r="S85" s="47"/>
    </row>
    <row r="86" spans="1:21" x14ac:dyDescent="0.2">
      <c r="A86" s="45">
        <f t="shared" ref="A86:A91" si="246">ROUND(SUM(A770),-3)</f>
        <v>589000</v>
      </c>
      <c r="B86" s="9">
        <f t="shared" ref="B86:B91" si="247">SUM(B770)</f>
        <v>601600</v>
      </c>
      <c r="C86" s="136">
        <f t="shared" ref="C86:C91" si="248">SUM(C770)</f>
        <v>769000</v>
      </c>
      <c r="D86" s="136">
        <f t="shared" ref="D86:E91" si="249">SUM(D770)</f>
        <v>790400</v>
      </c>
      <c r="E86" s="134">
        <f t="shared" si="249"/>
        <v>832800</v>
      </c>
      <c r="F86" s="165">
        <v>32020</v>
      </c>
      <c r="G86" s="1154" t="s">
        <v>4498</v>
      </c>
      <c r="H86" s="9">
        <f t="shared" ref="H86:O86" si="250">SUM(H770)</f>
        <v>737000</v>
      </c>
      <c r="I86" s="85">
        <f t="shared" ref="I86:I95" si="251">IF(E86=H86,0,IF(E86=0,100,(H86-E86)/E86*100))</f>
        <v>-11.503362151777138</v>
      </c>
      <c r="J86" s="9">
        <f t="shared" si="250"/>
        <v>872900</v>
      </c>
      <c r="K86" s="9">
        <f t="shared" si="250"/>
        <v>893000</v>
      </c>
      <c r="L86" s="9">
        <f t="shared" si="250"/>
        <v>913500</v>
      </c>
      <c r="M86" s="9">
        <f t="shared" si="250"/>
        <v>934500</v>
      </c>
      <c r="N86" s="9">
        <f t="shared" si="250"/>
        <v>956000</v>
      </c>
      <c r="O86" s="9">
        <f t="shared" si="250"/>
        <v>978000</v>
      </c>
      <c r="P86" s="9">
        <f t="shared" ref="P86:Q86" si="252">SUM(P770)</f>
        <v>1000500</v>
      </c>
      <c r="Q86" s="9">
        <f t="shared" si="252"/>
        <v>1023500</v>
      </c>
      <c r="R86" s="9">
        <f t="shared" ref="R86" si="253">SUM(R770)</f>
        <v>1047000</v>
      </c>
      <c r="S86" s="47">
        <f t="shared" ref="S86" si="254">SUM(S770)</f>
        <v>1071100</v>
      </c>
    </row>
    <row r="87" spans="1:21" x14ac:dyDescent="0.2">
      <c r="A87" s="45">
        <f t="shared" si="246"/>
        <v>685000</v>
      </c>
      <c r="B87" s="9">
        <f t="shared" si="247"/>
        <v>661300</v>
      </c>
      <c r="C87" s="136">
        <f t="shared" si="248"/>
        <v>732000</v>
      </c>
      <c r="D87" s="136">
        <f t="shared" si="249"/>
        <v>763300</v>
      </c>
      <c r="E87" s="134">
        <f t="shared" ref="E87" si="255">SUM(E771)</f>
        <v>740500</v>
      </c>
      <c r="F87" s="165">
        <v>32020</v>
      </c>
      <c r="G87" s="1154" t="s">
        <v>4516</v>
      </c>
      <c r="H87" s="9">
        <f t="shared" ref="H87:O87" si="256">SUM(H771)</f>
        <v>831000</v>
      </c>
      <c r="I87" s="85">
        <f t="shared" si="251"/>
        <v>12.221471978392978</v>
      </c>
      <c r="J87" s="9">
        <f t="shared" si="256"/>
        <v>838800</v>
      </c>
      <c r="K87" s="9">
        <f t="shared" si="256"/>
        <v>858100</v>
      </c>
      <c r="L87" s="9">
        <f t="shared" si="256"/>
        <v>877800</v>
      </c>
      <c r="M87" s="9">
        <f t="shared" si="256"/>
        <v>898000</v>
      </c>
      <c r="N87" s="9">
        <f t="shared" si="256"/>
        <v>918700</v>
      </c>
      <c r="O87" s="9">
        <f t="shared" si="256"/>
        <v>939800</v>
      </c>
      <c r="P87" s="9">
        <f t="shared" ref="P87:Q87" si="257">SUM(P771)</f>
        <v>961400</v>
      </c>
      <c r="Q87" s="9">
        <f t="shared" si="257"/>
        <v>983500</v>
      </c>
      <c r="R87" s="9">
        <f t="shared" ref="R87" si="258">SUM(R771)</f>
        <v>1006100</v>
      </c>
      <c r="S87" s="47">
        <f t="shared" ref="S87" si="259">SUM(S771)</f>
        <v>1029200</v>
      </c>
    </row>
    <row r="88" spans="1:21" x14ac:dyDescent="0.2">
      <c r="A88" s="45">
        <f t="shared" si="246"/>
        <v>398000</v>
      </c>
      <c r="B88" s="9">
        <f t="shared" si="247"/>
        <v>440700</v>
      </c>
      <c r="C88" s="136">
        <f t="shared" si="248"/>
        <v>546000</v>
      </c>
      <c r="D88" s="136">
        <f t="shared" si="249"/>
        <v>600600</v>
      </c>
      <c r="E88" s="134">
        <f t="shared" ref="E88" si="260">SUM(E772)</f>
        <v>584100</v>
      </c>
      <c r="F88" s="165">
        <v>32020</v>
      </c>
      <c r="G88" s="1154" t="s">
        <v>3593</v>
      </c>
      <c r="H88" s="9">
        <f t="shared" ref="H88:O88" si="261">SUM(H772)</f>
        <v>611000</v>
      </c>
      <c r="I88" s="85">
        <f t="shared" si="251"/>
        <v>4.6053757918164697</v>
      </c>
      <c r="J88" s="9">
        <f t="shared" si="261"/>
        <v>613800</v>
      </c>
      <c r="K88" s="9">
        <f t="shared" si="261"/>
        <v>627900</v>
      </c>
      <c r="L88" s="9">
        <f t="shared" si="261"/>
        <v>642300</v>
      </c>
      <c r="M88" s="9">
        <f t="shared" si="261"/>
        <v>657100</v>
      </c>
      <c r="N88" s="9">
        <f t="shared" si="261"/>
        <v>672200</v>
      </c>
      <c r="O88" s="9">
        <f t="shared" si="261"/>
        <v>687700</v>
      </c>
      <c r="P88" s="9">
        <f t="shared" ref="P88:Q88" si="262">SUM(P772)</f>
        <v>703500</v>
      </c>
      <c r="Q88" s="9">
        <f t="shared" si="262"/>
        <v>719700</v>
      </c>
      <c r="R88" s="9">
        <f t="shared" ref="R88" si="263">SUM(R772)</f>
        <v>736300</v>
      </c>
      <c r="S88" s="47">
        <f t="shared" ref="S88" si="264">SUM(S772)</f>
        <v>753200</v>
      </c>
    </row>
    <row r="89" spans="1:21" x14ac:dyDescent="0.2">
      <c r="A89" s="45">
        <f t="shared" si="246"/>
        <v>183000</v>
      </c>
      <c r="B89" s="9">
        <f t="shared" si="247"/>
        <v>0</v>
      </c>
      <c r="C89" s="136">
        <f t="shared" si="248"/>
        <v>0</v>
      </c>
      <c r="D89" s="136">
        <f t="shared" si="249"/>
        <v>0</v>
      </c>
      <c r="E89" s="134">
        <f t="shared" ref="E89" si="265">SUM(E773)</f>
        <v>0</v>
      </c>
      <c r="F89" s="165">
        <v>32020</v>
      </c>
      <c r="G89" s="242" t="s">
        <v>618</v>
      </c>
      <c r="H89" s="9">
        <f t="shared" ref="H89:O89" si="266">SUM(H773)</f>
        <v>0</v>
      </c>
      <c r="I89" s="85">
        <f t="shared" si="251"/>
        <v>0</v>
      </c>
      <c r="J89" s="9">
        <f t="shared" si="266"/>
        <v>0</v>
      </c>
      <c r="K89" s="9">
        <f t="shared" si="266"/>
        <v>0</v>
      </c>
      <c r="L89" s="9">
        <f t="shared" si="266"/>
        <v>0</v>
      </c>
      <c r="M89" s="9">
        <f t="shared" si="266"/>
        <v>0</v>
      </c>
      <c r="N89" s="9">
        <f t="shared" si="266"/>
        <v>0</v>
      </c>
      <c r="O89" s="9">
        <f t="shared" si="266"/>
        <v>0</v>
      </c>
      <c r="P89" s="9">
        <f t="shared" ref="P89:Q89" si="267">SUM(P773)</f>
        <v>0</v>
      </c>
      <c r="Q89" s="9">
        <f t="shared" si="267"/>
        <v>0</v>
      </c>
      <c r="R89" s="9">
        <f t="shared" ref="R89" si="268">SUM(R773)</f>
        <v>0</v>
      </c>
      <c r="S89" s="47">
        <f t="shared" ref="S89" si="269">SUM(S773)</f>
        <v>0</v>
      </c>
    </row>
    <row r="90" spans="1:21" x14ac:dyDescent="0.2">
      <c r="A90" s="45">
        <f t="shared" si="246"/>
        <v>11000</v>
      </c>
      <c r="B90" s="9">
        <f t="shared" si="247"/>
        <v>8300</v>
      </c>
      <c r="C90" s="136">
        <f t="shared" si="248"/>
        <v>13000</v>
      </c>
      <c r="D90" s="136">
        <f t="shared" si="249"/>
        <v>10800</v>
      </c>
      <c r="E90" s="134">
        <f t="shared" ref="E90" si="270">SUM(E774)</f>
        <v>6000</v>
      </c>
      <c r="F90" s="165">
        <v>32020</v>
      </c>
      <c r="G90" s="1154" t="s">
        <v>3203</v>
      </c>
      <c r="H90" s="9">
        <f t="shared" ref="H90:O90" si="271">SUM(H774)</f>
        <v>8000</v>
      </c>
      <c r="I90" s="85">
        <f t="shared" si="251"/>
        <v>33.333333333333329</v>
      </c>
      <c r="J90" s="9">
        <f t="shared" si="271"/>
        <v>8200</v>
      </c>
      <c r="K90" s="9">
        <f t="shared" si="271"/>
        <v>8500</v>
      </c>
      <c r="L90" s="9">
        <f t="shared" si="271"/>
        <v>8800</v>
      </c>
      <c r="M90" s="9">
        <f t="shared" si="271"/>
        <v>9100</v>
      </c>
      <c r="N90" s="9">
        <f t="shared" si="271"/>
        <v>9400</v>
      </c>
      <c r="O90" s="9">
        <f t="shared" si="271"/>
        <v>9700</v>
      </c>
      <c r="P90" s="9">
        <f t="shared" ref="P90:Q90" si="272">SUM(P774)</f>
        <v>10000</v>
      </c>
      <c r="Q90" s="9">
        <f t="shared" si="272"/>
        <v>10300</v>
      </c>
      <c r="R90" s="9">
        <f t="shared" ref="R90" si="273">SUM(R774)</f>
        <v>10600</v>
      </c>
      <c r="S90" s="47">
        <f t="shared" ref="S90" si="274">SUM(S774)</f>
        <v>10900</v>
      </c>
    </row>
    <row r="91" spans="1:21" x14ac:dyDescent="0.2">
      <c r="A91" s="45">
        <f t="shared" si="246"/>
        <v>92000</v>
      </c>
      <c r="B91" s="9">
        <f t="shared" si="247"/>
        <v>103500</v>
      </c>
      <c r="C91" s="136">
        <f t="shared" si="248"/>
        <v>106700</v>
      </c>
      <c r="D91" s="136">
        <f t="shared" si="249"/>
        <v>106700</v>
      </c>
      <c r="E91" s="134">
        <f t="shared" ref="E91" si="275">SUM(E775)</f>
        <v>108900</v>
      </c>
      <c r="F91" s="165">
        <v>32020</v>
      </c>
      <c r="G91" s="1154" t="s">
        <v>3594</v>
      </c>
      <c r="H91" s="9">
        <f t="shared" ref="H91:O91" si="276">SUM(H775)</f>
        <v>80000</v>
      </c>
      <c r="I91" s="85">
        <f t="shared" si="251"/>
        <v>-26.538108356290174</v>
      </c>
      <c r="J91" s="9">
        <f t="shared" si="276"/>
        <v>81900</v>
      </c>
      <c r="K91" s="9">
        <f t="shared" si="276"/>
        <v>84000</v>
      </c>
      <c r="L91" s="9">
        <f t="shared" si="276"/>
        <v>86100</v>
      </c>
      <c r="M91" s="9">
        <f t="shared" si="276"/>
        <v>88300</v>
      </c>
      <c r="N91" s="9">
        <f t="shared" si="276"/>
        <v>90600</v>
      </c>
      <c r="O91" s="9">
        <f t="shared" si="276"/>
        <v>92900</v>
      </c>
      <c r="P91" s="9">
        <f t="shared" ref="P91:Q91" si="277">SUM(P775)</f>
        <v>95300</v>
      </c>
      <c r="Q91" s="9">
        <f t="shared" si="277"/>
        <v>97700</v>
      </c>
      <c r="R91" s="9">
        <f t="shared" ref="R91" si="278">SUM(R775)</f>
        <v>100200</v>
      </c>
      <c r="S91" s="47">
        <f t="shared" ref="S91" si="279">SUM(S775)</f>
        <v>102800</v>
      </c>
    </row>
    <row r="92" spans="1:21" x14ac:dyDescent="0.2">
      <c r="A92" s="45">
        <f>ROUND(SUM(A776:A781),-3)</f>
        <v>44000</v>
      </c>
      <c r="B92" s="9">
        <f>SUM(B776:B781)</f>
        <v>29300</v>
      </c>
      <c r="C92" s="136">
        <f>SUM(C776:C781)</f>
        <v>43000</v>
      </c>
      <c r="D92" s="136">
        <f>SUM(D776:D781)</f>
        <v>48000</v>
      </c>
      <c r="E92" s="134">
        <f>SUM(E776:E781)</f>
        <v>52600</v>
      </c>
      <c r="F92" s="165">
        <v>32020</v>
      </c>
      <c r="G92" s="242" t="s">
        <v>501</v>
      </c>
      <c r="H92" s="9">
        <f>SUM(H776:H781)</f>
        <v>54700</v>
      </c>
      <c r="I92" s="85">
        <f t="shared" si="251"/>
        <v>3.9923954372623576</v>
      </c>
      <c r="J92" s="9">
        <f t="shared" ref="J92:R92" si="280">SUM(J776:J781)</f>
        <v>56500</v>
      </c>
      <c r="K92" s="9">
        <f t="shared" si="280"/>
        <v>58100</v>
      </c>
      <c r="L92" s="9">
        <f t="shared" si="280"/>
        <v>59700</v>
      </c>
      <c r="M92" s="9">
        <f t="shared" si="280"/>
        <v>61400</v>
      </c>
      <c r="N92" s="9">
        <f t="shared" si="280"/>
        <v>63200</v>
      </c>
      <c r="O92" s="9">
        <f t="shared" si="280"/>
        <v>65000</v>
      </c>
      <c r="P92" s="9">
        <f t="shared" si="280"/>
        <v>66900</v>
      </c>
      <c r="Q92" s="9">
        <f t="shared" si="280"/>
        <v>68900</v>
      </c>
      <c r="R92" s="9">
        <f t="shared" si="280"/>
        <v>70900</v>
      </c>
      <c r="S92" s="47">
        <f t="shared" ref="S92" si="281">SUM(S776:S781)</f>
        <v>72900</v>
      </c>
    </row>
    <row r="93" spans="1:21" x14ac:dyDescent="0.2">
      <c r="A93" s="45">
        <f>ROUND(SUM(A782:A785),-3)</f>
        <v>88000</v>
      </c>
      <c r="B93" s="9">
        <f>SUM(B782:B785)</f>
        <v>81600</v>
      </c>
      <c r="C93" s="136">
        <f>SUM(C782:C785)</f>
        <v>74000</v>
      </c>
      <c r="D93" s="136">
        <f>SUM(D782:D785)</f>
        <v>55600</v>
      </c>
      <c r="E93" s="134">
        <f t="shared" ref="E93" si="282">SUM(E782:E785)</f>
        <v>61100</v>
      </c>
      <c r="F93" s="165">
        <v>32020</v>
      </c>
      <c r="G93" s="1150" t="s">
        <v>3031</v>
      </c>
      <c r="H93" s="9">
        <f t="shared" ref="H93:O93" si="283">SUM(H782:H785)</f>
        <v>68600</v>
      </c>
      <c r="I93" s="85">
        <f t="shared" si="251"/>
        <v>12.274959083469723</v>
      </c>
      <c r="J93" s="9">
        <f t="shared" si="283"/>
        <v>57500</v>
      </c>
      <c r="K93" s="9">
        <f t="shared" si="283"/>
        <v>59100</v>
      </c>
      <c r="L93" s="9">
        <f t="shared" si="283"/>
        <v>60700</v>
      </c>
      <c r="M93" s="9">
        <f t="shared" si="283"/>
        <v>62300</v>
      </c>
      <c r="N93" s="9">
        <f t="shared" si="283"/>
        <v>64100</v>
      </c>
      <c r="O93" s="9">
        <f t="shared" si="283"/>
        <v>65900</v>
      </c>
      <c r="P93" s="9">
        <f t="shared" ref="P93:Q93" si="284">SUM(P782:P785)</f>
        <v>67700</v>
      </c>
      <c r="Q93" s="9">
        <f t="shared" si="284"/>
        <v>69500</v>
      </c>
      <c r="R93" s="9">
        <f t="shared" ref="R93" si="285">SUM(R782:R785)</f>
        <v>71300</v>
      </c>
      <c r="S93" s="47">
        <f t="shared" ref="S93" si="286">SUM(S782:S785)</f>
        <v>73100</v>
      </c>
    </row>
    <row r="94" spans="1:21" x14ac:dyDescent="0.2">
      <c r="A94" s="45">
        <f>(SUM(A787:A787))</f>
        <v>65000</v>
      </c>
      <c r="B94" s="9">
        <f>(SUM(B787:B787))</f>
        <v>5800</v>
      </c>
      <c r="C94" s="136">
        <f>(SUM(C787:C787))</f>
        <v>10000</v>
      </c>
      <c r="D94" s="136">
        <f>(SUM(D787:D787))</f>
        <v>2600</v>
      </c>
      <c r="E94" s="1442">
        <f>(SUM(E787:E787))</f>
        <v>4000</v>
      </c>
      <c r="F94" s="167">
        <v>32020</v>
      </c>
      <c r="G94" s="634" t="s">
        <v>4710</v>
      </c>
      <c r="H94" s="9">
        <f>(SUM(H787:H787))</f>
        <v>1000</v>
      </c>
      <c r="I94" s="85">
        <f t="shared" si="251"/>
        <v>-75</v>
      </c>
      <c r="J94" s="9">
        <f t="shared" ref="J94:S94" si="287">(SUM(J787:J787))</f>
        <v>5000</v>
      </c>
      <c r="K94" s="9">
        <f t="shared" si="287"/>
        <v>5200</v>
      </c>
      <c r="L94" s="9">
        <f t="shared" si="287"/>
        <v>5400</v>
      </c>
      <c r="M94" s="9">
        <f t="shared" si="287"/>
        <v>5600</v>
      </c>
      <c r="N94" s="9">
        <f t="shared" si="287"/>
        <v>5800</v>
      </c>
      <c r="O94" s="9">
        <f t="shared" si="287"/>
        <v>6000</v>
      </c>
      <c r="P94" s="9">
        <f t="shared" si="287"/>
        <v>6200</v>
      </c>
      <c r="Q94" s="9">
        <f t="shared" si="287"/>
        <v>6400</v>
      </c>
      <c r="R94" s="9">
        <f t="shared" si="287"/>
        <v>6600</v>
      </c>
      <c r="S94" s="47">
        <f t="shared" si="287"/>
        <v>6800</v>
      </c>
    </row>
    <row r="95" spans="1:21" x14ac:dyDescent="0.2">
      <c r="A95" s="45">
        <f>ROUND(SUM(A789:A789),-3)</f>
        <v>23000</v>
      </c>
      <c r="B95" s="9">
        <f>SUM(B789:B789)</f>
        <v>64700</v>
      </c>
      <c r="C95" s="136">
        <f>SUM(C789:C789)</f>
        <v>27500</v>
      </c>
      <c r="D95" s="136">
        <f>SUM(D789:D789)</f>
        <v>61800</v>
      </c>
      <c r="E95" s="1442">
        <f t="shared" ref="E95" si="288">SUM(E789:E789)</f>
        <v>64300</v>
      </c>
      <c r="F95" s="167">
        <v>32020</v>
      </c>
      <c r="G95" s="257" t="s">
        <v>619</v>
      </c>
      <c r="H95" s="9">
        <f t="shared" ref="H95:P95" si="289">SUM(H789:H789)</f>
        <v>29500</v>
      </c>
      <c r="I95" s="85">
        <f t="shared" si="251"/>
        <v>-54.121306376360813</v>
      </c>
      <c r="J95" s="9">
        <f t="shared" si="289"/>
        <v>30200</v>
      </c>
      <c r="K95" s="9">
        <f t="shared" si="289"/>
        <v>31000</v>
      </c>
      <c r="L95" s="9">
        <f t="shared" si="289"/>
        <v>31800</v>
      </c>
      <c r="M95" s="9">
        <f t="shared" si="289"/>
        <v>32600</v>
      </c>
      <c r="N95" s="9">
        <f t="shared" si="289"/>
        <v>33500</v>
      </c>
      <c r="O95" s="9">
        <f t="shared" si="289"/>
        <v>34400</v>
      </c>
      <c r="P95" s="9">
        <f t="shared" si="289"/>
        <v>35300</v>
      </c>
      <c r="Q95" s="9">
        <f t="shared" ref="Q95" si="290">SUM(Q789:Q789)</f>
        <v>36200</v>
      </c>
      <c r="R95" s="9">
        <f t="shared" ref="R95" si="291">SUM(R789:R789)</f>
        <v>37200</v>
      </c>
      <c r="S95" s="47">
        <f t="shared" ref="S95" si="292">SUM(S789:S789)</f>
        <v>38200</v>
      </c>
    </row>
    <row r="96" spans="1:21" x14ac:dyDescent="0.2">
      <c r="A96" s="45"/>
      <c r="B96" s="9"/>
      <c r="E96" s="1442"/>
      <c r="F96" s="167"/>
      <c r="G96" s="257"/>
      <c r="H96" s="9"/>
      <c r="I96" s="85"/>
      <c r="J96" s="9"/>
      <c r="K96" s="9"/>
      <c r="L96" s="9"/>
      <c r="M96" s="9"/>
      <c r="N96" s="9"/>
      <c r="O96" s="9"/>
      <c r="P96" s="9"/>
      <c r="Q96" s="9"/>
      <c r="R96" s="9"/>
      <c r="S96" s="47"/>
    </row>
    <row r="97" spans="1:21" x14ac:dyDescent="0.2">
      <c r="A97" s="45"/>
      <c r="B97" s="9"/>
      <c r="E97" s="1442"/>
      <c r="F97" s="167"/>
      <c r="G97" s="260" t="s">
        <v>2125</v>
      </c>
      <c r="H97" s="9"/>
      <c r="I97" s="85"/>
      <c r="J97" s="9"/>
      <c r="K97" s="9"/>
      <c r="L97" s="9"/>
      <c r="M97" s="9"/>
      <c r="N97" s="9"/>
      <c r="O97" s="9"/>
      <c r="P97" s="9"/>
      <c r="Q97" s="9"/>
      <c r="R97" s="9"/>
      <c r="S97" s="47"/>
    </row>
    <row r="98" spans="1:21" x14ac:dyDescent="0.2">
      <c r="A98" s="45">
        <f>ROUND(SUM(A790:A794),-3)</f>
        <v>21000</v>
      </c>
      <c r="B98" s="9">
        <f>SUM(B790:B794)</f>
        <v>5300</v>
      </c>
      <c r="C98" s="136">
        <f>SUM(C790:C794)</f>
        <v>22000</v>
      </c>
      <c r="D98" s="136">
        <f>SUM(D790:D794)</f>
        <v>7800</v>
      </c>
      <c r="E98" s="1442">
        <f>SUM(E790:E794)</f>
        <v>18900</v>
      </c>
      <c r="F98" s="167">
        <v>32021</v>
      </c>
      <c r="G98" s="257" t="s">
        <v>2018</v>
      </c>
      <c r="H98" s="9">
        <f t="shared" ref="H98:Q98" si="293">SUM(H790:H794)</f>
        <v>10000</v>
      </c>
      <c r="I98" s="85">
        <f>IF(E98=H98,0,IF(E98=0,100,(H98-E98)/E98*100))</f>
        <v>-47.089947089947088</v>
      </c>
      <c r="J98" s="9">
        <f t="shared" si="293"/>
        <v>10500</v>
      </c>
      <c r="K98" s="9">
        <f t="shared" si="293"/>
        <v>11000</v>
      </c>
      <c r="L98" s="9">
        <f t="shared" si="293"/>
        <v>11500</v>
      </c>
      <c r="M98" s="9">
        <f t="shared" si="293"/>
        <v>12000</v>
      </c>
      <c r="N98" s="9">
        <f t="shared" si="293"/>
        <v>12500</v>
      </c>
      <c r="O98" s="9">
        <f t="shared" si="293"/>
        <v>13000</v>
      </c>
      <c r="P98" s="9">
        <f t="shared" si="293"/>
        <v>13600</v>
      </c>
      <c r="Q98" s="9">
        <f t="shared" si="293"/>
        <v>14200</v>
      </c>
      <c r="R98" s="9">
        <f t="shared" ref="R98" si="294">SUM(R790:R794)</f>
        <v>14800</v>
      </c>
      <c r="S98" s="47">
        <f t="shared" ref="S98" si="295">SUM(S790:S794)</f>
        <v>15400</v>
      </c>
    </row>
    <row r="99" spans="1:21" x14ac:dyDescent="0.2">
      <c r="A99" s="45">
        <f>ROUND(SUM(A795:A795),-3)</f>
        <v>41000</v>
      </c>
      <c r="B99" s="9">
        <f>SUM(B795:B795)</f>
        <v>50600</v>
      </c>
      <c r="C99" s="136">
        <f>SUM(C795:C795)</f>
        <v>62000</v>
      </c>
      <c r="D99" s="136">
        <f>SUM(D795:D795)</f>
        <v>72800</v>
      </c>
      <c r="E99" s="1442">
        <f t="shared" ref="E99" si="296">SUM(E795:E795)</f>
        <v>79200</v>
      </c>
      <c r="F99" s="167">
        <v>32021</v>
      </c>
      <c r="G99" s="634" t="s">
        <v>3044</v>
      </c>
      <c r="H99" s="9">
        <f t="shared" ref="H99:O99" si="297">SUM(H795:H795)</f>
        <v>71000</v>
      </c>
      <c r="I99" s="85">
        <f>IF(E99=H99,0,IF(E99=0,100,(H99-E99)/E99*100))</f>
        <v>-10.353535353535353</v>
      </c>
      <c r="J99" s="9">
        <f t="shared" si="297"/>
        <v>72700</v>
      </c>
      <c r="K99" s="9">
        <f t="shared" si="297"/>
        <v>74600</v>
      </c>
      <c r="L99" s="9">
        <f t="shared" si="297"/>
        <v>76500</v>
      </c>
      <c r="M99" s="9">
        <f t="shared" si="297"/>
        <v>78500</v>
      </c>
      <c r="N99" s="9">
        <f t="shared" si="297"/>
        <v>80500</v>
      </c>
      <c r="O99" s="9">
        <f t="shared" si="297"/>
        <v>82600</v>
      </c>
      <c r="P99" s="9">
        <f t="shared" ref="P99:Q99" si="298">SUM(P795:P795)</f>
        <v>84700</v>
      </c>
      <c r="Q99" s="9">
        <f t="shared" si="298"/>
        <v>86900</v>
      </c>
      <c r="R99" s="9">
        <f t="shared" ref="R99" si="299">SUM(R795:R795)</f>
        <v>89100</v>
      </c>
      <c r="S99" s="47">
        <f t="shared" ref="S99" si="300">SUM(S795:S795)</f>
        <v>91400</v>
      </c>
    </row>
    <row r="100" spans="1:21" x14ac:dyDescent="0.2">
      <c r="A100" s="45"/>
      <c r="B100" s="9"/>
      <c r="E100" s="1442"/>
      <c r="F100" s="167"/>
      <c r="G100" s="420"/>
      <c r="H100" s="9"/>
      <c r="I100" s="85"/>
      <c r="J100" s="9"/>
      <c r="K100" s="9"/>
      <c r="L100" s="9"/>
      <c r="M100" s="9"/>
      <c r="N100" s="9"/>
      <c r="O100" s="9"/>
      <c r="P100" s="9"/>
      <c r="Q100" s="9"/>
      <c r="R100" s="9"/>
      <c r="S100" s="47"/>
    </row>
    <row r="101" spans="1:21" x14ac:dyDescent="0.2">
      <c r="A101" s="45"/>
      <c r="B101" s="9"/>
      <c r="E101" s="1442"/>
      <c r="F101" s="167"/>
      <c r="G101" s="421" t="s">
        <v>2638</v>
      </c>
      <c r="H101" s="9"/>
      <c r="I101" s="85"/>
      <c r="J101" s="9"/>
      <c r="K101" s="9"/>
      <c r="L101" s="9"/>
      <c r="M101" s="9"/>
      <c r="N101" s="9"/>
      <c r="O101" s="9"/>
      <c r="P101" s="9"/>
      <c r="Q101" s="9"/>
      <c r="R101" s="9"/>
      <c r="S101" s="47"/>
    </row>
    <row r="102" spans="1:21" x14ac:dyDescent="0.2">
      <c r="A102" s="45">
        <f>ROUND(A797,-3)</f>
        <v>18000</v>
      </c>
      <c r="B102" s="9">
        <f t="shared" ref="B102:E103" si="301">B797</f>
        <v>0</v>
      </c>
      <c r="C102" s="136">
        <f t="shared" si="301"/>
        <v>99900</v>
      </c>
      <c r="D102" s="136">
        <f t="shared" si="301"/>
        <v>101500</v>
      </c>
      <c r="E102" s="1442">
        <f t="shared" si="301"/>
        <v>103500</v>
      </c>
      <c r="F102" s="167">
        <v>32021</v>
      </c>
      <c r="G102" s="257" t="s">
        <v>751</v>
      </c>
      <c r="H102" s="9">
        <f t="shared" ref="H102:O102" si="302">H797</f>
        <v>102000</v>
      </c>
      <c r="I102" s="85">
        <f>IF(E102=H102,0,IF(E102=0,100,(H102-E102)/E102*100))</f>
        <v>-1.4492753623188406</v>
      </c>
      <c r="J102" s="9">
        <f t="shared" si="302"/>
        <v>104100</v>
      </c>
      <c r="K102" s="9">
        <f t="shared" si="302"/>
        <v>106200</v>
      </c>
      <c r="L102" s="9">
        <f t="shared" si="302"/>
        <v>108400</v>
      </c>
      <c r="M102" s="9">
        <f t="shared" si="302"/>
        <v>110600</v>
      </c>
      <c r="N102" s="9">
        <f t="shared" si="302"/>
        <v>112900</v>
      </c>
      <c r="O102" s="9">
        <f t="shared" si="302"/>
        <v>115200</v>
      </c>
      <c r="P102" s="9">
        <f t="shared" ref="P102:Q102" si="303">P797</f>
        <v>117600</v>
      </c>
      <c r="Q102" s="9">
        <f t="shared" si="303"/>
        <v>120000</v>
      </c>
      <c r="R102" s="9">
        <f t="shared" ref="R102" si="304">R797</f>
        <v>122400</v>
      </c>
      <c r="S102" s="47">
        <f t="shared" ref="S102" si="305">S797</f>
        <v>124900</v>
      </c>
    </row>
    <row r="103" spans="1:21" x14ac:dyDescent="0.2">
      <c r="A103" s="45">
        <f>ROUND(A798,-3)</f>
        <v>173000</v>
      </c>
      <c r="B103" s="9">
        <f t="shared" si="301"/>
        <v>700</v>
      </c>
      <c r="C103" s="136">
        <f t="shared" si="301"/>
        <v>0</v>
      </c>
      <c r="D103" s="136">
        <f t="shared" si="301"/>
        <v>0</v>
      </c>
      <c r="E103" s="1442">
        <f t="shared" si="301"/>
        <v>0</v>
      </c>
      <c r="F103" s="167">
        <v>32021</v>
      </c>
      <c r="G103" s="420" t="s">
        <v>2737</v>
      </c>
      <c r="H103" s="9">
        <f t="shared" ref="H103:O103" si="306">H798</f>
        <v>0</v>
      </c>
      <c r="I103" s="85">
        <f>IF(E103=H103,0,IF(E103=0,100,(H103-E103)/E103*100))</f>
        <v>0</v>
      </c>
      <c r="J103" s="9">
        <f t="shared" si="306"/>
        <v>0</v>
      </c>
      <c r="K103" s="9">
        <f t="shared" si="306"/>
        <v>0</v>
      </c>
      <c r="L103" s="9">
        <f t="shared" si="306"/>
        <v>0</v>
      </c>
      <c r="M103" s="9">
        <f t="shared" si="306"/>
        <v>0</v>
      </c>
      <c r="N103" s="9">
        <f t="shared" si="306"/>
        <v>0</v>
      </c>
      <c r="O103" s="9">
        <f t="shared" si="306"/>
        <v>0</v>
      </c>
      <c r="P103" s="9">
        <f t="shared" ref="P103:Q103" si="307">P798</f>
        <v>0</v>
      </c>
      <c r="Q103" s="9">
        <f t="shared" si="307"/>
        <v>0</v>
      </c>
      <c r="R103" s="9">
        <f t="shared" ref="R103" si="308">R798</f>
        <v>0</v>
      </c>
      <c r="S103" s="47">
        <f t="shared" ref="S103" si="309">S798</f>
        <v>0</v>
      </c>
    </row>
    <row r="104" spans="1:21" ht="13.5" thickBot="1" x14ac:dyDescent="0.25">
      <c r="A104" s="45"/>
      <c r="B104" s="9"/>
      <c r="E104" s="1514"/>
      <c r="F104" s="167"/>
      <c r="G104" s="257"/>
      <c r="H104" s="9"/>
      <c r="I104" s="85"/>
      <c r="J104" s="9"/>
      <c r="K104" s="9"/>
      <c r="L104" s="9"/>
      <c r="M104" s="9"/>
      <c r="N104" s="9"/>
      <c r="O104" s="9"/>
      <c r="P104" s="9"/>
      <c r="Q104" s="9"/>
      <c r="R104" s="9"/>
      <c r="S104" s="47"/>
    </row>
    <row r="105" spans="1:21" s="39" customFormat="1" x14ac:dyDescent="0.2">
      <c r="A105" s="545">
        <f>SUM(A86:A104)</f>
        <v>2431000</v>
      </c>
      <c r="B105" s="16">
        <f>SUM(B86:B104)</f>
        <v>2053400</v>
      </c>
      <c r="C105" s="16">
        <f>SUM(C86:C104)</f>
        <v>2505100</v>
      </c>
      <c r="D105" s="16">
        <f>SUM(D86:D104)</f>
        <v>2621900</v>
      </c>
      <c r="E105" s="323">
        <f t="shared" ref="E105" si="310">SUM(E86:E104)</f>
        <v>2655900</v>
      </c>
      <c r="F105" s="126"/>
      <c r="G105" s="267" t="s">
        <v>556</v>
      </c>
      <c r="H105" s="16">
        <f t="shared" ref="H105:P105" si="311">SUM(H86:H104)</f>
        <v>2603800</v>
      </c>
      <c r="I105" s="127">
        <f>IF(E105=H105,0,IF(E105=0,100,(H105-E105)/E105*100))</f>
        <v>-1.9616702436085696</v>
      </c>
      <c r="J105" s="16">
        <f t="shared" si="311"/>
        <v>2752100</v>
      </c>
      <c r="K105" s="16">
        <f t="shared" si="311"/>
        <v>2816700</v>
      </c>
      <c r="L105" s="16">
        <f t="shared" si="311"/>
        <v>2882500</v>
      </c>
      <c r="M105" s="16">
        <f t="shared" si="311"/>
        <v>2950000</v>
      </c>
      <c r="N105" s="16">
        <f t="shared" si="311"/>
        <v>3019400</v>
      </c>
      <c r="O105" s="16">
        <f t="shared" si="311"/>
        <v>3090200</v>
      </c>
      <c r="P105" s="16">
        <f t="shared" si="311"/>
        <v>3162700</v>
      </c>
      <c r="Q105" s="16">
        <f t="shared" ref="Q105" si="312">SUM(Q86:Q104)</f>
        <v>3236800</v>
      </c>
      <c r="R105" s="16">
        <f t="shared" ref="R105" si="313">SUM(R86:R104)</f>
        <v>3312500</v>
      </c>
      <c r="S105" s="2342">
        <f t="shared" ref="S105" si="314">SUM(S86:S104)</f>
        <v>3389900</v>
      </c>
      <c r="U105" s="34"/>
    </row>
    <row r="106" spans="1:21" x14ac:dyDescent="0.2">
      <c r="A106" s="45"/>
      <c r="B106" s="9"/>
      <c r="E106" s="1442"/>
      <c r="F106" s="167"/>
      <c r="G106" s="257"/>
      <c r="H106" s="9"/>
      <c r="I106" s="85"/>
      <c r="J106" s="9"/>
      <c r="K106" s="9"/>
      <c r="L106" s="9"/>
      <c r="M106" s="9"/>
      <c r="N106" s="9"/>
      <c r="O106" s="9"/>
      <c r="P106" s="9"/>
      <c r="Q106" s="9"/>
      <c r="R106" s="9"/>
      <c r="S106" s="47"/>
    </row>
    <row r="107" spans="1:21" s="39" customFormat="1" x14ac:dyDescent="0.2">
      <c r="A107" s="544">
        <f>A81-A105</f>
        <v>-2071000</v>
      </c>
      <c r="B107" s="21">
        <f>B81-B105</f>
        <v>-1745100</v>
      </c>
      <c r="C107" s="139">
        <f>C81-C105</f>
        <v>-2183300</v>
      </c>
      <c r="D107" s="139">
        <f>D81-D105</f>
        <v>-2367500</v>
      </c>
      <c r="E107" s="143">
        <f t="shared" ref="E107" si="315">E81-E105</f>
        <v>-2247300</v>
      </c>
      <c r="F107" s="173"/>
      <c r="G107" s="361" t="s">
        <v>1002</v>
      </c>
      <c r="H107" s="21">
        <f t="shared" ref="H107:P107" si="316">H81-H105</f>
        <v>-2308200</v>
      </c>
      <c r="I107" s="126">
        <f>IF(E107=H107,0,IF(E107=0,100,(H107-E107)/E107*100))</f>
        <v>2.7099185689494059</v>
      </c>
      <c r="J107" s="21">
        <f t="shared" si="316"/>
        <v>-2483000</v>
      </c>
      <c r="K107" s="21">
        <f t="shared" si="316"/>
        <v>-2540500</v>
      </c>
      <c r="L107" s="21">
        <f t="shared" si="316"/>
        <v>-2599000</v>
      </c>
      <c r="M107" s="21">
        <f t="shared" si="316"/>
        <v>-2659100</v>
      </c>
      <c r="N107" s="21">
        <f t="shared" si="316"/>
        <v>-2720900</v>
      </c>
      <c r="O107" s="21">
        <f t="shared" si="316"/>
        <v>-2783900</v>
      </c>
      <c r="P107" s="21">
        <f t="shared" si="316"/>
        <v>-2848500</v>
      </c>
      <c r="Q107" s="21">
        <f t="shared" ref="Q107" si="317">Q81-Q105</f>
        <v>-2914400</v>
      </c>
      <c r="R107" s="21">
        <f t="shared" ref="R107" si="318">R81-R105</f>
        <v>-2981700</v>
      </c>
      <c r="S107" s="86">
        <f t="shared" ref="S107" si="319">S81-S105</f>
        <v>-3050500</v>
      </c>
      <c r="U107" s="34"/>
    </row>
    <row r="108" spans="1:21" x14ac:dyDescent="0.2">
      <c r="A108" s="45">
        <f>ROUND(SUM(A102:A103),-3)</f>
        <v>191000</v>
      </c>
      <c r="B108" s="9">
        <f>SUM(B102:B103)</f>
        <v>700</v>
      </c>
      <c r="C108" s="136">
        <f>SUM(C102:C103)</f>
        <v>99900</v>
      </c>
      <c r="D108" s="136">
        <f>SUM(D102:D103)</f>
        <v>101500</v>
      </c>
      <c r="E108" s="144">
        <f t="shared" ref="E108" si="320">SUM(E102:E103)</f>
        <v>103500</v>
      </c>
      <c r="F108" s="167"/>
      <c r="G108" s="423" t="s">
        <v>1943</v>
      </c>
      <c r="H108" s="9">
        <f t="shared" ref="H108:O108" si="321">SUM(H102:H103)</f>
        <v>102000</v>
      </c>
      <c r="I108" s="85">
        <f>IF(E108=H108,0,IF(E108=0,100,(H108-E108)/E108*100))</f>
        <v>-1.4492753623188406</v>
      </c>
      <c r="J108" s="9">
        <f t="shared" si="321"/>
        <v>104100</v>
      </c>
      <c r="K108" s="9">
        <f t="shared" si="321"/>
        <v>106200</v>
      </c>
      <c r="L108" s="9">
        <f t="shared" si="321"/>
        <v>108400</v>
      </c>
      <c r="M108" s="9">
        <f t="shared" si="321"/>
        <v>110600</v>
      </c>
      <c r="N108" s="9">
        <f t="shared" si="321"/>
        <v>112900</v>
      </c>
      <c r="O108" s="9">
        <f t="shared" si="321"/>
        <v>115200</v>
      </c>
      <c r="P108" s="9">
        <f t="shared" ref="P108:Q108" si="322">SUM(P102:P103)</f>
        <v>117600</v>
      </c>
      <c r="Q108" s="9">
        <f t="shared" si="322"/>
        <v>120000</v>
      </c>
      <c r="R108" s="9">
        <f t="shared" ref="R108" si="323">SUM(R102:R103)</f>
        <v>122400</v>
      </c>
      <c r="S108" s="47">
        <f t="shared" ref="S108" si="324">SUM(S102:S103)</f>
        <v>124900</v>
      </c>
    </row>
    <row r="109" spans="1:21" s="39" customFormat="1" x14ac:dyDescent="0.2">
      <c r="A109" s="543">
        <f>A107+A108</f>
        <v>-1880000</v>
      </c>
      <c r="B109" s="280">
        <f>B107+B108</f>
        <v>-1744400</v>
      </c>
      <c r="C109" s="280">
        <f>C107+C108</f>
        <v>-2083400</v>
      </c>
      <c r="D109" s="280">
        <f>D107+D108</f>
        <v>-2266000</v>
      </c>
      <c r="E109" s="515">
        <f t="shared" ref="E109" si="325">E107+E108</f>
        <v>-2143800</v>
      </c>
      <c r="F109" s="372"/>
      <c r="G109" s="363" t="s">
        <v>1659</v>
      </c>
      <c r="H109" s="280">
        <f t="shared" ref="H109:O109" si="326">H107+H108</f>
        <v>-2206200</v>
      </c>
      <c r="I109" s="278">
        <f>IF(E109=H109,0,IF(E109=0,100,(H109-E109)/E109*100))</f>
        <v>2.9107192835152533</v>
      </c>
      <c r="J109" s="280">
        <f t="shared" si="326"/>
        <v>-2378900</v>
      </c>
      <c r="K109" s="280">
        <f t="shared" si="326"/>
        <v>-2434300</v>
      </c>
      <c r="L109" s="280">
        <f t="shared" si="326"/>
        <v>-2490600</v>
      </c>
      <c r="M109" s="280">
        <f t="shared" si="326"/>
        <v>-2548500</v>
      </c>
      <c r="N109" s="280">
        <f t="shared" si="326"/>
        <v>-2608000</v>
      </c>
      <c r="O109" s="280">
        <f t="shared" si="326"/>
        <v>-2668700</v>
      </c>
      <c r="P109" s="280">
        <f t="shared" ref="P109:Q109" si="327">P107+P108</f>
        <v>-2730900</v>
      </c>
      <c r="Q109" s="280">
        <f t="shared" si="327"/>
        <v>-2794400</v>
      </c>
      <c r="R109" s="280">
        <f t="shared" ref="R109" si="328">R107+R108</f>
        <v>-2859300</v>
      </c>
      <c r="S109" s="2343">
        <f t="shared" ref="S109" si="329">S107+S108</f>
        <v>-2925600</v>
      </c>
      <c r="U109" s="34"/>
    </row>
    <row r="110" spans="1:21" ht="13.5" thickBot="1" x14ac:dyDescent="0.25">
      <c r="A110" s="544"/>
      <c r="B110" s="21"/>
      <c r="C110" s="138"/>
      <c r="D110" s="138"/>
      <c r="E110" s="143"/>
      <c r="F110" s="167"/>
      <c r="G110" s="260"/>
      <c r="H110" s="9"/>
      <c r="I110" s="126"/>
      <c r="J110" s="9"/>
      <c r="K110" s="9"/>
      <c r="L110" s="9"/>
      <c r="M110" s="9"/>
      <c r="N110" s="9"/>
      <c r="O110" s="9"/>
      <c r="P110" s="9"/>
      <c r="Q110" s="9"/>
      <c r="R110" s="9"/>
      <c r="S110" s="61"/>
    </row>
    <row r="111" spans="1:21" ht="13.5" thickTop="1" x14ac:dyDescent="0.2">
      <c r="A111" s="1434"/>
      <c r="B111" s="109"/>
      <c r="C111" s="140"/>
      <c r="D111" s="140"/>
      <c r="E111" s="142"/>
      <c r="F111" s="254"/>
      <c r="G111" s="258"/>
      <c r="H111" s="74"/>
      <c r="I111" s="352"/>
      <c r="J111" s="74"/>
      <c r="K111" s="74"/>
      <c r="L111" s="74"/>
      <c r="M111" s="74"/>
      <c r="N111" s="74"/>
      <c r="O111" s="74"/>
      <c r="P111" s="74"/>
      <c r="Q111" s="74"/>
      <c r="R111" s="74"/>
      <c r="S111" s="110"/>
    </row>
    <row r="112" spans="1:21" x14ac:dyDescent="0.2">
      <c r="A112" s="544"/>
      <c r="B112" s="21"/>
      <c r="C112" s="139"/>
      <c r="D112" s="139"/>
      <c r="E112" s="143"/>
      <c r="F112" s="167"/>
      <c r="G112" s="361" t="s">
        <v>192</v>
      </c>
      <c r="H112" s="9"/>
      <c r="I112" s="126"/>
      <c r="J112" s="9"/>
      <c r="K112" s="9"/>
      <c r="L112" s="9"/>
      <c r="M112" s="9"/>
      <c r="N112" s="9"/>
      <c r="O112" s="9"/>
      <c r="P112" s="9"/>
      <c r="Q112" s="9"/>
      <c r="R112" s="9"/>
      <c r="S112" s="61"/>
    </row>
    <row r="113" spans="1:21" x14ac:dyDescent="0.2">
      <c r="A113" s="544"/>
      <c r="B113" s="21"/>
      <c r="C113" s="139"/>
      <c r="D113" s="139"/>
      <c r="E113" s="143"/>
      <c r="F113" s="167"/>
      <c r="G113" s="260"/>
      <c r="H113" s="9"/>
      <c r="I113" s="126"/>
      <c r="J113" s="9"/>
      <c r="K113" s="9"/>
      <c r="L113" s="9"/>
      <c r="M113" s="9"/>
      <c r="N113" s="9"/>
      <c r="O113" s="9"/>
      <c r="P113" s="9"/>
      <c r="Q113" s="9"/>
      <c r="R113" s="9"/>
      <c r="S113" s="61"/>
    </row>
    <row r="114" spans="1:21" x14ac:dyDescent="0.2">
      <c r="A114" s="45">
        <f t="shared" ref="A114:A118" si="330">ROUND(A808,-3)</f>
        <v>0</v>
      </c>
      <c r="B114" s="9">
        <f t="shared" ref="B114:C118" si="331">B808</f>
        <v>0</v>
      </c>
      <c r="C114" s="136">
        <f t="shared" si="331"/>
        <v>0</v>
      </c>
      <c r="D114" s="136">
        <f>D808</f>
        <v>0</v>
      </c>
      <c r="E114" s="144">
        <f t="shared" ref="E114" si="332">E808</f>
        <v>0</v>
      </c>
      <c r="F114" s="167"/>
      <c r="G114" s="257" t="s">
        <v>2848</v>
      </c>
      <c r="H114" s="9">
        <f t="shared" ref="H114:O114" si="333">H808</f>
        <v>0</v>
      </c>
      <c r="I114" s="85">
        <f>IF(E114=H114,0,IF(E114=0,100,(H114-E114)/E114*100))</f>
        <v>0</v>
      </c>
      <c r="J114" s="9">
        <f t="shared" si="333"/>
        <v>0</v>
      </c>
      <c r="K114" s="9">
        <f t="shared" si="333"/>
        <v>0</v>
      </c>
      <c r="L114" s="9">
        <f t="shared" si="333"/>
        <v>0</v>
      </c>
      <c r="M114" s="9">
        <f t="shared" si="333"/>
        <v>0</v>
      </c>
      <c r="N114" s="9">
        <f t="shared" si="333"/>
        <v>0</v>
      </c>
      <c r="O114" s="9">
        <f t="shared" si="333"/>
        <v>0</v>
      </c>
      <c r="P114" s="9">
        <f t="shared" ref="P114:Q114" si="334">P808</f>
        <v>0</v>
      </c>
      <c r="Q114" s="9">
        <f t="shared" si="334"/>
        <v>0</v>
      </c>
      <c r="R114" s="9">
        <f t="shared" ref="R114" si="335">R808</f>
        <v>0</v>
      </c>
      <c r="S114" s="47">
        <f t="shared" ref="S114" si="336">S808</f>
        <v>0</v>
      </c>
    </row>
    <row r="115" spans="1:21" x14ac:dyDescent="0.2">
      <c r="A115" s="45">
        <f t="shared" si="330"/>
        <v>0</v>
      </c>
      <c r="B115" s="9">
        <f t="shared" si="331"/>
        <v>74500</v>
      </c>
      <c r="C115" s="136">
        <f t="shared" si="331"/>
        <v>27700</v>
      </c>
      <c r="D115" s="136">
        <f>D809</f>
        <v>27000</v>
      </c>
      <c r="E115" s="144">
        <f t="shared" ref="E115" si="337">E809</f>
        <v>36600</v>
      </c>
      <c r="F115" s="167"/>
      <c r="G115" s="257" t="s">
        <v>1909</v>
      </c>
      <c r="H115" s="9">
        <f t="shared" ref="H115:O115" si="338">H809</f>
        <v>10500</v>
      </c>
      <c r="I115" s="85">
        <f>IF(E115=H115,0,IF(E115=0,100,(H115-E115)/E115*100))</f>
        <v>-71.311475409836063</v>
      </c>
      <c r="J115" s="9">
        <f t="shared" si="338"/>
        <v>10000</v>
      </c>
      <c r="K115" s="9">
        <f t="shared" si="338"/>
        <v>10000</v>
      </c>
      <c r="L115" s="9">
        <f t="shared" si="338"/>
        <v>10000</v>
      </c>
      <c r="M115" s="9">
        <f t="shared" si="338"/>
        <v>10000</v>
      </c>
      <c r="N115" s="9">
        <f t="shared" si="338"/>
        <v>10000</v>
      </c>
      <c r="O115" s="9">
        <f t="shared" si="338"/>
        <v>10000</v>
      </c>
      <c r="P115" s="9">
        <f t="shared" ref="P115:Q115" si="339">P809</f>
        <v>10000</v>
      </c>
      <c r="Q115" s="9">
        <f t="shared" si="339"/>
        <v>10000</v>
      </c>
      <c r="R115" s="9">
        <f t="shared" ref="R115" si="340">R809</f>
        <v>10000</v>
      </c>
      <c r="S115" s="47">
        <f t="shared" ref="S115" si="341">S809</f>
        <v>10000</v>
      </c>
    </row>
    <row r="116" spans="1:21" x14ac:dyDescent="0.2">
      <c r="A116" s="45">
        <f t="shared" si="330"/>
        <v>0</v>
      </c>
      <c r="B116" s="9">
        <f t="shared" si="331"/>
        <v>133000</v>
      </c>
      <c r="C116" s="136">
        <f t="shared" si="331"/>
        <v>12100</v>
      </c>
      <c r="D116" s="136">
        <f>D810</f>
        <v>0</v>
      </c>
      <c r="E116" s="144">
        <f t="shared" ref="E116" si="342">E810</f>
        <v>0</v>
      </c>
      <c r="F116" s="167"/>
      <c r="G116" s="257" t="s">
        <v>2309</v>
      </c>
      <c r="H116" s="9">
        <f t="shared" ref="H116:O116" si="343">H810</f>
        <v>0</v>
      </c>
      <c r="I116" s="85">
        <f>IF(E116=H116,0,IF(E116=0,100,(H116-E116)/E116*100))</f>
        <v>0</v>
      </c>
      <c r="J116" s="9">
        <f t="shared" si="343"/>
        <v>0</v>
      </c>
      <c r="K116" s="9">
        <f t="shared" si="343"/>
        <v>0</v>
      </c>
      <c r="L116" s="9">
        <f t="shared" si="343"/>
        <v>0</v>
      </c>
      <c r="M116" s="9">
        <f t="shared" si="343"/>
        <v>60000</v>
      </c>
      <c r="N116" s="9">
        <f t="shared" si="343"/>
        <v>0</v>
      </c>
      <c r="O116" s="9">
        <f t="shared" si="343"/>
        <v>0</v>
      </c>
      <c r="P116" s="9">
        <f t="shared" ref="P116:Q116" si="344">P810</f>
        <v>0</v>
      </c>
      <c r="Q116" s="9">
        <f t="shared" si="344"/>
        <v>0</v>
      </c>
      <c r="R116" s="9">
        <f t="shared" ref="R116" si="345">R810</f>
        <v>0</v>
      </c>
      <c r="S116" s="47">
        <f t="shared" ref="S116" si="346">S810</f>
        <v>0</v>
      </c>
    </row>
    <row r="117" spans="1:21" x14ac:dyDescent="0.2">
      <c r="A117" s="45">
        <f t="shared" si="330"/>
        <v>0</v>
      </c>
      <c r="B117" s="9">
        <f t="shared" si="331"/>
        <v>0</v>
      </c>
      <c r="C117" s="136">
        <f t="shared" si="331"/>
        <v>0</v>
      </c>
      <c r="D117" s="136">
        <f>D811</f>
        <v>0</v>
      </c>
      <c r="E117" s="144">
        <f t="shared" ref="E117" si="347">E811</f>
        <v>0</v>
      </c>
      <c r="F117" s="167"/>
      <c r="G117" s="257" t="s">
        <v>5847</v>
      </c>
      <c r="H117" s="9">
        <f t="shared" ref="H117:O117" si="348">H811</f>
        <v>0</v>
      </c>
      <c r="I117" s="85">
        <f>IF(E117=H117,0,IF(E117=0,100,(H117-E117)/E117*100))</f>
        <v>0</v>
      </c>
      <c r="J117" s="9">
        <f t="shared" si="348"/>
        <v>0</v>
      </c>
      <c r="K117" s="9">
        <f t="shared" si="348"/>
        <v>0</v>
      </c>
      <c r="L117" s="9">
        <f t="shared" si="348"/>
        <v>0</v>
      </c>
      <c r="M117" s="9">
        <f t="shared" si="348"/>
        <v>0</v>
      </c>
      <c r="N117" s="9">
        <f t="shared" si="348"/>
        <v>0</v>
      </c>
      <c r="O117" s="9">
        <f t="shared" si="348"/>
        <v>0</v>
      </c>
      <c r="P117" s="9">
        <f t="shared" ref="P117:Q117" si="349">P811</f>
        <v>0</v>
      </c>
      <c r="Q117" s="9">
        <f t="shared" si="349"/>
        <v>0</v>
      </c>
      <c r="R117" s="9">
        <f t="shared" ref="R117" si="350">R811</f>
        <v>0</v>
      </c>
      <c r="S117" s="47">
        <f t="shared" ref="S117" si="351">S811</f>
        <v>0</v>
      </c>
    </row>
    <row r="118" spans="1:21" x14ac:dyDescent="0.2">
      <c r="A118" s="45">
        <f t="shared" si="330"/>
        <v>0</v>
      </c>
      <c r="B118" s="9">
        <f t="shared" si="331"/>
        <v>0</v>
      </c>
      <c r="C118" s="136">
        <f t="shared" si="331"/>
        <v>0</v>
      </c>
      <c r="D118" s="136">
        <f>D812</f>
        <v>121100</v>
      </c>
      <c r="E118" s="144">
        <f t="shared" ref="E118" si="352">E812</f>
        <v>0</v>
      </c>
      <c r="F118" s="167"/>
      <c r="G118" s="257" t="s">
        <v>958</v>
      </c>
      <c r="H118" s="9">
        <f t="shared" ref="H118:O118" si="353">H812</f>
        <v>0</v>
      </c>
      <c r="I118" s="85">
        <f>IF(E118=H118,0,IF(E118=0,100,(H118-E118)/E118*100))</f>
        <v>0</v>
      </c>
      <c r="J118" s="9">
        <f t="shared" si="353"/>
        <v>0</v>
      </c>
      <c r="K118" s="9">
        <f t="shared" si="353"/>
        <v>0</v>
      </c>
      <c r="L118" s="9">
        <f t="shared" si="353"/>
        <v>60000</v>
      </c>
      <c r="M118" s="9">
        <f t="shared" si="353"/>
        <v>0</v>
      </c>
      <c r="N118" s="9">
        <f t="shared" si="353"/>
        <v>0</v>
      </c>
      <c r="O118" s="9">
        <f t="shared" si="353"/>
        <v>0</v>
      </c>
      <c r="P118" s="9">
        <f t="shared" ref="P118:Q118" si="354">P812</f>
        <v>0</v>
      </c>
      <c r="Q118" s="9">
        <f t="shared" si="354"/>
        <v>70000</v>
      </c>
      <c r="R118" s="9">
        <f t="shared" ref="R118" si="355">R812</f>
        <v>0</v>
      </c>
      <c r="S118" s="47">
        <f t="shared" ref="S118" si="356">S812</f>
        <v>0</v>
      </c>
    </row>
    <row r="119" spans="1:21" x14ac:dyDescent="0.2">
      <c r="A119" s="45"/>
      <c r="B119" s="9"/>
      <c r="E119" s="144"/>
      <c r="F119" s="167"/>
      <c r="G119" s="361"/>
      <c r="H119" s="9"/>
      <c r="I119" s="85"/>
      <c r="J119" s="9"/>
      <c r="K119" s="9"/>
      <c r="L119" s="9"/>
      <c r="M119" s="9"/>
      <c r="N119" s="9"/>
      <c r="O119" s="9"/>
      <c r="P119" s="9"/>
      <c r="Q119" s="9"/>
      <c r="R119" s="9"/>
      <c r="S119" s="47"/>
    </row>
    <row r="120" spans="1:21" s="39" customFormat="1" x14ac:dyDescent="0.2">
      <c r="A120" s="543">
        <f>A109-A114-A115+A116+A117-A118</f>
        <v>-1880000</v>
      </c>
      <c r="B120" s="280">
        <f>B109-B114-B115+B116+B117-B118</f>
        <v>-1685900</v>
      </c>
      <c r="C120" s="281">
        <f>C109-C114-C115+C116+C117-C118</f>
        <v>-2099000</v>
      </c>
      <c r="D120" s="281">
        <f>D109-D114-D115+D116+D117-D118</f>
        <v>-2414100</v>
      </c>
      <c r="E120" s="1513">
        <f t="shared" ref="E120" si="357">E109-E114-E115+E116+E117-E118</f>
        <v>-2180400</v>
      </c>
      <c r="F120" s="372"/>
      <c r="G120" s="363" t="s">
        <v>2447</v>
      </c>
      <c r="H120" s="280">
        <f t="shared" ref="H120:O120" si="358">H109-H114-H115+H116+H117-H118</f>
        <v>-2216700</v>
      </c>
      <c r="I120" s="278">
        <f>IF(E120=H120,0,IF(E120=0,100,(H120-E120)/E120*100))</f>
        <v>1.6648321408915794</v>
      </c>
      <c r="J120" s="280">
        <f t="shared" si="358"/>
        <v>-2388900</v>
      </c>
      <c r="K120" s="280">
        <f t="shared" si="358"/>
        <v>-2444300</v>
      </c>
      <c r="L120" s="280">
        <f t="shared" si="358"/>
        <v>-2560600</v>
      </c>
      <c r="M120" s="280">
        <f t="shared" si="358"/>
        <v>-2498500</v>
      </c>
      <c r="N120" s="280">
        <f t="shared" si="358"/>
        <v>-2618000</v>
      </c>
      <c r="O120" s="280">
        <f t="shared" si="358"/>
        <v>-2678700</v>
      </c>
      <c r="P120" s="280">
        <f t="shared" ref="P120:Q120" si="359">P109-P114-P115+P116+P117-P118</f>
        <v>-2740900</v>
      </c>
      <c r="Q120" s="280">
        <f t="shared" si="359"/>
        <v>-2874400</v>
      </c>
      <c r="R120" s="280">
        <f t="shared" ref="R120" si="360">R109-R114-R115+R116+R117-R118</f>
        <v>-2869300</v>
      </c>
      <c r="S120" s="2343">
        <f t="shared" ref="S120" si="361">S109-S114-S115+S116+S117-S118</f>
        <v>-2935600</v>
      </c>
      <c r="U120" s="34"/>
    </row>
    <row r="121" spans="1:21" ht="13.5" thickBot="1" x14ac:dyDescent="0.25">
      <c r="A121" s="432"/>
      <c r="B121" s="37"/>
      <c r="C121" s="141"/>
      <c r="D121" s="141"/>
      <c r="E121" s="1437"/>
      <c r="F121" s="166"/>
      <c r="G121" s="259"/>
      <c r="H121" s="23"/>
      <c r="I121" s="275"/>
      <c r="J121" s="23"/>
      <c r="K121" s="23"/>
      <c r="L121" s="23"/>
      <c r="M121" s="23"/>
      <c r="N121" s="23"/>
      <c r="O121" s="23"/>
      <c r="P121" s="23"/>
      <c r="Q121" s="23"/>
      <c r="R121" s="23"/>
      <c r="S121" s="112"/>
    </row>
    <row r="122" spans="1:21" ht="14.25" thickTop="1" thickBot="1" x14ac:dyDescent="0.25">
      <c r="A122" s="27"/>
      <c r="B122" s="27"/>
      <c r="C122" s="27"/>
      <c r="D122" s="27"/>
      <c r="E122" s="27"/>
      <c r="F122" s="185"/>
      <c r="G122" s="27"/>
      <c r="H122" s="27"/>
      <c r="I122" s="2234"/>
      <c r="J122" s="27"/>
      <c r="K122" s="46"/>
      <c r="L122" s="46"/>
      <c r="M122" s="46"/>
      <c r="N122" s="46"/>
      <c r="O122" s="46"/>
      <c r="P122" s="46"/>
      <c r="Q122" s="46"/>
      <c r="R122" s="46"/>
      <c r="S122" s="46"/>
    </row>
    <row r="123" spans="1:21" s="38" customFormat="1" ht="18.75" customHeight="1" thickTop="1" thickBot="1" x14ac:dyDescent="0.3">
      <c r="A123" s="2588" t="s">
        <v>3787</v>
      </c>
      <c r="B123" s="2589"/>
      <c r="C123" s="2589"/>
      <c r="D123" s="2589"/>
      <c r="E123" s="2589"/>
      <c r="F123" s="2589"/>
      <c r="G123" s="2589"/>
      <c r="H123" s="2589"/>
      <c r="I123" s="2589"/>
      <c r="J123" s="2589"/>
      <c r="K123" s="2589"/>
      <c r="L123" s="2589"/>
      <c r="M123" s="2589"/>
      <c r="N123" s="2589"/>
      <c r="O123" s="2589"/>
      <c r="P123" s="2589"/>
      <c r="Q123" s="2589"/>
      <c r="R123" s="2589"/>
      <c r="S123" s="2590"/>
      <c r="U123" s="34"/>
    </row>
    <row r="124" spans="1:21" s="39" customFormat="1" ht="13.5" thickBot="1" x14ac:dyDescent="0.25">
      <c r="A124" s="2591" t="s">
        <v>1824</v>
      </c>
      <c r="B124" s="2577"/>
      <c r="C124" s="2577"/>
      <c r="D124" s="2577"/>
      <c r="E124" s="2592"/>
      <c r="F124" s="127" t="s">
        <v>2616</v>
      </c>
      <c r="G124" s="127" t="s">
        <v>2213</v>
      </c>
      <c r="H124" s="2568" t="s">
        <v>2215</v>
      </c>
      <c r="I124" s="2568"/>
      <c r="J124" s="2568"/>
      <c r="K124" s="2568"/>
      <c r="L124" s="2568"/>
      <c r="M124" s="2568"/>
      <c r="N124" s="2568"/>
      <c r="O124" s="2568"/>
      <c r="P124" s="2568"/>
      <c r="Q124" s="2568"/>
      <c r="R124" s="2568"/>
      <c r="S124" s="2607"/>
      <c r="U124" s="34"/>
    </row>
    <row r="125" spans="1:21" ht="12.75" customHeight="1" thickBot="1" x14ac:dyDescent="0.25">
      <c r="A125" s="541" t="str">
        <f t="shared" ref="A125:F125" si="362">A72</f>
        <v>2012/13</v>
      </c>
      <c r="B125" s="28" t="str">
        <f t="shared" si="362"/>
        <v>2013/14</v>
      </c>
      <c r="C125" s="40" t="str">
        <f t="shared" si="362"/>
        <v>2014/15</v>
      </c>
      <c r="D125" s="40" t="str">
        <f>D72</f>
        <v>2015/16</v>
      </c>
      <c r="E125" s="40" t="str">
        <f t="shared" ref="E125" si="363">E72</f>
        <v>2016/17</v>
      </c>
      <c r="F125" s="40" t="str">
        <f t="shared" si="362"/>
        <v>ACCOUNT</v>
      </c>
      <c r="G125" s="41"/>
      <c r="H125" s="40" t="str">
        <f t="shared" ref="H125:P125" si="364">H72</f>
        <v>2017/18</v>
      </c>
      <c r="I125" s="1258" t="str">
        <f t="shared" ref="I125" si="365">I72</f>
        <v xml:space="preserve">% </v>
      </c>
      <c r="J125" s="40" t="str">
        <f t="shared" si="364"/>
        <v>2018/19</v>
      </c>
      <c r="K125" s="40" t="str">
        <f t="shared" si="364"/>
        <v>2019/20</v>
      </c>
      <c r="L125" s="40" t="str">
        <f t="shared" si="364"/>
        <v>2020/21</v>
      </c>
      <c r="M125" s="40" t="str">
        <f t="shared" si="364"/>
        <v>2021/22</v>
      </c>
      <c r="N125" s="40" t="str">
        <f t="shared" si="364"/>
        <v>2022/23</v>
      </c>
      <c r="O125" s="40" t="str">
        <f t="shared" si="364"/>
        <v>2023/24</v>
      </c>
      <c r="P125" s="1257" t="str">
        <f t="shared" si="364"/>
        <v>2024/25</v>
      </c>
      <c r="Q125" s="28" t="str">
        <f t="shared" ref="Q125" si="366">Q72</f>
        <v>2025/26</v>
      </c>
      <c r="R125" s="28" t="str">
        <f t="shared" ref="R125:S125" si="367">R72</f>
        <v>2026/27</v>
      </c>
      <c r="S125" s="1620" t="str">
        <f t="shared" si="367"/>
        <v>2027/28</v>
      </c>
    </row>
    <row r="126" spans="1:21" x14ac:dyDescent="0.2">
      <c r="A126" s="2338"/>
      <c r="B126" s="150"/>
      <c r="C126" s="150"/>
      <c r="D126" s="150"/>
      <c r="E126" s="150"/>
      <c r="F126" s="2046"/>
      <c r="G126" s="46"/>
      <c r="H126" s="150"/>
      <c r="I126" s="1395"/>
      <c r="J126" s="150"/>
      <c r="K126" s="150"/>
      <c r="L126" s="150"/>
      <c r="M126" s="150"/>
      <c r="N126" s="150"/>
      <c r="O126" s="151"/>
      <c r="P126" s="2070"/>
      <c r="Q126" s="151"/>
      <c r="R126" s="151"/>
      <c r="S126" s="2047"/>
    </row>
    <row r="127" spans="1:21" x14ac:dyDescent="0.2">
      <c r="A127" s="45"/>
      <c r="B127" s="9"/>
      <c r="C127" s="134"/>
      <c r="D127" s="134"/>
      <c r="E127" s="134"/>
      <c r="F127" s="167"/>
      <c r="G127" s="91" t="s">
        <v>1056</v>
      </c>
      <c r="H127" s="9"/>
      <c r="I127" s="85"/>
      <c r="J127" s="9"/>
      <c r="K127" s="9"/>
      <c r="L127" s="9"/>
      <c r="M127" s="9"/>
      <c r="N127" s="9"/>
      <c r="O127" s="9"/>
      <c r="P127" s="89"/>
      <c r="Q127" s="9"/>
      <c r="R127" s="9"/>
      <c r="S127" s="61"/>
    </row>
    <row r="128" spans="1:21" x14ac:dyDescent="0.2">
      <c r="A128" s="45"/>
      <c r="B128" s="9"/>
      <c r="C128" s="134"/>
      <c r="D128" s="134"/>
      <c r="E128" s="134"/>
      <c r="F128" s="167"/>
      <c r="G128" s="91"/>
      <c r="H128" s="9"/>
      <c r="I128" s="85"/>
      <c r="J128" s="9"/>
      <c r="K128" s="9"/>
      <c r="L128" s="9"/>
      <c r="M128" s="9"/>
      <c r="N128" s="9"/>
      <c r="O128" s="9"/>
      <c r="P128" s="89"/>
      <c r="Q128" s="9"/>
      <c r="R128" s="9"/>
      <c r="S128" s="61"/>
    </row>
    <row r="129" spans="1:21" x14ac:dyDescent="0.2">
      <c r="A129" s="45"/>
      <c r="B129" s="9"/>
      <c r="C129" s="134"/>
      <c r="D129" s="134"/>
      <c r="E129" s="134"/>
      <c r="F129" s="167"/>
      <c r="G129" s="92" t="s">
        <v>3653</v>
      </c>
      <c r="H129" s="9"/>
      <c r="I129" s="85"/>
      <c r="J129" s="9"/>
      <c r="K129" s="9"/>
      <c r="L129" s="9"/>
      <c r="M129" s="9"/>
      <c r="N129" s="9"/>
      <c r="O129" s="9"/>
      <c r="P129" s="89"/>
      <c r="Q129" s="9"/>
      <c r="R129" s="9"/>
      <c r="S129" s="61"/>
    </row>
    <row r="130" spans="1:21" x14ac:dyDescent="0.2">
      <c r="A130" s="45">
        <f>ROUND(SUM(A820:A822),-3)</f>
        <v>5000</v>
      </c>
      <c r="B130" s="9">
        <f>SUM(B820:B822)</f>
        <v>180100</v>
      </c>
      <c r="C130" s="134">
        <f>SUM(C820:C822)</f>
        <v>178300</v>
      </c>
      <c r="D130" s="134">
        <f>SUM(D820:D822)</f>
        <v>0</v>
      </c>
      <c r="E130" s="134">
        <f t="shared" ref="E130" si="368">SUM(E820:E822)</f>
        <v>0</v>
      </c>
      <c r="F130" s="167"/>
      <c r="G130" s="31" t="s">
        <v>3652</v>
      </c>
      <c r="H130" s="9">
        <f t="shared" ref="H130:P130" si="369">SUM(H820:H822)</f>
        <v>0</v>
      </c>
      <c r="I130" s="85">
        <f>IF(E130=H130,0,IF(E130=0,100,(H130-E130)/E130*100))</f>
        <v>0</v>
      </c>
      <c r="J130" s="9">
        <f t="shared" si="369"/>
        <v>0</v>
      </c>
      <c r="K130" s="9">
        <f t="shared" si="369"/>
        <v>0</v>
      </c>
      <c r="L130" s="9">
        <f t="shared" si="369"/>
        <v>0</v>
      </c>
      <c r="M130" s="9">
        <f t="shared" si="369"/>
        <v>0</v>
      </c>
      <c r="N130" s="9">
        <f t="shared" si="369"/>
        <v>0</v>
      </c>
      <c r="O130" s="9">
        <f t="shared" si="369"/>
        <v>0</v>
      </c>
      <c r="P130" s="89">
        <f t="shared" si="369"/>
        <v>0</v>
      </c>
      <c r="Q130" s="9">
        <f t="shared" ref="Q130" si="370">SUM(Q820:Q822)</f>
        <v>0</v>
      </c>
      <c r="R130" s="9">
        <f t="shared" ref="R130" si="371">SUM(R820:R822)</f>
        <v>0</v>
      </c>
      <c r="S130" s="47">
        <f t="shared" ref="S130" si="372">SUM(S820:S822)</f>
        <v>0</v>
      </c>
    </row>
    <row r="131" spans="1:21" ht="13.5" thickBot="1" x14ac:dyDescent="0.25">
      <c r="A131" s="45"/>
      <c r="B131" s="9"/>
      <c r="C131" s="134"/>
      <c r="D131" s="134"/>
      <c r="E131" s="134"/>
      <c r="F131" s="167"/>
      <c r="G131" s="46"/>
      <c r="H131" s="9"/>
      <c r="I131" s="85"/>
      <c r="J131" s="9"/>
      <c r="K131" s="9"/>
      <c r="L131" s="9"/>
      <c r="M131" s="9"/>
      <c r="N131" s="9"/>
      <c r="O131" s="9"/>
      <c r="P131" s="89"/>
      <c r="Q131" s="9"/>
      <c r="R131" s="9"/>
      <c r="S131" s="47"/>
    </row>
    <row r="132" spans="1:21" s="39" customFormat="1" x14ac:dyDescent="0.2">
      <c r="A132" s="545">
        <f>SUM(A130:A131)</f>
        <v>5000</v>
      </c>
      <c r="B132" s="16">
        <f>SUM(B130:B131)</f>
        <v>180100</v>
      </c>
      <c r="C132" s="145">
        <f>SUM(C131:C131)</f>
        <v>0</v>
      </c>
      <c r="D132" s="145">
        <f>SUM(D131:D131)</f>
        <v>0</v>
      </c>
      <c r="E132" s="145">
        <f t="shared" ref="E132" si="373">SUM(E131:E131)</f>
        <v>0</v>
      </c>
      <c r="F132" s="163"/>
      <c r="G132" s="1158" t="s">
        <v>2561</v>
      </c>
      <c r="H132" s="16">
        <f t="shared" ref="H132:O132" si="374">SUM(H131:H131)</f>
        <v>0</v>
      </c>
      <c r="I132" s="127">
        <f>IF(E132=H132,0,IF(E132=0,100,(H132-E132)/E132*100))</f>
        <v>0</v>
      </c>
      <c r="J132" s="16">
        <f t="shared" si="374"/>
        <v>0</v>
      </c>
      <c r="K132" s="16">
        <f t="shared" si="374"/>
        <v>0</v>
      </c>
      <c r="L132" s="16">
        <f t="shared" si="374"/>
        <v>0</v>
      </c>
      <c r="M132" s="16">
        <f t="shared" si="374"/>
        <v>0</v>
      </c>
      <c r="N132" s="16">
        <f t="shared" si="374"/>
        <v>0</v>
      </c>
      <c r="O132" s="16">
        <f t="shared" si="374"/>
        <v>0</v>
      </c>
      <c r="P132" s="102">
        <f t="shared" ref="P132:Q132" si="375">SUM(P131:P131)</f>
        <v>0</v>
      </c>
      <c r="Q132" s="16">
        <f t="shared" si="375"/>
        <v>0</v>
      </c>
      <c r="R132" s="16">
        <f t="shared" ref="R132" si="376">SUM(R131:R131)</f>
        <v>0</v>
      </c>
      <c r="S132" s="2342">
        <f t="shared" ref="S132" si="377">SUM(S131:S131)</f>
        <v>0</v>
      </c>
      <c r="U132" s="34"/>
    </row>
    <row r="133" spans="1:21" x14ac:dyDescent="0.2">
      <c r="A133" s="45"/>
      <c r="B133" s="9"/>
      <c r="C133" s="134"/>
      <c r="D133" s="134"/>
      <c r="E133" s="134"/>
      <c r="F133" s="1152"/>
      <c r="G133" s="32"/>
      <c r="H133" s="9"/>
      <c r="I133" s="85"/>
      <c r="J133" s="9"/>
      <c r="K133" s="9"/>
      <c r="L133" s="9"/>
      <c r="M133" s="9"/>
      <c r="N133" s="9"/>
      <c r="O133" s="9"/>
      <c r="P133" s="89"/>
      <c r="Q133" s="9"/>
      <c r="R133" s="9"/>
      <c r="S133" s="47"/>
    </row>
    <row r="134" spans="1:21" x14ac:dyDescent="0.2">
      <c r="A134" s="45"/>
      <c r="B134" s="9"/>
      <c r="C134" s="134"/>
      <c r="D134" s="134"/>
      <c r="E134" s="134"/>
      <c r="F134" s="167"/>
      <c r="G134" s="91" t="s">
        <v>2169</v>
      </c>
      <c r="H134" s="9"/>
      <c r="I134" s="85"/>
      <c r="J134" s="9"/>
      <c r="K134" s="9"/>
      <c r="L134" s="9"/>
      <c r="M134" s="9"/>
      <c r="N134" s="9"/>
      <c r="O134" s="9"/>
      <c r="P134" s="89"/>
      <c r="Q134" s="9"/>
      <c r="R134" s="9"/>
      <c r="S134" s="47"/>
    </row>
    <row r="135" spans="1:21" x14ac:dyDescent="0.2">
      <c r="A135" s="45"/>
      <c r="B135" s="9"/>
      <c r="E135" s="134"/>
      <c r="F135" s="165"/>
      <c r="G135" s="1173"/>
      <c r="H135" s="9"/>
      <c r="I135" s="85"/>
      <c r="J135" s="9"/>
      <c r="K135" s="9"/>
      <c r="L135" s="9"/>
      <c r="M135" s="9"/>
      <c r="N135" s="9"/>
      <c r="O135" s="9"/>
      <c r="P135" s="89"/>
      <c r="Q135" s="9"/>
      <c r="R135" s="9"/>
      <c r="S135" s="47"/>
    </row>
    <row r="136" spans="1:21" x14ac:dyDescent="0.2">
      <c r="A136" s="45"/>
      <c r="B136" s="9"/>
      <c r="E136" s="134"/>
      <c r="F136" s="165"/>
      <c r="G136" s="853" t="s">
        <v>6946</v>
      </c>
      <c r="H136" s="9"/>
      <c r="I136" s="85"/>
      <c r="J136" s="9"/>
      <c r="K136" s="9"/>
      <c r="L136" s="9"/>
      <c r="M136" s="9"/>
      <c r="N136" s="9"/>
      <c r="O136" s="9"/>
      <c r="P136" s="89"/>
      <c r="Q136" s="9"/>
      <c r="R136" s="9"/>
      <c r="S136" s="47"/>
    </row>
    <row r="137" spans="1:21" x14ac:dyDescent="0.2">
      <c r="A137" s="45">
        <f>ROUND(SUM(A826:A836),-3)</f>
        <v>322000</v>
      </c>
      <c r="B137" s="9">
        <f>SUM(B826:B836)</f>
        <v>319900</v>
      </c>
      <c r="C137" s="136">
        <f>SUM(C826:C836)</f>
        <v>317300</v>
      </c>
      <c r="D137" s="136">
        <f>SUM(D826:D836)</f>
        <v>315400</v>
      </c>
      <c r="E137" s="134">
        <f>SUM(E826:E836)</f>
        <v>254100</v>
      </c>
      <c r="F137" s="165">
        <v>32000</v>
      </c>
      <c r="G137" s="242" t="s">
        <v>215</v>
      </c>
      <c r="H137" s="9">
        <f t="shared" ref="H137:O137" si="378">SUM(H826:H836)</f>
        <v>290700</v>
      </c>
      <c r="I137" s="85">
        <f>IF(E137=H137,0,IF(E137=0,100,(H137-E137)/E137*100))</f>
        <v>14.403778040141676</v>
      </c>
      <c r="J137" s="9">
        <f t="shared" si="378"/>
        <v>291700</v>
      </c>
      <c r="K137" s="9">
        <f t="shared" si="378"/>
        <v>299500</v>
      </c>
      <c r="L137" s="9">
        <f t="shared" si="378"/>
        <v>307400</v>
      </c>
      <c r="M137" s="9">
        <f t="shared" si="378"/>
        <v>315500</v>
      </c>
      <c r="N137" s="9">
        <f t="shared" si="378"/>
        <v>323600</v>
      </c>
      <c r="O137" s="9">
        <f t="shared" si="378"/>
        <v>332200</v>
      </c>
      <c r="P137" s="89">
        <f t="shared" ref="P137:Q137" si="379">SUM(P826:P836)</f>
        <v>340900</v>
      </c>
      <c r="Q137" s="9">
        <f t="shared" si="379"/>
        <v>349900</v>
      </c>
      <c r="R137" s="9">
        <f t="shared" ref="R137" si="380">SUM(R826:R836)</f>
        <v>359000</v>
      </c>
      <c r="S137" s="47">
        <f t="shared" ref="S137" si="381">SUM(S826:S836)</f>
        <v>368400</v>
      </c>
    </row>
    <row r="138" spans="1:21" x14ac:dyDescent="0.2">
      <c r="A138" s="45">
        <f>ROUND(SUM(A837:A840),-3)</f>
        <v>194000</v>
      </c>
      <c r="B138" s="9">
        <f>SUM(B837:B840)</f>
        <v>336300</v>
      </c>
      <c r="C138" s="136">
        <f>SUM(C837:C840)</f>
        <v>376300</v>
      </c>
      <c r="D138" s="136">
        <f>SUM(D837:D840)</f>
        <v>393400</v>
      </c>
      <c r="E138" s="1442">
        <f t="shared" ref="E138" si="382">SUM(E837:E840)</f>
        <v>426900</v>
      </c>
      <c r="F138" s="167">
        <v>32001</v>
      </c>
      <c r="G138" s="781" t="s">
        <v>3045</v>
      </c>
      <c r="H138" s="9">
        <f t="shared" ref="H138:O138" si="383">SUM(H837:H840)</f>
        <v>431100</v>
      </c>
      <c r="I138" s="85">
        <f>IF(E138=H138,0,IF(E138=0,100,(H138-E138)/E138*100))</f>
        <v>0.98383696416022481</v>
      </c>
      <c r="J138" s="9">
        <f t="shared" si="383"/>
        <v>441000</v>
      </c>
      <c r="K138" s="9">
        <f t="shared" si="383"/>
        <v>451200</v>
      </c>
      <c r="L138" s="9">
        <f t="shared" si="383"/>
        <v>461600</v>
      </c>
      <c r="M138" s="9">
        <f t="shared" si="383"/>
        <v>472200</v>
      </c>
      <c r="N138" s="9">
        <f t="shared" si="383"/>
        <v>483000</v>
      </c>
      <c r="O138" s="9">
        <f t="shared" si="383"/>
        <v>494100</v>
      </c>
      <c r="P138" s="89">
        <f t="shared" ref="P138:Q138" si="384">SUM(P837:P840)</f>
        <v>505400</v>
      </c>
      <c r="Q138" s="9">
        <f t="shared" si="384"/>
        <v>517000</v>
      </c>
      <c r="R138" s="9">
        <f t="shared" ref="R138" si="385">SUM(R837:R840)</f>
        <v>517000</v>
      </c>
      <c r="S138" s="47">
        <f t="shared" ref="S138" si="386">SUM(S837:S840)</f>
        <v>517000</v>
      </c>
    </row>
    <row r="139" spans="1:21" x14ac:dyDescent="0.2">
      <c r="A139" s="45">
        <f>ROUND(SUM(A841:A858),-3)</f>
        <v>361000</v>
      </c>
      <c r="B139" s="9">
        <f>SUM(B841:B858)</f>
        <v>397300</v>
      </c>
      <c r="C139" s="136">
        <f>SUM(C841:C858)</f>
        <v>351100</v>
      </c>
      <c r="D139" s="136">
        <f>SUM(D841:D858)</f>
        <v>308900</v>
      </c>
      <c r="E139" s="1442">
        <f>SUM(E841:E858)</f>
        <v>331900</v>
      </c>
      <c r="F139" s="167">
        <v>32001</v>
      </c>
      <c r="G139" s="781" t="s">
        <v>3046</v>
      </c>
      <c r="H139" s="9">
        <f>SUM(H841:H858)</f>
        <v>335500</v>
      </c>
      <c r="I139" s="85">
        <f>IF(E139=H139,0,IF(E139=0,100,(H139-E139)/E139*100))</f>
        <v>1.0846640554383851</v>
      </c>
      <c r="J139" s="9">
        <f t="shared" ref="J139:S139" si="387">SUM(J841:J858)</f>
        <v>343700</v>
      </c>
      <c r="K139" s="9">
        <f t="shared" si="387"/>
        <v>353100</v>
      </c>
      <c r="L139" s="9">
        <f t="shared" si="387"/>
        <v>362600</v>
      </c>
      <c r="M139" s="9">
        <f t="shared" si="387"/>
        <v>372500</v>
      </c>
      <c r="N139" s="9">
        <f t="shared" si="387"/>
        <v>382600</v>
      </c>
      <c r="O139" s="9">
        <f t="shared" si="387"/>
        <v>392800</v>
      </c>
      <c r="P139" s="89">
        <f t="shared" si="387"/>
        <v>403200</v>
      </c>
      <c r="Q139" s="9">
        <f t="shared" si="387"/>
        <v>413800</v>
      </c>
      <c r="R139" s="9">
        <f t="shared" si="387"/>
        <v>424700</v>
      </c>
      <c r="S139" s="47">
        <f t="shared" si="387"/>
        <v>436000</v>
      </c>
    </row>
    <row r="140" spans="1:21" x14ac:dyDescent="0.2">
      <c r="A140" s="45">
        <f>ROUND(SUM(A858:A861),-3)</f>
        <v>-26000</v>
      </c>
      <c r="B140" s="9">
        <f>SUM(B858:B861)</f>
        <v>17900</v>
      </c>
      <c r="C140" s="136">
        <f>SUM(C858:C861)</f>
        <v>16600</v>
      </c>
      <c r="D140" s="136">
        <f>SUM(D858:D861)</f>
        <v>28800</v>
      </c>
      <c r="E140" s="1442">
        <f t="shared" ref="E140" si="388">SUM(E858:E861)</f>
        <v>11300</v>
      </c>
      <c r="F140" s="167">
        <v>32001</v>
      </c>
      <c r="G140" s="781" t="s">
        <v>3250</v>
      </c>
      <c r="H140" s="9">
        <f t="shared" ref="H140:O140" si="389">SUM(H858:H861)</f>
        <v>8100</v>
      </c>
      <c r="I140" s="85">
        <f>IF(E140=H140,0,IF(E140=0,100,(H140-E140)/E140*100))</f>
        <v>-28.318584070796462</v>
      </c>
      <c r="J140" s="9">
        <f t="shared" si="389"/>
        <v>8400</v>
      </c>
      <c r="K140" s="9">
        <f t="shared" si="389"/>
        <v>8700</v>
      </c>
      <c r="L140" s="9">
        <f t="shared" si="389"/>
        <v>9000</v>
      </c>
      <c r="M140" s="9">
        <f t="shared" si="389"/>
        <v>9300</v>
      </c>
      <c r="N140" s="9">
        <f t="shared" si="389"/>
        <v>9600</v>
      </c>
      <c r="O140" s="9">
        <f t="shared" si="389"/>
        <v>9900</v>
      </c>
      <c r="P140" s="89">
        <f t="shared" ref="P140:Q140" si="390">SUM(P858:P861)</f>
        <v>10200</v>
      </c>
      <c r="Q140" s="9">
        <f t="shared" si="390"/>
        <v>10500</v>
      </c>
      <c r="R140" s="9">
        <f t="shared" ref="R140" si="391">SUM(R858:R861)</f>
        <v>10800</v>
      </c>
      <c r="S140" s="47">
        <f t="shared" ref="S140" si="392">SUM(S858:S861)</f>
        <v>11100</v>
      </c>
    </row>
    <row r="141" spans="1:21" x14ac:dyDescent="0.2">
      <c r="A141" s="45"/>
      <c r="B141" s="9"/>
      <c r="E141" s="1442"/>
      <c r="F141" s="167"/>
      <c r="G141" s="420"/>
      <c r="H141" s="9"/>
      <c r="I141" s="85"/>
      <c r="J141" s="9"/>
      <c r="K141" s="9"/>
      <c r="L141" s="9"/>
      <c r="M141" s="9"/>
      <c r="N141" s="9"/>
      <c r="O141" s="9"/>
      <c r="P141" s="89"/>
      <c r="Q141" s="9"/>
      <c r="R141" s="9"/>
      <c r="S141" s="47"/>
    </row>
    <row r="142" spans="1:21" x14ac:dyDescent="0.2">
      <c r="A142" s="45"/>
      <c r="B142" s="9"/>
      <c r="E142" s="1442"/>
      <c r="F142" s="167"/>
      <c r="G142" s="2429" t="s">
        <v>6947</v>
      </c>
      <c r="H142" s="9"/>
      <c r="I142" s="85"/>
      <c r="J142" s="9"/>
      <c r="K142" s="9"/>
      <c r="L142" s="9"/>
      <c r="M142" s="9"/>
      <c r="N142" s="9"/>
      <c r="O142" s="9"/>
      <c r="P142" s="89"/>
      <c r="Q142" s="9"/>
      <c r="R142" s="9"/>
      <c r="S142" s="47"/>
    </row>
    <row r="143" spans="1:21" x14ac:dyDescent="0.2">
      <c r="A143" s="45">
        <f>ROUND(SUM(A894:A894),-3)</f>
        <v>8000</v>
      </c>
      <c r="B143" s="9">
        <f t="shared" ref="B143:C143" si="393">SUM(B894:B894)</f>
        <v>10300</v>
      </c>
      <c r="C143" s="136">
        <f t="shared" si="393"/>
        <v>3300</v>
      </c>
      <c r="D143" s="136">
        <f>SUM(D894:D894)</f>
        <v>13000</v>
      </c>
      <c r="E143" s="1442">
        <f t="shared" ref="E143" si="394">SUM(E894:E894)</f>
        <v>12000</v>
      </c>
      <c r="F143" s="167">
        <v>32022</v>
      </c>
      <c r="G143" s="781" t="s">
        <v>4696</v>
      </c>
      <c r="H143" s="9">
        <f t="shared" ref="H143:P143" si="395">SUM(H894:H894)</f>
        <v>10000</v>
      </c>
      <c r="I143" s="85">
        <f t="shared" ref="I143:I149" si="396">IF(E143=H143,0,IF(E143=0,100,(H143-E143)/E143*100))</f>
        <v>-16.666666666666664</v>
      </c>
      <c r="J143" s="9">
        <f t="shared" si="395"/>
        <v>12000</v>
      </c>
      <c r="K143" s="9">
        <f t="shared" si="395"/>
        <v>12300</v>
      </c>
      <c r="L143" s="9">
        <f t="shared" si="395"/>
        <v>12700</v>
      </c>
      <c r="M143" s="9">
        <f t="shared" si="395"/>
        <v>13100</v>
      </c>
      <c r="N143" s="9">
        <f t="shared" si="395"/>
        <v>13500</v>
      </c>
      <c r="O143" s="9">
        <f t="shared" si="395"/>
        <v>13900</v>
      </c>
      <c r="P143" s="89">
        <f t="shared" si="395"/>
        <v>14300</v>
      </c>
      <c r="Q143" s="9">
        <f t="shared" ref="Q143" si="397">SUM(Q894:Q894)</f>
        <v>14700</v>
      </c>
      <c r="R143" s="9">
        <f t="shared" ref="R143" si="398">SUM(R894:R894)</f>
        <v>15100</v>
      </c>
      <c r="S143" s="47">
        <f t="shared" ref="S143" si="399">SUM(S894:S894)</f>
        <v>15500</v>
      </c>
    </row>
    <row r="144" spans="1:21" x14ac:dyDescent="0.2">
      <c r="A144" s="45">
        <f>ROUND(A895+A897+A898+A902+A890,-3)</f>
        <v>100000</v>
      </c>
      <c r="B144" s="9">
        <f t="shared" ref="B144:C144" si="400">B895+B897+B898+B902+B890</f>
        <v>86700</v>
      </c>
      <c r="C144" s="136">
        <f t="shared" si="400"/>
        <v>108100</v>
      </c>
      <c r="D144" s="136">
        <f>D895+D897+D898+D902+D890</f>
        <v>98700</v>
      </c>
      <c r="E144" s="29">
        <f t="shared" ref="E144" si="401">E895+E897+E898+E902+E890</f>
        <v>80900</v>
      </c>
      <c r="F144" s="167">
        <v>32022</v>
      </c>
      <c r="G144" s="781" t="s">
        <v>3489</v>
      </c>
      <c r="H144" s="9">
        <f t="shared" ref="H144:P144" si="402">H895+H897+H898+H902+H890</f>
        <v>80000</v>
      </c>
      <c r="I144" s="85">
        <f t="shared" si="396"/>
        <v>-1.1124845488257107</v>
      </c>
      <c r="J144" s="9">
        <f t="shared" si="402"/>
        <v>127600</v>
      </c>
      <c r="K144" s="9">
        <f t="shared" si="402"/>
        <v>130900</v>
      </c>
      <c r="L144" s="9">
        <f t="shared" si="402"/>
        <v>134400</v>
      </c>
      <c r="M144" s="9">
        <f t="shared" si="402"/>
        <v>138000</v>
      </c>
      <c r="N144" s="9">
        <f t="shared" si="402"/>
        <v>141700</v>
      </c>
      <c r="O144" s="9">
        <f t="shared" si="402"/>
        <v>145500</v>
      </c>
      <c r="P144" s="9">
        <f t="shared" si="402"/>
        <v>149400</v>
      </c>
      <c r="Q144" s="9">
        <f t="shared" ref="Q144" si="403">Q895+Q897+Q898+Q902+Q890</f>
        <v>153300</v>
      </c>
      <c r="R144" s="9">
        <f t="shared" ref="R144" si="404">R895+R897+R898+R902+R890</f>
        <v>157300</v>
      </c>
      <c r="S144" s="47">
        <f t="shared" ref="S144" si="405">S895+S897+S898+S902+S890</f>
        <v>161500</v>
      </c>
    </row>
    <row r="145" spans="1:19" x14ac:dyDescent="0.2">
      <c r="A145" s="45">
        <f>ROUND(A903+A904+A899,-3)</f>
        <v>13000</v>
      </c>
      <c r="B145" s="9">
        <f t="shared" ref="B145:C145" si="406">B903+B904+B899</f>
        <v>17200</v>
      </c>
      <c r="C145" s="136">
        <f t="shared" si="406"/>
        <v>31900</v>
      </c>
      <c r="D145" s="136">
        <f>D903+D904+D899</f>
        <v>79500</v>
      </c>
      <c r="E145" s="29">
        <f t="shared" ref="E145" si="407">E903+E904+E899</f>
        <v>57300</v>
      </c>
      <c r="F145" s="167">
        <v>32022</v>
      </c>
      <c r="G145" s="781" t="s">
        <v>3706</v>
      </c>
      <c r="H145" s="9">
        <f t="shared" ref="H145:P145" si="408">H903+H904+H899</f>
        <v>49800</v>
      </c>
      <c r="I145" s="85">
        <f t="shared" si="396"/>
        <v>-13.089005235602095</v>
      </c>
      <c r="J145" s="9">
        <f t="shared" si="408"/>
        <v>52000</v>
      </c>
      <c r="K145" s="9">
        <f t="shared" si="408"/>
        <v>53500</v>
      </c>
      <c r="L145" s="9">
        <f t="shared" si="408"/>
        <v>55000</v>
      </c>
      <c r="M145" s="9">
        <f t="shared" si="408"/>
        <v>56500</v>
      </c>
      <c r="N145" s="9">
        <f t="shared" si="408"/>
        <v>58100</v>
      </c>
      <c r="O145" s="9">
        <f t="shared" si="408"/>
        <v>59700</v>
      </c>
      <c r="P145" s="9">
        <f t="shared" si="408"/>
        <v>61300</v>
      </c>
      <c r="Q145" s="9">
        <f t="shared" ref="Q145" si="409">Q903+Q904+Q899</f>
        <v>63000</v>
      </c>
      <c r="R145" s="9">
        <f t="shared" ref="R145" si="410">R903+R904+R899</f>
        <v>64700</v>
      </c>
      <c r="S145" s="47">
        <f t="shared" ref="S145" si="411">S903+S904+S899</f>
        <v>66400</v>
      </c>
    </row>
    <row r="146" spans="1:19" x14ac:dyDescent="0.2">
      <c r="A146" s="45">
        <f>ROUND(A900+A893,-3)</f>
        <v>18000</v>
      </c>
      <c r="B146" s="9">
        <f t="shared" ref="B146:C146" si="412">B900+B893</f>
        <v>14600</v>
      </c>
      <c r="C146" s="136">
        <f t="shared" si="412"/>
        <v>20700</v>
      </c>
      <c r="D146" s="136">
        <f>D900+D893</f>
        <v>17300</v>
      </c>
      <c r="E146" s="29">
        <f t="shared" ref="E146" si="413">E900+E893</f>
        <v>17000</v>
      </c>
      <c r="F146" s="167">
        <v>32022</v>
      </c>
      <c r="G146" s="781" t="s">
        <v>3707</v>
      </c>
      <c r="H146" s="9">
        <f t="shared" ref="H146:P146" si="414">H900+H893</f>
        <v>16000</v>
      </c>
      <c r="I146" s="85">
        <f t="shared" si="396"/>
        <v>-5.8823529411764701</v>
      </c>
      <c r="J146" s="9">
        <f t="shared" si="414"/>
        <v>17000</v>
      </c>
      <c r="K146" s="9">
        <f t="shared" si="414"/>
        <v>17500</v>
      </c>
      <c r="L146" s="9">
        <f t="shared" si="414"/>
        <v>18000</v>
      </c>
      <c r="M146" s="9">
        <f t="shared" si="414"/>
        <v>18500</v>
      </c>
      <c r="N146" s="9">
        <f t="shared" si="414"/>
        <v>19100</v>
      </c>
      <c r="O146" s="9">
        <f t="shared" si="414"/>
        <v>19700</v>
      </c>
      <c r="P146" s="9">
        <f t="shared" si="414"/>
        <v>20300</v>
      </c>
      <c r="Q146" s="9">
        <f t="shared" ref="Q146" si="415">Q900+Q893</f>
        <v>20900</v>
      </c>
      <c r="R146" s="9">
        <f t="shared" ref="R146" si="416">R900+R893</f>
        <v>21500</v>
      </c>
      <c r="S146" s="47">
        <f t="shared" ref="S146" si="417">S900+S893</f>
        <v>22100</v>
      </c>
    </row>
    <row r="147" spans="1:19" x14ac:dyDescent="0.2">
      <c r="A147" s="45">
        <f>ROUND(A901,-3)</f>
        <v>16000</v>
      </c>
      <c r="B147" s="9">
        <f t="shared" ref="B147:C147" si="418">B901</f>
        <v>11000</v>
      </c>
      <c r="C147" s="136">
        <f t="shared" si="418"/>
        <v>14200</v>
      </c>
      <c r="D147" s="136">
        <f>D901</f>
        <v>16600</v>
      </c>
      <c r="E147" s="29">
        <f t="shared" ref="E147" si="419">E901</f>
        <v>22500</v>
      </c>
      <c r="F147" s="167">
        <v>32022</v>
      </c>
      <c r="G147" s="781" t="s">
        <v>3708</v>
      </c>
      <c r="H147" s="9">
        <f t="shared" ref="H147:P147" si="420">H901</f>
        <v>20100</v>
      </c>
      <c r="I147" s="85">
        <f t="shared" si="396"/>
        <v>-10.666666666666668</v>
      </c>
      <c r="J147" s="9">
        <f t="shared" si="420"/>
        <v>22000</v>
      </c>
      <c r="K147" s="9">
        <f t="shared" si="420"/>
        <v>22600</v>
      </c>
      <c r="L147" s="9">
        <f t="shared" si="420"/>
        <v>23200</v>
      </c>
      <c r="M147" s="9">
        <f t="shared" si="420"/>
        <v>23800</v>
      </c>
      <c r="N147" s="9">
        <f t="shared" si="420"/>
        <v>24400</v>
      </c>
      <c r="O147" s="9">
        <f t="shared" si="420"/>
        <v>25100</v>
      </c>
      <c r="P147" s="9">
        <f t="shared" si="420"/>
        <v>25800</v>
      </c>
      <c r="Q147" s="9">
        <f t="shared" ref="Q147" si="421">Q901</f>
        <v>26500</v>
      </c>
      <c r="R147" s="9">
        <f t="shared" ref="R147" si="422">R901</f>
        <v>27200</v>
      </c>
      <c r="S147" s="47">
        <f t="shared" ref="S147" si="423">S901</f>
        <v>27900</v>
      </c>
    </row>
    <row r="148" spans="1:19" x14ac:dyDescent="0.2">
      <c r="A148" s="45">
        <f>ROUND(A889+A906,-3)</f>
        <v>2000</v>
      </c>
      <c r="B148" s="9">
        <f>B889+B906</f>
        <v>3900</v>
      </c>
      <c r="C148" s="136">
        <f>C889+C906</f>
        <v>8600</v>
      </c>
      <c r="D148" s="136">
        <f>D889+D906+D905</f>
        <v>11600</v>
      </c>
      <c r="E148" s="29">
        <f>E889+E906+E905</f>
        <v>14300</v>
      </c>
      <c r="F148" s="167">
        <v>32022</v>
      </c>
      <c r="G148" s="781" t="s">
        <v>3705</v>
      </c>
      <c r="H148" s="9">
        <f>H889+H906+H905</f>
        <v>11000</v>
      </c>
      <c r="I148" s="85">
        <f t="shared" si="396"/>
        <v>-23.076923076923077</v>
      </c>
      <c r="J148" s="9">
        <f t="shared" ref="J148:S148" si="424">J889+J906+J905</f>
        <v>21200</v>
      </c>
      <c r="K148" s="9">
        <f t="shared" si="424"/>
        <v>21800</v>
      </c>
      <c r="L148" s="9">
        <f t="shared" si="424"/>
        <v>22500</v>
      </c>
      <c r="M148" s="9">
        <f t="shared" si="424"/>
        <v>23200</v>
      </c>
      <c r="N148" s="9">
        <f t="shared" si="424"/>
        <v>23900</v>
      </c>
      <c r="O148" s="9">
        <f t="shared" si="424"/>
        <v>24600</v>
      </c>
      <c r="P148" s="9">
        <f t="shared" si="424"/>
        <v>25400</v>
      </c>
      <c r="Q148" s="134">
        <f t="shared" si="424"/>
        <v>26200</v>
      </c>
      <c r="R148" s="134">
        <f t="shared" si="424"/>
        <v>27100</v>
      </c>
      <c r="S148" s="2359">
        <f t="shared" si="424"/>
        <v>28000</v>
      </c>
    </row>
    <row r="149" spans="1:19" x14ac:dyDescent="0.2">
      <c r="A149" s="45">
        <f>ROUND(SUM(A891:A892),-3)</f>
        <v>0</v>
      </c>
      <c r="B149" s="9">
        <f t="shared" ref="B149:C149" si="425">SUM(B891:B892)</f>
        <v>0</v>
      </c>
      <c r="C149" s="136">
        <f t="shared" si="425"/>
        <v>0</v>
      </c>
      <c r="D149" s="136">
        <f>SUM(D891:D892)</f>
        <v>87100</v>
      </c>
      <c r="E149" s="29">
        <f t="shared" ref="E149" si="426">SUM(E891:E892)</f>
        <v>72200</v>
      </c>
      <c r="F149" s="167">
        <v>32022</v>
      </c>
      <c r="G149" s="781" t="s">
        <v>384</v>
      </c>
      <c r="H149" s="9">
        <f t="shared" ref="H149:P149" si="427">SUM(H891:H892)</f>
        <v>68000</v>
      </c>
      <c r="I149" s="85">
        <f t="shared" si="396"/>
        <v>-5.8171745152354575</v>
      </c>
      <c r="J149" s="9">
        <f t="shared" si="427"/>
        <v>70000</v>
      </c>
      <c r="K149" s="9">
        <f t="shared" si="427"/>
        <v>71800</v>
      </c>
      <c r="L149" s="9">
        <f t="shared" si="427"/>
        <v>73600</v>
      </c>
      <c r="M149" s="9">
        <f t="shared" si="427"/>
        <v>75600</v>
      </c>
      <c r="N149" s="9">
        <f t="shared" si="427"/>
        <v>77600</v>
      </c>
      <c r="O149" s="9">
        <f t="shared" si="427"/>
        <v>79600</v>
      </c>
      <c r="P149" s="9">
        <f t="shared" si="427"/>
        <v>81600</v>
      </c>
      <c r="Q149" s="9">
        <f t="shared" ref="Q149" si="428">SUM(Q891:Q892)</f>
        <v>83800</v>
      </c>
      <c r="R149" s="9">
        <f t="shared" ref="R149" si="429">SUM(R891:R892)</f>
        <v>86000</v>
      </c>
      <c r="S149" s="47">
        <f t="shared" ref="S149" si="430">SUM(S891:S892)</f>
        <v>88200</v>
      </c>
    </row>
    <row r="150" spans="1:19" x14ac:dyDescent="0.2">
      <c r="A150" s="45"/>
      <c r="B150" s="9"/>
      <c r="E150" s="1442"/>
      <c r="F150" s="167"/>
      <c r="G150" s="781"/>
      <c r="H150" s="9"/>
      <c r="I150" s="85"/>
      <c r="J150" s="9"/>
      <c r="K150" s="9"/>
      <c r="L150" s="9"/>
      <c r="M150" s="9"/>
      <c r="N150" s="9"/>
      <c r="O150" s="9"/>
      <c r="P150" s="89"/>
      <c r="Q150" s="9"/>
      <c r="R150" s="9"/>
      <c r="S150" s="47"/>
    </row>
    <row r="151" spans="1:19" x14ac:dyDescent="0.2">
      <c r="A151" s="45"/>
      <c r="B151" s="9"/>
      <c r="E151" s="1442"/>
      <c r="F151" s="167"/>
      <c r="G151" s="2429" t="s">
        <v>6948</v>
      </c>
      <c r="H151" s="9"/>
      <c r="I151" s="85"/>
      <c r="J151" s="9"/>
      <c r="K151" s="9"/>
      <c r="L151" s="9"/>
      <c r="M151" s="9"/>
      <c r="N151" s="9"/>
      <c r="O151" s="9"/>
      <c r="P151" s="89"/>
      <c r="Q151" s="9"/>
      <c r="R151" s="9"/>
      <c r="S151" s="47"/>
    </row>
    <row r="152" spans="1:19" x14ac:dyDescent="0.2">
      <c r="A152" s="45">
        <f>ROUND(SUM(A907:A912),-3)</f>
        <v>113000</v>
      </c>
      <c r="B152" s="9">
        <f>SUM(B907:B912)</f>
        <v>139300</v>
      </c>
      <c r="C152" s="136">
        <f>SUM(C907:C912)</f>
        <v>126300</v>
      </c>
      <c r="D152" s="136">
        <f>SUM(D907:D912)</f>
        <v>162300</v>
      </c>
      <c r="E152" s="1442">
        <f t="shared" ref="E152" si="431">SUM(E907:E912)</f>
        <v>204200</v>
      </c>
      <c r="F152" s="167">
        <v>32261</v>
      </c>
      <c r="G152" s="781" t="s">
        <v>3346</v>
      </c>
      <c r="H152" s="9">
        <f t="shared" ref="H152:P152" si="432">SUM(H907:H912)</f>
        <v>186300</v>
      </c>
      <c r="I152" s="85">
        <f>IF(E152=H152,0,IF(E152=0,100,(H152-E152)/E152*100))</f>
        <v>-8.7659157688540645</v>
      </c>
      <c r="J152" s="9">
        <f t="shared" si="432"/>
        <v>190700</v>
      </c>
      <c r="K152" s="9">
        <f t="shared" si="432"/>
        <v>195700</v>
      </c>
      <c r="L152" s="9">
        <f t="shared" si="432"/>
        <v>200900</v>
      </c>
      <c r="M152" s="9">
        <f t="shared" si="432"/>
        <v>206200</v>
      </c>
      <c r="N152" s="9">
        <f t="shared" si="432"/>
        <v>211600</v>
      </c>
      <c r="O152" s="9">
        <f t="shared" si="432"/>
        <v>217200</v>
      </c>
      <c r="P152" s="89">
        <f t="shared" si="432"/>
        <v>222800</v>
      </c>
      <c r="Q152" s="9">
        <f t="shared" ref="Q152" si="433">SUM(Q907:Q912)</f>
        <v>228500</v>
      </c>
      <c r="R152" s="9">
        <f t="shared" ref="R152" si="434">SUM(R907:R912)</f>
        <v>234500</v>
      </c>
      <c r="S152" s="47">
        <f t="shared" ref="S152" si="435">SUM(S907:S912)</f>
        <v>240600</v>
      </c>
    </row>
    <row r="153" spans="1:19" x14ac:dyDescent="0.2">
      <c r="A153" s="45">
        <f>ROUND(SUM(A914:A917),-3)</f>
        <v>80000</v>
      </c>
      <c r="B153" s="9">
        <f>(SUM(B914:B917))</f>
        <v>86200</v>
      </c>
      <c r="C153" s="136">
        <f>(SUM(C914:C917))</f>
        <v>87300</v>
      </c>
      <c r="D153" s="136">
        <f>(SUM(D914:D917))</f>
        <v>89200</v>
      </c>
      <c r="E153" s="1442">
        <f>(SUM(E914:E917))</f>
        <v>81400</v>
      </c>
      <c r="F153" s="167">
        <v>32310</v>
      </c>
      <c r="G153" s="781" t="s">
        <v>3671</v>
      </c>
      <c r="H153" s="9">
        <f>(SUM(H914:H917))</f>
        <v>71500</v>
      </c>
      <c r="I153" s="85">
        <f>IF(E153=H153,0,IF(E153=0,100,(H153-E153)/E153*100))</f>
        <v>-12.162162162162163</v>
      </c>
      <c r="J153" s="9">
        <f t="shared" ref="J153:R153" si="436">(SUM(J914:J917))</f>
        <v>73400</v>
      </c>
      <c r="K153" s="9">
        <f t="shared" si="436"/>
        <v>75400</v>
      </c>
      <c r="L153" s="9">
        <f t="shared" si="436"/>
        <v>77500</v>
      </c>
      <c r="M153" s="9">
        <f t="shared" si="436"/>
        <v>79600</v>
      </c>
      <c r="N153" s="9">
        <f t="shared" si="436"/>
        <v>81700</v>
      </c>
      <c r="O153" s="9">
        <f t="shared" si="436"/>
        <v>83800</v>
      </c>
      <c r="P153" s="89">
        <f t="shared" si="436"/>
        <v>86100</v>
      </c>
      <c r="Q153" s="9">
        <f t="shared" si="436"/>
        <v>88400</v>
      </c>
      <c r="R153" s="9">
        <f t="shared" si="436"/>
        <v>90800</v>
      </c>
      <c r="S153" s="47">
        <f t="shared" ref="S153" si="437">(SUM(S914:S917))</f>
        <v>93300</v>
      </c>
    </row>
    <row r="154" spans="1:19" x14ac:dyDescent="0.2">
      <c r="A154" s="45">
        <f>ROUND(SUM(A918:A925),-3)</f>
        <v>257000</v>
      </c>
      <c r="B154" s="9">
        <f>SUM(B918:B925)</f>
        <v>304300</v>
      </c>
      <c r="C154" s="136">
        <f>SUM(C918:C925)</f>
        <v>334600</v>
      </c>
      <c r="D154" s="136">
        <f>SUM(D918:D925)</f>
        <v>311300</v>
      </c>
      <c r="E154" s="1442">
        <f t="shared" ref="E154" si="438">SUM(E918:E925)</f>
        <v>380000</v>
      </c>
      <c r="F154" s="167">
        <v>32285</v>
      </c>
      <c r="G154" s="781" t="s">
        <v>3080</v>
      </c>
      <c r="H154" s="9">
        <f t="shared" ref="H154:P154" si="439">SUM(H918:H925)</f>
        <v>366100</v>
      </c>
      <c r="I154" s="85">
        <f>IF(E154=H154,0,IF(E154=0,100,(H154-E154)/E154*100))</f>
        <v>-3.6578947368421053</v>
      </c>
      <c r="J154" s="9">
        <f t="shared" si="439"/>
        <v>375000</v>
      </c>
      <c r="K154" s="9">
        <f t="shared" si="439"/>
        <v>384700</v>
      </c>
      <c r="L154" s="9">
        <f t="shared" si="439"/>
        <v>394700</v>
      </c>
      <c r="M154" s="9">
        <f t="shared" si="439"/>
        <v>405000</v>
      </c>
      <c r="N154" s="9">
        <f t="shared" si="439"/>
        <v>415500</v>
      </c>
      <c r="O154" s="9">
        <f t="shared" si="439"/>
        <v>426100</v>
      </c>
      <c r="P154" s="89">
        <f t="shared" si="439"/>
        <v>437200</v>
      </c>
      <c r="Q154" s="9">
        <f t="shared" ref="Q154" si="440">SUM(Q918:Q925)</f>
        <v>448500</v>
      </c>
      <c r="R154" s="9">
        <f t="shared" ref="R154" si="441">SUM(R918:R925)</f>
        <v>460000</v>
      </c>
      <c r="S154" s="47">
        <f t="shared" ref="S154" si="442">SUM(S918:S925)</f>
        <v>471900</v>
      </c>
    </row>
    <row r="155" spans="1:19" x14ac:dyDescent="0.2">
      <c r="A155" s="45">
        <f>ROUND(SUM(A926:A931),-3)</f>
        <v>64000</v>
      </c>
      <c r="B155" s="9">
        <f>SUM(B926:B931)</f>
        <v>68100</v>
      </c>
      <c r="C155" s="136">
        <f>SUM(C926:C931)</f>
        <v>82700</v>
      </c>
      <c r="D155" s="136">
        <f>SUM(D926:D931)</f>
        <v>101000</v>
      </c>
      <c r="E155" s="1442">
        <f>SUM(E926:E932)</f>
        <v>102600</v>
      </c>
      <c r="F155" s="773" t="s">
        <v>11798</v>
      </c>
      <c r="G155" s="781" t="s">
        <v>3349</v>
      </c>
      <c r="H155" s="9">
        <f t="shared" ref="H155:P155" si="443">SUM(H926:H931)</f>
        <v>80700</v>
      </c>
      <c r="I155" s="85">
        <f>IF(E155=H155,0,IF(E155=0,100,(H155-E155)/E155*100))</f>
        <v>-21.345029239766081</v>
      </c>
      <c r="J155" s="9">
        <f t="shared" si="443"/>
        <v>82900</v>
      </c>
      <c r="K155" s="9">
        <f t="shared" si="443"/>
        <v>85100</v>
      </c>
      <c r="L155" s="9">
        <f t="shared" si="443"/>
        <v>87500</v>
      </c>
      <c r="M155" s="9">
        <f t="shared" si="443"/>
        <v>89900</v>
      </c>
      <c r="N155" s="9">
        <f t="shared" si="443"/>
        <v>92300</v>
      </c>
      <c r="O155" s="9">
        <f t="shared" si="443"/>
        <v>94700</v>
      </c>
      <c r="P155" s="89">
        <f t="shared" si="443"/>
        <v>97200</v>
      </c>
      <c r="Q155" s="9">
        <f t="shared" ref="Q155" si="444">SUM(Q926:Q931)</f>
        <v>99800</v>
      </c>
      <c r="R155" s="9">
        <f t="shared" ref="R155" si="445">SUM(R926:R931)</f>
        <v>102400</v>
      </c>
      <c r="S155" s="47">
        <f t="shared" ref="S155" si="446">SUM(S926:S931)</f>
        <v>105200</v>
      </c>
    </row>
    <row r="156" spans="1:19" x14ac:dyDescent="0.2">
      <c r="A156" s="45"/>
      <c r="B156" s="9"/>
      <c r="E156" s="144"/>
      <c r="F156" s="167"/>
      <c r="G156" s="420"/>
      <c r="H156" s="9"/>
      <c r="I156" s="85"/>
      <c r="J156" s="9"/>
      <c r="K156" s="9"/>
      <c r="L156" s="9"/>
      <c r="M156" s="9"/>
      <c r="N156" s="9"/>
      <c r="O156" s="9"/>
      <c r="P156" s="89"/>
      <c r="Q156" s="9"/>
      <c r="R156" s="9"/>
      <c r="S156" s="47"/>
    </row>
    <row r="157" spans="1:19" x14ac:dyDescent="0.2">
      <c r="A157" s="45"/>
      <c r="B157" s="9"/>
      <c r="E157" s="144"/>
      <c r="F157" s="167"/>
      <c r="G157" s="421" t="s">
        <v>2638</v>
      </c>
      <c r="H157" s="9"/>
      <c r="I157" s="85"/>
      <c r="J157" s="9"/>
      <c r="K157" s="9"/>
      <c r="L157" s="9"/>
      <c r="M157" s="9"/>
      <c r="N157" s="9"/>
      <c r="O157" s="9"/>
      <c r="P157" s="89"/>
      <c r="Q157" s="9"/>
      <c r="R157" s="9"/>
      <c r="S157" s="47"/>
    </row>
    <row r="158" spans="1:19" x14ac:dyDescent="0.2">
      <c r="A158" s="45">
        <f>ROUND(SUM(A863:A863),-3)</f>
        <v>455000</v>
      </c>
      <c r="B158" s="9">
        <f>ROUND(SUM(B863:B863),)</f>
        <v>648800</v>
      </c>
      <c r="C158" s="136">
        <f>ROUND(SUM(C863:C863),)</f>
        <v>688700</v>
      </c>
      <c r="D158" s="136">
        <f>ROUND(SUM(D863:D863),)</f>
        <v>711600</v>
      </c>
      <c r="E158" s="144">
        <f>ROUND(SUM(E863:E863),)</f>
        <v>126300</v>
      </c>
      <c r="F158" s="167">
        <v>32000</v>
      </c>
      <c r="G158" s="781" t="s">
        <v>6773</v>
      </c>
      <c r="H158" s="9">
        <f t="shared" ref="H158:Q158" si="447">ROUND(SUM(H863:H863),)</f>
        <v>714000</v>
      </c>
      <c r="I158" s="85">
        <f>IF(E158=H158,0,IF(E158=0,100,(H158-E158)/E158*100))</f>
        <v>465.3206650831354</v>
      </c>
      <c r="J158" s="9">
        <f t="shared" si="447"/>
        <v>728300</v>
      </c>
      <c r="K158" s="9">
        <f t="shared" si="447"/>
        <v>742900</v>
      </c>
      <c r="L158" s="9">
        <f t="shared" si="447"/>
        <v>757800</v>
      </c>
      <c r="M158" s="9">
        <f t="shared" si="447"/>
        <v>773000</v>
      </c>
      <c r="N158" s="9">
        <f t="shared" si="447"/>
        <v>788500</v>
      </c>
      <c r="O158" s="9">
        <f t="shared" si="447"/>
        <v>804300</v>
      </c>
      <c r="P158" s="89">
        <f t="shared" si="447"/>
        <v>820400</v>
      </c>
      <c r="Q158" s="9">
        <f t="shared" si="447"/>
        <v>836900</v>
      </c>
      <c r="R158" s="9">
        <f t="shared" ref="R158" si="448">ROUND(SUM(R863:R863),)</f>
        <v>853700</v>
      </c>
      <c r="S158" s="47">
        <f t="shared" ref="S158" si="449">ROUND(SUM(S863:S863),)</f>
        <v>870800</v>
      </c>
    </row>
    <row r="159" spans="1:19" x14ac:dyDescent="0.2">
      <c r="A159" s="45">
        <f t="shared" ref="A159:A161" si="450">ROUND(A934,-3)</f>
        <v>49000</v>
      </c>
      <c r="B159" s="9">
        <f>ROUND(B934,)</f>
        <v>42600</v>
      </c>
      <c r="C159" s="136">
        <f t="shared" ref="C159:E161" si="451">C934</f>
        <v>46200</v>
      </c>
      <c r="D159" s="136">
        <f t="shared" si="451"/>
        <v>48900</v>
      </c>
      <c r="E159" s="144">
        <f t="shared" si="451"/>
        <v>50800</v>
      </c>
      <c r="F159" s="167">
        <v>32286</v>
      </c>
      <c r="G159" s="781" t="s">
        <v>3343</v>
      </c>
      <c r="H159" s="9">
        <f t="shared" ref="H159:O159" si="452">H934</f>
        <v>47000</v>
      </c>
      <c r="I159" s="85">
        <f>IF(E159=H159,0,IF(E159=0,100,(H159-E159)/E159*100))</f>
        <v>-7.4803149606299222</v>
      </c>
      <c r="J159" s="9">
        <f t="shared" si="452"/>
        <v>48000</v>
      </c>
      <c r="K159" s="9">
        <f t="shared" si="452"/>
        <v>49000</v>
      </c>
      <c r="L159" s="9">
        <f t="shared" si="452"/>
        <v>50000</v>
      </c>
      <c r="M159" s="9">
        <f t="shared" si="452"/>
        <v>51000</v>
      </c>
      <c r="N159" s="9">
        <f t="shared" si="452"/>
        <v>52100</v>
      </c>
      <c r="O159" s="9">
        <f t="shared" si="452"/>
        <v>53200</v>
      </c>
      <c r="P159" s="89">
        <f t="shared" ref="P159:Q159" si="453">P934</f>
        <v>54300</v>
      </c>
      <c r="Q159" s="9">
        <f t="shared" si="453"/>
        <v>55400</v>
      </c>
      <c r="R159" s="9">
        <f t="shared" ref="R159" si="454">R934</f>
        <v>56600</v>
      </c>
      <c r="S159" s="47">
        <f t="shared" ref="S159" si="455">S934</f>
        <v>57800</v>
      </c>
    </row>
    <row r="160" spans="1:19" x14ac:dyDescent="0.2">
      <c r="A160" s="45">
        <f t="shared" si="450"/>
        <v>330000</v>
      </c>
      <c r="B160" s="9">
        <f>ROUND(B935,)</f>
        <v>565600</v>
      </c>
      <c r="C160" s="136">
        <f t="shared" si="451"/>
        <v>291500</v>
      </c>
      <c r="D160" s="136">
        <f t="shared" si="451"/>
        <v>312500</v>
      </c>
      <c r="E160" s="144">
        <f t="shared" si="451"/>
        <v>47600</v>
      </c>
      <c r="F160" s="167">
        <v>32261</v>
      </c>
      <c r="G160" s="781" t="s">
        <v>3348</v>
      </c>
      <c r="H160" s="9">
        <f t="shared" ref="H160:O160" si="456">H935</f>
        <v>295800</v>
      </c>
      <c r="I160" s="85">
        <f>IF(E160=H160,0,IF(E160=0,100,(H160-E160)/E160*100))</f>
        <v>521.42857142857144</v>
      </c>
      <c r="J160" s="9">
        <f t="shared" si="456"/>
        <v>301800</v>
      </c>
      <c r="K160" s="9">
        <f t="shared" si="456"/>
        <v>307900</v>
      </c>
      <c r="L160" s="9">
        <f t="shared" si="456"/>
        <v>314100</v>
      </c>
      <c r="M160" s="9">
        <f t="shared" si="456"/>
        <v>320400</v>
      </c>
      <c r="N160" s="9">
        <f t="shared" si="456"/>
        <v>326900</v>
      </c>
      <c r="O160" s="9">
        <f t="shared" si="456"/>
        <v>333500</v>
      </c>
      <c r="P160" s="89">
        <f t="shared" ref="P160:Q160" si="457">P935</f>
        <v>340200</v>
      </c>
      <c r="Q160" s="9">
        <f t="shared" si="457"/>
        <v>347100</v>
      </c>
      <c r="R160" s="9">
        <f t="shared" ref="R160" si="458">R935</f>
        <v>354100</v>
      </c>
      <c r="S160" s="47">
        <f t="shared" ref="S160" si="459">S935</f>
        <v>361200</v>
      </c>
    </row>
    <row r="161" spans="1:21" x14ac:dyDescent="0.2">
      <c r="A161" s="45">
        <f t="shared" si="450"/>
        <v>648000</v>
      </c>
      <c r="B161" s="9">
        <f>ROUND(B936,)</f>
        <v>424700</v>
      </c>
      <c r="C161" s="136">
        <f t="shared" si="451"/>
        <v>569000</v>
      </c>
      <c r="D161" s="136">
        <f t="shared" si="451"/>
        <v>606100</v>
      </c>
      <c r="E161" s="144">
        <f t="shared" si="451"/>
        <v>357900</v>
      </c>
      <c r="F161" s="167">
        <v>32310</v>
      </c>
      <c r="G161" s="781" t="s">
        <v>3347</v>
      </c>
      <c r="H161" s="9">
        <f t="shared" ref="H161:O161" si="460">H936</f>
        <v>580400</v>
      </c>
      <c r="I161" s="85">
        <f>IF(E161=H161,0,IF(E161=0,100,(H161-E161)/E161*100))</f>
        <v>62.168203408773401</v>
      </c>
      <c r="J161" s="9">
        <f t="shared" si="460"/>
        <v>592100</v>
      </c>
      <c r="K161" s="9">
        <f t="shared" si="460"/>
        <v>604000</v>
      </c>
      <c r="L161" s="9">
        <f t="shared" si="460"/>
        <v>616100</v>
      </c>
      <c r="M161" s="9">
        <f t="shared" si="460"/>
        <v>628500</v>
      </c>
      <c r="N161" s="9">
        <f t="shared" si="460"/>
        <v>641100</v>
      </c>
      <c r="O161" s="9">
        <f t="shared" si="460"/>
        <v>654000</v>
      </c>
      <c r="P161" s="89">
        <f t="shared" ref="P161:Q161" si="461">P936</f>
        <v>667100</v>
      </c>
      <c r="Q161" s="9">
        <f t="shared" si="461"/>
        <v>680500</v>
      </c>
      <c r="R161" s="9">
        <f t="shared" ref="R161" si="462">R936</f>
        <v>694200</v>
      </c>
      <c r="S161" s="47">
        <f t="shared" ref="S161" si="463">S936</f>
        <v>708100</v>
      </c>
    </row>
    <row r="162" spans="1:21" x14ac:dyDescent="0.2">
      <c r="A162" s="45">
        <f>ROUND(SUM(A864:A864),-3)</f>
        <v>0</v>
      </c>
      <c r="B162" s="9">
        <f>ROUND(SUM(B864:B864),)</f>
        <v>140200</v>
      </c>
      <c r="C162" s="136">
        <f>ROUND(SUM(C864:C864),)</f>
        <v>252000</v>
      </c>
      <c r="D162" s="136">
        <f>ROUND(SUM(D864:D864),)</f>
        <v>0</v>
      </c>
      <c r="E162" s="144">
        <f>ROUND(SUM(E864:E864),)</f>
        <v>763600</v>
      </c>
      <c r="F162" s="167">
        <v>32000</v>
      </c>
      <c r="G162" s="781" t="s">
        <v>4427</v>
      </c>
      <c r="H162" s="9">
        <f t="shared" ref="H162:Q162" si="464">ROUND(SUM(H864:H864),)</f>
        <v>0</v>
      </c>
      <c r="I162" s="85">
        <f>IF(E162=H162,0,IF(E162=0,100,(H162-E162)/E162*100))</f>
        <v>-100</v>
      </c>
      <c r="J162" s="9">
        <f t="shared" si="464"/>
        <v>0</v>
      </c>
      <c r="K162" s="9">
        <f t="shared" si="464"/>
        <v>0</v>
      </c>
      <c r="L162" s="9">
        <f t="shared" si="464"/>
        <v>0</v>
      </c>
      <c r="M162" s="9">
        <f t="shared" si="464"/>
        <v>0</v>
      </c>
      <c r="N162" s="9">
        <f t="shared" si="464"/>
        <v>0</v>
      </c>
      <c r="O162" s="9">
        <f t="shared" si="464"/>
        <v>0</v>
      </c>
      <c r="P162" s="89">
        <f t="shared" si="464"/>
        <v>0</v>
      </c>
      <c r="Q162" s="9">
        <f t="shared" si="464"/>
        <v>0</v>
      </c>
      <c r="R162" s="9">
        <f t="shared" ref="R162" si="465">ROUND(SUM(R864:R864),)</f>
        <v>0</v>
      </c>
      <c r="S162" s="47">
        <f t="shared" ref="S162" si="466">ROUND(SUM(S864:S864),)</f>
        <v>0</v>
      </c>
    </row>
    <row r="163" spans="1:21" ht="13.5" thickBot="1" x14ac:dyDescent="0.25">
      <c r="A163" s="45"/>
      <c r="B163" s="9"/>
      <c r="E163" s="1514"/>
      <c r="F163" s="167"/>
      <c r="G163" s="257"/>
      <c r="H163" s="9"/>
      <c r="I163" s="85"/>
      <c r="J163" s="9"/>
      <c r="K163" s="9"/>
      <c r="L163" s="9"/>
      <c r="M163" s="9"/>
      <c r="N163" s="9"/>
      <c r="O163" s="9"/>
      <c r="P163" s="89"/>
      <c r="Q163" s="9"/>
      <c r="R163" s="9"/>
      <c r="S163" s="47"/>
    </row>
    <row r="164" spans="1:21" s="39" customFormat="1" x14ac:dyDescent="0.2">
      <c r="A164" s="545">
        <f>SUM(A135:A163)</f>
        <v>3004000</v>
      </c>
      <c r="B164" s="16">
        <f>SUM(B135:B163)</f>
        <v>3634900</v>
      </c>
      <c r="C164" s="16">
        <f>SUM(C135:C163)</f>
        <v>3726400</v>
      </c>
      <c r="D164" s="16">
        <f>SUM(D135:D163)</f>
        <v>3713200</v>
      </c>
      <c r="E164" s="323">
        <f t="shared" ref="E164" si="467">SUM(E135:E163)</f>
        <v>3414800</v>
      </c>
      <c r="F164" s="126"/>
      <c r="G164" s="267" t="s">
        <v>556</v>
      </c>
      <c r="H164" s="16">
        <f t="shared" ref="H164:O164" si="468">SUM(H135:H163)</f>
        <v>3662100</v>
      </c>
      <c r="I164" s="127">
        <f>IF(E164=H164,0,IF(E164=0,100,(H164-E164)/E164*100))</f>
        <v>7.2420053883097104</v>
      </c>
      <c r="J164" s="16">
        <f t="shared" si="468"/>
        <v>3798800</v>
      </c>
      <c r="K164" s="16">
        <f t="shared" si="468"/>
        <v>3887600</v>
      </c>
      <c r="L164" s="16">
        <f t="shared" si="468"/>
        <v>3978600</v>
      </c>
      <c r="M164" s="16">
        <f t="shared" si="468"/>
        <v>4071800</v>
      </c>
      <c r="N164" s="16">
        <f t="shared" si="468"/>
        <v>4166800</v>
      </c>
      <c r="O164" s="16">
        <f t="shared" si="468"/>
        <v>4263900</v>
      </c>
      <c r="P164" s="102">
        <f t="shared" ref="P164:Q164" si="469">SUM(P135:P163)</f>
        <v>4363100</v>
      </c>
      <c r="Q164" s="16">
        <f t="shared" si="469"/>
        <v>4464700</v>
      </c>
      <c r="R164" s="16">
        <f t="shared" ref="R164" si="470">SUM(R135:R163)</f>
        <v>4556700</v>
      </c>
      <c r="S164" s="2342">
        <f t="shared" ref="S164" si="471">SUM(S135:S163)</f>
        <v>4651000</v>
      </c>
      <c r="U164" s="34"/>
    </row>
    <row r="165" spans="1:21" x14ac:dyDescent="0.2">
      <c r="A165" s="45"/>
      <c r="B165" s="9"/>
      <c r="E165" s="144"/>
      <c r="F165" s="167"/>
      <c r="G165" s="257"/>
      <c r="H165" s="9"/>
      <c r="I165" s="85"/>
      <c r="J165" s="9"/>
      <c r="K165" s="9"/>
      <c r="L165" s="9"/>
      <c r="M165" s="9"/>
      <c r="N165" s="9"/>
      <c r="O165" s="9"/>
      <c r="P165" s="89"/>
      <c r="Q165" s="9"/>
      <c r="R165" s="9"/>
      <c r="S165" s="61"/>
    </row>
    <row r="166" spans="1:21" s="39" customFormat="1" x14ac:dyDescent="0.2">
      <c r="A166" s="544">
        <f>A132-A164</f>
        <v>-2999000</v>
      </c>
      <c r="B166" s="21">
        <f>B132-B164</f>
        <v>-3454800</v>
      </c>
      <c r="C166" s="139">
        <f>C132-C164</f>
        <v>-3726400</v>
      </c>
      <c r="D166" s="139">
        <f>D132-D164</f>
        <v>-3713200</v>
      </c>
      <c r="E166" s="143">
        <f t="shared" ref="E166" si="472">E132-E164</f>
        <v>-3414800</v>
      </c>
      <c r="F166" s="173"/>
      <c r="G166" s="361" t="s">
        <v>1002</v>
      </c>
      <c r="H166" s="21">
        <f t="shared" ref="H166:O166" si="473">H132-H164</f>
        <v>-3662100</v>
      </c>
      <c r="I166" s="126">
        <f>IF(E166=H166,0,IF(E166=0,100,(H166-E166)/E166*100))</f>
        <v>7.2420053883097104</v>
      </c>
      <c r="J166" s="21">
        <f t="shared" si="473"/>
        <v>-3798800</v>
      </c>
      <c r="K166" s="21">
        <f t="shared" si="473"/>
        <v>-3887600</v>
      </c>
      <c r="L166" s="21">
        <f t="shared" si="473"/>
        <v>-3978600</v>
      </c>
      <c r="M166" s="21">
        <f t="shared" si="473"/>
        <v>-4071800</v>
      </c>
      <c r="N166" s="21">
        <f t="shared" si="473"/>
        <v>-4166800</v>
      </c>
      <c r="O166" s="21">
        <f t="shared" si="473"/>
        <v>-4263900</v>
      </c>
      <c r="P166" s="75">
        <f t="shared" ref="P166:Q166" si="474">P132-P164</f>
        <v>-4363100</v>
      </c>
      <c r="Q166" s="21">
        <f t="shared" si="474"/>
        <v>-4464700</v>
      </c>
      <c r="R166" s="21">
        <f t="shared" ref="R166" si="475">R132-R164</f>
        <v>-4556700</v>
      </c>
      <c r="S166" s="86">
        <f t="shared" ref="S166" si="476">S132-S164</f>
        <v>-4651000</v>
      </c>
      <c r="U166" s="34"/>
    </row>
    <row r="167" spans="1:21" x14ac:dyDescent="0.2">
      <c r="A167" s="45">
        <f>ROUND(SUM(A157:A161),-3)</f>
        <v>1482000</v>
      </c>
      <c r="B167" s="9">
        <f>SUM(B157:B161)</f>
        <v>1681700</v>
      </c>
      <c r="C167" s="136">
        <f>SUM(C157:C161)</f>
        <v>1595400</v>
      </c>
      <c r="D167" s="136">
        <f>SUM(D157:D161)</f>
        <v>1679100</v>
      </c>
      <c r="E167" s="144">
        <f t="shared" ref="E167" si="477">SUM(E157:E161)</f>
        <v>582600</v>
      </c>
      <c r="F167" s="167"/>
      <c r="G167" s="261" t="s">
        <v>1943</v>
      </c>
      <c r="H167" s="9">
        <f t="shared" ref="H167:O167" si="478">SUM(H157:H161)</f>
        <v>1637200</v>
      </c>
      <c r="I167" s="85">
        <f>IF(E167=H167,0,IF(E167=0,100,(H167-E167)/E167*100))</f>
        <v>181.01613456917266</v>
      </c>
      <c r="J167" s="9">
        <f t="shared" si="478"/>
        <v>1670200</v>
      </c>
      <c r="K167" s="9">
        <f t="shared" si="478"/>
        <v>1703800</v>
      </c>
      <c r="L167" s="9">
        <f t="shared" si="478"/>
        <v>1738000</v>
      </c>
      <c r="M167" s="9">
        <f t="shared" si="478"/>
        <v>1772900</v>
      </c>
      <c r="N167" s="9">
        <f t="shared" si="478"/>
        <v>1808600</v>
      </c>
      <c r="O167" s="9">
        <f t="shared" si="478"/>
        <v>1845000</v>
      </c>
      <c r="P167" s="89">
        <f t="shared" ref="P167:Q167" si="479">SUM(P157:P161)</f>
        <v>1882000</v>
      </c>
      <c r="Q167" s="9">
        <f t="shared" si="479"/>
        <v>1919900</v>
      </c>
      <c r="R167" s="9">
        <f t="shared" ref="R167" si="480">SUM(R157:R161)</f>
        <v>1958600</v>
      </c>
      <c r="S167" s="47">
        <f t="shared" ref="S167" si="481">SUM(S157:S161)</f>
        <v>1997900</v>
      </c>
    </row>
    <row r="168" spans="1:21" x14ac:dyDescent="0.2">
      <c r="A168" s="45">
        <f>A162</f>
        <v>0</v>
      </c>
      <c r="B168" s="9">
        <f>B162</f>
        <v>140200</v>
      </c>
      <c r="C168" s="136">
        <f>C162</f>
        <v>252000</v>
      </c>
      <c r="D168" s="136">
        <f>D162</f>
        <v>0</v>
      </c>
      <c r="E168" s="144">
        <f t="shared" ref="E168" si="482">E162</f>
        <v>763600</v>
      </c>
      <c r="F168" s="167"/>
      <c r="G168" s="423" t="s">
        <v>4518</v>
      </c>
      <c r="H168" s="9">
        <f t="shared" ref="H168:O168" si="483">H162</f>
        <v>0</v>
      </c>
      <c r="I168" s="85">
        <f>IF(E168=H168,0,IF(E168=0,100,(H168-E168)/E168*100))</f>
        <v>-100</v>
      </c>
      <c r="J168" s="9">
        <f t="shared" si="483"/>
        <v>0</v>
      </c>
      <c r="K168" s="9">
        <f t="shared" si="483"/>
        <v>0</v>
      </c>
      <c r="L168" s="9">
        <f t="shared" si="483"/>
        <v>0</v>
      </c>
      <c r="M168" s="9">
        <f t="shared" si="483"/>
        <v>0</v>
      </c>
      <c r="N168" s="9">
        <f t="shared" si="483"/>
        <v>0</v>
      </c>
      <c r="O168" s="9">
        <f t="shared" si="483"/>
        <v>0</v>
      </c>
      <c r="P168" s="89">
        <f t="shared" ref="P168:Q168" si="484">P162</f>
        <v>0</v>
      </c>
      <c r="Q168" s="9">
        <f t="shared" si="484"/>
        <v>0</v>
      </c>
      <c r="R168" s="9">
        <f t="shared" ref="R168" si="485">R162</f>
        <v>0</v>
      </c>
      <c r="S168" s="47">
        <f t="shared" ref="S168" si="486">S162</f>
        <v>0</v>
      </c>
    </row>
    <row r="169" spans="1:21" s="39" customFormat="1" x14ac:dyDescent="0.2">
      <c r="A169" s="543">
        <f>A166+A167+A168</f>
        <v>-1517000</v>
      </c>
      <c r="B169" s="280">
        <f>B166+B167+B168</f>
        <v>-1632900</v>
      </c>
      <c r="C169" s="280">
        <f>C166+C167+C168</f>
        <v>-1879000</v>
      </c>
      <c r="D169" s="280">
        <f>D166+D167+D168</f>
        <v>-2034100</v>
      </c>
      <c r="E169" s="515">
        <f t="shared" ref="E169" si="487">E166+E167+E168</f>
        <v>-2068600</v>
      </c>
      <c r="F169" s="372"/>
      <c r="G169" s="363" t="s">
        <v>1659</v>
      </c>
      <c r="H169" s="280">
        <f t="shared" ref="H169:O169" si="488">H166+H167+H168</f>
        <v>-2024900</v>
      </c>
      <c r="I169" s="278">
        <f>IF(E169=H169,0,IF(E169=0,100,(H169-E169)/E169*100))</f>
        <v>-2.1125398820458283</v>
      </c>
      <c r="J169" s="280">
        <f t="shared" si="488"/>
        <v>-2128600</v>
      </c>
      <c r="K169" s="280">
        <f t="shared" si="488"/>
        <v>-2183800</v>
      </c>
      <c r="L169" s="280">
        <f t="shared" si="488"/>
        <v>-2240600</v>
      </c>
      <c r="M169" s="280">
        <f t="shared" si="488"/>
        <v>-2298900</v>
      </c>
      <c r="N169" s="280">
        <f t="shared" si="488"/>
        <v>-2358200</v>
      </c>
      <c r="O169" s="280">
        <f t="shared" si="488"/>
        <v>-2418900</v>
      </c>
      <c r="P169" s="266">
        <f t="shared" ref="P169:Q169" si="489">P166+P167+P168</f>
        <v>-2481100</v>
      </c>
      <c r="Q169" s="280">
        <f t="shared" si="489"/>
        <v>-2544800</v>
      </c>
      <c r="R169" s="280">
        <f t="shared" ref="R169" si="490">R166+R167+R168</f>
        <v>-2598100</v>
      </c>
      <c r="S169" s="2343">
        <f t="shared" ref="S169" si="491">S166+S167+S168</f>
        <v>-2653100</v>
      </c>
      <c r="U169" s="34"/>
    </row>
    <row r="170" spans="1:21" ht="13.5" thickBot="1" x14ac:dyDescent="0.25">
      <c r="A170" s="544"/>
      <c r="B170" s="21"/>
      <c r="C170" s="138"/>
      <c r="D170" s="138"/>
      <c r="E170" s="143"/>
      <c r="F170" s="167"/>
      <c r="G170" s="260"/>
      <c r="H170" s="9"/>
      <c r="I170" s="126"/>
      <c r="J170" s="9"/>
      <c r="K170" s="9"/>
      <c r="L170" s="9"/>
      <c r="M170" s="9"/>
      <c r="N170" s="9"/>
      <c r="O170" s="9"/>
      <c r="P170" s="89"/>
      <c r="Q170" s="9"/>
      <c r="R170" s="9"/>
      <c r="S170" s="47"/>
    </row>
    <row r="171" spans="1:21" ht="13.5" thickTop="1" x14ac:dyDescent="0.2">
      <c r="A171" s="1434"/>
      <c r="B171" s="109"/>
      <c r="C171" s="140"/>
      <c r="D171" s="140"/>
      <c r="E171" s="142"/>
      <c r="F171" s="254"/>
      <c r="G171" s="258"/>
      <c r="H171" s="74"/>
      <c r="I171" s="352"/>
      <c r="J171" s="74"/>
      <c r="K171" s="74"/>
      <c r="L171" s="74"/>
      <c r="M171" s="74"/>
      <c r="N171" s="74"/>
      <c r="O171" s="74"/>
      <c r="P171" s="111"/>
      <c r="Q171" s="74"/>
      <c r="R171" s="74"/>
      <c r="S171" s="2345"/>
    </row>
    <row r="172" spans="1:21" x14ac:dyDescent="0.2">
      <c r="A172" s="544"/>
      <c r="B172" s="21"/>
      <c r="C172" s="139"/>
      <c r="D172" s="139"/>
      <c r="E172" s="143"/>
      <c r="F172" s="167"/>
      <c r="G172" s="361" t="s">
        <v>192</v>
      </c>
      <c r="H172" s="9"/>
      <c r="I172" s="126"/>
      <c r="J172" s="9"/>
      <c r="K172" s="9"/>
      <c r="L172" s="9"/>
      <c r="M172" s="9"/>
      <c r="N172" s="9"/>
      <c r="O172" s="9"/>
      <c r="P172" s="89"/>
      <c r="Q172" s="9"/>
      <c r="R172" s="9"/>
      <c r="S172" s="47"/>
    </row>
    <row r="173" spans="1:21" x14ac:dyDescent="0.2">
      <c r="A173" s="544"/>
      <c r="B173" s="21"/>
      <c r="C173" s="139"/>
      <c r="D173" s="139"/>
      <c r="E173" s="143"/>
      <c r="F173" s="167"/>
      <c r="G173" s="260"/>
      <c r="H173" s="9"/>
      <c r="I173" s="126"/>
      <c r="J173" s="9"/>
      <c r="K173" s="9"/>
      <c r="L173" s="9"/>
      <c r="M173" s="9"/>
      <c r="N173" s="9"/>
      <c r="O173" s="9"/>
      <c r="P173" s="89"/>
      <c r="Q173" s="9"/>
      <c r="R173" s="9"/>
      <c r="S173" s="47"/>
    </row>
    <row r="174" spans="1:21" x14ac:dyDescent="0.2">
      <c r="A174" s="45">
        <f>ROUND(A874+A945,-3)</f>
        <v>0</v>
      </c>
      <c r="B174" s="9">
        <f t="shared" ref="B174:E178" si="492">B874+B945</f>
        <v>0</v>
      </c>
      <c r="C174" s="136">
        <f t="shared" si="492"/>
        <v>0</v>
      </c>
      <c r="D174" s="136">
        <f t="shared" si="492"/>
        <v>0</v>
      </c>
      <c r="E174" s="144">
        <f t="shared" si="492"/>
        <v>0</v>
      </c>
      <c r="F174" s="167"/>
      <c r="G174" s="257" t="s">
        <v>2848</v>
      </c>
      <c r="H174" s="9">
        <f>H874+H945</f>
        <v>0</v>
      </c>
      <c r="I174" s="85">
        <f>IF(E174=H174,0,IF(E174=0,100,(H174-E174)/E174*100))</f>
        <v>0</v>
      </c>
      <c r="J174" s="9">
        <f t="shared" ref="J174:S174" si="493">J874+J945</f>
        <v>0</v>
      </c>
      <c r="K174" s="9">
        <f t="shared" si="493"/>
        <v>0</v>
      </c>
      <c r="L174" s="9">
        <f t="shared" si="493"/>
        <v>0</v>
      </c>
      <c r="M174" s="9">
        <f t="shared" si="493"/>
        <v>0</v>
      </c>
      <c r="N174" s="9">
        <f t="shared" si="493"/>
        <v>0</v>
      </c>
      <c r="O174" s="9">
        <f t="shared" si="493"/>
        <v>0</v>
      </c>
      <c r="P174" s="89">
        <f t="shared" si="493"/>
        <v>0</v>
      </c>
      <c r="Q174" s="9">
        <f t="shared" si="493"/>
        <v>0</v>
      </c>
      <c r="R174" s="9">
        <f t="shared" si="493"/>
        <v>0</v>
      </c>
      <c r="S174" s="47">
        <f t="shared" si="493"/>
        <v>0</v>
      </c>
    </row>
    <row r="175" spans="1:21" x14ac:dyDescent="0.2">
      <c r="A175" s="45">
        <f>ROUND(A875+A946,-3)</f>
        <v>1727000</v>
      </c>
      <c r="B175" s="9">
        <f t="shared" si="492"/>
        <v>454000</v>
      </c>
      <c r="C175" s="136">
        <f t="shared" si="492"/>
        <v>1698800</v>
      </c>
      <c r="D175" s="136">
        <f t="shared" si="492"/>
        <v>1419200</v>
      </c>
      <c r="E175" s="144">
        <f t="shared" si="492"/>
        <v>2123800</v>
      </c>
      <c r="F175" s="167"/>
      <c r="G175" s="257" t="s">
        <v>1909</v>
      </c>
      <c r="H175" s="9">
        <f>H875+H946</f>
        <v>284600</v>
      </c>
      <c r="I175" s="85">
        <f>IF(E175=H175,0,IF(E175=0,100,(H175-E175)/E175*100))</f>
        <v>-86.599491477540255</v>
      </c>
      <c r="J175" s="9">
        <f t="shared" ref="J175:S175" si="494">J875+J946</f>
        <v>0</v>
      </c>
      <c r="K175" s="9">
        <f t="shared" si="494"/>
        <v>0</v>
      </c>
      <c r="L175" s="9">
        <f t="shared" si="494"/>
        <v>0</v>
      </c>
      <c r="M175" s="9">
        <f t="shared" si="494"/>
        <v>0</v>
      </c>
      <c r="N175" s="9">
        <f t="shared" si="494"/>
        <v>0</v>
      </c>
      <c r="O175" s="9">
        <f t="shared" si="494"/>
        <v>0</v>
      </c>
      <c r="P175" s="89">
        <f t="shared" si="494"/>
        <v>0</v>
      </c>
      <c r="Q175" s="9">
        <f t="shared" si="494"/>
        <v>0</v>
      </c>
      <c r="R175" s="9">
        <f t="shared" si="494"/>
        <v>0</v>
      </c>
      <c r="S175" s="47">
        <f t="shared" si="494"/>
        <v>0</v>
      </c>
    </row>
    <row r="176" spans="1:21" x14ac:dyDescent="0.2">
      <c r="A176" s="45">
        <f>ROUND(A876+A947,-3)</f>
        <v>200000</v>
      </c>
      <c r="B176" s="9">
        <f t="shared" si="492"/>
        <v>464700</v>
      </c>
      <c r="C176" s="136">
        <f t="shared" si="492"/>
        <v>1335900</v>
      </c>
      <c r="D176" s="136">
        <f t="shared" si="492"/>
        <v>1627700</v>
      </c>
      <c r="E176" s="144">
        <f t="shared" si="492"/>
        <v>2580600</v>
      </c>
      <c r="F176" s="167"/>
      <c r="G176" s="257" t="s">
        <v>2309</v>
      </c>
      <c r="H176" s="9">
        <f>H876+H947</f>
        <v>1418900</v>
      </c>
      <c r="I176" s="85">
        <f>IF(E176=H176,0,IF(E176=0,100,(H176-E176)/E176*100))</f>
        <v>-45.016662791598854</v>
      </c>
      <c r="J176" s="9">
        <f t="shared" ref="J176:S176" si="495">J876+J947</f>
        <v>0</v>
      </c>
      <c r="K176" s="9">
        <f t="shared" si="495"/>
        <v>0</v>
      </c>
      <c r="L176" s="9">
        <f t="shared" si="495"/>
        <v>0</v>
      </c>
      <c r="M176" s="9">
        <f t="shared" si="495"/>
        <v>2100000</v>
      </c>
      <c r="N176" s="9">
        <f t="shared" si="495"/>
        <v>1500000</v>
      </c>
      <c r="O176" s="9">
        <f t="shared" si="495"/>
        <v>1000000</v>
      </c>
      <c r="P176" s="89">
        <f t="shared" si="495"/>
        <v>1700000</v>
      </c>
      <c r="Q176" s="9">
        <f t="shared" si="495"/>
        <v>1700000</v>
      </c>
      <c r="R176" s="9">
        <f t="shared" si="495"/>
        <v>1700000</v>
      </c>
      <c r="S176" s="47">
        <f t="shared" si="495"/>
        <v>1700000</v>
      </c>
    </row>
    <row r="177" spans="1:21" x14ac:dyDescent="0.2">
      <c r="A177" s="45">
        <f>ROUND(A877+A948,-3)</f>
        <v>204000</v>
      </c>
      <c r="B177" s="9">
        <f t="shared" si="492"/>
        <v>755100</v>
      </c>
      <c r="C177" s="136">
        <f t="shared" si="492"/>
        <v>659600</v>
      </c>
      <c r="D177" s="136">
        <f t="shared" si="492"/>
        <v>777700</v>
      </c>
      <c r="E177" s="144">
        <f t="shared" si="492"/>
        <v>1581300</v>
      </c>
      <c r="F177" s="167"/>
      <c r="G177" s="257" t="s">
        <v>5847</v>
      </c>
      <c r="H177" s="9">
        <f>H877+H948</f>
        <v>107900</v>
      </c>
      <c r="I177" s="85">
        <f>IF(E177=H177,0,IF(E177=0,100,(H177-E177)/E177*100))</f>
        <v>-93.176500347815093</v>
      </c>
      <c r="J177" s="9">
        <f t="shared" ref="J177:S177" si="496">J877+J948</f>
        <v>109900</v>
      </c>
      <c r="K177" s="9">
        <f t="shared" si="496"/>
        <v>112100</v>
      </c>
      <c r="L177" s="9">
        <f t="shared" si="496"/>
        <v>114400</v>
      </c>
      <c r="M177" s="9">
        <f t="shared" si="496"/>
        <v>116800</v>
      </c>
      <c r="N177" s="9">
        <f t="shared" si="496"/>
        <v>119200</v>
      </c>
      <c r="O177" s="9">
        <f t="shared" si="496"/>
        <v>121600</v>
      </c>
      <c r="P177" s="89">
        <f t="shared" si="496"/>
        <v>124200</v>
      </c>
      <c r="Q177" s="9">
        <f t="shared" si="496"/>
        <v>126800</v>
      </c>
      <c r="R177" s="9">
        <f t="shared" si="496"/>
        <v>129400</v>
      </c>
      <c r="S177" s="47">
        <f t="shared" si="496"/>
        <v>132200</v>
      </c>
    </row>
    <row r="178" spans="1:21" x14ac:dyDescent="0.2">
      <c r="A178" s="45">
        <f>ROUND(A878+A949,-3)</f>
        <v>298000</v>
      </c>
      <c r="B178" s="9">
        <f t="shared" si="492"/>
        <v>1178300</v>
      </c>
      <c r="C178" s="136">
        <f t="shared" si="492"/>
        <v>761200</v>
      </c>
      <c r="D178" s="136">
        <f t="shared" si="492"/>
        <v>1337300</v>
      </c>
      <c r="E178" s="144">
        <f t="shared" si="492"/>
        <v>2529500</v>
      </c>
      <c r="F178" s="167"/>
      <c r="G178" s="257" t="s">
        <v>958</v>
      </c>
      <c r="H178" s="9">
        <f>H878+H949</f>
        <v>1644900</v>
      </c>
      <c r="I178" s="85">
        <f>IF(E178=H178,0,IF(E178=0,100,(H178-E178)/E178*100))</f>
        <v>-34.971338209132242</v>
      </c>
      <c r="J178" s="9">
        <f t="shared" ref="J178:S178" si="497">J878+J949</f>
        <v>521000</v>
      </c>
      <c r="K178" s="9">
        <f t="shared" si="497"/>
        <v>542000</v>
      </c>
      <c r="L178" s="9">
        <f t="shared" si="497"/>
        <v>806000</v>
      </c>
      <c r="M178" s="9">
        <f t="shared" si="497"/>
        <v>2920000</v>
      </c>
      <c r="N178" s="9">
        <f t="shared" si="497"/>
        <v>2335000</v>
      </c>
      <c r="O178" s="9">
        <f t="shared" si="497"/>
        <v>1850000</v>
      </c>
      <c r="P178" s="89">
        <f t="shared" si="497"/>
        <v>2565000</v>
      </c>
      <c r="Q178" s="9">
        <f t="shared" si="497"/>
        <v>2580000</v>
      </c>
      <c r="R178" s="9">
        <f t="shared" si="497"/>
        <v>2595000</v>
      </c>
      <c r="S178" s="47">
        <f t="shared" si="497"/>
        <v>2610000</v>
      </c>
    </row>
    <row r="179" spans="1:21" x14ac:dyDescent="0.2">
      <c r="A179" s="45"/>
      <c r="B179" s="9"/>
      <c r="E179" s="144"/>
      <c r="F179" s="167"/>
      <c r="G179" s="361"/>
      <c r="H179" s="9"/>
      <c r="I179" s="85"/>
      <c r="J179" s="9"/>
      <c r="K179" s="9"/>
      <c r="L179" s="9"/>
      <c r="M179" s="9"/>
      <c r="N179" s="9"/>
      <c r="O179" s="9"/>
      <c r="P179" s="89"/>
      <c r="Q179" s="9"/>
      <c r="R179" s="9"/>
      <c r="S179" s="47"/>
    </row>
    <row r="180" spans="1:21" s="39" customFormat="1" x14ac:dyDescent="0.2">
      <c r="A180" s="543">
        <f>A169-A174-A175+A176+A177-A178</f>
        <v>-3138000</v>
      </c>
      <c r="B180" s="280">
        <f>B169-B174-B175+B176+B177-B178</f>
        <v>-2045400</v>
      </c>
      <c r="C180" s="281">
        <f>C169-C174-C175+C176+C177-C178</f>
        <v>-2343500</v>
      </c>
      <c r="D180" s="281">
        <f>D169-D174-D175+D176+D177-D178</f>
        <v>-2385200</v>
      </c>
      <c r="E180" s="1513">
        <f t="shared" ref="E180" si="498">E169-E174-E175+E176+E177-E178</f>
        <v>-2560000</v>
      </c>
      <c r="F180" s="372"/>
      <c r="G180" s="363" t="s">
        <v>2447</v>
      </c>
      <c r="H180" s="280">
        <f t="shared" ref="H180:O180" si="499">H169-H174-H175+H176+H177-H178</f>
        <v>-2427600</v>
      </c>
      <c r="I180" s="278">
        <f>IF(E180=H180,0,IF(E180=0,100,(H180-E180)/E180*100))</f>
        <v>-5.171875</v>
      </c>
      <c r="J180" s="280">
        <f t="shared" si="499"/>
        <v>-2539700</v>
      </c>
      <c r="K180" s="280">
        <f t="shared" si="499"/>
        <v>-2613700</v>
      </c>
      <c r="L180" s="280">
        <f t="shared" si="499"/>
        <v>-2932200</v>
      </c>
      <c r="M180" s="280">
        <f t="shared" si="499"/>
        <v>-3002100</v>
      </c>
      <c r="N180" s="280">
        <f t="shared" si="499"/>
        <v>-3074000</v>
      </c>
      <c r="O180" s="280">
        <f t="shared" si="499"/>
        <v>-3147300</v>
      </c>
      <c r="P180" s="266">
        <f t="shared" ref="P180:Q180" si="500">P169-P174-P175+P176+P177-P178</f>
        <v>-3221900</v>
      </c>
      <c r="Q180" s="280">
        <f t="shared" si="500"/>
        <v>-3298000</v>
      </c>
      <c r="R180" s="280">
        <f t="shared" ref="R180" si="501">R169-R174-R175+R176+R177-R178</f>
        <v>-3363700</v>
      </c>
      <c r="S180" s="2343">
        <f t="shared" ref="S180" si="502">S169-S174-S175+S176+S177-S178</f>
        <v>-3430900</v>
      </c>
      <c r="U180" s="34"/>
    </row>
    <row r="181" spans="1:21" ht="13.5" thickBot="1" x14ac:dyDescent="0.25">
      <c r="A181" s="432"/>
      <c r="B181" s="37"/>
      <c r="C181" s="141"/>
      <c r="D181" s="141"/>
      <c r="E181" s="1437"/>
      <c r="F181" s="166"/>
      <c r="G181" s="259"/>
      <c r="H181" s="23"/>
      <c r="I181" s="275"/>
      <c r="J181" s="23"/>
      <c r="K181" s="23"/>
      <c r="L181" s="23"/>
      <c r="M181" s="23"/>
      <c r="N181" s="23"/>
      <c r="O181" s="23"/>
      <c r="P181" s="113"/>
      <c r="Q181" s="23"/>
      <c r="R181" s="23"/>
      <c r="S181" s="112"/>
    </row>
    <row r="182" spans="1:21" ht="14.25" thickTop="1" thickBot="1" x14ac:dyDescent="0.25">
      <c r="B182" s="123"/>
      <c r="C182" s="147"/>
      <c r="D182" s="147"/>
      <c r="E182" s="147"/>
      <c r="F182" s="172"/>
      <c r="I182" s="279"/>
    </row>
    <row r="183" spans="1:21" s="38" customFormat="1" ht="18.75" customHeight="1" thickTop="1" thickBot="1" x14ac:dyDescent="0.3">
      <c r="A183" s="2588" t="s">
        <v>451</v>
      </c>
      <c r="B183" s="2589"/>
      <c r="C183" s="2589"/>
      <c r="D183" s="2589"/>
      <c r="E183" s="2589"/>
      <c r="F183" s="2589"/>
      <c r="G183" s="2589"/>
      <c r="H183" s="2589"/>
      <c r="I183" s="2589"/>
      <c r="J183" s="2589"/>
      <c r="K183" s="2589"/>
      <c r="L183" s="2589"/>
      <c r="M183" s="2589"/>
      <c r="N183" s="2589"/>
      <c r="O183" s="2589"/>
      <c r="P183" s="2589"/>
      <c r="Q183" s="2589"/>
      <c r="R183" s="2589"/>
      <c r="S183" s="2590"/>
      <c r="U183" s="34"/>
    </row>
    <row r="184" spans="1:21" s="39" customFormat="1" ht="13.5" thickBot="1" x14ac:dyDescent="0.25">
      <c r="A184" s="2591" t="s">
        <v>1824</v>
      </c>
      <c r="B184" s="2577"/>
      <c r="C184" s="2577"/>
      <c r="D184" s="2577"/>
      <c r="E184" s="2592"/>
      <c r="F184" s="127" t="s">
        <v>2616</v>
      </c>
      <c r="G184" s="127" t="s">
        <v>2213</v>
      </c>
      <c r="H184" s="2568" t="s">
        <v>2215</v>
      </c>
      <c r="I184" s="2568"/>
      <c r="J184" s="2568"/>
      <c r="K184" s="2568"/>
      <c r="L184" s="2568"/>
      <c r="M184" s="2568"/>
      <c r="N184" s="2568"/>
      <c r="O184" s="2568"/>
      <c r="P184" s="2568"/>
      <c r="Q184" s="2568"/>
      <c r="R184" s="2568"/>
      <c r="S184" s="2607"/>
      <c r="U184" s="34"/>
    </row>
    <row r="185" spans="1:21" ht="12.75" customHeight="1" thickBot="1" x14ac:dyDescent="0.25">
      <c r="A185" s="541" t="str">
        <f t="shared" ref="A185:B185" si="503">A3</f>
        <v>2012/13</v>
      </c>
      <c r="B185" s="28" t="str">
        <f t="shared" si="503"/>
        <v>2013/14</v>
      </c>
      <c r="C185" s="40" t="str">
        <f>C3</f>
        <v>2014/15</v>
      </c>
      <c r="D185" s="40" t="str">
        <f>D3</f>
        <v>2015/16</v>
      </c>
      <c r="E185" s="40" t="str">
        <f t="shared" ref="E185" si="504">E3</f>
        <v>2016/17</v>
      </c>
      <c r="F185" s="40" t="s">
        <v>2617</v>
      </c>
      <c r="G185" s="41"/>
      <c r="H185" s="40" t="str">
        <f t="shared" ref="H185:P185" si="505">H3</f>
        <v>2017/18</v>
      </c>
      <c r="I185" s="1258" t="str">
        <f>I72</f>
        <v xml:space="preserve">% </v>
      </c>
      <c r="J185" s="40" t="str">
        <f t="shared" si="505"/>
        <v>2018/19</v>
      </c>
      <c r="K185" s="40" t="str">
        <f t="shared" si="505"/>
        <v>2019/20</v>
      </c>
      <c r="L185" s="40" t="str">
        <f t="shared" si="505"/>
        <v>2020/21</v>
      </c>
      <c r="M185" s="40" t="str">
        <f t="shared" si="505"/>
        <v>2021/22</v>
      </c>
      <c r="N185" s="40" t="str">
        <f t="shared" si="505"/>
        <v>2022/23</v>
      </c>
      <c r="O185" s="40" t="str">
        <f t="shared" si="505"/>
        <v>2023/24</v>
      </c>
      <c r="P185" s="40" t="str">
        <f t="shared" si="505"/>
        <v>2024/25</v>
      </c>
      <c r="Q185" s="28" t="str">
        <f>Q3</f>
        <v>2025/26</v>
      </c>
      <c r="R185" s="28" t="str">
        <f t="shared" ref="R185:S185" si="506">R3</f>
        <v>2026/27</v>
      </c>
      <c r="S185" s="1620" t="str">
        <f t="shared" si="506"/>
        <v>2027/28</v>
      </c>
    </row>
    <row r="186" spans="1:21" x14ac:dyDescent="0.2">
      <c r="A186" s="45"/>
      <c r="B186" s="9"/>
      <c r="C186" s="134"/>
      <c r="D186" s="134"/>
      <c r="E186" s="134"/>
      <c r="F186" s="1152"/>
      <c r="G186" s="29"/>
      <c r="H186" s="9"/>
      <c r="I186" s="85"/>
      <c r="J186" s="9"/>
      <c r="K186" s="9"/>
      <c r="L186" s="9"/>
      <c r="M186" s="9"/>
      <c r="N186" s="9"/>
      <c r="O186" s="9"/>
      <c r="P186" s="9"/>
      <c r="Q186" s="9"/>
      <c r="R186" s="9"/>
      <c r="S186" s="61"/>
    </row>
    <row r="187" spans="1:21" x14ac:dyDescent="0.2">
      <c r="A187" s="45"/>
      <c r="B187" s="9"/>
      <c r="C187" s="134"/>
      <c r="E187" s="134"/>
      <c r="F187" s="1152"/>
      <c r="G187" s="50" t="s">
        <v>1056</v>
      </c>
      <c r="H187" s="9"/>
      <c r="I187" s="85"/>
      <c r="J187" s="9"/>
      <c r="K187" s="9"/>
      <c r="L187" s="9"/>
      <c r="M187" s="9"/>
      <c r="N187" s="9"/>
      <c r="O187" s="9"/>
      <c r="P187" s="9"/>
      <c r="Q187" s="9"/>
      <c r="R187" s="9"/>
      <c r="S187" s="61"/>
    </row>
    <row r="188" spans="1:21" x14ac:dyDescent="0.2">
      <c r="A188" s="45"/>
      <c r="B188" s="9"/>
      <c r="C188" s="134"/>
      <c r="E188" s="134"/>
      <c r="F188" s="1152"/>
      <c r="G188" s="50"/>
      <c r="H188" s="9"/>
      <c r="I188" s="85"/>
      <c r="J188" s="9"/>
      <c r="K188" s="9"/>
      <c r="L188" s="9"/>
      <c r="M188" s="9"/>
      <c r="N188" s="9"/>
      <c r="O188" s="9"/>
      <c r="P188" s="9"/>
      <c r="Q188" s="9"/>
      <c r="R188" s="9"/>
      <c r="S188" s="61"/>
    </row>
    <row r="189" spans="1:21" x14ac:dyDescent="0.2">
      <c r="A189" s="45"/>
      <c r="B189" s="9"/>
      <c r="C189" s="134"/>
      <c r="E189" s="134"/>
      <c r="F189" s="1152"/>
      <c r="G189" s="32" t="s">
        <v>2509</v>
      </c>
      <c r="H189" s="9"/>
      <c r="I189" s="85"/>
      <c r="J189" s="9"/>
      <c r="K189" s="9"/>
      <c r="L189" s="9"/>
      <c r="M189" s="9"/>
      <c r="N189" s="9"/>
      <c r="O189" s="9"/>
      <c r="P189" s="9"/>
      <c r="Q189" s="9"/>
      <c r="R189" s="9"/>
      <c r="S189" s="61"/>
    </row>
    <row r="190" spans="1:21" x14ac:dyDescent="0.2">
      <c r="A190" s="54">
        <f>SUM(A958:A959)</f>
        <v>279500</v>
      </c>
      <c r="B190" s="9">
        <f>SUM(B958:B959)</f>
        <v>282100</v>
      </c>
      <c r="C190" s="136">
        <f>SUM(C958:C959)</f>
        <v>284000</v>
      </c>
      <c r="D190" s="136">
        <f>SUM(D958:D959)</f>
        <v>369500</v>
      </c>
      <c r="E190" s="134">
        <f t="shared" ref="E190" si="507">SUM(E958:E959)</f>
        <v>375100</v>
      </c>
      <c r="F190" s="165">
        <v>22100</v>
      </c>
      <c r="G190" s="29" t="s">
        <v>60</v>
      </c>
      <c r="H190" s="9">
        <f t="shared" ref="H190:P190" si="508">SUM(H958:H959)</f>
        <v>380000</v>
      </c>
      <c r="I190" s="85">
        <f>IF(E190=H190,0,IF(E190=0,100,(H190-E190)/E190*100))</f>
        <v>1.3063183151159692</v>
      </c>
      <c r="J190" s="9">
        <f t="shared" si="508"/>
        <v>381900</v>
      </c>
      <c r="K190" s="9">
        <f t="shared" si="508"/>
        <v>383900</v>
      </c>
      <c r="L190" s="9">
        <f t="shared" si="508"/>
        <v>385900</v>
      </c>
      <c r="M190" s="9">
        <f t="shared" si="508"/>
        <v>387900</v>
      </c>
      <c r="N190" s="9">
        <f t="shared" si="508"/>
        <v>389900</v>
      </c>
      <c r="O190" s="9">
        <f t="shared" si="508"/>
        <v>391900</v>
      </c>
      <c r="P190" s="9">
        <f t="shared" si="508"/>
        <v>393900</v>
      </c>
      <c r="Q190" s="9">
        <f t="shared" ref="Q190" si="509">SUM(Q958:Q959)</f>
        <v>395900</v>
      </c>
      <c r="R190" s="9">
        <f t="shared" ref="R190" si="510">SUM(R958:R959)</f>
        <v>397900</v>
      </c>
      <c r="S190" s="47">
        <f t="shared" ref="S190" si="511">SUM(S958:S959)</f>
        <v>399900</v>
      </c>
    </row>
    <row r="191" spans="1:21" x14ac:dyDescent="0.2">
      <c r="A191" s="54"/>
      <c r="B191" s="9"/>
      <c r="E191" s="134"/>
      <c r="F191" s="1153"/>
      <c r="G191" s="29"/>
      <c r="H191" s="9"/>
      <c r="I191" s="85"/>
      <c r="J191" s="9"/>
      <c r="K191" s="9"/>
      <c r="L191" s="9"/>
      <c r="M191" s="9"/>
      <c r="N191" s="9"/>
      <c r="O191" s="9"/>
      <c r="P191" s="9"/>
      <c r="Q191" s="9"/>
      <c r="R191" s="9"/>
      <c r="S191" s="47"/>
    </row>
    <row r="192" spans="1:21" x14ac:dyDescent="0.2">
      <c r="A192" s="54"/>
      <c r="B192" s="9"/>
      <c r="E192" s="134"/>
      <c r="F192" s="1153"/>
      <c r="G192" s="32" t="s">
        <v>1867</v>
      </c>
      <c r="H192" s="9"/>
      <c r="I192" s="85"/>
      <c r="J192" s="9"/>
      <c r="K192" s="9"/>
      <c r="L192" s="9"/>
      <c r="M192" s="9"/>
      <c r="N192" s="9"/>
      <c r="O192" s="9"/>
      <c r="P192" s="9"/>
      <c r="Q192" s="9"/>
      <c r="R192" s="9"/>
      <c r="S192" s="47"/>
    </row>
    <row r="193" spans="1:21" x14ac:dyDescent="0.2">
      <c r="A193" s="54">
        <f>SUM(A960:A961)</f>
        <v>8000</v>
      </c>
      <c r="B193" s="9">
        <f>SUM(B960:B961)</f>
        <v>21500</v>
      </c>
      <c r="C193" s="136">
        <f>SUM(C960:C961)</f>
        <v>7700</v>
      </c>
      <c r="D193" s="136">
        <f>SUM(D960:D961)</f>
        <v>0</v>
      </c>
      <c r="E193" s="134">
        <f>SUM(E960:E961)</f>
        <v>22800</v>
      </c>
      <c r="F193" s="248">
        <v>22101</v>
      </c>
      <c r="G193" s="1150" t="s">
        <v>4443</v>
      </c>
      <c r="H193" s="9">
        <f t="shared" ref="H193:Q193" si="512">SUM(H960:H961)</f>
        <v>20000</v>
      </c>
      <c r="I193" s="85">
        <f>IF(E193=H193,0,IF(E193=0,100,(H193-E193)/E193*100))</f>
        <v>-12.280701754385964</v>
      </c>
      <c r="J193" s="9">
        <f t="shared" si="512"/>
        <v>0</v>
      </c>
      <c r="K193" s="9">
        <f t="shared" si="512"/>
        <v>0</v>
      </c>
      <c r="L193" s="9">
        <f t="shared" si="512"/>
        <v>0</v>
      </c>
      <c r="M193" s="9">
        <f t="shared" si="512"/>
        <v>0</v>
      </c>
      <c r="N193" s="9">
        <f t="shared" si="512"/>
        <v>0</v>
      </c>
      <c r="O193" s="9">
        <f t="shared" si="512"/>
        <v>0</v>
      </c>
      <c r="P193" s="9">
        <f t="shared" si="512"/>
        <v>0</v>
      </c>
      <c r="Q193" s="9">
        <f t="shared" si="512"/>
        <v>0</v>
      </c>
      <c r="R193" s="9">
        <f t="shared" ref="R193" si="513">SUM(R960:R961)</f>
        <v>0</v>
      </c>
      <c r="S193" s="47">
        <f t="shared" ref="S193" si="514">SUM(S960:S961)</f>
        <v>0</v>
      </c>
    </row>
    <row r="194" spans="1:21" x14ac:dyDescent="0.2">
      <c r="A194" s="54">
        <f>SUM(A962:A969)</f>
        <v>41800</v>
      </c>
      <c r="B194" s="9">
        <f>SUM(B962:B969)</f>
        <v>43800</v>
      </c>
      <c r="C194" s="136">
        <f>SUM(C962:C969)</f>
        <v>0</v>
      </c>
      <c r="D194" s="136">
        <f>SUM(D962:D969)</f>
        <v>5100</v>
      </c>
      <c r="E194" s="134">
        <f>SUM(E962:E969)</f>
        <v>156100</v>
      </c>
      <c r="F194" s="248">
        <v>22101</v>
      </c>
      <c r="G194" s="1150" t="s">
        <v>677</v>
      </c>
      <c r="H194" s="9">
        <f t="shared" ref="H194:Q194" si="515">SUM(H962:H969)</f>
        <v>131000</v>
      </c>
      <c r="I194" s="85">
        <f>IF(E194=H194,0,IF(E194=0,100,(H194-E194)/E194*100))</f>
        <v>-16.079436258808457</v>
      </c>
      <c r="J194" s="9">
        <f t="shared" si="515"/>
        <v>130000</v>
      </c>
      <c r="K194" s="9">
        <f t="shared" si="515"/>
        <v>100000</v>
      </c>
      <c r="L194" s="9">
        <f t="shared" si="515"/>
        <v>0</v>
      </c>
      <c r="M194" s="9">
        <f t="shared" si="515"/>
        <v>0</v>
      </c>
      <c r="N194" s="9">
        <f t="shared" si="515"/>
        <v>0</v>
      </c>
      <c r="O194" s="9">
        <f t="shared" si="515"/>
        <v>0</v>
      </c>
      <c r="P194" s="9">
        <f t="shared" si="515"/>
        <v>0</v>
      </c>
      <c r="Q194" s="9">
        <f t="shared" si="515"/>
        <v>0</v>
      </c>
      <c r="R194" s="9">
        <f t="shared" ref="R194" si="516">SUM(R962:R969)</f>
        <v>0</v>
      </c>
      <c r="S194" s="47">
        <f t="shared" ref="S194" si="517">SUM(S962:S969)</f>
        <v>0</v>
      </c>
    </row>
    <row r="195" spans="1:21" ht="13.5" thickBot="1" x14ac:dyDescent="0.25">
      <c r="A195" s="54"/>
      <c r="B195" s="9"/>
      <c r="C195" s="134"/>
      <c r="E195" s="134"/>
      <c r="F195" s="249"/>
      <c r="G195" s="29"/>
      <c r="H195" s="9"/>
      <c r="I195" s="85"/>
      <c r="J195" s="9"/>
      <c r="K195" s="9"/>
      <c r="L195" s="9"/>
      <c r="M195" s="9"/>
      <c r="N195" s="9"/>
      <c r="O195" s="9"/>
      <c r="P195" s="9"/>
      <c r="Q195" s="9"/>
      <c r="R195" s="9"/>
      <c r="S195" s="47"/>
    </row>
    <row r="196" spans="1:21" s="39" customFormat="1" x14ac:dyDescent="0.2">
      <c r="A196" s="52">
        <f>SUM(A189:A195)</f>
        <v>329300</v>
      </c>
      <c r="B196" s="16">
        <f>SUM(B189:B195)</f>
        <v>347400</v>
      </c>
      <c r="C196" s="145">
        <f>SUM(C189:C195)</f>
        <v>291700</v>
      </c>
      <c r="D196" s="137">
        <f>SUM(D189:D195)</f>
        <v>374600</v>
      </c>
      <c r="E196" s="145">
        <f t="shared" ref="E196" si="518">SUM(E189:E195)</f>
        <v>554000</v>
      </c>
      <c r="F196" s="163"/>
      <c r="G196" s="1158" t="s">
        <v>2561</v>
      </c>
      <c r="H196" s="16">
        <f t="shared" ref="H196:O196" si="519">SUM(H189:H195)</f>
        <v>531000</v>
      </c>
      <c r="I196" s="127">
        <f>IF(E196=H196,0,IF(E196=0,100,(H196-E196)/E196*100))</f>
        <v>-4.1516245487364625</v>
      </c>
      <c r="J196" s="16">
        <f t="shared" si="519"/>
        <v>511900</v>
      </c>
      <c r="K196" s="16">
        <f t="shared" si="519"/>
        <v>483900</v>
      </c>
      <c r="L196" s="16">
        <f t="shared" si="519"/>
        <v>385900</v>
      </c>
      <c r="M196" s="16">
        <f t="shared" si="519"/>
        <v>387900</v>
      </c>
      <c r="N196" s="16">
        <f t="shared" si="519"/>
        <v>389900</v>
      </c>
      <c r="O196" s="16">
        <f t="shared" si="519"/>
        <v>391900</v>
      </c>
      <c r="P196" s="16">
        <f t="shared" ref="P196:Q196" si="520">SUM(P189:P195)</f>
        <v>393900</v>
      </c>
      <c r="Q196" s="16">
        <f t="shared" si="520"/>
        <v>395900</v>
      </c>
      <c r="R196" s="16">
        <f t="shared" ref="R196" si="521">SUM(R189:R195)</f>
        <v>397900</v>
      </c>
      <c r="S196" s="2342">
        <f t="shared" ref="S196" si="522">SUM(S189:S195)</f>
        <v>399900</v>
      </c>
      <c r="U196" s="34"/>
    </row>
    <row r="197" spans="1:21" x14ac:dyDescent="0.2">
      <c r="A197" s="45"/>
      <c r="B197" s="9"/>
      <c r="C197" s="134"/>
      <c r="E197" s="134"/>
      <c r="F197" s="1152"/>
      <c r="G197" s="32"/>
      <c r="H197" s="9"/>
      <c r="I197" s="85"/>
      <c r="J197" s="9"/>
      <c r="K197" s="9"/>
      <c r="L197" s="9"/>
      <c r="M197" s="9"/>
      <c r="N197" s="9"/>
      <c r="O197" s="9"/>
      <c r="P197" s="9"/>
      <c r="Q197" s="9"/>
      <c r="R197" s="9"/>
      <c r="S197" s="47"/>
    </row>
    <row r="198" spans="1:21" x14ac:dyDescent="0.2">
      <c r="A198" s="45"/>
      <c r="B198" s="9"/>
      <c r="C198" s="134"/>
      <c r="E198" s="134"/>
      <c r="F198" s="1152"/>
      <c r="G198" s="50" t="s">
        <v>2169</v>
      </c>
      <c r="H198" s="9"/>
      <c r="I198" s="85"/>
      <c r="J198" s="9"/>
      <c r="K198" s="9"/>
      <c r="L198" s="9"/>
      <c r="M198" s="9"/>
      <c r="N198" s="9"/>
      <c r="O198" s="9"/>
      <c r="P198" s="9"/>
      <c r="Q198" s="9"/>
      <c r="R198" s="9"/>
      <c r="S198" s="47"/>
    </row>
    <row r="199" spans="1:21" x14ac:dyDescent="0.2">
      <c r="A199" s="45"/>
      <c r="B199" s="9"/>
      <c r="E199" s="134"/>
      <c r="F199" s="1152"/>
      <c r="G199" s="50"/>
      <c r="H199" s="9"/>
      <c r="I199" s="85"/>
      <c r="J199" s="9"/>
      <c r="K199" s="9"/>
      <c r="L199" s="9"/>
      <c r="M199" s="9"/>
      <c r="N199" s="9"/>
      <c r="O199" s="9"/>
      <c r="P199" s="9"/>
      <c r="Q199" s="9"/>
      <c r="R199" s="9"/>
      <c r="S199" s="47"/>
    </row>
    <row r="200" spans="1:21" x14ac:dyDescent="0.2">
      <c r="A200" s="54"/>
      <c r="B200" s="9"/>
      <c r="E200" s="134"/>
      <c r="F200" s="165"/>
      <c r="G200" s="1158" t="s">
        <v>402</v>
      </c>
      <c r="H200" s="9"/>
      <c r="I200" s="85"/>
      <c r="J200" s="9"/>
      <c r="K200" s="9"/>
      <c r="L200" s="9"/>
      <c r="M200" s="9"/>
      <c r="N200" s="9"/>
      <c r="O200" s="9"/>
      <c r="P200" s="9"/>
      <c r="Q200" s="9"/>
      <c r="R200" s="9"/>
      <c r="S200" s="47"/>
    </row>
    <row r="201" spans="1:21" x14ac:dyDescent="0.2">
      <c r="A201" s="54">
        <f>ROUND(SUM(A973:A981),-3)</f>
        <v>343000</v>
      </c>
      <c r="B201" s="9">
        <f>SUM(B973:B981)</f>
        <v>247600</v>
      </c>
      <c r="C201" s="89">
        <f>SUM(C973:C981)</f>
        <v>289100</v>
      </c>
      <c r="D201" s="9">
        <f>SUM(D973:D981)</f>
        <v>272900</v>
      </c>
      <c r="E201" s="9">
        <f>SUM(E973:E981)</f>
        <v>217300</v>
      </c>
      <c r="F201" s="1153">
        <v>32100</v>
      </c>
      <c r="G201" s="29" t="s">
        <v>1900</v>
      </c>
      <c r="H201" s="9">
        <f>SUM(H973:H981)</f>
        <v>248500</v>
      </c>
      <c r="I201" s="85">
        <f>IF(E201=H201,0,IF(E201=0,100,(H201-E201)/E201*100))</f>
        <v>14.358030372756559</v>
      </c>
      <c r="J201" s="9">
        <f t="shared" ref="J201:S201" si="523">SUM(J973:J981)</f>
        <v>254600</v>
      </c>
      <c r="K201" s="9">
        <f t="shared" si="523"/>
        <v>261400</v>
      </c>
      <c r="L201" s="9">
        <f t="shared" si="523"/>
        <v>268300</v>
      </c>
      <c r="M201" s="9">
        <f t="shared" si="523"/>
        <v>275400</v>
      </c>
      <c r="N201" s="9">
        <f t="shared" si="523"/>
        <v>282600</v>
      </c>
      <c r="O201" s="9">
        <f t="shared" si="523"/>
        <v>290000</v>
      </c>
      <c r="P201" s="9">
        <f t="shared" si="523"/>
        <v>297900</v>
      </c>
      <c r="Q201" s="9">
        <f t="shared" si="523"/>
        <v>305800</v>
      </c>
      <c r="R201" s="9">
        <f t="shared" si="523"/>
        <v>313900</v>
      </c>
      <c r="S201" s="47">
        <f t="shared" si="523"/>
        <v>322200</v>
      </c>
    </row>
    <row r="202" spans="1:21" x14ac:dyDescent="0.2">
      <c r="A202" s="54"/>
      <c r="B202" s="9"/>
      <c r="C202" s="89"/>
      <c r="D202" s="89"/>
      <c r="E202" s="9"/>
      <c r="F202" s="1153"/>
      <c r="G202" s="29"/>
      <c r="H202" s="9"/>
      <c r="I202" s="85"/>
      <c r="J202" s="9"/>
      <c r="K202" s="9"/>
      <c r="L202" s="9"/>
      <c r="M202" s="9"/>
      <c r="N202" s="9"/>
      <c r="O202" s="9"/>
      <c r="P202" s="9"/>
      <c r="Q202" s="9"/>
      <c r="R202" s="9"/>
      <c r="S202" s="47"/>
    </row>
    <row r="203" spans="1:21" x14ac:dyDescent="0.2">
      <c r="A203" s="54"/>
      <c r="B203" s="9"/>
      <c r="C203" s="89"/>
      <c r="D203" s="89"/>
      <c r="E203" s="9"/>
      <c r="F203" s="1153"/>
      <c r="G203" s="32" t="s">
        <v>1867</v>
      </c>
      <c r="H203" s="9"/>
      <c r="I203" s="85"/>
      <c r="J203" s="9"/>
      <c r="K203" s="9"/>
      <c r="L203" s="9"/>
      <c r="M203" s="9"/>
      <c r="N203" s="9"/>
      <c r="O203" s="9"/>
      <c r="P203" s="9"/>
      <c r="Q203" s="9"/>
      <c r="R203" s="9"/>
      <c r="S203" s="47"/>
    </row>
    <row r="204" spans="1:21" x14ac:dyDescent="0.2">
      <c r="A204" s="54">
        <f>ROUND(SUM(A983),-3)</f>
        <v>183000</v>
      </c>
      <c r="B204" s="9">
        <f t="shared" ref="B204:E205" si="524">SUM(B983)</f>
        <v>187700</v>
      </c>
      <c r="C204" s="136">
        <f t="shared" si="524"/>
        <v>192000</v>
      </c>
      <c r="D204" s="136">
        <f t="shared" si="524"/>
        <v>196600</v>
      </c>
      <c r="E204" s="134">
        <f t="shared" ref="E204" si="525">SUM(E983)</f>
        <v>200100</v>
      </c>
      <c r="F204" s="1153">
        <v>32101</v>
      </c>
      <c r="G204" s="1150" t="s">
        <v>6775</v>
      </c>
      <c r="H204" s="134">
        <f t="shared" ref="H204:O204" si="526">SUM(H983)</f>
        <v>203000</v>
      </c>
      <c r="I204" s="85">
        <f t="shared" ref="I204:I211" si="527">IF(E204=H204,0,IF(E204=0,100,(H204-E204)/E204*100))</f>
        <v>1.4492753623188406</v>
      </c>
      <c r="J204" s="134">
        <f t="shared" si="526"/>
        <v>207700</v>
      </c>
      <c r="K204" s="134">
        <f t="shared" si="526"/>
        <v>212900</v>
      </c>
      <c r="L204" s="134">
        <f t="shared" si="526"/>
        <v>218300</v>
      </c>
      <c r="M204" s="134">
        <f t="shared" si="526"/>
        <v>223800</v>
      </c>
      <c r="N204" s="134">
        <f t="shared" si="526"/>
        <v>229400</v>
      </c>
      <c r="O204" s="9">
        <f t="shared" si="526"/>
        <v>235200</v>
      </c>
      <c r="P204" s="9">
        <f t="shared" ref="P204:Q204" si="528">SUM(P983)</f>
        <v>241100</v>
      </c>
      <c r="Q204" s="9">
        <f t="shared" si="528"/>
        <v>247200</v>
      </c>
      <c r="R204" s="9">
        <f t="shared" ref="R204" si="529">SUM(R983)</f>
        <v>253400</v>
      </c>
      <c r="S204" s="47">
        <f t="shared" ref="S204" si="530">SUM(S983)</f>
        <v>259800</v>
      </c>
    </row>
    <row r="205" spans="1:21" x14ac:dyDescent="0.2">
      <c r="A205" s="54">
        <f>ROUND(SUM(A984),-3)</f>
        <v>33000</v>
      </c>
      <c r="B205" s="9">
        <f t="shared" si="524"/>
        <v>33700</v>
      </c>
      <c r="C205" s="136">
        <f t="shared" si="524"/>
        <v>34400</v>
      </c>
      <c r="D205" s="136">
        <f t="shared" si="524"/>
        <v>35200</v>
      </c>
      <c r="E205" s="134">
        <f t="shared" si="524"/>
        <v>35900</v>
      </c>
      <c r="F205" s="1153">
        <v>32101</v>
      </c>
      <c r="G205" s="1150" t="s">
        <v>6774</v>
      </c>
      <c r="H205" s="134">
        <f t="shared" ref="H205:O206" si="531">SUM(H984)</f>
        <v>36300</v>
      </c>
      <c r="I205" s="85">
        <f t="shared" si="527"/>
        <v>1.1142061281337048</v>
      </c>
      <c r="J205" s="134">
        <f t="shared" si="531"/>
        <v>37200</v>
      </c>
      <c r="K205" s="134">
        <f t="shared" si="531"/>
        <v>38200</v>
      </c>
      <c r="L205" s="134">
        <f t="shared" si="531"/>
        <v>39200</v>
      </c>
      <c r="M205" s="134">
        <f t="shared" si="531"/>
        <v>40200</v>
      </c>
      <c r="N205" s="134">
        <f t="shared" si="531"/>
        <v>41300</v>
      </c>
      <c r="O205" s="9">
        <f t="shared" si="531"/>
        <v>42400</v>
      </c>
      <c r="P205" s="9">
        <f t="shared" ref="P205:Q205" si="532">SUM(P984)</f>
        <v>43500</v>
      </c>
      <c r="Q205" s="9">
        <f t="shared" si="532"/>
        <v>44600</v>
      </c>
      <c r="R205" s="9">
        <f t="shared" ref="R205" si="533">SUM(R984)</f>
        <v>45800</v>
      </c>
      <c r="S205" s="47">
        <f t="shared" ref="S205" si="534">SUM(S984)</f>
        <v>47000</v>
      </c>
    </row>
    <row r="206" spans="1:21" x14ac:dyDescent="0.2">
      <c r="A206" s="54">
        <v>0</v>
      </c>
      <c r="B206" s="9">
        <v>0</v>
      </c>
      <c r="C206" s="136">
        <f>C985</f>
        <v>0</v>
      </c>
      <c r="D206" s="136">
        <f>SUM(D985)</f>
        <v>0</v>
      </c>
      <c r="E206" s="134">
        <f t="shared" ref="E206" si="535">SUM(E985)</f>
        <v>0</v>
      </c>
      <c r="F206" s="1153">
        <v>32101</v>
      </c>
      <c r="G206" s="1150" t="s">
        <v>6776</v>
      </c>
      <c r="H206" s="134">
        <f t="shared" si="531"/>
        <v>35000</v>
      </c>
      <c r="I206" s="85">
        <f t="shared" si="527"/>
        <v>100</v>
      </c>
      <c r="J206" s="134">
        <f t="shared" si="531"/>
        <v>35900</v>
      </c>
      <c r="K206" s="134">
        <f t="shared" si="531"/>
        <v>36800</v>
      </c>
      <c r="L206" s="134">
        <f t="shared" si="531"/>
        <v>37800</v>
      </c>
      <c r="M206" s="134">
        <f t="shared" si="531"/>
        <v>38800</v>
      </c>
      <c r="N206" s="134">
        <f t="shared" si="531"/>
        <v>39800</v>
      </c>
      <c r="O206" s="9">
        <f t="shared" si="531"/>
        <v>40800</v>
      </c>
      <c r="P206" s="9">
        <f t="shared" ref="P206:Q206" si="536">SUM(P985)</f>
        <v>41900</v>
      </c>
      <c r="Q206" s="9">
        <f t="shared" si="536"/>
        <v>43000</v>
      </c>
      <c r="R206" s="9">
        <f t="shared" ref="R206" si="537">SUM(R985)</f>
        <v>44100</v>
      </c>
      <c r="S206" s="47">
        <f t="shared" ref="S206" si="538">SUM(S985)</f>
        <v>45300</v>
      </c>
    </row>
    <row r="207" spans="1:21" x14ac:dyDescent="0.2">
      <c r="A207" s="54">
        <f>ROUND(SUM(A986:A990),-3)</f>
        <v>46000</v>
      </c>
      <c r="B207" s="9">
        <f>SUM(B986:B990)</f>
        <v>164300</v>
      </c>
      <c r="C207" s="136">
        <f>SUM(C986:C990)</f>
        <v>100500</v>
      </c>
      <c r="D207" s="136">
        <f>SUM(D986:D990)</f>
        <v>78700</v>
      </c>
      <c r="E207" s="134">
        <f>SUM(E986:E990)</f>
        <v>23400</v>
      </c>
      <c r="F207" s="1153">
        <v>32101</v>
      </c>
      <c r="G207" s="1150" t="s">
        <v>216</v>
      </c>
      <c r="H207" s="9">
        <f>SUM(H986:H990)</f>
        <v>230600</v>
      </c>
      <c r="I207" s="85">
        <f t="shared" si="527"/>
        <v>885.47008547008556</v>
      </c>
      <c r="J207" s="9">
        <f t="shared" ref="J207:R207" si="539">SUM(J986:J990)</f>
        <v>130000</v>
      </c>
      <c r="K207" s="9">
        <f t="shared" si="539"/>
        <v>130000</v>
      </c>
      <c r="L207" s="9">
        <f t="shared" si="539"/>
        <v>30800</v>
      </c>
      <c r="M207" s="9">
        <f t="shared" si="539"/>
        <v>31600</v>
      </c>
      <c r="N207" s="9">
        <f t="shared" si="539"/>
        <v>32400</v>
      </c>
      <c r="O207" s="9">
        <f t="shared" si="539"/>
        <v>33300</v>
      </c>
      <c r="P207" s="9">
        <f t="shared" si="539"/>
        <v>34200</v>
      </c>
      <c r="Q207" s="9">
        <f t="shared" si="539"/>
        <v>35100</v>
      </c>
      <c r="R207" s="9">
        <f t="shared" si="539"/>
        <v>36000</v>
      </c>
      <c r="S207" s="47">
        <f t="shared" ref="S207" si="540">SUM(S986:S990)</f>
        <v>36900</v>
      </c>
    </row>
    <row r="208" spans="1:21" x14ac:dyDescent="0.2">
      <c r="A208" s="54">
        <f>ROUND(SUM(A993:A993),-3)</f>
        <v>10000</v>
      </c>
      <c r="B208" s="9">
        <f>SUM(B993:B993)</f>
        <v>55600</v>
      </c>
      <c r="C208" s="136">
        <f>SUM(C993:C993)</f>
        <v>6100</v>
      </c>
      <c r="D208" s="136">
        <f t="shared" ref="D208" si="541">SUM(D993:D993)</f>
        <v>26600</v>
      </c>
      <c r="E208" s="134">
        <f>SUM(E993:E993)</f>
        <v>4400</v>
      </c>
      <c r="F208" s="1153">
        <v>32101</v>
      </c>
      <c r="G208" s="1150" t="s">
        <v>5240</v>
      </c>
      <c r="H208" s="9">
        <f>SUM(H993:H993)</f>
        <v>60000</v>
      </c>
      <c r="I208" s="85">
        <f t="shared" si="527"/>
        <v>1263.6363636363637</v>
      </c>
      <c r="J208" s="9">
        <f t="shared" ref="J208:S208" si="542">SUM(J993:J993)</f>
        <v>60000</v>
      </c>
      <c r="K208" s="9">
        <f t="shared" si="542"/>
        <v>30000</v>
      </c>
      <c r="L208" s="9">
        <f t="shared" si="542"/>
        <v>30800</v>
      </c>
      <c r="M208" s="9">
        <f t="shared" si="542"/>
        <v>31600</v>
      </c>
      <c r="N208" s="9">
        <f t="shared" si="542"/>
        <v>32400</v>
      </c>
      <c r="O208" s="9">
        <f t="shared" si="542"/>
        <v>33300</v>
      </c>
      <c r="P208" s="9">
        <f t="shared" si="542"/>
        <v>34200</v>
      </c>
      <c r="Q208" s="9">
        <f t="shared" si="542"/>
        <v>35100</v>
      </c>
      <c r="R208" s="9">
        <f t="shared" si="542"/>
        <v>36000</v>
      </c>
      <c r="S208" s="47">
        <f t="shared" si="542"/>
        <v>36900</v>
      </c>
    </row>
    <row r="209" spans="1:21" x14ac:dyDescent="0.2">
      <c r="A209" s="54">
        <f>ROUND(SUM(A991:A992),-3)</f>
        <v>40000</v>
      </c>
      <c r="B209" s="9">
        <f>SUM(B991:B992)</f>
        <v>35000</v>
      </c>
      <c r="C209" s="136">
        <f>SUM(C991:C992)</f>
        <v>107600</v>
      </c>
      <c r="D209" s="136">
        <f>SUM(D991:D992)</f>
        <v>55200</v>
      </c>
      <c r="E209" s="134">
        <f t="shared" ref="E209" si="543">SUM(E991:E992)</f>
        <v>22000</v>
      </c>
      <c r="F209" s="1153">
        <v>32101</v>
      </c>
      <c r="G209" s="1150" t="s">
        <v>6777</v>
      </c>
      <c r="H209" s="9">
        <f t="shared" ref="H209:O209" si="544">SUM(H991:H992)</f>
        <v>78000</v>
      </c>
      <c r="I209" s="85">
        <f t="shared" si="527"/>
        <v>254.54545454545453</v>
      </c>
      <c r="J209" s="9">
        <f t="shared" si="544"/>
        <v>79800</v>
      </c>
      <c r="K209" s="9">
        <f t="shared" si="544"/>
        <v>81800</v>
      </c>
      <c r="L209" s="9">
        <f t="shared" si="544"/>
        <v>83900</v>
      </c>
      <c r="M209" s="9">
        <f t="shared" si="544"/>
        <v>86000</v>
      </c>
      <c r="N209" s="9">
        <f t="shared" si="544"/>
        <v>88200</v>
      </c>
      <c r="O209" s="9">
        <f t="shared" si="544"/>
        <v>90500</v>
      </c>
      <c r="P209" s="9">
        <f t="shared" ref="P209:Q209" si="545">SUM(P991:P992)</f>
        <v>92800</v>
      </c>
      <c r="Q209" s="9">
        <f t="shared" si="545"/>
        <v>95200</v>
      </c>
      <c r="R209" s="9">
        <f t="shared" ref="R209" si="546">SUM(R991:R992)</f>
        <v>97600</v>
      </c>
      <c r="S209" s="47">
        <f t="shared" ref="S209" si="547">SUM(S991:S992)</f>
        <v>100100</v>
      </c>
    </row>
    <row r="210" spans="1:21" x14ac:dyDescent="0.2">
      <c r="A210" s="54">
        <f>ROUND(SUM(A994:A995),-3)</f>
        <v>1000</v>
      </c>
      <c r="B210" s="9">
        <f>SUM(B994:B995)</f>
        <v>12500</v>
      </c>
      <c r="C210" s="136">
        <f>SUM(C994:C995)</f>
        <v>147300</v>
      </c>
      <c r="D210" s="136">
        <f>SUM(D994:D995)</f>
        <v>44900</v>
      </c>
      <c r="E210" s="134">
        <f t="shared" ref="E210" si="548">SUM(E994:E995)</f>
        <v>0</v>
      </c>
      <c r="F210" s="1153">
        <v>32101</v>
      </c>
      <c r="G210" s="1150" t="s">
        <v>292</v>
      </c>
      <c r="H210" s="9">
        <f t="shared" ref="H210:P210" si="549">SUM(H994:H995)</f>
        <v>60000</v>
      </c>
      <c r="I210" s="85">
        <f t="shared" si="527"/>
        <v>100</v>
      </c>
      <c r="J210" s="9">
        <f t="shared" si="549"/>
        <v>20400</v>
      </c>
      <c r="K210" s="9">
        <f t="shared" si="549"/>
        <v>160000</v>
      </c>
      <c r="L210" s="9">
        <f t="shared" si="549"/>
        <v>21000</v>
      </c>
      <c r="M210" s="9">
        <f t="shared" si="549"/>
        <v>21600</v>
      </c>
      <c r="N210" s="9">
        <f t="shared" si="549"/>
        <v>22200</v>
      </c>
      <c r="O210" s="9">
        <f t="shared" si="549"/>
        <v>22800</v>
      </c>
      <c r="P210" s="9">
        <f t="shared" si="549"/>
        <v>200000</v>
      </c>
      <c r="Q210" s="9">
        <f t="shared" ref="Q210" si="550">SUM(Q994:Q995)</f>
        <v>22000</v>
      </c>
      <c r="R210" s="9">
        <f t="shared" ref="R210" si="551">SUM(R994:R995)</f>
        <v>22600</v>
      </c>
      <c r="S210" s="47">
        <f t="shared" ref="S210" si="552">SUM(S994:S995)</f>
        <v>23200</v>
      </c>
    </row>
    <row r="211" spans="1:21" x14ac:dyDescent="0.2">
      <c r="A211" s="54">
        <f>ROUND(SUM(A996:A998),-3)</f>
        <v>29000</v>
      </c>
      <c r="B211" s="9">
        <f>SUM(B996:B998)</f>
        <v>37200</v>
      </c>
      <c r="C211" s="136">
        <f>SUM(C996:C998)</f>
        <v>45700</v>
      </c>
      <c r="D211" s="136">
        <f>SUM(D996:D998)</f>
        <v>45000</v>
      </c>
      <c r="E211" s="134">
        <f t="shared" ref="E211" si="553">SUM(E996:E998)</f>
        <v>40700</v>
      </c>
      <c r="F211" s="1153">
        <v>32101</v>
      </c>
      <c r="G211" s="1150" t="s">
        <v>3047</v>
      </c>
      <c r="H211" s="9">
        <f t="shared" ref="H211:O211" si="554">SUM(H996:H998)</f>
        <v>44500</v>
      </c>
      <c r="I211" s="85">
        <f t="shared" si="527"/>
        <v>9.3366093366093352</v>
      </c>
      <c r="J211" s="9">
        <f t="shared" si="554"/>
        <v>45600</v>
      </c>
      <c r="K211" s="9">
        <f t="shared" si="554"/>
        <v>46800</v>
      </c>
      <c r="L211" s="9">
        <f t="shared" si="554"/>
        <v>48000</v>
      </c>
      <c r="M211" s="9">
        <f t="shared" si="554"/>
        <v>49300</v>
      </c>
      <c r="N211" s="9">
        <f t="shared" si="554"/>
        <v>50600</v>
      </c>
      <c r="O211" s="9">
        <f t="shared" si="554"/>
        <v>51900</v>
      </c>
      <c r="P211" s="9">
        <f t="shared" ref="P211:Q211" si="555">SUM(P996:P998)</f>
        <v>53300</v>
      </c>
      <c r="Q211" s="9">
        <f t="shared" si="555"/>
        <v>54700</v>
      </c>
      <c r="R211" s="9">
        <f t="shared" ref="R211" si="556">SUM(R996:R998)</f>
        <v>56200</v>
      </c>
      <c r="S211" s="47">
        <f t="shared" ref="S211" si="557">SUM(S996:S998)</f>
        <v>57700</v>
      </c>
    </row>
    <row r="212" spans="1:21" x14ac:dyDescent="0.2">
      <c r="A212" s="54"/>
      <c r="B212" s="9"/>
      <c r="E212" s="134"/>
      <c r="F212" s="1153"/>
      <c r="G212" s="1173"/>
      <c r="H212" s="9"/>
      <c r="I212" s="85"/>
      <c r="J212" s="9"/>
      <c r="K212" s="9"/>
      <c r="L212" s="9"/>
      <c r="M212" s="9"/>
      <c r="N212" s="9"/>
      <c r="O212" s="9"/>
      <c r="P212" s="9"/>
      <c r="Q212" s="9"/>
      <c r="R212" s="9"/>
      <c r="S212" s="47"/>
    </row>
    <row r="213" spans="1:21" x14ac:dyDescent="0.2">
      <c r="A213" s="54"/>
      <c r="B213" s="9"/>
      <c r="C213" s="89"/>
      <c r="D213" s="89"/>
      <c r="E213" s="9"/>
      <c r="F213" s="1153"/>
      <c r="G213" s="32" t="str">
        <f>G101</f>
        <v>Non-Cash Expenses</v>
      </c>
      <c r="H213" s="9"/>
      <c r="I213" s="85"/>
      <c r="J213" s="9"/>
      <c r="K213" s="9"/>
      <c r="L213" s="9"/>
      <c r="M213" s="9"/>
      <c r="N213" s="9"/>
      <c r="O213" s="9"/>
      <c r="P213" s="9"/>
      <c r="Q213" s="9"/>
      <c r="R213" s="9"/>
      <c r="S213" s="47"/>
    </row>
    <row r="214" spans="1:21" x14ac:dyDescent="0.2">
      <c r="A214" s="54">
        <f t="shared" ref="A214:A216" si="558">ROUND(A1000,-3)</f>
        <v>17000</v>
      </c>
      <c r="B214" s="9">
        <f t="shared" ref="B214:C216" si="559">B1000</f>
        <v>1600</v>
      </c>
      <c r="C214" s="136">
        <f t="shared" si="559"/>
        <v>1600</v>
      </c>
      <c r="D214" s="136">
        <f>D1000</f>
        <v>2000</v>
      </c>
      <c r="E214" s="134">
        <f t="shared" ref="E214" si="560">E1000</f>
        <v>1600</v>
      </c>
      <c r="F214" s="1153">
        <v>32103</v>
      </c>
      <c r="G214" s="1173" t="s">
        <v>59</v>
      </c>
      <c r="H214" s="9">
        <f t="shared" ref="H214:O214" si="561">H1000</f>
        <v>2100</v>
      </c>
      <c r="I214" s="85">
        <f>IF(E214=H214,0,IF(E214=0,100,(H214-E214)/E214*100))</f>
        <v>31.25</v>
      </c>
      <c r="J214" s="9">
        <f t="shared" si="561"/>
        <v>2200</v>
      </c>
      <c r="K214" s="9">
        <f t="shared" si="561"/>
        <v>2300</v>
      </c>
      <c r="L214" s="9">
        <f t="shared" si="561"/>
        <v>2400</v>
      </c>
      <c r="M214" s="9">
        <f t="shared" si="561"/>
        <v>2500</v>
      </c>
      <c r="N214" s="9">
        <f t="shared" si="561"/>
        <v>2600</v>
      </c>
      <c r="O214" s="9">
        <f t="shared" si="561"/>
        <v>2700</v>
      </c>
      <c r="P214" s="9">
        <f t="shared" ref="P214:Q214" si="562">P1000</f>
        <v>2800</v>
      </c>
      <c r="Q214" s="9">
        <f t="shared" si="562"/>
        <v>2900</v>
      </c>
      <c r="R214" s="9">
        <f t="shared" ref="R214" si="563">R1000</f>
        <v>3000</v>
      </c>
      <c r="S214" s="47">
        <f t="shared" ref="S214" si="564">S1000</f>
        <v>3100</v>
      </c>
    </row>
    <row r="215" spans="1:21" x14ac:dyDescent="0.2">
      <c r="A215" s="54">
        <f t="shared" si="558"/>
        <v>1646000</v>
      </c>
      <c r="B215" s="9">
        <f t="shared" si="559"/>
        <v>1654300</v>
      </c>
      <c r="C215" s="136">
        <f t="shared" si="559"/>
        <v>1417700</v>
      </c>
      <c r="D215" s="136">
        <f>D1001</f>
        <v>1456800</v>
      </c>
      <c r="E215" s="134">
        <f t="shared" ref="E215" si="565">E1001</f>
        <v>1448800</v>
      </c>
      <c r="F215" s="1153">
        <v>32103</v>
      </c>
      <c r="G215" s="29" t="s">
        <v>2409</v>
      </c>
      <c r="H215" s="9">
        <f t="shared" ref="H215:O216" si="566">H1001</f>
        <v>1471900</v>
      </c>
      <c r="I215" s="85">
        <f>IF(E215=H215,0,IF(E215=0,100,(H215-E215)/E215*100))</f>
        <v>1.5944229707344011</v>
      </c>
      <c r="J215" s="9">
        <f t="shared" si="566"/>
        <v>1501400</v>
      </c>
      <c r="K215" s="9">
        <f t="shared" si="566"/>
        <v>1531500</v>
      </c>
      <c r="L215" s="9">
        <f t="shared" si="566"/>
        <v>1562200</v>
      </c>
      <c r="M215" s="9">
        <f t="shared" si="566"/>
        <v>1593500</v>
      </c>
      <c r="N215" s="9">
        <f t="shared" si="566"/>
        <v>1625400</v>
      </c>
      <c r="O215" s="9">
        <f t="shared" si="566"/>
        <v>1658000</v>
      </c>
      <c r="P215" s="9">
        <f t="shared" ref="P215:Q215" si="567">P1001</f>
        <v>1691200</v>
      </c>
      <c r="Q215" s="9">
        <f t="shared" si="567"/>
        <v>1725100</v>
      </c>
      <c r="R215" s="9">
        <f t="shared" ref="R215" si="568">R1001</f>
        <v>1759700</v>
      </c>
      <c r="S215" s="47">
        <f t="shared" ref="S215" si="569">S1001</f>
        <v>1794900</v>
      </c>
    </row>
    <row r="216" spans="1:21" x14ac:dyDescent="0.2">
      <c r="A216" s="54">
        <f t="shared" si="558"/>
        <v>98000</v>
      </c>
      <c r="B216" s="9">
        <f t="shared" si="559"/>
        <v>78300</v>
      </c>
      <c r="C216" s="136">
        <f t="shared" si="559"/>
        <v>1200</v>
      </c>
      <c r="D216" s="136">
        <f>D1002</f>
        <v>0</v>
      </c>
      <c r="E216" s="134">
        <f t="shared" ref="E216" si="570">E1002</f>
        <v>39600</v>
      </c>
      <c r="F216" s="1153">
        <v>32100</v>
      </c>
      <c r="G216" s="30" t="s">
        <v>4448</v>
      </c>
      <c r="H216" s="9">
        <f t="shared" si="566"/>
        <v>0</v>
      </c>
      <c r="I216" s="85">
        <f>IF(E216=H216,0,IF(E216=0,100,(H216-E216)/E216*100))</f>
        <v>-100</v>
      </c>
      <c r="J216" s="9">
        <f t="shared" si="566"/>
        <v>0</v>
      </c>
      <c r="K216" s="9">
        <f t="shared" si="566"/>
        <v>0</v>
      </c>
      <c r="L216" s="9">
        <f t="shared" si="566"/>
        <v>0</v>
      </c>
      <c r="M216" s="9">
        <f t="shared" si="566"/>
        <v>0</v>
      </c>
      <c r="N216" s="9">
        <f t="shared" si="566"/>
        <v>0</v>
      </c>
      <c r="O216" s="9">
        <f t="shared" si="566"/>
        <v>0</v>
      </c>
      <c r="P216" s="9">
        <f t="shared" ref="P216:Q216" si="571">P1002</f>
        <v>0</v>
      </c>
      <c r="Q216" s="9">
        <f t="shared" si="571"/>
        <v>0</v>
      </c>
      <c r="R216" s="9">
        <f t="shared" ref="R216" si="572">R1002</f>
        <v>0</v>
      </c>
      <c r="S216" s="47">
        <f t="shared" ref="S216" si="573">S1002</f>
        <v>0</v>
      </c>
    </row>
    <row r="217" spans="1:21" ht="13.5" thickBot="1" x14ac:dyDescent="0.25">
      <c r="A217" s="54"/>
      <c r="B217" s="9"/>
      <c r="C217" s="134"/>
      <c r="D217" s="134"/>
      <c r="E217" s="134"/>
      <c r="F217" s="1152"/>
      <c r="G217" s="1173"/>
      <c r="H217" s="9"/>
      <c r="I217" s="85"/>
      <c r="J217" s="9"/>
      <c r="K217" s="9"/>
      <c r="L217" s="9"/>
      <c r="M217" s="9"/>
      <c r="N217" s="9"/>
      <c r="O217" s="9"/>
      <c r="P217" s="9"/>
      <c r="Q217" s="9"/>
      <c r="R217" s="9"/>
      <c r="S217" s="47"/>
    </row>
    <row r="218" spans="1:21" s="39" customFormat="1" x14ac:dyDescent="0.2">
      <c r="A218" s="52">
        <f>SUM(A198:A217)</f>
        <v>2446000</v>
      </c>
      <c r="B218" s="16">
        <f>SUM(B198:B217)</f>
        <v>2507800</v>
      </c>
      <c r="C218" s="137">
        <f>SUM(C198:C217)</f>
        <v>2343200</v>
      </c>
      <c r="D218" s="137">
        <f>SUM(D198:D217)</f>
        <v>2213900</v>
      </c>
      <c r="E218" s="145">
        <f t="shared" ref="E218" si="574">SUM(E198:E217)</f>
        <v>2033800</v>
      </c>
      <c r="F218" s="164"/>
      <c r="G218" s="1158" t="s">
        <v>556</v>
      </c>
      <c r="H218" s="16">
        <f t="shared" ref="H218:O218" si="575">SUM(H198:H217)</f>
        <v>2469900</v>
      </c>
      <c r="I218" s="127">
        <f>IF(E218=H218,0,IF(E218=0,100,(H218-E218)/E218*100))</f>
        <v>21.442619726620123</v>
      </c>
      <c r="J218" s="16">
        <f t="shared" si="575"/>
        <v>2374800</v>
      </c>
      <c r="K218" s="16">
        <f t="shared" si="575"/>
        <v>2531700</v>
      </c>
      <c r="L218" s="16">
        <f t="shared" si="575"/>
        <v>2342700</v>
      </c>
      <c r="M218" s="16">
        <f t="shared" si="575"/>
        <v>2394300</v>
      </c>
      <c r="N218" s="16">
        <f t="shared" si="575"/>
        <v>2446900</v>
      </c>
      <c r="O218" s="16">
        <f t="shared" si="575"/>
        <v>2500900</v>
      </c>
      <c r="P218" s="16">
        <f t="shared" ref="P218:Q218" si="576">SUM(P198:P217)</f>
        <v>2732900</v>
      </c>
      <c r="Q218" s="16">
        <f t="shared" si="576"/>
        <v>2610700</v>
      </c>
      <c r="R218" s="16">
        <f t="shared" ref="R218" si="577">SUM(R198:R217)</f>
        <v>2668300</v>
      </c>
      <c r="S218" s="2342">
        <f t="shared" ref="S218" si="578">SUM(S198:S217)</f>
        <v>2727100</v>
      </c>
      <c r="U218" s="34"/>
    </row>
    <row r="219" spans="1:21" x14ac:dyDescent="0.2">
      <c r="A219" s="54"/>
      <c r="B219" s="9"/>
      <c r="E219" s="134"/>
      <c r="F219" s="1153"/>
      <c r="G219" s="1173"/>
      <c r="H219" s="9"/>
      <c r="I219" s="85"/>
      <c r="J219" s="9"/>
      <c r="K219" s="9"/>
      <c r="L219" s="9"/>
      <c r="M219" s="9"/>
      <c r="N219" s="9"/>
      <c r="O219" s="9"/>
      <c r="P219" s="9"/>
      <c r="Q219" s="9"/>
      <c r="R219" s="9"/>
      <c r="S219" s="47"/>
    </row>
    <row r="220" spans="1:21" s="39" customFormat="1" x14ac:dyDescent="0.2">
      <c r="A220" s="24">
        <f>A196-A218</f>
        <v>-2116700</v>
      </c>
      <c r="B220" s="21">
        <f>B196-B218</f>
        <v>-2160400</v>
      </c>
      <c r="C220" s="139">
        <f>C196-C218</f>
        <v>-2051500</v>
      </c>
      <c r="D220" s="139">
        <f>D196-D218</f>
        <v>-1839300</v>
      </c>
      <c r="E220" s="138">
        <f t="shared" ref="E220" si="579">E196-E218</f>
        <v>-1479800</v>
      </c>
      <c r="F220" s="164"/>
      <c r="G220" s="366" t="s">
        <v>1002</v>
      </c>
      <c r="H220" s="21">
        <f t="shared" ref="H220:O220" si="580">H196-H218</f>
        <v>-1938900</v>
      </c>
      <c r="I220" s="126">
        <f>IF(E220=H220,0,IF(E220=0,100,(H220-E220)/E220*100))</f>
        <v>31.024462765238546</v>
      </c>
      <c r="J220" s="21">
        <f t="shared" si="580"/>
        <v>-1862900</v>
      </c>
      <c r="K220" s="21">
        <f t="shared" si="580"/>
        <v>-2047800</v>
      </c>
      <c r="L220" s="21">
        <f t="shared" si="580"/>
        <v>-1956800</v>
      </c>
      <c r="M220" s="21">
        <f t="shared" si="580"/>
        <v>-2006400</v>
      </c>
      <c r="N220" s="21">
        <f t="shared" si="580"/>
        <v>-2057000</v>
      </c>
      <c r="O220" s="21">
        <f t="shared" si="580"/>
        <v>-2109000</v>
      </c>
      <c r="P220" s="21">
        <f t="shared" ref="P220:Q220" si="581">P196-P218</f>
        <v>-2339000</v>
      </c>
      <c r="Q220" s="21">
        <f t="shared" si="581"/>
        <v>-2214800</v>
      </c>
      <c r="R220" s="21">
        <f t="shared" ref="R220" si="582">R196-R218</f>
        <v>-2270400</v>
      </c>
      <c r="S220" s="86">
        <f t="shared" ref="S220" si="583">S196-S218</f>
        <v>-2327200</v>
      </c>
      <c r="U220" s="34"/>
    </row>
    <row r="221" spans="1:21" x14ac:dyDescent="0.2">
      <c r="A221" s="54">
        <f>ROUND(SUM(A214:A215),-3)</f>
        <v>1663000</v>
      </c>
      <c r="B221" s="9">
        <f>SUM(B214:B215)</f>
        <v>1655900</v>
      </c>
      <c r="C221" s="9">
        <f>SUM(C214:C215)</f>
        <v>1419300</v>
      </c>
      <c r="D221" s="9">
        <f>SUM(D214:D215)</f>
        <v>1458800</v>
      </c>
      <c r="E221" s="134">
        <f t="shared" ref="E221" si="584">SUM(E214:E215)</f>
        <v>1450400</v>
      </c>
      <c r="F221" s="1153"/>
      <c r="G221" s="217" t="s">
        <v>1943</v>
      </c>
      <c r="H221" s="134">
        <f t="shared" ref="H221:O221" si="585">SUM(H214:H215)</f>
        <v>1474000</v>
      </c>
      <c r="I221" s="85">
        <f>IF(E221=H221,0,IF(E221=0,100,(H221-E221)/E221*100))</f>
        <v>1.6271373414230559</v>
      </c>
      <c r="J221" s="134">
        <f t="shared" si="585"/>
        <v>1503600</v>
      </c>
      <c r="K221" s="134">
        <f t="shared" si="585"/>
        <v>1533800</v>
      </c>
      <c r="L221" s="134">
        <f t="shared" si="585"/>
        <v>1564600</v>
      </c>
      <c r="M221" s="134">
        <f t="shared" si="585"/>
        <v>1596000</v>
      </c>
      <c r="N221" s="134">
        <f t="shared" si="585"/>
        <v>1628000</v>
      </c>
      <c r="O221" s="134">
        <f t="shared" si="585"/>
        <v>1660700</v>
      </c>
      <c r="P221" s="134">
        <f t="shared" ref="P221:Q221" si="586">SUM(P214:P215)</f>
        <v>1694000</v>
      </c>
      <c r="Q221" s="134">
        <f t="shared" si="586"/>
        <v>1728000</v>
      </c>
      <c r="R221" s="134">
        <f t="shared" ref="R221" si="587">SUM(R214:R215)</f>
        <v>1762700</v>
      </c>
      <c r="S221" s="2359">
        <f t="shared" ref="S221" si="588">SUM(S214:S215)</f>
        <v>1798000</v>
      </c>
    </row>
    <row r="222" spans="1:21" x14ac:dyDescent="0.2">
      <c r="A222" s="54">
        <f>ROUND(SUM(A216:A216),-3)</f>
        <v>98000</v>
      </c>
      <c r="B222" s="9">
        <f>SUM(B216:B216)</f>
        <v>78300</v>
      </c>
      <c r="C222" s="9">
        <f>SUM(C216:C216)</f>
        <v>1200</v>
      </c>
      <c r="D222" s="9">
        <f>SUM(D216:D216)</f>
        <v>0</v>
      </c>
      <c r="E222" s="134">
        <f t="shared" ref="E222" si="589">SUM(E216:E216)</f>
        <v>39600</v>
      </c>
      <c r="F222" s="1153"/>
      <c r="G222" s="217" t="s">
        <v>4518</v>
      </c>
      <c r="H222" s="134">
        <f t="shared" ref="H222:O222" si="590">SUM(H216:H216)</f>
        <v>0</v>
      </c>
      <c r="I222" s="85">
        <f>IF(E222=H222,0,IF(E222=0,100,(H222-E222)/E222*100))</f>
        <v>-100</v>
      </c>
      <c r="J222" s="134">
        <f t="shared" si="590"/>
        <v>0</v>
      </c>
      <c r="K222" s="134">
        <f t="shared" si="590"/>
        <v>0</v>
      </c>
      <c r="L222" s="134">
        <f t="shared" si="590"/>
        <v>0</v>
      </c>
      <c r="M222" s="134">
        <f t="shared" si="590"/>
        <v>0</v>
      </c>
      <c r="N222" s="134">
        <f t="shared" si="590"/>
        <v>0</v>
      </c>
      <c r="O222" s="134">
        <f t="shared" si="590"/>
        <v>0</v>
      </c>
      <c r="P222" s="134">
        <f t="shared" ref="P222:Q222" si="591">SUM(P216:P216)</f>
        <v>0</v>
      </c>
      <c r="Q222" s="134">
        <f t="shared" si="591"/>
        <v>0</v>
      </c>
      <c r="R222" s="134">
        <f t="shared" ref="R222" si="592">SUM(R216:R216)</f>
        <v>0</v>
      </c>
      <c r="S222" s="2359">
        <f t="shared" ref="S222" si="593">SUM(S216:S216)</f>
        <v>0</v>
      </c>
    </row>
    <row r="223" spans="1:21" s="39" customFormat="1" x14ac:dyDescent="0.2">
      <c r="A223" s="128">
        <f>A220+A221+A222</f>
        <v>-355700</v>
      </c>
      <c r="B223" s="280">
        <f>B220+B221+B222</f>
        <v>-426200</v>
      </c>
      <c r="C223" s="280">
        <f>C220+C221+C222</f>
        <v>-631000</v>
      </c>
      <c r="D223" s="280">
        <f>D220+D221+D222</f>
        <v>-380500</v>
      </c>
      <c r="E223" s="529">
        <f t="shared" ref="E223" si="594">E220+E221+E222</f>
        <v>10200</v>
      </c>
      <c r="F223" s="367"/>
      <c r="G223" s="360" t="s">
        <v>1659</v>
      </c>
      <c r="H223" s="529">
        <f t="shared" ref="H223:O223" si="595">H220+H221+H222</f>
        <v>-464900</v>
      </c>
      <c r="I223" s="278">
        <f>IF(E223=H223,0,IF(E223=0,100,(H223-E223)/E223*100))</f>
        <v>-4657.8431372549021</v>
      </c>
      <c r="J223" s="529">
        <f t="shared" si="595"/>
        <v>-359300</v>
      </c>
      <c r="K223" s="529">
        <f t="shared" si="595"/>
        <v>-514000</v>
      </c>
      <c r="L223" s="529">
        <f t="shared" si="595"/>
        <v>-392200</v>
      </c>
      <c r="M223" s="529">
        <f t="shared" si="595"/>
        <v>-410400</v>
      </c>
      <c r="N223" s="529">
        <f t="shared" si="595"/>
        <v>-429000</v>
      </c>
      <c r="O223" s="529">
        <f t="shared" si="595"/>
        <v>-448300</v>
      </c>
      <c r="P223" s="529">
        <f t="shared" ref="P223:Q223" si="596">P220+P221+P222</f>
        <v>-645000</v>
      </c>
      <c r="Q223" s="529">
        <f t="shared" si="596"/>
        <v>-486800</v>
      </c>
      <c r="R223" s="529">
        <f t="shared" ref="R223" si="597">R220+R221+R222</f>
        <v>-507700</v>
      </c>
      <c r="S223" s="2410">
        <f t="shared" ref="S223" si="598">S220+S221+S222</f>
        <v>-529200</v>
      </c>
      <c r="U223" s="34"/>
    </row>
    <row r="224" spans="1:21" ht="13.5" thickBot="1" x14ac:dyDescent="0.25">
      <c r="A224" s="544"/>
      <c r="B224" s="21"/>
      <c r="C224" s="138"/>
      <c r="D224" s="138"/>
      <c r="E224" s="138"/>
      <c r="F224" s="1152"/>
      <c r="G224" s="122"/>
      <c r="H224" s="9"/>
      <c r="I224" s="126"/>
      <c r="J224" s="9"/>
      <c r="K224" s="9"/>
      <c r="L224" s="9"/>
      <c r="M224" s="9"/>
      <c r="N224" s="9"/>
      <c r="O224" s="9"/>
      <c r="P224" s="9"/>
      <c r="Q224" s="9"/>
      <c r="R224" s="9"/>
      <c r="S224" s="61"/>
    </row>
    <row r="225" spans="1:21" ht="13.5" thickTop="1" x14ac:dyDescent="0.2">
      <c r="A225" s="270"/>
      <c r="B225" s="109"/>
      <c r="C225" s="140"/>
      <c r="D225" s="140"/>
      <c r="E225" s="531"/>
      <c r="F225" s="375"/>
      <c r="G225" s="455"/>
      <c r="H225" s="74"/>
      <c r="I225" s="352"/>
      <c r="J225" s="74"/>
      <c r="K225" s="74"/>
      <c r="L225" s="74"/>
      <c r="M225" s="74"/>
      <c r="N225" s="74"/>
      <c r="O225" s="74"/>
      <c r="P225" s="74"/>
      <c r="Q225" s="74"/>
      <c r="R225" s="74"/>
      <c r="S225" s="110"/>
    </row>
    <row r="226" spans="1:21" x14ac:dyDescent="0.2">
      <c r="A226" s="24"/>
      <c r="B226" s="21"/>
      <c r="C226" s="139"/>
      <c r="D226" s="139"/>
      <c r="E226" s="138"/>
      <c r="F226" s="165"/>
      <c r="G226" s="1160" t="s">
        <v>192</v>
      </c>
      <c r="H226" s="9"/>
      <c r="I226" s="126"/>
      <c r="J226" s="9"/>
      <c r="K226" s="9"/>
      <c r="L226" s="9"/>
      <c r="M226" s="9"/>
      <c r="N226" s="9"/>
      <c r="O226" s="9"/>
      <c r="P226" s="9"/>
      <c r="Q226" s="9"/>
      <c r="R226" s="9"/>
      <c r="S226" s="61"/>
    </row>
    <row r="227" spans="1:21" x14ac:dyDescent="0.2">
      <c r="A227" s="24"/>
      <c r="B227" s="21"/>
      <c r="C227" s="139"/>
      <c r="D227" s="139"/>
      <c r="E227" s="138"/>
      <c r="F227" s="165"/>
      <c r="G227" s="122"/>
      <c r="H227" s="9"/>
      <c r="I227" s="126"/>
      <c r="J227" s="9"/>
      <c r="K227" s="9"/>
      <c r="L227" s="9"/>
      <c r="M227" s="9"/>
      <c r="N227" s="9"/>
      <c r="O227" s="9"/>
      <c r="P227" s="9"/>
      <c r="Q227" s="9"/>
      <c r="R227" s="9"/>
      <c r="S227" s="61"/>
    </row>
    <row r="228" spans="1:21" x14ac:dyDescent="0.2">
      <c r="A228" s="54">
        <f t="shared" ref="A228:A232" si="599">ROUND(A1013,-3)</f>
        <v>0</v>
      </c>
      <c r="B228" s="9">
        <f t="shared" ref="B228:C232" si="600">B1013</f>
        <v>0</v>
      </c>
      <c r="C228" s="136">
        <f t="shared" si="600"/>
        <v>0</v>
      </c>
      <c r="D228" s="136">
        <f>D1013</f>
        <v>0</v>
      </c>
      <c r="E228" s="1442">
        <f t="shared" ref="E228" si="601">E1013</f>
        <v>0</v>
      </c>
      <c r="F228" s="167"/>
      <c r="G228" s="257" t="s">
        <v>2848</v>
      </c>
      <c r="H228" s="9">
        <f t="shared" ref="H228:O228" si="602">H1013</f>
        <v>0</v>
      </c>
      <c r="I228" s="85">
        <f>IF(E228=H228,0,IF(E228=0,100,(H228-E228)/E228*100))</f>
        <v>0</v>
      </c>
      <c r="J228" s="9">
        <f t="shared" si="602"/>
        <v>0</v>
      </c>
      <c r="K228" s="9">
        <f t="shared" si="602"/>
        <v>0</v>
      </c>
      <c r="L228" s="9">
        <f t="shared" si="602"/>
        <v>0</v>
      </c>
      <c r="M228" s="9">
        <f t="shared" si="602"/>
        <v>0</v>
      </c>
      <c r="N228" s="9">
        <f t="shared" si="602"/>
        <v>0</v>
      </c>
      <c r="O228" s="9">
        <f t="shared" si="602"/>
        <v>0</v>
      </c>
      <c r="P228" s="9">
        <f t="shared" ref="P228:Q228" si="603">P1013</f>
        <v>0</v>
      </c>
      <c r="Q228" s="9">
        <f t="shared" si="603"/>
        <v>0</v>
      </c>
      <c r="R228" s="9">
        <f t="shared" ref="R228" si="604">R1013</f>
        <v>0</v>
      </c>
      <c r="S228" s="47">
        <f t="shared" ref="S228" si="605">S1013</f>
        <v>0</v>
      </c>
    </row>
    <row r="229" spans="1:21" x14ac:dyDescent="0.2">
      <c r="A229" s="54">
        <f t="shared" si="599"/>
        <v>886000</v>
      </c>
      <c r="B229" s="9">
        <f t="shared" si="600"/>
        <v>643900</v>
      </c>
      <c r="C229" s="136">
        <f t="shared" si="600"/>
        <v>612300</v>
      </c>
      <c r="D229" s="136">
        <f>D1014</f>
        <v>507000</v>
      </c>
      <c r="E229" s="144">
        <f t="shared" ref="E229" si="606">E1014</f>
        <v>785100</v>
      </c>
      <c r="F229" s="167"/>
      <c r="G229" s="257" t="s">
        <v>1909</v>
      </c>
      <c r="H229" s="9">
        <f t="shared" ref="H229:O229" si="607">H1014</f>
        <v>257000</v>
      </c>
      <c r="I229" s="85">
        <f>IF(E229=H229,0,IF(E229=0,100,(H229-E229)/E229*100))</f>
        <v>-67.265316520188506</v>
      </c>
      <c r="J229" s="9">
        <f t="shared" si="607"/>
        <v>70000</v>
      </c>
      <c r="K229" s="9">
        <f t="shared" si="607"/>
        <v>75000</v>
      </c>
      <c r="L229" s="9">
        <f t="shared" si="607"/>
        <v>35000</v>
      </c>
      <c r="M229" s="9">
        <f t="shared" si="607"/>
        <v>35000</v>
      </c>
      <c r="N229" s="9">
        <f t="shared" si="607"/>
        <v>35000</v>
      </c>
      <c r="O229" s="9">
        <f t="shared" si="607"/>
        <v>45000</v>
      </c>
      <c r="P229" s="9">
        <f t="shared" ref="P229:Q229" si="608">P1014</f>
        <v>50000</v>
      </c>
      <c r="Q229" s="9">
        <f t="shared" si="608"/>
        <v>35000</v>
      </c>
      <c r="R229" s="9">
        <f t="shared" ref="R229" si="609">R1014</f>
        <v>35000</v>
      </c>
      <c r="S229" s="47">
        <f t="shared" ref="S229" si="610">S1014</f>
        <v>35000</v>
      </c>
    </row>
    <row r="230" spans="1:21" x14ac:dyDescent="0.2">
      <c r="A230" s="54">
        <f t="shared" si="599"/>
        <v>680000</v>
      </c>
      <c r="B230" s="9">
        <f t="shared" si="600"/>
        <v>852100</v>
      </c>
      <c r="C230" s="136">
        <f t="shared" si="600"/>
        <v>872000</v>
      </c>
      <c r="D230" s="136">
        <f>D1015</f>
        <v>567000</v>
      </c>
      <c r="E230" s="144">
        <f t="shared" ref="E230" si="611">E1015</f>
        <v>522500</v>
      </c>
      <c r="F230" s="167"/>
      <c r="G230" s="257" t="s">
        <v>2309</v>
      </c>
      <c r="H230" s="9">
        <f t="shared" ref="H230:O230" si="612">H1015</f>
        <v>241800</v>
      </c>
      <c r="I230" s="85">
        <f>IF(E230=H230,0,IF(E230=0,100,(H230-E230)/E230*100))</f>
        <v>-53.722488038277518</v>
      </c>
      <c r="J230" s="9">
        <f t="shared" si="612"/>
        <v>0</v>
      </c>
      <c r="K230" s="9">
        <f t="shared" si="612"/>
        <v>160000</v>
      </c>
      <c r="L230" s="9">
        <f t="shared" si="612"/>
        <v>0</v>
      </c>
      <c r="M230" s="9">
        <f t="shared" si="612"/>
        <v>0</v>
      </c>
      <c r="N230" s="9">
        <f t="shared" si="612"/>
        <v>0</v>
      </c>
      <c r="O230" s="9">
        <f t="shared" si="612"/>
        <v>0</v>
      </c>
      <c r="P230" s="9">
        <f t="shared" ref="P230:Q230" si="613">P1015</f>
        <v>200000</v>
      </c>
      <c r="Q230" s="9">
        <f t="shared" si="613"/>
        <v>0</v>
      </c>
      <c r="R230" s="9">
        <f t="shared" ref="R230" si="614">R1015</f>
        <v>0</v>
      </c>
      <c r="S230" s="47">
        <f t="shared" ref="S230" si="615">S1015</f>
        <v>0</v>
      </c>
    </row>
    <row r="231" spans="1:21" x14ac:dyDescent="0.2">
      <c r="A231" s="54">
        <f t="shared" si="599"/>
        <v>0</v>
      </c>
      <c r="B231" s="9">
        <f t="shared" si="600"/>
        <v>0</v>
      </c>
      <c r="C231" s="136">
        <f t="shared" si="600"/>
        <v>0</v>
      </c>
      <c r="D231" s="136">
        <f>D1016</f>
        <v>0</v>
      </c>
      <c r="E231" s="144">
        <f t="shared" ref="E231" si="616">E1016</f>
        <v>0</v>
      </c>
      <c r="F231" s="167"/>
      <c r="G231" s="257" t="s">
        <v>5847</v>
      </c>
      <c r="H231" s="9">
        <f t="shared" ref="H231:O231" si="617">H1016</f>
        <v>0</v>
      </c>
      <c r="I231" s="85">
        <f>IF(E231=H231,0,IF(E231=0,100,(H231-E231)/E231*100))</f>
        <v>0</v>
      </c>
      <c r="J231" s="9">
        <f t="shared" si="617"/>
        <v>0</v>
      </c>
      <c r="K231" s="9">
        <f t="shared" si="617"/>
        <v>0</v>
      </c>
      <c r="L231" s="9">
        <f t="shared" si="617"/>
        <v>0</v>
      </c>
      <c r="M231" s="9">
        <f t="shared" si="617"/>
        <v>0</v>
      </c>
      <c r="N231" s="9">
        <f t="shared" si="617"/>
        <v>0</v>
      </c>
      <c r="O231" s="9">
        <f t="shared" si="617"/>
        <v>0</v>
      </c>
      <c r="P231" s="9">
        <f t="shared" ref="P231:Q231" si="618">P1016</f>
        <v>0</v>
      </c>
      <c r="Q231" s="9">
        <f t="shared" si="618"/>
        <v>0</v>
      </c>
      <c r="R231" s="9">
        <f t="shared" ref="R231" si="619">R1016</f>
        <v>0</v>
      </c>
      <c r="S231" s="47">
        <f t="shared" ref="S231" si="620">S1016</f>
        <v>0</v>
      </c>
    </row>
    <row r="232" spans="1:21" x14ac:dyDescent="0.2">
      <c r="A232" s="54">
        <f t="shared" si="599"/>
        <v>162000</v>
      </c>
      <c r="B232" s="9">
        <f t="shared" si="600"/>
        <v>441800</v>
      </c>
      <c r="C232" s="136">
        <f t="shared" si="600"/>
        <v>221100</v>
      </c>
      <c r="D232" s="136">
        <f>D1017</f>
        <v>302700</v>
      </c>
      <c r="E232" s="144">
        <f t="shared" ref="E232" si="621">E1017</f>
        <v>255300</v>
      </c>
      <c r="F232" s="167"/>
      <c r="G232" s="257" t="s">
        <v>958</v>
      </c>
      <c r="H232" s="9">
        <f t="shared" ref="H232:O232" si="622">H1017</f>
        <v>354200</v>
      </c>
      <c r="I232" s="85">
        <f>IF(E232=H232,0,IF(E232=0,100,(H232-E232)/E232*100))</f>
        <v>38.738738738738739</v>
      </c>
      <c r="J232" s="9">
        <f t="shared" si="622"/>
        <v>474000</v>
      </c>
      <c r="K232" s="9">
        <f t="shared" si="622"/>
        <v>493000</v>
      </c>
      <c r="L232" s="9">
        <f t="shared" si="622"/>
        <v>506000</v>
      </c>
      <c r="M232" s="9">
        <f t="shared" si="622"/>
        <v>519000</v>
      </c>
      <c r="N232" s="9">
        <f t="shared" si="622"/>
        <v>532000</v>
      </c>
      <c r="O232" s="9">
        <f t="shared" si="622"/>
        <v>546000</v>
      </c>
      <c r="P232" s="9">
        <f t="shared" ref="P232:Q232" si="623">P1017</f>
        <v>560000</v>
      </c>
      <c r="Q232" s="9">
        <f t="shared" si="623"/>
        <v>574000</v>
      </c>
      <c r="R232" s="9">
        <f t="shared" ref="R232" si="624">R1017</f>
        <v>589000</v>
      </c>
      <c r="S232" s="47">
        <f t="shared" ref="S232" si="625">S1017</f>
        <v>604000</v>
      </c>
    </row>
    <row r="233" spans="1:21" x14ac:dyDescent="0.2">
      <c r="A233" s="54"/>
      <c r="B233" s="9"/>
      <c r="E233" s="144"/>
      <c r="F233" s="167"/>
      <c r="G233" s="361"/>
      <c r="H233" s="9"/>
      <c r="I233" s="85"/>
      <c r="J233" s="9"/>
      <c r="K233" s="9"/>
      <c r="L233" s="9"/>
      <c r="M233" s="9"/>
      <c r="N233" s="9"/>
      <c r="O233" s="9"/>
      <c r="P233" s="9"/>
      <c r="Q233" s="9"/>
      <c r="R233" s="9"/>
      <c r="S233" s="47"/>
    </row>
    <row r="234" spans="1:21" s="39" customFormat="1" x14ac:dyDescent="0.2">
      <c r="A234" s="128">
        <f>A223-A228-A229+A230++A231-A232</f>
        <v>-723700</v>
      </c>
      <c r="B234" s="280">
        <f>B223-B228-B229+B230++B231-B232</f>
        <v>-659800</v>
      </c>
      <c r="C234" s="281">
        <f>C223-C228-C229+C230++C231-C232</f>
        <v>-592400</v>
      </c>
      <c r="D234" s="281">
        <f>D223-D228-D229+D230++D231-D232</f>
        <v>-623200</v>
      </c>
      <c r="E234" s="1513">
        <f t="shared" ref="E234" si="626">E223-E228-E229+E230++E231-E232</f>
        <v>-507700</v>
      </c>
      <c r="F234" s="372"/>
      <c r="G234" s="363" t="s">
        <v>2447</v>
      </c>
      <c r="H234" s="280">
        <f t="shared" ref="H234:O234" si="627">H223-H228-H229+H230++H231-H232</f>
        <v>-834300</v>
      </c>
      <c r="I234" s="278">
        <f>IF(E234=H234,0,IF(E234=0,100,(H234-E234)/E234*100))</f>
        <v>64.329328343509957</v>
      </c>
      <c r="J234" s="280">
        <f t="shared" si="627"/>
        <v>-903300</v>
      </c>
      <c r="K234" s="280">
        <f t="shared" si="627"/>
        <v>-922000</v>
      </c>
      <c r="L234" s="280">
        <f t="shared" si="627"/>
        <v>-933200</v>
      </c>
      <c r="M234" s="280">
        <f t="shared" si="627"/>
        <v>-964400</v>
      </c>
      <c r="N234" s="280">
        <f t="shared" si="627"/>
        <v>-996000</v>
      </c>
      <c r="O234" s="280">
        <f t="shared" si="627"/>
        <v>-1039300</v>
      </c>
      <c r="P234" s="280">
        <f t="shared" ref="P234:Q234" si="628">P223-P228-P229+P230++P231-P232</f>
        <v>-1055000</v>
      </c>
      <c r="Q234" s="280">
        <f t="shared" si="628"/>
        <v>-1095800</v>
      </c>
      <c r="R234" s="280">
        <f t="shared" ref="R234" si="629">R223-R228-R229+R230++R231-R232</f>
        <v>-1131700</v>
      </c>
      <c r="S234" s="2343">
        <f t="shared" ref="S234" si="630">S223-S228-S229+S230++S231-S232</f>
        <v>-1168200</v>
      </c>
      <c r="U234" s="34"/>
    </row>
    <row r="235" spans="1:21" ht="13.5" thickBot="1" x14ac:dyDescent="0.25">
      <c r="A235" s="26"/>
      <c r="B235" s="37"/>
      <c r="C235" s="141"/>
      <c r="D235" s="141"/>
      <c r="E235" s="1437"/>
      <c r="F235" s="166"/>
      <c r="G235" s="259"/>
      <c r="H235" s="23"/>
      <c r="I235" s="275"/>
      <c r="J235" s="23"/>
      <c r="K235" s="23"/>
      <c r="L235" s="23"/>
      <c r="M235" s="23"/>
      <c r="N235" s="23"/>
      <c r="O235" s="23"/>
      <c r="P235" s="23"/>
      <c r="Q235" s="23"/>
      <c r="R235" s="23"/>
      <c r="S235" s="112"/>
    </row>
    <row r="236" spans="1:21" ht="13.5" thickTop="1" x14ac:dyDescent="0.2">
      <c r="A236" s="27"/>
      <c r="B236" s="27"/>
      <c r="C236" s="27"/>
      <c r="D236" s="27"/>
      <c r="E236" s="143"/>
      <c r="F236" s="169"/>
      <c r="G236" s="84"/>
      <c r="H236" s="46"/>
      <c r="I236" s="2234"/>
      <c r="J236" s="46"/>
      <c r="K236" s="46"/>
      <c r="L236" s="46"/>
      <c r="M236" s="46"/>
      <c r="N236" s="46"/>
      <c r="O236" s="46"/>
      <c r="P236" s="46"/>
      <c r="Q236" s="46"/>
      <c r="R236" s="46"/>
      <c r="S236" s="46"/>
    </row>
    <row r="237" spans="1:21" ht="13.5" customHeight="1" x14ac:dyDescent="0.2">
      <c r="A237" s="27"/>
      <c r="B237" s="27"/>
      <c r="C237" s="27"/>
      <c r="D237" s="27"/>
      <c r="E237" s="143"/>
      <c r="F237" s="169"/>
      <c r="G237" s="84"/>
      <c r="H237" s="46"/>
      <c r="I237" s="2234"/>
      <c r="J237" s="46"/>
      <c r="K237" s="46"/>
      <c r="L237" s="46"/>
      <c r="M237" s="46"/>
      <c r="N237" s="46"/>
      <c r="O237" s="46"/>
      <c r="P237" s="46"/>
      <c r="Q237" s="46"/>
      <c r="R237" s="46"/>
      <c r="S237" s="46"/>
    </row>
    <row r="238" spans="1:21" ht="13.5" customHeight="1" thickBot="1" x14ac:dyDescent="0.25">
      <c r="A238" s="27"/>
      <c r="B238" s="27"/>
      <c r="C238" s="143"/>
      <c r="D238" s="143"/>
      <c r="E238" s="143"/>
      <c r="F238" s="169"/>
      <c r="G238" s="84"/>
      <c r="H238" s="46"/>
      <c r="I238" s="2234"/>
      <c r="J238" s="46"/>
      <c r="K238" s="46"/>
      <c r="L238" s="46"/>
      <c r="M238" s="46"/>
      <c r="N238" s="46"/>
      <c r="O238" s="46"/>
      <c r="P238" s="46"/>
      <c r="Q238" s="46"/>
      <c r="R238" s="46"/>
      <c r="S238" s="46"/>
    </row>
    <row r="239" spans="1:21" s="38" customFormat="1" ht="18.75" customHeight="1" thickTop="1" thickBot="1" x14ac:dyDescent="0.3">
      <c r="A239" s="2588" t="s">
        <v>1857</v>
      </c>
      <c r="B239" s="2589"/>
      <c r="C239" s="2589"/>
      <c r="D239" s="2589"/>
      <c r="E239" s="2589"/>
      <c r="F239" s="2589"/>
      <c r="G239" s="2589"/>
      <c r="H239" s="2589"/>
      <c r="I239" s="2589"/>
      <c r="J239" s="2589"/>
      <c r="K239" s="2589"/>
      <c r="L239" s="2589"/>
      <c r="M239" s="2589"/>
      <c r="N239" s="2589"/>
      <c r="O239" s="2589"/>
      <c r="P239" s="2589"/>
      <c r="Q239" s="2589"/>
      <c r="R239" s="2589"/>
      <c r="S239" s="2590"/>
      <c r="U239" s="34"/>
    </row>
    <row r="240" spans="1:21" s="39" customFormat="1" ht="13.5" thickBot="1" x14ac:dyDescent="0.25">
      <c r="A240" s="2591" t="s">
        <v>1824</v>
      </c>
      <c r="B240" s="2577"/>
      <c r="C240" s="2577"/>
      <c r="D240" s="2577"/>
      <c r="E240" s="2592"/>
      <c r="F240" s="127" t="s">
        <v>2616</v>
      </c>
      <c r="G240" s="127" t="s">
        <v>2213</v>
      </c>
      <c r="H240" s="2568" t="s">
        <v>2215</v>
      </c>
      <c r="I240" s="2568"/>
      <c r="J240" s="2568"/>
      <c r="K240" s="2568"/>
      <c r="L240" s="2568"/>
      <c r="M240" s="2568"/>
      <c r="N240" s="2568"/>
      <c r="O240" s="2568"/>
      <c r="P240" s="2568"/>
      <c r="Q240" s="2568"/>
      <c r="R240" s="2568"/>
      <c r="S240" s="2607"/>
      <c r="U240" s="34"/>
    </row>
    <row r="241" spans="1:21" ht="13.5" thickBot="1" x14ac:dyDescent="0.25">
      <c r="A241" s="541" t="str">
        <f t="shared" ref="A241:B241" si="631">A3</f>
        <v>2012/13</v>
      </c>
      <c r="B241" s="28" t="str">
        <f t="shared" si="631"/>
        <v>2013/14</v>
      </c>
      <c r="C241" s="40" t="str">
        <f>C3</f>
        <v>2014/15</v>
      </c>
      <c r="D241" s="40" t="str">
        <f>D3</f>
        <v>2015/16</v>
      </c>
      <c r="E241" s="1445" t="str">
        <f t="shared" ref="E241" si="632">E3</f>
        <v>2016/17</v>
      </c>
      <c r="F241" s="40" t="s">
        <v>2617</v>
      </c>
      <c r="G241" s="41"/>
      <c r="H241" s="40" t="str">
        <f t="shared" ref="H241:P241" si="633">H3</f>
        <v>2017/18</v>
      </c>
      <c r="I241" s="1258" t="str">
        <f>I470</f>
        <v xml:space="preserve">% </v>
      </c>
      <c r="J241" s="40" t="str">
        <f t="shared" si="633"/>
        <v>2018/19</v>
      </c>
      <c r="K241" s="40" t="str">
        <f t="shared" si="633"/>
        <v>2019/20</v>
      </c>
      <c r="L241" s="40" t="str">
        <f t="shared" si="633"/>
        <v>2020/21</v>
      </c>
      <c r="M241" s="40" t="str">
        <f t="shared" si="633"/>
        <v>2021/22</v>
      </c>
      <c r="N241" s="40" t="str">
        <f t="shared" si="633"/>
        <v>2022/23</v>
      </c>
      <c r="O241" s="40" t="str">
        <f t="shared" si="633"/>
        <v>2023/24</v>
      </c>
      <c r="P241" s="40" t="str">
        <f t="shared" si="633"/>
        <v>2024/25</v>
      </c>
      <c r="Q241" s="28" t="str">
        <f>Q3</f>
        <v>2025/26</v>
      </c>
      <c r="R241" s="28" t="str">
        <f t="shared" ref="R241:S241" si="634">R3</f>
        <v>2026/27</v>
      </c>
      <c r="S241" s="1620" t="str">
        <f t="shared" si="634"/>
        <v>2027/28</v>
      </c>
    </row>
    <row r="242" spans="1:21" x14ac:dyDescent="0.2">
      <c r="A242" s="54"/>
      <c r="B242" s="9"/>
      <c r="E242" s="144"/>
      <c r="F242" s="116"/>
      <c r="G242" s="116"/>
      <c r="H242" s="9"/>
      <c r="I242" s="85"/>
      <c r="J242" s="9"/>
      <c r="K242" s="9"/>
      <c r="L242" s="9"/>
      <c r="M242" s="9"/>
      <c r="N242" s="9"/>
      <c r="O242" s="9"/>
      <c r="P242" s="9"/>
      <c r="Q242" s="9"/>
      <c r="R242" s="9"/>
      <c r="S242" s="61"/>
    </row>
    <row r="243" spans="1:21" x14ac:dyDescent="0.2">
      <c r="A243" s="54"/>
      <c r="B243" s="9"/>
      <c r="D243" s="134"/>
      <c r="E243" s="144"/>
      <c r="F243" s="167"/>
      <c r="G243" s="256" t="s">
        <v>1056</v>
      </c>
      <c r="H243" s="9"/>
      <c r="I243" s="85"/>
      <c r="J243" s="9"/>
      <c r="K243" s="9"/>
      <c r="L243" s="9"/>
      <c r="M243" s="9"/>
      <c r="N243" s="9"/>
      <c r="O243" s="9"/>
      <c r="P243" s="9"/>
      <c r="Q243" s="9"/>
      <c r="R243" s="9"/>
      <c r="S243" s="61"/>
    </row>
    <row r="244" spans="1:21" x14ac:dyDescent="0.2">
      <c r="A244" s="54"/>
      <c r="B244" s="9"/>
      <c r="D244" s="134"/>
      <c r="E244" s="144"/>
      <c r="F244" s="167"/>
      <c r="G244" s="9"/>
      <c r="H244" s="9"/>
      <c r="I244" s="85"/>
      <c r="J244" s="9"/>
      <c r="K244" s="9"/>
      <c r="L244" s="9"/>
      <c r="M244" s="9"/>
      <c r="N244" s="9"/>
      <c r="O244" s="9"/>
      <c r="P244" s="9"/>
      <c r="Q244" s="9"/>
      <c r="R244" s="9"/>
      <c r="S244" s="61"/>
    </row>
    <row r="245" spans="1:21" x14ac:dyDescent="0.2">
      <c r="A245" s="54"/>
      <c r="B245" s="9"/>
      <c r="E245" s="144"/>
      <c r="F245" s="167"/>
      <c r="G245" s="63" t="s">
        <v>677</v>
      </c>
      <c r="H245" s="9"/>
      <c r="I245" s="85"/>
      <c r="J245" s="9"/>
      <c r="K245" s="9"/>
      <c r="L245" s="9"/>
      <c r="M245" s="9"/>
      <c r="N245" s="9"/>
      <c r="O245" s="9"/>
      <c r="P245" s="9"/>
      <c r="Q245" s="9"/>
      <c r="R245" s="9"/>
      <c r="S245" s="61"/>
    </row>
    <row r="246" spans="1:21" x14ac:dyDescent="0.2">
      <c r="A246" s="54">
        <f>SUM(A1026:A1027)</f>
        <v>47000</v>
      </c>
      <c r="B246" s="9">
        <f>SUM(B1026:B1027)</f>
        <v>1500</v>
      </c>
      <c r="C246" s="136">
        <f>SUM(C1026:C1027)</f>
        <v>12000</v>
      </c>
      <c r="D246" s="136">
        <f>SUM(D1026:D1027)</f>
        <v>0</v>
      </c>
      <c r="E246" s="144">
        <f>SUM(E1026:E1027)</f>
        <v>34100</v>
      </c>
      <c r="F246" s="167">
        <v>22110</v>
      </c>
      <c r="G246" s="79" t="s">
        <v>3048</v>
      </c>
      <c r="H246" s="9">
        <f>SUM(H1026:H1027)</f>
        <v>0</v>
      </c>
      <c r="I246" s="85">
        <f>IF(E246=H246,0,IF(E246=0,100,(H246-E246)/E246*100))</f>
        <v>-100</v>
      </c>
      <c r="J246" s="9">
        <f t="shared" ref="J246:S246" si="635">SUM(J1026:J1027)</f>
        <v>0</v>
      </c>
      <c r="K246" s="9">
        <f t="shared" si="635"/>
        <v>0</v>
      </c>
      <c r="L246" s="9">
        <f t="shared" si="635"/>
        <v>0</v>
      </c>
      <c r="M246" s="9">
        <f t="shared" si="635"/>
        <v>0</v>
      </c>
      <c r="N246" s="9">
        <f t="shared" si="635"/>
        <v>0</v>
      </c>
      <c r="O246" s="9">
        <f t="shared" si="635"/>
        <v>0</v>
      </c>
      <c r="P246" s="9">
        <f t="shared" si="635"/>
        <v>0</v>
      </c>
      <c r="Q246" s="9">
        <f t="shared" si="635"/>
        <v>0</v>
      </c>
      <c r="R246" s="9">
        <f t="shared" si="635"/>
        <v>0</v>
      </c>
      <c r="S246" s="47">
        <f t="shared" si="635"/>
        <v>0</v>
      </c>
    </row>
    <row r="247" spans="1:21" x14ac:dyDescent="0.2">
      <c r="A247" s="54">
        <f t="shared" ref="A247" si="636">A1028</f>
        <v>19800</v>
      </c>
      <c r="B247" s="9">
        <f t="shared" ref="B247" si="637">B1028</f>
        <v>37100</v>
      </c>
      <c r="C247" s="136">
        <f t="shared" ref="C247" si="638">C1028</f>
        <v>69300</v>
      </c>
      <c r="D247" s="136">
        <f t="shared" ref="D247:E247" si="639">D1028</f>
        <v>62700</v>
      </c>
      <c r="E247" s="144">
        <f t="shared" si="639"/>
        <v>56400</v>
      </c>
      <c r="F247" s="167">
        <v>22110</v>
      </c>
      <c r="G247" s="79" t="s">
        <v>4463</v>
      </c>
      <c r="H247" s="9">
        <f t="shared" ref="H247:Q247" si="640">H1028</f>
        <v>47500</v>
      </c>
      <c r="I247" s="85">
        <f>IF(E247=H247,0,IF(E247=0,100,(H247-E247)/E247*100))</f>
        <v>-15.780141843971633</v>
      </c>
      <c r="J247" s="9">
        <f t="shared" si="640"/>
        <v>40000</v>
      </c>
      <c r="K247" s="9">
        <f t="shared" si="640"/>
        <v>32200</v>
      </c>
      <c r="L247" s="9">
        <f t="shared" si="640"/>
        <v>24200</v>
      </c>
      <c r="M247" s="9">
        <f t="shared" si="640"/>
        <v>15800</v>
      </c>
      <c r="N247" s="9">
        <f t="shared" si="640"/>
        <v>7500</v>
      </c>
      <c r="O247" s="9">
        <f t="shared" si="640"/>
        <v>2600</v>
      </c>
      <c r="P247" s="9">
        <f t="shared" si="640"/>
        <v>0</v>
      </c>
      <c r="Q247" s="9">
        <f t="shared" si="640"/>
        <v>0</v>
      </c>
      <c r="R247" s="9">
        <f t="shared" ref="R247" si="641">R1028</f>
        <v>0</v>
      </c>
      <c r="S247" s="47">
        <f t="shared" ref="S247" si="642">S1028</f>
        <v>0</v>
      </c>
    </row>
    <row r="248" spans="1:21" x14ac:dyDescent="0.2">
      <c r="A248" s="54">
        <f t="shared" ref="A248" si="643">A1029</f>
        <v>608300</v>
      </c>
      <c r="B248" s="9">
        <f t="shared" ref="B248:D248" si="644">B1029</f>
        <v>228000</v>
      </c>
      <c r="C248" s="136">
        <f t="shared" si="644"/>
        <v>0</v>
      </c>
      <c r="D248" s="136">
        <f t="shared" si="644"/>
        <v>214000</v>
      </c>
      <c r="E248" s="144">
        <f>E1029</f>
        <v>0</v>
      </c>
      <c r="F248" s="167">
        <v>22110</v>
      </c>
      <c r="G248" s="79" t="s">
        <v>5954</v>
      </c>
      <c r="H248" s="9">
        <f t="shared" ref="H248:Q248" si="645">H1029</f>
        <v>0</v>
      </c>
      <c r="I248" s="85">
        <f>IF(E248=H248,0,IF(E248=0,100,(H248-E248)/E248*100))</f>
        <v>0</v>
      </c>
      <c r="J248" s="9">
        <f t="shared" si="645"/>
        <v>0</v>
      </c>
      <c r="K248" s="9">
        <f t="shared" si="645"/>
        <v>0</v>
      </c>
      <c r="L248" s="9">
        <f t="shared" si="645"/>
        <v>0</v>
      </c>
      <c r="M248" s="9">
        <f t="shared" si="645"/>
        <v>0</v>
      </c>
      <c r="N248" s="9">
        <f t="shared" si="645"/>
        <v>0</v>
      </c>
      <c r="O248" s="9">
        <f t="shared" si="645"/>
        <v>0</v>
      </c>
      <c r="P248" s="9">
        <f t="shared" si="645"/>
        <v>0</v>
      </c>
      <c r="Q248" s="9">
        <f t="shared" si="645"/>
        <v>0</v>
      </c>
      <c r="R248" s="9">
        <f t="shared" ref="R248" si="646">R1029</f>
        <v>0</v>
      </c>
      <c r="S248" s="47">
        <f t="shared" ref="S248" si="647">S1029</f>
        <v>0</v>
      </c>
    </row>
    <row r="249" spans="1:21" x14ac:dyDescent="0.2">
      <c r="A249" s="54">
        <f t="shared" ref="A249" si="648">A1030</f>
        <v>0</v>
      </c>
      <c r="B249" s="9">
        <f>B1030</f>
        <v>0</v>
      </c>
      <c r="C249" s="136">
        <f>C1030</f>
        <v>238800</v>
      </c>
      <c r="D249" s="136">
        <f>D1030</f>
        <v>0</v>
      </c>
      <c r="E249" s="144">
        <f>E1030</f>
        <v>1484400</v>
      </c>
      <c r="F249" s="167">
        <v>22110</v>
      </c>
      <c r="G249" s="79" t="s">
        <v>3574</v>
      </c>
      <c r="H249" s="9">
        <f t="shared" ref="H249:Q249" si="649">H1030</f>
        <v>900000</v>
      </c>
      <c r="I249" s="85">
        <f>IF(E249=H249,0,IF(E249=0,100,(H249-E249)/E249*100))</f>
        <v>-39.369442198868235</v>
      </c>
      <c r="J249" s="9">
        <f t="shared" si="649"/>
        <v>492000</v>
      </c>
      <c r="K249" s="9">
        <f t="shared" si="649"/>
        <v>634000</v>
      </c>
      <c r="L249" s="9">
        <f t="shared" si="649"/>
        <v>646700</v>
      </c>
      <c r="M249" s="9">
        <f t="shared" si="649"/>
        <v>659700</v>
      </c>
      <c r="N249" s="9">
        <f t="shared" si="649"/>
        <v>672900</v>
      </c>
      <c r="O249" s="9">
        <f t="shared" si="649"/>
        <v>686400</v>
      </c>
      <c r="P249" s="9">
        <f t="shared" si="649"/>
        <v>700200</v>
      </c>
      <c r="Q249" s="9">
        <f t="shared" si="649"/>
        <v>714300</v>
      </c>
      <c r="R249" s="9">
        <f t="shared" ref="R249" si="650">R1030</f>
        <v>728600</v>
      </c>
      <c r="S249" s="47">
        <f t="shared" ref="S249" si="651">S1030</f>
        <v>743200</v>
      </c>
    </row>
    <row r="250" spans="1:21" x14ac:dyDescent="0.2">
      <c r="A250" s="54"/>
      <c r="B250" s="9"/>
      <c r="E250" s="144"/>
      <c r="F250" s="167"/>
      <c r="G250" s="9"/>
      <c r="H250" s="9"/>
      <c r="I250" s="85"/>
      <c r="J250" s="9"/>
      <c r="K250" s="9"/>
      <c r="L250" s="9"/>
      <c r="M250" s="9"/>
      <c r="N250" s="9"/>
      <c r="O250" s="9"/>
      <c r="P250" s="9"/>
      <c r="Q250" s="9"/>
      <c r="R250" s="9"/>
      <c r="S250" s="47"/>
    </row>
    <row r="251" spans="1:21" x14ac:dyDescent="0.2">
      <c r="A251" s="54"/>
      <c r="B251" s="9"/>
      <c r="E251" s="144"/>
      <c r="F251" s="167"/>
      <c r="G251" s="21" t="s">
        <v>2624</v>
      </c>
      <c r="H251" s="9"/>
      <c r="I251" s="85"/>
      <c r="J251" s="9"/>
      <c r="K251" s="9"/>
      <c r="L251" s="9"/>
      <c r="M251" s="9"/>
      <c r="N251" s="9"/>
      <c r="O251" s="9"/>
      <c r="P251" s="9"/>
      <c r="Q251" s="9"/>
      <c r="R251" s="9"/>
      <c r="S251" s="47"/>
    </row>
    <row r="252" spans="1:21" x14ac:dyDescent="0.2">
      <c r="A252" s="54">
        <f>SUM(A1031:A1034)</f>
        <v>12800</v>
      </c>
      <c r="B252" s="9">
        <f>SUM(B1031:B1034)</f>
        <v>233100</v>
      </c>
      <c r="C252" s="136">
        <f>SUM(C1031:C1034)</f>
        <v>93700</v>
      </c>
      <c r="D252" s="136">
        <f>SUM(D1031:D1034)</f>
        <v>73800</v>
      </c>
      <c r="E252" s="144">
        <f t="shared" ref="E252" si="652">SUM(E1031:E1034)</f>
        <v>62000</v>
      </c>
      <c r="F252" s="167"/>
      <c r="G252" s="79" t="s">
        <v>4441</v>
      </c>
      <c r="H252" s="9">
        <f t="shared" ref="H252:O252" si="653">SUM(H1031:H1034)</f>
        <v>0</v>
      </c>
      <c r="I252" s="85">
        <f>IF(E252=H252,0,IF(E252=0,100,(H252-E252)/E252*100))</f>
        <v>-100</v>
      </c>
      <c r="J252" s="9">
        <f t="shared" si="653"/>
        <v>0</v>
      </c>
      <c r="K252" s="9">
        <f t="shared" si="653"/>
        <v>0</v>
      </c>
      <c r="L252" s="9">
        <f t="shared" si="653"/>
        <v>0</v>
      </c>
      <c r="M252" s="9">
        <f t="shared" si="653"/>
        <v>0</v>
      </c>
      <c r="N252" s="9">
        <f t="shared" si="653"/>
        <v>0</v>
      </c>
      <c r="O252" s="9">
        <f t="shared" si="653"/>
        <v>0</v>
      </c>
      <c r="P252" s="9">
        <f t="shared" ref="P252:Q252" si="654">SUM(P1031:P1034)</f>
        <v>0</v>
      </c>
      <c r="Q252" s="9">
        <f t="shared" si="654"/>
        <v>0</v>
      </c>
      <c r="R252" s="9">
        <f t="shared" ref="R252" si="655">SUM(R1031:R1034)</f>
        <v>0</v>
      </c>
      <c r="S252" s="47">
        <f t="shared" ref="S252" si="656">SUM(S1031:S1034)</f>
        <v>0</v>
      </c>
    </row>
    <row r="253" spans="1:21" ht="13.5" thickBot="1" x14ac:dyDescent="0.25">
      <c r="A253" s="54"/>
      <c r="B253" s="9"/>
      <c r="E253" s="144"/>
      <c r="F253" s="167"/>
      <c r="G253" s="9"/>
      <c r="H253" s="9"/>
      <c r="I253" s="85"/>
      <c r="J253" s="9"/>
      <c r="K253" s="9"/>
      <c r="L253" s="9"/>
      <c r="M253" s="9"/>
      <c r="N253" s="9"/>
      <c r="O253" s="9"/>
      <c r="P253" s="9"/>
      <c r="Q253" s="9"/>
      <c r="R253" s="9"/>
      <c r="S253" s="47"/>
    </row>
    <row r="254" spans="1:21" s="39" customFormat="1" x14ac:dyDescent="0.2">
      <c r="A254" s="52">
        <f>SUM(A243:A253)</f>
        <v>687900</v>
      </c>
      <c r="B254" s="16">
        <f>SUM(B243:B253)</f>
        <v>499700</v>
      </c>
      <c r="C254" s="137">
        <f>SUM(C243:C253)</f>
        <v>413800</v>
      </c>
      <c r="D254" s="137">
        <f>SUM(D243:D253)</f>
        <v>350500</v>
      </c>
      <c r="E254" s="1473">
        <f>SUM(E243:E253)</f>
        <v>1636900</v>
      </c>
      <c r="F254" s="173"/>
      <c r="G254" s="267" t="s">
        <v>2561</v>
      </c>
      <c r="H254" s="16">
        <f>SUM(H243:H253)</f>
        <v>947500</v>
      </c>
      <c r="I254" s="127">
        <f>IF(E254=H254,0,IF(E254=0,100,(H254-E254)/E254*100))</f>
        <v>-42.116195247113446</v>
      </c>
      <c r="J254" s="16">
        <f t="shared" ref="J254:S254" si="657">SUM(J243:J253)</f>
        <v>532000</v>
      </c>
      <c r="K254" s="16">
        <f t="shared" si="657"/>
        <v>666200</v>
      </c>
      <c r="L254" s="16">
        <f t="shared" si="657"/>
        <v>670900</v>
      </c>
      <c r="M254" s="16">
        <f t="shared" si="657"/>
        <v>675500</v>
      </c>
      <c r="N254" s="16">
        <f t="shared" si="657"/>
        <v>680400</v>
      </c>
      <c r="O254" s="16">
        <f t="shared" si="657"/>
        <v>689000</v>
      </c>
      <c r="P254" s="16">
        <f t="shared" si="657"/>
        <v>700200</v>
      </c>
      <c r="Q254" s="16">
        <f t="shared" si="657"/>
        <v>714300</v>
      </c>
      <c r="R254" s="16">
        <f t="shared" si="657"/>
        <v>728600</v>
      </c>
      <c r="S254" s="2342">
        <f t="shared" si="657"/>
        <v>743200</v>
      </c>
      <c r="U254" s="34"/>
    </row>
    <row r="255" spans="1:21" x14ac:dyDescent="0.2">
      <c r="A255" s="54"/>
      <c r="B255" s="9"/>
      <c r="E255" s="144"/>
      <c r="F255" s="167"/>
      <c r="G255" s="9"/>
      <c r="H255" s="9"/>
      <c r="I255" s="85"/>
      <c r="J255" s="9"/>
      <c r="K255" s="9"/>
      <c r="L255" s="9"/>
      <c r="M255" s="9"/>
      <c r="N255" s="9"/>
      <c r="O255" s="9"/>
      <c r="P255" s="9"/>
      <c r="Q255" s="9"/>
      <c r="R255" s="9"/>
      <c r="S255" s="47"/>
    </row>
    <row r="256" spans="1:21" x14ac:dyDescent="0.2">
      <c r="A256" s="54"/>
      <c r="B256" s="9"/>
      <c r="E256" s="144"/>
      <c r="F256" s="167"/>
      <c r="G256" s="256" t="s">
        <v>2169</v>
      </c>
      <c r="H256" s="9"/>
      <c r="I256" s="85"/>
      <c r="J256" s="9"/>
      <c r="K256" s="9"/>
      <c r="L256" s="9"/>
      <c r="M256" s="9"/>
      <c r="N256" s="9"/>
      <c r="O256" s="9"/>
      <c r="P256" s="9"/>
      <c r="Q256" s="9"/>
      <c r="R256" s="9"/>
      <c r="S256" s="47"/>
    </row>
    <row r="257" spans="1:19" x14ac:dyDescent="0.2">
      <c r="A257" s="54"/>
      <c r="B257" s="9"/>
      <c r="E257" s="144"/>
      <c r="F257" s="167"/>
      <c r="G257" s="256"/>
      <c r="H257" s="9"/>
      <c r="I257" s="85"/>
      <c r="J257" s="9"/>
      <c r="K257" s="9"/>
      <c r="L257" s="9"/>
      <c r="M257" s="9"/>
      <c r="N257" s="9"/>
      <c r="O257" s="9"/>
      <c r="P257" s="9"/>
      <c r="Q257" s="9"/>
      <c r="R257" s="9"/>
      <c r="S257" s="47"/>
    </row>
    <row r="258" spans="1:19" x14ac:dyDescent="0.2">
      <c r="A258" s="54"/>
      <c r="B258" s="9"/>
      <c r="E258" s="144"/>
      <c r="F258" s="167"/>
      <c r="G258" s="21" t="s">
        <v>2339</v>
      </c>
      <c r="H258" s="9"/>
      <c r="I258" s="85"/>
      <c r="J258" s="9"/>
      <c r="K258" s="9"/>
      <c r="L258" s="9"/>
      <c r="M258" s="9"/>
      <c r="N258" s="9"/>
      <c r="O258" s="9"/>
      <c r="P258" s="9"/>
      <c r="Q258" s="9"/>
      <c r="R258" s="9"/>
      <c r="S258" s="47"/>
    </row>
    <row r="259" spans="1:19" x14ac:dyDescent="0.2">
      <c r="A259" s="54">
        <f>(SUM(A1038:A1045))</f>
        <v>776500</v>
      </c>
      <c r="B259" s="9">
        <f>(SUM(B1038:B1045))</f>
        <v>628700</v>
      </c>
      <c r="C259" s="136">
        <f>(SUM(C1038:C1045))</f>
        <v>786800</v>
      </c>
      <c r="D259" s="136">
        <f>(SUM(D1038:D1045))</f>
        <v>666600</v>
      </c>
      <c r="E259" s="144">
        <f>(SUM(E1038:E1045))</f>
        <v>714500</v>
      </c>
      <c r="F259" s="167">
        <v>32110</v>
      </c>
      <c r="G259" s="9" t="s">
        <v>813</v>
      </c>
      <c r="H259" s="9">
        <f t="shared" ref="H259:Q259" si="658">(SUM(H1038:H1045))</f>
        <v>777000</v>
      </c>
      <c r="I259" s="85">
        <f t="shared" ref="I259:I264" si="659">IF(E259=H259,0,IF(E259=0,100,(H259-E259)/E259*100))</f>
        <v>8.7473757872638203</v>
      </c>
      <c r="J259" s="9">
        <f t="shared" si="658"/>
        <v>795100</v>
      </c>
      <c r="K259" s="9">
        <f t="shared" si="658"/>
        <v>815200</v>
      </c>
      <c r="L259" s="9">
        <f t="shared" si="658"/>
        <v>835800</v>
      </c>
      <c r="M259" s="9">
        <f t="shared" si="658"/>
        <v>857000</v>
      </c>
      <c r="N259" s="9">
        <f t="shared" si="658"/>
        <v>878800</v>
      </c>
      <c r="O259" s="9">
        <f t="shared" si="658"/>
        <v>901100</v>
      </c>
      <c r="P259" s="9">
        <f t="shared" si="658"/>
        <v>923800</v>
      </c>
      <c r="Q259" s="9">
        <f t="shared" si="658"/>
        <v>947200</v>
      </c>
      <c r="R259" s="9">
        <f t="shared" ref="R259" si="660">(SUM(R1038:R1045))</f>
        <v>971100</v>
      </c>
      <c r="S259" s="47">
        <f t="shared" ref="S259" si="661">(SUM(S1038:S1045))</f>
        <v>995600</v>
      </c>
    </row>
    <row r="260" spans="1:19" ht="13.5" customHeight="1" x14ac:dyDescent="0.2">
      <c r="A260" s="54">
        <f t="shared" ref="A260:B260" si="662">(SUM(A1046:A1050))</f>
        <v>1263200</v>
      </c>
      <c r="B260" s="9">
        <f t="shared" si="662"/>
        <v>1293800</v>
      </c>
      <c r="C260" s="136">
        <f>(SUM(C1046:C1050))</f>
        <v>1261700</v>
      </c>
      <c r="D260" s="136">
        <f>(SUM(D1046:D1050))</f>
        <v>1379200</v>
      </c>
      <c r="E260" s="144">
        <f t="shared" ref="E260" si="663">(SUM(E1046:E1050))</f>
        <v>1267000</v>
      </c>
      <c r="F260" s="167">
        <v>32117</v>
      </c>
      <c r="G260" s="9" t="s">
        <v>863</v>
      </c>
      <c r="H260" s="9">
        <f t="shared" ref="H260:P260" si="664">(SUM(H1046:H1050))</f>
        <v>1246000</v>
      </c>
      <c r="I260" s="85">
        <f t="shared" si="659"/>
        <v>-1.6574585635359116</v>
      </c>
      <c r="J260" s="9">
        <f t="shared" si="664"/>
        <v>1274900</v>
      </c>
      <c r="K260" s="9">
        <f t="shared" si="664"/>
        <v>1306900</v>
      </c>
      <c r="L260" s="9">
        <f t="shared" si="664"/>
        <v>1339800</v>
      </c>
      <c r="M260" s="9">
        <f t="shared" si="664"/>
        <v>1373400</v>
      </c>
      <c r="N260" s="9">
        <f t="shared" si="664"/>
        <v>1407900</v>
      </c>
      <c r="O260" s="9">
        <f t="shared" si="664"/>
        <v>1443300</v>
      </c>
      <c r="P260" s="9">
        <f t="shared" si="664"/>
        <v>1479500</v>
      </c>
      <c r="Q260" s="9">
        <f t="shared" ref="Q260" si="665">(SUM(Q1046:Q1050))</f>
        <v>1516800</v>
      </c>
      <c r="R260" s="9">
        <f t="shared" ref="R260" si="666">(SUM(R1046:R1050))</f>
        <v>1555000</v>
      </c>
      <c r="S260" s="47">
        <f t="shared" ref="S260" si="667">(SUM(S1046:S1050))</f>
        <v>1594100</v>
      </c>
    </row>
    <row r="261" spans="1:19" x14ac:dyDescent="0.2">
      <c r="A261" s="54">
        <f>ROUND(SUM(A1053:A1055),-3)</f>
        <v>602000</v>
      </c>
      <c r="B261" s="9">
        <f>SUM(B1053:B1055)</f>
        <v>585900</v>
      </c>
      <c r="C261" s="136">
        <f>SUM(C1053:C1055)</f>
        <v>662800</v>
      </c>
      <c r="D261" s="136">
        <f>SUM(D1053:D1055)</f>
        <v>672300</v>
      </c>
      <c r="E261" s="144">
        <f t="shared" ref="E261" si="668">SUM(E1053:E1055)</f>
        <v>567100</v>
      </c>
      <c r="F261" s="167">
        <v>32117</v>
      </c>
      <c r="G261" s="257" t="s">
        <v>229</v>
      </c>
      <c r="H261" s="9">
        <f t="shared" ref="H261:P261" si="669">SUM(H1053:H1055)</f>
        <v>686000</v>
      </c>
      <c r="I261" s="85">
        <f t="shared" si="659"/>
        <v>20.966319873038263</v>
      </c>
      <c r="J261" s="9">
        <f t="shared" si="669"/>
        <v>701800</v>
      </c>
      <c r="K261" s="9">
        <f t="shared" si="669"/>
        <v>719400</v>
      </c>
      <c r="L261" s="9">
        <f t="shared" si="669"/>
        <v>737400</v>
      </c>
      <c r="M261" s="9">
        <f t="shared" si="669"/>
        <v>756000</v>
      </c>
      <c r="N261" s="9">
        <f t="shared" si="669"/>
        <v>775000</v>
      </c>
      <c r="O261" s="9">
        <f t="shared" si="669"/>
        <v>794500</v>
      </c>
      <c r="P261" s="9">
        <f t="shared" si="669"/>
        <v>814400</v>
      </c>
      <c r="Q261" s="9">
        <f t="shared" ref="Q261" si="670">SUM(Q1053:Q1055)</f>
        <v>834800</v>
      </c>
      <c r="R261" s="9">
        <f t="shared" ref="R261" si="671">SUM(R1053:R1055)</f>
        <v>855800</v>
      </c>
      <c r="S261" s="47">
        <f t="shared" ref="S261" si="672">SUM(S1053:S1055)</f>
        <v>877300</v>
      </c>
    </row>
    <row r="262" spans="1:19" x14ac:dyDescent="0.2">
      <c r="A262" s="54">
        <f>ROUND(SUM(A1056:A1057),-3)</f>
        <v>37000</v>
      </c>
      <c r="B262" s="9">
        <f>SUM(B1056:B1057)</f>
        <v>14800</v>
      </c>
      <c r="C262" s="136">
        <f>SUM(C1056:C1057)</f>
        <v>10400</v>
      </c>
      <c r="D262" s="136">
        <f>SUM(D1056:D1057)</f>
        <v>13100</v>
      </c>
      <c r="E262" s="144">
        <f t="shared" ref="E262" si="673">SUM(E1056:E1057)</f>
        <v>32600</v>
      </c>
      <c r="F262" s="167">
        <v>32120</v>
      </c>
      <c r="G262" s="9" t="s">
        <v>1007</v>
      </c>
      <c r="H262" s="9">
        <f t="shared" ref="H262:P262" si="674">SUM(H1056:H1057)</f>
        <v>22000</v>
      </c>
      <c r="I262" s="85">
        <f t="shared" si="659"/>
        <v>-32.515337423312886</v>
      </c>
      <c r="J262" s="9">
        <f t="shared" si="674"/>
        <v>22600</v>
      </c>
      <c r="K262" s="9">
        <f t="shared" si="674"/>
        <v>23200</v>
      </c>
      <c r="L262" s="9">
        <f t="shared" si="674"/>
        <v>23800</v>
      </c>
      <c r="M262" s="9">
        <f t="shared" si="674"/>
        <v>24400</v>
      </c>
      <c r="N262" s="9">
        <f t="shared" si="674"/>
        <v>25100</v>
      </c>
      <c r="O262" s="9">
        <f t="shared" si="674"/>
        <v>25800</v>
      </c>
      <c r="P262" s="9">
        <f t="shared" si="674"/>
        <v>26500</v>
      </c>
      <c r="Q262" s="9">
        <f t="shared" ref="Q262" si="675">SUM(Q1056:Q1057)</f>
        <v>27200</v>
      </c>
      <c r="R262" s="9">
        <f t="shared" ref="R262" si="676">SUM(R1056:R1057)</f>
        <v>27900</v>
      </c>
      <c r="S262" s="47">
        <f t="shared" ref="S262" si="677">SUM(S1056:S1057)</f>
        <v>28600</v>
      </c>
    </row>
    <row r="263" spans="1:19" x14ac:dyDescent="0.2">
      <c r="A263" s="54">
        <f>ROUND(SUM(A1058:A1061),-3)</f>
        <v>363000</v>
      </c>
      <c r="B263" s="9">
        <f>SUM(B1058:B1061)</f>
        <v>335300</v>
      </c>
      <c r="C263" s="136">
        <f>SUM(C1058:C1061)</f>
        <v>380200</v>
      </c>
      <c r="D263" s="136">
        <f>SUM(D1058:D1061)</f>
        <v>397700</v>
      </c>
      <c r="E263" s="144">
        <f>SUM(E1058:E1061)</f>
        <v>361400</v>
      </c>
      <c r="F263" s="167">
        <v>32110</v>
      </c>
      <c r="G263" s="9" t="s">
        <v>1838</v>
      </c>
      <c r="H263" s="9">
        <f t="shared" ref="H263:Q263" si="678">SUM(H1058:H1061)</f>
        <v>407000</v>
      </c>
      <c r="I263" s="85">
        <f t="shared" si="659"/>
        <v>12.617598229109021</v>
      </c>
      <c r="J263" s="9">
        <f t="shared" si="678"/>
        <v>416500</v>
      </c>
      <c r="K263" s="9">
        <f t="shared" si="678"/>
        <v>427000</v>
      </c>
      <c r="L263" s="9">
        <f t="shared" si="678"/>
        <v>437900</v>
      </c>
      <c r="M263" s="9">
        <f t="shared" si="678"/>
        <v>449000</v>
      </c>
      <c r="N263" s="9">
        <f t="shared" si="678"/>
        <v>460400</v>
      </c>
      <c r="O263" s="9">
        <f t="shared" si="678"/>
        <v>472100</v>
      </c>
      <c r="P263" s="9">
        <f t="shared" si="678"/>
        <v>484100</v>
      </c>
      <c r="Q263" s="9">
        <f t="shared" si="678"/>
        <v>496300</v>
      </c>
      <c r="R263" s="9">
        <f t="shared" ref="R263" si="679">SUM(R1058:R1061)</f>
        <v>508800</v>
      </c>
      <c r="S263" s="47">
        <f t="shared" ref="S263" si="680">SUM(S1058:S1061)</f>
        <v>521700</v>
      </c>
    </row>
    <row r="264" spans="1:19" x14ac:dyDescent="0.2">
      <c r="A264" s="54">
        <f>ROUND(SUM(A1052:A1052),-3)</f>
        <v>740000</v>
      </c>
      <c r="B264" s="9">
        <f>SUM(B1052:B1052)</f>
        <v>133600</v>
      </c>
      <c r="C264" s="136">
        <f>SUM(C1052:C1052)</f>
        <v>2000</v>
      </c>
      <c r="D264" s="136">
        <f>SUM(D1052:D1052)</f>
        <v>277400</v>
      </c>
      <c r="E264" s="144">
        <f>SUM(E1052:E1052)</f>
        <v>186000</v>
      </c>
      <c r="F264" s="167">
        <v>32110</v>
      </c>
      <c r="G264" s="79" t="s">
        <v>6792</v>
      </c>
      <c r="H264" s="9">
        <f t="shared" ref="H264:Q264" si="681">SUM(H1052:H1052)</f>
        <v>0</v>
      </c>
      <c r="I264" s="85">
        <f t="shared" si="659"/>
        <v>-100</v>
      </c>
      <c r="J264" s="9">
        <f t="shared" si="681"/>
        <v>0</v>
      </c>
      <c r="K264" s="9">
        <f t="shared" si="681"/>
        <v>0</v>
      </c>
      <c r="L264" s="9">
        <f t="shared" si="681"/>
        <v>0</v>
      </c>
      <c r="M264" s="9">
        <f t="shared" si="681"/>
        <v>0</v>
      </c>
      <c r="N264" s="9">
        <f t="shared" si="681"/>
        <v>0</v>
      </c>
      <c r="O264" s="9">
        <f t="shared" si="681"/>
        <v>0</v>
      </c>
      <c r="P264" s="9">
        <f t="shared" si="681"/>
        <v>0</v>
      </c>
      <c r="Q264" s="9">
        <f t="shared" si="681"/>
        <v>0</v>
      </c>
      <c r="R264" s="9">
        <f t="shared" ref="R264" si="682">SUM(R1052:R1052)</f>
        <v>0</v>
      </c>
      <c r="S264" s="47">
        <f t="shared" ref="S264" si="683">SUM(S1052:S1052)</f>
        <v>0</v>
      </c>
    </row>
    <row r="265" spans="1:19" x14ac:dyDescent="0.2">
      <c r="A265" s="54"/>
      <c r="B265" s="9"/>
      <c r="E265" s="144"/>
      <c r="F265" s="167"/>
      <c r="G265" s="9"/>
      <c r="H265" s="9"/>
      <c r="I265" s="85"/>
      <c r="J265" s="9"/>
      <c r="K265" s="9"/>
      <c r="L265" s="9"/>
      <c r="M265" s="9"/>
      <c r="N265" s="9"/>
      <c r="O265" s="9"/>
      <c r="P265" s="9"/>
      <c r="Q265" s="9"/>
      <c r="R265" s="9"/>
      <c r="S265" s="47"/>
    </row>
    <row r="266" spans="1:19" x14ac:dyDescent="0.2">
      <c r="A266" s="54"/>
      <c r="B266" s="9"/>
      <c r="E266" s="144"/>
      <c r="F266" s="167"/>
      <c r="G266" s="21" t="s">
        <v>1112</v>
      </c>
      <c r="H266" s="9"/>
      <c r="I266" s="85"/>
      <c r="J266" s="9"/>
      <c r="K266" s="9"/>
      <c r="L266" s="9"/>
      <c r="M266" s="9"/>
      <c r="N266" s="9"/>
      <c r="O266" s="9"/>
      <c r="P266" s="9"/>
      <c r="Q266" s="9"/>
      <c r="R266" s="9"/>
      <c r="S266" s="47"/>
    </row>
    <row r="267" spans="1:19" x14ac:dyDescent="0.2">
      <c r="A267" s="54">
        <f>ROUND(SUM(A1062:A1064),-3)</f>
        <v>298000</v>
      </c>
      <c r="B267" s="9">
        <f>SUM(B1062:B1064)</f>
        <v>427700</v>
      </c>
      <c r="C267" s="136">
        <f>SUM(C1062:C1064)</f>
        <v>430300</v>
      </c>
      <c r="D267" s="136">
        <f>SUM(D1062:D1064)</f>
        <v>360900</v>
      </c>
      <c r="E267" s="144">
        <f t="shared" ref="E267" si="684">SUM(E1062:E1064)</f>
        <v>318200</v>
      </c>
      <c r="F267" s="167">
        <v>32120</v>
      </c>
      <c r="G267" s="9" t="s">
        <v>220</v>
      </c>
      <c r="H267" s="9">
        <f t="shared" ref="H267:P267" si="685">SUM(H1062:H1064)</f>
        <v>294300</v>
      </c>
      <c r="I267" s="85">
        <f>IF(E267=H267,0,IF(E267=0,100,(H267-E267)/E267*100))</f>
        <v>-7.5109993714644867</v>
      </c>
      <c r="J267" s="9">
        <f t="shared" si="685"/>
        <v>259200</v>
      </c>
      <c r="K267" s="9">
        <f t="shared" si="685"/>
        <v>222600</v>
      </c>
      <c r="L267" s="9">
        <f t="shared" si="685"/>
        <v>184700</v>
      </c>
      <c r="M267" s="9">
        <f t="shared" si="685"/>
        <v>477000</v>
      </c>
      <c r="N267" s="9">
        <f t="shared" si="685"/>
        <v>418000</v>
      </c>
      <c r="O267" s="9">
        <f t="shared" si="685"/>
        <v>361300</v>
      </c>
      <c r="P267" s="9">
        <f t="shared" si="685"/>
        <v>306600</v>
      </c>
      <c r="Q267" s="9">
        <f t="shared" ref="Q267" si="686">SUM(Q1062:Q1064)</f>
        <v>263000</v>
      </c>
      <c r="R267" s="9">
        <f t="shared" ref="R267" si="687">SUM(R1062:R1064)</f>
        <v>243000</v>
      </c>
      <c r="S267" s="47">
        <f t="shared" ref="S267" si="688">SUM(S1062:S1064)</f>
        <v>223000</v>
      </c>
    </row>
    <row r="268" spans="1:19" x14ac:dyDescent="0.2">
      <c r="A268" s="54"/>
      <c r="B268" s="9"/>
      <c r="E268" s="144"/>
      <c r="F268" s="167"/>
      <c r="G268" s="9"/>
      <c r="H268" s="9"/>
      <c r="I268" s="85"/>
      <c r="J268" s="9"/>
      <c r="K268" s="9"/>
      <c r="L268" s="9"/>
      <c r="M268" s="9"/>
      <c r="N268" s="9"/>
      <c r="O268" s="9"/>
      <c r="P268" s="9"/>
      <c r="Q268" s="9"/>
      <c r="R268" s="9"/>
      <c r="S268" s="47"/>
    </row>
    <row r="269" spans="1:19" x14ac:dyDescent="0.2">
      <c r="A269" s="54"/>
      <c r="B269" s="9"/>
      <c r="E269" s="144"/>
      <c r="F269" s="167"/>
      <c r="G269" s="21" t="str">
        <f>G101</f>
        <v>Non-Cash Expenses</v>
      </c>
      <c r="H269" s="9"/>
      <c r="I269" s="85"/>
      <c r="J269" s="9"/>
      <c r="K269" s="9"/>
      <c r="L269" s="9"/>
      <c r="M269" s="9"/>
      <c r="N269" s="9"/>
      <c r="O269" s="9"/>
      <c r="P269" s="9"/>
      <c r="Q269" s="9"/>
      <c r="R269" s="9"/>
      <c r="S269" s="47"/>
    </row>
    <row r="270" spans="1:19" x14ac:dyDescent="0.2">
      <c r="A270" s="54">
        <f>ROUND(A1066,-3)</f>
        <v>6916000</v>
      </c>
      <c r="B270" s="9">
        <f t="shared" ref="B270:C272" si="689">B1066</f>
        <v>7228600</v>
      </c>
      <c r="C270" s="136">
        <f t="shared" si="689"/>
        <v>6163400</v>
      </c>
      <c r="D270" s="136">
        <f>D1066</f>
        <v>5853500</v>
      </c>
      <c r="E270" s="144">
        <f t="shared" ref="E270" si="690">E1066</f>
        <v>5568900</v>
      </c>
      <c r="F270" s="167">
        <v>32120</v>
      </c>
      <c r="G270" s="79" t="s">
        <v>4135</v>
      </c>
      <c r="H270" s="9">
        <f t="shared" ref="H270:O270" si="691">H1066</f>
        <v>4915400</v>
      </c>
      <c r="I270" s="85">
        <f>IF(E270=H270,0,IF(E270=0,100,(H270-E270)/E270*100))</f>
        <v>-11.734812979223905</v>
      </c>
      <c r="J270" s="9">
        <f t="shared" si="691"/>
        <v>5013800</v>
      </c>
      <c r="K270" s="9">
        <f t="shared" si="691"/>
        <v>5114100</v>
      </c>
      <c r="L270" s="9">
        <f t="shared" si="691"/>
        <v>5216400</v>
      </c>
      <c r="M270" s="9">
        <f t="shared" si="691"/>
        <v>5320800</v>
      </c>
      <c r="N270" s="9">
        <f t="shared" si="691"/>
        <v>5427300</v>
      </c>
      <c r="O270" s="9">
        <f t="shared" si="691"/>
        <v>5535900</v>
      </c>
      <c r="P270" s="9">
        <f t="shared" ref="P270:Q270" si="692">P1066</f>
        <v>5646700</v>
      </c>
      <c r="Q270" s="9">
        <f t="shared" si="692"/>
        <v>5759700</v>
      </c>
      <c r="R270" s="9">
        <f t="shared" ref="R270" si="693">R1066</f>
        <v>5874900</v>
      </c>
      <c r="S270" s="47">
        <f t="shared" ref="S270" si="694">S1066</f>
        <v>5992400</v>
      </c>
    </row>
    <row r="271" spans="1:19" x14ac:dyDescent="0.2">
      <c r="A271" s="54">
        <f t="shared" ref="A271:A272" si="695">ROUND(A1067,-3)</f>
        <v>147000</v>
      </c>
      <c r="B271" s="9">
        <f t="shared" si="689"/>
        <v>135500</v>
      </c>
      <c r="C271" s="136">
        <f t="shared" si="689"/>
        <v>123000</v>
      </c>
      <c r="D271" s="136">
        <f>D1067</f>
        <v>109600</v>
      </c>
      <c r="E271" s="144">
        <f t="shared" ref="E271" si="696">E1067</f>
        <v>91400</v>
      </c>
      <c r="F271" s="167">
        <v>32120</v>
      </c>
      <c r="G271" s="9" t="s">
        <v>2732</v>
      </c>
      <c r="H271" s="9">
        <f t="shared" ref="H271:O272" si="697">H1067</f>
        <v>71900</v>
      </c>
      <c r="I271" s="85">
        <f>IF(E271=H271,0,IF(E271=0,100,(H271-E271)/E271*100))</f>
        <v>-21.334792122538293</v>
      </c>
      <c r="J271" s="9">
        <f t="shared" si="697"/>
        <v>51000</v>
      </c>
      <c r="K271" s="9">
        <f t="shared" si="697"/>
        <v>28100</v>
      </c>
      <c r="L271" s="9">
        <f t="shared" si="697"/>
        <v>0</v>
      </c>
      <c r="M271" s="9">
        <f t="shared" si="697"/>
        <v>0</v>
      </c>
      <c r="N271" s="9">
        <f t="shared" si="697"/>
        <v>0</v>
      </c>
      <c r="O271" s="9">
        <f t="shared" si="697"/>
        <v>0</v>
      </c>
      <c r="P271" s="9">
        <f t="shared" ref="P271:Q271" si="698">P1067</f>
        <v>0</v>
      </c>
      <c r="Q271" s="9">
        <f t="shared" si="698"/>
        <v>0</v>
      </c>
      <c r="R271" s="9">
        <f t="shared" ref="R271" si="699">R1067</f>
        <v>0</v>
      </c>
      <c r="S271" s="47">
        <f t="shared" ref="S271" si="700">S1067</f>
        <v>0</v>
      </c>
    </row>
    <row r="272" spans="1:19" x14ac:dyDescent="0.2">
      <c r="A272" s="54">
        <f t="shared" si="695"/>
        <v>4636000</v>
      </c>
      <c r="B272" s="9">
        <f t="shared" si="689"/>
        <v>1634800</v>
      </c>
      <c r="C272" s="136">
        <f t="shared" si="689"/>
        <v>3009500</v>
      </c>
      <c r="D272" s="136">
        <f>D1068</f>
        <v>0</v>
      </c>
      <c r="E272" s="144">
        <f t="shared" ref="E272" si="701">E1068</f>
        <v>2762800</v>
      </c>
      <c r="F272" s="167">
        <v>32120</v>
      </c>
      <c r="G272" s="79" t="s">
        <v>4427</v>
      </c>
      <c r="H272" s="9">
        <f t="shared" si="697"/>
        <v>0</v>
      </c>
      <c r="I272" s="85">
        <f>IF(E272=H272,0,IF(E272=0,100,(H272-E272)/E272*100))</f>
        <v>-100</v>
      </c>
      <c r="J272" s="9">
        <f t="shared" si="697"/>
        <v>0</v>
      </c>
      <c r="K272" s="9">
        <f t="shared" si="697"/>
        <v>0</v>
      </c>
      <c r="L272" s="9">
        <f t="shared" si="697"/>
        <v>0</v>
      </c>
      <c r="M272" s="9">
        <f t="shared" si="697"/>
        <v>0</v>
      </c>
      <c r="N272" s="9">
        <f t="shared" si="697"/>
        <v>0</v>
      </c>
      <c r="O272" s="9">
        <f t="shared" si="697"/>
        <v>0</v>
      </c>
      <c r="P272" s="9">
        <f t="shared" ref="P272:Q272" si="702">P1068</f>
        <v>0</v>
      </c>
      <c r="Q272" s="9">
        <f t="shared" si="702"/>
        <v>0</v>
      </c>
      <c r="R272" s="9">
        <f t="shared" ref="R272" si="703">R1068</f>
        <v>0</v>
      </c>
      <c r="S272" s="47">
        <f t="shared" ref="S272" si="704">S1068</f>
        <v>0</v>
      </c>
    </row>
    <row r="273" spans="1:21" ht="13.5" thickBot="1" x14ac:dyDescent="0.25">
      <c r="A273" s="54"/>
      <c r="B273" s="9"/>
      <c r="E273" s="144"/>
      <c r="F273" s="167"/>
      <c r="G273" s="257"/>
      <c r="H273" s="9"/>
      <c r="I273" s="85"/>
      <c r="J273" s="9"/>
      <c r="K273" s="9"/>
      <c r="L273" s="9"/>
      <c r="M273" s="9"/>
      <c r="N273" s="9"/>
      <c r="O273" s="9"/>
      <c r="P273" s="9"/>
      <c r="Q273" s="9"/>
      <c r="R273" s="9"/>
      <c r="S273" s="47"/>
    </row>
    <row r="274" spans="1:21" s="39" customFormat="1" x14ac:dyDescent="0.2">
      <c r="A274" s="52">
        <f>SUM(A256:A273)</f>
        <v>15778700</v>
      </c>
      <c r="B274" s="16">
        <f>SUM(B256:B273)</f>
        <v>12418700</v>
      </c>
      <c r="C274" s="137">
        <f>SUM(C256:C273)</f>
        <v>12830100</v>
      </c>
      <c r="D274" s="137">
        <f>SUM(D256:D273)</f>
        <v>9730300</v>
      </c>
      <c r="E274" s="1473">
        <f>SUM(E256:E273)</f>
        <v>11869900</v>
      </c>
      <c r="F274" s="173"/>
      <c r="G274" s="267" t="s">
        <v>556</v>
      </c>
      <c r="H274" s="16">
        <f t="shared" ref="H274:Q274" si="705">SUM(H256:H273)</f>
        <v>8419600</v>
      </c>
      <c r="I274" s="127">
        <f>IF(E274=H274,0,IF(E274=0,100,(H274-E274)/E274*100))</f>
        <v>-29.067641681901279</v>
      </c>
      <c r="J274" s="16">
        <f t="shared" si="705"/>
        <v>8534900</v>
      </c>
      <c r="K274" s="16">
        <f t="shared" si="705"/>
        <v>8656500</v>
      </c>
      <c r="L274" s="16">
        <f t="shared" si="705"/>
        <v>8775800</v>
      </c>
      <c r="M274" s="16">
        <f t="shared" si="705"/>
        <v>9257600</v>
      </c>
      <c r="N274" s="16">
        <f t="shared" si="705"/>
        <v>9392500</v>
      </c>
      <c r="O274" s="16">
        <f t="shared" si="705"/>
        <v>9534000</v>
      </c>
      <c r="P274" s="16">
        <f t="shared" si="705"/>
        <v>9681600</v>
      </c>
      <c r="Q274" s="16">
        <f t="shared" si="705"/>
        <v>9845000</v>
      </c>
      <c r="R274" s="16">
        <f t="shared" ref="R274" si="706">SUM(R256:R273)</f>
        <v>10036500</v>
      </c>
      <c r="S274" s="2342">
        <f t="shared" ref="S274" si="707">SUM(S256:S273)</f>
        <v>10232700</v>
      </c>
      <c r="U274" s="34"/>
    </row>
    <row r="275" spans="1:21" x14ac:dyDescent="0.2">
      <c r="A275" s="54"/>
      <c r="B275" s="9"/>
      <c r="E275" s="1442"/>
      <c r="F275" s="167"/>
      <c r="G275" s="257"/>
      <c r="H275" s="9"/>
      <c r="I275" s="85"/>
      <c r="J275" s="9"/>
      <c r="K275" s="9"/>
      <c r="L275" s="9"/>
      <c r="M275" s="9"/>
      <c r="N275" s="9"/>
      <c r="O275" s="9"/>
      <c r="P275" s="9"/>
      <c r="Q275" s="9"/>
      <c r="R275" s="9"/>
      <c r="S275" s="47"/>
    </row>
    <row r="276" spans="1:21" s="39" customFormat="1" x14ac:dyDescent="0.2">
      <c r="A276" s="24">
        <f>A254-A274</f>
        <v>-15090800</v>
      </c>
      <c r="B276" s="21">
        <f>B254-B274</f>
        <v>-11919000</v>
      </c>
      <c r="C276" s="139">
        <f>C254-C274</f>
        <v>-12416300</v>
      </c>
      <c r="D276" s="139">
        <f>D254-D274</f>
        <v>-9379800</v>
      </c>
      <c r="E276" s="1444">
        <f>E254-E274</f>
        <v>-10233000</v>
      </c>
      <c r="F276" s="173"/>
      <c r="G276" s="361" t="s">
        <v>1002</v>
      </c>
      <c r="H276" s="21">
        <f t="shared" ref="H276:Q276" si="708">H254-H274</f>
        <v>-7472100</v>
      </c>
      <c r="I276" s="126">
        <f>IF(E276=H276,0,IF(E276=0,100,(H276-E276)/E276*100))</f>
        <v>-26.9803576663735</v>
      </c>
      <c r="J276" s="21">
        <f t="shared" si="708"/>
        <v>-8002900</v>
      </c>
      <c r="K276" s="21">
        <f t="shared" si="708"/>
        <v>-7990300</v>
      </c>
      <c r="L276" s="21">
        <f t="shared" si="708"/>
        <v>-8104900</v>
      </c>
      <c r="M276" s="21">
        <f t="shared" si="708"/>
        <v>-8582100</v>
      </c>
      <c r="N276" s="21">
        <f t="shared" si="708"/>
        <v>-8712100</v>
      </c>
      <c r="O276" s="21">
        <f t="shared" si="708"/>
        <v>-8845000</v>
      </c>
      <c r="P276" s="21">
        <f t="shared" si="708"/>
        <v>-8981400</v>
      </c>
      <c r="Q276" s="21">
        <f t="shared" si="708"/>
        <v>-9130700</v>
      </c>
      <c r="R276" s="21">
        <f t="shared" ref="R276" si="709">R254-R274</f>
        <v>-9307900</v>
      </c>
      <c r="S276" s="86">
        <f t="shared" ref="S276" si="710">S254-S274</f>
        <v>-9489500</v>
      </c>
      <c r="U276" s="34"/>
    </row>
    <row r="277" spans="1:21" x14ac:dyDescent="0.2">
      <c r="A277" s="54">
        <f>ROUND(SUM(A269:A270),-3)</f>
        <v>6916000</v>
      </c>
      <c r="B277" s="9">
        <f>SUM(B269:B270)</f>
        <v>7228600</v>
      </c>
      <c r="C277" s="136">
        <f>SUM(C269:C270)</f>
        <v>6163400</v>
      </c>
      <c r="D277" s="136">
        <f>SUM(D269:D270)</f>
        <v>5853500</v>
      </c>
      <c r="E277" s="1442">
        <f t="shared" ref="E277" si="711">SUM(E269:E270)</f>
        <v>5568900</v>
      </c>
      <c r="F277" s="167"/>
      <c r="G277" s="261" t="s">
        <v>1943</v>
      </c>
      <c r="H277" s="134">
        <f t="shared" ref="H277:O277" si="712">SUM(H269:H270)</f>
        <v>4915400</v>
      </c>
      <c r="I277" s="85">
        <f>IF(E277=H277,0,IF(E277=0,100,(H277-E277)/E277*100))</f>
        <v>-11.734812979223905</v>
      </c>
      <c r="J277" s="134">
        <f t="shared" si="712"/>
        <v>5013800</v>
      </c>
      <c r="K277" s="134">
        <f t="shared" si="712"/>
        <v>5114100</v>
      </c>
      <c r="L277" s="134">
        <f t="shared" si="712"/>
        <v>5216400</v>
      </c>
      <c r="M277" s="134">
        <f t="shared" si="712"/>
        <v>5320800</v>
      </c>
      <c r="N277" s="134">
        <f t="shared" si="712"/>
        <v>5427300</v>
      </c>
      <c r="O277" s="134">
        <f t="shared" si="712"/>
        <v>5535900</v>
      </c>
      <c r="P277" s="134">
        <f t="shared" ref="P277:Q277" si="713">SUM(P269:P270)</f>
        <v>5646700</v>
      </c>
      <c r="Q277" s="134">
        <f t="shared" si="713"/>
        <v>5759700</v>
      </c>
      <c r="R277" s="134">
        <f t="shared" ref="R277" si="714">SUM(R269:R270)</f>
        <v>5874900</v>
      </c>
      <c r="S277" s="2359">
        <f t="shared" ref="S277" si="715">SUM(S269:S270)</f>
        <v>5992400</v>
      </c>
    </row>
    <row r="278" spans="1:21" x14ac:dyDescent="0.2">
      <c r="A278" s="54">
        <f>ROUND(SUM(A271:A271),-3)</f>
        <v>147000</v>
      </c>
      <c r="B278" s="9">
        <f t="shared" ref="B278:E279" si="716">SUM(B271:B271)</f>
        <v>135500</v>
      </c>
      <c r="C278" s="136">
        <f t="shared" si="716"/>
        <v>123000</v>
      </c>
      <c r="D278" s="136">
        <f t="shared" si="716"/>
        <v>109600</v>
      </c>
      <c r="E278" s="1442">
        <f t="shared" ref="E278" si="717">SUM(E271:E271)</f>
        <v>91400</v>
      </c>
      <c r="F278" s="167"/>
      <c r="G278" s="540" t="s">
        <v>4449</v>
      </c>
      <c r="H278" s="134">
        <f t="shared" ref="H278:O278" si="718">SUM(H271:H271)</f>
        <v>71900</v>
      </c>
      <c r="I278" s="85">
        <f>IF(E278=H278,0,IF(E278=0,100,(H278-E278)/E278*100))</f>
        <v>-21.334792122538293</v>
      </c>
      <c r="J278" s="134">
        <f t="shared" si="718"/>
        <v>51000</v>
      </c>
      <c r="K278" s="134">
        <f t="shared" si="718"/>
        <v>28100</v>
      </c>
      <c r="L278" s="134">
        <f t="shared" si="718"/>
        <v>0</v>
      </c>
      <c r="M278" s="134">
        <f t="shared" si="718"/>
        <v>0</v>
      </c>
      <c r="N278" s="134">
        <f t="shared" si="718"/>
        <v>0</v>
      </c>
      <c r="O278" s="134">
        <f t="shared" si="718"/>
        <v>0</v>
      </c>
      <c r="P278" s="134">
        <f t="shared" ref="P278:Q278" si="719">SUM(P271:P271)</f>
        <v>0</v>
      </c>
      <c r="Q278" s="134">
        <f t="shared" si="719"/>
        <v>0</v>
      </c>
      <c r="R278" s="134">
        <f t="shared" ref="R278" si="720">SUM(R271:R271)</f>
        <v>0</v>
      </c>
      <c r="S278" s="2359">
        <f t="shared" ref="S278" si="721">SUM(S271:S271)</f>
        <v>0</v>
      </c>
    </row>
    <row r="279" spans="1:21" x14ac:dyDescent="0.2">
      <c r="A279" s="54">
        <f>ROUND(SUM(A272:A272),-3)</f>
        <v>4636000</v>
      </c>
      <c r="B279" s="9">
        <f t="shared" si="716"/>
        <v>1634800</v>
      </c>
      <c r="C279" s="136">
        <f t="shared" si="716"/>
        <v>3009500</v>
      </c>
      <c r="D279" s="136">
        <f t="shared" si="716"/>
        <v>0</v>
      </c>
      <c r="E279" s="1442">
        <f t="shared" si="716"/>
        <v>2762800</v>
      </c>
      <c r="F279" s="167"/>
      <c r="G279" s="540" t="s">
        <v>4520</v>
      </c>
      <c r="H279" s="134">
        <f t="shared" ref="H279:O279" si="722">SUM(H272:H272)</f>
        <v>0</v>
      </c>
      <c r="I279" s="85">
        <f>IF(E279=H279,0,IF(E279=0,100,(H279-E279)/E279*100))</f>
        <v>-100</v>
      </c>
      <c r="J279" s="134">
        <f t="shared" si="722"/>
        <v>0</v>
      </c>
      <c r="K279" s="134">
        <f t="shared" si="722"/>
        <v>0</v>
      </c>
      <c r="L279" s="134">
        <f t="shared" si="722"/>
        <v>0</v>
      </c>
      <c r="M279" s="134">
        <f t="shared" si="722"/>
        <v>0</v>
      </c>
      <c r="N279" s="134">
        <f t="shared" si="722"/>
        <v>0</v>
      </c>
      <c r="O279" s="134">
        <f t="shared" si="722"/>
        <v>0</v>
      </c>
      <c r="P279" s="134">
        <f t="shared" ref="P279:Q279" si="723">SUM(P272:P272)</f>
        <v>0</v>
      </c>
      <c r="Q279" s="134">
        <f t="shared" si="723"/>
        <v>0</v>
      </c>
      <c r="R279" s="134">
        <f t="shared" ref="R279" si="724">SUM(R272:R272)</f>
        <v>0</v>
      </c>
      <c r="S279" s="2359">
        <f t="shared" ref="S279" si="725">SUM(S272:S272)</f>
        <v>0</v>
      </c>
    </row>
    <row r="280" spans="1:21" s="39" customFormat="1" x14ac:dyDescent="0.2">
      <c r="A280" s="128">
        <f>SUM(A276:A279)</f>
        <v>-3391800</v>
      </c>
      <c r="B280" s="280">
        <f>SUM(B276:B279)</f>
        <v>-2920100</v>
      </c>
      <c r="C280" s="281">
        <f>SUM(C276:C279)</f>
        <v>-3120400</v>
      </c>
      <c r="D280" s="281">
        <f>SUM(D276:D279)</f>
        <v>-3416700</v>
      </c>
      <c r="E280" s="1515">
        <f>SUM(E276:E279)</f>
        <v>-1809900</v>
      </c>
      <c r="F280" s="372"/>
      <c r="G280" s="363" t="s">
        <v>1659</v>
      </c>
      <c r="H280" s="529">
        <f t="shared" ref="H280:O280" si="726">SUM(H276:H279)</f>
        <v>-2484800</v>
      </c>
      <c r="I280" s="278">
        <f>IF(E280=H280,0,IF(E280=0,100,(H280-E280)/E280*100))</f>
        <v>37.289353002928337</v>
      </c>
      <c r="J280" s="529">
        <f t="shared" si="726"/>
        <v>-2938100</v>
      </c>
      <c r="K280" s="529">
        <f t="shared" si="726"/>
        <v>-2848100</v>
      </c>
      <c r="L280" s="529">
        <f t="shared" si="726"/>
        <v>-2888500</v>
      </c>
      <c r="M280" s="529">
        <f t="shared" si="726"/>
        <v>-3261300</v>
      </c>
      <c r="N280" s="529">
        <f t="shared" si="726"/>
        <v>-3284800</v>
      </c>
      <c r="O280" s="529">
        <f t="shared" si="726"/>
        <v>-3309100</v>
      </c>
      <c r="P280" s="529">
        <f t="shared" ref="P280:Q280" si="727">SUM(P276:P279)</f>
        <v>-3334700</v>
      </c>
      <c r="Q280" s="529">
        <f t="shared" si="727"/>
        <v>-3371000</v>
      </c>
      <c r="R280" s="529">
        <f t="shared" ref="R280" si="728">SUM(R276:R279)</f>
        <v>-3433000</v>
      </c>
      <c r="S280" s="2410">
        <f t="shared" ref="S280" si="729">SUM(S276:S279)</f>
        <v>-3497100</v>
      </c>
      <c r="U280" s="34"/>
    </row>
    <row r="281" spans="1:21" ht="13.5" thickBot="1" x14ac:dyDescent="0.25">
      <c r="A281" s="54"/>
      <c r="B281" s="9"/>
      <c r="E281" s="1442"/>
      <c r="F281" s="167"/>
      <c r="G281" s="257"/>
      <c r="H281" s="9"/>
      <c r="I281" s="85"/>
      <c r="J281" s="9"/>
      <c r="K281" s="9"/>
      <c r="L281" s="9"/>
      <c r="M281" s="9"/>
      <c r="N281" s="9"/>
      <c r="O281" s="9"/>
      <c r="P281" s="9"/>
      <c r="Q281" s="9"/>
      <c r="R281" s="9"/>
      <c r="S281" s="47"/>
    </row>
    <row r="282" spans="1:21" ht="13.5" thickTop="1" x14ac:dyDescent="0.2">
      <c r="A282" s="270"/>
      <c r="B282" s="109"/>
      <c r="C282" s="140"/>
      <c r="D282" s="140"/>
      <c r="E282" s="1516"/>
      <c r="F282" s="254"/>
      <c r="G282" s="258"/>
      <c r="H282" s="74"/>
      <c r="I282" s="352"/>
      <c r="J282" s="74"/>
      <c r="K282" s="74"/>
      <c r="L282" s="74"/>
      <c r="M282" s="74"/>
      <c r="N282" s="74"/>
      <c r="O282" s="74"/>
      <c r="P282" s="74"/>
      <c r="Q282" s="74"/>
      <c r="R282" s="74"/>
      <c r="S282" s="2345"/>
    </row>
    <row r="283" spans="1:21" x14ac:dyDescent="0.2">
      <c r="A283" s="24"/>
      <c r="B283" s="21"/>
      <c r="C283" s="139"/>
      <c r="D283" s="139"/>
      <c r="E283" s="1444"/>
      <c r="F283" s="167"/>
      <c r="G283" s="361" t="s">
        <v>192</v>
      </c>
      <c r="H283" s="9"/>
      <c r="I283" s="126"/>
      <c r="J283" s="9"/>
      <c r="K283" s="9"/>
      <c r="L283" s="9"/>
      <c r="M283" s="9"/>
      <c r="N283" s="9"/>
      <c r="O283" s="9"/>
      <c r="P283" s="9"/>
      <c r="Q283" s="9"/>
      <c r="R283" s="9"/>
      <c r="S283" s="47"/>
    </row>
    <row r="284" spans="1:21" x14ac:dyDescent="0.2">
      <c r="A284" s="24"/>
      <c r="B284" s="21"/>
      <c r="C284" s="139"/>
      <c r="D284" s="139"/>
      <c r="E284" s="143"/>
      <c r="F284" s="167"/>
      <c r="G284" s="361"/>
      <c r="H284" s="9"/>
      <c r="I284" s="126"/>
      <c r="J284" s="9"/>
      <c r="K284" s="9"/>
      <c r="L284" s="9"/>
      <c r="M284" s="9"/>
      <c r="N284" s="9"/>
      <c r="O284" s="9"/>
      <c r="P284" s="9"/>
      <c r="Q284" s="9"/>
      <c r="R284" s="9"/>
      <c r="S284" s="47"/>
    </row>
    <row r="285" spans="1:21" x14ac:dyDescent="0.2">
      <c r="A285" s="54">
        <f t="shared" ref="A285:A289" si="730">ROUND(A1078,-3)</f>
        <v>423000</v>
      </c>
      <c r="B285" s="9">
        <f t="shared" ref="B285:C289" si="731">B1078</f>
        <v>702600</v>
      </c>
      <c r="C285" s="136">
        <f t="shared" si="731"/>
        <v>822000</v>
      </c>
      <c r="D285" s="136">
        <f>D1078</f>
        <v>982800</v>
      </c>
      <c r="E285" s="144">
        <f t="shared" ref="E285" si="732">E1078</f>
        <v>1015100</v>
      </c>
      <c r="F285" s="167"/>
      <c r="G285" s="257" t="s">
        <v>2848</v>
      </c>
      <c r="H285" s="9">
        <f t="shared" ref="H285:O285" si="733">H1078</f>
        <v>1049300</v>
      </c>
      <c r="I285" s="85">
        <f>IF(E285=H285,0,IF(E285=0,100,(H285-E285)/E285*100))</f>
        <v>3.3691261944635995</v>
      </c>
      <c r="J285" s="9">
        <f t="shared" si="733"/>
        <v>1084400</v>
      </c>
      <c r="K285" s="9">
        <f t="shared" si="733"/>
        <v>1170300</v>
      </c>
      <c r="L285" s="9">
        <f t="shared" si="733"/>
        <v>804600</v>
      </c>
      <c r="M285" s="9">
        <f t="shared" si="733"/>
        <v>1262300</v>
      </c>
      <c r="N285" s="9">
        <f t="shared" si="733"/>
        <v>1255900</v>
      </c>
      <c r="O285" s="9">
        <f t="shared" si="733"/>
        <v>1247800</v>
      </c>
      <c r="P285" s="9">
        <f t="shared" ref="P285:Q285" si="734">P1078</f>
        <v>1148900</v>
      </c>
      <c r="Q285" s="9">
        <f t="shared" si="734"/>
        <v>487000</v>
      </c>
      <c r="R285" s="9">
        <f t="shared" ref="R285" si="735">R1078</f>
        <v>507000</v>
      </c>
      <c r="S285" s="47">
        <f t="shared" ref="S285" si="736">S1078</f>
        <v>527000</v>
      </c>
    </row>
    <row r="286" spans="1:21" x14ac:dyDescent="0.2">
      <c r="A286" s="54">
        <f t="shared" si="730"/>
        <v>9488000</v>
      </c>
      <c r="B286" s="9">
        <f t="shared" si="731"/>
        <v>2467900</v>
      </c>
      <c r="C286" s="136">
        <f t="shared" si="731"/>
        <v>1640400</v>
      </c>
      <c r="D286" s="136">
        <f>D1079</f>
        <v>1802200</v>
      </c>
      <c r="E286" s="144">
        <f t="shared" ref="E286" si="737">E1079</f>
        <v>2973300</v>
      </c>
      <c r="F286" s="167"/>
      <c r="G286" s="257" t="s">
        <v>1909</v>
      </c>
      <c r="H286" s="9">
        <f t="shared" ref="H286:O286" si="738">H1079</f>
        <v>6638200</v>
      </c>
      <c r="I286" s="85">
        <f>IF(E286=H286,0,IF(E286=0,100,(H286-E286)/E286*100))</f>
        <v>123.26035045235932</v>
      </c>
      <c r="J286" s="9">
        <f t="shared" si="738"/>
        <v>0</v>
      </c>
      <c r="K286" s="9">
        <f t="shared" si="738"/>
        <v>0</v>
      </c>
      <c r="L286" s="9">
        <f t="shared" si="738"/>
        <v>0</v>
      </c>
      <c r="M286" s="9">
        <f t="shared" si="738"/>
        <v>0</v>
      </c>
      <c r="N286" s="9">
        <f t="shared" si="738"/>
        <v>0</v>
      </c>
      <c r="O286" s="9">
        <f t="shared" si="738"/>
        <v>0</v>
      </c>
      <c r="P286" s="9">
        <f t="shared" ref="P286:Q286" si="739">P1079</f>
        <v>0</v>
      </c>
      <c r="Q286" s="9">
        <f t="shared" si="739"/>
        <v>0</v>
      </c>
      <c r="R286" s="9">
        <f t="shared" ref="R286" si="740">R1079</f>
        <v>0</v>
      </c>
      <c r="S286" s="47">
        <f t="shared" ref="S286" si="741">S1079</f>
        <v>0</v>
      </c>
    </row>
    <row r="287" spans="1:21" x14ac:dyDescent="0.2">
      <c r="A287" s="54">
        <f t="shared" si="730"/>
        <v>2779000</v>
      </c>
      <c r="B287" s="9">
        <f t="shared" si="731"/>
        <v>9546500</v>
      </c>
      <c r="C287" s="136">
        <f t="shared" si="731"/>
        <v>5526800</v>
      </c>
      <c r="D287" s="136">
        <f>D1080</f>
        <v>3171000</v>
      </c>
      <c r="E287" s="144">
        <f t="shared" ref="E287" si="742">E1080</f>
        <v>1118400</v>
      </c>
      <c r="F287" s="167"/>
      <c r="G287" s="257" t="s">
        <v>2309</v>
      </c>
      <c r="H287" s="9">
        <f t="shared" ref="H287:O287" si="743">H1080</f>
        <v>8500900</v>
      </c>
      <c r="I287" s="85">
        <f>IF(E287=H287,0,IF(E287=0,100,(H287-E287)/E287*100))</f>
        <v>660.09477825464944</v>
      </c>
      <c r="J287" s="9">
        <f t="shared" si="743"/>
        <v>5951000</v>
      </c>
      <c r="K287" s="9">
        <f t="shared" si="743"/>
        <v>17608000</v>
      </c>
      <c r="L287" s="9">
        <f t="shared" si="743"/>
        <v>14261000</v>
      </c>
      <c r="M287" s="9">
        <f t="shared" si="743"/>
        <v>13806000</v>
      </c>
      <c r="N287" s="9">
        <f t="shared" si="743"/>
        <v>672000</v>
      </c>
      <c r="O287" s="9">
        <f t="shared" si="743"/>
        <v>690000</v>
      </c>
      <c r="P287" s="9">
        <f t="shared" ref="P287:Q287" si="744">P1080</f>
        <v>708000</v>
      </c>
      <c r="Q287" s="9">
        <f t="shared" si="744"/>
        <v>726000</v>
      </c>
      <c r="R287" s="9">
        <f t="shared" ref="R287" si="745">R1080</f>
        <v>745000</v>
      </c>
      <c r="S287" s="47">
        <f t="shared" ref="S287" si="746">S1080</f>
        <v>764000</v>
      </c>
    </row>
    <row r="288" spans="1:21" x14ac:dyDescent="0.2">
      <c r="A288" s="54">
        <f t="shared" si="730"/>
        <v>10074000</v>
      </c>
      <c r="B288" s="9">
        <f t="shared" si="731"/>
        <v>4803700</v>
      </c>
      <c r="C288" s="136">
        <f t="shared" si="731"/>
        <v>1540000</v>
      </c>
      <c r="D288" s="136">
        <f>D1081</f>
        <v>4718700</v>
      </c>
      <c r="E288" s="144">
        <f t="shared" ref="E288" si="747">E1081</f>
        <v>5335300</v>
      </c>
      <c r="F288" s="167"/>
      <c r="G288" s="257" t="s">
        <v>5847</v>
      </c>
      <c r="H288" s="9">
        <f t="shared" ref="H288:O288" si="748">H1081</f>
        <v>4681300</v>
      </c>
      <c r="I288" s="85">
        <f>IF(E288=H288,0,IF(E288=0,100,(H288-E288)/E288*100))</f>
        <v>-12.257979869922966</v>
      </c>
      <c r="J288" s="9">
        <f t="shared" si="748"/>
        <v>5682000</v>
      </c>
      <c r="K288" s="9">
        <f t="shared" si="748"/>
        <v>185000</v>
      </c>
      <c r="L288" s="9">
        <f t="shared" si="748"/>
        <v>8528700</v>
      </c>
      <c r="M288" s="9">
        <f t="shared" si="748"/>
        <v>192500</v>
      </c>
      <c r="N288" s="9">
        <f t="shared" si="748"/>
        <v>196400</v>
      </c>
      <c r="O288" s="9">
        <f t="shared" si="748"/>
        <v>200400</v>
      </c>
      <c r="P288" s="9">
        <f t="shared" ref="P288:Q288" si="749">P1081</f>
        <v>204500</v>
      </c>
      <c r="Q288" s="9">
        <f t="shared" si="749"/>
        <v>208600</v>
      </c>
      <c r="R288" s="9">
        <f t="shared" ref="R288" si="750">R1081</f>
        <v>212800</v>
      </c>
      <c r="S288" s="47">
        <f t="shared" ref="S288" si="751">S1081</f>
        <v>217100</v>
      </c>
    </row>
    <row r="289" spans="1:21" x14ac:dyDescent="0.2">
      <c r="A289" s="54">
        <f t="shared" si="730"/>
        <v>10230000</v>
      </c>
      <c r="B289" s="9">
        <f t="shared" si="731"/>
        <v>14424200</v>
      </c>
      <c r="C289" s="136">
        <f t="shared" si="731"/>
        <v>6975000</v>
      </c>
      <c r="D289" s="136">
        <f>D1082</f>
        <v>8764400</v>
      </c>
      <c r="E289" s="144">
        <f t="shared" ref="E289" si="752">E1082</f>
        <v>8027200</v>
      </c>
      <c r="F289" s="167"/>
      <c r="G289" s="257" t="s">
        <v>958</v>
      </c>
      <c r="H289" s="9">
        <f t="shared" ref="H289:O289" si="753">H1082</f>
        <v>10955800</v>
      </c>
      <c r="I289" s="85">
        <f>IF(E289=H289,0,IF(E289=0,100,(H289-E289)/E289*100))</f>
        <v>36.483456248754237</v>
      </c>
      <c r="J289" s="9">
        <f t="shared" si="753"/>
        <v>15222100</v>
      </c>
      <c r="K289" s="9">
        <f t="shared" si="753"/>
        <v>21665000</v>
      </c>
      <c r="L289" s="9">
        <f t="shared" si="753"/>
        <v>27755400</v>
      </c>
      <c r="M289" s="9">
        <f t="shared" si="753"/>
        <v>18415400</v>
      </c>
      <c r="N289" s="9">
        <f t="shared" si="753"/>
        <v>5493300</v>
      </c>
      <c r="O289" s="9">
        <f t="shared" si="753"/>
        <v>5731900</v>
      </c>
      <c r="P289" s="9">
        <f t="shared" ref="P289:Q289" si="754">P1082</f>
        <v>6132200</v>
      </c>
      <c r="Q289" s="9">
        <f t="shared" si="754"/>
        <v>7094100</v>
      </c>
      <c r="R289" s="9">
        <f t="shared" ref="R289" si="755">R1082</f>
        <v>7859000</v>
      </c>
      <c r="S289" s="47">
        <f t="shared" ref="S289" si="756">S1082</f>
        <v>7936900</v>
      </c>
    </row>
    <row r="290" spans="1:21" x14ac:dyDescent="0.2">
      <c r="A290" s="54"/>
      <c r="B290" s="9"/>
      <c r="E290" s="144"/>
      <c r="F290" s="167"/>
      <c r="G290" s="361"/>
      <c r="H290" s="9"/>
      <c r="I290" s="85"/>
      <c r="J290" s="9"/>
      <c r="K290" s="9"/>
      <c r="L290" s="9"/>
      <c r="M290" s="9"/>
      <c r="N290" s="9"/>
      <c r="O290" s="9"/>
      <c r="P290" s="9"/>
      <c r="Q290" s="9"/>
      <c r="R290" s="9"/>
      <c r="S290" s="47"/>
    </row>
    <row r="291" spans="1:21" s="39" customFormat="1" x14ac:dyDescent="0.2">
      <c r="A291" s="128">
        <f>A280-A285-A286+A287++A288-A289</f>
        <v>-10679800</v>
      </c>
      <c r="B291" s="280">
        <f>B280-B285-B286+B287++B288-B289</f>
        <v>-6164600</v>
      </c>
      <c r="C291" s="281">
        <f>C280-C285-C286+C287++C288-C289</f>
        <v>-5491000</v>
      </c>
      <c r="D291" s="281">
        <f>D280-D285-D286+D287++D288-D289</f>
        <v>-7076400</v>
      </c>
      <c r="E291" s="1513">
        <f t="shared" ref="E291" si="757">E280-E285-E286+E287++E288-E289</f>
        <v>-7371800</v>
      </c>
      <c r="F291" s="372"/>
      <c r="G291" s="363" t="s">
        <v>2447</v>
      </c>
      <c r="H291" s="280">
        <f t="shared" ref="H291:O291" si="758">H280-H285-H286+H287++H288-H289</f>
        <v>-7945900</v>
      </c>
      <c r="I291" s="278">
        <f>IF(E291=H291,0,IF(E291=0,100,(H291-E291)/E291*100))</f>
        <v>7.7877858867576437</v>
      </c>
      <c r="J291" s="280">
        <f t="shared" si="758"/>
        <v>-7611600</v>
      </c>
      <c r="K291" s="280">
        <f t="shared" si="758"/>
        <v>-7890400</v>
      </c>
      <c r="L291" s="280">
        <f t="shared" si="758"/>
        <v>-8658800</v>
      </c>
      <c r="M291" s="280">
        <f t="shared" si="758"/>
        <v>-8940500</v>
      </c>
      <c r="N291" s="280">
        <f t="shared" si="758"/>
        <v>-9165600</v>
      </c>
      <c r="O291" s="280">
        <f t="shared" si="758"/>
        <v>-9398400</v>
      </c>
      <c r="P291" s="280">
        <f t="shared" ref="P291:Q291" si="759">P280-P285-P286+P287++P288-P289</f>
        <v>-9703300</v>
      </c>
      <c r="Q291" s="280">
        <f t="shared" si="759"/>
        <v>-10017500</v>
      </c>
      <c r="R291" s="280">
        <f t="shared" ref="R291" si="760">R280-R285-R286+R287++R288-R289</f>
        <v>-10841200</v>
      </c>
      <c r="S291" s="2343">
        <f t="shared" ref="S291" si="761">S280-S285-S286+S287++S288-S289</f>
        <v>-10979900</v>
      </c>
      <c r="U291" s="34"/>
    </row>
    <row r="292" spans="1:21" ht="13.5" thickBot="1" x14ac:dyDescent="0.25">
      <c r="A292" s="26"/>
      <c r="B292" s="37"/>
      <c r="C292" s="141"/>
      <c r="D292" s="141"/>
      <c r="E292" s="1437"/>
      <c r="F292" s="166"/>
      <c r="G292" s="259"/>
      <c r="H292" s="23"/>
      <c r="I292" s="275"/>
      <c r="J292" s="23"/>
      <c r="K292" s="23"/>
      <c r="L292" s="23"/>
      <c r="M292" s="23"/>
      <c r="N292" s="23"/>
      <c r="O292" s="23"/>
      <c r="P292" s="23"/>
      <c r="Q292" s="23"/>
      <c r="R292" s="23"/>
      <c r="S292" s="112"/>
    </row>
    <row r="293" spans="1:21" s="46" customFormat="1" ht="14.25" thickTop="1" thickBot="1" x14ac:dyDescent="0.25">
      <c r="A293" s="27"/>
      <c r="B293" s="27"/>
      <c r="C293" s="142"/>
      <c r="D293" s="142"/>
      <c r="E293" s="142"/>
      <c r="F293" s="169"/>
      <c r="G293" s="84"/>
      <c r="H293" s="123"/>
      <c r="I293" s="1424"/>
      <c r="U293" s="34"/>
    </row>
    <row r="294" spans="1:21" s="38" customFormat="1" ht="18.75" customHeight="1" thickTop="1" thickBot="1" x14ac:dyDescent="0.3">
      <c r="A294" s="2588" t="s">
        <v>649</v>
      </c>
      <c r="B294" s="2589"/>
      <c r="C294" s="2589"/>
      <c r="D294" s="2589"/>
      <c r="E294" s="2589"/>
      <c r="F294" s="2589"/>
      <c r="G294" s="2589"/>
      <c r="H294" s="2589"/>
      <c r="I294" s="2589"/>
      <c r="J294" s="2589"/>
      <c r="K294" s="2589"/>
      <c r="L294" s="2589"/>
      <c r="M294" s="2589"/>
      <c r="N294" s="2589"/>
      <c r="O294" s="2589"/>
      <c r="P294" s="2589"/>
      <c r="Q294" s="2589"/>
      <c r="R294" s="2589"/>
      <c r="S294" s="2590"/>
      <c r="U294" s="34"/>
    </row>
    <row r="295" spans="1:21" s="39" customFormat="1" ht="13.5" thickBot="1" x14ac:dyDescent="0.25">
      <c r="A295" s="2591" t="s">
        <v>1824</v>
      </c>
      <c r="B295" s="2577"/>
      <c r="C295" s="2577"/>
      <c r="D295" s="2577"/>
      <c r="E295" s="2592"/>
      <c r="F295" s="127" t="s">
        <v>2616</v>
      </c>
      <c r="G295" s="127" t="s">
        <v>2213</v>
      </c>
      <c r="H295" s="2568" t="s">
        <v>2215</v>
      </c>
      <c r="I295" s="2568"/>
      <c r="J295" s="2568"/>
      <c r="K295" s="2568"/>
      <c r="L295" s="2568"/>
      <c r="M295" s="2568"/>
      <c r="N295" s="2568"/>
      <c r="O295" s="2568"/>
      <c r="P295" s="2568"/>
      <c r="Q295" s="2568"/>
      <c r="R295" s="2568"/>
      <c r="S295" s="2607"/>
      <c r="U295" s="34"/>
    </row>
    <row r="296" spans="1:21" ht="12.75" customHeight="1" thickBot="1" x14ac:dyDescent="0.25">
      <c r="A296" s="541" t="str">
        <f>A3</f>
        <v>2012/13</v>
      </c>
      <c r="B296" s="28" t="str">
        <f>B3</f>
        <v>2013/14</v>
      </c>
      <c r="C296" s="40" t="str">
        <f>C3</f>
        <v>2014/15</v>
      </c>
      <c r="D296" s="40" t="str">
        <f>D3</f>
        <v>2015/16</v>
      </c>
      <c r="E296" s="1445" t="str">
        <f>E3</f>
        <v>2016/17</v>
      </c>
      <c r="F296" s="40" t="s">
        <v>2617</v>
      </c>
      <c r="G296" s="41"/>
      <c r="H296" s="40" t="str">
        <f>H3</f>
        <v>2017/18</v>
      </c>
      <c r="I296" s="1258" t="str">
        <f>I470</f>
        <v xml:space="preserve">% </v>
      </c>
      <c r="J296" s="40" t="str">
        <f t="shared" ref="J296:S296" si="762">J3</f>
        <v>2018/19</v>
      </c>
      <c r="K296" s="40" t="str">
        <f t="shared" si="762"/>
        <v>2019/20</v>
      </c>
      <c r="L296" s="40" t="str">
        <f t="shared" si="762"/>
        <v>2020/21</v>
      </c>
      <c r="M296" s="40" t="str">
        <f t="shared" si="762"/>
        <v>2021/22</v>
      </c>
      <c r="N296" s="40" t="str">
        <f t="shared" si="762"/>
        <v>2022/23</v>
      </c>
      <c r="O296" s="40" t="str">
        <f t="shared" si="762"/>
        <v>2023/24</v>
      </c>
      <c r="P296" s="1257" t="str">
        <f t="shared" si="762"/>
        <v>2024/25</v>
      </c>
      <c r="Q296" s="28" t="str">
        <f t="shared" si="762"/>
        <v>2025/26</v>
      </c>
      <c r="R296" s="28" t="str">
        <f t="shared" si="762"/>
        <v>2026/27</v>
      </c>
      <c r="S296" s="1620" t="str">
        <f t="shared" si="762"/>
        <v>2027/28</v>
      </c>
    </row>
    <row r="297" spans="1:21" x14ac:dyDescent="0.2">
      <c r="A297" s="54"/>
      <c r="B297" s="9"/>
      <c r="E297" s="144"/>
      <c r="F297" s="2425"/>
      <c r="G297" s="116"/>
      <c r="H297" s="9"/>
      <c r="I297" s="85"/>
      <c r="J297" s="9"/>
      <c r="K297" s="9"/>
      <c r="L297" s="9"/>
      <c r="M297" s="9"/>
      <c r="N297" s="9"/>
      <c r="O297" s="9"/>
      <c r="P297" s="89"/>
      <c r="Q297" s="9"/>
      <c r="R297" s="9"/>
      <c r="S297" s="61"/>
    </row>
    <row r="298" spans="1:21" x14ac:dyDescent="0.2">
      <c r="A298" s="54"/>
      <c r="B298" s="9"/>
      <c r="D298" s="134"/>
      <c r="E298" s="144"/>
      <c r="F298" s="167"/>
      <c r="G298" s="256" t="s">
        <v>1056</v>
      </c>
      <c r="H298" s="9"/>
      <c r="I298" s="85"/>
      <c r="J298" s="9"/>
      <c r="K298" s="9"/>
      <c r="L298" s="9"/>
      <c r="M298" s="9"/>
      <c r="N298" s="9"/>
      <c r="O298" s="9"/>
      <c r="P298" s="89"/>
      <c r="Q298" s="9"/>
      <c r="R298" s="9"/>
      <c r="S298" s="61"/>
    </row>
    <row r="299" spans="1:21" x14ac:dyDescent="0.2">
      <c r="A299" s="54"/>
      <c r="B299" s="9"/>
      <c r="E299" s="144"/>
      <c r="F299" s="167"/>
      <c r="G299" s="256"/>
      <c r="H299" s="9"/>
      <c r="I299" s="85"/>
      <c r="J299" s="9"/>
      <c r="K299" s="9"/>
      <c r="L299" s="9"/>
      <c r="M299" s="9"/>
      <c r="N299" s="9"/>
      <c r="O299" s="9"/>
      <c r="P299" s="89"/>
      <c r="Q299" s="9"/>
      <c r="R299" s="9"/>
      <c r="S299" s="61"/>
    </row>
    <row r="300" spans="1:21" x14ac:dyDescent="0.2">
      <c r="A300" s="54"/>
      <c r="B300" s="9"/>
      <c r="E300" s="144"/>
      <c r="F300" s="167"/>
      <c r="G300" s="21" t="s">
        <v>2829</v>
      </c>
      <c r="H300" s="9"/>
      <c r="I300" s="85"/>
      <c r="J300" s="9"/>
      <c r="K300" s="9"/>
      <c r="L300" s="9"/>
      <c r="M300" s="9"/>
      <c r="N300" s="9"/>
      <c r="O300" s="9"/>
      <c r="P300" s="89"/>
      <c r="Q300" s="9"/>
      <c r="R300" s="9"/>
      <c r="S300" s="61"/>
    </row>
    <row r="301" spans="1:21" x14ac:dyDescent="0.2">
      <c r="A301" s="54">
        <f>ROUND(SUM(A1091:A1091),-3)</f>
        <v>55000</v>
      </c>
      <c r="B301" s="9">
        <f>SUM(B1091:B1091)</f>
        <v>248400</v>
      </c>
      <c r="C301" s="136">
        <f>SUM(C1091:C1092)</f>
        <v>190100</v>
      </c>
      <c r="D301" s="136">
        <f>SUM(D1091:D1092)</f>
        <v>728000</v>
      </c>
      <c r="E301" s="144">
        <f t="shared" ref="E301" si="763">SUM(E1091:E1092)</f>
        <v>238000</v>
      </c>
      <c r="F301" s="167">
        <v>22151</v>
      </c>
      <c r="G301" s="9" t="s">
        <v>875</v>
      </c>
      <c r="H301" s="9">
        <f t="shared" ref="H301:O301" si="764">SUM(H1091:H1092)</f>
        <v>122000</v>
      </c>
      <c r="I301" s="85">
        <f>IF(E301=H301,0,IF(E301=0,100,(H301-E301)/E301*100))</f>
        <v>-48.739495798319325</v>
      </c>
      <c r="J301" s="9">
        <f t="shared" si="764"/>
        <v>124900</v>
      </c>
      <c r="K301" s="9">
        <f t="shared" si="764"/>
        <v>128100</v>
      </c>
      <c r="L301" s="9">
        <f t="shared" si="764"/>
        <v>131400</v>
      </c>
      <c r="M301" s="9">
        <f t="shared" si="764"/>
        <v>134700</v>
      </c>
      <c r="N301" s="9">
        <f t="shared" si="764"/>
        <v>138100</v>
      </c>
      <c r="O301" s="9">
        <f t="shared" si="764"/>
        <v>141600</v>
      </c>
      <c r="P301" s="89">
        <f t="shared" ref="P301:Q301" si="765">SUM(P1091:P1092)</f>
        <v>145300</v>
      </c>
      <c r="Q301" s="9">
        <f t="shared" si="765"/>
        <v>149100</v>
      </c>
      <c r="R301" s="9">
        <f t="shared" ref="R301" si="766">SUM(R1091:R1092)</f>
        <v>153000</v>
      </c>
      <c r="S301" s="47">
        <f t="shared" ref="S301" si="767">SUM(S1091:S1092)</f>
        <v>156900</v>
      </c>
    </row>
    <row r="302" spans="1:21" x14ac:dyDescent="0.2">
      <c r="A302" s="54">
        <f>ROUND(SUM(A1101:A1104),-3)</f>
        <v>6000</v>
      </c>
      <c r="B302" s="9">
        <f>SUM(B1101:B1104)</f>
        <v>56500</v>
      </c>
      <c r="C302" s="136">
        <f>SUM(C1101:C1104)</f>
        <v>55400</v>
      </c>
      <c r="D302" s="136">
        <f>SUM(D1101:D1104)</f>
        <v>41100</v>
      </c>
      <c r="E302" s="144">
        <f>SUM(E1101:E1104)</f>
        <v>48300</v>
      </c>
      <c r="F302" s="167">
        <v>22151</v>
      </c>
      <c r="G302" s="79" t="s">
        <v>948</v>
      </c>
      <c r="H302" s="9">
        <f t="shared" ref="H302:Q302" si="768">SUM(H1101:H1104)</f>
        <v>12000</v>
      </c>
      <c r="I302" s="85">
        <f>IF(E302=H302,0,IF(E302=0,100,(H302-E302)/E302*100))</f>
        <v>-75.155279503105589</v>
      </c>
      <c r="J302" s="9">
        <f t="shared" si="768"/>
        <v>12300</v>
      </c>
      <c r="K302" s="9">
        <f t="shared" si="768"/>
        <v>12700</v>
      </c>
      <c r="L302" s="9">
        <f t="shared" si="768"/>
        <v>13100</v>
      </c>
      <c r="M302" s="9">
        <f t="shared" si="768"/>
        <v>13500</v>
      </c>
      <c r="N302" s="9">
        <f t="shared" si="768"/>
        <v>13900</v>
      </c>
      <c r="O302" s="9">
        <f t="shared" si="768"/>
        <v>14300</v>
      </c>
      <c r="P302" s="89">
        <f t="shared" si="768"/>
        <v>14700</v>
      </c>
      <c r="Q302" s="9">
        <f t="shared" si="768"/>
        <v>15100</v>
      </c>
      <c r="R302" s="9">
        <f t="shared" ref="R302" si="769">SUM(R1101:R1104)</f>
        <v>15500</v>
      </c>
      <c r="S302" s="47">
        <f t="shared" ref="S302" si="770">SUM(S1101:S1104)</f>
        <v>15900</v>
      </c>
    </row>
    <row r="303" spans="1:21" x14ac:dyDescent="0.2">
      <c r="A303" s="54">
        <f>ROUND(SUM(A1169:A1171),-3)</f>
        <v>293000</v>
      </c>
      <c r="B303" s="9">
        <f>SUM(B1169:B1171)</f>
        <v>357400</v>
      </c>
      <c r="C303" s="136">
        <f t="shared" ref="C303:D303" si="771">SUM(C1169:C1171)</f>
        <v>363500</v>
      </c>
      <c r="D303" s="136">
        <f t="shared" si="771"/>
        <v>350700</v>
      </c>
      <c r="E303" s="144">
        <f>SUM(E1169:E1171)</f>
        <v>387000</v>
      </c>
      <c r="F303" s="167">
        <v>22200</v>
      </c>
      <c r="G303" s="79" t="s">
        <v>6793</v>
      </c>
      <c r="H303" s="9">
        <f t="shared" ref="H303:Q303" si="772">SUM(H1169:H1171)</f>
        <v>374000</v>
      </c>
      <c r="I303" s="85">
        <f>IF(E303=H303,0,IF(E303=0,100,(H303-E303)/E303*100))</f>
        <v>-3.3591731266149871</v>
      </c>
      <c r="J303" s="9">
        <f t="shared" si="772"/>
        <v>382700</v>
      </c>
      <c r="K303" s="9">
        <f t="shared" si="772"/>
        <v>392400</v>
      </c>
      <c r="L303" s="9">
        <f t="shared" si="772"/>
        <v>402300</v>
      </c>
      <c r="M303" s="9">
        <f t="shared" si="772"/>
        <v>412500</v>
      </c>
      <c r="N303" s="9">
        <f t="shared" si="772"/>
        <v>422900</v>
      </c>
      <c r="O303" s="9">
        <f t="shared" si="772"/>
        <v>433600</v>
      </c>
      <c r="P303" s="89">
        <f t="shared" si="772"/>
        <v>444500</v>
      </c>
      <c r="Q303" s="9">
        <f t="shared" si="772"/>
        <v>455700</v>
      </c>
      <c r="R303" s="9">
        <f t="shared" ref="R303" si="773">SUM(R1169:R1171)</f>
        <v>467200</v>
      </c>
      <c r="S303" s="47">
        <f t="shared" ref="S303" si="774">SUM(S1169:S1171)</f>
        <v>478900</v>
      </c>
    </row>
    <row r="304" spans="1:21" x14ac:dyDescent="0.2">
      <c r="A304" s="54">
        <f>ROUND(SUM(A1172:A1172),-3)</f>
        <v>76000</v>
      </c>
      <c r="B304" s="9">
        <f>SUM(B1172:B1172)</f>
        <v>82100</v>
      </c>
      <c r="C304" s="136">
        <f t="shared" ref="C304:D304" si="775">SUM(C1172:C1172)</f>
        <v>80500</v>
      </c>
      <c r="D304" s="136">
        <f t="shared" si="775"/>
        <v>99500</v>
      </c>
      <c r="E304" s="144">
        <f>SUM(E1172:E1172)</f>
        <v>92200</v>
      </c>
      <c r="F304" s="167">
        <v>22200</v>
      </c>
      <c r="G304" s="79" t="s">
        <v>6794</v>
      </c>
      <c r="H304" s="9">
        <f t="shared" ref="H304:Q304" si="776">SUM(H1172:H1172)</f>
        <v>110000</v>
      </c>
      <c r="I304" s="85">
        <f>IF(E304=H304,0,IF(E304=0,100,(H304-E304)/E304*100))</f>
        <v>19.305856832971802</v>
      </c>
      <c r="J304" s="9">
        <f t="shared" si="776"/>
        <v>112600</v>
      </c>
      <c r="K304" s="9">
        <f t="shared" si="776"/>
        <v>115500</v>
      </c>
      <c r="L304" s="9">
        <f t="shared" si="776"/>
        <v>118400</v>
      </c>
      <c r="M304" s="9">
        <f t="shared" si="776"/>
        <v>121400</v>
      </c>
      <c r="N304" s="9">
        <f t="shared" si="776"/>
        <v>124500</v>
      </c>
      <c r="O304" s="9">
        <f t="shared" si="776"/>
        <v>127700</v>
      </c>
      <c r="P304" s="89">
        <f t="shared" si="776"/>
        <v>130900</v>
      </c>
      <c r="Q304" s="9">
        <f t="shared" si="776"/>
        <v>134200</v>
      </c>
      <c r="R304" s="9">
        <f t="shared" ref="R304" si="777">SUM(R1172:R1172)</f>
        <v>137600</v>
      </c>
      <c r="S304" s="47">
        <f t="shared" ref="S304" si="778">SUM(S1172:S1172)</f>
        <v>141100</v>
      </c>
    </row>
    <row r="305" spans="1:21" x14ac:dyDescent="0.2">
      <c r="A305" s="54">
        <f>ROUND(SUM(A1173:A1173),-3)</f>
        <v>5000</v>
      </c>
      <c r="B305" s="9">
        <f>SUM(B1173:B1173)</f>
        <v>8000</v>
      </c>
      <c r="C305" s="136">
        <f t="shared" ref="C305:D305" si="779">SUM(C1173:C1173)</f>
        <v>8000</v>
      </c>
      <c r="D305" s="136">
        <f t="shared" si="779"/>
        <v>11100</v>
      </c>
      <c r="E305" s="144">
        <f>SUM(E1173:E1173)</f>
        <v>10000</v>
      </c>
      <c r="F305" s="167">
        <v>22200</v>
      </c>
      <c r="G305" s="79" t="s">
        <v>6795</v>
      </c>
      <c r="H305" s="9">
        <f t="shared" ref="H305:Q305" si="780">SUM(H1173:H1173)</f>
        <v>11000</v>
      </c>
      <c r="I305" s="85">
        <f>IF(E305=H305,0,IF(E305=0,100,(H305-E305)/E305*100))</f>
        <v>10</v>
      </c>
      <c r="J305" s="9">
        <f t="shared" si="780"/>
        <v>11300</v>
      </c>
      <c r="K305" s="9">
        <f t="shared" si="780"/>
        <v>11600</v>
      </c>
      <c r="L305" s="9">
        <f t="shared" si="780"/>
        <v>11900</v>
      </c>
      <c r="M305" s="9">
        <f t="shared" si="780"/>
        <v>12200</v>
      </c>
      <c r="N305" s="9">
        <f t="shared" si="780"/>
        <v>12600</v>
      </c>
      <c r="O305" s="9">
        <f t="shared" si="780"/>
        <v>13000</v>
      </c>
      <c r="P305" s="89">
        <f t="shared" si="780"/>
        <v>13400</v>
      </c>
      <c r="Q305" s="9">
        <f t="shared" si="780"/>
        <v>13800</v>
      </c>
      <c r="R305" s="9">
        <f t="shared" ref="R305" si="781">SUM(R1173:R1173)</f>
        <v>14200</v>
      </c>
      <c r="S305" s="47">
        <f t="shared" ref="S305" si="782">SUM(S1173:S1173)</f>
        <v>14600</v>
      </c>
    </row>
    <row r="306" spans="1:21" x14ac:dyDescent="0.2">
      <c r="A306" s="54"/>
      <c r="B306" s="9"/>
      <c r="E306" s="144"/>
      <c r="F306" s="167"/>
      <c r="G306" s="9"/>
      <c r="H306" s="9"/>
      <c r="I306" s="85"/>
      <c r="J306" s="9"/>
      <c r="K306" s="9"/>
      <c r="L306" s="9"/>
      <c r="M306" s="9"/>
      <c r="N306" s="9"/>
      <c r="O306" s="9"/>
      <c r="P306" s="89"/>
      <c r="Q306" s="9"/>
      <c r="R306" s="9"/>
      <c r="S306" s="47"/>
    </row>
    <row r="307" spans="1:21" x14ac:dyDescent="0.2">
      <c r="A307" s="54"/>
      <c r="B307" s="9"/>
      <c r="E307" s="144"/>
      <c r="F307" s="167"/>
      <c r="G307" s="63" t="s">
        <v>153</v>
      </c>
      <c r="H307" s="9"/>
      <c r="I307" s="85"/>
      <c r="J307" s="9"/>
      <c r="K307" s="9"/>
      <c r="L307" s="9"/>
      <c r="M307" s="9"/>
      <c r="N307" s="9"/>
      <c r="O307" s="9"/>
      <c r="P307" s="89"/>
      <c r="Q307" s="9"/>
      <c r="R307" s="9"/>
      <c r="S307" s="47"/>
    </row>
    <row r="308" spans="1:21" x14ac:dyDescent="0.2">
      <c r="A308" s="54">
        <f>ROUND(A1096,-3)</f>
        <v>98000</v>
      </c>
      <c r="B308" s="9">
        <f t="shared" ref="B308:E309" si="783">B1096</f>
        <v>98000</v>
      </c>
      <c r="C308" s="136">
        <f t="shared" si="783"/>
        <v>98000</v>
      </c>
      <c r="D308" s="136">
        <f t="shared" si="783"/>
        <v>98000</v>
      </c>
      <c r="E308" s="144">
        <f t="shared" si="783"/>
        <v>98000</v>
      </c>
      <c r="F308" s="167">
        <v>22150</v>
      </c>
      <c r="G308" s="9" t="s">
        <v>713</v>
      </c>
      <c r="H308" s="9">
        <f t="shared" ref="H308:O308" si="784">H1096</f>
        <v>100000</v>
      </c>
      <c r="I308" s="85">
        <f>IF(E308=H308,0,IF(E308=0,100,(H308-E308)/E308*100))</f>
        <v>2.0408163265306123</v>
      </c>
      <c r="J308" s="9">
        <f t="shared" si="784"/>
        <v>102300</v>
      </c>
      <c r="K308" s="9">
        <f t="shared" si="784"/>
        <v>104900</v>
      </c>
      <c r="L308" s="9">
        <f t="shared" si="784"/>
        <v>107600</v>
      </c>
      <c r="M308" s="9">
        <f t="shared" si="784"/>
        <v>110300</v>
      </c>
      <c r="N308" s="9">
        <f t="shared" si="784"/>
        <v>113100</v>
      </c>
      <c r="O308" s="9">
        <f t="shared" si="784"/>
        <v>116000</v>
      </c>
      <c r="P308" s="89">
        <f t="shared" ref="P308:Q308" si="785">P1096</f>
        <v>118900</v>
      </c>
      <c r="Q308" s="9">
        <f t="shared" si="785"/>
        <v>121900</v>
      </c>
      <c r="R308" s="9">
        <f t="shared" ref="R308" si="786">R1096</f>
        <v>125000</v>
      </c>
      <c r="S308" s="47">
        <f t="shared" ref="S308" si="787">S1096</f>
        <v>128200</v>
      </c>
    </row>
    <row r="309" spans="1:21" x14ac:dyDescent="0.2">
      <c r="A309" s="54">
        <f>A1097</f>
        <v>25700</v>
      </c>
      <c r="B309" s="9">
        <f t="shared" si="783"/>
        <v>48200</v>
      </c>
      <c r="C309" s="136">
        <f t="shared" si="783"/>
        <v>44600</v>
      </c>
      <c r="D309" s="136">
        <f t="shared" si="783"/>
        <v>40000</v>
      </c>
      <c r="E309" s="144">
        <f t="shared" si="783"/>
        <v>35100</v>
      </c>
      <c r="F309" s="167">
        <v>22150</v>
      </c>
      <c r="G309" s="79" t="s">
        <v>4463</v>
      </c>
      <c r="H309" s="9">
        <f t="shared" ref="H309:O309" si="788">H1097</f>
        <v>29200</v>
      </c>
      <c r="I309" s="85">
        <f>IF(E309=H309,0,IF(E309=0,100,(H309-E309)/E309*100))</f>
        <v>-16.809116809116809</v>
      </c>
      <c r="J309" s="9">
        <f t="shared" si="788"/>
        <v>24000</v>
      </c>
      <c r="K309" s="9">
        <f t="shared" si="788"/>
        <v>18500</v>
      </c>
      <c r="L309" s="9">
        <f t="shared" si="788"/>
        <v>12800</v>
      </c>
      <c r="M309" s="9">
        <f t="shared" si="788"/>
        <v>6900</v>
      </c>
      <c r="N309" s="9">
        <f t="shared" si="788"/>
        <v>1100</v>
      </c>
      <c r="O309" s="9">
        <f t="shared" si="788"/>
        <v>0</v>
      </c>
      <c r="P309" s="89">
        <f t="shared" ref="P309:Q309" si="789">P1097</f>
        <v>0</v>
      </c>
      <c r="Q309" s="9">
        <f t="shared" si="789"/>
        <v>0</v>
      </c>
      <c r="R309" s="9">
        <f t="shared" ref="R309" si="790">R1097</f>
        <v>0</v>
      </c>
      <c r="S309" s="47">
        <f t="shared" ref="S309" si="791">S1097</f>
        <v>0</v>
      </c>
    </row>
    <row r="310" spans="1:21" x14ac:dyDescent="0.2">
      <c r="A310" s="54">
        <f>ROUND(SUM(A1163:A1167),-3)</f>
        <v>0</v>
      </c>
      <c r="B310" s="9">
        <f>ROUND(SUM(B1163:B1167),-2)</f>
        <v>0</v>
      </c>
      <c r="C310" s="136">
        <f>ROUND(SUM(C1163:C1167),-2)</f>
        <v>27400</v>
      </c>
      <c r="D310" s="136">
        <f>ROUND(SUM(D1163:D1167),-2)</f>
        <v>6800</v>
      </c>
      <c r="E310" s="29">
        <f>ROUND(SUM(E1163:E1167),-2)</f>
        <v>42000</v>
      </c>
      <c r="F310" s="167">
        <v>22150</v>
      </c>
      <c r="G310" s="79" t="s">
        <v>6778</v>
      </c>
      <c r="H310" s="9">
        <f>ROUND(SUM(H1163:H1167),-2)</f>
        <v>0</v>
      </c>
      <c r="I310" s="85">
        <f>IF(E310=H310,0,IF(E310=0,100,(H310-E310)/E310*100))</f>
        <v>-100</v>
      </c>
      <c r="J310" s="9">
        <f t="shared" ref="J310:Q310" si="792">ROUND(SUM(J1163:J1167),-2)</f>
        <v>0</v>
      </c>
      <c r="K310" s="9">
        <f t="shared" si="792"/>
        <v>0</v>
      </c>
      <c r="L310" s="9">
        <f t="shared" si="792"/>
        <v>0</v>
      </c>
      <c r="M310" s="9">
        <f t="shared" si="792"/>
        <v>0</v>
      </c>
      <c r="N310" s="9">
        <f t="shared" si="792"/>
        <v>0</v>
      </c>
      <c r="O310" s="9">
        <f t="shared" si="792"/>
        <v>0</v>
      </c>
      <c r="P310" s="89">
        <f t="shared" si="792"/>
        <v>0</v>
      </c>
      <c r="Q310" s="9">
        <f t="shared" si="792"/>
        <v>0</v>
      </c>
      <c r="R310" s="9">
        <f t="shared" ref="R310" si="793">ROUND(SUM(R1163:R1167),-2)</f>
        <v>0</v>
      </c>
      <c r="S310" s="47">
        <f t="shared" ref="S310" si="794">ROUND(SUM(S1163:S1167),-2)</f>
        <v>0</v>
      </c>
    </row>
    <row r="311" spans="1:21" x14ac:dyDescent="0.2">
      <c r="A311" s="54">
        <f>ROUND(SUM(A1098:A1098),-3)</f>
        <v>40000</v>
      </c>
      <c r="B311" s="9">
        <f>SUM(B1098:B1098)</f>
        <v>7300</v>
      </c>
      <c r="C311" s="136">
        <f>SUM(C1098:C1098)</f>
        <v>19000</v>
      </c>
      <c r="D311" s="136">
        <f>SUM(D1098:D1098)</f>
        <v>0</v>
      </c>
      <c r="E311" s="144">
        <f>SUM(E1098:E1098)+E1100</f>
        <v>6600</v>
      </c>
      <c r="F311" s="167">
        <v>22150</v>
      </c>
      <c r="G311" s="79" t="s">
        <v>4439</v>
      </c>
      <c r="H311" s="9">
        <f>SUM(H1098:H1098)+H1094+H1095</f>
        <v>30500</v>
      </c>
      <c r="I311" s="85">
        <f>IF(E311=H311,0,IF(E311=0,100,(H311-E311)/E311*100))</f>
        <v>362.12121212121212</v>
      </c>
      <c r="J311" s="9">
        <f t="shared" ref="J311:P311" si="795">SUM(J1098:J1098)</f>
        <v>0</v>
      </c>
      <c r="K311" s="9">
        <f t="shared" si="795"/>
        <v>0</v>
      </c>
      <c r="L311" s="9">
        <f t="shared" si="795"/>
        <v>0</v>
      </c>
      <c r="M311" s="9">
        <f t="shared" si="795"/>
        <v>0</v>
      </c>
      <c r="N311" s="9">
        <f t="shared" si="795"/>
        <v>0</v>
      </c>
      <c r="O311" s="9">
        <f t="shared" si="795"/>
        <v>0</v>
      </c>
      <c r="P311" s="89">
        <f t="shared" si="795"/>
        <v>0</v>
      </c>
      <c r="Q311" s="9">
        <f t="shared" ref="Q311" si="796">SUM(Q1098:Q1098)</f>
        <v>0</v>
      </c>
      <c r="R311" s="9">
        <f t="shared" ref="R311" si="797">SUM(R1098:R1098)</f>
        <v>0</v>
      </c>
      <c r="S311" s="47">
        <f t="shared" ref="S311" si="798">SUM(S1098:S1098)</f>
        <v>0</v>
      </c>
    </row>
    <row r="312" spans="1:21" x14ac:dyDescent="0.2">
      <c r="A312" s="54">
        <f t="shared" ref="A312:D312" si="799">A1099</f>
        <v>0</v>
      </c>
      <c r="B312" s="9">
        <f t="shared" si="799"/>
        <v>0</v>
      </c>
      <c r="C312" s="136">
        <f t="shared" si="799"/>
        <v>10000</v>
      </c>
      <c r="D312" s="136">
        <f t="shared" si="799"/>
        <v>0</v>
      </c>
      <c r="E312" s="144">
        <f>E1099</f>
        <v>10600</v>
      </c>
      <c r="F312" s="167">
        <v>22150</v>
      </c>
      <c r="G312" s="79" t="s">
        <v>6421</v>
      </c>
      <c r="H312" s="9">
        <f>H1099</f>
        <v>19400</v>
      </c>
      <c r="I312" s="85">
        <f>IF(E312=H312,0,IF(E312=0,100,(H312-E312)/E312*100))</f>
        <v>83.018867924528308</v>
      </c>
      <c r="J312" s="9">
        <f t="shared" ref="J312:Q312" si="800">J1099</f>
        <v>0</v>
      </c>
      <c r="K312" s="9">
        <f t="shared" si="800"/>
        <v>0</v>
      </c>
      <c r="L312" s="9">
        <f t="shared" si="800"/>
        <v>0</v>
      </c>
      <c r="M312" s="9">
        <f t="shared" si="800"/>
        <v>0</v>
      </c>
      <c r="N312" s="9">
        <f t="shared" si="800"/>
        <v>0</v>
      </c>
      <c r="O312" s="9">
        <f t="shared" si="800"/>
        <v>0</v>
      </c>
      <c r="P312" s="9">
        <f t="shared" si="800"/>
        <v>0</v>
      </c>
      <c r="Q312" s="9">
        <f t="shared" si="800"/>
        <v>0</v>
      </c>
      <c r="R312" s="9">
        <f t="shared" ref="R312" si="801">R1099</f>
        <v>0</v>
      </c>
      <c r="S312" s="47">
        <f t="shared" ref="S312" si="802">S1099</f>
        <v>0</v>
      </c>
    </row>
    <row r="313" spans="1:21" ht="13.5" thickBot="1" x14ac:dyDescent="0.25">
      <c r="A313" s="54"/>
      <c r="B313" s="9"/>
      <c r="E313" s="144"/>
      <c r="F313" s="167"/>
      <c r="G313" s="9"/>
      <c r="H313" s="9"/>
      <c r="I313" s="85"/>
      <c r="J313" s="9"/>
      <c r="K313" s="9"/>
      <c r="L313" s="9"/>
      <c r="M313" s="9"/>
      <c r="N313" s="9"/>
      <c r="O313" s="9"/>
      <c r="P313" s="89"/>
      <c r="Q313" s="9"/>
      <c r="R313" s="9"/>
      <c r="S313" s="47"/>
    </row>
    <row r="314" spans="1:21" s="39" customFormat="1" x14ac:dyDescent="0.2">
      <c r="A314" s="52">
        <f>SUM(A298:A313)</f>
        <v>598700</v>
      </c>
      <c r="B314" s="16">
        <f>SUM(B298:B313)</f>
        <v>905900</v>
      </c>
      <c r="C314" s="137">
        <f>SUM(C298:C313)</f>
        <v>896500</v>
      </c>
      <c r="D314" s="137">
        <f>SUM(D298:D313)</f>
        <v>1375200</v>
      </c>
      <c r="E314" s="1473">
        <f>SUM(E298:E313)</f>
        <v>967800</v>
      </c>
      <c r="F314" s="173"/>
      <c r="G314" s="267" t="s">
        <v>2561</v>
      </c>
      <c r="H314" s="16">
        <f t="shared" ref="H314:Q314" si="803">SUM(H298:H313)</f>
        <v>808100</v>
      </c>
      <c r="I314" s="127">
        <f>IF(E314=H314,0,IF(E314=0,100,(H314-E314)/E314*100))</f>
        <v>-16.501343252738167</v>
      </c>
      <c r="J314" s="16">
        <f t="shared" si="803"/>
        <v>770100</v>
      </c>
      <c r="K314" s="16">
        <f t="shared" si="803"/>
        <v>783700</v>
      </c>
      <c r="L314" s="16">
        <f t="shared" si="803"/>
        <v>797500</v>
      </c>
      <c r="M314" s="16">
        <f t="shared" si="803"/>
        <v>811500</v>
      </c>
      <c r="N314" s="16">
        <f t="shared" si="803"/>
        <v>826200</v>
      </c>
      <c r="O314" s="16">
        <f t="shared" si="803"/>
        <v>846200</v>
      </c>
      <c r="P314" s="102">
        <f t="shared" si="803"/>
        <v>867700</v>
      </c>
      <c r="Q314" s="16">
        <f t="shared" si="803"/>
        <v>889800</v>
      </c>
      <c r="R314" s="16">
        <f t="shared" ref="R314" si="804">SUM(R298:R313)</f>
        <v>912500</v>
      </c>
      <c r="S314" s="2342">
        <f t="shared" ref="S314" si="805">SUM(S298:S313)</f>
        <v>935600</v>
      </c>
      <c r="U314" s="34"/>
    </row>
    <row r="315" spans="1:21" x14ac:dyDescent="0.2">
      <c r="A315" s="54"/>
      <c r="B315" s="9"/>
      <c r="E315" s="144"/>
      <c r="F315" s="167"/>
      <c r="G315" s="9"/>
      <c r="H315" s="9"/>
      <c r="I315" s="85"/>
      <c r="J315" s="9"/>
      <c r="K315" s="9"/>
      <c r="L315" s="9"/>
      <c r="M315" s="9"/>
      <c r="N315" s="9"/>
      <c r="O315" s="9"/>
      <c r="P315" s="89"/>
      <c r="Q315" s="9"/>
      <c r="R315" s="9"/>
      <c r="S315" s="47"/>
    </row>
    <row r="316" spans="1:21" x14ac:dyDescent="0.2">
      <c r="A316" s="54"/>
      <c r="B316" s="9"/>
      <c r="E316" s="144"/>
      <c r="F316" s="167"/>
      <c r="G316" s="256" t="s">
        <v>2169</v>
      </c>
      <c r="H316" s="9"/>
      <c r="I316" s="85"/>
      <c r="J316" s="9"/>
      <c r="K316" s="9"/>
      <c r="L316" s="9"/>
      <c r="M316" s="9"/>
      <c r="N316" s="9"/>
      <c r="O316" s="9"/>
      <c r="P316" s="89"/>
      <c r="Q316" s="9"/>
      <c r="R316" s="9"/>
      <c r="S316" s="47"/>
    </row>
    <row r="317" spans="1:21" x14ac:dyDescent="0.2">
      <c r="A317" s="54"/>
      <c r="B317" s="9"/>
      <c r="E317" s="144"/>
      <c r="F317" s="167"/>
      <c r="G317" s="256"/>
      <c r="H317" s="9"/>
      <c r="I317" s="85"/>
      <c r="J317" s="9"/>
      <c r="K317" s="9"/>
      <c r="L317" s="9"/>
      <c r="M317" s="9"/>
      <c r="N317" s="9"/>
      <c r="O317" s="9"/>
      <c r="P317" s="89"/>
      <c r="Q317" s="9"/>
      <c r="R317" s="9"/>
      <c r="S317" s="47"/>
    </row>
    <row r="318" spans="1:21" x14ac:dyDescent="0.2">
      <c r="A318" s="54"/>
      <c r="B318" s="9"/>
      <c r="E318" s="144"/>
      <c r="F318" s="167"/>
      <c r="G318" s="21" t="s">
        <v>275</v>
      </c>
      <c r="H318" s="9"/>
      <c r="I318" s="85"/>
      <c r="J318" s="9"/>
      <c r="K318" s="9"/>
      <c r="L318" s="9"/>
      <c r="M318" s="9"/>
      <c r="N318" s="9"/>
      <c r="O318" s="9"/>
      <c r="P318" s="89"/>
      <c r="Q318" s="9"/>
      <c r="R318" s="9"/>
      <c r="S318" s="47"/>
    </row>
    <row r="319" spans="1:21" x14ac:dyDescent="0.2">
      <c r="A319" s="54">
        <f>ROUND(SUM(A1111:A1117),-3)</f>
        <v>139000</v>
      </c>
      <c r="B319" s="9">
        <f>SUM(B1111:B1117)</f>
        <v>113300</v>
      </c>
      <c r="C319" s="136">
        <f>SUM(C1111:C1117)</f>
        <v>100200</v>
      </c>
      <c r="D319" s="136">
        <f>SUM(D1111:D1117)</f>
        <v>65300</v>
      </c>
      <c r="E319" s="144">
        <f>SUM(E1111:E1117)</f>
        <v>111000</v>
      </c>
      <c r="F319" s="167">
        <v>32132</v>
      </c>
      <c r="G319" s="9" t="s">
        <v>2471</v>
      </c>
      <c r="H319" s="9">
        <f>SUM(H1111:H1117)</f>
        <v>131600</v>
      </c>
      <c r="I319" s="85">
        <f t="shared" ref="I319:I326" si="806">IF(E319=H319,0,IF(E319=0,100,(H319-E319)/E319*100))</f>
        <v>18.558558558558559</v>
      </c>
      <c r="J319" s="9">
        <f t="shared" ref="J319:S319" si="807">SUM(J1111:J1117)</f>
        <v>110300</v>
      </c>
      <c r="K319" s="9">
        <f t="shared" si="807"/>
        <v>113300</v>
      </c>
      <c r="L319" s="9">
        <f t="shared" si="807"/>
        <v>116300</v>
      </c>
      <c r="M319" s="9">
        <f t="shared" si="807"/>
        <v>119600</v>
      </c>
      <c r="N319" s="9">
        <f t="shared" si="807"/>
        <v>122900</v>
      </c>
      <c r="O319" s="9">
        <f t="shared" si="807"/>
        <v>126200</v>
      </c>
      <c r="P319" s="89">
        <f t="shared" si="807"/>
        <v>129600</v>
      </c>
      <c r="Q319" s="9">
        <f t="shared" si="807"/>
        <v>133100</v>
      </c>
      <c r="R319" s="9">
        <f t="shared" si="807"/>
        <v>136700</v>
      </c>
      <c r="S319" s="47">
        <f t="shared" si="807"/>
        <v>140300</v>
      </c>
    </row>
    <row r="320" spans="1:21" x14ac:dyDescent="0.2">
      <c r="A320" s="54">
        <f>ROUND(SUM(A1107:A1108),-3)</f>
        <v>407000</v>
      </c>
      <c r="B320" s="9">
        <f>SUM(B1107:B1108)</f>
        <v>450300</v>
      </c>
      <c r="C320" s="136">
        <f>SUM(C1107:C1108)</f>
        <v>505800</v>
      </c>
      <c r="D320" s="136">
        <f>SUM(D1107:D1108)</f>
        <v>469400</v>
      </c>
      <c r="E320" s="144">
        <f>SUM(E1107:E1108)</f>
        <v>585900</v>
      </c>
      <c r="F320" s="167">
        <v>32130</v>
      </c>
      <c r="G320" s="9" t="s">
        <v>713</v>
      </c>
      <c r="H320" s="9">
        <f>SUM(H1107:H1110)</f>
        <v>550000</v>
      </c>
      <c r="I320" s="85">
        <f t="shared" si="806"/>
        <v>-6.127325482164192</v>
      </c>
      <c r="J320" s="9">
        <f t="shared" ref="J320:R320" si="808">SUM(J1107:J1110)</f>
        <v>562900</v>
      </c>
      <c r="K320" s="9">
        <f t="shared" si="808"/>
        <v>577200</v>
      </c>
      <c r="L320" s="9">
        <f t="shared" si="808"/>
        <v>591800</v>
      </c>
      <c r="M320" s="9">
        <f t="shared" si="808"/>
        <v>606800</v>
      </c>
      <c r="N320" s="9">
        <f t="shared" si="808"/>
        <v>622100</v>
      </c>
      <c r="O320" s="9">
        <f t="shared" si="808"/>
        <v>637800</v>
      </c>
      <c r="P320" s="9">
        <f t="shared" si="808"/>
        <v>653900</v>
      </c>
      <c r="Q320" s="9">
        <f t="shared" si="808"/>
        <v>670400</v>
      </c>
      <c r="R320" s="9">
        <f t="shared" si="808"/>
        <v>687300</v>
      </c>
      <c r="S320" s="47">
        <f t="shared" ref="S320" si="809">SUM(S1107:S1110)</f>
        <v>704600</v>
      </c>
    </row>
    <row r="321" spans="1:19" x14ac:dyDescent="0.2">
      <c r="A321" s="54">
        <f>ROUND(SUM(A1118:A1126),-3)</f>
        <v>119000</v>
      </c>
      <c r="B321" s="9">
        <f>SUM(B1118:B1126)</f>
        <v>190800</v>
      </c>
      <c r="C321" s="136">
        <f>SUM(C1118:C1126)</f>
        <v>150700</v>
      </c>
      <c r="D321" s="136">
        <f>SUM(D1118:D1126)</f>
        <v>152400</v>
      </c>
      <c r="E321" s="144">
        <f>SUM(E1118:E1126)</f>
        <v>148800</v>
      </c>
      <c r="F321" s="167">
        <v>32135</v>
      </c>
      <c r="G321" s="9" t="s">
        <v>714</v>
      </c>
      <c r="H321" s="9">
        <f>SUM(H1118:H1126)</f>
        <v>222800</v>
      </c>
      <c r="I321" s="85">
        <f t="shared" si="806"/>
        <v>49.731182795698928</v>
      </c>
      <c r="J321" s="9">
        <f t="shared" ref="J321:S321" si="810">SUM(J1118:J1126)</f>
        <v>188500</v>
      </c>
      <c r="K321" s="9">
        <f t="shared" si="810"/>
        <v>193500</v>
      </c>
      <c r="L321" s="9">
        <f t="shared" si="810"/>
        <v>198700</v>
      </c>
      <c r="M321" s="9">
        <f t="shared" si="810"/>
        <v>203900</v>
      </c>
      <c r="N321" s="9">
        <f t="shared" si="810"/>
        <v>209400</v>
      </c>
      <c r="O321" s="9">
        <f t="shared" si="810"/>
        <v>214900</v>
      </c>
      <c r="P321" s="9">
        <f t="shared" si="810"/>
        <v>220400</v>
      </c>
      <c r="Q321" s="9">
        <f t="shared" si="810"/>
        <v>226200</v>
      </c>
      <c r="R321" s="9">
        <f t="shared" si="810"/>
        <v>232000</v>
      </c>
      <c r="S321" s="47">
        <f t="shared" si="810"/>
        <v>238100</v>
      </c>
    </row>
    <row r="322" spans="1:19" x14ac:dyDescent="0.2">
      <c r="A322" s="54">
        <f>ROUND(SUM(A1127:A1128),-3)</f>
        <v>14000</v>
      </c>
      <c r="B322" s="9">
        <f>SUM(B1127:B1128)</f>
        <v>37400</v>
      </c>
      <c r="C322" s="136">
        <f>SUM(C1127:C1128)</f>
        <v>19300</v>
      </c>
      <c r="D322" s="136">
        <f>SUM(D1127:D1128)</f>
        <v>58400</v>
      </c>
      <c r="E322" s="144">
        <f t="shared" ref="E322" si="811">SUM(E1127:E1128)</f>
        <v>41100</v>
      </c>
      <c r="F322" s="167">
        <v>32137</v>
      </c>
      <c r="G322" s="79" t="s">
        <v>4559</v>
      </c>
      <c r="H322" s="9">
        <f t="shared" ref="H322:O322" si="812">SUM(H1127:H1128)</f>
        <v>41000</v>
      </c>
      <c r="I322" s="85">
        <f t="shared" si="806"/>
        <v>-0.24330900243309003</v>
      </c>
      <c r="J322" s="9">
        <f t="shared" si="812"/>
        <v>42000</v>
      </c>
      <c r="K322" s="9">
        <f t="shared" si="812"/>
        <v>43100</v>
      </c>
      <c r="L322" s="9">
        <f t="shared" si="812"/>
        <v>44200</v>
      </c>
      <c r="M322" s="9">
        <f t="shared" si="812"/>
        <v>45400</v>
      </c>
      <c r="N322" s="9">
        <f t="shared" si="812"/>
        <v>46600</v>
      </c>
      <c r="O322" s="9">
        <f t="shared" si="812"/>
        <v>47800</v>
      </c>
      <c r="P322" s="89">
        <f t="shared" ref="P322:Q322" si="813">SUM(P1127:P1128)</f>
        <v>49000</v>
      </c>
      <c r="Q322" s="9">
        <f t="shared" si="813"/>
        <v>50300</v>
      </c>
      <c r="R322" s="9">
        <f t="shared" ref="R322" si="814">SUM(R1127:R1128)</f>
        <v>51600</v>
      </c>
      <c r="S322" s="47">
        <f t="shared" ref="S322" si="815">SUM(S1127:S1128)</f>
        <v>52900</v>
      </c>
    </row>
    <row r="323" spans="1:19" x14ac:dyDescent="0.2">
      <c r="A323" s="54">
        <f>ROUND(SUM(A1129:A1129),-3)</f>
        <v>8000</v>
      </c>
      <c r="B323" s="9">
        <f>SUM(B1129:B1129)</f>
        <v>5900</v>
      </c>
      <c r="C323" s="136">
        <f>SUM(C1129:C1129)</f>
        <v>6300</v>
      </c>
      <c r="D323" s="136">
        <f>SUM(D1129:D1129)</f>
        <v>6600</v>
      </c>
      <c r="E323" s="144">
        <f>SUM(E1129:E1129)</f>
        <v>7000</v>
      </c>
      <c r="F323" s="167">
        <v>32137</v>
      </c>
      <c r="G323" s="79" t="s">
        <v>4560</v>
      </c>
      <c r="H323" s="9">
        <f t="shared" ref="H323:Q323" si="816">SUM(H1129:H1129)</f>
        <v>7500</v>
      </c>
      <c r="I323" s="85">
        <f t="shared" si="806"/>
        <v>7.1428571428571423</v>
      </c>
      <c r="J323" s="9">
        <f t="shared" si="816"/>
        <v>7700</v>
      </c>
      <c r="K323" s="9">
        <f t="shared" si="816"/>
        <v>7900</v>
      </c>
      <c r="L323" s="9">
        <f t="shared" si="816"/>
        <v>8100</v>
      </c>
      <c r="M323" s="9">
        <f t="shared" si="816"/>
        <v>8400</v>
      </c>
      <c r="N323" s="9">
        <f t="shared" si="816"/>
        <v>8700</v>
      </c>
      <c r="O323" s="9">
        <f t="shared" si="816"/>
        <v>9000</v>
      </c>
      <c r="P323" s="89">
        <f t="shared" si="816"/>
        <v>9300</v>
      </c>
      <c r="Q323" s="9">
        <f t="shared" si="816"/>
        <v>9600</v>
      </c>
      <c r="R323" s="9">
        <f t="shared" ref="R323" si="817">SUM(R1129:R1129)</f>
        <v>9900</v>
      </c>
      <c r="S323" s="47">
        <f t="shared" ref="S323" si="818">SUM(S1129:S1129)</f>
        <v>10200</v>
      </c>
    </row>
    <row r="324" spans="1:19" x14ac:dyDescent="0.2">
      <c r="A324" s="54">
        <f>ROUND(SUM(A1130:A1131),-3)</f>
        <v>13000</v>
      </c>
      <c r="B324" s="9">
        <f>SUM(B1130:B1131)</f>
        <v>19100</v>
      </c>
      <c r="C324" s="136">
        <f>SUM(C1130:C1131)</f>
        <v>5500</v>
      </c>
      <c r="D324" s="136">
        <f>SUM(D1130:D1131)</f>
        <v>2700</v>
      </c>
      <c r="E324" s="144">
        <f>SUM(E1130:E1131)</f>
        <v>1100</v>
      </c>
      <c r="F324" s="167">
        <v>32138</v>
      </c>
      <c r="G324" s="79" t="s">
        <v>4499</v>
      </c>
      <c r="H324" s="9">
        <f>SUM(H1130:H1131)</f>
        <v>10000</v>
      </c>
      <c r="I324" s="85">
        <f t="shared" si="806"/>
        <v>809.09090909090912</v>
      </c>
      <c r="J324" s="9">
        <f t="shared" ref="J324:S324" si="819">SUM(J1130:J1131)</f>
        <v>10300</v>
      </c>
      <c r="K324" s="9">
        <f t="shared" si="819"/>
        <v>10600</v>
      </c>
      <c r="L324" s="9">
        <f t="shared" si="819"/>
        <v>10900</v>
      </c>
      <c r="M324" s="9">
        <f t="shared" si="819"/>
        <v>11200</v>
      </c>
      <c r="N324" s="9">
        <f t="shared" si="819"/>
        <v>11500</v>
      </c>
      <c r="O324" s="9">
        <f t="shared" si="819"/>
        <v>11800</v>
      </c>
      <c r="P324" s="89">
        <f t="shared" si="819"/>
        <v>12100</v>
      </c>
      <c r="Q324" s="9">
        <f t="shared" si="819"/>
        <v>12500</v>
      </c>
      <c r="R324" s="9">
        <f t="shared" si="819"/>
        <v>12900</v>
      </c>
      <c r="S324" s="47">
        <f t="shared" si="819"/>
        <v>13300</v>
      </c>
    </row>
    <row r="325" spans="1:19" x14ac:dyDescent="0.2">
      <c r="A325" s="54">
        <f>ROUND(SUM(A1132:A1133),-3)</f>
        <v>99000</v>
      </c>
      <c r="B325" s="9">
        <f>SUM(B1132:B1133)</f>
        <v>222500</v>
      </c>
      <c r="C325" s="136">
        <f>SUM(C1132:C1134)</f>
        <v>173200</v>
      </c>
      <c r="D325" s="136">
        <f>SUM(D1132:D1134)</f>
        <v>636700</v>
      </c>
      <c r="E325" s="144">
        <f t="shared" ref="E325" si="820">SUM(E1132:E1134)</f>
        <v>244300</v>
      </c>
      <c r="F325" s="167">
        <v>32496</v>
      </c>
      <c r="G325" s="9" t="s">
        <v>875</v>
      </c>
      <c r="H325" s="9">
        <f t="shared" ref="H325:O325" si="821">SUM(H1132:H1134)</f>
        <v>105000</v>
      </c>
      <c r="I325" s="85">
        <f t="shared" si="806"/>
        <v>-57.020057306590253</v>
      </c>
      <c r="J325" s="9">
        <f t="shared" si="821"/>
        <v>107500</v>
      </c>
      <c r="K325" s="9">
        <f t="shared" si="821"/>
        <v>110300</v>
      </c>
      <c r="L325" s="9">
        <f t="shared" si="821"/>
        <v>113200</v>
      </c>
      <c r="M325" s="9">
        <f t="shared" si="821"/>
        <v>116100</v>
      </c>
      <c r="N325" s="9">
        <f t="shared" si="821"/>
        <v>119100</v>
      </c>
      <c r="O325" s="9">
        <f t="shared" si="821"/>
        <v>122200</v>
      </c>
      <c r="P325" s="89">
        <f t="shared" ref="P325:Q325" si="822">SUM(P1132:P1134)</f>
        <v>125300</v>
      </c>
      <c r="Q325" s="9">
        <f t="shared" si="822"/>
        <v>128500</v>
      </c>
      <c r="R325" s="9">
        <f t="shared" ref="R325" si="823">SUM(R1132:R1134)</f>
        <v>131800</v>
      </c>
      <c r="S325" s="47">
        <f t="shared" ref="S325" si="824">SUM(S1132:S1134)</f>
        <v>135200</v>
      </c>
    </row>
    <row r="326" spans="1:19" x14ac:dyDescent="0.2">
      <c r="A326" s="54">
        <f>ROUND(SUM(A1179:A1186),-3)</f>
        <v>17000</v>
      </c>
      <c r="B326" s="9">
        <f>SUM(B1179:B1186)</f>
        <v>20900</v>
      </c>
      <c r="C326" s="136">
        <f>SUM(C1179:C1186)</f>
        <v>80600</v>
      </c>
      <c r="D326" s="136">
        <f>SUM(D1179:D1186)</f>
        <v>78400</v>
      </c>
      <c r="E326" s="144">
        <f t="shared" ref="E326" si="825">SUM(E1179:E1186)</f>
        <v>98500</v>
      </c>
      <c r="F326" s="167">
        <v>32201</v>
      </c>
      <c r="G326" s="79" t="s">
        <v>1176</v>
      </c>
      <c r="H326" s="9">
        <f t="shared" ref="H326:O326" si="826">SUM(H1179:H1186)</f>
        <v>41200</v>
      </c>
      <c r="I326" s="85">
        <f t="shared" si="806"/>
        <v>-58.172588832487307</v>
      </c>
      <c r="J326" s="9">
        <f t="shared" si="826"/>
        <v>42300</v>
      </c>
      <c r="K326" s="9">
        <f t="shared" si="826"/>
        <v>43500</v>
      </c>
      <c r="L326" s="9">
        <f t="shared" si="826"/>
        <v>44700</v>
      </c>
      <c r="M326" s="9">
        <f t="shared" si="826"/>
        <v>45900</v>
      </c>
      <c r="N326" s="9">
        <f t="shared" si="826"/>
        <v>47200</v>
      </c>
      <c r="O326" s="9">
        <f t="shared" si="826"/>
        <v>48500</v>
      </c>
      <c r="P326" s="89">
        <f t="shared" ref="P326:Q326" si="827">SUM(P1179:P1186)</f>
        <v>49800</v>
      </c>
      <c r="Q326" s="9">
        <f t="shared" si="827"/>
        <v>51100</v>
      </c>
      <c r="R326" s="9">
        <f t="shared" ref="R326" si="828">SUM(R1179:R1186)</f>
        <v>52500</v>
      </c>
      <c r="S326" s="47">
        <f t="shared" ref="S326" si="829">SUM(S1179:S1186)</f>
        <v>54000</v>
      </c>
    </row>
    <row r="327" spans="1:19" x14ac:dyDescent="0.2">
      <c r="A327" s="54"/>
      <c r="B327" s="9"/>
      <c r="E327" s="144"/>
      <c r="F327" s="167"/>
      <c r="G327" s="9"/>
      <c r="H327" s="9"/>
      <c r="I327" s="85"/>
      <c r="J327" s="9"/>
      <c r="K327" s="9"/>
      <c r="L327" s="9"/>
      <c r="M327" s="9"/>
      <c r="N327" s="9"/>
      <c r="O327" s="9"/>
      <c r="P327" s="89"/>
      <c r="Q327" s="9"/>
      <c r="R327" s="9"/>
      <c r="S327" s="47"/>
    </row>
    <row r="328" spans="1:19" x14ac:dyDescent="0.2">
      <c r="A328" s="54"/>
      <c r="B328" s="9"/>
      <c r="E328" s="144"/>
      <c r="F328" s="167"/>
      <c r="G328" s="21" t="s">
        <v>2265</v>
      </c>
      <c r="H328" s="9"/>
      <c r="I328" s="85"/>
      <c r="J328" s="9"/>
      <c r="K328" s="9"/>
      <c r="L328" s="9"/>
      <c r="M328" s="9"/>
      <c r="N328" s="9"/>
      <c r="O328" s="9"/>
      <c r="P328" s="89"/>
      <c r="Q328" s="9"/>
      <c r="R328" s="9"/>
      <c r="S328" s="47"/>
    </row>
    <row r="329" spans="1:19" x14ac:dyDescent="0.2">
      <c r="A329" s="54">
        <f>ROUND(SUM(A1187:A1197)-A330,-3)</f>
        <v>304000</v>
      </c>
      <c r="B329" s="9">
        <f>SUM(B1187:B1197)-B330</f>
        <v>341600</v>
      </c>
      <c r="C329" s="136">
        <f>SUM(C1187:C1197)-C330</f>
        <v>358800</v>
      </c>
      <c r="D329" s="136">
        <f>SUM(D1187:D1197)-D330</f>
        <v>318700</v>
      </c>
      <c r="E329" s="144">
        <f>SUM(E1187:E1197)-E330</f>
        <v>216400</v>
      </c>
      <c r="F329" s="167">
        <v>32200</v>
      </c>
      <c r="G329" s="9" t="s">
        <v>595</v>
      </c>
      <c r="H329" s="9">
        <f>SUM(H1187:H1197)-H330</f>
        <v>337600</v>
      </c>
      <c r="I329" s="85">
        <f>IF(E329=H329,0,IF(E329=0,100,(H329-E329)/E329*100))</f>
        <v>56.007393715341955</v>
      </c>
      <c r="J329" s="9">
        <f t="shared" ref="J329:S329" si="830">SUM(J1187:J1197)-J330</f>
        <v>244500</v>
      </c>
      <c r="K329" s="9">
        <f t="shared" si="830"/>
        <v>351900</v>
      </c>
      <c r="L329" s="9">
        <f t="shared" si="830"/>
        <v>259500</v>
      </c>
      <c r="M329" s="9">
        <f t="shared" si="830"/>
        <v>369200</v>
      </c>
      <c r="N329" s="9">
        <f t="shared" si="830"/>
        <v>275000</v>
      </c>
      <c r="O329" s="9">
        <f t="shared" si="830"/>
        <v>387000</v>
      </c>
      <c r="P329" s="89">
        <f t="shared" si="830"/>
        <v>291100</v>
      </c>
      <c r="Q329" s="9">
        <f t="shared" si="830"/>
        <v>405300</v>
      </c>
      <c r="R329" s="9">
        <f t="shared" si="830"/>
        <v>307600</v>
      </c>
      <c r="S329" s="47">
        <f t="shared" si="830"/>
        <v>314000</v>
      </c>
    </row>
    <row r="330" spans="1:19" x14ac:dyDescent="0.2">
      <c r="A330" s="54">
        <f>ROUND(A1188,-3)</f>
        <v>309000</v>
      </c>
      <c r="B330" s="9">
        <f>B1188</f>
        <v>305600</v>
      </c>
      <c r="C330" s="136">
        <f>C1188</f>
        <v>305500</v>
      </c>
      <c r="D330" s="136">
        <f>D1188</f>
        <v>336300</v>
      </c>
      <c r="E330" s="144">
        <f t="shared" ref="E330" si="831">E1188</f>
        <v>343900</v>
      </c>
      <c r="F330" s="167">
        <v>32200</v>
      </c>
      <c r="G330" s="9" t="s">
        <v>1320</v>
      </c>
      <c r="H330" s="9">
        <f t="shared" ref="H330:O330" si="832">H1188</f>
        <v>337000</v>
      </c>
      <c r="I330" s="85">
        <f>IF(E330=H330,0,IF(E330=0,100,(H330-E330)/E330*100))</f>
        <v>-2.0063972084908404</v>
      </c>
      <c r="J330" s="9">
        <f t="shared" si="832"/>
        <v>344800</v>
      </c>
      <c r="K330" s="9">
        <f t="shared" si="832"/>
        <v>353500</v>
      </c>
      <c r="L330" s="9">
        <f t="shared" si="832"/>
        <v>362400</v>
      </c>
      <c r="M330" s="9">
        <f t="shared" si="832"/>
        <v>371500</v>
      </c>
      <c r="N330" s="9">
        <f t="shared" si="832"/>
        <v>380800</v>
      </c>
      <c r="O330" s="9">
        <f t="shared" si="832"/>
        <v>390400</v>
      </c>
      <c r="P330" s="89">
        <f t="shared" ref="P330:Q330" si="833">P1188</f>
        <v>400200</v>
      </c>
      <c r="Q330" s="9">
        <f t="shared" si="833"/>
        <v>410300</v>
      </c>
      <c r="R330" s="9">
        <f t="shared" ref="R330" si="834">R1188</f>
        <v>420600</v>
      </c>
      <c r="S330" s="47">
        <f t="shared" ref="S330" si="835">S1188</f>
        <v>431200</v>
      </c>
    </row>
    <row r="331" spans="1:19" x14ac:dyDescent="0.2">
      <c r="A331" s="54"/>
      <c r="B331" s="9"/>
      <c r="E331" s="144"/>
      <c r="F331" s="167"/>
      <c r="G331" s="9"/>
      <c r="H331" s="9"/>
      <c r="I331" s="85"/>
      <c r="J331" s="9"/>
      <c r="K331" s="9"/>
      <c r="L331" s="9"/>
      <c r="M331" s="9"/>
      <c r="N331" s="9"/>
      <c r="O331" s="9"/>
      <c r="P331" s="89"/>
      <c r="Q331" s="9"/>
      <c r="R331" s="9"/>
      <c r="S331" s="47"/>
    </row>
    <row r="332" spans="1:19" x14ac:dyDescent="0.2">
      <c r="A332" s="54"/>
      <c r="B332" s="9"/>
      <c r="E332" s="144"/>
      <c r="F332" s="167"/>
      <c r="G332" s="21" t="s">
        <v>1112</v>
      </c>
      <c r="H332" s="9"/>
      <c r="I332" s="85"/>
      <c r="J332" s="9"/>
      <c r="K332" s="9"/>
      <c r="L332" s="9"/>
      <c r="M332" s="9"/>
      <c r="N332" s="9"/>
      <c r="O332" s="9"/>
      <c r="P332" s="89"/>
      <c r="Q332" s="9"/>
      <c r="R332" s="9"/>
      <c r="S332" s="47"/>
    </row>
    <row r="333" spans="1:19" x14ac:dyDescent="0.2">
      <c r="A333" s="54">
        <f>ROUND(A1136,-3)</f>
        <v>179000</v>
      </c>
      <c r="B333" s="9">
        <f>B1136</f>
        <v>183800</v>
      </c>
      <c r="C333" s="136">
        <f>C1136</f>
        <v>159600</v>
      </c>
      <c r="D333" s="136">
        <f>D1136</f>
        <v>134300</v>
      </c>
      <c r="E333" s="144">
        <f t="shared" ref="E333" si="836">E1136</f>
        <v>106900</v>
      </c>
      <c r="F333" s="167">
        <v>32140</v>
      </c>
      <c r="G333" s="9" t="s">
        <v>1343</v>
      </c>
      <c r="H333" s="9">
        <f t="shared" ref="H333:O333" si="837">H1136</f>
        <v>78300</v>
      </c>
      <c r="I333" s="85">
        <f>IF(E333=H333,0,IF(E333=0,100,(H333-E333)/E333*100))</f>
        <v>-26.753975678203929</v>
      </c>
      <c r="J333" s="9">
        <f t="shared" si="837"/>
        <v>48600</v>
      </c>
      <c r="K333" s="9">
        <f t="shared" si="837"/>
        <v>126200</v>
      </c>
      <c r="L333" s="9">
        <f t="shared" si="837"/>
        <v>110100</v>
      </c>
      <c r="M333" s="9">
        <f t="shared" si="837"/>
        <v>92900</v>
      </c>
      <c r="N333" s="9">
        <f t="shared" si="837"/>
        <v>75700</v>
      </c>
      <c r="O333" s="9">
        <f t="shared" si="837"/>
        <v>65000</v>
      </c>
      <c r="P333" s="89">
        <f t="shared" ref="P333:Q333" si="838">P1136</f>
        <v>55000</v>
      </c>
      <c r="Q333" s="9">
        <f t="shared" si="838"/>
        <v>45000</v>
      </c>
      <c r="R333" s="9">
        <f t="shared" ref="R333" si="839">R1136</f>
        <v>34000</v>
      </c>
      <c r="S333" s="47">
        <f t="shared" ref="S333" si="840">S1136</f>
        <v>23000</v>
      </c>
    </row>
    <row r="334" spans="1:19" x14ac:dyDescent="0.2">
      <c r="A334" s="54"/>
      <c r="B334" s="9"/>
      <c r="E334" s="144"/>
      <c r="F334" s="167"/>
      <c r="G334" s="9"/>
      <c r="H334" s="9"/>
      <c r="I334" s="85"/>
      <c r="J334" s="9"/>
      <c r="K334" s="9"/>
      <c r="L334" s="9"/>
      <c r="M334" s="9"/>
      <c r="N334" s="9"/>
      <c r="O334" s="9"/>
      <c r="P334" s="89"/>
      <c r="Q334" s="9"/>
      <c r="R334" s="9"/>
      <c r="S334" s="47"/>
    </row>
    <row r="335" spans="1:19" x14ac:dyDescent="0.2">
      <c r="A335" s="54"/>
      <c r="B335" s="9"/>
      <c r="E335" s="144"/>
      <c r="F335" s="167"/>
      <c r="G335" s="21" t="str">
        <f>G101</f>
        <v>Non-Cash Expenses</v>
      </c>
      <c r="H335" s="9"/>
      <c r="I335" s="85"/>
      <c r="J335" s="9"/>
      <c r="K335" s="9"/>
      <c r="L335" s="9"/>
      <c r="M335" s="9"/>
      <c r="N335" s="9"/>
      <c r="O335" s="9"/>
      <c r="P335" s="89"/>
      <c r="Q335" s="9"/>
      <c r="R335" s="9"/>
      <c r="S335" s="47"/>
    </row>
    <row r="336" spans="1:19" x14ac:dyDescent="0.2">
      <c r="A336" s="54">
        <f>ROUND(A1138,-3)</f>
        <v>152000</v>
      </c>
      <c r="B336" s="9">
        <f t="shared" ref="B336:E337" si="841">B1138</f>
        <v>24800</v>
      </c>
      <c r="C336" s="136">
        <f t="shared" si="841"/>
        <v>102000</v>
      </c>
      <c r="D336" s="136">
        <f t="shared" si="841"/>
        <v>165300</v>
      </c>
      <c r="E336" s="144">
        <f t="shared" si="841"/>
        <v>100100</v>
      </c>
      <c r="F336" s="167">
        <v>32132</v>
      </c>
      <c r="G336" s="9" t="s">
        <v>159</v>
      </c>
      <c r="H336" s="9">
        <f t="shared" ref="H336:O336" si="842">H1138</f>
        <v>112200</v>
      </c>
      <c r="I336" s="85">
        <f>IF(E336=H336,0,IF(E336=0,100,(H336-E336)/E336*100))</f>
        <v>12.087912087912088</v>
      </c>
      <c r="J336" s="9">
        <f t="shared" si="842"/>
        <v>114500</v>
      </c>
      <c r="K336" s="9">
        <f t="shared" si="842"/>
        <v>116800</v>
      </c>
      <c r="L336" s="9">
        <f t="shared" si="842"/>
        <v>119200</v>
      </c>
      <c r="M336" s="9">
        <f t="shared" si="842"/>
        <v>121600</v>
      </c>
      <c r="N336" s="9">
        <f t="shared" si="842"/>
        <v>124100</v>
      </c>
      <c r="O336" s="9">
        <f t="shared" si="842"/>
        <v>126600</v>
      </c>
      <c r="P336" s="89">
        <f t="shared" ref="P336:Q336" si="843">P1138</f>
        <v>129200</v>
      </c>
      <c r="Q336" s="9">
        <f t="shared" si="843"/>
        <v>131800</v>
      </c>
      <c r="R336" s="9">
        <f t="shared" ref="R336" si="844">R1138</f>
        <v>134500</v>
      </c>
      <c r="S336" s="47">
        <f t="shared" ref="S336" si="845">S1138</f>
        <v>137200</v>
      </c>
    </row>
    <row r="337" spans="1:21" x14ac:dyDescent="0.2">
      <c r="A337" s="54">
        <f>ROUND(A1139,-3)</f>
        <v>478000</v>
      </c>
      <c r="B337" s="9">
        <f t="shared" si="841"/>
        <v>0</v>
      </c>
      <c r="C337" s="136">
        <f t="shared" si="841"/>
        <v>280600</v>
      </c>
      <c r="D337" s="136">
        <f t="shared" si="841"/>
        <v>413400</v>
      </c>
      <c r="E337" s="144">
        <f t="shared" si="841"/>
        <v>353000</v>
      </c>
      <c r="F337" s="167">
        <v>32132</v>
      </c>
      <c r="G337" s="9" t="s">
        <v>2057</v>
      </c>
      <c r="H337" s="9">
        <f t="shared" ref="H337:O337" si="846">H1139</f>
        <v>306000</v>
      </c>
      <c r="I337" s="85">
        <f>IF(E337=H337,0,IF(E337=0,100,(H337-E337)/E337*100))</f>
        <v>-13.314447592067987</v>
      </c>
      <c r="J337" s="9">
        <f t="shared" si="846"/>
        <v>312200</v>
      </c>
      <c r="K337" s="9">
        <f t="shared" si="846"/>
        <v>318500</v>
      </c>
      <c r="L337" s="9">
        <f t="shared" si="846"/>
        <v>324900</v>
      </c>
      <c r="M337" s="9">
        <f t="shared" si="846"/>
        <v>331400</v>
      </c>
      <c r="N337" s="9">
        <f t="shared" si="846"/>
        <v>338100</v>
      </c>
      <c r="O337" s="9">
        <f t="shared" si="846"/>
        <v>344900</v>
      </c>
      <c r="P337" s="89">
        <f t="shared" ref="P337:Q337" si="847">P1139</f>
        <v>351800</v>
      </c>
      <c r="Q337" s="9">
        <f t="shared" si="847"/>
        <v>358900</v>
      </c>
      <c r="R337" s="9">
        <f t="shared" ref="R337" si="848">R1139</f>
        <v>366100</v>
      </c>
      <c r="S337" s="47">
        <f t="shared" ref="S337" si="849">S1139</f>
        <v>373500</v>
      </c>
    </row>
    <row r="338" spans="1:21" x14ac:dyDescent="0.2">
      <c r="A338" s="54">
        <f>ROUND(A1200,-3)</f>
        <v>26000</v>
      </c>
      <c r="B338" s="9">
        <f>B1200</f>
        <v>44000</v>
      </c>
      <c r="C338" s="136">
        <f>C1200</f>
        <v>38700</v>
      </c>
      <c r="D338" s="136">
        <f>D1200</f>
        <v>33500</v>
      </c>
      <c r="E338" s="144">
        <f t="shared" ref="E338" si="850">E1200</f>
        <v>26300</v>
      </c>
      <c r="F338" s="167">
        <v>32132</v>
      </c>
      <c r="G338" s="79" t="s">
        <v>4804</v>
      </c>
      <c r="H338" s="9">
        <f t="shared" ref="H338:O338" si="851">H1200</f>
        <v>40800</v>
      </c>
      <c r="I338" s="85">
        <f>IF(E338=H338,0,IF(E338=0,100,(H338-E338)/E338*100))</f>
        <v>55.133079847908753</v>
      </c>
      <c r="J338" s="9">
        <f t="shared" si="851"/>
        <v>41700</v>
      </c>
      <c r="K338" s="9">
        <f t="shared" si="851"/>
        <v>42600</v>
      </c>
      <c r="L338" s="9">
        <f t="shared" si="851"/>
        <v>43500</v>
      </c>
      <c r="M338" s="9">
        <f t="shared" si="851"/>
        <v>44400</v>
      </c>
      <c r="N338" s="9">
        <f t="shared" si="851"/>
        <v>45300</v>
      </c>
      <c r="O338" s="9">
        <f t="shared" si="851"/>
        <v>46300</v>
      </c>
      <c r="P338" s="89">
        <f t="shared" ref="P338:Q338" si="852">P1200</f>
        <v>47300</v>
      </c>
      <c r="Q338" s="9">
        <f t="shared" si="852"/>
        <v>48300</v>
      </c>
      <c r="R338" s="9">
        <f t="shared" ref="R338" si="853">R1200</f>
        <v>49300</v>
      </c>
      <c r="S338" s="47">
        <f t="shared" ref="S338" si="854">S1200</f>
        <v>50300</v>
      </c>
    </row>
    <row r="339" spans="1:21" ht="13.5" thickBot="1" x14ac:dyDescent="0.25">
      <c r="A339" s="54"/>
      <c r="B339" s="9"/>
      <c r="E339" s="1442"/>
      <c r="F339" s="167"/>
      <c r="G339" s="257"/>
      <c r="H339" s="9"/>
      <c r="I339" s="85"/>
      <c r="J339" s="9"/>
      <c r="K339" s="9"/>
      <c r="L339" s="9"/>
      <c r="M339" s="9"/>
      <c r="N339" s="9"/>
      <c r="O339" s="9"/>
      <c r="P339" s="89"/>
      <c r="Q339" s="9"/>
      <c r="R339" s="9"/>
      <c r="S339" s="47"/>
    </row>
    <row r="340" spans="1:21" s="39" customFormat="1" x14ac:dyDescent="0.2">
      <c r="A340" s="52">
        <f>SUM(A316:A339)</f>
        <v>2264000</v>
      </c>
      <c r="B340" s="16">
        <f>SUM(B316:B339)</f>
        <v>1960000</v>
      </c>
      <c r="C340" s="137">
        <f>SUM(C316:C339)</f>
        <v>2286800</v>
      </c>
      <c r="D340" s="137">
        <f>SUM(D316:D339)</f>
        <v>2871400</v>
      </c>
      <c r="E340" s="1443">
        <f t="shared" ref="E340" si="855">SUM(E316:E339)</f>
        <v>2384300</v>
      </c>
      <c r="F340" s="173"/>
      <c r="G340" s="267" t="s">
        <v>556</v>
      </c>
      <c r="H340" s="16">
        <f t="shared" ref="H340:O340" si="856">SUM(H316:H339)</f>
        <v>2321000</v>
      </c>
      <c r="I340" s="127">
        <f>IF(E340=H340,0,IF(E340=0,100,(H340-E340)/E340*100))</f>
        <v>-2.6548672566371683</v>
      </c>
      <c r="J340" s="16">
        <f t="shared" si="856"/>
        <v>2177800</v>
      </c>
      <c r="K340" s="16">
        <f t="shared" si="856"/>
        <v>2408900</v>
      </c>
      <c r="L340" s="16">
        <f t="shared" si="856"/>
        <v>2347500</v>
      </c>
      <c r="M340" s="16">
        <f t="shared" si="856"/>
        <v>2488300</v>
      </c>
      <c r="N340" s="16">
        <f t="shared" si="856"/>
        <v>2426500</v>
      </c>
      <c r="O340" s="16">
        <f t="shared" si="856"/>
        <v>2578400</v>
      </c>
      <c r="P340" s="102">
        <f t="shared" ref="P340:Q340" si="857">SUM(P316:P339)</f>
        <v>2524000</v>
      </c>
      <c r="Q340" s="16">
        <f t="shared" si="857"/>
        <v>2681300</v>
      </c>
      <c r="R340" s="16">
        <f t="shared" ref="R340" si="858">SUM(R316:R339)</f>
        <v>2626800</v>
      </c>
      <c r="S340" s="2342">
        <f t="shared" ref="S340" si="859">SUM(S316:S339)</f>
        <v>2677800</v>
      </c>
      <c r="U340" s="34"/>
    </row>
    <row r="341" spans="1:21" x14ac:dyDescent="0.2">
      <c r="A341" s="54"/>
      <c r="B341" s="9"/>
      <c r="E341" s="1442"/>
      <c r="F341" s="167"/>
      <c r="G341" s="257"/>
      <c r="H341" s="9"/>
      <c r="I341" s="85"/>
      <c r="J341" s="9"/>
      <c r="K341" s="9"/>
      <c r="L341" s="9"/>
      <c r="M341" s="9"/>
      <c r="N341" s="9"/>
      <c r="O341" s="9"/>
      <c r="P341" s="89"/>
      <c r="Q341" s="9"/>
      <c r="R341" s="9"/>
      <c r="S341" s="47"/>
    </row>
    <row r="342" spans="1:21" s="39" customFormat="1" x14ac:dyDescent="0.2">
      <c r="A342" s="24">
        <f>A314-A340</f>
        <v>-1665300</v>
      </c>
      <c r="B342" s="21">
        <f>B314-B340</f>
        <v>-1054100</v>
      </c>
      <c r="C342" s="139">
        <f>C314-C340</f>
        <v>-1390300</v>
      </c>
      <c r="D342" s="139">
        <f>D314-D340</f>
        <v>-1496200</v>
      </c>
      <c r="E342" s="1444">
        <f t="shared" ref="E342" si="860">E314-E340</f>
        <v>-1416500</v>
      </c>
      <c r="F342" s="173"/>
      <c r="G342" s="361" t="s">
        <v>1002</v>
      </c>
      <c r="H342" s="21">
        <f t="shared" ref="H342:O342" si="861">H314-H340</f>
        <v>-1512900</v>
      </c>
      <c r="I342" s="126">
        <f>IF(E342=H342,0,IF(E342=0,100,(H342-E342)/E342*100))</f>
        <v>6.8055065301800211</v>
      </c>
      <c r="J342" s="21">
        <f t="shared" si="861"/>
        <v>-1407700</v>
      </c>
      <c r="K342" s="21">
        <f t="shared" si="861"/>
        <v>-1625200</v>
      </c>
      <c r="L342" s="21">
        <f t="shared" si="861"/>
        <v>-1550000</v>
      </c>
      <c r="M342" s="21">
        <f t="shared" si="861"/>
        <v>-1676800</v>
      </c>
      <c r="N342" s="21">
        <f t="shared" si="861"/>
        <v>-1600300</v>
      </c>
      <c r="O342" s="21">
        <f t="shared" si="861"/>
        <v>-1732200</v>
      </c>
      <c r="P342" s="75">
        <f t="shared" ref="P342:Q342" si="862">P314-P340</f>
        <v>-1656300</v>
      </c>
      <c r="Q342" s="21">
        <f t="shared" si="862"/>
        <v>-1791500</v>
      </c>
      <c r="R342" s="21">
        <f t="shared" ref="R342" si="863">R314-R340</f>
        <v>-1714300</v>
      </c>
      <c r="S342" s="86">
        <f t="shared" ref="S342" si="864">S314-S340</f>
        <v>-1742200</v>
      </c>
      <c r="U342" s="34"/>
    </row>
    <row r="343" spans="1:21" x14ac:dyDescent="0.2">
      <c r="A343" s="54">
        <f>ROUND(SUM(A335:A338),-3)</f>
        <v>656000</v>
      </c>
      <c r="B343" s="9">
        <f>SUM(B335:B338)</f>
        <v>68800</v>
      </c>
      <c r="C343" s="136">
        <f>SUM(C335:C338)</f>
        <v>421300</v>
      </c>
      <c r="D343" s="136">
        <f>SUM(D335:D338)</f>
        <v>612200</v>
      </c>
      <c r="E343" s="1442">
        <f t="shared" ref="E343" si="865">SUM(E335:E338)</f>
        <v>479400</v>
      </c>
      <c r="F343" s="167"/>
      <c r="G343" s="261" t="s">
        <v>1943</v>
      </c>
      <c r="H343" s="134">
        <f t="shared" ref="H343:O343" si="866">SUM(H335:H338)</f>
        <v>459000</v>
      </c>
      <c r="I343" s="126">
        <f>IF(E343=H343,0,IF(E343=0,100,(H343-E343)/E343*100))</f>
        <v>-4.2553191489361701</v>
      </c>
      <c r="J343" s="134">
        <f t="shared" si="866"/>
        <v>468400</v>
      </c>
      <c r="K343" s="134">
        <f t="shared" si="866"/>
        <v>477900</v>
      </c>
      <c r="L343" s="134">
        <f t="shared" si="866"/>
        <v>487600</v>
      </c>
      <c r="M343" s="134">
        <f t="shared" si="866"/>
        <v>497400</v>
      </c>
      <c r="N343" s="134">
        <f t="shared" si="866"/>
        <v>507500</v>
      </c>
      <c r="O343" s="134">
        <f t="shared" si="866"/>
        <v>517800</v>
      </c>
      <c r="P343" s="136">
        <f t="shared" ref="P343:Q343" si="867">SUM(P335:P338)</f>
        <v>528300</v>
      </c>
      <c r="Q343" s="134">
        <f t="shared" si="867"/>
        <v>539000</v>
      </c>
      <c r="R343" s="134">
        <f t="shared" ref="R343" si="868">SUM(R335:R338)</f>
        <v>549900</v>
      </c>
      <c r="S343" s="2359">
        <f t="shared" ref="S343" si="869">SUM(S335:S338)</f>
        <v>561000</v>
      </c>
    </row>
    <row r="344" spans="1:21" s="39" customFormat="1" x14ac:dyDescent="0.2">
      <c r="A344" s="128">
        <f>A342+A343</f>
        <v>-1009300</v>
      </c>
      <c r="B344" s="280">
        <f>B342+B343</f>
        <v>-985300</v>
      </c>
      <c r="C344" s="281">
        <f>C342+C343</f>
        <v>-969000</v>
      </c>
      <c r="D344" s="281">
        <f>D342+D343</f>
        <v>-884000</v>
      </c>
      <c r="E344" s="1515">
        <f t="shared" ref="E344" si="870">E342+E343</f>
        <v>-937100</v>
      </c>
      <c r="F344" s="372"/>
      <c r="G344" s="363" t="s">
        <v>1659</v>
      </c>
      <c r="H344" s="529">
        <f t="shared" ref="H344:O344" si="871">H342+H343</f>
        <v>-1053900</v>
      </c>
      <c r="I344" s="278">
        <f>IF(E344=H344,0,IF(E344=0,100,(H344-E344)/E344*100))</f>
        <v>12.463984633443602</v>
      </c>
      <c r="J344" s="529">
        <f t="shared" si="871"/>
        <v>-939300</v>
      </c>
      <c r="K344" s="529">
        <f t="shared" si="871"/>
        <v>-1147300</v>
      </c>
      <c r="L344" s="529">
        <f t="shared" si="871"/>
        <v>-1062400</v>
      </c>
      <c r="M344" s="529">
        <f t="shared" si="871"/>
        <v>-1179400</v>
      </c>
      <c r="N344" s="529">
        <f t="shared" si="871"/>
        <v>-1092800</v>
      </c>
      <c r="O344" s="529">
        <f t="shared" si="871"/>
        <v>-1214400</v>
      </c>
      <c r="P344" s="281">
        <f t="shared" ref="P344:Q344" si="872">P342+P343</f>
        <v>-1128000</v>
      </c>
      <c r="Q344" s="529">
        <f t="shared" si="872"/>
        <v>-1252500</v>
      </c>
      <c r="R344" s="529">
        <f t="shared" ref="R344" si="873">R342+R343</f>
        <v>-1164400</v>
      </c>
      <c r="S344" s="2410">
        <f t="shared" ref="S344" si="874">S342+S343</f>
        <v>-1181200</v>
      </c>
      <c r="U344" s="34"/>
    </row>
    <row r="345" spans="1:21" ht="13.5" thickBot="1" x14ac:dyDescent="0.25">
      <c r="A345" s="54"/>
      <c r="B345" s="9"/>
      <c r="E345" s="1442"/>
      <c r="F345" s="167"/>
      <c r="G345" s="257"/>
      <c r="H345" s="9"/>
      <c r="I345" s="85"/>
      <c r="J345" s="9"/>
      <c r="K345" s="9"/>
      <c r="L345" s="9"/>
      <c r="M345" s="9"/>
      <c r="N345" s="9"/>
      <c r="O345" s="9"/>
      <c r="P345" s="89"/>
      <c r="Q345" s="9"/>
      <c r="R345" s="9"/>
      <c r="S345" s="47"/>
    </row>
    <row r="346" spans="1:21" ht="13.5" thickTop="1" x14ac:dyDescent="0.2">
      <c r="A346" s="270"/>
      <c r="B346" s="109"/>
      <c r="C346" s="140"/>
      <c r="D346" s="140"/>
      <c r="E346" s="1516"/>
      <c r="F346" s="254"/>
      <c r="G346" s="258"/>
      <c r="H346" s="74"/>
      <c r="I346" s="352"/>
      <c r="J346" s="74"/>
      <c r="K346" s="74"/>
      <c r="L346" s="74"/>
      <c r="M346" s="74"/>
      <c r="N346" s="74"/>
      <c r="O346" s="74"/>
      <c r="P346" s="111"/>
      <c r="Q346" s="74"/>
      <c r="R346" s="74"/>
      <c r="S346" s="2345"/>
    </row>
    <row r="347" spans="1:21" x14ac:dyDescent="0.2">
      <c r="A347" s="24"/>
      <c r="B347" s="21"/>
      <c r="C347" s="139"/>
      <c r="D347" s="139"/>
      <c r="E347" s="143"/>
      <c r="F347" s="167"/>
      <c r="G347" s="361" t="s">
        <v>192</v>
      </c>
      <c r="H347" s="9"/>
      <c r="I347" s="126"/>
      <c r="J347" s="9"/>
      <c r="K347" s="9"/>
      <c r="L347" s="9"/>
      <c r="M347" s="9"/>
      <c r="N347" s="9"/>
      <c r="O347" s="9"/>
      <c r="P347" s="89"/>
      <c r="Q347" s="9"/>
      <c r="R347" s="9"/>
      <c r="S347" s="47"/>
    </row>
    <row r="348" spans="1:21" x14ac:dyDescent="0.2">
      <c r="A348" s="24"/>
      <c r="B348" s="21"/>
      <c r="C348" s="139"/>
      <c r="D348" s="139"/>
      <c r="E348" s="143"/>
      <c r="F348" s="167"/>
      <c r="G348" s="361"/>
      <c r="H348" s="9"/>
      <c r="I348" s="126"/>
      <c r="J348" s="9"/>
      <c r="K348" s="9"/>
      <c r="L348" s="9"/>
      <c r="M348" s="9"/>
      <c r="N348" s="9"/>
      <c r="O348" s="9"/>
      <c r="P348" s="89"/>
      <c r="Q348" s="9"/>
      <c r="R348" s="9"/>
      <c r="S348" s="47"/>
    </row>
    <row r="349" spans="1:21" x14ac:dyDescent="0.2">
      <c r="A349" s="54">
        <f t="shared" ref="A349:A353" si="875">ROUND(A1149+A1211,-3)</f>
        <v>375000</v>
      </c>
      <c r="B349" s="9">
        <f t="shared" ref="B349:C353" si="876">B1149+B1211</f>
        <v>448700</v>
      </c>
      <c r="C349" s="136">
        <f t="shared" si="876"/>
        <v>416500</v>
      </c>
      <c r="D349" s="136">
        <f t="shared" ref="D349:E353" si="877">D1149+D1211</f>
        <v>441900</v>
      </c>
      <c r="E349" s="144">
        <f t="shared" si="877"/>
        <v>469100</v>
      </c>
      <c r="F349" s="167"/>
      <c r="G349" s="257" t="s">
        <v>2848</v>
      </c>
      <c r="H349" s="9">
        <f t="shared" ref="H349:Q349" si="878">H1149+H1211</f>
        <v>498000</v>
      </c>
      <c r="I349" s="85">
        <f>IF(E349=H349,0,IF(E349=0,100,(H349-E349)/E349*100))</f>
        <v>6.1607333191217224</v>
      </c>
      <c r="J349" s="9">
        <f t="shared" si="878"/>
        <v>444800</v>
      </c>
      <c r="K349" s="9">
        <f t="shared" si="878"/>
        <v>350800</v>
      </c>
      <c r="L349" s="9">
        <f t="shared" si="878"/>
        <v>366900</v>
      </c>
      <c r="M349" s="9">
        <f t="shared" si="878"/>
        <v>384200</v>
      </c>
      <c r="N349" s="9">
        <f t="shared" si="878"/>
        <v>317000</v>
      </c>
      <c r="O349" s="9">
        <f t="shared" si="878"/>
        <v>243000</v>
      </c>
      <c r="P349" s="89">
        <f t="shared" si="878"/>
        <v>253000</v>
      </c>
      <c r="Q349" s="9">
        <f t="shared" si="878"/>
        <v>263000</v>
      </c>
      <c r="R349" s="9">
        <f t="shared" ref="R349" si="879">R1149+R1211</f>
        <v>274000</v>
      </c>
      <c r="S349" s="47">
        <f t="shared" ref="S349" si="880">S1149+S1211</f>
        <v>285000</v>
      </c>
    </row>
    <row r="350" spans="1:21" x14ac:dyDescent="0.2">
      <c r="A350" s="54">
        <f t="shared" si="875"/>
        <v>1085000</v>
      </c>
      <c r="B350" s="9">
        <f t="shared" si="876"/>
        <v>512300</v>
      </c>
      <c r="C350" s="136">
        <f t="shared" si="876"/>
        <v>2168800</v>
      </c>
      <c r="D350" s="136">
        <f t="shared" si="877"/>
        <v>2707300</v>
      </c>
      <c r="E350" s="144">
        <f t="shared" si="877"/>
        <v>413400</v>
      </c>
      <c r="F350" s="167"/>
      <c r="G350" s="257" t="s">
        <v>1909</v>
      </c>
      <c r="H350" s="9">
        <f t="shared" ref="H350:Q350" si="881">H1150+H1212</f>
        <v>74400</v>
      </c>
      <c r="I350" s="85">
        <f>IF(E350=H350,0,IF(E350=0,100,(H350-E350)/E350*100))</f>
        <v>-82.002902757619736</v>
      </c>
      <c r="J350" s="9">
        <f t="shared" si="881"/>
        <v>50000</v>
      </c>
      <c r="K350" s="9">
        <f t="shared" si="881"/>
        <v>50000</v>
      </c>
      <c r="L350" s="9">
        <f t="shared" si="881"/>
        <v>50000</v>
      </c>
      <c r="M350" s="9">
        <f t="shared" si="881"/>
        <v>50000</v>
      </c>
      <c r="N350" s="9">
        <f t="shared" si="881"/>
        <v>50000</v>
      </c>
      <c r="O350" s="9">
        <f t="shared" si="881"/>
        <v>50000</v>
      </c>
      <c r="P350" s="89">
        <f t="shared" si="881"/>
        <v>50000</v>
      </c>
      <c r="Q350" s="9">
        <f t="shared" si="881"/>
        <v>50000</v>
      </c>
      <c r="R350" s="9">
        <f t="shared" ref="R350" si="882">R1150+R1212</f>
        <v>50000</v>
      </c>
      <c r="S350" s="47">
        <f t="shared" ref="S350" si="883">S1150+S1212</f>
        <v>50000</v>
      </c>
    </row>
    <row r="351" spans="1:21" x14ac:dyDescent="0.2">
      <c r="A351" s="54">
        <f t="shared" si="875"/>
        <v>3019000</v>
      </c>
      <c r="B351" s="9">
        <f t="shared" si="876"/>
        <v>2484000</v>
      </c>
      <c r="C351" s="136">
        <f t="shared" si="876"/>
        <v>1382400</v>
      </c>
      <c r="D351" s="136">
        <f t="shared" si="877"/>
        <v>4818700</v>
      </c>
      <c r="E351" s="144">
        <f t="shared" si="877"/>
        <v>2267700</v>
      </c>
      <c r="F351" s="167"/>
      <c r="G351" s="257" t="s">
        <v>2309</v>
      </c>
      <c r="H351" s="9">
        <f t="shared" ref="H351:Q351" si="884">H1151+H1213</f>
        <v>1351700</v>
      </c>
      <c r="I351" s="85">
        <f>IF(E351=H351,0,IF(E351=0,100,(H351-E351)/E351*100))</f>
        <v>-40.393350090399963</v>
      </c>
      <c r="J351" s="9">
        <f t="shared" si="884"/>
        <v>749400</v>
      </c>
      <c r="K351" s="9">
        <f t="shared" si="884"/>
        <v>408000</v>
      </c>
      <c r="L351" s="9">
        <f t="shared" si="884"/>
        <v>308000</v>
      </c>
      <c r="M351" s="9">
        <f t="shared" si="884"/>
        <v>408000</v>
      </c>
      <c r="N351" s="9">
        <f t="shared" si="884"/>
        <v>308000</v>
      </c>
      <c r="O351" s="9">
        <f t="shared" si="884"/>
        <v>408000</v>
      </c>
      <c r="P351" s="89">
        <f t="shared" si="884"/>
        <v>308000</v>
      </c>
      <c r="Q351" s="9">
        <f t="shared" si="884"/>
        <v>408000</v>
      </c>
      <c r="R351" s="9">
        <f t="shared" ref="R351" si="885">R1151+R1213</f>
        <v>308000</v>
      </c>
      <c r="S351" s="47">
        <f t="shared" ref="S351" si="886">S1151+S1213</f>
        <v>408000</v>
      </c>
    </row>
    <row r="352" spans="1:21" x14ac:dyDescent="0.2">
      <c r="A352" s="54">
        <f t="shared" si="875"/>
        <v>1537000</v>
      </c>
      <c r="B352" s="9">
        <f t="shared" si="876"/>
        <v>608100</v>
      </c>
      <c r="C352" s="136">
        <f t="shared" si="876"/>
        <v>1817800</v>
      </c>
      <c r="D352" s="136">
        <f t="shared" si="877"/>
        <v>450200</v>
      </c>
      <c r="E352" s="144">
        <f t="shared" si="877"/>
        <v>124000</v>
      </c>
      <c r="F352" s="167"/>
      <c r="G352" s="257" t="s">
        <v>5847</v>
      </c>
      <c r="H352" s="9">
        <f t="shared" ref="H352:Q352" si="887">H1152+H1214</f>
        <v>1252900</v>
      </c>
      <c r="I352" s="85">
        <f>IF(E352=H352,0,IF(E352=0,100,(H352-E352)/E352*100))</f>
        <v>910.40322580645159</v>
      </c>
      <c r="J352" s="9">
        <f t="shared" si="887"/>
        <v>425000</v>
      </c>
      <c r="K352" s="9">
        <f t="shared" si="887"/>
        <v>0</v>
      </c>
      <c r="L352" s="9">
        <f t="shared" si="887"/>
        <v>0</v>
      </c>
      <c r="M352" s="9">
        <f t="shared" si="887"/>
        <v>0</v>
      </c>
      <c r="N352" s="9">
        <f t="shared" si="887"/>
        <v>0</v>
      </c>
      <c r="O352" s="9">
        <f t="shared" si="887"/>
        <v>0</v>
      </c>
      <c r="P352" s="89">
        <f t="shared" si="887"/>
        <v>0</v>
      </c>
      <c r="Q352" s="9">
        <f t="shared" si="887"/>
        <v>0</v>
      </c>
      <c r="R352" s="9">
        <f t="shared" ref="R352" si="888">R1152+R1214</f>
        <v>0</v>
      </c>
      <c r="S352" s="47">
        <f t="shared" ref="S352" si="889">S1152+S1214</f>
        <v>0</v>
      </c>
    </row>
    <row r="353" spans="1:21" x14ac:dyDescent="0.2">
      <c r="A353" s="54">
        <f t="shared" si="875"/>
        <v>3948000</v>
      </c>
      <c r="B353" s="9">
        <f t="shared" si="876"/>
        <v>2270500</v>
      </c>
      <c r="C353" s="136">
        <f t="shared" si="876"/>
        <v>2463700</v>
      </c>
      <c r="D353" s="136">
        <f t="shared" si="877"/>
        <v>2538500</v>
      </c>
      <c r="E353" s="144">
        <f t="shared" si="877"/>
        <v>2107400</v>
      </c>
      <c r="F353" s="167"/>
      <c r="G353" s="257" t="s">
        <v>958</v>
      </c>
      <c r="H353" s="9">
        <f t="shared" ref="H353:Q353" si="890">H1153+H1215</f>
        <v>2597000</v>
      </c>
      <c r="I353" s="85">
        <f>IF(E353=H353,0,IF(E353=0,100,(H353-E353)/E353*100))</f>
        <v>23.232419094618962</v>
      </c>
      <c r="J353" s="9">
        <f t="shared" si="890"/>
        <v>1360000</v>
      </c>
      <c r="K353" s="9">
        <f t="shared" si="890"/>
        <v>530000</v>
      </c>
      <c r="L353" s="9">
        <f t="shared" si="890"/>
        <v>543000</v>
      </c>
      <c r="M353" s="9">
        <f t="shared" si="890"/>
        <v>556000</v>
      </c>
      <c r="N353" s="9">
        <f t="shared" si="890"/>
        <v>570000</v>
      </c>
      <c r="O353" s="9">
        <f t="shared" si="890"/>
        <v>584000</v>
      </c>
      <c r="P353" s="89">
        <f t="shared" si="890"/>
        <v>598000</v>
      </c>
      <c r="Q353" s="9">
        <f t="shared" si="890"/>
        <v>613000</v>
      </c>
      <c r="R353" s="9">
        <f t="shared" ref="R353" si="891">R1153+R1215</f>
        <v>628000</v>
      </c>
      <c r="S353" s="47">
        <f t="shared" ref="S353" si="892">S1153+S1215</f>
        <v>644000</v>
      </c>
    </row>
    <row r="354" spans="1:21" x14ac:dyDescent="0.2">
      <c r="A354" s="54"/>
      <c r="B354" s="9"/>
      <c r="E354" s="144"/>
      <c r="F354" s="167"/>
      <c r="G354" s="361"/>
      <c r="H354" s="9"/>
      <c r="I354" s="85"/>
      <c r="J354" s="9"/>
      <c r="K354" s="9"/>
      <c r="L354" s="9"/>
      <c r="M354" s="9"/>
      <c r="N354" s="9"/>
      <c r="O354" s="9"/>
      <c r="P354" s="89"/>
      <c r="Q354" s="9"/>
      <c r="R354" s="9"/>
      <c r="S354" s="47"/>
    </row>
    <row r="355" spans="1:21" s="39" customFormat="1" x14ac:dyDescent="0.2">
      <c r="A355" s="128">
        <f>A344-A349-A350+A351++A352-A353</f>
        <v>-1861300</v>
      </c>
      <c r="B355" s="280">
        <f>B344-B349-B350+B351++B352-B353</f>
        <v>-1124700</v>
      </c>
      <c r="C355" s="281">
        <f>C344-C349-C350+C351++C352-C353</f>
        <v>-2817800</v>
      </c>
      <c r="D355" s="281">
        <f>D344-D349-D350+D351++D352-D353</f>
        <v>-1302800</v>
      </c>
      <c r="E355" s="1513">
        <f t="shared" ref="E355" si="893">E344-E349-E350+E351++E352-E353</f>
        <v>-1535300</v>
      </c>
      <c r="F355" s="372"/>
      <c r="G355" s="363" t="s">
        <v>2447</v>
      </c>
      <c r="H355" s="280">
        <f t="shared" ref="H355:O355" si="894">H344-H349-H350+H351++H352-H353</f>
        <v>-1618700</v>
      </c>
      <c r="I355" s="278">
        <f>IF(E355=H355,0,IF(E355=0,100,(H355-E355)/E355*100))</f>
        <v>5.4321630951605551</v>
      </c>
      <c r="J355" s="280">
        <f t="shared" si="894"/>
        <v>-1619700</v>
      </c>
      <c r="K355" s="280">
        <f t="shared" si="894"/>
        <v>-1670100</v>
      </c>
      <c r="L355" s="280">
        <f t="shared" si="894"/>
        <v>-1714300</v>
      </c>
      <c r="M355" s="280">
        <f t="shared" si="894"/>
        <v>-1761600</v>
      </c>
      <c r="N355" s="280">
        <f t="shared" si="894"/>
        <v>-1721800</v>
      </c>
      <c r="O355" s="280">
        <f t="shared" si="894"/>
        <v>-1683400</v>
      </c>
      <c r="P355" s="266">
        <f t="shared" ref="P355:Q355" si="895">P344-P349-P350+P351++P352-P353</f>
        <v>-1721000</v>
      </c>
      <c r="Q355" s="280">
        <f t="shared" si="895"/>
        <v>-1770500</v>
      </c>
      <c r="R355" s="280">
        <f t="shared" ref="R355" si="896">R344-R349-R350+R351++R352-R353</f>
        <v>-1808400</v>
      </c>
      <c r="S355" s="2343">
        <f t="shared" ref="S355" si="897">S344-S349-S350+S351++S352-S353</f>
        <v>-1752200</v>
      </c>
      <c r="U355" s="34"/>
    </row>
    <row r="356" spans="1:21" ht="13.5" thickBot="1" x14ac:dyDescent="0.25">
      <c r="A356" s="26"/>
      <c r="B356" s="37"/>
      <c r="C356" s="141"/>
      <c r="D356" s="141"/>
      <c r="E356" s="1437"/>
      <c r="F356" s="166"/>
      <c r="G356" s="259"/>
      <c r="H356" s="23"/>
      <c r="I356" s="275"/>
      <c r="J356" s="23"/>
      <c r="K356" s="23"/>
      <c r="L356" s="23"/>
      <c r="M356" s="23"/>
      <c r="N356" s="23"/>
      <c r="O356" s="23"/>
      <c r="P356" s="113"/>
      <c r="Q356" s="23"/>
      <c r="R356" s="23"/>
      <c r="S356" s="112"/>
    </row>
    <row r="357" spans="1:21" s="46" customFormat="1" ht="14.25" customHeight="1" thickTop="1" thickBot="1" x14ac:dyDescent="0.25">
      <c r="C357" s="144"/>
      <c r="D357" s="144"/>
      <c r="E357" s="144"/>
      <c r="F357" s="165"/>
      <c r="I357" s="70"/>
      <c r="U357" s="34"/>
    </row>
    <row r="358" spans="1:21" s="38" customFormat="1" ht="18.75" customHeight="1" thickTop="1" thickBot="1" x14ac:dyDescent="0.3">
      <c r="A358" s="2588" t="s">
        <v>301</v>
      </c>
      <c r="B358" s="2589"/>
      <c r="C358" s="2589"/>
      <c r="D358" s="2589"/>
      <c r="E358" s="2589"/>
      <c r="F358" s="2589"/>
      <c r="G358" s="2589"/>
      <c r="H358" s="2589"/>
      <c r="I358" s="2589"/>
      <c r="J358" s="2589"/>
      <c r="K358" s="2589"/>
      <c r="L358" s="2589"/>
      <c r="M358" s="2589"/>
      <c r="N358" s="2589"/>
      <c r="O358" s="2589"/>
      <c r="P358" s="2589"/>
      <c r="Q358" s="2589"/>
      <c r="R358" s="2589"/>
      <c r="S358" s="2590"/>
      <c r="U358" s="34"/>
    </row>
    <row r="359" spans="1:21" s="39" customFormat="1" ht="13.5" thickBot="1" x14ac:dyDescent="0.25">
      <c r="A359" s="2591" t="s">
        <v>1824</v>
      </c>
      <c r="B359" s="2577"/>
      <c r="C359" s="2577"/>
      <c r="D359" s="2577"/>
      <c r="E359" s="2592"/>
      <c r="F359" s="127" t="s">
        <v>2616</v>
      </c>
      <c r="G359" s="127" t="s">
        <v>2213</v>
      </c>
      <c r="H359" s="2568" t="s">
        <v>2215</v>
      </c>
      <c r="I359" s="2568"/>
      <c r="J359" s="2568"/>
      <c r="K359" s="2568"/>
      <c r="L359" s="2568"/>
      <c r="M359" s="2568"/>
      <c r="N359" s="2568"/>
      <c r="O359" s="2568"/>
      <c r="P359" s="2568"/>
      <c r="Q359" s="2568"/>
      <c r="R359" s="2568"/>
      <c r="S359" s="2607"/>
      <c r="U359" s="34"/>
    </row>
    <row r="360" spans="1:21" ht="12.75" customHeight="1" thickBot="1" x14ac:dyDescent="0.25">
      <c r="A360" s="541" t="str">
        <f>A3</f>
        <v>2012/13</v>
      </c>
      <c r="B360" s="28" t="str">
        <f>B3</f>
        <v>2013/14</v>
      </c>
      <c r="C360" s="40" t="str">
        <f>C3</f>
        <v>2014/15</v>
      </c>
      <c r="D360" s="40" t="str">
        <f>D3</f>
        <v>2015/16</v>
      </c>
      <c r="E360" s="40" t="str">
        <f>E3</f>
        <v>2016/17</v>
      </c>
      <c r="F360" s="40" t="s">
        <v>2617</v>
      </c>
      <c r="G360" s="41"/>
      <c r="H360" s="40" t="str">
        <f>H3</f>
        <v>2017/18</v>
      </c>
      <c r="I360" s="1258" t="str">
        <f>I241</f>
        <v xml:space="preserve">% </v>
      </c>
      <c r="J360" s="40" t="str">
        <f t="shared" ref="J360:S360" si="898">J3</f>
        <v>2018/19</v>
      </c>
      <c r="K360" s="40" t="str">
        <f t="shared" si="898"/>
        <v>2019/20</v>
      </c>
      <c r="L360" s="40" t="str">
        <f t="shared" si="898"/>
        <v>2020/21</v>
      </c>
      <c r="M360" s="40" t="str">
        <f t="shared" si="898"/>
        <v>2021/22</v>
      </c>
      <c r="N360" s="40" t="str">
        <f t="shared" si="898"/>
        <v>2022/23</v>
      </c>
      <c r="O360" s="40" t="str">
        <f t="shared" si="898"/>
        <v>2023/24</v>
      </c>
      <c r="P360" s="40" t="str">
        <f t="shared" si="898"/>
        <v>2024/25</v>
      </c>
      <c r="Q360" s="28" t="str">
        <f t="shared" si="898"/>
        <v>2025/26</v>
      </c>
      <c r="R360" s="28" t="str">
        <f t="shared" si="898"/>
        <v>2026/27</v>
      </c>
      <c r="S360" s="1620" t="str">
        <f t="shared" si="898"/>
        <v>2027/28</v>
      </c>
    </row>
    <row r="361" spans="1:21" x14ac:dyDescent="0.2">
      <c r="A361" s="45"/>
      <c r="B361" s="9"/>
      <c r="C361" s="134"/>
      <c r="D361" s="134"/>
      <c r="E361" s="134"/>
      <c r="F361" s="1152"/>
      <c r="G361" s="29"/>
      <c r="H361" s="9"/>
      <c r="I361" s="85"/>
      <c r="J361" s="9"/>
      <c r="K361" s="9"/>
      <c r="L361" s="9"/>
      <c r="M361" s="9"/>
      <c r="N361" s="9"/>
      <c r="O361" s="9"/>
      <c r="P361" s="9"/>
      <c r="Q361" s="9"/>
      <c r="R361" s="9"/>
      <c r="S361" s="61"/>
    </row>
    <row r="362" spans="1:21" x14ac:dyDescent="0.2">
      <c r="A362" s="45"/>
      <c r="B362" s="9"/>
      <c r="C362" s="134"/>
      <c r="D362" s="134"/>
      <c r="E362" s="134"/>
      <c r="F362" s="1152"/>
      <c r="G362" s="50" t="s">
        <v>1056</v>
      </c>
      <c r="H362" s="9"/>
      <c r="I362" s="85"/>
      <c r="J362" s="9"/>
      <c r="K362" s="9"/>
      <c r="L362" s="9"/>
      <c r="M362" s="9"/>
      <c r="N362" s="9"/>
      <c r="O362" s="9"/>
      <c r="P362" s="9"/>
      <c r="Q362" s="9"/>
      <c r="R362" s="9"/>
      <c r="S362" s="61"/>
    </row>
    <row r="363" spans="1:21" x14ac:dyDescent="0.2">
      <c r="A363" s="45"/>
      <c r="B363" s="9"/>
      <c r="C363" s="134"/>
      <c r="D363" s="134"/>
      <c r="E363" s="134"/>
      <c r="F363" s="1152"/>
      <c r="G363" s="29"/>
      <c r="H363" s="9"/>
      <c r="I363" s="85"/>
      <c r="J363" s="9"/>
      <c r="K363" s="9"/>
      <c r="L363" s="9"/>
      <c r="M363" s="9"/>
      <c r="N363" s="9"/>
      <c r="O363" s="9"/>
      <c r="P363" s="9"/>
      <c r="Q363" s="9"/>
      <c r="R363" s="9"/>
      <c r="S363" s="61"/>
    </row>
    <row r="364" spans="1:21" x14ac:dyDescent="0.2">
      <c r="A364" s="45"/>
      <c r="B364" s="9"/>
      <c r="C364" s="134"/>
      <c r="D364" s="134"/>
      <c r="E364" s="134"/>
      <c r="F364" s="1152"/>
      <c r="G364" s="32" t="s">
        <v>2829</v>
      </c>
      <c r="H364" s="9"/>
      <c r="I364" s="85"/>
      <c r="J364" s="9"/>
      <c r="K364" s="9"/>
      <c r="L364" s="9"/>
      <c r="M364" s="9"/>
      <c r="N364" s="9"/>
      <c r="O364" s="9"/>
      <c r="P364" s="9"/>
      <c r="Q364" s="9"/>
      <c r="R364" s="9"/>
      <c r="S364" s="61"/>
    </row>
    <row r="365" spans="1:21" x14ac:dyDescent="0.2">
      <c r="A365" s="54">
        <f>ROUND(SUM(A1228),-3)</f>
        <v>47000</v>
      </c>
      <c r="B365" s="9">
        <f>SUM(B1228)</f>
        <v>0</v>
      </c>
      <c r="C365" s="136">
        <f>SUM(C1228)</f>
        <v>0</v>
      </c>
      <c r="D365" s="136">
        <f>SUM(D1228)</f>
        <v>0</v>
      </c>
      <c r="E365" s="134">
        <f t="shared" ref="E365" si="899">SUM(E1228)</f>
        <v>0</v>
      </c>
      <c r="F365" s="1152">
        <v>22220</v>
      </c>
      <c r="G365" s="1173" t="s">
        <v>947</v>
      </c>
      <c r="H365" s="9">
        <f t="shared" ref="H365:O365" si="900">SUM(H1228)</f>
        <v>0</v>
      </c>
      <c r="I365" s="85">
        <f>IF(E365=H365,0,IF(E365=0,100,(H365-E365)/E365*100))</f>
        <v>0</v>
      </c>
      <c r="J365" s="9">
        <f t="shared" si="900"/>
        <v>0</v>
      </c>
      <c r="K365" s="9">
        <f t="shared" si="900"/>
        <v>0</v>
      </c>
      <c r="L365" s="9">
        <f t="shared" si="900"/>
        <v>0</v>
      </c>
      <c r="M365" s="9">
        <f t="shared" si="900"/>
        <v>0</v>
      </c>
      <c r="N365" s="9">
        <f t="shared" si="900"/>
        <v>0</v>
      </c>
      <c r="O365" s="9">
        <f t="shared" si="900"/>
        <v>0</v>
      </c>
      <c r="P365" s="9">
        <f t="shared" ref="P365:Q365" si="901">SUM(P1228)</f>
        <v>0</v>
      </c>
      <c r="Q365" s="9">
        <f t="shared" si="901"/>
        <v>0</v>
      </c>
      <c r="R365" s="9">
        <f t="shared" ref="R365" si="902">SUM(R1228)</f>
        <v>0</v>
      </c>
      <c r="S365" s="47">
        <f t="shared" ref="S365" si="903">SUM(S1228)</f>
        <v>0</v>
      </c>
    </row>
    <row r="366" spans="1:21" x14ac:dyDescent="0.2">
      <c r="A366" s="54">
        <f>ROUND(SUM(A1229:A1229)+A1227,-3)-1000</f>
        <v>68000</v>
      </c>
      <c r="B366" s="9">
        <f>SUM(B1229:B1229)+B1227</f>
        <v>0</v>
      </c>
      <c r="C366" s="136">
        <f>SUM(C1229:C1229)+C1227</f>
        <v>0</v>
      </c>
      <c r="D366" s="136">
        <f>SUM(D1229:D1229)+D1227</f>
        <v>0</v>
      </c>
      <c r="E366" s="134">
        <f t="shared" ref="E366" si="904">SUM(E1229:E1229)+E1227</f>
        <v>0</v>
      </c>
      <c r="F366" s="1152">
        <v>22220</v>
      </c>
      <c r="G366" s="1173" t="s">
        <v>1893</v>
      </c>
      <c r="H366" s="9">
        <f t="shared" ref="H366:O366" si="905">SUM(H1229:H1229)+H1227</f>
        <v>0</v>
      </c>
      <c r="I366" s="85">
        <f>IF(E366=H366,0,IF(E366=0,100,(H366-E366)/E366*100))</f>
        <v>0</v>
      </c>
      <c r="J366" s="9">
        <f t="shared" si="905"/>
        <v>0</v>
      </c>
      <c r="K366" s="9">
        <f t="shared" si="905"/>
        <v>0</v>
      </c>
      <c r="L366" s="9">
        <f t="shared" si="905"/>
        <v>0</v>
      </c>
      <c r="M366" s="9">
        <f t="shared" si="905"/>
        <v>0</v>
      </c>
      <c r="N366" s="9">
        <f t="shared" si="905"/>
        <v>0</v>
      </c>
      <c r="O366" s="9">
        <f t="shared" si="905"/>
        <v>0</v>
      </c>
      <c r="P366" s="9">
        <f t="shared" ref="P366:Q366" si="906">SUM(P1229:P1229)+P1227</f>
        <v>0</v>
      </c>
      <c r="Q366" s="9">
        <f t="shared" si="906"/>
        <v>0</v>
      </c>
      <c r="R366" s="9">
        <f t="shared" ref="R366" si="907">SUM(R1229:R1229)+R1227</f>
        <v>0</v>
      </c>
      <c r="S366" s="47">
        <f t="shared" ref="S366" si="908">SUM(S1229:S1229)+S1227</f>
        <v>0</v>
      </c>
    </row>
    <row r="367" spans="1:21" x14ac:dyDescent="0.2">
      <c r="A367" s="54"/>
      <c r="B367" s="9"/>
      <c r="E367" s="134"/>
      <c r="F367" s="1152"/>
      <c r="G367" s="1173"/>
      <c r="H367" s="9"/>
      <c r="I367" s="85"/>
      <c r="J367" s="9"/>
      <c r="K367" s="9"/>
      <c r="L367" s="9"/>
      <c r="M367" s="9"/>
      <c r="N367" s="9"/>
      <c r="O367" s="9"/>
      <c r="P367" s="9"/>
      <c r="Q367" s="9"/>
      <c r="R367" s="9"/>
      <c r="S367" s="47"/>
    </row>
    <row r="368" spans="1:21" x14ac:dyDescent="0.2">
      <c r="A368" s="54"/>
      <c r="B368" s="9"/>
      <c r="E368" s="134"/>
      <c r="F368" s="1152"/>
      <c r="G368" s="122" t="s">
        <v>205</v>
      </c>
      <c r="H368" s="9"/>
      <c r="I368" s="85"/>
      <c r="J368" s="9"/>
      <c r="K368" s="9"/>
      <c r="L368" s="9"/>
      <c r="M368" s="9"/>
      <c r="N368" s="9"/>
      <c r="O368" s="9"/>
      <c r="P368" s="9"/>
      <c r="Q368" s="9"/>
      <c r="R368" s="9"/>
      <c r="S368" s="47"/>
    </row>
    <row r="369" spans="1:21" ht="12" customHeight="1" x14ac:dyDescent="0.2">
      <c r="A369" s="54">
        <f>ROUND(SUM(A1230:A1233),-3)</f>
        <v>562000</v>
      </c>
      <c r="B369" s="9">
        <f>SUM(B1230:B1233)</f>
        <v>926000</v>
      </c>
      <c r="C369" s="136">
        <f>SUM(C1230:C1233)</f>
        <v>866500</v>
      </c>
      <c r="D369" s="136">
        <f>SUM(D1230:D1233)</f>
        <v>876000</v>
      </c>
      <c r="E369" s="134">
        <f>SUM(E1230:E1233)</f>
        <v>1003200</v>
      </c>
      <c r="F369" s="1152">
        <v>22220</v>
      </c>
      <c r="G369" s="1463" t="s">
        <v>2660</v>
      </c>
      <c r="H369" s="9">
        <f>SUM(H1230:H1233)</f>
        <v>746000</v>
      </c>
      <c r="I369" s="85">
        <f>IF(E369=H369,0,IF(E369=0,100,(H369-E369)/E369*100))</f>
        <v>-25.637958532695375</v>
      </c>
      <c r="J369" s="9">
        <f t="shared" ref="J369:S369" si="909">SUM(J1230:J1233)</f>
        <v>763900</v>
      </c>
      <c r="K369" s="9">
        <f t="shared" si="909"/>
        <v>783600</v>
      </c>
      <c r="L369" s="9">
        <f t="shared" si="909"/>
        <v>803600</v>
      </c>
      <c r="M369" s="9">
        <f t="shared" si="909"/>
        <v>824100</v>
      </c>
      <c r="N369" s="9">
        <f t="shared" si="909"/>
        <v>845200</v>
      </c>
      <c r="O369" s="9">
        <f t="shared" si="909"/>
        <v>866800</v>
      </c>
      <c r="P369" s="9">
        <f t="shared" si="909"/>
        <v>888900</v>
      </c>
      <c r="Q369" s="9">
        <f t="shared" si="909"/>
        <v>911400</v>
      </c>
      <c r="R369" s="9">
        <f t="shared" si="909"/>
        <v>934600</v>
      </c>
      <c r="S369" s="47">
        <f t="shared" si="909"/>
        <v>958300</v>
      </c>
    </row>
    <row r="370" spans="1:21" ht="13.5" thickBot="1" x14ac:dyDescent="0.25">
      <c r="A370" s="54"/>
      <c r="B370" s="9"/>
      <c r="C370" s="134"/>
      <c r="D370" s="134"/>
      <c r="E370" s="134"/>
      <c r="F370" s="1152"/>
      <c r="G370" s="29"/>
      <c r="H370" s="9"/>
      <c r="I370" s="85"/>
      <c r="J370" s="9"/>
      <c r="K370" s="9"/>
      <c r="L370" s="9"/>
      <c r="M370" s="9"/>
      <c r="N370" s="9"/>
      <c r="O370" s="9"/>
      <c r="P370" s="9"/>
      <c r="Q370" s="9"/>
      <c r="R370" s="9"/>
      <c r="S370" s="47"/>
    </row>
    <row r="371" spans="1:21" s="39" customFormat="1" x14ac:dyDescent="0.2">
      <c r="A371" s="52">
        <f>SUM(A362:A370)</f>
        <v>677000</v>
      </c>
      <c r="B371" s="16">
        <f>SUM(B362:B370)</f>
        <v>926000</v>
      </c>
      <c r="C371" s="145">
        <f>SUM(C362:C370)</f>
        <v>866500</v>
      </c>
      <c r="D371" s="145">
        <f>SUM(D362:D370)</f>
        <v>876000</v>
      </c>
      <c r="E371" s="145">
        <f t="shared" ref="E371" si="910">SUM(E362:E370)</f>
        <v>1003200</v>
      </c>
      <c r="F371" s="163"/>
      <c r="G371" s="1158" t="s">
        <v>2561</v>
      </c>
      <c r="H371" s="16">
        <f t="shared" ref="H371:O371" si="911">SUM(H362:H370)</f>
        <v>746000</v>
      </c>
      <c r="I371" s="127">
        <f>IF(E371=H371,0,IF(E371=0,100,(H371-E371)/E371*100))</f>
        <v>-25.637958532695375</v>
      </c>
      <c r="J371" s="16">
        <f t="shared" si="911"/>
        <v>763900</v>
      </c>
      <c r="K371" s="16">
        <f t="shared" si="911"/>
        <v>783600</v>
      </c>
      <c r="L371" s="16">
        <f t="shared" si="911"/>
        <v>803600</v>
      </c>
      <c r="M371" s="16">
        <f t="shared" si="911"/>
        <v>824100</v>
      </c>
      <c r="N371" s="16">
        <f t="shared" si="911"/>
        <v>845200</v>
      </c>
      <c r="O371" s="16">
        <f t="shared" si="911"/>
        <v>866800</v>
      </c>
      <c r="P371" s="16">
        <f t="shared" ref="P371:Q371" si="912">SUM(P362:P370)</f>
        <v>888900</v>
      </c>
      <c r="Q371" s="16">
        <f t="shared" si="912"/>
        <v>911400</v>
      </c>
      <c r="R371" s="16">
        <f t="shared" ref="R371" si="913">SUM(R362:R370)</f>
        <v>934600</v>
      </c>
      <c r="S371" s="2342">
        <f t="shared" ref="S371" si="914">SUM(S362:S370)</f>
        <v>958300</v>
      </c>
      <c r="U371" s="34"/>
    </row>
    <row r="372" spans="1:21" x14ac:dyDescent="0.2">
      <c r="A372" s="45"/>
      <c r="B372" s="9"/>
      <c r="C372" s="134"/>
      <c r="D372" s="134"/>
      <c r="E372" s="134"/>
      <c r="F372" s="1152"/>
      <c r="G372" s="32"/>
      <c r="H372" s="9"/>
      <c r="I372" s="85"/>
      <c r="J372" s="9"/>
      <c r="K372" s="9"/>
      <c r="L372" s="9"/>
      <c r="M372" s="9"/>
      <c r="N372" s="9"/>
      <c r="O372" s="9"/>
      <c r="P372" s="9"/>
      <c r="Q372" s="9"/>
      <c r="R372" s="9"/>
      <c r="S372" s="47"/>
    </row>
    <row r="373" spans="1:21" ht="12.75" customHeight="1" x14ac:dyDescent="0.2">
      <c r="A373" s="45"/>
      <c r="B373" s="9"/>
      <c r="C373" s="134"/>
      <c r="D373" s="134"/>
      <c r="E373" s="134"/>
      <c r="F373" s="1152"/>
      <c r="G373" s="50" t="s">
        <v>2169</v>
      </c>
      <c r="H373" s="9"/>
      <c r="I373" s="85"/>
      <c r="J373" s="9"/>
      <c r="K373" s="9"/>
      <c r="L373" s="9"/>
      <c r="M373" s="9"/>
      <c r="N373" s="9"/>
      <c r="O373" s="9"/>
      <c r="P373" s="9"/>
      <c r="Q373" s="9"/>
      <c r="R373" s="9"/>
      <c r="S373" s="47"/>
    </row>
    <row r="374" spans="1:21" ht="12.75" customHeight="1" x14ac:dyDescent="0.2">
      <c r="A374" s="45"/>
      <c r="B374" s="9"/>
      <c r="C374" s="134"/>
      <c r="D374" s="134"/>
      <c r="E374" s="134"/>
      <c r="F374" s="1152"/>
      <c r="G374" s="50"/>
      <c r="H374" s="9"/>
      <c r="I374" s="85"/>
      <c r="J374" s="9"/>
      <c r="K374" s="9"/>
      <c r="L374" s="9"/>
      <c r="M374" s="9"/>
      <c r="N374" s="9"/>
      <c r="O374" s="9"/>
      <c r="P374" s="9"/>
      <c r="Q374" s="9"/>
      <c r="R374" s="9"/>
      <c r="S374" s="47"/>
    </row>
    <row r="375" spans="1:21" ht="12.75" customHeight="1" x14ac:dyDescent="0.2">
      <c r="A375" s="54">
        <f>ROUND(SUM(A1238:A1239),-3)</f>
        <v>98000</v>
      </c>
      <c r="B375" s="9">
        <f>SUM(B1238:B1239)</f>
        <v>0</v>
      </c>
      <c r="C375" s="136">
        <f>SUM(C1238:C1239)</f>
        <v>0</v>
      </c>
      <c r="D375" s="136">
        <f>SUM(D1238:D1239)</f>
        <v>0</v>
      </c>
      <c r="E375" s="134">
        <f>SUM(E1238:E1239)</f>
        <v>0</v>
      </c>
      <c r="F375" s="1152">
        <v>32255</v>
      </c>
      <c r="G375" s="29" t="s">
        <v>2151</v>
      </c>
      <c r="H375" s="9">
        <f t="shared" ref="H375:Q375" si="915">SUM(H1238:H1239)</f>
        <v>0</v>
      </c>
      <c r="I375" s="85">
        <f>IF(E375=H375,0,IF(E375=0,100,(H375-E375)/E375*100))</f>
        <v>0</v>
      </c>
      <c r="J375" s="9">
        <f t="shared" si="915"/>
        <v>0</v>
      </c>
      <c r="K375" s="9">
        <f t="shared" si="915"/>
        <v>0</v>
      </c>
      <c r="L375" s="9">
        <f t="shared" si="915"/>
        <v>0</v>
      </c>
      <c r="M375" s="9">
        <f t="shared" si="915"/>
        <v>0</v>
      </c>
      <c r="N375" s="9">
        <f t="shared" si="915"/>
        <v>0</v>
      </c>
      <c r="O375" s="9">
        <f t="shared" si="915"/>
        <v>0</v>
      </c>
      <c r="P375" s="9">
        <f t="shared" si="915"/>
        <v>0</v>
      </c>
      <c r="Q375" s="9">
        <f t="shared" si="915"/>
        <v>0</v>
      </c>
      <c r="R375" s="9">
        <f t="shared" ref="R375" si="916">SUM(R1238:R1239)</f>
        <v>0</v>
      </c>
      <c r="S375" s="47">
        <f t="shared" ref="S375" si="917">SUM(S1238:S1239)</f>
        <v>0</v>
      </c>
    </row>
    <row r="376" spans="1:21" ht="12.75" customHeight="1" x14ac:dyDescent="0.2">
      <c r="A376" s="54">
        <f>ROUND(SUM(A1241:A1243),-3)</f>
        <v>21000</v>
      </c>
      <c r="B376" s="9">
        <f>SUM(B1241:B1243)</f>
        <v>0</v>
      </c>
      <c r="C376" s="136">
        <f>SUM(C1241:C1243)</f>
        <v>0</v>
      </c>
      <c r="D376" s="136">
        <f>SUM(D1241:D1243)</f>
        <v>0</v>
      </c>
      <c r="E376" s="134">
        <f t="shared" ref="E376" si="918">SUM(E1241:E1243)</f>
        <v>0</v>
      </c>
      <c r="F376" s="1152">
        <v>32220</v>
      </c>
      <c r="G376" s="29" t="s">
        <v>2719</v>
      </c>
      <c r="H376" s="9">
        <f t="shared" ref="H376:O376" si="919">SUM(H1241:H1243)</f>
        <v>0</v>
      </c>
      <c r="I376" s="85">
        <f>IF(E376=H376,0,IF(E376=0,100,(H376-E376)/E376*100))</f>
        <v>0</v>
      </c>
      <c r="J376" s="9">
        <f t="shared" si="919"/>
        <v>0</v>
      </c>
      <c r="K376" s="9">
        <f t="shared" si="919"/>
        <v>0</v>
      </c>
      <c r="L376" s="9">
        <f t="shared" si="919"/>
        <v>0</v>
      </c>
      <c r="M376" s="9">
        <f t="shared" si="919"/>
        <v>0</v>
      </c>
      <c r="N376" s="9">
        <f t="shared" si="919"/>
        <v>0</v>
      </c>
      <c r="O376" s="9">
        <f t="shared" si="919"/>
        <v>0</v>
      </c>
      <c r="P376" s="9">
        <f t="shared" ref="P376:Q376" si="920">SUM(P1241:P1243)</f>
        <v>0</v>
      </c>
      <c r="Q376" s="9">
        <f t="shared" si="920"/>
        <v>0</v>
      </c>
      <c r="R376" s="9">
        <f t="shared" ref="R376" si="921">SUM(R1241:R1243)</f>
        <v>0</v>
      </c>
      <c r="S376" s="47">
        <f t="shared" ref="S376" si="922">SUM(S1241:S1243)</f>
        <v>0</v>
      </c>
    </row>
    <row r="377" spans="1:21" x14ac:dyDescent="0.2">
      <c r="A377" s="516">
        <f>ROUND(SUM(A1244:A1256),-3)</f>
        <v>611000</v>
      </c>
      <c r="B377" s="255">
        <f>SUM(B1244:B1256)</f>
        <v>749800</v>
      </c>
      <c r="C377" s="136">
        <f>SUM(C1244:C1256)</f>
        <v>669200</v>
      </c>
      <c r="D377" s="136">
        <f>SUM(D1244:D1256)</f>
        <v>770000</v>
      </c>
      <c r="E377" s="134">
        <f>SUM(E1244:E1256)</f>
        <v>915100</v>
      </c>
      <c r="F377" s="1152">
        <v>32250</v>
      </c>
      <c r="G377" s="29" t="s">
        <v>2291</v>
      </c>
      <c r="H377" s="9">
        <f>SUM(H1244:H1256)</f>
        <v>586000</v>
      </c>
      <c r="I377" s="85">
        <f>IF(E377=H377,0,IF(E377=0,100,(H377-E377)/E377*100))</f>
        <v>-35.96328270134412</v>
      </c>
      <c r="J377" s="9">
        <f t="shared" ref="J377:S377" si="923">SUM(J1244:J1256)</f>
        <v>763900</v>
      </c>
      <c r="K377" s="9">
        <f t="shared" si="923"/>
        <v>783600</v>
      </c>
      <c r="L377" s="9">
        <f t="shared" si="923"/>
        <v>803600</v>
      </c>
      <c r="M377" s="9">
        <f t="shared" si="923"/>
        <v>824100</v>
      </c>
      <c r="N377" s="9">
        <f t="shared" si="923"/>
        <v>845200</v>
      </c>
      <c r="O377" s="9">
        <f t="shared" si="923"/>
        <v>866800</v>
      </c>
      <c r="P377" s="9">
        <f t="shared" si="923"/>
        <v>888900</v>
      </c>
      <c r="Q377" s="9">
        <f t="shared" si="923"/>
        <v>911400</v>
      </c>
      <c r="R377" s="9">
        <f t="shared" si="923"/>
        <v>934600</v>
      </c>
      <c r="S377" s="47">
        <f t="shared" si="923"/>
        <v>958300</v>
      </c>
    </row>
    <row r="378" spans="1:21" ht="13.5" thickBot="1" x14ac:dyDescent="0.25">
      <c r="A378" s="54"/>
      <c r="B378" s="9"/>
      <c r="C378" s="134"/>
      <c r="D378" s="134"/>
      <c r="E378" s="134"/>
      <c r="F378" s="1152"/>
      <c r="G378" s="29"/>
      <c r="H378" s="9"/>
      <c r="I378" s="85"/>
      <c r="J378" s="9"/>
      <c r="K378" s="9"/>
      <c r="L378" s="9"/>
      <c r="M378" s="9"/>
      <c r="N378" s="9"/>
      <c r="O378" s="9"/>
      <c r="P378" s="9"/>
      <c r="Q378" s="9"/>
      <c r="R378" s="9"/>
      <c r="S378" s="47"/>
    </row>
    <row r="379" spans="1:21" s="39" customFormat="1" x14ac:dyDescent="0.2">
      <c r="A379" s="52">
        <f>SUM(A374:A377)</f>
        <v>730000</v>
      </c>
      <c r="B379" s="16">
        <f>SUM(B374:B377)</f>
        <v>749800</v>
      </c>
      <c r="C379" s="137">
        <f>SUM(C374:C377)</f>
        <v>669200</v>
      </c>
      <c r="D379" s="137">
        <f>SUM(D374:D377)</f>
        <v>770000</v>
      </c>
      <c r="E379" s="145">
        <f>SUM(E374:E377)</f>
        <v>915100</v>
      </c>
      <c r="F379" s="164"/>
      <c r="G379" s="1158" t="s">
        <v>556</v>
      </c>
      <c r="H379" s="16">
        <f t="shared" ref="H379:Q379" si="924">SUM(H374:H377)</f>
        <v>586000</v>
      </c>
      <c r="I379" s="127">
        <f>IF(E379=H379,0,IF(E379=0,100,(H379-E379)/E379*100))</f>
        <v>-35.96328270134412</v>
      </c>
      <c r="J379" s="16">
        <f t="shared" si="924"/>
        <v>763900</v>
      </c>
      <c r="K379" s="16">
        <f t="shared" si="924"/>
        <v>783600</v>
      </c>
      <c r="L379" s="16">
        <f t="shared" si="924"/>
        <v>803600</v>
      </c>
      <c r="M379" s="16">
        <f t="shared" si="924"/>
        <v>824100</v>
      </c>
      <c r="N379" s="16">
        <f t="shared" si="924"/>
        <v>845200</v>
      </c>
      <c r="O379" s="16">
        <f t="shared" si="924"/>
        <v>866800</v>
      </c>
      <c r="P379" s="16">
        <f t="shared" si="924"/>
        <v>888900</v>
      </c>
      <c r="Q379" s="16">
        <f t="shared" si="924"/>
        <v>911400</v>
      </c>
      <c r="R379" s="16">
        <f t="shared" ref="R379" si="925">SUM(R374:R377)</f>
        <v>934600</v>
      </c>
      <c r="S379" s="2342">
        <f t="shared" ref="S379" si="926">SUM(S374:S377)</f>
        <v>958300</v>
      </c>
      <c r="U379" s="34"/>
    </row>
    <row r="380" spans="1:21" x14ac:dyDescent="0.2">
      <c r="A380" s="54"/>
      <c r="B380" s="9"/>
      <c r="E380" s="134"/>
      <c r="F380" s="1153"/>
      <c r="G380" s="1173"/>
      <c r="H380" s="9"/>
      <c r="I380" s="85"/>
      <c r="J380" s="9"/>
      <c r="K380" s="9"/>
      <c r="L380" s="9"/>
      <c r="M380" s="9"/>
      <c r="N380" s="9"/>
      <c r="O380" s="9"/>
      <c r="P380" s="9"/>
      <c r="Q380" s="9"/>
      <c r="R380" s="9"/>
      <c r="S380" s="47"/>
    </row>
    <row r="381" spans="1:21" s="39" customFormat="1" x14ac:dyDescent="0.2">
      <c r="A381" s="24">
        <f>A371-A379</f>
        <v>-53000</v>
      </c>
      <c r="B381" s="21">
        <f>B371-B379</f>
        <v>176200</v>
      </c>
      <c r="C381" s="139">
        <f>C371-C379</f>
        <v>197300</v>
      </c>
      <c r="D381" s="139">
        <f>D371-D379</f>
        <v>106000</v>
      </c>
      <c r="E381" s="138">
        <f>E371-E379</f>
        <v>88100</v>
      </c>
      <c r="F381" s="164"/>
      <c r="G381" s="1160" t="s">
        <v>1002</v>
      </c>
      <c r="H381" s="21">
        <f t="shared" ref="H381:Q381" si="927">H371-H379</f>
        <v>160000</v>
      </c>
      <c r="I381" s="126">
        <f>IF(E381=H381,0,IF(E381=0,100,(H381-E381)/E381*100))</f>
        <v>81.611804767309877</v>
      </c>
      <c r="J381" s="21">
        <f t="shared" si="927"/>
        <v>0</v>
      </c>
      <c r="K381" s="21">
        <f t="shared" si="927"/>
        <v>0</v>
      </c>
      <c r="L381" s="21">
        <f t="shared" si="927"/>
        <v>0</v>
      </c>
      <c r="M381" s="21">
        <f t="shared" si="927"/>
        <v>0</v>
      </c>
      <c r="N381" s="21">
        <f t="shared" si="927"/>
        <v>0</v>
      </c>
      <c r="O381" s="21">
        <f t="shared" si="927"/>
        <v>0</v>
      </c>
      <c r="P381" s="21">
        <f t="shared" si="927"/>
        <v>0</v>
      </c>
      <c r="Q381" s="21">
        <f t="shared" si="927"/>
        <v>0</v>
      </c>
      <c r="R381" s="21">
        <f t="shared" ref="R381" si="928">R371-R379</f>
        <v>0</v>
      </c>
      <c r="S381" s="86">
        <f t="shared" ref="S381" si="929">S371-S379</f>
        <v>0</v>
      </c>
      <c r="U381" s="34"/>
    </row>
    <row r="382" spans="1:21" x14ac:dyDescent="0.2">
      <c r="A382" s="54">
        <v>0</v>
      </c>
      <c r="B382" s="9">
        <v>0</v>
      </c>
      <c r="C382" s="136">
        <v>0</v>
      </c>
      <c r="D382" s="136">
        <v>0</v>
      </c>
      <c r="E382" s="1442">
        <v>0</v>
      </c>
      <c r="F382" s="167"/>
      <c r="G382" s="1462" t="str">
        <f>G343</f>
        <v>Add Back Depreciation</v>
      </c>
      <c r="H382" s="9">
        <v>0</v>
      </c>
      <c r="I382" s="85">
        <f>IF(E382=H382,0,IF(E382=0,100,(H382-E382)/E382*100))</f>
        <v>0</v>
      </c>
      <c r="J382" s="9">
        <v>0</v>
      </c>
      <c r="K382" s="9">
        <v>0</v>
      </c>
      <c r="L382" s="9">
        <v>0</v>
      </c>
      <c r="M382" s="9">
        <v>0</v>
      </c>
      <c r="N382" s="9">
        <v>0</v>
      </c>
      <c r="O382" s="9">
        <v>0</v>
      </c>
      <c r="P382" s="9">
        <v>0</v>
      </c>
      <c r="Q382" s="9">
        <v>0</v>
      </c>
      <c r="R382" s="9">
        <v>0</v>
      </c>
      <c r="S382" s="47">
        <v>0</v>
      </c>
    </row>
    <row r="383" spans="1:21" s="39" customFormat="1" x14ac:dyDescent="0.2">
      <c r="A383" s="128">
        <f>A381</f>
        <v>-53000</v>
      </c>
      <c r="B383" s="280">
        <f>B381</f>
        <v>176200</v>
      </c>
      <c r="C383" s="281">
        <f>C381</f>
        <v>197300</v>
      </c>
      <c r="D383" s="281">
        <f>D381</f>
        <v>106000</v>
      </c>
      <c r="E383" s="1515">
        <f t="shared" ref="E383" si="930">E381</f>
        <v>88100</v>
      </c>
      <c r="F383" s="372"/>
      <c r="G383" s="1166" t="s">
        <v>1659</v>
      </c>
      <c r="H383" s="280">
        <f t="shared" ref="H383:O383" si="931">H381</f>
        <v>160000</v>
      </c>
      <c r="I383" s="278">
        <f>IF(E383=H383,0,IF(E383=0,100,(H383-E383)/E383*100))</f>
        <v>81.611804767309877</v>
      </c>
      <c r="J383" s="280">
        <f t="shared" si="931"/>
        <v>0</v>
      </c>
      <c r="K383" s="280">
        <f t="shared" si="931"/>
        <v>0</v>
      </c>
      <c r="L383" s="280">
        <f t="shared" si="931"/>
        <v>0</v>
      </c>
      <c r="M383" s="280">
        <f t="shared" si="931"/>
        <v>0</v>
      </c>
      <c r="N383" s="280">
        <f t="shared" si="931"/>
        <v>0</v>
      </c>
      <c r="O383" s="280">
        <f t="shared" si="931"/>
        <v>0</v>
      </c>
      <c r="P383" s="280">
        <f t="shared" ref="P383:Q383" si="932">P381</f>
        <v>0</v>
      </c>
      <c r="Q383" s="280">
        <f t="shared" si="932"/>
        <v>0</v>
      </c>
      <c r="R383" s="280">
        <f t="shared" ref="R383" si="933">R381</f>
        <v>0</v>
      </c>
      <c r="S383" s="2343">
        <f t="shared" ref="S383" si="934">S381</f>
        <v>0</v>
      </c>
      <c r="U383" s="34"/>
    </row>
    <row r="384" spans="1:21" ht="13.5" thickBot="1" x14ac:dyDescent="0.25">
      <c r="A384" s="544"/>
      <c r="B384" s="21"/>
      <c r="C384" s="138"/>
      <c r="D384" s="138"/>
      <c r="E384" s="1520"/>
      <c r="F384" s="167"/>
      <c r="G384" s="122"/>
      <c r="H384" s="9"/>
      <c r="I384" s="126"/>
      <c r="J384" s="9"/>
      <c r="K384" s="9"/>
      <c r="L384" s="9"/>
      <c r="M384" s="9"/>
      <c r="N384" s="9"/>
      <c r="O384" s="9"/>
      <c r="P384" s="9"/>
      <c r="Q384" s="9"/>
      <c r="R384" s="9"/>
      <c r="S384" s="47"/>
    </row>
    <row r="385" spans="1:21" ht="13.5" thickTop="1" x14ac:dyDescent="0.2">
      <c r="A385" s="270"/>
      <c r="B385" s="109"/>
      <c r="C385" s="140"/>
      <c r="D385" s="140"/>
      <c r="E385" s="142"/>
      <c r="F385" s="254"/>
      <c r="G385" s="258"/>
      <c r="H385" s="74"/>
      <c r="I385" s="352"/>
      <c r="J385" s="74"/>
      <c r="K385" s="74"/>
      <c r="L385" s="74"/>
      <c r="M385" s="74"/>
      <c r="N385" s="74"/>
      <c r="O385" s="74"/>
      <c r="P385" s="74"/>
      <c r="Q385" s="74"/>
      <c r="R385" s="74"/>
      <c r="S385" s="2345"/>
    </row>
    <row r="386" spans="1:21" x14ac:dyDescent="0.2">
      <c r="A386" s="24"/>
      <c r="B386" s="21"/>
      <c r="C386" s="139"/>
      <c r="D386" s="139"/>
      <c r="E386" s="143"/>
      <c r="F386" s="167"/>
      <c r="G386" s="361" t="s">
        <v>192</v>
      </c>
      <c r="H386" s="9"/>
      <c r="I386" s="126"/>
      <c r="J386" s="9"/>
      <c r="K386" s="9"/>
      <c r="L386" s="9"/>
      <c r="M386" s="9"/>
      <c r="N386" s="9"/>
      <c r="O386" s="9"/>
      <c r="P386" s="9"/>
      <c r="Q386" s="9"/>
      <c r="R386" s="9"/>
      <c r="S386" s="47"/>
    </row>
    <row r="387" spans="1:21" x14ac:dyDescent="0.2">
      <c r="A387" s="24"/>
      <c r="B387" s="21"/>
      <c r="C387" s="139"/>
      <c r="D387" s="139"/>
      <c r="E387" s="143"/>
      <c r="F387" s="167"/>
      <c r="G387" s="361"/>
      <c r="H387" s="9"/>
      <c r="I387" s="126"/>
      <c r="J387" s="9"/>
      <c r="K387" s="9"/>
      <c r="L387" s="9"/>
      <c r="M387" s="9"/>
      <c r="N387" s="9"/>
      <c r="O387" s="9"/>
      <c r="P387" s="9"/>
      <c r="Q387" s="9"/>
      <c r="R387" s="9"/>
      <c r="S387" s="47"/>
    </row>
    <row r="388" spans="1:21" x14ac:dyDescent="0.2">
      <c r="A388" s="54">
        <f>ROUND(A1266,-3)</f>
        <v>0</v>
      </c>
      <c r="B388" s="9">
        <f t="shared" ref="B388:C392" si="935">B1266</f>
        <v>0</v>
      </c>
      <c r="C388" s="136">
        <f t="shared" si="935"/>
        <v>0</v>
      </c>
      <c r="D388" s="136">
        <f>D1266</f>
        <v>0</v>
      </c>
      <c r="E388" s="144">
        <f t="shared" ref="E388" si="936">E1266</f>
        <v>0</v>
      </c>
      <c r="F388" s="167"/>
      <c r="G388" s="257" t="s">
        <v>2848</v>
      </c>
      <c r="H388" s="9">
        <f t="shared" ref="H388:O388" si="937">H1266</f>
        <v>0</v>
      </c>
      <c r="I388" s="85">
        <f>IF(E388=H388,0,IF(E388=0,100,(H388-E388)/E388*100))</f>
        <v>0</v>
      </c>
      <c r="J388" s="9">
        <f t="shared" si="937"/>
        <v>0</v>
      </c>
      <c r="K388" s="9">
        <f t="shared" si="937"/>
        <v>0</v>
      </c>
      <c r="L388" s="9">
        <f t="shared" si="937"/>
        <v>0</v>
      </c>
      <c r="M388" s="9">
        <f t="shared" si="937"/>
        <v>0</v>
      </c>
      <c r="N388" s="9">
        <f t="shared" si="937"/>
        <v>0</v>
      </c>
      <c r="O388" s="9">
        <f t="shared" si="937"/>
        <v>0</v>
      </c>
      <c r="P388" s="9">
        <f t="shared" ref="P388:Q388" si="938">P1266</f>
        <v>0</v>
      </c>
      <c r="Q388" s="9">
        <f t="shared" si="938"/>
        <v>0</v>
      </c>
      <c r="R388" s="9">
        <f t="shared" ref="R388" si="939">R1266</f>
        <v>0</v>
      </c>
      <c r="S388" s="47">
        <f t="shared" ref="S388" si="940">S1266</f>
        <v>0</v>
      </c>
    </row>
    <row r="389" spans="1:21" x14ac:dyDescent="0.2">
      <c r="A389" s="54">
        <f>ROUND(A1267,-3)</f>
        <v>24000</v>
      </c>
      <c r="B389" s="9">
        <f t="shared" si="935"/>
        <v>73000</v>
      </c>
      <c r="C389" s="136">
        <f t="shared" si="935"/>
        <v>146900</v>
      </c>
      <c r="D389" s="136">
        <f>D1267</f>
        <v>103100</v>
      </c>
      <c r="E389" s="144">
        <f t="shared" ref="E389" si="941">E1267</f>
        <v>0</v>
      </c>
      <c r="F389" s="167"/>
      <c r="G389" s="257" t="s">
        <v>1909</v>
      </c>
      <c r="H389" s="9">
        <f t="shared" ref="H389:O389" si="942">H1267</f>
        <v>0</v>
      </c>
      <c r="I389" s="85">
        <f>IF(E389=H389,0,IF(E389=0,100,(H389-E389)/E389*100))</f>
        <v>0</v>
      </c>
      <c r="J389" s="9">
        <f t="shared" si="942"/>
        <v>0</v>
      </c>
      <c r="K389" s="9">
        <f t="shared" si="942"/>
        <v>0</v>
      </c>
      <c r="L389" s="9">
        <f t="shared" si="942"/>
        <v>0</v>
      </c>
      <c r="M389" s="9">
        <f t="shared" si="942"/>
        <v>0</v>
      </c>
      <c r="N389" s="9">
        <f t="shared" si="942"/>
        <v>0</v>
      </c>
      <c r="O389" s="9">
        <f t="shared" si="942"/>
        <v>0</v>
      </c>
      <c r="P389" s="9">
        <f t="shared" ref="P389:Q389" si="943">P1267</f>
        <v>0</v>
      </c>
      <c r="Q389" s="9">
        <f t="shared" si="943"/>
        <v>0</v>
      </c>
      <c r="R389" s="9">
        <f t="shared" ref="R389" si="944">R1267</f>
        <v>0</v>
      </c>
      <c r="S389" s="47">
        <f t="shared" ref="S389" si="945">S1267</f>
        <v>0</v>
      </c>
    </row>
    <row r="390" spans="1:21" x14ac:dyDescent="0.2">
      <c r="A390" s="54">
        <f>ROUND(A1268,-3)</f>
        <v>77000</v>
      </c>
      <c r="B390" s="9">
        <f t="shared" si="935"/>
        <v>0</v>
      </c>
      <c r="C390" s="136">
        <f t="shared" si="935"/>
        <v>125900</v>
      </c>
      <c r="D390" s="136">
        <f>D1268</f>
        <v>146900</v>
      </c>
      <c r="E390" s="144">
        <f t="shared" ref="E390" si="946">E1268</f>
        <v>103100</v>
      </c>
      <c r="F390" s="167"/>
      <c r="G390" s="257" t="s">
        <v>2309</v>
      </c>
      <c r="H390" s="9">
        <f t="shared" ref="H390:O390" si="947">H1268</f>
        <v>0</v>
      </c>
      <c r="I390" s="85">
        <f>IF(E390=H390,0,IF(E390=0,100,(H390-E390)/E390*100))</f>
        <v>-100</v>
      </c>
      <c r="J390" s="9">
        <f t="shared" si="947"/>
        <v>0</v>
      </c>
      <c r="K390" s="9">
        <f t="shared" si="947"/>
        <v>0</v>
      </c>
      <c r="L390" s="9">
        <f t="shared" si="947"/>
        <v>0</v>
      </c>
      <c r="M390" s="9">
        <f t="shared" si="947"/>
        <v>0</v>
      </c>
      <c r="N390" s="9">
        <f t="shared" si="947"/>
        <v>0</v>
      </c>
      <c r="O390" s="9">
        <f t="shared" si="947"/>
        <v>0</v>
      </c>
      <c r="P390" s="9">
        <f t="shared" ref="P390:Q390" si="948">P1268</f>
        <v>0</v>
      </c>
      <c r="Q390" s="9">
        <f t="shared" si="948"/>
        <v>0</v>
      </c>
      <c r="R390" s="9">
        <f t="shared" ref="R390" si="949">R1268</f>
        <v>0</v>
      </c>
      <c r="S390" s="47">
        <f t="shared" ref="S390" si="950">S1268</f>
        <v>0</v>
      </c>
    </row>
    <row r="391" spans="1:21" x14ac:dyDescent="0.2">
      <c r="A391" s="54">
        <f>ROUND(A1269,-3)</f>
        <v>0</v>
      </c>
      <c r="B391" s="9">
        <f t="shared" si="935"/>
        <v>0</v>
      </c>
      <c r="C391" s="136">
        <f t="shared" si="935"/>
        <v>0</v>
      </c>
      <c r="D391" s="136">
        <f>D1269</f>
        <v>0</v>
      </c>
      <c r="E391" s="144">
        <f t="shared" ref="E391" si="951">E1269</f>
        <v>0</v>
      </c>
      <c r="F391" s="167"/>
      <c r="G391" s="257" t="s">
        <v>5847</v>
      </c>
      <c r="H391" s="9">
        <f t="shared" ref="H391:O391" si="952">H1269</f>
        <v>0</v>
      </c>
      <c r="I391" s="85">
        <f>IF(E391=H391,0,IF(E391=0,100,(H391-E391)/E391*100))</f>
        <v>0</v>
      </c>
      <c r="J391" s="9">
        <f t="shared" si="952"/>
        <v>0</v>
      </c>
      <c r="K391" s="9">
        <f t="shared" si="952"/>
        <v>0</v>
      </c>
      <c r="L391" s="9">
        <f t="shared" si="952"/>
        <v>0</v>
      </c>
      <c r="M391" s="9">
        <f t="shared" si="952"/>
        <v>0</v>
      </c>
      <c r="N391" s="9">
        <f t="shared" si="952"/>
        <v>0</v>
      </c>
      <c r="O391" s="9">
        <f t="shared" si="952"/>
        <v>0</v>
      </c>
      <c r="P391" s="9">
        <f t="shared" ref="P391:Q391" si="953">P1269</f>
        <v>0</v>
      </c>
      <c r="Q391" s="9">
        <f t="shared" si="953"/>
        <v>0</v>
      </c>
      <c r="R391" s="9">
        <f t="shared" ref="R391" si="954">R1269</f>
        <v>0</v>
      </c>
      <c r="S391" s="47">
        <f t="shared" ref="S391" si="955">S1269</f>
        <v>0</v>
      </c>
    </row>
    <row r="392" spans="1:21" x14ac:dyDescent="0.2">
      <c r="A392" s="54">
        <f>ROUND(A1270,-3)</f>
        <v>0</v>
      </c>
      <c r="B392" s="9">
        <f t="shared" si="935"/>
        <v>103200</v>
      </c>
      <c r="C392" s="136">
        <f t="shared" si="935"/>
        <v>176300</v>
      </c>
      <c r="D392" s="136">
        <f>D1270</f>
        <v>149800</v>
      </c>
      <c r="E392" s="144">
        <f t="shared" ref="E392" si="956">E1270</f>
        <v>268500</v>
      </c>
      <c r="F392" s="167"/>
      <c r="G392" s="257" t="s">
        <v>958</v>
      </c>
      <c r="H392" s="9">
        <f t="shared" ref="H392:O392" si="957">H1270</f>
        <v>160000</v>
      </c>
      <c r="I392" s="85">
        <f>IF(E392=H392,0,IF(E392=0,100,(H392-E392)/E392*100))</f>
        <v>-40.409683426443202</v>
      </c>
      <c r="J392" s="9">
        <f t="shared" si="957"/>
        <v>0</v>
      </c>
      <c r="K392" s="9">
        <f t="shared" si="957"/>
        <v>0</v>
      </c>
      <c r="L392" s="9">
        <f t="shared" si="957"/>
        <v>0</v>
      </c>
      <c r="M392" s="9">
        <f t="shared" si="957"/>
        <v>0</v>
      </c>
      <c r="N392" s="9">
        <f t="shared" si="957"/>
        <v>0</v>
      </c>
      <c r="O392" s="9">
        <f t="shared" si="957"/>
        <v>0</v>
      </c>
      <c r="P392" s="9">
        <f t="shared" ref="P392:Q392" si="958">P1270</f>
        <v>0</v>
      </c>
      <c r="Q392" s="9">
        <f t="shared" si="958"/>
        <v>0</v>
      </c>
      <c r="R392" s="9">
        <f t="shared" ref="R392" si="959">R1270</f>
        <v>0</v>
      </c>
      <c r="S392" s="47">
        <f t="shared" ref="S392" si="960">S1270</f>
        <v>0</v>
      </c>
    </row>
    <row r="393" spans="1:21" x14ac:dyDescent="0.2">
      <c r="A393" s="54"/>
      <c r="B393" s="9"/>
      <c r="E393" s="144"/>
      <c r="F393" s="167"/>
      <c r="G393" s="361"/>
      <c r="H393" s="9"/>
      <c r="I393" s="85"/>
      <c r="J393" s="9"/>
      <c r="K393" s="9"/>
      <c r="L393" s="9"/>
      <c r="M393" s="9"/>
      <c r="N393" s="9"/>
      <c r="O393" s="9"/>
      <c r="P393" s="9"/>
      <c r="Q393" s="9"/>
      <c r="R393" s="9"/>
      <c r="S393" s="47"/>
    </row>
    <row r="394" spans="1:21" s="39" customFormat="1" x14ac:dyDescent="0.2">
      <c r="A394" s="128">
        <f>A383-A388-A389+A390++A391-A392</f>
        <v>0</v>
      </c>
      <c r="B394" s="280">
        <f>B383-B388-B389+B390++B391-B392</f>
        <v>0</v>
      </c>
      <c r="C394" s="281">
        <f>C383-C388-C389+C390++C391-C392</f>
        <v>0</v>
      </c>
      <c r="D394" s="281">
        <f>D383-D388-D389+D390++D391-D392</f>
        <v>0</v>
      </c>
      <c r="E394" s="1513">
        <f t="shared" ref="E394" si="961">E383-E388-E389+E390++E391-E392</f>
        <v>-77300</v>
      </c>
      <c r="F394" s="372"/>
      <c r="G394" s="363" t="s">
        <v>2447</v>
      </c>
      <c r="H394" s="280">
        <f t="shared" ref="H394:O394" si="962">H383-H388-H389+H390++H391-H392</f>
        <v>0</v>
      </c>
      <c r="I394" s="278">
        <f>IF(E394=H394,0,IF(E394=0,100,(H394-E394)/E394*100))</f>
        <v>-100</v>
      </c>
      <c r="J394" s="280">
        <f t="shared" si="962"/>
        <v>0</v>
      </c>
      <c r="K394" s="280">
        <f t="shared" si="962"/>
        <v>0</v>
      </c>
      <c r="L394" s="280">
        <f t="shared" si="962"/>
        <v>0</v>
      </c>
      <c r="M394" s="280">
        <f t="shared" si="962"/>
        <v>0</v>
      </c>
      <c r="N394" s="280">
        <f t="shared" si="962"/>
        <v>0</v>
      </c>
      <c r="O394" s="280">
        <f t="shared" si="962"/>
        <v>0</v>
      </c>
      <c r="P394" s="280">
        <f t="shared" ref="P394:Q394" si="963">P383-P388-P389+P390++P391-P392</f>
        <v>0</v>
      </c>
      <c r="Q394" s="280">
        <f t="shared" si="963"/>
        <v>0</v>
      </c>
      <c r="R394" s="280">
        <f t="shared" ref="R394" si="964">R383-R388-R389+R390++R391-R392</f>
        <v>0</v>
      </c>
      <c r="S394" s="2343">
        <f t="shared" ref="S394" si="965">S383-S388-S389+S390++S391-S392</f>
        <v>0</v>
      </c>
      <c r="U394" s="34"/>
    </row>
    <row r="395" spans="1:21" ht="13.5" thickBot="1" x14ac:dyDescent="0.25">
      <c r="A395" s="26"/>
      <c r="B395" s="37"/>
      <c r="C395" s="141"/>
      <c r="D395" s="141"/>
      <c r="E395" s="1437"/>
      <c r="F395" s="166"/>
      <c r="G395" s="259"/>
      <c r="H395" s="23"/>
      <c r="I395" s="275"/>
      <c r="J395" s="23"/>
      <c r="K395" s="23"/>
      <c r="L395" s="23"/>
      <c r="M395" s="23"/>
      <c r="N395" s="23"/>
      <c r="O395" s="23"/>
      <c r="P395" s="23"/>
      <c r="Q395" s="23"/>
      <c r="R395" s="23"/>
      <c r="S395" s="112"/>
    </row>
    <row r="396" spans="1:21" ht="14.25" thickTop="1" thickBot="1" x14ac:dyDescent="0.25">
      <c r="A396" s="27"/>
      <c r="B396" s="27"/>
      <c r="C396" s="143"/>
      <c r="D396" s="143"/>
      <c r="E396" s="143"/>
      <c r="F396" s="165"/>
      <c r="G396" s="84"/>
      <c r="I396" s="2234"/>
    </row>
    <row r="397" spans="1:21" s="38" customFormat="1" ht="18.75" customHeight="1" thickTop="1" thickBot="1" x14ac:dyDescent="0.3">
      <c r="A397" s="2588" t="s">
        <v>2634</v>
      </c>
      <c r="B397" s="2589"/>
      <c r="C397" s="2589"/>
      <c r="D397" s="2589"/>
      <c r="E397" s="2589"/>
      <c r="F397" s="2589"/>
      <c r="G397" s="2589"/>
      <c r="H397" s="2589"/>
      <c r="I397" s="2589"/>
      <c r="J397" s="2589"/>
      <c r="K397" s="2589"/>
      <c r="L397" s="2589"/>
      <c r="M397" s="2589"/>
      <c r="N397" s="2589"/>
      <c r="O397" s="2589"/>
      <c r="P397" s="2589"/>
      <c r="Q397" s="2589"/>
      <c r="R397" s="2589"/>
      <c r="S397" s="2590"/>
      <c r="U397" s="34"/>
    </row>
    <row r="398" spans="1:21" s="39" customFormat="1" ht="13.5" thickBot="1" x14ac:dyDescent="0.25">
      <c r="A398" s="2591" t="s">
        <v>1824</v>
      </c>
      <c r="B398" s="2577"/>
      <c r="C398" s="2577"/>
      <c r="D398" s="2577"/>
      <c r="E398" s="2592"/>
      <c r="F398" s="127" t="s">
        <v>2616</v>
      </c>
      <c r="G398" s="127" t="s">
        <v>2213</v>
      </c>
      <c r="H398" s="2568" t="s">
        <v>2215</v>
      </c>
      <c r="I398" s="2568"/>
      <c r="J398" s="2568"/>
      <c r="K398" s="2568"/>
      <c r="L398" s="2568"/>
      <c r="M398" s="2568"/>
      <c r="N398" s="2568"/>
      <c r="O398" s="2568"/>
      <c r="P398" s="2568"/>
      <c r="Q398" s="2568"/>
      <c r="R398" s="2568"/>
      <c r="S398" s="2607"/>
      <c r="U398" s="34"/>
    </row>
    <row r="399" spans="1:21" ht="12.75" customHeight="1" thickBot="1" x14ac:dyDescent="0.25">
      <c r="A399" s="541" t="str">
        <f>A3</f>
        <v>2012/13</v>
      </c>
      <c r="B399" s="28" t="str">
        <f>B3</f>
        <v>2013/14</v>
      </c>
      <c r="C399" s="40" t="str">
        <f>C3</f>
        <v>2014/15</v>
      </c>
      <c r="D399" s="40" t="str">
        <f>D3</f>
        <v>2015/16</v>
      </c>
      <c r="E399" s="40" t="str">
        <f>E3</f>
        <v>2016/17</v>
      </c>
      <c r="F399" s="40" t="s">
        <v>2617</v>
      </c>
      <c r="G399" s="41"/>
      <c r="H399" s="40" t="str">
        <f>H3</f>
        <v>2017/18</v>
      </c>
      <c r="I399" s="1258" t="str">
        <f>I241</f>
        <v xml:space="preserve">% </v>
      </c>
      <c r="J399" s="40" t="str">
        <f t="shared" ref="J399:S399" si="966">J3</f>
        <v>2018/19</v>
      </c>
      <c r="K399" s="40" t="str">
        <f t="shared" si="966"/>
        <v>2019/20</v>
      </c>
      <c r="L399" s="40" t="str">
        <f t="shared" si="966"/>
        <v>2020/21</v>
      </c>
      <c r="M399" s="40" t="str">
        <f t="shared" si="966"/>
        <v>2021/22</v>
      </c>
      <c r="N399" s="40" t="str">
        <f t="shared" si="966"/>
        <v>2022/23</v>
      </c>
      <c r="O399" s="40" t="str">
        <f t="shared" si="966"/>
        <v>2023/24</v>
      </c>
      <c r="P399" s="40" t="str">
        <f t="shared" si="966"/>
        <v>2024/25</v>
      </c>
      <c r="Q399" s="28" t="str">
        <f t="shared" si="966"/>
        <v>2025/26</v>
      </c>
      <c r="R399" s="28" t="str">
        <f t="shared" si="966"/>
        <v>2026/27</v>
      </c>
      <c r="S399" s="1620" t="str">
        <f t="shared" si="966"/>
        <v>2027/28</v>
      </c>
    </row>
    <row r="400" spans="1:21" x14ac:dyDescent="0.2">
      <c r="A400" s="45"/>
      <c r="B400" s="9"/>
      <c r="C400" s="134"/>
      <c r="D400" s="134"/>
      <c r="E400" s="134"/>
      <c r="F400" s="1152"/>
      <c r="G400" s="29"/>
      <c r="H400" s="9"/>
      <c r="I400" s="85"/>
      <c r="J400" s="9"/>
      <c r="K400" s="9"/>
      <c r="L400" s="9"/>
      <c r="M400" s="9"/>
      <c r="N400" s="9"/>
      <c r="O400" s="9"/>
      <c r="P400" s="9"/>
      <c r="Q400" s="9"/>
      <c r="R400" s="9"/>
      <c r="S400" s="61"/>
    </row>
    <row r="401" spans="1:19" x14ac:dyDescent="0.2">
      <c r="A401" s="45"/>
      <c r="B401" s="9"/>
      <c r="C401" s="134"/>
      <c r="D401" s="134"/>
      <c r="E401" s="134"/>
      <c r="F401" s="1152"/>
      <c r="G401" s="50" t="s">
        <v>1056</v>
      </c>
      <c r="H401" s="9"/>
      <c r="I401" s="85"/>
      <c r="J401" s="9"/>
      <c r="K401" s="9"/>
      <c r="L401" s="9"/>
      <c r="M401" s="9"/>
      <c r="N401" s="9"/>
      <c r="O401" s="9"/>
      <c r="P401" s="9"/>
      <c r="Q401" s="9"/>
      <c r="R401" s="9"/>
      <c r="S401" s="61"/>
    </row>
    <row r="402" spans="1:19" x14ac:dyDescent="0.2">
      <c r="A402" s="54"/>
      <c r="B402" s="9"/>
      <c r="C402" s="134"/>
      <c r="D402" s="134"/>
      <c r="E402" s="134"/>
      <c r="F402" s="1152"/>
      <c r="G402" s="63" t="s">
        <v>2829</v>
      </c>
      <c r="H402" s="9"/>
      <c r="I402" s="85"/>
      <c r="J402" s="9"/>
      <c r="K402" s="9"/>
      <c r="L402" s="9"/>
      <c r="M402" s="9"/>
      <c r="N402" s="9"/>
      <c r="O402" s="9"/>
      <c r="P402" s="9"/>
      <c r="Q402" s="9"/>
      <c r="R402" s="9"/>
      <c r="S402" s="61"/>
    </row>
    <row r="403" spans="1:19" x14ac:dyDescent="0.2">
      <c r="A403" s="54">
        <f>SUM(A1283:A1284)</f>
        <v>39600</v>
      </c>
      <c r="B403" s="9">
        <f t="shared" ref="B403:D403" si="967">SUM(B1283:B1284)</f>
        <v>42100</v>
      </c>
      <c r="C403" s="134">
        <f t="shared" si="967"/>
        <v>45000</v>
      </c>
      <c r="D403" s="134">
        <f t="shared" si="967"/>
        <v>46100</v>
      </c>
      <c r="E403" s="134">
        <f>SUM(E1283:E1284)</f>
        <v>42000</v>
      </c>
      <c r="F403" s="1152">
        <v>22230</v>
      </c>
      <c r="G403" s="79" t="s">
        <v>6780</v>
      </c>
      <c r="H403" s="9">
        <f t="shared" ref="H403:Q403" si="968">SUM(H1283:H1284)</f>
        <v>43000</v>
      </c>
      <c r="I403" s="85">
        <f>IF(E403=H403,0,IF(E403=0,100,(H403-E403)/E403*100))</f>
        <v>2.3809523809523809</v>
      </c>
      <c r="J403" s="9">
        <f t="shared" si="968"/>
        <v>44000</v>
      </c>
      <c r="K403" s="9">
        <f t="shared" si="968"/>
        <v>45100</v>
      </c>
      <c r="L403" s="9">
        <f t="shared" si="968"/>
        <v>46300</v>
      </c>
      <c r="M403" s="9">
        <f t="shared" si="968"/>
        <v>47500</v>
      </c>
      <c r="N403" s="9">
        <f t="shared" si="968"/>
        <v>48700</v>
      </c>
      <c r="O403" s="9">
        <f t="shared" si="968"/>
        <v>50000</v>
      </c>
      <c r="P403" s="9">
        <f t="shared" si="968"/>
        <v>51300</v>
      </c>
      <c r="Q403" s="9">
        <f t="shared" si="968"/>
        <v>52600</v>
      </c>
      <c r="R403" s="9">
        <f t="shared" ref="R403" si="969">SUM(R1283:R1284)</f>
        <v>54000</v>
      </c>
      <c r="S403" s="47">
        <f t="shared" ref="S403" si="970">SUM(S1283:S1284)</f>
        <v>55400</v>
      </c>
    </row>
    <row r="404" spans="1:19" x14ac:dyDescent="0.2">
      <c r="A404" s="54">
        <f>(A1285)</f>
        <v>13700</v>
      </c>
      <c r="B404" s="9">
        <f>(B1285)</f>
        <v>24900</v>
      </c>
      <c r="C404" s="134">
        <f t="shared" ref="C404" si="971">(C1285)</f>
        <v>25300</v>
      </c>
      <c r="D404" s="134">
        <f t="shared" ref="D404:E404" si="972">(D1285)</f>
        <v>34800</v>
      </c>
      <c r="E404" s="134">
        <f t="shared" si="972"/>
        <v>46500</v>
      </c>
      <c r="F404" s="1152">
        <v>22230</v>
      </c>
      <c r="G404" s="79" t="s">
        <v>3050</v>
      </c>
      <c r="H404" s="9">
        <f t="shared" ref="H404:P404" si="973">(H1285)</f>
        <v>50000</v>
      </c>
      <c r="I404" s="85">
        <f>IF(E404=H404,0,IF(E404=0,100,(H404-E404)/E404*100))</f>
        <v>7.5268817204301079</v>
      </c>
      <c r="J404" s="9">
        <f t="shared" si="973"/>
        <v>51200</v>
      </c>
      <c r="K404" s="9">
        <f t="shared" si="973"/>
        <v>52500</v>
      </c>
      <c r="L404" s="9">
        <f t="shared" si="973"/>
        <v>53900</v>
      </c>
      <c r="M404" s="9">
        <f t="shared" si="973"/>
        <v>55300</v>
      </c>
      <c r="N404" s="9">
        <f t="shared" si="973"/>
        <v>56700</v>
      </c>
      <c r="O404" s="9">
        <f t="shared" si="973"/>
        <v>58200</v>
      </c>
      <c r="P404" s="9">
        <f t="shared" si="973"/>
        <v>59700</v>
      </c>
      <c r="Q404" s="9">
        <f t="shared" ref="Q404" si="974">(Q1285)</f>
        <v>61200</v>
      </c>
      <c r="R404" s="9">
        <f t="shared" ref="R404" si="975">(R1285)</f>
        <v>62800</v>
      </c>
      <c r="S404" s="47">
        <f t="shared" ref="S404" si="976">(S1285)</f>
        <v>64400</v>
      </c>
    </row>
    <row r="405" spans="1:19" x14ac:dyDescent="0.2">
      <c r="A405" s="54">
        <f t="shared" ref="A405:B405" si="977">A1287+A1286</f>
        <v>29600</v>
      </c>
      <c r="B405" s="9">
        <f t="shared" si="977"/>
        <v>23000</v>
      </c>
      <c r="C405" s="134">
        <f>C1287+C1286</f>
        <v>37300</v>
      </c>
      <c r="D405" s="134">
        <f>D1287+D1286</f>
        <v>21200</v>
      </c>
      <c r="E405" s="134">
        <f t="shared" ref="E405" si="978">E1287+E1286</f>
        <v>30000</v>
      </c>
      <c r="F405" s="1152">
        <v>22230</v>
      </c>
      <c r="G405" s="79" t="s">
        <v>3049</v>
      </c>
      <c r="H405" s="9">
        <f t="shared" ref="H405:P405" si="979">H1287+H1286</f>
        <v>28000</v>
      </c>
      <c r="I405" s="85">
        <f>IF(E405=H405,0,IF(E405=0,100,(H405-E405)/E405*100))</f>
        <v>-6.666666666666667</v>
      </c>
      <c r="J405" s="9">
        <f t="shared" si="979"/>
        <v>27200</v>
      </c>
      <c r="K405" s="9">
        <f t="shared" si="979"/>
        <v>28000</v>
      </c>
      <c r="L405" s="9">
        <f t="shared" si="979"/>
        <v>28800</v>
      </c>
      <c r="M405" s="9">
        <f t="shared" si="979"/>
        <v>29600</v>
      </c>
      <c r="N405" s="9">
        <f t="shared" si="979"/>
        <v>30500</v>
      </c>
      <c r="O405" s="9">
        <f t="shared" si="979"/>
        <v>31400</v>
      </c>
      <c r="P405" s="9">
        <f t="shared" si="979"/>
        <v>32300</v>
      </c>
      <c r="Q405" s="9">
        <f t="shared" ref="Q405" si="980">Q1287+Q1286</f>
        <v>33200</v>
      </c>
      <c r="R405" s="9">
        <f t="shared" ref="R405" si="981">R1287+R1286</f>
        <v>34100</v>
      </c>
      <c r="S405" s="47">
        <f t="shared" ref="S405" si="982">S1287+S1286</f>
        <v>35100</v>
      </c>
    </row>
    <row r="406" spans="1:19" x14ac:dyDescent="0.2">
      <c r="A406" s="54">
        <f>A1288+A1290</f>
        <v>300</v>
      </c>
      <c r="B406" s="9">
        <f>B1288+B1290</f>
        <v>600</v>
      </c>
      <c r="C406" s="134">
        <f>C1288+C1290</f>
        <v>300</v>
      </c>
      <c r="D406" s="134">
        <f>D1288+D1290</f>
        <v>4200</v>
      </c>
      <c r="E406" s="134">
        <f>E1288+E1289+E1290</f>
        <v>15100</v>
      </c>
      <c r="F406" s="1152">
        <v>22230</v>
      </c>
      <c r="G406" s="79" t="s">
        <v>3051</v>
      </c>
      <c r="H406" s="9">
        <f>H1288+H1289+H1290</f>
        <v>14500</v>
      </c>
      <c r="I406" s="85">
        <f>IF(E406=H406,0,IF(E406=0,100,(H406-E406)/E406*100))</f>
        <v>-3.9735099337748347</v>
      </c>
      <c r="J406" s="9">
        <f>J1288+J1289+J1290</f>
        <v>15000</v>
      </c>
      <c r="K406" s="9">
        <f t="shared" ref="K406:R406" si="983">K1288+K1289+K1290</f>
        <v>15600</v>
      </c>
      <c r="L406" s="9">
        <f t="shared" si="983"/>
        <v>16200</v>
      </c>
      <c r="M406" s="9">
        <f t="shared" si="983"/>
        <v>16800</v>
      </c>
      <c r="N406" s="9">
        <f t="shared" si="983"/>
        <v>17400</v>
      </c>
      <c r="O406" s="9">
        <f t="shared" si="983"/>
        <v>18000</v>
      </c>
      <c r="P406" s="9">
        <f t="shared" si="983"/>
        <v>18600</v>
      </c>
      <c r="Q406" s="9">
        <f t="shared" si="983"/>
        <v>19200</v>
      </c>
      <c r="R406" s="9">
        <f t="shared" si="983"/>
        <v>19800</v>
      </c>
      <c r="S406" s="47">
        <f t="shared" ref="S406" si="984">S1288+S1289+S1290</f>
        <v>20400</v>
      </c>
    </row>
    <row r="407" spans="1:19" x14ac:dyDescent="0.2">
      <c r="A407" s="45"/>
      <c r="B407" s="9"/>
      <c r="C407" s="134"/>
      <c r="D407" s="134"/>
      <c r="E407" s="134"/>
      <c r="F407" s="1152"/>
      <c r="G407" s="63" t="s">
        <v>4393</v>
      </c>
      <c r="H407" s="9"/>
      <c r="I407" s="85"/>
      <c r="J407" s="9"/>
      <c r="K407" s="9"/>
      <c r="L407" s="9"/>
      <c r="M407" s="9"/>
      <c r="N407" s="9"/>
      <c r="O407" s="9"/>
      <c r="P407" s="9"/>
      <c r="Q407" s="9"/>
      <c r="R407" s="9"/>
      <c r="S407" s="47"/>
    </row>
    <row r="408" spans="1:19" x14ac:dyDescent="0.2">
      <c r="A408" s="54">
        <f>ROUND(SUM(A1292:A1295),-3)</f>
        <v>130000</v>
      </c>
      <c r="B408" s="9">
        <f>SUM(B1292:B1295)</f>
        <v>192100</v>
      </c>
      <c r="C408" s="134">
        <f>SUM(C1292:C1295)</f>
        <v>120900</v>
      </c>
      <c r="D408" s="134">
        <f>SUM(D1292:D1295)</f>
        <v>120900</v>
      </c>
      <c r="E408" s="134">
        <f t="shared" ref="E408" si="985">SUM(E1292:E1295)</f>
        <v>85000</v>
      </c>
      <c r="F408" s="1152">
        <v>22230</v>
      </c>
      <c r="G408" s="79" t="s">
        <v>4716</v>
      </c>
      <c r="H408" s="9">
        <f t="shared" ref="H408:O408" si="986">SUM(H1292:H1295)</f>
        <v>74000</v>
      </c>
      <c r="I408" s="85">
        <f>IF(E408=H408,0,IF(E408=0,100,(H408-E408)/E408*100))</f>
        <v>-12.941176470588237</v>
      </c>
      <c r="J408" s="9">
        <f t="shared" si="986"/>
        <v>75900</v>
      </c>
      <c r="K408" s="9">
        <f t="shared" si="986"/>
        <v>78000</v>
      </c>
      <c r="L408" s="9">
        <f t="shared" si="986"/>
        <v>80100</v>
      </c>
      <c r="M408" s="9">
        <f t="shared" si="986"/>
        <v>82200</v>
      </c>
      <c r="N408" s="9">
        <f t="shared" si="986"/>
        <v>84500</v>
      </c>
      <c r="O408" s="9">
        <f t="shared" si="986"/>
        <v>86800</v>
      </c>
      <c r="P408" s="9">
        <f t="shared" ref="P408:Q408" si="987">SUM(P1292:P1295)</f>
        <v>89100</v>
      </c>
      <c r="Q408" s="9">
        <f t="shared" si="987"/>
        <v>91400</v>
      </c>
      <c r="R408" s="9">
        <f t="shared" ref="R408" si="988">SUM(R1292:R1295)</f>
        <v>93800</v>
      </c>
      <c r="S408" s="47">
        <f t="shared" ref="S408" si="989">SUM(S1292:S1295)</f>
        <v>96300</v>
      </c>
    </row>
    <row r="409" spans="1:19" x14ac:dyDescent="0.2">
      <c r="A409" s="54">
        <f>ROUND(SUM(A1533:A1535),-3)</f>
        <v>6000</v>
      </c>
      <c r="B409" s="9">
        <f>SUM(B1533:B1535)</f>
        <v>0</v>
      </c>
      <c r="C409" s="134">
        <f>SUM(C1533:C1535)</f>
        <v>7200</v>
      </c>
      <c r="D409" s="134">
        <f>SUM(D1531:D1535)</f>
        <v>61900</v>
      </c>
      <c r="E409" s="134">
        <f>SUM(E1531:E1535)</f>
        <v>0</v>
      </c>
      <c r="F409" s="1152">
        <v>22256</v>
      </c>
      <c r="G409" s="79" t="s">
        <v>5244</v>
      </c>
      <c r="H409" s="134">
        <f t="shared" ref="H409:Q409" si="990">SUM(H1531:H1535)</f>
        <v>0</v>
      </c>
      <c r="I409" s="85">
        <f>IF(E409=H409,0,IF(E409=0,100,(H409-E409)/E409*100))</f>
        <v>0</v>
      </c>
      <c r="J409" s="134">
        <f t="shared" si="990"/>
        <v>0</v>
      </c>
      <c r="K409" s="134">
        <f t="shared" si="990"/>
        <v>0</v>
      </c>
      <c r="L409" s="134">
        <f t="shared" si="990"/>
        <v>0</v>
      </c>
      <c r="M409" s="134">
        <f t="shared" si="990"/>
        <v>0</v>
      </c>
      <c r="N409" s="134">
        <f t="shared" si="990"/>
        <v>0</v>
      </c>
      <c r="O409" s="134">
        <f t="shared" si="990"/>
        <v>0</v>
      </c>
      <c r="P409" s="9">
        <f t="shared" si="990"/>
        <v>0</v>
      </c>
      <c r="Q409" s="9">
        <f t="shared" si="990"/>
        <v>0</v>
      </c>
      <c r="R409" s="9">
        <f t="shared" ref="R409" si="991">SUM(R1531:R1535)</f>
        <v>0</v>
      </c>
      <c r="S409" s="47">
        <f t="shared" ref="S409" si="992">SUM(S1531:S1535)</f>
        <v>0</v>
      </c>
    </row>
    <row r="410" spans="1:19" x14ac:dyDescent="0.2">
      <c r="A410" s="54">
        <f>ROUND(SUM(A1296:A1297),-3)</f>
        <v>175000</v>
      </c>
      <c r="B410" s="9">
        <f>SUM(B1296:B1297)</f>
        <v>145500</v>
      </c>
      <c r="C410" s="134">
        <f>SUM(C1296:C1297)</f>
        <v>149600</v>
      </c>
      <c r="D410" s="134">
        <f>SUM(D1296:D1297)</f>
        <v>152100</v>
      </c>
      <c r="E410" s="134">
        <f>SUM(E1296:E1297)</f>
        <v>154200</v>
      </c>
      <c r="F410" s="1152">
        <v>26114</v>
      </c>
      <c r="G410" s="79" t="s">
        <v>6781</v>
      </c>
      <c r="H410" s="9">
        <f t="shared" ref="H410:Q410" si="993">SUM(H1296:H1297)</f>
        <v>157900</v>
      </c>
      <c r="I410" s="85">
        <f>IF(E410=H410,0,IF(E410=0,100,(H410-E410)/E410*100))</f>
        <v>2.3994811932555127</v>
      </c>
      <c r="J410" s="9">
        <f t="shared" si="993"/>
        <v>161600</v>
      </c>
      <c r="K410" s="9">
        <f t="shared" si="993"/>
        <v>165800</v>
      </c>
      <c r="L410" s="9">
        <f t="shared" si="993"/>
        <v>170100</v>
      </c>
      <c r="M410" s="9">
        <f t="shared" si="993"/>
        <v>174400</v>
      </c>
      <c r="N410" s="9">
        <f t="shared" si="993"/>
        <v>178800</v>
      </c>
      <c r="O410" s="9">
        <f t="shared" si="993"/>
        <v>183300</v>
      </c>
      <c r="P410" s="9">
        <f t="shared" si="993"/>
        <v>188000</v>
      </c>
      <c r="Q410" s="9">
        <f t="shared" si="993"/>
        <v>192800</v>
      </c>
      <c r="R410" s="9">
        <f t="shared" ref="R410" si="994">SUM(R1296:R1297)</f>
        <v>197700</v>
      </c>
      <c r="S410" s="47">
        <f t="shared" ref="S410" si="995">SUM(S1296:S1297)</f>
        <v>202700</v>
      </c>
    </row>
    <row r="411" spans="1:19" x14ac:dyDescent="0.2">
      <c r="A411" s="54"/>
      <c r="B411" s="9"/>
      <c r="C411" s="134"/>
      <c r="D411" s="134"/>
      <c r="E411" s="134"/>
      <c r="F411" s="1152"/>
      <c r="G411" s="21" t="s">
        <v>163</v>
      </c>
      <c r="H411" s="9"/>
      <c r="I411" s="85"/>
      <c r="J411" s="9"/>
      <c r="K411" s="9"/>
      <c r="L411" s="9"/>
      <c r="M411" s="9"/>
      <c r="N411" s="9"/>
      <c r="O411" s="9"/>
      <c r="P411" s="9"/>
      <c r="Q411" s="9"/>
      <c r="R411" s="9"/>
      <c r="S411" s="47"/>
    </row>
    <row r="412" spans="1:19" x14ac:dyDescent="0.2">
      <c r="A412" s="54">
        <f>ROUND(SUM(A1391:A1402),-3)</f>
        <v>152000</v>
      </c>
      <c r="B412" s="9">
        <f>SUM(B1391:B1402)</f>
        <v>136500</v>
      </c>
      <c r="C412" s="134">
        <f>SUM(C1391:C1402)</f>
        <v>95100</v>
      </c>
      <c r="D412" s="134">
        <f>SUM(D1391:D1402)</f>
        <v>158700</v>
      </c>
      <c r="E412" s="134">
        <f>SUM(E1391:E1402)</f>
        <v>53300</v>
      </c>
      <c r="F412" s="1152">
        <v>22241</v>
      </c>
      <c r="G412" s="9" t="s">
        <v>2828</v>
      </c>
      <c r="H412" s="9">
        <f t="shared" ref="H412:Q412" si="996">SUM(H1391:H1402)</f>
        <v>52700</v>
      </c>
      <c r="I412" s="85">
        <f>IF(E412=H412,0,IF(E412=0,100,(H412-E412)/E412*100))</f>
        <v>-1.125703564727955</v>
      </c>
      <c r="J412" s="9">
        <f t="shared" si="996"/>
        <v>5200</v>
      </c>
      <c r="K412" s="9">
        <f t="shared" si="996"/>
        <v>5400</v>
      </c>
      <c r="L412" s="9">
        <f t="shared" si="996"/>
        <v>5600</v>
      </c>
      <c r="M412" s="9">
        <f t="shared" si="996"/>
        <v>5800</v>
      </c>
      <c r="N412" s="9">
        <f t="shared" si="996"/>
        <v>6000</v>
      </c>
      <c r="O412" s="9">
        <f t="shared" si="996"/>
        <v>6200</v>
      </c>
      <c r="P412" s="9">
        <f t="shared" si="996"/>
        <v>6400</v>
      </c>
      <c r="Q412" s="9">
        <f t="shared" si="996"/>
        <v>6600</v>
      </c>
      <c r="R412" s="9">
        <f t="shared" ref="R412" si="997">SUM(R1391:R1402)</f>
        <v>6800</v>
      </c>
      <c r="S412" s="47">
        <f t="shared" ref="S412" si="998">SUM(S1391:S1402)</f>
        <v>7000</v>
      </c>
    </row>
    <row r="413" spans="1:19" x14ac:dyDescent="0.2">
      <c r="A413" s="54"/>
      <c r="B413" s="9"/>
      <c r="C413" s="134"/>
      <c r="D413" s="134"/>
      <c r="E413" s="134"/>
      <c r="F413" s="1152"/>
      <c r="G413" s="63" t="s">
        <v>4523</v>
      </c>
      <c r="H413" s="9"/>
      <c r="I413" s="85"/>
      <c r="J413" s="9"/>
      <c r="K413" s="9"/>
      <c r="L413" s="9"/>
      <c r="M413" s="9"/>
      <c r="N413" s="9"/>
      <c r="O413" s="9"/>
      <c r="P413" s="9"/>
      <c r="Q413" s="9"/>
      <c r="R413" s="9"/>
      <c r="S413" s="47"/>
    </row>
    <row r="414" spans="1:19" x14ac:dyDescent="0.2">
      <c r="A414" s="54">
        <f>ROUND(SUM(A1484:A1484),-3)</f>
        <v>360000</v>
      </c>
      <c r="B414" s="9">
        <f>SUM(B1484:B1484)</f>
        <v>339600</v>
      </c>
      <c r="C414" s="134">
        <f>SUM(C1484:C1484)</f>
        <v>403200</v>
      </c>
      <c r="D414" s="134">
        <f>SUM(D1484:D1484)</f>
        <v>398300</v>
      </c>
      <c r="E414" s="134">
        <f t="shared" ref="E414" si="999">SUM(E1484:E1484)</f>
        <v>452600</v>
      </c>
      <c r="F414" s="1152">
        <v>22250</v>
      </c>
      <c r="G414" s="79" t="s">
        <v>4525</v>
      </c>
      <c r="H414" s="9">
        <f t="shared" ref="H414:O414" si="1000">SUM(H1484:H1484)</f>
        <v>406000</v>
      </c>
      <c r="I414" s="85">
        <f>IF(E414=H414,0,IF(E414=0,100,(H414-E414)/E414*100))</f>
        <v>-10.296067167476801</v>
      </c>
      <c r="J414" s="9">
        <f t="shared" si="1000"/>
        <v>415400</v>
      </c>
      <c r="K414" s="9">
        <f t="shared" si="1000"/>
        <v>425800</v>
      </c>
      <c r="L414" s="9">
        <f t="shared" si="1000"/>
        <v>436500</v>
      </c>
      <c r="M414" s="9">
        <f t="shared" si="1000"/>
        <v>447500</v>
      </c>
      <c r="N414" s="9">
        <f t="shared" si="1000"/>
        <v>458700</v>
      </c>
      <c r="O414" s="9">
        <f t="shared" si="1000"/>
        <v>470200</v>
      </c>
      <c r="P414" s="9">
        <f t="shared" ref="P414:Q414" si="1001">SUM(P1484:P1484)</f>
        <v>482000</v>
      </c>
      <c r="Q414" s="9">
        <f t="shared" si="1001"/>
        <v>494100</v>
      </c>
      <c r="R414" s="9">
        <f t="shared" ref="R414" si="1002">SUM(R1484:R1484)</f>
        <v>506500</v>
      </c>
      <c r="S414" s="47">
        <f t="shared" ref="S414" si="1003">SUM(S1484:S1484)</f>
        <v>519200</v>
      </c>
    </row>
    <row r="415" spans="1:19" x14ac:dyDescent="0.2">
      <c r="A415" s="54"/>
      <c r="B415" s="9"/>
      <c r="C415" s="134"/>
      <c r="D415" s="134"/>
      <c r="E415" s="134"/>
      <c r="F415" s="1152"/>
      <c r="G415" s="63" t="s">
        <v>599</v>
      </c>
      <c r="H415" s="9"/>
      <c r="I415" s="85"/>
      <c r="J415" s="9"/>
      <c r="K415" s="9"/>
      <c r="L415" s="9"/>
      <c r="M415" s="9"/>
      <c r="N415" s="9"/>
      <c r="O415" s="9"/>
      <c r="P415" s="9"/>
      <c r="Q415" s="9"/>
      <c r="R415" s="9"/>
      <c r="S415" s="47"/>
    </row>
    <row r="416" spans="1:19" x14ac:dyDescent="0.2">
      <c r="A416" s="54">
        <f>ROUND(SUM(A1536:A1537),-3)</f>
        <v>0</v>
      </c>
      <c r="B416" s="9">
        <f>SUM(B1536:B1537)</f>
        <v>82700</v>
      </c>
      <c r="C416" s="134">
        <f>SUM(C1536:C1537)</f>
        <v>79200</v>
      </c>
      <c r="D416" s="134">
        <f>SUM(D1536:D1537)</f>
        <v>51400</v>
      </c>
      <c r="E416" s="134">
        <f t="shared" ref="E416" si="1004">SUM(E1536:E1537)</f>
        <v>0</v>
      </c>
      <c r="F416" s="1152">
        <v>22256</v>
      </c>
      <c r="G416" s="79" t="s">
        <v>5245</v>
      </c>
      <c r="H416" s="9">
        <f t="shared" ref="H416:P416" si="1005">SUM(H1536:H1537)</f>
        <v>0</v>
      </c>
      <c r="I416" s="85">
        <f>IF(E416=H416,0,IF(E416=0,100,(H416-E416)/E416*100))</f>
        <v>0</v>
      </c>
      <c r="J416" s="9">
        <f t="shared" si="1005"/>
        <v>0</v>
      </c>
      <c r="K416" s="9">
        <f t="shared" si="1005"/>
        <v>0</v>
      </c>
      <c r="L416" s="9">
        <f t="shared" si="1005"/>
        <v>0</v>
      </c>
      <c r="M416" s="9">
        <f t="shared" si="1005"/>
        <v>0</v>
      </c>
      <c r="N416" s="9">
        <f t="shared" si="1005"/>
        <v>0</v>
      </c>
      <c r="O416" s="9">
        <f t="shared" si="1005"/>
        <v>0</v>
      </c>
      <c r="P416" s="9">
        <f t="shared" si="1005"/>
        <v>0</v>
      </c>
      <c r="Q416" s="9">
        <f t="shared" ref="Q416" si="1006">SUM(Q1536:Q1537)</f>
        <v>0</v>
      </c>
      <c r="R416" s="9">
        <f t="shared" ref="R416" si="1007">SUM(R1536:R1537)</f>
        <v>0</v>
      </c>
      <c r="S416" s="47">
        <f t="shared" ref="S416" si="1008">SUM(S1536:S1537)</f>
        <v>0</v>
      </c>
    </row>
    <row r="417" spans="1:21" ht="13.5" thickBot="1" x14ac:dyDescent="0.25">
      <c r="A417" s="54"/>
      <c r="B417" s="9"/>
      <c r="C417" s="134"/>
      <c r="D417" s="134"/>
      <c r="E417" s="134"/>
      <c r="F417" s="1152"/>
      <c r="G417" s="9"/>
      <c r="H417" s="9"/>
      <c r="I417" s="85"/>
      <c r="J417" s="9"/>
      <c r="K417" s="9"/>
      <c r="L417" s="9"/>
      <c r="M417" s="9"/>
      <c r="N417" s="9"/>
      <c r="O417" s="9"/>
      <c r="P417" s="9"/>
      <c r="Q417" s="9"/>
      <c r="R417" s="9"/>
      <c r="S417" s="47"/>
    </row>
    <row r="418" spans="1:21" s="39" customFormat="1" x14ac:dyDescent="0.2">
      <c r="A418" s="52">
        <f>SUM(A401:A417)</f>
        <v>906200</v>
      </c>
      <c r="B418" s="16">
        <f>SUM(B401:B417)</f>
        <v>987000</v>
      </c>
      <c r="C418" s="145">
        <f>SUM(C401:C417)</f>
        <v>963100</v>
      </c>
      <c r="D418" s="145">
        <f>SUM(D401:D417)</f>
        <v>1049600</v>
      </c>
      <c r="E418" s="145">
        <f>SUM(E401:E417)</f>
        <v>878700</v>
      </c>
      <c r="F418" s="163"/>
      <c r="G418" s="267" t="s">
        <v>2561</v>
      </c>
      <c r="H418" s="16">
        <f t="shared" ref="H418:Q418" si="1009">SUM(H401:H417)</f>
        <v>826100</v>
      </c>
      <c r="I418" s="127">
        <f>IF(E418=H418,0,IF(E418=0,100,(H418-E418)/E418*100))</f>
        <v>-5.9861158529646064</v>
      </c>
      <c r="J418" s="16">
        <f t="shared" si="1009"/>
        <v>795500</v>
      </c>
      <c r="K418" s="16">
        <f t="shared" si="1009"/>
        <v>816200</v>
      </c>
      <c r="L418" s="16">
        <f t="shared" si="1009"/>
        <v>837500</v>
      </c>
      <c r="M418" s="16">
        <f t="shared" si="1009"/>
        <v>859100</v>
      </c>
      <c r="N418" s="16">
        <f t="shared" si="1009"/>
        <v>881300</v>
      </c>
      <c r="O418" s="16">
        <f t="shared" si="1009"/>
        <v>904100</v>
      </c>
      <c r="P418" s="16">
        <f t="shared" si="1009"/>
        <v>927400</v>
      </c>
      <c r="Q418" s="16">
        <f t="shared" si="1009"/>
        <v>951100</v>
      </c>
      <c r="R418" s="16">
        <f t="shared" ref="R418" si="1010">SUM(R401:R417)</f>
        <v>975500</v>
      </c>
      <c r="S418" s="2342">
        <f t="shared" ref="S418" si="1011">SUM(S401:S417)</f>
        <v>1000500</v>
      </c>
      <c r="U418" s="34"/>
    </row>
    <row r="419" spans="1:21" x14ac:dyDescent="0.2">
      <c r="A419" s="45"/>
      <c r="B419" s="9"/>
      <c r="C419" s="134"/>
      <c r="D419" s="134"/>
      <c r="E419" s="134"/>
      <c r="F419" s="1152"/>
      <c r="G419" s="21"/>
      <c r="H419" s="9"/>
      <c r="I419" s="85"/>
      <c r="J419" s="9"/>
      <c r="K419" s="9"/>
      <c r="L419" s="9"/>
      <c r="M419" s="9"/>
      <c r="N419" s="9"/>
      <c r="O419" s="9"/>
      <c r="P419" s="9"/>
      <c r="Q419" s="9"/>
      <c r="R419" s="9"/>
      <c r="S419" s="47"/>
    </row>
    <row r="420" spans="1:21" x14ac:dyDescent="0.2">
      <c r="A420" s="54"/>
      <c r="B420" s="9"/>
      <c r="C420" s="134"/>
      <c r="D420" s="134"/>
      <c r="E420" s="134"/>
      <c r="F420" s="167"/>
      <c r="G420" s="256" t="s">
        <v>2169</v>
      </c>
      <c r="H420" s="9"/>
      <c r="I420" s="85"/>
      <c r="J420" s="9"/>
      <c r="K420" s="9"/>
      <c r="L420" s="9"/>
      <c r="M420" s="9"/>
      <c r="N420" s="9"/>
      <c r="O420" s="9"/>
      <c r="P420" s="9"/>
      <c r="Q420" s="9"/>
      <c r="R420" s="9"/>
      <c r="S420" s="47"/>
    </row>
    <row r="421" spans="1:21" x14ac:dyDescent="0.2">
      <c r="A421" s="45"/>
      <c r="B421" s="9"/>
      <c r="C421" s="134"/>
      <c r="D421" s="134"/>
      <c r="E421" s="134"/>
      <c r="F421" s="1152"/>
      <c r="G421" s="21" t="s">
        <v>9</v>
      </c>
      <c r="H421" s="9"/>
      <c r="I421" s="85"/>
      <c r="J421" s="9"/>
      <c r="K421" s="9"/>
      <c r="L421" s="9"/>
      <c r="M421" s="9"/>
      <c r="N421" s="9"/>
      <c r="O421" s="9"/>
      <c r="P421" s="9"/>
      <c r="Q421" s="9"/>
      <c r="R421" s="9"/>
      <c r="S421" s="47"/>
    </row>
    <row r="422" spans="1:21" x14ac:dyDescent="0.2">
      <c r="A422" s="54">
        <f>ROUND(SUM(A1303:A1307),-3)</f>
        <v>229000</v>
      </c>
      <c r="B422" s="9">
        <f>SUM(B1303:B1307)</f>
        <v>158300</v>
      </c>
      <c r="C422" s="134">
        <f>SUM(C1303:C1307)</f>
        <v>179900</v>
      </c>
      <c r="D422" s="134">
        <f>SUM(D1303:D1307)</f>
        <v>188500</v>
      </c>
      <c r="E422" s="134">
        <f t="shared" ref="E422" si="1012">SUM(E1303:E1307)</f>
        <v>285300</v>
      </c>
      <c r="F422" s="1152">
        <v>32260</v>
      </c>
      <c r="G422" s="9" t="s">
        <v>1228</v>
      </c>
      <c r="H422" s="9">
        <f t="shared" ref="H422:O422" si="1013">SUM(H1303:H1307)</f>
        <v>386000</v>
      </c>
      <c r="I422" s="85">
        <f>IF(E422=H422,0,IF(E422=0,100,(H422-E422)/E422*100))</f>
        <v>35.296179460217317</v>
      </c>
      <c r="J422" s="9">
        <f t="shared" si="1013"/>
        <v>395000</v>
      </c>
      <c r="K422" s="9">
        <f t="shared" si="1013"/>
        <v>404200</v>
      </c>
      <c r="L422" s="9">
        <f t="shared" si="1013"/>
        <v>413600</v>
      </c>
      <c r="M422" s="9">
        <f t="shared" si="1013"/>
        <v>423200</v>
      </c>
      <c r="N422" s="9">
        <f t="shared" si="1013"/>
        <v>433000</v>
      </c>
      <c r="O422" s="9">
        <f t="shared" si="1013"/>
        <v>443000</v>
      </c>
      <c r="P422" s="9">
        <f t="shared" ref="P422:Q422" si="1014">SUM(P1303:P1307)</f>
        <v>453300</v>
      </c>
      <c r="Q422" s="9">
        <f t="shared" si="1014"/>
        <v>463800</v>
      </c>
      <c r="R422" s="9">
        <f t="shared" ref="R422" si="1015">SUM(R1303:R1307)</f>
        <v>464100</v>
      </c>
      <c r="S422" s="47">
        <f t="shared" ref="S422" si="1016">SUM(S1303:S1307)</f>
        <v>464400</v>
      </c>
    </row>
    <row r="423" spans="1:21" x14ac:dyDescent="0.2">
      <c r="A423" s="54"/>
      <c r="B423" s="9"/>
      <c r="C423" s="134"/>
      <c r="D423" s="134"/>
      <c r="E423" s="134"/>
      <c r="F423" s="165"/>
      <c r="G423" s="9"/>
      <c r="H423" s="9"/>
      <c r="I423" s="85"/>
      <c r="J423" s="9"/>
      <c r="K423" s="9"/>
      <c r="L423" s="9"/>
      <c r="M423" s="9"/>
      <c r="N423" s="9"/>
      <c r="O423" s="9"/>
      <c r="P423" s="9"/>
      <c r="Q423" s="9"/>
      <c r="R423" s="9"/>
      <c r="S423" s="47"/>
    </row>
    <row r="424" spans="1:21" x14ac:dyDescent="0.2">
      <c r="A424" s="54"/>
      <c r="B424" s="9"/>
      <c r="C424" s="134"/>
      <c r="D424" s="134"/>
      <c r="E424" s="134"/>
      <c r="F424" s="1153"/>
      <c r="G424" s="260" t="s">
        <v>491</v>
      </c>
      <c r="H424" s="9"/>
      <c r="I424" s="85"/>
      <c r="J424" s="9"/>
      <c r="K424" s="9"/>
      <c r="L424" s="9"/>
      <c r="M424" s="9"/>
      <c r="N424" s="9"/>
      <c r="O424" s="9"/>
      <c r="P424" s="9"/>
      <c r="Q424" s="9"/>
      <c r="R424" s="9"/>
      <c r="S424" s="47"/>
    </row>
    <row r="425" spans="1:21" x14ac:dyDescent="0.2">
      <c r="A425" s="54">
        <f>ROUND(SUM(A1308:A1326),-3)</f>
        <v>1537000</v>
      </c>
      <c r="B425" s="9">
        <f>SUM(B1308:B1326)</f>
        <v>1643100</v>
      </c>
      <c r="C425" s="134">
        <f>SUM(C1308:C1326)</f>
        <v>1482200</v>
      </c>
      <c r="D425" s="134">
        <f>SUM(D1308:D1326)</f>
        <v>1565400</v>
      </c>
      <c r="E425" s="134">
        <f>SUM(E1308:E1327)</f>
        <v>1573800</v>
      </c>
      <c r="F425" s="1153">
        <v>32262</v>
      </c>
      <c r="G425" s="634" t="s">
        <v>2018</v>
      </c>
      <c r="H425" s="9">
        <f>SUM(H1308:H1327)</f>
        <v>1617000</v>
      </c>
      <c r="I425" s="85">
        <f t="shared" ref="I425:I435" si="1017">IF(E425=H425,0,IF(E425=0,100,(H425-E425)/E425*100))</f>
        <v>2.7449485322150209</v>
      </c>
      <c r="J425" s="9">
        <f t="shared" ref="J425:S425" si="1018">SUM(J1308:J1327)</f>
        <v>1654800</v>
      </c>
      <c r="K425" s="9">
        <f t="shared" si="1018"/>
        <v>1696800</v>
      </c>
      <c r="L425" s="9">
        <f t="shared" si="1018"/>
        <v>1739900</v>
      </c>
      <c r="M425" s="9">
        <f t="shared" si="1018"/>
        <v>1784200</v>
      </c>
      <c r="N425" s="9">
        <f t="shared" si="1018"/>
        <v>1829500</v>
      </c>
      <c r="O425" s="9">
        <f t="shared" si="1018"/>
        <v>1876000</v>
      </c>
      <c r="P425" s="9">
        <f t="shared" si="1018"/>
        <v>1923500</v>
      </c>
      <c r="Q425" s="9">
        <f t="shared" si="1018"/>
        <v>1972200</v>
      </c>
      <c r="R425" s="9">
        <f t="shared" si="1018"/>
        <v>2022100</v>
      </c>
      <c r="S425" s="47">
        <f t="shared" si="1018"/>
        <v>2073200</v>
      </c>
    </row>
    <row r="426" spans="1:21" x14ac:dyDescent="0.2">
      <c r="A426" s="54">
        <f>ROUND(SUM(A1327:A1328),-3)</f>
        <v>5000</v>
      </c>
      <c r="B426" s="9">
        <f>SUM(B1327:B1328)</f>
        <v>6100</v>
      </c>
      <c r="C426" s="134">
        <f>SUM(C1327:C1328)</f>
        <v>5300</v>
      </c>
      <c r="D426" s="134">
        <f>SUM(D1327:D1328)</f>
        <v>5400</v>
      </c>
      <c r="E426" s="134">
        <f t="shared" ref="E426" si="1019">SUM(E1327:E1328)</f>
        <v>4400</v>
      </c>
      <c r="F426" s="1153">
        <v>32262</v>
      </c>
      <c r="G426" s="634" t="s">
        <v>3007</v>
      </c>
      <c r="H426" s="9">
        <f t="shared" ref="H426:O426" si="1020">SUM(H1327:H1328)</f>
        <v>4000</v>
      </c>
      <c r="I426" s="85">
        <f t="shared" si="1017"/>
        <v>-9.0909090909090917</v>
      </c>
      <c r="J426" s="9">
        <f t="shared" si="1020"/>
        <v>4100</v>
      </c>
      <c r="K426" s="9">
        <f t="shared" si="1020"/>
        <v>4300</v>
      </c>
      <c r="L426" s="9">
        <f t="shared" si="1020"/>
        <v>4500</v>
      </c>
      <c r="M426" s="9">
        <f t="shared" si="1020"/>
        <v>4700</v>
      </c>
      <c r="N426" s="9">
        <f t="shared" si="1020"/>
        <v>4900</v>
      </c>
      <c r="O426" s="9">
        <f t="shared" si="1020"/>
        <v>5100</v>
      </c>
      <c r="P426" s="9">
        <f t="shared" ref="P426:Q426" si="1021">SUM(P1327:P1328)</f>
        <v>5300</v>
      </c>
      <c r="Q426" s="9">
        <f t="shared" si="1021"/>
        <v>5500</v>
      </c>
      <c r="R426" s="9">
        <f t="shared" ref="R426" si="1022">SUM(R1327:R1328)</f>
        <v>5700</v>
      </c>
      <c r="S426" s="47">
        <f t="shared" ref="S426" si="1023">SUM(S1327:S1328)</f>
        <v>5900</v>
      </c>
    </row>
    <row r="427" spans="1:21" x14ac:dyDescent="0.2">
      <c r="A427" s="54">
        <f>ROUND(SUM(A1330:A1332),-3)</f>
        <v>63000</v>
      </c>
      <c r="B427" s="9">
        <f>SUM(B1330:B1332)</f>
        <v>68100</v>
      </c>
      <c r="C427" s="134">
        <f>SUM(C1330:C1332)</f>
        <v>62000</v>
      </c>
      <c r="D427" s="134">
        <f>SUM(D1330:D1332)</f>
        <v>98700</v>
      </c>
      <c r="E427" s="134">
        <f>SUM(E1330:E1332)</f>
        <v>110300</v>
      </c>
      <c r="F427" s="1153">
        <v>32265</v>
      </c>
      <c r="G427" s="634" t="s">
        <v>4777</v>
      </c>
      <c r="H427" s="9">
        <f t="shared" ref="H427:P427" si="1024">SUM(H1330:H1332)</f>
        <v>80000</v>
      </c>
      <c r="I427" s="85">
        <f t="shared" si="1017"/>
        <v>-27.470534904805078</v>
      </c>
      <c r="J427" s="9">
        <f t="shared" si="1024"/>
        <v>81900</v>
      </c>
      <c r="K427" s="9">
        <f t="shared" si="1024"/>
        <v>84000</v>
      </c>
      <c r="L427" s="9">
        <f t="shared" si="1024"/>
        <v>86200</v>
      </c>
      <c r="M427" s="9">
        <f t="shared" si="1024"/>
        <v>88400</v>
      </c>
      <c r="N427" s="9">
        <f t="shared" si="1024"/>
        <v>90700</v>
      </c>
      <c r="O427" s="9">
        <f t="shared" si="1024"/>
        <v>93000</v>
      </c>
      <c r="P427" s="9">
        <f t="shared" si="1024"/>
        <v>95400</v>
      </c>
      <c r="Q427" s="9">
        <f t="shared" ref="Q427" si="1025">SUM(Q1330:Q1332)</f>
        <v>97800</v>
      </c>
      <c r="R427" s="9">
        <f t="shared" ref="R427" si="1026">SUM(R1330:R1332)</f>
        <v>100300</v>
      </c>
      <c r="S427" s="47">
        <f t="shared" ref="S427" si="1027">SUM(S1330:S1332)</f>
        <v>102900</v>
      </c>
    </row>
    <row r="428" spans="1:21" x14ac:dyDescent="0.2">
      <c r="A428" s="54">
        <f t="shared" ref="A428:A429" si="1028">ROUND(SUM(A1333:A1333),-3)</f>
        <v>2000</v>
      </c>
      <c r="B428" s="9">
        <f t="shared" ref="B428:B429" si="1029">SUM(B1333:B1333)</f>
        <v>20000</v>
      </c>
      <c r="C428" s="134">
        <f t="shared" ref="C428:E430" si="1030">SUM(C1333:C1333)</f>
        <v>17900</v>
      </c>
      <c r="D428" s="134">
        <f t="shared" si="1030"/>
        <v>3600</v>
      </c>
      <c r="E428" s="134">
        <f t="shared" si="1030"/>
        <v>20400</v>
      </c>
      <c r="F428" s="1153">
        <v>32265</v>
      </c>
      <c r="G428" s="79" t="s">
        <v>3008</v>
      </c>
      <c r="H428" s="9">
        <f t="shared" ref="H428:O430" si="1031">SUM(H1333:H1333)</f>
        <v>39600</v>
      </c>
      <c r="I428" s="85">
        <f t="shared" si="1017"/>
        <v>94.117647058823522</v>
      </c>
      <c r="J428" s="9">
        <f t="shared" si="1031"/>
        <v>20500</v>
      </c>
      <c r="K428" s="9">
        <f t="shared" si="1031"/>
        <v>21100</v>
      </c>
      <c r="L428" s="9">
        <f t="shared" si="1031"/>
        <v>21700</v>
      </c>
      <c r="M428" s="9">
        <f t="shared" si="1031"/>
        <v>22300</v>
      </c>
      <c r="N428" s="9">
        <f t="shared" si="1031"/>
        <v>22900</v>
      </c>
      <c r="O428" s="9">
        <f t="shared" si="1031"/>
        <v>23500</v>
      </c>
      <c r="P428" s="9">
        <f t="shared" ref="P428:Q430" si="1032">SUM(P1333:P1333)</f>
        <v>24100</v>
      </c>
      <c r="Q428" s="9">
        <f t="shared" si="1032"/>
        <v>24800</v>
      </c>
      <c r="R428" s="9">
        <f t="shared" ref="R428" si="1033">SUM(R1333:R1333)</f>
        <v>25500</v>
      </c>
      <c r="S428" s="47">
        <f t="shared" ref="S428" si="1034">SUM(S1333:S1333)</f>
        <v>26200</v>
      </c>
    </row>
    <row r="429" spans="1:21" x14ac:dyDescent="0.2">
      <c r="A429" s="54">
        <f t="shared" si="1028"/>
        <v>0</v>
      </c>
      <c r="B429" s="9">
        <f t="shared" si="1029"/>
        <v>0</v>
      </c>
      <c r="C429" s="134">
        <f t="shared" si="1030"/>
        <v>0</v>
      </c>
      <c r="D429" s="134">
        <f t="shared" si="1030"/>
        <v>9100</v>
      </c>
      <c r="E429" s="134">
        <f t="shared" si="1030"/>
        <v>39000</v>
      </c>
      <c r="F429" s="1153">
        <v>32265</v>
      </c>
      <c r="G429" s="79" t="s">
        <v>4775</v>
      </c>
      <c r="H429" s="9">
        <f t="shared" si="1031"/>
        <v>15000</v>
      </c>
      <c r="I429" s="85">
        <f t="shared" si="1017"/>
        <v>-61.53846153846154</v>
      </c>
      <c r="J429" s="9">
        <f t="shared" si="1031"/>
        <v>15400</v>
      </c>
      <c r="K429" s="9">
        <f t="shared" si="1031"/>
        <v>15800</v>
      </c>
      <c r="L429" s="9">
        <f t="shared" si="1031"/>
        <v>16200</v>
      </c>
      <c r="M429" s="9">
        <f t="shared" si="1031"/>
        <v>16700</v>
      </c>
      <c r="N429" s="9">
        <f t="shared" si="1031"/>
        <v>17200</v>
      </c>
      <c r="O429" s="9">
        <f t="shared" si="1031"/>
        <v>17700</v>
      </c>
      <c r="P429" s="9">
        <f t="shared" si="1032"/>
        <v>18200</v>
      </c>
      <c r="Q429" s="9">
        <f t="shared" si="1032"/>
        <v>18700</v>
      </c>
      <c r="R429" s="9">
        <f t="shared" ref="R429" si="1035">SUM(R1334:R1334)</f>
        <v>19200</v>
      </c>
      <c r="S429" s="47">
        <f t="shared" ref="S429" si="1036">SUM(S1334:S1334)</f>
        <v>19700</v>
      </c>
    </row>
    <row r="430" spans="1:21" x14ac:dyDescent="0.2">
      <c r="A430" s="54">
        <f>ROUND(SUM(A1335:A1335),-3)</f>
        <v>10000</v>
      </c>
      <c r="B430" s="9">
        <f>SUM(B1335:B1335)</f>
        <v>2000</v>
      </c>
      <c r="C430" s="134">
        <f t="shared" si="1030"/>
        <v>87300</v>
      </c>
      <c r="D430" s="134">
        <f t="shared" si="1030"/>
        <v>2200</v>
      </c>
      <c r="E430" s="134">
        <f t="shared" si="1030"/>
        <v>5700</v>
      </c>
      <c r="F430" s="1153">
        <v>32265</v>
      </c>
      <c r="G430" s="634" t="s">
        <v>4524</v>
      </c>
      <c r="H430" s="9">
        <f t="shared" si="1031"/>
        <v>42800</v>
      </c>
      <c r="I430" s="85">
        <f t="shared" si="1017"/>
        <v>650.87719298245611</v>
      </c>
      <c r="J430" s="9">
        <f t="shared" si="1031"/>
        <v>0</v>
      </c>
      <c r="K430" s="9">
        <f t="shared" si="1031"/>
        <v>0</v>
      </c>
      <c r="L430" s="9">
        <f t="shared" si="1031"/>
        <v>0</v>
      </c>
      <c r="M430" s="9">
        <f t="shared" si="1031"/>
        <v>0</v>
      </c>
      <c r="N430" s="9">
        <f t="shared" si="1031"/>
        <v>0</v>
      </c>
      <c r="O430" s="9">
        <f t="shared" si="1031"/>
        <v>0</v>
      </c>
      <c r="P430" s="9">
        <f t="shared" si="1032"/>
        <v>0</v>
      </c>
      <c r="Q430" s="9">
        <f t="shared" si="1032"/>
        <v>0</v>
      </c>
      <c r="R430" s="9">
        <f t="shared" ref="R430" si="1037">SUM(R1335:R1335)</f>
        <v>0</v>
      </c>
      <c r="S430" s="47">
        <f t="shared" ref="S430" si="1038">SUM(S1335:S1335)</f>
        <v>0</v>
      </c>
    </row>
    <row r="431" spans="1:21" x14ac:dyDescent="0.2">
      <c r="A431" s="54">
        <f>ROUND(SUM(A1337:A1343),-3)</f>
        <v>184000</v>
      </c>
      <c r="B431" s="9">
        <f>SUM(B1337:B1343)</f>
        <v>178300</v>
      </c>
      <c r="C431" s="134">
        <f>SUM(C1337:C1343)</f>
        <v>207700</v>
      </c>
      <c r="D431" s="134">
        <f>SUM(D1337:D1343)</f>
        <v>219700</v>
      </c>
      <c r="E431" s="134">
        <f>SUM(E1337:E1343)</f>
        <v>253100</v>
      </c>
      <c r="F431" s="1153">
        <v>32266</v>
      </c>
      <c r="G431" s="634" t="s">
        <v>1166</v>
      </c>
      <c r="H431" s="134">
        <f t="shared" ref="H431:Q431" si="1039">SUM(H1337:H1343)</f>
        <v>237700</v>
      </c>
      <c r="I431" s="85">
        <f t="shared" si="1017"/>
        <v>-6.0845515606479657</v>
      </c>
      <c r="J431" s="134">
        <f t="shared" si="1039"/>
        <v>243400</v>
      </c>
      <c r="K431" s="134">
        <f t="shared" si="1039"/>
        <v>249800</v>
      </c>
      <c r="L431" s="134">
        <f t="shared" si="1039"/>
        <v>256300</v>
      </c>
      <c r="M431" s="134">
        <f t="shared" si="1039"/>
        <v>263000</v>
      </c>
      <c r="N431" s="134">
        <f t="shared" si="1039"/>
        <v>269900</v>
      </c>
      <c r="O431" s="134">
        <f t="shared" si="1039"/>
        <v>276900</v>
      </c>
      <c r="P431" s="134">
        <f t="shared" si="1039"/>
        <v>284000</v>
      </c>
      <c r="Q431" s="134">
        <f t="shared" si="1039"/>
        <v>291300</v>
      </c>
      <c r="R431" s="134">
        <f t="shared" ref="R431" si="1040">SUM(R1337:R1343)</f>
        <v>298800</v>
      </c>
      <c r="S431" s="2359">
        <f t="shared" ref="S431" si="1041">SUM(S1337:S1343)</f>
        <v>306400</v>
      </c>
    </row>
    <row r="432" spans="1:21" x14ac:dyDescent="0.2">
      <c r="A432" s="54">
        <f>ROUND(SUM(A1350:A1357),-3)</f>
        <v>25000</v>
      </c>
      <c r="B432" s="9">
        <f>SUM(B1350:B1357)</f>
        <v>22400</v>
      </c>
      <c r="C432" s="134">
        <f>SUM(C1350:C1357)</f>
        <v>26400</v>
      </c>
      <c r="D432" s="134">
        <f>SUM(D1350:D1357)</f>
        <v>31300</v>
      </c>
      <c r="E432" s="134">
        <f t="shared" ref="E432" si="1042">SUM(E1350:E1357)</f>
        <v>21800</v>
      </c>
      <c r="F432" s="1153">
        <v>32267</v>
      </c>
      <c r="G432" s="79" t="s">
        <v>6784</v>
      </c>
      <c r="H432" s="9">
        <f t="shared" ref="H432:O432" si="1043">SUM(H1350:H1357)</f>
        <v>39500</v>
      </c>
      <c r="I432" s="85">
        <f t="shared" si="1017"/>
        <v>81.192660550458712</v>
      </c>
      <c r="J432" s="9">
        <f t="shared" si="1043"/>
        <v>41700</v>
      </c>
      <c r="K432" s="9">
        <f t="shared" si="1043"/>
        <v>43100</v>
      </c>
      <c r="L432" s="9">
        <f t="shared" si="1043"/>
        <v>44500</v>
      </c>
      <c r="M432" s="9">
        <f t="shared" si="1043"/>
        <v>45900</v>
      </c>
      <c r="N432" s="9">
        <f t="shared" si="1043"/>
        <v>47400</v>
      </c>
      <c r="O432" s="9">
        <f t="shared" si="1043"/>
        <v>48900</v>
      </c>
      <c r="P432" s="9">
        <f t="shared" ref="P432:Q432" si="1044">SUM(P1350:P1357)</f>
        <v>50400</v>
      </c>
      <c r="Q432" s="9">
        <f t="shared" si="1044"/>
        <v>52000</v>
      </c>
      <c r="R432" s="9">
        <f t="shared" ref="R432" si="1045">SUM(R1350:R1357)</f>
        <v>53700</v>
      </c>
      <c r="S432" s="47">
        <f t="shared" ref="S432" si="1046">SUM(S1350:S1357)</f>
        <v>55400</v>
      </c>
    </row>
    <row r="433" spans="1:19" x14ac:dyDescent="0.2">
      <c r="A433" s="54">
        <f>ROUND(A1361,-3)</f>
        <v>2000</v>
      </c>
      <c r="B433" s="9">
        <f>B1361</f>
        <v>1500</v>
      </c>
      <c r="C433" s="134">
        <f>C1361</f>
        <v>4100</v>
      </c>
      <c r="D433" s="134">
        <f>D1361</f>
        <v>1200</v>
      </c>
      <c r="E433" s="134">
        <f t="shared" ref="E433" si="1047">E1361</f>
        <v>0</v>
      </c>
      <c r="F433" s="1153">
        <v>32270</v>
      </c>
      <c r="G433" s="257" t="s">
        <v>1887</v>
      </c>
      <c r="H433" s="9">
        <f t="shared" ref="H433:O433" si="1048">H1361</f>
        <v>12700</v>
      </c>
      <c r="I433" s="85">
        <f t="shared" si="1017"/>
        <v>100</v>
      </c>
      <c r="J433" s="9">
        <f t="shared" si="1048"/>
        <v>13000</v>
      </c>
      <c r="K433" s="9">
        <f t="shared" si="1048"/>
        <v>13400</v>
      </c>
      <c r="L433" s="9">
        <f t="shared" si="1048"/>
        <v>13800</v>
      </c>
      <c r="M433" s="9">
        <f t="shared" si="1048"/>
        <v>14200</v>
      </c>
      <c r="N433" s="9">
        <f t="shared" si="1048"/>
        <v>14600</v>
      </c>
      <c r="O433" s="9">
        <f t="shared" si="1048"/>
        <v>15000</v>
      </c>
      <c r="P433" s="9">
        <f t="shared" ref="P433:Q433" si="1049">P1361</f>
        <v>15400</v>
      </c>
      <c r="Q433" s="9">
        <f t="shared" si="1049"/>
        <v>15800</v>
      </c>
      <c r="R433" s="9">
        <f t="shared" ref="R433" si="1050">R1361</f>
        <v>16200</v>
      </c>
      <c r="S433" s="47">
        <f t="shared" ref="S433" si="1051">S1361</f>
        <v>16700</v>
      </c>
    </row>
    <row r="434" spans="1:19" x14ac:dyDescent="0.2">
      <c r="A434" s="54">
        <f>ROUND(A1363,-3)</f>
        <v>229000</v>
      </c>
      <c r="B434" s="9">
        <f>B1363</f>
        <v>232300</v>
      </c>
      <c r="C434" s="134">
        <f>C1363</f>
        <v>261400</v>
      </c>
      <c r="D434" s="134">
        <f>D1363</f>
        <v>279400</v>
      </c>
      <c r="E434" s="134">
        <f t="shared" ref="E434" si="1052">E1363</f>
        <v>301000</v>
      </c>
      <c r="F434" s="1153">
        <v>32270</v>
      </c>
      <c r="G434" s="634" t="s">
        <v>3052</v>
      </c>
      <c r="H434" s="9">
        <f t="shared" ref="H434:O434" si="1053">H1363</f>
        <v>305000</v>
      </c>
      <c r="I434" s="85">
        <f t="shared" si="1017"/>
        <v>1.3289036544850499</v>
      </c>
      <c r="J434" s="9">
        <f t="shared" si="1053"/>
        <v>312100</v>
      </c>
      <c r="K434" s="9">
        <f t="shared" si="1053"/>
        <v>320000</v>
      </c>
      <c r="L434" s="9">
        <f t="shared" si="1053"/>
        <v>328000</v>
      </c>
      <c r="M434" s="9">
        <f t="shared" si="1053"/>
        <v>336200</v>
      </c>
      <c r="N434" s="9">
        <f t="shared" si="1053"/>
        <v>344700</v>
      </c>
      <c r="O434" s="9">
        <f t="shared" si="1053"/>
        <v>353400</v>
      </c>
      <c r="P434" s="9">
        <f t="shared" ref="P434:Q434" si="1054">P1363</f>
        <v>362300</v>
      </c>
      <c r="Q434" s="9">
        <f t="shared" si="1054"/>
        <v>371400</v>
      </c>
      <c r="R434" s="9">
        <f t="shared" ref="R434" si="1055">R1363</f>
        <v>380700</v>
      </c>
      <c r="S434" s="47">
        <f t="shared" ref="S434" si="1056">S1363</f>
        <v>390300</v>
      </c>
    </row>
    <row r="435" spans="1:19" x14ac:dyDescent="0.2">
      <c r="A435" s="54">
        <f>ROUND(SUM(A1359:A1365)-A434-A433,-3)</f>
        <v>9000</v>
      </c>
      <c r="B435" s="9">
        <f>SUM(B1359:B1365)-B434-B433</f>
        <v>8500</v>
      </c>
      <c r="C435" s="134">
        <f>SUM(C1359:C1365)-C434-C433</f>
        <v>7600</v>
      </c>
      <c r="D435" s="134">
        <f>SUM(D1359:D1365)-D434-D433</f>
        <v>66500</v>
      </c>
      <c r="E435" s="134">
        <f>SUM(E1359:E1365)-E434-E433</f>
        <v>14400</v>
      </c>
      <c r="F435" s="1153">
        <v>32270</v>
      </c>
      <c r="G435" s="634" t="s">
        <v>4561</v>
      </c>
      <c r="H435" s="9">
        <f>SUM(H1359:H1365)-H434-H433</f>
        <v>10400</v>
      </c>
      <c r="I435" s="85">
        <f t="shared" si="1017"/>
        <v>-27.777777777777779</v>
      </c>
      <c r="J435" s="9">
        <f t="shared" ref="J435:S435" si="1057">SUM(J1359:J1365)-J434-J433</f>
        <v>10800</v>
      </c>
      <c r="K435" s="9">
        <f t="shared" si="1057"/>
        <v>11200</v>
      </c>
      <c r="L435" s="9">
        <f t="shared" si="1057"/>
        <v>11600</v>
      </c>
      <c r="M435" s="9">
        <f t="shared" si="1057"/>
        <v>12000</v>
      </c>
      <c r="N435" s="9">
        <f t="shared" si="1057"/>
        <v>12400</v>
      </c>
      <c r="O435" s="9">
        <f t="shared" si="1057"/>
        <v>12800</v>
      </c>
      <c r="P435" s="9">
        <f t="shared" si="1057"/>
        <v>13200</v>
      </c>
      <c r="Q435" s="9">
        <f t="shared" si="1057"/>
        <v>13600</v>
      </c>
      <c r="R435" s="9">
        <f t="shared" si="1057"/>
        <v>14000</v>
      </c>
      <c r="S435" s="47">
        <f t="shared" si="1057"/>
        <v>14400</v>
      </c>
    </row>
    <row r="436" spans="1:19" x14ac:dyDescent="0.2">
      <c r="A436" s="54"/>
      <c r="B436" s="9"/>
      <c r="C436" s="134"/>
      <c r="D436" s="134"/>
      <c r="E436" s="134"/>
      <c r="F436" s="1153"/>
      <c r="G436" s="257"/>
      <c r="H436" s="9"/>
      <c r="I436" s="85"/>
      <c r="J436" s="9"/>
      <c r="K436" s="9"/>
      <c r="L436" s="9"/>
      <c r="M436" s="9"/>
      <c r="N436" s="9"/>
      <c r="O436" s="9"/>
      <c r="P436" s="9"/>
      <c r="Q436" s="9"/>
      <c r="R436" s="9"/>
      <c r="S436" s="47"/>
    </row>
    <row r="437" spans="1:19" x14ac:dyDescent="0.2">
      <c r="A437" s="54"/>
      <c r="B437" s="9"/>
      <c r="C437" s="134"/>
      <c r="D437" s="134"/>
      <c r="E437" s="134"/>
      <c r="F437" s="1153"/>
      <c r="G437" s="260" t="s">
        <v>163</v>
      </c>
      <c r="H437" s="9"/>
      <c r="I437" s="85"/>
      <c r="J437" s="9"/>
      <c r="K437" s="9"/>
      <c r="L437" s="9"/>
      <c r="M437" s="9"/>
      <c r="N437" s="9"/>
      <c r="O437" s="9"/>
      <c r="P437" s="9"/>
      <c r="Q437" s="9"/>
      <c r="R437" s="9"/>
      <c r="S437" s="47"/>
    </row>
    <row r="438" spans="1:19" x14ac:dyDescent="0.2">
      <c r="A438" s="54">
        <f>ROUND(SUM(A1406:A1416),-3)</f>
        <v>61000</v>
      </c>
      <c r="B438" s="9">
        <f>SUM(B1406:B1416)</f>
        <v>65200</v>
      </c>
      <c r="C438" s="134">
        <f>SUM(C1406:C1416)</f>
        <v>73100</v>
      </c>
      <c r="D438" s="134">
        <f>SUM(D1406:D1416)</f>
        <v>70400</v>
      </c>
      <c r="E438" s="134">
        <f t="shared" ref="E438" si="1058">SUM(E1406:E1416)</f>
        <v>79700</v>
      </c>
      <c r="F438" s="1153">
        <v>32275</v>
      </c>
      <c r="G438" s="634" t="s">
        <v>4724</v>
      </c>
      <c r="H438" s="134">
        <f t="shared" ref="H438:P438" si="1059">SUM(H1406:H1416)</f>
        <v>70400</v>
      </c>
      <c r="I438" s="85">
        <f>IF(E438=H438,0,IF(E438=0,100,(H438-E438)/E438*100))</f>
        <v>-11.668757841907151</v>
      </c>
      <c r="J438" s="134">
        <f t="shared" si="1059"/>
        <v>72600</v>
      </c>
      <c r="K438" s="134">
        <f t="shared" si="1059"/>
        <v>75000</v>
      </c>
      <c r="L438" s="134">
        <f t="shared" si="1059"/>
        <v>77400</v>
      </c>
      <c r="M438" s="134">
        <f t="shared" si="1059"/>
        <v>79900</v>
      </c>
      <c r="N438" s="134">
        <f t="shared" si="1059"/>
        <v>82400</v>
      </c>
      <c r="O438" s="134">
        <f t="shared" si="1059"/>
        <v>84900</v>
      </c>
      <c r="P438" s="9">
        <f t="shared" si="1059"/>
        <v>87400</v>
      </c>
      <c r="Q438" s="9">
        <f t="shared" ref="Q438" si="1060">SUM(Q1406:Q1416)</f>
        <v>90100</v>
      </c>
      <c r="R438" s="9">
        <f t="shared" ref="R438" si="1061">SUM(R1406:R1416)</f>
        <v>92800</v>
      </c>
      <c r="S438" s="47">
        <f t="shared" ref="S438" si="1062">SUM(S1406:S1416)</f>
        <v>95500</v>
      </c>
    </row>
    <row r="439" spans="1:19" x14ac:dyDescent="0.2">
      <c r="A439" s="54">
        <f>ROUND(SUM(A1417:A1418),-3)</f>
        <v>56000</v>
      </c>
      <c r="B439" s="9">
        <f>SUM(B1417:B1418)</f>
        <v>98700</v>
      </c>
      <c r="C439" s="134">
        <f>SUM(C1417:C1418)</f>
        <v>101000</v>
      </c>
      <c r="D439" s="134">
        <f>SUM(D1417:D1418)</f>
        <v>103400</v>
      </c>
      <c r="E439" s="134">
        <f>SUM(E1417:E1418)</f>
        <v>105300</v>
      </c>
      <c r="F439" s="1153">
        <v>32277</v>
      </c>
      <c r="G439" s="634" t="s">
        <v>6786</v>
      </c>
      <c r="H439" s="9">
        <f t="shared" ref="H439:Q439" si="1063">SUM(H1417:H1418)</f>
        <v>106900</v>
      </c>
      <c r="I439" s="85">
        <f>IF(E439=H439,0,IF(E439=0,100,(H439-E439)/E439*100))</f>
        <v>1.5194681861348529</v>
      </c>
      <c r="J439" s="9">
        <f t="shared" si="1063"/>
        <v>109400</v>
      </c>
      <c r="K439" s="9">
        <f t="shared" si="1063"/>
        <v>112200</v>
      </c>
      <c r="L439" s="9">
        <f t="shared" si="1063"/>
        <v>115100</v>
      </c>
      <c r="M439" s="9">
        <f t="shared" si="1063"/>
        <v>118000</v>
      </c>
      <c r="N439" s="9">
        <f t="shared" si="1063"/>
        <v>121000</v>
      </c>
      <c r="O439" s="9">
        <f t="shared" si="1063"/>
        <v>124100</v>
      </c>
      <c r="P439" s="9">
        <f t="shared" si="1063"/>
        <v>127300</v>
      </c>
      <c r="Q439" s="9">
        <f t="shared" si="1063"/>
        <v>130500</v>
      </c>
      <c r="R439" s="9">
        <f t="shared" ref="R439" si="1064">SUM(R1417:R1418)</f>
        <v>133800</v>
      </c>
      <c r="S439" s="47">
        <f t="shared" ref="S439" si="1065">SUM(S1417:S1418)</f>
        <v>137200</v>
      </c>
    </row>
    <row r="440" spans="1:19" x14ac:dyDescent="0.2">
      <c r="A440" s="54">
        <f>ROUND(SUM(A1419:A1420),-3)</f>
        <v>10000</v>
      </c>
      <c r="B440" s="9">
        <f>SUM(B1419:B1420)</f>
        <v>5500</v>
      </c>
      <c r="C440" s="134">
        <f>SUM(C1419:C1420)</f>
        <v>9500</v>
      </c>
      <c r="D440" s="134">
        <f>SUM(D1419:D1420)</f>
        <v>12600</v>
      </c>
      <c r="E440" s="134">
        <f>SUM(E1419:E1420)</f>
        <v>9000</v>
      </c>
      <c r="F440" s="1153">
        <v>32277</v>
      </c>
      <c r="G440" s="257" t="s">
        <v>1700</v>
      </c>
      <c r="H440" s="9">
        <f t="shared" ref="H440:Q440" si="1066">SUM(H1419:H1420)</f>
        <v>14200</v>
      </c>
      <c r="I440" s="85">
        <f>IF(E440=H440,0,IF(E440=0,100,(H440-E440)/E440*100))</f>
        <v>57.777777777777771</v>
      </c>
      <c r="J440" s="9">
        <f t="shared" si="1066"/>
        <v>14600</v>
      </c>
      <c r="K440" s="9">
        <f t="shared" si="1066"/>
        <v>15100</v>
      </c>
      <c r="L440" s="9">
        <f t="shared" si="1066"/>
        <v>15600</v>
      </c>
      <c r="M440" s="9">
        <f t="shared" si="1066"/>
        <v>16100</v>
      </c>
      <c r="N440" s="9">
        <f t="shared" si="1066"/>
        <v>16600</v>
      </c>
      <c r="O440" s="9">
        <f t="shared" si="1066"/>
        <v>17100</v>
      </c>
      <c r="P440" s="9">
        <f t="shared" si="1066"/>
        <v>17600</v>
      </c>
      <c r="Q440" s="9">
        <f t="shared" si="1066"/>
        <v>18200</v>
      </c>
      <c r="R440" s="9">
        <f t="shared" ref="R440" si="1067">SUM(R1419:R1420)</f>
        <v>18800</v>
      </c>
      <c r="S440" s="47">
        <f t="shared" ref="S440" si="1068">SUM(S1419:S1420)</f>
        <v>19400</v>
      </c>
    </row>
    <row r="441" spans="1:19" x14ac:dyDescent="0.2">
      <c r="A441" s="54">
        <f>ROUND(SUM(A1421:A1460),-3)</f>
        <v>144000</v>
      </c>
      <c r="B441" s="9">
        <f>SUM(B1421:B1460)</f>
        <v>233100</v>
      </c>
      <c r="C441" s="134">
        <f>SUM(C1421:C1460)</f>
        <v>173800</v>
      </c>
      <c r="D441" s="134">
        <f>SUM(D1421:D1460)</f>
        <v>322900</v>
      </c>
      <c r="E441" s="134">
        <f>SUM(E1421:E1460)</f>
        <v>160700</v>
      </c>
      <c r="F441" s="1153">
        <v>32279</v>
      </c>
      <c r="G441" s="634" t="s">
        <v>5852</v>
      </c>
      <c r="H441" s="9">
        <f t="shared" ref="H441:Q441" si="1069">SUM(H1421:H1460)</f>
        <v>203000</v>
      </c>
      <c r="I441" s="85">
        <f>IF(E441=H441,0,IF(E441=0,100,(H441-E441)/E441*100))</f>
        <v>26.322339763534536</v>
      </c>
      <c r="J441" s="9">
        <f t="shared" si="1069"/>
        <v>55200</v>
      </c>
      <c r="K441" s="9">
        <f t="shared" si="1069"/>
        <v>57100</v>
      </c>
      <c r="L441" s="9">
        <f t="shared" si="1069"/>
        <v>59000</v>
      </c>
      <c r="M441" s="9">
        <f t="shared" si="1069"/>
        <v>60900</v>
      </c>
      <c r="N441" s="9">
        <f t="shared" si="1069"/>
        <v>62800</v>
      </c>
      <c r="O441" s="9">
        <f t="shared" si="1069"/>
        <v>64900</v>
      </c>
      <c r="P441" s="9">
        <f t="shared" si="1069"/>
        <v>67000</v>
      </c>
      <c r="Q441" s="9">
        <f t="shared" si="1069"/>
        <v>69100</v>
      </c>
      <c r="R441" s="9">
        <f t="shared" ref="R441" si="1070">SUM(R1421:R1460)</f>
        <v>71200</v>
      </c>
      <c r="S441" s="47">
        <f t="shared" ref="S441" si="1071">SUM(S1421:S1460)</f>
        <v>73400</v>
      </c>
    </row>
    <row r="442" spans="1:19" x14ac:dyDescent="0.2">
      <c r="A442" s="54"/>
      <c r="B442" s="9"/>
      <c r="C442" s="134"/>
      <c r="D442" s="134"/>
      <c r="E442" s="134"/>
      <c r="F442" s="1153"/>
      <c r="G442" s="257"/>
      <c r="H442" s="9"/>
      <c r="I442" s="85"/>
      <c r="J442" s="9"/>
      <c r="K442" s="9"/>
      <c r="L442" s="9"/>
      <c r="M442" s="9"/>
      <c r="N442" s="9"/>
      <c r="O442" s="9"/>
      <c r="P442" s="9"/>
      <c r="Q442" s="9"/>
      <c r="R442" s="9"/>
      <c r="S442" s="47"/>
    </row>
    <row r="443" spans="1:19" x14ac:dyDescent="0.2">
      <c r="A443" s="54"/>
      <c r="B443" s="9"/>
      <c r="C443" s="134"/>
      <c r="D443" s="134"/>
      <c r="E443" s="134"/>
      <c r="F443" s="1153"/>
      <c r="G443" s="780" t="s">
        <v>4523</v>
      </c>
      <c r="H443" s="9"/>
      <c r="I443" s="85"/>
      <c r="J443" s="9"/>
      <c r="K443" s="9"/>
      <c r="L443" s="9"/>
      <c r="M443" s="9"/>
      <c r="N443" s="9"/>
      <c r="O443" s="9"/>
      <c r="P443" s="9"/>
      <c r="Q443" s="9"/>
      <c r="R443" s="9"/>
      <c r="S443" s="47"/>
    </row>
    <row r="444" spans="1:19" x14ac:dyDescent="0.2">
      <c r="A444" s="54">
        <f>ROUND(SUM(A1543:A1567),-3)</f>
        <v>313000</v>
      </c>
      <c r="B444" s="9">
        <f>SUM(B1543:B1567)</f>
        <v>302200</v>
      </c>
      <c r="C444" s="134">
        <f>SUM(C1543:C1567)</f>
        <v>368400</v>
      </c>
      <c r="D444" s="134">
        <f>SUM(D1544:D1568)</f>
        <v>410400</v>
      </c>
      <c r="E444" s="134">
        <f>SUM(E1544:E1568)</f>
        <v>447100</v>
      </c>
      <c r="F444" s="1153">
        <v>32310</v>
      </c>
      <c r="G444" s="634" t="s">
        <v>4725</v>
      </c>
      <c r="H444" s="9">
        <f t="shared" ref="H444:Q444" si="1072">SUM(H1544:H1568)</f>
        <v>408900</v>
      </c>
      <c r="I444" s="85">
        <f>IF(E444=H444,0,IF(E444=0,100,(H444-E444)/E444*100))</f>
        <v>-8.5439498993513752</v>
      </c>
      <c r="J444" s="9">
        <f t="shared" si="1072"/>
        <v>409600</v>
      </c>
      <c r="K444" s="9">
        <f t="shared" si="1072"/>
        <v>428400</v>
      </c>
      <c r="L444" s="9">
        <f t="shared" si="1072"/>
        <v>440200</v>
      </c>
      <c r="M444" s="9">
        <f t="shared" si="1072"/>
        <v>452300</v>
      </c>
      <c r="N444" s="9">
        <f t="shared" si="1072"/>
        <v>464800</v>
      </c>
      <c r="O444" s="9">
        <f t="shared" si="1072"/>
        <v>477500</v>
      </c>
      <c r="P444" s="9">
        <f t="shared" si="1072"/>
        <v>490400</v>
      </c>
      <c r="Q444" s="9">
        <f t="shared" si="1072"/>
        <v>503700</v>
      </c>
      <c r="R444" s="9">
        <f t="shared" ref="R444" si="1073">SUM(R1544:R1568)</f>
        <v>517300</v>
      </c>
      <c r="S444" s="47">
        <f t="shared" ref="S444" si="1074">SUM(S1544:S1568)</f>
        <v>531400</v>
      </c>
    </row>
    <row r="445" spans="1:19" x14ac:dyDescent="0.2">
      <c r="A445" s="54">
        <f>ROUND(SUM(A1489:A1499),-3)</f>
        <v>257000</v>
      </c>
      <c r="B445" s="9">
        <f>SUM(B1489:B1499)</f>
        <v>219500</v>
      </c>
      <c r="C445" s="134">
        <f>SUM(C1489:C1499)</f>
        <v>275000</v>
      </c>
      <c r="D445" s="134">
        <f>SUM(D1489:D1499)</f>
        <v>289200</v>
      </c>
      <c r="E445" s="134">
        <f t="shared" ref="E445" si="1075">SUM(E1489:E1499)</f>
        <v>318500</v>
      </c>
      <c r="F445" s="1153">
        <v>32300</v>
      </c>
      <c r="G445" s="79" t="s">
        <v>4522</v>
      </c>
      <c r="H445" s="9">
        <f t="shared" ref="H445:O445" si="1076">SUM(H1489:H1499)</f>
        <v>290500</v>
      </c>
      <c r="I445" s="85">
        <f>IF(E445=H445,0,IF(E445=0,100,(H445-E445)/E445*100))</f>
        <v>-8.791208791208792</v>
      </c>
      <c r="J445" s="9">
        <f t="shared" si="1076"/>
        <v>297500</v>
      </c>
      <c r="K445" s="9">
        <f t="shared" si="1076"/>
        <v>305300</v>
      </c>
      <c r="L445" s="9">
        <f t="shared" si="1076"/>
        <v>313300</v>
      </c>
      <c r="M445" s="9">
        <f t="shared" si="1076"/>
        <v>321500</v>
      </c>
      <c r="N445" s="9">
        <f t="shared" si="1076"/>
        <v>329900</v>
      </c>
      <c r="O445" s="9">
        <f t="shared" si="1076"/>
        <v>338400</v>
      </c>
      <c r="P445" s="9">
        <f t="shared" ref="P445:Q445" si="1077">SUM(P1489:P1499)</f>
        <v>347200</v>
      </c>
      <c r="Q445" s="9">
        <f t="shared" si="1077"/>
        <v>356200</v>
      </c>
      <c r="R445" s="9">
        <f t="shared" ref="R445" si="1078">SUM(R1489:R1499)</f>
        <v>365500</v>
      </c>
      <c r="S445" s="47">
        <f t="shared" ref="S445" si="1079">SUM(S1489:S1499)</f>
        <v>374900</v>
      </c>
    </row>
    <row r="446" spans="1:19" x14ac:dyDescent="0.2">
      <c r="A446" s="54"/>
      <c r="B446" s="9"/>
      <c r="C446" s="134"/>
      <c r="D446" s="134"/>
      <c r="E446" s="134"/>
      <c r="F446" s="1153"/>
      <c r="G446" s="9"/>
      <c r="H446" s="9"/>
      <c r="I446" s="85"/>
      <c r="J446" s="9"/>
      <c r="K446" s="9"/>
      <c r="L446" s="9"/>
      <c r="M446" s="9"/>
      <c r="N446" s="9"/>
      <c r="O446" s="9"/>
      <c r="P446" s="9"/>
      <c r="Q446" s="9"/>
      <c r="R446" s="9"/>
      <c r="S446" s="47"/>
    </row>
    <row r="447" spans="1:19" x14ac:dyDescent="0.2">
      <c r="A447" s="54"/>
      <c r="B447" s="9"/>
      <c r="C447" s="134"/>
      <c r="D447" s="134"/>
      <c r="E447" s="134"/>
      <c r="F447" s="1153"/>
      <c r="G447" s="21" t="str">
        <f>G101</f>
        <v>Non-Cash Expenses</v>
      </c>
      <c r="H447" s="9"/>
      <c r="I447" s="85"/>
      <c r="J447" s="9"/>
      <c r="K447" s="9"/>
      <c r="L447" s="9"/>
      <c r="M447" s="9"/>
      <c r="N447" s="9"/>
      <c r="O447" s="9"/>
      <c r="P447" s="9"/>
      <c r="Q447" s="9"/>
      <c r="R447" s="9"/>
      <c r="S447" s="47"/>
    </row>
    <row r="448" spans="1:19" x14ac:dyDescent="0.2">
      <c r="A448" s="54">
        <f>ROUND(A1504,-3)</f>
        <v>5000</v>
      </c>
      <c r="B448" s="9">
        <f>B1504</f>
        <v>7200</v>
      </c>
      <c r="C448" s="134">
        <f>C1504</f>
        <v>21300</v>
      </c>
      <c r="D448" s="134">
        <f>D1504</f>
        <v>19600</v>
      </c>
      <c r="E448" s="134">
        <f t="shared" ref="E448" si="1080">E1504</f>
        <v>19000</v>
      </c>
      <c r="F448" s="167">
        <v>32261</v>
      </c>
      <c r="G448" s="781" t="s">
        <v>1637</v>
      </c>
      <c r="H448" s="9">
        <f t="shared" ref="H448:O448" si="1081">H1504</f>
        <v>22500</v>
      </c>
      <c r="I448" s="85">
        <f>IF(E448=H448,0,IF(E448=0,100,(H448-E448)/E448*100))</f>
        <v>18.421052631578945</v>
      </c>
      <c r="J448" s="9">
        <f t="shared" si="1081"/>
        <v>23000</v>
      </c>
      <c r="K448" s="9">
        <f t="shared" si="1081"/>
        <v>23500</v>
      </c>
      <c r="L448" s="9">
        <f t="shared" si="1081"/>
        <v>24000</v>
      </c>
      <c r="M448" s="9">
        <f t="shared" si="1081"/>
        <v>24500</v>
      </c>
      <c r="N448" s="9">
        <f t="shared" si="1081"/>
        <v>25000</v>
      </c>
      <c r="O448" s="9">
        <f t="shared" si="1081"/>
        <v>25500</v>
      </c>
      <c r="P448" s="9">
        <f t="shared" ref="P448:Q448" si="1082">P1504</f>
        <v>26100</v>
      </c>
      <c r="Q448" s="9">
        <f t="shared" si="1082"/>
        <v>26700</v>
      </c>
      <c r="R448" s="9">
        <f t="shared" ref="R448" si="1083">R1504</f>
        <v>27300</v>
      </c>
      <c r="S448" s="47">
        <f t="shared" ref="S448" si="1084">S1504</f>
        <v>27900</v>
      </c>
    </row>
    <row r="449" spans="1:21" x14ac:dyDescent="0.2">
      <c r="A449" s="54">
        <f t="shared" ref="A449:B449" si="1085">A1367</f>
        <v>0</v>
      </c>
      <c r="B449" s="9">
        <f t="shared" si="1085"/>
        <v>0</v>
      </c>
      <c r="C449" s="134">
        <f>C1367</f>
        <v>0</v>
      </c>
      <c r="D449" s="134">
        <f>D1367</f>
        <v>0</v>
      </c>
      <c r="E449" s="134">
        <f t="shared" ref="E449" si="1086">E1367</f>
        <v>0</v>
      </c>
      <c r="F449" s="1152"/>
      <c r="G449" s="781" t="s">
        <v>4521</v>
      </c>
      <c r="H449" s="9">
        <f t="shared" ref="H449:O449" si="1087">H1367</f>
        <v>0</v>
      </c>
      <c r="I449" s="85">
        <f>IF(E449=H449,0,IF(E449=0,100,(H449-E449)/E449*100))</f>
        <v>0</v>
      </c>
      <c r="J449" s="9">
        <f t="shared" si="1087"/>
        <v>0</v>
      </c>
      <c r="K449" s="9">
        <f t="shared" si="1087"/>
        <v>0</v>
      </c>
      <c r="L449" s="9">
        <f t="shared" si="1087"/>
        <v>0</v>
      </c>
      <c r="M449" s="9">
        <f t="shared" si="1087"/>
        <v>0</v>
      </c>
      <c r="N449" s="9">
        <f t="shared" si="1087"/>
        <v>0</v>
      </c>
      <c r="O449" s="9">
        <f t="shared" si="1087"/>
        <v>0</v>
      </c>
      <c r="P449" s="9">
        <f t="shared" ref="P449:Q449" si="1088">P1367</f>
        <v>0</v>
      </c>
      <c r="Q449" s="9">
        <f t="shared" si="1088"/>
        <v>0</v>
      </c>
      <c r="R449" s="9">
        <f t="shared" ref="R449" si="1089">R1367</f>
        <v>0</v>
      </c>
      <c r="S449" s="47">
        <f t="shared" ref="S449" si="1090">S1367</f>
        <v>0</v>
      </c>
    </row>
    <row r="450" spans="1:21" ht="13.5" thickBot="1" x14ac:dyDescent="0.25">
      <c r="A450" s="54">
        <f t="shared" ref="A450:B450" si="1091">A1368</f>
        <v>0</v>
      </c>
      <c r="B450" s="9">
        <f t="shared" si="1091"/>
        <v>38700</v>
      </c>
      <c r="C450" s="134">
        <f>C1368</f>
        <v>85000</v>
      </c>
      <c r="D450" s="134">
        <f>D1368</f>
        <v>0</v>
      </c>
      <c r="E450" s="134">
        <f t="shared" ref="E450" si="1092">E1368</f>
        <v>1675100</v>
      </c>
      <c r="F450" s="1152"/>
      <c r="G450" s="420" t="s">
        <v>4448</v>
      </c>
      <c r="H450" s="9">
        <f t="shared" ref="H450:O450" si="1093">H1368</f>
        <v>0</v>
      </c>
      <c r="I450" s="85">
        <f>IF(E450=H450,0,IF(E450=0,100,(H450-E450)/E450*100))</f>
        <v>-100</v>
      </c>
      <c r="J450" s="9">
        <f t="shared" si="1093"/>
        <v>0</v>
      </c>
      <c r="K450" s="9">
        <f t="shared" si="1093"/>
        <v>0</v>
      </c>
      <c r="L450" s="9">
        <f t="shared" si="1093"/>
        <v>0</v>
      </c>
      <c r="M450" s="9">
        <f t="shared" si="1093"/>
        <v>0</v>
      </c>
      <c r="N450" s="9">
        <f t="shared" si="1093"/>
        <v>0</v>
      </c>
      <c r="O450" s="9">
        <f t="shared" si="1093"/>
        <v>0</v>
      </c>
      <c r="P450" s="9">
        <f t="shared" ref="P450:Q450" si="1094">P1368</f>
        <v>0</v>
      </c>
      <c r="Q450" s="9">
        <f t="shared" si="1094"/>
        <v>0</v>
      </c>
      <c r="R450" s="9">
        <f t="shared" ref="R450" si="1095">R1368</f>
        <v>0</v>
      </c>
      <c r="S450" s="47">
        <f t="shared" ref="S450" si="1096">S1368</f>
        <v>0</v>
      </c>
    </row>
    <row r="451" spans="1:21" s="39" customFormat="1" x14ac:dyDescent="0.2">
      <c r="A451" s="52">
        <f>SUM(A420:A450)</f>
        <v>3141000</v>
      </c>
      <c r="B451" s="16">
        <f>SUM(B420:B450)</f>
        <v>3310700</v>
      </c>
      <c r="C451" s="145">
        <f>SUM(C420:C450)</f>
        <v>3448900</v>
      </c>
      <c r="D451" s="145">
        <f>SUM(D420:D450)</f>
        <v>3699500</v>
      </c>
      <c r="E451" s="145">
        <f t="shared" ref="E451" si="1097">SUM(E420:E450)</f>
        <v>5443600</v>
      </c>
      <c r="F451" s="164"/>
      <c r="G451" s="267" t="s">
        <v>556</v>
      </c>
      <c r="H451" s="16">
        <f t="shared" ref="H451:P451" si="1098">SUM(H420:H450)</f>
        <v>3906100</v>
      </c>
      <c r="I451" s="127">
        <f>IF(E451=H451,0,IF(E451=0,100,(H451-E451)/E451*100))</f>
        <v>-28.244176647806597</v>
      </c>
      <c r="J451" s="16">
        <f t="shared" si="1098"/>
        <v>3774600</v>
      </c>
      <c r="K451" s="16">
        <f t="shared" si="1098"/>
        <v>3880300</v>
      </c>
      <c r="L451" s="16">
        <f t="shared" si="1098"/>
        <v>3980900</v>
      </c>
      <c r="M451" s="16">
        <f t="shared" si="1098"/>
        <v>4084000</v>
      </c>
      <c r="N451" s="16">
        <f t="shared" si="1098"/>
        <v>4189700</v>
      </c>
      <c r="O451" s="16">
        <f t="shared" si="1098"/>
        <v>4297700</v>
      </c>
      <c r="P451" s="16">
        <f t="shared" si="1098"/>
        <v>4408100</v>
      </c>
      <c r="Q451" s="16">
        <f t="shared" ref="Q451" si="1099">SUM(Q420:Q450)</f>
        <v>4521400</v>
      </c>
      <c r="R451" s="16">
        <f t="shared" ref="R451" si="1100">SUM(R420:R450)</f>
        <v>4627000</v>
      </c>
      <c r="S451" s="2342">
        <f t="shared" ref="S451" si="1101">SUM(S420:S450)</f>
        <v>4735200</v>
      </c>
      <c r="U451" s="34"/>
    </row>
    <row r="452" spans="1:21" x14ac:dyDescent="0.2">
      <c r="A452" s="54"/>
      <c r="B452" s="9"/>
      <c r="C452" s="134"/>
      <c r="D452" s="134"/>
      <c r="E452" s="134"/>
      <c r="F452" s="1153"/>
      <c r="G452" s="257"/>
      <c r="H452" s="9"/>
      <c r="I452" s="85"/>
      <c r="J452" s="9"/>
      <c r="K452" s="9"/>
      <c r="L452" s="9"/>
      <c r="M452" s="9"/>
      <c r="N452" s="9"/>
      <c r="O452" s="9"/>
      <c r="P452" s="9"/>
      <c r="Q452" s="9"/>
      <c r="R452" s="9"/>
      <c r="S452" s="47"/>
    </row>
    <row r="453" spans="1:21" s="39" customFormat="1" x14ac:dyDescent="0.2">
      <c r="A453" s="24">
        <f>A418-A451</f>
        <v>-2234800</v>
      </c>
      <c r="B453" s="21">
        <f>B418-B451</f>
        <v>-2323700</v>
      </c>
      <c r="C453" s="138">
        <f>C418-C451</f>
        <v>-2485800</v>
      </c>
      <c r="D453" s="138">
        <f>D418-D451</f>
        <v>-2649900</v>
      </c>
      <c r="E453" s="138">
        <f t="shared" ref="E453" si="1102">E418-E451</f>
        <v>-4564900</v>
      </c>
      <c r="F453" s="164"/>
      <c r="G453" s="260" t="s">
        <v>1002</v>
      </c>
      <c r="H453" s="21">
        <f t="shared" ref="H453:P453" si="1103">H418-H451</f>
        <v>-3080000</v>
      </c>
      <c r="I453" s="126">
        <f>IF(E453=H453,0,IF(E453=0,100,(H453-E453)/E453*100))</f>
        <v>-32.52864246752393</v>
      </c>
      <c r="J453" s="21">
        <f t="shared" si="1103"/>
        <v>-2979100</v>
      </c>
      <c r="K453" s="21">
        <f t="shared" si="1103"/>
        <v>-3064100</v>
      </c>
      <c r="L453" s="21">
        <f t="shared" si="1103"/>
        <v>-3143400</v>
      </c>
      <c r="M453" s="21">
        <f t="shared" si="1103"/>
        <v>-3224900</v>
      </c>
      <c r="N453" s="21">
        <f t="shared" si="1103"/>
        <v>-3308400</v>
      </c>
      <c r="O453" s="21">
        <f t="shared" si="1103"/>
        <v>-3393600</v>
      </c>
      <c r="P453" s="21">
        <f t="shared" si="1103"/>
        <v>-3480700</v>
      </c>
      <c r="Q453" s="21">
        <f t="shared" ref="Q453" si="1104">Q418-Q451</f>
        <v>-3570300</v>
      </c>
      <c r="R453" s="21">
        <f t="shared" ref="R453" si="1105">R418-R451</f>
        <v>-3651500</v>
      </c>
      <c r="S453" s="86">
        <f t="shared" ref="S453" si="1106">S418-S451</f>
        <v>-3734700</v>
      </c>
      <c r="U453" s="34"/>
    </row>
    <row r="454" spans="1:21" x14ac:dyDescent="0.2">
      <c r="A454" s="54">
        <f>A449+A448</f>
        <v>5000</v>
      </c>
      <c r="B454" s="9">
        <f>B449+B448</f>
        <v>7200</v>
      </c>
      <c r="C454" s="134">
        <f>C449+C448</f>
        <v>21300</v>
      </c>
      <c r="D454" s="134">
        <f>D449+D448</f>
        <v>19600</v>
      </c>
      <c r="E454" s="134">
        <f t="shared" ref="E454" si="1107">E449+E448</f>
        <v>19000</v>
      </c>
      <c r="F454" s="1153"/>
      <c r="G454" s="261" t="s">
        <v>1943</v>
      </c>
      <c r="H454" s="134">
        <f t="shared" ref="H454:P454" si="1108">H449+H448</f>
        <v>22500</v>
      </c>
      <c r="I454" s="85">
        <f>IF(E454=H454,0,IF(E454=0,100,(H454-E454)/E454*100))</f>
        <v>18.421052631578945</v>
      </c>
      <c r="J454" s="134">
        <f t="shared" si="1108"/>
        <v>23000</v>
      </c>
      <c r="K454" s="134">
        <f t="shared" si="1108"/>
        <v>23500</v>
      </c>
      <c r="L454" s="134">
        <f t="shared" si="1108"/>
        <v>24000</v>
      </c>
      <c r="M454" s="134">
        <f t="shared" si="1108"/>
        <v>24500</v>
      </c>
      <c r="N454" s="134">
        <f t="shared" si="1108"/>
        <v>25000</v>
      </c>
      <c r="O454" s="134">
        <f t="shared" si="1108"/>
        <v>25500</v>
      </c>
      <c r="P454" s="134">
        <f t="shared" si="1108"/>
        <v>26100</v>
      </c>
      <c r="Q454" s="134">
        <f t="shared" ref="Q454" si="1109">Q449+Q448</f>
        <v>26700</v>
      </c>
      <c r="R454" s="134">
        <f t="shared" ref="R454" si="1110">R449+R448</f>
        <v>27300</v>
      </c>
      <c r="S454" s="2359">
        <f t="shared" ref="S454" si="1111">S449+S448</f>
        <v>27900</v>
      </c>
    </row>
    <row r="455" spans="1:21" x14ac:dyDescent="0.2">
      <c r="A455" s="54">
        <f>A450</f>
        <v>0</v>
      </c>
      <c r="B455" s="9">
        <f>B450</f>
        <v>38700</v>
      </c>
      <c r="C455" s="134">
        <f>C450</f>
        <v>85000</v>
      </c>
      <c r="D455" s="134">
        <f>D450</f>
        <v>0</v>
      </c>
      <c r="E455" s="134">
        <f t="shared" ref="E455" si="1112">E450</f>
        <v>1675100</v>
      </c>
      <c r="F455" s="1153"/>
      <c r="G455" s="261" t="s">
        <v>4519</v>
      </c>
      <c r="H455" s="134">
        <f t="shared" ref="H455:P455" si="1113">H450</f>
        <v>0</v>
      </c>
      <c r="I455" s="85">
        <f>IF(E455=H455,0,IF(E455=0,100,(H455-E455)/E455*100))</f>
        <v>-100</v>
      </c>
      <c r="J455" s="134">
        <f t="shared" si="1113"/>
        <v>0</v>
      </c>
      <c r="K455" s="134">
        <f t="shared" si="1113"/>
        <v>0</v>
      </c>
      <c r="L455" s="134">
        <f t="shared" si="1113"/>
        <v>0</v>
      </c>
      <c r="M455" s="134">
        <f t="shared" si="1113"/>
        <v>0</v>
      </c>
      <c r="N455" s="134">
        <f t="shared" si="1113"/>
        <v>0</v>
      </c>
      <c r="O455" s="134">
        <f t="shared" si="1113"/>
        <v>0</v>
      </c>
      <c r="P455" s="134">
        <f t="shared" si="1113"/>
        <v>0</v>
      </c>
      <c r="Q455" s="134">
        <f t="shared" ref="Q455" si="1114">Q450</f>
        <v>0</v>
      </c>
      <c r="R455" s="134">
        <f t="shared" ref="R455" si="1115">R450</f>
        <v>0</v>
      </c>
      <c r="S455" s="2359">
        <f t="shared" ref="S455" si="1116">S450</f>
        <v>0</v>
      </c>
    </row>
    <row r="456" spans="1:21" s="39" customFormat="1" x14ac:dyDescent="0.2">
      <c r="A456" s="128">
        <f t="shared" ref="A456:B456" si="1117">A453+A454+A455</f>
        <v>-2229800</v>
      </c>
      <c r="B456" s="280">
        <f t="shared" si="1117"/>
        <v>-2277800</v>
      </c>
      <c r="C456" s="529">
        <f>C453+C454+C455</f>
        <v>-2379500</v>
      </c>
      <c r="D456" s="529">
        <f>D453+D454+D455</f>
        <v>-2630300</v>
      </c>
      <c r="E456" s="529">
        <f t="shared" ref="E456" si="1118">E453+E454+E455</f>
        <v>-2870800</v>
      </c>
      <c r="F456" s="367"/>
      <c r="G456" s="363" t="s">
        <v>1659</v>
      </c>
      <c r="H456" s="529">
        <f t="shared" ref="H456:O456" si="1119">H453+H454+H455</f>
        <v>-3057500</v>
      </c>
      <c r="I456" s="278">
        <f>IF(E456=H456,0,IF(E456=0,100,(H456-E456)/E456*100))</f>
        <v>6.5034136825971851</v>
      </c>
      <c r="J456" s="529">
        <f t="shared" si="1119"/>
        <v>-2956100</v>
      </c>
      <c r="K456" s="529">
        <f t="shared" si="1119"/>
        <v>-3040600</v>
      </c>
      <c r="L456" s="529">
        <f t="shared" si="1119"/>
        <v>-3119400</v>
      </c>
      <c r="M456" s="529">
        <f t="shared" si="1119"/>
        <v>-3200400</v>
      </c>
      <c r="N456" s="529">
        <f t="shared" si="1119"/>
        <v>-3283400</v>
      </c>
      <c r="O456" s="529">
        <f t="shared" si="1119"/>
        <v>-3368100</v>
      </c>
      <c r="P456" s="529">
        <f t="shared" ref="P456:Q456" si="1120">P453+P454+P455</f>
        <v>-3454600</v>
      </c>
      <c r="Q456" s="529">
        <f t="shared" si="1120"/>
        <v>-3543600</v>
      </c>
      <c r="R456" s="529">
        <f t="shared" ref="R456" si="1121">R453+R454+R455</f>
        <v>-3624200</v>
      </c>
      <c r="S456" s="2410">
        <f t="shared" ref="S456" si="1122">S453+S454+S455</f>
        <v>-3706800</v>
      </c>
      <c r="U456" s="34"/>
    </row>
    <row r="457" spans="1:21" ht="13.5" thickBot="1" x14ac:dyDescent="0.25">
      <c r="A457" s="544"/>
      <c r="B457" s="21"/>
      <c r="C457" s="138"/>
      <c r="D457" s="138"/>
      <c r="E457" s="138"/>
      <c r="F457" s="1152"/>
      <c r="G457" s="122"/>
      <c r="H457" s="9"/>
      <c r="I457" s="126"/>
      <c r="J457" s="9"/>
      <c r="K457" s="9"/>
      <c r="L457" s="9"/>
      <c r="M457" s="9"/>
      <c r="N457" s="9"/>
      <c r="O457" s="9"/>
      <c r="P457" s="9"/>
      <c r="Q457" s="9"/>
      <c r="R457" s="9"/>
      <c r="S457" s="61"/>
    </row>
    <row r="458" spans="1:21" ht="13.5" thickTop="1" x14ac:dyDescent="0.2">
      <c r="A458" s="270"/>
      <c r="B458" s="109"/>
      <c r="C458" s="531"/>
      <c r="D458" s="531"/>
      <c r="E458" s="531"/>
      <c r="F458" s="375"/>
      <c r="G458" s="258"/>
      <c r="H458" s="74"/>
      <c r="I458" s="352"/>
      <c r="J458" s="74"/>
      <c r="K458" s="74"/>
      <c r="L458" s="74"/>
      <c r="M458" s="74"/>
      <c r="N458" s="74"/>
      <c r="O458" s="74"/>
      <c r="P458" s="74"/>
      <c r="Q458" s="74"/>
      <c r="R458" s="74"/>
      <c r="S458" s="110"/>
    </row>
    <row r="459" spans="1:21" x14ac:dyDescent="0.2">
      <c r="A459" s="24"/>
      <c r="B459" s="21"/>
      <c r="C459" s="138"/>
      <c r="D459" s="138"/>
      <c r="E459" s="138"/>
      <c r="F459" s="165"/>
      <c r="G459" s="361" t="s">
        <v>192</v>
      </c>
      <c r="H459" s="9"/>
      <c r="I459" s="126"/>
      <c r="J459" s="9"/>
      <c r="K459" s="9"/>
      <c r="L459" s="9"/>
      <c r="M459" s="9"/>
      <c r="N459" s="9"/>
      <c r="O459" s="9"/>
      <c r="P459" s="9"/>
      <c r="Q459" s="9"/>
      <c r="R459" s="9"/>
      <c r="S459" s="61"/>
    </row>
    <row r="460" spans="1:21" x14ac:dyDescent="0.2">
      <c r="A460" s="54">
        <f>ROUND(A1378+A1579+A1515+A1469,-3)</f>
        <v>0</v>
      </c>
      <c r="B460" s="9">
        <f t="shared" ref="B460:E464" si="1123">B1378+B1579+B1515+B1469</f>
        <v>0</v>
      </c>
      <c r="C460" s="134">
        <f t="shared" si="1123"/>
        <v>0</v>
      </c>
      <c r="D460" s="134">
        <f t="shared" si="1123"/>
        <v>0</v>
      </c>
      <c r="E460" s="134">
        <f t="shared" si="1123"/>
        <v>0</v>
      </c>
      <c r="F460" s="165"/>
      <c r="G460" s="257" t="s">
        <v>2848</v>
      </c>
      <c r="H460" s="9">
        <f t="shared" ref="H460:Q460" si="1124">H1378+H1579+H1515+H1469</f>
        <v>0</v>
      </c>
      <c r="I460" s="85">
        <f t="shared" ref="I460:I465" si="1125">IF(E460=H460,0,IF(E460=0,100,(H460-E460)/E460*100))</f>
        <v>0</v>
      </c>
      <c r="J460" s="9">
        <f t="shared" si="1124"/>
        <v>0</v>
      </c>
      <c r="K460" s="9">
        <f t="shared" si="1124"/>
        <v>0</v>
      </c>
      <c r="L460" s="9">
        <f t="shared" si="1124"/>
        <v>0</v>
      </c>
      <c r="M460" s="9">
        <f t="shared" si="1124"/>
        <v>0</v>
      </c>
      <c r="N460" s="9">
        <f t="shared" si="1124"/>
        <v>0</v>
      </c>
      <c r="O460" s="9">
        <f t="shared" si="1124"/>
        <v>0</v>
      </c>
      <c r="P460" s="9">
        <f t="shared" si="1124"/>
        <v>0</v>
      </c>
      <c r="Q460" s="9">
        <f t="shared" si="1124"/>
        <v>0</v>
      </c>
      <c r="R460" s="9">
        <f t="shared" ref="R460" si="1126">R1378+R1579+R1515+R1469</f>
        <v>0</v>
      </c>
      <c r="S460" s="47">
        <f t="shared" ref="S460" si="1127">S1378+S1579+S1515+S1469</f>
        <v>0</v>
      </c>
    </row>
    <row r="461" spans="1:21" x14ac:dyDescent="0.2">
      <c r="A461" s="54">
        <f>ROUND(A1379+A1580+A1516+A1470,-3)</f>
        <v>734000</v>
      </c>
      <c r="B461" s="9">
        <f t="shared" si="1123"/>
        <v>2182900</v>
      </c>
      <c r="C461" s="134">
        <f t="shared" si="1123"/>
        <v>5876900</v>
      </c>
      <c r="D461" s="134">
        <f t="shared" si="1123"/>
        <v>2174000</v>
      </c>
      <c r="E461" s="134">
        <f t="shared" si="1123"/>
        <v>885400</v>
      </c>
      <c r="F461" s="165"/>
      <c r="G461" s="257" t="s">
        <v>1909</v>
      </c>
      <c r="H461" s="9">
        <f t="shared" ref="H461:Q461" si="1128">H1379+H1580+H1516+H1470</f>
        <v>178500</v>
      </c>
      <c r="I461" s="85">
        <f t="shared" si="1125"/>
        <v>-79.839620510503721</v>
      </c>
      <c r="J461" s="9">
        <f t="shared" si="1128"/>
        <v>117900</v>
      </c>
      <c r="K461" s="9">
        <f t="shared" si="1128"/>
        <v>120500</v>
      </c>
      <c r="L461" s="9">
        <f t="shared" si="1128"/>
        <v>123200</v>
      </c>
      <c r="M461" s="9">
        <f t="shared" si="1128"/>
        <v>126000</v>
      </c>
      <c r="N461" s="9">
        <f t="shared" si="1128"/>
        <v>128800</v>
      </c>
      <c r="O461" s="9">
        <f t="shared" si="1128"/>
        <v>131800</v>
      </c>
      <c r="P461" s="9">
        <f t="shared" si="1128"/>
        <v>134800</v>
      </c>
      <c r="Q461" s="9">
        <f t="shared" si="1128"/>
        <v>137900</v>
      </c>
      <c r="R461" s="9">
        <f t="shared" ref="R461" si="1129">R1379+R1580+R1516+R1470</f>
        <v>141000</v>
      </c>
      <c r="S461" s="47">
        <f t="shared" ref="S461" si="1130">S1379+S1580+S1516+S1470</f>
        <v>144300</v>
      </c>
    </row>
    <row r="462" spans="1:21" x14ac:dyDescent="0.2">
      <c r="A462" s="54">
        <f>ROUND(A1380+A1581+A1517+A1471,-3)</f>
        <v>1578000</v>
      </c>
      <c r="B462" s="9">
        <f t="shared" si="1123"/>
        <v>818300</v>
      </c>
      <c r="C462" s="134">
        <f t="shared" si="1123"/>
        <v>5807100</v>
      </c>
      <c r="D462" s="134">
        <f t="shared" si="1123"/>
        <v>4743300</v>
      </c>
      <c r="E462" s="134">
        <f t="shared" si="1123"/>
        <v>4099700</v>
      </c>
      <c r="F462" s="165"/>
      <c r="G462" s="257" t="s">
        <v>2309</v>
      </c>
      <c r="H462" s="9">
        <f t="shared" ref="H462:Q462" si="1131">H1380+H1581+H1517+H1471</f>
        <v>2968600</v>
      </c>
      <c r="I462" s="85">
        <f t="shared" si="1125"/>
        <v>-27.589823645632606</v>
      </c>
      <c r="J462" s="9">
        <f t="shared" si="1131"/>
        <v>850000</v>
      </c>
      <c r="K462" s="9">
        <f t="shared" si="1131"/>
        <v>800000</v>
      </c>
      <c r="L462" s="9">
        <f t="shared" si="1131"/>
        <v>2150000</v>
      </c>
      <c r="M462" s="9">
        <f t="shared" si="1131"/>
        <v>50000</v>
      </c>
      <c r="N462" s="9">
        <f t="shared" si="1131"/>
        <v>50000</v>
      </c>
      <c r="O462" s="9">
        <f t="shared" si="1131"/>
        <v>50000</v>
      </c>
      <c r="P462" s="9">
        <f t="shared" si="1131"/>
        <v>50000</v>
      </c>
      <c r="Q462" s="9">
        <f t="shared" si="1131"/>
        <v>50000</v>
      </c>
      <c r="R462" s="9">
        <f t="shared" ref="R462" si="1132">R1380+R1581+R1517+R1471</f>
        <v>50000</v>
      </c>
      <c r="S462" s="47">
        <f t="shared" ref="S462" si="1133">S1380+S1581+S1517+S1471</f>
        <v>50000</v>
      </c>
    </row>
    <row r="463" spans="1:21" x14ac:dyDescent="0.2">
      <c r="A463" s="54">
        <f>ROUND(A1381+A1582+A1518+A1472,-3)</f>
        <v>1000000</v>
      </c>
      <c r="B463" s="9">
        <f t="shared" si="1123"/>
        <v>1521000</v>
      </c>
      <c r="C463" s="134">
        <f t="shared" si="1123"/>
        <v>25000</v>
      </c>
      <c r="D463" s="134">
        <f t="shared" si="1123"/>
        <v>0</v>
      </c>
      <c r="E463" s="134">
        <f t="shared" si="1123"/>
        <v>139800</v>
      </c>
      <c r="F463" s="165"/>
      <c r="G463" s="257" t="s">
        <v>5847</v>
      </c>
      <c r="H463" s="9">
        <f t="shared" ref="H463:R463" si="1134">H1381+H1582+H1518+H1472</f>
        <v>201500</v>
      </c>
      <c r="I463" s="85">
        <f t="shared" si="1125"/>
        <v>44.134477825464948</v>
      </c>
      <c r="J463" s="9">
        <f t="shared" si="1134"/>
        <v>0</v>
      </c>
      <c r="K463" s="9">
        <f t="shared" si="1134"/>
        <v>0</v>
      </c>
      <c r="L463" s="9">
        <f t="shared" si="1134"/>
        <v>0</v>
      </c>
      <c r="M463" s="9">
        <f t="shared" si="1134"/>
        <v>0</v>
      </c>
      <c r="N463" s="9">
        <f t="shared" si="1134"/>
        <v>0</v>
      </c>
      <c r="O463" s="9">
        <f t="shared" si="1134"/>
        <v>0</v>
      </c>
      <c r="P463" s="9">
        <f t="shared" si="1134"/>
        <v>0</v>
      </c>
      <c r="Q463" s="9">
        <f t="shared" si="1134"/>
        <v>0</v>
      </c>
      <c r="R463" s="9">
        <f t="shared" si="1134"/>
        <v>0</v>
      </c>
      <c r="S463" s="47">
        <f t="shared" ref="S463" si="1135">S1381+S1582+S1518+S1472</f>
        <v>0</v>
      </c>
    </row>
    <row r="464" spans="1:21" x14ac:dyDescent="0.2">
      <c r="A464" s="54">
        <f>ROUND(A1382+A1583+A1519+A1473,-3)</f>
        <v>2315000</v>
      </c>
      <c r="B464" s="9">
        <f t="shared" si="1123"/>
        <v>609000</v>
      </c>
      <c r="C464" s="134">
        <f t="shared" si="1123"/>
        <v>606600</v>
      </c>
      <c r="D464" s="134">
        <f t="shared" si="1123"/>
        <v>3156200</v>
      </c>
      <c r="E464" s="134">
        <f t="shared" si="1123"/>
        <v>3838500</v>
      </c>
      <c r="F464" s="165"/>
      <c r="G464" s="257" t="s">
        <v>958</v>
      </c>
      <c r="H464" s="9">
        <f t="shared" ref="H464:Q464" si="1136">H1382+H1583+H1519+H1473</f>
        <v>3107800</v>
      </c>
      <c r="I464" s="85">
        <f t="shared" si="1125"/>
        <v>-19.036081802787546</v>
      </c>
      <c r="J464" s="9">
        <f t="shared" si="1136"/>
        <v>1260000</v>
      </c>
      <c r="K464" s="9">
        <f t="shared" si="1136"/>
        <v>1228000</v>
      </c>
      <c r="L464" s="9">
        <f t="shared" si="1136"/>
        <v>2841000</v>
      </c>
      <c r="M464" s="9">
        <f t="shared" si="1136"/>
        <v>754000</v>
      </c>
      <c r="N464" s="9">
        <f t="shared" si="1136"/>
        <v>767000</v>
      </c>
      <c r="O464" s="9">
        <f t="shared" si="1136"/>
        <v>780000</v>
      </c>
      <c r="P464" s="9">
        <f t="shared" si="1136"/>
        <v>793000</v>
      </c>
      <c r="Q464" s="9">
        <f t="shared" si="1136"/>
        <v>807000</v>
      </c>
      <c r="R464" s="9">
        <f t="shared" ref="R464" si="1137">R1382+R1583+R1519+R1473</f>
        <v>821000</v>
      </c>
      <c r="S464" s="47">
        <f t="shared" ref="S464" si="1138">S1382+S1583+S1519+S1473</f>
        <v>835000</v>
      </c>
    </row>
    <row r="465" spans="1:21" s="39" customFormat="1" x14ac:dyDescent="0.2">
      <c r="A465" s="128">
        <f>A456-A460-A461+A462++A463-A464</f>
        <v>-2700800</v>
      </c>
      <c r="B465" s="280">
        <f>B456-B460-B461+B462++B463-B464</f>
        <v>-2730400</v>
      </c>
      <c r="C465" s="529">
        <f>C456-C460-C461+C462++C463-C464</f>
        <v>-3030900</v>
      </c>
      <c r="D465" s="529">
        <f>D456-D460-D461+D462++D463-D464</f>
        <v>-3217200</v>
      </c>
      <c r="E465" s="529">
        <f t="shared" ref="E465" si="1139">E456-E460-E461+E462++E463-E464</f>
        <v>-3355200</v>
      </c>
      <c r="F465" s="369"/>
      <c r="G465" s="363" t="s">
        <v>2447</v>
      </c>
      <c r="H465" s="280">
        <f t="shared" ref="H465:P465" si="1140">H456-H460-H461+H462++H463-H464</f>
        <v>-3173700</v>
      </c>
      <c r="I465" s="278">
        <f t="shared" si="1125"/>
        <v>-5.409513590844063</v>
      </c>
      <c r="J465" s="280">
        <f t="shared" si="1140"/>
        <v>-3484000</v>
      </c>
      <c r="K465" s="280">
        <f t="shared" si="1140"/>
        <v>-3589100</v>
      </c>
      <c r="L465" s="280">
        <f t="shared" si="1140"/>
        <v>-3933600</v>
      </c>
      <c r="M465" s="280">
        <f t="shared" si="1140"/>
        <v>-4030400</v>
      </c>
      <c r="N465" s="280">
        <f t="shared" si="1140"/>
        <v>-4129200</v>
      </c>
      <c r="O465" s="280">
        <f t="shared" si="1140"/>
        <v>-4229900</v>
      </c>
      <c r="P465" s="280">
        <f t="shared" si="1140"/>
        <v>-4332400</v>
      </c>
      <c r="Q465" s="280">
        <f t="shared" ref="Q465" si="1141">Q456-Q460-Q461+Q462++Q463-Q464</f>
        <v>-4438500</v>
      </c>
      <c r="R465" s="280">
        <f t="shared" ref="R465" si="1142">R456-R460-R461+R462++R463-R464</f>
        <v>-4536200</v>
      </c>
      <c r="S465" s="2343">
        <f t="shared" ref="S465" si="1143">S456-S460-S461+S462++S463-S464</f>
        <v>-4636100</v>
      </c>
      <c r="U465" s="34"/>
    </row>
    <row r="466" spans="1:21" ht="13.5" thickBot="1" x14ac:dyDescent="0.25">
      <c r="A466" s="26"/>
      <c r="B466" s="37"/>
      <c r="C466" s="146"/>
      <c r="D466" s="146"/>
      <c r="E466" s="146"/>
      <c r="F466" s="399"/>
      <c r="G466" s="259"/>
      <c r="H466" s="23"/>
      <c r="I466" s="275"/>
      <c r="J466" s="23"/>
      <c r="K466" s="23"/>
      <c r="L466" s="23"/>
      <c r="M466" s="23"/>
      <c r="N466" s="23"/>
      <c r="O466" s="23"/>
      <c r="P466" s="23"/>
      <c r="Q466" s="23"/>
      <c r="R466" s="23"/>
      <c r="S466" s="112"/>
    </row>
    <row r="467" spans="1:21" ht="14.25" thickTop="1" thickBot="1" x14ac:dyDescent="0.25">
      <c r="A467" s="27"/>
      <c r="B467" s="27"/>
      <c r="C467" s="143"/>
      <c r="D467" s="143"/>
      <c r="E467" s="143"/>
      <c r="F467" s="165"/>
      <c r="G467" s="84"/>
      <c r="I467" s="2234"/>
    </row>
    <row r="468" spans="1:21" s="38" customFormat="1" ht="18.75" customHeight="1" thickTop="1" thickBot="1" x14ac:dyDescent="0.3">
      <c r="A468" s="2588" t="s">
        <v>2635</v>
      </c>
      <c r="B468" s="2589"/>
      <c r="C468" s="2589"/>
      <c r="D468" s="2589"/>
      <c r="E468" s="2589"/>
      <c r="F468" s="2589"/>
      <c r="G468" s="2589"/>
      <c r="H468" s="2589"/>
      <c r="I468" s="2589"/>
      <c r="J468" s="2589"/>
      <c r="K468" s="2589"/>
      <c r="L468" s="2589"/>
      <c r="M468" s="2589"/>
      <c r="N468" s="2589"/>
      <c r="O468" s="2589"/>
      <c r="P468" s="2589"/>
      <c r="Q468" s="2589"/>
      <c r="R468" s="2589"/>
      <c r="S468" s="2590"/>
      <c r="U468" s="34"/>
    </row>
    <row r="469" spans="1:21" s="39" customFormat="1" ht="13.5" thickBot="1" x14ac:dyDescent="0.25">
      <c r="A469" s="2591" t="s">
        <v>1824</v>
      </c>
      <c r="B469" s="2577"/>
      <c r="C469" s="2577"/>
      <c r="D469" s="2577"/>
      <c r="E469" s="2592"/>
      <c r="F469" s="127" t="s">
        <v>2616</v>
      </c>
      <c r="G469" s="127" t="s">
        <v>2213</v>
      </c>
      <c r="H469" s="2568" t="s">
        <v>2215</v>
      </c>
      <c r="I469" s="2568"/>
      <c r="J469" s="2568"/>
      <c r="K469" s="2568"/>
      <c r="L469" s="2568"/>
      <c r="M469" s="2568"/>
      <c r="N469" s="2568"/>
      <c r="O469" s="2568"/>
      <c r="P469" s="2568"/>
      <c r="Q469" s="2568"/>
      <c r="R469" s="2568"/>
      <c r="S469" s="2607"/>
      <c r="U469" s="34"/>
    </row>
    <row r="470" spans="1:21" ht="12.75" customHeight="1" thickBot="1" x14ac:dyDescent="0.25">
      <c r="A470" s="541" t="str">
        <f>A3</f>
        <v>2012/13</v>
      </c>
      <c r="B470" s="28" t="str">
        <f>B3</f>
        <v>2013/14</v>
      </c>
      <c r="C470" s="40" t="str">
        <f>C3</f>
        <v>2014/15</v>
      </c>
      <c r="D470" s="40" t="str">
        <f>D3</f>
        <v>2015/16</v>
      </c>
      <c r="E470" s="1445" t="str">
        <f>E3</f>
        <v>2016/17</v>
      </c>
      <c r="F470" s="40" t="s">
        <v>2617</v>
      </c>
      <c r="G470" s="41"/>
      <c r="H470" s="40" t="str">
        <f>H3</f>
        <v>2017/18</v>
      </c>
      <c r="I470" s="1258" t="str">
        <f>I185</f>
        <v xml:space="preserve">% </v>
      </c>
      <c r="J470" s="40" t="str">
        <f t="shared" ref="J470:S470" si="1144">J3</f>
        <v>2018/19</v>
      </c>
      <c r="K470" s="40" t="str">
        <f t="shared" si="1144"/>
        <v>2019/20</v>
      </c>
      <c r="L470" s="40" t="str">
        <f t="shared" si="1144"/>
        <v>2020/21</v>
      </c>
      <c r="M470" s="40" t="str">
        <f t="shared" si="1144"/>
        <v>2021/22</v>
      </c>
      <c r="N470" s="40" t="str">
        <f t="shared" si="1144"/>
        <v>2022/23</v>
      </c>
      <c r="O470" s="40" t="str">
        <f t="shared" si="1144"/>
        <v>2023/24</v>
      </c>
      <c r="P470" s="40" t="str">
        <f t="shared" si="1144"/>
        <v>2024/25</v>
      </c>
      <c r="Q470" s="28" t="str">
        <f t="shared" si="1144"/>
        <v>2025/26</v>
      </c>
      <c r="R470" s="28" t="str">
        <f t="shared" si="1144"/>
        <v>2026/27</v>
      </c>
      <c r="S470" s="1620" t="str">
        <f t="shared" si="1144"/>
        <v>2027/28</v>
      </c>
    </row>
    <row r="471" spans="1:21" x14ac:dyDescent="0.2">
      <c r="A471" s="430"/>
      <c r="B471" s="126"/>
      <c r="C471" s="1182"/>
      <c r="D471" s="1182"/>
      <c r="E471" s="2339"/>
      <c r="F471" s="665"/>
      <c r="G471" s="116"/>
      <c r="H471" s="9"/>
      <c r="I471" s="126"/>
      <c r="J471" s="9"/>
      <c r="K471" s="9"/>
      <c r="L471" s="9"/>
      <c r="M471" s="9"/>
      <c r="N471" s="9"/>
      <c r="O471" s="9"/>
      <c r="P471" s="9"/>
      <c r="Q471" s="9"/>
      <c r="R471" s="9"/>
      <c r="S471" s="61"/>
    </row>
    <row r="472" spans="1:21" x14ac:dyDescent="0.2">
      <c r="A472" s="45"/>
      <c r="B472" s="9"/>
      <c r="D472" s="134"/>
      <c r="E472" s="144"/>
      <c r="F472" s="167"/>
      <c r="G472" s="256" t="s">
        <v>1056</v>
      </c>
      <c r="H472" s="9"/>
      <c r="I472" s="85"/>
      <c r="J472" s="9"/>
      <c r="K472" s="9"/>
      <c r="L472" s="9"/>
      <c r="M472" s="9"/>
      <c r="N472" s="9"/>
      <c r="O472" s="9"/>
      <c r="P472" s="9"/>
      <c r="Q472" s="9"/>
      <c r="R472" s="9"/>
      <c r="S472" s="61"/>
    </row>
    <row r="473" spans="1:21" x14ac:dyDescent="0.2">
      <c r="A473" s="45"/>
      <c r="B473" s="9"/>
      <c r="D473" s="134"/>
      <c r="E473" s="144"/>
      <c r="F473" s="167"/>
      <c r="G473" s="256"/>
      <c r="H473" s="9"/>
      <c r="I473" s="85"/>
      <c r="J473" s="9"/>
      <c r="K473" s="9"/>
      <c r="L473" s="9"/>
      <c r="M473" s="9"/>
      <c r="N473" s="9"/>
      <c r="O473" s="9"/>
      <c r="P473" s="9"/>
      <c r="Q473" s="9"/>
      <c r="R473" s="9"/>
      <c r="S473" s="61"/>
    </row>
    <row r="474" spans="1:21" x14ac:dyDescent="0.2">
      <c r="A474" s="45"/>
      <c r="B474" s="9"/>
      <c r="E474" s="144"/>
      <c r="F474" s="167"/>
      <c r="G474" s="21" t="s">
        <v>2270</v>
      </c>
      <c r="H474" s="9"/>
      <c r="I474" s="85"/>
      <c r="J474" s="9"/>
      <c r="K474" s="9"/>
      <c r="L474" s="9"/>
      <c r="M474" s="9"/>
      <c r="N474" s="9"/>
      <c r="O474" s="9"/>
      <c r="P474" s="9"/>
      <c r="Q474" s="9"/>
      <c r="R474" s="9"/>
      <c r="S474" s="61"/>
    </row>
    <row r="475" spans="1:21" x14ac:dyDescent="0.2">
      <c r="A475" s="54">
        <f t="shared" ref="A475:B475" si="1145">A1597</f>
        <v>141300</v>
      </c>
      <c r="B475" s="9">
        <f t="shared" si="1145"/>
        <v>145700</v>
      </c>
      <c r="C475" s="136">
        <f>C1597</f>
        <v>156200</v>
      </c>
      <c r="D475" s="136">
        <f>D1597</f>
        <v>164500</v>
      </c>
      <c r="E475" s="144">
        <f t="shared" ref="E475" si="1146">E1597</f>
        <v>161500</v>
      </c>
      <c r="F475" s="167">
        <v>22260</v>
      </c>
      <c r="G475" s="634" t="s">
        <v>4397</v>
      </c>
      <c r="H475" s="9">
        <f t="shared" ref="H475:O475" si="1147">H1597</f>
        <v>180700</v>
      </c>
      <c r="I475" s="85">
        <f>IF(E475=H475,0,IF(E475=0,100,(H475-E475)/E475*100))</f>
        <v>11.888544891640866</v>
      </c>
      <c r="J475" s="9">
        <f t="shared" si="1147"/>
        <v>184900</v>
      </c>
      <c r="K475" s="9">
        <f t="shared" si="1147"/>
        <v>189600</v>
      </c>
      <c r="L475" s="9">
        <f t="shared" si="1147"/>
        <v>194400</v>
      </c>
      <c r="M475" s="9">
        <f t="shared" si="1147"/>
        <v>199300</v>
      </c>
      <c r="N475" s="9">
        <f t="shared" si="1147"/>
        <v>204300</v>
      </c>
      <c r="O475" s="9">
        <f t="shared" si="1147"/>
        <v>209500</v>
      </c>
      <c r="P475" s="9">
        <f t="shared" ref="P475:Q475" si="1148">P1597</f>
        <v>214800</v>
      </c>
      <c r="Q475" s="9">
        <f t="shared" si="1148"/>
        <v>220200</v>
      </c>
      <c r="R475" s="9">
        <f t="shared" ref="R475" si="1149">R1597</f>
        <v>225800</v>
      </c>
      <c r="S475" s="47">
        <f t="shared" ref="S475" si="1150">S1597</f>
        <v>231500</v>
      </c>
    </row>
    <row r="476" spans="1:21" x14ac:dyDescent="0.2">
      <c r="A476" s="54"/>
      <c r="B476" s="9"/>
      <c r="E476" s="144"/>
      <c r="F476" s="167"/>
      <c r="G476" s="634"/>
      <c r="H476" s="9"/>
      <c r="I476" s="85"/>
      <c r="J476" s="9"/>
      <c r="K476" s="9"/>
      <c r="L476" s="9"/>
      <c r="M476" s="9"/>
      <c r="N476" s="9"/>
      <c r="O476" s="9"/>
      <c r="P476" s="9"/>
      <c r="Q476" s="9"/>
      <c r="R476" s="9"/>
      <c r="S476" s="47"/>
    </row>
    <row r="477" spans="1:21" x14ac:dyDescent="0.2">
      <c r="A477" s="54"/>
      <c r="B477" s="9"/>
      <c r="E477" s="144"/>
      <c r="F477" s="167"/>
      <c r="G477" s="63" t="s">
        <v>677</v>
      </c>
      <c r="H477" s="9"/>
      <c r="I477" s="85"/>
      <c r="J477" s="9"/>
      <c r="K477" s="9"/>
      <c r="L477" s="9"/>
      <c r="M477" s="9"/>
      <c r="N477" s="9"/>
      <c r="O477" s="9"/>
      <c r="P477" s="9"/>
      <c r="Q477" s="9"/>
      <c r="R477" s="9"/>
      <c r="S477" s="47"/>
    </row>
    <row r="478" spans="1:21" x14ac:dyDescent="0.2">
      <c r="A478" s="54">
        <f>A1595</f>
        <v>43800</v>
      </c>
      <c r="B478" s="9">
        <f>B1595</f>
        <v>48300</v>
      </c>
      <c r="C478" s="136">
        <f t="shared" ref="C478" si="1151">C1595</f>
        <v>44000</v>
      </c>
      <c r="D478" s="136">
        <f>D1595</f>
        <v>46100</v>
      </c>
      <c r="E478" s="144">
        <f t="shared" ref="E478" si="1152">E1595</f>
        <v>60100</v>
      </c>
      <c r="F478" s="167">
        <v>22260</v>
      </c>
      <c r="G478" s="634" t="s">
        <v>4444</v>
      </c>
      <c r="H478" s="9">
        <f t="shared" ref="H478:O478" si="1153">H1595</f>
        <v>55900</v>
      </c>
      <c r="I478" s="85">
        <f>IF(E478=H478,0,IF(E478=0,100,(H478-E478)/E478*100))</f>
        <v>-6.988352745424292</v>
      </c>
      <c r="J478" s="9">
        <f t="shared" si="1153"/>
        <v>57200</v>
      </c>
      <c r="K478" s="9">
        <f t="shared" si="1153"/>
        <v>58700</v>
      </c>
      <c r="L478" s="9">
        <f t="shared" si="1153"/>
        <v>60200</v>
      </c>
      <c r="M478" s="9">
        <f t="shared" si="1153"/>
        <v>61800</v>
      </c>
      <c r="N478" s="9">
        <f t="shared" si="1153"/>
        <v>63400</v>
      </c>
      <c r="O478" s="9">
        <f t="shared" si="1153"/>
        <v>65000</v>
      </c>
      <c r="P478" s="9">
        <f t="shared" ref="P478:Q478" si="1154">P1595</f>
        <v>66700</v>
      </c>
      <c r="Q478" s="9">
        <f t="shared" si="1154"/>
        <v>68400</v>
      </c>
      <c r="R478" s="9">
        <f t="shared" ref="R478" si="1155">R1595</f>
        <v>70200</v>
      </c>
      <c r="S478" s="47">
        <f t="shared" ref="S478" si="1156">S1595</f>
        <v>72000</v>
      </c>
    </row>
    <row r="479" spans="1:21" x14ac:dyDescent="0.2">
      <c r="A479" s="54"/>
      <c r="B479" s="9"/>
      <c r="E479" s="144"/>
      <c r="F479" s="167"/>
      <c r="G479" s="634"/>
      <c r="H479" s="9"/>
      <c r="I479" s="85"/>
      <c r="J479" s="9"/>
      <c r="K479" s="9"/>
      <c r="L479" s="9"/>
      <c r="M479" s="9"/>
      <c r="N479" s="9"/>
      <c r="O479" s="9"/>
      <c r="P479" s="9"/>
      <c r="Q479" s="9"/>
      <c r="R479" s="9"/>
      <c r="S479" s="47"/>
    </row>
    <row r="480" spans="1:21" x14ac:dyDescent="0.2">
      <c r="A480" s="54"/>
      <c r="B480" s="9"/>
      <c r="E480" s="144"/>
      <c r="F480" s="167"/>
      <c r="G480" s="63" t="s">
        <v>341</v>
      </c>
      <c r="H480" s="9"/>
      <c r="I480" s="85"/>
      <c r="J480" s="9"/>
      <c r="K480" s="9"/>
      <c r="L480" s="9"/>
      <c r="M480" s="9"/>
      <c r="N480" s="9"/>
      <c r="O480" s="9"/>
      <c r="P480" s="9"/>
      <c r="Q480" s="9"/>
      <c r="R480" s="9"/>
      <c r="S480" s="47"/>
    </row>
    <row r="481" spans="1:21" x14ac:dyDescent="0.2">
      <c r="A481" s="54">
        <f>A1599</f>
        <v>20300</v>
      </c>
      <c r="B481" s="9">
        <f>B1599</f>
        <v>19600</v>
      </c>
      <c r="C481" s="136">
        <f>C1599</f>
        <v>20300</v>
      </c>
      <c r="D481" s="136">
        <f>D1599</f>
        <v>17000</v>
      </c>
      <c r="E481" s="144">
        <f t="shared" ref="E481" si="1157">E1599</f>
        <v>16500</v>
      </c>
      <c r="F481" s="167">
        <v>22260</v>
      </c>
      <c r="G481" s="79" t="s">
        <v>341</v>
      </c>
      <c r="H481" s="9">
        <f t="shared" ref="H481:O481" si="1158">H1599</f>
        <v>1000</v>
      </c>
      <c r="I481" s="85">
        <f>IF(E481=H481,0,IF(E481=0,100,(H481-E481)/E481*100))</f>
        <v>-93.939393939393938</v>
      </c>
      <c r="J481" s="9">
        <f t="shared" si="1158"/>
        <v>-3000</v>
      </c>
      <c r="K481" s="9">
        <f t="shared" si="1158"/>
        <v>0</v>
      </c>
      <c r="L481" s="9">
        <f t="shared" si="1158"/>
        <v>8000</v>
      </c>
      <c r="M481" s="9">
        <f t="shared" si="1158"/>
        <v>4000</v>
      </c>
      <c r="N481" s="9">
        <f t="shared" si="1158"/>
        <v>1000</v>
      </c>
      <c r="O481" s="9">
        <f t="shared" si="1158"/>
        <v>-4000</v>
      </c>
      <c r="P481" s="9">
        <f t="shared" ref="P481:Q481" si="1159">P1599</f>
        <v>-4000</v>
      </c>
      <c r="Q481" s="9">
        <f t="shared" si="1159"/>
        <v>4000</v>
      </c>
      <c r="R481" s="9">
        <f t="shared" ref="R481" si="1160">R1599</f>
        <v>0</v>
      </c>
      <c r="S481" s="47">
        <f t="shared" ref="S481" si="1161">S1599</f>
        <v>0</v>
      </c>
    </row>
    <row r="482" spans="1:21" x14ac:dyDescent="0.2">
      <c r="A482" s="54"/>
      <c r="B482" s="9"/>
      <c r="E482" s="144"/>
      <c r="F482" s="167"/>
      <c r="G482" s="79"/>
      <c r="H482" s="9"/>
      <c r="I482" s="85"/>
      <c r="J482" s="9"/>
      <c r="K482" s="9"/>
      <c r="L482" s="9"/>
      <c r="M482" s="9"/>
      <c r="N482" s="9"/>
      <c r="O482" s="9"/>
      <c r="P482" s="9"/>
      <c r="Q482" s="9"/>
      <c r="R482" s="9"/>
      <c r="S482" s="47"/>
    </row>
    <row r="483" spans="1:21" x14ac:dyDescent="0.2">
      <c r="A483" s="54"/>
      <c r="B483" s="9"/>
      <c r="E483" s="1442"/>
      <c r="F483" s="167"/>
      <c r="G483" s="1461" t="s">
        <v>4445</v>
      </c>
      <c r="H483" s="9"/>
      <c r="I483" s="85"/>
      <c r="J483" s="9"/>
      <c r="K483" s="9"/>
      <c r="L483" s="9"/>
      <c r="M483" s="9"/>
      <c r="N483" s="9"/>
      <c r="O483" s="9"/>
      <c r="P483" s="9"/>
      <c r="Q483" s="9"/>
      <c r="R483" s="9"/>
      <c r="S483" s="47"/>
    </row>
    <row r="484" spans="1:21" x14ac:dyDescent="0.2">
      <c r="A484" s="54">
        <f>A1601</f>
        <v>55100</v>
      </c>
      <c r="B484" s="9">
        <f>B1601</f>
        <v>30800</v>
      </c>
      <c r="C484" s="136">
        <f>C1601</f>
        <v>26600</v>
      </c>
      <c r="D484" s="136">
        <f>D1601+D1602</f>
        <v>56400</v>
      </c>
      <c r="E484" s="1442">
        <f>E1601+E1602</f>
        <v>27100</v>
      </c>
      <c r="F484" s="167">
        <v>22260</v>
      </c>
      <c r="G484" s="30" t="s">
        <v>4446</v>
      </c>
      <c r="H484" s="9">
        <f t="shared" ref="H484:Q484" si="1162">H1601+H1602</f>
        <v>10300</v>
      </c>
      <c r="I484" s="85">
        <f>IF(E484=H484,0,IF(E484=0,100,(H484-E484)/E484*100))</f>
        <v>-61.992619926199268</v>
      </c>
      <c r="J484" s="9">
        <f t="shared" si="1162"/>
        <v>10600</v>
      </c>
      <c r="K484" s="9">
        <f t="shared" si="1162"/>
        <v>10900</v>
      </c>
      <c r="L484" s="9">
        <f t="shared" si="1162"/>
        <v>11200</v>
      </c>
      <c r="M484" s="9">
        <f t="shared" si="1162"/>
        <v>11500</v>
      </c>
      <c r="N484" s="9">
        <f t="shared" si="1162"/>
        <v>11800</v>
      </c>
      <c r="O484" s="9">
        <f t="shared" si="1162"/>
        <v>12100</v>
      </c>
      <c r="P484" s="9">
        <f t="shared" si="1162"/>
        <v>12500</v>
      </c>
      <c r="Q484" s="9">
        <f t="shared" si="1162"/>
        <v>12900</v>
      </c>
      <c r="R484" s="9">
        <f t="shared" ref="R484" si="1163">R1601+R1602</f>
        <v>13300</v>
      </c>
      <c r="S484" s="47">
        <f t="shared" ref="S484" si="1164">S1601+S1602</f>
        <v>13700</v>
      </c>
    </row>
    <row r="485" spans="1:21" x14ac:dyDescent="0.2">
      <c r="A485" s="54"/>
      <c r="B485" s="9"/>
      <c r="E485" s="1442"/>
      <c r="F485" s="167"/>
      <c r="G485" s="29"/>
      <c r="H485" s="9"/>
      <c r="I485" s="85"/>
      <c r="J485" s="9"/>
      <c r="K485" s="9"/>
      <c r="L485" s="9"/>
      <c r="M485" s="9"/>
      <c r="N485" s="9"/>
      <c r="O485" s="9"/>
      <c r="P485" s="9"/>
      <c r="Q485" s="9"/>
      <c r="R485" s="9"/>
      <c r="S485" s="47"/>
    </row>
    <row r="486" spans="1:21" x14ac:dyDescent="0.2">
      <c r="A486" s="54"/>
      <c r="B486" s="9"/>
      <c r="E486" s="1442"/>
      <c r="F486" s="167"/>
      <c r="G486" s="32" t="s">
        <v>2150</v>
      </c>
      <c r="H486" s="9"/>
      <c r="I486" s="85"/>
      <c r="J486" s="9"/>
      <c r="K486" s="9"/>
      <c r="L486" s="9"/>
      <c r="M486" s="9"/>
      <c r="N486" s="9"/>
      <c r="O486" s="9"/>
      <c r="P486" s="9"/>
      <c r="Q486" s="9"/>
      <c r="R486" s="9"/>
      <c r="S486" s="47"/>
    </row>
    <row r="487" spans="1:21" x14ac:dyDescent="0.2">
      <c r="A487" s="54">
        <f>SUM(A1603:A1604)</f>
        <v>48000</v>
      </c>
      <c r="B487" s="9">
        <f>SUM(B1603:B1604)</f>
        <v>57600</v>
      </c>
      <c r="C487" s="136">
        <f>SUM(C1603:C1604)</f>
        <v>79800</v>
      </c>
      <c r="D487" s="136">
        <f>SUM(D1603:D1604)</f>
        <v>0</v>
      </c>
      <c r="E487" s="1442">
        <f t="shared" ref="E487" si="1165">SUM(E1603:E1604)</f>
        <v>0</v>
      </c>
      <c r="F487" s="167">
        <v>22260</v>
      </c>
      <c r="G487" s="30" t="s">
        <v>6787</v>
      </c>
      <c r="H487" s="9">
        <f t="shared" ref="H487:O487" si="1166">SUM(H1603:H1604)</f>
        <v>0</v>
      </c>
      <c r="I487" s="85">
        <f>IF(E487=H487,0,IF(E487=0,100,(H487-E487)/E487*100))</f>
        <v>0</v>
      </c>
      <c r="J487" s="9">
        <f t="shared" si="1166"/>
        <v>0</v>
      </c>
      <c r="K487" s="9">
        <f t="shared" si="1166"/>
        <v>0</v>
      </c>
      <c r="L487" s="9">
        <f t="shared" si="1166"/>
        <v>0</v>
      </c>
      <c r="M487" s="9">
        <f t="shared" si="1166"/>
        <v>0</v>
      </c>
      <c r="N487" s="9">
        <f t="shared" si="1166"/>
        <v>0</v>
      </c>
      <c r="O487" s="9">
        <f t="shared" si="1166"/>
        <v>0</v>
      </c>
      <c r="P487" s="9">
        <f t="shared" ref="P487:Q487" si="1167">SUM(P1603:P1604)</f>
        <v>0</v>
      </c>
      <c r="Q487" s="9">
        <f t="shared" si="1167"/>
        <v>0</v>
      </c>
      <c r="R487" s="9">
        <f t="shared" ref="R487" si="1168">SUM(R1603:R1604)</f>
        <v>0</v>
      </c>
      <c r="S487" s="47">
        <f t="shared" ref="S487" si="1169">SUM(S1603:S1604)</f>
        <v>0</v>
      </c>
    </row>
    <row r="488" spans="1:21" ht="13.5" thickBot="1" x14ac:dyDescent="0.25">
      <c r="A488" s="54"/>
      <c r="B488" s="9"/>
      <c r="C488" s="134"/>
      <c r="D488" s="134"/>
      <c r="E488" s="1442"/>
      <c r="F488" s="167"/>
      <c r="G488" s="29"/>
      <c r="H488" s="9"/>
      <c r="I488" s="85"/>
      <c r="J488" s="9"/>
      <c r="K488" s="9"/>
      <c r="L488" s="9"/>
      <c r="M488" s="9"/>
      <c r="N488" s="9"/>
      <c r="O488" s="9"/>
      <c r="P488" s="9"/>
      <c r="Q488" s="9"/>
      <c r="R488" s="9"/>
      <c r="S488" s="47"/>
    </row>
    <row r="489" spans="1:21" s="39" customFormat="1" x14ac:dyDescent="0.2">
      <c r="A489" s="52">
        <f>SUM(A472:A488)</f>
        <v>308500</v>
      </c>
      <c r="B489" s="16">
        <f>SUM(B472:B488)</f>
        <v>302000</v>
      </c>
      <c r="C489" s="145">
        <f>SUM(C472:C488)</f>
        <v>326900</v>
      </c>
      <c r="D489" s="145">
        <f>SUM(D472:D488)</f>
        <v>284000</v>
      </c>
      <c r="E489" s="1443">
        <f t="shared" ref="E489" si="1170">SUM(E472:E488)</f>
        <v>265200</v>
      </c>
      <c r="F489" s="173"/>
      <c r="G489" s="1158" t="s">
        <v>2561</v>
      </c>
      <c r="H489" s="16">
        <f t="shared" ref="H489:O489" si="1171">SUM(H472:H488)</f>
        <v>247900</v>
      </c>
      <c r="I489" s="127">
        <f>IF(E489=H489,0,IF(E489=0,100,(H489-E489)/E489*100))</f>
        <v>-6.5233785822021124</v>
      </c>
      <c r="J489" s="16">
        <f t="shared" si="1171"/>
        <v>249700</v>
      </c>
      <c r="K489" s="16">
        <f t="shared" si="1171"/>
        <v>259200</v>
      </c>
      <c r="L489" s="16">
        <f t="shared" si="1171"/>
        <v>273800</v>
      </c>
      <c r="M489" s="16">
        <f t="shared" si="1171"/>
        <v>276600</v>
      </c>
      <c r="N489" s="16">
        <f t="shared" si="1171"/>
        <v>280500</v>
      </c>
      <c r="O489" s="16">
        <f t="shared" si="1171"/>
        <v>282600</v>
      </c>
      <c r="P489" s="16">
        <f t="shared" ref="P489:Q489" si="1172">SUM(P472:P488)</f>
        <v>290000</v>
      </c>
      <c r="Q489" s="16">
        <f t="shared" si="1172"/>
        <v>305500</v>
      </c>
      <c r="R489" s="16">
        <f t="shared" ref="R489" si="1173">SUM(R472:R488)</f>
        <v>309300</v>
      </c>
      <c r="S489" s="2342">
        <f t="shared" ref="S489" si="1174">SUM(S472:S488)</f>
        <v>317200</v>
      </c>
      <c r="U489" s="34"/>
    </row>
    <row r="490" spans="1:21" x14ac:dyDescent="0.2">
      <c r="A490" s="54"/>
      <c r="B490" s="9"/>
      <c r="E490" s="1442"/>
      <c r="F490" s="167"/>
      <c r="G490" s="29"/>
      <c r="H490" s="9"/>
      <c r="I490" s="85"/>
      <c r="J490" s="9"/>
      <c r="K490" s="9"/>
      <c r="L490" s="9"/>
      <c r="M490" s="9"/>
      <c r="N490" s="9"/>
      <c r="O490" s="9"/>
      <c r="P490" s="9"/>
      <c r="Q490" s="9"/>
      <c r="R490" s="9"/>
      <c r="S490" s="47"/>
    </row>
    <row r="491" spans="1:21" x14ac:dyDescent="0.2">
      <c r="A491" s="54"/>
      <c r="B491" s="9"/>
      <c r="E491" s="1442"/>
      <c r="F491" s="85"/>
      <c r="G491" s="50" t="s">
        <v>2169</v>
      </c>
      <c r="H491" s="9"/>
      <c r="I491" s="85"/>
      <c r="J491" s="9"/>
      <c r="K491" s="9"/>
      <c r="L491" s="9"/>
      <c r="M491" s="9"/>
      <c r="N491" s="9"/>
      <c r="O491" s="9"/>
      <c r="P491" s="9"/>
      <c r="Q491" s="9"/>
      <c r="R491" s="9"/>
      <c r="S491" s="47"/>
    </row>
    <row r="492" spans="1:21" x14ac:dyDescent="0.2">
      <c r="A492" s="45"/>
      <c r="B492" s="9"/>
      <c r="E492" s="1442"/>
      <c r="F492" s="167"/>
      <c r="G492" s="29"/>
      <c r="H492" s="9"/>
      <c r="I492" s="85"/>
      <c r="J492" s="9"/>
      <c r="K492" s="9"/>
      <c r="L492" s="9"/>
      <c r="M492" s="9"/>
      <c r="N492" s="9"/>
      <c r="O492" s="9"/>
      <c r="P492" s="9"/>
      <c r="Q492" s="9"/>
      <c r="R492" s="9"/>
      <c r="S492" s="47"/>
    </row>
    <row r="493" spans="1:21" x14ac:dyDescent="0.2">
      <c r="A493" s="45"/>
      <c r="B493" s="9"/>
      <c r="E493" s="1442"/>
      <c r="F493" s="167"/>
      <c r="G493" s="32" t="s">
        <v>2018</v>
      </c>
      <c r="H493" s="9"/>
      <c r="I493" s="85"/>
      <c r="J493" s="9"/>
      <c r="K493" s="9"/>
      <c r="L493" s="9"/>
      <c r="M493" s="9"/>
      <c r="N493" s="9"/>
      <c r="O493" s="9"/>
      <c r="P493" s="9"/>
      <c r="Q493" s="9"/>
      <c r="R493" s="9"/>
      <c r="S493" s="47"/>
    </row>
    <row r="494" spans="1:21" x14ac:dyDescent="0.2">
      <c r="A494" s="54">
        <f>ROUND(SUM(A1609:A1618),-2)</f>
        <v>2148900</v>
      </c>
      <c r="B494" s="9">
        <f>SUM(B1609:B1618)</f>
        <v>2238800</v>
      </c>
      <c r="C494" s="136">
        <f>SUM(C1609:C1618)</f>
        <v>2165500</v>
      </c>
      <c r="D494" s="136">
        <f>SUM(D1609:D1618)</f>
        <v>2141700</v>
      </c>
      <c r="E494" s="1442">
        <f>SUM(E1609:E1618)</f>
        <v>2255700</v>
      </c>
      <c r="F494" s="167">
        <v>32320</v>
      </c>
      <c r="G494" s="1173" t="s">
        <v>90</v>
      </c>
      <c r="H494" s="9">
        <f t="shared" ref="H494:Q494" si="1175">SUM(H1609:H1618)</f>
        <v>2478300</v>
      </c>
      <c r="I494" s="85">
        <f>IF(E494=H494,0,IF(E494=0,100,(H494-E494)/E494*100))</f>
        <v>9.868333554994015</v>
      </c>
      <c r="J494" s="9">
        <f t="shared" si="1175"/>
        <v>2302900</v>
      </c>
      <c r="K494" s="9">
        <f t="shared" si="1175"/>
        <v>2360600</v>
      </c>
      <c r="L494" s="9">
        <f t="shared" si="1175"/>
        <v>2420100</v>
      </c>
      <c r="M494" s="9">
        <f t="shared" si="1175"/>
        <v>2481100</v>
      </c>
      <c r="N494" s="9">
        <f t="shared" si="1175"/>
        <v>2543700</v>
      </c>
      <c r="O494" s="9">
        <f t="shared" si="1175"/>
        <v>2607800</v>
      </c>
      <c r="P494" s="9">
        <f t="shared" si="1175"/>
        <v>2673400</v>
      </c>
      <c r="Q494" s="9">
        <f t="shared" si="1175"/>
        <v>2740600</v>
      </c>
      <c r="R494" s="9">
        <f t="shared" ref="R494" si="1176">SUM(R1609:R1618)</f>
        <v>2809600</v>
      </c>
      <c r="S494" s="47">
        <f t="shared" ref="S494" si="1177">SUM(S1609:S1618)</f>
        <v>2880200</v>
      </c>
    </row>
    <row r="495" spans="1:21" x14ac:dyDescent="0.2">
      <c r="A495" s="54">
        <f>ROUND(SUM(A1619:A1621),-2)</f>
        <v>-3420900</v>
      </c>
      <c r="B495" s="9">
        <f>SUM(B1619:B1621)</f>
        <v>-3551100</v>
      </c>
      <c r="C495" s="136">
        <f>SUM(C1619:C1621)</f>
        <v>-3612200</v>
      </c>
      <c r="D495" s="136">
        <f>SUM(D1619:D1621)</f>
        <v>-3772000</v>
      </c>
      <c r="E495" s="1442">
        <f t="shared" ref="E495" si="1178">SUM(E1619:E1621)</f>
        <v>-3743300</v>
      </c>
      <c r="F495" s="167">
        <v>22260</v>
      </c>
      <c r="G495" s="1150" t="s">
        <v>4320</v>
      </c>
      <c r="H495" s="9">
        <f t="shared" ref="H495:P495" si="1179">SUM(H1619:H1621)</f>
        <v>-3776000</v>
      </c>
      <c r="I495" s="85">
        <f>IF(E495=H495,0,IF(E495=0,100,(H495-E495)/E495*100))</f>
        <v>0.87356076189458509</v>
      </c>
      <c r="J495" s="9">
        <f t="shared" si="1179"/>
        <v>-3863500</v>
      </c>
      <c r="K495" s="9">
        <f t="shared" si="1179"/>
        <v>-3960900</v>
      </c>
      <c r="L495" s="9">
        <f t="shared" si="1179"/>
        <v>-4060600</v>
      </c>
      <c r="M495" s="9">
        <f t="shared" si="1179"/>
        <v>-4162900</v>
      </c>
      <c r="N495" s="9">
        <f t="shared" si="1179"/>
        <v>-4267700</v>
      </c>
      <c r="O495" s="9">
        <f t="shared" si="1179"/>
        <v>-4375100</v>
      </c>
      <c r="P495" s="9">
        <f t="shared" si="1179"/>
        <v>-4485000</v>
      </c>
      <c r="Q495" s="9">
        <f t="shared" ref="Q495" si="1180">SUM(Q1619:Q1621)</f>
        <v>-4597700</v>
      </c>
      <c r="R495" s="9">
        <f t="shared" ref="R495" si="1181">SUM(R1619:R1621)</f>
        <v>-4713100</v>
      </c>
      <c r="S495" s="47">
        <f t="shared" ref="S495" si="1182">SUM(S1619:S1621)</f>
        <v>-4831400</v>
      </c>
    </row>
    <row r="496" spans="1:21" x14ac:dyDescent="0.2">
      <c r="A496" s="54">
        <f>ROUND(SUM(A1622:A1630),-2)</f>
        <v>159800</v>
      </c>
      <c r="B496" s="9">
        <f>SUM(B1622:B1630)</f>
        <v>158300</v>
      </c>
      <c r="C496" s="136">
        <f>SUM(C1622:C1630)</f>
        <v>150600</v>
      </c>
      <c r="D496" s="136">
        <f>SUM(D1622:D1630)</f>
        <v>157100</v>
      </c>
      <c r="E496" s="1442">
        <f t="shared" ref="E496" si="1183">SUM(E1622:E1630)</f>
        <v>151900</v>
      </c>
      <c r="F496" s="167">
        <v>32322</v>
      </c>
      <c r="G496" s="1173" t="s">
        <v>1729</v>
      </c>
      <c r="H496" s="9">
        <f t="shared" ref="H496:P496" si="1184">SUM(H1622:H1630)</f>
        <v>177000</v>
      </c>
      <c r="I496" s="85">
        <f>IF(E496=H496,0,IF(E496=0,100,(H496-E496)/E496*100))</f>
        <v>16.524028966425281</v>
      </c>
      <c r="J496" s="9">
        <f t="shared" si="1184"/>
        <v>181400</v>
      </c>
      <c r="K496" s="9">
        <f t="shared" si="1184"/>
        <v>186200</v>
      </c>
      <c r="L496" s="9">
        <f t="shared" si="1184"/>
        <v>191200</v>
      </c>
      <c r="M496" s="9">
        <f t="shared" si="1184"/>
        <v>196400</v>
      </c>
      <c r="N496" s="9">
        <f t="shared" si="1184"/>
        <v>201600</v>
      </c>
      <c r="O496" s="9">
        <f t="shared" si="1184"/>
        <v>206900</v>
      </c>
      <c r="P496" s="9">
        <f t="shared" si="1184"/>
        <v>212300</v>
      </c>
      <c r="Q496" s="9">
        <f t="shared" ref="Q496" si="1185">SUM(Q1622:Q1630)</f>
        <v>218000</v>
      </c>
      <c r="R496" s="9">
        <f t="shared" ref="R496" si="1186">SUM(R1622:R1630)</f>
        <v>253700</v>
      </c>
      <c r="S496" s="47">
        <f t="shared" ref="S496" si="1187">SUM(S1622:S1630)</f>
        <v>259500</v>
      </c>
    </row>
    <row r="497" spans="1:21" x14ac:dyDescent="0.2">
      <c r="A497" s="54">
        <f>ROUND(A1632,-2)</f>
        <v>169000</v>
      </c>
      <c r="B497" s="9">
        <f>B1632</f>
        <v>221000</v>
      </c>
      <c r="C497" s="136">
        <f>C1632</f>
        <v>337000</v>
      </c>
      <c r="D497" s="136">
        <f>D1632</f>
        <v>342000</v>
      </c>
      <c r="E497" s="1442">
        <f t="shared" ref="E497" si="1188">E1632</f>
        <v>344000</v>
      </c>
      <c r="F497" s="167">
        <v>32320</v>
      </c>
      <c r="G497" s="1173" t="s">
        <v>1402</v>
      </c>
      <c r="H497" s="9">
        <f t="shared" ref="H497:O497" si="1189">H1632</f>
        <v>356000</v>
      </c>
      <c r="I497" s="85">
        <f>IF(E497=H497,0,IF(E497=0,100,(H497-E497)/E497*100))</f>
        <v>3.4883720930232558</v>
      </c>
      <c r="J497" s="9">
        <f t="shared" si="1189"/>
        <v>364200</v>
      </c>
      <c r="K497" s="9">
        <f t="shared" si="1189"/>
        <v>373400</v>
      </c>
      <c r="L497" s="9">
        <f t="shared" si="1189"/>
        <v>382800</v>
      </c>
      <c r="M497" s="9">
        <f t="shared" si="1189"/>
        <v>392400</v>
      </c>
      <c r="N497" s="9">
        <f t="shared" si="1189"/>
        <v>402300</v>
      </c>
      <c r="O497" s="9">
        <f t="shared" si="1189"/>
        <v>412400</v>
      </c>
      <c r="P497" s="9">
        <f t="shared" ref="P497:Q497" si="1190">P1632</f>
        <v>422800</v>
      </c>
      <c r="Q497" s="9">
        <f t="shared" si="1190"/>
        <v>433400</v>
      </c>
      <c r="R497" s="9">
        <f t="shared" ref="R497" si="1191">R1632</f>
        <v>444300</v>
      </c>
      <c r="S497" s="47">
        <f t="shared" ref="S497" si="1192">S1632</f>
        <v>455500</v>
      </c>
    </row>
    <row r="498" spans="1:21" x14ac:dyDescent="0.2">
      <c r="A498" s="54"/>
      <c r="B498" s="9"/>
      <c r="E498" s="1442"/>
      <c r="F498" s="167"/>
      <c r="G498" s="1173"/>
      <c r="H498" s="9"/>
      <c r="I498" s="85"/>
      <c r="J498" s="9"/>
      <c r="K498" s="9"/>
      <c r="L498" s="9"/>
      <c r="M498" s="9"/>
      <c r="N498" s="9"/>
      <c r="O498" s="9"/>
      <c r="P498" s="9"/>
      <c r="Q498" s="9"/>
      <c r="R498" s="9"/>
      <c r="S498" s="47"/>
    </row>
    <row r="499" spans="1:21" x14ac:dyDescent="0.2">
      <c r="A499" s="54"/>
      <c r="B499" s="9"/>
      <c r="E499" s="1442"/>
      <c r="F499" s="167"/>
      <c r="G499" s="122" t="s">
        <v>1112</v>
      </c>
      <c r="H499" s="9"/>
      <c r="I499" s="85"/>
      <c r="J499" s="9"/>
      <c r="K499" s="9"/>
      <c r="L499" s="9"/>
      <c r="M499" s="9"/>
      <c r="N499" s="9"/>
      <c r="O499" s="9"/>
      <c r="P499" s="9"/>
      <c r="Q499" s="9"/>
      <c r="R499" s="9"/>
      <c r="S499" s="47"/>
    </row>
    <row r="500" spans="1:21" x14ac:dyDescent="0.2">
      <c r="A500" s="54">
        <f>ROUND(A1634,-2)</f>
        <v>1900</v>
      </c>
      <c r="B500" s="9">
        <f>B1634</f>
        <v>0</v>
      </c>
      <c r="C500" s="136">
        <f>C1634</f>
        <v>0</v>
      </c>
      <c r="D500" s="136">
        <f>D1634</f>
        <v>0</v>
      </c>
      <c r="E500" s="1442">
        <f t="shared" ref="E500" si="1193">E1634</f>
        <v>0</v>
      </c>
      <c r="F500" s="167">
        <v>32320</v>
      </c>
      <c r="G500" s="1173" t="s">
        <v>1343</v>
      </c>
      <c r="H500" s="9">
        <f t="shared" ref="H500:O500" si="1194">H1634</f>
        <v>0</v>
      </c>
      <c r="I500" s="85">
        <f>IF(E500=H500,0,IF(E500=0,100,(H500-E500)/E500*100))</f>
        <v>0</v>
      </c>
      <c r="J500" s="9">
        <f t="shared" si="1194"/>
        <v>0</v>
      </c>
      <c r="K500" s="9">
        <f t="shared" si="1194"/>
        <v>0</v>
      </c>
      <c r="L500" s="9">
        <f t="shared" si="1194"/>
        <v>0</v>
      </c>
      <c r="M500" s="9">
        <f t="shared" si="1194"/>
        <v>0</v>
      </c>
      <c r="N500" s="9">
        <f t="shared" si="1194"/>
        <v>0</v>
      </c>
      <c r="O500" s="9">
        <f t="shared" si="1194"/>
        <v>0</v>
      </c>
      <c r="P500" s="9">
        <f t="shared" ref="P500:Q500" si="1195">P1634</f>
        <v>0</v>
      </c>
      <c r="Q500" s="9">
        <f t="shared" si="1195"/>
        <v>0</v>
      </c>
      <c r="R500" s="9">
        <f t="shared" ref="R500" si="1196">R1634</f>
        <v>0</v>
      </c>
      <c r="S500" s="47">
        <f t="shared" ref="S500" si="1197">S1634</f>
        <v>0</v>
      </c>
    </row>
    <row r="501" spans="1:21" x14ac:dyDescent="0.2">
      <c r="A501" s="54"/>
      <c r="B501" s="9"/>
      <c r="E501" s="1442"/>
      <c r="F501" s="167"/>
      <c r="G501" s="1173"/>
      <c r="H501" s="9"/>
      <c r="I501" s="85"/>
      <c r="J501" s="9"/>
      <c r="K501" s="9"/>
      <c r="L501" s="9"/>
      <c r="M501" s="9"/>
      <c r="N501" s="9"/>
      <c r="O501" s="9"/>
      <c r="P501" s="9"/>
      <c r="Q501" s="9"/>
      <c r="R501" s="9"/>
      <c r="S501" s="47"/>
    </row>
    <row r="502" spans="1:21" x14ac:dyDescent="0.2">
      <c r="A502" s="54"/>
      <c r="B502" s="9"/>
      <c r="E502" s="1442"/>
      <c r="F502" s="167"/>
      <c r="G502" s="1461" t="s">
        <v>1225</v>
      </c>
      <c r="H502" s="9"/>
      <c r="I502" s="85"/>
      <c r="J502" s="9"/>
      <c r="K502" s="9"/>
      <c r="L502" s="9"/>
      <c r="M502" s="9"/>
      <c r="N502" s="9"/>
      <c r="O502" s="9"/>
      <c r="P502" s="9"/>
      <c r="Q502" s="9"/>
      <c r="R502" s="9"/>
      <c r="S502" s="47"/>
    </row>
    <row r="503" spans="1:21" x14ac:dyDescent="0.2">
      <c r="A503" s="54">
        <f>ROUND(A1636,-2)</f>
        <v>76600</v>
      </c>
      <c r="B503" s="9">
        <f>B1636</f>
        <v>14200</v>
      </c>
      <c r="C503" s="136">
        <f>C1636</f>
        <v>19200</v>
      </c>
      <c r="D503" s="136">
        <f>D1636</f>
        <v>0</v>
      </c>
      <c r="E503" s="1442">
        <f t="shared" ref="E503" si="1198">E1636</f>
        <v>0</v>
      </c>
      <c r="F503" s="167">
        <v>22260</v>
      </c>
      <c r="G503" s="30" t="s">
        <v>1225</v>
      </c>
      <c r="H503" s="9">
        <f t="shared" ref="H503:O503" si="1199">H1636</f>
        <v>0</v>
      </c>
      <c r="I503" s="85">
        <f>IF(E503=H503,0,IF(E503=0,100,(H503-E503)/E503*100))</f>
        <v>0</v>
      </c>
      <c r="J503" s="9">
        <f t="shared" si="1199"/>
        <v>0</v>
      </c>
      <c r="K503" s="9">
        <f t="shared" si="1199"/>
        <v>0</v>
      </c>
      <c r="L503" s="9">
        <f t="shared" si="1199"/>
        <v>0</v>
      </c>
      <c r="M503" s="9">
        <f t="shared" si="1199"/>
        <v>0</v>
      </c>
      <c r="N503" s="9">
        <f t="shared" si="1199"/>
        <v>0</v>
      </c>
      <c r="O503" s="9">
        <f t="shared" si="1199"/>
        <v>0</v>
      </c>
      <c r="P503" s="9">
        <f t="shared" ref="P503:Q503" si="1200">P1636</f>
        <v>0</v>
      </c>
      <c r="Q503" s="9">
        <f t="shared" si="1200"/>
        <v>0</v>
      </c>
      <c r="R503" s="9">
        <f t="shared" ref="R503" si="1201">R1636</f>
        <v>0</v>
      </c>
      <c r="S503" s="47">
        <f t="shared" ref="S503" si="1202">S1636</f>
        <v>0</v>
      </c>
    </row>
    <row r="504" spans="1:21" x14ac:dyDescent="0.2">
      <c r="A504" s="54"/>
      <c r="B504" s="9"/>
      <c r="E504" s="1442"/>
      <c r="F504" s="167"/>
      <c r="G504" s="1173"/>
      <c r="H504" s="9"/>
      <c r="I504" s="85"/>
      <c r="J504" s="9"/>
      <c r="K504" s="9"/>
      <c r="L504" s="9"/>
      <c r="M504" s="9"/>
      <c r="N504" s="9"/>
      <c r="O504" s="9"/>
      <c r="P504" s="9"/>
      <c r="Q504" s="9"/>
      <c r="R504" s="9"/>
      <c r="S504" s="47"/>
    </row>
    <row r="505" spans="1:21" x14ac:dyDescent="0.2">
      <c r="A505" s="54"/>
      <c r="B505" s="9"/>
      <c r="E505" s="1442"/>
      <c r="F505" s="167"/>
      <c r="G505" s="122" t="str">
        <f>G101</f>
        <v>Non-Cash Expenses</v>
      </c>
      <c r="H505" s="9"/>
      <c r="I505" s="85"/>
      <c r="J505" s="9"/>
      <c r="K505" s="9"/>
      <c r="L505" s="9"/>
      <c r="M505" s="9"/>
      <c r="N505" s="9"/>
      <c r="O505" s="9"/>
      <c r="P505" s="9"/>
      <c r="Q505" s="9"/>
      <c r="R505" s="9"/>
      <c r="S505" s="47"/>
    </row>
    <row r="506" spans="1:21" x14ac:dyDescent="0.2">
      <c r="A506" s="54">
        <f>ROUND(A1638,-2)</f>
        <v>1128900</v>
      </c>
      <c r="B506" s="9">
        <f>B1638</f>
        <v>1154800</v>
      </c>
      <c r="C506" s="136">
        <f>C1638</f>
        <v>980800</v>
      </c>
      <c r="D506" s="136">
        <f>D1638</f>
        <v>925300</v>
      </c>
      <c r="E506" s="1442">
        <f t="shared" ref="E506" si="1203">E1638</f>
        <v>974200</v>
      </c>
      <c r="F506" s="167">
        <v>32320</v>
      </c>
      <c r="G506" s="1173" t="s">
        <v>2035</v>
      </c>
      <c r="H506" s="9">
        <f t="shared" ref="H506:O506" si="1204">H1638</f>
        <v>938400</v>
      </c>
      <c r="I506" s="85">
        <f>IF(E506=H506,0,IF(E506=0,100,(H506-E506)/E506*100))</f>
        <v>-3.6748101005953604</v>
      </c>
      <c r="J506" s="9">
        <f t="shared" si="1204"/>
        <v>957200</v>
      </c>
      <c r="K506" s="9">
        <f t="shared" si="1204"/>
        <v>976400</v>
      </c>
      <c r="L506" s="9">
        <f t="shared" si="1204"/>
        <v>996000</v>
      </c>
      <c r="M506" s="9">
        <f t="shared" si="1204"/>
        <v>1016000</v>
      </c>
      <c r="N506" s="9">
        <f t="shared" si="1204"/>
        <v>1036400</v>
      </c>
      <c r="O506" s="9">
        <f t="shared" si="1204"/>
        <v>1057200</v>
      </c>
      <c r="P506" s="9">
        <f t="shared" ref="P506:Q506" si="1205">P1638</f>
        <v>1078400</v>
      </c>
      <c r="Q506" s="9">
        <f t="shared" si="1205"/>
        <v>1100000</v>
      </c>
      <c r="R506" s="9">
        <f t="shared" ref="R506" si="1206">R1638</f>
        <v>1122000</v>
      </c>
      <c r="S506" s="47">
        <f t="shared" ref="S506" si="1207">S1638</f>
        <v>1144500</v>
      </c>
    </row>
    <row r="507" spans="1:21" ht="13.5" thickBot="1" x14ac:dyDescent="0.25">
      <c r="A507" s="54"/>
      <c r="B507" s="9"/>
      <c r="E507" s="144"/>
      <c r="F507" s="167"/>
      <c r="G507" s="257"/>
      <c r="H507" s="9"/>
      <c r="I507" s="85"/>
      <c r="J507" s="9"/>
      <c r="K507" s="9"/>
      <c r="L507" s="9"/>
      <c r="M507" s="9"/>
      <c r="N507" s="9"/>
      <c r="O507" s="9"/>
      <c r="P507" s="9"/>
      <c r="Q507" s="9"/>
      <c r="R507" s="9"/>
      <c r="S507" s="47"/>
    </row>
    <row r="508" spans="1:21" s="39" customFormat="1" x14ac:dyDescent="0.2">
      <c r="A508" s="52">
        <f>SUM(A492:A507)</f>
        <v>264200</v>
      </c>
      <c r="B508" s="16">
        <f>SUM(B492:B507)</f>
        <v>236000</v>
      </c>
      <c r="C508" s="137">
        <f>SUM(C492:C507)</f>
        <v>40900</v>
      </c>
      <c r="D508" s="137">
        <f>SUM(D492:D507)</f>
        <v>-205900</v>
      </c>
      <c r="E508" s="1473">
        <f t="shared" ref="E508" si="1208">SUM(E492:E507)</f>
        <v>-17500</v>
      </c>
      <c r="F508" s="126"/>
      <c r="G508" s="267" t="s">
        <v>556</v>
      </c>
      <c r="H508" s="16">
        <f t="shared" ref="H508:O508" si="1209">SUM(H492:H507)</f>
        <v>173700</v>
      </c>
      <c r="I508" s="127">
        <f>IF(E508=H508,0,IF(E508=0,100,(H508-E508)/E508*100))</f>
        <v>-1092.5714285714284</v>
      </c>
      <c r="J508" s="16">
        <f t="shared" si="1209"/>
        <v>-57800</v>
      </c>
      <c r="K508" s="16">
        <f t="shared" si="1209"/>
        <v>-64300</v>
      </c>
      <c r="L508" s="16">
        <f t="shared" si="1209"/>
        <v>-70500</v>
      </c>
      <c r="M508" s="16">
        <f t="shared" si="1209"/>
        <v>-77000</v>
      </c>
      <c r="N508" s="16">
        <f t="shared" si="1209"/>
        <v>-83700</v>
      </c>
      <c r="O508" s="16">
        <f t="shared" si="1209"/>
        <v>-90800</v>
      </c>
      <c r="P508" s="16">
        <f t="shared" ref="P508:Q508" si="1210">SUM(P492:P507)</f>
        <v>-98100</v>
      </c>
      <c r="Q508" s="16">
        <f t="shared" si="1210"/>
        <v>-105700</v>
      </c>
      <c r="R508" s="16">
        <f t="shared" ref="R508" si="1211">SUM(R492:R507)</f>
        <v>-83500</v>
      </c>
      <c r="S508" s="2342">
        <f t="shared" ref="S508" si="1212">SUM(S492:S507)</f>
        <v>-91700</v>
      </c>
      <c r="U508" s="34"/>
    </row>
    <row r="509" spans="1:21" x14ac:dyDescent="0.2">
      <c r="A509" s="54"/>
      <c r="B509" s="9"/>
      <c r="E509" s="144"/>
      <c r="F509" s="85"/>
      <c r="G509" s="257"/>
      <c r="H509" s="9"/>
      <c r="I509" s="85"/>
      <c r="J509" s="9"/>
      <c r="K509" s="9"/>
      <c r="L509" s="9"/>
      <c r="M509" s="9"/>
      <c r="N509" s="9"/>
      <c r="O509" s="9"/>
      <c r="P509" s="9"/>
      <c r="Q509" s="9"/>
      <c r="R509" s="9"/>
      <c r="S509" s="47"/>
    </row>
    <row r="510" spans="1:21" s="39" customFormat="1" x14ac:dyDescent="0.2">
      <c r="A510" s="24">
        <f>A489-A508</f>
        <v>44300</v>
      </c>
      <c r="B510" s="21">
        <f>B489-B508</f>
        <v>66000</v>
      </c>
      <c r="C510" s="139">
        <f>C489-C508</f>
        <v>286000</v>
      </c>
      <c r="D510" s="139">
        <f>D489-D508</f>
        <v>489900</v>
      </c>
      <c r="E510" s="143">
        <f t="shared" ref="E510" si="1213">E489-E508</f>
        <v>282700</v>
      </c>
      <c r="F510" s="173"/>
      <c r="G510" s="361" t="s">
        <v>1002</v>
      </c>
      <c r="H510" s="21">
        <f t="shared" ref="H510:O510" si="1214">H489-H508</f>
        <v>74200</v>
      </c>
      <c r="I510" s="126">
        <f>IF(E510=H510,0,IF(E510=0,100,(H510-E510)/E510*100))</f>
        <v>-73.75309515387336</v>
      </c>
      <c r="J510" s="21">
        <f t="shared" si="1214"/>
        <v>307500</v>
      </c>
      <c r="K510" s="21">
        <f t="shared" si="1214"/>
        <v>323500</v>
      </c>
      <c r="L510" s="21">
        <f t="shared" si="1214"/>
        <v>344300</v>
      </c>
      <c r="M510" s="21">
        <f t="shared" si="1214"/>
        <v>353600</v>
      </c>
      <c r="N510" s="21">
        <f t="shared" si="1214"/>
        <v>364200</v>
      </c>
      <c r="O510" s="21">
        <f t="shared" si="1214"/>
        <v>373400</v>
      </c>
      <c r="P510" s="21">
        <f t="shared" ref="P510:Q510" si="1215">P489-P508</f>
        <v>388100</v>
      </c>
      <c r="Q510" s="21">
        <f t="shared" si="1215"/>
        <v>411200</v>
      </c>
      <c r="R510" s="21">
        <f t="shared" ref="R510" si="1216">R489-R508</f>
        <v>392800</v>
      </c>
      <c r="S510" s="86">
        <f t="shared" ref="S510" si="1217">S489-S508</f>
        <v>408900</v>
      </c>
      <c r="U510" s="34"/>
    </row>
    <row r="511" spans="1:21" x14ac:dyDescent="0.2">
      <c r="A511" s="54">
        <f>ROUND(A506,-3)</f>
        <v>1129000</v>
      </c>
      <c r="B511" s="9">
        <f>B506</f>
        <v>1154800</v>
      </c>
      <c r="C511" s="136">
        <f>C506</f>
        <v>980800</v>
      </c>
      <c r="D511" s="136">
        <f>D506</f>
        <v>925300</v>
      </c>
      <c r="E511" s="144">
        <f t="shared" ref="E511" si="1218">E506</f>
        <v>974200</v>
      </c>
      <c r="F511" s="167"/>
      <c r="G511" s="261" t="str">
        <f>G221</f>
        <v>Add Back Depreciation</v>
      </c>
      <c r="H511" s="9">
        <f t="shared" ref="H511:O511" si="1219">H506</f>
        <v>938400</v>
      </c>
      <c r="I511" s="85">
        <f>IF(E511=H511,0,IF(E511=0,100,(H511-E511)/E511*100))</f>
        <v>-3.6748101005953604</v>
      </c>
      <c r="J511" s="9">
        <f t="shared" si="1219"/>
        <v>957200</v>
      </c>
      <c r="K511" s="9">
        <f t="shared" si="1219"/>
        <v>976400</v>
      </c>
      <c r="L511" s="9">
        <f t="shared" si="1219"/>
        <v>996000</v>
      </c>
      <c r="M511" s="9">
        <f t="shared" si="1219"/>
        <v>1016000</v>
      </c>
      <c r="N511" s="9">
        <f t="shared" si="1219"/>
        <v>1036400</v>
      </c>
      <c r="O511" s="9">
        <f t="shared" si="1219"/>
        <v>1057200</v>
      </c>
      <c r="P511" s="9">
        <f t="shared" ref="P511:Q511" si="1220">P506</f>
        <v>1078400</v>
      </c>
      <c r="Q511" s="9">
        <f t="shared" si="1220"/>
        <v>1100000</v>
      </c>
      <c r="R511" s="9">
        <f t="shared" ref="R511" si="1221">R506</f>
        <v>1122000</v>
      </c>
      <c r="S511" s="47">
        <f t="shared" ref="S511" si="1222">S506</f>
        <v>1144500</v>
      </c>
    </row>
    <row r="512" spans="1:21" s="39" customFormat="1" x14ac:dyDescent="0.2">
      <c r="A512" s="128">
        <f>A510+A511</f>
        <v>1173300</v>
      </c>
      <c r="B512" s="280">
        <f>B510+B511</f>
        <v>1220800</v>
      </c>
      <c r="C512" s="281">
        <f>C510+C511</f>
        <v>1266800</v>
      </c>
      <c r="D512" s="281">
        <f>D510+D511</f>
        <v>1415200</v>
      </c>
      <c r="E512" s="1513">
        <f t="shared" ref="E512" si="1223">E510+E511</f>
        <v>1256900</v>
      </c>
      <c r="F512" s="372"/>
      <c r="G512" s="363" t="s">
        <v>1659</v>
      </c>
      <c r="H512" s="280">
        <f t="shared" ref="H512:O512" si="1224">H510+H511</f>
        <v>1012600</v>
      </c>
      <c r="I512" s="278">
        <f>IF(E512=H512,0,IF(E512=0,100,(H512-E512)/E512*100))</f>
        <v>-19.436709364309017</v>
      </c>
      <c r="J512" s="280">
        <f t="shared" si="1224"/>
        <v>1264700</v>
      </c>
      <c r="K512" s="280">
        <f t="shared" si="1224"/>
        <v>1299900</v>
      </c>
      <c r="L512" s="280">
        <f t="shared" si="1224"/>
        <v>1340300</v>
      </c>
      <c r="M512" s="280">
        <f t="shared" si="1224"/>
        <v>1369600</v>
      </c>
      <c r="N512" s="280">
        <f t="shared" si="1224"/>
        <v>1400600</v>
      </c>
      <c r="O512" s="280">
        <f t="shared" si="1224"/>
        <v>1430600</v>
      </c>
      <c r="P512" s="280">
        <f t="shared" ref="P512:Q512" si="1225">P510+P511</f>
        <v>1466500</v>
      </c>
      <c r="Q512" s="280">
        <f t="shared" si="1225"/>
        <v>1511200</v>
      </c>
      <c r="R512" s="280">
        <f t="shared" ref="R512" si="1226">R510+R511</f>
        <v>1514800</v>
      </c>
      <c r="S512" s="2343">
        <f t="shared" ref="S512" si="1227">S510+S511</f>
        <v>1553400</v>
      </c>
      <c r="U512" s="34"/>
    </row>
    <row r="513" spans="1:21" ht="13.5" thickBot="1" x14ac:dyDescent="0.25">
      <c r="A513" s="24"/>
      <c r="B513" s="21"/>
      <c r="C513" s="138"/>
      <c r="D513" s="138"/>
      <c r="E513" s="143"/>
      <c r="F513" s="167"/>
      <c r="G513" s="260"/>
      <c r="H513" s="9"/>
      <c r="I513" s="126"/>
      <c r="J513" s="9"/>
      <c r="K513" s="9"/>
      <c r="L513" s="9"/>
      <c r="M513" s="9"/>
      <c r="N513" s="9"/>
      <c r="O513" s="9"/>
      <c r="P513" s="9"/>
      <c r="Q513" s="9"/>
      <c r="R513" s="9"/>
      <c r="S513" s="47"/>
    </row>
    <row r="514" spans="1:21" ht="13.5" thickTop="1" x14ac:dyDescent="0.2">
      <c r="A514" s="270"/>
      <c r="B514" s="109"/>
      <c r="C514" s="140"/>
      <c r="D514" s="140"/>
      <c r="E514" s="142"/>
      <c r="F514" s="254"/>
      <c r="G514" s="258"/>
      <c r="H514" s="74"/>
      <c r="I514" s="352"/>
      <c r="J514" s="74"/>
      <c r="K514" s="74"/>
      <c r="L514" s="74"/>
      <c r="M514" s="74"/>
      <c r="N514" s="74"/>
      <c r="O514" s="74"/>
      <c r="P514" s="74"/>
      <c r="Q514" s="74"/>
      <c r="R514" s="74"/>
      <c r="S514" s="2345"/>
    </row>
    <row r="515" spans="1:21" x14ac:dyDescent="0.2">
      <c r="A515" s="24"/>
      <c r="B515" s="21"/>
      <c r="C515" s="139"/>
      <c r="D515" s="139"/>
      <c r="E515" s="143"/>
      <c r="F515" s="167"/>
      <c r="G515" s="361" t="s">
        <v>192</v>
      </c>
      <c r="H515" s="9"/>
      <c r="I515" s="126"/>
      <c r="J515" s="9"/>
      <c r="K515" s="9"/>
      <c r="L515" s="9"/>
      <c r="M515" s="9"/>
      <c r="N515" s="9"/>
      <c r="O515" s="9"/>
      <c r="P515" s="9"/>
      <c r="Q515" s="9"/>
      <c r="R515" s="9"/>
      <c r="S515" s="47"/>
    </row>
    <row r="516" spans="1:21" x14ac:dyDescent="0.2">
      <c r="A516" s="24"/>
      <c r="B516" s="21"/>
      <c r="C516" s="139"/>
      <c r="D516" s="139"/>
      <c r="E516" s="143"/>
      <c r="F516" s="167"/>
      <c r="G516" s="260"/>
      <c r="H516" s="9"/>
      <c r="I516" s="126"/>
      <c r="J516" s="9"/>
      <c r="K516" s="9"/>
      <c r="L516" s="9"/>
      <c r="M516" s="9"/>
      <c r="N516" s="9"/>
      <c r="O516" s="9"/>
      <c r="P516" s="9"/>
      <c r="Q516" s="9"/>
      <c r="R516" s="9"/>
      <c r="S516" s="47"/>
    </row>
    <row r="517" spans="1:21" x14ac:dyDescent="0.2">
      <c r="A517" s="54">
        <f>ROUND(A1649,-2)+100</f>
        <v>32000</v>
      </c>
      <c r="B517" s="9">
        <f t="shared" ref="B517:C521" si="1228">B1649</f>
        <v>0</v>
      </c>
      <c r="C517" s="136">
        <f t="shared" si="1228"/>
        <v>0</v>
      </c>
      <c r="D517" s="136">
        <f>D1649</f>
        <v>0</v>
      </c>
      <c r="E517" s="144">
        <f t="shared" ref="E517" si="1229">E1649</f>
        <v>0</v>
      </c>
      <c r="F517" s="167"/>
      <c r="G517" s="257" t="s">
        <v>2848</v>
      </c>
      <c r="H517" s="9">
        <f t="shared" ref="H517:O517" si="1230">H1649</f>
        <v>0</v>
      </c>
      <c r="I517" s="85">
        <f>IF(E517=H517,0,IF(E517=0,100,(H517-E517)/E517*100))</f>
        <v>0</v>
      </c>
      <c r="J517" s="9">
        <f t="shared" si="1230"/>
        <v>0</v>
      </c>
      <c r="K517" s="9">
        <f t="shared" si="1230"/>
        <v>0</v>
      </c>
      <c r="L517" s="9">
        <f t="shared" si="1230"/>
        <v>0</v>
      </c>
      <c r="M517" s="9">
        <f t="shared" si="1230"/>
        <v>0</v>
      </c>
      <c r="N517" s="9">
        <f t="shared" si="1230"/>
        <v>0</v>
      </c>
      <c r="O517" s="9">
        <f t="shared" si="1230"/>
        <v>0</v>
      </c>
      <c r="P517" s="9">
        <f t="shared" ref="P517:Q517" si="1231">P1649</f>
        <v>0</v>
      </c>
      <c r="Q517" s="9">
        <f t="shared" si="1231"/>
        <v>0</v>
      </c>
      <c r="R517" s="9">
        <f t="shared" ref="R517" si="1232">R1649</f>
        <v>0</v>
      </c>
      <c r="S517" s="47">
        <f t="shared" ref="S517" si="1233">S1649</f>
        <v>0</v>
      </c>
    </row>
    <row r="518" spans="1:21" x14ac:dyDescent="0.2">
      <c r="A518" s="54">
        <f>ROUND(A1650,-2)</f>
        <v>1201300</v>
      </c>
      <c r="B518" s="9">
        <f t="shared" si="1228"/>
        <v>1169400</v>
      </c>
      <c r="C518" s="89">
        <f t="shared" si="1228"/>
        <v>1266800</v>
      </c>
      <c r="D518" s="89">
        <f>D1650</f>
        <v>1423800</v>
      </c>
      <c r="E518" s="29">
        <f t="shared" ref="E518" si="1234">E1650</f>
        <v>1256300</v>
      </c>
      <c r="F518" s="167"/>
      <c r="G518" s="257" t="s">
        <v>1909</v>
      </c>
      <c r="H518" s="9">
        <f t="shared" ref="H518:O518" si="1235">H1650</f>
        <v>1012600</v>
      </c>
      <c r="I518" s="85">
        <f>IF(E518=H518,0,IF(E518=0,100,(H518-E518)/E518*100))</f>
        <v>-19.398232906152991</v>
      </c>
      <c r="J518" s="9">
        <f t="shared" si="1235"/>
        <v>1264700</v>
      </c>
      <c r="K518" s="9">
        <f t="shared" si="1235"/>
        <v>1299900</v>
      </c>
      <c r="L518" s="9">
        <f t="shared" si="1235"/>
        <v>1340300</v>
      </c>
      <c r="M518" s="9">
        <f t="shared" si="1235"/>
        <v>1369600</v>
      </c>
      <c r="N518" s="9">
        <f t="shared" si="1235"/>
        <v>1400600</v>
      </c>
      <c r="O518" s="9">
        <f t="shared" si="1235"/>
        <v>1430600</v>
      </c>
      <c r="P518" s="9">
        <f t="shared" ref="P518:Q518" si="1236">P1650</f>
        <v>1466500</v>
      </c>
      <c r="Q518" s="9">
        <f t="shared" si="1236"/>
        <v>1511200</v>
      </c>
      <c r="R518" s="9">
        <f t="shared" ref="R518" si="1237">R1650</f>
        <v>1514800</v>
      </c>
      <c r="S518" s="47">
        <f t="shared" ref="S518" si="1238">S1650</f>
        <v>1553400</v>
      </c>
    </row>
    <row r="519" spans="1:21" x14ac:dyDescent="0.2">
      <c r="A519" s="54">
        <f>ROUND(A1651,-2)</f>
        <v>1196000</v>
      </c>
      <c r="B519" s="9">
        <f t="shared" si="1228"/>
        <v>1113500</v>
      </c>
      <c r="C519" s="89">
        <f t="shared" si="1228"/>
        <v>1223200</v>
      </c>
      <c r="D519" s="89">
        <f>D1651</f>
        <v>1385100</v>
      </c>
      <c r="E519" s="144">
        <f t="shared" ref="E519" si="1239">E1651</f>
        <v>1381400</v>
      </c>
      <c r="F519" s="167"/>
      <c r="G519" s="257" t="s">
        <v>2309</v>
      </c>
      <c r="H519" s="9">
        <f t="shared" ref="H519:O519" si="1240">H1651</f>
        <v>2064100</v>
      </c>
      <c r="I519" s="85">
        <f>IF(E519=H519,0,IF(E519=0,100,(H519-E519)/E519*100))</f>
        <v>49.420877370783259</v>
      </c>
      <c r="J519" s="9">
        <f t="shared" si="1240"/>
        <v>1116100</v>
      </c>
      <c r="K519" s="9">
        <f t="shared" si="1240"/>
        <v>931200</v>
      </c>
      <c r="L519" s="9">
        <f t="shared" si="1240"/>
        <v>1553500</v>
      </c>
      <c r="M519" s="9">
        <f t="shared" si="1240"/>
        <v>1495900</v>
      </c>
      <c r="N519" s="9">
        <f t="shared" si="1240"/>
        <v>1613200</v>
      </c>
      <c r="O519" s="9">
        <f t="shared" si="1240"/>
        <v>1259500</v>
      </c>
      <c r="P519" s="9">
        <f t="shared" ref="P519:Q519" si="1241">P1651</f>
        <v>1304600</v>
      </c>
      <c r="Q519" s="9">
        <f t="shared" si="1241"/>
        <v>1028400</v>
      </c>
      <c r="R519" s="9">
        <f t="shared" ref="R519" si="1242">R1651</f>
        <v>1522100</v>
      </c>
      <c r="S519" s="47">
        <f t="shared" ref="S519" si="1243">S1651</f>
        <v>1522100</v>
      </c>
    </row>
    <row r="520" spans="1:21" x14ac:dyDescent="0.2">
      <c r="A520" s="54">
        <f>ROUND(A1652,-3)</f>
        <v>0</v>
      </c>
      <c r="B520" s="9">
        <f t="shared" si="1228"/>
        <v>0</v>
      </c>
      <c r="C520" s="136">
        <f t="shared" si="1228"/>
        <v>0</v>
      </c>
      <c r="D520" s="136">
        <f>D1652</f>
        <v>0</v>
      </c>
      <c r="E520" s="144">
        <f t="shared" ref="E520" si="1244">E1652</f>
        <v>0</v>
      </c>
      <c r="F520" s="167"/>
      <c r="G520" s="257" t="s">
        <v>5847</v>
      </c>
      <c r="H520" s="9">
        <f t="shared" ref="H520:O520" si="1245">H1652</f>
        <v>0</v>
      </c>
      <c r="I520" s="85">
        <f>IF(E520=H520,0,IF(E520=0,100,(H520-E520)/E520*100))</f>
        <v>0</v>
      </c>
      <c r="J520" s="9">
        <f t="shared" si="1245"/>
        <v>0</v>
      </c>
      <c r="K520" s="9">
        <f t="shared" si="1245"/>
        <v>0</v>
      </c>
      <c r="L520" s="9">
        <f t="shared" si="1245"/>
        <v>0</v>
      </c>
      <c r="M520" s="9">
        <f t="shared" si="1245"/>
        <v>0</v>
      </c>
      <c r="N520" s="9">
        <f t="shared" si="1245"/>
        <v>0</v>
      </c>
      <c r="O520" s="9">
        <f t="shared" si="1245"/>
        <v>0</v>
      </c>
      <c r="P520" s="9">
        <f t="shared" ref="P520:Q520" si="1246">P1652</f>
        <v>0</v>
      </c>
      <c r="Q520" s="9">
        <f t="shared" si="1246"/>
        <v>0</v>
      </c>
      <c r="R520" s="9">
        <f t="shared" ref="R520" si="1247">R1652</f>
        <v>0</v>
      </c>
      <c r="S520" s="47">
        <f t="shared" ref="S520" si="1248">S1652</f>
        <v>0</v>
      </c>
    </row>
    <row r="521" spans="1:21" x14ac:dyDescent="0.2">
      <c r="A521" s="54">
        <f>ROUND(A1653,-2)</f>
        <v>1136000</v>
      </c>
      <c r="B521" s="9">
        <f t="shared" si="1228"/>
        <v>1164900</v>
      </c>
      <c r="C521" s="89">
        <f t="shared" si="1228"/>
        <v>1223200</v>
      </c>
      <c r="D521" s="89">
        <f>D1653</f>
        <v>1385100</v>
      </c>
      <c r="E521" s="144">
        <f t="shared" ref="E521" si="1249">E1653</f>
        <v>1381400</v>
      </c>
      <c r="F521" s="167"/>
      <c r="G521" s="257" t="s">
        <v>958</v>
      </c>
      <c r="H521" s="9">
        <f t="shared" ref="H521:O521" si="1250">H1653</f>
        <v>2064100</v>
      </c>
      <c r="I521" s="85">
        <f>IF(E521=H521,0,IF(E521=0,100,(H521-E521)/E521*100))</f>
        <v>49.420877370783259</v>
      </c>
      <c r="J521" s="9">
        <f t="shared" si="1250"/>
        <v>1116100</v>
      </c>
      <c r="K521" s="9">
        <f t="shared" si="1250"/>
        <v>931200</v>
      </c>
      <c r="L521" s="9">
        <f t="shared" si="1250"/>
        <v>1553500</v>
      </c>
      <c r="M521" s="9">
        <f t="shared" si="1250"/>
        <v>1495900</v>
      </c>
      <c r="N521" s="9">
        <f t="shared" si="1250"/>
        <v>1613200</v>
      </c>
      <c r="O521" s="9">
        <f t="shared" si="1250"/>
        <v>1259500</v>
      </c>
      <c r="P521" s="9">
        <f t="shared" ref="P521:Q521" si="1251">P1653</f>
        <v>1304600</v>
      </c>
      <c r="Q521" s="9">
        <f t="shared" si="1251"/>
        <v>1028400</v>
      </c>
      <c r="R521" s="9">
        <f t="shared" ref="R521" si="1252">R1653</f>
        <v>1522100</v>
      </c>
      <c r="S521" s="47">
        <f t="shared" ref="S521" si="1253">S1653</f>
        <v>1522100</v>
      </c>
    </row>
    <row r="522" spans="1:21" x14ac:dyDescent="0.2">
      <c r="A522" s="54"/>
      <c r="B522" s="9"/>
      <c r="E522" s="144"/>
      <c r="F522" s="167"/>
      <c r="G522" s="361"/>
      <c r="H522" s="9"/>
      <c r="I522" s="85"/>
      <c r="J522" s="9"/>
      <c r="K522" s="9"/>
      <c r="L522" s="9"/>
      <c r="M522" s="9"/>
      <c r="N522" s="9"/>
      <c r="O522" s="9"/>
      <c r="P522" s="9"/>
      <c r="Q522" s="9"/>
      <c r="R522" s="9"/>
      <c r="S522" s="47"/>
    </row>
    <row r="523" spans="1:21" s="39" customFormat="1" x14ac:dyDescent="0.2">
      <c r="A523" s="128">
        <f>A512-A517-A518+A519++A520-A521</f>
        <v>0</v>
      </c>
      <c r="B523" s="280">
        <f>B512-B517-B518+B519++B520-B521</f>
        <v>0</v>
      </c>
      <c r="C523" s="281">
        <f>C512-C517-C518+C519++C520-C521</f>
        <v>0</v>
      </c>
      <c r="D523" s="281">
        <f>D512-D517-D518+D519++D520-D521</f>
        <v>-8600</v>
      </c>
      <c r="E523" s="1513">
        <f t="shared" ref="E523" si="1254">E512-E517-E518+E519++E520-E521</f>
        <v>600</v>
      </c>
      <c r="F523" s="372"/>
      <c r="G523" s="363" t="s">
        <v>2447</v>
      </c>
      <c r="H523" s="280">
        <f t="shared" ref="H523:O523" si="1255">H512-H517-H518+H519++H520-H521</f>
        <v>0</v>
      </c>
      <c r="I523" s="278">
        <f>IF(E523=H523,0,IF(E523=0,100,(H523-E523)/E523*100))</f>
        <v>-100</v>
      </c>
      <c r="J523" s="280">
        <f t="shared" si="1255"/>
        <v>0</v>
      </c>
      <c r="K523" s="280">
        <f t="shared" si="1255"/>
        <v>0</v>
      </c>
      <c r="L523" s="280">
        <f t="shared" si="1255"/>
        <v>0</v>
      </c>
      <c r="M523" s="280">
        <f t="shared" si="1255"/>
        <v>0</v>
      </c>
      <c r="N523" s="280">
        <f t="shared" si="1255"/>
        <v>0</v>
      </c>
      <c r="O523" s="280">
        <f t="shared" si="1255"/>
        <v>0</v>
      </c>
      <c r="P523" s="280">
        <f t="shared" ref="P523:Q523" si="1256">P512-P517-P518+P519++P520-P521</f>
        <v>0</v>
      </c>
      <c r="Q523" s="280">
        <f t="shared" si="1256"/>
        <v>0</v>
      </c>
      <c r="R523" s="280">
        <f t="shared" ref="R523" si="1257">R512-R517-R518+R519++R520-R521</f>
        <v>0</v>
      </c>
      <c r="S523" s="2343">
        <f t="shared" ref="S523" si="1258">S512-S517-S518+S519++S520-S521</f>
        <v>0</v>
      </c>
      <c r="U523" s="34"/>
    </row>
    <row r="524" spans="1:21" ht="13.5" thickBot="1" x14ac:dyDescent="0.25">
      <c r="A524" s="26"/>
      <c r="B524" s="37"/>
      <c r="C524" s="141"/>
      <c r="D524" s="141"/>
      <c r="E524" s="1437"/>
      <c r="F524" s="166"/>
      <c r="G524" s="259"/>
      <c r="H524" s="23"/>
      <c r="I524" s="275"/>
      <c r="J524" s="23"/>
      <c r="K524" s="23"/>
      <c r="L524" s="23"/>
      <c r="M524" s="23"/>
      <c r="N524" s="23"/>
      <c r="O524" s="23"/>
      <c r="P524" s="23"/>
      <c r="Q524" s="23"/>
      <c r="R524" s="23"/>
      <c r="S524" s="112"/>
    </row>
    <row r="525" spans="1:21" s="46" customFormat="1" ht="13.5" thickTop="1" x14ac:dyDescent="0.2">
      <c r="A525" s="27"/>
      <c r="B525" s="27"/>
      <c r="C525" s="143"/>
      <c r="D525" s="143"/>
      <c r="E525" s="143"/>
      <c r="F525" s="165"/>
      <c r="G525" s="84"/>
      <c r="I525" s="2234"/>
      <c r="U525" s="34"/>
    </row>
    <row r="526" spans="1:21" s="46" customFormat="1" ht="13.5" thickBot="1" x14ac:dyDescent="0.25">
      <c r="A526" s="27"/>
      <c r="B526" s="27"/>
      <c r="C526" s="27"/>
      <c r="D526" s="27"/>
      <c r="E526" s="27"/>
      <c r="F526" s="471"/>
      <c r="G526" s="84"/>
      <c r="I526" s="2234"/>
      <c r="U526" s="34"/>
    </row>
    <row r="527" spans="1:21" s="38" customFormat="1" ht="18.75" customHeight="1" thickTop="1" thickBot="1" x14ac:dyDescent="0.3">
      <c r="A527" s="2588" t="s">
        <v>1224</v>
      </c>
      <c r="B527" s="2589"/>
      <c r="C527" s="2589"/>
      <c r="D527" s="2589"/>
      <c r="E527" s="2589"/>
      <c r="F527" s="2589"/>
      <c r="G527" s="2589"/>
      <c r="H527" s="2589"/>
      <c r="I527" s="2589"/>
      <c r="J527" s="2589"/>
      <c r="K527" s="2589"/>
      <c r="L527" s="2589"/>
      <c r="M527" s="2589"/>
      <c r="N527" s="2589"/>
      <c r="O527" s="2589"/>
      <c r="P527" s="2589"/>
      <c r="Q527" s="2589"/>
      <c r="R527" s="2589"/>
      <c r="S527" s="2590"/>
      <c r="U527" s="34"/>
    </row>
    <row r="528" spans="1:21" s="39" customFormat="1" ht="13.5" thickBot="1" x14ac:dyDescent="0.25">
      <c r="A528" s="2591" t="s">
        <v>1824</v>
      </c>
      <c r="B528" s="2577"/>
      <c r="C528" s="2577"/>
      <c r="D528" s="2577"/>
      <c r="E528" s="2592"/>
      <c r="F528" s="127" t="s">
        <v>2616</v>
      </c>
      <c r="G528" s="127" t="s">
        <v>2213</v>
      </c>
      <c r="H528" s="2568" t="s">
        <v>2215</v>
      </c>
      <c r="I528" s="2568"/>
      <c r="J528" s="2568"/>
      <c r="K528" s="2568"/>
      <c r="L528" s="2568"/>
      <c r="M528" s="2568"/>
      <c r="N528" s="2568"/>
      <c r="O528" s="2568"/>
      <c r="P528" s="2568"/>
      <c r="Q528" s="2568"/>
      <c r="R528" s="2568"/>
      <c r="S528" s="2607"/>
      <c r="U528" s="34"/>
    </row>
    <row r="529" spans="1:22" ht="13.5" thickBot="1" x14ac:dyDescent="0.25">
      <c r="A529" s="541" t="str">
        <f>DEH!A3</f>
        <v>2012/13</v>
      </c>
      <c r="B529" s="28" t="str">
        <f>DEH!B3</f>
        <v>2013/14</v>
      </c>
      <c r="C529" s="40" t="str">
        <f>DEH!C3</f>
        <v>2014/15</v>
      </c>
      <c r="D529" s="40" t="str">
        <f>DEH!D3</f>
        <v>2015/16</v>
      </c>
      <c r="E529" s="40" t="str">
        <f>DEH!E3</f>
        <v>2016/17</v>
      </c>
      <c r="F529" s="2071" t="s">
        <v>2617</v>
      </c>
      <c r="G529" s="41"/>
      <c r="H529" s="40" t="str">
        <f>DEH!H3</f>
        <v>2017/18</v>
      </c>
      <c r="I529" s="1459" t="s">
        <v>492</v>
      </c>
      <c r="J529" s="40" t="str">
        <f>DEH!J3</f>
        <v>2018/19</v>
      </c>
      <c r="K529" s="40" t="str">
        <f>DEH!K3</f>
        <v>2019/20</v>
      </c>
      <c r="L529" s="40" t="str">
        <f>DEH!L3</f>
        <v>2020/21</v>
      </c>
      <c r="M529" s="40" t="str">
        <f>DEH!M3</f>
        <v>2021/22</v>
      </c>
      <c r="N529" s="40" t="str">
        <f>DEH!N3</f>
        <v>2022/23</v>
      </c>
      <c r="O529" s="40" t="str">
        <f>DEH!O3</f>
        <v>2023/24</v>
      </c>
      <c r="P529" s="40" t="str">
        <f>DEH!P3</f>
        <v>2024/25</v>
      </c>
      <c r="Q529" s="28" t="str">
        <f>DEH!Q3</f>
        <v>2025/26</v>
      </c>
      <c r="R529" s="28" t="str">
        <f>DEH!R3</f>
        <v>2026/27</v>
      </c>
      <c r="S529" s="1620" t="str">
        <f>DEH!S3</f>
        <v>2027/28</v>
      </c>
    </row>
    <row r="530" spans="1:22" x14ac:dyDescent="0.2">
      <c r="A530" s="54"/>
      <c r="B530" s="9"/>
      <c r="C530" s="9"/>
      <c r="D530" s="9"/>
      <c r="E530" s="9"/>
      <c r="F530" s="469"/>
      <c r="G530" s="27"/>
      <c r="H530" s="9"/>
      <c r="I530" s="85"/>
      <c r="J530" s="9"/>
      <c r="K530" s="9"/>
      <c r="L530" s="9"/>
      <c r="M530" s="9"/>
      <c r="N530" s="9"/>
      <c r="O530" s="9"/>
      <c r="P530" s="9"/>
      <c r="Q530" s="9"/>
      <c r="R530" s="9"/>
      <c r="S530" s="61"/>
    </row>
    <row r="531" spans="1:22" x14ac:dyDescent="0.2">
      <c r="A531" s="54"/>
      <c r="B531" s="9"/>
      <c r="C531" s="9"/>
      <c r="D531" s="9"/>
      <c r="E531" s="9"/>
      <c r="F531" s="469"/>
      <c r="G531" s="91" t="s">
        <v>1056</v>
      </c>
      <c r="H531" s="9"/>
      <c r="I531" s="85"/>
      <c r="J531" s="9"/>
      <c r="K531" s="9"/>
      <c r="L531" s="9"/>
      <c r="M531" s="9"/>
      <c r="N531" s="9"/>
      <c r="O531" s="9"/>
      <c r="P531" s="9"/>
      <c r="Q531" s="9"/>
      <c r="R531" s="9"/>
      <c r="S531" s="61"/>
    </row>
    <row r="532" spans="1:22" x14ac:dyDescent="0.2">
      <c r="A532" s="54"/>
      <c r="B532" s="9"/>
      <c r="C532" s="9"/>
      <c r="D532" s="9"/>
      <c r="E532" s="9"/>
      <c r="F532" s="167"/>
      <c r="G532" s="59"/>
      <c r="H532" s="9"/>
      <c r="I532" s="85"/>
      <c r="J532" s="9"/>
      <c r="K532" s="9"/>
      <c r="L532" s="9"/>
      <c r="M532" s="9"/>
      <c r="N532" s="9"/>
      <c r="O532" s="9"/>
      <c r="P532" s="9"/>
      <c r="Q532" s="9"/>
      <c r="R532" s="9"/>
      <c r="S532" s="61"/>
    </row>
    <row r="533" spans="1:22" x14ac:dyDescent="0.2">
      <c r="A533" s="54">
        <f>ROUND(SUM(CIV!A1665:A1669),-3)</f>
        <v>249000</v>
      </c>
      <c r="B533" s="9">
        <f>SUM(CIV!B1665:B1669)</f>
        <v>161500</v>
      </c>
      <c r="C533" s="9">
        <f>SUM(CIV!C1665:C1669)</f>
        <v>181900</v>
      </c>
      <c r="D533" s="9">
        <f>SUM(CIV!D1665:D1669)</f>
        <v>172300</v>
      </c>
      <c r="E533" s="9">
        <f>SUM(CIV!E1665:E1669)</f>
        <v>200100</v>
      </c>
      <c r="F533" s="167">
        <v>21060</v>
      </c>
      <c r="G533" s="29" t="s">
        <v>2828</v>
      </c>
      <c r="H533" s="9">
        <f>SUM(CIV!H1665:H1669)</f>
        <v>206500</v>
      </c>
      <c r="I533" s="85">
        <f>IF(E533=H533,0,IF(E533=0,100,(H533-E533)/E533*100))</f>
        <v>3.1984007996001997</v>
      </c>
      <c r="J533" s="9">
        <f>SUM(CIV!J1665:J1669)</f>
        <v>211400</v>
      </c>
      <c r="K533" s="9">
        <f>SUM(CIV!K1665:K1669)</f>
        <v>216800</v>
      </c>
      <c r="L533" s="9">
        <f>SUM(CIV!L1665:L1669)</f>
        <v>222300</v>
      </c>
      <c r="M533" s="9">
        <f>SUM(CIV!M1665:M1669)</f>
        <v>228100</v>
      </c>
      <c r="N533" s="9">
        <f>SUM(CIV!N1665:N1669)</f>
        <v>233900</v>
      </c>
      <c r="O533" s="9">
        <f>SUM(CIV!O1665:O1669)</f>
        <v>239900</v>
      </c>
      <c r="P533" s="9">
        <f>SUM(CIV!P1665:P1669)</f>
        <v>246000</v>
      </c>
      <c r="Q533" s="9">
        <f>SUM(CIV!Q1665:Q1669)</f>
        <v>252200</v>
      </c>
      <c r="R533" s="9">
        <f>SUM(CIV!R1665:R1669)</f>
        <v>258700</v>
      </c>
      <c r="S533" s="47">
        <f>SUM(CIV!S1665:S1669)</f>
        <v>265300</v>
      </c>
      <c r="V533" s="39"/>
    </row>
    <row r="534" spans="1:22" ht="13.5" thickBot="1" x14ac:dyDescent="0.25">
      <c r="A534" s="24"/>
      <c r="B534" s="21"/>
      <c r="C534" s="21"/>
      <c r="D534" s="21"/>
      <c r="E534" s="21"/>
      <c r="F534" s="167"/>
      <c r="G534" s="27"/>
      <c r="H534" s="9"/>
      <c r="I534" s="126"/>
      <c r="J534" s="9"/>
      <c r="K534" s="9"/>
      <c r="L534" s="9"/>
      <c r="M534" s="9"/>
      <c r="N534" s="9"/>
      <c r="O534" s="9"/>
      <c r="P534" s="9"/>
      <c r="Q534" s="9"/>
      <c r="R534" s="9"/>
      <c r="S534" s="47"/>
    </row>
    <row r="535" spans="1:22" x14ac:dyDescent="0.2">
      <c r="A535" s="52">
        <f>SUM(A532:A534)</f>
        <v>249000</v>
      </c>
      <c r="B535" s="16">
        <f>SUM(B532:B534)</f>
        <v>161500</v>
      </c>
      <c r="C535" s="16">
        <f>SUM(C532:C534)</f>
        <v>181900</v>
      </c>
      <c r="D535" s="16">
        <f>SUM(D532:D534)</f>
        <v>172300</v>
      </c>
      <c r="E535" s="16">
        <f t="shared" ref="E535" si="1259">SUM(E532:E534)</f>
        <v>200100</v>
      </c>
      <c r="F535" s="167"/>
      <c r="G535" s="59" t="s">
        <v>2561</v>
      </c>
      <c r="H535" s="16">
        <f t="shared" ref="H535:O535" si="1260">SUM(H532:H534)</f>
        <v>206500</v>
      </c>
      <c r="I535" s="127">
        <f>IF(E535=H535,0,IF(E535=0,100,(H535-E535)/E535*100))</f>
        <v>3.1984007996001997</v>
      </c>
      <c r="J535" s="16">
        <f t="shared" si="1260"/>
        <v>211400</v>
      </c>
      <c r="K535" s="16">
        <f t="shared" si="1260"/>
        <v>216800</v>
      </c>
      <c r="L535" s="16">
        <f t="shared" si="1260"/>
        <v>222300</v>
      </c>
      <c r="M535" s="16">
        <f t="shared" si="1260"/>
        <v>228100</v>
      </c>
      <c r="N535" s="16">
        <f t="shared" si="1260"/>
        <v>233900</v>
      </c>
      <c r="O535" s="16">
        <f t="shared" si="1260"/>
        <v>239900</v>
      </c>
      <c r="P535" s="16">
        <f t="shared" ref="P535:Q535" si="1261">SUM(P532:P534)</f>
        <v>246000</v>
      </c>
      <c r="Q535" s="16">
        <f t="shared" si="1261"/>
        <v>252200</v>
      </c>
      <c r="R535" s="16">
        <f t="shared" ref="R535" si="1262">SUM(R532:R534)</f>
        <v>258700</v>
      </c>
      <c r="S535" s="2342">
        <f t="shared" ref="S535" si="1263">SUM(S532:S534)</f>
        <v>265300</v>
      </c>
    </row>
    <row r="536" spans="1:22" x14ac:dyDescent="0.2">
      <c r="A536" s="54"/>
      <c r="B536" s="9"/>
      <c r="C536" s="9"/>
      <c r="D536" s="9"/>
      <c r="E536" s="9"/>
      <c r="F536" s="167"/>
      <c r="G536" s="59"/>
      <c r="H536" s="9"/>
      <c r="I536" s="85"/>
      <c r="J536" s="9"/>
      <c r="K536" s="9"/>
      <c r="L536" s="9"/>
      <c r="M536" s="9"/>
      <c r="N536" s="9"/>
      <c r="O536" s="9"/>
      <c r="P536" s="9"/>
      <c r="Q536" s="9"/>
      <c r="R536" s="9"/>
      <c r="S536" s="47"/>
    </row>
    <row r="537" spans="1:22" x14ac:dyDescent="0.2">
      <c r="A537" s="54"/>
      <c r="B537" s="9"/>
      <c r="C537" s="9"/>
      <c r="D537" s="9"/>
      <c r="E537" s="9"/>
      <c r="F537" s="167"/>
      <c r="G537" s="91" t="s">
        <v>2169</v>
      </c>
      <c r="H537" s="9"/>
      <c r="I537" s="85"/>
      <c r="J537" s="9"/>
      <c r="K537" s="9"/>
      <c r="L537" s="9"/>
      <c r="M537" s="9"/>
      <c r="N537" s="9"/>
      <c r="O537" s="9"/>
      <c r="P537" s="9"/>
      <c r="Q537" s="9"/>
      <c r="R537" s="9"/>
      <c r="S537" s="47"/>
    </row>
    <row r="538" spans="1:22" x14ac:dyDescent="0.2">
      <c r="A538" s="54"/>
      <c r="B538" s="9"/>
      <c r="C538" s="9"/>
      <c r="D538" s="9"/>
      <c r="E538" s="9"/>
      <c r="F538" s="167"/>
      <c r="G538" s="91"/>
      <c r="H538" s="9"/>
      <c r="I538" s="85"/>
      <c r="J538" s="9"/>
      <c r="K538" s="9"/>
      <c r="L538" s="9"/>
      <c r="M538" s="9"/>
      <c r="N538" s="9"/>
      <c r="O538" s="9"/>
      <c r="P538" s="9"/>
      <c r="Q538" s="9"/>
      <c r="R538" s="9"/>
      <c r="S538" s="47"/>
    </row>
    <row r="539" spans="1:22" s="39" customFormat="1" x14ac:dyDescent="0.2">
      <c r="A539" s="54">
        <f>ROUND(SUM(CIV!A1675:A1675),-3)</f>
        <v>50000</v>
      </c>
      <c r="B539" s="9">
        <f>SUM(CIV!B1675:B1675)</f>
        <v>50700</v>
      </c>
      <c r="C539" s="9">
        <f>SUM(CIV!C1675:C1675)</f>
        <v>50600</v>
      </c>
      <c r="D539" s="9">
        <f>SUM(CIV!D1675:D1675)</f>
        <v>52500</v>
      </c>
      <c r="E539" s="9">
        <f>SUM(CIV!E1675:E1675)</f>
        <v>53500</v>
      </c>
      <c r="F539" s="167">
        <v>31060</v>
      </c>
      <c r="G539" s="46" t="s">
        <v>1336</v>
      </c>
      <c r="H539" s="9">
        <f>SUM(CIV!H1675:H1675)</f>
        <v>55400</v>
      </c>
      <c r="I539" s="85">
        <f>IF(E539=H539,0,IF(E539=0,100,(H539-E539)/E539*100))</f>
        <v>3.5514018691588789</v>
      </c>
      <c r="J539" s="9">
        <f>SUM(CIV!J1675:J1675)</f>
        <v>56700</v>
      </c>
      <c r="K539" s="9">
        <f>SUM(CIV!K1675:K1675)</f>
        <v>58200</v>
      </c>
      <c r="L539" s="9">
        <f>SUM(CIV!L1675:L1675)</f>
        <v>59700</v>
      </c>
      <c r="M539" s="9">
        <f>SUM(CIV!M1675:M1675)</f>
        <v>61200</v>
      </c>
      <c r="N539" s="9">
        <f>SUM(CIV!N1675:N1675)</f>
        <v>62800</v>
      </c>
      <c r="O539" s="9">
        <f>SUM(CIV!O1675:O1675)</f>
        <v>64400</v>
      </c>
      <c r="P539" s="9">
        <f>SUM(CIV!P1675:P1675)</f>
        <v>66100</v>
      </c>
      <c r="Q539" s="9">
        <f>SUM(CIV!Q1675:Q1675)</f>
        <v>67800</v>
      </c>
      <c r="R539" s="9">
        <f>SUM(CIV!R1675:R1675)</f>
        <v>69500</v>
      </c>
      <c r="S539" s="47">
        <f>SUM(CIV!S1675:S1675)</f>
        <v>71300</v>
      </c>
      <c r="T539" s="46"/>
      <c r="U539" s="34"/>
    </row>
    <row r="540" spans="1:22" s="39" customFormat="1" ht="11.25" customHeight="1" x14ac:dyDescent="0.2">
      <c r="A540" s="54">
        <f>ROUND(SUM(CIV!A1676:A1676),-3)</f>
        <v>138000</v>
      </c>
      <c r="B540" s="9">
        <f>SUM(CIV!B1676:B1676)</f>
        <v>194100</v>
      </c>
      <c r="C540" s="9">
        <f>SUM(CIV!C1676:C1676)</f>
        <v>111800</v>
      </c>
      <c r="D540" s="9">
        <f>SUM(CIV!D1676:D1676)</f>
        <v>120000</v>
      </c>
      <c r="E540" s="9">
        <f>SUM(CIV!E1676:E1676)</f>
        <v>154600</v>
      </c>
      <c r="F540" s="167">
        <v>31060</v>
      </c>
      <c r="G540" s="46" t="s">
        <v>315</v>
      </c>
      <c r="H540" s="9">
        <f>SUM(CIV!H1676:H1676)</f>
        <v>159000</v>
      </c>
      <c r="I540" s="85">
        <f>IF(E540=H540,0,IF(E540=0,100,(H540-E540)/E540*100))</f>
        <v>2.8460543337645539</v>
      </c>
      <c r="J540" s="9">
        <f>SUM(CIV!J1676:J1676)</f>
        <v>162700</v>
      </c>
      <c r="K540" s="9">
        <f>SUM(CIV!K1676:K1676)</f>
        <v>166800</v>
      </c>
      <c r="L540" s="9">
        <f>SUM(CIV!L1676:L1676)</f>
        <v>171000</v>
      </c>
      <c r="M540" s="9">
        <f>SUM(CIV!M1676:M1676)</f>
        <v>175300</v>
      </c>
      <c r="N540" s="9">
        <f>SUM(CIV!N1676:N1676)</f>
        <v>179700</v>
      </c>
      <c r="O540" s="9">
        <f>SUM(CIV!O1676:O1676)</f>
        <v>184200</v>
      </c>
      <c r="P540" s="9">
        <f>SUM(CIV!P1676:P1676)</f>
        <v>188900</v>
      </c>
      <c r="Q540" s="9">
        <f>SUM(CIV!Q1676:Q1676)</f>
        <v>193700</v>
      </c>
      <c r="R540" s="9">
        <f>SUM(CIV!R1676:R1676)</f>
        <v>198600</v>
      </c>
      <c r="S540" s="47">
        <f>SUM(CIV!S1676:S1676)</f>
        <v>203600</v>
      </c>
      <c r="T540" s="46"/>
      <c r="U540" s="34"/>
    </row>
    <row r="541" spans="1:22" x14ac:dyDescent="0.2">
      <c r="A541" s="54">
        <f>ROUND(SUM(CIV!A1678:A1688),-3)</f>
        <v>95000</v>
      </c>
      <c r="B541" s="9">
        <f>SUM(CIV!B1678:B1688)</f>
        <v>79300</v>
      </c>
      <c r="C541" s="9">
        <f>SUM(CIV!C1678:C1688)</f>
        <v>83000</v>
      </c>
      <c r="D541" s="9">
        <f>SUM(CIV!D1678:D1688)</f>
        <v>80500</v>
      </c>
      <c r="E541" s="9">
        <f>SUM(CIV!E1678:E1688)</f>
        <v>88100</v>
      </c>
      <c r="F541" s="167">
        <v>31061</v>
      </c>
      <c r="G541" s="46" t="s">
        <v>696</v>
      </c>
      <c r="H541" s="9">
        <f>SUM(CIV!H1678:H1688)</f>
        <v>109500</v>
      </c>
      <c r="I541" s="85">
        <f>IF(E541=H541,0,IF(E541=0,100,(H541-E541)/E541*100))</f>
        <v>24.290578887627696</v>
      </c>
      <c r="J541" s="9">
        <f>SUM(CIV!J1678:J1688)</f>
        <v>112600</v>
      </c>
      <c r="K541" s="9">
        <f>SUM(CIV!K1678:K1688)</f>
        <v>115900</v>
      </c>
      <c r="L541" s="9">
        <f>SUM(CIV!L1678:L1688)</f>
        <v>119300</v>
      </c>
      <c r="M541" s="9">
        <f>SUM(CIV!M1678:M1688)</f>
        <v>122700</v>
      </c>
      <c r="N541" s="9">
        <f>SUM(CIV!N1678:N1688)</f>
        <v>126100</v>
      </c>
      <c r="O541" s="9">
        <f>SUM(CIV!O1678:O1688)</f>
        <v>129600</v>
      </c>
      <c r="P541" s="9">
        <f>SUM(CIV!P1678:P1688)</f>
        <v>133200</v>
      </c>
      <c r="Q541" s="9">
        <f>SUM(CIV!Q1678:Q1688)</f>
        <v>137000</v>
      </c>
      <c r="R541" s="9">
        <f>SUM(CIV!R1678:R1688)</f>
        <v>140900</v>
      </c>
      <c r="S541" s="47">
        <f>SUM(CIV!S1678:S1688)</f>
        <v>144800</v>
      </c>
      <c r="T541" s="46"/>
    </row>
    <row r="542" spans="1:22" x14ac:dyDescent="0.2">
      <c r="A542" s="54">
        <f>ROUND(SUM(CIV!A1689:A1693),-3)</f>
        <v>115000</v>
      </c>
      <c r="B542" s="9">
        <f>SUM(CIV!B1689:B1693)</f>
        <v>40800</v>
      </c>
      <c r="C542" s="9">
        <f>SUM(CIV!C1689:C1693)</f>
        <v>31600</v>
      </c>
      <c r="D542" s="9">
        <f>SUM(CIV!D1689:D1693)</f>
        <v>77000</v>
      </c>
      <c r="E542" s="9">
        <f>SUM(CIV!E1689:E1693)</f>
        <v>56500</v>
      </c>
      <c r="F542" s="167">
        <v>31062</v>
      </c>
      <c r="G542" s="31" t="s">
        <v>4566</v>
      </c>
      <c r="H542" s="9">
        <f>SUM(CIV!H1689:H1693)</f>
        <v>99700</v>
      </c>
      <c r="I542" s="85">
        <f>IF(E542=H542,0,IF(E542=0,100,(H542-E542)/E542*100))</f>
        <v>76.460176991150448</v>
      </c>
      <c r="J542" s="9">
        <f>SUM(CIV!J1689:J1693)</f>
        <v>102200</v>
      </c>
      <c r="K542" s="9">
        <f>SUM(CIV!K1689:K1693)</f>
        <v>105000</v>
      </c>
      <c r="L542" s="9">
        <f>SUM(CIV!L1689:L1693)</f>
        <v>107800</v>
      </c>
      <c r="M542" s="9">
        <f>SUM(CIV!M1689:M1693)</f>
        <v>110700</v>
      </c>
      <c r="N542" s="9">
        <f>SUM(CIV!N1689:N1693)</f>
        <v>113600</v>
      </c>
      <c r="O542" s="9">
        <f>SUM(CIV!O1689:O1693)</f>
        <v>116600</v>
      </c>
      <c r="P542" s="9">
        <f>SUM(CIV!P1689:P1693)</f>
        <v>119700</v>
      </c>
      <c r="Q542" s="9">
        <f>SUM(CIV!Q1689:Q1693)</f>
        <v>122900</v>
      </c>
      <c r="R542" s="9">
        <f>SUM(CIV!R1689:R1693)</f>
        <v>126200</v>
      </c>
      <c r="S542" s="47">
        <f>SUM(CIV!S1689:S1693)</f>
        <v>129500</v>
      </c>
    </row>
    <row r="543" spans="1:22" x14ac:dyDescent="0.2">
      <c r="A543" s="54"/>
      <c r="B543" s="9"/>
      <c r="C543" s="9"/>
      <c r="D543" s="9"/>
      <c r="E543" s="9"/>
      <c r="F543" s="167"/>
      <c r="G543" s="46"/>
      <c r="H543" s="9"/>
      <c r="I543" s="85"/>
      <c r="J543" s="9"/>
      <c r="K543" s="9"/>
      <c r="L543" s="9"/>
      <c r="M543" s="9"/>
      <c r="N543" s="9"/>
      <c r="O543" s="9"/>
      <c r="P543" s="9"/>
      <c r="Q543" s="9"/>
      <c r="R543" s="9"/>
      <c r="S543" s="47"/>
    </row>
    <row r="544" spans="1:22" x14ac:dyDescent="0.2">
      <c r="A544" s="54"/>
      <c r="B544" s="9"/>
      <c r="C544" s="9"/>
      <c r="D544" s="9"/>
      <c r="E544" s="9"/>
      <c r="F544" s="167"/>
      <c r="G544" s="92" t="s">
        <v>2638</v>
      </c>
      <c r="H544" s="9"/>
      <c r="I544" s="85"/>
      <c r="J544" s="9"/>
      <c r="K544" s="9"/>
      <c r="L544" s="9"/>
      <c r="M544" s="9"/>
      <c r="N544" s="9"/>
      <c r="O544" s="9"/>
      <c r="P544" s="9"/>
      <c r="Q544" s="9"/>
      <c r="R544" s="9"/>
      <c r="S544" s="47"/>
    </row>
    <row r="545" spans="1:21" x14ac:dyDescent="0.2">
      <c r="A545" s="54">
        <f>ROUND(SUM(CIV!A1695:A1696),-3)</f>
        <v>9000</v>
      </c>
      <c r="B545" s="9">
        <f>SUM(CIV!B1695:B1696)</f>
        <v>0</v>
      </c>
      <c r="C545" s="9">
        <f>SUM(CIV!C1695:C1696)</f>
        <v>0</v>
      </c>
      <c r="D545" s="9">
        <f>SUM(CIV!D1695:D1696)</f>
        <v>0</v>
      </c>
      <c r="E545" s="9">
        <f>SUM(CIV!E1695:E1696)</f>
        <v>0</v>
      </c>
      <c r="F545" s="167">
        <v>31062</v>
      </c>
      <c r="G545" s="46" t="s">
        <v>2035</v>
      </c>
      <c r="H545" s="9">
        <f>SUM(CIV!H1695:H1696)</f>
        <v>0</v>
      </c>
      <c r="I545" s="85">
        <f>IF(E545=H545,0,IF(E545=0,100,(H545-E545)/E545*100))</f>
        <v>0</v>
      </c>
      <c r="J545" s="9">
        <f>SUM(CIV!J1695:J1696)</f>
        <v>0</v>
      </c>
      <c r="K545" s="9">
        <f>SUM(CIV!K1695:K1696)</f>
        <v>0</v>
      </c>
      <c r="L545" s="9">
        <f>SUM(CIV!L1695:L1696)</f>
        <v>0</v>
      </c>
      <c r="M545" s="9">
        <f>SUM(CIV!M1695:M1696)</f>
        <v>0</v>
      </c>
      <c r="N545" s="9">
        <f>SUM(CIV!N1695:N1696)</f>
        <v>0</v>
      </c>
      <c r="O545" s="9">
        <f>SUM(CIV!O1695:O1696)</f>
        <v>0</v>
      </c>
      <c r="P545" s="9">
        <f>SUM(CIV!P1695:P1696)</f>
        <v>0</v>
      </c>
      <c r="Q545" s="9">
        <f>SUM(CIV!Q1695:Q1696)</f>
        <v>0</v>
      </c>
      <c r="R545" s="9">
        <f>SUM(CIV!R1695:R1696)</f>
        <v>0</v>
      </c>
      <c r="S545" s="47">
        <f>SUM(CIV!S1695:S1696)</f>
        <v>0</v>
      </c>
    </row>
    <row r="546" spans="1:21" ht="13.5" thickBot="1" x14ac:dyDescent="0.25">
      <c r="A546" s="24"/>
      <c r="B546" s="21"/>
      <c r="C546" s="21"/>
      <c r="D546" s="21"/>
      <c r="E546" s="21"/>
      <c r="F546" s="167"/>
      <c r="G546" s="27"/>
      <c r="H546" s="9"/>
      <c r="I546" s="126"/>
      <c r="J546" s="9"/>
      <c r="K546" s="9"/>
      <c r="L546" s="9"/>
      <c r="M546" s="9"/>
      <c r="N546" s="9"/>
      <c r="O546" s="9"/>
      <c r="P546" s="9"/>
      <c r="Q546" s="9"/>
      <c r="R546" s="9"/>
      <c r="S546" s="47"/>
    </row>
    <row r="547" spans="1:21" s="39" customFormat="1" x14ac:dyDescent="0.2">
      <c r="A547" s="52">
        <f>SUM(A539:A546)</f>
        <v>407000</v>
      </c>
      <c r="B547" s="16">
        <f>SUM(B539:B546)</f>
        <v>364900</v>
      </c>
      <c r="C547" s="16">
        <f>SUM(C539:C546)</f>
        <v>277000</v>
      </c>
      <c r="D547" s="16">
        <f>SUM(D539:D546)</f>
        <v>330000</v>
      </c>
      <c r="E547" s="16">
        <f t="shared" ref="E547" si="1264">SUM(E539:E546)</f>
        <v>352700</v>
      </c>
      <c r="F547" s="484"/>
      <c r="G547" s="59" t="s">
        <v>556</v>
      </c>
      <c r="H547" s="16">
        <f t="shared" ref="H547:O547" si="1265">SUM(H539:H546)</f>
        <v>423600</v>
      </c>
      <c r="I547" s="127">
        <f>IF(E547=H547,0,IF(E547=0,100,(H547-E547)/E547*100))</f>
        <v>20.102069747660902</v>
      </c>
      <c r="J547" s="16">
        <f t="shared" si="1265"/>
        <v>434200</v>
      </c>
      <c r="K547" s="16">
        <f t="shared" si="1265"/>
        <v>445900</v>
      </c>
      <c r="L547" s="16">
        <f t="shared" si="1265"/>
        <v>457800</v>
      </c>
      <c r="M547" s="16">
        <f t="shared" si="1265"/>
        <v>469900</v>
      </c>
      <c r="N547" s="16">
        <f t="shared" si="1265"/>
        <v>482200</v>
      </c>
      <c r="O547" s="16">
        <f t="shared" si="1265"/>
        <v>494800</v>
      </c>
      <c r="P547" s="16">
        <f t="shared" ref="P547:Q547" si="1266">SUM(P539:P546)</f>
        <v>507900</v>
      </c>
      <c r="Q547" s="16">
        <f t="shared" si="1266"/>
        <v>521400</v>
      </c>
      <c r="R547" s="16">
        <f t="shared" ref="R547" si="1267">SUM(R539:R546)</f>
        <v>535200</v>
      </c>
      <c r="S547" s="2342">
        <f t="shared" ref="S547" si="1268">SUM(S539:S546)</f>
        <v>549200</v>
      </c>
      <c r="U547" s="34"/>
    </row>
    <row r="548" spans="1:21" x14ac:dyDescent="0.2">
      <c r="A548" s="54"/>
      <c r="B548" s="9"/>
      <c r="C548" s="9"/>
      <c r="D548" s="9"/>
      <c r="E548" s="9"/>
      <c r="F548" s="483"/>
      <c r="G548" s="55"/>
      <c r="H548" s="9"/>
      <c r="I548" s="85"/>
      <c r="J548" s="9"/>
      <c r="K548" s="9"/>
      <c r="L548" s="9"/>
      <c r="M548" s="9"/>
      <c r="N548" s="9"/>
      <c r="O548" s="9"/>
      <c r="P548" s="9"/>
      <c r="Q548" s="9"/>
      <c r="R548" s="9"/>
      <c r="S548" s="47"/>
    </row>
    <row r="549" spans="1:21" s="39" customFormat="1" x14ac:dyDescent="0.2">
      <c r="A549" s="24">
        <f>A535-A547</f>
        <v>-158000</v>
      </c>
      <c r="B549" s="21">
        <f>B535-B547</f>
        <v>-203400</v>
      </c>
      <c r="C549" s="21">
        <f>C535-C547</f>
        <v>-95100</v>
      </c>
      <c r="D549" s="21">
        <f>D535-D547</f>
        <v>-157700</v>
      </c>
      <c r="E549" s="21">
        <f t="shared" ref="E549" si="1269">E535-E547</f>
        <v>-152600</v>
      </c>
      <c r="F549" s="484"/>
      <c r="G549" s="366" t="s">
        <v>1002</v>
      </c>
      <c r="H549" s="21">
        <f t="shared" ref="H549:O549" si="1270">H535-H547</f>
        <v>-217100</v>
      </c>
      <c r="I549" s="126">
        <f>IF(E549=H549,0,IF(E549=0,100,(H549-E549)/E549*100))</f>
        <v>42.267365661861071</v>
      </c>
      <c r="J549" s="21">
        <f t="shared" si="1270"/>
        <v>-222800</v>
      </c>
      <c r="K549" s="21">
        <f t="shared" si="1270"/>
        <v>-229100</v>
      </c>
      <c r="L549" s="21">
        <f t="shared" si="1270"/>
        <v>-235500</v>
      </c>
      <c r="M549" s="21">
        <f t="shared" si="1270"/>
        <v>-241800</v>
      </c>
      <c r="N549" s="21">
        <f t="shared" si="1270"/>
        <v>-248300</v>
      </c>
      <c r="O549" s="21">
        <f t="shared" si="1270"/>
        <v>-254900</v>
      </c>
      <c r="P549" s="21">
        <f t="shared" ref="P549:Q549" si="1271">P535-P547</f>
        <v>-261900</v>
      </c>
      <c r="Q549" s="21">
        <f t="shared" si="1271"/>
        <v>-269200</v>
      </c>
      <c r="R549" s="21">
        <f t="shared" ref="R549" si="1272">R535-R547</f>
        <v>-276500</v>
      </c>
      <c r="S549" s="86">
        <f t="shared" ref="S549" si="1273">S535-S547</f>
        <v>-283900</v>
      </c>
      <c r="U549" s="34"/>
    </row>
    <row r="550" spans="1:21" x14ac:dyDescent="0.2">
      <c r="A550" s="54">
        <f>ROUND(A545,-3)</f>
        <v>9000</v>
      </c>
      <c r="B550" s="9">
        <f>B545</f>
        <v>0</v>
      </c>
      <c r="C550" s="9">
        <f>C545</f>
        <v>0</v>
      </c>
      <c r="D550" s="9">
        <f>D545</f>
        <v>0</v>
      </c>
      <c r="E550" s="9">
        <f t="shared" ref="E550" si="1274">E545</f>
        <v>0</v>
      </c>
      <c r="F550" s="483"/>
      <c r="G550" s="217" t="s">
        <v>1943</v>
      </c>
      <c r="H550" s="9">
        <f t="shared" ref="H550:O550" si="1275">H545</f>
        <v>0</v>
      </c>
      <c r="I550" s="85">
        <f>IF(E550=H550,0,IF(E550=0,100,(H550-E550)/E550*100))</f>
        <v>0</v>
      </c>
      <c r="J550" s="9">
        <f t="shared" si="1275"/>
        <v>0</v>
      </c>
      <c r="K550" s="9">
        <f t="shared" si="1275"/>
        <v>0</v>
      </c>
      <c r="L550" s="9">
        <f t="shared" si="1275"/>
        <v>0</v>
      </c>
      <c r="M550" s="9">
        <f t="shared" si="1275"/>
        <v>0</v>
      </c>
      <c r="N550" s="9">
        <f t="shared" si="1275"/>
        <v>0</v>
      </c>
      <c r="O550" s="9">
        <f t="shared" si="1275"/>
        <v>0</v>
      </c>
      <c r="P550" s="9">
        <f t="shared" ref="P550:Q550" si="1276">P545</f>
        <v>0</v>
      </c>
      <c r="Q550" s="9">
        <f t="shared" si="1276"/>
        <v>0</v>
      </c>
      <c r="R550" s="9">
        <f t="shared" ref="R550" si="1277">R545</f>
        <v>0</v>
      </c>
      <c r="S550" s="47">
        <f t="shared" ref="S550" si="1278">S545</f>
        <v>0</v>
      </c>
    </row>
    <row r="551" spans="1:21" s="39" customFormat="1" x14ac:dyDescent="0.2">
      <c r="A551" s="128">
        <f>A550+A549</f>
        <v>-149000</v>
      </c>
      <c r="B551" s="280">
        <f>B550+B549</f>
        <v>-203400</v>
      </c>
      <c r="C551" s="280">
        <f>C550+C549</f>
        <v>-95100</v>
      </c>
      <c r="D551" s="280">
        <f>D550+D549</f>
        <v>-157700</v>
      </c>
      <c r="E551" s="280">
        <f t="shared" ref="E551" si="1279">E550+E549</f>
        <v>-152600</v>
      </c>
      <c r="F551" s="485"/>
      <c r="G551" s="360" t="s">
        <v>1659</v>
      </c>
      <c r="H551" s="280">
        <f t="shared" ref="H551:O551" si="1280">H550+H549</f>
        <v>-217100</v>
      </c>
      <c r="I551" s="278">
        <f>IF(E551=H551,0,IF(E551=0,100,(H551-E551)/E551*100))</f>
        <v>42.267365661861071</v>
      </c>
      <c r="J551" s="280">
        <f t="shared" si="1280"/>
        <v>-222800</v>
      </c>
      <c r="K551" s="280">
        <f t="shared" si="1280"/>
        <v>-229100</v>
      </c>
      <c r="L551" s="280">
        <f t="shared" si="1280"/>
        <v>-235500</v>
      </c>
      <c r="M551" s="280">
        <f t="shared" si="1280"/>
        <v>-241800</v>
      </c>
      <c r="N551" s="280">
        <f t="shared" si="1280"/>
        <v>-248300</v>
      </c>
      <c r="O551" s="280">
        <f t="shared" si="1280"/>
        <v>-254900</v>
      </c>
      <c r="P551" s="280">
        <f t="shared" ref="P551:Q551" si="1281">P550+P549</f>
        <v>-261900</v>
      </c>
      <c r="Q551" s="280">
        <f t="shared" si="1281"/>
        <v>-269200</v>
      </c>
      <c r="R551" s="280">
        <f t="shared" ref="R551" si="1282">R550+R549</f>
        <v>-276500</v>
      </c>
      <c r="S551" s="2343">
        <f t="shared" ref="S551" si="1283">S550+S549</f>
        <v>-283900</v>
      </c>
      <c r="U551" s="34"/>
    </row>
    <row r="552" spans="1:21" ht="13.5" thickBot="1" x14ac:dyDescent="0.25">
      <c r="A552" s="24"/>
      <c r="B552" s="21"/>
      <c r="C552" s="21"/>
      <c r="D552" s="21"/>
      <c r="E552" s="21"/>
      <c r="F552" s="469"/>
      <c r="G552" s="84"/>
      <c r="H552" s="9"/>
      <c r="I552" s="126"/>
      <c r="J552" s="9"/>
      <c r="K552" s="9"/>
      <c r="L552" s="9"/>
      <c r="M552" s="9"/>
      <c r="N552" s="9"/>
      <c r="O552" s="9"/>
      <c r="P552" s="9"/>
      <c r="Q552" s="9"/>
      <c r="R552" s="9"/>
      <c r="S552" s="47"/>
    </row>
    <row r="553" spans="1:21" ht="13.5" thickTop="1" x14ac:dyDescent="0.2">
      <c r="A553" s="270"/>
      <c r="B553" s="109"/>
      <c r="C553" s="109"/>
      <c r="D553" s="109"/>
      <c r="E553" s="274"/>
      <c r="F553" s="2375"/>
      <c r="G553" s="455"/>
      <c r="H553" s="74"/>
      <c r="I553" s="352"/>
      <c r="J553" s="74"/>
      <c r="K553" s="74"/>
      <c r="L553" s="74"/>
      <c r="M553" s="74"/>
      <c r="N553" s="74"/>
      <c r="O553" s="74"/>
      <c r="P553" s="74"/>
      <c r="Q553" s="74"/>
      <c r="R553" s="74"/>
      <c r="S553" s="2345"/>
    </row>
    <row r="554" spans="1:21" x14ac:dyDescent="0.2">
      <c r="A554" s="24"/>
      <c r="B554" s="21"/>
      <c r="C554" s="21"/>
      <c r="D554" s="21"/>
      <c r="E554" s="32"/>
      <c r="F554" s="469"/>
      <c r="G554" s="1160" t="s">
        <v>192</v>
      </c>
      <c r="H554" s="9"/>
      <c r="I554" s="126"/>
      <c r="J554" s="9"/>
      <c r="K554" s="9"/>
      <c r="L554" s="9"/>
      <c r="M554" s="9"/>
      <c r="N554" s="9"/>
      <c r="O554" s="9"/>
      <c r="P554" s="9"/>
      <c r="Q554" s="9"/>
      <c r="R554" s="9"/>
      <c r="S554" s="47"/>
    </row>
    <row r="555" spans="1:21" x14ac:dyDescent="0.2">
      <c r="A555" s="24"/>
      <c r="B555" s="21"/>
      <c r="C555" s="21"/>
      <c r="D555" s="21"/>
      <c r="E555" s="32"/>
      <c r="F555" s="469"/>
      <c r="G555" s="122"/>
      <c r="H555" s="9"/>
      <c r="I555" s="126"/>
      <c r="J555" s="9"/>
      <c r="K555" s="9"/>
      <c r="L555" s="9"/>
      <c r="M555" s="9"/>
      <c r="N555" s="9"/>
      <c r="O555" s="9"/>
      <c r="P555" s="9"/>
      <c r="Q555" s="9"/>
      <c r="R555" s="9"/>
      <c r="S555" s="47"/>
    </row>
    <row r="556" spans="1:21" x14ac:dyDescent="0.2">
      <c r="A556" s="54">
        <f>ROUND(CIV!A1707,-3)</f>
        <v>0</v>
      </c>
      <c r="B556" s="9">
        <f>CIV!B1707</f>
        <v>0</v>
      </c>
      <c r="C556" s="9">
        <f>CIV!C1707</f>
        <v>0</v>
      </c>
      <c r="D556" s="9">
        <f>CIV!D1707</f>
        <v>0</v>
      </c>
      <c r="E556" s="29">
        <f>CIV!E1707</f>
        <v>0</v>
      </c>
      <c r="F556" s="469"/>
      <c r="G556" s="1173" t="s">
        <v>1759</v>
      </c>
      <c r="H556" s="9">
        <f>CIV!H1707</f>
        <v>0</v>
      </c>
      <c r="I556" s="85">
        <f>IF(E556=H556,0,IF(E556=0,100,(H556-E556)/E556*100))</f>
        <v>0</v>
      </c>
      <c r="J556" s="9">
        <f>CIV!J1707</f>
        <v>0</v>
      </c>
      <c r="K556" s="9">
        <f>CIV!K1707</f>
        <v>0</v>
      </c>
      <c r="L556" s="9">
        <f>CIV!L1707</f>
        <v>0</v>
      </c>
      <c r="M556" s="9">
        <f>CIV!M1707</f>
        <v>0</v>
      </c>
      <c r="N556" s="9">
        <f>CIV!N1707</f>
        <v>0</v>
      </c>
      <c r="O556" s="9">
        <f>CIV!O1707</f>
        <v>0</v>
      </c>
      <c r="P556" s="9">
        <f>CIV!P1707</f>
        <v>0</v>
      </c>
      <c r="Q556" s="9">
        <f>CIV!Q1707</f>
        <v>0</v>
      </c>
      <c r="R556" s="9">
        <f>CIV!R1707</f>
        <v>0</v>
      </c>
      <c r="S556" s="47">
        <f>CIV!S1707</f>
        <v>0</v>
      </c>
    </row>
    <row r="557" spans="1:21" x14ac:dyDescent="0.2">
      <c r="A557" s="54">
        <f>ROUND(CIV!A1708,-3)</f>
        <v>26000</v>
      </c>
      <c r="B557" s="9">
        <f>CIV!B1708</f>
        <v>21600</v>
      </c>
      <c r="C557" s="9">
        <f>CIV!C1708</f>
        <v>31000</v>
      </c>
      <c r="D557" s="9">
        <f>CIV!D1708</f>
        <v>0</v>
      </c>
      <c r="E557" s="29">
        <f>CIV!E1708</f>
        <v>0</v>
      </c>
      <c r="F557" s="469"/>
      <c r="G557" s="1173" t="s">
        <v>1909</v>
      </c>
      <c r="H557" s="9">
        <f>CIV!H1708</f>
        <v>500</v>
      </c>
      <c r="I557" s="85">
        <f>IF(E557=H557,0,IF(E557=0,100,(H557-E557)/E557*100))</f>
        <v>100</v>
      </c>
      <c r="J557" s="9">
        <f>CIV!J1708</f>
        <v>0</v>
      </c>
      <c r="K557" s="9">
        <f>CIV!K1708</f>
        <v>0</v>
      </c>
      <c r="L557" s="9">
        <f>CIV!L1708</f>
        <v>0</v>
      </c>
      <c r="M557" s="9">
        <f>CIV!M1708</f>
        <v>0</v>
      </c>
      <c r="N557" s="9">
        <f>CIV!N1708</f>
        <v>0</v>
      </c>
      <c r="O557" s="9">
        <f>CIV!O1708</f>
        <v>0</v>
      </c>
      <c r="P557" s="9">
        <f>CIV!P1708</f>
        <v>0</v>
      </c>
      <c r="Q557" s="9">
        <f>CIV!Q1708</f>
        <v>0</v>
      </c>
      <c r="R557" s="9">
        <f>CIV!R1708</f>
        <v>0</v>
      </c>
      <c r="S557" s="47">
        <f>CIV!S1708</f>
        <v>0</v>
      </c>
    </row>
    <row r="558" spans="1:21" x14ac:dyDescent="0.2">
      <c r="A558" s="54">
        <f>ROUND(CIV!A1709,-3)</f>
        <v>31000</v>
      </c>
      <c r="B558" s="9">
        <f>CIV!B1709</f>
        <v>25900</v>
      </c>
      <c r="C558" s="9">
        <f>CIV!C1709</f>
        <v>21600</v>
      </c>
      <c r="D558" s="9">
        <f>CIV!D1709</f>
        <v>19000</v>
      </c>
      <c r="E558" s="29">
        <f>CIV!E1709</f>
        <v>0</v>
      </c>
      <c r="F558" s="469"/>
      <c r="G558" s="1173" t="s">
        <v>2309</v>
      </c>
      <c r="H558" s="9">
        <f>CIV!H1709</f>
        <v>0</v>
      </c>
      <c r="I558" s="85">
        <f>IF(E558=H558,0,IF(E558=0,100,(H558-E558)/E558*100))</f>
        <v>0</v>
      </c>
      <c r="J558" s="9">
        <f>CIV!J1709</f>
        <v>0</v>
      </c>
      <c r="K558" s="9">
        <f>CIV!K1709</f>
        <v>0</v>
      </c>
      <c r="L558" s="9">
        <f>CIV!L1709</f>
        <v>0</v>
      </c>
      <c r="M558" s="9">
        <f>CIV!M1709</f>
        <v>0</v>
      </c>
      <c r="N558" s="9">
        <f>CIV!N1709</f>
        <v>0</v>
      </c>
      <c r="O558" s="9">
        <f>CIV!O1709</f>
        <v>0</v>
      </c>
      <c r="P558" s="9">
        <f>CIV!P1709</f>
        <v>0</v>
      </c>
      <c r="Q558" s="9">
        <f>CIV!Q1709</f>
        <v>0</v>
      </c>
      <c r="R558" s="9">
        <f>CIV!R1709</f>
        <v>0</v>
      </c>
      <c r="S558" s="47">
        <f>CIV!S1709</f>
        <v>0</v>
      </c>
    </row>
    <row r="559" spans="1:21" x14ac:dyDescent="0.2">
      <c r="A559" s="54">
        <f>ROUND(CIV!A1710,-3)</f>
        <v>0</v>
      </c>
      <c r="B559" s="9">
        <f>CIV!B1710</f>
        <v>183100</v>
      </c>
      <c r="C559" s="9">
        <f>CIV!C1710</f>
        <v>-500</v>
      </c>
      <c r="D559" s="9">
        <f>CIV!D1710</f>
        <v>0</v>
      </c>
      <c r="E559" s="46">
        <f>CIV!E1710</f>
        <v>0</v>
      </c>
      <c r="F559" s="469"/>
      <c r="G559" s="257" t="s">
        <v>5847</v>
      </c>
      <c r="H559" s="9">
        <f>CIV!H1710</f>
        <v>0</v>
      </c>
      <c r="I559" s="85">
        <f>IF(E559=H559,0,IF(E559=0,100,(H559-E559)/E559*100))</f>
        <v>0</v>
      </c>
      <c r="J559" s="9">
        <f>CIV!J1710</f>
        <v>0</v>
      </c>
      <c r="K559" s="9">
        <f>CIV!K1710</f>
        <v>0</v>
      </c>
      <c r="L559" s="9">
        <f>CIV!L1710</f>
        <v>0</v>
      </c>
      <c r="M559" s="9">
        <f>CIV!M1710</f>
        <v>0</v>
      </c>
      <c r="N559" s="9">
        <f>CIV!N1710</f>
        <v>0</v>
      </c>
      <c r="O559" s="9">
        <f>CIV!O1710</f>
        <v>0</v>
      </c>
      <c r="P559" s="9">
        <f>CIV!P1710</f>
        <v>0</v>
      </c>
      <c r="Q559" s="9">
        <f>CIV!Q1710</f>
        <v>0</v>
      </c>
      <c r="R559" s="9">
        <f>CIV!R1710</f>
        <v>0</v>
      </c>
      <c r="S559" s="47">
        <f>CIV!S1710</f>
        <v>0</v>
      </c>
    </row>
    <row r="560" spans="1:21" x14ac:dyDescent="0.2">
      <c r="A560" s="54">
        <f>ROUND(CIV!A1711,-3)</f>
        <v>11000</v>
      </c>
      <c r="B560" s="9">
        <f>CIV!B1711</f>
        <v>199700</v>
      </c>
      <c r="C560" s="9">
        <f>CIV!C1711</f>
        <v>0</v>
      </c>
      <c r="D560" s="9">
        <f>CIV!D1711</f>
        <v>0</v>
      </c>
      <c r="E560" s="46">
        <f>CIV!E1711</f>
        <v>0</v>
      </c>
      <c r="F560" s="469"/>
      <c r="G560" s="257" t="s">
        <v>958</v>
      </c>
      <c r="H560" s="9">
        <f>CIV!H1711</f>
        <v>0</v>
      </c>
      <c r="I560" s="85">
        <f>IF(E560=H560,0,IF(E560=0,100,(H560-E560)/E560*100))</f>
        <v>0</v>
      </c>
      <c r="J560" s="9">
        <f>CIV!J1711</f>
        <v>0</v>
      </c>
      <c r="K560" s="9">
        <f>CIV!K1711</f>
        <v>0</v>
      </c>
      <c r="L560" s="9">
        <f>CIV!L1711</f>
        <v>0</v>
      </c>
      <c r="M560" s="9">
        <f>CIV!M1711</f>
        <v>0</v>
      </c>
      <c r="N560" s="9">
        <f>CIV!N1711</f>
        <v>0</v>
      </c>
      <c r="O560" s="9">
        <f>CIV!O1711</f>
        <v>0</v>
      </c>
      <c r="P560" s="9">
        <f>CIV!P1711</f>
        <v>0</v>
      </c>
      <c r="Q560" s="9">
        <f>CIV!Q1711</f>
        <v>0</v>
      </c>
      <c r="R560" s="9">
        <f>CIV!R1711</f>
        <v>0</v>
      </c>
      <c r="S560" s="47">
        <f>CIV!S1711</f>
        <v>0</v>
      </c>
    </row>
    <row r="561" spans="1:21" x14ac:dyDescent="0.2">
      <c r="A561" s="54"/>
      <c r="B561" s="9"/>
      <c r="C561" s="9"/>
      <c r="D561" s="9"/>
      <c r="E561" s="46"/>
      <c r="F561" s="469"/>
      <c r="G561" s="361"/>
      <c r="H561" s="9"/>
      <c r="I561" s="85"/>
      <c r="J561" s="9"/>
      <c r="K561" s="9"/>
      <c r="L561" s="9"/>
      <c r="M561" s="9"/>
      <c r="N561" s="9"/>
      <c r="O561" s="9"/>
      <c r="P561" s="9"/>
      <c r="Q561" s="9"/>
      <c r="R561" s="9"/>
      <c r="S561" s="47"/>
    </row>
    <row r="562" spans="1:21" s="39" customFormat="1" x14ac:dyDescent="0.2">
      <c r="A562" s="128">
        <f>A551-A556-A557+A558++A559-A560</f>
        <v>-155000</v>
      </c>
      <c r="B562" s="280">
        <f>B551-B556-B557+B558++B559-B560</f>
        <v>-215700</v>
      </c>
      <c r="C562" s="280">
        <f>C551-C556-C557+C558++C559-C560</f>
        <v>-105000</v>
      </c>
      <c r="D562" s="280">
        <f>D551-D556-D557+D558++D559-D560</f>
        <v>-138700</v>
      </c>
      <c r="E562" s="511">
        <f t="shared" ref="E562" si="1284">E551-E556-E557+E558++E559-E560</f>
        <v>-152600</v>
      </c>
      <c r="F562" s="2430"/>
      <c r="G562" s="363" t="s">
        <v>2447</v>
      </c>
      <c r="H562" s="280">
        <f t="shared" ref="H562:O562" si="1285">H551-H556-H557+H558++H559-H560</f>
        <v>-217600</v>
      </c>
      <c r="I562" s="278">
        <f>IF(E562=H562,0,IF(E562=0,100,(H562-E562)/E562*100))</f>
        <v>42.595019659239838</v>
      </c>
      <c r="J562" s="280">
        <f t="shared" si="1285"/>
        <v>-222800</v>
      </c>
      <c r="K562" s="280">
        <f t="shared" si="1285"/>
        <v>-229100</v>
      </c>
      <c r="L562" s="280">
        <f t="shared" si="1285"/>
        <v>-235500</v>
      </c>
      <c r="M562" s="280">
        <f t="shared" si="1285"/>
        <v>-241800</v>
      </c>
      <c r="N562" s="280">
        <f t="shared" si="1285"/>
        <v>-248300</v>
      </c>
      <c r="O562" s="280">
        <f t="shared" si="1285"/>
        <v>-254900</v>
      </c>
      <c r="P562" s="280">
        <f t="shared" ref="P562:Q562" si="1286">P551-P556-P557+P558++P559-P560</f>
        <v>-261900</v>
      </c>
      <c r="Q562" s="280">
        <f t="shared" si="1286"/>
        <v>-269200</v>
      </c>
      <c r="R562" s="280">
        <f t="shared" ref="R562" si="1287">R551-R556-R557+R558++R559-R560</f>
        <v>-276500</v>
      </c>
      <c r="S562" s="2343">
        <f t="shared" ref="S562" si="1288">S551-S556-S557+S558++S559-S560</f>
        <v>-283900</v>
      </c>
      <c r="U562" s="34"/>
    </row>
    <row r="563" spans="1:21" ht="13.5" thickBot="1" x14ac:dyDescent="0.25">
      <c r="A563" s="26"/>
      <c r="B563" s="37"/>
      <c r="C563" s="37"/>
      <c r="D563" s="37"/>
      <c r="E563" s="67"/>
      <c r="F563" s="489"/>
      <c r="G563" s="259"/>
      <c r="H563" s="23"/>
      <c r="I563" s="275"/>
      <c r="J563" s="23"/>
      <c r="K563" s="23"/>
      <c r="L563" s="23"/>
      <c r="M563" s="23"/>
      <c r="N563" s="23"/>
      <c r="O563" s="23"/>
      <c r="P563" s="23"/>
      <c r="Q563" s="23"/>
      <c r="R563" s="23"/>
      <c r="S563" s="112"/>
    </row>
    <row r="564" spans="1:21" ht="14.25" thickTop="1" thickBot="1" x14ac:dyDescent="0.25">
      <c r="A564" s="27"/>
      <c r="B564" s="27"/>
      <c r="C564" s="27"/>
      <c r="D564" s="27"/>
      <c r="E564" s="27"/>
      <c r="F564" s="471"/>
      <c r="G564" s="84"/>
      <c r="H564" s="46"/>
      <c r="I564" s="2234"/>
      <c r="J564" s="46"/>
      <c r="K564" s="46"/>
      <c r="L564" s="46"/>
      <c r="M564" s="46"/>
      <c r="N564" s="46"/>
      <c r="O564" s="46"/>
      <c r="P564" s="46"/>
      <c r="Q564" s="46"/>
      <c r="R564" s="46"/>
      <c r="S564" s="46"/>
    </row>
    <row r="565" spans="1:21" s="38" customFormat="1" ht="18.75" customHeight="1" thickTop="1" thickBot="1" x14ac:dyDescent="0.3">
      <c r="A565" s="2588" t="s">
        <v>3326</v>
      </c>
      <c r="B565" s="2589"/>
      <c r="C565" s="2589"/>
      <c r="D565" s="2589"/>
      <c r="E565" s="2589"/>
      <c r="F565" s="2589"/>
      <c r="G565" s="2589"/>
      <c r="H565" s="2589"/>
      <c r="I565" s="2589"/>
      <c r="J565" s="2589"/>
      <c r="K565" s="2589"/>
      <c r="L565" s="2589"/>
      <c r="M565" s="2589"/>
      <c r="N565" s="2589"/>
      <c r="O565" s="2589"/>
      <c r="P565" s="2589"/>
      <c r="Q565" s="2589"/>
      <c r="R565" s="2589"/>
      <c r="S565" s="2590"/>
      <c r="U565" s="34"/>
    </row>
    <row r="566" spans="1:21" s="39" customFormat="1" ht="13.5" thickBot="1" x14ac:dyDescent="0.25">
      <c r="A566" s="2591" t="s">
        <v>1824</v>
      </c>
      <c r="B566" s="2577"/>
      <c r="C566" s="2577"/>
      <c r="D566" s="2577"/>
      <c r="E566" s="2592"/>
      <c r="F566" s="127" t="s">
        <v>2616</v>
      </c>
      <c r="G566" s="127" t="s">
        <v>2213</v>
      </c>
      <c r="H566" s="2568" t="s">
        <v>2215</v>
      </c>
      <c r="I566" s="2568"/>
      <c r="J566" s="2568"/>
      <c r="K566" s="2568"/>
      <c r="L566" s="2568"/>
      <c r="M566" s="2568"/>
      <c r="N566" s="2568"/>
      <c r="O566" s="2568"/>
      <c r="P566" s="2568"/>
      <c r="Q566" s="2568"/>
      <c r="R566" s="2568"/>
      <c r="S566" s="2607"/>
      <c r="U566" s="34"/>
    </row>
    <row r="567" spans="1:21" ht="12.75" customHeight="1" thickBot="1" x14ac:dyDescent="0.25">
      <c r="A567" s="541" t="str">
        <f>A3</f>
        <v>2012/13</v>
      </c>
      <c r="B567" s="28" t="str">
        <f>B3</f>
        <v>2013/14</v>
      </c>
      <c r="C567" s="40" t="str">
        <f>C3</f>
        <v>2014/15</v>
      </c>
      <c r="D567" s="40" t="str">
        <f>D3</f>
        <v>2015/16</v>
      </c>
      <c r="E567" s="1445" t="str">
        <f>E3</f>
        <v>2016/17</v>
      </c>
      <c r="F567" s="40" t="s">
        <v>2617</v>
      </c>
      <c r="G567" s="41"/>
      <c r="H567" s="40" t="str">
        <f>H3</f>
        <v>2017/18</v>
      </c>
      <c r="I567" s="1258" t="str">
        <f>I399</f>
        <v xml:space="preserve">% </v>
      </c>
      <c r="J567" s="40" t="str">
        <f t="shared" ref="J567:S567" si="1289">J3</f>
        <v>2018/19</v>
      </c>
      <c r="K567" s="40" t="str">
        <f t="shared" si="1289"/>
        <v>2019/20</v>
      </c>
      <c r="L567" s="40" t="str">
        <f t="shared" si="1289"/>
        <v>2020/21</v>
      </c>
      <c r="M567" s="40" t="str">
        <f t="shared" si="1289"/>
        <v>2021/22</v>
      </c>
      <c r="N567" s="40" t="str">
        <f t="shared" si="1289"/>
        <v>2022/23</v>
      </c>
      <c r="O567" s="40" t="str">
        <f t="shared" si="1289"/>
        <v>2023/24</v>
      </c>
      <c r="P567" s="40" t="str">
        <f t="shared" si="1289"/>
        <v>2024/25</v>
      </c>
      <c r="Q567" s="28" t="str">
        <f t="shared" si="1289"/>
        <v>2025/26</v>
      </c>
      <c r="R567" s="28" t="str">
        <f t="shared" si="1289"/>
        <v>2026/27</v>
      </c>
      <c r="S567" s="1620" t="str">
        <f t="shared" si="1289"/>
        <v>2027/28</v>
      </c>
    </row>
    <row r="568" spans="1:21" x14ac:dyDescent="0.2">
      <c r="A568" s="45"/>
      <c r="B568" s="9"/>
      <c r="C568" s="134"/>
      <c r="D568" s="134"/>
      <c r="E568" s="1442"/>
      <c r="F568" s="1152"/>
      <c r="G568" s="29"/>
      <c r="H568" s="9"/>
      <c r="I568" s="85"/>
      <c r="J568" s="9"/>
      <c r="K568" s="9"/>
      <c r="L568" s="9"/>
      <c r="M568" s="9"/>
      <c r="N568" s="9"/>
      <c r="O568" s="9"/>
      <c r="P568" s="9"/>
      <c r="Q568" s="9"/>
      <c r="R568" s="9"/>
      <c r="S568" s="61"/>
    </row>
    <row r="569" spans="1:21" x14ac:dyDescent="0.2">
      <c r="A569" s="45"/>
      <c r="B569" s="9"/>
      <c r="C569" s="134"/>
      <c r="D569" s="134"/>
      <c r="E569" s="1442"/>
      <c r="F569" s="1152"/>
      <c r="G569" s="50" t="s">
        <v>1056</v>
      </c>
      <c r="H569" s="9"/>
      <c r="I569" s="85"/>
      <c r="J569" s="9"/>
      <c r="K569" s="9"/>
      <c r="L569" s="9"/>
      <c r="M569" s="9"/>
      <c r="N569" s="9"/>
      <c r="O569" s="9"/>
      <c r="P569" s="9"/>
      <c r="Q569" s="9"/>
      <c r="R569" s="9"/>
      <c r="S569" s="61"/>
    </row>
    <row r="570" spans="1:21" ht="12" customHeight="1" x14ac:dyDescent="0.2">
      <c r="A570" s="45"/>
      <c r="B570" s="9"/>
      <c r="E570" s="1442"/>
      <c r="F570" s="1152"/>
      <c r="G570" s="29"/>
      <c r="H570" s="9"/>
      <c r="I570" s="85"/>
      <c r="J570" s="9"/>
      <c r="K570" s="9"/>
      <c r="L570" s="9"/>
      <c r="M570" s="9"/>
      <c r="N570" s="9"/>
      <c r="O570" s="9"/>
      <c r="P570" s="9"/>
      <c r="Q570" s="9"/>
      <c r="R570" s="9"/>
      <c r="S570" s="61"/>
    </row>
    <row r="571" spans="1:21" x14ac:dyDescent="0.2">
      <c r="A571" s="45"/>
      <c r="B571" s="9"/>
      <c r="E571" s="1442"/>
      <c r="F571" s="1152"/>
      <c r="G571" s="32" t="s">
        <v>2829</v>
      </c>
      <c r="H571" s="9"/>
      <c r="I571" s="85"/>
      <c r="J571" s="9"/>
      <c r="K571" s="9"/>
      <c r="L571" s="9"/>
      <c r="M571" s="9"/>
      <c r="N571" s="9"/>
      <c r="O571" s="9"/>
      <c r="P571" s="9"/>
      <c r="Q571" s="9"/>
      <c r="R571" s="9"/>
      <c r="S571" s="61"/>
    </row>
    <row r="572" spans="1:21" x14ac:dyDescent="0.2">
      <c r="A572" s="54">
        <f>ROUND(SUM(A1722:A1726),-3)</f>
        <v>411000</v>
      </c>
      <c r="B572" s="9">
        <f>SUM(B1722:B1726)</f>
        <v>349700</v>
      </c>
      <c r="C572" s="136">
        <f>SUM(C1722:C1726)</f>
        <v>251800</v>
      </c>
      <c r="D572" s="136">
        <f>SUM(D1722:D1726)</f>
        <v>324100</v>
      </c>
      <c r="E572" s="1442">
        <f>SUM(E1722:E1726)</f>
        <v>69100</v>
      </c>
      <c r="F572" s="1152">
        <v>22265</v>
      </c>
      <c r="G572" s="30" t="s">
        <v>6829</v>
      </c>
      <c r="H572" s="9">
        <f t="shared" ref="H572:Q572" si="1290">SUM(H1722:H1726)</f>
        <v>67900</v>
      </c>
      <c r="I572" s="85">
        <f>IF(E572=H572,0,IF(E572=0,100,(H572-E572)/E572*100))</f>
        <v>-1.7366136034732274</v>
      </c>
      <c r="J572" s="9">
        <f t="shared" si="1290"/>
        <v>69600</v>
      </c>
      <c r="K572" s="9">
        <f t="shared" si="1290"/>
        <v>71500</v>
      </c>
      <c r="L572" s="9">
        <f t="shared" si="1290"/>
        <v>73400</v>
      </c>
      <c r="M572" s="9">
        <f t="shared" si="1290"/>
        <v>75300</v>
      </c>
      <c r="N572" s="9">
        <f t="shared" si="1290"/>
        <v>77300</v>
      </c>
      <c r="O572" s="9">
        <f t="shared" si="1290"/>
        <v>79300</v>
      </c>
      <c r="P572" s="9">
        <f t="shared" si="1290"/>
        <v>81400</v>
      </c>
      <c r="Q572" s="9">
        <f t="shared" si="1290"/>
        <v>83500</v>
      </c>
      <c r="R572" s="9">
        <f t="shared" ref="R572" si="1291">SUM(R1722:R1726)</f>
        <v>85600</v>
      </c>
      <c r="S572" s="47">
        <f t="shared" ref="S572" si="1292">SUM(S1722:S1726)</f>
        <v>87800</v>
      </c>
    </row>
    <row r="573" spans="1:21" x14ac:dyDescent="0.2">
      <c r="A573" s="54">
        <f>ROUND(A1729,-3)</f>
        <v>0</v>
      </c>
      <c r="B573" s="9">
        <f>B1729</f>
        <v>0</v>
      </c>
      <c r="C573" s="136">
        <f>C1729</f>
        <v>0</v>
      </c>
      <c r="D573" s="136">
        <f>D1729</f>
        <v>0</v>
      </c>
      <c r="E573" s="1442">
        <f t="shared" ref="E573" si="1293">E1729</f>
        <v>0</v>
      </c>
      <c r="F573" s="1152">
        <v>22265</v>
      </c>
      <c r="G573" s="29" t="s">
        <v>2181</v>
      </c>
      <c r="H573" s="9">
        <f t="shared" ref="H573:P573" si="1294">H1729</f>
        <v>0</v>
      </c>
      <c r="I573" s="85">
        <f>IF(E573=H573,0,IF(E573=0,100,(H573-E573)/E573*100))</f>
        <v>0</v>
      </c>
      <c r="J573" s="9">
        <f t="shared" si="1294"/>
        <v>0</v>
      </c>
      <c r="K573" s="9">
        <f t="shared" si="1294"/>
        <v>0</v>
      </c>
      <c r="L573" s="9">
        <f t="shared" si="1294"/>
        <v>0</v>
      </c>
      <c r="M573" s="9">
        <f t="shared" si="1294"/>
        <v>0</v>
      </c>
      <c r="N573" s="9">
        <f t="shared" si="1294"/>
        <v>0</v>
      </c>
      <c r="O573" s="9">
        <f t="shared" si="1294"/>
        <v>0</v>
      </c>
      <c r="P573" s="9">
        <f t="shared" si="1294"/>
        <v>0</v>
      </c>
      <c r="Q573" s="9">
        <f t="shared" ref="Q573" si="1295">Q1729</f>
        <v>0</v>
      </c>
      <c r="R573" s="9">
        <f t="shared" ref="R573" si="1296">R1729</f>
        <v>0</v>
      </c>
      <c r="S573" s="47">
        <f t="shared" ref="S573" si="1297">S1729</f>
        <v>0</v>
      </c>
    </row>
    <row r="574" spans="1:21" x14ac:dyDescent="0.2">
      <c r="A574" s="54"/>
      <c r="B574" s="9"/>
      <c r="E574" s="1442"/>
      <c r="F574" s="1152"/>
      <c r="G574" s="30"/>
      <c r="H574" s="9"/>
      <c r="I574" s="85"/>
      <c r="J574" s="9"/>
      <c r="K574" s="9"/>
      <c r="L574" s="9"/>
      <c r="M574" s="9"/>
      <c r="N574" s="9"/>
      <c r="O574" s="9"/>
      <c r="P574" s="9"/>
      <c r="Q574" s="9"/>
      <c r="R574" s="9"/>
      <c r="S574" s="47"/>
    </row>
    <row r="575" spans="1:21" x14ac:dyDescent="0.2">
      <c r="A575" s="54"/>
      <c r="B575" s="9"/>
      <c r="E575" s="1442"/>
      <c r="F575" s="1152"/>
      <c r="G575" s="1461" t="s">
        <v>5345</v>
      </c>
      <c r="H575" s="9"/>
      <c r="I575" s="85"/>
      <c r="J575" s="9"/>
      <c r="K575" s="9"/>
      <c r="L575" s="9"/>
      <c r="M575" s="9"/>
      <c r="N575" s="9"/>
      <c r="O575" s="9"/>
      <c r="P575" s="9"/>
      <c r="Q575" s="9"/>
      <c r="R575" s="9"/>
      <c r="S575" s="47"/>
    </row>
    <row r="576" spans="1:21" x14ac:dyDescent="0.2">
      <c r="A576" s="54">
        <f>A1732</f>
        <v>0</v>
      </c>
      <c r="B576" s="9">
        <f>B1732</f>
        <v>0</v>
      </c>
      <c r="C576" s="136">
        <f>C1732</f>
        <v>223900</v>
      </c>
      <c r="D576" s="136">
        <f>D1732</f>
        <v>53100</v>
      </c>
      <c r="E576" s="1442">
        <f t="shared" ref="E576" si="1298">E1732</f>
        <v>0</v>
      </c>
      <c r="F576" s="1152">
        <v>22265</v>
      </c>
      <c r="G576" s="30" t="s">
        <v>6788</v>
      </c>
      <c r="H576" s="9">
        <f t="shared" ref="H576:P576" si="1299">H1732</f>
        <v>0</v>
      </c>
      <c r="I576" s="85">
        <f>IF(E576=H576,0,IF(E576=0,100,(H576-E576)/E576*100))</f>
        <v>0</v>
      </c>
      <c r="J576" s="9">
        <f t="shared" si="1299"/>
        <v>0</v>
      </c>
      <c r="K576" s="9">
        <f t="shared" si="1299"/>
        <v>0</v>
      </c>
      <c r="L576" s="9">
        <f t="shared" si="1299"/>
        <v>0</v>
      </c>
      <c r="M576" s="9">
        <f t="shared" si="1299"/>
        <v>0</v>
      </c>
      <c r="N576" s="9">
        <f t="shared" si="1299"/>
        <v>0</v>
      </c>
      <c r="O576" s="9">
        <f t="shared" si="1299"/>
        <v>0</v>
      </c>
      <c r="P576" s="9">
        <f t="shared" si="1299"/>
        <v>0</v>
      </c>
      <c r="Q576" s="9">
        <f t="shared" ref="Q576" si="1300">Q1732</f>
        <v>0</v>
      </c>
      <c r="R576" s="9">
        <f t="shared" ref="R576" si="1301">R1732</f>
        <v>0</v>
      </c>
      <c r="S576" s="47">
        <f t="shared" ref="S576" si="1302">S1732</f>
        <v>0</v>
      </c>
    </row>
    <row r="577" spans="1:21" ht="13.5" thickBot="1" x14ac:dyDescent="0.25">
      <c r="A577" s="54"/>
      <c r="B577" s="9"/>
      <c r="C577" s="134"/>
      <c r="D577" s="134"/>
      <c r="E577" s="1442"/>
      <c r="F577" s="1152"/>
      <c r="G577" s="29"/>
      <c r="H577" s="9"/>
      <c r="I577" s="85"/>
      <c r="J577" s="9"/>
      <c r="K577" s="9"/>
      <c r="L577" s="9"/>
      <c r="M577" s="9"/>
      <c r="N577" s="9"/>
      <c r="O577" s="9"/>
      <c r="P577" s="9"/>
      <c r="Q577" s="9"/>
      <c r="R577" s="9"/>
      <c r="S577" s="47"/>
    </row>
    <row r="578" spans="1:21" s="39" customFormat="1" x14ac:dyDescent="0.2">
      <c r="A578" s="52">
        <f>SUM(A569:A577)</f>
        <v>411000</v>
      </c>
      <c r="B578" s="16">
        <f>SUM(B569:B577)</f>
        <v>349700</v>
      </c>
      <c r="C578" s="145">
        <f>SUM(C569:C577)</f>
        <v>475700</v>
      </c>
      <c r="D578" s="145">
        <f>SUM(D569:D577)</f>
        <v>377200</v>
      </c>
      <c r="E578" s="1443">
        <f>SUM(E569:E577)</f>
        <v>69100</v>
      </c>
      <c r="F578" s="163"/>
      <c r="G578" s="1158" t="s">
        <v>2561</v>
      </c>
      <c r="H578" s="16">
        <f t="shared" ref="H578:Q578" si="1303">SUM(H569:H577)</f>
        <v>67900</v>
      </c>
      <c r="I578" s="127">
        <f>IF(E578=H578,0,IF(E578=0,100,(H578-E578)/E578*100))</f>
        <v>-1.7366136034732274</v>
      </c>
      <c r="J578" s="16">
        <f t="shared" si="1303"/>
        <v>69600</v>
      </c>
      <c r="K578" s="16">
        <f t="shared" si="1303"/>
        <v>71500</v>
      </c>
      <c r="L578" s="16">
        <f t="shared" si="1303"/>
        <v>73400</v>
      </c>
      <c r="M578" s="16">
        <f t="shared" si="1303"/>
        <v>75300</v>
      </c>
      <c r="N578" s="16">
        <f t="shared" si="1303"/>
        <v>77300</v>
      </c>
      <c r="O578" s="16">
        <f t="shared" si="1303"/>
        <v>79300</v>
      </c>
      <c r="P578" s="16">
        <f t="shared" si="1303"/>
        <v>81400</v>
      </c>
      <c r="Q578" s="16">
        <f t="shared" si="1303"/>
        <v>83500</v>
      </c>
      <c r="R578" s="16">
        <f t="shared" ref="R578" si="1304">SUM(R569:R577)</f>
        <v>85600</v>
      </c>
      <c r="S578" s="2342">
        <f t="shared" ref="S578" si="1305">SUM(S569:S577)</f>
        <v>87800</v>
      </c>
      <c r="U578" s="34"/>
    </row>
    <row r="579" spans="1:21" x14ac:dyDescent="0.2">
      <c r="A579" s="45"/>
      <c r="B579" s="9"/>
      <c r="C579" s="134"/>
      <c r="D579" s="134"/>
      <c r="E579" s="1442"/>
      <c r="F579" s="1152"/>
      <c r="G579" s="32"/>
      <c r="H579" s="9"/>
      <c r="I579" s="85"/>
      <c r="J579" s="9"/>
      <c r="K579" s="9"/>
      <c r="L579" s="9"/>
      <c r="M579" s="9"/>
      <c r="N579" s="9"/>
      <c r="O579" s="9"/>
      <c r="P579" s="9"/>
      <c r="Q579" s="9"/>
      <c r="R579" s="9"/>
      <c r="S579" s="47"/>
    </row>
    <row r="580" spans="1:21" x14ac:dyDescent="0.2">
      <c r="A580" s="45"/>
      <c r="B580" s="9"/>
      <c r="C580" s="134"/>
      <c r="D580" s="134"/>
      <c r="E580" s="1442"/>
      <c r="F580" s="1152"/>
      <c r="G580" s="50" t="s">
        <v>2169</v>
      </c>
      <c r="H580" s="9"/>
      <c r="I580" s="85"/>
      <c r="J580" s="9"/>
      <c r="K580" s="9"/>
      <c r="L580" s="9"/>
      <c r="M580" s="9"/>
      <c r="N580" s="9"/>
      <c r="O580" s="9"/>
      <c r="P580" s="9"/>
      <c r="Q580" s="9"/>
      <c r="R580" s="9"/>
      <c r="S580" s="47"/>
    </row>
    <row r="581" spans="1:21" x14ac:dyDescent="0.2">
      <c r="A581" s="45"/>
      <c r="B581" s="9"/>
      <c r="C581" s="134"/>
      <c r="D581" s="134"/>
      <c r="E581" s="1442"/>
      <c r="F581" s="1152"/>
      <c r="G581" s="50"/>
      <c r="H581" s="9"/>
      <c r="I581" s="85"/>
      <c r="J581" s="9"/>
      <c r="K581" s="9"/>
      <c r="L581" s="9"/>
      <c r="M581" s="9"/>
      <c r="N581" s="9"/>
      <c r="O581" s="9"/>
      <c r="P581" s="9"/>
      <c r="Q581" s="9"/>
      <c r="R581" s="9"/>
      <c r="S581" s="47"/>
    </row>
    <row r="582" spans="1:21" x14ac:dyDescent="0.2">
      <c r="A582" s="45"/>
      <c r="B582" s="9"/>
      <c r="E582" s="1442"/>
      <c r="F582" s="1152"/>
      <c r="G582" s="122" t="s">
        <v>237</v>
      </c>
      <c r="H582" s="9"/>
      <c r="I582" s="85"/>
      <c r="J582" s="9"/>
      <c r="K582" s="9"/>
      <c r="L582" s="9"/>
      <c r="M582" s="9"/>
      <c r="N582" s="9"/>
      <c r="O582" s="9"/>
      <c r="P582" s="9"/>
      <c r="Q582" s="9"/>
      <c r="R582" s="9"/>
      <c r="S582" s="47"/>
    </row>
    <row r="583" spans="1:21" x14ac:dyDescent="0.2">
      <c r="A583" s="54">
        <f>ROUND(SUM(A1739:A1739),-3)-1000</f>
        <v>2000</v>
      </c>
      <c r="B583" s="9">
        <f t="shared" ref="B583:D583" si="1306">SUM(B1739:B1739)</f>
        <v>1500</v>
      </c>
      <c r="C583" s="136">
        <f t="shared" si="1306"/>
        <v>4300</v>
      </c>
      <c r="D583" s="136">
        <f t="shared" si="1306"/>
        <v>300</v>
      </c>
      <c r="E583" s="1442">
        <f t="shared" ref="E583" si="1307">SUM(E1739:E1739)</f>
        <v>3000</v>
      </c>
      <c r="F583" s="1152">
        <v>32325</v>
      </c>
      <c r="G583" s="1173" t="s">
        <v>1135</v>
      </c>
      <c r="H583" s="9">
        <f t="shared" ref="H583:O583" si="1308">SUM(H1739:H1739)</f>
        <v>4300</v>
      </c>
      <c r="I583" s="85">
        <f>IF(E583=H583,0,IF(E583=0,100,(H583-E583)/E583*100))</f>
        <v>43.333333333333336</v>
      </c>
      <c r="J583" s="9">
        <f t="shared" si="1308"/>
        <v>4400</v>
      </c>
      <c r="K583" s="9">
        <f t="shared" si="1308"/>
        <v>4600</v>
      </c>
      <c r="L583" s="9">
        <f t="shared" si="1308"/>
        <v>4800</v>
      </c>
      <c r="M583" s="9">
        <f t="shared" si="1308"/>
        <v>5000</v>
      </c>
      <c r="N583" s="9">
        <f t="shared" si="1308"/>
        <v>5200</v>
      </c>
      <c r="O583" s="9">
        <f t="shared" si="1308"/>
        <v>5400</v>
      </c>
      <c r="P583" s="9">
        <f t="shared" ref="P583:Q583" si="1309">SUM(P1739:P1739)</f>
        <v>5600</v>
      </c>
      <c r="Q583" s="9">
        <f t="shared" si="1309"/>
        <v>5800</v>
      </c>
      <c r="R583" s="9">
        <f t="shared" ref="R583" si="1310">SUM(R1739:R1739)</f>
        <v>6000</v>
      </c>
      <c r="S583" s="47">
        <f t="shared" ref="S583" si="1311">SUM(S1739:S1739)</f>
        <v>6200</v>
      </c>
    </row>
    <row r="584" spans="1:21" x14ac:dyDescent="0.2">
      <c r="A584" s="54">
        <f>ROUND(SUM(A1741:A1741),-3)</f>
        <v>10000</v>
      </c>
      <c r="B584" s="9">
        <f>SUM(B1741:B1741)</f>
        <v>1300</v>
      </c>
      <c r="C584" s="136">
        <f>SUM(C1741:C1741)</f>
        <v>1700</v>
      </c>
      <c r="D584" s="136">
        <f>SUM(D1741:D1741)</f>
        <v>800</v>
      </c>
      <c r="E584" s="1442">
        <f>SUM(E1740:E1741)</f>
        <v>28100</v>
      </c>
      <c r="F584" s="1152">
        <v>32325</v>
      </c>
      <c r="G584" s="1173" t="s">
        <v>2137</v>
      </c>
      <c r="H584" s="9">
        <f>SUM(H1741:H1741)+H1740</f>
        <v>17100</v>
      </c>
      <c r="I584" s="85">
        <f>IF(E584=H584,0,IF(E584=0,100,(H584-E584)/E584*100))</f>
        <v>-39.145907473309613</v>
      </c>
      <c r="J584" s="9">
        <f>SUM(J1741:J1741)+J1740</f>
        <v>17600</v>
      </c>
      <c r="K584" s="9">
        <f t="shared" ref="K584:R584" si="1312">SUM(K1741:K1741)+K1740</f>
        <v>18100</v>
      </c>
      <c r="L584" s="9">
        <f t="shared" si="1312"/>
        <v>18600</v>
      </c>
      <c r="M584" s="9">
        <f t="shared" si="1312"/>
        <v>19200</v>
      </c>
      <c r="N584" s="9">
        <f t="shared" si="1312"/>
        <v>19800</v>
      </c>
      <c r="O584" s="9">
        <f t="shared" si="1312"/>
        <v>20400</v>
      </c>
      <c r="P584" s="9">
        <f t="shared" si="1312"/>
        <v>21000</v>
      </c>
      <c r="Q584" s="9">
        <f t="shared" si="1312"/>
        <v>21600</v>
      </c>
      <c r="R584" s="9">
        <f t="shared" si="1312"/>
        <v>22200</v>
      </c>
      <c r="S584" s="47">
        <f t="shared" ref="S584" si="1313">SUM(S1741:S1741)+S1740</f>
        <v>22800</v>
      </c>
    </row>
    <row r="585" spans="1:21" x14ac:dyDescent="0.2">
      <c r="A585" s="54">
        <f>ROUND(SUM(A1742:A1747),-3)</f>
        <v>28000</v>
      </c>
      <c r="B585" s="9">
        <f>SUM(B1742:B1747)</f>
        <v>5400</v>
      </c>
      <c r="C585" s="136">
        <f>SUM(C1742:C1747)</f>
        <v>121900</v>
      </c>
      <c r="D585" s="136">
        <f>SUM(D1742:D1747)</f>
        <v>32600</v>
      </c>
      <c r="E585" s="1442">
        <f>SUM(E1742:E1744)</f>
        <v>19900</v>
      </c>
      <c r="F585" s="1152">
        <v>32325</v>
      </c>
      <c r="G585" s="1150" t="s">
        <v>3684</v>
      </c>
      <c r="H585" s="9">
        <f t="shared" ref="H585:Q585" si="1314">SUM(H1742:H1744)</f>
        <v>266100</v>
      </c>
      <c r="I585" s="85">
        <f>IF(E585=H585,0,IF(E585=0,100,(H585-E585)/E585*100))</f>
        <v>1237.1859296482412</v>
      </c>
      <c r="J585" s="9">
        <f t="shared" si="1314"/>
        <v>25100</v>
      </c>
      <c r="K585" s="9">
        <f t="shared" si="1314"/>
        <v>25700</v>
      </c>
      <c r="L585" s="9">
        <f t="shared" si="1314"/>
        <v>26300</v>
      </c>
      <c r="M585" s="9">
        <f t="shared" si="1314"/>
        <v>26900</v>
      </c>
      <c r="N585" s="9">
        <f t="shared" si="1314"/>
        <v>27500</v>
      </c>
      <c r="O585" s="9">
        <f t="shared" si="1314"/>
        <v>28200</v>
      </c>
      <c r="P585" s="9">
        <f t="shared" si="1314"/>
        <v>28900</v>
      </c>
      <c r="Q585" s="9">
        <f t="shared" si="1314"/>
        <v>29600</v>
      </c>
      <c r="R585" s="9">
        <f t="shared" ref="R585" si="1315">SUM(R1742:R1744)</f>
        <v>30300</v>
      </c>
      <c r="S585" s="47">
        <f t="shared" ref="S585" si="1316">SUM(S1742:S1744)</f>
        <v>31000</v>
      </c>
    </row>
    <row r="586" spans="1:21" x14ac:dyDescent="0.2">
      <c r="A586" s="54">
        <f>ROUND(SUM(A1748:A1749),-3)</f>
        <v>10000</v>
      </c>
      <c r="B586" s="9">
        <f>SUM(B1748:B1749)</f>
        <v>23000</v>
      </c>
      <c r="C586" s="136">
        <f>SUM(C1748:C1749)</f>
        <v>36000</v>
      </c>
      <c r="D586" s="136">
        <f>SUM(D1748:D1749)</f>
        <v>51000</v>
      </c>
      <c r="E586" s="1442">
        <f t="shared" ref="E586" si="1317">SUM(E1748:E1749)</f>
        <v>34000</v>
      </c>
      <c r="F586" s="1152">
        <v>32325</v>
      </c>
      <c r="G586" s="1173" t="s">
        <v>1636</v>
      </c>
      <c r="H586" s="9">
        <f t="shared" ref="H586:O586" si="1318">SUM(H1748:H1749)</f>
        <v>0</v>
      </c>
      <c r="I586" s="85">
        <f>IF(E586=H586,0,IF(E586=0,100,(H586-E586)/E586*100))</f>
        <v>-100</v>
      </c>
      <c r="J586" s="9">
        <f t="shared" si="1318"/>
        <v>0</v>
      </c>
      <c r="K586" s="9">
        <f t="shared" si="1318"/>
        <v>0</v>
      </c>
      <c r="L586" s="9">
        <f t="shared" si="1318"/>
        <v>0</v>
      </c>
      <c r="M586" s="9">
        <f t="shared" si="1318"/>
        <v>0</v>
      </c>
      <c r="N586" s="9">
        <f t="shared" si="1318"/>
        <v>0</v>
      </c>
      <c r="O586" s="9">
        <f t="shared" si="1318"/>
        <v>0</v>
      </c>
      <c r="P586" s="9">
        <f t="shared" ref="P586:Q586" si="1319">SUM(P1748:P1749)</f>
        <v>0</v>
      </c>
      <c r="Q586" s="9">
        <f t="shared" si="1319"/>
        <v>0</v>
      </c>
      <c r="R586" s="9">
        <f t="shared" ref="R586" si="1320">SUM(R1748:R1749)</f>
        <v>0</v>
      </c>
      <c r="S586" s="47">
        <f t="shared" ref="S586" si="1321">SUM(S1748:S1749)</f>
        <v>0</v>
      </c>
    </row>
    <row r="587" spans="1:21" x14ac:dyDescent="0.2">
      <c r="A587" s="54"/>
      <c r="B587" s="9"/>
      <c r="E587" s="1442"/>
      <c r="F587" s="1152"/>
      <c r="G587" s="1173"/>
      <c r="H587" s="9"/>
      <c r="I587" s="85"/>
      <c r="J587" s="9"/>
      <c r="K587" s="9"/>
      <c r="L587" s="9"/>
      <c r="M587" s="9"/>
      <c r="N587" s="9"/>
      <c r="O587" s="9"/>
      <c r="P587" s="9"/>
      <c r="Q587" s="9"/>
      <c r="R587" s="9"/>
      <c r="S587" s="47"/>
    </row>
    <row r="588" spans="1:21" x14ac:dyDescent="0.2">
      <c r="A588" s="54"/>
      <c r="B588" s="9"/>
      <c r="E588" s="1442"/>
      <c r="F588" s="1152"/>
      <c r="G588" s="853" t="s">
        <v>6672</v>
      </c>
      <c r="H588" s="9"/>
      <c r="I588" s="85"/>
      <c r="J588" s="9"/>
      <c r="K588" s="9"/>
      <c r="L588" s="9"/>
      <c r="M588" s="9"/>
      <c r="N588" s="9"/>
      <c r="O588" s="9"/>
      <c r="P588" s="9"/>
      <c r="Q588" s="9"/>
      <c r="R588" s="9"/>
      <c r="S588" s="47"/>
    </row>
    <row r="589" spans="1:21" x14ac:dyDescent="0.2">
      <c r="A589" s="54">
        <f>A1746</f>
        <v>0</v>
      </c>
      <c r="B589" s="9">
        <f>B1746</f>
        <v>0</v>
      </c>
      <c r="C589" s="136">
        <f>C1746</f>
        <v>0</v>
      </c>
      <c r="D589" s="136">
        <v>0</v>
      </c>
      <c r="E589" s="1442">
        <f>E1746</f>
        <v>0</v>
      </c>
      <c r="F589" s="1152">
        <v>32325</v>
      </c>
      <c r="G589" s="1150" t="s">
        <v>6673</v>
      </c>
      <c r="H589" s="9">
        <f t="shared" ref="H589:Q589" si="1322">H1746</f>
        <v>250000</v>
      </c>
      <c r="I589" s="85">
        <f>IF(E589=H589,0,IF(E589=0,100,(H589-E589)/E589*100))</f>
        <v>100</v>
      </c>
      <c r="J589" s="9">
        <f t="shared" si="1322"/>
        <v>-500</v>
      </c>
      <c r="K589" s="9">
        <f t="shared" si="1322"/>
        <v>-600</v>
      </c>
      <c r="L589" s="9">
        <f t="shared" si="1322"/>
        <v>-700</v>
      </c>
      <c r="M589" s="9">
        <f t="shared" si="1322"/>
        <v>-800</v>
      </c>
      <c r="N589" s="9">
        <f t="shared" si="1322"/>
        <v>-900</v>
      </c>
      <c r="O589" s="9">
        <f t="shared" si="1322"/>
        <v>-1000</v>
      </c>
      <c r="P589" s="9">
        <f t="shared" si="1322"/>
        <v>-1100</v>
      </c>
      <c r="Q589" s="9">
        <f t="shared" si="1322"/>
        <v>-1200</v>
      </c>
      <c r="R589" s="9">
        <f t="shared" ref="R589" si="1323">R1746</f>
        <v>-1300</v>
      </c>
      <c r="S589" s="47">
        <f t="shared" ref="S589" si="1324">S1746</f>
        <v>-1400</v>
      </c>
    </row>
    <row r="590" spans="1:21" x14ac:dyDescent="0.2">
      <c r="A590" s="54"/>
      <c r="B590" s="9"/>
      <c r="E590" s="1442"/>
      <c r="F590" s="1152"/>
      <c r="G590" s="1173"/>
      <c r="H590" s="9"/>
      <c r="I590" s="85"/>
      <c r="J590" s="9"/>
      <c r="K590" s="9"/>
      <c r="L590" s="9"/>
      <c r="M590" s="9"/>
      <c r="N590" s="9"/>
      <c r="O590" s="9"/>
      <c r="P590" s="9"/>
      <c r="Q590" s="9"/>
      <c r="R590" s="9"/>
      <c r="S590" s="47"/>
    </row>
    <row r="591" spans="1:21" ht="13.5" customHeight="1" x14ac:dyDescent="0.2">
      <c r="A591" s="54"/>
      <c r="B591" s="9"/>
      <c r="E591" s="1442"/>
      <c r="F591" s="167"/>
      <c r="G591" s="122" t="s">
        <v>1761</v>
      </c>
      <c r="H591" s="9"/>
      <c r="I591" s="85"/>
      <c r="J591" s="9"/>
      <c r="K591" s="9"/>
      <c r="L591" s="9"/>
      <c r="M591" s="9"/>
      <c r="N591" s="9"/>
      <c r="O591" s="9"/>
      <c r="P591" s="9"/>
      <c r="Q591" s="9"/>
      <c r="R591" s="9"/>
      <c r="S591" s="47"/>
    </row>
    <row r="592" spans="1:21" ht="13.5" customHeight="1" x14ac:dyDescent="0.2">
      <c r="A592" s="54">
        <f>ROUND(SUM(A1751:A1754),-3)</f>
        <v>21000</v>
      </c>
      <c r="B592" s="136">
        <f>SUM(B1751:B1754)</f>
        <v>11600</v>
      </c>
      <c r="C592" s="136">
        <f>SUM(C1751:C1754)</f>
        <v>11500</v>
      </c>
      <c r="D592" s="136">
        <f>SUM(D1751:D1754)</f>
        <v>5900</v>
      </c>
      <c r="E592" s="1442">
        <f t="shared" ref="E592" si="1325">SUM(E1751:E1754)</f>
        <v>5200</v>
      </c>
      <c r="F592" s="167">
        <v>32326</v>
      </c>
      <c r="G592" s="1173" t="s">
        <v>2181</v>
      </c>
      <c r="H592" s="9">
        <f t="shared" ref="H592:P592" si="1326">SUM(H1751:H1754)</f>
        <v>13400</v>
      </c>
      <c r="I592" s="85">
        <f>IF(E592=H592,0,IF(E592=0,100,(H592-E592)/E592*100))</f>
        <v>157.69230769230768</v>
      </c>
      <c r="J592" s="9">
        <f t="shared" si="1326"/>
        <v>13900</v>
      </c>
      <c r="K592" s="9">
        <f t="shared" si="1326"/>
        <v>14400</v>
      </c>
      <c r="L592" s="9">
        <f t="shared" si="1326"/>
        <v>14900</v>
      </c>
      <c r="M592" s="9">
        <f t="shared" si="1326"/>
        <v>15400</v>
      </c>
      <c r="N592" s="9">
        <f t="shared" si="1326"/>
        <v>15900</v>
      </c>
      <c r="O592" s="9">
        <f t="shared" si="1326"/>
        <v>16400</v>
      </c>
      <c r="P592" s="9">
        <f t="shared" si="1326"/>
        <v>16900</v>
      </c>
      <c r="Q592" s="9">
        <f t="shared" ref="Q592" si="1327">SUM(Q1751:Q1754)</f>
        <v>17500</v>
      </c>
      <c r="R592" s="9">
        <f t="shared" ref="R592" si="1328">SUM(R1751:R1754)</f>
        <v>18100</v>
      </c>
      <c r="S592" s="47">
        <f t="shared" ref="S592" si="1329">SUM(S1751:S1754)</f>
        <v>18700</v>
      </c>
    </row>
    <row r="593" spans="1:21" ht="13.5" customHeight="1" x14ac:dyDescent="0.2">
      <c r="A593" s="54">
        <f t="shared" ref="A593:D594" si="1330">SUM(A1757:A1757)</f>
        <v>0</v>
      </c>
      <c r="B593" s="136">
        <f t="shared" si="1330"/>
        <v>0</v>
      </c>
      <c r="C593" s="136">
        <f t="shared" si="1330"/>
        <v>0</v>
      </c>
      <c r="D593" s="136">
        <f t="shared" si="1330"/>
        <v>60300</v>
      </c>
      <c r="E593" s="1442">
        <f>SUM(E1757:E1757)</f>
        <v>10600</v>
      </c>
      <c r="F593" s="167">
        <v>32326</v>
      </c>
      <c r="G593" s="1150" t="s">
        <v>6501</v>
      </c>
      <c r="H593" s="9">
        <f t="shared" ref="H593:Q593" si="1331">SUM(H1757:H1757)</f>
        <v>79400</v>
      </c>
      <c r="I593" s="85">
        <f>IF(E593=H593,0,IF(E593=0,100,(H593-E593)/E593*100))</f>
        <v>649.05660377358492</v>
      </c>
      <c r="J593" s="9">
        <f t="shared" si="1331"/>
        <v>-100</v>
      </c>
      <c r="K593" s="9">
        <f t="shared" si="1331"/>
        <v>-200</v>
      </c>
      <c r="L593" s="9">
        <f t="shared" si="1331"/>
        <v>-300</v>
      </c>
      <c r="M593" s="9">
        <f t="shared" si="1331"/>
        <v>-400</v>
      </c>
      <c r="N593" s="9">
        <f t="shared" si="1331"/>
        <v>-500</v>
      </c>
      <c r="O593" s="9">
        <f t="shared" si="1331"/>
        <v>-600</v>
      </c>
      <c r="P593" s="9">
        <f t="shared" si="1331"/>
        <v>-700</v>
      </c>
      <c r="Q593" s="9">
        <f t="shared" si="1331"/>
        <v>-800</v>
      </c>
      <c r="R593" s="9">
        <f t="shared" ref="R593" si="1332">SUM(R1757:R1757)</f>
        <v>-900</v>
      </c>
      <c r="S593" s="47">
        <f t="shared" ref="S593" si="1333">SUM(S1757:S1757)</f>
        <v>-1000</v>
      </c>
    </row>
    <row r="594" spans="1:21" x14ac:dyDescent="0.2">
      <c r="A594" s="54">
        <f t="shared" si="1330"/>
        <v>0</v>
      </c>
      <c r="B594" s="136">
        <f t="shared" si="1330"/>
        <v>0</v>
      </c>
      <c r="C594" s="136">
        <f t="shared" si="1330"/>
        <v>0</v>
      </c>
      <c r="D594" s="136">
        <f t="shared" si="1330"/>
        <v>0</v>
      </c>
      <c r="E594" s="144">
        <f>SUM(E1758:E1758)</f>
        <v>16000</v>
      </c>
      <c r="F594" s="167">
        <v>32326</v>
      </c>
      <c r="G594" s="634" t="s">
        <v>6502</v>
      </c>
      <c r="H594" s="9">
        <f t="shared" ref="H594:Q594" si="1334">SUM(H1758:H1758)</f>
        <v>0</v>
      </c>
      <c r="I594" s="85">
        <f>IF(E594=H594,0,IF(E594=0,100,(H594-E594)/E594*100))</f>
        <v>-100</v>
      </c>
      <c r="J594" s="9">
        <f t="shared" si="1334"/>
        <v>0</v>
      </c>
      <c r="K594" s="9">
        <f t="shared" si="1334"/>
        <v>0</v>
      </c>
      <c r="L594" s="9">
        <f t="shared" si="1334"/>
        <v>0</v>
      </c>
      <c r="M594" s="9">
        <f t="shared" si="1334"/>
        <v>0</v>
      </c>
      <c r="N594" s="9">
        <f t="shared" si="1334"/>
        <v>0</v>
      </c>
      <c r="O594" s="9">
        <f t="shared" si="1334"/>
        <v>0</v>
      </c>
      <c r="P594" s="9">
        <f t="shared" si="1334"/>
        <v>0</v>
      </c>
      <c r="Q594" s="9">
        <f t="shared" si="1334"/>
        <v>0</v>
      </c>
      <c r="R594" s="9">
        <f t="shared" ref="R594" si="1335">SUM(R1758:R1758)</f>
        <v>0</v>
      </c>
      <c r="S594" s="47">
        <f t="shared" ref="S594" si="1336">SUM(S1758:S1758)</f>
        <v>0</v>
      </c>
    </row>
    <row r="595" spans="1:21" x14ac:dyDescent="0.2">
      <c r="A595" s="54"/>
      <c r="B595" s="136"/>
      <c r="E595" s="144"/>
      <c r="F595" s="167"/>
      <c r="G595" s="634"/>
      <c r="H595" s="9"/>
      <c r="I595" s="85"/>
      <c r="J595" s="9"/>
      <c r="K595" s="9"/>
      <c r="L595" s="9"/>
      <c r="M595" s="9"/>
      <c r="N595" s="9"/>
      <c r="O595" s="9"/>
      <c r="P595" s="9"/>
      <c r="Q595" s="9"/>
      <c r="R595" s="9"/>
      <c r="S595" s="47"/>
    </row>
    <row r="596" spans="1:21" x14ac:dyDescent="0.2">
      <c r="A596" s="54"/>
      <c r="B596" s="9"/>
      <c r="E596" s="144"/>
      <c r="F596" s="167"/>
      <c r="G596" s="260" t="str">
        <f>G101</f>
        <v>Non-Cash Expenses</v>
      </c>
      <c r="H596" s="9"/>
      <c r="I596" s="85"/>
      <c r="J596" s="9"/>
      <c r="K596" s="9"/>
      <c r="L596" s="9"/>
      <c r="M596" s="9"/>
      <c r="N596" s="9"/>
      <c r="O596" s="9"/>
      <c r="P596" s="9"/>
      <c r="Q596" s="9"/>
      <c r="R596" s="9"/>
      <c r="S596" s="47"/>
    </row>
    <row r="597" spans="1:21" x14ac:dyDescent="0.2">
      <c r="A597" s="54">
        <f>ROUND(SUM(A1763:A1763),-3)</f>
        <v>55000</v>
      </c>
      <c r="B597" s="9">
        <f>ROUND(SUM(B1763:B1763),)</f>
        <v>33800</v>
      </c>
      <c r="C597" s="136">
        <f>ROUND(SUM(C1763:C1763),)</f>
        <v>43000</v>
      </c>
      <c r="D597" s="136">
        <f>ROUND(SUM(D1763:D1763),)</f>
        <v>28000</v>
      </c>
      <c r="E597" s="144">
        <f t="shared" ref="E597" si="1337">ROUND(SUM(E1763:E1763),)</f>
        <v>20100</v>
      </c>
      <c r="F597" s="167">
        <v>32325</v>
      </c>
      <c r="G597" s="9" t="s">
        <v>2732</v>
      </c>
      <c r="H597" s="9">
        <f t="shared" ref="H597:O597" si="1338">ROUND(SUM(H1763:H1763),)</f>
        <v>47200</v>
      </c>
      <c r="I597" s="85">
        <f>IF(E597=H597,0,IF(E597=0,100,(H597-E597)/E597*100))</f>
        <v>134.82587064676616</v>
      </c>
      <c r="J597" s="9">
        <f t="shared" si="1338"/>
        <v>19200</v>
      </c>
      <c r="K597" s="9">
        <f t="shared" si="1338"/>
        <v>19900</v>
      </c>
      <c r="L597" s="9">
        <f t="shared" si="1338"/>
        <v>20600</v>
      </c>
      <c r="M597" s="9">
        <f t="shared" si="1338"/>
        <v>21400</v>
      </c>
      <c r="N597" s="9">
        <f t="shared" si="1338"/>
        <v>22100</v>
      </c>
      <c r="O597" s="9">
        <f t="shared" si="1338"/>
        <v>22900</v>
      </c>
      <c r="P597" s="9">
        <f t="shared" ref="P597:Q597" si="1339">ROUND(SUM(P1763:P1763),)</f>
        <v>23800</v>
      </c>
      <c r="Q597" s="9">
        <f t="shared" si="1339"/>
        <v>24700</v>
      </c>
      <c r="R597" s="9">
        <f t="shared" ref="R597" si="1340">ROUND(SUM(R1763:R1763),)</f>
        <v>25600</v>
      </c>
      <c r="S597" s="47">
        <f t="shared" ref="S597" si="1341">ROUND(SUM(S1763:S1763),)</f>
        <v>25600</v>
      </c>
    </row>
    <row r="598" spans="1:21" x14ac:dyDescent="0.2">
      <c r="A598" s="54">
        <f>ROUND(SUM(A1761:A1762),-3)</f>
        <v>92000</v>
      </c>
      <c r="B598" s="9">
        <f>ROUND(SUM(B1761:B1762),)</f>
        <v>96000</v>
      </c>
      <c r="C598" s="136">
        <f>ROUND(SUM(C1761:C1762),)</f>
        <v>9400</v>
      </c>
      <c r="D598" s="136">
        <f>ROUND(SUM(D1761:D1762),)</f>
        <v>9500</v>
      </c>
      <c r="E598" s="144">
        <f t="shared" ref="E598" si="1342">ROUND(SUM(E1761:E1762),)</f>
        <v>7600</v>
      </c>
      <c r="F598" s="167">
        <v>32325</v>
      </c>
      <c r="G598" s="79" t="s">
        <v>1728</v>
      </c>
      <c r="H598" s="9">
        <f t="shared" ref="H598:O598" si="1343">ROUND(SUM(H1761:H1762),)</f>
        <v>10300</v>
      </c>
      <c r="I598" s="85">
        <f>IF(E598=H598,0,IF(E598=0,100,(H598-E598)/E598*100))</f>
        <v>35.526315789473685</v>
      </c>
      <c r="J598" s="9">
        <f t="shared" si="1343"/>
        <v>10600</v>
      </c>
      <c r="K598" s="9">
        <f t="shared" si="1343"/>
        <v>10900</v>
      </c>
      <c r="L598" s="9">
        <f t="shared" si="1343"/>
        <v>11200</v>
      </c>
      <c r="M598" s="9">
        <f t="shared" si="1343"/>
        <v>11500</v>
      </c>
      <c r="N598" s="9">
        <f t="shared" si="1343"/>
        <v>11800</v>
      </c>
      <c r="O598" s="9">
        <f t="shared" si="1343"/>
        <v>12100</v>
      </c>
      <c r="P598" s="9">
        <f t="shared" ref="P598:Q598" si="1344">ROUND(SUM(P1761:P1762),)</f>
        <v>12400</v>
      </c>
      <c r="Q598" s="9">
        <f t="shared" si="1344"/>
        <v>12700</v>
      </c>
      <c r="R598" s="9">
        <f t="shared" ref="R598" si="1345">ROUND(SUM(R1761:R1762),)</f>
        <v>13000</v>
      </c>
      <c r="S598" s="47">
        <f t="shared" ref="S598" si="1346">ROUND(SUM(S1761:S1762),)</f>
        <v>13300</v>
      </c>
    </row>
    <row r="599" spans="1:21" ht="13.5" thickBot="1" x14ac:dyDescent="0.25">
      <c r="A599" s="54"/>
      <c r="B599" s="9"/>
      <c r="D599" s="134"/>
      <c r="E599" s="144"/>
      <c r="F599" s="167"/>
      <c r="G599" s="9"/>
      <c r="H599" s="9"/>
      <c r="I599" s="85"/>
      <c r="J599" s="9"/>
      <c r="K599" s="9"/>
      <c r="L599" s="9"/>
      <c r="M599" s="9"/>
      <c r="N599" s="9"/>
      <c r="O599" s="9"/>
      <c r="P599" s="9"/>
      <c r="Q599" s="9"/>
      <c r="R599" s="9"/>
      <c r="S599" s="47"/>
    </row>
    <row r="600" spans="1:21" s="39" customFormat="1" x14ac:dyDescent="0.2">
      <c r="A600" s="52">
        <f>SUBTOTAL(9,A582:A598)</f>
        <v>218000</v>
      </c>
      <c r="B600" s="16">
        <f>SUBTOTAL(9,B582:B598)</f>
        <v>172600</v>
      </c>
      <c r="C600" s="137">
        <f>SUBTOTAL(9,C582:C598)</f>
        <v>227800</v>
      </c>
      <c r="D600" s="137">
        <f>SUBTOTAL(9,D582:D598)</f>
        <v>188400</v>
      </c>
      <c r="E600" s="1473">
        <f>SUBTOTAL(9,E582:E598)</f>
        <v>144500</v>
      </c>
      <c r="F600" s="173"/>
      <c r="G600" s="267" t="s">
        <v>556</v>
      </c>
      <c r="H600" s="16">
        <f t="shared" ref="H600:P600" si="1347">SUBTOTAL(9,H582:H598)</f>
        <v>687800</v>
      </c>
      <c r="I600" s="127">
        <f>IF(E600=H600,0,IF(E600=0,100,(H600-E600)/E600*100))</f>
        <v>375.98615916955021</v>
      </c>
      <c r="J600" s="16">
        <f t="shared" si="1347"/>
        <v>90200</v>
      </c>
      <c r="K600" s="16">
        <f t="shared" si="1347"/>
        <v>92800</v>
      </c>
      <c r="L600" s="16">
        <f t="shared" si="1347"/>
        <v>95400</v>
      </c>
      <c r="M600" s="16">
        <f t="shared" si="1347"/>
        <v>98200</v>
      </c>
      <c r="N600" s="16">
        <f t="shared" si="1347"/>
        <v>100900</v>
      </c>
      <c r="O600" s="16">
        <f t="shared" si="1347"/>
        <v>103800</v>
      </c>
      <c r="P600" s="16">
        <f t="shared" si="1347"/>
        <v>106800</v>
      </c>
      <c r="Q600" s="16">
        <f t="shared" ref="Q600" si="1348">SUBTOTAL(9,Q582:Q598)</f>
        <v>109900</v>
      </c>
      <c r="R600" s="16">
        <f t="shared" ref="R600" si="1349">SUBTOTAL(9,R582:R598)</f>
        <v>113000</v>
      </c>
      <c r="S600" s="2342">
        <f t="shared" ref="S600" si="1350">SUBTOTAL(9,S582:S598)</f>
        <v>115200</v>
      </c>
      <c r="U600" s="34"/>
    </row>
    <row r="601" spans="1:21" x14ac:dyDescent="0.2">
      <c r="A601" s="54"/>
      <c r="B601" s="9"/>
      <c r="E601" s="1442"/>
      <c r="F601" s="167"/>
      <c r="G601" s="1173"/>
      <c r="H601" s="9"/>
      <c r="I601" s="85"/>
      <c r="J601" s="9"/>
      <c r="K601" s="9"/>
      <c r="L601" s="9"/>
      <c r="M601" s="9"/>
      <c r="N601" s="9"/>
      <c r="O601" s="9"/>
      <c r="P601" s="9"/>
      <c r="Q601" s="9"/>
      <c r="R601" s="9"/>
      <c r="S601" s="47"/>
    </row>
    <row r="602" spans="1:21" s="39" customFormat="1" x14ac:dyDescent="0.2">
      <c r="A602" s="24">
        <f t="shared" ref="A602:B602" si="1351">A578-A600</f>
        <v>193000</v>
      </c>
      <c r="B602" s="21">
        <f t="shared" si="1351"/>
        <v>177100</v>
      </c>
      <c r="C602" s="139">
        <f>C578-C600</f>
        <v>247900</v>
      </c>
      <c r="D602" s="139">
        <f>D578-D600</f>
        <v>188800</v>
      </c>
      <c r="E602" s="1444">
        <f t="shared" ref="E602" si="1352">E578-E600</f>
        <v>-75400</v>
      </c>
      <c r="F602" s="173"/>
      <c r="G602" s="1160" t="s">
        <v>1002</v>
      </c>
      <c r="H602" s="21">
        <f t="shared" ref="H602:P602" si="1353">H578-H600</f>
        <v>-619900</v>
      </c>
      <c r="I602" s="126">
        <f>IF(E602=H602,0,IF(E602=0,100,(H602-E602)/E602*100))</f>
        <v>722.14854111405828</v>
      </c>
      <c r="J602" s="21">
        <f t="shared" si="1353"/>
        <v>-20600</v>
      </c>
      <c r="K602" s="21">
        <f t="shared" si="1353"/>
        <v>-21300</v>
      </c>
      <c r="L602" s="21">
        <f t="shared" si="1353"/>
        <v>-22000</v>
      </c>
      <c r="M602" s="21">
        <f t="shared" si="1353"/>
        <v>-22900</v>
      </c>
      <c r="N602" s="21">
        <f t="shared" si="1353"/>
        <v>-23600</v>
      </c>
      <c r="O602" s="21">
        <f t="shared" si="1353"/>
        <v>-24500</v>
      </c>
      <c r="P602" s="21">
        <f t="shared" si="1353"/>
        <v>-25400</v>
      </c>
      <c r="Q602" s="21">
        <f t="shared" ref="Q602" si="1354">Q578-Q600</f>
        <v>-26400</v>
      </c>
      <c r="R602" s="21">
        <f t="shared" ref="R602" si="1355">R578-R600</f>
        <v>-27400</v>
      </c>
      <c r="S602" s="86">
        <f t="shared" ref="S602" si="1356">S578-S600</f>
        <v>-27400</v>
      </c>
      <c r="U602" s="34"/>
    </row>
    <row r="603" spans="1:21" x14ac:dyDescent="0.2">
      <c r="A603" s="54">
        <f t="shared" ref="A603:B603" si="1357">-A576</f>
        <v>0</v>
      </c>
      <c r="B603" s="9">
        <f t="shared" si="1357"/>
        <v>0</v>
      </c>
      <c r="C603" s="136">
        <f>-C576</f>
        <v>-223900</v>
      </c>
      <c r="D603" s="136">
        <f>-D576</f>
        <v>-53100</v>
      </c>
      <c r="E603" s="1442">
        <f t="shared" ref="E603" si="1358">-E576</f>
        <v>0</v>
      </c>
      <c r="F603" s="167"/>
      <c r="G603" s="1462" t="s">
        <v>5350</v>
      </c>
      <c r="H603" s="9">
        <f t="shared" ref="H603:P603" si="1359">-H576</f>
        <v>0</v>
      </c>
      <c r="I603" s="85">
        <f>IF(E603=H603,0,IF(E603=0,100,(H603-E603)/E603*100))</f>
        <v>0</v>
      </c>
      <c r="J603" s="9">
        <f t="shared" si="1359"/>
        <v>0</v>
      </c>
      <c r="K603" s="9">
        <f t="shared" si="1359"/>
        <v>0</v>
      </c>
      <c r="L603" s="9">
        <f t="shared" si="1359"/>
        <v>0</v>
      </c>
      <c r="M603" s="9">
        <f t="shared" si="1359"/>
        <v>0</v>
      </c>
      <c r="N603" s="9">
        <f t="shared" si="1359"/>
        <v>0</v>
      </c>
      <c r="O603" s="9">
        <f t="shared" si="1359"/>
        <v>0</v>
      </c>
      <c r="P603" s="9">
        <f t="shared" si="1359"/>
        <v>0</v>
      </c>
      <c r="Q603" s="9">
        <f t="shared" ref="Q603" si="1360">-Q576</f>
        <v>0</v>
      </c>
      <c r="R603" s="9">
        <f t="shared" ref="R603" si="1361">-R576</f>
        <v>0</v>
      </c>
      <c r="S603" s="47">
        <f t="shared" ref="S603" si="1362">-S576</f>
        <v>0</v>
      </c>
    </row>
    <row r="604" spans="1:21" x14ac:dyDescent="0.2">
      <c r="A604" s="54">
        <f t="shared" ref="A604:B604" si="1363">A597</f>
        <v>55000</v>
      </c>
      <c r="B604" s="9">
        <f t="shared" si="1363"/>
        <v>33800</v>
      </c>
      <c r="C604" s="136">
        <f>C597</f>
        <v>43000</v>
      </c>
      <c r="D604" s="136">
        <f>D597</f>
        <v>28000</v>
      </c>
      <c r="E604" s="1442">
        <f t="shared" ref="E604" si="1364">E597</f>
        <v>20100</v>
      </c>
      <c r="F604" s="167"/>
      <c r="G604" s="1462" t="s">
        <v>5352</v>
      </c>
      <c r="H604" s="9">
        <f t="shared" ref="H604:P604" si="1365">H597</f>
        <v>47200</v>
      </c>
      <c r="I604" s="85">
        <f>IF(E604=H604,0,IF(E604=0,100,(H604-E604)/E604*100))</f>
        <v>134.82587064676616</v>
      </c>
      <c r="J604" s="9">
        <f t="shared" si="1365"/>
        <v>19200</v>
      </c>
      <c r="K604" s="9">
        <f t="shared" si="1365"/>
        <v>19900</v>
      </c>
      <c r="L604" s="9">
        <f t="shared" si="1365"/>
        <v>20600</v>
      </c>
      <c r="M604" s="9">
        <f t="shared" si="1365"/>
        <v>21400</v>
      </c>
      <c r="N604" s="9">
        <f t="shared" si="1365"/>
        <v>22100</v>
      </c>
      <c r="O604" s="9">
        <f t="shared" si="1365"/>
        <v>22900</v>
      </c>
      <c r="P604" s="9">
        <f t="shared" si="1365"/>
        <v>23800</v>
      </c>
      <c r="Q604" s="9">
        <f t="shared" ref="Q604" si="1366">Q597</f>
        <v>24700</v>
      </c>
      <c r="R604" s="9">
        <f t="shared" ref="R604" si="1367">R597</f>
        <v>25600</v>
      </c>
      <c r="S604" s="47">
        <f t="shared" ref="S604" si="1368">S597</f>
        <v>25600</v>
      </c>
    </row>
    <row r="605" spans="1:21" x14ac:dyDescent="0.2">
      <c r="A605" s="54">
        <f t="shared" ref="A605:B605" si="1369">A598</f>
        <v>92000</v>
      </c>
      <c r="B605" s="9">
        <f t="shared" si="1369"/>
        <v>96000</v>
      </c>
      <c r="C605" s="136">
        <f>C598</f>
        <v>9400</v>
      </c>
      <c r="D605" s="136">
        <f>D598</f>
        <v>9500</v>
      </c>
      <c r="E605" s="1442">
        <f t="shared" ref="E605" si="1370">E598</f>
        <v>7600</v>
      </c>
      <c r="F605" s="167"/>
      <c r="G605" s="1462" t="s">
        <v>1943</v>
      </c>
      <c r="H605" s="9">
        <f t="shared" ref="H605:P605" si="1371">H598</f>
        <v>10300</v>
      </c>
      <c r="I605" s="85">
        <f>IF(E605=H605,0,IF(E605=0,100,(H605-E605)/E605*100))</f>
        <v>35.526315789473685</v>
      </c>
      <c r="J605" s="9">
        <f t="shared" si="1371"/>
        <v>10600</v>
      </c>
      <c r="K605" s="9">
        <f t="shared" si="1371"/>
        <v>10900</v>
      </c>
      <c r="L605" s="9">
        <f t="shared" si="1371"/>
        <v>11200</v>
      </c>
      <c r="M605" s="9">
        <f t="shared" si="1371"/>
        <v>11500</v>
      </c>
      <c r="N605" s="9">
        <f t="shared" si="1371"/>
        <v>11800</v>
      </c>
      <c r="O605" s="9">
        <f t="shared" si="1371"/>
        <v>12100</v>
      </c>
      <c r="P605" s="9">
        <f t="shared" si="1371"/>
        <v>12400</v>
      </c>
      <c r="Q605" s="9">
        <f t="shared" ref="Q605" si="1372">Q598</f>
        <v>12700</v>
      </c>
      <c r="R605" s="9">
        <f t="shared" ref="R605" si="1373">R598</f>
        <v>13000</v>
      </c>
      <c r="S605" s="47">
        <f t="shared" ref="S605" si="1374">S598</f>
        <v>13300</v>
      </c>
    </row>
    <row r="606" spans="1:21" s="39" customFormat="1" x14ac:dyDescent="0.2">
      <c r="A606" s="128">
        <f t="shared" ref="A606:B606" si="1375">SUM(A602:A605)</f>
        <v>340000</v>
      </c>
      <c r="B606" s="280">
        <f t="shared" si="1375"/>
        <v>306900</v>
      </c>
      <c r="C606" s="281">
        <f>SUM(C602:C605)</f>
        <v>76400</v>
      </c>
      <c r="D606" s="281">
        <f>SUM(D602:D605)</f>
        <v>173200</v>
      </c>
      <c r="E606" s="1515">
        <f t="shared" ref="E606" si="1376">SUM(E602:E605)</f>
        <v>-47700</v>
      </c>
      <c r="F606" s="372"/>
      <c r="G606" s="1166" t="s">
        <v>1659</v>
      </c>
      <c r="H606" s="280">
        <f>SUM(H602:H605)</f>
        <v>-562400</v>
      </c>
      <c r="I606" s="278">
        <f>IF(E606=H606,0,IF(E606=0,100,(H606-E606)/E606*100))</f>
        <v>1079.0356394129979</v>
      </c>
      <c r="J606" s="280">
        <f t="shared" ref="J606:P606" si="1377">SUM(J602:J605)</f>
        <v>9200</v>
      </c>
      <c r="K606" s="280">
        <f t="shared" si="1377"/>
        <v>9500</v>
      </c>
      <c r="L606" s="280">
        <f t="shared" si="1377"/>
        <v>9800</v>
      </c>
      <c r="M606" s="280">
        <f t="shared" si="1377"/>
        <v>10000</v>
      </c>
      <c r="N606" s="280">
        <f t="shared" si="1377"/>
        <v>10300</v>
      </c>
      <c r="O606" s="280">
        <f t="shared" si="1377"/>
        <v>10500</v>
      </c>
      <c r="P606" s="280">
        <f t="shared" si="1377"/>
        <v>10800</v>
      </c>
      <c r="Q606" s="280">
        <f t="shared" ref="Q606" si="1378">SUM(Q602:Q605)</f>
        <v>11000</v>
      </c>
      <c r="R606" s="280">
        <f t="shared" ref="R606" si="1379">SUM(R602:R605)</f>
        <v>11200</v>
      </c>
      <c r="S606" s="2343">
        <f t="shared" ref="S606" si="1380">SUM(S602:S605)</f>
        <v>11500</v>
      </c>
      <c r="U606" s="34"/>
    </row>
    <row r="607" spans="1:21" ht="13.5" thickBot="1" x14ac:dyDescent="0.25">
      <c r="A607" s="544"/>
      <c r="B607" s="21"/>
      <c r="C607" s="138"/>
      <c r="D607" s="138"/>
      <c r="E607" s="1444"/>
      <c r="F607" s="167"/>
      <c r="G607" s="122"/>
      <c r="H607" s="9"/>
      <c r="I607" s="126"/>
      <c r="J607" s="9"/>
      <c r="K607" s="9"/>
      <c r="L607" s="9"/>
      <c r="M607" s="9"/>
      <c r="N607" s="9"/>
      <c r="O607" s="9"/>
      <c r="P607" s="9"/>
      <c r="Q607" s="9"/>
      <c r="R607" s="9"/>
      <c r="S607" s="47"/>
    </row>
    <row r="608" spans="1:21" ht="13.5" thickTop="1" x14ac:dyDescent="0.2">
      <c r="A608" s="270"/>
      <c r="B608" s="109"/>
      <c r="C608" s="140"/>
      <c r="D608" s="140"/>
      <c r="E608" s="1516"/>
      <c r="F608" s="254"/>
      <c r="G608" s="455"/>
      <c r="H608" s="74"/>
      <c r="I608" s="352"/>
      <c r="J608" s="74"/>
      <c r="K608" s="74"/>
      <c r="L608" s="74"/>
      <c r="M608" s="74"/>
      <c r="N608" s="74"/>
      <c r="O608" s="74"/>
      <c r="P608" s="74"/>
      <c r="Q608" s="74"/>
      <c r="R608" s="74"/>
      <c r="S608" s="2345"/>
    </row>
    <row r="609" spans="1:21" x14ac:dyDescent="0.2">
      <c r="A609" s="24"/>
      <c r="B609" s="21"/>
      <c r="C609" s="139"/>
      <c r="D609" s="139"/>
      <c r="E609" s="1444"/>
      <c r="F609" s="167"/>
      <c r="G609" s="1160" t="s">
        <v>192</v>
      </c>
      <c r="H609" s="9"/>
      <c r="I609" s="126"/>
      <c r="J609" s="9"/>
      <c r="K609" s="9"/>
      <c r="L609" s="9"/>
      <c r="M609" s="9"/>
      <c r="N609" s="9"/>
      <c r="O609" s="9"/>
      <c r="P609" s="9"/>
      <c r="Q609" s="9"/>
      <c r="R609" s="9"/>
      <c r="S609" s="47"/>
    </row>
    <row r="610" spans="1:21" x14ac:dyDescent="0.2">
      <c r="A610" s="24"/>
      <c r="B610" s="21"/>
      <c r="C610" s="139"/>
      <c r="D610" s="139"/>
      <c r="E610" s="1444"/>
      <c r="F610" s="167"/>
      <c r="G610" s="122"/>
      <c r="H610" s="9"/>
      <c r="I610" s="126"/>
      <c r="J610" s="9"/>
      <c r="K610" s="9"/>
      <c r="L610" s="9"/>
      <c r="M610" s="9"/>
      <c r="N610" s="9"/>
      <c r="O610" s="9"/>
      <c r="P610" s="9"/>
      <c r="Q610" s="9"/>
      <c r="R610" s="9"/>
      <c r="S610" s="47"/>
    </row>
    <row r="611" spans="1:21" x14ac:dyDescent="0.2">
      <c r="A611" s="54">
        <f>ROUND(A1775,-3)</f>
        <v>0</v>
      </c>
      <c r="B611" s="9">
        <f t="shared" ref="B611:C615" si="1381">B1775</f>
        <v>0</v>
      </c>
      <c r="C611" s="136">
        <f t="shared" si="1381"/>
        <v>0</v>
      </c>
      <c r="D611" s="136">
        <f>D1775</f>
        <v>0</v>
      </c>
      <c r="E611" s="1442">
        <f t="shared" ref="E611" si="1382">E1775</f>
        <v>0</v>
      </c>
      <c r="F611" s="167"/>
      <c r="G611" s="1173" t="s">
        <v>2848</v>
      </c>
      <c r="H611" s="9">
        <f t="shared" ref="H611:O611" si="1383">H1775</f>
        <v>0</v>
      </c>
      <c r="I611" s="85">
        <f>IF(E611=H611,0,IF(E611=0,100,(H611-E611)/E611*100))</f>
        <v>0</v>
      </c>
      <c r="J611" s="9">
        <f t="shared" si="1383"/>
        <v>0</v>
      </c>
      <c r="K611" s="9">
        <f t="shared" si="1383"/>
        <v>0</v>
      </c>
      <c r="L611" s="9">
        <f t="shared" si="1383"/>
        <v>0</v>
      </c>
      <c r="M611" s="9">
        <f t="shared" si="1383"/>
        <v>0</v>
      </c>
      <c r="N611" s="9">
        <f t="shared" si="1383"/>
        <v>0</v>
      </c>
      <c r="O611" s="9">
        <f t="shared" si="1383"/>
        <v>0</v>
      </c>
      <c r="P611" s="9">
        <f t="shared" ref="P611:Q611" si="1384">P1775</f>
        <v>0</v>
      </c>
      <c r="Q611" s="9">
        <f t="shared" si="1384"/>
        <v>0</v>
      </c>
      <c r="R611" s="9">
        <f t="shared" ref="R611" si="1385">R1775</f>
        <v>0</v>
      </c>
      <c r="S611" s="47">
        <f t="shared" ref="S611" si="1386">S1775</f>
        <v>0</v>
      </c>
    </row>
    <row r="612" spans="1:21" x14ac:dyDescent="0.2">
      <c r="A612" s="54">
        <f>ROUND(A1776,-3)</f>
        <v>378000</v>
      </c>
      <c r="B612" s="9">
        <f t="shared" si="1381"/>
        <v>306900</v>
      </c>
      <c r="C612" s="136">
        <f t="shared" si="1381"/>
        <v>76400</v>
      </c>
      <c r="D612" s="136">
        <f>D1776</f>
        <v>265900</v>
      </c>
      <c r="E612" s="1442">
        <f t="shared" ref="E612" si="1387">E1776</f>
        <v>0</v>
      </c>
      <c r="F612" s="167"/>
      <c r="G612" s="1173" t="s">
        <v>1909</v>
      </c>
      <c r="H612" s="9">
        <f t="shared" ref="H612:O612" si="1388">H1776</f>
        <v>8100</v>
      </c>
      <c r="I612" s="85">
        <f>IF(E612=H612,0,IF(E612=0,100,(H612-E612)/E612*100))</f>
        <v>100</v>
      </c>
      <c r="J612" s="9">
        <f t="shared" si="1388"/>
        <v>9200</v>
      </c>
      <c r="K612" s="9">
        <f t="shared" si="1388"/>
        <v>9500</v>
      </c>
      <c r="L612" s="9">
        <f t="shared" si="1388"/>
        <v>9800</v>
      </c>
      <c r="M612" s="9">
        <f t="shared" si="1388"/>
        <v>10000</v>
      </c>
      <c r="N612" s="9">
        <f t="shared" si="1388"/>
        <v>10300</v>
      </c>
      <c r="O612" s="9">
        <f t="shared" si="1388"/>
        <v>10500</v>
      </c>
      <c r="P612" s="9">
        <f t="shared" ref="P612:Q612" si="1389">P1776</f>
        <v>10800</v>
      </c>
      <c r="Q612" s="9">
        <f t="shared" si="1389"/>
        <v>11000</v>
      </c>
      <c r="R612" s="9">
        <f t="shared" ref="R612" si="1390">R1776</f>
        <v>11200</v>
      </c>
      <c r="S612" s="47">
        <f t="shared" ref="S612" si="1391">S1776</f>
        <v>11500</v>
      </c>
    </row>
    <row r="613" spans="1:21" x14ac:dyDescent="0.2">
      <c r="A613" s="54">
        <f>ROUND(A1777,-3)</f>
        <v>139000</v>
      </c>
      <c r="B613" s="9">
        <f t="shared" si="1381"/>
        <v>210000</v>
      </c>
      <c r="C613" s="136">
        <f t="shared" si="1381"/>
        <v>250000</v>
      </c>
      <c r="D613" s="136">
        <f>D1777</f>
        <v>192700</v>
      </c>
      <c r="E613" s="1442">
        <f t="shared" ref="E613" si="1392">E1777</f>
        <v>247700</v>
      </c>
      <c r="F613" s="167"/>
      <c r="G613" s="1173" t="s">
        <v>2309</v>
      </c>
      <c r="H613" s="9">
        <f t="shared" ref="H613:O613" si="1393">H1777</f>
        <v>570500</v>
      </c>
      <c r="I613" s="85">
        <f>IF(E613=H613,0,IF(E613=0,100,(H613-E613)/E613*100))</f>
        <v>130.31893419459021</v>
      </c>
      <c r="J613" s="9">
        <f t="shared" si="1393"/>
        <v>0</v>
      </c>
      <c r="K613" s="9">
        <f t="shared" si="1393"/>
        <v>0</v>
      </c>
      <c r="L613" s="9">
        <f t="shared" si="1393"/>
        <v>0</v>
      </c>
      <c r="M613" s="9">
        <f t="shared" si="1393"/>
        <v>0</v>
      </c>
      <c r="N613" s="9">
        <f t="shared" si="1393"/>
        <v>0</v>
      </c>
      <c r="O613" s="9">
        <f t="shared" si="1393"/>
        <v>0</v>
      </c>
      <c r="P613" s="9">
        <f t="shared" ref="P613:Q613" si="1394">P1777</f>
        <v>0</v>
      </c>
      <c r="Q613" s="9">
        <f t="shared" si="1394"/>
        <v>0</v>
      </c>
      <c r="R613" s="9">
        <f t="shared" ref="R613" si="1395">R1777</f>
        <v>0</v>
      </c>
      <c r="S613" s="47">
        <f t="shared" ref="S613" si="1396">S1777</f>
        <v>0</v>
      </c>
    </row>
    <row r="614" spans="1:21" x14ac:dyDescent="0.2">
      <c r="A614" s="54">
        <f>ROUND(A1778,-3)</f>
        <v>0</v>
      </c>
      <c r="B614" s="9">
        <f t="shared" si="1381"/>
        <v>0</v>
      </c>
      <c r="C614" s="136">
        <f t="shared" si="1381"/>
        <v>0</v>
      </c>
      <c r="D614" s="136">
        <f>D1778</f>
        <v>0</v>
      </c>
      <c r="E614" s="1442">
        <f t="shared" ref="E614" si="1397">E1778</f>
        <v>0</v>
      </c>
      <c r="F614" s="167"/>
      <c r="G614" s="1173" t="s">
        <v>5847</v>
      </c>
      <c r="H614" s="9">
        <f t="shared" ref="H614:O614" si="1398">H1778</f>
        <v>0</v>
      </c>
      <c r="I614" s="85">
        <f>IF(E614=H614,0,IF(E614=0,100,(H614-E614)/E614*100))</f>
        <v>0</v>
      </c>
      <c r="J614" s="9">
        <f t="shared" si="1398"/>
        <v>0</v>
      </c>
      <c r="K614" s="9">
        <f t="shared" si="1398"/>
        <v>0</v>
      </c>
      <c r="L614" s="9">
        <f t="shared" si="1398"/>
        <v>0</v>
      </c>
      <c r="M614" s="9">
        <f t="shared" si="1398"/>
        <v>0</v>
      </c>
      <c r="N614" s="9">
        <f t="shared" si="1398"/>
        <v>0</v>
      </c>
      <c r="O614" s="9">
        <f t="shared" si="1398"/>
        <v>0</v>
      </c>
      <c r="P614" s="9">
        <f t="shared" ref="P614:Q614" si="1399">P1778</f>
        <v>0</v>
      </c>
      <c r="Q614" s="9">
        <f t="shared" si="1399"/>
        <v>0</v>
      </c>
      <c r="R614" s="9">
        <f t="shared" ref="R614" si="1400">R1778</f>
        <v>0</v>
      </c>
      <c r="S614" s="47">
        <f t="shared" ref="S614" si="1401">S1778</f>
        <v>0</v>
      </c>
    </row>
    <row r="615" spans="1:21" x14ac:dyDescent="0.2">
      <c r="A615" s="54">
        <f>ROUND(A1779,-3)</f>
        <v>0</v>
      </c>
      <c r="B615" s="9">
        <f t="shared" si="1381"/>
        <v>0</v>
      </c>
      <c r="C615" s="136">
        <f t="shared" si="1381"/>
        <v>0</v>
      </c>
      <c r="D615" s="136">
        <f>D1779</f>
        <v>0</v>
      </c>
      <c r="E615" s="1442">
        <f t="shared" ref="E615" si="1402">E1779</f>
        <v>4200</v>
      </c>
      <c r="F615" s="167"/>
      <c r="G615" s="257" t="s">
        <v>958</v>
      </c>
      <c r="H615" s="9">
        <f t="shared" ref="H615:O615" si="1403">H1779</f>
        <v>0</v>
      </c>
      <c r="I615" s="85">
        <f>IF(E615=H615,0,IF(E615=0,100,(H615-E615)/E615*100))</f>
        <v>-100</v>
      </c>
      <c r="J615" s="9">
        <f t="shared" si="1403"/>
        <v>0</v>
      </c>
      <c r="K615" s="9">
        <f t="shared" si="1403"/>
        <v>0</v>
      </c>
      <c r="L615" s="9">
        <f t="shared" si="1403"/>
        <v>0</v>
      </c>
      <c r="M615" s="9">
        <f t="shared" si="1403"/>
        <v>0</v>
      </c>
      <c r="N615" s="9">
        <f t="shared" si="1403"/>
        <v>0</v>
      </c>
      <c r="O615" s="9">
        <f t="shared" si="1403"/>
        <v>0</v>
      </c>
      <c r="P615" s="9">
        <f t="shared" ref="P615:Q615" si="1404">P1779</f>
        <v>0</v>
      </c>
      <c r="Q615" s="9">
        <f t="shared" si="1404"/>
        <v>0</v>
      </c>
      <c r="R615" s="9">
        <f t="shared" ref="R615" si="1405">R1779</f>
        <v>0</v>
      </c>
      <c r="S615" s="47">
        <f t="shared" ref="S615" si="1406">S1779</f>
        <v>0</v>
      </c>
    </row>
    <row r="616" spans="1:21" x14ac:dyDescent="0.2">
      <c r="A616" s="54"/>
      <c r="B616" s="9"/>
      <c r="E616" s="144"/>
      <c r="F616" s="167"/>
      <c r="G616" s="361"/>
      <c r="H616" s="9"/>
      <c r="I616" s="85"/>
      <c r="J616" s="9"/>
      <c r="K616" s="9"/>
      <c r="L616" s="9"/>
      <c r="M616" s="9"/>
      <c r="N616" s="9"/>
      <c r="O616" s="9"/>
      <c r="P616" s="9"/>
      <c r="Q616" s="9"/>
      <c r="R616" s="9"/>
      <c r="S616" s="47"/>
    </row>
    <row r="617" spans="1:21" s="39" customFormat="1" x14ac:dyDescent="0.2">
      <c r="A617" s="128">
        <f>A606-A611-A612+A613++A614-A615</f>
        <v>101000</v>
      </c>
      <c r="B617" s="280">
        <f>B606-B611-B612+B613++B614-B615</f>
        <v>210000</v>
      </c>
      <c r="C617" s="281">
        <f>C606-C611-C612+C613++C614-C615</f>
        <v>250000</v>
      </c>
      <c r="D617" s="281">
        <f>D606-D611-D612+D613++D614-D615</f>
        <v>100000</v>
      </c>
      <c r="E617" s="1513">
        <f t="shared" ref="E617" si="1407">E606-E611-E612+E613++E614-E615</f>
        <v>195800</v>
      </c>
      <c r="F617" s="372"/>
      <c r="G617" s="363" t="s">
        <v>2447</v>
      </c>
      <c r="H617" s="280">
        <f t="shared" ref="H617:O617" si="1408">H606-H611-H612+H613++H614-H615</f>
        <v>0</v>
      </c>
      <c r="I617" s="278">
        <f>IF(E617=H617,0,IF(E617=0,100,(H617-E617)/E617*100))</f>
        <v>-100</v>
      </c>
      <c r="J617" s="280">
        <f t="shared" si="1408"/>
        <v>0</v>
      </c>
      <c r="K617" s="280">
        <f t="shared" si="1408"/>
        <v>0</v>
      </c>
      <c r="L617" s="280">
        <f t="shared" si="1408"/>
        <v>0</v>
      </c>
      <c r="M617" s="280">
        <f t="shared" si="1408"/>
        <v>0</v>
      </c>
      <c r="N617" s="280">
        <f t="shared" si="1408"/>
        <v>0</v>
      </c>
      <c r="O617" s="280">
        <f t="shared" si="1408"/>
        <v>0</v>
      </c>
      <c r="P617" s="280">
        <f t="shared" ref="P617:Q617" si="1409">P606-P611-P612+P613++P614-P615</f>
        <v>0</v>
      </c>
      <c r="Q617" s="280">
        <f t="shared" si="1409"/>
        <v>0</v>
      </c>
      <c r="R617" s="280">
        <f t="shared" ref="R617" si="1410">R606-R611-R612+R613++R614-R615</f>
        <v>0</v>
      </c>
      <c r="S617" s="2343">
        <f t="shared" ref="S617" si="1411">S606-S611-S612+S613++S614-S615</f>
        <v>0</v>
      </c>
      <c r="U617" s="34"/>
    </row>
    <row r="618" spans="1:21" ht="13.5" thickBot="1" x14ac:dyDescent="0.25">
      <c r="A618" s="26"/>
      <c r="B618" s="37"/>
      <c r="C618" s="141"/>
      <c r="D618" s="141"/>
      <c r="E618" s="1437"/>
      <c r="F618" s="166"/>
      <c r="G618" s="259"/>
      <c r="H618" s="23"/>
      <c r="I618" s="275"/>
      <c r="J618" s="23"/>
      <c r="K618" s="23"/>
      <c r="L618" s="23"/>
      <c r="M618" s="23"/>
      <c r="N618" s="23"/>
      <c r="O618" s="23"/>
      <c r="P618" s="23"/>
      <c r="Q618" s="23"/>
      <c r="R618" s="23"/>
      <c r="S618" s="112"/>
    </row>
    <row r="619" spans="1:21" s="46" customFormat="1" ht="14.25" thickTop="1" thickBot="1" x14ac:dyDescent="0.25">
      <c r="A619" s="27"/>
      <c r="B619" s="27"/>
      <c r="C619" s="169"/>
      <c r="D619" s="169"/>
      <c r="E619" s="169"/>
      <c r="F619" s="169"/>
      <c r="G619" s="169"/>
      <c r="H619" s="169"/>
      <c r="I619" s="169"/>
      <c r="J619" s="169"/>
      <c r="K619" s="169"/>
      <c r="L619" s="169"/>
      <c r="M619" s="169"/>
      <c r="N619" s="169"/>
      <c r="O619" s="169"/>
      <c r="P619" s="169"/>
      <c r="Q619" s="169"/>
      <c r="R619" s="169"/>
      <c r="S619" s="169"/>
      <c r="U619" s="34"/>
    </row>
    <row r="620" spans="1:21" s="38" customFormat="1" ht="18.75" customHeight="1" thickTop="1" thickBot="1" x14ac:dyDescent="0.3">
      <c r="A620" s="2588" t="s">
        <v>3066</v>
      </c>
      <c r="B620" s="2589"/>
      <c r="C620" s="2589"/>
      <c r="D620" s="2589"/>
      <c r="E620" s="2589"/>
      <c r="F620" s="2589"/>
      <c r="G620" s="2589"/>
      <c r="H620" s="2589"/>
      <c r="I620" s="2589"/>
      <c r="J620" s="2589"/>
      <c r="K620" s="2589"/>
      <c r="L620" s="2589"/>
      <c r="M620" s="2589"/>
      <c r="N620" s="2589"/>
      <c r="O620" s="2589"/>
      <c r="P620" s="2589"/>
      <c r="Q620" s="2589"/>
      <c r="R620" s="2589"/>
      <c r="S620" s="2590"/>
      <c r="U620" s="34"/>
    </row>
    <row r="621" spans="1:21" s="39" customFormat="1" ht="13.5" thickBot="1" x14ac:dyDescent="0.25">
      <c r="A621" s="2591" t="s">
        <v>1824</v>
      </c>
      <c r="B621" s="2577"/>
      <c r="C621" s="2577"/>
      <c r="D621" s="2577"/>
      <c r="E621" s="2592"/>
      <c r="F621" s="127" t="s">
        <v>2616</v>
      </c>
      <c r="G621" s="127" t="s">
        <v>2213</v>
      </c>
      <c r="H621" s="2568" t="s">
        <v>2215</v>
      </c>
      <c r="I621" s="2568"/>
      <c r="J621" s="2568"/>
      <c r="K621" s="2568"/>
      <c r="L621" s="2568"/>
      <c r="M621" s="2568"/>
      <c r="N621" s="2568"/>
      <c r="O621" s="2568"/>
      <c r="P621" s="2568"/>
      <c r="Q621" s="2568"/>
      <c r="R621" s="2568"/>
      <c r="S621" s="2607"/>
      <c r="U621" s="34"/>
    </row>
    <row r="622" spans="1:21" ht="12.75" customHeight="1" thickBot="1" x14ac:dyDescent="0.25">
      <c r="A622" s="541" t="str">
        <f>A3</f>
        <v>2012/13</v>
      </c>
      <c r="B622" s="28" t="str">
        <f>B3</f>
        <v>2013/14</v>
      </c>
      <c r="C622" s="40" t="str">
        <f>C3</f>
        <v>2014/15</v>
      </c>
      <c r="D622" s="40" t="str">
        <f>D3</f>
        <v>2015/16</v>
      </c>
      <c r="E622" s="1445" t="str">
        <f>E3</f>
        <v>2016/17</v>
      </c>
      <c r="F622" s="40" t="s">
        <v>2617</v>
      </c>
      <c r="G622" s="2072"/>
      <c r="H622" s="40" t="str">
        <f>H3</f>
        <v>2017/18</v>
      </c>
      <c r="I622" s="1258" t="str">
        <f>I567</f>
        <v xml:space="preserve">% </v>
      </c>
      <c r="J622" s="40" t="str">
        <f t="shared" ref="J622:S622" si="1412">J3</f>
        <v>2018/19</v>
      </c>
      <c r="K622" s="40" t="str">
        <f t="shared" si="1412"/>
        <v>2019/20</v>
      </c>
      <c r="L622" s="40" t="str">
        <f t="shared" si="1412"/>
        <v>2020/21</v>
      </c>
      <c r="M622" s="40" t="str">
        <f t="shared" si="1412"/>
        <v>2021/22</v>
      </c>
      <c r="N622" s="1445" t="str">
        <f t="shared" si="1412"/>
        <v>2022/23</v>
      </c>
      <c r="O622" s="40" t="str">
        <f t="shared" si="1412"/>
        <v>2023/24</v>
      </c>
      <c r="P622" s="1257" t="str">
        <f t="shared" si="1412"/>
        <v>2024/25</v>
      </c>
      <c r="Q622" s="28" t="str">
        <f t="shared" si="1412"/>
        <v>2025/26</v>
      </c>
      <c r="R622" s="28" t="str">
        <f t="shared" si="1412"/>
        <v>2026/27</v>
      </c>
      <c r="S622" s="1620" t="str">
        <f t="shared" si="1412"/>
        <v>2027/28</v>
      </c>
    </row>
    <row r="623" spans="1:21" x14ac:dyDescent="0.2">
      <c r="A623" s="45"/>
      <c r="B623" s="9"/>
      <c r="C623" s="134"/>
      <c r="D623" s="134"/>
      <c r="E623" s="1442"/>
      <c r="F623" s="1152"/>
      <c r="G623" s="253"/>
      <c r="H623" s="9"/>
      <c r="I623" s="85"/>
      <c r="J623" s="9"/>
      <c r="K623" s="9"/>
      <c r="L623" s="9"/>
      <c r="M623" s="9"/>
      <c r="N623" s="29"/>
      <c r="O623" s="9"/>
      <c r="P623" s="89"/>
      <c r="Q623" s="9"/>
      <c r="R623" s="9"/>
      <c r="S623" s="61"/>
    </row>
    <row r="624" spans="1:21" x14ac:dyDescent="0.2">
      <c r="A624" s="45"/>
      <c r="B624" s="9"/>
      <c r="C624" s="134"/>
      <c r="D624" s="134"/>
      <c r="E624" s="1442"/>
      <c r="F624" s="1152"/>
      <c r="G624" s="50" t="s">
        <v>1056</v>
      </c>
      <c r="H624" s="9"/>
      <c r="I624" s="85"/>
      <c r="J624" s="9"/>
      <c r="K624" s="9"/>
      <c r="L624" s="9"/>
      <c r="M624" s="9"/>
      <c r="N624" s="29"/>
      <c r="O624" s="9"/>
      <c r="P624" s="89"/>
      <c r="Q624" s="9"/>
      <c r="R624" s="9"/>
      <c r="S624" s="61"/>
    </row>
    <row r="625" spans="1:19" x14ac:dyDescent="0.2">
      <c r="A625" s="45"/>
      <c r="B625" s="9"/>
      <c r="C625" s="134"/>
      <c r="E625" s="1442"/>
      <c r="F625" s="1152"/>
      <c r="G625" s="32" t="s">
        <v>2829</v>
      </c>
      <c r="H625" s="9"/>
      <c r="I625" s="85"/>
      <c r="J625" s="9"/>
      <c r="K625" s="9"/>
      <c r="L625" s="9"/>
      <c r="M625" s="9"/>
      <c r="N625" s="29"/>
      <c r="O625" s="9"/>
      <c r="P625" s="89"/>
      <c r="Q625" s="9"/>
      <c r="R625" s="9"/>
      <c r="S625" s="61"/>
    </row>
    <row r="626" spans="1:19" x14ac:dyDescent="0.2">
      <c r="A626" s="54">
        <f>ROUND(SUM(A1789:A1791),-3)</f>
        <v>443000</v>
      </c>
      <c r="B626" s="9">
        <f>SUM(B1789:B1791)</f>
        <v>464300</v>
      </c>
      <c r="C626" s="136">
        <f>SUM(C1789:C1791)</f>
        <v>501900</v>
      </c>
      <c r="D626" s="136">
        <f>SUM(D1789:D1791)</f>
        <v>515600</v>
      </c>
      <c r="E626" s="1442">
        <f t="shared" ref="E626" si="1413">SUM(E1789:E1791)</f>
        <v>539100</v>
      </c>
      <c r="F626" s="1152">
        <v>22280</v>
      </c>
      <c r="G626" s="1150" t="s">
        <v>3676</v>
      </c>
      <c r="H626" s="9">
        <f t="shared" ref="H626:O626" si="1414">SUM(H1789:H1791)</f>
        <v>558000</v>
      </c>
      <c r="I626" s="85">
        <f t="shared" ref="I626:I634" si="1415">IF(E626=H626,0,IF(E626=0,100,(H626-E626)/E626*100))</f>
        <v>3.5058430717863103</v>
      </c>
      <c r="J626" s="9">
        <f t="shared" si="1414"/>
        <v>571000</v>
      </c>
      <c r="K626" s="9">
        <f t="shared" si="1414"/>
        <v>584000</v>
      </c>
      <c r="L626" s="9">
        <f t="shared" si="1414"/>
        <v>597000</v>
      </c>
      <c r="M626" s="9">
        <f t="shared" si="1414"/>
        <v>610000</v>
      </c>
      <c r="N626" s="29">
        <f t="shared" si="1414"/>
        <v>624000</v>
      </c>
      <c r="O626" s="9">
        <f t="shared" si="1414"/>
        <v>638000</v>
      </c>
      <c r="P626" s="89">
        <f t="shared" ref="P626:Q626" si="1416">SUM(P1789:P1791)</f>
        <v>652000</v>
      </c>
      <c r="Q626" s="9">
        <f t="shared" si="1416"/>
        <v>667000</v>
      </c>
      <c r="R626" s="9">
        <f t="shared" ref="R626" si="1417">SUM(R1789:R1791)</f>
        <v>682000</v>
      </c>
      <c r="S626" s="47">
        <f t="shared" ref="S626" si="1418">SUM(S1789:S1791)</f>
        <v>698000</v>
      </c>
    </row>
    <row r="627" spans="1:19" x14ac:dyDescent="0.2">
      <c r="A627" s="54">
        <f>ROUND(SUM(A1792:A1792),-3)</f>
        <v>0</v>
      </c>
      <c r="B627" s="9">
        <f>SUM(B1792)</f>
        <v>0</v>
      </c>
      <c r="C627" s="136">
        <f>SUM(C1792)</f>
        <v>1199900</v>
      </c>
      <c r="D627" s="136">
        <f>SUM(D1792)</f>
        <v>1267600</v>
      </c>
      <c r="E627" s="1442">
        <f t="shared" ref="E627" si="1419">SUM(E1792)</f>
        <v>1276800</v>
      </c>
      <c r="F627" s="1152"/>
      <c r="G627" s="1150" t="s">
        <v>3765</v>
      </c>
      <c r="H627" s="9">
        <f t="shared" ref="H627:O627" si="1420">SUM(H1792)</f>
        <v>0</v>
      </c>
      <c r="I627" s="85">
        <f t="shared" si="1415"/>
        <v>-100</v>
      </c>
      <c r="J627" s="9">
        <f t="shared" si="1420"/>
        <v>0</v>
      </c>
      <c r="K627" s="9">
        <f t="shared" si="1420"/>
        <v>0</v>
      </c>
      <c r="L627" s="9">
        <f t="shared" si="1420"/>
        <v>0</v>
      </c>
      <c r="M627" s="9">
        <f t="shared" si="1420"/>
        <v>0</v>
      </c>
      <c r="N627" s="29">
        <f t="shared" si="1420"/>
        <v>0</v>
      </c>
      <c r="O627" s="9">
        <f t="shared" si="1420"/>
        <v>0</v>
      </c>
      <c r="P627" s="89">
        <f t="shared" ref="P627:Q627" si="1421">SUM(P1792)</f>
        <v>0</v>
      </c>
      <c r="Q627" s="9">
        <f t="shared" si="1421"/>
        <v>0</v>
      </c>
      <c r="R627" s="9">
        <f t="shared" ref="R627" si="1422">SUM(R1792)</f>
        <v>0</v>
      </c>
      <c r="S627" s="47">
        <f t="shared" ref="S627" si="1423">SUM(S1792)</f>
        <v>0</v>
      </c>
    </row>
    <row r="628" spans="1:19" x14ac:dyDescent="0.2">
      <c r="A628" s="54">
        <f>ROUND(SUM(A1793:A1794),-3)</f>
        <v>2000</v>
      </c>
      <c r="B628" s="9">
        <f>SUM(B1793:B1794)</f>
        <v>4600</v>
      </c>
      <c r="C628" s="136">
        <f>SUM(C1793:C1794)</f>
        <v>10000</v>
      </c>
      <c r="D628" s="136">
        <f>SUM(D1793:D1794)</f>
        <v>15100</v>
      </c>
      <c r="E628" s="134">
        <f t="shared" ref="E628" si="1424">SUM(E1793:E1794)</f>
        <v>9600</v>
      </c>
      <c r="F628" s="1152">
        <v>22281</v>
      </c>
      <c r="G628" s="1154" t="s">
        <v>3679</v>
      </c>
      <c r="H628" s="9">
        <f t="shared" ref="H628:O628" si="1425">SUM(H1793:H1794)</f>
        <v>0</v>
      </c>
      <c r="I628" s="85">
        <f t="shared" si="1415"/>
        <v>-100</v>
      </c>
      <c r="J628" s="9">
        <f t="shared" si="1425"/>
        <v>0</v>
      </c>
      <c r="K628" s="9">
        <f t="shared" si="1425"/>
        <v>0</v>
      </c>
      <c r="L628" s="9">
        <f t="shared" si="1425"/>
        <v>0</v>
      </c>
      <c r="M628" s="9">
        <f t="shared" si="1425"/>
        <v>0</v>
      </c>
      <c r="N628" s="29">
        <f t="shared" si="1425"/>
        <v>0</v>
      </c>
      <c r="O628" s="9">
        <f t="shared" si="1425"/>
        <v>0</v>
      </c>
      <c r="P628" s="89">
        <f t="shared" ref="P628:Q628" si="1426">SUM(P1793:P1794)</f>
        <v>0</v>
      </c>
      <c r="Q628" s="9">
        <f t="shared" si="1426"/>
        <v>0</v>
      </c>
      <c r="R628" s="9">
        <f t="shared" ref="R628" si="1427">SUM(R1793:R1794)</f>
        <v>0</v>
      </c>
      <c r="S628" s="47">
        <f t="shared" ref="S628" si="1428">SUM(S1793:S1794)</f>
        <v>0</v>
      </c>
    </row>
    <row r="629" spans="1:19" x14ac:dyDescent="0.2">
      <c r="A629" s="54">
        <f>ROUND(SUM(A1795),-3)</f>
        <v>1250000</v>
      </c>
      <c r="B629" s="9">
        <f t="shared" ref="B629:E630" si="1429">SUM(B1795)</f>
        <v>1281800</v>
      </c>
      <c r="C629" s="136">
        <f t="shared" si="1429"/>
        <v>1262500</v>
      </c>
      <c r="D629" s="136">
        <f t="shared" si="1429"/>
        <v>774300</v>
      </c>
      <c r="E629" s="134">
        <f t="shared" ref="E629" si="1430">SUM(E1795)</f>
        <v>572300</v>
      </c>
      <c r="F629" s="1152">
        <v>22283</v>
      </c>
      <c r="G629" s="1154" t="s">
        <v>3694</v>
      </c>
      <c r="H629" s="9">
        <f t="shared" ref="H629:O629" si="1431">SUM(H1795)</f>
        <v>611000</v>
      </c>
      <c r="I629" s="85">
        <f t="shared" si="1415"/>
        <v>6.7621876638126857</v>
      </c>
      <c r="J629" s="9">
        <f t="shared" si="1431"/>
        <v>625000</v>
      </c>
      <c r="K629" s="9">
        <f t="shared" si="1431"/>
        <v>639000</v>
      </c>
      <c r="L629" s="9">
        <f t="shared" si="1431"/>
        <v>654000</v>
      </c>
      <c r="M629" s="9">
        <f t="shared" si="1431"/>
        <v>669000</v>
      </c>
      <c r="N629" s="9">
        <f t="shared" si="1431"/>
        <v>684000</v>
      </c>
      <c r="O629" s="9">
        <f t="shared" si="1431"/>
        <v>700000</v>
      </c>
      <c r="P629" s="89">
        <f t="shared" ref="P629:Q629" si="1432">SUM(P1795)</f>
        <v>716000</v>
      </c>
      <c r="Q629" s="9">
        <f t="shared" si="1432"/>
        <v>732000</v>
      </c>
      <c r="R629" s="9">
        <f t="shared" ref="R629" si="1433">SUM(R1795)</f>
        <v>749000</v>
      </c>
      <c r="S629" s="47">
        <f t="shared" ref="S629" si="1434">SUM(S1795)</f>
        <v>766000</v>
      </c>
    </row>
    <row r="630" spans="1:19" x14ac:dyDescent="0.2">
      <c r="A630" s="54">
        <f>ROUND(SUM(A1796),-3)</f>
        <v>329000</v>
      </c>
      <c r="B630" s="9">
        <f t="shared" si="1429"/>
        <v>633600</v>
      </c>
      <c r="C630" s="136">
        <f t="shared" si="1429"/>
        <v>683600</v>
      </c>
      <c r="D630" s="136">
        <f t="shared" si="1429"/>
        <v>714900</v>
      </c>
      <c r="E630" s="134">
        <f t="shared" si="1429"/>
        <v>636800</v>
      </c>
      <c r="F630" s="1152">
        <v>22283</v>
      </c>
      <c r="G630" s="1154" t="s">
        <v>3693</v>
      </c>
      <c r="H630" s="9">
        <f t="shared" ref="H630:O630" si="1435">SUM(H1796)</f>
        <v>692000</v>
      </c>
      <c r="I630" s="85">
        <f t="shared" si="1415"/>
        <v>8.6683417085427141</v>
      </c>
      <c r="J630" s="9">
        <f t="shared" si="1435"/>
        <v>708000</v>
      </c>
      <c r="K630" s="9">
        <f t="shared" si="1435"/>
        <v>724000</v>
      </c>
      <c r="L630" s="9">
        <f t="shared" si="1435"/>
        <v>741000</v>
      </c>
      <c r="M630" s="9">
        <f t="shared" si="1435"/>
        <v>758000</v>
      </c>
      <c r="N630" s="9">
        <f t="shared" si="1435"/>
        <v>775000</v>
      </c>
      <c r="O630" s="9">
        <f t="shared" si="1435"/>
        <v>793000</v>
      </c>
      <c r="P630" s="89">
        <f t="shared" ref="P630:Q630" si="1436">SUM(P1796)</f>
        <v>811000</v>
      </c>
      <c r="Q630" s="9">
        <f t="shared" si="1436"/>
        <v>830000</v>
      </c>
      <c r="R630" s="9">
        <f t="shared" ref="R630" si="1437">SUM(R1796)</f>
        <v>849000</v>
      </c>
      <c r="S630" s="47">
        <f t="shared" ref="S630" si="1438">SUM(S1796)</f>
        <v>869000</v>
      </c>
    </row>
    <row r="631" spans="1:19" x14ac:dyDescent="0.2">
      <c r="A631" s="54">
        <f>ROUND(SUM(A1797:A1798),-3)</f>
        <v>254000</v>
      </c>
      <c r="B631" s="9">
        <f>SUM(B1797:B1798)</f>
        <v>150300</v>
      </c>
      <c r="C631" s="136">
        <f>SUM(C1797:C1798)</f>
        <v>125400</v>
      </c>
      <c r="D631" s="136">
        <f>SUM(D1797:D1800)</f>
        <v>326200</v>
      </c>
      <c r="E631" s="134">
        <f>SUM(E1797:E1800)</f>
        <v>124800</v>
      </c>
      <c r="F631" s="1152">
        <v>22284</v>
      </c>
      <c r="G631" s="1154" t="s">
        <v>3382</v>
      </c>
      <c r="H631" s="144">
        <f t="shared" ref="H631:P631" si="1439">SUM(H1797:H1800)</f>
        <v>82000</v>
      </c>
      <c r="I631" s="85">
        <f t="shared" si="1415"/>
        <v>-34.294871794871796</v>
      </c>
      <c r="J631" s="9">
        <f t="shared" si="1439"/>
        <v>22000</v>
      </c>
      <c r="K631" s="9">
        <f t="shared" si="1439"/>
        <v>23000</v>
      </c>
      <c r="L631" s="9">
        <f t="shared" si="1439"/>
        <v>24000</v>
      </c>
      <c r="M631" s="9">
        <f t="shared" si="1439"/>
        <v>25000</v>
      </c>
      <c r="N631" s="9">
        <f t="shared" si="1439"/>
        <v>26000</v>
      </c>
      <c r="O631" s="9">
        <f t="shared" si="1439"/>
        <v>27000</v>
      </c>
      <c r="P631" s="136">
        <f t="shared" si="1439"/>
        <v>28000</v>
      </c>
      <c r="Q631" s="134">
        <f t="shared" ref="Q631" si="1440">SUM(Q1797:Q1800)</f>
        <v>29000</v>
      </c>
      <c r="R631" s="134">
        <f t="shared" ref="R631" si="1441">SUM(R1797:R1800)</f>
        <v>30000</v>
      </c>
      <c r="S631" s="2359">
        <f t="shared" ref="S631" si="1442">SUM(S1797:S1800)</f>
        <v>31000</v>
      </c>
    </row>
    <row r="632" spans="1:19" x14ac:dyDescent="0.2">
      <c r="A632" s="54">
        <f>ROUND(A1802,-3)</f>
        <v>79000</v>
      </c>
      <c r="B632" s="9">
        <f>B1802</f>
        <v>54200</v>
      </c>
      <c r="C632" s="136">
        <f>C1802</f>
        <v>85400</v>
      </c>
      <c r="D632" s="136">
        <f>D1802</f>
        <v>106100</v>
      </c>
      <c r="E632" s="134">
        <f t="shared" ref="E632" si="1443">E1802</f>
        <v>107700</v>
      </c>
      <c r="F632" s="1152">
        <v>22281</v>
      </c>
      <c r="G632" s="1154" t="s">
        <v>341</v>
      </c>
      <c r="H632" s="9">
        <f t="shared" ref="H632:O632" si="1444">H1802</f>
        <v>92000</v>
      </c>
      <c r="I632" s="85">
        <f t="shared" si="1415"/>
        <v>-14.577530176415971</v>
      </c>
      <c r="J632" s="9">
        <f t="shared" si="1444"/>
        <v>135000</v>
      </c>
      <c r="K632" s="9">
        <f t="shared" si="1444"/>
        <v>183000</v>
      </c>
      <c r="L632" s="9">
        <f t="shared" si="1444"/>
        <v>178000</v>
      </c>
      <c r="M632" s="9">
        <f t="shared" si="1444"/>
        <v>172000</v>
      </c>
      <c r="N632" s="9">
        <f t="shared" si="1444"/>
        <v>164000</v>
      </c>
      <c r="O632" s="9">
        <f t="shared" si="1444"/>
        <v>154000</v>
      </c>
      <c r="P632" s="89">
        <f t="shared" ref="P632:Q632" si="1445">P1802</f>
        <v>154000</v>
      </c>
      <c r="Q632" s="9">
        <f t="shared" si="1445"/>
        <v>154000</v>
      </c>
      <c r="R632" s="9">
        <f t="shared" ref="R632" si="1446">R1802</f>
        <v>154000</v>
      </c>
      <c r="S632" s="47">
        <f t="shared" ref="S632" si="1447">S1802</f>
        <v>154000</v>
      </c>
    </row>
    <row r="633" spans="1:19" ht="13.5" thickBot="1" x14ac:dyDescent="0.25">
      <c r="A633" s="54">
        <f>ROUND(SUM(A1803:A1812),-3)-1000</f>
        <v>140000</v>
      </c>
      <c r="B633" s="9">
        <f>SUM(B1803:B1812)</f>
        <v>131400</v>
      </c>
      <c r="C633" s="136">
        <f>SUM(C1803:C1812)</f>
        <v>89600</v>
      </c>
      <c r="D633" s="136">
        <f>SUM(D1803:D1812)</f>
        <v>124700</v>
      </c>
      <c r="E633" s="1512">
        <f>SUM(E1803:E1812)</f>
        <v>83300</v>
      </c>
      <c r="F633" s="1152">
        <v>22281</v>
      </c>
      <c r="G633" s="1173" t="s">
        <v>2637</v>
      </c>
      <c r="H633" s="68">
        <f t="shared" ref="H633:Q633" si="1448">SUM(H1803:H1812)</f>
        <v>76000</v>
      </c>
      <c r="I633" s="1522">
        <f t="shared" si="1415"/>
        <v>-8.7635054021608649</v>
      </c>
      <c r="J633" s="68">
        <f t="shared" si="1448"/>
        <v>78000</v>
      </c>
      <c r="K633" s="68">
        <f t="shared" si="1448"/>
        <v>80000</v>
      </c>
      <c r="L633" s="68">
        <f t="shared" si="1448"/>
        <v>82000</v>
      </c>
      <c r="M633" s="68">
        <f t="shared" si="1448"/>
        <v>84000</v>
      </c>
      <c r="N633" s="131">
        <f t="shared" si="1448"/>
        <v>86000</v>
      </c>
      <c r="O633" s="68">
        <f t="shared" si="1448"/>
        <v>88000</v>
      </c>
      <c r="P633" s="42">
        <f t="shared" si="1448"/>
        <v>90000</v>
      </c>
      <c r="Q633" s="68">
        <f t="shared" si="1448"/>
        <v>92000</v>
      </c>
      <c r="R633" s="68">
        <f t="shared" ref="R633" si="1449">SUM(R1803:R1812)</f>
        <v>94000</v>
      </c>
      <c r="S633" s="2344">
        <f t="shared" ref="S633" si="1450">SUM(S1803:S1812)</f>
        <v>96000</v>
      </c>
    </row>
    <row r="634" spans="1:19" x14ac:dyDescent="0.2">
      <c r="A634" s="52">
        <f>SUM(A624:A633)</f>
        <v>2497000</v>
      </c>
      <c r="B634" s="16">
        <f>SUM(B624:B633)</f>
        <v>2720200</v>
      </c>
      <c r="C634" s="145">
        <f>SUM(C624:C633)</f>
        <v>3958300</v>
      </c>
      <c r="D634" s="145">
        <f>SUM(D624:D633)</f>
        <v>3844500</v>
      </c>
      <c r="E634" s="145">
        <f t="shared" ref="E634" si="1451">SUM(E624:E633)</f>
        <v>3350400</v>
      </c>
      <c r="F634" s="173"/>
      <c r="G634" s="850" t="s">
        <v>2561</v>
      </c>
      <c r="H634" s="16">
        <f t="shared" ref="H634:P634" si="1452">SUM(H624:H633)</f>
        <v>2111000</v>
      </c>
      <c r="I634" s="127">
        <f t="shared" si="1415"/>
        <v>-36.992597898758355</v>
      </c>
      <c r="J634" s="16">
        <f t="shared" si="1452"/>
        <v>2139000</v>
      </c>
      <c r="K634" s="16">
        <f t="shared" si="1452"/>
        <v>2233000</v>
      </c>
      <c r="L634" s="16">
        <f t="shared" si="1452"/>
        <v>2276000</v>
      </c>
      <c r="M634" s="16">
        <f t="shared" si="1452"/>
        <v>2318000</v>
      </c>
      <c r="N634" s="323">
        <f t="shared" si="1452"/>
        <v>2359000</v>
      </c>
      <c r="O634" s="16">
        <f t="shared" si="1452"/>
        <v>2400000</v>
      </c>
      <c r="P634" s="102">
        <f t="shared" si="1452"/>
        <v>2451000</v>
      </c>
      <c r="Q634" s="16">
        <f t="shared" ref="Q634" si="1453">SUM(Q624:Q633)</f>
        <v>2504000</v>
      </c>
      <c r="R634" s="16">
        <f t="shared" ref="R634" si="1454">SUM(R624:R633)</f>
        <v>2558000</v>
      </c>
      <c r="S634" s="2342">
        <f t="shared" ref="S634" si="1455">SUM(S624:S633)</f>
        <v>2614000</v>
      </c>
    </row>
    <row r="635" spans="1:19" x14ac:dyDescent="0.2">
      <c r="A635" s="54"/>
      <c r="B635" s="9"/>
      <c r="C635" s="134"/>
      <c r="D635" s="134"/>
      <c r="E635" s="134"/>
      <c r="F635" s="167"/>
      <c r="G635" s="1152"/>
      <c r="H635" s="9"/>
      <c r="I635" s="85"/>
      <c r="J635" s="9"/>
      <c r="K635" s="9"/>
      <c r="L635" s="9"/>
      <c r="M635" s="9"/>
      <c r="N635" s="29"/>
      <c r="O635" s="9"/>
      <c r="P635" s="89"/>
      <c r="Q635" s="9"/>
      <c r="R635" s="9"/>
      <c r="S635" s="47"/>
    </row>
    <row r="636" spans="1:19" x14ac:dyDescent="0.2">
      <c r="A636" s="54"/>
      <c r="B636" s="9"/>
      <c r="C636" s="134"/>
      <c r="D636" s="134"/>
      <c r="E636" s="134"/>
      <c r="F636" s="167"/>
      <c r="G636" s="50" t="s">
        <v>2169</v>
      </c>
      <c r="H636" s="9"/>
      <c r="I636" s="85"/>
      <c r="J636" s="9"/>
      <c r="K636" s="9"/>
      <c r="L636" s="9"/>
      <c r="M636" s="9"/>
      <c r="N636" s="29"/>
      <c r="O636" s="9"/>
      <c r="P636" s="89"/>
      <c r="Q636" s="9"/>
      <c r="R636" s="9"/>
      <c r="S636" s="47"/>
    </row>
    <row r="637" spans="1:19" x14ac:dyDescent="0.2">
      <c r="A637" s="54"/>
      <c r="B637" s="9"/>
      <c r="C637" s="134"/>
      <c r="D637" s="134"/>
      <c r="E637" s="134"/>
      <c r="F637" s="167"/>
      <c r="G637" s="170" t="s">
        <v>2156</v>
      </c>
      <c r="H637" s="9"/>
      <c r="I637" s="85"/>
      <c r="J637" s="9"/>
      <c r="K637" s="9"/>
      <c r="L637" s="9"/>
      <c r="M637" s="9"/>
      <c r="N637" s="29"/>
      <c r="O637" s="9"/>
      <c r="P637" s="89"/>
      <c r="Q637" s="9"/>
      <c r="R637" s="9"/>
      <c r="S637" s="47"/>
    </row>
    <row r="638" spans="1:19" x14ac:dyDescent="0.2">
      <c r="A638" s="54">
        <f>ROUND(SUM(A1816:A1841),-3)</f>
        <v>340000</v>
      </c>
      <c r="B638" s="136">
        <f>SUM(B1816:B1841)</f>
        <v>421500</v>
      </c>
      <c r="C638" s="136">
        <f>SUM(C1816:C1841)</f>
        <v>439900</v>
      </c>
      <c r="D638" s="136">
        <f>SUM(D1816:D1841)</f>
        <v>475100</v>
      </c>
      <c r="E638" s="134">
        <f>SUM(E1816:E1841)</f>
        <v>618900</v>
      </c>
      <c r="F638" s="167">
        <v>32340</v>
      </c>
      <c r="G638" s="242" t="s">
        <v>465</v>
      </c>
      <c r="H638" s="9">
        <f t="shared" ref="H638:Q638" si="1456">SUM(H1816:H1841)</f>
        <v>513500</v>
      </c>
      <c r="I638" s="85">
        <f>IF(E638=H638,0,IF(E638=0,100,(H638-E638)/E638*100))</f>
        <v>-17.030214897398611</v>
      </c>
      <c r="J638" s="9">
        <f t="shared" si="1456"/>
        <v>489000</v>
      </c>
      <c r="K638" s="9">
        <f t="shared" si="1456"/>
        <v>500000</v>
      </c>
      <c r="L638" s="9">
        <f t="shared" si="1456"/>
        <v>511000</v>
      </c>
      <c r="M638" s="9">
        <f t="shared" si="1456"/>
        <v>522000</v>
      </c>
      <c r="N638" s="29">
        <f t="shared" si="1456"/>
        <v>534000</v>
      </c>
      <c r="O638" s="9">
        <f t="shared" si="1456"/>
        <v>546000</v>
      </c>
      <c r="P638" s="89">
        <f t="shared" si="1456"/>
        <v>558000</v>
      </c>
      <c r="Q638" s="9">
        <f t="shared" si="1456"/>
        <v>570000</v>
      </c>
      <c r="R638" s="9">
        <f t="shared" ref="R638" si="1457">SUM(R1816:R1841)</f>
        <v>582000</v>
      </c>
      <c r="S638" s="47">
        <f t="shared" ref="S638" si="1458">SUM(S1816:S1841)</f>
        <v>594000</v>
      </c>
    </row>
    <row r="639" spans="1:19" x14ac:dyDescent="0.2">
      <c r="A639" s="54">
        <f>ROUND(A1842,-3)</f>
        <v>505000</v>
      </c>
      <c r="B639" s="136">
        <f>B1842</f>
        <v>525000</v>
      </c>
      <c r="C639" s="136">
        <f>C1842</f>
        <v>562000</v>
      </c>
      <c r="D639" s="136">
        <f>D1842</f>
        <v>555000</v>
      </c>
      <c r="E639" s="134">
        <f t="shared" ref="E639" si="1459">E1842</f>
        <v>644400</v>
      </c>
      <c r="F639" s="167">
        <v>32340</v>
      </c>
      <c r="G639" s="1154" t="s">
        <v>1309</v>
      </c>
      <c r="H639" s="9">
        <f t="shared" ref="H639:O639" si="1460">H1842</f>
        <v>531000</v>
      </c>
      <c r="I639" s="85">
        <f>IF(E639=H639,0,IF(E639=0,100,(H639-E639)/E639*100))</f>
        <v>-17.597765363128492</v>
      </c>
      <c r="J639" s="9">
        <f t="shared" si="1460"/>
        <v>543000</v>
      </c>
      <c r="K639" s="9">
        <f t="shared" si="1460"/>
        <v>557000</v>
      </c>
      <c r="L639" s="9">
        <f t="shared" si="1460"/>
        <v>571000</v>
      </c>
      <c r="M639" s="9">
        <f t="shared" si="1460"/>
        <v>585000</v>
      </c>
      <c r="N639" s="29">
        <f t="shared" si="1460"/>
        <v>600000</v>
      </c>
      <c r="O639" s="9">
        <f t="shared" si="1460"/>
        <v>615000</v>
      </c>
      <c r="P639" s="89">
        <f t="shared" ref="P639:Q639" si="1461">P1842</f>
        <v>630000</v>
      </c>
      <c r="Q639" s="9">
        <f t="shared" si="1461"/>
        <v>646000</v>
      </c>
      <c r="R639" s="9">
        <f t="shared" ref="R639" si="1462">R1842</f>
        <v>662000</v>
      </c>
      <c r="S639" s="47">
        <f t="shared" ref="S639" si="1463">S1842</f>
        <v>679000</v>
      </c>
    </row>
    <row r="640" spans="1:19" x14ac:dyDescent="0.2">
      <c r="A640" s="54">
        <f>ROUND(SUM(A1843:A1845),-3)</f>
        <v>369000</v>
      </c>
      <c r="B640" s="136">
        <f>ROUND(SUM(B1843:B1845),-2)</f>
        <v>299600</v>
      </c>
      <c r="C640" s="134">
        <f>ROUND(SUM(C1843:C1845),-2)</f>
        <v>208300</v>
      </c>
      <c r="D640" s="136">
        <f>ROUND(SUM(D1843:D1845),-2)</f>
        <v>154000</v>
      </c>
      <c r="E640" s="134">
        <f t="shared" ref="E640" si="1464">ROUND(SUM(E1843:E1845),-2)</f>
        <v>56000</v>
      </c>
      <c r="F640" s="1153">
        <v>32340</v>
      </c>
      <c r="G640" s="30" t="s">
        <v>1343</v>
      </c>
      <c r="H640" s="9">
        <f t="shared" ref="H640:P640" si="1465">ROUND(SUM(H1843:H1845),-2)</f>
        <v>10400</v>
      </c>
      <c r="I640" s="85">
        <f>IF(E640=H640,0,IF(E640=0,100,(H640-E640)/E640*100))</f>
        <v>-81.428571428571431</v>
      </c>
      <c r="J640" s="9">
        <f t="shared" si="1465"/>
        <v>0</v>
      </c>
      <c r="K640" s="9">
        <f t="shared" si="1465"/>
        <v>0</v>
      </c>
      <c r="L640" s="9">
        <f t="shared" si="1465"/>
        <v>0</v>
      </c>
      <c r="M640" s="9">
        <f t="shared" si="1465"/>
        <v>0</v>
      </c>
      <c r="N640" s="29">
        <f t="shared" si="1465"/>
        <v>0</v>
      </c>
      <c r="O640" s="9">
        <f t="shared" si="1465"/>
        <v>0</v>
      </c>
      <c r="P640" s="89">
        <f t="shared" si="1465"/>
        <v>0</v>
      </c>
      <c r="Q640" s="9">
        <f t="shared" ref="Q640" si="1466">ROUND(SUM(Q1843:Q1845),-2)</f>
        <v>0</v>
      </c>
      <c r="R640" s="9">
        <f t="shared" ref="R640" si="1467">ROUND(SUM(R1843:R1845),-2)</f>
        <v>0</v>
      </c>
      <c r="S640" s="47">
        <f t="shared" ref="S640" si="1468">ROUND(SUM(S1843:S1845),-2)</f>
        <v>0</v>
      </c>
    </row>
    <row r="641" spans="1:19" x14ac:dyDescent="0.2">
      <c r="A641" s="54"/>
      <c r="B641" s="136"/>
      <c r="C641" s="134"/>
      <c r="E641" s="134"/>
      <c r="F641" s="1153"/>
      <c r="G641" s="30"/>
      <c r="H641" s="9"/>
      <c r="I641" s="85"/>
      <c r="J641" s="9"/>
      <c r="K641" s="9"/>
      <c r="L641" s="9"/>
      <c r="M641" s="9"/>
      <c r="N641" s="29"/>
      <c r="O641" s="9"/>
      <c r="P641" s="89"/>
      <c r="Q641" s="9"/>
      <c r="R641" s="9"/>
      <c r="S641" s="47"/>
    </row>
    <row r="642" spans="1:19" x14ac:dyDescent="0.2">
      <c r="A642" s="54"/>
      <c r="B642" s="9"/>
      <c r="C642" s="134"/>
      <c r="E642" s="134"/>
      <c r="F642" s="167"/>
      <c r="G642" s="850" t="s">
        <v>4323</v>
      </c>
      <c r="H642" s="9"/>
      <c r="I642" s="85"/>
      <c r="J642" s="9"/>
      <c r="K642" s="9"/>
      <c r="L642" s="9"/>
      <c r="M642" s="9"/>
      <c r="N642" s="29"/>
      <c r="O642" s="9"/>
      <c r="P642" s="89"/>
      <c r="Q642" s="9"/>
      <c r="R642" s="9"/>
      <c r="S642" s="47"/>
    </row>
    <row r="643" spans="1:19" x14ac:dyDescent="0.2">
      <c r="A643" s="54">
        <f>ROUND(SUM(A1848),-3)</f>
        <v>-842000</v>
      </c>
      <c r="B643" s="9">
        <f>SUM(B1848)</f>
        <v>-892500</v>
      </c>
      <c r="C643" s="134">
        <f>SUM(C1848)</f>
        <v>-982400</v>
      </c>
      <c r="D643" s="136">
        <f>SUM(D1848)</f>
        <v>-957400</v>
      </c>
      <c r="E643" s="134">
        <f t="shared" ref="E643" si="1469">SUM(E1848)</f>
        <v>-1000200</v>
      </c>
      <c r="F643" s="1152">
        <v>22283</v>
      </c>
      <c r="G643" s="1154" t="s">
        <v>6789</v>
      </c>
      <c r="H643" s="9">
        <f t="shared" ref="H643:P643" si="1470">SUM(H1848)</f>
        <v>-1003000</v>
      </c>
      <c r="I643" s="85">
        <f>IF(E643=H643,0,IF(E643=0,100,(H643-E643)/E643*100))</f>
        <v>0.27994401119776047</v>
      </c>
      <c r="J643" s="9">
        <f t="shared" si="1470"/>
        <v>-1026000</v>
      </c>
      <c r="K643" s="9">
        <f t="shared" si="1470"/>
        <v>-1050000</v>
      </c>
      <c r="L643" s="9">
        <f t="shared" si="1470"/>
        <v>-1074000</v>
      </c>
      <c r="M643" s="9">
        <f t="shared" si="1470"/>
        <v>-1099000</v>
      </c>
      <c r="N643" s="29">
        <f t="shared" si="1470"/>
        <v>-1124000</v>
      </c>
      <c r="O643" s="9">
        <f t="shared" si="1470"/>
        <v>-1150000</v>
      </c>
      <c r="P643" s="89">
        <f t="shared" si="1470"/>
        <v>-1176000</v>
      </c>
      <c r="Q643" s="9">
        <f t="shared" ref="Q643" si="1471">SUM(Q1848)</f>
        <v>-1203000</v>
      </c>
      <c r="R643" s="9">
        <f t="shared" ref="R643" si="1472">SUM(R1848)</f>
        <v>-1231000</v>
      </c>
      <c r="S643" s="47">
        <f t="shared" ref="S643" si="1473">SUM(S1848)</f>
        <v>-1259000</v>
      </c>
    </row>
    <row r="644" spans="1:19" x14ac:dyDescent="0.2">
      <c r="A644" s="54">
        <f>ROUND(SUM(A1850),-3)</f>
        <v>-505000</v>
      </c>
      <c r="B644" s="9">
        <f>SUM(B1850)</f>
        <v>-318900</v>
      </c>
      <c r="C644" s="134">
        <f>SUM(C1850)</f>
        <v>-314900</v>
      </c>
      <c r="D644" s="136">
        <f>SUM(D1850)</f>
        <v>-465700</v>
      </c>
      <c r="E644" s="134">
        <f t="shared" ref="E644" si="1474">SUM(E1850)</f>
        <v>-466400</v>
      </c>
      <c r="F644" s="1152">
        <v>22283</v>
      </c>
      <c r="G644" s="1154" t="s">
        <v>3677</v>
      </c>
      <c r="H644" s="9">
        <f t="shared" ref="H644:P644" si="1475">SUM(H1850)</f>
        <v>-430000</v>
      </c>
      <c r="I644" s="85">
        <f>IF(E644=H644,0,IF(E644=0,100,(H644-E644)/E644*100))</f>
        <v>-7.804459691252144</v>
      </c>
      <c r="J644" s="9">
        <f t="shared" si="1475"/>
        <v>-440000</v>
      </c>
      <c r="K644" s="9">
        <f t="shared" si="1475"/>
        <v>-450000</v>
      </c>
      <c r="L644" s="9">
        <f t="shared" si="1475"/>
        <v>-460000</v>
      </c>
      <c r="M644" s="9">
        <f t="shared" si="1475"/>
        <v>-471000</v>
      </c>
      <c r="N644" s="29">
        <f t="shared" si="1475"/>
        <v>-482000</v>
      </c>
      <c r="O644" s="9">
        <f t="shared" si="1475"/>
        <v>-493000</v>
      </c>
      <c r="P644" s="89">
        <f t="shared" si="1475"/>
        <v>-504000</v>
      </c>
      <c r="Q644" s="9">
        <f t="shared" ref="Q644" si="1476">SUM(Q1850)</f>
        <v>-516000</v>
      </c>
      <c r="R644" s="9">
        <f t="shared" ref="R644" si="1477">SUM(R1850)</f>
        <v>-528000</v>
      </c>
      <c r="S644" s="47">
        <f t="shared" ref="S644" si="1478">SUM(S1850)</f>
        <v>-540000</v>
      </c>
    </row>
    <row r="645" spans="1:19" x14ac:dyDescent="0.2">
      <c r="A645" s="54">
        <f>ROUND(SUM(A1849:A1849),-3)</f>
        <v>-3024000</v>
      </c>
      <c r="B645" s="9">
        <f>SUM(B1849:B1849)</f>
        <v>-2919400</v>
      </c>
      <c r="C645" s="134">
        <f>SUM(C1849:C1849)</f>
        <v>-1992400</v>
      </c>
      <c r="D645" s="136">
        <f>SUM(D1849:D1849)</f>
        <v>-1831900</v>
      </c>
      <c r="E645" s="1442">
        <f t="shared" ref="E645" si="1479">SUM(E1849:E1849)</f>
        <v>-1865600</v>
      </c>
      <c r="F645" s="167">
        <v>22283</v>
      </c>
      <c r="G645" s="1154" t="s">
        <v>3678</v>
      </c>
      <c r="H645" s="9">
        <f t="shared" ref="H645:P645" si="1480">SUM(H1849:H1849)</f>
        <v>-1929900</v>
      </c>
      <c r="I645" s="85">
        <f>IF(E645=H645,0,IF(E645=0,100,(H645-E645)/E645*100))</f>
        <v>3.4466123499142367</v>
      </c>
      <c r="J645" s="9">
        <f t="shared" si="1480"/>
        <v>-1974000</v>
      </c>
      <c r="K645" s="9">
        <f t="shared" si="1480"/>
        <v>-2019000</v>
      </c>
      <c r="L645" s="9">
        <f t="shared" si="1480"/>
        <v>-2065000</v>
      </c>
      <c r="M645" s="9">
        <f t="shared" si="1480"/>
        <v>-2112000</v>
      </c>
      <c r="N645" s="29">
        <f t="shared" si="1480"/>
        <v>-2161000</v>
      </c>
      <c r="O645" s="9">
        <f t="shared" si="1480"/>
        <v>-2211000</v>
      </c>
      <c r="P645" s="89">
        <f t="shared" si="1480"/>
        <v>-2262000</v>
      </c>
      <c r="Q645" s="9">
        <f t="shared" ref="Q645" si="1481">SUM(Q1849:Q1849)</f>
        <v>-2314000</v>
      </c>
      <c r="R645" s="9">
        <f t="shared" ref="R645" si="1482">SUM(R1849:R1849)</f>
        <v>-2367000</v>
      </c>
      <c r="S645" s="47">
        <f t="shared" ref="S645" si="1483">SUM(S1849:S1849)</f>
        <v>-2421000</v>
      </c>
    </row>
    <row r="646" spans="1:19" x14ac:dyDescent="0.2">
      <c r="A646" s="54"/>
      <c r="B646" s="9"/>
      <c r="E646" s="1442"/>
      <c r="F646" s="167"/>
      <c r="G646" s="1154"/>
      <c r="H646" s="9"/>
      <c r="I646" s="85"/>
      <c r="J646" s="9"/>
      <c r="K646" s="9"/>
      <c r="L646" s="9"/>
      <c r="M646" s="9"/>
      <c r="N646" s="29"/>
      <c r="O646" s="9"/>
      <c r="P646" s="89"/>
      <c r="Q646" s="9"/>
      <c r="R646" s="9"/>
      <c r="S646" s="47"/>
    </row>
    <row r="647" spans="1:19" x14ac:dyDescent="0.2">
      <c r="A647" s="54"/>
      <c r="B647" s="9"/>
      <c r="E647" s="1442"/>
      <c r="F647" s="167"/>
      <c r="G647" s="850" t="s">
        <v>3618</v>
      </c>
      <c r="H647" s="9"/>
      <c r="I647" s="85"/>
      <c r="J647" s="9"/>
      <c r="K647" s="9"/>
      <c r="L647" s="9"/>
      <c r="M647" s="9"/>
      <c r="N647" s="29"/>
      <c r="O647" s="9"/>
      <c r="P647" s="89"/>
      <c r="Q647" s="9"/>
      <c r="R647" s="9"/>
      <c r="S647" s="47"/>
    </row>
    <row r="648" spans="1:19" x14ac:dyDescent="0.2">
      <c r="A648" s="54">
        <f>ROUND(SUM(A1858:A1864),-3)</f>
        <v>194000</v>
      </c>
      <c r="B648" s="136">
        <f>SUM(B1858:B1864)</f>
        <v>216100</v>
      </c>
      <c r="C648" s="136">
        <f>SUM(C1858:C1864)</f>
        <v>206600</v>
      </c>
      <c r="D648" s="136">
        <f>SUM(D1858:D1864)</f>
        <v>172600</v>
      </c>
      <c r="E648" s="1442">
        <f t="shared" ref="E648" si="1484">SUM(E1858:E1864)</f>
        <v>181200</v>
      </c>
      <c r="F648" s="167">
        <v>32342</v>
      </c>
      <c r="G648" s="1154" t="s">
        <v>3692</v>
      </c>
      <c r="H648" s="9">
        <f t="shared" ref="H648:O648" si="1485">SUM(H1858:H1864)</f>
        <v>205000</v>
      </c>
      <c r="I648" s="85">
        <f>IF(E648=H648,0,IF(E648=0,100,(H648-E648)/E648*100))</f>
        <v>13.134657836644593</v>
      </c>
      <c r="J648" s="9">
        <f t="shared" si="1485"/>
        <v>209000</v>
      </c>
      <c r="K648" s="9">
        <f t="shared" si="1485"/>
        <v>214000</v>
      </c>
      <c r="L648" s="9">
        <f t="shared" si="1485"/>
        <v>219000</v>
      </c>
      <c r="M648" s="9">
        <f t="shared" si="1485"/>
        <v>224000</v>
      </c>
      <c r="N648" s="29">
        <f t="shared" si="1485"/>
        <v>230000</v>
      </c>
      <c r="O648" s="9">
        <f t="shared" si="1485"/>
        <v>236000</v>
      </c>
      <c r="P648" s="89">
        <f t="shared" ref="P648:Q648" si="1486">SUM(P1858:P1864)</f>
        <v>242000</v>
      </c>
      <c r="Q648" s="9">
        <f t="shared" si="1486"/>
        <v>248000</v>
      </c>
      <c r="R648" s="9">
        <f t="shared" ref="R648" si="1487">SUM(R1858:R1864)</f>
        <v>254000</v>
      </c>
      <c r="S648" s="47">
        <f t="shared" ref="S648" si="1488">SUM(S1858:S1864)</f>
        <v>260000</v>
      </c>
    </row>
    <row r="649" spans="1:19" x14ac:dyDescent="0.2">
      <c r="A649" s="54">
        <f>ROUND(SUM(A1865:A1868),-3)</f>
        <v>186000</v>
      </c>
      <c r="B649" s="136">
        <f>SUM(B1865:B1868)</f>
        <v>186800</v>
      </c>
      <c r="C649" s="136">
        <f>SUM(C1865:C1868)</f>
        <v>189800</v>
      </c>
      <c r="D649" s="136">
        <f>SUM(D1865:D1868)</f>
        <v>199700</v>
      </c>
      <c r="E649" s="1442">
        <f t="shared" ref="E649" si="1489">SUM(E1865:E1868)</f>
        <v>190200</v>
      </c>
      <c r="F649" s="167">
        <v>32342</v>
      </c>
      <c r="G649" s="1154" t="s">
        <v>3691</v>
      </c>
      <c r="H649" s="9">
        <f t="shared" ref="H649:O649" si="1490">SUM(H1865:H1868)</f>
        <v>191000</v>
      </c>
      <c r="I649" s="85">
        <f>IF(E649=H649,0,IF(E649=0,100,(H649-E649)/E649*100))</f>
        <v>0.4206098843322818</v>
      </c>
      <c r="J649" s="9">
        <f t="shared" si="1490"/>
        <v>196000</v>
      </c>
      <c r="K649" s="9">
        <f t="shared" si="1490"/>
        <v>201000</v>
      </c>
      <c r="L649" s="9">
        <f t="shared" si="1490"/>
        <v>206000</v>
      </c>
      <c r="M649" s="9">
        <f t="shared" si="1490"/>
        <v>211000</v>
      </c>
      <c r="N649" s="29">
        <f t="shared" si="1490"/>
        <v>216000</v>
      </c>
      <c r="O649" s="9">
        <f t="shared" si="1490"/>
        <v>221000</v>
      </c>
      <c r="P649" s="89">
        <f t="shared" ref="P649:Q649" si="1491">SUM(P1865:P1868)</f>
        <v>227000</v>
      </c>
      <c r="Q649" s="9">
        <f t="shared" si="1491"/>
        <v>233000</v>
      </c>
      <c r="R649" s="9">
        <f t="shared" ref="R649" si="1492">SUM(R1865:R1868)</f>
        <v>239000</v>
      </c>
      <c r="S649" s="47">
        <f t="shared" ref="S649" si="1493">SUM(S1865:S1868)</f>
        <v>245000</v>
      </c>
    </row>
    <row r="650" spans="1:19" x14ac:dyDescent="0.2">
      <c r="A650" s="54"/>
      <c r="B650" s="136"/>
      <c r="E650" s="1442"/>
      <c r="F650" s="167"/>
      <c r="G650" s="242"/>
      <c r="H650" s="9"/>
      <c r="I650" s="85"/>
      <c r="J650" s="9"/>
      <c r="K650" s="9"/>
      <c r="L650" s="9"/>
      <c r="M650" s="9"/>
      <c r="N650" s="29"/>
      <c r="O650" s="9"/>
      <c r="P650" s="89"/>
      <c r="Q650" s="9"/>
      <c r="R650" s="9"/>
      <c r="S650" s="47"/>
    </row>
    <row r="651" spans="1:19" x14ac:dyDescent="0.2">
      <c r="A651" s="54"/>
      <c r="B651" s="136"/>
      <c r="E651" s="1442"/>
      <c r="F651" s="167"/>
      <c r="G651" s="850" t="s">
        <v>4526</v>
      </c>
      <c r="H651" s="9"/>
      <c r="I651" s="85"/>
      <c r="J651" s="9"/>
      <c r="K651" s="9"/>
      <c r="L651" s="9"/>
      <c r="M651" s="9"/>
      <c r="N651" s="29"/>
      <c r="O651" s="9"/>
      <c r="P651" s="89"/>
      <c r="Q651" s="9"/>
      <c r="R651" s="9"/>
      <c r="S651" s="47"/>
    </row>
    <row r="652" spans="1:19" x14ac:dyDescent="0.2">
      <c r="A652" s="54">
        <f>ROUND(SUM(A1871:A1875),-3)</f>
        <v>148000</v>
      </c>
      <c r="B652" s="136">
        <f>SUM(B1871:B1875)</f>
        <v>194500</v>
      </c>
      <c r="C652" s="136">
        <f>SUM(C1871:C1875)</f>
        <v>173800</v>
      </c>
      <c r="D652" s="136">
        <f>SUM(D1871:D1875)</f>
        <v>191800</v>
      </c>
      <c r="E652" s="1442">
        <f>SUM(E1871:E1875)</f>
        <v>196600</v>
      </c>
      <c r="F652" s="167">
        <v>32344</v>
      </c>
      <c r="G652" s="242" t="s">
        <v>340</v>
      </c>
      <c r="H652" s="9">
        <f t="shared" ref="H652:Q652" si="1494">SUM(H1871:H1875)</f>
        <v>198000</v>
      </c>
      <c r="I652" s="85">
        <f>IF(E652=H652,0,IF(E652=0,100,(H652-E652)/E652*100))</f>
        <v>0.71210579857578837</v>
      </c>
      <c r="J652" s="9">
        <f t="shared" si="1494"/>
        <v>202000</v>
      </c>
      <c r="K652" s="9">
        <f t="shared" si="1494"/>
        <v>207000</v>
      </c>
      <c r="L652" s="9">
        <f t="shared" si="1494"/>
        <v>213000</v>
      </c>
      <c r="M652" s="9">
        <f t="shared" si="1494"/>
        <v>219000</v>
      </c>
      <c r="N652" s="29">
        <f t="shared" si="1494"/>
        <v>225000</v>
      </c>
      <c r="O652" s="9">
        <f t="shared" si="1494"/>
        <v>231000</v>
      </c>
      <c r="P652" s="89">
        <f t="shared" si="1494"/>
        <v>237000</v>
      </c>
      <c r="Q652" s="9">
        <f t="shared" si="1494"/>
        <v>243000</v>
      </c>
      <c r="R652" s="9">
        <f t="shared" ref="R652" si="1495">SUM(R1871:R1875)</f>
        <v>249000</v>
      </c>
      <c r="S652" s="47">
        <f t="shared" ref="S652" si="1496">SUM(S1871:S1875)</f>
        <v>255000</v>
      </c>
    </row>
    <row r="653" spans="1:19" x14ac:dyDescent="0.2">
      <c r="A653" s="54">
        <f>SUM(A1876:A1883)</f>
        <v>67900</v>
      </c>
      <c r="B653" s="136">
        <f>SUM(B1876:B1883)</f>
        <v>81500</v>
      </c>
      <c r="C653" s="136">
        <f>SUM(C1876:C1883)</f>
        <v>81600</v>
      </c>
      <c r="D653" s="136">
        <f>SUM(D1876:D1883)</f>
        <v>91200</v>
      </c>
      <c r="E653" s="1442">
        <f t="shared" ref="E653" si="1497">SUM(E1876:E1883)</f>
        <v>97700</v>
      </c>
      <c r="F653" s="167">
        <v>32344</v>
      </c>
      <c r="G653" s="242" t="s">
        <v>2427</v>
      </c>
      <c r="H653" s="9">
        <f t="shared" ref="H653:P653" si="1498">SUM(H1876:H1883)</f>
        <v>95000</v>
      </c>
      <c r="I653" s="85">
        <f>IF(E653=H653,0,IF(E653=0,100,(H653-E653)/E653*100))</f>
        <v>-2.7635619242579326</v>
      </c>
      <c r="J653" s="9">
        <f t="shared" si="1498"/>
        <v>97000</v>
      </c>
      <c r="K653" s="9">
        <f t="shared" si="1498"/>
        <v>99000</v>
      </c>
      <c r="L653" s="9">
        <f t="shared" si="1498"/>
        <v>101000</v>
      </c>
      <c r="M653" s="9">
        <f t="shared" si="1498"/>
        <v>103000</v>
      </c>
      <c r="N653" s="29">
        <f t="shared" si="1498"/>
        <v>105000</v>
      </c>
      <c r="O653" s="9">
        <f t="shared" si="1498"/>
        <v>107000</v>
      </c>
      <c r="P653" s="89">
        <f t="shared" si="1498"/>
        <v>110000</v>
      </c>
      <c r="Q653" s="9">
        <f t="shared" ref="Q653" si="1499">SUM(Q1876:Q1883)</f>
        <v>113000</v>
      </c>
      <c r="R653" s="9">
        <f t="shared" ref="R653" si="1500">SUM(R1876:R1883)</f>
        <v>116000</v>
      </c>
      <c r="S653" s="47">
        <f t="shared" ref="S653" si="1501">SUM(S1876:S1883)</f>
        <v>119000</v>
      </c>
    </row>
    <row r="654" spans="1:19" x14ac:dyDescent="0.2">
      <c r="A654" s="54">
        <f>ROUND(SUM(A1884:A1891),-3)</f>
        <v>181000</v>
      </c>
      <c r="B654" s="136">
        <f>SUM(B1884:B1891)</f>
        <v>82000</v>
      </c>
      <c r="C654" s="136">
        <f>SUM(C1884:C1891)</f>
        <v>123500</v>
      </c>
      <c r="D654" s="136">
        <f>SUM(D1884:D1891)</f>
        <v>61500</v>
      </c>
      <c r="E654" s="1442">
        <f t="shared" ref="E654" si="1502">SUM(E1884:E1891)</f>
        <v>71400</v>
      </c>
      <c r="F654" s="167">
        <v>32345</v>
      </c>
      <c r="G654" s="1154" t="s">
        <v>4720</v>
      </c>
      <c r="H654" s="9">
        <f t="shared" ref="H654:P654" si="1503">SUM(H1884:H1891)</f>
        <v>71000</v>
      </c>
      <c r="I654" s="85">
        <f>IF(E654=H654,0,IF(E654=0,100,(H654-E654)/E654*100))</f>
        <v>-0.56022408963585435</v>
      </c>
      <c r="J654" s="9">
        <f t="shared" si="1503"/>
        <v>73000</v>
      </c>
      <c r="K654" s="9">
        <f t="shared" si="1503"/>
        <v>75000</v>
      </c>
      <c r="L654" s="9">
        <f t="shared" si="1503"/>
        <v>77000</v>
      </c>
      <c r="M654" s="9">
        <f t="shared" si="1503"/>
        <v>79000</v>
      </c>
      <c r="N654" s="29">
        <f t="shared" si="1503"/>
        <v>81000</v>
      </c>
      <c r="O654" s="9">
        <f t="shared" si="1503"/>
        <v>83000</v>
      </c>
      <c r="P654" s="89">
        <f t="shared" si="1503"/>
        <v>85000</v>
      </c>
      <c r="Q654" s="9">
        <f t="shared" ref="Q654" si="1504">SUM(Q1884:Q1891)</f>
        <v>87000</v>
      </c>
      <c r="R654" s="9">
        <f t="shared" ref="R654" si="1505">SUM(R1884:R1891)</f>
        <v>89000</v>
      </c>
      <c r="S654" s="47">
        <f t="shared" ref="S654" si="1506">SUM(S1884:S1891)</f>
        <v>91000</v>
      </c>
    </row>
    <row r="655" spans="1:19" x14ac:dyDescent="0.2">
      <c r="A655" s="54"/>
      <c r="B655" s="9"/>
      <c r="E655" s="144"/>
      <c r="F655" s="167"/>
      <c r="G655" s="9"/>
      <c r="H655" s="9"/>
      <c r="I655" s="85"/>
      <c r="J655" s="9"/>
      <c r="K655" s="9"/>
      <c r="L655" s="9"/>
      <c r="M655" s="9"/>
      <c r="N655" s="29"/>
      <c r="O655" s="9"/>
      <c r="P655" s="89"/>
      <c r="Q655" s="9"/>
      <c r="R655" s="9"/>
      <c r="S655" s="47"/>
    </row>
    <row r="656" spans="1:19" x14ac:dyDescent="0.2">
      <c r="A656" s="54"/>
      <c r="B656" s="9"/>
      <c r="E656" s="144"/>
      <c r="F656" s="167"/>
      <c r="G656" s="21" t="s">
        <v>577</v>
      </c>
      <c r="H656" s="9"/>
      <c r="I656" s="85"/>
      <c r="J656" s="9"/>
      <c r="K656" s="9"/>
      <c r="L656" s="9"/>
      <c r="M656" s="9"/>
      <c r="N656" s="29"/>
      <c r="O656" s="9"/>
      <c r="P656" s="89"/>
      <c r="Q656" s="9"/>
      <c r="R656" s="9"/>
      <c r="S656" s="47"/>
    </row>
    <row r="657" spans="1:19" x14ac:dyDescent="0.2">
      <c r="A657" s="54">
        <f>ROUND(SUM(A1893:A1920),-3)</f>
        <v>1316000</v>
      </c>
      <c r="B657" s="136">
        <f>SUM(B1893:B1920)</f>
        <v>432700</v>
      </c>
      <c r="C657" s="136">
        <f>SUM(C1893:C1920)</f>
        <v>320700</v>
      </c>
      <c r="D657" s="136">
        <f>SUM(D1893:D1920)</f>
        <v>308000</v>
      </c>
      <c r="E657" s="144">
        <f>SUM(E1893:E1920)</f>
        <v>437200</v>
      </c>
      <c r="F657" s="167">
        <v>32348</v>
      </c>
      <c r="G657" s="79" t="s">
        <v>3253</v>
      </c>
      <c r="H657" s="9">
        <f>SUM(H1893:H1920)</f>
        <v>422200</v>
      </c>
      <c r="I657" s="85">
        <f t="shared" ref="I657:I670" si="1507">IF(E657=H657,0,IF(E657=0,100,(H657-E657)/E657*100))</f>
        <v>-3.43092406221409</v>
      </c>
      <c r="J657" s="9">
        <f t="shared" ref="J657:Q657" si="1508">SUM(J1893:J1920)</f>
        <v>370000</v>
      </c>
      <c r="K657" s="9">
        <f t="shared" si="1508"/>
        <v>378000</v>
      </c>
      <c r="L657" s="9">
        <f t="shared" si="1508"/>
        <v>386000</v>
      </c>
      <c r="M657" s="9">
        <f t="shared" si="1508"/>
        <v>394000</v>
      </c>
      <c r="N657" s="29">
        <f t="shared" si="1508"/>
        <v>403000</v>
      </c>
      <c r="O657" s="9">
        <f t="shared" si="1508"/>
        <v>412000</v>
      </c>
      <c r="P657" s="89">
        <f t="shared" si="1508"/>
        <v>421000</v>
      </c>
      <c r="Q657" s="9">
        <f t="shared" si="1508"/>
        <v>430000</v>
      </c>
      <c r="R657" s="9">
        <f t="shared" ref="R657" si="1509">SUM(R1893:R1920)</f>
        <v>439000</v>
      </c>
      <c r="S657" s="47">
        <f t="shared" ref="S657" si="1510">SUM(S1893:S1920)</f>
        <v>449000</v>
      </c>
    </row>
    <row r="658" spans="1:19" x14ac:dyDescent="0.2">
      <c r="A658" s="54">
        <f t="shared" ref="A658:A664" si="1511">ROUND(SUM(A1922:A1922),-3)</f>
        <v>411000</v>
      </c>
      <c r="B658" s="136">
        <f t="shared" ref="B658:B664" si="1512">SUM(B1922:B1922)</f>
        <v>293500</v>
      </c>
      <c r="C658" s="136">
        <f t="shared" ref="C658:C664" si="1513">SUM(C1922:C1922)</f>
        <v>7600</v>
      </c>
      <c r="D658" s="136">
        <f t="shared" ref="D658:E664" si="1514">SUM(D1922:D1922)</f>
        <v>1400</v>
      </c>
      <c r="E658" s="144">
        <f t="shared" si="1514"/>
        <v>0</v>
      </c>
      <c r="F658" s="167">
        <v>32348</v>
      </c>
      <c r="G658" s="79" t="s">
        <v>3717</v>
      </c>
      <c r="H658" s="9">
        <f t="shared" ref="H658:O658" si="1515">SUM(H1922:H1922)</f>
        <v>0</v>
      </c>
      <c r="I658" s="85">
        <f t="shared" si="1507"/>
        <v>0</v>
      </c>
      <c r="J658" s="9">
        <f t="shared" si="1515"/>
        <v>0</v>
      </c>
      <c r="K658" s="9">
        <f t="shared" si="1515"/>
        <v>0</v>
      </c>
      <c r="L658" s="9">
        <f t="shared" si="1515"/>
        <v>0</v>
      </c>
      <c r="M658" s="9">
        <f t="shared" si="1515"/>
        <v>0</v>
      </c>
      <c r="N658" s="29">
        <f t="shared" si="1515"/>
        <v>0</v>
      </c>
      <c r="O658" s="9">
        <f t="shared" si="1515"/>
        <v>0</v>
      </c>
      <c r="P658" s="89">
        <f t="shared" ref="P658:Q658" si="1516">SUM(P1922:P1922)</f>
        <v>0</v>
      </c>
      <c r="Q658" s="9">
        <f t="shared" si="1516"/>
        <v>0</v>
      </c>
      <c r="R658" s="9">
        <f t="shared" ref="R658" si="1517">SUM(R1922:R1922)</f>
        <v>0</v>
      </c>
      <c r="S658" s="47">
        <f t="shared" ref="S658" si="1518">SUM(S1922:S1922)</f>
        <v>0</v>
      </c>
    </row>
    <row r="659" spans="1:19" x14ac:dyDescent="0.2">
      <c r="A659" s="54">
        <f t="shared" si="1511"/>
        <v>0</v>
      </c>
      <c r="B659" s="136">
        <f t="shared" si="1512"/>
        <v>1155800</v>
      </c>
      <c r="C659" s="136">
        <f t="shared" si="1513"/>
        <v>1021300</v>
      </c>
      <c r="D659" s="136">
        <f t="shared" si="1514"/>
        <v>856100</v>
      </c>
      <c r="E659" s="144">
        <f t="shared" si="1514"/>
        <v>868500</v>
      </c>
      <c r="F659" s="167">
        <v>32348</v>
      </c>
      <c r="G659" s="79" t="s">
        <v>3714</v>
      </c>
      <c r="H659" s="9">
        <f t="shared" ref="H659:O659" si="1519">SUM(H1923:H1923)</f>
        <v>873000</v>
      </c>
      <c r="I659" s="85">
        <f t="shared" si="1507"/>
        <v>0.5181347150259068</v>
      </c>
      <c r="J659" s="9">
        <f t="shared" si="1519"/>
        <v>893000</v>
      </c>
      <c r="K659" s="9">
        <f t="shared" si="1519"/>
        <v>915000</v>
      </c>
      <c r="L659" s="9">
        <f t="shared" si="1519"/>
        <v>938000</v>
      </c>
      <c r="M659" s="9">
        <f t="shared" si="1519"/>
        <v>961000</v>
      </c>
      <c r="N659" s="29">
        <f t="shared" si="1519"/>
        <v>985000</v>
      </c>
      <c r="O659" s="9">
        <f t="shared" si="1519"/>
        <v>1010000</v>
      </c>
      <c r="P659" s="89">
        <f t="shared" ref="P659:Q659" si="1520">SUM(P1923:P1923)</f>
        <v>1035000</v>
      </c>
      <c r="Q659" s="9">
        <f t="shared" si="1520"/>
        <v>1061000</v>
      </c>
      <c r="R659" s="9">
        <f t="shared" ref="R659" si="1521">SUM(R1923:R1923)</f>
        <v>1088000</v>
      </c>
      <c r="S659" s="47">
        <f t="shared" ref="S659" si="1522">SUM(S1923:S1923)</f>
        <v>1115000</v>
      </c>
    </row>
    <row r="660" spans="1:19" x14ac:dyDescent="0.2">
      <c r="A660" s="54">
        <f t="shared" si="1511"/>
        <v>393000</v>
      </c>
      <c r="B660" s="136">
        <f t="shared" si="1512"/>
        <v>385000</v>
      </c>
      <c r="C660" s="136">
        <f t="shared" si="1513"/>
        <v>301500</v>
      </c>
      <c r="D660" s="136">
        <f t="shared" si="1514"/>
        <v>316000</v>
      </c>
      <c r="E660" s="144">
        <f t="shared" si="1514"/>
        <v>490900</v>
      </c>
      <c r="F660" s="167">
        <v>32348</v>
      </c>
      <c r="G660" s="79" t="s">
        <v>3715</v>
      </c>
      <c r="H660" s="9">
        <f t="shared" ref="H660:O661" si="1523">SUM(H1924:H1924)</f>
        <v>363000</v>
      </c>
      <c r="I660" s="85">
        <f t="shared" si="1507"/>
        <v>-26.054186188633121</v>
      </c>
      <c r="J660" s="9">
        <f t="shared" si="1523"/>
        <v>360000</v>
      </c>
      <c r="K660" s="9">
        <f t="shared" si="1523"/>
        <v>369000</v>
      </c>
      <c r="L660" s="9">
        <f t="shared" si="1523"/>
        <v>378000</v>
      </c>
      <c r="M660" s="9">
        <f t="shared" si="1523"/>
        <v>387000</v>
      </c>
      <c r="N660" s="29">
        <f t="shared" si="1523"/>
        <v>397000</v>
      </c>
      <c r="O660" s="9">
        <f t="shared" si="1523"/>
        <v>407000</v>
      </c>
      <c r="P660" s="89">
        <f t="shared" ref="P660:Q660" si="1524">SUM(P1924:P1924)</f>
        <v>417000</v>
      </c>
      <c r="Q660" s="9">
        <f t="shared" si="1524"/>
        <v>427000</v>
      </c>
      <c r="R660" s="9">
        <f t="shared" ref="R660" si="1525">SUM(R1924:R1924)</f>
        <v>438000</v>
      </c>
      <c r="S660" s="47">
        <f t="shared" ref="S660" si="1526">SUM(S1924:S1924)</f>
        <v>449000</v>
      </c>
    </row>
    <row r="661" spans="1:19" x14ac:dyDescent="0.2">
      <c r="A661" s="54">
        <f t="shared" si="1511"/>
        <v>344000</v>
      </c>
      <c r="B661" s="136">
        <f t="shared" si="1512"/>
        <v>295600</v>
      </c>
      <c r="C661" s="136">
        <f t="shared" si="1513"/>
        <v>277800</v>
      </c>
      <c r="D661" s="136">
        <f t="shared" si="1514"/>
        <v>137200</v>
      </c>
      <c r="E661" s="144">
        <f t="shared" si="1514"/>
        <v>141100</v>
      </c>
      <c r="F661" s="167">
        <v>32348</v>
      </c>
      <c r="G661" s="79" t="s">
        <v>3716</v>
      </c>
      <c r="H661" s="9">
        <f t="shared" si="1523"/>
        <v>133000</v>
      </c>
      <c r="I661" s="85">
        <f t="shared" si="1507"/>
        <v>-5.7406094968107721</v>
      </c>
      <c r="J661" s="9">
        <f t="shared" si="1523"/>
        <v>136000</v>
      </c>
      <c r="K661" s="9">
        <f t="shared" si="1523"/>
        <v>139000</v>
      </c>
      <c r="L661" s="9">
        <f t="shared" si="1523"/>
        <v>142000</v>
      </c>
      <c r="M661" s="9">
        <f t="shared" si="1523"/>
        <v>146000</v>
      </c>
      <c r="N661" s="29">
        <f t="shared" si="1523"/>
        <v>150000</v>
      </c>
      <c r="O661" s="9">
        <f t="shared" si="1523"/>
        <v>154000</v>
      </c>
      <c r="P661" s="89">
        <f t="shared" ref="P661:Q661" si="1527">SUM(P1925:P1925)</f>
        <v>158000</v>
      </c>
      <c r="Q661" s="9">
        <f t="shared" si="1527"/>
        <v>162000</v>
      </c>
      <c r="R661" s="9">
        <f t="shared" ref="R661" si="1528">SUM(R1925:R1925)</f>
        <v>166000</v>
      </c>
      <c r="S661" s="47">
        <f t="shared" ref="S661" si="1529">SUM(S1925:S1925)</f>
        <v>170000</v>
      </c>
    </row>
    <row r="662" spans="1:19" x14ac:dyDescent="0.2">
      <c r="A662" s="54">
        <f t="shared" si="1511"/>
        <v>0</v>
      </c>
      <c r="B662" s="136">
        <f t="shared" si="1512"/>
        <v>219000</v>
      </c>
      <c r="C662" s="136">
        <f t="shared" si="1513"/>
        <v>146500</v>
      </c>
      <c r="D662" s="136">
        <f t="shared" si="1514"/>
        <v>120000</v>
      </c>
      <c r="E662" s="144">
        <f t="shared" si="1514"/>
        <v>127400</v>
      </c>
      <c r="F662" s="167">
        <v>32348</v>
      </c>
      <c r="G662" s="79" t="s">
        <v>3711</v>
      </c>
      <c r="H662" s="9">
        <f t="shared" ref="H662:O664" si="1530">SUM(H1926:H1926)</f>
        <v>162000</v>
      </c>
      <c r="I662" s="85">
        <f t="shared" si="1507"/>
        <v>27.1585557299843</v>
      </c>
      <c r="J662" s="9">
        <f t="shared" si="1530"/>
        <v>130000</v>
      </c>
      <c r="K662" s="9">
        <f t="shared" si="1530"/>
        <v>133000</v>
      </c>
      <c r="L662" s="9">
        <f t="shared" si="1530"/>
        <v>136000</v>
      </c>
      <c r="M662" s="9">
        <f t="shared" si="1530"/>
        <v>139000</v>
      </c>
      <c r="N662" s="29">
        <f t="shared" si="1530"/>
        <v>142000</v>
      </c>
      <c r="O662" s="9">
        <f t="shared" si="1530"/>
        <v>146000</v>
      </c>
      <c r="P662" s="89">
        <f t="shared" ref="P662:Q662" si="1531">SUM(P1926:P1926)</f>
        <v>150000</v>
      </c>
      <c r="Q662" s="9">
        <f t="shared" si="1531"/>
        <v>154000</v>
      </c>
      <c r="R662" s="9">
        <f t="shared" ref="R662" si="1532">SUM(R1926:R1926)</f>
        <v>158000</v>
      </c>
      <c r="S662" s="47">
        <f t="shared" ref="S662" si="1533">SUM(S1926:S1926)</f>
        <v>162000</v>
      </c>
    </row>
    <row r="663" spans="1:19" x14ac:dyDescent="0.2">
      <c r="A663" s="54">
        <f t="shared" si="1511"/>
        <v>0</v>
      </c>
      <c r="B663" s="136">
        <f t="shared" si="1512"/>
        <v>149000</v>
      </c>
      <c r="C663" s="136">
        <f t="shared" si="1513"/>
        <v>61400</v>
      </c>
      <c r="D663" s="136">
        <f t="shared" si="1514"/>
        <v>63600</v>
      </c>
      <c r="E663" s="144">
        <f t="shared" si="1514"/>
        <v>78200</v>
      </c>
      <c r="F663" s="167">
        <v>32348</v>
      </c>
      <c r="G663" s="79" t="s">
        <v>3712</v>
      </c>
      <c r="H663" s="9">
        <f t="shared" si="1530"/>
        <v>82000</v>
      </c>
      <c r="I663" s="85">
        <f t="shared" si="1507"/>
        <v>4.859335038363171</v>
      </c>
      <c r="J663" s="9">
        <f t="shared" si="1530"/>
        <v>84000</v>
      </c>
      <c r="K663" s="9">
        <f t="shared" si="1530"/>
        <v>86000</v>
      </c>
      <c r="L663" s="9">
        <f t="shared" si="1530"/>
        <v>88000</v>
      </c>
      <c r="M663" s="9">
        <f t="shared" si="1530"/>
        <v>90000</v>
      </c>
      <c r="N663" s="29">
        <f t="shared" si="1530"/>
        <v>92000</v>
      </c>
      <c r="O663" s="9">
        <f t="shared" si="1530"/>
        <v>94000</v>
      </c>
      <c r="P663" s="89">
        <f t="shared" ref="P663:Q663" si="1534">SUM(P1927:P1927)</f>
        <v>96000</v>
      </c>
      <c r="Q663" s="9">
        <f t="shared" si="1534"/>
        <v>98000</v>
      </c>
      <c r="R663" s="9">
        <f t="shared" ref="R663" si="1535">SUM(R1927:R1927)</f>
        <v>100000</v>
      </c>
      <c r="S663" s="47">
        <f t="shared" ref="S663" si="1536">SUM(S1927:S1927)</f>
        <v>103000</v>
      </c>
    </row>
    <row r="664" spans="1:19" x14ac:dyDescent="0.2">
      <c r="A664" s="54">
        <f t="shared" si="1511"/>
        <v>0</v>
      </c>
      <c r="B664" s="136">
        <f t="shared" si="1512"/>
        <v>98100</v>
      </c>
      <c r="C664" s="136">
        <f t="shared" si="1513"/>
        <v>55800</v>
      </c>
      <c r="D664" s="136">
        <f t="shared" si="1514"/>
        <v>54300</v>
      </c>
      <c r="E664" s="144">
        <f t="shared" si="1514"/>
        <v>72900</v>
      </c>
      <c r="F664" s="167">
        <v>32348</v>
      </c>
      <c r="G664" s="79" t="s">
        <v>3713</v>
      </c>
      <c r="H664" s="9">
        <f t="shared" si="1530"/>
        <v>70000</v>
      </c>
      <c r="I664" s="85">
        <f t="shared" si="1507"/>
        <v>-3.9780521262002746</v>
      </c>
      <c r="J664" s="9">
        <f t="shared" si="1530"/>
        <v>72000</v>
      </c>
      <c r="K664" s="9">
        <f t="shared" si="1530"/>
        <v>74000</v>
      </c>
      <c r="L664" s="9">
        <f t="shared" si="1530"/>
        <v>76000</v>
      </c>
      <c r="M664" s="9">
        <f t="shared" si="1530"/>
        <v>78000</v>
      </c>
      <c r="N664" s="29">
        <f t="shared" si="1530"/>
        <v>80000</v>
      </c>
      <c r="O664" s="9">
        <f t="shared" si="1530"/>
        <v>82000</v>
      </c>
      <c r="P664" s="89">
        <f t="shared" ref="P664:Q664" si="1537">SUM(P1928:P1928)</f>
        <v>84000</v>
      </c>
      <c r="Q664" s="9">
        <f t="shared" si="1537"/>
        <v>86000</v>
      </c>
      <c r="R664" s="9">
        <f t="shared" ref="R664" si="1538">SUM(R1928:R1928)</f>
        <v>88000</v>
      </c>
      <c r="S664" s="47">
        <f t="shared" ref="S664" si="1539">SUM(S1928:S1928)</f>
        <v>90000</v>
      </c>
    </row>
    <row r="665" spans="1:19" x14ac:dyDescent="0.2">
      <c r="A665" s="54">
        <f>ROUND(SUM(A1931:A1931),-3)</f>
        <v>812000</v>
      </c>
      <c r="B665" s="136">
        <f>SUM(B1931:B1931)</f>
        <v>125200</v>
      </c>
      <c r="C665" s="136">
        <f>SUM(C1931:C1931)</f>
        <v>174600</v>
      </c>
      <c r="D665" s="136">
        <f>SUM(D1931:D1931)</f>
        <v>375200</v>
      </c>
      <c r="E665" s="144">
        <f>SUM(E1931:E1931)</f>
        <v>94300</v>
      </c>
      <c r="F665" s="167">
        <v>32348</v>
      </c>
      <c r="G665" s="79" t="s">
        <v>977</v>
      </c>
      <c r="H665" s="9">
        <f t="shared" ref="H665:O665" si="1540">SUM(H1931:H1931)</f>
        <v>218000</v>
      </c>
      <c r="I665" s="85">
        <f t="shared" si="1507"/>
        <v>131.17709437963944</v>
      </c>
      <c r="J665" s="9">
        <f t="shared" si="1540"/>
        <v>223000</v>
      </c>
      <c r="K665" s="9">
        <f t="shared" si="1540"/>
        <v>229000</v>
      </c>
      <c r="L665" s="9">
        <f t="shared" si="1540"/>
        <v>235000</v>
      </c>
      <c r="M665" s="9">
        <f t="shared" si="1540"/>
        <v>241000</v>
      </c>
      <c r="N665" s="29">
        <f t="shared" si="1540"/>
        <v>247000</v>
      </c>
      <c r="O665" s="9">
        <f t="shared" si="1540"/>
        <v>253000</v>
      </c>
      <c r="P665" s="89">
        <f t="shared" ref="P665:Q665" si="1541">SUM(P1931:P1931)</f>
        <v>259000</v>
      </c>
      <c r="Q665" s="9">
        <f t="shared" si="1541"/>
        <v>265000</v>
      </c>
      <c r="R665" s="9">
        <f t="shared" ref="R665" si="1542">SUM(R1931:R1931)</f>
        <v>272000</v>
      </c>
      <c r="S665" s="47">
        <f t="shared" ref="S665" si="1543">SUM(S1931:S1931)</f>
        <v>279000</v>
      </c>
    </row>
    <row r="666" spans="1:19" x14ac:dyDescent="0.2">
      <c r="A666" s="54">
        <f>ROUND(SUM(A1933:A1940),-3)</f>
        <v>15000</v>
      </c>
      <c r="B666" s="136">
        <f>SUM(B1933:B1940)</f>
        <v>17800</v>
      </c>
      <c r="C666" s="136">
        <f>SUM(C1933:C1940)</f>
        <v>21700</v>
      </c>
      <c r="D666" s="136">
        <f>SUM(D1933:D1940)</f>
        <v>19600</v>
      </c>
      <c r="E666" s="144">
        <f t="shared" ref="E666" si="1544">SUM(E1933:E1940)</f>
        <v>19000</v>
      </c>
      <c r="F666" s="167">
        <v>32348</v>
      </c>
      <c r="G666" s="420" t="s">
        <v>1841</v>
      </c>
      <c r="H666" s="9">
        <f t="shared" ref="H666:O666" si="1545">SUM(H1933:H1940)</f>
        <v>17000</v>
      </c>
      <c r="I666" s="85">
        <f t="shared" si="1507"/>
        <v>-10.526315789473683</v>
      </c>
      <c r="J666" s="9">
        <f t="shared" si="1545"/>
        <v>17000</v>
      </c>
      <c r="K666" s="9">
        <f t="shared" si="1545"/>
        <v>17000</v>
      </c>
      <c r="L666" s="9">
        <f t="shared" si="1545"/>
        <v>17000</v>
      </c>
      <c r="M666" s="9">
        <f t="shared" si="1545"/>
        <v>17000</v>
      </c>
      <c r="N666" s="29">
        <f t="shared" si="1545"/>
        <v>17000</v>
      </c>
      <c r="O666" s="9">
        <f t="shared" si="1545"/>
        <v>17000</v>
      </c>
      <c r="P666" s="89">
        <f t="shared" ref="P666:Q666" si="1546">SUM(P1933:P1940)</f>
        <v>17000</v>
      </c>
      <c r="Q666" s="9">
        <f t="shared" si="1546"/>
        <v>17000</v>
      </c>
      <c r="R666" s="9">
        <f t="shared" ref="R666" si="1547">SUM(R1933:R1940)</f>
        <v>17000</v>
      </c>
      <c r="S666" s="47">
        <f t="shared" ref="S666" si="1548">SUM(S1933:S1940)</f>
        <v>17000</v>
      </c>
    </row>
    <row r="667" spans="1:19" x14ac:dyDescent="0.2">
      <c r="A667" s="54">
        <f>ROUND(SUM(A1941:A1944),-3)</f>
        <v>1000</v>
      </c>
      <c r="B667" s="136">
        <f>SUM(B1941:B1944)</f>
        <v>2700</v>
      </c>
      <c r="C667" s="136">
        <f>SUM(C1941:C1944)</f>
        <v>1100</v>
      </c>
      <c r="D667" s="136">
        <f>SUM(D1941:D1944)</f>
        <v>1700</v>
      </c>
      <c r="E667" s="144">
        <f t="shared" ref="E667" si="1549">SUM(E1941:E1944)</f>
        <v>400</v>
      </c>
      <c r="F667" s="167">
        <v>32348</v>
      </c>
      <c r="G667" s="420" t="s">
        <v>283</v>
      </c>
      <c r="H667" s="9">
        <f t="shared" ref="H667:O667" si="1550">SUM(H1941:H1944)</f>
        <v>3000</v>
      </c>
      <c r="I667" s="85">
        <f t="shared" si="1507"/>
        <v>650</v>
      </c>
      <c r="J667" s="9">
        <f t="shared" si="1550"/>
        <v>3000</v>
      </c>
      <c r="K667" s="9">
        <f t="shared" si="1550"/>
        <v>3000</v>
      </c>
      <c r="L667" s="9">
        <f t="shared" si="1550"/>
        <v>3000</v>
      </c>
      <c r="M667" s="9">
        <f t="shared" si="1550"/>
        <v>3000</v>
      </c>
      <c r="N667" s="29">
        <f t="shared" si="1550"/>
        <v>3000</v>
      </c>
      <c r="O667" s="9">
        <f t="shared" si="1550"/>
        <v>3000</v>
      </c>
      <c r="P667" s="89">
        <f t="shared" ref="P667:Q667" si="1551">SUM(P1941:P1944)</f>
        <v>3000</v>
      </c>
      <c r="Q667" s="9">
        <f t="shared" si="1551"/>
        <v>3000</v>
      </c>
      <c r="R667" s="9">
        <f t="shared" ref="R667" si="1552">SUM(R1941:R1944)</f>
        <v>3000</v>
      </c>
      <c r="S667" s="47">
        <f t="shared" ref="S667" si="1553">SUM(S1941:S1944)</f>
        <v>3000</v>
      </c>
    </row>
    <row r="668" spans="1:19" x14ac:dyDescent="0.2">
      <c r="A668" s="54">
        <f>ROUND(SUM(A1945:A1949),-3)</f>
        <v>238000</v>
      </c>
      <c r="B668" s="136">
        <f>SUM(B1945:B1949)</f>
        <v>131300</v>
      </c>
      <c r="C668" s="136">
        <f>SUM(C1945:C1949)</f>
        <v>173600</v>
      </c>
      <c r="D668" s="136">
        <f>SUM(D1945:D1949)</f>
        <v>586200</v>
      </c>
      <c r="E668" s="144">
        <f>SUM(E1945:E1949)</f>
        <v>224200</v>
      </c>
      <c r="F668" s="167">
        <v>32348</v>
      </c>
      <c r="G668" s="781" t="s">
        <v>3718</v>
      </c>
      <c r="H668" s="9">
        <f t="shared" ref="H668:Q668" si="1554">SUM(H1945:H1949)</f>
        <v>317100</v>
      </c>
      <c r="I668" s="85">
        <f t="shared" si="1507"/>
        <v>41.43621766280107</v>
      </c>
      <c r="J668" s="9">
        <f t="shared" si="1554"/>
        <v>325000</v>
      </c>
      <c r="K668" s="9">
        <f t="shared" si="1554"/>
        <v>333000</v>
      </c>
      <c r="L668" s="9">
        <f t="shared" si="1554"/>
        <v>341000</v>
      </c>
      <c r="M668" s="9">
        <f t="shared" si="1554"/>
        <v>349000</v>
      </c>
      <c r="N668" s="29">
        <f t="shared" si="1554"/>
        <v>358000</v>
      </c>
      <c r="O668" s="9">
        <f t="shared" si="1554"/>
        <v>367000</v>
      </c>
      <c r="P668" s="89">
        <f t="shared" si="1554"/>
        <v>376000</v>
      </c>
      <c r="Q668" s="9">
        <f t="shared" si="1554"/>
        <v>385000</v>
      </c>
      <c r="R668" s="9">
        <f t="shared" ref="R668" si="1555">SUM(R1945:R1949)</f>
        <v>394000</v>
      </c>
      <c r="S668" s="47">
        <f t="shared" ref="S668" si="1556">SUM(S1945:S1949)</f>
        <v>404000</v>
      </c>
    </row>
    <row r="669" spans="1:19" x14ac:dyDescent="0.2">
      <c r="A669" s="54">
        <f>ROUND(SUM(A1950:A1953),-3)+100</f>
        <v>64100</v>
      </c>
      <c r="B669" s="136">
        <f>SUM(B1950:B1953)</f>
        <v>17300</v>
      </c>
      <c r="C669" s="136">
        <f>SUM(C1950:C1953)</f>
        <v>74800</v>
      </c>
      <c r="D669" s="136">
        <f>SUM(D1950:D1953)</f>
        <v>19900</v>
      </c>
      <c r="E669" s="144">
        <f t="shared" ref="E669" si="1557">SUM(E1950:E1953)</f>
        <v>20900</v>
      </c>
      <c r="F669" s="167">
        <v>32348</v>
      </c>
      <c r="G669" s="781" t="s">
        <v>3690</v>
      </c>
      <c r="H669" s="9">
        <f t="shared" ref="H669:P669" si="1558">SUM(H1950:H1953)</f>
        <v>37000</v>
      </c>
      <c r="I669" s="85">
        <f t="shared" si="1507"/>
        <v>77.033492822966508</v>
      </c>
      <c r="J669" s="9">
        <f t="shared" si="1558"/>
        <v>38000</v>
      </c>
      <c r="K669" s="9">
        <f t="shared" si="1558"/>
        <v>39000</v>
      </c>
      <c r="L669" s="9">
        <f t="shared" si="1558"/>
        <v>40000</v>
      </c>
      <c r="M669" s="9">
        <f t="shared" si="1558"/>
        <v>41000</v>
      </c>
      <c r="N669" s="29">
        <f t="shared" si="1558"/>
        <v>42000</v>
      </c>
      <c r="O669" s="9">
        <f t="shared" si="1558"/>
        <v>43000</v>
      </c>
      <c r="P669" s="89">
        <f t="shared" si="1558"/>
        <v>44000</v>
      </c>
      <c r="Q669" s="9">
        <f t="shared" ref="Q669" si="1559">SUM(Q1950:Q1953)</f>
        <v>45000</v>
      </c>
      <c r="R669" s="9">
        <f t="shared" ref="R669" si="1560">SUM(R1950:R1953)</f>
        <v>46000</v>
      </c>
      <c r="S669" s="47">
        <f t="shared" ref="S669" si="1561">SUM(S1950:S1953)</f>
        <v>47000</v>
      </c>
    </row>
    <row r="670" spans="1:19" x14ac:dyDescent="0.2">
      <c r="A670" s="54"/>
      <c r="B670" s="136"/>
      <c r="D670" s="136">
        <f>D1954+D1955</f>
        <v>791700</v>
      </c>
      <c r="E670" s="144">
        <f>E1954+E1955</f>
        <v>0</v>
      </c>
      <c r="F670" s="167">
        <v>32348</v>
      </c>
      <c r="G670" s="781" t="s">
        <v>1739</v>
      </c>
      <c r="H670" s="9">
        <f>H1954+H1955</f>
        <v>0</v>
      </c>
      <c r="I670" s="85">
        <f t="shared" si="1507"/>
        <v>0</v>
      </c>
      <c r="J670" s="9">
        <f t="shared" ref="J670:Q670" si="1562">J1954+J1955</f>
        <v>0</v>
      </c>
      <c r="K670" s="9">
        <f t="shared" si="1562"/>
        <v>0</v>
      </c>
      <c r="L670" s="9">
        <f t="shared" si="1562"/>
        <v>0</v>
      </c>
      <c r="M670" s="9">
        <f t="shared" si="1562"/>
        <v>0</v>
      </c>
      <c r="N670" s="9">
        <f t="shared" si="1562"/>
        <v>0</v>
      </c>
      <c r="O670" s="9">
        <f t="shared" si="1562"/>
        <v>0</v>
      </c>
      <c r="P670" s="9">
        <f t="shared" si="1562"/>
        <v>0</v>
      </c>
      <c r="Q670" s="9">
        <f t="shared" si="1562"/>
        <v>0</v>
      </c>
      <c r="R670" s="9">
        <f t="shared" ref="R670" si="1563">R1954+R1955</f>
        <v>0</v>
      </c>
      <c r="S670" s="47">
        <f t="shared" ref="S670" si="1564">S1954+S1955</f>
        <v>0</v>
      </c>
    </row>
    <row r="671" spans="1:19" x14ac:dyDescent="0.2">
      <c r="A671" s="54"/>
      <c r="B671" s="9"/>
      <c r="E671" s="144"/>
      <c r="F671" s="167"/>
      <c r="G671" s="420"/>
      <c r="H671" s="9"/>
      <c r="I671" s="85"/>
      <c r="J671" s="9"/>
      <c r="K671" s="9"/>
      <c r="L671" s="9"/>
      <c r="M671" s="9"/>
      <c r="N671" s="29"/>
      <c r="O671" s="9"/>
      <c r="P671" s="89"/>
      <c r="Q671" s="9"/>
      <c r="R671" s="9"/>
      <c r="S671" s="47"/>
    </row>
    <row r="672" spans="1:19" x14ac:dyDescent="0.2">
      <c r="A672" s="54"/>
      <c r="B672" s="9"/>
      <c r="E672" s="144"/>
      <c r="F672" s="167"/>
      <c r="G672" s="21" t="str">
        <f>G101</f>
        <v>Non-Cash Expenses</v>
      </c>
      <c r="H672" s="9"/>
      <c r="I672" s="85"/>
      <c r="J672" s="9"/>
      <c r="K672" s="9"/>
      <c r="L672" s="9"/>
      <c r="M672" s="9"/>
      <c r="N672" s="29"/>
      <c r="O672" s="9"/>
      <c r="P672" s="89"/>
      <c r="Q672" s="9"/>
      <c r="R672" s="9"/>
      <c r="S672" s="47"/>
    </row>
    <row r="673" spans="1:21" x14ac:dyDescent="0.2">
      <c r="A673" s="54">
        <f>ROUND(SUM(A1957:A1958),)</f>
        <v>1086400</v>
      </c>
      <c r="B673" s="9">
        <f>ROUND(SUM(B1957:B1958),)</f>
        <v>1073600</v>
      </c>
      <c r="C673" s="136">
        <f>ROUND(SUM(C1957:C1958),)</f>
        <v>1081300</v>
      </c>
      <c r="D673" s="136">
        <f>ROUND(SUM(D1957:D1958),)</f>
        <v>1071900</v>
      </c>
      <c r="E673" s="144">
        <f t="shared" ref="E673" si="1565">ROUND(SUM(E1957:E1958),)</f>
        <v>900</v>
      </c>
      <c r="F673" s="167">
        <v>32340</v>
      </c>
      <c r="G673" s="420" t="s">
        <v>2035</v>
      </c>
      <c r="H673" s="9">
        <f t="shared" ref="H673:P673" si="1566">ROUND(SUM(H1957:H1958),)</f>
        <v>1126100</v>
      </c>
      <c r="I673" s="85">
        <f>IF(E673=H673,0,IF(E673=0,100,(H673-E673)/E673*100))</f>
        <v>125022.22222222222</v>
      </c>
      <c r="J673" s="9">
        <f t="shared" si="1566"/>
        <v>1148700</v>
      </c>
      <c r="K673" s="9">
        <f t="shared" si="1566"/>
        <v>1171700</v>
      </c>
      <c r="L673" s="9">
        <f t="shared" si="1566"/>
        <v>1195200</v>
      </c>
      <c r="M673" s="9">
        <f t="shared" si="1566"/>
        <v>1219200</v>
      </c>
      <c r="N673" s="29">
        <f t="shared" si="1566"/>
        <v>1243600</v>
      </c>
      <c r="O673" s="9">
        <f t="shared" si="1566"/>
        <v>1268500</v>
      </c>
      <c r="P673" s="89">
        <f t="shared" si="1566"/>
        <v>1293900</v>
      </c>
      <c r="Q673" s="9">
        <f t="shared" ref="Q673" si="1567">ROUND(SUM(Q1957:Q1958),)</f>
        <v>1319800</v>
      </c>
      <c r="R673" s="9">
        <f t="shared" ref="R673" si="1568">ROUND(SUM(R1957:R1958),)</f>
        <v>1346200</v>
      </c>
      <c r="S673" s="47">
        <f t="shared" ref="S673" si="1569">ROUND(SUM(S1957:S1958),)</f>
        <v>1373200</v>
      </c>
    </row>
    <row r="674" spans="1:21" x14ac:dyDescent="0.2">
      <c r="A674" s="54">
        <f>ROUND(SUM(A1960:A1960),)</f>
        <v>191200</v>
      </c>
      <c r="B674" s="9">
        <f>ROUND(SUM(B1960:B1960),)</f>
        <v>67300</v>
      </c>
      <c r="C674" s="136">
        <f>ROUND(SUM(C1960:C1960),)</f>
        <v>65300</v>
      </c>
      <c r="D674" s="136">
        <f>ROUND(SUM(D1960:D1960),)</f>
        <v>53200</v>
      </c>
      <c r="E674" s="144">
        <f t="shared" ref="E674" si="1570">ROUND(SUM(E1960:E1960),)</f>
        <v>40500</v>
      </c>
      <c r="F674" s="167">
        <v>32340</v>
      </c>
      <c r="G674" s="781" t="s">
        <v>4921</v>
      </c>
      <c r="H674" s="9">
        <f t="shared" ref="H674:P674" si="1571">ROUND(SUM(H1960:H1960),)</f>
        <v>0</v>
      </c>
      <c r="I674" s="85">
        <f>IF(E674=H674,0,IF(E674=0,100,(H674-E674)/E674*100))</f>
        <v>-100</v>
      </c>
      <c r="J674" s="9">
        <f t="shared" si="1571"/>
        <v>0</v>
      </c>
      <c r="K674" s="9">
        <f t="shared" si="1571"/>
        <v>0</v>
      </c>
      <c r="L674" s="9">
        <f t="shared" si="1571"/>
        <v>0</v>
      </c>
      <c r="M674" s="9">
        <f t="shared" si="1571"/>
        <v>0</v>
      </c>
      <c r="N674" s="29">
        <f t="shared" si="1571"/>
        <v>0</v>
      </c>
      <c r="O674" s="9">
        <f t="shared" si="1571"/>
        <v>0</v>
      </c>
      <c r="P674" s="89">
        <f t="shared" si="1571"/>
        <v>0</v>
      </c>
      <c r="Q674" s="9">
        <f t="shared" ref="Q674" si="1572">ROUND(SUM(Q1960:Q1960),)</f>
        <v>0</v>
      </c>
      <c r="R674" s="9">
        <f t="shared" ref="R674" si="1573">ROUND(SUM(R1960:R1960),)</f>
        <v>0</v>
      </c>
      <c r="S674" s="47">
        <f t="shared" ref="S674" si="1574">ROUND(SUM(S1960:S1960),)</f>
        <v>0</v>
      </c>
    </row>
    <row r="675" spans="1:21" x14ac:dyDescent="0.2">
      <c r="A675" s="54">
        <f>ROUND(SUM(A1959:A1959),)</f>
        <v>260000</v>
      </c>
      <c r="B675" s="9">
        <f>ROUND(SUM(B1959:B1959),)</f>
        <v>153700</v>
      </c>
      <c r="C675" s="136">
        <f>ROUND(SUM(C1959:C1959),)</f>
        <v>131200</v>
      </c>
      <c r="D675" s="136">
        <f>ROUND(SUM(D1959:D1959),)</f>
        <v>122400</v>
      </c>
      <c r="E675" s="144">
        <f t="shared" ref="E675" si="1575">ROUND(SUM(E1959:E1959),)</f>
        <v>122400</v>
      </c>
      <c r="F675" s="167">
        <v>32340</v>
      </c>
      <c r="G675" s="781" t="s">
        <v>2109</v>
      </c>
      <c r="H675" s="9">
        <f t="shared" ref="H675:P675" si="1576">ROUND(SUM(H1959:H1959),)</f>
        <v>137700</v>
      </c>
      <c r="I675" s="85">
        <f>IF(E675=H675,0,IF(E675=0,100,(H675-E675)/E675*100))</f>
        <v>12.5</v>
      </c>
      <c r="J675" s="9">
        <f t="shared" si="1576"/>
        <v>140500</v>
      </c>
      <c r="K675" s="9">
        <f t="shared" si="1576"/>
        <v>143400</v>
      </c>
      <c r="L675" s="9">
        <f t="shared" si="1576"/>
        <v>146300</v>
      </c>
      <c r="M675" s="9">
        <f t="shared" si="1576"/>
        <v>149300</v>
      </c>
      <c r="N675" s="29">
        <f t="shared" si="1576"/>
        <v>152300</v>
      </c>
      <c r="O675" s="9">
        <f t="shared" si="1576"/>
        <v>155400</v>
      </c>
      <c r="P675" s="89">
        <f t="shared" si="1576"/>
        <v>158600</v>
      </c>
      <c r="Q675" s="9">
        <f t="shared" ref="Q675" si="1577">ROUND(SUM(Q1959:Q1959),)</f>
        <v>161800</v>
      </c>
      <c r="R675" s="9">
        <f t="shared" ref="R675" si="1578">ROUND(SUM(R1959:R1959),)</f>
        <v>165100</v>
      </c>
      <c r="S675" s="47">
        <f t="shared" ref="S675" si="1579">ROUND(SUM(S1959:S1959),)</f>
        <v>168500</v>
      </c>
    </row>
    <row r="676" spans="1:21" ht="13.5" thickBot="1" x14ac:dyDescent="0.25">
      <c r="A676" s="54"/>
      <c r="B676" s="9"/>
      <c r="E676" s="144"/>
      <c r="F676" s="167"/>
      <c r="G676" s="420"/>
      <c r="H676" s="9"/>
      <c r="I676" s="85"/>
      <c r="J676" s="9"/>
      <c r="K676" s="9"/>
      <c r="L676" s="9"/>
      <c r="M676" s="9"/>
      <c r="N676" s="29"/>
      <c r="O676" s="9"/>
      <c r="P676" s="89"/>
      <c r="Q676" s="9"/>
      <c r="R676" s="9"/>
      <c r="S676" s="47"/>
    </row>
    <row r="677" spans="1:21" x14ac:dyDescent="0.2">
      <c r="A677" s="52">
        <f>SUM(A636:A675)</f>
        <v>2751600</v>
      </c>
      <c r="B677" s="16">
        <f>SUM(B636:B675)</f>
        <v>2493800</v>
      </c>
      <c r="C677" s="137">
        <f>SUM(C636:C675)</f>
        <v>2612000</v>
      </c>
      <c r="D677" s="137">
        <f>SUM(D636:D675)</f>
        <v>3544300</v>
      </c>
      <c r="E677" s="1473">
        <f>SUM(E636:E675)</f>
        <v>1463000</v>
      </c>
      <c r="F677" s="126"/>
      <c r="G677" s="267" t="s">
        <v>556</v>
      </c>
      <c r="H677" s="16">
        <f t="shared" ref="H677:P677" si="1580">SUM(H636:H675)</f>
        <v>2413100</v>
      </c>
      <c r="I677" s="127">
        <f>IF(E677=H677,0,IF(E677=0,100,(H677-E677)/E677*100))</f>
        <v>64.941900205058104</v>
      </c>
      <c r="J677" s="16">
        <f t="shared" si="1580"/>
        <v>2309200</v>
      </c>
      <c r="K677" s="16">
        <f t="shared" si="1580"/>
        <v>2364100</v>
      </c>
      <c r="L677" s="16">
        <f t="shared" si="1580"/>
        <v>2420500</v>
      </c>
      <c r="M677" s="16">
        <f t="shared" si="1580"/>
        <v>2475500</v>
      </c>
      <c r="N677" s="323">
        <f t="shared" si="1580"/>
        <v>2535900</v>
      </c>
      <c r="O677" s="16">
        <f t="shared" si="1580"/>
        <v>2596900</v>
      </c>
      <c r="P677" s="102">
        <f t="shared" si="1580"/>
        <v>2659500</v>
      </c>
      <c r="Q677" s="16">
        <f t="shared" ref="Q677" si="1581">SUM(Q636:Q675)</f>
        <v>2721600</v>
      </c>
      <c r="R677" s="16">
        <f t="shared" ref="R677" si="1582">SUM(R636:R675)</f>
        <v>2785300</v>
      </c>
      <c r="S677" s="2342">
        <f t="shared" ref="S677" si="1583">SUM(S636:S675)</f>
        <v>2852700</v>
      </c>
    </row>
    <row r="678" spans="1:21" x14ac:dyDescent="0.2">
      <c r="A678" s="54"/>
      <c r="B678" s="9"/>
      <c r="E678" s="144"/>
      <c r="F678" s="584" t="s">
        <v>2214</v>
      </c>
      <c r="G678" s="257"/>
      <c r="H678" s="21"/>
      <c r="I678" s="85"/>
      <c r="J678" s="21"/>
      <c r="K678" s="21"/>
      <c r="L678" s="21"/>
      <c r="M678" s="21"/>
      <c r="N678" s="32"/>
      <c r="O678" s="21"/>
      <c r="P678" s="75"/>
      <c r="Q678" s="21"/>
      <c r="R678" s="21"/>
      <c r="S678" s="86"/>
    </row>
    <row r="679" spans="1:21" x14ac:dyDescent="0.2">
      <c r="A679" s="24">
        <f>A634-A677</f>
        <v>-254600</v>
      </c>
      <c r="B679" s="21">
        <f>B634-B677</f>
        <v>226400</v>
      </c>
      <c r="C679" s="139">
        <f>C634-C677</f>
        <v>1346300</v>
      </c>
      <c r="D679" s="139">
        <f>D634-D677</f>
        <v>300200</v>
      </c>
      <c r="E679" s="143">
        <f t="shared" ref="E679" si="1584">E634-E677</f>
        <v>1887400</v>
      </c>
      <c r="F679" s="173"/>
      <c r="G679" s="361" t="s">
        <v>1002</v>
      </c>
      <c r="H679" s="21">
        <f t="shared" ref="H679:P679" si="1585">H634-H677</f>
        <v>-302100</v>
      </c>
      <c r="I679" s="126">
        <f>IF(E679=H679,0,IF(E679=0,100,(H679-E679)/E679*100))</f>
        <v>-116.00614602098125</v>
      </c>
      <c r="J679" s="21">
        <f t="shared" si="1585"/>
        <v>-170200</v>
      </c>
      <c r="K679" s="21">
        <f t="shared" si="1585"/>
        <v>-131100</v>
      </c>
      <c r="L679" s="21">
        <f t="shared" si="1585"/>
        <v>-144500</v>
      </c>
      <c r="M679" s="21">
        <f t="shared" si="1585"/>
        <v>-157500</v>
      </c>
      <c r="N679" s="32">
        <f t="shared" si="1585"/>
        <v>-176900</v>
      </c>
      <c r="O679" s="21">
        <f t="shared" si="1585"/>
        <v>-196900</v>
      </c>
      <c r="P679" s="75">
        <f t="shared" si="1585"/>
        <v>-208500</v>
      </c>
      <c r="Q679" s="21">
        <f t="shared" ref="Q679" si="1586">Q634-Q677</f>
        <v>-217600</v>
      </c>
      <c r="R679" s="21">
        <f t="shared" ref="R679" si="1587">R634-R677</f>
        <v>-227300</v>
      </c>
      <c r="S679" s="86">
        <f t="shared" ref="S679" si="1588">S634-S677</f>
        <v>-238700</v>
      </c>
    </row>
    <row r="680" spans="1:21" x14ac:dyDescent="0.2">
      <c r="A680" s="54">
        <f>SUM(A673:A675)</f>
        <v>1537600</v>
      </c>
      <c r="B680" s="9">
        <f>SUM(B673:B675)</f>
        <v>1294600</v>
      </c>
      <c r="C680" s="136">
        <f>SUM(C673:C675)</f>
        <v>1277800</v>
      </c>
      <c r="D680" s="136">
        <f>SUM(D673:D675)</f>
        <v>1247500</v>
      </c>
      <c r="E680" s="144">
        <f t="shared" ref="E680" si="1589">SUM(E673:E675)</f>
        <v>163800</v>
      </c>
      <c r="F680" s="167"/>
      <c r="G680" s="261" t="s">
        <v>1943</v>
      </c>
      <c r="H680" s="9">
        <f t="shared" ref="H680:P680" si="1590">SUM(H673:H675)</f>
        <v>1263800</v>
      </c>
      <c r="I680" s="85">
        <f>IF(E680=H680,0,IF(E680=0,100,(H680-E680)/E680*100))</f>
        <v>671.55067155067161</v>
      </c>
      <c r="J680" s="9">
        <f t="shared" si="1590"/>
        <v>1289200</v>
      </c>
      <c r="K680" s="9">
        <f t="shared" si="1590"/>
        <v>1315100</v>
      </c>
      <c r="L680" s="9">
        <f t="shared" si="1590"/>
        <v>1341500</v>
      </c>
      <c r="M680" s="9">
        <f t="shared" si="1590"/>
        <v>1368500</v>
      </c>
      <c r="N680" s="29">
        <f t="shared" si="1590"/>
        <v>1395900</v>
      </c>
      <c r="O680" s="9">
        <f t="shared" si="1590"/>
        <v>1423900</v>
      </c>
      <c r="P680" s="89">
        <f t="shared" si="1590"/>
        <v>1452500</v>
      </c>
      <c r="Q680" s="9">
        <f t="shared" ref="Q680" si="1591">SUM(Q673:Q675)</f>
        <v>1481600</v>
      </c>
      <c r="R680" s="9">
        <f t="shared" ref="R680" si="1592">SUM(R673:R675)</f>
        <v>1511300</v>
      </c>
      <c r="S680" s="47">
        <f t="shared" ref="S680" si="1593">SUM(S673:S675)</f>
        <v>1541700</v>
      </c>
    </row>
    <row r="681" spans="1:21" s="39" customFormat="1" x14ac:dyDescent="0.2">
      <c r="A681" s="128">
        <f>A679+A680</f>
        <v>1283000</v>
      </c>
      <c r="B681" s="280">
        <f>B679+B680</f>
        <v>1521000</v>
      </c>
      <c r="C681" s="281">
        <f>C679+C680</f>
        <v>2624100</v>
      </c>
      <c r="D681" s="281">
        <f>D679+D680</f>
        <v>1547700</v>
      </c>
      <c r="E681" s="1513">
        <f t="shared" ref="E681" si="1594">E679+E680</f>
        <v>2051200</v>
      </c>
      <c r="F681" s="372"/>
      <c r="G681" s="363" t="s">
        <v>1659</v>
      </c>
      <c r="H681" s="280">
        <f t="shared" ref="H681:O681" si="1595">H679+H680</f>
        <v>961700</v>
      </c>
      <c r="I681" s="278">
        <f>IF(E681=H681,0,IF(E681=0,100,(H681-E681)/E681*100))</f>
        <v>-53.115249609984396</v>
      </c>
      <c r="J681" s="280">
        <f t="shared" si="1595"/>
        <v>1119000</v>
      </c>
      <c r="K681" s="280">
        <f t="shared" si="1595"/>
        <v>1184000</v>
      </c>
      <c r="L681" s="280">
        <f t="shared" si="1595"/>
        <v>1197000</v>
      </c>
      <c r="M681" s="280">
        <f t="shared" si="1595"/>
        <v>1211000</v>
      </c>
      <c r="N681" s="515">
        <f t="shared" si="1595"/>
        <v>1219000</v>
      </c>
      <c r="O681" s="280">
        <f t="shared" si="1595"/>
        <v>1227000</v>
      </c>
      <c r="P681" s="266">
        <f t="shared" ref="P681:Q681" si="1596">P679+P680</f>
        <v>1244000</v>
      </c>
      <c r="Q681" s="280">
        <f t="shared" si="1596"/>
        <v>1264000</v>
      </c>
      <c r="R681" s="280">
        <f t="shared" ref="R681" si="1597">R679+R680</f>
        <v>1284000</v>
      </c>
      <c r="S681" s="2343">
        <f t="shared" ref="S681" si="1598">S679+S680</f>
        <v>1303000</v>
      </c>
      <c r="U681" s="34"/>
    </row>
    <row r="682" spans="1:21" x14ac:dyDescent="0.2">
      <c r="A682" s="544"/>
      <c r="B682" s="21"/>
      <c r="C682" s="139"/>
      <c r="D682" s="138"/>
      <c r="E682" s="143"/>
      <c r="F682" s="167"/>
      <c r="G682" s="167"/>
      <c r="H682" s="9"/>
      <c r="I682" s="126"/>
      <c r="J682" s="9"/>
      <c r="K682" s="9"/>
      <c r="L682" s="9"/>
      <c r="M682" s="9"/>
      <c r="N682" s="29"/>
      <c r="O682" s="9"/>
      <c r="P682" s="89"/>
      <c r="Q682" s="9"/>
      <c r="R682" s="9"/>
      <c r="S682" s="47"/>
    </row>
    <row r="683" spans="1:21" x14ac:dyDescent="0.2">
      <c r="A683" s="24"/>
      <c r="B683" s="21"/>
      <c r="C683" s="139"/>
      <c r="D683" s="139"/>
      <c r="E683" s="143"/>
      <c r="F683" s="167"/>
      <c r="G683" s="361" t="s">
        <v>192</v>
      </c>
      <c r="H683" s="9"/>
      <c r="I683" s="126"/>
      <c r="J683" s="9"/>
      <c r="K683" s="9"/>
      <c r="L683" s="9"/>
      <c r="M683" s="9"/>
      <c r="N683" s="29"/>
      <c r="O683" s="9"/>
      <c r="P683" s="89"/>
      <c r="Q683" s="9"/>
      <c r="R683" s="9"/>
      <c r="S683" s="47"/>
    </row>
    <row r="684" spans="1:21" x14ac:dyDescent="0.2">
      <c r="A684" s="54">
        <f>ROUND(A1970,-3)</f>
        <v>982000</v>
      </c>
      <c r="B684" s="9">
        <f t="shared" ref="B684:C688" si="1599">B1970</f>
        <v>1053000</v>
      </c>
      <c r="C684" s="136">
        <f t="shared" si="1599"/>
        <v>1135100</v>
      </c>
      <c r="D684" s="136">
        <f>D1970</f>
        <v>1205600</v>
      </c>
      <c r="E684" s="144">
        <f t="shared" ref="E684" si="1600">E1970</f>
        <v>1111500</v>
      </c>
      <c r="F684" s="167"/>
      <c r="G684" s="257" t="str">
        <f>G611</f>
        <v>Less Loan Principal Repayments</v>
      </c>
      <c r="H684" s="134">
        <f t="shared" ref="H684:N684" si="1601">H1970</f>
        <v>193900</v>
      </c>
      <c r="I684" s="85">
        <f t="shared" ref="I684:I689" si="1602">IF(E684=H684,0,IF(E684=0,100,(H684-E684)/E684*100))</f>
        <v>-82.555105713000458</v>
      </c>
      <c r="J684" s="9">
        <f t="shared" si="1601"/>
        <v>0</v>
      </c>
      <c r="K684" s="9">
        <f t="shared" si="1601"/>
        <v>0</v>
      </c>
      <c r="L684" s="9">
        <f t="shared" si="1601"/>
        <v>0</v>
      </c>
      <c r="M684" s="9">
        <f t="shared" si="1601"/>
        <v>0</v>
      </c>
      <c r="N684" s="29">
        <f t="shared" si="1601"/>
        <v>0</v>
      </c>
      <c r="O684" s="134">
        <f t="shared" ref="O684:P688" si="1603">O1970</f>
        <v>0</v>
      </c>
      <c r="P684" s="136">
        <f t="shared" si="1603"/>
        <v>0</v>
      </c>
      <c r="Q684" s="134">
        <f t="shared" ref="Q684" si="1604">Q1970</f>
        <v>0</v>
      </c>
      <c r="R684" s="134">
        <f t="shared" ref="R684" si="1605">R1970</f>
        <v>0</v>
      </c>
      <c r="S684" s="2359">
        <f t="shared" ref="S684" si="1606">S1970</f>
        <v>0</v>
      </c>
    </row>
    <row r="685" spans="1:21" x14ac:dyDescent="0.2">
      <c r="A685" s="54">
        <f>ROUND(A1971,-3)</f>
        <v>1496000</v>
      </c>
      <c r="B685" s="9">
        <f t="shared" si="1599"/>
        <v>1626700</v>
      </c>
      <c r="C685" s="136">
        <f t="shared" si="1599"/>
        <v>1489000</v>
      </c>
      <c r="D685" s="136">
        <f>D1971</f>
        <v>2065900</v>
      </c>
      <c r="E685" s="144">
        <f t="shared" ref="E685" si="1607">E1971</f>
        <v>1003000</v>
      </c>
      <c r="F685" s="167"/>
      <c r="G685" s="257" t="str">
        <f>G612</f>
        <v>Less Transfer to Reserves</v>
      </c>
      <c r="H685" s="9">
        <f t="shared" ref="H685:N685" si="1608">H1971</f>
        <v>827500</v>
      </c>
      <c r="I685" s="85">
        <f t="shared" si="1602"/>
        <v>-17.497507477567297</v>
      </c>
      <c r="J685" s="9">
        <f t="shared" si="1608"/>
        <v>1119000</v>
      </c>
      <c r="K685" s="9">
        <f t="shared" si="1608"/>
        <v>1184000</v>
      </c>
      <c r="L685" s="9">
        <f t="shared" si="1608"/>
        <v>1197000</v>
      </c>
      <c r="M685" s="9">
        <f t="shared" si="1608"/>
        <v>1211000</v>
      </c>
      <c r="N685" s="29">
        <f t="shared" si="1608"/>
        <v>1219000</v>
      </c>
      <c r="O685" s="9">
        <f t="shared" si="1603"/>
        <v>1227000</v>
      </c>
      <c r="P685" s="89">
        <f t="shared" si="1603"/>
        <v>1244000</v>
      </c>
      <c r="Q685" s="9">
        <f t="shared" ref="Q685" si="1609">Q1971</f>
        <v>1264000</v>
      </c>
      <c r="R685" s="9">
        <f t="shared" ref="R685" si="1610">R1971</f>
        <v>1284000</v>
      </c>
      <c r="S685" s="47">
        <f t="shared" ref="S685" si="1611">S1971</f>
        <v>1303000</v>
      </c>
    </row>
    <row r="686" spans="1:21" x14ac:dyDescent="0.2">
      <c r="A686" s="54">
        <f>ROUND(A1972,-3)</f>
        <v>1412000</v>
      </c>
      <c r="B686" s="9">
        <f t="shared" si="1599"/>
        <v>1361200</v>
      </c>
      <c r="C686" s="136">
        <f t="shared" si="1599"/>
        <v>257300</v>
      </c>
      <c r="D686" s="136">
        <f>D1972</f>
        <v>1459400</v>
      </c>
      <c r="E686" s="144">
        <f t="shared" ref="E686" si="1612">E1972</f>
        <v>65600</v>
      </c>
      <c r="F686" s="167"/>
      <c r="G686" s="257" t="str">
        <f>G613</f>
        <v>Add Transfer from Reserves</v>
      </c>
      <c r="H686" s="9">
        <f t="shared" ref="H686:N686" si="1613">H1972</f>
        <v>106700</v>
      </c>
      <c r="I686" s="85">
        <f t="shared" si="1602"/>
        <v>62.65243902439024</v>
      </c>
      <c r="J686" s="9">
        <f t="shared" si="1613"/>
        <v>0</v>
      </c>
      <c r="K686" s="9">
        <f t="shared" si="1613"/>
        <v>0</v>
      </c>
      <c r="L686" s="9">
        <f t="shared" si="1613"/>
        <v>1000000</v>
      </c>
      <c r="M686" s="9">
        <f t="shared" si="1613"/>
        <v>1000000</v>
      </c>
      <c r="N686" s="29">
        <f t="shared" si="1613"/>
        <v>1000000</v>
      </c>
      <c r="O686" s="9">
        <f t="shared" si="1603"/>
        <v>1000000</v>
      </c>
      <c r="P686" s="89">
        <f t="shared" si="1603"/>
        <v>3600000</v>
      </c>
      <c r="Q686" s="9">
        <f t="shared" ref="Q686" si="1614">Q1972</f>
        <v>1000000</v>
      </c>
      <c r="R686" s="9">
        <f t="shared" ref="R686" si="1615">R1972</f>
        <v>1500000</v>
      </c>
      <c r="S686" s="47">
        <f t="shared" ref="S686" si="1616">S1972</f>
        <v>1500000</v>
      </c>
    </row>
    <row r="687" spans="1:21" x14ac:dyDescent="0.2">
      <c r="A687" s="54">
        <f>ROUND(A1973,-3)</f>
        <v>213000</v>
      </c>
      <c r="B687" s="9">
        <f t="shared" si="1599"/>
        <v>0</v>
      </c>
      <c r="C687" s="136">
        <f t="shared" si="1599"/>
        <v>0</v>
      </c>
      <c r="D687" s="136">
        <f>D1973</f>
        <v>0</v>
      </c>
      <c r="E687" s="144">
        <f t="shared" ref="E687" si="1617">E1973</f>
        <v>0</v>
      </c>
      <c r="F687" s="167"/>
      <c r="G687" s="257" t="str">
        <f>G614</f>
        <v>Add Capital Income Applied</v>
      </c>
      <c r="H687" s="9">
        <f t="shared" ref="H687:N687" si="1618">H1973</f>
        <v>0</v>
      </c>
      <c r="I687" s="85">
        <f t="shared" si="1602"/>
        <v>0</v>
      </c>
      <c r="J687" s="9">
        <f t="shared" si="1618"/>
        <v>0</v>
      </c>
      <c r="K687" s="9">
        <f t="shared" si="1618"/>
        <v>0</v>
      </c>
      <c r="L687" s="9">
        <f t="shared" si="1618"/>
        <v>0</v>
      </c>
      <c r="M687" s="9">
        <f t="shared" si="1618"/>
        <v>0</v>
      </c>
      <c r="N687" s="29">
        <f t="shared" si="1618"/>
        <v>0</v>
      </c>
      <c r="O687" s="9">
        <f t="shared" si="1603"/>
        <v>0</v>
      </c>
      <c r="P687" s="89">
        <f t="shared" si="1603"/>
        <v>0</v>
      </c>
      <c r="Q687" s="9">
        <f t="shared" ref="Q687" si="1619">Q1973</f>
        <v>0</v>
      </c>
      <c r="R687" s="9">
        <f t="shared" ref="R687" si="1620">R1973</f>
        <v>0</v>
      </c>
      <c r="S687" s="47">
        <f t="shared" ref="S687" si="1621">S1973</f>
        <v>0</v>
      </c>
    </row>
    <row r="688" spans="1:21" x14ac:dyDescent="0.2">
      <c r="A688" s="54">
        <f>ROUND(A1974,-3)</f>
        <v>430000</v>
      </c>
      <c r="B688" s="9">
        <f t="shared" si="1599"/>
        <v>152500</v>
      </c>
      <c r="C688" s="136">
        <f t="shared" si="1599"/>
        <v>95300</v>
      </c>
      <c r="D688" s="136">
        <f>D1974</f>
        <v>476500</v>
      </c>
      <c r="E688" s="144">
        <f t="shared" ref="E688" si="1622">E1974</f>
        <v>0</v>
      </c>
      <c r="F688" s="167"/>
      <c r="G688" s="257" t="str">
        <f>G615</f>
        <v>Less Capital Expenditure</v>
      </c>
      <c r="H688" s="9">
        <f t="shared" ref="H688:N688" si="1623">H1974</f>
        <v>47000</v>
      </c>
      <c r="I688" s="85">
        <f t="shared" si="1602"/>
        <v>100</v>
      </c>
      <c r="J688" s="9">
        <f t="shared" si="1623"/>
        <v>0</v>
      </c>
      <c r="K688" s="9">
        <f t="shared" si="1623"/>
        <v>0</v>
      </c>
      <c r="L688" s="9">
        <f t="shared" si="1623"/>
        <v>0</v>
      </c>
      <c r="M688" s="9">
        <f t="shared" si="1623"/>
        <v>0</v>
      </c>
      <c r="N688" s="29">
        <f t="shared" si="1623"/>
        <v>0</v>
      </c>
      <c r="O688" s="9">
        <f t="shared" si="1603"/>
        <v>0</v>
      </c>
      <c r="P688" s="89">
        <f t="shared" si="1603"/>
        <v>2600000</v>
      </c>
      <c r="Q688" s="9">
        <f t="shared" ref="Q688" si="1624">Q1974</f>
        <v>0</v>
      </c>
      <c r="R688" s="9">
        <f t="shared" ref="R688" si="1625">R1974</f>
        <v>0</v>
      </c>
      <c r="S688" s="47">
        <f t="shared" ref="S688" si="1626">S1974</f>
        <v>0</v>
      </c>
    </row>
    <row r="689" spans="1:21" s="39" customFormat="1" ht="13.5" thickBot="1" x14ac:dyDescent="0.25">
      <c r="A689" s="1017">
        <f>A681-A684-A685+A686++A687-A688</f>
        <v>0</v>
      </c>
      <c r="B689" s="1018">
        <f>B681-B684-B685+B686++B687-B688</f>
        <v>50000</v>
      </c>
      <c r="C689" s="1021">
        <f>C681-C684-C685+C686++C687-C688</f>
        <v>162000</v>
      </c>
      <c r="D689" s="1021">
        <f>D681-D684-D685+D686++D687-D688</f>
        <v>-740900</v>
      </c>
      <c r="E689" s="1517">
        <f t="shared" ref="E689" si="1627">E681-E684-E685+E686++E687-E688</f>
        <v>2300</v>
      </c>
      <c r="F689" s="1019"/>
      <c r="G689" s="1020" t="s">
        <v>2447</v>
      </c>
      <c r="H689" s="1018">
        <f t="shared" ref="H689:P689" si="1628">H681-H684-H685+H686++H687-H688</f>
        <v>0</v>
      </c>
      <c r="I689" s="1022">
        <f t="shared" si="1602"/>
        <v>-100</v>
      </c>
      <c r="J689" s="1018">
        <f t="shared" si="1628"/>
        <v>0</v>
      </c>
      <c r="K689" s="1018">
        <f t="shared" si="1628"/>
        <v>0</v>
      </c>
      <c r="L689" s="1018">
        <f t="shared" si="1628"/>
        <v>1000000</v>
      </c>
      <c r="M689" s="1018">
        <f t="shared" si="1628"/>
        <v>1000000</v>
      </c>
      <c r="N689" s="1271">
        <f t="shared" si="1628"/>
        <v>1000000</v>
      </c>
      <c r="O689" s="1018">
        <f t="shared" si="1628"/>
        <v>1000000</v>
      </c>
      <c r="P689" s="1024">
        <f t="shared" si="1628"/>
        <v>1000000</v>
      </c>
      <c r="Q689" s="1018">
        <f t="shared" ref="Q689" si="1629">Q681-Q684-Q685+Q686++Q687-Q688</f>
        <v>1000000</v>
      </c>
      <c r="R689" s="1018">
        <f t="shared" ref="R689" si="1630">R681-R684-R685+R686++R687-R688</f>
        <v>1500000</v>
      </c>
      <c r="S689" s="2358">
        <f t="shared" ref="S689" si="1631">S681-S684-S685+S686++S687-S688</f>
        <v>1500000</v>
      </c>
      <c r="U689" s="34"/>
    </row>
    <row r="690" spans="1:21" s="46" customFormat="1" ht="14.25" thickTop="1" thickBot="1" x14ac:dyDescent="0.25">
      <c r="A690" s="27"/>
      <c r="B690" s="27"/>
      <c r="C690" s="27"/>
      <c r="D690" s="27"/>
      <c r="E690" s="27"/>
      <c r="F690" s="169"/>
      <c r="G690" s="169"/>
      <c r="I690" s="2234"/>
      <c r="U690" s="34"/>
    </row>
    <row r="691" spans="1:21" s="38" customFormat="1" ht="18.75" customHeight="1" thickTop="1" thickBot="1" x14ac:dyDescent="0.3">
      <c r="A691" s="2588" t="s">
        <v>2419</v>
      </c>
      <c r="B691" s="2589"/>
      <c r="C691" s="2589"/>
      <c r="D691" s="2589"/>
      <c r="E691" s="2589"/>
      <c r="F691" s="2589"/>
      <c r="G691" s="2589"/>
      <c r="H691" s="2589"/>
      <c r="I691" s="2589"/>
      <c r="J691" s="2589"/>
      <c r="K691" s="2589"/>
      <c r="L691" s="2589"/>
      <c r="M691" s="2589"/>
      <c r="N691" s="2589"/>
      <c r="O691" s="2589"/>
      <c r="P691" s="2589"/>
      <c r="Q691" s="2589"/>
      <c r="R691" s="2589"/>
      <c r="S691" s="2590"/>
      <c r="U691" s="34"/>
    </row>
    <row r="692" spans="1:21" s="39" customFormat="1" ht="13.5" thickBot="1" x14ac:dyDescent="0.25">
      <c r="A692" s="2591" t="s">
        <v>1824</v>
      </c>
      <c r="B692" s="2577"/>
      <c r="C692" s="2577"/>
      <c r="D692" s="2577"/>
      <c r="E692" s="2592"/>
      <c r="F692" s="127" t="s">
        <v>2616</v>
      </c>
      <c r="G692" s="127" t="s">
        <v>2213</v>
      </c>
      <c r="H692" s="2568" t="s">
        <v>2215</v>
      </c>
      <c r="I692" s="2568"/>
      <c r="J692" s="2568"/>
      <c r="K692" s="2568"/>
      <c r="L692" s="2568"/>
      <c r="M692" s="2568"/>
      <c r="N692" s="2568"/>
      <c r="O692" s="2568"/>
      <c r="P692" s="2568"/>
      <c r="Q692" s="2568"/>
      <c r="R692" s="2568"/>
      <c r="S692" s="2607"/>
      <c r="U692" s="34"/>
    </row>
    <row r="693" spans="1:21" ht="13.5" thickBot="1" x14ac:dyDescent="0.25">
      <c r="A693" s="541" t="str">
        <f>A3</f>
        <v>2012/13</v>
      </c>
      <c r="B693" s="28" t="str">
        <f>B3</f>
        <v>2013/14</v>
      </c>
      <c r="C693" s="40" t="str">
        <f>C3</f>
        <v>2014/15</v>
      </c>
      <c r="D693" s="40" t="str">
        <f>D3</f>
        <v>2015/16</v>
      </c>
      <c r="E693" s="40" t="str">
        <f>E3</f>
        <v>2016/17</v>
      </c>
      <c r="F693" s="40" t="s">
        <v>2617</v>
      </c>
      <c r="G693" s="2072"/>
      <c r="H693" s="40" t="str">
        <f>H3</f>
        <v>2017/18</v>
      </c>
      <c r="I693" s="1258" t="s">
        <v>1286</v>
      </c>
      <c r="J693" s="40" t="str">
        <f t="shared" ref="J693:S693" si="1632">J3</f>
        <v>2018/19</v>
      </c>
      <c r="K693" s="40" t="str">
        <f t="shared" si="1632"/>
        <v>2019/20</v>
      </c>
      <c r="L693" s="40" t="str">
        <f t="shared" si="1632"/>
        <v>2020/21</v>
      </c>
      <c r="M693" s="40" t="str">
        <f t="shared" si="1632"/>
        <v>2021/22</v>
      </c>
      <c r="N693" s="40" t="str">
        <f t="shared" si="1632"/>
        <v>2022/23</v>
      </c>
      <c r="O693" s="40" t="str">
        <f t="shared" si="1632"/>
        <v>2023/24</v>
      </c>
      <c r="P693" s="40" t="str">
        <f t="shared" si="1632"/>
        <v>2024/25</v>
      </c>
      <c r="Q693" s="28" t="str">
        <f t="shared" si="1632"/>
        <v>2025/26</v>
      </c>
      <c r="R693" s="28" t="str">
        <f t="shared" si="1632"/>
        <v>2026/27</v>
      </c>
      <c r="S693" s="1620" t="str">
        <f t="shared" si="1632"/>
        <v>2027/28</v>
      </c>
    </row>
    <row r="694" spans="1:21" x14ac:dyDescent="0.2">
      <c r="A694" s="45"/>
      <c r="B694" s="9"/>
      <c r="C694" s="9"/>
      <c r="D694" s="9"/>
      <c r="E694" s="9"/>
      <c r="F694" s="1152"/>
      <c r="G694" s="1152"/>
      <c r="H694" s="9"/>
      <c r="I694" s="85"/>
      <c r="J694" s="9"/>
      <c r="K694" s="9"/>
      <c r="L694" s="9"/>
      <c r="M694" s="9"/>
      <c r="N694" s="9"/>
      <c r="O694" s="9"/>
      <c r="P694" s="9"/>
      <c r="Q694" s="9"/>
      <c r="R694" s="9"/>
      <c r="S694" s="61"/>
    </row>
    <row r="695" spans="1:21" x14ac:dyDescent="0.2">
      <c r="A695" s="45"/>
      <c r="B695" s="9"/>
      <c r="C695" s="9"/>
      <c r="D695" s="9"/>
      <c r="E695" s="403"/>
      <c r="F695" s="1152"/>
      <c r="G695" s="50" t="s">
        <v>1056</v>
      </c>
      <c r="H695" s="9"/>
      <c r="I695" s="85"/>
      <c r="J695" s="9"/>
      <c r="K695" s="9"/>
      <c r="L695" s="9"/>
      <c r="M695" s="9"/>
      <c r="N695" s="9"/>
      <c r="O695" s="9"/>
      <c r="P695" s="9"/>
      <c r="Q695" s="9"/>
      <c r="R695" s="9"/>
      <c r="S695" s="61"/>
    </row>
    <row r="696" spans="1:21" x14ac:dyDescent="0.2">
      <c r="A696" s="45"/>
      <c r="B696" s="9"/>
      <c r="C696" s="9"/>
      <c r="D696" s="9"/>
      <c r="E696" s="9"/>
      <c r="F696" s="1152"/>
      <c r="G696" s="50"/>
      <c r="H696" s="9"/>
      <c r="I696" s="85"/>
      <c r="J696" s="9"/>
      <c r="K696" s="9"/>
      <c r="L696" s="9"/>
      <c r="M696" s="9"/>
      <c r="N696" s="9"/>
      <c r="O696" s="9"/>
      <c r="P696" s="9"/>
      <c r="Q696" s="9"/>
      <c r="R696" s="9"/>
      <c r="S696" s="61"/>
    </row>
    <row r="697" spans="1:21" x14ac:dyDescent="0.2">
      <c r="A697" s="54">
        <f>ROUND(A1985,-2)</f>
        <v>6497100</v>
      </c>
      <c r="B697" s="9">
        <f>B1985</f>
        <v>6810300</v>
      </c>
      <c r="C697" s="136">
        <f>SUM(C1985)</f>
        <v>5919100</v>
      </c>
      <c r="D697" s="134">
        <f>SUM(D1985)</f>
        <v>6134600</v>
      </c>
      <c r="E697" s="134">
        <f t="shared" ref="E697" si="1633">SUM(E1985)</f>
        <v>6360800</v>
      </c>
      <c r="F697" s="1152">
        <v>22290</v>
      </c>
      <c r="G697" s="79" t="s">
        <v>4500</v>
      </c>
      <c r="H697" s="9">
        <f t="shared" ref="H697:O697" si="1634">SUM(H1985)</f>
        <v>6547500</v>
      </c>
      <c r="I697" s="85">
        <f t="shared" ref="I697:I702" si="1635">IF(E697=H697,0,IF(E697=0,100,(H697-E697)/E697*100))</f>
        <v>2.9351653880015096</v>
      </c>
      <c r="J697" s="9">
        <f t="shared" si="1634"/>
        <v>6698100</v>
      </c>
      <c r="K697" s="9">
        <f t="shared" si="1634"/>
        <v>6852200</v>
      </c>
      <c r="L697" s="9">
        <f t="shared" si="1634"/>
        <v>7009800</v>
      </c>
      <c r="M697" s="9">
        <f t="shared" si="1634"/>
        <v>7171000</v>
      </c>
      <c r="N697" s="9">
        <f t="shared" si="1634"/>
        <v>7335900</v>
      </c>
      <c r="O697" s="9">
        <f t="shared" si="1634"/>
        <v>7504600</v>
      </c>
      <c r="P697" s="9">
        <f t="shared" ref="P697:Q697" si="1636">SUM(P1985)</f>
        <v>7677200</v>
      </c>
      <c r="Q697" s="9">
        <f t="shared" si="1636"/>
        <v>7853800</v>
      </c>
      <c r="R697" s="9">
        <f t="shared" ref="R697" si="1637">SUM(R1985)</f>
        <v>8034400</v>
      </c>
      <c r="S697" s="47">
        <f t="shared" ref="S697" si="1638">SUM(S1985)</f>
        <v>8219200</v>
      </c>
    </row>
    <row r="698" spans="1:21" x14ac:dyDescent="0.2">
      <c r="A698" s="54">
        <f>ROUND(SUM(A1987:A1988),-2)</f>
        <v>-309300</v>
      </c>
      <c r="B698" s="9">
        <f>SUM(B1987:B1988)</f>
        <v>-307500</v>
      </c>
      <c r="C698" s="136">
        <f>SUM(C1987:C1988)</f>
        <v>-276000</v>
      </c>
      <c r="D698" s="134">
        <f>SUM(D1987:D1988)</f>
        <v>-276500</v>
      </c>
      <c r="E698" s="134">
        <f t="shared" ref="E698" si="1639">SUM(E1987:E1988)</f>
        <v>-273000</v>
      </c>
      <c r="F698" s="1152">
        <v>22290</v>
      </c>
      <c r="G698" s="9" t="s">
        <v>251</v>
      </c>
      <c r="H698" s="9">
        <f t="shared" ref="H698:O698" si="1640">SUM(H1987:H1988)</f>
        <v>-250000</v>
      </c>
      <c r="I698" s="85">
        <f t="shared" si="1635"/>
        <v>-8.4249084249084252</v>
      </c>
      <c r="J698" s="9">
        <f t="shared" si="1640"/>
        <v>-251000</v>
      </c>
      <c r="K698" s="9">
        <f t="shared" si="1640"/>
        <v>-253000</v>
      </c>
      <c r="L698" s="9">
        <f t="shared" si="1640"/>
        <v>-255000</v>
      </c>
      <c r="M698" s="9">
        <f t="shared" si="1640"/>
        <v>-257000</v>
      </c>
      <c r="N698" s="9">
        <f t="shared" si="1640"/>
        <v>-259000</v>
      </c>
      <c r="O698" s="9">
        <f t="shared" si="1640"/>
        <v>-261000</v>
      </c>
      <c r="P698" s="9">
        <f t="shared" ref="P698:Q698" si="1641">SUM(P1987:P1988)</f>
        <v>-263000</v>
      </c>
      <c r="Q698" s="9">
        <f t="shared" si="1641"/>
        <v>-265000</v>
      </c>
      <c r="R698" s="9">
        <f t="shared" ref="R698" si="1642">SUM(R1987:R1988)</f>
        <v>-267000</v>
      </c>
      <c r="S698" s="47">
        <f t="shared" ref="S698" si="1643">SUM(S1987:S1988)</f>
        <v>-269000</v>
      </c>
    </row>
    <row r="699" spans="1:21" x14ac:dyDescent="0.2">
      <c r="A699" s="54">
        <f>ROUND(A1986,-2)</f>
        <v>18300</v>
      </c>
      <c r="B699" s="9">
        <f>B1986</f>
        <v>20300</v>
      </c>
      <c r="C699" s="136">
        <f>C1986</f>
        <v>21100</v>
      </c>
      <c r="D699" s="134">
        <f>D1986</f>
        <v>21700</v>
      </c>
      <c r="E699" s="134">
        <f>E1986</f>
        <v>22300</v>
      </c>
      <c r="F699" s="1152">
        <v>22290</v>
      </c>
      <c r="G699" s="79" t="s">
        <v>4319</v>
      </c>
      <c r="H699" s="9">
        <f t="shared" ref="H699:Q699" si="1644">H1986</f>
        <v>21000</v>
      </c>
      <c r="I699" s="85">
        <f t="shared" si="1635"/>
        <v>-5.8295964125560538</v>
      </c>
      <c r="J699" s="9">
        <f t="shared" si="1644"/>
        <v>21500</v>
      </c>
      <c r="K699" s="9">
        <f t="shared" si="1644"/>
        <v>22000</v>
      </c>
      <c r="L699" s="9">
        <f t="shared" si="1644"/>
        <v>22500</v>
      </c>
      <c r="M699" s="9">
        <f t="shared" si="1644"/>
        <v>23000</v>
      </c>
      <c r="N699" s="9">
        <f t="shared" si="1644"/>
        <v>23500</v>
      </c>
      <c r="O699" s="9">
        <f t="shared" si="1644"/>
        <v>24000</v>
      </c>
      <c r="P699" s="9">
        <f t="shared" si="1644"/>
        <v>24600</v>
      </c>
      <c r="Q699" s="9">
        <f t="shared" si="1644"/>
        <v>25200</v>
      </c>
      <c r="R699" s="9">
        <f t="shared" ref="R699" si="1645">R1986</f>
        <v>25800</v>
      </c>
      <c r="S699" s="47">
        <f t="shared" ref="S699" si="1646">S1986</f>
        <v>26400</v>
      </c>
    </row>
    <row r="700" spans="1:21" x14ac:dyDescent="0.2">
      <c r="A700" s="54">
        <f>ROUND(A1990,-2)</f>
        <v>170100</v>
      </c>
      <c r="B700" s="9">
        <f>B1990</f>
        <v>169100</v>
      </c>
      <c r="C700" s="136">
        <f>C1990</f>
        <v>151800</v>
      </c>
      <c r="D700" s="134">
        <f>D1990</f>
        <v>152100</v>
      </c>
      <c r="E700" s="134">
        <f t="shared" ref="E700" si="1647">E1990</f>
        <v>150200</v>
      </c>
      <c r="F700" s="1152">
        <v>22291</v>
      </c>
      <c r="G700" s="79" t="s">
        <v>4501</v>
      </c>
      <c r="H700" s="9">
        <f t="shared" ref="H700:L700" si="1648">H1990</f>
        <v>139300</v>
      </c>
      <c r="I700" s="85">
        <f t="shared" si="1635"/>
        <v>-7.2569906790945407</v>
      </c>
      <c r="J700" s="9">
        <f t="shared" si="1648"/>
        <v>116400</v>
      </c>
      <c r="K700" s="9">
        <f t="shared" si="1648"/>
        <v>117300</v>
      </c>
      <c r="L700" s="9">
        <f t="shared" si="1648"/>
        <v>118200</v>
      </c>
      <c r="M700" s="9">
        <f t="shared" ref="M700:R700" si="1649">M1990</f>
        <v>119100</v>
      </c>
      <c r="N700" s="9">
        <f t="shared" si="1649"/>
        <v>120000</v>
      </c>
      <c r="O700" s="9">
        <f t="shared" si="1649"/>
        <v>120900</v>
      </c>
      <c r="P700" s="9">
        <f t="shared" si="1649"/>
        <v>121800</v>
      </c>
      <c r="Q700" s="9">
        <f t="shared" si="1649"/>
        <v>122700</v>
      </c>
      <c r="R700" s="9">
        <f t="shared" si="1649"/>
        <v>123600</v>
      </c>
      <c r="S700" s="47">
        <f t="shared" ref="S700" si="1650">S1990</f>
        <v>124500</v>
      </c>
    </row>
    <row r="701" spans="1:21" x14ac:dyDescent="0.2">
      <c r="A701" s="54">
        <f>ROUND(A1992,-2)</f>
        <v>25200</v>
      </c>
      <c r="B701" s="9">
        <f>B1992</f>
        <v>44300</v>
      </c>
      <c r="C701" s="136">
        <f>C1992</f>
        <v>49100</v>
      </c>
      <c r="D701" s="134">
        <f>D1992</f>
        <v>47600</v>
      </c>
      <c r="E701" s="134">
        <f t="shared" ref="E701" si="1651">E1992</f>
        <v>47800</v>
      </c>
      <c r="F701" s="1152">
        <v>22292</v>
      </c>
      <c r="G701" s="257" t="s">
        <v>599</v>
      </c>
      <c r="H701" s="9">
        <f t="shared" ref="H701:L701" si="1652">H1992</f>
        <v>49000</v>
      </c>
      <c r="I701" s="85">
        <f t="shared" si="1635"/>
        <v>2.510460251046025</v>
      </c>
      <c r="J701" s="9">
        <f t="shared" si="1652"/>
        <v>61000</v>
      </c>
      <c r="K701" s="9">
        <f t="shared" si="1652"/>
        <v>38000</v>
      </c>
      <c r="L701" s="9">
        <f t="shared" si="1652"/>
        <v>53000</v>
      </c>
      <c r="M701" s="9">
        <f t="shared" ref="M701:R701" si="1653">M1992</f>
        <v>23000</v>
      </c>
      <c r="N701" s="9">
        <f t="shared" si="1653"/>
        <v>38000</v>
      </c>
      <c r="O701" s="9">
        <f t="shared" si="1653"/>
        <v>53000</v>
      </c>
      <c r="P701" s="9">
        <f t="shared" si="1653"/>
        <v>19000</v>
      </c>
      <c r="Q701" s="9">
        <f t="shared" si="1653"/>
        <v>34000</v>
      </c>
      <c r="R701" s="9">
        <f t="shared" si="1653"/>
        <v>34000</v>
      </c>
      <c r="S701" s="47">
        <f t="shared" ref="S701" si="1654">S1992</f>
        <v>16000</v>
      </c>
    </row>
    <row r="702" spans="1:21" x14ac:dyDescent="0.2">
      <c r="A702" s="54">
        <f>A1994</f>
        <v>177800</v>
      </c>
      <c r="B702" s="9">
        <f t="shared" ref="B702" si="1655">B1994</f>
        <v>0</v>
      </c>
      <c r="C702" s="136">
        <f>C1994</f>
        <v>0</v>
      </c>
      <c r="D702" s="134">
        <f>D1994</f>
        <v>0</v>
      </c>
      <c r="E702" s="134">
        <f t="shared" ref="E702" si="1656">E1994</f>
        <v>0</v>
      </c>
      <c r="F702" s="1152">
        <v>22292</v>
      </c>
      <c r="G702" s="9" t="s">
        <v>792</v>
      </c>
      <c r="H702" s="9">
        <f t="shared" ref="H702:O702" si="1657">H1994</f>
        <v>0</v>
      </c>
      <c r="I702" s="85">
        <f t="shared" si="1635"/>
        <v>0</v>
      </c>
      <c r="J702" s="9">
        <f t="shared" si="1657"/>
        <v>0</v>
      </c>
      <c r="K702" s="9">
        <f t="shared" si="1657"/>
        <v>0</v>
      </c>
      <c r="L702" s="9">
        <f t="shared" si="1657"/>
        <v>0</v>
      </c>
      <c r="M702" s="9">
        <f t="shared" si="1657"/>
        <v>0</v>
      </c>
      <c r="N702" s="9">
        <f t="shared" si="1657"/>
        <v>0</v>
      </c>
      <c r="O702" s="9">
        <f t="shared" si="1657"/>
        <v>0</v>
      </c>
      <c r="P702" s="9">
        <f t="shared" ref="P702:Q702" si="1658">P1994</f>
        <v>0</v>
      </c>
      <c r="Q702" s="9">
        <f t="shared" si="1658"/>
        <v>0</v>
      </c>
      <c r="R702" s="9">
        <f t="shared" ref="R702" si="1659">R1994</f>
        <v>0</v>
      </c>
      <c r="S702" s="47">
        <f t="shared" ref="S702" si="1660">S1994</f>
        <v>0</v>
      </c>
    </row>
    <row r="703" spans="1:21" ht="13.5" thickBot="1" x14ac:dyDescent="0.25">
      <c r="A703" s="54"/>
      <c r="B703" s="9"/>
      <c r="C703" s="89"/>
      <c r="D703" s="9"/>
      <c r="E703" s="9"/>
      <c r="F703" s="1152"/>
      <c r="G703" s="167"/>
      <c r="H703" s="9"/>
      <c r="I703" s="85"/>
      <c r="J703" s="9"/>
      <c r="K703" s="9"/>
      <c r="L703" s="9"/>
      <c r="M703" s="9"/>
      <c r="N703" s="9"/>
      <c r="O703" s="9"/>
      <c r="P703" s="9"/>
      <c r="Q703" s="9"/>
      <c r="R703" s="9"/>
      <c r="S703" s="47"/>
    </row>
    <row r="704" spans="1:21" s="39" customFormat="1" x14ac:dyDescent="0.2">
      <c r="A704" s="52">
        <f>SUM(A695:A703)</f>
        <v>6579200</v>
      </c>
      <c r="B704" s="16">
        <f>SUM(B695:B703)</f>
        <v>6736500</v>
      </c>
      <c r="C704" s="16">
        <f>SUM(C695:C703)</f>
        <v>5865100</v>
      </c>
      <c r="D704" s="16">
        <f>SUM(D695:D703)</f>
        <v>6079500</v>
      </c>
      <c r="E704" s="16">
        <f t="shared" ref="E704" si="1661">SUM(E695:E703)</f>
        <v>6308100</v>
      </c>
      <c r="F704" s="163"/>
      <c r="G704" s="163"/>
      <c r="H704" s="16">
        <f t="shared" ref="H704:O704" si="1662">SUM(H695:H703)</f>
        <v>6506800</v>
      </c>
      <c r="I704" s="127">
        <f>IF(E704=H704,0,IF(E704=0,100,(H704-E704)/E704*100))</f>
        <v>3.149918358935337</v>
      </c>
      <c r="J704" s="16">
        <f t="shared" si="1662"/>
        <v>6646000</v>
      </c>
      <c r="K704" s="16">
        <f t="shared" si="1662"/>
        <v>6776500</v>
      </c>
      <c r="L704" s="16">
        <f t="shared" si="1662"/>
        <v>6948500</v>
      </c>
      <c r="M704" s="16">
        <f t="shared" si="1662"/>
        <v>7079100</v>
      </c>
      <c r="N704" s="16">
        <f t="shared" si="1662"/>
        <v>7258400</v>
      </c>
      <c r="O704" s="16">
        <f t="shared" si="1662"/>
        <v>7441500</v>
      </c>
      <c r="P704" s="16">
        <f t="shared" ref="P704:Q704" si="1663">SUM(P695:P703)</f>
        <v>7579600</v>
      </c>
      <c r="Q704" s="16">
        <f t="shared" si="1663"/>
        <v>7770700</v>
      </c>
      <c r="R704" s="16">
        <f t="shared" ref="R704" si="1664">SUM(R695:R703)</f>
        <v>7950800</v>
      </c>
      <c r="S704" s="2342">
        <f t="shared" ref="S704" si="1665">SUM(S695:S703)</f>
        <v>8117100</v>
      </c>
      <c r="U704" s="34"/>
    </row>
    <row r="705" spans="1:19" x14ac:dyDescent="0.2">
      <c r="A705" s="45"/>
      <c r="B705" s="9"/>
      <c r="C705" s="9"/>
      <c r="D705" s="9"/>
      <c r="E705" s="9"/>
      <c r="F705" s="1152"/>
      <c r="G705" s="1152"/>
      <c r="H705" s="9"/>
      <c r="I705" s="85"/>
      <c r="J705" s="9"/>
      <c r="K705" s="9"/>
      <c r="L705" s="9"/>
      <c r="M705" s="9"/>
      <c r="N705" s="9"/>
      <c r="O705" s="9"/>
      <c r="P705" s="9"/>
      <c r="Q705" s="9"/>
      <c r="R705" s="9"/>
      <c r="S705" s="47"/>
    </row>
    <row r="706" spans="1:19" x14ac:dyDescent="0.2">
      <c r="A706" s="45"/>
      <c r="B706" s="9"/>
      <c r="C706" s="9"/>
      <c r="D706" s="9"/>
      <c r="E706" s="9"/>
      <c r="F706" s="1152"/>
      <c r="G706" s="50" t="s">
        <v>2169</v>
      </c>
      <c r="H706" s="9"/>
      <c r="I706" s="85"/>
      <c r="J706" s="9"/>
      <c r="K706" s="9"/>
      <c r="L706" s="9"/>
      <c r="M706" s="9"/>
      <c r="N706" s="9"/>
      <c r="O706" s="9"/>
      <c r="P706" s="9"/>
      <c r="Q706" s="9"/>
      <c r="R706" s="9"/>
      <c r="S706" s="47"/>
    </row>
    <row r="707" spans="1:19" x14ac:dyDescent="0.2">
      <c r="A707" s="54"/>
      <c r="B707" s="9"/>
      <c r="C707" s="9"/>
      <c r="D707" s="9"/>
      <c r="E707" s="9"/>
      <c r="F707" s="85">
        <f>+E731-E712-E729</f>
        <v>6469800</v>
      </c>
      <c r="G707" s="1152"/>
      <c r="H707" s="9"/>
      <c r="I707" s="85"/>
      <c r="J707" s="9"/>
      <c r="K707" s="9"/>
      <c r="L707" s="9"/>
      <c r="M707" s="9"/>
      <c r="N707" s="9"/>
      <c r="O707" s="9"/>
      <c r="P707" s="9"/>
      <c r="Q707" s="9"/>
      <c r="R707" s="9"/>
      <c r="S707" s="47"/>
    </row>
    <row r="708" spans="1:19" x14ac:dyDescent="0.2">
      <c r="A708" s="54"/>
      <c r="B708" s="9"/>
      <c r="C708" s="9"/>
      <c r="D708" s="9"/>
      <c r="E708" s="9"/>
      <c r="F708" s="1153"/>
      <c r="G708" s="251" t="s">
        <v>465</v>
      </c>
      <c r="H708" s="9"/>
      <c r="I708" s="85"/>
      <c r="J708" s="9"/>
      <c r="K708" s="9"/>
      <c r="L708" s="9"/>
      <c r="M708" s="9"/>
      <c r="N708" s="9"/>
      <c r="O708" s="9"/>
      <c r="P708" s="9"/>
      <c r="Q708" s="9"/>
      <c r="R708" s="9"/>
      <c r="S708" s="47"/>
    </row>
    <row r="709" spans="1:19" x14ac:dyDescent="0.2">
      <c r="A709" s="54">
        <f>ROUND(SUM(A1998:A2005),-2)</f>
        <v>142500</v>
      </c>
      <c r="B709" s="9">
        <f>SUM(B1998:B2005)</f>
        <v>188500</v>
      </c>
      <c r="C709" s="136">
        <f>SUM(C1998:C2005)</f>
        <v>181500</v>
      </c>
      <c r="D709" s="134">
        <f>SUM(D1998:D2005)</f>
        <v>204900</v>
      </c>
      <c r="E709" s="134">
        <f t="shared" ref="E709" si="1666">SUM(E1998:E2005)</f>
        <v>206100</v>
      </c>
      <c r="F709" s="1153">
        <v>32360</v>
      </c>
      <c r="G709" s="781" t="s">
        <v>1320</v>
      </c>
      <c r="H709" s="9">
        <f t="shared" ref="H709:O709" si="1667">SUM(H1998:H2005)</f>
        <v>222000</v>
      </c>
      <c r="I709" s="85">
        <f>IF(E709=H709,0,IF(E709=0,100,(H709-E709)/E709*100))</f>
        <v>7.7147016011644833</v>
      </c>
      <c r="J709" s="9">
        <f t="shared" si="1667"/>
        <v>226000</v>
      </c>
      <c r="K709" s="9">
        <f t="shared" si="1667"/>
        <v>231000</v>
      </c>
      <c r="L709" s="9">
        <f t="shared" si="1667"/>
        <v>236000</v>
      </c>
      <c r="M709" s="9">
        <f t="shared" si="1667"/>
        <v>241000</v>
      </c>
      <c r="N709" s="9">
        <f t="shared" si="1667"/>
        <v>246000</v>
      </c>
      <c r="O709" s="9">
        <f t="shared" si="1667"/>
        <v>251000</v>
      </c>
      <c r="P709" s="9">
        <f t="shared" ref="P709:Q709" si="1668">SUM(P1998:P2005)</f>
        <v>256000</v>
      </c>
      <c r="Q709" s="9">
        <f t="shared" si="1668"/>
        <v>261000</v>
      </c>
      <c r="R709" s="9">
        <f t="shared" ref="R709" si="1669">SUM(R1998:R2005)</f>
        <v>267000</v>
      </c>
      <c r="S709" s="47">
        <f t="shared" ref="S709" si="1670">SUM(S1998:S2005)</f>
        <v>273000</v>
      </c>
    </row>
    <row r="710" spans="1:19" x14ac:dyDescent="0.2">
      <c r="A710" s="54">
        <f>ROUND(SUM(A2006:A2006),-2)</f>
        <v>43300</v>
      </c>
      <c r="B710" s="9">
        <f>SUM(B2006:B2006)</f>
        <v>39700</v>
      </c>
      <c r="C710" s="136">
        <f>SUM(C2006:C2006)</f>
        <v>45400</v>
      </c>
      <c r="D710" s="134">
        <f>SUM(D2006:D2006)</f>
        <v>38100</v>
      </c>
      <c r="E710" s="134">
        <f t="shared" ref="E710" si="1671">SUM(E2006:E2006)</f>
        <v>38200</v>
      </c>
      <c r="F710" s="1153">
        <v>32360</v>
      </c>
      <c r="G710" s="781" t="s">
        <v>3254</v>
      </c>
      <c r="H710" s="9">
        <f t="shared" ref="H710:O710" si="1672">SUM(H2006:H2006)</f>
        <v>39000</v>
      </c>
      <c r="I710" s="85">
        <f>IF(E710=H710,0,IF(E710=0,100,(H710-E710)/E710*100))</f>
        <v>2.0942408376963351</v>
      </c>
      <c r="J710" s="9">
        <f t="shared" si="1672"/>
        <v>40000</v>
      </c>
      <c r="K710" s="9">
        <f t="shared" si="1672"/>
        <v>41000</v>
      </c>
      <c r="L710" s="9">
        <f t="shared" si="1672"/>
        <v>42000</v>
      </c>
      <c r="M710" s="9">
        <f t="shared" si="1672"/>
        <v>43000</v>
      </c>
      <c r="N710" s="9">
        <f t="shared" si="1672"/>
        <v>44000</v>
      </c>
      <c r="O710" s="9">
        <f t="shared" si="1672"/>
        <v>45000</v>
      </c>
      <c r="P710" s="9">
        <f t="shared" ref="P710:Q710" si="1673">SUM(P2006:P2006)</f>
        <v>46000</v>
      </c>
      <c r="Q710" s="9">
        <f t="shared" si="1673"/>
        <v>47000</v>
      </c>
      <c r="R710" s="9">
        <f t="shared" ref="R710" si="1674">SUM(R2006:R2006)</f>
        <v>48000</v>
      </c>
      <c r="S710" s="47">
        <f t="shared" ref="S710" si="1675">SUM(S2006:S2006)</f>
        <v>49000</v>
      </c>
    </row>
    <row r="711" spans="1:19" x14ac:dyDescent="0.2">
      <c r="A711" s="54">
        <f>ROUND(SUM(A2008),-2)</f>
        <v>387000</v>
      </c>
      <c r="B711" s="9">
        <f>SUM(B2008)</f>
        <v>406000</v>
      </c>
      <c r="C711" s="136">
        <f>SUM(C2008)</f>
        <v>619000</v>
      </c>
      <c r="D711" s="134">
        <f>SUM(D2008)</f>
        <v>630000</v>
      </c>
      <c r="E711" s="134">
        <f t="shared" ref="E711" si="1676">SUM(E2008)</f>
        <v>637000</v>
      </c>
      <c r="F711" s="1152">
        <v>32360</v>
      </c>
      <c r="G711" s="257" t="s">
        <v>1636</v>
      </c>
      <c r="H711" s="9">
        <f t="shared" ref="H711:O711" si="1677">SUM(H2008)</f>
        <v>688000</v>
      </c>
      <c r="I711" s="85">
        <f>IF(E711=H711,0,IF(E711=0,100,(H711-E711)/E711*100))</f>
        <v>8.0062794348508639</v>
      </c>
      <c r="J711" s="9">
        <f t="shared" si="1677"/>
        <v>704000</v>
      </c>
      <c r="K711" s="9">
        <f t="shared" si="1677"/>
        <v>722000</v>
      </c>
      <c r="L711" s="9">
        <f t="shared" si="1677"/>
        <v>740000</v>
      </c>
      <c r="M711" s="9">
        <f t="shared" si="1677"/>
        <v>759000</v>
      </c>
      <c r="N711" s="9">
        <f t="shared" si="1677"/>
        <v>778000</v>
      </c>
      <c r="O711" s="9">
        <f t="shared" si="1677"/>
        <v>797000</v>
      </c>
      <c r="P711" s="9">
        <f t="shared" ref="P711:Q711" si="1678">SUM(P2008)</f>
        <v>817000</v>
      </c>
      <c r="Q711" s="9">
        <f t="shared" si="1678"/>
        <v>837000</v>
      </c>
      <c r="R711" s="9">
        <f t="shared" ref="R711" si="1679">SUM(R2008)</f>
        <v>858000</v>
      </c>
      <c r="S711" s="47">
        <f t="shared" ref="S711" si="1680">SUM(S2008)</f>
        <v>879000</v>
      </c>
    </row>
    <row r="712" spans="1:19" x14ac:dyDescent="0.2">
      <c r="A712" s="54">
        <f>SUM(A2009:A2010)</f>
        <v>-521200</v>
      </c>
      <c r="B712" s="9">
        <f>SUM(B2009:B2010)</f>
        <v>-563500</v>
      </c>
      <c r="C712" s="136">
        <f>SUM(C2009:C2010)</f>
        <v>-530500</v>
      </c>
      <c r="D712" s="134">
        <f>SUM(D2009:D2010)</f>
        <v>-618900</v>
      </c>
      <c r="E712" s="134">
        <f t="shared" ref="E712" si="1681">SUM(E2009:E2010)</f>
        <v>-640200</v>
      </c>
      <c r="F712" s="1152">
        <v>22292</v>
      </c>
      <c r="G712" s="79" t="s">
        <v>4447</v>
      </c>
      <c r="H712" s="9">
        <f t="shared" ref="H712:P712" si="1682">SUM(H2009:H2010)</f>
        <v>-630000</v>
      </c>
      <c r="I712" s="85">
        <f>IF(E712=H712,0,IF(E712=0,100,(H712-E712)/E712*100))</f>
        <v>-1.5932521087160263</v>
      </c>
      <c r="J712" s="9">
        <f t="shared" si="1682"/>
        <v>-644000</v>
      </c>
      <c r="K712" s="9">
        <f t="shared" si="1682"/>
        <v>-660000</v>
      </c>
      <c r="L712" s="9">
        <f t="shared" si="1682"/>
        <v>-677000</v>
      </c>
      <c r="M712" s="9">
        <f t="shared" si="1682"/>
        <v>-694000</v>
      </c>
      <c r="N712" s="9">
        <f t="shared" si="1682"/>
        <v>-711000</v>
      </c>
      <c r="O712" s="9">
        <f t="shared" si="1682"/>
        <v>-729000</v>
      </c>
      <c r="P712" s="9">
        <f t="shared" si="1682"/>
        <v>-747000</v>
      </c>
      <c r="Q712" s="9">
        <f t="shared" ref="Q712" si="1683">SUM(Q2009:Q2010)</f>
        <v>-766000</v>
      </c>
      <c r="R712" s="9">
        <f t="shared" ref="R712" si="1684">SUM(R2009:R2010)</f>
        <v>-785000</v>
      </c>
      <c r="S712" s="47">
        <f t="shared" ref="S712" si="1685">SUM(S2009:S2010)</f>
        <v>-805000</v>
      </c>
    </row>
    <row r="713" spans="1:19" x14ac:dyDescent="0.2">
      <c r="A713" s="54">
        <f>ROUND(SUM(A2011:A2013),-2)</f>
        <v>2600</v>
      </c>
      <c r="B713" s="9">
        <f>SUM(B2011:B2013)</f>
        <v>5100</v>
      </c>
      <c r="C713" s="136">
        <f>SUM(C2011:C2013)</f>
        <v>10300</v>
      </c>
      <c r="D713" s="134">
        <f>SUM(D2011:D2013)</f>
        <v>2900</v>
      </c>
      <c r="E713" s="134">
        <f>SUM(E2011:E2014)</f>
        <v>17500</v>
      </c>
      <c r="F713" s="1153">
        <v>32361</v>
      </c>
      <c r="G713" s="781" t="s">
        <v>4723</v>
      </c>
      <c r="H713" s="9">
        <f t="shared" ref="H713:P713" si="1686">SUM(H2011:H2013)</f>
        <v>3000</v>
      </c>
      <c r="I713" s="85">
        <f>IF(E713=H713,0,IF(E713=0,100,(H713-E713)/E713*100))</f>
        <v>-82.857142857142861</v>
      </c>
      <c r="J713" s="9">
        <f t="shared" si="1686"/>
        <v>3000</v>
      </c>
      <c r="K713" s="9">
        <f t="shared" si="1686"/>
        <v>3000</v>
      </c>
      <c r="L713" s="9">
        <f t="shared" si="1686"/>
        <v>3000</v>
      </c>
      <c r="M713" s="9">
        <f t="shared" si="1686"/>
        <v>3000</v>
      </c>
      <c r="N713" s="9">
        <f t="shared" si="1686"/>
        <v>3000</v>
      </c>
      <c r="O713" s="9">
        <f t="shared" si="1686"/>
        <v>3000</v>
      </c>
      <c r="P713" s="9">
        <f t="shared" si="1686"/>
        <v>3000</v>
      </c>
      <c r="Q713" s="9">
        <f t="shared" ref="Q713" si="1687">SUM(Q2011:Q2013)</f>
        <v>3000</v>
      </c>
      <c r="R713" s="9">
        <f t="shared" ref="R713" si="1688">SUM(R2011:R2013)</f>
        <v>3000</v>
      </c>
      <c r="S713" s="47">
        <f t="shared" ref="S713" si="1689">SUM(S2011:S2013)</f>
        <v>3000</v>
      </c>
    </row>
    <row r="714" spans="1:19" x14ac:dyDescent="0.2">
      <c r="A714" s="54"/>
      <c r="B714" s="9"/>
      <c r="D714" s="134"/>
      <c r="E714" s="134"/>
      <c r="F714" s="1153"/>
      <c r="G714" s="420"/>
      <c r="H714" s="9"/>
      <c r="I714" s="85"/>
      <c r="J714" s="9"/>
      <c r="K714" s="9"/>
      <c r="L714" s="9"/>
      <c r="M714" s="9"/>
      <c r="N714" s="9"/>
      <c r="O714" s="9"/>
      <c r="P714" s="9"/>
      <c r="Q714" s="9"/>
      <c r="R714" s="9"/>
      <c r="S714" s="47"/>
    </row>
    <row r="715" spans="1:19" x14ac:dyDescent="0.2">
      <c r="A715" s="54"/>
      <c r="B715" s="9"/>
      <c r="D715" s="134"/>
      <c r="E715" s="134"/>
      <c r="F715" s="1153"/>
      <c r="G715" s="421" t="s">
        <v>1112</v>
      </c>
      <c r="H715" s="9"/>
      <c r="I715" s="85"/>
      <c r="J715" s="9"/>
      <c r="K715" s="9"/>
      <c r="L715" s="9"/>
      <c r="M715" s="9"/>
      <c r="N715" s="9"/>
      <c r="O715" s="9"/>
      <c r="P715" s="9"/>
      <c r="Q715" s="9"/>
      <c r="R715" s="9"/>
      <c r="S715" s="47"/>
    </row>
    <row r="716" spans="1:19" x14ac:dyDescent="0.2">
      <c r="A716" s="54">
        <f>ROUND(SUM(A2015:A2016),-2)</f>
        <v>36500</v>
      </c>
      <c r="B716" s="9">
        <f>ROUND(SUM(B2015:B2016),-2)</f>
        <v>27800</v>
      </c>
      <c r="C716" s="136">
        <f>SUM(C2015:C2016)</f>
        <v>18200</v>
      </c>
      <c r="D716" s="134">
        <f>SUM(D2015:D2016)</f>
        <v>8000</v>
      </c>
      <c r="E716" s="134">
        <f t="shared" ref="E716" si="1690">SUM(E2015:E2016)</f>
        <v>0</v>
      </c>
      <c r="F716" s="1153">
        <v>32361</v>
      </c>
      <c r="G716" s="420" t="s">
        <v>1343</v>
      </c>
      <c r="H716" s="9">
        <f t="shared" ref="H716:P716" si="1691">SUM(H2015:H2016)</f>
        <v>0</v>
      </c>
      <c r="I716" s="85">
        <f>IF(E716=H716,0,IF(E716=0,100,(H716-E716)/E716*100))</f>
        <v>0</v>
      </c>
      <c r="J716" s="9">
        <f t="shared" si="1691"/>
        <v>0</v>
      </c>
      <c r="K716" s="9">
        <f t="shared" si="1691"/>
        <v>0</v>
      </c>
      <c r="L716" s="9">
        <f t="shared" si="1691"/>
        <v>0</v>
      </c>
      <c r="M716" s="9">
        <f t="shared" si="1691"/>
        <v>0</v>
      </c>
      <c r="N716" s="9">
        <f t="shared" si="1691"/>
        <v>0</v>
      </c>
      <c r="O716" s="9">
        <f t="shared" si="1691"/>
        <v>0</v>
      </c>
      <c r="P716" s="9">
        <f t="shared" si="1691"/>
        <v>0</v>
      </c>
      <c r="Q716" s="9">
        <f t="shared" ref="Q716" si="1692">SUM(Q2015:Q2016)</f>
        <v>0</v>
      </c>
      <c r="R716" s="9">
        <f t="shared" ref="R716" si="1693">SUM(R2015:R2016)</f>
        <v>0</v>
      </c>
      <c r="S716" s="47">
        <f t="shared" ref="S716" si="1694">SUM(S2015:S2016)</f>
        <v>0</v>
      </c>
    </row>
    <row r="717" spans="1:19" x14ac:dyDescent="0.2">
      <c r="A717" s="54"/>
      <c r="B717" s="9"/>
      <c r="C717" s="89"/>
      <c r="D717" s="9"/>
      <c r="E717" s="9"/>
      <c r="F717" s="1153"/>
      <c r="G717" s="420"/>
      <c r="H717" s="9"/>
      <c r="I717" s="85"/>
      <c r="J717" s="9"/>
      <c r="K717" s="9"/>
      <c r="L717" s="9"/>
      <c r="M717" s="9"/>
      <c r="N717" s="9"/>
      <c r="O717" s="9"/>
      <c r="P717" s="9"/>
      <c r="Q717" s="9"/>
      <c r="R717" s="9"/>
      <c r="S717" s="47"/>
    </row>
    <row r="718" spans="1:19" x14ac:dyDescent="0.2">
      <c r="A718" s="54"/>
      <c r="B718" s="9"/>
      <c r="C718" s="89"/>
      <c r="D718" s="9"/>
      <c r="E718" s="9"/>
      <c r="F718" s="1153"/>
      <c r="G718" s="421" t="s">
        <v>48</v>
      </c>
      <c r="H718" s="9"/>
      <c r="I718" s="85"/>
      <c r="J718" s="9"/>
      <c r="K718" s="9"/>
      <c r="L718" s="9"/>
      <c r="M718" s="9"/>
      <c r="N718" s="9"/>
      <c r="O718" s="9"/>
      <c r="P718" s="9"/>
      <c r="Q718" s="9"/>
      <c r="R718" s="9"/>
      <c r="S718" s="47"/>
    </row>
    <row r="719" spans="1:19" x14ac:dyDescent="0.2">
      <c r="A719" s="54">
        <f>ROUND(SUM(A2018:A2018),-2)</f>
        <v>15200</v>
      </c>
      <c r="B719" s="9">
        <f>SUM(B2018:B2018)</f>
        <v>0</v>
      </c>
      <c r="C719" s="136">
        <f>SUM(C2018:C2018)</f>
        <v>0</v>
      </c>
      <c r="D719" s="134">
        <f>SUM(D2018:D2018)</f>
        <v>0</v>
      </c>
      <c r="E719" s="134">
        <f t="shared" ref="E719" si="1695">SUM(E2018:E2018)</f>
        <v>0</v>
      </c>
      <c r="F719" s="1153">
        <v>32364</v>
      </c>
      <c r="G719" s="781" t="s">
        <v>6790</v>
      </c>
      <c r="H719" s="9">
        <f t="shared" ref="H719:O719" si="1696">SUM(H2018:H2018)</f>
        <v>0</v>
      </c>
      <c r="I719" s="85">
        <f t="shared" ref="I719:I726" si="1697">IF(E719=H719,0,IF(E719=0,100,(H719-E719)/E719*100))</f>
        <v>0</v>
      </c>
      <c r="J719" s="9">
        <f t="shared" si="1696"/>
        <v>0</v>
      </c>
      <c r="K719" s="9">
        <f t="shared" si="1696"/>
        <v>0</v>
      </c>
      <c r="L719" s="9">
        <f t="shared" si="1696"/>
        <v>0</v>
      </c>
      <c r="M719" s="9">
        <f t="shared" si="1696"/>
        <v>0</v>
      </c>
      <c r="N719" s="9">
        <f t="shared" si="1696"/>
        <v>0</v>
      </c>
      <c r="O719" s="9">
        <f t="shared" si="1696"/>
        <v>0</v>
      </c>
      <c r="P719" s="9">
        <f t="shared" ref="P719:Q719" si="1698">SUM(P2018:P2018)</f>
        <v>0</v>
      </c>
      <c r="Q719" s="9">
        <f t="shared" si="1698"/>
        <v>0</v>
      </c>
      <c r="R719" s="9">
        <f t="shared" ref="R719" si="1699">SUM(R2018:R2018)</f>
        <v>0</v>
      </c>
      <c r="S719" s="47">
        <f t="shared" ref="S719" si="1700">SUM(S2018:S2018)</f>
        <v>0</v>
      </c>
    </row>
    <row r="720" spans="1:19" x14ac:dyDescent="0.2">
      <c r="A720" s="54">
        <f>ROUND(SUM(A2019:A2020),-2)</f>
        <v>496700</v>
      </c>
      <c r="B720" s="9">
        <f>SUM(B2019:B2020)</f>
        <v>519700</v>
      </c>
      <c r="C720" s="136">
        <f>SUM(C2019:C2020)</f>
        <v>451100</v>
      </c>
      <c r="D720" s="134">
        <f>SUM(D2019:D2020)</f>
        <v>514700</v>
      </c>
      <c r="E720" s="134">
        <f t="shared" ref="E720" si="1701">SUM(E2019:E2020)</f>
        <v>517100</v>
      </c>
      <c r="F720" s="1153">
        <v>32364</v>
      </c>
      <c r="G720" s="781" t="s">
        <v>3029</v>
      </c>
      <c r="H720" s="9">
        <f t="shared" ref="H720:O720" si="1702">SUM(H2019:H2020)</f>
        <v>532000</v>
      </c>
      <c r="I720" s="85">
        <f t="shared" si="1697"/>
        <v>2.8814542641655385</v>
      </c>
      <c r="J720" s="9">
        <f t="shared" si="1702"/>
        <v>544000</v>
      </c>
      <c r="K720" s="9">
        <f t="shared" si="1702"/>
        <v>557000</v>
      </c>
      <c r="L720" s="9">
        <f t="shared" si="1702"/>
        <v>570000</v>
      </c>
      <c r="M720" s="9">
        <f t="shared" si="1702"/>
        <v>585000</v>
      </c>
      <c r="N720" s="9">
        <f t="shared" si="1702"/>
        <v>600000</v>
      </c>
      <c r="O720" s="9">
        <f t="shared" si="1702"/>
        <v>615000</v>
      </c>
      <c r="P720" s="9">
        <f t="shared" ref="P720:Q720" si="1703">SUM(P2019:P2020)</f>
        <v>630000</v>
      </c>
      <c r="Q720" s="9">
        <f t="shared" si="1703"/>
        <v>646000</v>
      </c>
      <c r="R720" s="9">
        <f t="shared" ref="R720" si="1704">SUM(R2019:R2020)</f>
        <v>662000</v>
      </c>
      <c r="S720" s="47">
        <f t="shared" ref="S720" si="1705">SUM(S2019:S2020)</f>
        <v>678000</v>
      </c>
    </row>
    <row r="721" spans="1:21" x14ac:dyDescent="0.2">
      <c r="A721" s="54">
        <f>ROUND(SUM(A2021:A2022),-2)</f>
        <v>771000</v>
      </c>
      <c r="B721" s="9">
        <f>SUM(B2021:B2022)</f>
        <v>775700</v>
      </c>
      <c r="C721" s="136">
        <f>SUM(C2021:C2022)</f>
        <v>1146300</v>
      </c>
      <c r="D721" s="134">
        <f>SUM(D2021:D2022)</f>
        <v>1244400</v>
      </c>
      <c r="E721" s="134">
        <f>SUM(E2021:E2022)</f>
        <v>1231700</v>
      </c>
      <c r="F721" s="1153">
        <v>32364</v>
      </c>
      <c r="G721" s="781" t="s">
        <v>3719</v>
      </c>
      <c r="H721" s="9">
        <f t="shared" ref="H721:O721" si="1706">SUM(H2021:H2022)</f>
        <v>1180000</v>
      </c>
      <c r="I721" s="85">
        <f t="shared" si="1697"/>
        <v>-4.1974506779248193</v>
      </c>
      <c r="J721" s="9">
        <f t="shared" si="1706"/>
        <v>1207000</v>
      </c>
      <c r="K721" s="9">
        <f t="shared" si="1706"/>
        <v>1237000</v>
      </c>
      <c r="L721" s="9">
        <f t="shared" si="1706"/>
        <v>1268000</v>
      </c>
      <c r="M721" s="9">
        <f t="shared" si="1706"/>
        <v>1300000</v>
      </c>
      <c r="N721" s="9">
        <f t="shared" si="1706"/>
        <v>1332000</v>
      </c>
      <c r="O721" s="9">
        <f t="shared" si="1706"/>
        <v>1365000</v>
      </c>
      <c r="P721" s="9">
        <f t="shared" ref="P721:Q721" si="1707">SUM(P2021:P2022)</f>
        <v>1399000</v>
      </c>
      <c r="Q721" s="9">
        <f t="shared" si="1707"/>
        <v>1434000</v>
      </c>
      <c r="R721" s="9">
        <f t="shared" ref="R721" si="1708">SUM(R2021:R2022)</f>
        <v>1470000</v>
      </c>
      <c r="S721" s="47">
        <f t="shared" ref="S721" si="1709">SUM(S2021:S2022)</f>
        <v>1507000</v>
      </c>
    </row>
    <row r="722" spans="1:21" x14ac:dyDescent="0.2">
      <c r="A722" s="54">
        <f>ROUND(SUM(A2023:A2023),-2)</f>
        <v>3023700</v>
      </c>
      <c r="B722" s="9">
        <f>SUM(B2023:B2023)</f>
        <v>2919400</v>
      </c>
      <c r="C722" s="136">
        <f>SUM(C2023:C2023)</f>
        <v>1992400</v>
      </c>
      <c r="D722" s="134">
        <f>SUM(D2023:D2023)</f>
        <v>1832300</v>
      </c>
      <c r="E722" s="134">
        <f t="shared" ref="E722" si="1710">SUM(E2023:E2023)</f>
        <v>1865600</v>
      </c>
      <c r="F722" s="1153">
        <v>32364</v>
      </c>
      <c r="G722" s="781" t="s">
        <v>3027</v>
      </c>
      <c r="H722" s="9">
        <f t="shared" ref="H722:O722" si="1711">SUM(H2023:H2023)</f>
        <v>1929900</v>
      </c>
      <c r="I722" s="85">
        <f t="shared" si="1697"/>
        <v>3.4466123499142367</v>
      </c>
      <c r="J722" s="9">
        <f t="shared" si="1711"/>
        <v>1974000</v>
      </c>
      <c r="K722" s="9">
        <f t="shared" si="1711"/>
        <v>2019000</v>
      </c>
      <c r="L722" s="9">
        <f t="shared" si="1711"/>
        <v>2065000</v>
      </c>
      <c r="M722" s="9">
        <f t="shared" si="1711"/>
        <v>2112000</v>
      </c>
      <c r="N722" s="9">
        <f t="shared" si="1711"/>
        <v>2161000</v>
      </c>
      <c r="O722" s="9">
        <f t="shared" si="1711"/>
        <v>2211000</v>
      </c>
      <c r="P722" s="9">
        <f t="shared" ref="P722:Q722" si="1712">SUM(P2023:P2023)</f>
        <v>2262000</v>
      </c>
      <c r="Q722" s="9">
        <f t="shared" si="1712"/>
        <v>2314000</v>
      </c>
      <c r="R722" s="9">
        <f t="shared" ref="R722" si="1713">SUM(R2023:R2023)</f>
        <v>2367000</v>
      </c>
      <c r="S722" s="47">
        <f t="shared" ref="S722" si="1714">SUM(S2023:S2023)</f>
        <v>2421000</v>
      </c>
    </row>
    <row r="723" spans="1:21" x14ac:dyDescent="0.2">
      <c r="A723" s="54">
        <f>ROUND(SUM(A2025:A2026),-2)</f>
        <v>350100</v>
      </c>
      <c r="B723" s="9">
        <f>SUM(B2025:B2026)</f>
        <v>341000</v>
      </c>
      <c r="C723" s="136">
        <f>SUM(C2025:C2026)</f>
        <v>334500</v>
      </c>
      <c r="D723" s="134">
        <f>SUM(D2025:D2026)</f>
        <v>497700</v>
      </c>
      <c r="E723" s="134">
        <f t="shared" ref="E723" si="1715">SUM(E2025:E2026)</f>
        <v>518800</v>
      </c>
      <c r="F723" s="1153">
        <v>32364</v>
      </c>
      <c r="G723" s="781" t="s">
        <v>3028</v>
      </c>
      <c r="H723" s="9">
        <f t="shared" ref="H723:O723" si="1716">SUM(H2025:H2026)</f>
        <v>502700</v>
      </c>
      <c r="I723" s="85">
        <f t="shared" si="1697"/>
        <v>-3.1033153430994602</v>
      </c>
      <c r="J723" s="9">
        <f t="shared" si="1716"/>
        <v>514000</v>
      </c>
      <c r="K723" s="9">
        <f t="shared" si="1716"/>
        <v>527000</v>
      </c>
      <c r="L723" s="9">
        <f t="shared" si="1716"/>
        <v>540000</v>
      </c>
      <c r="M723" s="9">
        <f t="shared" si="1716"/>
        <v>553000</v>
      </c>
      <c r="N723" s="9">
        <f t="shared" si="1716"/>
        <v>567000</v>
      </c>
      <c r="O723" s="9">
        <f t="shared" si="1716"/>
        <v>581000</v>
      </c>
      <c r="P723" s="9">
        <f t="shared" ref="P723:Q723" si="1717">SUM(P2025:P2026)</f>
        <v>595000</v>
      </c>
      <c r="Q723" s="9">
        <f t="shared" si="1717"/>
        <v>610000</v>
      </c>
      <c r="R723" s="9">
        <f t="shared" ref="R723" si="1718">SUM(R2025:R2026)</f>
        <v>625000</v>
      </c>
      <c r="S723" s="47">
        <f t="shared" ref="S723" si="1719">SUM(S2025:S2026)</f>
        <v>641000</v>
      </c>
    </row>
    <row r="724" spans="1:21" x14ac:dyDescent="0.2">
      <c r="A724" s="54">
        <f>ROUND(SUM(A2027:A2027),-2)</f>
        <v>841500</v>
      </c>
      <c r="B724" s="9">
        <f t="shared" ref="B724:E725" si="1720">SUM(B2027:B2027)</f>
        <v>892500</v>
      </c>
      <c r="C724" s="136">
        <f t="shared" si="1720"/>
        <v>982400</v>
      </c>
      <c r="D724" s="134">
        <f t="shared" si="1720"/>
        <v>960800</v>
      </c>
      <c r="E724" s="134">
        <f t="shared" ref="E724" si="1721">SUM(E2027:E2027)</f>
        <v>1002700</v>
      </c>
      <c r="F724" s="1153">
        <v>32364</v>
      </c>
      <c r="G724" s="781" t="s">
        <v>4502</v>
      </c>
      <c r="H724" s="9">
        <f t="shared" ref="H724:O724" si="1722">SUM(H2027:H2027)</f>
        <v>1003000</v>
      </c>
      <c r="I724" s="85">
        <f t="shared" si="1697"/>
        <v>2.9919218111100033E-2</v>
      </c>
      <c r="J724" s="9">
        <f t="shared" si="1722"/>
        <v>1026000</v>
      </c>
      <c r="K724" s="9">
        <f t="shared" si="1722"/>
        <v>1050000</v>
      </c>
      <c r="L724" s="9">
        <f t="shared" si="1722"/>
        <v>1074000</v>
      </c>
      <c r="M724" s="9">
        <f t="shared" si="1722"/>
        <v>1099000</v>
      </c>
      <c r="N724" s="9">
        <f t="shared" si="1722"/>
        <v>1124000</v>
      </c>
      <c r="O724" s="9">
        <f t="shared" si="1722"/>
        <v>1150000</v>
      </c>
      <c r="P724" s="9">
        <f t="shared" ref="P724:Q724" si="1723">SUM(P2027:P2027)</f>
        <v>1176000</v>
      </c>
      <c r="Q724" s="9">
        <f t="shared" si="1723"/>
        <v>1203000</v>
      </c>
      <c r="R724" s="9">
        <f t="shared" ref="R724" si="1724">SUM(R2027:R2027)</f>
        <v>1231000</v>
      </c>
      <c r="S724" s="47">
        <f t="shared" ref="S724" si="1725">SUM(S2027:S2027)</f>
        <v>1259000</v>
      </c>
    </row>
    <row r="725" spans="1:21" x14ac:dyDescent="0.2">
      <c r="A725" s="54">
        <f>ROUND(SUM(A2028:A2028),-2)</f>
        <v>18500</v>
      </c>
      <c r="B725" s="9">
        <f t="shared" si="1720"/>
        <v>37300</v>
      </c>
      <c r="C725" s="136">
        <f t="shared" si="1720"/>
        <v>47600</v>
      </c>
      <c r="D725" s="134">
        <f t="shared" si="1720"/>
        <v>48800</v>
      </c>
      <c r="E725" s="134">
        <f t="shared" si="1720"/>
        <v>51400</v>
      </c>
      <c r="F725" s="1153">
        <v>32364</v>
      </c>
      <c r="G725" s="781" t="s">
        <v>6791</v>
      </c>
      <c r="H725" s="9">
        <f t="shared" ref="H725:O725" si="1726">SUM(H2028:H2028)</f>
        <v>43000</v>
      </c>
      <c r="I725" s="85">
        <f t="shared" si="1697"/>
        <v>-16.342412451361866</v>
      </c>
      <c r="J725" s="9">
        <f t="shared" si="1726"/>
        <v>44000</v>
      </c>
      <c r="K725" s="9">
        <f t="shared" si="1726"/>
        <v>45000</v>
      </c>
      <c r="L725" s="9">
        <f t="shared" si="1726"/>
        <v>46000</v>
      </c>
      <c r="M725" s="9">
        <f t="shared" si="1726"/>
        <v>47000</v>
      </c>
      <c r="N725" s="9">
        <f t="shared" si="1726"/>
        <v>48000</v>
      </c>
      <c r="O725" s="9">
        <f t="shared" si="1726"/>
        <v>49000</v>
      </c>
      <c r="P725" s="9">
        <f t="shared" ref="P725:Q725" si="1727">SUM(P2028:P2028)</f>
        <v>50000</v>
      </c>
      <c r="Q725" s="9">
        <f t="shared" si="1727"/>
        <v>51000</v>
      </c>
      <c r="R725" s="9">
        <f t="shared" ref="R725" si="1728">SUM(R2028:R2028)</f>
        <v>52000</v>
      </c>
      <c r="S725" s="47">
        <f t="shared" ref="S725" si="1729">SUM(S2028:S2028)</f>
        <v>53000</v>
      </c>
    </row>
    <row r="726" spans="1:21" x14ac:dyDescent="0.2">
      <c r="A726" s="54">
        <f>ROUND(SUM(A2029:A2030),-2)+100</f>
        <v>304800</v>
      </c>
      <c r="B726" s="9">
        <f>SUM(B2029:B2030)</f>
        <v>314300</v>
      </c>
      <c r="C726" s="136">
        <f>SUM(C2029:C2030)</f>
        <v>389700</v>
      </c>
      <c r="D726" s="134">
        <f>SUM(D2029:D2030)</f>
        <v>375900</v>
      </c>
      <c r="E726" s="134">
        <f t="shared" ref="E726" si="1730">SUM(E2029:E2030)</f>
        <v>383700</v>
      </c>
      <c r="F726" s="1153">
        <v>32364</v>
      </c>
      <c r="G726" s="781" t="s">
        <v>3030</v>
      </c>
      <c r="H726" s="9">
        <f t="shared" ref="H726:O726" si="1731">SUM(H2029:H2030)</f>
        <v>401000</v>
      </c>
      <c r="I726" s="85">
        <f t="shared" si="1697"/>
        <v>4.5087307792546261</v>
      </c>
      <c r="J726" s="9">
        <f t="shared" si="1731"/>
        <v>410000</v>
      </c>
      <c r="K726" s="9">
        <f t="shared" si="1731"/>
        <v>420000</v>
      </c>
      <c r="L726" s="9">
        <f t="shared" si="1731"/>
        <v>431000</v>
      </c>
      <c r="M726" s="9">
        <f t="shared" si="1731"/>
        <v>442000</v>
      </c>
      <c r="N726" s="9">
        <f t="shared" si="1731"/>
        <v>453000</v>
      </c>
      <c r="O726" s="9">
        <f t="shared" si="1731"/>
        <v>464000</v>
      </c>
      <c r="P726" s="9">
        <f t="shared" ref="P726:Q726" si="1732">SUM(P2029:P2030)</f>
        <v>476000</v>
      </c>
      <c r="Q726" s="9">
        <f t="shared" si="1732"/>
        <v>488000</v>
      </c>
      <c r="R726" s="9">
        <f t="shared" ref="R726" si="1733">SUM(R2029:R2030)</f>
        <v>500000</v>
      </c>
      <c r="S726" s="47">
        <f t="shared" ref="S726" si="1734">SUM(S2029:S2030)</f>
        <v>513000</v>
      </c>
    </row>
    <row r="727" spans="1:21" x14ac:dyDescent="0.2">
      <c r="A727" s="25"/>
      <c r="B727" s="9"/>
      <c r="C727" s="89"/>
      <c r="D727" s="9"/>
      <c r="E727" s="9"/>
      <c r="F727" s="1153"/>
      <c r="G727" s="420"/>
      <c r="H727" s="9"/>
      <c r="I727" s="85"/>
      <c r="J727" s="9"/>
      <c r="K727" s="9"/>
      <c r="L727" s="9"/>
      <c r="M727" s="9"/>
      <c r="N727" s="9"/>
      <c r="O727" s="9"/>
      <c r="P727" s="9"/>
      <c r="Q727" s="9"/>
      <c r="R727" s="9"/>
      <c r="S727" s="47"/>
    </row>
    <row r="728" spans="1:21" x14ac:dyDescent="0.2">
      <c r="A728" s="54"/>
      <c r="B728" s="9"/>
      <c r="D728" s="134"/>
      <c r="E728" s="134"/>
      <c r="F728" s="1153"/>
      <c r="G728" s="21" t="str">
        <f>G101</f>
        <v>Non-Cash Expenses</v>
      </c>
      <c r="H728" s="9"/>
      <c r="I728" s="85"/>
      <c r="J728" s="9"/>
      <c r="K728" s="9"/>
      <c r="L728" s="9"/>
      <c r="M728" s="9"/>
      <c r="N728" s="9"/>
      <c r="O728" s="9"/>
      <c r="P728" s="9"/>
      <c r="Q728" s="9"/>
      <c r="R728" s="9"/>
      <c r="S728" s="47"/>
    </row>
    <row r="729" spans="1:21" x14ac:dyDescent="0.2">
      <c r="A729" s="54">
        <f>ROUND(SUM(A2031:A2033),-2)</f>
        <v>250900</v>
      </c>
      <c r="B729" s="9">
        <f>SUM(B2031:B2033)</f>
        <v>179100</v>
      </c>
      <c r="C729" s="136">
        <f>SUM(C2031:C2033)</f>
        <v>177200</v>
      </c>
      <c r="D729" s="134">
        <f>SUM(D2031:D2033)</f>
        <v>177200</v>
      </c>
      <c r="E729" s="134">
        <f t="shared" ref="E729" si="1735">SUM(E2031:E2033)</f>
        <v>177200</v>
      </c>
      <c r="F729" s="167">
        <v>32360</v>
      </c>
      <c r="G729" s="420" t="s">
        <v>2035</v>
      </c>
      <c r="H729" s="9">
        <f t="shared" ref="H729:L729" si="1736">SUM(H2031:H2033)</f>
        <v>180600</v>
      </c>
      <c r="I729" s="85">
        <f>IF(E729=H729,0,IF(E729=0,100,(H729-E729)/E729*100))</f>
        <v>1.9187358916478554</v>
      </c>
      <c r="J729" s="9">
        <f t="shared" si="1736"/>
        <v>184300</v>
      </c>
      <c r="K729" s="9">
        <f t="shared" si="1736"/>
        <v>188000</v>
      </c>
      <c r="L729" s="9">
        <f t="shared" si="1736"/>
        <v>191800</v>
      </c>
      <c r="M729" s="9">
        <f t="shared" ref="M729:R729" si="1737">SUM(M2031:M2033)</f>
        <v>195700</v>
      </c>
      <c r="N729" s="9">
        <f t="shared" si="1737"/>
        <v>199700</v>
      </c>
      <c r="O729" s="9">
        <f t="shared" si="1737"/>
        <v>203700</v>
      </c>
      <c r="P729" s="9">
        <f t="shared" si="1737"/>
        <v>207800</v>
      </c>
      <c r="Q729" s="9">
        <f t="shared" si="1737"/>
        <v>212000</v>
      </c>
      <c r="R729" s="9">
        <f t="shared" si="1737"/>
        <v>216300</v>
      </c>
      <c r="S729" s="47">
        <f t="shared" ref="S729" si="1738">SUM(S2031:S2033)</f>
        <v>220700</v>
      </c>
    </row>
    <row r="730" spans="1:21" ht="13.5" thickBot="1" x14ac:dyDescent="0.25">
      <c r="A730" s="54"/>
      <c r="B730" s="9"/>
      <c r="C730" s="9"/>
      <c r="D730" s="9"/>
      <c r="E730" s="9"/>
      <c r="F730" s="1153"/>
      <c r="G730" s="165"/>
      <c r="H730" s="9"/>
      <c r="I730" s="85"/>
      <c r="J730" s="9"/>
      <c r="K730" s="9"/>
      <c r="L730" s="9"/>
      <c r="M730" s="9"/>
      <c r="N730" s="9"/>
      <c r="O730" s="9"/>
      <c r="P730" s="9"/>
      <c r="Q730" s="9"/>
      <c r="R730" s="9"/>
      <c r="S730" s="47"/>
    </row>
    <row r="731" spans="1:21" s="39" customFormat="1" x14ac:dyDescent="0.2">
      <c r="A731" s="52">
        <f>SUM(A706:A730)</f>
        <v>6163100</v>
      </c>
      <c r="B731" s="16">
        <f>SUM(B706:B730)</f>
        <v>6082600</v>
      </c>
      <c r="C731" s="16">
        <f>SUM(C706:C730)</f>
        <v>5865100</v>
      </c>
      <c r="D731" s="16">
        <f>SUM(D706:D730)</f>
        <v>5916800</v>
      </c>
      <c r="E731" s="16">
        <f t="shared" ref="E731" si="1739">SUM(E706:E730)</f>
        <v>6006800</v>
      </c>
      <c r="F731" s="164"/>
      <c r="G731" s="59" t="s">
        <v>556</v>
      </c>
      <c r="H731" s="16">
        <f t="shared" ref="H731:O731" si="1740">SUM(H706:H730)</f>
        <v>6094200</v>
      </c>
      <c r="I731" s="127">
        <f>IF(E731=H731,0,IF(E731=0,100,(H731-E731)/E731*100))</f>
        <v>1.4550176466671105</v>
      </c>
      <c r="J731" s="16">
        <f t="shared" si="1740"/>
        <v>6232300</v>
      </c>
      <c r="K731" s="16">
        <f t="shared" si="1740"/>
        <v>6380000</v>
      </c>
      <c r="L731" s="16">
        <f t="shared" si="1740"/>
        <v>6529800</v>
      </c>
      <c r="M731" s="16">
        <f t="shared" si="1740"/>
        <v>6685700</v>
      </c>
      <c r="N731" s="16">
        <f t="shared" si="1740"/>
        <v>6844700</v>
      </c>
      <c r="O731" s="16">
        <f t="shared" si="1740"/>
        <v>7005700</v>
      </c>
      <c r="P731" s="16">
        <f t="shared" ref="P731:Q731" si="1741">SUM(P706:P730)</f>
        <v>7170800</v>
      </c>
      <c r="Q731" s="16">
        <f t="shared" si="1741"/>
        <v>7340000</v>
      </c>
      <c r="R731" s="16">
        <f t="shared" ref="R731" si="1742">SUM(R706:R730)</f>
        <v>7514300</v>
      </c>
      <c r="S731" s="2342">
        <f t="shared" ref="S731" si="1743">SUM(S706:S730)</f>
        <v>7691700</v>
      </c>
      <c r="U731" s="34"/>
    </row>
    <row r="732" spans="1:21" x14ac:dyDescent="0.2">
      <c r="A732" s="54"/>
      <c r="B732" s="9"/>
      <c r="C732" s="9"/>
      <c r="D732" s="9"/>
      <c r="E732" s="9"/>
      <c r="F732" s="1153"/>
      <c r="G732" s="55"/>
      <c r="H732" s="9"/>
      <c r="I732" s="85"/>
      <c r="J732" s="9"/>
      <c r="K732" s="9"/>
      <c r="L732" s="9"/>
      <c r="M732" s="9"/>
      <c r="N732" s="9"/>
      <c r="O732" s="9"/>
      <c r="P732" s="9"/>
      <c r="Q732" s="9"/>
      <c r="R732" s="9"/>
      <c r="S732" s="47"/>
    </row>
    <row r="733" spans="1:21" s="39" customFormat="1" x14ac:dyDescent="0.2">
      <c r="A733" s="24">
        <f>A704-A731</f>
        <v>416100</v>
      </c>
      <c r="B733" s="21">
        <f>B704-B731</f>
        <v>653900</v>
      </c>
      <c r="C733" s="21">
        <f>C704-C731</f>
        <v>0</v>
      </c>
      <c r="D733" s="21">
        <f>D704-D731</f>
        <v>162700</v>
      </c>
      <c r="E733" s="21">
        <f t="shared" ref="E733" si="1744">E704-E731</f>
        <v>301300</v>
      </c>
      <c r="F733" s="164"/>
      <c r="G733" s="1161" t="s">
        <v>1002</v>
      </c>
      <c r="H733" s="21">
        <f t="shared" ref="H733:O733" si="1745">H704-H731</f>
        <v>412600</v>
      </c>
      <c r="I733" s="126">
        <f>IF(E733=H733,0,IF(E733=0,100,(H733-E733)/E733*100))</f>
        <v>36.939926983073349</v>
      </c>
      <c r="J733" s="21">
        <f t="shared" si="1745"/>
        <v>413700</v>
      </c>
      <c r="K733" s="21">
        <f t="shared" si="1745"/>
        <v>396500</v>
      </c>
      <c r="L733" s="21">
        <f t="shared" si="1745"/>
        <v>418700</v>
      </c>
      <c r="M733" s="21">
        <f t="shared" si="1745"/>
        <v>393400</v>
      </c>
      <c r="N733" s="21">
        <f t="shared" si="1745"/>
        <v>413700</v>
      </c>
      <c r="O733" s="21">
        <f t="shared" si="1745"/>
        <v>435800</v>
      </c>
      <c r="P733" s="21">
        <f t="shared" ref="P733:Q733" si="1746">P704-P731</f>
        <v>408800</v>
      </c>
      <c r="Q733" s="21">
        <f t="shared" si="1746"/>
        <v>430700</v>
      </c>
      <c r="R733" s="21">
        <f t="shared" ref="R733" si="1747">R704-R731</f>
        <v>436500</v>
      </c>
      <c r="S733" s="86">
        <f t="shared" ref="S733" si="1748">S704-S731</f>
        <v>425400</v>
      </c>
      <c r="U733" s="34"/>
    </row>
    <row r="734" spans="1:21" x14ac:dyDescent="0.2">
      <c r="A734" s="54">
        <f>ROUND(A729,-3)</f>
        <v>251000</v>
      </c>
      <c r="B734" s="9">
        <f>B729</f>
        <v>179100</v>
      </c>
      <c r="C734" s="9">
        <f>C729</f>
        <v>177200</v>
      </c>
      <c r="D734" s="9">
        <f>D729</f>
        <v>177200</v>
      </c>
      <c r="E734" s="9">
        <f t="shared" ref="E734" si="1749">E729</f>
        <v>177200</v>
      </c>
      <c r="F734" s="1153"/>
      <c r="G734" s="217" t="s">
        <v>1943</v>
      </c>
      <c r="H734" s="9">
        <f t="shared" ref="H734:O734" si="1750">H729</f>
        <v>180600</v>
      </c>
      <c r="I734" s="85">
        <f>IF(E734=H734,0,IF(E734=0,100,(H734-E734)/E734*100))</f>
        <v>1.9187358916478554</v>
      </c>
      <c r="J734" s="9">
        <f t="shared" si="1750"/>
        <v>184300</v>
      </c>
      <c r="K734" s="9">
        <f t="shared" si="1750"/>
        <v>188000</v>
      </c>
      <c r="L734" s="9">
        <f t="shared" si="1750"/>
        <v>191800</v>
      </c>
      <c r="M734" s="9">
        <f t="shared" si="1750"/>
        <v>195700</v>
      </c>
      <c r="N734" s="9">
        <f t="shared" si="1750"/>
        <v>199700</v>
      </c>
      <c r="O734" s="9">
        <f t="shared" si="1750"/>
        <v>203700</v>
      </c>
      <c r="P734" s="9">
        <f t="shared" ref="P734:Q734" si="1751">P729</f>
        <v>207800</v>
      </c>
      <c r="Q734" s="9">
        <f t="shared" si="1751"/>
        <v>212000</v>
      </c>
      <c r="R734" s="9">
        <f t="shared" ref="R734" si="1752">R729</f>
        <v>216300</v>
      </c>
      <c r="S734" s="47">
        <f t="shared" ref="S734" si="1753">S729</f>
        <v>220700</v>
      </c>
    </row>
    <row r="735" spans="1:21" s="39" customFormat="1" x14ac:dyDescent="0.2">
      <c r="A735" s="128">
        <f>A733+A734</f>
        <v>667100</v>
      </c>
      <c r="B735" s="280">
        <f>B733+B734</f>
        <v>833000</v>
      </c>
      <c r="C735" s="280">
        <f>C733+C734</f>
        <v>177200</v>
      </c>
      <c r="D735" s="280">
        <f>D733+D734</f>
        <v>339900</v>
      </c>
      <c r="E735" s="280">
        <f t="shared" ref="E735" si="1754">E733+E734</f>
        <v>478500</v>
      </c>
      <c r="F735" s="367"/>
      <c r="G735" s="360" t="s">
        <v>1659</v>
      </c>
      <c r="H735" s="280">
        <f t="shared" ref="H735:O735" si="1755">H733+H734</f>
        <v>593200</v>
      </c>
      <c r="I735" s="278">
        <f>IF(E735=H735,0,IF(E735=0,100,(H735-E735)/E735*100))</f>
        <v>23.970741901776385</v>
      </c>
      <c r="J735" s="280">
        <f t="shared" si="1755"/>
        <v>598000</v>
      </c>
      <c r="K735" s="280">
        <f t="shared" si="1755"/>
        <v>584500</v>
      </c>
      <c r="L735" s="280">
        <f t="shared" si="1755"/>
        <v>610500</v>
      </c>
      <c r="M735" s="280">
        <f t="shared" si="1755"/>
        <v>589100</v>
      </c>
      <c r="N735" s="280">
        <f t="shared" si="1755"/>
        <v>613400</v>
      </c>
      <c r="O735" s="280">
        <f t="shared" si="1755"/>
        <v>639500</v>
      </c>
      <c r="P735" s="280">
        <f t="shared" ref="P735:Q735" si="1756">P733+P734</f>
        <v>616600</v>
      </c>
      <c r="Q735" s="280">
        <f t="shared" si="1756"/>
        <v>642700</v>
      </c>
      <c r="R735" s="280">
        <f t="shared" ref="R735" si="1757">R733+R734</f>
        <v>652800</v>
      </c>
      <c r="S735" s="2343">
        <f t="shared" ref="S735" si="1758">S733+S734</f>
        <v>646100</v>
      </c>
      <c r="U735" s="34"/>
    </row>
    <row r="736" spans="1:21" s="46" customFormat="1" ht="13.5" thickBot="1" x14ac:dyDescent="0.25">
      <c r="A736" s="24"/>
      <c r="B736" s="21"/>
      <c r="C736" s="21"/>
      <c r="D736" s="21"/>
      <c r="E736" s="21"/>
      <c r="F736" s="167"/>
      <c r="G736" s="165"/>
      <c r="H736" s="9"/>
      <c r="I736" s="126"/>
      <c r="J736" s="9"/>
      <c r="K736" s="9"/>
      <c r="L736" s="9"/>
      <c r="M736" s="9"/>
      <c r="N736" s="9"/>
      <c r="O736" s="9"/>
      <c r="P736" s="9"/>
      <c r="Q736" s="9"/>
      <c r="R736" s="9"/>
      <c r="S736" s="47"/>
      <c r="U736" s="34"/>
    </row>
    <row r="737" spans="1:21" ht="13.5" thickTop="1" x14ac:dyDescent="0.2">
      <c r="A737" s="270"/>
      <c r="B737" s="109"/>
      <c r="C737" s="109"/>
      <c r="D737" s="109"/>
      <c r="E737" s="109"/>
      <c r="F737" s="254"/>
      <c r="G737" s="254"/>
      <c r="H737" s="74"/>
      <c r="I737" s="352"/>
      <c r="J737" s="74"/>
      <c r="K737" s="74"/>
      <c r="L737" s="74"/>
      <c r="M737" s="74"/>
      <c r="N737" s="74"/>
      <c r="O737" s="74"/>
      <c r="P737" s="74"/>
      <c r="Q737" s="74"/>
      <c r="R737" s="74"/>
      <c r="S737" s="2345"/>
    </row>
    <row r="738" spans="1:21" x14ac:dyDescent="0.2">
      <c r="A738" s="24"/>
      <c r="B738" s="21"/>
      <c r="C738" s="21"/>
      <c r="D738" s="21"/>
      <c r="E738" s="21"/>
      <c r="F738" s="167"/>
      <c r="G738" s="361" t="s">
        <v>192</v>
      </c>
      <c r="H738" s="9"/>
      <c r="I738" s="126"/>
      <c r="J738" s="9"/>
      <c r="K738" s="9"/>
      <c r="L738" s="9"/>
      <c r="M738" s="9"/>
      <c r="N738" s="9"/>
      <c r="O738" s="9"/>
      <c r="P738" s="9"/>
      <c r="Q738" s="9"/>
      <c r="R738" s="9"/>
      <c r="S738" s="47"/>
    </row>
    <row r="739" spans="1:21" x14ac:dyDescent="0.2">
      <c r="A739" s="24"/>
      <c r="B739" s="21"/>
      <c r="C739" s="21"/>
      <c r="D739" s="21"/>
      <c r="E739" s="9"/>
      <c r="F739" s="167"/>
      <c r="G739" s="167"/>
      <c r="H739" s="9"/>
      <c r="I739" s="126"/>
      <c r="J739" s="9"/>
      <c r="K739" s="9"/>
      <c r="L739" s="9"/>
      <c r="M739" s="9"/>
      <c r="N739" s="9"/>
      <c r="O739" s="9"/>
      <c r="P739" s="9"/>
      <c r="Q739" s="9"/>
      <c r="R739" s="9"/>
      <c r="S739" s="47"/>
    </row>
    <row r="740" spans="1:21" x14ac:dyDescent="0.2">
      <c r="A740" s="54">
        <f>ROUND(A2042,-2)</f>
        <v>134000</v>
      </c>
      <c r="B740" s="9">
        <f>ROUND(B2042,-2)</f>
        <v>142800</v>
      </c>
      <c r="C740" s="9">
        <f t="shared" ref="C740:E744" si="1759">C2042</f>
        <v>152500</v>
      </c>
      <c r="D740" s="9">
        <f t="shared" si="1759"/>
        <v>162600</v>
      </c>
      <c r="E740" s="9">
        <f t="shared" si="1759"/>
        <v>0</v>
      </c>
      <c r="F740" s="167"/>
      <c r="G740" s="257" t="str">
        <f>G684</f>
        <v>Less Loan Principal Repayments</v>
      </c>
      <c r="H740" s="9">
        <f t="shared" ref="H740:N740" si="1760">H2042</f>
        <v>0</v>
      </c>
      <c r="I740" s="85">
        <f>IF(E740=H740,0,IF(E740=0,100,(H740-E740)/E740*100))</f>
        <v>0</v>
      </c>
      <c r="J740" s="9">
        <f t="shared" si="1760"/>
        <v>0</v>
      </c>
      <c r="K740" s="9">
        <f t="shared" si="1760"/>
        <v>0</v>
      </c>
      <c r="L740" s="9">
        <f t="shared" si="1760"/>
        <v>0</v>
      </c>
      <c r="M740" s="9">
        <f t="shared" si="1760"/>
        <v>0</v>
      </c>
      <c r="N740" s="9">
        <f t="shared" si="1760"/>
        <v>0</v>
      </c>
      <c r="O740" s="9">
        <f t="shared" ref="O740:P744" si="1761">O2042</f>
        <v>0</v>
      </c>
      <c r="P740" s="9">
        <f t="shared" si="1761"/>
        <v>0</v>
      </c>
      <c r="Q740" s="9">
        <f t="shared" ref="Q740" si="1762">Q2042</f>
        <v>0</v>
      </c>
      <c r="R740" s="9">
        <f t="shared" ref="R740" si="1763">R2042</f>
        <v>0</v>
      </c>
      <c r="S740" s="47">
        <f t="shared" ref="S740" si="1764">S2042</f>
        <v>0</v>
      </c>
    </row>
    <row r="741" spans="1:21" x14ac:dyDescent="0.2">
      <c r="A741" s="54">
        <f>ROUND(A2043,-2)</f>
        <v>533100</v>
      </c>
      <c r="B741" s="9">
        <f>B2043</f>
        <v>690200</v>
      </c>
      <c r="C741" s="9">
        <f t="shared" si="1759"/>
        <v>25600</v>
      </c>
      <c r="D741" s="9">
        <f t="shared" si="1759"/>
        <v>339900</v>
      </c>
      <c r="E741" s="9">
        <f t="shared" si="1759"/>
        <v>478500</v>
      </c>
      <c r="F741" s="167"/>
      <c r="G741" s="257" t="str">
        <f>G685</f>
        <v>Less Transfer to Reserves</v>
      </c>
      <c r="H741" s="9">
        <f>H2043</f>
        <v>593200</v>
      </c>
      <c r="I741" s="85">
        <f>IF(E741=H741,0,IF(E741=0,100,(H741-E741)/E741*100))</f>
        <v>23.970741901776385</v>
      </c>
      <c r="J741" s="9">
        <f t="shared" ref="J741:N741" si="1765">J2043</f>
        <v>598000</v>
      </c>
      <c r="K741" s="9">
        <f t="shared" si="1765"/>
        <v>584500</v>
      </c>
      <c r="L741" s="9">
        <f t="shared" si="1765"/>
        <v>610500</v>
      </c>
      <c r="M741" s="9">
        <f t="shared" si="1765"/>
        <v>589100</v>
      </c>
      <c r="N741" s="9">
        <f t="shared" si="1765"/>
        <v>613400</v>
      </c>
      <c r="O741" s="9">
        <f t="shared" si="1761"/>
        <v>639500</v>
      </c>
      <c r="P741" s="9">
        <f t="shared" si="1761"/>
        <v>616600</v>
      </c>
      <c r="Q741" s="9">
        <f t="shared" ref="Q741" si="1766">Q2043</f>
        <v>642700</v>
      </c>
      <c r="R741" s="9">
        <f t="shared" ref="R741:S741" si="1767">R2043</f>
        <v>652800</v>
      </c>
      <c r="S741" s="47">
        <f t="shared" si="1767"/>
        <v>646100</v>
      </c>
    </row>
    <row r="742" spans="1:21" x14ac:dyDescent="0.2">
      <c r="A742" s="54">
        <f t="shared" ref="A742:A744" si="1768">ROUND(A2044,-2)</f>
        <v>0</v>
      </c>
      <c r="B742" s="9">
        <f>B2044</f>
        <v>0</v>
      </c>
      <c r="C742" s="9">
        <f t="shared" si="1759"/>
        <v>900</v>
      </c>
      <c r="D742" s="9">
        <f t="shared" si="1759"/>
        <v>541900</v>
      </c>
      <c r="E742" s="9">
        <f t="shared" si="1759"/>
        <v>0</v>
      </c>
      <c r="F742" s="167"/>
      <c r="G742" s="257" t="str">
        <f>G686</f>
        <v>Add Transfer from Reserves</v>
      </c>
      <c r="H742" s="9">
        <f t="shared" ref="H742:N742" si="1769">H2044</f>
        <v>0</v>
      </c>
      <c r="I742" s="85">
        <f>IF(E742=H742,0,IF(E742=0,100,(H742-E742)/E742*100))</f>
        <v>0</v>
      </c>
      <c r="J742" s="9">
        <f t="shared" si="1769"/>
        <v>1533000</v>
      </c>
      <c r="K742" s="9">
        <f t="shared" si="1769"/>
        <v>0</v>
      </c>
      <c r="L742" s="9">
        <f t="shared" si="1769"/>
        <v>1800000</v>
      </c>
      <c r="M742" s="9">
        <f t="shared" si="1769"/>
        <v>0</v>
      </c>
      <c r="N742" s="9">
        <f t="shared" si="1769"/>
        <v>0</v>
      </c>
      <c r="O742" s="9">
        <f t="shared" si="1761"/>
        <v>2000000</v>
      </c>
      <c r="P742" s="9">
        <f t="shared" si="1761"/>
        <v>0</v>
      </c>
      <c r="Q742" s="9">
        <f t="shared" ref="Q742" si="1770">Q2044</f>
        <v>0</v>
      </c>
      <c r="R742" s="9">
        <f t="shared" ref="R742" si="1771">R2044</f>
        <v>2200000</v>
      </c>
      <c r="S742" s="47">
        <f t="shared" ref="S742" si="1772">S2044</f>
        <v>0</v>
      </c>
    </row>
    <row r="743" spans="1:21" x14ac:dyDescent="0.2">
      <c r="A743" s="54">
        <f t="shared" si="1768"/>
        <v>0</v>
      </c>
      <c r="B743" s="9">
        <f>B2045</f>
        <v>0</v>
      </c>
      <c r="C743" s="9">
        <f t="shared" si="1759"/>
        <v>0</v>
      </c>
      <c r="D743" s="9">
        <f t="shared" si="1759"/>
        <v>0</v>
      </c>
      <c r="E743" s="9">
        <f t="shared" si="1759"/>
        <v>0</v>
      </c>
      <c r="F743" s="167"/>
      <c r="G743" s="257" t="str">
        <f>G687</f>
        <v>Add Capital Income Applied</v>
      </c>
      <c r="H743" s="9">
        <f t="shared" ref="H743:N743" si="1773">H2045</f>
        <v>0</v>
      </c>
      <c r="I743" s="85">
        <f>IF(E743=H743,0,IF(E743=0,100,(H743-E743)/E743*100))</f>
        <v>0</v>
      </c>
      <c r="J743" s="9">
        <f t="shared" si="1773"/>
        <v>0</v>
      </c>
      <c r="K743" s="9">
        <f t="shared" si="1773"/>
        <v>0</v>
      </c>
      <c r="L743" s="9">
        <f t="shared" si="1773"/>
        <v>0</v>
      </c>
      <c r="M743" s="9">
        <f t="shared" si="1773"/>
        <v>0</v>
      </c>
      <c r="N743" s="9">
        <f t="shared" si="1773"/>
        <v>0</v>
      </c>
      <c r="O743" s="9">
        <f t="shared" si="1761"/>
        <v>0</v>
      </c>
      <c r="P743" s="9">
        <f t="shared" si="1761"/>
        <v>0</v>
      </c>
      <c r="Q743" s="9">
        <f t="shared" ref="Q743" si="1774">Q2045</f>
        <v>0</v>
      </c>
      <c r="R743" s="9">
        <f t="shared" ref="R743" si="1775">R2045</f>
        <v>0</v>
      </c>
      <c r="S743" s="47">
        <f t="shared" ref="S743" si="1776">S2045</f>
        <v>0</v>
      </c>
    </row>
    <row r="744" spans="1:21" x14ac:dyDescent="0.2">
      <c r="A744" s="54">
        <f t="shared" si="1768"/>
        <v>0</v>
      </c>
      <c r="B744" s="9">
        <f>B2046</f>
        <v>0</v>
      </c>
      <c r="C744" s="9">
        <f t="shared" si="1759"/>
        <v>0</v>
      </c>
      <c r="D744" s="9">
        <f t="shared" si="1759"/>
        <v>379300</v>
      </c>
      <c r="E744" s="9">
        <f t="shared" si="1759"/>
        <v>0</v>
      </c>
      <c r="F744" s="167"/>
      <c r="G744" s="257" t="str">
        <f>G688</f>
        <v>Less Capital Expenditure</v>
      </c>
      <c r="H744" s="9">
        <f t="shared" ref="H744:N744" si="1777">H2046</f>
        <v>0</v>
      </c>
      <c r="I744" s="85">
        <f>IF(E744=H744,0,IF(E744=0,100,(H744-E744)/E744*100))</f>
        <v>0</v>
      </c>
      <c r="J744" s="9">
        <f t="shared" si="1777"/>
        <v>1533000</v>
      </c>
      <c r="K744" s="9">
        <f t="shared" si="1777"/>
        <v>0</v>
      </c>
      <c r="L744" s="9">
        <f t="shared" si="1777"/>
        <v>1800000</v>
      </c>
      <c r="M744" s="9">
        <f t="shared" si="1777"/>
        <v>0</v>
      </c>
      <c r="N744" s="9">
        <f t="shared" si="1777"/>
        <v>0</v>
      </c>
      <c r="O744" s="9">
        <f t="shared" si="1761"/>
        <v>2000000</v>
      </c>
      <c r="P744" s="9">
        <f t="shared" si="1761"/>
        <v>0</v>
      </c>
      <c r="Q744" s="9">
        <f t="shared" ref="Q744" si="1778">Q2046</f>
        <v>0</v>
      </c>
      <c r="R744" s="9">
        <f t="shared" ref="R744" si="1779">R2046</f>
        <v>2200000</v>
      </c>
      <c r="S744" s="47">
        <f t="shared" ref="S744" si="1780">S2046</f>
        <v>0</v>
      </c>
    </row>
    <row r="745" spans="1:21" x14ac:dyDescent="0.2">
      <c r="A745" s="54"/>
      <c r="B745" s="9"/>
      <c r="C745" s="9"/>
      <c r="D745" s="9"/>
      <c r="E745" s="9"/>
      <c r="F745" s="167"/>
      <c r="G745" s="167"/>
      <c r="H745" s="9"/>
      <c r="I745" s="85"/>
      <c r="J745" s="9"/>
      <c r="K745" s="9"/>
      <c r="L745" s="9"/>
      <c r="M745" s="9"/>
      <c r="N745" s="9"/>
      <c r="O745" s="9"/>
      <c r="P745" s="9"/>
      <c r="Q745" s="9"/>
      <c r="R745" s="9"/>
      <c r="S745" s="47"/>
    </row>
    <row r="746" spans="1:21" s="39" customFormat="1" x14ac:dyDescent="0.2">
      <c r="A746" s="128">
        <f>A735-A740-A741+A742++A743-A744</f>
        <v>0</v>
      </c>
      <c r="B746" s="280">
        <f>B735-B740-B741+B742++B743-B744</f>
        <v>0</v>
      </c>
      <c r="C746" s="280">
        <f>C735-C740-C741+C742++C743-C744</f>
        <v>0</v>
      </c>
      <c r="D746" s="280">
        <f>D735-D740-D741+D742++D743-D744</f>
        <v>0</v>
      </c>
      <c r="E746" s="280">
        <f t="shared" ref="E746" si="1781">E735-E740-E741+E742++E743-E744</f>
        <v>0</v>
      </c>
      <c r="F746" s="372"/>
      <c r="G746" s="363" t="s">
        <v>2447</v>
      </c>
      <c r="H746" s="280">
        <f t="shared" ref="H746:O746" si="1782">H735-H740-H741+H742++H743-H744</f>
        <v>0</v>
      </c>
      <c r="I746" s="278">
        <f>IF(E746=H746,0,IF(E746=0,100,(H746-E746)/E746*100))</f>
        <v>0</v>
      </c>
      <c r="J746" s="280">
        <f t="shared" si="1782"/>
        <v>0</v>
      </c>
      <c r="K746" s="280">
        <f t="shared" si="1782"/>
        <v>0</v>
      </c>
      <c r="L746" s="280">
        <f t="shared" si="1782"/>
        <v>0</v>
      </c>
      <c r="M746" s="280">
        <f t="shared" si="1782"/>
        <v>0</v>
      </c>
      <c r="N746" s="280">
        <f t="shared" si="1782"/>
        <v>0</v>
      </c>
      <c r="O746" s="280">
        <f t="shared" si="1782"/>
        <v>0</v>
      </c>
      <c r="P746" s="280">
        <f t="shared" ref="P746:Q746" si="1783">P735-P740-P741+P742++P743-P744</f>
        <v>0</v>
      </c>
      <c r="Q746" s="280">
        <f t="shared" si="1783"/>
        <v>0</v>
      </c>
      <c r="R746" s="280">
        <f t="shared" ref="R746" si="1784">R735-R740-R741+R742++R743-R744</f>
        <v>0</v>
      </c>
      <c r="S746" s="2343">
        <f t="shared" ref="S746" si="1785">S735-S740-S741+S742++S743-S744</f>
        <v>0</v>
      </c>
      <c r="U746" s="34"/>
    </row>
    <row r="747" spans="1:21" s="46" customFormat="1" ht="13.5" thickBot="1" x14ac:dyDescent="0.25">
      <c r="A747" s="26"/>
      <c r="B747" s="37"/>
      <c r="C747" s="37"/>
      <c r="D747" s="37"/>
      <c r="E747" s="37"/>
      <c r="F747" s="166"/>
      <c r="G747" s="166"/>
      <c r="H747" s="23"/>
      <c r="I747" s="275"/>
      <c r="J747" s="23"/>
      <c r="K747" s="23"/>
      <c r="L747" s="23"/>
      <c r="M747" s="23"/>
      <c r="N747" s="23"/>
      <c r="O747" s="23"/>
      <c r="P747" s="23"/>
      <c r="Q747" s="23"/>
      <c r="R747" s="23"/>
      <c r="S747" s="112"/>
      <c r="U747" s="34"/>
    </row>
    <row r="748" spans="1:21" s="46" customFormat="1" ht="14.25" thickTop="1" thickBot="1" x14ac:dyDescent="0.25">
      <c r="A748" s="27"/>
      <c r="B748" s="27"/>
      <c r="C748" s="27"/>
      <c r="D748" s="27"/>
      <c r="E748" s="27"/>
      <c r="F748" s="169"/>
      <c r="G748" s="169"/>
      <c r="I748" s="2234"/>
      <c r="U748" s="34"/>
    </row>
    <row r="749" spans="1:21" s="38" customFormat="1" ht="18.75" customHeight="1" thickTop="1" thickBot="1" x14ac:dyDescent="0.3">
      <c r="A749" s="2588" t="s">
        <v>3651</v>
      </c>
      <c r="B749" s="2589"/>
      <c r="C749" s="2589"/>
      <c r="D749" s="2589"/>
      <c r="E749" s="2589"/>
      <c r="F749" s="2589"/>
      <c r="G749" s="2589"/>
      <c r="H749" s="2589"/>
      <c r="I749" s="2589"/>
      <c r="J749" s="2589"/>
      <c r="K749" s="2589"/>
      <c r="L749" s="2589"/>
      <c r="M749" s="2589"/>
      <c r="N749" s="2589"/>
      <c r="O749" s="2589"/>
      <c r="P749" s="2589"/>
      <c r="Q749" s="2589"/>
      <c r="R749" s="2589"/>
      <c r="S749" s="2590"/>
      <c r="U749" s="34"/>
    </row>
    <row r="750" spans="1:21" s="39" customFormat="1" ht="13.5" thickBot="1" x14ac:dyDescent="0.25">
      <c r="A750" s="2591" t="s">
        <v>1824</v>
      </c>
      <c r="B750" s="2577"/>
      <c r="C750" s="2577"/>
      <c r="D750" s="2577"/>
      <c r="E750" s="2592"/>
      <c r="F750" s="127" t="s">
        <v>2616</v>
      </c>
      <c r="G750" s="127" t="s">
        <v>2213</v>
      </c>
      <c r="H750" s="2568" t="s">
        <v>2215</v>
      </c>
      <c r="I750" s="2568"/>
      <c r="J750" s="2568"/>
      <c r="K750" s="2568"/>
      <c r="L750" s="2568"/>
      <c r="M750" s="2568"/>
      <c r="N750" s="2568"/>
      <c r="O750" s="2568"/>
      <c r="P750" s="2568"/>
      <c r="Q750" s="2568"/>
      <c r="R750" s="2568"/>
      <c r="S750" s="2607"/>
      <c r="U750" s="34"/>
    </row>
    <row r="751" spans="1:21" ht="12.75" customHeight="1" thickBot="1" x14ac:dyDescent="0.25">
      <c r="A751" s="541" t="str">
        <f>A3</f>
        <v>2012/13</v>
      </c>
      <c r="B751" s="28" t="str">
        <f>B3</f>
        <v>2013/14</v>
      </c>
      <c r="C751" s="40" t="str">
        <f>C3</f>
        <v>2014/15</v>
      </c>
      <c r="D751" s="40" t="str">
        <f>D3</f>
        <v>2015/16</v>
      </c>
      <c r="E751" s="40" t="str">
        <f>E3</f>
        <v>2016/17</v>
      </c>
      <c r="F751" s="40" t="str">
        <f>F72</f>
        <v>ACCOUNT</v>
      </c>
      <c r="G751" s="41"/>
      <c r="H751" s="40" t="str">
        <f t="shared" ref="H751:S751" si="1786">H3</f>
        <v>2017/18</v>
      </c>
      <c r="I751" s="1258" t="str">
        <f t="shared" si="1786"/>
        <v>%</v>
      </c>
      <c r="J751" s="40" t="str">
        <f t="shared" si="1786"/>
        <v>2018/19</v>
      </c>
      <c r="K751" s="40" t="str">
        <f t="shared" si="1786"/>
        <v>2019/20</v>
      </c>
      <c r="L751" s="40" t="str">
        <f t="shared" si="1786"/>
        <v>2020/21</v>
      </c>
      <c r="M751" s="40" t="str">
        <f t="shared" si="1786"/>
        <v>2021/22</v>
      </c>
      <c r="N751" s="40" t="str">
        <f t="shared" si="1786"/>
        <v>2022/23</v>
      </c>
      <c r="O751" s="40" t="str">
        <f t="shared" si="1786"/>
        <v>2023/24</v>
      </c>
      <c r="P751" s="40" t="str">
        <f t="shared" si="1786"/>
        <v>2024/25</v>
      </c>
      <c r="Q751" s="28" t="str">
        <f t="shared" si="1786"/>
        <v>2025/26</v>
      </c>
      <c r="R751" s="28" t="str">
        <f t="shared" si="1786"/>
        <v>2026/27</v>
      </c>
      <c r="S751" s="1620" t="str">
        <f t="shared" si="1786"/>
        <v>2027/28</v>
      </c>
    </row>
    <row r="752" spans="1:21" x14ac:dyDescent="0.2">
      <c r="A752" s="54"/>
      <c r="B752" s="9"/>
      <c r="C752" s="134"/>
      <c r="D752" s="134"/>
      <c r="E752" s="134"/>
      <c r="F752" s="167"/>
      <c r="G752" s="91" t="s">
        <v>1056</v>
      </c>
      <c r="H752" s="9"/>
      <c r="I752" s="85"/>
      <c r="J752" s="9"/>
      <c r="K752" s="9"/>
      <c r="L752" s="9"/>
      <c r="M752" s="9"/>
      <c r="N752" s="9"/>
      <c r="O752" s="9"/>
      <c r="P752" s="9"/>
      <c r="Q752" s="9"/>
      <c r="R752" s="9"/>
      <c r="S752" s="61"/>
    </row>
    <row r="753" spans="1:21" x14ac:dyDescent="0.2">
      <c r="A753" s="54"/>
      <c r="B753" s="9"/>
      <c r="E753" s="134"/>
      <c r="F753" s="167"/>
      <c r="G753" s="853" t="s">
        <v>3181</v>
      </c>
      <c r="H753" s="9"/>
      <c r="I753" s="85"/>
      <c r="J753" s="9"/>
      <c r="K753" s="9"/>
      <c r="L753" s="9"/>
      <c r="M753" s="9"/>
      <c r="N753" s="9"/>
      <c r="O753" s="9"/>
      <c r="P753" s="9"/>
      <c r="Q753" s="9"/>
      <c r="R753" s="9"/>
      <c r="S753" s="61"/>
    </row>
    <row r="754" spans="1:21" x14ac:dyDescent="0.2">
      <c r="A754" s="54">
        <v>103300</v>
      </c>
      <c r="B754" s="9">
        <v>135500</v>
      </c>
      <c r="C754" s="136">
        <f>110000+110000+5000</f>
        <v>225000</v>
      </c>
      <c r="D754" s="136">
        <v>176000</v>
      </c>
      <c r="E754" s="134">
        <v>346800</v>
      </c>
      <c r="F754" s="469" t="s">
        <v>2675</v>
      </c>
      <c r="G754" s="1464" t="s">
        <v>1339</v>
      </c>
      <c r="H754" s="9">
        <v>205000</v>
      </c>
      <c r="I754" s="85">
        <f>IF(E754=H754,0,IF(E754=0,100,(H754-E754)/E754*100))</f>
        <v>-40.8881199538639</v>
      </c>
      <c r="J754" s="9">
        <v>200000</v>
      </c>
      <c r="K754" s="9">
        <f>ROUNDUP(J754+(J754*Assumptions!J$5),-2)</f>
        <v>205000</v>
      </c>
      <c r="L754" s="9">
        <f>ROUNDUP(K754+(K754*Assumptions!K$5),-2)</f>
        <v>210200</v>
      </c>
      <c r="M754" s="9">
        <f>ROUNDUP(L754+(L754*Assumptions!L$5),-2)</f>
        <v>215500</v>
      </c>
      <c r="N754" s="9">
        <f>ROUNDUP(M754+(M754*Assumptions!M$5),-2)</f>
        <v>220900</v>
      </c>
      <c r="O754" s="9">
        <f>ROUNDUP(N754+(N754*Assumptions!N$5),-2)</f>
        <v>226500</v>
      </c>
      <c r="P754" s="9">
        <f>ROUNDUP(O754+(O754*Assumptions!O$5),-2)</f>
        <v>232200</v>
      </c>
      <c r="Q754" s="9">
        <f>ROUNDUP(P754+(P754*Assumptions!P$5),-2)</f>
        <v>238100</v>
      </c>
      <c r="R754" s="9">
        <f>ROUNDUP(Q754+(Q754*Assumptions!Q$5),-2)</f>
        <v>244100</v>
      </c>
      <c r="S754" s="47">
        <f>ROUNDUP(R754+(R754*Assumptions!R$5),-2)</f>
        <v>250300</v>
      </c>
    </row>
    <row r="755" spans="1:21" x14ac:dyDescent="0.2">
      <c r="A755" s="54">
        <v>162600</v>
      </c>
      <c r="B755" s="9">
        <v>94600</v>
      </c>
      <c r="C755" s="136">
        <v>20000</v>
      </c>
      <c r="D755" s="136">
        <v>12500</v>
      </c>
      <c r="E755" s="134">
        <v>400</v>
      </c>
      <c r="F755" s="769" t="s">
        <v>3225</v>
      </c>
      <c r="G755" s="1173" t="s">
        <v>117</v>
      </c>
      <c r="H755" s="9">
        <v>20000</v>
      </c>
      <c r="I755" s="85">
        <f>IF(E755=H755,0,IF(E755=0,100,(H755-E755)/E755*100))</f>
        <v>4900</v>
      </c>
      <c r="J755" s="9">
        <v>10000</v>
      </c>
      <c r="K755" s="9">
        <f>ROUNDUP(J755+(J755*Assumptions!J$5),-2)</f>
        <v>10300</v>
      </c>
      <c r="L755" s="9">
        <f>ROUNDUP(K755+(K755*Assumptions!K$5),-2)</f>
        <v>10600</v>
      </c>
      <c r="M755" s="9">
        <f>ROUNDUP(L755+(L755*Assumptions!L$5),-2)</f>
        <v>10900</v>
      </c>
      <c r="N755" s="9">
        <f>ROUNDUP(M755+(M755*Assumptions!M$5),-2)</f>
        <v>11200</v>
      </c>
      <c r="O755" s="9">
        <f>ROUNDUP(N755+(N755*Assumptions!N$5),-2)</f>
        <v>11500</v>
      </c>
      <c r="P755" s="9">
        <f>ROUNDUP(O755+(O755*Assumptions!O$5),-2)</f>
        <v>11800</v>
      </c>
      <c r="Q755" s="9">
        <f>ROUNDUP(P755+(P755*Assumptions!P$5),-2)</f>
        <v>12100</v>
      </c>
      <c r="R755" s="9">
        <f>ROUNDUP(Q755+(Q755*Assumptions!Q$5),-2)</f>
        <v>12500</v>
      </c>
      <c r="S755" s="47">
        <f>ROUNDUP(R755+(R755*Assumptions!R$5),-2)</f>
        <v>12900</v>
      </c>
    </row>
    <row r="756" spans="1:21" x14ac:dyDescent="0.2">
      <c r="A756" s="54">
        <v>0</v>
      </c>
      <c r="B756" s="9">
        <v>0</v>
      </c>
      <c r="C756" s="136">
        <v>0</v>
      </c>
      <c r="D756" s="136">
        <v>1000</v>
      </c>
      <c r="E756" s="134">
        <v>1400</v>
      </c>
      <c r="F756" s="769" t="s">
        <v>11701</v>
      </c>
      <c r="G756" s="1150" t="s">
        <v>6512</v>
      </c>
      <c r="H756" s="9">
        <v>500</v>
      </c>
      <c r="I756" s="85">
        <f>IF(E756=H756,0,IF(E756=0,100,(H756-E756)/E756*100))</f>
        <v>-64.285714285714292</v>
      </c>
      <c r="J756" s="9">
        <f>ROUNDUP(H756+(H756*Assumptions!I$5),-2)</f>
        <v>600</v>
      </c>
      <c r="K756" s="9">
        <f>ROUNDUP(J756+(J756*Assumptions!J$5),-2)</f>
        <v>700</v>
      </c>
      <c r="L756" s="9">
        <f>ROUNDUP(K756+(K756*Assumptions!K$5),-2)</f>
        <v>800</v>
      </c>
      <c r="M756" s="9">
        <f>ROUNDUP(L756+(L756*Assumptions!L$5),-2)</f>
        <v>900</v>
      </c>
      <c r="N756" s="9">
        <f>ROUNDUP(M756+(M756*Assumptions!M$5),-2)</f>
        <v>1000</v>
      </c>
      <c r="O756" s="9">
        <f>ROUNDUP(N756+(N756*Assumptions!N$5),-2)</f>
        <v>1100</v>
      </c>
      <c r="P756" s="9">
        <f>ROUNDUP(O756+(O756*Assumptions!O$5),-2)</f>
        <v>1200</v>
      </c>
      <c r="Q756" s="9">
        <f>ROUNDUP(P756+(P756*Assumptions!P$5),-2)</f>
        <v>1300</v>
      </c>
      <c r="R756" s="9">
        <f>ROUNDUP(Q756+(Q756*Assumptions!Q$5),-2)</f>
        <v>1400</v>
      </c>
      <c r="S756" s="47">
        <f>ROUNDUP(R756+(R756*Assumptions!R$5),-2)</f>
        <v>1500</v>
      </c>
    </row>
    <row r="757" spans="1:21" x14ac:dyDescent="0.2">
      <c r="A757" s="54">
        <v>200</v>
      </c>
      <c r="B757" s="9">
        <v>400</v>
      </c>
      <c r="C757" s="136">
        <f>1000+1000</f>
        <v>2000</v>
      </c>
      <c r="D757" s="136">
        <v>8400</v>
      </c>
      <c r="E757" s="134">
        <v>0</v>
      </c>
      <c r="F757" s="469" t="s">
        <v>2676</v>
      </c>
      <c r="G757" s="1464" t="s">
        <v>1326</v>
      </c>
      <c r="H757" s="9">
        <f>5000-5000</f>
        <v>0</v>
      </c>
      <c r="I757" s="85">
        <f>IF(E757=H757,0,IF(E757=0,100,(H757-E757)/E757*100))</f>
        <v>0</v>
      </c>
      <c r="J757" s="9">
        <f>ROUNDUP(H757+(H757*Assumptions!I$5),-2)</f>
        <v>0</v>
      </c>
      <c r="K757" s="9">
        <f>ROUNDUP(J757+(J757*Assumptions!J$5),-2)</f>
        <v>0</v>
      </c>
      <c r="L757" s="9">
        <f>ROUNDUP(K757+(K757*Assumptions!K$5),-2)</f>
        <v>0</v>
      </c>
      <c r="M757" s="9">
        <f>ROUNDUP(L757+(L757*Assumptions!L$5),-2)</f>
        <v>0</v>
      </c>
      <c r="N757" s="9">
        <f>ROUNDUP(M757+(M757*Assumptions!M$5),-2)</f>
        <v>0</v>
      </c>
      <c r="O757" s="9">
        <f>ROUNDUP(N757+(N757*Assumptions!N$5),-2)</f>
        <v>0</v>
      </c>
      <c r="P757" s="9">
        <f>ROUNDUP(O757+(O757*Assumptions!O$5),-2)</f>
        <v>0</v>
      </c>
      <c r="Q757" s="9">
        <f>ROUNDUP(P757+(P757*Assumptions!P$5),-2)</f>
        <v>0</v>
      </c>
      <c r="R757" s="9">
        <f>ROUNDUP(Q757+(Q757*Assumptions!Q$5),-2)</f>
        <v>0</v>
      </c>
      <c r="S757" s="47">
        <f>ROUNDUP(R757+(R757*Assumptions!R$5),-2)</f>
        <v>0</v>
      </c>
    </row>
    <row r="758" spans="1:21" x14ac:dyDescent="0.2">
      <c r="A758" s="54">
        <f>9600+1200</f>
        <v>10800</v>
      </c>
      <c r="B758" s="9">
        <f>900+400+4000</f>
        <v>5300</v>
      </c>
      <c r="C758" s="136">
        <f>2000-1000+2800</f>
        <v>3800</v>
      </c>
      <c r="D758" s="136">
        <f>5700+1400</f>
        <v>7100</v>
      </c>
      <c r="E758" s="134">
        <v>1900</v>
      </c>
      <c r="F758" s="469" t="s">
        <v>2677</v>
      </c>
      <c r="G758" s="1464" t="s">
        <v>1583</v>
      </c>
      <c r="H758" s="9">
        <f>5000-2000</f>
        <v>3000</v>
      </c>
      <c r="I758" s="85">
        <f>IF(E758=H758,0,IF(E758=0,100,(H758-E758)/E758*100))</f>
        <v>57.894736842105267</v>
      </c>
      <c r="J758" s="9">
        <f>ROUNDUP(H758+(H758*Assumptions!I$5),-2)</f>
        <v>3100</v>
      </c>
      <c r="K758" s="9">
        <f>ROUNDUP(J758+(J758*Assumptions!J$5),-2)</f>
        <v>3200</v>
      </c>
      <c r="L758" s="9">
        <f>ROUNDUP(K758+(K758*Assumptions!K$5),-2)</f>
        <v>3300</v>
      </c>
      <c r="M758" s="9">
        <f>ROUNDUP(L758+(L758*Assumptions!L$5),-2)</f>
        <v>3400</v>
      </c>
      <c r="N758" s="9">
        <f>ROUNDUP(M758+(M758*Assumptions!M$5),-2)</f>
        <v>3500</v>
      </c>
      <c r="O758" s="9">
        <f>ROUNDUP(N758+(N758*Assumptions!N$5),-2)</f>
        <v>3600</v>
      </c>
      <c r="P758" s="9">
        <f>ROUNDUP(O758+(O758*Assumptions!O$5),-2)</f>
        <v>3700</v>
      </c>
      <c r="Q758" s="9">
        <f>ROUNDUP(P758+(P758*Assumptions!P$5),-2)</f>
        <v>3800</v>
      </c>
      <c r="R758" s="9">
        <f>ROUNDUP(Q758+(Q758*Assumptions!Q$5),-2)</f>
        <v>3900</v>
      </c>
      <c r="S758" s="47">
        <f>ROUNDUP(R758+(R758*Assumptions!R$5),-2)</f>
        <v>4000</v>
      </c>
    </row>
    <row r="759" spans="1:21" x14ac:dyDescent="0.2">
      <c r="A759" s="54"/>
      <c r="B759" s="9"/>
      <c r="E759" s="134"/>
      <c r="F759" s="469"/>
      <c r="G759" s="1464"/>
      <c r="H759" s="9"/>
      <c r="I759" s="85"/>
      <c r="J759" s="9"/>
      <c r="K759" s="9"/>
      <c r="L759" s="9"/>
      <c r="M759" s="9"/>
      <c r="N759" s="9"/>
      <c r="O759" s="9"/>
      <c r="P759" s="9"/>
      <c r="Q759" s="9"/>
      <c r="R759" s="9"/>
      <c r="S759" s="47"/>
    </row>
    <row r="760" spans="1:21" x14ac:dyDescent="0.2">
      <c r="A760" s="54"/>
      <c r="B760" s="9"/>
      <c r="E760" s="134"/>
      <c r="F760" s="469"/>
      <c r="G760" s="1545" t="s">
        <v>1242</v>
      </c>
      <c r="H760" s="9"/>
      <c r="I760" s="85"/>
      <c r="J760" s="9"/>
      <c r="K760" s="9"/>
      <c r="L760" s="9"/>
      <c r="M760" s="9"/>
      <c r="N760" s="9"/>
      <c r="O760" s="9"/>
      <c r="P760" s="9"/>
      <c r="Q760" s="9"/>
      <c r="R760" s="9"/>
      <c r="S760" s="47"/>
    </row>
    <row r="761" spans="1:21" x14ac:dyDescent="0.2">
      <c r="A761" s="54">
        <v>19100</v>
      </c>
      <c r="B761" s="9">
        <v>21000</v>
      </c>
      <c r="C761" s="136">
        <f>14000+4000+2000</f>
        <v>20000</v>
      </c>
      <c r="D761" s="136">
        <v>18900</v>
      </c>
      <c r="E761" s="134">
        <v>17900</v>
      </c>
      <c r="F761" s="769" t="s">
        <v>3152</v>
      </c>
      <c r="G761" s="1971" t="s">
        <v>4503</v>
      </c>
      <c r="H761" s="9">
        <v>20000</v>
      </c>
      <c r="I761" s="85">
        <f>IF(E761=H761,0,IF(E761=0,100,(H761-E761)/E761*100))</f>
        <v>11.731843575418994</v>
      </c>
      <c r="J761" s="9">
        <f>ROUNDUP(H761+(H761*Assumptions!I$5),-2)</f>
        <v>20500</v>
      </c>
      <c r="K761" s="9">
        <f>ROUNDUP(J761+(J761*Assumptions!J$5),-2)</f>
        <v>21100</v>
      </c>
      <c r="L761" s="9">
        <f>ROUNDUP(K761+(K761*Assumptions!K$5),-2)</f>
        <v>21700</v>
      </c>
      <c r="M761" s="9">
        <f>ROUNDUP(L761+(L761*Assumptions!L$5),-2)</f>
        <v>22300</v>
      </c>
      <c r="N761" s="9">
        <f>ROUNDUP(M761+(M761*Assumptions!M$5),-2)</f>
        <v>22900</v>
      </c>
      <c r="O761" s="9">
        <f>ROUNDUP(N761+(N761*Assumptions!N$5),-2)</f>
        <v>23500</v>
      </c>
      <c r="P761" s="9">
        <f>ROUNDUP(O761+(O761*Assumptions!O$5),-2)</f>
        <v>24100</v>
      </c>
      <c r="Q761" s="9">
        <f>ROUNDUP(P761+(P761*Assumptions!P$5),-2)</f>
        <v>24800</v>
      </c>
      <c r="R761" s="9">
        <f>ROUNDUP(Q761+(Q761*Assumptions!Q$5),-2)</f>
        <v>25500</v>
      </c>
      <c r="S761" s="47">
        <f>ROUNDUP(R761+(R761*Assumptions!R$5),-2)</f>
        <v>26200</v>
      </c>
    </row>
    <row r="762" spans="1:21" x14ac:dyDescent="0.2">
      <c r="A762" s="54">
        <v>19000</v>
      </c>
      <c r="B762" s="9">
        <v>18400</v>
      </c>
      <c r="C762" s="136">
        <v>22500</v>
      </c>
      <c r="D762" s="136">
        <v>23700</v>
      </c>
      <c r="E762" s="134">
        <v>19600</v>
      </c>
      <c r="F762" s="469" t="s">
        <v>2678</v>
      </c>
      <c r="G762" s="1464" t="s">
        <v>302</v>
      </c>
      <c r="H762" s="9">
        <v>22000</v>
      </c>
      <c r="I762" s="85">
        <f>IF(E762=H762,0,IF(E762=0,100,(H762-E762)/E762*100))</f>
        <v>12.244897959183673</v>
      </c>
      <c r="J762" s="9">
        <f>ROUNDUP(H762+(H762*Assumptions!I$5),-2)</f>
        <v>22600</v>
      </c>
      <c r="K762" s="9">
        <f>ROUNDUP(J762+(J762*Assumptions!J$5),-2)</f>
        <v>23200</v>
      </c>
      <c r="L762" s="9">
        <f>ROUNDUP(K762+(K762*Assumptions!K$5),-2)</f>
        <v>23800</v>
      </c>
      <c r="M762" s="9">
        <f>ROUNDUP(L762+(L762*Assumptions!L$5),-2)</f>
        <v>24400</v>
      </c>
      <c r="N762" s="9">
        <f>ROUNDUP(M762+(M762*Assumptions!M$5),-2)</f>
        <v>25100</v>
      </c>
      <c r="O762" s="9">
        <f>ROUNDUP(N762+(N762*Assumptions!N$5),-2)</f>
        <v>25800</v>
      </c>
      <c r="P762" s="9">
        <f>ROUNDUP(O762+(O762*Assumptions!O$5),-2)</f>
        <v>26500</v>
      </c>
      <c r="Q762" s="9">
        <f>ROUNDUP(P762+(P762*Assumptions!P$5),-2)</f>
        <v>27200</v>
      </c>
      <c r="R762" s="9">
        <f>ROUNDUP(Q762+(Q762*Assumptions!Q$5),-2)</f>
        <v>27900</v>
      </c>
      <c r="S762" s="47">
        <f>ROUNDUP(R762+(R762*Assumptions!R$5),-2)</f>
        <v>28600</v>
      </c>
    </row>
    <row r="763" spans="1:21" x14ac:dyDescent="0.2">
      <c r="A763" s="54">
        <v>2900</v>
      </c>
      <c r="B763" s="9">
        <v>3400</v>
      </c>
      <c r="C763" s="136">
        <v>3500</v>
      </c>
      <c r="D763" s="136">
        <v>0</v>
      </c>
      <c r="E763" s="134">
        <v>0</v>
      </c>
      <c r="F763" s="469" t="s">
        <v>18</v>
      </c>
      <c r="G763" s="1464" t="s">
        <v>330</v>
      </c>
      <c r="H763" s="9">
        <f>3600-3600</f>
        <v>0</v>
      </c>
      <c r="I763" s="85">
        <f>IF(E763=H763,0,IF(E763=0,100,(H763-E763)/E763*100))</f>
        <v>0</v>
      </c>
      <c r="J763" s="9">
        <v>0</v>
      </c>
      <c r="K763" s="9">
        <f>ROUNDUP(J763+(J763*Assumptions!J$5),-2)</f>
        <v>0</v>
      </c>
      <c r="L763" s="9">
        <f>ROUNDUP(K763+(K763*Assumptions!K$5),-2)</f>
        <v>0</v>
      </c>
      <c r="M763" s="9">
        <f>ROUNDUP(L763+(L763*Assumptions!L$5),-2)</f>
        <v>0</v>
      </c>
      <c r="N763" s="9">
        <f>ROUNDUP(M763+(M763*Assumptions!M$5),-2)</f>
        <v>0</v>
      </c>
      <c r="O763" s="9">
        <f>ROUNDUP(N763+(N763*Assumptions!N$5),-2)</f>
        <v>0</v>
      </c>
      <c r="P763" s="9">
        <f>ROUNDUP(O763+(O763*Assumptions!O$5),-2)</f>
        <v>0</v>
      </c>
      <c r="Q763" s="9">
        <f>ROUNDUP(P763+(P763*Assumptions!P$5),-2)</f>
        <v>0</v>
      </c>
      <c r="R763" s="9">
        <f>ROUNDUP(Q763+(Q763*Assumptions!Q$5),-2)</f>
        <v>0</v>
      </c>
      <c r="S763" s="47">
        <f>ROUNDUP(R763+(R763*Assumptions!R$5),-2)</f>
        <v>0</v>
      </c>
    </row>
    <row r="764" spans="1:21" x14ac:dyDescent="0.2">
      <c r="A764" s="54">
        <v>42000</v>
      </c>
      <c r="B764" s="9">
        <f>24800+4900</f>
        <v>29700</v>
      </c>
      <c r="C764" s="136">
        <v>25000</v>
      </c>
      <c r="D764" s="136">
        <v>6800</v>
      </c>
      <c r="E764" s="134">
        <v>20600</v>
      </c>
      <c r="F764" s="469" t="s">
        <v>19</v>
      </c>
      <c r="G764" s="1464" t="s">
        <v>1756</v>
      </c>
      <c r="H764" s="9">
        <f>12200-200</f>
        <v>12000</v>
      </c>
      <c r="I764" s="85">
        <f>IF(E764=H764,0,IF(E764=0,100,(H764-E764)/E764*100))</f>
        <v>-41.747572815533978</v>
      </c>
      <c r="J764" s="9">
        <f>ROUNDUP(H764+(H764*Assumptions!I$5),-2)</f>
        <v>12300</v>
      </c>
      <c r="K764" s="9">
        <f>ROUNDUP(J764+(J764*Assumptions!J$5),-2)</f>
        <v>12700</v>
      </c>
      <c r="L764" s="9">
        <f>ROUNDUP(K764+(K764*Assumptions!K$5),-2)</f>
        <v>13100</v>
      </c>
      <c r="M764" s="9">
        <f>ROUNDUP(L764+(L764*Assumptions!L$5),-2)</f>
        <v>13500</v>
      </c>
      <c r="N764" s="9">
        <f>ROUNDUP(M764+(M764*Assumptions!M$5),-2)</f>
        <v>13900</v>
      </c>
      <c r="O764" s="9">
        <f>ROUNDUP(N764+(N764*Assumptions!N$5),-2)</f>
        <v>14300</v>
      </c>
      <c r="P764" s="9">
        <f>ROUNDUP(O764+(O764*Assumptions!O$5),-2)</f>
        <v>14700</v>
      </c>
      <c r="Q764" s="9">
        <f>ROUNDUP(P764+(P764*Assumptions!P$5),-2)</f>
        <v>15100</v>
      </c>
      <c r="R764" s="9">
        <f>ROUNDUP(Q764+(Q764*Assumptions!Q$5),-2)</f>
        <v>15500</v>
      </c>
      <c r="S764" s="47">
        <f>ROUNDUP(R764+(R764*Assumptions!R$5),-2)</f>
        <v>15900</v>
      </c>
    </row>
    <row r="765" spans="1:21" x14ac:dyDescent="0.2">
      <c r="A765" s="54">
        <v>0</v>
      </c>
      <c r="B765" s="9">
        <v>0</v>
      </c>
      <c r="C765" s="136">
        <v>0</v>
      </c>
      <c r="D765" s="136">
        <v>0</v>
      </c>
      <c r="E765" s="134">
        <v>0</v>
      </c>
      <c r="F765" s="769" t="s">
        <v>11902</v>
      </c>
      <c r="G765" s="2380" t="s">
        <v>11844</v>
      </c>
      <c r="H765" s="9">
        <v>13100</v>
      </c>
      <c r="I765" s="85">
        <f>IF(E765=H765,0,IF(E765=0,100,(H765-E765)/E765*100))</f>
        <v>100</v>
      </c>
      <c r="J765" s="9">
        <v>0</v>
      </c>
      <c r="K765" s="9">
        <f>ROUNDUP(J765+(J765*Assumptions!J$5),-2)</f>
        <v>0</v>
      </c>
      <c r="L765" s="9">
        <f>ROUNDUP(K765+(K765*Assumptions!K$5),-2)</f>
        <v>0</v>
      </c>
      <c r="M765" s="9">
        <f>ROUNDUP(L765+(L765*Assumptions!L$5),-2)</f>
        <v>0</v>
      </c>
      <c r="N765" s="9">
        <f>ROUNDUP(M765+(M765*Assumptions!M$5),-2)</f>
        <v>0</v>
      </c>
      <c r="O765" s="9">
        <f>ROUNDUP(N765+(N765*Assumptions!N$5),-2)</f>
        <v>0</v>
      </c>
      <c r="P765" s="9">
        <f>ROUNDUP(O765+(O765*Assumptions!O$5),-2)</f>
        <v>0</v>
      </c>
      <c r="Q765" s="9">
        <f>ROUNDUP(P765+(P765*Assumptions!P$5),-2)</f>
        <v>0</v>
      </c>
      <c r="R765" s="9">
        <f>ROUNDUP(Q765+(Q765*Assumptions!Q$5),-2)</f>
        <v>0</v>
      </c>
      <c r="S765" s="47">
        <f>ROUNDUP(R765+(R765*Assumptions!R$5),-2)</f>
        <v>0</v>
      </c>
    </row>
    <row r="766" spans="1:21" ht="13.5" thickBot="1" x14ac:dyDescent="0.25">
      <c r="A766" s="54"/>
      <c r="B766" s="9"/>
      <c r="C766" s="134"/>
      <c r="D766" s="134"/>
      <c r="E766" s="134"/>
      <c r="F766" s="469"/>
      <c r="G766" s="55"/>
      <c r="H766" s="9"/>
      <c r="I766" s="85"/>
      <c r="J766" s="9"/>
      <c r="K766" s="9"/>
      <c r="L766" s="9"/>
      <c r="M766" s="9"/>
      <c r="N766" s="9"/>
      <c r="O766" s="9"/>
      <c r="P766" s="9"/>
      <c r="Q766" s="9"/>
      <c r="R766" s="9"/>
      <c r="S766" s="47"/>
    </row>
    <row r="767" spans="1:21" s="39" customFormat="1" x14ac:dyDescent="0.2">
      <c r="A767" s="52">
        <f>SUM(A753:A766)</f>
        <v>359900</v>
      </c>
      <c r="B767" s="16">
        <f>SUM(B753:B766)</f>
        <v>308300</v>
      </c>
      <c r="C767" s="145">
        <f>SUM(C753:C766)</f>
        <v>321800</v>
      </c>
      <c r="D767" s="145">
        <f>SUM(D753:D766)</f>
        <v>254400</v>
      </c>
      <c r="E767" s="145">
        <f>SUM(E753:E766)</f>
        <v>408600</v>
      </c>
      <c r="F767" s="469"/>
      <c r="G767" s="1158" t="s">
        <v>2561</v>
      </c>
      <c r="H767" s="145">
        <f t="shared" ref="H767:Q767" si="1787">SUM(H753:H766)</f>
        <v>295600</v>
      </c>
      <c r="I767" s="127">
        <f>IF(E767=H767,0,IF(E767=0,100,(H767-E767)/E767*100))</f>
        <v>-27.655408712677438</v>
      </c>
      <c r="J767" s="145">
        <f t="shared" si="1787"/>
        <v>269100</v>
      </c>
      <c r="K767" s="145">
        <f t="shared" si="1787"/>
        <v>276200</v>
      </c>
      <c r="L767" s="145">
        <f t="shared" si="1787"/>
        <v>283500</v>
      </c>
      <c r="M767" s="145">
        <f t="shared" si="1787"/>
        <v>290900</v>
      </c>
      <c r="N767" s="145">
        <f t="shared" si="1787"/>
        <v>298500</v>
      </c>
      <c r="O767" s="145">
        <f t="shared" si="1787"/>
        <v>306300</v>
      </c>
      <c r="P767" s="145">
        <f t="shared" si="1787"/>
        <v>314200</v>
      </c>
      <c r="Q767" s="145">
        <f t="shared" si="1787"/>
        <v>322400</v>
      </c>
      <c r="R767" s="145">
        <f t="shared" ref="R767" si="1788">SUM(R753:R766)</f>
        <v>330800</v>
      </c>
      <c r="S767" s="2411">
        <f t="shared" ref="S767" si="1789">SUM(S753:S766)</f>
        <v>339400</v>
      </c>
      <c r="U767" s="34"/>
    </row>
    <row r="768" spans="1:21" x14ac:dyDescent="0.2">
      <c r="A768" s="54"/>
      <c r="B768" s="9"/>
      <c r="C768" s="134"/>
      <c r="D768" s="134"/>
      <c r="E768" s="134"/>
      <c r="F768" s="469"/>
      <c r="G768" s="91" t="s">
        <v>2169</v>
      </c>
      <c r="H768" s="9"/>
      <c r="I768" s="85"/>
      <c r="J768" s="9"/>
      <c r="K768" s="9"/>
      <c r="L768" s="9"/>
      <c r="M768" s="9"/>
      <c r="N768" s="9"/>
      <c r="O768" s="9"/>
      <c r="P768" s="9"/>
      <c r="Q768" s="9"/>
      <c r="R768" s="9"/>
      <c r="S768" s="47"/>
    </row>
    <row r="769" spans="1:19" x14ac:dyDescent="0.2">
      <c r="A769" s="54"/>
      <c r="B769" s="9"/>
      <c r="E769" s="134"/>
      <c r="F769" s="469"/>
      <c r="G769" s="122" t="s">
        <v>1320</v>
      </c>
      <c r="H769" s="9"/>
      <c r="I769" s="85"/>
      <c r="J769" s="9"/>
      <c r="K769" s="9"/>
      <c r="L769" s="9"/>
      <c r="M769" s="9"/>
      <c r="N769" s="9"/>
      <c r="O769" s="9"/>
      <c r="P769" s="9"/>
      <c r="Q769" s="9"/>
      <c r="R769" s="9"/>
      <c r="S769" s="47"/>
    </row>
    <row r="770" spans="1:19" x14ac:dyDescent="0.2">
      <c r="A770" s="54">
        <v>588800</v>
      </c>
      <c r="B770" s="9">
        <v>601600</v>
      </c>
      <c r="C770" s="136">
        <f>770000-1000</f>
        <v>769000</v>
      </c>
      <c r="D770" s="136">
        <v>790400</v>
      </c>
      <c r="E770" s="134">
        <v>832800</v>
      </c>
      <c r="F770" s="469" t="s">
        <v>157</v>
      </c>
      <c r="G770" s="1173" t="s">
        <v>1584</v>
      </c>
      <c r="H770" s="9">
        <f>853000-116000</f>
        <v>737000</v>
      </c>
      <c r="I770" s="85">
        <f t="shared" ref="I770:I775" si="1790">IF(E770=H770,0,IF(E770=0,100,(H770-E770)/E770*100))</f>
        <v>-11.503362151777138</v>
      </c>
      <c r="J770" s="9">
        <f>ROUND(H770*Assumptions!I$13+CIV!H770,-2)+118900</f>
        <v>872900</v>
      </c>
      <c r="K770" s="9">
        <f>ROUND(J770*Assumptions!J$13+CIV!J770,-2)</f>
        <v>893000</v>
      </c>
      <c r="L770" s="9">
        <f>ROUND(K770*Assumptions!K$13+CIV!K770,-2)</f>
        <v>913500</v>
      </c>
      <c r="M770" s="9">
        <f>ROUND(L770*Assumptions!L$13+CIV!L770,-2)</f>
        <v>934500</v>
      </c>
      <c r="N770" s="9">
        <f>ROUND(M770*Assumptions!M$13+CIV!M770,-2)</f>
        <v>956000</v>
      </c>
      <c r="O770" s="9">
        <f>ROUND(N770*Assumptions!N$13+CIV!N770,-2)</f>
        <v>978000</v>
      </c>
      <c r="P770" s="9">
        <f>ROUND(O770*Assumptions!O$13+CIV!O770,-2)</f>
        <v>1000500</v>
      </c>
      <c r="Q770" s="9">
        <f>ROUND(P770*Assumptions!P$13+CIV!P770,-2)</f>
        <v>1023500</v>
      </c>
      <c r="R770" s="9">
        <f>ROUND(Q770*Assumptions!Q$13+CIV!Q770,-2)</f>
        <v>1047000</v>
      </c>
      <c r="S770" s="47">
        <f>ROUND(R770*Assumptions!R$13+CIV!R770,-2)</f>
        <v>1071100</v>
      </c>
    </row>
    <row r="771" spans="1:19" x14ac:dyDescent="0.2">
      <c r="A771" s="54">
        <v>685200</v>
      </c>
      <c r="B771" s="9">
        <v>661300</v>
      </c>
      <c r="C771" s="136">
        <f>743000-1000-10000</f>
        <v>732000</v>
      </c>
      <c r="D771" s="136">
        <v>763300</v>
      </c>
      <c r="E771" s="134">
        <v>740500</v>
      </c>
      <c r="F771" s="469" t="s">
        <v>158</v>
      </c>
      <c r="G771" s="1173" t="s">
        <v>2729</v>
      </c>
      <c r="H771" s="9">
        <f>820000+11000</f>
        <v>831000</v>
      </c>
      <c r="I771" s="85">
        <f t="shared" si="1790"/>
        <v>12.221471978392978</v>
      </c>
      <c r="J771" s="9">
        <f>ROUND(H771*Assumptions!I$13+CIV!H771,-2)-11300</f>
        <v>838800</v>
      </c>
      <c r="K771" s="9">
        <f>ROUND(J771*Assumptions!J$13+CIV!J771,-2)</f>
        <v>858100</v>
      </c>
      <c r="L771" s="9">
        <f>ROUND(K771*Assumptions!K$13+CIV!K771,-2)</f>
        <v>877800</v>
      </c>
      <c r="M771" s="9">
        <f>ROUND(L771*Assumptions!L$13+CIV!L771,-2)</f>
        <v>898000</v>
      </c>
      <c r="N771" s="9">
        <f>ROUND(M771*Assumptions!M$13+CIV!M771,-2)</f>
        <v>918700</v>
      </c>
      <c r="O771" s="9">
        <f>ROUND(N771*Assumptions!N$13+CIV!N771,-2)</f>
        <v>939800</v>
      </c>
      <c r="P771" s="9">
        <f>ROUND(O771*Assumptions!O$13+CIV!O771,-2)</f>
        <v>961400</v>
      </c>
      <c r="Q771" s="9">
        <f>ROUND(P771*Assumptions!P$13+CIV!P771,-2)</f>
        <v>983500</v>
      </c>
      <c r="R771" s="9">
        <f>ROUND(Q771*Assumptions!Q$13+CIV!Q771,-2)</f>
        <v>1006100</v>
      </c>
      <c r="S771" s="47">
        <f>ROUND(R771*Assumptions!R$13+CIV!R771,-2)</f>
        <v>1029200</v>
      </c>
    </row>
    <row r="772" spans="1:19" x14ac:dyDescent="0.2">
      <c r="A772" s="54">
        <v>398300</v>
      </c>
      <c r="B772" s="9">
        <v>440700</v>
      </c>
      <c r="C772" s="136">
        <f>572000-11000-15000</f>
        <v>546000</v>
      </c>
      <c r="D772" s="136">
        <v>600600</v>
      </c>
      <c r="E772" s="134">
        <v>584100</v>
      </c>
      <c r="F772" s="469" t="s">
        <v>1694</v>
      </c>
      <c r="G772" s="1173" t="s">
        <v>2730</v>
      </c>
      <c r="H772" s="9">
        <f>600000+11000</f>
        <v>611000</v>
      </c>
      <c r="I772" s="85">
        <f t="shared" si="1790"/>
        <v>4.6053757918164697</v>
      </c>
      <c r="J772" s="9">
        <f>ROUND(H772*Assumptions!I$13+CIV!H772,-2)-11300</f>
        <v>613800</v>
      </c>
      <c r="K772" s="9">
        <f>ROUND(J772*Assumptions!J$13+CIV!J772,-2)</f>
        <v>627900</v>
      </c>
      <c r="L772" s="9">
        <f>ROUND(K772*Assumptions!K$13+CIV!K772,-2)</f>
        <v>642300</v>
      </c>
      <c r="M772" s="9">
        <f>ROUND(L772*Assumptions!L$13+CIV!L772,-2)</f>
        <v>657100</v>
      </c>
      <c r="N772" s="9">
        <f>ROUND(M772*Assumptions!M$13+CIV!M772,-2)</f>
        <v>672200</v>
      </c>
      <c r="O772" s="9">
        <f>ROUND(N772*Assumptions!N$13+CIV!N772,-2)</f>
        <v>687700</v>
      </c>
      <c r="P772" s="9">
        <f>ROUND(O772*Assumptions!O$13+CIV!O772,-2)</f>
        <v>703500</v>
      </c>
      <c r="Q772" s="9">
        <f>ROUND(P772*Assumptions!P$13+CIV!P772,-2)</f>
        <v>719700</v>
      </c>
      <c r="R772" s="9">
        <f>ROUND(Q772*Assumptions!Q$13+CIV!Q772,-2)</f>
        <v>736300</v>
      </c>
      <c r="S772" s="47">
        <f>ROUND(R772*Assumptions!R$13+CIV!R772,-2)</f>
        <v>753200</v>
      </c>
    </row>
    <row r="773" spans="1:19" x14ac:dyDescent="0.2">
      <c r="A773" s="54">
        <v>183100</v>
      </c>
      <c r="B773" s="9">
        <v>0</v>
      </c>
      <c r="C773" s="136">
        <v>0</v>
      </c>
      <c r="D773" s="136">
        <v>0</v>
      </c>
      <c r="E773" s="134">
        <v>0</v>
      </c>
      <c r="F773" s="469" t="s">
        <v>1695</v>
      </c>
      <c r="G773" s="1173" t="s">
        <v>1503</v>
      </c>
      <c r="H773" s="9">
        <v>0</v>
      </c>
      <c r="I773" s="85">
        <f t="shared" si="1790"/>
        <v>0</v>
      </c>
      <c r="J773" s="9">
        <f>ROUND(H773*Assumptions!I$13+CIV!H773,-2)</f>
        <v>0</v>
      </c>
      <c r="K773" s="9">
        <f>ROUND(J773*Assumptions!J$13+CIV!J773,-2)</f>
        <v>0</v>
      </c>
      <c r="L773" s="9">
        <f>ROUND(K773*Assumptions!K$13+CIV!K773,-2)</f>
        <v>0</v>
      </c>
      <c r="M773" s="9">
        <f>ROUND(L773*Assumptions!L$13+CIV!L773,-2)</f>
        <v>0</v>
      </c>
      <c r="N773" s="9">
        <f>ROUND(M773*Assumptions!M$13+CIV!M773,-2)</f>
        <v>0</v>
      </c>
      <c r="O773" s="9">
        <f>ROUND(N773*Assumptions!N$13+CIV!N773,-2)</f>
        <v>0</v>
      </c>
      <c r="P773" s="9">
        <f>ROUND(O773*Assumptions!O$13+CIV!O773,-2)</f>
        <v>0</v>
      </c>
      <c r="Q773" s="9">
        <f>ROUND(P773*Assumptions!P$13+CIV!P773,-2)</f>
        <v>0</v>
      </c>
      <c r="R773" s="9">
        <f>ROUND(Q773*Assumptions!Q$13+CIV!Q773,-2)</f>
        <v>0</v>
      </c>
      <c r="S773" s="47">
        <f>ROUND(R773*Assumptions!R$13+CIV!R773,-2)</f>
        <v>0</v>
      </c>
    </row>
    <row r="774" spans="1:19" x14ac:dyDescent="0.2">
      <c r="A774" s="54">
        <v>10700</v>
      </c>
      <c r="B774" s="9">
        <v>8300</v>
      </c>
      <c r="C774" s="136">
        <f>8000+5000</f>
        <v>13000</v>
      </c>
      <c r="D774" s="136">
        <v>10800</v>
      </c>
      <c r="E774" s="134">
        <v>6000</v>
      </c>
      <c r="F774" s="469" t="s">
        <v>2595</v>
      </c>
      <c r="G774" s="1173" t="s">
        <v>1889</v>
      </c>
      <c r="H774" s="9">
        <v>8000</v>
      </c>
      <c r="I774" s="85">
        <f t="shared" si="1790"/>
        <v>33.333333333333329</v>
      </c>
      <c r="J774" s="9">
        <f>ROUNDUP(H774+(H774*Assumptions!I$5),-2)</f>
        <v>8200</v>
      </c>
      <c r="K774" s="9">
        <f>ROUNDUP(J774+(J774*Assumptions!J$5),-2)</f>
        <v>8500</v>
      </c>
      <c r="L774" s="9">
        <f>ROUNDUP(K774+(K774*Assumptions!K$5),-2)</f>
        <v>8800</v>
      </c>
      <c r="M774" s="9">
        <f>ROUNDUP(L774+(L774*Assumptions!L$5),-2)</f>
        <v>9100</v>
      </c>
      <c r="N774" s="9">
        <f>ROUNDUP(M774+(M774*Assumptions!M$5),-2)</f>
        <v>9400</v>
      </c>
      <c r="O774" s="9">
        <f>ROUNDUP(N774+(N774*Assumptions!N$5),-2)</f>
        <v>9700</v>
      </c>
      <c r="P774" s="9">
        <f>ROUNDUP(O774+(O774*Assumptions!O$5),-2)</f>
        <v>10000</v>
      </c>
      <c r="Q774" s="9">
        <f>ROUNDUP(P774+(P774*Assumptions!P$5),-2)</f>
        <v>10300</v>
      </c>
      <c r="R774" s="9">
        <f>ROUNDUP(Q774+(Q774*Assumptions!Q$5),-2)</f>
        <v>10600</v>
      </c>
      <c r="S774" s="47">
        <f>ROUNDUP(R774+(R774*Assumptions!R$5),-2)</f>
        <v>10900</v>
      </c>
    </row>
    <row r="775" spans="1:19" x14ac:dyDescent="0.2">
      <c r="A775" s="54">
        <v>92300</v>
      </c>
      <c r="B775" s="9">
        <v>103500</v>
      </c>
      <c r="C775" s="136">
        <v>106700</v>
      </c>
      <c r="D775" s="136">
        <v>106700</v>
      </c>
      <c r="E775" s="134">
        <v>108900</v>
      </c>
      <c r="F775" s="469" t="s">
        <v>1936</v>
      </c>
      <c r="G775" s="1173" t="s">
        <v>525</v>
      </c>
      <c r="H775" s="9">
        <v>80000</v>
      </c>
      <c r="I775" s="85">
        <f t="shared" si="1790"/>
        <v>-26.538108356290174</v>
      </c>
      <c r="J775" s="9">
        <f>ROUNDUP(H775+(H775*Assumptions!I$5),-2)</f>
        <v>81900</v>
      </c>
      <c r="K775" s="9">
        <f>ROUNDUP(J775+(J775*Assumptions!J$5),-2)</f>
        <v>84000</v>
      </c>
      <c r="L775" s="9">
        <f>ROUNDUP(K775+(K775*Assumptions!K$5),-2)</f>
        <v>86100</v>
      </c>
      <c r="M775" s="9">
        <f>ROUNDUP(L775+(L775*Assumptions!L$5),-2)</f>
        <v>88300</v>
      </c>
      <c r="N775" s="9">
        <f>ROUNDUP(M775+(M775*Assumptions!M$5),-2)</f>
        <v>90600</v>
      </c>
      <c r="O775" s="9">
        <f>ROUNDUP(N775+(N775*Assumptions!N$5),-2)</f>
        <v>92900</v>
      </c>
      <c r="P775" s="9">
        <f>ROUNDUP(O775+(O775*Assumptions!O$5),-2)</f>
        <v>95300</v>
      </c>
      <c r="Q775" s="9">
        <f>ROUNDUP(P775+(P775*Assumptions!P$5),-2)</f>
        <v>97700</v>
      </c>
      <c r="R775" s="9">
        <f>ROUNDUP(Q775+(Q775*Assumptions!Q$5),-2)</f>
        <v>100200</v>
      </c>
      <c r="S775" s="47">
        <f>ROUNDUP(R775+(R775*Assumptions!R$5),-2)</f>
        <v>102800</v>
      </c>
    </row>
    <row r="776" spans="1:19" x14ac:dyDescent="0.2">
      <c r="A776" s="54"/>
      <c r="B776" s="9"/>
      <c r="E776" s="134"/>
      <c r="F776" s="469"/>
      <c r="G776" s="122" t="s">
        <v>2514</v>
      </c>
      <c r="H776" s="9"/>
      <c r="I776" s="85"/>
      <c r="J776" s="9"/>
      <c r="K776" s="9"/>
      <c r="L776" s="9"/>
      <c r="M776" s="9"/>
      <c r="N776" s="9"/>
      <c r="O776" s="9"/>
      <c r="P776" s="9"/>
      <c r="Q776" s="9"/>
      <c r="R776" s="9"/>
      <c r="S776" s="47"/>
    </row>
    <row r="777" spans="1:19" x14ac:dyDescent="0.2">
      <c r="A777" s="54">
        <v>35600</v>
      </c>
      <c r="B777" s="9">
        <f>23800+500</f>
        <v>24300</v>
      </c>
      <c r="C777" s="136">
        <f>24000-500</f>
        <v>23500</v>
      </c>
      <c r="D777" s="136">
        <v>32400</v>
      </c>
      <c r="E777" s="134">
        <v>31900</v>
      </c>
      <c r="F777" s="469" t="s">
        <v>904</v>
      </c>
      <c r="G777" s="1173" t="s">
        <v>496</v>
      </c>
      <c r="H777" s="9">
        <f>25000+5000</f>
        <v>30000</v>
      </c>
      <c r="I777" s="85">
        <f>IF(E777=H777,0,IF(E777=0,100,(H777-E777)/E777*100))</f>
        <v>-5.9561128526645764</v>
      </c>
      <c r="J777" s="9">
        <v>31000</v>
      </c>
      <c r="K777" s="9">
        <f>ROUNDUP(J777+(J777*Assumptions!J$5),-2)</f>
        <v>31800</v>
      </c>
      <c r="L777" s="9">
        <f>ROUNDUP(K777+(K777*Assumptions!K$5),-2)</f>
        <v>32600</v>
      </c>
      <c r="M777" s="9">
        <f>ROUNDUP(L777+(L777*Assumptions!L$5),-2)</f>
        <v>33500</v>
      </c>
      <c r="N777" s="9">
        <f>ROUNDUP(M777+(M777*Assumptions!M$5),-2)</f>
        <v>34400</v>
      </c>
      <c r="O777" s="9">
        <f>ROUNDUP(N777+(N777*Assumptions!N$5),-2)</f>
        <v>35300</v>
      </c>
      <c r="P777" s="9">
        <f>ROUNDUP(O777+(O777*Assumptions!O$5),-2)</f>
        <v>36200</v>
      </c>
      <c r="Q777" s="9">
        <f>ROUNDUP(P777+(P777*Assumptions!P$5),-2)</f>
        <v>37200</v>
      </c>
      <c r="R777" s="9">
        <f>ROUNDUP(Q777+(Q777*Assumptions!Q$5),-2)</f>
        <v>38200</v>
      </c>
      <c r="S777" s="47">
        <f>ROUNDUP(R777+(R777*Assumptions!R$5),-2)</f>
        <v>39200</v>
      </c>
    </row>
    <row r="778" spans="1:19" x14ac:dyDescent="0.2">
      <c r="A778" s="54">
        <v>1000</v>
      </c>
      <c r="B778" s="9">
        <v>0</v>
      </c>
      <c r="C778" s="136">
        <v>2000</v>
      </c>
      <c r="D778" s="136">
        <v>1600</v>
      </c>
      <c r="E778" s="134">
        <v>1900</v>
      </c>
      <c r="F778" s="469" t="s">
        <v>2868</v>
      </c>
      <c r="G778" s="1173" t="s">
        <v>526</v>
      </c>
      <c r="H778" s="9">
        <v>2000</v>
      </c>
      <c r="I778" s="85">
        <f>IF(E778=H778,0,IF(E778=0,100,(H778-E778)/E778*100))</f>
        <v>5.2631578947368416</v>
      </c>
      <c r="J778" s="9">
        <f>ROUNDUP(H778+(H778*Assumptions!I$5),-2)</f>
        <v>2100</v>
      </c>
      <c r="K778" s="9">
        <f>ROUNDUP(J778+(J778*Assumptions!J$5),-2)</f>
        <v>2200</v>
      </c>
      <c r="L778" s="9">
        <f>ROUNDUP(K778+(K778*Assumptions!K$5),-2)</f>
        <v>2300</v>
      </c>
      <c r="M778" s="9">
        <f>ROUNDUP(L778+(L778*Assumptions!L$5),-2)</f>
        <v>2400</v>
      </c>
      <c r="N778" s="9">
        <f>ROUNDUP(M778+(M778*Assumptions!M$5),-2)</f>
        <v>2500</v>
      </c>
      <c r="O778" s="9">
        <f>ROUNDUP(N778+(N778*Assumptions!N$5),-2)</f>
        <v>2600</v>
      </c>
      <c r="P778" s="9">
        <f>ROUNDUP(O778+(O778*Assumptions!O$5),-2)</f>
        <v>2700</v>
      </c>
      <c r="Q778" s="9">
        <f>ROUNDUP(P778+(P778*Assumptions!P$5),-2)</f>
        <v>2800</v>
      </c>
      <c r="R778" s="9">
        <f>ROUNDUP(Q778+(Q778*Assumptions!Q$5),-2)</f>
        <v>2900</v>
      </c>
      <c r="S778" s="47">
        <f>ROUNDUP(R778+(R778*Assumptions!R$5),-2)</f>
        <v>3000</v>
      </c>
    </row>
    <row r="779" spans="1:19" x14ac:dyDescent="0.2">
      <c r="A779" s="54">
        <v>400</v>
      </c>
      <c r="B779" s="9">
        <v>4300</v>
      </c>
      <c r="C779" s="136">
        <f>500+8000</f>
        <v>8500</v>
      </c>
      <c r="D779" s="136">
        <v>10400</v>
      </c>
      <c r="E779" s="134">
        <v>12800</v>
      </c>
      <c r="F779" s="469" t="s">
        <v>1921</v>
      </c>
      <c r="G779" s="1173" t="s">
        <v>708</v>
      </c>
      <c r="H779" s="9">
        <f>12000+2500</f>
        <v>14500</v>
      </c>
      <c r="I779" s="85">
        <f>IF(E779=H779,0,IF(E779=0,100,(H779-E779)/E779*100))</f>
        <v>13.28125</v>
      </c>
      <c r="J779" s="9">
        <f>ROUNDUP(H779+(H779*Assumptions!I$5),-2)</f>
        <v>14900</v>
      </c>
      <c r="K779" s="9">
        <f>ROUNDUP(J779+(J779*Assumptions!J$5),-2)</f>
        <v>15300</v>
      </c>
      <c r="L779" s="9">
        <f>ROUNDUP(K779+(K779*Assumptions!K$5),-2)</f>
        <v>15700</v>
      </c>
      <c r="M779" s="9">
        <f>ROUNDUP(L779+(L779*Assumptions!L$5),-2)</f>
        <v>16100</v>
      </c>
      <c r="N779" s="9">
        <f>ROUNDUP(M779+(M779*Assumptions!M$5),-2)</f>
        <v>16600</v>
      </c>
      <c r="O779" s="9">
        <f>ROUNDUP(N779+(N779*Assumptions!N$5),-2)</f>
        <v>17100</v>
      </c>
      <c r="P779" s="9">
        <f>ROUNDUP(O779+(O779*Assumptions!O$5),-2)</f>
        <v>17600</v>
      </c>
      <c r="Q779" s="9">
        <f>ROUNDUP(P779+(P779*Assumptions!P$5),-2)</f>
        <v>18100</v>
      </c>
      <c r="R779" s="9">
        <f>ROUNDUP(Q779+(Q779*Assumptions!Q$5),-2)</f>
        <v>18600</v>
      </c>
      <c r="S779" s="47">
        <f>ROUNDUP(R779+(R779*Assumptions!R$5),-2)</f>
        <v>19100</v>
      </c>
    </row>
    <row r="780" spans="1:19" x14ac:dyDescent="0.2">
      <c r="A780" s="54"/>
      <c r="B780" s="9"/>
      <c r="E780" s="134"/>
      <c r="F780" s="769" t="s">
        <v>11845</v>
      </c>
      <c r="G780" s="1150" t="s">
        <v>2724</v>
      </c>
      <c r="H780" s="9">
        <f>1700-500</f>
        <v>1200</v>
      </c>
      <c r="I780" s="85">
        <f>IF(E780=H780,0,IF(E780=0,100,(H780-E780)/E780*100))</f>
        <v>100</v>
      </c>
      <c r="J780" s="9">
        <f>ROUNDUP(H780+(H780*Assumptions!I$5),-2)</f>
        <v>1300</v>
      </c>
      <c r="K780" s="9">
        <f>ROUNDUP(J780+(J780*Assumptions!J$5),-2)</f>
        <v>1400</v>
      </c>
      <c r="L780" s="9">
        <f>ROUNDUP(K780+(K780*Assumptions!K$5),-2)</f>
        <v>1500</v>
      </c>
      <c r="M780" s="9">
        <f>ROUNDUP(L780+(L780*Assumptions!L$5),-2)</f>
        <v>1600</v>
      </c>
      <c r="N780" s="9">
        <f>ROUNDUP(M780+(M780*Assumptions!M$5),-2)</f>
        <v>1700</v>
      </c>
      <c r="O780" s="9">
        <f>ROUNDUP(N780+(N780*Assumptions!N$5),-2)</f>
        <v>1800</v>
      </c>
      <c r="P780" s="9">
        <f>ROUNDUP(O780+(O780*Assumptions!O$5),-2)</f>
        <v>1900</v>
      </c>
      <c r="Q780" s="9">
        <f>ROUNDUP(P780+(P780*Assumptions!P$5),-2)</f>
        <v>2000</v>
      </c>
      <c r="R780" s="9">
        <f>ROUNDUP(Q780+(Q780*Assumptions!Q$5),-2)</f>
        <v>2100</v>
      </c>
      <c r="S780" s="47">
        <f>ROUNDUP(R780+(R780*Assumptions!R$5),-2)</f>
        <v>2200</v>
      </c>
    </row>
    <row r="781" spans="1:19" x14ac:dyDescent="0.2">
      <c r="A781" s="54">
        <v>7000</v>
      </c>
      <c r="B781" s="9">
        <v>700</v>
      </c>
      <c r="C781" s="136">
        <f>3000+6000</f>
        <v>9000</v>
      </c>
      <c r="D781" s="136">
        <v>3600</v>
      </c>
      <c r="E781" s="706">
        <v>6000</v>
      </c>
      <c r="F781" s="469" t="s">
        <v>2564</v>
      </c>
      <c r="G781" s="1173" t="s">
        <v>1585</v>
      </c>
      <c r="H781" s="9">
        <v>7000</v>
      </c>
      <c r="I781" s="85">
        <f>IF(E781=H781,0,IF(E781=0,100,(H781-E781)/E781*100))</f>
        <v>16.666666666666664</v>
      </c>
      <c r="J781" s="9">
        <f>ROUNDUP(H781+(H781*Assumptions!I$5),-2)</f>
        <v>7200</v>
      </c>
      <c r="K781" s="9">
        <f>ROUNDUP(J781+(J781*Assumptions!J$5),-2)</f>
        <v>7400</v>
      </c>
      <c r="L781" s="9">
        <f>ROUNDUP(K781+(K781*Assumptions!K$5),-2)</f>
        <v>7600</v>
      </c>
      <c r="M781" s="9">
        <f>ROUNDUP(L781+(L781*Assumptions!L$5),-2)</f>
        <v>7800</v>
      </c>
      <c r="N781" s="9">
        <f>ROUNDUP(M781+(M781*Assumptions!M$5),-2)</f>
        <v>8000</v>
      </c>
      <c r="O781" s="9">
        <f>ROUNDUP(N781+(N781*Assumptions!N$5),-2)</f>
        <v>8200</v>
      </c>
      <c r="P781" s="9">
        <f>ROUNDUP(O781+(O781*Assumptions!O$5),-2)</f>
        <v>8500</v>
      </c>
      <c r="Q781" s="9">
        <f>ROUNDUP(P781+(P781*Assumptions!P$5),-2)</f>
        <v>8800</v>
      </c>
      <c r="R781" s="9">
        <f>ROUNDUP(Q781+(Q781*Assumptions!Q$5),-2)</f>
        <v>9100</v>
      </c>
      <c r="S781" s="47">
        <f>ROUNDUP(R781+(R781*Assumptions!R$5),-2)</f>
        <v>9400</v>
      </c>
    </row>
    <row r="782" spans="1:19" x14ac:dyDescent="0.2">
      <c r="A782" s="54"/>
      <c r="B782" s="9"/>
      <c r="E782" s="134"/>
      <c r="F782" s="469"/>
      <c r="G782" s="853" t="s">
        <v>3753</v>
      </c>
      <c r="H782" s="9"/>
      <c r="I782" s="85"/>
      <c r="J782" s="9"/>
      <c r="K782" s="9"/>
      <c r="L782" s="9"/>
      <c r="M782" s="9"/>
      <c r="N782" s="9"/>
      <c r="O782" s="9"/>
      <c r="P782" s="9"/>
      <c r="Q782" s="9"/>
      <c r="R782" s="9"/>
      <c r="S782" s="47"/>
    </row>
    <row r="783" spans="1:19" x14ac:dyDescent="0.2">
      <c r="A783" s="54">
        <v>42100</v>
      </c>
      <c r="B783" s="9">
        <v>41400</v>
      </c>
      <c r="C783" s="136">
        <v>42000</v>
      </c>
      <c r="D783" s="136">
        <v>35300</v>
      </c>
      <c r="E783" s="134">
        <v>40300</v>
      </c>
      <c r="F783" s="469" t="s">
        <v>1219</v>
      </c>
      <c r="G783" s="247" t="s">
        <v>607</v>
      </c>
      <c r="H783" s="9">
        <f>H762*2</f>
        <v>44000</v>
      </c>
      <c r="I783" s="85">
        <f>IF(E783=H783,0,IF(E783=0,100,(H783-E783)/E783*100))</f>
        <v>9.1811414392059554</v>
      </c>
      <c r="J783" s="9">
        <f t="shared" ref="J783:R783" si="1791">J762*2</f>
        <v>45200</v>
      </c>
      <c r="K783" s="9">
        <f t="shared" si="1791"/>
        <v>46400</v>
      </c>
      <c r="L783" s="9">
        <f t="shared" si="1791"/>
        <v>47600</v>
      </c>
      <c r="M783" s="9">
        <f t="shared" si="1791"/>
        <v>48800</v>
      </c>
      <c r="N783" s="9">
        <f t="shared" si="1791"/>
        <v>50200</v>
      </c>
      <c r="O783" s="9">
        <f t="shared" si="1791"/>
        <v>51600</v>
      </c>
      <c r="P783" s="9">
        <f t="shared" si="1791"/>
        <v>53000</v>
      </c>
      <c r="Q783" s="9">
        <f t="shared" si="1791"/>
        <v>54400</v>
      </c>
      <c r="R783" s="9">
        <f t="shared" si="1791"/>
        <v>55800</v>
      </c>
      <c r="S783" s="47">
        <f t="shared" ref="S783" si="1792">S762*2</f>
        <v>57200</v>
      </c>
    </row>
    <row r="784" spans="1:19" x14ac:dyDescent="0.2">
      <c r="A784" s="54">
        <v>7200</v>
      </c>
      <c r="B784" s="9">
        <v>5700</v>
      </c>
      <c r="C784" s="136">
        <f>C763*2</f>
        <v>7000</v>
      </c>
      <c r="D784" s="136">
        <v>5700</v>
      </c>
      <c r="E784" s="134">
        <v>0</v>
      </c>
      <c r="F784" s="469" t="s">
        <v>1220</v>
      </c>
      <c r="G784" s="247" t="s">
        <v>330</v>
      </c>
      <c r="H784" s="9">
        <f>H763*2</f>
        <v>0</v>
      </c>
      <c r="I784" s="85">
        <f>IF(E784=H784,0,IF(E784=0,100,(H784-E784)/E784*100))</f>
        <v>0</v>
      </c>
      <c r="J784" s="9">
        <f t="shared" ref="J784:R784" si="1793">J763*2</f>
        <v>0</v>
      </c>
      <c r="K784" s="9">
        <f t="shared" si="1793"/>
        <v>0</v>
      </c>
      <c r="L784" s="9">
        <f t="shared" si="1793"/>
        <v>0</v>
      </c>
      <c r="M784" s="9">
        <f t="shared" si="1793"/>
        <v>0</v>
      </c>
      <c r="N784" s="9">
        <f t="shared" si="1793"/>
        <v>0</v>
      </c>
      <c r="O784" s="9">
        <f t="shared" si="1793"/>
        <v>0</v>
      </c>
      <c r="P784" s="9">
        <f t="shared" si="1793"/>
        <v>0</v>
      </c>
      <c r="Q784" s="9">
        <f t="shared" si="1793"/>
        <v>0</v>
      </c>
      <c r="R784" s="9">
        <f t="shared" si="1793"/>
        <v>0</v>
      </c>
      <c r="S784" s="47">
        <f t="shared" ref="S784" si="1794">S763*2</f>
        <v>0</v>
      </c>
    </row>
    <row r="785" spans="1:21" x14ac:dyDescent="0.2">
      <c r="A785" s="54">
        <v>38800</v>
      </c>
      <c r="B785" s="9">
        <f>81600-47100</f>
        <v>34500</v>
      </c>
      <c r="C785" s="136">
        <f>C764</f>
        <v>25000</v>
      </c>
      <c r="D785" s="136">
        <v>14600</v>
      </c>
      <c r="E785" s="134">
        <f>4100+6200+6500+2000+1900+100</f>
        <v>20800</v>
      </c>
      <c r="F785" s="769" t="s">
        <v>11899</v>
      </c>
      <c r="G785" s="772" t="s">
        <v>1756</v>
      </c>
      <c r="H785" s="9">
        <f>12200-12200+1500+4000+6000+13100</f>
        <v>24600</v>
      </c>
      <c r="I785" s="85">
        <f>IF(E785=H785,0,IF(E785=0,100,(H785-E785)/E785*100))</f>
        <v>18.269230769230766</v>
      </c>
      <c r="J785" s="9">
        <f t="shared" ref="J785:R785" si="1795">J764</f>
        <v>12300</v>
      </c>
      <c r="K785" s="9">
        <f t="shared" si="1795"/>
        <v>12700</v>
      </c>
      <c r="L785" s="9">
        <f t="shared" si="1795"/>
        <v>13100</v>
      </c>
      <c r="M785" s="9">
        <f t="shared" si="1795"/>
        <v>13500</v>
      </c>
      <c r="N785" s="9">
        <f t="shared" si="1795"/>
        <v>13900</v>
      </c>
      <c r="O785" s="9">
        <f t="shared" si="1795"/>
        <v>14300</v>
      </c>
      <c r="P785" s="9">
        <f t="shared" si="1795"/>
        <v>14700</v>
      </c>
      <c r="Q785" s="9">
        <f t="shared" si="1795"/>
        <v>15100</v>
      </c>
      <c r="R785" s="9">
        <f t="shared" si="1795"/>
        <v>15500</v>
      </c>
      <c r="S785" s="47">
        <f t="shared" ref="S785" si="1796">S764</f>
        <v>15900</v>
      </c>
    </row>
    <row r="786" spans="1:21" x14ac:dyDescent="0.2">
      <c r="A786" s="54"/>
      <c r="B786" s="9"/>
      <c r="E786" s="134"/>
      <c r="F786" s="469"/>
      <c r="G786" s="542" t="s">
        <v>408</v>
      </c>
      <c r="H786" s="9"/>
      <c r="I786" s="85"/>
      <c r="J786" s="9"/>
      <c r="K786" s="9"/>
      <c r="L786" s="9"/>
      <c r="M786" s="9"/>
      <c r="N786" s="9"/>
      <c r="O786" s="9"/>
      <c r="P786" s="9"/>
      <c r="Q786" s="9"/>
      <c r="R786" s="9"/>
      <c r="S786" s="47"/>
    </row>
    <row r="787" spans="1:21" x14ac:dyDescent="0.2">
      <c r="A787" s="54">
        <f>43000+22000</f>
        <v>65000</v>
      </c>
      <c r="B787" s="9">
        <v>5800</v>
      </c>
      <c r="C787" s="136">
        <v>10000</v>
      </c>
      <c r="D787" s="136">
        <v>2600</v>
      </c>
      <c r="E787" s="134">
        <v>4000</v>
      </c>
      <c r="F787" s="769" t="s">
        <v>2968</v>
      </c>
      <c r="G787" s="772" t="s">
        <v>3003</v>
      </c>
      <c r="H787" s="9">
        <v>1000</v>
      </c>
      <c r="I787" s="85">
        <f>IF(E787=H787,0,IF(E787=0,100,(H787-E787)/E787*100))</f>
        <v>-75</v>
      </c>
      <c r="J787" s="9">
        <v>5000</v>
      </c>
      <c r="K787" s="9">
        <f>ROUNDUP(J787+(J787*Assumptions!J$5),-2)</f>
        <v>5200</v>
      </c>
      <c r="L787" s="9">
        <f>ROUNDUP(K787+(K787*Assumptions!K$5),-2)</f>
        <v>5400</v>
      </c>
      <c r="M787" s="9">
        <f>ROUNDUP(L787+(L787*Assumptions!L$5),-2)</f>
        <v>5600</v>
      </c>
      <c r="N787" s="9">
        <f>ROUNDUP(M787+(M787*Assumptions!M$5),-2)</f>
        <v>5800</v>
      </c>
      <c r="O787" s="9">
        <f>ROUNDUP(N787+(N787*Assumptions!N$5),-2)</f>
        <v>6000</v>
      </c>
      <c r="P787" s="9">
        <f>ROUNDUP(O787+(O787*Assumptions!O$5),-2)</f>
        <v>6200</v>
      </c>
      <c r="Q787" s="9">
        <f>ROUNDUP(P787+(P787*Assumptions!P$5),-2)</f>
        <v>6400</v>
      </c>
      <c r="R787" s="9">
        <f>ROUNDUP(Q787+(Q787*Assumptions!Q$5),-2)</f>
        <v>6600</v>
      </c>
      <c r="S787" s="47">
        <f>ROUNDUP(R787+(R787*Assumptions!R$5),-2)</f>
        <v>6800</v>
      </c>
    </row>
    <row r="788" spans="1:21" x14ac:dyDescent="0.2">
      <c r="A788" s="54"/>
      <c r="B788" s="9"/>
      <c r="E788" s="134"/>
      <c r="F788" s="469"/>
      <c r="G788" s="319" t="s">
        <v>1460</v>
      </c>
      <c r="H788" s="9"/>
      <c r="I788" s="85"/>
      <c r="J788" s="9"/>
      <c r="K788" s="9"/>
      <c r="L788" s="9"/>
      <c r="M788" s="9"/>
      <c r="N788" s="9"/>
      <c r="O788" s="9"/>
      <c r="P788" s="9"/>
      <c r="Q788" s="9"/>
      <c r="R788" s="9"/>
      <c r="S788" s="47"/>
    </row>
    <row r="789" spans="1:21" x14ac:dyDescent="0.2">
      <c r="A789" s="54">
        <v>22500</v>
      </c>
      <c r="B789" s="9">
        <v>64700</v>
      </c>
      <c r="C789" s="136">
        <f>24000+3500</f>
        <v>27500</v>
      </c>
      <c r="D789" s="136">
        <v>61800</v>
      </c>
      <c r="E789" s="134">
        <v>64300</v>
      </c>
      <c r="F789" s="469" t="s">
        <v>1362</v>
      </c>
      <c r="G789" s="1173" t="s">
        <v>950</v>
      </c>
      <c r="H789" s="9">
        <v>29500</v>
      </c>
      <c r="I789" s="85">
        <f>IF(E789=H789,0,IF(E789=0,100,(H789-E789)/E789*100))</f>
        <v>-54.121306376360813</v>
      </c>
      <c r="J789" s="9">
        <f>ROUNDUP(H789+(H789*Assumptions!I$5),-2)</f>
        <v>30200</v>
      </c>
      <c r="K789" s="9">
        <f>ROUNDUP(J789+(J789*Assumptions!J$5),-2)</f>
        <v>31000</v>
      </c>
      <c r="L789" s="9">
        <f>ROUNDUP(K789+(K789*Assumptions!K$5),-2)</f>
        <v>31800</v>
      </c>
      <c r="M789" s="9">
        <f>ROUNDUP(L789+(L789*Assumptions!L$5),-2)</f>
        <v>32600</v>
      </c>
      <c r="N789" s="9">
        <f>ROUNDUP(M789+(M789*Assumptions!M$5),-2)</f>
        <v>33500</v>
      </c>
      <c r="O789" s="9">
        <f>ROUNDUP(N789+(N789*Assumptions!N$5),-2)</f>
        <v>34400</v>
      </c>
      <c r="P789" s="9">
        <f>ROUNDUP(O789+(O789*Assumptions!O$5),-2)</f>
        <v>35300</v>
      </c>
      <c r="Q789" s="9">
        <f>ROUNDUP(P789+(P789*Assumptions!P$5),-2)</f>
        <v>36200</v>
      </c>
      <c r="R789" s="9">
        <f>ROUNDUP(Q789+(Q789*Assumptions!Q$5),-2)</f>
        <v>37200</v>
      </c>
      <c r="S789" s="47">
        <f>ROUNDUP(R789+(R789*Assumptions!R$5),-2)</f>
        <v>38200</v>
      </c>
    </row>
    <row r="790" spans="1:21" x14ac:dyDescent="0.2">
      <c r="A790" s="54"/>
      <c r="B790" s="9"/>
      <c r="E790" s="144"/>
      <c r="F790" s="469"/>
      <c r="G790" s="320" t="s">
        <v>2125</v>
      </c>
      <c r="H790" s="9"/>
      <c r="I790" s="85"/>
      <c r="J790" s="9"/>
      <c r="K790" s="9"/>
      <c r="L790" s="9"/>
      <c r="M790" s="9"/>
      <c r="N790" s="9"/>
      <c r="O790" s="9"/>
      <c r="P790" s="9"/>
      <c r="Q790" s="9"/>
      <c r="R790" s="9"/>
      <c r="S790" s="47"/>
    </row>
    <row r="791" spans="1:21" x14ac:dyDescent="0.2">
      <c r="A791" s="54">
        <v>8100</v>
      </c>
      <c r="B791" s="9">
        <v>0</v>
      </c>
      <c r="C791" s="136">
        <v>0</v>
      </c>
      <c r="D791" s="136">
        <v>0</v>
      </c>
      <c r="E791" s="144">
        <v>900</v>
      </c>
      <c r="F791" s="769" t="s">
        <v>7075</v>
      </c>
      <c r="G791" s="662" t="s">
        <v>7023</v>
      </c>
      <c r="H791" s="9">
        <v>1000</v>
      </c>
      <c r="I791" s="85">
        <f>IF(E791=H791,0,IF(E791=0,100,(H791-E791)/E791*100))</f>
        <v>11.111111111111111</v>
      </c>
      <c r="J791" s="9">
        <f>ROUNDUP(H791+(H791*Assumptions!I$7),-2)</f>
        <v>1100</v>
      </c>
      <c r="K791" s="9">
        <f>ROUNDUP(J791+(J791*Assumptions!J$7),-2)</f>
        <v>1200</v>
      </c>
      <c r="L791" s="9">
        <f>ROUNDUP(K791+(K791*Assumptions!K$7),-2)</f>
        <v>1300</v>
      </c>
      <c r="M791" s="9">
        <f>ROUNDUP(L791+(L791*Assumptions!L$7),-2)</f>
        <v>1400</v>
      </c>
      <c r="N791" s="9">
        <f>ROUNDUP(M791+(M791*Assumptions!M$7),-2)</f>
        <v>1500</v>
      </c>
      <c r="O791" s="9">
        <f>ROUNDUP(N791+(N791*Assumptions!N$7),-2)</f>
        <v>1600</v>
      </c>
      <c r="P791" s="9">
        <f>ROUNDUP(O791+(O791*Assumptions!O$7),-2)</f>
        <v>1700</v>
      </c>
      <c r="Q791" s="9">
        <f>ROUNDUP(P791+(P791*Assumptions!P$7),-2)</f>
        <v>1800</v>
      </c>
      <c r="R791" s="9">
        <f>ROUNDUP(Q791+(Q791*Assumptions!Q$7),-2)</f>
        <v>1900</v>
      </c>
      <c r="S791" s="47">
        <f>ROUNDUP(R791+(R791*Assumptions!R$7),-2)</f>
        <v>2000</v>
      </c>
    </row>
    <row r="792" spans="1:21" x14ac:dyDescent="0.2">
      <c r="A792" s="54">
        <v>8100</v>
      </c>
      <c r="B792" s="9">
        <v>4800</v>
      </c>
      <c r="C792" s="134">
        <f>5000+11000</f>
        <v>16000</v>
      </c>
      <c r="D792" s="134">
        <v>6100</v>
      </c>
      <c r="E792" s="134">
        <f>13000-E793</f>
        <v>12300</v>
      </c>
      <c r="F792" s="483" t="s">
        <v>279</v>
      </c>
      <c r="G792" s="371" t="s">
        <v>666</v>
      </c>
      <c r="H792" s="9">
        <f>5000+2000</f>
        <v>7000</v>
      </c>
      <c r="I792" s="85">
        <f>IF(E792=H792,0,IF(E792=0,100,(H792-E792)/E792*100))</f>
        <v>-43.089430894308947</v>
      </c>
      <c r="J792" s="9">
        <f>ROUNDUP(H792+(H792*Assumptions!I$5),-2)</f>
        <v>7200</v>
      </c>
      <c r="K792" s="9">
        <f>ROUNDUP(J792+(J792*Assumptions!J$5),-2)</f>
        <v>7400</v>
      </c>
      <c r="L792" s="9">
        <f>ROUNDUP(K792+(K792*Assumptions!K$5),-2)</f>
        <v>7600</v>
      </c>
      <c r="M792" s="9">
        <f>ROUNDUP(L792+(L792*Assumptions!L$5),-2)</f>
        <v>7800</v>
      </c>
      <c r="N792" s="9">
        <f>ROUNDUP(M792+(M792*Assumptions!M$5),-2)</f>
        <v>8000</v>
      </c>
      <c r="O792" s="9">
        <f>ROUNDUP(N792+(N792*Assumptions!N$5),-2)</f>
        <v>8200</v>
      </c>
      <c r="P792" s="9">
        <f>ROUNDUP(O792+(O792*Assumptions!O$5),-2)</f>
        <v>8500</v>
      </c>
      <c r="Q792" s="9">
        <f>ROUNDUP(P792+(P792*Assumptions!P$5),-2)</f>
        <v>8800</v>
      </c>
      <c r="R792" s="9">
        <f>ROUNDUP(Q792+(Q792*Assumptions!Q$5),-2)</f>
        <v>9100</v>
      </c>
      <c r="S792" s="47">
        <f>ROUNDUP(R792+(R792*Assumptions!R$5),-2)</f>
        <v>9400</v>
      </c>
    </row>
    <row r="793" spans="1:21" x14ac:dyDescent="0.2">
      <c r="A793" s="54">
        <v>4600</v>
      </c>
      <c r="B793" s="9">
        <v>0</v>
      </c>
      <c r="C793" s="134">
        <v>5000</v>
      </c>
      <c r="D793" s="134">
        <v>800</v>
      </c>
      <c r="E793" s="134">
        <v>700</v>
      </c>
      <c r="F793" s="483" t="s">
        <v>280</v>
      </c>
      <c r="G793" s="371" t="s">
        <v>2724</v>
      </c>
      <c r="H793" s="9">
        <v>1000</v>
      </c>
      <c r="I793" s="85">
        <f>IF(E793=H793,0,IF(E793=0,100,(H793-E793)/E793*100))</f>
        <v>42.857142857142854</v>
      </c>
      <c r="J793" s="9">
        <f>ROUNDUP(H793+(H793*Assumptions!I$5),-2)</f>
        <v>1100</v>
      </c>
      <c r="K793" s="9">
        <f>ROUNDUP(J793+(J793*Assumptions!J$5),-2)</f>
        <v>1200</v>
      </c>
      <c r="L793" s="9">
        <f>ROUNDUP(K793+(K793*Assumptions!K$5),-2)</f>
        <v>1300</v>
      </c>
      <c r="M793" s="9">
        <f>ROUNDUP(L793+(L793*Assumptions!L$5),-2)</f>
        <v>1400</v>
      </c>
      <c r="N793" s="9">
        <f>ROUNDUP(M793+(M793*Assumptions!M$5),-2)</f>
        <v>1500</v>
      </c>
      <c r="O793" s="9">
        <f>ROUNDUP(N793+(N793*Assumptions!N$5),-2)</f>
        <v>1600</v>
      </c>
      <c r="P793" s="9">
        <f>ROUNDUP(O793+(O793*Assumptions!O$5),-2)</f>
        <v>1700</v>
      </c>
      <c r="Q793" s="9">
        <f>ROUNDUP(P793+(P793*Assumptions!P$5),-2)</f>
        <v>1800</v>
      </c>
      <c r="R793" s="9">
        <f>ROUNDUP(Q793+(Q793*Assumptions!Q$5),-2)</f>
        <v>1900</v>
      </c>
      <c r="S793" s="47">
        <f>ROUNDUP(R793+(R793*Assumptions!R$5),-2)</f>
        <v>2000</v>
      </c>
    </row>
    <row r="794" spans="1:21" x14ac:dyDescent="0.2">
      <c r="A794" s="54">
        <v>400</v>
      </c>
      <c r="B794" s="9">
        <v>500</v>
      </c>
      <c r="C794" s="134">
        <v>1000</v>
      </c>
      <c r="D794" s="134">
        <v>900</v>
      </c>
      <c r="E794" s="134">
        <v>5000</v>
      </c>
      <c r="F794" s="483" t="s">
        <v>346</v>
      </c>
      <c r="G794" s="371" t="s">
        <v>471</v>
      </c>
      <c r="H794" s="9">
        <v>1000</v>
      </c>
      <c r="I794" s="85">
        <f>IF(E794=H794,0,IF(E794=0,100,(H794-E794)/E794*100))</f>
        <v>-80</v>
      </c>
      <c r="J794" s="9">
        <f>ROUNDUP(H794+(H794*Assumptions!I$5),-2)</f>
        <v>1100</v>
      </c>
      <c r="K794" s="9">
        <f>ROUNDUP(J794+(J794*Assumptions!J$5),-2)</f>
        <v>1200</v>
      </c>
      <c r="L794" s="9">
        <f>ROUNDUP(K794+(K794*Assumptions!K$5),-2)</f>
        <v>1300</v>
      </c>
      <c r="M794" s="9">
        <f>ROUNDUP(L794+(L794*Assumptions!L$5),-2)</f>
        <v>1400</v>
      </c>
      <c r="N794" s="9">
        <f>ROUNDUP(M794+(M794*Assumptions!M$5),-2)</f>
        <v>1500</v>
      </c>
      <c r="O794" s="9">
        <f>ROUNDUP(N794+(N794*Assumptions!N$5),-2)</f>
        <v>1600</v>
      </c>
      <c r="P794" s="9">
        <f>ROUNDUP(O794+(O794*Assumptions!O$5),-2)</f>
        <v>1700</v>
      </c>
      <c r="Q794" s="9">
        <f>ROUNDUP(P794+(P794*Assumptions!P$5),-2)</f>
        <v>1800</v>
      </c>
      <c r="R794" s="9">
        <f>ROUNDUP(Q794+(Q794*Assumptions!Q$5),-2)</f>
        <v>1900</v>
      </c>
      <c r="S794" s="47">
        <f>ROUNDUP(R794+(R794*Assumptions!R$5),-2)</f>
        <v>2000</v>
      </c>
    </row>
    <row r="795" spans="1:21" x14ac:dyDescent="0.2">
      <c r="A795" s="54">
        <v>40700</v>
      </c>
      <c r="B795" s="9">
        <v>50600</v>
      </c>
      <c r="C795" s="134">
        <f>62000-10000+10000</f>
        <v>62000</v>
      </c>
      <c r="D795" s="134">
        <v>72800</v>
      </c>
      <c r="E795" s="134">
        <v>79200</v>
      </c>
      <c r="F795" s="483" t="s">
        <v>999</v>
      </c>
      <c r="G795" s="371" t="s">
        <v>360</v>
      </c>
      <c r="H795" s="9">
        <f>80000+2000-11000</f>
        <v>71000</v>
      </c>
      <c r="I795" s="85">
        <f>IF(E795=H795,0,IF(E795=0,100,(H795-E795)/E795*100))</f>
        <v>-10.353535353535353</v>
      </c>
      <c r="J795" s="9">
        <f>ROUNDUP(H795+(H795*Assumptions!I$5),-2)</f>
        <v>72700</v>
      </c>
      <c r="K795" s="9">
        <f>ROUNDUP(J795+(J795*Assumptions!J$5),-2)</f>
        <v>74600</v>
      </c>
      <c r="L795" s="9">
        <f>ROUNDUP(K795+(K795*Assumptions!K$5),-2)</f>
        <v>76500</v>
      </c>
      <c r="M795" s="9">
        <f>ROUNDUP(L795+(L795*Assumptions!L$5),-2)</f>
        <v>78500</v>
      </c>
      <c r="N795" s="9">
        <f>ROUNDUP(M795+(M795*Assumptions!M$5),-2)</f>
        <v>80500</v>
      </c>
      <c r="O795" s="9">
        <f>ROUNDUP(N795+(N795*Assumptions!N$5),-2)</f>
        <v>82600</v>
      </c>
      <c r="P795" s="9">
        <f>ROUNDUP(O795+(O795*Assumptions!O$5),-2)</f>
        <v>84700</v>
      </c>
      <c r="Q795" s="9">
        <f>ROUNDUP(P795+(P795*Assumptions!P$5),-2)</f>
        <v>86900</v>
      </c>
      <c r="R795" s="9">
        <f>ROUNDUP(Q795+(Q795*Assumptions!Q$5),-2)</f>
        <v>89100</v>
      </c>
      <c r="S795" s="47">
        <f>ROUNDUP(R795+(R795*Assumptions!R$5),-2)</f>
        <v>91400</v>
      </c>
    </row>
    <row r="796" spans="1:21" x14ac:dyDescent="0.2">
      <c r="A796" s="54"/>
      <c r="B796" s="9"/>
      <c r="C796" s="134"/>
      <c r="D796" s="134"/>
      <c r="E796" s="134"/>
      <c r="F796" s="483"/>
      <c r="G796" s="421" t="str">
        <f>G101</f>
        <v>Non-Cash Expenses</v>
      </c>
      <c r="H796" s="9"/>
      <c r="I796" s="85"/>
      <c r="J796" s="9"/>
      <c r="K796" s="9"/>
      <c r="L796" s="9"/>
      <c r="M796" s="9"/>
      <c r="N796" s="9"/>
      <c r="O796" s="9"/>
      <c r="P796" s="9"/>
      <c r="Q796" s="9"/>
      <c r="R796" s="9"/>
      <c r="S796" s="47"/>
    </row>
    <row r="797" spans="1:21" x14ac:dyDescent="0.2">
      <c r="A797" s="54">
        <v>17800</v>
      </c>
      <c r="B797" s="9">
        <v>0</v>
      </c>
      <c r="C797" s="134">
        <v>99900</v>
      </c>
      <c r="D797" s="134">
        <v>101500</v>
      </c>
      <c r="E797" s="134">
        <v>103500</v>
      </c>
      <c r="F797" s="483" t="s">
        <v>106</v>
      </c>
      <c r="G797" s="257" t="s">
        <v>751</v>
      </c>
      <c r="H797" s="9">
        <v>102000</v>
      </c>
      <c r="I797" s="85">
        <f>IF(E797=H797,0,IF(E797=0,100,(H797-E797)/E797*100))</f>
        <v>-1.4492753623188406</v>
      </c>
      <c r="J797" s="9">
        <f>ROUNDUP(H797+(H797*Assumptions!I$18),-2)</f>
        <v>104100</v>
      </c>
      <c r="K797" s="9">
        <f>ROUNDUP(J797+(J797*Assumptions!J$18),-2)</f>
        <v>106200</v>
      </c>
      <c r="L797" s="9">
        <f>ROUNDUP(K797+(K797*Assumptions!K$18),-2)</f>
        <v>108400</v>
      </c>
      <c r="M797" s="9">
        <f>ROUNDUP(L797+(L797*Assumptions!L$18),-2)</f>
        <v>110600</v>
      </c>
      <c r="N797" s="9">
        <f>ROUNDUP(M797+(M797*Assumptions!M$18),-2)</f>
        <v>112900</v>
      </c>
      <c r="O797" s="9">
        <f>ROUNDUP(N797+(N797*Assumptions!N$18),-2)</f>
        <v>115200</v>
      </c>
      <c r="P797" s="9">
        <f>ROUNDUP(O797+(O797*Assumptions!O$18),-2)</f>
        <v>117600</v>
      </c>
      <c r="Q797" s="9">
        <f>ROUNDUP(P797+(P797*Assumptions!P$18),-2)</f>
        <v>120000</v>
      </c>
      <c r="R797" s="9">
        <f>ROUNDUP(Q797+(Q797*Assumptions!Q$18),-2)</f>
        <v>122400</v>
      </c>
      <c r="S797" s="47">
        <f>ROUNDUP(R797+(R797*Assumptions!R$18),-2)</f>
        <v>124900</v>
      </c>
    </row>
    <row r="798" spans="1:21" x14ac:dyDescent="0.2">
      <c r="A798" s="54">
        <v>173200</v>
      </c>
      <c r="B798" s="9">
        <v>700</v>
      </c>
      <c r="C798" s="134">
        <v>0</v>
      </c>
      <c r="D798" s="134">
        <v>0</v>
      </c>
      <c r="E798" s="134">
        <v>0</v>
      </c>
      <c r="F798" s="483" t="s">
        <v>369</v>
      </c>
      <c r="G798" s="420" t="s">
        <v>2737</v>
      </c>
      <c r="H798" s="9">
        <v>0</v>
      </c>
      <c r="I798" s="85">
        <f>IF(E798=H798,0,IF(E798=0,100,(H798-E798)/E798*100))</f>
        <v>0</v>
      </c>
      <c r="J798" s="9">
        <f>ROUNDUP(H798+(H798*Assumptions!I$18),-2)</f>
        <v>0</v>
      </c>
      <c r="K798" s="9">
        <f>ROUNDUP(J798+(J798*Assumptions!J$18),-2)</f>
        <v>0</v>
      </c>
      <c r="L798" s="9">
        <f>ROUNDUP(K798+(K798*Assumptions!K$18),-2)</f>
        <v>0</v>
      </c>
      <c r="M798" s="9">
        <f>ROUNDUP(L798+(L798*Assumptions!L$18),-2)</f>
        <v>0</v>
      </c>
      <c r="N798" s="9">
        <f>ROUNDUP(M798+(M798*Assumptions!M$18),-2)</f>
        <v>0</v>
      </c>
      <c r="O798" s="9">
        <f>ROUNDUP(N798+(N798*Assumptions!N$18),-2)</f>
        <v>0</v>
      </c>
      <c r="P798" s="9">
        <f>ROUNDUP(O798+(O798*Assumptions!O$18),-2)</f>
        <v>0</v>
      </c>
      <c r="Q798" s="9">
        <f>ROUNDUP(P798+(P798*Assumptions!P$18),-2)</f>
        <v>0</v>
      </c>
      <c r="R798" s="9">
        <f>ROUNDUP(Q798+(Q798*Assumptions!Q$18),-2)</f>
        <v>0</v>
      </c>
      <c r="S798" s="47">
        <f>ROUNDUP(R798+(R798*Assumptions!R$18),-2)</f>
        <v>0</v>
      </c>
    </row>
    <row r="799" spans="1:21" ht="13.5" thickBot="1" x14ac:dyDescent="0.25">
      <c r="A799" s="54"/>
      <c r="B799" s="9"/>
      <c r="C799" s="134"/>
      <c r="D799" s="134"/>
      <c r="E799" s="1512"/>
      <c r="F799" s="1153"/>
      <c r="G799" s="257"/>
      <c r="H799" s="9"/>
      <c r="I799" s="85"/>
      <c r="J799" s="9"/>
      <c r="K799" s="9"/>
      <c r="L799" s="9"/>
      <c r="M799" s="9"/>
      <c r="N799" s="9"/>
      <c r="O799" s="9"/>
      <c r="P799" s="9"/>
      <c r="Q799" s="9"/>
      <c r="R799" s="9"/>
      <c r="S799" s="47"/>
    </row>
    <row r="800" spans="1:21" s="39" customFormat="1" x14ac:dyDescent="0.2">
      <c r="A800" s="52">
        <f>SUM(A769:A798)</f>
        <v>2430900</v>
      </c>
      <c r="B800" s="16">
        <f>SUM(B769:B798)</f>
        <v>2053400</v>
      </c>
      <c r="C800" s="16">
        <f>SUM(C769:C798)</f>
        <v>2505100</v>
      </c>
      <c r="D800" s="16">
        <f>SUM(D769:D798)</f>
        <v>2621900</v>
      </c>
      <c r="E800" s="16">
        <f>SUM(E769:E798)</f>
        <v>2655900</v>
      </c>
      <c r="F800" s="1182"/>
      <c r="G800" s="267" t="s">
        <v>556</v>
      </c>
      <c r="H800" s="16">
        <f>SUM(H769:H798)</f>
        <v>2603800</v>
      </c>
      <c r="I800" s="127">
        <f>IF(E800=H800,0,IF(E800=0,100,(H800-E800)/E800*100))</f>
        <v>-1.9616702436085696</v>
      </c>
      <c r="J800" s="16">
        <f t="shared" ref="J800:S800" si="1797">SUM(J769:J798)</f>
        <v>2752100</v>
      </c>
      <c r="K800" s="16">
        <f t="shared" si="1797"/>
        <v>2816700</v>
      </c>
      <c r="L800" s="16">
        <f t="shared" si="1797"/>
        <v>2882500</v>
      </c>
      <c r="M800" s="16">
        <f t="shared" si="1797"/>
        <v>2950000</v>
      </c>
      <c r="N800" s="16">
        <f t="shared" si="1797"/>
        <v>3019400</v>
      </c>
      <c r="O800" s="16">
        <f t="shared" si="1797"/>
        <v>3090200</v>
      </c>
      <c r="P800" s="16">
        <f t="shared" si="1797"/>
        <v>3162700</v>
      </c>
      <c r="Q800" s="16">
        <f t="shared" si="1797"/>
        <v>3236800</v>
      </c>
      <c r="R800" s="16">
        <f t="shared" si="1797"/>
        <v>3312500</v>
      </c>
      <c r="S800" s="2342">
        <f t="shared" si="1797"/>
        <v>3389900</v>
      </c>
      <c r="U800" s="34"/>
    </row>
    <row r="801" spans="1:21" x14ac:dyDescent="0.2">
      <c r="A801" s="54"/>
      <c r="B801" s="9"/>
      <c r="C801" s="134"/>
      <c r="D801" s="134"/>
      <c r="E801" s="134"/>
      <c r="F801" s="1153"/>
      <c r="G801" s="257"/>
      <c r="H801" s="9"/>
      <c r="I801" s="85"/>
      <c r="J801" s="9"/>
      <c r="K801" s="9"/>
      <c r="L801" s="9"/>
      <c r="M801" s="9"/>
      <c r="N801" s="9"/>
      <c r="O801" s="9"/>
      <c r="P801" s="9"/>
      <c r="Q801" s="9"/>
      <c r="R801" s="9"/>
      <c r="S801" s="47"/>
    </row>
    <row r="802" spans="1:21" s="39" customFormat="1" x14ac:dyDescent="0.2">
      <c r="A802" s="24">
        <f>A767-A800</f>
        <v>-2071000</v>
      </c>
      <c r="B802" s="21">
        <f>B767-B800</f>
        <v>-1745100</v>
      </c>
      <c r="C802" s="138">
        <f>C767-C800</f>
        <v>-2183300</v>
      </c>
      <c r="D802" s="138">
        <f>D767-D800</f>
        <v>-2367500</v>
      </c>
      <c r="E802" s="138">
        <f>E767-E800</f>
        <v>-2247300</v>
      </c>
      <c r="F802" s="164"/>
      <c r="G802" s="361" t="s">
        <v>1002</v>
      </c>
      <c r="H802" s="21">
        <f>H767-H800</f>
        <v>-2308200</v>
      </c>
      <c r="I802" s="126">
        <f>IF(E802=H802,0,IF(E802=0,100,(H802-E802)/E802*100))</f>
        <v>2.7099185689494059</v>
      </c>
      <c r="J802" s="21">
        <f t="shared" ref="J802:S802" si="1798">J767-J800</f>
        <v>-2483000</v>
      </c>
      <c r="K802" s="21">
        <f t="shared" si="1798"/>
        <v>-2540500</v>
      </c>
      <c r="L802" s="21">
        <f t="shared" si="1798"/>
        <v>-2599000</v>
      </c>
      <c r="M802" s="21">
        <f t="shared" si="1798"/>
        <v>-2659100</v>
      </c>
      <c r="N802" s="21">
        <f t="shared" si="1798"/>
        <v>-2720900</v>
      </c>
      <c r="O802" s="21">
        <f t="shared" si="1798"/>
        <v>-2783900</v>
      </c>
      <c r="P802" s="21">
        <f t="shared" si="1798"/>
        <v>-2848500</v>
      </c>
      <c r="Q802" s="21">
        <f t="shared" si="1798"/>
        <v>-2914400</v>
      </c>
      <c r="R802" s="21">
        <f t="shared" si="1798"/>
        <v>-2981700</v>
      </c>
      <c r="S802" s="86">
        <f t="shared" si="1798"/>
        <v>-3050500</v>
      </c>
      <c r="U802" s="34"/>
    </row>
    <row r="803" spans="1:21" x14ac:dyDescent="0.2">
      <c r="A803" s="54">
        <f>ROUND(A798+A797,-3)</f>
        <v>191000</v>
      </c>
      <c r="B803" s="9">
        <f>B798+B797</f>
        <v>700</v>
      </c>
      <c r="C803" s="134">
        <f>C798+C797</f>
        <v>99900</v>
      </c>
      <c r="D803" s="134">
        <f>D798+D797</f>
        <v>101500</v>
      </c>
      <c r="E803" s="134">
        <f t="shared" ref="E803" si="1799">E798+E797</f>
        <v>103500</v>
      </c>
      <c r="F803" s="1153"/>
      <c r="G803" s="423" t="s">
        <v>1943</v>
      </c>
      <c r="H803" s="9">
        <f t="shared" ref="H803:O803" si="1800">H798+H797</f>
        <v>102000</v>
      </c>
      <c r="I803" s="85">
        <f>IF(E803=H803,0,IF(E803=0,100,(H803-E803)/E803*100))</f>
        <v>-1.4492753623188406</v>
      </c>
      <c r="J803" s="9">
        <f t="shared" si="1800"/>
        <v>104100</v>
      </c>
      <c r="K803" s="9">
        <f t="shared" si="1800"/>
        <v>106200</v>
      </c>
      <c r="L803" s="9">
        <f t="shared" si="1800"/>
        <v>108400</v>
      </c>
      <c r="M803" s="9">
        <f t="shared" si="1800"/>
        <v>110600</v>
      </c>
      <c r="N803" s="9">
        <f t="shared" si="1800"/>
        <v>112900</v>
      </c>
      <c r="O803" s="9">
        <f t="shared" si="1800"/>
        <v>115200</v>
      </c>
      <c r="P803" s="9">
        <f t="shared" ref="P803:Q803" si="1801">P798+P797</f>
        <v>117600</v>
      </c>
      <c r="Q803" s="9">
        <f t="shared" si="1801"/>
        <v>120000</v>
      </c>
      <c r="R803" s="9">
        <f t="shared" ref="R803" si="1802">R798+R797</f>
        <v>122400</v>
      </c>
      <c r="S803" s="47">
        <f t="shared" ref="S803" si="1803">S798+S797</f>
        <v>124900</v>
      </c>
    </row>
    <row r="804" spans="1:21" s="39" customFormat="1" x14ac:dyDescent="0.2">
      <c r="A804" s="128">
        <f>A802+A803</f>
        <v>-1880000</v>
      </c>
      <c r="B804" s="280">
        <f>B802+B803</f>
        <v>-1744400</v>
      </c>
      <c r="C804" s="280">
        <f>C802+C803</f>
        <v>-2083400</v>
      </c>
      <c r="D804" s="280">
        <f>D802+D803</f>
        <v>-2266000</v>
      </c>
      <c r="E804" s="280">
        <f t="shared" ref="E804" si="1804">E802+E803</f>
        <v>-2143800</v>
      </c>
      <c r="F804" s="367"/>
      <c r="G804" s="360" t="s">
        <v>1659</v>
      </c>
      <c r="H804" s="280">
        <f t="shared" ref="H804:O804" si="1805">H802+H803</f>
        <v>-2206200</v>
      </c>
      <c r="I804" s="278">
        <f>IF(E804=H804,0,IF(E804=0,100,(H804-E804)/E804*100))</f>
        <v>2.9107192835152533</v>
      </c>
      <c r="J804" s="280">
        <f t="shared" si="1805"/>
        <v>-2378900</v>
      </c>
      <c r="K804" s="280">
        <f t="shared" si="1805"/>
        <v>-2434300</v>
      </c>
      <c r="L804" s="280">
        <f t="shared" si="1805"/>
        <v>-2490600</v>
      </c>
      <c r="M804" s="280">
        <f t="shared" si="1805"/>
        <v>-2548500</v>
      </c>
      <c r="N804" s="280">
        <f t="shared" si="1805"/>
        <v>-2608000</v>
      </c>
      <c r="O804" s="280">
        <f t="shared" si="1805"/>
        <v>-2668700</v>
      </c>
      <c r="P804" s="280">
        <f t="shared" ref="P804:Q804" si="1806">P802+P803</f>
        <v>-2730900</v>
      </c>
      <c r="Q804" s="280">
        <f t="shared" si="1806"/>
        <v>-2794400</v>
      </c>
      <c r="R804" s="280">
        <f t="shared" ref="R804" si="1807">R802+R803</f>
        <v>-2859300</v>
      </c>
      <c r="S804" s="2343">
        <f t="shared" ref="S804" si="1808">S802+S803</f>
        <v>-2925600</v>
      </c>
      <c r="U804" s="34"/>
    </row>
    <row r="805" spans="1:21" ht="13.5" thickBot="1" x14ac:dyDescent="0.25">
      <c r="A805" s="24"/>
      <c r="B805" s="21"/>
      <c r="C805" s="138"/>
      <c r="D805" s="138"/>
      <c r="E805" s="138"/>
      <c r="F805" s="165"/>
      <c r="G805" s="260"/>
      <c r="H805" s="68"/>
      <c r="I805" s="126"/>
      <c r="J805" s="68"/>
      <c r="K805" s="68"/>
      <c r="L805" s="68"/>
      <c r="M805" s="68"/>
      <c r="N805" s="68"/>
      <c r="O805" s="68"/>
      <c r="P805" s="68"/>
      <c r="Q805" s="68"/>
      <c r="R805" s="68"/>
      <c r="S805" s="108"/>
    </row>
    <row r="806" spans="1:21" ht="13.5" thickTop="1" x14ac:dyDescent="0.2">
      <c r="A806" s="270"/>
      <c r="B806" s="109"/>
      <c r="C806" s="531"/>
      <c r="D806" s="531"/>
      <c r="E806" s="531"/>
      <c r="F806" s="375"/>
      <c r="G806" s="258"/>
      <c r="H806" s="74"/>
      <c r="I806" s="352"/>
      <c r="J806" s="74"/>
      <c r="K806" s="74"/>
      <c r="L806" s="74"/>
      <c r="M806" s="74"/>
      <c r="N806" s="74"/>
      <c r="O806" s="74"/>
      <c r="P806" s="74"/>
      <c r="Q806" s="74"/>
      <c r="R806" s="74"/>
      <c r="S806" s="110"/>
    </row>
    <row r="807" spans="1:21" x14ac:dyDescent="0.2">
      <c r="A807" s="24"/>
      <c r="B807" s="21"/>
      <c r="C807" s="138"/>
      <c r="D807" s="138"/>
      <c r="E807" s="138"/>
      <c r="F807" s="165"/>
      <c r="G807" s="361" t="s">
        <v>192</v>
      </c>
      <c r="H807" s="9"/>
      <c r="I807" s="126"/>
      <c r="J807" s="9"/>
      <c r="K807" s="9"/>
      <c r="L807" s="9"/>
      <c r="M807" s="9"/>
      <c r="N807" s="9"/>
      <c r="O807" s="9"/>
      <c r="P807" s="9"/>
      <c r="Q807" s="9"/>
      <c r="R807" s="9"/>
      <c r="S807" s="61"/>
    </row>
    <row r="808" spans="1:21" x14ac:dyDescent="0.2">
      <c r="A808" s="54">
        <v>0</v>
      </c>
      <c r="B808" s="9">
        <v>0</v>
      </c>
      <c r="C808" s="9">
        <v>0</v>
      </c>
      <c r="D808" s="9">
        <v>0</v>
      </c>
      <c r="E808" s="134">
        <v>0</v>
      </c>
      <c r="F808" s="165"/>
      <c r="G808" s="257" t="s">
        <v>2848</v>
      </c>
      <c r="H808" s="9">
        <v>0</v>
      </c>
      <c r="I808" s="85">
        <f t="shared" ref="I808:I813" si="1809">IF(E808=H808,0,IF(E808=0,100,(H808-E808)/E808*100))</f>
        <v>0</v>
      </c>
      <c r="J808" s="9">
        <v>0</v>
      </c>
      <c r="K808" s="9">
        <v>0</v>
      </c>
      <c r="L808" s="9">
        <v>0</v>
      </c>
      <c r="M808" s="9">
        <v>0</v>
      </c>
      <c r="N808" s="9">
        <v>0</v>
      </c>
      <c r="O808" s="9">
        <v>0</v>
      </c>
      <c r="P808" s="9">
        <v>0</v>
      </c>
      <c r="Q808" s="9">
        <v>0</v>
      </c>
      <c r="R808" s="9">
        <v>0</v>
      </c>
      <c r="S808" s="47">
        <v>0</v>
      </c>
    </row>
    <row r="809" spans="1:21" x14ac:dyDescent="0.2">
      <c r="A809" s="54">
        <v>0</v>
      </c>
      <c r="B809" s="9">
        <v>74500</v>
      </c>
      <c r="C809" s="134">
        <v>27700</v>
      </c>
      <c r="D809" s="134">
        <f>SUM('Res-Gen'!B155:'Res-Gen'!B157)</f>
        <v>27000</v>
      </c>
      <c r="E809" s="1442">
        <f>SUM('Res-Gen'!E155:'Res-Gen'!E157)</f>
        <v>36600</v>
      </c>
      <c r="F809" s="167"/>
      <c r="G809" s="257" t="s">
        <v>1909</v>
      </c>
      <c r="H809" s="9">
        <f>SUM('Res-Gen'!H155:'Res-Gen'!H157)+500</f>
        <v>10500</v>
      </c>
      <c r="I809" s="85">
        <f t="shared" si="1809"/>
        <v>-71.311475409836063</v>
      </c>
      <c r="J809" s="9">
        <f>SUM('Res-Gen'!K155:'Res-Gen'!K157)</f>
        <v>10000</v>
      </c>
      <c r="K809" s="9">
        <f>'Res-Gen'!N155+'Res-Gen'!N157</f>
        <v>10000</v>
      </c>
      <c r="L809" s="9">
        <f>'Res-Gen'!Q155+'Res-Gen'!Q157</f>
        <v>10000</v>
      </c>
      <c r="M809" s="9">
        <f>'Res-Gen'!T155+'Res-Gen'!T157</f>
        <v>10000</v>
      </c>
      <c r="N809" s="9">
        <f>'Res-Gen'!W155+'Res-Gen'!W157</f>
        <v>10000</v>
      </c>
      <c r="O809" s="9">
        <f>'Res-Gen'!Z155+'Res-Gen'!Z157</f>
        <v>10000</v>
      </c>
      <c r="P809" s="9">
        <f>'Res-Gen'!AC155+'Res-Gen'!AC157</f>
        <v>10000</v>
      </c>
      <c r="Q809" s="9">
        <f>'Res-Gen'!AF155+'Res-Gen'!AF157</f>
        <v>10000</v>
      </c>
      <c r="R809" s="9">
        <f>'Res-Gen'!AI155+'Res-Gen'!AI157</f>
        <v>10000</v>
      </c>
      <c r="S809" s="47">
        <f>'Res-Gen'!AL155+'Res-Gen'!AL157</f>
        <v>10000</v>
      </c>
    </row>
    <row r="810" spans="1:21" x14ac:dyDescent="0.2">
      <c r="A810" s="54">
        <v>0</v>
      </c>
      <c r="B810" s="9">
        <v>133000</v>
      </c>
      <c r="C810" s="134">
        <v>12100</v>
      </c>
      <c r="D810" s="134">
        <v>0</v>
      </c>
      <c r="E810" s="1442">
        <f>'Res-Gen'!F155+'Res-Gen'!F157</f>
        <v>0</v>
      </c>
      <c r="F810" s="167"/>
      <c r="G810" s="257" t="s">
        <v>2309</v>
      </c>
      <c r="H810" s="9">
        <f>'Res-Gen'!I155+'Res-Gen'!I157</f>
        <v>0</v>
      </c>
      <c r="I810" s="85">
        <f t="shared" si="1809"/>
        <v>0</v>
      </c>
      <c r="J810" s="9">
        <f>'Res-Gen'!L155+'Res-Gen'!L157</f>
        <v>0</v>
      </c>
      <c r="K810" s="9">
        <f>'Res-Gen'!O155+'Res-Gen'!O157</f>
        <v>0</v>
      </c>
      <c r="L810" s="9">
        <f>'Res-Gen'!R155+'Res-Gen'!R157</f>
        <v>0</v>
      </c>
      <c r="M810" s="9">
        <f>'Res-Gen'!U155+'Res-Gen'!U157</f>
        <v>60000</v>
      </c>
      <c r="N810" s="9">
        <f>'Res-Gen'!X155+'Res-Gen'!X157</f>
        <v>0</v>
      </c>
      <c r="O810" s="9">
        <f>'Res-Gen'!AA155+'Res-Gen'!AA157</f>
        <v>0</v>
      </c>
      <c r="P810" s="9">
        <f>'Res-Gen'!AD155+'Res-Gen'!AD157</f>
        <v>0</v>
      </c>
      <c r="Q810" s="9">
        <f>'Res-Gen'!AG155+'Res-Gen'!AG157</f>
        <v>0</v>
      </c>
      <c r="R810" s="9">
        <f>'Res-Gen'!AJ155+'Res-Gen'!AJ157</f>
        <v>0</v>
      </c>
      <c r="S810" s="47">
        <f>'Res-Gen'!AM155+'Res-Gen'!AM157</f>
        <v>0</v>
      </c>
    </row>
    <row r="811" spans="1:21" x14ac:dyDescent="0.2">
      <c r="A811" s="54">
        <v>0</v>
      </c>
      <c r="B811" s="9">
        <v>0</v>
      </c>
      <c r="C811" s="9">
        <v>0</v>
      </c>
      <c r="D811" s="9">
        <v>0</v>
      </c>
      <c r="E811" s="1442">
        <v>0</v>
      </c>
      <c r="F811" s="167"/>
      <c r="G811" s="257" t="s">
        <v>5847</v>
      </c>
      <c r="H811" s="9">
        <v>0</v>
      </c>
      <c r="I811" s="85">
        <f t="shared" si="1809"/>
        <v>0</v>
      </c>
      <c r="J811" s="9">
        <v>0</v>
      </c>
      <c r="K811" s="9">
        <v>0</v>
      </c>
      <c r="L811" s="9">
        <v>0</v>
      </c>
      <c r="M811" s="9">
        <v>0</v>
      </c>
      <c r="N811" s="9">
        <v>0</v>
      </c>
      <c r="O811" s="9">
        <v>0</v>
      </c>
      <c r="P811" s="9">
        <v>0</v>
      </c>
      <c r="Q811" s="9">
        <v>0</v>
      </c>
      <c r="R811" s="9">
        <v>0</v>
      </c>
      <c r="S811" s="47">
        <v>0</v>
      </c>
    </row>
    <row r="812" spans="1:21" x14ac:dyDescent="0.2">
      <c r="A812" s="54">
        <v>0</v>
      </c>
      <c r="B812" s="89">
        <v>0</v>
      </c>
      <c r="C812" s="136">
        <v>0</v>
      </c>
      <c r="D812" s="136">
        <f>'Cap-Gen'!E79</f>
        <v>121100</v>
      </c>
      <c r="E812" s="144">
        <f>'Cap-Gen'!F79</f>
        <v>0</v>
      </c>
      <c r="F812" s="167"/>
      <c r="G812" s="257" t="s">
        <v>958</v>
      </c>
      <c r="H812" s="9">
        <f>'Cap-Gen'!G79</f>
        <v>0</v>
      </c>
      <c r="I812" s="85">
        <f t="shared" si="1809"/>
        <v>0</v>
      </c>
      <c r="J812" s="9">
        <f>'Cap-Gen'!H79</f>
        <v>0</v>
      </c>
      <c r="K812" s="9">
        <f>'Cap-Gen'!I79</f>
        <v>0</v>
      </c>
      <c r="L812" s="9">
        <f>'Cap-Gen'!J79</f>
        <v>60000</v>
      </c>
      <c r="M812" s="9">
        <f>'Cap-Gen'!K79</f>
        <v>0</v>
      </c>
      <c r="N812" s="9">
        <f>'Cap-Gen'!L79</f>
        <v>0</v>
      </c>
      <c r="O812" s="9">
        <f>'Cap-Gen'!M79</f>
        <v>0</v>
      </c>
      <c r="P812" s="9">
        <f>'Cap-Gen'!N79</f>
        <v>0</v>
      </c>
      <c r="Q812" s="9">
        <f>'Cap-Gen'!O79</f>
        <v>70000</v>
      </c>
      <c r="R812" s="9">
        <f>'Cap-Gen'!P79</f>
        <v>0</v>
      </c>
      <c r="S812" s="47">
        <f>'Cap-Gen'!Q79</f>
        <v>0</v>
      </c>
    </row>
    <row r="813" spans="1:21" s="39" customFormat="1" x14ac:dyDescent="0.2">
      <c r="A813" s="128">
        <f>A804-A808-A809+A810+A811-A812</f>
        <v>-1880000</v>
      </c>
      <c r="B813" s="266">
        <f>B804-B808-B809+B810+B811-B812</f>
        <v>-1685900</v>
      </c>
      <c r="C813" s="281">
        <f>C804-C808-C809+C810+C811-C812</f>
        <v>-2099000</v>
      </c>
      <c r="D813" s="281">
        <f>D804-D808-D809+D810+D811-D812</f>
        <v>-2414100</v>
      </c>
      <c r="E813" s="1513">
        <f t="shared" ref="E813" si="1810">E804-E808-E809+E810+E811-E812</f>
        <v>-2180400</v>
      </c>
      <c r="F813" s="372"/>
      <c r="G813" s="363" t="s">
        <v>2447</v>
      </c>
      <c r="H813" s="280">
        <f t="shared" ref="H813:O813" si="1811">H804-H808-H809+H810+H811-H812</f>
        <v>-2216700</v>
      </c>
      <c r="I813" s="278">
        <f t="shared" si="1809"/>
        <v>1.6648321408915794</v>
      </c>
      <c r="J813" s="280">
        <f t="shared" si="1811"/>
        <v>-2388900</v>
      </c>
      <c r="K813" s="280">
        <f t="shared" si="1811"/>
        <v>-2444300</v>
      </c>
      <c r="L813" s="280">
        <f t="shared" si="1811"/>
        <v>-2560600</v>
      </c>
      <c r="M813" s="280">
        <f t="shared" si="1811"/>
        <v>-2498500</v>
      </c>
      <c r="N813" s="280">
        <f t="shared" si="1811"/>
        <v>-2618000</v>
      </c>
      <c r="O813" s="280">
        <f t="shared" si="1811"/>
        <v>-2678700</v>
      </c>
      <c r="P813" s="280">
        <f t="shared" ref="P813:Q813" si="1812">P804-P808-P809+P810+P811-P812</f>
        <v>-2740900</v>
      </c>
      <c r="Q813" s="280">
        <f t="shared" si="1812"/>
        <v>-2874400</v>
      </c>
      <c r="R813" s="280">
        <f t="shared" ref="R813:S813" si="1813">R804-R808-R809+R810+R811-R812</f>
        <v>-2869300</v>
      </c>
      <c r="S813" s="282">
        <f t="shared" si="1813"/>
        <v>-2935600</v>
      </c>
      <c r="U813" s="34"/>
    </row>
    <row r="814" spans="1:21" ht="13.5" thickBot="1" x14ac:dyDescent="0.25">
      <c r="A814" s="26"/>
      <c r="B814" s="81"/>
      <c r="C814" s="141"/>
      <c r="D814" s="141"/>
      <c r="E814" s="1437"/>
      <c r="F814" s="166"/>
      <c r="G814" s="259"/>
      <c r="H814" s="23"/>
      <c r="I814" s="275"/>
      <c r="J814" s="23"/>
      <c r="K814" s="23"/>
      <c r="L814" s="23"/>
      <c r="M814" s="23"/>
      <c r="N814" s="23"/>
      <c r="O814" s="23"/>
      <c r="P814" s="23"/>
      <c r="Q814" s="23"/>
      <c r="R814" s="23"/>
      <c r="S814" s="112"/>
    </row>
    <row r="815" spans="1:21" s="46" customFormat="1" ht="14.25" thickTop="1" thickBot="1" x14ac:dyDescent="0.25">
      <c r="C815" s="144"/>
      <c r="D815" s="144"/>
      <c r="E815" s="144"/>
      <c r="F815" s="165"/>
      <c r="I815" s="70"/>
      <c r="U815" s="34"/>
    </row>
    <row r="816" spans="1:21" s="38" customFormat="1" ht="18.75" customHeight="1" thickTop="1" thickBot="1" x14ac:dyDescent="0.3">
      <c r="A816" s="2588" t="s">
        <v>4079</v>
      </c>
      <c r="B816" s="2589"/>
      <c r="C816" s="2589"/>
      <c r="D816" s="2589"/>
      <c r="E816" s="2589"/>
      <c r="F816" s="2589"/>
      <c r="G816" s="2589"/>
      <c r="H816" s="2589"/>
      <c r="I816" s="2589"/>
      <c r="J816" s="2589"/>
      <c r="K816" s="2589"/>
      <c r="L816" s="2589"/>
      <c r="M816" s="2589"/>
      <c r="N816" s="2589"/>
      <c r="O816" s="2589"/>
      <c r="P816" s="2589"/>
      <c r="Q816" s="2589"/>
      <c r="R816" s="2589"/>
      <c r="S816" s="2590"/>
      <c r="U816" s="34"/>
    </row>
    <row r="817" spans="1:21" s="39" customFormat="1" ht="13.5" thickBot="1" x14ac:dyDescent="0.25">
      <c r="A817" s="2591" t="s">
        <v>1824</v>
      </c>
      <c r="B817" s="2577"/>
      <c r="C817" s="2577"/>
      <c r="D817" s="2577"/>
      <c r="E817" s="2592"/>
      <c r="F817" s="127" t="s">
        <v>2616</v>
      </c>
      <c r="G817" s="127" t="s">
        <v>2213</v>
      </c>
      <c r="H817" s="2568" t="s">
        <v>2215</v>
      </c>
      <c r="I817" s="2568"/>
      <c r="J817" s="2568"/>
      <c r="K817" s="2568"/>
      <c r="L817" s="2568"/>
      <c r="M817" s="2568"/>
      <c r="N817" s="2568"/>
      <c r="O817" s="2568"/>
      <c r="P817" s="2568"/>
      <c r="Q817" s="2568"/>
      <c r="R817" s="2568"/>
      <c r="S817" s="2607"/>
      <c r="U817" s="34"/>
    </row>
    <row r="818" spans="1:21" ht="12.75" customHeight="1" thickBot="1" x14ac:dyDescent="0.25">
      <c r="A818" s="541" t="str">
        <f>A3</f>
        <v>2012/13</v>
      </c>
      <c r="B818" s="28" t="str">
        <f>B3</f>
        <v>2013/14</v>
      </c>
      <c r="C818" s="40" t="str">
        <f>C3</f>
        <v>2014/15</v>
      </c>
      <c r="D818" s="40" t="str">
        <f>D3</f>
        <v>2015/16</v>
      </c>
      <c r="E818" s="40" t="str">
        <f>E3</f>
        <v>2016/17</v>
      </c>
      <c r="F818" s="40" t="str">
        <f>F751</f>
        <v>ACCOUNT</v>
      </c>
      <c r="G818" s="41"/>
      <c r="H818" s="40" t="str">
        <f>H3</f>
        <v>2017/18</v>
      </c>
      <c r="I818" s="1258" t="str">
        <f>I751</f>
        <v>%</v>
      </c>
      <c r="J818" s="40" t="str">
        <f t="shared" ref="J818:S818" si="1814">J3</f>
        <v>2018/19</v>
      </c>
      <c r="K818" s="40" t="str">
        <f t="shared" si="1814"/>
        <v>2019/20</v>
      </c>
      <c r="L818" s="40" t="str">
        <f t="shared" si="1814"/>
        <v>2020/21</v>
      </c>
      <c r="M818" s="40" t="str">
        <f t="shared" si="1814"/>
        <v>2021/22</v>
      </c>
      <c r="N818" s="40" t="str">
        <f t="shared" si="1814"/>
        <v>2022/23</v>
      </c>
      <c r="O818" s="40" t="str">
        <f t="shared" si="1814"/>
        <v>2023/24</v>
      </c>
      <c r="P818" s="40" t="str">
        <f t="shared" si="1814"/>
        <v>2024/25</v>
      </c>
      <c r="Q818" s="1257" t="str">
        <f t="shared" si="1814"/>
        <v>2025/26</v>
      </c>
      <c r="R818" s="1257" t="str">
        <f t="shared" si="1814"/>
        <v>2026/27</v>
      </c>
      <c r="S818" s="1620" t="str">
        <f t="shared" si="1814"/>
        <v>2027/28</v>
      </c>
    </row>
    <row r="819" spans="1:21" x14ac:dyDescent="0.2">
      <c r="A819" s="54"/>
      <c r="B819" s="9"/>
      <c r="C819" s="134"/>
      <c r="D819" s="134"/>
      <c r="E819" s="134"/>
      <c r="F819" s="167"/>
      <c r="G819" s="91" t="s">
        <v>1056</v>
      </c>
      <c r="H819" s="9"/>
      <c r="I819" s="85"/>
      <c r="J819" s="9"/>
      <c r="K819" s="9"/>
      <c r="L819" s="9"/>
      <c r="M819" s="9"/>
      <c r="N819" s="9"/>
      <c r="O819" s="9"/>
      <c r="P819" s="9"/>
      <c r="Q819" s="89"/>
      <c r="R819" s="89"/>
      <c r="S819" s="61"/>
    </row>
    <row r="820" spans="1:21" x14ac:dyDescent="0.2">
      <c r="A820" s="54"/>
      <c r="B820" s="9"/>
      <c r="C820" s="134"/>
      <c r="D820" s="134"/>
      <c r="E820" s="134"/>
      <c r="F820" s="167"/>
      <c r="G820" s="92" t="s">
        <v>420</v>
      </c>
      <c r="H820" s="9"/>
      <c r="I820" s="85"/>
      <c r="J820" s="9"/>
      <c r="K820" s="9"/>
      <c r="L820" s="9"/>
      <c r="M820" s="9"/>
      <c r="N820" s="9"/>
      <c r="O820" s="9"/>
      <c r="P820" s="9"/>
      <c r="Q820" s="89"/>
      <c r="R820" s="89"/>
      <c r="S820" s="61"/>
    </row>
    <row r="821" spans="1:21" x14ac:dyDescent="0.2">
      <c r="A821" s="54">
        <v>4600</v>
      </c>
      <c r="B821" s="9">
        <f>51200+17500</f>
        <v>68700</v>
      </c>
      <c r="C821" s="134">
        <v>178300</v>
      </c>
      <c r="D821" s="9">
        <v>0</v>
      </c>
      <c r="E821" s="9">
        <v>0</v>
      </c>
      <c r="F821" s="469" t="s">
        <v>2883</v>
      </c>
      <c r="G821" s="31" t="s">
        <v>3650</v>
      </c>
      <c r="H821" s="9">
        <v>0</v>
      </c>
      <c r="I821" s="85">
        <f>IF(E821=H821,0,IF(E821=0,100,(H821-E821)/E821*100))</f>
        <v>0</v>
      </c>
      <c r="J821" s="9">
        <f>ROUNDUP(H821+(H821*Assumptions!I$5),-2)</f>
        <v>0</v>
      </c>
      <c r="K821" s="9">
        <f>ROUNDUP(J821+(J821*Assumptions!J$5),-2)</f>
        <v>0</v>
      </c>
      <c r="L821" s="9">
        <f>ROUNDUP(K821+(K821*Assumptions!K$5),-2)</f>
        <v>0</v>
      </c>
      <c r="M821" s="9">
        <f>ROUNDUP(L821+(L821*Assumptions!L$5),-2)</f>
        <v>0</v>
      </c>
      <c r="N821" s="9">
        <f>ROUNDUP(M821+(M821*Assumptions!M$5),-2)</f>
        <v>0</v>
      </c>
      <c r="O821" s="9">
        <f>ROUNDUP(N821+(N821*Assumptions!N$5),-2)</f>
        <v>0</v>
      </c>
      <c r="P821" s="9">
        <f>ROUNDUP(O821+(O821*Assumptions!O$5),-2)</f>
        <v>0</v>
      </c>
      <c r="Q821" s="89">
        <f>ROUNDUP(P821+(P821*Assumptions!P$5),-2)</f>
        <v>0</v>
      </c>
      <c r="R821" s="89">
        <f>ROUNDUP(Q821+(Q821*Assumptions!Q$5),-2)</f>
        <v>0</v>
      </c>
      <c r="S821" s="61">
        <f>ROUNDUP(R821+(R821*Assumptions!R$5),-2)</f>
        <v>0</v>
      </c>
    </row>
    <row r="822" spans="1:21" x14ac:dyDescent="0.2">
      <c r="A822" s="54">
        <v>0</v>
      </c>
      <c r="B822" s="9">
        <f>100000+11400</f>
        <v>111400</v>
      </c>
      <c r="C822" s="134">
        <v>0</v>
      </c>
      <c r="D822" s="9">
        <v>0</v>
      </c>
      <c r="E822" s="9">
        <v>0</v>
      </c>
      <c r="F822" s="769" t="s">
        <v>3456</v>
      </c>
      <c r="G822" s="31" t="s">
        <v>3649</v>
      </c>
      <c r="H822" s="9">
        <v>0</v>
      </c>
      <c r="I822" s="85">
        <f>IF(E822=H822,0,IF(E822=0,100,(H822-E822)/E822*100))</f>
        <v>0</v>
      </c>
      <c r="J822" s="9">
        <f>ROUNDUP(H822+(H822*Assumptions!I$5),-2)</f>
        <v>0</v>
      </c>
      <c r="K822" s="9">
        <f>ROUNDUP(J822+(J822*Assumptions!J$5),-2)</f>
        <v>0</v>
      </c>
      <c r="L822" s="9">
        <f>ROUNDUP(K822+(K822*Assumptions!K$5),-2)</f>
        <v>0</v>
      </c>
      <c r="M822" s="9">
        <f>ROUNDUP(L822+(L822*Assumptions!L$5),-2)</f>
        <v>0</v>
      </c>
      <c r="N822" s="9">
        <f>ROUNDUP(M822+(M822*Assumptions!M$5),-2)</f>
        <v>0</v>
      </c>
      <c r="O822" s="9">
        <f>ROUNDUP(N822+(N822*Assumptions!N$5),-2)</f>
        <v>0</v>
      </c>
      <c r="P822" s="9">
        <f>ROUNDUP(O822+(O822*Assumptions!O$5),-2)</f>
        <v>0</v>
      </c>
      <c r="Q822" s="89">
        <f>ROUNDUP(P822+(P822*Assumptions!P$5),-2)</f>
        <v>0</v>
      </c>
      <c r="R822" s="89">
        <f>ROUNDUP(Q822+(Q822*Assumptions!Q$5),-2)</f>
        <v>0</v>
      </c>
      <c r="S822" s="61">
        <f>ROUNDUP(R822+(R822*Assumptions!R$5),-2)</f>
        <v>0</v>
      </c>
    </row>
    <row r="823" spans="1:21" ht="13.5" thickBot="1" x14ac:dyDescent="0.25">
      <c r="A823" s="54"/>
      <c r="B823" s="9"/>
      <c r="C823" s="134"/>
      <c r="D823" s="9"/>
      <c r="E823" s="9"/>
      <c r="F823" s="849"/>
      <c r="G823" s="30"/>
      <c r="H823" s="9"/>
      <c r="I823" s="85"/>
      <c r="J823" s="9"/>
      <c r="K823" s="9"/>
      <c r="L823" s="9"/>
      <c r="M823" s="9"/>
      <c r="N823" s="9"/>
      <c r="O823" s="9"/>
      <c r="P823" s="9"/>
      <c r="Q823" s="89"/>
      <c r="R823" s="89"/>
      <c r="S823" s="61"/>
    </row>
    <row r="824" spans="1:21" s="39" customFormat="1" x14ac:dyDescent="0.2">
      <c r="A824" s="52">
        <f>SUM(A821:A823)</f>
        <v>4600</v>
      </c>
      <c r="B824" s="16">
        <f>SUM(B821:B823)</f>
        <v>180100</v>
      </c>
      <c r="C824" s="145">
        <f>SUM(C821:C823)</f>
        <v>178300</v>
      </c>
      <c r="D824" s="145">
        <f>SUM(D821:D823)</f>
        <v>0</v>
      </c>
      <c r="E824" s="145">
        <f t="shared" ref="E824" si="1815">SUM(E821:E823)</f>
        <v>0</v>
      </c>
      <c r="F824" s="163"/>
      <c r="G824" s="1158" t="s">
        <v>2561</v>
      </c>
      <c r="H824" s="16">
        <f t="shared" ref="H824:P824" si="1816">SUM(H821:H823)</f>
        <v>0</v>
      </c>
      <c r="I824" s="127">
        <f>IF(E824=H824,0,IF(E824=0,100,(H824-E824)/E824*100))</f>
        <v>0</v>
      </c>
      <c r="J824" s="16">
        <f t="shared" si="1816"/>
        <v>0</v>
      </c>
      <c r="K824" s="16">
        <f t="shared" si="1816"/>
        <v>0</v>
      </c>
      <c r="L824" s="16">
        <f t="shared" si="1816"/>
        <v>0</v>
      </c>
      <c r="M824" s="16">
        <f t="shared" si="1816"/>
        <v>0</v>
      </c>
      <c r="N824" s="16">
        <f t="shared" si="1816"/>
        <v>0</v>
      </c>
      <c r="O824" s="16">
        <f t="shared" si="1816"/>
        <v>0</v>
      </c>
      <c r="P824" s="16">
        <f t="shared" si="1816"/>
        <v>0</v>
      </c>
      <c r="Q824" s="102">
        <f t="shared" ref="Q824" si="1817">SUM(Q821:Q823)</f>
        <v>0</v>
      </c>
      <c r="R824" s="102">
        <f t="shared" ref="R824" si="1818">SUM(R821:R823)</f>
        <v>0</v>
      </c>
      <c r="S824" s="60">
        <f t="shared" ref="S824" si="1819">SUM(S821:S823)</f>
        <v>0</v>
      </c>
      <c r="U824" s="34"/>
    </row>
    <row r="825" spans="1:21" x14ac:dyDescent="0.2">
      <c r="A825" s="54"/>
      <c r="B825" s="9"/>
      <c r="C825" s="134"/>
      <c r="D825" s="134"/>
      <c r="E825" s="134"/>
      <c r="F825" s="163"/>
      <c r="G825" s="50" t="s">
        <v>2169</v>
      </c>
      <c r="H825" s="9"/>
      <c r="I825" s="85"/>
      <c r="J825" s="9"/>
      <c r="K825" s="9"/>
      <c r="L825" s="9"/>
      <c r="M825" s="9"/>
      <c r="N825" s="9"/>
      <c r="O825" s="9"/>
      <c r="P825" s="9"/>
      <c r="Q825" s="89"/>
      <c r="R825" s="89"/>
      <c r="S825" s="61"/>
    </row>
    <row r="826" spans="1:21" x14ac:dyDescent="0.2">
      <c r="A826" s="54"/>
      <c r="B826" s="9"/>
      <c r="E826" s="134"/>
      <c r="F826" s="496"/>
      <c r="G826" s="1461" t="s">
        <v>1385</v>
      </c>
      <c r="H826" s="9"/>
      <c r="I826" s="85"/>
      <c r="J826" s="9"/>
      <c r="K826" s="9"/>
      <c r="L826" s="9"/>
      <c r="M826" s="9"/>
      <c r="N826" s="9"/>
      <c r="O826" s="9"/>
      <c r="P826" s="9"/>
      <c r="Q826" s="89"/>
      <c r="R826" s="89"/>
      <c r="S826" s="61"/>
    </row>
    <row r="827" spans="1:21" x14ac:dyDescent="0.2">
      <c r="A827" s="54"/>
      <c r="B827" s="9"/>
      <c r="D827" s="136">
        <v>400</v>
      </c>
      <c r="E827" s="134">
        <v>500</v>
      </c>
      <c r="F827" s="849" t="s">
        <v>6513</v>
      </c>
      <c r="G827" s="30" t="s">
        <v>930</v>
      </c>
      <c r="H827" s="9">
        <v>0</v>
      </c>
      <c r="I827" s="85">
        <f t="shared" ref="I827:I836" si="1820">IF(E827=H827,0,IF(E827=0,100,(H827-E827)/E827*100))</f>
        <v>-100</v>
      </c>
      <c r="J827" s="9">
        <v>0</v>
      </c>
      <c r="K827" s="9">
        <f>ROUNDUP(H827+(H827*Assumptions!J$5),-2)</f>
        <v>0</v>
      </c>
      <c r="L827" s="9">
        <f>ROUNDUP(J827+(J827*Assumptions!K$5),-2)</f>
        <v>0</v>
      </c>
      <c r="M827" s="9">
        <f>ROUNDUP(K827+(K827*Assumptions!L$5),-2)</f>
        <v>0</v>
      </c>
      <c r="N827" s="9">
        <f>ROUNDUP(L827+(L827*Assumptions!M$5),-2)</f>
        <v>0</v>
      </c>
      <c r="O827" s="9">
        <f>ROUNDUP(M827+(M827*Assumptions!N$5),-2)</f>
        <v>0</v>
      </c>
      <c r="P827" s="9">
        <f>ROUNDUP(N827+(N827*Assumptions!O$5),-2)</f>
        <v>0</v>
      </c>
      <c r="Q827" s="89">
        <f>ROUNDUP(O827+(O827*Assumptions!P$5),-2)</f>
        <v>0</v>
      </c>
      <c r="R827" s="89">
        <f>ROUNDUP(P827+(P827*Assumptions!Q$5),-2)</f>
        <v>0</v>
      </c>
      <c r="S827" s="61">
        <f>ROUNDUP(Q827+(Q827*Assumptions!R$5),-2)</f>
        <v>0</v>
      </c>
    </row>
    <row r="828" spans="1:21" x14ac:dyDescent="0.2">
      <c r="A828" s="54">
        <v>35400</v>
      </c>
      <c r="B828" s="9">
        <v>39400</v>
      </c>
      <c r="C828" s="9">
        <v>32200</v>
      </c>
      <c r="D828" s="9">
        <v>29900</v>
      </c>
      <c r="E828" s="9">
        <v>28000</v>
      </c>
      <c r="F828" s="496" t="s">
        <v>1527</v>
      </c>
      <c r="G828" s="1173" t="s">
        <v>2724</v>
      </c>
      <c r="H828" s="9">
        <f>29000-3000-8000</f>
        <v>18000</v>
      </c>
      <c r="I828" s="85">
        <f t="shared" si="1820"/>
        <v>-35.714285714285715</v>
      </c>
      <c r="J828" s="9">
        <f>ROUNDUP(H828+(H828*Assumptions!I$5),-2)</f>
        <v>18500</v>
      </c>
      <c r="K828" s="9">
        <f>ROUNDUP(J828+(J828*Assumptions!J$5),-2)</f>
        <v>19000</v>
      </c>
      <c r="L828" s="9">
        <f>ROUNDUP(K828+(K828*Assumptions!K$5),-2)</f>
        <v>19500</v>
      </c>
      <c r="M828" s="9">
        <f>ROUNDUP(L828+(L828*Assumptions!L$5),-2)</f>
        <v>20000</v>
      </c>
      <c r="N828" s="9">
        <f>ROUNDUP(M828+(M828*Assumptions!M$5),-2)</f>
        <v>20500</v>
      </c>
      <c r="O828" s="9">
        <f>ROUNDUP(N828+(N828*Assumptions!N$5),-2)</f>
        <v>21100</v>
      </c>
      <c r="P828" s="9">
        <f>ROUNDUP(O828+(O828*Assumptions!O$5),-2)</f>
        <v>21700</v>
      </c>
      <c r="Q828" s="89">
        <f>ROUNDUP(P828+(P828*Assumptions!P$5),-2)</f>
        <v>22300</v>
      </c>
      <c r="R828" s="89">
        <f>ROUNDUP(Q828+(Q828*Assumptions!Q$5),-2)</f>
        <v>22900</v>
      </c>
      <c r="S828" s="61">
        <f>ROUNDUP(R828+(R828*Assumptions!R$5),-2)</f>
        <v>23500</v>
      </c>
    </row>
    <row r="829" spans="1:21" x14ac:dyDescent="0.2">
      <c r="A829" s="54">
        <v>25400</v>
      </c>
      <c r="B829" s="9">
        <v>27600</v>
      </c>
      <c r="C829" s="9">
        <v>29100</v>
      </c>
      <c r="D829" s="9">
        <v>29100</v>
      </c>
      <c r="E829" s="9">
        <v>31100</v>
      </c>
      <c r="F829" s="496" t="s">
        <v>1528</v>
      </c>
      <c r="G829" s="1173" t="s">
        <v>1296</v>
      </c>
      <c r="H829" s="9">
        <v>32500</v>
      </c>
      <c r="I829" s="85">
        <f t="shared" si="1820"/>
        <v>4.501607717041801</v>
      </c>
      <c r="J829" s="9">
        <f>ROUNDUP(H829+(H829*Assumptions!I$5),-2)</f>
        <v>33300</v>
      </c>
      <c r="K829" s="9">
        <f>ROUNDUP(J829+(J829*Assumptions!J$5),-2)</f>
        <v>34200</v>
      </c>
      <c r="L829" s="9">
        <f>ROUNDUP(K829+(K829*Assumptions!K$5),-2)</f>
        <v>35100</v>
      </c>
      <c r="M829" s="9">
        <f>ROUNDUP(L829+(L829*Assumptions!L$5),-2)</f>
        <v>36000</v>
      </c>
      <c r="N829" s="9">
        <f>ROUNDUP(M829+(M829*Assumptions!M$5),-2)</f>
        <v>36900</v>
      </c>
      <c r="O829" s="9">
        <f>ROUNDUP(N829+(N829*Assumptions!N$5),-2)</f>
        <v>37900</v>
      </c>
      <c r="P829" s="9">
        <f>ROUNDUP(O829+(O829*Assumptions!O$5),-2)</f>
        <v>38900</v>
      </c>
      <c r="Q829" s="89">
        <f>ROUNDUP(P829+(P829*Assumptions!P$5),-2)</f>
        <v>39900</v>
      </c>
      <c r="R829" s="89">
        <f>ROUNDUP(Q829+(Q829*Assumptions!Q$5),-2)</f>
        <v>40900</v>
      </c>
      <c r="S829" s="61">
        <f>ROUNDUP(R829+(R829*Assumptions!R$5),-2)</f>
        <v>42000</v>
      </c>
    </row>
    <row r="830" spans="1:21" x14ac:dyDescent="0.2">
      <c r="A830" s="54">
        <v>16600</v>
      </c>
      <c r="B830" s="9">
        <v>15700</v>
      </c>
      <c r="C830" s="136">
        <v>9800</v>
      </c>
      <c r="D830" s="9">
        <v>10900</v>
      </c>
      <c r="E830" s="134">
        <v>10800</v>
      </c>
      <c r="F830" s="496" t="s">
        <v>2280</v>
      </c>
      <c r="G830" s="1173" t="s">
        <v>2157</v>
      </c>
      <c r="H830" s="9">
        <f>12000+6000</f>
        <v>18000</v>
      </c>
      <c r="I830" s="85">
        <f t="shared" si="1820"/>
        <v>66.666666666666657</v>
      </c>
      <c r="J830" s="9">
        <f>ROUNDUP(H830+(H830*Assumptions!I$5),-2)-6200</f>
        <v>12300</v>
      </c>
      <c r="K830" s="9">
        <f>ROUNDUP(J830+(J830*Assumptions!J$5),-2)</f>
        <v>12700</v>
      </c>
      <c r="L830" s="9">
        <f>ROUNDUP(K830+(K830*Assumptions!K$5),-2)</f>
        <v>13100</v>
      </c>
      <c r="M830" s="9">
        <f>ROUNDUP(L830+(L830*Assumptions!L$5),-2)</f>
        <v>13500</v>
      </c>
      <c r="N830" s="9">
        <f>ROUNDUP(M830+(M830*Assumptions!M$5),-2)</f>
        <v>13900</v>
      </c>
      <c r="O830" s="9">
        <f>ROUNDUP(N830+(N830*Assumptions!N$5),-2)</f>
        <v>14300</v>
      </c>
      <c r="P830" s="9">
        <f>ROUNDUP(O830+(O830*Assumptions!O$5),-2)</f>
        <v>14700</v>
      </c>
      <c r="Q830" s="89">
        <f>ROUNDUP(P830+(P830*Assumptions!P$5),-2)</f>
        <v>15100</v>
      </c>
      <c r="R830" s="89">
        <f>ROUNDUP(Q830+(Q830*Assumptions!Q$5),-2)</f>
        <v>15500</v>
      </c>
      <c r="S830" s="61">
        <f>ROUNDUP(R830+(R830*Assumptions!R$5),-2)</f>
        <v>15900</v>
      </c>
    </row>
    <row r="831" spans="1:21" x14ac:dyDescent="0.2">
      <c r="A831" s="54">
        <v>59300</v>
      </c>
      <c r="B831" s="9">
        <v>60700</v>
      </c>
      <c r="C831" s="136">
        <v>62300</v>
      </c>
      <c r="D831" s="707">
        <v>65200</v>
      </c>
      <c r="E831" s="134">
        <v>69500</v>
      </c>
      <c r="F831" s="496" t="s">
        <v>2279</v>
      </c>
      <c r="G831" s="1173" t="s">
        <v>1500</v>
      </c>
      <c r="H831" s="9">
        <f>65000+6000</f>
        <v>71000</v>
      </c>
      <c r="I831" s="85">
        <f t="shared" si="1820"/>
        <v>2.1582733812949639</v>
      </c>
      <c r="J831" s="9">
        <f>ROUNDUP(H831+(H831*Assumptions!I$5),-2)</f>
        <v>72700</v>
      </c>
      <c r="K831" s="9">
        <f>ROUNDUP(J831+(J831*Assumptions!J$5),-2)</f>
        <v>74600</v>
      </c>
      <c r="L831" s="9">
        <f>ROUNDUP(K831+(K831*Assumptions!K$5),-2)</f>
        <v>76500</v>
      </c>
      <c r="M831" s="9">
        <f>ROUNDUP(L831+(L831*Assumptions!L$5),-2)</f>
        <v>78500</v>
      </c>
      <c r="N831" s="9">
        <f>ROUNDUP(M831+(M831*Assumptions!M$5),-2)</f>
        <v>80500</v>
      </c>
      <c r="O831" s="9">
        <f>ROUNDUP(N831+(N831*Assumptions!N$5),-2)</f>
        <v>82600</v>
      </c>
      <c r="P831" s="9">
        <f>ROUNDUP(O831+(O831*Assumptions!O$5),-2)</f>
        <v>84700</v>
      </c>
      <c r="Q831" s="89">
        <f>ROUNDUP(P831+(P831*Assumptions!P$5),-2)</f>
        <v>86900</v>
      </c>
      <c r="R831" s="89">
        <f>ROUNDUP(Q831+(Q831*Assumptions!Q$5),-2)</f>
        <v>89100</v>
      </c>
      <c r="S831" s="61">
        <f>ROUNDUP(R831+(R831*Assumptions!R$5),-2)</f>
        <v>91400</v>
      </c>
    </row>
    <row r="832" spans="1:21" x14ac:dyDescent="0.2">
      <c r="A832" s="54">
        <v>5100</v>
      </c>
      <c r="B832" s="9">
        <v>6100</v>
      </c>
      <c r="C832" s="136">
        <v>6600</v>
      </c>
      <c r="D832" s="136">
        <v>5700</v>
      </c>
      <c r="E832" s="134">
        <v>6900</v>
      </c>
      <c r="F832" s="496" t="s">
        <v>1483</v>
      </c>
      <c r="G832" s="1173" t="s">
        <v>921</v>
      </c>
      <c r="H832" s="9">
        <v>7200</v>
      </c>
      <c r="I832" s="85">
        <f t="shared" si="1820"/>
        <v>4.3478260869565215</v>
      </c>
      <c r="J832" s="9">
        <f>ROUNDUP(H832+(H832*Assumptions!I$5),-2)</f>
        <v>7400</v>
      </c>
      <c r="K832" s="9">
        <f>ROUNDUP(J832+(J832*Assumptions!J$5),-2)</f>
        <v>7600</v>
      </c>
      <c r="L832" s="9">
        <f>ROUNDUP(K832+(K832*Assumptions!K$5),-2)</f>
        <v>7800</v>
      </c>
      <c r="M832" s="9">
        <f>ROUNDUP(L832+(L832*Assumptions!L$5),-2)</f>
        <v>8000</v>
      </c>
      <c r="N832" s="9">
        <f>ROUNDUP(M832+(M832*Assumptions!M$5),-2)</f>
        <v>8200</v>
      </c>
      <c r="O832" s="9">
        <f>ROUNDUP(N832+(N832*Assumptions!N$5),-2)</f>
        <v>8500</v>
      </c>
      <c r="P832" s="9">
        <f>ROUNDUP(O832+(O832*Assumptions!O$5),-2)</f>
        <v>8800</v>
      </c>
      <c r="Q832" s="89">
        <f>ROUNDUP(P832+(P832*Assumptions!P$5),-2)</f>
        <v>9100</v>
      </c>
      <c r="R832" s="89">
        <f>ROUNDUP(Q832+(Q832*Assumptions!Q$5),-2)</f>
        <v>9400</v>
      </c>
      <c r="S832" s="61">
        <f>ROUNDUP(R832+(R832*Assumptions!R$5),-2)</f>
        <v>9700</v>
      </c>
    </row>
    <row r="833" spans="1:19" x14ac:dyDescent="0.2">
      <c r="A833" s="54">
        <v>62700</v>
      </c>
      <c r="B833" s="9">
        <v>75600</v>
      </c>
      <c r="C833" s="136">
        <v>68500</v>
      </c>
      <c r="D833" s="136">
        <v>77100</v>
      </c>
      <c r="E833" s="134">
        <v>38300</v>
      </c>
      <c r="F833" s="769" t="s">
        <v>5209</v>
      </c>
      <c r="G833" s="1150" t="s">
        <v>4504</v>
      </c>
      <c r="H833" s="9">
        <v>60000</v>
      </c>
      <c r="I833" s="85">
        <f t="shared" si="1820"/>
        <v>56.6579634464752</v>
      </c>
      <c r="J833" s="9">
        <f>ROUNDUP(H833+(H833*Assumptions!I$5),-2)</f>
        <v>61400</v>
      </c>
      <c r="K833" s="9">
        <f>ROUNDUP(J833+(J833*Assumptions!J$5),-2)</f>
        <v>63000</v>
      </c>
      <c r="L833" s="9">
        <f>ROUNDUP(K833+(K833*Assumptions!K$5),-2)</f>
        <v>64600</v>
      </c>
      <c r="M833" s="9">
        <f>ROUNDUP(L833+(L833*Assumptions!L$5),-2)</f>
        <v>66300</v>
      </c>
      <c r="N833" s="9">
        <f>ROUNDUP(M833+(M833*Assumptions!M$5),-2)</f>
        <v>68000</v>
      </c>
      <c r="O833" s="9">
        <f>ROUNDUP(N833+(N833*Assumptions!N$5),-2)</f>
        <v>69700</v>
      </c>
      <c r="P833" s="9">
        <f>ROUNDUP(O833+(O833*Assumptions!O$5),-2)</f>
        <v>71500</v>
      </c>
      <c r="Q833" s="89">
        <f>ROUNDUP(P833+(P833*Assumptions!P$5),-2)</f>
        <v>73300</v>
      </c>
      <c r="R833" s="89">
        <f>ROUNDUP(Q833+(Q833*Assumptions!Q$5),-2)</f>
        <v>75200</v>
      </c>
      <c r="S833" s="61">
        <f>ROUNDUP(R833+(R833*Assumptions!R$5),-2)</f>
        <v>77100</v>
      </c>
    </row>
    <row r="834" spans="1:19" x14ac:dyDescent="0.2">
      <c r="A834" s="54">
        <v>12100</v>
      </c>
      <c r="B834" s="9">
        <v>4000</v>
      </c>
      <c r="C834" s="136">
        <v>14000</v>
      </c>
      <c r="D834" s="136">
        <v>22600</v>
      </c>
      <c r="E834" s="134">
        <v>6900</v>
      </c>
      <c r="F834" s="469" t="s">
        <v>1484</v>
      </c>
      <c r="G834" s="1173" t="s">
        <v>1658</v>
      </c>
      <c r="H834" s="9">
        <v>10000</v>
      </c>
      <c r="I834" s="85">
        <f t="shared" si="1820"/>
        <v>44.927536231884055</v>
      </c>
      <c r="J834" s="9">
        <f>ROUNDUP(H834+(H834*Assumptions!I$5),-2)</f>
        <v>10300</v>
      </c>
      <c r="K834" s="9">
        <f>ROUNDUP(J834+(J834*Assumptions!J$5),-2)</f>
        <v>10600</v>
      </c>
      <c r="L834" s="9">
        <f>ROUNDUP(K834+(K834*Assumptions!K$5),-2)</f>
        <v>10900</v>
      </c>
      <c r="M834" s="9">
        <f>ROUNDUP(L834+(L834*Assumptions!L$5),-2)</f>
        <v>11200</v>
      </c>
      <c r="N834" s="9">
        <f>ROUNDUP(M834+(M834*Assumptions!M$5),-2)</f>
        <v>11500</v>
      </c>
      <c r="O834" s="9">
        <f>ROUNDUP(N834+(N834*Assumptions!N$5),-2)</f>
        <v>11800</v>
      </c>
      <c r="P834" s="9">
        <f>ROUNDUP(O834+(O834*Assumptions!O$5),-2)</f>
        <v>12100</v>
      </c>
      <c r="Q834" s="89">
        <f>ROUNDUP(P834+(P834*Assumptions!P$5),-2)</f>
        <v>12500</v>
      </c>
      <c r="R834" s="89">
        <f>ROUNDUP(Q834+(Q834*Assumptions!Q$5),-2)</f>
        <v>12900</v>
      </c>
      <c r="S834" s="61">
        <f>ROUNDUP(R834+(R834*Assumptions!R$5),-2)</f>
        <v>13300</v>
      </c>
    </row>
    <row r="835" spans="1:19" x14ac:dyDescent="0.2">
      <c r="A835" s="54">
        <v>4200</v>
      </c>
      <c r="B835" s="9">
        <v>5200</v>
      </c>
      <c r="C835" s="136">
        <v>4500</v>
      </c>
      <c r="D835" s="136">
        <v>6000</v>
      </c>
      <c r="E835" s="134">
        <v>5900</v>
      </c>
      <c r="F835" s="469" t="s">
        <v>1989</v>
      </c>
      <c r="G835" s="1173" t="s">
        <v>2667</v>
      </c>
      <c r="H835" s="9">
        <v>9000</v>
      </c>
      <c r="I835" s="85">
        <f t="shared" si="1820"/>
        <v>52.542372881355938</v>
      </c>
      <c r="J835" s="9">
        <f>ROUNDUP(H835+(H835*Assumptions!I$5),-2)</f>
        <v>9300</v>
      </c>
      <c r="K835" s="9">
        <f>ROUNDUP(J835+(J835*Assumptions!J$5),-2)</f>
        <v>9600</v>
      </c>
      <c r="L835" s="9">
        <f>ROUNDUP(K835+(K835*Assumptions!K$5),-2)</f>
        <v>9900</v>
      </c>
      <c r="M835" s="9">
        <f>ROUNDUP(L835+(L835*Assumptions!L$5),-2)</f>
        <v>10200</v>
      </c>
      <c r="N835" s="9">
        <f>ROUNDUP(M835+(M835*Assumptions!M$5),-2)</f>
        <v>10500</v>
      </c>
      <c r="O835" s="9">
        <f>ROUNDUP(N835+(N835*Assumptions!N$5),-2)</f>
        <v>10800</v>
      </c>
      <c r="P835" s="9">
        <f>ROUNDUP(O835+(O835*Assumptions!O$5),-2)</f>
        <v>11100</v>
      </c>
      <c r="Q835" s="89">
        <f>ROUNDUP(P835+(P835*Assumptions!P$5),-2)</f>
        <v>11400</v>
      </c>
      <c r="R835" s="89">
        <f>ROUNDUP(Q835+(Q835*Assumptions!Q$5),-2)</f>
        <v>11700</v>
      </c>
      <c r="S835" s="61">
        <f>ROUNDUP(R835+(R835*Assumptions!R$5),-2)</f>
        <v>12000</v>
      </c>
    </row>
    <row r="836" spans="1:19" x14ac:dyDescent="0.2">
      <c r="A836" s="54">
        <v>101300</v>
      </c>
      <c r="B836" s="9">
        <v>85600</v>
      </c>
      <c r="C836" s="9">
        <v>90300</v>
      </c>
      <c r="D836" s="9">
        <v>68500</v>
      </c>
      <c r="E836" s="9">
        <v>56200</v>
      </c>
      <c r="F836" s="469" t="s">
        <v>1261</v>
      </c>
      <c r="G836" s="55" t="s">
        <v>709</v>
      </c>
      <c r="H836" s="9">
        <v>65000</v>
      </c>
      <c r="I836" s="85">
        <f t="shared" si="1820"/>
        <v>15.658362989323843</v>
      </c>
      <c r="J836" s="9">
        <f>ROUNDUP(H836+(H836*Assumptions!I$5),-2)</f>
        <v>66500</v>
      </c>
      <c r="K836" s="9">
        <f>ROUNDUP(J836+(J836*Assumptions!J$5),-2)</f>
        <v>68200</v>
      </c>
      <c r="L836" s="9">
        <f>ROUNDUP(K836+(K836*Assumptions!K$5),-2)</f>
        <v>70000</v>
      </c>
      <c r="M836" s="9">
        <f>ROUNDUP(L836+(L836*Assumptions!L$5),-2)</f>
        <v>71800</v>
      </c>
      <c r="N836" s="9">
        <f>ROUNDUP(M836+(M836*Assumptions!M$5),-2)</f>
        <v>73600</v>
      </c>
      <c r="O836" s="9">
        <f>ROUNDUP(N836+(N836*Assumptions!N$5),-2)</f>
        <v>75500</v>
      </c>
      <c r="P836" s="9">
        <f>ROUNDUP(O836+(O836*Assumptions!O$5),-2)</f>
        <v>77400</v>
      </c>
      <c r="Q836" s="89">
        <f>ROUNDUP(P836+(P836*Assumptions!P$5),-2)</f>
        <v>79400</v>
      </c>
      <c r="R836" s="89">
        <f>ROUNDUP(Q836+(Q836*Assumptions!Q$5),-2)</f>
        <v>81400</v>
      </c>
      <c r="S836" s="61">
        <f>ROUNDUP(R836+(R836*Assumptions!R$5),-2)</f>
        <v>83500</v>
      </c>
    </row>
    <row r="837" spans="1:19" x14ac:dyDescent="0.2">
      <c r="A837" s="54"/>
      <c r="B837" s="9"/>
      <c r="E837" s="134"/>
      <c r="F837" s="469"/>
      <c r="G837" s="122" t="s">
        <v>892</v>
      </c>
      <c r="H837" s="9"/>
      <c r="I837" s="85"/>
      <c r="J837" s="9"/>
      <c r="K837" s="9"/>
      <c r="L837" s="9"/>
      <c r="M837" s="9"/>
      <c r="N837" s="9"/>
      <c r="O837" s="9"/>
      <c r="P837" s="9"/>
      <c r="Q837" s="89"/>
      <c r="R837" s="89"/>
      <c r="S837" s="61"/>
    </row>
    <row r="838" spans="1:19" x14ac:dyDescent="0.2">
      <c r="A838" s="54">
        <v>118800</v>
      </c>
      <c r="B838" s="9">
        <v>191900</v>
      </c>
      <c r="C838" s="136">
        <v>169300</v>
      </c>
      <c r="D838" s="136">
        <v>160300</v>
      </c>
      <c r="E838" s="134">
        <v>177000</v>
      </c>
      <c r="F838" s="469" t="s">
        <v>1482</v>
      </c>
      <c r="G838" s="1150" t="s">
        <v>1320</v>
      </c>
      <c r="H838" s="9">
        <v>190000</v>
      </c>
      <c r="I838" s="85">
        <f t="shared" ref="I838:I855" si="1821">IF(E838=H838,0,IF(E838=0,100,(H838-E838)/E838*100))</f>
        <v>7.3446327683615822</v>
      </c>
      <c r="J838" s="9">
        <f>ROUND(H838*Assumptions!J$13+CIV!H838,-2)</f>
        <v>194400</v>
      </c>
      <c r="K838" s="9">
        <f>ROUND(J838*Assumptions!K$13+CIV!J838,-2)</f>
        <v>198900</v>
      </c>
      <c r="L838" s="9">
        <f>ROUND(K838*Assumptions!L$13+CIV!K838,-2)</f>
        <v>203500</v>
      </c>
      <c r="M838" s="9">
        <f>ROUND(L838*Assumptions!M$13+CIV!L838,-2)</f>
        <v>208200</v>
      </c>
      <c r="N838" s="9">
        <f>ROUND(M838*Assumptions!N$13+CIV!M838,-2)</f>
        <v>213000</v>
      </c>
      <c r="O838" s="9">
        <f>ROUND(N838*Assumptions!P$13+CIV!N838,-2)</f>
        <v>217900</v>
      </c>
      <c r="P838" s="9">
        <f>ROUND(O838*Assumptions!Q$13+CIV!O838,-2)</f>
        <v>222900</v>
      </c>
      <c r="Q838" s="89">
        <f>ROUND(P838*Assumptions!R$13+CIV!P838,-2)</f>
        <v>228000</v>
      </c>
      <c r="R838" s="89">
        <f>ROUND(Q838*Assumptions!S$13+CIV!Q838,-2)</f>
        <v>228000</v>
      </c>
      <c r="S838" s="61">
        <f>ROUND(R838*Assumptions!T$13+CIV!R838,-2)</f>
        <v>228000</v>
      </c>
    </row>
    <row r="839" spans="1:19" x14ac:dyDescent="0.2">
      <c r="A839" s="54">
        <v>0</v>
      </c>
      <c r="B839" s="9">
        <v>0</v>
      </c>
      <c r="C839" s="136">
        <v>5600</v>
      </c>
      <c r="D839" s="136">
        <v>8000</v>
      </c>
      <c r="E839" s="134">
        <v>12500</v>
      </c>
      <c r="F839" s="769" t="s">
        <v>5422</v>
      </c>
      <c r="G839" s="1150" t="s">
        <v>4770</v>
      </c>
      <c r="H839" s="9">
        <v>5100</v>
      </c>
      <c r="I839" s="85">
        <f t="shared" si="1821"/>
        <v>-59.199999999999996</v>
      </c>
      <c r="J839" s="9">
        <f>ROUND(H839*Assumptions!J$13+CIV!H839,-2)</f>
        <v>5200</v>
      </c>
      <c r="K839" s="9">
        <f>ROUND(J839*Assumptions!K$13+CIV!J839,-2)</f>
        <v>5300</v>
      </c>
      <c r="L839" s="9">
        <f>ROUND(K839*Assumptions!L$13+CIV!K839,-2)</f>
        <v>5400</v>
      </c>
      <c r="M839" s="9">
        <f>ROUND(L839*Assumptions!M$13+CIV!L839,-2)</f>
        <v>5500</v>
      </c>
      <c r="N839" s="9">
        <f>ROUND(M839*Assumptions!N$13+CIV!M839,-2)</f>
        <v>5600</v>
      </c>
      <c r="O839" s="9">
        <f>ROUND(N839*Assumptions!P$13+CIV!N839,-2)</f>
        <v>5700</v>
      </c>
      <c r="P839" s="9">
        <f>ROUND(O839*Assumptions!Q$13+CIV!O839,-2)</f>
        <v>5800</v>
      </c>
      <c r="Q839" s="89">
        <f>ROUND(P839*Assumptions!R$13+CIV!P839,-2)</f>
        <v>5900</v>
      </c>
      <c r="R839" s="89">
        <f>ROUND(Q839*Assumptions!S$13+CIV!Q839,-2)</f>
        <v>5900</v>
      </c>
      <c r="S839" s="61">
        <f>ROUND(R839*Assumptions!T$13+CIV!R839,-2)</f>
        <v>5900</v>
      </c>
    </row>
    <row r="840" spans="1:19" x14ac:dyDescent="0.2">
      <c r="A840" s="54">
        <v>74700</v>
      </c>
      <c r="B840" s="9">
        <v>144400</v>
      </c>
      <c r="C840" s="9">
        <v>201400</v>
      </c>
      <c r="D840" s="136">
        <v>225100</v>
      </c>
      <c r="E840" s="134">
        <v>237400</v>
      </c>
      <c r="F840" s="469" t="s">
        <v>224</v>
      </c>
      <c r="G840" s="1150" t="s">
        <v>3884</v>
      </c>
      <c r="H840" s="9">
        <v>236000</v>
      </c>
      <c r="I840" s="85">
        <f t="shared" si="1821"/>
        <v>-0.58972198820556021</v>
      </c>
      <c r="J840" s="9">
        <f>ROUND(H840*Assumptions!J$13+CIV!H840,-2)</f>
        <v>241400</v>
      </c>
      <c r="K840" s="9">
        <f>ROUND(J840*Assumptions!K$13+CIV!J840,-2)</f>
        <v>247000</v>
      </c>
      <c r="L840" s="9">
        <f>ROUND(K840*Assumptions!L$13+CIV!K840,-2)</f>
        <v>252700</v>
      </c>
      <c r="M840" s="9">
        <f>ROUND(L840*Assumptions!M$13+CIV!L840,-2)</f>
        <v>258500</v>
      </c>
      <c r="N840" s="9">
        <f>ROUND(M840*Assumptions!N$13+CIV!M840,-2)</f>
        <v>264400</v>
      </c>
      <c r="O840" s="9">
        <f>ROUND(N840*Assumptions!P$13+CIV!N840,-2)</f>
        <v>270500</v>
      </c>
      <c r="P840" s="9">
        <f>ROUND(O840*Assumptions!Q$13+CIV!O840,-2)</f>
        <v>276700</v>
      </c>
      <c r="Q840" s="89">
        <f>ROUND(P840*Assumptions!R$13+CIV!P840,-2)</f>
        <v>283100</v>
      </c>
      <c r="R840" s="89">
        <f>ROUND(Q840*Assumptions!S$13+CIV!Q840,-2)</f>
        <v>283100</v>
      </c>
      <c r="S840" s="61">
        <f>ROUND(R840*Assumptions!T$13+CIV!R840,-2)</f>
        <v>283100</v>
      </c>
    </row>
    <row r="841" spans="1:19" x14ac:dyDescent="0.2">
      <c r="A841" s="54">
        <v>2300</v>
      </c>
      <c r="B841" s="9">
        <v>1000</v>
      </c>
      <c r="C841" s="136">
        <v>500</v>
      </c>
      <c r="D841" s="136">
        <v>15800</v>
      </c>
      <c r="E841" s="134">
        <v>20400</v>
      </c>
      <c r="F841" s="469" t="s">
        <v>1920</v>
      </c>
      <c r="G841" s="1150" t="s">
        <v>638</v>
      </c>
      <c r="H841" s="9">
        <f>10000+5000</f>
        <v>15000</v>
      </c>
      <c r="I841" s="85">
        <f t="shared" si="1821"/>
        <v>-26.47058823529412</v>
      </c>
      <c r="J841" s="9">
        <f>ROUNDUP(H841+(H841*Assumptions!I$5),-2)</f>
        <v>15400</v>
      </c>
      <c r="K841" s="9">
        <f>ROUNDUP(J841+(J841*Assumptions!J$5),-2)</f>
        <v>15800</v>
      </c>
      <c r="L841" s="9">
        <f>ROUNDUP(K841+(K841*Assumptions!K$5),-2)</f>
        <v>16200</v>
      </c>
      <c r="M841" s="9">
        <f>ROUNDUP(L841+(L841*Assumptions!L$5),-2)</f>
        <v>16700</v>
      </c>
      <c r="N841" s="9">
        <f>ROUNDUP(M841+(M841*Assumptions!M$5),-2)</f>
        <v>17200</v>
      </c>
      <c r="O841" s="9">
        <f>ROUNDUP(N841+(N841*Assumptions!N$5),-2)</f>
        <v>17700</v>
      </c>
      <c r="P841" s="9">
        <f>ROUNDUP(O841+(O841*Assumptions!O$5),-2)</f>
        <v>18200</v>
      </c>
      <c r="Q841" s="89">
        <f>ROUNDUP(P841+(P841*Assumptions!P$5),-2)</f>
        <v>18700</v>
      </c>
      <c r="R841" s="89">
        <f>ROUNDUP(Q841+(Q841*Assumptions!Q$5),-2)</f>
        <v>19200</v>
      </c>
      <c r="S841" s="61">
        <f>ROUNDUP(R841+(R841*Assumptions!R$5),-2)</f>
        <v>19700</v>
      </c>
    </row>
    <row r="842" spans="1:19" x14ac:dyDescent="0.2">
      <c r="A842" s="54">
        <v>7200</v>
      </c>
      <c r="B842" s="9">
        <v>7000</v>
      </c>
      <c r="C842" s="136">
        <v>7000</v>
      </c>
      <c r="D842" s="136">
        <v>7000</v>
      </c>
      <c r="E842" s="134">
        <v>7200</v>
      </c>
      <c r="F842" s="469" t="s">
        <v>1707</v>
      </c>
      <c r="G842" s="1150" t="s">
        <v>930</v>
      </c>
      <c r="H842" s="9">
        <v>8000</v>
      </c>
      <c r="I842" s="85">
        <f t="shared" si="1821"/>
        <v>11.111111111111111</v>
      </c>
      <c r="J842" s="9">
        <f>ROUNDUP(H842+(H842*Assumptions!I$5),-2)</f>
        <v>8200</v>
      </c>
      <c r="K842" s="9">
        <f>ROUNDUP(J842+(J842*Assumptions!J$5),-2)</f>
        <v>8500</v>
      </c>
      <c r="L842" s="9">
        <f>ROUNDUP(K842+(K842*Assumptions!K$5),-2)</f>
        <v>8800</v>
      </c>
      <c r="M842" s="9">
        <f>ROUNDUP(L842+(L842*Assumptions!L$5),-2)</f>
        <v>9100</v>
      </c>
      <c r="N842" s="9">
        <f>ROUNDUP(M842+(M842*Assumptions!M$5),-2)</f>
        <v>9400</v>
      </c>
      <c r="O842" s="9">
        <f>ROUNDUP(N842+(N842*Assumptions!N$5),-2)</f>
        <v>9700</v>
      </c>
      <c r="P842" s="9">
        <f>ROUNDUP(O842+(O842*Assumptions!O$5),-2)</f>
        <v>10000</v>
      </c>
      <c r="Q842" s="89">
        <f>ROUNDUP(P842+(P842*Assumptions!P$5),-2)</f>
        <v>10300</v>
      </c>
      <c r="R842" s="89">
        <f>ROUNDUP(Q842+(Q842*Assumptions!Q$5),-2)</f>
        <v>10600</v>
      </c>
      <c r="S842" s="61">
        <f>ROUNDUP(R842+(R842*Assumptions!R$5),-2)</f>
        <v>10900</v>
      </c>
    </row>
    <row r="843" spans="1:19" x14ac:dyDescent="0.2">
      <c r="A843" s="54">
        <v>12300</v>
      </c>
      <c r="B843" s="9">
        <v>13700</v>
      </c>
      <c r="C843" s="136">
        <v>15300</v>
      </c>
      <c r="D843" s="136">
        <v>14600</v>
      </c>
      <c r="E843" s="134">
        <v>12600</v>
      </c>
      <c r="F843" s="469" t="s">
        <v>1705</v>
      </c>
      <c r="G843" s="1150" t="s">
        <v>2724</v>
      </c>
      <c r="H843" s="9">
        <f>13500-2000-3500</f>
        <v>8000</v>
      </c>
      <c r="I843" s="85">
        <f t="shared" si="1821"/>
        <v>-36.507936507936506</v>
      </c>
      <c r="J843" s="9">
        <f>ROUNDUP(H843+(H843*Assumptions!I$5),-2)</f>
        <v>8200</v>
      </c>
      <c r="K843" s="9">
        <f>ROUNDUP(J843+(J843*Assumptions!J$5),-2)</f>
        <v>8500</v>
      </c>
      <c r="L843" s="9">
        <f>ROUNDUP(K843+(K843*Assumptions!K$5),-2)</f>
        <v>8800</v>
      </c>
      <c r="M843" s="9">
        <f>ROUNDUP(L843+(L843*Assumptions!L$5),-2)</f>
        <v>9100</v>
      </c>
      <c r="N843" s="9">
        <f>ROUNDUP(M843+(M843*Assumptions!M$5),-2)</f>
        <v>9400</v>
      </c>
      <c r="O843" s="9">
        <f>ROUNDUP(N843+(N843*Assumptions!N$5),-2)</f>
        <v>9700</v>
      </c>
      <c r="P843" s="9">
        <f>ROUNDUP(O843+(O843*Assumptions!O$5),-2)</f>
        <v>10000</v>
      </c>
      <c r="Q843" s="89">
        <f>ROUNDUP(P843+(P843*Assumptions!P$5),-2)</f>
        <v>10300</v>
      </c>
      <c r="R843" s="89">
        <f>ROUNDUP(Q843+(Q843*Assumptions!Q$5),-2)</f>
        <v>10600</v>
      </c>
      <c r="S843" s="61">
        <f>ROUNDUP(R843+(R843*Assumptions!R$5),-2)</f>
        <v>10900</v>
      </c>
    </row>
    <row r="844" spans="1:19" x14ac:dyDescent="0.2">
      <c r="A844" s="54">
        <v>46600</v>
      </c>
      <c r="B844" s="9">
        <v>49300</v>
      </c>
      <c r="C844" s="136">
        <v>51900</v>
      </c>
      <c r="D844" s="136">
        <v>55600</v>
      </c>
      <c r="E844" s="134">
        <v>58800</v>
      </c>
      <c r="F844" s="469" t="s">
        <v>2822</v>
      </c>
      <c r="G844" s="1173" t="s">
        <v>1296</v>
      </c>
      <c r="H844" s="9">
        <v>60000</v>
      </c>
      <c r="I844" s="85">
        <f t="shared" si="1821"/>
        <v>2.0408163265306123</v>
      </c>
      <c r="J844" s="9">
        <f>ROUNDUP(H844+(H844*Assumptions!I$5),-2)</f>
        <v>61400</v>
      </c>
      <c r="K844" s="9">
        <f>ROUNDUP(J844+(J844*Assumptions!J$5),-2)</f>
        <v>63000</v>
      </c>
      <c r="L844" s="9">
        <f>ROUNDUP(K844+(K844*Assumptions!K$5),-2)</f>
        <v>64600</v>
      </c>
      <c r="M844" s="9">
        <f>ROUNDUP(L844+(L844*Assumptions!L$5),-2)</f>
        <v>66300</v>
      </c>
      <c r="N844" s="9">
        <f>ROUNDUP(M844+(M844*Assumptions!M$5),-2)</f>
        <v>68000</v>
      </c>
      <c r="O844" s="9">
        <f>ROUNDUP(N844+(N844*Assumptions!N$5),-2)</f>
        <v>69700</v>
      </c>
      <c r="P844" s="9">
        <f>ROUNDUP(O844+(O844*Assumptions!O$5),-2)</f>
        <v>71500</v>
      </c>
      <c r="Q844" s="89">
        <f>ROUNDUP(P844+(P844*Assumptions!P$5),-2)</f>
        <v>73300</v>
      </c>
      <c r="R844" s="89">
        <f>ROUNDUP(Q844+(Q844*Assumptions!Q$5),-2)</f>
        <v>75200</v>
      </c>
      <c r="S844" s="61">
        <f>ROUNDUP(R844+(R844*Assumptions!R$5),-2)</f>
        <v>77100</v>
      </c>
    </row>
    <row r="845" spans="1:19" x14ac:dyDescent="0.2">
      <c r="A845" s="54">
        <v>400</v>
      </c>
      <c r="B845" s="9">
        <v>1200</v>
      </c>
      <c r="C845" s="136">
        <v>600</v>
      </c>
      <c r="D845" s="136">
        <v>13700</v>
      </c>
      <c r="E845" s="134">
        <v>17600</v>
      </c>
      <c r="F845" s="769" t="s">
        <v>5193</v>
      </c>
      <c r="G845" s="1150" t="s">
        <v>1500</v>
      </c>
      <c r="H845" s="9">
        <v>17000</v>
      </c>
      <c r="I845" s="85">
        <f t="shared" si="1821"/>
        <v>-3.4090909090909087</v>
      </c>
      <c r="J845" s="9">
        <f>ROUNDUP(H845+(H845*Assumptions!I$5),-2)</f>
        <v>17400</v>
      </c>
      <c r="K845" s="9">
        <f>ROUNDUP(J845+(J845*Assumptions!J$5),-2)</f>
        <v>17900</v>
      </c>
      <c r="L845" s="9">
        <f>ROUNDUP(K845+(K845*Assumptions!K$5),-2)</f>
        <v>18400</v>
      </c>
      <c r="M845" s="9">
        <f>ROUNDUP(L845+(L845*Assumptions!L$5),-2)</f>
        <v>18900</v>
      </c>
      <c r="N845" s="9">
        <f>ROUNDUP(M845+(M845*Assumptions!M$5),-2)</f>
        <v>19400</v>
      </c>
      <c r="O845" s="9">
        <f>ROUNDUP(N845+(N845*Assumptions!N$5),-2)</f>
        <v>19900</v>
      </c>
      <c r="P845" s="9">
        <f>ROUNDUP(O845+(O845*Assumptions!O$5),-2)</f>
        <v>20400</v>
      </c>
      <c r="Q845" s="89">
        <f>ROUNDUP(P845+(P845*Assumptions!P$5),-2)</f>
        <v>21000</v>
      </c>
      <c r="R845" s="89">
        <f>ROUNDUP(Q845+(Q845*Assumptions!Q$5),-2)</f>
        <v>21600</v>
      </c>
      <c r="S845" s="61">
        <f>ROUNDUP(R845+(R845*Assumptions!R$5),-2)</f>
        <v>22200</v>
      </c>
    </row>
    <row r="846" spans="1:19" x14ac:dyDescent="0.2">
      <c r="A846" s="54">
        <v>0</v>
      </c>
      <c r="B846" s="9">
        <v>0</v>
      </c>
      <c r="C846" s="136">
        <v>0</v>
      </c>
      <c r="D846" s="136">
        <v>15000</v>
      </c>
      <c r="E846" s="1442">
        <v>16800</v>
      </c>
      <c r="F846" s="769" t="s">
        <v>5194</v>
      </c>
      <c r="G846" s="634" t="s">
        <v>2157</v>
      </c>
      <c r="H846" s="9">
        <v>19000</v>
      </c>
      <c r="I846" s="85">
        <f t="shared" si="1821"/>
        <v>13.095238095238097</v>
      </c>
      <c r="J846" s="9">
        <f>ROUNDUP(H846+(H846*Assumptions!I$5),-2)</f>
        <v>19500</v>
      </c>
      <c r="K846" s="9">
        <f>ROUNDUP(J846+(J846*Assumptions!J$5),-2)</f>
        <v>20000</v>
      </c>
      <c r="L846" s="9">
        <f>ROUNDUP(K846+(K846*Assumptions!K$5),-2)</f>
        <v>20500</v>
      </c>
      <c r="M846" s="9">
        <f>ROUNDUP(L846+(L846*Assumptions!L$5),-2)</f>
        <v>21100</v>
      </c>
      <c r="N846" s="9">
        <f>ROUNDUP(M846+(M846*Assumptions!M$5),-2)</f>
        <v>21700</v>
      </c>
      <c r="O846" s="9">
        <f>ROUNDUP(N846+(N846*Assumptions!N$5),-2)</f>
        <v>22300</v>
      </c>
      <c r="P846" s="9">
        <f>ROUNDUP(O846+(O846*Assumptions!O$5),-2)</f>
        <v>22900</v>
      </c>
      <c r="Q846" s="89">
        <f>ROUNDUP(P846+(P846*Assumptions!P$5),-2)</f>
        <v>23500</v>
      </c>
      <c r="R846" s="89">
        <f>ROUNDUP(Q846+(Q846*Assumptions!Q$5),-2)</f>
        <v>24100</v>
      </c>
      <c r="S846" s="61">
        <f>ROUNDUP(R846+(R846*Assumptions!R$5),-2)</f>
        <v>24800</v>
      </c>
    </row>
    <row r="847" spans="1:19" x14ac:dyDescent="0.2">
      <c r="A847" s="54">
        <v>0</v>
      </c>
      <c r="B847" s="9">
        <v>0</v>
      </c>
      <c r="C847" s="136">
        <v>0</v>
      </c>
      <c r="D847" s="136">
        <v>3000</v>
      </c>
      <c r="E847" s="1442">
        <v>1000</v>
      </c>
      <c r="F847" s="769" t="s">
        <v>5195</v>
      </c>
      <c r="G847" s="634" t="s">
        <v>5139</v>
      </c>
      <c r="H847" s="9">
        <v>3000</v>
      </c>
      <c r="I847" s="85">
        <f t="shared" si="1821"/>
        <v>200</v>
      </c>
      <c r="J847" s="9">
        <f>ROUNDUP(H847+(H847*Assumptions!I$5),-2)</f>
        <v>3100</v>
      </c>
      <c r="K847" s="9">
        <f>ROUNDUP(J847+(J847*Assumptions!J$5),-2)</f>
        <v>3200</v>
      </c>
      <c r="L847" s="9">
        <f>ROUNDUP(K847+(K847*Assumptions!K$5),-2)</f>
        <v>3300</v>
      </c>
      <c r="M847" s="9">
        <f>ROUNDUP(L847+(L847*Assumptions!L$5),-2)</f>
        <v>3400</v>
      </c>
      <c r="N847" s="9">
        <f>ROUNDUP(M847+(M847*Assumptions!M$5),-2)</f>
        <v>3500</v>
      </c>
      <c r="O847" s="9">
        <f>ROUNDUP(N847+(N847*Assumptions!N$5),-2)</f>
        <v>3600</v>
      </c>
      <c r="P847" s="9">
        <f>ROUNDUP(O847+(O847*Assumptions!O$5),-2)</f>
        <v>3700</v>
      </c>
      <c r="Q847" s="89">
        <f>ROUNDUP(P847+(P847*Assumptions!P$5),-2)</f>
        <v>3800</v>
      </c>
      <c r="R847" s="89">
        <f>ROUNDUP(Q847+(Q847*Assumptions!Q$5),-2)</f>
        <v>3900</v>
      </c>
      <c r="S847" s="61">
        <f>ROUNDUP(R847+(R847*Assumptions!R$5),-2)</f>
        <v>4000</v>
      </c>
    </row>
    <row r="848" spans="1:19" x14ac:dyDescent="0.2">
      <c r="A848" s="54">
        <v>52200</v>
      </c>
      <c r="B848" s="9">
        <v>50400</v>
      </c>
      <c r="C848" s="136">
        <v>52100</v>
      </c>
      <c r="D848" s="136">
        <f>46400-46400</f>
        <v>0</v>
      </c>
      <c r="E848" s="1442">
        <v>0</v>
      </c>
      <c r="F848" s="469" t="s">
        <v>2342</v>
      </c>
      <c r="G848" s="634" t="s">
        <v>3755</v>
      </c>
      <c r="H848" s="9">
        <v>0</v>
      </c>
      <c r="I848" s="85">
        <f t="shared" si="1821"/>
        <v>0</v>
      </c>
      <c r="J848" s="9">
        <f>ROUNDUP(H848+(H848*Assumptions!I$5),-2)</f>
        <v>0</v>
      </c>
      <c r="K848" s="9">
        <f>ROUNDUP(J848+(J848*Assumptions!J$5),-2)</f>
        <v>0</v>
      </c>
      <c r="L848" s="9">
        <f>ROUNDUP(K848+(K848*Assumptions!K$5),-2)</f>
        <v>0</v>
      </c>
      <c r="M848" s="9">
        <f>ROUNDUP(L848+(L848*Assumptions!L$5),-2)</f>
        <v>0</v>
      </c>
      <c r="N848" s="9">
        <f>ROUNDUP(M848+(M848*Assumptions!M$5),-2)</f>
        <v>0</v>
      </c>
      <c r="O848" s="9">
        <f>ROUNDUP(N848+(N848*Assumptions!N$5),-2)</f>
        <v>0</v>
      </c>
      <c r="P848" s="9">
        <f>ROUNDUP(O848+(O848*Assumptions!O$5),-2)</f>
        <v>0</v>
      </c>
      <c r="Q848" s="89">
        <f>ROUNDUP(P848+(P848*Assumptions!P$5),-2)</f>
        <v>0</v>
      </c>
      <c r="R848" s="89">
        <f>ROUNDUP(Q848+(Q848*Assumptions!Q$5),-2)</f>
        <v>0</v>
      </c>
      <c r="S848" s="61">
        <f>ROUNDUP(R848+(R848*Assumptions!R$5),-2)</f>
        <v>0</v>
      </c>
    </row>
    <row r="849" spans="1:19" x14ac:dyDescent="0.2">
      <c r="A849" s="54">
        <v>20200</v>
      </c>
      <c r="B849" s="9">
        <v>35800</v>
      </c>
      <c r="C849" s="136">
        <v>25100</v>
      </c>
      <c r="D849" s="136">
        <v>19500</v>
      </c>
      <c r="E849" s="1442">
        <v>9600</v>
      </c>
      <c r="F849" s="469" t="s">
        <v>2343</v>
      </c>
      <c r="G849" s="257" t="s">
        <v>1638</v>
      </c>
      <c r="H849" s="9">
        <v>16000</v>
      </c>
      <c r="I849" s="85">
        <f t="shared" si="1821"/>
        <v>66.666666666666657</v>
      </c>
      <c r="J849" s="9">
        <f>ROUNDUP(H849+(H849*Assumptions!I$5),-2)</f>
        <v>16400</v>
      </c>
      <c r="K849" s="9">
        <f>ROUNDUP(J849+(J849*Assumptions!J$5),-2)</f>
        <v>16900</v>
      </c>
      <c r="L849" s="9">
        <f>ROUNDUP(K849+(K849*Assumptions!K$5),-2)</f>
        <v>17400</v>
      </c>
      <c r="M849" s="9">
        <f>ROUNDUP(L849+(L849*Assumptions!L$5),-2)</f>
        <v>17900</v>
      </c>
      <c r="N849" s="9">
        <f>ROUNDUP(M849+(M849*Assumptions!M$5),-2)</f>
        <v>18400</v>
      </c>
      <c r="O849" s="9">
        <f>ROUNDUP(N849+(N849*Assumptions!N$5),-2)</f>
        <v>18900</v>
      </c>
      <c r="P849" s="9">
        <f>ROUNDUP(O849+(O849*Assumptions!O$5),-2)</f>
        <v>19400</v>
      </c>
      <c r="Q849" s="89">
        <f>ROUNDUP(P849+(P849*Assumptions!P$5),-2)</f>
        <v>19900</v>
      </c>
      <c r="R849" s="89">
        <f>ROUNDUP(Q849+(Q849*Assumptions!Q$5),-2)</f>
        <v>20400</v>
      </c>
      <c r="S849" s="61">
        <f>ROUNDUP(R849+(R849*Assumptions!R$5),-2)</f>
        <v>21000</v>
      </c>
    </row>
    <row r="850" spans="1:19" x14ac:dyDescent="0.2">
      <c r="A850" s="54">
        <v>70500</v>
      </c>
      <c r="B850" s="9">
        <f>80000+1500-8800</f>
        <v>72700</v>
      </c>
      <c r="C850" s="136">
        <v>72200</v>
      </c>
      <c r="D850" s="136">
        <v>58600</v>
      </c>
      <c r="E850" s="1442">
        <v>78900</v>
      </c>
      <c r="F850" s="769" t="s">
        <v>5196</v>
      </c>
      <c r="G850" s="634" t="s">
        <v>3754</v>
      </c>
      <c r="H850" s="9">
        <v>65000</v>
      </c>
      <c r="I850" s="85">
        <f t="shared" si="1821"/>
        <v>-17.617237008871989</v>
      </c>
      <c r="J850" s="9">
        <f>ROUNDUP(H850+(H850*Assumptions!I$5),-2)</f>
        <v>66500</v>
      </c>
      <c r="K850" s="9">
        <f>ROUNDUP(J850+(J850*Assumptions!J$5),-2)</f>
        <v>68200</v>
      </c>
      <c r="L850" s="9">
        <f>ROUNDUP(K850+(K850*Assumptions!K$5),-2)</f>
        <v>70000</v>
      </c>
      <c r="M850" s="9">
        <f>ROUNDUP(L850+(L850*Assumptions!L$5),-2)</f>
        <v>71800</v>
      </c>
      <c r="N850" s="9">
        <f>ROUNDUP(M850+(M850*Assumptions!M$5),-2)</f>
        <v>73600</v>
      </c>
      <c r="O850" s="9">
        <f>ROUNDUP(N850+(N850*Assumptions!N$5),-2)</f>
        <v>75500</v>
      </c>
      <c r="P850" s="9">
        <f>ROUNDUP(O850+(O850*Assumptions!O$5),-2)</f>
        <v>77400</v>
      </c>
      <c r="Q850" s="89">
        <f>ROUNDUP(P850+(P850*Assumptions!P$5),-2)</f>
        <v>79400</v>
      </c>
      <c r="R850" s="89">
        <f>ROUNDUP(Q850+(Q850*Assumptions!Q$5),-2)</f>
        <v>81400</v>
      </c>
      <c r="S850" s="61">
        <f>ROUNDUP(R850+(R850*Assumptions!R$5),-2)</f>
        <v>83500</v>
      </c>
    </row>
    <row r="851" spans="1:19" x14ac:dyDescent="0.2">
      <c r="A851" s="54">
        <v>3800</v>
      </c>
      <c r="B851" s="9">
        <v>51700</v>
      </c>
      <c r="C851" s="136">
        <v>0</v>
      </c>
      <c r="D851" s="136">
        <v>0</v>
      </c>
      <c r="E851" s="1442">
        <v>0</v>
      </c>
      <c r="F851" s="769" t="s">
        <v>3369</v>
      </c>
      <c r="G851" s="634" t="s">
        <v>3370</v>
      </c>
      <c r="H851" s="9">
        <v>0</v>
      </c>
      <c r="I851" s="85">
        <f t="shared" si="1821"/>
        <v>0</v>
      </c>
      <c r="J851" s="9">
        <f>ROUNDUP(H851+(H851*Assumptions!I$5),-2)</f>
        <v>0</v>
      </c>
      <c r="K851" s="9">
        <f>ROUNDUP(J851+(J851*Assumptions!J$5),-2)</f>
        <v>0</v>
      </c>
      <c r="L851" s="9">
        <f>ROUNDUP(K851+(K851*Assumptions!K$5),-2)</f>
        <v>0</v>
      </c>
      <c r="M851" s="9">
        <f>ROUNDUP(L851+(L851*Assumptions!L$5),-2)</f>
        <v>0</v>
      </c>
      <c r="N851" s="9">
        <f>ROUNDUP(M851+(M851*Assumptions!M$5),-2)</f>
        <v>0</v>
      </c>
      <c r="O851" s="9">
        <f>ROUNDUP(N851+(N851*Assumptions!N$5),-2)</f>
        <v>0</v>
      </c>
      <c r="P851" s="9">
        <f>ROUNDUP(O851+(O851*Assumptions!O$5),-2)</f>
        <v>0</v>
      </c>
      <c r="Q851" s="89">
        <f>ROUNDUP(P851+(P851*Assumptions!P$5),-2)</f>
        <v>0</v>
      </c>
      <c r="R851" s="89">
        <f>ROUNDUP(Q851+(Q851*Assumptions!Q$5),-2)</f>
        <v>0</v>
      </c>
      <c r="S851" s="61">
        <f>ROUNDUP(R851+(R851*Assumptions!R$5),-2)</f>
        <v>0</v>
      </c>
    </row>
    <row r="852" spans="1:19" x14ac:dyDescent="0.2">
      <c r="A852" s="54">
        <v>600</v>
      </c>
      <c r="B852" s="9">
        <v>0</v>
      </c>
      <c r="C852" s="136">
        <v>1600</v>
      </c>
      <c r="D852" s="136">
        <v>0</v>
      </c>
      <c r="E852" s="1442">
        <v>0</v>
      </c>
      <c r="F852" s="769" t="s">
        <v>3198</v>
      </c>
      <c r="G852" s="257" t="s">
        <v>2592</v>
      </c>
      <c r="H852" s="9">
        <v>0</v>
      </c>
      <c r="I852" s="85">
        <f t="shared" si="1821"/>
        <v>0</v>
      </c>
      <c r="J852" s="9">
        <f>ROUNDUP(H852+(H852*Assumptions!I$5),-2)</f>
        <v>0</v>
      </c>
      <c r="K852" s="9">
        <f>ROUNDUP(J852+(J852*Assumptions!J$5),-2)</f>
        <v>0</v>
      </c>
      <c r="L852" s="9">
        <f>ROUNDUP(K852+(K852*Assumptions!K$5),-2)</f>
        <v>0</v>
      </c>
      <c r="M852" s="9">
        <f>ROUNDUP(L852+(L852*Assumptions!L$5),-2)</f>
        <v>0</v>
      </c>
      <c r="N852" s="9">
        <f>ROUNDUP(M852+(M852*Assumptions!M$5),-2)</f>
        <v>0</v>
      </c>
      <c r="O852" s="9">
        <f>ROUNDUP(N852+(N852*Assumptions!N$5),-2)</f>
        <v>0</v>
      </c>
      <c r="P852" s="9">
        <f>ROUNDUP(O852+(O852*Assumptions!O$5),-2)</f>
        <v>0</v>
      </c>
      <c r="Q852" s="89">
        <f>ROUNDUP(P852+(P852*Assumptions!P$5),-2)</f>
        <v>0</v>
      </c>
      <c r="R852" s="89">
        <f>ROUNDUP(Q852+(Q852*Assumptions!Q$5),-2)</f>
        <v>0</v>
      </c>
      <c r="S852" s="61">
        <f>ROUNDUP(R852+(R852*Assumptions!R$5),-2)</f>
        <v>0</v>
      </c>
    </row>
    <row r="853" spans="1:19" x14ac:dyDescent="0.2">
      <c r="A853" s="54">
        <v>3300</v>
      </c>
      <c r="B853" s="9">
        <v>900</v>
      </c>
      <c r="C853" s="136">
        <v>0</v>
      </c>
      <c r="D853" s="136">
        <v>2400</v>
      </c>
      <c r="E853" s="1442">
        <v>600</v>
      </c>
      <c r="F853" s="469" t="s">
        <v>449</v>
      </c>
      <c r="G853" s="634" t="s">
        <v>3255</v>
      </c>
      <c r="H853" s="9">
        <f>40000-36000</f>
        <v>4000</v>
      </c>
      <c r="I853" s="85">
        <f t="shared" si="1821"/>
        <v>566.66666666666674</v>
      </c>
      <c r="J853" s="9">
        <f>ROUNDUP(H853+(H853*Assumptions!I$5),-2)</f>
        <v>4100</v>
      </c>
      <c r="K853" s="9">
        <f>ROUNDUP(J853+(J853*Assumptions!J$5),-2)</f>
        <v>4300</v>
      </c>
      <c r="L853" s="9">
        <f>ROUNDUP(K853+(K853*Assumptions!K$5),-2)</f>
        <v>4500</v>
      </c>
      <c r="M853" s="9">
        <f>ROUNDUP(L853+(L853*Assumptions!L$5),-2)</f>
        <v>4700</v>
      </c>
      <c r="N853" s="9">
        <f>ROUNDUP(M853+(M853*Assumptions!M$5),-2)</f>
        <v>4900</v>
      </c>
      <c r="O853" s="9">
        <f>ROUNDUP(N853+(N853*Assumptions!N$5),-2)</f>
        <v>5100</v>
      </c>
      <c r="P853" s="9">
        <f>ROUNDUP(O853+(O853*Assumptions!O$5),-2)</f>
        <v>5300</v>
      </c>
      <c r="Q853" s="89">
        <f>ROUNDUP(P853+(P853*Assumptions!P$5),-2)</f>
        <v>5500</v>
      </c>
      <c r="R853" s="89">
        <f>ROUNDUP(Q853+(Q853*Assumptions!Q$5),-2)</f>
        <v>5700</v>
      </c>
      <c r="S853" s="61">
        <f>ROUNDUP(R853+(R853*Assumptions!R$5),-2)</f>
        <v>5900</v>
      </c>
    </row>
    <row r="854" spans="1:19" x14ac:dyDescent="0.2">
      <c r="A854" s="54">
        <v>76700</v>
      </c>
      <c r="B854" s="9">
        <v>71400</v>
      </c>
      <c r="C854" s="136">
        <v>76200</v>
      </c>
      <c r="D854" s="9">
        <v>72000</v>
      </c>
      <c r="E854" s="1442">
        <v>77800</v>
      </c>
      <c r="F854" s="469" t="s">
        <v>2284</v>
      </c>
      <c r="G854" s="634" t="s">
        <v>3492</v>
      </c>
      <c r="H854" s="9">
        <v>80000</v>
      </c>
      <c r="I854" s="85">
        <f t="shared" si="1821"/>
        <v>2.8277634961439588</v>
      </c>
      <c r="J854" s="9">
        <f>ROUNDUP(H854+(H854*Assumptions!I$5),-2)</f>
        <v>81900</v>
      </c>
      <c r="K854" s="9">
        <f>ROUNDUP(J854+(J854*Assumptions!J$5),-2)</f>
        <v>84000</v>
      </c>
      <c r="L854" s="9">
        <f>ROUNDUP(K854+(K854*Assumptions!K$5),-2)</f>
        <v>86100</v>
      </c>
      <c r="M854" s="9">
        <f>ROUNDUP(L854+(L854*Assumptions!L$5),-2)</f>
        <v>88300</v>
      </c>
      <c r="N854" s="9">
        <f>ROUNDUP(M854+(M854*Assumptions!M$5),-2)</f>
        <v>90600</v>
      </c>
      <c r="O854" s="9">
        <f>ROUNDUP(N854+(N854*Assumptions!N$5),-2)</f>
        <v>92900</v>
      </c>
      <c r="P854" s="9">
        <f>ROUNDUP(O854+(O854*Assumptions!O$5),-2)</f>
        <v>95300</v>
      </c>
      <c r="Q854" s="89">
        <f>ROUNDUP(P854+(P854*Assumptions!P$5),-2)</f>
        <v>97700</v>
      </c>
      <c r="R854" s="89">
        <f>ROUNDUP(Q854+(Q854*Assumptions!Q$5),-2)</f>
        <v>100200</v>
      </c>
      <c r="S854" s="61">
        <f>ROUNDUP(R854+(R854*Assumptions!R$5),-2)</f>
        <v>102800</v>
      </c>
    </row>
    <row r="855" spans="1:19" x14ac:dyDescent="0.2">
      <c r="A855" s="54">
        <v>9300</v>
      </c>
      <c r="B855" s="9">
        <v>3200</v>
      </c>
      <c r="C855" s="136">
        <v>800</v>
      </c>
      <c r="D855" s="136">
        <v>0</v>
      </c>
      <c r="E855" s="1442">
        <v>0</v>
      </c>
      <c r="F855" s="469" t="s">
        <v>1191</v>
      </c>
      <c r="G855" s="257" t="s">
        <v>1192</v>
      </c>
      <c r="H855" s="9">
        <v>0</v>
      </c>
      <c r="I855" s="85">
        <f t="shared" si="1821"/>
        <v>0</v>
      </c>
      <c r="J855" s="9">
        <f>ROUNDUP(H855+(H855*Assumptions!I$5),-2)</f>
        <v>0</v>
      </c>
      <c r="K855" s="9">
        <f>ROUNDUP(J855+(J855*Assumptions!J$5),-2)</f>
        <v>0</v>
      </c>
      <c r="L855" s="9">
        <f>ROUNDUP(K855+(K855*Assumptions!K$5),-2)</f>
        <v>0</v>
      </c>
      <c r="M855" s="9">
        <f>ROUNDUP(L855+(L855*Assumptions!L$5),-2)</f>
        <v>0</v>
      </c>
      <c r="N855" s="9">
        <f>ROUNDUP(M855+(M855*Assumptions!M$5),-2)</f>
        <v>0</v>
      </c>
      <c r="O855" s="9">
        <f>ROUNDUP(N855+(N855*Assumptions!N$5),-2)</f>
        <v>0</v>
      </c>
      <c r="P855" s="9">
        <f>ROUNDUP(O855+(O855*Assumptions!O$5),-2)</f>
        <v>0</v>
      </c>
      <c r="Q855" s="89">
        <f>ROUNDUP(P855+(P855*Assumptions!P$5),-2)</f>
        <v>0</v>
      </c>
      <c r="R855" s="89">
        <f>ROUNDUP(Q855+(Q855*Assumptions!Q$5),-2)</f>
        <v>0</v>
      </c>
      <c r="S855" s="61">
        <f>ROUNDUP(R855+(R855*Assumptions!R$5),-2)</f>
        <v>0</v>
      </c>
    </row>
    <row r="856" spans="1:19" x14ac:dyDescent="0.2">
      <c r="A856" s="54">
        <v>1300</v>
      </c>
      <c r="B856" s="9">
        <v>-6800</v>
      </c>
      <c r="C856" s="136">
        <v>-2900</v>
      </c>
      <c r="D856" s="136">
        <v>-3300</v>
      </c>
      <c r="E856" s="1442">
        <v>-2700</v>
      </c>
      <c r="F856" s="469" t="s">
        <v>2565</v>
      </c>
      <c r="G856" s="257" t="s">
        <v>2106</v>
      </c>
      <c r="H856" s="9">
        <v>500</v>
      </c>
      <c r="I856" s="85">
        <f>IF(E856=H856,0,IF(E856=0,100,(H856-E856)/E856*100))</f>
        <v>-118.5185185185185</v>
      </c>
      <c r="J856" s="9">
        <f>ROUNDUP(H856+(H856*Assumptions!I$5),-2)</f>
        <v>600</v>
      </c>
      <c r="K856" s="9">
        <f>ROUNDUP(J856+(J856*Assumptions!J$5),-2)</f>
        <v>700</v>
      </c>
      <c r="L856" s="9">
        <f>ROUNDUP(K856+(K856*Assumptions!K$5),-2)</f>
        <v>800</v>
      </c>
      <c r="M856" s="9">
        <f>ROUNDUP(L856+(L856*Assumptions!L$5),-2)</f>
        <v>900</v>
      </c>
      <c r="N856" s="9">
        <f>ROUNDUP(M856+(M856*Assumptions!M$5),-2)</f>
        <v>1000</v>
      </c>
      <c r="O856" s="9">
        <f>ROUNDUP(N856+(N856*Assumptions!N$5),-2)</f>
        <v>1100</v>
      </c>
      <c r="P856" s="9">
        <f>ROUNDUP(O856+(O856*Assumptions!O$5),-2)</f>
        <v>1200</v>
      </c>
      <c r="Q856" s="89">
        <f>ROUNDUP(P856+(P856*Assumptions!P$5),-2)</f>
        <v>1300</v>
      </c>
      <c r="R856" s="89">
        <f>ROUNDUP(Q856+(Q856*Assumptions!Q$5),-2)</f>
        <v>1400</v>
      </c>
      <c r="S856" s="61">
        <f>ROUNDUP(R856+(R856*Assumptions!R$5),-2)</f>
        <v>1500</v>
      </c>
    </row>
    <row r="857" spans="1:19" x14ac:dyDescent="0.2">
      <c r="A857" s="54">
        <v>54000</v>
      </c>
      <c r="B857" s="9">
        <v>45800</v>
      </c>
      <c r="C857" s="136">
        <v>50700</v>
      </c>
      <c r="D857" s="136">
        <v>35000</v>
      </c>
      <c r="E857" s="1442">
        <v>33300</v>
      </c>
      <c r="F857" s="469" t="s">
        <v>1706</v>
      </c>
      <c r="G857" s="257" t="s">
        <v>709</v>
      </c>
      <c r="H857" s="9">
        <v>40000</v>
      </c>
      <c r="I857" s="85">
        <f>IF(E857=H857,0,IF(E857=0,100,(H857-E857)/E857*100))</f>
        <v>20.12012012012012</v>
      </c>
      <c r="J857" s="9">
        <f>ROUNDUP(H857+(H857*Assumptions!I$5),-2)</f>
        <v>41000</v>
      </c>
      <c r="K857" s="9">
        <f>ROUNDUP(J857+(J857*Assumptions!J$5),-2)</f>
        <v>42100</v>
      </c>
      <c r="L857" s="9">
        <f>ROUNDUP(K857+(K857*Assumptions!K$5),-2)</f>
        <v>43200</v>
      </c>
      <c r="M857" s="9">
        <f>ROUNDUP(L857+(L857*Assumptions!L$5),-2)</f>
        <v>44300</v>
      </c>
      <c r="N857" s="9">
        <f>ROUNDUP(M857+(M857*Assumptions!M$5),-2)</f>
        <v>45500</v>
      </c>
      <c r="O857" s="9">
        <f>ROUNDUP(N857+(N857*Assumptions!N$5),-2)</f>
        <v>46700</v>
      </c>
      <c r="P857" s="9">
        <f>ROUNDUP(O857+(O857*Assumptions!O$5),-2)</f>
        <v>47900</v>
      </c>
      <c r="Q857" s="89">
        <f>ROUNDUP(P857+(P857*Assumptions!P$5),-2)</f>
        <v>49100</v>
      </c>
      <c r="R857" s="89">
        <f>ROUNDUP(Q857+(Q857*Assumptions!Q$5),-2)</f>
        <v>50400</v>
      </c>
      <c r="S857" s="61">
        <f>ROUNDUP(R857+(R857*Assumptions!R$5),-2)</f>
        <v>51700</v>
      </c>
    </row>
    <row r="858" spans="1:19" x14ac:dyDescent="0.2">
      <c r="A858" s="54"/>
      <c r="B858" s="9"/>
      <c r="E858" s="1442"/>
      <c r="F858" s="469"/>
      <c r="G858" s="260" t="s">
        <v>891</v>
      </c>
      <c r="H858" s="9"/>
      <c r="I858" s="85"/>
      <c r="J858" s="9"/>
      <c r="K858" s="9"/>
      <c r="L858" s="9"/>
      <c r="M858" s="9"/>
      <c r="N858" s="9"/>
      <c r="O858" s="9"/>
      <c r="P858" s="9"/>
      <c r="Q858" s="89"/>
      <c r="R858" s="89"/>
      <c r="S858" s="61"/>
    </row>
    <row r="859" spans="1:19" x14ac:dyDescent="0.2">
      <c r="A859" s="54">
        <v>1500</v>
      </c>
      <c r="B859" s="9">
        <v>2100</v>
      </c>
      <c r="C859" s="136">
        <v>1700</v>
      </c>
      <c r="D859" s="136">
        <v>2100</v>
      </c>
      <c r="E859" s="1442">
        <v>2100</v>
      </c>
      <c r="F859" s="769" t="s">
        <v>2884</v>
      </c>
      <c r="G859" s="634" t="s">
        <v>3151</v>
      </c>
      <c r="H859" s="9">
        <v>2000</v>
      </c>
      <c r="I859" s="85">
        <f>IF(E859=H859,0,IF(E859=0,100,(H859-E859)/E859*100))</f>
        <v>-4.7619047619047619</v>
      </c>
      <c r="J859" s="9">
        <f>ROUNDUP(H859+(H859*Assumptions!I$5),-2)</f>
        <v>2100</v>
      </c>
      <c r="K859" s="9">
        <f>ROUNDUP(J859+(J859*Assumptions!J$5),-2)</f>
        <v>2200</v>
      </c>
      <c r="L859" s="9">
        <f>ROUNDUP(K859+(K859*Assumptions!K$5),-2)</f>
        <v>2300</v>
      </c>
      <c r="M859" s="9">
        <f>ROUNDUP(L859+(L859*Assumptions!L$5),-2)</f>
        <v>2400</v>
      </c>
      <c r="N859" s="9">
        <f>ROUNDUP(M859+(M859*Assumptions!M$5),-2)</f>
        <v>2500</v>
      </c>
      <c r="O859" s="9">
        <f>ROUNDUP(N859+(N859*Assumptions!N$5),-2)</f>
        <v>2600</v>
      </c>
      <c r="P859" s="9">
        <f>ROUNDUP(O859+(O859*Assumptions!O$5),-2)</f>
        <v>2700</v>
      </c>
      <c r="Q859" s="89">
        <f>ROUNDUP(P859+(P859*Assumptions!P$5),-2)</f>
        <v>2800</v>
      </c>
      <c r="R859" s="89">
        <f>ROUNDUP(Q859+(Q859*Assumptions!Q$5),-2)</f>
        <v>2900</v>
      </c>
      <c r="S859" s="61">
        <f>ROUNDUP(R859+(R859*Assumptions!R$5),-2)</f>
        <v>3000</v>
      </c>
    </row>
    <row r="860" spans="1:19" x14ac:dyDescent="0.2">
      <c r="A860" s="54">
        <v>1900</v>
      </c>
      <c r="B860" s="9">
        <v>6800</v>
      </c>
      <c r="C860" s="136">
        <v>14200</v>
      </c>
      <c r="D860" s="136">
        <v>7000</v>
      </c>
      <c r="E860" s="1442">
        <v>6700</v>
      </c>
      <c r="F860" s="769" t="s">
        <v>3197</v>
      </c>
      <c r="G860" s="634" t="s">
        <v>3002</v>
      </c>
      <c r="H860" s="9">
        <v>6100</v>
      </c>
      <c r="I860" s="85">
        <f>IF(E860=H860,0,IF(E860=0,100,(H860-E860)/E860*100))</f>
        <v>-8.9552238805970141</v>
      </c>
      <c r="J860" s="9">
        <f>ROUNDUP(H860+(H860*Assumptions!I$5),-2)</f>
        <v>6300</v>
      </c>
      <c r="K860" s="9">
        <f>ROUNDUP(J860+(J860*Assumptions!J$5),-2)</f>
        <v>6500</v>
      </c>
      <c r="L860" s="9">
        <f>ROUNDUP(K860+(K860*Assumptions!K$5),-2)</f>
        <v>6700</v>
      </c>
      <c r="M860" s="9">
        <f>ROUNDUP(L860+(L860*Assumptions!L$5),-2)</f>
        <v>6900</v>
      </c>
      <c r="N860" s="9">
        <f>ROUNDUP(M860+(M860*Assumptions!M$5),-2)</f>
        <v>7100</v>
      </c>
      <c r="O860" s="9">
        <f>ROUNDUP(N860+(N860*Assumptions!N$5),-2)</f>
        <v>7300</v>
      </c>
      <c r="P860" s="9">
        <f>ROUNDUP(O860+(O860*Assumptions!O$5),-2)</f>
        <v>7500</v>
      </c>
      <c r="Q860" s="89">
        <f>ROUNDUP(P860+(P860*Assumptions!P$5),-2)</f>
        <v>7700</v>
      </c>
      <c r="R860" s="89">
        <f>ROUNDUP(Q860+(Q860*Assumptions!Q$5),-2)</f>
        <v>7900</v>
      </c>
      <c r="S860" s="61">
        <f>ROUNDUP(R860+(R860*Assumptions!R$5),-2)</f>
        <v>8100</v>
      </c>
    </row>
    <row r="861" spans="1:19" x14ac:dyDescent="0.2">
      <c r="A861" s="54">
        <v>-29600</v>
      </c>
      <c r="B861" s="9">
        <v>9000</v>
      </c>
      <c r="C861" s="136">
        <v>700</v>
      </c>
      <c r="D861" s="136">
        <v>19700</v>
      </c>
      <c r="E861" s="1442">
        <v>2500</v>
      </c>
      <c r="F861" s="469" t="s">
        <v>209</v>
      </c>
      <c r="G861" s="634" t="s">
        <v>2202</v>
      </c>
      <c r="H861" s="9">
        <v>0</v>
      </c>
      <c r="I861" s="85">
        <f>IF(E861=H861,0,IF(E861=0,100,(H861-E861)/E861*100))</f>
        <v>-100</v>
      </c>
      <c r="J861" s="9">
        <f>ROUNDUP(H861+(H861*Assumptions!I$5),-2)</f>
        <v>0</v>
      </c>
      <c r="K861" s="9">
        <f>ROUNDUP(J861+(J861*Assumptions!J$5),-2)</f>
        <v>0</v>
      </c>
      <c r="L861" s="9">
        <f>ROUNDUP(K861+(K861*Assumptions!K$5),-2)</f>
        <v>0</v>
      </c>
      <c r="M861" s="9">
        <f>ROUNDUP(L861+(L861*Assumptions!L$5),-2)</f>
        <v>0</v>
      </c>
      <c r="N861" s="9">
        <f>ROUNDUP(M861+(M861*Assumptions!M$5),-2)</f>
        <v>0</v>
      </c>
      <c r="O861" s="9">
        <f>ROUNDUP(N861+(N861*Assumptions!N$5),-2)</f>
        <v>0</v>
      </c>
      <c r="P861" s="9">
        <f>ROUNDUP(O861+(O861*Assumptions!O$5),-2)</f>
        <v>0</v>
      </c>
      <c r="Q861" s="89">
        <f>ROUNDUP(P861+(P861*Assumptions!P$5),-2)</f>
        <v>0</v>
      </c>
      <c r="R861" s="89">
        <f>ROUNDUP(Q861+(Q861*Assumptions!Q$5),-2)</f>
        <v>0</v>
      </c>
      <c r="S861" s="61">
        <f>ROUNDUP(R861+(R861*Assumptions!R$5),-2)</f>
        <v>0</v>
      </c>
    </row>
    <row r="862" spans="1:19" x14ac:dyDescent="0.2">
      <c r="A862" s="54"/>
      <c r="B862" s="9"/>
      <c r="E862" s="1442"/>
      <c r="F862" s="469"/>
      <c r="G862" s="63" t="s">
        <v>261</v>
      </c>
      <c r="H862" s="9"/>
      <c r="I862" s="85"/>
      <c r="J862" s="9"/>
      <c r="K862" s="9"/>
      <c r="L862" s="9"/>
      <c r="M862" s="9"/>
      <c r="N862" s="9"/>
      <c r="O862" s="9"/>
      <c r="P862" s="9"/>
      <c r="Q862" s="89"/>
      <c r="R862" s="89"/>
      <c r="S862" s="61"/>
    </row>
    <row r="863" spans="1:19" ht="12" customHeight="1" x14ac:dyDescent="0.2">
      <c r="A863" s="54">
        <v>455200</v>
      </c>
      <c r="B863" s="9">
        <f>648800</f>
        <v>648800</v>
      </c>
      <c r="C863" s="9">
        <v>688700</v>
      </c>
      <c r="D863" s="136">
        <v>711600</v>
      </c>
      <c r="E863" s="1442">
        <v>126300</v>
      </c>
      <c r="F863" s="239" t="s">
        <v>2340</v>
      </c>
      <c r="G863" s="634" t="s">
        <v>4134</v>
      </c>
      <c r="H863" s="9">
        <v>714000</v>
      </c>
      <c r="I863" s="85">
        <f>IF(E863=H863,0,IF(E863=0,100,(H863-E863)/E863*100))</f>
        <v>465.3206650831354</v>
      </c>
      <c r="J863" s="9">
        <f>ROUNDUP(H863+(H863*Assumptions!I$18),-2)</f>
        <v>728300</v>
      </c>
      <c r="K863" s="9">
        <f>ROUNDUP(J863+(J863*Assumptions!J$18),-2)</f>
        <v>742900</v>
      </c>
      <c r="L863" s="9">
        <f>ROUNDUP(K863+(K863*Assumptions!K$18),-2)</f>
        <v>757800</v>
      </c>
      <c r="M863" s="9">
        <f>ROUNDUP(L863+(L863*Assumptions!L$18),-2)</f>
        <v>773000</v>
      </c>
      <c r="N863" s="9">
        <f>ROUNDUP(M863+(M863*Assumptions!M$18),-2)</f>
        <v>788500</v>
      </c>
      <c r="O863" s="9">
        <f>ROUNDUP(N863+(N863*Assumptions!N$18),-2)</f>
        <v>804300</v>
      </c>
      <c r="P863" s="9">
        <f>ROUNDUP(O863+(O863*Assumptions!O$18),-2)</f>
        <v>820400</v>
      </c>
      <c r="Q863" s="89">
        <f>ROUNDUP(P863+(P863*Assumptions!P$18),-2)</f>
        <v>836900</v>
      </c>
      <c r="R863" s="89">
        <f>ROUNDUP(Q863+(Q863*Assumptions!Q$18),-2)</f>
        <v>853700</v>
      </c>
      <c r="S863" s="61">
        <f>ROUNDUP(R863+(R863*Assumptions!R$18),-2)</f>
        <v>870800</v>
      </c>
    </row>
    <row r="864" spans="1:19" ht="12" customHeight="1" x14ac:dyDescent="0.2">
      <c r="A864" s="54">
        <v>0</v>
      </c>
      <c r="B864" s="9">
        <v>140200</v>
      </c>
      <c r="C864" s="9">
        <v>252000</v>
      </c>
      <c r="D864" s="136">
        <v>0</v>
      </c>
      <c r="E864" s="1442">
        <v>763600</v>
      </c>
      <c r="F864" s="578" t="s">
        <v>7289</v>
      </c>
      <c r="G864" s="634" t="s">
        <v>4427</v>
      </c>
      <c r="H864" s="9">
        <v>0</v>
      </c>
      <c r="I864" s="85">
        <f>IF(E864=H864,0,IF(E864=0,100,(H864-E864)/E864*100))</f>
        <v>-100</v>
      </c>
      <c r="J864" s="9">
        <f>ROUNDUP(H864+(H864*Assumptions!I$18),-2)</f>
        <v>0</v>
      </c>
      <c r="K864" s="9">
        <f>ROUNDUP(J864+(J864*Assumptions!J$18),-2)</f>
        <v>0</v>
      </c>
      <c r="L864" s="9">
        <f>ROUNDUP(K864+(K864*Assumptions!K$18),-2)</f>
        <v>0</v>
      </c>
      <c r="M864" s="9">
        <f>ROUNDUP(L864+(L864*Assumptions!L$18),-2)</f>
        <v>0</v>
      </c>
      <c r="N864" s="9">
        <f>ROUNDUP(M864+(M864*Assumptions!M$18),-2)</f>
        <v>0</v>
      </c>
      <c r="O864" s="9">
        <f>ROUNDUP(N864+(N864*Assumptions!N$18),-2)</f>
        <v>0</v>
      </c>
      <c r="P864" s="9">
        <f>ROUNDUP(O864+(O864*Assumptions!O$18),-2)</f>
        <v>0</v>
      </c>
      <c r="Q864" s="89">
        <f>ROUNDUP(P864+(P864*Assumptions!P$18),-2)</f>
        <v>0</v>
      </c>
      <c r="R864" s="89">
        <f>ROUNDUP(Q864+(Q864*Assumptions!Q$18),-2)</f>
        <v>0</v>
      </c>
      <c r="S864" s="61">
        <f>ROUNDUP(R864+(R864*Assumptions!R$18),-2)</f>
        <v>0</v>
      </c>
    </row>
    <row r="865" spans="1:21" ht="12" customHeight="1" thickBot="1" x14ac:dyDescent="0.25">
      <c r="A865" s="54"/>
      <c r="B865" s="9"/>
      <c r="C865" s="9"/>
      <c r="D865" s="89"/>
      <c r="E865" s="29"/>
      <c r="F865" s="239"/>
      <c r="G865" s="257"/>
      <c r="H865" s="9"/>
      <c r="I865" s="85"/>
      <c r="J865" s="9"/>
      <c r="K865" s="9"/>
      <c r="L865" s="9"/>
      <c r="M865" s="9"/>
      <c r="N865" s="9"/>
      <c r="O865" s="9"/>
      <c r="P865" s="9"/>
      <c r="Q865" s="89"/>
      <c r="R865" s="89"/>
      <c r="S865" s="61"/>
    </row>
    <row r="866" spans="1:21" s="39" customFormat="1" x14ac:dyDescent="0.2">
      <c r="A866" s="52">
        <f>SUM(A826:A865)</f>
        <v>1305300</v>
      </c>
      <c r="B866" s="16">
        <f>SUM(B826:B865)</f>
        <v>1860400</v>
      </c>
      <c r="C866" s="102">
        <f>SUM(C826:C865)</f>
        <v>2002000</v>
      </c>
      <c r="D866" s="102">
        <f>SUM(D826:D865)</f>
        <v>1758100</v>
      </c>
      <c r="E866" s="323">
        <f>SUM(E826:E865)</f>
        <v>1914100</v>
      </c>
      <c r="F866" s="126"/>
      <c r="G866" s="267" t="s">
        <v>556</v>
      </c>
      <c r="H866" s="16">
        <f>SUM(H826:H865)</f>
        <v>1779400</v>
      </c>
      <c r="I866" s="127">
        <f>IF(E866=H866,0,IF(E866=0,100,(H866-E866)/E866*100))</f>
        <v>-7.0372498824512828</v>
      </c>
      <c r="J866" s="16">
        <f t="shared" ref="J866:S866" si="1822">SUM(J826:J865)</f>
        <v>1813100</v>
      </c>
      <c r="K866" s="16">
        <f t="shared" si="1822"/>
        <v>1855400</v>
      </c>
      <c r="L866" s="16">
        <f t="shared" si="1822"/>
        <v>1898400</v>
      </c>
      <c r="M866" s="16">
        <f t="shared" si="1822"/>
        <v>1942500</v>
      </c>
      <c r="N866" s="16">
        <f t="shared" si="1822"/>
        <v>1987300</v>
      </c>
      <c r="O866" s="16">
        <f t="shared" si="1822"/>
        <v>2033300</v>
      </c>
      <c r="P866" s="16">
        <f t="shared" si="1822"/>
        <v>2080100</v>
      </c>
      <c r="Q866" s="102">
        <f t="shared" si="1822"/>
        <v>2128100</v>
      </c>
      <c r="R866" s="102">
        <f t="shared" si="1822"/>
        <v>2165200</v>
      </c>
      <c r="S866" s="60">
        <f t="shared" si="1822"/>
        <v>2203300</v>
      </c>
      <c r="U866" s="34"/>
    </row>
    <row r="867" spans="1:21" x14ac:dyDescent="0.2">
      <c r="A867" s="54"/>
      <c r="B867" s="9"/>
      <c r="E867" s="1442"/>
      <c r="F867" s="167"/>
      <c r="G867" s="257"/>
      <c r="H867" s="9"/>
      <c r="I867" s="85"/>
      <c r="J867" s="9"/>
      <c r="K867" s="9"/>
      <c r="L867" s="9"/>
      <c r="M867" s="9"/>
      <c r="N867" s="9"/>
      <c r="O867" s="9"/>
      <c r="P867" s="9"/>
      <c r="Q867" s="89"/>
      <c r="R867" s="89"/>
      <c r="S867" s="61"/>
    </row>
    <row r="868" spans="1:21" s="39" customFormat="1" x14ac:dyDescent="0.2">
      <c r="A868" s="24">
        <f>A824-A866</f>
        <v>-1300700</v>
      </c>
      <c r="B868" s="21">
        <f>B824-B866</f>
        <v>-1680300</v>
      </c>
      <c r="C868" s="139">
        <f>C824-C866</f>
        <v>-1823700</v>
      </c>
      <c r="D868" s="139">
        <f>D824-D866</f>
        <v>-1758100</v>
      </c>
      <c r="E868" s="1444">
        <f>E824-E866</f>
        <v>-1914100</v>
      </c>
      <c r="F868" s="173"/>
      <c r="G868" s="361" t="s">
        <v>1002</v>
      </c>
      <c r="H868" s="21">
        <f>H824-H866</f>
        <v>-1779400</v>
      </c>
      <c r="I868" s="126">
        <f>IF(E868=H868,0,IF(E868=0,100,(H868-E868)/E868*100))</f>
        <v>-7.0372498824512828</v>
      </c>
      <c r="J868" s="21">
        <f t="shared" ref="J868:S868" si="1823">J824-J866</f>
        <v>-1813100</v>
      </c>
      <c r="K868" s="21">
        <f t="shared" si="1823"/>
        <v>-1855400</v>
      </c>
      <c r="L868" s="21">
        <f t="shared" si="1823"/>
        <v>-1898400</v>
      </c>
      <c r="M868" s="21">
        <f t="shared" si="1823"/>
        <v>-1942500</v>
      </c>
      <c r="N868" s="21">
        <f t="shared" si="1823"/>
        <v>-1987300</v>
      </c>
      <c r="O868" s="21">
        <f t="shared" si="1823"/>
        <v>-2033300</v>
      </c>
      <c r="P868" s="21">
        <f t="shared" si="1823"/>
        <v>-2080100</v>
      </c>
      <c r="Q868" s="75">
        <f t="shared" si="1823"/>
        <v>-2128100</v>
      </c>
      <c r="R868" s="75">
        <f t="shared" si="1823"/>
        <v>-2165200</v>
      </c>
      <c r="S868" s="62">
        <f t="shared" si="1823"/>
        <v>-2203300</v>
      </c>
      <c r="U868" s="34"/>
    </row>
    <row r="869" spans="1:21" x14ac:dyDescent="0.2">
      <c r="A869" s="54">
        <f>SUM(A862:A863)</f>
        <v>455200</v>
      </c>
      <c r="B869" s="89">
        <f>SUM(B862:B863)</f>
        <v>648800</v>
      </c>
      <c r="C869" s="136">
        <f>SUM(C862:C863)</f>
        <v>688700</v>
      </c>
      <c r="D869" s="136">
        <f>SUM(D862:D863)</f>
        <v>711600</v>
      </c>
      <c r="E869" s="1442">
        <f>SUM(E862:E863)</f>
        <v>126300</v>
      </c>
      <c r="F869" s="167"/>
      <c r="G869" s="261" t="s">
        <v>1943</v>
      </c>
      <c r="H869" s="9">
        <f t="shared" ref="H869:Q869" si="1824">SUM(H862:H863)</f>
        <v>714000</v>
      </c>
      <c r="I869" s="85">
        <f>IF(E869=H869,0,IF(E869=0,100,(H869-E869)/E869*100))</f>
        <v>465.3206650831354</v>
      </c>
      <c r="J869" s="9">
        <f t="shared" si="1824"/>
        <v>728300</v>
      </c>
      <c r="K869" s="9">
        <f t="shared" si="1824"/>
        <v>742900</v>
      </c>
      <c r="L869" s="9">
        <f t="shared" si="1824"/>
        <v>757800</v>
      </c>
      <c r="M869" s="9">
        <f t="shared" si="1824"/>
        <v>773000</v>
      </c>
      <c r="N869" s="9">
        <f t="shared" si="1824"/>
        <v>788500</v>
      </c>
      <c r="O869" s="9">
        <f t="shared" si="1824"/>
        <v>804300</v>
      </c>
      <c r="P869" s="9">
        <f t="shared" si="1824"/>
        <v>820400</v>
      </c>
      <c r="Q869" s="89">
        <f t="shared" si="1824"/>
        <v>836900</v>
      </c>
      <c r="R869" s="89">
        <f t="shared" ref="R869" si="1825">SUM(R862:R863)</f>
        <v>853700</v>
      </c>
      <c r="S869" s="61">
        <f t="shared" ref="S869" si="1826">SUM(S862:S863)</f>
        <v>870800</v>
      </c>
    </row>
    <row r="870" spans="1:21" x14ac:dyDescent="0.2">
      <c r="A870" s="415">
        <f t="shared" ref="A870:B870" si="1827">A864</f>
        <v>0</v>
      </c>
      <c r="B870" s="89">
        <f t="shared" si="1827"/>
        <v>140200</v>
      </c>
      <c r="C870" s="136">
        <f>C864</f>
        <v>252000</v>
      </c>
      <c r="D870" s="136">
        <f>D864</f>
        <v>0</v>
      </c>
      <c r="E870" s="1442">
        <f t="shared" ref="E870" si="1828">E864</f>
        <v>763600</v>
      </c>
      <c r="F870" s="167"/>
      <c r="G870" s="423" t="s">
        <v>4454</v>
      </c>
      <c r="H870" s="9">
        <f t="shared" ref="H870:O870" si="1829">H864</f>
        <v>0</v>
      </c>
      <c r="I870" s="85">
        <f>IF(E870=H870,0,IF(E870=0,100,(H870-E870)/E870*100))</f>
        <v>-100</v>
      </c>
      <c r="J870" s="9">
        <f t="shared" si="1829"/>
        <v>0</v>
      </c>
      <c r="K870" s="9">
        <f t="shared" si="1829"/>
        <v>0</v>
      </c>
      <c r="L870" s="9">
        <f t="shared" si="1829"/>
        <v>0</v>
      </c>
      <c r="M870" s="9">
        <f t="shared" si="1829"/>
        <v>0</v>
      </c>
      <c r="N870" s="9">
        <f t="shared" si="1829"/>
        <v>0</v>
      </c>
      <c r="O870" s="9">
        <f t="shared" si="1829"/>
        <v>0</v>
      </c>
      <c r="P870" s="9">
        <f t="shared" ref="P870:Q870" si="1830">P864</f>
        <v>0</v>
      </c>
      <c r="Q870" s="89">
        <f t="shared" si="1830"/>
        <v>0</v>
      </c>
      <c r="R870" s="89">
        <f t="shared" ref="R870" si="1831">R864</f>
        <v>0</v>
      </c>
      <c r="S870" s="61">
        <f t="shared" ref="S870" si="1832">S864</f>
        <v>0</v>
      </c>
    </row>
    <row r="871" spans="1:21" s="39" customFormat="1" x14ac:dyDescent="0.2">
      <c r="A871" s="128">
        <f t="shared" ref="A871:B871" si="1833">A868+A869+A870</f>
        <v>-845500</v>
      </c>
      <c r="B871" s="280">
        <f t="shared" si="1833"/>
        <v>-891300</v>
      </c>
      <c r="C871" s="280">
        <f>C868+C869+C870</f>
        <v>-883000</v>
      </c>
      <c r="D871" s="280">
        <f>D868+D869+D870</f>
        <v>-1046500</v>
      </c>
      <c r="E871" s="515">
        <f t="shared" ref="E871" si="1834">E868+E869+E870</f>
        <v>-1024200</v>
      </c>
      <c r="F871" s="372"/>
      <c r="G871" s="360" t="s">
        <v>1659</v>
      </c>
      <c r="H871" s="280">
        <f t="shared" ref="H871:O871" si="1835">H868+H869+H870</f>
        <v>-1065400</v>
      </c>
      <c r="I871" s="278">
        <f>IF(E871=H871,0,IF(E871=0,100,(H871-E871)/E871*100))</f>
        <v>4.0226518258152701</v>
      </c>
      <c r="J871" s="280">
        <f t="shared" si="1835"/>
        <v>-1084800</v>
      </c>
      <c r="K871" s="280">
        <f t="shared" si="1835"/>
        <v>-1112500</v>
      </c>
      <c r="L871" s="280">
        <f t="shared" si="1835"/>
        <v>-1140600</v>
      </c>
      <c r="M871" s="280">
        <f t="shared" si="1835"/>
        <v>-1169500</v>
      </c>
      <c r="N871" s="280">
        <f t="shared" si="1835"/>
        <v>-1198800</v>
      </c>
      <c r="O871" s="280">
        <f t="shared" si="1835"/>
        <v>-1229000</v>
      </c>
      <c r="P871" s="280">
        <f t="shared" ref="P871:Q871" si="1836">P868+P869+P870</f>
        <v>-1259700</v>
      </c>
      <c r="Q871" s="266">
        <f t="shared" si="1836"/>
        <v>-1291200</v>
      </c>
      <c r="R871" s="266">
        <f t="shared" ref="R871" si="1837">R868+R869+R870</f>
        <v>-1311500</v>
      </c>
      <c r="S871" s="282">
        <f t="shared" ref="S871" si="1838">S868+S869+S870</f>
        <v>-1332500</v>
      </c>
      <c r="U871" s="34"/>
    </row>
    <row r="872" spans="1:21" ht="13.5" thickBot="1" x14ac:dyDescent="0.25">
      <c r="A872" s="26"/>
      <c r="B872" s="37"/>
      <c r="C872" s="146"/>
      <c r="D872" s="146"/>
      <c r="E872" s="1520"/>
      <c r="F872" s="168"/>
      <c r="G872" s="259"/>
      <c r="H872" s="68"/>
      <c r="I872" s="275"/>
      <c r="J872" s="68"/>
      <c r="K872" s="68"/>
      <c r="L872" s="68"/>
      <c r="M872" s="68"/>
      <c r="N872" s="68"/>
      <c r="O872" s="68"/>
      <c r="P872" s="68"/>
      <c r="Q872" s="42"/>
      <c r="R872" s="42"/>
      <c r="S872" s="108"/>
    </row>
    <row r="873" spans="1:21" ht="13.5" thickTop="1" x14ac:dyDescent="0.2">
      <c r="A873" s="24"/>
      <c r="B873" s="75"/>
      <c r="C873" s="139"/>
      <c r="D873" s="139"/>
      <c r="E873" s="1444"/>
      <c r="F873" s="167"/>
      <c r="G873" s="361" t="s">
        <v>192</v>
      </c>
      <c r="H873" s="9"/>
      <c r="I873" s="126"/>
      <c r="J873" s="9"/>
      <c r="K873" s="9"/>
      <c r="L873" s="9"/>
      <c r="M873" s="9"/>
      <c r="N873" s="9"/>
      <c r="O873" s="9"/>
      <c r="P873" s="9"/>
      <c r="Q873" s="89"/>
      <c r="R873" s="89"/>
      <c r="S873" s="61"/>
    </row>
    <row r="874" spans="1:21" x14ac:dyDescent="0.2">
      <c r="A874" s="54">
        <v>0</v>
      </c>
      <c r="B874" s="89">
        <v>0</v>
      </c>
      <c r="C874" s="136">
        <v>0</v>
      </c>
      <c r="D874" s="136">
        <v>0</v>
      </c>
      <c r="E874" s="1442">
        <v>0</v>
      </c>
      <c r="F874" s="167"/>
      <c r="G874" s="257" t="s">
        <v>2848</v>
      </c>
      <c r="H874" s="9">
        <v>0</v>
      </c>
      <c r="I874" s="85">
        <f t="shared" ref="I874:I879" si="1839">IF(E874=H874,0,IF(E874=0,100,(H874-E874)/E874*100))</f>
        <v>0</v>
      </c>
      <c r="J874" s="9">
        <v>0</v>
      </c>
      <c r="K874" s="9">
        <v>0</v>
      </c>
      <c r="L874" s="9">
        <v>0</v>
      </c>
      <c r="M874" s="9">
        <v>0</v>
      </c>
      <c r="N874" s="9">
        <v>0</v>
      </c>
      <c r="O874" s="9">
        <v>0</v>
      </c>
      <c r="P874" s="9">
        <v>0</v>
      </c>
      <c r="Q874" s="89">
        <v>0</v>
      </c>
      <c r="R874" s="89">
        <v>0</v>
      </c>
      <c r="S874" s="61">
        <v>0</v>
      </c>
    </row>
    <row r="875" spans="1:21" x14ac:dyDescent="0.2">
      <c r="A875" s="54">
        <v>144300</v>
      </c>
      <c r="B875" s="89">
        <v>99000</v>
      </c>
      <c r="C875" s="136">
        <v>200500</v>
      </c>
      <c r="D875" s="136">
        <f>SUM('Res-Gen'!B159:B163)</f>
        <v>517200</v>
      </c>
      <c r="E875" s="1442">
        <v>306800</v>
      </c>
      <c r="F875" s="167"/>
      <c r="G875" s="257" t="s">
        <v>1909</v>
      </c>
      <c r="H875" s="9">
        <f>16500+'Res-Gen'!H162</f>
        <v>266500</v>
      </c>
      <c r="I875" s="85">
        <f t="shared" si="1839"/>
        <v>-13.135593220338984</v>
      </c>
      <c r="J875" s="9">
        <v>0</v>
      </c>
      <c r="K875" s="9">
        <v>0</v>
      </c>
      <c r="L875" s="9">
        <v>0</v>
      </c>
      <c r="M875" s="9">
        <v>0</v>
      </c>
      <c r="N875" s="9">
        <v>0</v>
      </c>
      <c r="O875" s="9">
        <v>0</v>
      </c>
      <c r="P875" s="9">
        <v>0</v>
      </c>
      <c r="Q875" s="89">
        <v>0</v>
      </c>
      <c r="R875" s="89">
        <v>0</v>
      </c>
      <c r="S875" s="61">
        <v>0</v>
      </c>
    </row>
    <row r="876" spans="1:21" x14ac:dyDescent="0.2">
      <c r="A876" s="54">
        <v>127100</v>
      </c>
      <c r="B876" s="89">
        <v>134300</v>
      </c>
      <c r="C876" s="136">
        <v>99900</v>
      </c>
      <c r="D876" s="136">
        <f>SUM('Res-Gen'!C160:C163)+7000</f>
        <v>197500</v>
      </c>
      <c r="E876" s="1442">
        <f>'Res-Gen'!F69+'Res-Gen'!F251+'Res-Gen'!F160+'Res-Gen'!F162</f>
        <v>1089200</v>
      </c>
      <c r="F876" s="167"/>
      <c r="G876" s="257" t="s">
        <v>2309</v>
      </c>
      <c r="H876" s="9">
        <f>'Res-Gen'!I69+'Res-Gen'!I251+'Res-Gen'!I160+'Res-Gen'!I162</f>
        <v>306800</v>
      </c>
      <c r="I876" s="85">
        <f t="shared" si="1839"/>
        <v>-71.832537642306278</v>
      </c>
      <c r="J876" s="9">
        <v>0</v>
      </c>
      <c r="K876" s="9">
        <v>0</v>
      </c>
      <c r="L876" s="9">
        <v>0</v>
      </c>
      <c r="M876" s="9">
        <v>0</v>
      </c>
      <c r="N876" s="9">
        <v>0</v>
      </c>
      <c r="O876" s="9">
        <v>0</v>
      </c>
      <c r="P876" s="9">
        <v>0</v>
      </c>
      <c r="Q876" s="89">
        <v>0</v>
      </c>
      <c r="R876" s="89">
        <v>0</v>
      </c>
      <c r="S876" s="61">
        <v>0</v>
      </c>
    </row>
    <row r="877" spans="1:21" x14ac:dyDescent="0.2">
      <c r="A877" s="54">
        <v>113500</v>
      </c>
      <c r="B877" s="136">
        <v>71000</v>
      </c>
      <c r="C877" s="136">
        <f>SUM('Cap Inc'!A24:'Cap Inc'!A25)</f>
        <v>103800</v>
      </c>
      <c r="D877" s="136">
        <f>SUM('Cap Inc'!B24:'Cap Inc'!B26)</f>
        <v>330000</v>
      </c>
      <c r="E877" s="1442">
        <v>557000</v>
      </c>
      <c r="F877" s="167"/>
      <c r="G877" s="257" t="s">
        <v>5847</v>
      </c>
      <c r="H877" s="9">
        <f>SUM('Cap Inc'!F24:'Cap Inc'!F26)</f>
        <v>107900</v>
      </c>
      <c r="I877" s="134">
        <f t="shared" si="1839"/>
        <v>-80.628366247755835</v>
      </c>
      <c r="J877" s="136">
        <f>SUM('Cap Inc'!G24:'Cap Inc'!G26)</f>
        <v>109900</v>
      </c>
      <c r="K877" s="136">
        <f>SUM('Cap Inc'!H24:'Cap Inc'!H26)</f>
        <v>112100</v>
      </c>
      <c r="L877" s="136">
        <f>SUM('Cap Inc'!I24:'Cap Inc'!I26)</f>
        <v>114400</v>
      </c>
      <c r="M877" s="136">
        <f>SUM('Cap Inc'!J24:'Cap Inc'!J26)</f>
        <v>116800</v>
      </c>
      <c r="N877" s="136">
        <f>SUM('Cap Inc'!K24:'Cap Inc'!K26)</f>
        <v>119200</v>
      </c>
      <c r="O877" s="136">
        <f>SUM('Cap Inc'!L24:'Cap Inc'!L25)</f>
        <v>121600</v>
      </c>
      <c r="P877" s="9">
        <f>SUM('Cap Inc'!M24:'Cap Inc'!M26)</f>
        <v>124200</v>
      </c>
      <c r="Q877" s="89">
        <f>SUM('Cap Inc'!N24:'Cap Inc'!N26)</f>
        <v>126800</v>
      </c>
      <c r="R877" s="89">
        <f>SUM('Cap Inc'!O24:'Cap Inc'!O26)</f>
        <v>129400</v>
      </c>
      <c r="S877" s="61">
        <f>SUM('Cap Inc'!P24:'Cap Inc'!P26)</f>
        <v>132200</v>
      </c>
    </row>
    <row r="878" spans="1:21" x14ac:dyDescent="0.2">
      <c r="A878" s="54">
        <v>226735</v>
      </c>
      <c r="B878" s="89">
        <v>287800</v>
      </c>
      <c r="C878" s="136">
        <v>238100</v>
      </c>
      <c r="D878" s="136">
        <f>SUM('Cap-Gen'!E81:E84)</f>
        <v>119100</v>
      </c>
      <c r="E878" s="1442">
        <f>SUM('Cap-Gen'!F81:F84)</f>
        <v>1410000</v>
      </c>
      <c r="F878" s="167"/>
      <c r="G878" s="257" t="s">
        <v>958</v>
      </c>
      <c r="H878" s="9">
        <f>SUM('Cap-Gen'!G81:G84)</f>
        <v>224800</v>
      </c>
      <c r="I878" s="85">
        <f t="shared" si="1839"/>
        <v>-84.056737588652481</v>
      </c>
      <c r="J878" s="9">
        <f>SUM('Cap-Gen'!H81:H84)</f>
        <v>175000</v>
      </c>
      <c r="K878" s="9">
        <f>SUM('Cap-Gen'!I81:I84)</f>
        <v>182000</v>
      </c>
      <c r="L878" s="9">
        <f>SUM('Cap-Gen'!J81:J84)</f>
        <v>187000</v>
      </c>
      <c r="M878" s="9">
        <f>SUM('Cap-Gen'!K81:K84)</f>
        <v>192000</v>
      </c>
      <c r="N878" s="9">
        <f>SUM('Cap-Gen'!L81:L84)</f>
        <v>197000</v>
      </c>
      <c r="O878" s="9">
        <f>SUM('Cap-Gen'!M81:M84)</f>
        <v>202000</v>
      </c>
      <c r="P878" s="9">
        <f>SUM('Cap-Gen'!N81:N84)</f>
        <v>207000</v>
      </c>
      <c r="Q878" s="89">
        <f>SUM('Cap-Gen'!O81:O84)</f>
        <v>212000</v>
      </c>
      <c r="R878" s="89">
        <f>SUM('Cap-Gen'!P81:P84)</f>
        <v>217000</v>
      </c>
      <c r="S878" s="61">
        <f>SUM('Cap-Gen'!Q81:Q84)</f>
        <v>222000</v>
      </c>
    </row>
    <row r="879" spans="1:21" s="39" customFormat="1" x14ac:dyDescent="0.2">
      <c r="A879" s="128">
        <f>A871-A874-A875+A876+A877-A878</f>
        <v>-975935</v>
      </c>
      <c r="B879" s="266">
        <f>B871-B874-B875+B876+B877-B878</f>
        <v>-1072800</v>
      </c>
      <c r="C879" s="281">
        <f>C871-C874-C875+C876+C877-C878</f>
        <v>-1117900</v>
      </c>
      <c r="D879" s="281">
        <f>D871-D874-D875+D876+D877-D878</f>
        <v>-1155300</v>
      </c>
      <c r="E879" s="1515">
        <f t="shared" ref="E879" si="1840">E871-E874-E875+E876+E877-E878</f>
        <v>-1094800</v>
      </c>
      <c r="F879" s="372"/>
      <c r="G879" s="363" t="s">
        <v>2447</v>
      </c>
      <c r="H879" s="280">
        <f t="shared" ref="H879:P879" si="1841">H871-H874-H875+H876+H877-H878</f>
        <v>-1142000</v>
      </c>
      <c r="I879" s="278">
        <f t="shared" si="1839"/>
        <v>4.3112897332846183</v>
      </c>
      <c r="J879" s="280">
        <f t="shared" si="1841"/>
        <v>-1149900</v>
      </c>
      <c r="K879" s="280">
        <f t="shared" si="1841"/>
        <v>-1182400</v>
      </c>
      <c r="L879" s="280">
        <f t="shared" si="1841"/>
        <v>-1213200</v>
      </c>
      <c r="M879" s="280">
        <f t="shared" si="1841"/>
        <v>-1244700</v>
      </c>
      <c r="N879" s="280">
        <f t="shared" si="1841"/>
        <v>-1276600</v>
      </c>
      <c r="O879" s="280">
        <f t="shared" si="1841"/>
        <v>-1309400</v>
      </c>
      <c r="P879" s="280">
        <f t="shared" si="1841"/>
        <v>-1342500</v>
      </c>
      <c r="Q879" s="266">
        <f t="shared" ref="Q879" si="1842">Q871-Q874-Q875+Q876+Q877-Q878</f>
        <v>-1376400</v>
      </c>
      <c r="R879" s="266">
        <f t="shared" ref="R879:S879" si="1843">R871-R874-R875+R876+R877-R878</f>
        <v>-1399100</v>
      </c>
      <c r="S879" s="282">
        <f t="shared" si="1843"/>
        <v>-1422300</v>
      </c>
      <c r="U879" s="34"/>
    </row>
    <row r="880" spans="1:21" ht="13.5" thickBot="1" x14ac:dyDescent="0.25">
      <c r="A880" s="26"/>
      <c r="B880" s="81"/>
      <c r="C880" s="141"/>
      <c r="D880" s="141"/>
      <c r="E880" s="1520"/>
      <c r="F880" s="166"/>
      <c r="G880" s="259"/>
      <c r="H880" s="23"/>
      <c r="I880" s="275"/>
      <c r="J880" s="23"/>
      <c r="K880" s="23"/>
      <c r="L880" s="23"/>
      <c r="M880" s="23"/>
      <c r="N880" s="23"/>
      <c r="O880" s="23"/>
      <c r="P880" s="23"/>
      <c r="Q880" s="113"/>
      <c r="R880" s="113"/>
      <c r="S880" s="112"/>
    </row>
    <row r="881" spans="1:21" s="46" customFormat="1" ht="14.25" thickTop="1" thickBot="1" x14ac:dyDescent="0.25">
      <c r="A881" s="27"/>
      <c r="B881" s="27"/>
      <c r="C881" s="27"/>
      <c r="D881" s="27"/>
      <c r="E881" s="27"/>
      <c r="F881" s="169"/>
      <c r="G881" s="169"/>
      <c r="I881" s="2234"/>
      <c r="U881" s="34"/>
    </row>
    <row r="882" spans="1:21" s="38" customFormat="1" ht="18.75" customHeight="1" thickTop="1" thickBot="1" x14ac:dyDescent="0.3">
      <c r="A882" s="2588" t="s">
        <v>3787</v>
      </c>
      <c r="B882" s="2589"/>
      <c r="C882" s="2589"/>
      <c r="D882" s="2589"/>
      <c r="E882" s="2589"/>
      <c r="F882" s="2589"/>
      <c r="G882" s="2589"/>
      <c r="H882" s="2589"/>
      <c r="I882" s="2589"/>
      <c r="J882" s="2589"/>
      <c r="K882" s="2589"/>
      <c r="L882" s="2589"/>
      <c r="M882" s="2589"/>
      <c r="N882" s="2589"/>
      <c r="O882" s="2589"/>
      <c r="P882" s="2589"/>
      <c r="Q882" s="2589"/>
      <c r="R882" s="2589"/>
      <c r="S882" s="2590"/>
      <c r="U882" s="34"/>
    </row>
    <row r="883" spans="1:21" s="39" customFormat="1" ht="13.5" thickBot="1" x14ac:dyDescent="0.25">
      <c r="A883" s="2591" t="s">
        <v>1824</v>
      </c>
      <c r="B883" s="2577"/>
      <c r="C883" s="2577"/>
      <c r="D883" s="2577"/>
      <c r="E883" s="2592"/>
      <c r="F883" s="127" t="s">
        <v>2616</v>
      </c>
      <c r="G883" s="127" t="s">
        <v>2213</v>
      </c>
      <c r="H883" s="2568" t="s">
        <v>2215</v>
      </c>
      <c r="I883" s="2568"/>
      <c r="J883" s="2568"/>
      <c r="K883" s="2568"/>
      <c r="L883" s="2568"/>
      <c r="M883" s="2568"/>
      <c r="N883" s="2568"/>
      <c r="O883" s="2568"/>
      <c r="P883" s="2568"/>
      <c r="Q883" s="2568"/>
      <c r="R883" s="2568"/>
      <c r="S883" s="2607"/>
      <c r="U883" s="34"/>
    </row>
    <row r="884" spans="1:21" ht="12.75" customHeight="1" thickBot="1" x14ac:dyDescent="0.25">
      <c r="A884" s="541" t="str">
        <f t="shared" ref="A884:F884" si="1844">A818</f>
        <v>2012/13</v>
      </c>
      <c r="B884" s="28" t="str">
        <f t="shared" si="1844"/>
        <v>2013/14</v>
      </c>
      <c r="C884" s="40" t="str">
        <f t="shared" si="1844"/>
        <v>2014/15</v>
      </c>
      <c r="D884" s="40" t="str">
        <f t="shared" si="1844"/>
        <v>2015/16</v>
      </c>
      <c r="E884" s="1445" t="str">
        <f t="shared" si="1844"/>
        <v>2016/17</v>
      </c>
      <c r="F884" s="40" t="str">
        <f t="shared" si="1844"/>
        <v>ACCOUNT</v>
      </c>
      <c r="G884" s="41"/>
      <c r="H884" s="40" t="str">
        <f t="shared" ref="H884:S884" si="1845">H818</f>
        <v>2017/18</v>
      </c>
      <c r="I884" s="1258" t="str">
        <f t="shared" si="1845"/>
        <v>%</v>
      </c>
      <c r="J884" s="40" t="str">
        <f t="shared" si="1845"/>
        <v>2018/19</v>
      </c>
      <c r="K884" s="40" t="str">
        <f t="shared" si="1845"/>
        <v>2019/20</v>
      </c>
      <c r="L884" s="40" t="str">
        <f t="shared" si="1845"/>
        <v>2020/21</v>
      </c>
      <c r="M884" s="40" t="str">
        <f t="shared" si="1845"/>
        <v>2021/22</v>
      </c>
      <c r="N884" s="40" t="str">
        <f t="shared" si="1845"/>
        <v>2022/23</v>
      </c>
      <c r="O884" s="40" t="str">
        <f t="shared" si="1845"/>
        <v>2023/24</v>
      </c>
      <c r="P884" s="40" t="str">
        <f t="shared" si="1845"/>
        <v>2024/25</v>
      </c>
      <c r="Q884" s="28" t="str">
        <f t="shared" si="1845"/>
        <v>2025/26</v>
      </c>
      <c r="R884" s="28" t="str">
        <f t="shared" si="1845"/>
        <v>2026/27</v>
      </c>
      <c r="S884" s="1620" t="str">
        <f t="shared" si="1845"/>
        <v>2027/28</v>
      </c>
    </row>
    <row r="885" spans="1:21" x14ac:dyDescent="0.2">
      <c r="A885" s="54"/>
      <c r="B885" s="9"/>
      <c r="C885" s="134"/>
      <c r="D885" s="9"/>
      <c r="E885" s="46"/>
      <c r="F885" s="849"/>
      <c r="G885" s="1201"/>
      <c r="H885" s="9"/>
      <c r="I885" s="85"/>
      <c r="J885" s="9"/>
      <c r="K885" s="9"/>
      <c r="L885" s="9"/>
      <c r="M885" s="9"/>
      <c r="N885" s="9"/>
      <c r="O885" s="9"/>
      <c r="P885" s="9"/>
      <c r="Q885" s="9"/>
      <c r="R885" s="9"/>
      <c r="S885" s="61"/>
    </row>
    <row r="886" spans="1:21" x14ac:dyDescent="0.2">
      <c r="A886" s="54"/>
      <c r="B886" s="9"/>
      <c r="C886" s="134"/>
      <c r="D886" s="134"/>
      <c r="E886" s="144"/>
      <c r="F886" s="163"/>
      <c r="G886" s="256" t="s">
        <v>2169</v>
      </c>
      <c r="H886" s="9"/>
      <c r="I886" s="85"/>
      <c r="J886" s="9"/>
      <c r="K886" s="9"/>
      <c r="L886" s="9"/>
      <c r="M886" s="9"/>
      <c r="N886" s="9"/>
      <c r="O886" s="9"/>
      <c r="P886" s="9"/>
      <c r="Q886" s="9"/>
      <c r="R886" s="9"/>
      <c r="S886" s="61"/>
    </row>
    <row r="887" spans="1:21" x14ac:dyDescent="0.2">
      <c r="A887" s="54"/>
      <c r="B887" s="9"/>
      <c r="E887" s="144"/>
      <c r="F887" s="469"/>
      <c r="G887" s="780" t="s">
        <v>3655</v>
      </c>
      <c r="H887" s="134"/>
      <c r="I887" s="85"/>
      <c r="J887" s="134"/>
      <c r="K887" s="134"/>
      <c r="L887" s="134"/>
      <c r="M887" s="134"/>
      <c r="N887" s="134"/>
      <c r="O887" s="134"/>
      <c r="P887" s="134"/>
      <c r="Q887" s="134"/>
      <c r="R887" s="134"/>
      <c r="S887" s="135"/>
    </row>
    <row r="888" spans="1:21" x14ac:dyDescent="0.2">
      <c r="A888" s="54">
        <v>108800</v>
      </c>
      <c r="B888" s="9">
        <v>34100</v>
      </c>
      <c r="C888" s="136">
        <v>0</v>
      </c>
      <c r="D888" s="134">
        <v>0</v>
      </c>
      <c r="E888" s="134">
        <v>0</v>
      </c>
      <c r="F888" s="769" t="s">
        <v>3351</v>
      </c>
      <c r="G888" s="662" t="s">
        <v>3410</v>
      </c>
      <c r="H888" s="9">
        <v>0</v>
      </c>
      <c r="I888" s="85">
        <f t="shared" ref="I888:I905" si="1846">IF(E888=H888,0,IF(E888=0,100,(H888-E888)/E888*100))</f>
        <v>0</v>
      </c>
      <c r="J888" s="9">
        <f>ROUNDUP(H888+(H888*Assumptions!I$5),-2)</f>
        <v>0</v>
      </c>
      <c r="K888" s="9">
        <f>ROUNDUP(J888+(J888*Assumptions!J$5),-2)</f>
        <v>0</v>
      </c>
      <c r="L888" s="9">
        <f>ROUNDUP(K888+(K888*Assumptions!K$5),-2)</f>
        <v>0</v>
      </c>
      <c r="M888" s="9">
        <f>ROUNDUP(L888+(L888*Assumptions!L$5),-2)</f>
        <v>0</v>
      </c>
      <c r="N888" s="9">
        <f>ROUNDUP(M888+(M888*Assumptions!M$5),-2)</f>
        <v>0</v>
      </c>
      <c r="O888" s="9">
        <f>ROUNDUP(N888+(N888*Assumptions!N$5),-2)</f>
        <v>0</v>
      </c>
      <c r="P888" s="9">
        <f>ROUNDUP(O888+(O888*Assumptions!O$5),-2)</f>
        <v>0</v>
      </c>
      <c r="Q888" s="9">
        <f>ROUNDUP(P888+(P888*Assumptions!P$5),-2)</f>
        <v>0</v>
      </c>
      <c r="R888" s="9">
        <f>ROUNDUP(Q888+(Q888*Assumptions!Q$5),-2)</f>
        <v>0</v>
      </c>
      <c r="S888" s="47">
        <f>ROUNDUP(R888+(R888*Assumptions!R$5),-2)</f>
        <v>0</v>
      </c>
    </row>
    <row r="889" spans="1:21" x14ac:dyDescent="0.2">
      <c r="A889" s="54">
        <v>2400</v>
      </c>
      <c r="B889" s="9">
        <v>3900</v>
      </c>
      <c r="C889" s="9">
        <v>8600</v>
      </c>
      <c r="D889" s="9">
        <v>9700</v>
      </c>
      <c r="E889" s="134">
        <v>7000</v>
      </c>
      <c r="F889" s="769" t="s">
        <v>3875</v>
      </c>
      <c r="G889" s="662" t="s">
        <v>3659</v>
      </c>
      <c r="H889" s="9">
        <f>5000+2000</f>
        <v>7000</v>
      </c>
      <c r="I889" s="85">
        <f t="shared" si="1846"/>
        <v>0</v>
      </c>
      <c r="J889" s="9">
        <f>ROUNDUP(H889+(H889*Assumptions!I$5),-2)</f>
        <v>7200</v>
      </c>
      <c r="K889" s="9">
        <f>ROUNDUP(J889+(J889*Assumptions!J$5),-2)</f>
        <v>7400</v>
      </c>
      <c r="L889" s="9">
        <f>ROUNDUP(K889+(K889*Assumptions!K$5),-2)</f>
        <v>7600</v>
      </c>
      <c r="M889" s="9">
        <f>ROUNDUP(L889+(L889*Assumptions!L$5),-2)</f>
        <v>7800</v>
      </c>
      <c r="N889" s="9">
        <f>ROUNDUP(M889+(M889*Assumptions!M$5),-2)</f>
        <v>8000</v>
      </c>
      <c r="O889" s="9">
        <f>ROUNDUP(N889+(N889*Assumptions!N$5),-2)</f>
        <v>8200</v>
      </c>
      <c r="P889" s="9">
        <f>ROUNDUP(O889+(O889*Assumptions!O$5),-2)</f>
        <v>8500</v>
      </c>
      <c r="Q889" s="9">
        <f>ROUNDUP(P889+(P889*Assumptions!P$5),-2)</f>
        <v>8800</v>
      </c>
      <c r="R889" s="9">
        <f>ROUNDUP(Q889+(Q889*Assumptions!Q$5),-2)</f>
        <v>9100</v>
      </c>
      <c r="S889" s="47">
        <f>ROUNDUP(R889+(R889*Assumptions!R$5),-2)</f>
        <v>9400</v>
      </c>
    </row>
    <row r="890" spans="1:21" x14ac:dyDescent="0.2">
      <c r="A890" s="54">
        <v>33400</v>
      </c>
      <c r="B890" s="9">
        <v>21700</v>
      </c>
      <c r="C890" s="136">
        <v>17900</v>
      </c>
      <c r="D890" s="9">
        <v>21100</v>
      </c>
      <c r="E890" s="134">
        <v>12300</v>
      </c>
      <c r="F890" s="773" t="s">
        <v>3871</v>
      </c>
      <c r="G890" s="662" t="s">
        <v>3656</v>
      </c>
      <c r="H890" s="9">
        <f>21500-11000</f>
        <v>10500</v>
      </c>
      <c r="I890" s="85">
        <f t="shared" si="1846"/>
        <v>-14.634146341463413</v>
      </c>
      <c r="J890" s="9">
        <v>15000</v>
      </c>
      <c r="K890" s="9">
        <f>ROUNDUP(J890+(J890*Assumptions!J$5),-2)</f>
        <v>15400</v>
      </c>
      <c r="L890" s="9">
        <f>ROUNDUP(K890+(K890*Assumptions!K$5),-2)</f>
        <v>15800</v>
      </c>
      <c r="M890" s="9">
        <f>ROUNDUP(L890+(L890*Assumptions!L$5),-2)</f>
        <v>16200</v>
      </c>
      <c r="N890" s="9">
        <f>ROUNDUP(M890+(M890*Assumptions!M$5),-2)</f>
        <v>16700</v>
      </c>
      <c r="O890" s="9">
        <f>ROUNDUP(N890+(N890*Assumptions!N$5),-2)</f>
        <v>17200</v>
      </c>
      <c r="P890" s="9">
        <f>ROUNDUP(O890+(O890*Assumptions!O$5),-2)</f>
        <v>17700</v>
      </c>
      <c r="Q890" s="9">
        <f>ROUNDUP(P890+(P890*Assumptions!P$5),-2)</f>
        <v>18200</v>
      </c>
      <c r="R890" s="9">
        <f>ROUNDUP(Q890+(Q890*Assumptions!Q$5),-2)</f>
        <v>18700</v>
      </c>
      <c r="S890" s="47">
        <f>ROUNDUP(R890+(R890*Assumptions!R$5),-2)</f>
        <v>19200</v>
      </c>
    </row>
    <row r="891" spans="1:21" x14ac:dyDescent="0.2">
      <c r="A891" s="54">
        <v>0</v>
      </c>
      <c r="B891" s="9">
        <v>0</v>
      </c>
      <c r="C891" s="9">
        <v>0</v>
      </c>
      <c r="D891" s="9">
        <v>56400</v>
      </c>
      <c r="E891" s="134">
        <v>34200</v>
      </c>
      <c r="F891" s="769" t="s">
        <v>5198</v>
      </c>
      <c r="G891" s="662" t="s">
        <v>4773</v>
      </c>
      <c r="H891" s="9">
        <f>45000-15000</f>
        <v>30000</v>
      </c>
      <c r="I891" s="85">
        <f t="shared" si="1846"/>
        <v>-12.280701754385964</v>
      </c>
      <c r="J891" s="9">
        <v>35000</v>
      </c>
      <c r="K891" s="9">
        <f>ROUNDUP(J891+(J891*Assumptions!J$5),-2)</f>
        <v>35900</v>
      </c>
      <c r="L891" s="9">
        <f>ROUNDUP(K891+(K891*Assumptions!K$5),-2)</f>
        <v>36800</v>
      </c>
      <c r="M891" s="9">
        <f>ROUNDUP(L891+(L891*Assumptions!L$5),-2)</f>
        <v>37800</v>
      </c>
      <c r="N891" s="9">
        <f>ROUNDUP(M891+(M891*Assumptions!M$5),-2)</f>
        <v>38800</v>
      </c>
      <c r="O891" s="9">
        <f>ROUNDUP(N891+(N891*Assumptions!N$5),-2)</f>
        <v>39800</v>
      </c>
      <c r="P891" s="9">
        <f>ROUNDUP(O891+(O891*Assumptions!O$5),-2)</f>
        <v>40800</v>
      </c>
      <c r="Q891" s="9">
        <f>ROUNDUP(P891+(P891*Assumptions!P$5),-2)</f>
        <v>41900</v>
      </c>
      <c r="R891" s="9">
        <f>ROUNDUP(Q891+(Q891*Assumptions!Q$5),-2)</f>
        <v>43000</v>
      </c>
      <c r="S891" s="47">
        <f>ROUNDUP(R891+(R891*Assumptions!R$5),-2)</f>
        <v>44100</v>
      </c>
    </row>
    <row r="892" spans="1:21" x14ac:dyDescent="0.2">
      <c r="A892" s="54">
        <v>0</v>
      </c>
      <c r="B892" s="9">
        <v>0</v>
      </c>
      <c r="C892" s="9">
        <v>0</v>
      </c>
      <c r="D892" s="9">
        <v>30700</v>
      </c>
      <c r="E892" s="134">
        <v>38000</v>
      </c>
      <c r="F892" s="769" t="s">
        <v>5199</v>
      </c>
      <c r="G892" s="662" t="s">
        <v>4772</v>
      </c>
      <c r="H892" s="9">
        <f>45000-7000</f>
        <v>38000</v>
      </c>
      <c r="I892" s="85">
        <f t="shared" si="1846"/>
        <v>0</v>
      </c>
      <c r="J892" s="9">
        <v>35000</v>
      </c>
      <c r="K892" s="9">
        <f>ROUNDUP(J892+(J892*Assumptions!J$5),-2)</f>
        <v>35900</v>
      </c>
      <c r="L892" s="9">
        <f>ROUNDUP(K892+(K892*Assumptions!K$5),-2)</f>
        <v>36800</v>
      </c>
      <c r="M892" s="9">
        <f>ROUNDUP(L892+(L892*Assumptions!L$5),-2)</f>
        <v>37800</v>
      </c>
      <c r="N892" s="9">
        <f>ROUNDUP(M892+(M892*Assumptions!M$5),-2)</f>
        <v>38800</v>
      </c>
      <c r="O892" s="9">
        <f>ROUNDUP(N892+(N892*Assumptions!N$5),-2)</f>
        <v>39800</v>
      </c>
      <c r="P892" s="9">
        <f>ROUNDUP(O892+(O892*Assumptions!O$5),-2)</f>
        <v>40800</v>
      </c>
      <c r="Q892" s="9">
        <f>ROUNDUP(P892+(P892*Assumptions!P$5),-2)</f>
        <v>41900</v>
      </c>
      <c r="R892" s="9">
        <f>ROUNDUP(Q892+(Q892*Assumptions!Q$5),-2)</f>
        <v>43000</v>
      </c>
      <c r="S892" s="47">
        <f>ROUNDUP(R892+(R892*Assumptions!R$5),-2)</f>
        <v>44100</v>
      </c>
    </row>
    <row r="893" spans="1:21" x14ac:dyDescent="0.2">
      <c r="A893" s="54">
        <v>12500</v>
      </c>
      <c r="B893" s="9">
        <v>10100</v>
      </c>
      <c r="C893" s="9">
        <v>17700</v>
      </c>
      <c r="D893" s="9">
        <v>14500</v>
      </c>
      <c r="E893" s="134">
        <v>15000</v>
      </c>
      <c r="F893" s="578" t="s">
        <v>3872</v>
      </c>
      <c r="G893" s="662" t="s">
        <v>2850</v>
      </c>
      <c r="H893" s="9">
        <v>14000</v>
      </c>
      <c r="I893" s="85">
        <f t="shared" si="1846"/>
        <v>-6.666666666666667</v>
      </c>
      <c r="J893" s="9">
        <v>15000</v>
      </c>
      <c r="K893" s="9">
        <f>ROUNDUP(J893+(J893*Assumptions!J$5),-2)</f>
        <v>15400</v>
      </c>
      <c r="L893" s="9">
        <f>ROUNDUP(K893+(K893*Assumptions!K$5),-2)</f>
        <v>15800</v>
      </c>
      <c r="M893" s="9">
        <f>ROUNDUP(L893+(L893*Assumptions!L$5),-2)</f>
        <v>16200</v>
      </c>
      <c r="N893" s="9">
        <f>ROUNDUP(M893+(M893*Assumptions!M$5),-2)</f>
        <v>16700</v>
      </c>
      <c r="O893" s="9">
        <f>ROUNDUP(N893+(N893*Assumptions!N$5),-2)</f>
        <v>17200</v>
      </c>
      <c r="P893" s="9">
        <f>ROUNDUP(O893+(O893*Assumptions!O$5),-2)</f>
        <v>17700</v>
      </c>
      <c r="Q893" s="9">
        <f>ROUNDUP(P893+(P893*Assumptions!P$5),-2)</f>
        <v>18200</v>
      </c>
      <c r="R893" s="9">
        <f>ROUNDUP(Q893+(Q893*Assumptions!Q$5),-2)</f>
        <v>18700</v>
      </c>
      <c r="S893" s="47">
        <f>ROUNDUP(R893+(R893*Assumptions!R$5),-2)</f>
        <v>19200</v>
      </c>
    </row>
    <row r="894" spans="1:21" x14ac:dyDescent="0.2">
      <c r="A894" s="54">
        <v>7900</v>
      </c>
      <c r="B894" s="9">
        <v>10300</v>
      </c>
      <c r="C894" s="9">
        <v>3300</v>
      </c>
      <c r="D894" s="9">
        <v>13000</v>
      </c>
      <c r="E894" s="134">
        <v>12000</v>
      </c>
      <c r="F894" s="578" t="s">
        <v>3891</v>
      </c>
      <c r="G894" s="662" t="s">
        <v>3188</v>
      </c>
      <c r="H894" s="9">
        <v>10000</v>
      </c>
      <c r="I894" s="85">
        <f t="shared" si="1846"/>
        <v>-16.666666666666664</v>
      </c>
      <c r="J894" s="9">
        <v>12000</v>
      </c>
      <c r="K894" s="9">
        <f>ROUNDUP(J894+(J894*Assumptions!J$5),-2)</f>
        <v>12300</v>
      </c>
      <c r="L894" s="9">
        <f>ROUNDUP(K894+(K894*Assumptions!K$5),-2)</f>
        <v>12700</v>
      </c>
      <c r="M894" s="9">
        <f>ROUNDUP(L894+(L894*Assumptions!L$5),-2)</f>
        <v>13100</v>
      </c>
      <c r="N894" s="9">
        <f>ROUNDUP(M894+(M894*Assumptions!M$5),-2)</f>
        <v>13500</v>
      </c>
      <c r="O894" s="9">
        <f>ROUNDUP(N894+(N894*Assumptions!N$5),-2)</f>
        <v>13900</v>
      </c>
      <c r="P894" s="9">
        <f>ROUNDUP(O894+(O894*Assumptions!O$5),-2)</f>
        <v>14300</v>
      </c>
      <c r="Q894" s="9">
        <f>ROUNDUP(P894+(P894*Assumptions!P$5),-2)</f>
        <v>14700</v>
      </c>
      <c r="R894" s="9">
        <f>ROUNDUP(Q894+(Q894*Assumptions!Q$5),-2)</f>
        <v>15100</v>
      </c>
      <c r="S894" s="47">
        <f>ROUNDUP(R894+(R894*Assumptions!R$5),-2)</f>
        <v>15500</v>
      </c>
    </row>
    <row r="895" spans="1:21" x14ac:dyDescent="0.2">
      <c r="A895" s="54">
        <v>19200</v>
      </c>
      <c r="B895" s="9">
        <v>30000</v>
      </c>
      <c r="C895" s="136">
        <v>48500</v>
      </c>
      <c r="D895" s="9">
        <v>49000</v>
      </c>
      <c r="E895" s="134">
        <v>33800</v>
      </c>
      <c r="F895" s="773" t="s">
        <v>3893</v>
      </c>
      <c r="G895" s="662" t="s">
        <v>4481</v>
      </c>
      <c r="H895" s="9">
        <v>38000</v>
      </c>
      <c r="I895" s="85">
        <f t="shared" si="1846"/>
        <v>12.42603550295858</v>
      </c>
      <c r="J895" s="9">
        <v>40000</v>
      </c>
      <c r="K895" s="9">
        <f>ROUNDUP(J895+(J895*Assumptions!J$5),-2)</f>
        <v>41000</v>
      </c>
      <c r="L895" s="9">
        <f>ROUNDUP(K895+(K895*Assumptions!K$5),-2)</f>
        <v>42100</v>
      </c>
      <c r="M895" s="9">
        <f>ROUNDUP(L895+(L895*Assumptions!L$5),-2)</f>
        <v>43200</v>
      </c>
      <c r="N895" s="9">
        <f>ROUNDUP(M895+(M895*Assumptions!M$5),-2)</f>
        <v>44300</v>
      </c>
      <c r="O895" s="9">
        <f>ROUNDUP(N895+(N895*Assumptions!N$5),-2)</f>
        <v>45500</v>
      </c>
      <c r="P895" s="9">
        <f>ROUNDUP(O895+(O895*Assumptions!O$5),-2)</f>
        <v>46700</v>
      </c>
      <c r="Q895" s="9">
        <f>ROUNDUP(P895+(P895*Assumptions!P$5),-2)</f>
        <v>47900</v>
      </c>
      <c r="R895" s="9">
        <f>ROUNDUP(Q895+(Q895*Assumptions!Q$5),-2)</f>
        <v>49100</v>
      </c>
      <c r="S895" s="47">
        <f>ROUNDUP(R895+(R895*Assumptions!R$5),-2)</f>
        <v>50400</v>
      </c>
    </row>
    <row r="896" spans="1:21" x14ac:dyDescent="0.2">
      <c r="A896" s="54">
        <v>0</v>
      </c>
      <c r="B896" s="9">
        <v>0</v>
      </c>
      <c r="C896" s="136">
        <v>0</v>
      </c>
      <c r="D896" s="9">
        <v>0</v>
      </c>
      <c r="E896" s="134">
        <v>0</v>
      </c>
      <c r="F896" s="773"/>
      <c r="G896" s="662" t="s">
        <v>5900</v>
      </c>
      <c r="H896" s="9">
        <v>0</v>
      </c>
      <c r="I896" s="85">
        <f t="shared" ref="I896" si="1847">IF(E896=H896,0,IF(E896=0,100,(H896-E896)/E896*100))</f>
        <v>0</v>
      </c>
      <c r="J896" s="9">
        <v>20000</v>
      </c>
      <c r="K896" s="9">
        <v>40000</v>
      </c>
      <c r="L896" s="9">
        <f>ROUNDUP(K896+(K896*Assumptions!K$5),-2)</f>
        <v>41000</v>
      </c>
      <c r="M896" s="9">
        <f>ROUNDUP(L896+(L896*Assumptions!L$5),-2)</f>
        <v>42100</v>
      </c>
      <c r="N896" s="9">
        <f>ROUNDUP(M896+(M896*Assumptions!M$5),-2)</f>
        <v>43200</v>
      </c>
      <c r="O896" s="9">
        <f>ROUNDUP(N896+(N896*Assumptions!N$5),-2)</f>
        <v>44300</v>
      </c>
      <c r="P896" s="9">
        <f>ROUNDUP(O896+(O896*Assumptions!O$5),-2)</f>
        <v>45500</v>
      </c>
      <c r="Q896" s="9">
        <f>ROUNDUP(P896+(P896*Assumptions!P$5),-2)</f>
        <v>46700</v>
      </c>
      <c r="R896" s="9">
        <f>ROUNDUP(Q896+(Q896*Assumptions!Q$5),-2)</f>
        <v>47900</v>
      </c>
      <c r="S896" s="47">
        <f>ROUNDUP(R896+(R896*Assumptions!R$5),-2)</f>
        <v>49100</v>
      </c>
    </row>
    <row r="897" spans="1:19" x14ac:dyDescent="0.2">
      <c r="A897" s="54">
        <v>6300</v>
      </c>
      <c r="B897" s="9">
        <v>5200</v>
      </c>
      <c r="C897" s="136">
        <v>2600</v>
      </c>
      <c r="D897" s="9">
        <v>6300</v>
      </c>
      <c r="E897" s="134">
        <v>2500</v>
      </c>
      <c r="F897" s="773" t="s">
        <v>3894</v>
      </c>
      <c r="G897" s="662" t="s">
        <v>1155</v>
      </c>
      <c r="H897" s="9">
        <f>4500-2000</f>
        <v>2500</v>
      </c>
      <c r="I897" s="85">
        <f t="shared" si="1846"/>
        <v>0</v>
      </c>
      <c r="J897" s="9">
        <f>ROUNDUP(H897+(H897*Assumptions!I$5),-2)</f>
        <v>2600</v>
      </c>
      <c r="K897" s="9">
        <f>ROUNDUP(J897+(J897*Assumptions!J$5),-2)</f>
        <v>2700</v>
      </c>
      <c r="L897" s="9">
        <f>ROUNDUP(K897+(K897*Assumptions!K$5),-2)</f>
        <v>2800</v>
      </c>
      <c r="M897" s="9">
        <f>ROUNDUP(L897+(L897*Assumptions!L$5),-2)</f>
        <v>2900</v>
      </c>
      <c r="N897" s="9">
        <f>ROUNDUP(M897+(M897*Assumptions!M$5),-2)</f>
        <v>3000</v>
      </c>
      <c r="O897" s="9">
        <f>ROUNDUP(N897+(N897*Assumptions!N$5),-2)</f>
        <v>3100</v>
      </c>
      <c r="P897" s="9">
        <f>ROUNDUP(O897+(O897*Assumptions!O$5),-2)</f>
        <v>3200</v>
      </c>
      <c r="Q897" s="9">
        <f>ROUNDUP(P897+(P897*Assumptions!P$5),-2)</f>
        <v>3300</v>
      </c>
      <c r="R897" s="9">
        <f>ROUNDUP(Q897+(Q897*Assumptions!Q$5),-2)</f>
        <v>3400</v>
      </c>
      <c r="S897" s="47">
        <f>ROUNDUP(R897+(R897*Assumptions!R$5),-2)</f>
        <v>3500</v>
      </c>
    </row>
    <row r="898" spans="1:19" x14ac:dyDescent="0.2">
      <c r="A898" s="54">
        <v>26400</v>
      </c>
      <c r="B898" s="9">
        <v>13900</v>
      </c>
      <c r="C898" s="136">
        <v>22900</v>
      </c>
      <c r="D898" s="9">
        <v>5800</v>
      </c>
      <c r="E898" s="134">
        <v>10700</v>
      </c>
      <c r="F898" s="773" t="s">
        <v>3895</v>
      </c>
      <c r="G898" s="662" t="s">
        <v>2852</v>
      </c>
      <c r="H898" s="9">
        <f>10000-1000</f>
        <v>9000</v>
      </c>
      <c r="I898" s="85">
        <f t="shared" si="1846"/>
        <v>-15.887850467289718</v>
      </c>
      <c r="J898" s="9">
        <v>50000</v>
      </c>
      <c r="K898" s="9">
        <f>ROUNDUP(J898+(J898*Assumptions!J$5),-2)</f>
        <v>51300</v>
      </c>
      <c r="L898" s="9">
        <f>ROUNDUP(K898+(K898*Assumptions!K$5),-2)</f>
        <v>52600</v>
      </c>
      <c r="M898" s="9">
        <f>ROUNDUP(L898+(L898*Assumptions!L$5),-2)</f>
        <v>54000</v>
      </c>
      <c r="N898" s="9">
        <f>ROUNDUP(M898+(M898*Assumptions!M$5),-2)</f>
        <v>55400</v>
      </c>
      <c r="O898" s="9">
        <f>ROUNDUP(N898+(N898*Assumptions!N$5),-2)</f>
        <v>56800</v>
      </c>
      <c r="P898" s="9">
        <f>ROUNDUP(O898+(O898*Assumptions!O$5),-2)</f>
        <v>58300</v>
      </c>
      <c r="Q898" s="9">
        <f>ROUNDUP(P898+(P898*Assumptions!P$5),-2)</f>
        <v>59800</v>
      </c>
      <c r="R898" s="9">
        <f>ROUNDUP(Q898+(Q898*Assumptions!Q$5),-2)</f>
        <v>61300</v>
      </c>
      <c r="S898" s="47">
        <f>ROUNDUP(R898+(R898*Assumptions!R$5),-2)</f>
        <v>62900</v>
      </c>
    </row>
    <row r="899" spans="1:19" x14ac:dyDescent="0.2">
      <c r="A899" s="54">
        <v>0</v>
      </c>
      <c r="B899" s="9">
        <v>9300</v>
      </c>
      <c r="C899" s="9">
        <v>27600</v>
      </c>
      <c r="D899" s="9">
        <v>75700</v>
      </c>
      <c r="E899" s="134">
        <v>50800</v>
      </c>
      <c r="F899" s="773" t="s">
        <v>3896</v>
      </c>
      <c r="G899" s="662" t="s">
        <v>2261</v>
      </c>
      <c r="H899" s="9">
        <f>30000+14300</f>
        <v>44300</v>
      </c>
      <c r="I899" s="85">
        <f t="shared" si="1846"/>
        <v>-12.795275590551181</v>
      </c>
      <c r="J899" s="9">
        <v>45000</v>
      </c>
      <c r="K899" s="9">
        <f>ROUNDUP(J899+(J899*Assumptions!J$5),-2)</f>
        <v>46200</v>
      </c>
      <c r="L899" s="9">
        <f>ROUNDUP(K899+(K899*Assumptions!K$5),-2)</f>
        <v>47400</v>
      </c>
      <c r="M899" s="9">
        <f>ROUNDUP(L899+(L899*Assumptions!L$5),-2)</f>
        <v>48600</v>
      </c>
      <c r="N899" s="9">
        <f>ROUNDUP(M899+(M899*Assumptions!M$5),-2)</f>
        <v>49900</v>
      </c>
      <c r="O899" s="9">
        <f>ROUNDUP(N899+(N899*Assumptions!N$5),-2)</f>
        <v>51200</v>
      </c>
      <c r="P899" s="9">
        <f>ROUNDUP(O899+(O899*Assumptions!O$5),-2)</f>
        <v>52500</v>
      </c>
      <c r="Q899" s="9">
        <f>ROUNDUP(P899+(P899*Assumptions!P$5),-2)</f>
        <v>53900</v>
      </c>
      <c r="R899" s="9">
        <f>ROUNDUP(Q899+(Q899*Assumptions!Q$5),-2)</f>
        <v>55300</v>
      </c>
      <c r="S899" s="47">
        <f>ROUNDUP(R899+(R899*Assumptions!R$5),-2)</f>
        <v>56700</v>
      </c>
    </row>
    <row r="900" spans="1:19" x14ac:dyDescent="0.2">
      <c r="A900" s="54">
        <v>5400</v>
      </c>
      <c r="B900" s="9">
        <v>4500</v>
      </c>
      <c r="C900" s="136">
        <v>3000</v>
      </c>
      <c r="D900" s="9">
        <v>2800</v>
      </c>
      <c r="E900" s="134">
        <v>2000</v>
      </c>
      <c r="F900" s="773" t="s">
        <v>3897</v>
      </c>
      <c r="G900" s="662" t="s">
        <v>3657</v>
      </c>
      <c r="H900" s="9">
        <f>3000-1000</f>
        <v>2000</v>
      </c>
      <c r="I900" s="85">
        <f t="shared" si="1846"/>
        <v>0</v>
      </c>
      <c r="J900" s="9">
        <v>2000</v>
      </c>
      <c r="K900" s="9">
        <f>ROUNDUP(J900+(J900*Assumptions!J$5),-2)</f>
        <v>2100</v>
      </c>
      <c r="L900" s="9">
        <f>ROUNDUP(K900+(K900*Assumptions!K$5),-2)</f>
        <v>2200</v>
      </c>
      <c r="M900" s="9">
        <f>ROUNDUP(L900+(L900*Assumptions!L$5),-2)</f>
        <v>2300</v>
      </c>
      <c r="N900" s="9">
        <f>ROUNDUP(M900+(M900*Assumptions!M$5),-2)</f>
        <v>2400</v>
      </c>
      <c r="O900" s="9">
        <f>ROUNDUP(N900+(N900*Assumptions!N$5),-2)</f>
        <v>2500</v>
      </c>
      <c r="P900" s="9">
        <f>ROUNDUP(O900+(O900*Assumptions!O$5),-2)</f>
        <v>2600</v>
      </c>
      <c r="Q900" s="9">
        <f>ROUNDUP(P900+(P900*Assumptions!P$5),-2)</f>
        <v>2700</v>
      </c>
      <c r="R900" s="9">
        <f>ROUNDUP(Q900+(Q900*Assumptions!Q$5),-2)</f>
        <v>2800</v>
      </c>
      <c r="S900" s="47">
        <f>ROUNDUP(R900+(R900*Assumptions!R$5),-2)</f>
        <v>2900</v>
      </c>
    </row>
    <row r="901" spans="1:19" x14ac:dyDescent="0.2">
      <c r="A901" s="54">
        <v>16000</v>
      </c>
      <c r="B901" s="9">
        <v>11000</v>
      </c>
      <c r="C901" s="9">
        <v>14200</v>
      </c>
      <c r="D901" s="9">
        <v>16600</v>
      </c>
      <c r="E901" s="134">
        <v>22500</v>
      </c>
      <c r="F901" s="578" t="s">
        <v>3898</v>
      </c>
      <c r="G901" s="662" t="s">
        <v>3658</v>
      </c>
      <c r="H901" s="9">
        <f>15000+5100</f>
        <v>20100</v>
      </c>
      <c r="I901" s="85">
        <f t="shared" si="1846"/>
        <v>-10.666666666666668</v>
      </c>
      <c r="J901" s="9">
        <v>22000</v>
      </c>
      <c r="K901" s="9">
        <f>ROUNDUP(J901+(J901*Assumptions!J$5),-2)</f>
        <v>22600</v>
      </c>
      <c r="L901" s="9">
        <f>ROUNDUP(K901+(K901*Assumptions!K$5),-2)</f>
        <v>23200</v>
      </c>
      <c r="M901" s="9">
        <f>ROUNDUP(L901+(L901*Assumptions!L$5),-2)</f>
        <v>23800</v>
      </c>
      <c r="N901" s="9">
        <f>ROUNDUP(M901+(M901*Assumptions!M$5),-2)</f>
        <v>24400</v>
      </c>
      <c r="O901" s="9">
        <f>ROUNDUP(N901+(N901*Assumptions!N$5),-2)</f>
        <v>25100</v>
      </c>
      <c r="P901" s="9">
        <f>ROUNDUP(O901+(O901*Assumptions!O$5),-2)</f>
        <v>25800</v>
      </c>
      <c r="Q901" s="9">
        <f>ROUNDUP(P901+(P901*Assumptions!P$5),-2)</f>
        <v>26500</v>
      </c>
      <c r="R901" s="9">
        <f>ROUNDUP(Q901+(Q901*Assumptions!Q$5),-2)</f>
        <v>27200</v>
      </c>
      <c r="S901" s="47">
        <f>ROUNDUP(R901+(R901*Assumptions!R$5),-2)</f>
        <v>27900</v>
      </c>
    </row>
    <row r="902" spans="1:19" x14ac:dyDescent="0.2">
      <c r="A902" s="54">
        <v>14500</v>
      </c>
      <c r="B902" s="9">
        <v>15900</v>
      </c>
      <c r="C902" s="9">
        <v>16200</v>
      </c>
      <c r="D902" s="9">
        <v>16500</v>
      </c>
      <c r="E902" s="134">
        <v>21600</v>
      </c>
      <c r="F902" s="773" t="s">
        <v>3892</v>
      </c>
      <c r="G902" s="662" t="s">
        <v>3617</v>
      </c>
      <c r="H902" s="9">
        <f>18000+2000</f>
        <v>20000</v>
      </c>
      <c r="I902" s="85">
        <f t="shared" si="1846"/>
        <v>-7.4074074074074066</v>
      </c>
      <c r="J902" s="9">
        <v>20000</v>
      </c>
      <c r="K902" s="9">
        <f>ROUNDUP(J902+(J902*Assumptions!J$5),-2)</f>
        <v>20500</v>
      </c>
      <c r="L902" s="9">
        <f>ROUNDUP(K902+(K902*Assumptions!K$5),-2)</f>
        <v>21100</v>
      </c>
      <c r="M902" s="9">
        <f>ROUNDUP(L902+(L902*Assumptions!L$5),-2)</f>
        <v>21700</v>
      </c>
      <c r="N902" s="9">
        <f>ROUNDUP(M902+(M902*Assumptions!M$5),-2)</f>
        <v>22300</v>
      </c>
      <c r="O902" s="9">
        <f>ROUNDUP(N902+(N902*Assumptions!N$5),-2)</f>
        <v>22900</v>
      </c>
      <c r="P902" s="9">
        <f>ROUNDUP(O902+(O902*Assumptions!O$5),-2)</f>
        <v>23500</v>
      </c>
      <c r="Q902" s="9">
        <f>ROUNDUP(P902+(P902*Assumptions!P$5),-2)</f>
        <v>24100</v>
      </c>
      <c r="R902" s="9">
        <f>ROUNDUP(Q902+(Q902*Assumptions!Q$5),-2)</f>
        <v>24800</v>
      </c>
      <c r="S902" s="47">
        <f>ROUNDUP(R902+(R902*Assumptions!R$5),-2)</f>
        <v>25500</v>
      </c>
    </row>
    <row r="903" spans="1:19" x14ac:dyDescent="0.2">
      <c r="A903" s="54">
        <v>7400</v>
      </c>
      <c r="B903" s="9">
        <v>3700</v>
      </c>
      <c r="C903" s="136">
        <v>3100</v>
      </c>
      <c r="D903" s="134">
        <v>2900</v>
      </c>
      <c r="E903" s="134">
        <v>6000</v>
      </c>
      <c r="F903" s="769" t="s">
        <v>3873</v>
      </c>
      <c r="G903" s="662" t="s">
        <v>509</v>
      </c>
      <c r="H903" s="9">
        <f>5000-3000+2500</f>
        <v>4500</v>
      </c>
      <c r="I903" s="85">
        <f t="shared" si="1846"/>
        <v>-25</v>
      </c>
      <c r="J903" s="9">
        <v>5000</v>
      </c>
      <c r="K903" s="9">
        <f>ROUNDUP(J903+(J903*Assumptions!J$5),-2)</f>
        <v>5200</v>
      </c>
      <c r="L903" s="9">
        <f>ROUNDUP(K903+(K903*Assumptions!K$5),-2)</f>
        <v>5400</v>
      </c>
      <c r="M903" s="9">
        <f>ROUNDUP(L903+(L903*Assumptions!L$5),-2)</f>
        <v>5600</v>
      </c>
      <c r="N903" s="9">
        <f>ROUNDUP(M903+(M903*Assumptions!M$5),-2)</f>
        <v>5800</v>
      </c>
      <c r="O903" s="9">
        <f>ROUNDUP(N903+(N903*Assumptions!N$5),-2)</f>
        <v>6000</v>
      </c>
      <c r="P903" s="9">
        <f>ROUNDUP(O903+(O903*Assumptions!O$5),-2)</f>
        <v>6200</v>
      </c>
      <c r="Q903" s="9">
        <f>ROUNDUP(P903+(P903*Assumptions!P$5),-2)</f>
        <v>6400</v>
      </c>
      <c r="R903" s="9">
        <f>ROUNDUP(Q903+(Q903*Assumptions!Q$5),-2)</f>
        <v>6600</v>
      </c>
      <c r="S903" s="47">
        <f>ROUNDUP(R903+(R903*Assumptions!R$5),-2)</f>
        <v>6800</v>
      </c>
    </row>
    <row r="904" spans="1:19" x14ac:dyDescent="0.2">
      <c r="A904" s="54">
        <v>5500</v>
      </c>
      <c r="B904" s="9">
        <v>4200</v>
      </c>
      <c r="C904" s="136">
        <v>1200</v>
      </c>
      <c r="D904" s="134">
        <v>900</v>
      </c>
      <c r="E904" s="134">
        <v>500</v>
      </c>
      <c r="F904" s="769" t="s">
        <v>3874</v>
      </c>
      <c r="G904" s="662" t="s">
        <v>3670</v>
      </c>
      <c r="H904" s="9">
        <f>4000-3000</f>
        <v>1000</v>
      </c>
      <c r="I904" s="85">
        <f t="shared" si="1846"/>
        <v>100</v>
      </c>
      <c r="J904" s="9">
        <v>2000</v>
      </c>
      <c r="K904" s="9">
        <f>ROUNDUP(J904+(J904*Assumptions!J$5),-2)</f>
        <v>2100</v>
      </c>
      <c r="L904" s="9">
        <f>ROUNDUP(K904+(K904*Assumptions!K$5),-2)</f>
        <v>2200</v>
      </c>
      <c r="M904" s="9">
        <f>ROUNDUP(L904+(L904*Assumptions!L$5),-2)</f>
        <v>2300</v>
      </c>
      <c r="N904" s="9">
        <f>ROUNDUP(M904+(M904*Assumptions!M$5),-2)</f>
        <v>2400</v>
      </c>
      <c r="O904" s="9">
        <f>ROUNDUP(N904+(N904*Assumptions!N$5),-2)</f>
        <v>2500</v>
      </c>
      <c r="P904" s="9">
        <f>ROUNDUP(O904+(O904*Assumptions!O$5),-2)</f>
        <v>2600</v>
      </c>
      <c r="Q904" s="9">
        <f>ROUNDUP(P904+(P904*Assumptions!P$5),-2)</f>
        <v>2700</v>
      </c>
      <c r="R904" s="9">
        <f>ROUNDUP(Q904+(Q904*Assumptions!Q$5),-2)</f>
        <v>2800</v>
      </c>
      <c r="S904" s="47">
        <f>ROUNDUP(R904+(R904*Assumptions!R$5),-2)</f>
        <v>2900</v>
      </c>
    </row>
    <row r="905" spans="1:19" x14ac:dyDescent="0.2">
      <c r="A905" s="54">
        <v>0</v>
      </c>
      <c r="B905" s="9">
        <v>0</v>
      </c>
      <c r="C905" s="136">
        <v>0</v>
      </c>
      <c r="D905" s="134">
        <v>0</v>
      </c>
      <c r="E905" s="134">
        <v>1600</v>
      </c>
      <c r="F905" s="769" t="s">
        <v>5907</v>
      </c>
      <c r="G905" s="662" t="s">
        <v>5908</v>
      </c>
      <c r="H905" s="9">
        <f>2000-2000</f>
        <v>0</v>
      </c>
      <c r="I905" s="85">
        <f t="shared" si="1846"/>
        <v>-100</v>
      </c>
      <c r="J905" s="9">
        <v>10000</v>
      </c>
      <c r="K905" s="9">
        <f>ROUNDUP(J905+(J905*Assumptions!J$5),-2)</f>
        <v>10300</v>
      </c>
      <c r="L905" s="9">
        <f>ROUNDUP(K905+(K905*Assumptions!K$5),-2)</f>
        <v>10600</v>
      </c>
      <c r="M905" s="9">
        <f>ROUNDUP(L905+(L905*Assumptions!L$5),-2)</f>
        <v>10900</v>
      </c>
      <c r="N905" s="9">
        <f>ROUNDUP(M905+(M905*Assumptions!M$5),-2)</f>
        <v>11200</v>
      </c>
      <c r="O905" s="9">
        <f>ROUNDUP(N905+(N905*Assumptions!N$5),-2)</f>
        <v>11500</v>
      </c>
      <c r="P905" s="9">
        <f>ROUNDUP(O905+(O905*Assumptions!O$5),-2)</f>
        <v>11800</v>
      </c>
      <c r="Q905" s="9">
        <f>ROUNDUP(P905+(P905*Assumptions!P$5),-2)</f>
        <v>12100</v>
      </c>
      <c r="R905" s="9">
        <f>ROUNDUP(Q905+(Q905*Assumptions!Q$5),-2)</f>
        <v>12500</v>
      </c>
      <c r="S905" s="47">
        <f>ROUNDUP(R905+(R905*Assumptions!R$5),-2)</f>
        <v>12900</v>
      </c>
    </row>
    <row r="906" spans="1:19" x14ac:dyDescent="0.2">
      <c r="A906" s="54">
        <v>0</v>
      </c>
      <c r="B906" s="9">
        <v>0</v>
      </c>
      <c r="C906" s="9">
        <v>0</v>
      </c>
      <c r="D906" s="9">
        <v>1900</v>
      </c>
      <c r="E906" s="134">
        <v>5700</v>
      </c>
      <c r="F906" s="769" t="s">
        <v>5197</v>
      </c>
      <c r="G906" s="662" t="s">
        <v>4771</v>
      </c>
      <c r="H906" s="9">
        <f>6000-2000</f>
        <v>4000</v>
      </c>
      <c r="I906" s="85">
        <f>IF(E906=H906,0,IF(E906=0,100,(H906-E906)/E906*100))</f>
        <v>-29.82456140350877</v>
      </c>
      <c r="J906" s="9">
        <v>4000</v>
      </c>
      <c r="K906" s="9">
        <f>ROUNDUP(J906+(J906*Assumptions!J$5),-2)</f>
        <v>4100</v>
      </c>
      <c r="L906" s="9">
        <f>ROUNDUP(K906+(K906*Assumptions!K$5),-2)</f>
        <v>4300</v>
      </c>
      <c r="M906" s="9">
        <f>ROUNDUP(L906+(L906*Assumptions!L$5),-2)</f>
        <v>4500</v>
      </c>
      <c r="N906" s="9">
        <f>ROUNDUP(M906+(M906*Assumptions!M$5),-2)</f>
        <v>4700</v>
      </c>
      <c r="O906" s="9">
        <f>ROUNDUP(N906+(N906*Assumptions!N$5),-2)</f>
        <v>4900</v>
      </c>
      <c r="P906" s="9">
        <f>ROUNDUP(O906+(O906*Assumptions!O$5),-2)</f>
        <v>5100</v>
      </c>
      <c r="Q906" s="9">
        <f>ROUNDUP(P906+(P906*Assumptions!P$5),-2)</f>
        <v>5300</v>
      </c>
      <c r="R906" s="9">
        <f>ROUNDUP(Q906+(Q906*Assumptions!Q$5),-2)</f>
        <v>5500</v>
      </c>
      <c r="S906" s="47">
        <f>ROUNDUP(R906+(R906*Assumptions!R$5),-2)</f>
        <v>5700</v>
      </c>
    </row>
    <row r="907" spans="1:19" x14ac:dyDescent="0.2">
      <c r="A907" s="54"/>
      <c r="B907" s="9"/>
      <c r="D907" s="134"/>
      <c r="E907" s="134"/>
      <c r="F907" s="469"/>
      <c r="G907" s="912" t="s">
        <v>491</v>
      </c>
      <c r="H907" s="9"/>
      <c r="I907" s="85"/>
      <c r="J907" s="9"/>
      <c r="K907" s="9"/>
      <c r="L907" s="9"/>
      <c r="M907" s="9"/>
      <c r="N907" s="9"/>
      <c r="O907" s="9"/>
      <c r="P907" s="9"/>
      <c r="Q907" s="9"/>
      <c r="R907" s="9"/>
      <c r="S907" s="47"/>
    </row>
    <row r="908" spans="1:19" x14ac:dyDescent="0.2">
      <c r="A908" s="54">
        <v>8700</v>
      </c>
      <c r="B908" s="9">
        <v>10600</v>
      </c>
      <c r="C908" s="136">
        <v>8600</v>
      </c>
      <c r="D908" s="134">
        <f>9000-1000</f>
        <v>8000</v>
      </c>
      <c r="E908" s="134">
        <v>8700</v>
      </c>
      <c r="F908" s="469" t="s">
        <v>1268</v>
      </c>
      <c r="G908" s="662" t="s">
        <v>3756</v>
      </c>
      <c r="H908" s="9">
        <f>9000-1500-2200</f>
        <v>5300</v>
      </c>
      <c r="I908" s="85">
        <f>IF(E908=H908,0,IF(E908=0,100,(H908-E908)/E908*100))</f>
        <v>-39.080459770114942</v>
      </c>
      <c r="J908" s="9">
        <f>ROUNDUP(H908+(H908*Assumptions!I$5),-2)</f>
        <v>5500</v>
      </c>
      <c r="K908" s="9">
        <f>ROUNDUP(J908+(J908*Assumptions!J$5),-2)</f>
        <v>5700</v>
      </c>
      <c r="L908" s="9">
        <f>ROUNDUP(K908+(K908*Assumptions!K$5),-2)</f>
        <v>5900</v>
      </c>
      <c r="M908" s="9">
        <f>ROUNDUP(L908+(L908*Assumptions!L$5),-2)</f>
        <v>6100</v>
      </c>
      <c r="N908" s="9">
        <f>ROUNDUP(M908+(M908*Assumptions!M$5),-2)</f>
        <v>6300</v>
      </c>
      <c r="O908" s="9">
        <f>ROUNDUP(N908+(N908*Assumptions!N$5),-2)</f>
        <v>6500</v>
      </c>
      <c r="P908" s="9">
        <f>ROUNDUP(O908+(O908*Assumptions!O$5),-2)</f>
        <v>6700</v>
      </c>
      <c r="Q908" s="9">
        <f>ROUNDUP(P908+(P908*Assumptions!P$5),-2)</f>
        <v>6900</v>
      </c>
      <c r="R908" s="9">
        <f>ROUNDUP(Q908+(Q908*Assumptions!Q$5),-2)</f>
        <v>7100</v>
      </c>
      <c r="S908" s="47">
        <f>ROUNDUP(R908+(R908*Assumptions!R$5),-2)</f>
        <v>7300</v>
      </c>
    </row>
    <row r="909" spans="1:19" x14ac:dyDescent="0.2">
      <c r="A909" s="54">
        <v>55300</v>
      </c>
      <c r="B909" s="9">
        <v>74500</v>
      </c>
      <c r="C909" s="136">
        <v>78700</v>
      </c>
      <c r="D909" s="134">
        <v>75500</v>
      </c>
      <c r="E909" s="134">
        <v>99000</v>
      </c>
      <c r="F909" s="469" t="s">
        <v>1632</v>
      </c>
      <c r="G909" s="662" t="s">
        <v>3758</v>
      </c>
      <c r="H909" s="9">
        <v>100000</v>
      </c>
      <c r="I909" s="85">
        <f>IF(E909=H909,0,IF(E909=0,100,(H909-E909)/E909*100))</f>
        <v>1.0101010101010102</v>
      </c>
      <c r="J909" s="9">
        <f>ROUNDUP(H909+(H909*Assumptions!I$5),-2)</f>
        <v>102300</v>
      </c>
      <c r="K909" s="9">
        <f>ROUNDUP(J909+(J909*Assumptions!J$5),-2)</f>
        <v>104900</v>
      </c>
      <c r="L909" s="9">
        <f>ROUNDUP(K909+(K909*Assumptions!K$5),-2)</f>
        <v>107600</v>
      </c>
      <c r="M909" s="9">
        <f>ROUNDUP(L909+(L909*Assumptions!L$5),-2)</f>
        <v>110300</v>
      </c>
      <c r="N909" s="9">
        <f>ROUNDUP(M909+(M909*Assumptions!M$5),-2)</f>
        <v>113100</v>
      </c>
      <c r="O909" s="9">
        <f>ROUNDUP(N909+(N909*Assumptions!N$5),-2)</f>
        <v>116000</v>
      </c>
      <c r="P909" s="9">
        <f>ROUNDUP(O909+(O909*Assumptions!O$5),-2)</f>
        <v>118900</v>
      </c>
      <c r="Q909" s="9">
        <f>ROUNDUP(P909+(P909*Assumptions!P$5),-2)</f>
        <v>121900</v>
      </c>
      <c r="R909" s="9">
        <f>ROUNDUP(Q909+(Q909*Assumptions!Q$5),-2)</f>
        <v>125000</v>
      </c>
      <c r="S909" s="47">
        <f>ROUNDUP(R909+(R909*Assumptions!R$5),-2)</f>
        <v>128200</v>
      </c>
    </row>
    <row r="910" spans="1:19" x14ac:dyDescent="0.2">
      <c r="A910" s="54">
        <v>27100</v>
      </c>
      <c r="B910" s="9">
        <v>28400</v>
      </c>
      <c r="C910" s="136">
        <v>11000</v>
      </c>
      <c r="D910" s="134">
        <v>24700</v>
      </c>
      <c r="E910" s="134">
        <v>44500</v>
      </c>
      <c r="F910" s="469" t="s">
        <v>1424</v>
      </c>
      <c r="G910" s="662" t="s">
        <v>3668</v>
      </c>
      <c r="H910" s="9">
        <v>30000</v>
      </c>
      <c r="I910" s="85">
        <f>IF(E910=H910,0,IF(E910=0,100,(H910-E910)/E910*100))</f>
        <v>-32.584269662921351</v>
      </c>
      <c r="J910" s="9">
        <f>ROUNDUP(H910+(H910*Assumptions!I$5),-2)</f>
        <v>30700</v>
      </c>
      <c r="K910" s="9">
        <f>ROUNDUP(J910+(J910*Assumptions!J$5),-2)</f>
        <v>31500</v>
      </c>
      <c r="L910" s="9">
        <f>ROUNDUP(K910+(K910*Assumptions!K$5),-2)</f>
        <v>32300</v>
      </c>
      <c r="M910" s="9">
        <f>ROUNDUP(L910+(L910*Assumptions!L$5),-2)</f>
        <v>33200</v>
      </c>
      <c r="N910" s="9">
        <f>ROUNDUP(M910+(M910*Assumptions!M$5),-2)</f>
        <v>34100</v>
      </c>
      <c r="O910" s="9">
        <f>ROUNDUP(N910+(N910*Assumptions!N$5),-2)</f>
        <v>35000</v>
      </c>
      <c r="P910" s="9">
        <f>ROUNDUP(O910+(O910*Assumptions!O$5),-2)</f>
        <v>35900</v>
      </c>
      <c r="Q910" s="9">
        <f>ROUNDUP(P910+(P910*Assumptions!P$5),-2)</f>
        <v>36800</v>
      </c>
      <c r="R910" s="9">
        <f>ROUNDUP(Q910+(Q910*Assumptions!Q$5),-2)</f>
        <v>37800</v>
      </c>
      <c r="S910" s="47">
        <f>ROUNDUP(R910+(R910*Assumptions!R$5),-2)</f>
        <v>38800</v>
      </c>
    </row>
    <row r="911" spans="1:19" x14ac:dyDescent="0.2">
      <c r="A911" s="54">
        <v>7000</v>
      </c>
      <c r="B911" s="9">
        <v>6500</v>
      </c>
      <c r="C911" s="136">
        <v>7100</v>
      </c>
      <c r="D911" s="134">
        <v>7600</v>
      </c>
      <c r="E911" s="134">
        <v>9500</v>
      </c>
      <c r="F911" s="469" t="s">
        <v>1269</v>
      </c>
      <c r="G911" s="662" t="s">
        <v>3757</v>
      </c>
      <c r="H911" s="9">
        <v>8000</v>
      </c>
      <c r="I911" s="85">
        <f>IF(E911=H911,0,IF(E911=0,100,(H911-E911)/E911*100))</f>
        <v>-15.789473684210526</v>
      </c>
      <c r="J911" s="9">
        <f>ROUNDUP(H911+(H911*Assumptions!I$5),-2)</f>
        <v>8200</v>
      </c>
      <c r="K911" s="9">
        <f>ROUNDUP(J911+(J911*Assumptions!J$5),-2)</f>
        <v>8500</v>
      </c>
      <c r="L911" s="9">
        <f>ROUNDUP(K911+(K911*Assumptions!K$5),-2)</f>
        <v>8800</v>
      </c>
      <c r="M911" s="9">
        <f>ROUNDUP(L911+(L911*Assumptions!L$5),-2)</f>
        <v>9100</v>
      </c>
      <c r="N911" s="9">
        <f>ROUNDUP(M911+(M911*Assumptions!M$5),-2)</f>
        <v>9400</v>
      </c>
      <c r="O911" s="9">
        <f>ROUNDUP(N911+(N911*Assumptions!N$5),-2)</f>
        <v>9700</v>
      </c>
      <c r="P911" s="9">
        <f>ROUNDUP(O911+(O911*Assumptions!O$5),-2)</f>
        <v>10000</v>
      </c>
      <c r="Q911" s="9">
        <f>ROUNDUP(P911+(P911*Assumptions!P$5),-2)</f>
        <v>10300</v>
      </c>
      <c r="R911" s="9">
        <f>ROUNDUP(Q911+(Q911*Assumptions!Q$5),-2)</f>
        <v>10600</v>
      </c>
      <c r="S911" s="47">
        <f>ROUNDUP(R911+(R911*Assumptions!R$5),-2)</f>
        <v>10900</v>
      </c>
    </row>
    <row r="912" spans="1:19" x14ac:dyDescent="0.2">
      <c r="A912" s="54">
        <v>14400</v>
      </c>
      <c r="B912" s="9">
        <v>19300</v>
      </c>
      <c r="C912" s="136">
        <v>20900</v>
      </c>
      <c r="D912" s="134">
        <v>46500</v>
      </c>
      <c r="E912" s="134">
        <v>42500</v>
      </c>
      <c r="F912" s="469" t="s">
        <v>1627</v>
      </c>
      <c r="G912" s="662" t="s">
        <v>3667</v>
      </c>
      <c r="H912" s="9">
        <v>43000</v>
      </c>
      <c r="I912" s="85">
        <f>IF(E912=H912,0,IF(E912=0,100,(H912-E912)/E912*100))</f>
        <v>1.1764705882352942</v>
      </c>
      <c r="J912" s="9">
        <f>ROUNDUP(H912+(H912*Assumptions!I$5),-2)</f>
        <v>44000</v>
      </c>
      <c r="K912" s="9">
        <f>ROUNDUP(J912+(J912*Assumptions!J$5),-2)</f>
        <v>45100</v>
      </c>
      <c r="L912" s="9">
        <f>ROUNDUP(K912+(K912*Assumptions!K$5),-2)</f>
        <v>46300</v>
      </c>
      <c r="M912" s="9">
        <f>ROUNDUP(L912+(L912*Assumptions!L$5),-2)</f>
        <v>47500</v>
      </c>
      <c r="N912" s="9">
        <f>ROUNDUP(M912+(M912*Assumptions!M$5),-2)</f>
        <v>48700</v>
      </c>
      <c r="O912" s="9">
        <f>ROUNDUP(N912+(N912*Assumptions!N$5),-2)</f>
        <v>50000</v>
      </c>
      <c r="P912" s="9">
        <f>ROUNDUP(O912+(O912*Assumptions!O$5),-2)</f>
        <v>51300</v>
      </c>
      <c r="Q912" s="9">
        <f>ROUNDUP(P912+(P912*Assumptions!P$5),-2)</f>
        <v>52600</v>
      </c>
      <c r="R912" s="9">
        <f>ROUNDUP(Q912+(Q912*Assumptions!Q$5),-2)</f>
        <v>54000</v>
      </c>
      <c r="S912" s="47">
        <f>ROUNDUP(R912+(R912*Assumptions!R$5),-2)</f>
        <v>55400</v>
      </c>
    </row>
    <row r="913" spans="1:19" x14ac:dyDescent="0.2">
      <c r="A913" s="54"/>
      <c r="B913" s="9"/>
      <c r="E913" s="144"/>
      <c r="F913" s="469"/>
      <c r="G913" s="912" t="s">
        <v>3609</v>
      </c>
      <c r="H913" s="9"/>
      <c r="I913" s="85"/>
      <c r="J913" s="9"/>
      <c r="K913" s="9"/>
      <c r="L913" s="9"/>
      <c r="M913" s="9"/>
      <c r="N913" s="9"/>
      <c r="O913" s="9"/>
      <c r="P913" s="9"/>
      <c r="Q913" s="9"/>
      <c r="R913" s="9"/>
      <c r="S913" s="47"/>
    </row>
    <row r="914" spans="1:19" x14ac:dyDescent="0.2">
      <c r="A914" s="54">
        <v>37200</v>
      </c>
      <c r="B914" s="9">
        <v>41800</v>
      </c>
      <c r="C914" s="136">
        <v>39300</v>
      </c>
      <c r="D914" s="136">
        <v>38300</v>
      </c>
      <c r="E914" s="144">
        <v>36200</v>
      </c>
      <c r="F914" s="769" t="s">
        <v>2986</v>
      </c>
      <c r="G914" s="662" t="s">
        <v>3759</v>
      </c>
      <c r="H914" s="9">
        <f>37000-3000-10000</f>
        <v>24000</v>
      </c>
      <c r="I914" s="85">
        <f>IF(E914=H914,0,IF(E914=0,100,(H914-E914)/E914*100))</f>
        <v>-33.701657458563538</v>
      </c>
      <c r="J914" s="9">
        <f>ROUNDUP(H914+(H914*Assumptions!I$5),-2)</f>
        <v>24600</v>
      </c>
      <c r="K914" s="9">
        <f>ROUNDUP(J914+(J914*Assumptions!J$5),-2)</f>
        <v>25300</v>
      </c>
      <c r="L914" s="9">
        <f>ROUNDUP(K914+(K914*Assumptions!K$5),-2)</f>
        <v>26000</v>
      </c>
      <c r="M914" s="9">
        <f>ROUNDUP(L914+(L914*Assumptions!L$5),-2)</f>
        <v>26700</v>
      </c>
      <c r="N914" s="9">
        <f>ROUNDUP(M914+(M914*Assumptions!M$5),-2)</f>
        <v>27400</v>
      </c>
      <c r="O914" s="9">
        <f>ROUNDUP(N914+(N914*Assumptions!N$5),-2)</f>
        <v>28100</v>
      </c>
      <c r="P914" s="9">
        <f>ROUNDUP(O914+(O914*Assumptions!O$5),-2)</f>
        <v>28900</v>
      </c>
      <c r="Q914" s="9">
        <f>ROUNDUP(P914+(P914*Assumptions!P$5),-2)</f>
        <v>29700</v>
      </c>
      <c r="R914" s="9">
        <f>ROUNDUP(Q914+(Q914*Assumptions!Q$5),-2)</f>
        <v>30500</v>
      </c>
      <c r="S914" s="47">
        <f>ROUNDUP(R914+(R914*Assumptions!R$5),-2)</f>
        <v>31300</v>
      </c>
    </row>
    <row r="915" spans="1:19" x14ac:dyDescent="0.2">
      <c r="A915" s="54">
        <v>21400</v>
      </c>
      <c r="B915" s="9">
        <v>27200</v>
      </c>
      <c r="C915" s="136">
        <v>29000</v>
      </c>
      <c r="D915" s="136">
        <v>27500</v>
      </c>
      <c r="E915" s="144">
        <v>32600</v>
      </c>
      <c r="F915" s="469" t="s">
        <v>2113</v>
      </c>
      <c r="G915" s="662" t="s">
        <v>3760</v>
      </c>
      <c r="H915" s="9">
        <v>35000</v>
      </c>
      <c r="I915" s="85">
        <f>IF(E915=H915,0,IF(E915=0,100,(H915-E915)/E915*100))</f>
        <v>7.3619631901840492</v>
      </c>
      <c r="J915" s="9">
        <f>ROUNDUP(H915+(H915*Assumptions!I$5),-2)</f>
        <v>35900</v>
      </c>
      <c r="K915" s="9">
        <f>ROUNDUP(J915+(J915*Assumptions!J$5),-2)</f>
        <v>36800</v>
      </c>
      <c r="L915" s="9">
        <f>ROUNDUP(K915+(K915*Assumptions!K$5),-2)</f>
        <v>37800</v>
      </c>
      <c r="M915" s="9">
        <f>ROUNDUP(L915+(L915*Assumptions!L$5),-2)</f>
        <v>38800</v>
      </c>
      <c r="N915" s="9">
        <f>ROUNDUP(M915+(M915*Assumptions!M$5),-2)</f>
        <v>39800</v>
      </c>
      <c r="O915" s="9">
        <f>ROUNDUP(N915+(N915*Assumptions!N$5),-2)</f>
        <v>40800</v>
      </c>
      <c r="P915" s="9">
        <f>ROUNDUP(O915+(O915*Assumptions!O$5),-2)</f>
        <v>41900</v>
      </c>
      <c r="Q915" s="9">
        <f>ROUNDUP(P915+(P915*Assumptions!P$5),-2)</f>
        <v>43000</v>
      </c>
      <c r="R915" s="9">
        <f>ROUNDUP(Q915+(Q915*Assumptions!Q$5),-2)</f>
        <v>44100</v>
      </c>
      <c r="S915" s="47">
        <f>ROUNDUP(R915+(R915*Assumptions!R$5),-2)</f>
        <v>45300</v>
      </c>
    </row>
    <row r="916" spans="1:19" x14ac:dyDescent="0.2">
      <c r="A916" s="54">
        <v>14000</v>
      </c>
      <c r="B916" s="9">
        <v>10000</v>
      </c>
      <c r="C916" s="136">
        <f>87300-79400</f>
        <v>7900</v>
      </c>
      <c r="D916" s="136">
        <v>12900</v>
      </c>
      <c r="E916" s="144">
        <f>81400-E914-E915-E917</f>
        <v>4000</v>
      </c>
      <c r="F916" s="469" t="s">
        <v>1006</v>
      </c>
      <c r="G916" s="662" t="s">
        <v>3669</v>
      </c>
      <c r="H916" s="9">
        <f>16000-10000</f>
        <v>6000</v>
      </c>
      <c r="I916" s="85">
        <f>IF(E916=H916,0,IF(E916=0,100,(H916-E916)/E916*100))</f>
        <v>50</v>
      </c>
      <c r="J916" s="9">
        <f>ROUNDUP(H916+(H916*Assumptions!I$5),-2)</f>
        <v>6200</v>
      </c>
      <c r="K916" s="9">
        <f>ROUNDUP(J916+(J916*Assumptions!J$5),-2)</f>
        <v>6400</v>
      </c>
      <c r="L916" s="9">
        <f>ROUNDUP(K916+(K916*Assumptions!K$5),-2)</f>
        <v>6600</v>
      </c>
      <c r="M916" s="9">
        <f>ROUNDUP(L916+(L916*Assumptions!L$5),-2)</f>
        <v>6800</v>
      </c>
      <c r="N916" s="9">
        <f>ROUNDUP(M916+(M916*Assumptions!M$5),-2)</f>
        <v>7000</v>
      </c>
      <c r="O916" s="9">
        <f>ROUNDUP(N916+(N916*Assumptions!N$5),-2)</f>
        <v>7200</v>
      </c>
      <c r="P916" s="9">
        <f>ROUNDUP(O916+(O916*Assumptions!O$5),-2)</f>
        <v>7400</v>
      </c>
      <c r="Q916" s="9">
        <f>ROUNDUP(P916+(P916*Assumptions!P$5),-2)</f>
        <v>7600</v>
      </c>
      <c r="R916" s="9">
        <f>ROUNDUP(Q916+(Q916*Assumptions!Q$5),-2)</f>
        <v>7800</v>
      </c>
      <c r="S916" s="47">
        <f>ROUNDUP(R916+(R916*Assumptions!R$5),-2)</f>
        <v>8000</v>
      </c>
    </row>
    <row r="917" spans="1:19" x14ac:dyDescent="0.2">
      <c r="A917" s="54">
        <v>7300</v>
      </c>
      <c r="B917" s="9">
        <v>7200</v>
      </c>
      <c r="C917" s="136">
        <v>11100</v>
      </c>
      <c r="D917" s="136">
        <v>10500</v>
      </c>
      <c r="E917" s="144">
        <v>8600</v>
      </c>
      <c r="F917" s="769" t="s">
        <v>2987</v>
      </c>
      <c r="G917" s="662" t="s">
        <v>3761</v>
      </c>
      <c r="H917" s="9">
        <v>6500</v>
      </c>
      <c r="I917" s="85">
        <f>IF(E917=H917,0,IF(E917=0,100,(H917-E917)/E917*100))</f>
        <v>-24.418604651162788</v>
      </c>
      <c r="J917" s="9">
        <f>ROUNDUP(H917+(H917*Assumptions!I$5),-2)</f>
        <v>6700</v>
      </c>
      <c r="K917" s="9">
        <f>ROUNDUP(J917+(J917*Assumptions!J$5),-2)</f>
        <v>6900</v>
      </c>
      <c r="L917" s="9">
        <f>ROUNDUP(K917+(K917*Assumptions!K$5),-2)</f>
        <v>7100</v>
      </c>
      <c r="M917" s="9">
        <f>ROUNDUP(L917+(L917*Assumptions!L$5),-2)</f>
        <v>7300</v>
      </c>
      <c r="N917" s="9">
        <f>ROUNDUP(M917+(M917*Assumptions!M$5),-2)</f>
        <v>7500</v>
      </c>
      <c r="O917" s="9">
        <f>ROUNDUP(N917+(N917*Assumptions!N$5),-2)</f>
        <v>7700</v>
      </c>
      <c r="P917" s="9">
        <f>ROUNDUP(O917+(O917*Assumptions!O$5),-2)</f>
        <v>7900</v>
      </c>
      <c r="Q917" s="9">
        <f>ROUNDUP(P917+(P917*Assumptions!P$5),-2)</f>
        <v>8100</v>
      </c>
      <c r="R917" s="9">
        <f>ROUNDUP(Q917+(Q917*Assumptions!Q$5),-2)</f>
        <v>8400</v>
      </c>
      <c r="S917" s="47">
        <f>ROUNDUP(R917+(R917*Assumptions!R$5),-2)</f>
        <v>8700</v>
      </c>
    </row>
    <row r="918" spans="1:19" x14ac:dyDescent="0.2">
      <c r="A918" s="54"/>
      <c r="B918" s="9"/>
      <c r="E918" s="144"/>
      <c r="F918" s="469"/>
      <c r="G918" s="260" t="s">
        <v>1043</v>
      </c>
      <c r="H918" s="9"/>
      <c r="I918" s="85"/>
      <c r="J918" s="9"/>
      <c r="K918" s="9"/>
      <c r="L918" s="9"/>
      <c r="M918" s="9"/>
      <c r="N918" s="9"/>
      <c r="O918" s="9"/>
      <c r="P918" s="9"/>
      <c r="Q918" s="9"/>
      <c r="R918" s="9"/>
      <c r="S918" s="47"/>
    </row>
    <row r="919" spans="1:19" x14ac:dyDescent="0.2">
      <c r="A919" s="54">
        <v>8200</v>
      </c>
      <c r="B919" s="9">
        <v>9400</v>
      </c>
      <c r="C919" s="136">
        <v>8300</v>
      </c>
      <c r="D919" s="136">
        <v>7800</v>
      </c>
      <c r="E919" s="144">
        <v>7500</v>
      </c>
      <c r="F919" s="769" t="s">
        <v>5367</v>
      </c>
      <c r="G919" s="662" t="s">
        <v>5366</v>
      </c>
      <c r="H919" s="9">
        <f>8000-1500-2000</f>
        <v>4500</v>
      </c>
      <c r="I919" s="85">
        <f t="shared" ref="I919:I925" si="1848">IF(E919=H919,0,IF(E919=0,100,(H919-E919)/E919*100))</f>
        <v>-40</v>
      </c>
      <c r="J919" s="9">
        <f>ROUNDUP(H919+(H919*Assumptions!I$5),-2)</f>
        <v>4700</v>
      </c>
      <c r="K919" s="9">
        <f>ROUNDUP(J919+(J919*Assumptions!J$5),-2)</f>
        <v>4900</v>
      </c>
      <c r="L919" s="9">
        <f>ROUNDUP(K919+(K919*Assumptions!K$5),-2)</f>
        <v>5100</v>
      </c>
      <c r="M919" s="9">
        <f>ROUNDUP(L919+(L919*Assumptions!L$5),-2)</f>
        <v>5300</v>
      </c>
      <c r="N919" s="9">
        <f>ROUNDUP(M919+(M919*Assumptions!M$5),-2)</f>
        <v>5500</v>
      </c>
      <c r="O919" s="9">
        <f>ROUNDUP(N919+(N919*Assumptions!N$5),-2)</f>
        <v>5700</v>
      </c>
      <c r="P919" s="9">
        <f>ROUNDUP(O919+(O919*Assumptions!O$5),-2)</f>
        <v>5900</v>
      </c>
      <c r="Q919" s="9">
        <f>ROUNDUP(P919+(P919*Assumptions!P$5),-2)</f>
        <v>6100</v>
      </c>
      <c r="R919" s="9">
        <f>ROUNDUP(Q919+(Q919*Assumptions!Q$5),-2)</f>
        <v>6300</v>
      </c>
      <c r="S919" s="47">
        <f>ROUNDUP(R919+(R919*Assumptions!R$5),-2)</f>
        <v>6500</v>
      </c>
    </row>
    <row r="920" spans="1:19" x14ac:dyDescent="0.2">
      <c r="A920" s="54">
        <v>19800</v>
      </c>
      <c r="B920" s="9">
        <v>22300</v>
      </c>
      <c r="C920" s="136">
        <v>22300</v>
      </c>
      <c r="D920" s="136">
        <v>22300</v>
      </c>
      <c r="E920" s="144">
        <v>29200</v>
      </c>
      <c r="F920" s="469" t="s">
        <v>47</v>
      </c>
      <c r="G920" s="662" t="s">
        <v>3260</v>
      </c>
      <c r="H920" s="9">
        <v>31000</v>
      </c>
      <c r="I920" s="85">
        <f t="shared" si="1848"/>
        <v>6.1643835616438354</v>
      </c>
      <c r="J920" s="9">
        <f>ROUNDUP(H920+(H920*Assumptions!I$5),-2)</f>
        <v>31800</v>
      </c>
      <c r="K920" s="9">
        <f>ROUNDUP(J920+(J920*Assumptions!J$5),-2)</f>
        <v>32600</v>
      </c>
      <c r="L920" s="9">
        <f>ROUNDUP(K920+(K920*Assumptions!K$5),-2)</f>
        <v>33500</v>
      </c>
      <c r="M920" s="9">
        <f>ROUNDUP(L920+(L920*Assumptions!L$5),-2)</f>
        <v>34400</v>
      </c>
      <c r="N920" s="9">
        <f>ROUNDUP(M920+(M920*Assumptions!M$5),-2)</f>
        <v>35300</v>
      </c>
      <c r="O920" s="9">
        <f>ROUNDUP(N920+(N920*Assumptions!N$5),-2)</f>
        <v>36200</v>
      </c>
      <c r="P920" s="9">
        <f>ROUNDUP(O920+(O920*Assumptions!O$5),-2)</f>
        <v>37200</v>
      </c>
      <c r="Q920" s="9">
        <f>ROUNDUP(P920+(P920*Assumptions!P$5),-2)</f>
        <v>38200</v>
      </c>
      <c r="R920" s="9">
        <f>ROUNDUP(Q920+(Q920*Assumptions!Q$5),-2)</f>
        <v>39200</v>
      </c>
      <c r="S920" s="47">
        <f>ROUNDUP(R920+(R920*Assumptions!R$5),-2)</f>
        <v>40200</v>
      </c>
    </row>
    <row r="921" spans="1:19" x14ac:dyDescent="0.2">
      <c r="A921" s="54">
        <v>134800</v>
      </c>
      <c r="B921" s="9">
        <v>139400</v>
      </c>
      <c r="C921" s="136">
        <v>154800</v>
      </c>
      <c r="D921" s="136">
        <v>151600</v>
      </c>
      <c r="E921" s="144">
        <v>192100</v>
      </c>
      <c r="F921" s="469" t="s">
        <v>1153</v>
      </c>
      <c r="G921" s="371" t="s">
        <v>878</v>
      </c>
      <c r="H921" s="9">
        <v>183000</v>
      </c>
      <c r="I921" s="85">
        <f t="shared" si="1848"/>
        <v>-4.7371160853722021</v>
      </c>
      <c r="J921" s="9">
        <f>ROUNDUP(H921+(H921*Assumptions!I$5),-2)</f>
        <v>187300</v>
      </c>
      <c r="K921" s="9">
        <f>ROUNDUP(J921+(J921*Assumptions!J$5),-2)</f>
        <v>192000</v>
      </c>
      <c r="L921" s="9">
        <f>ROUNDUP(K921+(K921*Assumptions!K$5),-2)</f>
        <v>196800</v>
      </c>
      <c r="M921" s="9">
        <f>ROUNDUP(L921+(L921*Assumptions!L$5),-2)</f>
        <v>201800</v>
      </c>
      <c r="N921" s="9">
        <f>ROUNDUP(M921+(M921*Assumptions!M$5),-2)</f>
        <v>206900</v>
      </c>
      <c r="O921" s="9">
        <f>ROUNDUP(N921+(N921*Assumptions!N$5),-2)</f>
        <v>212100</v>
      </c>
      <c r="P921" s="9">
        <f>ROUNDUP(O921+(O921*Assumptions!O$5),-2)</f>
        <v>217500</v>
      </c>
      <c r="Q921" s="9">
        <f>ROUNDUP(P921+(P921*Assumptions!P$5),-2)</f>
        <v>223000</v>
      </c>
      <c r="R921" s="9">
        <f>ROUNDUP(Q921+(Q921*Assumptions!Q$5),-2)</f>
        <v>228600</v>
      </c>
      <c r="S921" s="47">
        <f>ROUNDUP(R921+(R921*Assumptions!R$5),-2)</f>
        <v>234400</v>
      </c>
    </row>
    <row r="922" spans="1:19" x14ac:dyDescent="0.2">
      <c r="A922" s="54">
        <v>31000</v>
      </c>
      <c r="B922" s="9">
        <f>85800-9400-B923</f>
        <v>47500</v>
      </c>
      <c r="C922" s="136">
        <f>104800-8300-29400</f>
        <v>67100</v>
      </c>
      <c r="D922" s="136">
        <v>44700</v>
      </c>
      <c r="E922" s="144">
        <f>84900-E923</f>
        <v>62000</v>
      </c>
      <c r="F922" s="469" t="s">
        <v>45</v>
      </c>
      <c r="G922" s="371" t="s">
        <v>879</v>
      </c>
      <c r="H922" s="9">
        <v>55000</v>
      </c>
      <c r="I922" s="85">
        <f t="shared" si="1848"/>
        <v>-11.29032258064516</v>
      </c>
      <c r="J922" s="9">
        <f>ROUNDUP(H922+(H922*Assumptions!I$5),-2)</f>
        <v>56300</v>
      </c>
      <c r="K922" s="9">
        <f>ROUNDUP(J922+(J922*Assumptions!J$5),-2)</f>
        <v>57800</v>
      </c>
      <c r="L922" s="9">
        <f>ROUNDUP(K922+(K922*Assumptions!K$5),-2)</f>
        <v>59300</v>
      </c>
      <c r="M922" s="9">
        <f>ROUNDUP(L922+(L922*Assumptions!L$5),-2)</f>
        <v>60800</v>
      </c>
      <c r="N922" s="9">
        <f>ROUNDUP(M922+(M922*Assumptions!M$5),-2)</f>
        <v>62400</v>
      </c>
      <c r="O922" s="9">
        <f>ROUNDUP(N922+(N922*Assumptions!N$5),-2)</f>
        <v>64000</v>
      </c>
      <c r="P922" s="9">
        <f>ROUNDUP(O922+(O922*Assumptions!O$5),-2)</f>
        <v>65600</v>
      </c>
      <c r="Q922" s="9">
        <f>ROUNDUP(P922+(P922*Assumptions!P$5),-2)</f>
        <v>67300</v>
      </c>
      <c r="R922" s="9">
        <f>ROUNDUP(Q922+(Q922*Assumptions!Q$5),-2)</f>
        <v>69000</v>
      </c>
      <c r="S922" s="47">
        <f>ROUNDUP(R922+(R922*Assumptions!R$5),-2)</f>
        <v>70800</v>
      </c>
    </row>
    <row r="923" spans="1:19" x14ac:dyDescent="0.2">
      <c r="A923" s="54">
        <v>30600</v>
      </c>
      <c r="B923" s="9">
        <v>28900</v>
      </c>
      <c r="C923" s="136">
        <v>29400</v>
      </c>
      <c r="D923" s="136">
        <v>26200</v>
      </c>
      <c r="E923" s="144">
        <v>22900</v>
      </c>
      <c r="F923" s="469" t="s">
        <v>2247</v>
      </c>
      <c r="G923" s="371" t="s">
        <v>2044</v>
      </c>
      <c r="H923" s="9">
        <v>30000</v>
      </c>
      <c r="I923" s="85">
        <f t="shared" si="1848"/>
        <v>31.004366812227076</v>
      </c>
      <c r="J923" s="9">
        <f>ROUNDUP(H923+(H923*Assumptions!I$5),-2)</f>
        <v>30700</v>
      </c>
      <c r="K923" s="9">
        <f>ROUNDUP(J923+(J923*Assumptions!J$5),-2)</f>
        <v>31500</v>
      </c>
      <c r="L923" s="9">
        <f>ROUNDUP(K923+(K923*Assumptions!K$5),-2)</f>
        <v>32300</v>
      </c>
      <c r="M923" s="9">
        <f>ROUNDUP(L923+(L923*Assumptions!L$5),-2)</f>
        <v>33200</v>
      </c>
      <c r="N923" s="9">
        <f>ROUNDUP(M923+(M923*Assumptions!M$5),-2)</f>
        <v>34100</v>
      </c>
      <c r="O923" s="9">
        <f>ROUNDUP(N923+(N923*Assumptions!N$5),-2)</f>
        <v>35000</v>
      </c>
      <c r="P923" s="9">
        <f>ROUNDUP(O923+(O923*Assumptions!O$5),-2)</f>
        <v>35900</v>
      </c>
      <c r="Q923" s="9">
        <f>ROUNDUP(P923+(P923*Assumptions!P$5),-2)</f>
        <v>36800</v>
      </c>
      <c r="R923" s="9">
        <f>ROUNDUP(Q923+(Q923*Assumptions!Q$5),-2)</f>
        <v>37800</v>
      </c>
      <c r="S923" s="47">
        <f>ROUNDUP(R923+(R923*Assumptions!R$5),-2)</f>
        <v>38800</v>
      </c>
    </row>
    <row r="924" spans="1:19" x14ac:dyDescent="0.2">
      <c r="A924" s="54">
        <v>23600</v>
      </c>
      <c r="B924" s="9">
        <v>45500</v>
      </c>
      <c r="C924" s="136">
        <v>36800</v>
      </c>
      <c r="D924" s="136">
        <v>36100</v>
      </c>
      <c r="E924" s="144">
        <v>38400</v>
      </c>
      <c r="F924" s="469" t="s">
        <v>46</v>
      </c>
      <c r="G924" s="662" t="s">
        <v>3876</v>
      </c>
      <c r="H924" s="9">
        <v>35000</v>
      </c>
      <c r="I924" s="85">
        <f t="shared" si="1848"/>
        <v>-8.8541666666666679</v>
      </c>
      <c r="J924" s="9">
        <f>ROUNDUP(H924+(H924*Assumptions!I$5),-2)</f>
        <v>35900</v>
      </c>
      <c r="K924" s="9">
        <f>ROUNDUP(J924+(J924*Assumptions!J$5),-2)</f>
        <v>36800</v>
      </c>
      <c r="L924" s="9">
        <f>ROUNDUP(K924+(K924*Assumptions!K$5),-2)</f>
        <v>37800</v>
      </c>
      <c r="M924" s="9">
        <f>ROUNDUP(L924+(L924*Assumptions!L$5),-2)</f>
        <v>38800</v>
      </c>
      <c r="N924" s="9">
        <f>ROUNDUP(M924+(M924*Assumptions!M$5),-2)</f>
        <v>39800</v>
      </c>
      <c r="O924" s="9">
        <f>ROUNDUP(N924+(N924*Assumptions!N$5),-2)</f>
        <v>40800</v>
      </c>
      <c r="P924" s="9">
        <f>ROUNDUP(O924+(O924*Assumptions!O$5),-2)</f>
        <v>41900</v>
      </c>
      <c r="Q924" s="9">
        <f>ROUNDUP(P924+(P924*Assumptions!P$5),-2)</f>
        <v>43000</v>
      </c>
      <c r="R924" s="9">
        <f>ROUNDUP(Q924+(Q924*Assumptions!Q$5),-2)</f>
        <v>44100</v>
      </c>
      <c r="S924" s="47">
        <f>ROUNDUP(R924+(R924*Assumptions!R$5),-2)</f>
        <v>45300</v>
      </c>
    </row>
    <row r="925" spans="1:19" x14ac:dyDescent="0.2">
      <c r="A925" s="54">
        <v>8600</v>
      </c>
      <c r="B925" s="9">
        <v>11300</v>
      </c>
      <c r="C925" s="136">
        <v>15900</v>
      </c>
      <c r="D925" s="136">
        <v>22600</v>
      </c>
      <c r="E925" s="144">
        <v>27900</v>
      </c>
      <c r="F925" s="469" t="s">
        <v>1876</v>
      </c>
      <c r="G925" s="371" t="s">
        <v>2043</v>
      </c>
      <c r="H925" s="9">
        <f>16300+11300</f>
        <v>27600</v>
      </c>
      <c r="I925" s="85">
        <f t="shared" si="1848"/>
        <v>-1.0752688172043012</v>
      </c>
      <c r="J925" s="9">
        <f>ROUNDUP(H925+(H925*Assumptions!I$5),-2)</f>
        <v>28300</v>
      </c>
      <c r="K925" s="9">
        <f>ROUNDUP(J925+(J925*Assumptions!J$5),-2)</f>
        <v>29100</v>
      </c>
      <c r="L925" s="9">
        <f>ROUNDUP(K925+(K925*Assumptions!K$5),-2)</f>
        <v>29900</v>
      </c>
      <c r="M925" s="9">
        <f>ROUNDUP(L925+(L925*Assumptions!L$5),-2)</f>
        <v>30700</v>
      </c>
      <c r="N925" s="9">
        <f>ROUNDUP(M925+(M925*Assumptions!M$5),-2)</f>
        <v>31500</v>
      </c>
      <c r="O925" s="9">
        <f>ROUNDUP(N925+(N925*Assumptions!N$5),-2)</f>
        <v>32300</v>
      </c>
      <c r="P925" s="9">
        <f>ROUNDUP(O925+(O925*Assumptions!O$5),-2)</f>
        <v>33200</v>
      </c>
      <c r="Q925" s="9">
        <f>ROUNDUP(P925+(P925*Assumptions!P$5),-2)</f>
        <v>34100</v>
      </c>
      <c r="R925" s="9">
        <f>ROUNDUP(Q925+(Q925*Assumptions!Q$5),-2)</f>
        <v>35000</v>
      </c>
      <c r="S925" s="47">
        <f>ROUNDUP(R925+(R925*Assumptions!R$5),-2)</f>
        <v>35900</v>
      </c>
    </row>
    <row r="926" spans="1:19" x14ac:dyDescent="0.2">
      <c r="A926" s="54"/>
      <c r="B926" s="9"/>
      <c r="E926" s="144"/>
      <c r="F926" s="167"/>
      <c r="G926" s="780" t="s">
        <v>3704</v>
      </c>
      <c r="H926" s="9"/>
      <c r="I926" s="85"/>
      <c r="J926" s="9"/>
      <c r="K926" s="9"/>
      <c r="L926" s="9"/>
      <c r="M926" s="9"/>
      <c r="N926" s="9"/>
      <c r="O926" s="9"/>
      <c r="P926" s="9"/>
      <c r="Q926" s="9"/>
      <c r="R926" s="9"/>
      <c r="S926" s="47"/>
    </row>
    <row r="927" spans="1:19" x14ac:dyDescent="0.2">
      <c r="A927" s="54">
        <v>7100</v>
      </c>
      <c r="B927" s="9">
        <v>0</v>
      </c>
      <c r="C927" s="136">
        <v>10400</v>
      </c>
      <c r="D927" s="136">
        <v>500</v>
      </c>
      <c r="E927" s="144">
        <v>2500</v>
      </c>
      <c r="F927" s="769" t="s">
        <v>3185</v>
      </c>
      <c r="G927" s="662" t="s">
        <v>4505</v>
      </c>
      <c r="H927" s="9">
        <f>7200-4000</f>
        <v>3200</v>
      </c>
      <c r="I927" s="85">
        <f>IF(E927=H927,0,IF(E927=0,100,(H927-E927)/E927*100))</f>
        <v>28.000000000000004</v>
      </c>
      <c r="J927" s="9">
        <f>ROUNDUP(H927+(H927*Assumptions!I$5),-2)</f>
        <v>3300</v>
      </c>
      <c r="K927" s="9">
        <f>ROUNDUP(J927+(J927*Assumptions!J$5),-2)</f>
        <v>3400</v>
      </c>
      <c r="L927" s="9">
        <f>ROUNDUP(K927+(K927*Assumptions!K$5),-2)</f>
        <v>3500</v>
      </c>
      <c r="M927" s="9">
        <f>ROUNDUP(L927+(L927*Assumptions!L$5),-2)</f>
        <v>3600</v>
      </c>
      <c r="N927" s="9">
        <f>ROUNDUP(M927+(M927*Assumptions!M$5),-2)</f>
        <v>3700</v>
      </c>
      <c r="O927" s="9">
        <f>ROUNDUP(N927+(N927*Assumptions!N$5),-2)</f>
        <v>3800</v>
      </c>
      <c r="P927" s="9">
        <f>ROUNDUP(O927+(O927*Assumptions!O$5),-2)</f>
        <v>3900</v>
      </c>
      <c r="Q927" s="9">
        <f>ROUNDUP(P927+(P927*Assumptions!P$5),-2)</f>
        <v>4000</v>
      </c>
      <c r="R927" s="9">
        <f>ROUNDUP(Q927+(Q927*Assumptions!Q$5),-2)</f>
        <v>4100</v>
      </c>
      <c r="S927" s="47">
        <f>ROUNDUP(R927+(R927*Assumptions!R$5),-2)</f>
        <v>4300</v>
      </c>
    </row>
    <row r="928" spans="1:19" x14ac:dyDescent="0.2">
      <c r="A928" s="54">
        <v>21900</v>
      </c>
      <c r="B928" s="9">
        <v>34300</v>
      </c>
      <c r="C928" s="136">
        <v>31400</v>
      </c>
      <c r="D928" s="136">
        <v>41300</v>
      </c>
      <c r="E928" s="144">
        <v>38200</v>
      </c>
      <c r="F928" s="469" t="s">
        <v>1152</v>
      </c>
      <c r="G928" s="371" t="s">
        <v>1314</v>
      </c>
      <c r="H928" s="9">
        <v>30500</v>
      </c>
      <c r="I928" s="85">
        <f>IF(E928=H928,0,IF(E928=0,100,(H928-E928)/E928*100))</f>
        <v>-20.157068062827225</v>
      </c>
      <c r="J928" s="9">
        <f>ROUNDUP(H928+(H928*Assumptions!I$5),-2)</f>
        <v>31300</v>
      </c>
      <c r="K928" s="9">
        <f>ROUNDUP(J928+(J928*Assumptions!J$5),-2)</f>
        <v>32100</v>
      </c>
      <c r="L928" s="9">
        <f>ROUNDUP(K928+(K928*Assumptions!K$5),-2)</f>
        <v>33000</v>
      </c>
      <c r="M928" s="9">
        <f>ROUNDUP(L928+(L928*Assumptions!L$5),-2)</f>
        <v>33900</v>
      </c>
      <c r="N928" s="9">
        <f>ROUNDUP(M928+(M928*Assumptions!M$5),-2)</f>
        <v>34800</v>
      </c>
      <c r="O928" s="9">
        <f>ROUNDUP(N928+(N928*Assumptions!N$5),-2)</f>
        <v>35700</v>
      </c>
      <c r="P928" s="9">
        <f>ROUNDUP(O928+(O928*Assumptions!O$5),-2)</f>
        <v>36600</v>
      </c>
      <c r="Q928" s="9">
        <f>ROUNDUP(P928+(P928*Assumptions!P$5),-2)</f>
        <v>37600</v>
      </c>
      <c r="R928" s="9">
        <f>ROUNDUP(Q928+(Q928*Assumptions!Q$5),-2)</f>
        <v>38600</v>
      </c>
      <c r="S928" s="47">
        <f>ROUNDUP(R928+(R928*Assumptions!R$5),-2)</f>
        <v>39600</v>
      </c>
    </row>
    <row r="929" spans="1:21" x14ac:dyDescent="0.2">
      <c r="A929" s="54">
        <v>23500</v>
      </c>
      <c r="B929" s="9">
        <v>21200</v>
      </c>
      <c r="C929" s="136">
        <v>24300</v>
      </c>
      <c r="D929" s="136">
        <v>33200</v>
      </c>
      <c r="E929" s="144">
        <v>32300</v>
      </c>
      <c r="F929" s="469" t="s">
        <v>2836</v>
      </c>
      <c r="G929" s="371" t="s">
        <v>2327</v>
      </c>
      <c r="H929" s="9">
        <v>35000</v>
      </c>
      <c r="I929" s="85">
        <f>IF(E929=H929,0,IF(E929=0,100,(H929-E929)/E929*100))</f>
        <v>8.3591331269349833</v>
      </c>
      <c r="J929" s="9">
        <f>ROUNDUP(H929+(H929*Assumptions!I$5),-2)</f>
        <v>35900</v>
      </c>
      <c r="K929" s="9">
        <f>ROUNDUP(J929+(J929*Assumptions!J$5),-2)</f>
        <v>36800</v>
      </c>
      <c r="L929" s="9">
        <f>ROUNDUP(K929+(K929*Assumptions!K$5),-2)</f>
        <v>37800</v>
      </c>
      <c r="M929" s="9">
        <f>ROUNDUP(L929+(L929*Assumptions!L$5),-2)</f>
        <v>38800</v>
      </c>
      <c r="N929" s="9">
        <f>ROUNDUP(M929+(M929*Assumptions!M$5),-2)</f>
        <v>39800</v>
      </c>
      <c r="O929" s="9">
        <f>ROUNDUP(N929+(N929*Assumptions!N$5),-2)</f>
        <v>40800</v>
      </c>
      <c r="P929" s="9">
        <f>ROUNDUP(O929+(O929*Assumptions!O$5),-2)</f>
        <v>41900</v>
      </c>
      <c r="Q929" s="9">
        <f>ROUNDUP(P929+(P929*Assumptions!P$5),-2)</f>
        <v>43000</v>
      </c>
      <c r="R929" s="9">
        <f>ROUNDUP(Q929+(Q929*Assumptions!Q$5),-2)</f>
        <v>44100</v>
      </c>
      <c r="S929" s="47">
        <f>ROUNDUP(R929+(R929*Assumptions!R$5),-2)</f>
        <v>45300</v>
      </c>
    </row>
    <row r="930" spans="1:21" x14ac:dyDescent="0.2">
      <c r="A930" s="54">
        <v>8400</v>
      </c>
      <c r="B930" s="9">
        <v>4700</v>
      </c>
      <c r="C930" s="136">
        <v>6100</v>
      </c>
      <c r="D930" s="136">
        <v>6100</v>
      </c>
      <c r="E930" s="144">
        <v>4800</v>
      </c>
      <c r="F930" s="469" t="s">
        <v>2364</v>
      </c>
      <c r="G930" s="257" t="s">
        <v>475</v>
      </c>
      <c r="H930" s="134">
        <f>10000-4000</f>
        <v>6000</v>
      </c>
      <c r="I930" s="85">
        <f>IF(E930=H930,0,IF(E930=0,100,(H930-E930)/E930*100))</f>
        <v>25</v>
      </c>
      <c r="J930" s="134">
        <f>ROUNDUP(H930+(H930*Assumptions!I$5),-2)</f>
        <v>6200</v>
      </c>
      <c r="K930" s="134">
        <f>ROUNDUP(J930+(J930*Assumptions!J$5),-2)</f>
        <v>6400</v>
      </c>
      <c r="L930" s="134">
        <f>ROUNDUP(K930+(K930*Assumptions!K$5),-2)</f>
        <v>6600</v>
      </c>
      <c r="M930" s="134">
        <f>ROUNDUP(L930+(L930*Assumptions!L$5),-2)</f>
        <v>6800</v>
      </c>
      <c r="N930" s="134">
        <f>ROUNDUP(M930+(M930*Assumptions!M$5),-2)</f>
        <v>7000</v>
      </c>
      <c r="O930" s="134">
        <f>ROUNDUP(N930+(N930*Assumptions!N$5),-2)</f>
        <v>7200</v>
      </c>
      <c r="P930" s="134">
        <f>ROUNDUP(O930+(O930*Assumptions!O$5),-2)</f>
        <v>7400</v>
      </c>
      <c r="Q930" s="134">
        <f>ROUNDUP(P930+(P930*Assumptions!P$5),-2)</f>
        <v>7600</v>
      </c>
      <c r="R930" s="134">
        <f>ROUNDUP(Q930+(Q930*Assumptions!Q$5),-2)</f>
        <v>7800</v>
      </c>
      <c r="S930" s="2359">
        <f>ROUNDUP(R930+(R930*Assumptions!R$5),-2)</f>
        <v>8000</v>
      </c>
    </row>
    <row r="931" spans="1:21" x14ac:dyDescent="0.2">
      <c r="A931" s="54">
        <v>2600</v>
      </c>
      <c r="B931" s="9">
        <v>7900</v>
      </c>
      <c r="C931" s="136">
        <v>10500</v>
      </c>
      <c r="D931" s="136">
        <v>19900</v>
      </c>
      <c r="E931" s="144">
        <v>3900</v>
      </c>
      <c r="F931" s="469" t="s">
        <v>1186</v>
      </c>
      <c r="G931" s="257" t="s">
        <v>1984</v>
      </c>
      <c r="H931" s="134">
        <f>10000-4000</f>
        <v>6000</v>
      </c>
      <c r="I931" s="85">
        <f>IF(E931=H931,0,IF(E931=0,100,(H931-E931)/E931*100))</f>
        <v>53.846153846153847</v>
      </c>
      <c r="J931" s="134">
        <f>ROUNDUP(H931+(H931*Assumptions!I$5),-2)</f>
        <v>6200</v>
      </c>
      <c r="K931" s="134">
        <f>ROUNDUP(J931+(J931*Assumptions!J$5),-2)</f>
        <v>6400</v>
      </c>
      <c r="L931" s="134">
        <f>ROUNDUP(K931+(K931*Assumptions!K$5),-2)</f>
        <v>6600</v>
      </c>
      <c r="M931" s="134">
        <f>ROUNDUP(L931+(L931*Assumptions!L$5),-2)</f>
        <v>6800</v>
      </c>
      <c r="N931" s="134">
        <f>ROUNDUP(M931+(M931*Assumptions!M$5),-2)</f>
        <v>7000</v>
      </c>
      <c r="O931" s="134">
        <f>ROUNDUP(N931+(N931*Assumptions!N$5),-2)</f>
        <v>7200</v>
      </c>
      <c r="P931" s="134">
        <f>ROUNDUP(O931+(O931*Assumptions!O$5),-2)</f>
        <v>7400</v>
      </c>
      <c r="Q931" s="134">
        <f>ROUNDUP(P931+(P931*Assumptions!P$5),-2)</f>
        <v>7600</v>
      </c>
      <c r="R931" s="134">
        <f>ROUNDUP(Q931+(Q931*Assumptions!Q$5),-2)</f>
        <v>7800</v>
      </c>
      <c r="S931" s="2359">
        <f>ROUNDUP(R931+(R931*Assumptions!R$5),-2)</f>
        <v>8000</v>
      </c>
    </row>
    <row r="932" spans="1:21" x14ac:dyDescent="0.2">
      <c r="A932" s="54"/>
      <c r="B932" s="9"/>
      <c r="E932" s="144">
        <v>20900</v>
      </c>
      <c r="F932" s="769" t="s">
        <v>9076</v>
      </c>
      <c r="G932" s="634" t="s">
        <v>2433</v>
      </c>
      <c r="H932" s="134"/>
      <c r="I932" s="85"/>
      <c r="J932" s="134"/>
      <c r="K932" s="134"/>
      <c r="L932" s="134"/>
      <c r="M932" s="134"/>
      <c r="N932" s="134"/>
      <c r="O932" s="134"/>
      <c r="P932" s="134"/>
      <c r="Q932" s="134"/>
      <c r="R932" s="134"/>
      <c r="S932" s="2359"/>
    </row>
    <row r="933" spans="1:21" x14ac:dyDescent="0.2">
      <c r="A933" s="54"/>
      <c r="B933" s="9"/>
      <c r="E933" s="144"/>
      <c r="F933" s="469"/>
      <c r="G933" s="63" t="s">
        <v>261</v>
      </c>
      <c r="H933" s="9"/>
      <c r="I933" s="85"/>
      <c r="J933" s="9"/>
      <c r="K933" s="9"/>
      <c r="L933" s="9"/>
      <c r="M933" s="9"/>
      <c r="N933" s="9"/>
      <c r="O933" s="9"/>
      <c r="P933" s="9"/>
      <c r="Q933" s="9"/>
      <c r="R933" s="9"/>
      <c r="S933" s="47"/>
    </row>
    <row r="934" spans="1:21" x14ac:dyDescent="0.2">
      <c r="A934" s="54">
        <v>49400</v>
      </c>
      <c r="B934" s="9">
        <v>42600</v>
      </c>
      <c r="C934" s="136">
        <v>46200</v>
      </c>
      <c r="D934" s="136">
        <v>48900</v>
      </c>
      <c r="E934" s="144">
        <v>50800</v>
      </c>
      <c r="F934" s="469" t="s">
        <v>2248</v>
      </c>
      <c r="G934" s="420" t="s">
        <v>486</v>
      </c>
      <c r="H934" s="9">
        <v>47000</v>
      </c>
      <c r="I934" s="85">
        <f>IF(E934=H934,0,IF(E934=0,100,(H934-E934)/E934*100))</f>
        <v>-7.4803149606299222</v>
      </c>
      <c r="J934" s="9">
        <f>ROUNDUP(H934+(H934*Assumptions!I$18),-2)</f>
        <v>48000</v>
      </c>
      <c r="K934" s="9">
        <f>ROUNDUP(J934+(J934*Assumptions!J$18),-2)</f>
        <v>49000</v>
      </c>
      <c r="L934" s="9">
        <f>ROUNDUP(K934+(K934*Assumptions!K$18),-2)</f>
        <v>50000</v>
      </c>
      <c r="M934" s="9">
        <f>ROUNDUP(L934+(L934*Assumptions!L$18),-2)</f>
        <v>51000</v>
      </c>
      <c r="N934" s="9">
        <f>ROUNDUP(M934+(M934*Assumptions!M$18),-2)</f>
        <v>52100</v>
      </c>
      <c r="O934" s="9">
        <f>ROUNDUP(N934+(N934*Assumptions!N$18),-2)</f>
        <v>53200</v>
      </c>
      <c r="P934" s="9">
        <f>ROUNDUP(O934+(O934*Assumptions!O$18),-2)</f>
        <v>54300</v>
      </c>
      <c r="Q934" s="9">
        <f>ROUNDUP(P934+(P934*Assumptions!P$18),-2)</f>
        <v>55400</v>
      </c>
      <c r="R934" s="9">
        <f>ROUNDUP(Q934+(Q934*Assumptions!Q$18),-2)</f>
        <v>56600</v>
      </c>
      <c r="S934" s="47">
        <f>ROUNDUP(R934+(R934*Assumptions!R$18),-2)</f>
        <v>57800</v>
      </c>
    </row>
    <row r="935" spans="1:21" x14ac:dyDescent="0.2">
      <c r="A935" s="54">
        <v>330000</v>
      </c>
      <c r="B935" s="9">
        <v>565600</v>
      </c>
      <c r="C935" s="136">
        <v>291500</v>
      </c>
      <c r="D935" s="136">
        <v>312500</v>
      </c>
      <c r="E935" s="144">
        <v>47600</v>
      </c>
      <c r="F935" s="469" t="s">
        <v>179</v>
      </c>
      <c r="G935" s="79" t="s">
        <v>3344</v>
      </c>
      <c r="H935" s="9">
        <v>295800</v>
      </c>
      <c r="I935" s="85">
        <f>IF(E935=H935,0,IF(E935=0,100,(H935-E935)/E935*100))</f>
        <v>521.42857142857144</v>
      </c>
      <c r="J935" s="9">
        <f>ROUNDUP(H935+(H935*Assumptions!I$18),-2)</f>
        <v>301800</v>
      </c>
      <c r="K935" s="9">
        <f>ROUNDUP(J935+(J935*Assumptions!J$18),-2)</f>
        <v>307900</v>
      </c>
      <c r="L935" s="9">
        <f>ROUNDUP(K935+(K935*Assumptions!K$18),-2)</f>
        <v>314100</v>
      </c>
      <c r="M935" s="9">
        <f>ROUNDUP(L935+(L935*Assumptions!L$18),-2)</f>
        <v>320400</v>
      </c>
      <c r="N935" s="9">
        <f>ROUNDUP(M935+(M935*Assumptions!M$18),-2)</f>
        <v>326900</v>
      </c>
      <c r="O935" s="9">
        <f>ROUNDUP(N935+(N935*Assumptions!N$18),-2)</f>
        <v>333500</v>
      </c>
      <c r="P935" s="9">
        <f>ROUNDUP(O935+(O935*Assumptions!O$18),-2)</f>
        <v>340200</v>
      </c>
      <c r="Q935" s="9">
        <f>ROUNDUP(P935+(P935*Assumptions!P$18),-2)</f>
        <v>347100</v>
      </c>
      <c r="R935" s="9">
        <f>ROUNDUP(Q935+(Q935*Assumptions!Q$18),-2)</f>
        <v>354100</v>
      </c>
      <c r="S935" s="47">
        <f>ROUNDUP(R935+(R935*Assumptions!R$18),-2)</f>
        <v>361200</v>
      </c>
    </row>
    <row r="936" spans="1:21" x14ac:dyDescent="0.2">
      <c r="A936" s="54">
        <v>648000</v>
      </c>
      <c r="B936" s="9">
        <v>424700</v>
      </c>
      <c r="C936" s="136">
        <v>569000</v>
      </c>
      <c r="D936" s="136">
        <v>606100</v>
      </c>
      <c r="E936" s="144">
        <v>357900</v>
      </c>
      <c r="F936" s="469" t="s">
        <v>1589</v>
      </c>
      <c r="G936" s="781" t="s">
        <v>3345</v>
      </c>
      <c r="H936" s="9">
        <v>580400</v>
      </c>
      <c r="I936" s="85">
        <f>IF(E936=H936,0,IF(E936=0,100,(H936-E936)/E936*100))</f>
        <v>62.168203408773401</v>
      </c>
      <c r="J936" s="9">
        <f>ROUNDUP(H936+(H936*Assumptions!I$18),-2)</f>
        <v>592100</v>
      </c>
      <c r="K936" s="9">
        <f>ROUNDUP(J936+(J936*Assumptions!J$18),-2)</f>
        <v>604000</v>
      </c>
      <c r="L936" s="9">
        <f>ROUNDUP(K936+(K936*Assumptions!K$18),-2)</f>
        <v>616100</v>
      </c>
      <c r="M936" s="9">
        <f>ROUNDUP(L936+(L936*Assumptions!L$18),-2)</f>
        <v>628500</v>
      </c>
      <c r="N936" s="9">
        <f>ROUNDUP(M936+(M936*Assumptions!M$18),-2)</f>
        <v>641100</v>
      </c>
      <c r="O936" s="9">
        <f>ROUNDUP(N936+(N936*Assumptions!N$18),-2)</f>
        <v>654000</v>
      </c>
      <c r="P936" s="9">
        <f>ROUNDUP(O936+(O936*Assumptions!O$18),-2)</f>
        <v>667100</v>
      </c>
      <c r="Q936" s="9">
        <f>ROUNDUP(P936+(P936*Assumptions!P$18),-2)</f>
        <v>680500</v>
      </c>
      <c r="R936" s="9">
        <f>ROUNDUP(Q936+(Q936*Assumptions!Q$18),-2)</f>
        <v>694200</v>
      </c>
      <c r="S936" s="47">
        <f>ROUNDUP(R936+(R936*Assumptions!R$18),-2)</f>
        <v>708100</v>
      </c>
    </row>
    <row r="937" spans="1:21" ht="13.5" thickBot="1" x14ac:dyDescent="0.25">
      <c r="A937" s="54"/>
      <c r="B937" s="9"/>
      <c r="E937" s="144"/>
      <c r="F937" s="469"/>
      <c r="G937" s="781"/>
      <c r="H937" s="9"/>
      <c r="I937" s="85"/>
      <c r="J937" s="9"/>
      <c r="K937" s="9"/>
      <c r="L937" s="9"/>
      <c r="M937" s="9"/>
      <c r="N937" s="9"/>
      <c r="O937" s="9"/>
      <c r="P937" s="9"/>
      <c r="Q937" s="9"/>
      <c r="R937" s="9"/>
      <c r="S937" s="47"/>
    </row>
    <row r="938" spans="1:21" s="39" customFormat="1" x14ac:dyDescent="0.2">
      <c r="A938" s="52">
        <f>SUM(A887:A936)</f>
        <v>1805600</v>
      </c>
      <c r="B938" s="16">
        <f>SUM(B887:B936)</f>
        <v>1808600</v>
      </c>
      <c r="C938" s="102">
        <f>SUM(C887:C936)</f>
        <v>1724400</v>
      </c>
      <c r="D938" s="16">
        <f>SUM(D887:D936)</f>
        <v>1955100</v>
      </c>
      <c r="E938" s="323">
        <f>SUM(E887:E936)</f>
        <v>1500700</v>
      </c>
      <c r="F938" s="126"/>
      <c r="G938" s="267" t="s">
        <v>556</v>
      </c>
      <c r="H938" s="16">
        <f>SUM(H887:H936)</f>
        <v>1882700</v>
      </c>
      <c r="I938" s="127">
        <f>IF(E938=H938,0,IF(E938=0,100,(H938-E938)/E938*100))</f>
        <v>25.454787765709337</v>
      </c>
      <c r="J938" s="16">
        <f t="shared" ref="J938:S938" si="1849">SUM(J887:J936)</f>
        <v>2005700</v>
      </c>
      <c r="K938" s="16">
        <f t="shared" si="1849"/>
        <v>2072200</v>
      </c>
      <c r="L938" s="16">
        <f t="shared" si="1849"/>
        <v>2121200</v>
      </c>
      <c r="M938" s="16">
        <f t="shared" si="1849"/>
        <v>2171400</v>
      </c>
      <c r="N938" s="16">
        <f t="shared" si="1849"/>
        <v>2222700</v>
      </c>
      <c r="O938" s="16">
        <f t="shared" si="1849"/>
        <v>2274900</v>
      </c>
      <c r="P938" s="16">
        <f t="shared" si="1849"/>
        <v>2328500</v>
      </c>
      <c r="Q938" s="16">
        <f t="shared" si="1849"/>
        <v>2383300</v>
      </c>
      <c r="R938" s="16">
        <f t="shared" si="1849"/>
        <v>2439400</v>
      </c>
      <c r="S938" s="2342">
        <f t="shared" si="1849"/>
        <v>2496800</v>
      </c>
      <c r="U938" s="34"/>
    </row>
    <row r="939" spans="1:21" x14ac:dyDescent="0.2">
      <c r="A939" s="54"/>
      <c r="B939" s="9"/>
      <c r="E939" s="144"/>
      <c r="F939" s="167"/>
      <c r="G939" s="257"/>
      <c r="H939" s="9"/>
      <c r="I939" s="85"/>
      <c r="J939" s="9"/>
      <c r="K939" s="9"/>
      <c r="L939" s="9"/>
      <c r="M939" s="9"/>
      <c r="N939" s="9"/>
      <c r="O939" s="9"/>
      <c r="P939" s="9"/>
      <c r="Q939" s="9"/>
      <c r="R939" s="9"/>
      <c r="S939" s="47"/>
    </row>
    <row r="940" spans="1:21" s="39" customFormat="1" x14ac:dyDescent="0.2">
      <c r="A940" s="24">
        <f>-A938</f>
        <v>-1805600</v>
      </c>
      <c r="B940" s="21">
        <f>-B938</f>
        <v>-1808600</v>
      </c>
      <c r="C940" s="139">
        <f>-C938</f>
        <v>-1724400</v>
      </c>
      <c r="D940" s="139">
        <f>-D938</f>
        <v>-1955100</v>
      </c>
      <c r="E940" s="143">
        <f>-E938</f>
        <v>-1500700</v>
      </c>
      <c r="F940" s="173"/>
      <c r="G940" s="361" t="s">
        <v>1002</v>
      </c>
      <c r="H940" s="21">
        <f t="shared" ref="H940:Q940" si="1850">-H938</f>
        <v>-1882700</v>
      </c>
      <c r="I940" s="126">
        <f>IF(E940=H940,0,IF(E940=0,100,(H940-E940)/E940*100))</f>
        <v>25.454787765709337</v>
      </c>
      <c r="J940" s="21">
        <f t="shared" si="1850"/>
        <v>-2005700</v>
      </c>
      <c r="K940" s="21">
        <f t="shared" si="1850"/>
        <v>-2072200</v>
      </c>
      <c r="L940" s="21">
        <f t="shared" si="1850"/>
        <v>-2121200</v>
      </c>
      <c r="M940" s="21">
        <f t="shared" si="1850"/>
        <v>-2171400</v>
      </c>
      <c r="N940" s="21">
        <f t="shared" si="1850"/>
        <v>-2222700</v>
      </c>
      <c r="O940" s="21">
        <f t="shared" si="1850"/>
        <v>-2274900</v>
      </c>
      <c r="P940" s="21">
        <f t="shared" si="1850"/>
        <v>-2328500</v>
      </c>
      <c r="Q940" s="21">
        <f t="shared" si="1850"/>
        <v>-2383300</v>
      </c>
      <c r="R940" s="21">
        <f t="shared" ref="R940" si="1851">-R938</f>
        <v>-2439400</v>
      </c>
      <c r="S940" s="86">
        <f t="shared" ref="S940" si="1852">-S938</f>
        <v>-2496800</v>
      </c>
      <c r="U940" s="34"/>
    </row>
    <row r="941" spans="1:21" x14ac:dyDescent="0.2">
      <c r="A941" s="415">
        <f>SUM(A933:A936)</f>
        <v>1027400</v>
      </c>
      <c r="B941" s="89">
        <f>SUM(B933:B936)</f>
        <v>1032900</v>
      </c>
      <c r="C941" s="136">
        <f>SUM(C933:C936)</f>
        <v>906700</v>
      </c>
      <c r="D941" s="136">
        <f>SUM(D933:D936)</f>
        <v>967500</v>
      </c>
      <c r="E941" s="144">
        <f t="shared" ref="E941" si="1853">SUM(E933:E936)</f>
        <v>456300</v>
      </c>
      <c r="F941" s="167"/>
      <c r="G941" s="423" t="s">
        <v>1943</v>
      </c>
      <c r="H941" s="9">
        <f t="shared" ref="H941:O941" si="1854">SUM(H933:H936)</f>
        <v>923200</v>
      </c>
      <c r="I941" s="85">
        <f>IF(E941=H941,0,IF(E941=0,100,(H941-E941)/E941*100))</f>
        <v>102.32303309226387</v>
      </c>
      <c r="J941" s="9">
        <f t="shared" si="1854"/>
        <v>941900</v>
      </c>
      <c r="K941" s="9">
        <f t="shared" si="1854"/>
        <v>960900</v>
      </c>
      <c r="L941" s="9">
        <f t="shared" si="1854"/>
        <v>980200</v>
      </c>
      <c r="M941" s="9">
        <f t="shared" si="1854"/>
        <v>999900</v>
      </c>
      <c r="N941" s="9">
        <f t="shared" si="1854"/>
        <v>1020100</v>
      </c>
      <c r="O941" s="9">
        <f t="shared" si="1854"/>
        <v>1040700</v>
      </c>
      <c r="P941" s="9">
        <f t="shared" ref="P941:Q941" si="1855">SUM(P933:P936)</f>
        <v>1061600</v>
      </c>
      <c r="Q941" s="9">
        <f t="shared" si="1855"/>
        <v>1083000</v>
      </c>
      <c r="R941" s="9">
        <f t="shared" ref="R941" si="1856">SUM(R933:R936)</f>
        <v>1104900</v>
      </c>
      <c r="S941" s="47">
        <f t="shared" ref="S941" si="1857">SUM(S933:S936)</f>
        <v>1127100</v>
      </c>
    </row>
    <row r="942" spans="1:21" s="39" customFormat="1" x14ac:dyDescent="0.2">
      <c r="A942" s="128">
        <f>A940+A941</f>
        <v>-778200</v>
      </c>
      <c r="B942" s="280">
        <f>B940+B941</f>
        <v>-775700</v>
      </c>
      <c r="C942" s="280">
        <f>C940+C941</f>
        <v>-817700</v>
      </c>
      <c r="D942" s="280">
        <f>D940+D941</f>
        <v>-987600</v>
      </c>
      <c r="E942" s="515">
        <f t="shared" ref="E942" si="1858">E940+E941</f>
        <v>-1044400</v>
      </c>
      <c r="F942" s="372"/>
      <c r="G942" s="360" t="s">
        <v>1659</v>
      </c>
      <c r="H942" s="280">
        <f t="shared" ref="H942:O942" si="1859">H940+H941</f>
        <v>-959500</v>
      </c>
      <c r="I942" s="278">
        <f>IF(E942=H942,0,IF(E942=0,100,(H942-E942)/E942*100))</f>
        <v>-8.1290693220988128</v>
      </c>
      <c r="J942" s="280">
        <f t="shared" si="1859"/>
        <v>-1063800</v>
      </c>
      <c r="K942" s="280">
        <f t="shared" si="1859"/>
        <v>-1111300</v>
      </c>
      <c r="L942" s="280">
        <f t="shared" si="1859"/>
        <v>-1141000</v>
      </c>
      <c r="M942" s="280">
        <f t="shared" si="1859"/>
        <v>-1171500</v>
      </c>
      <c r="N942" s="280">
        <f t="shared" si="1859"/>
        <v>-1202600</v>
      </c>
      <c r="O942" s="280">
        <f t="shared" si="1859"/>
        <v>-1234200</v>
      </c>
      <c r="P942" s="280">
        <f t="shared" ref="P942:Q942" si="1860">P940+P941</f>
        <v>-1266900</v>
      </c>
      <c r="Q942" s="280">
        <f t="shared" si="1860"/>
        <v>-1300300</v>
      </c>
      <c r="R942" s="280">
        <f t="shared" ref="R942" si="1861">R940+R941</f>
        <v>-1334500</v>
      </c>
      <c r="S942" s="2343">
        <f t="shared" ref="S942" si="1862">S940+S941</f>
        <v>-1369700</v>
      </c>
      <c r="U942" s="34"/>
    </row>
    <row r="943" spans="1:21" ht="13.5" thickBot="1" x14ac:dyDescent="0.25">
      <c r="A943" s="26"/>
      <c r="B943" s="37"/>
      <c r="C943" s="146"/>
      <c r="D943" s="146"/>
      <c r="E943" s="1437"/>
      <c r="F943" s="168"/>
      <c r="G943" s="259"/>
      <c r="H943" s="68"/>
      <c r="I943" s="275"/>
      <c r="J943" s="68"/>
      <c r="K943" s="68"/>
      <c r="L943" s="68"/>
      <c r="M943" s="68"/>
      <c r="N943" s="68"/>
      <c r="O943" s="68"/>
      <c r="P943" s="68"/>
      <c r="Q943" s="68"/>
      <c r="R943" s="68"/>
      <c r="S943" s="108"/>
    </row>
    <row r="944" spans="1:21" ht="13.5" thickTop="1" x14ac:dyDescent="0.2">
      <c r="A944" s="24"/>
      <c r="B944" s="75"/>
      <c r="C944" s="139"/>
      <c r="D944" s="139"/>
      <c r="E944" s="143"/>
      <c r="F944" s="167"/>
      <c r="G944" s="361" t="s">
        <v>192</v>
      </c>
      <c r="H944" s="9"/>
      <c r="I944" s="126"/>
      <c r="J944" s="9"/>
      <c r="K944" s="9"/>
      <c r="L944" s="9"/>
      <c r="M944" s="9"/>
      <c r="N944" s="9"/>
      <c r="O944" s="9"/>
      <c r="P944" s="9"/>
      <c r="Q944" s="9"/>
      <c r="R944" s="9"/>
      <c r="S944" s="61"/>
    </row>
    <row r="945" spans="1:21" x14ac:dyDescent="0.2">
      <c r="A945" s="54">
        <v>0</v>
      </c>
      <c r="B945" s="89">
        <v>0</v>
      </c>
      <c r="C945" s="136">
        <v>0</v>
      </c>
      <c r="D945" s="136">
        <v>0</v>
      </c>
      <c r="E945" s="144">
        <v>0</v>
      </c>
      <c r="F945" s="167"/>
      <c r="G945" s="257" t="s">
        <v>2848</v>
      </c>
      <c r="H945" s="9">
        <v>0</v>
      </c>
      <c r="I945" s="85">
        <f t="shared" ref="I945:I950" si="1863">IF(E945=H945,0,IF(E945=0,100,(H945-E945)/E945*100))</f>
        <v>0</v>
      </c>
      <c r="J945" s="9">
        <v>0</v>
      </c>
      <c r="K945" s="9">
        <v>0</v>
      </c>
      <c r="L945" s="9">
        <v>0</v>
      </c>
      <c r="M945" s="9">
        <v>0</v>
      </c>
      <c r="N945" s="9">
        <v>0</v>
      </c>
      <c r="O945" s="9">
        <v>0</v>
      </c>
      <c r="P945" s="9">
        <v>0</v>
      </c>
      <c r="Q945" s="9">
        <v>0</v>
      </c>
      <c r="R945" s="9">
        <v>0</v>
      </c>
      <c r="S945" s="47">
        <v>0</v>
      </c>
    </row>
    <row r="946" spans="1:21" x14ac:dyDescent="0.2">
      <c r="A946" s="54">
        <v>1582700</v>
      </c>
      <c r="B946" s="89">
        <v>355000</v>
      </c>
      <c r="C946" s="136">
        <v>1498300</v>
      </c>
      <c r="D946" s="136">
        <f>SUM('Res-Gen'!B165:B169)+'Res-Gen'!B235+50000+30000+15000</f>
        <v>902000</v>
      </c>
      <c r="E946" s="144">
        <v>1817000</v>
      </c>
      <c r="F946" s="167"/>
      <c r="G946" s="257" t="s">
        <v>1909</v>
      </c>
      <c r="H946" s="9">
        <v>18100</v>
      </c>
      <c r="I946" s="85">
        <f t="shared" si="1863"/>
        <v>-99.003852504127693</v>
      </c>
      <c r="J946" s="9">
        <f>SUM('Res-Gen'!K163:K169)</f>
        <v>0</v>
      </c>
      <c r="K946" s="9">
        <f>SUM('Res-Gen'!N163:N169)</f>
        <v>0</v>
      </c>
      <c r="L946" s="9">
        <f>SUM('Res-Gen'!Q163:Q169)</f>
        <v>0</v>
      </c>
      <c r="M946" s="9">
        <f>SUM('Res-Gen'!T163:T169)</f>
        <v>0</v>
      </c>
      <c r="N946" s="9">
        <f>SUM('Res-Gen'!W163:W169)</f>
        <v>0</v>
      </c>
      <c r="O946" s="9">
        <f>SUM('Res-Gen'!Z163:Z169)</f>
        <v>0</v>
      </c>
      <c r="P946" s="9">
        <f>SUM('Res-Gen'!AC163:AC169)</f>
        <v>0</v>
      </c>
      <c r="Q946" s="9">
        <f>SUM('Res-Gen'!AF163:AF169)</f>
        <v>0</v>
      </c>
      <c r="R946" s="9">
        <f>SUM('Res-Gen'!AG163:AG169)</f>
        <v>0</v>
      </c>
      <c r="S946" s="47">
        <f>SUM('Res-Gen'!AH163:AH169)</f>
        <v>0</v>
      </c>
    </row>
    <row r="947" spans="1:21" x14ac:dyDescent="0.2">
      <c r="A947" s="54">
        <f>72400</f>
        <v>72400</v>
      </c>
      <c r="B947" s="89">
        <v>330400</v>
      </c>
      <c r="C947" s="136">
        <v>1236000</v>
      </c>
      <c r="D947" s="136">
        <f>SUM('Res-Gen'!C165:C171)+'Res-Gen'!C73+'Res-Gen'!C74+119800+25000</f>
        <v>1430200</v>
      </c>
      <c r="E947" s="144">
        <v>1491400</v>
      </c>
      <c r="F947" s="167"/>
      <c r="G947" s="257" t="s">
        <v>2309</v>
      </c>
      <c r="H947" s="9">
        <f>'Res-Gen'!I104+'Res-Gen'!I169+'Res-Gen'!I166+'Res-Gen'!I167+'Res-Gen'!I165</f>
        <v>1112100</v>
      </c>
      <c r="I947" s="85">
        <f t="shared" si="1863"/>
        <v>-25.432479549416655</v>
      </c>
      <c r="J947" s="9">
        <f>+SUM('Res-Gen'!L163:L171)</f>
        <v>0</v>
      </c>
      <c r="K947" s="9">
        <f>SUM('Res-Gen'!O163:O171)</f>
        <v>0</v>
      </c>
      <c r="L947" s="9">
        <f>+SUM('Res-Gen'!R163:R171)</f>
        <v>0</v>
      </c>
      <c r="M947" s="9">
        <f>+SUM('Res-Gen'!U163:U171)</f>
        <v>2100000</v>
      </c>
      <c r="N947" s="9">
        <f>SUM('Res-Gen'!X163:X171)</f>
        <v>1500000</v>
      </c>
      <c r="O947" s="9">
        <f>SUM('Res-Gen'!AA163:AA171)</f>
        <v>1000000</v>
      </c>
      <c r="P947" s="9">
        <f>SUM('Res-Gen'!AD163:AD171)</f>
        <v>1700000</v>
      </c>
      <c r="Q947" s="9">
        <f>SUM('Res-Gen'!AG163:AG171)</f>
        <v>1700000</v>
      </c>
      <c r="R947" s="9">
        <f>SUM('Res-Gen'!AJ163:AJ171)</f>
        <v>1700000</v>
      </c>
      <c r="S947" s="47">
        <f>SUM('Res-Gen'!AM163:AM171)</f>
        <v>1700000</v>
      </c>
    </row>
    <row r="948" spans="1:21" x14ac:dyDescent="0.2">
      <c r="A948" s="54">
        <v>90000</v>
      </c>
      <c r="B948" s="89">
        <v>684100</v>
      </c>
      <c r="C948" s="136">
        <v>555800</v>
      </c>
      <c r="D948" s="136">
        <v>447700</v>
      </c>
      <c r="E948" s="144">
        <v>1024300</v>
      </c>
      <c r="F948" s="167"/>
      <c r="G948" s="257" t="s">
        <v>5847</v>
      </c>
      <c r="H948" s="9">
        <f>SUM('Cap Inc'!F29:F34)</f>
        <v>0</v>
      </c>
      <c r="I948" s="85">
        <f t="shared" si="1863"/>
        <v>-100</v>
      </c>
      <c r="J948" s="9">
        <f>SUM('Cap Inc'!G29:G34)</f>
        <v>0</v>
      </c>
      <c r="K948" s="9">
        <f>SUM('Cap Inc'!H29:H34)</f>
        <v>0</v>
      </c>
      <c r="L948" s="9">
        <f>SUM('Cap Inc'!I29:I34)</f>
        <v>0</v>
      </c>
      <c r="M948" s="9">
        <f>SUM('Cap Inc'!J29:J34)</f>
        <v>0</v>
      </c>
      <c r="N948" s="9">
        <f>SUM('Cap Inc'!K29:K34)</f>
        <v>0</v>
      </c>
      <c r="O948" s="9">
        <f>SUM('Cap Inc'!L29:L34)</f>
        <v>0</v>
      </c>
      <c r="P948" s="9">
        <f>SUM('Cap Inc'!M29:M34)</f>
        <v>0</v>
      </c>
      <c r="Q948" s="9">
        <f>SUM('Cap Inc'!N29:N34)</f>
        <v>0</v>
      </c>
      <c r="R948" s="9">
        <f>SUM('Cap Inc'!O29:O34)</f>
        <v>0</v>
      </c>
      <c r="S948" s="47">
        <f>SUM('Cap Inc'!P29:P34)</f>
        <v>0</v>
      </c>
    </row>
    <row r="949" spans="1:21" x14ac:dyDescent="0.2">
      <c r="A949" s="54">
        <v>70869</v>
      </c>
      <c r="B949" s="89">
        <v>890500</v>
      </c>
      <c r="C949" s="136">
        <v>523100</v>
      </c>
      <c r="D949" s="136">
        <f>SUM('Cap-Gen'!E93:E111)+'Cap-Gen'!E11</f>
        <v>1218200</v>
      </c>
      <c r="E949" s="144">
        <f>SUM('Cap-Gen'!F93:F111)+25000</f>
        <v>1119500</v>
      </c>
      <c r="F949" s="167"/>
      <c r="G949" s="257" t="s">
        <v>958</v>
      </c>
      <c r="H949" s="9">
        <f>SUM('Cap-Gen'!G93:G111)</f>
        <v>1420100</v>
      </c>
      <c r="I949" s="85">
        <f t="shared" si="1863"/>
        <v>26.851272889682892</v>
      </c>
      <c r="J949" s="9">
        <f>SUM('Cap-Gen'!H93:H111)</f>
        <v>346000</v>
      </c>
      <c r="K949" s="9">
        <f>SUM('Cap-Gen'!I93:I111)</f>
        <v>360000</v>
      </c>
      <c r="L949" s="9">
        <f>SUM('Cap-Gen'!J93:J111)</f>
        <v>619000</v>
      </c>
      <c r="M949" s="9">
        <f>SUM('Cap-Gen'!K93:K111)</f>
        <v>2728000</v>
      </c>
      <c r="N949" s="9">
        <f>SUM('Cap-Gen'!L93:L111)</f>
        <v>2138000</v>
      </c>
      <c r="O949" s="9">
        <f>SUM('Cap-Gen'!M93:M111)</f>
        <v>1648000</v>
      </c>
      <c r="P949" s="9">
        <f>SUM('Cap-Gen'!N93:N111)</f>
        <v>2358000</v>
      </c>
      <c r="Q949" s="9">
        <f>SUM('Cap-Gen'!O93:O111)</f>
        <v>2368000</v>
      </c>
      <c r="R949" s="9">
        <f>SUM('Cap-Gen'!P93:P111)</f>
        <v>2378000</v>
      </c>
      <c r="S949" s="47">
        <f>SUM('Cap-Gen'!Q93:Q111)</f>
        <v>2388000</v>
      </c>
    </row>
    <row r="950" spans="1:21" s="39" customFormat="1" x14ac:dyDescent="0.2">
      <c r="A950" s="128">
        <f>A942-A945-A946+A947+A948-A949</f>
        <v>-2269369</v>
      </c>
      <c r="B950" s="266">
        <f>B942-B945-B946+B947+B948-B949</f>
        <v>-1006700</v>
      </c>
      <c r="C950" s="281">
        <f>C942-C945-C946+C947+C948-C949</f>
        <v>-1047300</v>
      </c>
      <c r="D950" s="281">
        <f>D942-D945-D946+D947+D948-D949</f>
        <v>-1229900</v>
      </c>
      <c r="E950" s="1513">
        <f t="shared" ref="E950" si="1864">E942-E945-E946+E947+E948-E949</f>
        <v>-1465200</v>
      </c>
      <c r="F950" s="372"/>
      <c r="G950" s="363" t="s">
        <v>2447</v>
      </c>
      <c r="H950" s="280">
        <f t="shared" ref="H950:P950" si="1865">H942-H945-H946+H947+H948-H949</f>
        <v>-1285600</v>
      </c>
      <c r="I950" s="278">
        <f t="shared" si="1863"/>
        <v>-12.257712257712258</v>
      </c>
      <c r="J950" s="280">
        <f t="shared" si="1865"/>
        <v>-1409800</v>
      </c>
      <c r="K950" s="280">
        <f t="shared" si="1865"/>
        <v>-1471300</v>
      </c>
      <c r="L950" s="280">
        <f t="shared" si="1865"/>
        <v>-1760000</v>
      </c>
      <c r="M950" s="280">
        <f t="shared" si="1865"/>
        <v>-1799500</v>
      </c>
      <c r="N950" s="280">
        <f t="shared" si="1865"/>
        <v>-1840600</v>
      </c>
      <c r="O950" s="280">
        <f t="shared" si="1865"/>
        <v>-1882200</v>
      </c>
      <c r="P950" s="280">
        <f t="shared" si="1865"/>
        <v>-1924900</v>
      </c>
      <c r="Q950" s="280">
        <f t="shared" ref="Q950" si="1866">Q942-Q945-Q946+Q947+Q948-Q949</f>
        <v>-1968300</v>
      </c>
      <c r="R950" s="280">
        <f t="shared" ref="R950:S950" si="1867">R942-R945-R946+R947+R948-R949</f>
        <v>-2012500</v>
      </c>
      <c r="S950" s="282">
        <f t="shared" si="1867"/>
        <v>-2057700</v>
      </c>
      <c r="U950" s="34"/>
    </row>
    <row r="951" spans="1:21" ht="13.5" thickBot="1" x14ac:dyDescent="0.25">
      <c r="A951" s="26"/>
      <c r="B951" s="81"/>
      <c r="C951" s="141"/>
      <c r="D951" s="141"/>
      <c r="E951" s="1437"/>
      <c r="F951" s="166"/>
      <c r="G951" s="259"/>
      <c r="H951" s="23"/>
      <c r="I951" s="275"/>
      <c r="J951" s="23"/>
      <c r="K951" s="23"/>
      <c r="L951" s="23"/>
      <c r="M951" s="23"/>
      <c r="N951" s="23"/>
      <c r="O951" s="23"/>
      <c r="P951" s="23"/>
      <c r="Q951" s="23"/>
      <c r="R951" s="23"/>
      <c r="S951" s="112"/>
    </row>
    <row r="952" spans="1:21" s="46" customFormat="1" ht="14.25" thickTop="1" thickBot="1" x14ac:dyDescent="0.25">
      <c r="C952" s="144"/>
      <c r="D952" s="144"/>
      <c r="E952" s="144"/>
      <c r="F952" s="373"/>
      <c r="I952" s="70"/>
      <c r="U952" s="34"/>
    </row>
    <row r="953" spans="1:21" s="38" customFormat="1" ht="18.75" customHeight="1" thickTop="1" thickBot="1" x14ac:dyDescent="0.3">
      <c r="A953" s="2588" t="s">
        <v>451</v>
      </c>
      <c r="B953" s="2589"/>
      <c r="C953" s="2589"/>
      <c r="D953" s="2589"/>
      <c r="E953" s="2589"/>
      <c r="F953" s="2589"/>
      <c r="G953" s="2589"/>
      <c r="H953" s="2589"/>
      <c r="I953" s="2589"/>
      <c r="J953" s="2589"/>
      <c r="K953" s="2589"/>
      <c r="L953" s="2589"/>
      <c r="M953" s="2589"/>
      <c r="N953" s="2589"/>
      <c r="O953" s="2589"/>
      <c r="P953" s="2589"/>
      <c r="Q953" s="2589"/>
      <c r="R953" s="2589"/>
      <c r="S953" s="2590"/>
      <c r="U953" s="34"/>
    </row>
    <row r="954" spans="1:21" s="39" customFormat="1" ht="13.5" thickBot="1" x14ac:dyDescent="0.25">
      <c r="A954" s="2591" t="s">
        <v>1824</v>
      </c>
      <c r="B954" s="2577"/>
      <c r="C954" s="2577"/>
      <c r="D954" s="2577"/>
      <c r="E954" s="2592"/>
      <c r="F954" s="127" t="s">
        <v>2616</v>
      </c>
      <c r="G954" s="127" t="s">
        <v>2213</v>
      </c>
      <c r="H954" s="2568" t="s">
        <v>2215</v>
      </c>
      <c r="I954" s="2568"/>
      <c r="J954" s="2568"/>
      <c r="K954" s="2568"/>
      <c r="L954" s="2568"/>
      <c r="M954" s="2568"/>
      <c r="N954" s="2568"/>
      <c r="O954" s="2568"/>
      <c r="P954" s="2568"/>
      <c r="Q954" s="2568"/>
      <c r="R954" s="2568"/>
      <c r="S954" s="2607"/>
      <c r="U954" s="34"/>
    </row>
    <row r="955" spans="1:21" ht="12.75" customHeight="1" thickBot="1" x14ac:dyDescent="0.25">
      <c r="A955" s="541" t="str">
        <f>A3</f>
        <v>2012/13</v>
      </c>
      <c r="B955" s="28" t="str">
        <f>B3</f>
        <v>2013/14</v>
      </c>
      <c r="C955" s="40" t="str">
        <f>C3</f>
        <v>2014/15</v>
      </c>
      <c r="D955" s="40" t="str">
        <f>D3</f>
        <v>2015/16</v>
      </c>
      <c r="E955" s="40" t="str">
        <f>E3</f>
        <v>2016/17</v>
      </c>
      <c r="F955" s="40" t="s">
        <v>2617</v>
      </c>
      <c r="G955" s="41"/>
      <c r="H955" s="40" t="str">
        <f>H3</f>
        <v>2017/18</v>
      </c>
      <c r="I955" s="1258" t="str">
        <f>I751</f>
        <v>%</v>
      </c>
      <c r="J955" s="40" t="str">
        <f t="shared" ref="J955:S955" si="1868">J3</f>
        <v>2018/19</v>
      </c>
      <c r="K955" s="40" t="str">
        <f t="shared" si="1868"/>
        <v>2019/20</v>
      </c>
      <c r="L955" s="40" t="str">
        <f t="shared" si="1868"/>
        <v>2020/21</v>
      </c>
      <c r="M955" s="40" t="str">
        <f t="shared" si="1868"/>
        <v>2021/22</v>
      </c>
      <c r="N955" s="40" t="str">
        <f t="shared" si="1868"/>
        <v>2022/23</v>
      </c>
      <c r="O955" s="40" t="str">
        <f t="shared" si="1868"/>
        <v>2023/24</v>
      </c>
      <c r="P955" s="40" t="str">
        <f t="shared" si="1868"/>
        <v>2024/25</v>
      </c>
      <c r="Q955" s="28" t="str">
        <f t="shared" si="1868"/>
        <v>2025/26</v>
      </c>
      <c r="R955" s="28" t="str">
        <f t="shared" si="1868"/>
        <v>2026/27</v>
      </c>
      <c r="S955" s="1620" t="str">
        <f t="shared" si="1868"/>
        <v>2027/28</v>
      </c>
    </row>
    <row r="956" spans="1:21" x14ac:dyDescent="0.2">
      <c r="A956" s="45"/>
      <c r="B956" s="9"/>
      <c r="C956" s="134"/>
      <c r="D956" s="134"/>
      <c r="E956" s="134"/>
      <c r="F956" s="1152"/>
      <c r="G956" s="29"/>
      <c r="H956" s="9"/>
      <c r="I956" s="85"/>
      <c r="J956" s="9"/>
      <c r="K956" s="9"/>
      <c r="L956" s="9"/>
      <c r="M956" s="9"/>
      <c r="N956" s="9"/>
      <c r="O956" s="9"/>
      <c r="P956" s="9"/>
      <c r="Q956" s="9"/>
      <c r="R956" s="9"/>
      <c r="S956" s="61"/>
    </row>
    <row r="957" spans="1:21" x14ac:dyDescent="0.2">
      <c r="A957" s="45"/>
      <c r="B957" s="9"/>
      <c r="C957" s="134"/>
      <c r="D957" s="134"/>
      <c r="E957" s="134"/>
      <c r="F957" s="1152"/>
      <c r="G957" s="50" t="s">
        <v>1056</v>
      </c>
      <c r="H957" s="9"/>
      <c r="I957" s="85"/>
      <c r="J957" s="9"/>
      <c r="K957" s="9"/>
      <c r="L957" s="9"/>
      <c r="M957" s="9"/>
      <c r="N957" s="9"/>
      <c r="O957" s="9"/>
      <c r="P957" s="9"/>
      <c r="Q957" s="9"/>
      <c r="R957" s="9"/>
      <c r="S957" s="61"/>
    </row>
    <row r="958" spans="1:21" x14ac:dyDescent="0.2">
      <c r="A958" s="45"/>
      <c r="B958" s="9"/>
      <c r="C958" s="134"/>
      <c r="E958" s="134"/>
      <c r="F958" s="1152"/>
      <c r="G958" s="32" t="s">
        <v>60</v>
      </c>
      <c r="H958" s="9"/>
      <c r="I958" s="85"/>
      <c r="J958" s="9"/>
      <c r="K958" s="9"/>
      <c r="L958" s="9"/>
      <c r="M958" s="9"/>
      <c r="N958" s="9"/>
      <c r="O958" s="9"/>
      <c r="P958" s="9"/>
      <c r="Q958" s="9"/>
      <c r="R958" s="9"/>
      <c r="S958" s="61"/>
    </row>
    <row r="959" spans="1:21" x14ac:dyDescent="0.2">
      <c r="A959" s="54">
        <v>279500</v>
      </c>
      <c r="B959" s="9">
        <v>282100</v>
      </c>
      <c r="C959" s="134">
        <v>284000</v>
      </c>
      <c r="D959" s="136">
        <v>369500</v>
      </c>
      <c r="E959" s="134">
        <v>375100</v>
      </c>
      <c r="F959" s="469" t="s">
        <v>2504</v>
      </c>
      <c r="G959" s="29" t="s">
        <v>1311</v>
      </c>
      <c r="H959" s="9">
        <v>380000</v>
      </c>
      <c r="I959" s="85">
        <f>IF(E959=H959,0,IF(E959=0,100,(H959-E959)/E959*100))</f>
        <v>1.3063183151159692</v>
      </c>
      <c r="J959" s="9">
        <f>ROUNDUP(H959+(H959*Assumptions!I$8),-2)</f>
        <v>381900</v>
      </c>
      <c r="K959" s="9">
        <f>ROUNDUP(J959+(J959*Assumptions!J$8),-2)</f>
        <v>383900</v>
      </c>
      <c r="L959" s="9">
        <f>ROUNDUP(K959+(K959*Assumptions!K$8),-2)</f>
        <v>385900</v>
      </c>
      <c r="M959" s="9">
        <f>ROUNDUP(L959+(L959*Assumptions!L$8),-2)</f>
        <v>387900</v>
      </c>
      <c r="N959" s="9">
        <f>ROUNDUP(M959+(M959*Assumptions!M$8),-2)</f>
        <v>389900</v>
      </c>
      <c r="O959" s="9">
        <f>ROUNDUP(N959+(N959*Assumptions!N$8),-2)</f>
        <v>391900</v>
      </c>
      <c r="P959" s="9">
        <f>ROUNDUP(O959+(O959*Assumptions!O$8),-2)</f>
        <v>393900</v>
      </c>
      <c r="Q959" s="9">
        <f>ROUNDUP(P959+(P959*Assumptions!P$8),-2)</f>
        <v>395900</v>
      </c>
      <c r="R959" s="9">
        <f>ROUNDUP(Q959+(Q959*Assumptions!Q$8),-2)</f>
        <v>397900</v>
      </c>
      <c r="S959" s="47">
        <f>ROUNDUP(R959+(R959*Assumptions!R$8),-2)</f>
        <v>399900</v>
      </c>
    </row>
    <row r="960" spans="1:21" x14ac:dyDescent="0.2">
      <c r="A960" s="54"/>
      <c r="B960" s="9"/>
      <c r="C960" s="134"/>
      <c r="E960" s="134"/>
      <c r="F960" s="469"/>
      <c r="G960" s="1990" t="s">
        <v>823</v>
      </c>
      <c r="H960" s="9"/>
      <c r="I960" s="85"/>
      <c r="J960" s="9"/>
      <c r="K960" s="9"/>
      <c r="L960" s="9"/>
      <c r="M960" s="9"/>
      <c r="N960" s="9"/>
      <c r="O960" s="9"/>
      <c r="P960" s="9"/>
      <c r="Q960" s="9"/>
      <c r="R960" s="9"/>
      <c r="S960" s="47"/>
    </row>
    <row r="961" spans="1:21" x14ac:dyDescent="0.2">
      <c r="A961" s="54">
        <v>8000</v>
      </c>
      <c r="B961" s="9">
        <v>21500</v>
      </c>
      <c r="C961" s="134">
        <v>7700</v>
      </c>
      <c r="D961" s="136">
        <v>0</v>
      </c>
      <c r="E961" s="134">
        <v>22800</v>
      </c>
      <c r="F961" s="469" t="s">
        <v>2505</v>
      </c>
      <c r="G961" s="1971" t="s">
        <v>5238</v>
      </c>
      <c r="H961" s="9">
        <v>20000</v>
      </c>
      <c r="I961" s="85">
        <f>IF(E961=H961,0,IF(E961=0,100,(H961-E961)/E961*100))</f>
        <v>-12.280701754385964</v>
      </c>
      <c r="J961" s="9">
        <v>0</v>
      </c>
      <c r="K961" s="9">
        <f>ROUNDUP(J961+(J961*Assumptions!J$5),-2)</f>
        <v>0</v>
      </c>
      <c r="L961" s="9">
        <f>ROUNDUP(K961+(K961*Assumptions!K$5),-2)</f>
        <v>0</v>
      </c>
      <c r="M961" s="9">
        <f>ROUNDUP(L961+(L961*Assumptions!L$5),-2)</f>
        <v>0</v>
      </c>
      <c r="N961" s="9">
        <f>ROUNDUP(M961+(M961*Assumptions!M$5),-2)</f>
        <v>0</v>
      </c>
      <c r="O961" s="9">
        <f>ROUNDUP(N961+(N961*Assumptions!N$5),-2)</f>
        <v>0</v>
      </c>
      <c r="P961" s="9">
        <f>ROUNDUP(O961+(O961*Assumptions!O$5),-2)</f>
        <v>0</v>
      </c>
      <c r="Q961" s="9">
        <f>ROUNDUP(P961+(P961*Assumptions!P$5),-2)</f>
        <v>0</v>
      </c>
      <c r="R961" s="9">
        <f>ROUNDUP(Q961+(Q961*Assumptions!Q$5),-2)</f>
        <v>0</v>
      </c>
      <c r="S961" s="47">
        <f>ROUNDUP(R961+(R961*Assumptions!R$5),-2)</f>
        <v>0</v>
      </c>
    </row>
    <row r="962" spans="1:21" x14ac:dyDescent="0.2">
      <c r="A962" s="54"/>
      <c r="B962" s="9"/>
      <c r="E962" s="134"/>
      <c r="F962" s="469"/>
      <c r="G962" s="1545" t="s">
        <v>1242</v>
      </c>
      <c r="H962" s="9"/>
      <c r="I962" s="85"/>
      <c r="J962" s="9"/>
      <c r="K962" s="9"/>
      <c r="L962" s="9"/>
      <c r="M962" s="9"/>
      <c r="N962" s="9"/>
      <c r="O962" s="9"/>
      <c r="P962" s="9"/>
      <c r="Q962" s="9"/>
      <c r="R962" s="9"/>
      <c r="S962" s="47"/>
    </row>
    <row r="963" spans="1:21" x14ac:dyDescent="0.2">
      <c r="A963" s="54">
        <v>20900</v>
      </c>
      <c r="B963" s="9">
        <f>19100+2800</f>
        <v>21900</v>
      </c>
      <c r="C963" s="136">
        <v>0</v>
      </c>
      <c r="D963" s="136">
        <v>5100</v>
      </c>
      <c r="E963" s="134">
        <v>0</v>
      </c>
      <c r="F963" s="469" t="s">
        <v>176</v>
      </c>
      <c r="G963" s="1971" t="s">
        <v>7079</v>
      </c>
      <c r="H963" s="9">
        <v>66000</v>
      </c>
      <c r="I963" s="85">
        <f>IF(E963=H963,0,IF(E963=0,100,(H963-E963)/E963*100))</f>
        <v>100</v>
      </c>
      <c r="J963" s="9">
        <v>100000</v>
      </c>
      <c r="K963" s="9">
        <v>100000</v>
      </c>
      <c r="L963" s="9">
        <v>0</v>
      </c>
      <c r="M963" s="9">
        <v>0</v>
      </c>
      <c r="N963" s="9">
        <v>0</v>
      </c>
      <c r="O963" s="9">
        <v>0</v>
      </c>
      <c r="P963" s="9">
        <v>0</v>
      </c>
      <c r="Q963" s="9">
        <v>0</v>
      </c>
      <c r="R963" s="9">
        <v>0</v>
      </c>
      <c r="S963" s="47">
        <v>0</v>
      </c>
    </row>
    <row r="964" spans="1:21" x14ac:dyDescent="0.2">
      <c r="A964" s="54"/>
      <c r="B964" s="9"/>
      <c r="E964" s="134">
        <v>20100</v>
      </c>
      <c r="F964" s="849" t="s">
        <v>11561</v>
      </c>
      <c r="G964" s="1971" t="s">
        <v>11799</v>
      </c>
      <c r="H964" s="9"/>
      <c r="I964" s="85"/>
      <c r="J964" s="9"/>
      <c r="K964" s="9"/>
      <c r="L964" s="9"/>
      <c r="M964" s="9"/>
      <c r="N964" s="9"/>
      <c r="O964" s="9"/>
      <c r="P964" s="9"/>
      <c r="Q964" s="9"/>
      <c r="R964" s="9"/>
      <c r="S964" s="47"/>
    </row>
    <row r="965" spans="1:21" x14ac:dyDescent="0.2">
      <c r="A965" s="54">
        <v>0</v>
      </c>
      <c r="B965" s="9">
        <v>0</v>
      </c>
      <c r="C965" s="136">
        <v>0</v>
      </c>
      <c r="D965" s="136">
        <v>0</v>
      </c>
      <c r="E965" s="134">
        <v>41600</v>
      </c>
      <c r="F965" s="849" t="s">
        <v>6859</v>
      </c>
      <c r="G965" s="1971" t="s">
        <v>5240</v>
      </c>
      <c r="H965" s="9">
        <v>30000</v>
      </c>
      <c r="I965" s="85">
        <f>IF(E965=H965,0,IF(E965=0,100,(H965-E965)/E965*100))</f>
        <v>-27.884615384615387</v>
      </c>
      <c r="J965" s="9">
        <v>30000</v>
      </c>
      <c r="K965" s="9">
        <v>0</v>
      </c>
      <c r="L965" s="9">
        <v>0</v>
      </c>
      <c r="M965" s="9">
        <v>0</v>
      </c>
      <c r="N965" s="9">
        <v>0</v>
      </c>
      <c r="O965" s="9">
        <v>0</v>
      </c>
      <c r="P965" s="9">
        <v>0</v>
      </c>
      <c r="Q965" s="9">
        <v>0</v>
      </c>
      <c r="R965" s="9">
        <v>0</v>
      </c>
      <c r="S965" s="47">
        <v>0</v>
      </c>
    </row>
    <row r="966" spans="1:21" x14ac:dyDescent="0.2">
      <c r="A966" s="54">
        <v>20900</v>
      </c>
      <c r="B966" s="9">
        <f>19100+2800</f>
        <v>21900</v>
      </c>
      <c r="C966" s="136">
        <v>0</v>
      </c>
      <c r="D966" s="136">
        <v>0</v>
      </c>
      <c r="E966" s="134">
        <v>70000</v>
      </c>
      <c r="F966" s="849" t="s">
        <v>6661</v>
      </c>
      <c r="G966" s="1971" t="s">
        <v>6662</v>
      </c>
      <c r="H966" s="9">
        <v>25000</v>
      </c>
      <c r="I966" s="85">
        <f>IF(E966=H966,0,IF(E966=0,100,(H966-E966)/E966*100))</f>
        <v>-64.285714285714292</v>
      </c>
      <c r="J966" s="9">
        <v>0</v>
      </c>
      <c r="K966" s="9">
        <v>0</v>
      </c>
      <c r="L966" s="9">
        <v>0</v>
      </c>
      <c r="M966" s="9">
        <v>0</v>
      </c>
      <c r="N966" s="9">
        <v>0</v>
      </c>
      <c r="O966" s="9">
        <v>0</v>
      </c>
      <c r="P966" s="9">
        <v>0</v>
      </c>
      <c r="Q966" s="9">
        <v>0</v>
      </c>
      <c r="R966" s="9">
        <v>0</v>
      </c>
      <c r="S966" s="47">
        <v>0</v>
      </c>
    </row>
    <row r="967" spans="1:21" x14ac:dyDescent="0.2">
      <c r="A967" s="54">
        <v>0</v>
      </c>
      <c r="B967" s="9">
        <v>0</v>
      </c>
      <c r="C967" s="136">
        <v>0</v>
      </c>
      <c r="D967" s="136">
        <v>0</v>
      </c>
      <c r="E967" s="134">
        <v>0</v>
      </c>
      <c r="F967" s="849">
        <v>22010</v>
      </c>
      <c r="G967" s="1971" t="s">
        <v>11846</v>
      </c>
      <c r="H967" s="9">
        <v>10000</v>
      </c>
      <c r="I967" s="85">
        <f>IF(E967=H967,0,IF(E967=0,100,(H967-E967)/E967*100))</f>
        <v>100</v>
      </c>
      <c r="J967" s="9">
        <v>0</v>
      </c>
      <c r="K967" s="9">
        <v>0</v>
      </c>
      <c r="L967" s="9">
        <v>0</v>
      </c>
      <c r="M967" s="9">
        <v>0</v>
      </c>
      <c r="N967" s="9">
        <v>0</v>
      </c>
      <c r="O967" s="9">
        <v>0</v>
      </c>
      <c r="P967" s="9">
        <v>0</v>
      </c>
      <c r="Q967" s="9">
        <v>0</v>
      </c>
      <c r="R967" s="9">
        <v>0</v>
      </c>
      <c r="S967" s="47">
        <v>0</v>
      </c>
    </row>
    <row r="968" spans="1:21" x14ac:dyDescent="0.2">
      <c r="A968" s="54">
        <v>0</v>
      </c>
      <c r="B968" s="9">
        <v>0</v>
      </c>
      <c r="C968" s="136">
        <v>0</v>
      </c>
      <c r="D968" s="136">
        <v>0</v>
      </c>
      <c r="E968" s="134">
        <v>24400</v>
      </c>
      <c r="F968" s="849" t="s">
        <v>6860</v>
      </c>
      <c r="G968" s="1971" t="s">
        <v>6861</v>
      </c>
      <c r="H968" s="9">
        <v>0</v>
      </c>
      <c r="I968" s="85">
        <f>IF(E968=H968,0,IF(E968=0,100,(H968-E968)/E968*100))</f>
        <v>-100</v>
      </c>
      <c r="J968" s="9">
        <v>0</v>
      </c>
      <c r="K968" s="9">
        <v>0</v>
      </c>
      <c r="L968" s="9">
        <v>0</v>
      </c>
      <c r="M968" s="9">
        <v>0</v>
      </c>
      <c r="N968" s="9">
        <v>0</v>
      </c>
      <c r="O968" s="9">
        <v>0</v>
      </c>
      <c r="P968" s="9">
        <v>0</v>
      </c>
      <c r="Q968" s="9">
        <v>0</v>
      </c>
      <c r="R968" s="9">
        <v>0</v>
      </c>
      <c r="S968" s="47">
        <v>0</v>
      </c>
    </row>
    <row r="969" spans="1:21" ht="13.5" thickBot="1" x14ac:dyDescent="0.25">
      <c r="A969" s="54"/>
      <c r="B969" s="46"/>
      <c r="C969" s="134"/>
      <c r="E969" s="134"/>
      <c r="F969" s="249"/>
      <c r="G969" s="29"/>
      <c r="H969" s="9"/>
      <c r="I969" s="85"/>
      <c r="J969" s="9"/>
      <c r="K969" s="9"/>
      <c r="L969" s="9"/>
      <c r="M969" s="9"/>
      <c r="N969" s="9"/>
      <c r="O969" s="9"/>
      <c r="P969" s="9"/>
      <c r="Q969" s="9"/>
      <c r="R969" s="9"/>
      <c r="S969" s="47"/>
    </row>
    <row r="970" spans="1:21" s="39" customFormat="1" x14ac:dyDescent="0.2">
      <c r="A970" s="52">
        <f>SUM(A957:A969)</f>
        <v>329300</v>
      </c>
      <c r="B970" s="16">
        <f>SUM(B957:B969)</f>
        <v>347400</v>
      </c>
      <c r="C970" s="145">
        <f>SUM(C957:C969)</f>
        <v>291700</v>
      </c>
      <c r="D970" s="137">
        <f>SUM(D957:D969)</f>
        <v>374600</v>
      </c>
      <c r="E970" s="145">
        <f>SUM(E957:E969)</f>
        <v>554000</v>
      </c>
      <c r="F970" s="163"/>
      <c r="G970" s="1158" t="s">
        <v>2561</v>
      </c>
      <c r="H970" s="16">
        <f t="shared" ref="H970:Q970" si="1869">SUM(H957:H969)</f>
        <v>531000</v>
      </c>
      <c r="I970" s="127">
        <f>IF(E970=H970,0,IF(E970=0,100,(H970-E970)/E970*100))</f>
        <v>-4.1516245487364625</v>
      </c>
      <c r="J970" s="16">
        <f t="shared" si="1869"/>
        <v>511900</v>
      </c>
      <c r="K970" s="16">
        <f t="shared" si="1869"/>
        <v>483900</v>
      </c>
      <c r="L970" s="16">
        <f t="shared" si="1869"/>
        <v>385900</v>
      </c>
      <c r="M970" s="16">
        <f t="shared" si="1869"/>
        <v>387900</v>
      </c>
      <c r="N970" s="16">
        <f t="shared" si="1869"/>
        <v>389900</v>
      </c>
      <c r="O970" s="16">
        <f t="shared" si="1869"/>
        <v>391900</v>
      </c>
      <c r="P970" s="16">
        <f t="shared" si="1869"/>
        <v>393900</v>
      </c>
      <c r="Q970" s="16">
        <f t="shared" si="1869"/>
        <v>395900</v>
      </c>
      <c r="R970" s="16">
        <f t="shared" ref="R970" si="1870">SUM(R957:R969)</f>
        <v>397900</v>
      </c>
      <c r="S970" s="2342">
        <f t="shared" ref="S970" si="1871">SUM(S957:S969)</f>
        <v>399900</v>
      </c>
      <c r="U970" s="34"/>
    </row>
    <row r="971" spans="1:21" x14ac:dyDescent="0.2">
      <c r="A971" s="45"/>
      <c r="B971" s="9"/>
      <c r="C971" s="134"/>
      <c r="E971" s="134"/>
      <c r="F971" s="1152"/>
      <c r="G971" s="32"/>
      <c r="H971" s="9"/>
      <c r="I971" s="85"/>
      <c r="J971" s="9"/>
      <c r="K971" s="9"/>
      <c r="L971" s="9"/>
      <c r="M971" s="9"/>
      <c r="N971" s="9"/>
      <c r="O971" s="9"/>
      <c r="P971" s="9"/>
      <c r="Q971" s="9"/>
      <c r="R971" s="9"/>
      <c r="S971" s="47"/>
    </row>
    <row r="972" spans="1:21" x14ac:dyDescent="0.2">
      <c r="A972" s="45"/>
      <c r="B972" s="9"/>
      <c r="C972" s="134"/>
      <c r="E972" s="134"/>
      <c r="F972" s="1152"/>
      <c r="G972" s="50" t="s">
        <v>2169</v>
      </c>
      <c r="H972" s="9"/>
      <c r="I972" s="85"/>
      <c r="J972" s="9"/>
      <c r="K972" s="9"/>
      <c r="L972" s="9"/>
      <c r="M972" s="9"/>
      <c r="N972" s="9"/>
      <c r="O972" s="9"/>
      <c r="P972" s="9"/>
      <c r="Q972" s="9"/>
      <c r="R972" s="9"/>
      <c r="S972" s="47"/>
    </row>
    <row r="973" spans="1:21" x14ac:dyDescent="0.2">
      <c r="A973" s="54"/>
      <c r="B973" s="9"/>
      <c r="E973" s="134"/>
      <c r="F973" s="165"/>
      <c r="G973" s="1158" t="s">
        <v>402</v>
      </c>
      <c r="H973" s="9"/>
      <c r="I973" s="85"/>
      <c r="J973" s="9"/>
      <c r="K973" s="9"/>
      <c r="L973" s="9"/>
      <c r="M973" s="9"/>
      <c r="N973" s="9"/>
      <c r="O973" s="9"/>
      <c r="P973" s="9"/>
      <c r="Q973" s="9"/>
      <c r="R973" s="9"/>
      <c r="S973" s="47"/>
    </row>
    <row r="974" spans="1:21" x14ac:dyDescent="0.2">
      <c r="A974" s="54">
        <v>1400</v>
      </c>
      <c r="B974" s="9">
        <v>1500</v>
      </c>
      <c r="C974" s="136">
        <v>1400</v>
      </c>
      <c r="D974" s="136">
        <v>1500</v>
      </c>
      <c r="E974" s="134">
        <v>1800</v>
      </c>
      <c r="F974" s="769" t="s">
        <v>3199</v>
      </c>
      <c r="G974" s="1150" t="s">
        <v>132</v>
      </c>
      <c r="H974" s="9">
        <v>1500</v>
      </c>
      <c r="I974" s="85">
        <f t="shared" ref="I974:I981" si="1872">IF(E974=H974,0,IF(E974=0,100,(H974-E974)/E974*100))</f>
        <v>-16.666666666666664</v>
      </c>
      <c r="J974" s="9">
        <f>ROUNDUP(H974+(H974*Assumptions!I$5),-2)</f>
        <v>1600</v>
      </c>
      <c r="K974" s="9">
        <f>ROUNDUP(J974+(J974*Assumptions!J$5),-2)</f>
        <v>1700</v>
      </c>
      <c r="L974" s="9">
        <f>ROUNDUP(K974+(K974*Assumptions!K$5),-2)</f>
        <v>1800</v>
      </c>
      <c r="M974" s="9">
        <f>ROUNDUP(L974+(L974*Assumptions!L$5),-2)</f>
        <v>1900</v>
      </c>
      <c r="N974" s="9">
        <f>ROUNDUP(M974+(M974*Assumptions!M$5),-2)</f>
        <v>2000</v>
      </c>
      <c r="O974" s="9">
        <f>ROUNDUP(N974+(N974*Assumptions!N$5),-2)</f>
        <v>2100</v>
      </c>
      <c r="P974" s="9">
        <f>ROUNDUP(O974+(O974*Assumptions!O$5),-2)</f>
        <v>2200</v>
      </c>
      <c r="Q974" s="9">
        <f>ROUNDUP(P974+(P974*Assumptions!P$5),-2)</f>
        <v>2300</v>
      </c>
      <c r="R974" s="9">
        <f>ROUNDUP(Q974+(Q974*Assumptions!Q$5),-2)</f>
        <v>2400</v>
      </c>
      <c r="S974" s="47">
        <f>ROUNDUP(R974+(R974*Assumptions!R$5),-2)</f>
        <v>2500</v>
      </c>
    </row>
    <row r="975" spans="1:21" x14ac:dyDescent="0.2">
      <c r="A975" s="54">
        <v>105400</v>
      </c>
      <c r="B975" s="9">
        <v>46400</v>
      </c>
      <c r="C975" s="136">
        <v>78300</v>
      </c>
      <c r="D975" s="136">
        <v>82300</v>
      </c>
      <c r="E975" s="134">
        <v>66900</v>
      </c>
      <c r="F975" s="469" t="s">
        <v>2038</v>
      </c>
      <c r="G975" s="1464" t="s">
        <v>1073</v>
      </c>
      <c r="H975" s="9">
        <f>114700-24700</f>
        <v>90000</v>
      </c>
      <c r="I975" s="85">
        <f t="shared" si="1872"/>
        <v>34.529147982062781</v>
      </c>
      <c r="J975" s="9">
        <f>ROUNDUP(H975+(H975*Assumptions!I$5),-2)</f>
        <v>92100</v>
      </c>
      <c r="K975" s="9">
        <f>ROUNDUP(J975+(J975*Assumptions!J$5),-2)</f>
        <v>94500</v>
      </c>
      <c r="L975" s="9">
        <f>ROUNDUP(K975+(K975*Assumptions!K$5),-2)</f>
        <v>96900</v>
      </c>
      <c r="M975" s="9">
        <f>ROUNDUP(L975+(L975*Assumptions!L$5),-2)</f>
        <v>99400</v>
      </c>
      <c r="N975" s="9">
        <f>ROUNDUP(M975+(M975*Assumptions!M$5),-2)</f>
        <v>101900</v>
      </c>
      <c r="O975" s="9">
        <f>ROUNDUP(N975+(N975*Assumptions!N$5),-2)</f>
        <v>104500</v>
      </c>
      <c r="P975" s="9">
        <f>ROUNDUP(O975+(O975*Assumptions!O$5),-2)</f>
        <v>107200</v>
      </c>
      <c r="Q975" s="9">
        <f>ROUNDUP(P975+(P975*Assumptions!P$5),-2)</f>
        <v>109900</v>
      </c>
      <c r="R975" s="9">
        <f>ROUNDUP(Q975+(Q975*Assumptions!Q$5),-2)</f>
        <v>112700</v>
      </c>
      <c r="S975" s="47">
        <f>ROUNDUP(R975+(R975*Assumptions!R$5),-2)</f>
        <v>115600</v>
      </c>
    </row>
    <row r="976" spans="1:21" x14ac:dyDescent="0.2">
      <c r="A976" s="54">
        <f>204900+7700</f>
        <v>212600</v>
      </c>
      <c r="B976" s="9">
        <v>155500</v>
      </c>
      <c r="C976" s="136">
        <v>170300</v>
      </c>
      <c r="D976" s="136">
        <f>168500+600</f>
        <v>169100</v>
      </c>
      <c r="E976" s="134">
        <v>125400</v>
      </c>
      <c r="F976" s="469" t="s">
        <v>2039</v>
      </c>
      <c r="G976" s="1464" t="s">
        <v>1342</v>
      </c>
      <c r="H976" s="9">
        <v>131000</v>
      </c>
      <c r="I976" s="85">
        <f t="shared" si="1872"/>
        <v>4.4657097288676235</v>
      </c>
      <c r="J976" s="9">
        <f>ROUNDUP(H976+(H976*Assumptions!I$5),-2)</f>
        <v>134100</v>
      </c>
      <c r="K976" s="9">
        <f>ROUNDUP(J976+(J976*Assumptions!J$5),-2)</f>
        <v>137500</v>
      </c>
      <c r="L976" s="9">
        <f>ROUNDUP(K976+(K976*Assumptions!K$5),-2)</f>
        <v>141000</v>
      </c>
      <c r="M976" s="9">
        <f>ROUNDUP(L976+(L976*Assumptions!L$5),-2)</f>
        <v>144600</v>
      </c>
      <c r="N976" s="9">
        <f>ROUNDUP(M976+(M976*Assumptions!M$5),-2)</f>
        <v>148300</v>
      </c>
      <c r="O976" s="9">
        <f>ROUNDUP(N976+(N976*Assumptions!N$5),-2)</f>
        <v>152100</v>
      </c>
      <c r="P976" s="9">
        <f>ROUNDUP(O976+(O976*Assumptions!O$5),-2)</f>
        <v>156000</v>
      </c>
      <c r="Q976" s="9">
        <f>ROUNDUP(P976+(P976*Assumptions!P$5),-2)</f>
        <v>159900</v>
      </c>
      <c r="R976" s="9">
        <f>ROUNDUP(Q976+(Q976*Assumptions!Q$5),-2)</f>
        <v>163900</v>
      </c>
      <c r="S976" s="47">
        <f>ROUNDUP(R976+(R976*Assumptions!R$5),-2)</f>
        <v>168000</v>
      </c>
    </row>
    <row r="977" spans="1:19" x14ac:dyDescent="0.2">
      <c r="A977" s="54">
        <v>100</v>
      </c>
      <c r="B977" s="9">
        <v>400</v>
      </c>
      <c r="C977" s="136">
        <v>1300</v>
      </c>
      <c r="D977" s="136">
        <v>0</v>
      </c>
      <c r="E977" s="134">
        <v>300</v>
      </c>
      <c r="F977" s="769" t="s">
        <v>349</v>
      </c>
      <c r="G977" s="1464" t="s">
        <v>350</v>
      </c>
      <c r="H977" s="9">
        <v>1000</v>
      </c>
      <c r="I977" s="85">
        <f t="shared" si="1872"/>
        <v>233.33333333333334</v>
      </c>
      <c r="J977" s="9">
        <f>ROUNDUP(H977+(H977*Assumptions!I$5),-2)</f>
        <v>1100</v>
      </c>
      <c r="K977" s="9">
        <f>ROUNDUP(J977+(J977*Assumptions!J$5),-2)</f>
        <v>1200</v>
      </c>
      <c r="L977" s="9">
        <f>ROUNDUP(K977+(K977*Assumptions!K$5),-2)</f>
        <v>1300</v>
      </c>
      <c r="M977" s="9">
        <f>ROUNDUP(L977+(L977*Assumptions!L$5),-2)</f>
        <v>1400</v>
      </c>
      <c r="N977" s="9">
        <f>ROUNDUP(M977+(M977*Assumptions!M$5),-2)</f>
        <v>1500</v>
      </c>
      <c r="O977" s="9">
        <f>ROUNDUP(N977+(N977*Assumptions!N$5),-2)</f>
        <v>1600</v>
      </c>
      <c r="P977" s="9">
        <f>ROUNDUP(O977+(O977*Assumptions!O$5),-2)</f>
        <v>1700</v>
      </c>
      <c r="Q977" s="9">
        <f>ROUNDUP(P977+(P977*Assumptions!P$5),-2)</f>
        <v>1800</v>
      </c>
      <c r="R977" s="9">
        <f>ROUNDUP(Q977+(Q977*Assumptions!Q$5),-2)</f>
        <v>1900</v>
      </c>
      <c r="S977" s="47">
        <f>ROUNDUP(R977+(R977*Assumptions!R$5),-2)</f>
        <v>2000</v>
      </c>
    </row>
    <row r="978" spans="1:19" x14ac:dyDescent="0.2">
      <c r="A978" s="54">
        <v>10000</v>
      </c>
      <c r="B978" s="9">
        <v>10400</v>
      </c>
      <c r="C978" s="136">
        <v>9200</v>
      </c>
      <c r="D978" s="136">
        <v>6300</v>
      </c>
      <c r="E978" s="134">
        <v>6700</v>
      </c>
      <c r="F978" s="469" t="s">
        <v>1923</v>
      </c>
      <c r="G978" s="1464" t="s">
        <v>1924</v>
      </c>
      <c r="H978" s="9">
        <f>4100-100</f>
        <v>4000</v>
      </c>
      <c r="I978" s="85">
        <f t="shared" si="1872"/>
        <v>-40.298507462686565</v>
      </c>
      <c r="J978" s="9">
        <f>ROUNDUP(H978+(H978*Assumptions!I$5),-2)</f>
        <v>4100</v>
      </c>
      <c r="K978" s="9">
        <f>ROUNDUP(J978+(J978*Assumptions!J$5),-2)</f>
        <v>4300</v>
      </c>
      <c r="L978" s="9">
        <f>ROUNDUP(K978+(K978*Assumptions!K$5),-2)</f>
        <v>4500</v>
      </c>
      <c r="M978" s="9">
        <f>ROUNDUP(L978+(L978*Assumptions!L$5),-2)</f>
        <v>4700</v>
      </c>
      <c r="N978" s="9">
        <f>ROUNDUP(M978+(M978*Assumptions!M$5),-2)</f>
        <v>4900</v>
      </c>
      <c r="O978" s="9">
        <f>ROUNDUP(N978+(N978*Assumptions!N$5),-2)</f>
        <v>5100</v>
      </c>
      <c r="P978" s="9">
        <f>ROUNDUP(O978+(O978*Assumptions!O$5),-2)</f>
        <v>5300</v>
      </c>
      <c r="Q978" s="9">
        <f>ROUNDUP(P978+(P978*Assumptions!P$5),-2)</f>
        <v>5500</v>
      </c>
      <c r="R978" s="9">
        <f>ROUNDUP(Q978+(Q978*Assumptions!Q$5),-2)</f>
        <v>5700</v>
      </c>
      <c r="S978" s="47">
        <f>ROUNDUP(R978+(R978*Assumptions!R$5),-2)</f>
        <v>5900</v>
      </c>
    </row>
    <row r="979" spans="1:19" x14ac:dyDescent="0.2">
      <c r="A979" s="54">
        <v>1800</v>
      </c>
      <c r="B979" s="9">
        <v>1400</v>
      </c>
      <c r="C979" s="136">
        <v>9900</v>
      </c>
      <c r="D979" s="136">
        <v>6300</v>
      </c>
      <c r="E979" s="144">
        <v>6700</v>
      </c>
      <c r="F979" s="469" t="s">
        <v>351</v>
      </c>
      <c r="G979" s="385" t="s">
        <v>352</v>
      </c>
      <c r="H979" s="9">
        <f>3600+3400</f>
        <v>7000</v>
      </c>
      <c r="I979" s="85">
        <f t="shared" si="1872"/>
        <v>4.4776119402985071</v>
      </c>
      <c r="J979" s="9">
        <f>ROUNDUP(H979+(H979*Assumptions!I$5),-2)</f>
        <v>7200</v>
      </c>
      <c r="K979" s="9">
        <f>ROUNDUP(J979+(J979*Assumptions!J$5),-2)</f>
        <v>7400</v>
      </c>
      <c r="L979" s="9">
        <f>ROUNDUP(K979+(K979*Assumptions!K$5),-2)</f>
        <v>7600</v>
      </c>
      <c r="M979" s="9">
        <f>ROUNDUP(L979+(L979*Assumptions!L$5),-2)</f>
        <v>7800</v>
      </c>
      <c r="N979" s="9">
        <f>ROUNDUP(M979+(M979*Assumptions!M$5),-2)</f>
        <v>8000</v>
      </c>
      <c r="O979" s="9">
        <f>ROUNDUP(N979+(N979*Assumptions!N$5),-2)</f>
        <v>8200</v>
      </c>
      <c r="P979" s="9">
        <f>ROUNDUP(O979+(O979*Assumptions!O$5),-2)</f>
        <v>8500</v>
      </c>
      <c r="Q979" s="9">
        <f>ROUNDUP(P979+(P979*Assumptions!P$5),-2)</f>
        <v>8800</v>
      </c>
      <c r="R979" s="9">
        <f>ROUNDUP(Q979+(Q979*Assumptions!Q$5),-2)</f>
        <v>9100</v>
      </c>
      <c r="S979" s="47">
        <f>ROUNDUP(R979+(R979*Assumptions!R$5),-2)</f>
        <v>9400</v>
      </c>
    </row>
    <row r="980" spans="1:19" x14ac:dyDescent="0.2">
      <c r="A980" s="54">
        <v>7600</v>
      </c>
      <c r="B980" s="9">
        <v>13000</v>
      </c>
      <c r="C980" s="136">
        <v>13800</v>
      </c>
      <c r="D980" s="136">
        <v>5300</v>
      </c>
      <c r="E980" s="144">
        <v>4500</v>
      </c>
      <c r="F980" s="469" t="s">
        <v>1008</v>
      </c>
      <c r="G980" s="661" t="s">
        <v>2967</v>
      </c>
      <c r="H980" s="9">
        <f>11200-4200</f>
        <v>7000</v>
      </c>
      <c r="I980" s="85">
        <f t="shared" si="1872"/>
        <v>55.555555555555557</v>
      </c>
      <c r="J980" s="9">
        <f>ROUNDUP(H980+(H980*Assumptions!I$5),-2)</f>
        <v>7200</v>
      </c>
      <c r="K980" s="9">
        <f>ROUNDUP(J980+(J980*Assumptions!J$5),-2)</f>
        <v>7400</v>
      </c>
      <c r="L980" s="9">
        <f>ROUNDUP(K980+(K980*Assumptions!K$5),-2)</f>
        <v>7600</v>
      </c>
      <c r="M980" s="9">
        <f>ROUNDUP(L980+(L980*Assumptions!L$5),-2)</f>
        <v>7800</v>
      </c>
      <c r="N980" s="9">
        <f>ROUNDUP(M980+(M980*Assumptions!M$5),-2)</f>
        <v>8000</v>
      </c>
      <c r="O980" s="9">
        <f>ROUNDUP(N980+(N980*Assumptions!N$5),-2)</f>
        <v>8200</v>
      </c>
      <c r="P980" s="9">
        <f>ROUNDUP(O980+(O980*Assumptions!O$5),-2)</f>
        <v>8500</v>
      </c>
      <c r="Q980" s="9">
        <f>ROUNDUP(P980+(P980*Assumptions!P$5),-2)</f>
        <v>8800</v>
      </c>
      <c r="R980" s="9">
        <f>ROUNDUP(Q980+(Q980*Assumptions!Q$5),-2)</f>
        <v>9100</v>
      </c>
      <c r="S980" s="47">
        <f>ROUNDUP(R980+(R980*Assumptions!R$5),-2)</f>
        <v>9400</v>
      </c>
    </row>
    <row r="981" spans="1:19" x14ac:dyDescent="0.2">
      <c r="A981" s="54">
        <v>4500</v>
      </c>
      <c r="B981" s="9">
        <v>19000</v>
      </c>
      <c r="C981" s="136">
        <v>4900</v>
      </c>
      <c r="D981" s="136">
        <v>2100</v>
      </c>
      <c r="E981" s="144">
        <v>5000</v>
      </c>
      <c r="F981" s="469" t="s">
        <v>347</v>
      </c>
      <c r="G981" s="385" t="s">
        <v>348</v>
      </c>
      <c r="H981" s="9">
        <f>6100+900</f>
        <v>7000</v>
      </c>
      <c r="I981" s="85">
        <f t="shared" si="1872"/>
        <v>40</v>
      </c>
      <c r="J981" s="9">
        <f>ROUNDUP(H981+(H981*Assumptions!I$5),-2)</f>
        <v>7200</v>
      </c>
      <c r="K981" s="9">
        <f>ROUNDUP(J981+(J981*Assumptions!J$5),-2)</f>
        <v>7400</v>
      </c>
      <c r="L981" s="9">
        <f>ROUNDUP(K981+(K981*Assumptions!K$5),-2)</f>
        <v>7600</v>
      </c>
      <c r="M981" s="9">
        <f>ROUNDUP(L981+(L981*Assumptions!L$5),-2)</f>
        <v>7800</v>
      </c>
      <c r="N981" s="9">
        <f>ROUNDUP(M981+(M981*Assumptions!M$5),-2)</f>
        <v>8000</v>
      </c>
      <c r="O981" s="9">
        <f>ROUNDUP(N981+(N981*Assumptions!N$5),-2)</f>
        <v>8200</v>
      </c>
      <c r="P981" s="9">
        <f>ROUNDUP(O981+(O981*Assumptions!O$5),-2)</f>
        <v>8500</v>
      </c>
      <c r="Q981" s="9">
        <f>ROUNDUP(P981+(P981*Assumptions!P$5),-2)</f>
        <v>8800</v>
      </c>
      <c r="R981" s="9">
        <f>ROUNDUP(Q981+(Q981*Assumptions!Q$5),-2)</f>
        <v>9100</v>
      </c>
      <c r="S981" s="47">
        <f>ROUNDUP(R981+(R981*Assumptions!R$5),-2)</f>
        <v>9400</v>
      </c>
    </row>
    <row r="982" spans="1:19" x14ac:dyDescent="0.2">
      <c r="A982" s="54"/>
      <c r="B982" s="9"/>
      <c r="C982" s="89"/>
      <c r="E982" s="46"/>
      <c r="F982" s="469"/>
      <c r="G982" s="21" t="s">
        <v>1867</v>
      </c>
      <c r="H982" s="9"/>
      <c r="I982" s="85"/>
      <c r="J982" s="9"/>
      <c r="K982" s="9"/>
      <c r="L982" s="9"/>
      <c r="M982" s="9"/>
      <c r="N982" s="9"/>
      <c r="O982" s="9"/>
      <c r="P982" s="9"/>
      <c r="Q982" s="9"/>
      <c r="R982" s="9"/>
      <c r="S982" s="47"/>
    </row>
    <row r="983" spans="1:19" x14ac:dyDescent="0.2">
      <c r="A983" s="54">
        <v>182500</v>
      </c>
      <c r="B983" s="9">
        <v>187700</v>
      </c>
      <c r="C983" s="136">
        <v>192000</v>
      </c>
      <c r="D983" s="136">
        <v>196600</v>
      </c>
      <c r="E983" s="144">
        <v>200100</v>
      </c>
      <c r="F983" s="469" t="s">
        <v>2040</v>
      </c>
      <c r="G983" s="661" t="s">
        <v>3648</v>
      </c>
      <c r="H983" s="9">
        <v>203000</v>
      </c>
      <c r="I983" s="85">
        <f t="shared" ref="I983:I990" si="1873">IF(E983=H983,0,IF(E983=0,100,(H983-E983)/E983*100))</f>
        <v>1.4492753623188406</v>
      </c>
      <c r="J983" s="9">
        <f>ROUNDUP(H983+(H983*Assumptions!I$5),-2)</f>
        <v>207700</v>
      </c>
      <c r="K983" s="9">
        <f>ROUNDUP(J983+(J983*Assumptions!J$5),-2)</f>
        <v>212900</v>
      </c>
      <c r="L983" s="9">
        <f>ROUNDUP(K983+(K983*Assumptions!K$5),-2)</f>
        <v>218300</v>
      </c>
      <c r="M983" s="9">
        <f>ROUNDUP(L983+(L983*Assumptions!L$5),-2)</f>
        <v>223800</v>
      </c>
      <c r="N983" s="9">
        <f>ROUNDUP(M983+(M983*Assumptions!M$5),-2)</f>
        <v>229400</v>
      </c>
      <c r="O983" s="9">
        <f>ROUNDUP(N983+(N983*Assumptions!N$5),-2)</f>
        <v>235200</v>
      </c>
      <c r="P983" s="9">
        <f>ROUNDUP(O983+(O983*Assumptions!O$5),-2)</f>
        <v>241100</v>
      </c>
      <c r="Q983" s="9">
        <f>ROUNDUP(P983+(P983*Assumptions!P$5),-2)</f>
        <v>247200</v>
      </c>
      <c r="R983" s="9">
        <f>ROUNDUP(Q983+(Q983*Assumptions!Q$5),-2)</f>
        <v>253400</v>
      </c>
      <c r="S983" s="47">
        <f>ROUNDUP(R983+(R983*Assumptions!R$5),-2)</f>
        <v>259800</v>
      </c>
    </row>
    <row r="984" spans="1:19" x14ac:dyDescent="0.2">
      <c r="A984" s="54">
        <v>32500</v>
      </c>
      <c r="B984" s="9">
        <v>33700</v>
      </c>
      <c r="C984" s="136">
        <v>34400</v>
      </c>
      <c r="D984" s="136">
        <v>35200</v>
      </c>
      <c r="E984" s="144">
        <v>35900</v>
      </c>
      <c r="F984" s="469" t="s">
        <v>1303</v>
      </c>
      <c r="G984" s="661" t="s">
        <v>4506</v>
      </c>
      <c r="H984" s="9">
        <v>36300</v>
      </c>
      <c r="I984" s="85">
        <f t="shared" si="1873"/>
        <v>1.1142061281337048</v>
      </c>
      <c r="J984" s="9">
        <f>ROUNDUP(H984+(H984*Assumptions!I$5),-2)</f>
        <v>37200</v>
      </c>
      <c r="K984" s="9">
        <f>ROUNDUP(J984+(J984*Assumptions!J$5),-2)</f>
        <v>38200</v>
      </c>
      <c r="L984" s="9">
        <f>ROUNDUP(K984+(K984*Assumptions!K$5),-2)</f>
        <v>39200</v>
      </c>
      <c r="M984" s="9">
        <f>ROUNDUP(L984+(L984*Assumptions!L$5),-2)</f>
        <v>40200</v>
      </c>
      <c r="N984" s="9">
        <f>ROUNDUP(M984+(M984*Assumptions!M$5),-2)</f>
        <v>41300</v>
      </c>
      <c r="O984" s="9">
        <f>ROUNDUP(N984+(N984*Assumptions!N$5),-2)</f>
        <v>42400</v>
      </c>
      <c r="P984" s="9">
        <f>ROUNDUP(O984+(O984*Assumptions!O$5),-2)</f>
        <v>43500</v>
      </c>
      <c r="Q984" s="9">
        <f>ROUNDUP(P984+(P984*Assumptions!P$5),-2)</f>
        <v>44600</v>
      </c>
      <c r="R984" s="9">
        <f>ROUNDUP(Q984+(Q984*Assumptions!Q$5),-2)</f>
        <v>45800</v>
      </c>
      <c r="S984" s="47">
        <f>ROUNDUP(R984+(R984*Assumptions!R$5),-2)</f>
        <v>47000</v>
      </c>
    </row>
    <row r="985" spans="1:19" x14ac:dyDescent="0.2">
      <c r="A985" s="54">
        <v>0</v>
      </c>
      <c r="B985" s="9">
        <v>0</v>
      </c>
      <c r="C985" s="136">
        <f>35000-35000</f>
        <v>0</v>
      </c>
      <c r="D985" s="136">
        <v>0</v>
      </c>
      <c r="E985" s="144">
        <v>0</v>
      </c>
      <c r="F985" s="769" t="s">
        <v>4073</v>
      </c>
      <c r="G985" s="661" t="s">
        <v>11954</v>
      </c>
      <c r="H985" s="9">
        <v>35000</v>
      </c>
      <c r="I985" s="85">
        <f t="shared" si="1873"/>
        <v>100</v>
      </c>
      <c r="J985" s="9">
        <f>ROUNDUP(H985+(H985*Assumptions!I$5),-2)</f>
        <v>35900</v>
      </c>
      <c r="K985" s="9">
        <f>ROUNDUP(J985+(J985*Assumptions!J$5),-2)</f>
        <v>36800</v>
      </c>
      <c r="L985" s="9">
        <f>ROUNDUP(K985+(K985*Assumptions!K$5),-2)</f>
        <v>37800</v>
      </c>
      <c r="M985" s="9">
        <f>ROUNDUP(L985+(L985*Assumptions!L$5),-2)</f>
        <v>38800</v>
      </c>
      <c r="N985" s="9">
        <f>ROUNDUP(M985+(M985*Assumptions!M$5),-2)</f>
        <v>39800</v>
      </c>
      <c r="O985" s="9">
        <f>ROUNDUP(N985+(N985*Assumptions!N$5),-2)</f>
        <v>40800</v>
      </c>
      <c r="P985" s="9">
        <f>ROUNDUP(O985+(O985*Assumptions!O$5),-2)</f>
        <v>41900</v>
      </c>
      <c r="Q985" s="9">
        <f>ROUNDUP(P985+(P985*Assumptions!P$5),-2)</f>
        <v>43000</v>
      </c>
      <c r="R985" s="9">
        <f>ROUNDUP(Q985+(Q985*Assumptions!Q$5),-2)</f>
        <v>44100</v>
      </c>
      <c r="S985" s="47">
        <f>ROUNDUP(R985+(R985*Assumptions!R$5),-2)</f>
        <v>45300</v>
      </c>
    </row>
    <row r="986" spans="1:19" x14ac:dyDescent="0.2">
      <c r="A986" s="54">
        <v>40000</v>
      </c>
      <c r="B986" s="9">
        <v>38300</v>
      </c>
      <c r="C986" s="136">
        <v>28100</v>
      </c>
      <c r="D986" s="136">
        <v>22600</v>
      </c>
      <c r="E986" s="144">
        <v>2600</v>
      </c>
      <c r="F986" s="469" t="s">
        <v>1036</v>
      </c>
      <c r="G986" s="662" t="s">
        <v>5239</v>
      </c>
      <c r="H986" s="9">
        <v>96000</v>
      </c>
      <c r="I986" s="85">
        <f t="shared" si="1873"/>
        <v>3592.3076923076919</v>
      </c>
      <c r="J986" s="9">
        <v>130000</v>
      </c>
      <c r="K986" s="9">
        <v>130000</v>
      </c>
      <c r="L986" s="9">
        <v>30800</v>
      </c>
      <c r="M986" s="9">
        <f>ROUNDUP(L986+(L986*Assumptions!L$5),-2)</f>
        <v>31600</v>
      </c>
      <c r="N986" s="9">
        <f>ROUNDUP(M986+(M986*Assumptions!M$5),-2)</f>
        <v>32400</v>
      </c>
      <c r="O986" s="9">
        <f>ROUNDUP(N986+(N986*Assumptions!N$5),-2)</f>
        <v>33300</v>
      </c>
      <c r="P986" s="9">
        <f>ROUNDUP(O986+(O986*Assumptions!O$5),-2)</f>
        <v>34200</v>
      </c>
      <c r="Q986" s="9">
        <f>ROUNDUP(P986+(P986*Assumptions!P$5),-2)</f>
        <v>35100</v>
      </c>
      <c r="R986" s="9">
        <f>ROUNDUP(Q986+(Q986*Assumptions!Q$5),-2)</f>
        <v>36000</v>
      </c>
      <c r="S986" s="47">
        <f>ROUNDUP(R986+(R986*Assumptions!R$5),-2)</f>
        <v>36900</v>
      </c>
    </row>
    <row r="987" spans="1:19" x14ac:dyDescent="0.2">
      <c r="A987" s="54">
        <v>6000</v>
      </c>
      <c r="B987" s="9">
        <v>6000</v>
      </c>
      <c r="C987" s="136">
        <v>17400</v>
      </c>
      <c r="D987" s="136">
        <v>3000</v>
      </c>
      <c r="E987" s="144">
        <v>16600</v>
      </c>
      <c r="F987" s="469" t="s">
        <v>1037</v>
      </c>
      <c r="G987" s="662" t="s">
        <v>5238</v>
      </c>
      <c r="H987" s="9">
        <f>H961</f>
        <v>20000</v>
      </c>
      <c r="I987" s="85">
        <f t="shared" si="1873"/>
        <v>20.481927710843372</v>
      </c>
      <c r="J987" s="9">
        <v>0</v>
      </c>
      <c r="K987" s="9">
        <f>ROUNDUP(J987+(J987*Assumptions!J$5),-2)</f>
        <v>0</v>
      </c>
      <c r="L987" s="9">
        <f>ROUNDUP(K987+(K987*Assumptions!K$5),-2)</f>
        <v>0</v>
      </c>
      <c r="M987" s="9">
        <f>ROUNDUP(L987+(L987*Assumptions!L$5),-2)</f>
        <v>0</v>
      </c>
      <c r="N987" s="9">
        <f>ROUNDUP(M987+(M987*Assumptions!M$5),-2)</f>
        <v>0</v>
      </c>
      <c r="O987" s="9">
        <f>ROUNDUP(N987+(N987*Assumptions!N$5),-2)</f>
        <v>0</v>
      </c>
      <c r="P987" s="9">
        <f>ROUNDUP(O987+(O987*Assumptions!O$5),-2)</f>
        <v>0</v>
      </c>
      <c r="Q987" s="9">
        <f>ROUNDUP(P987+(P987*Assumptions!P$5),-2)</f>
        <v>0</v>
      </c>
      <c r="R987" s="9">
        <f>ROUNDUP(Q987+(Q987*Assumptions!Q$5),-2)</f>
        <v>0</v>
      </c>
      <c r="S987" s="47">
        <f>ROUNDUP(R987+(R987*Assumptions!R$5),-2)</f>
        <v>0</v>
      </c>
    </row>
    <row r="988" spans="1:19" x14ac:dyDescent="0.2">
      <c r="A988" s="54">
        <v>0</v>
      </c>
      <c r="B988" s="9">
        <v>120000</v>
      </c>
      <c r="C988" s="136">
        <v>40000</v>
      </c>
      <c r="D988" s="136">
        <v>40000</v>
      </c>
      <c r="E988" s="144">
        <v>0</v>
      </c>
      <c r="F988" s="769" t="s">
        <v>2969</v>
      </c>
      <c r="G988" s="662" t="s">
        <v>6806</v>
      </c>
      <c r="H988" s="9">
        <v>0</v>
      </c>
      <c r="I988" s="85">
        <f t="shared" si="1873"/>
        <v>0</v>
      </c>
      <c r="J988" s="9">
        <v>0</v>
      </c>
      <c r="K988" s="9">
        <v>0</v>
      </c>
      <c r="L988" s="9">
        <f>ROUNDUP(K988+(K988*Assumptions!K$5),-2)</f>
        <v>0</v>
      </c>
      <c r="M988" s="9">
        <f>ROUNDUP(L988+(L988*Assumptions!L$5),-2)</f>
        <v>0</v>
      </c>
      <c r="N988" s="9">
        <f>ROUNDUP(M988+(M988*Assumptions!M$5),-2)</f>
        <v>0</v>
      </c>
      <c r="O988" s="9">
        <f>ROUNDUP(N988+(N988*Assumptions!N$5),-2)</f>
        <v>0</v>
      </c>
      <c r="P988" s="9">
        <f>ROUNDUP(O988+(O988*Assumptions!O$5),-2)</f>
        <v>0</v>
      </c>
      <c r="Q988" s="9">
        <f>ROUNDUP(P988+(P988*Assumptions!P$5),-2)</f>
        <v>0</v>
      </c>
      <c r="R988" s="9">
        <f>ROUNDUP(Q988+(Q988*Assumptions!Q$5),-2)</f>
        <v>0</v>
      </c>
      <c r="S988" s="47">
        <f>ROUNDUP(R988+(R988*Assumptions!R$5),-2)</f>
        <v>0</v>
      </c>
    </row>
    <row r="989" spans="1:19" x14ac:dyDescent="0.2">
      <c r="A989" s="54">
        <v>0</v>
      </c>
      <c r="B989" s="9">
        <v>0</v>
      </c>
      <c r="C989" s="136">
        <v>0</v>
      </c>
      <c r="D989" s="136">
        <v>0</v>
      </c>
      <c r="E989" s="144">
        <v>400</v>
      </c>
      <c r="F989" s="769" t="s">
        <v>6663</v>
      </c>
      <c r="G989" s="661" t="s">
        <v>6662</v>
      </c>
      <c r="H989" s="9">
        <f>94600+10000+10000</f>
        <v>114600</v>
      </c>
      <c r="I989" s="85">
        <f t="shared" si="1873"/>
        <v>28550</v>
      </c>
      <c r="J989" s="9">
        <v>0</v>
      </c>
      <c r="K989" s="9">
        <v>0</v>
      </c>
      <c r="L989" s="9">
        <v>0</v>
      </c>
      <c r="M989" s="9">
        <f>ROUNDUP(L989+(L989*Assumptions!L$5),-2)</f>
        <v>0</v>
      </c>
      <c r="N989" s="9">
        <f>ROUNDUP(M989+(M989*Assumptions!M$5),-2)</f>
        <v>0</v>
      </c>
      <c r="O989" s="9">
        <f>ROUNDUP(N989+(N989*Assumptions!N$5),-2)</f>
        <v>0</v>
      </c>
      <c r="P989" s="9">
        <f>ROUNDUP(O989+(O989*Assumptions!O$5),-2)</f>
        <v>0</v>
      </c>
      <c r="Q989" s="9">
        <f>ROUNDUP(P989+(P989*Assumptions!P$5),-2)</f>
        <v>0</v>
      </c>
      <c r="R989" s="9">
        <f>ROUNDUP(Q989+(Q989*Assumptions!Q$5),-2)</f>
        <v>0</v>
      </c>
      <c r="S989" s="47">
        <f>ROUNDUP(R989+(R989*Assumptions!R$5),-2)</f>
        <v>0</v>
      </c>
    </row>
    <row r="990" spans="1:19" x14ac:dyDescent="0.2">
      <c r="A990" s="54">
        <v>0</v>
      </c>
      <c r="B990" s="9">
        <v>0</v>
      </c>
      <c r="C990" s="136">
        <v>15000</v>
      </c>
      <c r="D990" s="136">
        <v>13100</v>
      </c>
      <c r="E990" s="144">
        <v>3800</v>
      </c>
      <c r="F990" s="769" t="s">
        <v>3467</v>
      </c>
      <c r="G990" s="662" t="s">
        <v>3530</v>
      </c>
      <c r="H990" s="9">
        <v>0</v>
      </c>
      <c r="I990" s="85">
        <f t="shared" si="1873"/>
        <v>-100</v>
      </c>
      <c r="J990" s="9">
        <f>ROUNDUP(H990+(H990*Assumptions!I$5),-2)</f>
        <v>0</v>
      </c>
      <c r="K990" s="9">
        <f>ROUNDUP(J990+(J990*Assumptions!J$5),-2)</f>
        <v>0</v>
      </c>
      <c r="L990" s="9">
        <f>ROUNDUP(K990+(K990*Assumptions!K$5),-2)</f>
        <v>0</v>
      </c>
      <c r="M990" s="9">
        <f>ROUNDUP(L990+(L990*Assumptions!L$5),-2)</f>
        <v>0</v>
      </c>
      <c r="N990" s="9">
        <f>ROUNDUP(M990+(M990*Assumptions!M$5),-2)</f>
        <v>0</v>
      </c>
      <c r="O990" s="9">
        <f>ROUNDUP(N990+(N990*Assumptions!N$5),-2)</f>
        <v>0</v>
      </c>
      <c r="P990" s="9">
        <f>ROUNDUP(O990+(O990*Assumptions!O$5),-2)</f>
        <v>0</v>
      </c>
      <c r="Q990" s="9">
        <f>ROUNDUP(P990+(P990*Assumptions!P$5),-2)</f>
        <v>0</v>
      </c>
      <c r="R990" s="9">
        <f>ROUNDUP(Q990+(Q990*Assumptions!Q$5),-2)</f>
        <v>0</v>
      </c>
      <c r="S990" s="47">
        <f>ROUNDUP(R990+(R990*Assumptions!R$5),-2)</f>
        <v>0</v>
      </c>
    </row>
    <row r="991" spans="1:19" x14ac:dyDescent="0.2">
      <c r="A991" s="54"/>
      <c r="B991" s="9"/>
      <c r="C991" s="89"/>
      <c r="E991" s="46"/>
      <c r="F991" s="469"/>
      <c r="G991" s="320" t="s">
        <v>1745</v>
      </c>
      <c r="H991" s="9"/>
      <c r="I991" s="85"/>
      <c r="J991" s="9"/>
      <c r="K991" s="9"/>
      <c r="L991" s="9"/>
      <c r="M991" s="9"/>
      <c r="N991" s="9"/>
      <c r="O991" s="9"/>
      <c r="P991" s="9"/>
      <c r="Q991" s="9"/>
      <c r="R991" s="9"/>
      <c r="S991" s="47"/>
    </row>
    <row r="992" spans="1:19" x14ac:dyDescent="0.2">
      <c r="A992" s="54">
        <v>40300</v>
      </c>
      <c r="B992" s="9">
        <v>35000</v>
      </c>
      <c r="C992" s="136">
        <v>107600</v>
      </c>
      <c r="D992" s="136">
        <v>55200</v>
      </c>
      <c r="E992" s="144">
        <v>22000</v>
      </c>
      <c r="F992" s="469" t="s">
        <v>1442</v>
      </c>
      <c r="G992" s="371" t="s">
        <v>1522</v>
      </c>
      <c r="H992" s="9">
        <v>78000</v>
      </c>
      <c r="I992" s="85">
        <f>IF(E992=H992,0,IF(E992=0,100,(H992-E992)/E992*100))</f>
        <v>254.54545454545453</v>
      </c>
      <c r="J992" s="9">
        <f>ROUNDUP(H992+(H992*Assumptions!I$5),-2)</f>
        <v>79800</v>
      </c>
      <c r="K992" s="9">
        <f>ROUNDUP(J992+(J992*Assumptions!J$5),-2)</f>
        <v>81800</v>
      </c>
      <c r="L992" s="9">
        <f>ROUNDUP(K992+(K992*Assumptions!K$5),-2)</f>
        <v>83900</v>
      </c>
      <c r="M992" s="9">
        <f>ROUNDUP(L992+(L992*Assumptions!L$5),-2)</f>
        <v>86000</v>
      </c>
      <c r="N992" s="9">
        <f>ROUNDUP(M992+(M992*Assumptions!M$5),-2)</f>
        <v>88200</v>
      </c>
      <c r="O992" s="9">
        <f>ROUNDUP(N992+(N992*Assumptions!N$5),-2)</f>
        <v>90500</v>
      </c>
      <c r="P992" s="9">
        <f>ROUNDUP(O992+(O992*Assumptions!O$5),-2)</f>
        <v>92800</v>
      </c>
      <c r="Q992" s="9">
        <f>ROUNDUP(P992+(P992*Assumptions!P$5),-2)</f>
        <v>95200</v>
      </c>
      <c r="R992" s="9">
        <f>ROUNDUP(Q992+(Q992*Assumptions!Q$5),-2)</f>
        <v>97600</v>
      </c>
      <c r="S992" s="47">
        <f>ROUNDUP(R992+(R992*Assumptions!R$5),-2)</f>
        <v>100100</v>
      </c>
    </row>
    <row r="993" spans="1:21" x14ac:dyDescent="0.2">
      <c r="A993" s="54">
        <v>10300</v>
      </c>
      <c r="B993" s="9">
        <v>55600</v>
      </c>
      <c r="C993" s="136">
        <v>6100</v>
      </c>
      <c r="D993" s="136">
        <v>26600</v>
      </c>
      <c r="E993" s="144">
        <v>4400</v>
      </c>
      <c r="F993" s="469" t="s">
        <v>177</v>
      </c>
      <c r="G993" s="662" t="s">
        <v>11953</v>
      </c>
      <c r="H993" s="9">
        <v>60000</v>
      </c>
      <c r="I993" s="85">
        <f>IF(E993=H993,0,IF(E993=0,100,(H993-E993)/E993*100))</f>
        <v>1263.6363636363637</v>
      </c>
      <c r="J993" s="9">
        <v>60000</v>
      </c>
      <c r="K993" s="9">
        <v>30000</v>
      </c>
      <c r="L993" s="9">
        <f>ROUNDUP(K993+(K993*Assumptions!K$5),-2)</f>
        <v>30800</v>
      </c>
      <c r="M993" s="9">
        <f>ROUNDUP(L993+(L993*Assumptions!L$5),-2)</f>
        <v>31600</v>
      </c>
      <c r="N993" s="9">
        <f>ROUNDUP(M993+(M993*Assumptions!M$5),-2)</f>
        <v>32400</v>
      </c>
      <c r="O993" s="9">
        <f>ROUNDUP(N993+(N993*Assumptions!N$5),-2)</f>
        <v>33300</v>
      </c>
      <c r="P993" s="9">
        <f>ROUNDUP(O993+(O993*Assumptions!O$5),-2)</f>
        <v>34200</v>
      </c>
      <c r="Q993" s="9">
        <f>ROUNDUP(P993+(P993*Assumptions!P$5),-2)</f>
        <v>35100</v>
      </c>
      <c r="R993" s="9">
        <f>ROUNDUP(Q993+(Q993*Assumptions!Q$5),-2)</f>
        <v>36000</v>
      </c>
      <c r="S993" s="47">
        <f>ROUNDUP(R993+(R993*Assumptions!R$5),-2)</f>
        <v>36900</v>
      </c>
    </row>
    <row r="994" spans="1:21" x14ac:dyDescent="0.2">
      <c r="A994" s="54"/>
      <c r="B994" s="9"/>
      <c r="C994" s="89"/>
      <c r="E994" s="144"/>
      <c r="F994" s="469"/>
      <c r="G994" s="912" t="s">
        <v>4373</v>
      </c>
      <c r="H994" s="9"/>
      <c r="I994" s="85"/>
      <c r="J994" s="9"/>
      <c r="K994" s="9"/>
      <c r="L994" s="9"/>
      <c r="M994" s="9"/>
      <c r="N994" s="9"/>
      <c r="O994" s="9"/>
      <c r="P994" s="9"/>
      <c r="Q994" s="9"/>
      <c r="R994" s="9"/>
      <c r="S994" s="47"/>
    </row>
    <row r="995" spans="1:21" x14ac:dyDescent="0.2">
      <c r="A995" s="54">
        <v>600</v>
      </c>
      <c r="B995" s="9">
        <v>12500</v>
      </c>
      <c r="C995" s="136">
        <v>147300</v>
      </c>
      <c r="D995" s="136">
        <v>44900</v>
      </c>
      <c r="E995" s="1442">
        <v>0</v>
      </c>
      <c r="F995" s="469" t="s">
        <v>1662</v>
      </c>
      <c r="G995" s="371" t="s">
        <v>292</v>
      </c>
      <c r="H995" s="134">
        <f>20000+40000</f>
        <v>60000</v>
      </c>
      <c r="I995" s="85">
        <f>IF(E995=H995,0,IF(E995=0,100,(H995-E995)/E995*100))</f>
        <v>100</v>
      </c>
      <c r="J995" s="9">
        <f>ROUNDUP(H995+(H995*Assumptions!I$5),-2)-41000</f>
        <v>20400</v>
      </c>
      <c r="K995" s="9">
        <v>160000</v>
      </c>
      <c r="L995" s="9">
        <v>21000</v>
      </c>
      <c r="M995" s="9">
        <f>ROUNDUP(L995+(L995*Assumptions!L$5),-2)</f>
        <v>21600</v>
      </c>
      <c r="N995" s="9">
        <f>ROUNDUP(M995+(M995*Assumptions!M$5),-2)</f>
        <v>22200</v>
      </c>
      <c r="O995" s="9">
        <f>ROUNDUP(N995+(N995*Assumptions!N$5),-2)</f>
        <v>22800</v>
      </c>
      <c r="P995" s="9">
        <v>200000</v>
      </c>
      <c r="Q995" s="9">
        <v>22000</v>
      </c>
      <c r="R995" s="9">
        <f>ROUNDUP(Q995+(Q995*Assumptions!Q$5),-2)</f>
        <v>22600</v>
      </c>
      <c r="S995" s="47">
        <f>ROUNDUP(R995+(R995*Assumptions!R$5),-2)</f>
        <v>23200</v>
      </c>
    </row>
    <row r="996" spans="1:21" x14ac:dyDescent="0.2">
      <c r="A996" s="54"/>
      <c r="B996" s="9"/>
      <c r="E996" s="144"/>
      <c r="F996" s="1378"/>
      <c r="G996" s="320" t="s">
        <v>1055</v>
      </c>
      <c r="H996" s="9"/>
      <c r="I996" s="85"/>
      <c r="J996" s="9"/>
      <c r="K996" s="9"/>
      <c r="L996" s="9"/>
      <c r="M996" s="9"/>
      <c r="N996" s="9"/>
      <c r="O996" s="9"/>
      <c r="P996" s="9"/>
      <c r="Q996" s="9"/>
      <c r="R996" s="9"/>
      <c r="S996" s="47"/>
    </row>
    <row r="997" spans="1:21" x14ac:dyDescent="0.2">
      <c r="A997" s="54">
        <v>10500</v>
      </c>
      <c r="B997" s="9">
        <v>7600</v>
      </c>
      <c r="C997" s="136">
        <v>4800</v>
      </c>
      <c r="D997" s="136">
        <v>8000</v>
      </c>
      <c r="E997" s="144">
        <v>3800</v>
      </c>
      <c r="F997" s="469" t="s">
        <v>1334</v>
      </c>
      <c r="G997" s="371" t="s">
        <v>474</v>
      </c>
      <c r="H997" s="9">
        <v>6500</v>
      </c>
      <c r="I997" s="85">
        <f t="shared" ref="I997:I1002" si="1874">IF(E997=H997,0,IF(E997=0,100,(H997-E997)/E997*100))</f>
        <v>71.05263157894737</v>
      </c>
      <c r="J997" s="9">
        <f>ROUNDUP(H997+(H997*Assumptions!I$5),-2)</f>
        <v>6700</v>
      </c>
      <c r="K997" s="9">
        <f>ROUNDUP(J997+(J997*Assumptions!J$5),-2)</f>
        <v>6900</v>
      </c>
      <c r="L997" s="9">
        <f>ROUNDUP(K997+(K997*Assumptions!K$5),-2)</f>
        <v>7100</v>
      </c>
      <c r="M997" s="9">
        <f>ROUNDUP(L997+(L997*Assumptions!L$5),-2)</f>
        <v>7300</v>
      </c>
      <c r="N997" s="9">
        <f>ROUNDUP(M997+(M997*Assumptions!M$5),-2)</f>
        <v>7500</v>
      </c>
      <c r="O997" s="9">
        <f>ROUNDUP(N997+(N997*Assumptions!N$5),-2)</f>
        <v>7700</v>
      </c>
      <c r="P997" s="9">
        <f>ROUNDUP(O997+(O997*Assumptions!O$5),-2)</f>
        <v>7900</v>
      </c>
      <c r="Q997" s="9">
        <f>ROUNDUP(P997+(P997*Assumptions!P$5),-2)</f>
        <v>8100</v>
      </c>
      <c r="R997" s="9">
        <f>ROUNDUP(Q997+(Q997*Assumptions!Q$5),-2)</f>
        <v>8400</v>
      </c>
      <c r="S997" s="47">
        <f>ROUNDUP(R997+(R997*Assumptions!R$5),-2)</f>
        <v>8700</v>
      </c>
    </row>
    <row r="998" spans="1:21" x14ac:dyDescent="0.2">
      <c r="A998" s="54">
        <v>18400</v>
      </c>
      <c r="B998" s="9">
        <v>29600</v>
      </c>
      <c r="C998" s="136">
        <v>40900</v>
      </c>
      <c r="D998" s="136">
        <v>37000</v>
      </c>
      <c r="E998" s="144">
        <v>36900</v>
      </c>
      <c r="F998" s="469" t="s">
        <v>1335</v>
      </c>
      <c r="G998" s="371" t="s">
        <v>472</v>
      </c>
      <c r="H998" s="9">
        <v>38000</v>
      </c>
      <c r="I998" s="85">
        <f t="shared" si="1874"/>
        <v>2.9810298102981028</v>
      </c>
      <c r="J998" s="9">
        <f>ROUNDUP(H998+(H998*Assumptions!I$5),-2)</f>
        <v>38900</v>
      </c>
      <c r="K998" s="9">
        <f>ROUNDUP(J998+(J998*Assumptions!J$5),-2)</f>
        <v>39900</v>
      </c>
      <c r="L998" s="9">
        <f>ROUNDUP(K998+(K998*Assumptions!K$5),-2)</f>
        <v>40900</v>
      </c>
      <c r="M998" s="9">
        <f>ROUNDUP(L998+(L998*Assumptions!L$5),-2)</f>
        <v>42000</v>
      </c>
      <c r="N998" s="9">
        <f>ROUNDUP(M998+(M998*Assumptions!M$5),-2)</f>
        <v>43100</v>
      </c>
      <c r="O998" s="9">
        <f>ROUNDUP(N998+(N998*Assumptions!N$5),-2)</f>
        <v>44200</v>
      </c>
      <c r="P998" s="9">
        <f>ROUNDUP(O998+(O998*Assumptions!O$5),-2)</f>
        <v>45400</v>
      </c>
      <c r="Q998" s="9">
        <f>ROUNDUP(P998+(P998*Assumptions!P$5),-2)</f>
        <v>46600</v>
      </c>
      <c r="R998" s="9">
        <f>ROUNDUP(Q998+(Q998*Assumptions!Q$5),-2)</f>
        <v>47800</v>
      </c>
      <c r="S998" s="47">
        <f>ROUNDUP(R998+(R998*Assumptions!R$5),-2)</f>
        <v>49000</v>
      </c>
    </row>
    <row r="999" spans="1:21" x14ac:dyDescent="0.2">
      <c r="A999" s="54"/>
      <c r="B999" s="9"/>
      <c r="C999" s="89"/>
      <c r="D999" s="89"/>
      <c r="E999" s="46"/>
      <c r="F999" s="469"/>
      <c r="G999" s="21" t="str">
        <f>G101</f>
        <v>Non-Cash Expenses</v>
      </c>
      <c r="H999" s="9"/>
      <c r="I999" s="85">
        <f t="shared" si="1874"/>
        <v>0</v>
      </c>
      <c r="J999" s="9"/>
      <c r="K999" s="9"/>
      <c r="L999" s="9"/>
      <c r="M999" s="9"/>
      <c r="N999" s="9"/>
      <c r="O999" s="9"/>
      <c r="P999" s="9"/>
      <c r="Q999" s="9"/>
      <c r="R999" s="9"/>
      <c r="S999" s="47"/>
    </row>
    <row r="1000" spans="1:21" x14ac:dyDescent="0.2">
      <c r="A1000" s="54">
        <v>17200</v>
      </c>
      <c r="B1000" s="9">
        <v>1600</v>
      </c>
      <c r="C1000" s="136">
        <v>1600</v>
      </c>
      <c r="D1000" s="136">
        <v>2000</v>
      </c>
      <c r="E1000" s="144">
        <v>1600</v>
      </c>
      <c r="F1000" s="769" t="s">
        <v>6615</v>
      </c>
      <c r="G1000" s="257" t="s">
        <v>59</v>
      </c>
      <c r="H1000" s="9">
        <v>2100</v>
      </c>
      <c r="I1000" s="85">
        <f t="shared" si="1874"/>
        <v>31.25</v>
      </c>
      <c r="J1000" s="9">
        <f>ROUNDUP(H1000+(H1000*Assumptions!I$18),-2)</f>
        <v>2200</v>
      </c>
      <c r="K1000" s="9">
        <f>ROUNDUP(J1000+(J1000*Assumptions!J$18),-2)</f>
        <v>2300</v>
      </c>
      <c r="L1000" s="9">
        <f>ROUNDUP(K1000+(K1000*Assumptions!K$18),-2)</f>
        <v>2400</v>
      </c>
      <c r="M1000" s="9">
        <f>ROUNDUP(L1000+(L1000*Assumptions!L$18),-2)</f>
        <v>2500</v>
      </c>
      <c r="N1000" s="9">
        <f>ROUNDUP(M1000+(M1000*Assumptions!M$18),-2)</f>
        <v>2600</v>
      </c>
      <c r="O1000" s="9">
        <f>ROUNDUP(N1000+(N1000*Assumptions!N$18),-2)</f>
        <v>2700</v>
      </c>
      <c r="P1000" s="9">
        <f>ROUNDUP(O1000+(O1000*Assumptions!O$18),-2)</f>
        <v>2800</v>
      </c>
      <c r="Q1000" s="9">
        <f>ROUNDUP(P1000+(P1000*Assumptions!P$18),-2)</f>
        <v>2900</v>
      </c>
      <c r="R1000" s="9">
        <f>ROUNDUP(Q1000+(Q1000*Assumptions!Q$18),-2)</f>
        <v>3000</v>
      </c>
      <c r="S1000" s="47">
        <f>ROUNDUP(R1000+(R1000*Assumptions!R$18),-2)</f>
        <v>3100</v>
      </c>
    </row>
    <row r="1001" spans="1:21" x14ac:dyDescent="0.2">
      <c r="A1001" s="54">
        <v>1646000</v>
      </c>
      <c r="B1001" s="9">
        <v>1654300</v>
      </c>
      <c r="C1001" s="136">
        <v>1417700</v>
      </c>
      <c r="D1001" s="136">
        <v>1456800</v>
      </c>
      <c r="E1001" s="144">
        <v>1448800</v>
      </c>
      <c r="F1001" s="469" t="s">
        <v>2435</v>
      </c>
      <c r="G1001" s="9" t="s">
        <v>2409</v>
      </c>
      <c r="H1001" s="9">
        <v>1471900</v>
      </c>
      <c r="I1001" s="85">
        <f t="shared" si="1874"/>
        <v>1.5944229707344011</v>
      </c>
      <c r="J1001" s="9">
        <f>ROUNDUP(H1001+(H1001*Assumptions!I$18),-2)</f>
        <v>1501400</v>
      </c>
      <c r="K1001" s="9">
        <f>ROUNDUP(J1001+(J1001*Assumptions!J$18),-2)</f>
        <v>1531500</v>
      </c>
      <c r="L1001" s="9">
        <f>ROUNDUP(K1001+(K1001*Assumptions!K$18),-2)</f>
        <v>1562200</v>
      </c>
      <c r="M1001" s="9">
        <f>ROUNDUP(L1001+(L1001*Assumptions!L$18),-2)</f>
        <v>1593500</v>
      </c>
      <c r="N1001" s="9">
        <f>ROUNDUP(M1001+(M1001*Assumptions!M$18),-2)</f>
        <v>1625400</v>
      </c>
      <c r="O1001" s="9">
        <f>ROUNDUP(N1001+(N1001*Assumptions!N$18),-2)</f>
        <v>1658000</v>
      </c>
      <c r="P1001" s="9">
        <f>ROUNDUP(O1001+(O1001*Assumptions!O$18),-2)</f>
        <v>1691200</v>
      </c>
      <c r="Q1001" s="9">
        <f>ROUNDUP(P1001+(P1001*Assumptions!P$18),-2)</f>
        <v>1725100</v>
      </c>
      <c r="R1001" s="9">
        <f>ROUNDUP(Q1001+(Q1001*Assumptions!Q$18),-2)</f>
        <v>1759700</v>
      </c>
      <c r="S1001" s="47">
        <f>ROUNDUP(R1001+(R1001*Assumptions!R$18),-2)</f>
        <v>1794900</v>
      </c>
    </row>
    <row r="1002" spans="1:21" x14ac:dyDescent="0.2">
      <c r="A1002" s="54">
        <v>97700</v>
      </c>
      <c r="B1002" s="9">
        <v>78300</v>
      </c>
      <c r="C1002" s="136">
        <v>1200</v>
      </c>
      <c r="D1002" s="136">
        <v>0</v>
      </c>
      <c r="E1002" s="144">
        <v>39600</v>
      </c>
      <c r="F1002" s="769" t="s">
        <v>7283</v>
      </c>
      <c r="G1002" s="79" t="s">
        <v>5268</v>
      </c>
      <c r="H1002" s="9">
        <v>0</v>
      </c>
      <c r="I1002" s="85">
        <f t="shared" si="1874"/>
        <v>-100</v>
      </c>
      <c r="J1002" s="9">
        <f>ROUNDUP(H1002+(H1002*Assumptions!I$5),-2)</f>
        <v>0</v>
      </c>
      <c r="K1002" s="9">
        <f>ROUNDUP(J1002+(J1002*Assumptions!J$5),-2)</f>
        <v>0</v>
      </c>
      <c r="L1002" s="9">
        <f>ROUNDUP(K1002+(K1002*Assumptions!K$5),-2)</f>
        <v>0</v>
      </c>
      <c r="M1002" s="9">
        <f>ROUNDUP(L1002+(L1002*Assumptions!L$5),-2)</f>
        <v>0</v>
      </c>
      <c r="N1002" s="9">
        <f>ROUNDUP(M1002+(M1002*Assumptions!M$5),-2)</f>
        <v>0</v>
      </c>
      <c r="O1002" s="9">
        <f>ROUNDUP(N1002+(N1002*Assumptions!N$5),-2)</f>
        <v>0</v>
      </c>
      <c r="P1002" s="9">
        <f>ROUNDUP(O1002+(O1002*Assumptions!O$5),-2)</f>
        <v>0</v>
      </c>
      <c r="Q1002" s="9">
        <f>ROUNDUP(P1002+(P1002*Assumptions!P$5),-2)</f>
        <v>0</v>
      </c>
      <c r="R1002" s="9">
        <f>ROUNDUP(Q1002+(Q1002*Assumptions!Q$5),-2)</f>
        <v>0</v>
      </c>
      <c r="S1002" s="47">
        <f>ROUNDUP(R1002+(R1002*Assumptions!R$5),-2)</f>
        <v>0</v>
      </c>
    </row>
    <row r="1003" spans="1:21" ht="13.5" thickBot="1" x14ac:dyDescent="0.25">
      <c r="A1003" s="54"/>
      <c r="B1003" s="9"/>
      <c r="D1003" s="134"/>
      <c r="E1003" s="1442"/>
      <c r="F1003" s="167"/>
      <c r="G1003" s="1173"/>
      <c r="H1003" s="9"/>
      <c r="I1003" s="85"/>
      <c r="J1003" s="9"/>
      <c r="K1003" s="9"/>
      <c r="L1003" s="9"/>
      <c r="M1003" s="9"/>
      <c r="N1003" s="9"/>
      <c r="O1003" s="9"/>
      <c r="P1003" s="9"/>
      <c r="Q1003" s="9"/>
      <c r="R1003" s="9"/>
      <c r="S1003" s="47"/>
    </row>
    <row r="1004" spans="1:21" s="39" customFormat="1" x14ac:dyDescent="0.2">
      <c r="A1004" s="52">
        <f>SUM(A972:A1003)</f>
        <v>2445400</v>
      </c>
      <c r="B1004" s="16">
        <f>SUM(B972:B1003)</f>
        <v>2507800</v>
      </c>
      <c r="C1004" s="137">
        <f>SUM(C972:C1003)</f>
        <v>2343200</v>
      </c>
      <c r="D1004" s="137">
        <f>SUM(D972:D1003)</f>
        <v>2213900</v>
      </c>
      <c r="E1004" s="1443">
        <f>SUM(E972:E1003)</f>
        <v>2033800</v>
      </c>
      <c r="F1004" s="126"/>
      <c r="G1004" s="1158" t="s">
        <v>556</v>
      </c>
      <c r="H1004" s="16">
        <f>SUM(H972:H1003)</f>
        <v>2469900</v>
      </c>
      <c r="I1004" s="127">
        <f>IF(E1004=H1004,0,IF(E1004=0,100,(H1004-E1004)/E1004*100))</f>
        <v>21.442619726620123</v>
      </c>
      <c r="J1004" s="16">
        <f t="shared" ref="J1004:S1004" si="1875">SUM(J972:J1003)</f>
        <v>2374800</v>
      </c>
      <c r="K1004" s="16">
        <f t="shared" si="1875"/>
        <v>2531700</v>
      </c>
      <c r="L1004" s="16">
        <f t="shared" si="1875"/>
        <v>2342700</v>
      </c>
      <c r="M1004" s="16">
        <f t="shared" si="1875"/>
        <v>2394300</v>
      </c>
      <c r="N1004" s="16">
        <f t="shared" si="1875"/>
        <v>2446900</v>
      </c>
      <c r="O1004" s="16">
        <f t="shared" si="1875"/>
        <v>2500900</v>
      </c>
      <c r="P1004" s="16">
        <f t="shared" si="1875"/>
        <v>2732900</v>
      </c>
      <c r="Q1004" s="16">
        <f t="shared" si="1875"/>
        <v>2610700</v>
      </c>
      <c r="R1004" s="16">
        <f t="shared" si="1875"/>
        <v>2668300</v>
      </c>
      <c r="S1004" s="2342">
        <f t="shared" si="1875"/>
        <v>2727100</v>
      </c>
      <c r="U1004" s="34"/>
    </row>
    <row r="1005" spans="1:21" x14ac:dyDescent="0.2">
      <c r="A1005" s="54"/>
      <c r="B1005" s="9"/>
      <c r="E1005" s="1442"/>
      <c r="F1005" s="167"/>
      <c r="G1005" s="1173"/>
      <c r="H1005" s="9"/>
      <c r="I1005" s="85"/>
      <c r="J1005" s="9"/>
      <c r="K1005" s="9"/>
      <c r="L1005" s="9"/>
      <c r="M1005" s="9"/>
      <c r="N1005" s="9"/>
      <c r="O1005" s="9"/>
      <c r="P1005" s="9"/>
      <c r="Q1005" s="9"/>
      <c r="R1005" s="9"/>
      <c r="S1005" s="47"/>
    </row>
    <row r="1006" spans="1:21" s="39" customFormat="1" x14ac:dyDescent="0.2">
      <c r="A1006" s="24">
        <f>A970-A1004</f>
        <v>-2116100</v>
      </c>
      <c r="B1006" s="21">
        <f>B970-B1004</f>
        <v>-2160400</v>
      </c>
      <c r="C1006" s="139">
        <f>C970-C1004</f>
        <v>-2051500</v>
      </c>
      <c r="D1006" s="139">
        <f>D970-D1004</f>
        <v>-1839300</v>
      </c>
      <c r="E1006" s="1444">
        <f>E970-E1004</f>
        <v>-1479800</v>
      </c>
      <c r="F1006" s="173"/>
      <c r="G1006" s="366" t="s">
        <v>1002</v>
      </c>
      <c r="H1006" s="21">
        <f>H970-H1004</f>
        <v>-1938900</v>
      </c>
      <c r="I1006" s="126">
        <f>IF(E1006=H1006,0,IF(E1006=0,100,(H1006-E1006)/E1006*100))</f>
        <v>31.024462765238546</v>
      </c>
      <c r="J1006" s="21">
        <f t="shared" ref="J1006:S1006" si="1876">J970-J1004</f>
        <v>-1862900</v>
      </c>
      <c r="K1006" s="21">
        <f t="shared" si="1876"/>
        <v>-2047800</v>
      </c>
      <c r="L1006" s="21">
        <f t="shared" si="1876"/>
        <v>-1956800</v>
      </c>
      <c r="M1006" s="21">
        <f t="shared" si="1876"/>
        <v>-2006400</v>
      </c>
      <c r="N1006" s="21">
        <f t="shared" si="1876"/>
        <v>-2057000</v>
      </c>
      <c r="O1006" s="21">
        <f t="shared" si="1876"/>
        <v>-2109000</v>
      </c>
      <c r="P1006" s="21">
        <f t="shared" si="1876"/>
        <v>-2339000</v>
      </c>
      <c r="Q1006" s="21">
        <f t="shared" si="1876"/>
        <v>-2214800</v>
      </c>
      <c r="R1006" s="21">
        <f t="shared" si="1876"/>
        <v>-2270400</v>
      </c>
      <c r="S1006" s="86">
        <f t="shared" si="1876"/>
        <v>-2327200</v>
      </c>
      <c r="U1006" s="34"/>
    </row>
    <row r="1007" spans="1:21" x14ac:dyDescent="0.2">
      <c r="A1007" s="54">
        <f>SUM(A1000:A1001)</f>
        <v>1663200</v>
      </c>
      <c r="B1007" s="9">
        <f>SUM(B1000:B1001)</f>
        <v>1655900</v>
      </c>
      <c r="C1007" s="9">
        <f>SUM(C1000:C1001)</f>
        <v>1419300</v>
      </c>
      <c r="D1007" s="9">
        <f>SUM(D1000:D1001)</f>
        <v>1458800</v>
      </c>
      <c r="E1007" s="1442">
        <f t="shared" ref="E1007" si="1877">SUM(E1000:E1001)</f>
        <v>1450400</v>
      </c>
      <c r="F1007" s="167"/>
      <c r="G1007" s="217" t="s">
        <v>1943</v>
      </c>
      <c r="H1007" s="134">
        <f t="shared" ref="H1007:O1007" si="1878">SUM(H1000:H1001)</f>
        <v>1474000</v>
      </c>
      <c r="I1007" s="85">
        <f>IF(E1007=H1007,0,IF(E1007=0,100,(H1007-E1007)/E1007*100))</f>
        <v>1.6271373414230559</v>
      </c>
      <c r="J1007" s="134">
        <f t="shared" si="1878"/>
        <v>1503600</v>
      </c>
      <c r="K1007" s="134">
        <f t="shared" si="1878"/>
        <v>1533800</v>
      </c>
      <c r="L1007" s="134">
        <f t="shared" si="1878"/>
        <v>1564600</v>
      </c>
      <c r="M1007" s="134">
        <f t="shared" si="1878"/>
        <v>1596000</v>
      </c>
      <c r="N1007" s="134">
        <f t="shared" si="1878"/>
        <v>1628000</v>
      </c>
      <c r="O1007" s="134">
        <f t="shared" si="1878"/>
        <v>1660700</v>
      </c>
      <c r="P1007" s="134">
        <f t="shared" ref="P1007:Q1007" si="1879">SUM(P1000:P1001)</f>
        <v>1694000</v>
      </c>
      <c r="Q1007" s="134">
        <f t="shared" si="1879"/>
        <v>1728000</v>
      </c>
      <c r="R1007" s="134">
        <f t="shared" ref="R1007" si="1880">SUM(R1000:R1001)</f>
        <v>1762700</v>
      </c>
      <c r="S1007" s="2359">
        <f t="shared" ref="S1007" si="1881">SUM(S1000:S1001)</f>
        <v>1798000</v>
      </c>
    </row>
    <row r="1008" spans="1:21" x14ac:dyDescent="0.2">
      <c r="A1008" s="54">
        <f t="shared" ref="A1008:B1008" si="1882">A1002</f>
        <v>97700</v>
      </c>
      <c r="B1008" s="9">
        <f t="shared" si="1882"/>
        <v>78300</v>
      </c>
      <c r="C1008" s="9">
        <f>C1002</f>
        <v>1200</v>
      </c>
      <c r="D1008" s="9">
        <f>D1002</f>
        <v>0</v>
      </c>
      <c r="E1008" s="1442">
        <f t="shared" ref="E1008" si="1883">E1002</f>
        <v>39600</v>
      </c>
      <c r="F1008" s="167"/>
      <c r="G1008" s="217" t="s">
        <v>4557</v>
      </c>
      <c r="H1008" s="134">
        <f t="shared" ref="H1008:O1008" si="1884">H1002</f>
        <v>0</v>
      </c>
      <c r="I1008" s="85">
        <f>IF(E1008=H1008,0,IF(E1008=0,100,(H1008-E1008)/E1008*100))</f>
        <v>-100</v>
      </c>
      <c r="J1008" s="134">
        <f t="shared" si="1884"/>
        <v>0</v>
      </c>
      <c r="K1008" s="134">
        <f t="shared" si="1884"/>
        <v>0</v>
      </c>
      <c r="L1008" s="134">
        <f t="shared" si="1884"/>
        <v>0</v>
      </c>
      <c r="M1008" s="134">
        <f t="shared" si="1884"/>
        <v>0</v>
      </c>
      <c r="N1008" s="134">
        <f t="shared" si="1884"/>
        <v>0</v>
      </c>
      <c r="O1008" s="134">
        <f t="shared" si="1884"/>
        <v>0</v>
      </c>
      <c r="P1008" s="134">
        <f t="shared" ref="P1008:Q1008" si="1885">P1002</f>
        <v>0</v>
      </c>
      <c r="Q1008" s="134">
        <f t="shared" si="1885"/>
        <v>0</v>
      </c>
      <c r="R1008" s="134">
        <f t="shared" ref="R1008" si="1886">R1002</f>
        <v>0</v>
      </c>
      <c r="S1008" s="2359">
        <f t="shared" ref="S1008" si="1887">S1002</f>
        <v>0</v>
      </c>
    </row>
    <row r="1009" spans="1:21" s="39" customFormat="1" x14ac:dyDescent="0.2">
      <c r="A1009" s="128">
        <f t="shared" ref="A1009:B1009" si="1888">A1006+A1007+A1008</f>
        <v>-355200</v>
      </c>
      <c r="B1009" s="280">
        <f t="shared" si="1888"/>
        <v>-426200</v>
      </c>
      <c r="C1009" s="280">
        <f>C1006+C1007+C1008</f>
        <v>-631000</v>
      </c>
      <c r="D1009" s="280">
        <f>D1006+D1007+D1008</f>
        <v>-380500</v>
      </c>
      <c r="E1009" s="1515">
        <f t="shared" ref="E1009" si="1889">E1006+E1007+E1008</f>
        <v>10200</v>
      </c>
      <c r="F1009" s="372"/>
      <c r="G1009" s="360" t="s">
        <v>1659</v>
      </c>
      <c r="H1009" s="529">
        <f t="shared" ref="H1009:O1009" si="1890">H1006+H1007+H1008</f>
        <v>-464900</v>
      </c>
      <c r="I1009" s="278">
        <f>IF(E1009=H1009,0,IF(E1009=0,100,(H1009-E1009)/E1009*100))</f>
        <v>-4657.8431372549021</v>
      </c>
      <c r="J1009" s="529">
        <f t="shared" si="1890"/>
        <v>-359300</v>
      </c>
      <c r="K1009" s="529">
        <f t="shared" si="1890"/>
        <v>-514000</v>
      </c>
      <c r="L1009" s="529">
        <f t="shared" si="1890"/>
        <v>-392200</v>
      </c>
      <c r="M1009" s="529">
        <f t="shared" si="1890"/>
        <v>-410400</v>
      </c>
      <c r="N1009" s="529">
        <f t="shared" si="1890"/>
        <v>-429000</v>
      </c>
      <c r="O1009" s="529">
        <f t="shared" si="1890"/>
        <v>-448300</v>
      </c>
      <c r="P1009" s="529">
        <f t="shared" ref="P1009:Q1009" si="1891">P1006+P1007+P1008</f>
        <v>-645000</v>
      </c>
      <c r="Q1009" s="529">
        <f t="shared" si="1891"/>
        <v>-486800</v>
      </c>
      <c r="R1009" s="529">
        <f t="shared" ref="R1009" si="1892">R1006+R1007+R1008</f>
        <v>-507700</v>
      </c>
      <c r="S1009" s="2410">
        <f t="shared" ref="S1009" si="1893">S1006+S1007+S1008</f>
        <v>-529200</v>
      </c>
      <c r="U1009" s="34"/>
    </row>
    <row r="1010" spans="1:21" ht="13.5" thickBot="1" x14ac:dyDescent="0.25">
      <c r="A1010" s="544"/>
      <c r="B1010" s="21"/>
      <c r="C1010" s="138"/>
      <c r="D1010" s="138"/>
      <c r="E1010" s="1444"/>
      <c r="F1010" s="167"/>
      <c r="G1010" s="122"/>
      <c r="H1010" s="68"/>
      <c r="I1010" s="126"/>
      <c r="J1010" s="68"/>
      <c r="K1010" s="68"/>
      <c r="L1010" s="68"/>
      <c r="M1010" s="68"/>
      <c r="N1010" s="68"/>
      <c r="O1010" s="68"/>
      <c r="P1010" s="68"/>
      <c r="Q1010" s="68"/>
      <c r="R1010" s="68"/>
      <c r="S1010" s="108"/>
    </row>
    <row r="1011" spans="1:21" ht="13.5" thickTop="1" x14ac:dyDescent="0.2">
      <c r="A1011" s="270"/>
      <c r="B1011" s="69"/>
      <c r="C1011" s="140"/>
      <c r="D1011" s="140"/>
      <c r="E1011" s="1516"/>
      <c r="F1011" s="254"/>
      <c r="G1011" s="455"/>
      <c r="H1011" s="74"/>
      <c r="I1011" s="352"/>
      <c r="J1011" s="74"/>
      <c r="K1011" s="74"/>
      <c r="L1011" s="74"/>
      <c r="M1011" s="74"/>
      <c r="N1011" s="74"/>
      <c r="O1011" s="74"/>
      <c r="P1011" s="74"/>
      <c r="Q1011" s="74"/>
      <c r="R1011" s="74"/>
      <c r="S1011" s="110"/>
    </row>
    <row r="1012" spans="1:21" x14ac:dyDescent="0.2">
      <c r="A1012" s="24"/>
      <c r="B1012" s="75"/>
      <c r="C1012" s="139"/>
      <c r="D1012" s="139"/>
      <c r="E1012" s="1444"/>
      <c r="F1012" s="167"/>
      <c r="G1012" s="1160" t="s">
        <v>192</v>
      </c>
      <c r="H1012" s="9"/>
      <c r="I1012" s="126"/>
      <c r="J1012" s="9"/>
      <c r="K1012" s="9"/>
      <c r="L1012" s="9"/>
      <c r="M1012" s="9"/>
      <c r="N1012" s="9"/>
      <c r="O1012" s="9"/>
      <c r="P1012" s="9"/>
      <c r="Q1012" s="9"/>
      <c r="R1012" s="9"/>
      <c r="S1012" s="61"/>
    </row>
    <row r="1013" spans="1:21" x14ac:dyDescent="0.2">
      <c r="A1013" s="54">
        <v>0</v>
      </c>
      <c r="B1013" s="89">
        <v>0</v>
      </c>
      <c r="C1013" s="136">
        <v>0</v>
      </c>
      <c r="D1013" s="136">
        <v>0</v>
      </c>
      <c r="E1013" s="1442">
        <v>0</v>
      </c>
      <c r="F1013" s="167"/>
      <c r="G1013" s="1173" t="s">
        <v>2848</v>
      </c>
      <c r="H1013" s="9">
        <v>0</v>
      </c>
      <c r="I1013" s="85">
        <f t="shared" ref="I1013:I1018" si="1894">IF(E1013=H1013,0,IF(E1013=0,100,(H1013-E1013)/E1013*100))</f>
        <v>0</v>
      </c>
      <c r="J1013" s="9">
        <v>0</v>
      </c>
      <c r="K1013" s="9">
        <v>0</v>
      </c>
      <c r="L1013" s="9">
        <v>0</v>
      </c>
      <c r="M1013" s="9">
        <v>0</v>
      </c>
      <c r="N1013" s="9">
        <v>0</v>
      </c>
      <c r="O1013" s="9">
        <v>0</v>
      </c>
      <c r="P1013" s="9">
        <v>0</v>
      </c>
      <c r="Q1013" s="9">
        <v>0</v>
      </c>
      <c r="R1013" s="9">
        <v>0</v>
      </c>
      <c r="S1013" s="47">
        <v>0</v>
      </c>
    </row>
    <row r="1014" spans="1:21" x14ac:dyDescent="0.2">
      <c r="A1014" s="54">
        <v>886300</v>
      </c>
      <c r="B1014" s="89">
        <v>643900</v>
      </c>
      <c r="C1014" s="136">
        <v>612300</v>
      </c>
      <c r="D1014" s="136">
        <f>SUM('Res-Gen'!B173:B180)</f>
        <v>507000</v>
      </c>
      <c r="E1014" s="1442">
        <f>69600+715500</f>
        <v>785100</v>
      </c>
      <c r="F1014" s="167"/>
      <c r="G1014" s="1173" t="s">
        <v>1909</v>
      </c>
      <c r="H1014" s="9">
        <f>SUM('Res-Gen'!H173:H180)</f>
        <v>257000</v>
      </c>
      <c r="I1014" s="85">
        <f t="shared" si="1894"/>
        <v>-67.265316520188506</v>
      </c>
      <c r="J1014" s="9">
        <f>SUM('Res-Gen'!K173:K180)</f>
        <v>70000</v>
      </c>
      <c r="K1014" s="9">
        <f>SUM('Res-Gen'!N173:N180)</f>
        <v>75000</v>
      </c>
      <c r="L1014" s="9">
        <f>SUM('Res-Gen'!Q173:Q180)</f>
        <v>35000</v>
      </c>
      <c r="M1014" s="9">
        <f>SUM('Res-Gen'!T173:T180)</f>
        <v>35000</v>
      </c>
      <c r="N1014" s="9">
        <f>SUM('Res-Gen'!W173:W180)</f>
        <v>35000</v>
      </c>
      <c r="O1014" s="9">
        <f>SUM('Res-Gen'!Z173:Z180)</f>
        <v>45000</v>
      </c>
      <c r="P1014" s="9">
        <f>SUM('Res-Gen'!AC173:AC180)</f>
        <v>50000</v>
      </c>
      <c r="Q1014" s="9">
        <f>SUM('Res-Gen'!AF173:AF180)</f>
        <v>35000</v>
      </c>
      <c r="R1014" s="9">
        <f>SUM('Res-Gen'!AI173:AI180)</f>
        <v>35000</v>
      </c>
      <c r="S1014" s="47">
        <f>SUM('Res-Gen'!AL173:AL180)</f>
        <v>35000</v>
      </c>
    </row>
    <row r="1015" spans="1:21" x14ac:dyDescent="0.2">
      <c r="A1015" s="54">
        <v>679700</v>
      </c>
      <c r="B1015" s="89">
        <v>852100</v>
      </c>
      <c r="C1015" s="136">
        <v>872000</v>
      </c>
      <c r="D1015" s="136">
        <f>SUM('Res-Gen'!C173:C180)+14900</f>
        <v>567000</v>
      </c>
      <c r="E1015" s="144">
        <f>SUM('Res-Gen'!F173:F180)</f>
        <v>522500</v>
      </c>
      <c r="F1015" s="167"/>
      <c r="G1015" s="257" t="s">
        <v>2309</v>
      </c>
      <c r="H1015" s="9">
        <f>SUM('Res-Gen'!I173:I176)</f>
        <v>241800</v>
      </c>
      <c r="I1015" s="85">
        <f t="shared" si="1894"/>
        <v>-53.722488038277518</v>
      </c>
      <c r="J1015" s="9">
        <f>SUM('Res-Gen'!L173:L180)</f>
        <v>0</v>
      </c>
      <c r="K1015" s="9">
        <f>SUM('Res-Gen'!O173:O180)</f>
        <v>160000</v>
      </c>
      <c r="L1015" s="9">
        <f>SUM('Res-Gen'!R173:R180)</f>
        <v>0</v>
      </c>
      <c r="M1015" s="9">
        <f>SUM('Res-Gen'!U173:U180)</f>
        <v>0</v>
      </c>
      <c r="N1015" s="9">
        <f>SUM('Res-Gen'!X173:X180)</f>
        <v>0</v>
      </c>
      <c r="O1015" s="9">
        <f>SUM('Res-Gen'!AA173:AA180)</f>
        <v>0</v>
      </c>
      <c r="P1015" s="9">
        <f>SUM('Res-Gen'!AD173:AD180)</f>
        <v>200000</v>
      </c>
      <c r="Q1015" s="9">
        <f>SUM('Res-Gen'!AG173:AG180)</f>
        <v>0</v>
      </c>
      <c r="R1015" s="9">
        <f>SUM('Res-Gen'!AJ173:AJ180)</f>
        <v>0</v>
      </c>
      <c r="S1015" s="47">
        <f>SUM('Res-Gen'!AM173:AM180)</f>
        <v>0</v>
      </c>
    </row>
    <row r="1016" spans="1:21" x14ac:dyDescent="0.2">
      <c r="A1016" s="54">
        <v>0</v>
      </c>
      <c r="B1016" s="89">
        <v>0</v>
      </c>
      <c r="C1016" s="136">
        <v>0</v>
      </c>
      <c r="D1016" s="136">
        <f>SUM('Cap-Gen'!R111:T116)</f>
        <v>0</v>
      </c>
      <c r="E1016" s="144">
        <f>SUM('Cap-Gen'!W111:Y116)</f>
        <v>0</v>
      </c>
      <c r="F1016" s="167"/>
      <c r="G1016" s="257" t="s">
        <v>5847</v>
      </c>
      <c r="H1016" s="9">
        <v>0</v>
      </c>
      <c r="I1016" s="85">
        <f t="shared" si="1894"/>
        <v>0</v>
      </c>
      <c r="J1016" s="9">
        <v>0</v>
      </c>
      <c r="K1016" s="9">
        <v>0</v>
      </c>
      <c r="L1016" s="9">
        <v>0</v>
      </c>
      <c r="M1016" s="9">
        <v>0</v>
      </c>
      <c r="N1016" s="9">
        <v>0</v>
      </c>
      <c r="O1016" s="9">
        <v>0</v>
      </c>
      <c r="P1016" s="9">
        <v>0</v>
      </c>
      <c r="Q1016" s="9">
        <v>0</v>
      </c>
      <c r="R1016" s="9">
        <v>0</v>
      </c>
      <c r="S1016" s="47">
        <v>0</v>
      </c>
    </row>
    <row r="1017" spans="1:21" x14ac:dyDescent="0.2">
      <c r="A1017" s="54">
        <v>161730</v>
      </c>
      <c r="B1017" s="89">
        <v>441800</v>
      </c>
      <c r="C1017" s="136">
        <v>221100</v>
      </c>
      <c r="D1017" s="136">
        <f>SUM('Cap-Gen'!E111:E116)</f>
        <v>302700</v>
      </c>
      <c r="E1017" s="144">
        <f>SUM('Cap-Gen'!F111:F116)</f>
        <v>255300</v>
      </c>
      <c r="F1017" s="167"/>
      <c r="G1017" s="257" t="s">
        <v>958</v>
      </c>
      <c r="H1017" s="9">
        <f>SUM('Cap-Gen'!G111:G116)</f>
        <v>354200</v>
      </c>
      <c r="I1017" s="85">
        <f t="shared" si="1894"/>
        <v>38.738738738738739</v>
      </c>
      <c r="J1017" s="9">
        <f>SUM('Cap-Gen'!H111:H116)</f>
        <v>474000</v>
      </c>
      <c r="K1017" s="9">
        <f>SUM('Cap-Gen'!I111:I116)</f>
        <v>493000</v>
      </c>
      <c r="L1017" s="9">
        <f>SUM('Cap-Gen'!J111:J116)</f>
        <v>506000</v>
      </c>
      <c r="M1017" s="9">
        <f>SUM('Cap-Gen'!K111:K116)</f>
        <v>519000</v>
      </c>
      <c r="N1017" s="9">
        <f>SUM('Cap-Gen'!L111:L116)</f>
        <v>532000</v>
      </c>
      <c r="O1017" s="9">
        <f>SUM('Cap-Gen'!M111:M116)</f>
        <v>546000</v>
      </c>
      <c r="P1017" s="9">
        <f>SUM('Cap-Gen'!N111:N116)</f>
        <v>560000</v>
      </c>
      <c r="Q1017" s="9">
        <f>SUM('Cap-Gen'!O111:O116)</f>
        <v>574000</v>
      </c>
      <c r="R1017" s="9">
        <f>SUM('Cap-Gen'!P111:P116)</f>
        <v>589000</v>
      </c>
      <c r="S1017" s="47">
        <f>SUM('Cap-Gen'!Q111:Q116)</f>
        <v>604000</v>
      </c>
    </row>
    <row r="1018" spans="1:21" s="39" customFormat="1" x14ac:dyDescent="0.2">
      <c r="A1018" s="128">
        <f>A1009-A1013-A1014+A1015++A1016-A1017</f>
        <v>-723530</v>
      </c>
      <c r="B1018" s="266">
        <f>B1009-B1013-B1014+B1015++B1016-B1017</f>
        <v>-659800</v>
      </c>
      <c r="C1018" s="281">
        <f>C1009-C1013-C1014+C1015++C1016-C1017</f>
        <v>-592400</v>
      </c>
      <c r="D1018" s="281">
        <f>D1009-D1013-D1014+D1015++D1016-D1017</f>
        <v>-623200</v>
      </c>
      <c r="E1018" s="1513">
        <f t="shared" ref="E1018" si="1895">E1009-E1013-E1014+E1015++E1016-E1017</f>
        <v>-507700</v>
      </c>
      <c r="F1018" s="372"/>
      <c r="G1018" s="363" t="s">
        <v>2447</v>
      </c>
      <c r="H1018" s="280">
        <f t="shared" ref="H1018:P1018" si="1896">H1009-H1013-H1014+H1015++H1016-H1017</f>
        <v>-834300</v>
      </c>
      <c r="I1018" s="278">
        <f t="shared" si="1894"/>
        <v>64.329328343509957</v>
      </c>
      <c r="J1018" s="280">
        <f t="shared" si="1896"/>
        <v>-903300</v>
      </c>
      <c r="K1018" s="280">
        <f t="shared" si="1896"/>
        <v>-922000</v>
      </c>
      <c r="L1018" s="280">
        <f t="shared" si="1896"/>
        <v>-933200</v>
      </c>
      <c r="M1018" s="280">
        <f t="shared" si="1896"/>
        <v>-964400</v>
      </c>
      <c r="N1018" s="280">
        <f t="shared" si="1896"/>
        <v>-996000</v>
      </c>
      <c r="O1018" s="280">
        <f t="shared" si="1896"/>
        <v>-1039300</v>
      </c>
      <c r="P1018" s="280">
        <f t="shared" si="1896"/>
        <v>-1055000</v>
      </c>
      <c r="Q1018" s="280">
        <f t="shared" ref="Q1018" si="1897">Q1009-Q1013-Q1014+Q1015++Q1016-Q1017</f>
        <v>-1095800</v>
      </c>
      <c r="R1018" s="280">
        <f t="shared" ref="R1018:S1018" si="1898">R1009-R1013-R1014+R1015++R1016-R1017</f>
        <v>-1131700</v>
      </c>
      <c r="S1018" s="282">
        <f t="shared" si="1898"/>
        <v>-1168200</v>
      </c>
      <c r="U1018" s="34"/>
    </row>
    <row r="1019" spans="1:21" ht="13.5" thickBot="1" x14ac:dyDescent="0.25">
      <c r="A1019" s="26"/>
      <c r="B1019" s="81"/>
      <c r="C1019" s="141"/>
      <c r="D1019" s="141"/>
      <c r="E1019" s="1437"/>
      <c r="F1019" s="166"/>
      <c r="G1019" s="259"/>
      <c r="H1019" s="23"/>
      <c r="I1019" s="275"/>
      <c r="J1019" s="23"/>
      <c r="K1019" s="23"/>
      <c r="L1019" s="23"/>
      <c r="M1019" s="23"/>
      <c r="N1019" s="23"/>
      <c r="O1019" s="23"/>
      <c r="P1019" s="23"/>
      <c r="Q1019" s="23"/>
      <c r="R1019" s="23"/>
      <c r="S1019" s="112"/>
    </row>
    <row r="1020" spans="1:21" ht="14.25" thickTop="1" thickBot="1" x14ac:dyDescent="0.25">
      <c r="A1020" s="27"/>
      <c r="B1020" s="27"/>
      <c r="C1020" s="27"/>
      <c r="D1020" s="27"/>
      <c r="E1020" s="143"/>
      <c r="F1020" s="169"/>
      <c r="G1020" s="84"/>
      <c r="H1020" s="46"/>
      <c r="I1020" s="2234"/>
      <c r="J1020" s="46"/>
      <c r="K1020" s="46"/>
      <c r="L1020" s="46"/>
      <c r="M1020" s="46"/>
      <c r="N1020" s="46"/>
      <c r="O1020" s="46"/>
      <c r="P1020" s="46"/>
      <c r="Q1020" s="46"/>
      <c r="R1020" s="46"/>
      <c r="S1020" s="46"/>
    </row>
    <row r="1021" spans="1:21" s="38" customFormat="1" ht="18.75" customHeight="1" thickTop="1" thickBot="1" x14ac:dyDescent="0.3">
      <c r="A1021" s="2588" t="s">
        <v>1857</v>
      </c>
      <c r="B1021" s="2589"/>
      <c r="C1021" s="2589"/>
      <c r="D1021" s="2589"/>
      <c r="E1021" s="2589"/>
      <c r="F1021" s="2589"/>
      <c r="G1021" s="2589"/>
      <c r="H1021" s="2589"/>
      <c r="I1021" s="2589"/>
      <c r="J1021" s="2589"/>
      <c r="K1021" s="2589"/>
      <c r="L1021" s="2589"/>
      <c r="M1021" s="2589"/>
      <c r="N1021" s="2589"/>
      <c r="O1021" s="2589"/>
      <c r="P1021" s="2589"/>
      <c r="Q1021" s="2589"/>
      <c r="R1021" s="2589"/>
      <c r="S1021" s="2590"/>
      <c r="U1021" s="34"/>
    </row>
    <row r="1022" spans="1:21" s="39" customFormat="1" ht="13.5" thickBot="1" x14ac:dyDescent="0.25">
      <c r="A1022" s="2591" t="s">
        <v>1824</v>
      </c>
      <c r="B1022" s="2577"/>
      <c r="C1022" s="2577"/>
      <c r="D1022" s="2577"/>
      <c r="E1022" s="2592"/>
      <c r="F1022" s="127" t="s">
        <v>2616</v>
      </c>
      <c r="G1022" s="127" t="s">
        <v>2213</v>
      </c>
      <c r="H1022" s="2568" t="s">
        <v>2215</v>
      </c>
      <c r="I1022" s="2568"/>
      <c r="J1022" s="2568"/>
      <c r="K1022" s="2568"/>
      <c r="L1022" s="2568"/>
      <c r="M1022" s="2568"/>
      <c r="N1022" s="2568"/>
      <c r="O1022" s="2568"/>
      <c r="P1022" s="2568"/>
      <c r="Q1022" s="2568"/>
      <c r="R1022" s="2568"/>
      <c r="S1022" s="2607"/>
      <c r="U1022" s="34"/>
    </row>
    <row r="1023" spans="1:21" ht="13.5" thickBot="1" x14ac:dyDescent="0.25">
      <c r="A1023" s="541" t="str">
        <f>A3</f>
        <v>2012/13</v>
      </c>
      <c r="B1023" s="28" t="str">
        <f>B3</f>
        <v>2013/14</v>
      </c>
      <c r="C1023" s="40" t="str">
        <f>C3</f>
        <v>2014/15</v>
      </c>
      <c r="D1023" s="40" t="str">
        <f>D3</f>
        <v>2015/16</v>
      </c>
      <c r="E1023" s="40" t="str">
        <f>E3</f>
        <v>2016/17</v>
      </c>
      <c r="F1023" s="2008" t="s">
        <v>2617</v>
      </c>
      <c r="G1023" s="41"/>
      <c r="H1023" s="40" t="str">
        <f>H3</f>
        <v>2017/18</v>
      </c>
      <c r="I1023" s="1258" t="str">
        <f>I1590</f>
        <v>%</v>
      </c>
      <c r="J1023" s="40" t="str">
        <f t="shared" ref="J1023:S1023" si="1899">J3</f>
        <v>2018/19</v>
      </c>
      <c r="K1023" s="40" t="str">
        <f t="shared" si="1899"/>
        <v>2019/20</v>
      </c>
      <c r="L1023" s="40" t="str">
        <f t="shared" si="1899"/>
        <v>2020/21</v>
      </c>
      <c r="M1023" s="40" t="str">
        <f t="shared" si="1899"/>
        <v>2021/22</v>
      </c>
      <c r="N1023" s="40" t="str">
        <f t="shared" si="1899"/>
        <v>2022/23</v>
      </c>
      <c r="O1023" s="40" t="str">
        <f t="shared" si="1899"/>
        <v>2023/24</v>
      </c>
      <c r="P1023" s="40" t="str">
        <f t="shared" si="1899"/>
        <v>2024/25</v>
      </c>
      <c r="Q1023" s="28" t="str">
        <f t="shared" si="1899"/>
        <v>2025/26</v>
      </c>
      <c r="R1023" s="28" t="str">
        <f t="shared" si="1899"/>
        <v>2026/27</v>
      </c>
      <c r="S1023" s="1620" t="str">
        <f t="shared" si="1899"/>
        <v>2027/28</v>
      </c>
    </row>
    <row r="1024" spans="1:21" x14ac:dyDescent="0.2">
      <c r="A1024" s="54"/>
      <c r="B1024" s="9"/>
      <c r="E1024" s="134"/>
      <c r="F1024" s="1153"/>
      <c r="G1024" s="1460"/>
      <c r="H1024" s="9"/>
      <c r="I1024" s="85"/>
      <c r="J1024" s="9"/>
      <c r="K1024" s="9"/>
      <c r="L1024" s="9"/>
      <c r="M1024" s="9"/>
      <c r="N1024" s="9"/>
      <c r="O1024" s="9"/>
      <c r="P1024" s="9"/>
      <c r="Q1024" s="9"/>
      <c r="R1024" s="9"/>
      <c r="S1024" s="61"/>
    </row>
    <row r="1025" spans="1:21" x14ac:dyDescent="0.2">
      <c r="A1025" s="54"/>
      <c r="B1025" s="9"/>
      <c r="C1025" s="134"/>
      <c r="D1025" s="134"/>
      <c r="E1025" s="134"/>
      <c r="F1025" s="1153"/>
      <c r="G1025" s="91" t="s">
        <v>1056</v>
      </c>
      <c r="H1025" s="9"/>
      <c r="I1025" s="85"/>
      <c r="J1025" s="9"/>
      <c r="K1025" s="9"/>
      <c r="L1025" s="9"/>
      <c r="M1025" s="9"/>
      <c r="N1025" s="9"/>
      <c r="O1025" s="9"/>
      <c r="P1025" s="9"/>
      <c r="Q1025" s="9"/>
      <c r="R1025" s="9"/>
      <c r="S1025" s="61"/>
    </row>
    <row r="1026" spans="1:21" x14ac:dyDescent="0.2">
      <c r="A1026" s="54"/>
      <c r="B1026" s="9"/>
      <c r="E1026" s="134"/>
      <c r="F1026" s="1153"/>
      <c r="G1026" s="32" t="s">
        <v>677</v>
      </c>
      <c r="H1026" s="9"/>
      <c r="I1026" s="85"/>
      <c r="J1026" s="9"/>
      <c r="K1026" s="9"/>
      <c r="L1026" s="9"/>
      <c r="M1026" s="9"/>
      <c r="N1026" s="9"/>
      <c r="O1026" s="9"/>
      <c r="P1026" s="9"/>
      <c r="Q1026" s="9"/>
      <c r="R1026" s="9"/>
      <c r="S1026" s="61"/>
    </row>
    <row r="1027" spans="1:21" x14ac:dyDescent="0.2">
      <c r="A1027" s="54">
        <v>47000</v>
      </c>
      <c r="B1027" s="89">
        <v>1500</v>
      </c>
      <c r="C1027" s="136">
        <v>12000</v>
      </c>
      <c r="D1027" s="136">
        <v>0</v>
      </c>
      <c r="E1027" s="9">
        <f>24500+9600</f>
        <v>34100</v>
      </c>
      <c r="F1027" s="469" t="s">
        <v>2885</v>
      </c>
      <c r="G1027" s="30" t="s">
        <v>4395</v>
      </c>
      <c r="H1027" s="9">
        <v>0</v>
      </c>
      <c r="I1027" s="85">
        <f t="shared" ref="I1027:I1030" si="1900">IF(E1027=H1027,0,IF(E1027=0,100,(H1027-E1027)/E1027*100))</f>
        <v>-100</v>
      </c>
      <c r="J1027" s="9">
        <f>ROUNDUP(H1027+(H1027*Assumptions!I$12),-2)</f>
        <v>0</v>
      </c>
      <c r="K1027" s="9">
        <f>ROUNDUP(J1027+(J1027*Assumptions!J$12),-2)</f>
        <v>0</v>
      </c>
      <c r="L1027" s="9">
        <f>ROUNDUP(K1027+(K1027*Assumptions!K$12),-2)</f>
        <v>0</v>
      </c>
      <c r="M1027" s="9">
        <f>ROUNDUP(L1027+(L1027*Assumptions!L$12),-2)</f>
        <v>0</v>
      </c>
      <c r="N1027" s="9">
        <f>ROUNDUP(M1027+(M1027*Assumptions!M$12),-2)</f>
        <v>0</v>
      </c>
      <c r="O1027" s="9">
        <f>ROUNDUP(N1027+(N1027*Assumptions!N$12),-2)</f>
        <v>0</v>
      </c>
      <c r="P1027" s="9">
        <f>ROUNDUP(O1027+(O1027*Assumptions!O$12),-2)</f>
        <v>0</v>
      </c>
      <c r="Q1027" s="9">
        <f>ROUNDUP(P1027+(P1027*Assumptions!P$12),-2)</f>
        <v>0</v>
      </c>
      <c r="R1027" s="9">
        <f>ROUNDUP(Q1027+(Q1027*Assumptions!Q$12),-2)</f>
        <v>0</v>
      </c>
      <c r="S1027" s="47">
        <f>ROUNDUP(R1027+(R1027*Assumptions!R$12),-2)</f>
        <v>0</v>
      </c>
    </row>
    <row r="1028" spans="1:21" x14ac:dyDescent="0.2">
      <c r="A1028" s="54">
        <v>19800</v>
      </c>
      <c r="B1028" s="136">
        <v>37100</v>
      </c>
      <c r="C1028" s="136">
        <v>69300</v>
      </c>
      <c r="D1028" s="136">
        <v>62700</v>
      </c>
      <c r="E1028" s="9">
        <v>56400</v>
      </c>
      <c r="F1028" s="769" t="s">
        <v>2892</v>
      </c>
      <c r="G1028" s="30" t="s">
        <v>2890</v>
      </c>
      <c r="H1028" s="9">
        <f>22500+25000</f>
        <v>47500</v>
      </c>
      <c r="I1028" s="85">
        <f t="shared" si="1900"/>
        <v>-15.780141843971633</v>
      </c>
      <c r="J1028" s="9">
        <f>18400+21600</f>
        <v>40000</v>
      </c>
      <c r="K1028" s="9">
        <f>14200+18000</f>
        <v>32200</v>
      </c>
      <c r="L1028" s="9">
        <f>9900+14300</f>
        <v>24200</v>
      </c>
      <c r="M1028" s="9">
        <f>5300+10500</f>
        <v>15800</v>
      </c>
      <c r="N1028" s="9">
        <f>900+6600</f>
        <v>7500</v>
      </c>
      <c r="O1028" s="9">
        <v>2600</v>
      </c>
      <c r="P1028" s="9">
        <v>0</v>
      </c>
      <c r="Q1028" s="9">
        <v>0</v>
      </c>
      <c r="R1028" s="9">
        <v>0</v>
      </c>
      <c r="S1028" s="47">
        <v>0</v>
      </c>
    </row>
    <row r="1029" spans="1:21" x14ac:dyDescent="0.2">
      <c r="A1029" s="54">
        <f>53600+554700</f>
        <v>608300</v>
      </c>
      <c r="B1029" s="136">
        <v>228000</v>
      </c>
      <c r="C1029" s="136">
        <v>0</v>
      </c>
      <c r="D1029" s="136">
        <v>214000</v>
      </c>
      <c r="E1029" s="134">
        <v>0</v>
      </c>
      <c r="F1029" s="469" t="s">
        <v>2431</v>
      </c>
      <c r="G1029" s="30" t="s">
        <v>6246</v>
      </c>
      <c r="H1029" s="9">
        <v>0</v>
      </c>
      <c r="I1029" s="85">
        <f t="shared" si="1900"/>
        <v>0</v>
      </c>
      <c r="J1029" s="9">
        <f>ROUNDUP(H1029+(H1029*Assumptions!I$12),-2)</f>
        <v>0</v>
      </c>
      <c r="K1029" s="9">
        <f>ROUNDUP(J1029+(J1029*Assumptions!J$12),-2)</f>
        <v>0</v>
      </c>
      <c r="L1029" s="9">
        <f>ROUNDUP(K1029+(K1029*Assumptions!K$12),-2)</f>
        <v>0</v>
      </c>
      <c r="M1029" s="9">
        <f>ROUNDUP(L1029+(L1029*Assumptions!L$12),-2)</f>
        <v>0</v>
      </c>
      <c r="N1029" s="9">
        <f>ROUNDUP(M1029+(M1029*Assumptions!M$12),-2)</f>
        <v>0</v>
      </c>
      <c r="O1029" s="9">
        <f>ROUNDUP(N1029+(N1029*Assumptions!N$12),-2)</f>
        <v>0</v>
      </c>
      <c r="P1029" s="9">
        <f>ROUNDUP(O1029+(O1029*Assumptions!O$12),-2)</f>
        <v>0</v>
      </c>
      <c r="Q1029" s="9">
        <f>ROUNDUP(P1029+(P1029*Assumptions!P$12),-2)</f>
        <v>0</v>
      </c>
      <c r="R1029" s="9">
        <f>ROUNDUP(Q1029+(Q1029*Assumptions!Q$12),-2)</f>
        <v>0</v>
      </c>
      <c r="S1029" s="47">
        <f>ROUNDUP(R1029+(R1029*Assumptions!R$12),-2)</f>
        <v>0</v>
      </c>
    </row>
    <row r="1030" spans="1:21" x14ac:dyDescent="0.2">
      <c r="A1030" s="54">
        <v>0</v>
      </c>
      <c r="B1030" s="136">
        <v>0</v>
      </c>
      <c r="C1030" s="136">
        <f>4000+104800+130000</f>
        <v>238800</v>
      </c>
      <c r="D1030" s="136">
        <v>0</v>
      </c>
      <c r="E1030" s="1442">
        <v>1484400</v>
      </c>
      <c r="F1030" s="769" t="s">
        <v>6411</v>
      </c>
      <c r="G1030" s="30" t="s">
        <v>5215</v>
      </c>
      <c r="H1030" s="9">
        <v>900000</v>
      </c>
      <c r="I1030" s="85">
        <f t="shared" si="1900"/>
        <v>-39.369442198868235</v>
      </c>
      <c r="J1030" s="9">
        <v>492000</v>
      </c>
      <c r="K1030" s="9">
        <v>634000</v>
      </c>
      <c r="L1030" s="9">
        <f>ROUNDUP(K1030+(K1030*Assumptions!K$12),-2)</f>
        <v>646700</v>
      </c>
      <c r="M1030" s="9">
        <f>ROUNDUP(L1030+(L1030*Assumptions!L$12),-2)</f>
        <v>659700</v>
      </c>
      <c r="N1030" s="9">
        <f>ROUNDUP(M1030+(M1030*Assumptions!M$12),-2)</f>
        <v>672900</v>
      </c>
      <c r="O1030" s="9">
        <f>ROUNDUP(N1030+(N1030*Assumptions!N$12),-2)</f>
        <v>686400</v>
      </c>
      <c r="P1030" s="9">
        <f>ROUNDUP(O1030+(O1030*Assumptions!O$12),-2)</f>
        <v>700200</v>
      </c>
      <c r="Q1030" s="9">
        <f>ROUNDUP(P1030+(P1030*Assumptions!P$12),-2)</f>
        <v>714300</v>
      </c>
      <c r="R1030" s="9">
        <f>ROUNDUP(Q1030+(Q1030*Assumptions!Q$12),-2)</f>
        <v>728600</v>
      </c>
      <c r="S1030" s="47">
        <f>ROUNDUP(R1030+(R1030*Assumptions!R$12),-2)</f>
        <v>743200</v>
      </c>
    </row>
    <row r="1031" spans="1:21" x14ac:dyDescent="0.2">
      <c r="A1031" s="54"/>
      <c r="B1031" s="136"/>
      <c r="E1031" s="1442"/>
      <c r="F1031" s="769"/>
      <c r="G1031" s="1461" t="s">
        <v>3182</v>
      </c>
      <c r="H1031" s="9"/>
      <c r="I1031" s="85"/>
      <c r="J1031" s="9"/>
      <c r="K1031" s="9"/>
      <c r="L1031" s="9"/>
      <c r="M1031" s="9"/>
      <c r="N1031" s="9"/>
      <c r="O1031" s="9"/>
      <c r="P1031" s="9"/>
      <c r="Q1031" s="9"/>
      <c r="R1031" s="9"/>
      <c r="S1031" s="47"/>
    </row>
    <row r="1032" spans="1:21" x14ac:dyDescent="0.2">
      <c r="A1032" s="54">
        <v>12800</v>
      </c>
      <c r="B1032" s="136">
        <f>47800+35400+149900</f>
        <v>233100</v>
      </c>
      <c r="C1032" s="136">
        <v>0</v>
      </c>
      <c r="D1032" s="136">
        <v>0</v>
      </c>
      <c r="E1032" s="1442">
        <v>0</v>
      </c>
      <c r="F1032" s="469" t="s">
        <v>210</v>
      </c>
      <c r="G1032" s="30" t="s">
        <v>4396</v>
      </c>
      <c r="H1032" s="9">
        <v>0</v>
      </c>
      <c r="I1032" s="85">
        <f>IF(E1032=H1032,0,IF(E1032=0,100,(H1032-E1032)/E1032*100))</f>
        <v>0</v>
      </c>
      <c r="J1032" s="9">
        <f>ROUNDUP(H1032+(H1032*Assumptions!I$12),-2)</f>
        <v>0</v>
      </c>
      <c r="K1032" s="9">
        <f>ROUNDUP(J1032+(J1032*Assumptions!J$12),-2)</f>
        <v>0</v>
      </c>
      <c r="L1032" s="9">
        <f>ROUNDUP(K1032+(K1032*Assumptions!K$12),-2)</f>
        <v>0</v>
      </c>
      <c r="M1032" s="9">
        <f>ROUNDUP(L1032+(L1032*Assumptions!L$12),-2)</f>
        <v>0</v>
      </c>
      <c r="N1032" s="9">
        <f>ROUNDUP(M1032+(M1032*Assumptions!M$12),-2)</f>
        <v>0</v>
      </c>
      <c r="O1032" s="9">
        <f>ROUNDUP(N1032+(N1032*Assumptions!N$12),-2)</f>
        <v>0</v>
      </c>
      <c r="P1032" s="9">
        <f>ROUNDUP(O1032+(O1032*Assumptions!O$12),-2)</f>
        <v>0</v>
      </c>
      <c r="Q1032" s="9">
        <f>ROUNDUP(P1032+(P1032*Assumptions!P$12),-2)</f>
        <v>0</v>
      </c>
      <c r="R1032" s="9">
        <f>ROUNDUP(Q1032+(Q1032*Assumptions!Q$12),-2)</f>
        <v>0</v>
      </c>
      <c r="S1032" s="47">
        <f>ROUNDUP(R1032+(R1032*Assumptions!R$12),-2)</f>
        <v>0</v>
      </c>
    </row>
    <row r="1033" spans="1:21" x14ac:dyDescent="0.2">
      <c r="A1033" s="54">
        <v>0</v>
      </c>
      <c r="B1033" s="136">
        <v>0</v>
      </c>
      <c r="C1033" s="136">
        <v>28600</v>
      </c>
      <c r="D1033" s="136">
        <v>26700</v>
      </c>
      <c r="E1033" s="1442">
        <v>0</v>
      </c>
      <c r="F1033" s="769" t="s">
        <v>2885</v>
      </c>
      <c r="G1033" s="30" t="s">
        <v>3360</v>
      </c>
      <c r="H1033" s="9">
        <v>0</v>
      </c>
      <c r="I1033" s="85">
        <f>IF(E1033=H1033,0,IF(E1033=0,100,(H1033-E1033)/E1033*100))</f>
        <v>0</v>
      </c>
      <c r="J1033" s="9">
        <v>0</v>
      </c>
      <c r="K1033" s="9">
        <v>0</v>
      </c>
      <c r="L1033" s="9">
        <v>0</v>
      </c>
      <c r="M1033" s="9">
        <v>0</v>
      </c>
      <c r="N1033" s="9">
        <v>0</v>
      </c>
      <c r="O1033" s="9">
        <v>0</v>
      </c>
      <c r="P1033" s="9">
        <v>0</v>
      </c>
      <c r="Q1033" s="9">
        <v>0</v>
      </c>
      <c r="R1033" s="9">
        <v>0</v>
      </c>
      <c r="S1033" s="47">
        <v>0</v>
      </c>
    </row>
    <row r="1034" spans="1:21" ht="13.5" thickBot="1" x14ac:dyDescent="0.25">
      <c r="A1034" s="54">
        <v>0</v>
      </c>
      <c r="B1034" s="136">
        <v>0</v>
      </c>
      <c r="C1034" s="136">
        <v>65100</v>
      </c>
      <c r="D1034" s="136">
        <v>47100</v>
      </c>
      <c r="E1034" s="1442">
        <v>62000</v>
      </c>
      <c r="F1034" s="769" t="s">
        <v>3154</v>
      </c>
      <c r="G1034" s="30" t="s">
        <v>3155</v>
      </c>
      <c r="H1034" s="9">
        <v>0</v>
      </c>
      <c r="I1034" s="85">
        <f>IF(E1034=H1034,0,IF(E1034=0,100,(H1034-E1034)/E1034*100))</f>
        <v>-100</v>
      </c>
      <c r="J1034" s="9">
        <v>0</v>
      </c>
      <c r="K1034" s="9">
        <v>0</v>
      </c>
      <c r="L1034" s="9">
        <v>0</v>
      </c>
      <c r="M1034" s="9">
        <v>0</v>
      </c>
      <c r="N1034" s="9">
        <v>0</v>
      </c>
      <c r="O1034" s="9">
        <v>0</v>
      </c>
      <c r="P1034" s="9">
        <v>0</v>
      </c>
      <c r="Q1034" s="9">
        <v>0</v>
      </c>
      <c r="R1034" s="9">
        <v>0</v>
      </c>
      <c r="S1034" s="47">
        <v>0</v>
      </c>
    </row>
    <row r="1035" spans="1:21" s="39" customFormat="1" x14ac:dyDescent="0.2">
      <c r="A1035" s="52">
        <f>SUM(A1025:A1034)</f>
        <v>687900</v>
      </c>
      <c r="B1035" s="16">
        <f>SUM(B1025:B1034)</f>
        <v>499700</v>
      </c>
      <c r="C1035" s="137">
        <f>SUM(C1024:C1034)</f>
        <v>413800</v>
      </c>
      <c r="D1035" s="137">
        <f>SUM(D1024:D1034)</f>
        <v>350500</v>
      </c>
      <c r="E1035" s="1443">
        <f>SUM(E1024:E1034)</f>
        <v>1636900</v>
      </c>
      <c r="F1035" s="173"/>
      <c r="G1035" s="1158" t="s">
        <v>2561</v>
      </c>
      <c r="H1035" s="145">
        <f>SUM(H1024:H1034)</f>
        <v>947500</v>
      </c>
      <c r="I1035" s="127">
        <f>IF(E1035=H1035,0,IF(E1035=0,100,(H1035-E1035)/E1035*100))</f>
        <v>-42.116195247113446</v>
      </c>
      <c r="J1035" s="145">
        <f t="shared" ref="J1035:S1035" si="1901">SUM(J1024:J1034)</f>
        <v>532000</v>
      </c>
      <c r="K1035" s="145">
        <f t="shared" si="1901"/>
        <v>666200</v>
      </c>
      <c r="L1035" s="145">
        <f t="shared" si="1901"/>
        <v>670900</v>
      </c>
      <c r="M1035" s="145">
        <f t="shared" si="1901"/>
        <v>675500</v>
      </c>
      <c r="N1035" s="145">
        <f t="shared" si="1901"/>
        <v>680400</v>
      </c>
      <c r="O1035" s="145">
        <f t="shared" si="1901"/>
        <v>689000</v>
      </c>
      <c r="P1035" s="145">
        <f t="shared" si="1901"/>
        <v>700200</v>
      </c>
      <c r="Q1035" s="145">
        <f t="shared" si="1901"/>
        <v>714300</v>
      </c>
      <c r="R1035" s="145">
        <f t="shared" si="1901"/>
        <v>728600</v>
      </c>
      <c r="S1035" s="2411">
        <f t="shared" si="1901"/>
        <v>743200</v>
      </c>
      <c r="U1035" s="34"/>
    </row>
    <row r="1036" spans="1:21" x14ac:dyDescent="0.2">
      <c r="A1036" s="54"/>
      <c r="B1036" s="9"/>
      <c r="E1036" s="1442"/>
      <c r="F1036" s="167"/>
      <c r="G1036" s="29"/>
      <c r="H1036" s="9"/>
      <c r="I1036" s="85"/>
      <c r="J1036" s="9"/>
      <c r="K1036" s="9"/>
      <c r="L1036" s="9"/>
      <c r="M1036" s="9"/>
      <c r="N1036" s="9"/>
      <c r="O1036" s="9"/>
      <c r="P1036" s="9"/>
      <c r="Q1036" s="9"/>
      <c r="R1036" s="9"/>
      <c r="S1036" s="47"/>
    </row>
    <row r="1037" spans="1:21" x14ac:dyDescent="0.2">
      <c r="A1037" s="54"/>
      <c r="B1037" s="9"/>
      <c r="C1037" s="134"/>
      <c r="E1037" s="1442"/>
      <c r="F1037" s="167"/>
      <c r="G1037" s="50" t="s">
        <v>2169</v>
      </c>
      <c r="H1037" s="9"/>
      <c r="I1037" s="85"/>
      <c r="J1037" s="9"/>
      <c r="K1037" s="9"/>
      <c r="L1037" s="9"/>
      <c r="M1037" s="9"/>
      <c r="N1037" s="9"/>
      <c r="O1037" s="9"/>
      <c r="P1037" s="9"/>
      <c r="Q1037" s="9"/>
      <c r="R1037" s="9"/>
      <c r="S1037" s="47"/>
    </row>
    <row r="1038" spans="1:21" x14ac:dyDescent="0.2">
      <c r="A1038" s="54"/>
      <c r="B1038" s="9"/>
      <c r="C1038" s="134"/>
      <c r="E1038" s="144"/>
      <c r="F1038" s="167"/>
      <c r="G1038" s="21" t="s">
        <v>295</v>
      </c>
      <c r="H1038" s="9"/>
      <c r="I1038" s="85"/>
      <c r="J1038" s="9"/>
      <c r="K1038" s="9"/>
      <c r="L1038" s="9"/>
      <c r="M1038" s="9"/>
      <c r="N1038" s="9"/>
      <c r="O1038" s="9"/>
      <c r="P1038" s="9"/>
      <c r="Q1038" s="9"/>
      <c r="R1038" s="9"/>
      <c r="S1038" s="47"/>
    </row>
    <row r="1039" spans="1:21" x14ac:dyDescent="0.2">
      <c r="A1039" s="54">
        <v>51400</v>
      </c>
      <c r="B1039" s="9">
        <v>100800</v>
      </c>
      <c r="C1039" s="134">
        <v>66500</v>
      </c>
      <c r="D1039" s="136">
        <v>29800</v>
      </c>
      <c r="E1039" s="885">
        <v>58500</v>
      </c>
      <c r="F1039" s="469" t="s">
        <v>1332</v>
      </c>
      <c r="G1039" s="385" t="s">
        <v>1329</v>
      </c>
      <c r="H1039" s="9">
        <f>64000+1000</f>
        <v>65000</v>
      </c>
      <c r="I1039" s="85">
        <f t="shared" ref="I1039:I1045" si="1902">IF(E1039=H1039,0,IF(E1039=0,100,(H1039-E1039)/E1039*100))</f>
        <v>11.111111111111111</v>
      </c>
      <c r="J1039" s="9">
        <f>ROUNDUP(H1039+(H1039*Assumptions!I$5),-2)</f>
        <v>66500</v>
      </c>
      <c r="K1039" s="9">
        <f>ROUNDUP(J1039+(J1039*Assumptions!J$5),-2)</f>
        <v>68200</v>
      </c>
      <c r="L1039" s="9">
        <f>ROUNDUP(K1039+(K1039*Assumptions!K$5),-2)</f>
        <v>70000</v>
      </c>
      <c r="M1039" s="9">
        <f>ROUNDUP(L1039+(L1039*Assumptions!L$5),-2)</f>
        <v>71800</v>
      </c>
      <c r="N1039" s="9">
        <f>ROUNDUP(M1039+(M1039*Assumptions!M$5),-2)</f>
        <v>73600</v>
      </c>
      <c r="O1039" s="9">
        <f>ROUNDUP(N1039+(N1039*Assumptions!N$5),-2)</f>
        <v>75500</v>
      </c>
      <c r="P1039" s="9">
        <f>ROUNDUP(O1039+(O1039*Assumptions!O$5),-2)</f>
        <v>77400</v>
      </c>
      <c r="Q1039" s="9">
        <f>ROUNDUP(P1039+(P1039*Assumptions!P$5),-2)</f>
        <v>79400</v>
      </c>
      <c r="R1039" s="9">
        <f>ROUNDUP(Q1039+(Q1039*Assumptions!Q$5),-2)</f>
        <v>81400</v>
      </c>
      <c r="S1039" s="47">
        <f>ROUNDUP(R1039+(R1039*Assumptions!R$5),-2)</f>
        <v>83500</v>
      </c>
    </row>
    <row r="1040" spans="1:21" x14ac:dyDescent="0.2">
      <c r="A1040" s="54">
        <v>27100</v>
      </c>
      <c r="B1040" s="9">
        <v>5900</v>
      </c>
      <c r="C1040" s="134">
        <v>4700</v>
      </c>
      <c r="D1040" s="136">
        <v>3400</v>
      </c>
      <c r="E1040" s="144">
        <f>44500-E1041</f>
        <v>25400</v>
      </c>
      <c r="F1040" s="469" t="s">
        <v>1333</v>
      </c>
      <c r="G1040" s="385" t="s">
        <v>1330</v>
      </c>
      <c r="H1040" s="9">
        <f>34000</f>
        <v>34000</v>
      </c>
      <c r="I1040" s="85">
        <f t="shared" si="1902"/>
        <v>33.858267716535437</v>
      </c>
      <c r="J1040" s="9">
        <f>ROUNDUP(H1040+(H1040*Assumptions!I$5),-2)</f>
        <v>34800</v>
      </c>
      <c r="K1040" s="9">
        <f>ROUNDUP(J1040+(J1040*Assumptions!J$5),-2)</f>
        <v>35700</v>
      </c>
      <c r="L1040" s="9">
        <f>ROUNDUP(K1040+(K1040*Assumptions!K$5),-2)</f>
        <v>36600</v>
      </c>
      <c r="M1040" s="9">
        <f>ROUNDUP(L1040+(L1040*Assumptions!L$5),-2)</f>
        <v>37600</v>
      </c>
      <c r="N1040" s="9">
        <f>ROUNDUP(M1040+(M1040*Assumptions!M$5),-2)</f>
        <v>38600</v>
      </c>
      <c r="O1040" s="9">
        <f>ROUNDUP(N1040+(N1040*Assumptions!N$5),-2)</f>
        <v>39600</v>
      </c>
      <c r="P1040" s="9">
        <f>ROUNDUP(O1040+(O1040*Assumptions!O$5),-2)</f>
        <v>40600</v>
      </c>
      <c r="Q1040" s="9">
        <f>ROUNDUP(P1040+(P1040*Assumptions!P$5),-2)</f>
        <v>41700</v>
      </c>
      <c r="R1040" s="9">
        <f>ROUNDUP(Q1040+(Q1040*Assumptions!Q$5),-2)</f>
        <v>42800</v>
      </c>
      <c r="S1040" s="47">
        <f>ROUNDUP(R1040+(R1040*Assumptions!R$5),-2)</f>
        <v>43900</v>
      </c>
    </row>
    <row r="1041" spans="1:19" x14ac:dyDescent="0.2">
      <c r="A1041" s="54">
        <v>0</v>
      </c>
      <c r="B1041" s="9">
        <v>0</v>
      </c>
      <c r="C1041" s="134">
        <v>0</v>
      </c>
      <c r="D1041" s="136">
        <v>16700</v>
      </c>
      <c r="E1041" s="144">
        <v>19100</v>
      </c>
      <c r="F1041" s="769" t="s">
        <v>3630</v>
      </c>
      <c r="G1041" s="661" t="s">
        <v>3764</v>
      </c>
      <c r="H1041" s="9">
        <f>22000</f>
        <v>22000</v>
      </c>
      <c r="I1041" s="85">
        <f t="shared" si="1902"/>
        <v>15.183246073298429</v>
      </c>
      <c r="J1041" s="9">
        <f>ROUNDUP(H1041+(H1041*Assumptions!I$5),-2)</f>
        <v>22600</v>
      </c>
      <c r="K1041" s="9">
        <f>ROUNDUP(J1041+(J1041*Assumptions!J$5),-2)</f>
        <v>23200</v>
      </c>
      <c r="L1041" s="9">
        <f>ROUNDUP(K1041+(K1041*Assumptions!K$5),-2)</f>
        <v>23800</v>
      </c>
      <c r="M1041" s="9">
        <f>ROUNDUP(L1041+(L1041*Assumptions!L$5),-2)</f>
        <v>24400</v>
      </c>
      <c r="N1041" s="9">
        <f>ROUNDUP(M1041+(M1041*Assumptions!M$5),-2)</f>
        <v>25100</v>
      </c>
      <c r="O1041" s="9">
        <f>ROUNDUP(N1041+(N1041*Assumptions!N$5),-2)</f>
        <v>25800</v>
      </c>
      <c r="P1041" s="9">
        <f>ROUNDUP(O1041+(O1041*Assumptions!O$5),-2)</f>
        <v>26500</v>
      </c>
      <c r="Q1041" s="9">
        <f>ROUNDUP(P1041+(P1041*Assumptions!P$5),-2)</f>
        <v>27200</v>
      </c>
      <c r="R1041" s="9">
        <f>ROUNDUP(Q1041+(Q1041*Assumptions!Q$5),-2)</f>
        <v>27900</v>
      </c>
      <c r="S1041" s="47">
        <f>ROUNDUP(R1041+(R1041*Assumptions!R$5),-2)</f>
        <v>28600</v>
      </c>
    </row>
    <row r="1042" spans="1:19" x14ac:dyDescent="0.2">
      <c r="A1042" s="54">
        <v>150400</v>
      </c>
      <c r="B1042" s="9">
        <f>797100-5000-261700-250500</f>
        <v>279900</v>
      </c>
      <c r="C1042" s="134">
        <f>683300-38900-298900</f>
        <v>345500</v>
      </c>
      <c r="D1042" s="136">
        <f>216432+16421+78180+1721+2089-43+7400</f>
        <v>322200</v>
      </c>
      <c r="E1042" s="144">
        <f>573000-E1043-E1063</f>
        <v>317400</v>
      </c>
      <c r="F1042" s="469" t="s">
        <v>211</v>
      </c>
      <c r="G1042" s="385" t="s">
        <v>1328</v>
      </c>
      <c r="H1042" s="9">
        <f>323000+22000</f>
        <v>345000</v>
      </c>
      <c r="I1042" s="85">
        <f t="shared" si="1902"/>
        <v>8.695652173913043</v>
      </c>
      <c r="J1042" s="9">
        <f>ROUNDUP(H1042+(H1042*Assumptions!I$5),-2)</f>
        <v>353000</v>
      </c>
      <c r="K1042" s="9">
        <f>ROUNDUP(J1042+(J1042*Assumptions!J$5),-2)</f>
        <v>361900</v>
      </c>
      <c r="L1042" s="9">
        <f>ROUNDUP(K1042+(K1042*Assumptions!K$5),-2)</f>
        <v>371000</v>
      </c>
      <c r="M1042" s="9">
        <f>ROUNDUP(L1042+(L1042*Assumptions!L$5),-2)</f>
        <v>380300</v>
      </c>
      <c r="N1042" s="9">
        <f>ROUNDUP(M1042+(M1042*Assumptions!M$5),-2)</f>
        <v>389900</v>
      </c>
      <c r="O1042" s="9">
        <f>ROUNDUP(N1042+(N1042*Assumptions!N$5),-2)</f>
        <v>399700</v>
      </c>
      <c r="P1042" s="9">
        <f>ROUNDUP(O1042+(O1042*Assumptions!O$5),-2)</f>
        <v>409700</v>
      </c>
      <c r="Q1042" s="9">
        <f>ROUNDUP(P1042+(P1042*Assumptions!P$5),-2)</f>
        <v>420000</v>
      </c>
      <c r="R1042" s="9">
        <f>ROUNDUP(Q1042+(Q1042*Assumptions!Q$5),-2)</f>
        <v>430500</v>
      </c>
      <c r="S1042" s="47">
        <f>ROUNDUP(R1042+(R1042*Assumptions!R$5),-2)</f>
        <v>441300</v>
      </c>
    </row>
    <row r="1043" spans="1:19" x14ac:dyDescent="0.2">
      <c r="A1043" s="54">
        <v>18900</v>
      </c>
      <c r="B1043" s="9">
        <v>5000</v>
      </c>
      <c r="C1043" s="134">
        <v>38900</v>
      </c>
      <c r="D1043" s="136">
        <f>2700+28400</f>
        <v>31100</v>
      </c>
      <c r="E1043" s="144">
        <v>6000</v>
      </c>
      <c r="F1043" s="469" t="s">
        <v>2112</v>
      </c>
      <c r="G1043" s="385" t="s">
        <v>269</v>
      </c>
      <c r="H1043" s="9">
        <f>39000-9000</f>
        <v>30000</v>
      </c>
      <c r="I1043" s="85">
        <f t="shared" si="1902"/>
        <v>400</v>
      </c>
      <c r="J1043" s="9">
        <f>ROUNDUP(H1043+(H1043*Assumptions!I$5),-2)</f>
        <v>30700</v>
      </c>
      <c r="K1043" s="9">
        <f>ROUNDUP(J1043+(J1043*Assumptions!J$5),-2)</f>
        <v>31500</v>
      </c>
      <c r="L1043" s="9">
        <f>ROUNDUP(K1043+(K1043*Assumptions!K$5),-2)</f>
        <v>32300</v>
      </c>
      <c r="M1043" s="9">
        <f>ROUNDUP(L1043+(L1043*Assumptions!L$5),-2)</f>
        <v>33200</v>
      </c>
      <c r="N1043" s="9">
        <f>ROUNDUP(M1043+(M1043*Assumptions!M$5),-2)</f>
        <v>34100</v>
      </c>
      <c r="O1043" s="9">
        <f>ROUNDUP(N1043+(N1043*Assumptions!N$5),-2)</f>
        <v>35000</v>
      </c>
      <c r="P1043" s="9">
        <f>ROUNDUP(O1043+(O1043*Assumptions!O$5),-2)</f>
        <v>35900</v>
      </c>
      <c r="Q1043" s="9">
        <f>ROUNDUP(P1043+(P1043*Assumptions!P$5),-2)</f>
        <v>36800</v>
      </c>
      <c r="R1043" s="9">
        <f>ROUNDUP(Q1043+(Q1043*Assumptions!Q$5),-2)</f>
        <v>37800</v>
      </c>
      <c r="S1043" s="47">
        <f>ROUNDUP(R1043+(R1043*Assumptions!R$5),-2)</f>
        <v>38800</v>
      </c>
    </row>
    <row r="1044" spans="1:19" x14ac:dyDescent="0.2">
      <c r="A1044" s="54">
        <v>286800</v>
      </c>
      <c r="B1044" s="9">
        <v>222700</v>
      </c>
      <c r="C1044" s="134">
        <v>331200</v>
      </c>
      <c r="D1044" s="136">
        <v>263400</v>
      </c>
      <c r="E1044" s="144">
        <v>288100</v>
      </c>
      <c r="F1044" s="469" t="s">
        <v>354</v>
      </c>
      <c r="G1044" s="385" t="s">
        <v>1331</v>
      </c>
      <c r="H1044" s="9">
        <f>289000-8000</f>
        <v>281000</v>
      </c>
      <c r="I1044" s="85">
        <f t="shared" si="1902"/>
        <v>-2.4644220756681707</v>
      </c>
      <c r="J1044" s="9">
        <f>ROUNDUP(H1044+(H1044*Assumptions!I$5),-2)</f>
        <v>287500</v>
      </c>
      <c r="K1044" s="9">
        <f>ROUNDUP(J1044+(J1044*Assumptions!J$5),-2)</f>
        <v>294700</v>
      </c>
      <c r="L1044" s="9">
        <f>ROUNDUP(K1044+(K1044*Assumptions!K$5),-2)</f>
        <v>302100</v>
      </c>
      <c r="M1044" s="9">
        <f>ROUNDUP(L1044+(L1044*Assumptions!L$5),-2)</f>
        <v>309700</v>
      </c>
      <c r="N1044" s="9">
        <f>ROUNDUP(M1044+(M1044*Assumptions!M$5),-2)</f>
        <v>317500</v>
      </c>
      <c r="O1044" s="9">
        <f>ROUNDUP(N1044+(N1044*Assumptions!N$5),-2)</f>
        <v>325500</v>
      </c>
      <c r="P1044" s="9">
        <f>ROUNDUP(O1044+(O1044*Assumptions!O$5),-2)</f>
        <v>333700</v>
      </c>
      <c r="Q1044" s="9">
        <f>ROUNDUP(P1044+(P1044*Assumptions!P$5),-2)</f>
        <v>342100</v>
      </c>
      <c r="R1044" s="9">
        <f>ROUNDUP(Q1044+(Q1044*Assumptions!Q$5),-2)</f>
        <v>350700</v>
      </c>
      <c r="S1044" s="47">
        <f>ROUNDUP(R1044+(R1044*Assumptions!R$5),-2)</f>
        <v>359500</v>
      </c>
    </row>
    <row r="1045" spans="1:19" x14ac:dyDescent="0.2">
      <c r="A1045" s="54">
        <v>241900</v>
      </c>
      <c r="B1045" s="9">
        <v>14400</v>
      </c>
      <c r="C1045" s="136">
        <v>0</v>
      </c>
      <c r="D1045" s="136">
        <v>0</v>
      </c>
      <c r="E1045" s="144">
        <v>0</v>
      </c>
      <c r="F1045" s="769" t="s">
        <v>3359</v>
      </c>
      <c r="G1045" s="661" t="s">
        <v>3493</v>
      </c>
      <c r="H1045" s="9">
        <v>0</v>
      </c>
      <c r="I1045" s="85">
        <f t="shared" si="1902"/>
        <v>0</v>
      </c>
      <c r="J1045" s="9">
        <f>ROUNDUP(H1045+(H1045*Assumptions!I$5),-2)</f>
        <v>0</v>
      </c>
      <c r="K1045" s="9">
        <f>ROUNDUP(J1045+(J1045*Assumptions!J$5),-2)</f>
        <v>0</v>
      </c>
      <c r="L1045" s="9">
        <f>ROUNDUP(K1045+(K1045*Assumptions!K$5),-2)</f>
        <v>0</v>
      </c>
      <c r="M1045" s="9">
        <f>ROUNDUP(L1045+(L1045*Assumptions!L$5),-2)</f>
        <v>0</v>
      </c>
      <c r="N1045" s="9">
        <f>ROUNDUP(M1045+(M1045*Assumptions!M$5),-2)</f>
        <v>0</v>
      </c>
      <c r="O1045" s="9">
        <f>ROUNDUP(N1045+(N1045*Assumptions!N$5),-2)</f>
        <v>0</v>
      </c>
      <c r="P1045" s="9">
        <f>ROUNDUP(O1045+(O1045*Assumptions!O$5),-2)</f>
        <v>0</v>
      </c>
      <c r="Q1045" s="9">
        <f>ROUNDUP(P1045+(P1045*Assumptions!P$5),-2)</f>
        <v>0</v>
      </c>
      <c r="R1045" s="9">
        <f>ROUNDUP(Q1045+(Q1045*Assumptions!Q$5),-2)</f>
        <v>0</v>
      </c>
      <c r="S1045" s="47">
        <f>ROUNDUP(R1045+(R1045*Assumptions!R$5),-2)</f>
        <v>0</v>
      </c>
    </row>
    <row r="1046" spans="1:19" x14ac:dyDescent="0.2">
      <c r="A1046" s="54"/>
      <c r="B1046" s="9"/>
      <c r="E1046" s="144"/>
      <c r="F1046" s="167"/>
      <c r="G1046" s="21" t="s">
        <v>232</v>
      </c>
      <c r="H1046" s="9"/>
      <c r="I1046" s="85"/>
      <c r="J1046" s="9"/>
      <c r="K1046" s="9"/>
      <c r="L1046" s="9"/>
      <c r="M1046" s="9"/>
      <c r="N1046" s="9"/>
      <c r="O1046" s="9"/>
      <c r="P1046" s="9"/>
      <c r="Q1046" s="9"/>
      <c r="R1046" s="9"/>
      <c r="S1046" s="47"/>
    </row>
    <row r="1047" spans="1:19" x14ac:dyDescent="0.2">
      <c r="A1047" s="54">
        <v>514700</v>
      </c>
      <c r="B1047" s="9">
        <v>474100</v>
      </c>
      <c r="C1047" s="136">
        <v>481200</v>
      </c>
      <c r="D1047" s="136">
        <v>492300</v>
      </c>
      <c r="E1047" s="144">
        <v>416100</v>
      </c>
      <c r="F1047" s="469" t="s">
        <v>1582</v>
      </c>
      <c r="G1047" s="385" t="s">
        <v>1580</v>
      </c>
      <c r="H1047" s="9">
        <f>418000+17000</f>
        <v>435000</v>
      </c>
      <c r="I1047" s="85">
        <f>IF(E1047=H1047,0,IF(E1047=0,100,(H1047-E1047)/E1047*100))</f>
        <v>4.5421773612112473</v>
      </c>
      <c r="J1047" s="9">
        <f>ROUNDUP(H1047+(H1047*Assumptions!I$5),-2)</f>
        <v>445100</v>
      </c>
      <c r="K1047" s="9">
        <f>ROUNDUP(J1047+(J1047*Assumptions!J$5),-2)</f>
        <v>456300</v>
      </c>
      <c r="L1047" s="9">
        <f>ROUNDUP(K1047+(K1047*Assumptions!K$5),-2)</f>
        <v>467800</v>
      </c>
      <c r="M1047" s="9">
        <f>ROUNDUP(L1047+(L1047*Assumptions!L$5),-2)</f>
        <v>479500</v>
      </c>
      <c r="N1047" s="9">
        <f>ROUNDUP(M1047+(M1047*Assumptions!M$5),-2)</f>
        <v>491500</v>
      </c>
      <c r="O1047" s="9">
        <f>ROUNDUP(N1047+(N1047*Assumptions!N$5),-2)</f>
        <v>503800</v>
      </c>
      <c r="P1047" s="9">
        <f>ROUNDUP(O1047+(O1047*Assumptions!O$5),-2)</f>
        <v>516400</v>
      </c>
      <c r="Q1047" s="9">
        <f>ROUNDUP(P1047+(P1047*Assumptions!P$5),-2)</f>
        <v>529400</v>
      </c>
      <c r="R1047" s="9">
        <f>ROUNDUP(Q1047+(Q1047*Assumptions!Q$5),-2)</f>
        <v>542700</v>
      </c>
      <c r="S1047" s="47">
        <f>ROUNDUP(R1047+(R1047*Assumptions!R$5),-2)</f>
        <v>556300</v>
      </c>
    </row>
    <row r="1048" spans="1:19" x14ac:dyDescent="0.2">
      <c r="A1048" s="54">
        <v>92600</v>
      </c>
      <c r="B1048" s="9">
        <v>114700</v>
      </c>
      <c r="C1048" s="136">
        <v>133400</v>
      </c>
      <c r="D1048" s="136">
        <v>67200</v>
      </c>
      <c r="E1048" s="144">
        <v>85300</v>
      </c>
      <c r="F1048" s="469" t="s">
        <v>212</v>
      </c>
      <c r="G1048" s="385" t="s">
        <v>1581</v>
      </c>
      <c r="H1048" s="9">
        <f>92000-31000</f>
        <v>61000</v>
      </c>
      <c r="I1048" s="85">
        <f>IF(E1048=H1048,0,IF(E1048=0,100,(H1048-E1048)/E1048*100))</f>
        <v>-28.487690504103163</v>
      </c>
      <c r="J1048" s="9">
        <f>ROUNDUP(H1048+(H1048*Assumptions!I$5),-2)</f>
        <v>62500</v>
      </c>
      <c r="K1048" s="9">
        <f>ROUNDUP(J1048+(J1048*Assumptions!J$5),-2)</f>
        <v>64100</v>
      </c>
      <c r="L1048" s="9">
        <f>ROUNDUP(K1048+(K1048*Assumptions!K$5),-2)</f>
        <v>65800</v>
      </c>
      <c r="M1048" s="9">
        <f>ROUNDUP(L1048+(L1048*Assumptions!L$5),-2)</f>
        <v>67500</v>
      </c>
      <c r="N1048" s="9">
        <f>ROUNDUP(M1048+(M1048*Assumptions!M$5),-2)</f>
        <v>69200</v>
      </c>
      <c r="O1048" s="9">
        <f>ROUNDUP(N1048+(N1048*Assumptions!N$5),-2)</f>
        <v>71000</v>
      </c>
      <c r="P1048" s="9">
        <f>ROUNDUP(O1048+(O1048*Assumptions!O$5),-2)</f>
        <v>72800</v>
      </c>
      <c r="Q1048" s="9">
        <f>ROUNDUP(P1048+(P1048*Assumptions!P$5),-2)</f>
        <v>74700</v>
      </c>
      <c r="R1048" s="9">
        <f>ROUNDUP(Q1048+(Q1048*Assumptions!Q$5),-2)</f>
        <v>76600</v>
      </c>
      <c r="S1048" s="47">
        <f>ROUNDUP(R1048+(R1048*Assumptions!R$5),-2)</f>
        <v>78600</v>
      </c>
    </row>
    <row r="1049" spans="1:19" x14ac:dyDescent="0.2">
      <c r="A1049" s="54">
        <v>82700</v>
      </c>
      <c r="B1049" s="9">
        <v>135000</v>
      </c>
      <c r="C1049" s="136">
        <v>125500</v>
      </c>
      <c r="D1049" s="136">
        <v>122300</v>
      </c>
      <c r="E1049" s="144">
        <v>142200</v>
      </c>
      <c r="F1049" s="469" t="s">
        <v>730</v>
      </c>
      <c r="G1049" s="385" t="s">
        <v>731</v>
      </c>
      <c r="H1049" s="9">
        <f>117000+8000</f>
        <v>125000</v>
      </c>
      <c r="I1049" s="85">
        <f>IF(E1049=H1049,0,IF(E1049=0,100,(H1049-E1049)/E1049*100))</f>
        <v>-12.09563994374121</v>
      </c>
      <c r="J1049" s="9">
        <f>ROUNDUP(H1049+(H1049*Assumptions!I$5),-2)</f>
        <v>127900</v>
      </c>
      <c r="K1049" s="9">
        <f>ROUNDUP(J1049+(J1049*Assumptions!J$5),-2)</f>
        <v>131100</v>
      </c>
      <c r="L1049" s="9">
        <f>ROUNDUP(K1049+(K1049*Assumptions!K$5),-2)</f>
        <v>134400</v>
      </c>
      <c r="M1049" s="9">
        <f>ROUNDUP(L1049+(L1049*Assumptions!L$5),-2)</f>
        <v>137800</v>
      </c>
      <c r="N1049" s="9">
        <f>ROUNDUP(M1049+(M1049*Assumptions!M$5),-2)</f>
        <v>141300</v>
      </c>
      <c r="O1049" s="9">
        <f>ROUNDUP(N1049+(N1049*Assumptions!N$5),-2)</f>
        <v>144900</v>
      </c>
      <c r="P1049" s="9">
        <f>ROUNDUP(O1049+(O1049*Assumptions!O$5),-2)</f>
        <v>148600</v>
      </c>
      <c r="Q1049" s="9">
        <f>ROUNDUP(P1049+(P1049*Assumptions!P$5),-2)</f>
        <v>152400</v>
      </c>
      <c r="R1049" s="9">
        <f>ROUNDUP(Q1049+(Q1049*Assumptions!Q$5),-2)</f>
        <v>156300</v>
      </c>
      <c r="S1049" s="47">
        <f>ROUNDUP(R1049+(R1049*Assumptions!R$5),-2)</f>
        <v>160300</v>
      </c>
    </row>
    <row r="1050" spans="1:19" x14ac:dyDescent="0.2">
      <c r="A1050" s="54">
        <v>573200</v>
      </c>
      <c r="B1050" s="9">
        <v>570000</v>
      </c>
      <c r="C1050" s="136">
        <v>521600</v>
      </c>
      <c r="D1050" s="136">
        <v>697400</v>
      </c>
      <c r="E1050" s="144">
        <v>623400</v>
      </c>
      <c r="F1050" s="469" t="s">
        <v>691</v>
      </c>
      <c r="G1050" s="385" t="s">
        <v>732</v>
      </c>
      <c r="H1050" s="9">
        <f>619000+6000</f>
        <v>625000</v>
      </c>
      <c r="I1050" s="85">
        <f>IF(E1050=H1050,0,IF(E1050=0,100,(H1050-E1050)/E1050*100))</f>
        <v>0.25665704202759065</v>
      </c>
      <c r="J1050" s="9">
        <f>ROUNDUP(H1050+(H1050*Assumptions!I$5),-2)</f>
        <v>639400</v>
      </c>
      <c r="K1050" s="9">
        <f>ROUNDUP(J1050+(J1050*Assumptions!J$5),-2)</f>
        <v>655400</v>
      </c>
      <c r="L1050" s="9">
        <f>ROUNDUP(K1050+(K1050*Assumptions!K$5),-2)</f>
        <v>671800</v>
      </c>
      <c r="M1050" s="9">
        <f>ROUNDUP(L1050+(L1050*Assumptions!L$5),-2)</f>
        <v>688600</v>
      </c>
      <c r="N1050" s="9">
        <f>ROUNDUP(M1050+(M1050*Assumptions!M$5),-2)</f>
        <v>705900</v>
      </c>
      <c r="O1050" s="9">
        <f>ROUNDUP(N1050+(N1050*Assumptions!N$5),-2)</f>
        <v>723600</v>
      </c>
      <c r="P1050" s="9">
        <f>ROUNDUP(O1050+(O1050*Assumptions!O$5),-2)</f>
        <v>741700</v>
      </c>
      <c r="Q1050" s="9">
        <f>ROUNDUP(P1050+(P1050*Assumptions!P$5),-2)</f>
        <v>760300</v>
      </c>
      <c r="R1050" s="9">
        <f>ROUNDUP(Q1050+(Q1050*Assumptions!Q$5),-2)</f>
        <v>779400</v>
      </c>
      <c r="S1050" s="47">
        <f>ROUNDUP(R1050+(R1050*Assumptions!R$5),-2)</f>
        <v>798900</v>
      </c>
    </row>
    <row r="1051" spans="1:19" x14ac:dyDescent="0.2">
      <c r="A1051" s="54"/>
      <c r="B1051" s="9"/>
      <c r="E1051" s="144"/>
      <c r="F1051" s="769"/>
      <c r="G1051" s="1189" t="s">
        <v>2433</v>
      </c>
      <c r="H1051" s="9"/>
      <c r="I1051" s="85"/>
      <c r="J1051" s="9"/>
      <c r="K1051" s="9"/>
      <c r="L1051" s="9"/>
      <c r="M1051" s="9"/>
      <c r="N1051" s="9"/>
      <c r="O1051" s="9"/>
      <c r="P1051" s="9"/>
      <c r="Q1051" s="9"/>
      <c r="R1051" s="9"/>
      <c r="S1051" s="47"/>
    </row>
    <row r="1052" spans="1:19" x14ac:dyDescent="0.2">
      <c r="A1052" s="54">
        <v>740200</v>
      </c>
      <c r="B1052" s="9">
        <v>133600</v>
      </c>
      <c r="C1052" s="136">
        <v>2000</v>
      </c>
      <c r="D1052" s="136">
        <f>224351+53060-11</f>
        <v>277400</v>
      </c>
      <c r="E1052" s="144">
        <v>186000</v>
      </c>
      <c r="F1052" s="769" t="s">
        <v>11800</v>
      </c>
      <c r="G1052" s="661" t="s">
        <v>6693</v>
      </c>
      <c r="H1052" s="9">
        <v>0</v>
      </c>
      <c r="I1052" s="85">
        <f>IF(E1052=H1052,0,IF(E1052=0,100,(H1052-E1052)/E1052*100))</f>
        <v>-100</v>
      </c>
      <c r="J1052" s="9">
        <v>0</v>
      </c>
      <c r="K1052" s="9">
        <f>ROUNDUP(J1052+(J1052*Assumptions!J$5),-2)</f>
        <v>0</v>
      </c>
      <c r="L1052" s="9">
        <f>ROUNDUP(K1052+(K1052*Assumptions!K$5),-2)</f>
        <v>0</v>
      </c>
      <c r="M1052" s="9">
        <f>ROUNDUP(L1052+(L1052*Assumptions!L$5),-2)</f>
        <v>0</v>
      </c>
      <c r="N1052" s="9">
        <f>ROUNDUP(M1052+(M1052*Assumptions!M$5),-2)</f>
        <v>0</v>
      </c>
      <c r="O1052" s="9">
        <f>ROUNDUP(N1052+(N1052*Assumptions!N$5),-2)</f>
        <v>0</v>
      </c>
      <c r="P1052" s="9">
        <f>ROUNDUP(O1052+(O1052*Assumptions!O$5),-2)</f>
        <v>0</v>
      </c>
      <c r="Q1052" s="9">
        <f>ROUNDUP(P1052+(P1052*Assumptions!P$5),-2)</f>
        <v>0</v>
      </c>
      <c r="R1052" s="9">
        <f>ROUNDUP(Q1052+(Q1052*Assumptions!Q$5),-2)</f>
        <v>0</v>
      </c>
      <c r="S1052" s="47">
        <f>ROUNDUP(R1052+(R1052*Assumptions!R$5),-2)</f>
        <v>0</v>
      </c>
    </row>
    <row r="1053" spans="1:19" x14ac:dyDescent="0.2">
      <c r="A1053" s="54"/>
      <c r="B1053" s="9"/>
      <c r="E1053" s="144"/>
      <c r="F1053" s="469"/>
      <c r="G1053" s="21" t="s">
        <v>2612</v>
      </c>
      <c r="H1053" s="9"/>
      <c r="I1053" s="85"/>
      <c r="J1053" s="9"/>
      <c r="K1053" s="9"/>
      <c r="L1053" s="9"/>
      <c r="M1053" s="9"/>
      <c r="N1053" s="9"/>
      <c r="O1053" s="9"/>
      <c r="P1053" s="9"/>
      <c r="Q1053" s="9"/>
      <c r="R1053" s="9"/>
      <c r="S1053" s="47"/>
    </row>
    <row r="1054" spans="1:19" x14ac:dyDescent="0.2">
      <c r="A1054" s="54">
        <v>13100</v>
      </c>
      <c r="B1054" s="9">
        <v>14500</v>
      </c>
      <c r="C1054" s="136">
        <v>17000</v>
      </c>
      <c r="D1054" s="136">
        <v>15400</v>
      </c>
      <c r="E1054" s="144">
        <v>14600</v>
      </c>
      <c r="F1054" s="469" t="s">
        <v>2316</v>
      </c>
      <c r="G1054" s="385" t="s">
        <v>733</v>
      </c>
      <c r="H1054" s="9">
        <v>30000</v>
      </c>
      <c r="I1054" s="85">
        <f>IF(E1054=H1054,0,IF(E1054=0,100,(H1054-E1054)/E1054*100))</f>
        <v>105.47945205479452</v>
      </c>
      <c r="J1054" s="9">
        <f>ROUNDUP(H1054+(H1054*Assumptions!I$5),-2)</f>
        <v>30700</v>
      </c>
      <c r="K1054" s="9">
        <f>ROUNDUP(J1054+(J1054*Assumptions!J$5),-2)</f>
        <v>31500</v>
      </c>
      <c r="L1054" s="9">
        <f>ROUNDUP(K1054+(K1054*Assumptions!K$5),-2)</f>
        <v>32300</v>
      </c>
      <c r="M1054" s="9">
        <f>ROUNDUP(L1054+(L1054*Assumptions!L$5),-2)</f>
        <v>33200</v>
      </c>
      <c r="N1054" s="9">
        <f>ROUNDUP(M1054+(M1054*Assumptions!M$5),-2)</f>
        <v>34100</v>
      </c>
      <c r="O1054" s="9">
        <f>ROUNDUP(N1054+(N1054*Assumptions!N$5),-2)</f>
        <v>35000</v>
      </c>
      <c r="P1054" s="9">
        <f>ROUNDUP(O1054+(O1054*Assumptions!O$5),-2)</f>
        <v>35900</v>
      </c>
      <c r="Q1054" s="9">
        <f>ROUNDUP(P1054+(P1054*Assumptions!P$5),-2)</f>
        <v>36800</v>
      </c>
      <c r="R1054" s="9">
        <f>ROUNDUP(Q1054+(Q1054*Assumptions!Q$5),-2)</f>
        <v>37800</v>
      </c>
      <c r="S1054" s="47">
        <f>ROUNDUP(R1054+(R1054*Assumptions!R$5),-2)</f>
        <v>38800</v>
      </c>
    </row>
    <row r="1055" spans="1:19" x14ac:dyDescent="0.2">
      <c r="A1055" s="54">
        <v>589300</v>
      </c>
      <c r="B1055" s="9">
        <v>571400</v>
      </c>
      <c r="C1055" s="136">
        <v>645800</v>
      </c>
      <c r="D1055" s="136">
        <v>656900</v>
      </c>
      <c r="E1055" s="144">
        <v>552500</v>
      </c>
      <c r="F1055" s="469" t="s">
        <v>735</v>
      </c>
      <c r="G1055" s="385" t="s">
        <v>734</v>
      </c>
      <c r="H1055" s="9">
        <f>656000</f>
        <v>656000</v>
      </c>
      <c r="I1055" s="85">
        <f>IF(E1055=H1055,0,IF(E1055=0,100,(H1055-E1055)/E1055*100))</f>
        <v>18.733031674208146</v>
      </c>
      <c r="J1055" s="9">
        <f>ROUNDUP(H1055+(H1055*Assumptions!I$5),-2)</f>
        <v>671100</v>
      </c>
      <c r="K1055" s="9">
        <f>ROUNDUP(J1055+(J1055*Assumptions!J$5),-2)</f>
        <v>687900</v>
      </c>
      <c r="L1055" s="9">
        <f>ROUNDUP(K1055+(K1055*Assumptions!K$5),-2)</f>
        <v>705100</v>
      </c>
      <c r="M1055" s="9">
        <f>ROUNDUP(L1055+(L1055*Assumptions!L$5),-2)</f>
        <v>722800</v>
      </c>
      <c r="N1055" s="9">
        <f>ROUNDUP(M1055+(M1055*Assumptions!M$5),-2)</f>
        <v>740900</v>
      </c>
      <c r="O1055" s="9">
        <f>ROUNDUP(N1055+(N1055*Assumptions!N$5),-2)</f>
        <v>759500</v>
      </c>
      <c r="P1055" s="9">
        <f>ROUNDUP(O1055+(O1055*Assumptions!O$5),-2)</f>
        <v>778500</v>
      </c>
      <c r="Q1055" s="9">
        <f>ROUNDUP(P1055+(P1055*Assumptions!P$5),-2)</f>
        <v>798000</v>
      </c>
      <c r="R1055" s="9">
        <f>ROUNDUP(Q1055+(Q1055*Assumptions!Q$5),-2)</f>
        <v>818000</v>
      </c>
      <c r="S1055" s="47">
        <f>ROUNDUP(R1055+(R1055*Assumptions!R$5),-2)</f>
        <v>838500</v>
      </c>
    </row>
    <row r="1056" spans="1:19" x14ac:dyDescent="0.2">
      <c r="A1056" s="54"/>
      <c r="B1056" s="9"/>
      <c r="E1056" s="144"/>
      <c r="F1056" s="469"/>
      <c r="G1056" s="21" t="s">
        <v>1007</v>
      </c>
      <c r="H1056" s="9"/>
      <c r="I1056" s="85"/>
      <c r="J1056" s="9"/>
      <c r="K1056" s="9"/>
      <c r="L1056" s="9"/>
      <c r="M1056" s="9"/>
      <c r="N1056" s="9"/>
      <c r="O1056" s="9"/>
      <c r="P1056" s="9"/>
      <c r="Q1056" s="9"/>
      <c r="R1056" s="9"/>
      <c r="S1056" s="47"/>
    </row>
    <row r="1057" spans="1:21" x14ac:dyDescent="0.2">
      <c r="A1057" s="54">
        <v>36700</v>
      </c>
      <c r="B1057" s="9">
        <f>180800-166000</f>
        <v>14800</v>
      </c>
      <c r="C1057" s="136">
        <v>10400</v>
      </c>
      <c r="D1057" s="136">
        <f>7800+1870+779+2617+34</f>
        <v>13100</v>
      </c>
      <c r="E1057" s="144">
        <f>101200-E1064</f>
        <v>32600</v>
      </c>
      <c r="F1057" s="469" t="s">
        <v>2059</v>
      </c>
      <c r="G1057" s="385" t="s">
        <v>2528</v>
      </c>
      <c r="H1057" s="9">
        <v>22000</v>
      </c>
      <c r="I1057" s="85">
        <f>IF(E1057=H1057,0,IF(E1057=0,100,(H1057-E1057)/E1057*100))</f>
        <v>-32.515337423312886</v>
      </c>
      <c r="J1057" s="9">
        <f>ROUNDUP(H1057+(H1057*Assumptions!I$5),-2)</f>
        <v>22600</v>
      </c>
      <c r="K1057" s="9">
        <f>ROUNDUP(J1057+(J1057*Assumptions!J$5),-2)</f>
        <v>23200</v>
      </c>
      <c r="L1057" s="9">
        <f>ROUNDUP(K1057+(K1057*Assumptions!K$5),-2)</f>
        <v>23800</v>
      </c>
      <c r="M1057" s="9">
        <f>ROUNDUP(L1057+(L1057*Assumptions!L$5),-2)</f>
        <v>24400</v>
      </c>
      <c r="N1057" s="9">
        <f>ROUNDUP(M1057+(M1057*Assumptions!M$5),-2)</f>
        <v>25100</v>
      </c>
      <c r="O1057" s="9">
        <f>ROUNDUP(N1057+(N1057*Assumptions!N$5),-2)</f>
        <v>25800</v>
      </c>
      <c r="P1057" s="9">
        <f>ROUNDUP(O1057+(O1057*Assumptions!O$5),-2)</f>
        <v>26500</v>
      </c>
      <c r="Q1057" s="9">
        <f>ROUNDUP(P1057+(P1057*Assumptions!P$5),-2)</f>
        <v>27200</v>
      </c>
      <c r="R1057" s="9">
        <f>ROUNDUP(Q1057+(Q1057*Assumptions!Q$5),-2)</f>
        <v>27900</v>
      </c>
      <c r="S1057" s="47">
        <f>ROUNDUP(R1057+(R1057*Assumptions!R$5),-2)</f>
        <v>28600</v>
      </c>
    </row>
    <row r="1058" spans="1:21" x14ac:dyDescent="0.2">
      <c r="A1058" s="54"/>
      <c r="B1058" s="9"/>
      <c r="E1058" s="144"/>
      <c r="F1058" s="469"/>
      <c r="G1058" s="21" t="s">
        <v>1838</v>
      </c>
      <c r="H1058" s="9"/>
      <c r="I1058" s="85"/>
      <c r="J1058" s="9"/>
      <c r="K1058" s="9"/>
      <c r="L1058" s="9"/>
      <c r="M1058" s="9"/>
      <c r="N1058" s="9"/>
      <c r="O1058" s="9"/>
      <c r="P1058" s="9"/>
      <c r="Q1058" s="9"/>
      <c r="R1058" s="9"/>
      <c r="S1058" s="47"/>
    </row>
    <row r="1059" spans="1:21" x14ac:dyDescent="0.2">
      <c r="A1059" s="54">
        <v>299100</v>
      </c>
      <c r="B1059" s="9">
        <v>258200</v>
      </c>
      <c r="C1059" s="136">
        <v>296700</v>
      </c>
      <c r="D1059" s="136">
        <f>287800-500</f>
        <v>287300</v>
      </c>
      <c r="E1059" s="144">
        <v>274700</v>
      </c>
      <c r="F1059" s="469" t="s">
        <v>1660</v>
      </c>
      <c r="G1059" s="661" t="s">
        <v>1312</v>
      </c>
      <c r="H1059" s="9">
        <f>304000-6000</f>
        <v>298000</v>
      </c>
      <c r="I1059" s="85">
        <f>IF(E1059=H1059,0,IF(E1059=0,100,(H1059-E1059)/E1059*100))</f>
        <v>8.4819803421914823</v>
      </c>
      <c r="J1059" s="9">
        <f>ROUNDUP(H1059+(H1059*Assumptions!I$5),-2)</f>
        <v>304900</v>
      </c>
      <c r="K1059" s="9">
        <f>ROUNDUP(J1059+(J1059*Assumptions!J$5),-2)</f>
        <v>312600</v>
      </c>
      <c r="L1059" s="9">
        <f>ROUNDUP(K1059+(K1059*Assumptions!K$5),-2)</f>
        <v>320500</v>
      </c>
      <c r="M1059" s="9">
        <f>ROUNDUP(L1059+(L1059*Assumptions!L$5),-2)</f>
        <v>328600</v>
      </c>
      <c r="N1059" s="9">
        <f>ROUNDUP(M1059+(M1059*Assumptions!M$5),-2)</f>
        <v>336900</v>
      </c>
      <c r="O1059" s="9">
        <f>ROUNDUP(N1059+(N1059*Assumptions!N$5),-2)</f>
        <v>345400</v>
      </c>
      <c r="P1059" s="9">
        <f>ROUNDUP(O1059+(O1059*Assumptions!O$5),-2)</f>
        <v>354100</v>
      </c>
      <c r="Q1059" s="9">
        <f>ROUNDUP(P1059+(P1059*Assumptions!P$5),-2)</f>
        <v>363000</v>
      </c>
      <c r="R1059" s="9">
        <f>ROUNDUP(Q1059+(Q1059*Assumptions!Q$5),-2)</f>
        <v>372100</v>
      </c>
      <c r="S1059" s="47">
        <f>ROUNDUP(R1059+(R1059*Assumptions!R$5),-2)</f>
        <v>381500</v>
      </c>
    </row>
    <row r="1060" spans="1:21" x14ac:dyDescent="0.2">
      <c r="A1060" s="54">
        <v>31300</v>
      </c>
      <c r="B1060" s="9">
        <v>39000</v>
      </c>
      <c r="C1060" s="136">
        <v>38400</v>
      </c>
      <c r="D1060" s="136">
        <v>43200</v>
      </c>
      <c r="E1060" s="144">
        <v>29100</v>
      </c>
      <c r="F1060" s="469" t="s">
        <v>573</v>
      </c>
      <c r="G1060" s="661" t="s">
        <v>4507</v>
      </c>
      <c r="H1060" s="9">
        <f>41000-2000</f>
        <v>39000</v>
      </c>
      <c r="I1060" s="85">
        <f>IF(E1060=H1060,0,IF(E1060=0,100,(H1060-E1060)/E1060*100))</f>
        <v>34.020618556701031</v>
      </c>
      <c r="J1060" s="9">
        <f>ROUNDUP(H1060+(H1060*Assumptions!I$5),-2)</f>
        <v>39900</v>
      </c>
      <c r="K1060" s="9">
        <f>ROUNDUP(J1060+(J1060*Assumptions!J$5),-2)</f>
        <v>40900</v>
      </c>
      <c r="L1060" s="9">
        <f>ROUNDUP(K1060+(K1060*Assumptions!K$5),-2)</f>
        <v>42000</v>
      </c>
      <c r="M1060" s="9">
        <f>ROUNDUP(L1060+(L1060*Assumptions!L$5),-2)</f>
        <v>43100</v>
      </c>
      <c r="N1060" s="9">
        <f>ROUNDUP(M1060+(M1060*Assumptions!M$5),-2)</f>
        <v>44200</v>
      </c>
      <c r="O1060" s="9">
        <f>ROUNDUP(N1060+(N1060*Assumptions!N$5),-2)</f>
        <v>45400</v>
      </c>
      <c r="P1060" s="9">
        <f>ROUNDUP(O1060+(O1060*Assumptions!O$5),-2)</f>
        <v>46600</v>
      </c>
      <c r="Q1060" s="9">
        <f>ROUNDUP(P1060+(P1060*Assumptions!P$5),-2)</f>
        <v>47800</v>
      </c>
      <c r="R1060" s="9">
        <f>ROUNDUP(Q1060+(Q1060*Assumptions!Q$5),-2)</f>
        <v>49000</v>
      </c>
      <c r="S1060" s="47">
        <f>ROUNDUP(R1060+(R1060*Assumptions!R$5),-2)</f>
        <v>50300</v>
      </c>
    </row>
    <row r="1061" spans="1:21" x14ac:dyDescent="0.2">
      <c r="A1061" s="54">
        <v>32400</v>
      </c>
      <c r="B1061" s="9">
        <v>38100</v>
      </c>
      <c r="C1061" s="136">
        <v>45100</v>
      </c>
      <c r="D1061" s="136">
        <v>67200</v>
      </c>
      <c r="E1061" s="144">
        <v>57600</v>
      </c>
      <c r="F1061" s="469" t="s">
        <v>207</v>
      </c>
      <c r="G1061" s="661" t="s">
        <v>4508</v>
      </c>
      <c r="H1061" s="9">
        <f>60000+10000</f>
        <v>70000</v>
      </c>
      <c r="I1061" s="85">
        <f>IF(E1061=H1061,0,IF(E1061=0,100,(H1061-E1061)/E1061*100))</f>
        <v>21.527777777777779</v>
      </c>
      <c r="J1061" s="9">
        <f>ROUNDUP(H1061+(H1061*Assumptions!I$5),-2)</f>
        <v>71700</v>
      </c>
      <c r="K1061" s="9">
        <f>ROUNDUP(J1061+(J1061*Assumptions!J$5),-2)</f>
        <v>73500</v>
      </c>
      <c r="L1061" s="9">
        <f>ROUNDUP(K1061+(K1061*Assumptions!K$5),-2)</f>
        <v>75400</v>
      </c>
      <c r="M1061" s="9">
        <f>ROUNDUP(L1061+(L1061*Assumptions!L$5),-2)</f>
        <v>77300</v>
      </c>
      <c r="N1061" s="9">
        <f>ROUNDUP(M1061+(M1061*Assumptions!M$5),-2)</f>
        <v>79300</v>
      </c>
      <c r="O1061" s="9">
        <f>ROUNDUP(N1061+(N1061*Assumptions!N$5),-2)</f>
        <v>81300</v>
      </c>
      <c r="P1061" s="9">
        <f>ROUNDUP(O1061+(O1061*Assumptions!O$5),-2)</f>
        <v>83400</v>
      </c>
      <c r="Q1061" s="9">
        <f>ROUNDUP(P1061+(P1061*Assumptions!P$5),-2)</f>
        <v>85500</v>
      </c>
      <c r="R1061" s="9">
        <f>ROUNDUP(Q1061+(Q1061*Assumptions!Q$5),-2)</f>
        <v>87700</v>
      </c>
      <c r="S1061" s="47">
        <f>ROUNDUP(R1061+(R1061*Assumptions!R$5),-2)</f>
        <v>89900</v>
      </c>
    </row>
    <row r="1062" spans="1:21" x14ac:dyDescent="0.2">
      <c r="A1062" s="54"/>
      <c r="B1062" s="9"/>
      <c r="E1062" s="144"/>
      <c r="F1062" s="469"/>
      <c r="G1062" s="21" t="s">
        <v>1112</v>
      </c>
      <c r="H1062" s="9"/>
      <c r="I1062" s="85"/>
      <c r="J1062" s="9"/>
      <c r="K1062" s="9"/>
      <c r="L1062" s="9"/>
      <c r="M1062" s="9"/>
      <c r="N1062" s="9"/>
      <c r="O1062" s="9"/>
      <c r="P1062" s="9"/>
      <c r="Q1062" s="9"/>
      <c r="R1062" s="9"/>
      <c r="S1062" s="47"/>
    </row>
    <row r="1063" spans="1:21" x14ac:dyDescent="0.2">
      <c r="A1063" s="54">
        <v>127200</v>
      </c>
      <c r="B1063" s="9">
        <v>261700</v>
      </c>
      <c r="C1063" s="89">
        <v>298900</v>
      </c>
      <c r="D1063" s="9">
        <f>ROUND('Debt-Gen'!J51,-2)</f>
        <v>283000</v>
      </c>
      <c r="E1063" s="144">
        <v>249600</v>
      </c>
      <c r="F1063" s="469" t="s">
        <v>2062</v>
      </c>
      <c r="G1063" s="79" t="s">
        <v>2658</v>
      </c>
      <c r="H1063" s="9">
        <f>ROUND('Debt-Gen'!N51,-2)</f>
        <v>230400</v>
      </c>
      <c r="I1063" s="85">
        <f>IF(E1063=H1063,0,IF(E1063=0,100,(H1063-E1063)/E1063*100))</f>
        <v>-7.6923076923076925</v>
      </c>
      <c r="J1063" s="9">
        <f>ROUND('Debt-Gen'!P51,-2)</f>
        <v>202600</v>
      </c>
      <c r="K1063" s="9">
        <f>ROUND('Debt-Gen'!R51,-2)</f>
        <v>173400</v>
      </c>
      <c r="L1063" s="9">
        <f>ROUND('Debt-Gen'!T51,-2)</f>
        <v>143200</v>
      </c>
      <c r="M1063" s="9">
        <f>ROUND('Debt-Gen'!V51,-2)</f>
        <v>443700</v>
      </c>
      <c r="N1063" s="9">
        <f>ROUND('Debt-Gen'!X51,-2)</f>
        <v>393000</v>
      </c>
      <c r="O1063" s="9">
        <f>ROUND('Debt-Gen'!Z51,-2)</f>
        <v>345700</v>
      </c>
      <c r="P1063" s="9">
        <f>ROUND('Debt-Gen'!AB51,-2)</f>
        <v>300100</v>
      </c>
      <c r="Q1063" s="9">
        <f>ROUND('Debt-Gen'!AD51,-2)</f>
        <v>263000</v>
      </c>
      <c r="R1063" s="9">
        <f>ROUND('Debt-Gen'!AF51,-2)</f>
        <v>243000</v>
      </c>
      <c r="S1063" s="47">
        <f>ROUND('Debt-Gen'!AH51,-2)</f>
        <v>223000</v>
      </c>
    </row>
    <row r="1064" spans="1:21" x14ac:dyDescent="0.2">
      <c r="A1064" s="54">
        <v>171200</v>
      </c>
      <c r="B1064" s="9">
        <v>166000</v>
      </c>
      <c r="C1064" s="89">
        <v>131400</v>
      </c>
      <c r="D1064" s="9">
        <f>ROUND(SUM('Debt-Gen'!J53:J53),-2)</f>
        <v>77900</v>
      </c>
      <c r="E1064" s="144">
        <v>68600</v>
      </c>
      <c r="F1064" s="469" t="s">
        <v>2061</v>
      </c>
      <c r="G1064" s="9" t="s">
        <v>456</v>
      </c>
      <c r="H1064" s="9">
        <f>ROUND(SUM('Debt-Gen'!N53:N53),-2)</f>
        <v>63900</v>
      </c>
      <c r="I1064" s="85">
        <f>IF(E1064=H1064,0,IF(E1064=0,100,(H1064-E1064)/E1064*100))</f>
        <v>-6.8513119533527691</v>
      </c>
      <c r="J1064" s="9">
        <f>ROUND(SUM('Debt-Gen'!P53:P53),-2)</f>
        <v>56600</v>
      </c>
      <c r="K1064" s="9">
        <f>ROUND(SUM('Debt-Gen'!R53:R53),-2)</f>
        <v>49200</v>
      </c>
      <c r="L1064" s="9">
        <f>ROUND(SUM('Debt-Gen'!T53:T53),-2)</f>
        <v>41500</v>
      </c>
      <c r="M1064" s="9">
        <f>ROUND(SUM('Debt-Gen'!V53:V53),-2)</f>
        <v>33300</v>
      </c>
      <c r="N1064" s="9">
        <f>ROUND(SUM('Debt-Gen'!X53:X53),-2)</f>
        <v>25000</v>
      </c>
      <c r="O1064" s="9">
        <f>ROUND(SUM('Debt-Gen'!Z53:Z53),-2)</f>
        <v>15600</v>
      </c>
      <c r="P1064" s="9">
        <f>ROUND(SUM('Debt-Gen'!AB53:AB53),-2)</f>
        <v>6500</v>
      </c>
      <c r="Q1064" s="9">
        <f>ROUND(SUM('Debt-Gen'!AD53:AD53),-2)</f>
        <v>0</v>
      </c>
      <c r="R1064" s="9">
        <f>ROUND(SUM('Debt-Gen'!AF53:AF53),-2)</f>
        <v>0</v>
      </c>
      <c r="S1064" s="47">
        <f>ROUND(SUM('Debt-Gen'!AG53:AG53),-2)</f>
        <v>0</v>
      </c>
    </row>
    <row r="1065" spans="1:21" x14ac:dyDescent="0.2">
      <c r="A1065" s="54"/>
      <c r="B1065" s="9"/>
      <c r="E1065" s="144"/>
      <c r="F1065" s="469"/>
      <c r="G1065" s="21" t="str">
        <f>G101</f>
        <v>Non-Cash Expenses</v>
      </c>
      <c r="H1065" s="9"/>
      <c r="I1065" s="85"/>
      <c r="J1065" s="9"/>
      <c r="K1065" s="9"/>
      <c r="L1065" s="9"/>
      <c r="M1065" s="9"/>
      <c r="N1065" s="9"/>
      <c r="O1065" s="9"/>
      <c r="P1065" s="9"/>
      <c r="Q1065" s="9"/>
      <c r="R1065" s="9"/>
      <c r="S1065" s="47"/>
    </row>
    <row r="1066" spans="1:21" x14ac:dyDescent="0.2">
      <c r="A1066" s="54">
        <f>6464400+451600</f>
        <v>6916000</v>
      </c>
      <c r="B1066" s="9">
        <v>7228600</v>
      </c>
      <c r="C1066" s="136">
        <v>6163400</v>
      </c>
      <c r="D1066" s="136">
        <v>5853500</v>
      </c>
      <c r="E1066" s="144">
        <v>5568900</v>
      </c>
      <c r="F1066" s="469" t="s">
        <v>2060</v>
      </c>
      <c r="G1066" s="79" t="s">
        <v>4135</v>
      </c>
      <c r="H1066" s="9">
        <v>4915400</v>
      </c>
      <c r="I1066" s="85">
        <f>IF(E1066=H1066,0,IF(E1066=0,100,(H1066-E1066)/E1066*100))</f>
        <v>-11.734812979223905</v>
      </c>
      <c r="J1066" s="9">
        <f>ROUNDUP(H1066+(H1066*Assumptions!I$18),-2)</f>
        <v>5013800</v>
      </c>
      <c r="K1066" s="9">
        <f>ROUNDUP(J1066+(J1066*Assumptions!J$18),-2)</f>
        <v>5114100</v>
      </c>
      <c r="L1066" s="9">
        <f>ROUNDUP(K1066+(K1066*Assumptions!K$18),-2)</f>
        <v>5216400</v>
      </c>
      <c r="M1066" s="9">
        <f>ROUNDUP(L1066+(L1066*Assumptions!L$18),-2)</f>
        <v>5320800</v>
      </c>
      <c r="N1066" s="9">
        <f>ROUNDUP(M1066+(M1066*Assumptions!M$18),-2)</f>
        <v>5427300</v>
      </c>
      <c r="O1066" s="9">
        <f>ROUNDUP(N1066+(N1066*Assumptions!N$18),-2)</f>
        <v>5535900</v>
      </c>
      <c r="P1066" s="9">
        <f>ROUNDUP(O1066+(O1066*Assumptions!O$18),-2)</f>
        <v>5646700</v>
      </c>
      <c r="Q1066" s="9">
        <f>ROUNDUP(P1066+(P1066*Assumptions!P$18),-2)</f>
        <v>5759700</v>
      </c>
      <c r="R1066" s="9">
        <f>ROUNDUP(Q1066+(Q1066*Assumptions!Q$18),-2)</f>
        <v>5874900</v>
      </c>
      <c r="S1066" s="47">
        <f>ROUNDUP(R1066+(R1066*Assumptions!R$18),-2)</f>
        <v>5992400</v>
      </c>
    </row>
    <row r="1067" spans="1:21" x14ac:dyDescent="0.2">
      <c r="A1067" s="54">
        <v>147100</v>
      </c>
      <c r="B1067" s="9">
        <v>135500</v>
      </c>
      <c r="C1067" s="89">
        <v>123000</v>
      </c>
      <c r="D1067" s="89">
        <v>109600</v>
      </c>
      <c r="E1067" s="144">
        <v>91400</v>
      </c>
      <c r="F1067" s="469" t="s">
        <v>2733</v>
      </c>
      <c r="G1067" s="79" t="s">
        <v>1246</v>
      </c>
      <c r="H1067" s="9">
        <v>71900</v>
      </c>
      <c r="I1067" s="85">
        <f>IF(E1067=H1067,0,IF(E1067=0,100,(H1067-E1067)/E1067*100))</f>
        <v>-21.334792122538293</v>
      </c>
      <c r="J1067" s="9">
        <v>51000</v>
      </c>
      <c r="K1067" s="9">
        <v>28100</v>
      </c>
      <c r="L1067" s="9">
        <v>0</v>
      </c>
      <c r="M1067" s="9">
        <v>0</v>
      </c>
      <c r="N1067" s="9">
        <v>0</v>
      </c>
      <c r="O1067" s="9">
        <v>0</v>
      </c>
      <c r="P1067" s="9">
        <v>0</v>
      </c>
      <c r="Q1067" s="9">
        <v>0</v>
      </c>
      <c r="R1067" s="9">
        <v>0</v>
      </c>
      <c r="S1067" s="47">
        <v>0</v>
      </c>
    </row>
    <row r="1068" spans="1:21" x14ac:dyDescent="0.2">
      <c r="A1068" s="54">
        <v>4636000</v>
      </c>
      <c r="B1068" s="9">
        <v>1634800</v>
      </c>
      <c r="C1068" s="136">
        <v>3009500</v>
      </c>
      <c r="D1068" s="136">
        <v>0</v>
      </c>
      <c r="E1068" s="144">
        <v>2762800</v>
      </c>
      <c r="F1068" s="769" t="s">
        <v>7285</v>
      </c>
      <c r="G1068" s="79" t="s">
        <v>4448</v>
      </c>
      <c r="H1068" s="9">
        <v>0</v>
      </c>
      <c r="I1068" s="85">
        <f>IF(E1068=H1068,0,IF(E1068=0,100,(H1068-E1068)/E1068*100))</f>
        <v>-100</v>
      </c>
      <c r="J1068" s="9">
        <f>ROUNDUP(H1068+(H1068*Assumptions!I$5),-2)</f>
        <v>0</v>
      </c>
      <c r="K1068" s="9">
        <f>ROUNDUP(J1068+(J1068*Assumptions!J$5),-2)</f>
        <v>0</v>
      </c>
      <c r="L1068" s="9">
        <f>ROUNDUP(K1068+(K1068*Assumptions!K$5),-2)</f>
        <v>0</v>
      </c>
      <c r="M1068" s="9">
        <f>ROUNDUP(L1068+(L1068*Assumptions!L$5),-2)</f>
        <v>0</v>
      </c>
      <c r="N1068" s="9">
        <f>ROUNDUP(M1068+(M1068*Assumptions!M$5),-2)</f>
        <v>0</v>
      </c>
      <c r="O1068" s="9">
        <f>ROUNDUP(N1068+(N1068*Assumptions!N$5),-2)</f>
        <v>0</v>
      </c>
      <c r="P1068" s="9">
        <f>ROUNDUP(O1068+(O1068*Assumptions!O$5),-2)</f>
        <v>0</v>
      </c>
      <c r="Q1068" s="9">
        <f>ROUNDUP(P1068+(P1068*Assumptions!P$5),-2)</f>
        <v>0</v>
      </c>
      <c r="R1068" s="9">
        <f>ROUNDUP(Q1068+(Q1068*Assumptions!Q$5),-2)</f>
        <v>0</v>
      </c>
      <c r="S1068" s="47">
        <f>ROUNDUP(R1068+(R1068*Assumptions!R$5),-2)</f>
        <v>0</v>
      </c>
    </row>
    <row r="1069" spans="1:21" ht="13.5" thickBot="1" x14ac:dyDescent="0.25">
      <c r="A1069" s="54"/>
      <c r="B1069" s="9"/>
      <c r="E1069" s="144"/>
      <c r="F1069" s="167"/>
      <c r="G1069" s="257"/>
      <c r="H1069" s="9"/>
      <c r="I1069" s="85"/>
      <c r="J1069" s="9"/>
      <c r="K1069" s="9"/>
      <c r="L1069" s="9"/>
      <c r="M1069" s="9"/>
      <c r="N1069" s="9"/>
      <c r="O1069" s="9"/>
      <c r="P1069" s="9"/>
      <c r="Q1069" s="9"/>
      <c r="R1069" s="9"/>
      <c r="S1069" s="47"/>
    </row>
    <row r="1070" spans="1:21" s="39" customFormat="1" x14ac:dyDescent="0.2">
      <c r="A1070" s="52">
        <f>SUM(A1037:A1069)</f>
        <v>15779300</v>
      </c>
      <c r="B1070" s="16">
        <f>SUM(B1037:B1069)</f>
        <v>12418700</v>
      </c>
      <c r="C1070" s="137">
        <f>SUM(C1037:C1069)</f>
        <v>12830100</v>
      </c>
      <c r="D1070" s="137">
        <f>SUM(D1037:D1069)</f>
        <v>9730300</v>
      </c>
      <c r="E1070" s="1473">
        <f>SUM(E1037:E1069)</f>
        <v>11869900</v>
      </c>
      <c r="F1070" s="126"/>
      <c r="G1070" s="267" t="s">
        <v>556</v>
      </c>
      <c r="H1070" s="16">
        <f t="shared" ref="H1070:Q1070" si="1903">SUM(H1037:H1069)</f>
        <v>8419600</v>
      </c>
      <c r="I1070" s="127">
        <f t="shared" ref="I1070:I1075" si="1904">IF(E1070=H1070,0,IF(E1070=0,100,(H1070-E1070)/E1070*100))</f>
        <v>-29.067641681901279</v>
      </c>
      <c r="J1070" s="16">
        <f t="shared" si="1903"/>
        <v>8534900</v>
      </c>
      <c r="K1070" s="16">
        <f t="shared" si="1903"/>
        <v>8656500</v>
      </c>
      <c r="L1070" s="16">
        <f t="shared" si="1903"/>
        <v>8775800</v>
      </c>
      <c r="M1070" s="16">
        <f t="shared" si="1903"/>
        <v>9257600</v>
      </c>
      <c r="N1070" s="16">
        <f t="shared" si="1903"/>
        <v>9392500</v>
      </c>
      <c r="O1070" s="16">
        <f t="shared" si="1903"/>
        <v>9534000</v>
      </c>
      <c r="P1070" s="16">
        <f t="shared" si="1903"/>
        <v>9681600</v>
      </c>
      <c r="Q1070" s="16">
        <f t="shared" si="1903"/>
        <v>9845000</v>
      </c>
      <c r="R1070" s="16">
        <f t="shared" ref="R1070" si="1905">SUM(R1037:R1069)</f>
        <v>10036500</v>
      </c>
      <c r="S1070" s="2342">
        <f t="shared" ref="S1070" si="1906">SUM(S1037:S1069)</f>
        <v>10232700</v>
      </c>
      <c r="U1070" s="34"/>
    </row>
    <row r="1071" spans="1:21" s="39" customFormat="1" x14ac:dyDescent="0.2">
      <c r="A1071" s="24">
        <f>A1035-A1070</f>
        <v>-15091400</v>
      </c>
      <c r="B1071" s="21">
        <f>B1035-B1070</f>
        <v>-11919000</v>
      </c>
      <c r="C1071" s="139">
        <f>C1035-C1070</f>
        <v>-12416300</v>
      </c>
      <c r="D1071" s="139">
        <f>D1035-D1070</f>
        <v>-9379800</v>
      </c>
      <c r="E1071" s="1444">
        <f>E1035-E1070</f>
        <v>-10233000</v>
      </c>
      <c r="F1071" s="126"/>
      <c r="G1071" s="361" t="s">
        <v>1002</v>
      </c>
      <c r="H1071" s="21">
        <f t="shared" ref="H1071:Q1071" si="1907">H1035-H1070</f>
        <v>-7472100</v>
      </c>
      <c r="I1071" s="126">
        <f t="shared" si="1904"/>
        <v>-26.9803576663735</v>
      </c>
      <c r="J1071" s="21">
        <f t="shared" si="1907"/>
        <v>-8002900</v>
      </c>
      <c r="K1071" s="21">
        <f t="shared" si="1907"/>
        <v>-7990300</v>
      </c>
      <c r="L1071" s="21">
        <f t="shared" si="1907"/>
        <v>-8104900</v>
      </c>
      <c r="M1071" s="21">
        <f t="shared" si="1907"/>
        <v>-8582100</v>
      </c>
      <c r="N1071" s="21">
        <f t="shared" si="1907"/>
        <v>-8712100</v>
      </c>
      <c r="O1071" s="21">
        <f t="shared" si="1907"/>
        <v>-8845000</v>
      </c>
      <c r="P1071" s="21">
        <f t="shared" si="1907"/>
        <v>-8981400</v>
      </c>
      <c r="Q1071" s="21">
        <f t="shared" si="1907"/>
        <v>-9130700</v>
      </c>
      <c r="R1071" s="21">
        <f t="shared" ref="R1071" si="1908">R1035-R1070</f>
        <v>-9307900</v>
      </c>
      <c r="S1071" s="86">
        <f t="shared" ref="S1071" si="1909">S1035-S1070</f>
        <v>-9489500</v>
      </c>
      <c r="U1071" s="34"/>
    </row>
    <row r="1072" spans="1:21" x14ac:dyDescent="0.2">
      <c r="A1072" s="54">
        <f>A1066</f>
        <v>6916000</v>
      </c>
      <c r="B1072" s="9">
        <f>B1066</f>
        <v>7228600</v>
      </c>
      <c r="C1072" s="136">
        <f>C1066</f>
        <v>6163400</v>
      </c>
      <c r="D1072" s="136">
        <f>D1066</f>
        <v>5853500</v>
      </c>
      <c r="E1072" s="1442">
        <f t="shared" ref="E1072" si="1910">E1066</f>
        <v>5568900</v>
      </c>
      <c r="F1072" s="167"/>
      <c r="G1072" s="261" t="s">
        <v>1943</v>
      </c>
      <c r="H1072" s="134">
        <f t="shared" ref="H1072:O1072" si="1911">H1066</f>
        <v>4915400</v>
      </c>
      <c r="I1072" s="85">
        <f t="shared" si="1904"/>
        <v>-11.734812979223905</v>
      </c>
      <c r="J1072" s="134">
        <f t="shared" si="1911"/>
        <v>5013800</v>
      </c>
      <c r="K1072" s="134">
        <f t="shared" si="1911"/>
        <v>5114100</v>
      </c>
      <c r="L1072" s="134">
        <f t="shared" si="1911"/>
        <v>5216400</v>
      </c>
      <c r="M1072" s="134">
        <f t="shared" si="1911"/>
        <v>5320800</v>
      </c>
      <c r="N1072" s="134">
        <f t="shared" si="1911"/>
        <v>5427300</v>
      </c>
      <c r="O1072" s="134">
        <f t="shared" si="1911"/>
        <v>5535900</v>
      </c>
      <c r="P1072" s="134">
        <f t="shared" ref="P1072:Q1072" si="1912">P1066</f>
        <v>5646700</v>
      </c>
      <c r="Q1072" s="134">
        <f t="shared" si="1912"/>
        <v>5759700</v>
      </c>
      <c r="R1072" s="134">
        <f t="shared" ref="R1072" si="1913">R1066</f>
        <v>5874900</v>
      </c>
      <c r="S1072" s="2359">
        <f t="shared" ref="S1072" si="1914">S1066</f>
        <v>5992400</v>
      </c>
    </row>
    <row r="1073" spans="1:21" x14ac:dyDescent="0.2">
      <c r="A1073" s="54">
        <f t="shared" ref="A1073:B1073" si="1915">A1067</f>
        <v>147100</v>
      </c>
      <c r="B1073" s="9">
        <f t="shared" si="1915"/>
        <v>135500</v>
      </c>
      <c r="C1073" s="136">
        <f>C1067</f>
        <v>123000</v>
      </c>
      <c r="D1073" s="136">
        <f>D1067</f>
        <v>109600</v>
      </c>
      <c r="E1073" s="1442">
        <f t="shared" ref="E1073" si="1916">E1067</f>
        <v>91400</v>
      </c>
      <c r="F1073" s="167"/>
      <c r="G1073" s="540" t="s">
        <v>4451</v>
      </c>
      <c r="H1073" s="134">
        <f t="shared" ref="H1073:O1073" si="1917">H1067</f>
        <v>71900</v>
      </c>
      <c r="I1073" s="85">
        <f t="shared" si="1904"/>
        <v>-21.334792122538293</v>
      </c>
      <c r="J1073" s="134">
        <f t="shared" si="1917"/>
        <v>51000</v>
      </c>
      <c r="K1073" s="134">
        <f t="shared" si="1917"/>
        <v>28100</v>
      </c>
      <c r="L1073" s="134">
        <f t="shared" si="1917"/>
        <v>0</v>
      </c>
      <c r="M1073" s="134">
        <f t="shared" si="1917"/>
        <v>0</v>
      </c>
      <c r="N1073" s="134">
        <f t="shared" si="1917"/>
        <v>0</v>
      </c>
      <c r="O1073" s="134">
        <f t="shared" si="1917"/>
        <v>0</v>
      </c>
      <c r="P1073" s="134">
        <f t="shared" ref="P1073:Q1073" si="1918">P1067</f>
        <v>0</v>
      </c>
      <c r="Q1073" s="134">
        <f t="shared" si="1918"/>
        <v>0</v>
      </c>
      <c r="R1073" s="134">
        <f t="shared" ref="R1073" si="1919">R1067</f>
        <v>0</v>
      </c>
      <c r="S1073" s="2359">
        <f t="shared" ref="S1073" si="1920">S1067</f>
        <v>0</v>
      </c>
    </row>
    <row r="1074" spans="1:21" x14ac:dyDescent="0.2">
      <c r="A1074" s="54">
        <f>A1068</f>
        <v>4636000</v>
      </c>
      <c r="B1074" s="9">
        <f>B1068</f>
        <v>1634800</v>
      </c>
      <c r="C1074" s="136">
        <f>C1068</f>
        <v>3009500</v>
      </c>
      <c r="D1074" s="136">
        <f>D1068</f>
        <v>0</v>
      </c>
      <c r="E1074" s="1442">
        <f t="shared" ref="E1074" si="1921">E1068</f>
        <v>2762800</v>
      </c>
      <c r="F1074" s="167"/>
      <c r="G1074" s="261" t="s">
        <v>4452</v>
      </c>
      <c r="H1074" s="134">
        <f t="shared" ref="H1074:O1074" si="1922">H1068</f>
        <v>0</v>
      </c>
      <c r="I1074" s="85">
        <f t="shared" si="1904"/>
        <v>-100</v>
      </c>
      <c r="J1074" s="134">
        <f t="shared" si="1922"/>
        <v>0</v>
      </c>
      <c r="K1074" s="134">
        <f t="shared" si="1922"/>
        <v>0</v>
      </c>
      <c r="L1074" s="134">
        <f t="shared" si="1922"/>
        <v>0</v>
      </c>
      <c r="M1074" s="134">
        <f t="shared" si="1922"/>
        <v>0</v>
      </c>
      <c r="N1074" s="134">
        <f t="shared" si="1922"/>
        <v>0</v>
      </c>
      <c r="O1074" s="134">
        <f t="shared" si="1922"/>
        <v>0</v>
      </c>
      <c r="P1074" s="134">
        <f t="shared" ref="P1074:Q1074" si="1923">P1068</f>
        <v>0</v>
      </c>
      <c r="Q1074" s="134">
        <f t="shared" si="1923"/>
        <v>0</v>
      </c>
      <c r="R1074" s="134">
        <f t="shared" ref="R1074" si="1924">R1068</f>
        <v>0</v>
      </c>
      <c r="S1074" s="2359">
        <f t="shared" ref="S1074" si="1925">S1068</f>
        <v>0</v>
      </c>
    </row>
    <row r="1075" spans="1:21" s="39" customFormat="1" x14ac:dyDescent="0.2">
      <c r="A1075" s="128">
        <f t="shared" ref="A1075:B1075" si="1926">SUM(A1071:A1074)</f>
        <v>-3392300</v>
      </c>
      <c r="B1075" s="280">
        <f t="shared" si="1926"/>
        <v>-2920100</v>
      </c>
      <c r="C1075" s="281">
        <f>SUM(C1071:C1074)</f>
        <v>-3120400</v>
      </c>
      <c r="D1075" s="281">
        <f>SUM(D1071:D1074)</f>
        <v>-3416700</v>
      </c>
      <c r="E1075" s="1515">
        <f>SUM(E1071:E1074)</f>
        <v>-1809900</v>
      </c>
      <c r="F1075" s="372"/>
      <c r="G1075" s="363" t="s">
        <v>1659</v>
      </c>
      <c r="H1075" s="529">
        <f t="shared" ref="H1075:O1075" si="1927">SUM(H1071:H1074)</f>
        <v>-2484800</v>
      </c>
      <c r="I1075" s="278">
        <f t="shared" si="1904"/>
        <v>37.289353002928337</v>
      </c>
      <c r="J1075" s="529">
        <f t="shared" si="1927"/>
        <v>-2938100</v>
      </c>
      <c r="K1075" s="529">
        <f t="shared" si="1927"/>
        <v>-2848100</v>
      </c>
      <c r="L1075" s="529">
        <f t="shared" si="1927"/>
        <v>-2888500</v>
      </c>
      <c r="M1075" s="529">
        <f t="shared" si="1927"/>
        <v>-3261300</v>
      </c>
      <c r="N1075" s="529">
        <f t="shared" si="1927"/>
        <v>-3284800</v>
      </c>
      <c r="O1075" s="529">
        <f t="shared" si="1927"/>
        <v>-3309100</v>
      </c>
      <c r="P1075" s="529">
        <f t="shared" ref="P1075:Q1075" si="1928">SUM(P1071:P1074)</f>
        <v>-3334700</v>
      </c>
      <c r="Q1075" s="529">
        <f t="shared" si="1928"/>
        <v>-3371000</v>
      </c>
      <c r="R1075" s="529">
        <f t="shared" ref="R1075" si="1929">SUM(R1071:R1074)</f>
        <v>-3433000</v>
      </c>
      <c r="S1075" s="2410">
        <f t="shared" ref="S1075" si="1930">SUM(S1071:S1074)</f>
        <v>-3497100</v>
      </c>
      <c r="U1075" s="34"/>
    </row>
    <row r="1076" spans="1:21" ht="13.5" thickBot="1" x14ac:dyDescent="0.25">
      <c r="A1076" s="54"/>
      <c r="B1076" s="89"/>
      <c r="E1076" s="1442"/>
      <c r="F1076" s="167"/>
      <c r="G1076" s="257"/>
      <c r="H1076" s="9"/>
      <c r="I1076" s="85"/>
      <c r="J1076" s="9"/>
      <c r="K1076" s="9"/>
      <c r="L1076" s="9"/>
      <c r="M1076" s="9"/>
      <c r="N1076" s="9"/>
      <c r="O1076" s="9"/>
      <c r="P1076" s="9"/>
      <c r="Q1076" s="9"/>
      <c r="R1076" s="9"/>
      <c r="S1076" s="61"/>
    </row>
    <row r="1077" spans="1:21" x14ac:dyDescent="0.2">
      <c r="A1077" s="52"/>
      <c r="B1077" s="102"/>
      <c r="C1077" s="137"/>
      <c r="D1077" s="137"/>
      <c r="E1077" s="1443"/>
      <c r="F1077" s="2425"/>
      <c r="G1077" s="1083" t="s">
        <v>192</v>
      </c>
      <c r="H1077" s="116"/>
      <c r="I1077" s="127"/>
      <c r="J1077" s="116"/>
      <c r="K1077" s="116"/>
      <c r="L1077" s="116"/>
      <c r="M1077" s="116"/>
      <c r="N1077" s="116"/>
      <c r="O1077" s="116"/>
      <c r="P1077" s="116"/>
      <c r="Q1077" s="116"/>
      <c r="R1077" s="116"/>
      <c r="S1077" s="1015"/>
    </row>
    <row r="1078" spans="1:21" x14ac:dyDescent="0.2">
      <c r="A1078" s="54">
        <v>423200</v>
      </c>
      <c r="B1078" s="89">
        <f>ROUND(SUM('Debt-Gen'!E51:E53),-2)</f>
        <v>702600</v>
      </c>
      <c r="C1078" s="89">
        <f>ROUND(SUM('Debt-Gen'!G51:G53),-2)</f>
        <v>822000</v>
      </c>
      <c r="D1078" s="89">
        <f>ROUND(SUM('Debt-Gen'!I51:I53),-2)</f>
        <v>982800</v>
      </c>
      <c r="E1078" s="46">
        <f>ROUND(SUM('Debt-Gen'!K51:K53),-2)</f>
        <v>1015100</v>
      </c>
      <c r="F1078" s="167"/>
      <c r="G1078" s="257" t="s">
        <v>2848</v>
      </c>
      <c r="H1078" s="9">
        <f>ROUND(SUM('Debt-Gen'!M51:M53),-2)</f>
        <v>1049300</v>
      </c>
      <c r="I1078" s="85">
        <f t="shared" ref="I1078:I1083" si="1931">IF(E1078=H1078,0,IF(E1078=0,100,(H1078-E1078)/E1078*100))</f>
        <v>3.3691261944635995</v>
      </c>
      <c r="J1078" s="9">
        <f>ROUND(SUM('Debt-Gen'!O51:O53),-2)</f>
        <v>1084400</v>
      </c>
      <c r="K1078" s="9">
        <f>ROUND(SUM('Debt-Gen'!Q51:Q53),-2)</f>
        <v>1170300</v>
      </c>
      <c r="L1078" s="9">
        <f>ROUND(SUM('Debt-Gen'!S51:S53),-2)</f>
        <v>804600</v>
      </c>
      <c r="M1078" s="9">
        <f>ROUND(SUM('Debt-Gen'!U51:U53),-2)</f>
        <v>1262300</v>
      </c>
      <c r="N1078" s="9">
        <f>ROUND(SUM('Debt-Gen'!W51:W53),-2)</f>
        <v>1255900</v>
      </c>
      <c r="O1078" s="9">
        <f>ROUND(SUM('Debt-Gen'!Y51:Y53),-2)</f>
        <v>1247800</v>
      </c>
      <c r="P1078" s="9">
        <f>ROUND(SUM('Debt-Gen'!AA51:AA53),-2)</f>
        <v>1148900</v>
      </c>
      <c r="Q1078" s="9">
        <f>ROUND(SUM('Debt-Gen'!AC51:AC53),-2)</f>
        <v>487000</v>
      </c>
      <c r="R1078" s="9">
        <f>ROUND(SUM('Debt-Gen'!AE51:AE53),-2)</f>
        <v>507000</v>
      </c>
      <c r="S1078" s="47">
        <f>ROUND(SUM('Debt-Gen'!AG51:AG53),-2)</f>
        <v>527000</v>
      </c>
    </row>
    <row r="1079" spans="1:21" x14ac:dyDescent="0.2">
      <c r="A1079" s="54">
        <v>9487800</v>
      </c>
      <c r="B1079" s="89">
        <v>2467900</v>
      </c>
      <c r="C1079" s="136">
        <v>1640400</v>
      </c>
      <c r="D1079" s="136">
        <f>SUM('Res-Gen'!B181:B190)+'Sec 94'!E68-'Res-Gen'!B183+850900</f>
        <v>1802200</v>
      </c>
      <c r="E1079" s="144">
        <v>2973300</v>
      </c>
      <c r="F1079" s="167"/>
      <c r="G1079" s="257" t="s">
        <v>1909</v>
      </c>
      <c r="H1079" s="9">
        <f>SUM('Res-Gen'!H181:H190)</f>
        <v>6638200</v>
      </c>
      <c r="I1079" s="85">
        <f t="shared" si="1931"/>
        <v>123.26035045235932</v>
      </c>
      <c r="J1079" s="9">
        <f>SUM('Res-Gen'!K181:K190)</f>
        <v>0</v>
      </c>
      <c r="K1079" s="9">
        <f>SUM('Res-Gen'!N181:N190)</f>
        <v>0</v>
      </c>
      <c r="L1079" s="9">
        <f>SUM('Res-Gen'!Q181:Q190)</f>
        <v>0</v>
      </c>
      <c r="M1079" s="9">
        <f>SUM('Res-Gen'!T181:T190)</f>
        <v>0</v>
      </c>
      <c r="N1079" s="9">
        <f>SUM('Res-Gen'!W181:W190)</f>
        <v>0</v>
      </c>
      <c r="O1079" s="9">
        <f>SUM('Res-Gen'!Z181:Z190)</f>
        <v>0</v>
      </c>
      <c r="P1079" s="9">
        <f>SUM('Res-Gen'!AC181:AC190)</f>
        <v>0</v>
      </c>
      <c r="Q1079" s="9">
        <f>SUM('Res-Gen'!AF181:AF190)</f>
        <v>0</v>
      </c>
      <c r="R1079" s="9">
        <f>SUM('Res-Gen'!AI181:AIF190)</f>
        <v>0</v>
      </c>
      <c r="S1079" s="47">
        <f>SUM('Res-Gen'!AL181:AL190)</f>
        <v>0</v>
      </c>
    </row>
    <row r="1080" spans="1:21" x14ac:dyDescent="0.2">
      <c r="A1080" s="54">
        <v>2778700</v>
      </c>
      <c r="B1080" s="89">
        <v>9546500</v>
      </c>
      <c r="C1080" s="136">
        <v>5526800</v>
      </c>
      <c r="D1080" s="136">
        <f>SUM('Res-Gen'!C181:C190)+'Sec 94'!E78+'Sec 94'!E56+'Sec 94'!E63+'Res-Gen'!C112+'Sec 94'!E95-270000-135000-49700+'Res-Gen'!C195+861100</f>
        <v>3171000</v>
      </c>
      <c r="E1080" s="144">
        <f>642500+475900</f>
        <v>1118400</v>
      </c>
      <c r="F1080" s="85"/>
      <c r="G1080" s="257" t="s">
        <v>2309</v>
      </c>
      <c r="H1080" s="9">
        <f>SUM('Res-Gen'!I181:I190)+'Sec 94'!G78+'Sec 94'!G63+'Sec 94'!G56+'Res-Gen'!I112-12100</f>
        <v>8500900</v>
      </c>
      <c r="I1080" s="85">
        <f t="shared" si="1931"/>
        <v>660.09477825464944</v>
      </c>
      <c r="J1080" s="9">
        <f>SUM('Res-Gen'!L181:L190)+'Sec 94'!H56+'Sec 94'!H63+'Sec 94'!H78</f>
        <v>5951000</v>
      </c>
      <c r="K1080" s="9">
        <f>SUM('Res-Gen'!O181:O190)+'Sec 94'!I63+'Sec 94'!I78+'Sec 94'!I56</f>
        <v>17608000</v>
      </c>
      <c r="L1080" s="9">
        <f>SUM('Res-Gen'!R181:R190)+'Sec 94'!J56+'Sec 94'!J63+'Sec 94'!J78</f>
        <v>14261000</v>
      </c>
      <c r="M1080" s="9">
        <f>SUM('Res-Gen'!U181:U190)+'Sec 94'!K78+'Sec 94'!K63+'Sec 94'!K56</f>
        <v>13806000</v>
      </c>
      <c r="N1080" s="9">
        <f>SUM('Res-Gen'!X181:X190)+'Sec 94'!L56+'Sec 94'!L63+'Sec 94'!L78</f>
        <v>672000</v>
      </c>
      <c r="O1080" s="9">
        <f>SUM('Res-Gen'!AA181:AA190)+'Sec 94'!M78+'Sec 94'!M63+'Sec 94'!M56</f>
        <v>690000</v>
      </c>
      <c r="P1080" s="9">
        <f>SUM('Res-Gen'!AD181:AD190)+'Sec 94'!N78+'Sec 94'!N63+'Sec 94'!N56</f>
        <v>708000</v>
      </c>
      <c r="Q1080" s="9">
        <f>SUM('Res-Gen'!AG181:AG190)+'Sec 94'!O78+'Sec 94'!O63+'Sec 94'!O56</f>
        <v>726000</v>
      </c>
      <c r="R1080" s="9">
        <f>SUM('Res-Gen'!AJ181:AJ190)+'Sec 94'!P78+'Sec 94'!P63+'Sec 94'!P56</f>
        <v>745000</v>
      </c>
      <c r="S1080" s="47">
        <f>SUM('Res-Gen'!AM181:AM190)+'Sec 94'!Q78+'Sec 94'!Q63+'Sec 94'!Q56</f>
        <v>764000</v>
      </c>
    </row>
    <row r="1081" spans="1:21" x14ac:dyDescent="0.2">
      <c r="A1081" s="54">
        <v>10074100</v>
      </c>
      <c r="B1081" s="89">
        <v>4803700</v>
      </c>
      <c r="C1081" s="136">
        <v>1540000</v>
      </c>
      <c r="D1081" s="136">
        <f>SUM('Cap-Gen'!R143)+SUM('Cap-Gen'!T143)</f>
        <v>4718700</v>
      </c>
      <c r="E1081" s="144">
        <f>22688100-17352800</f>
        <v>5335300</v>
      </c>
      <c r="F1081" s="167"/>
      <c r="G1081" s="257" t="s">
        <v>5847</v>
      </c>
      <c r="H1081" s="9">
        <f>SUM('Cap-Gen'!AB143)+SUM('Cap-Gen'!AD143)-H1030</f>
        <v>4681300</v>
      </c>
      <c r="I1081" s="85">
        <f t="shared" si="1931"/>
        <v>-12.257979869922966</v>
      </c>
      <c r="J1081" s="9">
        <f>SUM('Cap-Gen'!AG143)+SUM('Cap-Gen'!AI143)-J1030</f>
        <v>5682000</v>
      </c>
      <c r="K1081" s="9">
        <f>SUM('Cap-Gen'!AL143)+SUM('Cap-Gen'!AN143)-K1030</f>
        <v>185000</v>
      </c>
      <c r="L1081" s="9">
        <f>SUM('Cap-Gen'!AQ143)+SUM('Cap-Gen'!AS143)-L1030</f>
        <v>8528700</v>
      </c>
      <c r="M1081" s="9">
        <f>SUM('Cap-Gen'!AV143)+SUM('Cap-Gen'!AX143)-M1030</f>
        <v>192500</v>
      </c>
      <c r="N1081" s="9">
        <f>SUM('Cap-Gen'!BA143)+SUM('Cap-Gen'!BC143)-N1030</f>
        <v>196400</v>
      </c>
      <c r="O1081" s="9">
        <f>SUM('Cap-Gen'!BF143)+SUM('Cap-Gen'!BH143)-O1030</f>
        <v>200400</v>
      </c>
      <c r="P1081" s="9">
        <f>SUM('Cap-Gen'!BK143)+SUM('Cap-Gen'!BM143)-P1030</f>
        <v>204500</v>
      </c>
      <c r="Q1081" s="9">
        <f>SUM('Cap-Gen'!BP143)+SUM('Cap-Gen'!BR143)-Q1030</f>
        <v>208600</v>
      </c>
      <c r="R1081" s="9">
        <f>SUM('Cap-Gen'!BU143)+SUM('Cap-Gen'!BW143)-R1030</f>
        <v>212800</v>
      </c>
      <c r="S1081" s="47">
        <f>SUM('Cap-Gen'!BZ143)+SUM('Cap-Gen'!CB143)-S1030</f>
        <v>217100</v>
      </c>
    </row>
    <row r="1082" spans="1:21" x14ac:dyDescent="0.2">
      <c r="A1082" s="54">
        <v>10230000</v>
      </c>
      <c r="B1082" s="89">
        <f>13536300+887900</f>
        <v>14424200</v>
      </c>
      <c r="C1082" s="136">
        <v>6975000</v>
      </c>
      <c r="D1082" s="136">
        <f>'Cap-Gen'!E143</f>
        <v>8764400</v>
      </c>
      <c r="E1082" s="144">
        <v>8027200</v>
      </c>
      <c r="F1082" s="85"/>
      <c r="G1082" s="257" t="s">
        <v>958</v>
      </c>
      <c r="H1082" s="134">
        <f>'Cap-Gen'!G143-'Cap-Gen'!G389-'Cap-Gen'!G390</f>
        <v>10955800</v>
      </c>
      <c r="I1082" s="85">
        <f t="shared" si="1931"/>
        <v>36.483456248754237</v>
      </c>
      <c r="J1082" s="134">
        <f>'Cap-Gen'!H143</f>
        <v>15222100</v>
      </c>
      <c r="K1082" s="134">
        <f>'Cap-Gen'!I143</f>
        <v>21665000</v>
      </c>
      <c r="L1082" s="134">
        <f>'Cap-Gen'!J143</f>
        <v>27755400</v>
      </c>
      <c r="M1082" s="134">
        <f>'Cap-Gen'!K143</f>
        <v>18415400</v>
      </c>
      <c r="N1082" s="134">
        <f>'Cap-Gen'!L143</f>
        <v>5493300</v>
      </c>
      <c r="O1082" s="9">
        <f>'Cap-Gen'!M143</f>
        <v>5731900</v>
      </c>
      <c r="P1082" s="9">
        <f>'Cap-Gen'!N143</f>
        <v>6132200</v>
      </c>
      <c r="Q1082" s="9">
        <f>'Cap-Gen'!O143</f>
        <v>7094100</v>
      </c>
      <c r="R1082" s="9">
        <f>'Cap-Gen'!P143</f>
        <v>7859000</v>
      </c>
      <c r="S1082" s="47">
        <f>'Cap-Gen'!Q143</f>
        <v>7936900</v>
      </c>
    </row>
    <row r="1083" spans="1:21" s="39" customFormat="1" x14ac:dyDescent="0.2">
      <c r="A1083" s="128">
        <f>A1075-A1078-A1079+A1080++A1081-A1082</f>
        <v>-10680500</v>
      </c>
      <c r="B1083" s="266">
        <f>B1075-B1078-B1079+B1080++B1081-B1082</f>
        <v>-6164600</v>
      </c>
      <c r="C1083" s="281">
        <f>C1075-C1078-C1079+C1080++C1081-C1082</f>
        <v>-5491000</v>
      </c>
      <c r="D1083" s="281">
        <f>D1075-D1078-D1079+D1080++D1081-D1082</f>
        <v>-7076400</v>
      </c>
      <c r="E1083" s="1513">
        <f t="shared" ref="E1083" si="1932">E1075-E1078-E1079+E1080++E1081-E1082</f>
        <v>-7371800</v>
      </c>
      <c r="F1083" s="372"/>
      <c r="G1083" s="363" t="s">
        <v>2447</v>
      </c>
      <c r="H1083" s="280">
        <f t="shared" ref="H1083:P1083" si="1933">H1075-H1078-H1079+H1080++H1081-H1082</f>
        <v>-7945900</v>
      </c>
      <c r="I1083" s="278">
        <f t="shared" si="1931"/>
        <v>7.7877858867576437</v>
      </c>
      <c r="J1083" s="280">
        <f t="shared" si="1933"/>
        <v>-7611600</v>
      </c>
      <c r="K1083" s="280">
        <f t="shared" si="1933"/>
        <v>-7890400</v>
      </c>
      <c r="L1083" s="280">
        <f t="shared" si="1933"/>
        <v>-8658800</v>
      </c>
      <c r="M1083" s="280">
        <f t="shared" si="1933"/>
        <v>-8940500</v>
      </c>
      <c r="N1083" s="280">
        <f t="shared" si="1933"/>
        <v>-9165600</v>
      </c>
      <c r="O1083" s="280">
        <f t="shared" si="1933"/>
        <v>-9398400</v>
      </c>
      <c r="P1083" s="280">
        <f t="shared" si="1933"/>
        <v>-9703300</v>
      </c>
      <c r="Q1083" s="280">
        <f t="shared" ref="Q1083" si="1934">Q1075-Q1078-Q1079+Q1080++Q1081-Q1082</f>
        <v>-10017500</v>
      </c>
      <c r="R1083" s="280">
        <f t="shared" ref="R1083:S1083" si="1935">R1075-R1078-R1079+R1080++R1081-R1082</f>
        <v>-10841200</v>
      </c>
      <c r="S1083" s="282">
        <f t="shared" si="1935"/>
        <v>-10979900</v>
      </c>
      <c r="U1083" s="34"/>
    </row>
    <row r="1084" spans="1:21" ht="13.5" thickBot="1" x14ac:dyDescent="0.25">
      <c r="A1084" s="519"/>
      <c r="B1084" s="81"/>
      <c r="C1084" s="141"/>
      <c r="D1084" s="141"/>
      <c r="E1084" s="1437"/>
      <c r="F1084" s="166"/>
      <c r="G1084" s="259"/>
      <c r="H1084" s="23"/>
      <c r="I1084" s="275"/>
      <c r="J1084" s="23"/>
      <c r="K1084" s="23"/>
      <c r="L1084" s="23"/>
      <c r="M1084" s="23"/>
      <c r="N1084" s="23"/>
      <c r="O1084" s="23"/>
      <c r="P1084" s="23"/>
      <c r="Q1084" s="23"/>
      <c r="R1084" s="23"/>
      <c r="S1084" s="112"/>
    </row>
    <row r="1085" spans="1:21" s="46" customFormat="1" ht="14.25" thickTop="1" thickBot="1" x14ac:dyDescent="0.25">
      <c r="A1085" s="27"/>
      <c r="B1085" s="27"/>
      <c r="C1085" s="143"/>
      <c r="D1085" s="143"/>
      <c r="E1085" s="143"/>
      <c r="F1085" s="169"/>
      <c r="G1085" s="84"/>
      <c r="I1085" s="2234"/>
      <c r="U1085" s="34"/>
    </row>
    <row r="1086" spans="1:21" s="38" customFormat="1" ht="18.75" customHeight="1" thickTop="1" thickBot="1" x14ac:dyDescent="0.3">
      <c r="A1086" s="2588" t="s">
        <v>649</v>
      </c>
      <c r="B1086" s="2589"/>
      <c r="C1086" s="2589"/>
      <c r="D1086" s="2589"/>
      <c r="E1086" s="2589"/>
      <c r="F1086" s="2589"/>
      <c r="G1086" s="2589"/>
      <c r="H1086" s="2589"/>
      <c r="I1086" s="2589"/>
      <c r="J1086" s="2589"/>
      <c r="K1086" s="2589"/>
      <c r="L1086" s="2589"/>
      <c r="M1086" s="2589"/>
      <c r="N1086" s="2589"/>
      <c r="O1086" s="2589"/>
      <c r="P1086" s="2589"/>
      <c r="Q1086" s="2589"/>
      <c r="R1086" s="2589"/>
      <c r="S1086" s="2590"/>
      <c r="U1086" s="34"/>
    </row>
    <row r="1087" spans="1:21" s="39" customFormat="1" ht="13.5" thickBot="1" x14ac:dyDescent="0.25">
      <c r="A1087" s="2591" t="s">
        <v>1824</v>
      </c>
      <c r="B1087" s="2577"/>
      <c r="C1087" s="2577"/>
      <c r="D1087" s="2577"/>
      <c r="E1087" s="2592"/>
      <c r="F1087" s="127" t="s">
        <v>2616</v>
      </c>
      <c r="G1087" s="127" t="s">
        <v>2213</v>
      </c>
      <c r="H1087" s="2568" t="s">
        <v>2215</v>
      </c>
      <c r="I1087" s="2568"/>
      <c r="J1087" s="2568"/>
      <c r="K1087" s="2568"/>
      <c r="L1087" s="2568"/>
      <c r="M1087" s="2568"/>
      <c r="N1087" s="2568"/>
      <c r="O1087" s="2568"/>
      <c r="P1087" s="2568"/>
      <c r="Q1087" s="2568"/>
      <c r="R1087" s="2568"/>
      <c r="S1087" s="2607"/>
      <c r="U1087" s="34"/>
    </row>
    <row r="1088" spans="1:21" ht="12.75" customHeight="1" thickBot="1" x14ac:dyDescent="0.25">
      <c r="A1088" s="541" t="str">
        <f>A3</f>
        <v>2012/13</v>
      </c>
      <c r="B1088" s="28" t="str">
        <f>B3</f>
        <v>2013/14</v>
      </c>
      <c r="C1088" s="40" t="str">
        <f>C3</f>
        <v>2014/15</v>
      </c>
      <c r="D1088" s="40" t="str">
        <f>D3</f>
        <v>2015/16</v>
      </c>
      <c r="E1088" s="40" t="str">
        <f>E3</f>
        <v>2016/17</v>
      </c>
      <c r="F1088" s="40" t="s">
        <v>2617</v>
      </c>
      <c r="G1088" s="41"/>
      <c r="H1088" s="40" t="str">
        <f>H3</f>
        <v>2017/18</v>
      </c>
      <c r="I1088" s="1258" t="str">
        <f>I1590</f>
        <v>%</v>
      </c>
      <c r="J1088" s="40" t="str">
        <f t="shared" ref="J1088:S1088" si="1936">J3</f>
        <v>2018/19</v>
      </c>
      <c r="K1088" s="40" t="str">
        <f t="shared" si="1936"/>
        <v>2019/20</v>
      </c>
      <c r="L1088" s="40" t="str">
        <f t="shared" si="1936"/>
        <v>2020/21</v>
      </c>
      <c r="M1088" s="40" t="str">
        <f t="shared" si="1936"/>
        <v>2021/22</v>
      </c>
      <c r="N1088" s="40" t="str">
        <f t="shared" si="1936"/>
        <v>2022/23</v>
      </c>
      <c r="O1088" s="40" t="str">
        <f t="shared" si="1936"/>
        <v>2023/24</v>
      </c>
      <c r="P1088" s="40" t="str">
        <f t="shared" si="1936"/>
        <v>2024/25</v>
      </c>
      <c r="Q1088" s="28" t="str">
        <f t="shared" si="1936"/>
        <v>2025/26</v>
      </c>
      <c r="R1088" s="28" t="str">
        <f t="shared" si="1936"/>
        <v>2026/27</v>
      </c>
      <c r="S1088" s="1620" t="str">
        <f t="shared" si="1936"/>
        <v>2027/28</v>
      </c>
    </row>
    <row r="1089" spans="1:19" x14ac:dyDescent="0.2">
      <c r="A1089" s="54"/>
      <c r="B1089" s="9"/>
      <c r="C1089" s="134"/>
      <c r="D1089" s="134"/>
      <c r="E1089" s="1442"/>
      <c r="F1089" s="2425"/>
      <c r="G1089" s="1201" t="s">
        <v>1056</v>
      </c>
      <c r="H1089" s="9"/>
      <c r="I1089" s="85"/>
      <c r="J1089" s="9"/>
      <c r="K1089" s="9"/>
      <c r="L1089" s="9"/>
      <c r="M1089" s="9"/>
      <c r="N1089" s="9"/>
      <c r="O1089" s="9"/>
      <c r="P1089" s="9"/>
      <c r="Q1089" s="9"/>
      <c r="R1089" s="9"/>
      <c r="S1089" s="61"/>
    </row>
    <row r="1090" spans="1:19" x14ac:dyDescent="0.2">
      <c r="A1090" s="54"/>
      <c r="B1090" s="9"/>
      <c r="E1090" s="1442"/>
      <c r="F1090" s="469"/>
      <c r="G1090" s="63" t="s">
        <v>3181</v>
      </c>
      <c r="H1090" s="9"/>
      <c r="I1090" s="85"/>
      <c r="J1090" s="9"/>
      <c r="K1090" s="9"/>
      <c r="L1090" s="9"/>
      <c r="M1090" s="9"/>
      <c r="N1090" s="9"/>
      <c r="O1090" s="9"/>
      <c r="P1090" s="9"/>
      <c r="Q1090" s="9"/>
      <c r="R1090" s="9"/>
      <c r="S1090" s="61"/>
    </row>
    <row r="1091" spans="1:19" x14ac:dyDescent="0.2">
      <c r="A1091" s="54">
        <v>55300</v>
      </c>
      <c r="B1091" s="9">
        <v>248400</v>
      </c>
      <c r="C1091" s="136">
        <v>168600</v>
      </c>
      <c r="D1091" s="136">
        <v>724000</v>
      </c>
      <c r="E1091" s="1442">
        <v>231700</v>
      </c>
      <c r="F1091" s="769" t="s">
        <v>2983</v>
      </c>
      <c r="G1091" s="9" t="s">
        <v>875</v>
      </c>
      <c r="H1091" s="9">
        <v>115000</v>
      </c>
      <c r="I1091" s="85">
        <f>IF(E1091=H1091,0,IF(E1091=0,100,(H1091-E1091)/E1091*100))</f>
        <v>-50.366853690116528</v>
      </c>
      <c r="J1091" s="9">
        <f>ROUNDUP(H1091+(H1091*Assumptions!I$5),-2)</f>
        <v>117700</v>
      </c>
      <c r="K1091" s="9">
        <f>ROUNDUP(J1091+(J1091*Assumptions!J$5),-2)</f>
        <v>120700</v>
      </c>
      <c r="L1091" s="9">
        <f>ROUNDUP(K1091+(K1091*Assumptions!K$5),-2)</f>
        <v>123800</v>
      </c>
      <c r="M1091" s="9">
        <f>ROUNDUP(L1091+(L1091*Assumptions!L$5),-2)</f>
        <v>126900</v>
      </c>
      <c r="N1091" s="9">
        <f>ROUNDUP(M1091+(M1091*Assumptions!M$5),-2)</f>
        <v>130100</v>
      </c>
      <c r="O1091" s="9">
        <f>ROUNDUP(N1091+(N1091*Assumptions!N$5),-2)</f>
        <v>133400</v>
      </c>
      <c r="P1091" s="9">
        <f>ROUNDUP(O1091+(O1091*Assumptions!O$5),-2)</f>
        <v>136800</v>
      </c>
      <c r="Q1091" s="9">
        <f>ROUNDUP(P1091+(P1091*Assumptions!P$5),-2)</f>
        <v>140300</v>
      </c>
      <c r="R1091" s="9">
        <f>ROUNDUP(Q1091+(Q1091*Assumptions!Q$5),-2)</f>
        <v>143900</v>
      </c>
      <c r="S1091" s="47">
        <f>ROUNDUP(R1091+(R1091*Assumptions!R$5),-2)</f>
        <v>147500</v>
      </c>
    </row>
    <row r="1092" spans="1:19" x14ac:dyDescent="0.2">
      <c r="A1092" s="54">
        <v>0</v>
      </c>
      <c r="B1092" s="9">
        <v>0</v>
      </c>
      <c r="C1092" s="136">
        <v>21500</v>
      </c>
      <c r="D1092" s="136">
        <v>4000</v>
      </c>
      <c r="E1092" s="1442">
        <v>6300</v>
      </c>
      <c r="F1092" s="769" t="s">
        <v>4176</v>
      </c>
      <c r="G1092" s="79" t="s">
        <v>4175</v>
      </c>
      <c r="H1092" s="9">
        <v>7000</v>
      </c>
      <c r="I1092" s="85">
        <f>IF(E1092=H1092,0,IF(E1092=0,100,(H1092-E1092)/E1092*100))</f>
        <v>11.111111111111111</v>
      </c>
      <c r="J1092" s="9">
        <f>ROUNDUP(H1092+(H1092*Assumptions!I$5),-2)</f>
        <v>7200</v>
      </c>
      <c r="K1092" s="9">
        <f>ROUNDUP(J1092+(J1092*Assumptions!J$5),-2)</f>
        <v>7400</v>
      </c>
      <c r="L1092" s="9">
        <f>ROUNDUP(K1092+(K1092*Assumptions!K$5),-2)</f>
        <v>7600</v>
      </c>
      <c r="M1092" s="9">
        <f>ROUNDUP(L1092+(L1092*Assumptions!L$5),-2)</f>
        <v>7800</v>
      </c>
      <c r="N1092" s="9">
        <f>ROUNDUP(M1092+(M1092*Assumptions!M$5),-2)</f>
        <v>8000</v>
      </c>
      <c r="O1092" s="9">
        <f>ROUNDUP(N1092+(N1092*Assumptions!N$5),-2)</f>
        <v>8200</v>
      </c>
      <c r="P1092" s="9">
        <f>ROUNDUP(O1092+(O1092*Assumptions!O$5),-2)</f>
        <v>8500</v>
      </c>
      <c r="Q1092" s="9">
        <f>ROUNDUP(P1092+(P1092*Assumptions!P$5),-2)</f>
        <v>8800</v>
      </c>
      <c r="R1092" s="9">
        <f>ROUNDUP(Q1092+(Q1092*Assumptions!Q$5),-2)</f>
        <v>9100</v>
      </c>
      <c r="S1092" s="47">
        <f>ROUNDUP(R1092+(R1092*Assumptions!R$5),-2)</f>
        <v>9400</v>
      </c>
    </row>
    <row r="1093" spans="1:19" x14ac:dyDescent="0.2">
      <c r="A1093" s="54"/>
      <c r="B1093" s="9"/>
      <c r="E1093" s="1442"/>
      <c r="F1093" s="167"/>
      <c r="G1093" s="63" t="s">
        <v>677</v>
      </c>
      <c r="H1093" s="9"/>
      <c r="I1093" s="85"/>
      <c r="J1093" s="9"/>
      <c r="K1093" s="9"/>
      <c r="L1093" s="9"/>
      <c r="M1093" s="9"/>
      <c r="N1093" s="9"/>
      <c r="O1093" s="9"/>
      <c r="P1093" s="9"/>
      <c r="Q1093" s="9"/>
      <c r="R1093" s="9"/>
      <c r="S1093" s="47"/>
    </row>
    <row r="1094" spans="1:19" x14ac:dyDescent="0.2">
      <c r="A1094" s="54">
        <v>0</v>
      </c>
      <c r="B1094" s="9">
        <v>0</v>
      </c>
      <c r="C1094" s="136">
        <v>0</v>
      </c>
      <c r="D1094" s="136">
        <v>0</v>
      </c>
      <c r="E1094" s="1442">
        <v>0</v>
      </c>
      <c r="F1094" s="134"/>
      <c r="G1094" s="2426" t="s">
        <v>11871</v>
      </c>
      <c r="H1094" s="9">
        <v>6500</v>
      </c>
      <c r="I1094" s="85">
        <f t="shared" ref="I1094:I1095" si="1937">IF(E1094=H1094,0,IF(E1094=0,100,(H1094-E1094)/E1094*100))</f>
        <v>100</v>
      </c>
      <c r="J1094" s="9">
        <v>0</v>
      </c>
      <c r="K1094" s="9">
        <f>ROUNDUP(J1094+(J1094*Assumptions!J$5),-2)</f>
        <v>0</v>
      </c>
      <c r="L1094" s="9">
        <f>ROUNDUP(K1094+(K1094*Assumptions!K$5),-2)</f>
        <v>0</v>
      </c>
      <c r="M1094" s="9">
        <f>ROUNDUP(L1094+(L1094*Assumptions!L$5),-2)</f>
        <v>0</v>
      </c>
      <c r="N1094" s="9">
        <f>ROUNDUP(M1094+(M1094*Assumptions!M$5),-2)</f>
        <v>0</v>
      </c>
      <c r="O1094" s="9">
        <f>ROUNDUP(N1094+(N1094*Assumptions!N$5),-2)</f>
        <v>0</v>
      </c>
      <c r="P1094" s="9">
        <f>ROUNDUP(O1094+(O1094*Assumptions!O$5),-2)</f>
        <v>0</v>
      </c>
      <c r="Q1094" s="9">
        <f>ROUNDUP(P1094+(P1094*Assumptions!P$5),-2)</f>
        <v>0</v>
      </c>
      <c r="R1094" s="9">
        <f>ROUNDUP(Q1094+(Q1094*Assumptions!Q$5),-2)</f>
        <v>0</v>
      </c>
      <c r="S1094" s="47">
        <f>ROUNDUP(R1094+(R1094*Assumptions!R$5),-2)</f>
        <v>0</v>
      </c>
    </row>
    <row r="1095" spans="1:19" x14ac:dyDescent="0.2">
      <c r="A1095" s="54">
        <v>0</v>
      </c>
      <c r="B1095" s="9">
        <v>0</v>
      </c>
      <c r="C1095" s="136">
        <v>0</v>
      </c>
      <c r="D1095" s="136">
        <v>0</v>
      </c>
      <c r="E1095" s="1442">
        <v>0</v>
      </c>
      <c r="F1095" s="773" t="s">
        <v>11873</v>
      </c>
      <c r="G1095" s="2426" t="s">
        <v>11872</v>
      </c>
      <c r="H1095" s="9">
        <v>24000</v>
      </c>
      <c r="I1095" s="85">
        <f t="shared" si="1937"/>
        <v>100</v>
      </c>
      <c r="J1095" s="9">
        <v>0</v>
      </c>
      <c r="K1095" s="9">
        <f>ROUNDUP(J1095+(J1095*Assumptions!J$5),-2)</f>
        <v>0</v>
      </c>
      <c r="L1095" s="9">
        <f>ROUNDUP(K1095+(K1095*Assumptions!K$5),-2)</f>
        <v>0</v>
      </c>
      <c r="M1095" s="9">
        <f>ROUNDUP(L1095+(L1095*Assumptions!L$5),-2)</f>
        <v>0</v>
      </c>
      <c r="N1095" s="9">
        <f>ROUNDUP(M1095+(M1095*Assumptions!M$5),-2)</f>
        <v>0</v>
      </c>
      <c r="O1095" s="9">
        <f>ROUNDUP(N1095+(N1095*Assumptions!N$5),-2)</f>
        <v>0</v>
      </c>
      <c r="P1095" s="9">
        <f>ROUNDUP(O1095+(O1095*Assumptions!O$5),-2)</f>
        <v>0</v>
      </c>
      <c r="Q1095" s="9">
        <f>ROUNDUP(P1095+(P1095*Assumptions!P$5),-2)</f>
        <v>0</v>
      </c>
      <c r="R1095" s="9">
        <f>ROUNDUP(Q1095+(Q1095*Assumptions!Q$5),-2)</f>
        <v>0</v>
      </c>
      <c r="S1095" s="47">
        <f>ROUNDUP(R1095+(R1095*Assumptions!R$5),-2)</f>
        <v>0</v>
      </c>
    </row>
    <row r="1096" spans="1:19" x14ac:dyDescent="0.2">
      <c r="A1096" s="54">
        <v>98000</v>
      </c>
      <c r="B1096" s="9">
        <v>98000</v>
      </c>
      <c r="C1096" s="136">
        <v>98000</v>
      </c>
      <c r="D1096" s="136">
        <v>98000</v>
      </c>
      <c r="E1096" s="1442">
        <v>98000</v>
      </c>
      <c r="F1096" s="469" t="s">
        <v>1848</v>
      </c>
      <c r="G1096" s="385" t="s">
        <v>713</v>
      </c>
      <c r="H1096" s="9">
        <v>100000</v>
      </c>
      <c r="I1096" s="85">
        <f>IF(E1096=H1096,0,IF(E1096=0,100,(H1096-E1096)/E1096*100))</f>
        <v>2.0408163265306123</v>
      </c>
      <c r="J1096" s="9">
        <f>ROUNDUP(H1096+(H1096*Assumptions!I$5),-2)</f>
        <v>102300</v>
      </c>
      <c r="K1096" s="9">
        <f>ROUNDUP(J1096+(J1096*Assumptions!J$5),-2)</f>
        <v>104900</v>
      </c>
      <c r="L1096" s="9">
        <f>ROUNDUP(K1096+(K1096*Assumptions!K$5),-2)</f>
        <v>107600</v>
      </c>
      <c r="M1096" s="9">
        <f>ROUNDUP(L1096+(L1096*Assumptions!L$5),-2)</f>
        <v>110300</v>
      </c>
      <c r="N1096" s="9">
        <f>ROUNDUP(M1096+(M1096*Assumptions!M$5),-2)</f>
        <v>113100</v>
      </c>
      <c r="O1096" s="9">
        <f>ROUNDUP(N1096+(N1096*Assumptions!N$5),-2)</f>
        <v>116000</v>
      </c>
      <c r="P1096" s="9">
        <f>ROUNDUP(O1096+(O1096*Assumptions!O$5),-2)</f>
        <v>118900</v>
      </c>
      <c r="Q1096" s="9">
        <f>ROUNDUP(P1096+(P1096*Assumptions!P$5),-2)</f>
        <v>121900</v>
      </c>
      <c r="R1096" s="9">
        <f>ROUNDUP(Q1096+(Q1096*Assumptions!Q$5),-2)</f>
        <v>125000</v>
      </c>
      <c r="S1096" s="47">
        <f>ROUNDUP(R1096+(R1096*Assumptions!R$5),-2)</f>
        <v>128200</v>
      </c>
    </row>
    <row r="1097" spans="1:19" x14ac:dyDescent="0.2">
      <c r="A1097" s="54">
        <v>25700</v>
      </c>
      <c r="B1097" s="9">
        <v>48200</v>
      </c>
      <c r="C1097" s="136">
        <v>44600</v>
      </c>
      <c r="D1097" s="136">
        <v>40000</v>
      </c>
      <c r="E1097" s="1442">
        <v>35100</v>
      </c>
      <c r="F1097" s="769" t="s">
        <v>2891</v>
      </c>
      <c r="G1097" s="79" t="s">
        <v>2890</v>
      </c>
      <c r="H1097" s="9">
        <v>29200</v>
      </c>
      <c r="I1097" s="85">
        <f>IF(E1097=H1097,0,IF(E1097=0,100,(H1097-E1097)/E1097*100))</f>
        <v>-16.809116809116809</v>
      </c>
      <c r="J1097" s="9">
        <v>24000</v>
      </c>
      <c r="K1097" s="9">
        <v>18500</v>
      </c>
      <c r="L1097" s="9">
        <v>12800</v>
      </c>
      <c r="M1097" s="9">
        <v>6900</v>
      </c>
      <c r="N1097" s="9">
        <v>1100</v>
      </c>
      <c r="O1097" s="9">
        <v>0</v>
      </c>
      <c r="P1097" s="9">
        <v>0</v>
      </c>
      <c r="Q1097" s="9">
        <v>0</v>
      </c>
      <c r="R1097" s="9">
        <v>0</v>
      </c>
      <c r="S1097" s="47">
        <v>0</v>
      </c>
    </row>
    <row r="1098" spans="1:19" x14ac:dyDescent="0.2">
      <c r="A1098" s="54">
        <v>39600</v>
      </c>
      <c r="B1098" s="9">
        <f>55500-B1097</f>
        <v>7300</v>
      </c>
      <c r="C1098" s="136">
        <f>2600+6300+1000+300+8800</f>
        <v>19000</v>
      </c>
      <c r="D1098" s="136">
        <v>0</v>
      </c>
      <c r="E1098" s="1442">
        <v>0</v>
      </c>
      <c r="F1098" s="769" t="s">
        <v>4061</v>
      </c>
      <c r="G1098" s="385" t="s">
        <v>1460</v>
      </c>
      <c r="H1098" s="9">
        <v>0</v>
      </c>
      <c r="I1098" s="85">
        <f>IF(E1098=H1098,0,IF(E1098=0,100,(H1098-E1098)/E1098*100))</f>
        <v>0</v>
      </c>
      <c r="J1098" s="9">
        <f>ROUNDUP(H1098+(H1098*Assumptions!I$5),-2)</f>
        <v>0</v>
      </c>
      <c r="K1098" s="9">
        <f>ROUNDUP(J1098+(J1098*Assumptions!J$5),-2)</f>
        <v>0</v>
      </c>
      <c r="L1098" s="9">
        <f>ROUNDUP(K1098+(K1098*Assumptions!K$5),-2)</f>
        <v>0</v>
      </c>
      <c r="M1098" s="9">
        <f>ROUNDUP(L1098+(L1098*Assumptions!L$5),-2)</f>
        <v>0</v>
      </c>
      <c r="N1098" s="9">
        <f>ROUNDUP(M1098+(M1098*Assumptions!M$5),-2)</f>
        <v>0</v>
      </c>
      <c r="O1098" s="9">
        <f>ROUNDUP(N1098+(N1098*Assumptions!N$5),-2)</f>
        <v>0</v>
      </c>
      <c r="P1098" s="9">
        <f>ROUNDUP(O1098+(O1098*Assumptions!O$5),-2)</f>
        <v>0</v>
      </c>
      <c r="Q1098" s="9">
        <f>ROUNDUP(P1098+(P1098*Assumptions!P$5),-2)</f>
        <v>0</v>
      </c>
      <c r="R1098" s="9">
        <f>ROUNDUP(Q1098+(Q1098*Assumptions!Q$5),-2)</f>
        <v>0</v>
      </c>
      <c r="S1098" s="47">
        <f>ROUNDUP(R1098+(R1098*Assumptions!R$5),-2)</f>
        <v>0</v>
      </c>
    </row>
    <row r="1099" spans="1:19" x14ac:dyDescent="0.2">
      <c r="A1099" s="54">
        <v>0</v>
      </c>
      <c r="B1099" s="9">
        <v>0</v>
      </c>
      <c r="C1099" s="136">
        <v>10000</v>
      </c>
      <c r="D1099" s="136">
        <v>0</v>
      </c>
      <c r="E1099" s="1442">
        <v>10600</v>
      </c>
      <c r="F1099" s="769" t="s">
        <v>6422</v>
      </c>
      <c r="G1099" s="661" t="s">
        <v>6421</v>
      </c>
      <c r="H1099" s="9">
        <v>19400</v>
      </c>
      <c r="I1099" s="85">
        <f>IF(E1099=H1099,0,IF(E1099=0,100,(H1099-E1099)/E1099*100))</f>
        <v>83.018867924528308</v>
      </c>
      <c r="J1099" s="9">
        <f>ROUNDUP(H1099+(H1099*Assumptions!I$5),-2)-19900</f>
        <v>0</v>
      </c>
      <c r="K1099" s="9">
        <f>ROUNDUP(J1099+(J1099*Assumptions!J$5),-2)</f>
        <v>0</v>
      </c>
      <c r="L1099" s="9">
        <f>ROUNDUP(K1099+(K1099*Assumptions!K$5),-2)</f>
        <v>0</v>
      </c>
      <c r="M1099" s="9">
        <f>ROUNDUP(L1099+(L1099*Assumptions!L$5),-2)</f>
        <v>0</v>
      </c>
      <c r="N1099" s="9">
        <f>ROUNDUP(M1099+(M1099*Assumptions!M$5),-2)</f>
        <v>0</v>
      </c>
      <c r="O1099" s="9">
        <f>ROUNDUP(N1099+(N1099*Assumptions!N$5),-2)</f>
        <v>0</v>
      </c>
      <c r="P1099" s="9">
        <f>ROUNDUP(O1099+(O1099*Assumptions!O$5),-2)</f>
        <v>0</v>
      </c>
      <c r="Q1099" s="9">
        <f>ROUNDUP(P1099+(P1099*Assumptions!P$5),-2)</f>
        <v>0</v>
      </c>
      <c r="R1099" s="9">
        <f>ROUNDUP(Q1099+(Q1099*Assumptions!Q$5),-2)</f>
        <v>0</v>
      </c>
      <c r="S1099" s="47">
        <f>ROUNDUP(R1099+(R1099*Assumptions!R$5),-2)</f>
        <v>0</v>
      </c>
    </row>
    <row r="1100" spans="1:19" x14ac:dyDescent="0.2">
      <c r="A1100" s="54">
        <v>0</v>
      </c>
      <c r="B1100" s="9">
        <v>0</v>
      </c>
      <c r="C1100" s="136">
        <v>0</v>
      </c>
      <c r="D1100" s="136">
        <v>0</v>
      </c>
      <c r="E1100" s="1442">
        <v>6600</v>
      </c>
      <c r="F1100" s="769" t="s">
        <v>7063</v>
      </c>
      <c r="G1100" s="661" t="s">
        <v>7083</v>
      </c>
      <c r="H1100" s="9">
        <v>0</v>
      </c>
      <c r="I1100" s="85">
        <f>IF(E1100=H1100,0,IF(E1100=0,100,(H1100-E1100)/E1100*100))</f>
        <v>-100</v>
      </c>
      <c r="J1100" s="9">
        <f>ROUNDUP(H1100+(H1100*Assumptions!I$5),-2)</f>
        <v>0</v>
      </c>
      <c r="K1100" s="9">
        <f>ROUNDUP(J1100+(J1100*Assumptions!J$5),-2)</f>
        <v>0</v>
      </c>
      <c r="L1100" s="9">
        <f>ROUNDUP(K1100+(K1100*Assumptions!K$5),-2)</f>
        <v>0</v>
      </c>
      <c r="M1100" s="9">
        <f>ROUNDUP(L1100+(L1100*Assumptions!L$5),-2)</f>
        <v>0</v>
      </c>
      <c r="N1100" s="9">
        <f>ROUNDUP(M1100+(M1100*Assumptions!M$5),-2)</f>
        <v>0</v>
      </c>
      <c r="O1100" s="9">
        <f>ROUNDUP(N1100+(N1100*Assumptions!N$5),-2)</f>
        <v>0</v>
      </c>
      <c r="P1100" s="9">
        <f>ROUNDUP(O1100+(O1100*Assumptions!O$5),-2)</f>
        <v>0</v>
      </c>
      <c r="Q1100" s="9">
        <f>ROUNDUP(P1100+(P1100*Assumptions!P$5),-2)</f>
        <v>0</v>
      </c>
      <c r="R1100" s="9">
        <f>ROUNDUP(Q1100+(Q1100*Assumptions!Q$5),-2)</f>
        <v>0</v>
      </c>
      <c r="S1100" s="47">
        <f>ROUNDUP(R1100+(R1100*Assumptions!R$5),-2)</f>
        <v>0</v>
      </c>
    </row>
    <row r="1101" spans="1:19" x14ac:dyDescent="0.2">
      <c r="A1101" s="54"/>
      <c r="B1101" s="9"/>
      <c r="E1101" s="1442"/>
      <c r="F1101" s="769"/>
      <c r="G1101" s="63" t="s">
        <v>420</v>
      </c>
      <c r="H1101" s="9"/>
      <c r="I1101" s="85"/>
      <c r="J1101" s="9"/>
      <c r="K1101" s="9"/>
      <c r="L1101" s="9"/>
      <c r="M1101" s="9"/>
      <c r="N1101" s="9"/>
      <c r="O1101" s="9"/>
      <c r="P1101" s="9"/>
      <c r="Q1101" s="9"/>
      <c r="R1101" s="9"/>
      <c r="S1101" s="47"/>
    </row>
    <row r="1102" spans="1:19" x14ac:dyDescent="0.2">
      <c r="A1102" s="54">
        <v>0</v>
      </c>
      <c r="B1102" s="9">
        <v>0</v>
      </c>
      <c r="C1102" s="136">
        <v>0</v>
      </c>
      <c r="D1102" s="136">
        <v>8000</v>
      </c>
      <c r="E1102" s="1442">
        <v>7300</v>
      </c>
      <c r="F1102" s="769" t="s">
        <v>6601</v>
      </c>
      <c r="G1102" s="79" t="s">
        <v>6602</v>
      </c>
      <c r="H1102" s="9">
        <v>0</v>
      </c>
      <c r="I1102" s="85">
        <f>IF(E1102=H1102,0,IF(E1102=0,100,(H1102-E1102)/E1102*100))</f>
        <v>-100</v>
      </c>
      <c r="J1102" s="9">
        <f>ROUNDUP(H1102+(H1102*Assumptions!I$5),-2)</f>
        <v>0</v>
      </c>
      <c r="K1102" s="9">
        <f>ROUNDUP(J1102+(J1102*Assumptions!J$5),-2)</f>
        <v>0</v>
      </c>
      <c r="L1102" s="9">
        <f>ROUNDUP(K1102+(K1102*Assumptions!K$5),-2)</f>
        <v>0</v>
      </c>
      <c r="M1102" s="9">
        <f>ROUNDUP(L1102+(L1102*Assumptions!L$5),-2)</f>
        <v>0</v>
      </c>
      <c r="N1102" s="9">
        <f>ROUNDUP(M1102+(M1102*Assumptions!M$5),-2)</f>
        <v>0</v>
      </c>
      <c r="O1102" s="9">
        <f>ROUNDUP(N1102+(N1102*Assumptions!N$5),-2)</f>
        <v>0</v>
      </c>
      <c r="P1102" s="9">
        <f>ROUNDUP(O1102+(O1102*Assumptions!O$5),-2)</f>
        <v>0</v>
      </c>
      <c r="Q1102" s="9">
        <f>ROUNDUP(P1102+(P1102*Assumptions!P$5),-2)</f>
        <v>0</v>
      </c>
      <c r="R1102" s="9">
        <f>ROUNDUP(Q1102+(Q1102*Assumptions!Q$5),-2)</f>
        <v>0</v>
      </c>
      <c r="S1102" s="47">
        <f>ROUNDUP(R1102+(R1102*Assumptions!R$5),-2)</f>
        <v>0</v>
      </c>
    </row>
    <row r="1103" spans="1:19" x14ac:dyDescent="0.2">
      <c r="A1103" s="54">
        <v>5500</v>
      </c>
      <c r="B1103" s="9">
        <v>5600</v>
      </c>
      <c r="C1103" s="136">
        <v>5800</v>
      </c>
      <c r="D1103" s="136">
        <v>0</v>
      </c>
      <c r="E1103" s="1442">
        <v>8900</v>
      </c>
      <c r="F1103" s="469" t="s">
        <v>2347</v>
      </c>
      <c r="G1103" s="9" t="s">
        <v>1760</v>
      </c>
      <c r="H1103" s="9">
        <v>12000</v>
      </c>
      <c r="I1103" s="85">
        <f>IF(E1103=H1103,0,IF(E1103=0,100,(H1103-E1103)/E1103*100))</f>
        <v>34.831460674157306</v>
      </c>
      <c r="J1103" s="9">
        <f>ROUNDUP(H1103+(H1103*Assumptions!I$5),-2)</f>
        <v>12300</v>
      </c>
      <c r="K1103" s="9">
        <f>ROUNDUP(J1103+(J1103*Assumptions!J$5),-2)</f>
        <v>12700</v>
      </c>
      <c r="L1103" s="9">
        <f>ROUNDUP(K1103+(K1103*Assumptions!K$5),-2)</f>
        <v>13100</v>
      </c>
      <c r="M1103" s="9">
        <f>ROUNDUP(L1103+(L1103*Assumptions!L$5),-2)</f>
        <v>13500</v>
      </c>
      <c r="N1103" s="9">
        <f>ROUNDUP(M1103+(M1103*Assumptions!M$5),-2)</f>
        <v>13900</v>
      </c>
      <c r="O1103" s="9">
        <f>ROUNDUP(N1103+(N1103*Assumptions!N$5),-2)</f>
        <v>14300</v>
      </c>
      <c r="P1103" s="9">
        <f>ROUNDUP(O1103+(O1103*Assumptions!O$5),-2)</f>
        <v>14700</v>
      </c>
      <c r="Q1103" s="9">
        <f>ROUNDUP(P1103+(P1103*Assumptions!P$5),-2)</f>
        <v>15100</v>
      </c>
      <c r="R1103" s="9">
        <f>ROUNDUP(Q1103+(Q1103*Assumptions!Q$5),-2)</f>
        <v>15500</v>
      </c>
      <c r="S1103" s="47">
        <f>ROUNDUP(R1103+(R1103*Assumptions!R$5),-2)</f>
        <v>15900</v>
      </c>
    </row>
    <row r="1104" spans="1:19" ht="13.5" thickBot="1" x14ac:dyDescent="0.25">
      <c r="A1104" s="54">
        <v>0</v>
      </c>
      <c r="B1104" s="9">
        <f>56500-B1103</f>
        <v>50900</v>
      </c>
      <c r="C1104" s="136">
        <f>55400-5800</f>
        <v>49600</v>
      </c>
      <c r="D1104" s="136">
        <v>33100</v>
      </c>
      <c r="E1104" s="1442">
        <f>48300-E1102-E1103</f>
        <v>32100</v>
      </c>
      <c r="F1104" s="769" t="s">
        <v>7228</v>
      </c>
      <c r="G1104" s="79" t="s">
        <v>420</v>
      </c>
      <c r="H1104" s="9">
        <v>0</v>
      </c>
      <c r="I1104" s="85">
        <f>IF(E1104=H1104,0,IF(E1104=0,100,(H1104-E1104)/E1104*100))</f>
        <v>-100</v>
      </c>
      <c r="J1104" s="9">
        <f>ROUNDUP(H1104+(H1104*Assumptions!I$5),-2)</f>
        <v>0</v>
      </c>
      <c r="K1104" s="9">
        <f>ROUNDUP(J1104+(J1104*Assumptions!J$5),-2)</f>
        <v>0</v>
      </c>
      <c r="L1104" s="9">
        <f>ROUNDUP(K1104+(K1104*Assumptions!K$5),-2)</f>
        <v>0</v>
      </c>
      <c r="M1104" s="9">
        <f>ROUNDUP(L1104+(L1104*Assumptions!L$5),-2)</f>
        <v>0</v>
      </c>
      <c r="N1104" s="9">
        <f>ROUNDUP(M1104+(M1104*Assumptions!M$5),-2)</f>
        <v>0</v>
      </c>
      <c r="O1104" s="9">
        <f>ROUNDUP(N1104+(N1104*Assumptions!N$5),-2)</f>
        <v>0</v>
      </c>
      <c r="P1104" s="9">
        <f>ROUNDUP(O1104+(O1104*Assumptions!O$5),-2)</f>
        <v>0</v>
      </c>
      <c r="Q1104" s="9">
        <f>ROUNDUP(P1104+(P1104*Assumptions!P$5),-2)</f>
        <v>0</v>
      </c>
      <c r="R1104" s="9">
        <f>ROUNDUP(Q1104+(Q1104*Assumptions!Q$5),-2)</f>
        <v>0</v>
      </c>
      <c r="S1104" s="47">
        <f>ROUNDUP(R1104+(R1104*Assumptions!R$5),-2)</f>
        <v>0</v>
      </c>
    </row>
    <row r="1105" spans="1:21" s="39" customFormat="1" x14ac:dyDescent="0.2">
      <c r="A1105" s="52">
        <f>SUM(A1089:A1104)</f>
        <v>224100</v>
      </c>
      <c r="B1105" s="16">
        <f>SUM(B1089:B1104)</f>
        <v>458400</v>
      </c>
      <c r="C1105" s="137">
        <f>SUM(C1089:C1104)</f>
        <v>417100</v>
      </c>
      <c r="D1105" s="137">
        <f>SUM(D1089:D1104)</f>
        <v>907100</v>
      </c>
      <c r="E1105" s="1443">
        <f>SUM(E1089:E1104)</f>
        <v>436600</v>
      </c>
      <c r="F1105" s="173"/>
      <c r="G1105" s="267" t="s">
        <v>2561</v>
      </c>
      <c r="H1105" s="16">
        <f t="shared" ref="H1105:Q1105" si="1938">SUM(H1089:H1104)</f>
        <v>313100</v>
      </c>
      <c r="I1105" s="127">
        <f>IF(E1105=H1105,0,IF(E1105=0,100,(H1105-E1105)/E1105*100))</f>
        <v>-28.286761337608795</v>
      </c>
      <c r="J1105" s="16">
        <f t="shared" si="1938"/>
        <v>263500</v>
      </c>
      <c r="K1105" s="16">
        <f t="shared" si="1938"/>
        <v>264200</v>
      </c>
      <c r="L1105" s="16">
        <f t="shared" si="1938"/>
        <v>264900</v>
      </c>
      <c r="M1105" s="16">
        <f t="shared" si="1938"/>
        <v>265400</v>
      </c>
      <c r="N1105" s="16">
        <f t="shared" si="1938"/>
        <v>266200</v>
      </c>
      <c r="O1105" s="16">
        <f t="shared" si="1938"/>
        <v>271900</v>
      </c>
      <c r="P1105" s="16">
        <f t="shared" si="1938"/>
        <v>278900</v>
      </c>
      <c r="Q1105" s="16">
        <f t="shared" si="1938"/>
        <v>286100</v>
      </c>
      <c r="R1105" s="16">
        <f t="shared" ref="R1105" si="1939">SUM(R1089:R1104)</f>
        <v>293500</v>
      </c>
      <c r="S1105" s="2342">
        <f t="shared" ref="S1105" si="1940">SUM(S1089:S1104)</f>
        <v>301000</v>
      </c>
      <c r="U1105" s="34"/>
    </row>
    <row r="1106" spans="1:21" x14ac:dyDescent="0.2">
      <c r="A1106" s="54"/>
      <c r="B1106" s="9"/>
      <c r="E1106" s="1442"/>
      <c r="F1106" s="167"/>
      <c r="G1106" s="256" t="s">
        <v>2169</v>
      </c>
      <c r="H1106" s="9"/>
      <c r="I1106" s="85"/>
      <c r="J1106" s="9"/>
      <c r="K1106" s="9"/>
      <c r="L1106" s="9"/>
      <c r="M1106" s="9"/>
      <c r="N1106" s="9"/>
      <c r="O1106" s="9"/>
      <c r="P1106" s="9"/>
      <c r="Q1106" s="9"/>
      <c r="R1106" s="9"/>
      <c r="S1106" s="47"/>
    </row>
    <row r="1107" spans="1:21" x14ac:dyDescent="0.2">
      <c r="A1107" s="54"/>
      <c r="B1107" s="9"/>
      <c r="E1107" s="1442"/>
      <c r="F1107" s="2065"/>
      <c r="G1107" s="419" t="s">
        <v>713</v>
      </c>
      <c r="H1107" s="9"/>
      <c r="I1107" s="85"/>
      <c r="J1107" s="9"/>
      <c r="K1107" s="9"/>
      <c r="L1107" s="9"/>
      <c r="M1107" s="9"/>
      <c r="N1107" s="9"/>
      <c r="O1107" s="9"/>
      <c r="P1107" s="9"/>
      <c r="Q1107" s="9"/>
      <c r="R1107" s="9"/>
      <c r="S1107" s="47"/>
    </row>
    <row r="1108" spans="1:21" x14ac:dyDescent="0.2">
      <c r="A1108" s="54">
        <v>406700</v>
      </c>
      <c r="B1108" s="9">
        <v>450300</v>
      </c>
      <c r="C1108" s="136">
        <v>505800</v>
      </c>
      <c r="D1108" s="136">
        <v>469400</v>
      </c>
      <c r="E1108" s="1442">
        <v>585900</v>
      </c>
      <c r="F1108" s="769" t="s">
        <v>882</v>
      </c>
      <c r="G1108" s="79" t="s">
        <v>2955</v>
      </c>
      <c r="H1108" s="9">
        <v>540000</v>
      </c>
      <c r="I1108" s="85">
        <f>IF(E1108=H1108,0,IF(E1108=0,100,(H1108-E1108)/E1108*100))</f>
        <v>-7.8341013824884786</v>
      </c>
      <c r="J1108" s="9">
        <f>ROUNDUP(H1108+(H1108*Assumptions!I$5),-2)</f>
        <v>552500</v>
      </c>
      <c r="K1108" s="9">
        <f>ROUNDUP(J1108+(J1108*Assumptions!J$5),-2)</f>
        <v>566400</v>
      </c>
      <c r="L1108" s="9">
        <f>ROUNDUP(K1108+(K1108*Assumptions!K$5),-2)</f>
        <v>580600</v>
      </c>
      <c r="M1108" s="9">
        <f>ROUNDUP(L1108+(L1108*Assumptions!L$5),-2)</f>
        <v>595200</v>
      </c>
      <c r="N1108" s="9">
        <f>ROUNDUP(M1108+(M1108*Assumptions!M$5),-2)</f>
        <v>610100</v>
      </c>
      <c r="O1108" s="9">
        <f>ROUNDUP(N1108+(N1108*Assumptions!N$5),-2)</f>
        <v>625400</v>
      </c>
      <c r="P1108" s="9">
        <f>ROUNDUP(O1108+(O1108*Assumptions!O$5),-2)</f>
        <v>641100</v>
      </c>
      <c r="Q1108" s="9">
        <f>ROUNDUP(P1108+(P1108*Assumptions!P$5),-2)</f>
        <v>657200</v>
      </c>
      <c r="R1108" s="9">
        <f>ROUNDUP(Q1108+(Q1108*Assumptions!Q$5),-2)</f>
        <v>673700</v>
      </c>
      <c r="S1108" s="47">
        <f>ROUNDUP(R1108+(R1108*Assumptions!R$5),-2)</f>
        <v>690600</v>
      </c>
    </row>
    <row r="1109" spans="1:21" x14ac:dyDescent="0.2">
      <c r="A1109" s="54">
        <v>0</v>
      </c>
      <c r="B1109" s="9">
        <v>0</v>
      </c>
      <c r="C1109" s="136">
        <v>0</v>
      </c>
      <c r="D1109" s="136">
        <v>0</v>
      </c>
      <c r="E1109" s="1442">
        <v>0</v>
      </c>
      <c r="F1109" s="769" t="s">
        <v>7229</v>
      </c>
      <c r="G1109" s="79" t="s">
        <v>6962</v>
      </c>
      <c r="H1109" s="9">
        <v>5000</v>
      </c>
      <c r="I1109" s="85">
        <f>IF(E1109=H1109,0,IF(E1109=0,100,(H1109-E1109)/E1109*100))</f>
        <v>100</v>
      </c>
      <c r="J1109" s="9">
        <f>ROUNDUP(H1109+(H1109*Assumptions!I$5),-2)</f>
        <v>5200</v>
      </c>
      <c r="K1109" s="9">
        <f>ROUNDUP(J1109+(J1109*Assumptions!J$5),-2)</f>
        <v>5400</v>
      </c>
      <c r="L1109" s="9">
        <f>ROUNDUP(K1109+(K1109*Assumptions!K$5),-2)</f>
        <v>5600</v>
      </c>
      <c r="M1109" s="9">
        <f>ROUNDUP(L1109+(L1109*Assumptions!L$5),-2)</f>
        <v>5800</v>
      </c>
      <c r="N1109" s="9">
        <f>ROUNDUP(M1109+(M1109*Assumptions!M$5),-2)</f>
        <v>6000</v>
      </c>
      <c r="O1109" s="9">
        <f>ROUNDUP(N1109+(N1109*Assumptions!N$5),-2)</f>
        <v>6200</v>
      </c>
      <c r="P1109" s="9">
        <f>ROUNDUP(O1109+(O1109*Assumptions!O$5),-2)</f>
        <v>6400</v>
      </c>
      <c r="Q1109" s="9">
        <f>ROUNDUP(P1109+(P1109*Assumptions!P$5),-2)</f>
        <v>6600</v>
      </c>
      <c r="R1109" s="9">
        <f>ROUNDUP(Q1109+(Q1109*Assumptions!Q$5),-2)</f>
        <v>6800</v>
      </c>
      <c r="S1109" s="47">
        <f>ROUNDUP(R1109+(R1109*Assumptions!R$5),-2)</f>
        <v>7000</v>
      </c>
    </row>
    <row r="1110" spans="1:21" x14ac:dyDescent="0.2">
      <c r="A1110" s="54">
        <v>0</v>
      </c>
      <c r="B1110" s="9">
        <v>0</v>
      </c>
      <c r="C1110" s="136">
        <v>0</v>
      </c>
      <c r="D1110" s="136">
        <v>0</v>
      </c>
      <c r="E1110" s="1442">
        <v>0</v>
      </c>
      <c r="F1110" s="769" t="s">
        <v>7230</v>
      </c>
      <c r="G1110" s="79" t="s">
        <v>6963</v>
      </c>
      <c r="H1110" s="9">
        <v>5000</v>
      </c>
      <c r="I1110" s="85">
        <f>IF(E1110=H1110,0,IF(E1110=0,100,(H1110-E1110)/E1110*100))</f>
        <v>100</v>
      </c>
      <c r="J1110" s="9">
        <f>ROUNDUP(H1110+(H1110*Assumptions!I$5),-2)</f>
        <v>5200</v>
      </c>
      <c r="K1110" s="9">
        <f>ROUNDUP(J1110+(J1110*Assumptions!J$5),-2)</f>
        <v>5400</v>
      </c>
      <c r="L1110" s="9">
        <f>ROUNDUP(K1110+(K1110*Assumptions!K$5),-2)</f>
        <v>5600</v>
      </c>
      <c r="M1110" s="9">
        <f>ROUNDUP(L1110+(L1110*Assumptions!L$5),-2)</f>
        <v>5800</v>
      </c>
      <c r="N1110" s="9">
        <f>ROUNDUP(M1110+(M1110*Assumptions!M$5),-2)</f>
        <v>6000</v>
      </c>
      <c r="O1110" s="9">
        <f>ROUNDUP(N1110+(N1110*Assumptions!N$5),-2)</f>
        <v>6200</v>
      </c>
      <c r="P1110" s="9">
        <f>ROUNDUP(O1110+(O1110*Assumptions!O$5),-2)</f>
        <v>6400</v>
      </c>
      <c r="Q1110" s="9">
        <f>ROUNDUP(P1110+(P1110*Assumptions!P$5),-2)</f>
        <v>6600</v>
      </c>
      <c r="R1110" s="9">
        <f>ROUNDUP(Q1110+(Q1110*Assumptions!Q$5),-2)</f>
        <v>6800</v>
      </c>
      <c r="S1110" s="47">
        <f>ROUNDUP(R1110+(R1110*Assumptions!R$5),-2)</f>
        <v>7000</v>
      </c>
    </row>
    <row r="1111" spans="1:21" x14ac:dyDescent="0.2">
      <c r="A1111" s="54"/>
      <c r="B1111" s="9"/>
      <c r="E1111" s="1442"/>
      <c r="F1111" s="469"/>
      <c r="G1111" s="419" t="s">
        <v>2471</v>
      </c>
      <c r="H1111" s="9"/>
      <c r="I1111" s="85"/>
      <c r="J1111" s="9"/>
      <c r="K1111" s="9"/>
      <c r="L1111" s="9"/>
      <c r="M1111" s="9"/>
      <c r="N1111" s="9"/>
      <c r="O1111" s="9"/>
      <c r="P1111" s="9"/>
      <c r="Q1111" s="9"/>
      <c r="R1111" s="9"/>
      <c r="S1111" s="47"/>
    </row>
    <row r="1112" spans="1:21" x14ac:dyDescent="0.2">
      <c r="A1112" s="54">
        <v>84600</v>
      </c>
      <c r="B1112" s="9">
        <v>78500</v>
      </c>
      <c r="C1112" s="136">
        <v>40400</v>
      </c>
      <c r="D1112" s="136">
        <f>-4000+200+12400</f>
        <v>8600</v>
      </c>
      <c r="E1112" s="1442">
        <f>48400+7100</f>
        <v>55500</v>
      </c>
      <c r="F1112" s="769" t="s">
        <v>9304</v>
      </c>
      <c r="G1112" s="385" t="s">
        <v>1193</v>
      </c>
      <c r="H1112" s="9">
        <f>65400-5400</f>
        <v>60000</v>
      </c>
      <c r="I1112" s="85">
        <f t="shared" ref="I1112:I1117" si="1941">IF(E1112=H1112,0,IF(E1112=0,100,(H1112-E1112)/E1112*100))</f>
        <v>8.1081081081081088</v>
      </c>
      <c r="J1112" s="9">
        <f>ROUNDUP(H1112+(H1112*Assumptions!I$5),-2)</f>
        <v>61400</v>
      </c>
      <c r="K1112" s="9">
        <f>ROUNDUP(J1112+(J1112*Assumptions!J$5),-2)</f>
        <v>63000</v>
      </c>
      <c r="L1112" s="9">
        <f>ROUNDUP(K1112+(K1112*Assumptions!K$5),-2)</f>
        <v>64600</v>
      </c>
      <c r="M1112" s="9">
        <f>ROUNDUP(L1112+(L1112*Assumptions!L$5),-2)</f>
        <v>66300</v>
      </c>
      <c r="N1112" s="9">
        <f>ROUNDUP(M1112+(M1112*Assumptions!M$5),-2)</f>
        <v>68000</v>
      </c>
      <c r="O1112" s="9">
        <f>ROUNDUP(N1112+(N1112*Assumptions!N$5),-2)</f>
        <v>69700</v>
      </c>
      <c r="P1112" s="9">
        <f>ROUNDUP(O1112+(O1112*Assumptions!O$5),-2)</f>
        <v>71500</v>
      </c>
      <c r="Q1112" s="9">
        <f>ROUNDUP(P1112+(P1112*Assumptions!P$5),-2)</f>
        <v>73300</v>
      </c>
      <c r="R1112" s="9">
        <f>ROUNDUP(Q1112+(Q1112*Assumptions!Q$5),-2)</f>
        <v>75200</v>
      </c>
      <c r="S1112" s="47">
        <f>ROUNDUP(R1112+(R1112*Assumptions!R$5),-2)</f>
        <v>77100</v>
      </c>
    </row>
    <row r="1113" spans="1:21" x14ac:dyDescent="0.2">
      <c r="A1113" s="54">
        <v>7900</v>
      </c>
      <c r="B1113" s="9">
        <v>18700</v>
      </c>
      <c r="C1113" s="136">
        <v>46500</v>
      </c>
      <c r="D1113" s="136">
        <v>53300</v>
      </c>
      <c r="E1113" s="1442">
        <v>53200</v>
      </c>
      <c r="F1113" s="469" t="s">
        <v>1194</v>
      </c>
      <c r="G1113" s="385" t="s">
        <v>1195</v>
      </c>
      <c r="H1113" s="9">
        <f>32400+5400</f>
        <v>37800</v>
      </c>
      <c r="I1113" s="85">
        <f t="shared" si="1941"/>
        <v>-28.947368421052634</v>
      </c>
      <c r="J1113" s="9">
        <f>ROUNDUP(H1113+(H1113*Assumptions!I$5),-2)</f>
        <v>38700</v>
      </c>
      <c r="K1113" s="9">
        <f>ROUNDUP(J1113+(J1113*Assumptions!J$5),-2)</f>
        <v>39700</v>
      </c>
      <c r="L1113" s="9">
        <f>ROUNDUP(K1113+(K1113*Assumptions!K$5),-2)</f>
        <v>40700</v>
      </c>
      <c r="M1113" s="9">
        <f>ROUNDUP(L1113+(L1113*Assumptions!L$5),-2)</f>
        <v>41800</v>
      </c>
      <c r="N1113" s="9">
        <f>ROUNDUP(M1113+(M1113*Assumptions!M$5),-2)</f>
        <v>42900</v>
      </c>
      <c r="O1113" s="9">
        <f>ROUNDUP(N1113+(N1113*Assumptions!N$5),-2)</f>
        <v>44000</v>
      </c>
      <c r="P1113" s="9">
        <f>ROUNDUP(O1113+(O1113*Assumptions!O$5),-2)</f>
        <v>45100</v>
      </c>
      <c r="Q1113" s="9">
        <f>ROUNDUP(P1113+(P1113*Assumptions!P$5),-2)</f>
        <v>46300</v>
      </c>
      <c r="R1113" s="9">
        <f>ROUNDUP(Q1113+(Q1113*Assumptions!Q$5),-2)</f>
        <v>47500</v>
      </c>
      <c r="S1113" s="47">
        <f>ROUNDUP(R1113+(R1113*Assumptions!R$5),-2)</f>
        <v>48700</v>
      </c>
    </row>
    <row r="1114" spans="1:21" x14ac:dyDescent="0.2">
      <c r="A1114" s="54">
        <v>2700</v>
      </c>
      <c r="B1114" s="9">
        <v>1000</v>
      </c>
      <c r="C1114" s="136">
        <v>100</v>
      </c>
      <c r="D1114" s="136">
        <v>1400</v>
      </c>
      <c r="E1114" s="1442">
        <f>400+200</f>
        <v>600</v>
      </c>
      <c r="F1114" s="469" t="s">
        <v>41</v>
      </c>
      <c r="G1114" s="385" t="s">
        <v>2529</v>
      </c>
      <c r="H1114" s="9">
        <v>5000</v>
      </c>
      <c r="I1114" s="85">
        <f t="shared" si="1941"/>
        <v>733.33333333333326</v>
      </c>
      <c r="J1114" s="9">
        <f>ROUNDUP(H1114+(H1114*Assumptions!I$5),-2)</f>
        <v>5200</v>
      </c>
      <c r="K1114" s="9">
        <f>ROUNDUP(J1114+(J1114*Assumptions!J$5),-2)</f>
        <v>5400</v>
      </c>
      <c r="L1114" s="9">
        <f>ROUNDUP(K1114+(K1114*Assumptions!K$5),-2)</f>
        <v>5600</v>
      </c>
      <c r="M1114" s="9">
        <f>ROUNDUP(L1114+(L1114*Assumptions!L$5),-2)</f>
        <v>5800</v>
      </c>
      <c r="N1114" s="9">
        <f>ROUNDUP(M1114+(M1114*Assumptions!M$5),-2)</f>
        <v>6000</v>
      </c>
      <c r="O1114" s="9">
        <f>ROUNDUP(N1114+(N1114*Assumptions!N$5),-2)</f>
        <v>6200</v>
      </c>
      <c r="P1114" s="9">
        <f>ROUNDUP(O1114+(O1114*Assumptions!O$5),-2)</f>
        <v>6400</v>
      </c>
      <c r="Q1114" s="9">
        <f>ROUNDUP(P1114+(P1114*Assumptions!P$5),-2)</f>
        <v>6600</v>
      </c>
      <c r="R1114" s="9">
        <f>ROUNDUP(Q1114+(Q1114*Assumptions!Q$5),-2)</f>
        <v>6800</v>
      </c>
      <c r="S1114" s="47">
        <f>ROUNDUP(R1114+(R1114*Assumptions!R$5),-2)</f>
        <v>7000</v>
      </c>
    </row>
    <row r="1115" spans="1:21" x14ac:dyDescent="0.2">
      <c r="A1115" s="54">
        <v>1100</v>
      </c>
      <c r="B1115" s="9">
        <v>0</v>
      </c>
      <c r="C1115" s="136">
        <v>300</v>
      </c>
      <c r="D1115" s="136">
        <v>1400</v>
      </c>
      <c r="E1115" s="144">
        <v>0</v>
      </c>
      <c r="F1115" s="469" t="s">
        <v>42</v>
      </c>
      <c r="G1115" s="385" t="s">
        <v>743</v>
      </c>
      <c r="H1115" s="9">
        <v>1000</v>
      </c>
      <c r="I1115" s="85">
        <f t="shared" si="1941"/>
        <v>100</v>
      </c>
      <c r="J1115" s="9">
        <f>ROUNDUP(H1115+(H1115*Assumptions!I$5),-2)</f>
        <v>1100</v>
      </c>
      <c r="K1115" s="9">
        <f>ROUNDUP(J1115+(J1115*Assumptions!J$5),-2)</f>
        <v>1200</v>
      </c>
      <c r="L1115" s="9">
        <f>ROUNDUP(K1115+(K1115*Assumptions!K$5),-2)</f>
        <v>1300</v>
      </c>
      <c r="M1115" s="9">
        <f>ROUNDUP(L1115+(L1115*Assumptions!L$5),-2)</f>
        <v>1400</v>
      </c>
      <c r="N1115" s="9">
        <f>ROUNDUP(M1115+(M1115*Assumptions!M$5),-2)</f>
        <v>1500</v>
      </c>
      <c r="O1115" s="9">
        <f>ROUNDUP(N1115+(N1115*Assumptions!N$5),-2)</f>
        <v>1600</v>
      </c>
      <c r="P1115" s="9">
        <f>ROUNDUP(O1115+(O1115*Assumptions!O$5),-2)</f>
        <v>1700</v>
      </c>
      <c r="Q1115" s="9">
        <f>ROUNDUP(P1115+(P1115*Assumptions!P$5),-2)</f>
        <v>1800</v>
      </c>
      <c r="R1115" s="9">
        <f>ROUNDUP(Q1115+(Q1115*Assumptions!Q$5),-2)</f>
        <v>1900</v>
      </c>
      <c r="S1115" s="47">
        <f>ROUNDUP(R1115+(R1115*Assumptions!R$5),-2)</f>
        <v>2000</v>
      </c>
    </row>
    <row r="1116" spans="1:21" x14ac:dyDescent="0.2">
      <c r="A1116" s="54"/>
      <c r="B1116" s="9"/>
      <c r="E1116" s="144"/>
      <c r="F1116" s="769" t="s">
        <v>11874</v>
      </c>
      <c r="G1116" s="2427" t="s">
        <v>11875</v>
      </c>
      <c r="H1116" s="9">
        <v>24000</v>
      </c>
      <c r="I1116" s="85">
        <f t="shared" ref="I1116" si="1942">IF(E1116=H1116,0,IF(E1116=0,100,(H1116-E1116)/E1116*100))</f>
        <v>100</v>
      </c>
      <c r="J1116" s="9">
        <v>0</v>
      </c>
      <c r="K1116" s="9">
        <f>ROUNDUP(J1116+(J1116*Assumptions!J$5),-2)</f>
        <v>0</v>
      </c>
      <c r="L1116" s="9">
        <f>ROUNDUP(K1116+(K1116*Assumptions!K$5),-2)</f>
        <v>0</v>
      </c>
      <c r="M1116" s="9">
        <f>ROUNDUP(L1116+(L1116*Assumptions!L$5),-2)</f>
        <v>0</v>
      </c>
      <c r="N1116" s="9">
        <f>ROUNDUP(M1116+(M1116*Assumptions!M$5),-2)</f>
        <v>0</v>
      </c>
      <c r="O1116" s="9">
        <f>ROUNDUP(N1116+(N1116*Assumptions!N$5),-2)</f>
        <v>0</v>
      </c>
      <c r="P1116" s="9">
        <f>ROUNDUP(O1116+(O1116*Assumptions!O$5),-2)</f>
        <v>0</v>
      </c>
      <c r="Q1116" s="9">
        <f>ROUNDUP(P1116+(P1116*Assumptions!P$5),-2)</f>
        <v>0</v>
      </c>
      <c r="R1116" s="9">
        <f>ROUNDUP(Q1116+(Q1116*Assumptions!Q$5),-2)</f>
        <v>0</v>
      </c>
      <c r="S1116" s="47">
        <f>ROUNDUP(R1116+(R1116*Assumptions!R$5),-2)</f>
        <v>0</v>
      </c>
    </row>
    <row r="1117" spans="1:21" x14ac:dyDescent="0.2">
      <c r="A1117" s="54">
        <v>43000</v>
      </c>
      <c r="B1117" s="9">
        <v>15100</v>
      </c>
      <c r="C1117" s="136">
        <f>5100+6600+1200</f>
        <v>12900</v>
      </c>
      <c r="D1117" s="136">
        <v>600</v>
      </c>
      <c r="E1117" s="144">
        <v>1700</v>
      </c>
      <c r="F1117" s="469" t="s">
        <v>43</v>
      </c>
      <c r="G1117" s="385" t="s">
        <v>682</v>
      </c>
      <c r="H1117" s="9">
        <v>3800</v>
      </c>
      <c r="I1117" s="85">
        <f t="shared" si="1941"/>
        <v>123.52941176470588</v>
      </c>
      <c r="J1117" s="9">
        <f>ROUNDUP(H1117+(H1117*Assumptions!I$5),-2)</f>
        <v>3900</v>
      </c>
      <c r="K1117" s="9">
        <f>ROUNDUP(J1117+(J1117*Assumptions!J$5),-2)</f>
        <v>4000</v>
      </c>
      <c r="L1117" s="9">
        <f>ROUNDUP(K1117+(K1117*Assumptions!K$5),-2)</f>
        <v>4100</v>
      </c>
      <c r="M1117" s="9">
        <f>ROUNDUP(L1117+(L1117*Assumptions!L$5),-2)</f>
        <v>4300</v>
      </c>
      <c r="N1117" s="9">
        <f>ROUNDUP(M1117+(M1117*Assumptions!M$5),-2)</f>
        <v>4500</v>
      </c>
      <c r="O1117" s="9">
        <f>ROUNDUP(N1117+(N1117*Assumptions!N$5),-2)</f>
        <v>4700</v>
      </c>
      <c r="P1117" s="9">
        <f>ROUNDUP(O1117+(O1117*Assumptions!O$5),-2)</f>
        <v>4900</v>
      </c>
      <c r="Q1117" s="9">
        <f>ROUNDUP(P1117+(P1117*Assumptions!P$5),-2)</f>
        <v>5100</v>
      </c>
      <c r="R1117" s="9">
        <f>ROUNDUP(Q1117+(Q1117*Assumptions!Q$5),-2)</f>
        <v>5300</v>
      </c>
      <c r="S1117" s="47">
        <f>ROUNDUP(R1117+(R1117*Assumptions!R$5),-2)</f>
        <v>5500</v>
      </c>
    </row>
    <row r="1118" spans="1:21" x14ac:dyDescent="0.2">
      <c r="A1118" s="54"/>
      <c r="B1118" s="9"/>
      <c r="E1118" s="144"/>
      <c r="F1118" s="469"/>
      <c r="G1118" s="419" t="s">
        <v>160</v>
      </c>
      <c r="H1118" s="9"/>
      <c r="I1118" s="85"/>
      <c r="J1118" s="9"/>
      <c r="K1118" s="9"/>
      <c r="L1118" s="9"/>
      <c r="M1118" s="9"/>
      <c r="N1118" s="9"/>
      <c r="O1118" s="9"/>
      <c r="P1118" s="9"/>
      <c r="Q1118" s="9"/>
      <c r="R1118" s="9"/>
      <c r="S1118" s="47"/>
    </row>
    <row r="1119" spans="1:21" x14ac:dyDescent="0.2">
      <c r="A1119" s="54">
        <v>22100</v>
      </c>
      <c r="B1119" s="9">
        <v>22100</v>
      </c>
      <c r="C1119" s="136">
        <v>25800</v>
      </c>
      <c r="D1119" s="136">
        <v>50300</v>
      </c>
      <c r="E1119" s="144">
        <v>35500</v>
      </c>
      <c r="F1119" s="469" t="s">
        <v>44</v>
      </c>
      <c r="G1119" s="661" t="s">
        <v>6831</v>
      </c>
      <c r="H1119" s="9">
        <f>45000+10000</f>
        <v>55000</v>
      </c>
      <c r="I1119" s="85">
        <f t="shared" ref="I1119:I1126" si="1943">IF(E1119=H1119,0,IF(E1119=0,100,(H1119-E1119)/E1119*100))</f>
        <v>54.929577464788736</v>
      </c>
      <c r="J1119" s="9">
        <f>ROUNDUP(H1119+(H1119*Assumptions!I$5),-2)</f>
        <v>56300</v>
      </c>
      <c r="K1119" s="9">
        <f>ROUNDUP(J1119+(J1119*Assumptions!J$5),-2)</f>
        <v>57800</v>
      </c>
      <c r="L1119" s="9">
        <f>ROUNDUP(K1119+(K1119*Assumptions!K$5),-2)</f>
        <v>59300</v>
      </c>
      <c r="M1119" s="9">
        <f>ROUNDUP(L1119+(L1119*Assumptions!L$5),-2)</f>
        <v>60800</v>
      </c>
      <c r="N1119" s="9">
        <f>ROUNDUP(M1119+(M1119*Assumptions!M$5),-2)</f>
        <v>62400</v>
      </c>
      <c r="O1119" s="9">
        <f>ROUNDUP(N1119+(N1119*Assumptions!N$5),-2)</f>
        <v>64000</v>
      </c>
      <c r="P1119" s="9">
        <f>ROUNDUP(O1119+(O1119*Assumptions!O$5),-2)</f>
        <v>65600</v>
      </c>
      <c r="Q1119" s="9">
        <f>ROUNDUP(P1119+(P1119*Assumptions!P$5),-2)</f>
        <v>67300</v>
      </c>
      <c r="R1119" s="9">
        <f>ROUNDUP(Q1119+(Q1119*Assumptions!Q$5),-2)</f>
        <v>69000</v>
      </c>
      <c r="S1119" s="47">
        <f>ROUNDUP(R1119+(R1119*Assumptions!R$5),-2)</f>
        <v>70800</v>
      </c>
    </row>
    <row r="1120" spans="1:21" x14ac:dyDescent="0.2">
      <c r="A1120" s="54">
        <v>49800</v>
      </c>
      <c r="B1120" s="9">
        <v>75800</v>
      </c>
      <c r="C1120" s="136">
        <v>42400</v>
      </c>
      <c r="D1120" s="136">
        <f>37800+10400</f>
        <v>48200</v>
      </c>
      <c r="E1120" s="144">
        <v>34600</v>
      </c>
      <c r="F1120" s="469" t="s">
        <v>423</v>
      </c>
      <c r="G1120" s="661" t="s">
        <v>6832</v>
      </c>
      <c r="H1120" s="9">
        <f>68000-10000</f>
        <v>58000</v>
      </c>
      <c r="I1120" s="85">
        <f t="shared" si="1943"/>
        <v>67.630057803468219</v>
      </c>
      <c r="J1120" s="9">
        <f>ROUNDUP(H1120+(H1120*Assumptions!I$5),-2)</f>
        <v>59400</v>
      </c>
      <c r="K1120" s="9">
        <f>ROUNDUP(J1120+(J1120*Assumptions!J$5),-2)</f>
        <v>60900</v>
      </c>
      <c r="L1120" s="9">
        <f>ROUNDUP(K1120+(K1120*Assumptions!K$5),-2)</f>
        <v>62500</v>
      </c>
      <c r="M1120" s="9">
        <f>ROUNDUP(L1120+(L1120*Assumptions!L$5),-2)</f>
        <v>64100</v>
      </c>
      <c r="N1120" s="9">
        <f>ROUNDUP(M1120+(M1120*Assumptions!M$5),-2)</f>
        <v>65800</v>
      </c>
      <c r="O1120" s="9">
        <f>ROUNDUP(N1120+(N1120*Assumptions!N$5),-2)</f>
        <v>67500</v>
      </c>
      <c r="P1120" s="9">
        <f>ROUNDUP(O1120+(O1120*Assumptions!O$5),-2)</f>
        <v>69200</v>
      </c>
      <c r="Q1120" s="9">
        <f>ROUNDUP(P1120+(P1120*Assumptions!P$5),-2)</f>
        <v>71000</v>
      </c>
      <c r="R1120" s="9">
        <f>ROUNDUP(Q1120+(Q1120*Assumptions!Q$5),-2)</f>
        <v>72800</v>
      </c>
      <c r="S1120" s="47">
        <f>ROUNDUP(R1120+(R1120*Assumptions!R$5),-2)</f>
        <v>74700</v>
      </c>
    </row>
    <row r="1121" spans="1:19" x14ac:dyDescent="0.2">
      <c r="A1121" s="54">
        <v>2400</v>
      </c>
      <c r="B1121" s="9">
        <v>18300</v>
      </c>
      <c r="C1121" s="136">
        <v>1400</v>
      </c>
      <c r="D1121" s="136">
        <v>2500</v>
      </c>
      <c r="E1121" s="144">
        <v>6900</v>
      </c>
      <c r="F1121" s="769" t="s">
        <v>424</v>
      </c>
      <c r="G1121" s="661" t="s">
        <v>6833</v>
      </c>
      <c r="H1121" s="9">
        <v>8500</v>
      </c>
      <c r="I1121" s="85">
        <f t="shared" si="1943"/>
        <v>23.188405797101449</v>
      </c>
      <c r="J1121" s="9">
        <f>ROUNDUP(H1121+(H1121*Assumptions!I$5),-2)</f>
        <v>8700</v>
      </c>
      <c r="K1121" s="9">
        <f>ROUNDUP(J1121+(J1121*Assumptions!J$5),-2)</f>
        <v>9000</v>
      </c>
      <c r="L1121" s="9">
        <f>ROUNDUP(K1121+(K1121*Assumptions!K$5),-2)</f>
        <v>9300</v>
      </c>
      <c r="M1121" s="9">
        <f>ROUNDUP(L1121+(L1121*Assumptions!L$5),-2)</f>
        <v>9600</v>
      </c>
      <c r="N1121" s="9">
        <f>ROUNDUP(M1121+(M1121*Assumptions!M$5),-2)</f>
        <v>9900</v>
      </c>
      <c r="O1121" s="9">
        <f>ROUNDUP(N1121+(N1121*Assumptions!N$5),-2)</f>
        <v>10200</v>
      </c>
      <c r="P1121" s="9">
        <f>ROUNDUP(O1121+(O1121*Assumptions!O$5),-2)</f>
        <v>10500</v>
      </c>
      <c r="Q1121" s="9">
        <f>ROUNDUP(P1121+(P1121*Assumptions!P$5),-2)</f>
        <v>10800</v>
      </c>
      <c r="R1121" s="9">
        <f>ROUNDUP(Q1121+(Q1121*Assumptions!Q$5),-2)</f>
        <v>11100</v>
      </c>
      <c r="S1121" s="47">
        <f>ROUNDUP(R1121+(R1121*Assumptions!R$5),-2)</f>
        <v>11400</v>
      </c>
    </row>
    <row r="1122" spans="1:19" x14ac:dyDescent="0.2">
      <c r="A1122" s="54">
        <v>42400</v>
      </c>
      <c r="B1122" s="9">
        <v>73200</v>
      </c>
      <c r="C1122" s="136">
        <v>56700</v>
      </c>
      <c r="D1122" s="136">
        <v>49300</v>
      </c>
      <c r="E1122" s="144">
        <v>48300</v>
      </c>
      <c r="F1122" s="769" t="s">
        <v>425</v>
      </c>
      <c r="G1122" s="661" t="s">
        <v>6834</v>
      </c>
      <c r="H1122" s="9">
        <v>54500</v>
      </c>
      <c r="I1122" s="85">
        <f t="shared" si="1943"/>
        <v>12.836438923395447</v>
      </c>
      <c r="J1122" s="9">
        <f>ROUNDUP(H1122+(H1122*Assumptions!I$5),-2)</f>
        <v>55800</v>
      </c>
      <c r="K1122" s="9">
        <f>ROUNDUP(J1122+(J1122*Assumptions!J$5),-2)</f>
        <v>57200</v>
      </c>
      <c r="L1122" s="9">
        <f>ROUNDUP(K1122+(K1122*Assumptions!K$5),-2)</f>
        <v>58700</v>
      </c>
      <c r="M1122" s="9">
        <f>ROUNDUP(L1122+(L1122*Assumptions!L$5),-2)</f>
        <v>60200</v>
      </c>
      <c r="N1122" s="9">
        <f>ROUNDUP(M1122+(M1122*Assumptions!M$5),-2)</f>
        <v>61800</v>
      </c>
      <c r="O1122" s="9">
        <f>ROUNDUP(N1122+(N1122*Assumptions!N$5),-2)</f>
        <v>63400</v>
      </c>
      <c r="P1122" s="9">
        <f>ROUNDUP(O1122+(O1122*Assumptions!O$5),-2)</f>
        <v>65000</v>
      </c>
      <c r="Q1122" s="9">
        <f>ROUNDUP(P1122+(P1122*Assumptions!P$5),-2)</f>
        <v>66700</v>
      </c>
      <c r="R1122" s="9">
        <f>ROUNDUP(Q1122+(Q1122*Assumptions!Q$5),-2)</f>
        <v>68400</v>
      </c>
      <c r="S1122" s="47">
        <f>ROUNDUP(R1122+(R1122*Assumptions!R$5),-2)</f>
        <v>70200</v>
      </c>
    </row>
    <row r="1123" spans="1:19" x14ac:dyDescent="0.2">
      <c r="A1123" s="54">
        <v>1500</v>
      </c>
      <c r="B1123" s="9">
        <v>800</v>
      </c>
      <c r="C1123" s="136">
        <v>2100</v>
      </c>
      <c r="D1123" s="136">
        <v>800</v>
      </c>
      <c r="E1123" s="144">
        <v>400</v>
      </c>
      <c r="F1123" s="769" t="s">
        <v>426</v>
      </c>
      <c r="G1123" s="385" t="s">
        <v>2244</v>
      </c>
      <c r="H1123" s="9">
        <v>2000</v>
      </c>
      <c r="I1123" s="85">
        <f t="shared" si="1943"/>
        <v>400</v>
      </c>
      <c r="J1123" s="9">
        <f>ROUNDUP(H1123+(H1123*Assumptions!I$5),-2)</f>
        <v>2100</v>
      </c>
      <c r="K1123" s="9">
        <f>ROUNDUP(J1123+(J1123*Assumptions!J$5),-2)</f>
        <v>2200</v>
      </c>
      <c r="L1123" s="9">
        <f>ROUNDUP(K1123+(K1123*Assumptions!K$5),-2)</f>
        <v>2300</v>
      </c>
      <c r="M1123" s="9">
        <f>ROUNDUP(L1123+(L1123*Assumptions!L$5),-2)</f>
        <v>2400</v>
      </c>
      <c r="N1123" s="9">
        <f>ROUNDUP(M1123+(M1123*Assumptions!M$5),-2)</f>
        <v>2500</v>
      </c>
      <c r="O1123" s="9">
        <f>ROUNDUP(N1123+(N1123*Assumptions!N$5),-2)</f>
        <v>2600</v>
      </c>
      <c r="P1123" s="9">
        <f>ROUNDUP(O1123+(O1123*Assumptions!O$5),-2)</f>
        <v>2700</v>
      </c>
      <c r="Q1123" s="9">
        <f>ROUNDUP(P1123+(P1123*Assumptions!P$5),-2)</f>
        <v>2800</v>
      </c>
      <c r="R1123" s="9">
        <f>ROUNDUP(Q1123+(Q1123*Assumptions!Q$5),-2)</f>
        <v>2900</v>
      </c>
      <c r="S1123" s="47">
        <f>ROUNDUP(R1123+(R1123*Assumptions!R$5),-2)</f>
        <v>3000</v>
      </c>
    </row>
    <row r="1124" spans="1:19" x14ac:dyDescent="0.2">
      <c r="A1124" s="54">
        <v>300</v>
      </c>
      <c r="B1124" s="9">
        <v>600</v>
      </c>
      <c r="C1124" s="136">
        <v>2300</v>
      </c>
      <c r="D1124" s="136">
        <v>1300</v>
      </c>
      <c r="E1124" s="144">
        <v>1900</v>
      </c>
      <c r="F1124" s="769" t="s">
        <v>2834</v>
      </c>
      <c r="G1124" s="661" t="s">
        <v>6836</v>
      </c>
      <c r="H1124" s="9">
        <v>1000</v>
      </c>
      <c r="I1124" s="85">
        <f t="shared" si="1943"/>
        <v>-47.368421052631575</v>
      </c>
      <c r="J1124" s="9">
        <f>ROUNDUP(H1124+(H1124*Assumptions!I$5),-2)</f>
        <v>1100</v>
      </c>
      <c r="K1124" s="9">
        <f>ROUNDUP(J1124+(J1124*Assumptions!J$5),-2)</f>
        <v>1200</v>
      </c>
      <c r="L1124" s="9">
        <f>ROUNDUP(K1124+(K1124*Assumptions!K$5),-2)</f>
        <v>1300</v>
      </c>
      <c r="M1124" s="9">
        <f>ROUNDUP(L1124+(L1124*Assumptions!L$5),-2)</f>
        <v>1400</v>
      </c>
      <c r="N1124" s="9">
        <f>ROUNDUP(M1124+(M1124*Assumptions!M$5),-2)</f>
        <v>1500</v>
      </c>
      <c r="O1124" s="9">
        <f>ROUNDUP(N1124+(N1124*Assumptions!N$5),-2)</f>
        <v>1600</v>
      </c>
      <c r="P1124" s="9">
        <f>ROUNDUP(O1124+(O1124*Assumptions!O$5),-2)</f>
        <v>1700</v>
      </c>
      <c r="Q1124" s="9">
        <f>ROUNDUP(P1124+(P1124*Assumptions!P$5),-2)</f>
        <v>1800</v>
      </c>
      <c r="R1124" s="9">
        <f>ROUNDUP(Q1124+(Q1124*Assumptions!Q$5),-2)</f>
        <v>1900</v>
      </c>
      <c r="S1124" s="47">
        <f>ROUNDUP(R1124+(R1124*Assumptions!R$5),-2)</f>
        <v>2000</v>
      </c>
    </row>
    <row r="1125" spans="1:19" x14ac:dyDescent="0.2">
      <c r="A1125" s="54">
        <v>0</v>
      </c>
      <c r="B1125" s="9">
        <v>0</v>
      </c>
      <c r="C1125" s="136">
        <v>20000</v>
      </c>
      <c r="D1125" s="136">
        <v>0</v>
      </c>
      <c r="E1125" s="144">
        <v>21200</v>
      </c>
      <c r="F1125" s="769" t="s">
        <v>6420</v>
      </c>
      <c r="G1125" s="661" t="s">
        <v>6835</v>
      </c>
      <c r="H1125" s="9">
        <v>38800</v>
      </c>
      <c r="I1125" s="85">
        <f t="shared" si="1943"/>
        <v>83.018867924528308</v>
      </c>
      <c r="J1125" s="9">
        <f>ROUNDUP(H1125+(H1125*Assumptions!I$5),-2)-39800</f>
        <v>-100</v>
      </c>
      <c r="K1125" s="9">
        <f>ROUNDUP(J1125+(J1125*Assumptions!J$5),-2)</f>
        <v>-200</v>
      </c>
      <c r="L1125" s="9">
        <f>ROUNDUP(K1125+(K1125*Assumptions!K$5),-2)</f>
        <v>-300</v>
      </c>
      <c r="M1125" s="9">
        <f>ROUNDUP(L1125+(L1125*Assumptions!L$5),-2)</f>
        <v>-400</v>
      </c>
      <c r="N1125" s="9">
        <f>ROUNDUP(M1125+(M1125*Assumptions!M$5),-2)</f>
        <v>-500</v>
      </c>
      <c r="O1125" s="9">
        <f>ROUNDUP(N1125+(N1125*Assumptions!N$5),-2)</f>
        <v>-600</v>
      </c>
      <c r="P1125" s="9">
        <f>ROUNDUP(O1125+(O1125*Assumptions!O$5),-2)</f>
        <v>-700</v>
      </c>
      <c r="Q1125" s="9">
        <f>ROUNDUP(P1125+(P1125*Assumptions!P$5),-2)</f>
        <v>-800</v>
      </c>
      <c r="R1125" s="9">
        <f>ROUNDUP(Q1125+(Q1125*Assumptions!Q$5),-2)</f>
        <v>-900</v>
      </c>
      <c r="S1125" s="47">
        <f>ROUNDUP(R1125+(R1125*Assumptions!R$5),-2)</f>
        <v>-1000</v>
      </c>
    </row>
    <row r="1126" spans="1:19" x14ac:dyDescent="0.2">
      <c r="A1126" s="54">
        <v>0</v>
      </c>
      <c r="B1126" s="9">
        <v>0</v>
      </c>
      <c r="C1126" s="136">
        <v>0</v>
      </c>
      <c r="D1126" s="136">
        <v>0</v>
      </c>
      <c r="E1126" s="144">
        <v>0</v>
      </c>
      <c r="F1126" s="769" t="s">
        <v>6507</v>
      </c>
      <c r="G1126" s="661" t="s">
        <v>6837</v>
      </c>
      <c r="H1126" s="9">
        <v>5000</v>
      </c>
      <c r="I1126" s="85">
        <f t="shared" si="1943"/>
        <v>100</v>
      </c>
      <c r="J1126" s="9">
        <f>ROUNDUP(H1126+(H1126*Assumptions!I$5),-2)</f>
        <v>5200</v>
      </c>
      <c r="K1126" s="9">
        <f>ROUNDUP(J1126+(J1126*Assumptions!J$5),-2)</f>
        <v>5400</v>
      </c>
      <c r="L1126" s="9">
        <f>ROUNDUP(K1126+(K1126*Assumptions!K$5),-2)</f>
        <v>5600</v>
      </c>
      <c r="M1126" s="9">
        <f>ROUNDUP(L1126+(L1126*Assumptions!L$5),-2)</f>
        <v>5800</v>
      </c>
      <c r="N1126" s="9">
        <f>ROUNDUP(M1126+(M1126*Assumptions!M$5),-2)</f>
        <v>6000</v>
      </c>
      <c r="O1126" s="9">
        <f>ROUNDUP(N1126+(N1126*Assumptions!N$5),-2)</f>
        <v>6200</v>
      </c>
      <c r="P1126" s="9">
        <f>ROUNDUP(O1126+(O1126*Assumptions!O$5),-2)</f>
        <v>6400</v>
      </c>
      <c r="Q1126" s="9">
        <f>ROUNDUP(P1126+(P1126*Assumptions!P$5),-2)</f>
        <v>6600</v>
      </c>
      <c r="R1126" s="9">
        <f>ROUNDUP(Q1126+(Q1126*Assumptions!Q$5),-2)</f>
        <v>6800</v>
      </c>
      <c r="S1126" s="47">
        <f>ROUNDUP(R1126+(R1126*Assumptions!R$5),-2)</f>
        <v>7000</v>
      </c>
    </row>
    <row r="1127" spans="1:19" x14ac:dyDescent="0.2">
      <c r="A1127" s="54"/>
      <c r="B1127" s="9"/>
      <c r="E1127" s="144"/>
      <c r="F1127" s="469"/>
      <c r="G1127" s="419" t="s">
        <v>1297</v>
      </c>
      <c r="H1127" s="9"/>
      <c r="I1127" s="85"/>
      <c r="J1127" s="9"/>
      <c r="K1127" s="9"/>
      <c r="L1127" s="9"/>
      <c r="M1127" s="9"/>
      <c r="N1127" s="9"/>
      <c r="O1127" s="9"/>
      <c r="P1127" s="9"/>
      <c r="Q1127" s="9"/>
      <c r="R1127" s="9"/>
      <c r="S1127" s="47"/>
    </row>
    <row r="1128" spans="1:19" x14ac:dyDescent="0.2">
      <c r="A1128" s="54">
        <v>13500</v>
      </c>
      <c r="B1128" s="9">
        <v>37400</v>
      </c>
      <c r="C1128" s="136">
        <v>19300</v>
      </c>
      <c r="D1128" s="136">
        <v>58400</v>
      </c>
      <c r="E1128" s="144">
        <v>41100</v>
      </c>
      <c r="F1128" s="469" t="s">
        <v>1381</v>
      </c>
      <c r="G1128" s="661" t="s">
        <v>6838</v>
      </c>
      <c r="H1128" s="9">
        <v>41000</v>
      </c>
      <c r="I1128" s="85">
        <f>IF(E1128=H1128,0,IF(E1128=0,100,(H1128-E1128)/E1128*100))</f>
        <v>-0.24330900243309003</v>
      </c>
      <c r="J1128" s="9">
        <f>ROUNDUP(H1128+(H1128*Assumptions!I$5),-2)</f>
        <v>42000</v>
      </c>
      <c r="K1128" s="9">
        <f>ROUNDUP(J1128+(J1128*Assumptions!J$5),-2)</f>
        <v>43100</v>
      </c>
      <c r="L1128" s="9">
        <f>ROUNDUP(K1128+(K1128*Assumptions!K$5),-2)</f>
        <v>44200</v>
      </c>
      <c r="M1128" s="9">
        <f>ROUNDUP(L1128+(L1128*Assumptions!L$5),-2)</f>
        <v>45400</v>
      </c>
      <c r="N1128" s="9">
        <f>ROUNDUP(M1128+(M1128*Assumptions!M$5),-2)</f>
        <v>46600</v>
      </c>
      <c r="O1128" s="9">
        <f>ROUNDUP(N1128+(N1128*Assumptions!N$5),-2)</f>
        <v>47800</v>
      </c>
      <c r="P1128" s="9">
        <f>ROUNDUP(O1128+(O1128*Assumptions!O$5),-2)</f>
        <v>49000</v>
      </c>
      <c r="Q1128" s="9">
        <f>ROUNDUP(P1128+(P1128*Assumptions!P$5),-2)</f>
        <v>50300</v>
      </c>
      <c r="R1128" s="9">
        <f>ROUNDUP(Q1128+(Q1128*Assumptions!Q$5),-2)</f>
        <v>51600</v>
      </c>
      <c r="S1128" s="47">
        <f>ROUNDUP(R1128+(R1128*Assumptions!R$5),-2)</f>
        <v>52900</v>
      </c>
    </row>
    <row r="1129" spans="1:19" x14ac:dyDescent="0.2">
      <c r="A1129" s="54">
        <v>7900</v>
      </c>
      <c r="B1129" s="9">
        <v>5900</v>
      </c>
      <c r="C1129" s="136">
        <v>6300</v>
      </c>
      <c r="D1129" s="136">
        <v>6600</v>
      </c>
      <c r="E1129" s="144">
        <v>7000</v>
      </c>
      <c r="F1129" s="469" t="s">
        <v>2114</v>
      </c>
      <c r="G1129" s="661" t="s">
        <v>6839</v>
      </c>
      <c r="H1129" s="9">
        <v>7500</v>
      </c>
      <c r="I1129" s="85">
        <f>IF(E1129=H1129,0,IF(E1129=0,100,(H1129-E1129)/E1129*100))</f>
        <v>7.1428571428571423</v>
      </c>
      <c r="J1129" s="9">
        <f>ROUNDUP(H1129+(H1129*Assumptions!I$5),-2)</f>
        <v>7700</v>
      </c>
      <c r="K1129" s="9">
        <f>ROUNDUP(J1129+(J1129*Assumptions!J$5),-2)</f>
        <v>7900</v>
      </c>
      <c r="L1129" s="9">
        <f>ROUNDUP(K1129+(K1129*Assumptions!K$5),-2)</f>
        <v>8100</v>
      </c>
      <c r="M1129" s="9">
        <f>ROUNDUP(L1129+(L1129*Assumptions!L$5),-2)</f>
        <v>8400</v>
      </c>
      <c r="N1129" s="9">
        <f>ROUNDUP(M1129+(M1129*Assumptions!M$5),-2)</f>
        <v>8700</v>
      </c>
      <c r="O1129" s="9">
        <f>ROUNDUP(N1129+(N1129*Assumptions!N$5),-2)</f>
        <v>9000</v>
      </c>
      <c r="P1129" s="9">
        <f>ROUNDUP(O1129+(O1129*Assumptions!O$5),-2)</f>
        <v>9300</v>
      </c>
      <c r="Q1129" s="9">
        <f>ROUNDUP(P1129+(P1129*Assumptions!P$5),-2)</f>
        <v>9600</v>
      </c>
      <c r="R1129" s="9">
        <f>ROUNDUP(Q1129+(Q1129*Assumptions!Q$5),-2)</f>
        <v>9900</v>
      </c>
      <c r="S1129" s="47">
        <f>ROUNDUP(R1129+(R1129*Assumptions!R$5),-2)</f>
        <v>10200</v>
      </c>
    </row>
    <row r="1130" spans="1:19" x14ac:dyDescent="0.2">
      <c r="A1130" s="54"/>
      <c r="B1130" s="9"/>
      <c r="E1130" s="144"/>
      <c r="F1130" s="469"/>
      <c r="G1130" s="419" t="s">
        <v>1298</v>
      </c>
      <c r="H1130" s="9"/>
      <c r="I1130" s="85"/>
      <c r="J1130" s="9"/>
      <c r="K1130" s="9"/>
      <c r="L1130" s="9"/>
      <c r="M1130" s="9"/>
      <c r="N1130" s="9"/>
      <c r="O1130" s="9"/>
      <c r="P1130" s="9"/>
      <c r="Q1130" s="9"/>
      <c r="R1130" s="9"/>
      <c r="S1130" s="47"/>
    </row>
    <row r="1131" spans="1:19" x14ac:dyDescent="0.2">
      <c r="A1131" s="54">
        <v>12800</v>
      </c>
      <c r="B1131" s="9">
        <v>19100</v>
      </c>
      <c r="C1131" s="136">
        <v>5500</v>
      </c>
      <c r="D1131" s="136">
        <v>2700</v>
      </c>
      <c r="E1131" s="144">
        <v>1100</v>
      </c>
      <c r="F1131" s="469" t="s">
        <v>1382</v>
      </c>
      <c r="G1131" s="385" t="s">
        <v>2058</v>
      </c>
      <c r="H1131" s="9">
        <v>10000</v>
      </c>
      <c r="I1131" s="85">
        <f>IF(E1131=H1131,0,IF(E1131=0,100,(H1131-E1131)/E1131*100))</f>
        <v>809.09090909090912</v>
      </c>
      <c r="J1131" s="9">
        <f>ROUNDUP(H1131+(H1131*Assumptions!I$5),-2)</f>
        <v>10300</v>
      </c>
      <c r="K1131" s="9">
        <f>ROUNDUP(J1131+(J1131*Assumptions!J$5),-2)</f>
        <v>10600</v>
      </c>
      <c r="L1131" s="9">
        <f>ROUNDUP(K1131+(K1131*Assumptions!K$5),-2)</f>
        <v>10900</v>
      </c>
      <c r="M1131" s="9">
        <f>ROUNDUP(L1131+(L1131*Assumptions!L$5),-2)</f>
        <v>11200</v>
      </c>
      <c r="N1131" s="9">
        <f>ROUNDUP(M1131+(M1131*Assumptions!M$5),-2)</f>
        <v>11500</v>
      </c>
      <c r="O1131" s="9">
        <f>ROUNDUP(N1131+(N1131*Assumptions!N$5),-2)</f>
        <v>11800</v>
      </c>
      <c r="P1131" s="9">
        <f>ROUNDUP(O1131+(O1131*Assumptions!O$5),-2)</f>
        <v>12100</v>
      </c>
      <c r="Q1131" s="9">
        <f>ROUNDUP(P1131+(P1131*Assumptions!P$5),-2)</f>
        <v>12500</v>
      </c>
      <c r="R1131" s="9">
        <f>ROUNDUP(Q1131+(Q1131*Assumptions!Q$5),-2)</f>
        <v>12900</v>
      </c>
      <c r="S1131" s="47">
        <f>ROUNDUP(R1131+(R1131*Assumptions!R$5),-2)</f>
        <v>13300</v>
      </c>
    </row>
    <row r="1132" spans="1:19" x14ac:dyDescent="0.2">
      <c r="A1132" s="54"/>
      <c r="B1132" s="9"/>
      <c r="E1132" s="144"/>
      <c r="F1132" s="469"/>
      <c r="G1132" s="419" t="s">
        <v>875</v>
      </c>
      <c r="H1132" s="9"/>
      <c r="I1132" s="85"/>
      <c r="J1132" s="9"/>
      <c r="K1132" s="9"/>
      <c r="L1132" s="9"/>
      <c r="M1132" s="9"/>
      <c r="N1132" s="9"/>
      <c r="O1132" s="9"/>
      <c r="P1132" s="9"/>
      <c r="Q1132" s="9"/>
      <c r="R1132" s="9"/>
      <c r="S1132" s="47"/>
    </row>
    <row r="1133" spans="1:19" x14ac:dyDescent="0.2">
      <c r="A1133" s="54">
        <v>98500</v>
      </c>
      <c r="B1133" s="9">
        <f>34200+188300</f>
        <v>222500</v>
      </c>
      <c r="C1133" s="136">
        <v>25900</v>
      </c>
      <c r="D1133" s="136">
        <v>3200</v>
      </c>
      <c r="E1133" s="144">
        <v>5200</v>
      </c>
      <c r="F1133" s="469" t="s">
        <v>2053</v>
      </c>
      <c r="G1133" s="79" t="s">
        <v>7081</v>
      </c>
      <c r="H1133" s="79">
        <v>5000</v>
      </c>
      <c r="I1133" s="85">
        <f>IF(E1133=H1133,0,IF(E1133=0,100,(H1133-E1133)/E1133*100))</f>
        <v>-3.8461538461538463</v>
      </c>
      <c r="J1133" s="9">
        <f>ROUNDUP(H1133+(H1133*Assumptions!I$5),-2)</f>
        <v>5200</v>
      </c>
      <c r="K1133" s="9">
        <f>ROUNDUP(J1133+(J1133*Assumptions!J$5),-2)</f>
        <v>5400</v>
      </c>
      <c r="L1133" s="9">
        <f>ROUNDUP(K1133+(K1133*Assumptions!K$5),-2)</f>
        <v>5600</v>
      </c>
      <c r="M1133" s="9">
        <f>ROUNDUP(L1133+(L1133*Assumptions!L$5),-2)</f>
        <v>5800</v>
      </c>
      <c r="N1133" s="9">
        <f>ROUNDUP(M1133+(M1133*Assumptions!M$5),-2)</f>
        <v>6000</v>
      </c>
      <c r="O1133" s="9">
        <f>ROUNDUP(N1133+(N1133*Assumptions!N$5),-2)</f>
        <v>6200</v>
      </c>
      <c r="P1133" s="9">
        <f>ROUNDUP(O1133+(O1133*Assumptions!O$5),-2)</f>
        <v>6400</v>
      </c>
      <c r="Q1133" s="9">
        <f>ROUNDUP(P1133+(P1133*Assumptions!P$5),-2)</f>
        <v>6600</v>
      </c>
      <c r="R1133" s="9">
        <f>ROUNDUP(Q1133+(Q1133*Assumptions!Q$5),-2)</f>
        <v>6800</v>
      </c>
      <c r="S1133" s="47">
        <f>ROUNDUP(R1133+(R1133*Assumptions!R$5),-2)</f>
        <v>7000</v>
      </c>
    </row>
    <row r="1134" spans="1:19" x14ac:dyDescent="0.2">
      <c r="A1134" s="54">
        <v>0</v>
      </c>
      <c r="B1134" s="9">
        <v>0</v>
      </c>
      <c r="C1134" s="136">
        <v>147300</v>
      </c>
      <c r="D1134" s="136">
        <v>633500</v>
      </c>
      <c r="E1134" s="144">
        <v>239100</v>
      </c>
      <c r="F1134" s="769" t="s">
        <v>4177</v>
      </c>
      <c r="G1134" s="79" t="s">
        <v>5242</v>
      </c>
      <c r="H1134" s="9">
        <f>203000-103000</f>
        <v>100000</v>
      </c>
      <c r="I1134" s="85">
        <f>IF(E1134=H1134,0,IF(E1134=0,100,(H1134-E1134)/E1134*100))</f>
        <v>-58.176495190296947</v>
      </c>
      <c r="J1134" s="9">
        <f>ROUNDUP(H1134+(H1134*Assumptions!I$5),-2)</f>
        <v>102300</v>
      </c>
      <c r="K1134" s="9">
        <f>ROUNDUP(J1134+(J1134*Assumptions!J$5),-2)</f>
        <v>104900</v>
      </c>
      <c r="L1134" s="9">
        <f>ROUNDUP(K1134+(K1134*Assumptions!K$5),-2)</f>
        <v>107600</v>
      </c>
      <c r="M1134" s="9">
        <f>ROUNDUP(L1134+(L1134*Assumptions!L$5),-2)</f>
        <v>110300</v>
      </c>
      <c r="N1134" s="9">
        <f>ROUNDUP(M1134+(M1134*Assumptions!M$5),-2)</f>
        <v>113100</v>
      </c>
      <c r="O1134" s="9">
        <f>ROUNDUP(N1134+(N1134*Assumptions!N$5),-2)</f>
        <v>116000</v>
      </c>
      <c r="P1134" s="9">
        <f>ROUNDUP(O1134+(O1134*Assumptions!O$5),-2)</f>
        <v>118900</v>
      </c>
      <c r="Q1134" s="9">
        <f>ROUNDUP(P1134+(P1134*Assumptions!P$5),-2)</f>
        <v>121900</v>
      </c>
      <c r="R1134" s="9">
        <f>ROUNDUP(Q1134+(Q1134*Assumptions!Q$5),-2)</f>
        <v>125000</v>
      </c>
      <c r="S1134" s="47">
        <f>ROUNDUP(R1134+(R1134*Assumptions!R$5),-2)</f>
        <v>128200</v>
      </c>
    </row>
    <row r="1135" spans="1:19" x14ac:dyDescent="0.2">
      <c r="A1135" s="54"/>
      <c r="B1135" s="9"/>
      <c r="E1135" s="144"/>
      <c r="F1135" s="469"/>
      <c r="G1135" s="21" t="s">
        <v>1112</v>
      </c>
      <c r="H1135" s="9"/>
      <c r="I1135" s="85"/>
      <c r="J1135" s="9"/>
      <c r="K1135" s="9"/>
      <c r="L1135" s="9"/>
      <c r="M1135" s="9"/>
      <c r="N1135" s="9"/>
      <c r="O1135" s="9"/>
      <c r="P1135" s="9"/>
      <c r="Q1135" s="9"/>
      <c r="R1135" s="9"/>
      <c r="S1135" s="47"/>
    </row>
    <row r="1136" spans="1:19" x14ac:dyDescent="0.2">
      <c r="A1136" s="54">
        <v>178700</v>
      </c>
      <c r="B1136" s="9">
        <f>ROUND('Debt-Gen'!F39,-2)-500</f>
        <v>183800</v>
      </c>
      <c r="C1136" s="89">
        <v>159600</v>
      </c>
      <c r="D1136" s="9">
        <f>ROUND('Debt-Gen'!J39,-2)</f>
        <v>134300</v>
      </c>
      <c r="E1136" s="144">
        <v>106900</v>
      </c>
      <c r="F1136" s="469" t="s">
        <v>2054</v>
      </c>
      <c r="G1136" s="9" t="s">
        <v>827</v>
      </c>
      <c r="H1136" s="9">
        <f>ROUND('Debt-Gen'!N39,-2)</f>
        <v>78300</v>
      </c>
      <c r="I1136" s="85">
        <f>IF(E1136=H1136,0,IF(E1136=0,100,(H1136-E1136)/E1136*100))</f>
        <v>-26.753975678203929</v>
      </c>
      <c r="J1136" s="9">
        <f>ROUND('Debt-Gen'!P39,-2)</f>
        <v>48600</v>
      </c>
      <c r="K1136" s="9">
        <f>ROUND('Debt-Gen'!R39,-2)</f>
        <v>126200</v>
      </c>
      <c r="L1136" s="9">
        <f>ROUND('Debt-Gen'!T39,-2)</f>
        <v>110100</v>
      </c>
      <c r="M1136" s="9">
        <f>ROUND('Debt-Gen'!V39,-2)</f>
        <v>92900</v>
      </c>
      <c r="N1136" s="9">
        <f>ROUND('Debt-Gen'!X39,-2)</f>
        <v>75700</v>
      </c>
      <c r="O1136" s="9">
        <f>ROUND('Debt-Gen'!Z39,-2)</f>
        <v>65000</v>
      </c>
      <c r="P1136" s="9">
        <f>ROUND('Debt-Gen'!AB39,-2)</f>
        <v>55000</v>
      </c>
      <c r="Q1136" s="9">
        <f>ROUND('Debt-Gen'!AD39,-2)</f>
        <v>45000</v>
      </c>
      <c r="R1136" s="9">
        <f>ROUND('Debt-Gen'!AF39,-2)</f>
        <v>34000</v>
      </c>
      <c r="S1136" s="47">
        <f>ROUND('Debt-Gen'!AH39,-2)</f>
        <v>23000</v>
      </c>
    </row>
    <row r="1137" spans="1:21" x14ac:dyDescent="0.2">
      <c r="A1137" s="54"/>
      <c r="B1137" s="9"/>
      <c r="E1137" s="144"/>
      <c r="F1137" s="469"/>
      <c r="G1137" s="21" t="str">
        <f>G101</f>
        <v>Non-Cash Expenses</v>
      </c>
      <c r="H1137" s="9"/>
      <c r="I1137" s="85"/>
      <c r="J1137" s="9"/>
      <c r="K1137" s="9"/>
      <c r="L1137" s="9"/>
      <c r="M1137" s="9"/>
      <c r="N1137" s="9"/>
      <c r="O1137" s="9"/>
      <c r="P1137" s="9"/>
      <c r="Q1137" s="9"/>
      <c r="R1137" s="9"/>
      <c r="S1137" s="47"/>
    </row>
    <row r="1138" spans="1:21" x14ac:dyDescent="0.2">
      <c r="A1138" s="54">
        <v>152000</v>
      </c>
      <c r="B1138" s="9">
        <v>24800</v>
      </c>
      <c r="C1138" s="136">
        <v>102000</v>
      </c>
      <c r="D1138" s="136">
        <v>165300</v>
      </c>
      <c r="E1138" s="144">
        <v>100100</v>
      </c>
      <c r="F1138" s="469" t="s">
        <v>2055</v>
      </c>
      <c r="G1138" s="9" t="s">
        <v>159</v>
      </c>
      <c r="H1138" s="9">
        <v>112200</v>
      </c>
      <c r="I1138" s="85">
        <f>IF(E1138=H1138,0,IF(E1138=0,100,(H1138-E1138)/E1138*100))</f>
        <v>12.087912087912088</v>
      </c>
      <c r="J1138" s="9">
        <f>ROUNDUP(H1138+(H1138*Assumptions!I$18),-2)</f>
        <v>114500</v>
      </c>
      <c r="K1138" s="9">
        <f>ROUNDUP(J1138+(J1138*Assumptions!J$18),-2)</f>
        <v>116800</v>
      </c>
      <c r="L1138" s="9">
        <f>ROUNDUP(K1138+(K1138*Assumptions!K$18),-2)</f>
        <v>119200</v>
      </c>
      <c r="M1138" s="9">
        <f>ROUNDUP(L1138+(L1138*Assumptions!L$18),-2)</f>
        <v>121600</v>
      </c>
      <c r="N1138" s="9">
        <f>ROUNDUP(M1138+(M1138*Assumptions!M$18),-2)</f>
        <v>124100</v>
      </c>
      <c r="O1138" s="9">
        <f>ROUNDUP(N1138+(N1138*Assumptions!N$18),-2)</f>
        <v>126600</v>
      </c>
      <c r="P1138" s="9">
        <f>ROUNDUP(O1138+(O1138*Assumptions!O$18),-2)</f>
        <v>129200</v>
      </c>
      <c r="Q1138" s="9">
        <f>ROUNDUP(P1138+(P1138*Assumptions!P$18),-2)</f>
        <v>131800</v>
      </c>
      <c r="R1138" s="9">
        <f>ROUNDUP(Q1138+(Q1138*Assumptions!Q$18),-2)</f>
        <v>134500</v>
      </c>
      <c r="S1138" s="47">
        <f>ROUNDUP(R1138+(R1138*Assumptions!R$18),-2)</f>
        <v>137200</v>
      </c>
    </row>
    <row r="1139" spans="1:21" x14ac:dyDescent="0.2">
      <c r="A1139" s="54">
        <v>477500</v>
      </c>
      <c r="B1139" s="9">
        <v>0</v>
      </c>
      <c r="C1139" s="136">
        <v>280600</v>
      </c>
      <c r="D1139" s="136">
        <v>413400</v>
      </c>
      <c r="E1139" s="144">
        <v>353000</v>
      </c>
      <c r="F1139" s="769" t="s">
        <v>2056</v>
      </c>
      <c r="G1139" s="9" t="s">
        <v>2057</v>
      </c>
      <c r="H1139" s="9">
        <v>306000</v>
      </c>
      <c r="I1139" s="85">
        <f>IF(E1139=H1139,0,IF(E1139=0,100,(H1139-E1139)/E1139*100))</f>
        <v>-13.314447592067987</v>
      </c>
      <c r="J1139" s="9">
        <f>ROUNDUP(H1139+(H1139*Assumptions!I$18),-2)</f>
        <v>312200</v>
      </c>
      <c r="K1139" s="9">
        <f>ROUNDUP(J1139+(J1139*Assumptions!J$18),-2)</f>
        <v>318500</v>
      </c>
      <c r="L1139" s="9">
        <f>ROUNDUP(K1139+(K1139*Assumptions!K$18),-2)</f>
        <v>324900</v>
      </c>
      <c r="M1139" s="9">
        <f>ROUNDUP(L1139+(L1139*Assumptions!L$18),-2)</f>
        <v>331400</v>
      </c>
      <c r="N1139" s="9">
        <f>ROUNDUP(M1139+(M1139*Assumptions!M$18),-2)</f>
        <v>338100</v>
      </c>
      <c r="O1139" s="9">
        <f>ROUNDUP(N1139+(N1139*Assumptions!N$18),-2)</f>
        <v>344900</v>
      </c>
      <c r="P1139" s="9">
        <f>ROUNDUP(O1139+(O1139*Assumptions!O$18),-2)</f>
        <v>351800</v>
      </c>
      <c r="Q1139" s="9">
        <f>ROUNDUP(P1139+(P1139*Assumptions!P$18),-2)</f>
        <v>358900</v>
      </c>
      <c r="R1139" s="9">
        <f>ROUNDUP(Q1139+(Q1139*Assumptions!Q$18),-2)</f>
        <v>366100</v>
      </c>
      <c r="S1139" s="47">
        <f>ROUNDUP(R1139+(R1139*Assumptions!R$18),-2)</f>
        <v>373500</v>
      </c>
    </row>
    <row r="1140" spans="1:21" ht="13.5" thickBot="1" x14ac:dyDescent="0.25">
      <c r="A1140" s="54"/>
      <c r="B1140" s="9"/>
      <c r="E1140" s="1442"/>
      <c r="F1140" s="167"/>
      <c r="G1140" s="257"/>
      <c r="H1140" s="9"/>
      <c r="I1140" s="85"/>
      <c r="J1140" s="9"/>
      <c r="K1140" s="9"/>
      <c r="L1140" s="9"/>
      <c r="M1140" s="9"/>
      <c r="N1140" s="9"/>
      <c r="O1140" s="9"/>
      <c r="P1140" s="9"/>
      <c r="Q1140" s="9"/>
      <c r="R1140" s="9"/>
      <c r="S1140" s="47"/>
    </row>
    <row r="1141" spans="1:21" s="39" customFormat="1" x14ac:dyDescent="0.2">
      <c r="A1141" s="52">
        <f>SUM(A1106:A1140)</f>
        <v>1605400</v>
      </c>
      <c r="B1141" s="16">
        <f>SUM(B1106:B1140)</f>
        <v>1247900</v>
      </c>
      <c r="C1141" s="137">
        <f>SUM(C1106:C1140)</f>
        <v>1503200</v>
      </c>
      <c r="D1141" s="137">
        <f>SUM(D1106:D1140)</f>
        <v>2104500</v>
      </c>
      <c r="E1141" s="1443">
        <f>SUM(E1106:E1140)</f>
        <v>1699200</v>
      </c>
      <c r="F1141" s="126"/>
      <c r="G1141" s="267" t="s">
        <v>556</v>
      </c>
      <c r="H1141" s="16">
        <f>SUM(H1106:H1140)</f>
        <v>1564400</v>
      </c>
      <c r="I1141" s="127">
        <f>IF(E1141=H1141,0,IF(E1141=0,100,(H1141-E1141)/E1141*100))</f>
        <v>-7.9331450094161955</v>
      </c>
      <c r="J1141" s="16">
        <f t="shared" ref="J1141:S1141" si="1944">SUM(J1106:J1140)</f>
        <v>1504500</v>
      </c>
      <c r="K1141" s="16">
        <f t="shared" si="1944"/>
        <v>1617400</v>
      </c>
      <c r="L1141" s="16">
        <f t="shared" si="1944"/>
        <v>1637400</v>
      </c>
      <c r="M1141" s="16">
        <f t="shared" si="1944"/>
        <v>1657300</v>
      </c>
      <c r="N1141" s="16">
        <f t="shared" si="1944"/>
        <v>1678200</v>
      </c>
      <c r="O1141" s="16">
        <f t="shared" si="1944"/>
        <v>1706200</v>
      </c>
      <c r="P1141" s="16">
        <f t="shared" si="1944"/>
        <v>1735600</v>
      </c>
      <c r="Q1141" s="16">
        <f t="shared" si="1944"/>
        <v>1766300</v>
      </c>
      <c r="R1141" s="16">
        <f t="shared" si="1944"/>
        <v>1796800</v>
      </c>
      <c r="S1141" s="2342">
        <f t="shared" si="1944"/>
        <v>1828300</v>
      </c>
      <c r="U1141" s="34"/>
    </row>
    <row r="1142" spans="1:21" x14ac:dyDescent="0.2">
      <c r="A1142" s="54"/>
      <c r="B1142" s="9"/>
      <c r="E1142" s="1442"/>
      <c r="F1142" s="85"/>
      <c r="G1142" s="257"/>
      <c r="H1142" s="9"/>
      <c r="I1142" s="85"/>
      <c r="J1142" s="9"/>
      <c r="K1142" s="9"/>
      <c r="L1142" s="9"/>
      <c r="M1142" s="9"/>
      <c r="N1142" s="9"/>
      <c r="O1142" s="9"/>
      <c r="P1142" s="9"/>
      <c r="Q1142" s="9"/>
      <c r="R1142" s="9"/>
      <c r="S1142" s="47"/>
    </row>
    <row r="1143" spans="1:21" s="39" customFormat="1" x14ac:dyDescent="0.2">
      <c r="A1143" s="24">
        <f>A1105-A1141</f>
        <v>-1381300</v>
      </c>
      <c r="B1143" s="21">
        <f>B1105-B1141</f>
        <v>-789500</v>
      </c>
      <c r="C1143" s="139">
        <f>C1105-C1141</f>
        <v>-1086100</v>
      </c>
      <c r="D1143" s="139">
        <f>D1105-D1141</f>
        <v>-1197400</v>
      </c>
      <c r="E1143" s="1444">
        <f>E1105-E1141</f>
        <v>-1262600</v>
      </c>
      <c r="F1143" s="173"/>
      <c r="G1143" s="361" t="s">
        <v>1002</v>
      </c>
      <c r="H1143" s="21">
        <f>H1105-H1141</f>
        <v>-1251300</v>
      </c>
      <c r="I1143" s="126">
        <f>IF(E1143=H1143,0,IF(E1143=0,100,(H1143-E1143)/E1143*100))</f>
        <v>-0.89497861555520364</v>
      </c>
      <c r="J1143" s="21">
        <f t="shared" ref="J1143:S1143" si="1945">J1105-J1141</f>
        <v>-1241000</v>
      </c>
      <c r="K1143" s="21">
        <f t="shared" si="1945"/>
        <v>-1353200</v>
      </c>
      <c r="L1143" s="21">
        <f t="shared" si="1945"/>
        <v>-1372500</v>
      </c>
      <c r="M1143" s="21">
        <f t="shared" si="1945"/>
        <v>-1391900</v>
      </c>
      <c r="N1143" s="21">
        <f t="shared" si="1945"/>
        <v>-1412000</v>
      </c>
      <c r="O1143" s="21">
        <f t="shared" si="1945"/>
        <v>-1434300</v>
      </c>
      <c r="P1143" s="21">
        <f t="shared" si="1945"/>
        <v>-1456700</v>
      </c>
      <c r="Q1143" s="21">
        <f t="shared" si="1945"/>
        <v>-1480200</v>
      </c>
      <c r="R1143" s="21">
        <f t="shared" si="1945"/>
        <v>-1503300</v>
      </c>
      <c r="S1143" s="86">
        <f t="shared" si="1945"/>
        <v>-1527300</v>
      </c>
      <c r="U1143" s="34"/>
    </row>
    <row r="1144" spans="1:21" x14ac:dyDescent="0.2">
      <c r="A1144" s="54">
        <f>SUM(A1137:A1140)</f>
        <v>629500</v>
      </c>
      <c r="B1144" s="9">
        <f>SUM(B1137:B1140)</f>
        <v>24800</v>
      </c>
      <c r="C1144" s="136">
        <f>SUM(C1137:C1140)</f>
        <v>382600</v>
      </c>
      <c r="D1144" s="136">
        <f>SUM(D1137:D1140)</f>
        <v>578700</v>
      </c>
      <c r="E1144" s="1442">
        <f t="shared" ref="E1144" si="1946">SUM(E1137:E1140)</f>
        <v>453100</v>
      </c>
      <c r="F1144" s="167"/>
      <c r="G1144" s="261" t="s">
        <v>1943</v>
      </c>
      <c r="H1144" s="134">
        <f t="shared" ref="H1144:O1144" si="1947">SUM(H1137:H1140)</f>
        <v>418200</v>
      </c>
      <c r="I1144" s="126">
        <f>IF(E1144=H1144,0,IF(E1144=0,100,(H1144-E1144)/E1144*100))</f>
        <v>-7.7024939306996245</v>
      </c>
      <c r="J1144" s="134">
        <f t="shared" si="1947"/>
        <v>426700</v>
      </c>
      <c r="K1144" s="134">
        <f t="shared" si="1947"/>
        <v>435300</v>
      </c>
      <c r="L1144" s="134">
        <f t="shared" si="1947"/>
        <v>444100</v>
      </c>
      <c r="M1144" s="134">
        <f t="shared" si="1947"/>
        <v>453000</v>
      </c>
      <c r="N1144" s="134">
        <f t="shared" si="1947"/>
        <v>462200</v>
      </c>
      <c r="O1144" s="789">
        <f t="shared" si="1947"/>
        <v>471500</v>
      </c>
      <c r="P1144" s="789">
        <f t="shared" ref="P1144:Q1144" si="1948">SUM(P1137:P1140)</f>
        <v>481000</v>
      </c>
      <c r="Q1144" s="789">
        <f t="shared" si="1948"/>
        <v>490700</v>
      </c>
      <c r="R1144" s="789">
        <f t="shared" ref="R1144" si="1949">SUM(R1137:R1140)</f>
        <v>500600</v>
      </c>
      <c r="S1144" s="2412">
        <f t="shared" ref="S1144" si="1950">SUM(S1137:S1140)</f>
        <v>510700</v>
      </c>
    </row>
    <row r="1145" spans="1:21" s="39" customFormat="1" x14ac:dyDescent="0.2">
      <c r="A1145" s="128">
        <f>A1143+A1144</f>
        <v>-751800</v>
      </c>
      <c r="B1145" s="280">
        <f>B1143+B1144</f>
        <v>-764700</v>
      </c>
      <c r="C1145" s="281">
        <f>C1143+C1144</f>
        <v>-703500</v>
      </c>
      <c r="D1145" s="281">
        <f>D1143+D1144</f>
        <v>-618700</v>
      </c>
      <c r="E1145" s="1515">
        <f t="shared" ref="E1145" si="1951">E1143+E1144</f>
        <v>-809500</v>
      </c>
      <c r="F1145" s="372"/>
      <c r="G1145" s="363" t="s">
        <v>1659</v>
      </c>
      <c r="H1145" s="529">
        <f t="shared" ref="H1145:O1145" si="1952">H1143+H1144</f>
        <v>-833100</v>
      </c>
      <c r="I1145" s="278">
        <f>IF(E1145=H1145,0,IF(E1145=0,100,(H1145-E1145)/E1145*100))</f>
        <v>2.9153798641136501</v>
      </c>
      <c r="J1145" s="529">
        <f t="shared" si="1952"/>
        <v>-814300</v>
      </c>
      <c r="K1145" s="529">
        <f t="shared" si="1952"/>
        <v>-917900</v>
      </c>
      <c r="L1145" s="529">
        <f t="shared" si="1952"/>
        <v>-928400</v>
      </c>
      <c r="M1145" s="529">
        <f t="shared" si="1952"/>
        <v>-938900</v>
      </c>
      <c r="N1145" s="529">
        <f t="shared" si="1952"/>
        <v>-949800</v>
      </c>
      <c r="O1145" s="21">
        <f t="shared" si="1952"/>
        <v>-962800</v>
      </c>
      <c r="P1145" s="21">
        <f t="shared" ref="P1145:Q1145" si="1953">P1143+P1144</f>
        <v>-975700</v>
      </c>
      <c r="Q1145" s="21">
        <f t="shared" si="1953"/>
        <v>-989500</v>
      </c>
      <c r="R1145" s="21">
        <f t="shared" ref="R1145" si="1954">R1143+R1144</f>
        <v>-1002700</v>
      </c>
      <c r="S1145" s="86">
        <f t="shared" ref="S1145" si="1955">S1143+S1144</f>
        <v>-1016600</v>
      </c>
      <c r="U1145" s="34"/>
    </row>
    <row r="1146" spans="1:21" ht="13.5" thickBot="1" x14ac:dyDescent="0.25">
      <c r="A1146" s="118"/>
      <c r="B1146" s="113"/>
      <c r="C1146" s="148"/>
      <c r="D1146" s="148"/>
      <c r="E1146" s="1442"/>
      <c r="F1146" s="168"/>
      <c r="G1146" s="268"/>
      <c r="H1146" s="9"/>
      <c r="I1146" s="87"/>
      <c r="J1146" s="9"/>
      <c r="K1146" s="9"/>
      <c r="L1146" s="9"/>
      <c r="M1146" s="9"/>
      <c r="N1146" s="9"/>
      <c r="O1146" s="9"/>
      <c r="P1146" s="9"/>
      <c r="Q1146" s="9"/>
      <c r="R1146" s="9"/>
      <c r="S1146" s="61"/>
    </row>
    <row r="1147" spans="1:21" ht="13.5" thickTop="1" x14ac:dyDescent="0.2">
      <c r="A1147" s="270"/>
      <c r="B1147" s="69"/>
      <c r="C1147" s="140"/>
      <c r="D1147" s="140"/>
      <c r="E1147" s="1516"/>
      <c r="F1147" s="254"/>
      <c r="G1147" s="258"/>
      <c r="H1147" s="74"/>
      <c r="I1147" s="352"/>
      <c r="J1147" s="74"/>
      <c r="K1147" s="74"/>
      <c r="L1147" s="74"/>
      <c r="M1147" s="74"/>
      <c r="N1147" s="74"/>
      <c r="O1147" s="74"/>
      <c r="P1147" s="74"/>
      <c r="Q1147" s="74"/>
      <c r="R1147" s="74"/>
      <c r="S1147" s="110"/>
    </row>
    <row r="1148" spans="1:21" x14ac:dyDescent="0.2">
      <c r="A1148" s="24"/>
      <c r="B1148" s="75"/>
      <c r="C1148" s="139"/>
      <c r="D1148" s="139"/>
      <c r="E1148" s="143"/>
      <c r="F1148" s="167"/>
      <c r="G1148" s="361" t="s">
        <v>192</v>
      </c>
      <c r="H1148" s="9"/>
      <c r="I1148" s="126"/>
      <c r="J1148" s="9"/>
      <c r="K1148" s="9"/>
      <c r="L1148" s="9"/>
      <c r="M1148" s="9"/>
      <c r="N1148" s="9"/>
      <c r="O1148" s="9"/>
      <c r="P1148" s="9"/>
      <c r="Q1148" s="9"/>
      <c r="R1148" s="9"/>
      <c r="S1148" s="61"/>
    </row>
    <row r="1149" spans="1:21" x14ac:dyDescent="0.2">
      <c r="A1149" s="54">
        <v>375200</v>
      </c>
      <c r="B1149" s="89">
        <f>ROUND('Debt-Gen'!E39,-2)</f>
        <v>448700</v>
      </c>
      <c r="C1149" s="89">
        <f>ROUND('Debt-Gen'!G39,-2)</f>
        <v>416500</v>
      </c>
      <c r="D1149" s="89">
        <f>ROUND('Debt-Gen'!I39,-2)</f>
        <v>441900</v>
      </c>
      <c r="E1149" s="46">
        <f>ROUND('Debt-Gen'!K39,-2)</f>
        <v>469100</v>
      </c>
      <c r="F1149" s="167"/>
      <c r="G1149" s="257" t="s">
        <v>2848</v>
      </c>
      <c r="H1149" s="9">
        <f>ROUND('Debt-Gen'!M39,-2)</f>
        <v>498000</v>
      </c>
      <c r="I1149" s="85">
        <f t="shared" ref="I1149:I1154" si="1956">IF(E1149=H1149,0,IF(E1149=0,100,(H1149-E1149)/E1149*100))</f>
        <v>6.1607333191217224</v>
      </c>
      <c r="J1149" s="9">
        <f>ROUND('Debt-Gen'!O39,-2)</f>
        <v>444800</v>
      </c>
      <c r="K1149" s="9">
        <f>ROUND('Debt-Gen'!Q39,-2)</f>
        <v>350800</v>
      </c>
      <c r="L1149" s="9">
        <f>ROUND('Debt-Gen'!S39,-2)</f>
        <v>366900</v>
      </c>
      <c r="M1149" s="9">
        <f>ROUND('Debt-Gen'!U39,-2)</f>
        <v>384200</v>
      </c>
      <c r="N1149" s="9">
        <f>ROUND('Debt-Gen'!W39,-2)</f>
        <v>317000</v>
      </c>
      <c r="O1149" s="9">
        <f>ROUND('Debt-Gen'!Y39,-2)</f>
        <v>243000</v>
      </c>
      <c r="P1149" s="9">
        <f>ROUND('Debt-Gen'!AA39,-2)</f>
        <v>253000</v>
      </c>
      <c r="Q1149" s="9">
        <f>ROUND('Debt-Gen'!AC39,-2)</f>
        <v>263000</v>
      </c>
      <c r="R1149" s="9">
        <f>ROUND('Debt-Gen'!AE39,-2)</f>
        <v>274000</v>
      </c>
      <c r="S1149" s="47">
        <f>ROUND('Debt-Gen'!AG39,-2)</f>
        <v>285000</v>
      </c>
    </row>
    <row r="1150" spans="1:21" x14ac:dyDescent="0.2">
      <c r="A1150" s="54">
        <v>1084900</v>
      </c>
      <c r="B1150" s="89">
        <v>487000</v>
      </c>
      <c r="C1150" s="136">
        <v>2024700</v>
      </c>
      <c r="D1150" s="136">
        <f>SUM('Res-Gen'!B191:B198)+23300</f>
        <v>2588300</v>
      </c>
      <c r="E1150" s="144">
        <v>73700</v>
      </c>
      <c r="F1150" s="167"/>
      <c r="G1150" s="257" t="s">
        <v>1909</v>
      </c>
      <c r="H1150" s="9">
        <f>SUM('Res-Gen'!H191:H198)</f>
        <v>70900</v>
      </c>
      <c r="I1150" s="85">
        <f t="shared" si="1956"/>
        <v>-3.7991858887381276</v>
      </c>
      <c r="J1150" s="9">
        <f>SUM('Res-Gen'!K191:K198)</f>
        <v>0</v>
      </c>
      <c r="K1150" s="9">
        <f>SUM('Res-Gen'!N191:N198)</f>
        <v>0</v>
      </c>
      <c r="L1150" s="9">
        <f>SUM('Res-Gen'!Q191:Q198)</f>
        <v>0</v>
      </c>
      <c r="M1150" s="9">
        <f>SUM('Res-Gen'!T191:T198)</f>
        <v>0</v>
      </c>
      <c r="N1150" s="9">
        <f>SUM('Res-Gen'!W191:W198)</f>
        <v>0</v>
      </c>
      <c r="O1150" s="9">
        <f>SUM('Res-Gen'!Z191:Z198)</f>
        <v>0</v>
      </c>
      <c r="P1150" s="9">
        <f>SUM('Res-Gen'!AC191:AC198)</f>
        <v>0</v>
      </c>
      <c r="Q1150" s="9">
        <f>SUM('Res-Gen'!AF191:AF198)</f>
        <v>0</v>
      </c>
      <c r="R1150" s="9">
        <f>SUM('Res-Gen'!AI191:AI198)</f>
        <v>0</v>
      </c>
      <c r="S1150" s="47">
        <f>SUM('Res-Gen'!AL191:AL198)</f>
        <v>0</v>
      </c>
    </row>
    <row r="1151" spans="1:21" x14ac:dyDescent="0.2">
      <c r="A1151" s="54">
        <v>2985800</v>
      </c>
      <c r="B1151" s="89">
        <v>2484000</v>
      </c>
      <c r="C1151" s="136">
        <v>1186000</v>
      </c>
      <c r="D1151" s="136">
        <f>SUM('Res-Gen'!C191:C197)-'Res-Gen'!C195+SUM('Res-Gen'!C91:C91)+'Res-Gen'!C72+'Sec 94'!E51+270000+135000+49700+7000</f>
        <v>4652700</v>
      </c>
      <c r="E1151" s="144">
        <f>55700+1968000</f>
        <v>2023700</v>
      </c>
      <c r="F1151" s="167"/>
      <c r="G1151" s="257" t="s">
        <v>2309</v>
      </c>
      <c r="H1151" s="9">
        <f>SUM('Res-Gen'!I191:I198)+SUM('Res-Gen'!I91:I91)+12100</f>
        <v>1012000</v>
      </c>
      <c r="I1151" s="85">
        <f t="shared" si="1956"/>
        <v>-49.992587834165143</v>
      </c>
      <c r="J1151" s="9">
        <f>SUM('Res-Gen'!L191:L198)+SUM('Res-Gen'!L91:L91)</f>
        <v>749400</v>
      </c>
      <c r="K1151" s="9">
        <f>SUM('Res-Gen'!O191:O198)+SUM('Res-Gen'!O91:O91)</f>
        <v>308000</v>
      </c>
      <c r="L1151" s="9">
        <f>SUM('Res-Gen'!R191:R198)+SUM('Res-Gen'!R91:R91)</f>
        <v>308000</v>
      </c>
      <c r="M1151" s="9">
        <f>SUM('Res-Gen'!U191:U198)+SUM('Res-Gen'!U91:U91)</f>
        <v>308000</v>
      </c>
      <c r="N1151" s="9">
        <f>SUM('Res-Gen'!X191:X198)+SUM('Res-Gen'!X91:X91)</f>
        <v>308000</v>
      </c>
      <c r="O1151" s="9">
        <f>SUM('Res-Gen'!AA191:AA198)+SUM('Res-Gen'!AA91:AA91)</f>
        <v>308000</v>
      </c>
      <c r="P1151" s="9">
        <f>SUM('Res-Gen'!AD191:AD198)+SUM('Res-Gen'!AD91:AD91)</f>
        <v>308000</v>
      </c>
      <c r="Q1151" s="9">
        <f>SUM('Res-Gen'!AG191:AG198)+SUM('Res-Gen'!AG91:AG91)</f>
        <v>308000</v>
      </c>
      <c r="R1151" s="9">
        <f>SUM('Res-Gen'!AJ191:AJ198)+SUM('Res-Gen'!AJ91:AJ91)</f>
        <v>308000</v>
      </c>
      <c r="S1151" s="47">
        <f>SUM('Res-Gen'!AM191:AM198)+SUM('Res-Gen'!AM91:AM91)</f>
        <v>308000</v>
      </c>
    </row>
    <row r="1152" spans="1:21" x14ac:dyDescent="0.2">
      <c r="A1152" s="54">
        <v>1384100</v>
      </c>
      <c r="B1152" s="89">
        <v>574300</v>
      </c>
      <c r="C1152" s="136">
        <v>1619800</v>
      </c>
      <c r="D1152" s="136">
        <f>SUM('Cap-Gen'!R145:R157)+SUM('Cap-Gen'!T145:T157)</f>
        <v>450200</v>
      </c>
      <c r="E1152" s="144">
        <v>2900</v>
      </c>
      <c r="F1152" s="167"/>
      <c r="G1152" s="257" t="s">
        <v>5847</v>
      </c>
      <c r="H1152" s="9">
        <f>SUM('Cap-Gen'!AB145:AB157)+SUM('Cap-Gen'!AD152:AD157)</f>
        <v>429000</v>
      </c>
      <c r="I1152" s="85">
        <f t="shared" si="1956"/>
        <v>14693.103448275864</v>
      </c>
      <c r="J1152" s="9">
        <f>SUM('Cap-Gen'!AG145:AG151)+SUM('Cap-Gen'!AI152:AI157)</f>
        <v>425000</v>
      </c>
      <c r="K1152" s="9">
        <f>SUM('Cap-Gen'!AL145:AL151)+SUM('Cap-Gen'!AN152:AN157)</f>
        <v>0</v>
      </c>
      <c r="L1152" s="9">
        <v>0</v>
      </c>
      <c r="M1152" s="9">
        <v>0</v>
      </c>
      <c r="N1152" s="9">
        <v>0</v>
      </c>
      <c r="O1152" s="9">
        <v>0</v>
      </c>
      <c r="P1152" s="9">
        <v>0</v>
      </c>
      <c r="Q1152" s="9">
        <v>0</v>
      </c>
      <c r="R1152" s="9">
        <v>0</v>
      </c>
      <c r="S1152" s="47">
        <v>0</v>
      </c>
    </row>
    <row r="1153" spans="1:21" x14ac:dyDescent="0.2">
      <c r="A1153" s="54">
        <v>3687900</v>
      </c>
      <c r="B1153" s="89">
        <v>2270500</v>
      </c>
      <c r="C1153" s="136">
        <v>2065600</v>
      </c>
      <c r="D1153" s="136">
        <f>SUM('Cap-Gen'!E145:E157)</f>
        <v>2439000</v>
      </c>
      <c r="E1153" s="144">
        <f>SUM('Cap-Gen'!F145:F157)</f>
        <v>1999800</v>
      </c>
      <c r="F1153" s="167"/>
      <c r="G1153" s="257" t="s">
        <v>958</v>
      </c>
      <c r="H1153" s="9">
        <f>SUM('Cap-Gen'!G145:G157)</f>
        <v>1370000</v>
      </c>
      <c r="I1153" s="85">
        <f t="shared" si="1956"/>
        <v>-31.493149314931497</v>
      </c>
      <c r="J1153" s="9">
        <f>SUM('Cap-Gen'!H145:H157)</f>
        <v>1360000</v>
      </c>
      <c r="K1153" s="9">
        <f>SUM('Cap-Gen'!I145:I157)</f>
        <v>530000</v>
      </c>
      <c r="L1153" s="9">
        <f>SUM('Cap-Gen'!J145:J157)</f>
        <v>543000</v>
      </c>
      <c r="M1153" s="9">
        <f>SUM('Cap-Gen'!K145:K157)</f>
        <v>556000</v>
      </c>
      <c r="N1153" s="9">
        <f>SUM('Cap-Gen'!L145:L157)</f>
        <v>570000</v>
      </c>
      <c r="O1153" s="9">
        <f>SUM('Cap-Gen'!M145:M157)</f>
        <v>584000</v>
      </c>
      <c r="P1153" s="9">
        <f>SUM('Cap-Gen'!N145:N157)</f>
        <v>598000</v>
      </c>
      <c r="Q1153" s="9">
        <f>SUM('Cap-Gen'!O145:O157)</f>
        <v>613000</v>
      </c>
      <c r="R1153" s="9">
        <f>SUM('Cap-Gen'!P145:P157)</f>
        <v>628000</v>
      </c>
      <c r="S1153" s="47">
        <f>SUM('Cap-Gen'!Q145:Q157)</f>
        <v>644000</v>
      </c>
    </row>
    <row r="1154" spans="1:21" s="39" customFormat="1" x14ac:dyDescent="0.2">
      <c r="A1154" s="128">
        <f>A1145-A1149-A1150+A1151++A1152-A1153</f>
        <v>-1529900</v>
      </c>
      <c r="B1154" s="266">
        <f>B1145-B1149-B1150+B1151++B1152-B1153</f>
        <v>-912600</v>
      </c>
      <c r="C1154" s="281">
        <f>C1145-C1149-C1150+C1151++C1152-C1153</f>
        <v>-2404500</v>
      </c>
      <c r="D1154" s="281">
        <f>D1145-D1149-D1150+D1151++D1152-D1153</f>
        <v>-985000</v>
      </c>
      <c r="E1154" s="1513">
        <f t="shared" ref="E1154" si="1957">E1145-E1149-E1150+E1151++E1152-E1153</f>
        <v>-1325500</v>
      </c>
      <c r="F1154" s="372"/>
      <c r="G1154" s="363" t="s">
        <v>2447</v>
      </c>
      <c r="H1154" s="280">
        <f t="shared" ref="H1154:P1154" si="1958">H1145-H1149-H1150+H1151++H1152-H1153</f>
        <v>-1331000</v>
      </c>
      <c r="I1154" s="278">
        <f t="shared" si="1956"/>
        <v>0.41493775933609961</v>
      </c>
      <c r="J1154" s="280">
        <f t="shared" si="1958"/>
        <v>-1444700</v>
      </c>
      <c r="K1154" s="280">
        <f t="shared" si="1958"/>
        <v>-1490700</v>
      </c>
      <c r="L1154" s="280">
        <f t="shared" si="1958"/>
        <v>-1530300</v>
      </c>
      <c r="M1154" s="280">
        <f t="shared" si="1958"/>
        <v>-1571100</v>
      </c>
      <c r="N1154" s="280">
        <f t="shared" si="1958"/>
        <v>-1528800</v>
      </c>
      <c r="O1154" s="280">
        <f t="shared" si="1958"/>
        <v>-1481800</v>
      </c>
      <c r="P1154" s="280">
        <f t="shared" si="1958"/>
        <v>-1518700</v>
      </c>
      <c r="Q1154" s="280">
        <f t="shared" ref="Q1154" si="1959">Q1145-Q1149-Q1150+Q1151++Q1152-Q1153</f>
        <v>-1557500</v>
      </c>
      <c r="R1154" s="280">
        <f t="shared" ref="R1154:S1154" si="1960">R1145-R1149-R1150+R1151++R1152-R1153</f>
        <v>-1596700</v>
      </c>
      <c r="S1154" s="282">
        <f t="shared" si="1960"/>
        <v>-1637600</v>
      </c>
      <c r="U1154" s="34"/>
    </row>
    <row r="1155" spans="1:21" ht="13.5" thickBot="1" x14ac:dyDescent="0.25">
      <c r="A1155" s="26"/>
      <c r="B1155" s="81"/>
      <c r="C1155" s="141"/>
      <c r="D1155" s="141"/>
      <c r="E1155" s="1437"/>
      <c r="F1155" s="166"/>
      <c r="G1155" s="259"/>
      <c r="H1155" s="23"/>
      <c r="I1155" s="275"/>
      <c r="J1155" s="23"/>
      <c r="K1155" s="23"/>
      <c r="L1155" s="23"/>
      <c r="M1155" s="23"/>
      <c r="N1155" s="23"/>
      <c r="O1155" s="23"/>
      <c r="P1155" s="23"/>
      <c r="Q1155" s="23"/>
      <c r="R1155" s="23"/>
      <c r="S1155" s="112"/>
    </row>
    <row r="1156" spans="1:21" s="46" customFormat="1" ht="13.5" thickTop="1" x14ac:dyDescent="0.2">
      <c r="C1156" s="144"/>
      <c r="D1156" s="144"/>
      <c r="E1156" s="144"/>
      <c r="F1156" s="165"/>
      <c r="I1156" s="70"/>
      <c r="U1156" s="34"/>
    </row>
    <row r="1157" spans="1:21" s="46" customFormat="1" ht="13.5" thickBot="1" x14ac:dyDescent="0.25">
      <c r="A1157" s="27"/>
      <c r="B1157" s="27"/>
      <c r="C1157" s="143"/>
      <c r="D1157" s="143"/>
      <c r="E1157" s="143"/>
      <c r="F1157" s="169"/>
      <c r="G1157" s="84"/>
      <c r="I1157" s="2234"/>
      <c r="U1157" s="34"/>
    </row>
    <row r="1158" spans="1:21" s="38" customFormat="1" ht="18.75" customHeight="1" thickTop="1" thickBot="1" x14ac:dyDescent="0.3">
      <c r="A1158" s="2588" t="s">
        <v>3236</v>
      </c>
      <c r="B1158" s="2589"/>
      <c r="C1158" s="2589"/>
      <c r="D1158" s="2589"/>
      <c r="E1158" s="2589"/>
      <c r="F1158" s="2589"/>
      <c r="G1158" s="2589"/>
      <c r="H1158" s="2589"/>
      <c r="I1158" s="2589"/>
      <c r="J1158" s="2589"/>
      <c r="K1158" s="2589"/>
      <c r="L1158" s="2589"/>
      <c r="M1158" s="2589"/>
      <c r="N1158" s="2589"/>
      <c r="O1158" s="2589"/>
      <c r="P1158" s="2589"/>
      <c r="Q1158" s="2589"/>
      <c r="R1158" s="2589"/>
      <c r="S1158" s="2590"/>
      <c r="U1158" s="34"/>
    </row>
    <row r="1159" spans="1:21" s="39" customFormat="1" ht="13.5" thickBot="1" x14ac:dyDescent="0.25">
      <c r="A1159" s="2591" t="s">
        <v>1824</v>
      </c>
      <c r="B1159" s="2577"/>
      <c r="C1159" s="2577"/>
      <c r="D1159" s="2577"/>
      <c r="E1159" s="2592"/>
      <c r="F1159" s="127" t="s">
        <v>2616</v>
      </c>
      <c r="G1159" s="127" t="s">
        <v>2213</v>
      </c>
      <c r="H1159" s="2568" t="s">
        <v>2215</v>
      </c>
      <c r="I1159" s="2568"/>
      <c r="J1159" s="2568"/>
      <c r="K1159" s="2568"/>
      <c r="L1159" s="2568"/>
      <c r="M1159" s="2568"/>
      <c r="N1159" s="2568"/>
      <c r="O1159" s="2568"/>
      <c r="P1159" s="2568"/>
      <c r="Q1159" s="2568"/>
      <c r="R1159" s="2568"/>
      <c r="S1159" s="2607"/>
      <c r="U1159" s="34"/>
    </row>
    <row r="1160" spans="1:21" ht="12.75" customHeight="1" thickBot="1" x14ac:dyDescent="0.25">
      <c r="A1160" s="541" t="str">
        <f>A3</f>
        <v>2012/13</v>
      </c>
      <c r="B1160" s="28" t="str">
        <f>B3</f>
        <v>2013/14</v>
      </c>
      <c r="C1160" s="40" t="str">
        <f>C3</f>
        <v>2014/15</v>
      </c>
      <c r="D1160" s="40" t="str">
        <f>D3</f>
        <v>2015/16</v>
      </c>
      <c r="E1160" s="40" t="str">
        <f>E3</f>
        <v>2016/17</v>
      </c>
      <c r="F1160" s="40" t="str">
        <f>F1088</f>
        <v>ACCOUNT</v>
      </c>
      <c r="G1160" s="41"/>
      <c r="H1160" s="40" t="str">
        <f>H3</f>
        <v>2017/18</v>
      </c>
      <c r="I1160" s="1258" t="str">
        <f>I1088</f>
        <v>%</v>
      </c>
      <c r="J1160" s="40" t="str">
        <f t="shared" ref="J1160:S1160" si="1961">J3</f>
        <v>2018/19</v>
      </c>
      <c r="K1160" s="40" t="str">
        <f t="shared" si="1961"/>
        <v>2019/20</v>
      </c>
      <c r="L1160" s="40" t="str">
        <f t="shared" si="1961"/>
        <v>2020/21</v>
      </c>
      <c r="M1160" s="40" t="str">
        <f t="shared" si="1961"/>
        <v>2021/22</v>
      </c>
      <c r="N1160" s="40" t="str">
        <f t="shared" si="1961"/>
        <v>2022/23</v>
      </c>
      <c r="O1160" s="40" t="str">
        <f t="shared" si="1961"/>
        <v>2023/24</v>
      </c>
      <c r="P1160" s="40" t="str">
        <f t="shared" si="1961"/>
        <v>2024/25</v>
      </c>
      <c r="Q1160" s="28" t="str">
        <f t="shared" si="1961"/>
        <v>2025/26</v>
      </c>
      <c r="R1160" s="28" t="str">
        <f t="shared" si="1961"/>
        <v>2026/27</v>
      </c>
      <c r="S1160" s="1620" t="str">
        <f t="shared" si="1961"/>
        <v>2027/28</v>
      </c>
    </row>
    <row r="1161" spans="1:21" x14ac:dyDescent="0.2">
      <c r="A1161" s="54"/>
      <c r="B1161" s="9"/>
      <c r="E1161" s="1442"/>
      <c r="F1161" s="2425"/>
      <c r="G1161" s="116"/>
      <c r="H1161" s="9"/>
      <c r="I1161" s="85"/>
      <c r="J1161" s="9"/>
      <c r="K1161" s="9"/>
      <c r="L1161" s="9"/>
      <c r="M1161" s="9"/>
      <c r="N1161" s="9"/>
      <c r="O1161" s="9"/>
      <c r="P1161" s="9"/>
      <c r="Q1161" s="9"/>
      <c r="R1161" s="9"/>
      <c r="S1161" s="61"/>
    </row>
    <row r="1162" spans="1:21" x14ac:dyDescent="0.2">
      <c r="A1162" s="54"/>
      <c r="B1162" s="9"/>
      <c r="C1162" s="134"/>
      <c r="D1162" s="134"/>
      <c r="E1162" s="1442"/>
      <c r="F1162" s="167"/>
      <c r="G1162" s="256" t="s">
        <v>1056</v>
      </c>
      <c r="H1162" s="9"/>
      <c r="I1162" s="85"/>
      <c r="J1162" s="9"/>
      <c r="K1162" s="9"/>
      <c r="L1162" s="9"/>
      <c r="M1162" s="9"/>
      <c r="N1162" s="9"/>
      <c r="O1162" s="9"/>
      <c r="P1162" s="9"/>
      <c r="Q1162" s="9"/>
      <c r="R1162" s="9"/>
      <c r="S1162" s="61"/>
    </row>
    <row r="1163" spans="1:21" x14ac:dyDescent="0.2">
      <c r="A1163" s="54"/>
      <c r="B1163" s="9"/>
      <c r="E1163" s="1442"/>
      <c r="F1163" s="769"/>
      <c r="G1163" s="9"/>
      <c r="H1163" s="9"/>
      <c r="I1163" s="85"/>
      <c r="J1163" s="9"/>
      <c r="K1163" s="9"/>
      <c r="L1163" s="9"/>
      <c r="M1163" s="9"/>
      <c r="N1163" s="9"/>
      <c r="O1163" s="9"/>
      <c r="P1163" s="9"/>
      <c r="Q1163" s="9"/>
      <c r="R1163" s="9"/>
      <c r="S1163" s="61"/>
    </row>
    <row r="1164" spans="1:21" x14ac:dyDescent="0.2">
      <c r="A1164" s="54"/>
      <c r="B1164" s="9"/>
      <c r="E1164" s="1442"/>
      <c r="F1164" s="167"/>
      <c r="G1164" s="63" t="s">
        <v>677</v>
      </c>
      <c r="H1164" s="9"/>
      <c r="I1164" s="85"/>
      <c r="J1164" s="9"/>
      <c r="K1164" s="9"/>
      <c r="L1164" s="9"/>
      <c r="M1164" s="9"/>
      <c r="N1164" s="9"/>
      <c r="O1164" s="9"/>
      <c r="P1164" s="9"/>
      <c r="Q1164" s="9"/>
      <c r="R1164" s="9"/>
      <c r="S1164" s="61"/>
    </row>
    <row r="1165" spans="1:21" x14ac:dyDescent="0.2">
      <c r="A1165" s="54">
        <v>0</v>
      </c>
      <c r="B1165" s="9">
        <v>0</v>
      </c>
      <c r="C1165" s="136">
        <v>16800</v>
      </c>
      <c r="D1165" s="136">
        <v>0</v>
      </c>
      <c r="E1165" s="1442">
        <v>0</v>
      </c>
      <c r="F1165" s="769" t="s">
        <v>3946</v>
      </c>
      <c r="G1165" s="661" t="s">
        <v>3571</v>
      </c>
      <c r="H1165" s="9">
        <v>0</v>
      </c>
      <c r="I1165" s="85">
        <f>IF(E1165=H1165,0,IF(E1165=0,100,(H1165-E1165)/E1165*100))</f>
        <v>0</v>
      </c>
      <c r="J1165" s="9">
        <f>ROUNDUP(H1165+(H1165*Assumptions!I$5),-2)</f>
        <v>0</v>
      </c>
      <c r="K1165" s="9">
        <f>ROUNDUP(J1165+(J1165*Assumptions!J$5),-2)</f>
        <v>0</v>
      </c>
      <c r="L1165" s="9">
        <f>ROUNDUP(K1165+(K1165*Assumptions!K$5),-2)</f>
        <v>0</v>
      </c>
      <c r="M1165" s="9">
        <f>ROUNDUP(L1165+(L1165*Assumptions!L$5),-2)</f>
        <v>0</v>
      </c>
      <c r="N1165" s="9">
        <f>ROUNDUP(M1165+(M1165*Assumptions!M$5),-2)</f>
        <v>0</v>
      </c>
      <c r="O1165" s="9">
        <f>ROUNDUP(N1165+(N1165*Assumptions!N$5),-2)</f>
        <v>0</v>
      </c>
      <c r="P1165" s="9">
        <f>ROUNDUP(O1165+(O1165*Assumptions!O$5),-2)</f>
        <v>0</v>
      </c>
      <c r="Q1165" s="9">
        <f>ROUNDUP(P1165+(P1165*Assumptions!P$5),-2)</f>
        <v>0</v>
      </c>
      <c r="R1165" s="9">
        <f>ROUNDUP(Q1165+(Q1165*Assumptions!Q$5),-2)</f>
        <v>0</v>
      </c>
      <c r="S1165" s="47">
        <f>ROUNDUP(R1165+(R1165*Assumptions!R$5),-2)</f>
        <v>0</v>
      </c>
    </row>
    <row r="1166" spans="1:21" x14ac:dyDescent="0.2">
      <c r="A1166" s="54">
        <v>0</v>
      </c>
      <c r="B1166" s="9">
        <v>0</v>
      </c>
      <c r="C1166" s="136">
        <v>0</v>
      </c>
      <c r="D1166" s="136">
        <v>0</v>
      </c>
      <c r="E1166" s="1442">
        <v>40000</v>
      </c>
      <c r="F1166" s="769" t="s">
        <v>6466</v>
      </c>
      <c r="G1166" s="661" t="s">
        <v>6467</v>
      </c>
      <c r="H1166" s="9">
        <v>0</v>
      </c>
      <c r="I1166" s="85">
        <f>IF(E1166=H1166,0,IF(E1166=0,100,(H1166-E1166)/E1166*100))</f>
        <v>-100</v>
      </c>
      <c r="J1166" s="9">
        <f>ROUNDUP(H1166+(H1166*Assumptions!I$5),-2)</f>
        <v>0</v>
      </c>
      <c r="K1166" s="9">
        <f>ROUNDUP(J1166+(J1166*Assumptions!J$5),-2)</f>
        <v>0</v>
      </c>
      <c r="L1166" s="9">
        <f>ROUNDUP(K1166+(K1166*Assumptions!K$5),-2)</f>
        <v>0</v>
      </c>
      <c r="M1166" s="9">
        <f>ROUNDUP(L1166+(L1166*Assumptions!L$5),-2)</f>
        <v>0</v>
      </c>
      <c r="N1166" s="9">
        <f>ROUNDUP(M1166+(M1166*Assumptions!M$5),-2)</f>
        <v>0</v>
      </c>
      <c r="O1166" s="9">
        <f>ROUNDUP(N1166+(N1166*Assumptions!N$5),-2)</f>
        <v>0</v>
      </c>
      <c r="P1166" s="9">
        <f>ROUNDUP(O1166+(O1166*Assumptions!O$5),-2)</f>
        <v>0</v>
      </c>
      <c r="Q1166" s="9">
        <f>ROUNDUP(P1166+(P1166*Assumptions!P$5),-2)</f>
        <v>0</v>
      </c>
      <c r="R1166" s="9">
        <f>ROUNDUP(Q1166+(Q1166*Assumptions!Q$5),-2)</f>
        <v>0</v>
      </c>
      <c r="S1166" s="47">
        <f>ROUNDUP(R1166+(R1166*Assumptions!R$5),-2)</f>
        <v>0</v>
      </c>
    </row>
    <row r="1167" spans="1:21" x14ac:dyDescent="0.2">
      <c r="A1167" s="54">
        <v>0</v>
      </c>
      <c r="B1167" s="9">
        <v>0</v>
      </c>
      <c r="C1167" s="136">
        <v>10600</v>
      </c>
      <c r="D1167" s="136">
        <v>6800</v>
      </c>
      <c r="E1167" s="1442">
        <v>2000</v>
      </c>
      <c r="F1167" s="769" t="s">
        <v>5426</v>
      </c>
      <c r="G1167" s="661" t="s">
        <v>6779</v>
      </c>
      <c r="H1167" s="9">
        <v>0</v>
      </c>
      <c r="I1167" s="85">
        <f>IF(E1167=H1167,0,IF(E1167=0,100,(H1167-E1167)/E1167*100))</f>
        <v>-100</v>
      </c>
      <c r="J1167" s="9">
        <f>ROUNDUP(H1167+(H1167*Assumptions!I$5),-2)</f>
        <v>0</v>
      </c>
      <c r="K1167" s="9">
        <f>ROUNDUP(J1167+(J1167*Assumptions!J$5),-2)</f>
        <v>0</v>
      </c>
      <c r="L1167" s="9">
        <f>ROUNDUP(K1167+(K1167*Assumptions!K$5),-2)</f>
        <v>0</v>
      </c>
      <c r="M1167" s="9">
        <f>ROUNDUP(L1167+(L1167*Assumptions!L$5),-2)</f>
        <v>0</v>
      </c>
      <c r="N1167" s="9">
        <f>ROUNDUP(M1167+(M1167*Assumptions!M$5),-2)</f>
        <v>0</v>
      </c>
      <c r="O1167" s="9">
        <f>ROUNDUP(N1167+(N1167*Assumptions!N$5),-2)</f>
        <v>0</v>
      </c>
      <c r="P1167" s="9">
        <f>ROUNDUP(O1167+(O1167*Assumptions!O$5),-2)</f>
        <v>0</v>
      </c>
      <c r="Q1167" s="9">
        <f>ROUNDUP(P1167+(P1167*Assumptions!P$5),-2)</f>
        <v>0</v>
      </c>
      <c r="R1167" s="9">
        <f>ROUNDUP(Q1167+(Q1167*Assumptions!Q$5),-2)</f>
        <v>0</v>
      </c>
      <c r="S1167" s="47">
        <f>ROUNDUP(R1167+(R1167*Assumptions!R$5),-2)</f>
        <v>0</v>
      </c>
    </row>
    <row r="1168" spans="1:21" x14ac:dyDescent="0.2">
      <c r="A1168" s="54"/>
      <c r="B1168" s="9"/>
      <c r="E1168" s="1442"/>
      <c r="F1168" s="167"/>
      <c r="G1168" s="9"/>
      <c r="H1168" s="9"/>
      <c r="I1168" s="85"/>
      <c r="J1168" s="9"/>
      <c r="K1168" s="9"/>
      <c r="L1168" s="9"/>
      <c r="M1168" s="9"/>
      <c r="N1168" s="9"/>
      <c r="O1168" s="9"/>
      <c r="P1168" s="9"/>
      <c r="Q1168" s="9"/>
      <c r="R1168" s="9"/>
      <c r="S1168" s="47"/>
    </row>
    <row r="1169" spans="1:21" x14ac:dyDescent="0.2">
      <c r="A1169" s="54"/>
      <c r="B1169" s="9"/>
      <c r="E1169" s="1442"/>
      <c r="F1169" s="167"/>
      <c r="G1169" s="21" t="s">
        <v>2265</v>
      </c>
      <c r="H1169" s="9"/>
      <c r="I1169" s="85"/>
      <c r="J1169" s="9"/>
      <c r="K1169" s="9"/>
      <c r="L1169" s="9"/>
      <c r="M1169" s="9"/>
      <c r="N1169" s="9"/>
      <c r="O1169" s="9"/>
      <c r="P1169" s="9"/>
      <c r="Q1169" s="9"/>
      <c r="R1169" s="9"/>
      <c r="S1169" s="47"/>
    </row>
    <row r="1170" spans="1:21" x14ac:dyDescent="0.2">
      <c r="A1170" s="54">
        <v>287100</v>
      </c>
      <c r="B1170" s="9">
        <v>345400</v>
      </c>
      <c r="C1170" s="136">
        <v>354500</v>
      </c>
      <c r="D1170" s="136">
        <v>342700</v>
      </c>
      <c r="E1170" s="1442">
        <v>381500</v>
      </c>
      <c r="F1170" s="469" t="s">
        <v>894</v>
      </c>
      <c r="G1170" s="385" t="s">
        <v>1315</v>
      </c>
      <c r="H1170" s="9">
        <v>365000</v>
      </c>
      <c r="I1170" s="85">
        <f>IF(E1170=H1170,0,IF(E1170=0,100,(H1170-E1170)/E1170*100))</f>
        <v>-4.3250327653997385</v>
      </c>
      <c r="J1170" s="9">
        <f>ROUNDUP(H1170+(H1170*Assumptions!I$5),-2)</f>
        <v>373400</v>
      </c>
      <c r="K1170" s="9">
        <f>ROUNDUP(J1170+(J1170*Assumptions!J$5),-2)</f>
        <v>382800</v>
      </c>
      <c r="L1170" s="9">
        <f>ROUNDUP(K1170+(K1170*Assumptions!K$5),-2)</f>
        <v>392400</v>
      </c>
      <c r="M1170" s="9">
        <f>ROUNDUP(L1170+(L1170*Assumptions!L$5),-2)</f>
        <v>402300</v>
      </c>
      <c r="N1170" s="9">
        <f>ROUNDUP(M1170+(M1170*Assumptions!M$5),-2)</f>
        <v>412400</v>
      </c>
      <c r="O1170" s="9">
        <f>ROUNDUP(N1170+(N1170*Assumptions!N$5),-2)</f>
        <v>422800</v>
      </c>
      <c r="P1170" s="9">
        <f>ROUNDUP(O1170+(O1170*Assumptions!O$5),-2)</f>
        <v>433400</v>
      </c>
      <c r="Q1170" s="9">
        <f>ROUNDUP(P1170+(P1170*Assumptions!P$5),-2)</f>
        <v>444300</v>
      </c>
      <c r="R1170" s="9">
        <f>ROUNDUP(Q1170+(Q1170*Assumptions!Q$5),-2)</f>
        <v>455500</v>
      </c>
      <c r="S1170" s="47">
        <f>ROUNDUP(R1170+(R1170*Assumptions!R$5),-2)</f>
        <v>466900</v>
      </c>
    </row>
    <row r="1171" spans="1:21" x14ac:dyDescent="0.2">
      <c r="A1171" s="54">
        <v>5800</v>
      </c>
      <c r="B1171" s="9">
        <v>12000</v>
      </c>
      <c r="C1171" s="136">
        <v>9000</v>
      </c>
      <c r="D1171" s="136">
        <v>8000</v>
      </c>
      <c r="E1171" s="1442">
        <v>5500</v>
      </c>
      <c r="F1171" s="469" t="s">
        <v>1894</v>
      </c>
      <c r="G1171" s="385" t="s">
        <v>1075</v>
      </c>
      <c r="H1171" s="9">
        <v>9000</v>
      </c>
      <c r="I1171" s="85">
        <f>IF(E1171=H1171,0,IF(E1171=0,100,(H1171-E1171)/E1171*100))</f>
        <v>63.636363636363633</v>
      </c>
      <c r="J1171" s="9">
        <f>ROUNDUP(H1171+(H1171*Assumptions!I$5),-2)</f>
        <v>9300</v>
      </c>
      <c r="K1171" s="9">
        <f>ROUNDUP(J1171+(J1171*Assumptions!J$5),-2)</f>
        <v>9600</v>
      </c>
      <c r="L1171" s="9">
        <f>ROUNDUP(K1171+(K1171*Assumptions!K$5),-2)</f>
        <v>9900</v>
      </c>
      <c r="M1171" s="9">
        <f>ROUNDUP(L1171+(L1171*Assumptions!L$5),-2)</f>
        <v>10200</v>
      </c>
      <c r="N1171" s="9">
        <f>ROUNDUP(M1171+(M1171*Assumptions!M$5),-2)</f>
        <v>10500</v>
      </c>
      <c r="O1171" s="9">
        <f>ROUNDUP(N1171+(N1171*Assumptions!N$5),-2)</f>
        <v>10800</v>
      </c>
      <c r="P1171" s="9">
        <f>ROUNDUP(O1171+(O1171*Assumptions!O$5),-2)</f>
        <v>11100</v>
      </c>
      <c r="Q1171" s="9">
        <f>ROUNDUP(P1171+(P1171*Assumptions!P$5),-2)</f>
        <v>11400</v>
      </c>
      <c r="R1171" s="9">
        <f>ROUNDUP(Q1171+(Q1171*Assumptions!Q$5),-2)</f>
        <v>11700</v>
      </c>
      <c r="S1171" s="47">
        <f>ROUNDUP(R1171+(R1171*Assumptions!R$5),-2)</f>
        <v>12000</v>
      </c>
    </row>
    <row r="1172" spans="1:21" x14ac:dyDescent="0.2">
      <c r="A1172" s="54">
        <v>76400</v>
      </c>
      <c r="B1172" s="9">
        <v>82100</v>
      </c>
      <c r="C1172" s="136">
        <v>80500</v>
      </c>
      <c r="D1172" s="136">
        <v>99500</v>
      </c>
      <c r="E1172" s="1442">
        <v>92200</v>
      </c>
      <c r="F1172" s="469" t="s">
        <v>1895</v>
      </c>
      <c r="G1172" s="385" t="s">
        <v>932</v>
      </c>
      <c r="H1172" s="9">
        <v>110000</v>
      </c>
      <c r="I1172" s="85">
        <f>IF(E1172=H1172,0,IF(E1172=0,100,(H1172-E1172)/E1172*100))</f>
        <v>19.305856832971802</v>
      </c>
      <c r="J1172" s="9">
        <f>ROUNDUP(H1172+(H1172*Assumptions!I$5),-2)</f>
        <v>112600</v>
      </c>
      <c r="K1172" s="9">
        <f>ROUNDUP(J1172+(J1172*Assumptions!J$5),-2)</f>
        <v>115500</v>
      </c>
      <c r="L1172" s="9">
        <f>ROUNDUP(K1172+(K1172*Assumptions!K$5),-2)</f>
        <v>118400</v>
      </c>
      <c r="M1172" s="9">
        <f>ROUNDUP(L1172+(L1172*Assumptions!L$5),-2)</f>
        <v>121400</v>
      </c>
      <c r="N1172" s="9">
        <f>ROUNDUP(M1172+(M1172*Assumptions!M$5),-2)</f>
        <v>124500</v>
      </c>
      <c r="O1172" s="9">
        <f>ROUNDUP(N1172+(N1172*Assumptions!N$5),-2)</f>
        <v>127700</v>
      </c>
      <c r="P1172" s="9">
        <f>ROUNDUP(O1172+(O1172*Assumptions!O$5),-2)</f>
        <v>130900</v>
      </c>
      <c r="Q1172" s="9">
        <f>ROUNDUP(P1172+(P1172*Assumptions!P$5),-2)</f>
        <v>134200</v>
      </c>
      <c r="R1172" s="9">
        <f>ROUNDUP(Q1172+(Q1172*Assumptions!Q$5),-2)</f>
        <v>137600</v>
      </c>
      <c r="S1172" s="47">
        <f>ROUNDUP(R1172+(R1172*Assumptions!R$5),-2)</f>
        <v>141100</v>
      </c>
    </row>
    <row r="1173" spans="1:21" x14ac:dyDescent="0.2">
      <c r="A1173" s="54">
        <v>4700</v>
      </c>
      <c r="B1173" s="9">
        <v>8000</v>
      </c>
      <c r="C1173" s="136">
        <v>8000</v>
      </c>
      <c r="D1173" s="136">
        <v>11100</v>
      </c>
      <c r="E1173" s="1442">
        <v>10000</v>
      </c>
      <c r="F1173" s="469" t="s">
        <v>1896</v>
      </c>
      <c r="G1173" s="385" t="s">
        <v>2665</v>
      </c>
      <c r="H1173" s="9">
        <v>11000</v>
      </c>
      <c r="I1173" s="85">
        <f>IF(E1173=H1173,0,IF(E1173=0,100,(H1173-E1173)/E1173*100))</f>
        <v>10</v>
      </c>
      <c r="J1173" s="9">
        <f>ROUNDUP(H1173+(H1173*Assumptions!I$5),-2)</f>
        <v>11300</v>
      </c>
      <c r="K1173" s="9">
        <f>ROUNDUP(J1173+(J1173*Assumptions!J$5),-2)</f>
        <v>11600</v>
      </c>
      <c r="L1173" s="9">
        <f>ROUNDUP(K1173+(K1173*Assumptions!K$5),-2)</f>
        <v>11900</v>
      </c>
      <c r="M1173" s="9">
        <f>ROUNDUP(L1173+(L1173*Assumptions!L$5),-2)</f>
        <v>12200</v>
      </c>
      <c r="N1173" s="9">
        <f>ROUNDUP(M1173+(M1173*Assumptions!M$5),-2)</f>
        <v>12600</v>
      </c>
      <c r="O1173" s="9">
        <f>ROUNDUP(N1173+(N1173*Assumptions!N$5),-2)</f>
        <v>13000</v>
      </c>
      <c r="P1173" s="9">
        <f>ROUNDUP(O1173+(O1173*Assumptions!O$5),-2)</f>
        <v>13400</v>
      </c>
      <c r="Q1173" s="9">
        <f>ROUNDUP(P1173+(P1173*Assumptions!P$5),-2)</f>
        <v>13800</v>
      </c>
      <c r="R1173" s="9">
        <f>ROUNDUP(Q1173+(Q1173*Assumptions!Q$5),-2)</f>
        <v>14200</v>
      </c>
      <c r="S1173" s="47">
        <f>ROUNDUP(R1173+(R1173*Assumptions!R$5),-2)</f>
        <v>14600</v>
      </c>
    </row>
    <row r="1174" spans="1:21" ht="13.5" thickBot="1" x14ac:dyDescent="0.25">
      <c r="A1174" s="54"/>
      <c r="B1174" s="9"/>
      <c r="E1174" s="1442"/>
      <c r="F1174" s="167"/>
      <c r="G1174" s="9"/>
      <c r="H1174" s="9"/>
      <c r="I1174" s="85"/>
      <c r="J1174" s="9"/>
      <c r="K1174" s="9"/>
      <c r="L1174" s="9"/>
      <c r="M1174" s="9"/>
      <c r="N1174" s="9"/>
      <c r="O1174" s="9"/>
      <c r="P1174" s="9"/>
      <c r="Q1174" s="9"/>
      <c r="R1174" s="9"/>
      <c r="S1174" s="47"/>
    </row>
    <row r="1175" spans="1:21" s="39" customFormat="1" x14ac:dyDescent="0.2">
      <c r="A1175" s="52">
        <f>SUM(A1162:A1174)</f>
        <v>374000</v>
      </c>
      <c r="B1175" s="16">
        <f>SUM(B1162:B1174)</f>
        <v>447500</v>
      </c>
      <c r="C1175" s="137">
        <f>SUM(C1162:C1174)</f>
        <v>479400</v>
      </c>
      <c r="D1175" s="137">
        <f>SUM(D1162:D1174)</f>
        <v>468100</v>
      </c>
      <c r="E1175" s="1443">
        <f>SUM(E1162:E1174)</f>
        <v>531200</v>
      </c>
      <c r="F1175" s="173"/>
      <c r="G1175" s="267" t="s">
        <v>2561</v>
      </c>
      <c r="H1175" s="16">
        <f t="shared" ref="H1175:Q1175" si="1962">SUM(H1162:H1174)</f>
        <v>495000</v>
      </c>
      <c r="I1175" s="127">
        <f>IF(E1175=H1175,0,IF(E1175=0,100,(H1175-E1175)/E1175*100))</f>
        <v>-6.8147590361445785</v>
      </c>
      <c r="J1175" s="16">
        <f t="shared" si="1962"/>
        <v>506600</v>
      </c>
      <c r="K1175" s="16">
        <f t="shared" si="1962"/>
        <v>519500</v>
      </c>
      <c r="L1175" s="16">
        <f t="shared" si="1962"/>
        <v>532600</v>
      </c>
      <c r="M1175" s="16">
        <f t="shared" si="1962"/>
        <v>546100</v>
      </c>
      <c r="N1175" s="16">
        <f t="shared" si="1962"/>
        <v>560000</v>
      </c>
      <c r="O1175" s="16">
        <f t="shared" si="1962"/>
        <v>574300</v>
      </c>
      <c r="P1175" s="16">
        <f t="shared" si="1962"/>
        <v>588800</v>
      </c>
      <c r="Q1175" s="16">
        <f t="shared" si="1962"/>
        <v>603700</v>
      </c>
      <c r="R1175" s="16">
        <f t="shared" ref="R1175" si="1963">SUM(R1162:R1174)</f>
        <v>619000</v>
      </c>
      <c r="S1175" s="2342">
        <f t="shared" ref="S1175" si="1964">SUM(S1162:S1174)</f>
        <v>634600</v>
      </c>
      <c r="U1175" s="34"/>
    </row>
    <row r="1176" spans="1:21" x14ac:dyDescent="0.2">
      <c r="A1176" s="54"/>
      <c r="B1176" s="9"/>
      <c r="E1176" s="1442"/>
      <c r="F1176" s="167"/>
      <c r="G1176" s="9"/>
      <c r="H1176" s="9"/>
      <c r="I1176" s="85"/>
      <c r="J1176" s="9"/>
      <c r="K1176" s="9"/>
      <c r="L1176" s="9"/>
      <c r="M1176" s="9"/>
      <c r="N1176" s="9"/>
      <c r="O1176" s="9"/>
      <c r="P1176" s="9"/>
      <c r="Q1176" s="9"/>
      <c r="R1176" s="9"/>
      <c r="S1176" s="47"/>
    </row>
    <row r="1177" spans="1:21" x14ac:dyDescent="0.2">
      <c r="A1177" s="54"/>
      <c r="B1177" s="9"/>
      <c r="E1177" s="1442"/>
      <c r="F1177" s="167"/>
      <c r="G1177" s="256" t="s">
        <v>2169</v>
      </c>
      <c r="H1177" s="9"/>
      <c r="I1177" s="85"/>
      <c r="J1177" s="9"/>
      <c r="K1177" s="9"/>
      <c r="L1177" s="9"/>
      <c r="M1177" s="9"/>
      <c r="N1177" s="9"/>
      <c r="O1177" s="9"/>
      <c r="P1177" s="9"/>
      <c r="Q1177" s="9"/>
      <c r="R1177" s="9"/>
      <c r="S1177" s="47"/>
    </row>
    <row r="1178" spans="1:21" x14ac:dyDescent="0.2">
      <c r="A1178" s="54"/>
      <c r="B1178" s="9"/>
      <c r="E1178" s="1442"/>
      <c r="F1178" s="167"/>
      <c r="G1178" s="9"/>
      <c r="H1178" s="9"/>
      <c r="I1178" s="85"/>
      <c r="J1178" s="9"/>
      <c r="K1178" s="9"/>
      <c r="L1178" s="9"/>
      <c r="M1178" s="9"/>
      <c r="N1178" s="9"/>
      <c r="O1178" s="9"/>
      <c r="P1178" s="9"/>
      <c r="Q1178" s="9"/>
      <c r="R1178" s="9"/>
      <c r="S1178" s="47"/>
    </row>
    <row r="1179" spans="1:21" x14ac:dyDescent="0.2">
      <c r="A1179" s="54"/>
      <c r="B1179" s="9"/>
      <c r="E1179" s="1442"/>
      <c r="F1179" s="167"/>
      <c r="G1179" s="63" t="s">
        <v>4660</v>
      </c>
      <c r="H1179" s="9"/>
      <c r="I1179" s="85"/>
      <c r="J1179" s="9"/>
      <c r="K1179" s="9"/>
      <c r="L1179" s="9"/>
      <c r="M1179" s="9"/>
      <c r="N1179" s="9"/>
      <c r="O1179" s="9"/>
      <c r="P1179" s="9"/>
      <c r="Q1179" s="9"/>
      <c r="R1179" s="9"/>
      <c r="S1179" s="47"/>
    </row>
    <row r="1180" spans="1:21" x14ac:dyDescent="0.2">
      <c r="A1180" s="54">
        <v>9700</v>
      </c>
      <c r="B1180" s="9">
        <f>20900-4800-5700</f>
        <v>10400</v>
      </c>
      <c r="C1180" s="136">
        <f>18800-5300</f>
        <v>13500</v>
      </c>
      <c r="D1180" s="136">
        <v>22800</v>
      </c>
      <c r="E1180" s="1442">
        <f>30500-E1184</f>
        <v>25800</v>
      </c>
      <c r="F1180" s="469" t="s">
        <v>234</v>
      </c>
      <c r="G1180" s="9" t="s">
        <v>2239</v>
      </c>
      <c r="H1180" s="9">
        <f>30000-1000</f>
        <v>29000</v>
      </c>
      <c r="I1180" s="85">
        <f t="shared" ref="I1180:I1185" si="1965">IF(E1180=H1180,0,IF(E1180=0,100,(H1180-E1180)/E1180*100))</f>
        <v>12.403100775193799</v>
      </c>
      <c r="J1180" s="9">
        <f>ROUNDUP(H1180+(H1180*Assumptions!I$5),-2)</f>
        <v>29700</v>
      </c>
      <c r="K1180" s="9">
        <f>ROUNDUP(J1180+(J1180*Assumptions!J$5),-2)</f>
        <v>30500</v>
      </c>
      <c r="L1180" s="9">
        <f>ROUNDUP(K1180+(K1180*Assumptions!K$5),-2)</f>
        <v>31300</v>
      </c>
      <c r="M1180" s="9">
        <f>ROUNDUP(L1180+(L1180*Assumptions!L$5),-2)</f>
        <v>32100</v>
      </c>
      <c r="N1180" s="9">
        <f>ROUNDUP(M1180+(M1180*Assumptions!M$5),-2)</f>
        <v>33000</v>
      </c>
      <c r="O1180" s="9">
        <f>ROUNDUP(N1180+(N1180*Assumptions!N$5),-2)</f>
        <v>33900</v>
      </c>
      <c r="P1180" s="9">
        <f>ROUNDUP(O1180+(O1180*Assumptions!O$5),-2)</f>
        <v>34800</v>
      </c>
      <c r="Q1180" s="9">
        <f>ROUNDUP(P1180+(P1180*Assumptions!P$5),-2)</f>
        <v>35700</v>
      </c>
      <c r="R1180" s="9">
        <f>ROUNDUP(Q1180+(Q1180*Assumptions!Q$5),-2)</f>
        <v>36600</v>
      </c>
      <c r="S1180" s="47">
        <f>ROUNDUP(R1180+(R1180*Assumptions!R$5),-2)</f>
        <v>37600</v>
      </c>
    </row>
    <row r="1181" spans="1:21" x14ac:dyDescent="0.2">
      <c r="A1181" s="54">
        <v>0</v>
      </c>
      <c r="B1181" s="9">
        <v>0</v>
      </c>
      <c r="C1181" s="136">
        <v>33400</v>
      </c>
      <c r="D1181" s="136">
        <v>20400</v>
      </c>
      <c r="E1181" s="1442">
        <v>4000</v>
      </c>
      <c r="F1181" s="769" t="s">
        <v>3939</v>
      </c>
      <c r="G1181" s="79" t="s">
        <v>5431</v>
      </c>
      <c r="H1181" s="9">
        <v>0</v>
      </c>
      <c r="I1181" s="167">
        <f t="shared" si="1965"/>
        <v>-100</v>
      </c>
      <c r="J1181" s="9">
        <f>ROUNDUP(H1181+(H1181*Assumptions!I$5),-2)</f>
        <v>0</v>
      </c>
      <c r="K1181" s="9">
        <f>ROUNDUP(J1181+(J1181*Assumptions!J$5),-2)</f>
        <v>0</v>
      </c>
      <c r="L1181" s="9">
        <f>ROUNDUP(K1181+(K1181*Assumptions!K$5),-2)</f>
        <v>0</v>
      </c>
      <c r="M1181" s="9">
        <f>ROUNDUP(L1181+(L1181*Assumptions!L$5),-2)</f>
        <v>0</v>
      </c>
      <c r="N1181" s="9">
        <f>ROUNDUP(M1181+(M1181*Assumptions!M$5),-2)</f>
        <v>0</v>
      </c>
      <c r="O1181" s="9">
        <f>ROUNDUP(N1181+(N1181*Assumptions!N$5),-2)</f>
        <v>0</v>
      </c>
      <c r="P1181" s="9">
        <f>ROUNDUP(O1181+(O1181*Assumptions!O$5),-2)</f>
        <v>0</v>
      </c>
      <c r="Q1181" s="9">
        <f>ROUNDUP(P1181+(P1181*Assumptions!P$5),-2)</f>
        <v>0</v>
      </c>
      <c r="R1181" s="9">
        <f>ROUNDUP(Q1181+(Q1181*Assumptions!Q$5),-2)</f>
        <v>0</v>
      </c>
      <c r="S1181" s="47">
        <f>ROUNDUP(R1181+(R1181*Assumptions!R$5),-2)</f>
        <v>0</v>
      </c>
    </row>
    <row r="1182" spans="1:21" x14ac:dyDescent="0.2">
      <c r="A1182" s="54">
        <v>0</v>
      </c>
      <c r="B1182" s="9">
        <v>0</v>
      </c>
      <c r="C1182" s="136">
        <v>0</v>
      </c>
      <c r="D1182" s="136">
        <v>24200</v>
      </c>
      <c r="E1182" s="1442">
        <v>57100</v>
      </c>
      <c r="F1182" s="769" t="s">
        <v>5427</v>
      </c>
      <c r="G1182" s="79" t="s">
        <v>5432</v>
      </c>
      <c r="H1182" s="9">
        <v>0</v>
      </c>
      <c r="I1182" s="85">
        <f t="shared" si="1965"/>
        <v>-100</v>
      </c>
      <c r="J1182" s="9">
        <f>ROUNDUP(H1182+(H1182*Assumptions!I$5),-2)</f>
        <v>0</v>
      </c>
      <c r="K1182" s="9">
        <f>ROUNDUP(J1182+(J1182*Assumptions!J$5),-2)</f>
        <v>0</v>
      </c>
      <c r="L1182" s="9">
        <f>ROUNDUP(K1182+(K1182*Assumptions!K$5),-2)</f>
        <v>0</v>
      </c>
      <c r="M1182" s="9">
        <f>ROUNDUP(L1182+(L1182*Assumptions!L$5),-2)</f>
        <v>0</v>
      </c>
      <c r="N1182" s="9">
        <f>ROUNDUP(M1182+(M1182*Assumptions!M$5),-2)</f>
        <v>0</v>
      </c>
      <c r="O1182" s="9">
        <f>ROUNDUP(N1182+(N1182*Assumptions!N$5),-2)</f>
        <v>0</v>
      </c>
      <c r="P1182" s="9">
        <f>ROUNDUP(O1182+(O1182*Assumptions!O$5),-2)</f>
        <v>0</v>
      </c>
      <c r="Q1182" s="9">
        <f>ROUNDUP(P1182+(P1182*Assumptions!P$5),-2)</f>
        <v>0</v>
      </c>
      <c r="R1182" s="9">
        <f>ROUNDUP(Q1182+(Q1182*Assumptions!Q$5),-2)</f>
        <v>0</v>
      </c>
      <c r="S1182" s="47">
        <f>ROUNDUP(R1182+(R1182*Assumptions!R$5),-2)</f>
        <v>0</v>
      </c>
    </row>
    <row r="1183" spans="1:21" x14ac:dyDescent="0.2">
      <c r="A1183" s="54">
        <v>0</v>
      </c>
      <c r="B1183" s="9">
        <v>0</v>
      </c>
      <c r="C1183" s="136">
        <v>22400</v>
      </c>
      <c r="D1183" s="136">
        <f>46200-46200</f>
        <v>0</v>
      </c>
      <c r="E1183" s="1442">
        <v>0</v>
      </c>
      <c r="F1183" s="769" t="s">
        <v>4328</v>
      </c>
      <c r="G1183" s="79" t="s">
        <v>6796</v>
      </c>
      <c r="H1183" s="9">
        <v>0</v>
      </c>
      <c r="I1183" s="85">
        <f t="shared" si="1965"/>
        <v>0</v>
      </c>
      <c r="J1183" s="9">
        <f>ROUNDUP(H1183+(H1183*Assumptions!I$5),-2)</f>
        <v>0</v>
      </c>
      <c r="K1183" s="9">
        <f>ROUNDUP(J1183+(J1183*Assumptions!J$5),-2)</f>
        <v>0</v>
      </c>
      <c r="L1183" s="9">
        <f>ROUNDUP(K1183+(K1183*Assumptions!K$5),-2)</f>
        <v>0</v>
      </c>
      <c r="M1183" s="9">
        <f>ROUNDUP(L1183+(L1183*Assumptions!L$5),-2)</f>
        <v>0</v>
      </c>
      <c r="N1183" s="9">
        <f>ROUNDUP(M1183+(M1183*Assumptions!M$5),-2)</f>
        <v>0</v>
      </c>
      <c r="O1183" s="9">
        <f>ROUNDUP(N1183+(N1183*Assumptions!N$5),-2)</f>
        <v>0</v>
      </c>
      <c r="P1183" s="9">
        <f>ROUNDUP(O1183+(O1183*Assumptions!O$5),-2)</f>
        <v>0</v>
      </c>
      <c r="Q1183" s="9">
        <f>ROUNDUP(P1183+(P1183*Assumptions!P$5),-2)</f>
        <v>0</v>
      </c>
      <c r="R1183" s="9">
        <f>ROUNDUP(Q1183+(Q1183*Assumptions!Q$5),-2)</f>
        <v>0</v>
      </c>
      <c r="S1183" s="47">
        <f>ROUNDUP(R1183+(R1183*Assumptions!R$5),-2)</f>
        <v>0</v>
      </c>
    </row>
    <row r="1184" spans="1:21" x14ac:dyDescent="0.2">
      <c r="A1184" s="54">
        <v>3000</v>
      </c>
      <c r="B1184" s="9">
        <v>4800</v>
      </c>
      <c r="C1184" s="136">
        <v>5300</v>
      </c>
      <c r="D1184" s="136">
        <v>4900</v>
      </c>
      <c r="E1184" s="1442">
        <v>4700</v>
      </c>
      <c r="F1184" s="469" t="s">
        <v>235</v>
      </c>
      <c r="G1184" s="9" t="s">
        <v>2724</v>
      </c>
      <c r="H1184" s="9">
        <v>5600</v>
      </c>
      <c r="I1184" s="85">
        <f t="shared" si="1965"/>
        <v>19.148936170212767</v>
      </c>
      <c r="J1184" s="9">
        <f>ROUNDUP(H1184+(H1184*Assumptions!I$5),-2)</f>
        <v>5800</v>
      </c>
      <c r="K1184" s="9">
        <f>ROUNDUP(J1184+(J1184*Assumptions!J$5),-2)</f>
        <v>6000</v>
      </c>
      <c r="L1184" s="9">
        <f>ROUNDUP(K1184+(K1184*Assumptions!K$5),-2)</f>
        <v>6200</v>
      </c>
      <c r="M1184" s="9">
        <f>ROUNDUP(L1184+(L1184*Assumptions!L$5),-2)</f>
        <v>6400</v>
      </c>
      <c r="N1184" s="9">
        <f>ROUNDUP(M1184+(M1184*Assumptions!M$5),-2)</f>
        <v>6600</v>
      </c>
      <c r="O1184" s="9">
        <f>ROUNDUP(N1184+(N1184*Assumptions!N$5),-2)</f>
        <v>6800</v>
      </c>
      <c r="P1184" s="9">
        <f>ROUNDUP(O1184+(O1184*Assumptions!O$5),-2)</f>
        <v>7000</v>
      </c>
      <c r="Q1184" s="9">
        <f>ROUNDUP(P1184+(P1184*Assumptions!P$5),-2)</f>
        <v>7200</v>
      </c>
      <c r="R1184" s="9">
        <f>ROUNDUP(Q1184+(Q1184*Assumptions!Q$5),-2)</f>
        <v>7400</v>
      </c>
      <c r="S1184" s="47">
        <f>ROUNDUP(R1184+(R1184*Assumptions!R$5),-2)</f>
        <v>7600</v>
      </c>
    </row>
    <row r="1185" spans="1:19" x14ac:dyDescent="0.2">
      <c r="A1185" s="54">
        <v>4500</v>
      </c>
      <c r="B1185" s="9">
        <v>5700</v>
      </c>
      <c r="C1185" s="136">
        <v>6000</v>
      </c>
      <c r="D1185" s="136">
        <v>6100</v>
      </c>
      <c r="E1185" s="1442">
        <v>6900</v>
      </c>
      <c r="F1185" s="469" t="s">
        <v>1796</v>
      </c>
      <c r="G1185" s="9" t="s">
        <v>1296</v>
      </c>
      <c r="H1185" s="9">
        <v>6600</v>
      </c>
      <c r="I1185" s="85">
        <f t="shared" si="1965"/>
        <v>-4.3478260869565215</v>
      </c>
      <c r="J1185" s="9">
        <f>ROUNDUP(H1185+(H1185*Assumptions!I$5),-2)</f>
        <v>6800</v>
      </c>
      <c r="K1185" s="9">
        <f>ROUNDUP(J1185+(J1185*Assumptions!J$5),-2)</f>
        <v>7000</v>
      </c>
      <c r="L1185" s="9">
        <f>ROUNDUP(K1185+(K1185*Assumptions!K$5),-2)</f>
        <v>7200</v>
      </c>
      <c r="M1185" s="9">
        <f>ROUNDUP(L1185+(L1185*Assumptions!L$5),-2)</f>
        <v>7400</v>
      </c>
      <c r="N1185" s="9">
        <f>ROUNDUP(M1185+(M1185*Assumptions!M$5),-2)</f>
        <v>7600</v>
      </c>
      <c r="O1185" s="9">
        <f>ROUNDUP(N1185+(N1185*Assumptions!N$5),-2)</f>
        <v>7800</v>
      </c>
      <c r="P1185" s="9">
        <f>ROUNDUP(O1185+(O1185*Assumptions!O$5),-2)</f>
        <v>8000</v>
      </c>
      <c r="Q1185" s="9">
        <f>ROUNDUP(P1185+(P1185*Assumptions!P$5),-2)</f>
        <v>8200</v>
      </c>
      <c r="R1185" s="9">
        <f>ROUNDUP(Q1185+(Q1185*Assumptions!Q$5),-2)</f>
        <v>8500</v>
      </c>
      <c r="S1185" s="47">
        <f>ROUNDUP(R1185+(R1185*Assumptions!R$5),-2)</f>
        <v>8800</v>
      </c>
    </row>
    <row r="1186" spans="1:19" x14ac:dyDescent="0.2">
      <c r="A1186" s="54"/>
      <c r="B1186" s="9"/>
      <c r="E1186" s="144"/>
      <c r="F1186" s="1618"/>
      <c r="G1186" s="385"/>
      <c r="H1186" s="9"/>
      <c r="I1186" s="85"/>
      <c r="J1186" s="9"/>
      <c r="K1186" s="9"/>
      <c r="L1186" s="9"/>
      <c r="M1186" s="9"/>
      <c r="N1186" s="9"/>
      <c r="O1186" s="9"/>
      <c r="P1186" s="9"/>
      <c r="Q1186" s="9"/>
      <c r="R1186" s="9"/>
      <c r="S1186" s="47"/>
    </row>
    <row r="1187" spans="1:19" x14ac:dyDescent="0.2">
      <c r="A1187" s="54"/>
      <c r="B1187" s="9"/>
      <c r="E1187" s="144"/>
      <c r="F1187" s="167"/>
      <c r="G1187" s="21" t="s">
        <v>2265</v>
      </c>
      <c r="H1187" s="9"/>
      <c r="I1187" s="85"/>
      <c r="J1187" s="9"/>
      <c r="K1187" s="9"/>
      <c r="L1187" s="9"/>
      <c r="M1187" s="9"/>
      <c r="N1187" s="9"/>
      <c r="O1187" s="9"/>
      <c r="P1187" s="9"/>
      <c r="Q1187" s="9"/>
      <c r="R1187" s="9"/>
      <c r="S1187" s="47"/>
    </row>
    <row r="1188" spans="1:19" x14ac:dyDescent="0.2">
      <c r="A1188" s="54">
        <v>308500</v>
      </c>
      <c r="B1188" s="9">
        <f>308100-B1189</f>
        <v>305600</v>
      </c>
      <c r="C1188" s="136">
        <f>308100-2600</f>
        <v>305500</v>
      </c>
      <c r="D1188" s="136">
        <v>336300</v>
      </c>
      <c r="E1188" s="144">
        <f>347800-E1189</f>
        <v>343900</v>
      </c>
      <c r="F1188" s="469" t="s">
        <v>1904</v>
      </c>
      <c r="G1188" s="385" t="s">
        <v>2222</v>
      </c>
      <c r="H1188" s="9">
        <v>337000</v>
      </c>
      <c r="I1188" s="85">
        <f t="shared" ref="I1188:I1197" si="1966">IF(E1188=H1188,0,IF(E1188=0,100,(H1188-E1188)/E1188*100))</f>
        <v>-2.0063972084908404</v>
      </c>
      <c r="J1188" s="9">
        <f>ROUNDUP(H1188+(H1188*Assumptions!I$5),-2)</f>
        <v>344800</v>
      </c>
      <c r="K1188" s="9">
        <f>ROUNDUP(J1188+(J1188*Assumptions!J$5),-2)</f>
        <v>353500</v>
      </c>
      <c r="L1188" s="9">
        <f>ROUNDUP(K1188+(K1188*Assumptions!K$5),-2)</f>
        <v>362400</v>
      </c>
      <c r="M1188" s="9">
        <f>ROUNDUP(L1188+(L1188*Assumptions!L$5),-2)</f>
        <v>371500</v>
      </c>
      <c r="N1188" s="9">
        <f>ROUNDUP(M1188+(M1188*Assumptions!M$5),-2)</f>
        <v>380800</v>
      </c>
      <c r="O1188" s="9">
        <f>ROUNDUP(N1188+(N1188*Assumptions!N$5),-2)</f>
        <v>390400</v>
      </c>
      <c r="P1188" s="9">
        <f>ROUNDUP(O1188+(O1188*Assumptions!O$5),-2)</f>
        <v>400200</v>
      </c>
      <c r="Q1188" s="9">
        <f>ROUNDUP(P1188+(P1188*Assumptions!P$5),-2)</f>
        <v>410300</v>
      </c>
      <c r="R1188" s="9">
        <f>ROUNDUP(Q1188+(Q1188*Assumptions!Q$5),-2)</f>
        <v>420600</v>
      </c>
      <c r="S1188" s="47">
        <f>ROUNDUP(R1188+(R1188*Assumptions!R$5),-2)</f>
        <v>431200</v>
      </c>
    </row>
    <row r="1189" spans="1:19" x14ac:dyDescent="0.2">
      <c r="A1189" s="54">
        <v>2600</v>
      </c>
      <c r="B1189" s="9">
        <v>2500</v>
      </c>
      <c r="C1189" s="136">
        <v>2600</v>
      </c>
      <c r="D1189" s="136">
        <v>2800</v>
      </c>
      <c r="E1189" s="144">
        <v>3900</v>
      </c>
      <c r="F1189" s="469" t="s">
        <v>1689</v>
      </c>
      <c r="G1189" s="385" t="s">
        <v>1779</v>
      </c>
      <c r="H1189" s="9">
        <v>3000</v>
      </c>
      <c r="I1189" s="85">
        <f t="shared" si="1966"/>
        <v>-23.076923076923077</v>
      </c>
      <c r="J1189" s="9">
        <f>ROUNDUP(H1189+(H1189*Assumptions!I$5),-2)</f>
        <v>3100</v>
      </c>
      <c r="K1189" s="9">
        <f>ROUNDUP(J1189+(J1189*Assumptions!J$5),-2)</f>
        <v>3200</v>
      </c>
      <c r="L1189" s="9">
        <f>ROUNDUP(K1189+(K1189*Assumptions!K$5),-2)</f>
        <v>3300</v>
      </c>
      <c r="M1189" s="9">
        <f>ROUNDUP(L1189+(L1189*Assumptions!L$5),-2)</f>
        <v>3400</v>
      </c>
      <c r="N1189" s="9">
        <f>ROUNDUP(M1189+(M1189*Assumptions!M$5),-2)</f>
        <v>3500</v>
      </c>
      <c r="O1189" s="9">
        <f>ROUNDUP(N1189+(N1189*Assumptions!N$5),-2)</f>
        <v>3600</v>
      </c>
      <c r="P1189" s="9">
        <f>ROUNDUP(O1189+(O1189*Assumptions!O$5),-2)</f>
        <v>3700</v>
      </c>
      <c r="Q1189" s="9">
        <f>ROUNDUP(P1189+(P1189*Assumptions!P$5),-2)</f>
        <v>3800</v>
      </c>
      <c r="R1189" s="9">
        <f>ROUNDUP(Q1189+(Q1189*Assumptions!Q$5),-2)</f>
        <v>3900</v>
      </c>
      <c r="S1189" s="47">
        <f>ROUNDUP(R1189+(R1189*Assumptions!R$5),-2)</f>
        <v>4000</v>
      </c>
    </row>
    <row r="1190" spans="1:19" x14ac:dyDescent="0.2">
      <c r="A1190" s="54">
        <v>600</v>
      </c>
      <c r="B1190" s="9">
        <v>600</v>
      </c>
      <c r="C1190" s="136">
        <v>1200</v>
      </c>
      <c r="D1190" s="136">
        <v>1300</v>
      </c>
      <c r="E1190" s="144">
        <v>1300</v>
      </c>
      <c r="F1190" s="469" t="s">
        <v>2706</v>
      </c>
      <c r="G1190" s="385" t="s">
        <v>1296</v>
      </c>
      <c r="H1190" s="9">
        <v>1600</v>
      </c>
      <c r="I1190" s="85">
        <f t="shared" si="1966"/>
        <v>23.076923076923077</v>
      </c>
      <c r="J1190" s="9">
        <f>ROUNDUP(H1190+(H1190*Assumptions!I$5),-2)</f>
        <v>1700</v>
      </c>
      <c r="K1190" s="9">
        <f>ROUNDUP(J1190+(J1190*Assumptions!J$5),-2)</f>
        <v>1800</v>
      </c>
      <c r="L1190" s="9">
        <f>ROUNDUP(K1190+(K1190*Assumptions!K$5),-2)</f>
        <v>1900</v>
      </c>
      <c r="M1190" s="9">
        <f>ROUNDUP(L1190+(L1190*Assumptions!L$5),-2)</f>
        <v>2000</v>
      </c>
      <c r="N1190" s="9">
        <f>ROUNDUP(M1190+(M1190*Assumptions!M$5),-2)</f>
        <v>2100</v>
      </c>
      <c r="O1190" s="9">
        <f>ROUNDUP(N1190+(N1190*Assumptions!N$5),-2)</f>
        <v>2200</v>
      </c>
      <c r="P1190" s="9">
        <f>ROUNDUP(O1190+(O1190*Assumptions!O$5),-2)</f>
        <v>2300</v>
      </c>
      <c r="Q1190" s="9">
        <f>ROUNDUP(P1190+(P1190*Assumptions!P$5),-2)</f>
        <v>2400</v>
      </c>
      <c r="R1190" s="9">
        <f>ROUNDUP(Q1190+(Q1190*Assumptions!Q$5),-2)</f>
        <v>2500</v>
      </c>
      <c r="S1190" s="47">
        <f>ROUNDUP(R1190+(R1190*Assumptions!R$5),-2)</f>
        <v>2600</v>
      </c>
    </row>
    <row r="1191" spans="1:19" x14ac:dyDescent="0.2">
      <c r="A1191" s="54">
        <v>5400</v>
      </c>
      <c r="B1191" s="9">
        <v>4200</v>
      </c>
      <c r="C1191" s="136">
        <v>2000</v>
      </c>
      <c r="D1191" s="136">
        <v>1700</v>
      </c>
      <c r="E1191" s="144">
        <v>1400</v>
      </c>
      <c r="F1191" s="469" t="s">
        <v>1688</v>
      </c>
      <c r="G1191" s="385" t="s">
        <v>2157</v>
      </c>
      <c r="H1191" s="9">
        <v>3000</v>
      </c>
      <c r="I1191" s="85">
        <f t="shared" si="1966"/>
        <v>114.28571428571428</v>
      </c>
      <c r="J1191" s="9">
        <f>ROUNDUP(H1191+(H1191*Assumptions!I$5),-2)</f>
        <v>3100</v>
      </c>
      <c r="K1191" s="9">
        <f>ROUNDUP(J1191+(J1191*Assumptions!J$5),-2)</f>
        <v>3200</v>
      </c>
      <c r="L1191" s="9">
        <f>ROUNDUP(K1191+(K1191*Assumptions!K$5),-2)</f>
        <v>3300</v>
      </c>
      <c r="M1191" s="9">
        <f>ROUNDUP(L1191+(L1191*Assumptions!L$5),-2)</f>
        <v>3400</v>
      </c>
      <c r="N1191" s="9">
        <f>ROUNDUP(M1191+(M1191*Assumptions!M$5),-2)</f>
        <v>3500</v>
      </c>
      <c r="O1191" s="9">
        <f>ROUNDUP(N1191+(N1191*Assumptions!N$5),-2)</f>
        <v>3600</v>
      </c>
      <c r="P1191" s="9">
        <f>ROUNDUP(O1191+(O1191*Assumptions!O$5),-2)</f>
        <v>3700</v>
      </c>
      <c r="Q1191" s="9">
        <f>ROUNDUP(P1191+(P1191*Assumptions!P$5),-2)</f>
        <v>3800</v>
      </c>
      <c r="R1191" s="9">
        <f>ROUNDUP(Q1191+(Q1191*Assumptions!Q$5),-2)</f>
        <v>3900</v>
      </c>
      <c r="S1191" s="47">
        <f>ROUNDUP(R1191+(R1191*Assumptions!R$5),-2)</f>
        <v>4000</v>
      </c>
    </row>
    <row r="1192" spans="1:19" x14ac:dyDescent="0.2">
      <c r="A1192" s="54">
        <v>133700</v>
      </c>
      <c r="B1192" s="9">
        <v>129200</v>
      </c>
      <c r="C1192" s="136">
        <v>160000</v>
      </c>
      <c r="D1192" s="136">
        <v>138500</v>
      </c>
      <c r="E1192" s="144">
        <v>158400</v>
      </c>
      <c r="F1192" s="469" t="s">
        <v>218</v>
      </c>
      <c r="G1192" s="385" t="s">
        <v>1338</v>
      </c>
      <c r="H1192" s="9">
        <v>146000</v>
      </c>
      <c r="I1192" s="85">
        <f t="shared" si="1966"/>
        <v>-7.8282828282828287</v>
      </c>
      <c r="J1192" s="9">
        <f>ROUNDUP(H1192+(H1192*Assumptions!I$5),-2)</f>
        <v>149400</v>
      </c>
      <c r="K1192" s="9">
        <f>ROUNDUP(J1192+(J1192*Assumptions!J$5),-2)</f>
        <v>153200</v>
      </c>
      <c r="L1192" s="9">
        <f>ROUNDUP(K1192+(K1192*Assumptions!K$5),-2)</f>
        <v>157100</v>
      </c>
      <c r="M1192" s="9">
        <f>ROUNDUP(L1192+(L1192*Assumptions!L$5),-2)</f>
        <v>161100</v>
      </c>
      <c r="N1192" s="9">
        <f>ROUNDUP(M1192+(M1192*Assumptions!M$5),-2)</f>
        <v>165200</v>
      </c>
      <c r="O1192" s="9">
        <f>ROUNDUP(N1192+(N1192*Assumptions!N$5),-2)</f>
        <v>169400</v>
      </c>
      <c r="P1192" s="9">
        <f>ROUNDUP(O1192+(O1192*Assumptions!O$5),-2)</f>
        <v>173700</v>
      </c>
      <c r="Q1192" s="9">
        <f>ROUNDUP(P1192+(P1192*Assumptions!P$5),-2)</f>
        <v>178100</v>
      </c>
      <c r="R1192" s="9">
        <f>ROUNDUP(Q1192+(Q1192*Assumptions!Q$5),-2)</f>
        <v>182600</v>
      </c>
      <c r="S1192" s="47">
        <f>ROUNDUP(R1192+(R1192*Assumptions!R$5),-2)</f>
        <v>187200</v>
      </c>
    </row>
    <row r="1193" spans="1:19" x14ac:dyDescent="0.2">
      <c r="A1193" s="54">
        <v>17200</v>
      </c>
      <c r="B1193" s="9">
        <v>19000</v>
      </c>
      <c r="C1193" s="136">
        <v>15900</v>
      </c>
      <c r="D1193" s="136">
        <v>15500</v>
      </c>
      <c r="E1193" s="144">
        <v>15500</v>
      </c>
      <c r="F1193" s="769" t="s">
        <v>3200</v>
      </c>
      <c r="G1193" s="385" t="s">
        <v>2724</v>
      </c>
      <c r="H1193" s="9">
        <f>18000-2500</f>
        <v>15500</v>
      </c>
      <c r="I1193" s="85">
        <f t="shared" si="1966"/>
        <v>0</v>
      </c>
      <c r="J1193" s="9">
        <f>ROUNDUP(H1193+(H1193*Assumptions!I$5),-2)</f>
        <v>15900</v>
      </c>
      <c r="K1193" s="9">
        <f>ROUNDUP(J1193+(J1193*Assumptions!J$5),-2)</f>
        <v>16300</v>
      </c>
      <c r="L1193" s="9">
        <f>ROUNDUP(K1193+(K1193*Assumptions!K$5),-2)</f>
        <v>16800</v>
      </c>
      <c r="M1193" s="9">
        <f>ROUNDUP(L1193+(L1193*Assumptions!L$5),-2)</f>
        <v>17300</v>
      </c>
      <c r="N1193" s="9">
        <f>ROUNDUP(M1193+(M1193*Assumptions!M$5),-2)</f>
        <v>17800</v>
      </c>
      <c r="O1193" s="9">
        <f>ROUNDUP(N1193+(N1193*Assumptions!N$5),-2)</f>
        <v>18300</v>
      </c>
      <c r="P1193" s="9">
        <f>ROUNDUP(O1193+(O1193*Assumptions!O$5),-2)</f>
        <v>18800</v>
      </c>
      <c r="Q1193" s="9">
        <f>ROUNDUP(P1193+(P1193*Assumptions!P$5),-2)</f>
        <v>19300</v>
      </c>
      <c r="R1193" s="9">
        <f>ROUNDUP(Q1193+(Q1193*Assumptions!Q$5),-2)</f>
        <v>19800</v>
      </c>
      <c r="S1193" s="47">
        <f>ROUNDUP(R1193+(R1193*Assumptions!R$5),-2)</f>
        <v>20300</v>
      </c>
    </row>
    <row r="1194" spans="1:19" x14ac:dyDescent="0.2">
      <c r="A1194" s="54">
        <v>2200</v>
      </c>
      <c r="B1194" s="9">
        <v>0</v>
      </c>
      <c r="C1194" s="136">
        <v>0</v>
      </c>
      <c r="D1194" s="136">
        <v>0</v>
      </c>
      <c r="E1194" s="144">
        <v>0</v>
      </c>
      <c r="F1194" s="469" t="s">
        <v>1797</v>
      </c>
      <c r="G1194" s="385" t="s">
        <v>548</v>
      </c>
      <c r="H1194" s="9">
        <v>2500</v>
      </c>
      <c r="I1194" s="85">
        <f t="shared" si="1966"/>
        <v>100</v>
      </c>
      <c r="J1194" s="9">
        <f>ROUNDUP(H1194+(H1194*Assumptions!I$5),-2)</f>
        <v>2600</v>
      </c>
      <c r="K1194" s="9">
        <f>ROUNDUP(J1194+(J1194*Assumptions!J$5),-2)</f>
        <v>2700</v>
      </c>
      <c r="L1194" s="9">
        <f>ROUNDUP(K1194+(K1194*Assumptions!K$5),-2)</f>
        <v>2800</v>
      </c>
      <c r="M1194" s="9">
        <f>ROUNDUP(L1194+(L1194*Assumptions!L$5),-2)</f>
        <v>2900</v>
      </c>
      <c r="N1194" s="9">
        <f>ROUNDUP(M1194+(M1194*Assumptions!M$5),-2)</f>
        <v>3000</v>
      </c>
      <c r="O1194" s="9">
        <f>ROUNDUP(N1194+(N1194*Assumptions!N$5),-2)</f>
        <v>3100</v>
      </c>
      <c r="P1194" s="9">
        <f>ROUNDUP(O1194+(O1194*Assumptions!O$5),-2)</f>
        <v>3200</v>
      </c>
      <c r="Q1194" s="9">
        <f>ROUNDUP(P1194+(P1194*Assumptions!P$5),-2)</f>
        <v>3300</v>
      </c>
      <c r="R1194" s="9">
        <f>ROUNDUP(Q1194+(Q1194*Assumptions!Q$5),-2)</f>
        <v>3400</v>
      </c>
      <c r="S1194" s="47">
        <f>ROUNDUP(R1194+(R1194*Assumptions!R$5),-2)</f>
        <v>3500</v>
      </c>
    </row>
    <row r="1195" spans="1:19" x14ac:dyDescent="0.2">
      <c r="A1195" s="54">
        <v>2300</v>
      </c>
      <c r="B1195" s="9">
        <v>3300</v>
      </c>
      <c r="C1195" s="136">
        <v>3000</v>
      </c>
      <c r="D1195" s="136">
        <f>2500+2000</f>
        <v>4500</v>
      </c>
      <c r="E1195" s="144">
        <v>3200</v>
      </c>
      <c r="F1195" s="469" t="s">
        <v>2707</v>
      </c>
      <c r="G1195" s="385" t="s">
        <v>484</v>
      </c>
      <c r="H1195" s="9">
        <v>3000</v>
      </c>
      <c r="I1195" s="85">
        <f t="shared" si="1966"/>
        <v>-6.25</v>
      </c>
      <c r="J1195" s="9">
        <f>ROUNDUP(H1195+(H1195*Assumptions!I$5),-2)</f>
        <v>3100</v>
      </c>
      <c r="K1195" s="9">
        <f>ROUNDUP(J1195+(J1195*Assumptions!J$5),-2)</f>
        <v>3200</v>
      </c>
      <c r="L1195" s="9">
        <f>ROUNDUP(K1195+(K1195*Assumptions!K$5),-2)</f>
        <v>3300</v>
      </c>
      <c r="M1195" s="9">
        <f>ROUNDUP(L1195+(L1195*Assumptions!L$5),-2)</f>
        <v>3400</v>
      </c>
      <c r="N1195" s="9">
        <f>ROUNDUP(M1195+(M1195*Assumptions!M$5),-2)</f>
        <v>3500</v>
      </c>
      <c r="O1195" s="9">
        <f>ROUNDUP(N1195+(N1195*Assumptions!N$5),-2)</f>
        <v>3600</v>
      </c>
      <c r="P1195" s="9">
        <f>ROUNDUP(O1195+(O1195*Assumptions!O$5),-2)</f>
        <v>3700</v>
      </c>
      <c r="Q1195" s="9">
        <f>ROUNDUP(P1195+(P1195*Assumptions!P$5),-2)</f>
        <v>3800</v>
      </c>
      <c r="R1195" s="9">
        <f>ROUNDUP(Q1195+(Q1195*Assumptions!Q$5),-2)</f>
        <v>3900</v>
      </c>
      <c r="S1195" s="47">
        <f>ROUNDUP(R1195+(R1195*Assumptions!R$5),-2)</f>
        <v>4000</v>
      </c>
    </row>
    <row r="1196" spans="1:19" x14ac:dyDescent="0.2">
      <c r="A1196" s="54">
        <v>30500</v>
      </c>
      <c r="B1196" s="9">
        <v>31400</v>
      </c>
      <c r="C1196" s="136">
        <v>27300</v>
      </c>
      <c r="D1196" s="136">
        <v>21700</v>
      </c>
      <c r="E1196" s="144">
        <v>22500</v>
      </c>
      <c r="F1196" s="469" t="s">
        <v>668</v>
      </c>
      <c r="G1196" s="385" t="s">
        <v>549</v>
      </c>
      <c r="H1196" s="9">
        <v>25000</v>
      </c>
      <c r="I1196" s="85">
        <f t="shared" si="1966"/>
        <v>11.111111111111111</v>
      </c>
      <c r="J1196" s="9">
        <f>ROUNDUP(H1196+(H1196*Assumptions!I$5),-2)</f>
        <v>25600</v>
      </c>
      <c r="K1196" s="9">
        <f>ROUNDUP(J1196+(J1196*Assumptions!J$5),-2)</f>
        <v>26300</v>
      </c>
      <c r="L1196" s="9">
        <f>ROUNDUP(K1196+(K1196*Assumptions!K$5),-2)</f>
        <v>27000</v>
      </c>
      <c r="M1196" s="9">
        <f>ROUNDUP(L1196+(L1196*Assumptions!L$5),-2)</f>
        <v>27700</v>
      </c>
      <c r="N1196" s="9">
        <f>ROUNDUP(M1196+(M1196*Assumptions!M$5),-2)</f>
        <v>28400</v>
      </c>
      <c r="O1196" s="9">
        <f>ROUNDUP(N1196+(N1196*Assumptions!N$5),-2)</f>
        <v>29200</v>
      </c>
      <c r="P1196" s="9">
        <f>ROUNDUP(O1196+(O1196*Assumptions!O$5),-2)</f>
        <v>30000</v>
      </c>
      <c r="Q1196" s="9">
        <f>ROUNDUP(P1196+(P1196*Assumptions!P$5),-2)</f>
        <v>30800</v>
      </c>
      <c r="R1196" s="9">
        <f>ROUNDUP(Q1196+(Q1196*Assumptions!Q$5),-2)</f>
        <v>31600</v>
      </c>
      <c r="S1196" s="47">
        <f>ROUNDUP(R1196+(R1196*Assumptions!R$5),-2)</f>
        <v>32400</v>
      </c>
    </row>
    <row r="1197" spans="1:19" x14ac:dyDescent="0.2">
      <c r="A1197" s="54">
        <v>110000</v>
      </c>
      <c r="B1197" s="9">
        <v>151400</v>
      </c>
      <c r="C1197" s="136">
        <v>146800</v>
      </c>
      <c r="D1197" s="136">
        <v>132700</v>
      </c>
      <c r="E1197" s="144">
        <v>10200</v>
      </c>
      <c r="F1197" s="769" t="s">
        <v>1690</v>
      </c>
      <c r="G1197" s="385" t="s">
        <v>909</v>
      </c>
      <c r="H1197" s="9">
        <v>138000</v>
      </c>
      <c r="I1197" s="85">
        <f t="shared" si="1966"/>
        <v>1252.9411764705883</v>
      </c>
      <c r="J1197" s="9">
        <v>40000</v>
      </c>
      <c r="K1197" s="9">
        <v>142000</v>
      </c>
      <c r="L1197" s="9">
        <v>44000</v>
      </c>
      <c r="M1197" s="9">
        <v>148000</v>
      </c>
      <c r="N1197" s="9">
        <v>48000</v>
      </c>
      <c r="O1197" s="9">
        <v>154000</v>
      </c>
      <c r="P1197" s="9">
        <v>52000</v>
      </c>
      <c r="Q1197" s="9">
        <v>160000</v>
      </c>
      <c r="R1197" s="9">
        <v>56000</v>
      </c>
      <c r="S1197" s="47">
        <v>56000</v>
      </c>
    </row>
    <row r="1198" spans="1:19" x14ac:dyDescent="0.2">
      <c r="A1198" s="54"/>
      <c r="B1198" s="9"/>
      <c r="E1198" s="144"/>
      <c r="F1198" s="469"/>
      <c r="G1198" s="9"/>
      <c r="H1198" s="9"/>
      <c r="I1198" s="85"/>
      <c r="J1198" s="9"/>
      <c r="K1198" s="9"/>
      <c r="L1198" s="9"/>
      <c r="M1198" s="9"/>
      <c r="N1198" s="9"/>
      <c r="O1198" s="9"/>
      <c r="P1198" s="9"/>
      <c r="Q1198" s="9"/>
      <c r="R1198" s="9"/>
      <c r="S1198" s="47"/>
    </row>
    <row r="1199" spans="1:19" x14ac:dyDescent="0.2">
      <c r="A1199" s="54"/>
      <c r="B1199" s="9"/>
      <c r="E1199" s="144"/>
      <c r="F1199" s="469"/>
      <c r="G1199" s="21" t="str">
        <f>G1137</f>
        <v>Non-Cash Expenses</v>
      </c>
      <c r="H1199" s="9"/>
      <c r="I1199" s="85"/>
      <c r="J1199" s="9"/>
      <c r="K1199" s="9"/>
      <c r="L1199" s="9"/>
      <c r="M1199" s="9"/>
      <c r="N1199" s="9"/>
      <c r="O1199" s="9"/>
      <c r="P1199" s="9"/>
      <c r="Q1199" s="9"/>
      <c r="R1199" s="9"/>
      <c r="S1199" s="47"/>
    </row>
    <row r="1200" spans="1:19" x14ac:dyDescent="0.2">
      <c r="A1200" s="54">
        <v>25700</v>
      </c>
      <c r="B1200" s="9">
        <v>44000</v>
      </c>
      <c r="C1200" s="136">
        <v>38700</v>
      </c>
      <c r="D1200" s="136">
        <v>33500</v>
      </c>
      <c r="E1200" s="144">
        <v>26300</v>
      </c>
      <c r="F1200" s="469" t="s">
        <v>1905</v>
      </c>
      <c r="G1200" s="79" t="s">
        <v>4803</v>
      </c>
      <c r="H1200" s="9">
        <v>40800</v>
      </c>
      <c r="I1200" s="85">
        <f>IF(E1200=H1200,0,IF(E1200=0,100,(H1200-E1200)/E1200*100))</f>
        <v>55.133079847908753</v>
      </c>
      <c r="J1200" s="9">
        <f>ROUNDUP(H1200+(H1200*Assumptions!I$18),-2)</f>
        <v>41700</v>
      </c>
      <c r="K1200" s="9">
        <f>ROUNDUP(J1200+(J1200*Assumptions!J$18),-2)</f>
        <v>42600</v>
      </c>
      <c r="L1200" s="9">
        <f>ROUNDUP(K1200+(K1200*Assumptions!K$18),-2)</f>
        <v>43500</v>
      </c>
      <c r="M1200" s="9">
        <f>ROUNDUP(L1200+(L1200*Assumptions!L$18),-2)</f>
        <v>44400</v>
      </c>
      <c r="N1200" s="9">
        <f>ROUNDUP(M1200+(M1200*Assumptions!M$18),-2)</f>
        <v>45300</v>
      </c>
      <c r="O1200" s="9">
        <f>ROUNDUP(N1200+(N1200*Assumptions!N$18),-2)</f>
        <v>46300</v>
      </c>
      <c r="P1200" s="9">
        <f>ROUNDUP(O1200+(O1200*Assumptions!O$18),-2)</f>
        <v>47300</v>
      </c>
      <c r="Q1200" s="9">
        <f>ROUNDUP(P1200+(P1200*Assumptions!P$18),-2)</f>
        <v>48300</v>
      </c>
      <c r="R1200" s="9">
        <f>ROUNDUP(Q1200+(Q1200*Assumptions!Q$18),-2)</f>
        <v>49300</v>
      </c>
      <c r="S1200" s="47">
        <f>ROUNDUP(R1200+(R1200*Assumptions!R$18),-2)</f>
        <v>50300</v>
      </c>
    </row>
    <row r="1201" spans="1:21" ht="13.5" thickBot="1" x14ac:dyDescent="0.25">
      <c r="A1201" s="54"/>
      <c r="B1201" s="9"/>
      <c r="E1201" s="1442"/>
      <c r="F1201" s="167"/>
      <c r="G1201" s="257"/>
      <c r="H1201" s="9"/>
      <c r="I1201" s="85"/>
      <c r="J1201" s="9"/>
      <c r="K1201" s="9"/>
      <c r="L1201" s="9"/>
      <c r="M1201" s="9"/>
      <c r="N1201" s="9"/>
      <c r="O1201" s="9"/>
      <c r="P1201" s="9"/>
      <c r="Q1201" s="9"/>
      <c r="R1201" s="9"/>
      <c r="S1201" s="47"/>
    </row>
    <row r="1202" spans="1:21" s="39" customFormat="1" x14ac:dyDescent="0.2">
      <c r="A1202" s="52">
        <f>SUM(A1177:A1201)</f>
        <v>655900</v>
      </c>
      <c r="B1202" s="16">
        <f>SUM(B1177:B1201)</f>
        <v>712100</v>
      </c>
      <c r="C1202" s="137">
        <f>SUM(C1177:C1201)</f>
        <v>783600</v>
      </c>
      <c r="D1202" s="137">
        <f>SUM(D1177:D1201)</f>
        <v>766900</v>
      </c>
      <c r="E1202" s="1443">
        <f t="shared" ref="E1202" si="1967">SUM(E1177:E1201)</f>
        <v>685100</v>
      </c>
      <c r="F1202" s="126"/>
      <c r="G1202" s="267" t="s">
        <v>556</v>
      </c>
      <c r="H1202" s="16">
        <f t="shared" ref="H1202:O1202" si="1968">SUM(H1177:H1201)</f>
        <v>756600</v>
      </c>
      <c r="I1202" s="127">
        <f>IF(E1202=H1202,0,IF(E1202=0,100,(H1202-E1202)/E1202*100))</f>
        <v>10.436432637571158</v>
      </c>
      <c r="J1202" s="16">
        <f t="shared" si="1968"/>
        <v>673300</v>
      </c>
      <c r="K1202" s="16">
        <f t="shared" si="1968"/>
        <v>791500</v>
      </c>
      <c r="L1202" s="16">
        <f t="shared" si="1968"/>
        <v>710100</v>
      </c>
      <c r="M1202" s="16">
        <f t="shared" si="1968"/>
        <v>831000</v>
      </c>
      <c r="N1202" s="16">
        <f t="shared" si="1968"/>
        <v>748300</v>
      </c>
      <c r="O1202" s="16">
        <f t="shared" si="1968"/>
        <v>872200</v>
      </c>
      <c r="P1202" s="16">
        <f t="shared" ref="P1202:Q1202" si="1969">SUM(P1177:P1201)</f>
        <v>788400</v>
      </c>
      <c r="Q1202" s="16">
        <f t="shared" si="1969"/>
        <v>915000</v>
      </c>
      <c r="R1202" s="16">
        <f t="shared" ref="R1202" si="1970">SUM(R1177:R1201)</f>
        <v>830000</v>
      </c>
      <c r="S1202" s="2342">
        <f t="shared" ref="S1202" si="1971">SUM(S1177:S1201)</f>
        <v>849500</v>
      </c>
      <c r="U1202" s="34"/>
    </row>
    <row r="1203" spans="1:21" x14ac:dyDescent="0.2">
      <c r="A1203" s="54"/>
      <c r="B1203" s="9"/>
      <c r="E1203" s="1442"/>
      <c r="F1203" s="167"/>
      <c r="G1203" s="257"/>
      <c r="H1203" s="9"/>
      <c r="I1203" s="85"/>
      <c r="J1203" s="9"/>
      <c r="K1203" s="9"/>
      <c r="L1203" s="9"/>
      <c r="M1203" s="9"/>
      <c r="N1203" s="9"/>
      <c r="O1203" s="9"/>
      <c r="P1203" s="9"/>
      <c r="Q1203" s="9"/>
      <c r="R1203" s="9"/>
      <c r="S1203" s="47"/>
    </row>
    <row r="1204" spans="1:21" s="39" customFormat="1" x14ac:dyDescent="0.2">
      <c r="A1204" s="24">
        <f>A1175-A1202</f>
        <v>-281900</v>
      </c>
      <c r="B1204" s="21">
        <f>B1175-B1202</f>
        <v>-264600</v>
      </c>
      <c r="C1204" s="139">
        <f>C1175-C1202</f>
        <v>-304200</v>
      </c>
      <c r="D1204" s="139">
        <f>D1175-D1202</f>
        <v>-298800</v>
      </c>
      <c r="E1204" s="1444">
        <f t="shared" ref="E1204" si="1972">E1175-E1202</f>
        <v>-153900</v>
      </c>
      <c r="F1204" s="173"/>
      <c r="G1204" s="361" t="s">
        <v>1002</v>
      </c>
      <c r="H1204" s="21">
        <f t="shared" ref="H1204:O1204" si="1973">H1175-H1202</f>
        <v>-261600</v>
      </c>
      <c r="I1204" s="126">
        <f>IF(E1204=H1204,0,IF(E1204=0,100,(H1204-E1204)/E1204*100))</f>
        <v>69.980506822612085</v>
      </c>
      <c r="J1204" s="21">
        <f t="shared" si="1973"/>
        <v>-166700</v>
      </c>
      <c r="K1204" s="21">
        <f t="shared" si="1973"/>
        <v>-272000</v>
      </c>
      <c r="L1204" s="21">
        <f t="shared" si="1973"/>
        <v>-177500</v>
      </c>
      <c r="M1204" s="21">
        <f t="shared" si="1973"/>
        <v>-284900</v>
      </c>
      <c r="N1204" s="21">
        <f t="shared" si="1973"/>
        <v>-188300</v>
      </c>
      <c r="O1204" s="21">
        <f t="shared" si="1973"/>
        <v>-297900</v>
      </c>
      <c r="P1204" s="21">
        <f t="shared" ref="P1204:Q1204" si="1974">P1175-P1202</f>
        <v>-199600</v>
      </c>
      <c r="Q1204" s="21">
        <f t="shared" si="1974"/>
        <v>-311300</v>
      </c>
      <c r="R1204" s="21">
        <f t="shared" ref="R1204" si="1975">R1175-R1202</f>
        <v>-211000</v>
      </c>
      <c r="S1204" s="86">
        <f t="shared" ref="S1204" si="1976">S1175-S1202</f>
        <v>-214900</v>
      </c>
      <c r="U1204" s="34"/>
    </row>
    <row r="1205" spans="1:21" x14ac:dyDescent="0.2">
      <c r="A1205" s="54">
        <f>SUM(A1199:A1201)</f>
        <v>25700</v>
      </c>
      <c r="B1205" s="9">
        <f>SUM(B1199:B1201)</f>
        <v>44000</v>
      </c>
      <c r="C1205" s="136">
        <f>SUM(C1199:C1201)</f>
        <v>38700</v>
      </c>
      <c r="D1205" s="136">
        <f>SUM(D1199:D1201)</f>
        <v>33500</v>
      </c>
      <c r="E1205" s="1442">
        <f t="shared" ref="E1205" si="1977">SUM(E1199:E1201)</f>
        <v>26300</v>
      </c>
      <c r="F1205" s="167"/>
      <c r="G1205" s="261" t="s">
        <v>1943</v>
      </c>
      <c r="H1205" s="134">
        <f t="shared" ref="H1205:O1205" si="1978">SUM(H1199:H1201)</f>
        <v>40800</v>
      </c>
      <c r="I1205" s="126">
        <f>IF(E1205=H1205,0,IF(E1205=0,100,(H1205-E1205)/E1205*100))</f>
        <v>55.133079847908753</v>
      </c>
      <c r="J1205" s="134">
        <f t="shared" si="1978"/>
        <v>41700</v>
      </c>
      <c r="K1205" s="134">
        <f t="shared" si="1978"/>
        <v>42600</v>
      </c>
      <c r="L1205" s="134">
        <f t="shared" si="1978"/>
        <v>43500</v>
      </c>
      <c r="M1205" s="134">
        <f t="shared" si="1978"/>
        <v>44400</v>
      </c>
      <c r="N1205" s="134">
        <f t="shared" si="1978"/>
        <v>45300</v>
      </c>
      <c r="O1205" s="134">
        <f t="shared" si="1978"/>
        <v>46300</v>
      </c>
      <c r="P1205" s="134">
        <f t="shared" ref="P1205:Q1205" si="1979">SUM(P1199:P1201)</f>
        <v>47300</v>
      </c>
      <c r="Q1205" s="134">
        <f t="shared" si="1979"/>
        <v>48300</v>
      </c>
      <c r="R1205" s="134">
        <f t="shared" ref="R1205" si="1980">SUM(R1199:R1201)</f>
        <v>49300</v>
      </c>
      <c r="S1205" s="2359">
        <f t="shared" ref="S1205" si="1981">SUM(S1199:S1201)</f>
        <v>50300</v>
      </c>
    </row>
    <row r="1206" spans="1:21" s="39" customFormat="1" x14ac:dyDescent="0.2">
      <c r="A1206" s="128">
        <f>A1204+A1205</f>
        <v>-256200</v>
      </c>
      <c r="B1206" s="280">
        <f>B1204+B1205</f>
        <v>-220600</v>
      </c>
      <c r="C1206" s="281">
        <f>C1204+C1205</f>
        <v>-265500</v>
      </c>
      <c r="D1206" s="281">
        <f>D1204+D1205</f>
        <v>-265300</v>
      </c>
      <c r="E1206" s="1515">
        <f t="shared" ref="E1206" si="1982">E1204+E1205</f>
        <v>-127600</v>
      </c>
      <c r="F1206" s="372"/>
      <c r="G1206" s="363" t="s">
        <v>1659</v>
      </c>
      <c r="H1206" s="529">
        <f t="shared" ref="H1206:O1206" si="1983">H1204+H1205</f>
        <v>-220800</v>
      </c>
      <c r="I1206" s="278">
        <f>IF(E1206=H1206,0,IF(E1206=0,100,(H1206-E1206)/E1206*100))</f>
        <v>73.040752351097183</v>
      </c>
      <c r="J1206" s="529">
        <f t="shared" si="1983"/>
        <v>-125000</v>
      </c>
      <c r="K1206" s="529">
        <f t="shared" si="1983"/>
        <v>-229400</v>
      </c>
      <c r="L1206" s="529">
        <f t="shared" si="1983"/>
        <v>-134000</v>
      </c>
      <c r="M1206" s="529">
        <f t="shared" si="1983"/>
        <v>-240500</v>
      </c>
      <c r="N1206" s="529">
        <f t="shared" si="1983"/>
        <v>-143000</v>
      </c>
      <c r="O1206" s="529">
        <f t="shared" si="1983"/>
        <v>-251600</v>
      </c>
      <c r="P1206" s="529">
        <f t="shared" ref="P1206:Q1206" si="1984">P1204+P1205</f>
        <v>-152300</v>
      </c>
      <c r="Q1206" s="529">
        <f t="shared" si="1984"/>
        <v>-263000</v>
      </c>
      <c r="R1206" s="529">
        <f t="shared" ref="R1206" si="1985">R1204+R1205</f>
        <v>-161700</v>
      </c>
      <c r="S1206" s="2410">
        <f t="shared" ref="S1206" si="1986">S1204+S1205</f>
        <v>-164600</v>
      </c>
      <c r="U1206" s="34"/>
    </row>
    <row r="1207" spans="1:21" ht="13.5" thickBot="1" x14ac:dyDescent="0.25">
      <c r="A1207" s="54"/>
      <c r="B1207" s="89"/>
      <c r="E1207" s="1442"/>
      <c r="F1207" s="167"/>
      <c r="G1207" s="257"/>
      <c r="H1207" s="9"/>
      <c r="I1207" s="85"/>
      <c r="J1207" s="9"/>
      <c r="K1207" s="9"/>
      <c r="L1207" s="9"/>
      <c r="M1207" s="9"/>
      <c r="N1207" s="9"/>
      <c r="O1207" s="9"/>
      <c r="P1207" s="9"/>
      <c r="Q1207" s="9"/>
      <c r="R1207" s="9"/>
      <c r="S1207" s="61"/>
    </row>
    <row r="1208" spans="1:21" x14ac:dyDescent="0.2">
      <c r="A1208" s="52"/>
      <c r="B1208" s="102"/>
      <c r="C1208" s="137"/>
      <c r="D1208" s="137"/>
      <c r="E1208" s="1443"/>
      <c r="F1208" s="2425"/>
      <c r="G1208" s="262"/>
      <c r="H1208" s="116"/>
      <c r="I1208" s="127"/>
      <c r="J1208" s="116"/>
      <c r="K1208" s="116"/>
      <c r="L1208" s="116"/>
      <c r="M1208" s="116"/>
      <c r="N1208" s="116"/>
      <c r="O1208" s="116"/>
      <c r="P1208" s="116"/>
      <c r="Q1208" s="116"/>
      <c r="R1208" s="116"/>
      <c r="S1208" s="1015"/>
    </row>
    <row r="1209" spans="1:21" x14ac:dyDescent="0.2">
      <c r="A1209" s="24"/>
      <c r="B1209" s="75"/>
      <c r="C1209" s="139"/>
      <c r="D1209" s="139"/>
      <c r="E1209" s="143"/>
      <c r="F1209" s="167"/>
      <c r="G1209" s="361" t="s">
        <v>192</v>
      </c>
      <c r="H1209" s="9"/>
      <c r="I1209" s="126"/>
      <c r="J1209" s="9"/>
      <c r="K1209" s="9"/>
      <c r="L1209" s="9"/>
      <c r="M1209" s="9"/>
      <c r="N1209" s="9"/>
      <c r="O1209" s="9"/>
      <c r="P1209" s="9"/>
      <c r="Q1209" s="9"/>
      <c r="R1209" s="9"/>
      <c r="S1209" s="61"/>
    </row>
    <row r="1210" spans="1:21" x14ac:dyDescent="0.2">
      <c r="A1210" s="24"/>
      <c r="B1210" s="75"/>
      <c r="C1210" s="139"/>
      <c r="D1210" s="139"/>
      <c r="E1210" s="143"/>
      <c r="F1210" s="167"/>
      <c r="G1210" s="361"/>
      <c r="H1210" s="9"/>
      <c r="I1210" s="126"/>
      <c r="J1210" s="9"/>
      <c r="K1210" s="9"/>
      <c r="L1210" s="9"/>
      <c r="M1210" s="9"/>
      <c r="N1210" s="9"/>
      <c r="O1210" s="9"/>
      <c r="P1210" s="9"/>
      <c r="Q1210" s="9"/>
      <c r="R1210" s="9"/>
      <c r="S1210" s="61"/>
    </row>
    <row r="1211" spans="1:21" x14ac:dyDescent="0.2">
      <c r="A1211" s="54">
        <v>0</v>
      </c>
      <c r="B1211" s="89">
        <v>0</v>
      </c>
      <c r="C1211" s="136">
        <v>0</v>
      </c>
      <c r="D1211" s="136">
        <v>0</v>
      </c>
      <c r="E1211" s="144">
        <v>0</v>
      </c>
      <c r="F1211" s="167"/>
      <c r="G1211" s="257" t="s">
        <v>2848</v>
      </c>
      <c r="H1211" s="9">
        <v>0</v>
      </c>
      <c r="I1211" s="85">
        <f t="shared" ref="I1211:I1217" si="1987">IF(E1211=H1211,0,IF(E1211=0,100,(H1211-E1211)/E1211*100))</f>
        <v>0</v>
      </c>
      <c r="J1211" s="9">
        <v>0</v>
      </c>
      <c r="K1211" s="9">
        <v>0</v>
      </c>
      <c r="L1211" s="9">
        <v>0</v>
      </c>
      <c r="M1211" s="9">
        <v>0</v>
      </c>
      <c r="N1211" s="9">
        <v>0</v>
      </c>
      <c r="O1211" s="9">
        <v>0</v>
      </c>
      <c r="P1211" s="9">
        <v>0</v>
      </c>
      <c r="Q1211" s="9">
        <v>0</v>
      </c>
      <c r="R1211" s="9">
        <v>0</v>
      </c>
      <c r="S1211" s="61">
        <v>0</v>
      </c>
    </row>
    <row r="1212" spans="1:21" x14ac:dyDescent="0.2">
      <c r="A1212" s="54">
        <v>0</v>
      </c>
      <c r="B1212" s="89">
        <v>25300</v>
      </c>
      <c r="C1212" s="136">
        <v>144100</v>
      </c>
      <c r="D1212" s="136">
        <v>119000</v>
      </c>
      <c r="E1212" s="144">
        <v>339700</v>
      </c>
      <c r="F1212" s="167"/>
      <c r="G1212" s="257" t="s">
        <v>1909</v>
      </c>
      <c r="H1212" s="9">
        <v>3500</v>
      </c>
      <c r="I1212" s="85">
        <f t="shared" si="1987"/>
        <v>-98.969679128642923</v>
      </c>
      <c r="J1212" s="9">
        <f>'Res-Gen'!K212</f>
        <v>50000</v>
      </c>
      <c r="K1212" s="9">
        <f>'Res-Gen'!N212</f>
        <v>50000</v>
      </c>
      <c r="L1212" s="9">
        <f>'Res-Gen'!Q212</f>
        <v>50000</v>
      </c>
      <c r="M1212" s="9">
        <f>'Res-Gen'!T212</f>
        <v>50000</v>
      </c>
      <c r="N1212" s="9">
        <f>'Res-Gen'!W212</f>
        <v>50000</v>
      </c>
      <c r="O1212" s="9">
        <f>'Res-Gen'!Z212</f>
        <v>50000</v>
      </c>
      <c r="P1212" s="9">
        <f>'Res-Gen'!AC212</f>
        <v>50000</v>
      </c>
      <c r="Q1212" s="9">
        <f>'Res-Gen'!AF212</f>
        <v>50000</v>
      </c>
      <c r="R1212" s="9">
        <f>'Res-Gen'!AI212</f>
        <v>50000</v>
      </c>
      <c r="S1212" s="61">
        <f>'Res-Gen'!AL212</f>
        <v>50000</v>
      </c>
    </row>
    <row r="1213" spans="1:21" x14ac:dyDescent="0.2">
      <c r="A1213" s="54">
        <v>32800</v>
      </c>
      <c r="B1213" s="89">
        <v>0</v>
      </c>
      <c r="C1213" s="136">
        <v>196400</v>
      </c>
      <c r="D1213" s="136">
        <v>166000</v>
      </c>
      <c r="E1213" s="144">
        <v>244000</v>
      </c>
      <c r="F1213" s="167"/>
      <c r="G1213" s="257" t="s">
        <v>2309</v>
      </c>
      <c r="H1213" s="136">
        <f>-+'Res-Bal'!I125</f>
        <v>339700</v>
      </c>
      <c r="I1213" s="85">
        <f t="shared" si="1987"/>
        <v>39.221311475409834</v>
      </c>
      <c r="J1213" s="9">
        <f>'Res-Gen'!L212</f>
        <v>0</v>
      </c>
      <c r="K1213" s="9">
        <f>'Res-Gen'!O212</f>
        <v>100000</v>
      </c>
      <c r="L1213" s="9">
        <f>'Res-Gen'!R212</f>
        <v>0</v>
      </c>
      <c r="M1213" s="9">
        <f>'Res-Gen'!U212</f>
        <v>100000</v>
      </c>
      <c r="N1213" s="9">
        <f>'Res-Gen'!X212</f>
        <v>0</v>
      </c>
      <c r="O1213" s="9">
        <f>'Res-Gen'!AA212</f>
        <v>100000</v>
      </c>
      <c r="P1213" s="9">
        <f>'Res-Gen'!AD212</f>
        <v>0</v>
      </c>
      <c r="Q1213" s="9">
        <f>'Res-Gen'!AG212</f>
        <v>100000</v>
      </c>
      <c r="R1213" s="9">
        <f>'Res-Gen'!AJ212</f>
        <v>0</v>
      </c>
      <c r="S1213" s="61">
        <f>'Res-Gen'!AM212</f>
        <v>100000</v>
      </c>
    </row>
    <row r="1214" spans="1:21" x14ac:dyDescent="0.2">
      <c r="A1214" s="54">
        <v>152900</v>
      </c>
      <c r="B1214" s="89">
        <v>33800</v>
      </c>
      <c r="C1214" s="136">
        <v>198000</v>
      </c>
      <c r="D1214" s="136">
        <f>SUM('Cap-Gen'!R158:T168)</f>
        <v>0</v>
      </c>
      <c r="E1214" s="144">
        <v>121100</v>
      </c>
      <c r="F1214" s="167"/>
      <c r="G1214" s="257" t="s">
        <v>5847</v>
      </c>
      <c r="H1214" s="136">
        <f>SUM('Cap-Gen'!AB158:AD168)</f>
        <v>823900</v>
      </c>
      <c r="I1214" s="85">
        <f t="shared" si="1987"/>
        <v>580.34682080924858</v>
      </c>
      <c r="J1214" s="9">
        <v>0</v>
      </c>
      <c r="K1214" s="9">
        <v>0</v>
      </c>
      <c r="L1214" s="9">
        <v>0</v>
      </c>
      <c r="M1214" s="9">
        <v>0</v>
      </c>
      <c r="N1214" s="9">
        <v>0</v>
      </c>
      <c r="O1214" s="9">
        <v>0</v>
      </c>
      <c r="P1214" s="9">
        <v>0</v>
      </c>
      <c r="Q1214" s="9">
        <v>0</v>
      </c>
      <c r="R1214" s="9">
        <v>0</v>
      </c>
      <c r="S1214" s="47">
        <v>0</v>
      </c>
    </row>
    <row r="1215" spans="1:21" x14ac:dyDescent="0.2">
      <c r="A1215" s="54">
        <v>260500</v>
      </c>
      <c r="B1215" s="89">
        <v>0</v>
      </c>
      <c r="C1215" s="136">
        <v>398100</v>
      </c>
      <c r="D1215" s="136">
        <f>SUM('Cap-Gen'!E158:E168)</f>
        <v>99500</v>
      </c>
      <c r="E1215" s="144">
        <v>107600</v>
      </c>
      <c r="F1215" s="167"/>
      <c r="G1215" s="257" t="s">
        <v>958</v>
      </c>
      <c r="H1215" s="9">
        <f>SUM('Cap-Gen'!G158:G168)</f>
        <v>1227000</v>
      </c>
      <c r="I1215" s="85">
        <f t="shared" si="1987"/>
        <v>1040.3345724907065</v>
      </c>
      <c r="J1215" s="9">
        <f>SUM('Cap-Gen'!H158:H168)</f>
        <v>0</v>
      </c>
      <c r="K1215" s="9">
        <f>SUM('Cap-Gen'!I158:I168)</f>
        <v>0</v>
      </c>
      <c r="L1215" s="9">
        <f>SUM('Cap-Gen'!J158:J168)</f>
        <v>0</v>
      </c>
      <c r="M1215" s="9">
        <f>SUM('Cap-Gen'!K158:K168)</f>
        <v>0</v>
      </c>
      <c r="N1215" s="9">
        <f>SUM('Cap-Gen'!L158:L168)</f>
        <v>0</v>
      </c>
      <c r="O1215" s="9">
        <f>SUM('Cap-Gen'!M158:M168)</f>
        <v>0</v>
      </c>
      <c r="P1215" s="9">
        <f>SUM('Cap-Gen'!N158:N168)</f>
        <v>0</v>
      </c>
      <c r="Q1215" s="9">
        <f>SUM('Cap-Gen'!O158:O168)</f>
        <v>0</v>
      </c>
      <c r="R1215" s="9">
        <f>SUM('Cap-Gen'!P158:P168)</f>
        <v>0</v>
      </c>
      <c r="S1215" s="47">
        <f>SUM('Cap-Gen'!Q158:Q168)</f>
        <v>0</v>
      </c>
    </row>
    <row r="1216" spans="1:21" x14ac:dyDescent="0.2">
      <c r="A1216" s="54"/>
      <c r="B1216" s="89"/>
      <c r="E1216" s="144"/>
      <c r="F1216" s="167"/>
      <c r="G1216" s="361"/>
      <c r="H1216" s="9"/>
      <c r="I1216" s="85">
        <f t="shared" si="1987"/>
        <v>0</v>
      </c>
      <c r="J1216" s="9"/>
      <c r="K1216" s="9"/>
      <c r="L1216" s="9"/>
      <c r="M1216" s="9"/>
      <c r="N1216" s="9"/>
      <c r="O1216" s="9"/>
      <c r="P1216" s="9"/>
      <c r="Q1216" s="9"/>
      <c r="R1216" s="9"/>
      <c r="S1216" s="61"/>
    </row>
    <row r="1217" spans="1:21" s="39" customFormat="1" x14ac:dyDescent="0.2">
      <c r="A1217" s="128">
        <f>A1206-A1211-A1212+A1213++A1214-A1215</f>
        <v>-331000</v>
      </c>
      <c r="B1217" s="266">
        <f>B1206-B1211-B1212+B1213++B1214-B1215</f>
        <v>-212100</v>
      </c>
      <c r="C1217" s="281">
        <f>C1206-C1211-C1212+C1213++C1214-C1215</f>
        <v>-413300</v>
      </c>
      <c r="D1217" s="281">
        <f>D1206-D1211-D1212+D1213++D1214-D1215</f>
        <v>-317800</v>
      </c>
      <c r="E1217" s="1513">
        <f t="shared" ref="E1217" si="1988">E1206-E1211-E1212+E1213++E1214-E1215</f>
        <v>-209800</v>
      </c>
      <c r="F1217" s="372"/>
      <c r="G1217" s="363" t="s">
        <v>2447</v>
      </c>
      <c r="H1217" s="280">
        <f t="shared" ref="H1217:O1217" si="1989">H1206-H1211-H1212+H1213++H1214-H1215</f>
        <v>-287700</v>
      </c>
      <c r="I1217" s="278">
        <f t="shared" si="1987"/>
        <v>37.130600571973311</v>
      </c>
      <c r="J1217" s="280">
        <f t="shared" si="1989"/>
        <v>-175000</v>
      </c>
      <c r="K1217" s="280">
        <f t="shared" si="1989"/>
        <v>-179400</v>
      </c>
      <c r="L1217" s="280">
        <f t="shared" si="1989"/>
        <v>-184000</v>
      </c>
      <c r="M1217" s="280">
        <f t="shared" si="1989"/>
        <v>-190500</v>
      </c>
      <c r="N1217" s="280">
        <f t="shared" si="1989"/>
        <v>-193000</v>
      </c>
      <c r="O1217" s="280">
        <f t="shared" si="1989"/>
        <v>-201600</v>
      </c>
      <c r="P1217" s="280">
        <f t="shared" ref="P1217:Q1217" si="1990">P1206-P1211-P1212+P1213++P1214-P1215</f>
        <v>-202300</v>
      </c>
      <c r="Q1217" s="280">
        <f t="shared" si="1990"/>
        <v>-213000</v>
      </c>
      <c r="R1217" s="280">
        <f t="shared" ref="R1217:S1217" si="1991">R1206-R1211-R1212+R1213++R1214-R1215</f>
        <v>-211700</v>
      </c>
      <c r="S1217" s="282">
        <f t="shared" si="1991"/>
        <v>-114600</v>
      </c>
      <c r="U1217" s="34"/>
    </row>
    <row r="1218" spans="1:21" ht="13.5" thickBot="1" x14ac:dyDescent="0.25">
      <c r="A1218" s="26"/>
      <c r="B1218" s="81"/>
      <c r="C1218" s="141"/>
      <c r="D1218" s="141"/>
      <c r="E1218" s="1437"/>
      <c r="F1218" s="166"/>
      <c r="G1218" s="259"/>
      <c r="H1218" s="23"/>
      <c r="I1218" s="275"/>
      <c r="J1218" s="23"/>
      <c r="K1218" s="23"/>
      <c r="L1218" s="23"/>
      <c r="M1218" s="23"/>
      <c r="N1218" s="23"/>
      <c r="O1218" s="23"/>
      <c r="P1218" s="23"/>
      <c r="Q1218" s="23"/>
      <c r="R1218" s="23"/>
      <c r="S1218" s="112"/>
    </row>
    <row r="1219" spans="1:21" s="46" customFormat="1" ht="14.25" thickTop="1" thickBot="1" x14ac:dyDescent="0.25">
      <c r="C1219" s="144"/>
      <c r="D1219" s="144"/>
      <c r="E1219" s="144"/>
      <c r="F1219" s="165"/>
      <c r="I1219" s="70"/>
      <c r="U1219" s="34"/>
    </row>
    <row r="1220" spans="1:21" s="38" customFormat="1" ht="18.75" customHeight="1" thickTop="1" thickBot="1" x14ac:dyDescent="0.3">
      <c r="A1220" s="2588" t="s">
        <v>301</v>
      </c>
      <c r="B1220" s="2589"/>
      <c r="C1220" s="2589"/>
      <c r="D1220" s="2589"/>
      <c r="E1220" s="2589"/>
      <c r="F1220" s="2589"/>
      <c r="G1220" s="2589"/>
      <c r="H1220" s="2589"/>
      <c r="I1220" s="2589"/>
      <c r="J1220" s="2589"/>
      <c r="K1220" s="2589"/>
      <c r="L1220" s="2589"/>
      <c r="M1220" s="2589"/>
      <c r="N1220" s="2589"/>
      <c r="O1220" s="2589"/>
      <c r="P1220" s="2589"/>
      <c r="Q1220" s="2589"/>
      <c r="R1220" s="2589"/>
      <c r="S1220" s="2590"/>
      <c r="U1220" s="34"/>
    </row>
    <row r="1221" spans="1:21" s="39" customFormat="1" ht="13.5" thickBot="1" x14ac:dyDescent="0.25">
      <c r="A1221" s="2591" t="s">
        <v>1824</v>
      </c>
      <c r="B1221" s="2577"/>
      <c r="C1221" s="2577"/>
      <c r="D1221" s="2577"/>
      <c r="E1221" s="2592"/>
      <c r="F1221" s="127" t="s">
        <v>2616</v>
      </c>
      <c r="G1221" s="127" t="s">
        <v>2213</v>
      </c>
      <c r="H1221" s="2568" t="s">
        <v>2215</v>
      </c>
      <c r="I1221" s="2568"/>
      <c r="J1221" s="2568"/>
      <c r="K1221" s="2568"/>
      <c r="L1221" s="2568"/>
      <c r="M1221" s="2568"/>
      <c r="N1221" s="2568"/>
      <c r="O1221" s="2568"/>
      <c r="P1221" s="2568"/>
      <c r="Q1221" s="2568"/>
      <c r="R1221" s="2568"/>
      <c r="S1221" s="2607"/>
      <c r="U1221" s="34"/>
    </row>
    <row r="1222" spans="1:21" ht="12.75" customHeight="1" thickBot="1" x14ac:dyDescent="0.25">
      <c r="A1222" s="541" t="str">
        <f>A3</f>
        <v>2012/13</v>
      </c>
      <c r="B1222" s="28" t="str">
        <f>B3</f>
        <v>2013/14</v>
      </c>
      <c r="C1222" s="40" t="str">
        <f>C3</f>
        <v>2014/15</v>
      </c>
      <c r="D1222" s="40" t="str">
        <f>D3</f>
        <v>2015/16</v>
      </c>
      <c r="E1222" s="40" t="str">
        <f>E3</f>
        <v>2016/17</v>
      </c>
      <c r="F1222" s="40" t="s">
        <v>2617</v>
      </c>
      <c r="G1222" s="41"/>
      <c r="H1222" s="40" t="str">
        <f>H3</f>
        <v>2017/18</v>
      </c>
      <c r="I1222" s="1258" t="str">
        <f>I1023</f>
        <v>%</v>
      </c>
      <c r="J1222" s="40" t="str">
        <f t="shared" ref="J1222:S1222" si="1992">J3</f>
        <v>2018/19</v>
      </c>
      <c r="K1222" s="40" t="str">
        <f t="shared" si="1992"/>
        <v>2019/20</v>
      </c>
      <c r="L1222" s="40" t="str">
        <f t="shared" si="1992"/>
        <v>2020/21</v>
      </c>
      <c r="M1222" s="40" t="str">
        <f t="shared" si="1992"/>
        <v>2021/22</v>
      </c>
      <c r="N1222" s="40" t="str">
        <f t="shared" si="1992"/>
        <v>2022/23</v>
      </c>
      <c r="O1222" s="40" t="str">
        <f t="shared" si="1992"/>
        <v>2023/24</v>
      </c>
      <c r="P1222" s="40" t="str">
        <f t="shared" si="1992"/>
        <v>2024/25</v>
      </c>
      <c r="Q1222" s="28" t="str">
        <f t="shared" si="1992"/>
        <v>2025/26</v>
      </c>
      <c r="R1222" s="28" t="str">
        <f t="shared" si="1992"/>
        <v>2026/27</v>
      </c>
      <c r="S1222" s="1620" t="str">
        <f t="shared" si="1992"/>
        <v>2027/28</v>
      </c>
    </row>
    <row r="1223" spans="1:21" x14ac:dyDescent="0.2">
      <c r="A1223" s="45"/>
      <c r="B1223" s="9"/>
      <c r="C1223" s="134"/>
      <c r="D1223" s="134"/>
      <c r="E1223" s="1442"/>
      <c r="F1223" s="2425"/>
      <c r="G1223" s="116"/>
      <c r="H1223" s="9"/>
      <c r="I1223" s="85"/>
      <c r="J1223" s="9"/>
      <c r="K1223" s="9"/>
      <c r="L1223" s="9"/>
      <c r="M1223" s="9"/>
      <c r="N1223" s="9"/>
      <c r="O1223" s="9"/>
      <c r="P1223" s="9"/>
      <c r="Q1223" s="9"/>
      <c r="R1223" s="9"/>
      <c r="S1223" s="61"/>
    </row>
    <row r="1224" spans="1:21" x14ac:dyDescent="0.2">
      <c r="A1224" s="45"/>
      <c r="B1224" s="9"/>
      <c r="C1224" s="134"/>
      <c r="D1224" s="134"/>
      <c r="E1224" s="1442"/>
      <c r="F1224" s="167"/>
      <c r="G1224" s="256" t="s">
        <v>1056</v>
      </c>
      <c r="H1224" s="9"/>
      <c r="I1224" s="85"/>
      <c r="J1224" s="9"/>
      <c r="K1224" s="9"/>
      <c r="L1224" s="9"/>
      <c r="M1224" s="9"/>
      <c r="N1224" s="9"/>
      <c r="O1224" s="9"/>
      <c r="P1224" s="9"/>
      <c r="Q1224" s="9"/>
      <c r="R1224" s="9"/>
      <c r="S1224" s="61"/>
    </row>
    <row r="1225" spans="1:21" ht="12" customHeight="1" x14ac:dyDescent="0.2">
      <c r="A1225" s="45"/>
      <c r="B1225" s="9"/>
      <c r="E1225" s="1442"/>
      <c r="F1225" s="167"/>
      <c r="G1225" s="422"/>
      <c r="H1225" s="9"/>
      <c r="I1225" s="85"/>
      <c r="J1225" s="9"/>
      <c r="K1225" s="9"/>
      <c r="L1225" s="9"/>
      <c r="M1225" s="9"/>
      <c r="N1225" s="9"/>
      <c r="O1225" s="9"/>
      <c r="P1225" s="9"/>
      <c r="Q1225" s="9"/>
      <c r="R1225" s="9"/>
      <c r="S1225" s="61"/>
    </row>
    <row r="1226" spans="1:21" ht="12.6" customHeight="1" x14ac:dyDescent="0.2">
      <c r="A1226" s="54"/>
      <c r="B1226" s="9"/>
      <c r="E1226" s="1442"/>
      <c r="F1226" s="2428"/>
      <c r="G1226" s="419" t="s">
        <v>303</v>
      </c>
      <c r="H1226" s="9"/>
      <c r="I1226" s="85"/>
      <c r="J1226" s="9"/>
      <c r="K1226" s="9"/>
      <c r="L1226" s="9"/>
      <c r="M1226" s="9"/>
      <c r="N1226" s="9"/>
      <c r="O1226" s="9"/>
      <c r="P1226" s="9"/>
      <c r="Q1226" s="9"/>
      <c r="R1226" s="9"/>
      <c r="S1226" s="61"/>
    </row>
    <row r="1227" spans="1:21" ht="12.6" customHeight="1" x14ac:dyDescent="0.2">
      <c r="A1227" s="54">
        <v>68500</v>
      </c>
      <c r="B1227" s="9">
        <v>0</v>
      </c>
      <c r="C1227" s="136">
        <v>0</v>
      </c>
      <c r="D1227" s="136">
        <f>D1242</f>
        <v>0</v>
      </c>
      <c r="E1227" s="1442">
        <v>0</v>
      </c>
      <c r="F1227" s="469" t="s">
        <v>1851</v>
      </c>
      <c r="G1227" s="385" t="s">
        <v>768</v>
      </c>
      <c r="H1227" s="9">
        <f t="shared" ref="H1227:O1227" si="1993">H1242</f>
        <v>0</v>
      </c>
      <c r="I1227" s="85">
        <f>IF(E1227=H1227,0,IF(E1227=0,100,(H1227-E1227)/E1227*100))</f>
        <v>0</v>
      </c>
      <c r="J1227" s="9">
        <f t="shared" si="1993"/>
        <v>0</v>
      </c>
      <c r="K1227" s="9">
        <f t="shared" si="1993"/>
        <v>0</v>
      </c>
      <c r="L1227" s="9">
        <f t="shared" si="1993"/>
        <v>0</v>
      </c>
      <c r="M1227" s="9">
        <f t="shared" si="1993"/>
        <v>0</v>
      </c>
      <c r="N1227" s="9">
        <f t="shared" si="1993"/>
        <v>0</v>
      </c>
      <c r="O1227" s="9">
        <f t="shared" si="1993"/>
        <v>0</v>
      </c>
      <c r="P1227" s="9">
        <f t="shared" ref="P1227:Q1227" si="1994">P1242</f>
        <v>0</v>
      </c>
      <c r="Q1227" s="9">
        <f t="shared" si="1994"/>
        <v>0</v>
      </c>
      <c r="R1227" s="9">
        <f t="shared" ref="R1227" si="1995">R1242</f>
        <v>0</v>
      </c>
      <c r="S1227" s="47">
        <f t="shared" ref="S1227" si="1996">S1242</f>
        <v>0</v>
      </c>
    </row>
    <row r="1228" spans="1:21" ht="12.6" customHeight="1" x14ac:dyDescent="0.2">
      <c r="A1228" s="54">
        <v>46900</v>
      </c>
      <c r="B1228" s="9">
        <v>0</v>
      </c>
      <c r="C1228" s="136">
        <v>0</v>
      </c>
      <c r="D1228" s="136">
        <f>D1239</f>
        <v>0</v>
      </c>
      <c r="E1228" s="1442">
        <v>0</v>
      </c>
      <c r="F1228" s="469" t="s">
        <v>1847</v>
      </c>
      <c r="G1228" s="385" t="s">
        <v>2139</v>
      </c>
      <c r="H1228" s="9">
        <f t="shared" ref="H1228:O1228" si="1997">H1239</f>
        <v>0</v>
      </c>
      <c r="I1228" s="85">
        <f>IF(E1228=H1228,0,IF(E1228=0,100,(H1228-E1228)/E1228*100))</f>
        <v>0</v>
      </c>
      <c r="J1228" s="9">
        <f t="shared" si="1997"/>
        <v>0</v>
      </c>
      <c r="K1228" s="9">
        <f t="shared" si="1997"/>
        <v>0</v>
      </c>
      <c r="L1228" s="9">
        <f t="shared" si="1997"/>
        <v>0</v>
      </c>
      <c r="M1228" s="9">
        <f t="shared" si="1997"/>
        <v>0</v>
      </c>
      <c r="N1228" s="9">
        <f t="shared" si="1997"/>
        <v>0</v>
      </c>
      <c r="O1228" s="9">
        <f t="shared" si="1997"/>
        <v>0</v>
      </c>
      <c r="P1228" s="9">
        <f t="shared" ref="P1228:Q1228" si="1998">P1239</f>
        <v>0</v>
      </c>
      <c r="Q1228" s="9">
        <f t="shared" si="1998"/>
        <v>0</v>
      </c>
      <c r="R1228" s="9">
        <f t="shared" ref="R1228" si="1999">R1239</f>
        <v>0</v>
      </c>
      <c r="S1228" s="47">
        <f t="shared" ref="S1228" si="2000">S1239</f>
        <v>0</v>
      </c>
    </row>
    <row r="1229" spans="1:21" ht="12.6" customHeight="1" x14ac:dyDescent="0.2">
      <c r="A1229" s="54"/>
      <c r="B1229" s="9"/>
      <c r="E1229" s="1442"/>
      <c r="F1229" s="469"/>
      <c r="G1229" s="385"/>
      <c r="H1229" s="9"/>
      <c r="I1229" s="85"/>
      <c r="J1229" s="9"/>
      <c r="K1229" s="9"/>
      <c r="L1229" s="9"/>
      <c r="M1229" s="9"/>
      <c r="N1229" s="9"/>
      <c r="O1229" s="9"/>
      <c r="P1229" s="9"/>
      <c r="Q1229" s="9"/>
      <c r="R1229" s="9"/>
      <c r="S1229" s="47"/>
    </row>
    <row r="1230" spans="1:21" ht="12.6" customHeight="1" x14ac:dyDescent="0.2">
      <c r="A1230" s="54"/>
      <c r="B1230" s="9"/>
      <c r="E1230" s="1442"/>
      <c r="F1230" s="469"/>
      <c r="G1230" s="419" t="s">
        <v>2021</v>
      </c>
      <c r="H1230" s="9"/>
      <c r="I1230" s="85"/>
      <c r="J1230" s="9"/>
      <c r="K1230" s="9"/>
      <c r="L1230" s="9"/>
      <c r="M1230" s="9"/>
      <c r="N1230" s="9"/>
      <c r="O1230" s="9"/>
      <c r="P1230" s="9"/>
      <c r="Q1230" s="9"/>
      <c r="R1230" s="9"/>
      <c r="S1230" s="47"/>
    </row>
    <row r="1231" spans="1:21" ht="12.6" customHeight="1" x14ac:dyDescent="0.2">
      <c r="A1231" s="54">
        <v>562000</v>
      </c>
      <c r="B1231" s="9">
        <v>926000</v>
      </c>
      <c r="C1231" s="136">
        <f>861000-2000+7500</f>
        <v>866500</v>
      </c>
      <c r="D1231" s="136">
        <v>876000</v>
      </c>
      <c r="E1231" s="1442">
        <v>926200</v>
      </c>
      <c r="F1231" s="769" t="s">
        <v>639</v>
      </c>
      <c r="G1231" s="385" t="s">
        <v>1846</v>
      </c>
      <c r="H1231" s="9">
        <v>746000</v>
      </c>
      <c r="I1231" s="85">
        <f>IF(E1231=H1231,0,IF(E1231=0,100,(H1231-E1231)/E1231*100))</f>
        <v>-19.455841071042972</v>
      </c>
      <c r="J1231" s="9">
        <f t="shared" ref="J1231:S1231" si="2001">SUM(J1245:J1256)</f>
        <v>763900</v>
      </c>
      <c r="K1231" s="9">
        <f t="shared" si="2001"/>
        <v>783600</v>
      </c>
      <c r="L1231" s="9">
        <f t="shared" si="2001"/>
        <v>803600</v>
      </c>
      <c r="M1231" s="9">
        <f t="shared" si="2001"/>
        <v>824100</v>
      </c>
      <c r="N1231" s="9">
        <f t="shared" si="2001"/>
        <v>845200</v>
      </c>
      <c r="O1231" s="9">
        <f t="shared" si="2001"/>
        <v>866800</v>
      </c>
      <c r="P1231" s="9">
        <f t="shared" si="2001"/>
        <v>888900</v>
      </c>
      <c r="Q1231" s="9">
        <f t="shared" si="2001"/>
        <v>911400</v>
      </c>
      <c r="R1231" s="9">
        <f t="shared" si="2001"/>
        <v>934600</v>
      </c>
      <c r="S1231" s="47">
        <f t="shared" si="2001"/>
        <v>958300</v>
      </c>
    </row>
    <row r="1232" spans="1:21" ht="12.6" customHeight="1" x14ac:dyDescent="0.2">
      <c r="A1232" s="54"/>
      <c r="B1232" s="9"/>
      <c r="E1232" s="1442">
        <v>77000</v>
      </c>
      <c r="F1232" s="769" t="s">
        <v>7231</v>
      </c>
      <c r="G1232" s="661" t="s">
        <v>6912</v>
      </c>
      <c r="H1232" s="9"/>
      <c r="I1232" s="85">
        <f>IF(E1232=H1232,0,IF(E1232=0,100,(H1232-E1232)/E1232*100))</f>
        <v>-100</v>
      </c>
      <c r="J1232" s="9"/>
      <c r="K1232" s="9"/>
      <c r="L1232" s="9"/>
      <c r="M1232" s="9"/>
      <c r="N1232" s="9"/>
      <c r="O1232" s="9"/>
      <c r="P1232" s="9"/>
      <c r="Q1232" s="9"/>
      <c r="R1232" s="9"/>
      <c r="S1232" s="47"/>
    </row>
    <row r="1233" spans="1:21" ht="13.5" thickBot="1" x14ac:dyDescent="0.25">
      <c r="A1233" s="54"/>
      <c r="B1233" s="9"/>
      <c r="C1233" s="134"/>
      <c r="D1233" s="134"/>
      <c r="E1233" s="1442"/>
      <c r="F1233" s="469"/>
      <c r="G1233" s="9"/>
      <c r="H1233" s="9"/>
      <c r="I1233" s="85"/>
      <c r="J1233" s="9"/>
      <c r="K1233" s="9"/>
      <c r="L1233" s="9"/>
      <c r="M1233" s="9"/>
      <c r="N1233" s="9"/>
      <c r="O1233" s="9"/>
      <c r="P1233" s="9"/>
      <c r="Q1233" s="9"/>
      <c r="R1233" s="9"/>
      <c r="S1233" s="47"/>
    </row>
    <row r="1234" spans="1:21" s="39" customFormat="1" x14ac:dyDescent="0.2">
      <c r="A1234" s="52">
        <f>SUM(A1224:A1233)</f>
        <v>677400</v>
      </c>
      <c r="B1234" s="16">
        <f>SUM(B1224:B1233)</f>
        <v>926000</v>
      </c>
      <c r="C1234" s="145">
        <f>SUM(C1224:C1233)</f>
        <v>866500</v>
      </c>
      <c r="D1234" s="145">
        <f>SUM(D1224:D1233)</f>
        <v>876000</v>
      </c>
      <c r="E1234" s="1443">
        <f>SUM(E1224:E1233)</f>
        <v>1003200</v>
      </c>
      <c r="F1234" s="469"/>
      <c r="G1234" s="267" t="s">
        <v>2561</v>
      </c>
      <c r="H1234" s="16">
        <f>SUM(H1224:H1233)</f>
        <v>746000</v>
      </c>
      <c r="I1234" s="127">
        <f>IF(E1234=H1234,0,IF(E1234=0,100,(H1234-E1234)/E1234*100))</f>
        <v>-25.637958532695375</v>
      </c>
      <c r="J1234" s="16">
        <f t="shared" ref="J1234:S1234" si="2002">SUM(J1224:J1233)</f>
        <v>763900</v>
      </c>
      <c r="K1234" s="16">
        <f t="shared" si="2002"/>
        <v>783600</v>
      </c>
      <c r="L1234" s="16">
        <f t="shared" si="2002"/>
        <v>803600</v>
      </c>
      <c r="M1234" s="16">
        <f t="shared" si="2002"/>
        <v>824100</v>
      </c>
      <c r="N1234" s="16">
        <f t="shared" si="2002"/>
        <v>845200</v>
      </c>
      <c r="O1234" s="16">
        <f t="shared" si="2002"/>
        <v>866800</v>
      </c>
      <c r="P1234" s="16">
        <f t="shared" si="2002"/>
        <v>888900</v>
      </c>
      <c r="Q1234" s="16">
        <f t="shared" si="2002"/>
        <v>911400</v>
      </c>
      <c r="R1234" s="16">
        <f t="shared" si="2002"/>
        <v>934600</v>
      </c>
      <c r="S1234" s="2342">
        <f t="shared" si="2002"/>
        <v>958300</v>
      </c>
      <c r="U1234" s="34"/>
    </row>
    <row r="1235" spans="1:21" x14ac:dyDescent="0.2">
      <c r="A1235" s="45"/>
      <c r="B1235" s="9"/>
      <c r="C1235" s="134"/>
      <c r="D1235" s="134"/>
      <c r="E1235" s="1442"/>
      <c r="F1235" s="167"/>
      <c r="G1235" s="21"/>
      <c r="H1235" s="9"/>
      <c r="I1235" s="85"/>
      <c r="J1235" s="9"/>
      <c r="K1235" s="9"/>
      <c r="L1235" s="9"/>
      <c r="M1235" s="9"/>
      <c r="N1235" s="9"/>
      <c r="O1235" s="9"/>
      <c r="P1235" s="9"/>
      <c r="Q1235" s="9"/>
      <c r="R1235" s="9"/>
      <c r="S1235" s="47"/>
    </row>
    <row r="1236" spans="1:21" ht="12.75" customHeight="1" x14ac:dyDescent="0.2">
      <c r="A1236" s="45"/>
      <c r="B1236" s="9"/>
      <c r="C1236" s="134"/>
      <c r="D1236" s="134"/>
      <c r="E1236" s="1442"/>
      <c r="F1236" s="167"/>
      <c r="G1236" s="256" t="s">
        <v>2169</v>
      </c>
      <c r="H1236" s="9"/>
      <c r="I1236" s="85"/>
      <c r="J1236" s="9"/>
      <c r="K1236" s="9"/>
      <c r="L1236" s="9"/>
      <c r="M1236" s="9"/>
      <c r="N1236" s="9"/>
      <c r="O1236" s="9"/>
      <c r="P1236" s="9"/>
      <c r="Q1236" s="9"/>
      <c r="R1236" s="9"/>
      <c r="S1236" s="47"/>
    </row>
    <row r="1237" spans="1:21" ht="12.75" customHeight="1" x14ac:dyDescent="0.2">
      <c r="A1237" s="45"/>
      <c r="B1237" s="9"/>
      <c r="C1237" s="134"/>
      <c r="D1237" s="134"/>
      <c r="E1237" s="1442"/>
      <c r="F1237" s="167"/>
      <c r="G1237" s="256"/>
      <c r="H1237" s="9"/>
      <c r="I1237" s="85"/>
      <c r="J1237" s="9"/>
      <c r="K1237" s="9"/>
      <c r="L1237" s="9"/>
      <c r="M1237" s="9"/>
      <c r="N1237" s="9"/>
      <c r="O1237" s="9"/>
      <c r="P1237" s="9"/>
      <c r="Q1237" s="9"/>
      <c r="R1237" s="9"/>
      <c r="S1237" s="47"/>
    </row>
    <row r="1238" spans="1:21" ht="12.75" customHeight="1" x14ac:dyDescent="0.2">
      <c r="A1238" s="54"/>
      <c r="B1238" s="9"/>
      <c r="E1238" s="1442"/>
      <c r="F1238" s="2065"/>
      <c r="G1238" s="419" t="s">
        <v>2547</v>
      </c>
      <c r="H1238" s="9"/>
      <c r="I1238" s="85"/>
      <c r="J1238" s="9"/>
      <c r="K1238" s="9"/>
      <c r="L1238" s="9"/>
      <c r="M1238" s="9"/>
      <c r="N1238" s="9"/>
      <c r="O1238" s="9"/>
      <c r="P1238" s="9"/>
      <c r="Q1238" s="9"/>
      <c r="R1238" s="9"/>
      <c r="S1238" s="47"/>
    </row>
    <row r="1239" spans="1:21" ht="12.75" customHeight="1" x14ac:dyDescent="0.2">
      <c r="A1239" s="54">
        <v>98300</v>
      </c>
      <c r="B1239" s="9">
        <v>0</v>
      </c>
      <c r="C1239" s="136">
        <v>0</v>
      </c>
      <c r="D1239" s="136">
        <v>0</v>
      </c>
      <c r="E1239" s="1442">
        <v>0</v>
      </c>
      <c r="F1239" s="469" t="s">
        <v>706</v>
      </c>
      <c r="G1239" s="385" t="s">
        <v>2547</v>
      </c>
      <c r="H1239" s="9">
        <v>0</v>
      </c>
      <c r="I1239" s="85">
        <f>IF(E1239=H1239,0,IF(E1239=0,100,(H1239-E1239)/E1239*100))</f>
        <v>0</v>
      </c>
      <c r="J1239" s="9">
        <f>ROUNDUP(H1239+(H1239*Assumptions!I$5),-2)</f>
        <v>0</v>
      </c>
      <c r="K1239" s="9">
        <f>ROUNDUP(J1239+(J1239*Assumptions!J$5),-2)</f>
        <v>0</v>
      </c>
      <c r="L1239" s="9">
        <f>ROUNDUP(K1239+(K1239*Assumptions!K$5),-2)</f>
        <v>0</v>
      </c>
      <c r="M1239" s="9">
        <f>ROUNDUP(L1239+(L1239*Assumptions!L$5),-2)</f>
        <v>0</v>
      </c>
      <c r="N1239" s="9">
        <f>ROUNDUP(M1239+(M1239*Assumptions!M$5),-2)</f>
        <v>0</v>
      </c>
      <c r="O1239" s="9">
        <f>ROUNDUP(N1239+(N1239*Assumptions!N$5),-2)</f>
        <v>0</v>
      </c>
      <c r="P1239" s="9">
        <f>ROUNDUP(O1239+(O1239*Assumptions!O$5),-2)</f>
        <v>0</v>
      </c>
      <c r="Q1239" s="9">
        <f>ROUNDUP(P1239+(P1239*Assumptions!P$5),-2)</f>
        <v>0</v>
      </c>
      <c r="R1239" s="9">
        <f>ROUNDUP(Q1239+(Q1239*Assumptions!Q$5),-2)</f>
        <v>0</v>
      </c>
      <c r="S1239" s="47">
        <f>ROUNDUP(R1239+(R1239*Assumptions!R$5),-2)</f>
        <v>0</v>
      </c>
    </row>
    <row r="1240" spans="1:21" ht="12.75" customHeight="1" x14ac:dyDescent="0.2">
      <c r="A1240" s="54"/>
      <c r="B1240" s="9"/>
      <c r="E1240" s="1442"/>
      <c r="F1240" s="1618"/>
      <c r="G1240" s="385"/>
      <c r="H1240" s="9"/>
      <c r="I1240" s="85"/>
      <c r="J1240" s="9"/>
      <c r="K1240" s="9"/>
      <c r="L1240" s="9"/>
      <c r="M1240" s="9"/>
      <c r="N1240" s="9"/>
      <c r="O1240" s="9"/>
      <c r="P1240" s="9"/>
      <c r="Q1240" s="9"/>
      <c r="R1240" s="9"/>
      <c r="S1240" s="47"/>
    </row>
    <row r="1241" spans="1:21" ht="12.75" customHeight="1" x14ac:dyDescent="0.2">
      <c r="A1241" s="54"/>
      <c r="B1241" s="9"/>
      <c r="E1241" s="1442"/>
      <c r="F1241" s="2065"/>
      <c r="G1241" s="419" t="s">
        <v>110</v>
      </c>
      <c r="H1241" s="9"/>
      <c r="I1241" s="85"/>
      <c r="J1241" s="9"/>
      <c r="K1241" s="9"/>
      <c r="L1241" s="9"/>
      <c r="M1241" s="9"/>
      <c r="N1241" s="9"/>
      <c r="O1241" s="9"/>
      <c r="P1241" s="9"/>
      <c r="Q1241" s="9"/>
      <c r="R1241" s="9"/>
      <c r="S1241" s="47"/>
    </row>
    <row r="1242" spans="1:21" ht="12.75" customHeight="1" x14ac:dyDescent="0.2">
      <c r="A1242" s="54">
        <v>21000</v>
      </c>
      <c r="B1242" s="9">
        <v>0</v>
      </c>
      <c r="C1242" s="136">
        <v>0</v>
      </c>
      <c r="D1242" s="136">
        <v>0</v>
      </c>
      <c r="E1242" s="144">
        <v>0</v>
      </c>
      <c r="F1242" s="469" t="s">
        <v>1325</v>
      </c>
      <c r="G1242" s="385" t="s">
        <v>300</v>
      </c>
      <c r="H1242" s="9">
        <v>0</v>
      </c>
      <c r="I1242" s="85">
        <f>IF(E1242=H1242,0,IF(E1242=0,100,(H1242-E1242)/E1242*100))</f>
        <v>0</v>
      </c>
      <c r="J1242" s="9">
        <f>ROUNDUP(H1242+(H1242*Assumptions!I$5),-2)</f>
        <v>0</v>
      </c>
      <c r="K1242" s="9">
        <f>ROUNDUP(J1242+(J1242*Assumptions!J$5),-2)</f>
        <v>0</v>
      </c>
      <c r="L1242" s="9">
        <f>ROUNDUP(K1242+(K1242*Assumptions!K$5),-2)</f>
        <v>0</v>
      </c>
      <c r="M1242" s="9">
        <f>ROUNDUP(L1242+(L1242*Assumptions!L$5),-2)</f>
        <v>0</v>
      </c>
      <c r="N1242" s="9">
        <f>ROUNDUP(M1242+(M1242*Assumptions!M$5),-2)</f>
        <v>0</v>
      </c>
      <c r="O1242" s="9">
        <f>ROUNDUP(N1242+(N1242*Assumptions!N$5),-2)</f>
        <v>0</v>
      </c>
      <c r="P1242" s="9">
        <f>ROUNDUP(O1242+(O1242*Assumptions!O$5),-2)</f>
        <v>0</v>
      </c>
      <c r="Q1242" s="9">
        <f>ROUNDUP(P1242+(P1242*Assumptions!P$5),-2)</f>
        <v>0</v>
      </c>
      <c r="R1242" s="9">
        <f>ROUNDUP(Q1242+(Q1242*Assumptions!Q$5),-2)</f>
        <v>0</v>
      </c>
      <c r="S1242" s="47">
        <f>ROUNDUP(R1242+(R1242*Assumptions!R$5),-2)</f>
        <v>0</v>
      </c>
    </row>
    <row r="1243" spans="1:21" ht="12.75" customHeight="1" x14ac:dyDescent="0.2">
      <c r="A1243" s="54"/>
      <c r="B1243" s="9"/>
      <c r="E1243" s="144"/>
      <c r="F1243" s="469"/>
      <c r="G1243" s="385"/>
      <c r="H1243" s="9"/>
      <c r="I1243" s="85"/>
      <c r="J1243" s="9"/>
      <c r="K1243" s="9"/>
      <c r="L1243" s="9"/>
      <c r="M1243" s="9"/>
      <c r="N1243" s="9"/>
      <c r="O1243" s="9"/>
      <c r="P1243" s="9"/>
      <c r="Q1243" s="9"/>
      <c r="R1243" s="9"/>
      <c r="S1243" s="47"/>
    </row>
    <row r="1244" spans="1:21" ht="12.75" customHeight="1" x14ac:dyDescent="0.2">
      <c r="A1244" s="54"/>
      <c r="B1244" s="9"/>
      <c r="E1244" s="144"/>
      <c r="F1244" s="469"/>
      <c r="G1244" s="419" t="s">
        <v>880</v>
      </c>
      <c r="H1244" s="9"/>
      <c r="I1244" s="85"/>
      <c r="J1244" s="9"/>
      <c r="K1244" s="9"/>
      <c r="L1244" s="9"/>
      <c r="M1244" s="9"/>
      <c r="N1244" s="9"/>
      <c r="O1244" s="9"/>
      <c r="P1244" s="9"/>
      <c r="Q1244" s="9"/>
      <c r="R1244" s="9"/>
      <c r="S1244" s="47"/>
    </row>
    <row r="1245" spans="1:21" ht="12.75" customHeight="1" x14ac:dyDescent="0.2">
      <c r="A1245" s="54">
        <v>48300</v>
      </c>
      <c r="B1245" s="9">
        <f>128400-108100</f>
        <v>20300</v>
      </c>
      <c r="C1245" s="136">
        <v>0</v>
      </c>
      <c r="D1245" s="136">
        <v>0</v>
      </c>
      <c r="E1245" s="144">
        <v>0</v>
      </c>
      <c r="F1245" s="469" t="s">
        <v>762</v>
      </c>
      <c r="G1245" s="385" t="s">
        <v>761</v>
      </c>
      <c r="H1245" s="9">
        <v>0</v>
      </c>
      <c r="I1245" s="85">
        <f t="shared" ref="I1245:I1255" si="2003">IF(E1245=H1245,0,IF(E1245=0,100,(H1245-E1245)/E1245*100))</f>
        <v>0</v>
      </c>
      <c r="J1245" s="9">
        <f>ROUNDUP(H1245+(H1245*Assumptions!I$5),-2)</f>
        <v>0</v>
      </c>
      <c r="K1245" s="9">
        <f>ROUNDUP(J1245+(J1245*Assumptions!J$5),-2)</f>
        <v>0</v>
      </c>
      <c r="L1245" s="9">
        <f>ROUNDUP(K1245+(K1245*Assumptions!K$5),-2)</f>
        <v>0</v>
      </c>
      <c r="M1245" s="9">
        <f>ROUNDUP(L1245+(L1245*Assumptions!L$5),-2)</f>
        <v>0</v>
      </c>
      <c r="N1245" s="9">
        <f>ROUNDUP(M1245+(M1245*Assumptions!M$5),-2)</f>
        <v>0</v>
      </c>
      <c r="O1245" s="9">
        <f>ROUNDUP(N1245+(N1245*Assumptions!N$5),-2)</f>
        <v>0</v>
      </c>
      <c r="P1245" s="9">
        <f>ROUNDUP(O1245+(O1245*Assumptions!O$5),-2)</f>
        <v>0</v>
      </c>
      <c r="Q1245" s="9">
        <f>ROUNDUP(P1245+(P1245*Assumptions!P$5),-2)</f>
        <v>0</v>
      </c>
      <c r="R1245" s="9">
        <f>ROUNDUP(Q1245+(Q1245*Assumptions!Q$5),-2)</f>
        <v>0</v>
      </c>
      <c r="S1245" s="47">
        <f>ROUNDUP(R1245+(R1245*Assumptions!R$5),-2)</f>
        <v>0</v>
      </c>
    </row>
    <row r="1246" spans="1:21" ht="12.75" customHeight="1" x14ac:dyDescent="0.2">
      <c r="A1246" s="54">
        <v>51200</v>
      </c>
      <c r="B1246" s="9">
        <v>88400</v>
      </c>
      <c r="C1246" s="136">
        <v>114500</v>
      </c>
      <c r="D1246" s="136">
        <v>104100</v>
      </c>
      <c r="E1246" s="144">
        <v>157800</v>
      </c>
      <c r="F1246" s="469" t="s">
        <v>736</v>
      </c>
      <c r="G1246" s="385" t="s">
        <v>2626</v>
      </c>
      <c r="H1246" s="79">
        <f>103600-3600-30000</f>
        <v>70000</v>
      </c>
      <c r="I1246" s="85">
        <f t="shared" si="2003"/>
        <v>-55.640050697084916</v>
      </c>
      <c r="J1246" s="9">
        <f>ROUNDUP(H1246+(H1246*Assumptions!I$5),-2)+30700</f>
        <v>102400</v>
      </c>
      <c r="K1246" s="9">
        <f>ROUNDUP(J1246+(J1246*Assumptions!J$5),-2)</f>
        <v>105000</v>
      </c>
      <c r="L1246" s="9">
        <f>ROUNDUP(K1246+(K1246*Assumptions!K$5),-2)</f>
        <v>107700</v>
      </c>
      <c r="M1246" s="9">
        <f>ROUNDUP(L1246+(L1246*Assumptions!L$5),-2)</f>
        <v>110400</v>
      </c>
      <c r="N1246" s="9">
        <f>ROUNDUP(M1246+(M1246*Assumptions!M$5),-2)</f>
        <v>113200</v>
      </c>
      <c r="O1246" s="9">
        <f>ROUNDUP(N1246+(N1246*Assumptions!N$5),-2)</f>
        <v>116100</v>
      </c>
      <c r="P1246" s="9">
        <f>ROUNDUP(O1246+(O1246*Assumptions!O$5),-2)</f>
        <v>119100</v>
      </c>
      <c r="Q1246" s="9">
        <f>ROUNDUP(P1246+(P1246*Assumptions!P$5),-2)</f>
        <v>122100</v>
      </c>
      <c r="R1246" s="9">
        <f>ROUNDUP(Q1246+(Q1246*Assumptions!Q$5),-2)</f>
        <v>125200</v>
      </c>
      <c r="S1246" s="47">
        <f>ROUNDUP(R1246+(R1246*Assumptions!R$5),-2)</f>
        <v>128400</v>
      </c>
    </row>
    <row r="1247" spans="1:21" ht="12.75" customHeight="1" x14ac:dyDescent="0.2">
      <c r="A1247" s="54">
        <v>285700</v>
      </c>
      <c r="B1247" s="9">
        <v>226200</v>
      </c>
      <c r="C1247" s="136">
        <v>174100</v>
      </c>
      <c r="D1247" s="136">
        <v>137500</v>
      </c>
      <c r="E1247" s="1439">
        <v>22700</v>
      </c>
      <c r="F1247" s="469" t="s">
        <v>2818</v>
      </c>
      <c r="G1247" s="385" t="s">
        <v>2627</v>
      </c>
      <c r="H1247" s="9">
        <f>102600-16600-26000</f>
        <v>60000</v>
      </c>
      <c r="I1247" s="85">
        <f t="shared" si="2003"/>
        <v>164.31718061674007</v>
      </c>
      <c r="J1247" s="9">
        <f>ROUNDUP(H1247+(H1247*Assumptions!I$5),-2)+26700</f>
        <v>88100</v>
      </c>
      <c r="K1247" s="9">
        <f>ROUNDUP(J1247+(J1247*Assumptions!J$5),-2)</f>
        <v>90400</v>
      </c>
      <c r="L1247" s="9">
        <f>ROUNDUP(K1247+(K1247*Assumptions!K$5),-2)</f>
        <v>92700</v>
      </c>
      <c r="M1247" s="9">
        <f>ROUNDUP(L1247+(L1247*Assumptions!L$5),-2)</f>
        <v>95100</v>
      </c>
      <c r="N1247" s="9">
        <f>ROUNDUP(M1247+(M1247*Assumptions!M$5),-2)</f>
        <v>97500</v>
      </c>
      <c r="O1247" s="9">
        <f>ROUNDUP(N1247+(N1247*Assumptions!N$5),-2)</f>
        <v>100000</v>
      </c>
      <c r="P1247" s="9">
        <f>ROUNDUP(O1247+(O1247*Assumptions!O$5),-2)</f>
        <v>102500</v>
      </c>
      <c r="Q1247" s="9">
        <f>ROUNDUP(P1247+(P1247*Assumptions!P$5),-2)</f>
        <v>105100</v>
      </c>
      <c r="R1247" s="9">
        <f>ROUNDUP(Q1247+(Q1247*Assumptions!Q$5),-2)</f>
        <v>107800</v>
      </c>
      <c r="S1247" s="47">
        <f>ROUNDUP(R1247+(R1247*Assumptions!R$5),-2)</f>
        <v>110500</v>
      </c>
    </row>
    <row r="1248" spans="1:21" ht="12.75" customHeight="1" x14ac:dyDescent="0.2">
      <c r="A1248" s="54">
        <v>50000</v>
      </c>
      <c r="B1248" s="9">
        <v>92200</v>
      </c>
      <c r="C1248" s="136">
        <v>72000</v>
      </c>
      <c r="D1248" s="136">
        <v>96900</v>
      </c>
      <c r="E1248" s="1442">
        <v>94200</v>
      </c>
      <c r="F1248" s="469" t="s">
        <v>796</v>
      </c>
      <c r="G1248" s="385" t="s">
        <v>2629</v>
      </c>
      <c r="H1248" s="79">
        <f>78200+21800-30000</f>
        <v>70000</v>
      </c>
      <c r="I1248" s="85">
        <f t="shared" si="2003"/>
        <v>-25.690021231422506</v>
      </c>
      <c r="J1248" s="9">
        <f>ROUNDUP(H1248+(H1248*Assumptions!I$5),-2)+30700</f>
        <v>102400</v>
      </c>
      <c r="K1248" s="9">
        <f>ROUNDUP(J1248+(J1248*Assumptions!J$5),-2)</f>
        <v>105000</v>
      </c>
      <c r="L1248" s="9">
        <f>ROUNDUP(K1248+(K1248*Assumptions!K$5),-2)</f>
        <v>107700</v>
      </c>
      <c r="M1248" s="9">
        <f>ROUNDUP(L1248+(L1248*Assumptions!L$5),-2)</f>
        <v>110400</v>
      </c>
      <c r="N1248" s="9">
        <f>ROUNDUP(M1248+(M1248*Assumptions!M$5),-2)</f>
        <v>113200</v>
      </c>
      <c r="O1248" s="9">
        <f>ROUNDUP(N1248+(N1248*Assumptions!N$5),-2)</f>
        <v>116100</v>
      </c>
      <c r="P1248" s="9">
        <f>ROUNDUP(O1248+(O1248*Assumptions!O$5),-2)</f>
        <v>119100</v>
      </c>
      <c r="Q1248" s="9">
        <f>ROUNDUP(P1248+(P1248*Assumptions!P$5),-2)</f>
        <v>122100</v>
      </c>
      <c r="R1248" s="9">
        <f>ROUNDUP(Q1248+(Q1248*Assumptions!Q$5),-2)</f>
        <v>125200</v>
      </c>
      <c r="S1248" s="47">
        <f>ROUNDUP(R1248+(R1248*Assumptions!R$5),-2)</f>
        <v>128400</v>
      </c>
    </row>
    <row r="1249" spans="1:21" ht="12.75" customHeight="1" x14ac:dyDescent="0.2">
      <c r="A1249" s="54">
        <v>21000</v>
      </c>
      <c r="B1249" s="9">
        <v>24700</v>
      </c>
      <c r="C1249" s="136">
        <v>26300</v>
      </c>
      <c r="D1249" s="136">
        <v>48300</v>
      </c>
      <c r="E1249" s="1442">
        <v>36000</v>
      </c>
      <c r="F1249" s="769" t="s">
        <v>2628</v>
      </c>
      <c r="G1249" s="385" t="s">
        <v>700</v>
      </c>
      <c r="H1249" s="9">
        <f>42700+43300-26000</f>
        <v>60000</v>
      </c>
      <c r="I1249" s="85">
        <f t="shared" si="2003"/>
        <v>66.666666666666657</v>
      </c>
      <c r="J1249" s="9">
        <f>ROUNDUP(H1249+(H1249*Assumptions!I$5),-2)+26700</f>
        <v>88100</v>
      </c>
      <c r="K1249" s="9">
        <f>ROUNDUP(J1249+(J1249*Assumptions!J$5),-2)</f>
        <v>90400</v>
      </c>
      <c r="L1249" s="9">
        <f>ROUNDUP(K1249+(K1249*Assumptions!K$5),-2)</f>
        <v>92700</v>
      </c>
      <c r="M1249" s="9">
        <f>ROUNDUP(L1249+(L1249*Assumptions!L$5),-2)</f>
        <v>95100</v>
      </c>
      <c r="N1249" s="9">
        <f>ROUNDUP(M1249+(M1249*Assumptions!M$5),-2)</f>
        <v>97500</v>
      </c>
      <c r="O1249" s="9">
        <f>ROUNDUP(N1249+(N1249*Assumptions!N$5),-2)</f>
        <v>100000</v>
      </c>
      <c r="P1249" s="9">
        <f>ROUNDUP(O1249+(O1249*Assumptions!O$5),-2)</f>
        <v>102500</v>
      </c>
      <c r="Q1249" s="9">
        <f>ROUNDUP(P1249+(P1249*Assumptions!P$5),-2)</f>
        <v>105100</v>
      </c>
      <c r="R1249" s="9">
        <f>ROUNDUP(Q1249+(Q1249*Assumptions!Q$5),-2)</f>
        <v>107800</v>
      </c>
      <c r="S1249" s="47">
        <f>ROUNDUP(R1249+(R1249*Assumptions!R$5),-2)</f>
        <v>110500</v>
      </c>
    </row>
    <row r="1250" spans="1:21" ht="12.75" customHeight="1" x14ac:dyDescent="0.2">
      <c r="A1250" s="54">
        <v>32000</v>
      </c>
      <c r="B1250" s="9">
        <v>35100</v>
      </c>
      <c r="C1250" s="136">
        <v>36500</v>
      </c>
      <c r="D1250" s="136">
        <v>26800</v>
      </c>
      <c r="E1250" s="1442">
        <v>34300</v>
      </c>
      <c r="F1250" s="769" t="s">
        <v>797</v>
      </c>
      <c r="G1250" s="385" t="s">
        <v>421</v>
      </c>
      <c r="H1250" s="9">
        <f>27500+27500-15000</f>
        <v>40000</v>
      </c>
      <c r="I1250" s="85">
        <f t="shared" si="2003"/>
        <v>16.618075801749271</v>
      </c>
      <c r="J1250" s="9">
        <f>ROUNDUP(H1250+(H1250*Assumptions!I$5),-2)+15400</f>
        <v>56400</v>
      </c>
      <c r="K1250" s="9">
        <f>ROUNDUP(J1250+(J1250*Assumptions!J$5),-2)</f>
        <v>57900</v>
      </c>
      <c r="L1250" s="9">
        <f>ROUNDUP(K1250+(K1250*Assumptions!K$5),-2)</f>
        <v>59400</v>
      </c>
      <c r="M1250" s="9">
        <f>ROUNDUP(L1250+(L1250*Assumptions!L$5),-2)</f>
        <v>60900</v>
      </c>
      <c r="N1250" s="9">
        <f>ROUNDUP(M1250+(M1250*Assumptions!M$5),-2)</f>
        <v>62500</v>
      </c>
      <c r="O1250" s="9">
        <f>ROUNDUP(N1250+(N1250*Assumptions!N$5),-2)</f>
        <v>64100</v>
      </c>
      <c r="P1250" s="9">
        <f>ROUNDUP(O1250+(O1250*Assumptions!O$5),-2)</f>
        <v>65800</v>
      </c>
      <c r="Q1250" s="9">
        <f>ROUNDUP(P1250+(P1250*Assumptions!P$5),-2)</f>
        <v>67500</v>
      </c>
      <c r="R1250" s="9">
        <f>ROUNDUP(Q1250+(Q1250*Assumptions!Q$5),-2)</f>
        <v>69200</v>
      </c>
      <c r="S1250" s="47">
        <f>ROUNDUP(R1250+(R1250*Assumptions!R$5),-2)</f>
        <v>71000</v>
      </c>
    </row>
    <row r="1251" spans="1:21" ht="12.75" customHeight="1" x14ac:dyDescent="0.2">
      <c r="A1251" s="54">
        <v>1000</v>
      </c>
      <c r="B1251" s="9">
        <v>51400</v>
      </c>
      <c r="C1251" s="136">
        <v>24700</v>
      </c>
      <c r="D1251" s="136">
        <v>18800</v>
      </c>
      <c r="E1251" s="1442">
        <v>27500</v>
      </c>
      <c r="F1251" s="769" t="s">
        <v>35</v>
      </c>
      <c r="G1251" s="385" t="s">
        <v>701</v>
      </c>
      <c r="H1251" s="9">
        <f>111700-71700-10000</f>
        <v>30000</v>
      </c>
      <c r="I1251" s="85">
        <f t="shared" si="2003"/>
        <v>9.0909090909090917</v>
      </c>
      <c r="J1251" s="9">
        <f>ROUNDUP(H1251+(H1251*Assumptions!I$5),-2)+10200</f>
        <v>40900</v>
      </c>
      <c r="K1251" s="9">
        <f>ROUNDUP(J1251+(J1251*Assumptions!J$5),-2)</f>
        <v>42000</v>
      </c>
      <c r="L1251" s="9">
        <f>ROUNDUP(K1251+(K1251*Assumptions!K$5),-2)</f>
        <v>43100</v>
      </c>
      <c r="M1251" s="9">
        <f>ROUNDUP(L1251+(L1251*Assumptions!L$5),-2)</f>
        <v>44200</v>
      </c>
      <c r="N1251" s="9">
        <f>ROUNDUP(M1251+(M1251*Assumptions!M$5),-2)</f>
        <v>45400</v>
      </c>
      <c r="O1251" s="9">
        <f>ROUNDUP(N1251+(N1251*Assumptions!N$5),-2)</f>
        <v>46600</v>
      </c>
      <c r="P1251" s="9">
        <f>ROUNDUP(O1251+(O1251*Assumptions!O$5),-2)</f>
        <v>47800</v>
      </c>
      <c r="Q1251" s="9">
        <f>ROUNDUP(P1251+(P1251*Assumptions!P$5),-2)</f>
        <v>49000</v>
      </c>
      <c r="R1251" s="9">
        <f>ROUNDUP(Q1251+(Q1251*Assumptions!Q$5),-2)</f>
        <v>50300</v>
      </c>
      <c r="S1251" s="47">
        <f>ROUNDUP(R1251+(R1251*Assumptions!R$5),-2)</f>
        <v>51600</v>
      </c>
    </row>
    <row r="1252" spans="1:21" ht="12.75" customHeight="1" x14ac:dyDescent="0.2">
      <c r="A1252" s="54">
        <v>31600</v>
      </c>
      <c r="B1252" s="9">
        <v>76700</v>
      </c>
      <c r="C1252" s="136">
        <v>94800</v>
      </c>
      <c r="D1252" s="136">
        <v>140500</v>
      </c>
      <c r="E1252" s="1442">
        <v>204700</v>
      </c>
      <c r="F1252" s="769" t="s">
        <v>3201</v>
      </c>
      <c r="G1252" s="661" t="s">
        <v>2984</v>
      </c>
      <c r="H1252" s="9">
        <f>109700-14700-23000</f>
        <v>72000</v>
      </c>
      <c r="I1252" s="85">
        <f t="shared" si="2003"/>
        <v>-64.826575476306786</v>
      </c>
      <c r="J1252" s="9">
        <f>ROUNDUP(H1252+(H1252*Assumptions!I$5),-2)+23600</f>
        <v>97300</v>
      </c>
      <c r="K1252" s="9">
        <f>ROUNDUP(J1252+(J1252*Assumptions!J$5),-2)</f>
        <v>99800</v>
      </c>
      <c r="L1252" s="9">
        <f>ROUNDUP(K1252+(K1252*Assumptions!K$5),-2)</f>
        <v>102300</v>
      </c>
      <c r="M1252" s="9">
        <f>ROUNDUP(L1252+(L1252*Assumptions!L$5),-2)</f>
        <v>104900</v>
      </c>
      <c r="N1252" s="9">
        <f>ROUNDUP(M1252+(M1252*Assumptions!M$5),-2)</f>
        <v>107600</v>
      </c>
      <c r="O1252" s="9">
        <f>ROUNDUP(N1252+(N1252*Assumptions!N$5),-2)</f>
        <v>110300</v>
      </c>
      <c r="P1252" s="9">
        <f>ROUNDUP(O1252+(O1252*Assumptions!O$5),-2)</f>
        <v>113100</v>
      </c>
      <c r="Q1252" s="9">
        <f>ROUNDUP(P1252+(P1252*Assumptions!P$5),-2)</f>
        <v>116000</v>
      </c>
      <c r="R1252" s="9">
        <f>ROUNDUP(Q1252+(Q1252*Assumptions!Q$5),-2)</f>
        <v>118900</v>
      </c>
      <c r="S1252" s="47">
        <f>ROUNDUP(R1252+(R1252*Assumptions!R$5),-2)</f>
        <v>121900</v>
      </c>
    </row>
    <row r="1253" spans="1:21" ht="12.75" customHeight="1" x14ac:dyDescent="0.2">
      <c r="A1253" s="54">
        <v>11600</v>
      </c>
      <c r="B1253" s="9">
        <v>26700</v>
      </c>
      <c r="C1253" s="136">
        <f>8900+600</f>
        <v>9500</v>
      </c>
      <c r="D1253" s="136">
        <v>30500</v>
      </c>
      <c r="E1253" s="1442">
        <v>75700</v>
      </c>
      <c r="F1253" s="769" t="s">
        <v>3202</v>
      </c>
      <c r="G1253" s="385" t="s">
        <v>2985</v>
      </c>
      <c r="H1253" s="9">
        <f>44700+15300</f>
        <v>60000</v>
      </c>
      <c r="I1253" s="85">
        <f t="shared" si="2003"/>
        <v>-20.739762219286657</v>
      </c>
      <c r="J1253" s="9">
        <f>ROUNDUP(H1253+(H1253*Assumptions!I$5),-2)</f>
        <v>61400</v>
      </c>
      <c r="K1253" s="9">
        <f>ROUNDUP(J1253+(J1253*Assumptions!J$5),-2)</f>
        <v>63000</v>
      </c>
      <c r="L1253" s="9">
        <f>ROUNDUP(K1253+(K1253*Assumptions!K$5),-2)</f>
        <v>64600</v>
      </c>
      <c r="M1253" s="9">
        <f>ROUNDUP(L1253+(L1253*Assumptions!L$5),-2)</f>
        <v>66300</v>
      </c>
      <c r="N1253" s="9">
        <f>ROUNDUP(M1253+(M1253*Assumptions!M$5),-2)</f>
        <v>68000</v>
      </c>
      <c r="O1253" s="9">
        <f>ROUNDUP(N1253+(N1253*Assumptions!N$5),-2)</f>
        <v>69700</v>
      </c>
      <c r="P1253" s="9">
        <f>ROUNDUP(O1253+(O1253*Assumptions!O$5),-2)</f>
        <v>71500</v>
      </c>
      <c r="Q1253" s="9">
        <f>ROUNDUP(P1253+(P1253*Assumptions!P$5),-2)</f>
        <v>73300</v>
      </c>
      <c r="R1253" s="9">
        <f>ROUNDUP(Q1253+(Q1253*Assumptions!Q$5),-2)</f>
        <v>75200</v>
      </c>
      <c r="S1253" s="47">
        <f>ROUNDUP(R1253+(R1253*Assumptions!R$5),-2)</f>
        <v>77100</v>
      </c>
    </row>
    <row r="1254" spans="1:21" ht="12.75" customHeight="1" x14ac:dyDescent="0.2">
      <c r="A1254" s="54">
        <v>79000</v>
      </c>
      <c r="B1254" s="9">
        <v>108100</v>
      </c>
      <c r="C1254" s="136">
        <v>116800</v>
      </c>
      <c r="D1254" s="136">
        <v>165900</v>
      </c>
      <c r="E1254" s="1442">
        <v>258500</v>
      </c>
      <c r="F1254" s="769" t="s">
        <v>1420</v>
      </c>
      <c r="G1254" s="385" t="s">
        <v>2740</v>
      </c>
      <c r="H1254" s="9">
        <f>123900+100</f>
        <v>124000</v>
      </c>
      <c r="I1254" s="85">
        <f t="shared" si="2003"/>
        <v>-52.030947775628619</v>
      </c>
      <c r="J1254" s="9">
        <f>ROUNDUP(H1254+(H1254*Assumptions!I$5),-2)</f>
        <v>126900</v>
      </c>
      <c r="K1254" s="9">
        <f>ROUNDUP(J1254+(J1254*Assumptions!J$5),-2)</f>
        <v>130100</v>
      </c>
      <c r="L1254" s="9">
        <f>ROUNDUP(K1254+(K1254*Assumptions!K$5),-2)</f>
        <v>133400</v>
      </c>
      <c r="M1254" s="9">
        <f>ROUNDUP(L1254+(L1254*Assumptions!L$5),-2)</f>
        <v>136800</v>
      </c>
      <c r="N1254" s="9">
        <f>ROUNDUP(M1254+(M1254*Assumptions!M$5),-2)</f>
        <v>140300</v>
      </c>
      <c r="O1254" s="9">
        <f>ROUNDUP(N1254+(N1254*Assumptions!N$5),-2)</f>
        <v>143900</v>
      </c>
      <c r="P1254" s="9">
        <f>ROUNDUP(O1254+(O1254*Assumptions!O$5),-2)</f>
        <v>147500</v>
      </c>
      <c r="Q1254" s="9">
        <f>ROUNDUP(P1254+(P1254*Assumptions!P$5),-2)</f>
        <v>151200</v>
      </c>
      <c r="R1254" s="9">
        <f>ROUNDUP(Q1254+(Q1254*Assumptions!Q$5),-2)</f>
        <v>155000</v>
      </c>
      <c r="S1254" s="47">
        <f>ROUNDUP(R1254+(R1254*Assumptions!R$5),-2)</f>
        <v>158900</v>
      </c>
    </row>
    <row r="1255" spans="1:21" ht="12.75" customHeight="1" x14ac:dyDescent="0.2">
      <c r="A1255" s="54"/>
      <c r="B1255" s="9"/>
      <c r="D1255" s="136">
        <v>700</v>
      </c>
      <c r="E1255" s="1442">
        <v>3700</v>
      </c>
      <c r="F1255" s="769" t="s">
        <v>6603</v>
      </c>
      <c r="G1255" s="385" t="s">
        <v>6604</v>
      </c>
      <c r="H1255" s="9">
        <v>0</v>
      </c>
      <c r="I1255" s="85">
        <f t="shared" si="2003"/>
        <v>-100</v>
      </c>
      <c r="J1255" s="9">
        <f>ROUNDUP(H1255+(H1255*Assumptions!I$5),-2)</f>
        <v>0</v>
      </c>
      <c r="K1255" s="9">
        <f>ROUNDUP(J1255+(J1255*Assumptions!J$5),-2)</f>
        <v>0</v>
      </c>
      <c r="L1255" s="9">
        <f>ROUNDUP(K1255+(K1255*Assumptions!K$5),-2)</f>
        <v>0</v>
      </c>
      <c r="M1255" s="9">
        <f>ROUNDUP(L1255+(L1255*Assumptions!L$5),-2)</f>
        <v>0</v>
      </c>
      <c r="N1255" s="9">
        <f>ROUNDUP(M1255+(M1255*Assumptions!M$5),-2)</f>
        <v>0</v>
      </c>
      <c r="O1255" s="9">
        <f>ROUNDUP(N1255+(N1255*Assumptions!N$5),-2)</f>
        <v>0</v>
      </c>
      <c r="P1255" s="9">
        <f>ROUNDUP(O1255+(O1255*Assumptions!O$5),-2)</f>
        <v>0</v>
      </c>
      <c r="Q1255" s="9">
        <f>ROUNDUP(P1255+(P1255*Assumptions!P$5),-2)</f>
        <v>0</v>
      </c>
      <c r="R1255" s="9">
        <f>ROUNDUP(Q1255+(Q1255*Assumptions!Q$5),-2)</f>
        <v>0</v>
      </c>
      <c r="S1255" s="47">
        <f>ROUNDUP(R1255+(R1255*Assumptions!R$5),-2)</f>
        <v>0</v>
      </c>
    </row>
    <row r="1256" spans="1:21" ht="13.5" thickBot="1" x14ac:dyDescent="0.25">
      <c r="A1256" s="54"/>
      <c r="B1256" s="9"/>
      <c r="C1256" s="134"/>
      <c r="D1256" s="134"/>
      <c r="E1256" s="1442"/>
      <c r="F1256" s="167"/>
      <c r="G1256" s="9"/>
      <c r="H1256" s="9"/>
      <c r="I1256" s="85"/>
      <c r="J1256" s="9"/>
      <c r="K1256" s="9"/>
      <c r="L1256" s="9"/>
      <c r="M1256" s="9"/>
      <c r="N1256" s="9"/>
      <c r="O1256" s="9"/>
      <c r="P1256" s="9"/>
      <c r="Q1256" s="9"/>
      <c r="R1256" s="9"/>
      <c r="S1256" s="47"/>
    </row>
    <row r="1257" spans="1:21" s="39" customFormat="1" x14ac:dyDescent="0.2">
      <c r="A1257" s="52">
        <f>SUM(A1237:A1256)</f>
        <v>730700</v>
      </c>
      <c r="B1257" s="16">
        <f>SUM(B1237:B1256)</f>
        <v>749800</v>
      </c>
      <c r="C1257" s="137">
        <f>SUM(C1237:C1256)</f>
        <v>669200</v>
      </c>
      <c r="D1257" s="137">
        <f>SUM(D1237:D1255)</f>
        <v>770000</v>
      </c>
      <c r="E1257" s="1443">
        <f>SUM(E1237:E1255)</f>
        <v>915100</v>
      </c>
      <c r="F1257" s="126"/>
      <c r="G1257" s="267" t="s">
        <v>556</v>
      </c>
      <c r="H1257" s="16">
        <f>SUM(H1237:H1254)</f>
        <v>586000</v>
      </c>
      <c r="I1257" s="127">
        <f>IF(E1257=H1257,0,IF(E1257=0,100,(H1257-E1257)/E1257*100))</f>
        <v>-35.96328270134412</v>
      </c>
      <c r="J1257" s="16">
        <f t="shared" ref="J1257:S1257" si="2004">SUM(J1237:J1254)</f>
        <v>763900</v>
      </c>
      <c r="K1257" s="16">
        <f t="shared" si="2004"/>
        <v>783600</v>
      </c>
      <c r="L1257" s="16">
        <f t="shared" si="2004"/>
        <v>803600</v>
      </c>
      <c r="M1257" s="16">
        <f t="shared" si="2004"/>
        <v>824100</v>
      </c>
      <c r="N1257" s="16">
        <f t="shared" si="2004"/>
        <v>845200</v>
      </c>
      <c r="O1257" s="16">
        <f t="shared" si="2004"/>
        <v>866800</v>
      </c>
      <c r="P1257" s="16">
        <f t="shared" si="2004"/>
        <v>888900</v>
      </c>
      <c r="Q1257" s="16">
        <f t="shared" si="2004"/>
        <v>911400</v>
      </c>
      <c r="R1257" s="16">
        <f t="shared" si="2004"/>
        <v>934600</v>
      </c>
      <c r="S1257" s="2342">
        <f t="shared" si="2004"/>
        <v>958300</v>
      </c>
      <c r="U1257" s="34"/>
    </row>
    <row r="1258" spans="1:21" x14ac:dyDescent="0.2">
      <c r="A1258" s="54"/>
      <c r="B1258" s="9"/>
      <c r="E1258" s="1442"/>
      <c r="F1258" s="167"/>
      <c r="G1258" s="257"/>
      <c r="H1258" s="9"/>
      <c r="I1258" s="85"/>
      <c r="J1258" s="9"/>
      <c r="K1258" s="9"/>
      <c r="L1258" s="9"/>
      <c r="M1258" s="9"/>
      <c r="N1258" s="9"/>
      <c r="O1258" s="9"/>
      <c r="P1258" s="9"/>
      <c r="Q1258" s="9"/>
      <c r="R1258" s="9"/>
      <c r="S1258" s="47"/>
    </row>
    <row r="1259" spans="1:21" s="39" customFormat="1" x14ac:dyDescent="0.2">
      <c r="A1259" s="24">
        <f>A1234-A1257</f>
        <v>-53300</v>
      </c>
      <c r="B1259" s="21">
        <f>B1234-B1257</f>
        <v>176200</v>
      </c>
      <c r="C1259" s="139">
        <f>C1234-C1257</f>
        <v>197300</v>
      </c>
      <c r="D1259" s="139">
        <f>D1234-D1257</f>
        <v>106000</v>
      </c>
      <c r="E1259" s="1444">
        <f>E1234-E1257</f>
        <v>88100</v>
      </c>
      <c r="F1259" s="173"/>
      <c r="G1259" s="361" t="s">
        <v>1002</v>
      </c>
      <c r="H1259" s="21">
        <f>H1234-H1257</f>
        <v>160000</v>
      </c>
      <c r="I1259" s="126">
        <f>IF(E1259=H1259,0,IF(E1259=0,100,(H1259-E1259)/E1259*100))</f>
        <v>81.611804767309877</v>
      </c>
      <c r="J1259" s="21">
        <f t="shared" ref="J1259:S1259" si="2005">J1234-J1257</f>
        <v>0</v>
      </c>
      <c r="K1259" s="21">
        <f t="shared" si="2005"/>
        <v>0</v>
      </c>
      <c r="L1259" s="21">
        <f t="shared" si="2005"/>
        <v>0</v>
      </c>
      <c r="M1259" s="21">
        <f t="shared" si="2005"/>
        <v>0</v>
      </c>
      <c r="N1259" s="21">
        <f t="shared" si="2005"/>
        <v>0</v>
      </c>
      <c r="O1259" s="21">
        <f t="shared" si="2005"/>
        <v>0</v>
      </c>
      <c r="P1259" s="21">
        <f t="shared" si="2005"/>
        <v>0</v>
      </c>
      <c r="Q1259" s="21">
        <f t="shared" si="2005"/>
        <v>0</v>
      </c>
      <c r="R1259" s="21">
        <f t="shared" si="2005"/>
        <v>0</v>
      </c>
      <c r="S1259" s="86">
        <f t="shared" si="2005"/>
        <v>0</v>
      </c>
      <c r="U1259" s="34"/>
    </row>
    <row r="1260" spans="1:21" s="39" customFormat="1" x14ac:dyDescent="0.2">
      <c r="A1260" s="24"/>
      <c r="B1260" s="21"/>
      <c r="C1260" s="139"/>
      <c r="D1260" s="139"/>
      <c r="E1260" s="1444"/>
      <c r="F1260" s="173"/>
      <c r="G1260" s="361"/>
      <c r="H1260" s="21"/>
      <c r="I1260" s="126"/>
      <c r="J1260" s="21"/>
      <c r="K1260" s="21"/>
      <c r="L1260" s="21"/>
      <c r="M1260" s="21"/>
      <c r="N1260" s="21"/>
      <c r="O1260" s="21"/>
      <c r="P1260" s="21"/>
      <c r="Q1260" s="21"/>
      <c r="R1260" s="21"/>
      <c r="S1260" s="86"/>
      <c r="U1260" s="34"/>
    </row>
    <row r="1261" spans="1:21" s="39" customFormat="1" x14ac:dyDescent="0.2">
      <c r="A1261" s="128">
        <f>A1259</f>
        <v>-53300</v>
      </c>
      <c r="B1261" s="280">
        <f>B1259</f>
        <v>176200</v>
      </c>
      <c r="C1261" s="281">
        <f>C1259</f>
        <v>197300</v>
      </c>
      <c r="D1261" s="281">
        <f>D1259</f>
        <v>106000</v>
      </c>
      <c r="E1261" s="1515">
        <f t="shared" ref="E1261" si="2006">E1259</f>
        <v>88100</v>
      </c>
      <c r="F1261" s="372"/>
      <c r="G1261" s="363" t="s">
        <v>1659</v>
      </c>
      <c r="H1261" s="280">
        <f t="shared" ref="H1261:O1261" si="2007">H1259</f>
        <v>160000</v>
      </c>
      <c r="I1261" s="278">
        <f>IF(E1261=H1261,0,IF(E1261=0,100,(H1261-E1261)/E1261*100))</f>
        <v>81.611804767309877</v>
      </c>
      <c r="J1261" s="280">
        <f t="shared" si="2007"/>
        <v>0</v>
      </c>
      <c r="K1261" s="280">
        <f t="shared" si="2007"/>
        <v>0</v>
      </c>
      <c r="L1261" s="280">
        <f t="shared" si="2007"/>
        <v>0</v>
      </c>
      <c r="M1261" s="280">
        <f t="shared" si="2007"/>
        <v>0</v>
      </c>
      <c r="N1261" s="280">
        <f t="shared" si="2007"/>
        <v>0</v>
      </c>
      <c r="O1261" s="280">
        <f t="shared" si="2007"/>
        <v>0</v>
      </c>
      <c r="P1261" s="280">
        <f t="shared" ref="P1261:Q1261" si="2008">P1259</f>
        <v>0</v>
      </c>
      <c r="Q1261" s="280">
        <f t="shared" si="2008"/>
        <v>0</v>
      </c>
      <c r="R1261" s="280">
        <f t="shared" ref="R1261" si="2009">R1259</f>
        <v>0</v>
      </c>
      <c r="S1261" s="2343">
        <f t="shared" ref="S1261" si="2010">S1259</f>
        <v>0</v>
      </c>
      <c r="U1261" s="34"/>
    </row>
    <row r="1262" spans="1:21" ht="13.5" thickBot="1" x14ac:dyDescent="0.25">
      <c r="A1262" s="544"/>
      <c r="B1262" s="21"/>
      <c r="C1262" s="139"/>
      <c r="D1262" s="138"/>
      <c r="E1262" s="1444"/>
      <c r="F1262" s="167"/>
      <c r="G1262" s="260"/>
      <c r="H1262" s="9"/>
      <c r="I1262" s="126"/>
      <c r="J1262" s="9"/>
      <c r="K1262" s="9"/>
      <c r="L1262" s="9"/>
      <c r="M1262" s="9"/>
      <c r="N1262" s="9"/>
      <c r="O1262" s="9"/>
      <c r="P1262" s="9"/>
      <c r="Q1262" s="9"/>
      <c r="R1262" s="9"/>
      <c r="S1262" s="61"/>
    </row>
    <row r="1263" spans="1:21" x14ac:dyDescent="0.2">
      <c r="A1263" s="52"/>
      <c r="B1263" s="102"/>
      <c r="C1263" s="137"/>
      <c r="D1263" s="137"/>
      <c r="E1263" s="1443"/>
      <c r="F1263" s="2425"/>
      <c r="G1263" s="262"/>
      <c r="H1263" s="116"/>
      <c r="I1263" s="127"/>
      <c r="J1263" s="116"/>
      <c r="K1263" s="116"/>
      <c r="L1263" s="116"/>
      <c r="M1263" s="116"/>
      <c r="N1263" s="116"/>
      <c r="O1263" s="116"/>
      <c r="P1263" s="116"/>
      <c r="Q1263" s="116"/>
      <c r="R1263" s="116"/>
      <c r="S1263" s="1015"/>
    </row>
    <row r="1264" spans="1:21" x14ac:dyDescent="0.2">
      <c r="A1264" s="24"/>
      <c r="B1264" s="75"/>
      <c r="C1264" s="139"/>
      <c r="D1264" s="139"/>
      <c r="E1264" s="1444"/>
      <c r="F1264" s="167"/>
      <c r="G1264" s="361" t="s">
        <v>192</v>
      </c>
      <c r="H1264" s="9"/>
      <c r="I1264" s="126"/>
      <c r="J1264" s="9"/>
      <c r="K1264" s="9"/>
      <c r="L1264" s="9"/>
      <c r="M1264" s="9"/>
      <c r="N1264" s="9"/>
      <c r="O1264" s="9"/>
      <c r="P1264" s="9"/>
      <c r="Q1264" s="9"/>
      <c r="R1264" s="9"/>
      <c r="S1264" s="61"/>
    </row>
    <row r="1265" spans="1:21" x14ac:dyDescent="0.2">
      <c r="A1265" s="24"/>
      <c r="B1265" s="75"/>
      <c r="C1265" s="139"/>
      <c r="D1265" s="139"/>
      <c r="E1265" s="1444"/>
      <c r="F1265" s="167"/>
      <c r="G1265" s="361"/>
      <c r="H1265" s="9"/>
      <c r="I1265" s="126"/>
      <c r="J1265" s="9"/>
      <c r="K1265" s="9"/>
      <c r="L1265" s="9"/>
      <c r="M1265" s="9"/>
      <c r="N1265" s="9"/>
      <c r="O1265" s="9"/>
      <c r="P1265" s="9"/>
      <c r="Q1265" s="9"/>
      <c r="R1265" s="9"/>
      <c r="S1265" s="61"/>
    </row>
    <row r="1266" spans="1:21" x14ac:dyDescent="0.2">
      <c r="A1266" s="54">
        <v>0</v>
      </c>
      <c r="B1266" s="89">
        <v>0</v>
      </c>
      <c r="C1266" s="136">
        <v>0</v>
      </c>
      <c r="D1266" s="136">
        <v>0</v>
      </c>
      <c r="E1266" s="1442">
        <v>0</v>
      </c>
      <c r="F1266" s="167"/>
      <c r="G1266" s="257" t="s">
        <v>2848</v>
      </c>
      <c r="H1266" s="9">
        <v>0</v>
      </c>
      <c r="I1266" s="85">
        <f>IF(E1266=H1266,0,IF(E1266=0,100,(H1266-E1266)/E1266*100))</f>
        <v>0</v>
      </c>
      <c r="J1266" s="9">
        <v>0</v>
      </c>
      <c r="K1266" s="9">
        <v>0</v>
      </c>
      <c r="L1266" s="9">
        <v>0</v>
      </c>
      <c r="M1266" s="9">
        <v>0</v>
      </c>
      <c r="N1266" s="9">
        <v>0</v>
      </c>
      <c r="O1266" s="9">
        <v>0</v>
      </c>
      <c r="P1266" s="9">
        <v>0</v>
      </c>
      <c r="Q1266" s="9">
        <v>0</v>
      </c>
      <c r="R1266" s="9">
        <v>0</v>
      </c>
      <c r="S1266" s="61">
        <v>0</v>
      </c>
    </row>
    <row r="1267" spans="1:21" x14ac:dyDescent="0.2">
      <c r="A1267" s="54">
        <v>24000</v>
      </c>
      <c r="B1267" s="89">
        <v>73000</v>
      </c>
      <c r="C1267" s="136">
        <v>146900</v>
      </c>
      <c r="D1267" s="136">
        <f>'Res-Gen'!B215</f>
        <v>103100</v>
      </c>
      <c r="E1267" s="144">
        <v>0</v>
      </c>
      <c r="F1267" s="167"/>
      <c r="G1267" s="257" t="s">
        <v>1909</v>
      </c>
      <c r="H1267" s="9">
        <v>0</v>
      </c>
      <c r="I1267" s="85">
        <f>IF(E1267=H1267,0,IF(E1267=0,100,(H1267-E1267)/E1267*100))</f>
        <v>0</v>
      </c>
      <c r="J1267" s="9">
        <v>0</v>
      </c>
      <c r="K1267" s="9">
        <v>0</v>
      </c>
      <c r="L1267" s="9">
        <v>0</v>
      </c>
      <c r="M1267" s="9">
        <v>0</v>
      </c>
      <c r="N1267" s="9">
        <v>0</v>
      </c>
      <c r="O1267" s="9">
        <v>0</v>
      </c>
      <c r="P1267" s="9">
        <v>0</v>
      </c>
      <c r="Q1267" s="9">
        <v>0</v>
      </c>
      <c r="R1267" s="9">
        <v>0</v>
      </c>
      <c r="S1267" s="61">
        <v>0</v>
      </c>
    </row>
    <row r="1268" spans="1:21" x14ac:dyDescent="0.2">
      <c r="A1268" s="54">
        <v>77300</v>
      </c>
      <c r="B1268" s="89">
        <v>0</v>
      </c>
      <c r="C1268" s="136">
        <v>125900</v>
      </c>
      <c r="D1268" s="136">
        <f>'Res-Gen'!C215</f>
        <v>146900</v>
      </c>
      <c r="E1268" s="144">
        <v>103100</v>
      </c>
      <c r="F1268" s="167"/>
      <c r="G1268" s="257" t="s">
        <v>2309</v>
      </c>
      <c r="H1268" s="9">
        <v>0</v>
      </c>
      <c r="I1268" s="85">
        <f>IF(E1268=H1268,0,IF(E1268=0,100,(H1268-E1268)/E1268*100))</f>
        <v>-100</v>
      </c>
      <c r="J1268" s="9">
        <v>0</v>
      </c>
      <c r="K1268" s="9">
        <v>0</v>
      </c>
      <c r="L1268" s="9">
        <v>0</v>
      </c>
      <c r="M1268" s="9">
        <v>0</v>
      </c>
      <c r="N1268" s="9">
        <v>0</v>
      </c>
      <c r="O1268" s="9">
        <v>0</v>
      </c>
      <c r="P1268" s="9">
        <v>0</v>
      </c>
      <c r="Q1268" s="9">
        <v>0</v>
      </c>
      <c r="R1268" s="9">
        <v>0</v>
      </c>
      <c r="S1268" s="61">
        <v>0</v>
      </c>
    </row>
    <row r="1269" spans="1:21" x14ac:dyDescent="0.2">
      <c r="A1269" s="54">
        <v>0</v>
      </c>
      <c r="B1269" s="89">
        <v>0</v>
      </c>
      <c r="C1269" s="136">
        <v>0</v>
      </c>
      <c r="D1269" s="136">
        <v>0</v>
      </c>
      <c r="E1269" s="144">
        <v>0</v>
      </c>
      <c r="F1269" s="167"/>
      <c r="G1269" s="257" t="s">
        <v>5847</v>
      </c>
      <c r="H1269" s="9">
        <v>0</v>
      </c>
      <c r="I1269" s="85">
        <f>IF(E1269=H1269,0,IF(E1269=0,100,(H1269-E1269)/E1269*100))</f>
        <v>0</v>
      </c>
      <c r="J1269" s="9">
        <v>0</v>
      </c>
      <c r="K1269" s="9">
        <v>0</v>
      </c>
      <c r="L1269" s="9">
        <v>0</v>
      </c>
      <c r="M1269" s="9">
        <v>0</v>
      </c>
      <c r="N1269" s="9">
        <v>0</v>
      </c>
      <c r="O1269" s="9">
        <v>0</v>
      </c>
      <c r="P1269" s="9">
        <v>0</v>
      </c>
      <c r="Q1269" s="9">
        <v>0</v>
      </c>
      <c r="R1269" s="9">
        <v>0</v>
      </c>
      <c r="S1269" s="61">
        <v>0</v>
      </c>
    </row>
    <row r="1270" spans="1:21" x14ac:dyDescent="0.2">
      <c r="A1270" s="54">
        <v>0</v>
      </c>
      <c r="B1270" s="89">
        <v>103200</v>
      </c>
      <c r="C1270" s="136">
        <v>176300</v>
      </c>
      <c r="D1270" s="136">
        <f>'Cap-Gen'!E169-9000</f>
        <v>149800</v>
      </c>
      <c r="E1270" s="144">
        <v>268500</v>
      </c>
      <c r="F1270" s="167"/>
      <c r="G1270" s="257" t="s">
        <v>958</v>
      </c>
      <c r="H1270" s="9">
        <f>+'Cap-Gen'!G389+'Cap-Gen'!G390</f>
        <v>160000</v>
      </c>
      <c r="I1270" s="85">
        <f>IF(E1270=H1270,0,IF(E1270=0,100,(H1270-E1270)/E1270*100))</f>
        <v>-40.409683426443202</v>
      </c>
      <c r="J1270" s="9">
        <v>0</v>
      </c>
      <c r="K1270" s="9">
        <v>0</v>
      </c>
      <c r="L1270" s="9">
        <v>0</v>
      </c>
      <c r="M1270" s="9">
        <v>0</v>
      </c>
      <c r="N1270" s="9">
        <v>0</v>
      </c>
      <c r="O1270" s="9">
        <v>0</v>
      </c>
      <c r="P1270" s="9">
        <v>0</v>
      </c>
      <c r="Q1270" s="9">
        <v>0</v>
      </c>
      <c r="R1270" s="9">
        <v>0</v>
      </c>
      <c r="S1270" s="61">
        <v>0</v>
      </c>
    </row>
    <row r="1271" spans="1:21" x14ac:dyDescent="0.2">
      <c r="A1271" s="54"/>
      <c r="B1271" s="89"/>
      <c r="E1271" s="144"/>
      <c r="F1271" s="167"/>
      <c r="G1271" s="361"/>
      <c r="H1271" s="9"/>
      <c r="I1271" s="85"/>
      <c r="J1271" s="9"/>
      <c r="K1271" s="9"/>
      <c r="L1271" s="9"/>
      <c r="M1271" s="9"/>
      <c r="N1271" s="9"/>
      <c r="O1271" s="9"/>
      <c r="P1271" s="9"/>
      <c r="Q1271" s="9"/>
      <c r="R1271" s="9"/>
      <c r="S1271" s="61"/>
    </row>
    <row r="1272" spans="1:21" s="39" customFormat="1" x14ac:dyDescent="0.2">
      <c r="A1272" s="128">
        <f>A1261-A1266-A1267+A1268++A1269-A1270</f>
        <v>0</v>
      </c>
      <c r="B1272" s="266">
        <f>B1261-B1266-B1267+B1268++B1269-B1270</f>
        <v>0</v>
      </c>
      <c r="C1272" s="281">
        <f>C1261-C1266-C1267+C1268++C1269-C1270</f>
        <v>0</v>
      </c>
      <c r="D1272" s="281">
        <f>D1261-D1266-D1267+D1268++D1269-D1270</f>
        <v>0</v>
      </c>
      <c r="E1272" s="1513">
        <f t="shared" ref="E1272" si="2011">E1261-E1266-E1267+E1268++E1269-E1270</f>
        <v>-77300</v>
      </c>
      <c r="F1272" s="372"/>
      <c r="G1272" s="363" t="s">
        <v>2447</v>
      </c>
      <c r="H1272" s="280">
        <f t="shared" ref="H1272:O1272" si="2012">H1261-H1266-H1267+H1268++H1269-H1270</f>
        <v>0</v>
      </c>
      <c r="I1272" s="278">
        <f>IF(E1272=H1272,0,IF(E1272=0,100,(H1272-E1272)/E1272*100))</f>
        <v>-100</v>
      </c>
      <c r="J1272" s="280">
        <f t="shared" si="2012"/>
        <v>0</v>
      </c>
      <c r="K1272" s="280">
        <f t="shared" si="2012"/>
        <v>0</v>
      </c>
      <c r="L1272" s="280">
        <f t="shared" si="2012"/>
        <v>0</v>
      </c>
      <c r="M1272" s="280">
        <f t="shared" si="2012"/>
        <v>0</v>
      </c>
      <c r="N1272" s="280">
        <f t="shared" si="2012"/>
        <v>0</v>
      </c>
      <c r="O1272" s="280">
        <f t="shared" si="2012"/>
        <v>0</v>
      </c>
      <c r="P1272" s="280">
        <f t="shared" ref="P1272:Q1272" si="2013">P1261-P1266-P1267+P1268++P1269-P1270</f>
        <v>0</v>
      </c>
      <c r="Q1272" s="280">
        <f t="shared" si="2013"/>
        <v>0</v>
      </c>
      <c r="R1272" s="280">
        <f t="shared" ref="R1272:S1272" si="2014">R1261-R1266-R1267+R1268++R1269-R1270</f>
        <v>0</v>
      </c>
      <c r="S1272" s="282">
        <f t="shared" si="2014"/>
        <v>0</v>
      </c>
      <c r="U1272" s="34"/>
    </row>
    <row r="1273" spans="1:21" ht="13.5" thickBot="1" x14ac:dyDescent="0.25">
      <c r="A1273" s="26"/>
      <c r="B1273" s="81"/>
      <c r="C1273" s="141"/>
      <c r="D1273" s="141"/>
      <c r="E1273" s="1437"/>
      <c r="F1273" s="166"/>
      <c r="G1273" s="259"/>
      <c r="H1273" s="23"/>
      <c r="I1273" s="275"/>
      <c r="J1273" s="23"/>
      <c r="K1273" s="23"/>
      <c r="L1273" s="23"/>
      <c r="M1273" s="23"/>
      <c r="N1273" s="23"/>
      <c r="O1273" s="23"/>
      <c r="P1273" s="23"/>
      <c r="Q1273" s="23"/>
      <c r="R1273" s="23"/>
      <c r="S1273" s="112"/>
    </row>
    <row r="1274" spans="1:21" s="46" customFormat="1" ht="13.5" thickTop="1" x14ac:dyDescent="0.2">
      <c r="C1274" s="144"/>
      <c r="D1274" s="144"/>
      <c r="E1274" s="144"/>
      <c r="F1274" s="165"/>
      <c r="I1274" s="70"/>
      <c r="U1274" s="34"/>
    </row>
    <row r="1275" spans="1:21" s="46" customFormat="1" ht="13.5" thickBot="1" x14ac:dyDescent="0.25">
      <c r="C1275" s="144"/>
      <c r="D1275" s="144"/>
      <c r="E1275" s="144"/>
      <c r="F1275" s="165"/>
      <c r="I1275" s="70"/>
      <c r="U1275" s="34"/>
    </row>
    <row r="1276" spans="1:21" s="38" customFormat="1" ht="18.75" customHeight="1" thickTop="1" thickBot="1" x14ac:dyDescent="0.3">
      <c r="A1276" s="2588" t="s">
        <v>2634</v>
      </c>
      <c r="B1276" s="2589"/>
      <c r="C1276" s="2589"/>
      <c r="D1276" s="2589"/>
      <c r="E1276" s="2589"/>
      <c r="F1276" s="2589"/>
      <c r="G1276" s="2589"/>
      <c r="H1276" s="2589"/>
      <c r="I1276" s="2589"/>
      <c r="J1276" s="2589"/>
      <c r="K1276" s="2589"/>
      <c r="L1276" s="2589"/>
      <c r="M1276" s="2589"/>
      <c r="N1276" s="2589"/>
      <c r="O1276" s="2589"/>
      <c r="P1276" s="2589"/>
      <c r="Q1276" s="2589"/>
      <c r="R1276" s="2589"/>
      <c r="S1276" s="2590"/>
      <c r="U1276" s="34"/>
    </row>
    <row r="1277" spans="1:21" s="39" customFormat="1" ht="13.5" thickBot="1" x14ac:dyDescent="0.25">
      <c r="A1277" s="2591" t="s">
        <v>1824</v>
      </c>
      <c r="B1277" s="2577"/>
      <c r="C1277" s="2577"/>
      <c r="D1277" s="2577"/>
      <c r="E1277" s="2592"/>
      <c r="F1277" s="127" t="s">
        <v>2616</v>
      </c>
      <c r="G1277" s="127" t="s">
        <v>2213</v>
      </c>
      <c r="H1277" s="2568" t="s">
        <v>2215</v>
      </c>
      <c r="I1277" s="2568"/>
      <c r="J1277" s="2568"/>
      <c r="K1277" s="2568"/>
      <c r="L1277" s="2568"/>
      <c r="M1277" s="2568"/>
      <c r="N1277" s="2568"/>
      <c r="O1277" s="2568"/>
      <c r="P1277" s="2568"/>
      <c r="Q1277" s="2568"/>
      <c r="R1277" s="2568"/>
      <c r="S1277" s="2607"/>
      <c r="U1277" s="34"/>
    </row>
    <row r="1278" spans="1:21" ht="12.75" customHeight="1" thickBot="1" x14ac:dyDescent="0.25">
      <c r="A1278" s="541" t="str">
        <f>A3</f>
        <v>2012/13</v>
      </c>
      <c r="B1278" s="28" t="str">
        <f>B3</f>
        <v>2013/14</v>
      </c>
      <c r="C1278" s="40" t="str">
        <f>C3</f>
        <v>2014/15</v>
      </c>
      <c r="D1278" s="40" t="str">
        <f>D3</f>
        <v>2015/16</v>
      </c>
      <c r="E1278" s="40" t="str">
        <f>E3</f>
        <v>2016/17</v>
      </c>
      <c r="F1278" s="40" t="s">
        <v>2617</v>
      </c>
      <c r="G1278" s="41"/>
      <c r="H1278" s="40" t="str">
        <f>H3</f>
        <v>2017/18</v>
      </c>
      <c r="I1278" s="1258" t="str">
        <f>I1023</f>
        <v>%</v>
      </c>
      <c r="J1278" s="40" t="str">
        <f t="shared" ref="J1278:S1278" si="2015">J3</f>
        <v>2018/19</v>
      </c>
      <c r="K1278" s="40" t="str">
        <f t="shared" si="2015"/>
        <v>2019/20</v>
      </c>
      <c r="L1278" s="40" t="str">
        <f t="shared" si="2015"/>
        <v>2020/21</v>
      </c>
      <c r="M1278" s="40" t="str">
        <f t="shared" si="2015"/>
        <v>2021/22</v>
      </c>
      <c r="N1278" s="40" t="str">
        <f t="shared" si="2015"/>
        <v>2022/23</v>
      </c>
      <c r="O1278" s="40" t="str">
        <f t="shared" si="2015"/>
        <v>2023/24</v>
      </c>
      <c r="P1278" s="40" t="str">
        <f t="shared" si="2015"/>
        <v>2024/25</v>
      </c>
      <c r="Q1278" s="28" t="str">
        <f t="shared" si="2015"/>
        <v>2025/26</v>
      </c>
      <c r="R1278" s="28" t="str">
        <f t="shared" si="2015"/>
        <v>2026/27</v>
      </c>
      <c r="S1278" s="1620" t="str">
        <f t="shared" si="2015"/>
        <v>2027/28</v>
      </c>
    </row>
    <row r="1279" spans="1:21" ht="12.75" customHeight="1" x14ac:dyDescent="0.2">
      <c r="A1279" s="2061"/>
      <c r="B1279" s="150"/>
      <c r="C1279" s="150"/>
      <c r="D1279" s="150"/>
      <c r="E1279" s="1507"/>
      <c r="F1279" s="151"/>
      <c r="G1279" s="116"/>
      <c r="H1279" s="150"/>
      <c r="I1279" s="1395"/>
      <c r="J1279" s="150"/>
      <c r="K1279" s="150"/>
      <c r="L1279" s="150"/>
      <c r="M1279" s="150"/>
      <c r="N1279" s="150"/>
      <c r="O1279" s="150"/>
      <c r="P1279" s="150"/>
      <c r="Q1279" s="150"/>
      <c r="R1279" s="150"/>
      <c r="S1279" s="381"/>
    </row>
    <row r="1280" spans="1:21" x14ac:dyDescent="0.2">
      <c r="A1280" s="45"/>
      <c r="B1280" s="9"/>
      <c r="C1280" s="134"/>
      <c r="D1280" s="134"/>
      <c r="E1280" s="1442"/>
      <c r="F1280" s="167"/>
      <c r="G1280" s="256" t="s">
        <v>1056</v>
      </c>
      <c r="H1280" s="9"/>
      <c r="I1280" s="85"/>
      <c r="J1280" s="9"/>
      <c r="K1280" s="9"/>
      <c r="L1280" s="9"/>
      <c r="M1280" s="9"/>
      <c r="N1280" s="9"/>
      <c r="O1280" s="9"/>
      <c r="P1280" s="9"/>
      <c r="Q1280" s="9"/>
      <c r="R1280" s="9"/>
      <c r="S1280" s="61"/>
    </row>
    <row r="1281" spans="1:19" x14ac:dyDescent="0.2">
      <c r="A1281" s="45"/>
      <c r="B1281" s="9"/>
      <c r="E1281" s="1442"/>
      <c r="F1281" s="167"/>
      <c r="G1281" s="256"/>
      <c r="H1281" s="9"/>
      <c r="I1281" s="85"/>
      <c r="J1281" s="9"/>
      <c r="K1281" s="9"/>
      <c r="L1281" s="9"/>
      <c r="M1281" s="9"/>
      <c r="N1281" s="9"/>
      <c r="O1281" s="9"/>
      <c r="P1281" s="9"/>
      <c r="Q1281" s="9"/>
      <c r="R1281" s="9"/>
      <c r="S1281" s="61"/>
    </row>
    <row r="1282" spans="1:19" x14ac:dyDescent="0.2">
      <c r="A1282" s="54"/>
      <c r="B1282" s="9"/>
      <c r="E1282" s="1442"/>
      <c r="F1282" s="469"/>
      <c r="G1282" s="63" t="s">
        <v>3181</v>
      </c>
      <c r="H1282" s="9"/>
      <c r="I1282" s="85"/>
      <c r="J1282" s="9"/>
      <c r="K1282" s="9"/>
      <c r="L1282" s="9"/>
      <c r="M1282" s="9"/>
      <c r="N1282" s="9"/>
      <c r="O1282" s="9"/>
      <c r="P1282" s="9"/>
      <c r="Q1282" s="9"/>
      <c r="R1282" s="9"/>
      <c r="S1282" s="61"/>
    </row>
    <row r="1283" spans="1:19" x14ac:dyDescent="0.2">
      <c r="A1283" s="54">
        <v>200</v>
      </c>
      <c r="B1283" s="9">
        <v>33100</v>
      </c>
      <c r="C1283" s="136">
        <v>38700</v>
      </c>
      <c r="D1283" s="136">
        <v>42000</v>
      </c>
      <c r="E1283" s="144">
        <v>42000</v>
      </c>
      <c r="F1283" s="769" t="s">
        <v>3515</v>
      </c>
      <c r="G1283" s="661" t="s">
        <v>4713</v>
      </c>
      <c r="H1283" s="9">
        <v>43000</v>
      </c>
      <c r="I1283" s="85">
        <f t="shared" ref="I1283:I1290" si="2016">IF(E1283=H1283,0,IF(E1283=0,100,(H1283-E1283)/E1283*100))</f>
        <v>2.3809523809523809</v>
      </c>
      <c r="J1283" s="9">
        <f>ROUNDUP(H1283+(H1283*Assumptions!I$5),-2)</f>
        <v>44000</v>
      </c>
      <c r="K1283" s="9">
        <f>ROUNDUP(J1283+(J1283*Assumptions!J$5),-2)</f>
        <v>45100</v>
      </c>
      <c r="L1283" s="9">
        <f>ROUNDUP(K1283+(K1283*Assumptions!K$5),-2)</f>
        <v>46300</v>
      </c>
      <c r="M1283" s="9">
        <f>ROUNDUP(L1283+(L1283*Assumptions!L$5),-2)</f>
        <v>47500</v>
      </c>
      <c r="N1283" s="9">
        <f>ROUNDUP(M1283+(M1283*Assumptions!M$5),-2)</f>
        <v>48700</v>
      </c>
      <c r="O1283" s="9">
        <f>ROUNDUP(N1283+(N1283*Assumptions!N$5),-2)</f>
        <v>50000</v>
      </c>
      <c r="P1283" s="9">
        <f>ROUNDUP(O1283+(O1283*Assumptions!O$5),-2)</f>
        <v>51300</v>
      </c>
      <c r="Q1283" s="9">
        <f>ROUNDUP(P1283+(P1283*Assumptions!P$5),-2)</f>
        <v>52600</v>
      </c>
      <c r="R1283" s="9">
        <f>ROUNDUP(Q1283+(Q1283*Assumptions!Q$5),-2)</f>
        <v>54000</v>
      </c>
      <c r="S1283" s="47">
        <f>ROUNDUP(R1283+(R1283*Assumptions!R$5),-2)</f>
        <v>55400</v>
      </c>
    </row>
    <row r="1284" spans="1:19" x14ac:dyDescent="0.2">
      <c r="A1284" s="54">
        <v>39400</v>
      </c>
      <c r="B1284" s="9">
        <v>9000</v>
      </c>
      <c r="C1284" s="136">
        <v>6300</v>
      </c>
      <c r="D1284" s="136">
        <v>4100</v>
      </c>
      <c r="E1284" s="144">
        <v>0</v>
      </c>
      <c r="F1284" s="469" t="s">
        <v>1747</v>
      </c>
      <c r="G1284" s="661" t="s">
        <v>4714</v>
      </c>
      <c r="H1284" s="9">
        <v>0</v>
      </c>
      <c r="I1284" s="85">
        <f t="shared" si="2016"/>
        <v>0</v>
      </c>
      <c r="J1284" s="9">
        <f>ROUNDUP(H1284+(H1284*Assumptions!I$5),-2)</f>
        <v>0</v>
      </c>
      <c r="K1284" s="9">
        <f>ROUNDUP(J1284+(J1284*Assumptions!J$5),-2)</f>
        <v>0</v>
      </c>
      <c r="L1284" s="9">
        <f>ROUNDUP(K1284+(K1284*Assumptions!K$5),-2)</f>
        <v>0</v>
      </c>
      <c r="M1284" s="9">
        <f>ROUNDUP(L1284+(L1284*Assumptions!L$5),-2)</f>
        <v>0</v>
      </c>
      <c r="N1284" s="9">
        <f>ROUNDUP(M1284+(M1284*Assumptions!M$5),-2)</f>
        <v>0</v>
      </c>
      <c r="O1284" s="9">
        <f>ROUNDUP(N1284+(N1284*Assumptions!N$5),-2)</f>
        <v>0</v>
      </c>
      <c r="P1284" s="9">
        <f>ROUNDUP(O1284+(O1284*Assumptions!O$5),-2)</f>
        <v>0</v>
      </c>
      <c r="Q1284" s="9">
        <f>ROUNDUP(P1284+(P1284*Assumptions!P$5),-2)</f>
        <v>0</v>
      </c>
      <c r="R1284" s="9">
        <f>ROUNDUP(Q1284+(Q1284*Assumptions!Q$5),-2)</f>
        <v>0</v>
      </c>
      <c r="S1284" s="47">
        <f>ROUNDUP(R1284+(R1284*Assumptions!R$5),-2)</f>
        <v>0</v>
      </c>
    </row>
    <row r="1285" spans="1:19" x14ac:dyDescent="0.2">
      <c r="A1285" s="54">
        <v>13700</v>
      </c>
      <c r="B1285" s="9">
        <v>24900</v>
      </c>
      <c r="C1285" s="136">
        <v>25300</v>
      </c>
      <c r="D1285" s="136">
        <v>34800</v>
      </c>
      <c r="E1285" s="144">
        <v>46500</v>
      </c>
      <c r="F1285" s="469" t="s">
        <v>2259</v>
      </c>
      <c r="G1285" s="661" t="s">
        <v>1247</v>
      </c>
      <c r="H1285" s="9">
        <f>47000+3000</f>
        <v>50000</v>
      </c>
      <c r="I1285" s="85">
        <f t="shared" si="2016"/>
        <v>7.5268817204301079</v>
      </c>
      <c r="J1285" s="9">
        <f>ROUNDUP(H1285+(H1285*Assumptions!I$5),-2)</f>
        <v>51200</v>
      </c>
      <c r="K1285" s="9">
        <f>ROUNDUP(J1285+(J1285*Assumptions!J$5),-2)</f>
        <v>52500</v>
      </c>
      <c r="L1285" s="9">
        <f>ROUNDUP(K1285+(K1285*Assumptions!K$5),-2)</f>
        <v>53900</v>
      </c>
      <c r="M1285" s="9">
        <f>ROUNDUP(L1285+(L1285*Assumptions!L$5),-2)</f>
        <v>55300</v>
      </c>
      <c r="N1285" s="9">
        <f>ROUNDUP(M1285+(M1285*Assumptions!M$5),-2)</f>
        <v>56700</v>
      </c>
      <c r="O1285" s="9">
        <f>ROUNDUP(N1285+(N1285*Assumptions!N$5),-2)</f>
        <v>58200</v>
      </c>
      <c r="P1285" s="9">
        <f>ROUNDUP(O1285+(O1285*Assumptions!O$5),-2)</f>
        <v>59700</v>
      </c>
      <c r="Q1285" s="9">
        <f>ROUNDUP(P1285+(P1285*Assumptions!P$5),-2)</f>
        <v>61200</v>
      </c>
      <c r="R1285" s="9">
        <f>ROUNDUP(Q1285+(Q1285*Assumptions!Q$5),-2)</f>
        <v>62800</v>
      </c>
      <c r="S1285" s="47">
        <f>ROUNDUP(R1285+(R1285*Assumptions!R$5),-2)</f>
        <v>64400</v>
      </c>
    </row>
    <row r="1286" spans="1:19" x14ac:dyDescent="0.2">
      <c r="A1286" s="54">
        <v>0</v>
      </c>
      <c r="B1286" s="9">
        <v>0</v>
      </c>
      <c r="C1286" s="136">
        <v>3000</v>
      </c>
      <c r="D1286" s="136">
        <v>100</v>
      </c>
      <c r="E1286" s="144">
        <v>2400</v>
      </c>
      <c r="F1286" s="769" t="s">
        <v>4178</v>
      </c>
      <c r="G1286" s="661" t="s">
        <v>4651</v>
      </c>
      <c r="H1286" s="9">
        <f>500+1500</f>
        <v>2000</v>
      </c>
      <c r="I1286" s="85">
        <f t="shared" si="2016"/>
        <v>-16.666666666666664</v>
      </c>
      <c r="J1286" s="9">
        <f>ROUNDUP(H1286+(H1286*Assumptions!I$5),-2)-1500</f>
        <v>600</v>
      </c>
      <c r="K1286" s="9">
        <f>ROUNDUP(J1286+(J1286*Assumptions!J$5),-2)</f>
        <v>700</v>
      </c>
      <c r="L1286" s="9">
        <f>ROUNDUP(K1286+(K1286*Assumptions!K$5),-2)</f>
        <v>800</v>
      </c>
      <c r="M1286" s="9">
        <f>ROUNDUP(L1286+(L1286*Assumptions!L$5),-2)</f>
        <v>900</v>
      </c>
      <c r="N1286" s="9">
        <f>ROUNDUP(M1286+(M1286*Assumptions!M$5),-2)</f>
        <v>1000</v>
      </c>
      <c r="O1286" s="9">
        <f>ROUNDUP(N1286+(N1286*Assumptions!N$5),-2)</f>
        <v>1100</v>
      </c>
      <c r="P1286" s="9">
        <f>ROUNDUP(O1286+(O1286*Assumptions!O$5),-2)</f>
        <v>1200</v>
      </c>
      <c r="Q1286" s="9">
        <f>ROUNDUP(P1286+(P1286*Assumptions!P$5),-2)</f>
        <v>1300</v>
      </c>
      <c r="R1286" s="9">
        <f>ROUNDUP(Q1286+(Q1286*Assumptions!Q$5),-2)</f>
        <v>1400</v>
      </c>
      <c r="S1286" s="47">
        <f>ROUNDUP(R1286+(R1286*Assumptions!R$5),-2)</f>
        <v>1500</v>
      </c>
    </row>
    <row r="1287" spans="1:19" x14ac:dyDescent="0.2">
      <c r="A1287" s="54">
        <v>29600</v>
      </c>
      <c r="B1287" s="9">
        <v>23000</v>
      </c>
      <c r="C1287" s="136">
        <v>34300</v>
      </c>
      <c r="D1287" s="136">
        <v>21100</v>
      </c>
      <c r="E1287" s="144">
        <v>27600</v>
      </c>
      <c r="F1287" s="469" t="s">
        <v>2205</v>
      </c>
      <c r="G1287" s="661" t="s">
        <v>4652</v>
      </c>
      <c r="H1287" s="9">
        <v>26000</v>
      </c>
      <c r="I1287" s="85">
        <f t="shared" si="2016"/>
        <v>-5.7971014492753623</v>
      </c>
      <c r="J1287" s="9">
        <f>ROUNDUP(H1287+(H1287*Assumptions!I$5),-2)</f>
        <v>26600</v>
      </c>
      <c r="K1287" s="9">
        <f>ROUNDUP(J1287+(J1287*Assumptions!J$5),-2)</f>
        <v>27300</v>
      </c>
      <c r="L1287" s="9">
        <f>ROUNDUP(K1287+(K1287*Assumptions!K$5),-2)</f>
        <v>28000</v>
      </c>
      <c r="M1287" s="9">
        <f>ROUNDUP(L1287+(L1287*Assumptions!L$5),-2)</f>
        <v>28700</v>
      </c>
      <c r="N1287" s="9">
        <f>ROUNDUP(M1287+(M1287*Assumptions!M$5),-2)</f>
        <v>29500</v>
      </c>
      <c r="O1287" s="9">
        <f>ROUNDUP(N1287+(N1287*Assumptions!N$5),-2)</f>
        <v>30300</v>
      </c>
      <c r="P1287" s="9">
        <f>ROUNDUP(O1287+(O1287*Assumptions!O$5),-2)</f>
        <v>31100</v>
      </c>
      <c r="Q1287" s="9">
        <f>ROUNDUP(P1287+(P1287*Assumptions!P$5),-2)</f>
        <v>31900</v>
      </c>
      <c r="R1287" s="9">
        <f>ROUNDUP(Q1287+(Q1287*Assumptions!Q$5),-2)</f>
        <v>32700</v>
      </c>
      <c r="S1287" s="47">
        <f>ROUNDUP(R1287+(R1287*Assumptions!R$5),-2)</f>
        <v>33600</v>
      </c>
    </row>
    <row r="1288" spans="1:19" x14ac:dyDescent="0.2">
      <c r="A1288" s="54">
        <v>300</v>
      </c>
      <c r="B1288" s="9">
        <v>100</v>
      </c>
      <c r="C1288" s="136">
        <v>300</v>
      </c>
      <c r="D1288" s="136">
        <v>900</v>
      </c>
      <c r="E1288" s="144">
        <v>300</v>
      </c>
      <c r="F1288" s="469" t="s">
        <v>2503</v>
      </c>
      <c r="G1288" s="661" t="s">
        <v>4715</v>
      </c>
      <c r="H1288" s="9">
        <v>500</v>
      </c>
      <c r="I1288" s="85">
        <f t="shared" si="2016"/>
        <v>66.666666666666657</v>
      </c>
      <c r="J1288" s="9">
        <f>ROUNDUP(H1288+(H1288*Assumptions!I$5),-2)</f>
        <v>600</v>
      </c>
      <c r="K1288" s="9">
        <f>ROUNDUP(J1288+(J1288*Assumptions!J$5),-2)</f>
        <v>700</v>
      </c>
      <c r="L1288" s="9">
        <f>ROUNDUP(K1288+(K1288*Assumptions!K$5),-2)</f>
        <v>800</v>
      </c>
      <c r="M1288" s="9">
        <f>ROUNDUP(L1288+(L1288*Assumptions!L$5),-2)</f>
        <v>900</v>
      </c>
      <c r="N1288" s="9">
        <f>ROUNDUP(M1288+(M1288*Assumptions!M$5),-2)</f>
        <v>1000</v>
      </c>
      <c r="O1288" s="9">
        <f>ROUNDUP(N1288+(N1288*Assumptions!N$5),-2)</f>
        <v>1100</v>
      </c>
      <c r="P1288" s="9">
        <f>ROUNDUP(O1288+(O1288*Assumptions!O$5),-2)</f>
        <v>1200</v>
      </c>
      <c r="Q1288" s="9">
        <f>ROUNDUP(P1288+(P1288*Assumptions!P$5),-2)</f>
        <v>1300</v>
      </c>
      <c r="R1288" s="9">
        <f>ROUNDUP(Q1288+(Q1288*Assumptions!Q$5),-2)</f>
        <v>1400</v>
      </c>
      <c r="S1288" s="47">
        <f>ROUNDUP(R1288+(R1288*Assumptions!R$5),-2)</f>
        <v>1500</v>
      </c>
    </row>
    <row r="1289" spans="1:19" x14ac:dyDescent="0.2">
      <c r="A1289" s="54">
        <v>0</v>
      </c>
      <c r="B1289" s="9">
        <v>0</v>
      </c>
      <c r="C1289" s="136">
        <v>0</v>
      </c>
      <c r="D1289" s="136">
        <v>0</v>
      </c>
      <c r="E1289" s="144">
        <v>12600</v>
      </c>
      <c r="F1289" s="769" t="s">
        <v>6349</v>
      </c>
      <c r="G1289" s="661" t="s">
        <v>6694</v>
      </c>
      <c r="H1289" s="9">
        <v>12000</v>
      </c>
      <c r="I1289" s="85">
        <f t="shared" si="2016"/>
        <v>-4.7619047619047619</v>
      </c>
      <c r="J1289" s="9">
        <f>ROUNDUP(H1289+(H1289*Assumptions!I$5),-2)</f>
        <v>12300</v>
      </c>
      <c r="K1289" s="9">
        <f>ROUNDUP(J1289+(J1289*Assumptions!J$5),-2)</f>
        <v>12700</v>
      </c>
      <c r="L1289" s="9">
        <f>ROUNDUP(K1289+(K1289*Assumptions!K$5),-2)</f>
        <v>13100</v>
      </c>
      <c r="M1289" s="9">
        <f>ROUNDUP(L1289+(L1289*Assumptions!L$5),-2)</f>
        <v>13500</v>
      </c>
      <c r="N1289" s="9">
        <f>ROUNDUP(M1289+(M1289*Assumptions!M$5),-2)</f>
        <v>13900</v>
      </c>
      <c r="O1289" s="9">
        <f>ROUNDUP(N1289+(N1289*Assumptions!N$5),-2)</f>
        <v>14300</v>
      </c>
      <c r="P1289" s="9">
        <f>ROUNDUP(O1289+(O1289*Assumptions!O$5),-2)</f>
        <v>14700</v>
      </c>
      <c r="Q1289" s="9">
        <f>ROUNDUP(P1289+(P1289*Assumptions!P$5),-2)</f>
        <v>15100</v>
      </c>
      <c r="R1289" s="9">
        <f>ROUNDUP(Q1289+(Q1289*Assumptions!Q$5),-2)</f>
        <v>15500</v>
      </c>
      <c r="S1289" s="47">
        <f>ROUNDUP(R1289+(R1289*Assumptions!R$5),-2)</f>
        <v>15900</v>
      </c>
    </row>
    <row r="1290" spans="1:19" x14ac:dyDescent="0.2">
      <c r="A1290" s="54">
        <v>0</v>
      </c>
      <c r="B1290" s="9">
        <v>500</v>
      </c>
      <c r="C1290" s="9">
        <v>0</v>
      </c>
      <c r="D1290" s="9">
        <v>3300</v>
      </c>
      <c r="E1290" s="46">
        <v>2200</v>
      </c>
      <c r="F1290" s="769" t="s">
        <v>6980</v>
      </c>
      <c r="G1290" s="661" t="s">
        <v>4104</v>
      </c>
      <c r="H1290" s="9">
        <v>2000</v>
      </c>
      <c r="I1290" s="85">
        <f t="shared" si="2016"/>
        <v>-9.0909090909090917</v>
      </c>
      <c r="J1290" s="9">
        <f>ROUNDUP(H1290+(H1290*Assumptions!I$5),-2)</f>
        <v>2100</v>
      </c>
      <c r="K1290" s="9">
        <f>ROUNDUP(J1290+(J1290*Assumptions!J$5),-2)</f>
        <v>2200</v>
      </c>
      <c r="L1290" s="9">
        <f>ROUNDUP(K1290+(K1290*Assumptions!K$5),-2)</f>
        <v>2300</v>
      </c>
      <c r="M1290" s="9">
        <f>ROUNDUP(L1290+(L1290*Assumptions!L$5),-2)</f>
        <v>2400</v>
      </c>
      <c r="N1290" s="9">
        <f>ROUNDUP(M1290+(M1290*Assumptions!M$5),-2)</f>
        <v>2500</v>
      </c>
      <c r="O1290" s="9">
        <f>ROUNDUP(N1290+(N1290*Assumptions!N$5),-2)</f>
        <v>2600</v>
      </c>
      <c r="P1290" s="89">
        <f>ROUNDUP(O1290+(O1290*Assumptions!O$5),-2)</f>
        <v>2700</v>
      </c>
      <c r="Q1290" s="9">
        <f>ROUNDUP(P1290+(P1290*Assumptions!P$5),-2)</f>
        <v>2800</v>
      </c>
      <c r="R1290" s="9">
        <f>ROUNDUP(Q1290+(Q1290*Assumptions!Q$5),-2)</f>
        <v>2900</v>
      </c>
      <c r="S1290" s="47">
        <f>ROUNDUP(R1290+(R1290*Assumptions!R$5),-2)</f>
        <v>3000</v>
      </c>
    </row>
    <row r="1291" spans="1:19" x14ac:dyDescent="0.2">
      <c r="A1291" s="54"/>
      <c r="B1291" s="9"/>
      <c r="E1291" s="144"/>
      <c r="F1291" s="469"/>
      <c r="G1291" s="661"/>
      <c r="H1291" s="9"/>
      <c r="I1291" s="85"/>
      <c r="J1291" s="9"/>
      <c r="K1291" s="9"/>
      <c r="L1291" s="9"/>
      <c r="M1291" s="9"/>
      <c r="N1291" s="9"/>
      <c r="O1291" s="9"/>
      <c r="P1291" s="9"/>
      <c r="Q1291" s="9"/>
      <c r="R1291" s="9"/>
      <c r="S1291" s="47"/>
    </row>
    <row r="1292" spans="1:19" x14ac:dyDescent="0.2">
      <c r="A1292" s="54"/>
      <c r="B1292" s="9"/>
      <c r="E1292" s="144"/>
      <c r="F1292" s="1618"/>
      <c r="G1292" s="419" t="s">
        <v>677</v>
      </c>
      <c r="H1292" s="9"/>
      <c r="I1292" s="85"/>
      <c r="J1292" s="9"/>
      <c r="K1292" s="9"/>
      <c r="L1292" s="9"/>
      <c r="M1292" s="9"/>
      <c r="N1292" s="9"/>
      <c r="O1292" s="9"/>
      <c r="P1292" s="9"/>
      <c r="Q1292" s="9"/>
      <c r="R1292" s="9"/>
      <c r="S1292" s="47"/>
    </row>
    <row r="1293" spans="1:19" x14ac:dyDescent="0.2">
      <c r="A1293" s="54">
        <v>89400</v>
      </c>
      <c r="B1293" s="9">
        <v>59300</v>
      </c>
      <c r="C1293" s="136">
        <v>51500</v>
      </c>
      <c r="D1293" s="136">
        <v>50900</v>
      </c>
      <c r="E1293" s="144">
        <v>44200</v>
      </c>
      <c r="F1293" s="469" t="s">
        <v>2161</v>
      </c>
      <c r="G1293" s="385" t="s">
        <v>1462</v>
      </c>
      <c r="H1293" s="9">
        <v>40000</v>
      </c>
      <c r="I1293" s="85">
        <f>IF(E1293=H1293,0,IF(E1293=0,100,(H1293-E1293)/E1293*100))</f>
        <v>-9.502262443438914</v>
      </c>
      <c r="J1293" s="9">
        <f>ROUNDUP(H1293+(H1293*Assumptions!I$5),-2)</f>
        <v>41000</v>
      </c>
      <c r="K1293" s="9">
        <f>ROUNDUP(J1293+(J1293*Assumptions!J$5),-2)</f>
        <v>42100</v>
      </c>
      <c r="L1293" s="9">
        <f>ROUNDUP(K1293+(K1293*Assumptions!K$5),-2)</f>
        <v>43200</v>
      </c>
      <c r="M1293" s="9">
        <f>ROUNDUP(L1293+(L1293*Assumptions!L$5),-2)</f>
        <v>44300</v>
      </c>
      <c r="N1293" s="9">
        <f>ROUNDUP(M1293+(M1293*Assumptions!M$5),-2)</f>
        <v>45500</v>
      </c>
      <c r="O1293" s="9">
        <f>ROUNDUP(N1293+(N1293*Assumptions!N$5),-2)</f>
        <v>46700</v>
      </c>
      <c r="P1293" s="9">
        <f>ROUNDUP(O1293+(O1293*Assumptions!O$5),-2)</f>
        <v>47900</v>
      </c>
      <c r="Q1293" s="9">
        <f>ROUNDUP(P1293+(P1293*Assumptions!P$5),-2)</f>
        <v>49100</v>
      </c>
      <c r="R1293" s="9">
        <f>ROUNDUP(Q1293+(Q1293*Assumptions!Q$5),-2)</f>
        <v>50400</v>
      </c>
      <c r="S1293" s="47">
        <f>ROUNDUP(R1293+(R1293*Assumptions!R$5),-2)</f>
        <v>51700</v>
      </c>
    </row>
    <row r="1294" spans="1:19" x14ac:dyDescent="0.2">
      <c r="A1294" s="54">
        <v>35400</v>
      </c>
      <c r="B1294" s="9">
        <v>33200</v>
      </c>
      <c r="C1294" s="134">
        <v>34500</v>
      </c>
      <c r="D1294" s="136">
        <v>30000</v>
      </c>
      <c r="E1294" s="144">
        <v>28800</v>
      </c>
      <c r="F1294" s="469" t="s">
        <v>1057</v>
      </c>
      <c r="G1294" s="385" t="s">
        <v>2523</v>
      </c>
      <c r="H1294" s="9">
        <v>29000</v>
      </c>
      <c r="I1294" s="85">
        <f>IF(E1294=H1294,0,IF(E1294=0,100,(H1294-E1294)/E1294*100))</f>
        <v>0.69444444444444442</v>
      </c>
      <c r="J1294" s="9">
        <f>ROUNDUP(H1294+(H1294*Assumptions!I$5),-2)</f>
        <v>29700</v>
      </c>
      <c r="K1294" s="9">
        <f>ROUNDUP(J1294+(J1294*Assumptions!J$5),-2)</f>
        <v>30500</v>
      </c>
      <c r="L1294" s="9">
        <f>ROUNDUP(K1294+(K1294*Assumptions!K$5),-2)</f>
        <v>31300</v>
      </c>
      <c r="M1294" s="9">
        <f>ROUNDUP(L1294+(L1294*Assumptions!L$5),-2)</f>
        <v>32100</v>
      </c>
      <c r="N1294" s="9">
        <f>ROUNDUP(M1294+(M1294*Assumptions!M$5),-2)</f>
        <v>33000</v>
      </c>
      <c r="O1294" s="9">
        <f>ROUNDUP(N1294+(N1294*Assumptions!N$5),-2)</f>
        <v>33900</v>
      </c>
      <c r="P1294" s="9">
        <f>ROUNDUP(O1294+(O1294*Assumptions!O$5),-2)</f>
        <v>34800</v>
      </c>
      <c r="Q1294" s="9">
        <f>ROUNDUP(P1294+(P1294*Assumptions!P$5),-2)</f>
        <v>35700</v>
      </c>
      <c r="R1294" s="9">
        <f>ROUNDUP(Q1294+(Q1294*Assumptions!Q$5),-2)</f>
        <v>36600</v>
      </c>
      <c r="S1294" s="47">
        <f>ROUNDUP(R1294+(R1294*Assumptions!R$5),-2)</f>
        <v>37600</v>
      </c>
    </row>
    <row r="1295" spans="1:19" x14ac:dyDescent="0.2">
      <c r="A1295" s="54">
        <v>5400</v>
      </c>
      <c r="B1295" s="9">
        <f>7200+92400</f>
        <v>99600</v>
      </c>
      <c r="C1295" s="134">
        <f>1800+8100+25000</f>
        <v>34900</v>
      </c>
      <c r="D1295" s="136">
        <v>40000</v>
      </c>
      <c r="E1295" s="144">
        <v>12000</v>
      </c>
      <c r="F1295" s="769" t="s">
        <v>3005</v>
      </c>
      <c r="G1295" s="661" t="s">
        <v>78</v>
      </c>
      <c r="H1295" s="9">
        <f>2000+3000</f>
        <v>5000</v>
      </c>
      <c r="I1295" s="85">
        <f>IF(E1295=H1295,0,IF(E1295=0,100,(H1295-E1295)/E1295*100))</f>
        <v>-58.333333333333336</v>
      </c>
      <c r="J1295" s="9">
        <f>ROUNDUP(H1295+(H1295*Assumptions!I$5),-2)</f>
        <v>5200</v>
      </c>
      <c r="K1295" s="9">
        <f>ROUNDUP(J1295+(J1295*Assumptions!J$5),-2)</f>
        <v>5400</v>
      </c>
      <c r="L1295" s="9">
        <f>ROUNDUP(K1295+(K1295*Assumptions!K$5),-2)</f>
        <v>5600</v>
      </c>
      <c r="M1295" s="9">
        <f>ROUNDUP(L1295+(L1295*Assumptions!L$5),-2)</f>
        <v>5800</v>
      </c>
      <c r="N1295" s="9">
        <f>ROUNDUP(M1295+(M1295*Assumptions!M$5),-2)</f>
        <v>6000</v>
      </c>
      <c r="O1295" s="9">
        <f>ROUNDUP(N1295+(N1295*Assumptions!N$5),-2)</f>
        <v>6200</v>
      </c>
      <c r="P1295" s="9">
        <f>ROUNDUP(O1295+(O1295*Assumptions!O$5),-2)</f>
        <v>6400</v>
      </c>
      <c r="Q1295" s="9">
        <f>ROUNDUP(P1295+(P1295*Assumptions!P$5),-2)</f>
        <v>6600</v>
      </c>
      <c r="R1295" s="9">
        <f>ROUNDUP(Q1295+(Q1295*Assumptions!Q$5),-2)</f>
        <v>6800</v>
      </c>
      <c r="S1295" s="47">
        <f>ROUNDUP(R1295+(R1295*Assumptions!R$5),-2)</f>
        <v>7000</v>
      </c>
    </row>
    <row r="1296" spans="1:19" x14ac:dyDescent="0.2">
      <c r="A1296" s="54">
        <f>121100+33500</f>
        <v>154600</v>
      </c>
      <c r="B1296" s="9">
        <v>123500</v>
      </c>
      <c r="C1296" s="9">
        <f>149600-22500</f>
        <v>127100</v>
      </c>
      <c r="D1296" s="136">
        <v>129000</v>
      </c>
      <c r="E1296" s="31">
        <v>154200</v>
      </c>
      <c r="F1296" s="469" t="s">
        <v>1618</v>
      </c>
      <c r="G1296" s="385" t="s">
        <v>616</v>
      </c>
      <c r="H1296" s="9">
        <f>132000+1500</f>
        <v>133500</v>
      </c>
      <c r="I1296" s="85">
        <f>IF(E1296=H1296,0,IF(E1296=0,100,(H1296-E1296)/E1296*100))</f>
        <v>-13.424124513618677</v>
      </c>
      <c r="J1296" s="9">
        <f>ROUNDUP(H1296+(H1296*Assumptions!I$5),-2)</f>
        <v>136600</v>
      </c>
      <c r="K1296" s="9">
        <f>ROUNDUP(J1296+(J1296*Assumptions!J$5),-2)</f>
        <v>140100</v>
      </c>
      <c r="L1296" s="9">
        <f>ROUNDUP(K1296+(K1296*Assumptions!K$5),-2)</f>
        <v>143700</v>
      </c>
      <c r="M1296" s="9">
        <f>ROUNDUP(L1296+(L1296*Assumptions!L$5),-2)</f>
        <v>147300</v>
      </c>
      <c r="N1296" s="9">
        <f>ROUNDUP(M1296+(M1296*Assumptions!M$5),-2)</f>
        <v>151000</v>
      </c>
      <c r="O1296" s="9">
        <f>ROUNDUP(N1296+(N1296*Assumptions!N$5),-2)</f>
        <v>154800</v>
      </c>
      <c r="P1296" s="9">
        <f>ROUNDUP(O1296+(O1296*Assumptions!O$5),-2)</f>
        <v>158700</v>
      </c>
      <c r="Q1296" s="9">
        <f>ROUNDUP(P1296+(P1296*Assumptions!P$5),-2)</f>
        <v>162700</v>
      </c>
      <c r="R1296" s="9">
        <f>ROUNDUP(Q1296+(Q1296*Assumptions!Q$5),-2)</f>
        <v>166800</v>
      </c>
      <c r="S1296" s="47">
        <f>ROUNDUP(R1296+(R1296*Assumptions!R$5),-2)</f>
        <v>171000</v>
      </c>
    </row>
    <row r="1297" spans="1:21" x14ac:dyDescent="0.2">
      <c r="A1297" s="54">
        <v>20500</v>
      </c>
      <c r="B1297" s="9">
        <v>22000</v>
      </c>
      <c r="C1297" s="9">
        <v>22500</v>
      </c>
      <c r="D1297" s="136">
        <v>23100</v>
      </c>
      <c r="E1297" s="46">
        <v>0</v>
      </c>
      <c r="F1297" s="469" t="s">
        <v>1618</v>
      </c>
      <c r="G1297" s="661" t="s">
        <v>617</v>
      </c>
      <c r="H1297" s="9">
        <v>24400</v>
      </c>
      <c r="I1297" s="85">
        <f>IF(E1297=H1297,0,IF(E1297=0,100,(H1297-E1297)/E1297*100))</f>
        <v>100</v>
      </c>
      <c r="J1297" s="9">
        <f>ROUNDUP(H1297+(H1297*Assumptions!I$5),-2)</f>
        <v>25000</v>
      </c>
      <c r="K1297" s="9">
        <f>ROUNDUP(J1297+(J1297*Assumptions!J$5),-2)</f>
        <v>25700</v>
      </c>
      <c r="L1297" s="9">
        <f>ROUNDUP(K1297+(K1297*Assumptions!K$5),-2)</f>
        <v>26400</v>
      </c>
      <c r="M1297" s="9">
        <f>ROUNDUP(L1297+(L1297*Assumptions!L$5),-2)</f>
        <v>27100</v>
      </c>
      <c r="N1297" s="9">
        <f>ROUNDUP(M1297+(M1297*Assumptions!M$5),-2)</f>
        <v>27800</v>
      </c>
      <c r="O1297" s="9">
        <f>ROUNDUP(N1297+(N1297*Assumptions!N$5),-2)</f>
        <v>28500</v>
      </c>
      <c r="P1297" s="9">
        <f>ROUNDUP(O1297+(O1297*Assumptions!O$5),-2)</f>
        <v>29300</v>
      </c>
      <c r="Q1297" s="9">
        <f>ROUNDUP(P1297+(P1297*Assumptions!P$5),-2)</f>
        <v>30100</v>
      </c>
      <c r="R1297" s="9">
        <f>ROUNDUP(Q1297+(Q1297*Assumptions!Q$5),-2)</f>
        <v>30900</v>
      </c>
      <c r="S1297" s="47">
        <f>ROUNDUP(R1297+(R1297*Assumptions!R$5),-2)</f>
        <v>31700</v>
      </c>
    </row>
    <row r="1298" spans="1:21" ht="13.5" thickBot="1" x14ac:dyDescent="0.25">
      <c r="A1298" s="54"/>
      <c r="B1298" s="9"/>
      <c r="E1298" s="144"/>
      <c r="F1298" s="167"/>
      <c r="G1298" s="9"/>
      <c r="H1298" s="9"/>
      <c r="I1298" s="85"/>
      <c r="J1298" s="9"/>
      <c r="K1298" s="9"/>
      <c r="L1298" s="9"/>
      <c r="M1298" s="9"/>
      <c r="N1298" s="9"/>
      <c r="O1298" s="9"/>
      <c r="P1298" s="9"/>
      <c r="Q1298" s="9"/>
      <c r="R1298" s="9"/>
      <c r="S1298" s="47"/>
    </row>
    <row r="1299" spans="1:21" s="39" customFormat="1" x14ac:dyDescent="0.2">
      <c r="A1299" s="52">
        <f>SUM(A1280:A1298)</f>
        <v>388500</v>
      </c>
      <c r="B1299" s="16">
        <f>SUM(B1280:B1298)</f>
        <v>428200</v>
      </c>
      <c r="C1299" s="145">
        <f>SUM(C1280:C1298)</f>
        <v>378400</v>
      </c>
      <c r="D1299" s="137">
        <f>SUM(D1280:D1298)</f>
        <v>379300</v>
      </c>
      <c r="E1299" s="1473">
        <f>SUM(E1280:E1298)</f>
        <v>372800</v>
      </c>
      <c r="F1299" s="173"/>
      <c r="G1299" s="267" t="s">
        <v>2561</v>
      </c>
      <c r="H1299" s="16">
        <f t="shared" ref="H1299:Q1299" si="2017">SUM(H1280:H1298)</f>
        <v>367400</v>
      </c>
      <c r="I1299" s="127">
        <f>IF(E1299=H1299,0,IF(E1299=0,100,(H1299-E1299)/E1299*100))</f>
        <v>-1.4484978540772531</v>
      </c>
      <c r="J1299" s="16">
        <f t="shared" si="2017"/>
        <v>374900</v>
      </c>
      <c r="K1299" s="16">
        <f t="shared" si="2017"/>
        <v>385000</v>
      </c>
      <c r="L1299" s="16">
        <f t="shared" si="2017"/>
        <v>395400</v>
      </c>
      <c r="M1299" s="16">
        <f t="shared" si="2017"/>
        <v>405800</v>
      </c>
      <c r="N1299" s="16">
        <f t="shared" si="2017"/>
        <v>416600</v>
      </c>
      <c r="O1299" s="16">
        <f t="shared" si="2017"/>
        <v>427700</v>
      </c>
      <c r="P1299" s="16">
        <f t="shared" si="2017"/>
        <v>439000</v>
      </c>
      <c r="Q1299" s="16">
        <f t="shared" si="2017"/>
        <v>450400</v>
      </c>
      <c r="R1299" s="16">
        <f t="shared" ref="R1299" si="2018">SUM(R1280:R1298)</f>
        <v>462200</v>
      </c>
      <c r="S1299" s="2342">
        <f t="shared" ref="S1299" si="2019">SUM(S1280:S1298)</f>
        <v>474300</v>
      </c>
      <c r="U1299" s="34"/>
    </row>
    <row r="1300" spans="1:21" s="39" customFormat="1" x14ac:dyDescent="0.2">
      <c r="A1300" s="24"/>
      <c r="B1300" s="21"/>
      <c r="C1300" s="138"/>
      <c r="D1300" s="139"/>
      <c r="E1300" s="143"/>
      <c r="F1300" s="173"/>
      <c r="G1300" s="267"/>
      <c r="H1300" s="21"/>
      <c r="I1300" s="126"/>
      <c r="J1300" s="21"/>
      <c r="K1300" s="21"/>
      <c r="L1300" s="21"/>
      <c r="M1300" s="21"/>
      <c r="N1300" s="21"/>
      <c r="O1300" s="21"/>
      <c r="P1300" s="21"/>
      <c r="Q1300" s="21"/>
      <c r="R1300" s="21"/>
      <c r="S1300" s="86"/>
      <c r="U1300" s="34"/>
    </row>
    <row r="1301" spans="1:21" x14ac:dyDescent="0.2">
      <c r="A1301" s="54"/>
      <c r="B1301" s="9"/>
      <c r="C1301" s="134"/>
      <c r="E1301" s="144"/>
      <c r="F1301" s="167"/>
      <c r="G1301" s="256" t="s">
        <v>2169</v>
      </c>
      <c r="H1301" s="9"/>
      <c r="I1301" s="85"/>
      <c r="J1301" s="9"/>
      <c r="K1301" s="9"/>
      <c r="L1301" s="9"/>
      <c r="M1301" s="9"/>
      <c r="N1301" s="9"/>
      <c r="O1301" s="9"/>
      <c r="P1301" s="9"/>
      <c r="Q1301" s="9"/>
      <c r="R1301" s="9"/>
      <c r="S1301" s="47"/>
    </row>
    <row r="1302" spans="1:21" x14ac:dyDescent="0.2">
      <c r="A1302" s="54"/>
      <c r="B1302" s="9"/>
      <c r="C1302" s="134"/>
      <c r="E1302" s="144"/>
      <c r="F1302" s="167"/>
      <c r="G1302" s="256"/>
      <c r="H1302" s="9"/>
      <c r="I1302" s="85"/>
      <c r="J1302" s="9"/>
      <c r="K1302" s="9"/>
      <c r="L1302" s="9"/>
      <c r="M1302" s="9"/>
      <c r="N1302" s="9"/>
      <c r="O1302" s="9"/>
      <c r="P1302" s="9"/>
      <c r="Q1302" s="9"/>
      <c r="R1302" s="9"/>
      <c r="S1302" s="47"/>
    </row>
    <row r="1303" spans="1:21" x14ac:dyDescent="0.2">
      <c r="A1303" s="54"/>
      <c r="B1303" s="9"/>
      <c r="E1303" s="144"/>
      <c r="F1303" s="167"/>
      <c r="G1303" s="260" t="s">
        <v>104</v>
      </c>
      <c r="H1303" s="9"/>
      <c r="I1303" s="85"/>
      <c r="J1303" s="9"/>
      <c r="K1303" s="9"/>
      <c r="L1303" s="9"/>
      <c r="M1303" s="9"/>
      <c r="N1303" s="9"/>
      <c r="O1303" s="9"/>
      <c r="P1303" s="9"/>
      <c r="Q1303" s="9"/>
      <c r="R1303" s="9"/>
      <c r="S1303" s="47"/>
    </row>
    <row r="1304" spans="1:21" x14ac:dyDescent="0.2">
      <c r="A1304" s="54">
        <v>217300</v>
      </c>
      <c r="B1304" s="9">
        <v>148400</v>
      </c>
      <c r="C1304" s="136">
        <v>170000</v>
      </c>
      <c r="D1304" s="136">
        <v>179700</v>
      </c>
      <c r="E1304" s="144">
        <v>278400</v>
      </c>
      <c r="F1304" s="469" t="s">
        <v>2530</v>
      </c>
      <c r="G1304" s="257" t="s">
        <v>1320</v>
      </c>
      <c r="H1304" s="9">
        <v>378000</v>
      </c>
      <c r="I1304" s="85">
        <f>IF(E1304=H1304,0,IF(E1304=0,100,(H1304-E1304)/E1304*100))</f>
        <v>35.775862068965516</v>
      </c>
      <c r="J1304" s="9">
        <f>ROUND(H1304*Assumptions!J$13+CIV!H1304,-2)</f>
        <v>386700</v>
      </c>
      <c r="K1304" s="9">
        <f>ROUND(J1304*Assumptions!K$13+CIV!J1304,-2)</f>
        <v>395600</v>
      </c>
      <c r="L1304" s="9">
        <f>ROUND(K1304*Assumptions!L$13+CIV!K1304,-2)</f>
        <v>404700</v>
      </c>
      <c r="M1304" s="9">
        <f>ROUND(L1304*Assumptions!M$13+CIV!L1304,-2)</f>
        <v>414000</v>
      </c>
      <c r="N1304" s="9">
        <f>ROUND(M1304*Assumptions!N$13+CIV!M1304,-2)</f>
        <v>423500</v>
      </c>
      <c r="O1304" s="9">
        <f>ROUND(N1304*Assumptions!P$13+CIV!N1304,-2)</f>
        <v>433200</v>
      </c>
      <c r="P1304" s="9">
        <f>ROUND(O1304*Assumptions!Q$13+CIV!O1304,-2)</f>
        <v>443200</v>
      </c>
      <c r="Q1304" s="9">
        <f>ROUND(P1304*Assumptions!R$13+CIV!P1304,-2)</f>
        <v>453400</v>
      </c>
      <c r="R1304" s="9">
        <f>ROUND(Q1304*Assumptions!S$13+CIV!Q1304,-2)</f>
        <v>453400</v>
      </c>
      <c r="S1304" s="47">
        <f>ROUND(R1304*Assumptions!T$13+CIV!R1304,-2)</f>
        <v>453400</v>
      </c>
    </row>
    <row r="1305" spans="1:21" x14ac:dyDescent="0.2">
      <c r="A1305" s="54">
        <v>1700</v>
      </c>
      <c r="B1305" s="9">
        <v>1900</v>
      </c>
      <c r="C1305" s="136">
        <v>1600</v>
      </c>
      <c r="D1305" s="136">
        <v>500</v>
      </c>
      <c r="E1305" s="144">
        <v>900</v>
      </c>
      <c r="F1305" s="469" t="s">
        <v>186</v>
      </c>
      <c r="G1305" s="257" t="s">
        <v>1889</v>
      </c>
      <c r="H1305" s="9">
        <v>3000</v>
      </c>
      <c r="I1305" s="85">
        <f>IF(E1305=H1305,0,IF(E1305=0,100,(H1305-E1305)/E1305*100))</f>
        <v>233.33333333333334</v>
      </c>
      <c r="J1305" s="9">
        <f>ROUNDUP(H1305+(H1305*Assumptions!I$5),-2)</f>
        <v>3100</v>
      </c>
      <c r="K1305" s="9">
        <f>ROUNDUP(J1305+(J1305*Assumptions!J$5),-2)</f>
        <v>3200</v>
      </c>
      <c r="L1305" s="9">
        <f>ROUNDUP(K1305+(K1305*Assumptions!K$5),-2)</f>
        <v>3300</v>
      </c>
      <c r="M1305" s="9">
        <f>ROUNDUP(L1305+(L1305*Assumptions!L$5),-2)</f>
        <v>3400</v>
      </c>
      <c r="N1305" s="9">
        <f>ROUNDUP(M1305+(M1305*Assumptions!M$5),-2)</f>
        <v>3500</v>
      </c>
      <c r="O1305" s="9">
        <f>ROUNDUP(N1305+(N1305*Assumptions!N$5),-2)</f>
        <v>3600</v>
      </c>
      <c r="P1305" s="9">
        <f>ROUNDUP(O1305+(O1305*Assumptions!O$5),-2)</f>
        <v>3700</v>
      </c>
      <c r="Q1305" s="9">
        <f>ROUNDUP(P1305+(P1305*Assumptions!P$5),-2)</f>
        <v>3800</v>
      </c>
      <c r="R1305" s="9">
        <f>ROUNDUP(Q1305+(Q1305*Assumptions!Q$5),-2)</f>
        <v>3900</v>
      </c>
      <c r="S1305" s="47">
        <f>ROUNDUP(R1305+(R1305*Assumptions!R$5),-2)</f>
        <v>4000</v>
      </c>
    </row>
    <row r="1306" spans="1:21" x14ac:dyDescent="0.2">
      <c r="A1306" s="54">
        <v>9600</v>
      </c>
      <c r="B1306" s="9">
        <v>8000</v>
      </c>
      <c r="C1306" s="136">
        <v>8300</v>
      </c>
      <c r="D1306" s="136">
        <v>8300</v>
      </c>
      <c r="E1306" s="144">
        <v>6000</v>
      </c>
      <c r="F1306" s="469" t="s">
        <v>1937</v>
      </c>
      <c r="G1306" s="257" t="s">
        <v>598</v>
      </c>
      <c r="H1306" s="9">
        <v>5000</v>
      </c>
      <c r="I1306" s="85">
        <f>IF(E1306=H1306,0,IF(E1306=0,100,(H1306-E1306)/E1306*100))</f>
        <v>-16.666666666666664</v>
      </c>
      <c r="J1306" s="9">
        <f>ROUNDUP(H1306+(H1306*Assumptions!I$5),-2)</f>
        <v>5200</v>
      </c>
      <c r="K1306" s="9">
        <f>ROUNDUP(J1306+(J1306*Assumptions!J$5),-2)</f>
        <v>5400</v>
      </c>
      <c r="L1306" s="9">
        <f>ROUNDUP(K1306+(K1306*Assumptions!K$5),-2)</f>
        <v>5600</v>
      </c>
      <c r="M1306" s="9">
        <f>ROUNDUP(L1306+(L1306*Assumptions!L$5),-2)</f>
        <v>5800</v>
      </c>
      <c r="N1306" s="9">
        <f>ROUNDUP(M1306+(M1306*Assumptions!M$5),-2)</f>
        <v>6000</v>
      </c>
      <c r="O1306" s="9">
        <f>ROUNDUP(N1306+(N1306*Assumptions!N$5),-2)</f>
        <v>6200</v>
      </c>
      <c r="P1306" s="9">
        <f>ROUNDUP(O1306+(O1306*Assumptions!O$5),-2)</f>
        <v>6400</v>
      </c>
      <c r="Q1306" s="9">
        <f>ROUNDUP(P1306+(P1306*Assumptions!P$5),-2)</f>
        <v>6600</v>
      </c>
      <c r="R1306" s="9">
        <f>ROUNDUP(Q1306+(Q1306*Assumptions!Q$5),-2)</f>
        <v>6800</v>
      </c>
      <c r="S1306" s="47">
        <f>ROUNDUP(R1306+(R1306*Assumptions!R$5),-2)</f>
        <v>7000</v>
      </c>
    </row>
    <row r="1307" spans="1:21" x14ac:dyDescent="0.2">
      <c r="A1307" s="54"/>
      <c r="B1307" s="9"/>
      <c r="E1307" s="144"/>
      <c r="F1307" s="469"/>
      <c r="G1307" s="257"/>
      <c r="H1307" s="9"/>
      <c r="I1307" s="85"/>
      <c r="J1307" s="9"/>
      <c r="K1307" s="9"/>
      <c r="L1307" s="9"/>
      <c r="M1307" s="9"/>
      <c r="N1307" s="9"/>
      <c r="O1307" s="9"/>
      <c r="P1307" s="9"/>
      <c r="Q1307" s="9"/>
      <c r="R1307" s="9"/>
      <c r="S1307" s="47"/>
    </row>
    <row r="1308" spans="1:21" x14ac:dyDescent="0.2">
      <c r="A1308" s="54"/>
      <c r="B1308" s="9"/>
      <c r="E1308" s="144"/>
      <c r="F1308" s="469"/>
      <c r="G1308" s="419" t="s">
        <v>1505</v>
      </c>
      <c r="H1308" s="9"/>
      <c r="I1308" s="85"/>
      <c r="J1308" s="9"/>
      <c r="K1308" s="9"/>
      <c r="L1308" s="9"/>
      <c r="M1308" s="9"/>
      <c r="N1308" s="9"/>
      <c r="O1308" s="9"/>
      <c r="P1308" s="9"/>
      <c r="Q1308" s="9"/>
      <c r="R1308" s="9"/>
      <c r="S1308" s="47"/>
    </row>
    <row r="1309" spans="1:21" x14ac:dyDescent="0.2">
      <c r="A1309" s="54">
        <v>0</v>
      </c>
      <c r="B1309" s="9">
        <v>0</v>
      </c>
      <c r="C1309" s="136">
        <v>0</v>
      </c>
      <c r="D1309" s="136">
        <v>0</v>
      </c>
      <c r="E1309" s="144">
        <v>5300</v>
      </c>
      <c r="F1309" s="769" t="s">
        <v>5429</v>
      </c>
      <c r="G1309" s="661" t="s">
        <v>6782</v>
      </c>
      <c r="H1309" s="9">
        <v>0</v>
      </c>
      <c r="I1309" s="85">
        <f t="shared" ref="I1309:I1321" si="2020">IF(E1309=H1309,0,IF(E1309=0,100,(H1309-E1309)/E1309*100))</f>
        <v>-100</v>
      </c>
      <c r="J1309" s="9">
        <f>ROUNDUP(H1309+(H1309*Assumptions!I$5),-2)</f>
        <v>0</v>
      </c>
      <c r="K1309" s="9">
        <f>ROUNDUP(J1309+(J1309*Assumptions!J$5),-2)</f>
        <v>0</v>
      </c>
      <c r="L1309" s="9">
        <f>ROUNDUP(K1309+(K1309*Assumptions!K$5),-2)</f>
        <v>0</v>
      </c>
      <c r="M1309" s="9">
        <f>ROUNDUP(L1309+(L1309*Assumptions!L$5),-2)</f>
        <v>0</v>
      </c>
      <c r="N1309" s="9">
        <f>ROUNDUP(M1309+(M1309*Assumptions!M$5),-2)</f>
        <v>0</v>
      </c>
      <c r="O1309" s="9">
        <f>ROUNDUP(N1309+(N1309*Assumptions!N$5),-2)</f>
        <v>0</v>
      </c>
      <c r="P1309" s="9">
        <f>ROUNDUP(O1309+(O1309*Assumptions!O$5),-2)</f>
        <v>0</v>
      </c>
      <c r="Q1309" s="9">
        <f>ROUNDUP(P1309+(P1309*Assumptions!P$5),-2)</f>
        <v>0</v>
      </c>
      <c r="R1309" s="9">
        <f>ROUNDUP(Q1309+(Q1309*Assumptions!Q$5),-2)</f>
        <v>0</v>
      </c>
      <c r="S1309" s="47">
        <f>ROUNDUP(R1309+(R1309*Assumptions!R$5),-2)</f>
        <v>0</v>
      </c>
    </row>
    <row r="1310" spans="1:21" x14ac:dyDescent="0.2">
      <c r="A1310" s="54">
        <v>0</v>
      </c>
      <c r="B1310" s="9">
        <v>0</v>
      </c>
      <c r="C1310" s="136">
        <v>0</v>
      </c>
      <c r="D1310" s="136">
        <v>2000</v>
      </c>
      <c r="E1310" s="144">
        <v>46000</v>
      </c>
      <c r="F1310" s="769" t="s">
        <v>5958</v>
      </c>
      <c r="G1310" s="661" t="s">
        <v>5959</v>
      </c>
      <c r="H1310" s="9">
        <v>0</v>
      </c>
      <c r="I1310" s="85">
        <f t="shared" si="2020"/>
        <v>-100</v>
      </c>
      <c r="J1310" s="9">
        <f>ROUNDUP(H1310+(H1310*Assumptions!I$5),-2)</f>
        <v>0</v>
      </c>
      <c r="K1310" s="9">
        <f>ROUNDUP(J1310+(J1310*Assumptions!J$5),-2)</f>
        <v>0</v>
      </c>
      <c r="L1310" s="9">
        <f>ROUNDUP(K1310+(K1310*Assumptions!K$5),-2)</f>
        <v>0</v>
      </c>
      <c r="M1310" s="9">
        <f>ROUNDUP(L1310+(L1310*Assumptions!L$5),-2)</f>
        <v>0</v>
      </c>
      <c r="N1310" s="9">
        <f>ROUNDUP(M1310+(M1310*Assumptions!M$5),-2)</f>
        <v>0</v>
      </c>
      <c r="O1310" s="9">
        <f>ROUNDUP(N1310+(N1310*Assumptions!N$5),-2)</f>
        <v>0</v>
      </c>
      <c r="P1310" s="9">
        <f>ROUNDUP(O1310+(O1310*Assumptions!O$5),-2)</f>
        <v>0</v>
      </c>
      <c r="Q1310" s="9">
        <f>ROUNDUP(P1310+(P1310*Assumptions!P$5),-2)</f>
        <v>0</v>
      </c>
      <c r="R1310" s="9">
        <f>ROUNDUP(Q1310+(Q1310*Assumptions!Q$5),-2)</f>
        <v>0</v>
      </c>
      <c r="S1310" s="47">
        <f>ROUNDUP(R1310+(R1310*Assumptions!R$5),-2)</f>
        <v>0</v>
      </c>
    </row>
    <row r="1311" spans="1:21" x14ac:dyDescent="0.2">
      <c r="A1311" s="54">
        <v>0</v>
      </c>
      <c r="B1311" s="9">
        <v>0</v>
      </c>
      <c r="C1311" s="136">
        <v>0</v>
      </c>
      <c r="D1311" s="136">
        <v>54000</v>
      </c>
      <c r="E1311" s="144">
        <v>35800</v>
      </c>
      <c r="F1311" s="769" t="s">
        <v>6605</v>
      </c>
      <c r="G1311" s="661" t="s">
        <v>6606</v>
      </c>
      <c r="H1311" s="9">
        <v>0</v>
      </c>
      <c r="I1311" s="85">
        <f t="shared" si="2020"/>
        <v>-100</v>
      </c>
      <c r="J1311" s="9">
        <f>ROUNDUP(H1311+(H1311*Assumptions!I$5),-2)</f>
        <v>0</v>
      </c>
      <c r="K1311" s="9">
        <f>ROUNDUP(J1311+(J1311*Assumptions!J$5),-2)</f>
        <v>0</v>
      </c>
      <c r="L1311" s="9">
        <f>ROUNDUP(K1311+(K1311*Assumptions!K$5),-2)</f>
        <v>0</v>
      </c>
      <c r="M1311" s="9">
        <f>ROUNDUP(L1311+(L1311*Assumptions!L$5),-2)</f>
        <v>0</v>
      </c>
      <c r="N1311" s="9">
        <f>ROUNDUP(M1311+(M1311*Assumptions!M$5),-2)</f>
        <v>0</v>
      </c>
      <c r="O1311" s="9">
        <f>ROUNDUP(N1311+(N1311*Assumptions!N$5),-2)</f>
        <v>0</v>
      </c>
      <c r="P1311" s="9">
        <f>ROUNDUP(O1311+(O1311*Assumptions!O$5),-2)</f>
        <v>0</v>
      </c>
      <c r="Q1311" s="9">
        <f>ROUNDUP(P1311+(P1311*Assumptions!P$5),-2)</f>
        <v>0</v>
      </c>
      <c r="R1311" s="9">
        <f>ROUNDUP(Q1311+(Q1311*Assumptions!Q$5),-2)</f>
        <v>0</v>
      </c>
      <c r="S1311" s="47">
        <f>ROUNDUP(R1311+(R1311*Assumptions!R$5),-2)</f>
        <v>0</v>
      </c>
    </row>
    <row r="1312" spans="1:21" x14ac:dyDescent="0.2">
      <c r="A1312" s="54">
        <v>16300</v>
      </c>
      <c r="B1312" s="9">
        <v>11100</v>
      </c>
      <c r="C1312" s="136">
        <v>12500</v>
      </c>
      <c r="D1312" s="136">
        <v>13700</v>
      </c>
      <c r="E1312" s="144">
        <v>12300</v>
      </c>
      <c r="F1312" s="469" t="s">
        <v>2510</v>
      </c>
      <c r="G1312" s="385" t="s">
        <v>335</v>
      </c>
      <c r="H1312" s="9">
        <v>15000</v>
      </c>
      <c r="I1312" s="85">
        <f t="shared" si="2020"/>
        <v>21.951219512195124</v>
      </c>
      <c r="J1312" s="9">
        <f>ROUNDUP(H1312+(H1312*Assumptions!I$5),-2)</f>
        <v>15400</v>
      </c>
      <c r="K1312" s="9">
        <f>ROUNDUP(J1312+(J1312*Assumptions!J$5),-2)</f>
        <v>15800</v>
      </c>
      <c r="L1312" s="9">
        <f>ROUNDUP(K1312+(K1312*Assumptions!K$5),-2)</f>
        <v>16200</v>
      </c>
      <c r="M1312" s="9">
        <f>ROUNDUP(L1312+(L1312*Assumptions!L$5),-2)</f>
        <v>16700</v>
      </c>
      <c r="N1312" s="9">
        <f>ROUNDUP(M1312+(M1312*Assumptions!M$5),-2)</f>
        <v>17200</v>
      </c>
      <c r="O1312" s="9">
        <f>ROUNDUP(N1312+(N1312*Assumptions!N$5),-2)</f>
        <v>17700</v>
      </c>
      <c r="P1312" s="9">
        <f>ROUNDUP(O1312+(O1312*Assumptions!O$5),-2)</f>
        <v>18200</v>
      </c>
      <c r="Q1312" s="9">
        <f>ROUNDUP(P1312+(P1312*Assumptions!P$5),-2)</f>
        <v>18700</v>
      </c>
      <c r="R1312" s="9">
        <f>ROUNDUP(Q1312+(Q1312*Assumptions!Q$5),-2)</f>
        <v>19200</v>
      </c>
      <c r="S1312" s="47">
        <f>ROUNDUP(R1312+(R1312*Assumptions!R$5),-2)</f>
        <v>19700</v>
      </c>
    </row>
    <row r="1313" spans="1:19" x14ac:dyDescent="0.2">
      <c r="A1313" s="54">
        <v>142000</v>
      </c>
      <c r="B1313" s="9">
        <v>123800</v>
      </c>
      <c r="C1313" s="136">
        <v>114100</v>
      </c>
      <c r="D1313" s="136">
        <v>141000</v>
      </c>
      <c r="E1313" s="144">
        <v>139100</v>
      </c>
      <c r="F1313" s="469" t="s">
        <v>2610</v>
      </c>
      <c r="G1313" s="661" t="s">
        <v>3259</v>
      </c>
      <c r="H1313" s="9">
        <v>148000</v>
      </c>
      <c r="I1313" s="85">
        <f t="shared" si="2020"/>
        <v>6.3982746225736884</v>
      </c>
      <c r="J1313" s="9">
        <f>ROUNDUP(H1313+(H1313*Assumptions!I$5),-2)</f>
        <v>151500</v>
      </c>
      <c r="K1313" s="9">
        <f>ROUNDUP(J1313+(J1313*Assumptions!J$5),-2)</f>
        <v>155300</v>
      </c>
      <c r="L1313" s="9">
        <f>ROUNDUP(K1313+(K1313*Assumptions!K$5),-2)</f>
        <v>159200</v>
      </c>
      <c r="M1313" s="9">
        <f>ROUNDUP(L1313+(L1313*Assumptions!L$5),-2)</f>
        <v>163200</v>
      </c>
      <c r="N1313" s="9">
        <f>ROUNDUP(M1313+(M1313*Assumptions!M$5),-2)</f>
        <v>167300</v>
      </c>
      <c r="O1313" s="9">
        <f>ROUNDUP(N1313+(N1313*Assumptions!N$5),-2)</f>
        <v>171500</v>
      </c>
      <c r="P1313" s="9">
        <f>ROUNDUP(O1313+(O1313*Assumptions!O$5),-2)</f>
        <v>175800</v>
      </c>
      <c r="Q1313" s="9">
        <f>ROUNDUP(P1313+(P1313*Assumptions!P$5),-2)</f>
        <v>180200</v>
      </c>
      <c r="R1313" s="9">
        <f>ROUNDUP(Q1313+(Q1313*Assumptions!Q$5),-2)</f>
        <v>184800</v>
      </c>
      <c r="S1313" s="47">
        <f>ROUNDUP(R1313+(R1313*Assumptions!R$5),-2)</f>
        <v>189500</v>
      </c>
    </row>
    <row r="1314" spans="1:19" x14ac:dyDescent="0.2">
      <c r="A1314" s="54">
        <v>141700</v>
      </c>
      <c r="B1314" s="9">
        <v>156000</v>
      </c>
      <c r="C1314" s="136">
        <v>141900</v>
      </c>
      <c r="D1314" s="136">
        <v>117800</v>
      </c>
      <c r="E1314" s="144">
        <v>82200</v>
      </c>
      <c r="F1314" s="469" t="s">
        <v>1506</v>
      </c>
      <c r="G1314" s="661" t="s">
        <v>6924</v>
      </c>
      <c r="H1314" s="79">
        <f>159400-77400</f>
        <v>82000</v>
      </c>
      <c r="I1314" s="85">
        <f t="shared" si="2020"/>
        <v>-0.24330900243309003</v>
      </c>
      <c r="J1314" s="9">
        <f>ROUNDUP(H1314+(H1314*Assumptions!I$5),-2)</f>
        <v>83900</v>
      </c>
      <c r="K1314" s="9">
        <f>ROUNDUP(J1314+(J1314*Assumptions!J$5),-2)</f>
        <v>86000</v>
      </c>
      <c r="L1314" s="9">
        <f>ROUNDUP(K1314+(K1314*Assumptions!K$5),-2)</f>
        <v>88200</v>
      </c>
      <c r="M1314" s="9">
        <f>ROUNDUP(L1314+(L1314*Assumptions!L$5),-2)</f>
        <v>90500</v>
      </c>
      <c r="N1314" s="9">
        <f>ROUNDUP(M1314+(M1314*Assumptions!M$5),-2)</f>
        <v>92800</v>
      </c>
      <c r="O1314" s="9">
        <f>ROUNDUP(N1314+(N1314*Assumptions!N$5),-2)</f>
        <v>95200</v>
      </c>
      <c r="P1314" s="9">
        <f>ROUNDUP(O1314+(O1314*Assumptions!O$5),-2)</f>
        <v>97600</v>
      </c>
      <c r="Q1314" s="9">
        <f>ROUNDUP(P1314+(P1314*Assumptions!P$5),-2)</f>
        <v>100100</v>
      </c>
      <c r="R1314" s="9">
        <f>ROUNDUP(Q1314+(Q1314*Assumptions!Q$5),-2)</f>
        <v>102700</v>
      </c>
      <c r="S1314" s="47">
        <f>ROUNDUP(R1314+(R1314*Assumptions!R$5),-2)</f>
        <v>105300</v>
      </c>
    </row>
    <row r="1315" spans="1:19" x14ac:dyDescent="0.2">
      <c r="A1315" s="54">
        <v>1187600</v>
      </c>
      <c r="B1315" s="9">
        <f>1244400+10500</f>
        <v>1254900</v>
      </c>
      <c r="C1315" s="136">
        <f>1470000-393300+8900</f>
        <v>1085600</v>
      </c>
      <c r="D1315" s="136">
        <f>1164400+9500</f>
        <v>1173900</v>
      </c>
      <c r="E1315" s="144">
        <f>40100+136100+45100+61200+179500+181600+192000+13900+8200+49900+15000+6900+500+4000+5700+5800+1300+50600+60800+3200+90400+300+1500+5400</f>
        <v>1159000</v>
      </c>
      <c r="F1315" s="469" t="s">
        <v>413</v>
      </c>
      <c r="G1315" s="661" t="s">
        <v>4509</v>
      </c>
      <c r="H1315" s="9">
        <f>1275000-10000</f>
        <v>1265000</v>
      </c>
      <c r="I1315" s="85">
        <f t="shared" si="2020"/>
        <v>9.1458153580672992</v>
      </c>
      <c r="J1315" s="9">
        <f>ROUNDUP(H1315+(H1315*Assumptions!I$5),-2)</f>
        <v>1294100</v>
      </c>
      <c r="K1315" s="9">
        <f>ROUNDUP(J1315+(J1315*Assumptions!J$5),-2)</f>
        <v>1326500</v>
      </c>
      <c r="L1315" s="9">
        <f>ROUNDUP(K1315+(K1315*Assumptions!K$5),-2)</f>
        <v>1359700</v>
      </c>
      <c r="M1315" s="9">
        <f>ROUNDUP(L1315+(L1315*Assumptions!L$5),-2)</f>
        <v>1393700</v>
      </c>
      <c r="N1315" s="9">
        <f>ROUNDUP(M1315+(M1315*Assumptions!M$5),-2)</f>
        <v>1428600</v>
      </c>
      <c r="O1315" s="9">
        <f>ROUNDUP(N1315+(N1315*Assumptions!N$5),-2)</f>
        <v>1464400</v>
      </c>
      <c r="P1315" s="9">
        <f>ROUNDUP(O1315+(O1315*Assumptions!O$5),-2)</f>
        <v>1501100</v>
      </c>
      <c r="Q1315" s="9">
        <f>ROUNDUP(P1315+(P1315*Assumptions!P$5),-2)</f>
        <v>1538700</v>
      </c>
      <c r="R1315" s="9">
        <f>ROUNDUP(Q1315+(Q1315*Assumptions!Q$5),-2)</f>
        <v>1577200</v>
      </c>
      <c r="S1315" s="47">
        <f>ROUNDUP(R1315+(R1315*Assumptions!R$5),-2)</f>
        <v>1616700</v>
      </c>
    </row>
    <row r="1316" spans="1:19" x14ac:dyDescent="0.2">
      <c r="A1316" s="54">
        <v>0</v>
      </c>
      <c r="B1316" s="9">
        <v>0</v>
      </c>
      <c r="C1316" s="136">
        <v>0</v>
      </c>
      <c r="D1316" s="136">
        <f>20000-20000</f>
        <v>0</v>
      </c>
      <c r="E1316" s="144">
        <v>600</v>
      </c>
      <c r="F1316" s="769" t="s">
        <v>5441</v>
      </c>
      <c r="G1316" s="661" t="s">
        <v>5442</v>
      </c>
      <c r="H1316" s="9">
        <v>5000</v>
      </c>
      <c r="I1316" s="85">
        <f t="shared" si="2020"/>
        <v>733.33333333333326</v>
      </c>
      <c r="J1316" s="9">
        <f>ROUNDUP(H1316+(H1316*Assumptions!I$5),-2)</f>
        <v>5200</v>
      </c>
      <c r="K1316" s="9">
        <f>ROUNDUP(J1316+(J1316*Assumptions!J$5),-2)</f>
        <v>5400</v>
      </c>
      <c r="L1316" s="9">
        <f>ROUNDUP(K1316+(K1316*Assumptions!K$5),-2)</f>
        <v>5600</v>
      </c>
      <c r="M1316" s="9">
        <f>ROUNDUP(L1316+(L1316*Assumptions!L$5),-2)</f>
        <v>5800</v>
      </c>
      <c r="N1316" s="9">
        <f>ROUNDUP(M1316+(M1316*Assumptions!M$5),-2)</f>
        <v>6000</v>
      </c>
      <c r="O1316" s="9">
        <f>ROUNDUP(N1316+(N1316*Assumptions!N$5),-2)</f>
        <v>6200</v>
      </c>
      <c r="P1316" s="9">
        <f>ROUNDUP(O1316+(O1316*Assumptions!O$5),-2)</f>
        <v>6400</v>
      </c>
      <c r="Q1316" s="9">
        <f>ROUNDUP(P1316+(P1316*Assumptions!P$5),-2)</f>
        <v>6600</v>
      </c>
      <c r="R1316" s="9">
        <f>ROUNDUP(Q1316+(Q1316*Assumptions!Q$5),-2)</f>
        <v>6800</v>
      </c>
      <c r="S1316" s="47">
        <f>ROUNDUP(R1316+(R1316*Assumptions!R$5),-2)</f>
        <v>7000</v>
      </c>
    </row>
    <row r="1317" spans="1:19" x14ac:dyDescent="0.2">
      <c r="A1317" s="54">
        <v>2900</v>
      </c>
      <c r="B1317" s="9">
        <v>0</v>
      </c>
      <c r="C1317" s="136">
        <v>1100</v>
      </c>
      <c r="D1317" s="136">
        <v>0</v>
      </c>
      <c r="E1317" s="144">
        <v>5000</v>
      </c>
      <c r="F1317" s="469" t="s">
        <v>773</v>
      </c>
      <c r="G1317" s="385" t="s">
        <v>774</v>
      </c>
      <c r="H1317" s="9">
        <v>7800</v>
      </c>
      <c r="I1317" s="85">
        <f t="shared" si="2020"/>
        <v>56.000000000000007</v>
      </c>
      <c r="J1317" s="9">
        <f>ROUNDUP(H1317+(H1317*Assumptions!I$5),-2)</f>
        <v>8000</v>
      </c>
      <c r="K1317" s="9">
        <f>ROUNDUP(J1317+(J1317*Assumptions!J$5),-2)</f>
        <v>8200</v>
      </c>
      <c r="L1317" s="9">
        <f>ROUNDUP(K1317+(K1317*Assumptions!K$5),-2)</f>
        <v>8500</v>
      </c>
      <c r="M1317" s="9">
        <f>ROUNDUP(L1317+(L1317*Assumptions!L$5),-2)</f>
        <v>8800</v>
      </c>
      <c r="N1317" s="9">
        <f>ROUNDUP(M1317+(M1317*Assumptions!M$5),-2)</f>
        <v>9100</v>
      </c>
      <c r="O1317" s="9">
        <f>ROUNDUP(N1317+(N1317*Assumptions!N$5),-2)</f>
        <v>9400</v>
      </c>
      <c r="P1317" s="9">
        <f>ROUNDUP(O1317+(O1317*Assumptions!O$5),-2)</f>
        <v>9700</v>
      </c>
      <c r="Q1317" s="9">
        <f>ROUNDUP(P1317+(P1317*Assumptions!P$5),-2)</f>
        <v>10000</v>
      </c>
      <c r="R1317" s="9">
        <f>ROUNDUP(Q1317+(Q1317*Assumptions!Q$5),-2)</f>
        <v>10300</v>
      </c>
      <c r="S1317" s="47">
        <f>ROUNDUP(R1317+(R1317*Assumptions!R$5),-2)</f>
        <v>10600</v>
      </c>
    </row>
    <row r="1318" spans="1:19" x14ac:dyDescent="0.2">
      <c r="A1318" s="54">
        <v>2100</v>
      </c>
      <c r="B1318" s="9">
        <v>6300</v>
      </c>
      <c r="C1318" s="136">
        <v>5600</v>
      </c>
      <c r="D1318" s="136">
        <v>8400</v>
      </c>
      <c r="E1318" s="144">
        <v>7100</v>
      </c>
      <c r="F1318" s="469" t="s">
        <v>2432</v>
      </c>
      <c r="G1318" s="661" t="s">
        <v>3495</v>
      </c>
      <c r="H1318" s="9">
        <v>4000</v>
      </c>
      <c r="I1318" s="85">
        <f t="shared" si="2020"/>
        <v>-43.661971830985912</v>
      </c>
      <c r="J1318" s="9">
        <f>ROUNDUP(H1318+(H1318*Assumptions!I$5),-2)</f>
        <v>4100</v>
      </c>
      <c r="K1318" s="9">
        <f>ROUNDUP(J1318+(J1318*Assumptions!J$5),-2)</f>
        <v>4300</v>
      </c>
      <c r="L1318" s="9">
        <f>ROUNDUP(K1318+(K1318*Assumptions!K$5),-2)</f>
        <v>4500</v>
      </c>
      <c r="M1318" s="9">
        <f>ROUNDUP(L1318+(L1318*Assumptions!L$5),-2)</f>
        <v>4700</v>
      </c>
      <c r="N1318" s="9">
        <f>ROUNDUP(M1318+(M1318*Assumptions!M$5),-2)</f>
        <v>4900</v>
      </c>
      <c r="O1318" s="9">
        <f>ROUNDUP(N1318+(N1318*Assumptions!N$5),-2)</f>
        <v>5100</v>
      </c>
      <c r="P1318" s="9">
        <f>ROUNDUP(O1318+(O1318*Assumptions!O$5),-2)</f>
        <v>5300</v>
      </c>
      <c r="Q1318" s="9">
        <f>ROUNDUP(P1318+(P1318*Assumptions!P$5),-2)</f>
        <v>5500</v>
      </c>
      <c r="R1318" s="9">
        <f>ROUNDUP(Q1318+(Q1318*Assumptions!Q$5),-2)</f>
        <v>5700</v>
      </c>
      <c r="S1318" s="47">
        <f>ROUNDUP(R1318+(R1318*Assumptions!R$5),-2)</f>
        <v>5900</v>
      </c>
    </row>
    <row r="1319" spans="1:19" x14ac:dyDescent="0.2">
      <c r="A1319" s="54">
        <v>32900</v>
      </c>
      <c r="B1319" s="9">
        <v>81200</v>
      </c>
      <c r="C1319" s="136">
        <v>80500</v>
      </c>
      <c r="D1319" s="136">
        <v>34900</v>
      </c>
      <c r="E1319" s="144">
        <v>70000</v>
      </c>
      <c r="F1319" s="769" t="s">
        <v>2887</v>
      </c>
      <c r="G1319" s="661" t="s">
        <v>6925</v>
      </c>
      <c r="H1319" s="9">
        <v>75000</v>
      </c>
      <c r="I1319" s="85">
        <f t="shared" si="2020"/>
        <v>7.1428571428571423</v>
      </c>
      <c r="J1319" s="9">
        <f>ROUNDUP(H1319+(H1319*Assumptions!I$5),-2)</f>
        <v>76800</v>
      </c>
      <c r="K1319" s="9">
        <f>ROUNDUP(J1319+(J1319*Assumptions!J$5),-2)</f>
        <v>78800</v>
      </c>
      <c r="L1319" s="9">
        <f>ROUNDUP(K1319+(K1319*Assumptions!K$5),-2)</f>
        <v>80800</v>
      </c>
      <c r="M1319" s="9">
        <f>ROUNDUP(L1319+(L1319*Assumptions!L$5),-2)</f>
        <v>82900</v>
      </c>
      <c r="N1319" s="9">
        <f>ROUNDUP(M1319+(M1319*Assumptions!M$5),-2)</f>
        <v>85000</v>
      </c>
      <c r="O1319" s="9">
        <f>ROUNDUP(N1319+(N1319*Assumptions!N$5),-2)</f>
        <v>87200</v>
      </c>
      <c r="P1319" s="9">
        <f>ROUNDUP(O1319+(O1319*Assumptions!O$5),-2)</f>
        <v>89400</v>
      </c>
      <c r="Q1319" s="9">
        <f>ROUNDUP(P1319+(P1319*Assumptions!P$5),-2)</f>
        <v>91700</v>
      </c>
      <c r="R1319" s="9">
        <f>ROUNDUP(Q1319+(Q1319*Assumptions!Q$5),-2)</f>
        <v>94000</v>
      </c>
      <c r="S1319" s="47">
        <f>ROUNDUP(R1319+(R1319*Assumptions!R$5),-2)</f>
        <v>96400</v>
      </c>
    </row>
    <row r="1320" spans="1:19" x14ac:dyDescent="0.2">
      <c r="A1320" s="54">
        <v>4200</v>
      </c>
      <c r="B1320" s="928">
        <v>0</v>
      </c>
      <c r="C1320" s="136">
        <v>28000</v>
      </c>
      <c r="D1320" s="136">
        <v>15500</v>
      </c>
      <c r="E1320" s="144">
        <v>100</v>
      </c>
      <c r="F1320" s="769" t="s">
        <v>2888</v>
      </c>
      <c r="G1320" s="661" t="s">
        <v>2889</v>
      </c>
      <c r="H1320" s="9">
        <v>4000</v>
      </c>
      <c r="I1320" s="85">
        <f t="shared" si="2020"/>
        <v>3900</v>
      </c>
      <c r="J1320" s="9">
        <f>ROUNDUP(H1320+(H1320*Assumptions!I$5),-2)</f>
        <v>4100</v>
      </c>
      <c r="K1320" s="9">
        <f>ROUNDUP(J1320+(J1320*Assumptions!J$5),-2)</f>
        <v>4300</v>
      </c>
      <c r="L1320" s="9">
        <f>ROUNDUP(K1320+(K1320*Assumptions!K$5),-2)</f>
        <v>4500</v>
      </c>
      <c r="M1320" s="9">
        <f>ROUNDUP(L1320+(L1320*Assumptions!L$5),-2)</f>
        <v>4700</v>
      </c>
      <c r="N1320" s="9">
        <f>ROUNDUP(M1320+(M1320*Assumptions!M$5),-2)</f>
        <v>4900</v>
      </c>
      <c r="O1320" s="9">
        <f>ROUNDUP(N1320+(N1320*Assumptions!N$5),-2)</f>
        <v>5100</v>
      </c>
      <c r="P1320" s="9">
        <f>ROUNDUP(O1320+(O1320*Assumptions!O$5),-2)</f>
        <v>5300</v>
      </c>
      <c r="Q1320" s="9">
        <f>ROUNDUP(P1320+(P1320*Assumptions!P$5),-2)</f>
        <v>5500</v>
      </c>
      <c r="R1320" s="9">
        <f>ROUNDUP(Q1320+(Q1320*Assumptions!Q$5),-2)</f>
        <v>5700</v>
      </c>
      <c r="S1320" s="47">
        <f>ROUNDUP(R1320+(R1320*Assumptions!R$5),-2)</f>
        <v>5900</v>
      </c>
    </row>
    <row r="1321" spans="1:19" x14ac:dyDescent="0.2">
      <c r="A1321" s="54">
        <v>0</v>
      </c>
      <c r="B1321" s="9">
        <v>200</v>
      </c>
      <c r="C1321" s="136">
        <v>700</v>
      </c>
      <c r="D1321" s="136">
        <v>400</v>
      </c>
      <c r="E1321" s="144">
        <v>1100</v>
      </c>
      <c r="F1321" s="769" t="s">
        <v>3503</v>
      </c>
      <c r="G1321" s="661" t="s">
        <v>3494</v>
      </c>
      <c r="H1321" s="9">
        <v>2000</v>
      </c>
      <c r="I1321" s="85">
        <f t="shared" si="2020"/>
        <v>81.818181818181827</v>
      </c>
      <c r="J1321" s="9">
        <f>ROUNDUP(H1321+(H1321*Assumptions!I$5),-2)</f>
        <v>2100</v>
      </c>
      <c r="K1321" s="9">
        <f>ROUNDUP(J1321+(J1321*Assumptions!J$5),-2)</f>
        <v>2200</v>
      </c>
      <c r="L1321" s="9">
        <f>ROUNDUP(K1321+(K1321*Assumptions!K$5),-2)</f>
        <v>2300</v>
      </c>
      <c r="M1321" s="9">
        <f>ROUNDUP(L1321+(L1321*Assumptions!L$5),-2)</f>
        <v>2400</v>
      </c>
      <c r="N1321" s="9">
        <f>ROUNDUP(M1321+(M1321*Assumptions!M$5),-2)</f>
        <v>2500</v>
      </c>
      <c r="O1321" s="9">
        <f>ROUNDUP(N1321+(N1321*Assumptions!N$5),-2)</f>
        <v>2600</v>
      </c>
      <c r="P1321" s="9">
        <f>ROUNDUP(O1321+(O1321*Assumptions!O$5),-2)</f>
        <v>2700</v>
      </c>
      <c r="Q1321" s="9">
        <f>ROUNDUP(P1321+(P1321*Assumptions!P$5),-2)</f>
        <v>2800</v>
      </c>
      <c r="R1321" s="9">
        <f>ROUNDUP(Q1321+(Q1321*Assumptions!Q$5),-2)</f>
        <v>2900</v>
      </c>
      <c r="S1321" s="47">
        <f>ROUNDUP(R1321+(R1321*Assumptions!R$5),-2)</f>
        <v>3000</v>
      </c>
    </row>
    <row r="1322" spans="1:19" x14ac:dyDescent="0.2">
      <c r="A1322" s="54">
        <v>3300</v>
      </c>
      <c r="B1322" s="9">
        <v>4700</v>
      </c>
      <c r="C1322" s="136">
        <v>7500</v>
      </c>
      <c r="D1322" s="136">
        <v>0</v>
      </c>
      <c r="E1322" s="144">
        <v>1400</v>
      </c>
      <c r="F1322" s="769" t="s">
        <v>6350</v>
      </c>
      <c r="G1322" s="661" t="s">
        <v>5363</v>
      </c>
      <c r="H1322" s="9">
        <v>4500</v>
      </c>
      <c r="I1322" s="85">
        <f>IF(E1322=H1322,0,IF(E1322=0,100,(H1322-E1322)/E1322*100))</f>
        <v>221.42857142857144</v>
      </c>
      <c r="J1322" s="9">
        <f>ROUNDUP(H1322+(H1322*Assumptions!I$5),-2)</f>
        <v>4700</v>
      </c>
      <c r="K1322" s="9">
        <f>ROUNDUP(J1322+(J1322*Assumptions!J$5),-2)</f>
        <v>4900</v>
      </c>
      <c r="L1322" s="9">
        <f>ROUNDUP(K1322+(K1322*Assumptions!K$5),-2)</f>
        <v>5100</v>
      </c>
      <c r="M1322" s="9">
        <f>ROUNDUP(L1322+(L1322*Assumptions!L$5),-2)</f>
        <v>5300</v>
      </c>
      <c r="N1322" s="9">
        <f>ROUNDUP(M1322+(M1322*Assumptions!M$5),-2)</f>
        <v>5500</v>
      </c>
      <c r="O1322" s="9">
        <f>ROUNDUP(N1322+(N1322*Assumptions!N$5),-2)</f>
        <v>5700</v>
      </c>
      <c r="P1322" s="9">
        <f>ROUNDUP(O1322+(O1322*Assumptions!O$5),-2)</f>
        <v>5900</v>
      </c>
      <c r="Q1322" s="9">
        <f>ROUNDUP(P1322+(P1322*Assumptions!P$5),-2)</f>
        <v>6100</v>
      </c>
      <c r="R1322" s="9">
        <f>ROUNDUP(Q1322+(Q1322*Assumptions!Q$5),-2)</f>
        <v>6300</v>
      </c>
      <c r="S1322" s="47">
        <f>ROUNDUP(R1322+(R1322*Assumptions!R$5),-2)</f>
        <v>6500</v>
      </c>
    </row>
    <row r="1323" spans="1:19" x14ac:dyDescent="0.2">
      <c r="A1323" s="54">
        <v>1500</v>
      </c>
      <c r="B1323" s="9">
        <v>3600</v>
      </c>
      <c r="C1323" s="136">
        <v>3400</v>
      </c>
      <c r="D1323" s="136">
        <v>3800</v>
      </c>
      <c r="E1323" s="1442">
        <v>3800</v>
      </c>
      <c r="F1323" s="769" t="s">
        <v>6983</v>
      </c>
      <c r="G1323" s="661" t="s">
        <v>396</v>
      </c>
      <c r="H1323" s="9">
        <v>3000</v>
      </c>
      <c r="I1323" s="85"/>
      <c r="J1323" s="9">
        <f>ROUNDUP(H1323+(H1323*Assumptions!I$5),-2)</f>
        <v>3100</v>
      </c>
      <c r="K1323" s="9">
        <f>ROUNDUP(J1323+(J1323*Assumptions!J$5),-2)</f>
        <v>3200</v>
      </c>
      <c r="L1323" s="9">
        <f>ROUNDUP(K1323+(K1323*Assumptions!K$5),-2)</f>
        <v>3300</v>
      </c>
      <c r="M1323" s="9">
        <f>ROUNDUP(L1323+(L1323*Assumptions!L$5),-2)</f>
        <v>3400</v>
      </c>
      <c r="N1323" s="9">
        <f>ROUNDUP(M1323+(M1323*Assumptions!M$5),-2)</f>
        <v>3500</v>
      </c>
      <c r="O1323" s="9">
        <f>ROUNDUP(N1323+(N1323*Assumptions!N$5),-2)</f>
        <v>3600</v>
      </c>
      <c r="P1323" s="9">
        <f>ROUNDUP(O1323+(O1323*Assumptions!O$5),-2)</f>
        <v>3700</v>
      </c>
      <c r="Q1323" s="9">
        <f>ROUNDUP(P1323+(P1323*Assumptions!P$5),-2)</f>
        <v>3800</v>
      </c>
      <c r="R1323" s="9">
        <f>ROUNDUP(Q1323+(Q1323*Assumptions!Q$5),-2)</f>
        <v>3900</v>
      </c>
      <c r="S1323" s="47">
        <f>ROUNDUP(R1323+(R1323*Assumptions!R$5),-2)</f>
        <v>4000</v>
      </c>
    </row>
    <row r="1324" spans="1:19" x14ac:dyDescent="0.2">
      <c r="A1324" s="54">
        <v>0</v>
      </c>
      <c r="B1324" s="9">
        <v>0</v>
      </c>
      <c r="C1324" s="136">
        <v>0</v>
      </c>
      <c r="D1324" s="136">
        <v>0</v>
      </c>
      <c r="E1324" s="144">
        <v>4400</v>
      </c>
      <c r="F1324" s="769" t="s">
        <v>6665</v>
      </c>
      <c r="G1324" s="661" t="s">
        <v>6666</v>
      </c>
      <c r="H1324" s="9">
        <v>0</v>
      </c>
      <c r="I1324" s="85">
        <f>IF(E1324=H1324,0,IF(E1324=0,100,(H1324-E1324)/E1324*100))</f>
        <v>-100</v>
      </c>
      <c r="J1324" s="9">
        <f>ROUNDUP(H1324+(H1324*Assumptions!I$5),-2)</f>
        <v>0</v>
      </c>
      <c r="K1324" s="9">
        <f>ROUNDUP(J1324+(J1324*Assumptions!J$5),-2)</f>
        <v>0</v>
      </c>
      <c r="L1324" s="9">
        <f>ROUNDUP(K1324+(K1324*Assumptions!K$5),-2)</f>
        <v>0</v>
      </c>
      <c r="M1324" s="9">
        <f>ROUNDUP(L1324+(L1324*Assumptions!L$5),-2)</f>
        <v>0</v>
      </c>
      <c r="N1324" s="9">
        <f>ROUNDUP(M1324+(M1324*Assumptions!M$5),-2)</f>
        <v>0</v>
      </c>
      <c r="O1324" s="9">
        <f>ROUNDUP(N1324+(N1324*Assumptions!N$5),-2)</f>
        <v>0</v>
      </c>
      <c r="P1324" s="9">
        <f>ROUNDUP(O1324+(O1324*Assumptions!O$5),-2)</f>
        <v>0</v>
      </c>
      <c r="Q1324" s="9">
        <f>ROUNDUP(P1324+(P1324*Assumptions!P$5),-2)</f>
        <v>0</v>
      </c>
      <c r="R1324" s="9">
        <f>ROUNDUP(Q1324+(Q1324*Assumptions!Q$5),-2)</f>
        <v>0</v>
      </c>
      <c r="S1324" s="47">
        <f>ROUNDUP(R1324+(R1324*Assumptions!R$5),-2)</f>
        <v>0</v>
      </c>
    </row>
    <row r="1325" spans="1:19" x14ac:dyDescent="0.2">
      <c r="A1325" s="54">
        <v>2200</v>
      </c>
      <c r="B1325" s="9">
        <v>1300</v>
      </c>
      <c r="C1325" s="9">
        <v>1300</v>
      </c>
      <c r="D1325" s="9">
        <v>0</v>
      </c>
      <c r="E1325" s="29">
        <v>600</v>
      </c>
      <c r="F1325" s="769" t="s">
        <v>6982</v>
      </c>
      <c r="G1325" s="661" t="s">
        <v>6981</v>
      </c>
      <c r="H1325" s="9">
        <v>1700</v>
      </c>
      <c r="I1325" s="85">
        <f>IF(E1325=H1325,0,IF(E1325=0,100,(H1325-E1325)/E1325*100))</f>
        <v>183.33333333333331</v>
      </c>
      <c r="J1325" s="9">
        <f>ROUNDUP(H1325+(H1325*Assumptions!I$5),-2)</f>
        <v>1800</v>
      </c>
      <c r="K1325" s="9">
        <f>ROUNDUP(J1325+(J1325*Assumptions!J$5),-2)</f>
        <v>1900</v>
      </c>
      <c r="L1325" s="9">
        <f>ROUNDUP(K1325+(K1325*Assumptions!K$5),-2)</f>
        <v>2000</v>
      </c>
      <c r="M1325" s="9">
        <f>ROUNDUP(L1325+(L1325*Assumptions!L$5),-2)</f>
        <v>2100</v>
      </c>
      <c r="N1325" s="9">
        <f>ROUNDUP(M1325+(M1325*Assumptions!M$5),-2)</f>
        <v>2200</v>
      </c>
      <c r="O1325" s="9">
        <f>ROUNDUP(N1325+(N1325*Assumptions!N$5),-2)</f>
        <v>2300</v>
      </c>
      <c r="P1325" s="9">
        <f>ROUNDUP(O1325+(O1325*Assumptions!O$5),-2)</f>
        <v>2400</v>
      </c>
      <c r="Q1325" s="9">
        <f>ROUNDUP(P1325+(P1325*Assumptions!P$5),-2)</f>
        <v>2500</v>
      </c>
      <c r="R1325" s="9">
        <f>ROUNDUP(Q1325+(Q1325*Assumptions!Q$5),-2)</f>
        <v>2600</v>
      </c>
      <c r="S1325" s="47">
        <f>ROUNDUP(R1325+(R1325*Assumptions!R$5),-2)</f>
        <v>2700</v>
      </c>
    </row>
    <row r="1326" spans="1:19" x14ac:dyDescent="0.2">
      <c r="A1326" s="54"/>
      <c r="B1326" s="9"/>
      <c r="E1326" s="29"/>
      <c r="F1326" s="769"/>
      <c r="G1326" s="661"/>
      <c r="H1326" s="9"/>
      <c r="I1326" s="85"/>
      <c r="J1326" s="9"/>
      <c r="K1326" s="9"/>
      <c r="L1326" s="9"/>
      <c r="M1326" s="9"/>
      <c r="N1326" s="9"/>
      <c r="O1326" s="9"/>
      <c r="P1326" s="9"/>
      <c r="Q1326" s="9"/>
      <c r="R1326" s="9"/>
      <c r="S1326" s="47"/>
    </row>
    <row r="1327" spans="1:19" x14ac:dyDescent="0.2">
      <c r="A1327" s="54"/>
      <c r="B1327" s="9"/>
      <c r="E1327" s="144"/>
      <c r="F1327" s="469"/>
      <c r="G1327" s="1189" t="s">
        <v>3006</v>
      </c>
      <c r="H1327" s="9"/>
      <c r="I1327" s="85"/>
      <c r="J1327" s="9"/>
      <c r="K1327" s="9"/>
      <c r="L1327" s="9"/>
      <c r="M1327" s="9"/>
      <c r="N1327" s="9"/>
      <c r="O1327" s="9"/>
      <c r="P1327" s="9"/>
      <c r="Q1327" s="9"/>
      <c r="R1327" s="9"/>
      <c r="S1327" s="47"/>
    </row>
    <row r="1328" spans="1:19" x14ac:dyDescent="0.2">
      <c r="A1328" s="54">
        <v>5000</v>
      </c>
      <c r="B1328" s="9">
        <v>6100</v>
      </c>
      <c r="C1328" s="136">
        <v>5300</v>
      </c>
      <c r="D1328" s="136">
        <v>5400</v>
      </c>
      <c r="E1328" s="144">
        <v>4400</v>
      </c>
      <c r="F1328" s="469" t="s">
        <v>1523</v>
      </c>
      <c r="G1328" s="661" t="s">
        <v>4510</v>
      </c>
      <c r="H1328" s="9">
        <f>7700-3700</f>
        <v>4000</v>
      </c>
      <c r="I1328" s="85">
        <f>IF(E1328=H1328,0,IF(E1328=0,100,(H1328-E1328)/E1328*100))</f>
        <v>-9.0909090909090917</v>
      </c>
      <c r="J1328" s="9">
        <f>ROUNDUP(H1328+(H1328*Assumptions!I$5),-2)</f>
        <v>4100</v>
      </c>
      <c r="K1328" s="9">
        <f>ROUNDUP(J1328+(J1328*Assumptions!J$5),-2)</f>
        <v>4300</v>
      </c>
      <c r="L1328" s="9">
        <f>ROUNDUP(K1328+(K1328*Assumptions!K$5),-2)</f>
        <v>4500</v>
      </c>
      <c r="M1328" s="9">
        <f>ROUNDUP(L1328+(L1328*Assumptions!L$5),-2)</f>
        <v>4700</v>
      </c>
      <c r="N1328" s="9">
        <f>ROUNDUP(M1328+(M1328*Assumptions!M$5),-2)</f>
        <v>4900</v>
      </c>
      <c r="O1328" s="9">
        <f>ROUNDUP(N1328+(N1328*Assumptions!N$5),-2)</f>
        <v>5100</v>
      </c>
      <c r="P1328" s="9">
        <f>ROUNDUP(O1328+(O1328*Assumptions!O$5),-2)</f>
        <v>5300</v>
      </c>
      <c r="Q1328" s="9">
        <f>ROUNDUP(P1328+(P1328*Assumptions!P$5),-2)</f>
        <v>5500</v>
      </c>
      <c r="R1328" s="9">
        <f>ROUNDUP(Q1328+(Q1328*Assumptions!Q$5),-2)</f>
        <v>5700</v>
      </c>
      <c r="S1328" s="47">
        <f>ROUNDUP(R1328+(R1328*Assumptions!R$5),-2)</f>
        <v>5900</v>
      </c>
    </row>
    <row r="1329" spans="1:19" x14ac:dyDescent="0.2">
      <c r="A1329" s="54"/>
      <c r="B1329" s="9"/>
      <c r="E1329" s="144"/>
      <c r="F1329" s="469"/>
      <c r="G1329" s="385"/>
      <c r="H1329" s="9"/>
      <c r="I1329" s="85"/>
      <c r="J1329" s="9"/>
      <c r="K1329" s="9"/>
      <c r="L1329" s="9"/>
      <c r="M1329" s="9"/>
      <c r="N1329" s="9"/>
      <c r="O1329" s="9"/>
      <c r="P1329" s="9"/>
      <c r="Q1329" s="9"/>
      <c r="R1329" s="9"/>
      <c r="S1329" s="47"/>
    </row>
    <row r="1330" spans="1:19" x14ac:dyDescent="0.2">
      <c r="A1330" s="54"/>
      <c r="B1330" s="9"/>
      <c r="E1330" s="144"/>
      <c r="F1330" s="469"/>
      <c r="G1330" s="1189" t="s">
        <v>4776</v>
      </c>
      <c r="H1330" s="9"/>
      <c r="I1330" s="85"/>
      <c r="J1330" s="9"/>
      <c r="K1330" s="9"/>
      <c r="L1330" s="9"/>
      <c r="M1330" s="9"/>
      <c r="N1330" s="9"/>
      <c r="O1330" s="9"/>
      <c r="P1330" s="9"/>
      <c r="Q1330" s="9"/>
      <c r="R1330" s="9"/>
      <c r="S1330" s="47"/>
    </row>
    <row r="1331" spans="1:19" x14ac:dyDescent="0.2">
      <c r="A1331" s="54">
        <v>700</v>
      </c>
      <c r="B1331" s="9">
        <v>1300</v>
      </c>
      <c r="C1331" s="136">
        <v>1900</v>
      </c>
      <c r="D1331" s="136">
        <v>1000</v>
      </c>
      <c r="E1331" s="144">
        <v>0</v>
      </c>
      <c r="F1331" s="469" t="s">
        <v>2050</v>
      </c>
      <c r="G1331" s="385" t="s">
        <v>2104</v>
      </c>
      <c r="H1331" s="9">
        <v>3000</v>
      </c>
      <c r="I1331" s="85">
        <f>IF(E1331=H1331,0,IF(E1331=0,100,(H1331-E1331)/E1331*100))</f>
        <v>100</v>
      </c>
      <c r="J1331" s="9">
        <f>ROUNDUP(H1331+(H1331*Assumptions!I$5),-2)</f>
        <v>3100</v>
      </c>
      <c r="K1331" s="9">
        <f>ROUNDUP(J1331+(J1331*Assumptions!J$5),-2)</f>
        <v>3200</v>
      </c>
      <c r="L1331" s="9">
        <f>ROUNDUP(K1331+(K1331*Assumptions!K$5),-2)</f>
        <v>3300</v>
      </c>
      <c r="M1331" s="9">
        <f>ROUNDUP(L1331+(L1331*Assumptions!L$5),-2)</f>
        <v>3400</v>
      </c>
      <c r="N1331" s="9">
        <f>ROUNDUP(M1331+(M1331*Assumptions!M$5),-2)</f>
        <v>3500</v>
      </c>
      <c r="O1331" s="9">
        <f>ROUNDUP(N1331+(N1331*Assumptions!N$5),-2)</f>
        <v>3600</v>
      </c>
      <c r="P1331" s="9">
        <f>ROUNDUP(O1331+(O1331*Assumptions!O$5),-2)</f>
        <v>3700</v>
      </c>
      <c r="Q1331" s="9">
        <f>ROUNDUP(P1331+(P1331*Assumptions!P$5),-2)</f>
        <v>3800</v>
      </c>
      <c r="R1331" s="9">
        <f>ROUNDUP(Q1331+(Q1331*Assumptions!Q$5),-2)</f>
        <v>3900</v>
      </c>
      <c r="S1331" s="47">
        <f>ROUNDUP(R1331+(R1331*Assumptions!R$5),-2)</f>
        <v>4000</v>
      </c>
    </row>
    <row r="1332" spans="1:19" x14ac:dyDescent="0.2">
      <c r="A1332" s="54">
        <v>62000</v>
      </c>
      <c r="B1332" s="9">
        <v>66800</v>
      </c>
      <c r="C1332" s="136">
        <v>60100</v>
      </c>
      <c r="D1332" s="136">
        <v>97700</v>
      </c>
      <c r="E1332" s="144">
        <v>110300</v>
      </c>
      <c r="F1332" s="469" t="s">
        <v>2051</v>
      </c>
      <c r="G1332" s="661" t="s">
        <v>6926</v>
      </c>
      <c r="H1332" s="9">
        <v>77000</v>
      </c>
      <c r="I1332" s="85">
        <f>IF(E1332=H1332,0,IF(E1332=0,100,(H1332-E1332)/E1332*100))</f>
        <v>-30.190389845874886</v>
      </c>
      <c r="J1332" s="9">
        <f>ROUNDUP(H1332+(H1332*Assumptions!I$5),-2)</f>
        <v>78800</v>
      </c>
      <c r="K1332" s="9">
        <f>ROUNDUP(J1332+(J1332*Assumptions!J$5),-2)</f>
        <v>80800</v>
      </c>
      <c r="L1332" s="9">
        <f>ROUNDUP(K1332+(K1332*Assumptions!K$5),-2)</f>
        <v>82900</v>
      </c>
      <c r="M1332" s="9">
        <f>ROUNDUP(L1332+(L1332*Assumptions!L$5),-2)</f>
        <v>85000</v>
      </c>
      <c r="N1332" s="9">
        <f>ROUNDUP(M1332+(M1332*Assumptions!M$5),-2)</f>
        <v>87200</v>
      </c>
      <c r="O1332" s="9">
        <f>ROUNDUP(N1332+(N1332*Assumptions!N$5),-2)</f>
        <v>89400</v>
      </c>
      <c r="P1332" s="9">
        <f>ROUNDUP(O1332+(O1332*Assumptions!O$5),-2)</f>
        <v>91700</v>
      </c>
      <c r="Q1332" s="9">
        <f>ROUNDUP(P1332+(P1332*Assumptions!P$5),-2)</f>
        <v>94000</v>
      </c>
      <c r="R1332" s="9">
        <f>ROUNDUP(Q1332+(Q1332*Assumptions!Q$5),-2)</f>
        <v>96400</v>
      </c>
      <c r="S1332" s="47">
        <f>ROUNDUP(R1332+(R1332*Assumptions!R$5),-2)</f>
        <v>98900</v>
      </c>
    </row>
    <row r="1333" spans="1:19" x14ac:dyDescent="0.2">
      <c r="A1333" s="54">
        <v>2400</v>
      </c>
      <c r="B1333" s="9">
        <v>20000</v>
      </c>
      <c r="C1333" s="89">
        <v>17900</v>
      </c>
      <c r="D1333" s="136">
        <v>3600</v>
      </c>
      <c r="E1333" s="29">
        <v>20400</v>
      </c>
      <c r="F1333" s="769" t="s">
        <v>835</v>
      </c>
      <c r="G1333" s="79" t="s">
        <v>3008</v>
      </c>
      <c r="H1333" s="9">
        <f>20000+19600</f>
        <v>39600</v>
      </c>
      <c r="I1333" s="85">
        <f>IF(E1333=H1333,0,IF(E1333=0,100,(H1333-E1333)/E1333*100))</f>
        <v>94.117647058823522</v>
      </c>
      <c r="J1333" s="9">
        <f>ROUNDUP(H1333+(H1333*Assumptions!I$5),-2)-20100</f>
        <v>20500</v>
      </c>
      <c r="K1333" s="9">
        <f>ROUNDUP(J1333+(J1333*Assumptions!J$5),-2)</f>
        <v>21100</v>
      </c>
      <c r="L1333" s="9">
        <f>ROUNDUP(K1333+(K1333*Assumptions!K$5),-2)</f>
        <v>21700</v>
      </c>
      <c r="M1333" s="9">
        <f>ROUNDUP(L1333+(L1333*Assumptions!L$5),-2)</f>
        <v>22300</v>
      </c>
      <c r="N1333" s="9">
        <f>ROUNDUP(M1333+(M1333*Assumptions!M$5),-2)</f>
        <v>22900</v>
      </c>
      <c r="O1333" s="9">
        <f>ROUNDUP(N1333+(N1333*Assumptions!N$5),-2)</f>
        <v>23500</v>
      </c>
      <c r="P1333" s="9">
        <f>ROUNDUP(O1333+(O1333*Assumptions!O$5),-2)</f>
        <v>24100</v>
      </c>
      <c r="Q1333" s="9">
        <f>ROUNDUP(P1333+(P1333*Assumptions!P$5),-2)</f>
        <v>24800</v>
      </c>
      <c r="R1333" s="9">
        <f>ROUNDUP(Q1333+(Q1333*Assumptions!Q$5),-2)</f>
        <v>25500</v>
      </c>
      <c r="S1333" s="47">
        <f>ROUNDUP(R1333+(R1333*Assumptions!R$5),-2)</f>
        <v>26200</v>
      </c>
    </row>
    <row r="1334" spans="1:19" x14ac:dyDescent="0.2">
      <c r="A1334" s="54">
        <v>0</v>
      </c>
      <c r="B1334" s="9">
        <v>0</v>
      </c>
      <c r="C1334" s="89">
        <v>0</v>
      </c>
      <c r="D1334" s="136">
        <v>9100</v>
      </c>
      <c r="E1334" s="29">
        <f>23400+15600</f>
        <v>39000</v>
      </c>
      <c r="F1334" s="769" t="s">
        <v>5200</v>
      </c>
      <c r="G1334" s="79" t="s">
        <v>4775</v>
      </c>
      <c r="H1334" s="9">
        <v>15000</v>
      </c>
      <c r="I1334" s="85">
        <f>IF(E1334=H1334,0,IF(E1334=0,100,(H1334-E1334)/E1334*100))</f>
        <v>-61.53846153846154</v>
      </c>
      <c r="J1334" s="9">
        <f>ROUNDUP(H1334+(H1334*Assumptions!I$5),-2)</f>
        <v>15400</v>
      </c>
      <c r="K1334" s="9">
        <f>ROUNDUP(J1334+(J1334*Assumptions!J$5),-2)</f>
        <v>15800</v>
      </c>
      <c r="L1334" s="9">
        <f>ROUNDUP(K1334+(K1334*Assumptions!K$5),-2)</f>
        <v>16200</v>
      </c>
      <c r="M1334" s="9">
        <f>ROUNDUP(L1334+(L1334*Assumptions!L$5),-2)</f>
        <v>16700</v>
      </c>
      <c r="N1334" s="9">
        <f>ROUNDUP(M1334+(M1334*Assumptions!M$5),-2)</f>
        <v>17200</v>
      </c>
      <c r="O1334" s="9">
        <f>ROUNDUP(N1334+(N1334*Assumptions!N$5),-2)</f>
        <v>17700</v>
      </c>
      <c r="P1334" s="9">
        <f>ROUNDUP(O1334+(O1334*Assumptions!O$5),-2)</f>
        <v>18200</v>
      </c>
      <c r="Q1334" s="9">
        <f>ROUNDUP(P1334+(P1334*Assumptions!P$5),-2)</f>
        <v>18700</v>
      </c>
      <c r="R1334" s="9">
        <f>ROUNDUP(Q1334+(Q1334*Assumptions!Q$5),-2)</f>
        <v>19200</v>
      </c>
      <c r="S1334" s="47">
        <f>ROUNDUP(R1334+(R1334*Assumptions!R$5),-2)</f>
        <v>19700</v>
      </c>
    </row>
    <row r="1335" spans="1:19" x14ac:dyDescent="0.2">
      <c r="A1335" s="54">
        <v>10000</v>
      </c>
      <c r="B1335" s="9">
        <v>2000</v>
      </c>
      <c r="C1335" s="89">
        <v>87300</v>
      </c>
      <c r="D1335" s="136">
        <v>2200</v>
      </c>
      <c r="E1335" s="29">
        <v>5700</v>
      </c>
      <c r="F1335" s="469" t="s">
        <v>1650</v>
      </c>
      <c r="G1335" s="79" t="s">
        <v>4760</v>
      </c>
      <c r="H1335" s="9">
        <v>42800</v>
      </c>
      <c r="I1335" s="85">
        <f>IF(E1335=H1335,0,IF(E1335=0,100,(H1335-E1335)/E1335*100))</f>
        <v>650.87719298245611</v>
      </c>
      <c r="J1335" s="9">
        <v>0</v>
      </c>
      <c r="K1335" s="9">
        <v>0</v>
      </c>
      <c r="L1335" s="9">
        <f>ROUNDUP(K1335+(K1335*Assumptions!K$5),-2)</f>
        <v>0</v>
      </c>
      <c r="M1335" s="9">
        <f>ROUNDUP(L1335+(L1335*Assumptions!L$5),-2)</f>
        <v>0</v>
      </c>
      <c r="N1335" s="9">
        <f>ROUNDUP(M1335+(M1335*Assumptions!M$5),-2)</f>
        <v>0</v>
      </c>
      <c r="O1335" s="9">
        <f>ROUNDUP(N1335+(N1335*Assumptions!N$5),-2)</f>
        <v>0</v>
      </c>
      <c r="P1335" s="9">
        <f>ROUNDUP(O1335+(O1335*Assumptions!O$5),-2)</f>
        <v>0</v>
      </c>
      <c r="Q1335" s="9">
        <f>ROUNDUP(P1335+(P1335*Assumptions!P$5),-2)</f>
        <v>0</v>
      </c>
      <c r="R1335" s="9">
        <f>ROUNDUP(Q1335+(Q1335*Assumptions!Q$5),-2)</f>
        <v>0</v>
      </c>
      <c r="S1335" s="47">
        <f>ROUNDUP(R1335+(R1335*Assumptions!R$5),-2)</f>
        <v>0</v>
      </c>
    </row>
    <row r="1336" spans="1:19" x14ac:dyDescent="0.2">
      <c r="A1336" s="54"/>
      <c r="B1336" s="9"/>
      <c r="E1336" s="144"/>
      <c r="F1336" s="469"/>
      <c r="G1336" s="385"/>
      <c r="H1336" s="9"/>
      <c r="I1336" s="85"/>
      <c r="J1336" s="9"/>
      <c r="K1336" s="9"/>
      <c r="L1336" s="9"/>
      <c r="M1336" s="9"/>
      <c r="N1336" s="9"/>
      <c r="O1336" s="9"/>
      <c r="P1336" s="9"/>
      <c r="Q1336" s="9"/>
      <c r="R1336" s="9"/>
      <c r="S1336" s="47"/>
    </row>
    <row r="1337" spans="1:19" x14ac:dyDescent="0.2">
      <c r="A1337" s="54"/>
      <c r="B1337" s="9"/>
      <c r="E1337" s="144"/>
      <c r="F1337" s="469"/>
      <c r="G1337" s="419" t="s">
        <v>1166</v>
      </c>
      <c r="H1337" s="9"/>
      <c r="I1337" s="85"/>
      <c r="J1337" s="9"/>
      <c r="K1337" s="9"/>
      <c r="L1337" s="9"/>
      <c r="M1337" s="9"/>
      <c r="N1337" s="9"/>
      <c r="O1337" s="9"/>
      <c r="P1337" s="9"/>
      <c r="Q1337" s="9"/>
      <c r="R1337" s="9"/>
      <c r="S1337" s="47"/>
    </row>
    <row r="1338" spans="1:19" x14ac:dyDescent="0.2">
      <c r="A1338" s="54">
        <v>0</v>
      </c>
      <c r="B1338" s="9">
        <v>0</v>
      </c>
      <c r="C1338" s="136">
        <v>0</v>
      </c>
      <c r="D1338" s="136">
        <v>100</v>
      </c>
      <c r="E1338" s="144">
        <v>100</v>
      </c>
      <c r="F1338" s="469" t="s">
        <v>1411</v>
      </c>
      <c r="G1338" s="661" t="s">
        <v>3256</v>
      </c>
      <c r="H1338" s="9">
        <v>0</v>
      </c>
      <c r="I1338" s="85">
        <f t="shared" ref="I1338:I1343" si="2021">IF(E1338=H1338,0,IF(E1338=0,100,(H1338-E1338)/E1338*100))</f>
        <v>-100</v>
      </c>
      <c r="J1338" s="9">
        <f>ROUNDUP(H1338+(H1338*Assumptions!I$5),-2)</f>
        <v>0</v>
      </c>
      <c r="K1338" s="9">
        <f>ROUNDUP(J1338+(J1338*Assumptions!J$5),-2)</f>
        <v>0</v>
      </c>
      <c r="L1338" s="9">
        <f>ROUNDUP(K1338+(K1338*Assumptions!K$5),-2)</f>
        <v>0</v>
      </c>
      <c r="M1338" s="9">
        <f>ROUNDUP(L1338+(L1338*Assumptions!L$5),-2)</f>
        <v>0</v>
      </c>
      <c r="N1338" s="9">
        <f>ROUNDUP(M1338+(M1338*Assumptions!M$5),-2)</f>
        <v>0</v>
      </c>
      <c r="O1338" s="9">
        <f>ROUNDUP(N1338+(N1338*Assumptions!N$5),-2)</f>
        <v>0</v>
      </c>
      <c r="P1338" s="9">
        <f>ROUNDUP(O1338+(O1338*Assumptions!O$5),-2)</f>
        <v>0</v>
      </c>
      <c r="Q1338" s="9">
        <f>ROUNDUP(P1338+(P1338*Assumptions!P$5),-2)</f>
        <v>0</v>
      </c>
      <c r="R1338" s="9">
        <f>ROUNDUP(Q1338+(Q1338*Assumptions!Q$5),-2)</f>
        <v>0</v>
      </c>
      <c r="S1338" s="47">
        <f>ROUNDUP(R1338+(R1338*Assumptions!R$5),-2)</f>
        <v>0</v>
      </c>
    </row>
    <row r="1339" spans="1:19" x14ac:dyDescent="0.2">
      <c r="A1339" s="54">
        <v>2000</v>
      </c>
      <c r="B1339" s="9">
        <f>5300-4400</f>
        <v>900</v>
      </c>
      <c r="C1339" s="136">
        <f>13400-4600</f>
        <v>8800</v>
      </c>
      <c r="D1339" s="136">
        <v>400</v>
      </c>
      <c r="E1339" s="144">
        <f>5500-E1340-E1341</f>
        <v>1700</v>
      </c>
      <c r="F1339" s="469" t="s">
        <v>1377</v>
      </c>
      <c r="G1339" s="661" t="s">
        <v>4511</v>
      </c>
      <c r="H1339" s="9">
        <v>4100</v>
      </c>
      <c r="I1339" s="85">
        <f t="shared" si="2021"/>
        <v>141.1764705882353</v>
      </c>
      <c r="J1339" s="9">
        <f>ROUNDUP(H1339+(H1339*Assumptions!I$5),-2)</f>
        <v>4200</v>
      </c>
      <c r="K1339" s="9">
        <f>ROUNDUP(J1339+(J1339*Assumptions!J$5),-2)</f>
        <v>4400</v>
      </c>
      <c r="L1339" s="9">
        <f>ROUNDUP(K1339+(K1339*Assumptions!K$5),-2)</f>
        <v>4600</v>
      </c>
      <c r="M1339" s="9">
        <f>ROUNDUP(L1339+(L1339*Assumptions!L$5),-2)</f>
        <v>4800</v>
      </c>
      <c r="N1339" s="9">
        <f>ROUNDUP(M1339+(M1339*Assumptions!M$5),-2)</f>
        <v>5000</v>
      </c>
      <c r="O1339" s="9">
        <f>ROUNDUP(N1339+(N1339*Assumptions!N$5),-2)</f>
        <v>5200</v>
      </c>
      <c r="P1339" s="9">
        <f>ROUNDUP(O1339+(O1339*Assumptions!O$5),-2)</f>
        <v>5400</v>
      </c>
      <c r="Q1339" s="9">
        <f>ROUNDUP(P1339+(P1339*Assumptions!P$5),-2)</f>
        <v>5600</v>
      </c>
      <c r="R1339" s="9">
        <f>ROUNDUP(Q1339+(Q1339*Assumptions!Q$5),-2)</f>
        <v>5800</v>
      </c>
      <c r="S1339" s="47">
        <f>ROUNDUP(R1339+(R1339*Assumptions!R$5),-2)</f>
        <v>6000</v>
      </c>
    </row>
    <row r="1340" spans="1:19" x14ac:dyDescent="0.2">
      <c r="A1340" s="54">
        <v>800</v>
      </c>
      <c r="B1340" s="9">
        <v>1000</v>
      </c>
      <c r="C1340" s="136">
        <v>900</v>
      </c>
      <c r="D1340" s="136">
        <v>800</v>
      </c>
      <c r="E1340" s="144">
        <v>800</v>
      </c>
      <c r="F1340" s="469" t="s">
        <v>1410</v>
      </c>
      <c r="G1340" s="661" t="s">
        <v>3257</v>
      </c>
      <c r="H1340" s="9">
        <v>1400</v>
      </c>
      <c r="I1340" s="85">
        <f t="shared" si="2021"/>
        <v>75</v>
      </c>
      <c r="J1340" s="9">
        <f>ROUNDUP(H1340+(H1340*Assumptions!I$5),-2)</f>
        <v>1500</v>
      </c>
      <c r="K1340" s="9">
        <f>ROUNDUP(J1340+(J1340*Assumptions!J$5),-2)</f>
        <v>1600</v>
      </c>
      <c r="L1340" s="9">
        <f>ROUNDUP(K1340+(K1340*Assumptions!K$5),-2)</f>
        <v>1700</v>
      </c>
      <c r="M1340" s="9">
        <f>ROUNDUP(L1340+(L1340*Assumptions!L$5),-2)</f>
        <v>1800</v>
      </c>
      <c r="N1340" s="9">
        <f>ROUNDUP(M1340+(M1340*Assumptions!M$5),-2)</f>
        <v>1900</v>
      </c>
      <c r="O1340" s="9">
        <f>ROUNDUP(N1340+(N1340*Assumptions!N$5),-2)</f>
        <v>2000</v>
      </c>
      <c r="P1340" s="9">
        <f>ROUNDUP(O1340+(O1340*Assumptions!O$5),-2)</f>
        <v>2100</v>
      </c>
      <c r="Q1340" s="9">
        <f>ROUNDUP(P1340+(P1340*Assumptions!P$5),-2)</f>
        <v>2200</v>
      </c>
      <c r="R1340" s="9">
        <f>ROUNDUP(Q1340+(Q1340*Assumptions!Q$5),-2)</f>
        <v>2300</v>
      </c>
      <c r="S1340" s="47">
        <f>ROUNDUP(R1340+(R1340*Assumptions!R$5),-2)</f>
        <v>2400</v>
      </c>
    </row>
    <row r="1341" spans="1:19" x14ac:dyDescent="0.2">
      <c r="A1341" s="54">
        <v>2000</v>
      </c>
      <c r="B1341" s="9">
        <v>3400</v>
      </c>
      <c r="C1341" s="136">
        <v>3700</v>
      </c>
      <c r="D1341" s="136">
        <v>3000</v>
      </c>
      <c r="E1341" s="144">
        <v>3000</v>
      </c>
      <c r="F1341" s="469" t="s">
        <v>1412</v>
      </c>
      <c r="G1341" s="661" t="s">
        <v>3258</v>
      </c>
      <c r="H1341" s="9">
        <v>2700</v>
      </c>
      <c r="I1341" s="85">
        <f t="shared" si="2021"/>
        <v>-10</v>
      </c>
      <c r="J1341" s="9">
        <f>ROUNDUP(H1341+(H1341*Assumptions!I$5),-2)</f>
        <v>2800</v>
      </c>
      <c r="K1341" s="9">
        <f>ROUNDUP(J1341+(J1341*Assumptions!J$5),-2)</f>
        <v>2900</v>
      </c>
      <c r="L1341" s="9">
        <f>ROUNDUP(K1341+(K1341*Assumptions!K$5),-2)</f>
        <v>3000</v>
      </c>
      <c r="M1341" s="9">
        <f>ROUNDUP(L1341+(L1341*Assumptions!L$5),-2)</f>
        <v>3100</v>
      </c>
      <c r="N1341" s="9">
        <f>ROUNDUP(M1341+(M1341*Assumptions!M$5),-2)</f>
        <v>3200</v>
      </c>
      <c r="O1341" s="9">
        <f>ROUNDUP(N1341+(N1341*Assumptions!N$5),-2)</f>
        <v>3300</v>
      </c>
      <c r="P1341" s="9">
        <f>ROUNDUP(O1341+(O1341*Assumptions!O$5),-2)</f>
        <v>3400</v>
      </c>
      <c r="Q1341" s="9">
        <f>ROUNDUP(P1341+(P1341*Assumptions!P$5),-2)</f>
        <v>3500</v>
      </c>
      <c r="R1341" s="9">
        <f>ROUNDUP(Q1341+(Q1341*Assumptions!Q$5),-2)</f>
        <v>3600</v>
      </c>
      <c r="S1341" s="47">
        <f>ROUNDUP(R1341+(R1341*Assumptions!R$5),-2)</f>
        <v>3700</v>
      </c>
    </row>
    <row r="1342" spans="1:19" x14ac:dyDescent="0.2">
      <c r="A1342" s="54">
        <v>88400</v>
      </c>
      <c r="B1342" s="9">
        <v>82700</v>
      </c>
      <c r="C1342" s="136">
        <v>103300</v>
      </c>
      <c r="D1342" s="136">
        <v>115300</v>
      </c>
      <c r="E1342" s="144">
        <v>162700</v>
      </c>
      <c r="F1342" s="469" t="s">
        <v>870</v>
      </c>
      <c r="G1342" s="385" t="s">
        <v>1782</v>
      </c>
      <c r="H1342" s="9">
        <f>128000-500</f>
        <v>127500</v>
      </c>
      <c r="I1342" s="85">
        <f t="shared" si="2021"/>
        <v>-21.634910878918255</v>
      </c>
      <c r="J1342" s="9">
        <f>ROUNDUP(H1342+(H1342*Assumptions!I$5),-2)</f>
        <v>130500</v>
      </c>
      <c r="K1342" s="9">
        <f>ROUNDUP(J1342+(J1342*Assumptions!J$5),-2)</f>
        <v>133800</v>
      </c>
      <c r="L1342" s="9">
        <f>ROUNDUP(K1342+(K1342*Assumptions!K$5),-2)</f>
        <v>137200</v>
      </c>
      <c r="M1342" s="9">
        <f>ROUNDUP(L1342+(L1342*Assumptions!L$5),-2)</f>
        <v>140700</v>
      </c>
      <c r="N1342" s="9">
        <f>ROUNDUP(M1342+(M1342*Assumptions!M$5),-2)</f>
        <v>144300</v>
      </c>
      <c r="O1342" s="9">
        <f>ROUNDUP(N1342+(N1342*Assumptions!N$5),-2)</f>
        <v>148000</v>
      </c>
      <c r="P1342" s="9">
        <f>ROUNDUP(O1342+(O1342*Assumptions!O$5),-2)</f>
        <v>151700</v>
      </c>
      <c r="Q1342" s="9">
        <f>ROUNDUP(P1342+(P1342*Assumptions!P$5),-2)</f>
        <v>155500</v>
      </c>
      <c r="R1342" s="9">
        <f>ROUNDUP(Q1342+(Q1342*Assumptions!Q$5),-2)</f>
        <v>159400</v>
      </c>
      <c r="S1342" s="47">
        <f>ROUNDUP(R1342+(R1342*Assumptions!R$5),-2)</f>
        <v>163400</v>
      </c>
    </row>
    <row r="1343" spans="1:19" x14ac:dyDescent="0.2">
      <c r="A1343" s="54">
        <v>90800</v>
      </c>
      <c r="B1343" s="9">
        <v>90300</v>
      </c>
      <c r="C1343" s="136">
        <v>91000</v>
      </c>
      <c r="D1343" s="136">
        <v>100100</v>
      </c>
      <c r="E1343" s="144">
        <v>84800</v>
      </c>
      <c r="F1343" s="469" t="s">
        <v>871</v>
      </c>
      <c r="G1343" s="385" t="s">
        <v>125</v>
      </c>
      <c r="H1343" s="9">
        <v>102000</v>
      </c>
      <c r="I1343" s="85">
        <f t="shared" si="2021"/>
        <v>20.283018867924529</v>
      </c>
      <c r="J1343" s="9">
        <f>ROUNDUP(H1343+(H1343*Assumptions!I$5),-2)</f>
        <v>104400</v>
      </c>
      <c r="K1343" s="9">
        <f>ROUNDUP(J1343+(J1343*Assumptions!J$5),-2)</f>
        <v>107100</v>
      </c>
      <c r="L1343" s="9">
        <f>ROUNDUP(K1343+(K1343*Assumptions!K$5),-2)</f>
        <v>109800</v>
      </c>
      <c r="M1343" s="9">
        <f>ROUNDUP(L1343+(L1343*Assumptions!L$5),-2)</f>
        <v>112600</v>
      </c>
      <c r="N1343" s="9">
        <f>ROUNDUP(M1343+(M1343*Assumptions!M$5),-2)</f>
        <v>115500</v>
      </c>
      <c r="O1343" s="9">
        <f>ROUNDUP(N1343+(N1343*Assumptions!N$5),-2)</f>
        <v>118400</v>
      </c>
      <c r="P1343" s="9">
        <f>ROUNDUP(O1343+(O1343*Assumptions!O$5),-2)</f>
        <v>121400</v>
      </c>
      <c r="Q1343" s="9">
        <f>ROUNDUP(P1343+(P1343*Assumptions!P$5),-2)</f>
        <v>124500</v>
      </c>
      <c r="R1343" s="9">
        <f>ROUNDUP(Q1343+(Q1343*Assumptions!Q$5),-2)</f>
        <v>127700</v>
      </c>
      <c r="S1343" s="47">
        <f>ROUNDUP(R1343+(R1343*Assumptions!R$5),-2)</f>
        <v>130900</v>
      </c>
    </row>
    <row r="1344" spans="1:19" ht="13.5" thickBot="1" x14ac:dyDescent="0.25">
      <c r="A1344" s="118"/>
      <c r="B1344" s="23"/>
      <c r="C1344" s="148"/>
      <c r="D1344" s="148"/>
      <c r="E1344" s="1518"/>
      <c r="F1344" s="168"/>
      <c r="G1344" s="424"/>
      <c r="H1344" s="23"/>
      <c r="I1344" s="87"/>
      <c r="J1344" s="23"/>
      <c r="K1344" s="23"/>
      <c r="L1344" s="23"/>
      <c r="M1344" s="23"/>
      <c r="N1344" s="23"/>
      <c r="O1344" s="23"/>
      <c r="P1344" s="23"/>
      <c r="Q1344" s="23"/>
      <c r="R1344" s="23"/>
      <c r="S1344" s="112"/>
    </row>
    <row r="1345" spans="1:21" s="38" customFormat="1" ht="18.75" customHeight="1" thickTop="1" thickBot="1" x14ac:dyDescent="0.3">
      <c r="A1345" s="2588" t="s">
        <v>4527</v>
      </c>
      <c r="B1345" s="2589"/>
      <c r="C1345" s="2589"/>
      <c r="D1345" s="2589"/>
      <c r="E1345" s="2589"/>
      <c r="F1345" s="2589"/>
      <c r="G1345" s="2589"/>
      <c r="H1345" s="2589"/>
      <c r="I1345" s="2589"/>
      <c r="J1345" s="2589"/>
      <c r="K1345" s="2589"/>
      <c r="L1345" s="2589"/>
      <c r="M1345" s="2589"/>
      <c r="N1345" s="2589"/>
      <c r="O1345" s="2589"/>
      <c r="P1345" s="2589"/>
      <c r="Q1345" s="2589"/>
      <c r="R1345" s="2589"/>
      <c r="S1345" s="2590"/>
      <c r="U1345" s="34"/>
    </row>
    <row r="1346" spans="1:21" s="39" customFormat="1" ht="13.5" thickBot="1" x14ac:dyDescent="0.25">
      <c r="A1346" s="2591" t="s">
        <v>1824</v>
      </c>
      <c r="B1346" s="2577"/>
      <c r="C1346" s="2577"/>
      <c r="D1346" s="2577"/>
      <c r="E1346" s="2592"/>
      <c r="F1346" s="127" t="s">
        <v>2616</v>
      </c>
      <c r="G1346" s="127" t="s">
        <v>2213</v>
      </c>
      <c r="H1346" s="2568" t="s">
        <v>2215</v>
      </c>
      <c r="I1346" s="2568"/>
      <c r="J1346" s="2568"/>
      <c r="K1346" s="2568"/>
      <c r="L1346" s="2568"/>
      <c r="M1346" s="2568"/>
      <c r="N1346" s="2568"/>
      <c r="O1346" s="2568"/>
      <c r="P1346" s="2568"/>
      <c r="Q1346" s="2568"/>
      <c r="R1346" s="2568"/>
      <c r="S1346" s="2607"/>
      <c r="U1346" s="34"/>
    </row>
    <row r="1347" spans="1:21" ht="12.75" customHeight="1" thickBot="1" x14ac:dyDescent="0.25">
      <c r="A1347" s="541" t="str">
        <f>A3</f>
        <v>2012/13</v>
      </c>
      <c r="B1347" s="28" t="str">
        <f>B3</f>
        <v>2013/14</v>
      </c>
      <c r="C1347" s="40" t="str">
        <f>C3</f>
        <v>2014/15</v>
      </c>
      <c r="D1347" s="40" t="str">
        <f>D3</f>
        <v>2015/16</v>
      </c>
      <c r="E1347" s="1445" t="str">
        <f>E3</f>
        <v>2016/17</v>
      </c>
      <c r="F1347" s="40"/>
      <c r="G1347" s="162"/>
      <c r="H1347" s="40" t="str">
        <f t="shared" ref="H1347:S1347" si="2022">H3</f>
        <v>2017/18</v>
      </c>
      <c r="I1347" s="1258" t="str">
        <f t="shared" si="2022"/>
        <v>%</v>
      </c>
      <c r="J1347" s="40" t="str">
        <f t="shared" si="2022"/>
        <v>2018/19</v>
      </c>
      <c r="K1347" s="40" t="str">
        <f t="shared" si="2022"/>
        <v>2019/20</v>
      </c>
      <c r="L1347" s="40" t="str">
        <f t="shared" si="2022"/>
        <v>2020/21</v>
      </c>
      <c r="M1347" s="40" t="str">
        <f t="shared" si="2022"/>
        <v>2021/22</v>
      </c>
      <c r="N1347" s="40" t="str">
        <f t="shared" si="2022"/>
        <v>2022/23</v>
      </c>
      <c r="O1347" s="40" t="str">
        <f t="shared" si="2022"/>
        <v>2023/24</v>
      </c>
      <c r="P1347" s="40" t="str">
        <f t="shared" si="2022"/>
        <v>2024/25</v>
      </c>
      <c r="Q1347" s="28" t="str">
        <f t="shared" si="2022"/>
        <v>2025/26</v>
      </c>
      <c r="R1347" s="28" t="str">
        <f t="shared" si="2022"/>
        <v>2026/27</v>
      </c>
      <c r="S1347" s="1620" t="str">
        <f t="shared" si="2022"/>
        <v>2027/28</v>
      </c>
    </row>
    <row r="1348" spans="1:21" x14ac:dyDescent="0.2">
      <c r="A1348" s="54"/>
      <c r="B1348" s="9"/>
      <c r="E1348" s="144"/>
      <c r="F1348" s="469"/>
      <c r="G1348" s="385"/>
      <c r="H1348" s="9"/>
      <c r="I1348" s="85"/>
      <c r="J1348" s="9"/>
      <c r="K1348" s="9"/>
      <c r="L1348" s="9"/>
      <c r="M1348" s="9"/>
      <c r="N1348" s="9"/>
      <c r="O1348" s="9"/>
      <c r="P1348" s="9"/>
      <c r="Q1348" s="9"/>
      <c r="R1348" s="9"/>
      <c r="S1348" s="61"/>
    </row>
    <row r="1349" spans="1:21" x14ac:dyDescent="0.2">
      <c r="A1349" s="54"/>
      <c r="B1349" s="9"/>
      <c r="E1349" s="144"/>
      <c r="F1349" s="469"/>
      <c r="G1349" s="385"/>
      <c r="H1349" s="9"/>
      <c r="I1349" s="85"/>
      <c r="J1349" s="9"/>
      <c r="K1349" s="9"/>
      <c r="L1349" s="9"/>
      <c r="M1349" s="9"/>
      <c r="N1349" s="9"/>
      <c r="O1349" s="9"/>
      <c r="P1349" s="9"/>
      <c r="Q1349" s="9"/>
      <c r="R1349" s="9"/>
      <c r="S1349" s="61"/>
    </row>
    <row r="1350" spans="1:21" x14ac:dyDescent="0.2">
      <c r="A1350" s="54"/>
      <c r="B1350" s="9"/>
      <c r="E1350" s="144"/>
      <c r="F1350" s="469"/>
      <c r="G1350" s="419" t="s">
        <v>152</v>
      </c>
      <c r="H1350" s="9"/>
      <c r="I1350" s="85"/>
      <c r="J1350" s="9"/>
      <c r="K1350" s="9"/>
      <c r="L1350" s="9"/>
      <c r="M1350" s="9"/>
      <c r="N1350" s="9"/>
      <c r="O1350" s="9"/>
      <c r="P1350" s="9"/>
      <c r="Q1350" s="9"/>
      <c r="R1350" s="9"/>
      <c r="S1350" s="61"/>
    </row>
    <row r="1351" spans="1:21" x14ac:dyDescent="0.2">
      <c r="A1351" s="54">
        <v>8600</v>
      </c>
      <c r="B1351" s="9">
        <v>11500</v>
      </c>
      <c r="C1351" s="136">
        <v>3300</v>
      </c>
      <c r="D1351" s="136">
        <v>4700</v>
      </c>
      <c r="E1351" s="144">
        <v>12100</v>
      </c>
      <c r="F1351" s="469" t="s">
        <v>872</v>
      </c>
      <c r="G1351" s="385" t="s">
        <v>1588</v>
      </c>
      <c r="H1351" s="9">
        <v>10000</v>
      </c>
      <c r="I1351" s="85">
        <f t="shared" ref="I1351:I1357" si="2023">IF(E1351=H1351,0,IF(E1351=0,100,(H1351-E1351)/E1351*100))</f>
        <v>-17.355371900826448</v>
      </c>
      <c r="J1351" s="9">
        <f>ROUNDUP(H1351+(H1351*Assumptions!I$5),-2)</f>
        <v>10300</v>
      </c>
      <c r="K1351" s="9">
        <f>ROUNDUP(J1351+(J1351*Assumptions!J$5),-2)</f>
        <v>10600</v>
      </c>
      <c r="L1351" s="9">
        <f>ROUNDUP(K1351+(K1351*Assumptions!K$5),-2)</f>
        <v>10900</v>
      </c>
      <c r="M1351" s="9">
        <f>ROUNDUP(L1351+(L1351*Assumptions!L$5),-2)</f>
        <v>11200</v>
      </c>
      <c r="N1351" s="9">
        <f>ROUNDUP(M1351+(M1351*Assumptions!M$5),-2)</f>
        <v>11500</v>
      </c>
      <c r="O1351" s="9">
        <f>ROUNDUP(N1351+(N1351*Assumptions!N$5),-2)</f>
        <v>11800</v>
      </c>
      <c r="P1351" s="9">
        <f>ROUNDUP(O1351+(O1351*Assumptions!O$5),-2)</f>
        <v>12100</v>
      </c>
      <c r="Q1351" s="9">
        <f>ROUNDUP(P1351+(P1351*Assumptions!P$5),-2)</f>
        <v>12500</v>
      </c>
      <c r="R1351" s="9">
        <f>ROUNDUP(Q1351+(Q1351*Assumptions!Q$5),-2)</f>
        <v>12900</v>
      </c>
      <c r="S1351" s="47">
        <f>ROUNDUP(R1351+(R1351*Assumptions!R$5),-2)</f>
        <v>13300</v>
      </c>
    </row>
    <row r="1352" spans="1:21" x14ac:dyDescent="0.2">
      <c r="A1352" s="54">
        <v>500</v>
      </c>
      <c r="B1352" s="9">
        <v>300</v>
      </c>
      <c r="C1352" s="136">
        <v>500</v>
      </c>
      <c r="D1352" s="136">
        <v>0</v>
      </c>
      <c r="E1352" s="144">
        <v>200</v>
      </c>
      <c r="F1352" s="769" t="s">
        <v>3009</v>
      </c>
      <c r="G1352" s="661" t="s">
        <v>3010</v>
      </c>
      <c r="H1352" s="9">
        <v>1000</v>
      </c>
      <c r="I1352" s="85">
        <f t="shared" si="2023"/>
        <v>400</v>
      </c>
      <c r="J1352" s="9">
        <f>ROUNDUP(H1352+(H1352*Assumptions!I$5),-2)</f>
        <v>1100</v>
      </c>
      <c r="K1352" s="9">
        <f>ROUNDUP(J1352+(J1352*Assumptions!J$5),-2)</f>
        <v>1200</v>
      </c>
      <c r="L1352" s="9">
        <f>ROUNDUP(K1352+(K1352*Assumptions!K$5),-2)</f>
        <v>1300</v>
      </c>
      <c r="M1352" s="9">
        <f>ROUNDUP(L1352+(L1352*Assumptions!L$5),-2)</f>
        <v>1400</v>
      </c>
      <c r="N1352" s="9">
        <f>ROUNDUP(M1352+(M1352*Assumptions!M$5),-2)</f>
        <v>1500</v>
      </c>
      <c r="O1352" s="9">
        <f>ROUNDUP(N1352+(N1352*Assumptions!N$5),-2)</f>
        <v>1600</v>
      </c>
      <c r="P1352" s="9">
        <f>ROUNDUP(O1352+(O1352*Assumptions!O$5),-2)</f>
        <v>1700</v>
      </c>
      <c r="Q1352" s="9">
        <f>ROUNDUP(P1352+(P1352*Assumptions!P$5),-2)</f>
        <v>1800</v>
      </c>
      <c r="R1352" s="9">
        <f>ROUNDUP(Q1352+(Q1352*Assumptions!Q$5),-2)</f>
        <v>1900</v>
      </c>
      <c r="S1352" s="47">
        <f>ROUNDUP(R1352+(R1352*Assumptions!R$5),-2)</f>
        <v>2000</v>
      </c>
    </row>
    <row r="1353" spans="1:21" x14ac:dyDescent="0.2">
      <c r="A1353" s="54">
        <v>10400</v>
      </c>
      <c r="B1353" s="9">
        <v>7500</v>
      </c>
      <c r="C1353" s="136">
        <v>17600</v>
      </c>
      <c r="D1353" s="136">
        <v>10600</v>
      </c>
      <c r="E1353" s="144">
        <v>3400</v>
      </c>
      <c r="F1353" s="469" t="s">
        <v>873</v>
      </c>
      <c r="G1353" s="385" t="s">
        <v>798</v>
      </c>
      <c r="H1353" s="9">
        <v>13000</v>
      </c>
      <c r="I1353" s="85">
        <f t="shared" si="2023"/>
        <v>282.35294117647061</v>
      </c>
      <c r="J1353" s="9">
        <f>ROUNDUP(H1353+(H1353*Assumptions!I$5),-2)</f>
        <v>13300</v>
      </c>
      <c r="K1353" s="9">
        <f>ROUNDUP(J1353+(J1353*Assumptions!J$5),-2)</f>
        <v>13700</v>
      </c>
      <c r="L1353" s="9">
        <f>ROUNDUP(K1353+(K1353*Assumptions!K$5),-2)</f>
        <v>14100</v>
      </c>
      <c r="M1353" s="9">
        <f>ROUNDUP(L1353+(L1353*Assumptions!L$5),-2)</f>
        <v>14500</v>
      </c>
      <c r="N1353" s="9">
        <f>ROUNDUP(M1353+(M1353*Assumptions!M$5),-2)</f>
        <v>14900</v>
      </c>
      <c r="O1353" s="9">
        <f>ROUNDUP(N1353+(N1353*Assumptions!N$5),-2)</f>
        <v>15300</v>
      </c>
      <c r="P1353" s="9">
        <f>ROUNDUP(O1353+(O1353*Assumptions!O$5),-2)</f>
        <v>15700</v>
      </c>
      <c r="Q1353" s="9">
        <f>ROUNDUP(P1353+(P1353*Assumptions!P$5),-2)</f>
        <v>16100</v>
      </c>
      <c r="R1353" s="9">
        <f>ROUNDUP(Q1353+(Q1353*Assumptions!Q$5),-2)</f>
        <v>16600</v>
      </c>
      <c r="S1353" s="47">
        <f>ROUNDUP(R1353+(R1353*Assumptions!R$5),-2)</f>
        <v>17100</v>
      </c>
    </row>
    <row r="1354" spans="1:21" x14ac:dyDescent="0.2">
      <c r="A1354" s="54">
        <v>700</v>
      </c>
      <c r="B1354" s="9">
        <v>300</v>
      </c>
      <c r="C1354" s="136">
        <v>900</v>
      </c>
      <c r="D1354" s="136">
        <v>10000</v>
      </c>
      <c r="E1354" s="144">
        <v>0</v>
      </c>
      <c r="F1354" s="469" t="s">
        <v>581</v>
      </c>
      <c r="G1354" s="385" t="s">
        <v>1353</v>
      </c>
      <c r="H1354" s="9">
        <v>11000</v>
      </c>
      <c r="I1354" s="85">
        <f t="shared" si="2023"/>
        <v>100</v>
      </c>
      <c r="J1354" s="9">
        <f>ROUNDUP(H1354+(H1354*Assumptions!I$5),-2)</f>
        <v>11300</v>
      </c>
      <c r="K1354" s="9">
        <f>ROUNDUP(J1354+(J1354*Assumptions!J$5),-2)</f>
        <v>11600</v>
      </c>
      <c r="L1354" s="9">
        <f>ROUNDUP(K1354+(K1354*Assumptions!K$5),-2)</f>
        <v>11900</v>
      </c>
      <c r="M1354" s="9">
        <f>ROUNDUP(L1354+(L1354*Assumptions!L$5),-2)</f>
        <v>12200</v>
      </c>
      <c r="N1354" s="9">
        <f>ROUNDUP(M1354+(M1354*Assumptions!M$5),-2)</f>
        <v>12600</v>
      </c>
      <c r="O1354" s="9">
        <f>ROUNDUP(N1354+(N1354*Assumptions!N$5),-2)</f>
        <v>13000</v>
      </c>
      <c r="P1354" s="9">
        <f>ROUNDUP(O1354+(O1354*Assumptions!O$5),-2)</f>
        <v>13400</v>
      </c>
      <c r="Q1354" s="9">
        <f>ROUNDUP(P1354+(P1354*Assumptions!P$5),-2)</f>
        <v>13800</v>
      </c>
      <c r="R1354" s="9">
        <f>ROUNDUP(Q1354+(Q1354*Assumptions!Q$5),-2)</f>
        <v>14200</v>
      </c>
      <c r="S1354" s="47">
        <f>ROUNDUP(R1354+(R1354*Assumptions!R$5),-2)</f>
        <v>14600</v>
      </c>
    </row>
    <row r="1355" spans="1:21" x14ac:dyDescent="0.2">
      <c r="A1355" s="54">
        <v>3900</v>
      </c>
      <c r="B1355" s="9">
        <v>2700</v>
      </c>
      <c r="C1355" s="136">
        <v>3400</v>
      </c>
      <c r="D1355" s="136">
        <v>5300</v>
      </c>
      <c r="E1355" s="144">
        <v>5400</v>
      </c>
      <c r="F1355" s="769" t="s">
        <v>40</v>
      </c>
      <c r="G1355" s="385" t="s">
        <v>39</v>
      </c>
      <c r="H1355" s="9">
        <v>1500</v>
      </c>
      <c r="I1355" s="85">
        <f t="shared" si="2023"/>
        <v>-72.222222222222214</v>
      </c>
      <c r="J1355" s="9">
        <f>ROUNDUP(H1355+(H1355*Assumptions!I$5),-2)</f>
        <v>1600</v>
      </c>
      <c r="K1355" s="9">
        <f>ROUNDUP(J1355+(J1355*Assumptions!J$5),-2)</f>
        <v>1700</v>
      </c>
      <c r="L1355" s="9">
        <f>ROUNDUP(K1355+(K1355*Assumptions!K$5),-2)</f>
        <v>1800</v>
      </c>
      <c r="M1355" s="9">
        <f>ROUNDUP(L1355+(L1355*Assumptions!L$5),-2)</f>
        <v>1900</v>
      </c>
      <c r="N1355" s="9">
        <f>ROUNDUP(M1355+(M1355*Assumptions!M$5),-2)</f>
        <v>2000</v>
      </c>
      <c r="O1355" s="9">
        <f>ROUNDUP(N1355+(N1355*Assumptions!N$5),-2)</f>
        <v>2100</v>
      </c>
      <c r="P1355" s="9">
        <f>ROUNDUP(O1355+(O1355*Assumptions!O$5),-2)</f>
        <v>2200</v>
      </c>
      <c r="Q1355" s="9">
        <f>ROUNDUP(P1355+(P1355*Assumptions!P$5),-2)</f>
        <v>2300</v>
      </c>
      <c r="R1355" s="9">
        <f>ROUNDUP(Q1355+(Q1355*Assumptions!Q$5),-2)</f>
        <v>2400</v>
      </c>
      <c r="S1355" s="47">
        <f>ROUNDUP(R1355+(R1355*Assumptions!R$5),-2)</f>
        <v>2500</v>
      </c>
    </row>
    <row r="1356" spans="1:21" x14ac:dyDescent="0.2">
      <c r="A1356" s="54">
        <v>0</v>
      </c>
      <c r="B1356" s="9">
        <v>0</v>
      </c>
      <c r="C1356" s="136">
        <v>0</v>
      </c>
      <c r="D1356" s="136">
        <v>0</v>
      </c>
      <c r="E1356" s="144">
        <v>0</v>
      </c>
      <c r="F1356" s="769" t="s">
        <v>7232</v>
      </c>
      <c r="G1356" s="385" t="s">
        <v>6783</v>
      </c>
      <c r="H1356" s="9">
        <v>1000</v>
      </c>
      <c r="I1356" s="85">
        <f t="shared" si="2023"/>
        <v>100</v>
      </c>
      <c r="J1356" s="9">
        <v>2000</v>
      </c>
      <c r="K1356" s="9">
        <f>ROUNDUP(J1356+(J1356*Assumptions!J$5),-2)</f>
        <v>2100</v>
      </c>
      <c r="L1356" s="9">
        <f>ROUNDUP(K1356+(K1356*Assumptions!K$5),-2)</f>
        <v>2200</v>
      </c>
      <c r="M1356" s="9">
        <f>ROUNDUP(L1356+(L1356*Assumptions!L$5),-2)</f>
        <v>2300</v>
      </c>
      <c r="N1356" s="9">
        <f>ROUNDUP(M1356+(M1356*Assumptions!M$5),-2)</f>
        <v>2400</v>
      </c>
      <c r="O1356" s="9">
        <f>ROUNDUP(N1356+(N1356*Assumptions!N$5),-2)</f>
        <v>2500</v>
      </c>
      <c r="P1356" s="9">
        <f>ROUNDUP(O1356+(O1356*Assumptions!O$5),-2)</f>
        <v>2600</v>
      </c>
      <c r="Q1356" s="9">
        <f>ROUNDUP(P1356+(P1356*Assumptions!P$5),-2)</f>
        <v>2700</v>
      </c>
      <c r="R1356" s="9">
        <f>ROUNDUP(Q1356+(Q1356*Assumptions!Q$5),-2)</f>
        <v>2800</v>
      </c>
      <c r="S1356" s="47">
        <f>ROUNDUP(R1356+(R1356*Assumptions!R$5),-2)</f>
        <v>2900</v>
      </c>
    </row>
    <row r="1357" spans="1:21" x14ac:dyDescent="0.2">
      <c r="A1357" s="54">
        <v>900</v>
      </c>
      <c r="B1357" s="9">
        <v>100</v>
      </c>
      <c r="C1357" s="136">
        <v>700</v>
      </c>
      <c r="D1357" s="136">
        <v>700</v>
      </c>
      <c r="E1357" s="144">
        <v>700</v>
      </c>
      <c r="F1357" s="469" t="s">
        <v>582</v>
      </c>
      <c r="G1357" s="385" t="s">
        <v>4779</v>
      </c>
      <c r="H1357" s="9">
        <v>2000</v>
      </c>
      <c r="I1357" s="85">
        <f t="shared" si="2023"/>
        <v>185.71428571428572</v>
      </c>
      <c r="J1357" s="9">
        <f>ROUNDUP(H1357+(H1357*Assumptions!I$5),-2)</f>
        <v>2100</v>
      </c>
      <c r="K1357" s="9">
        <f>ROUNDUP(J1357+(J1357*Assumptions!J$5),-2)</f>
        <v>2200</v>
      </c>
      <c r="L1357" s="9">
        <f>ROUNDUP(K1357+(K1357*Assumptions!K$5),-2)</f>
        <v>2300</v>
      </c>
      <c r="M1357" s="9">
        <f>ROUNDUP(L1357+(L1357*Assumptions!L$5),-2)</f>
        <v>2400</v>
      </c>
      <c r="N1357" s="9">
        <f>ROUNDUP(M1357+(M1357*Assumptions!M$5),-2)</f>
        <v>2500</v>
      </c>
      <c r="O1357" s="9">
        <f>ROUNDUP(N1357+(N1357*Assumptions!N$5),-2)</f>
        <v>2600</v>
      </c>
      <c r="P1357" s="9">
        <f>ROUNDUP(O1357+(O1357*Assumptions!O$5),-2)</f>
        <v>2700</v>
      </c>
      <c r="Q1357" s="9">
        <f>ROUNDUP(P1357+(P1357*Assumptions!P$5),-2)</f>
        <v>2800</v>
      </c>
      <c r="R1357" s="9">
        <f>ROUNDUP(Q1357+(Q1357*Assumptions!Q$5),-2)</f>
        <v>2900</v>
      </c>
      <c r="S1357" s="47">
        <f>ROUNDUP(R1357+(R1357*Assumptions!R$5),-2)</f>
        <v>3000</v>
      </c>
    </row>
    <row r="1358" spans="1:21" ht="12.75" customHeight="1" x14ac:dyDescent="0.2">
      <c r="A1358" s="2061"/>
      <c r="B1358" s="150"/>
      <c r="C1358" s="150"/>
      <c r="D1358" s="150"/>
      <c r="E1358" s="144"/>
      <c r="F1358" s="150"/>
      <c r="G1358" s="385"/>
      <c r="H1358" s="150"/>
      <c r="I1358" s="1395"/>
      <c r="J1358" s="150"/>
      <c r="K1358" s="150"/>
      <c r="L1358" s="150"/>
      <c r="M1358" s="150"/>
      <c r="N1358" s="150"/>
      <c r="O1358" s="150"/>
      <c r="P1358" s="150"/>
      <c r="Q1358" s="150"/>
      <c r="R1358" s="150"/>
      <c r="S1358" s="2356"/>
    </row>
    <row r="1359" spans="1:21" x14ac:dyDescent="0.2">
      <c r="A1359" s="54"/>
      <c r="B1359" s="9"/>
      <c r="E1359" s="144"/>
      <c r="F1359" s="2065"/>
      <c r="G1359" s="1189" t="s">
        <v>105</v>
      </c>
      <c r="H1359" s="9"/>
      <c r="I1359" s="85"/>
      <c r="J1359" s="9"/>
      <c r="K1359" s="9"/>
      <c r="L1359" s="9"/>
      <c r="M1359" s="9"/>
      <c r="N1359" s="9"/>
      <c r="O1359" s="9"/>
      <c r="P1359" s="9"/>
      <c r="Q1359" s="9"/>
      <c r="R1359" s="9"/>
      <c r="S1359" s="47"/>
    </row>
    <row r="1360" spans="1:21" x14ac:dyDescent="0.2">
      <c r="A1360" s="54">
        <v>6000</v>
      </c>
      <c r="B1360" s="9">
        <v>6700</v>
      </c>
      <c r="C1360" s="136">
        <v>5500</v>
      </c>
      <c r="D1360" s="136">
        <v>5200</v>
      </c>
      <c r="E1360" s="144">
        <v>4800</v>
      </c>
      <c r="F1360" s="469" t="s">
        <v>1907</v>
      </c>
      <c r="G1360" s="385" t="s">
        <v>230</v>
      </c>
      <c r="H1360" s="9">
        <f>5900-1500</f>
        <v>4400</v>
      </c>
      <c r="I1360" s="85">
        <f>IF(E1360=H1360,0,IF(E1360=0,100,(H1360-E1360)/E1360*100))</f>
        <v>-8.3333333333333321</v>
      </c>
      <c r="J1360" s="9">
        <f>ROUNDUP(H1360+(H1360*Assumptions!I$5),-2)</f>
        <v>4600</v>
      </c>
      <c r="K1360" s="9">
        <f>ROUNDUP(J1360+(J1360*Assumptions!J$5),-2)</f>
        <v>4800</v>
      </c>
      <c r="L1360" s="9">
        <f>ROUNDUP(K1360+(K1360*Assumptions!K$5),-2)</f>
        <v>5000</v>
      </c>
      <c r="M1360" s="9">
        <f>ROUNDUP(L1360+(L1360*Assumptions!L$5),-2)</f>
        <v>5200</v>
      </c>
      <c r="N1360" s="9">
        <f>ROUNDUP(M1360+(M1360*Assumptions!M$5),-2)</f>
        <v>5400</v>
      </c>
      <c r="O1360" s="9">
        <f>ROUNDUP(N1360+(N1360*Assumptions!N$5),-2)</f>
        <v>5600</v>
      </c>
      <c r="P1360" s="9">
        <f>ROUNDUP(O1360+(O1360*Assumptions!O$5),-2)</f>
        <v>5800</v>
      </c>
      <c r="Q1360" s="9">
        <f>ROUNDUP(P1360+(P1360*Assumptions!P$5),-2)</f>
        <v>6000</v>
      </c>
      <c r="R1360" s="9">
        <f>ROUNDUP(Q1360+(Q1360*Assumptions!Q$5),-2)</f>
        <v>6200</v>
      </c>
      <c r="S1360" s="47">
        <f>ROUNDUP(R1360+(R1360*Assumptions!R$5),-2)</f>
        <v>6400</v>
      </c>
    </row>
    <row r="1361" spans="1:21" x14ac:dyDescent="0.2">
      <c r="A1361" s="54">
        <v>2300</v>
      </c>
      <c r="B1361" s="9">
        <v>1500</v>
      </c>
      <c r="C1361" s="136">
        <v>4100</v>
      </c>
      <c r="D1361" s="136">
        <v>1200</v>
      </c>
      <c r="E1361" s="144">
        <v>0</v>
      </c>
      <c r="F1361" s="469" t="s">
        <v>1305</v>
      </c>
      <c r="G1361" s="661" t="s">
        <v>105</v>
      </c>
      <c r="H1361" s="9">
        <v>12700</v>
      </c>
      <c r="I1361" s="85">
        <f>IF(E1361=H1361,0,IF(E1361=0,100,(H1361-E1361)/E1361*100))</f>
        <v>100</v>
      </c>
      <c r="J1361" s="9">
        <f>ROUNDUP(H1361+(H1361*Assumptions!I$5),-2)</f>
        <v>13000</v>
      </c>
      <c r="K1361" s="9">
        <f>ROUNDUP(J1361+(J1361*Assumptions!J$5),-2)</f>
        <v>13400</v>
      </c>
      <c r="L1361" s="9">
        <f>ROUNDUP(K1361+(K1361*Assumptions!K$5),-2)</f>
        <v>13800</v>
      </c>
      <c r="M1361" s="9">
        <f>ROUNDUP(L1361+(L1361*Assumptions!L$5),-2)</f>
        <v>14200</v>
      </c>
      <c r="N1361" s="9">
        <f>ROUNDUP(M1361+(M1361*Assumptions!M$5),-2)</f>
        <v>14600</v>
      </c>
      <c r="O1361" s="9">
        <f>ROUNDUP(N1361+(N1361*Assumptions!N$5),-2)</f>
        <v>15000</v>
      </c>
      <c r="P1361" s="9">
        <f>ROUNDUP(O1361+(O1361*Assumptions!O$5),-2)</f>
        <v>15400</v>
      </c>
      <c r="Q1361" s="9">
        <f>ROUNDUP(P1361+(P1361*Assumptions!P$5),-2)</f>
        <v>15800</v>
      </c>
      <c r="R1361" s="9">
        <f>ROUNDUP(Q1361+(Q1361*Assumptions!Q$5),-2)</f>
        <v>16200</v>
      </c>
      <c r="S1361" s="47">
        <f>ROUNDUP(R1361+(R1361*Assumptions!R$5),-2)</f>
        <v>16700</v>
      </c>
    </row>
    <row r="1362" spans="1:21" x14ac:dyDescent="0.2">
      <c r="A1362" s="54">
        <v>0</v>
      </c>
      <c r="B1362" s="9">
        <v>0</v>
      </c>
      <c r="C1362" s="136">
        <v>0</v>
      </c>
      <c r="D1362" s="136">
        <v>18800</v>
      </c>
      <c r="E1362" s="144">
        <v>3000</v>
      </c>
      <c r="F1362" s="769" t="s">
        <v>5374</v>
      </c>
      <c r="G1362" s="385" t="s">
        <v>6695</v>
      </c>
      <c r="H1362" s="9">
        <v>0</v>
      </c>
      <c r="I1362" s="85">
        <f>IF(E1362=H1362,0,IF(E1362=0,100,(H1362-E1362)/E1362*100))</f>
        <v>-100</v>
      </c>
      <c r="J1362" s="9">
        <f>ROUNDUP(H1362+(H1362*Assumptions!I$5),-2)</f>
        <v>0</v>
      </c>
      <c r="K1362" s="9">
        <f>ROUNDUP(J1362+(J1362*Assumptions!J$5),-2)</f>
        <v>0</v>
      </c>
      <c r="L1362" s="9">
        <f>ROUNDUP(K1362+(K1362*Assumptions!K$5),-2)</f>
        <v>0</v>
      </c>
      <c r="M1362" s="9">
        <f>ROUNDUP(L1362+(L1362*Assumptions!L$5),-2)</f>
        <v>0</v>
      </c>
      <c r="N1362" s="9">
        <f>ROUNDUP(M1362+(M1362*Assumptions!M$5),-2)</f>
        <v>0</v>
      </c>
      <c r="O1362" s="9">
        <f>ROUNDUP(N1362+(N1362*Assumptions!N$5),-2)</f>
        <v>0</v>
      </c>
      <c r="P1362" s="9">
        <f>ROUNDUP(O1362+(O1362*Assumptions!O$5),-2)</f>
        <v>0</v>
      </c>
      <c r="Q1362" s="9">
        <f>ROUNDUP(P1362+(P1362*Assumptions!P$5),-2)</f>
        <v>0</v>
      </c>
      <c r="R1362" s="9">
        <f>ROUNDUP(Q1362+(Q1362*Assumptions!Q$5),-2)</f>
        <v>0</v>
      </c>
      <c r="S1362" s="47">
        <f>ROUNDUP(R1362+(R1362*Assumptions!R$5),-2)</f>
        <v>0</v>
      </c>
    </row>
    <row r="1363" spans="1:21" x14ac:dyDescent="0.2">
      <c r="A1363" s="54">
        <v>228900</v>
      </c>
      <c r="B1363" s="9">
        <v>232300</v>
      </c>
      <c r="C1363" s="136">
        <v>261400</v>
      </c>
      <c r="D1363" s="136">
        <v>279400</v>
      </c>
      <c r="E1363" s="144">
        <v>301000</v>
      </c>
      <c r="F1363" s="469" t="s">
        <v>1306</v>
      </c>
      <c r="G1363" s="385" t="s">
        <v>789</v>
      </c>
      <c r="H1363" s="9">
        <v>305000</v>
      </c>
      <c r="I1363" s="85">
        <f>IF(E1363=H1363,0,IF(E1363=0,100,(H1363-E1363)/E1363*100))</f>
        <v>1.3289036544850499</v>
      </c>
      <c r="J1363" s="9">
        <f>ROUNDUP(H1363+(H1363*Assumptions!I$5),-2)</f>
        <v>312100</v>
      </c>
      <c r="K1363" s="9">
        <f>ROUNDUP(J1363+(J1363*Assumptions!J$5),-2)</f>
        <v>320000</v>
      </c>
      <c r="L1363" s="9">
        <f>ROUNDUP(K1363+(K1363*Assumptions!K$5),-2)</f>
        <v>328000</v>
      </c>
      <c r="M1363" s="9">
        <f>ROUNDUP(L1363+(L1363*Assumptions!L$5),-2)</f>
        <v>336200</v>
      </c>
      <c r="N1363" s="9">
        <f>ROUNDUP(M1363+(M1363*Assumptions!M$5),-2)</f>
        <v>344700</v>
      </c>
      <c r="O1363" s="9">
        <f>ROUNDUP(N1363+(N1363*Assumptions!N$5),-2)</f>
        <v>353400</v>
      </c>
      <c r="P1363" s="9">
        <f>ROUNDUP(O1363+(O1363*Assumptions!O$5),-2)</f>
        <v>362300</v>
      </c>
      <c r="Q1363" s="9">
        <f>ROUNDUP(P1363+(P1363*Assumptions!P$5),-2)</f>
        <v>371400</v>
      </c>
      <c r="R1363" s="9">
        <f>ROUNDUP(Q1363+(Q1363*Assumptions!Q$5),-2)</f>
        <v>380700</v>
      </c>
      <c r="S1363" s="47">
        <f>ROUNDUP(R1363+(R1363*Assumptions!R$5),-2)</f>
        <v>390300</v>
      </c>
    </row>
    <row r="1364" spans="1:21" x14ac:dyDescent="0.2">
      <c r="A1364" s="54">
        <v>2500</v>
      </c>
      <c r="B1364" s="9">
        <v>1800</v>
      </c>
      <c r="C1364" s="136">
        <v>2100</v>
      </c>
      <c r="D1364" s="136">
        <v>42500</v>
      </c>
      <c r="E1364" s="144">
        <v>6600</v>
      </c>
      <c r="F1364" s="769" t="s">
        <v>1052</v>
      </c>
      <c r="G1364" s="385" t="s">
        <v>1863</v>
      </c>
      <c r="H1364" s="9">
        <f>3000+3000</f>
        <v>6000</v>
      </c>
      <c r="I1364" s="85">
        <f>IF(E1364=H1364,0,IF(E1364=0,100,(H1364-E1364)/E1364*100))</f>
        <v>-9.0909090909090917</v>
      </c>
      <c r="J1364" s="9">
        <f>ROUNDUP(H1364+(H1364*Assumptions!I$5),-2)</f>
        <v>6200</v>
      </c>
      <c r="K1364" s="9">
        <f>ROUNDUP(J1364+(J1364*Assumptions!J$5),-2)</f>
        <v>6400</v>
      </c>
      <c r="L1364" s="9">
        <f>ROUNDUP(K1364+(K1364*Assumptions!K$5),-2)</f>
        <v>6600</v>
      </c>
      <c r="M1364" s="9">
        <f>ROUNDUP(L1364+(L1364*Assumptions!L$5),-2)</f>
        <v>6800</v>
      </c>
      <c r="N1364" s="9">
        <f>ROUNDUP(M1364+(M1364*Assumptions!M$5),-2)</f>
        <v>7000</v>
      </c>
      <c r="O1364" s="9">
        <f>ROUNDUP(N1364+(N1364*Assumptions!N$5),-2)</f>
        <v>7200</v>
      </c>
      <c r="P1364" s="9">
        <f>ROUNDUP(O1364+(O1364*Assumptions!O$5),-2)</f>
        <v>7400</v>
      </c>
      <c r="Q1364" s="9">
        <f>ROUNDUP(P1364+(P1364*Assumptions!P$5),-2)</f>
        <v>7600</v>
      </c>
      <c r="R1364" s="9">
        <f>ROUNDUP(Q1364+(Q1364*Assumptions!Q$5),-2)</f>
        <v>7800</v>
      </c>
      <c r="S1364" s="47">
        <f>ROUNDUP(R1364+(R1364*Assumptions!R$5),-2)</f>
        <v>8000</v>
      </c>
    </row>
    <row r="1365" spans="1:21" x14ac:dyDescent="0.2">
      <c r="A1365" s="54"/>
      <c r="B1365" s="9"/>
      <c r="E1365" s="144"/>
      <c r="F1365" s="469"/>
      <c r="G1365" s="385"/>
      <c r="H1365" s="9"/>
      <c r="I1365" s="85"/>
      <c r="J1365" s="9"/>
      <c r="K1365" s="9"/>
      <c r="L1365" s="9"/>
      <c r="M1365" s="9"/>
      <c r="N1365" s="9"/>
      <c r="O1365" s="9"/>
      <c r="P1365" s="9"/>
      <c r="Q1365" s="9"/>
      <c r="R1365" s="9"/>
      <c r="S1365" s="47"/>
    </row>
    <row r="1366" spans="1:21" x14ac:dyDescent="0.2">
      <c r="A1366" s="54"/>
      <c r="B1366" s="9"/>
      <c r="E1366" s="144"/>
      <c r="F1366" s="469"/>
      <c r="G1366" s="1189" t="str">
        <f>G101</f>
        <v>Non-Cash Expenses</v>
      </c>
      <c r="H1366" s="9"/>
      <c r="I1366" s="85"/>
      <c r="J1366" s="9"/>
      <c r="K1366" s="9"/>
      <c r="L1366" s="9"/>
      <c r="M1366" s="9"/>
      <c r="N1366" s="9"/>
      <c r="O1366" s="9"/>
      <c r="P1366" s="9"/>
      <c r="Q1366" s="9"/>
      <c r="R1366" s="9"/>
      <c r="S1366" s="47"/>
    </row>
    <row r="1367" spans="1:21" x14ac:dyDescent="0.2">
      <c r="A1367" s="54">
        <v>0</v>
      </c>
      <c r="B1367" s="9">
        <v>0</v>
      </c>
      <c r="C1367" s="136">
        <v>0</v>
      </c>
      <c r="D1367" s="136">
        <v>0</v>
      </c>
      <c r="E1367" s="144">
        <v>0</v>
      </c>
      <c r="F1367" s="469"/>
      <c r="G1367" s="385" t="s">
        <v>2035</v>
      </c>
      <c r="H1367" s="9">
        <v>0</v>
      </c>
      <c r="I1367" s="85">
        <f>IF(E1367=H1367,0,IF(E1367=0,100,(H1367-E1367)/E1367*100))</f>
        <v>0</v>
      </c>
      <c r="J1367" s="9">
        <f>ROUNDUP(H1367+(H1367*Assumptions!I$18),-2)</f>
        <v>0</v>
      </c>
      <c r="K1367" s="9">
        <f>ROUNDUP(J1367+(J1367*Assumptions!J$18),-2)</f>
        <v>0</v>
      </c>
      <c r="L1367" s="9">
        <f>ROUNDUP(K1367+(K1367*Assumptions!K$18),-2)</f>
        <v>0</v>
      </c>
      <c r="M1367" s="9">
        <f>ROUNDUP(L1367+(L1367*Assumptions!L$18),-2)</f>
        <v>0</v>
      </c>
      <c r="N1367" s="9">
        <f>ROUNDUP(M1367+(M1367*Assumptions!M$18),-2)</f>
        <v>0</v>
      </c>
      <c r="O1367" s="9">
        <f>ROUNDUP(N1367+(N1367*Assumptions!N$18),-2)</f>
        <v>0</v>
      </c>
      <c r="P1367" s="9">
        <f>ROUNDUP(O1367+(O1367*Assumptions!O$18),-2)</f>
        <v>0</v>
      </c>
      <c r="Q1367" s="9">
        <f>ROUNDUP(P1367+(P1367*Assumptions!P$18),-2)</f>
        <v>0</v>
      </c>
      <c r="R1367" s="9">
        <f>ROUNDUP(Q1367+(Q1367*Assumptions!Q$18),-2)</f>
        <v>0</v>
      </c>
      <c r="S1367" s="47">
        <f>ROUNDUP(R1367+(R1367*Assumptions!R$18),-2)</f>
        <v>0</v>
      </c>
    </row>
    <row r="1368" spans="1:21" x14ac:dyDescent="0.2">
      <c r="A1368" s="54">
        <v>0</v>
      </c>
      <c r="B1368" s="9">
        <v>38700</v>
      </c>
      <c r="C1368" s="136">
        <v>85000</v>
      </c>
      <c r="D1368" s="136">
        <v>0</v>
      </c>
      <c r="E1368" s="144">
        <v>1675100</v>
      </c>
      <c r="F1368" s="769" t="s">
        <v>7288</v>
      </c>
      <c r="G1368" s="385" t="s">
        <v>5268</v>
      </c>
      <c r="H1368" s="9">
        <v>0</v>
      </c>
      <c r="I1368" s="85">
        <f>IF(E1368=H1368,0,IF(E1368=0,100,(H1368-E1368)/E1368*100))</f>
        <v>-100</v>
      </c>
      <c r="J1368" s="9">
        <f>ROUNDUP(H1368+(H1368*Assumptions!I$5),-2)</f>
        <v>0</v>
      </c>
      <c r="K1368" s="9">
        <f>ROUNDUP(J1368+(J1368*Assumptions!J$5),-2)</f>
        <v>0</v>
      </c>
      <c r="L1368" s="9">
        <f>ROUNDUP(K1368+(K1368*Assumptions!K$5),-2)</f>
        <v>0</v>
      </c>
      <c r="M1368" s="9">
        <f>ROUNDUP(L1368+(L1368*Assumptions!L$5),-2)</f>
        <v>0</v>
      </c>
      <c r="N1368" s="9">
        <f>ROUNDUP(M1368+(M1368*Assumptions!M$5),-2)</f>
        <v>0</v>
      </c>
      <c r="O1368" s="9">
        <f>ROUNDUP(N1368+(N1368*Assumptions!N$5),-2)</f>
        <v>0</v>
      </c>
      <c r="P1368" s="9">
        <f>ROUNDUP(O1368+(O1368*Assumptions!O$5),-2)</f>
        <v>0</v>
      </c>
      <c r="Q1368" s="9">
        <f>ROUNDUP(P1368+(P1368*Assumptions!P$5),-2)</f>
        <v>0</v>
      </c>
      <c r="R1368" s="9">
        <f>ROUNDUP(Q1368+(Q1368*Assumptions!Q$5),-2)</f>
        <v>0</v>
      </c>
      <c r="S1368" s="47">
        <f>ROUNDUP(R1368+(R1368*Assumptions!R$5),-2)</f>
        <v>0</v>
      </c>
    </row>
    <row r="1369" spans="1:21" ht="13.5" thickBot="1" x14ac:dyDescent="0.25">
      <c r="A1369" s="54"/>
      <c r="B1369" s="9"/>
      <c r="C1369" s="134"/>
      <c r="D1369" s="134"/>
      <c r="E1369" s="1442"/>
      <c r="F1369" s="167"/>
      <c r="G1369" s="9"/>
      <c r="H1369" s="9"/>
      <c r="I1369" s="85"/>
      <c r="J1369" s="9"/>
      <c r="K1369" s="9"/>
      <c r="L1369" s="9"/>
      <c r="M1369" s="9"/>
      <c r="N1369" s="9"/>
      <c r="O1369" s="9"/>
      <c r="P1369" s="9"/>
      <c r="Q1369" s="9"/>
      <c r="R1369" s="9"/>
      <c r="S1369" s="61"/>
    </row>
    <row r="1370" spans="1:21" s="39" customFormat="1" x14ac:dyDescent="0.2">
      <c r="A1370" s="52">
        <f>SUM(A1301:A1369)</f>
        <v>2294100</v>
      </c>
      <c r="B1370" s="16">
        <f>SUM(B1301:B1369)</f>
        <v>2379300</v>
      </c>
      <c r="C1370" s="137">
        <f>SUM(C1301:C1369)</f>
        <v>2426800</v>
      </c>
      <c r="D1370" s="137">
        <f>SUM(D1301:D1369)</f>
        <v>2471000</v>
      </c>
      <c r="E1370" s="1443">
        <f>SUM(E1301:E1369)</f>
        <v>4304300</v>
      </c>
      <c r="F1370" s="126"/>
      <c r="G1370" s="267" t="s">
        <v>556</v>
      </c>
      <c r="H1370" s="16">
        <f>SUM(H1301:H1369)</f>
        <v>2789700</v>
      </c>
      <c r="I1370" s="127">
        <f>IF(E1370=H1370,0,IF(E1370=0,100,(H1370-E1370)/E1370*100))</f>
        <v>-35.188067746207281</v>
      </c>
      <c r="J1370" s="16">
        <f t="shared" ref="J1370:S1370" si="2024">SUM(J1301:J1369)</f>
        <v>2792700</v>
      </c>
      <c r="K1370" s="16">
        <f t="shared" si="2024"/>
        <v>2863700</v>
      </c>
      <c r="L1370" s="16">
        <f t="shared" si="2024"/>
        <v>2936300</v>
      </c>
      <c r="M1370" s="16">
        <f t="shared" si="2024"/>
        <v>3010800</v>
      </c>
      <c r="N1370" s="16">
        <f t="shared" si="2024"/>
        <v>3087200</v>
      </c>
      <c r="O1370" s="16">
        <f t="shared" si="2024"/>
        <v>3165300</v>
      </c>
      <c r="P1370" s="16">
        <f t="shared" si="2024"/>
        <v>3245100</v>
      </c>
      <c r="Q1370" s="16">
        <f t="shared" si="2024"/>
        <v>3326900</v>
      </c>
      <c r="R1370" s="16">
        <f t="shared" si="2024"/>
        <v>3400300</v>
      </c>
      <c r="S1370" s="60">
        <f t="shared" si="2024"/>
        <v>3475500</v>
      </c>
      <c r="U1370" s="34"/>
    </row>
    <row r="1371" spans="1:21" x14ac:dyDescent="0.2">
      <c r="A1371" s="54"/>
      <c r="B1371" s="9"/>
      <c r="E1371" s="1442"/>
      <c r="F1371" s="167"/>
      <c r="G1371" s="257"/>
      <c r="H1371" s="9"/>
      <c r="I1371" s="85"/>
      <c r="J1371" s="9"/>
      <c r="K1371" s="9"/>
      <c r="L1371" s="9"/>
      <c r="M1371" s="9"/>
      <c r="N1371" s="9"/>
      <c r="O1371" s="9"/>
      <c r="P1371" s="9"/>
      <c r="Q1371" s="9"/>
      <c r="R1371" s="9"/>
      <c r="S1371" s="61"/>
    </row>
    <row r="1372" spans="1:21" s="39" customFormat="1" x14ac:dyDescent="0.2">
      <c r="A1372" s="24">
        <f>A1299-A1370</f>
        <v>-1905600</v>
      </c>
      <c r="B1372" s="21">
        <f>B1299-B1370</f>
        <v>-1951100</v>
      </c>
      <c r="C1372" s="139">
        <f>C1299-C1370</f>
        <v>-2048400</v>
      </c>
      <c r="D1372" s="139">
        <f>D1299-D1370</f>
        <v>-2091700</v>
      </c>
      <c r="E1372" s="1444">
        <f>E1299-E1370</f>
        <v>-3931500</v>
      </c>
      <c r="F1372" s="173"/>
      <c r="G1372" s="260" t="s">
        <v>1002</v>
      </c>
      <c r="H1372" s="21">
        <f>H1299-H1370</f>
        <v>-2422300</v>
      </c>
      <c r="I1372" s="126">
        <f>IF(E1372=H1372,0,IF(E1372=0,100,(H1372-E1372)/E1372*100))</f>
        <v>-38.387383950146251</v>
      </c>
      <c r="J1372" s="21">
        <f t="shared" ref="J1372:S1372" si="2025">J1299-J1370</f>
        <v>-2417800</v>
      </c>
      <c r="K1372" s="21">
        <f t="shared" si="2025"/>
        <v>-2478700</v>
      </c>
      <c r="L1372" s="21">
        <f t="shared" si="2025"/>
        <v>-2540900</v>
      </c>
      <c r="M1372" s="21">
        <f t="shared" si="2025"/>
        <v>-2605000</v>
      </c>
      <c r="N1372" s="21">
        <f t="shared" si="2025"/>
        <v>-2670600</v>
      </c>
      <c r="O1372" s="21">
        <f t="shared" si="2025"/>
        <v>-2737600</v>
      </c>
      <c r="P1372" s="21">
        <f t="shared" si="2025"/>
        <v>-2806100</v>
      </c>
      <c r="Q1372" s="21">
        <f t="shared" si="2025"/>
        <v>-2876500</v>
      </c>
      <c r="R1372" s="21">
        <f t="shared" si="2025"/>
        <v>-2938100</v>
      </c>
      <c r="S1372" s="86">
        <f t="shared" si="2025"/>
        <v>-3001200</v>
      </c>
      <c r="U1372" s="34"/>
    </row>
    <row r="1373" spans="1:21" x14ac:dyDescent="0.2">
      <c r="A1373" s="54">
        <f t="shared" ref="A1373:B1373" si="2026">A1367</f>
        <v>0</v>
      </c>
      <c r="B1373" s="9">
        <f t="shared" si="2026"/>
        <v>0</v>
      </c>
      <c r="C1373" s="136">
        <f>C1367</f>
        <v>0</v>
      </c>
      <c r="D1373" s="136">
        <f>D1367</f>
        <v>0</v>
      </c>
      <c r="E1373" s="1442">
        <f t="shared" ref="E1373" si="2027">E1367</f>
        <v>0</v>
      </c>
      <c r="F1373" s="167"/>
      <c r="G1373" s="261" t="s">
        <v>1943</v>
      </c>
      <c r="H1373" s="134">
        <f t="shared" ref="H1373:O1373" si="2028">H1367</f>
        <v>0</v>
      </c>
      <c r="I1373" s="85">
        <f>IF(E1373=H1373,0,IF(E1373=0,100,(H1373-E1373)/E1373*100))</f>
        <v>0</v>
      </c>
      <c r="J1373" s="134">
        <f t="shared" si="2028"/>
        <v>0</v>
      </c>
      <c r="K1373" s="134">
        <f t="shared" si="2028"/>
        <v>0</v>
      </c>
      <c r="L1373" s="134">
        <f t="shared" si="2028"/>
        <v>0</v>
      </c>
      <c r="M1373" s="134">
        <f t="shared" si="2028"/>
        <v>0</v>
      </c>
      <c r="N1373" s="134">
        <f t="shared" si="2028"/>
        <v>0</v>
      </c>
      <c r="O1373" s="134">
        <f t="shared" si="2028"/>
        <v>0</v>
      </c>
      <c r="P1373" s="134">
        <f t="shared" ref="P1373:Q1373" si="2029">P1367</f>
        <v>0</v>
      </c>
      <c r="Q1373" s="134">
        <f t="shared" si="2029"/>
        <v>0</v>
      </c>
      <c r="R1373" s="134">
        <f t="shared" ref="R1373" si="2030">R1367</f>
        <v>0</v>
      </c>
      <c r="S1373" s="2359">
        <f t="shared" ref="S1373" si="2031">S1367</f>
        <v>0</v>
      </c>
    </row>
    <row r="1374" spans="1:21" x14ac:dyDescent="0.2">
      <c r="A1374" s="54">
        <f t="shared" ref="A1374:B1374" si="2032">A1368</f>
        <v>0</v>
      </c>
      <c r="B1374" s="9">
        <f t="shared" si="2032"/>
        <v>38700</v>
      </c>
      <c r="C1374" s="136">
        <f>C1368</f>
        <v>85000</v>
      </c>
      <c r="D1374" s="136">
        <f>D1368</f>
        <v>0</v>
      </c>
      <c r="E1374" s="1442">
        <f t="shared" ref="E1374" si="2033">E1368</f>
        <v>1675100</v>
      </c>
      <c r="F1374" s="167"/>
      <c r="G1374" s="261" t="s">
        <v>4454</v>
      </c>
      <c r="H1374" s="134">
        <f t="shared" ref="H1374:O1374" si="2034">H1368</f>
        <v>0</v>
      </c>
      <c r="I1374" s="85">
        <f>IF(E1374=H1374,0,IF(E1374=0,100,(H1374-E1374)/E1374*100))</f>
        <v>-100</v>
      </c>
      <c r="J1374" s="134">
        <f t="shared" si="2034"/>
        <v>0</v>
      </c>
      <c r="K1374" s="134">
        <f t="shared" si="2034"/>
        <v>0</v>
      </c>
      <c r="L1374" s="134">
        <f t="shared" si="2034"/>
        <v>0</v>
      </c>
      <c r="M1374" s="134">
        <f t="shared" si="2034"/>
        <v>0</v>
      </c>
      <c r="N1374" s="134">
        <f t="shared" si="2034"/>
        <v>0</v>
      </c>
      <c r="O1374" s="134">
        <f t="shared" si="2034"/>
        <v>0</v>
      </c>
      <c r="P1374" s="134">
        <f t="shared" ref="P1374:Q1374" si="2035">P1368</f>
        <v>0</v>
      </c>
      <c r="Q1374" s="134">
        <f t="shared" si="2035"/>
        <v>0</v>
      </c>
      <c r="R1374" s="134">
        <f t="shared" ref="R1374" si="2036">R1368</f>
        <v>0</v>
      </c>
      <c r="S1374" s="2359">
        <f t="shared" ref="S1374" si="2037">S1368</f>
        <v>0</v>
      </c>
    </row>
    <row r="1375" spans="1:21" s="39" customFormat="1" x14ac:dyDescent="0.2">
      <c r="A1375" s="128">
        <f t="shared" ref="A1375:B1375" si="2038">A1372+A1373+A1374</f>
        <v>-1905600</v>
      </c>
      <c r="B1375" s="280">
        <f t="shared" si="2038"/>
        <v>-1912400</v>
      </c>
      <c r="C1375" s="281">
        <f>C1372+C1373+C1374</f>
        <v>-1963400</v>
      </c>
      <c r="D1375" s="281">
        <f>D1372+D1373+D1374</f>
        <v>-2091700</v>
      </c>
      <c r="E1375" s="1515">
        <f t="shared" ref="E1375" si="2039">E1372+E1373+E1374</f>
        <v>-2256400</v>
      </c>
      <c r="F1375" s="372"/>
      <c r="G1375" s="363" t="s">
        <v>1659</v>
      </c>
      <c r="H1375" s="529">
        <f t="shared" ref="H1375:O1375" si="2040">H1372+H1373+H1374</f>
        <v>-2422300</v>
      </c>
      <c r="I1375" s="278">
        <f>IF(E1375=H1375,0,IF(E1375=0,100,(H1375-E1375)/E1375*100))</f>
        <v>7.3524197837262895</v>
      </c>
      <c r="J1375" s="529">
        <f t="shared" si="2040"/>
        <v>-2417800</v>
      </c>
      <c r="K1375" s="529">
        <f t="shared" si="2040"/>
        <v>-2478700</v>
      </c>
      <c r="L1375" s="529">
        <f t="shared" si="2040"/>
        <v>-2540900</v>
      </c>
      <c r="M1375" s="529">
        <f t="shared" si="2040"/>
        <v>-2605000</v>
      </c>
      <c r="N1375" s="529">
        <f t="shared" si="2040"/>
        <v>-2670600</v>
      </c>
      <c r="O1375" s="529">
        <f t="shared" si="2040"/>
        <v>-2737600</v>
      </c>
      <c r="P1375" s="529">
        <f t="shared" ref="P1375:Q1375" si="2041">P1372+P1373+P1374</f>
        <v>-2806100</v>
      </c>
      <c r="Q1375" s="529">
        <f t="shared" si="2041"/>
        <v>-2876500</v>
      </c>
      <c r="R1375" s="529">
        <f t="shared" ref="R1375" si="2042">R1372+R1373+R1374</f>
        <v>-2938100</v>
      </c>
      <c r="S1375" s="2410">
        <f t="shared" ref="S1375" si="2043">S1372+S1373+S1374</f>
        <v>-3001200</v>
      </c>
      <c r="U1375" s="34"/>
    </row>
    <row r="1376" spans="1:21" ht="13.5" thickBot="1" x14ac:dyDescent="0.25">
      <c r="A1376" s="544"/>
      <c r="B1376" s="21"/>
      <c r="C1376" s="138"/>
      <c r="D1376" s="138"/>
      <c r="E1376" s="1444"/>
      <c r="F1376" s="167"/>
      <c r="G1376" s="260"/>
      <c r="H1376" s="9"/>
      <c r="I1376" s="126"/>
      <c r="J1376" s="9"/>
      <c r="K1376" s="9"/>
      <c r="L1376" s="9"/>
      <c r="M1376" s="9"/>
      <c r="N1376" s="9"/>
      <c r="O1376" s="9"/>
      <c r="P1376" s="9"/>
      <c r="Q1376" s="9"/>
      <c r="R1376" s="9"/>
      <c r="S1376" s="61"/>
    </row>
    <row r="1377" spans="1:21" x14ac:dyDescent="0.2">
      <c r="A1377" s="52"/>
      <c r="B1377" s="102"/>
      <c r="C1377" s="137"/>
      <c r="D1377" s="137"/>
      <c r="E1377" s="1473"/>
      <c r="F1377" s="2425"/>
      <c r="G1377" s="1083" t="s">
        <v>192</v>
      </c>
      <c r="H1377" s="116"/>
      <c r="I1377" s="127"/>
      <c r="J1377" s="116"/>
      <c r="K1377" s="116"/>
      <c r="L1377" s="116"/>
      <c r="M1377" s="116"/>
      <c r="N1377" s="116"/>
      <c r="O1377" s="116"/>
      <c r="P1377" s="116"/>
      <c r="Q1377" s="116"/>
      <c r="R1377" s="116"/>
      <c r="S1377" s="1015"/>
    </row>
    <row r="1378" spans="1:21" x14ac:dyDescent="0.2">
      <c r="A1378" s="54">
        <v>0</v>
      </c>
      <c r="B1378" s="89">
        <v>0</v>
      </c>
      <c r="C1378" s="136">
        <v>0</v>
      </c>
      <c r="D1378" s="136">
        <v>0</v>
      </c>
      <c r="E1378" s="144">
        <v>0</v>
      </c>
      <c r="F1378" s="167"/>
      <c r="G1378" s="257" t="s">
        <v>2848</v>
      </c>
      <c r="H1378" s="9">
        <v>0</v>
      </c>
      <c r="I1378" s="85">
        <f t="shared" ref="I1378:I1383" si="2044">IF(E1378=H1378,0,IF(E1378=0,100,(H1378-E1378)/E1378*100))</f>
        <v>0</v>
      </c>
      <c r="J1378" s="9">
        <v>0</v>
      </c>
      <c r="K1378" s="9">
        <v>0</v>
      </c>
      <c r="L1378" s="9">
        <v>0</v>
      </c>
      <c r="M1378" s="9">
        <v>0</v>
      </c>
      <c r="N1378" s="9">
        <v>0</v>
      </c>
      <c r="O1378" s="9">
        <v>0</v>
      </c>
      <c r="P1378" s="9">
        <v>0</v>
      </c>
      <c r="Q1378" s="9">
        <v>0</v>
      </c>
      <c r="R1378" s="9">
        <v>0</v>
      </c>
      <c r="S1378" s="61">
        <v>0</v>
      </c>
    </row>
    <row r="1379" spans="1:21" x14ac:dyDescent="0.2">
      <c r="A1379" s="54">
        <v>149500</v>
      </c>
      <c r="B1379" s="89">
        <v>359500</v>
      </c>
      <c r="C1379" s="136">
        <v>507700</v>
      </c>
      <c r="D1379" s="136">
        <f>485200+8100</f>
        <v>493300</v>
      </c>
      <c r="E1379" s="144">
        <f>39800+153600</f>
        <v>193400</v>
      </c>
      <c r="F1379" s="167"/>
      <c r="G1379" s="257" t="s">
        <v>1909</v>
      </c>
      <c r="H1379" s="9">
        <f>SUM('Res-Gen'!H218:H222)+2000</f>
        <v>63000</v>
      </c>
      <c r="I1379" s="85">
        <f t="shared" si="2044"/>
        <v>-67.425025853154082</v>
      </c>
      <c r="J1379" s="9">
        <f>SUM('Res-Gen'!K218:K221)</f>
        <v>0</v>
      </c>
      <c r="K1379" s="9">
        <f>SUM('Res-Gen'!L218:L221)</f>
        <v>0</v>
      </c>
      <c r="L1379" s="9">
        <f>SUM('Res-Gen'!M218:M221)</f>
        <v>0</v>
      </c>
      <c r="M1379" s="9">
        <f>SUM('Res-Gen'!N218:N221)</f>
        <v>0</v>
      </c>
      <c r="N1379" s="9">
        <f>SUM('Res-Gen'!O218:O221)</f>
        <v>0</v>
      </c>
      <c r="O1379" s="9">
        <f>SUM('Res-Gen'!P218:P221)</f>
        <v>0</v>
      </c>
      <c r="P1379" s="9">
        <f>SUM('Res-Gen'!Q218:Q221)</f>
        <v>0</v>
      </c>
      <c r="Q1379" s="9">
        <f>SUM('Res-Gen'!R218:R221)</f>
        <v>0</v>
      </c>
      <c r="R1379" s="9">
        <f>SUM('Res-Gen'!S218:S221)</f>
        <v>0</v>
      </c>
      <c r="S1379" s="47">
        <f>SUM('Res-Gen'!T218:T221)</f>
        <v>0</v>
      </c>
    </row>
    <row r="1380" spans="1:21" x14ac:dyDescent="0.2">
      <c r="A1380" s="54">
        <v>274400</v>
      </c>
      <c r="B1380" s="89">
        <v>437700</v>
      </c>
      <c r="C1380" s="136">
        <v>286900</v>
      </c>
      <c r="D1380" s="136">
        <f>8100+705000</f>
        <v>713100</v>
      </c>
      <c r="E1380" s="144">
        <f>12700+104600</f>
        <v>117300</v>
      </c>
      <c r="F1380" s="167"/>
      <c r="G1380" s="257" t="s">
        <v>2309</v>
      </c>
      <c r="H1380" s="9">
        <f>'Res-Gen'!I81+'Res-Gen'!I219+'Cap-Gen'!AC188+'Res-Gen'!I86+'Res-Gen'!I220</f>
        <v>1117700</v>
      </c>
      <c r="I1380" s="85">
        <f t="shared" si="2044"/>
        <v>852.8559249786872</v>
      </c>
      <c r="J1380" s="9">
        <f>'Res-Gen'!L87+'Res-Gen'!L86</f>
        <v>800000</v>
      </c>
      <c r="K1380" s="9">
        <f>'Res-Gen'!O86</f>
        <v>750000</v>
      </c>
      <c r="L1380" s="9">
        <f>'Res-Gen'!R86</f>
        <v>2100000</v>
      </c>
      <c r="M1380" s="9">
        <f>SUM('Res-Gen'!U218:U219)</f>
        <v>0</v>
      </c>
      <c r="N1380" s="9">
        <f>SUM('Res-Gen'!X218:X219)</f>
        <v>0</v>
      </c>
      <c r="O1380" s="9">
        <f>SUM('Res-Gen'!AA218:AA219)</f>
        <v>0</v>
      </c>
      <c r="P1380" s="9">
        <f>SUM('Res-Gen'!AD218:AD219)</f>
        <v>0</v>
      </c>
      <c r="Q1380" s="9">
        <f>SUM('Res-Gen'!AG218:AG219)</f>
        <v>0</v>
      </c>
      <c r="R1380" s="9">
        <f>SUM('Res-Gen'!AJ218:AJ219)</f>
        <v>0</v>
      </c>
      <c r="S1380" s="61">
        <f>SUM('Res-Gen'!AM218:AM219)</f>
        <v>0</v>
      </c>
    </row>
    <row r="1381" spans="1:21" x14ac:dyDescent="0.2">
      <c r="A1381" s="54">
        <v>0</v>
      </c>
      <c r="B1381" s="89">
        <v>0</v>
      </c>
      <c r="C1381" s="89">
        <v>0</v>
      </c>
      <c r="D1381" s="89">
        <f>SUM('Cap-Gen'!R178:R190)+SUM('Cap-Gen'!T178:T190)</f>
        <v>0</v>
      </c>
      <c r="E1381" s="46">
        <v>89800</v>
      </c>
      <c r="F1381" s="167"/>
      <c r="G1381" s="257" t="s">
        <v>5847</v>
      </c>
      <c r="H1381" s="9">
        <f>+'Cap Inc'!F103+'Cap Inc'!F104+'Cap Inc'!F107</f>
        <v>201500</v>
      </c>
      <c r="I1381" s="85">
        <f t="shared" si="2044"/>
        <v>124.38752783964367</v>
      </c>
      <c r="J1381" s="9">
        <f>SUM('Cap-Gen'!AG178:AI190)</f>
        <v>0</v>
      </c>
      <c r="K1381" s="9">
        <f>SUM('Cap-Gen'!AL178:AN190)</f>
        <v>0</v>
      </c>
      <c r="L1381" s="9">
        <f>SUM('Cap-Gen'!AQ178:AS190)</f>
        <v>0</v>
      </c>
      <c r="M1381" s="9">
        <f>SUM('Cap-Gen'!AV178:AX190)</f>
        <v>0</v>
      </c>
      <c r="N1381" s="9">
        <f>SUM('Cap-Gen'!BA178:BC190)</f>
        <v>0</v>
      </c>
      <c r="O1381" s="9">
        <f>SUM('Cap-Gen'!BF178:BH190)</f>
        <v>0</v>
      </c>
      <c r="P1381" s="9">
        <f>SUM('Cap-Gen'!BK178:BM190)</f>
        <v>0</v>
      </c>
      <c r="Q1381" s="9">
        <f>SUM('Cap-Gen'!BP178:BR190)</f>
        <v>0</v>
      </c>
      <c r="R1381" s="9">
        <f>SUM('Cap-Gen'!BU178:BW190)</f>
        <v>0</v>
      </c>
      <c r="S1381" s="47">
        <f>SUM('Cap-Gen'!BZ178:BZ190)</f>
        <v>0</v>
      </c>
    </row>
    <row r="1382" spans="1:21" x14ac:dyDescent="0.2">
      <c r="A1382" s="54">
        <v>294800</v>
      </c>
      <c r="B1382" s="89">
        <v>237100</v>
      </c>
      <c r="C1382" s="136">
        <v>205200</v>
      </c>
      <c r="D1382" s="136">
        <f>SUM('Cap-Gen'!E178:E191)</f>
        <v>460300</v>
      </c>
      <c r="E1382" s="144">
        <v>210900</v>
      </c>
      <c r="F1382" s="167"/>
      <c r="G1382" s="257" t="s">
        <v>958</v>
      </c>
      <c r="H1382" s="9">
        <f>SUM('Cap-Gen'!G178:G191)</f>
        <v>1388800</v>
      </c>
      <c r="I1382" s="85">
        <f t="shared" si="2044"/>
        <v>558.51114272166899</v>
      </c>
      <c r="J1382" s="9">
        <f>SUM('Cap-Gen'!H178:H191)</f>
        <v>1085000</v>
      </c>
      <c r="K1382" s="9">
        <f>SUM('Cap-Gen'!I178:I191)</f>
        <v>1046000</v>
      </c>
      <c r="L1382" s="9">
        <f>SUM('Cap-Gen'!J178:J191)</f>
        <v>2654000</v>
      </c>
      <c r="M1382" s="9">
        <f>SUM('Cap-Gen'!K178:K191)</f>
        <v>562000</v>
      </c>
      <c r="N1382" s="9">
        <f>SUM('Cap-Gen'!L178:L191)</f>
        <v>570000</v>
      </c>
      <c r="O1382" s="9">
        <f>SUM('Cap-Gen'!M178:M191)</f>
        <v>578000</v>
      </c>
      <c r="P1382" s="9">
        <f>SUM('Cap-Gen'!N178:N191)</f>
        <v>586000</v>
      </c>
      <c r="Q1382" s="9">
        <f>SUM('Cap-Gen'!O178:O191)</f>
        <v>595000</v>
      </c>
      <c r="R1382" s="9">
        <f>SUM('Cap-Gen'!P178:P191)</f>
        <v>604000</v>
      </c>
      <c r="S1382" s="47">
        <f>SUM('Cap-Gen'!Q178:Q191)</f>
        <v>613000</v>
      </c>
    </row>
    <row r="1383" spans="1:21" s="39" customFormat="1" x14ac:dyDescent="0.2">
      <c r="A1383" s="128">
        <f>A1375-A1378-A1379+A1380++A1381-A1382</f>
        <v>-2075500</v>
      </c>
      <c r="B1383" s="266">
        <f>B1375-B1378-B1379+B1380++B1381-B1382</f>
        <v>-2071300</v>
      </c>
      <c r="C1383" s="281">
        <f>C1375-C1378-C1379+C1380++C1381-C1382</f>
        <v>-2389400</v>
      </c>
      <c r="D1383" s="281">
        <f>D1375-D1378-D1379+D1380++D1381-D1382</f>
        <v>-2332200</v>
      </c>
      <c r="E1383" s="1513">
        <f t="shared" ref="E1383" si="2045">E1375-E1378-E1379+E1380++E1381-E1382</f>
        <v>-2453600</v>
      </c>
      <c r="F1383" s="372"/>
      <c r="G1383" s="363" t="s">
        <v>2447</v>
      </c>
      <c r="H1383" s="280">
        <f t="shared" ref="H1383:O1383" si="2046">H1375-H1378-H1379+H1380++H1381-H1382</f>
        <v>-2554900</v>
      </c>
      <c r="I1383" s="278">
        <f t="shared" si="2044"/>
        <v>4.1286273231170529</v>
      </c>
      <c r="J1383" s="280">
        <f t="shared" si="2046"/>
        <v>-2702800</v>
      </c>
      <c r="K1383" s="280">
        <f t="shared" si="2046"/>
        <v>-2774700</v>
      </c>
      <c r="L1383" s="280">
        <f t="shared" si="2046"/>
        <v>-3094900</v>
      </c>
      <c r="M1383" s="280">
        <f t="shared" si="2046"/>
        <v>-3167000</v>
      </c>
      <c r="N1383" s="280">
        <f t="shared" si="2046"/>
        <v>-3240600</v>
      </c>
      <c r="O1383" s="280">
        <f t="shared" si="2046"/>
        <v>-3315600</v>
      </c>
      <c r="P1383" s="280">
        <f t="shared" ref="P1383:Q1383" si="2047">P1375-P1378-P1379+P1380++P1381-P1382</f>
        <v>-3392100</v>
      </c>
      <c r="Q1383" s="280">
        <f t="shared" si="2047"/>
        <v>-3471500</v>
      </c>
      <c r="R1383" s="280">
        <f t="shared" ref="R1383:S1383" si="2048">R1375-R1378-R1379+R1380++R1381-R1382</f>
        <v>-3542100</v>
      </c>
      <c r="S1383" s="282">
        <f t="shared" si="2048"/>
        <v>-3614200</v>
      </c>
      <c r="U1383" s="34"/>
    </row>
    <row r="1384" spans="1:21" ht="13.5" thickBot="1" x14ac:dyDescent="0.25">
      <c r="A1384" s="26"/>
      <c r="B1384" s="81"/>
      <c r="C1384" s="141"/>
      <c r="D1384" s="141"/>
      <c r="E1384" s="1437"/>
      <c r="F1384" s="166"/>
      <c r="G1384" s="259"/>
      <c r="H1384" s="23"/>
      <c r="I1384" s="275"/>
      <c r="J1384" s="23"/>
      <c r="K1384" s="23"/>
      <c r="L1384" s="23"/>
      <c r="M1384" s="23"/>
      <c r="N1384" s="23"/>
      <c r="O1384" s="23"/>
      <c r="P1384" s="23"/>
      <c r="Q1384" s="23"/>
      <c r="R1384" s="23"/>
      <c r="S1384" s="112"/>
    </row>
    <row r="1385" spans="1:21" s="46" customFormat="1" ht="14.25" thickTop="1" thickBot="1" x14ac:dyDescent="0.25">
      <c r="C1385" s="144"/>
      <c r="D1385" s="144"/>
      <c r="E1385" s="144"/>
      <c r="F1385" s="165"/>
      <c r="I1385" s="70"/>
      <c r="U1385" s="34"/>
    </row>
    <row r="1386" spans="1:21" s="38" customFormat="1" ht="18.75" customHeight="1" thickTop="1" thickBot="1" x14ac:dyDescent="0.3">
      <c r="A1386" s="2588" t="s">
        <v>178</v>
      </c>
      <c r="B1386" s="2589"/>
      <c r="C1386" s="2589"/>
      <c r="D1386" s="2589"/>
      <c r="E1386" s="2589"/>
      <c r="F1386" s="2589"/>
      <c r="G1386" s="2589"/>
      <c r="H1386" s="2589"/>
      <c r="I1386" s="2589"/>
      <c r="J1386" s="2589"/>
      <c r="K1386" s="2589"/>
      <c r="L1386" s="2589"/>
      <c r="M1386" s="2589"/>
      <c r="N1386" s="2589"/>
      <c r="O1386" s="2589"/>
      <c r="P1386" s="2589"/>
      <c r="Q1386" s="2589"/>
      <c r="R1386" s="2589"/>
      <c r="S1386" s="2590"/>
      <c r="U1386" s="34"/>
    </row>
    <row r="1387" spans="1:21" s="39" customFormat="1" ht="13.5" thickBot="1" x14ac:dyDescent="0.25">
      <c r="A1387" s="2591" t="s">
        <v>1824</v>
      </c>
      <c r="B1387" s="2577"/>
      <c r="C1387" s="2577"/>
      <c r="D1387" s="2577"/>
      <c r="E1387" s="2592"/>
      <c r="F1387" s="127" t="s">
        <v>2616</v>
      </c>
      <c r="G1387" s="127" t="s">
        <v>2213</v>
      </c>
      <c r="H1387" s="2568" t="s">
        <v>2215</v>
      </c>
      <c r="I1387" s="2568"/>
      <c r="J1387" s="2568"/>
      <c r="K1387" s="2568"/>
      <c r="L1387" s="2568"/>
      <c r="M1387" s="2568"/>
      <c r="N1387" s="2568"/>
      <c r="O1387" s="2568"/>
      <c r="P1387" s="2568"/>
      <c r="Q1387" s="2568"/>
      <c r="R1387" s="2568"/>
      <c r="S1387" s="2607"/>
      <c r="U1387" s="34"/>
    </row>
    <row r="1388" spans="1:21" ht="12.75" customHeight="1" thickBot="1" x14ac:dyDescent="0.25">
      <c r="A1388" s="541" t="str">
        <f>A3</f>
        <v>2012/13</v>
      </c>
      <c r="B1388" s="28" t="str">
        <f>B3</f>
        <v>2013/14</v>
      </c>
      <c r="C1388" s="40" t="str">
        <f>C3</f>
        <v>2014/15</v>
      </c>
      <c r="D1388" s="40" t="str">
        <f>D3</f>
        <v>2015/16</v>
      </c>
      <c r="E1388" s="1445" t="str">
        <f>E3</f>
        <v>2016/17</v>
      </c>
      <c r="F1388" s="162" t="str">
        <f>F1278</f>
        <v>ACCOUNT</v>
      </c>
      <c r="G1388" s="41"/>
      <c r="H1388" s="40" t="str">
        <f>H3</f>
        <v>2017/18</v>
      </c>
      <c r="I1388" s="1258" t="str">
        <f>I1278</f>
        <v>%</v>
      </c>
      <c r="J1388" s="40" t="str">
        <f t="shared" ref="J1388:S1388" si="2049">J3</f>
        <v>2018/19</v>
      </c>
      <c r="K1388" s="40" t="str">
        <f t="shared" si="2049"/>
        <v>2019/20</v>
      </c>
      <c r="L1388" s="40" t="str">
        <f t="shared" si="2049"/>
        <v>2020/21</v>
      </c>
      <c r="M1388" s="40" t="str">
        <f t="shared" si="2049"/>
        <v>2021/22</v>
      </c>
      <c r="N1388" s="40" t="str">
        <f t="shared" si="2049"/>
        <v>2022/23</v>
      </c>
      <c r="O1388" s="40" t="str">
        <f t="shared" si="2049"/>
        <v>2023/24</v>
      </c>
      <c r="P1388" s="40" t="str">
        <f t="shared" si="2049"/>
        <v>2024/25</v>
      </c>
      <c r="Q1388" s="28" t="str">
        <f t="shared" si="2049"/>
        <v>2025/26</v>
      </c>
      <c r="R1388" s="28" t="str">
        <f t="shared" si="2049"/>
        <v>2026/27</v>
      </c>
      <c r="S1388" s="1620" t="str">
        <f t="shared" si="2049"/>
        <v>2027/28</v>
      </c>
    </row>
    <row r="1389" spans="1:21" x14ac:dyDescent="0.2">
      <c r="A1389" s="45"/>
      <c r="B1389" s="9"/>
      <c r="C1389" s="134"/>
      <c r="D1389" s="134"/>
      <c r="E1389" s="1519"/>
      <c r="F1389" s="1152"/>
      <c r="G1389" s="29"/>
      <c r="H1389" s="9"/>
      <c r="I1389" s="85"/>
      <c r="J1389" s="9"/>
      <c r="K1389" s="9"/>
      <c r="L1389" s="9"/>
      <c r="M1389" s="9"/>
      <c r="N1389" s="9"/>
      <c r="O1389" s="9"/>
      <c r="P1389" s="9"/>
      <c r="Q1389" s="9"/>
      <c r="R1389" s="9"/>
      <c r="S1389" s="61"/>
    </row>
    <row r="1390" spans="1:21" x14ac:dyDescent="0.2">
      <c r="A1390" s="45"/>
      <c r="B1390" s="9"/>
      <c r="C1390" s="134"/>
      <c r="D1390" s="134"/>
      <c r="E1390" s="1442"/>
      <c r="F1390" s="167"/>
      <c r="G1390" s="256" t="s">
        <v>1056</v>
      </c>
      <c r="H1390" s="9"/>
      <c r="I1390" s="85"/>
      <c r="J1390" s="9"/>
      <c r="K1390" s="9"/>
      <c r="L1390" s="9"/>
      <c r="M1390" s="9"/>
      <c r="N1390" s="9"/>
      <c r="O1390" s="9"/>
      <c r="P1390" s="9"/>
      <c r="Q1390" s="9"/>
      <c r="R1390" s="9"/>
      <c r="S1390" s="61"/>
    </row>
    <row r="1391" spans="1:21" x14ac:dyDescent="0.2">
      <c r="A1391" s="45"/>
      <c r="B1391" s="9"/>
      <c r="E1391" s="1442"/>
      <c r="F1391" s="167"/>
      <c r="G1391" s="63" t="s">
        <v>677</v>
      </c>
      <c r="H1391" s="9"/>
      <c r="I1391" s="85"/>
      <c r="J1391" s="9"/>
      <c r="K1391" s="9"/>
      <c r="L1391" s="9"/>
      <c r="M1391" s="9"/>
      <c r="N1391" s="9"/>
      <c r="O1391" s="9"/>
      <c r="P1391" s="9"/>
      <c r="Q1391" s="9"/>
      <c r="R1391" s="9"/>
      <c r="S1391" s="61"/>
    </row>
    <row r="1392" spans="1:21" x14ac:dyDescent="0.2">
      <c r="A1392" s="54">
        <f>33500+20000+47100+47500</f>
        <v>148100</v>
      </c>
      <c r="B1392" s="9">
        <f>31600+22500+39000</f>
        <v>93100</v>
      </c>
      <c r="C1392" s="136">
        <v>18100</v>
      </c>
      <c r="D1392" s="136">
        <f>ROUNDUP(C1392+(C1392*Assumptions!F$5),-2)</f>
        <v>18600</v>
      </c>
      <c r="E1392" s="1442">
        <v>400</v>
      </c>
      <c r="F1392" s="469" t="s">
        <v>1383</v>
      </c>
      <c r="G1392" s="79" t="s">
        <v>1287</v>
      </c>
      <c r="H1392" s="9">
        <v>0</v>
      </c>
      <c r="I1392" s="85">
        <f t="shared" ref="I1392:I1401" si="2050">IF(E1392=H1392,0,IF(E1392=0,100,(H1392-E1392)/E1392*100))</f>
        <v>-100</v>
      </c>
      <c r="J1392" s="9">
        <f>ROUNDUP(H1392+(H1392*Assumptions!I$5),-2)</f>
        <v>0</v>
      </c>
      <c r="K1392" s="9">
        <f>ROUNDUP(J1392+(J1392*Assumptions!J$5),-2)</f>
        <v>0</v>
      </c>
      <c r="L1392" s="9">
        <f>ROUNDUP(K1392+(K1392*Assumptions!K$5),-2)</f>
        <v>0</v>
      </c>
      <c r="M1392" s="9">
        <f>ROUNDUP(L1392+(L1392*Assumptions!L$5),-2)</f>
        <v>0</v>
      </c>
      <c r="N1392" s="9">
        <f>ROUNDUP(M1392+(M1392*Assumptions!M$5),-2)</f>
        <v>0</v>
      </c>
      <c r="O1392" s="9">
        <f>ROUNDUP(N1392+(N1392*Assumptions!N$5),-2)</f>
        <v>0</v>
      </c>
      <c r="P1392" s="9">
        <f>ROUNDUP(O1392+(O1392*Assumptions!O$5),-2)</f>
        <v>0</v>
      </c>
      <c r="Q1392" s="9">
        <f>ROUNDUP(P1392+(P1392*Assumptions!P$5),-2)</f>
        <v>0</v>
      </c>
      <c r="R1392" s="9">
        <f>ROUNDUP(Q1392+(Q1392*Assumptions!Q$5),-2)</f>
        <v>0</v>
      </c>
      <c r="S1392" s="47">
        <f>ROUNDUP(R1392+(R1392*Assumptions!R$5),-2)</f>
        <v>0</v>
      </c>
    </row>
    <row r="1393" spans="1:21" x14ac:dyDescent="0.2">
      <c r="A1393" s="54">
        <v>0</v>
      </c>
      <c r="B1393" s="9">
        <v>0</v>
      </c>
      <c r="C1393" s="136">
        <v>0</v>
      </c>
      <c r="D1393" s="136">
        <v>0</v>
      </c>
      <c r="E1393" s="1442">
        <v>0</v>
      </c>
      <c r="F1393" s="769" t="s">
        <v>11876</v>
      </c>
      <c r="G1393" s="2427" t="s">
        <v>11877</v>
      </c>
      <c r="H1393" s="9">
        <v>40000</v>
      </c>
      <c r="I1393" s="85">
        <f t="shared" ref="I1393" si="2051">IF(E1393=H1393,0,IF(E1393=0,100,(H1393-E1393)/E1393*100))</f>
        <v>100</v>
      </c>
      <c r="J1393" s="9">
        <v>0</v>
      </c>
      <c r="K1393" s="9">
        <f>ROUNDUP(J1393+(J1393*Assumptions!J$5),-2)</f>
        <v>0</v>
      </c>
      <c r="L1393" s="9">
        <f>ROUNDUP(K1393+(K1393*Assumptions!K$5),-2)</f>
        <v>0</v>
      </c>
      <c r="M1393" s="9">
        <f>ROUNDUP(L1393+(L1393*Assumptions!L$5),-2)</f>
        <v>0</v>
      </c>
      <c r="N1393" s="9">
        <f>ROUNDUP(M1393+(M1393*Assumptions!M$5),-2)</f>
        <v>0</v>
      </c>
      <c r="O1393" s="9">
        <f>ROUNDUP(N1393+(N1393*Assumptions!N$5),-2)</f>
        <v>0</v>
      </c>
      <c r="P1393" s="9">
        <f>ROUNDUP(O1393+(O1393*Assumptions!O$5),-2)</f>
        <v>0</v>
      </c>
      <c r="Q1393" s="9">
        <f>ROUNDUP(P1393+(P1393*Assumptions!P$5),-2)</f>
        <v>0</v>
      </c>
      <c r="R1393" s="9">
        <f>ROUNDUP(Q1393+(Q1393*Assumptions!Q$5),-2)</f>
        <v>0</v>
      </c>
      <c r="S1393" s="47">
        <f>ROUNDUP(R1393+(R1393*Assumptions!R$5),-2)</f>
        <v>0</v>
      </c>
    </row>
    <row r="1394" spans="1:21" x14ac:dyDescent="0.2">
      <c r="A1394" s="54">
        <v>3600</v>
      </c>
      <c r="B1394" s="9">
        <v>43400</v>
      </c>
      <c r="C1394" s="136">
        <v>39000</v>
      </c>
      <c r="D1394" s="136">
        <v>33000</v>
      </c>
      <c r="E1394" s="1442">
        <v>0</v>
      </c>
      <c r="F1394" s="469" t="s">
        <v>2735</v>
      </c>
      <c r="G1394" s="79" t="s">
        <v>3808</v>
      </c>
      <c r="H1394" s="9">
        <v>0</v>
      </c>
      <c r="I1394" s="85">
        <f t="shared" si="2050"/>
        <v>0</v>
      </c>
      <c r="J1394" s="9">
        <f>ROUNDUP(H1394+(H1394*Assumptions!I$5),-2)</f>
        <v>0</v>
      </c>
      <c r="K1394" s="9">
        <f>ROUNDUP(J1394+(J1394*Assumptions!J$5),-2)</f>
        <v>0</v>
      </c>
      <c r="L1394" s="9">
        <f>ROUNDUP(K1394+(K1394*Assumptions!K$5),-2)</f>
        <v>0</v>
      </c>
      <c r="M1394" s="9">
        <f>ROUNDUP(L1394+(L1394*Assumptions!L$5),-2)</f>
        <v>0</v>
      </c>
      <c r="N1394" s="9">
        <f>ROUNDUP(M1394+(M1394*Assumptions!M$5),-2)</f>
        <v>0</v>
      </c>
      <c r="O1394" s="9">
        <f>ROUNDUP(N1394+(N1394*Assumptions!N$5),-2)</f>
        <v>0</v>
      </c>
      <c r="P1394" s="9">
        <f>ROUNDUP(O1394+(O1394*Assumptions!O$5),-2)</f>
        <v>0</v>
      </c>
      <c r="Q1394" s="9">
        <f>ROUNDUP(P1394+(P1394*Assumptions!P$5),-2)</f>
        <v>0</v>
      </c>
      <c r="R1394" s="9">
        <f>ROUNDUP(Q1394+(Q1394*Assumptions!Q$5),-2)</f>
        <v>0</v>
      </c>
      <c r="S1394" s="47">
        <f>ROUNDUP(R1394+(R1394*Assumptions!R$5),-2)</f>
        <v>0</v>
      </c>
    </row>
    <row r="1395" spans="1:21" x14ac:dyDescent="0.2">
      <c r="A1395" s="54">
        <v>0</v>
      </c>
      <c r="B1395" s="9">
        <v>0</v>
      </c>
      <c r="C1395" s="136">
        <v>38000</v>
      </c>
      <c r="D1395" s="136">
        <v>5000</v>
      </c>
      <c r="E1395" s="1442">
        <v>0</v>
      </c>
      <c r="F1395" s="769" t="s">
        <v>4179</v>
      </c>
      <c r="G1395" s="79" t="s">
        <v>4180</v>
      </c>
      <c r="H1395" s="9">
        <v>5000</v>
      </c>
      <c r="I1395" s="85">
        <f t="shared" si="2050"/>
        <v>100</v>
      </c>
      <c r="J1395" s="9">
        <f>ROUNDUP(H1395+(H1395*Assumptions!I$5),-2)</f>
        <v>5200</v>
      </c>
      <c r="K1395" s="9">
        <f>ROUNDUP(J1395+(J1395*Assumptions!J$5),-2)</f>
        <v>5400</v>
      </c>
      <c r="L1395" s="9">
        <f>ROUNDUP(K1395+(K1395*Assumptions!K$5),-2)</f>
        <v>5600</v>
      </c>
      <c r="M1395" s="9">
        <f>ROUNDUP(L1395+(L1395*Assumptions!L$5),-2)</f>
        <v>5800</v>
      </c>
      <c r="N1395" s="9">
        <f>ROUNDUP(M1395+(M1395*Assumptions!M$5),-2)</f>
        <v>6000</v>
      </c>
      <c r="O1395" s="9">
        <f>ROUNDUP(N1395+(N1395*Assumptions!N$5),-2)</f>
        <v>6200</v>
      </c>
      <c r="P1395" s="9">
        <f>ROUNDUP(O1395+(O1395*Assumptions!O$5),-2)</f>
        <v>6400</v>
      </c>
      <c r="Q1395" s="9">
        <f>ROUNDUP(P1395+(P1395*Assumptions!P$5),-2)</f>
        <v>6600</v>
      </c>
      <c r="R1395" s="9">
        <f>ROUNDUP(Q1395+(Q1395*Assumptions!Q$5),-2)</f>
        <v>6800</v>
      </c>
      <c r="S1395" s="47">
        <f>ROUNDUP(R1395+(R1395*Assumptions!R$5),-2)</f>
        <v>7000</v>
      </c>
    </row>
    <row r="1396" spans="1:21" x14ac:dyDescent="0.2">
      <c r="A1396" s="54">
        <v>0</v>
      </c>
      <c r="B1396" s="9">
        <v>0</v>
      </c>
      <c r="C1396" s="136">
        <v>0</v>
      </c>
      <c r="D1396" s="136">
        <v>49000</v>
      </c>
      <c r="E1396" s="1442">
        <v>0</v>
      </c>
      <c r="F1396" s="769" t="s">
        <v>5399</v>
      </c>
      <c r="G1396" s="79" t="s">
        <v>5400</v>
      </c>
      <c r="H1396" s="9">
        <v>0</v>
      </c>
      <c r="I1396" s="85">
        <f t="shared" si="2050"/>
        <v>0</v>
      </c>
      <c r="J1396" s="9">
        <f>ROUNDUP(H1396+(H1396*Assumptions!I$5),-2)</f>
        <v>0</v>
      </c>
      <c r="K1396" s="9">
        <f>ROUNDUP(J1396+(J1396*Assumptions!J$5),-2)</f>
        <v>0</v>
      </c>
      <c r="L1396" s="9">
        <f>ROUNDUP(K1396+(K1396*Assumptions!K$5),-2)</f>
        <v>0</v>
      </c>
      <c r="M1396" s="9">
        <f>ROUNDUP(L1396+(L1396*Assumptions!L$5),-2)</f>
        <v>0</v>
      </c>
      <c r="N1396" s="9">
        <f>ROUNDUP(M1396+(M1396*Assumptions!M$5),-2)</f>
        <v>0</v>
      </c>
      <c r="O1396" s="9">
        <f>ROUNDUP(N1396+(N1396*Assumptions!N$5),-2)</f>
        <v>0</v>
      </c>
      <c r="P1396" s="9">
        <f>ROUNDUP(O1396+(O1396*Assumptions!O$5),-2)</f>
        <v>0</v>
      </c>
      <c r="Q1396" s="9">
        <f>ROUNDUP(P1396+(P1396*Assumptions!P$5),-2)</f>
        <v>0</v>
      </c>
      <c r="R1396" s="9">
        <f>ROUNDUP(Q1396+(Q1396*Assumptions!Q$5),-2)</f>
        <v>0</v>
      </c>
      <c r="S1396" s="47">
        <f>ROUNDUP(R1396+(R1396*Assumptions!R$5),-2)</f>
        <v>0</v>
      </c>
    </row>
    <row r="1397" spans="1:21" x14ac:dyDescent="0.2">
      <c r="A1397" s="54">
        <v>0</v>
      </c>
      <c r="B1397" s="9">
        <v>0</v>
      </c>
      <c r="C1397" s="136">
        <v>0</v>
      </c>
      <c r="D1397" s="136">
        <v>28800</v>
      </c>
      <c r="E1397" s="1442">
        <v>28300</v>
      </c>
      <c r="F1397" s="769" t="s">
        <v>5802</v>
      </c>
      <c r="G1397" s="79" t="s">
        <v>5803</v>
      </c>
      <c r="H1397" s="9">
        <v>0</v>
      </c>
      <c r="I1397" s="85">
        <f t="shared" si="2050"/>
        <v>-100</v>
      </c>
      <c r="J1397" s="9">
        <f>ROUNDUP(H1397+(H1397*Assumptions!I$5),-2)</f>
        <v>0</v>
      </c>
      <c r="K1397" s="9">
        <f>ROUNDUP(J1397+(J1397*Assumptions!J$5),-2)</f>
        <v>0</v>
      </c>
      <c r="L1397" s="9">
        <f>ROUNDUP(K1397+(K1397*Assumptions!K$5),-2)</f>
        <v>0</v>
      </c>
      <c r="M1397" s="9">
        <f>ROUNDUP(L1397+(L1397*Assumptions!L$5),-2)</f>
        <v>0</v>
      </c>
      <c r="N1397" s="9">
        <f>ROUNDUP(M1397+(M1397*Assumptions!M$5),-2)</f>
        <v>0</v>
      </c>
      <c r="O1397" s="9">
        <f>ROUNDUP(N1397+(N1397*Assumptions!N$5),-2)</f>
        <v>0</v>
      </c>
      <c r="P1397" s="9">
        <f>ROUNDUP(O1397+(O1397*Assumptions!O$5),-2)</f>
        <v>0</v>
      </c>
      <c r="Q1397" s="9">
        <f>ROUNDUP(P1397+(P1397*Assumptions!P$5),-2)</f>
        <v>0</v>
      </c>
      <c r="R1397" s="9">
        <f>ROUNDUP(Q1397+(Q1397*Assumptions!Q$5),-2)</f>
        <v>0</v>
      </c>
      <c r="S1397" s="47">
        <f>ROUNDUP(R1397+(R1397*Assumptions!R$5),-2)</f>
        <v>0</v>
      </c>
    </row>
    <row r="1398" spans="1:21" x14ac:dyDescent="0.2">
      <c r="A1398" s="54">
        <v>0</v>
      </c>
      <c r="B1398" s="9">
        <v>0</v>
      </c>
      <c r="C1398" s="136">
        <v>0</v>
      </c>
      <c r="D1398" s="136">
        <v>24300</v>
      </c>
      <c r="E1398" s="1442">
        <v>0</v>
      </c>
      <c r="F1398" s="769" t="s">
        <v>5539</v>
      </c>
      <c r="G1398" s="79" t="s">
        <v>5540</v>
      </c>
      <c r="H1398" s="9">
        <v>0</v>
      </c>
      <c r="I1398" s="85">
        <f t="shared" si="2050"/>
        <v>0</v>
      </c>
      <c r="J1398" s="9">
        <f>ROUNDUP(H1398+(H1398*Assumptions!I$5),-2)</f>
        <v>0</v>
      </c>
      <c r="K1398" s="9">
        <f>ROUNDUP(J1398+(J1398*Assumptions!J$5),-2)</f>
        <v>0</v>
      </c>
      <c r="L1398" s="9">
        <f>ROUNDUP(K1398+(K1398*Assumptions!K$5),-2)</f>
        <v>0</v>
      </c>
      <c r="M1398" s="9">
        <f>ROUNDUP(L1398+(L1398*Assumptions!L$5),-2)</f>
        <v>0</v>
      </c>
      <c r="N1398" s="9">
        <f>ROUNDUP(M1398+(M1398*Assumptions!M$5),-2)</f>
        <v>0</v>
      </c>
      <c r="O1398" s="9">
        <f>ROUNDUP(N1398+(N1398*Assumptions!N$5),-2)</f>
        <v>0</v>
      </c>
      <c r="P1398" s="9">
        <f>ROUNDUP(O1398+(O1398*Assumptions!O$5),-2)</f>
        <v>0</v>
      </c>
      <c r="Q1398" s="9">
        <f>ROUNDUP(P1398+(P1398*Assumptions!P$5),-2)</f>
        <v>0</v>
      </c>
      <c r="R1398" s="9">
        <f>ROUNDUP(Q1398+(Q1398*Assumptions!Q$5),-2)</f>
        <v>0</v>
      </c>
      <c r="S1398" s="47">
        <f>ROUNDUP(R1398+(R1398*Assumptions!R$5),-2)</f>
        <v>0</v>
      </c>
    </row>
    <row r="1399" spans="1:21" x14ac:dyDescent="0.2">
      <c r="A1399" s="54">
        <v>0</v>
      </c>
      <c r="B1399" s="9">
        <v>0</v>
      </c>
      <c r="C1399" s="136">
        <v>0</v>
      </c>
      <c r="D1399" s="136">
        <v>0</v>
      </c>
      <c r="E1399" s="1442">
        <v>20000</v>
      </c>
      <c r="F1399" s="769" t="s">
        <v>6449</v>
      </c>
      <c r="G1399" s="79" t="s">
        <v>6642</v>
      </c>
      <c r="H1399" s="9">
        <v>0</v>
      </c>
      <c r="I1399" s="85">
        <f t="shared" si="2050"/>
        <v>-100</v>
      </c>
      <c r="J1399" s="9">
        <v>0</v>
      </c>
      <c r="K1399" s="9">
        <v>0</v>
      </c>
      <c r="L1399" s="9">
        <v>0</v>
      </c>
      <c r="M1399" s="9">
        <v>0</v>
      </c>
      <c r="N1399" s="9">
        <v>0</v>
      </c>
      <c r="O1399" s="9">
        <v>0</v>
      </c>
      <c r="P1399" s="9">
        <v>0</v>
      </c>
      <c r="Q1399" s="9">
        <v>0</v>
      </c>
      <c r="R1399" s="9">
        <v>0</v>
      </c>
      <c r="S1399" s="47">
        <v>0</v>
      </c>
    </row>
    <row r="1400" spans="1:21" x14ac:dyDescent="0.2">
      <c r="A1400" s="54">
        <v>0</v>
      </c>
      <c r="B1400" s="9">
        <v>0</v>
      </c>
      <c r="C1400" s="136">
        <v>0</v>
      </c>
      <c r="D1400" s="136">
        <v>0</v>
      </c>
      <c r="E1400" s="144">
        <v>4600</v>
      </c>
      <c r="F1400" s="769" t="s">
        <v>6667</v>
      </c>
      <c r="G1400" s="79" t="s">
        <v>6668</v>
      </c>
      <c r="H1400" s="9">
        <v>0</v>
      </c>
      <c r="I1400" s="85">
        <f t="shared" ref="I1400" si="2052">IF(E1400=H1400,0,IF(E1400=0,100,(H1400-E1400)/E1400*100))</f>
        <v>-100</v>
      </c>
      <c r="J1400" s="9">
        <v>0</v>
      </c>
      <c r="K1400" s="9">
        <v>0</v>
      </c>
      <c r="L1400" s="9">
        <v>0</v>
      </c>
      <c r="M1400" s="9">
        <v>0</v>
      </c>
      <c r="N1400" s="9">
        <v>0</v>
      </c>
      <c r="O1400" s="9">
        <v>0</v>
      </c>
      <c r="P1400" s="9">
        <v>0</v>
      </c>
      <c r="Q1400" s="9">
        <v>0</v>
      </c>
      <c r="R1400" s="9">
        <v>0</v>
      </c>
      <c r="S1400" s="47">
        <v>0</v>
      </c>
    </row>
    <row r="1401" spans="1:21" x14ac:dyDescent="0.2">
      <c r="A1401" s="54">
        <v>0</v>
      </c>
      <c r="B1401" s="9">
        <v>0</v>
      </c>
      <c r="C1401" s="136">
        <v>0</v>
      </c>
      <c r="D1401" s="136">
        <v>0</v>
      </c>
      <c r="E1401" s="144">
        <v>0</v>
      </c>
      <c r="F1401" s="769" t="s">
        <v>11903</v>
      </c>
      <c r="G1401" s="2426" t="s">
        <v>11878</v>
      </c>
      <c r="H1401" s="9">
        <v>7700</v>
      </c>
      <c r="I1401" s="85">
        <f t="shared" si="2050"/>
        <v>100</v>
      </c>
      <c r="J1401" s="9">
        <v>0</v>
      </c>
      <c r="K1401" s="9">
        <v>0</v>
      </c>
      <c r="L1401" s="9">
        <v>0</v>
      </c>
      <c r="M1401" s="9">
        <v>0</v>
      </c>
      <c r="N1401" s="9">
        <v>0</v>
      </c>
      <c r="O1401" s="9">
        <v>0</v>
      </c>
      <c r="P1401" s="9">
        <v>0</v>
      </c>
      <c r="Q1401" s="9">
        <v>0</v>
      </c>
      <c r="R1401" s="9">
        <v>0</v>
      </c>
      <c r="S1401" s="47">
        <v>0</v>
      </c>
    </row>
    <row r="1402" spans="1:21" ht="13.5" thickBot="1" x14ac:dyDescent="0.25">
      <c r="A1402" s="54"/>
      <c r="B1402" s="9"/>
      <c r="E1402" s="144"/>
      <c r="F1402" s="167"/>
      <c r="G1402" s="9"/>
      <c r="H1402" s="9"/>
      <c r="I1402" s="85"/>
      <c r="J1402" s="9"/>
      <c r="K1402" s="9"/>
      <c r="L1402" s="9"/>
      <c r="M1402" s="9"/>
      <c r="N1402" s="9"/>
      <c r="O1402" s="9"/>
      <c r="P1402" s="9"/>
      <c r="Q1402" s="9"/>
      <c r="R1402" s="9"/>
      <c r="S1402" s="47"/>
    </row>
    <row r="1403" spans="1:21" s="39" customFormat="1" x14ac:dyDescent="0.2">
      <c r="A1403" s="52">
        <f>SUM(A1390:A1402)</f>
        <v>151700</v>
      </c>
      <c r="B1403" s="16">
        <f>SUM(B1390:B1402)</f>
        <v>136500</v>
      </c>
      <c r="C1403" s="137">
        <f>SUM(C1390:C1402)</f>
        <v>95100</v>
      </c>
      <c r="D1403" s="145">
        <f>SUM(D1390:D1402)</f>
        <v>158700</v>
      </c>
      <c r="E1403" s="1473">
        <f>SUM(E1390:E1402)</f>
        <v>53300</v>
      </c>
      <c r="F1403" s="173"/>
      <c r="G1403" s="267" t="s">
        <v>2561</v>
      </c>
      <c r="H1403" s="16">
        <f t="shared" ref="H1403:Q1403" si="2053">SUM(H1390:H1402)</f>
        <v>52700</v>
      </c>
      <c r="I1403" s="127">
        <f>IF(E1403=H1403,0,IF(E1403=0,100,(H1403-E1403)/E1403*100))</f>
        <v>-1.125703564727955</v>
      </c>
      <c r="J1403" s="16">
        <f t="shared" si="2053"/>
        <v>5200</v>
      </c>
      <c r="K1403" s="16">
        <f t="shared" si="2053"/>
        <v>5400</v>
      </c>
      <c r="L1403" s="16">
        <f t="shared" si="2053"/>
        <v>5600</v>
      </c>
      <c r="M1403" s="16">
        <f t="shared" si="2053"/>
        <v>5800</v>
      </c>
      <c r="N1403" s="16">
        <f t="shared" si="2053"/>
        <v>6000</v>
      </c>
      <c r="O1403" s="16">
        <f t="shared" si="2053"/>
        <v>6200</v>
      </c>
      <c r="P1403" s="16">
        <f t="shared" si="2053"/>
        <v>6400</v>
      </c>
      <c r="Q1403" s="16">
        <f t="shared" si="2053"/>
        <v>6600</v>
      </c>
      <c r="R1403" s="16">
        <f t="shared" ref="R1403" si="2054">SUM(R1390:R1402)</f>
        <v>6800</v>
      </c>
      <c r="S1403" s="2342">
        <f t="shared" ref="S1403" si="2055">SUM(S1390:S1402)</f>
        <v>7000</v>
      </c>
      <c r="U1403" s="34"/>
    </row>
    <row r="1404" spans="1:21" x14ac:dyDescent="0.2">
      <c r="A1404" s="45"/>
      <c r="B1404" s="9"/>
      <c r="D1404" s="134"/>
      <c r="E1404" s="144"/>
      <c r="F1404" s="167"/>
      <c r="G1404" s="21"/>
      <c r="H1404" s="9"/>
      <c r="I1404" s="85"/>
      <c r="J1404" s="9"/>
      <c r="K1404" s="9"/>
      <c r="L1404" s="9"/>
      <c r="M1404" s="9"/>
      <c r="N1404" s="9"/>
      <c r="O1404" s="9"/>
      <c r="P1404" s="9"/>
      <c r="Q1404" s="9"/>
      <c r="R1404" s="9"/>
      <c r="S1404" s="47"/>
    </row>
    <row r="1405" spans="1:21" x14ac:dyDescent="0.2">
      <c r="A1405" s="54"/>
      <c r="B1405" s="9"/>
      <c r="D1405" s="134"/>
      <c r="E1405" s="144"/>
      <c r="F1405" s="167"/>
      <c r="G1405" s="256" t="s">
        <v>2169</v>
      </c>
      <c r="H1405" s="9"/>
      <c r="I1405" s="85"/>
      <c r="J1405" s="9"/>
      <c r="K1405" s="9"/>
      <c r="L1405" s="9"/>
      <c r="M1405" s="9"/>
      <c r="N1405" s="9"/>
      <c r="O1405" s="9"/>
      <c r="P1405" s="9"/>
      <c r="Q1405" s="9"/>
      <c r="R1405" s="9"/>
      <c r="S1405" s="47"/>
    </row>
    <row r="1406" spans="1:21" x14ac:dyDescent="0.2">
      <c r="A1406" s="54"/>
      <c r="B1406" s="9"/>
      <c r="E1406" s="144"/>
      <c r="F1406" s="2065"/>
      <c r="G1406" s="419" t="s">
        <v>164</v>
      </c>
      <c r="H1406" s="9"/>
      <c r="I1406" s="85"/>
      <c r="J1406" s="9"/>
      <c r="K1406" s="9"/>
      <c r="L1406" s="9"/>
      <c r="M1406" s="9"/>
      <c r="N1406" s="9"/>
      <c r="O1406" s="9"/>
      <c r="P1406" s="9"/>
      <c r="Q1406" s="9"/>
      <c r="R1406" s="9"/>
      <c r="S1406" s="47"/>
    </row>
    <row r="1407" spans="1:21" x14ac:dyDescent="0.2">
      <c r="A1407" s="54">
        <v>2800</v>
      </c>
      <c r="B1407" s="9">
        <v>4000</v>
      </c>
      <c r="C1407" s="136">
        <v>3400</v>
      </c>
      <c r="D1407" s="136">
        <v>3000</v>
      </c>
      <c r="E1407" s="144">
        <v>500</v>
      </c>
      <c r="F1407" s="469" t="s">
        <v>2045</v>
      </c>
      <c r="G1407" s="385" t="s">
        <v>2613</v>
      </c>
      <c r="H1407" s="9">
        <v>4000</v>
      </c>
      <c r="I1407" s="85">
        <f>IF(E1407=H1407,0,IF(E1407=0,100,(H1407-E1407)/E1407*100))</f>
        <v>700</v>
      </c>
      <c r="J1407" s="9">
        <f>ROUNDUP(H1407+(H1407*Assumptions!I$5),-2)</f>
        <v>4100</v>
      </c>
      <c r="K1407" s="9">
        <f>ROUNDUP(J1407+(J1407*Assumptions!J$5),-2)</f>
        <v>4300</v>
      </c>
      <c r="L1407" s="9">
        <f>ROUNDUP(K1407+(K1407*Assumptions!K$5),-2)</f>
        <v>4500</v>
      </c>
      <c r="M1407" s="9">
        <f>ROUNDUP(L1407+(L1407*Assumptions!L$5),-2)</f>
        <v>4700</v>
      </c>
      <c r="N1407" s="9">
        <f>ROUNDUP(M1407+(M1407*Assumptions!M$5),-2)</f>
        <v>4900</v>
      </c>
      <c r="O1407" s="9">
        <f>ROUNDUP(N1407+(N1407*Assumptions!N$5),-2)</f>
        <v>5100</v>
      </c>
      <c r="P1407" s="9">
        <f>ROUNDUP(O1407+(O1407*Assumptions!O$5),-2)</f>
        <v>5300</v>
      </c>
      <c r="Q1407" s="9">
        <f>ROUNDUP(P1407+(P1407*Assumptions!P$5),-2)</f>
        <v>5500</v>
      </c>
      <c r="R1407" s="9">
        <f>ROUNDUP(Q1407+(Q1407*Assumptions!Q$5),-2)</f>
        <v>5700</v>
      </c>
      <c r="S1407" s="47">
        <f>ROUNDUP(R1407+(R1407*Assumptions!R$5),-2)</f>
        <v>5900</v>
      </c>
    </row>
    <row r="1408" spans="1:21" x14ac:dyDescent="0.2">
      <c r="A1408" s="54">
        <v>15600</v>
      </c>
      <c r="B1408" s="9">
        <v>23600</v>
      </c>
      <c r="C1408" s="136">
        <v>29900</v>
      </c>
      <c r="D1408" s="136">
        <v>9800</v>
      </c>
      <c r="E1408" s="144">
        <v>28800</v>
      </c>
      <c r="F1408" s="469" t="s">
        <v>2046</v>
      </c>
      <c r="G1408" s="385" t="s">
        <v>753</v>
      </c>
      <c r="H1408" s="9">
        <v>20300</v>
      </c>
      <c r="I1408" s="85">
        <f>IF(E1408=H1408,0,IF(E1408=0,100,(H1408-E1408)/E1408*100))</f>
        <v>-29.513888888888889</v>
      </c>
      <c r="J1408" s="9">
        <f>ROUNDUP(H1408+(H1408*Assumptions!I$5),-2)</f>
        <v>20800</v>
      </c>
      <c r="K1408" s="9">
        <f>ROUNDUP(J1408+(J1408*Assumptions!J$5),-2)</f>
        <v>21400</v>
      </c>
      <c r="L1408" s="9">
        <f>ROUNDUP(K1408+(K1408*Assumptions!K$5),-2)</f>
        <v>22000</v>
      </c>
      <c r="M1408" s="9">
        <f>ROUNDUP(L1408+(L1408*Assumptions!L$5),-2)</f>
        <v>22600</v>
      </c>
      <c r="N1408" s="9">
        <f>ROUNDUP(M1408+(M1408*Assumptions!M$5),-2)</f>
        <v>23200</v>
      </c>
      <c r="O1408" s="9">
        <f>ROUNDUP(N1408+(N1408*Assumptions!N$5),-2)</f>
        <v>23800</v>
      </c>
      <c r="P1408" s="9">
        <f>ROUNDUP(O1408+(O1408*Assumptions!O$5),-2)</f>
        <v>24400</v>
      </c>
      <c r="Q1408" s="9">
        <f>ROUNDUP(P1408+(P1408*Assumptions!P$5),-2)</f>
        <v>25100</v>
      </c>
      <c r="R1408" s="9">
        <f>ROUNDUP(Q1408+(Q1408*Assumptions!Q$5),-2)</f>
        <v>25800</v>
      </c>
      <c r="S1408" s="47">
        <f>ROUNDUP(R1408+(R1408*Assumptions!R$5),-2)</f>
        <v>26500</v>
      </c>
    </row>
    <row r="1409" spans="1:19" x14ac:dyDescent="0.2">
      <c r="A1409" s="54">
        <v>6300</v>
      </c>
      <c r="B1409" s="9">
        <v>400</v>
      </c>
      <c r="C1409" s="136">
        <v>900</v>
      </c>
      <c r="D1409" s="136">
        <v>1400</v>
      </c>
      <c r="E1409" s="144">
        <v>14500</v>
      </c>
      <c r="F1409" s="469" t="s">
        <v>2793</v>
      </c>
      <c r="G1409" s="661" t="s">
        <v>4792</v>
      </c>
      <c r="H1409" s="9">
        <v>6100</v>
      </c>
      <c r="I1409" s="85">
        <f>IF(E1409=H1409,0,IF(E1409=0,100,(H1409-E1409)/E1409*100))</f>
        <v>-57.931034482758626</v>
      </c>
      <c r="J1409" s="9">
        <f>ROUNDUP(H1409+(H1409*Assumptions!I$5),-2)</f>
        <v>6300</v>
      </c>
      <c r="K1409" s="9">
        <f>ROUNDUP(J1409+(J1409*Assumptions!J$5),-2)</f>
        <v>6500</v>
      </c>
      <c r="L1409" s="9">
        <f>ROUNDUP(K1409+(K1409*Assumptions!K$5),-2)</f>
        <v>6700</v>
      </c>
      <c r="M1409" s="9">
        <f>ROUNDUP(L1409+(L1409*Assumptions!L$5),-2)</f>
        <v>6900</v>
      </c>
      <c r="N1409" s="9">
        <f>ROUNDUP(M1409+(M1409*Assumptions!M$5),-2)</f>
        <v>7100</v>
      </c>
      <c r="O1409" s="9">
        <f>ROUNDUP(N1409+(N1409*Assumptions!N$5),-2)</f>
        <v>7300</v>
      </c>
      <c r="P1409" s="9">
        <f>ROUNDUP(O1409+(O1409*Assumptions!O$5),-2)</f>
        <v>7500</v>
      </c>
      <c r="Q1409" s="9">
        <f>ROUNDUP(P1409+(P1409*Assumptions!P$5),-2)</f>
        <v>7700</v>
      </c>
      <c r="R1409" s="9">
        <f>ROUNDUP(Q1409+(Q1409*Assumptions!Q$5),-2)</f>
        <v>7900</v>
      </c>
      <c r="S1409" s="47">
        <f>ROUNDUP(R1409+(R1409*Assumptions!R$5),-2)</f>
        <v>8100</v>
      </c>
    </row>
    <row r="1410" spans="1:19" x14ac:dyDescent="0.2">
      <c r="A1410" s="54">
        <v>6900</v>
      </c>
      <c r="B1410" s="9">
        <v>15900</v>
      </c>
      <c r="C1410" s="136">
        <v>11900</v>
      </c>
      <c r="D1410" s="136">
        <v>34300</v>
      </c>
      <c r="E1410" s="144">
        <v>7500</v>
      </c>
      <c r="F1410" s="469" t="s">
        <v>272</v>
      </c>
      <c r="G1410" s="385" t="s">
        <v>2606</v>
      </c>
      <c r="H1410" s="9">
        <v>18800</v>
      </c>
      <c r="I1410" s="85">
        <f>IF(E1410=H1410,0,IF(E1410=0,100,(H1410-E1410)/E1410*100))</f>
        <v>150.66666666666666</v>
      </c>
      <c r="J1410" s="9">
        <f>ROUNDUP(H1410+(H1410*Assumptions!I$5),-2)</f>
        <v>19300</v>
      </c>
      <c r="K1410" s="9">
        <f>ROUNDUP(J1410+(J1410*Assumptions!J$5),-2)</f>
        <v>19800</v>
      </c>
      <c r="L1410" s="9">
        <f>ROUNDUP(K1410+(K1410*Assumptions!K$5),-2)</f>
        <v>20300</v>
      </c>
      <c r="M1410" s="9">
        <f>ROUNDUP(L1410+(L1410*Assumptions!L$5),-2)</f>
        <v>20900</v>
      </c>
      <c r="N1410" s="9">
        <f>ROUNDUP(M1410+(M1410*Assumptions!M$5),-2)</f>
        <v>21500</v>
      </c>
      <c r="O1410" s="9">
        <f>ROUNDUP(N1410+(N1410*Assumptions!N$5),-2)</f>
        <v>22100</v>
      </c>
      <c r="P1410" s="9">
        <f>ROUNDUP(O1410+(O1410*Assumptions!O$5),-2)</f>
        <v>22700</v>
      </c>
      <c r="Q1410" s="9">
        <f>ROUNDUP(P1410+(P1410*Assumptions!P$5),-2)</f>
        <v>23300</v>
      </c>
      <c r="R1410" s="9">
        <f>ROUNDUP(Q1410+(Q1410*Assumptions!Q$5),-2)</f>
        <v>23900</v>
      </c>
      <c r="S1410" s="47">
        <f>ROUNDUP(R1410+(R1410*Assumptions!R$5),-2)</f>
        <v>24500</v>
      </c>
    </row>
    <row r="1411" spans="1:19" x14ac:dyDescent="0.2">
      <c r="A1411" s="54">
        <v>13700</v>
      </c>
      <c r="B1411" s="9">
        <v>15200</v>
      </c>
      <c r="C1411" s="136">
        <v>13900</v>
      </c>
      <c r="D1411" s="136">
        <v>10900</v>
      </c>
      <c r="E1411" s="144">
        <v>19600</v>
      </c>
      <c r="F1411" s="469" t="s">
        <v>2415</v>
      </c>
      <c r="G1411" s="661" t="s">
        <v>4791</v>
      </c>
      <c r="H1411" s="9">
        <v>10000</v>
      </c>
      <c r="I1411" s="85">
        <f>IF(E1411=H1411,0,IF(E1411=0,100,(H1411-E1411)/E1411*100))</f>
        <v>-48.979591836734691</v>
      </c>
      <c r="J1411" s="9">
        <f>ROUNDUP(H1411+(H1411*Assumptions!I$5),-2)</f>
        <v>10300</v>
      </c>
      <c r="K1411" s="9">
        <f>ROUNDUP(J1411+(J1411*Assumptions!J$5),-2)</f>
        <v>10600</v>
      </c>
      <c r="L1411" s="9">
        <f>ROUNDUP(K1411+(K1411*Assumptions!K$5),-2)</f>
        <v>10900</v>
      </c>
      <c r="M1411" s="9">
        <f>ROUNDUP(L1411+(L1411*Assumptions!L$5),-2)</f>
        <v>11200</v>
      </c>
      <c r="N1411" s="9">
        <f>ROUNDUP(M1411+(M1411*Assumptions!M$5),-2)</f>
        <v>11500</v>
      </c>
      <c r="O1411" s="9">
        <f>ROUNDUP(N1411+(N1411*Assumptions!N$5),-2)</f>
        <v>11800</v>
      </c>
      <c r="P1411" s="9">
        <f>ROUNDUP(O1411+(O1411*Assumptions!O$5),-2)</f>
        <v>12100</v>
      </c>
      <c r="Q1411" s="9">
        <f>ROUNDUP(P1411+(P1411*Assumptions!P$5),-2)</f>
        <v>12500</v>
      </c>
      <c r="R1411" s="9">
        <f>ROUNDUP(Q1411+(Q1411*Assumptions!Q$5),-2)</f>
        <v>12900</v>
      </c>
      <c r="S1411" s="47">
        <f>ROUNDUP(R1411+(R1411*Assumptions!R$5),-2)</f>
        <v>13300</v>
      </c>
    </row>
    <row r="1412" spans="1:19" x14ac:dyDescent="0.2">
      <c r="A1412" s="54"/>
      <c r="B1412" s="9"/>
      <c r="E1412" s="144"/>
      <c r="F1412" s="469"/>
      <c r="G1412" s="419" t="s">
        <v>274</v>
      </c>
      <c r="H1412" s="9"/>
      <c r="I1412" s="85"/>
      <c r="J1412" s="9"/>
      <c r="K1412" s="9"/>
      <c r="L1412" s="9"/>
      <c r="M1412" s="9"/>
      <c r="N1412" s="9"/>
      <c r="O1412" s="9"/>
      <c r="P1412" s="9"/>
      <c r="Q1412" s="9"/>
      <c r="R1412" s="9"/>
      <c r="S1412" s="47"/>
    </row>
    <row r="1413" spans="1:19" x14ac:dyDescent="0.2">
      <c r="A1413" s="54">
        <v>7400</v>
      </c>
      <c r="B1413" s="9">
        <v>200</v>
      </c>
      <c r="C1413" s="136">
        <v>2700</v>
      </c>
      <c r="D1413" s="136">
        <v>0</v>
      </c>
      <c r="E1413" s="144">
        <v>600</v>
      </c>
      <c r="F1413" s="469" t="s">
        <v>1549</v>
      </c>
      <c r="G1413" s="385" t="s">
        <v>394</v>
      </c>
      <c r="H1413" s="9">
        <v>5000</v>
      </c>
      <c r="I1413" s="85">
        <f>IF(E1413=H1413,0,IF(E1413=0,100,(H1413-E1413)/E1413*100))</f>
        <v>733.33333333333326</v>
      </c>
      <c r="J1413" s="9">
        <f>ROUNDUP(H1413+(H1413*Assumptions!I$5),-2)</f>
        <v>5200</v>
      </c>
      <c r="K1413" s="9">
        <f>ROUNDUP(J1413+(J1413*Assumptions!J$5),-2)</f>
        <v>5400</v>
      </c>
      <c r="L1413" s="9">
        <f>ROUNDUP(K1413+(K1413*Assumptions!K$5),-2)</f>
        <v>5600</v>
      </c>
      <c r="M1413" s="9">
        <f>ROUNDUP(L1413+(L1413*Assumptions!L$5),-2)</f>
        <v>5800</v>
      </c>
      <c r="N1413" s="9">
        <f>ROUNDUP(M1413+(M1413*Assumptions!M$5),-2)</f>
        <v>6000</v>
      </c>
      <c r="O1413" s="9">
        <f>ROUNDUP(N1413+(N1413*Assumptions!N$5),-2)</f>
        <v>6200</v>
      </c>
      <c r="P1413" s="9">
        <f>ROUNDUP(O1413+(O1413*Assumptions!O$5),-2)</f>
        <v>6400</v>
      </c>
      <c r="Q1413" s="9">
        <f>ROUNDUP(P1413+(P1413*Assumptions!P$5),-2)</f>
        <v>6600</v>
      </c>
      <c r="R1413" s="9">
        <f>ROUNDUP(Q1413+(Q1413*Assumptions!Q$5),-2)</f>
        <v>6800</v>
      </c>
      <c r="S1413" s="47">
        <f>ROUNDUP(R1413+(R1413*Assumptions!R$5),-2)</f>
        <v>7000</v>
      </c>
    </row>
    <row r="1414" spans="1:19" x14ac:dyDescent="0.2">
      <c r="A1414" s="54">
        <v>800</v>
      </c>
      <c r="B1414" s="9">
        <v>0</v>
      </c>
      <c r="C1414" s="136">
        <v>1700</v>
      </c>
      <c r="D1414" s="136">
        <v>800</v>
      </c>
      <c r="E1414" s="144">
        <v>5000</v>
      </c>
      <c r="F1414" s="469" t="s">
        <v>1550</v>
      </c>
      <c r="G1414" s="385" t="s">
        <v>583</v>
      </c>
      <c r="H1414" s="9">
        <v>1000</v>
      </c>
      <c r="I1414" s="85">
        <f>IF(E1414=H1414,0,IF(E1414=0,100,(H1414-E1414)/E1414*100))</f>
        <v>-80</v>
      </c>
      <c r="J1414" s="9">
        <f>ROUNDUP(H1414+(H1414*Assumptions!I$5),-2)</f>
        <v>1100</v>
      </c>
      <c r="K1414" s="9">
        <f>ROUNDUP(J1414+(J1414*Assumptions!J$5),-2)</f>
        <v>1200</v>
      </c>
      <c r="L1414" s="9">
        <f>ROUNDUP(K1414+(K1414*Assumptions!K$5),-2)</f>
        <v>1300</v>
      </c>
      <c r="M1414" s="9">
        <f>ROUNDUP(L1414+(L1414*Assumptions!L$5),-2)</f>
        <v>1400</v>
      </c>
      <c r="N1414" s="9">
        <f>ROUNDUP(M1414+(M1414*Assumptions!M$5),-2)</f>
        <v>1500</v>
      </c>
      <c r="O1414" s="9">
        <f>ROUNDUP(N1414+(N1414*Assumptions!N$5),-2)</f>
        <v>1600</v>
      </c>
      <c r="P1414" s="9">
        <f>ROUNDUP(O1414+(O1414*Assumptions!O$5),-2)</f>
        <v>1700</v>
      </c>
      <c r="Q1414" s="9">
        <f>ROUNDUP(P1414+(P1414*Assumptions!P$5),-2)</f>
        <v>1800</v>
      </c>
      <c r="R1414" s="9">
        <f>ROUNDUP(Q1414+(Q1414*Assumptions!Q$5),-2)</f>
        <v>1900</v>
      </c>
      <c r="S1414" s="47">
        <f>ROUNDUP(R1414+(R1414*Assumptions!R$5),-2)</f>
        <v>2000</v>
      </c>
    </row>
    <row r="1415" spans="1:19" x14ac:dyDescent="0.2">
      <c r="A1415" s="54">
        <v>700</v>
      </c>
      <c r="B1415" s="9">
        <v>2000</v>
      </c>
      <c r="C1415" s="136">
        <v>300</v>
      </c>
      <c r="D1415" s="136">
        <v>0</v>
      </c>
      <c r="E1415" s="144">
        <v>0</v>
      </c>
      <c r="F1415" s="469" t="s">
        <v>1518</v>
      </c>
      <c r="G1415" s="385" t="s">
        <v>1982</v>
      </c>
      <c r="H1415" s="9">
        <v>600</v>
      </c>
      <c r="I1415" s="85">
        <f>IF(E1415=H1415,0,IF(E1415=0,100,(H1415-E1415)/E1415*100))</f>
        <v>100</v>
      </c>
      <c r="J1415" s="9">
        <f>ROUNDUP(H1415+(H1415*Assumptions!I$5),-2)</f>
        <v>700</v>
      </c>
      <c r="K1415" s="9">
        <f>ROUNDUP(J1415+(J1415*Assumptions!J$5),-2)</f>
        <v>800</v>
      </c>
      <c r="L1415" s="9">
        <f>ROUNDUP(K1415+(K1415*Assumptions!K$5),-2)</f>
        <v>900</v>
      </c>
      <c r="M1415" s="9">
        <f>ROUNDUP(L1415+(L1415*Assumptions!L$5),-2)</f>
        <v>1000</v>
      </c>
      <c r="N1415" s="9">
        <f>ROUNDUP(M1415+(M1415*Assumptions!M$5),-2)</f>
        <v>1100</v>
      </c>
      <c r="O1415" s="9">
        <f>ROUNDUP(N1415+(N1415*Assumptions!N$5),-2)</f>
        <v>1200</v>
      </c>
      <c r="P1415" s="9">
        <f>ROUNDUP(O1415+(O1415*Assumptions!O$5),-2)</f>
        <v>1300</v>
      </c>
      <c r="Q1415" s="9">
        <f>ROUNDUP(P1415+(P1415*Assumptions!P$5),-2)</f>
        <v>1400</v>
      </c>
      <c r="R1415" s="9">
        <f>ROUNDUP(Q1415+(Q1415*Assumptions!Q$5),-2)</f>
        <v>1500</v>
      </c>
      <c r="S1415" s="47">
        <f>ROUNDUP(R1415+(R1415*Assumptions!R$5),-2)</f>
        <v>1600</v>
      </c>
    </row>
    <row r="1416" spans="1:19" x14ac:dyDescent="0.2">
      <c r="A1416" s="54">
        <v>6900</v>
      </c>
      <c r="B1416" s="9">
        <v>3900</v>
      </c>
      <c r="C1416" s="136">
        <v>8400</v>
      </c>
      <c r="D1416" s="136">
        <v>10200</v>
      </c>
      <c r="E1416" s="144">
        <v>3200</v>
      </c>
      <c r="F1416" s="469" t="s">
        <v>1519</v>
      </c>
      <c r="G1416" s="385" t="s">
        <v>2854</v>
      </c>
      <c r="H1416" s="9">
        <v>4600</v>
      </c>
      <c r="I1416" s="85">
        <f>IF(E1416=H1416,0,IF(E1416=0,100,(H1416-E1416)/E1416*100))</f>
        <v>43.75</v>
      </c>
      <c r="J1416" s="9">
        <f>ROUNDUP(H1416+(H1416*Assumptions!I$5),-2)</f>
        <v>4800</v>
      </c>
      <c r="K1416" s="9">
        <f>ROUNDUP(J1416+(J1416*Assumptions!J$5),-2)</f>
        <v>5000</v>
      </c>
      <c r="L1416" s="9">
        <f>ROUNDUP(K1416+(K1416*Assumptions!K$5),-2)</f>
        <v>5200</v>
      </c>
      <c r="M1416" s="9">
        <f>ROUNDUP(L1416+(L1416*Assumptions!L$5),-2)</f>
        <v>5400</v>
      </c>
      <c r="N1416" s="9">
        <f>ROUNDUP(M1416+(M1416*Assumptions!M$5),-2)</f>
        <v>5600</v>
      </c>
      <c r="O1416" s="9">
        <f>ROUNDUP(N1416+(N1416*Assumptions!N$5),-2)</f>
        <v>5800</v>
      </c>
      <c r="P1416" s="9">
        <f>ROUNDUP(O1416+(O1416*Assumptions!O$5),-2)</f>
        <v>6000</v>
      </c>
      <c r="Q1416" s="9">
        <f>ROUNDUP(P1416+(P1416*Assumptions!P$5),-2)</f>
        <v>6200</v>
      </c>
      <c r="R1416" s="9">
        <f>ROUNDUP(Q1416+(Q1416*Assumptions!Q$5),-2)</f>
        <v>6400</v>
      </c>
      <c r="S1416" s="47">
        <f>ROUNDUP(R1416+(R1416*Assumptions!R$5),-2)</f>
        <v>6600</v>
      </c>
    </row>
    <row r="1417" spans="1:19" x14ac:dyDescent="0.2">
      <c r="A1417" s="54"/>
      <c r="B1417" s="9"/>
      <c r="E1417" s="144"/>
      <c r="F1417" s="469"/>
      <c r="G1417" s="419" t="s">
        <v>1700</v>
      </c>
      <c r="H1417" s="9"/>
      <c r="I1417" s="85"/>
      <c r="J1417" s="9"/>
      <c r="K1417" s="9"/>
      <c r="L1417" s="9"/>
      <c r="M1417" s="9"/>
      <c r="N1417" s="9"/>
      <c r="O1417" s="9"/>
      <c r="P1417" s="9"/>
      <c r="Q1417" s="9"/>
      <c r="R1417" s="9"/>
      <c r="S1417" s="47"/>
    </row>
    <row r="1418" spans="1:19" x14ac:dyDescent="0.2">
      <c r="A1418" s="54">
        <v>56000</v>
      </c>
      <c r="B1418" s="9">
        <v>98700</v>
      </c>
      <c r="C1418" s="136">
        <v>101000</v>
      </c>
      <c r="D1418" s="136">
        <v>103400</v>
      </c>
      <c r="E1418" s="144">
        <v>105300</v>
      </c>
      <c r="F1418" s="469" t="s">
        <v>538</v>
      </c>
      <c r="G1418" s="661" t="s">
        <v>6785</v>
      </c>
      <c r="H1418" s="9">
        <v>106900</v>
      </c>
      <c r="I1418" s="85">
        <f>IF(E1418=H1418,0,IF(E1418=0,100,(H1418-E1418)/E1418*100))</f>
        <v>1.5194681861348529</v>
      </c>
      <c r="J1418" s="9">
        <f>ROUNDUP(H1418+(H1418*Assumptions!I$5),-2)</f>
        <v>109400</v>
      </c>
      <c r="K1418" s="9">
        <f>ROUNDUP(J1418+(J1418*Assumptions!J$5),-2)</f>
        <v>112200</v>
      </c>
      <c r="L1418" s="9">
        <f>ROUNDUP(K1418+(K1418*Assumptions!K$5),-2)</f>
        <v>115100</v>
      </c>
      <c r="M1418" s="9">
        <f>ROUNDUP(L1418+(L1418*Assumptions!L$5),-2)</f>
        <v>118000</v>
      </c>
      <c r="N1418" s="9">
        <f>ROUNDUP(M1418+(M1418*Assumptions!M$5),-2)</f>
        <v>121000</v>
      </c>
      <c r="O1418" s="9">
        <f>ROUNDUP(N1418+(N1418*Assumptions!N$5),-2)</f>
        <v>124100</v>
      </c>
      <c r="P1418" s="9">
        <f>ROUNDUP(O1418+(O1418*Assumptions!O$5),-2)</f>
        <v>127300</v>
      </c>
      <c r="Q1418" s="9">
        <f>ROUNDUP(P1418+(P1418*Assumptions!P$5),-2)</f>
        <v>130500</v>
      </c>
      <c r="R1418" s="9">
        <f>ROUNDUP(Q1418+(Q1418*Assumptions!Q$5),-2)</f>
        <v>133800</v>
      </c>
      <c r="S1418" s="47">
        <f>ROUNDUP(R1418+(R1418*Assumptions!R$5),-2)</f>
        <v>137200</v>
      </c>
    </row>
    <row r="1419" spans="1:19" x14ac:dyDescent="0.2">
      <c r="A1419" s="54">
        <v>10000</v>
      </c>
      <c r="B1419" s="9">
        <v>5500</v>
      </c>
      <c r="C1419" s="136">
        <v>9500</v>
      </c>
      <c r="D1419" s="136">
        <v>12600</v>
      </c>
      <c r="E1419" s="144">
        <v>9000</v>
      </c>
      <c r="F1419" s="469" t="s">
        <v>537</v>
      </c>
      <c r="G1419" s="661" t="s">
        <v>2953</v>
      </c>
      <c r="H1419" s="9">
        <v>10200</v>
      </c>
      <c r="I1419" s="85">
        <f>IF(E1419=H1419,0,IF(E1419=0,100,(H1419-E1419)/E1419*100))</f>
        <v>13.333333333333334</v>
      </c>
      <c r="J1419" s="9">
        <f>ROUNDUP(H1419+(H1419*Assumptions!I$5),-2)</f>
        <v>10500</v>
      </c>
      <c r="K1419" s="9">
        <f>ROUNDUP(J1419+(J1419*Assumptions!J$5),-2)</f>
        <v>10800</v>
      </c>
      <c r="L1419" s="9">
        <f>ROUNDUP(K1419+(K1419*Assumptions!K$5),-2)</f>
        <v>11100</v>
      </c>
      <c r="M1419" s="9">
        <f>ROUNDUP(L1419+(L1419*Assumptions!L$5),-2)</f>
        <v>11400</v>
      </c>
      <c r="N1419" s="9">
        <f>ROUNDUP(M1419+(M1419*Assumptions!M$5),-2)</f>
        <v>11700</v>
      </c>
      <c r="O1419" s="9">
        <f>ROUNDUP(N1419+(N1419*Assumptions!N$5),-2)</f>
        <v>12000</v>
      </c>
      <c r="P1419" s="9">
        <f>ROUNDUP(O1419+(O1419*Assumptions!O$5),-2)</f>
        <v>12300</v>
      </c>
      <c r="Q1419" s="9">
        <f>ROUNDUP(P1419+(P1419*Assumptions!P$5),-2)</f>
        <v>12700</v>
      </c>
      <c r="R1419" s="9">
        <f>ROUNDUP(Q1419+(Q1419*Assumptions!Q$5),-2)</f>
        <v>13100</v>
      </c>
      <c r="S1419" s="47">
        <f>ROUNDUP(R1419+(R1419*Assumptions!R$5),-2)</f>
        <v>13500</v>
      </c>
    </row>
    <row r="1420" spans="1:19" x14ac:dyDescent="0.2">
      <c r="A1420" s="54">
        <v>0</v>
      </c>
      <c r="B1420" s="9">
        <v>0</v>
      </c>
      <c r="C1420" s="136">
        <v>0</v>
      </c>
      <c r="D1420" s="136">
        <v>0</v>
      </c>
      <c r="E1420" s="144">
        <v>0</v>
      </c>
      <c r="F1420" s="469" t="s">
        <v>539</v>
      </c>
      <c r="G1420" s="661" t="s">
        <v>4654</v>
      </c>
      <c r="H1420" s="9">
        <v>4000</v>
      </c>
      <c r="I1420" s="85">
        <f>IF(E1420=H1420,0,IF(E1420=0,100,(H1420-E1420)/E1420*100))</f>
        <v>100</v>
      </c>
      <c r="J1420" s="9">
        <f>ROUNDUP(H1420+(H1420*Assumptions!I$5),-2)</f>
        <v>4100</v>
      </c>
      <c r="K1420" s="9">
        <f>ROUNDUP(J1420+(J1420*Assumptions!J$5),-2)</f>
        <v>4300</v>
      </c>
      <c r="L1420" s="9">
        <f>ROUNDUP(K1420+(K1420*Assumptions!K$5),-2)</f>
        <v>4500</v>
      </c>
      <c r="M1420" s="9">
        <f>ROUNDUP(L1420+(L1420*Assumptions!L$5),-2)</f>
        <v>4700</v>
      </c>
      <c r="N1420" s="9">
        <f>ROUNDUP(M1420+(M1420*Assumptions!M$5),-2)</f>
        <v>4900</v>
      </c>
      <c r="O1420" s="9">
        <f>ROUNDUP(N1420+(N1420*Assumptions!N$5),-2)</f>
        <v>5100</v>
      </c>
      <c r="P1420" s="9">
        <f>ROUNDUP(O1420+(O1420*Assumptions!O$5),-2)</f>
        <v>5300</v>
      </c>
      <c r="Q1420" s="9">
        <f>ROUNDUP(P1420+(P1420*Assumptions!P$5),-2)</f>
        <v>5500</v>
      </c>
      <c r="R1420" s="9">
        <f>ROUNDUP(Q1420+(Q1420*Assumptions!Q$5),-2)</f>
        <v>5700</v>
      </c>
      <c r="S1420" s="47">
        <f>ROUNDUP(R1420+(R1420*Assumptions!R$5),-2)</f>
        <v>5900</v>
      </c>
    </row>
    <row r="1421" spans="1:19" x14ac:dyDescent="0.2">
      <c r="A1421" s="54"/>
      <c r="B1421" s="9"/>
      <c r="E1421" s="144"/>
      <c r="F1421" s="469"/>
      <c r="G1421" s="419" t="s">
        <v>631</v>
      </c>
      <c r="H1421" s="9"/>
      <c r="I1421" s="85"/>
      <c r="J1421" s="9"/>
      <c r="K1421" s="9"/>
      <c r="L1421" s="9"/>
      <c r="M1421" s="9"/>
      <c r="N1421" s="9"/>
      <c r="O1421" s="9"/>
      <c r="P1421" s="9"/>
      <c r="Q1421" s="9"/>
      <c r="R1421" s="9"/>
      <c r="S1421" s="47"/>
    </row>
    <row r="1422" spans="1:19" x14ac:dyDescent="0.2">
      <c r="A1422" s="54">
        <v>41700</v>
      </c>
      <c r="B1422" s="79">
        <f>35300+2500</f>
        <v>37800</v>
      </c>
      <c r="C1422" s="136">
        <v>50600</v>
      </c>
      <c r="D1422" s="136">
        <v>2100</v>
      </c>
      <c r="E1422" s="144">
        <v>1500</v>
      </c>
      <c r="F1422" s="469" t="s">
        <v>2363</v>
      </c>
      <c r="G1422" s="385" t="s">
        <v>631</v>
      </c>
      <c r="H1422" s="9">
        <v>2900</v>
      </c>
      <c r="I1422" s="85">
        <f t="shared" ref="I1422:I1433" si="2056">IF(E1422=H1422,0,IF(E1422=0,100,(H1422-E1422)/E1422*100))</f>
        <v>93.333333333333329</v>
      </c>
      <c r="J1422" s="9">
        <f>ROUNDUP(H1422+(H1422*Assumptions!I$5),-2)</f>
        <v>3000</v>
      </c>
      <c r="K1422" s="9">
        <f>ROUNDUP(J1422+(J1422*Assumptions!J$5),-2)</f>
        <v>3100</v>
      </c>
      <c r="L1422" s="9">
        <f>ROUNDUP(K1422+(K1422*Assumptions!K$5),-2)</f>
        <v>3200</v>
      </c>
      <c r="M1422" s="9">
        <f>ROUNDUP(L1422+(L1422*Assumptions!L$5),-2)</f>
        <v>3300</v>
      </c>
      <c r="N1422" s="9">
        <f>ROUNDUP(M1422+(M1422*Assumptions!M$5),-2)</f>
        <v>3400</v>
      </c>
      <c r="O1422" s="9">
        <f>ROUNDUP(N1422+(N1422*Assumptions!N$5),-2)</f>
        <v>3500</v>
      </c>
      <c r="P1422" s="9">
        <f>ROUNDUP(O1422+(O1422*Assumptions!O$5),-2)</f>
        <v>3600</v>
      </c>
      <c r="Q1422" s="9">
        <f>ROUNDUP(P1422+(P1422*Assumptions!P$5),-2)</f>
        <v>3700</v>
      </c>
      <c r="R1422" s="9">
        <f>ROUNDUP(Q1422+(Q1422*Assumptions!Q$5),-2)</f>
        <v>3800</v>
      </c>
      <c r="S1422" s="47">
        <f>ROUNDUP(R1422+(R1422*Assumptions!R$5),-2)</f>
        <v>3900</v>
      </c>
    </row>
    <row r="1423" spans="1:19" x14ac:dyDescent="0.2">
      <c r="A1423" s="54">
        <v>0</v>
      </c>
      <c r="B1423" s="9">
        <v>0</v>
      </c>
      <c r="C1423" s="136">
        <v>0</v>
      </c>
      <c r="D1423" s="136">
        <v>13800</v>
      </c>
      <c r="E1423" s="144">
        <v>200</v>
      </c>
      <c r="F1423" s="769" t="s">
        <v>5375</v>
      </c>
      <c r="G1423" s="661" t="s">
        <v>5376</v>
      </c>
      <c r="H1423" s="9">
        <v>8200</v>
      </c>
      <c r="I1423" s="85">
        <f t="shared" si="2056"/>
        <v>4000</v>
      </c>
      <c r="J1423" s="9">
        <f>ROUNDUP(H1423+(H1423*Assumptions!I$5),-2)</f>
        <v>8400</v>
      </c>
      <c r="K1423" s="9">
        <f>ROUNDUP(J1423+(J1423*Assumptions!J$5),-2)</f>
        <v>8700</v>
      </c>
      <c r="L1423" s="9">
        <f>ROUNDUP(K1423+(K1423*Assumptions!K$5),-2)</f>
        <v>9000</v>
      </c>
      <c r="M1423" s="9">
        <f>ROUNDUP(L1423+(L1423*Assumptions!L$5),-2)</f>
        <v>9300</v>
      </c>
      <c r="N1423" s="9">
        <f>ROUNDUP(M1423+(M1423*Assumptions!M$5),-2)</f>
        <v>9600</v>
      </c>
      <c r="O1423" s="9">
        <f>ROUNDUP(N1423+(N1423*Assumptions!N$5),-2)</f>
        <v>9900</v>
      </c>
      <c r="P1423" s="9">
        <f>ROUNDUP(O1423+(O1423*Assumptions!O$5),-2)</f>
        <v>10200</v>
      </c>
      <c r="Q1423" s="9">
        <f>ROUNDUP(P1423+(P1423*Assumptions!P$5),-2)</f>
        <v>10500</v>
      </c>
      <c r="R1423" s="9">
        <f>ROUNDUP(Q1423+(Q1423*Assumptions!Q$5),-2)</f>
        <v>10800</v>
      </c>
      <c r="S1423" s="47">
        <f>ROUNDUP(R1423+(R1423*Assumptions!R$5),-2)</f>
        <v>11100</v>
      </c>
    </row>
    <row r="1424" spans="1:19" x14ac:dyDescent="0.2">
      <c r="A1424" s="54">
        <v>0</v>
      </c>
      <c r="B1424" s="9">
        <v>0</v>
      </c>
      <c r="C1424" s="136">
        <v>0</v>
      </c>
      <c r="D1424" s="136">
        <v>7900</v>
      </c>
      <c r="E1424" s="144">
        <v>8300</v>
      </c>
      <c r="F1424" s="769" t="s">
        <v>5377</v>
      </c>
      <c r="G1424" s="661" t="s">
        <v>5378</v>
      </c>
      <c r="H1424" s="9">
        <v>6300</v>
      </c>
      <c r="I1424" s="85">
        <f t="shared" si="2056"/>
        <v>-24.096385542168676</v>
      </c>
      <c r="J1424" s="9">
        <f>ROUNDUP(H1424+(H1424*Assumptions!I$5),-2)</f>
        <v>6500</v>
      </c>
      <c r="K1424" s="9">
        <f>ROUNDUP(J1424+(J1424*Assumptions!J$5),-2)</f>
        <v>6700</v>
      </c>
      <c r="L1424" s="9">
        <f>ROUNDUP(K1424+(K1424*Assumptions!K$5),-2)</f>
        <v>6900</v>
      </c>
      <c r="M1424" s="9">
        <f>ROUNDUP(L1424+(L1424*Assumptions!L$5),-2)</f>
        <v>7100</v>
      </c>
      <c r="N1424" s="9">
        <f>ROUNDUP(M1424+(M1424*Assumptions!M$5),-2)</f>
        <v>7300</v>
      </c>
      <c r="O1424" s="9">
        <f>ROUNDUP(N1424+(N1424*Assumptions!N$5),-2)</f>
        <v>7500</v>
      </c>
      <c r="P1424" s="9">
        <f>ROUNDUP(O1424+(O1424*Assumptions!O$5),-2)</f>
        <v>7700</v>
      </c>
      <c r="Q1424" s="9">
        <f>ROUNDUP(P1424+(P1424*Assumptions!P$5),-2)</f>
        <v>7900</v>
      </c>
      <c r="R1424" s="9">
        <f>ROUNDUP(Q1424+(Q1424*Assumptions!Q$5),-2)</f>
        <v>8100</v>
      </c>
      <c r="S1424" s="47">
        <f>ROUNDUP(R1424+(R1424*Assumptions!R$5),-2)</f>
        <v>8400</v>
      </c>
    </row>
    <row r="1425" spans="1:21" x14ac:dyDescent="0.2">
      <c r="A1425" s="54">
        <v>0</v>
      </c>
      <c r="B1425" s="9">
        <v>0</v>
      </c>
      <c r="C1425" s="136">
        <v>0</v>
      </c>
      <c r="D1425" s="136">
        <v>2200</v>
      </c>
      <c r="E1425" s="144">
        <v>1100</v>
      </c>
      <c r="F1425" s="769" t="s">
        <v>5379</v>
      </c>
      <c r="G1425" s="661" t="s">
        <v>5380</v>
      </c>
      <c r="H1425" s="9">
        <v>6100</v>
      </c>
      <c r="I1425" s="85">
        <f t="shared" si="2056"/>
        <v>454.54545454545456</v>
      </c>
      <c r="J1425" s="9">
        <f>ROUNDUP(H1425+(H1425*Assumptions!I$5),-2)</f>
        <v>6300</v>
      </c>
      <c r="K1425" s="9">
        <f>ROUNDUP(J1425+(J1425*Assumptions!J$5),-2)</f>
        <v>6500</v>
      </c>
      <c r="L1425" s="9">
        <f>ROUNDUP(K1425+(K1425*Assumptions!K$5),-2)</f>
        <v>6700</v>
      </c>
      <c r="M1425" s="9">
        <f>ROUNDUP(L1425+(L1425*Assumptions!L$5),-2)</f>
        <v>6900</v>
      </c>
      <c r="N1425" s="9">
        <f>ROUNDUP(M1425+(M1425*Assumptions!M$5),-2)</f>
        <v>7100</v>
      </c>
      <c r="O1425" s="9">
        <f>ROUNDUP(N1425+(N1425*Assumptions!N$5),-2)</f>
        <v>7300</v>
      </c>
      <c r="P1425" s="9">
        <f>ROUNDUP(O1425+(O1425*Assumptions!O$5),-2)</f>
        <v>7500</v>
      </c>
      <c r="Q1425" s="9">
        <f>ROUNDUP(P1425+(P1425*Assumptions!P$5),-2)</f>
        <v>7700</v>
      </c>
      <c r="R1425" s="9">
        <f>ROUNDUP(Q1425+(Q1425*Assumptions!Q$5),-2)</f>
        <v>7900</v>
      </c>
      <c r="S1425" s="47">
        <f>ROUNDUP(R1425+(R1425*Assumptions!R$5),-2)</f>
        <v>8100</v>
      </c>
    </row>
    <row r="1426" spans="1:21" x14ac:dyDescent="0.2">
      <c r="A1426" s="54">
        <v>0</v>
      </c>
      <c r="B1426" s="9">
        <v>0</v>
      </c>
      <c r="C1426" s="136">
        <v>0</v>
      </c>
      <c r="D1426" s="136">
        <v>3600</v>
      </c>
      <c r="E1426" s="144">
        <v>5200</v>
      </c>
      <c r="F1426" s="769" t="s">
        <v>5381</v>
      </c>
      <c r="G1426" s="661" t="s">
        <v>5382</v>
      </c>
      <c r="H1426" s="9">
        <v>2100</v>
      </c>
      <c r="I1426" s="85">
        <f t="shared" si="2056"/>
        <v>-59.615384615384613</v>
      </c>
      <c r="J1426" s="9">
        <f>ROUNDUP(H1426+(H1426*Assumptions!I$5),-2)</f>
        <v>2200</v>
      </c>
      <c r="K1426" s="9">
        <f>ROUNDUP(J1426+(J1426*Assumptions!J$5),-2)</f>
        <v>2300</v>
      </c>
      <c r="L1426" s="9">
        <f>ROUNDUP(K1426+(K1426*Assumptions!K$5),-2)</f>
        <v>2400</v>
      </c>
      <c r="M1426" s="9">
        <f>ROUNDUP(L1426+(L1426*Assumptions!L$5),-2)</f>
        <v>2500</v>
      </c>
      <c r="N1426" s="9">
        <f>ROUNDUP(M1426+(M1426*Assumptions!M$5),-2)</f>
        <v>2600</v>
      </c>
      <c r="O1426" s="9">
        <f>ROUNDUP(N1426+(N1426*Assumptions!N$5),-2)</f>
        <v>2700</v>
      </c>
      <c r="P1426" s="9">
        <f>ROUNDUP(O1426+(O1426*Assumptions!O$5),-2)</f>
        <v>2800</v>
      </c>
      <c r="Q1426" s="9">
        <f>ROUNDUP(P1426+(P1426*Assumptions!P$5),-2)</f>
        <v>2900</v>
      </c>
      <c r="R1426" s="9">
        <f>ROUNDUP(Q1426+(Q1426*Assumptions!Q$5),-2)</f>
        <v>3000</v>
      </c>
      <c r="S1426" s="47">
        <f>ROUNDUP(R1426+(R1426*Assumptions!R$5),-2)</f>
        <v>3100</v>
      </c>
    </row>
    <row r="1427" spans="1:21" x14ac:dyDescent="0.2">
      <c r="A1427" s="54">
        <v>0</v>
      </c>
      <c r="B1427" s="9">
        <v>0</v>
      </c>
      <c r="C1427" s="136">
        <v>0</v>
      </c>
      <c r="D1427" s="136">
        <v>3500</v>
      </c>
      <c r="E1427" s="144">
        <v>4400</v>
      </c>
      <c r="F1427" s="769" t="s">
        <v>5383</v>
      </c>
      <c r="G1427" s="661" t="s">
        <v>5384</v>
      </c>
      <c r="H1427" s="9">
        <v>3100</v>
      </c>
      <c r="I1427" s="85">
        <f t="shared" si="2056"/>
        <v>-29.545454545454547</v>
      </c>
      <c r="J1427" s="9">
        <f>ROUNDUP(H1427+(H1427*Assumptions!I$5),-2)</f>
        <v>3200</v>
      </c>
      <c r="K1427" s="9">
        <f>ROUNDUP(J1427+(J1427*Assumptions!J$5),-2)</f>
        <v>3300</v>
      </c>
      <c r="L1427" s="9">
        <f>ROUNDUP(K1427+(K1427*Assumptions!K$5),-2)</f>
        <v>3400</v>
      </c>
      <c r="M1427" s="9">
        <f>ROUNDUP(L1427+(L1427*Assumptions!L$5),-2)</f>
        <v>3500</v>
      </c>
      <c r="N1427" s="9">
        <f>ROUNDUP(M1427+(M1427*Assumptions!M$5),-2)</f>
        <v>3600</v>
      </c>
      <c r="O1427" s="9">
        <f>ROUNDUP(N1427+(N1427*Assumptions!N$5),-2)</f>
        <v>3700</v>
      </c>
      <c r="P1427" s="9">
        <f>ROUNDUP(O1427+(O1427*Assumptions!O$5),-2)</f>
        <v>3800</v>
      </c>
      <c r="Q1427" s="9">
        <f>ROUNDUP(P1427+(P1427*Assumptions!P$5),-2)</f>
        <v>3900</v>
      </c>
      <c r="R1427" s="9">
        <f>ROUNDUP(Q1427+(Q1427*Assumptions!Q$5),-2)</f>
        <v>4000</v>
      </c>
      <c r="S1427" s="47">
        <f>ROUNDUP(R1427+(R1427*Assumptions!R$5),-2)</f>
        <v>4100</v>
      </c>
    </row>
    <row r="1428" spans="1:21" x14ac:dyDescent="0.2">
      <c r="A1428" s="54">
        <v>0</v>
      </c>
      <c r="B1428" s="9">
        <v>0</v>
      </c>
      <c r="C1428" s="136">
        <v>0</v>
      </c>
      <c r="D1428" s="136">
        <v>2000</v>
      </c>
      <c r="E1428" s="144">
        <v>2300</v>
      </c>
      <c r="F1428" s="769" t="s">
        <v>5385</v>
      </c>
      <c r="G1428" s="661" t="s">
        <v>5386</v>
      </c>
      <c r="H1428" s="9">
        <v>7200</v>
      </c>
      <c r="I1428" s="85">
        <f t="shared" si="2056"/>
        <v>213.04347826086959</v>
      </c>
      <c r="J1428" s="9">
        <f>ROUNDUP(H1428+(H1428*Assumptions!I$5),-2)</f>
        <v>7400</v>
      </c>
      <c r="K1428" s="9">
        <f>ROUNDUP(J1428+(J1428*Assumptions!J$5),-2)</f>
        <v>7600</v>
      </c>
      <c r="L1428" s="9">
        <f>ROUNDUP(K1428+(K1428*Assumptions!K$5),-2)</f>
        <v>7800</v>
      </c>
      <c r="M1428" s="9">
        <f>ROUNDUP(L1428+(L1428*Assumptions!L$5),-2)</f>
        <v>8000</v>
      </c>
      <c r="N1428" s="9">
        <f>ROUNDUP(M1428+(M1428*Assumptions!M$5),-2)</f>
        <v>8200</v>
      </c>
      <c r="O1428" s="9">
        <f>ROUNDUP(N1428+(N1428*Assumptions!N$5),-2)</f>
        <v>8500</v>
      </c>
      <c r="P1428" s="9">
        <f>ROUNDUP(O1428+(O1428*Assumptions!O$5),-2)</f>
        <v>8800</v>
      </c>
      <c r="Q1428" s="9">
        <f>ROUNDUP(P1428+(P1428*Assumptions!P$5),-2)</f>
        <v>9100</v>
      </c>
      <c r="R1428" s="9">
        <f>ROUNDUP(Q1428+(Q1428*Assumptions!Q$5),-2)</f>
        <v>9400</v>
      </c>
      <c r="S1428" s="47">
        <f>ROUNDUP(R1428+(R1428*Assumptions!R$5),-2)</f>
        <v>9700</v>
      </c>
    </row>
    <row r="1429" spans="1:21" x14ac:dyDescent="0.2">
      <c r="A1429" s="54">
        <v>0</v>
      </c>
      <c r="B1429" s="9">
        <v>0</v>
      </c>
      <c r="C1429" s="136">
        <v>0</v>
      </c>
      <c r="D1429" s="136">
        <v>2700</v>
      </c>
      <c r="E1429" s="144">
        <v>5800</v>
      </c>
      <c r="F1429" s="769" t="s">
        <v>5387</v>
      </c>
      <c r="G1429" s="661" t="s">
        <v>5388</v>
      </c>
      <c r="H1429" s="9">
        <v>2100</v>
      </c>
      <c r="I1429" s="85">
        <f t="shared" si="2056"/>
        <v>-63.793103448275865</v>
      </c>
      <c r="J1429" s="9">
        <f>ROUNDUP(H1429+(H1429*Assumptions!I$5),-2)</f>
        <v>2200</v>
      </c>
      <c r="K1429" s="9">
        <f>ROUNDUP(J1429+(J1429*Assumptions!J$5),-2)</f>
        <v>2300</v>
      </c>
      <c r="L1429" s="9">
        <f>ROUNDUP(K1429+(K1429*Assumptions!K$5),-2)</f>
        <v>2400</v>
      </c>
      <c r="M1429" s="9">
        <f>ROUNDUP(L1429+(L1429*Assumptions!L$5),-2)</f>
        <v>2500</v>
      </c>
      <c r="N1429" s="9">
        <f>ROUNDUP(M1429+(M1429*Assumptions!M$5),-2)</f>
        <v>2600</v>
      </c>
      <c r="O1429" s="9">
        <f>ROUNDUP(N1429+(N1429*Assumptions!N$5),-2)</f>
        <v>2700</v>
      </c>
      <c r="P1429" s="9">
        <f>ROUNDUP(O1429+(O1429*Assumptions!O$5),-2)</f>
        <v>2800</v>
      </c>
      <c r="Q1429" s="9">
        <f>ROUNDUP(P1429+(P1429*Assumptions!P$5),-2)</f>
        <v>2900</v>
      </c>
      <c r="R1429" s="9">
        <f>ROUNDUP(Q1429+(Q1429*Assumptions!Q$5),-2)</f>
        <v>3000</v>
      </c>
      <c r="S1429" s="47">
        <f>ROUNDUP(R1429+(R1429*Assumptions!R$5),-2)</f>
        <v>3100</v>
      </c>
    </row>
    <row r="1430" spans="1:21" x14ac:dyDescent="0.2">
      <c r="A1430" s="54">
        <v>0</v>
      </c>
      <c r="B1430" s="9">
        <v>0</v>
      </c>
      <c r="C1430" s="136">
        <v>0</v>
      </c>
      <c r="D1430" s="136">
        <v>0</v>
      </c>
      <c r="E1430" s="144">
        <v>1500</v>
      </c>
      <c r="F1430" s="769" t="s">
        <v>5389</v>
      </c>
      <c r="G1430" s="661" t="s">
        <v>5390</v>
      </c>
      <c r="H1430" s="9">
        <v>2100</v>
      </c>
      <c r="I1430" s="85">
        <f t="shared" si="2056"/>
        <v>40</v>
      </c>
      <c r="J1430" s="9">
        <f>ROUNDUP(H1430+(H1430*Assumptions!I$5),-2)</f>
        <v>2200</v>
      </c>
      <c r="K1430" s="9">
        <f>ROUNDUP(J1430+(J1430*Assumptions!J$5),-2)</f>
        <v>2300</v>
      </c>
      <c r="L1430" s="9">
        <f>ROUNDUP(K1430+(K1430*Assumptions!K$5),-2)</f>
        <v>2400</v>
      </c>
      <c r="M1430" s="9">
        <f>ROUNDUP(L1430+(L1430*Assumptions!L$5),-2)</f>
        <v>2500</v>
      </c>
      <c r="N1430" s="9">
        <f>ROUNDUP(M1430+(M1430*Assumptions!M$5),-2)</f>
        <v>2600</v>
      </c>
      <c r="O1430" s="9">
        <f>ROUNDUP(N1430+(N1430*Assumptions!N$5),-2)</f>
        <v>2700</v>
      </c>
      <c r="P1430" s="9">
        <f>ROUNDUP(O1430+(O1430*Assumptions!O$5),-2)</f>
        <v>2800</v>
      </c>
      <c r="Q1430" s="9">
        <f>ROUNDUP(P1430+(P1430*Assumptions!P$5),-2)</f>
        <v>2900</v>
      </c>
      <c r="R1430" s="9">
        <f>ROUNDUP(Q1430+(Q1430*Assumptions!Q$5),-2)</f>
        <v>3000</v>
      </c>
      <c r="S1430" s="47">
        <f>ROUNDUP(R1430+(R1430*Assumptions!R$5),-2)</f>
        <v>3100</v>
      </c>
    </row>
    <row r="1431" spans="1:21" x14ac:dyDescent="0.2">
      <c r="A1431" s="54">
        <v>0</v>
      </c>
      <c r="B1431" s="9">
        <v>0</v>
      </c>
      <c r="C1431" s="136">
        <v>0</v>
      </c>
      <c r="D1431" s="136">
        <v>0</v>
      </c>
      <c r="E1431" s="144">
        <v>200</v>
      </c>
      <c r="F1431" s="769" t="s">
        <v>5391</v>
      </c>
      <c r="G1431" s="661" t="s">
        <v>5392</v>
      </c>
      <c r="H1431" s="9">
        <v>1100</v>
      </c>
      <c r="I1431" s="85">
        <f t="shared" si="2056"/>
        <v>450</v>
      </c>
      <c r="J1431" s="9">
        <f>ROUNDUP(H1431+(H1431*Assumptions!I$5),-2)</f>
        <v>1200</v>
      </c>
      <c r="K1431" s="9">
        <f>ROUNDUP(J1431+(J1431*Assumptions!J$5),-2)</f>
        <v>1300</v>
      </c>
      <c r="L1431" s="9">
        <f>ROUNDUP(K1431+(K1431*Assumptions!K$5),-2)</f>
        <v>1400</v>
      </c>
      <c r="M1431" s="9">
        <f>ROUNDUP(L1431+(L1431*Assumptions!L$5),-2)</f>
        <v>1500</v>
      </c>
      <c r="N1431" s="9">
        <f>ROUNDUP(M1431+(M1431*Assumptions!M$5),-2)</f>
        <v>1600</v>
      </c>
      <c r="O1431" s="9">
        <f>ROUNDUP(N1431+(N1431*Assumptions!N$5),-2)</f>
        <v>1700</v>
      </c>
      <c r="P1431" s="9">
        <f>ROUNDUP(O1431+(O1431*Assumptions!O$5),-2)</f>
        <v>1800</v>
      </c>
      <c r="Q1431" s="9">
        <f>ROUNDUP(P1431+(P1431*Assumptions!P$5),-2)</f>
        <v>1900</v>
      </c>
      <c r="R1431" s="9">
        <f>ROUNDUP(Q1431+(Q1431*Assumptions!Q$5),-2)</f>
        <v>2000</v>
      </c>
      <c r="S1431" s="47">
        <f>ROUNDUP(R1431+(R1431*Assumptions!R$5),-2)</f>
        <v>2100</v>
      </c>
    </row>
    <row r="1432" spans="1:21" x14ac:dyDescent="0.2">
      <c r="A1432" s="54">
        <v>0</v>
      </c>
      <c r="B1432" s="9">
        <v>0</v>
      </c>
      <c r="C1432" s="136">
        <v>0</v>
      </c>
      <c r="D1432" s="136">
        <v>7700</v>
      </c>
      <c r="E1432" s="144">
        <v>10000</v>
      </c>
      <c r="F1432" s="769" t="s">
        <v>5393</v>
      </c>
      <c r="G1432" s="661" t="s">
        <v>5394</v>
      </c>
      <c r="H1432" s="9">
        <v>600</v>
      </c>
      <c r="I1432" s="85">
        <f t="shared" si="2056"/>
        <v>-94</v>
      </c>
      <c r="J1432" s="9">
        <f>ROUNDUP(H1432+(H1432*Assumptions!I$5),-2)</f>
        <v>700</v>
      </c>
      <c r="K1432" s="9">
        <f>ROUNDUP(J1432+(J1432*Assumptions!J$5),-2)</f>
        <v>800</v>
      </c>
      <c r="L1432" s="9">
        <f>ROUNDUP(K1432+(K1432*Assumptions!K$5),-2)</f>
        <v>900</v>
      </c>
      <c r="M1432" s="9">
        <f>ROUNDUP(L1432+(L1432*Assumptions!L$5),-2)</f>
        <v>1000</v>
      </c>
      <c r="N1432" s="9">
        <f>ROUNDUP(M1432+(M1432*Assumptions!M$5),-2)</f>
        <v>1100</v>
      </c>
      <c r="O1432" s="9">
        <f>ROUNDUP(N1432+(N1432*Assumptions!N$5),-2)</f>
        <v>1200</v>
      </c>
      <c r="P1432" s="9">
        <f>ROUNDUP(O1432+(O1432*Assumptions!O$5),-2)</f>
        <v>1300</v>
      </c>
      <c r="Q1432" s="9">
        <f>ROUNDUP(P1432+(P1432*Assumptions!P$5),-2)</f>
        <v>1400</v>
      </c>
      <c r="R1432" s="9">
        <f>ROUNDUP(Q1432+(Q1432*Assumptions!Q$5),-2)</f>
        <v>1500</v>
      </c>
      <c r="S1432" s="47">
        <f>ROUNDUP(R1432+(R1432*Assumptions!R$5),-2)</f>
        <v>1600</v>
      </c>
    </row>
    <row r="1433" spans="1:21" x14ac:dyDescent="0.2">
      <c r="A1433" s="54">
        <v>0</v>
      </c>
      <c r="B1433" s="9">
        <v>0</v>
      </c>
      <c r="C1433" s="136">
        <v>0</v>
      </c>
      <c r="D1433" s="136">
        <v>0</v>
      </c>
      <c r="E1433" s="144">
        <v>400</v>
      </c>
      <c r="F1433" s="769" t="s">
        <v>5395</v>
      </c>
      <c r="G1433" s="661" t="s">
        <v>5396</v>
      </c>
      <c r="H1433" s="9">
        <v>900</v>
      </c>
      <c r="I1433" s="85">
        <f t="shared" si="2056"/>
        <v>125</v>
      </c>
      <c r="J1433" s="9">
        <f>ROUNDUP(H1433+(H1433*Assumptions!I$5),-2)</f>
        <v>1000</v>
      </c>
      <c r="K1433" s="9">
        <f>ROUNDUP(J1433+(J1433*Assumptions!J$5),-2)</f>
        <v>1100</v>
      </c>
      <c r="L1433" s="9">
        <f>ROUNDUP(K1433+(K1433*Assumptions!K$5),-2)</f>
        <v>1200</v>
      </c>
      <c r="M1433" s="9">
        <f>ROUNDUP(L1433+(L1433*Assumptions!L$5),-2)</f>
        <v>1300</v>
      </c>
      <c r="N1433" s="9">
        <f>ROUNDUP(M1433+(M1433*Assumptions!M$5),-2)</f>
        <v>1400</v>
      </c>
      <c r="O1433" s="9">
        <f>ROUNDUP(N1433+(N1433*Assumptions!N$5),-2)</f>
        <v>1500</v>
      </c>
      <c r="P1433" s="9">
        <f>ROUNDUP(O1433+(O1433*Assumptions!O$5),-2)</f>
        <v>1600</v>
      </c>
      <c r="Q1433" s="9">
        <f>ROUNDUP(P1433+(P1433*Assumptions!P$5),-2)</f>
        <v>1700</v>
      </c>
      <c r="R1433" s="9">
        <f>ROUNDUP(Q1433+(Q1433*Assumptions!Q$5),-2)</f>
        <v>1800</v>
      </c>
      <c r="S1433" s="47">
        <f>ROUNDUP(R1433+(R1433*Assumptions!R$5),-2)</f>
        <v>1900</v>
      </c>
    </row>
    <row r="1434" spans="1:21" x14ac:dyDescent="0.2">
      <c r="A1434" s="54"/>
      <c r="B1434" s="9"/>
      <c r="E1434" s="144"/>
      <c r="F1434" s="469"/>
      <c r="G1434" s="1189" t="s">
        <v>3763</v>
      </c>
      <c r="H1434" s="9"/>
      <c r="I1434" s="85"/>
      <c r="J1434" s="9"/>
      <c r="K1434" s="9"/>
      <c r="L1434" s="9"/>
      <c r="M1434" s="9"/>
      <c r="N1434" s="9"/>
      <c r="O1434" s="9"/>
      <c r="P1434" s="9"/>
      <c r="Q1434" s="9"/>
      <c r="R1434" s="9"/>
      <c r="S1434" s="47"/>
    </row>
    <row r="1435" spans="1:21" x14ac:dyDescent="0.2">
      <c r="A1435" s="54">
        <v>6100</v>
      </c>
      <c r="B1435" s="9">
        <v>3800</v>
      </c>
      <c r="C1435" s="136">
        <v>16700</v>
      </c>
      <c r="D1435" s="136">
        <v>10500</v>
      </c>
      <c r="E1435" s="144">
        <v>6900</v>
      </c>
      <c r="F1435" s="469" t="s">
        <v>112</v>
      </c>
      <c r="G1435" s="661" t="s">
        <v>4653</v>
      </c>
      <c r="H1435" s="9">
        <v>10700</v>
      </c>
      <c r="I1435" s="85">
        <f>IF(E1435=H1435,0,IF(E1435=0,100,(H1435-E1435)/E1435*100))</f>
        <v>55.072463768115945</v>
      </c>
      <c r="J1435" s="9">
        <f>ROUNDUP(H1435+(H1435*Assumptions!I$5),-2)</f>
        <v>11000</v>
      </c>
      <c r="K1435" s="9">
        <f>ROUNDUP(J1435+(J1435*Assumptions!J$5),-2)</f>
        <v>11300</v>
      </c>
      <c r="L1435" s="9">
        <f>ROUNDUP(K1435+(K1435*Assumptions!K$5),-2)</f>
        <v>11600</v>
      </c>
      <c r="M1435" s="9">
        <f>ROUNDUP(L1435+(L1435*Assumptions!L$5),-2)</f>
        <v>11900</v>
      </c>
      <c r="N1435" s="9">
        <f>ROUNDUP(M1435+(M1435*Assumptions!M$5),-2)</f>
        <v>12200</v>
      </c>
      <c r="O1435" s="9">
        <f>ROUNDUP(N1435+(N1435*Assumptions!N$5),-2)</f>
        <v>12600</v>
      </c>
      <c r="P1435" s="9">
        <f>ROUNDUP(O1435+(O1435*Assumptions!O$5),-2)</f>
        <v>13000</v>
      </c>
      <c r="Q1435" s="9">
        <f>ROUNDUP(P1435+(P1435*Assumptions!P$5),-2)</f>
        <v>13400</v>
      </c>
      <c r="R1435" s="9">
        <f>ROUNDUP(Q1435+(Q1435*Assumptions!Q$5),-2)</f>
        <v>13800</v>
      </c>
      <c r="S1435" s="47">
        <f>ROUNDUP(R1435+(R1435*Assumptions!R$5),-2)</f>
        <v>14200</v>
      </c>
    </row>
    <row r="1436" spans="1:21" x14ac:dyDescent="0.2">
      <c r="A1436" s="54">
        <v>4500</v>
      </c>
      <c r="B1436" s="9">
        <v>5000</v>
      </c>
      <c r="C1436" s="136">
        <v>0</v>
      </c>
      <c r="D1436" s="136">
        <v>0</v>
      </c>
      <c r="E1436" s="144">
        <v>0</v>
      </c>
      <c r="F1436" s="469" t="s">
        <v>1167</v>
      </c>
      <c r="G1436" s="385" t="s">
        <v>1143</v>
      </c>
      <c r="H1436" s="9">
        <v>11400</v>
      </c>
      <c r="I1436" s="85">
        <f>IF(E1436=H1436,0,IF(E1436=0,100,(H1436-E1436)/E1436*100))</f>
        <v>100</v>
      </c>
      <c r="J1436" s="9">
        <f>ROUNDUP(H1436+(H1436*Assumptions!I$5),-2)-11700</f>
        <v>0</v>
      </c>
      <c r="K1436" s="9">
        <f>ROUNDUP(J1436+(J1436*Assumptions!J$5),-2)</f>
        <v>0</v>
      </c>
      <c r="L1436" s="9">
        <f>ROUNDUP(K1436+(K1436*Assumptions!K$5),-2)</f>
        <v>0</v>
      </c>
      <c r="M1436" s="9">
        <f>ROUNDUP(L1436+(L1436*Assumptions!L$5),-2)</f>
        <v>0</v>
      </c>
      <c r="N1436" s="9">
        <f>ROUNDUP(M1436+(M1436*Assumptions!M$5),-2)</f>
        <v>0</v>
      </c>
      <c r="O1436" s="9">
        <f>ROUNDUP(N1436+(N1436*Assumptions!N$5),-2)</f>
        <v>0</v>
      </c>
      <c r="P1436" s="9">
        <f>ROUNDUP(O1436+(O1436*Assumptions!O$5),-2)</f>
        <v>0</v>
      </c>
      <c r="Q1436" s="9">
        <f>ROUNDUP(P1436+(P1436*Assumptions!P$5),-2)</f>
        <v>0</v>
      </c>
      <c r="R1436" s="9">
        <f>ROUNDUP(Q1436+(Q1436*Assumptions!Q$5),-2)</f>
        <v>0</v>
      </c>
      <c r="S1436" s="47">
        <f>ROUNDUP(R1436+(R1436*Assumptions!R$5),-2)</f>
        <v>0</v>
      </c>
    </row>
    <row r="1437" spans="1:21" x14ac:dyDescent="0.2">
      <c r="A1437" s="54">
        <v>13000</v>
      </c>
      <c r="B1437" s="9">
        <v>12800</v>
      </c>
      <c r="C1437" s="136">
        <v>2200</v>
      </c>
      <c r="D1437" s="136">
        <v>5600</v>
      </c>
      <c r="E1437" s="144">
        <v>500</v>
      </c>
      <c r="F1437" s="469" t="s">
        <v>778</v>
      </c>
      <c r="G1437" s="661" t="s">
        <v>4790</v>
      </c>
      <c r="H1437" s="9">
        <v>900</v>
      </c>
      <c r="I1437" s="85">
        <f>IF(E1437=H1437,0,IF(E1437=0,100,(H1437-E1437)/E1437*100))</f>
        <v>80</v>
      </c>
      <c r="J1437" s="9">
        <f>ROUNDUP(H1437+(H1437*Assumptions!I$5),-2)-1000</f>
        <v>0</v>
      </c>
      <c r="K1437" s="9">
        <f>ROUNDUP(J1437+(J1437*Assumptions!J$5),-2)</f>
        <v>0</v>
      </c>
      <c r="L1437" s="9">
        <f>ROUNDUP(K1437+(K1437*Assumptions!K$5),-2)</f>
        <v>0</v>
      </c>
      <c r="M1437" s="9">
        <f>ROUNDUP(L1437+(L1437*Assumptions!L$5),-2)</f>
        <v>0</v>
      </c>
      <c r="N1437" s="9">
        <f>ROUNDUP(M1437+(M1437*Assumptions!M$5),-2)</f>
        <v>0</v>
      </c>
      <c r="O1437" s="9">
        <f>ROUNDUP(N1437+(N1437*Assumptions!N$5),-2)</f>
        <v>0</v>
      </c>
      <c r="P1437" s="9">
        <f>ROUNDUP(O1437+(O1437*Assumptions!O$5),-2)</f>
        <v>0</v>
      </c>
      <c r="Q1437" s="9">
        <f>ROUNDUP(P1437+(P1437*Assumptions!P$5),-2)</f>
        <v>0</v>
      </c>
      <c r="R1437" s="9">
        <f>ROUNDUP(Q1437+(Q1437*Assumptions!Q$5),-2)</f>
        <v>0</v>
      </c>
      <c r="S1437" s="47">
        <f>ROUNDUP(R1437+(R1437*Assumptions!R$5),-2)</f>
        <v>0</v>
      </c>
    </row>
    <row r="1438" spans="1:21" ht="13.5" thickBot="1" x14ac:dyDescent="0.25">
      <c r="A1438" s="118"/>
      <c r="B1438" s="23"/>
      <c r="C1438" s="148"/>
      <c r="D1438" s="148"/>
      <c r="E1438" s="1518"/>
      <c r="F1438" s="168"/>
      <c r="G1438" s="424"/>
      <c r="H1438" s="23"/>
      <c r="I1438" s="87"/>
      <c r="J1438" s="23"/>
      <c r="K1438" s="23"/>
      <c r="L1438" s="23"/>
      <c r="M1438" s="23"/>
      <c r="N1438" s="23"/>
      <c r="O1438" s="23"/>
      <c r="P1438" s="23"/>
      <c r="Q1438" s="23"/>
      <c r="R1438" s="23"/>
      <c r="S1438" s="112"/>
    </row>
    <row r="1439" spans="1:21" s="46" customFormat="1" ht="14.25" thickTop="1" thickBot="1" x14ac:dyDescent="0.25">
      <c r="A1439" s="27"/>
      <c r="B1439" s="27"/>
      <c r="C1439" s="143"/>
      <c r="D1439" s="143"/>
      <c r="E1439" s="143"/>
      <c r="F1439" s="169"/>
      <c r="G1439" s="84"/>
      <c r="I1439" s="70"/>
    </row>
    <row r="1440" spans="1:21" s="38" customFormat="1" ht="18.75" customHeight="1" thickTop="1" thickBot="1" x14ac:dyDescent="0.3">
      <c r="A1440" s="2588" t="s">
        <v>6644</v>
      </c>
      <c r="B1440" s="2589"/>
      <c r="C1440" s="2589"/>
      <c r="D1440" s="2589"/>
      <c r="E1440" s="2589"/>
      <c r="F1440" s="2589"/>
      <c r="G1440" s="2589"/>
      <c r="H1440" s="2589"/>
      <c r="I1440" s="2589"/>
      <c r="J1440" s="2589"/>
      <c r="K1440" s="2589"/>
      <c r="L1440" s="2589"/>
      <c r="M1440" s="2589"/>
      <c r="N1440" s="2589"/>
      <c r="O1440" s="2589"/>
      <c r="P1440" s="2589"/>
      <c r="Q1440" s="2589"/>
      <c r="R1440" s="2589"/>
      <c r="S1440" s="2590"/>
      <c r="U1440" s="34"/>
    </row>
    <row r="1441" spans="1:21" s="39" customFormat="1" ht="13.5" thickBot="1" x14ac:dyDescent="0.25">
      <c r="A1441" s="2591" t="s">
        <v>1824</v>
      </c>
      <c r="B1441" s="2577"/>
      <c r="C1441" s="2577"/>
      <c r="D1441" s="2577"/>
      <c r="E1441" s="2592"/>
      <c r="F1441" s="127" t="s">
        <v>2616</v>
      </c>
      <c r="G1441" s="127" t="s">
        <v>2213</v>
      </c>
      <c r="H1441" s="2568" t="s">
        <v>2215</v>
      </c>
      <c r="I1441" s="2568"/>
      <c r="J1441" s="2568"/>
      <c r="K1441" s="2568"/>
      <c r="L1441" s="2568"/>
      <c r="M1441" s="2568"/>
      <c r="N1441" s="2568"/>
      <c r="O1441" s="2568"/>
      <c r="P1441" s="2568"/>
      <c r="Q1441" s="2568"/>
      <c r="R1441" s="2568"/>
      <c r="S1441" s="2607"/>
      <c r="U1441" s="34"/>
    </row>
    <row r="1442" spans="1:21" ht="12.75" customHeight="1" thickBot="1" x14ac:dyDescent="0.25">
      <c r="A1442" s="541" t="str">
        <f>A1388</f>
        <v>2012/13</v>
      </c>
      <c r="B1442" s="28" t="str">
        <f>B1388</f>
        <v>2013/14</v>
      </c>
      <c r="C1442" s="40" t="str">
        <f>C1388</f>
        <v>2014/15</v>
      </c>
      <c r="D1442" s="40" t="str">
        <f>D1388</f>
        <v>2015/16</v>
      </c>
      <c r="E1442" s="1445" t="str">
        <f t="shared" ref="E1442" si="2057">E1388</f>
        <v>2016/17</v>
      </c>
      <c r="F1442" s="40"/>
      <c r="G1442" s="2072"/>
      <c r="H1442" s="40" t="str">
        <f t="shared" ref="H1442:Q1442" si="2058">H1388</f>
        <v>2017/18</v>
      </c>
      <c r="I1442" s="1258" t="str">
        <f t="shared" ref="I1442" si="2059">I1388</f>
        <v>%</v>
      </c>
      <c r="J1442" s="40" t="str">
        <f t="shared" si="2058"/>
        <v>2018/19</v>
      </c>
      <c r="K1442" s="40" t="str">
        <f t="shared" si="2058"/>
        <v>2019/20</v>
      </c>
      <c r="L1442" s="40" t="str">
        <f t="shared" si="2058"/>
        <v>2020/21</v>
      </c>
      <c r="M1442" s="40" t="str">
        <f t="shared" si="2058"/>
        <v>2021/22</v>
      </c>
      <c r="N1442" s="40" t="str">
        <f t="shared" si="2058"/>
        <v>2022/23</v>
      </c>
      <c r="O1442" s="40" t="str">
        <f t="shared" si="2058"/>
        <v>2023/24</v>
      </c>
      <c r="P1442" s="40" t="str">
        <f t="shared" si="2058"/>
        <v>2024/25</v>
      </c>
      <c r="Q1442" s="28" t="str">
        <f t="shared" si="2058"/>
        <v>2025/26</v>
      </c>
      <c r="R1442" s="28" t="str">
        <f t="shared" ref="R1442:S1442" si="2060">R1388</f>
        <v>2026/27</v>
      </c>
      <c r="S1442" s="1620" t="str">
        <f t="shared" si="2060"/>
        <v>2027/28</v>
      </c>
    </row>
    <row r="1443" spans="1:21" x14ac:dyDescent="0.2">
      <c r="A1443" s="54"/>
      <c r="B1443" s="9"/>
      <c r="E1443" s="144"/>
      <c r="F1443" s="2250"/>
      <c r="G1443" s="2424"/>
      <c r="H1443" s="9"/>
      <c r="I1443" s="85"/>
      <c r="J1443" s="9"/>
      <c r="K1443" s="9"/>
      <c r="L1443" s="9"/>
      <c r="M1443" s="9"/>
      <c r="N1443" s="9"/>
      <c r="O1443" s="9"/>
      <c r="P1443" s="9"/>
      <c r="Q1443" s="9"/>
      <c r="R1443" s="9"/>
      <c r="S1443" s="61"/>
    </row>
    <row r="1444" spans="1:21" x14ac:dyDescent="0.2">
      <c r="A1444" s="54"/>
      <c r="B1444" s="9"/>
      <c r="E1444" s="144"/>
      <c r="F1444" s="769"/>
      <c r="G1444" s="1189" t="s">
        <v>1671</v>
      </c>
      <c r="H1444" s="9"/>
      <c r="I1444" s="85"/>
      <c r="J1444" s="9"/>
      <c r="K1444" s="9"/>
      <c r="L1444" s="9"/>
      <c r="M1444" s="9"/>
      <c r="N1444" s="9"/>
      <c r="O1444" s="9"/>
      <c r="P1444" s="9"/>
      <c r="Q1444" s="9"/>
      <c r="R1444" s="9"/>
      <c r="S1444" s="61"/>
    </row>
    <row r="1445" spans="1:21" x14ac:dyDescent="0.2">
      <c r="A1445" s="54">
        <v>0</v>
      </c>
      <c r="B1445" s="9">
        <v>0</v>
      </c>
      <c r="C1445" s="136">
        <v>27300</v>
      </c>
      <c r="D1445" s="136">
        <v>39000</v>
      </c>
      <c r="E1445" s="885">
        <v>49000</v>
      </c>
      <c r="F1445" s="769" t="s">
        <v>3380</v>
      </c>
      <c r="G1445" s="661" t="s">
        <v>3381</v>
      </c>
      <c r="H1445" s="9">
        <v>0</v>
      </c>
      <c r="I1445" s="85">
        <f t="shared" ref="I1445:I1459" si="2061">IF(E1445=H1445,0,IF(E1445=0,100,(H1445-E1445)/E1445*100))</f>
        <v>-100</v>
      </c>
      <c r="J1445" s="9">
        <f>ROUNDUP(H1445+(H1445*Assumptions!I$5),-2)</f>
        <v>0</v>
      </c>
      <c r="K1445" s="9">
        <f>ROUNDUP(J1445+(J1445*Assumptions!J$5),-2)</f>
        <v>0</v>
      </c>
      <c r="L1445" s="9">
        <f>ROUNDUP(K1445+(K1445*Assumptions!K$5),-2)</f>
        <v>0</v>
      </c>
      <c r="M1445" s="9">
        <f>ROUNDUP(L1445+(L1445*Assumptions!L$5),-2)</f>
        <v>0</v>
      </c>
      <c r="N1445" s="9">
        <f>ROUNDUP(M1445+(M1445*Assumptions!M$5),-2)</f>
        <v>0</v>
      </c>
      <c r="O1445" s="9">
        <f>ROUNDUP(N1445+(N1445*Assumptions!N$5),-2)</f>
        <v>0</v>
      </c>
      <c r="P1445" s="9">
        <f>ROUNDUP(O1445+(O1445*Assumptions!O$5),-2)</f>
        <v>0</v>
      </c>
      <c r="Q1445" s="9">
        <f>ROUNDUP(P1445+(P1445*Assumptions!P$5),-2)</f>
        <v>0</v>
      </c>
      <c r="R1445" s="9">
        <f>ROUNDUP(Q1445+(Q1445*Assumptions!Q$5),-2)</f>
        <v>0</v>
      </c>
      <c r="S1445" s="47">
        <f>ROUNDUP(R1445+(R1445*Assumptions!R$5),-2)</f>
        <v>0</v>
      </c>
    </row>
    <row r="1446" spans="1:21" x14ac:dyDescent="0.2">
      <c r="A1446" s="54">
        <v>0</v>
      </c>
      <c r="B1446" s="9">
        <v>31600</v>
      </c>
      <c r="C1446" s="136">
        <v>0</v>
      </c>
      <c r="D1446" s="136">
        <v>0</v>
      </c>
      <c r="E1446" s="144">
        <v>0</v>
      </c>
      <c r="F1446" s="769" t="s">
        <v>3358</v>
      </c>
      <c r="G1446" s="661" t="s">
        <v>4124</v>
      </c>
      <c r="H1446" s="9">
        <f>5800+40000</f>
        <v>45800</v>
      </c>
      <c r="I1446" s="85">
        <f t="shared" si="2061"/>
        <v>100</v>
      </c>
      <c r="J1446" s="9">
        <f>ROUNDUP(H1446+(H1446*Assumptions!I$5),-2)-6000-41000</f>
        <v>-100</v>
      </c>
      <c r="K1446" s="9">
        <f>ROUNDUP(J1446+(J1446*Assumptions!J$5),-2)</f>
        <v>-200</v>
      </c>
      <c r="L1446" s="9">
        <f>ROUNDUP(K1446+(K1446*Assumptions!K$5),-2)</f>
        <v>-300</v>
      </c>
      <c r="M1446" s="9">
        <f>ROUNDUP(L1446+(L1446*Assumptions!L$5),-2)</f>
        <v>-400</v>
      </c>
      <c r="N1446" s="9">
        <f>ROUNDUP(M1446+(M1446*Assumptions!M$5),-2)</f>
        <v>-500</v>
      </c>
      <c r="O1446" s="9">
        <f>ROUNDUP(N1446+(N1446*Assumptions!N$5),-2)</f>
        <v>-600</v>
      </c>
      <c r="P1446" s="9">
        <f>ROUNDUP(O1446+(O1446*Assumptions!O$5),-2)</f>
        <v>-700</v>
      </c>
      <c r="Q1446" s="9">
        <f>ROUNDUP(P1446+(P1446*Assumptions!P$5),-2)</f>
        <v>-800</v>
      </c>
      <c r="R1446" s="9">
        <f>ROUNDUP(Q1446+(Q1446*Assumptions!Q$5),-2)</f>
        <v>-900</v>
      </c>
      <c r="S1446" s="47">
        <f>ROUNDUP(R1446+(R1446*Assumptions!R$5),-2)</f>
        <v>-1000</v>
      </c>
    </row>
    <row r="1447" spans="1:21" x14ac:dyDescent="0.2">
      <c r="A1447" s="54">
        <v>0</v>
      </c>
      <c r="B1447" s="9">
        <v>0</v>
      </c>
      <c r="C1447" s="136">
        <v>0</v>
      </c>
      <c r="D1447" s="136">
        <v>0</v>
      </c>
      <c r="E1447" s="144">
        <v>0</v>
      </c>
      <c r="F1447" s="769" t="s">
        <v>539</v>
      </c>
      <c r="G1447" s="661" t="s">
        <v>5552</v>
      </c>
      <c r="H1447" s="9">
        <v>34900</v>
      </c>
      <c r="I1447" s="85">
        <f t="shared" si="2061"/>
        <v>100</v>
      </c>
      <c r="J1447" s="9">
        <f>ROUNDUP(H1447+(H1447*Assumptions!I$5),-2)-35800</f>
        <v>0</v>
      </c>
      <c r="K1447" s="9">
        <f>ROUNDUP(J1447+(J1447*Assumptions!J$5),-2)</f>
        <v>0</v>
      </c>
      <c r="L1447" s="9">
        <f>ROUNDUP(K1447+(K1447*Assumptions!K$5),-2)</f>
        <v>0</v>
      </c>
      <c r="M1447" s="9">
        <f>ROUNDUP(L1447+(L1447*Assumptions!L$5),-2)</f>
        <v>0</v>
      </c>
      <c r="N1447" s="9">
        <f>ROUNDUP(M1447+(M1447*Assumptions!M$5),-2)</f>
        <v>0</v>
      </c>
      <c r="O1447" s="9">
        <f>ROUNDUP(N1447+(N1447*Assumptions!N$5),-2)</f>
        <v>0</v>
      </c>
      <c r="P1447" s="9">
        <f>ROUNDUP(O1447+(O1447*Assumptions!O$5),-2)</f>
        <v>0</v>
      </c>
      <c r="Q1447" s="9">
        <f>ROUNDUP(P1447+(P1447*Assumptions!P$5),-2)</f>
        <v>0</v>
      </c>
      <c r="R1447" s="9">
        <f>ROUNDUP(Q1447+(Q1447*Assumptions!Q$5),-2)</f>
        <v>0</v>
      </c>
      <c r="S1447" s="47">
        <f>ROUNDUP(R1447+(R1447*Assumptions!R$5),-2)</f>
        <v>0</v>
      </c>
    </row>
    <row r="1448" spans="1:21" x14ac:dyDescent="0.2">
      <c r="A1448" s="54">
        <v>0</v>
      </c>
      <c r="B1448" s="9">
        <v>0</v>
      </c>
      <c r="C1448" s="136">
        <v>2400</v>
      </c>
      <c r="D1448" s="136">
        <v>0</v>
      </c>
      <c r="E1448" s="144">
        <v>0</v>
      </c>
      <c r="F1448" s="469" t="s">
        <v>65</v>
      </c>
      <c r="G1448" s="385" t="s">
        <v>1950</v>
      </c>
      <c r="H1448" s="9">
        <v>1200</v>
      </c>
      <c r="I1448" s="85">
        <f t="shared" si="2061"/>
        <v>100</v>
      </c>
      <c r="J1448" s="9">
        <f>ROUNDUP(H1448+(H1448*Assumptions!I$5),-2)-1300</f>
        <v>0</v>
      </c>
      <c r="K1448" s="9">
        <f>ROUNDUP(J1448+(J1448*Assumptions!J$5),-2)</f>
        <v>0</v>
      </c>
      <c r="L1448" s="9">
        <f>ROUNDUP(K1448+(K1448*Assumptions!K$5),-2)</f>
        <v>0</v>
      </c>
      <c r="M1448" s="9">
        <f>ROUNDUP(L1448+(L1448*Assumptions!L$5),-2)</f>
        <v>0</v>
      </c>
      <c r="N1448" s="9">
        <f>ROUNDUP(M1448+(M1448*Assumptions!M$5),-2)</f>
        <v>0</v>
      </c>
      <c r="O1448" s="9">
        <f>ROUNDUP(N1448+(N1448*Assumptions!N$5),-2)</f>
        <v>0</v>
      </c>
      <c r="P1448" s="9">
        <f>ROUNDUP(O1448+(O1448*Assumptions!O$5),-2)</f>
        <v>0</v>
      </c>
      <c r="Q1448" s="9">
        <f>ROUNDUP(P1448+(P1448*Assumptions!P$5),-2)</f>
        <v>0</v>
      </c>
      <c r="R1448" s="9">
        <f>ROUNDUP(Q1448+(Q1448*Assumptions!Q$5),-2)</f>
        <v>0</v>
      </c>
      <c r="S1448" s="47">
        <f>ROUNDUP(R1448+(R1448*Assumptions!R$5),-2)</f>
        <v>0</v>
      </c>
    </row>
    <row r="1449" spans="1:21" x14ac:dyDescent="0.2">
      <c r="A1449" s="54">
        <f>26000+4300</f>
        <v>30300</v>
      </c>
      <c r="B1449" s="9">
        <v>200</v>
      </c>
      <c r="C1449" s="136">
        <v>6600</v>
      </c>
      <c r="D1449" s="136">
        <f>10500+3500+10300+1200</f>
        <v>25500</v>
      </c>
      <c r="E1449" s="144">
        <v>0</v>
      </c>
      <c r="F1449" s="469" t="s">
        <v>775</v>
      </c>
      <c r="G1449" s="661" t="s">
        <v>6696</v>
      </c>
      <c r="H1449" s="9">
        <v>0</v>
      </c>
      <c r="I1449" s="85">
        <f t="shared" si="2061"/>
        <v>0</v>
      </c>
      <c r="J1449" s="9">
        <f>ROUNDUP(H1449+(H1449*Assumptions!I$5),-2)</f>
        <v>0</v>
      </c>
      <c r="K1449" s="9">
        <f>ROUNDUP(J1449+(J1449*Assumptions!J$5),-2)</f>
        <v>0</v>
      </c>
      <c r="L1449" s="9">
        <f>ROUNDUP(K1449+(K1449*Assumptions!K$5),-2)</f>
        <v>0</v>
      </c>
      <c r="M1449" s="9">
        <f>ROUNDUP(L1449+(L1449*Assumptions!L$5),-2)</f>
        <v>0</v>
      </c>
      <c r="N1449" s="9">
        <f>ROUNDUP(M1449+(M1449*Assumptions!M$5),-2)</f>
        <v>0</v>
      </c>
      <c r="O1449" s="9">
        <f>ROUNDUP(N1449+(N1449*Assumptions!N$5),-2)</f>
        <v>0</v>
      </c>
      <c r="P1449" s="9">
        <f>ROUNDUP(O1449+(O1449*Assumptions!O$5),-2)</f>
        <v>0</v>
      </c>
      <c r="Q1449" s="9">
        <f>ROUNDUP(P1449+(P1449*Assumptions!P$5),-2)</f>
        <v>0</v>
      </c>
      <c r="R1449" s="9">
        <f>ROUNDUP(Q1449+(Q1449*Assumptions!Q$5),-2)</f>
        <v>0</v>
      </c>
      <c r="S1449" s="47">
        <f>ROUNDUP(R1449+(R1449*Assumptions!R$5),-2)</f>
        <v>0</v>
      </c>
    </row>
    <row r="1450" spans="1:21" x14ac:dyDescent="0.2">
      <c r="A1450" s="54">
        <v>42100</v>
      </c>
      <c r="B1450" s="9">
        <v>32100</v>
      </c>
      <c r="C1450" s="136">
        <v>-2200</v>
      </c>
      <c r="D1450" s="136">
        <v>0</v>
      </c>
      <c r="E1450" s="144">
        <v>0</v>
      </c>
      <c r="F1450" s="469" t="s">
        <v>2796</v>
      </c>
      <c r="G1450" s="385" t="s">
        <v>1144</v>
      </c>
      <c r="H1450" s="9">
        <v>0</v>
      </c>
      <c r="I1450" s="85">
        <f t="shared" si="2061"/>
        <v>0</v>
      </c>
      <c r="J1450" s="9">
        <f>ROUNDUP(H1450+(H1450*Assumptions!I$5),-2)</f>
        <v>0</v>
      </c>
      <c r="K1450" s="9">
        <f>ROUNDUP(J1450+(J1450*Assumptions!J$5),-2)</f>
        <v>0</v>
      </c>
      <c r="L1450" s="9">
        <f>ROUNDUP(K1450+(K1450*Assumptions!K$5),-2)</f>
        <v>0</v>
      </c>
      <c r="M1450" s="9">
        <f>ROUNDUP(L1450+(L1450*Assumptions!L$5),-2)</f>
        <v>0</v>
      </c>
      <c r="N1450" s="9">
        <f>ROUNDUP(M1450+(M1450*Assumptions!M$5),-2)</f>
        <v>0</v>
      </c>
      <c r="O1450" s="9">
        <f>ROUNDUP(N1450+(N1450*Assumptions!N$5),-2)</f>
        <v>0</v>
      </c>
      <c r="P1450" s="9">
        <f>ROUNDUP(O1450+(O1450*Assumptions!O$5),-2)</f>
        <v>0</v>
      </c>
      <c r="Q1450" s="9">
        <f>ROUNDUP(P1450+(P1450*Assumptions!P$5),-2)</f>
        <v>0</v>
      </c>
      <c r="R1450" s="9">
        <f>ROUNDUP(Q1450+(Q1450*Assumptions!Q$5),-2)</f>
        <v>0</v>
      </c>
      <c r="S1450" s="47">
        <f>ROUNDUP(R1450+(R1450*Assumptions!R$5),-2)</f>
        <v>0</v>
      </c>
    </row>
    <row r="1451" spans="1:21" x14ac:dyDescent="0.2">
      <c r="A1451" s="54">
        <v>0</v>
      </c>
      <c r="B1451" s="9">
        <v>71400</v>
      </c>
      <c r="C1451" s="136">
        <v>51700</v>
      </c>
      <c r="D1451" s="136">
        <v>0</v>
      </c>
      <c r="E1451" s="144">
        <v>0</v>
      </c>
      <c r="F1451" s="469" t="s">
        <v>776</v>
      </c>
      <c r="G1451" s="385" t="s">
        <v>777</v>
      </c>
      <c r="H1451" s="9">
        <v>0</v>
      </c>
      <c r="I1451" s="85">
        <f t="shared" si="2061"/>
        <v>0</v>
      </c>
      <c r="J1451" s="9">
        <f>ROUNDUP(H1451+(H1451*Assumptions!I$5),-2)</f>
        <v>0</v>
      </c>
      <c r="K1451" s="9">
        <f>ROUNDUP(J1451+(J1451*Assumptions!J$5),-2)</f>
        <v>0</v>
      </c>
      <c r="L1451" s="9">
        <f>ROUNDUP(K1451+(K1451*Assumptions!K$5),-2)</f>
        <v>0</v>
      </c>
      <c r="M1451" s="9">
        <f>ROUNDUP(L1451+(L1451*Assumptions!L$5),-2)</f>
        <v>0</v>
      </c>
      <c r="N1451" s="9">
        <f>ROUNDUP(M1451+(M1451*Assumptions!M$5),-2)</f>
        <v>0</v>
      </c>
      <c r="O1451" s="9">
        <f>ROUNDUP(N1451+(N1451*Assumptions!N$5),-2)</f>
        <v>0</v>
      </c>
      <c r="P1451" s="9">
        <f>ROUNDUP(O1451+(O1451*Assumptions!O$5),-2)</f>
        <v>0</v>
      </c>
      <c r="Q1451" s="9">
        <f>ROUNDUP(P1451+(P1451*Assumptions!P$5),-2)</f>
        <v>0</v>
      </c>
      <c r="R1451" s="9">
        <f>ROUNDUP(Q1451+(Q1451*Assumptions!Q$5),-2)</f>
        <v>0</v>
      </c>
      <c r="S1451" s="47">
        <f>ROUNDUP(R1451+(R1451*Assumptions!R$5),-2)</f>
        <v>0</v>
      </c>
    </row>
    <row r="1452" spans="1:21" x14ac:dyDescent="0.2">
      <c r="A1452" s="54">
        <v>6600</v>
      </c>
      <c r="B1452" s="9">
        <v>38400</v>
      </c>
      <c r="C1452" s="136">
        <v>1000</v>
      </c>
      <c r="D1452" s="136">
        <v>4600</v>
      </c>
      <c r="E1452" s="144">
        <v>0</v>
      </c>
      <c r="F1452" s="469" t="s">
        <v>2970</v>
      </c>
      <c r="G1452" s="385" t="s">
        <v>1842</v>
      </c>
      <c r="H1452" s="9">
        <v>15900</v>
      </c>
      <c r="I1452" s="85">
        <f t="shared" si="2061"/>
        <v>100</v>
      </c>
      <c r="J1452" s="9">
        <f>ROUNDUP(H1452+(H1452*Assumptions!I$5),-2)-16300</f>
        <v>0</v>
      </c>
      <c r="K1452" s="9">
        <f>ROUNDUP(J1452+(J1452*Assumptions!J$5),-2)</f>
        <v>0</v>
      </c>
      <c r="L1452" s="9">
        <f>ROUNDUP(K1452+(K1452*Assumptions!K$5),-2)</f>
        <v>0</v>
      </c>
      <c r="M1452" s="9">
        <f>ROUNDUP(L1452+(L1452*Assumptions!L$5),-2)</f>
        <v>0</v>
      </c>
      <c r="N1452" s="9">
        <f>ROUNDUP(M1452+(M1452*Assumptions!M$5),-2)</f>
        <v>0</v>
      </c>
      <c r="O1452" s="9">
        <f>ROUNDUP(N1452+(N1452*Assumptions!N$5),-2)</f>
        <v>0</v>
      </c>
      <c r="P1452" s="9">
        <f>ROUNDUP(O1452+(O1452*Assumptions!O$5),-2)</f>
        <v>0</v>
      </c>
      <c r="Q1452" s="9">
        <f>ROUNDUP(P1452+(P1452*Assumptions!P$5),-2)</f>
        <v>0</v>
      </c>
      <c r="R1452" s="9">
        <f>ROUNDUP(Q1452+(Q1452*Assumptions!Q$5),-2)</f>
        <v>0</v>
      </c>
      <c r="S1452" s="47">
        <f>ROUNDUP(R1452+(R1452*Assumptions!R$5),-2)</f>
        <v>0</v>
      </c>
    </row>
    <row r="1453" spans="1:21" x14ac:dyDescent="0.2">
      <c r="A1453" s="54">
        <v>0</v>
      </c>
      <c r="B1453" s="9">
        <v>0</v>
      </c>
      <c r="C1453" s="136">
        <v>17500</v>
      </c>
      <c r="D1453" s="136">
        <f>20500+5000</f>
        <v>25500</v>
      </c>
      <c r="E1453" s="144">
        <v>0</v>
      </c>
      <c r="F1453" s="469" t="s">
        <v>4181</v>
      </c>
      <c r="G1453" s="385" t="s">
        <v>4180</v>
      </c>
      <c r="H1453" s="9">
        <v>0</v>
      </c>
      <c r="I1453" s="85">
        <f t="shared" si="2061"/>
        <v>0</v>
      </c>
      <c r="J1453" s="9">
        <f>ROUNDUP(H1453+(H1453*Assumptions!I$5),-2)</f>
        <v>0</v>
      </c>
      <c r="K1453" s="9">
        <f>ROUNDUP(J1453+(J1453*Assumptions!J$5),-2)</f>
        <v>0</v>
      </c>
      <c r="L1453" s="9">
        <f>ROUNDUP(K1453+(K1453*Assumptions!K$5),-2)</f>
        <v>0</v>
      </c>
      <c r="M1453" s="9">
        <f>ROUNDUP(L1453+(L1453*Assumptions!L$5),-2)</f>
        <v>0</v>
      </c>
      <c r="N1453" s="9">
        <f>ROUNDUP(M1453+(M1453*Assumptions!M$5),-2)</f>
        <v>0</v>
      </c>
      <c r="O1453" s="9">
        <f>ROUNDUP(N1453+(N1453*Assumptions!N$5),-2)</f>
        <v>0</v>
      </c>
      <c r="P1453" s="9">
        <f>ROUNDUP(O1453+(O1453*Assumptions!O$5),-2)</f>
        <v>0</v>
      </c>
      <c r="Q1453" s="9">
        <f>ROUNDUP(P1453+(P1453*Assumptions!P$5),-2)</f>
        <v>0</v>
      </c>
      <c r="R1453" s="9">
        <f>ROUNDUP(Q1453+(Q1453*Assumptions!Q$5),-2)</f>
        <v>0</v>
      </c>
      <c r="S1453" s="47">
        <f>ROUNDUP(R1453+(R1453*Assumptions!R$5),-2)</f>
        <v>0</v>
      </c>
    </row>
    <row r="1454" spans="1:21" x14ac:dyDescent="0.2">
      <c r="A1454" s="54">
        <v>0</v>
      </c>
      <c r="B1454" s="9">
        <v>0</v>
      </c>
      <c r="C1454" s="136">
        <v>0</v>
      </c>
      <c r="D1454" s="136">
        <f>104000-52000+52000</f>
        <v>104000</v>
      </c>
      <c r="E1454" s="144">
        <v>0</v>
      </c>
      <c r="F1454" s="769" t="s">
        <v>5397</v>
      </c>
      <c r="G1454" s="661" t="s">
        <v>5398</v>
      </c>
      <c r="H1454" s="9">
        <v>0</v>
      </c>
      <c r="I1454" s="85">
        <f t="shared" si="2061"/>
        <v>0</v>
      </c>
      <c r="J1454" s="9">
        <f>ROUNDUP(H1454+(H1454*Assumptions!I$5),-2)</f>
        <v>0</v>
      </c>
      <c r="K1454" s="9">
        <f>ROUNDUP(J1454+(J1454*Assumptions!J$5),-2)</f>
        <v>0</v>
      </c>
      <c r="L1454" s="9">
        <f>ROUNDUP(K1454+(K1454*Assumptions!K$5),-2)</f>
        <v>0</v>
      </c>
      <c r="M1454" s="9">
        <f>ROUNDUP(L1454+(L1454*Assumptions!L$5),-2)</f>
        <v>0</v>
      </c>
      <c r="N1454" s="9">
        <f>ROUNDUP(M1454+(M1454*Assumptions!M$5),-2)</f>
        <v>0</v>
      </c>
      <c r="O1454" s="9">
        <f>ROUNDUP(N1454+(N1454*Assumptions!N$5),-2)</f>
        <v>0</v>
      </c>
      <c r="P1454" s="9">
        <f>ROUNDUP(O1454+(O1454*Assumptions!O$5),-2)</f>
        <v>0</v>
      </c>
      <c r="Q1454" s="9">
        <f>ROUNDUP(P1454+(P1454*Assumptions!P$5),-2)</f>
        <v>0</v>
      </c>
      <c r="R1454" s="9">
        <f>ROUNDUP(Q1454+(Q1454*Assumptions!Q$5),-2)</f>
        <v>0</v>
      </c>
      <c r="S1454" s="47">
        <f>ROUNDUP(R1454+(R1454*Assumptions!R$5),-2)</f>
        <v>0</v>
      </c>
    </row>
    <row r="1455" spans="1:21" x14ac:dyDescent="0.2">
      <c r="A1455" s="54">
        <v>0</v>
      </c>
      <c r="B1455" s="9">
        <v>0</v>
      </c>
      <c r="C1455" s="136">
        <v>0</v>
      </c>
      <c r="D1455" s="136">
        <v>58900</v>
      </c>
      <c r="E1455" s="144">
        <v>50500</v>
      </c>
      <c r="F1455" s="769" t="s">
        <v>6394</v>
      </c>
      <c r="G1455" s="661" t="s">
        <v>5469</v>
      </c>
      <c r="H1455" s="9">
        <v>0</v>
      </c>
      <c r="I1455" s="85">
        <f t="shared" si="2061"/>
        <v>-100</v>
      </c>
      <c r="J1455" s="9">
        <f>ROUNDUP(H1455+(H1455*Assumptions!I$5),-2)</f>
        <v>0</v>
      </c>
      <c r="K1455" s="9">
        <f>ROUNDUP(J1455+(J1455*Assumptions!J$5),-2)</f>
        <v>0</v>
      </c>
      <c r="L1455" s="9">
        <f>ROUNDUP(K1455+(K1455*Assumptions!K$5),-2)</f>
        <v>0</v>
      </c>
      <c r="M1455" s="9">
        <f>ROUNDUP(L1455+(L1455*Assumptions!L$5),-2)</f>
        <v>0</v>
      </c>
      <c r="N1455" s="9">
        <f>ROUNDUP(M1455+(M1455*Assumptions!M$5),-2)</f>
        <v>0</v>
      </c>
      <c r="O1455" s="9">
        <f>ROUNDUP(N1455+(N1455*Assumptions!N$5),-2)</f>
        <v>0</v>
      </c>
      <c r="P1455" s="9">
        <f>ROUNDUP(O1455+(O1455*Assumptions!O$5),-2)</f>
        <v>0</v>
      </c>
      <c r="Q1455" s="9">
        <f>ROUNDUP(P1455+(P1455*Assumptions!P$5),-2)</f>
        <v>0</v>
      </c>
      <c r="R1455" s="9">
        <f>ROUNDUP(Q1455+(Q1455*Assumptions!Q$5),-2)</f>
        <v>0</v>
      </c>
      <c r="S1455" s="47">
        <f>ROUNDUP(R1455+(R1455*Assumptions!R$5),-2)</f>
        <v>0</v>
      </c>
    </row>
    <row r="1456" spans="1:21" x14ac:dyDescent="0.2">
      <c r="A1456" s="54">
        <v>0</v>
      </c>
      <c r="B1456" s="9">
        <v>0</v>
      </c>
      <c r="C1456" s="136">
        <v>0</v>
      </c>
      <c r="D1456" s="136">
        <v>3800</v>
      </c>
      <c r="E1456" s="144">
        <v>12900</v>
      </c>
      <c r="F1456" s="769" t="s">
        <v>5541</v>
      </c>
      <c r="G1456" s="661" t="s">
        <v>5540</v>
      </c>
      <c r="H1456" s="9">
        <v>7300</v>
      </c>
      <c r="I1456" s="85">
        <f t="shared" si="2061"/>
        <v>-43.410852713178294</v>
      </c>
      <c r="J1456" s="9">
        <f>ROUNDUP(H1456+(H1456*Assumptions!I$5),-2)-7500</f>
        <v>0</v>
      </c>
      <c r="K1456" s="9">
        <f>ROUNDUP(J1456+(J1456*Assumptions!J$5),-2)</f>
        <v>0</v>
      </c>
      <c r="L1456" s="9">
        <f>ROUNDUP(K1456+(K1456*Assumptions!K$5),-2)</f>
        <v>0</v>
      </c>
      <c r="M1456" s="9">
        <f>ROUNDUP(L1456+(L1456*Assumptions!L$5),-2)</f>
        <v>0</v>
      </c>
      <c r="N1456" s="9">
        <f>ROUNDUP(M1456+(M1456*Assumptions!M$5),-2)</f>
        <v>0</v>
      </c>
      <c r="O1456" s="9">
        <f>ROUNDUP(N1456+(N1456*Assumptions!N$5),-2)</f>
        <v>0</v>
      </c>
      <c r="P1456" s="9">
        <f>ROUNDUP(O1456+(O1456*Assumptions!O$5),-2)</f>
        <v>0</v>
      </c>
      <c r="Q1456" s="9">
        <f>ROUNDUP(P1456+(P1456*Assumptions!P$5),-2)</f>
        <v>0</v>
      </c>
      <c r="R1456" s="9">
        <f>ROUNDUP(Q1456+(Q1456*Assumptions!Q$5),-2)</f>
        <v>0</v>
      </c>
      <c r="S1456" s="47">
        <f>ROUNDUP(R1456+(R1456*Assumptions!R$5),-2)</f>
        <v>0</v>
      </c>
    </row>
    <row r="1457" spans="1:21" x14ac:dyDescent="0.2">
      <c r="A1457" s="54">
        <v>0</v>
      </c>
      <c r="B1457" s="9">
        <v>0</v>
      </c>
      <c r="C1457" s="136">
        <v>0</v>
      </c>
      <c r="D1457" s="136">
        <v>0</v>
      </c>
      <c r="E1457" s="144">
        <v>0</v>
      </c>
      <c r="F1457" s="769" t="s">
        <v>6450</v>
      </c>
      <c r="G1457" s="79" t="s">
        <v>6642</v>
      </c>
      <c r="H1457" s="9">
        <v>20000</v>
      </c>
      <c r="I1457" s="85">
        <f t="shared" si="2061"/>
        <v>100</v>
      </c>
      <c r="J1457" s="9">
        <v>0</v>
      </c>
      <c r="K1457" s="9">
        <v>0</v>
      </c>
      <c r="L1457" s="9">
        <v>0</v>
      </c>
      <c r="M1457" s="9">
        <v>0</v>
      </c>
      <c r="N1457" s="9">
        <v>0</v>
      </c>
      <c r="O1457" s="9">
        <v>0</v>
      </c>
      <c r="P1457" s="9">
        <v>0</v>
      </c>
      <c r="Q1457" s="9">
        <v>0</v>
      </c>
      <c r="R1457" s="9">
        <v>0</v>
      </c>
      <c r="S1457" s="47">
        <v>0</v>
      </c>
    </row>
    <row r="1458" spans="1:21" x14ac:dyDescent="0.2">
      <c r="A1458" s="54">
        <v>0</v>
      </c>
      <c r="B1458" s="9">
        <v>0</v>
      </c>
      <c r="C1458" s="136">
        <v>0</v>
      </c>
      <c r="D1458" s="136">
        <v>0</v>
      </c>
      <c r="E1458" s="144">
        <v>0</v>
      </c>
      <c r="F1458" s="769" t="s">
        <v>6669</v>
      </c>
      <c r="G1458" s="79" t="s">
        <v>6668</v>
      </c>
      <c r="H1458" s="9">
        <v>4500</v>
      </c>
      <c r="I1458" s="85">
        <f t="shared" ref="I1458" si="2062">IF(E1458=H1458,0,IF(E1458=0,100,(H1458-E1458)/E1458*100))</f>
        <v>100</v>
      </c>
      <c r="J1458" s="9">
        <v>0</v>
      </c>
      <c r="K1458" s="9">
        <v>0</v>
      </c>
      <c r="L1458" s="9">
        <v>0</v>
      </c>
      <c r="M1458" s="9">
        <v>0</v>
      </c>
      <c r="N1458" s="9">
        <v>0</v>
      </c>
      <c r="O1458" s="9">
        <v>0</v>
      </c>
      <c r="P1458" s="9">
        <v>0</v>
      </c>
      <c r="Q1458" s="9">
        <v>0</v>
      </c>
      <c r="R1458" s="9">
        <v>0</v>
      </c>
      <c r="S1458" s="47">
        <v>0</v>
      </c>
    </row>
    <row r="1459" spans="1:21" x14ac:dyDescent="0.2">
      <c r="A1459" s="54">
        <v>0</v>
      </c>
      <c r="B1459" s="9">
        <v>0</v>
      </c>
      <c r="C1459" s="136">
        <v>0</v>
      </c>
      <c r="D1459" s="136">
        <v>0</v>
      </c>
      <c r="E1459" s="144">
        <v>0</v>
      </c>
      <c r="F1459" s="769" t="s">
        <v>11879</v>
      </c>
      <c r="G1459" s="2426" t="s">
        <v>11878</v>
      </c>
      <c r="H1459" s="9">
        <v>7700</v>
      </c>
      <c r="I1459" s="85">
        <f t="shared" si="2061"/>
        <v>100</v>
      </c>
      <c r="J1459" s="9">
        <v>0</v>
      </c>
      <c r="K1459" s="9">
        <v>0</v>
      </c>
      <c r="L1459" s="9">
        <v>0</v>
      </c>
      <c r="M1459" s="9">
        <v>0</v>
      </c>
      <c r="N1459" s="9">
        <v>0</v>
      </c>
      <c r="O1459" s="9">
        <v>0</v>
      </c>
      <c r="P1459" s="9">
        <v>0</v>
      </c>
      <c r="Q1459" s="9">
        <v>0</v>
      </c>
      <c r="R1459" s="9">
        <v>0</v>
      </c>
      <c r="S1459" s="47">
        <v>0</v>
      </c>
    </row>
    <row r="1460" spans="1:21" ht="13.5" thickBot="1" x14ac:dyDescent="0.25">
      <c r="A1460" s="54"/>
      <c r="B1460" s="9"/>
      <c r="C1460" s="134"/>
      <c r="D1460" s="134"/>
      <c r="E1460" s="144"/>
      <c r="F1460" s="469"/>
      <c r="G1460" s="385"/>
      <c r="H1460" s="9"/>
      <c r="I1460" s="85"/>
      <c r="J1460" s="9"/>
      <c r="K1460" s="9"/>
      <c r="L1460" s="9"/>
      <c r="M1460" s="9"/>
      <c r="N1460" s="9"/>
      <c r="O1460" s="9"/>
      <c r="P1460" s="9"/>
      <c r="Q1460" s="9"/>
      <c r="R1460" s="9"/>
      <c r="S1460" s="47"/>
    </row>
    <row r="1461" spans="1:21" s="39" customFormat="1" x14ac:dyDescent="0.2">
      <c r="A1461" s="52">
        <f>SUM(A1405:A1460)</f>
        <v>271400</v>
      </c>
      <c r="B1461" s="16">
        <f>SUM(B1405:B1460)</f>
        <v>402500</v>
      </c>
      <c r="C1461" s="137">
        <f>SUM(C1405:C1460)</f>
        <v>357400</v>
      </c>
      <c r="D1461" s="137">
        <f>SUM(D1405:D1460)</f>
        <v>509300</v>
      </c>
      <c r="E1461" s="1473">
        <f>SUM(E1405:E1460)</f>
        <v>354700</v>
      </c>
      <c r="F1461" s="126"/>
      <c r="G1461" s="267" t="s">
        <v>556</v>
      </c>
      <c r="H1461" s="16">
        <f t="shared" ref="H1461:Q1461" si="2063">SUM(H1405:H1460)</f>
        <v>394500</v>
      </c>
      <c r="I1461" s="127">
        <f>IF(E1461=H1461,0,IF(E1461=0,100,(H1461-E1461)/E1461*100))</f>
        <v>11.220749929517902</v>
      </c>
      <c r="J1461" s="16">
        <f t="shared" si="2063"/>
        <v>251800</v>
      </c>
      <c r="K1461" s="16">
        <f t="shared" si="2063"/>
        <v>259400</v>
      </c>
      <c r="L1461" s="16">
        <f t="shared" si="2063"/>
        <v>267100</v>
      </c>
      <c r="M1461" s="16">
        <f t="shared" si="2063"/>
        <v>274900</v>
      </c>
      <c r="N1461" s="16">
        <f t="shared" si="2063"/>
        <v>282800</v>
      </c>
      <c r="O1461" s="16">
        <f t="shared" si="2063"/>
        <v>291000</v>
      </c>
      <c r="P1461" s="16">
        <f t="shared" si="2063"/>
        <v>299300</v>
      </c>
      <c r="Q1461" s="16">
        <f t="shared" si="2063"/>
        <v>307900</v>
      </c>
      <c r="R1461" s="16">
        <f t="shared" ref="R1461" si="2064">SUM(R1405:R1460)</f>
        <v>316600</v>
      </c>
      <c r="S1461" s="2342">
        <f t="shared" ref="S1461" si="2065">SUM(S1405:S1460)</f>
        <v>325500</v>
      </c>
      <c r="U1461" s="34"/>
    </row>
    <row r="1462" spans="1:21" x14ac:dyDescent="0.2">
      <c r="A1462" s="54"/>
      <c r="B1462" s="9"/>
      <c r="E1462" s="1442"/>
      <c r="F1462" s="167"/>
      <c r="G1462" s="257"/>
      <c r="H1462" s="9"/>
      <c r="I1462" s="85"/>
      <c r="J1462" s="9"/>
      <c r="K1462" s="9"/>
      <c r="L1462" s="9"/>
      <c r="M1462" s="9"/>
      <c r="N1462" s="9"/>
      <c r="O1462" s="9"/>
      <c r="P1462" s="9"/>
      <c r="Q1462" s="9"/>
      <c r="R1462" s="9"/>
      <c r="S1462" s="47"/>
    </row>
    <row r="1463" spans="1:21" s="39" customFormat="1" x14ac:dyDescent="0.2">
      <c r="A1463" s="24">
        <f>A1403-A1461</f>
        <v>-119700</v>
      </c>
      <c r="B1463" s="21">
        <f>B1403-B1461</f>
        <v>-266000</v>
      </c>
      <c r="C1463" s="139">
        <f>C1403-C1461</f>
        <v>-262300</v>
      </c>
      <c r="D1463" s="139">
        <f>D1403-D1461</f>
        <v>-350600</v>
      </c>
      <c r="E1463" s="1444">
        <f>E1403-E1461</f>
        <v>-301400</v>
      </c>
      <c r="F1463" s="173"/>
      <c r="G1463" s="260" t="s">
        <v>1002</v>
      </c>
      <c r="H1463" s="21">
        <f t="shared" ref="H1463:Q1463" si="2066">H1403-H1461</f>
        <v>-341800</v>
      </c>
      <c r="I1463" s="126">
        <f>IF(E1463=H1463,0,IF(E1463=0,100,(H1463-E1463)/E1463*100))</f>
        <v>13.404114134041142</v>
      </c>
      <c r="J1463" s="21">
        <f t="shared" si="2066"/>
        <v>-246600</v>
      </c>
      <c r="K1463" s="21">
        <f t="shared" si="2066"/>
        <v>-254000</v>
      </c>
      <c r="L1463" s="21">
        <f t="shared" si="2066"/>
        <v>-261500</v>
      </c>
      <c r="M1463" s="21">
        <f t="shared" si="2066"/>
        <v>-269100</v>
      </c>
      <c r="N1463" s="21">
        <f t="shared" si="2066"/>
        <v>-276800</v>
      </c>
      <c r="O1463" s="21">
        <f t="shared" si="2066"/>
        <v>-284800</v>
      </c>
      <c r="P1463" s="21">
        <f t="shared" si="2066"/>
        <v>-292900</v>
      </c>
      <c r="Q1463" s="21">
        <f t="shared" si="2066"/>
        <v>-301300</v>
      </c>
      <c r="R1463" s="21">
        <f t="shared" ref="R1463" si="2067">R1403-R1461</f>
        <v>-309800</v>
      </c>
      <c r="S1463" s="86">
        <f t="shared" ref="S1463" si="2068">S1403-S1461</f>
        <v>-318500</v>
      </c>
      <c r="U1463" s="34"/>
    </row>
    <row r="1464" spans="1:21" x14ac:dyDescent="0.2">
      <c r="A1464" s="54">
        <v>0</v>
      </c>
      <c r="B1464" s="9">
        <v>0</v>
      </c>
      <c r="C1464" s="136">
        <v>0</v>
      </c>
      <c r="D1464" s="136">
        <v>0</v>
      </c>
      <c r="E1464" s="1442">
        <v>0</v>
      </c>
      <c r="F1464" s="167"/>
      <c r="G1464" s="261" t="s">
        <v>1943</v>
      </c>
      <c r="H1464" s="134">
        <v>0</v>
      </c>
      <c r="I1464" s="85">
        <f>IF(E1464=H1464,0,IF(E1464=0,100,(H1464-E1464)/E1464*100))</f>
        <v>0</v>
      </c>
      <c r="J1464" s="134">
        <v>0</v>
      </c>
      <c r="K1464" s="134">
        <v>0</v>
      </c>
      <c r="L1464" s="134">
        <v>0</v>
      </c>
      <c r="M1464" s="134">
        <v>0</v>
      </c>
      <c r="N1464" s="134">
        <v>0</v>
      </c>
      <c r="O1464" s="322">
        <v>0</v>
      </c>
      <c r="P1464" s="322">
        <v>0</v>
      </c>
      <c r="Q1464" s="322">
        <v>0</v>
      </c>
      <c r="R1464" s="322">
        <v>0</v>
      </c>
      <c r="S1464" s="2413">
        <v>0</v>
      </c>
    </row>
    <row r="1465" spans="1:21" s="39" customFormat="1" x14ac:dyDescent="0.2">
      <c r="A1465" s="128">
        <f>A1463+A1464</f>
        <v>-119700</v>
      </c>
      <c r="B1465" s="280">
        <f>B1463+B1464</f>
        <v>-266000</v>
      </c>
      <c r="C1465" s="281">
        <f>C1463+C1464</f>
        <v>-262300</v>
      </c>
      <c r="D1465" s="281">
        <f>D1463+D1464</f>
        <v>-350600</v>
      </c>
      <c r="E1465" s="1515">
        <f t="shared" ref="E1465" si="2069">E1463+E1464</f>
        <v>-301400</v>
      </c>
      <c r="F1465" s="372"/>
      <c r="G1465" s="363" t="s">
        <v>1659</v>
      </c>
      <c r="H1465" s="529">
        <f t="shared" ref="H1465:O1465" si="2070">H1463+H1464</f>
        <v>-341800</v>
      </c>
      <c r="I1465" s="278">
        <f>IF(E1465=H1465,0,IF(E1465=0,100,(H1465-E1465)/E1465*100))</f>
        <v>13.404114134041142</v>
      </c>
      <c r="J1465" s="529">
        <f t="shared" si="2070"/>
        <v>-246600</v>
      </c>
      <c r="K1465" s="529">
        <f t="shared" si="2070"/>
        <v>-254000</v>
      </c>
      <c r="L1465" s="529">
        <f t="shared" si="2070"/>
        <v>-261500</v>
      </c>
      <c r="M1465" s="529">
        <f t="shared" si="2070"/>
        <v>-269100</v>
      </c>
      <c r="N1465" s="529">
        <f t="shared" si="2070"/>
        <v>-276800</v>
      </c>
      <c r="O1465" s="21">
        <f t="shared" si="2070"/>
        <v>-284800</v>
      </c>
      <c r="P1465" s="21">
        <f t="shared" ref="P1465:Q1465" si="2071">P1463+P1464</f>
        <v>-292900</v>
      </c>
      <c r="Q1465" s="21">
        <f t="shared" si="2071"/>
        <v>-301300</v>
      </c>
      <c r="R1465" s="21">
        <f t="shared" ref="R1465" si="2072">R1463+R1464</f>
        <v>-309800</v>
      </c>
      <c r="S1465" s="86">
        <f t="shared" ref="S1465" si="2073">S1463+S1464</f>
        <v>-318500</v>
      </c>
      <c r="U1465" s="34"/>
    </row>
    <row r="1466" spans="1:21" ht="13.5" thickBot="1" x14ac:dyDescent="0.25">
      <c r="A1466" s="544"/>
      <c r="B1466" s="21"/>
      <c r="C1466" s="139"/>
      <c r="D1466" s="138"/>
      <c r="E1466" s="1444"/>
      <c r="F1466" s="167"/>
      <c r="G1466" s="260"/>
      <c r="H1466" s="9"/>
      <c r="I1466" s="126"/>
      <c r="J1466" s="9"/>
      <c r="K1466" s="9"/>
      <c r="L1466" s="9"/>
      <c r="M1466" s="9"/>
      <c r="N1466" s="9"/>
      <c r="O1466" s="9"/>
      <c r="P1466" s="9"/>
      <c r="Q1466" s="9"/>
      <c r="R1466" s="9"/>
      <c r="S1466" s="61"/>
    </row>
    <row r="1467" spans="1:21" x14ac:dyDescent="0.2">
      <c r="A1467" s="52"/>
      <c r="B1467" s="102"/>
      <c r="C1467" s="137"/>
      <c r="D1467" s="137"/>
      <c r="E1467" s="1473"/>
      <c r="F1467" s="2425"/>
      <c r="G1467" s="262"/>
      <c r="H1467" s="116"/>
      <c r="I1467" s="127"/>
      <c r="J1467" s="116"/>
      <c r="K1467" s="116"/>
      <c r="L1467" s="116"/>
      <c r="M1467" s="116"/>
      <c r="N1467" s="116"/>
      <c r="O1467" s="116"/>
      <c r="P1467" s="116"/>
      <c r="Q1467" s="116"/>
      <c r="R1467" s="116"/>
      <c r="S1467" s="1015"/>
    </row>
    <row r="1468" spans="1:21" x14ac:dyDescent="0.2">
      <c r="A1468" s="24"/>
      <c r="B1468" s="75"/>
      <c r="C1468" s="139"/>
      <c r="D1468" s="139"/>
      <c r="E1468" s="143"/>
      <c r="F1468" s="167"/>
      <c r="G1468" s="361" t="s">
        <v>192</v>
      </c>
      <c r="H1468" s="9"/>
      <c r="I1468" s="126"/>
      <c r="J1468" s="9"/>
      <c r="K1468" s="9"/>
      <c r="L1468" s="9"/>
      <c r="M1468" s="9"/>
      <c r="N1468" s="9"/>
      <c r="O1468" s="9"/>
      <c r="P1468" s="9"/>
      <c r="Q1468" s="9"/>
      <c r="R1468" s="9"/>
      <c r="S1468" s="61"/>
    </row>
    <row r="1469" spans="1:21" x14ac:dyDescent="0.2">
      <c r="A1469" s="54">
        <v>0</v>
      </c>
      <c r="B1469" s="89">
        <v>0</v>
      </c>
      <c r="C1469" s="136">
        <v>0</v>
      </c>
      <c r="D1469" s="136">
        <v>0</v>
      </c>
      <c r="E1469" s="144">
        <v>0</v>
      </c>
      <c r="F1469" s="167"/>
      <c r="G1469" s="257" t="s">
        <v>2848</v>
      </c>
      <c r="H1469" s="9">
        <v>0</v>
      </c>
      <c r="I1469" s="85">
        <f t="shared" ref="I1469:I1474" si="2074">IF(E1469=H1469,0,IF(E1469=0,100,(H1469-E1469)/E1469*100))</f>
        <v>0</v>
      </c>
      <c r="J1469" s="9">
        <v>0</v>
      </c>
      <c r="K1469" s="9">
        <v>0</v>
      </c>
      <c r="L1469" s="9">
        <v>0</v>
      </c>
      <c r="M1469" s="9">
        <v>0</v>
      </c>
      <c r="N1469" s="9">
        <v>0</v>
      </c>
      <c r="O1469" s="9">
        <v>0</v>
      </c>
      <c r="P1469" s="9">
        <v>0</v>
      </c>
      <c r="Q1469" s="9">
        <v>0</v>
      </c>
      <c r="R1469" s="9">
        <v>0</v>
      </c>
      <c r="S1469" s="61">
        <v>0</v>
      </c>
    </row>
    <row r="1470" spans="1:21" x14ac:dyDescent="0.2">
      <c r="A1470" s="54">
        <v>254700</v>
      </c>
      <c r="B1470" s="89">
        <v>205700</v>
      </c>
      <c r="C1470" s="136">
        <v>178000</v>
      </c>
      <c r="D1470" s="136">
        <f>SUM('Res-Gen'!B225)</f>
        <v>158900</v>
      </c>
      <c r="E1470" s="144">
        <f>SUM('Res-Gen'!E225)</f>
        <v>89600</v>
      </c>
      <c r="F1470" s="167"/>
      <c r="G1470" s="257" t="s">
        <v>1909</v>
      </c>
      <c r="H1470" s="9">
        <f>SUM('Res-Gen'!H225)</f>
        <v>0</v>
      </c>
      <c r="I1470" s="85">
        <f t="shared" si="2074"/>
        <v>-100</v>
      </c>
      <c r="J1470" s="9">
        <f>SUM('Res-Gen'!K225)</f>
        <v>0</v>
      </c>
      <c r="K1470" s="9">
        <f>SUM('Res-Gen'!N225)</f>
        <v>0</v>
      </c>
      <c r="L1470" s="9">
        <f>SUM('Res-Gen'!Q225)</f>
        <v>0</v>
      </c>
      <c r="M1470" s="9">
        <f>SUM('Res-Gen'!T225)</f>
        <v>0</v>
      </c>
      <c r="N1470" s="9">
        <f>SUM('Res-Gen'!W225)</f>
        <v>0</v>
      </c>
      <c r="O1470" s="9">
        <f>SUM('Res-Gen'!Z225)</f>
        <v>0</v>
      </c>
      <c r="P1470" s="9">
        <f>SUM('Res-Gen'!AC225)</f>
        <v>0</v>
      </c>
      <c r="Q1470" s="9">
        <f>SUM('Res-Gen'!AF225)</f>
        <v>0</v>
      </c>
      <c r="R1470" s="9">
        <f>SUM('Res-Gen'!AI225)</f>
        <v>0</v>
      </c>
      <c r="S1470" s="61">
        <f>SUM('Res-Gen'!AL225)</f>
        <v>0</v>
      </c>
    </row>
    <row r="1471" spans="1:21" x14ac:dyDescent="0.2">
      <c r="A1471" s="54">
        <v>240700</v>
      </c>
      <c r="B1471" s="89">
        <v>254700</v>
      </c>
      <c r="C1471" s="136">
        <v>205700</v>
      </c>
      <c r="D1471" s="136">
        <f>SUM('Res-Gen'!C225)</f>
        <v>178000</v>
      </c>
      <c r="E1471" s="144">
        <f>SUM('Res-Gen'!F225)</f>
        <v>146600</v>
      </c>
      <c r="F1471" s="167"/>
      <c r="G1471" s="257" t="s">
        <v>2309</v>
      </c>
      <c r="H1471" s="9">
        <f>SUM('Res-Gen'!I225)</f>
        <v>101900</v>
      </c>
      <c r="I1471" s="85">
        <f t="shared" si="2074"/>
        <v>-30.491132332878578</v>
      </c>
      <c r="J1471" s="9">
        <f>SUM('Res-Gen'!L225)</f>
        <v>0</v>
      </c>
      <c r="K1471" s="9">
        <f>SUM('Res-Gen'!O225)</f>
        <v>0</v>
      </c>
      <c r="L1471" s="9">
        <f>SUM('Res-Gen'!R225)</f>
        <v>0</v>
      </c>
      <c r="M1471" s="9">
        <f>SUM('Res-Gen'!U225)</f>
        <v>0</v>
      </c>
      <c r="N1471" s="9">
        <f>SUM('Res-Gen'!X225)</f>
        <v>0</v>
      </c>
      <c r="O1471" s="9">
        <f>SUM('Res-Gen'!AA225)</f>
        <v>0</v>
      </c>
      <c r="P1471" s="9">
        <f>SUM('Res-Gen'!AD225)</f>
        <v>0</v>
      </c>
      <c r="Q1471" s="9">
        <f>SUM('Res-Gen'!AG225)</f>
        <v>0</v>
      </c>
      <c r="R1471" s="9">
        <f>SUM('Res-Gen'!AJ225)</f>
        <v>0</v>
      </c>
      <c r="S1471" s="61">
        <f>SUM('Res-Gen'!AM225)</f>
        <v>0</v>
      </c>
    </row>
    <row r="1472" spans="1:21" x14ac:dyDescent="0.2">
      <c r="A1472" s="54">
        <v>0</v>
      </c>
      <c r="B1472" s="89">
        <v>0</v>
      </c>
      <c r="C1472" s="136">
        <v>0</v>
      </c>
      <c r="D1472" s="136">
        <v>0</v>
      </c>
      <c r="E1472" s="144">
        <v>0</v>
      </c>
      <c r="F1472" s="167"/>
      <c r="G1472" s="257" t="s">
        <v>5847</v>
      </c>
      <c r="H1472" s="9">
        <v>0</v>
      </c>
      <c r="I1472" s="85">
        <f t="shared" si="2074"/>
        <v>0</v>
      </c>
      <c r="J1472" s="9">
        <v>0</v>
      </c>
      <c r="K1472" s="9">
        <v>0</v>
      </c>
      <c r="L1472" s="9">
        <v>0</v>
      </c>
      <c r="M1472" s="9">
        <v>0</v>
      </c>
      <c r="N1472" s="9">
        <v>0</v>
      </c>
      <c r="O1472" s="9">
        <v>0</v>
      </c>
      <c r="P1472" s="9">
        <v>0</v>
      </c>
      <c r="Q1472" s="9">
        <v>0</v>
      </c>
      <c r="R1472" s="9">
        <v>0</v>
      </c>
      <c r="S1472" s="61">
        <v>0</v>
      </c>
    </row>
    <row r="1473" spans="1:21" x14ac:dyDescent="0.2">
      <c r="A1473" s="54">
        <v>0</v>
      </c>
      <c r="B1473" s="89">
        <v>0</v>
      </c>
      <c r="C1473" s="136">
        <v>0</v>
      </c>
      <c r="D1473" s="136">
        <v>0</v>
      </c>
      <c r="E1473" s="144">
        <v>0</v>
      </c>
      <c r="F1473" s="167"/>
      <c r="G1473" s="257" t="s">
        <v>958</v>
      </c>
      <c r="H1473" s="9">
        <v>0</v>
      </c>
      <c r="I1473" s="85">
        <f t="shared" si="2074"/>
        <v>0</v>
      </c>
      <c r="J1473" s="9">
        <v>0</v>
      </c>
      <c r="K1473" s="9">
        <v>0</v>
      </c>
      <c r="L1473" s="9">
        <v>0</v>
      </c>
      <c r="M1473" s="9">
        <v>0</v>
      </c>
      <c r="N1473" s="9">
        <v>0</v>
      </c>
      <c r="O1473" s="9">
        <v>0</v>
      </c>
      <c r="P1473" s="9">
        <v>0</v>
      </c>
      <c r="Q1473" s="9">
        <v>0</v>
      </c>
      <c r="R1473" s="9">
        <v>0</v>
      </c>
      <c r="S1473" s="61">
        <v>0</v>
      </c>
    </row>
    <row r="1474" spans="1:21" s="39" customFormat="1" x14ac:dyDescent="0.2">
      <c r="A1474" s="128">
        <f>A1465-A1469-A1470+A1471++A1472-A1473</f>
        <v>-133700</v>
      </c>
      <c r="B1474" s="266">
        <f>B1465-B1469-B1470+B1471++B1472-B1473</f>
        <v>-217000</v>
      </c>
      <c r="C1474" s="281">
        <f>C1465-C1469-C1470+C1471++C1472-C1473</f>
        <v>-234600</v>
      </c>
      <c r="D1474" s="281">
        <f>D1465-D1469-D1470+D1471++D1472-D1473</f>
        <v>-331500</v>
      </c>
      <c r="E1474" s="1513">
        <f t="shared" ref="E1474" si="2075">E1465-E1469-E1470+E1471++E1472-E1473</f>
        <v>-244400</v>
      </c>
      <c r="F1474" s="372"/>
      <c r="G1474" s="363" t="s">
        <v>2447</v>
      </c>
      <c r="H1474" s="280">
        <f t="shared" ref="H1474:P1474" si="2076">H1465-H1469-H1470+H1471++H1472-H1473</f>
        <v>-239900</v>
      </c>
      <c r="I1474" s="278">
        <f t="shared" si="2074"/>
        <v>-1.8412438625204581</v>
      </c>
      <c r="J1474" s="280">
        <f t="shared" si="2076"/>
        <v>-246600</v>
      </c>
      <c r="K1474" s="280">
        <f t="shared" si="2076"/>
        <v>-254000</v>
      </c>
      <c r="L1474" s="280">
        <f t="shared" si="2076"/>
        <v>-261500</v>
      </c>
      <c r="M1474" s="280">
        <f t="shared" si="2076"/>
        <v>-269100</v>
      </c>
      <c r="N1474" s="280">
        <f t="shared" si="2076"/>
        <v>-276800</v>
      </c>
      <c r="O1474" s="280">
        <f t="shared" si="2076"/>
        <v>-284800</v>
      </c>
      <c r="P1474" s="280">
        <f t="shared" si="2076"/>
        <v>-292900</v>
      </c>
      <c r="Q1474" s="280">
        <f t="shared" ref="Q1474" si="2077">Q1465-Q1469-Q1470+Q1471++Q1472-Q1473</f>
        <v>-301300</v>
      </c>
      <c r="R1474" s="280">
        <f t="shared" ref="R1474:S1474" si="2078">R1465-R1469-R1470+R1471++R1472-R1473</f>
        <v>-309800</v>
      </c>
      <c r="S1474" s="282">
        <f t="shared" si="2078"/>
        <v>-318500</v>
      </c>
      <c r="U1474" s="34"/>
    </row>
    <row r="1475" spans="1:21" ht="13.5" thickBot="1" x14ac:dyDescent="0.25">
      <c r="A1475" s="26"/>
      <c r="B1475" s="81"/>
      <c r="C1475" s="141"/>
      <c r="D1475" s="141"/>
      <c r="E1475" s="1437"/>
      <c r="F1475" s="166"/>
      <c r="G1475" s="259"/>
      <c r="H1475" s="23"/>
      <c r="I1475" s="275"/>
      <c r="J1475" s="23"/>
      <c r="K1475" s="23"/>
      <c r="L1475" s="23"/>
      <c r="M1475" s="23"/>
      <c r="N1475" s="23"/>
      <c r="O1475" s="23"/>
      <c r="P1475" s="23"/>
      <c r="Q1475" s="23"/>
      <c r="R1475" s="23"/>
      <c r="S1475" s="112"/>
    </row>
    <row r="1476" spans="1:21" s="46" customFormat="1" ht="14.25" thickTop="1" thickBot="1" x14ac:dyDescent="0.25">
      <c r="C1476" s="144"/>
      <c r="D1476" s="144"/>
      <c r="E1476" s="144"/>
      <c r="F1476" s="373"/>
      <c r="I1476" s="70"/>
      <c r="U1476" s="34"/>
    </row>
    <row r="1477" spans="1:21" s="38" customFormat="1" ht="18.75" customHeight="1" thickTop="1" thickBot="1" x14ac:dyDescent="0.3">
      <c r="A1477" s="2588" t="s">
        <v>2659</v>
      </c>
      <c r="B1477" s="2589"/>
      <c r="C1477" s="2589"/>
      <c r="D1477" s="2589"/>
      <c r="E1477" s="2589"/>
      <c r="F1477" s="2589"/>
      <c r="G1477" s="2589"/>
      <c r="H1477" s="2589"/>
      <c r="I1477" s="2589"/>
      <c r="J1477" s="2589"/>
      <c r="K1477" s="2589"/>
      <c r="L1477" s="2589"/>
      <c r="M1477" s="2589"/>
      <c r="N1477" s="2589"/>
      <c r="O1477" s="2589"/>
      <c r="P1477" s="2589"/>
      <c r="Q1477" s="2589"/>
      <c r="R1477" s="2589"/>
      <c r="S1477" s="2590"/>
      <c r="U1477" s="34"/>
    </row>
    <row r="1478" spans="1:21" s="39" customFormat="1" ht="13.5" thickBot="1" x14ac:dyDescent="0.25">
      <c r="A1478" s="2591" t="s">
        <v>1824</v>
      </c>
      <c r="B1478" s="2577"/>
      <c r="C1478" s="2577"/>
      <c r="D1478" s="2577"/>
      <c r="E1478" s="2592"/>
      <c r="F1478" s="127" t="s">
        <v>2616</v>
      </c>
      <c r="G1478" s="127" t="s">
        <v>2213</v>
      </c>
      <c r="H1478" s="2568" t="s">
        <v>2215</v>
      </c>
      <c r="I1478" s="2568"/>
      <c r="J1478" s="2568"/>
      <c r="K1478" s="2568"/>
      <c r="L1478" s="2568"/>
      <c r="M1478" s="2568"/>
      <c r="N1478" s="2568"/>
      <c r="O1478" s="2568"/>
      <c r="P1478" s="2568"/>
      <c r="Q1478" s="2568"/>
      <c r="R1478" s="2568"/>
      <c r="S1478" s="2607"/>
      <c r="U1478" s="34"/>
    </row>
    <row r="1479" spans="1:21" ht="12.75" customHeight="1" thickBot="1" x14ac:dyDescent="0.25">
      <c r="A1479" s="541" t="str">
        <f>A3</f>
        <v>2012/13</v>
      </c>
      <c r="B1479" s="28" t="str">
        <f>B3</f>
        <v>2013/14</v>
      </c>
      <c r="C1479" s="40" t="str">
        <f>C3</f>
        <v>2014/15</v>
      </c>
      <c r="D1479" s="40" t="str">
        <f>D3</f>
        <v>2015/16</v>
      </c>
      <c r="E1479" s="1445" t="str">
        <f>E3</f>
        <v>2016/17</v>
      </c>
      <c r="F1479" s="40" t="str">
        <f>F1278</f>
        <v>ACCOUNT</v>
      </c>
      <c r="G1479" s="41"/>
      <c r="H1479" s="40" t="str">
        <f>H3</f>
        <v>2017/18</v>
      </c>
      <c r="I1479" s="1258" t="str">
        <f>I1278</f>
        <v>%</v>
      </c>
      <c r="J1479" s="40" t="str">
        <f t="shared" ref="J1479:S1479" si="2079">J3</f>
        <v>2018/19</v>
      </c>
      <c r="K1479" s="40" t="str">
        <f t="shared" si="2079"/>
        <v>2019/20</v>
      </c>
      <c r="L1479" s="40" t="str">
        <f t="shared" si="2079"/>
        <v>2020/21</v>
      </c>
      <c r="M1479" s="40" t="str">
        <f t="shared" si="2079"/>
        <v>2021/22</v>
      </c>
      <c r="N1479" s="40" t="str">
        <f t="shared" si="2079"/>
        <v>2022/23</v>
      </c>
      <c r="O1479" s="40" t="str">
        <f t="shared" si="2079"/>
        <v>2023/24</v>
      </c>
      <c r="P1479" s="40" t="str">
        <f t="shared" si="2079"/>
        <v>2024/25</v>
      </c>
      <c r="Q1479" s="28" t="str">
        <f t="shared" si="2079"/>
        <v>2025/26</v>
      </c>
      <c r="R1479" s="28" t="str">
        <f t="shared" si="2079"/>
        <v>2026/27</v>
      </c>
      <c r="S1479" s="1620" t="str">
        <f t="shared" si="2079"/>
        <v>2027/28</v>
      </c>
    </row>
    <row r="1480" spans="1:21" x14ac:dyDescent="0.2">
      <c r="A1480" s="45"/>
      <c r="B1480" s="9"/>
      <c r="C1480" s="134"/>
      <c r="D1480" s="134"/>
      <c r="E1480" s="1519"/>
      <c r="F1480" s="1152"/>
      <c r="G1480" s="29"/>
      <c r="H1480" s="9"/>
      <c r="I1480" s="1010"/>
      <c r="J1480" s="9"/>
      <c r="K1480" s="9"/>
      <c r="L1480" s="9"/>
      <c r="M1480" s="9"/>
      <c r="N1480" s="9"/>
      <c r="O1480" s="9"/>
      <c r="P1480" s="9"/>
      <c r="Q1480" s="9"/>
      <c r="R1480" s="9"/>
      <c r="S1480" s="61"/>
    </row>
    <row r="1481" spans="1:21" x14ac:dyDescent="0.2">
      <c r="A1481" s="45"/>
      <c r="B1481" s="9"/>
      <c r="C1481" s="134"/>
      <c r="D1481" s="134"/>
      <c r="E1481" s="1442"/>
      <c r="F1481" s="167"/>
      <c r="G1481" s="256" t="s">
        <v>1056</v>
      </c>
      <c r="H1481" s="9"/>
      <c r="I1481" s="85"/>
      <c r="J1481" s="9"/>
      <c r="K1481" s="9"/>
      <c r="L1481" s="9"/>
      <c r="M1481" s="9"/>
      <c r="N1481" s="9"/>
      <c r="O1481" s="9"/>
      <c r="P1481" s="9"/>
      <c r="Q1481" s="9"/>
      <c r="R1481" s="9"/>
      <c r="S1481" s="61"/>
    </row>
    <row r="1482" spans="1:21" x14ac:dyDescent="0.2">
      <c r="A1482" s="45"/>
      <c r="B1482" s="9"/>
      <c r="E1482" s="1442"/>
      <c r="F1482" s="167"/>
      <c r="G1482" s="9"/>
      <c r="H1482" s="9"/>
      <c r="I1482" s="85"/>
      <c r="J1482" s="9"/>
      <c r="K1482" s="9"/>
      <c r="L1482" s="9"/>
      <c r="M1482" s="9"/>
      <c r="N1482" s="9"/>
      <c r="O1482" s="9"/>
      <c r="P1482" s="9"/>
      <c r="Q1482" s="9"/>
      <c r="R1482" s="9"/>
      <c r="S1482" s="61"/>
    </row>
    <row r="1483" spans="1:21" x14ac:dyDescent="0.2">
      <c r="A1483" s="45"/>
      <c r="B1483" s="9"/>
      <c r="D1483" s="134"/>
      <c r="E1483" s="1442"/>
      <c r="F1483" s="167"/>
      <c r="G1483" s="63" t="s">
        <v>3181</v>
      </c>
      <c r="H1483" s="9"/>
      <c r="I1483" s="85"/>
      <c r="J1483" s="9"/>
      <c r="K1483" s="9"/>
      <c r="L1483" s="9"/>
      <c r="M1483" s="9"/>
      <c r="N1483" s="9"/>
      <c r="O1483" s="9"/>
      <c r="P1483" s="9"/>
      <c r="Q1483" s="9"/>
      <c r="R1483" s="9"/>
      <c r="S1483" s="61"/>
    </row>
    <row r="1484" spans="1:21" x14ac:dyDescent="0.2">
      <c r="A1484" s="54">
        <v>360300</v>
      </c>
      <c r="B1484" s="9">
        <v>339600</v>
      </c>
      <c r="C1484" s="136">
        <v>403200</v>
      </c>
      <c r="D1484" s="136">
        <v>398300</v>
      </c>
      <c r="E1484" s="1442">
        <v>452600</v>
      </c>
      <c r="F1484" s="469" t="s">
        <v>2249</v>
      </c>
      <c r="G1484" s="9" t="s">
        <v>2749</v>
      </c>
      <c r="H1484" s="9">
        <v>406000</v>
      </c>
      <c r="I1484" s="85">
        <f>IF(E1484=H1484,0,IF(E1484=0,100,(H1484-E1484)/E1484*100))</f>
        <v>-10.296067167476801</v>
      </c>
      <c r="J1484" s="9">
        <f>ROUNDUP(H1484+(H1484*Assumptions!I$5),-2)</f>
        <v>415400</v>
      </c>
      <c r="K1484" s="9">
        <f>ROUNDUP(J1484+(J1484*Assumptions!J$5),-2)</f>
        <v>425800</v>
      </c>
      <c r="L1484" s="9">
        <f>ROUNDUP(K1484+(K1484*Assumptions!K$5),-2)</f>
        <v>436500</v>
      </c>
      <c r="M1484" s="9">
        <f>ROUNDUP(L1484+(L1484*Assumptions!L$5),-2)</f>
        <v>447500</v>
      </c>
      <c r="N1484" s="9">
        <f>ROUNDUP(M1484+(M1484*Assumptions!M$5),-2)</f>
        <v>458700</v>
      </c>
      <c r="O1484" s="9">
        <f>ROUNDUP(N1484+(N1484*Assumptions!N$5),-2)</f>
        <v>470200</v>
      </c>
      <c r="P1484" s="9">
        <f>ROUNDUP(O1484+(O1484*Assumptions!O$5),-2)</f>
        <v>482000</v>
      </c>
      <c r="Q1484" s="9">
        <f>ROUNDUP(P1484+(P1484*Assumptions!P$5),-2)</f>
        <v>494100</v>
      </c>
      <c r="R1484" s="9">
        <f>ROUNDUP(Q1484+(Q1484*Assumptions!Q$5),-2)</f>
        <v>506500</v>
      </c>
      <c r="S1484" s="47">
        <f>ROUNDUP(R1484+(R1484*Assumptions!R$5),-2)</f>
        <v>519200</v>
      </c>
    </row>
    <row r="1485" spans="1:21" ht="13.5" thickBot="1" x14ac:dyDescent="0.25">
      <c r="A1485" s="54"/>
      <c r="B1485" s="9"/>
      <c r="E1485" s="1442"/>
      <c r="F1485" s="167"/>
      <c r="G1485" s="9"/>
      <c r="H1485" s="9"/>
      <c r="I1485" s="85"/>
      <c r="J1485" s="9"/>
      <c r="K1485" s="9"/>
      <c r="L1485" s="9"/>
      <c r="M1485" s="9"/>
      <c r="N1485" s="9"/>
      <c r="O1485" s="9"/>
      <c r="P1485" s="9"/>
      <c r="Q1485" s="9"/>
      <c r="R1485" s="9"/>
      <c r="S1485" s="47"/>
    </row>
    <row r="1486" spans="1:21" s="39" customFormat="1" x14ac:dyDescent="0.2">
      <c r="A1486" s="52">
        <f>SUM(A1481:A1485)</f>
        <v>360300</v>
      </c>
      <c r="B1486" s="16">
        <f>SUM(B1481:B1485)</f>
        <v>339600</v>
      </c>
      <c r="C1486" s="145">
        <f>SUM(C1481:C1485)</f>
        <v>403200</v>
      </c>
      <c r="D1486" s="145">
        <f>SUM(D1481:D1485)</f>
        <v>398300</v>
      </c>
      <c r="E1486" s="1443">
        <f t="shared" ref="E1486" si="2080">SUM(E1481:E1485)</f>
        <v>452600</v>
      </c>
      <c r="F1486" s="173"/>
      <c r="G1486" s="267" t="s">
        <v>2561</v>
      </c>
      <c r="H1486" s="16">
        <f t="shared" ref="H1486:O1486" si="2081">SUM(H1481:H1485)</f>
        <v>406000</v>
      </c>
      <c r="I1486" s="127">
        <f>IF(E1486=H1486,0,IF(E1486=0,100,(H1486-E1486)/E1486*100))</f>
        <v>-10.296067167476801</v>
      </c>
      <c r="J1486" s="16">
        <f t="shared" si="2081"/>
        <v>415400</v>
      </c>
      <c r="K1486" s="16">
        <f t="shared" si="2081"/>
        <v>425800</v>
      </c>
      <c r="L1486" s="16">
        <f t="shared" si="2081"/>
        <v>436500</v>
      </c>
      <c r="M1486" s="16">
        <f t="shared" si="2081"/>
        <v>447500</v>
      </c>
      <c r="N1486" s="16">
        <f t="shared" si="2081"/>
        <v>458700</v>
      </c>
      <c r="O1486" s="16">
        <f t="shared" si="2081"/>
        <v>470200</v>
      </c>
      <c r="P1486" s="16">
        <f t="shared" ref="P1486:Q1486" si="2082">SUM(P1481:P1485)</f>
        <v>482000</v>
      </c>
      <c r="Q1486" s="16">
        <f t="shared" si="2082"/>
        <v>494100</v>
      </c>
      <c r="R1486" s="16">
        <f t="shared" ref="R1486" si="2083">SUM(R1481:R1485)</f>
        <v>506500</v>
      </c>
      <c r="S1486" s="2342">
        <f t="shared" ref="S1486" si="2084">SUM(S1481:S1485)</f>
        <v>519200</v>
      </c>
      <c r="U1486" s="34"/>
    </row>
    <row r="1487" spans="1:21" x14ac:dyDescent="0.2">
      <c r="A1487" s="45"/>
      <c r="B1487" s="9"/>
      <c r="C1487" s="134"/>
      <c r="D1487" s="134"/>
      <c r="E1487" s="1442"/>
      <c r="F1487" s="167"/>
      <c r="G1487" s="21"/>
      <c r="H1487" s="9"/>
      <c r="I1487" s="85"/>
      <c r="J1487" s="9"/>
      <c r="K1487" s="9"/>
      <c r="L1487" s="9"/>
      <c r="M1487" s="9"/>
      <c r="N1487" s="9"/>
      <c r="O1487" s="9"/>
      <c r="P1487" s="9"/>
      <c r="Q1487" s="9"/>
      <c r="R1487" s="9"/>
      <c r="S1487" s="47"/>
    </row>
    <row r="1488" spans="1:21" x14ac:dyDescent="0.2">
      <c r="A1488" s="54"/>
      <c r="B1488" s="9"/>
      <c r="C1488" s="134"/>
      <c r="D1488" s="134"/>
      <c r="E1488" s="1442"/>
      <c r="F1488" s="167"/>
      <c r="G1488" s="256" t="s">
        <v>2169</v>
      </c>
      <c r="H1488" s="9"/>
      <c r="I1488" s="85"/>
      <c r="J1488" s="9"/>
      <c r="K1488" s="9"/>
      <c r="L1488" s="9"/>
      <c r="M1488" s="9"/>
      <c r="N1488" s="9"/>
      <c r="O1488" s="9"/>
      <c r="P1488" s="9"/>
      <c r="Q1488" s="9"/>
      <c r="R1488" s="9"/>
      <c r="S1488" s="47"/>
    </row>
    <row r="1489" spans="1:19" x14ac:dyDescent="0.2">
      <c r="A1489" s="54"/>
      <c r="B1489" s="9"/>
      <c r="E1489" s="1442"/>
      <c r="F1489" s="1618"/>
      <c r="G1489" s="385"/>
      <c r="H1489" s="9"/>
      <c r="I1489" s="85"/>
      <c r="J1489" s="9"/>
      <c r="K1489" s="9"/>
      <c r="L1489" s="9"/>
      <c r="M1489" s="9"/>
      <c r="N1489" s="9"/>
      <c r="O1489" s="9"/>
      <c r="P1489" s="9"/>
      <c r="Q1489" s="9"/>
      <c r="R1489" s="9"/>
      <c r="S1489" s="47"/>
    </row>
    <row r="1490" spans="1:19" x14ac:dyDescent="0.2">
      <c r="A1490" s="54"/>
      <c r="B1490" s="9"/>
      <c r="E1490" s="1442"/>
      <c r="F1490" s="1618"/>
      <c r="G1490" s="419" t="s">
        <v>2014</v>
      </c>
      <c r="H1490" s="9"/>
      <c r="I1490" s="85"/>
      <c r="J1490" s="9"/>
      <c r="K1490" s="9"/>
      <c r="L1490" s="9"/>
      <c r="M1490" s="9"/>
      <c r="N1490" s="9"/>
      <c r="O1490" s="9"/>
      <c r="P1490" s="9"/>
      <c r="Q1490" s="9"/>
      <c r="R1490" s="9"/>
      <c r="S1490" s="47"/>
    </row>
    <row r="1491" spans="1:19" x14ac:dyDescent="0.2">
      <c r="A1491" s="54">
        <v>17400</v>
      </c>
      <c r="B1491" s="9">
        <v>19100</v>
      </c>
      <c r="C1491" s="136">
        <v>18600</v>
      </c>
      <c r="D1491" s="136">
        <v>19500</v>
      </c>
      <c r="E1491" s="1442">
        <v>23900</v>
      </c>
      <c r="F1491" s="469" t="s">
        <v>2878</v>
      </c>
      <c r="G1491" s="661" t="s">
        <v>4123</v>
      </c>
      <c r="H1491" s="9">
        <f>19700-500</f>
        <v>19200</v>
      </c>
      <c r="I1491" s="85">
        <f t="shared" ref="I1491:I1501" si="2085">IF(E1491=H1491,0,IF(E1491=0,100,(H1491-E1491)/E1491*100))</f>
        <v>-19.665271966527197</v>
      </c>
      <c r="J1491" s="9">
        <f>ROUNDUP(H1491+(H1491*Assumptions!I$5),-2)</f>
        <v>19700</v>
      </c>
      <c r="K1491" s="9">
        <f>ROUNDUP(J1491+(J1491*Assumptions!J$5),-2)</f>
        <v>20200</v>
      </c>
      <c r="L1491" s="9">
        <f>ROUNDUP(K1491+(K1491*Assumptions!K$5),-2)</f>
        <v>20800</v>
      </c>
      <c r="M1491" s="9">
        <f>ROUNDUP(L1491+(L1491*Assumptions!L$5),-2)</f>
        <v>21400</v>
      </c>
      <c r="N1491" s="9">
        <f>ROUNDUP(M1491+(M1491*Assumptions!M$5),-2)</f>
        <v>22000</v>
      </c>
      <c r="O1491" s="9">
        <f>ROUNDUP(N1491+(N1491*Assumptions!N$5),-2)</f>
        <v>22600</v>
      </c>
      <c r="P1491" s="9">
        <f>ROUNDUP(O1491+(O1491*Assumptions!O$5),-2)</f>
        <v>23200</v>
      </c>
      <c r="Q1491" s="9">
        <f>ROUNDUP(P1491+(P1491*Assumptions!P$5),-2)</f>
        <v>23800</v>
      </c>
      <c r="R1491" s="9">
        <f>ROUNDUP(Q1491+(Q1491*Assumptions!Q$5),-2)</f>
        <v>24400</v>
      </c>
      <c r="S1491" s="47">
        <f>ROUNDUP(R1491+(R1491*Assumptions!R$5),-2)</f>
        <v>25100</v>
      </c>
    </row>
    <row r="1492" spans="1:19" x14ac:dyDescent="0.2">
      <c r="A1492" s="54">
        <v>100500</v>
      </c>
      <c r="B1492" s="9">
        <v>59400</v>
      </c>
      <c r="C1492" s="136">
        <v>90000</v>
      </c>
      <c r="D1492" s="136">
        <v>90200</v>
      </c>
      <c r="E1492" s="1442">
        <v>93300</v>
      </c>
      <c r="F1492" s="469" t="s">
        <v>1157</v>
      </c>
      <c r="G1492" s="385" t="s">
        <v>1361</v>
      </c>
      <c r="H1492" s="9">
        <v>98500</v>
      </c>
      <c r="I1492" s="85">
        <f t="shared" si="2085"/>
        <v>5.5734190782422299</v>
      </c>
      <c r="J1492" s="9">
        <f>ROUNDUP(H1492+(H1492*Assumptions!I$5),-2)</f>
        <v>100800</v>
      </c>
      <c r="K1492" s="9">
        <f>ROUNDUP(J1492+(J1492*Assumptions!J$5),-2)</f>
        <v>103400</v>
      </c>
      <c r="L1492" s="9">
        <f>ROUNDUP(K1492+(K1492*Assumptions!K$5),-2)</f>
        <v>106000</v>
      </c>
      <c r="M1492" s="9">
        <f>ROUNDUP(L1492+(L1492*Assumptions!L$5),-2)</f>
        <v>108700</v>
      </c>
      <c r="N1492" s="9">
        <f>ROUNDUP(M1492+(M1492*Assumptions!M$5),-2)</f>
        <v>111500</v>
      </c>
      <c r="O1492" s="9">
        <f>ROUNDUP(N1492+(N1492*Assumptions!N$5),-2)</f>
        <v>114300</v>
      </c>
      <c r="P1492" s="9">
        <f>ROUNDUP(O1492+(O1492*Assumptions!O$5),-2)</f>
        <v>117200</v>
      </c>
      <c r="Q1492" s="9">
        <f>ROUNDUP(P1492+(P1492*Assumptions!P$5),-2)</f>
        <v>120200</v>
      </c>
      <c r="R1492" s="9">
        <f>ROUNDUP(Q1492+(Q1492*Assumptions!Q$5),-2)</f>
        <v>123300</v>
      </c>
      <c r="S1492" s="47">
        <f>ROUNDUP(R1492+(R1492*Assumptions!R$5),-2)</f>
        <v>126400</v>
      </c>
    </row>
    <row r="1493" spans="1:19" x14ac:dyDescent="0.2">
      <c r="A1493" s="54">
        <v>19900</v>
      </c>
      <c r="B1493" s="9">
        <v>18600</v>
      </c>
      <c r="C1493" s="136">
        <v>21100</v>
      </c>
      <c r="D1493" s="136">
        <v>17900</v>
      </c>
      <c r="E1493" s="1442">
        <v>26200</v>
      </c>
      <c r="F1493" s="469" t="s">
        <v>1158</v>
      </c>
      <c r="G1493" s="385" t="s">
        <v>1187</v>
      </c>
      <c r="H1493" s="9">
        <v>24900</v>
      </c>
      <c r="I1493" s="85">
        <f t="shared" si="2085"/>
        <v>-4.9618320610687023</v>
      </c>
      <c r="J1493" s="9">
        <f>ROUNDUP(H1493+(H1493*Assumptions!I$5),-2)</f>
        <v>25500</v>
      </c>
      <c r="K1493" s="9">
        <f>ROUNDUP(J1493+(J1493*Assumptions!J$5),-2)</f>
        <v>26200</v>
      </c>
      <c r="L1493" s="9">
        <f>ROUNDUP(K1493+(K1493*Assumptions!K$5),-2)</f>
        <v>26900</v>
      </c>
      <c r="M1493" s="9">
        <f>ROUNDUP(L1493+(L1493*Assumptions!L$5),-2)</f>
        <v>27600</v>
      </c>
      <c r="N1493" s="9">
        <f>ROUNDUP(M1493+(M1493*Assumptions!M$5),-2)</f>
        <v>28300</v>
      </c>
      <c r="O1493" s="9">
        <f>ROUNDUP(N1493+(N1493*Assumptions!N$5),-2)</f>
        <v>29100</v>
      </c>
      <c r="P1493" s="9">
        <f>ROUNDUP(O1493+(O1493*Assumptions!O$5),-2)</f>
        <v>29900</v>
      </c>
      <c r="Q1493" s="9">
        <f>ROUNDUP(P1493+(P1493*Assumptions!P$5),-2)</f>
        <v>30700</v>
      </c>
      <c r="R1493" s="9">
        <f>ROUNDUP(Q1493+(Q1493*Assumptions!Q$5),-2)</f>
        <v>31500</v>
      </c>
      <c r="S1493" s="47">
        <f>ROUNDUP(R1493+(R1493*Assumptions!R$5),-2)</f>
        <v>32300</v>
      </c>
    </row>
    <row r="1494" spans="1:19" x14ac:dyDescent="0.2">
      <c r="A1494" s="54">
        <v>8800</v>
      </c>
      <c r="B1494" s="9">
        <v>13200</v>
      </c>
      <c r="C1494" s="136">
        <v>13300</v>
      </c>
      <c r="D1494" s="136">
        <v>13700</v>
      </c>
      <c r="E1494" s="1442">
        <v>15300</v>
      </c>
      <c r="F1494" s="469" t="s">
        <v>1159</v>
      </c>
      <c r="G1494" s="385" t="s">
        <v>729</v>
      </c>
      <c r="H1494" s="9">
        <v>13200</v>
      </c>
      <c r="I1494" s="85">
        <f t="shared" si="2085"/>
        <v>-13.725490196078432</v>
      </c>
      <c r="J1494" s="9">
        <f>ROUNDUP(H1494+(H1494*Assumptions!I$5),-2)</f>
        <v>13600</v>
      </c>
      <c r="K1494" s="9">
        <f>ROUNDUP(J1494+(J1494*Assumptions!J$5),-2)</f>
        <v>14000</v>
      </c>
      <c r="L1494" s="9">
        <f>ROUNDUP(K1494+(K1494*Assumptions!K$5),-2)</f>
        <v>14400</v>
      </c>
      <c r="M1494" s="9">
        <f>ROUNDUP(L1494+(L1494*Assumptions!L$5),-2)</f>
        <v>14800</v>
      </c>
      <c r="N1494" s="9">
        <f>ROUNDUP(M1494+(M1494*Assumptions!M$5),-2)</f>
        <v>15200</v>
      </c>
      <c r="O1494" s="9">
        <f>ROUNDUP(N1494+(N1494*Assumptions!N$5),-2)</f>
        <v>15600</v>
      </c>
      <c r="P1494" s="9">
        <f>ROUNDUP(O1494+(O1494*Assumptions!O$5),-2)</f>
        <v>16000</v>
      </c>
      <c r="Q1494" s="9">
        <f>ROUNDUP(P1494+(P1494*Assumptions!P$5),-2)</f>
        <v>16400</v>
      </c>
      <c r="R1494" s="9">
        <f>ROUNDUP(Q1494+(Q1494*Assumptions!Q$5),-2)</f>
        <v>16900</v>
      </c>
      <c r="S1494" s="47">
        <f>ROUNDUP(R1494+(R1494*Assumptions!R$5),-2)</f>
        <v>17400</v>
      </c>
    </row>
    <row r="1495" spans="1:19" x14ac:dyDescent="0.2">
      <c r="A1495" s="54">
        <v>83100</v>
      </c>
      <c r="B1495" s="9">
        <v>79300</v>
      </c>
      <c r="C1495" s="136">
        <v>97300</v>
      </c>
      <c r="D1495" s="136">
        <v>107000</v>
      </c>
      <c r="E1495" s="1442">
        <v>118000</v>
      </c>
      <c r="F1495" s="469" t="s">
        <v>2029</v>
      </c>
      <c r="G1495" s="385" t="s">
        <v>1126</v>
      </c>
      <c r="H1495" s="9">
        <v>98500</v>
      </c>
      <c r="I1495" s="85">
        <f t="shared" si="2085"/>
        <v>-16.525423728813561</v>
      </c>
      <c r="J1495" s="9">
        <f>ROUNDUP(H1495+(H1495*Assumptions!I$5),-2)</f>
        <v>100800</v>
      </c>
      <c r="K1495" s="9">
        <f>ROUNDUP(J1495+(J1495*Assumptions!J$5),-2)</f>
        <v>103400</v>
      </c>
      <c r="L1495" s="9">
        <f>ROUNDUP(K1495+(K1495*Assumptions!K$5),-2)</f>
        <v>106000</v>
      </c>
      <c r="M1495" s="9">
        <f>ROUNDUP(L1495+(L1495*Assumptions!L$5),-2)</f>
        <v>108700</v>
      </c>
      <c r="N1495" s="9">
        <f>ROUNDUP(M1495+(M1495*Assumptions!M$5),-2)</f>
        <v>111500</v>
      </c>
      <c r="O1495" s="9">
        <f>ROUNDUP(N1495+(N1495*Assumptions!N$5),-2)</f>
        <v>114300</v>
      </c>
      <c r="P1495" s="9">
        <f>ROUNDUP(O1495+(O1495*Assumptions!O$5),-2)</f>
        <v>117200</v>
      </c>
      <c r="Q1495" s="9">
        <f>ROUNDUP(P1495+(P1495*Assumptions!P$5),-2)</f>
        <v>120200</v>
      </c>
      <c r="R1495" s="9">
        <f>ROUNDUP(Q1495+(Q1495*Assumptions!Q$5),-2)</f>
        <v>123300</v>
      </c>
      <c r="S1495" s="47">
        <f>ROUNDUP(R1495+(R1495*Assumptions!R$5),-2)</f>
        <v>126400</v>
      </c>
    </row>
    <row r="1496" spans="1:19" x14ac:dyDescent="0.2">
      <c r="A1496" s="54">
        <v>15700</v>
      </c>
      <c r="B1496" s="9">
        <v>19300</v>
      </c>
      <c r="C1496" s="136">
        <v>20500</v>
      </c>
      <c r="D1496" s="136">
        <v>23800</v>
      </c>
      <c r="E1496" s="1442">
        <v>25100</v>
      </c>
      <c r="F1496" s="469" t="s">
        <v>2876</v>
      </c>
      <c r="G1496" s="385" t="s">
        <v>1127</v>
      </c>
      <c r="H1496" s="9">
        <v>20900</v>
      </c>
      <c r="I1496" s="85">
        <f t="shared" si="2085"/>
        <v>-16.733067729083665</v>
      </c>
      <c r="J1496" s="9">
        <f>ROUNDUP(H1496+(H1496*Assumptions!I$5),-2)</f>
        <v>21400</v>
      </c>
      <c r="K1496" s="9">
        <f>ROUNDUP(J1496+(J1496*Assumptions!J$5),-2)</f>
        <v>22000</v>
      </c>
      <c r="L1496" s="9">
        <f>ROUNDUP(K1496+(K1496*Assumptions!K$5),-2)</f>
        <v>22600</v>
      </c>
      <c r="M1496" s="9">
        <f>ROUNDUP(L1496+(L1496*Assumptions!L$5),-2)</f>
        <v>23200</v>
      </c>
      <c r="N1496" s="9">
        <f>ROUNDUP(M1496+(M1496*Assumptions!M$5),-2)</f>
        <v>23800</v>
      </c>
      <c r="O1496" s="9">
        <f>ROUNDUP(N1496+(N1496*Assumptions!N$5),-2)</f>
        <v>24400</v>
      </c>
      <c r="P1496" s="9">
        <f>ROUNDUP(O1496+(O1496*Assumptions!O$5),-2)</f>
        <v>25100</v>
      </c>
      <c r="Q1496" s="9">
        <f>ROUNDUP(P1496+(P1496*Assumptions!P$5),-2)</f>
        <v>25800</v>
      </c>
      <c r="R1496" s="9">
        <f>ROUNDUP(Q1496+(Q1496*Assumptions!Q$5),-2)</f>
        <v>26500</v>
      </c>
      <c r="S1496" s="47">
        <f>ROUNDUP(R1496+(R1496*Assumptions!R$5),-2)</f>
        <v>27200</v>
      </c>
    </row>
    <row r="1497" spans="1:19" x14ac:dyDescent="0.2">
      <c r="A1497" s="54">
        <v>12000</v>
      </c>
      <c r="B1497" s="9">
        <v>10600</v>
      </c>
      <c r="C1497" s="136">
        <v>14200</v>
      </c>
      <c r="D1497" s="136">
        <v>17100</v>
      </c>
      <c r="E1497" s="1442">
        <v>16700</v>
      </c>
      <c r="F1497" s="469" t="s">
        <v>2877</v>
      </c>
      <c r="G1497" s="385" t="s">
        <v>1128</v>
      </c>
      <c r="H1497" s="9">
        <v>15300</v>
      </c>
      <c r="I1497" s="85">
        <f t="shared" si="2085"/>
        <v>-8.3832335329341312</v>
      </c>
      <c r="J1497" s="9">
        <f>ROUNDUP(H1497+(H1497*Assumptions!I$5),-2)</f>
        <v>15700</v>
      </c>
      <c r="K1497" s="9">
        <f>ROUNDUP(J1497+(J1497*Assumptions!J$5),-2)</f>
        <v>16100</v>
      </c>
      <c r="L1497" s="9">
        <f>ROUNDUP(K1497+(K1497*Assumptions!K$5),-2)</f>
        <v>16600</v>
      </c>
      <c r="M1497" s="9">
        <f>ROUNDUP(L1497+(L1497*Assumptions!L$5),-2)</f>
        <v>17100</v>
      </c>
      <c r="N1497" s="9">
        <f>ROUNDUP(M1497+(M1497*Assumptions!M$5),-2)</f>
        <v>17600</v>
      </c>
      <c r="O1497" s="9">
        <f>ROUNDUP(N1497+(N1497*Assumptions!N$5),-2)</f>
        <v>18100</v>
      </c>
      <c r="P1497" s="9">
        <f>ROUNDUP(O1497+(O1497*Assumptions!O$5),-2)</f>
        <v>18600</v>
      </c>
      <c r="Q1497" s="9">
        <f>ROUNDUP(P1497+(P1497*Assumptions!P$5),-2)</f>
        <v>19100</v>
      </c>
      <c r="R1497" s="9">
        <f>ROUNDUP(Q1497+(Q1497*Assumptions!Q$5),-2)</f>
        <v>19600</v>
      </c>
      <c r="S1497" s="47">
        <f>ROUNDUP(R1497+(R1497*Assumptions!R$5),-2)</f>
        <v>20100</v>
      </c>
    </row>
    <row r="1498" spans="1:19" ht="12.75" customHeight="1" x14ac:dyDescent="0.2">
      <c r="A1498" s="54"/>
      <c r="B1498" s="9"/>
      <c r="E1498" s="1442"/>
      <c r="F1498" s="469"/>
      <c r="G1498" s="385"/>
      <c r="H1498" s="9"/>
      <c r="I1498" s="85">
        <f t="shared" si="2085"/>
        <v>0</v>
      </c>
      <c r="J1498" s="9"/>
      <c r="K1498" s="9"/>
      <c r="L1498" s="9"/>
      <c r="M1498" s="9"/>
      <c r="N1498" s="9"/>
      <c r="O1498" s="9"/>
      <c r="P1498" s="9"/>
      <c r="Q1498" s="9"/>
      <c r="R1498" s="9"/>
      <c r="S1498" s="47"/>
    </row>
    <row r="1499" spans="1:19" ht="12.75" customHeight="1" x14ac:dyDescent="0.2">
      <c r="A1499" s="54"/>
      <c r="B1499" s="9"/>
      <c r="E1499" s="1442"/>
      <c r="F1499" s="469"/>
      <c r="G1499" s="260" t="s">
        <v>2240</v>
      </c>
      <c r="H1499" s="9"/>
      <c r="I1499" s="85">
        <f t="shared" si="2085"/>
        <v>0</v>
      </c>
      <c r="J1499" s="9"/>
      <c r="K1499" s="9"/>
      <c r="L1499" s="9"/>
      <c r="M1499" s="9"/>
      <c r="N1499" s="9"/>
      <c r="O1499" s="9"/>
      <c r="P1499" s="9"/>
      <c r="Q1499" s="9"/>
      <c r="R1499" s="9"/>
      <c r="S1499" s="47"/>
    </row>
    <row r="1500" spans="1:19" ht="12.75" customHeight="1" x14ac:dyDescent="0.2">
      <c r="A1500" s="54">
        <v>0</v>
      </c>
      <c r="B1500" s="9"/>
      <c r="C1500" s="136">
        <v>0</v>
      </c>
      <c r="D1500" s="136">
        <f>ROUNDUP(C1500+(C1500*Assumptions!F$5),-2)</f>
        <v>0</v>
      </c>
      <c r="E1500" s="1442"/>
      <c r="F1500" s="769" t="s">
        <v>2992</v>
      </c>
      <c r="G1500" s="661" t="s">
        <v>2991</v>
      </c>
      <c r="H1500" s="9">
        <v>0</v>
      </c>
      <c r="I1500" s="85">
        <f t="shared" si="2085"/>
        <v>0</v>
      </c>
      <c r="J1500" s="9">
        <f>ROUNDUP(H1500+(H1500*Assumptions!I$5),-2)</f>
        <v>0</v>
      </c>
      <c r="K1500" s="9">
        <f>ROUNDUP(J1500+(J1500*Assumptions!J$5),-2)</f>
        <v>0</v>
      </c>
      <c r="L1500" s="9">
        <f>ROUNDUP(K1500+(K1500*Assumptions!K$5),-2)</f>
        <v>0</v>
      </c>
      <c r="M1500" s="9">
        <f>ROUNDUP(L1500+(L1500*Assumptions!L$5),-2)</f>
        <v>0</v>
      </c>
      <c r="N1500" s="9">
        <f>ROUNDUP(M1500+(M1500*Assumptions!M$5),-2)</f>
        <v>0</v>
      </c>
      <c r="O1500" s="9">
        <f>ROUNDUP(N1500+(N1500*Assumptions!N$5),-2)</f>
        <v>0</v>
      </c>
      <c r="P1500" s="9">
        <f>ROUNDUP(O1500+(O1500*Assumptions!O$5),-2)</f>
        <v>0</v>
      </c>
      <c r="Q1500" s="9">
        <f>ROUNDUP(P1500+(P1500*Assumptions!P$5),-2)</f>
        <v>0</v>
      </c>
      <c r="R1500" s="9">
        <f>ROUNDUP(Q1500+(Q1500*Assumptions!Q$5),-2)</f>
        <v>0</v>
      </c>
      <c r="S1500" s="47">
        <f>ROUNDUP(R1500+(R1500*Assumptions!R$5),-2)</f>
        <v>0</v>
      </c>
    </row>
    <row r="1501" spans="1:19" ht="12.75" customHeight="1" x14ac:dyDescent="0.2">
      <c r="A1501" s="54">
        <v>0</v>
      </c>
      <c r="B1501" s="9">
        <v>0</v>
      </c>
      <c r="C1501" s="136">
        <v>0</v>
      </c>
      <c r="D1501" s="136">
        <f>-D1500</f>
        <v>0</v>
      </c>
      <c r="E1501" s="1442"/>
      <c r="F1501" s="769" t="s">
        <v>2999</v>
      </c>
      <c r="G1501" s="661" t="s">
        <v>3000</v>
      </c>
      <c r="H1501" s="134">
        <v>0</v>
      </c>
      <c r="I1501" s="85">
        <f t="shared" si="2085"/>
        <v>0</v>
      </c>
      <c r="J1501" s="134">
        <f t="shared" ref="J1501:O1501" si="2086">-J1500</f>
        <v>0</v>
      </c>
      <c r="K1501" s="134">
        <f t="shared" si="2086"/>
        <v>0</v>
      </c>
      <c r="L1501" s="134">
        <f t="shared" si="2086"/>
        <v>0</v>
      </c>
      <c r="M1501" s="134">
        <f t="shared" si="2086"/>
        <v>0</v>
      </c>
      <c r="N1501" s="134">
        <f t="shared" si="2086"/>
        <v>0</v>
      </c>
      <c r="O1501" s="134">
        <f t="shared" si="2086"/>
        <v>0</v>
      </c>
      <c r="P1501" s="134">
        <f t="shared" ref="P1501:Q1501" si="2087">-P1500</f>
        <v>0</v>
      </c>
      <c r="Q1501" s="134">
        <f t="shared" si="2087"/>
        <v>0</v>
      </c>
      <c r="R1501" s="134">
        <f t="shared" ref="R1501" si="2088">-R1500</f>
        <v>0</v>
      </c>
      <c r="S1501" s="2359">
        <f t="shared" ref="S1501" si="2089">-S1500</f>
        <v>0</v>
      </c>
    </row>
    <row r="1502" spans="1:19" ht="12.75" customHeight="1" x14ac:dyDescent="0.2">
      <c r="A1502" s="54"/>
      <c r="B1502" s="9"/>
      <c r="E1502" s="1442"/>
      <c r="F1502" s="469"/>
      <c r="G1502" s="9"/>
      <c r="H1502" s="9"/>
      <c r="I1502" s="85"/>
      <c r="J1502" s="9"/>
      <c r="K1502" s="9"/>
      <c r="L1502" s="9"/>
      <c r="M1502" s="9"/>
      <c r="N1502" s="9"/>
      <c r="O1502" s="9"/>
      <c r="P1502" s="9"/>
      <c r="Q1502" s="9"/>
      <c r="R1502" s="9"/>
      <c r="S1502" s="47"/>
    </row>
    <row r="1503" spans="1:19" x14ac:dyDescent="0.2">
      <c r="A1503" s="54"/>
      <c r="B1503" s="9"/>
      <c r="E1503" s="144"/>
      <c r="F1503" s="469"/>
      <c r="G1503" s="21" t="str">
        <f>G1199</f>
        <v>Non-Cash Expenses</v>
      </c>
      <c r="H1503" s="9"/>
      <c r="I1503" s="85"/>
      <c r="J1503" s="9"/>
      <c r="K1503" s="9"/>
      <c r="L1503" s="9"/>
      <c r="M1503" s="9"/>
      <c r="N1503" s="9"/>
      <c r="O1503" s="9"/>
      <c r="P1503" s="9"/>
      <c r="Q1503" s="9"/>
      <c r="R1503" s="9"/>
      <c r="S1503" s="47"/>
    </row>
    <row r="1504" spans="1:19" x14ac:dyDescent="0.2">
      <c r="A1504" s="54">
        <v>5000</v>
      </c>
      <c r="B1504" s="9">
        <v>7200</v>
      </c>
      <c r="C1504" s="136">
        <v>21300</v>
      </c>
      <c r="D1504" s="136">
        <v>19600</v>
      </c>
      <c r="E1504" s="144">
        <v>19000</v>
      </c>
      <c r="F1504" s="469" t="s">
        <v>2879</v>
      </c>
      <c r="G1504" s="420" t="s">
        <v>1637</v>
      </c>
      <c r="H1504" s="9">
        <v>22500</v>
      </c>
      <c r="I1504" s="85">
        <f>IF(E1504=H1504,0,IF(E1504=0,100,(H1504-E1504)/E1504*100))</f>
        <v>18.421052631578945</v>
      </c>
      <c r="J1504" s="9">
        <f>ROUNDUP(H1504+(H1504*Assumptions!I$18),-2)</f>
        <v>23000</v>
      </c>
      <c r="K1504" s="9">
        <f>ROUNDUP(J1504+(J1504*Assumptions!J$18),-2)</f>
        <v>23500</v>
      </c>
      <c r="L1504" s="9">
        <f>ROUNDUP(K1504+(K1504*Assumptions!K$18),-2)</f>
        <v>24000</v>
      </c>
      <c r="M1504" s="9">
        <f>ROUNDUP(L1504+(L1504*Assumptions!L$18),-2)</f>
        <v>24500</v>
      </c>
      <c r="N1504" s="9">
        <f>ROUNDUP(M1504+(M1504*Assumptions!M$18),-2)</f>
        <v>25000</v>
      </c>
      <c r="O1504" s="9">
        <f>ROUNDUP(N1504+(N1504*Assumptions!N$18),-2)</f>
        <v>25500</v>
      </c>
      <c r="P1504" s="9">
        <f>ROUNDUP(O1504+(O1504*Assumptions!O$18),-2)</f>
        <v>26100</v>
      </c>
      <c r="Q1504" s="9">
        <f>ROUNDUP(P1504+(P1504*Assumptions!P$18),-2)</f>
        <v>26700</v>
      </c>
      <c r="R1504" s="9">
        <f>ROUNDUP(Q1504+(Q1504*Assumptions!Q$18),-2)</f>
        <v>27300</v>
      </c>
      <c r="S1504" s="47">
        <f>ROUNDUP(R1504+(R1504*Assumptions!R$18),-2)</f>
        <v>27900</v>
      </c>
    </row>
    <row r="1505" spans="1:21" ht="13.5" thickBot="1" x14ac:dyDescent="0.25">
      <c r="A1505" s="54"/>
      <c r="B1505" s="9"/>
      <c r="D1505" s="134"/>
      <c r="E1505" s="144"/>
      <c r="F1505" s="167"/>
      <c r="G1505" s="9"/>
      <c r="H1505" s="9"/>
      <c r="I1505" s="85"/>
      <c r="J1505" s="9"/>
      <c r="K1505" s="9"/>
      <c r="L1505" s="9"/>
      <c r="M1505" s="9"/>
      <c r="N1505" s="9"/>
      <c r="O1505" s="9"/>
      <c r="P1505" s="9"/>
      <c r="Q1505" s="9"/>
      <c r="R1505" s="9"/>
      <c r="S1505" s="47"/>
    </row>
    <row r="1506" spans="1:21" s="39" customFormat="1" x14ac:dyDescent="0.2">
      <c r="A1506" s="52">
        <f>SUM(A1488:A1505)</f>
        <v>262400</v>
      </c>
      <c r="B1506" s="16">
        <f>SUM(B1488:B1505)</f>
        <v>226700</v>
      </c>
      <c r="C1506" s="137">
        <f>SUM(C1488:C1505)</f>
        <v>296300</v>
      </c>
      <c r="D1506" s="137">
        <f>SUM(D1488:D1505)</f>
        <v>308800</v>
      </c>
      <c r="E1506" s="1473">
        <f t="shared" ref="E1506" si="2090">SUM(E1488:E1505)</f>
        <v>337500</v>
      </c>
      <c r="F1506" s="173"/>
      <c r="G1506" s="267" t="s">
        <v>556</v>
      </c>
      <c r="H1506" s="16">
        <f t="shared" ref="H1506:O1506" si="2091">SUM(H1488:H1505)</f>
        <v>313000</v>
      </c>
      <c r="I1506" s="127">
        <f>IF(E1506=H1506,0,IF(E1506=0,100,(H1506-E1506)/E1506*100))</f>
        <v>-7.2592592592592595</v>
      </c>
      <c r="J1506" s="16">
        <f t="shared" si="2091"/>
        <v>320500</v>
      </c>
      <c r="K1506" s="16">
        <f t="shared" si="2091"/>
        <v>328800</v>
      </c>
      <c r="L1506" s="16">
        <f t="shared" si="2091"/>
        <v>337300</v>
      </c>
      <c r="M1506" s="16">
        <f t="shared" si="2091"/>
        <v>346000</v>
      </c>
      <c r="N1506" s="16">
        <f t="shared" si="2091"/>
        <v>354900</v>
      </c>
      <c r="O1506" s="16">
        <f t="shared" si="2091"/>
        <v>363900</v>
      </c>
      <c r="P1506" s="16">
        <f t="shared" ref="P1506:Q1506" si="2092">SUM(P1488:P1505)</f>
        <v>373300</v>
      </c>
      <c r="Q1506" s="16">
        <f t="shared" si="2092"/>
        <v>382900</v>
      </c>
      <c r="R1506" s="16">
        <f t="shared" ref="R1506" si="2093">SUM(R1488:R1505)</f>
        <v>392800</v>
      </c>
      <c r="S1506" s="2342">
        <f t="shared" ref="S1506" si="2094">SUM(S1488:S1505)</f>
        <v>402800</v>
      </c>
      <c r="U1506" s="34"/>
    </row>
    <row r="1507" spans="1:21" x14ac:dyDescent="0.2">
      <c r="A1507" s="54"/>
      <c r="B1507" s="9"/>
      <c r="E1507" s="1442"/>
      <c r="F1507" s="167"/>
      <c r="G1507" s="257"/>
      <c r="H1507" s="9"/>
      <c r="I1507" s="85"/>
      <c r="J1507" s="9"/>
      <c r="K1507" s="9"/>
      <c r="L1507" s="9"/>
      <c r="M1507" s="9"/>
      <c r="N1507" s="9"/>
      <c r="O1507" s="9"/>
      <c r="P1507" s="9"/>
      <c r="Q1507" s="9"/>
      <c r="R1507" s="9"/>
      <c r="S1507" s="47"/>
    </row>
    <row r="1508" spans="1:21" s="39" customFormat="1" x14ac:dyDescent="0.2">
      <c r="A1508" s="24">
        <f>A1486-A1506</f>
        <v>97900</v>
      </c>
      <c r="B1508" s="21">
        <f>B1486-B1506</f>
        <v>112900</v>
      </c>
      <c r="C1508" s="139">
        <f>C1486-C1506</f>
        <v>106900</v>
      </c>
      <c r="D1508" s="139">
        <f>D1486-D1506</f>
        <v>89500</v>
      </c>
      <c r="E1508" s="1444">
        <f t="shared" ref="E1508" si="2095">E1486-E1506</f>
        <v>115100</v>
      </c>
      <c r="F1508" s="173"/>
      <c r="G1508" s="260" t="s">
        <v>1002</v>
      </c>
      <c r="H1508" s="21">
        <f t="shared" ref="H1508:O1508" si="2096">H1486-H1506</f>
        <v>93000</v>
      </c>
      <c r="I1508" s="126">
        <f>IF(E1508=H1508,0,IF(E1508=0,100,(H1508-E1508)/E1508*100))</f>
        <v>-19.200695047784535</v>
      </c>
      <c r="J1508" s="21">
        <f t="shared" si="2096"/>
        <v>94900</v>
      </c>
      <c r="K1508" s="21">
        <f t="shared" si="2096"/>
        <v>97000</v>
      </c>
      <c r="L1508" s="21">
        <f t="shared" si="2096"/>
        <v>99200</v>
      </c>
      <c r="M1508" s="21">
        <f t="shared" si="2096"/>
        <v>101500</v>
      </c>
      <c r="N1508" s="21">
        <f t="shared" si="2096"/>
        <v>103800</v>
      </c>
      <c r="O1508" s="21">
        <f t="shared" si="2096"/>
        <v>106300</v>
      </c>
      <c r="P1508" s="21">
        <f t="shared" ref="P1508:Q1508" si="2097">P1486-P1506</f>
        <v>108700</v>
      </c>
      <c r="Q1508" s="21">
        <f t="shared" si="2097"/>
        <v>111200</v>
      </c>
      <c r="R1508" s="21">
        <f t="shared" ref="R1508" si="2098">R1486-R1506</f>
        <v>113700</v>
      </c>
      <c r="S1508" s="86">
        <f t="shared" ref="S1508" si="2099">S1486-S1506</f>
        <v>116400</v>
      </c>
      <c r="U1508" s="34"/>
    </row>
    <row r="1509" spans="1:21" x14ac:dyDescent="0.2">
      <c r="A1509" s="54">
        <f>SUM(A1504:A1504)</f>
        <v>5000</v>
      </c>
      <c r="B1509" s="9">
        <f>SUM(B1504:B1504)</f>
        <v>7200</v>
      </c>
      <c r="C1509" s="136">
        <f>SUM(C1504:C1504)</f>
        <v>21300</v>
      </c>
      <c r="D1509" s="136">
        <f>SUM(D1504:D1504)</f>
        <v>19600</v>
      </c>
      <c r="E1509" s="1442">
        <f t="shared" ref="E1509" si="2100">SUM(E1504:E1504)</f>
        <v>19000</v>
      </c>
      <c r="F1509" s="167"/>
      <c r="G1509" s="261" t="s">
        <v>1943</v>
      </c>
      <c r="H1509" s="134">
        <f t="shared" ref="H1509:O1509" si="2101">SUM(H1504:H1504)</f>
        <v>22500</v>
      </c>
      <c r="I1509" s="85">
        <f>IF(E1509=H1509,0,IF(E1509=0,100,(H1509-E1509)/E1509*100))</f>
        <v>18.421052631578945</v>
      </c>
      <c r="J1509" s="134">
        <f t="shared" si="2101"/>
        <v>23000</v>
      </c>
      <c r="K1509" s="134">
        <f t="shared" si="2101"/>
        <v>23500</v>
      </c>
      <c r="L1509" s="134">
        <f t="shared" si="2101"/>
        <v>24000</v>
      </c>
      <c r="M1509" s="134">
        <f t="shared" si="2101"/>
        <v>24500</v>
      </c>
      <c r="N1509" s="134">
        <f t="shared" si="2101"/>
        <v>25000</v>
      </c>
      <c r="O1509" s="134">
        <f t="shared" si="2101"/>
        <v>25500</v>
      </c>
      <c r="P1509" s="134">
        <f t="shared" ref="P1509:Q1509" si="2102">SUM(P1504:P1504)</f>
        <v>26100</v>
      </c>
      <c r="Q1509" s="134">
        <f t="shared" si="2102"/>
        <v>26700</v>
      </c>
      <c r="R1509" s="134">
        <f t="shared" ref="R1509" si="2103">SUM(R1504:R1504)</f>
        <v>27300</v>
      </c>
      <c r="S1509" s="2359">
        <f t="shared" ref="S1509" si="2104">SUM(S1504:S1504)</f>
        <v>27900</v>
      </c>
    </row>
    <row r="1510" spans="1:21" s="39" customFormat="1" x14ac:dyDescent="0.2">
      <c r="A1510" s="128">
        <f>A1508+A1509</f>
        <v>102900</v>
      </c>
      <c r="B1510" s="280">
        <f>B1508+B1509</f>
        <v>120100</v>
      </c>
      <c r="C1510" s="281">
        <f>C1508+C1509</f>
        <v>128200</v>
      </c>
      <c r="D1510" s="281">
        <f>D1508+D1509</f>
        <v>109100</v>
      </c>
      <c r="E1510" s="1515">
        <f t="shared" ref="E1510" si="2105">E1508+E1509</f>
        <v>134100</v>
      </c>
      <c r="F1510" s="372"/>
      <c r="G1510" s="363" t="s">
        <v>1659</v>
      </c>
      <c r="H1510" s="529">
        <f t="shared" ref="H1510:O1510" si="2106">H1508+H1509</f>
        <v>115500</v>
      </c>
      <c r="I1510" s="278">
        <f>IF(E1510=H1510,0,IF(E1510=0,100,(H1510-E1510)/E1510*100))</f>
        <v>-13.870246085011187</v>
      </c>
      <c r="J1510" s="529">
        <f t="shared" si="2106"/>
        <v>117900</v>
      </c>
      <c r="K1510" s="529">
        <f t="shared" si="2106"/>
        <v>120500</v>
      </c>
      <c r="L1510" s="529">
        <f t="shared" si="2106"/>
        <v>123200</v>
      </c>
      <c r="M1510" s="529">
        <f t="shared" si="2106"/>
        <v>126000</v>
      </c>
      <c r="N1510" s="529">
        <f t="shared" si="2106"/>
        <v>128800</v>
      </c>
      <c r="O1510" s="529">
        <f t="shared" si="2106"/>
        <v>131800</v>
      </c>
      <c r="P1510" s="529">
        <f t="shared" ref="P1510:Q1510" si="2107">P1508+P1509</f>
        <v>134800</v>
      </c>
      <c r="Q1510" s="529">
        <f t="shared" si="2107"/>
        <v>137900</v>
      </c>
      <c r="R1510" s="529">
        <f t="shared" ref="R1510" si="2108">R1508+R1509</f>
        <v>141000</v>
      </c>
      <c r="S1510" s="2410">
        <f t="shared" ref="S1510" si="2109">S1508+S1509</f>
        <v>144300</v>
      </c>
      <c r="U1510" s="34"/>
    </row>
    <row r="1511" spans="1:21" ht="13.5" thickBot="1" x14ac:dyDescent="0.25">
      <c r="A1511" s="544"/>
      <c r="B1511" s="21"/>
      <c r="C1511" s="138"/>
      <c r="D1511" s="138"/>
      <c r="E1511" s="1444"/>
      <c r="F1511" s="167"/>
      <c r="G1511" s="260"/>
      <c r="H1511" s="9"/>
      <c r="I1511" s="126"/>
      <c r="J1511" s="9"/>
      <c r="K1511" s="9"/>
      <c r="L1511" s="9"/>
      <c r="M1511" s="9"/>
      <c r="N1511" s="9"/>
      <c r="O1511" s="9"/>
      <c r="P1511" s="9"/>
      <c r="Q1511" s="9"/>
      <c r="R1511" s="9"/>
      <c r="S1511" s="61"/>
    </row>
    <row r="1512" spans="1:21" x14ac:dyDescent="0.2">
      <c r="A1512" s="52"/>
      <c r="B1512" s="102"/>
      <c r="C1512" s="137"/>
      <c r="D1512" s="137"/>
      <c r="E1512" s="1473"/>
      <c r="F1512" s="2425"/>
      <c r="G1512" s="262"/>
      <c r="H1512" s="116"/>
      <c r="I1512" s="127"/>
      <c r="J1512" s="116"/>
      <c r="K1512" s="116"/>
      <c r="L1512" s="116"/>
      <c r="M1512" s="116"/>
      <c r="N1512" s="116"/>
      <c r="O1512" s="116"/>
      <c r="P1512" s="116"/>
      <c r="Q1512" s="116"/>
      <c r="R1512" s="116"/>
      <c r="S1512" s="1015"/>
    </row>
    <row r="1513" spans="1:21" x14ac:dyDescent="0.2">
      <c r="A1513" s="24"/>
      <c r="B1513" s="75"/>
      <c r="C1513" s="139"/>
      <c r="D1513" s="139"/>
      <c r="E1513" s="143"/>
      <c r="F1513" s="167"/>
      <c r="G1513" s="361" t="s">
        <v>192</v>
      </c>
      <c r="H1513" s="9"/>
      <c r="I1513" s="126"/>
      <c r="J1513" s="9"/>
      <c r="K1513" s="9"/>
      <c r="L1513" s="9"/>
      <c r="M1513" s="9"/>
      <c r="N1513" s="9"/>
      <c r="O1513" s="9"/>
      <c r="P1513" s="9"/>
      <c r="Q1513" s="9"/>
      <c r="R1513" s="9"/>
      <c r="S1513" s="61"/>
    </row>
    <row r="1514" spans="1:21" x14ac:dyDescent="0.2">
      <c r="A1514" s="24"/>
      <c r="B1514" s="75"/>
      <c r="C1514" s="139"/>
      <c r="D1514" s="139"/>
      <c r="E1514" s="143"/>
      <c r="F1514" s="167"/>
      <c r="G1514" s="260"/>
      <c r="H1514" s="9"/>
      <c r="I1514" s="126"/>
      <c r="J1514" s="9"/>
      <c r="K1514" s="9"/>
      <c r="L1514" s="9"/>
      <c r="M1514" s="9"/>
      <c r="N1514" s="9"/>
      <c r="O1514" s="9"/>
      <c r="P1514" s="9"/>
      <c r="Q1514" s="9"/>
      <c r="R1514" s="9"/>
      <c r="S1514" s="61"/>
    </row>
    <row r="1515" spans="1:21" x14ac:dyDescent="0.2">
      <c r="A1515" s="54">
        <v>0</v>
      </c>
      <c r="B1515" s="89">
        <v>0</v>
      </c>
      <c r="C1515" s="136">
        <v>0</v>
      </c>
      <c r="D1515" s="136">
        <v>0</v>
      </c>
      <c r="E1515" s="144">
        <v>0</v>
      </c>
      <c r="F1515" s="167"/>
      <c r="G1515" s="257" t="s">
        <v>2848</v>
      </c>
      <c r="H1515" s="9">
        <v>0</v>
      </c>
      <c r="I1515" s="85">
        <f>IF(E1515=H1515,0,IF(E1515=0,100,(H1515-E1515)/E1515*100))</f>
        <v>0</v>
      </c>
      <c r="J1515" s="9">
        <v>0</v>
      </c>
      <c r="K1515" s="9">
        <v>0</v>
      </c>
      <c r="L1515" s="9">
        <v>0</v>
      </c>
      <c r="M1515" s="9">
        <v>0</v>
      </c>
      <c r="N1515" s="9">
        <v>0</v>
      </c>
      <c r="O1515" s="9">
        <v>0</v>
      </c>
      <c r="P1515" s="9">
        <v>0</v>
      </c>
      <c r="Q1515" s="9">
        <v>0</v>
      </c>
      <c r="R1515" s="9">
        <v>0</v>
      </c>
      <c r="S1515" s="61">
        <v>0</v>
      </c>
    </row>
    <row r="1516" spans="1:21" x14ac:dyDescent="0.2">
      <c r="A1516" s="54">
        <v>102700</v>
      </c>
      <c r="B1516" s="89">
        <v>120100</v>
      </c>
      <c r="C1516" s="136">
        <v>128200</v>
      </c>
      <c r="D1516" s="136">
        <f>SUM('Res-Gen'!B239:B240)</f>
        <v>109100</v>
      </c>
      <c r="E1516" s="144">
        <f>SUM('Res-Gen'!E239:E240)</f>
        <v>134100</v>
      </c>
      <c r="F1516" s="167"/>
      <c r="G1516" s="257" t="s">
        <v>1909</v>
      </c>
      <c r="H1516" s="9">
        <f>SUM('Res-Gen'!H239:H240)+500</f>
        <v>115500</v>
      </c>
      <c r="I1516" s="85">
        <f>IF(E1516=H1516,0,IF(E1516=0,100,(H1516-E1516)/E1516*100))</f>
        <v>-13.870246085011187</v>
      </c>
      <c r="J1516" s="9">
        <f>SUM('Res-Gen'!K239:K240)</f>
        <v>117900</v>
      </c>
      <c r="K1516" s="9">
        <f>SUM('Res-Gen'!N239:N240)</f>
        <v>120500</v>
      </c>
      <c r="L1516" s="9">
        <f>SUM('Res-Gen'!Q239:Q240)</f>
        <v>123200</v>
      </c>
      <c r="M1516" s="9">
        <f>SUM('Res-Gen'!T239:T240)</f>
        <v>126000</v>
      </c>
      <c r="N1516" s="9">
        <f>SUM('Res-Gen'!W239:W240)</f>
        <v>128800</v>
      </c>
      <c r="O1516" s="9">
        <f>SUM('Res-Gen'!Z239:Z240)</f>
        <v>131800</v>
      </c>
      <c r="P1516" s="9">
        <f>SUM('Res-Gen'!AC239:AC240)</f>
        <v>134800</v>
      </c>
      <c r="Q1516" s="9">
        <f>SUM('Res-Gen'!AF239:AF240)</f>
        <v>137900</v>
      </c>
      <c r="R1516" s="9">
        <f>SUM('Res-Gen'!AI239:AI240)</f>
        <v>141000</v>
      </c>
      <c r="S1516" s="61">
        <f>SUM('Res-Gen'!AL239:AL240)</f>
        <v>144300</v>
      </c>
    </row>
    <row r="1517" spans="1:21" x14ac:dyDescent="0.2">
      <c r="A1517" s="54">
        <v>125000</v>
      </c>
      <c r="B1517" s="89">
        <v>84400</v>
      </c>
      <c r="C1517" s="136">
        <v>50000</v>
      </c>
      <c r="D1517" s="136">
        <f>SUM('Res-Gen'!C239)</f>
        <v>50000</v>
      </c>
      <c r="E1517" s="144">
        <f>SUM('Res-Gen'!F239)</f>
        <v>50000</v>
      </c>
      <c r="F1517" s="167"/>
      <c r="G1517" s="257" t="s">
        <v>2309</v>
      </c>
      <c r="H1517" s="9">
        <f>SUM('Res-Gen'!I239:I240)</f>
        <v>140000</v>
      </c>
      <c r="I1517" s="85">
        <f>IF(E1517=H1517,0,IF(E1517=0,100,(H1517-E1517)/E1517*100))</f>
        <v>180</v>
      </c>
      <c r="J1517" s="9">
        <f>SUM('Res-Gen'!L239:L240)</f>
        <v>50000</v>
      </c>
      <c r="K1517" s="9">
        <f>SUM('Res-Gen'!O239:O240)</f>
        <v>50000</v>
      </c>
      <c r="L1517" s="9">
        <f>SUM('Res-Gen'!R239:R240)</f>
        <v>50000</v>
      </c>
      <c r="M1517" s="9">
        <f>SUM('Res-Gen'!U239:U240)</f>
        <v>50000</v>
      </c>
      <c r="N1517" s="9">
        <f>SUM('Res-Gen'!X239:X240)</f>
        <v>50000</v>
      </c>
      <c r="O1517" s="9">
        <f>SUM('Res-Gen'!AA239:AA240)</f>
        <v>50000</v>
      </c>
      <c r="P1517" s="9">
        <f>SUM('Res-Gen'!AD239:AD240)</f>
        <v>50000</v>
      </c>
      <c r="Q1517" s="9">
        <f>SUM('Res-Gen'!AG239:AG240)</f>
        <v>50000</v>
      </c>
      <c r="R1517" s="9">
        <f>SUM('Res-Gen'!AJ239:AJ240)</f>
        <v>50000</v>
      </c>
      <c r="S1517" s="61">
        <f>SUM('Res-Gen'!AM239:AM240)</f>
        <v>50000</v>
      </c>
    </row>
    <row r="1518" spans="1:21" x14ac:dyDescent="0.2">
      <c r="A1518" s="54">
        <v>0</v>
      </c>
      <c r="B1518" s="89">
        <v>0</v>
      </c>
      <c r="C1518" s="136">
        <v>0</v>
      </c>
      <c r="D1518" s="136">
        <v>0</v>
      </c>
      <c r="E1518" s="144">
        <v>0</v>
      </c>
      <c r="F1518" s="167"/>
      <c r="G1518" s="257" t="s">
        <v>5847</v>
      </c>
      <c r="H1518" s="9">
        <v>0</v>
      </c>
      <c r="I1518" s="85">
        <f>IF(E1518=H1518,0,IF(E1518=0,100,(H1518-E1518)/E1518*100))</f>
        <v>0</v>
      </c>
      <c r="J1518" s="9">
        <v>0</v>
      </c>
      <c r="K1518" s="9">
        <v>0</v>
      </c>
      <c r="L1518" s="9">
        <v>0</v>
      </c>
      <c r="M1518" s="9">
        <v>0</v>
      </c>
      <c r="N1518" s="9">
        <v>0</v>
      </c>
      <c r="O1518" s="9">
        <v>0</v>
      </c>
      <c r="P1518" s="9">
        <v>0</v>
      </c>
      <c r="Q1518" s="9">
        <v>0</v>
      </c>
      <c r="R1518" s="9">
        <v>0</v>
      </c>
      <c r="S1518" s="61">
        <v>0</v>
      </c>
    </row>
    <row r="1519" spans="1:21" x14ac:dyDescent="0.2">
      <c r="A1519" s="54">
        <v>25200</v>
      </c>
      <c r="B1519" s="89">
        <v>34400</v>
      </c>
      <c r="C1519" s="136">
        <v>0</v>
      </c>
      <c r="D1519" s="136">
        <v>0</v>
      </c>
      <c r="E1519" s="144">
        <v>0</v>
      </c>
      <c r="F1519" s="167"/>
      <c r="G1519" s="257" t="s">
        <v>958</v>
      </c>
      <c r="H1519" s="9">
        <f>'Cap-Gen'!G201</f>
        <v>90000</v>
      </c>
      <c r="I1519" s="85">
        <f>IF(E1519=H1519,0,IF(E1519=0,100,(H1519-E1519)/E1519*100))</f>
        <v>100</v>
      </c>
      <c r="J1519" s="9">
        <v>0</v>
      </c>
      <c r="K1519" s="9">
        <v>0</v>
      </c>
      <c r="L1519" s="9">
        <v>0</v>
      </c>
      <c r="M1519" s="9">
        <v>0</v>
      </c>
      <c r="N1519" s="9">
        <v>0</v>
      </c>
      <c r="O1519" s="9">
        <v>0</v>
      </c>
      <c r="P1519" s="9">
        <v>0</v>
      </c>
      <c r="Q1519" s="9">
        <v>0</v>
      </c>
      <c r="R1519" s="9">
        <v>0</v>
      </c>
      <c r="S1519" s="61">
        <v>0</v>
      </c>
    </row>
    <row r="1520" spans="1:21" x14ac:dyDescent="0.2">
      <c r="A1520" s="54"/>
      <c r="B1520" s="89"/>
      <c r="E1520" s="144"/>
      <c r="F1520" s="167"/>
      <c r="G1520" s="361"/>
      <c r="H1520" s="9"/>
      <c r="I1520" s="85"/>
      <c r="J1520" s="9"/>
      <c r="K1520" s="9"/>
      <c r="L1520" s="9"/>
      <c r="M1520" s="9"/>
      <c r="N1520" s="9"/>
      <c r="O1520" s="9"/>
      <c r="P1520" s="9"/>
      <c r="Q1520" s="9"/>
      <c r="R1520" s="9"/>
      <c r="S1520" s="61"/>
    </row>
    <row r="1521" spans="1:21" s="39" customFormat="1" x14ac:dyDescent="0.2">
      <c r="A1521" s="128">
        <f>A1510-A1515-A1516+A1517++A1518-A1519</f>
        <v>100000</v>
      </c>
      <c r="B1521" s="266">
        <f>B1510-B1515-B1516+B1517++B1518-B1519</f>
        <v>50000</v>
      </c>
      <c r="C1521" s="281">
        <f>C1510-C1515-C1516+C1517++C1518-C1519</f>
        <v>50000</v>
      </c>
      <c r="D1521" s="281">
        <f>D1510-D1515-D1516+D1517++D1518-D1519</f>
        <v>50000</v>
      </c>
      <c r="E1521" s="1513">
        <f t="shared" ref="E1521" si="2110">E1510-E1515-E1516+E1517++E1518-E1519</f>
        <v>50000</v>
      </c>
      <c r="F1521" s="372"/>
      <c r="G1521" s="363" t="s">
        <v>2447</v>
      </c>
      <c r="H1521" s="280">
        <f>H1510-H1515-H1516+H1517++H1518-H1519</f>
        <v>50000</v>
      </c>
      <c r="I1521" s="278">
        <f>IF(E1521=H1521,0,IF(E1521=0,100,(H1521-E1521)/E1521*100))</f>
        <v>0</v>
      </c>
      <c r="J1521" s="280">
        <f t="shared" ref="J1521:O1521" si="2111">J1510-J1515-J1516+J1517++J1518-J1519</f>
        <v>50000</v>
      </c>
      <c r="K1521" s="280">
        <f t="shared" si="2111"/>
        <v>50000</v>
      </c>
      <c r="L1521" s="280">
        <f t="shared" si="2111"/>
        <v>50000</v>
      </c>
      <c r="M1521" s="280">
        <f t="shared" si="2111"/>
        <v>50000</v>
      </c>
      <c r="N1521" s="280">
        <f t="shared" si="2111"/>
        <v>50000</v>
      </c>
      <c r="O1521" s="280">
        <f t="shared" si="2111"/>
        <v>50000</v>
      </c>
      <c r="P1521" s="280">
        <f t="shared" ref="P1521:Q1521" si="2112">P1510-P1515-P1516+P1517++P1518-P1519</f>
        <v>50000</v>
      </c>
      <c r="Q1521" s="280">
        <f t="shared" si="2112"/>
        <v>50000</v>
      </c>
      <c r="R1521" s="280">
        <f t="shared" ref="R1521:S1521" si="2113">R1510-R1515-R1516+R1517++R1518-R1519</f>
        <v>50000</v>
      </c>
      <c r="S1521" s="282">
        <f t="shared" si="2113"/>
        <v>50000</v>
      </c>
      <c r="U1521" s="34"/>
    </row>
    <row r="1522" spans="1:21" ht="13.5" thickBot="1" x14ac:dyDescent="0.25">
      <c r="A1522" s="26"/>
      <c r="B1522" s="81"/>
      <c r="C1522" s="141"/>
      <c r="D1522" s="141"/>
      <c r="E1522" s="1437"/>
      <c r="F1522" s="166"/>
      <c r="G1522" s="259"/>
      <c r="H1522" s="23"/>
      <c r="I1522" s="275"/>
      <c r="J1522" s="23"/>
      <c r="K1522" s="23"/>
      <c r="L1522" s="23"/>
      <c r="M1522" s="23"/>
      <c r="N1522" s="23"/>
      <c r="O1522" s="23"/>
      <c r="P1522" s="23"/>
      <c r="Q1522" s="23"/>
      <c r="R1522" s="23"/>
      <c r="S1522" s="112"/>
    </row>
    <row r="1523" spans="1:21" ht="14.25" thickTop="1" thickBot="1" x14ac:dyDescent="0.25">
      <c r="A1523" s="27"/>
      <c r="B1523" s="72"/>
      <c r="C1523" s="142"/>
      <c r="D1523" s="142"/>
      <c r="E1523" s="142"/>
      <c r="F1523" s="375"/>
      <c r="G1523" s="376"/>
      <c r="I1523" s="1424"/>
    </row>
    <row r="1524" spans="1:21" s="38" customFormat="1" ht="18.75" customHeight="1" thickTop="1" thickBot="1" x14ac:dyDescent="0.3">
      <c r="A1524" s="2588" t="s">
        <v>6757</v>
      </c>
      <c r="B1524" s="2589"/>
      <c r="C1524" s="2589"/>
      <c r="D1524" s="2589"/>
      <c r="E1524" s="2589"/>
      <c r="F1524" s="2589"/>
      <c r="G1524" s="2589"/>
      <c r="H1524" s="2589"/>
      <c r="I1524" s="2589"/>
      <c r="J1524" s="2589"/>
      <c r="K1524" s="2589"/>
      <c r="L1524" s="2589"/>
      <c r="M1524" s="2589"/>
      <c r="N1524" s="2589"/>
      <c r="O1524" s="2589"/>
      <c r="P1524" s="2589"/>
      <c r="Q1524" s="2589"/>
      <c r="R1524" s="2589"/>
      <c r="S1524" s="2590"/>
      <c r="U1524" s="34"/>
    </row>
    <row r="1525" spans="1:21" s="39" customFormat="1" ht="13.5" thickBot="1" x14ac:dyDescent="0.25">
      <c r="A1525" s="2591" t="s">
        <v>1824</v>
      </c>
      <c r="B1525" s="2577"/>
      <c r="C1525" s="2577"/>
      <c r="D1525" s="2577"/>
      <c r="E1525" s="2592"/>
      <c r="F1525" s="127" t="s">
        <v>2616</v>
      </c>
      <c r="G1525" s="127" t="s">
        <v>2213</v>
      </c>
      <c r="H1525" s="2568" t="s">
        <v>2215</v>
      </c>
      <c r="I1525" s="2568"/>
      <c r="J1525" s="2568"/>
      <c r="K1525" s="2568"/>
      <c r="L1525" s="2568"/>
      <c r="M1525" s="2568"/>
      <c r="N1525" s="2568"/>
      <c r="O1525" s="2568"/>
      <c r="P1525" s="2568"/>
      <c r="Q1525" s="2568"/>
      <c r="R1525" s="2568"/>
      <c r="S1525" s="2607"/>
      <c r="U1525" s="34"/>
    </row>
    <row r="1526" spans="1:21" ht="12.75" customHeight="1" thickBot="1" x14ac:dyDescent="0.25">
      <c r="A1526" s="541" t="str">
        <f>A3</f>
        <v>2012/13</v>
      </c>
      <c r="B1526" s="28" t="str">
        <f>B3</f>
        <v>2013/14</v>
      </c>
      <c r="C1526" s="40" t="str">
        <f>C3</f>
        <v>2014/15</v>
      </c>
      <c r="D1526" s="40" t="str">
        <f>D3</f>
        <v>2015/16</v>
      </c>
      <c r="E1526" s="1445" t="str">
        <f>E3</f>
        <v>2016/17</v>
      </c>
      <c r="F1526" s="40" t="str">
        <f>F1278</f>
        <v>ACCOUNT</v>
      </c>
      <c r="G1526" s="41"/>
      <c r="H1526" s="40" t="str">
        <f>H3</f>
        <v>2017/18</v>
      </c>
      <c r="I1526" s="1258" t="str">
        <f>I1278</f>
        <v>%</v>
      </c>
      <c r="J1526" s="40" t="str">
        <f t="shared" ref="J1526:S1526" si="2114">J3</f>
        <v>2018/19</v>
      </c>
      <c r="K1526" s="40" t="str">
        <f t="shared" si="2114"/>
        <v>2019/20</v>
      </c>
      <c r="L1526" s="40" t="str">
        <f t="shared" si="2114"/>
        <v>2020/21</v>
      </c>
      <c r="M1526" s="40" t="str">
        <f t="shared" si="2114"/>
        <v>2021/22</v>
      </c>
      <c r="N1526" s="40" t="str">
        <f t="shared" si="2114"/>
        <v>2022/23</v>
      </c>
      <c r="O1526" s="40" t="str">
        <f t="shared" si="2114"/>
        <v>2023/24</v>
      </c>
      <c r="P1526" s="40" t="str">
        <f t="shared" si="2114"/>
        <v>2024/25</v>
      </c>
      <c r="Q1526" s="28" t="str">
        <f t="shared" si="2114"/>
        <v>2025/26</v>
      </c>
      <c r="R1526" s="28" t="str">
        <f t="shared" si="2114"/>
        <v>2026/27</v>
      </c>
      <c r="S1526" s="1620" t="str">
        <f t="shared" si="2114"/>
        <v>2027/28</v>
      </c>
    </row>
    <row r="1527" spans="1:21" x14ac:dyDescent="0.2">
      <c r="A1527" s="45"/>
      <c r="B1527" s="9"/>
      <c r="C1527" s="134"/>
      <c r="D1527" s="134"/>
      <c r="E1527" s="1519"/>
      <c r="F1527" s="1152"/>
      <c r="G1527" s="29"/>
      <c r="H1527" s="116"/>
      <c r="I1527" s="1010"/>
      <c r="J1527" s="116"/>
      <c r="K1527" s="116"/>
      <c r="L1527" s="116"/>
      <c r="M1527" s="9"/>
      <c r="N1527" s="9"/>
      <c r="O1527" s="9"/>
      <c r="P1527" s="9"/>
      <c r="Q1527" s="9"/>
      <c r="R1527" s="9"/>
      <c r="S1527" s="61"/>
    </row>
    <row r="1528" spans="1:21" x14ac:dyDescent="0.2">
      <c r="A1528" s="45"/>
      <c r="B1528" s="9"/>
      <c r="C1528" s="134"/>
      <c r="D1528" s="134"/>
      <c r="E1528" s="1442"/>
      <c r="F1528" s="167"/>
      <c r="G1528" s="256" t="s">
        <v>1056</v>
      </c>
      <c r="H1528" s="9"/>
      <c r="I1528" s="85"/>
      <c r="J1528" s="9"/>
      <c r="K1528" s="9"/>
      <c r="L1528" s="9"/>
      <c r="M1528" s="9"/>
      <c r="N1528" s="9"/>
      <c r="O1528" s="9"/>
      <c r="P1528" s="9"/>
      <c r="Q1528" s="9"/>
      <c r="R1528" s="9"/>
      <c r="S1528" s="61"/>
    </row>
    <row r="1529" spans="1:21" x14ac:dyDescent="0.2">
      <c r="A1529" s="45"/>
      <c r="B1529" s="9"/>
      <c r="E1529" s="1442"/>
      <c r="F1529" s="167"/>
      <c r="G1529" s="256"/>
      <c r="H1529" s="9"/>
      <c r="I1529" s="85"/>
      <c r="J1529" s="9"/>
      <c r="K1529" s="9"/>
      <c r="L1529" s="9"/>
      <c r="M1529" s="9"/>
      <c r="N1529" s="9"/>
      <c r="O1529" s="9"/>
      <c r="P1529" s="9"/>
      <c r="Q1529" s="9"/>
      <c r="R1529" s="9"/>
      <c r="S1529" s="61"/>
    </row>
    <row r="1530" spans="1:21" x14ac:dyDescent="0.2">
      <c r="A1530" s="45"/>
      <c r="B1530" s="9"/>
      <c r="E1530" s="1442"/>
      <c r="F1530" s="167"/>
      <c r="G1530" s="63" t="s">
        <v>2829</v>
      </c>
      <c r="H1530" s="9"/>
      <c r="I1530" s="85"/>
      <c r="J1530" s="9"/>
      <c r="K1530" s="9"/>
      <c r="L1530" s="9"/>
      <c r="M1530" s="9"/>
      <c r="N1530" s="9"/>
      <c r="O1530" s="9"/>
      <c r="P1530" s="9"/>
      <c r="Q1530" s="9"/>
      <c r="R1530" s="9"/>
      <c r="S1530" s="61"/>
    </row>
    <row r="1531" spans="1:21" x14ac:dyDescent="0.2">
      <c r="A1531" s="45">
        <v>0</v>
      </c>
      <c r="B1531" s="9">
        <v>0</v>
      </c>
      <c r="C1531" s="136">
        <v>0</v>
      </c>
      <c r="D1531" s="136">
        <v>17900</v>
      </c>
      <c r="E1531" s="1442">
        <v>0</v>
      </c>
      <c r="F1531" s="773" t="s">
        <v>5804</v>
      </c>
      <c r="G1531" s="79" t="s">
        <v>5932</v>
      </c>
      <c r="H1531" s="9">
        <v>0</v>
      </c>
      <c r="I1531" s="85">
        <f>IF(E1531=H1531,0,IF(E1531=0,100,(H1531-E1531)/E1531*100))</f>
        <v>0</v>
      </c>
      <c r="J1531" s="9">
        <f>ROUNDUP(H1531+(H1531*Assumptions!I$5),-2)</f>
        <v>0</v>
      </c>
      <c r="K1531" s="9">
        <f>ROUNDUP(J1531+(J1531*Assumptions!J$5),-2)</f>
        <v>0</v>
      </c>
      <c r="L1531" s="9">
        <f>ROUNDUP(K1531+(K1531*Assumptions!K$5),-2)</f>
        <v>0</v>
      </c>
      <c r="M1531" s="9">
        <f>ROUNDUP(L1531+(L1531*Assumptions!L$5),-2)</f>
        <v>0</v>
      </c>
      <c r="N1531" s="9">
        <f>ROUNDUP(M1531+(M1531*Assumptions!M$5),-2)</f>
        <v>0</v>
      </c>
      <c r="O1531" s="9">
        <f>ROUNDUP(N1531+(N1531*Assumptions!N$5),-2)</f>
        <v>0</v>
      </c>
      <c r="P1531" s="9">
        <f>ROUNDUP(O1531+(O1531*Assumptions!O$5),-2)</f>
        <v>0</v>
      </c>
      <c r="Q1531" s="9">
        <f>ROUNDUP(P1531+(P1531*Assumptions!P$5),-2)</f>
        <v>0</v>
      </c>
      <c r="R1531" s="9">
        <f>ROUNDUP(Q1531+(Q1531*Assumptions!Q$5),-2)</f>
        <v>0</v>
      </c>
      <c r="S1531" s="47">
        <f>ROUNDUP(R1531+(R1531*Assumptions!R$5),-2)</f>
        <v>0</v>
      </c>
    </row>
    <row r="1532" spans="1:21" x14ac:dyDescent="0.2">
      <c r="A1532" s="45"/>
      <c r="B1532" s="9"/>
      <c r="E1532" s="1442"/>
      <c r="F1532" s="167"/>
      <c r="G1532" s="256"/>
      <c r="H1532" s="9"/>
      <c r="I1532" s="85"/>
      <c r="J1532" s="9"/>
      <c r="K1532" s="9"/>
      <c r="L1532" s="9"/>
      <c r="M1532" s="9"/>
      <c r="N1532" s="9"/>
      <c r="O1532" s="9"/>
      <c r="P1532" s="9"/>
      <c r="Q1532" s="9"/>
      <c r="R1532" s="9"/>
      <c r="S1532" s="47"/>
    </row>
    <row r="1533" spans="1:21" x14ac:dyDescent="0.2">
      <c r="A1533" s="45"/>
      <c r="B1533" s="9"/>
      <c r="E1533" s="1442"/>
      <c r="F1533" s="167"/>
      <c r="G1533" s="63" t="s">
        <v>677</v>
      </c>
      <c r="H1533" s="9"/>
      <c r="I1533" s="85"/>
      <c r="J1533" s="9"/>
      <c r="K1533" s="9"/>
      <c r="L1533" s="9"/>
      <c r="M1533" s="9"/>
      <c r="N1533" s="9"/>
      <c r="O1533" s="9"/>
      <c r="P1533" s="9"/>
      <c r="Q1533" s="9"/>
      <c r="R1533" s="9"/>
      <c r="S1533" s="47"/>
    </row>
    <row r="1534" spans="1:21" x14ac:dyDescent="0.2">
      <c r="A1534" s="54">
        <v>5600</v>
      </c>
      <c r="B1534" s="9">
        <v>0</v>
      </c>
      <c r="C1534" s="136">
        <v>7200</v>
      </c>
      <c r="D1534" s="136">
        <v>44000</v>
      </c>
      <c r="E1534" s="1442">
        <v>0</v>
      </c>
      <c r="F1534" s="769">
        <v>22256</v>
      </c>
      <c r="G1534" s="9" t="s">
        <v>1460</v>
      </c>
      <c r="H1534" s="9">
        <v>0</v>
      </c>
      <c r="I1534" s="85">
        <f>IF(E1534=H1534,0,IF(E1534=0,100,(H1534-E1534)/E1534*100))</f>
        <v>0</v>
      </c>
      <c r="J1534" s="9">
        <v>0</v>
      </c>
      <c r="K1534" s="9">
        <v>0</v>
      </c>
      <c r="L1534" s="9">
        <v>0</v>
      </c>
      <c r="M1534" s="9">
        <v>0</v>
      </c>
      <c r="N1534" s="9">
        <v>0</v>
      </c>
      <c r="O1534" s="9">
        <v>0</v>
      </c>
      <c r="P1534" s="9">
        <v>0</v>
      </c>
      <c r="Q1534" s="9">
        <v>0</v>
      </c>
      <c r="R1534" s="9">
        <v>0</v>
      </c>
      <c r="S1534" s="47">
        <v>0</v>
      </c>
    </row>
    <row r="1535" spans="1:21" x14ac:dyDescent="0.2">
      <c r="A1535" s="45"/>
      <c r="B1535" s="9"/>
      <c r="E1535" s="1442"/>
      <c r="F1535" s="167"/>
      <c r="G1535" s="256"/>
      <c r="H1535" s="9"/>
      <c r="I1535" s="85"/>
      <c r="J1535" s="9"/>
      <c r="K1535" s="9"/>
      <c r="L1535" s="9"/>
      <c r="M1535" s="9"/>
      <c r="N1535" s="9"/>
      <c r="O1535" s="9"/>
      <c r="P1535" s="9"/>
      <c r="Q1535" s="9"/>
      <c r="R1535" s="9"/>
      <c r="S1535" s="47"/>
    </row>
    <row r="1536" spans="1:21" x14ac:dyDescent="0.2">
      <c r="A1536" s="45"/>
      <c r="B1536" s="9"/>
      <c r="E1536" s="1442"/>
      <c r="F1536" s="167"/>
      <c r="G1536" s="63" t="s">
        <v>5243</v>
      </c>
      <c r="H1536" s="9"/>
      <c r="I1536" s="85"/>
      <c r="J1536" s="9"/>
      <c r="K1536" s="9"/>
      <c r="L1536" s="9"/>
      <c r="M1536" s="9"/>
      <c r="N1536" s="9"/>
      <c r="O1536" s="9"/>
      <c r="P1536" s="9"/>
      <c r="Q1536" s="9"/>
      <c r="R1536" s="9"/>
      <c r="S1536" s="47"/>
    </row>
    <row r="1537" spans="1:21" x14ac:dyDescent="0.2">
      <c r="A1537" s="54">
        <v>0</v>
      </c>
      <c r="B1537" s="9">
        <v>82700</v>
      </c>
      <c r="C1537" s="136">
        <v>79200</v>
      </c>
      <c r="D1537" s="136">
        <v>51400</v>
      </c>
      <c r="E1537" s="1442">
        <v>0</v>
      </c>
      <c r="F1537" s="769" t="s">
        <v>3388</v>
      </c>
      <c r="G1537" s="79" t="s">
        <v>2624</v>
      </c>
      <c r="H1537" s="9">
        <v>0</v>
      </c>
      <c r="I1537" s="85">
        <f>IF(E1537=H1537,0,IF(E1537=0,100,(H1537-E1537)/E1537*100))</f>
        <v>0</v>
      </c>
      <c r="J1537" s="9">
        <v>0</v>
      </c>
      <c r="K1537" s="9">
        <v>0</v>
      </c>
      <c r="L1537" s="9">
        <v>0</v>
      </c>
      <c r="M1537" s="9">
        <v>0</v>
      </c>
      <c r="N1537" s="9">
        <v>0</v>
      </c>
      <c r="O1537" s="9">
        <v>0</v>
      </c>
      <c r="P1537" s="9">
        <v>0</v>
      </c>
      <c r="Q1537" s="9">
        <v>0</v>
      </c>
      <c r="R1537" s="9">
        <v>0</v>
      </c>
      <c r="S1537" s="47">
        <v>0</v>
      </c>
    </row>
    <row r="1538" spans="1:21" ht="13.5" thickBot="1" x14ac:dyDescent="0.25">
      <c r="A1538" s="54"/>
      <c r="B1538" s="9"/>
      <c r="E1538" s="1442"/>
      <c r="F1538" s="167"/>
      <c r="G1538" s="9"/>
      <c r="H1538" s="9"/>
      <c r="I1538" s="85"/>
      <c r="J1538" s="9"/>
      <c r="K1538" s="9"/>
      <c r="L1538" s="9"/>
      <c r="M1538" s="9"/>
      <c r="N1538" s="9"/>
      <c r="O1538" s="9"/>
      <c r="P1538" s="9"/>
      <c r="Q1538" s="9"/>
      <c r="R1538" s="9"/>
      <c r="S1538" s="47"/>
    </row>
    <row r="1539" spans="1:21" s="39" customFormat="1" x14ac:dyDescent="0.2">
      <c r="A1539" s="52">
        <f>SUM(A1528:A1538)</f>
        <v>5600</v>
      </c>
      <c r="B1539" s="16">
        <f>SUM(B1528:B1538)</f>
        <v>82700</v>
      </c>
      <c r="C1539" s="145">
        <f>SUM(C1528:C1538)</f>
        <v>86400</v>
      </c>
      <c r="D1539" s="145">
        <f>SUM(D1528:D1538)</f>
        <v>113300</v>
      </c>
      <c r="E1539" s="1443">
        <f>SUM(E1528:E1538)</f>
        <v>0</v>
      </c>
      <c r="F1539" s="173"/>
      <c r="G1539" s="267" t="s">
        <v>2561</v>
      </c>
      <c r="H1539" s="16">
        <f t="shared" ref="H1539:Q1539" si="2115">SUM(H1528:H1538)</f>
        <v>0</v>
      </c>
      <c r="I1539" s="127">
        <f>IF(E1539=H1539,0,IF(E1539=0,100,(H1539-E1539)/E1539*100))</f>
        <v>0</v>
      </c>
      <c r="J1539" s="16">
        <f t="shared" si="2115"/>
        <v>0</v>
      </c>
      <c r="K1539" s="16">
        <f t="shared" si="2115"/>
        <v>0</v>
      </c>
      <c r="L1539" s="16">
        <f t="shared" si="2115"/>
        <v>0</v>
      </c>
      <c r="M1539" s="16">
        <f t="shared" si="2115"/>
        <v>0</v>
      </c>
      <c r="N1539" s="16">
        <f t="shared" si="2115"/>
        <v>0</v>
      </c>
      <c r="O1539" s="16">
        <f t="shared" si="2115"/>
        <v>0</v>
      </c>
      <c r="P1539" s="16">
        <f t="shared" si="2115"/>
        <v>0</v>
      </c>
      <c r="Q1539" s="16">
        <f t="shared" si="2115"/>
        <v>0</v>
      </c>
      <c r="R1539" s="16">
        <f t="shared" ref="R1539" si="2116">SUM(R1528:R1538)</f>
        <v>0</v>
      </c>
      <c r="S1539" s="2342">
        <f t="shared" ref="S1539" si="2117">SUM(S1528:S1538)</f>
        <v>0</v>
      </c>
      <c r="U1539" s="34"/>
    </row>
    <row r="1540" spans="1:21" x14ac:dyDescent="0.2">
      <c r="A1540" s="45"/>
      <c r="B1540" s="9"/>
      <c r="C1540" s="134"/>
      <c r="D1540" s="134"/>
      <c r="E1540" s="1442"/>
      <c r="F1540" s="167"/>
      <c r="G1540" s="21"/>
      <c r="H1540" s="9"/>
      <c r="I1540" s="85"/>
      <c r="J1540" s="9"/>
      <c r="K1540" s="9"/>
      <c r="L1540" s="9"/>
      <c r="M1540" s="9"/>
      <c r="N1540" s="9"/>
      <c r="O1540" s="9"/>
      <c r="P1540" s="9"/>
      <c r="Q1540" s="9"/>
      <c r="R1540" s="9"/>
      <c r="S1540" s="47"/>
    </row>
    <row r="1541" spans="1:21" x14ac:dyDescent="0.2">
      <c r="A1541" s="54"/>
      <c r="B1541" s="9"/>
      <c r="C1541" s="134"/>
      <c r="D1541" s="134"/>
      <c r="E1541" s="1442"/>
      <c r="F1541" s="167"/>
      <c r="G1541" s="256" t="s">
        <v>2169</v>
      </c>
      <c r="H1541" s="9"/>
      <c r="I1541" s="85"/>
      <c r="J1541" s="9"/>
      <c r="K1541" s="9"/>
      <c r="L1541" s="9"/>
      <c r="M1541" s="9"/>
      <c r="N1541" s="9"/>
      <c r="O1541" s="9"/>
      <c r="P1541" s="9"/>
      <c r="Q1541" s="9"/>
      <c r="R1541" s="9"/>
      <c r="S1541" s="47"/>
    </row>
    <row r="1542" spans="1:21" x14ac:dyDescent="0.2">
      <c r="A1542" s="54"/>
      <c r="B1542" s="9"/>
      <c r="E1542" s="1442"/>
      <c r="F1542" s="469"/>
      <c r="G1542" s="385"/>
      <c r="H1542" s="9"/>
      <c r="I1542" s="85"/>
      <c r="J1542" s="9"/>
      <c r="K1542" s="9"/>
      <c r="L1542" s="9"/>
      <c r="M1542" s="9"/>
      <c r="N1542" s="9"/>
      <c r="O1542" s="9"/>
      <c r="P1542" s="9"/>
      <c r="Q1542" s="9"/>
      <c r="R1542" s="9"/>
      <c r="S1542" s="47"/>
    </row>
    <row r="1543" spans="1:21" x14ac:dyDescent="0.2">
      <c r="A1543" s="54"/>
      <c r="B1543" s="9"/>
      <c r="E1543" s="1442"/>
      <c r="F1543" s="469"/>
      <c r="G1543" s="419" t="s">
        <v>584</v>
      </c>
      <c r="H1543" s="9"/>
      <c r="I1543" s="85"/>
      <c r="J1543" s="9"/>
      <c r="K1543" s="9"/>
      <c r="L1543" s="9"/>
      <c r="M1543" s="9"/>
      <c r="N1543" s="9"/>
      <c r="O1543" s="9"/>
      <c r="P1543" s="9"/>
      <c r="Q1543" s="9"/>
      <c r="R1543" s="9"/>
      <c r="S1543" s="47"/>
    </row>
    <row r="1544" spans="1:21" x14ac:dyDescent="0.2">
      <c r="A1544" s="54">
        <v>11000</v>
      </c>
      <c r="B1544" s="9">
        <v>8000</v>
      </c>
      <c r="C1544" s="136">
        <f>2400+1100</f>
        <v>3500</v>
      </c>
      <c r="D1544" s="136">
        <v>700</v>
      </c>
      <c r="E1544" s="1442">
        <f>400+400+400+500</f>
        <v>1700</v>
      </c>
      <c r="F1544" s="469" t="s">
        <v>1556</v>
      </c>
      <c r="G1544" s="385" t="s">
        <v>693</v>
      </c>
      <c r="H1544" s="9">
        <v>8200</v>
      </c>
      <c r="I1544" s="85">
        <f t="shared" ref="I1544:I1568" si="2118">IF(E1544=H1544,0,IF(E1544=0,100,(H1544-E1544)/E1544*100))</f>
        <v>382.35294117647061</v>
      </c>
      <c r="J1544" s="9">
        <f>ROUNDUP(H1544+(H1544*Assumptions!I$5),-2)</f>
        <v>8400</v>
      </c>
      <c r="K1544" s="9">
        <f>ROUNDUP(J1544+(J1544*Assumptions!J$5),-2)</f>
        <v>8700</v>
      </c>
      <c r="L1544" s="9">
        <f>ROUNDUP(K1544+(K1544*Assumptions!K$5),-2)</f>
        <v>9000</v>
      </c>
      <c r="M1544" s="9">
        <f>ROUNDUP(L1544+(L1544*Assumptions!L$5),-2)</f>
        <v>9300</v>
      </c>
      <c r="N1544" s="9">
        <f>ROUNDUP(M1544+(M1544*Assumptions!M$5),-2)</f>
        <v>9600</v>
      </c>
      <c r="O1544" s="9">
        <f>ROUNDUP(N1544+(N1544*Assumptions!N$5),-2)</f>
        <v>9900</v>
      </c>
      <c r="P1544" s="9">
        <f>ROUNDUP(O1544+(O1544*Assumptions!O$5),-2)</f>
        <v>10200</v>
      </c>
      <c r="Q1544" s="9">
        <f>ROUNDUP(P1544+(P1544*Assumptions!P$5),-2)</f>
        <v>10500</v>
      </c>
      <c r="R1544" s="9">
        <f>ROUNDUP(Q1544+(Q1544*Assumptions!Q$5),-2)</f>
        <v>10800</v>
      </c>
      <c r="S1544" s="47">
        <f>ROUNDUP(R1544+(R1544*Assumptions!R$5),-2)</f>
        <v>11100</v>
      </c>
    </row>
    <row r="1545" spans="1:21" x14ac:dyDescent="0.2">
      <c r="A1545" s="54">
        <f>79400+9700</f>
        <v>89100</v>
      </c>
      <c r="B1545" s="9">
        <f>75500+7200</f>
        <v>82700</v>
      </c>
      <c r="C1545" s="136">
        <v>71800</v>
      </c>
      <c r="D1545" s="136">
        <v>72500</v>
      </c>
      <c r="E1545" s="1442">
        <f>82800+1400</f>
        <v>84200</v>
      </c>
      <c r="F1545" s="469" t="s">
        <v>2199</v>
      </c>
      <c r="G1545" s="385" t="s">
        <v>2356</v>
      </c>
      <c r="H1545" s="9">
        <v>80000</v>
      </c>
      <c r="I1545" s="85">
        <f t="shared" si="2118"/>
        <v>-4.9881235154394297</v>
      </c>
      <c r="J1545" s="9">
        <f>ROUNDUP(H1545+(H1545*Assumptions!I$5),-2)</f>
        <v>81900</v>
      </c>
      <c r="K1545" s="9">
        <f>ROUNDUP(J1545+(J1545*Assumptions!J$5),-2)</f>
        <v>84000</v>
      </c>
      <c r="L1545" s="9">
        <f>ROUNDUP(K1545+(K1545*Assumptions!K$5),-2)</f>
        <v>86100</v>
      </c>
      <c r="M1545" s="9">
        <f>ROUNDUP(L1545+(L1545*Assumptions!L$5),-2)</f>
        <v>88300</v>
      </c>
      <c r="N1545" s="9">
        <f>ROUNDUP(M1545+(M1545*Assumptions!M$5),-2)</f>
        <v>90600</v>
      </c>
      <c r="O1545" s="9">
        <f>ROUNDUP(N1545+(N1545*Assumptions!N$5),-2)</f>
        <v>92900</v>
      </c>
      <c r="P1545" s="9">
        <f>ROUNDUP(O1545+(O1545*Assumptions!O$5),-2)</f>
        <v>95300</v>
      </c>
      <c r="Q1545" s="9">
        <f>ROUNDUP(P1545+(P1545*Assumptions!P$5),-2)</f>
        <v>97700</v>
      </c>
      <c r="R1545" s="9">
        <f>ROUNDUP(Q1545+(Q1545*Assumptions!Q$5),-2)</f>
        <v>100200</v>
      </c>
      <c r="S1545" s="47">
        <f>ROUNDUP(R1545+(R1545*Assumptions!R$5),-2)</f>
        <v>102800</v>
      </c>
    </row>
    <row r="1546" spans="1:21" x14ac:dyDescent="0.2">
      <c r="A1546" s="54">
        <v>27300</v>
      </c>
      <c r="B1546" s="9">
        <v>21800</v>
      </c>
      <c r="C1546" s="136">
        <v>37800</v>
      </c>
      <c r="D1546" s="136">
        <v>34300</v>
      </c>
      <c r="E1546" s="1442">
        <v>36900</v>
      </c>
      <c r="F1546" s="469" t="s">
        <v>2200</v>
      </c>
      <c r="G1546" s="385" t="s">
        <v>845</v>
      </c>
      <c r="H1546" s="9">
        <v>28500</v>
      </c>
      <c r="I1546" s="85">
        <f t="shared" si="2118"/>
        <v>-22.76422764227642</v>
      </c>
      <c r="J1546" s="9">
        <f>ROUNDUP(H1546+(H1546*Assumptions!I$5),-2)</f>
        <v>29200</v>
      </c>
      <c r="K1546" s="9">
        <f>ROUNDUP(J1546+(J1546*Assumptions!J$5),-2)</f>
        <v>30000</v>
      </c>
      <c r="L1546" s="9">
        <f>ROUNDUP(K1546+(K1546*Assumptions!K$5),-2)</f>
        <v>30800</v>
      </c>
      <c r="M1546" s="9">
        <f>ROUNDUP(L1546+(L1546*Assumptions!L$5),-2)</f>
        <v>31600</v>
      </c>
      <c r="N1546" s="9">
        <f>ROUNDUP(M1546+(M1546*Assumptions!M$5),-2)</f>
        <v>32400</v>
      </c>
      <c r="O1546" s="9">
        <f>ROUNDUP(N1546+(N1546*Assumptions!N$5),-2)</f>
        <v>33300</v>
      </c>
      <c r="P1546" s="9">
        <f>ROUNDUP(O1546+(O1546*Assumptions!O$5),-2)</f>
        <v>34200</v>
      </c>
      <c r="Q1546" s="9">
        <f>ROUNDUP(P1546+(P1546*Assumptions!P$5),-2)</f>
        <v>35100</v>
      </c>
      <c r="R1546" s="9">
        <f>ROUNDUP(Q1546+(Q1546*Assumptions!Q$5),-2)</f>
        <v>36000</v>
      </c>
      <c r="S1546" s="47">
        <f>ROUNDUP(R1546+(R1546*Assumptions!R$5),-2)</f>
        <v>36900</v>
      </c>
    </row>
    <row r="1547" spans="1:21" x14ac:dyDescent="0.2">
      <c r="A1547" s="54">
        <v>17100</v>
      </c>
      <c r="B1547" s="9">
        <v>13100</v>
      </c>
      <c r="C1547" s="136">
        <v>17700</v>
      </c>
      <c r="D1547" s="136">
        <v>18500</v>
      </c>
      <c r="E1547" s="1442">
        <v>16700</v>
      </c>
      <c r="F1547" s="469" t="s">
        <v>1064</v>
      </c>
      <c r="G1547" s="385" t="s">
        <v>1910</v>
      </c>
      <c r="H1547" s="9">
        <v>19300</v>
      </c>
      <c r="I1547" s="85">
        <f t="shared" si="2118"/>
        <v>15.568862275449103</v>
      </c>
      <c r="J1547" s="9">
        <f>ROUNDUP(H1547+(H1547*Assumptions!I$5),-2)</f>
        <v>19800</v>
      </c>
      <c r="K1547" s="9">
        <f>ROUNDUP(J1547+(J1547*Assumptions!J$5),-2)</f>
        <v>20300</v>
      </c>
      <c r="L1547" s="9">
        <f>ROUNDUP(K1547+(K1547*Assumptions!K$5),-2)</f>
        <v>20900</v>
      </c>
      <c r="M1547" s="9">
        <f>ROUNDUP(L1547+(L1547*Assumptions!L$5),-2)</f>
        <v>21500</v>
      </c>
      <c r="N1547" s="9">
        <f>ROUNDUP(M1547+(M1547*Assumptions!M$5),-2)</f>
        <v>22100</v>
      </c>
      <c r="O1547" s="9">
        <f>ROUNDUP(N1547+(N1547*Assumptions!N$5),-2)</f>
        <v>22700</v>
      </c>
      <c r="P1547" s="9">
        <f>ROUNDUP(O1547+(O1547*Assumptions!O$5),-2)</f>
        <v>23300</v>
      </c>
      <c r="Q1547" s="9">
        <f>ROUNDUP(P1547+(P1547*Assumptions!P$5),-2)</f>
        <v>23900</v>
      </c>
      <c r="R1547" s="9">
        <f>ROUNDUP(Q1547+(Q1547*Assumptions!Q$5),-2)</f>
        <v>24500</v>
      </c>
      <c r="S1547" s="47">
        <f>ROUNDUP(R1547+(R1547*Assumptions!R$5),-2)</f>
        <v>25200</v>
      </c>
    </row>
    <row r="1548" spans="1:21" x14ac:dyDescent="0.2">
      <c r="A1548" s="54">
        <v>22100</v>
      </c>
      <c r="B1548" s="9">
        <v>27200</v>
      </c>
      <c r="C1548" s="136">
        <v>34200</v>
      </c>
      <c r="D1548" s="136">
        <v>32800</v>
      </c>
      <c r="E1548" s="1442">
        <v>44000</v>
      </c>
      <c r="F1548" s="469" t="s">
        <v>1065</v>
      </c>
      <c r="G1548" s="385" t="s">
        <v>2178</v>
      </c>
      <c r="H1548" s="9">
        <v>26400</v>
      </c>
      <c r="I1548" s="85">
        <f t="shared" si="2118"/>
        <v>-40</v>
      </c>
      <c r="J1548" s="9">
        <f>ROUNDUP(H1548+(H1548*Assumptions!I$5),-2)</f>
        <v>27100</v>
      </c>
      <c r="K1548" s="9">
        <f>ROUNDUP(J1548+(J1548*Assumptions!J$5),-2)</f>
        <v>27800</v>
      </c>
      <c r="L1548" s="9">
        <f>ROUNDUP(K1548+(K1548*Assumptions!K$5),-2)</f>
        <v>28500</v>
      </c>
      <c r="M1548" s="9">
        <f>ROUNDUP(L1548+(L1548*Assumptions!L$5),-2)</f>
        <v>29300</v>
      </c>
      <c r="N1548" s="9">
        <f>ROUNDUP(M1548+(M1548*Assumptions!M$5),-2)</f>
        <v>30100</v>
      </c>
      <c r="O1548" s="9">
        <f>ROUNDUP(N1548+(N1548*Assumptions!N$5),-2)</f>
        <v>30900</v>
      </c>
      <c r="P1548" s="9">
        <f>ROUNDUP(O1548+(O1548*Assumptions!O$5),-2)</f>
        <v>31700</v>
      </c>
      <c r="Q1548" s="9">
        <f>ROUNDUP(P1548+(P1548*Assumptions!P$5),-2)</f>
        <v>32500</v>
      </c>
      <c r="R1548" s="9">
        <f>ROUNDUP(Q1548+(Q1548*Assumptions!Q$5),-2)</f>
        <v>33400</v>
      </c>
      <c r="S1548" s="47">
        <f>ROUNDUP(R1548+(R1548*Assumptions!R$5),-2)</f>
        <v>34300</v>
      </c>
    </row>
    <row r="1549" spans="1:21" x14ac:dyDescent="0.2">
      <c r="A1549" s="54">
        <v>11700</v>
      </c>
      <c r="B1549" s="9">
        <v>9400</v>
      </c>
      <c r="C1549" s="136">
        <v>20900</v>
      </c>
      <c r="D1549" s="136">
        <v>27900</v>
      </c>
      <c r="E1549" s="1442">
        <v>30400</v>
      </c>
      <c r="F1549" s="469" t="s">
        <v>247</v>
      </c>
      <c r="G1549" s="385" t="s">
        <v>2179</v>
      </c>
      <c r="H1549" s="9">
        <v>11500</v>
      </c>
      <c r="I1549" s="85">
        <f t="shared" si="2118"/>
        <v>-62.171052631578952</v>
      </c>
      <c r="J1549" s="9">
        <f>ROUNDUP(H1549+(H1549*Assumptions!I$5),-2)</f>
        <v>11800</v>
      </c>
      <c r="K1549" s="9">
        <f>ROUNDUP(J1549+(J1549*Assumptions!J$5),-2)</f>
        <v>12100</v>
      </c>
      <c r="L1549" s="9">
        <f>ROUNDUP(K1549+(K1549*Assumptions!K$5),-2)</f>
        <v>12500</v>
      </c>
      <c r="M1549" s="9">
        <f>ROUNDUP(L1549+(L1549*Assumptions!L$5),-2)</f>
        <v>12900</v>
      </c>
      <c r="N1549" s="9">
        <f>ROUNDUP(M1549+(M1549*Assumptions!M$5),-2)</f>
        <v>13300</v>
      </c>
      <c r="O1549" s="9">
        <f>ROUNDUP(N1549+(N1549*Assumptions!N$5),-2)</f>
        <v>13700</v>
      </c>
      <c r="P1549" s="9">
        <f>ROUNDUP(O1549+(O1549*Assumptions!O$5),-2)</f>
        <v>14100</v>
      </c>
      <c r="Q1549" s="9">
        <f>ROUNDUP(P1549+(P1549*Assumptions!P$5),-2)</f>
        <v>14500</v>
      </c>
      <c r="R1549" s="9">
        <f>ROUNDUP(Q1549+(Q1549*Assumptions!Q$5),-2)</f>
        <v>14900</v>
      </c>
      <c r="S1549" s="47">
        <f>ROUNDUP(R1549+(R1549*Assumptions!R$5),-2)</f>
        <v>15300</v>
      </c>
    </row>
    <row r="1550" spans="1:21" x14ac:dyDescent="0.2">
      <c r="A1550" s="54">
        <v>21500</v>
      </c>
      <c r="B1550" s="9">
        <v>18300</v>
      </c>
      <c r="C1550" s="136">
        <f>22400+5400</f>
        <v>27800</v>
      </c>
      <c r="D1550" s="136">
        <f>24300+3500</f>
        <v>27800</v>
      </c>
      <c r="E1550" s="144">
        <v>30100</v>
      </c>
      <c r="F1550" s="469" t="s">
        <v>248</v>
      </c>
      <c r="G1550" s="385" t="s">
        <v>2180</v>
      </c>
      <c r="H1550" s="9">
        <v>20300</v>
      </c>
      <c r="I1550" s="85">
        <f t="shared" si="2118"/>
        <v>-32.558139534883722</v>
      </c>
      <c r="J1550" s="9">
        <f>ROUNDUP(H1550+(H1550*Assumptions!I$5),-2)</f>
        <v>20800</v>
      </c>
      <c r="K1550" s="9">
        <f>ROUNDUP(J1550+(J1550*Assumptions!J$5),-2)</f>
        <v>21400</v>
      </c>
      <c r="L1550" s="9">
        <f>ROUNDUP(K1550+(K1550*Assumptions!K$5),-2)</f>
        <v>22000</v>
      </c>
      <c r="M1550" s="9">
        <f>ROUNDUP(L1550+(L1550*Assumptions!L$5),-2)</f>
        <v>22600</v>
      </c>
      <c r="N1550" s="9">
        <f>ROUNDUP(M1550+(M1550*Assumptions!M$5),-2)</f>
        <v>23200</v>
      </c>
      <c r="O1550" s="9">
        <f>ROUNDUP(N1550+(N1550*Assumptions!N$5),-2)</f>
        <v>23800</v>
      </c>
      <c r="P1550" s="9">
        <f>ROUNDUP(O1550+(O1550*Assumptions!O$5),-2)</f>
        <v>24400</v>
      </c>
      <c r="Q1550" s="9">
        <f>ROUNDUP(P1550+(P1550*Assumptions!P$5),-2)</f>
        <v>25100</v>
      </c>
      <c r="R1550" s="9">
        <f>ROUNDUP(Q1550+(Q1550*Assumptions!Q$5),-2)</f>
        <v>25800</v>
      </c>
      <c r="S1550" s="47">
        <f>ROUNDUP(R1550+(R1550*Assumptions!R$5),-2)</f>
        <v>26500</v>
      </c>
    </row>
    <row r="1551" spans="1:21" x14ac:dyDescent="0.2">
      <c r="A1551" s="54">
        <v>13400</v>
      </c>
      <c r="B1551" s="9">
        <v>11800</v>
      </c>
      <c r="C1551" s="136">
        <v>12600</v>
      </c>
      <c r="D1551" s="136">
        <v>17300</v>
      </c>
      <c r="E1551" s="144">
        <v>12900</v>
      </c>
      <c r="F1551" s="469" t="s">
        <v>249</v>
      </c>
      <c r="G1551" s="385" t="s">
        <v>1164</v>
      </c>
      <c r="H1551" s="9">
        <v>13500</v>
      </c>
      <c r="I1551" s="85">
        <f t="shared" si="2118"/>
        <v>4.6511627906976747</v>
      </c>
      <c r="J1551" s="9">
        <f>ROUNDUP(H1551+(H1551*Assumptions!I$5),-2)</f>
        <v>13900</v>
      </c>
      <c r="K1551" s="9">
        <f>ROUNDUP(J1551+(J1551*Assumptions!J$5),-2)</f>
        <v>14300</v>
      </c>
      <c r="L1551" s="9">
        <f>ROUNDUP(K1551+(K1551*Assumptions!K$5),-2)</f>
        <v>14700</v>
      </c>
      <c r="M1551" s="9">
        <f>ROUNDUP(L1551+(L1551*Assumptions!L$5),-2)</f>
        <v>15100</v>
      </c>
      <c r="N1551" s="9">
        <f>ROUNDUP(M1551+(M1551*Assumptions!M$5),-2)</f>
        <v>15500</v>
      </c>
      <c r="O1551" s="9">
        <f>ROUNDUP(N1551+(N1551*Assumptions!N$5),-2)</f>
        <v>15900</v>
      </c>
      <c r="P1551" s="9">
        <f>ROUNDUP(O1551+(O1551*Assumptions!O$5),-2)</f>
        <v>16300</v>
      </c>
      <c r="Q1551" s="9">
        <f>ROUNDUP(P1551+(P1551*Assumptions!P$5),-2)</f>
        <v>16800</v>
      </c>
      <c r="R1551" s="9">
        <f>ROUNDUP(Q1551+(Q1551*Assumptions!Q$5),-2)</f>
        <v>17300</v>
      </c>
      <c r="S1551" s="47">
        <f>ROUNDUP(R1551+(R1551*Assumptions!R$5),-2)</f>
        <v>17800</v>
      </c>
    </row>
    <row r="1552" spans="1:21" x14ac:dyDescent="0.2">
      <c r="A1552" s="54">
        <v>7500</v>
      </c>
      <c r="B1552" s="9">
        <v>8100</v>
      </c>
      <c r="C1552" s="136">
        <v>7500</v>
      </c>
      <c r="D1552" s="136">
        <v>7400</v>
      </c>
      <c r="E1552" s="144">
        <v>11000</v>
      </c>
      <c r="F1552" s="469" t="s">
        <v>250</v>
      </c>
      <c r="G1552" s="385" t="s">
        <v>2099</v>
      </c>
      <c r="H1552" s="9">
        <v>9400</v>
      </c>
      <c r="I1552" s="85">
        <f t="shared" si="2118"/>
        <v>-14.545454545454545</v>
      </c>
      <c r="J1552" s="9">
        <f>ROUNDUP(H1552+(H1552*Assumptions!I$5),-2)</f>
        <v>9700</v>
      </c>
      <c r="K1552" s="9">
        <f>ROUNDUP(J1552+(J1552*Assumptions!J$5),-2)</f>
        <v>10000</v>
      </c>
      <c r="L1552" s="9">
        <f>ROUNDUP(K1552+(K1552*Assumptions!K$5),-2)</f>
        <v>10300</v>
      </c>
      <c r="M1552" s="9">
        <f>ROUNDUP(L1552+(L1552*Assumptions!L$5),-2)</f>
        <v>10600</v>
      </c>
      <c r="N1552" s="9">
        <f>ROUNDUP(M1552+(M1552*Assumptions!M$5),-2)</f>
        <v>10900</v>
      </c>
      <c r="O1552" s="9">
        <f>ROUNDUP(N1552+(N1552*Assumptions!N$5),-2)</f>
        <v>11200</v>
      </c>
      <c r="P1552" s="9">
        <f>ROUNDUP(O1552+(O1552*Assumptions!O$5),-2)</f>
        <v>11500</v>
      </c>
      <c r="Q1552" s="9">
        <f>ROUNDUP(P1552+(P1552*Assumptions!P$5),-2)</f>
        <v>11800</v>
      </c>
      <c r="R1552" s="9">
        <f>ROUNDUP(Q1552+(Q1552*Assumptions!Q$5),-2)</f>
        <v>12100</v>
      </c>
      <c r="S1552" s="47">
        <f>ROUNDUP(R1552+(R1552*Assumptions!R$5),-2)</f>
        <v>12500</v>
      </c>
    </row>
    <row r="1553" spans="1:19" x14ac:dyDescent="0.2">
      <c r="A1553" s="54">
        <v>13000</v>
      </c>
      <c r="B1553" s="9">
        <v>14300</v>
      </c>
      <c r="C1553" s="136">
        <v>17000</v>
      </c>
      <c r="D1553" s="136">
        <v>14300</v>
      </c>
      <c r="E1553" s="144">
        <v>12900</v>
      </c>
      <c r="F1553" s="469" t="s">
        <v>2434</v>
      </c>
      <c r="G1553" s="385" t="s">
        <v>2669</v>
      </c>
      <c r="H1553" s="9">
        <v>15600</v>
      </c>
      <c r="I1553" s="85">
        <f t="shared" si="2118"/>
        <v>20.930232558139537</v>
      </c>
      <c r="J1553" s="9">
        <f>ROUNDUP(H1553+(H1553*Assumptions!I$5),-2)</f>
        <v>16000</v>
      </c>
      <c r="K1553" s="9">
        <f>ROUNDUP(J1553+(J1553*Assumptions!J$5),-2)</f>
        <v>16400</v>
      </c>
      <c r="L1553" s="9">
        <f>ROUNDUP(K1553+(K1553*Assumptions!K$5),-2)</f>
        <v>16900</v>
      </c>
      <c r="M1553" s="9">
        <f>ROUNDUP(L1553+(L1553*Assumptions!L$5),-2)</f>
        <v>17400</v>
      </c>
      <c r="N1553" s="9">
        <f>ROUNDUP(M1553+(M1553*Assumptions!M$5),-2)</f>
        <v>17900</v>
      </c>
      <c r="O1553" s="9">
        <f>ROUNDUP(N1553+(N1553*Assumptions!N$5),-2)</f>
        <v>18400</v>
      </c>
      <c r="P1553" s="9">
        <f>ROUNDUP(O1553+(O1553*Assumptions!O$5),-2)</f>
        <v>18900</v>
      </c>
      <c r="Q1553" s="9">
        <f>ROUNDUP(P1553+(P1553*Assumptions!P$5),-2)</f>
        <v>19400</v>
      </c>
      <c r="R1553" s="9">
        <f>ROUNDUP(Q1553+(Q1553*Assumptions!Q$5),-2)</f>
        <v>19900</v>
      </c>
      <c r="S1553" s="47">
        <f>ROUNDUP(R1553+(R1553*Assumptions!R$5),-2)</f>
        <v>20400</v>
      </c>
    </row>
    <row r="1554" spans="1:19" x14ac:dyDescent="0.2">
      <c r="A1554" s="54">
        <v>3600</v>
      </c>
      <c r="B1554" s="9">
        <v>3300</v>
      </c>
      <c r="C1554" s="136">
        <v>5600</v>
      </c>
      <c r="D1554" s="136">
        <v>5900</v>
      </c>
      <c r="E1554" s="144">
        <v>3600</v>
      </c>
      <c r="F1554" s="469" t="s">
        <v>2351</v>
      </c>
      <c r="G1554" s="385" t="s">
        <v>204</v>
      </c>
      <c r="H1554" s="79">
        <f>5200+3400</f>
        <v>8600</v>
      </c>
      <c r="I1554" s="85">
        <f t="shared" si="2118"/>
        <v>138.88888888888889</v>
      </c>
      <c r="J1554" s="9">
        <f>ROUNDUP(H1554+(H1554*Assumptions!I$5),-2)</f>
        <v>8800</v>
      </c>
      <c r="K1554" s="9">
        <f>ROUNDUP(J1554+(J1554*Assumptions!J$5),-2)</f>
        <v>9100</v>
      </c>
      <c r="L1554" s="9">
        <f>ROUNDUP(K1554+(K1554*Assumptions!K$5),-2)</f>
        <v>9400</v>
      </c>
      <c r="M1554" s="9">
        <f>ROUNDUP(L1554+(L1554*Assumptions!L$5),-2)</f>
        <v>9700</v>
      </c>
      <c r="N1554" s="9">
        <f>ROUNDUP(M1554+(M1554*Assumptions!M$5),-2)</f>
        <v>10000</v>
      </c>
      <c r="O1554" s="9">
        <f>ROUNDUP(N1554+(N1554*Assumptions!N$5),-2)</f>
        <v>10300</v>
      </c>
      <c r="P1554" s="9">
        <f>ROUNDUP(O1554+(O1554*Assumptions!O$5),-2)</f>
        <v>10600</v>
      </c>
      <c r="Q1554" s="9">
        <f>ROUNDUP(P1554+(P1554*Assumptions!P$5),-2)</f>
        <v>10900</v>
      </c>
      <c r="R1554" s="9">
        <f>ROUNDUP(Q1554+(Q1554*Assumptions!Q$5),-2)</f>
        <v>11200</v>
      </c>
      <c r="S1554" s="47">
        <f>ROUNDUP(R1554+(R1554*Assumptions!R$5),-2)</f>
        <v>11500</v>
      </c>
    </row>
    <row r="1555" spans="1:19" x14ac:dyDescent="0.2">
      <c r="A1555" s="54">
        <v>12700</v>
      </c>
      <c r="B1555" s="9">
        <v>17100</v>
      </c>
      <c r="C1555" s="136">
        <v>36200</v>
      </c>
      <c r="D1555" s="136">
        <v>15300</v>
      </c>
      <c r="E1555" s="144">
        <v>26100</v>
      </c>
      <c r="F1555" s="469" t="s">
        <v>1081</v>
      </c>
      <c r="G1555" s="385" t="s">
        <v>2307</v>
      </c>
      <c r="H1555" s="9">
        <v>17700</v>
      </c>
      <c r="I1555" s="85">
        <f t="shared" si="2118"/>
        <v>-32.183908045977013</v>
      </c>
      <c r="J1555" s="9">
        <v>18000</v>
      </c>
      <c r="K1555" s="9">
        <v>26000</v>
      </c>
      <c r="L1555" s="9">
        <f>ROUNDUP(K1555+(K1555*Assumptions!K$5),-2)</f>
        <v>26700</v>
      </c>
      <c r="M1555" s="9">
        <f>ROUNDUP(L1555+(L1555*Assumptions!L$5),-2)</f>
        <v>27400</v>
      </c>
      <c r="N1555" s="9">
        <f>ROUNDUP(M1555+(M1555*Assumptions!M$5),-2)</f>
        <v>28100</v>
      </c>
      <c r="O1555" s="9">
        <f>ROUNDUP(N1555+(N1555*Assumptions!N$5),-2)</f>
        <v>28900</v>
      </c>
      <c r="P1555" s="9">
        <f>ROUNDUP(O1555+(O1555*Assumptions!O$5),-2)</f>
        <v>29700</v>
      </c>
      <c r="Q1555" s="9">
        <f>ROUNDUP(P1555+(P1555*Assumptions!P$5),-2)</f>
        <v>30500</v>
      </c>
      <c r="R1555" s="9">
        <f>ROUNDUP(Q1555+(Q1555*Assumptions!Q$5),-2)</f>
        <v>31300</v>
      </c>
      <c r="S1555" s="47">
        <f>ROUNDUP(R1555+(R1555*Assumptions!R$5),-2)</f>
        <v>32100</v>
      </c>
    </row>
    <row r="1556" spans="1:19" x14ac:dyDescent="0.2">
      <c r="A1556" s="54">
        <v>7900</v>
      </c>
      <c r="B1556" s="9">
        <v>6400</v>
      </c>
      <c r="C1556" s="136">
        <v>6300</v>
      </c>
      <c r="D1556" s="136">
        <v>8100</v>
      </c>
      <c r="E1556" s="144">
        <v>6700</v>
      </c>
      <c r="F1556" s="469" t="s">
        <v>1082</v>
      </c>
      <c r="G1556" s="385" t="s">
        <v>2308</v>
      </c>
      <c r="H1556" s="9">
        <v>7400</v>
      </c>
      <c r="I1556" s="85">
        <f t="shared" si="2118"/>
        <v>10.44776119402985</v>
      </c>
      <c r="J1556" s="9">
        <f>ROUNDUP(H1556+(H1556*Assumptions!I$5),-2)</f>
        <v>7600</v>
      </c>
      <c r="K1556" s="9">
        <f>ROUNDUP(J1556+(J1556*Assumptions!J$5),-2)</f>
        <v>7800</v>
      </c>
      <c r="L1556" s="9">
        <f>ROUNDUP(K1556+(K1556*Assumptions!K$5),-2)</f>
        <v>8000</v>
      </c>
      <c r="M1556" s="9">
        <f>ROUNDUP(L1556+(L1556*Assumptions!L$5),-2)</f>
        <v>8200</v>
      </c>
      <c r="N1556" s="9">
        <f>ROUNDUP(M1556+(M1556*Assumptions!M$5),-2)</f>
        <v>8500</v>
      </c>
      <c r="O1556" s="9">
        <f>ROUNDUP(N1556+(N1556*Assumptions!N$5),-2)</f>
        <v>8800</v>
      </c>
      <c r="P1556" s="9">
        <f>ROUNDUP(O1556+(O1556*Assumptions!O$5),-2)</f>
        <v>9100</v>
      </c>
      <c r="Q1556" s="9">
        <f>ROUNDUP(P1556+(P1556*Assumptions!P$5),-2)</f>
        <v>9400</v>
      </c>
      <c r="R1556" s="9">
        <f>ROUNDUP(Q1556+(Q1556*Assumptions!Q$5),-2)</f>
        <v>9700</v>
      </c>
      <c r="S1556" s="47">
        <f>ROUNDUP(R1556+(R1556*Assumptions!R$5),-2)</f>
        <v>10000</v>
      </c>
    </row>
    <row r="1557" spans="1:19" x14ac:dyDescent="0.2">
      <c r="A1557" s="54">
        <v>5200</v>
      </c>
      <c r="B1557" s="9">
        <v>5500</v>
      </c>
      <c r="C1557" s="136">
        <v>5000</v>
      </c>
      <c r="D1557" s="136">
        <v>8800</v>
      </c>
      <c r="E1557" s="144">
        <v>6300</v>
      </c>
      <c r="F1557" s="469" t="s">
        <v>1962</v>
      </c>
      <c r="G1557" s="385" t="s">
        <v>2736</v>
      </c>
      <c r="H1557" s="9">
        <v>6300</v>
      </c>
      <c r="I1557" s="85">
        <f t="shared" si="2118"/>
        <v>0</v>
      </c>
      <c r="J1557" s="9">
        <f>ROUNDUP(H1557+(H1557*Assumptions!I$5),-2)</f>
        <v>6500</v>
      </c>
      <c r="K1557" s="9">
        <f>ROUNDUP(J1557+(J1557*Assumptions!J$5),-2)</f>
        <v>6700</v>
      </c>
      <c r="L1557" s="9">
        <f>ROUNDUP(K1557+(K1557*Assumptions!K$5),-2)</f>
        <v>6900</v>
      </c>
      <c r="M1557" s="9">
        <f>ROUNDUP(L1557+(L1557*Assumptions!L$5),-2)</f>
        <v>7100</v>
      </c>
      <c r="N1557" s="9">
        <f>ROUNDUP(M1557+(M1557*Assumptions!M$5),-2)</f>
        <v>7300</v>
      </c>
      <c r="O1557" s="9">
        <f>ROUNDUP(N1557+(N1557*Assumptions!N$5),-2)</f>
        <v>7500</v>
      </c>
      <c r="P1557" s="9">
        <f>ROUNDUP(O1557+(O1557*Assumptions!O$5),-2)</f>
        <v>7700</v>
      </c>
      <c r="Q1557" s="9">
        <f>ROUNDUP(P1557+(P1557*Assumptions!P$5),-2)</f>
        <v>7900</v>
      </c>
      <c r="R1557" s="9">
        <f>ROUNDUP(Q1557+(Q1557*Assumptions!Q$5),-2)</f>
        <v>8100</v>
      </c>
      <c r="S1557" s="47">
        <f>ROUNDUP(R1557+(R1557*Assumptions!R$5),-2)</f>
        <v>8400</v>
      </c>
    </row>
    <row r="1558" spans="1:19" x14ac:dyDescent="0.2">
      <c r="A1558" s="54">
        <v>12200</v>
      </c>
      <c r="B1558" s="9">
        <v>12000</v>
      </c>
      <c r="C1558" s="136">
        <v>13000</v>
      </c>
      <c r="D1558" s="136">
        <v>12600</v>
      </c>
      <c r="E1558" s="144">
        <v>11700</v>
      </c>
      <c r="F1558" s="469" t="s">
        <v>1963</v>
      </c>
      <c r="G1558" s="385" t="s">
        <v>2441</v>
      </c>
      <c r="H1558" s="9">
        <f>14600-3600</f>
        <v>11000</v>
      </c>
      <c r="I1558" s="85">
        <f t="shared" si="2118"/>
        <v>-5.982905982905983</v>
      </c>
      <c r="J1558" s="9">
        <f>ROUNDUP(H1558+(H1558*Assumptions!I$5),-2)</f>
        <v>11300</v>
      </c>
      <c r="K1558" s="9">
        <f>ROUNDUP(J1558+(J1558*Assumptions!J$5),-2)</f>
        <v>11600</v>
      </c>
      <c r="L1558" s="9">
        <f>ROUNDUP(K1558+(K1558*Assumptions!K$5),-2)</f>
        <v>11900</v>
      </c>
      <c r="M1558" s="9">
        <f>ROUNDUP(L1558+(L1558*Assumptions!L$5),-2)</f>
        <v>12200</v>
      </c>
      <c r="N1558" s="9">
        <f>ROUNDUP(M1558+(M1558*Assumptions!M$5),-2)</f>
        <v>12600</v>
      </c>
      <c r="O1558" s="9">
        <f>ROUNDUP(N1558+(N1558*Assumptions!N$5),-2)</f>
        <v>13000</v>
      </c>
      <c r="P1558" s="9">
        <f>ROUNDUP(O1558+(O1558*Assumptions!O$5),-2)</f>
        <v>13400</v>
      </c>
      <c r="Q1558" s="9">
        <f>ROUNDUP(P1558+(P1558*Assumptions!P$5),-2)</f>
        <v>13800</v>
      </c>
      <c r="R1558" s="9">
        <f>ROUNDUP(Q1558+(Q1558*Assumptions!Q$5),-2)</f>
        <v>14200</v>
      </c>
      <c r="S1558" s="47">
        <f>ROUNDUP(R1558+(R1558*Assumptions!R$5),-2)</f>
        <v>14600</v>
      </c>
    </row>
    <row r="1559" spans="1:19" x14ac:dyDescent="0.2">
      <c r="A1559" s="54">
        <v>11500</v>
      </c>
      <c r="B1559" s="9">
        <v>20200</v>
      </c>
      <c r="C1559" s="136">
        <v>10400</v>
      </c>
      <c r="D1559" s="136">
        <v>9800</v>
      </c>
      <c r="E1559" s="144">
        <v>9000</v>
      </c>
      <c r="F1559" s="469" t="s">
        <v>822</v>
      </c>
      <c r="G1559" s="385" t="s">
        <v>2442</v>
      </c>
      <c r="H1559" s="9">
        <v>14600</v>
      </c>
      <c r="I1559" s="85">
        <f t="shared" si="2118"/>
        <v>62.222222222222221</v>
      </c>
      <c r="J1559" s="9">
        <f>ROUNDUP(H1559+(H1559*Assumptions!I$5),-2)</f>
        <v>15000</v>
      </c>
      <c r="K1559" s="9">
        <f>ROUNDUP(J1559+(J1559*Assumptions!J$5),-2)</f>
        <v>15400</v>
      </c>
      <c r="L1559" s="9">
        <f>ROUNDUP(K1559+(K1559*Assumptions!K$5),-2)</f>
        <v>15800</v>
      </c>
      <c r="M1559" s="9">
        <f>ROUNDUP(L1559+(L1559*Assumptions!L$5),-2)</f>
        <v>16200</v>
      </c>
      <c r="N1559" s="9">
        <f>ROUNDUP(M1559+(M1559*Assumptions!M$5),-2)</f>
        <v>16700</v>
      </c>
      <c r="O1559" s="9">
        <f>ROUNDUP(N1559+(N1559*Assumptions!N$5),-2)</f>
        <v>17200</v>
      </c>
      <c r="P1559" s="9">
        <f>ROUNDUP(O1559+(O1559*Assumptions!O$5),-2)</f>
        <v>17700</v>
      </c>
      <c r="Q1559" s="9">
        <f>ROUNDUP(P1559+(P1559*Assumptions!P$5),-2)</f>
        <v>18200</v>
      </c>
      <c r="R1559" s="9">
        <f>ROUNDUP(Q1559+(Q1559*Assumptions!Q$5),-2)</f>
        <v>18700</v>
      </c>
      <c r="S1559" s="47">
        <f>ROUNDUP(R1559+(R1559*Assumptions!R$5),-2)</f>
        <v>19200</v>
      </c>
    </row>
    <row r="1560" spans="1:19" x14ac:dyDescent="0.2">
      <c r="A1560" s="54">
        <v>6800</v>
      </c>
      <c r="B1560" s="9">
        <v>7500</v>
      </c>
      <c r="C1560" s="136">
        <v>7200</v>
      </c>
      <c r="D1560" s="136">
        <v>8900</v>
      </c>
      <c r="E1560" s="144">
        <v>7900</v>
      </c>
      <c r="F1560" s="469" t="s">
        <v>8</v>
      </c>
      <c r="G1560" s="385" t="s">
        <v>2365</v>
      </c>
      <c r="H1560" s="9">
        <v>8400</v>
      </c>
      <c r="I1560" s="85">
        <f t="shared" si="2118"/>
        <v>6.3291139240506329</v>
      </c>
      <c r="J1560" s="9">
        <f>ROUNDUP(H1560+(H1560*Assumptions!I$5),-2)</f>
        <v>8600</v>
      </c>
      <c r="K1560" s="9">
        <f>ROUNDUP(J1560+(J1560*Assumptions!J$5),-2)</f>
        <v>8900</v>
      </c>
      <c r="L1560" s="9">
        <f>ROUNDUP(K1560+(K1560*Assumptions!K$5),-2)</f>
        <v>9200</v>
      </c>
      <c r="M1560" s="9">
        <f>ROUNDUP(L1560+(L1560*Assumptions!L$5),-2)</f>
        <v>9500</v>
      </c>
      <c r="N1560" s="9">
        <f>ROUNDUP(M1560+(M1560*Assumptions!M$5),-2)</f>
        <v>9800</v>
      </c>
      <c r="O1560" s="9">
        <f>ROUNDUP(N1560+(N1560*Assumptions!N$5),-2)</f>
        <v>10100</v>
      </c>
      <c r="P1560" s="9">
        <f>ROUNDUP(O1560+(O1560*Assumptions!O$5),-2)</f>
        <v>10400</v>
      </c>
      <c r="Q1560" s="9">
        <f>ROUNDUP(P1560+(P1560*Assumptions!P$5),-2)</f>
        <v>10700</v>
      </c>
      <c r="R1560" s="9">
        <f>ROUNDUP(Q1560+(Q1560*Assumptions!Q$5),-2)</f>
        <v>11000</v>
      </c>
      <c r="S1560" s="47">
        <f>ROUNDUP(R1560+(R1560*Assumptions!R$5),-2)</f>
        <v>11300</v>
      </c>
    </row>
    <row r="1561" spans="1:19" x14ac:dyDescent="0.2">
      <c r="A1561" s="54">
        <v>1600</v>
      </c>
      <c r="B1561" s="9">
        <v>300</v>
      </c>
      <c r="C1561" s="136">
        <v>900</v>
      </c>
      <c r="D1561" s="136">
        <v>1900</v>
      </c>
      <c r="E1561" s="144">
        <v>2700</v>
      </c>
      <c r="F1561" s="469" t="s">
        <v>63</v>
      </c>
      <c r="G1561" s="385" t="s">
        <v>2366</v>
      </c>
      <c r="H1561" s="9">
        <v>2200</v>
      </c>
      <c r="I1561" s="85">
        <f t="shared" si="2118"/>
        <v>-18.518518518518519</v>
      </c>
      <c r="J1561" s="9">
        <f>ROUNDUP(H1561+(H1561*Assumptions!I$5),-2)</f>
        <v>2300</v>
      </c>
      <c r="K1561" s="9">
        <f>ROUNDUP(J1561+(J1561*Assumptions!J$5),-2)</f>
        <v>2400</v>
      </c>
      <c r="L1561" s="9">
        <f>ROUNDUP(K1561+(K1561*Assumptions!K$5),-2)</f>
        <v>2500</v>
      </c>
      <c r="M1561" s="9">
        <f>ROUNDUP(L1561+(L1561*Assumptions!L$5),-2)</f>
        <v>2600</v>
      </c>
      <c r="N1561" s="9">
        <f>ROUNDUP(M1561+(M1561*Assumptions!M$5),-2)</f>
        <v>2700</v>
      </c>
      <c r="O1561" s="9">
        <f>ROUNDUP(N1561+(N1561*Assumptions!N$5),-2)</f>
        <v>2800</v>
      </c>
      <c r="P1561" s="9">
        <f>ROUNDUP(O1561+(O1561*Assumptions!O$5),-2)</f>
        <v>2900</v>
      </c>
      <c r="Q1561" s="9">
        <f>ROUNDUP(P1561+(P1561*Assumptions!P$5),-2)</f>
        <v>3000</v>
      </c>
      <c r="R1561" s="9">
        <f>ROUNDUP(Q1561+(Q1561*Assumptions!Q$5),-2)</f>
        <v>3100</v>
      </c>
      <c r="S1561" s="47">
        <f>ROUNDUP(R1561+(R1561*Assumptions!R$5),-2)</f>
        <v>3200</v>
      </c>
    </row>
    <row r="1562" spans="1:19" x14ac:dyDescent="0.2">
      <c r="A1562" s="54">
        <v>5900</v>
      </c>
      <c r="B1562" s="9">
        <v>8200</v>
      </c>
      <c r="C1562" s="136">
        <v>10100</v>
      </c>
      <c r="D1562" s="136">
        <v>9600</v>
      </c>
      <c r="E1562" s="144">
        <v>10200</v>
      </c>
      <c r="F1562" s="469" t="s">
        <v>2254</v>
      </c>
      <c r="G1562" s="385" t="s">
        <v>2367</v>
      </c>
      <c r="H1562" s="9">
        <v>9400</v>
      </c>
      <c r="I1562" s="85">
        <f t="shared" si="2118"/>
        <v>-7.8431372549019605</v>
      </c>
      <c r="J1562" s="9">
        <f>ROUNDUP(H1562+(H1562*Assumptions!I$5),-2)</f>
        <v>9700</v>
      </c>
      <c r="K1562" s="9">
        <f>ROUNDUP(J1562+(J1562*Assumptions!J$5),-2)</f>
        <v>10000</v>
      </c>
      <c r="L1562" s="9">
        <f>ROUNDUP(K1562+(K1562*Assumptions!K$5),-2)</f>
        <v>10300</v>
      </c>
      <c r="M1562" s="9">
        <f>ROUNDUP(L1562+(L1562*Assumptions!L$5),-2)</f>
        <v>10600</v>
      </c>
      <c r="N1562" s="9">
        <f>ROUNDUP(M1562+(M1562*Assumptions!M$5),-2)</f>
        <v>10900</v>
      </c>
      <c r="O1562" s="9">
        <f>ROUNDUP(N1562+(N1562*Assumptions!N$5),-2)</f>
        <v>11200</v>
      </c>
      <c r="P1562" s="9">
        <f>ROUNDUP(O1562+(O1562*Assumptions!O$5),-2)</f>
        <v>11500</v>
      </c>
      <c r="Q1562" s="9">
        <f>ROUNDUP(P1562+(P1562*Assumptions!P$5),-2)</f>
        <v>11800</v>
      </c>
      <c r="R1562" s="9">
        <f>ROUNDUP(Q1562+(Q1562*Assumptions!Q$5),-2)</f>
        <v>12100</v>
      </c>
      <c r="S1562" s="47">
        <f>ROUNDUP(R1562+(R1562*Assumptions!R$5),-2)</f>
        <v>12500</v>
      </c>
    </row>
    <row r="1563" spans="1:19" x14ac:dyDescent="0.2">
      <c r="A1563" s="54">
        <v>100</v>
      </c>
      <c r="B1563" s="9">
        <v>100</v>
      </c>
      <c r="C1563" s="136">
        <v>300</v>
      </c>
      <c r="D1563" s="136">
        <v>300</v>
      </c>
      <c r="E1563" s="144">
        <v>0</v>
      </c>
      <c r="F1563" s="469" t="s">
        <v>2255</v>
      </c>
      <c r="G1563" s="385" t="s">
        <v>2071</v>
      </c>
      <c r="H1563" s="9">
        <f>400-400</f>
        <v>0</v>
      </c>
      <c r="I1563" s="85">
        <f t="shared" si="2118"/>
        <v>0</v>
      </c>
      <c r="J1563" s="9">
        <f>ROUNDUP(H1563+(H1563*Assumptions!I$5),-2)</f>
        <v>0</v>
      </c>
      <c r="K1563" s="9">
        <f>ROUNDUP(J1563+(J1563*Assumptions!J$5),-2)</f>
        <v>0</v>
      </c>
      <c r="L1563" s="9">
        <f>ROUNDUP(K1563+(K1563*Assumptions!K$5),-2)</f>
        <v>0</v>
      </c>
      <c r="M1563" s="9">
        <f>ROUNDUP(L1563+(L1563*Assumptions!L$5),-2)</f>
        <v>0</v>
      </c>
      <c r="N1563" s="9">
        <f>ROUNDUP(M1563+(M1563*Assumptions!M$5),-2)</f>
        <v>0</v>
      </c>
      <c r="O1563" s="9">
        <f>ROUNDUP(N1563+(N1563*Assumptions!N$5),-2)</f>
        <v>0</v>
      </c>
      <c r="P1563" s="9">
        <f>ROUNDUP(O1563+(O1563*Assumptions!O$5),-2)</f>
        <v>0</v>
      </c>
      <c r="Q1563" s="9">
        <f>ROUNDUP(P1563+(P1563*Assumptions!P$5),-2)</f>
        <v>0</v>
      </c>
      <c r="R1563" s="9">
        <f>ROUNDUP(Q1563+(Q1563*Assumptions!Q$5),-2)</f>
        <v>0</v>
      </c>
      <c r="S1563" s="47">
        <f>ROUNDUP(R1563+(R1563*Assumptions!R$5),-2)</f>
        <v>0</v>
      </c>
    </row>
    <row r="1564" spans="1:19" x14ac:dyDescent="0.2">
      <c r="A1564" s="54">
        <v>9000</v>
      </c>
      <c r="B1564" s="9">
        <v>6500</v>
      </c>
      <c r="C1564" s="136">
        <v>7400</v>
      </c>
      <c r="D1564" s="136">
        <v>7400</v>
      </c>
      <c r="E1564" s="144">
        <v>7900</v>
      </c>
      <c r="F1564" s="469" t="s">
        <v>2256</v>
      </c>
      <c r="G1564" s="661" t="s">
        <v>3583</v>
      </c>
      <c r="H1564" s="9">
        <v>9400</v>
      </c>
      <c r="I1564" s="85">
        <f t="shared" si="2118"/>
        <v>18.9873417721519</v>
      </c>
      <c r="J1564" s="9">
        <f>9700-9700</f>
        <v>0</v>
      </c>
      <c r="K1564" s="9">
        <f>ROUNDUP(J1564+(J1564*Assumptions!J$5),-2)</f>
        <v>0</v>
      </c>
      <c r="L1564" s="9">
        <f>ROUNDUP(K1564+(K1564*Assumptions!K$5),-2)</f>
        <v>0</v>
      </c>
      <c r="M1564" s="9">
        <f>ROUNDUP(L1564+(L1564*Assumptions!L$5),-2)</f>
        <v>0</v>
      </c>
      <c r="N1564" s="9">
        <f>ROUNDUP(M1564+(M1564*Assumptions!M$5),-2)</f>
        <v>0</v>
      </c>
      <c r="O1564" s="9">
        <f>ROUNDUP(N1564+(N1564*Assumptions!N$5),-2)</f>
        <v>0</v>
      </c>
      <c r="P1564" s="9">
        <f>ROUNDUP(O1564+(O1564*Assumptions!O$5),-2)</f>
        <v>0</v>
      </c>
      <c r="Q1564" s="9">
        <f>ROUNDUP(P1564+(P1564*Assumptions!P$5),-2)</f>
        <v>0</v>
      </c>
      <c r="R1564" s="9">
        <f>ROUNDUP(Q1564+(Q1564*Assumptions!Q$5),-2)</f>
        <v>0</v>
      </c>
      <c r="S1564" s="47">
        <f>ROUNDUP(R1564+(R1564*Assumptions!R$5),-2)</f>
        <v>0</v>
      </c>
    </row>
    <row r="1565" spans="1:19" x14ac:dyDescent="0.2">
      <c r="A1565" s="54">
        <v>2300</v>
      </c>
      <c r="B1565" s="9">
        <v>400</v>
      </c>
      <c r="C1565" s="136">
        <v>0</v>
      </c>
      <c r="D1565" s="136">
        <v>2100</v>
      </c>
      <c r="E1565" s="144">
        <v>100</v>
      </c>
      <c r="F1565" s="469" t="s">
        <v>2257</v>
      </c>
      <c r="G1565" s="661" t="s">
        <v>4717</v>
      </c>
      <c r="H1565" s="9">
        <v>20000</v>
      </c>
      <c r="I1565" s="85">
        <f t="shared" si="2118"/>
        <v>19900</v>
      </c>
      <c r="J1565" s="9">
        <f>ROUNDUP(H1565+(H1565*Assumptions!I$5),-2)</f>
        <v>20500</v>
      </c>
      <c r="K1565" s="9">
        <f>ROUNDUP(J1565+(J1565*Assumptions!J$5),-2)</f>
        <v>21100</v>
      </c>
      <c r="L1565" s="9">
        <f>ROUNDUP(K1565+(K1565*Assumptions!K$5),-2)</f>
        <v>21700</v>
      </c>
      <c r="M1565" s="9">
        <f>ROUNDUP(L1565+(L1565*Assumptions!L$5),-2)</f>
        <v>22300</v>
      </c>
      <c r="N1565" s="9">
        <f>ROUNDUP(M1565+(M1565*Assumptions!M$5),-2)</f>
        <v>22900</v>
      </c>
      <c r="O1565" s="9">
        <f>ROUNDUP(N1565+(N1565*Assumptions!N$5),-2)</f>
        <v>23500</v>
      </c>
      <c r="P1565" s="9">
        <f>ROUNDUP(O1565+(O1565*Assumptions!O$5),-2)</f>
        <v>24100</v>
      </c>
      <c r="Q1565" s="9">
        <f>ROUNDUP(P1565+(P1565*Assumptions!P$5),-2)</f>
        <v>24800</v>
      </c>
      <c r="R1565" s="9">
        <f>ROUNDUP(Q1565+(Q1565*Assumptions!Q$5),-2)</f>
        <v>25500</v>
      </c>
      <c r="S1565" s="47">
        <f>ROUNDUP(R1565+(R1565*Assumptions!R$5),-2)</f>
        <v>26200</v>
      </c>
    </row>
    <row r="1566" spans="1:19" x14ac:dyDescent="0.2">
      <c r="A1566" s="54">
        <v>0</v>
      </c>
      <c r="B1566" s="9">
        <v>0</v>
      </c>
      <c r="C1566" s="136">
        <v>15200</v>
      </c>
      <c r="D1566" s="136">
        <v>35100</v>
      </c>
      <c r="E1566" s="144">
        <v>23600</v>
      </c>
      <c r="F1566" s="769" t="s">
        <v>4060</v>
      </c>
      <c r="G1566" s="661" t="s">
        <v>3582</v>
      </c>
      <c r="H1566" s="9">
        <v>21000</v>
      </c>
      <c r="I1566" s="85">
        <f t="shared" si="2118"/>
        <v>-11.016949152542372</v>
      </c>
      <c r="J1566" s="9">
        <f>ROUNDUP(H1566+(H1566*Assumptions!I$5),-2)</f>
        <v>21500</v>
      </c>
      <c r="K1566" s="9">
        <f>ROUNDUP(J1566+(J1566*Assumptions!J$5),-2)</f>
        <v>22100</v>
      </c>
      <c r="L1566" s="9">
        <f>ROUNDUP(K1566+(K1566*Assumptions!K$5),-2)</f>
        <v>22700</v>
      </c>
      <c r="M1566" s="9">
        <f>ROUNDUP(L1566+(L1566*Assumptions!L$5),-2)</f>
        <v>23300</v>
      </c>
      <c r="N1566" s="9">
        <f>ROUNDUP(M1566+(M1566*Assumptions!M$5),-2)</f>
        <v>23900</v>
      </c>
      <c r="O1566" s="9">
        <f>ROUNDUP(N1566+(N1566*Assumptions!N$5),-2)</f>
        <v>24500</v>
      </c>
      <c r="P1566" s="9">
        <f>ROUNDUP(O1566+(O1566*Assumptions!O$5),-2)</f>
        <v>25200</v>
      </c>
      <c r="Q1566" s="9">
        <f>ROUNDUP(P1566+(P1566*Assumptions!P$5),-2)</f>
        <v>25900</v>
      </c>
      <c r="R1566" s="9">
        <f>ROUNDUP(Q1566+(Q1566*Assumptions!Q$5),-2)</f>
        <v>26600</v>
      </c>
      <c r="S1566" s="47">
        <f>ROUNDUP(R1566+(R1566*Assumptions!R$5),-2)</f>
        <v>27300</v>
      </c>
    </row>
    <row r="1567" spans="1:19" x14ac:dyDescent="0.2">
      <c r="A1567" s="54">
        <v>0</v>
      </c>
      <c r="B1567" s="9">
        <v>0</v>
      </c>
      <c r="C1567" s="136">
        <v>0</v>
      </c>
      <c r="D1567" s="136">
        <v>24000</v>
      </c>
      <c r="E1567" s="144">
        <v>41300</v>
      </c>
      <c r="F1567" s="769" t="s">
        <v>6607</v>
      </c>
      <c r="G1567" s="661" t="s">
        <v>3001</v>
      </c>
      <c r="H1567" s="9">
        <v>30000</v>
      </c>
      <c r="I1567" s="85">
        <f t="shared" si="2118"/>
        <v>-27.360774818401939</v>
      </c>
      <c r="J1567" s="9">
        <f>ROUNDUP(H1567+(H1567*Assumptions!I$5),-2)</f>
        <v>30700</v>
      </c>
      <c r="K1567" s="9">
        <f>ROUNDUP(J1567+(J1567*Assumptions!J$5),-2)</f>
        <v>31500</v>
      </c>
      <c r="L1567" s="9">
        <f>ROUNDUP(K1567+(K1567*Assumptions!K$5),-2)</f>
        <v>32300</v>
      </c>
      <c r="M1567" s="9">
        <f>ROUNDUP(L1567+(L1567*Assumptions!L$5),-2)</f>
        <v>33200</v>
      </c>
      <c r="N1567" s="9">
        <f>ROUNDUP(M1567+(M1567*Assumptions!M$5),-2)</f>
        <v>34100</v>
      </c>
      <c r="O1567" s="9">
        <f>ROUNDUP(N1567+(N1567*Assumptions!N$5),-2)</f>
        <v>35000</v>
      </c>
      <c r="P1567" s="9">
        <f>ROUNDUP(O1567+(O1567*Assumptions!O$5),-2)</f>
        <v>35900</v>
      </c>
      <c r="Q1567" s="9">
        <f>ROUNDUP(P1567+(P1567*Assumptions!P$5),-2)</f>
        <v>36800</v>
      </c>
      <c r="R1567" s="9">
        <f>ROUNDUP(Q1567+(Q1567*Assumptions!Q$5),-2)</f>
        <v>37800</v>
      </c>
      <c r="S1567" s="47">
        <f>ROUNDUP(R1567+(R1567*Assumptions!R$5),-2)</f>
        <v>38800</v>
      </c>
    </row>
    <row r="1568" spans="1:19" x14ac:dyDescent="0.2">
      <c r="A1568" s="54">
        <v>0</v>
      </c>
      <c r="B1568" s="9">
        <v>0</v>
      </c>
      <c r="C1568" s="136">
        <v>0</v>
      </c>
      <c r="D1568" s="136">
        <v>7100</v>
      </c>
      <c r="E1568" s="144">
        <v>9200</v>
      </c>
      <c r="F1568" s="769" t="s">
        <v>5806</v>
      </c>
      <c r="G1568" s="661" t="s">
        <v>5805</v>
      </c>
      <c r="H1568" s="9">
        <v>10200</v>
      </c>
      <c r="I1568" s="85">
        <f t="shared" si="2118"/>
        <v>10.869565217391305</v>
      </c>
      <c r="J1568" s="9">
        <f>ROUNDUP(H1568+(H1568*Assumptions!I$5),-2)</f>
        <v>10500</v>
      </c>
      <c r="K1568" s="9">
        <f>ROUNDUP(J1568+(J1568*Assumptions!J$5),-2)</f>
        <v>10800</v>
      </c>
      <c r="L1568" s="9">
        <f>ROUNDUP(K1568+(K1568*Assumptions!K$5),-2)</f>
        <v>11100</v>
      </c>
      <c r="M1568" s="9">
        <f>ROUNDUP(L1568+(L1568*Assumptions!L$5),-2)</f>
        <v>11400</v>
      </c>
      <c r="N1568" s="9">
        <f>ROUNDUP(M1568+(M1568*Assumptions!M$5),-2)</f>
        <v>11700</v>
      </c>
      <c r="O1568" s="9">
        <f>ROUNDUP(N1568+(N1568*Assumptions!N$5),-2)</f>
        <v>12000</v>
      </c>
      <c r="P1568" s="9">
        <f>ROUNDUP(O1568+(O1568*Assumptions!O$5),-2)</f>
        <v>12300</v>
      </c>
      <c r="Q1568" s="9">
        <f>ROUNDUP(P1568+(P1568*Assumptions!P$5),-2)</f>
        <v>12700</v>
      </c>
      <c r="R1568" s="9">
        <f>ROUNDUP(Q1568+(Q1568*Assumptions!Q$5),-2)</f>
        <v>13100</v>
      </c>
      <c r="S1568" s="47">
        <f>ROUNDUP(R1568+(R1568*Assumptions!R$5),-2)</f>
        <v>13500</v>
      </c>
    </row>
    <row r="1569" spans="1:21" ht="13.5" thickBot="1" x14ac:dyDescent="0.25">
      <c r="A1569" s="54"/>
      <c r="B1569" s="9"/>
      <c r="D1569" s="134"/>
      <c r="E1569" s="144"/>
      <c r="F1569" s="167"/>
      <c r="G1569" s="9"/>
      <c r="H1569" s="9"/>
      <c r="I1569" s="85"/>
      <c r="J1569" s="9"/>
      <c r="K1569" s="9"/>
      <c r="L1569" s="9"/>
      <c r="M1569" s="9"/>
      <c r="N1569" s="9"/>
      <c r="O1569" s="9"/>
      <c r="P1569" s="9"/>
      <c r="Q1569" s="9"/>
      <c r="R1569" s="9"/>
      <c r="S1569" s="47"/>
    </row>
    <row r="1570" spans="1:21" s="39" customFormat="1" x14ac:dyDescent="0.2">
      <c r="A1570" s="52">
        <f>SUM(A1541:A1569)</f>
        <v>312500</v>
      </c>
      <c r="B1570" s="16">
        <f>SUM(B1541:B1569)</f>
        <v>302200</v>
      </c>
      <c r="C1570" s="137">
        <f>SUM(C1541:C1569)</f>
        <v>368400</v>
      </c>
      <c r="D1570" s="137">
        <f>SUM(D1541:D1569)</f>
        <v>410400</v>
      </c>
      <c r="E1570" s="1473">
        <f>SUM(E1541:E1569)</f>
        <v>447100</v>
      </c>
      <c r="F1570" s="126"/>
      <c r="G1570" s="267" t="s">
        <v>556</v>
      </c>
      <c r="H1570" s="16">
        <f t="shared" ref="H1570:Q1570" si="2119">SUM(H1541:H1569)</f>
        <v>408900</v>
      </c>
      <c r="I1570" s="127">
        <f>IF(E1570=H1570,0,IF(E1570=0,100,(H1570-E1570)/E1570*100))</f>
        <v>-8.5439498993513752</v>
      </c>
      <c r="J1570" s="16">
        <f t="shared" si="2119"/>
        <v>409600</v>
      </c>
      <c r="K1570" s="16">
        <f t="shared" si="2119"/>
        <v>428400</v>
      </c>
      <c r="L1570" s="16">
        <f t="shared" si="2119"/>
        <v>440200</v>
      </c>
      <c r="M1570" s="16">
        <f t="shared" si="2119"/>
        <v>452300</v>
      </c>
      <c r="N1570" s="16">
        <f t="shared" si="2119"/>
        <v>464800</v>
      </c>
      <c r="O1570" s="16">
        <f t="shared" si="2119"/>
        <v>477500</v>
      </c>
      <c r="P1570" s="16">
        <f t="shared" si="2119"/>
        <v>490400</v>
      </c>
      <c r="Q1570" s="16">
        <f t="shared" si="2119"/>
        <v>503700</v>
      </c>
      <c r="R1570" s="16">
        <f t="shared" ref="R1570" si="2120">SUM(R1541:R1569)</f>
        <v>517300</v>
      </c>
      <c r="S1570" s="2342">
        <f t="shared" ref="S1570" si="2121">SUM(S1541:S1569)</f>
        <v>531400</v>
      </c>
      <c r="U1570" s="34"/>
    </row>
    <row r="1571" spans="1:21" x14ac:dyDescent="0.2">
      <c r="A1571" s="54"/>
      <c r="B1571" s="9"/>
      <c r="E1571" s="1442"/>
      <c r="F1571" s="167"/>
      <c r="G1571" s="257"/>
      <c r="H1571" s="9"/>
      <c r="I1571" s="85"/>
      <c r="J1571" s="9"/>
      <c r="K1571" s="9"/>
      <c r="L1571" s="9"/>
      <c r="M1571" s="9"/>
      <c r="N1571" s="9"/>
      <c r="O1571" s="9"/>
      <c r="P1571" s="9"/>
      <c r="Q1571" s="9"/>
      <c r="R1571" s="9"/>
      <c r="S1571" s="47"/>
    </row>
    <row r="1572" spans="1:21" s="39" customFormat="1" x14ac:dyDescent="0.2">
      <c r="A1572" s="24">
        <f>A1539-A1570</f>
        <v>-306900</v>
      </c>
      <c r="B1572" s="21">
        <f>B1539-B1570</f>
        <v>-219500</v>
      </c>
      <c r="C1572" s="139">
        <f>C1539-C1570</f>
        <v>-282000</v>
      </c>
      <c r="D1572" s="139">
        <f>D1539-D1570</f>
        <v>-297100</v>
      </c>
      <c r="E1572" s="1444">
        <f>E1539-E1570</f>
        <v>-447100</v>
      </c>
      <c r="F1572" s="173"/>
      <c r="G1572" s="260" t="s">
        <v>1002</v>
      </c>
      <c r="H1572" s="21">
        <f t="shared" ref="H1572:Q1572" si="2122">H1539-H1570</f>
        <v>-408900</v>
      </c>
      <c r="I1572" s="126">
        <f>IF(E1572=H1572,0,IF(E1572=0,100,(H1572-E1572)/E1572*100))</f>
        <v>-8.5439498993513752</v>
      </c>
      <c r="J1572" s="21">
        <f t="shared" si="2122"/>
        <v>-409600</v>
      </c>
      <c r="K1572" s="21">
        <f t="shared" si="2122"/>
        <v>-428400</v>
      </c>
      <c r="L1572" s="21">
        <f t="shared" si="2122"/>
        <v>-440200</v>
      </c>
      <c r="M1572" s="21">
        <f t="shared" si="2122"/>
        <v>-452300</v>
      </c>
      <c r="N1572" s="21">
        <f t="shared" si="2122"/>
        <v>-464800</v>
      </c>
      <c r="O1572" s="21">
        <f t="shared" si="2122"/>
        <v>-477500</v>
      </c>
      <c r="P1572" s="21">
        <f t="shared" si="2122"/>
        <v>-490400</v>
      </c>
      <c r="Q1572" s="21">
        <f t="shared" si="2122"/>
        <v>-503700</v>
      </c>
      <c r="R1572" s="21">
        <f t="shared" ref="R1572" si="2123">R1539-R1570</f>
        <v>-517300</v>
      </c>
      <c r="S1572" s="86">
        <f t="shared" ref="S1572" si="2124">S1539-S1570</f>
        <v>-531400</v>
      </c>
      <c r="U1572" s="34"/>
    </row>
    <row r="1573" spans="1:21" x14ac:dyDescent="0.2">
      <c r="A1573" s="54">
        <v>0</v>
      </c>
      <c r="B1573" s="9">
        <v>0</v>
      </c>
      <c r="C1573" s="136">
        <v>0</v>
      </c>
      <c r="D1573" s="136">
        <v>0</v>
      </c>
      <c r="E1573" s="1442">
        <v>0</v>
      </c>
      <c r="F1573" s="167"/>
      <c r="G1573" s="261" t="s">
        <v>1943</v>
      </c>
      <c r="H1573" s="134">
        <v>0</v>
      </c>
      <c r="I1573" s="85">
        <f>IF(E1573=H1573,0,IF(E1573=0,100,(H1573-E1573)/E1573*100))</f>
        <v>0</v>
      </c>
      <c r="J1573" s="134">
        <v>0</v>
      </c>
      <c r="K1573" s="134">
        <v>0</v>
      </c>
      <c r="L1573" s="134">
        <v>0</v>
      </c>
      <c r="M1573" s="134">
        <v>0</v>
      </c>
      <c r="N1573" s="134">
        <v>0</v>
      </c>
      <c r="O1573" s="134">
        <v>0</v>
      </c>
      <c r="P1573" s="134">
        <v>0</v>
      </c>
      <c r="Q1573" s="134">
        <v>0</v>
      </c>
      <c r="R1573" s="134">
        <v>0</v>
      </c>
      <c r="S1573" s="2359">
        <v>0</v>
      </c>
    </row>
    <row r="1574" spans="1:21" s="39" customFormat="1" x14ac:dyDescent="0.2">
      <c r="A1574" s="128">
        <f>A1572+A1573</f>
        <v>-306900</v>
      </c>
      <c r="B1574" s="280">
        <f>B1572+B1573</f>
        <v>-219500</v>
      </c>
      <c r="C1574" s="281">
        <f>C1572+C1573</f>
        <v>-282000</v>
      </c>
      <c r="D1574" s="281">
        <f>D1572+D1573</f>
        <v>-297100</v>
      </c>
      <c r="E1574" s="1515">
        <f t="shared" ref="E1574" si="2125">E1572+E1573</f>
        <v>-447100</v>
      </c>
      <c r="F1574" s="372"/>
      <c r="G1574" s="363" t="s">
        <v>1659</v>
      </c>
      <c r="H1574" s="529">
        <f t="shared" ref="H1574:O1574" si="2126">H1572+H1573</f>
        <v>-408900</v>
      </c>
      <c r="I1574" s="278">
        <f>IF(E1574=H1574,0,IF(E1574=0,100,(H1574-E1574)/E1574*100))</f>
        <v>-8.5439498993513752</v>
      </c>
      <c r="J1574" s="529">
        <f t="shared" si="2126"/>
        <v>-409600</v>
      </c>
      <c r="K1574" s="529">
        <f t="shared" si="2126"/>
        <v>-428400</v>
      </c>
      <c r="L1574" s="529">
        <f t="shared" si="2126"/>
        <v>-440200</v>
      </c>
      <c r="M1574" s="529">
        <f t="shared" si="2126"/>
        <v>-452300</v>
      </c>
      <c r="N1574" s="529">
        <f t="shared" si="2126"/>
        <v>-464800</v>
      </c>
      <c r="O1574" s="529">
        <f t="shared" si="2126"/>
        <v>-477500</v>
      </c>
      <c r="P1574" s="529">
        <f t="shared" ref="P1574:Q1574" si="2127">P1572+P1573</f>
        <v>-490400</v>
      </c>
      <c r="Q1574" s="529">
        <f t="shared" si="2127"/>
        <v>-503700</v>
      </c>
      <c r="R1574" s="529">
        <f t="shared" ref="R1574" si="2128">R1572+R1573</f>
        <v>-517300</v>
      </c>
      <c r="S1574" s="2410">
        <f t="shared" ref="S1574" si="2129">S1572+S1573</f>
        <v>-531400</v>
      </c>
      <c r="U1574" s="34"/>
    </row>
    <row r="1575" spans="1:21" ht="13.5" thickBot="1" x14ac:dyDescent="0.25">
      <c r="A1575" s="544"/>
      <c r="B1575" s="21"/>
      <c r="C1575" s="138"/>
      <c r="D1575" s="138"/>
      <c r="E1575" s="1444"/>
      <c r="F1575" s="167"/>
      <c r="G1575" s="260"/>
      <c r="H1575" s="9"/>
      <c r="I1575" s="126"/>
      <c r="J1575" s="9"/>
      <c r="K1575" s="9"/>
      <c r="L1575" s="9"/>
      <c r="M1575" s="9"/>
      <c r="N1575" s="9"/>
      <c r="O1575" s="9"/>
      <c r="P1575" s="9"/>
      <c r="Q1575" s="9"/>
      <c r="R1575" s="9"/>
      <c r="S1575" s="61"/>
    </row>
    <row r="1576" spans="1:21" x14ac:dyDescent="0.2">
      <c r="A1576" s="52"/>
      <c r="B1576" s="102"/>
      <c r="C1576" s="137"/>
      <c r="D1576" s="137"/>
      <c r="E1576" s="1473"/>
      <c r="F1576" s="2425"/>
      <c r="G1576" s="262"/>
      <c r="H1576" s="116"/>
      <c r="I1576" s="127"/>
      <c r="J1576" s="116"/>
      <c r="K1576" s="116"/>
      <c r="L1576" s="116"/>
      <c r="M1576" s="116"/>
      <c r="N1576" s="116"/>
      <c r="O1576" s="116"/>
      <c r="P1576" s="116"/>
      <c r="Q1576" s="116"/>
      <c r="R1576" s="116"/>
      <c r="S1576" s="1015"/>
    </row>
    <row r="1577" spans="1:21" x14ac:dyDescent="0.2">
      <c r="A1577" s="24"/>
      <c r="B1577" s="75"/>
      <c r="C1577" s="139"/>
      <c r="D1577" s="139"/>
      <c r="E1577" s="143"/>
      <c r="F1577" s="167"/>
      <c r="G1577" s="361" t="s">
        <v>192</v>
      </c>
      <c r="H1577" s="9"/>
      <c r="I1577" s="126"/>
      <c r="J1577" s="9"/>
      <c r="K1577" s="9"/>
      <c r="L1577" s="9"/>
      <c r="M1577" s="9"/>
      <c r="N1577" s="9"/>
      <c r="O1577" s="9"/>
      <c r="P1577" s="9"/>
      <c r="Q1577" s="9"/>
      <c r="R1577" s="9"/>
      <c r="S1577" s="61"/>
    </row>
    <row r="1578" spans="1:21" x14ac:dyDescent="0.2">
      <c r="A1578" s="24"/>
      <c r="B1578" s="75"/>
      <c r="C1578" s="139"/>
      <c r="D1578" s="139"/>
      <c r="E1578" s="144"/>
      <c r="F1578" s="167"/>
      <c r="G1578" s="260"/>
      <c r="H1578" s="9"/>
      <c r="I1578" s="126"/>
      <c r="J1578" s="9"/>
      <c r="K1578" s="9"/>
      <c r="L1578" s="9"/>
      <c r="M1578" s="9"/>
      <c r="N1578" s="9"/>
      <c r="O1578" s="9"/>
      <c r="P1578" s="9"/>
      <c r="Q1578" s="9"/>
      <c r="R1578" s="9"/>
      <c r="S1578" s="61"/>
    </row>
    <row r="1579" spans="1:21" x14ac:dyDescent="0.2">
      <c r="A1579" s="54">
        <v>0</v>
      </c>
      <c r="B1579" s="89">
        <v>0</v>
      </c>
      <c r="C1579" s="136">
        <v>0</v>
      </c>
      <c r="D1579" s="136">
        <v>0</v>
      </c>
      <c r="E1579" s="144">
        <v>0</v>
      </c>
      <c r="F1579" s="167"/>
      <c r="G1579" s="257" t="s">
        <v>2848</v>
      </c>
      <c r="H1579" s="134">
        <v>0</v>
      </c>
      <c r="I1579" s="85">
        <f>IF(E1579=H1579,0,IF(E1579=0,100,(H1579-E1579)/E1579*100))</f>
        <v>0</v>
      </c>
      <c r="J1579" s="134">
        <v>0</v>
      </c>
      <c r="K1579" s="134">
        <v>0</v>
      </c>
      <c r="L1579" s="134">
        <v>0</v>
      </c>
      <c r="M1579" s="134">
        <v>0</v>
      </c>
      <c r="N1579" s="134">
        <v>0</v>
      </c>
      <c r="O1579" s="134">
        <v>0</v>
      </c>
      <c r="P1579" s="134">
        <v>0</v>
      </c>
      <c r="Q1579" s="134">
        <v>0</v>
      </c>
      <c r="R1579" s="134">
        <v>0</v>
      </c>
      <c r="S1579" s="135">
        <v>0</v>
      </c>
    </row>
    <row r="1580" spans="1:21" x14ac:dyDescent="0.2">
      <c r="A1580" s="54">
        <v>226600</v>
      </c>
      <c r="B1580" s="89">
        <v>1497600</v>
      </c>
      <c r="C1580" s="136">
        <v>5063000</v>
      </c>
      <c r="D1580" s="136">
        <f>SUM('Res-Gen'!B228:B235)-'Res-Gen'!B235</f>
        <v>1412700</v>
      </c>
      <c r="E1580" s="144">
        <v>468300</v>
      </c>
      <c r="F1580" s="167"/>
      <c r="G1580" s="257" t="s">
        <v>1909</v>
      </c>
      <c r="H1580" s="134">
        <v>0</v>
      </c>
      <c r="I1580" s="85">
        <f>IF(E1580=H1580,0,IF(E1580=0,100,(H1580-E1580)/E1580*100))</f>
        <v>-100</v>
      </c>
      <c r="J1580" s="134">
        <v>0</v>
      </c>
      <c r="K1580" s="134">
        <v>0</v>
      </c>
      <c r="L1580" s="134">
        <v>0</v>
      </c>
      <c r="M1580" s="134">
        <v>0</v>
      </c>
      <c r="N1580" s="134">
        <v>0</v>
      </c>
      <c r="O1580" s="134">
        <v>0</v>
      </c>
      <c r="P1580" s="134">
        <v>0</v>
      </c>
      <c r="Q1580" s="134">
        <v>0</v>
      </c>
      <c r="R1580" s="134">
        <v>0</v>
      </c>
      <c r="S1580" s="135">
        <v>0</v>
      </c>
    </row>
    <row r="1581" spans="1:21" x14ac:dyDescent="0.2">
      <c r="A1581" s="54">
        <v>937400</v>
      </c>
      <c r="B1581" s="89">
        <v>41500</v>
      </c>
      <c r="C1581" s="136">
        <v>5264500</v>
      </c>
      <c r="D1581" s="136">
        <f>SUM('Res-Gen'!C228:C237)+80000</f>
        <v>3802200</v>
      </c>
      <c r="E1581" s="144">
        <f>1334100+2451700</f>
        <v>3785800</v>
      </c>
      <c r="F1581" s="167"/>
      <c r="G1581" s="257" t="s">
        <v>2309</v>
      </c>
      <c r="H1581" s="134">
        <f>'Res-Gen'!I75+150000+'Res-Gen'!I234</f>
        <v>1609000</v>
      </c>
      <c r="I1581" s="85">
        <f>IF(E1581=H1581,0,IF(E1581=0,100,(H1581-E1581)/E1581*100))</f>
        <v>-57.499075492630361</v>
      </c>
      <c r="J1581" s="134">
        <v>0</v>
      </c>
      <c r="K1581" s="134">
        <v>0</v>
      </c>
      <c r="L1581" s="134">
        <v>0</v>
      </c>
      <c r="M1581" s="134">
        <v>0</v>
      </c>
      <c r="N1581" s="134">
        <v>0</v>
      </c>
      <c r="O1581" s="134">
        <v>0</v>
      </c>
      <c r="P1581" s="134">
        <v>0</v>
      </c>
      <c r="Q1581" s="134">
        <v>0</v>
      </c>
      <c r="R1581" s="134">
        <v>0</v>
      </c>
      <c r="S1581" s="135">
        <v>0</v>
      </c>
    </row>
    <row r="1582" spans="1:21" x14ac:dyDescent="0.2">
      <c r="A1582" s="54">
        <v>1000000</v>
      </c>
      <c r="B1582" s="89">
        <v>1521000</v>
      </c>
      <c r="C1582" s="136">
        <v>25000</v>
      </c>
      <c r="D1582" s="136">
        <f>SUM('Cap-Gen'!R192:T198)</f>
        <v>0</v>
      </c>
      <c r="E1582" s="144">
        <f>SUM('Cap-Gen'!W192:Y198)</f>
        <v>50000</v>
      </c>
      <c r="F1582" s="167"/>
      <c r="G1582" s="257" t="s">
        <v>5847</v>
      </c>
      <c r="H1582" s="134">
        <v>0</v>
      </c>
      <c r="I1582" s="85">
        <f>IF(E1582=H1582,0,IF(E1582=0,100,(H1582-E1582)/E1582*100))</f>
        <v>-100</v>
      </c>
      <c r="J1582" s="134">
        <v>0</v>
      </c>
      <c r="K1582" s="134">
        <v>0</v>
      </c>
      <c r="L1582" s="134">
        <v>0</v>
      </c>
      <c r="M1582" s="134">
        <v>0</v>
      </c>
      <c r="N1582" s="134">
        <v>0</v>
      </c>
      <c r="O1582" s="134">
        <v>0</v>
      </c>
      <c r="P1582" s="134">
        <v>0</v>
      </c>
      <c r="Q1582" s="134">
        <v>0</v>
      </c>
      <c r="R1582" s="134">
        <v>0</v>
      </c>
      <c r="S1582" s="135">
        <v>0</v>
      </c>
    </row>
    <row r="1583" spans="1:21" x14ac:dyDescent="0.2">
      <c r="A1583" s="54">
        <v>1995200</v>
      </c>
      <c r="B1583" s="89">
        <v>337500</v>
      </c>
      <c r="C1583" s="136">
        <v>401400</v>
      </c>
      <c r="D1583" s="136">
        <f>SUM('Cap-Gen'!E192:E198)</f>
        <v>2695900</v>
      </c>
      <c r="E1583" s="144">
        <f>SUM('Cap-Gen'!F192:F198)</f>
        <v>3627600</v>
      </c>
      <c r="F1583" s="167"/>
      <c r="G1583" s="257" t="s">
        <v>958</v>
      </c>
      <c r="H1583" s="9">
        <f>SUM('Cap-Gen'!G192:G198)</f>
        <v>1629000</v>
      </c>
      <c r="I1583" s="85">
        <f>IF(E1583=H1583,0,IF(E1583=0,100,(H1583-E1583)/E1583*100))</f>
        <v>-55.094277208071453</v>
      </c>
      <c r="J1583" s="9">
        <f>SUM('Cap-Gen'!H192:H198)</f>
        <v>175000</v>
      </c>
      <c r="K1583" s="9">
        <f>SUM('Cap-Gen'!I192:I198)</f>
        <v>182000</v>
      </c>
      <c r="L1583" s="9">
        <f>SUM('Cap-Gen'!J192:J198)</f>
        <v>187000</v>
      </c>
      <c r="M1583" s="9">
        <f>SUM('Cap-Gen'!K192:K198)</f>
        <v>192000</v>
      </c>
      <c r="N1583" s="9">
        <f>SUM('Cap-Gen'!L192:L198)</f>
        <v>197000</v>
      </c>
      <c r="O1583" s="9">
        <f>SUM('Cap-Gen'!M192:M198)</f>
        <v>202000</v>
      </c>
      <c r="P1583" s="9">
        <f>SUM('Cap-Gen'!N192:N198)</f>
        <v>207000</v>
      </c>
      <c r="Q1583" s="9">
        <f>SUM('Cap-Gen'!O192:O198)</f>
        <v>212000</v>
      </c>
      <c r="R1583" s="9">
        <f>SUM('Cap-Gen'!P192:P198)</f>
        <v>217000</v>
      </c>
      <c r="S1583" s="47">
        <f>SUM('Cap-Gen'!Q192:Q198)</f>
        <v>222000</v>
      </c>
    </row>
    <row r="1584" spans="1:21" x14ac:dyDescent="0.2">
      <c r="A1584" s="54"/>
      <c r="B1584" s="89"/>
      <c r="E1584" s="144"/>
      <c r="F1584" s="167"/>
      <c r="G1584" s="361"/>
      <c r="H1584" s="9"/>
      <c r="I1584" s="85"/>
      <c r="J1584" s="9"/>
      <c r="K1584" s="9"/>
      <c r="L1584" s="9"/>
      <c r="M1584" s="9"/>
      <c r="N1584" s="9"/>
      <c r="O1584" s="9"/>
      <c r="P1584" s="9"/>
      <c r="Q1584" s="9"/>
      <c r="R1584" s="9"/>
      <c r="S1584" s="61"/>
    </row>
    <row r="1585" spans="1:21" s="39" customFormat="1" x14ac:dyDescent="0.2">
      <c r="A1585" s="128">
        <f>A1574-A1579-A1580+A1581++A1582-A1583</f>
        <v>-591300</v>
      </c>
      <c r="B1585" s="266">
        <f>B1574-B1579-B1580+B1581++B1582-B1583</f>
        <v>-492100</v>
      </c>
      <c r="C1585" s="281">
        <f>C1574-C1579-C1580+C1581++C1582-C1583</f>
        <v>-456900</v>
      </c>
      <c r="D1585" s="281">
        <f>D1574-D1579-D1580+D1581++D1582-D1583</f>
        <v>-603500</v>
      </c>
      <c r="E1585" s="1513">
        <f t="shared" ref="E1585" si="2130">E1574-E1579-E1580+E1581++E1582-E1583</f>
        <v>-707200</v>
      </c>
      <c r="F1585" s="372"/>
      <c r="G1585" s="363" t="s">
        <v>2447</v>
      </c>
      <c r="H1585" s="280">
        <f t="shared" ref="H1585:O1585" si="2131">H1574-H1579-H1580+H1581++H1582-H1583</f>
        <v>-428900</v>
      </c>
      <c r="I1585" s="278">
        <f>IF(E1585=H1585,0,IF(E1585=0,100,(H1585-E1585)/E1585*100))</f>
        <v>-39.352375565610856</v>
      </c>
      <c r="J1585" s="280">
        <f t="shared" si="2131"/>
        <v>-584600</v>
      </c>
      <c r="K1585" s="280">
        <f t="shared" si="2131"/>
        <v>-610400</v>
      </c>
      <c r="L1585" s="280">
        <f t="shared" si="2131"/>
        <v>-627200</v>
      </c>
      <c r="M1585" s="280">
        <f t="shared" si="2131"/>
        <v>-644300</v>
      </c>
      <c r="N1585" s="280">
        <f t="shared" si="2131"/>
        <v>-661800</v>
      </c>
      <c r="O1585" s="280">
        <f t="shared" si="2131"/>
        <v>-679500</v>
      </c>
      <c r="P1585" s="280">
        <f t="shared" ref="P1585:Q1585" si="2132">P1574-P1579-P1580+P1581++P1582-P1583</f>
        <v>-697400</v>
      </c>
      <c r="Q1585" s="280">
        <f t="shared" si="2132"/>
        <v>-715700</v>
      </c>
      <c r="R1585" s="280">
        <f t="shared" ref="R1585:S1585" si="2133">R1574-R1579-R1580+R1581++R1582-R1583</f>
        <v>-734300</v>
      </c>
      <c r="S1585" s="282">
        <f t="shared" si="2133"/>
        <v>-753400</v>
      </c>
      <c r="U1585" s="34"/>
    </row>
    <row r="1586" spans="1:21" ht="13.5" thickBot="1" x14ac:dyDescent="0.25">
      <c r="A1586" s="26"/>
      <c r="B1586" s="81"/>
      <c r="C1586" s="141"/>
      <c r="D1586" s="141"/>
      <c r="E1586" s="1437"/>
      <c r="F1586" s="166"/>
      <c r="G1586" s="259"/>
      <c r="H1586" s="23"/>
      <c r="I1586" s="275"/>
      <c r="J1586" s="23"/>
      <c r="K1586" s="23"/>
      <c r="L1586" s="23"/>
      <c r="M1586" s="23"/>
      <c r="N1586" s="23"/>
      <c r="O1586" s="23"/>
      <c r="P1586" s="23"/>
      <c r="Q1586" s="23"/>
      <c r="R1586" s="23"/>
      <c r="S1586" s="112"/>
    </row>
    <row r="1587" spans="1:21" ht="14.25" thickTop="1" thickBot="1" x14ac:dyDescent="0.25">
      <c r="A1587" s="27"/>
      <c r="B1587" s="27"/>
      <c r="C1587" s="143"/>
      <c r="D1587" s="143"/>
      <c r="E1587" s="143"/>
      <c r="F1587" s="165"/>
      <c r="G1587" s="84"/>
      <c r="I1587" s="2234"/>
    </row>
    <row r="1588" spans="1:21" s="38" customFormat="1" ht="18.75" customHeight="1" thickTop="1" thickBot="1" x14ac:dyDescent="0.3">
      <c r="A1588" s="2588" t="s">
        <v>2635</v>
      </c>
      <c r="B1588" s="2589"/>
      <c r="C1588" s="2589"/>
      <c r="D1588" s="2589"/>
      <c r="E1588" s="2589"/>
      <c r="F1588" s="2589"/>
      <c r="G1588" s="2589"/>
      <c r="H1588" s="2589"/>
      <c r="I1588" s="2589"/>
      <c r="J1588" s="2589"/>
      <c r="K1588" s="2589"/>
      <c r="L1588" s="2589"/>
      <c r="M1588" s="2589"/>
      <c r="N1588" s="2589"/>
      <c r="O1588" s="2589"/>
      <c r="P1588" s="2589"/>
      <c r="Q1588" s="2589"/>
      <c r="R1588" s="2589"/>
      <c r="S1588" s="2590"/>
      <c r="U1588" s="34"/>
    </row>
    <row r="1589" spans="1:21" s="39" customFormat="1" ht="13.5" thickBot="1" x14ac:dyDescent="0.25">
      <c r="A1589" s="2591" t="s">
        <v>1824</v>
      </c>
      <c r="B1589" s="2577"/>
      <c r="C1589" s="2577"/>
      <c r="D1589" s="2577"/>
      <c r="E1589" s="2592"/>
      <c r="F1589" s="127" t="s">
        <v>2616</v>
      </c>
      <c r="G1589" s="127" t="s">
        <v>2213</v>
      </c>
      <c r="H1589" s="2568" t="s">
        <v>2215</v>
      </c>
      <c r="I1589" s="2568"/>
      <c r="J1589" s="2568"/>
      <c r="K1589" s="2568"/>
      <c r="L1589" s="2568"/>
      <c r="M1589" s="2568"/>
      <c r="N1589" s="2568"/>
      <c r="O1589" s="2568"/>
      <c r="P1589" s="2568"/>
      <c r="Q1589" s="2568"/>
      <c r="R1589" s="2568"/>
      <c r="S1589" s="2607"/>
      <c r="U1589" s="34"/>
    </row>
    <row r="1590" spans="1:21" ht="12.75" customHeight="1" thickBot="1" x14ac:dyDescent="0.25">
      <c r="A1590" s="541" t="str">
        <f>A3</f>
        <v>2012/13</v>
      </c>
      <c r="B1590" s="28" t="str">
        <f>B955</f>
        <v>2013/14</v>
      </c>
      <c r="C1590" s="40" t="str">
        <f>C3</f>
        <v>2014/15</v>
      </c>
      <c r="D1590" s="40" t="str">
        <f>D3</f>
        <v>2015/16</v>
      </c>
      <c r="E1590" s="1445" t="str">
        <f>E3</f>
        <v>2016/17</v>
      </c>
      <c r="F1590" s="40" t="s">
        <v>2617</v>
      </c>
      <c r="G1590" s="41"/>
      <c r="H1590" s="40" t="str">
        <f>H3</f>
        <v>2017/18</v>
      </c>
      <c r="I1590" s="1258" t="str">
        <f>I955</f>
        <v>%</v>
      </c>
      <c r="J1590" s="40" t="str">
        <f t="shared" ref="J1590:S1590" si="2134">J3</f>
        <v>2018/19</v>
      </c>
      <c r="K1590" s="40" t="str">
        <f t="shared" si="2134"/>
        <v>2019/20</v>
      </c>
      <c r="L1590" s="40" t="str">
        <f t="shared" si="2134"/>
        <v>2020/21</v>
      </c>
      <c r="M1590" s="40" t="str">
        <f t="shared" si="2134"/>
        <v>2021/22</v>
      </c>
      <c r="N1590" s="40" t="str">
        <f t="shared" si="2134"/>
        <v>2022/23</v>
      </c>
      <c r="O1590" s="40" t="str">
        <f t="shared" si="2134"/>
        <v>2023/24</v>
      </c>
      <c r="P1590" s="40" t="str">
        <f t="shared" si="2134"/>
        <v>2024/25</v>
      </c>
      <c r="Q1590" s="28" t="str">
        <f t="shared" si="2134"/>
        <v>2025/26</v>
      </c>
      <c r="R1590" s="28" t="str">
        <f t="shared" si="2134"/>
        <v>2026/27</v>
      </c>
      <c r="S1590" s="1620" t="str">
        <f t="shared" si="2134"/>
        <v>2027/28</v>
      </c>
    </row>
    <row r="1591" spans="1:21" x14ac:dyDescent="0.2">
      <c r="A1591" s="430"/>
      <c r="B1591" s="126"/>
      <c r="C1591" s="1182"/>
      <c r="D1591" s="1182"/>
      <c r="E1591" s="127"/>
      <c r="F1591" s="164"/>
      <c r="G1591" s="1460"/>
      <c r="H1591" s="9"/>
      <c r="I1591" s="126"/>
      <c r="J1591" s="9"/>
      <c r="K1591" s="9"/>
      <c r="L1591" s="9"/>
      <c r="M1591" s="9"/>
      <c r="N1591" s="9"/>
      <c r="O1591" s="9"/>
      <c r="P1591" s="9"/>
      <c r="Q1591" s="9"/>
      <c r="R1591" s="9"/>
      <c r="S1591" s="61"/>
    </row>
    <row r="1592" spans="1:21" x14ac:dyDescent="0.2">
      <c r="A1592" s="45"/>
      <c r="B1592" s="9"/>
      <c r="C1592" s="134"/>
      <c r="D1592" s="134"/>
      <c r="E1592" s="1442"/>
      <c r="F1592" s="167"/>
      <c r="G1592" s="256" t="s">
        <v>1056</v>
      </c>
      <c r="H1592" s="9"/>
      <c r="I1592" s="85"/>
      <c r="J1592" s="9"/>
      <c r="K1592" s="9"/>
      <c r="L1592" s="9"/>
      <c r="M1592" s="9"/>
      <c r="N1592" s="9"/>
      <c r="O1592" s="9"/>
      <c r="P1592" s="9"/>
      <c r="Q1592" s="9"/>
      <c r="R1592" s="9"/>
      <c r="S1592" s="61"/>
    </row>
    <row r="1593" spans="1:21" x14ac:dyDescent="0.2">
      <c r="A1593" s="45"/>
      <c r="B1593" s="9"/>
      <c r="C1593" s="134"/>
      <c r="D1593" s="134"/>
      <c r="E1593" s="1442"/>
      <c r="F1593" s="167"/>
      <c r="G1593" s="256"/>
      <c r="H1593" s="9"/>
      <c r="I1593" s="85"/>
      <c r="J1593" s="9"/>
      <c r="K1593" s="9"/>
      <c r="L1593" s="9"/>
      <c r="M1593" s="9"/>
      <c r="N1593" s="9"/>
      <c r="O1593" s="9"/>
      <c r="P1593" s="9"/>
      <c r="Q1593" s="9"/>
      <c r="R1593" s="9"/>
      <c r="S1593" s="61"/>
    </row>
    <row r="1594" spans="1:21" x14ac:dyDescent="0.2">
      <c r="A1594" s="45"/>
      <c r="B1594" s="9"/>
      <c r="C1594" s="134"/>
      <c r="D1594" s="134"/>
      <c r="E1594" s="1442"/>
      <c r="F1594" s="167"/>
      <c r="G1594" s="63" t="s">
        <v>677</v>
      </c>
      <c r="H1594" s="9"/>
      <c r="I1594" s="85"/>
      <c r="J1594" s="9"/>
      <c r="K1594" s="9"/>
      <c r="L1594" s="9"/>
      <c r="M1594" s="9"/>
      <c r="N1594" s="9"/>
      <c r="O1594" s="9"/>
      <c r="P1594" s="9"/>
      <c r="Q1594" s="9"/>
      <c r="R1594" s="9"/>
      <c r="S1594" s="61"/>
    </row>
    <row r="1595" spans="1:21" x14ac:dyDescent="0.2">
      <c r="A1595" s="54">
        <v>43800</v>
      </c>
      <c r="B1595" s="9">
        <v>48300</v>
      </c>
      <c r="C1595" s="136">
        <v>44000</v>
      </c>
      <c r="D1595" s="136">
        <v>46100</v>
      </c>
      <c r="E1595" s="1442">
        <v>60100</v>
      </c>
      <c r="F1595" s="469" t="s">
        <v>1425</v>
      </c>
      <c r="G1595" s="9" t="s">
        <v>1015</v>
      </c>
      <c r="H1595" s="9">
        <v>55900</v>
      </c>
      <c r="I1595" s="85">
        <f>IF(E1595=H1595,0,IF(E1595=0,100,(H1595-E1595)/E1595*100))</f>
        <v>-6.988352745424292</v>
      </c>
      <c r="J1595" s="9">
        <f>ROUNDUP(H1595+(H1595*Assumptions!I$5),-2)</f>
        <v>57200</v>
      </c>
      <c r="K1595" s="9">
        <f>ROUNDUP(J1595+(J1595*Assumptions!J$5),-2)</f>
        <v>58700</v>
      </c>
      <c r="L1595" s="9">
        <f>ROUNDUP(K1595+(K1595*Assumptions!K$5),-2)</f>
        <v>60200</v>
      </c>
      <c r="M1595" s="9">
        <f>ROUNDUP(L1595+(L1595*Assumptions!L$5),-2)</f>
        <v>61800</v>
      </c>
      <c r="N1595" s="9">
        <f>ROUNDUP(M1595+(M1595*Assumptions!M$5),-2)</f>
        <v>63400</v>
      </c>
      <c r="O1595" s="9">
        <f>ROUNDUP(N1595+(N1595*Assumptions!N$5),-2)</f>
        <v>65000</v>
      </c>
      <c r="P1595" s="9">
        <f>ROUNDUP(O1595+(O1595*Assumptions!O$5),-2)</f>
        <v>66700</v>
      </c>
      <c r="Q1595" s="9">
        <f>ROUNDUP(P1595+(P1595*Assumptions!P$5),-2)</f>
        <v>68400</v>
      </c>
      <c r="R1595" s="9">
        <f>ROUNDUP(Q1595+(Q1595*Assumptions!Q$5),-2)</f>
        <v>70200</v>
      </c>
      <c r="S1595" s="47">
        <f>ROUNDUP(R1595+(R1595*Assumptions!R$5),-2)</f>
        <v>72000</v>
      </c>
    </row>
    <row r="1596" spans="1:21" x14ac:dyDescent="0.2">
      <c r="A1596" s="54"/>
      <c r="B1596" s="9"/>
      <c r="E1596" s="1442"/>
      <c r="F1596" s="469"/>
      <c r="G1596" s="63" t="s">
        <v>3181</v>
      </c>
      <c r="H1596" s="9"/>
      <c r="I1596" s="85"/>
      <c r="J1596" s="9"/>
      <c r="K1596" s="9"/>
      <c r="L1596" s="9"/>
      <c r="M1596" s="9"/>
      <c r="N1596" s="9"/>
      <c r="O1596" s="9"/>
      <c r="P1596" s="9"/>
      <c r="Q1596" s="9"/>
      <c r="R1596" s="9"/>
      <c r="S1596" s="47"/>
    </row>
    <row r="1597" spans="1:21" x14ac:dyDescent="0.2">
      <c r="A1597" s="54">
        <v>141300</v>
      </c>
      <c r="B1597" s="9">
        <v>145700</v>
      </c>
      <c r="C1597" s="136">
        <v>156200</v>
      </c>
      <c r="D1597" s="136">
        <v>164500</v>
      </c>
      <c r="E1597" s="1442">
        <v>161500</v>
      </c>
      <c r="F1597" s="469" t="s">
        <v>722</v>
      </c>
      <c r="G1597" s="79" t="s">
        <v>4397</v>
      </c>
      <c r="H1597" s="9">
        <v>180700</v>
      </c>
      <c r="I1597" s="85">
        <f>IF(E1597=H1597,0,IF(E1597=0,100,(H1597-E1597)/E1597*100))</f>
        <v>11.888544891640866</v>
      </c>
      <c r="J1597" s="9">
        <f>ROUNDUP(H1597+(H1597*Assumptions!I$5),-2)</f>
        <v>184900</v>
      </c>
      <c r="K1597" s="9">
        <f>ROUNDUP(J1597+(J1597*Assumptions!J$5),-2)</f>
        <v>189600</v>
      </c>
      <c r="L1597" s="9">
        <f>ROUNDUP(K1597+(K1597*Assumptions!K$5),-2)</f>
        <v>194400</v>
      </c>
      <c r="M1597" s="9">
        <f>ROUNDUP(L1597+(L1597*Assumptions!L$5),-2)</f>
        <v>199300</v>
      </c>
      <c r="N1597" s="9">
        <f>ROUNDUP(M1597+(M1597*Assumptions!M$5),-2)</f>
        <v>204300</v>
      </c>
      <c r="O1597" s="9">
        <f>ROUNDUP(N1597+(N1597*Assumptions!N$5),-2)</f>
        <v>209500</v>
      </c>
      <c r="P1597" s="9">
        <f>ROUNDUP(O1597+(O1597*Assumptions!O$5),-2)</f>
        <v>214800</v>
      </c>
      <c r="Q1597" s="9">
        <f>ROUNDUP(P1597+(P1597*Assumptions!P$5),-2)</f>
        <v>220200</v>
      </c>
      <c r="R1597" s="9">
        <f>ROUNDUP(Q1597+(Q1597*Assumptions!Q$5),-2)</f>
        <v>225800</v>
      </c>
      <c r="S1597" s="47">
        <f>ROUNDUP(R1597+(R1597*Assumptions!R$5),-2)</f>
        <v>231500</v>
      </c>
    </row>
    <row r="1598" spans="1:21" x14ac:dyDescent="0.2">
      <c r="A1598" s="1440"/>
      <c r="B1598" s="136"/>
      <c r="E1598" s="1442"/>
      <c r="F1598" s="469"/>
      <c r="G1598" s="63" t="s">
        <v>341</v>
      </c>
      <c r="H1598" s="9"/>
      <c r="I1598" s="85"/>
      <c r="J1598" s="9"/>
      <c r="K1598" s="9"/>
      <c r="L1598" s="9"/>
      <c r="M1598" s="9"/>
      <c r="N1598" s="9"/>
      <c r="O1598" s="9"/>
      <c r="P1598" s="9"/>
      <c r="Q1598" s="9"/>
      <c r="R1598" s="9"/>
      <c r="S1598" s="47"/>
    </row>
    <row r="1599" spans="1:21" x14ac:dyDescent="0.2">
      <c r="A1599" s="54">
        <v>20300</v>
      </c>
      <c r="B1599" s="9">
        <v>19600</v>
      </c>
      <c r="C1599" s="136">
        <v>20300</v>
      </c>
      <c r="D1599" s="136">
        <v>17000</v>
      </c>
      <c r="E1599" s="1442">
        <v>16500</v>
      </c>
      <c r="F1599" s="469" t="s">
        <v>310</v>
      </c>
      <c r="G1599" s="9" t="s">
        <v>2591</v>
      </c>
      <c r="H1599" s="9">
        <v>1000</v>
      </c>
      <c r="I1599" s="85">
        <f>IF(E1599=H1599,0,IF(E1599=0,100,(H1599-E1599)/E1599*100))</f>
        <v>-93.939393939393938</v>
      </c>
      <c r="J1599" s="9">
        <f>ROUND('Res-Bal'!J146/2*Assumptions!I14,-3)</f>
        <v>-3000</v>
      </c>
      <c r="K1599" s="9">
        <f>ROUND('Res-Bal'!M146/2*Assumptions!J14,-3)</f>
        <v>0</v>
      </c>
      <c r="L1599" s="9">
        <f>ROUND('Res-Bal'!P146/2*Assumptions!K14,-3)</f>
        <v>8000</v>
      </c>
      <c r="M1599" s="9">
        <f>ROUND('Res-Bal'!S146/2*Assumptions!L14,-3)</f>
        <v>4000</v>
      </c>
      <c r="N1599" s="9">
        <f>ROUND('Res-Bal'!V146/2*Assumptions!M14,-3)</f>
        <v>1000</v>
      </c>
      <c r="O1599" s="9">
        <f>ROUND('Res-Bal'!Y146/2*Assumptions!N14,-3)</f>
        <v>-4000</v>
      </c>
      <c r="P1599" s="9">
        <f>ROUND('Res-Bal'!Z146/2*Assumptions!O14,-3)</f>
        <v>-4000</v>
      </c>
      <c r="Q1599" s="9">
        <f>ROUND('Res-Bal'!AA146/2*Assumptions!P14,-3)</f>
        <v>4000</v>
      </c>
      <c r="R1599" s="9">
        <f>ROUND('Res-Bal'!AB146/2*Assumptions!Q14,-3)</f>
        <v>0</v>
      </c>
      <c r="S1599" s="47">
        <f>ROUND('Res-Bal'!AC146/2*Assumptions!R14,-3)</f>
        <v>0</v>
      </c>
    </row>
    <row r="1600" spans="1:21" x14ac:dyDescent="0.2">
      <c r="A1600" s="54"/>
      <c r="B1600" s="9"/>
      <c r="E1600" s="1442"/>
      <c r="F1600" s="469"/>
      <c r="G1600" s="63" t="s">
        <v>420</v>
      </c>
      <c r="H1600" s="9"/>
      <c r="I1600" s="85"/>
      <c r="J1600" s="9"/>
      <c r="K1600" s="9"/>
      <c r="L1600" s="9"/>
      <c r="M1600" s="9"/>
      <c r="N1600" s="9"/>
      <c r="O1600" s="9"/>
      <c r="P1600" s="9"/>
      <c r="Q1600" s="9"/>
      <c r="R1600" s="9"/>
      <c r="S1600" s="47"/>
    </row>
    <row r="1601" spans="1:21" x14ac:dyDescent="0.2">
      <c r="A1601" s="54">
        <v>55100</v>
      </c>
      <c r="B1601" s="89">
        <f>12000+18800</f>
        <v>30800</v>
      </c>
      <c r="C1601" s="136">
        <f>10800+15900-100</f>
        <v>26600</v>
      </c>
      <c r="D1601" s="136">
        <v>5200</v>
      </c>
      <c r="E1601" s="1442">
        <v>3700</v>
      </c>
      <c r="F1601" s="469" t="s">
        <v>897</v>
      </c>
      <c r="G1601" s="79" t="s">
        <v>3261</v>
      </c>
      <c r="H1601" s="9">
        <f>18300-8000</f>
        <v>10300</v>
      </c>
      <c r="I1601" s="85">
        <f>IF(E1601=H1601,0,IF(E1601=0,100,(H1601-E1601)/E1601*100))</f>
        <v>178.37837837837839</v>
      </c>
      <c r="J1601" s="9">
        <f>ROUNDUP(H1601+(H1601*Assumptions!I$5),-2)</f>
        <v>10600</v>
      </c>
      <c r="K1601" s="9">
        <f>ROUNDUP(J1601+(J1601*Assumptions!J$5),-2)</f>
        <v>10900</v>
      </c>
      <c r="L1601" s="9">
        <f>ROUNDUP(K1601+(K1601*Assumptions!K$5),-2)</f>
        <v>11200</v>
      </c>
      <c r="M1601" s="9">
        <f>ROUNDUP(L1601+(L1601*Assumptions!L$5),-2)</f>
        <v>11500</v>
      </c>
      <c r="N1601" s="9">
        <f>ROUNDUP(M1601+(M1601*Assumptions!M$5),-2)</f>
        <v>11800</v>
      </c>
      <c r="O1601" s="9">
        <f>ROUNDUP(N1601+(N1601*Assumptions!N$5),-2)</f>
        <v>12100</v>
      </c>
      <c r="P1601" s="9">
        <f>ROUNDUP(O1601+(O1601*Assumptions!O$5),-2)</f>
        <v>12500</v>
      </c>
      <c r="Q1601" s="9">
        <f>ROUNDUP(P1601+(P1601*Assumptions!P$5),-2)</f>
        <v>12900</v>
      </c>
      <c r="R1601" s="9">
        <f>ROUNDUP(Q1601+(Q1601*Assumptions!Q$5),-2)</f>
        <v>13300</v>
      </c>
      <c r="S1601" s="47">
        <f>ROUNDUP(R1601+(R1601*Assumptions!R$5),-2)</f>
        <v>13700</v>
      </c>
    </row>
    <row r="1602" spans="1:21" x14ac:dyDescent="0.2">
      <c r="A1602" s="54">
        <v>0</v>
      </c>
      <c r="B1602" s="89">
        <v>0</v>
      </c>
      <c r="C1602" s="136">
        <v>0</v>
      </c>
      <c r="D1602" s="136">
        <v>51200</v>
      </c>
      <c r="E1602" s="1442">
        <v>23400</v>
      </c>
      <c r="F1602" s="769" t="s">
        <v>5988</v>
      </c>
      <c r="G1602" s="79" t="s">
        <v>5989</v>
      </c>
      <c r="H1602" s="9">
        <v>0</v>
      </c>
      <c r="I1602" s="85">
        <f>IF(E1602=H1602,0,IF(E1602=0,100,(H1602-E1602)/E1602*100))</f>
        <v>-100</v>
      </c>
      <c r="J1602" s="9">
        <f>ROUNDUP(H1602+(H1602*Assumptions!I$5),-2)</f>
        <v>0</v>
      </c>
      <c r="K1602" s="9">
        <f>ROUNDUP(J1602+(J1602*Assumptions!J$5),-2)</f>
        <v>0</v>
      </c>
      <c r="L1602" s="9">
        <f>ROUNDUP(K1602+(K1602*Assumptions!K$5),-2)</f>
        <v>0</v>
      </c>
      <c r="M1602" s="9">
        <f>ROUNDUP(L1602+(L1602*Assumptions!L$5),-2)</f>
        <v>0</v>
      </c>
      <c r="N1602" s="9">
        <f>ROUNDUP(M1602+(M1602*Assumptions!M$5),-2)</f>
        <v>0</v>
      </c>
      <c r="O1602" s="9">
        <f>ROUNDUP(N1602+(N1602*Assumptions!N$5),-2)</f>
        <v>0</v>
      </c>
      <c r="P1602" s="9">
        <f>ROUNDUP(O1602+(O1602*Assumptions!O$5),-2)</f>
        <v>0</v>
      </c>
      <c r="Q1602" s="9">
        <f>ROUNDUP(P1602+(P1602*Assumptions!P$5),-2)</f>
        <v>0</v>
      </c>
      <c r="R1602" s="9">
        <f>ROUNDUP(Q1602+(Q1602*Assumptions!Q$5),-2)</f>
        <v>0</v>
      </c>
      <c r="S1602" s="47">
        <f>ROUNDUP(R1602+(R1602*Assumptions!R$5),-2)</f>
        <v>0</v>
      </c>
    </row>
    <row r="1603" spans="1:21" x14ac:dyDescent="0.2">
      <c r="A1603" s="54"/>
      <c r="B1603" s="9"/>
      <c r="E1603" s="1442"/>
      <c r="F1603" s="469"/>
      <c r="G1603" s="63" t="s">
        <v>5270</v>
      </c>
      <c r="H1603" s="9"/>
      <c r="I1603" s="85"/>
      <c r="J1603" s="9"/>
      <c r="K1603" s="9"/>
      <c r="L1603" s="9"/>
      <c r="M1603" s="9"/>
      <c r="N1603" s="9"/>
      <c r="O1603" s="9"/>
      <c r="P1603" s="9"/>
      <c r="Q1603" s="9"/>
      <c r="R1603" s="9"/>
      <c r="S1603" s="47"/>
    </row>
    <row r="1604" spans="1:21" x14ac:dyDescent="0.2">
      <c r="A1604" s="54">
        <v>48000</v>
      </c>
      <c r="B1604" s="9">
        <v>57600</v>
      </c>
      <c r="C1604" s="136">
        <v>79800</v>
      </c>
      <c r="D1604" s="136">
        <v>0</v>
      </c>
      <c r="E1604" s="1442">
        <v>0</v>
      </c>
      <c r="F1604" s="469" t="s">
        <v>991</v>
      </c>
      <c r="G1604" s="9" t="s">
        <v>969</v>
      </c>
      <c r="H1604" s="9">
        <v>0</v>
      </c>
      <c r="I1604" s="85">
        <f>IF(E1604=H1604,0,IF(E1604=0,100,(H1604-E1604)/E1604*100))</f>
        <v>0</v>
      </c>
      <c r="J1604" s="9">
        <f>ROUNDUP(H1604+(H1604*Assumptions!I$5),-2)</f>
        <v>0</v>
      </c>
      <c r="K1604" s="9">
        <f>ROUNDUP(J1604+(J1604*Assumptions!J$5),-2)</f>
        <v>0</v>
      </c>
      <c r="L1604" s="9">
        <f>ROUNDUP(K1604+(K1604*Assumptions!K$5),-2)</f>
        <v>0</v>
      </c>
      <c r="M1604" s="9">
        <f>ROUNDUP(L1604+(L1604*Assumptions!L$5),-2)</f>
        <v>0</v>
      </c>
      <c r="N1604" s="9">
        <f>ROUNDUP(M1604+(M1604*Assumptions!M$5),-2)</f>
        <v>0</v>
      </c>
      <c r="O1604" s="9">
        <f>ROUNDUP(N1604+(N1604*Assumptions!N$5),-2)</f>
        <v>0</v>
      </c>
      <c r="P1604" s="9">
        <f>ROUNDUP(O1604+(O1604*Assumptions!O$5),-2)</f>
        <v>0</v>
      </c>
      <c r="Q1604" s="9">
        <f>ROUNDUP(P1604+(P1604*Assumptions!P$5),-2)</f>
        <v>0</v>
      </c>
      <c r="R1604" s="9">
        <f>ROUNDUP(Q1604+(Q1604*Assumptions!Q$5),-2)</f>
        <v>0</v>
      </c>
      <c r="S1604" s="47">
        <f>ROUNDUP(R1604+(R1604*Assumptions!R$5),-2)</f>
        <v>0</v>
      </c>
    </row>
    <row r="1605" spans="1:21" ht="13.5" thickBot="1" x14ac:dyDescent="0.25">
      <c r="A1605" s="54"/>
      <c r="B1605" s="9"/>
      <c r="D1605" s="134"/>
      <c r="E1605" s="1442"/>
      <c r="F1605" s="167"/>
      <c r="G1605" s="9"/>
      <c r="H1605" s="9"/>
      <c r="I1605" s="85"/>
      <c r="J1605" s="9"/>
      <c r="K1605" s="9"/>
      <c r="L1605" s="9"/>
      <c r="M1605" s="9"/>
      <c r="N1605" s="9"/>
      <c r="O1605" s="9"/>
      <c r="P1605" s="9"/>
      <c r="Q1605" s="9"/>
      <c r="R1605" s="9"/>
      <c r="S1605" s="47"/>
    </row>
    <row r="1606" spans="1:21" s="39" customFormat="1" x14ac:dyDescent="0.2">
      <c r="A1606" s="52">
        <f>SUM(A1592:A1605)</f>
        <v>308500</v>
      </c>
      <c r="B1606" s="16">
        <f>SUM(B1592:B1605)</f>
        <v>302000</v>
      </c>
      <c r="C1606" s="145">
        <f>SUM(C1592:C1605)</f>
        <v>326900</v>
      </c>
      <c r="D1606" s="145">
        <f>SUM(D1592:D1605)</f>
        <v>284000</v>
      </c>
      <c r="E1606" s="1443">
        <f t="shared" ref="E1606" si="2135">SUM(E1592:E1605)</f>
        <v>265200</v>
      </c>
      <c r="F1606" s="173"/>
      <c r="G1606" s="267" t="s">
        <v>2561</v>
      </c>
      <c r="H1606" s="16">
        <f t="shared" ref="H1606:P1606" si="2136">SUM(H1592:H1605)</f>
        <v>247900</v>
      </c>
      <c r="I1606" s="127">
        <f>IF(E1606=H1606,0,IF(E1606=0,100,(H1606-E1606)/E1606*100))</f>
        <v>-6.5233785822021124</v>
      </c>
      <c r="J1606" s="16">
        <f t="shared" si="2136"/>
        <v>249700</v>
      </c>
      <c r="K1606" s="16">
        <f t="shared" si="2136"/>
        <v>259200</v>
      </c>
      <c r="L1606" s="16">
        <f t="shared" si="2136"/>
        <v>273800</v>
      </c>
      <c r="M1606" s="16">
        <f t="shared" si="2136"/>
        <v>276600</v>
      </c>
      <c r="N1606" s="16">
        <f t="shared" si="2136"/>
        <v>280500</v>
      </c>
      <c r="O1606" s="16">
        <f t="shared" si="2136"/>
        <v>282600</v>
      </c>
      <c r="P1606" s="16">
        <f t="shared" si="2136"/>
        <v>290000</v>
      </c>
      <c r="Q1606" s="16">
        <f t="shared" ref="Q1606" si="2137">SUM(Q1592:Q1605)</f>
        <v>305500</v>
      </c>
      <c r="R1606" s="16">
        <f t="shared" ref="R1606" si="2138">SUM(R1592:R1605)</f>
        <v>309300</v>
      </c>
      <c r="S1606" s="2342">
        <f t="shared" ref="S1606" si="2139">SUM(S1592:S1605)</f>
        <v>317200</v>
      </c>
      <c r="U1606" s="34"/>
    </row>
    <row r="1607" spans="1:21" x14ac:dyDescent="0.2">
      <c r="A1607" s="54"/>
      <c r="B1607" s="9"/>
      <c r="E1607" s="1442"/>
      <c r="F1607" s="85"/>
      <c r="G1607" s="9"/>
      <c r="H1607" s="9"/>
      <c r="I1607" s="85"/>
      <c r="J1607" s="9"/>
      <c r="K1607" s="9"/>
      <c r="L1607" s="9"/>
      <c r="M1607" s="9"/>
      <c r="N1607" s="9"/>
      <c r="O1607" s="9"/>
      <c r="P1607" s="9"/>
      <c r="Q1607" s="9"/>
      <c r="R1607" s="9"/>
      <c r="S1607" s="47"/>
    </row>
    <row r="1608" spans="1:21" x14ac:dyDescent="0.2">
      <c r="A1608" s="54"/>
      <c r="B1608" s="9"/>
      <c r="E1608" s="1442"/>
      <c r="F1608" s="167"/>
      <c r="G1608" s="256" t="s">
        <v>2169</v>
      </c>
      <c r="H1608" s="9"/>
      <c r="I1608" s="85"/>
      <c r="J1608" s="9"/>
      <c r="K1608" s="9"/>
      <c r="L1608" s="9"/>
      <c r="M1608" s="9"/>
      <c r="N1608" s="9"/>
      <c r="O1608" s="9"/>
      <c r="P1608" s="9"/>
      <c r="Q1608" s="9"/>
      <c r="R1608" s="9"/>
      <c r="S1608" s="47"/>
    </row>
    <row r="1609" spans="1:21" x14ac:dyDescent="0.2">
      <c r="A1609" s="54"/>
      <c r="B1609" s="9"/>
      <c r="E1609" s="1442"/>
      <c r="F1609" s="167"/>
      <c r="G1609" s="21" t="s">
        <v>856</v>
      </c>
      <c r="H1609" s="9"/>
      <c r="I1609" s="85"/>
      <c r="J1609" s="9"/>
      <c r="K1609" s="9"/>
      <c r="L1609" s="9"/>
      <c r="M1609" s="9"/>
      <c r="N1609" s="9"/>
      <c r="O1609" s="9"/>
      <c r="P1609" s="9"/>
      <c r="Q1609" s="9"/>
      <c r="R1609" s="9"/>
      <c r="S1609" s="47"/>
    </row>
    <row r="1610" spans="1:21" x14ac:dyDescent="0.2">
      <c r="A1610" s="54">
        <v>10400</v>
      </c>
      <c r="B1610" s="9">
        <v>200</v>
      </c>
      <c r="C1610" s="136">
        <v>3800</v>
      </c>
      <c r="D1610" s="136">
        <v>2100</v>
      </c>
      <c r="E1610" s="1442">
        <v>0</v>
      </c>
      <c r="F1610" s="773" t="s">
        <v>3160</v>
      </c>
      <c r="G1610" s="9" t="s">
        <v>2423</v>
      </c>
      <c r="H1610" s="9">
        <v>4100</v>
      </c>
      <c r="I1610" s="85">
        <f t="shared" ref="I1610:I1618" si="2140">IF(E1610=H1610,0,IF(E1610=0,100,(H1610-E1610)/E1610*100))</f>
        <v>100</v>
      </c>
      <c r="J1610" s="9">
        <v>4000</v>
      </c>
      <c r="K1610" s="9">
        <f>ROUNDUP(J1610+(J1610*Assumptions!J$5),-2)</f>
        <v>4100</v>
      </c>
      <c r="L1610" s="9">
        <f>ROUNDUP(K1610+(K1610*Assumptions!K$5),-2)</f>
        <v>4300</v>
      </c>
      <c r="M1610" s="9">
        <f>ROUNDUP(L1610+(L1610*Assumptions!L$5),-2)</f>
        <v>4500</v>
      </c>
      <c r="N1610" s="9">
        <f>ROUNDUP(M1610+(M1610*Assumptions!M$5),-2)</f>
        <v>4700</v>
      </c>
      <c r="O1610" s="9">
        <f>ROUNDUP(N1610+(N1610*Assumptions!N$5),-2)</f>
        <v>4900</v>
      </c>
      <c r="P1610" s="9">
        <f>ROUNDUP(O1610+(O1610*Assumptions!O$5),-2)</f>
        <v>5100</v>
      </c>
      <c r="Q1610" s="9">
        <f>ROUNDUP(P1610+(P1610*Assumptions!P$5),-2)</f>
        <v>5300</v>
      </c>
      <c r="R1610" s="9">
        <f>ROUNDUP(Q1610+(Q1610*Assumptions!Q$5),-2)</f>
        <v>5500</v>
      </c>
      <c r="S1610" s="47">
        <f>ROUNDUP(R1610+(R1610*Assumptions!R$5),-2)</f>
        <v>5700</v>
      </c>
    </row>
    <row r="1611" spans="1:21" x14ac:dyDescent="0.2">
      <c r="A1611" s="54">
        <v>700</v>
      </c>
      <c r="B1611" s="9">
        <v>600</v>
      </c>
      <c r="C1611" s="136">
        <v>800</v>
      </c>
      <c r="D1611" s="136">
        <v>900</v>
      </c>
      <c r="E1611" s="1442">
        <v>2000</v>
      </c>
      <c r="F1611" s="167" t="s">
        <v>2424</v>
      </c>
      <c r="G1611" s="9" t="s">
        <v>2425</v>
      </c>
      <c r="H1611" s="9">
        <v>2100</v>
      </c>
      <c r="I1611" s="85">
        <f t="shared" si="2140"/>
        <v>5</v>
      </c>
      <c r="J1611" s="9">
        <f>ROUNDUP(H1611+(H1611*Assumptions!I$5),-2)</f>
        <v>2200</v>
      </c>
      <c r="K1611" s="9">
        <f>ROUNDUP(J1611+(J1611*Assumptions!J$5),-2)</f>
        <v>2300</v>
      </c>
      <c r="L1611" s="9">
        <f>ROUNDUP(K1611+(K1611*Assumptions!K$5),-2)</f>
        <v>2400</v>
      </c>
      <c r="M1611" s="9">
        <f>ROUNDUP(L1611+(L1611*Assumptions!L$5),-2)</f>
        <v>2500</v>
      </c>
      <c r="N1611" s="9">
        <f>ROUNDUP(M1611+(M1611*Assumptions!M$5),-2)</f>
        <v>2600</v>
      </c>
      <c r="O1611" s="9">
        <f>ROUNDUP(N1611+(N1611*Assumptions!N$5),-2)</f>
        <v>2700</v>
      </c>
      <c r="P1611" s="9">
        <f>ROUNDUP(O1611+(O1611*Assumptions!O$5),-2)</f>
        <v>2800</v>
      </c>
      <c r="Q1611" s="9">
        <f>ROUNDUP(P1611+(P1611*Assumptions!P$5),-2)</f>
        <v>2900</v>
      </c>
      <c r="R1611" s="9">
        <f>ROUNDUP(Q1611+(Q1611*Assumptions!Q$5),-2)</f>
        <v>3000</v>
      </c>
      <c r="S1611" s="47">
        <f>ROUNDUP(R1611+(R1611*Assumptions!R$5),-2)</f>
        <v>3100</v>
      </c>
    </row>
    <row r="1612" spans="1:21" x14ac:dyDescent="0.2">
      <c r="A1612" s="54">
        <v>61700</v>
      </c>
      <c r="B1612" s="9">
        <v>68200</v>
      </c>
      <c r="C1612" s="136">
        <v>62900</v>
      </c>
      <c r="D1612" s="136">
        <v>64600</v>
      </c>
      <c r="E1612" s="1442">
        <v>64400</v>
      </c>
      <c r="F1612" s="167" t="s">
        <v>403</v>
      </c>
      <c r="G1612" s="79" t="s">
        <v>1320</v>
      </c>
      <c r="H1612" s="9">
        <f>76000-3000</f>
        <v>73000</v>
      </c>
      <c r="I1612" s="85">
        <f t="shared" si="2140"/>
        <v>13.354037267080745</v>
      </c>
      <c r="J1612" s="9">
        <f>ROUNDUP(H1612+(H1612*Assumptions!I$5),-2)</f>
        <v>74700</v>
      </c>
      <c r="K1612" s="9">
        <f>ROUNDUP(J1612+(J1612*Assumptions!J$5),-2)</f>
        <v>76600</v>
      </c>
      <c r="L1612" s="9">
        <f>ROUNDUP(K1612+(K1612*Assumptions!K$5),-2)</f>
        <v>78600</v>
      </c>
      <c r="M1612" s="9">
        <f>ROUNDUP(L1612+(L1612*Assumptions!L$5),-2)</f>
        <v>80600</v>
      </c>
      <c r="N1612" s="9">
        <f>ROUNDUP(M1612+(M1612*Assumptions!M$5),-2)</f>
        <v>82700</v>
      </c>
      <c r="O1612" s="9">
        <f>ROUNDUP(N1612+(N1612*Assumptions!N$5),-2)</f>
        <v>84800</v>
      </c>
      <c r="P1612" s="9">
        <f>ROUNDUP(O1612+(O1612*Assumptions!O$5),-2)</f>
        <v>87000</v>
      </c>
      <c r="Q1612" s="9">
        <f>ROUNDUP(P1612+(P1612*Assumptions!P$5),-2)</f>
        <v>89200</v>
      </c>
      <c r="R1612" s="9">
        <f>ROUNDUP(Q1612+(Q1612*Assumptions!Q$5),-2)</f>
        <v>91500</v>
      </c>
      <c r="S1612" s="47">
        <f>ROUNDUP(R1612+(R1612*Assumptions!R$5),-2)</f>
        <v>93800</v>
      </c>
    </row>
    <row r="1613" spans="1:21" x14ac:dyDescent="0.2">
      <c r="A1613" s="54">
        <v>15200</v>
      </c>
      <c r="B1613" s="9">
        <v>9500</v>
      </c>
      <c r="C1613" s="136">
        <v>14500</v>
      </c>
      <c r="D1613" s="136">
        <v>13400</v>
      </c>
      <c r="E1613" s="1442">
        <v>9900</v>
      </c>
      <c r="F1613" s="469" t="s">
        <v>1651</v>
      </c>
      <c r="G1613" s="257" t="s">
        <v>1474</v>
      </c>
      <c r="H1613" s="134">
        <v>10300</v>
      </c>
      <c r="I1613" s="85">
        <f t="shared" si="2140"/>
        <v>4.0404040404040407</v>
      </c>
      <c r="J1613" s="134">
        <v>10000</v>
      </c>
      <c r="K1613" s="134">
        <f>ROUNDUP(J1613+(H1613*Assumptions!J$5),-2)</f>
        <v>10300</v>
      </c>
      <c r="L1613" s="134">
        <f>ROUNDUP(K1613+(J1613*Assumptions!K$5),-2)</f>
        <v>10600</v>
      </c>
      <c r="M1613" s="134">
        <f>ROUNDUP(L1613+(K1613*Assumptions!L$5),-2)</f>
        <v>10900</v>
      </c>
      <c r="N1613" s="134">
        <f>ROUNDUP(M1613+(L1613*Assumptions!M$5),-2)</f>
        <v>11200</v>
      </c>
      <c r="O1613" s="134">
        <f>ROUNDUP(N1613+(M1613*Assumptions!N$5),-2)</f>
        <v>11500</v>
      </c>
      <c r="P1613" s="134">
        <f>ROUNDUP(O1613+(N1613*Assumptions!O$5),-2)</f>
        <v>11800</v>
      </c>
      <c r="Q1613" s="134">
        <f>ROUNDUP(P1613+(O1613*Assumptions!P$5),-2)</f>
        <v>12100</v>
      </c>
      <c r="R1613" s="134">
        <f>ROUNDUP(Q1613+(P1613*Assumptions!Q$5),-2)</f>
        <v>12400</v>
      </c>
      <c r="S1613" s="2359">
        <f>ROUNDUP(R1613+(Q1613*Assumptions!R$5),-2)</f>
        <v>12800</v>
      </c>
    </row>
    <row r="1614" spans="1:21" x14ac:dyDescent="0.2">
      <c r="A1614" s="54">
        <v>20200</v>
      </c>
      <c r="B1614" s="9">
        <v>17500</v>
      </c>
      <c r="C1614" s="89">
        <v>15100</v>
      </c>
      <c r="D1614" s="136">
        <v>15800</v>
      </c>
      <c r="E1614" s="29">
        <v>17100</v>
      </c>
      <c r="F1614" s="469" t="s">
        <v>2417</v>
      </c>
      <c r="G1614" s="257" t="s">
        <v>838</v>
      </c>
      <c r="H1614" s="9">
        <v>20300</v>
      </c>
      <c r="I1614" s="85">
        <f t="shared" si="2140"/>
        <v>18.71345029239766</v>
      </c>
      <c r="J1614" s="9">
        <v>20000</v>
      </c>
      <c r="K1614" s="9">
        <f>ROUNDUP(J1614+(J1614*Assumptions!J$5),-2)</f>
        <v>20500</v>
      </c>
      <c r="L1614" s="9">
        <f>ROUNDUP(K1614+(K1614*Assumptions!K$5),-2)</f>
        <v>21100</v>
      </c>
      <c r="M1614" s="9">
        <f>ROUNDUP(L1614+(L1614*Assumptions!L$5),-2)</f>
        <v>21700</v>
      </c>
      <c r="N1614" s="9">
        <f>ROUNDUP(M1614+(M1614*Assumptions!M$5),-2)</f>
        <v>22300</v>
      </c>
      <c r="O1614" s="9">
        <f>ROUNDUP(N1614+(N1614*Assumptions!N$5),-2)</f>
        <v>22900</v>
      </c>
      <c r="P1614" s="9">
        <f>ROUNDUP(O1614+(O1614*Assumptions!O$5),-2)</f>
        <v>23500</v>
      </c>
      <c r="Q1614" s="9">
        <f>ROUNDUP(P1614+(P1614*Assumptions!P$5),-2)</f>
        <v>24100</v>
      </c>
      <c r="R1614" s="9">
        <f>ROUNDUP(Q1614+(Q1614*Assumptions!Q$5),-2)</f>
        <v>24800</v>
      </c>
      <c r="S1614" s="47">
        <f>ROUNDUP(R1614+(R1614*Assumptions!R$5),-2)</f>
        <v>25500</v>
      </c>
    </row>
    <row r="1615" spans="1:21" x14ac:dyDescent="0.2">
      <c r="A1615" s="54">
        <v>137600</v>
      </c>
      <c r="B1615" s="9">
        <v>169700</v>
      </c>
      <c r="C1615" s="136">
        <v>189400</v>
      </c>
      <c r="D1615" s="136">
        <v>258500</v>
      </c>
      <c r="E1615" s="29">
        <v>262200</v>
      </c>
      <c r="F1615" s="469" t="s">
        <v>2416</v>
      </c>
      <c r="G1615" s="9" t="s">
        <v>363</v>
      </c>
      <c r="H1615" s="9">
        <v>345100</v>
      </c>
      <c r="I1615" s="85">
        <f t="shared" si="2140"/>
        <v>31.61708619374523</v>
      </c>
      <c r="J1615" s="9">
        <v>280000</v>
      </c>
      <c r="K1615" s="9">
        <f>ROUNDUP(J1615+(J1615*Assumptions!J$5),-2)</f>
        <v>287000</v>
      </c>
      <c r="L1615" s="9">
        <f>ROUNDUP(K1615+(K1615*Assumptions!K$5),-2)</f>
        <v>294200</v>
      </c>
      <c r="M1615" s="9">
        <f>ROUNDUP(L1615+(L1615*Assumptions!L$5),-2)</f>
        <v>301600</v>
      </c>
      <c r="N1615" s="9">
        <f>ROUNDUP(M1615+(M1615*Assumptions!M$5),-2)</f>
        <v>309200</v>
      </c>
      <c r="O1615" s="9">
        <f>ROUNDUP(N1615+(N1615*Assumptions!N$5),-2)</f>
        <v>317000</v>
      </c>
      <c r="P1615" s="9">
        <f>ROUNDUP(O1615+(O1615*Assumptions!O$5),-2)</f>
        <v>325000</v>
      </c>
      <c r="Q1615" s="9">
        <f>ROUNDUP(P1615+(P1615*Assumptions!P$5),-2)</f>
        <v>333200</v>
      </c>
      <c r="R1615" s="9">
        <f>ROUNDUP(Q1615+(Q1615*Assumptions!Q$5),-2)</f>
        <v>341600</v>
      </c>
      <c r="S1615" s="47">
        <f>ROUNDUP(R1615+(R1615*Assumptions!R$5),-2)</f>
        <v>350200</v>
      </c>
    </row>
    <row r="1616" spans="1:21" x14ac:dyDescent="0.2">
      <c r="A1616" s="54">
        <v>115200</v>
      </c>
      <c r="B1616" s="9">
        <f>105700+4500</f>
        <v>110200</v>
      </c>
      <c r="C1616" s="136">
        <v>95200</v>
      </c>
      <c r="D1616" s="136">
        <v>124200</v>
      </c>
      <c r="E1616" s="1442">
        <v>146700</v>
      </c>
      <c r="F1616" s="469" t="s">
        <v>2110</v>
      </c>
      <c r="G1616" s="257" t="s">
        <v>393</v>
      </c>
      <c r="H1616" s="9">
        <v>172600</v>
      </c>
      <c r="I1616" s="85">
        <f t="shared" si="2140"/>
        <v>17.65507839127471</v>
      </c>
      <c r="J1616" s="9">
        <v>160000</v>
      </c>
      <c r="K1616" s="9">
        <f>ROUNDUP(J1616+(J1616*Assumptions!J$5),-2)</f>
        <v>164000</v>
      </c>
      <c r="L1616" s="9">
        <f>ROUNDUP(K1616+(K1616*Assumptions!K$5),-2)</f>
        <v>168100</v>
      </c>
      <c r="M1616" s="9">
        <f>ROUNDUP(L1616+(L1616*Assumptions!L$5),-2)</f>
        <v>172400</v>
      </c>
      <c r="N1616" s="9">
        <f>ROUNDUP(M1616+(M1616*Assumptions!M$5),-2)</f>
        <v>176800</v>
      </c>
      <c r="O1616" s="9">
        <f>ROUNDUP(N1616+(N1616*Assumptions!N$5),-2)</f>
        <v>181300</v>
      </c>
      <c r="P1616" s="9">
        <f>ROUNDUP(O1616+(O1616*Assumptions!O$5),-2)</f>
        <v>185900</v>
      </c>
      <c r="Q1616" s="9">
        <f>ROUNDUP(P1616+(P1616*Assumptions!P$5),-2)</f>
        <v>190600</v>
      </c>
      <c r="R1616" s="9">
        <f>ROUNDUP(Q1616+(Q1616*Assumptions!Q$5),-2)</f>
        <v>195400</v>
      </c>
      <c r="S1616" s="47">
        <f>ROUNDUP(R1616+(R1616*Assumptions!R$5),-2)</f>
        <v>200300</v>
      </c>
    </row>
    <row r="1617" spans="1:19" x14ac:dyDescent="0.2">
      <c r="A1617" s="54">
        <v>48700</v>
      </c>
      <c r="B1617" s="9">
        <v>38100</v>
      </c>
      <c r="C1617" s="136">
        <v>24300</v>
      </c>
      <c r="D1617" s="136">
        <v>48900</v>
      </c>
      <c r="E1617" s="144">
        <f>41600+400+100</f>
        <v>42100</v>
      </c>
      <c r="F1617" s="469" t="s">
        <v>2111</v>
      </c>
      <c r="G1617" s="257" t="s">
        <v>1244</v>
      </c>
      <c r="H1617" s="9">
        <v>50800</v>
      </c>
      <c r="I1617" s="85">
        <f t="shared" si="2140"/>
        <v>20.665083135391924</v>
      </c>
      <c r="J1617" s="9">
        <f>ROUNDUP(H1617+(H1617*Assumptions!I$5),-2)</f>
        <v>52000</v>
      </c>
      <c r="K1617" s="9">
        <f>ROUNDUP(J1617+(J1617*Assumptions!J$5),-2)</f>
        <v>53300</v>
      </c>
      <c r="L1617" s="9">
        <f>ROUNDUP(K1617+(K1617*Assumptions!K$5),-2)</f>
        <v>54700</v>
      </c>
      <c r="M1617" s="9">
        <f>ROUNDUP(L1617+(L1617*Assumptions!L$5),-2)</f>
        <v>56100</v>
      </c>
      <c r="N1617" s="9">
        <f>ROUNDUP(M1617+(M1617*Assumptions!M$5),-2)</f>
        <v>57600</v>
      </c>
      <c r="O1617" s="9">
        <f>ROUNDUP(N1617+(N1617*Assumptions!N$5),-2)</f>
        <v>59100</v>
      </c>
      <c r="P1617" s="9">
        <f>ROUNDUP(O1617+(O1617*Assumptions!O$5),-2)</f>
        <v>60600</v>
      </c>
      <c r="Q1617" s="9">
        <f>ROUNDUP(P1617+(P1617*Assumptions!P$5),-2)</f>
        <v>62200</v>
      </c>
      <c r="R1617" s="9">
        <f>ROUNDUP(Q1617+(Q1617*Assumptions!Q$5),-2)</f>
        <v>63800</v>
      </c>
      <c r="S1617" s="47">
        <f>ROUNDUP(R1617+(R1617*Assumptions!R$5),-2)</f>
        <v>65400</v>
      </c>
    </row>
    <row r="1618" spans="1:19" x14ac:dyDescent="0.2">
      <c r="A1618" s="54">
        <v>1739200</v>
      </c>
      <c r="B1618" s="9">
        <f>2061000-222000-14200</f>
        <v>1824800</v>
      </c>
      <c r="C1618" s="707">
        <f>2502500-406000-337000</f>
        <v>1759500</v>
      </c>
      <c r="D1618" s="136">
        <v>1613300</v>
      </c>
      <c r="E1618" s="144">
        <f>538500+75000+84400+66400+86900+207100+5300+628700+19000</f>
        <v>1711300</v>
      </c>
      <c r="F1618" s="469" t="s">
        <v>1968</v>
      </c>
      <c r="G1618" s="9" t="s">
        <v>2625</v>
      </c>
      <c r="H1618" s="9">
        <v>1800000</v>
      </c>
      <c r="I1618" s="85">
        <f t="shared" si="2140"/>
        <v>5.1831940629930457</v>
      </c>
      <c r="J1618" s="9">
        <v>1700000</v>
      </c>
      <c r="K1618" s="9">
        <f>ROUNDUP(J1618+(J1618*Assumptions!J$5),-2)</f>
        <v>1742500</v>
      </c>
      <c r="L1618" s="9">
        <f>ROUNDUP(K1618+(K1618*Assumptions!K$5),-2)</f>
        <v>1786100</v>
      </c>
      <c r="M1618" s="9">
        <f>ROUNDUP(L1618+(L1618*Assumptions!L$5),-2)</f>
        <v>1830800</v>
      </c>
      <c r="N1618" s="9">
        <f>ROUNDUP(M1618+(M1618*Assumptions!M$5),-2)</f>
        <v>1876600</v>
      </c>
      <c r="O1618" s="9">
        <f>ROUNDUP(N1618+(N1618*Assumptions!N$5),-2)</f>
        <v>1923600</v>
      </c>
      <c r="P1618" s="9">
        <f>ROUNDUP(O1618+(O1618*Assumptions!O$5),-2)</f>
        <v>1971700</v>
      </c>
      <c r="Q1618" s="9">
        <f>ROUNDUP(P1618+(P1618*Assumptions!P$5),-2)</f>
        <v>2021000</v>
      </c>
      <c r="R1618" s="9">
        <f>ROUNDUP(Q1618+(Q1618*Assumptions!Q$5),-2)</f>
        <v>2071600</v>
      </c>
      <c r="S1618" s="47">
        <f>ROUNDUP(R1618+(R1618*Assumptions!R$5),-2)</f>
        <v>2123400</v>
      </c>
    </row>
    <row r="1619" spans="1:19" x14ac:dyDescent="0.2">
      <c r="A1619" s="45"/>
      <c r="B1619" s="9"/>
      <c r="E1619" s="144"/>
      <c r="F1619" s="167"/>
      <c r="G1619" s="63" t="s">
        <v>4320</v>
      </c>
      <c r="H1619" s="9"/>
      <c r="I1619" s="85"/>
      <c r="J1619" s="9"/>
      <c r="K1619" s="9"/>
      <c r="L1619" s="9"/>
      <c r="M1619" s="9"/>
      <c r="N1619" s="9"/>
      <c r="O1619" s="9"/>
      <c r="P1619" s="9"/>
      <c r="Q1619" s="9"/>
      <c r="R1619" s="9"/>
      <c r="S1619" s="47"/>
    </row>
    <row r="1620" spans="1:19" x14ac:dyDescent="0.2">
      <c r="A1620" s="54">
        <v>-2972700</v>
      </c>
      <c r="B1620" s="9">
        <v>-3139600</v>
      </c>
      <c r="C1620" s="136">
        <f>-3179500</f>
        <v>-3179500</v>
      </c>
      <c r="D1620" s="136">
        <v>-3347200</v>
      </c>
      <c r="E1620" s="144">
        <v>-3352400</v>
      </c>
      <c r="F1620" s="469" t="s">
        <v>1590</v>
      </c>
      <c r="G1620" s="79" t="s">
        <v>4320</v>
      </c>
      <c r="H1620" s="9">
        <f>+-3665000+200000</f>
        <v>-3465000</v>
      </c>
      <c r="I1620" s="85">
        <f>IF(E1620=H1620,0,IF(E1620=0,100,(H1620-E1620)/E1620*100))</f>
        <v>3.3587877341606016</v>
      </c>
      <c r="J1620" s="9">
        <f>ROUNDUP(H1620+(H1620*Assumptions!I$5),-2)</f>
        <v>-3544700</v>
      </c>
      <c r="K1620" s="9">
        <f>ROUNDUP(J1620+(J1620*Assumptions!J$5),-2)</f>
        <v>-3633400</v>
      </c>
      <c r="L1620" s="9">
        <f>ROUNDUP(K1620+(K1620*Assumptions!K$5),-2)</f>
        <v>-3724300</v>
      </c>
      <c r="M1620" s="9">
        <f>ROUNDUP(L1620+(L1620*Assumptions!L$5),-2)</f>
        <v>-3817500</v>
      </c>
      <c r="N1620" s="9">
        <f>ROUNDUP(M1620+(M1620*Assumptions!M$5),-2)</f>
        <v>-3913000</v>
      </c>
      <c r="O1620" s="9">
        <f>ROUNDUP(N1620+(N1620*Assumptions!N$5),-2)</f>
        <v>-4010900</v>
      </c>
      <c r="P1620" s="9">
        <f>ROUNDUP(O1620+(O1620*Assumptions!O$5),-2)</f>
        <v>-4111200</v>
      </c>
      <c r="Q1620" s="9">
        <f>ROUNDUP(P1620+(P1620*Assumptions!P$5),-2)</f>
        <v>-4214000</v>
      </c>
      <c r="R1620" s="9">
        <f>ROUNDUP(Q1620+(Q1620*Assumptions!Q$5),-2)</f>
        <v>-4319400</v>
      </c>
      <c r="S1620" s="47">
        <f>ROUNDUP(R1620+(R1620*Assumptions!R$5),-2)</f>
        <v>-4427400</v>
      </c>
    </row>
    <row r="1621" spans="1:19" x14ac:dyDescent="0.2">
      <c r="A1621" s="1440">
        <v>-448200</v>
      </c>
      <c r="B1621" s="136">
        <v>-411500</v>
      </c>
      <c r="C1621" s="136">
        <v>-432700</v>
      </c>
      <c r="D1621" s="136">
        <f>-SUM(Checks!C111:C115)</f>
        <v>-424800</v>
      </c>
      <c r="E1621" s="144">
        <v>-390900</v>
      </c>
      <c r="F1621" s="469" t="s">
        <v>2438</v>
      </c>
      <c r="G1621" s="79" t="s">
        <v>4645</v>
      </c>
      <c r="H1621" s="9">
        <v>-311000</v>
      </c>
      <c r="I1621" s="85">
        <f>IF(E1621=H1621,0,IF(E1621=0,100,(H1621-E1621)/E1621*100))</f>
        <v>-20.440010232796109</v>
      </c>
      <c r="J1621" s="9">
        <f>-SUM(Checks!H111:H115)</f>
        <v>-318800</v>
      </c>
      <c r="K1621" s="9">
        <f>-SUM(Checks!I111:I115)</f>
        <v>-327500</v>
      </c>
      <c r="L1621" s="9">
        <f>-SUM(Checks!J111:J115)</f>
        <v>-336300</v>
      </c>
      <c r="M1621" s="9">
        <f>-SUM(Checks!K111:K115)</f>
        <v>-345400</v>
      </c>
      <c r="N1621" s="9">
        <f>-SUM(Checks!L111:L115)</f>
        <v>-354700</v>
      </c>
      <c r="O1621" s="9">
        <f>-SUM(Checks!M111:M115)</f>
        <v>-364200</v>
      </c>
      <c r="P1621" s="9">
        <f>-SUM(Checks!N111:N115)</f>
        <v>-373800</v>
      </c>
      <c r="Q1621" s="9">
        <f>-SUM(Checks!O111:O115)</f>
        <v>-383700</v>
      </c>
      <c r="R1621" s="9">
        <f>-SUM(Checks!P111:P115)</f>
        <v>-393700</v>
      </c>
      <c r="S1621" s="47">
        <f>-SUM(Checks!Q111:Q115)</f>
        <v>-404000</v>
      </c>
    </row>
    <row r="1622" spans="1:19" x14ac:dyDescent="0.2">
      <c r="A1622" s="54"/>
      <c r="B1622" s="9"/>
      <c r="E1622" s="144"/>
      <c r="F1622" s="167"/>
      <c r="G1622" s="260" t="s">
        <v>965</v>
      </c>
      <c r="H1622" s="9"/>
      <c r="I1622" s="85"/>
      <c r="J1622" s="9"/>
      <c r="K1622" s="9"/>
      <c r="L1622" s="9"/>
      <c r="M1622" s="9"/>
      <c r="N1622" s="9"/>
      <c r="O1622" s="9"/>
      <c r="P1622" s="9"/>
      <c r="Q1622" s="9"/>
      <c r="R1622" s="9"/>
      <c r="S1622" s="47"/>
    </row>
    <row r="1623" spans="1:19" x14ac:dyDescent="0.2">
      <c r="A1623" s="54">
        <v>101600</v>
      </c>
      <c r="B1623" s="9">
        <v>97300</v>
      </c>
      <c r="C1623" s="136">
        <v>103900</v>
      </c>
      <c r="D1623" s="136">
        <v>103200</v>
      </c>
      <c r="E1623" s="144">
        <v>106900</v>
      </c>
      <c r="F1623" s="469" t="s">
        <v>1952</v>
      </c>
      <c r="G1623" s="634" t="s">
        <v>3262</v>
      </c>
      <c r="H1623" s="9">
        <f>111000-3000</f>
        <v>108000</v>
      </c>
      <c r="I1623" s="85">
        <f t="shared" ref="I1623:I1630" si="2141">IF(E1623=H1623,0,IF(E1623=0,100,(H1623-E1623)/E1623*100))</f>
        <v>1.028999064546305</v>
      </c>
      <c r="J1623" s="9">
        <f>ROUNDUP(H1623+(H1623*Assumptions!I$5),-2)</f>
        <v>110500</v>
      </c>
      <c r="K1623" s="9">
        <f>ROUNDUP(J1623+(J1623*Assumptions!J$5),-2)</f>
        <v>113300</v>
      </c>
      <c r="L1623" s="9">
        <f>ROUNDUP(K1623+(K1623*Assumptions!K$5),-2)</f>
        <v>116200</v>
      </c>
      <c r="M1623" s="9">
        <f>ROUNDUP(L1623+(L1623*Assumptions!L$5),-2)</f>
        <v>119200</v>
      </c>
      <c r="N1623" s="9">
        <f>ROUNDUP(M1623+(M1623*Assumptions!M$5),-2)</f>
        <v>122200</v>
      </c>
      <c r="O1623" s="9">
        <f>ROUNDUP(N1623+(N1623*Assumptions!N$5),-2)</f>
        <v>125300</v>
      </c>
      <c r="P1623" s="9">
        <f>ROUNDUP(O1623+(O1623*Assumptions!O$5),-2)</f>
        <v>128500</v>
      </c>
      <c r="Q1623" s="9">
        <f>ROUNDUP(P1623+(P1623*Assumptions!P$5),-2)</f>
        <v>131800</v>
      </c>
      <c r="R1623" s="9">
        <f>ROUNDUP(Q1623+(Q1623*Assumptions!Q$5),-2)</f>
        <v>135100</v>
      </c>
      <c r="S1623" s="47">
        <f>ROUNDUP(R1623+(R1623*Assumptions!R$5),-2)</f>
        <v>138500</v>
      </c>
    </row>
    <row r="1624" spans="1:19" x14ac:dyDescent="0.2">
      <c r="A1624" s="54">
        <v>1500</v>
      </c>
      <c r="B1624" s="9">
        <v>0</v>
      </c>
      <c r="C1624" s="136">
        <v>1200</v>
      </c>
      <c r="D1624" s="136">
        <v>2400</v>
      </c>
      <c r="E1624" s="144">
        <v>400</v>
      </c>
      <c r="F1624" s="469" t="s">
        <v>2506</v>
      </c>
      <c r="G1624" s="257" t="s">
        <v>1889</v>
      </c>
      <c r="H1624" s="9">
        <v>2100</v>
      </c>
      <c r="I1624" s="85">
        <f t="shared" si="2141"/>
        <v>425</v>
      </c>
      <c r="J1624" s="9">
        <f>ROUNDUP(H1624+(H1624*Assumptions!I$5),-2)</f>
        <v>2200</v>
      </c>
      <c r="K1624" s="9">
        <f>ROUNDUP(J1624+(J1624*Assumptions!J$5),-2)</f>
        <v>2300</v>
      </c>
      <c r="L1624" s="9">
        <f>ROUNDUP(K1624+(K1624*Assumptions!K$5),-2)</f>
        <v>2400</v>
      </c>
      <c r="M1624" s="9">
        <f>ROUNDUP(L1624+(L1624*Assumptions!L$5),-2)</f>
        <v>2500</v>
      </c>
      <c r="N1624" s="9">
        <f>ROUNDUP(M1624+(M1624*Assumptions!M$5),-2)</f>
        <v>2600</v>
      </c>
      <c r="O1624" s="9">
        <f>ROUNDUP(N1624+(N1624*Assumptions!N$5),-2)</f>
        <v>2700</v>
      </c>
      <c r="P1624" s="9">
        <f>ROUNDUP(O1624+(O1624*Assumptions!O$5),-2)</f>
        <v>2800</v>
      </c>
      <c r="Q1624" s="9">
        <f>ROUNDUP(P1624+(P1624*Assumptions!P$5),-2)</f>
        <v>2900</v>
      </c>
      <c r="R1624" s="9">
        <f>ROUNDUP(Q1624+(Q1624*Assumptions!Q$5),-2)</f>
        <v>3000</v>
      </c>
      <c r="S1624" s="47">
        <f>ROUNDUP(R1624+(R1624*Assumptions!R$5),-2)</f>
        <v>3100</v>
      </c>
    </row>
    <row r="1625" spans="1:19" x14ac:dyDescent="0.2">
      <c r="A1625" s="54">
        <v>27200</v>
      </c>
      <c r="B1625" s="9">
        <v>22500</v>
      </c>
      <c r="C1625" s="707">
        <f>30800-2200</f>
        <v>28600</v>
      </c>
      <c r="D1625" s="136">
        <v>16400</v>
      </c>
      <c r="E1625" s="144">
        <f>24800-E1626</f>
        <v>21500</v>
      </c>
      <c r="F1625" s="469" t="s">
        <v>355</v>
      </c>
      <c r="G1625" s="79" t="s">
        <v>3011</v>
      </c>
      <c r="H1625" s="9">
        <v>30500</v>
      </c>
      <c r="I1625" s="85">
        <f t="shared" si="2141"/>
        <v>41.860465116279073</v>
      </c>
      <c r="J1625" s="9">
        <f>ROUNDUP(H1625+(H1625*Assumptions!I$5),-2)</f>
        <v>31300</v>
      </c>
      <c r="K1625" s="9">
        <f>ROUNDUP(J1625+(J1625*Assumptions!J$5),-2)</f>
        <v>32100</v>
      </c>
      <c r="L1625" s="9">
        <f>ROUNDUP(K1625+(K1625*Assumptions!K$5),-2)</f>
        <v>33000</v>
      </c>
      <c r="M1625" s="9">
        <f>ROUNDUP(L1625+(L1625*Assumptions!L$5),-2)</f>
        <v>33900</v>
      </c>
      <c r="N1625" s="9">
        <f>ROUNDUP(M1625+(M1625*Assumptions!M$5),-2)</f>
        <v>34800</v>
      </c>
      <c r="O1625" s="9">
        <f>ROUNDUP(N1625+(N1625*Assumptions!N$5),-2)</f>
        <v>35700</v>
      </c>
      <c r="P1625" s="9">
        <f>ROUNDUP(O1625+(O1625*Assumptions!O$5),-2)</f>
        <v>36600</v>
      </c>
      <c r="Q1625" s="9">
        <f>ROUNDUP(P1625+(P1625*Assumptions!P$5),-2)</f>
        <v>37600</v>
      </c>
      <c r="R1625" s="9">
        <f>ROUNDUP(Q1625+(Q1625*Assumptions!Q$5),-2)</f>
        <v>38600</v>
      </c>
      <c r="S1625" s="47">
        <f>ROUNDUP(R1625+(R1625*Assumptions!R$5),-2)</f>
        <v>39600</v>
      </c>
    </row>
    <row r="1626" spans="1:19" x14ac:dyDescent="0.2">
      <c r="A1626" s="54">
        <v>2400</v>
      </c>
      <c r="B1626" s="9">
        <v>2600</v>
      </c>
      <c r="C1626" s="136">
        <v>2200</v>
      </c>
      <c r="D1626" s="136">
        <v>2600</v>
      </c>
      <c r="E1626" s="144">
        <v>3300</v>
      </c>
      <c r="F1626" s="469" t="s">
        <v>1398</v>
      </c>
      <c r="G1626" s="257" t="s">
        <v>2135</v>
      </c>
      <c r="H1626" s="9">
        <v>2600</v>
      </c>
      <c r="I1626" s="85">
        <f t="shared" si="2141"/>
        <v>-21.212121212121211</v>
      </c>
      <c r="J1626" s="9">
        <f>ROUNDUP(H1626+(H1626*Assumptions!I$5),-2)</f>
        <v>2700</v>
      </c>
      <c r="K1626" s="9">
        <f>ROUNDUP(J1626+(J1626*Assumptions!J$5),-2)</f>
        <v>2800</v>
      </c>
      <c r="L1626" s="9">
        <f>ROUNDUP(K1626+(K1626*Assumptions!K$5),-2)</f>
        <v>2900</v>
      </c>
      <c r="M1626" s="9">
        <f>ROUNDUP(L1626+(L1626*Assumptions!L$5),-2)</f>
        <v>3000</v>
      </c>
      <c r="N1626" s="9">
        <f>ROUNDUP(M1626+(M1626*Assumptions!M$5),-2)</f>
        <v>3100</v>
      </c>
      <c r="O1626" s="9">
        <f>ROUNDUP(N1626+(N1626*Assumptions!N$5),-2)</f>
        <v>3200</v>
      </c>
      <c r="P1626" s="9">
        <f>ROUNDUP(O1626+(O1626*Assumptions!O$5),-2)</f>
        <v>3300</v>
      </c>
      <c r="Q1626" s="9">
        <f>ROUNDUP(P1626+(P1626*Assumptions!P$5),-2)</f>
        <v>3400</v>
      </c>
      <c r="R1626" s="9">
        <f>ROUNDUP(Q1626+(Q1626*Assumptions!Q$5),-2)</f>
        <v>3500</v>
      </c>
      <c r="S1626" s="47">
        <f>ROUNDUP(R1626+(R1626*Assumptions!R$5),-2)</f>
        <v>3600</v>
      </c>
    </row>
    <row r="1627" spans="1:19" x14ac:dyDescent="0.2">
      <c r="A1627" s="54">
        <v>27100</v>
      </c>
      <c r="B1627" s="9">
        <v>35900</v>
      </c>
      <c r="C1627" s="136">
        <v>14600</v>
      </c>
      <c r="D1627" s="136">
        <f>38300-8100</f>
        <v>30200</v>
      </c>
      <c r="E1627" s="144">
        <v>18400</v>
      </c>
      <c r="F1627" s="469" t="s">
        <v>356</v>
      </c>
      <c r="G1627" s="257" t="s">
        <v>2177</v>
      </c>
      <c r="H1627" s="9">
        <v>33500</v>
      </c>
      <c r="I1627" s="85">
        <f t="shared" si="2141"/>
        <v>82.065217391304344</v>
      </c>
      <c r="J1627" s="9">
        <f>ROUNDUP(H1627+(H1627*Assumptions!I$5),-2)</f>
        <v>34300</v>
      </c>
      <c r="K1627" s="9">
        <f>ROUNDUP(J1627+(J1627*Assumptions!J$5),-2)</f>
        <v>35200</v>
      </c>
      <c r="L1627" s="9">
        <f>ROUNDUP(K1627+(K1627*Assumptions!K$5),-2)</f>
        <v>36100</v>
      </c>
      <c r="M1627" s="9">
        <f>ROUNDUP(L1627+(L1627*Assumptions!L$5),-2)</f>
        <v>37100</v>
      </c>
      <c r="N1627" s="9">
        <f>ROUNDUP(M1627+(M1627*Assumptions!M$5),-2)</f>
        <v>38100</v>
      </c>
      <c r="O1627" s="9">
        <f>ROUNDUP(N1627+(N1627*Assumptions!N$5),-2)</f>
        <v>39100</v>
      </c>
      <c r="P1627" s="9">
        <f>ROUNDUP(O1627+(O1627*Assumptions!O$5),-2)</f>
        <v>40100</v>
      </c>
      <c r="Q1627" s="9">
        <f>ROUNDUP(P1627+(P1627*Assumptions!P$5),-2)</f>
        <v>41200</v>
      </c>
      <c r="R1627" s="9">
        <f>ROUNDUP(Q1627+(Q1627*Assumptions!Q$5),-2)</f>
        <v>42300</v>
      </c>
      <c r="S1627" s="47">
        <f>ROUNDUP(R1627+(R1627*Assumptions!R$5),-2)</f>
        <v>43400</v>
      </c>
    </row>
    <row r="1628" spans="1:19" x14ac:dyDescent="0.2">
      <c r="A1628" s="54">
        <v>0</v>
      </c>
      <c r="B1628" s="9">
        <v>0</v>
      </c>
      <c r="C1628" s="136">
        <v>0</v>
      </c>
      <c r="D1628" s="136">
        <v>0</v>
      </c>
      <c r="E1628" s="144"/>
      <c r="F1628" s="469"/>
      <c r="G1628" s="634" t="s">
        <v>7251</v>
      </c>
      <c r="H1628" s="9">
        <v>0</v>
      </c>
      <c r="I1628" s="85">
        <f t="shared" si="2141"/>
        <v>0</v>
      </c>
      <c r="J1628" s="9">
        <f>ROUNDUP(H1628+(H1628*Assumptions!I$5),-2)</f>
        <v>0</v>
      </c>
      <c r="K1628" s="9">
        <f>ROUNDUP(J1628+(J1628*Assumptions!J$5),-2)</f>
        <v>0</v>
      </c>
      <c r="L1628" s="9">
        <f>ROUNDUP(K1628+(K1628*Assumptions!K$5),-2)</f>
        <v>0</v>
      </c>
      <c r="M1628" s="9">
        <f>ROUNDUP(L1628+(L1628*Assumptions!L$5),-2)</f>
        <v>0</v>
      </c>
      <c r="N1628" s="9">
        <f>ROUNDUP(M1628+(M1628*Assumptions!M$5),-2)</f>
        <v>0</v>
      </c>
      <c r="O1628" s="9">
        <f>ROUNDUP(N1628+(N1628*Assumptions!N$5),-2)</f>
        <v>0</v>
      </c>
      <c r="P1628" s="9">
        <f>ROUNDUP(O1628+(O1628*Assumptions!O$5),-2)</f>
        <v>0</v>
      </c>
      <c r="Q1628" s="9">
        <f>ROUNDUP(P1628+(P1628*Assumptions!P$5),-2)</f>
        <v>0</v>
      </c>
      <c r="R1628" s="9">
        <v>30000</v>
      </c>
      <c r="S1628" s="47">
        <v>30000</v>
      </c>
    </row>
    <row r="1629" spans="1:19" x14ac:dyDescent="0.2">
      <c r="A1629" s="54">
        <v>0</v>
      </c>
      <c r="B1629" s="9">
        <v>0</v>
      </c>
      <c r="C1629" s="136">
        <v>100</v>
      </c>
      <c r="D1629" s="136">
        <v>100</v>
      </c>
      <c r="E1629" s="144">
        <v>100</v>
      </c>
      <c r="F1629" s="469" t="s">
        <v>1951</v>
      </c>
      <c r="G1629" s="257" t="s">
        <v>1245</v>
      </c>
      <c r="H1629" s="9">
        <v>300</v>
      </c>
      <c r="I1629" s="85">
        <f t="shared" si="2141"/>
        <v>200</v>
      </c>
      <c r="J1629" s="9">
        <f>ROUNDUP(H1629+(H1629*Assumptions!I$5),-2)</f>
        <v>400</v>
      </c>
      <c r="K1629" s="9">
        <f>ROUNDUP(J1629+(J1629*Assumptions!J$5),-2)</f>
        <v>500</v>
      </c>
      <c r="L1629" s="9">
        <f>ROUNDUP(K1629+(K1629*Assumptions!K$5),-2)</f>
        <v>600</v>
      </c>
      <c r="M1629" s="9">
        <f>ROUNDUP(L1629+(L1629*Assumptions!L$5),-2)</f>
        <v>700</v>
      </c>
      <c r="N1629" s="9">
        <f>ROUNDUP(M1629+(M1629*Assumptions!M$5),-2)</f>
        <v>800</v>
      </c>
      <c r="O1629" s="9">
        <f>ROUNDUP(N1629+(N1629*Assumptions!N$5),-2)</f>
        <v>900</v>
      </c>
      <c r="P1629" s="9">
        <f>ROUNDUP(O1629+(O1629*Assumptions!O$5),-2)</f>
        <v>1000</v>
      </c>
      <c r="Q1629" s="9">
        <f>ROUNDUP(P1629+(P1629*Assumptions!P$5),-2)</f>
        <v>1100</v>
      </c>
      <c r="R1629" s="9">
        <f>ROUNDUP(Q1629+(Q1629*Assumptions!Q$5),-2)</f>
        <v>1200</v>
      </c>
      <c r="S1629" s="47">
        <f>ROUNDUP(R1629+(R1629*Assumptions!R$5),-2)</f>
        <v>1300</v>
      </c>
    </row>
    <row r="1630" spans="1:19" x14ac:dyDescent="0.2">
      <c r="A1630" s="54">
        <v>0</v>
      </c>
      <c r="B1630" s="9">
        <v>0</v>
      </c>
      <c r="C1630" s="136">
        <v>0</v>
      </c>
      <c r="D1630" s="136">
        <v>2200</v>
      </c>
      <c r="E1630" s="144">
        <v>1300</v>
      </c>
      <c r="F1630" s="769" t="s">
        <v>5201</v>
      </c>
      <c r="G1630" s="634" t="s">
        <v>4774</v>
      </c>
      <c r="H1630" s="9">
        <v>0</v>
      </c>
      <c r="I1630" s="85">
        <f t="shared" si="2141"/>
        <v>-100</v>
      </c>
      <c r="J1630" s="9">
        <f>ROUNDUP(H1630+(H1630*Assumptions!I$5),-2)</f>
        <v>0</v>
      </c>
      <c r="K1630" s="9">
        <f>ROUNDUP(J1630+(J1630*Assumptions!J$5),-2)</f>
        <v>0</v>
      </c>
      <c r="L1630" s="9">
        <f>ROUNDUP(K1630+(K1630*Assumptions!K$5),-2)</f>
        <v>0</v>
      </c>
      <c r="M1630" s="9">
        <f>ROUNDUP(L1630+(L1630*Assumptions!L$5),-2)</f>
        <v>0</v>
      </c>
      <c r="N1630" s="9">
        <f>ROUNDUP(M1630+(M1630*Assumptions!M$5),-2)</f>
        <v>0</v>
      </c>
      <c r="O1630" s="9">
        <f>ROUNDUP(N1630+(N1630*Assumptions!N$5),-2)</f>
        <v>0</v>
      </c>
      <c r="P1630" s="9">
        <f>ROUNDUP(O1630+(O1630*Assumptions!O$5),-2)</f>
        <v>0</v>
      </c>
      <c r="Q1630" s="9">
        <f>ROUNDUP(P1630+(P1630*Assumptions!P$5),-2)</f>
        <v>0</v>
      </c>
      <c r="R1630" s="9">
        <f>ROUNDUP(Q1630+(Q1630*Assumptions!Q$5),-2)</f>
        <v>0</v>
      </c>
      <c r="S1630" s="47">
        <f>ROUNDUP(R1630+(R1630*Assumptions!R$5),-2)</f>
        <v>0</v>
      </c>
    </row>
    <row r="1631" spans="1:19" x14ac:dyDescent="0.2">
      <c r="A1631" s="54"/>
      <c r="B1631" s="9"/>
      <c r="E1631" s="144"/>
      <c r="F1631" s="469"/>
      <c r="G1631" s="260" t="s">
        <v>2240</v>
      </c>
      <c r="H1631" s="9"/>
      <c r="I1631" s="85"/>
      <c r="J1631" s="9"/>
      <c r="K1631" s="9"/>
      <c r="L1631" s="9"/>
      <c r="M1631" s="9"/>
      <c r="N1631" s="9"/>
      <c r="O1631" s="9"/>
      <c r="P1631" s="9"/>
      <c r="Q1631" s="9"/>
      <c r="R1631" s="9"/>
      <c r="S1631" s="47"/>
    </row>
    <row r="1632" spans="1:19" x14ac:dyDescent="0.2">
      <c r="A1632" s="54">
        <v>169000</v>
      </c>
      <c r="B1632" s="9">
        <v>221000</v>
      </c>
      <c r="C1632" s="136">
        <v>337000</v>
      </c>
      <c r="D1632" s="136">
        <v>342000</v>
      </c>
      <c r="E1632" s="144">
        <v>344000</v>
      </c>
      <c r="F1632" s="469" t="s">
        <v>974</v>
      </c>
      <c r="G1632" s="257" t="s">
        <v>470</v>
      </c>
      <c r="H1632" s="9">
        <v>356000</v>
      </c>
      <c r="I1632" s="85">
        <f>IF(E1632=H1632,0,IF(E1632=0,100,(H1632-E1632)/E1632*100))</f>
        <v>3.4883720930232558</v>
      </c>
      <c r="J1632" s="9">
        <f>ROUNDUP(H1632+(H1632*Assumptions!I$5),-2)</f>
        <v>364200</v>
      </c>
      <c r="K1632" s="9">
        <f>ROUNDUP(J1632+(J1632*Assumptions!J$5),-2)</f>
        <v>373400</v>
      </c>
      <c r="L1632" s="9">
        <f>ROUNDUP(K1632+(K1632*Assumptions!K$5),-2)</f>
        <v>382800</v>
      </c>
      <c r="M1632" s="9">
        <f>ROUNDUP(L1632+(L1632*Assumptions!L$5),-2)</f>
        <v>392400</v>
      </c>
      <c r="N1632" s="9">
        <f>ROUNDUP(M1632+(M1632*Assumptions!M$5),-2)</f>
        <v>402300</v>
      </c>
      <c r="O1632" s="9">
        <f>ROUNDUP(N1632+(N1632*Assumptions!N$5),-2)</f>
        <v>412400</v>
      </c>
      <c r="P1632" s="9">
        <f>ROUNDUP(O1632+(O1632*Assumptions!O$5),-2)</f>
        <v>422800</v>
      </c>
      <c r="Q1632" s="9">
        <f>ROUNDUP(P1632+(P1632*Assumptions!P$5),-2)</f>
        <v>433400</v>
      </c>
      <c r="R1632" s="9">
        <f>ROUNDUP(Q1632+(Q1632*Assumptions!Q$5),-2)</f>
        <v>444300</v>
      </c>
      <c r="S1632" s="47">
        <f>ROUNDUP(R1632+(R1632*Assumptions!R$5),-2)</f>
        <v>455500</v>
      </c>
    </row>
    <row r="1633" spans="1:21" x14ac:dyDescent="0.2">
      <c r="A1633" s="54"/>
      <c r="B1633" s="9"/>
      <c r="E1633" s="144"/>
      <c r="F1633" s="469"/>
      <c r="G1633" s="419" t="s">
        <v>1112</v>
      </c>
      <c r="H1633" s="9"/>
      <c r="I1633" s="85"/>
      <c r="J1633" s="9"/>
      <c r="K1633" s="9"/>
      <c r="L1633" s="9"/>
      <c r="M1633" s="9"/>
      <c r="N1633" s="9"/>
      <c r="O1633" s="9"/>
      <c r="P1633" s="9"/>
      <c r="Q1633" s="9"/>
      <c r="R1633" s="9"/>
      <c r="S1633" s="47"/>
    </row>
    <row r="1634" spans="1:21" x14ac:dyDescent="0.2">
      <c r="A1634" s="54">
        <v>1900</v>
      </c>
      <c r="B1634" s="9">
        <v>0</v>
      </c>
      <c r="C1634" s="136">
        <v>0</v>
      </c>
      <c r="D1634" s="136">
        <v>0</v>
      </c>
      <c r="E1634" s="144">
        <v>0</v>
      </c>
      <c r="F1634" s="469" t="s">
        <v>975</v>
      </c>
      <c r="G1634" s="385" t="s">
        <v>2710</v>
      </c>
      <c r="H1634" s="9">
        <v>0</v>
      </c>
      <c r="I1634" s="85">
        <f>IF(E1634=H1634,0,IF(E1634=0,100,(H1634-E1634)/E1634*100))</f>
        <v>0</v>
      </c>
      <c r="J1634" s="9">
        <v>0</v>
      </c>
      <c r="K1634" s="9">
        <v>0</v>
      </c>
      <c r="L1634" s="9">
        <v>0</v>
      </c>
      <c r="M1634" s="9">
        <v>0</v>
      </c>
      <c r="N1634" s="9">
        <v>0</v>
      </c>
      <c r="O1634" s="9">
        <v>0</v>
      </c>
      <c r="P1634" s="9">
        <v>0</v>
      </c>
      <c r="Q1634" s="9">
        <v>0</v>
      </c>
      <c r="R1634" s="9">
        <v>0</v>
      </c>
      <c r="S1634" s="47">
        <v>0</v>
      </c>
    </row>
    <row r="1635" spans="1:21" x14ac:dyDescent="0.2">
      <c r="A1635" s="54"/>
      <c r="B1635" s="9"/>
      <c r="E1635" s="144"/>
      <c r="F1635" s="469"/>
      <c r="G1635" s="63" t="s">
        <v>4456</v>
      </c>
      <c r="H1635" s="9"/>
      <c r="I1635" s="85"/>
      <c r="J1635" s="9"/>
      <c r="K1635" s="9"/>
      <c r="L1635" s="9"/>
      <c r="M1635" s="9"/>
      <c r="N1635" s="9"/>
      <c r="O1635" s="9"/>
      <c r="P1635" s="9"/>
      <c r="Q1635" s="9"/>
      <c r="R1635" s="9"/>
      <c r="S1635" s="47"/>
    </row>
    <row r="1636" spans="1:21" x14ac:dyDescent="0.2">
      <c r="A1636" s="54">
        <v>76600</v>
      </c>
      <c r="B1636" s="9">
        <v>14200</v>
      </c>
      <c r="C1636" s="136">
        <v>19200</v>
      </c>
      <c r="D1636" s="136">
        <v>0</v>
      </c>
      <c r="E1636" s="144">
        <v>0</v>
      </c>
      <c r="F1636" s="769" t="s">
        <v>4457</v>
      </c>
      <c r="G1636" s="9" t="s">
        <v>2170</v>
      </c>
      <c r="H1636" s="9">
        <v>0</v>
      </c>
      <c r="I1636" s="85">
        <f>IF(E1636=H1636,0,IF(E1636=0,100,(H1636-E1636)/E1636*100))</f>
        <v>0</v>
      </c>
      <c r="J1636" s="9">
        <f>ROUNDUP(H1636+(H1636*Assumptions!I$5),-2)</f>
        <v>0</v>
      </c>
      <c r="K1636" s="9">
        <f>ROUNDUP(J1636+(J1636*Assumptions!J$5),-2)</f>
        <v>0</v>
      </c>
      <c r="L1636" s="9">
        <f>ROUNDUP(K1636+(K1636*Assumptions!K$5),-2)</f>
        <v>0</v>
      </c>
      <c r="M1636" s="9">
        <f>ROUNDUP(L1636+(L1636*Assumptions!L$5),-2)</f>
        <v>0</v>
      </c>
      <c r="N1636" s="9">
        <f>ROUNDUP(M1636+(M1636*Assumptions!M$5),-2)</f>
        <v>0</v>
      </c>
      <c r="O1636" s="9">
        <f>ROUNDUP(N1636+(N1636*Assumptions!N$5),-2)</f>
        <v>0</v>
      </c>
      <c r="P1636" s="9">
        <f>ROUNDUP(O1636+(O1636*Assumptions!O$5),-2)</f>
        <v>0</v>
      </c>
      <c r="Q1636" s="9">
        <f>ROUNDUP(P1636+(P1636*Assumptions!P$5),-2)</f>
        <v>0</v>
      </c>
      <c r="R1636" s="9">
        <f>ROUNDUP(Q1636+(Q1636*Assumptions!Q$5),-2)</f>
        <v>0</v>
      </c>
      <c r="S1636" s="47">
        <f>ROUNDUP(R1636+(R1636*Assumptions!R$5),-2)</f>
        <v>0</v>
      </c>
    </row>
    <row r="1637" spans="1:21" x14ac:dyDescent="0.2">
      <c r="A1637" s="54"/>
      <c r="B1637" s="9"/>
      <c r="E1637" s="144"/>
      <c r="F1637" s="469"/>
      <c r="G1637" s="260" t="str">
        <f>G101</f>
        <v>Non-Cash Expenses</v>
      </c>
      <c r="H1637" s="9"/>
      <c r="I1637" s="85"/>
      <c r="J1637" s="9"/>
      <c r="K1637" s="9"/>
      <c r="L1637" s="9"/>
      <c r="M1637" s="9"/>
      <c r="N1637" s="9"/>
      <c r="O1637" s="9"/>
      <c r="P1637" s="9"/>
      <c r="Q1637" s="9"/>
      <c r="R1637" s="9"/>
      <c r="S1637" s="47"/>
    </row>
    <row r="1638" spans="1:21" x14ac:dyDescent="0.2">
      <c r="A1638" s="54">
        <v>1128900</v>
      </c>
      <c r="B1638" s="9">
        <v>1154800</v>
      </c>
      <c r="C1638" s="136">
        <v>980800</v>
      </c>
      <c r="D1638" s="136">
        <v>925300</v>
      </c>
      <c r="E1638" s="144">
        <v>974200</v>
      </c>
      <c r="F1638" s="469" t="s">
        <v>2548</v>
      </c>
      <c r="G1638" s="257" t="s">
        <v>2035</v>
      </c>
      <c r="H1638" s="9">
        <v>938400</v>
      </c>
      <c r="I1638" s="85">
        <f>IF(E1638=H1638,0,IF(E1638=0,100,(H1638-E1638)/E1638*100))</f>
        <v>-3.6748101005953604</v>
      </c>
      <c r="J1638" s="9">
        <f>ROUNDUP(H1638+(H1638*Assumptions!I$18),-2)</f>
        <v>957200</v>
      </c>
      <c r="K1638" s="9">
        <f>ROUNDUP(J1638+(J1638*Assumptions!J$18),-2)</f>
        <v>976400</v>
      </c>
      <c r="L1638" s="9">
        <f>ROUNDUP(K1638+(K1638*Assumptions!K$18),-2)</f>
        <v>996000</v>
      </c>
      <c r="M1638" s="9">
        <f>ROUNDUP(L1638+(L1638*Assumptions!L$18),-2)</f>
        <v>1016000</v>
      </c>
      <c r="N1638" s="9">
        <f>ROUNDUP(M1638+(M1638*Assumptions!M$18),-2)</f>
        <v>1036400</v>
      </c>
      <c r="O1638" s="9">
        <f>ROUNDUP(N1638+(N1638*Assumptions!N$18),-2)</f>
        <v>1057200</v>
      </c>
      <c r="P1638" s="9">
        <f>ROUNDUP(O1638+(O1638*Assumptions!O$18),-2)</f>
        <v>1078400</v>
      </c>
      <c r="Q1638" s="9">
        <f>ROUNDUP(P1638+(P1638*Assumptions!P$18),-2)</f>
        <v>1100000</v>
      </c>
      <c r="R1638" s="9">
        <f>ROUNDUP(Q1638+(Q1638*Assumptions!Q$18),-2)</f>
        <v>1122000</v>
      </c>
      <c r="S1638" s="47">
        <f>ROUNDUP(R1638+(R1638*Assumptions!R$18),-2)</f>
        <v>1144500</v>
      </c>
    </row>
    <row r="1639" spans="1:21" ht="13.5" thickBot="1" x14ac:dyDescent="0.25">
      <c r="A1639" s="54"/>
      <c r="B1639" s="9"/>
      <c r="E1639" s="144"/>
      <c r="F1639" s="167"/>
      <c r="G1639" s="257"/>
      <c r="H1639" s="9"/>
      <c r="I1639" s="85"/>
      <c r="J1639" s="9"/>
      <c r="K1639" s="9"/>
      <c r="L1639" s="9"/>
      <c r="M1639" s="9"/>
      <c r="N1639" s="9"/>
      <c r="O1639" s="9"/>
      <c r="P1639" s="9"/>
      <c r="Q1639" s="9"/>
      <c r="R1639" s="9"/>
      <c r="S1639" s="47"/>
    </row>
    <row r="1640" spans="1:21" s="39" customFormat="1" x14ac:dyDescent="0.2">
      <c r="A1640" s="52">
        <f>SUM(A1609:A1639)</f>
        <v>264200</v>
      </c>
      <c r="B1640" s="16">
        <f>SUM(B1609:B1639)</f>
        <v>236000</v>
      </c>
      <c r="C1640" s="137">
        <f>SUM(C1609:C1639)</f>
        <v>40900</v>
      </c>
      <c r="D1640" s="137">
        <f>SUM(D1609:D1639)</f>
        <v>-205900</v>
      </c>
      <c r="E1640" s="1473">
        <f>SUM(E1609:E1639)</f>
        <v>-17500</v>
      </c>
      <c r="F1640" s="126"/>
      <c r="G1640" s="267" t="s">
        <v>556</v>
      </c>
      <c r="H1640" s="16">
        <f t="shared" ref="H1640:Q1640" si="2142">SUM(H1609:H1639)</f>
        <v>173700</v>
      </c>
      <c r="I1640" s="127">
        <f>IF(E1640=H1640,0,IF(E1640=0,100,(H1640-E1640)/E1640*100))</f>
        <v>-1092.5714285714284</v>
      </c>
      <c r="J1640" s="16">
        <f t="shared" si="2142"/>
        <v>-57800</v>
      </c>
      <c r="K1640" s="16">
        <f t="shared" si="2142"/>
        <v>-64300</v>
      </c>
      <c r="L1640" s="16">
        <f t="shared" si="2142"/>
        <v>-70500</v>
      </c>
      <c r="M1640" s="16">
        <f t="shared" si="2142"/>
        <v>-77000</v>
      </c>
      <c r="N1640" s="16">
        <f t="shared" si="2142"/>
        <v>-83700</v>
      </c>
      <c r="O1640" s="16">
        <f t="shared" si="2142"/>
        <v>-90800</v>
      </c>
      <c r="P1640" s="16">
        <f t="shared" si="2142"/>
        <v>-98100</v>
      </c>
      <c r="Q1640" s="16">
        <f t="shared" si="2142"/>
        <v>-105700</v>
      </c>
      <c r="R1640" s="16">
        <f t="shared" ref="R1640" si="2143">SUM(R1609:R1639)</f>
        <v>-83500</v>
      </c>
      <c r="S1640" s="2342">
        <f t="shared" ref="S1640" si="2144">SUM(S1609:S1639)</f>
        <v>-91700</v>
      </c>
      <c r="U1640" s="34"/>
    </row>
    <row r="1641" spans="1:21" x14ac:dyDescent="0.2">
      <c r="A1641" s="54"/>
      <c r="B1641" s="9"/>
      <c r="E1641" s="144"/>
      <c r="F1641" s="167"/>
      <c r="G1641" s="257"/>
      <c r="H1641" s="9"/>
      <c r="I1641" s="85"/>
      <c r="J1641" s="9"/>
      <c r="K1641" s="9"/>
      <c r="L1641" s="9"/>
      <c r="M1641" s="9"/>
      <c r="N1641" s="9"/>
      <c r="O1641" s="9"/>
      <c r="P1641" s="9"/>
      <c r="Q1641" s="9"/>
      <c r="R1641" s="9"/>
      <c r="S1641" s="47"/>
    </row>
    <row r="1642" spans="1:21" s="39" customFormat="1" x14ac:dyDescent="0.2">
      <c r="A1642" s="24">
        <f>A1606-A1640</f>
        <v>44300</v>
      </c>
      <c r="B1642" s="21">
        <f>B1606-B1640</f>
        <v>66000</v>
      </c>
      <c r="C1642" s="139">
        <f>C1606-C1640</f>
        <v>286000</v>
      </c>
      <c r="D1642" s="139">
        <f>D1606-D1640</f>
        <v>489900</v>
      </c>
      <c r="E1642" s="143">
        <f>E1606-E1640</f>
        <v>282700</v>
      </c>
      <c r="F1642" s="173"/>
      <c r="G1642" s="361" t="s">
        <v>1002</v>
      </c>
      <c r="H1642" s="21">
        <f t="shared" ref="H1642:Q1642" si="2145">H1606-H1640</f>
        <v>74200</v>
      </c>
      <c r="I1642" s="126">
        <f>IF(E1642=H1642,0,IF(E1642=0,100,(H1642-E1642)/E1642*100))</f>
        <v>-73.75309515387336</v>
      </c>
      <c r="J1642" s="21">
        <f t="shared" si="2145"/>
        <v>307500</v>
      </c>
      <c r="K1642" s="21">
        <f t="shared" si="2145"/>
        <v>323500</v>
      </c>
      <c r="L1642" s="21">
        <f t="shared" si="2145"/>
        <v>344300</v>
      </c>
      <c r="M1642" s="21">
        <f t="shared" si="2145"/>
        <v>353600</v>
      </c>
      <c r="N1642" s="21">
        <f t="shared" si="2145"/>
        <v>364200</v>
      </c>
      <c r="O1642" s="21">
        <f t="shared" si="2145"/>
        <v>373400</v>
      </c>
      <c r="P1642" s="21">
        <f t="shared" si="2145"/>
        <v>388100</v>
      </c>
      <c r="Q1642" s="21">
        <f t="shared" si="2145"/>
        <v>411200</v>
      </c>
      <c r="R1642" s="21">
        <f t="shared" ref="R1642" si="2146">R1606-R1640</f>
        <v>392800</v>
      </c>
      <c r="S1642" s="86">
        <f t="shared" ref="S1642" si="2147">S1606-S1640</f>
        <v>408900</v>
      </c>
      <c r="U1642" s="34"/>
    </row>
    <row r="1643" spans="1:21" x14ac:dyDescent="0.2">
      <c r="A1643" s="54">
        <f>A1638</f>
        <v>1128900</v>
      </c>
      <c r="B1643" s="9">
        <f>B1638</f>
        <v>1154800</v>
      </c>
      <c r="C1643" s="136">
        <f>C1638</f>
        <v>980800</v>
      </c>
      <c r="D1643" s="136">
        <f>D1638</f>
        <v>925300</v>
      </c>
      <c r="E1643" s="144">
        <f t="shared" ref="E1643" si="2148">E1638</f>
        <v>974200</v>
      </c>
      <c r="F1643" s="167"/>
      <c r="G1643" s="261" t="str">
        <f>G1007</f>
        <v>Add Back Depreciation</v>
      </c>
      <c r="H1643" s="9">
        <f t="shared" ref="H1643:O1643" si="2149">H1638</f>
        <v>938400</v>
      </c>
      <c r="I1643" s="85">
        <f>IF(E1643=H1643,0,IF(E1643=0,100,(H1643-E1643)/E1643*100))</f>
        <v>-3.6748101005953604</v>
      </c>
      <c r="J1643" s="9">
        <f t="shared" si="2149"/>
        <v>957200</v>
      </c>
      <c r="K1643" s="9">
        <f t="shared" si="2149"/>
        <v>976400</v>
      </c>
      <c r="L1643" s="9">
        <f t="shared" si="2149"/>
        <v>996000</v>
      </c>
      <c r="M1643" s="9">
        <f t="shared" si="2149"/>
        <v>1016000</v>
      </c>
      <c r="N1643" s="9">
        <f t="shared" si="2149"/>
        <v>1036400</v>
      </c>
      <c r="O1643" s="9">
        <f t="shared" si="2149"/>
        <v>1057200</v>
      </c>
      <c r="P1643" s="9">
        <f t="shared" ref="P1643:Q1643" si="2150">P1638</f>
        <v>1078400</v>
      </c>
      <c r="Q1643" s="9">
        <f t="shared" si="2150"/>
        <v>1100000</v>
      </c>
      <c r="R1643" s="9">
        <f t="shared" ref="R1643" si="2151">R1638</f>
        <v>1122000</v>
      </c>
      <c r="S1643" s="47">
        <f t="shared" ref="S1643" si="2152">S1638</f>
        <v>1144500</v>
      </c>
    </row>
    <row r="1644" spans="1:21" s="39" customFormat="1" x14ac:dyDescent="0.2">
      <c r="A1644" s="128">
        <f>A1642+A1643</f>
        <v>1173200</v>
      </c>
      <c r="B1644" s="280">
        <f>B1642+B1643</f>
        <v>1220800</v>
      </c>
      <c r="C1644" s="281">
        <f>C1642+C1643</f>
        <v>1266800</v>
      </c>
      <c r="D1644" s="281">
        <f>D1642+D1643</f>
        <v>1415200</v>
      </c>
      <c r="E1644" s="1513">
        <f t="shared" ref="E1644" si="2153">E1642+E1643</f>
        <v>1256900</v>
      </c>
      <c r="F1644" s="372"/>
      <c r="G1644" s="363" t="s">
        <v>1659</v>
      </c>
      <c r="H1644" s="280">
        <f t="shared" ref="H1644:O1644" si="2154">H1642+H1643</f>
        <v>1012600</v>
      </c>
      <c r="I1644" s="278">
        <f>IF(E1644=H1644,0,IF(E1644=0,100,(H1644-E1644)/E1644*100))</f>
        <v>-19.436709364309017</v>
      </c>
      <c r="J1644" s="280">
        <f t="shared" si="2154"/>
        <v>1264700</v>
      </c>
      <c r="K1644" s="280">
        <f t="shared" si="2154"/>
        <v>1299900</v>
      </c>
      <c r="L1644" s="280">
        <f t="shared" si="2154"/>
        <v>1340300</v>
      </c>
      <c r="M1644" s="280">
        <f t="shared" si="2154"/>
        <v>1369600</v>
      </c>
      <c r="N1644" s="280">
        <f t="shared" si="2154"/>
        <v>1400600</v>
      </c>
      <c r="O1644" s="280">
        <f t="shared" si="2154"/>
        <v>1430600</v>
      </c>
      <c r="P1644" s="280">
        <f t="shared" ref="P1644:Q1644" si="2155">P1642+P1643</f>
        <v>1466500</v>
      </c>
      <c r="Q1644" s="280">
        <f t="shared" si="2155"/>
        <v>1511200</v>
      </c>
      <c r="R1644" s="280">
        <f t="shared" ref="R1644" si="2156">R1642+R1643</f>
        <v>1514800</v>
      </c>
      <c r="S1644" s="2343">
        <f t="shared" ref="S1644" si="2157">S1642+S1643</f>
        <v>1553400</v>
      </c>
      <c r="U1644" s="34"/>
    </row>
    <row r="1645" spans="1:21" ht="13.5" thickBot="1" x14ac:dyDescent="0.25">
      <c r="A1645" s="24"/>
      <c r="B1645" s="75"/>
      <c r="C1645" s="138"/>
      <c r="D1645" s="138"/>
      <c r="E1645" s="143"/>
      <c r="F1645" s="167"/>
      <c r="G1645" s="260"/>
      <c r="H1645" s="9"/>
      <c r="I1645" s="126"/>
      <c r="J1645" s="9"/>
      <c r="K1645" s="9"/>
      <c r="L1645" s="9"/>
      <c r="M1645" s="9"/>
      <c r="N1645" s="9"/>
      <c r="O1645" s="9"/>
      <c r="P1645" s="9"/>
      <c r="Q1645" s="9"/>
      <c r="R1645" s="9"/>
      <c r="S1645" s="61"/>
    </row>
    <row r="1646" spans="1:21" x14ac:dyDescent="0.2">
      <c r="A1646" s="52"/>
      <c r="B1646" s="102"/>
      <c r="C1646" s="137"/>
      <c r="D1646" s="137"/>
      <c r="E1646" s="1473"/>
      <c r="F1646" s="2425"/>
      <c r="G1646" s="262"/>
      <c r="H1646" s="116"/>
      <c r="I1646" s="127"/>
      <c r="J1646" s="116"/>
      <c r="K1646" s="116"/>
      <c r="L1646" s="116"/>
      <c r="M1646" s="116"/>
      <c r="N1646" s="116"/>
      <c r="O1646" s="116"/>
      <c r="P1646" s="116"/>
      <c r="Q1646" s="116"/>
      <c r="R1646" s="116"/>
      <c r="S1646" s="1015"/>
    </row>
    <row r="1647" spans="1:21" x14ac:dyDescent="0.2">
      <c r="A1647" s="24"/>
      <c r="B1647" s="75"/>
      <c r="C1647" s="139"/>
      <c r="D1647" s="139"/>
      <c r="E1647" s="143"/>
      <c r="F1647" s="167"/>
      <c r="G1647" s="361" t="s">
        <v>192</v>
      </c>
      <c r="H1647" s="9"/>
      <c r="I1647" s="126"/>
      <c r="J1647" s="9"/>
      <c r="K1647" s="9"/>
      <c r="L1647" s="9"/>
      <c r="M1647" s="9"/>
      <c r="N1647" s="9"/>
      <c r="O1647" s="9"/>
      <c r="P1647" s="9"/>
      <c r="Q1647" s="9"/>
      <c r="R1647" s="9"/>
      <c r="S1647" s="61"/>
    </row>
    <row r="1648" spans="1:21" x14ac:dyDescent="0.2">
      <c r="A1648" s="24"/>
      <c r="B1648" s="75"/>
      <c r="C1648" s="139"/>
      <c r="D1648" s="139"/>
      <c r="E1648" s="143"/>
      <c r="F1648" s="167"/>
      <c r="G1648" s="260"/>
      <c r="H1648" s="9"/>
      <c r="I1648" s="126"/>
      <c r="J1648" s="9"/>
      <c r="K1648" s="9"/>
      <c r="L1648" s="9"/>
      <c r="M1648" s="9"/>
      <c r="N1648" s="9"/>
      <c r="O1648" s="9"/>
      <c r="P1648" s="9"/>
      <c r="Q1648" s="9"/>
      <c r="R1648" s="9"/>
      <c r="S1648" s="61"/>
    </row>
    <row r="1649" spans="1:21" x14ac:dyDescent="0.2">
      <c r="A1649" s="54">
        <v>31900</v>
      </c>
      <c r="B1649" s="89">
        <v>0</v>
      </c>
      <c r="C1649" s="136">
        <v>0</v>
      </c>
      <c r="D1649" s="136">
        <v>0</v>
      </c>
      <c r="E1649" s="144">
        <v>0</v>
      </c>
      <c r="F1649" s="167"/>
      <c r="G1649" s="257" t="s">
        <v>2848</v>
      </c>
      <c r="H1649" s="9">
        <v>0</v>
      </c>
      <c r="I1649" s="85">
        <f>IF(E1649=H1649,0,IF(E1649=0,100,(H1649-E1649)/E1649*100))</f>
        <v>0</v>
      </c>
      <c r="J1649" s="9">
        <v>0</v>
      </c>
      <c r="K1649" s="9">
        <v>0</v>
      </c>
      <c r="L1649" s="9">
        <v>0</v>
      </c>
      <c r="M1649" s="9">
        <v>0</v>
      </c>
      <c r="N1649" s="9">
        <v>0</v>
      </c>
      <c r="O1649" s="9">
        <v>0</v>
      </c>
      <c r="P1649" s="9">
        <v>0</v>
      </c>
      <c r="Q1649" s="9">
        <v>0</v>
      </c>
      <c r="R1649" s="9">
        <v>0</v>
      </c>
      <c r="S1649" s="61">
        <v>0</v>
      </c>
    </row>
    <row r="1650" spans="1:21" x14ac:dyDescent="0.2">
      <c r="A1650" s="54">
        <v>1201300</v>
      </c>
      <c r="B1650" s="89">
        <v>1169400</v>
      </c>
      <c r="C1650" s="89">
        <v>1266800</v>
      </c>
      <c r="D1650" s="89">
        <f>SUM('Res-Gen'!B241:B242)</f>
        <v>1423800</v>
      </c>
      <c r="E1650" s="29">
        <f>SUM('Res-Gen'!E241:E242)</f>
        <v>1256300</v>
      </c>
      <c r="F1650" s="167"/>
      <c r="G1650" s="257" t="s">
        <v>1909</v>
      </c>
      <c r="H1650" s="9">
        <f>SUM('Res-Gen'!H241:H242)</f>
        <v>1012600</v>
      </c>
      <c r="I1650" s="85">
        <f>IF(E1650=H1650,0,IF(E1650=0,100,(H1650-E1650)/E1650*100))</f>
        <v>-19.398232906152991</v>
      </c>
      <c r="J1650" s="9">
        <f>SUM('Res-Gen'!K241:K242)</f>
        <v>1264700</v>
      </c>
      <c r="K1650" s="9">
        <f>SUM('Res-Gen'!N241:N242)</f>
        <v>1299900</v>
      </c>
      <c r="L1650" s="9">
        <f>SUM('Res-Gen'!Q241:Q242)</f>
        <v>1340300</v>
      </c>
      <c r="M1650" s="9">
        <f>SUM('Res-Gen'!T241:T242)</f>
        <v>1369600</v>
      </c>
      <c r="N1650" s="9">
        <f>SUM('Res-Gen'!W241:W242)</f>
        <v>1400600</v>
      </c>
      <c r="O1650" s="9">
        <f>SUM('Res-Gen'!Z241:Z242)</f>
        <v>1430600</v>
      </c>
      <c r="P1650" s="9">
        <f>SUM('Res-Gen'!AC241:AC242)</f>
        <v>1466500</v>
      </c>
      <c r="Q1650" s="9">
        <f>SUM('Res-Gen'!AF241:AF242)</f>
        <v>1511200</v>
      </c>
      <c r="R1650" s="9">
        <f>SUM('Res-Gen'!AI241:AI242)</f>
        <v>1514800</v>
      </c>
      <c r="S1650" s="61">
        <f>SUM('Res-Gen'!AL241:AL242)</f>
        <v>1553400</v>
      </c>
    </row>
    <row r="1651" spans="1:21" x14ac:dyDescent="0.2">
      <c r="A1651" s="54">
        <v>1196000</v>
      </c>
      <c r="B1651" s="89">
        <v>1113500</v>
      </c>
      <c r="C1651" s="89">
        <v>1223200</v>
      </c>
      <c r="D1651" s="89">
        <f>SUM('Res-Gen'!C241:C242)</f>
        <v>1385100</v>
      </c>
      <c r="E1651" s="144">
        <f>SUM('Res-Gen'!F241:F242)</f>
        <v>1381400</v>
      </c>
      <c r="F1651" s="85"/>
      <c r="G1651" s="257" t="s">
        <v>2309</v>
      </c>
      <c r="H1651" s="9">
        <f>SUM('Res-Gen'!I241:I242)+'Res-Gen'!I140</f>
        <v>2064100</v>
      </c>
      <c r="I1651" s="85">
        <f>IF(E1651=H1651,0,IF(E1651=0,100,(H1651-E1651)/E1651*100))</f>
        <v>49.420877370783259</v>
      </c>
      <c r="J1651" s="9">
        <f>SUM('Res-Gen'!L241:L242)</f>
        <v>1116100</v>
      </c>
      <c r="K1651" s="9">
        <f>SUM('Res-Gen'!O241:O242)</f>
        <v>931200</v>
      </c>
      <c r="L1651" s="9">
        <f>SUM('Res-Gen'!R241:R242)</f>
        <v>1553500</v>
      </c>
      <c r="M1651" s="9">
        <f>SUM('Res-Gen'!U241:U242)</f>
        <v>1495900</v>
      </c>
      <c r="N1651" s="9">
        <f>SUM('Res-Gen'!X241:X242)</f>
        <v>1613200</v>
      </c>
      <c r="O1651" s="9">
        <f>SUM('Res-Gen'!AA241:AA242)</f>
        <v>1259500</v>
      </c>
      <c r="P1651" s="9">
        <f>SUM('Res-Gen'!AD241:AD242)</f>
        <v>1304600</v>
      </c>
      <c r="Q1651" s="9">
        <f>SUM('Res-Gen'!AG241:AG242)</f>
        <v>1028400</v>
      </c>
      <c r="R1651" s="9">
        <f>SUM('Res-Gen'!AJ241:AJ242)</f>
        <v>1522100</v>
      </c>
      <c r="S1651" s="61">
        <f>SUM('Res-Gen'!AM241:AM242)</f>
        <v>1522100</v>
      </c>
    </row>
    <row r="1652" spans="1:21" x14ac:dyDescent="0.2">
      <c r="A1652" s="54">
        <v>0</v>
      </c>
      <c r="B1652" s="89">
        <v>0</v>
      </c>
      <c r="C1652" s="136">
        <v>0</v>
      </c>
      <c r="D1652" s="136">
        <f>SUM('Cap-Gen'!R203:T203)</f>
        <v>0</v>
      </c>
      <c r="E1652" s="144">
        <f>SUM('Cap-Gen'!W203:Y203)</f>
        <v>0</v>
      </c>
      <c r="F1652" s="167"/>
      <c r="G1652" s="257" t="s">
        <v>5847</v>
      </c>
      <c r="H1652" s="9">
        <v>0</v>
      </c>
      <c r="I1652" s="85">
        <f>IF(E1652=H1652,0,IF(E1652=0,100,(H1652-E1652)/E1652*100))</f>
        <v>0</v>
      </c>
      <c r="J1652" s="9">
        <v>0</v>
      </c>
      <c r="K1652" s="9">
        <v>0</v>
      </c>
      <c r="L1652" s="9">
        <v>0</v>
      </c>
      <c r="M1652" s="9">
        <v>0</v>
      </c>
      <c r="N1652" s="9">
        <v>0</v>
      </c>
      <c r="O1652" s="9">
        <v>0</v>
      </c>
      <c r="P1652" s="9">
        <v>0</v>
      </c>
      <c r="Q1652" s="9">
        <v>0</v>
      </c>
      <c r="R1652" s="9">
        <v>0</v>
      </c>
      <c r="S1652" s="61">
        <v>0</v>
      </c>
    </row>
    <row r="1653" spans="1:21" x14ac:dyDescent="0.2">
      <c r="A1653" s="54">
        <f>1135613+600-200-13</f>
        <v>1136000</v>
      </c>
      <c r="B1653" s="89">
        <v>1164900</v>
      </c>
      <c r="C1653" s="89">
        <v>1223200</v>
      </c>
      <c r="D1653" s="89">
        <f>SUM('Cap-Gen'!E203:E203)</f>
        <v>1385100</v>
      </c>
      <c r="E1653" s="144">
        <f>SUM('Cap-Gen'!F203:F203)</f>
        <v>1381400</v>
      </c>
      <c r="F1653" s="167"/>
      <c r="G1653" s="257" t="s">
        <v>958</v>
      </c>
      <c r="H1653" s="9">
        <f>SUM('Cap-Gen'!G203:G203)</f>
        <v>2064100</v>
      </c>
      <c r="I1653" s="85">
        <f>IF(E1653=H1653,0,IF(E1653=0,100,(H1653-E1653)/E1653*100))</f>
        <v>49.420877370783259</v>
      </c>
      <c r="J1653" s="9">
        <f>SUM('Cap-Gen'!H203:H203)</f>
        <v>1116100</v>
      </c>
      <c r="K1653" s="9">
        <f>SUM('Cap-Gen'!I203:I203)</f>
        <v>931200</v>
      </c>
      <c r="L1653" s="9">
        <f>SUM('Cap-Gen'!J203:J203)</f>
        <v>1553500</v>
      </c>
      <c r="M1653" s="9">
        <f>SUM('Cap-Gen'!K203:K203)</f>
        <v>1495900</v>
      </c>
      <c r="N1653" s="9">
        <f>SUM('Cap-Gen'!L203:L203)</f>
        <v>1613200</v>
      </c>
      <c r="O1653" s="9">
        <f>SUM('Cap-Gen'!M203:M203)</f>
        <v>1259500</v>
      </c>
      <c r="P1653" s="9">
        <f>SUM('Cap-Gen'!N203:N203)</f>
        <v>1304600</v>
      </c>
      <c r="Q1653" s="9">
        <f>SUM('Cap-Gen'!O203:O203)</f>
        <v>1028400</v>
      </c>
      <c r="R1653" s="9">
        <f>SUM('Cap-Gen'!P203:P203)</f>
        <v>1522100</v>
      </c>
      <c r="S1653" s="47">
        <f>SUM('Cap-Gen'!Q203:Q203)</f>
        <v>1522100</v>
      </c>
    </row>
    <row r="1654" spans="1:21" x14ac:dyDescent="0.2">
      <c r="A1654" s="54"/>
      <c r="B1654" s="89"/>
      <c r="E1654" s="144"/>
      <c r="F1654" s="167"/>
      <c r="G1654" s="361"/>
      <c r="H1654" s="9"/>
      <c r="I1654" s="85"/>
      <c r="J1654" s="9"/>
      <c r="K1654" s="9"/>
      <c r="L1654" s="9"/>
      <c r="M1654" s="9"/>
      <c r="N1654" s="9"/>
      <c r="O1654" s="9"/>
      <c r="P1654" s="9"/>
      <c r="Q1654" s="9"/>
      <c r="R1654" s="9"/>
      <c r="S1654" s="61"/>
    </row>
    <row r="1655" spans="1:21" s="39" customFormat="1" x14ac:dyDescent="0.2">
      <c r="A1655" s="128">
        <f>A1644-A1649-A1650+A1651++A1652-A1653</f>
        <v>0</v>
      </c>
      <c r="B1655" s="266">
        <f>B1644-B1649-B1650+B1651++B1652-B1653</f>
        <v>0</v>
      </c>
      <c r="C1655" s="281">
        <f>C1644-C1649-C1650+C1651++C1652-C1653</f>
        <v>0</v>
      </c>
      <c r="D1655" s="281">
        <f>D1644-D1649-D1650+D1651++D1652-D1653</f>
        <v>-8600</v>
      </c>
      <c r="E1655" s="1513">
        <f t="shared" ref="E1655" si="2158">E1644-E1649-E1650+E1651++E1652-E1653</f>
        <v>600</v>
      </c>
      <c r="F1655" s="372"/>
      <c r="G1655" s="363" t="s">
        <v>2447</v>
      </c>
      <c r="H1655" s="280">
        <f t="shared" ref="H1655:O1655" si="2159">H1644-H1649-H1650+H1651++H1652-H1653</f>
        <v>0</v>
      </c>
      <c r="I1655" s="278">
        <f>IF(E1655=H1655,0,IF(E1655=0,100,(H1655-E1655)/E1655*100))</f>
        <v>-100</v>
      </c>
      <c r="J1655" s="280">
        <f t="shared" si="2159"/>
        <v>0</v>
      </c>
      <c r="K1655" s="280">
        <f t="shared" si="2159"/>
        <v>0</v>
      </c>
      <c r="L1655" s="280">
        <f t="shared" si="2159"/>
        <v>0</v>
      </c>
      <c r="M1655" s="280">
        <f t="shared" si="2159"/>
        <v>0</v>
      </c>
      <c r="N1655" s="280">
        <f t="shared" si="2159"/>
        <v>0</v>
      </c>
      <c r="O1655" s="280">
        <f t="shared" si="2159"/>
        <v>0</v>
      </c>
      <c r="P1655" s="280">
        <f t="shared" ref="P1655:Q1655" si="2160">P1644-P1649-P1650+P1651++P1652-P1653</f>
        <v>0</v>
      </c>
      <c r="Q1655" s="280">
        <f t="shared" si="2160"/>
        <v>0</v>
      </c>
      <c r="R1655" s="280">
        <f t="shared" ref="R1655:S1655" si="2161">R1644-R1649-R1650+R1651++R1652-R1653</f>
        <v>0</v>
      </c>
      <c r="S1655" s="282">
        <f t="shared" si="2161"/>
        <v>0</v>
      </c>
      <c r="U1655" s="34"/>
    </row>
    <row r="1656" spans="1:21" ht="13.5" thickBot="1" x14ac:dyDescent="0.25">
      <c r="A1656" s="26"/>
      <c r="B1656" s="37"/>
      <c r="C1656" s="141"/>
      <c r="D1656" s="141"/>
      <c r="E1656" s="1437"/>
      <c r="F1656" s="166"/>
      <c r="G1656" s="259"/>
      <c r="H1656" s="23"/>
      <c r="I1656" s="275"/>
      <c r="J1656" s="23"/>
      <c r="K1656" s="23"/>
      <c r="L1656" s="23"/>
      <c r="M1656" s="23"/>
      <c r="N1656" s="23"/>
      <c r="O1656" s="23"/>
      <c r="P1656" s="23"/>
      <c r="Q1656" s="23"/>
      <c r="R1656" s="23"/>
      <c r="S1656" s="112"/>
    </row>
    <row r="1657" spans="1:21" ht="13.5" thickTop="1" x14ac:dyDescent="0.2">
      <c r="A1657" s="27"/>
      <c r="B1657" s="27"/>
      <c r="C1657" s="143"/>
      <c r="D1657" s="143"/>
      <c r="E1657" s="143"/>
      <c r="F1657" s="165"/>
      <c r="G1657" s="84"/>
      <c r="I1657" s="2234"/>
    </row>
    <row r="1658" spans="1:21" ht="13.5" thickBot="1" x14ac:dyDescent="0.25">
      <c r="A1658" s="27"/>
      <c r="B1658" s="27"/>
      <c r="C1658" s="27"/>
      <c r="D1658" s="27"/>
      <c r="E1658" s="27"/>
      <c r="F1658" s="471"/>
      <c r="G1658" s="84"/>
      <c r="H1658" s="46"/>
      <c r="I1658" s="2234"/>
      <c r="J1658" s="46"/>
      <c r="K1658" s="46"/>
      <c r="L1658" s="46"/>
      <c r="M1658" s="46"/>
      <c r="N1658" s="46"/>
      <c r="O1658" s="46"/>
      <c r="P1658" s="46"/>
      <c r="Q1658" s="46"/>
      <c r="R1658" s="46"/>
      <c r="S1658" s="46"/>
    </row>
    <row r="1659" spans="1:21" s="38" customFormat="1" ht="18.75" customHeight="1" thickTop="1" thickBot="1" x14ac:dyDescent="0.3">
      <c r="A1659" s="2588" t="str">
        <f>CIV!A527</f>
        <v>RURAL FIRE SERVICE</v>
      </c>
      <c r="B1659" s="2589"/>
      <c r="C1659" s="2589"/>
      <c r="D1659" s="2589"/>
      <c r="E1659" s="2589"/>
      <c r="F1659" s="2589"/>
      <c r="G1659" s="2589"/>
      <c r="H1659" s="2589"/>
      <c r="I1659" s="2589"/>
      <c r="J1659" s="2589"/>
      <c r="K1659" s="2589"/>
      <c r="L1659" s="2589"/>
      <c r="M1659" s="2589"/>
      <c r="N1659" s="2589"/>
      <c r="O1659" s="2589"/>
      <c r="P1659" s="2589"/>
      <c r="Q1659" s="2589"/>
      <c r="R1659" s="2589"/>
      <c r="S1659" s="2590"/>
      <c r="U1659" s="34"/>
    </row>
    <row r="1660" spans="1:21" s="39" customFormat="1" ht="13.5" thickBot="1" x14ac:dyDescent="0.25">
      <c r="A1660" s="2591" t="s">
        <v>1824</v>
      </c>
      <c r="B1660" s="2577"/>
      <c r="C1660" s="2577"/>
      <c r="D1660" s="2577"/>
      <c r="E1660" s="2592"/>
      <c r="F1660" s="127" t="s">
        <v>2616</v>
      </c>
      <c r="G1660" s="127" t="s">
        <v>2213</v>
      </c>
      <c r="H1660" s="2568" t="s">
        <v>2215</v>
      </c>
      <c r="I1660" s="2568"/>
      <c r="J1660" s="2568"/>
      <c r="K1660" s="2568"/>
      <c r="L1660" s="2568"/>
      <c r="M1660" s="2568"/>
      <c r="N1660" s="2568"/>
      <c r="O1660" s="2568"/>
      <c r="P1660" s="2568"/>
      <c r="Q1660" s="2568"/>
      <c r="R1660" s="2568"/>
      <c r="S1660" s="2607"/>
      <c r="U1660" s="34"/>
    </row>
    <row r="1661" spans="1:21" ht="13.5" thickBot="1" x14ac:dyDescent="0.25">
      <c r="A1661" s="541" t="str">
        <f>DEH!A3</f>
        <v>2012/13</v>
      </c>
      <c r="B1661" s="28" t="str">
        <f>DEH!B3</f>
        <v>2013/14</v>
      </c>
      <c r="C1661" s="40" t="str">
        <f>DEH!C3</f>
        <v>2014/15</v>
      </c>
      <c r="D1661" s="40" t="str">
        <f>DEH!D3</f>
        <v>2015/16</v>
      </c>
      <c r="E1661" s="40" t="str">
        <f>DEH!E3</f>
        <v>2016/17</v>
      </c>
      <c r="F1661" s="497" t="s">
        <v>2617</v>
      </c>
      <c r="G1661" s="41"/>
      <c r="H1661" s="40" t="str">
        <f>DEH!H3</f>
        <v>2017/18</v>
      </c>
      <c r="I1661" s="1459" t="s">
        <v>492</v>
      </c>
      <c r="J1661" s="40" t="str">
        <f>DEH!J3</f>
        <v>2018/19</v>
      </c>
      <c r="K1661" s="40" t="str">
        <f>DEH!K3</f>
        <v>2019/20</v>
      </c>
      <c r="L1661" s="40" t="str">
        <f>DEH!L3</f>
        <v>2020/21</v>
      </c>
      <c r="M1661" s="40" t="str">
        <f>DEH!M3</f>
        <v>2021/22</v>
      </c>
      <c r="N1661" s="40" t="str">
        <f>DEH!N3</f>
        <v>2022/23</v>
      </c>
      <c r="O1661" s="40" t="str">
        <f>DEH!O3</f>
        <v>2023/24</v>
      </c>
      <c r="P1661" s="40" t="str">
        <f>DEH!P3</f>
        <v>2024/25</v>
      </c>
      <c r="Q1661" s="28" t="str">
        <f>DEH!Q3</f>
        <v>2025/26</v>
      </c>
      <c r="R1661" s="28" t="str">
        <f>DEH!R3</f>
        <v>2026/27</v>
      </c>
      <c r="S1661" s="1620" t="str">
        <f>DEH!S3</f>
        <v>2027/28</v>
      </c>
    </row>
    <row r="1662" spans="1:21" x14ac:dyDescent="0.2">
      <c r="A1662" s="54"/>
      <c r="B1662" s="9"/>
      <c r="C1662" s="9"/>
      <c r="D1662" s="9"/>
      <c r="E1662" s="9"/>
      <c r="F1662" s="469"/>
      <c r="G1662" s="27"/>
      <c r="H1662" s="9"/>
      <c r="I1662" s="85"/>
      <c r="J1662" s="9"/>
      <c r="K1662" s="9"/>
      <c r="L1662" s="9"/>
      <c r="M1662" s="9"/>
      <c r="N1662" s="9"/>
      <c r="O1662" s="9"/>
      <c r="P1662" s="9"/>
      <c r="Q1662" s="9"/>
      <c r="R1662" s="9"/>
      <c r="S1662" s="61"/>
    </row>
    <row r="1663" spans="1:21" x14ac:dyDescent="0.2">
      <c r="A1663" s="54"/>
      <c r="B1663" s="9"/>
      <c r="C1663" s="9"/>
      <c r="D1663" s="9"/>
      <c r="E1663" s="9"/>
      <c r="F1663" s="469"/>
      <c r="G1663" s="91" t="s">
        <v>1056</v>
      </c>
      <c r="H1663" s="9"/>
      <c r="I1663" s="85"/>
      <c r="J1663" s="9"/>
      <c r="K1663" s="9"/>
      <c r="L1663" s="9"/>
      <c r="M1663" s="9"/>
      <c r="N1663" s="9"/>
      <c r="O1663" s="9"/>
      <c r="P1663" s="9"/>
      <c r="Q1663" s="9"/>
      <c r="R1663" s="9"/>
      <c r="S1663" s="61"/>
    </row>
    <row r="1664" spans="1:21" x14ac:dyDescent="0.2">
      <c r="A1664" s="54"/>
      <c r="B1664" s="9"/>
      <c r="C1664" s="9"/>
      <c r="D1664" s="9"/>
      <c r="E1664" s="9"/>
      <c r="F1664" s="469"/>
      <c r="G1664" s="59"/>
      <c r="H1664" s="9"/>
      <c r="I1664" s="85"/>
      <c r="J1664" s="9"/>
      <c r="K1664" s="9"/>
      <c r="L1664" s="9"/>
      <c r="M1664" s="9"/>
      <c r="N1664" s="9"/>
      <c r="O1664" s="9"/>
      <c r="P1664" s="9"/>
      <c r="Q1664" s="9"/>
      <c r="R1664" s="9"/>
      <c r="S1664" s="61"/>
    </row>
    <row r="1665" spans="1:27" x14ac:dyDescent="0.2">
      <c r="A1665" s="54"/>
      <c r="B1665" s="9"/>
      <c r="C1665" s="9"/>
      <c r="D1665" s="9"/>
      <c r="E1665" s="9"/>
      <c r="F1665" s="469"/>
      <c r="G1665" s="56" t="s">
        <v>153</v>
      </c>
      <c r="H1665" s="9"/>
      <c r="I1665" s="85"/>
      <c r="J1665" s="9"/>
      <c r="K1665" s="9"/>
      <c r="L1665" s="9"/>
      <c r="M1665" s="9"/>
      <c r="N1665" s="9"/>
      <c r="O1665" s="9"/>
      <c r="P1665" s="9"/>
      <c r="Q1665" s="9"/>
      <c r="R1665" s="9"/>
      <c r="S1665" s="61"/>
    </row>
    <row r="1666" spans="1:27" x14ac:dyDescent="0.2">
      <c r="A1666" s="54">
        <v>103000</v>
      </c>
      <c r="B1666" s="9">
        <v>94000</v>
      </c>
      <c r="C1666" s="9">
        <v>96900</v>
      </c>
      <c r="D1666" s="9">
        <v>106600</v>
      </c>
      <c r="E1666" s="79">
        <v>96000</v>
      </c>
      <c r="F1666" s="469" t="s">
        <v>2003</v>
      </c>
      <c r="G1666" s="247" t="s">
        <v>918</v>
      </c>
      <c r="H1666" s="9">
        <v>97500</v>
      </c>
      <c r="I1666" s="85">
        <f>IF(E1666=H1666,0,IF(E1666=0,100,(H1666-E1666)/E1666*100))</f>
        <v>1.5625</v>
      </c>
      <c r="J1666" s="9">
        <f>ROUNDUP(H1666+(H1666*Assumptions!I$5),-2)</f>
        <v>99800</v>
      </c>
      <c r="K1666" s="9">
        <f>ROUNDUP(J1666+(J1666*Assumptions!J$5),-2)</f>
        <v>102300</v>
      </c>
      <c r="L1666" s="9">
        <f>ROUNDUP(K1666+(K1666*Assumptions!K$5),-2)</f>
        <v>104900</v>
      </c>
      <c r="M1666" s="9">
        <f>ROUNDUP(L1666+(L1666*Assumptions!L$5),-2)</f>
        <v>107600</v>
      </c>
      <c r="N1666" s="9">
        <f>ROUNDUP(M1666+(M1666*Assumptions!M$5),-2)</f>
        <v>110300</v>
      </c>
      <c r="O1666" s="9">
        <f>ROUNDUP(N1666+(N1666*Assumptions!N$5),-2)</f>
        <v>113100</v>
      </c>
      <c r="P1666" s="9">
        <f>ROUNDUP(O1666+(O1666*Assumptions!O$5),-2)</f>
        <v>116000</v>
      </c>
      <c r="Q1666" s="9">
        <f>ROUNDUP(P1666+(P1666*Assumptions!P$5),-2)</f>
        <v>118900</v>
      </c>
      <c r="R1666" s="9">
        <f>ROUNDUP(Q1666+(Q1666*Assumptions!Q$5),-2)</f>
        <v>121900</v>
      </c>
      <c r="S1666" s="47">
        <f>ROUNDUP(R1666+(R1666*Assumptions!R$5),-2)</f>
        <v>125000</v>
      </c>
      <c r="V1666" s="39"/>
    </row>
    <row r="1667" spans="1:27" x14ac:dyDescent="0.2">
      <c r="A1667" s="54">
        <v>52200</v>
      </c>
      <c r="B1667" s="9">
        <v>49500</v>
      </c>
      <c r="C1667" s="9">
        <v>63000</v>
      </c>
      <c r="D1667" s="9">
        <v>26700</v>
      </c>
      <c r="E1667" s="9">
        <v>65300</v>
      </c>
      <c r="F1667" s="469" t="s">
        <v>1384</v>
      </c>
      <c r="G1667" s="772" t="s">
        <v>3263</v>
      </c>
      <c r="H1667" s="9">
        <v>30000</v>
      </c>
      <c r="I1667" s="85">
        <f>IF(E1667=H1667,0,IF(E1667=0,100,(H1667-E1667)/E1667*100))</f>
        <v>-54.05819295558959</v>
      </c>
      <c r="J1667" s="9">
        <f>ROUNDUP(H1667+(H1667*Assumptions!I$5),-2)</f>
        <v>30700</v>
      </c>
      <c r="K1667" s="9">
        <f>ROUNDUP(J1667+(J1667*Assumptions!J$5),-2)</f>
        <v>31500</v>
      </c>
      <c r="L1667" s="9">
        <f>ROUNDUP(K1667+(K1667*Assumptions!K$5),-2)</f>
        <v>32300</v>
      </c>
      <c r="M1667" s="9">
        <f>ROUNDUP(L1667+(L1667*Assumptions!L$5),-2)</f>
        <v>33200</v>
      </c>
      <c r="N1667" s="9">
        <f>ROUNDUP(M1667+(M1667*Assumptions!M$5),-2)</f>
        <v>34100</v>
      </c>
      <c r="O1667" s="9">
        <f>ROUNDUP(N1667+(N1667*Assumptions!N$5),-2)</f>
        <v>35000</v>
      </c>
      <c r="P1667" s="9">
        <f>ROUNDUP(O1667+(O1667*Assumptions!O$5),-2)</f>
        <v>35900</v>
      </c>
      <c r="Q1667" s="9">
        <f>ROUNDUP(P1667+(P1667*Assumptions!P$5),-2)</f>
        <v>36800</v>
      </c>
      <c r="R1667" s="9">
        <f>ROUNDUP(Q1667+(Q1667*Assumptions!Q$5),-2)</f>
        <v>37800</v>
      </c>
      <c r="S1667" s="47">
        <f>ROUNDUP(R1667+(R1667*Assumptions!R$5),-2)</f>
        <v>38800</v>
      </c>
      <c r="V1667" s="39"/>
    </row>
    <row r="1668" spans="1:27" x14ac:dyDescent="0.2">
      <c r="A1668" s="54">
        <v>93300</v>
      </c>
      <c r="B1668" s="9">
        <v>18000</v>
      </c>
      <c r="C1668" s="9">
        <v>22000</v>
      </c>
      <c r="D1668" s="9">
        <v>39000</v>
      </c>
      <c r="E1668" s="9">
        <v>38800</v>
      </c>
      <c r="F1668" s="469" t="s">
        <v>1473</v>
      </c>
      <c r="G1668" s="772" t="s">
        <v>4394</v>
      </c>
      <c r="H1668" s="9">
        <f>40000+39000</f>
        <v>79000</v>
      </c>
      <c r="I1668" s="85">
        <f>IF(E1668=H1668,0,IF(E1668=0,100,(H1668-E1668)/E1668*100))</f>
        <v>103.60824742268042</v>
      </c>
      <c r="J1668" s="9">
        <f>ROUNDUP(H1668+(H1668*Assumptions!I$5),-2)</f>
        <v>80900</v>
      </c>
      <c r="K1668" s="9">
        <f>ROUNDUP(J1668+(J1668*Assumptions!J$5),-2)</f>
        <v>83000</v>
      </c>
      <c r="L1668" s="9">
        <f>ROUNDUP(K1668+(K1668*Assumptions!K$5),-2)</f>
        <v>85100</v>
      </c>
      <c r="M1668" s="9">
        <f>ROUNDUP(L1668+(L1668*Assumptions!L$5),-2)</f>
        <v>87300</v>
      </c>
      <c r="N1668" s="9">
        <f>ROUNDUP(M1668+(M1668*Assumptions!M$5),-2)</f>
        <v>89500</v>
      </c>
      <c r="O1668" s="9">
        <f>ROUNDUP(N1668+(N1668*Assumptions!N$5),-2)</f>
        <v>91800</v>
      </c>
      <c r="P1668" s="9">
        <f>ROUNDUP(O1668+(O1668*Assumptions!O$5),-2)</f>
        <v>94100</v>
      </c>
      <c r="Q1668" s="9">
        <f>ROUNDUP(P1668+(P1668*Assumptions!P$5),-2)</f>
        <v>96500</v>
      </c>
      <c r="R1668" s="9">
        <f>ROUNDUP(Q1668+(Q1668*Assumptions!Q$5),-2)</f>
        <v>99000</v>
      </c>
      <c r="S1668" s="47">
        <f>ROUNDUP(R1668+(R1668*Assumptions!R$5),-2)</f>
        <v>101500</v>
      </c>
      <c r="V1668" s="39"/>
    </row>
    <row r="1669" spans="1:27" ht="13.5" thickBot="1" x14ac:dyDescent="0.25">
      <c r="A1669" s="24"/>
      <c r="B1669" s="21"/>
      <c r="C1669" s="21"/>
      <c r="D1669" s="21"/>
      <c r="E1669" s="21"/>
      <c r="F1669" s="469"/>
      <c r="G1669" s="27"/>
      <c r="H1669" s="9"/>
      <c r="I1669" s="126"/>
      <c r="J1669" s="9"/>
      <c r="K1669" s="9"/>
      <c r="L1669" s="9"/>
      <c r="M1669" s="9"/>
      <c r="N1669" s="9"/>
      <c r="O1669" s="9"/>
      <c r="P1669" s="9"/>
      <c r="Q1669" s="9"/>
      <c r="R1669" s="9"/>
      <c r="S1669" s="47"/>
    </row>
    <row r="1670" spans="1:27" x14ac:dyDescent="0.2">
      <c r="A1670" s="52">
        <f>SUM(A1664:A1669)</f>
        <v>248500</v>
      </c>
      <c r="B1670" s="16">
        <f>SUM(B1664:B1669)</f>
        <v>161500</v>
      </c>
      <c r="C1670" s="16">
        <f>SUM(C1664:C1669)</f>
        <v>181900</v>
      </c>
      <c r="D1670" s="16">
        <f>SUM(D1664:D1669)</f>
        <v>172300</v>
      </c>
      <c r="E1670" s="16">
        <f t="shared" ref="E1670" si="2162">SUM(E1664:E1669)</f>
        <v>200100</v>
      </c>
      <c r="F1670" s="469"/>
      <c r="G1670" s="59" t="s">
        <v>2561</v>
      </c>
      <c r="H1670" s="16">
        <f t="shared" ref="H1670:O1670" si="2163">SUM(H1664:H1669)</f>
        <v>206500</v>
      </c>
      <c r="I1670" s="127">
        <f>IF(E1670=H1670,0,IF(E1670=0,100,(H1670-E1670)/E1670*100))</f>
        <v>3.1984007996001997</v>
      </c>
      <c r="J1670" s="16">
        <f t="shared" si="2163"/>
        <v>211400</v>
      </c>
      <c r="K1670" s="16">
        <f t="shared" si="2163"/>
        <v>216800</v>
      </c>
      <c r="L1670" s="16">
        <f t="shared" si="2163"/>
        <v>222300</v>
      </c>
      <c r="M1670" s="16">
        <f t="shared" si="2163"/>
        <v>228100</v>
      </c>
      <c r="N1670" s="16">
        <f t="shared" si="2163"/>
        <v>233900</v>
      </c>
      <c r="O1670" s="16">
        <f t="shared" si="2163"/>
        <v>239900</v>
      </c>
      <c r="P1670" s="16">
        <f t="shared" ref="P1670:Q1670" si="2164">SUM(P1664:P1669)</f>
        <v>246000</v>
      </c>
      <c r="Q1670" s="16">
        <f t="shared" si="2164"/>
        <v>252200</v>
      </c>
      <c r="R1670" s="16">
        <f t="shared" ref="R1670" si="2165">SUM(R1664:R1669)</f>
        <v>258700</v>
      </c>
      <c r="S1670" s="2342">
        <f t="shared" ref="S1670" si="2166">SUM(S1664:S1669)</f>
        <v>265300</v>
      </c>
    </row>
    <row r="1671" spans="1:27" x14ac:dyDescent="0.2">
      <c r="A1671" s="54"/>
      <c r="B1671" s="9"/>
      <c r="C1671" s="9"/>
      <c r="D1671" s="9"/>
      <c r="E1671" s="9"/>
      <c r="F1671" s="469"/>
      <c r="G1671" s="59"/>
      <c r="H1671" s="9"/>
      <c r="I1671" s="85"/>
      <c r="J1671" s="9"/>
      <c r="K1671" s="9"/>
      <c r="L1671" s="9"/>
      <c r="M1671" s="9"/>
      <c r="N1671" s="9"/>
      <c r="O1671" s="9"/>
      <c r="P1671" s="9"/>
      <c r="Q1671" s="9"/>
      <c r="R1671" s="9"/>
      <c r="S1671" s="47"/>
    </row>
    <row r="1672" spans="1:27" x14ac:dyDescent="0.2">
      <c r="A1672" s="54"/>
      <c r="B1672" s="9"/>
      <c r="C1672" s="9"/>
      <c r="D1672" s="9"/>
      <c r="E1672" s="9"/>
      <c r="F1672" s="469"/>
      <c r="G1672" s="91" t="s">
        <v>2169</v>
      </c>
      <c r="H1672" s="9"/>
      <c r="I1672" s="85"/>
      <c r="J1672" s="9"/>
      <c r="K1672" s="9"/>
      <c r="L1672" s="9"/>
      <c r="M1672" s="9"/>
      <c r="N1672" s="9"/>
      <c r="O1672" s="9"/>
      <c r="P1672" s="9"/>
      <c r="Q1672" s="9"/>
      <c r="R1672" s="9"/>
      <c r="S1672" s="47"/>
    </row>
    <row r="1673" spans="1:27" x14ac:dyDescent="0.2">
      <c r="A1673" s="54"/>
      <c r="B1673" s="9"/>
      <c r="C1673" s="9"/>
      <c r="D1673" s="9"/>
      <c r="E1673" s="9"/>
      <c r="F1673" s="469"/>
      <c r="G1673" s="91"/>
      <c r="H1673" s="9"/>
      <c r="I1673" s="85"/>
      <c r="J1673" s="9"/>
      <c r="K1673" s="9"/>
      <c r="L1673" s="9"/>
      <c r="M1673" s="9"/>
      <c r="N1673" s="9"/>
      <c r="O1673" s="9"/>
      <c r="P1673" s="9"/>
      <c r="Q1673" s="9"/>
      <c r="R1673" s="9"/>
      <c r="S1673" s="47"/>
    </row>
    <row r="1674" spans="1:27" s="39" customFormat="1" x14ac:dyDescent="0.2">
      <c r="A1674" s="54"/>
      <c r="B1674" s="9"/>
      <c r="C1674" s="9"/>
      <c r="D1674" s="9"/>
      <c r="E1674" s="9"/>
      <c r="F1674" s="469"/>
      <c r="G1674" s="27" t="s">
        <v>1460</v>
      </c>
      <c r="H1674" s="9"/>
      <c r="I1674" s="85"/>
      <c r="J1674" s="9"/>
      <c r="K1674" s="9"/>
      <c r="L1674" s="9"/>
      <c r="M1674" s="9"/>
      <c r="N1674" s="9"/>
      <c r="O1674" s="9"/>
      <c r="P1674" s="9"/>
      <c r="Q1674" s="9"/>
      <c r="R1674" s="9"/>
      <c r="S1674" s="47"/>
      <c r="T1674" s="34"/>
      <c r="U1674" s="34"/>
    </row>
    <row r="1675" spans="1:27" s="39" customFormat="1" x14ac:dyDescent="0.2">
      <c r="A1675" s="54">
        <v>49600</v>
      </c>
      <c r="B1675" s="9">
        <v>50700</v>
      </c>
      <c r="C1675" s="9">
        <v>50600</v>
      </c>
      <c r="D1675" s="9">
        <v>52500</v>
      </c>
      <c r="E1675" s="9">
        <v>53500</v>
      </c>
      <c r="F1675" s="469" t="s">
        <v>542</v>
      </c>
      <c r="G1675" s="46" t="s">
        <v>1336</v>
      </c>
      <c r="H1675" s="9">
        <f>54400+1000</f>
        <v>55400</v>
      </c>
      <c r="I1675" s="85">
        <f>IF(E1675=H1675,0,IF(E1675=0,100,(H1675-E1675)/E1675*100))</f>
        <v>3.5514018691588789</v>
      </c>
      <c r="J1675" s="9">
        <f>ROUNDUP(H1675+(H1675*Assumptions!I$5),-2)</f>
        <v>56700</v>
      </c>
      <c r="K1675" s="9">
        <f>ROUNDUP(J1675+(J1675*Assumptions!J$5),-2)</f>
        <v>58200</v>
      </c>
      <c r="L1675" s="9">
        <f>ROUNDUP(K1675+(K1675*Assumptions!K$5),-2)</f>
        <v>59700</v>
      </c>
      <c r="M1675" s="9">
        <f>ROUNDUP(L1675+(L1675*Assumptions!L$5),-2)</f>
        <v>61200</v>
      </c>
      <c r="N1675" s="9">
        <f>ROUNDUP(M1675+(M1675*Assumptions!M$5),-2)</f>
        <v>62800</v>
      </c>
      <c r="O1675" s="9">
        <f>ROUNDUP(N1675+(N1675*Assumptions!N$5),-2)</f>
        <v>64400</v>
      </c>
      <c r="P1675" s="9">
        <f>ROUNDUP(O1675+(O1675*Assumptions!O$5),-2)</f>
        <v>66100</v>
      </c>
      <c r="Q1675" s="9">
        <f>ROUNDUP(P1675+(P1675*Assumptions!P$5),-2)</f>
        <v>67800</v>
      </c>
      <c r="R1675" s="9">
        <f>ROUNDUP(Q1675+(Q1675*Assumptions!Q$5),-2)</f>
        <v>69500</v>
      </c>
      <c r="S1675" s="47">
        <f>ROUNDUP(R1675+(R1675*Assumptions!R$5),-2)</f>
        <v>71300</v>
      </c>
      <c r="T1675" s="34"/>
      <c r="U1675" s="34"/>
      <c r="W1675" s="34"/>
      <c r="X1675" s="34"/>
      <c r="Y1675" s="34"/>
      <c r="Z1675" s="34"/>
      <c r="AA1675" s="34"/>
    </row>
    <row r="1676" spans="1:27" s="39" customFormat="1" x14ac:dyDescent="0.2">
      <c r="A1676" s="54">
        <v>137700</v>
      </c>
      <c r="B1676" s="9">
        <v>194100</v>
      </c>
      <c r="C1676" s="9">
        <v>111800</v>
      </c>
      <c r="D1676" s="9">
        <f>194000-74000</f>
        <v>120000</v>
      </c>
      <c r="E1676" s="9">
        <v>154600</v>
      </c>
      <c r="F1676" s="469" t="s">
        <v>543</v>
      </c>
      <c r="G1676" s="46" t="s">
        <v>315</v>
      </c>
      <c r="H1676" s="9">
        <f>157000+2000</f>
        <v>159000</v>
      </c>
      <c r="I1676" s="85">
        <f>IF(E1676=H1676,0,IF(E1676=0,100,(H1676-E1676)/E1676*100))</f>
        <v>2.8460543337645539</v>
      </c>
      <c r="J1676" s="9">
        <f>ROUNDUP(H1676+(H1676*Assumptions!I$5),-2)</f>
        <v>162700</v>
      </c>
      <c r="K1676" s="9">
        <f>ROUNDUP(J1676+(J1676*Assumptions!J$5),-2)</f>
        <v>166800</v>
      </c>
      <c r="L1676" s="9">
        <f>ROUNDUP(K1676+(K1676*Assumptions!K$5),-2)</f>
        <v>171000</v>
      </c>
      <c r="M1676" s="9">
        <f>ROUNDUP(L1676+(L1676*Assumptions!L$5),-2)</f>
        <v>175300</v>
      </c>
      <c r="N1676" s="9">
        <f>ROUNDUP(M1676+(M1676*Assumptions!M$5),-2)</f>
        <v>179700</v>
      </c>
      <c r="O1676" s="9">
        <f>ROUNDUP(N1676+(N1676*Assumptions!N$5),-2)</f>
        <v>184200</v>
      </c>
      <c r="P1676" s="9">
        <f>ROUNDUP(O1676+(O1676*Assumptions!O$5),-2)</f>
        <v>188900</v>
      </c>
      <c r="Q1676" s="9">
        <f>ROUNDUP(P1676+(P1676*Assumptions!P$5),-2)</f>
        <v>193700</v>
      </c>
      <c r="R1676" s="9">
        <f>ROUNDUP(Q1676+(Q1676*Assumptions!Q$5),-2)</f>
        <v>198600</v>
      </c>
      <c r="S1676" s="47">
        <f>ROUNDUP(R1676+(R1676*Assumptions!R$5),-2)</f>
        <v>203600</v>
      </c>
      <c r="T1676" s="34"/>
      <c r="U1676" s="34"/>
      <c r="W1676" s="34"/>
      <c r="X1676" s="34"/>
      <c r="Y1676" s="34"/>
      <c r="Z1676" s="34"/>
      <c r="AA1676" s="34"/>
    </row>
    <row r="1677" spans="1:27" s="39" customFormat="1" x14ac:dyDescent="0.2">
      <c r="A1677" s="54"/>
      <c r="B1677" s="9"/>
      <c r="C1677" s="9"/>
      <c r="D1677" s="9"/>
      <c r="E1677" s="9"/>
      <c r="F1677" s="469"/>
      <c r="G1677" s="46"/>
      <c r="H1677" s="9"/>
      <c r="I1677" s="85"/>
      <c r="J1677" s="9"/>
      <c r="K1677" s="9"/>
      <c r="L1677" s="9"/>
      <c r="M1677" s="9"/>
      <c r="N1677" s="9"/>
      <c r="O1677" s="9"/>
      <c r="P1677" s="9"/>
      <c r="Q1677" s="9"/>
      <c r="R1677" s="9"/>
      <c r="S1677" s="47"/>
      <c r="T1677" s="34"/>
      <c r="U1677" s="34"/>
    </row>
    <row r="1678" spans="1:27" s="39" customFormat="1" x14ac:dyDescent="0.2">
      <c r="A1678" s="54"/>
      <c r="B1678" s="9"/>
      <c r="C1678" s="9"/>
      <c r="D1678" s="9"/>
      <c r="E1678" s="9"/>
      <c r="F1678" s="469"/>
      <c r="G1678" s="27" t="s">
        <v>1263</v>
      </c>
      <c r="H1678" s="9"/>
      <c r="I1678" s="85"/>
      <c r="J1678" s="9"/>
      <c r="K1678" s="9"/>
      <c r="L1678" s="9"/>
      <c r="M1678" s="9"/>
      <c r="N1678" s="9"/>
      <c r="O1678" s="9"/>
      <c r="P1678" s="9"/>
      <c r="Q1678" s="9"/>
      <c r="R1678" s="9"/>
      <c r="S1678" s="47"/>
      <c r="T1678" s="34"/>
      <c r="U1678" s="34"/>
    </row>
    <row r="1679" spans="1:27" s="39" customFormat="1" x14ac:dyDescent="0.2">
      <c r="A1679" s="54">
        <v>9100</v>
      </c>
      <c r="B1679" s="9">
        <v>6400</v>
      </c>
      <c r="C1679" s="9">
        <v>5400</v>
      </c>
      <c r="D1679" s="9">
        <v>2800</v>
      </c>
      <c r="E1679" s="9">
        <v>4100</v>
      </c>
      <c r="F1679" s="469" t="s">
        <v>2847</v>
      </c>
      <c r="G1679" s="46" t="s">
        <v>708</v>
      </c>
      <c r="H1679" s="9">
        <f>10200-4000</f>
        <v>6200</v>
      </c>
      <c r="I1679" s="85">
        <f t="shared" ref="I1679:I1687" si="2167">IF(E1679=H1679,0,IF(E1679=0,100,(H1679-E1679)/E1679*100))</f>
        <v>51.219512195121951</v>
      </c>
      <c r="J1679" s="9">
        <f>ROUNDUP(H1679+(H1679*Assumptions!I$5),-2)</f>
        <v>6400</v>
      </c>
      <c r="K1679" s="9">
        <f>ROUNDUP(J1679+(J1679*Assumptions!J$5),-2)</f>
        <v>6600</v>
      </c>
      <c r="L1679" s="9">
        <f>ROUNDUP(K1679+(K1679*Assumptions!K$5),-2)</f>
        <v>6800</v>
      </c>
      <c r="M1679" s="9">
        <f>ROUNDUP(L1679+(L1679*Assumptions!L$5),-2)</f>
        <v>7000</v>
      </c>
      <c r="N1679" s="9">
        <f>ROUNDUP(M1679+(M1679*Assumptions!M$5),-2)</f>
        <v>7200</v>
      </c>
      <c r="O1679" s="9">
        <f>ROUNDUP(N1679+(N1679*Assumptions!N$5),-2)</f>
        <v>7400</v>
      </c>
      <c r="P1679" s="9">
        <f>ROUNDUP(O1679+(O1679*Assumptions!O$5),-2)</f>
        <v>7600</v>
      </c>
      <c r="Q1679" s="9">
        <f>ROUNDUP(P1679+(P1679*Assumptions!P$5),-2)</f>
        <v>7800</v>
      </c>
      <c r="R1679" s="9">
        <f>ROUNDUP(Q1679+(Q1679*Assumptions!Q$5),-2)</f>
        <v>8000</v>
      </c>
      <c r="S1679" s="47">
        <f>ROUNDUP(R1679+(R1679*Assumptions!R$5),-2)</f>
        <v>8200</v>
      </c>
      <c r="T1679" s="34"/>
      <c r="U1679" s="34"/>
      <c r="W1679" s="34"/>
      <c r="X1679" s="34"/>
      <c r="Y1679" s="34"/>
      <c r="Z1679" s="34"/>
      <c r="AA1679" s="34"/>
    </row>
    <row r="1680" spans="1:27" s="39" customFormat="1" x14ac:dyDescent="0.2">
      <c r="A1680" s="54">
        <v>0</v>
      </c>
      <c r="B1680" s="9">
        <v>0</v>
      </c>
      <c r="C1680" s="9">
        <v>5000</v>
      </c>
      <c r="D1680" s="9">
        <v>4200</v>
      </c>
      <c r="E1680" s="9">
        <v>13900</v>
      </c>
      <c r="F1680" s="769" t="s">
        <v>4731</v>
      </c>
      <c r="G1680" s="31" t="s">
        <v>4732</v>
      </c>
      <c r="H1680" s="9">
        <f>10200+7200</f>
        <v>17400</v>
      </c>
      <c r="I1680" s="85">
        <f t="shared" si="2167"/>
        <v>25.179856115107913</v>
      </c>
      <c r="J1680" s="9">
        <f>ROUNDUP(H1680+(H1680*Assumptions!I$5),-2)</f>
        <v>17900</v>
      </c>
      <c r="K1680" s="9">
        <f>ROUNDUP(J1680+(J1680*Assumptions!J$5),-2)</f>
        <v>18400</v>
      </c>
      <c r="L1680" s="9">
        <f>ROUNDUP(K1680+(K1680*Assumptions!K$5),-2)</f>
        <v>18900</v>
      </c>
      <c r="M1680" s="9">
        <f>ROUNDUP(L1680+(L1680*Assumptions!L$5),-2)</f>
        <v>19400</v>
      </c>
      <c r="N1680" s="9">
        <f>ROUNDUP(M1680+(M1680*Assumptions!M$5),-2)</f>
        <v>19900</v>
      </c>
      <c r="O1680" s="9">
        <f>ROUNDUP(N1680+(N1680*Assumptions!N$5),-2)</f>
        <v>20400</v>
      </c>
      <c r="P1680" s="9">
        <f>ROUNDUP(O1680+(O1680*Assumptions!O$5),-2)</f>
        <v>21000</v>
      </c>
      <c r="Q1680" s="9">
        <f>ROUNDUP(P1680+(P1680*Assumptions!P$5),-2)</f>
        <v>21600</v>
      </c>
      <c r="R1680" s="9">
        <f>ROUNDUP(Q1680+(Q1680*Assumptions!Q$5),-2)</f>
        <v>22200</v>
      </c>
      <c r="S1680" s="47">
        <f>ROUNDUP(R1680+(R1680*Assumptions!R$5),-2)</f>
        <v>22800</v>
      </c>
      <c r="T1680" s="34"/>
      <c r="U1680" s="34"/>
      <c r="W1680" s="34"/>
      <c r="X1680" s="34"/>
      <c r="Y1680" s="34"/>
      <c r="Z1680" s="34"/>
      <c r="AA1680" s="34"/>
    </row>
    <row r="1681" spans="1:27" s="39" customFormat="1" x14ac:dyDescent="0.2">
      <c r="A1681" s="54">
        <v>14000</v>
      </c>
      <c r="B1681" s="9">
        <v>26100</v>
      </c>
      <c r="C1681" s="9">
        <v>28700</v>
      </c>
      <c r="D1681" s="9">
        <v>18600</v>
      </c>
      <c r="E1681" s="9">
        <v>10400</v>
      </c>
      <c r="F1681" s="469" t="s">
        <v>544</v>
      </c>
      <c r="G1681" s="46" t="s">
        <v>554</v>
      </c>
      <c r="H1681" s="9">
        <f>18300-3000</f>
        <v>15300</v>
      </c>
      <c r="I1681" s="85">
        <f t="shared" si="2167"/>
        <v>47.115384615384613</v>
      </c>
      <c r="J1681" s="9">
        <f>ROUNDUP(H1681+(H1681*Assumptions!I$5),-2)</f>
        <v>15700</v>
      </c>
      <c r="K1681" s="9">
        <f>ROUNDUP(J1681+(J1681*Assumptions!J$5),-2)</f>
        <v>16100</v>
      </c>
      <c r="L1681" s="9">
        <f>ROUNDUP(K1681+(K1681*Assumptions!K$5),-2)</f>
        <v>16600</v>
      </c>
      <c r="M1681" s="9">
        <f>ROUNDUP(L1681+(L1681*Assumptions!L$5),-2)</f>
        <v>17100</v>
      </c>
      <c r="N1681" s="9">
        <f>ROUNDUP(M1681+(M1681*Assumptions!M$5),-2)</f>
        <v>17600</v>
      </c>
      <c r="O1681" s="9">
        <f>ROUNDUP(N1681+(N1681*Assumptions!N$5),-2)</f>
        <v>18100</v>
      </c>
      <c r="P1681" s="9">
        <f>ROUNDUP(O1681+(O1681*Assumptions!O$5),-2)</f>
        <v>18600</v>
      </c>
      <c r="Q1681" s="9">
        <f>ROUNDUP(P1681+(P1681*Assumptions!P$5),-2)</f>
        <v>19100</v>
      </c>
      <c r="R1681" s="9">
        <f>ROUNDUP(Q1681+(Q1681*Assumptions!Q$5),-2)</f>
        <v>19600</v>
      </c>
      <c r="S1681" s="47">
        <f>ROUNDUP(R1681+(R1681*Assumptions!R$5),-2)</f>
        <v>20100</v>
      </c>
      <c r="T1681" s="34"/>
      <c r="U1681" s="34"/>
      <c r="W1681" s="34"/>
      <c r="X1681" s="34"/>
      <c r="Y1681" s="34"/>
      <c r="Z1681" s="34"/>
      <c r="AA1681" s="34"/>
    </row>
    <row r="1682" spans="1:27" s="39" customFormat="1" x14ac:dyDescent="0.2">
      <c r="A1682" s="54">
        <v>10700</v>
      </c>
      <c r="B1682" s="9">
        <v>11600</v>
      </c>
      <c r="C1682" s="9">
        <v>13600</v>
      </c>
      <c r="D1682" s="9">
        <v>12300</v>
      </c>
      <c r="E1682" s="9">
        <v>13300</v>
      </c>
      <c r="F1682" s="469" t="s">
        <v>545</v>
      </c>
      <c r="G1682" s="46" t="s">
        <v>1337</v>
      </c>
      <c r="H1682" s="9">
        <f>18300-2000</f>
        <v>16300</v>
      </c>
      <c r="I1682" s="85">
        <f t="shared" si="2167"/>
        <v>22.556390977443609</v>
      </c>
      <c r="J1682" s="9">
        <f>ROUNDUP(H1682+(H1682*Assumptions!I$5),-2)</f>
        <v>16700</v>
      </c>
      <c r="K1682" s="9">
        <f>ROUNDUP(J1682+(J1682*Assumptions!J$5),-2)</f>
        <v>17200</v>
      </c>
      <c r="L1682" s="9">
        <f>ROUNDUP(K1682+(K1682*Assumptions!K$5),-2)</f>
        <v>17700</v>
      </c>
      <c r="M1682" s="9">
        <f>ROUNDUP(L1682+(L1682*Assumptions!L$5),-2)</f>
        <v>18200</v>
      </c>
      <c r="N1682" s="9">
        <f>ROUNDUP(M1682+(M1682*Assumptions!M$5),-2)</f>
        <v>18700</v>
      </c>
      <c r="O1682" s="9">
        <f>ROUNDUP(N1682+(N1682*Assumptions!N$5),-2)</f>
        <v>19200</v>
      </c>
      <c r="P1682" s="9">
        <f>ROUNDUP(O1682+(O1682*Assumptions!O$5),-2)</f>
        <v>19700</v>
      </c>
      <c r="Q1682" s="9">
        <f>ROUNDUP(P1682+(P1682*Assumptions!P$5),-2)</f>
        <v>20200</v>
      </c>
      <c r="R1682" s="9">
        <f>ROUNDUP(Q1682+(Q1682*Assumptions!Q$5),-2)</f>
        <v>20800</v>
      </c>
      <c r="S1682" s="47">
        <f>ROUNDUP(R1682+(R1682*Assumptions!R$5),-2)</f>
        <v>21400</v>
      </c>
      <c r="T1682" s="34"/>
      <c r="U1682" s="34"/>
      <c r="W1682" s="34"/>
      <c r="X1682" s="34"/>
      <c r="Y1682" s="34"/>
      <c r="Z1682" s="34"/>
      <c r="AA1682" s="34"/>
    </row>
    <row r="1683" spans="1:27" s="39" customFormat="1" x14ac:dyDescent="0.2">
      <c r="A1683" s="54">
        <v>11800</v>
      </c>
      <c r="B1683" s="9">
        <v>11800</v>
      </c>
      <c r="C1683" s="9">
        <v>10400</v>
      </c>
      <c r="D1683" s="9">
        <v>7300</v>
      </c>
      <c r="E1683" s="9">
        <v>9300</v>
      </c>
      <c r="F1683" s="469" t="s">
        <v>206</v>
      </c>
      <c r="G1683" s="46" t="s">
        <v>1281</v>
      </c>
      <c r="H1683" s="9">
        <f>13800-3000</f>
        <v>10800</v>
      </c>
      <c r="I1683" s="85">
        <f t="shared" si="2167"/>
        <v>16.129032258064516</v>
      </c>
      <c r="J1683" s="9">
        <f>ROUNDUP(H1683+(H1683*Assumptions!I$5),-2)</f>
        <v>11100</v>
      </c>
      <c r="K1683" s="9">
        <f>ROUNDUP(J1683+(J1683*Assumptions!J$5),-2)</f>
        <v>11400</v>
      </c>
      <c r="L1683" s="9">
        <f>ROUNDUP(K1683+(K1683*Assumptions!K$5),-2)</f>
        <v>11700</v>
      </c>
      <c r="M1683" s="9">
        <f>ROUNDUP(L1683+(L1683*Assumptions!L$5),-2)</f>
        <v>12000</v>
      </c>
      <c r="N1683" s="9">
        <f>ROUNDUP(M1683+(M1683*Assumptions!M$5),-2)</f>
        <v>12300</v>
      </c>
      <c r="O1683" s="9">
        <f>ROUNDUP(N1683+(N1683*Assumptions!N$5),-2)</f>
        <v>12700</v>
      </c>
      <c r="P1683" s="9">
        <f>ROUNDUP(O1683+(O1683*Assumptions!O$5),-2)</f>
        <v>13100</v>
      </c>
      <c r="Q1683" s="9">
        <f>ROUNDUP(P1683+(P1683*Assumptions!P$5),-2)</f>
        <v>13500</v>
      </c>
      <c r="R1683" s="9">
        <f>ROUNDUP(Q1683+(Q1683*Assumptions!Q$5),-2)</f>
        <v>13900</v>
      </c>
      <c r="S1683" s="47">
        <f>ROUNDUP(R1683+(R1683*Assumptions!R$5),-2)</f>
        <v>14300</v>
      </c>
      <c r="T1683" s="34"/>
      <c r="U1683" s="34"/>
      <c r="W1683" s="34"/>
      <c r="X1683" s="34"/>
      <c r="Y1683" s="34"/>
      <c r="Z1683" s="34"/>
      <c r="AA1683" s="34"/>
    </row>
    <row r="1684" spans="1:27" s="39" customFormat="1" x14ac:dyDescent="0.2">
      <c r="A1684" s="54">
        <v>28300</v>
      </c>
      <c r="B1684" s="9">
        <v>17100</v>
      </c>
      <c r="C1684" s="9">
        <v>13200</v>
      </c>
      <c r="D1684" s="9">
        <v>23900</v>
      </c>
      <c r="E1684" s="9">
        <v>21100</v>
      </c>
      <c r="F1684" s="469" t="s">
        <v>1799</v>
      </c>
      <c r="G1684" s="31" t="s">
        <v>3264</v>
      </c>
      <c r="H1684" s="9">
        <f>16300-3000</f>
        <v>13300</v>
      </c>
      <c r="I1684" s="85">
        <f t="shared" si="2167"/>
        <v>-36.96682464454976</v>
      </c>
      <c r="J1684" s="9">
        <f>ROUNDUP(H1684+(H1684*Assumptions!I$5),-2)</f>
        <v>13700</v>
      </c>
      <c r="K1684" s="9">
        <f>ROUNDUP(J1684+(J1684*Assumptions!J$5),-2)</f>
        <v>14100</v>
      </c>
      <c r="L1684" s="9">
        <f>ROUNDUP(K1684+(K1684*Assumptions!K$5),-2)</f>
        <v>14500</v>
      </c>
      <c r="M1684" s="9">
        <f>ROUNDUP(L1684+(L1684*Assumptions!L$5),-2)</f>
        <v>14900</v>
      </c>
      <c r="N1684" s="9">
        <f>ROUNDUP(M1684+(M1684*Assumptions!M$5),-2)</f>
        <v>15300</v>
      </c>
      <c r="O1684" s="9">
        <f>ROUNDUP(N1684+(N1684*Assumptions!N$5),-2)</f>
        <v>15700</v>
      </c>
      <c r="P1684" s="9">
        <f>ROUNDUP(O1684+(O1684*Assumptions!O$5),-2)</f>
        <v>16100</v>
      </c>
      <c r="Q1684" s="9">
        <f>ROUNDUP(P1684+(P1684*Assumptions!P$5),-2)</f>
        <v>16600</v>
      </c>
      <c r="R1684" s="9">
        <f>ROUNDUP(Q1684+(Q1684*Assumptions!Q$5),-2)</f>
        <v>17100</v>
      </c>
      <c r="S1684" s="47">
        <f>ROUNDUP(R1684+(R1684*Assumptions!R$5),-2)</f>
        <v>17600</v>
      </c>
      <c r="T1684" s="34"/>
      <c r="U1684" s="34"/>
      <c r="W1684" s="34"/>
      <c r="X1684" s="34"/>
      <c r="Y1684" s="34"/>
      <c r="Z1684" s="34"/>
      <c r="AA1684" s="34"/>
    </row>
    <row r="1685" spans="1:27" s="39" customFormat="1" x14ac:dyDescent="0.2">
      <c r="A1685" s="54">
        <v>6400</v>
      </c>
      <c r="B1685" s="9">
        <v>1000</v>
      </c>
      <c r="C1685" s="9">
        <v>2000</v>
      </c>
      <c r="D1685" s="9">
        <v>1200</v>
      </c>
      <c r="E1685" s="9">
        <v>900</v>
      </c>
      <c r="F1685" s="469" t="s">
        <v>171</v>
      </c>
      <c r="G1685" s="46" t="s">
        <v>2145</v>
      </c>
      <c r="H1685" s="9">
        <v>8200</v>
      </c>
      <c r="I1685" s="85">
        <f t="shared" si="2167"/>
        <v>811.11111111111109</v>
      </c>
      <c r="J1685" s="9">
        <f>ROUNDUP(H1685+(H1685*Assumptions!I$5),-2)</f>
        <v>8400</v>
      </c>
      <c r="K1685" s="9">
        <f>ROUNDUP(J1685+(J1685*Assumptions!J$5),-2)</f>
        <v>8700</v>
      </c>
      <c r="L1685" s="9">
        <f>ROUNDUP(K1685+(K1685*Assumptions!K$5),-2)</f>
        <v>9000</v>
      </c>
      <c r="M1685" s="9">
        <f>ROUNDUP(L1685+(L1685*Assumptions!L$5),-2)</f>
        <v>9300</v>
      </c>
      <c r="N1685" s="9">
        <f>ROUNDUP(M1685+(M1685*Assumptions!M$5),-2)</f>
        <v>9600</v>
      </c>
      <c r="O1685" s="9">
        <f>ROUNDUP(N1685+(N1685*Assumptions!N$5),-2)</f>
        <v>9900</v>
      </c>
      <c r="P1685" s="9">
        <f>ROUNDUP(O1685+(O1685*Assumptions!O$5),-2)</f>
        <v>10200</v>
      </c>
      <c r="Q1685" s="9">
        <f>ROUNDUP(P1685+(P1685*Assumptions!P$5),-2)</f>
        <v>10500</v>
      </c>
      <c r="R1685" s="9">
        <f>ROUNDUP(Q1685+(Q1685*Assumptions!Q$5),-2)</f>
        <v>10800</v>
      </c>
      <c r="S1685" s="47">
        <f>ROUNDUP(R1685+(R1685*Assumptions!R$5),-2)</f>
        <v>11100</v>
      </c>
      <c r="T1685" s="34"/>
      <c r="U1685" s="34"/>
      <c r="W1685" s="34"/>
      <c r="X1685" s="34"/>
      <c r="Y1685" s="34"/>
      <c r="Z1685" s="34"/>
      <c r="AA1685" s="34"/>
    </row>
    <row r="1686" spans="1:27" s="39" customFormat="1" x14ac:dyDescent="0.2">
      <c r="A1686" s="54">
        <v>6200</v>
      </c>
      <c r="B1686" s="9">
        <v>400</v>
      </c>
      <c r="C1686" s="9">
        <v>0</v>
      </c>
      <c r="D1686" s="9">
        <v>5100</v>
      </c>
      <c r="E1686" s="9">
        <v>10800</v>
      </c>
      <c r="F1686" s="469" t="s">
        <v>172</v>
      </c>
      <c r="G1686" s="46" t="s">
        <v>109</v>
      </c>
      <c r="H1686" s="9">
        <f>5100+8200</f>
        <v>13300</v>
      </c>
      <c r="I1686" s="85">
        <f t="shared" si="2167"/>
        <v>23.148148148148149</v>
      </c>
      <c r="J1686" s="9">
        <f>ROUNDUP(H1686+(H1686*Assumptions!I$5),-2)</f>
        <v>13700</v>
      </c>
      <c r="K1686" s="9">
        <f>ROUNDUP(J1686+(J1686*Assumptions!J$5),-2)</f>
        <v>14100</v>
      </c>
      <c r="L1686" s="9">
        <f>ROUNDUP(K1686+(K1686*Assumptions!K$5),-2)</f>
        <v>14500</v>
      </c>
      <c r="M1686" s="9">
        <f>ROUNDUP(L1686+(L1686*Assumptions!L$5),-2)</f>
        <v>14900</v>
      </c>
      <c r="N1686" s="9">
        <f>ROUNDUP(M1686+(M1686*Assumptions!M$5),-2)</f>
        <v>15300</v>
      </c>
      <c r="O1686" s="9">
        <f>ROUNDUP(N1686+(N1686*Assumptions!N$5),-2)</f>
        <v>15700</v>
      </c>
      <c r="P1686" s="9">
        <f>ROUNDUP(O1686+(O1686*Assumptions!O$5),-2)</f>
        <v>16100</v>
      </c>
      <c r="Q1686" s="9">
        <f>ROUNDUP(P1686+(P1686*Assumptions!P$5),-2)</f>
        <v>16600</v>
      </c>
      <c r="R1686" s="9">
        <f>ROUNDUP(Q1686+(Q1686*Assumptions!Q$5),-2)</f>
        <v>17100</v>
      </c>
      <c r="S1686" s="47">
        <f>ROUNDUP(R1686+(R1686*Assumptions!R$5),-2)</f>
        <v>17600</v>
      </c>
      <c r="T1686" s="34"/>
      <c r="U1686" s="34"/>
      <c r="W1686" s="34"/>
      <c r="X1686" s="34"/>
      <c r="Y1686" s="34"/>
      <c r="Z1686" s="34"/>
      <c r="AA1686" s="34"/>
    </row>
    <row r="1687" spans="1:27" s="39" customFormat="1" x14ac:dyDescent="0.2">
      <c r="A1687" s="54">
        <v>8900</v>
      </c>
      <c r="B1687" s="9">
        <v>4900</v>
      </c>
      <c r="C1687" s="9">
        <v>4700</v>
      </c>
      <c r="D1687" s="9">
        <v>5100</v>
      </c>
      <c r="E1687" s="9">
        <v>4300</v>
      </c>
      <c r="F1687" s="469" t="s">
        <v>2846</v>
      </c>
      <c r="G1687" s="46" t="s">
        <v>2146</v>
      </c>
      <c r="H1687" s="9">
        <v>8700</v>
      </c>
      <c r="I1687" s="85">
        <f t="shared" si="2167"/>
        <v>102.32558139534885</v>
      </c>
      <c r="J1687" s="9">
        <f>ROUNDUP(H1687+(H1687*Assumptions!I$5),-2)</f>
        <v>9000</v>
      </c>
      <c r="K1687" s="9">
        <f>ROUNDUP(J1687+(J1687*Assumptions!J$5),-2)</f>
        <v>9300</v>
      </c>
      <c r="L1687" s="9">
        <f>ROUNDUP(K1687+(K1687*Assumptions!K$5),-2)</f>
        <v>9600</v>
      </c>
      <c r="M1687" s="9">
        <f>ROUNDUP(L1687+(L1687*Assumptions!L$5),-2)</f>
        <v>9900</v>
      </c>
      <c r="N1687" s="9">
        <f>ROUNDUP(M1687+(M1687*Assumptions!M$5),-2)</f>
        <v>10200</v>
      </c>
      <c r="O1687" s="9">
        <f>ROUNDUP(N1687+(N1687*Assumptions!N$5),-2)</f>
        <v>10500</v>
      </c>
      <c r="P1687" s="9">
        <f>ROUNDUP(O1687+(O1687*Assumptions!O$5),-2)</f>
        <v>10800</v>
      </c>
      <c r="Q1687" s="9">
        <f>ROUNDUP(P1687+(P1687*Assumptions!P$5),-2)</f>
        <v>11100</v>
      </c>
      <c r="R1687" s="9">
        <f>ROUNDUP(Q1687+(Q1687*Assumptions!Q$5),-2)</f>
        <v>11400</v>
      </c>
      <c r="S1687" s="47">
        <f>ROUNDUP(R1687+(R1687*Assumptions!R$5),-2)</f>
        <v>11700</v>
      </c>
      <c r="T1687" s="34"/>
      <c r="U1687" s="34"/>
      <c r="W1687" s="34"/>
      <c r="X1687" s="34"/>
      <c r="Y1687" s="34"/>
      <c r="Z1687" s="34"/>
      <c r="AA1687" s="34"/>
    </row>
    <row r="1688" spans="1:27" s="39" customFormat="1" x14ac:dyDescent="0.2">
      <c r="A1688" s="54"/>
      <c r="B1688" s="9"/>
      <c r="C1688" s="9"/>
      <c r="D1688" s="9"/>
      <c r="E1688" s="9"/>
      <c r="F1688" s="469"/>
      <c r="G1688" s="46"/>
      <c r="H1688" s="9"/>
      <c r="I1688" s="85"/>
      <c r="J1688" s="9"/>
      <c r="K1688" s="9"/>
      <c r="L1688" s="9"/>
      <c r="M1688" s="9"/>
      <c r="N1688" s="9"/>
      <c r="O1688" s="9"/>
      <c r="P1688" s="9"/>
      <c r="Q1688" s="9"/>
      <c r="R1688" s="9"/>
      <c r="S1688" s="47"/>
      <c r="T1688" s="34"/>
      <c r="U1688" s="34"/>
      <c r="W1688" s="34"/>
      <c r="X1688" s="34"/>
      <c r="Y1688" s="34"/>
      <c r="Z1688" s="34"/>
      <c r="AA1688" s="34"/>
    </row>
    <row r="1689" spans="1:27" s="39" customFormat="1" x14ac:dyDescent="0.2">
      <c r="A1689" s="54"/>
      <c r="B1689" s="9"/>
      <c r="C1689" s="9"/>
      <c r="D1689" s="9"/>
      <c r="E1689" s="9"/>
      <c r="F1689" s="469"/>
      <c r="G1689" s="92" t="s">
        <v>4718</v>
      </c>
      <c r="H1689" s="9"/>
      <c r="I1689" s="85"/>
      <c r="J1689" s="9"/>
      <c r="K1689" s="9"/>
      <c r="L1689" s="9"/>
      <c r="M1689" s="9"/>
      <c r="N1689" s="9"/>
      <c r="O1689" s="9"/>
      <c r="P1689" s="9"/>
      <c r="Q1689" s="9"/>
      <c r="R1689" s="9"/>
      <c r="S1689" s="47"/>
      <c r="T1689" s="34"/>
      <c r="U1689" s="34"/>
      <c r="W1689" s="34"/>
      <c r="X1689" s="34"/>
      <c r="Y1689" s="34"/>
      <c r="Z1689" s="34"/>
      <c r="AA1689" s="34"/>
    </row>
    <row r="1690" spans="1:27" s="39" customFormat="1" x14ac:dyDescent="0.2">
      <c r="A1690" s="54">
        <v>1100</v>
      </c>
      <c r="B1690" s="9">
        <v>1300</v>
      </c>
      <c r="C1690" s="9">
        <v>1900</v>
      </c>
      <c r="D1690" s="9">
        <v>1700</v>
      </c>
      <c r="E1690" s="9">
        <v>1000</v>
      </c>
      <c r="F1690" s="469" t="s">
        <v>173</v>
      </c>
      <c r="G1690" s="46" t="s">
        <v>2546</v>
      </c>
      <c r="H1690" s="9">
        <f>1800-500</f>
        <v>1300</v>
      </c>
      <c r="I1690" s="85">
        <f>IF(E1690=H1690,0,IF(E1690=0,100,(H1690-E1690)/E1690*100))</f>
        <v>30</v>
      </c>
      <c r="J1690" s="9">
        <f>ROUNDUP(H1690+(H1690*Assumptions!I$5),-2)</f>
        <v>1400</v>
      </c>
      <c r="K1690" s="9">
        <f>ROUNDUP(J1690+(J1690*Assumptions!J$5),-2)</f>
        <v>1500</v>
      </c>
      <c r="L1690" s="9">
        <f>ROUNDUP(K1690+(K1690*Assumptions!K$5),-2)</f>
        <v>1600</v>
      </c>
      <c r="M1690" s="9">
        <f>ROUNDUP(L1690+(L1690*Assumptions!L$5),-2)</f>
        <v>1700</v>
      </c>
      <c r="N1690" s="9">
        <f>ROUNDUP(M1690+(M1690*Assumptions!M$5),-2)</f>
        <v>1800</v>
      </c>
      <c r="O1690" s="9">
        <f>ROUNDUP(N1690+(N1690*Assumptions!N$5),-2)</f>
        <v>1900</v>
      </c>
      <c r="P1690" s="9">
        <f>ROUNDUP(O1690+(O1690*Assumptions!O$5),-2)</f>
        <v>2000</v>
      </c>
      <c r="Q1690" s="9">
        <f>ROUNDUP(P1690+(P1690*Assumptions!P$5),-2)</f>
        <v>2100</v>
      </c>
      <c r="R1690" s="9">
        <f>ROUNDUP(Q1690+(Q1690*Assumptions!Q$5),-2)</f>
        <v>2200</v>
      </c>
      <c r="S1690" s="47">
        <f>ROUNDUP(R1690+(R1690*Assumptions!R$5),-2)</f>
        <v>2300</v>
      </c>
      <c r="T1690" s="34"/>
      <c r="U1690" s="34"/>
      <c r="W1690" s="34"/>
      <c r="X1690" s="34"/>
      <c r="Y1690" s="34"/>
      <c r="Z1690" s="34"/>
      <c r="AA1690" s="34"/>
    </row>
    <row r="1691" spans="1:27" s="39" customFormat="1" x14ac:dyDescent="0.2">
      <c r="A1691" s="54">
        <v>5600</v>
      </c>
      <c r="B1691" s="9">
        <v>6600</v>
      </c>
      <c r="C1691" s="9">
        <v>6200</v>
      </c>
      <c r="D1691" s="9">
        <v>6600</v>
      </c>
      <c r="E1691" s="9">
        <v>6900</v>
      </c>
      <c r="F1691" s="469" t="s">
        <v>692</v>
      </c>
      <c r="G1691" s="31" t="s">
        <v>1445</v>
      </c>
      <c r="H1691" s="9">
        <v>6900</v>
      </c>
      <c r="I1691" s="85">
        <f>IF(E1691=H1691,0,IF(E1691=0,100,(H1691-E1691)/E1691*100))</f>
        <v>0</v>
      </c>
      <c r="J1691" s="9">
        <f>ROUNDUP(H1691+(H1691*Assumptions!I$5),-2)</f>
        <v>7100</v>
      </c>
      <c r="K1691" s="9">
        <f>ROUNDUP(J1691+(J1691*Assumptions!J$5),-2)</f>
        <v>7300</v>
      </c>
      <c r="L1691" s="9">
        <f>ROUNDUP(K1691+(K1691*Assumptions!K$5),-2)</f>
        <v>7500</v>
      </c>
      <c r="M1691" s="9">
        <f>ROUNDUP(L1691+(L1691*Assumptions!L$5),-2)</f>
        <v>7700</v>
      </c>
      <c r="N1691" s="9">
        <f>ROUNDUP(M1691+(M1691*Assumptions!M$5),-2)</f>
        <v>7900</v>
      </c>
      <c r="O1691" s="9">
        <f>ROUNDUP(N1691+(N1691*Assumptions!N$5),-2)</f>
        <v>8100</v>
      </c>
      <c r="P1691" s="9">
        <f>ROUNDUP(O1691+(O1691*Assumptions!O$5),-2)</f>
        <v>8400</v>
      </c>
      <c r="Q1691" s="9">
        <f>ROUNDUP(P1691+(P1691*Assumptions!P$5),-2)</f>
        <v>8700</v>
      </c>
      <c r="R1691" s="9">
        <f>ROUNDUP(Q1691+(Q1691*Assumptions!Q$5),-2)</f>
        <v>9000</v>
      </c>
      <c r="S1691" s="47">
        <f>ROUNDUP(R1691+(R1691*Assumptions!R$5),-2)</f>
        <v>9300</v>
      </c>
      <c r="T1691" s="34"/>
      <c r="U1691" s="34"/>
      <c r="W1691" s="34"/>
      <c r="X1691" s="34"/>
      <c r="Y1691" s="34"/>
      <c r="Z1691" s="34"/>
      <c r="AA1691" s="34"/>
    </row>
    <row r="1692" spans="1:27" s="39" customFormat="1" x14ac:dyDescent="0.2">
      <c r="A1692" s="54">
        <v>10400</v>
      </c>
      <c r="B1692" s="9">
        <v>10600</v>
      </c>
      <c r="C1692" s="9">
        <v>10900</v>
      </c>
      <c r="D1692" s="9">
        <v>0</v>
      </c>
      <c r="E1692" s="9">
        <v>11100</v>
      </c>
      <c r="F1692" s="469" t="s">
        <v>174</v>
      </c>
      <c r="G1692" s="46" t="s">
        <v>407</v>
      </c>
      <c r="H1692" s="9">
        <v>12500</v>
      </c>
      <c r="I1692" s="85">
        <f>IF(E1692=H1692,0,IF(E1692=0,100,(H1692-E1692)/E1692*100))</f>
        <v>12.612612612612612</v>
      </c>
      <c r="J1692" s="9">
        <f>ROUNDUP(H1692+(H1692*Assumptions!I$5),-2)</f>
        <v>12800</v>
      </c>
      <c r="K1692" s="9">
        <f>ROUNDUP(J1692+(J1692*Assumptions!J$5),-2)</f>
        <v>13200</v>
      </c>
      <c r="L1692" s="9">
        <f>ROUNDUP(K1692+(K1692*Assumptions!K$5),-2)</f>
        <v>13600</v>
      </c>
      <c r="M1692" s="9">
        <f>ROUNDUP(L1692+(L1692*Assumptions!L$5),-2)</f>
        <v>14000</v>
      </c>
      <c r="N1692" s="9">
        <f>ROUNDUP(M1692+(M1692*Assumptions!M$5),-2)</f>
        <v>14400</v>
      </c>
      <c r="O1692" s="9">
        <f>ROUNDUP(N1692+(N1692*Assumptions!N$5),-2)</f>
        <v>14800</v>
      </c>
      <c r="P1692" s="9">
        <f>ROUNDUP(O1692+(O1692*Assumptions!O$5),-2)</f>
        <v>15200</v>
      </c>
      <c r="Q1692" s="9">
        <f>ROUNDUP(P1692+(P1692*Assumptions!P$5),-2)</f>
        <v>15600</v>
      </c>
      <c r="R1692" s="9">
        <f>ROUNDUP(Q1692+(Q1692*Assumptions!Q$5),-2)</f>
        <v>16000</v>
      </c>
      <c r="S1692" s="47">
        <f>ROUNDUP(R1692+(R1692*Assumptions!R$5),-2)</f>
        <v>16400</v>
      </c>
      <c r="T1692" s="34"/>
      <c r="U1692" s="34"/>
    </row>
    <row r="1693" spans="1:27" s="39" customFormat="1" x14ac:dyDescent="0.2">
      <c r="A1693" s="54">
        <v>97600</v>
      </c>
      <c r="B1693" s="9">
        <v>22300</v>
      </c>
      <c r="C1693" s="9">
        <v>12600</v>
      </c>
      <c r="D1693" s="9">
        <v>68700</v>
      </c>
      <c r="E1693" s="9">
        <v>37500</v>
      </c>
      <c r="F1693" s="769" t="s">
        <v>7243</v>
      </c>
      <c r="G1693" s="46" t="s">
        <v>728</v>
      </c>
      <c r="H1693" s="9">
        <f>40000+39000</f>
        <v>79000</v>
      </c>
      <c r="I1693" s="85">
        <f>IF(E1693=H1693,0,IF(E1693=0,100,(H1693-E1693)/E1693*100))</f>
        <v>110.66666666666667</v>
      </c>
      <c r="J1693" s="9">
        <f t="shared" ref="J1693:P1693" si="2168">J1668</f>
        <v>80900</v>
      </c>
      <c r="K1693" s="9">
        <f t="shared" si="2168"/>
        <v>83000</v>
      </c>
      <c r="L1693" s="9">
        <f t="shared" si="2168"/>
        <v>85100</v>
      </c>
      <c r="M1693" s="9">
        <f t="shared" si="2168"/>
        <v>87300</v>
      </c>
      <c r="N1693" s="9">
        <f t="shared" si="2168"/>
        <v>89500</v>
      </c>
      <c r="O1693" s="9">
        <f t="shared" si="2168"/>
        <v>91800</v>
      </c>
      <c r="P1693" s="9">
        <f t="shared" si="2168"/>
        <v>94100</v>
      </c>
      <c r="Q1693" s="9">
        <f t="shared" ref="Q1693" si="2169">Q1668</f>
        <v>96500</v>
      </c>
      <c r="R1693" s="9">
        <f t="shared" ref="R1693" si="2170">R1668</f>
        <v>99000</v>
      </c>
      <c r="S1693" s="47">
        <f t="shared" ref="S1693" si="2171">S1668</f>
        <v>101500</v>
      </c>
      <c r="T1693" s="34"/>
      <c r="U1693" s="34"/>
    </row>
    <row r="1694" spans="1:27" s="39" customFormat="1" x14ac:dyDescent="0.2">
      <c r="A1694" s="54"/>
      <c r="B1694" s="9"/>
      <c r="C1694" s="9"/>
      <c r="D1694" s="9"/>
      <c r="E1694" s="9"/>
      <c r="F1694" s="469"/>
      <c r="G1694" s="46"/>
      <c r="H1694" s="9"/>
      <c r="I1694" s="85"/>
      <c r="J1694" s="9"/>
      <c r="K1694" s="9"/>
      <c r="L1694" s="9"/>
      <c r="M1694" s="9"/>
      <c r="N1694" s="9"/>
      <c r="O1694" s="9"/>
      <c r="P1694" s="9"/>
      <c r="Q1694" s="9"/>
      <c r="R1694" s="9"/>
      <c r="S1694" s="47"/>
      <c r="T1694" s="34"/>
      <c r="U1694" s="34"/>
    </row>
    <row r="1695" spans="1:27" x14ac:dyDescent="0.2">
      <c r="A1695" s="54"/>
      <c r="B1695" s="9"/>
      <c r="C1695" s="9"/>
      <c r="D1695" s="9"/>
      <c r="E1695" s="9"/>
      <c r="F1695" s="469"/>
      <c r="G1695" s="27" t="str">
        <f>DEH!G191</f>
        <v>Non-cash Expenses</v>
      </c>
      <c r="H1695" s="9"/>
      <c r="I1695" s="85"/>
      <c r="J1695" s="9"/>
      <c r="K1695" s="9"/>
      <c r="L1695" s="9"/>
      <c r="M1695" s="9"/>
      <c r="N1695" s="9"/>
      <c r="O1695" s="9"/>
      <c r="P1695" s="9"/>
      <c r="Q1695" s="9"/>
      <c r="R1695" s="9"/>
      <c r="S1695" s="47"/>
    </row>
    <row r="1696" spans="1:27" x14ac:dyDescent="0.2">
      <c r="A1696" s="54">
        <v>8700</v>
      </c>
      <c r="B1696" s="79">
        <v>0</v>
      </c>
      <c r="C1696" s="9">
        <v>0</v>
      </c>
      <c r="D1696" s="9">
        <v>0</v>
      </c>
      <c r="E1696" s="9">
        <v>0</v>
      </c>
      <c r="F1696" s="469" t="s">
        <v>1858</v>
      </c>
      <c r="G1696" s="46" t="s">
        <v>739</v>
      </c>
      <c r="H1696" s="9">
        <v>0</v>
      </c>
      <c r="I1696" s="85">
        <f>IF(E1696=H1696,0,IF(E1696=0,100,(H1696-E1696)/E1696*100))</f>
        <v>0</v>
      </c>
      <c r="J1696" s="9">
        <f>ROUNDUP(H1696+(H1696*Assumptions!I$18),-2)</f>
        <v>0</v>
      </c>
      <c r="K1696" s="9">
        <f>ROUNDUP(J1696+(J1696*Assumptions!J$18),-2)</f>
        <v>0</v>
      </c>
      <c r="L1696" s="9">
        <f>ROUNDUP(K1696+(K1696*Assumptions!K$18),-2)</f>
        <v>0</v>
      </c>
      <c r="M1696" s="9">
        <f>ROUNDUP(L1696+(L1696*Assumptions!L$18),-2)</f>
        <v>0</v>
      </c>
      <c r="N1696" s="9">
        <f>ROUNDUP(M1696+(M1696*Assumptions!M$18),-2)</f>
        <v>0</v>
      </c>
      <c r="O1696" s="9">
        <f>ROUNDUP(N1696+(N1696*Assumptions!N$18),-2)</f>
        <v>0</v>
      </c>
      <c r="P1696" s="9">
        <f>ROUNDUP(O1696+(O1696*Assumptions!O$18),-2)</f>
        <v>0</v>
      </c>
      <c r="Q1696" s="9">
        <f>ROUNDUP(P1696+(P1696*Assumptions!P$18),-2)</f>
        <v>0</v>
      </c>
      <c r="R1696" s="9">
        <f>ROUNDUP(Q1696+(Q1696*Assumptions!Q$18),-2)</f>
        <v>0</v>
      </c>
      <c r="S1696" s="47">
        <f>ROUNDUP(R1696+(R1696*Assumptions!R$18),-2)</f>
        <v>0</v>
      </c>
    </row>
    <row r="1697" spans="1:21" ht="13.5" thickBot="1" x14ac:dyDescent="0.25">
      <c r="A1697" s="24"/>
      <c r="B1697" s="21"/>
      <c r="C1697" s="21"/>
      <c r="D1697" s="21"/>
      <c r="E1697" s="21"/>
      <c r="F1697" s="469"/>
      <c r="G1697" s="27"/>
      <c r="H1697" s="9"/>
      <c r="I1697" s="126"/>
      <c r="J1697" s="9"/>
      <c r="K1697" s="9"/>
      <c r="L1697" s="9"/>
      <c r="M1697" s="9"/>
      <c r="N1697" s="9"/>
      <c r="O1697" s="9"/>
      <c r="P1697" s="9"/>
      <c r="Q1697" s="9"/>
      <c r="R1697" s="9"/>
      <c r="S1697" s="47"/>
    </row>
    <row r="1698" spans="1:21" s="39" customFormat="1" x14ac:dyDescent="0.2">
      <c r="A1698" s="52">
        <f>SUM(A1674:A1697)</f>
        <v>406100</v>
      </c>
      <c r="B1698" s="16">
        <f>SUM(B1674:B1697)</f>
        <v>364900</v>
      </c>
      <c r="C1698" s="16">
        <f>SUM(C1674:C1697)</f>
        <v>277000</v>
      </c>
      <c r="D1698" s="16">
        <f>SUM(D1674:D1697)</f>
        <v>330000</v>
      </c>
      <c r="E1698" s="16">
        <f t="shared" ref="E1698" si="2172">SUM(E1674:E1697)</f>
        <v>352700</v>
      </c>
      <c r="F1698" s="2207"/>
      <c r="G1698" s="59" t="s">
        <v>556</v>
      </c>
      <c r="H1698" s="16">
        <f t="shared" ref="H1698:P1698" si="2173">SUM(H1674:H1697)</f>
        <v>423600</v>
      </c>
      <c r="I1698" s="127">
        <f>IF(E1698=H1698,0,IF(E1698=0,100,(H1698-E1698)/E1698*100))</f>
        <v>20.102069747660902</v>
      </c>
      <c r="J1698" s="16">
        <f t="shared" si="2173"/>
        <v>434200</v>
      </c>
      <c r="K1698" s="16">
        <f t="shared" si="2173"/>
        <v>445900</v>
      </c>
      <c r="L1698" s="16">
        <f t="shared" si="2173"/>
        <v>457800</v>
      </c>
      <c r="M1698" s="16">
        <f t="shared" si="2173"/>
        <v>469900</v>
      </c>
      <c r="N1698" s="16">
        <f t="shared" si="2173"/>
        <v>482200</v>
      </c>
      <c r="O1698" s="16">
        <f t="shared" si="2173"/>
        <v>494800</v>
      </c>
      <c r="P1698" s="16">
        <f t="shared" si="2173"/>
        <v>507900</v>
      </c>
      <c r="Q1698" s="16">
        <f t="shared" ref="Q1698" si="2174">SUM(Q1674:Q1697)</f>
        <v>521400</v>
      </c>
      <c r="R1698" s="16">
        <f t="shared" ref="R1698" si="2175">SUM(R1674:R1697)</f>
        <v>535200</v>
      </c>
      <c r="S1698" s="2342">
        <f t="shared" ref="S1698" si="2176">SUM(S1674:S1697)</f>
        <v>549200</v>
      </c>
      <c r="U1698" s="34"/>
    </row>
    <row r="1699" spans="1:21" x14ac:dyDescent="0.2">
      <c r="A1699" s="54"/>
      <c r="B1699" s="9"/>
      <c r="C1699" s="9"/>
      <c r="D1699" s="9"/>
      <c r="E1699" s="9"/>
      <c r="F1699" s="483"/>
      <c r="G1699" s="55"/>
      <c r="H1699" s="9"/>
      <c r="I1699" s="85"/>
      <c r="J1699" s="9"/>
      <c r="K1699" s="9"/>
      <c r="L1699" s="9"/>
      <c r="M1699" s="9"/>
      <c r="N1699" s="9"/>
      <c r="O1699" s="9"/>
      <c r="P1699" s="9"/>
      <c r="Q1699" s="9"/>
      <c r="R1699" s="9"/>
      <c r="S1699" s="47"/>
    </row>
    <row r="1700" spans="1:21" s="39" customFormat="1" x14ac:dyDescent="0.2">
      <c r="A1700" s="24">
        <f>A1670-A1698</f>
        <v>-157600</v>
      </c>
      <c r="B1700" s="21">
        <f>B1670-B1698</f>
        <v>-203400</v>
      </c>
      <c r="C1700" s="21">
        <f>C1670-C1698</f>
        <v>-95100</v>
      </c>
      <c r="D1700" s="21">
        <f>D1670-D1698</f>
        <v>-157700</v>
      </c>
      <c r="E1700" s="21">
        <f t="shared" ref="E1700" si="2177">E1670-E1698</f>
        <v>-152600</v>
      </c>
      <c r="F1700" s="484"/>
      <c r="G1700" s="366" t="s">
        <v>1002</v>
      </c>
      <c r="H1700" s="21">
        <f t="shared" ref="H1700:P1700" si="2178">H1670-H1698</f>
        <v>-217100</v>
      </c>
      <c r="I1700" s="126">
        <f>IF(E1700=H1700,0,IF(E1700=0,100,(H1700-E1700)/E1700*100))</f>
        <v>42.267365661861071</v>
      </c>
      <c r="J1700" s="21">
        <f t="shared" si="2178"/>
        <v>-222800</v>
      </c>
      <c r="K1700" s="21">
        <f t="shared" si="2178"/>
        <v>-229100</v>
      </c>
      <c r="L1700" s="21">
        <f t="shared" si="2178"/>
        <v>-235500</v>
      </c>
      <c r="M1700" s="21">
        <f t="shared" si="2178"/>
        <v>-241800</v>
      </c>
      <c r="N1700" s="21">
        <f t="shared" si="2178"/>
        <v>-248300</v>
      </c>
      <c r="O1700" s="21">
        <f t="shared" si="2178"/>
        <v>-254900</v>
      </c>
      <c r="P1700" s="21">
        <f t="shared" si="2178"/>
        <v>-261900</v>
      </c>
      <c r="Q1700" s="21">
        <f t="shared" ref="Q1700" si="2179">Q1670-Q1698</f>
        <v>-269200</v>
      </c>
      <c r="R1700" s="21">
        <f t="shared" ref="R1700" si="2180">R1670-R1698</f>
        <v>-276500</v>
      </c>
      <c r="S1700" s="86">
        <f t="shared" ref="S1700" si="2181">S1670-S1698</f>
        <v>-283900</v>
      </c>
      <c r="U1700" s="34"/>
    </row>
    <row r="1701" spans="1:21" x14ac:dyDescent="0.2">
      <c r="A1701" s="54">
        <f>A1696</f>
        <v>8700</v>
      </c>
      <c r="B1701" s="9">
        <f>B1696</f>
        <v>0</v>
      </c>
      <c r="C1701" s="9">
        <f>C1696</f>
        <v>0</v>
      </c>
      <c r="D1701" s="9">
        <f>D1696</f>
        <v>0</v>
      </c>
      <c r="E1701" s="9">
        <f t="shared" ref="E1701" si="2182">E1696</f>
        <v>0</v>
      </c>
      <c r="F1701" s="483"/>
      <c r="G1701" s="217" t="s">
        <v>1943</v>
      </c>
      <c r="H1701" s="9">
        <f t="shared" ref="H1701:O1701" si="2183">H1696</f>
        <v>0</v>
      </c>
      <c r="I1701" s="85">
        <f>IF(E1701=H1701,0,IF(E1701=0,100,(H1701-E1701)/E1701*100))</f>
        <v>0</v>
      </c>
      <c r="J1701" s="9">
        <f t="shared" si="2183"/>
        <v>0</v>
      </c>
      <c r="K1701" s="9">
        <f t="shared" si="2183"/>
        <v>0</v>
      </c>
      <c r="L1701" s="9">
        <f t="shared" si="2183"/>
        <v>0</v>
      </c>
      <c r="M1701" s="9">
        <f t="shared" si="2183"/>
        <v>0</v>
      </c>
      <c r="N1701" s="9">
        <f t="shared" si="2183"/>
        <v>0</v>
      </c>
      <c r="O1701" s="9">
        <f t="shared" si="2183"/>
        <v>0</v>
      </c>
      <c r="P1701" s="9">
        <f t="shared" ref="P1701:Q1701" si="2184">P1696</f>
        <v>0</v>
      </c>
      <c r="Q1701" s="9">
        <f t="shared" si="2184"/>
        <v>0</v>
      </c>
      <c r="R1701" s="9">
        <f t="shared" ref="R1701" si="2185">R1696</f>
        <v>0</v>
      </c>
      <c r="S1701" s="47">
        <f t="shared" ref="S1701" si="2186">S1696</f>
        <v>0</v>
      </c>
    </row>
    <row r="1702" spans="1:21" s="39" customFormat="1" x14ac:dyDescent="0.2">
      <c r="A1702" s="128">
        <f>A1701+A1700</f>
        <v>-148900</v>
      </c>
      <c r="B1702" s="280">
        <f>B1701+B1700</f>
        <v>-203400</v>
      </c>
      <c r="C1702" s="280">
        <f>C1701+C1700</f>
        <v>-95100</v>
      </c>
      <c r="D1702" s="280">
        <f>D1701+D1700</f>
        <v>-157700</v>
      </c>
      <c r="E1702" s="280">
        <f t="shared" ref="E1702" si="2187">E1701+E1700</f>
        <v>-152600</v>
      </c>
      <c r="F1702" s="485"/>
      <c r="G1702" s="360" t="s">
        <v>1659</v>
      </c>
      <c r="H1702" s="280">
        <f t="shared" ref="H1702:O1702" si="2188">H1701+H1700</f>
        <v>-217100</v>
      </c>
      <c r="I1702" s="278">
        <f>IF(E1702=H1702,0,IF(E1702=0,100,(H1702-E1702)/E1702*100))</f>
        <v>42.267365661861071</v>
      </c>
      <c r="J1702" s="280">
        <f t="shared" si="2188"/>
        <v>-222800</v>
      </c>
      <c r="K1702" s="280">
        <f t="shared" si="2188"/>
        <v>-229100</v>
      </c>
      <c r="L1702" s="280">
        <f t="shared" si="2188"/>
        <v>-235500</v>
      </c>
      <c r="M1702" s="280">
        <f t="shared" si="2188"/>
        <v>-241800</v>
      </c>
      <c r="N1702" s="280">
        <f t="shared" si="2188"/>
        <v>-248300</v>
      </c>
      <c r="O1702" s="280">
        <f t="shared" si="2188"/>
        <v>-254900</v>
      </c>
      <c r="P1702" s="280">
        <f t="shared" ref="P1702:Q1702" si="2189">P1701+P1700</f>
        <v>-261900</v>
      </c>
      <c r="Q1702" s="280">
        <f t="shared" si="2189"/>
        <v>-269200</v>
      </c>
      <c r="R1702" s="280">
        <f t="shared" ref="R1702" si="2190">R1701+R1700</f>
        <v>-276500</v>
      </c>
      <c r="S1702" s="2343">
        <f t="shared" ref="S1702" si="2191">S1701+S1700</f>
        <v>-283900</v>
      </c>
      <c r="U1702" s="34"/>
    </row>
    <row r="1703" spans="1:21" ht="13.5" thickBot="1" x14ac:dyDescent="0.25">
      <c r="A1703" s="24"/>
      <c r="B1703" s="21"/>
      <c r="C1703" s="21"/>
      <c r="D1703" s="21"/>
      <c r="E1703" s="21"/>
      <c r="F1703" s="469"/>
      <c r="G1703" s="84"/>
      <c r="H1703" s="68"/>
      <c r="I1703" s="126"/>
      <c r="J1703" s="68"/>
      <c r="K1703" s="68"/>
      <c r="L1703" s="68"/>
      <c r="M1703" s="68"/>
      <c r="N1703" s="68"/>
      <c r="O1703" s="68"/>
      <c r="P1703" s="68"/>
      <c r="Q1703" s="68"/>
      <c r="R1703" s="68"/>
      <c r="S1703" s="108"/>
    </row>
    <row r="1704" spans="1:21" ht="13.5" thickTop="1" x14ac:dyDescent="0.2">
      <c r="A1704" s="270"/>
      <c r="B1704" s="69"/>
      <c r="C1704" s="109"/>
      <c r="D1704" s="109"/>
      <c r="E1704" s="109"/>
      <c r="F1704" s="487"/>
      <c r="G1704" s="455"/>
      <c r="H1704" s="74"/>
      <c r="I1704" s="352"/>
      <c r="J1704" s="74"/>
      <c r="K1704" s="74"/>
      <c r="L1704" s="74"/>
      <c r="M1704" s="74"/>
      <c r="N1704" s="74"/>
      <c r="O1704" s="74"/>
      <c r="P1704" s="74"/>
      <c r="Q1704" s="74"/>
      <c r="R1704" s="74"/>
      <c r="S1704" s="110"/>
    </row>
    <row r="1705" spans="1:21" x14ac:dyDescent="0.2">
      <c r="A1705" s="24"/>
      <c r="B1705" s="75"/>
      <c r="C1705" s="21"/>
      <c r="D1705" s="21"/>
      <c r="E1705" s="21"/>
      <c r="F1705" s="468"/>
      <c r="G1705" s="1160" t="s">
        <v>192</v>
      </c>
      <c r="H1705" s="9"/>
      <c r="I1705" s="126"/>
      <c r="J1705" s="9"/>
      <c r="K1705" s="9"/>
      <c r="L1705" s="9"/>
      <c r="M1705" s="9"/>
      <c r="N1705" s="9"/>
      <c r="O1705" s="9"/>
      <c r="P1705" s="9"/>
      <c r="Q1705" s="9"/>
      <c r="R1705" s="9"/>
      <c r="S1705" s="61"/>
    </row>
    <row r="1706" spans="1:21" x14ac:dyDescent="0.2">
      <c r="A1706" s="24"/>
      <c r="B1706" s="75"/>
      <c r="C1706" s="21"/>
      <c r="D1706" s="21"/>
      <c r="E1706" s="21"/>
      <c r="F1706" s="468"/>
      <c r="G1706" s="122"/>
      <c r="H1706" s="9"/>
      <c r="I1706" s="126"/>
      <c r="J1706" s="9"/>
      <c r="K1706" s="9"/>
      <c r="L1706" s="9"/>
      <c r="M1706" s="9"/>
      <c r="N1706" s="9"/>
      <c r="O1706" s="9"/>
      <c r="P1706" s="9"/>
      <c r="Q1706" s="9"/>
      <c r="R1706" s="9"/>
      <c r="S1706" s="61"/>
    </row>
    <row r="1707" spans="1:21" x14ac:dyDescent="0.2">
      <c r="A1707" s="54">
        <v>0</v>
      </c>
      <c r="B1707" s="89">
        <v>0</v>
      </c>
      <c r="C1707" s="9">
        <v>0</v>
      </c>
      <c r="D1707" s="9">
        <v>0</v>
      </c>
      <c r="E1707" s="9">
        <v>0</v>
      </c>
      <c r="F1707" s="468"/>
      <c r="G1707" s="1173" t="s">
        <v>1759</v>
      </c>
      <c r="H1707" s="9">
        <v>0</v>
      </c>
      <c r="I1707" s="85">
        <f>IF(E1707=H1707,0,IF(E1707=0,100,(H1707-E1707)/E1707*100))</f>
        <v>0</v>
      </c>
      <c r="J1707" s="9">
        <v>0</v>
      </c>
      <c r="K1707" s="9">
        <v>0</v>
      </c>
      <c r="L1707" s="9">
        <v>0</v>
      </c>
      <c r="M1707" s="9">
        <v>0</v>
      </c>
      <c r="N1707" s="9">
        <v>0</v>
      </c>
      <c r="O1707" s="9">
        <v>0</v>
      </c>
      <c r="P1707" s="9">
        <v>0</v>
      </c>
      <c r="Q1707" s="9">
        <v>0</v>
      </c>
      <c r="R1707" s="9">
        <v>0</v>
      </c>
      <c r="S1707" s="61">
        <v>0</v>
      </c>
    </row>
    <row r="1708" spans="1:21" x14ac:dyDescent="0.2">
      <c r="A1708" s="54">
        <v>25900</v>
      </c>
      <c r="B1708" s="89">
        <v>21600</v>
      </c>
      <c r="C1708" s="9">
        <v>31000</v>
      </c>
      <c r="D1708" s="9">
        <v>0</v>
      </c>
      <c r="E1708" s="9">
        <v>0</v>
      </c>
      <c r="F1708" s="468"/>
      <c r="G1708" s="1173" t="s">
        <v>1909</v>
      </c>
      <c r="H1708" s="9">
        <v>500</v>
      </c>
      <c r="I1708" s="85">
        <f>IF(E1708=H1708,0,IF(E1708=0,100,(H1708-E1708)/E1708*100))</f>
        <v>100</v>
      </c>
      <c r="J1708" s="9">
        <v>0</v>
      </c>
      <c r="K1708" s="9">
        <v>0</v>
      </c>
      <c r="L1708" s="9">
        <v>0</v>
      </c>
      <c r="M1708" s="9">
        <v>0</v>
      </c>
      <c r="N1708" s="9">
        <v>0</v>
      </c>
      <c r="O1708" s="9">
        <v>0</v>
      </c>
      <c r="P1708" s="9">
        <v>0</v>
      </c>
      <c r="Q1708" s="9">
        <v>0</v>
      </c>
      <c r="R1708" s="9">
        <v>0</v>
      </c>
      <c r="S1708" s="61">
        <v>0</v>
      </c>
    </row>
    <row r="1709" spans="1:21" x14ac:dyDescent="0.2">
      <c r="A1709" s="54">
        <v>30500</v>
      </c>
      <c r="B1709" s="89">
        <v>25900</v>
      </c>
      <c r="C1709" s="9">
        <v>21600</v>
      </c>
      <c r="D1709" s="9">
        <f>'Res-Gen'!C243</f>
        <v>19000</v>
      </c>
      <c r="E1709" s="9">
        <v>0</v>
      </c>
      <c r="F1709" s="468"/>
      <c r="G1709" s="257" t="s">
        <v>2309</v>
      </c>
      <c r="H1709" s="9">
        <v>0</v>
      </c>
      <c r="I1709" s="85">
        <f>IF(E1709=H1709,0,IF(E1709=0,100,(H1709-E1709)/E1709*100))</f>
        <v>0</v>
      </c>
      <c r="J1709" s="9">
        <v>0</v>
      </c>
      <c r="K1709" s="9">
        <v>0</v>
      </c>
      <c r="L1709" s="9">
        <v>0</v>
      </c>
      <c r="M1709" s="9">
        <v>0</v>
      </c>
      <c r="N1709" s="9">
        <v>0</v>
      </c>
      <c r="O1709" s="9">
        <v>0</v>
      </c>
      <c r="P1709" s="9">
        <v>0</v>
      </c>
      <c r="Q1709" s="9">
        <v>0</v>
      </c>
      <c r="R1709" s="9">
        <v>0</v>
      </c>
      <c r="S1709" s="61">
        <v>0</v>
      </c>
    </row>
    <row r="1710" spans="1:21" x14ac:dyDescent="0.2">
      <c r="A1710" s="54">
        <v>0</v>
      </c>
      <c r="B1710" s="89">
        <v>183100</v>
      </c>
      <c r="C1710" s="9">
        <f>'Cap Inc'!A114</f>
        <v>-500</v>
      </c>
      <c r="D1710" s="9">
        <v>0</v>
      </c>
      <c r="E1710" s="9">
        <v>0</v>
      </c>
      <c r="F1710" s="468"/>
      <c r="G1710" s="257" t="s">
        <v>5847</v>
      </c>
      <c r="H1710" s="9">
        <v>0</v>
      </c>
      <c r="I1710" s="85">
        <f>IF(E1710=H1710,0,IF(E1710=0,100,(H1710-E1710)/E1710*100))</f>
        <v>0</v>
      </c>
      <c r="J1710" s="9">
        <v>0</v>
      </c>
      <c r="K1710" s="9">
        <v>0</v>
      </c>
      <c r="L1710" s="9">
        <v>0</v>
      </c>
      <c r="M1710" s="9">
        <v>0</v>
      </c>
      <c r="N1710" s="9">
        <v>0</v>
      </c>
      <c r="O1710" s="9">
        <v>0</v>
      </c>
      <c r="P1710" s="9">
        <v>0</v>
      </c>
      <c r="Q1710" s="9">
        <v>0</v>
      </c>
      <c r="R1710" s="9">
        <v>0</v>
      </c>
      <c r="S1710" s="61">
        <v>0</v>
      </c>
    </row>
    <row r="1711" spans="1:21" x14ac:dyDescent="0.2">
      <c r="A1711" s="54">
        <v>11200</v>
      </c>
      <c r="B1711" s="89">
        <v>199700</v>
      </c>
      <c r="C1711" s="9">
        <v>0</v>
      </c>
      <c r="D1711" s="9">
        <v>0</v>
      </c>
      <c r="E1711" s="9">
        <v>0</v>
      </c>
      <c r="F1711" s="468"/>
      <c r="G1711" s="257" t="s">
        <v>958</v>
      </c>
      <c r="H1711" s="9">
        <v>0</v>
      </c>
      <c r="I1711" s="85">
        <f>IF(E1711=H1711,0,IF(E1711=0,100,(H1711-E1711)/E1711*100))</f>
        <v>0</v>
      </c>
      <c r="J1711" s="9">
        <v>0</v>
      </c>
      <c r="K1711" s="9">
        <v>0</v>
      </c>
      <c r="L1711" s="9">
        <v>0</v>
      </c>
      <c r="M1711" s="9">
        <v>0</v>
      </c>
      <c r="N1711" s="9">
        <v>0</v>
      </c>
      <c r="O1711" s="9">
        <v>0</v>
      </c>
      <c r="P1711" s="9">
        <v>0</v>
      </c>
      <c r="Q1711" s="9">
        <v>0</v>
      </c>
      <c r="R1711" s="9">
        <v>0</v>
      </c>
      <c r="S1711" s="61">
        <v>0</v>
      </c>
    </row>
    <row r="1712" spans="1:21" x14ac:dyDescent="0.2">
      <c r="A1712" s="54"/>
      <c r="B1712" s="89"/>
      <c r="C1712" s="9"/>
      <c r="D1712" s="9"/>
      <c r="E1712" s="9"/>
      <c r="F1712" s="468"/>
      <c r="G1712" s="361"/>
      <c r="H1712" s="9"/>
      <c r="I1712" s="85"/>
      <c r="J1712" s="9"/>
      <c r="K1712" s="9"/>
      <c r="L1712" s="9"/>
      <c r="M1712" s="9"/>
      <c r="N1712" s="9"/>
      <c r="O1712" s="9"/>
      <c r="P1712" s="9"/>
      <c r="Q1712" s="9"/>
      <c r="R1712" s="9"/>
      <c r="S1712" s="61"/>
    </row>
    <row r="1713" spans="1:21" s="39" customFormat="1" x14ac:dyDescent="0.2">
      <c r="A1713" s="128">
        <f>A1702-A1707-A1708+A1709++A1710-A1711</f>
        <v>-155500</v>
      </c>
      <c r="B1713" s="266">
        <f>B1702-B1707-B1708+B1709++B1710-B1711</f>
        <v>-215700</v>
      </c>
      <c r="C1713" s="280">
        <f>C1702-C1707-C1708+C1709++C1710-C1711</f>
        <v>-105000</v>
      </c>
      <c r="D1713" s="280">
        <f>D1702-D1707-D1708+D1709++D1710-D1711</f>
        <v>-138700</v>
      </c>
      <c r="E1713" s="280">
        <f t="shared" ref="E1713" si="2192">E1702-E1707-E1708+E1709++E1710-E1711</f>
        <v>-152600</v>
      </c>
      <c r="F1713" s="488"/>
      <c r="G1713" s="363" t="s">
        <v>2447</v>
      </c>
      <c r="H1713" s="280">
        <f t="shared" ref="H1713:O1713" si="2193">H1702-H1707-H1708+H1709++H1710-H1711</f>
        <v>-217600</v>
      </c>
      <c r="I1713" s="278">
        <f>IF(E1713=H1713,0,IF(E1713=0,100,(H1713-E1713)/E1713*100))</f>
        <v>42.595019659239838</v>
      </c>
      <c r="J1713" s="280">
        <f t="shared" si="2193"/>
        <v>-222800</v>
      </c>
      <c r="K1713" s="280">
        <f t="shared" si="2193"/>
        <v>-229100</v>
      </c>
      <c r="L1713" s="280">
        <f t="shared" si="2193"/>
        <v>-235500</v>
      </c>
      <c r="M1713" s="280">
        <f t="shared" si="2193"/>
        <v>-241800</v>
      </c>
      <c r="N1713" s="280">
        <f t="shared" si="2193"/>
        <v>-248300</v>
      </c>
      <c r="O1713" s="280">
        <f t="shared" si="2193"/>
        <v>-254900</v>
      </c>
      <c r="P1713" s="280">
        <f t="shared" ref="P1713:Q1713" si="2194">P1702-P1707-P1708+P1709++P1710-P1711</f>
        <v>-261900</v>
      </c>
      <c r="Q1713" s="280">
        <f t="shared" si="2194"/>
        <v>-269200</v>
      </c>
      <c r="R1713" s="280">
        <f t="shared" ref="R1713:S1713" si="2195">R1702-R1707-R1708+R1709++R1710-R1711</f>
        <v>-276500</v>
      </c>
      <c r="S1713" s="282">
        <f t="shared" si="2195"/>
        <v>-283900</v>
      </c>
      <c r="U1713" s="34"/>
    </row>
    <row r="1714" spans="1:21" ht="13.5" thickBot="1" x14ac:dyDescent="0.25">
      <c r="A1714" s="26"/>
      <c r="B1714" s="81"/>
      <c r="C1714" s="37"/>
      <c r="D1714" s="37"/>
      <c r="E1714" s="67"/>
      <c r="F1714" s="489"/>
      <c r="G1714" s="259"/>
      <c r="H1714" s="23"/>
      <c r="I1714" s="275"/>
      <c r="J1714" s="23"/>
      <c r="K1714" s="23"/>
      <c r="L1714" s="23"/>
      <c r="M1714" s="23"/>
      <c r="N1714" s="23"/>
      <c r="O1714" s="23"/>
      <c r="P1714" s="23"/>
      <c r="Q1714" s="23"/>
      <c r="R1714" s="23"/>
      <c r="S1714" s="112"/>
    </row>
    <row r="1715" spans="1:21" ht="14.25" thickTop="1" thickBot="1" x14ac:dyDescent="0.25">
      <c r="A1715" s="27"/>
      <c r="B1715" s="27"/>
      <c r="C1715" s="27"/>
      <c r="D1715" s="27"/>
      <c r="E1715" s="27"/>
      <c r="F1715" s="471"/>
      <c r="G1715" s="84"/>
      <c r="H1715" s="46"/>
      <c r="I1715" s="2234"/>
      <c r="J1715" s="46"/>
      <c r="K1715" s="46"/>
      <c r="L1715" s="46"/>
      <c r="M1715" s="46"/>
      <c r="N1715" s="46"/>
      <c r="O1715" s="46"/>
      <c r="P1715" s="46"/>
      <c r="Q1715" s="46"/>
      <c r="R1715" s="46"/>
      <c r="S1715" s="46"/>
    </row>
    <row r="1716" spans="1:21" s="38" customFormat="1" ht="18.75" customHeight="1" thickTop="1" thickBot="1" x14ac:dyDescent="0.3">
      <c r="A1716" s="2588" t="s">
        <v>3251</v>
      </c>
      <c r="B1716" s="2589"/>
      <c r="C1716" s="2589"/>
      <c r="D1716" s="2589"/>
      <c r="E1716" s="2589"/>
      <c r="F1716" s="2589"/>
      <c r="G1716" s="2589"/>
      <c r="H1716" s="2589"/>
      <c r="I1716" s="2589"/>
      <c r="J1716" s="2589"/>
      <c r="K1716" s="2589"/>
      <c r="L1716" s="2589"/>
      <c r="M1716" s="2589"/>
      <c r="N1716" s="2589"/>
      <c r="O1716" s="2589"/>
      <c r="P1716" s="2589"/>
      <c r="Q1716" s="2589"/>
      <c r="R1716" s="2589"/>
      <c r="S1716" s="2590"/>
      <c r="U1716" s="34"/>
    </row>
    <row r="1717" spans="1:21" s="39" customFormat="1" ht="13.5" thickBot="1" x14ac:dyDescent="0.25">
      <c r="A1717" s="2591" t="s">
        <v>1824</v>
      </c>
      <c r="B1717" s="2577"/>
      <c r="C1717" s="2577"/>
      <c r="D1717" s="2577"/>
      <c r="E1717" s="2592"/>
      <c r="F1717" s="127" t="s">
        <v>2616</v>
      </c>
      <c r="G1717" s="127" t="s">
        <v>2213</v>
      </c>
      <c r="H1717" s="2568" t="s">
        <v>2215</v>
      </c>
      <c r="I1717" s="2568"/>
      <c r="J1717" s="2568"/>
      <c r="K1717" s="2568"/>
      <c r="L1717" s="2568"/>
      <c r="M1717" s="2568"/>
      <c r="N1717" s="2568"/>
      <c r="O1717" s="2568"/>
      <c r="P1717" s="2568"/>
      <c r="Q1717" s="2568"/>
      <c r="R1717" s="2568"/>
      <c r="S1717" s="2607"/>
      <c r="U1717" s="34"/>
    </row>
    <row r="1718" spans="1:21" ht="12.75" customHeight="1" thickBot="1" x14ac:dyDescent="0.25">
      <c r="A1718" s="541" t="str">
        <f>A3</f>
        <v>2012/13</v>
      </c>
      <c r="B1718" s="28" t="str">
        <f>B3</f>
        <v>2013/14</v>
      </c>
      <c r="C1718" s="40" t="str">
        <f>C3</f>
        <v>2014/15</v>
      </c>
      <c r="D1718" s="40" t="str">
        <f>D3</f>
        <v>2015/16</v>
      </c>
      <c r="E1718" s="40" t="str">
        <f>E3</f>
        <v>2016/17</v>
      </c>
      <c r="F1718" s="40" t="s">
        <v>2617</v>
      </c>
      <c r="G1718" s="41"/>
      <c r="H1718" s="40" t="str">
        <f>H3</f>
        <v>2017/18</v>
      </c>
      <c r="I1718" s="1258" t="str">
        <f>I1278</f>
        <v>%</v>
      </c>
      <c r="J1718" s="40" t="str">
        <f t="shared" ref="J1718:S1718" si="2196">J3</f>
        <v>2018/19</v>
      </c>
      <c r="K1718" s="40" t="str">
        <f t="shared" si="2196"/>
        <v>2019/20</v>
      </c>
      <c r="L1718" s="40" t="str">
        <f t="shared" si="2196"/>
        <v>2020/21</v>
      </c>
      <c r="M1718" s="40" t="str">
        <f t="shared" si="2196"/>
        <v>2021/22</v>
      </c>
      <c r="N1718" s="40" t="str">
        <f t="shared" si="2196"/>
        <v>2022/23</v>
      </c>
      <c r="O1718" s="40" t="str">
        <f t="shared" si="2196"/>
        <v>2023/24</v>
      </c>
      <c r="P1718" s="40" t="str">
        <f t="shared" si="2196"/>
        <v>2024/25</v>
      </c>
      <c r="Q1718" s="28" t="str">
        <f t="shared" si="2196"/>
        <v>2025/26</v>
      </c>
      <c r="R1718" s="28" t="str">
        <f t="shared" si="2196"/>
        <v>2026/27</v>
      </c>
      <c r="S1718" s="1620" t="str">
        <f t="shared" si="2196"/>
        <v>2027/28</v>
      </c>
    </row>
    <row r="1719" spans="1:21" x14ac:dyDescent="0.2">
      <c r="A1719" s="45"/>
      <c r="B1719" s="9"/>
      <c r="C1719" s="134"/>
      <c r="D1719" s="134"/>
      <c r="E1719" s="1442"/>
      <c r="F1719" s="2425"/>
      <c r="G1719" s="116"/>
      <c r="H1719" s="9"/>
      <c r="I1719" s="85"/>
      <c r="J1719" s="9"/>
      <c r="K1719" s="9"/>
      <c r="L1719" s="9"/>
      <c r="M1719" s="9"/>
      <c r="N1719" s="9"/>
      <c r="O1719" s="9"/>
      <c r="P1719" s="9"/>
      <c r="Q1719" s="9"/>
      <c r="R1719" s="9"/>
      <c r="S1719" s="61"/>
    </row>
    <row r="1720" spans="1:21" x14ac:dyDescent="0.2">
      <c r="A1720" s="45"/>
      <c r="B1720" s="9"/>
      <c r="C1720" s="134"/>
      <c r="D1720" s="134"/>
      <c r="E1720" s="1442"/>
      <c r="F1720" s="167"/>
      <c r="G1720" s="256" t="s">
        <v>1056</v>
      </c>
      <c r="H1720" s="9"/>
      <c r="I1720" s="85"/>
      <c r="J1720" s="9"/>
      <c r="K1720" s="9"/>
      <c r="L1720" s="9"/>
      <c r="M1720" s="9"/>
      <c r="N1720" s="9"/>
      <c r="O1720" s="9"/>
      <c r="P1720" s="9"/>
      <c r="Q1720" s="9"/>
      <c r="R1720" s="9"/>
      <c r="S1720" s="61"/>
    </row>
    <row r="1721" spans="1:21" ht="12" customHeight="1" x14ac:dyDescent="0.2">
      <c r="A1721" s="45"/>
      <c r="B1721" s="9"/>
      <c r="E1721" s="1442"/>
      <c r="F1721" s="167"/>
      <c r="G1721" s="9"/>
      <c r="H1721" s="9"/>
      <c r="I1721" s="85"/>
      <c r="J1721" s="9"/>
      <c r="K1721" s="9"/>
      <c r="L1721" s="9"/>
      <c r="M1721" s="9"/>
      <c r="N1721" s="9"/>
      <c r="O1721" s="9"/>
      <c r="P1721" s="9"/>
      <c r="Q1721" s="9"/>
      <c r="R1721" s="9"/>
      <c r="S1721" s="61"/>
    </row>
    <row r="1722" spans="1:21" x14ac:dyDescent="0.2">
      <c r="A1722" s="45"/>
      <c r="B1722" s="9"/>
      <c r="E1722" s="1442"/>
      <c r="F1722" s="167"/>
      <c r="G1722" s="21" t="s">
        <v>1783</v>
      </c>
      <c r="H1722" s="9"/>
      <c r="I1722" s="85"/>
      <c r="J1722" s="9"/>
      <c r="K1722" s="9"/>
      <c r="L1722" s="9"/>
      <c r="M1722" s="9"/>
      <c r="N1722" s="9"/>
      <c r="O1722" s="9"/>
      <c r="P1722" s="9"/>
      <c r="Q1722" s="9"/>
      <c r="R1722" s="9"/>
      <c r="S1722" s="61"/>
    </row>
    <row r="1723" spans="1:21" x14ac:dyDescent="0.2">
      <c r="A1723" s="54">
        <v>29500</v>
      </c>
      <c r="B1723" s="9">
        <v>30000</v>
      </c>
      <c r="C1723" s="136">
        <v>33600</v>
      </c>
      <c r="D1723" s="136">
        <v>37400</v>
      </c>
      <c r="E1723" s="1439">
        <v>43100</v>
      </c>
      <c r="F1723" s="469" t="s">
        <v>641</v>
      </c>
      <c r="G1723" s="661" t="s">
        <v>6841</v>
      </c>
      <c r="H1723" s="9">
        <f>39600-900+5000+15000</f>
        <v>58700</v>
      </c>
      <c r="I1723" s="85">
        <f>IF(E1723=H1723,0,IF(E1723=0,100,(H1723-E1723)/E1723*100))</f>
        <v>36.194895591647331</v>
      </c>
      <c r="J1723" s="9">
        <f>ROUNDUP(H1723+(H1723*Assumptions!I$5),-2)</f>
        <v>60100</v>
      </c>
      <c r="K1723" s="9">
        <f>ROUNDUP(J1723+(J1723*Assumptions!J$5),-2)</f>
        <v>61700</v>
      </c>
      <c r="L1723" s="9">
        <f>ROUNDUP(K1723+(K1723*Assumptions!K$5),-2)</f>
        <v>63300</v>
      </c>
      <c r="M1723" s="9">
        <f>ROUNDUP(L1723+(L1723*Assumptions!L$5),-2)</f>
        <v>64900</v>
      </c>
      <c r="N1723" s="9">
        <f>ROUNDUP(M1723+(M1723*Assumptions!M$5),-2)</f>
        <v>66600</v>
      </c>
      <c r="O1723" s="9">
        <f>ROUNDUP(N1723+(N1723*Assumptions!N$5),-2)</f>
        <v>68300</v>
      </c>
      <c r="P1723" s="9">
        <f>ROUNDUP(O1723+(O1723*Assumptions!O$5),-2)</f>
        <v>70100</v>
      </c>
      <c r="Q1723" s="9">
        <f>ROUNDUP(P1723+(P1723*Assumptions!P$5),-2)</f>
        <v>71900</v>
      </c>
      <c r="R1723" s="9">
        <f>ROUNDUP(Q1723+(Q1723*Assumptions!Q$5),-2)</f>
        <v>73700</v>
      </c>
      <c r="S1723" s="47">
        <f>ROUNDUP(R1723+(R1723*Assumptions!R$5),-2)</f>
        <v>75600</v>
      </c>
    </row>
    <row r="1724" spans="1:21" x14ac:dyDescent="0.2">
      <c r="A1724" s="54"/>
      <c r="B1724" s="9"/>
      <c r="E1724" s="1439">
        <v>9200</v>
      </c>
      <c r="F1724" s="769" t="s">
        <v>6878</v>
      </c>
      <c r="G1724" s="661" t="s">
        <v>6879</v>
      </c>
      <c r="H1724" s="9">
        <v>9200</v>
      </c>
      <c r="I1724" s="85">
        <f>IF(E1724=H1724,0,IF(E1724=0,100,(H1724-E1724)/E1724*100))</f>
        <v>0</v>
      </c>
      <c r="J1724" s="9">
        <f>ROUNDUP(H1724+(H1724*Assumptions!I$5),-2)</f>
        <v>9500</v>
      </c>
      <c r="K1724" s="9">
        <f>ROUNDUP(J1724+(J1724*Assumptions!J$5),-2)</f>
        <v>9800</v>
      </c>
      <c r="L1724" s="9">
        <f>ROUNDUP(K1724+(K1724*Assumptions!K$5),-2)</f>
        <v>10100</v>
      </c>
      <c r="M1724" s="9">
        <f>ROUNDUP(L1724+(L1724*Assumptions!L$5),-2)</f>
        <v>10400</v>
      </c>
      <c r="N1724" s="9">
        <f>ROUNDUP(M1724+(M1724*Assumptions!M$5),-2)</f>
        <v>10700</v>
      </c>
      <c r="O1724" s="9">
        <f>ROUNDUP(N1724+(N1724*Assumptions!N$5),-2)</f>
        <v>11000</v>
      </c>
      <c r="P1724" s="9">
        <f>ROUNDUP(O1724+(O1724*Assumptions!O$5),-2)</f>
        <v>11300</v>
      </c>
      <c r="Q1724" s="9">
        <f>ROUNDUP(P1724+(P1724*Assumptions!P$5),-2)</f>
        <v>11600</v>
      </c>
      <c r="R1724" s="9">
        <f>ROUNDUP(Q1724+(Q1724*Assumptions!Q$5),-2)</f>
        <v>11900</v>
      </c>
      <c r="S1724" s="47">
        <f>ROUNDUP(R1724+(R1724*Assumptions!R$5),-2)</f>
        <v>12200</v>
      </c>
    </row>
    <row r="1725" spans="1:21" x14ac:dyDescent="0.2">
      <c r="A1725" s="54">
        <v>381000</v>
      </c>
      <c r="B1725" s="9">
        <v>319700</v>
      </c>
      <c r="C1725" s="136">
        <v>218200</v>
      </c>
      <c r="D1725" s="136">
        <v>253700</v>
      </c>
      <c r="E1725" s="1442">
        <v>16800</v>
      </c>
      <c r="F1725" s="469" t="s">
        <v>642</v>
      </c>
      <c r="G1725" s="661" t="s">
        <v>6842</v>
      </c>
      <c r="H1725" s="9">
        <v>0</v>
      </c>
      <c r="I1725" s="85">
        <f>IF(E1725=H1725,0,IF(E1725=0,100,(H1725-E1725)/E1725*100))</f>
        <v>-100</v>
      </c>
      <c r="J1725" s="9">
        <f>ROUNDUP(H1725+(H1725*Assumptions!I$5),-2)</f>
        <v>0</v>
      </c>
      <c r="K1725" s="9">
        <f>ROUNDUP(J1725+(J1725*Assumptions!J$5),-2)</f>
        <v>0</v>
      </c>
      <c r="L1725" s="9">
        <f>ROUNDUP(K1725+(K1725*Assumptions!K$5),-2)</f>
        <v>0</v>
      </c>
      <c r="M1725" s="9">
        <f>ROUNDUP(L1725+(L1725*Assumptions!L$5),-2)</f>
        <v>0</v>
      </c>
      <c r="N1725" s="9">
        <f>ROUNDUP(M1725+(M1725*Assumptions!M$5),-2)</f>
        <v>0</v>
      </c>
      <c r="O1725" s="9">
        <f>ROUNDUP(N1725+(N1725*Assumptions!N$5),-2)</f>
        <v>0</v>
      </c>
      <c r="P1725" s="9">
        <f>ROUNDUP(O1725+(O1725*Assumptions!O$5),-2)</f>
        <v>0</v>
      </c>
      <c r="Q1725" s="9">
        <f>ROUNDUP(P1725+(P1725*Assumptions!P$5),-2)</f>
        <v>0</v>
      </c>
      <c r="R1725" s="9">
        <f>ROUNDUP(Q1725+(Q1725*Assumptions!Q$5),-2)</f>
        <v>0</v>
      </c>
      <c r="S1725" s="47">
        <f>ROUNDUP(R1725+(R1725*Assumptions!R$5),-2)</f>
        <v>0</v>
      </c>
    </row>
    <row r="1726" spans="1:21" x14ac:dyDescent="0.2">
      <c r="A1726" s="54">
        <v>0</v>
      </c>
      <c r="B1726" s="9">
        <v>0</v>
      </c>
      <c r="C1726" s="136">
        <v>0</v>
      </c>
      <c r="D1726" s="136">
        <v>33000</v>
      </c>
      <c r="E1726" s="1442">
        <v>0</v>
      </c>
      <c r="F1726" s="769" t="s">
        <v>5799</v>
      </c>
      <c r="G1726" s="661" t="s">
        <v>6843</v>
      </c>
      <c r="H1726" s="9">
        <v>0</v>
      </c>
      <c r="I1726" s="85">
        <f>IF(E1726=H1726,0,IF(E1726=0,100,(H1726-E1726)/E1726*100))</f>
        <v>0</v>
      </c>
      <c r="J1726" s="9">
        <f>ROUNDUP(H1726+(H1726*Assumptions!I$5),-2)</f>
        <v>0</v>
      </c>
      <c r="K1726" s="9">
        <f>ROUNDUP(J1726+(J1726*Assumptions!J$5),-2)</f>
        <v>0</v>
      </c>
      <c r="L1726" s="9">
        <f>ROUNDUP(K1726+(K1726*Assumptions!K$5),-2)</f>
        <v>0</v>
      </c>
      <c r="M1726" s="9">
        <f>ROUNDUP(L1726+(L1726*Assumptions!L$5),-2)</f>
        <v>0</v>
      </c>
      <c r="N1726" s="9">
        <f>ROUNDUP(M1726+(M1726*Assumptions!M$5),-2)</f>
        <v>0</v>
      </c>
      <c r="O1726" s="9">
        <f>ROUNDUP(N1726+(N1726*Assumptions!N$5),-2)</f>
        <v>0</v>
      </c>
      <c r="P1726" s="9">
        <f>ROUNDUP(O1726+(O1726*Assumptions!O$5),-2)</f>
        <v>0</v>
      </c>
      <c r="Q1726" s="9">
        <f>ROUNDUP(P1726+(P1726*Assumptions!P$5),-2)</f>
        <v>0</v>
      </c>
      <c r="R1726" s="9">
        <f>ROUNDUP(Q1726+(Q1726*Assumptions!Q$5),-2)</f>
        <v>0</v>
      </c>
      <c r="S1726" s="47">
        <f>ROUNDUP(R1726+(R1726*Assumptions!R$5),-2)</f>
        <v>0</v>
      </c>
    </row>
    <row r="1727" spans="1:21" x14ac:dyDescent="0.2">
      <c r="A1727" s="54"/>
      <c r="B1727" s="9"/>
      <c r="E1727" s="1442"/>
      <c r="F1727" s="469"/>
      <c r="G1727" s="9"/>
      <c r="H1727" s="9"/>
      <c r="I1727" s="85"/>
      <c r="J1727" s="9"/>
      <c r="K1727" s="9"/>
      <c r="L1727" s="9"/>
      <c r="M1727" s="9"/>
      <c r="N1727" s="9"/>
      <c r="O1727" s="9"/>
      <c r="P1727" s="9"/>
      <c r="Q1727" s="9"/>
      <c r="R1727" s="9"/>
      <c r="S1727" s="47"/>
    </row>
    <row r="1728" spans="1:21" x14ac:dyDescent="0.2">
      <c r="A1728" s="54"/>
      <c r="B1728" s="9"/>
      <c r="E1728" s="1442"/>
      <c r="F1728" s="469"/>
      <c r="G1728" s="21" t="s">
        <v>2181</v>
      </c>
      <c r="H1728" s="9"/>
      <c r="I1728" s="85"/>
      <c r="J1728" s="9"/>
      <c r="K1728" s="9"/>
      <c r="L1728" s="9"/>
      <c r="M1728" s="9"/>
      <c r="N1728" s="9"/>
      <c r="O1728" s="9"/>
      <c r="P1728" s="9"/>
      <c r="Q1728" s="9"/>
      <c r="R1728" s="9"/>
      <c r="S1728" s="47"/>
    </row>
    <row r="1729" spans="1:21" x14ac:dyDescent="0.2">
      <c r="A1729" s="54">
        <v>0</v>
      </c>
      <c r="B1729" s="9">
        <v>0</v>
      </c>
      <c r="C1729" s="136">
        <v>0</v>
      </c>
      <c r="D1729" s="136">
        <f>ROUNDUP(C1729+(C1729*Assumptions!F$5),-2)</f>
        <v>0</v>
      </c>
      <c r="E1729" s="1442">
        <v>0</v>
      </c>
      <c r="F1729" s="469"/>
      <c r="G1729" s="79" t="s">
        <v>2831</v>
      </c>
      <c r="H1729" s="9">
        <v>0</v>
      </c>
      <c r="I1729" s="85">
        <f>IF(E1729=H1729,0,IF(E1729=0,100,(H1729-E1729)/E1729*100))</f>
        <v>0</v>
      </c>
      <c r="J1729" s="9">
        <f>ROUNDUP(H1729+(H1729*Assumptions!I$5),-2)</f>
        <v>0</v>
      </c>
      <c r="K1729" s="9">
        <f>ROUNDUP(J1729+(J1729*Assumptions!J$5),-2)</f>
        <v>0</v>
      </c>
      <c r="L1729" s="9">
        <f>ROUNDUP(K1729+(K1729*Assumptions!K$5),-2)</f>
        <v>0</v>
      </c>
      <c r="M1729" s="9">
        <f>ROUNDUP(L1729+(L1729*Assumptions!L$5),-2)</f>
        <v>0</v>
      </c>
      <c r="N1729" s="9">
        <f>ROUNDUP(M1729+(M1729*Assumptions!M$5),-2)</f>
        <v>0</v>
      </c>
      <c r="O1729" s="9">
        <f>ROUNDUP(N1729+(N1729*Assumptions!N$5),-2)</f>
        <v>0</v>
      </c>
      <c r="P1729" s="9">
        <f>ROUNDUP(O1729+(O1729*Assumptions!O$5),-2)</f>
        <v>0</v>
      </c>
      <c r="Q1729" s="9">
        <f>ROUNDUP(P1729+(P1729*Assumptions!P$5),-2)</f>
        <v>0</v>
      </c>
      <c r="R1729" s="9">
        <f>ROUNDUP(Q1729+(Q1729*Assumptions!Q$5),-2)</f>
        <v>0</v>
      </c>
      <c r="S1729" s="47">
        <f>ROUNDUP(R1729+(R1729*Assumptions!R$5),-2)</f>
        <v>0</v>
      </c>
    </row>
    <row r="1730" spans="1:21" x14ac:dyDescent="0.2">
      <c r="A1730" s="54"/>
      <c r="B1730" s="9"/>
      <c r="E1730" s="1442"/>
      <c r="F1730" s="469"/>
      <c r="G1730" s="79"/>
      <c r="H1730" s="9"/>
      <c r="I1730" s="85"/>
      <c r="J1730" s="9"/>
      <c r="K1730" s="9"/>
      <c r="L1730" s="9"/>
      <c r="M1730" s="9"/>
      <c r="N1730" s="9"/>
      <c r="O1730" s="9"/>
      <c r="P1730" s="9"/>
      <c r="Q1730" s="9"/>
      <c r="R1730" s="9"/>
      <c r="S1730" s="47"/>
    </row>
    <row r="1731" spans="1:21" x14ac:dyDescent="0.2">
      <c r="A1731" s="54"/>
      <c r="B1731" s="9"/>
      <c r="E1731" s="1442"/>
      <c r="F1731" s="469"/>
      <c r="G1731" s="63" t="s">
        <v>5348</v>
      </c>
      <c r="H1731" s="9"/>
      <c r="I1731" s="85"/>
      <c r="J1731" s="9"/>
      <c r="K1731" s="9"/>
      <c r="L1731" s="9"/>
      <c r="M1731" s="9"/>
      <c r="N1731" s="9"/>
      <c r="O1731" s="9"/>
      <c r="P1731" s="9"/>
      <c r="Q1731" s="9"/>
      <c r="R1731" s="9"/>
      <c r="S1731" s="47"/>
    </row>
    <row r="1732" spans="1:21" x14ac:dyDescent="0.2">
      <c r="A1732" s="54">
        <v>0</v>
      </c>
      <c r="B1732" s="9">
        <v>0</v>
      </c>
      <c r="C1732" s="136">
        <v>223900</v>
      </c>
      <c r="D1732" s="136">
        <v>53100</v>
      </c>
      <c r="E1732" s="1442">
        <v>0</v>
      </c>
      <c r="F1732" s="769" t="s">
        <v>5347</v>
      </c>
      <c r="G1732" s="79" t="s">
        <v>5346</v>
      </c>
      <c r="H1732" s="9">
        <v>0</v>
      </c>
      <c r="I1732" s="85">
        <f>IF(E1732=H1732,0,IF(E1732=0,100,(H1732-E1732)/E1732*100))</f>
        <v>0</v>
      </c>
      <c r="J1732" s="9">
        <f>ROUNDUP(H1732+(H1732*Assumptions!I$5),-2)</f>
        <v>0</v>
      </c>
      <c r="K1732" s="9">
        <f>ROUNDUP(J1732+(J1732*Assumptions!J$5),-2)</f>
        <v>0</v>
      </c>
      <c r="L1732" s="9">
        <f>ROUNDUP(K1732+(K1732*Assumptions!K$5),-2)</f>
        <v>0</v>
      </c>
      <c r="M1732" s="9">
        <f>ROUNDUP(L1732+(L1732*Assumptions!L$5),-2)</f>
        <v>0</v>
      </c>
      <c r="N1732" s="9">
        <f>ROUNDUP(M1732+(M1732*Assumptions!M$5),-2)</f>
        <v>0</v>
      </c>
      <c r="O1732" s="9">
        <f>ROUNDUP(N1732+(N1732*Assumptions!N$5),-2)</f>
        <v>0</v>
      </c>
      <c r="P1732" s="9">
        <f>ROUNDUP(O1732+(O1732*Assumptions!O$5),-2)</f>
        <v>0</v>
      </c>
      <c r="Q1732" s="9">
        <f>ROUNDUP(P1732+(P1732*Assumptions!P$5),-2)</f>
        <v>0</v>
      </c>
      <c r="R1732" s="9">
        <f>ROUNDUP(Q1732+(Q1732*Assumptions!Q$5),-2)</f>
        <v>0</v>
      </c>
      <c r="S1732" s="47">
        <f>ROUNDUP(R1732+(R1732*Assumptions!R$5),-2)</f>
        <v>0</v>
      </c>
    </row>
    <row r="1733" spans="1:21" ht="13.5" thickBot="1" x14ac:dyDescent="0.25">
      <c r="A1733" s="54"/>
      <c r="B1733" s="9"/>
      <c r="C1733" s="134"/>
      <c r="D1733" s="134"/>
      <c r="E1733" s="1514"/>
      <c r="F1733" s="167"/>
      <c r="G1733" s="9"/>
      <c r="H1733" s="9"/>
      <c r="I1733" s="85"/>
      <c r="J1733" s="9"/>
      <c r="K1733" s="9"/>
      <c r="L1733" s="9"/>
      <c r="M1733" s="9"/>
      <c r="N1733" s="9"/>
      <c r="O1733" s="9"/>
      <c r="P1733" s="9"/>
      <c r="Q1733" s="9"/>
      <c r="R1733" s="9"/>
      <c r="S1733" s="47"/>
    </row>
    <row r="1734" spans="1:21" s="39" customFormat="1" x14ac:dyDescent="0.2">
      <c r="A1734" s="52">
        <f>SUM(A1720:A1733)</f>
        <v>410500</v>
      </c>
      <c r="B1734" s="16">
        <f>SUM(B1720:B1733)</f>
        <v>349700</v>
      </c>
      <c r="C1734" s="145">
        <f>SUM(C1720:C1733)</f>
        <v>475700</v>
      </c>
      <c r="D1734" s="145">
        <f>SUM(D1720:D1733)</f>
        <v>377200</v>
      </c>
      <c r="E1734" s="1443">
        <f t="shared" ref="E1734" si="2197">SUM(E1720:E1733)</f>
        <v>69100</v>
      </c>
      <c r="F1734" s="173"/>
      <c r="G1734" s="267" t="s">
        <v>2561</v>
      </c>
      <c r="H1734" s="16">
        <f t="shared" ref="H1734:O1734" si="2198">SUM(H1720:H1733)</f>
        <v>67900</v>
      </c>
      <c r="I1734" s="127">
        <f>IF(E1734=H1734,0,IF(E1734=0,100,(H1734-E1734)/E1734*100))</f>
        <v>-1.7366136034732274</v>
      </c>
      <c r="J1734" s="16">
        <f t="shared" si="2198"/>
        <v>69600</v>
      </c>
      <c r="K1734" s="16">
        <f t="shared" si="2198"/>
        <v>71500</v>
      </c>
      <c r="L1734" s="16">
        <f t="shared" si="2198"/>
        <v>73400</v>
      </c>
      <c r="M1734" s="16">
        <f t="shared" si="2198"/>
        <v>75300</v>
      </c>
      <c r="N1734" s="16">
        <f t="shared" si="2198"/>
        <v>77300</v>
      </c>
      <c r="O1734" s="16">
        <f t="shared" si="2198"/>
        <v>79300</v>
      </c>
      <c r="P1734" s="16">
        <f t="shared" ref="P1734:Q1734" si="2199">SUM(P1720:P1733)</f>
        <v>81400</v>
      </c>
      <c r="Q1734" s="16">
        <f t="shared" si="2199"/>
        <v>83500</v>
      </c>
      <c r="R1734" s="16">
        <f t="shared" ref="R1734" si="2200">SUM(R1720:R1733)</f>
        <v>85600</v>
      </c>
      <c r="S1734" s="2342">
        <f t="shared" ref="S1734" si="2201">SUM(S1720:S1733)</f>
        <v>87800</v>
      </c>
      <c r="U1734" s="34"/>
    </row>
    <row r="1735" spans="1:21" x14ac:dyDescent="0.2">
      <c r="A1735" s="45"/>
      <c r="B1735" s="9"/>
      <c r="C1735" s="134"/>
      <c r="D1735" s="134"/>
      <c r="E1735" s="1442"/>
      <c r="F1735" s="167"/>
      <c r="G1735" s="21"/>
      <c r="H1735" s="9"/>
      <c r="I1735" s="85"/>
      <c r="J1735" s="9"/>
      <c r="K1735" s="9"/>
      <c r="L1735" s="9"/>
      <c r="M1735" s="9"/>
      <c r="N1735" s="9"/>
      <c r="O1735" s="9"/>
      <c r="P1735" s="9"/>
      <c r="Q1735" s="9"/>
      <c r="R1735" s="9"/>
      <c r="S1735" s="47"/>
    </row>
    <row r="1736" spans="1:21" x14ac:dyDescent="0.2">
      <c r="A1736" s="45"/>
      <c r="B1736" s="9"/>
      <c r="C1736" s="134"/>
      <c r="D1736" s="134"/>
      <c r="E1736" s="1442"/>
      <c r="F1736" s="167"/>
      <c r="G1736" s="256" t="s">
        <v>2169</v>
      </c>
      <c r="H1736" s="9"/>
      <c r="I1736" s="85"/>
      <c r="J1736" s="9"/>
      <c r="K1736" s="9"/>
      <c r="L1736" s="9"/>
      <c r="M1736" s="9"/>
      <c r="N1736" s="9"/>
      <c r="O1736" s="9"/>
      <c r="P1736" s="9"/>
      <c r="Q1736" s="9"/>
      <c r="R1736" s="9"/>
      <c r="S1736" s="47"/>
    </row>
    <row r="1737" spans="1:21" x14ac:dyDescent="0.2">
      <c r="A1737" s="45"/>
      <c r="B1737" s="9"/>
      <c r="C1737" s="134"/>
      <c r="D1737" s="134"/>
      <c r="E1737" s="1442"/>
      <c r="F1737" s="167"/>
      <c r="G1737" s="256"/>
      <c r="H1737" s="9"/>
      <c r="I1737" s="85"/>
      <c r="J1737" s="9"/>
      <c r="K1737" s="9"/>
      <c r="L1737" s="9"/>
      <c r="M1737" s="9"/>
      <c r="N1737" s="9"/>
      <c r="O1737" s="9"/>
      <c r="P1737" s="9"/>
      <c r="Q1737" s="9"/>
      <c r="R1737" s="9"/>
      <c r="S1737" s="47"/>
    </row>
    <row r="1738" spans="1:21" x14ac:dyDescent="0.2">
      <c r="A1738" s="45"/>
      <c r="B1738" s="9"/>
      <c r="E1738" s="1442"/>
      <c r="F1738" s="167"/>
      <c r="G1738" s="260" t="s">
        <v>237</v>
      </c>
      <c r="H1738" s="9"/>
      <c r="I1738" s="85"/>
      <c r="J1738" s="9"/>
      <c r="K1738" s="9"/>
      <c r="L1738" s="9"/>
      <c r="M1738" s="9"/>
      <c r="N1738" s="9"/>
      <c r="O1738" s="9"/>
      <c r="P1738" s="9"/>
      <c r="Q1738" s="9"/>
      <c r="R1738" s="9"/>
      <c r="S1738" s="47"/>
    </row>
    <row r="1739" spans="1:21" x14ac:dyDescent="0.2">
      <c r="A1739" s="54">
        <v>2500</v>
      </c>
      <c r="B1739" s="9">
        <v>1500</v>
      </c>
      <c r="C1739" s="136">
        <v>4300</v>
      </c>
      <c r="D1739" s="136">
        <v>300</v>
      </c>
      <c r="E1739" s="1442">
        <v>3000</v>
      </c>
      <c r="F1739" s="469" t="s">
        <v>643</v>
      </c>
      <c r="G1739" s="385" t="s">
        <v>231</v>
      </c>
      <c r="H1739" s="9">
        <v>4300</v>
      </c>
      <c r="I1739" s="85">
        <f>IF(E1739=H1739,0,IF(E1739=0,100,(H1739-E1739)/E1739*100))</f>
        <v>43.333333333333336</v>
      </c>
      <c r="J1739" s="9">
        <f>ROUNDUP(H1739+(H1739*Assumptions!I$5),-2)</f>
        <v>4400</v>
      </c>
      <c r="K1739" s="9">
        <f>ROUNDUP(J1739+(J1739*Assumptions!J$5),-2)</f>
        <v>4600</v>
      </c>
      <c r="L1739" s="9">
        <f>ROUNDUP(K1739+(K1739*Assumptions!K$5),-2)</f>
        <v>4800</v>
      </c>
      <c r="M1739" s="9">
        <f>ROUNDUP(L1739+(L1739*Assumptions!L$5),-2)</f>
        <v>5000</v>
      </c>
      <c r="N1739" s="9">
        <f>ROUNDUP(M1739+(M1739*Assumptions!M$5),-2)</f>
        <v>5200</v>
      </c>
      <c r="O1739" s="9">
        <f>ROUNDUP(N1739+(N1739*Assumptions!N$5),-2)</f>
        <v>5400</v>
      </c>
      <c r="P1739" s="9">
        <f>ROUNDUP(O1739+(O1739*Assumptions!O$5),-2)</f>
        <v>5600</v>
      </c>
      <c r="Q1739" s="9">
        <f>ROUNDUP(P1739+(P1739*Assumptions!P$5),-2)</f>
        <v>5800</v>
      </c>
      <c r="R1739" s="9">
        <f>ROUNDUP(Q1739+(Q1739*Assumptions!Q$5),-2)</f>
        <v>6000</v>
      </c>
      <c r="S1739" s="47">
        <f>ROUNDUP(R1739+(R1739*Assumptions!R$5),-2)</f>
        <v>6200</v>
      </c>
    </row>
    <row r="1740" spans="1:21" x14ac:dyDescent="0.2">
      <c r="A1740" s="54"/>
      <c r="B1740" s="9"/>
      <c r="E1740" s="1442">
        <v>21500</v>
      </c>
      <c r="F1740" s="769" t="s">
        <v>7972</v>
      </c>
      <c r="G1740" s="661" t="s">
        <v>1296</v>
      </c>
      <c r="H1740" s="9">
        <v>15000</v>
      </c>
      <c r="I1740" s="85">
        <f>IF(E1740=H1740,0,IF(E1740=0,100,(H1740-E1740)/E1740*100))</f>
        <v>-30.232558139534881</v>
      </c>
      <c r="J1740" s="9">
        <f>ROUNDUP(H1740+(H1740*Assumptions!I$5),-2)</f>
        <v>15400</v>
      </c>
      <c r="K1740" s="9">
        <f>ROUNDUP(J1740+(J1740*Assumptions!J$5),-2)</f>
        <v>15800</v>
      </c>
      <c r="L1740" s="9">
        <f>ROUNDUP(K1740+(K1740*Assumptions!K$5),-2)</f>
        <v>16200</v>
      </c>
      <c r="M1740" s="9">
        <f>ROUNDUP(L1740+(L1740*Assumptions!L$5),-2)</f>
        <v>16700</v>
      </c>
      <c r="N1740" s="9">
        <f>ROUNDUP(M1740+(M1740*Assumptions!M$5),-2)</f>
        <v>17200</v>
      </c>
      <c r="O1740" s="9">
        <f>ROUNDUP(N1740+(N1740*Assumptions!N$5),-2)</f>
        <v>17700</v>
      </c>
      <c r="P1740" s="9">
        <f>ROUNDUP(O1740+(O1740*Assumptions!O$5),-2)</f>
        <v>18200</v>
      </c>
      <c r="Q1740" s="9">
        <f>ROUNDUP(P1740+(P1740*Assumptions!P$5),-2)</f>
        <v>18700</v>
      </c>
      <c r="R1740" s="9">
        <f>ROUNDUP(Q1740+(Q1740*Assumptions!Q$5),-2)</f>
        <v>19200</v>
      </c>
      <c r="S1740" s="47">
        <f>ROUNDUP(R1740+(R1740*Assumptions!R$5),-2)</f>
        <v>19700</v>
      </c>
    </row>
    <row r="1741" spans="1:21" x14ac:dyDescent="0.2">
      <c r="A1741" s="54">
        <v>9700</v>
      </c>
      <c r="B1741" s="9">
        <v>1300</v>
      </c>
      <c r="C1741" s="136">
        <v>1700</v>
      </c>
      <c r="D1741" s="136">
        <v>800</v>
      </c>
      <c r="E1741" s="1442">
        <v>6600</v>
      </c>
      <c r="F1741" s="469" t="s">
        <v>79</v>
      </c>
      <c r="G1741" s="661" t="s">
        <v>666</v>
      </c>
      <c r="H1741" s="9">
        <v>2100</v>
      </c>
      <c r="I1741" s="85">
        <f>IF(E1741=H1741,0,IF(E1741=0,100,(H1741-E1741)/E1741*100))</f>
        <v>-68.181818181818173</v>
      </c>
      <c r="J1741" s="9">
        <f>ROUNDUP(H1741+(H1741*Assumptions!I$5),-2)</f>
        <v>2200</v>
      </c>
      <c r="K1741" s="9">
        <f>ROUNDUP(J1741+(J1741*Assumptions!J$5),-2)</f>
        <v>2300</v>
      </c>
      <c r="L1741" s="9">
        <f>ROUNDUP(K1741+(K1741*Assumptions!K$5),-2)</f>
        <v>2400</v>
      </c>
      <c r="M1741" s="9">
        <f>ROUNDUP(L1741+(L1741*Assumptions!L$5),-2)</f>
        <v>2500</v>
      </c>
      <c r="N1741" s="9">
        <f>ROUNDUP(M1741+(M1741*Assumptions!M$5),-2)</f>
        <v>2600</v>
      </c>
      <c r="O1741" s="9">
        <f>ROUNDUP(N1741+(N1741*Assumptions!N$5),-2)</f>
        <v>2700</v>
      </c>
      <c r="P1741" s="9">
        <f>ROUNDUP(O1741+(O1741*Assumptions!O$5),-2)</f>
        <v>2800</v>
      </c>
      <c r="Q1741" s="9">
        <f>ROUNDUP(P1741+(P1741*Assumptions!P$5),-2)</f>
        <v>2900</v>
      </c>
      <c r="R1741" s="9">
        <f>ROUNDUP(Q1741+(Q1741*Assumptions!Q$5),-2)</f>
        <v>3000</v>
      </c>
      <c r="S1741" s="47">
        <f>ROUNDUP(R1741+(R1741*Assumptions!R$5),-2)</f>
        <v>3100</v>
      </c>
    </row>
    <row r="1742" spans="1:21" x14ac:dyDescent="0.2">
      <c r="A1742" s="45">
        <v>28100</v>
      </c>
      <c r="B1742" s="9">
        <v>5400</v>
      </c>
      <c r="C1742" s="707">
        <v>121900</v>
      </c>
      <c r="D1742" s="136">
        <v>32600</v>
      </c>
      <c r="E1742" s="1442">
        <v>2900</v>
      </c>
      <c r="F1742" s="769" t="s">
        <v>3220</v>
      </c>
      <c r="G1742" s="661" t="s">
        <v>3221</v>
      </c>
      <c r="H1742" s="9">
        <v>241100</v>
      </c>
      <c r="I1742" s="85">
        <f>IF(E1742=H1742,0,IF(E1742=0,100,(H1742-E1742)/E1742*100))</f>
        <v>8213.7931034482754</v>
      </c>
      <c r="J1742" s="9">
        <f>ROUNDUP(H1742+(H1742*Assumptions!I$5),-2)-247200</f>
        <v>-500</v>
      </c>
      <c r="K1742" s="9">
        <f>ROUNDUP(J1742+(J1742*Assumptions!J$5),-2)</f>
        <v>-600</v>
      </c>
      <c r="L1742" s="9">
        <f>ROUNDUP(K1742+(K1742*Assumptions!K$5),-2)</f>
        <v>-700</v>
      </c>
      <c r="M1742" s="9">
        <f>ROUNDUP(L1742+(L1742*Assumptions!L$5),-2)</f>
        <v>-800</v>
      </c>
      <c r="N1742" s="9">
        <f>ROUNDUP(M1742+(M1742*Assumptions!M$5),-2)</f>
        <v>-900</v>
      </c>
      <c r="O1742" s="9">
        <f>ROUNDUP(N1742+(N1742*Assumptions!N$5),-2)</f>
        <v>-1000</v>
      </c>
      <c r="P1742" s="9">
        <f>ROUNDUP(O1742+(O1742*Assumptions!O$5),-2)</f>
        <v>-1100</v>
      </c>
      <c r="Q1742" s="9">
        <f>ROUNDUP(P1742+(P1742*Assumptions!P$5),-2)</f>
        <v>-1200</v>
      </c>
      <c r="R1742" s="9">
        <f>ROUNDUP(Q1742+(Q1742*Assumptions!Q$5),-2)</f>
        <v>-1300</v>
      </c>
      <c r="S1742" s="47">
        <f>ROUNDUP(R1742+(R1742*Assumptions!R$5),-2)</f>
        <v>-1400</v>
      </c>
    </row>
    <row r="1743" spans="1:21" x14ac:dyDescent="0.2">
      <c r="A1743" s="45"/>
      <c r="B1743" s="9"/>
      <c r="C1743" s="707"/>
      <c r="E1743" s="1442">
        <v>17000</v>
      </c>
      <c r="F1743" s="769" t="s">
        <v>6876</v>
      </c>
      <c r="G1743" s="661" t="s">
        <v>6877</v>
      </c>
      <c r="H1743" s="9">
        <v>25000</v>
      </c>
      <c r="I1743" s="85">
        <f>IF(E1743=H1743,0,IF(E1743=0,100,(H1743-E1743)/E1743*100))</f>
        <v>47.058823529411761</v>
      </c>
      <c r="J1743" s="9">
        <f>ROUNDUP(H1743+(H1743*Assumptions!I$5),-2)</f>
        <v>25600</v>
      </c>
      <c r="K1743" s="9">
        <f>ROUNDUP(J1743+(J1743*Assumptions!J$5),-2)</f>
        <v>26300</v>
      </c>
      <c r="L1743" s="9">
        <f>ROUNDUP(K1743+(K1743*Assumptions!K$5),-2)</f>
        <v>27000</v>
      </c>
      <c r="M1743" s="9">
        <f>ROUNDUP(L1743+(L1743*Assumptions!L$5),-2)</f>
        <v>27700</v>
      </c>
      <c r="N1743" s="9">
        <f>ROUNDUP(M1743+(M1743*Assumptions!M$5),-2)</f>
        <v>28400</v>
      </c>
      <c r="O1743" s="9">
        <f>ROUNDUP(N1743+(N1743*Assumptions!N$5),-2)</f>
        <v>29200</v>
      </c>
      <c r="P1743" s="9">
        <f>ROUNDUP(O1743+(O1743*Assumptions!O$5),-2)</f>
        <v>30000</v>
      </c>
      <c r="Q1743" s="9">
        <f>ROUNDUP(P1743+(P1743*Assumptions!P$5),-2)</f>
        <v>30800</v>
      </c>
      <c r="R1743" s="9">
        <f>ROUNDUP(Q1743+(Q1743*Assumptions!Q$5),-2)</f>
        <v>31600</v>
      </c>
      <c r="S1743" s="47">
        <f>ROUNDUP(R1743+(R1743*Assumptions!R$5),-2)</f>
        <v>32400</v>
      </c>
    </row>
    <row r="1744" spans="1:21" x14ac:dyDescent="0.2">
      <c r="A1744" s="45"/>
      <c r="B1744" s="9"/>
      <c r="E1744" s="1442"/>
      <c r="F1744" s="469"/>
      <c r="G1744" s="385"/>
      <c r="H1744" s="9"/>
      <c r="I1744" s="85"/>
      <c r="J1744" s="9"/>
      <c r="K1744" s="9"/>
      <c r="L1744" s="9"/>
      <c r="M1744" s="9"/>
      <c r="N1744" s="9"/>
      <c r="O1744" s="9"/>
      <c r="P1744" s="9"/>
      <c r="Q1744" s="9"/>
      <c r="R1744" s="9"/>
      <c r="S1744" s="47"/>
    </row>
    <row r="1745" spans="1:21" x14ac:dyDescent="0.2">
      <c r="A1745" s="45"/>
      <c r="B1745" s="9"/>
      <c r="E1745" s="1442"/>
      <c r="F1745" s="469"/>
      <c r="G1745" s="780" t="s">
        <v>6672</v>
      </c>
      <c r="H1745" s="9"/>
      <c r="I1745" s="85"/>
      <c r="J1745" s="9"/>
      <c r="K1745" s="9"/>
      <c r="L1745" s="9"/>
      <c r="M1745" s="9"/>
      <c r="N1745" s="9"/>
      <c r="O1745" s="9"/>
      <c r="P1745" s="9"/>
      <c r="Q1745" s="9"/>
      <c r="R1745" s="9"/>
      <c r="S1745" s="47"/>
    </row>
    <row r="1746" spans="1:21" x14ac:dyDescent="0.2">
      <c r="A1746" s="45">
        <v>0</v>
      </c>
      <c r="B1746" s="9">
        <v>0</v>
      </c>
      <c r="C1746" s="136">
        <v>0</v>
      </c>
      <c r="D1746" s="136">
        <v>0</v>
      </c>
      <c r="E1746" s="1442">
        <v>0</v>
      </c>
      <c r="F1746" s="469" t="s">
        <v>6674</v>
      </c>
      <c r="G1746" s="385" t="s">
        <v>6673</v>
      </c>
      <c r="H1746" s="9">
        <v>250000</v>
      </c>
      <c r="I1746" s="85">
        <f>IF(E1746=H1746,0,IF(E1746=0,100,(H1746-E1746)/E1746*100))</f>
        <v>100</v>
      </c>
      <c r="J1746" s="9">
        <f>ROUNDUP(H1746+(H1746*Assumptions!I$5),-2)-256300</f>
        <v>-500</v>
      </c>
      <c r="K1746" s="9">
        <f>ROUNDUP(J1746+(J1746*Assumptions!J$5),-2)</f>
        <v>-600</v>
      </c>
      <c r="L1746" s="9">
        <f>ROUNDUP(K1746+(K1746*Assumptions!K$5),-2)</f>
        <v>-700</v>
      </c>
      <c r="M1746" s="9">
        <f>ROUNDUP(L1746+(L1746*Assumptions!L$5),-2)</f>
        <v>-800</v>
      </c>
      <c r="N1746" s="9">
        <f>ROUNDUP(M1746+(M1746*Assumptions!M$5),-2)</f>
        <v>-900</v>
      </c>
      <c r="O1746" s="9">
        <f>ROUNDUP(N1746+(N1746*Assumptions!N$5),-2)</f>
        <v>-1000</v>
      </c>
      <c r="P1746" s="9">
        <f>ROUNDUP(O1746+(O1746*Assumptions!O$5),-2)</f>
        <v>-1100</v>
      </c>
      <c r="Q1746" s="9">
        <f>ROUNDUP(P1746+(P1746*Assumptions!P$5),-2)</f>
        <v>-1200</v>
      </c>
      <c r="R1746" s="9">
        <f>ROUNDUP(Q1746+(Q1746*Assumptions!Q$5),-2)</f>
        <v>-1300</v>
      </c>
      <c r="S1746" s="47">
        <f>ROUNDUP(R1746+(R1746*Assumptions!R$5),-2)</f>
        <v>-1400</v>
      </c>
    </row>
    <row r="1747" spans="1:21" s="39" customFormat="1" x14ac:dyDescent="0.2">
      <c r="A1747" s="544"/>
      <c r="B1747" s="21"/>
      <c r="C1747" s="139"/>
      <c r="D1747" s="139"/>
      <c r="E1747" s="143"/>
      <c r="F1747" s="173"/>
      <c r="G1747" s="257"/>
      <c r="H1747" s="21"/>
      <c r="I1747" s="85"/>
      <c r="J1747" s="21"/>
      <c r="K1747" s="21"/>
      <c r="L1747" s="21"/>
      <c r="M1747" s="21"/>
      <c r="N1747" s="21"/>
      <c r="O1747" s="21"/>
      <c r="P1747" s="21"/>
      <c r="Q1747" s="21"/>
      <c r="R1747" s="21"/>
      <c r="S1747" s="86"/>
      <c r="U1747" s="34"/>
    </row>
    <row r="1748" spans="1:21" s="39" customFormat="1" x14ac:dyDescent="0.2">
      <c r="A1748" s="544"/>
      <c r="B1748" s="21"/>
      <c r="C1748" s="139"/>
      <c r="D1748" s="139"/>
      <c r="E1748" s="143"/>
      <c r="F1748" s="173"/>
      <c r="G1748" s="260" t="s">
        <v>2240</v>
      </c>
      <c r="H1748" s="21"/>
      <c r="I1748" s="85"/>
      <c r="J1748" s="21"/>
      <c r="K1748" s="21"/>
      <c r="L1748" s="21"/>
      <c r="M1748" s="21"/>
      <c r="N1748" s="21"/>
      <c r="O1748" s="21"/>
      <c r="P1748" s="21"/>
      <c r="Q1748" s="21"/>
      <c r="R1748" s="21"/>
      <c r="S1748" s="86"/>
      <c r="U1748" s="34"/>
    </row>
    <row r="1749" spans="1:21" x14ac:dyDescent="0.2">
      <c r="A1749" s="54">
        <v>10000</v>
      </c>
      <c r="B1749" s="9">
        <v>23000</v>
      </c>
      <c r="C1749" s="136">
        <v>36000</v>
      </c>
      <c r="D1749" s="136">
        <v>51000</v>
      </c>
      <c r="E1749" s="144">
        <v>34000</v>
      </c>
      <c r="F1749" s="469" t="s">
        <v>2484</v>
      </c>
      <c r="G1749" s="634" t="s">
        <v>3888</v>
      </c>
      <c r="H1749" s="9">
        <v>0</v>
      </c>
      <c r="I1749" s="85">
        <f>IF(E1749=H1749,0,IF(E1749=0,100,(H1749-E1749)/E1749*100))</f>
        <v>-100</v>
      </c>
      <c r="J1749" s="9">
        <f>ROUND(H1749*Assumptions!I$5+CIV!H1749,-2)</f>
        <v>0</v>
      </c>
      <c r="K1749" s="9">
        <f>ROUND(J1749*Assumptions!J$5+CIV!J1749,-2)</f>
        <v>0</v>
      </c>
      <c r="L1749" s="9">
        <f>ROUND(K1749*Assumptions!K$5+CIV!K1749,-2)</f>
        <v>0</v>
      </c>
      <c r="M1749" s="9">
        <f>ROUND(L1749*Assumptions!L$5+CIV!L1749,-2)</f>
        <v>0</v>
      </c>
      <c r="N1749" s="9">
        <f>ROUND(M1749*Assumptions!M$5+CIV!M1749,-2)</f>
        <v>0</v>
      </c>
      <c r="O1749" s="9">
        <f>ROUND(N1749*Assumptions!N$5+CIV!N1749,-2)</f>
        <v>0</v>
      </c>
      <c r="P1749" s="9">
        <f>ROUND(O1749*Assumptions!O$5+CIV!O1749,-2)</f>
        <v>0</v>
      </c>
      <c r="Q1749" s="9">
        <f>ROUND(P1749*Assumptions!P$5+CIV!P1749,-2)</f>
        <v>0</v>
      </c>
      <c r="R1749" s="9">
        <f>ROUND(Q1749*Assumptions!Q$5+CIV!Q1749,-2)</f>
        <v>0</v>
      </c>
      <c r="S1749" s="47">
        <f>ROUND(R1749*Assumptions!R$5+CIV!R1749,-2)</f>
        <v>0</v>
      </c>
    </row>
    <row r="1750" spans="1:21" ht="13.5" customHeight="1" x14ac:dyDescent="0.2">
      <c r="A1750" s="54"/>
      <c r="B1750" s="9"/>
      <c r="E1750" s="144"/>
      <c r="F1750" s="1618"/>
      <c r="G1750" s="385"/>
      <c r="H1750" s="9"/>
      <c r="I1750" s="85"/>
      <c r="J1750" s="9"/>
      <c r="K1750" s="9"/>
      <c r="L1750" s="9"/>
      <c r="M1750" s="9"/>
      <c r="N1750" s="9"/>
      <c r="O1750" s="9"/>
      <c r="P1750" s="9"/>
      <c r="Q1750" s="9"/>
      <c r="R1750" s="9"/>
      <c r="S1750" s="47"/>
    </row>
    <row r="1751" spans="1:21" x14ac:dyDescent="0.2">
      <c r="A1751" s="45"/>
      <c r="B1751" s="9"/>
      <c r="E1751" s="144"/>
      <c r="F1751" s="167"/>
      <c r="G1751" s="260" t="s">
        <v>2181</v>
      </c>
      <c r="H1751" s="9"/>
      <c r="I1751" s="85"/>
      <c r="J1751" s="9"/>
      <c r="K1751" s="9"/>
      <c r="L1751" s="9"/>
      <c r="M1751" s="9"/>
      <c r="N1751" s="9"/>
      <c r="O1751" s="9"/>
      <c r="P1751" s="9"/>
      <c r="Q1751" s="9"/>
      <c r="R1751" s="9"/>
      <c r="S1751" s="47"/>
    </row>
    <row r="1752" spans="1:21" x14ac:dyDescent="0.2">
      <c r="A1752" s="54">
        <v>13400</v>
      </c>
      <c r="B1752" s="9">
        <v>7300</v>
      </c>
      <c r="C1752" s="136">
        <v>1800</v>
      </c>
      <c r="D1752" s="136">
        <v>0</v>
      </c>
      <c r="E1752" s="144">
        <v>0</v>
      </c>
      <c r="F1752" s="469" t="s">
        <v>2486</v>
      </c>
      <c r="G1752" s="385" t="s">
        <v>666</v>
      </c>
      <c r="H1752" s="9">
        <v>2100</v>
      </c>
      <c r="I1752" s="85">
        <f>IF(E1752=H1752,0,IF(E1752=0,100,(H1752-E1752)/E1752*100))</f>
        <v>100</v>
      </c>
      <c r="J1752" s="9">
        <f>ROUNDUP(H1752+(H1752*Assumptions!I$5),-2)</f>
        <v>2200</v>
      </c>
      <c r="K1752" s="9">
        <f>ROUNDUP(J1752+(J1752*Assumptions!J$5),-2)</f>
        <v>2300</v>
      </c>
      <c r="L1752" s="9">
        <f>ROUNDUP(K1752+(K1752*Assumptions!K$5),-2)</f>
        <v>2400</v>
      </c>
      <c r="M1752" s="9">
        <f>ROUNDUP(L1752+(L1752*Assumptions!L$5),-2)</f>
        <v>2500</v>
      </c>
      <c r="N1752" s="9">
        <f>ROUNDUP(M1752+(M1752*Assumptions!M$5),-2)</f>
        <v>2600</v>
      </c>
      <c r="O1752" s="9">
        <f>ROUNDUP(N1752+(N1752*Assumptions!N$5),-2)</f>
        <v>2700</v>
      </c>
      <c r="P1752" s="9">
        <f>ROUNDUP(O1752+(O1752*Assumptions!O$5),-2)</f>
        <v>2800</v>
      </c>
      <c r="Q1752" s="9">
        <f>ROUNDUP(P1752+(P1752*Assumptions!P$5),-2)</f>
        <v>2900</v>
      </c>
      <c r="R1752" s="9">
        <f>ROUNDUP(Q1752+(Q1752*Assumptions!Q$5),-2)</f>
        <v>3000</v>
      </c>
      <c r="S1752" s="47">
        <f>ROUNDUP(R1752+(R1752*Assumptions!R$5),-2)</f>
        <v>3100</v>
      </c>
    </row>
    <row r="1753" spans="1:21" x14ac:dyDescent="0.2">
      <c r="A1753" s="54">
        <v>800</v>
      </c>
      <c r="B1753" s="9">
        <v>600</v>
      </c>
      <c r="C1753" s="136">
        <v>400</v>
      </c>
      <c r="D1753" s="136">
        <v>500</v>
      </c>
      <c r="E1753" s="144">
        <v>500</v>
      </c>
      <c r="F1753" s="469" t="s">
        <v>2487</v>
      </c>
      <c r="G1753" s="385" t="s">
        <v>2830</v>
      </c>
      <c r="H1753" s="9">
        <v>1100</v>
      </c>
      <c r="I1753" s="85">
        <f>IF(E1753=H1753,0,IF(E1753=0,100,(H1753-E1753)/E1753*100))</f>
        <v>120</v>
      </c>
      <c r="J1753" s="9">
        <f>ROUNDUP(H1753+(H1753*Assumptions!I$5),-2)</f>
        <v>1200</v>
      </c>
      <c r="K1753" s="9">
        <f>ROUNDUP(J1753+(J1753*Assumptions!J$5),-2)</f>
        <v>1300</v>
      </c>
      <c r="L1753" s="9">
        <f>ROUNDUP(K1753+(K1753*Assumptions!K$5),-2)</f>
        <v>1400</v>
      </c>
      <c r="M1753" s="9">
        <f>ROUNDUP(L1753+(L1753*Assumptions!L$5),-2)</f>
        <v>1500</v>
      </c>
      <c r="N1753" s="9">
        <f>ROUNDUP(M1753+(M1753*Assumptions!M$5),-2)</f>
        <v>1600</v>
      </c>
      <c r="O1753" s="9">
        <f>ROUNDUP(N1753+(N1753*Assumptions!N$5),-2)</f>
        <v>1700</v>
      </c>
      <c r="P1753" s="9">
        <f>ROUNDUP(O1753+(O1753*Assumptions!O$5),-2)</f>
        <v>1800</v>
      </c>
      <c r="Q1753" s="9">
        <f>ROUNDUP(P1753+(P1753*Assumptions!P$5),-2)</f>
        <v>1900</v>
      </c>
      <c r="R1753" s="9">
        <f>ROUNDUP(Q1753+(Q1753*Assumptions!Q$5),-2)</f>
        <v>2000</v>
      </c>
      <c r="S1753" s="47">
        <f>ROUNDUP(R1753+(R1753*Assumptions!R$5),-2)</f>
        <v>2100</v>
      </c>
    </row>
    <row r="1754" spans="1:21" x14ac:dyDescent="0.2">
      <c r="A1754" s="54">
        <v>6900</v>
      </c>
      <c r="B1754" s="9">
        <v>3700</v>
      </c>
      <c r="C1754" s="136">
        <v>9300</v>
      </c>
      <c r="D1754" s="136">
        <v>5400</v>
      </c>
      <c r="E1754" s="144">
        <v>4700</v>
      </c>
      <c r="F1754" s="469" t="s">
        <v>2640</v>
      </c>
      <c r="G1754" s="661" t="s">
        <v>4719</v>
      </c>
      <c r="H1754" s="9">
        <v>10200</v>
      </c>
      <c r="I1754" s="85">
        <f>IF(E1754=H1754,0,IF(E1754=0,100,(H1754-E1754)/E1754*100))</f>
        <v>117.02127659574468</v>
      </c>
      <c r="J1754" s="9">
        <f>ROUNDUP(H1754+(H1754*Assumptions!I$5),-2)</f>
        <v>10500</v>
      </c>
      <c r="K1754" s="9">
        <f>ROUNDUP(J1754+(J1754*Assumptions!J$5),-2)</f>
        <v>10800</v>
      </c>
      <c r="L1754" s="9">
        <f>ROUNDUP(K1754+(K1754*Assumptions!K$5),-2)</f>
        <v>11100</v>
      </c>
      <c r="M1754" s="9">
        <f>ROUNDUP(L1754+(L1754*Assumptions!L$5),-2)</f>
        <v>11400</v>
      </c>
      <c r="N1754" s="9">
        <f>ROUNDUP(M1754+(M1754*Assumptions!M$5),-2)</f>
        <v>11700</v>
      </c>
      <c r="O1754" s="9">
        <f>ROUNDUP(N1754+(N1754*Assumptions!N$5),-2)</f>
        <v>12000</v>
      </c>
      <c r="P1754" s="9">
        <f>ROUNDUP(O1754+(O1754*Assumptions!O$5),-2)</f>
        <v>12300</v>
      </c>
      <c r="Q1754" s="9">
        <f>ROUNDUP(P1754+(P1754*Assumptions!P$5),-2)</f>
        <v>12700</v>
      </c>
      <c r="R1754" s="9">
        <f>ROUNDUP(Q1754+(Q1754*Assumptions!Q$5),-2)</f>
        <v>13100</v>
      </c>
      <c r="S1754" s="47">
        <f>ROUNDUP(R1754+(R1754*Assumptions!R$5),-2)</f>
        <v>13500</v>
      </c>
    </row>
    <row r="1755" spans="1:21" x14ac:dyDescent="0.2">
      <c r="A1755" s="54"/>
      <c r="B1755" s="9"/>
      <c r="E1755" s="144"/>
      <c r="F1755" s="469"/>
      <c r="G1755" s="385"/>
      <c r="H1755" s="9"/>
      <c r="I1755" s="85"/>
      <c r="J1755" s="9"/>
      <c r="K1755" s="9"/>
      <c r="L1755" s="9"/>
      <c r="M1755" s="9"/>
      <c r="N1755" s="9"/>
      <c r="O1755" s="9"/>
      <c r="P1755" s="9"/>
      <c r="Q1755" s="9"/>
      <c r="R1755" s="9"/>
      <c r="S1755" s="47"/>
    </row>
    <row r="1756" spans="1:21" x14ac:dyDescent="0.2">
      <c r="A1756" s="54"/>
      <c r="B1756" s="9"/>
      <c r="E1756" s="144"/>
      <c r="F1756" s="469"/>
      <c r="G1756" s="1189" t="s">
        <v>3762</v>
      </c>
      <c r="H1756" s="9"/>
      <c r="I1756" s="85"/>
      <c r="J1756" s="9"/>
      <c r="K1756" s="9"/>
      <c r="L1756" s="9"/>
      <c r="M1756" s="9"/>
      <c r="N1756" s="9"/>
      <c r="O1756" s="9"/>
      <c r="P1756" s="9"/>
      <c r="Q1756" s="9"/>
      <c r="R1756" s="9"/>
      <c r="S1756" s="47"/>
    </row>
    <row r="1757" spans="1:21" x14ac:dyDescent="0.2">
      <c r="A1757" s="54">
        <v>0</v>
      </c>
      <c r="B1757" s="9">
        <v>0</v>
      </c>
      <c r="C1757" s="136">
        <v>0</v>
      </c>
      <c r="D1757" s="136">
        <v>60300</v>
      </c>
      <c r="E1757" s="144">
        <v>10600</v>
      </c>
      <c r="F1757" s="769" t="s">
        <v>3219</v>
      </c>
      <c r="G1757" s="661" t="s">
        <v>3496</v>
      </c>
      <c r="H1757" s="9">
        <v>79400</v>
      </c>
      <c r="I1757" s="85">
        <f>IF(E1757=H1757,0,IF(E1757=0,100,(H1757-E1757)/E1757*100))</f>
        <v>649.05660377358492</v>
      </c>
      <c r="J1757" s="9">
        <f>ROUNDUP(H1757+(H1757*Assumptions!I$5),-2)-81400</f>
        <v>-100</v>
      </c>
      <c r="K1757" s="9">
        <f>ROUNDUP(J1757+(J1757*Assumptions!J$5),-2)</f>
        <v>-200</v>
      </c>
      <c r="L1757" s="9">
        <f>ROUNDUP(K1757+(K1757*Assumptions!K$5),-2)</f>
        <v>-300</v>
      </c>
      <c r="M1757" s="9">
        <f>ROUNDUP(L1757+(L1757*Assumptions!L$5),-2)</f>
        <v>-400</v>
      </c>
      <c r="N1757" s="9">
        <f>ROUNDUP(M1757+(M1757*Assumptions!M$5),-2)</f>
        <v>-500</v>
      </c>
      <c r="O1757" s="9">
        <f>ROUNDUP(N1757+(N1757*Assumptions!N$5),-2)</f>
        <v>-600</v>
      </c>
      <c r="P1757" s="9">
        <f>ROUNDUP(O1757+(O1757*Assumptions!O$5),-2)</f>
        <v>-700</v>
      </c>
      <c r="Q1757" s="9">
        <f>ROUNDUP(P1757+(P1757*Assumptions!P$5),-2)</f>
        <v>-800</v>
      </c>
      <c r="R1757" s="9">
        <f>ROUNDUP(Q1757+(Q1757*Assumptions!Q$5),-2)</f>
        <v>-900</v>
      </c>
      <c r="S1757" s="47">
        <f>ROUNDUP(R1757+(R1757*Assumptions!R$5),-2)</f>
        <v>-1000</v>
      </c>
    </row>
    <row r="1758" spans="1:21" x14ac:dyDescent="0.2">
      <c r="A1758" s="54">
        <v>0</v>
      </c>
      <c r="B1758" s="9">
        <v>0</v>
      </c>
      <c r="C1758" s="136">
        <v>0</v>
      </c>
      <c r="D1758" s="136">
        <v>0</v>
      </c>
      <c r="E1758" s="144">
        <v>16000</v>
      </c>
      <c r="F1758" s="769" t="s">
        <v>6875</v>
      </c>
      <c r="G1758" s="661" t="s">
        <v>6643</v>
      </c>
      <c r="H1758" s="9">
        <v>0</v>
      </c>
      <c r="I1758" s="85">
        <f>IF(E1758=H1758,0,IF(E1758=0,100,(H1758-E1758)/E1758*100))</f>
        <v>-100</v>
      </c>
      <c r="J1758" s="9">
        <f>ROUNDUP(H1758+(H1758*Assumptions!I$5),-2)</f>
        <v>0</v>
      </c>
      <c r="K1758" s="9">
        <f>ROUNDUP(J1758+(J1758*Assumptions!J$5),-2)</f>
        <v>0</v>
      </c>
      <c r="L1758" s="9">
        <f>ROUNDUP(K1758+(K1758*Assumptions!K$5),-2)</f>
        <v>0</v>
      </c>
      <c r="M1758" s="9">
        <f>ROUNDUP(L1758+(L1758*Assumptions!L$5),-2)</f>
        <v>0</v>
      </c>
      <c r="N1758" s="9">
        <f>ROUNDUP(M1758+(M1758*Assumptions!M$5),-2)</f>
        <v>0</v>
      </c>
      <c r="O1758" s="9">
        <f>ROUNDUP(N1758+(N1758*Assumptions!N$5),-2)</f>
        <v>0</v>
      </c>
      <c r="P1758" s="9">
        <f>ROUNDUP(O1758+(O1758*Assumptions!O$5),-2)</f>
        <v>0</v>
      </c>
      <c r="Q1758" s="9">
        <f>ROUNDUP(P1758+(P1758*Assumptions!P$5),-2)</f>
        <v>0</v>
      </c>
      <c r="R1758" s="9">
        <f>ROUNDUP(Q1758+(Q1758*Assumptions!Q$5),-2)</f>
        <v>0</v>
      </c>
      <c r="S1758" s="47">
        <f>ROUNDUP(R1758+(R1758*Assumptions!R$5),-2)</f>
        <v>0</v>
      </c>
    </row>
    <row r="1759" spans="1:21" x14ac:dyDescent="0.2">
      <c r="A1759" s="54"/>
      <c r="B1759" s="9"/>
      <c r="E1759" s="144"/>
      <c r="F1759" s="1618"/>
      <c r="G1759" s="385"/>
      <c r="H1759" s="9"/>
      <c r="I1759" s="85"/>
      <c r="J1759" s="9"/>
      <c r="K1759" s="9"/>
      <c r="L1759" s="9"/>
      <c r="M1759" s="9"/>
      <c r="N1759" s="9"/>
      <c r="O1759" s="9"/>
      <c r="P1759" s="9"/>
      <c r="Q1759" s="9"/>
      <c r="R1759" s="9"/>
      <c r="S1759" s="47"/>
    </row>
    <row r="1760" spans="1:21" x14ac:dyDescent="0.2">
      <c r="A1760" s="54"/>
      <c r="B1760" s="9"/>
      <c r="E1760" s="1442"/>
      <c r="F1760" s="167"/>
      <c r="G1760" s="260" t="str">
        <f>G101</f>
        <v>Non-Cash Expenses</v>
      </c>
      <c r="H1760" s="9"/>
      <c r="I1760" s="85"/>
      <c r="J1760" s="9"/>
      <c r="K1760" s="9"/>
      <c r="L1760" s="9"/>
      <c r="M1760" s="9"/>
      <c r="N1760" s="9"/>
      <c r="O1760" s="9"/>
      <c r="P1760" s="9"/>
      <c r="Q1760" s="9"/>
      <c r="R1760" s="9"/>
      <c r="S1760" s="47"/>
    </row>
    <row r="1761" spans="1:21" x14ac:dyDescent="0.2">
      <c r="A1761" s="54">
        <v>9500</v>
      </c>
      <c r="B1761" s="9">
        <f>10600+3500</f>
        <v>14100</v>
      </c>
      <c r="C1761" s="136">
        <f>2000+3500</f>
        <v>5500</v>
      </c>
      <c r="D1761" s="136">
        <v>5600</v>
      </c>
      <c r="E1761" s="1442">
        <v>3700</v>
      </c>
      <c r="F1761" s="469" t="s">
        <v>2485</v>
      </c>
      <c r="G1761" s="9" t="s">
        <v>1728</v>
      </c>
      <c r="H1761" s="9">
        <v>6200</v>
      </c>
      <c r="I1761" s="85">
        <f>IF(E1761=H1761,0,IF(E1761=0,100,(H1761-E1761)/E1761*100))</f>
        <v>67.567567567567565</v>
      </c>
      <c r="J1761" s="9">
        <f>ROUNDUP(H1761+(H1761*Assumptions!I$18),-2)</f>
        <v>6400</v>
      </c>
      <c r="K1761" s="9">
        <f>ROUNDUP(J1761+(J1761*Assumptions!J$18),-2)</f>
        <v>6600</v>
      </c>
      <c r="L1761" s="9">
        <f>ROUNDUP(K1761+(K1761*Assumptions!K$18),-2)</f>
        <v>6800</v>
      </c>
      <c r="M1761" s="9">
        <f>ROUNDUP(L1761+(L1761*Assumptions!L$18),-2)</f>
        <v>7000</v>
      </c>
      <c r="N1761" s="9">
        <f>ROUNDUP(M1761+(M1761*Assumptions!M$18),-2)</f>
        <v>7200</v>
      </c>
      <c r="O1761" s="9">
        <f>ROUNDUP(N1761+(N1761*Assumptions!N$18),-2)</f>
        <v>7400</v>
      </c>
      <c r="P1761" s="9">
        <f>ROUNDUP(O1761+(O1761*Assumptions!O$18),-2)</f>
        <v>7600</v>
      </c>
      <c r="Q1761" s="9">
        <f>ROUNDUP(P1761+(P1761*Assumptions!P$18),-2)</f>
        <v>7800</v>
      </c>
      <c r="R1761" s="9">
        <f>ROUNDUP(Q1761+(Q1761*Assumptions!Q$18),-2)</f>
        <v>8000</v>
      </c>
      <c r="S1761" s="47">
        <f>ROUNDUP(R1761+(R1761*Assumptions!R$18),-2)</f>
        <v>8200</v>
      </c>
    </row>
    <row r="1762" spans="1:21" x14ac:dyDescent="0.2">
      <c r="A1762" s="54">
        <v>82000</v>
      </c>
      <c r="B1762" s="9">
        <v>81900</v>
      </c>
      <c r="C1762" s="136">
        <v>3900</v>
      </c>
      <c r="D1762" s="136">
        <v>3900</v>
      </c>
      <c r="E1762" s="1442">
        <v>3900</v>
      </c>
      <c r="F1762" s="469" t="s">
        <v>2206</v>
      </c>
      <c r="G1762" s="79" t="s">
        <v>4150</v>
      </c>
      <c r="H1762" s="9">
        <v>4100</v>
      </c>
      <c r="I1762" s="85">
        <f>IF(E1762=H1762,0,IF(E1762=0,100,(H1762-E1762)/E1762*100))</f>
        <v>5.1282051282051277</v>
      </c>
      <c r="J1762" s="9">
        <f>ROUNDUP(H1762+(H1762*Assumptions!I$18),-2)</f>
        <v>4200</v>
      </c>
      <c r="K1762" s="9">
        <f>ROUNDUP(J1762+(J1762*Assumptions!J$18),-2)</f>
        <v>4300</v>
      </c>
      <c r="L1762" s="9">
        <f>ROUNDUP(K1762+(K1762*Assumptions!K$18),-2)</f>
        <v>4400</v>
      </c>
      <c r="M1762" s="9">
        <f>ROUNDUP(L1762+(L1762*Assumptions!L$18),-2)</f>
        <v>4500</v>
      </c>
      <c r="N1762" s="9">
        <f>ROUNDUP(M1762+(M1762*Assumptions!M$18),-2)</f>
        <v>4600</v>
      </c>
      <c r="O1762" s="9">
        <f>ROUNDUP(N1762+(N1762*Assumptions!N$18),-2)</f>
        <v>4700</v>
      </c>
      <c r="P1762" s="9">
        <f>ROUNDUP(O1762+(O1762*Assumptions!O$18),-2)</f>
        <v>4800</v>
      </c>
      <c r="Q1762" s="9">
        <f>ROUNDUP(P1762+(P1762*Assumptions!P$18),-2)</f>
        <v>4900</v>
      </c>
      <c r="R1762" s="9">
        <f>ROUNDUP(Q1762+(Q1762*Assumptions!Q$18),-2)</f>
        <v>5000</v>
      </c>
      <c r="S1762" s="47">
        <f>ROUNDUP(R1762+(R1762*Assumptions!R$18),-2)</f>
        <v>5100</v>
      </c>
    </row>
    <row r="1763" spans="1:21" x14ac:dyDescent="0.2">
      <c r="A1763" s="54">
        <v>55000</v>
      </c>
      <c r="B1763" s="9">
        <f>33800</f>
        <v>33800</v>
      </c>
      <c r="C1763" s="136">
        <v>43000</v>
      </c>
      <c r="D1763" s="136">
        <v>28000</v>
      </c>
      <c r="E1763" s="1442">
        <v>20100</v>
      </c>
      <c r="F1763" s="469" t="s">
        <v>574</v>
      </c>
      <c r="G1763" s="9" t="s">
        <v>2001</v>
      </c>
      <c r="H1763" s="9">
        <v>47200</v>
      </c>
      <c r="I1763" s="85">
        <f>IF(E1763=H1763,0,IF(E1763=0,100,(H1763-E1763)/E1763*100))</f>
        <v>134.82587064676616</v>
      </c>
      <c r="J1763" s="9">
        <v>19200</v>
      </c>
      <c r="K1763" s="9">
        <v>19900</v>
      </c>
      <c r="L1763" s="9">
        <v>20600</v>
      </c>
      <c r="M1763" s="9">
        <v>21400</v>
      </c>
      <c r="N1763" s="9">
        <v>22100</v>
      </c>
      <c r="O1763" s="9">
        <v>22900</v>
      </c>
      <c r="P1763" s="9">
        <v>23800</v>
      </c>
      <c r="Q1763" s="9">
        <v>24700</v>
      </c>
      <c r="R1763" s="9">
        <v>25600</v>
      </c>
      <c r="S1763" s="47">
        <v>25600</v>
      </c>
    </row>
    <row r="1764" spans="1:21" ht="13.5" thickBot="1" x14ac:dyDescent="0.25">
      <c r="A1764" s="54"/>
      <c r="B1764" s="9"/>
      <c r="C1764" s="134"/>
      <c r="D1764" s="134"/>
      <c r="E1764" s="1442"/>
      <c r="F1764" s="167"/>
      <c r="G1764" s="9"/>
      <c r="H1764" s="9"/>
      <c r="I1764" s="85"/>
      <c r="J1764" s="9"/>
      <c r="K1764" s="9"/>
      <c r="L1764" s="9"/>
      <c r="M1764" s="9"/>
      <c r="N1764" s="9"/>
      <c r="O1764" s="9"/>
      <c r="P1764" s="9"/>
      <c r="Q1764" s="9"/>
      <c r="R1764" s="9"/>
      <c r="S1764" s="47"/>
    </row>
    <row r="1765" spans="1:21" s="39" customFormat="1" x14ac:dyDescent="0.2">
      <c r="A1765" s="52">
        <f>SUBTOTAL(9,A1738:A1764)</f>
        <v>217900</v>
      </c>
      <c r="B1765" s="16">
        <f>SUBTOTAL(9,B1738:B1764)</f>
        <v>172600</v>
      </c>
      <c r="C1765" s="137">
        <f>SUBTOTAL(9,C1738:C1764)</f>
        <v>227800</v>
      </c>
      <c r="D1765" s="137">
        <f>SUBTOTAL(9,D1738:D1764)</f>
        <v>188400</v>
      </c>
      <c r="E1765" s="1443">
        <f>SUBTOTAL(9,E1738:E1764)</f>
        <v>144500</v>
      </c>
      <c r="F1765" s="126"/>
      <c r="G1765" s="267" t="s">
        <v>556</v>
      </c>
      <c r="H1765" s="16">
        <f t="shared" ref="H1765:Q1765" si="2202">SUBTOTAL(9,H1738:H1764)</f>
        <v>687800</v>
      </c>
      <c r="I1765" s="127">
        <f>IF(E1765=H1765,0,IF(E1765=0,100,(H1765-E1765)/E1765*100))</f>
        <v>375.98615916955021</v>
      </c>
      <c r="J1765" s="16">
        <f t="shared" si="2202"/>
        <v>90200</v>
      </c>
      <c r="K1765" s="16">
        <f t="shared" si="2202"/>
        <v>92800</v>
      </c>
      <c r="L1765" s="16">
        <f t="shared" si="2202"/>
        <v>95400</v>
      </c>
      <c r="M1765" s="16">
        <f t="shared" si="2202"/>
        <v>98200</v>
      </c>
      <c r="N1765" s="16">
        <f t="shared" si="2202"/>
        <v>100900</v>
      </c>
      <c r="O1765" s="16">
        <f t="shared" si="2202"/>
        <v>103800</v>
      </c>
      <c r="P1765" s="16">
        <f t="shared" si="2202"/>
        <v>106800</v>
      </c>
      <c r="Q1765" s="16">
        <f t="shared" si="2202"/>
        <v>109900</v>
      </c>
      <c r="R1765" s="16">
        <f t="shared" ref="R1765" si="2203">SUBTOTAL(9,R1738:R1764)</f>
        <v>113000</v>
      </c>
      <c r="S1765" s="2342">
        <f t="shared" ref="S1765" si="2204">SUBTOTAL(9,S1738:S1764)</f>
        <v>115200</v>
      </c>
      <c r="U1765" s="34"/>
    </row>
    <row r="1766" spans="1:21" x14ac:dyDescent="0.2">
      <c r="A1766" s="54"/>
      <c r="B1766" s="9"/>
      <c r="E1766" s="1442"/>
      <c r="F1766" s="167"/>
      <c r="G1766" s="257"/>
      <c r="H1766" s="9"/>
      <c r="I1766" s="85"/>
      <c r="J1766" s="9"/>
      <c r="K1766" s="9"/>
      <c r="L1766" s="9"/>
      <c r="M1766" s="9"/>
      <c r="N1766" s="9"/>
      <c r="O1766" s="9"/>
      <c r="P1766" s="9"/>
      <c r="Q1766" s="9"/>
      <c r="R1766" s="9"/>
      <c r="S1766" s="47"/>
    </row>
    <row r="1767" spans="1:21" s="39" customFormat="1" x14ac:dyDescent="0.2">
      <c r="A1767" s="24">
        <f>A1734-A1765</f>
        <v>192600</v>
      </c>
      <c r="B1767" s="21">
        <f>B1734-B1765</f>
        <v>177100</v>
      </c>
      <c r="C1767" s="139">
        <f>C1734-C1765</f>
        <v>247900</v>
      </c>
      <c r="D1767" s="139">
        <f>D1734-D1765</f>
        <v>188800</v>
      </c>
      <c r="E1767" s="1444">
        <f>E1734-E1765</f>
        <v>-75400</v>
      </c>
      <c r="F1767" s="173"/>
      <c r="G1767" s="361" t="s">
        <v>1002</v>
      </c>
      <c r="H1767" s="21">
        <f t="shared" ref="H1767:Q1767" si="2205">H1734-H1765</f>
        <v>-619900</v>
      </c>
      <c r="I1767" s="126">
        <f>IF(E1767=H1767,0,IF(E1767=0,100,(H1767-E1767)/E1767*100))</f>
        <v>722.14854111405828</v>
      </c>
      <c r="J1767" s="21">
        <f t="shared" si="2205"/>
        <v>-20600</v>
      </c>
      <c r="K1767" s="21">
        <f t="shared" si="2205"/>
        <v>-21300</v>
      </c>
      <c r="L1767" s="21">
        <f t="shared" si="2205"/>
        <v>-22000</v>
      </c>
      <c r="M1767" s="21">
        <f t="shared" si="2205"/>
        <v>-22900</v>
      </c>
      <c r="N1767" s="21">
        <f t="shared" si="2205"/>
        <v>-23600</v>
      </c>
      <c r="O1767" s="21">
        <f t="shared" si="2205"/>
        <v>-24500</v>
      </c>
      <c r="P1767" s="21">
        <f t="shared" si="2205"/>
        <v>-25400</v>
      </c>
      <c r="Q1767" s="21">
        <f t="shared" si="2205"/>
        <v>-26400</v>
      </c>
      <c r="R1767" s="21">
        <f t="shared" ref="R1767" si="2206">R1734-R1765</f>
        <v>-27400</v>
      </c>
      <c r="S1767" s="86">
        <f t="shared" ref="S1767" si="2207">S1734-S1765</f>
        <v>-27400</v>
      </c>
      <c r="U1767" s="34"/>
    </row>
    <row r="1768" spans="1:21" x14ac:dyDescent="0.2">
      <c r="A1768" s="54">
        <f>-A1732</f>
        <v>0</v>
      </c>
      <c r="B1768" s="9">
        <f>-B1732</f>
        <v>0</v>
      </c>
      <c r="C1768" s="136">
        <f>-C1732</f>
        <v>-223900</v>
      </c>
      <c r="D1768" s="136">
        <f>-D1732</f>
        <v>-53100</v>
      </c>
      <c r="E1768" s="1442">
        <f>-E1732</f>
        <v>0</v>
      </c>
      <c r="F1768" s="167"/>
      <c r="G1768" s="261" t="s">
        <v>5349</v>
      </c>
      <c r="H1768" s="9">
        <f t="shared" ref="H1768:Q1768" si="2208">-H1732</f>
        <v>0</v>
      </c>
      <c r="I1768" s="85">
        <f>IF(E1768=H1768,0,IF(E1768=0,100,(H1768-E1768)/E1768*100))</f>
        <v>0</v>
      </c>
      <c r="J1768" s="9">
        <f t="shared" si="2208"/>
        <v>0</v>
      </c>
      <c r="K1768" s="9">
        <f t="shared" si="2208"/>
        <v>0</v>
      </c>
      <c r="L1768" s="9">
        <f t="shared" si="2208"/>
        <v>0</v>
      </c>
      <c r="M1768" s="9">
        <f t="shared" si="2208"/>
        <v>0</v>
      </c>
      <c r="N1768" s="9">
        <f t="shared" si="2208"/>
        <v>0</v>
      </c>
      <c r="O1768" s="9">
        <f t="shared" si="2208"/>
        <v>0</v>
      </c>
      <c r="P1768" s="9">
        <f t="shared" si="2208"/>
        <v>0</v>
      </c>
      <c r="Q1768" s="9">
        <f t="shared" si="2208"/>
        <v>0</v>
      </c>
      <c r="R1768" s="9">
        <f t="shared" ref="R1768" si="2209">-R1732</f>
        <v>0</v>
      </c>
      <c r="S1768" s="47">
        <f t="shared" ref="S1768" si="2210">-S1732</f>
        <v>0</v>
      </c>
    </row>
    <row r="1769" spans="1:21" x14ac:dyDescent="0.2">
      <c r="A1769" s="54">
        <f t="shared" ref="A1769:B1769" si="2211">A1763</f>
        <v>55000</v>
      </c>
      <c r="B1769" s="9">
        <f t="shared" si="2211"/>
        <v>33800</v>
      </c>
      <c r="C1769" s="136">
        <f>C1763</f>
        <v>43000</v>
      </c>
      <c r="D1769" s="136">
        <f>D1763</f>
        <v>28000</v>
      </c>
      <c r="E1769" s="1442">
        <f t="shared" ref="E1769" si="2212">E1763</f>
        <v>20100</v>
      </c>
      <c r="F1769" s="167"/>
      <c r="G1769" s="261" t="s">
        <v>5352</v>
      </c>
      <c r="H1769" s="9">
        <f t="shared" ref="H1769:P1769" si="2213">H1763</f>
        <v>47200</v>
      </c>
      <c r="I1769" s="85">
        <f>IF(E1769=H1769,0,IF(E1769=0,100,(H1769-E1769)/E1769*100))</f>
        <v>134.82587064676616</v>
      </c>
      <c r="J1769" s="9">
        <f t="shared" si="2213"/>
        <v>19200</v>
      </c>
      <c r="K1769" s="9">
        <f t="shared" si="2213"/>
        <v>19900</v>
      </c>
      <c r="L1769" s="9">
        <f t="shared" si="2213"/>
        <v>20600</v>
      </c>
      <c r="M1769" s="9">
        <f t="shared" si="2213"/>
        <v>21400</v>
      </c>
      <c r="N1769" s="9">
        <f t="shared" si="2213"/>
        <v>22100</v>
      </c>
      <c r="O1769" s="9">
        <f t="shared" si="2213"/>
        <v>22900</v>
      </c>
      <c r="P1769" s="9">
        <f t="shared" si="2213"/>
        <v>23800</v>
      </c>
      <c r="Q1769" s="9">
        <f t="shared" ref="Q1769" si="2214">Q1763</f>
        <v>24700</v>
      </c>
      <c r="R1769" s="9">
        <f t="shared" ref="R1769" si="2215">R1763</f>
        <v>25600</v>
      </c>
      <c r="S1769" s="47">
        <f t="shared" ref="S1769" si="2216">S1763</f>
        <v>25600</v>
      </c>
    </row>
    <row r="1770" spans="1:21" x14ac:dyDescent="0.2">
      <c r="A1770" s="54">
        <f t="shared" ref="A1770:B1770" si="2217">A1762+A1761</f>
        <v>91500</v>
      </c>
      <c r="B1770" s="9">
        <f t="shared" si="2217"/>
        <v>96000</v>
      </c>
      <c r="C1770" s="136">
        <f>C1762+C1761</f>
        <v>9400</v>
      </c>
      <c r="D1770" s="136">
        <f>D1762+D1761</f>
        <v>9500</v>
      </c>
      <c r="E1770" s="1442">
        <f t="shared" ref="E1770" si="2218">E1762+E1761</f>
        <v>7600</v>
      </c>
      <c r="F1770" s="167"/>
      <c r="G1770" s="261" t="s">
        <v>1943</v>
      </c>
      <c r="H1770" s="9">
        <f t="shared" ref="H1770:P1770" si="2219">H1762+H1761</f>
        <v>10300</v>
      </c>
      <c r="I1770" s="85">
        <f>IF(E1770=H1770,0,IF(E1770=0,100,(H1770-E1770)/E1770*100))</f>
        <v>35.526315789473685</v>
      </c>
      <c r="J1770" s="9">
        <f t="shared" si="2219"/>
        <v>10600</v>
      </c>
      <c r="K1770" s="9">
        <f t="shared" si="2219"/>
        <v>10900</v>
      </c>
      <c r="L1770" s="9">
        <f t="shared" si="2219"/>
        <v>11200</v>
      </c>
      <c r="M1770" s="9">
        <f t="shared" si="2219"/>
        <v>11500</v>
      </c>
      <c r="N1770" s="9">
        <f t="shared" si="2219"/>
        <v>11800</v>
      </c>
      <c r="O1770" s="9">
        <f t="shared" si="2219"/>
        <v>12100</v>
      </c>
      <c r="P1770" s="9">
        <f t="shared" si="2219"/>
        <v>12400</v>
      </c>
      <c r="Q1770" s="9">
        <f t="shared" ref="Q1770" si="2220">Q1762+Q1761</f>
        <v>12700</v>
      </c>
      <c r="R1770" s="9">
        <f t="shared" ref="R1770" si="2221">R1762+R1761</f>
        <v>13000</v>
      </c>
      <c r="S1770" s="47">
        <f t="shared" ref="S1770" si="2222">S1762+S1761</f>
        <v>13300</v>
      </c>
    </row>
    <row r="1771" spans="1:21" s="39" customFormat="1" x14ac:dyDescent="0.2">
      <c r="A1771" s="128">
        <f t="shared" ref="A1771:B1771" si="2223">SUM(A1767:A1770)</f>
        <v>339100</v>
      </c>
      <c r="B1771" s="280">
        <f t="shared" si="2223"/>
        <v>306900</v>
      </c>
      <c r="C1771" s="281">
        <f>SUM(C1767:C1770)</f>
        <v>76400</v>
      </c>
      <c r="D1771" s="281">
        <f>SUM(D1767:D1770)</f>
        <v>173200</v>
      </c>
      <c r="E1771" s="1515">
        <f t="shared" ref="E1771" si="2224">SUM(E1767:E1770)</f>
        <v>-47700</v>
      </c>
      <c r="F1771" s="372"/>
      <c r="G1771" s="363" t="s">
        <v>1659</v>
      </c>
      <c r="H1771" s="280">
        <f t="shared" ref="H1771:P1771" si="2225">SUM(H1767:H1770)</f>
        <v>-562400</v>
      </c>
      <c r="I1771" s="278">
        <f>IF(E1771=H1771,0,IF(E1771=0,100,(H1771-E1771)/E1771*100))</f>
        <v>1079.0356394129979</v>
      </c>
      <c r="J1771" s="280">
        <f t="shared" si="2225"/>
        <v>9200</v>
      </c>
      <c r="K1771" s="280">
        <f t="shared" si="2225"/>
        <v>9500</v>
      </c>
      <c r="L1771" s="280">
        <f t="shared" si="2225"/>
        <v>9800</v>
      </c>
      <c r="M1771" s="280">
        <f t="shared" si="2225"/>
        <v>10000</v>
      </c>
      <c r="N1771" s="280">
        <f t="shared" si="2225"/>
        <v>10300</v>
      </c>
      <c r="O1771" s="280">
        <f t="shared" si="2225"/>
        <v>10500</v>
      </c>
      <c r="P1771" s="280">
        <f t="shared" si="2225"/>
        <v>10800</v>
      </c>
      <c r="Q1771" s="280">
        <f t="shared" ref="Q1771" si="2226">SUM(Q1767:Q1770)</f>
        <v>11000</v>
      </c>
      <c r="R1771" s="280">
        <f t="shared" ref="R1771" si="2227">SUM(R1767:R1770)</f>
        <v>11200</v>
      </c>
      <c r="S1771" s="2343">
        <f t="shared" ref="S1771" si="2228">SUM(S1767:S1770)</f>
        <v>11500</v>
      </c>
      <c r="U1771" s="34"/>
    </row>
    <row r="1772" spans="1:21" ht="13.5" thickBot="1" x14ac:dyDescent="0.25">
      <c r="A1772" s="432"/>
      <c r="B1772" s="37"/>
      <c r="C1772" s="146"/>
      <c r="D1772" s="146"/>
      <c r="E1772" s="1520"/>
      <c r="F1772" s="168"/>
      <c r="G1772" s="259"/>
      <c r="H1772" s="68"/>
      <c r="I1772" s="275"/>
      <c r="J1772" s="68"/>
      <c r="K1772" s="68"/>
      <c r="L1772" s="68"/>
      <c r="M1772" s="68"/>
      <c r="N1772" s="68"/>
      <c r="O1772" s="68"/>
      <c r="P1772" s="68"/>
      <c r="Q1772" s="68"/>
      <c r="R1772" s="68"/>
      <c r="S1772" s="108"/>
    </row>
    <row r="1773" spans="1:21" ht="13.5" thickTop="1" x14ac:dyDescent="0.2">
      <c r="A1773" s="270"/>
      <c r="B1773" s="69"/>
      <c r="C1773" s="140"/>
      <c r="D1773" s="140"/>
      <c r="E1773" s="1516"/>
      <c r="F1773" s="254"/>
      <c r="G1773" s="258"/>
      <c r="H1773" s="74"/>
      <c r="I1773" s="352"/>
      <c r="J1773" s="74"/>
      <c r="K1773" s="74"/>
      <c r="L1773" s="74"/>
      <c r="M1773" s="74"/>
      <c r="N1773" s="74"/>
      <c r="O1773" s="74"/>
      <c r="P1773" s="74"/>
      <c r="Q1773" s="74"/>
      <c r="R1773" s="74"/>
      <c r="S1773" s="110"/>
    </row>
    <row r="1774" spans="1:21" x14ac:dyDescent="0.2">
      <c r="A1774" s="24"/>
      <c r="B1774" s="75"/>
      <c r="C1774" s="139"/>
      <c r="D1774" s="139"/>
      <c r="E1774" s="1444"/>
      <c r="F1774" s="167"/>
      <c r="G1774" s="361" t="s">
        <v>192</v>
      </c>
      <c r="H1774" s="9"/>
      <c r="I1774" s="126"/>
      <c r="J1774" s="9"/>
      <c r="K1774" s="9"/>
      <c r="L1774" s="9"/>
      <c r="M1774" s="9"/>
      <c r="N1774" s="9"/>
      <c r="O1774" s="9"/>
      <c r="P1774" s="9"/>
      <c r="Q1774" s="9"/>
      <c r="R1774" s="9"/>
      <c r="S1774" s="61"/>
    </row>
    <row r="1775" spans="1:21" x14ac:dyDescent="0.2">
      <c r="A1775" s="54">
        <v>0</v>
      </c>
      <c r="B1775" s="89">
        <v>0</v>
      </c>
      <c r="C1775" s="136">
        <v>0</v>
      </c>
      <c r="D1775" s="136">
        <v>0</v>
      </c>
      <c r="E1775" s="1442">
        <v>0</v>
      </c>
      <c r="F1775" s="167"/>
      <c r="G1775" s="257" t="s">
        <v>2848</v>
      </c>
      <c r="H1775" s="9">
        <v>0</v>
      </c>
      <c r="I1775" s="85">
        <f>IF(E1775=H1775,0,IF(E1775=0,100,(H1775-E1775)/E1775*100))</f>
        <v>0</v>
      </c>
      <c r="J1775" s="9">
        <v>0</v>
      </c>
      <c r="K1775" s="9">
        <v>0</v>
      </c>
      <c r="L1775" s="9">
        <v>0</v>
      </c>
      <c r="M1775" s="9">
        <v>0</v>
      </c>
      <c r="N1775" s="9">
        <v>0</v>
      </c>
      <c r="O1775" s="9">
        <v>0</v>
      </c>
      <c r="P1775" s="9">
        <v>0</v>
      </c>
      <c r="Q1775" s="9">
        <v>0</v>
      </c>
      <c r="R1775" s="9">
        <v>0</v>
      </c>
      <c r="S1775" s="61">
        <v>0</v>
      </c>
    </row>
    <row r="1776" spans="1:21" x14ac:dyDescent="0.2">
      <c r="A1776" s="54">
        <f>339000+39400</f>
        <v>378400</v>
      </c>
      <c r="B1776" s="89">
        <v>306900</v>
      </c>
      <c r="C1776" s="136">
        <v>76400</v>
      </c>
      <c r="D1776" s="136">
        <f>SUM('Res-Gen'!B245:B246)</f>
        <v>265900</v>
      </c>
      <c r="E1776" s="1442">
        <f>SUM('Res-Gen'!E245:E246)</f>
        <v>0</v>
      </c>
      <c r="F1776" s="167"/>
      <c r="G1776" s="257" t="s">
        <v>1909</v>
      </c>
      <c r="H1776" s="9">
        <f>SUM('Res-Gen'!H245:H246)</f>
        <v>8100</v>
      </c>
      <c r="I1776" s="85">
        <f>IF(E1776=H1776,0,IF(E1776=0,100,(H1776-E1776)/E1776*100))</f>
        <v>100</v>
      </c>
      <c r="J1776" s="9">
        <f>SUM('Res-Gen'!K245:K246)</f>
        <v>9200</v>
      </c>
      <c r="K1776" s="9">
        <f>SUM('Res-Gen'!N245:N246)</f>
        <v>9500</v>
      </c>
      <c r="L1776" s="9">
        <f>SUM('Res-Gen'!Q245:Q246)</f>
        <v>9800</v>
      </c>
      <c r="M1776" s="9">
        <f>SUM('Res-Gen'!T245:T246)</f>
        <v>10000</v>
      </c>
      <c r="N1776" s="9">
        <f>SUM('Res-Gen'!W245:W246)</f>
        <v>10300</v>
      </c>
      <c r="O1776" s="9">
        <f>SUM('Res-Gen'!Z245:Z246)</f>
        <v>10500</v>
      </c>
      <c r="P1776" s="9">
        <f>SUM('Res-Gen'!AC245:AC246)</f>
        <v>10800</v>
      </c>
      <c r="Q1776" s="9">
        <f>SUM('Res-Gen'!AF245:AF246)</f>
        <v>11000</v>
      </c>
      <c r="R1776" s="9">
        <f>SUM('Res-Gen'!AI245:AI246)</f>
        <v>11200</v>
      </c>
      <c r="S1776" s="61">
        <f>SUM('Res-Gen'!AL245:AL246)</f>
        <v>11500</v>
      </c>
    </row>
    <row r="1777" spans="1:21" x14ac:dyDescent="0.2">
      <c r="A1777" s="54">
        <v>139300</v>
      </c>
      <c r="B1777" s="89">
        <v>210000</v>
      </c>
      <c r="C1777" s="136">
        <v>250000</v>
      </c>
      <c r="D1777" s="136">
        <f>SUM('Res-Gen'!C245:C246)-200</f>
        <v>192700</v>
      </c>
      <c r="E1777" s="1442">
        <f>SUM('Res-Gen'!F245:F246)+'Res-Gen'!F254</f>
        <v>247700</v>
      </c>
      <c r="F1777" s="167"/>
      <c r="G1777" s="257" t="s">
        <v>2309</v>
      </c>
      <c r="H1777" s="9">
        <f>SUM('Res-Gen'!I245:I246)</f>
        <v>570500</v>
      </c>
      <c r="I1777" s="85">
        <f>IF(E1777=H1777,0,IF(E1777=0,100,(H1777-E1777)/E1777*100))</f>
        <v>130.31893419459021</v>
      </c>
      <c r="J1777" s="9">
        <f>SUM('Res-Gen'!L245:L246)</f>
        <v>0</v>
      </c>
      <c r="K1777" s="9">
        <f>SUM('Res-Gen'!O245:O246)</f>
        <v>0</v>
      </c>
      <c r="L1777" s="9">
        <f>SUM('Res-Gen'!R245:R246)</f>
        <v>0</v>
      </c>
      <c r="M1777" s="9">
        <f>SUM('Res-Gen'!U245:U246)</f>
        <v>0</v>
      </c>
      <c r="N1777" s="9">
        <f>SUM('Res-Gen'!X245:X246)</f>
        <v>0</v>
      </c>
      <c r="O1777" s="9">
        <f>SUM('Res-Gen'!AA245:AA246)</f>
        <v>0</v>
      </c>
      <c r="P1777" s="9">
        <f>SUM('Res-Gen'!AD245:AD246)</f>
        <v>0</v>
      </c>
      <c r="Q1777" s="9">
        <f>SUM('Res-Gen'!AG245:AG246)</f>
        <v>0</v>
      </c>
      <c r="R1777" s="9">
        <f>SUM('Res-Gen'!AJ245:AJ246)</f>
        <v>0</v>
      </c>
      <c r="S1777" s="61">
        <f>SUM('Res-Gen'!AM245:AM246)</f>
        <v>0</v>
      </c>
    </row>
    <row r="1778" spans="1:21" x14ac:dyDescent="0.2">
      <c r="A1778" s="54">
        <v>0</v>
      </c>
      <c r="B1778" s="89">
        <v>0</v>
      </c>
      <c r="C1778" s="136">
        <v>0</v>
      </c>
      <c r="D1778" s="136">
        <v>0</v>
      </c>
      <c r="E1778" s="1442">
        <v>0</v>
      </c>
      <c r="F1778" s="167"/>
      <c r="G1778" s="257" t="s">
        <v>5847</v>
      </c>
      <c r="H1778" s="9">
        <v>0</v>
      </c>
      <c r="I1778" s="85">
        <f>IF(E1778=H1778,0,IF(E1778=0,100,(H1778-E1778)/E1778*100))</f>
        <v>0</v>
      </c>
      <c r="J1778" s="9">
        <v>0</v>
      </c>
      <c r="K1778" s="9">
        <v>0</v>
      </c>
      <c r="L1778" s="9">
        <v>0</v>
      </c>
      <c r="M1778" s="9">
        <v>0</v>
      </c>
      <c r="N1778" s="9">
        <v>0</v>
      </c>
      <c r="O1778" s="9">
        <v>0</v>
      </c>
      <c r="P1778" s="9">
        <v>0</v>
      </c>
      <c r="Q1778" s="9">
        <v>0</v>
      </c>
      <c r="R1778" s="9">
        <v>0</v>
      </c>
      <c r="S1778" s="61">
        <v>0</v>
      </c>
    </row>
    <row r="1779" spans="1:21" x14ac:dyDescent="0.2">
      <c r="A1779" s="54">
        <v>0</v>
      </c>
      <c r="B1779" s="89">
        <v>0</v>
      </c>
      <c r="C1779" s="136">
        <v>0</v>
      </c>
      <c r="D1779" s="136">
        <v>0</v>
      </c>
      <c r="E1779" s="1442">
        <f>'Cap-Gen'!F206</f>
        <v>4200</v>
      </c>
      <c r="F1779" s="167"/>
      <c r="G1779" s="257" t="s">
        <v>958</v>
      </c>
      <c r="H1779" s="9">
        <v>0</v>
      </c>
      <c r="I1779" s="85">
        <f>IF(E1779=H1779,0,IF(E1779=0,100,(H1779-E1779)/E1779*100))</f>
        <v>-100</v>
      </c>
      <c r="J1779" s="9">
        <v>0</v>
      </c>
      <c r="K1779" s="9">
        <v>0</v>
      </c>
      <c r="L1779" s="9">
        <v>0</v>
      </c>
      <c r="M1779" s="9">
        <v>0</v>
      </c>
      <c r="N1779" s="9">
        <v>0</v>
      </c>
      <c r="O1779" s="9">
        <v>0</v>
      </c>
      <c r="P1779" s="9">
        <v>0</v>
      </c>
      <c r="Q1779" s="9">
        <v>0</v>
      </c>
      <c r="R1779" s="9">
        <v>0</v>
      </c>
      <c r="S1779" s="61">
        <v>0</v>
      </c>
    </row>
    <row r="1780" spans="1:21" x14ac:dyDescent="0.2">
      <c r="A1780" s="54"/>
      <c r="B1780" s="89"/>
      <c r="E1780" s="144"/>
      <c r="F1780" s="167"/>
      <c r="G1780" s="361"/>
      <c r="H1780" s="9"/>
      <c r="I1780" s="85"/>
      <c r="J1780" s="9"/>
      <c r="K1780" s="9"/>
      <c r="L1780" s="9"/>
      <c r="M1780" s="9"/>
      <c r="N1780" s="9"/>
      <c r="O1780" s="9"/>
      <c r="P1780" s="9"/>
      <c r="Q1780" s="9"/>
      <c r="R1780" s="9"/>
      <c r="S1780" s="61"/>
    </row>
    <row r="1781" spans="1:21" s="39" customFormat="1" x14ac:dyDescent="0.2">
      <c r="A1781" s="128">
        <f>A1771-A1775-A1776+A1777++A1778-A1779</f>
        <v>100000</v>
      </c>
      <c r="B1781" s="266">
        <f>B1771-B1775-B1776+B1777++B1778-B1779</f>
        <v>210000</v>
      </c>
      <c r="C1781" s="281">
        <f>C1771-C1775-C1776+C1777++C1778-C1779</f>
        <v>250000</v>
      </c>
      <c r="D1781" s="281">
        <f>D1771-D1775-D1776+D1777++D1778-D1779</f>
        <v>100000</v>
      </c>
      <c r="E1781" s="1513">
        <f t="shared" ref="E1781" si="2229">E1771-E1775-E1776+E1777++E1778-E1779</f>
        <v>195800</v>
      </c>
      <c r="F1781" s="372"/>
      <c r="G1781" s="363" t="s">
        <v>2447</v>
      </c>
      <c r="H1781" s="280">
        <f t="shared" ref="H1781:O1781" si="2230">H1771-H1775-H1776+H1777++H1778-H1779</f>
        <v>0</v>
      </c>
      <c r="I1781" s="278">
        <f>IF(E1781=H1781,0,IF(E1781=0,100,(H1781-E1781)/E1781*100))</f>
        <v>-100</v>
      </c>
      <c r="J1781" s="280">
        <f t="shared" si="2230"/>
        <v>0</v>
      </c>
      <c r="K1781" s="280">
        <f t="shared" si="2230"/>
        <v>0</v>
      </c>
      <c r="L1781" s="280">
        <f t="shared" si="2230"/>
        <v>0</v>
      </c>
      <c r="M1781" s="280">
        <f t="shared" si="2230"/>
        <v>0</v>
      </c>
      <c r="N1781" s="280">
        <f t="shared" si="2230"/>
        <v>0</v>
      </c>
      <c r="O1781" s="280">
        <f t="shared" si="2230"/>
        <v>0</v>
      </c>
      <c r="P1781" s="280">
        <f t="shared" ref="P1781:Q1781" si="2231">P1771-P1775-P1776+P1777++P1778-P1779</f>
        <v>0</v>
      </c>
      <c r="Q1781" s="280">
        <f t="shared" si="2231"/>
        <v>0</v>
      </c>
      <c r="R1781" s="280">
        <f t="shared" ref="R1781:S1781" si="2232">R1771-R1775-R1776+R1777++R1778-R1779</f>
        <v>0</v>
      </c>
      <c r="S1781" s="282">
        <f t="shared" si="2232"/>
        <v>0</v>
      </c>
      <c r="U1781" s="34"/>
    </row>
    <row r="1782" spans="1:21" ht="13.5" thickBot="1" x14ac:dyDescent="0.25">
      <c r="A1782" s="26"/>
      <c r="B1782" s="37"/>
      <c r="C1782" s="141"/>
      <c r="D1782" s="141"/>
      <c r="E1782" s="1437"/>
      <c r="F1782" s="166"/>
      <c r="G1782" s="259"/>
      <c r="H1782" s="23"/>
      <c r="I1782" s="275"/>
      <c r="J1782" s="23"/>
      <c r="K1782" s="23"/>
      <c r="L1782" s="23"/>
      <c r="M1782" s="23"/>
      <c r="N1782" s="23"/>
      <c r="O1782" s="23"/>
      <c r="P1782" s="23"/>
      <c r="Q1782" s="23"/>
      <c r="R1782" s="23"/>
      <c r="S1782" s="112"/>
    </row>
    <row r="1783" spans="1:21" s="46" customFormat="1" ht="14.25" thickTop="1" thickBot="1" x14ac:dyDescent="0.25">
      <c r="A1783" s="27"/>
      <c r="B1783" s="27"/>
      <c r="C1783" s="143"/>
      <c r="D1783" s="143"/>
      <c r="E1783" s="143"/>
      <c r="F1783" s="169"/>
      <c r="G1783" s="84"/>
      <c r="I1783" s="2234"/>
      <c r="U1783" s="34"/>
    </row>
    <row r="1784" spans="1:21" s="38" customFormat="1" ht="18.75" customHeight="1" thickTop="1" thickBot="1" x14ac:dyDescent="0.3">
      <c r="A1784" s="2588" t="str">
        <f>A620</f>
        <v>LANDFILL AND RESOURCE MANAGEMENT</v>
      </c>
      <c r="B1784" s="2589"/>
      <c r="C1784" s="2589"/>
      <c r="D1784" s="2589"/>
      <c r="E1784" s="2589"/>
      <c r="F1784" s="2589"/>
      <c r="G1784" s="2589"/>
      <c r="H1784" s="2589"/>
      <c r="I1784" s="2589"/>
      <c r="J1784" s="2589"/>
      <c r="K1784" s="2589"/>
      <c r="L1784" s="2589"/>
      <c r="M1784" s="2589"/>
      <c r="N1784" s="2589"/>
      <c r="O1784" s="2589"/>
      <c r="P1784" s="2589"/>
      <c r="Q1784" s="2589"/>
      <c r="R1784" s="2589"/>
      <c r="S1784" s="2590"/>
      <c r="U1784" s="34"/>
    </row>
    <row r="1785" spans="1:21" s="39" customFormat="1" ht="13.5" thickBot="1" x14ac:dyDescent="0.25">
      <c r="A1785" s="2591" t="s">
        <v>1824</v>
      </c>
      <c r="B1785" s="2577"/>
      <c r="C1785" s="2577"/>
      <c r="D1785" s="2577"/>
      <c r="E1785" s="2592"/>
      <c r="F1785" s="127" t="s">
        <v>2616</v>
      </c>
      <c r="G1785" s="127" t="s">
        <v>2213</v>
      </c>
      <c r="H1785" s="2568" t="s">
        <v>2215</v>
      </c>
      <c r="I1785" s="2568"/>
      <c r="J1785" s="2568"/>
      <c r="K1785" s="2568"/>
      <c r="L1785" s="2568"/>
      <c r="M1785" s="2568"/>
      <c r="N1785" s="2568"/>
      <c r="O1785" s="2568"/>
      <c r="P1785" s="2568"/>
      <c r="Q1785" s="2568"/>
      <c r="R1785" s="2568"/>
      <c r="S1785" s="2607"/>
      <c r="U1785" s="34"/>
    </row>
    <row r="1786" spans="1:21" ht="12.75" customHeight="1" thickBot="1" x14ac:dyDescent="0.25">
      <c r="A1786" s="541" t="str">
        <f>A3</f>
        <v>2012/13</v>
      </c>
      <c r="B1786" s="28" t="str">
        <f>B3</f>
        <v>2013/14</v>
      </c>
      <c r="C1786" s="40" t="str">
        <f>C3</f>
        <v>2014/15</v>
      </c>
      <c r="D1786" s="40" t="str">
        <f>D3</f>
        <v>2015/16</v>
      </c>
      <c r="E1786" s="40" t="str">
        <f>E3</f>
        <v>2016/17</v>
      </c>
      <c r="F1786" s="40" t="s">
        <v>2617</v>
      </c>
      <c r="G1786" s="2072"/>
      <c r="H1786" s="40" t="str">
        <f>H3</f>
        <v>2017/18</v>
      </c>
      <c r="I1786" s="1258" t="str">
        <f>I1718</f>
        <v>%</v>
      </c>
      <c r="J1786" s="40" t="str">
        <f t="shared" ref="J1786:S1786" si="2233">J3</f>
        <v>2018/19</v>
      </c>
      <c r="K1786" s="40" t="str">
        <f t="shared" si="2233"/>
        <v>2019/20</v>
      </c>
      <c r="L1786" s="40" t="str">
        <f t="shared" si="2233"/>
        <v>2020/21</v>
      </c>
      <c r="M1786" s="40" t="str">
        <f t="shared" si="2233"/>
        <v>2021/22</v>
      </c>
      <c r="N1786" s="40" t="str">
        <f t="shared" si="2233"/>
        <v>2022/23</v>
      </c>
      <c r="O1786" s="40" t="str">
        <f t="shared" si="2233"/>
        <v>2023/24</v>
      </c>
      <c r="P1786" s="40" t="str">
        <f t="shared" si="2233"/>
        <v>2024/25</v>
      </c>
      <c r="Q1786" s="28" t="str">
        <f t="shared" si="2233"/>
        <v>2025/26</v>
      </c>
      <c r="R1786" s="28" t="str">
        <f t="shared" si="2233"/>
        <v>2026/27</v>
      </c>
      <c r="S1786" s="1620" t="str">
        <f t="shared" si="2233"/>
        <v>2027/28</v>
      </c>
    </row>
    <row r="1787" spans="1:21" x14ac:dyDescent="0.2">
      <c r="A1787" s="45"/>
      <c r="B1787" s="9"/>
      <c r="C1787" s="134"/>
      <c r="D1787" s="134"/>
      <c r="E1787" s="134"/>
      <c r="F1787" s="1152"/>
      <c r="G1787" s="253"/>
      <c r="H1787" s="9"/>
      <c r="I1787" s="85"/>
      <c r="J1787" s="9"/>
      <c r="K1787" s="9"/>
      <c r="L1787" s="9"/>
      <c r="M1787" s="9"/>
      <c r="N1787" s="9"/>
      <c r="O1787" s="9"/>
      <c r="P1787" s="9"/>
      <c r="Q1787" s="9"/>
      <c r="R1787" s="9"/>
      <c r="S1787" s="61"/>
    </row>
    <row r="1788" spans="1:21" x14ac:dyDescent="0.2">
      <c r="A1788" s="45"/>
      <c r="B1788" s="9"/>
      <c r="C1788" s="134"/>
      <c r="D1788" s="134"/>
      <c r="E1788" s="134"/>
      <c r="F1788" s="1152"/>
      <c r="G1788" s="50" t="s">
        <v>1056</v>
      </c>
      <c r="H1788" s="9"/>
      <c r="I1788" s="85"/>
      <c r="J1788" s="9"/>
      <c r="K1788" s="9"/>
      <c r="L1788" s="9"/>
      <c r="M1788" s="9"/>
      <c r="N1788" s="9"/>
      <c r="O1788" s="9"/>
      <c r="P1788" s="9"/>
      <c r="Q1788" s="9"/>
      <c r="R1788" s="9"/>
      <c r="S1788" s="61"/>
    </row>
    <row r="1789" spans="1:21" x14ac:dyDescent="0.2">
      <c r="A1789" s="54"/>
      <c r="B1789" s="9"/>
      <c r="E1789" s="134"/>
      <c r="F1789" s="2059"/>
      <c r="G1789" s="319" t="s">
        <v>60</v>
      </c>
      <c r="H1789" s="9"/>
      <c r="I1789" s="85"/>
      <c r="J1789" s="9"/>
      <c r="K1789" s="9"/>
      <c r="L1789" s="9"/>
      <c r="M1789" s="9"/>
      <c r="N1789" s="9"/>
      <c r="O1789" s="9"/>
      <c r="P1789" s="9"/>
      <c r="Q1789" s="9"/>
      <c r="R1789" s="9"/>
      <c r="S1789" s="61"/>
    </row>
    <row r="1790" spans="1:21" x14ac:dyDescent="0.2">
      <c r="A1790" s="54">
        <v>379600</v>
      </c>
      <c r="B1790" s="79">
        <v>394300</v>
      </c>
      <c r="C1790" s="136">
        <v>422200</v>
      </c>
      <c r="D1790" s="707">
        <v>430400</v>
      </c>
      <c r="E1790" s="134">
        <v>449400</v>
      </c>
      <c r="F1790" s="469" t="s">
        <v>1373</v>
      </c>
      <c r="G1790" s="247" t="s">
        <v>1149</v>
      </c>
      <c r="H1790" s="134">
        <f>459000+7000</f>
        <v>466000</v>
      </c>
      <c r="I1790" s="85">
        <f>IF(E1790=H1790,0,IF(E1790=0,100,(H1790-E1790)/E1790*100))</f>
        <v>3.693813974187806</v>
      </c>
      <c r="J1790" s="9">
        <f>ROUND(H1790+(H1790*Assumptions!I$23),-3)</f>
        <v>477000</v>
      </c>
      <c r="K1790" s="9">
        <f>ROUND(J1790+(J1790*Assumptions!J$23),-3)</f>
        <v>488000</v>
      </c>
      <c r="L1790" s="9">
        <f>ROUND(K1790+(K1790*Assumptions!K$23),-3)</f>
        <v>499000</v>
      </c>
      <c r="M1790" s="9">
        <f>ROUND(L1790+(L1790*Assumptions!L$23),-3)</f>
        <v>510000</v>
      </c>
      <c r="N1790" s="9">
        <f>ROUND(M1790+(M1790*Assumptions!M$23),-3)</f>
        <v>522000</v>
      </c>
      <c r="O1790" s="9">
        <f>ROUND(N1790+(N1790*Assumptions!N$23),-3)</f>
        <v>534000</v>
      </c>
      <c r="P1790" s="9">
        <f>ROUND(O1790+(O1790*Assumptions!O$23),-3)</f>
        <v>546000</v>
      </c>
      <c r="Q1790" s="9">
        <f>ROUND(P1790+(P1790*Assumptions!P$23),-3)</f>
        <v>559000</v>
      </c>
      <c r="R1790" s="9">
        <f>ROUND(Q1790+(Q1790*Assumptions!Q$23),-3)</f>
        <v>572000</v>
      </c>
      <c r="S1790" s="47">
        <f>ROUND(R1790+(R1790*Assumptions!R$23),-3)</f>
        <v>585000</v>
      </c>
    </row>
    <row r="1791" spans="1:21" x14ac:dyDescent="0.2">
      <c r="A1791" s="54">
        <v>62900</v>
      </c>
      <c r="B1791" s="9">
        <v>70000</v>
      </c>
      <c r="C1791" s="136">
        <v>79700</v>
      </c>
      <c r="D1791" s="707">
        <v>85200</v>
      </c>
      <c r="E1791" s="134">
        <v>89700</v>
      </c>
      <c r="F1791" s="469" t="s">
        <v>1374</v>
      </c>
      <c r="G1791" s="247" t="s">
        <v>2325</v>
      </c>
      <c r="H1791" s="134">
        <v>92000</v>
      </c>
      <c r="I1791" s="85">
        <f>IF(E1791=H1791,0,IF(E1791=0,100,(H1791-E1791)/E1791*100))</f>
        <v>2.5641025641025639</v>
      </c>
      <c r="J1791" s="9">
        <f>ROUND(H1791+(H1791*Assumptions!I$23),-3)</f>
        <v>94000</v>
      </c>
      <c r="K1791" s="9">
        <f>ROUND(J1791+(J1791*Assumptions!J$23),-3)</f>
        <v>96000</v>
      </c>
      <c r="L1791" s="9">
        <f>ROUND(K1791+(K1791*Assumptions!K$23),-3)</f>
        <v>98000</v>
      </c>
      <c r="M1791" s="9">
        <f>ROUND(L1791+(L1791*Assumptions!L$23),-3)</f>
        <v>100000</v>
      </c>
      <c r="N1791" s="9">
        <f>ROUND(M1791+(M1791*Assumptions!M$23),-3)</f>
        <v>102000</v>
      </c>
      <c r="O1791" s="9">
        <f>ROUND(N1791+(N1791*Assumptions!N$23),-3)</f>
        <v>104000</v>
      </c>
      <c r="P1791" s="9">
        <f>ROUND(O1791+(O1791*Assumptions!O$23),-3)</f>
        <v>106000</v>
      </c>
      <c r="Q1791" s="9">
        <f>ROUND(P1791+(P1791*Assumptions!P$23),-3)</f>
        <v>108000</v>
      </c>
      <c r="R1791" s="9">
        <f>ROUND(Q1791+(Q1791*Assumptions!Q$23),-3)</f>
        <v>110000</v>
      </c>
      <c r="S1791" s="47">
        <f>ROUND(R1791+(R1791*Assumptions!R$23),-3)</f>
        <v>113000</v>
      </c>
    </row>
    <row r="1792" spans="1:21" x14ac:dyDescent="0.2">
      <c r="A1792" s="54">
        <v>0</v>
      </c>
      <c r="B1792" s="9">
        <v>0</v>
      </c>
      <c r="C1792" s="136">
        <v>1199900</v>
      </c>
      <c r="D1792" s="707">
        <v>1267600</v>
      </c>
      <c r="E1792" s="134">
        <v>1276800</v>
      </c>
      <c r="F1792" s="769" t="s">
        <v>4733</v>
      </c>
      <c r="G1792" s="772" t="s">
        <v>3770</v>
      </c>
      <c r="H1792" s="134">
        <v>0</v>
      </c>
      <c r="I1792" s="85">
        <f>IF(E1792=H1792,0,IF(E1792=0,100,(H1792-E1792)/E1792*100))</f>
        <v>-100</v>
      </c>
      <c r="J1792" s="9">
        <v>0</v>
      </c>
      <c r="K1792" s="9">
        <v>0</v>
      </c>
      <c r="L1792" s="9">
        <f>ROUND(Assumptions!K26*(Assumptions!K30+Assumptions!K31),-3)</f>
        <v>0</v>
      </c>
      <c r="M1792" s="9">
        <v>0</v>
      </c>
      <c r="N1792" s="9">
        <v>0</v>
      </c>
      <c r="O1792" s="9">
        <v>0</v>
      </c>
      <c r="P1792" s="9">
        <v>0</v>
      </c>
      <c r="Q1792" s="9">
        <v>0</v>
      </c>
      <c r="R1792" s="9">
        <v>0</v>
      </c>
      <c r="S1792" s="47">
        <v>0</v>
      </c>
    </row>
    <row r="1793" spans="1:19" x14ac:dyDescent="0.2">
      <c r="A1793" s="54"/>
      <c r="B1793" s="9"/>
      <c r="D1793" s="707"/>
      <c r="E1793" s="134"/>
      <c r="F1793" s="469"/>
      <c r="G1793" s="542" t="s">
        <v>4321</v>
      </c>
      <c r="H1793" s="134"/>
      <c r="I1793" s="85"/>
      <c r="J1793" s="9"/>
      <c r="K1793" s="9"/>
      <c r="L1793" s="9"/>
      <c r="M1793" s="9"/>
      <c r="N1793" s="9"/>
      <c r="O1793" s="9"/>
      <c r="P1793" s="9"/>
      <c r="Q1793" s="9"/>
      <c r="R1793" s="9"/>
      <c r="S1793" s="47"/>
    </row>
    <row r="1794" spans="1:19" x14ac:dyDescent="0.2">
      <c r="A1794" s="54">
        <v>2100</v>
      </c>
      <c r="B1794" s="9">
        <v>4600</v>
      </c>
      <c r="C1794" s="136">
        <v>10000</v>
      </c>
      <c r="D1794" s="707">
        <v>15100</v>
      </c>
      <c r="E1794" s="134">
        <v>9600</v>
      </c>
      <c r="F1794" s="469" t="s">
        <v>1375</v>
      </c>
      <c r="G1794" s="772" t="s">
        <v>6697</v>
      </c>
      <c r="H1794" s="134">
        <f>15000-15000</f>
        <v>0</v>
      </c>
      <c r="I1794" s="85">
        <f>IF(E1794=H1794,0,IF(E1794=0,100,(H1794-E1794)/E1794*100))</f>
        <v>-100</v>
      </c>
      <c r="J1794" s="9">
        <f>ROUNDUP(H1794+(H1794*Assumptions!I$5),-2)</f>
        <v>0</v>
      </c>
      <c r="K1794" s="9">
        <f>ROUNDUP(J1794+(J1794*Assumptions!J$5),-2)</f>
        <v>0</v>
      </c>
      <c r="L1794" s="9">
        <f>ROUNDUP(K1794+(K1794*Assumptions!K$5),-2)</f>
        <v>0</v>
      </c>
      <c r="M1794" s="9">
        <f>ROUNDUP(L1794+(L1794*Assumptions!L$5),-2)</f>
        <v>0</v>
      </c>
      <c r="N1794" s="9">
        <f>ROUNDUP(M1794+(M1794*Assumptions!M$5),-2)</f>
        <v>0</v>
      </c>
      <c r="O1794" s="9">
        <f>ROUNDUP(N1794+(N1794*Assumptions!N$5),-2)</f>
        <v>0</v>
      </c>
      <c r="P1794" s="9">
        <f>ROUNDUP(O1794+(O1794*Assumptions!O$5),-2)</f>
        <v>0</v>
      </c>
      <c r="Q1794" s="9">
        <f>ROUNDUP(P1794+(P1794*Assumptions!P$5),-2)</f>
        <v>0</v>
      </c>
      <c r="R1794" s="9">
        <f>ROUNDUP(Q1794+(Q1794*Assumptions!Q$5),-2)</f>
        <v>0</v>
      </c>
      <c r="S1794" s="47">
        <f>ROUNDUP(R1794+(R1794*Assumptions!R$5),-2)</f>
        <v>0</v>
      </c>
    </row>
    <row r="1795" spans="1:19" x14ac:dyDescent="0.2">
      <c r="A1795" s="54">
        <v>1250300</v>
      </c>
      <c r="B1795" s="9">
        <f>1284600-2800</f>
        <v>1281800</v>
      </c>
      <c r="C1795" s="136">
        <v>1262500</v>
      </c>
      <c r="D1795" s="707">
        <v>774300</v>
      </c>
      <c r="E1795" s="134">
        <v>572300</v>
      </c>
      <c r="F1795" s="469" t="s">
        <v>2835</v>
      </c>
      <c r="G1795" s="772" t="s">
        <v>3799</v>
      </c>
      <c r="H1795" s="134">
        <f>741000-130000</f>
        <v>611000</v>
      </c>
      <c r="I1795" s="85">
        <f>IF(E1795=H1795,0,IF(E1795=0,100,(H1795-E1795)/E1795*100))</f>
        <v>6.7621876638126857</v>
      </c>
      <c r="J1795" s="9">
        <f>ROUND(H1795+(H1795*Assumptions!I$24),-3)</f>
        <v>625000</v>
      </c>
      <c r="K1795" s="9">
        <f>ROUND(J1795+(J1795*Assumptions!J$24),-3)</f>
        <v>639000</v>
      </c>
      <c r="L1795" s="9">
        <f>ROUND(K1795+(K1795*Assumptions!K$24),-3)</f>
        <v>654000</v>
      </c>
      <c r="M1795" s="9">
        <f>ROUND(L1795+(L1795*Assumptions!L$24),-3)</f>
        <v>669000</v>
      </c>
      <c r="N1795" s="9">
        <f>ROUND(M1795+(M1795*Assumptions!M$24),-3)</f>
        <v>684000</v>
      </c>
      <c r="O1795" s="134">
        <f>ROUND(N1795+(N1795*Assumptions!N$24),-3)</f>
        <v>700000</v>
      </c>
      <c r="P1795" s="134">
        <f>ROUND(O1795+(O1795*Assumptions!O$24),-3)</f>
        <v>716000</v>
      </c>
      <c r="Q1795" s="134">
        <f>ROUND(P1795+(P1795*Assumptions!P$24),-3)</f>
        <v>732000</v>
      </c>
      <c r="R1795" s="134">
        <f>ROUND(Q1795+(Q1795*Assumptions!Q$24),-3)</f>
        <v>749000</v>
      </c>
      <c r="S1795" s="2359">
        <f>ROUND(R1795+(R1795*Assumptions!R$24),-3)</f>
        <v>766000</v>
      </c>
    </row>
    <row r="1796" spans="1:19" x14ac:dyDescent="0.2">
      <c r="A1796" s="54">
        <v>328500</v>
      </c>
      <c r="B1796" s="9">
        <v>633600</v>
      </c>
      <c r="C1796" s="707">
        <v>683600</v>
      </c>
      <c r="D1796" s="707">
        <v>714900</v>
      </c>
      <c r="E1796" s="134">
        <v>636800</v>
      </c>
      <c r="F1796" s="469" t="s">
        <v>1417</v>
      </c>
      <c r="G1796" s="772" t="s">
        <v>3800</v>
      </c>
      <c r="H1796" s="134">
        <f>742000-50000</f>
        <v>692000</v>
      </c>
      <c r="I1796" s="85">
        <f>IF(E1796=H1796,0,IF(E1796=0,100,(H1796-E1796)/E1796*100))</f>
        <v>8.6683417085427141</v>
      </c>
      <c r="J1796" s="9">
        <f>ROUND(H1796+(H1796*Assumptions!I$24),-3)</f>
        <v>708000</v>
      </c>
      <c r="K1796" s="9">
        <f>ROUND(J1796+(J1796*Assumptions!J$24),-3)</f>
        <v>724000</v>
      </c>
      <c r="L1796" s="9">
        <f>ROUND(K1796+(K1796*Assumptions!K$24),-3)</f>
        <v>741000</v>
      </c>
      <c r="M1796" s="9">
        <f>ROUND(L1796+(L1796*Assumptions!L$24),-3)</f>
        <v>758000</v>
      </c>
      <c r="N1796" s="9">
        <f>ROUND(M1796+(M1796*Assumptions!M$24),-3)</f>
        <v>775000</v>
      </c>
      <c r="O1796" s="134">
        <f>ROUND(N1796+(N1796*Assumptions!N$24),-3)</f>
        <v>793000</v>
      </c>
      <c r="P1796" s="134">
        <f>ROUND(O1796+(O1796*Assumptions!O$24),-3)</f>
        <v>811000</v>
      </c>
      <c r="Q1796" s="134">
        <f>ROUND(P1796+(P1796*Assumptions!P$24),-3)</f>
        <v>830000</v>
      </c>
      <c r="R1796" s="134">
        <f>ROUND(Q1796+(Q1796*Assumptions!Q$24),-3)</f>
        <v>849000</v>
      </c>
      <c r="S1796" s="2359">
        <f>ROUND(R1796+(R1796*Assumptions!R$24),-3)</f>
        <v>869000</v>
      </c>
    </row>
    <row r="1797" spans="1:19" x14ac:dyDescent="0.2">
      <c r="A1797" s="54"/>
      <c r="B1797" s="9"/>
      <c r="D1797" s="707"/>
      <c r="E1797" s="134"/>
      <c r="F1797" s="371"/>
      <c r="G1797" s="542" t="s">
        <v>677</v>
      </c>
      <c r="H1797" s="134"/>
      <c r="I1797" s="85"/>
      <c r="J1797" s="9"/>
      <c r="K1797" s="9"/>
      <c r="L1797" s="9"/>
      <c r="M1797" s="9"/>
      <c r="N1797" s="9"/>
      <c r="O1797" s="9"/>
      <c r="P1797" s="9"/>
      <c r="Q1797" s="9"/>
      <c r="R1797" s="9"/>
      <c r="S1797" s="47"/>
    </row>
    <row r="1798" spans="1:19" x14ac:dyDescent="0.2">
      <c r="A1798" s="54">
        <v>253500</v>
      </c>
      <c r="B1798" s="79">
        <f>145700+6200-1600</f>
        <v>150300</v>
      </c>
      <c r="C1798" s="136">
        <v>125400</v>
      </c>
      <c r="D1798" s="707">
        <v>125500</v>
      </c>
      <c r="E1798" s="134">
        <v>124800</v>
      </c>
      <c r="F1798" s="469" t="s">
        <v>2369</v>
      </c>
      <c r="G1798" s="772" t="s">
        <v>3518</v>
      </c>
      <c r="H1798" s="134">
        <f>21000+61000</f>
        <v>82000</v>
      </c>
      <c r="I1798" s="85">
        <f>IF(E1798=H1798,0,IF(E1798=0,100,(H1798-E1798)/E1798*100))</f>
        <v>-34.294871794871796</v>
      </c>
      <c r="J1798" s="9">
        <f>ROUND(H1798+(H1798*Assumptions!I$5),-3)-62000</f>
        <v>22000</v>
      </c>
      <c r="K1798" s="9">
        <f>ROUND(J1798+(J1798*Assumptions!J$5),-3)</f>
        <v>23000</v>
      </c>
      <c r="L1798" s="9">
        <f>ROUND(K1798+(K1798*Assumptions!K$5),-3)</f>
        <v>24000</v>
      </c>
      <c r="M1798" s="9">
        <f>ROUND(L1798+(L1798*Assumptions!L$5),-3)</f>
        <v>25000</v>
      </c>
      <c r="N1798" s="9">
        <f>ROUND(M1798+(M1798*Assumptions!M$5),-3)</f>
        <v>26000</v>
      </c>
      <c r="O1798" s="9">
        <f>ROUND(N1798+(N1798*Assumptions!N$5),-3)</f>
        <v>27000</v>
      </c>
      <c r="P1798" s="9">
        <f>ROUND(O1798+(O1798*Assumptions!O$5),-3)</f>
        <v>28000</v>
      </c>
      <c r="Q1798" s="9">
        <f>ROUND(P1798+(P1798*Assumptions!P$5),-3)</f>
        <v>29000</v>
      </c>
      <c r="R1798" s="9">
        <f>ROUND(Q1798+(Q1798*Assumptions!Q$5),-3)</f>
        <v>30000</v>
      </c>
      <c r="S1798" s="47">
        <f>ROUND(R1798+(R1798*Assumptions!R$5),-3)</f>
        <v>31000</v>
      </c>
    </row>
    <row r="1799" spans="1:19" x14ac:dyDescent="0.2">
      <c r="A1799" s="54">
        <v>0</v>
      </c>
      <c r="B1799" s="79">
        <v>0</v>
      </c>
      <c r="C1799" s="136">
        <v>0</v>
      </c>
      <c r="D1799" s="707">
        <v>130300</v>
      </c>
      <c r="E1799" s="134">
        <v>0</v>
      </c>
      <c r="F1799" s="769" t="s">
        <v>5827</v>
      </c>
      <c r="G1799" s="772" t="s">
        <v>5828</v>
      </c>
      <c r="H1799" s="134">
        <v>0</v>
      </c>
      <c r="I1799" s="85">
        <f>IF(E1799=H1799,0,IF(E1799=0,100,(H1799-E1799)/E1799*100))</f>
        <v>0</v>
      </c>
      <c r="J1799" s="9">
        <f>ROUND(H1799+(H1799*Assumptions!I$5),-3)</f>
        <v>0</v>
      </c>
      <c r="K1799" s="9">
        <f>ROUND(J1799+(J1799*Assumptions!J$5),-3)</f>
        <v>0</v>
      </c>
      <c r="L1799" s="9">
        <f>ROUND(K1799+(K1799*Assumptions!K$5),-3)</f>
        <v>0</v>
      </c>
      <c r="M1799" s="9">
        <f>ROUND(L1799+(L1799*Assumptions!L$5),-3)</f>
        <v>0</v>
      </c>
      <c r="N1799" s="9">
        <f>ROUND(M1799+(M1799*Assumptions!M$5),-3)</f>
        <v>0</v>
      </c>
      <c r="O1799" s="9">
        <f>ROUND(N1799+(N1799*Assumptions!N$5),-3)</f>
        <v>0</v>
      </c>
      <c r="P1799" s="9">
        <f>ROUND(O1799+(O1799*Assumptions!O$5),-3)</f>
        <v>0</v>
      </c>
      <c r="Q1799" s="9">
        <f>ROUND(P1799+(P1799*Assumptions!P$5),-3)</f>
        <v>0</v>
      </c>
      <c r="R1799" s="9">
        <f>ROUND(Q1799+(Q1799*Assumptions!Q$5),-3)</f>
        <v>0</v>
      </c>
      <c r="S1799" s="47">
        <f>ROUND(R1799+(R1799*Assumptions!R$5),-3)</f>
        <v>0</v>
      </c>
    </row>
    <row r="1800" spans="1:19" x14ac:dyDescent="0.2">
      <c r="A1800" s="54">
        <v>0</v>
      </c>
      <c r="B1800" s="79">
        <v>0</v>
      </c>
      <c r="C1800" s="136">
        <v>0</v>
      </c>
      <c r="D1800" s="707">
        <v>70400</v>
      </c>
      <c r="E1800" s="134">
        <v>0</v>
      </c>
      <c r="F1800" s="769" t="s">
        <v>5418</v>
      </c>
      <c r="G1800" s="772" t="s">
        <v>5921</v>
      </c>
      <c r="H1800" s="134">
        <v>0</v>
      </c>
      <c r="I1800" s="85">
        <f>IF(E1800=H1800,0,IF(E1800=0,100,(H1800-E1800)/E1800*100))</f>
        <v>0</v>
      </c>
      <c r="J1800" s="9">
        <f>ROUND(H1800+(H1800*Assumptions!I$5),-3)</f>
        <v>0</v>
      </c>
      <c r="K1800" s="9">
        <f>ROUND(J1800+(J1800*Assumptions!J$5),-3)</f>
        <v>0</v>
      </c>
      <c r="L1800" s="9">
        <f>ROUND(K1800+(K1800*Assumptions!K$5),-3)</f>
        <v>0</v>
      </c>
      <c r="M1800" s="9">
        <f>ROUND(L1800+(L1800*Assumptions!L$5),-3)</f>
        <v>0</v>
      </c>
      <c r="N1800" s="9">
        <f>ROUND(M1800+(M1800*Assumptions!M$5),-3)</f>
        <v>0</v>
      </c>
      <c r="O1800" s="9">
        <f>ROUND(N1800+(N1800*Assumptions!N$5),-3)</f>
        <v>0</v>
      </c>
      <c r="P1800" s="9">
        <f>ROUND(O1800+(O1800*Assumptions!O$5),-3)</f>
        <v>0</v>
      </c>
      <c r="Q1800" s="9">
        <f>ROUND(P1800+(P1800*Assumptions!P$5),-3)</f>
        <v>0</v>
      </c>
      <c r="R1800" s="9">
        <f>ROUND(Q1800+(Q1800*Assumptions!Q$5),-3)</f>
        <v>0</v>
      </c>
      <c r="S1800" s="47">
        <f>ROUND(R1800+(R1800*Assumptions!R$5),-3)</f>
        <v>0</v>
      </c>
    </row>
    <row r="1801" spans="1:19" x14ac:dyDescent="0.2">
      <c r="A1801" s="54"/>
      <c r="B1801" s="9"/>
      <c r="D1801" s="707"/>
      <c r="E1801" s="134"/>
      <c r="F1801" s="469"/>
      <c r="G1801" s="542" t="s">
        <v>1661</v>
      </c>
      <c r="H1801" s="9"/>
      <c r="I1801" s="85"/>
      <c r="J1801" s="9"/>
      <c r="K1801" s="9"/>
      <c r="L1801" s="9"/>
      <c r="M1801" s="9"/>
      <c r="N1801" s="9"/>
      <c r="O1801" s="9"/>
      <c r="P1801" s="9"/>
      <c r="Q1801" s="9"/>
      <c r="R1801" s="9"/>
      <c r="S1801" s="47"/>
    </row>
    <row r="1802" spans="1:19" x14ac:dyDescent="0.2">
      <c r="A1802" s="54">
        <v>79000</v>
      </c>
      <c r="B1802" s="9">
        <v>54200</v>
      </c>
      <c r="C1802" s="136">
        <v>85400</v>
      </c>
      <c r="D1802" s="707">
        <v>106100</v>
      </c>
      <c r="E1802" s="134">
        <v>107700</v>
      </c>
      <c r="F1802" s="469" t="s">
        <v>2223</v>
      </c>
      <c r="G1802" s="772" t="s">
        <v>599</v>
      </c>
      <c r="H1802" s="9">
        <v>92000</v>
      </c>
      <c r="I1802" s="85">
        <f>IF(E1802=H1802,0,IF(E1802=0,100,(H1802-E1802)/E1802*100))</f>
        <v>-14.577530176415971</v>
      </c>
      <c r="J1802" s="9">
        <v>135000</v>
      </c>
      <c r="K1802" s="9">
        <v>183000</v>
      </c>
      <c r="L1802" s="9">
        <v>178000</v>
      </c>
      <c r="M1802" s="9">
        <v>172000</v>
      </c>
      <c r="N1802" s="9">
        <v>164000</v>
      </c>
      <c r="O1802" s="9">
        <v>154000</v>
      </c>
      <c r="P1802" s="9">
        <v>154000</v>
      </c>
      <c r="Q1802" s="9">
        <v>154000</v>
      </c>
      <c r="R1802" s="9">
        <v>154000</v>
      </c>
      <c r="S1802" s="47">
        <v>154000</v>
      </c>
    </row>
    <row r="1803" spans="1:19" x14ac:dyDescent="0.2">
      <c r="A1803" s="54"/>
      <c r="B1803" s="9"/>
      <c r="D1803" s="707"/>
      <c r="E1803" s="134"/>
      <c r="F1803" s="469"/>
      <c r="G1803" s="542" t="s">
        <v>420</v>
      </c>
      <c r="H1803" s="9"/>
      <c r="I1803" s="85"/>
      <c r="J1803" s="9"/>
      <c r="K1803" s="9"/>
      <c r="L1803" s="9"/>
      <c r="M1803" s="9"/>
      <c r="N1803" s="9"/>
      <c r="O1803" s="9"/>
      <c r="P1803" s="9"/>
      <c r="Q1803" s="9"/>
      <c r="R1803" s="9"/>
      <c r="S1803" s="47"/>
    </row>
    <row r="1804" spans="1:19" x14ac:dyDescent="0.2">
      <c r="A1804" s="54">
        <v>97000</v>
      </c>
      <c r="B1804" s="9">
        <v>103600</v>
      </c>
      <c r="C1804" s="136">
        <v>53700</v>
      </c>
      <c r="D1804" s="707">
        <v>15900</v>
      </c>
      <c r="E1804" s="134">
        <v>52900</v>
      </c>
      <c r="F1804" s="469" t="s">
        <v>2371</v>
      </c>
      <c r="G1804" s="772" t="s">
        <v>4735</v>
      </c>
      <c r="H1804" s="9">
        <f>26000+23000</f>
        <v>49000</v>
      </c>
      <c r="I1804" s="85">
        <f t="shared" ref="I1804:I1811" si="2234">IF(E1804=H1804,0,IF(E1804=0,100,(H1804-E1804)/E1804*100))</f>
        <v>-7.3724007561436666</v>
      </c>
      <c r="J1804" s="9">
        <f>ROUND(H1804+(H1804*Assumptions!I$5),-3)</f>
        <v>50000</v>
      </c>
      <c r="K1804" s="9">
        <f>ROUND(J1804+(J1804*Assumptions!J$5),-3)</f>
        <v>51000</v>
      </c>
      <c r="L1804" s="9">
        <f>ROUND(K1804+(K1804*Assumptions!K$5),-3)</f>
        <v>52000</v>
      </c>
      <c r="M1804" s="9">
        <f>ROUND(L1804+(L1804*Assumptions!L$5),-3)</f>
        <v>53000</v>
      </c>
      <c r="N1804" s="9">
        <f>ROUND(M1804+(M1804*Assumptions!M$5),-3)</f>
        <v>54000</v>
      </c>
      <c r="O1804" s="9">
        <f>ROUND(N1804+(N1804*Assumptions!N$5),-3)</f>
        <v>55000</v>
      </c>
      <c r="P1804" s="9">
        <f>ROUND(O1804+(O1804*Assumptions!O$5),-3)</f>
        <v>56000</v>
      </c>
      <c r="Q1804" s="9">
        <f>ROUND(P1804+(P1804*Assumptions!P$5),-3)</f>
        <v>57000</v>
      </c>
      <c r="R1804" s="9">
        <f>ROUND(Q1804+(Q1804*Assumptions!Q$5),-3)</f>
        <v>58000</v>
      </c>
      <c r="S1804" s="47">
        <f>ROUND(R1804+(R1804*Assumptions!R$5),-3)</f>
        <v>59000</v>
      </c>
    </row>
    <row r="1805" spans="1:19" x14ac:dyDescent="0.2">
      <c r="A1805" s="54">
        <v>0</v>
      </c>
      <c r="B1805" s="9">
        <v>0</v>
      </c>
      <c r="C1805" s="136">
        <v>26000</v>
      </c>
      <c r="D1805" s="707">
        <v>24300</v>
      </c>
      <c r="E1805" s="134">
        <v>29000</v>
      </c>
      <c r="F1805" s="769" t="s">
        <v>4954</v>
      </c>
      <c r="G1805" s="772" t="s">
        <v>4734</v>
      </c>
      <c r="H1805" s="9">
        <v>24000</v>
      </c>
      <c r="I1805" s="85">
        <f t="shared" si="2234"/>
        <v>-17.241379310344829</v>
      </c>
      <c r="J1805" s="9">
        <f>ROUND(H1805+(H1805*Assumptions!I$5),-3)</f>
        <v>25000</v>
      </c>
      <c r="K1805" s="9">
        <f>ROUND(J1805+(J1805*Assumptions!J$5),-3)</f>
        <v>26000</v>
      </c>
      <c r="L1805" s="9">
        <f>ROUND(K1805+(K1805*Assumptions!K$5),-3)</f>
        <v>27000</v>
      </c>
      <c r="M1805" s="9">
        <f>ROUND(L1805+(L1805*Assumptions!L$5),-3)</f>
        <v>28000</v>
      </c>
      <c r="N1805" s="9">
        <f>ROUND(M1805+(M1805*Assumptions!M$5),-3)</f>
        <v>29000</v>
      </c>
      <c r="O1805" s="9">
        <f>ROUND(N1805+(N1805*Assumptions!N$5),-3)</f>
        <v>30000</v>
      </c>
      <c r="P1805" s="9">
        <f>ROUND(O1805+(O1805*Assumptions!O$5),-3)</f>
        <v>31000</v>
      </c>
      <c r="Q1805" s="9">
        <f>ROUND(P1805+(P1805*Assumptions!P$5),-3)</f>
        <v>32000</v>
      </c>
      <c r="R1805" s="9">
        <f>ROUND(Q1805+(Q1805*Assumptions!Q$5),-3)</f>
        <v>33000</v>
      </c>
      <c r="S1805" s="47">
        <f>ROUND(R1805+(R1805*Assumptions!R$5),-3)</f>
        <v>34000</v>
      </c>
    </row>
    <row r="1806" spans="1:19" x14ac:dyDescent="0.2">
      <c r="A1806" s="54">
        <v>22600</v>
      </c>
      <c r="B1806" s="9">
        <v>19600</v>
      </c>
      <c r="C1806" s="136">
        <v>4900</v>
      </c>
      <c r="D1806" s="707">
        <v>0</v>
      </c>
      <c r="E1806" s="134">
        <v>500</v>
      </c>
      <c r="F1806" s="469" t="s">
        <v>1376</v>
      </c>
      <c r="G1806" s="247" t="s">
        <v>1448</v>
      </c>
      <c r="H1806" s="9">
        <v>0</v>
      </c>
      <c r="I1806" s="85">
        <f t="shared" si="2234"/>
        <v>-100</v>
      </c>
      <c r="J1806" s="9">
        <f>ROUND(H1806+(H1806*Assumptions!I$5),-3)</f>
        <v>0</v>
      </c>
      <c r="K1806" s="9">
        <f>ROUND(J1806+(J1806*Assumptions!J$5),-3)</f>
        <v>0</v>
      </c>
      <c r="L1806" s="9">
        <f>ROUND(K1806+(K1806*Assumptions!K$5),-3)</f>
        <v>0</v>
      </c>
      <c r="M1806" s="9">
        <f>ROUND(L1806+(L1806*Assumptions!L$5),-3)</f>
        <v>0</v>
      </c>
      <c r="N1806" s="9">
        <f>ROUND(M1806+(M1806*Assumptions!M$5),-3)</f>
        <v>0</v>
      </c>
      <c r="O1806" s="9">
        <f>ROUND(N1806+(N1806*Assumptions!N$5),-3)</f>
        <v>0</v>
      </c>
      <c r="P1806" s="9">
        <f>ROUND(O1806+(O1806*Assumptions!O$5),-3)</f>
        <v>0</v>
      </c>
      <c r="Q1806" s="9">
        <f>ROUND(P1806+(P1806*Assumptions!P$5),-3)</f>
        <v>0</v>
      </c>
      <c r="R1806" s="9">
        <f>ROUND(Q1806+(Q1806*Assumptions!Q$5),-3)</f>
        <v>0</v>
      </c>
      <c r="S1806" s="47">
        <f>ROUND(R1806+(R1806*Assumptions!R$5),-3)</f>
        <v>0</v>
      </c>
    </row>
    <row r="1807" spans="1:19" x14ac:dyDescent="0.2">
      <c r="A1807" s="54">
        <v>5200</v>
      </c>
      <c r="B1807" s="9">
        <v>5200</v>
      </c>
      <c r="C1807" s="136">
        <v>5200</v>
      </c>
      <c r="D1807" s="707">
        <v>700</v>
      </c>
      <c r="E1807" s="134">
        <v>0</v>
      </c>
      <c r="F1807" s="469" t="s">
        <v>2696</v>
      </c>
      <c r="G1807" s="247" t="s">
        <v>170</v>
      </c>
      <c r="H1807" s="9">
        <v>1000</v>
      </c>
      <c r="I1807" s="85">
        <f t="shared" si="2234"/>
        <v>100</v>
      </c>
      <c r="J1807" s="9">
        <f>ROUND(H1807+(H1807*Assumptions!I$5),-3)</f>
        <v>1000</v>
      </c>
      <c r="K1807" s="9">
        <f>ROUND(J1807+(J1807*Assumptions!J$5),-3)</f>
        <v>1000</v>
      </c>
      <c r="L1807" s="9">
        <f>ROUND(K1807+(K1807*Assumptions!K$5),-3)</f>
        <v>1000</v>
      </c>
      <c r="M1807" s="9">
        <f>ROUND(L1807+(L1807*Assumptions!L$5),-3)</f>
        <v>1000</v>
      </c>
      <c r="N1807" s="9">
        <f>ROUND(M1807+(M1807*Assumptions!M$5),-3)</f>
        <v>1000</v>
      </c>
      <c r="O1807" s="9">
        <f>ROUND(N1807+(N1807*Assumptions!N$5),-3)</f>
        <v>1000</v>
      </c>
      <c r="P1807" s="9">
        <f>ROUND(O1807+(O1807*Assumptions!O$5),-3)</f>
        <v>1000</v>
      </c>
      <c r="Q1807" s="9">
        <f>ROUND(P1807+(P1807*Assumptions!P$5),-3)</f>
        <v>1000</v>
      </c>
      <c r="R1807" s="9">
        <f>ROUND(Q1807+(Q1807*Assumptions!Q$5),-3)</f>
        <v>1000</v>
      </c>
      <c r="S1807" s="47">
        <f>ROUND(R1807+(R1807*Assumptions!R$5),-3)</f>
        <v>1000</v>
      </c>
    </row>
    <row r="1808" spans="1:19" x14ac:dyDescent="0.2">
      <c r="A1808" s="54">
        <v>0</v>
      </c>
      <c r="B1808" s="9">
        <v>1500</v>
      </c>
      <c r="C1808" s="136">
        <v>-200</v>
      </c>
      <c r="D1808" s="707">
        <v>0</v>
      </c>
      <c r="E1808" s="134">
        <v>0</v>
      </c>
      <c r="F1808" s="469" t="s">
        <v>2697</v>
      </c>
      <c r="G1808" s="247" t="s">
        <v>938</v>
      </c>
      <c r="H1808" s="9">
        <v>1000</v>
      </c>
      <c r="I1808" s="85">
        <f t="shared" si="2234"/>
        <v>100</v>
      </c>
      <c r="J1808" s="9">
        <f>ROUND(H1808+(H1808*Assumptions!I$5),-3)</f>
        <v>1000</v>
      </c>
      <c r="K1808" s="9">
        <f>ROUND(J1808+(J1808*Assumptions!J$5),-3)</f>
        <v>1000</v>
      </c>
      <c r="L1808" s="9">
        <f>ROUND(K1808+(K1808*Assumptions!K$5),-3)</f>
        <v>1000</v>
      </c>
      <c r="M1808" s="9">
        <f>ROUND(L1808+(L1808*Assumptions!L$5),-3)</f>
        <v>1000</v>
      </c>
      <c r="N1808" s="9">
        <f>ROUND(M1808+(M1808*Assumptions!M$5),-3)</f>
        <v>1000</v>
      </c>
      <c r="O1808" s="9">
        <f>ROUND(N1808+(N1808*Assumptions!N$5),-3)</f>
        <v>1000</v>
      </c>
      <c r="P1808" s="9">
        <f>ROUND(O1808+(O1808*Assumptions!O$5),-3)</f>
        <v>1000</v>
      </c>
      <c r="Q1808" s="9">
        <f>ROUND(P1808+(P1808*Assumptions!P$5),-3)</f>
        <v>1000</v>
      </c>
      <c r="R1808" s="9">
        <f>ROUND(Q1808+(Q1808*Assumptions!Q$5),-3)</f>
        <v>1000</v>
      </c>
      <c r="S1808" s="47">
        <f>ROUND(R1808+(R1808*Assumptions!R$5),-3)</f>
        <v>1000</v>
      </c>
    </row>
    <row r="1809" spans="1:19" x14ac:dyDescent="0.2">
      <c r="A1809" s="54">
        <v>0</v>
      </c>
      <c r="B1809" s="9">
        <v>0</v>
      </c>
      <c r="C1809" s="136">
        <v>0</v>
      </c>
      <c r="D1809" s="707">
        <v>800</v>
      </c>
      <c r="E1809" s="1442">
        <v>900</v>
      </c>
      <c r="F1809" s="769" t="s">
        <v>5800</v>
      </c>
      <c r="G1809" s="772" t="s">
        <v>5801</v>
      </c>
      <c r="H1809" s="9">
        <v>1000</v>
      </c>
      <c r="I1809" s="85">
        <f t="shared" si="2234"/>
        <v>11.111111111111111</v>
      </c>
      <c r="J1809" s="9">
        <f>ROUND(H1809+(H1809*Assumptions!I$5),-3)</f>
        <v>1000</v>
      </c>
      <c r="K1809" s="9">
        <f>ROUND(J1809+(J1809*Assumptions!J$5),-3)</f>
        <v>1000</v>
      </c>
      <c r="L1809" s="9">
        <f>ROUND(K1809+(K1809*Assumptions!K$5),-3)</f>
        <v>1000</v>
      </c>
      <c r="M1809" s="9">
        <f>ROUND(L1809+(L1809*Assumptions!L$5),-3)</f>
        <v>1000</v>
      </c>
      <c r="N1809" s="9">
        <f>ROUND(M1809+(M1809*Assumptions!M$5),-3)</f>
        <v>1000</v>
      </c>
      <c r="O1809" s="9">
        <f>ROUND(N1809+(N1809*Assumptions!N$5),-3)</f>
        <v>1000</v>
      </c>
      <c r="P1809" s="9">
        <f>ROUND(O1809+(O1809*Assumptions!O$5),-3)</f>
        <v>1000</v>
      </c>
      <c r="Q1809" s="9">
        <f>ROUND(P1809+(P1809*Assumptions!P$5),-3)</f>
        <v>1000</v>
      </c>
      <c r="R1809" s="9">
        <f>ROUND(Q1809+(Q1809*Assumptions!Q$5),-3)</f>
        <v>1000</v>
      </c>
      <c r="S1809" s="47">
        <f>ROUND(R1809+(R1809*Assumptions!R$5),-3)</f>
        <v>1000</v>
      </c>
    </row>
    <row r="1810" spans="1:19" x14ac:dyDescent="0.2">
      <c r="A1810" s="54">
        <f>15200+300+300+100+200+200</f>
        <v>16300</v>
      </c>
      <c r="B1810" s="79">
        <f>500+1000</f>
        <v>1500</v>
      </c>
      <c r="C1810" s="136">
        <v>0</v>
      </c>
      <c r="D1810" s="707">
        <v>15200</v>
      </c>
      <c r="E1810" s="1442">
        <v>0</v>
      </c>
      <c r="F1810" s="769" t="s">
        <v>5990</v>
      </c>
      <c r="G1810" s="772" t="s">
        <v>1821</v>
      </c>
      <c r="H1810" s="9">
        <v>0</v>
      </c>
      <c r="I1810" s="85">
        <f t="shared" si="2234"/>
        <v>0</v>
      </c>
      <c r="J1810" s="9">
        <f>ROUND(H1810+(H1810*Assumptions!I$5),-3)</f>
        <v>0</v>
      </c>
      <c r="K1810" s="9">
        <f>ROUND(J1810+(J1810*Assumptions!J$5),-3)</f>
        <v>0</v>
      </c>
      <c r="L1810" s="9">
        <f>ROUND(K1810+(K1810*Assumptions!K$5),-3)</f>
        <v>0</v>
      </c>
      <c r="M1810" s="9">
        <f>ROUND(L1810+(L1810*Assumptions!L$5),-3)</f>
        <v>0</v>
      </c>
      <c r="N1810" s="9">
        <f>ROUND(M1810+(M1810*Assumptions!M$5),-3)</f>
        <v>0</v>
      </c>
      <c r="O1810" s="9">
        <f>ROUND(N1810+(N1810*Assumptions!N$5),-3)</f>
        <v>0</v>
      </c>
      <c r="P1810" s="9">
        <f>ROUND(O1810+(O1810*Assumptions!O$5),-3)</f>
        <v>0</v>
      </c>
      <c r="Q1810" s="9">
        <f>ROUND(P1810+(P1810*Assumptions!P$5),-3)</f>
        <v>0</v>
      </c>
      <c r="R1810" s="9">
        <f>ROUND(Q1810+(Q1810*Assumptions!Q$5),-3)</f>
        <v>0</v>
      </c>
      <c r="S1810" s="47">
        <f>ROUND(R1810+(R1810*Assumptions!R$5),-3)</f>
        <v>0</v>
      </c>
    </row>
    <row r="1811" spans="1:19" x14ac:dyDescent="0.2">
      <c r="A1811" s="54">
        <v>0</v>
      </c>
      <c r="B1811" s="9">
        <v>0</v>
      </c>
      <c r="C1811" s="136">
        <v>0</v>
      </c>
      <c r="D1811" s="707">
        <v>67800</v>
      </c>
      <c r="E1811" s="1442">
        <v>0</v>
      </c>
      <c r="F1811" s="769" t="s">
        <v>6608</v>
      </c>
      <c r="G1811" s="772" t="s">
        <v>6698</v>
      </c>
      <c r="H1811" s="9">
        <v>0</v>
      </c>
      <c r="I1811" s="85">
        <f t="shared" si="2234"/>
        <v>0</v>
      </c>
      <c r="J1811" s="9">
        <f>ROUND(H1811+(H1811*Assumptions!I$5),-3)</f>
        <v>0</v>
      </c>
      <c r="K1811" s="9">
        <f>ROUND(J1811+(J1811*Assumptions!J$5),-3)</f>
        <v>0</v>
      </c>
      <c r="L1811" s="9">
        <f>ROUND(K1811+(K1811*Assumptions!K$5),-3)</f>
        <v>0</v>
      </c>
      <c r="M1811" s="9">
        <f>ROUND(L1811+(L1811*Assumptions!L$5),-3)</f>
        <v>0</v>
      </c>
      <c r="N1811" s="9">
        <f>ROUND(M1811+(M1811*Assumptions!M$5),-3)</f>
        <v>0</v>
      </c>
      <c r="O1811" s="9">
        <f>ROUND(N1811+(N1811*Assumptions!N$5),-3)</f>
        <v>0</v>
      </c>
      <c r="P1811" s="9">
        <f>ROUND(O1811+(O1811*Assumptions!O$5),-3)</f>
        <v>0</v>
      </c>
      <c r="Q1811" s="9">
        <f>ROUND(P1811+(P1811*Assumptions!P$5),-3)</f>
        <v>0</v>
      </c>
      <c r="R1811" s="9">
        <f>ROUND(Q1811+(Q1811*Assumptions!Q$5),-3)</f>
        <v>0</v>
      </c>
      <c r="S1811" s="47">
        <f>ROUND(R1811+(R1811*Assumptions!R$5),-3)</f>
        <v>0</v>
      </c>
    </row>
    <row r="1812" spans="1:19" ht="13.5" thickBot="1" x14ac:dyDescent="0.25">
      <c r="A1812" s="54"/>
      <c r="B1812" s="9"/>
      <c r="C1812" s="134"/>
      <c r="D1812" s="134"/>
      <c r="E1812" s="1442"/>
      <c r="F1812" s="167"/>
      <c r="G1812" s="242"/>
      <c r="H1812" s="9"/>
      <c r="I1812" s="85"/>
      <c r="J1812" s="9"/>
      <c r="K1812" s="9"/>
      <c r="L1812" s="9"/>
      <c r="M1812" s="9"/>
      <c r="N1812" s="9"/>
      <c r="O1812" s="9"/>
      <c r="P1812" s="9"/>
      <c r="Q1812" s="9"/>
      <c r="R1812" s="9"/>
      <c r="S1812" s="47"/>
    </row>
    <row r="1813" spans="1:19" x14ac:dyDescent="0.2">
      <c r="A1813" s="52">
        <f>SUM(A1788:A1812)</f>
        <v>2497000</v>
      </c>
      <c r="B1813" s="16">
        <f>SUM(B1788:B1812)</f>
        <v>2720200</v>
      </c>
      <c r="C1813" s="145">
        <f>SUM(C1788:C1812)</f>
        <v>3958300</v>
      </c>
      <c r="D1813" s="145">
        <f>SUM(D1788:D1812)</f>
        <v>3844500</v>
      </c>
      <c r="E1813" s="145">
        <f>SUM(E1788:E1812)</f>
        <v>3350400</v>
      </c>
      <c r="F1813" s="164"/>
      <c r="G1813" s="170"/>
      <c r="H1813" s="16">
        <f t="shared" ref="H1813:Q1813" si="2235">SUM(H1788:H1812)</f>
        <v>2111000</v>
      </c>
      <c r="I1813" s="127">
        <f>IF(E1813=H1813,0,IF(E1813=0,100,(H1813-E1813)/E1813*100))</f>
        <v>-36.992597898758355</v>
      </c>
      <c r="J1813" s="16">
        <f t="shared" si="2235"/>
        <v>2139000</v>
      </c>
      <c r="K1813" s="16">
        <f t="shared" si="2235"/>
        <v>2233000</v>
      </c>
      <c r="L1813" s="16">
        <f t="shared" si="2235"/>
        <v>2276000</v>
      </c>
      <c r="M1813" s="16">
        <f t="shared" si="2235"/>
        <v>2318000</v>
      </c>
      <c r="N1813" s="16">
        <f t="shared" si="2235"/>
        <v>2359000</v>
      </c>
      <c r="O1813" s="16">
        <f t="shared" si="2235"/>
        <v>2400000</v>
      </c>
      <c r="P1813" s="16">
        <f t="shared" si="2235"/>
        <v>2451000</v>
      </c>
      <c r="Q1813" s="16">
        <f t="shared" si="2235"/>
        <v>2504000</v>
      </c>
      <c r="R1813" s="16">
        <f t="shared" ref="R1813" si="2236">SUM(R1788:R1812)</f>
        <v>2558000</v>
      </c>
      <c r="S1813" s="2342">
        <f t="shared" ref="S1813" si="2237">SUM(S1788:S1812)</f>
        <v>2614000</v>
      </c>
    </row>
    <row r="1814" spans="1:19" x14ac:dyDescent="0.2">
      <c r="A1814" s="54"/>
      <c r="B1814" s="9"/>
      <c r="C1814" s="134"/>
      <c r="D1814" s="134"/>
      <c r="E1814" s="134"/>
      <c r="F1814" s="1153"/>
      <c r="G1814" s="50" t="s">
        <v>2169</v>
      </c>
      <c r="H1814" s="9"/>
      <c r="I1814" s="85"/>
      <c r="J1814" s="403"/>
      <c r="K1814" s="9"/>
      <c r="L1814" s="9"/>
      <c r="M1814" s="9"/>
      <c r="N1814" s="9"/>
      <c r="O1814" s="9"/>
      <c r="P1814" s="9"/>
      <c r="Q1814" s="9"/>
      <c r="R1814" s="9"/>
      <c r="S1814" s="47"/>
    </row>
    <row r="1815" spans="1:19" x14ac:dyDescent="0.2">
      <c r="A1815" s="54"/>
      <c r="B1815" s="9"/>
      <c r="E1815" s="134"/>
      <c r="F1815" s="1153"/>
      <c r="G1815" s="170" t="s">
        <v>2156</v>
      </c>
      <c r="H1815" s="9"/>
      <c r="I1815" s="85"/>
      <c r="J1815" s="9"/>
      <c r="K1815" s="9"/>
      <c r="L1815" s="9"/>
      <c r="M1815" s="9"/>
      <c r="N1815" s="9"/>
      <c r="O1815" s="9"/>
      <c r="P1815" s="9"/>
      <c r="Q1815" s="9"/>
      <c r="R1815" s="9"/>
      <c r="S1815" s="47"/>
    </row>
    <row r="1816" spans="1:19" x14ac:dyDescent="0.2">
      <c r="A1816" s="54"/>
      <c r="B1816" s="9"/>
      <c r="E1816" s="134"/>
      <c r="F1816" s="1378"/>
      <c r="G1816" s="319" t="s">
        <v>465</v>
      </c>
      <c r="H1816" s="9"/>
      <c r="I1816" s="85"/>
      <c r="J1816" s="9"/>
      <c r="K1816" s="9"/>
      <c r="L1816" s="9"/>
      <c r="M1816" s="9"/>
      <c r="N1816" s="9"/>
      <c r="O1816" s="9"/>
      <c r="P1816" s="9"/>
      <c r="Q1816" s="9"/>
      <c r="R1816" s="9"/>
      <c r="S1816" s="47"/>
    </row>
    <row r="1817" spans="1:19" x14ac:dyDescent="0.2">
      <c r="A1817" s="54">
        <v>30300</v>
      </c>
      <c r="B1817" s="79">
        <f>26400+2500</f>
        <v>28900</v>
      </c>
      <c r="C1817" s="136">
        <v>17900</v>
      </c>
      <c r="D1817" s="136">
        <v>30800</v>
      </c>
      <c r="E1817" s="134">
        <v>25800</v>
      </c>
      <c r="F1817" s="483" t="s">
        <v>1418</v>
      </c>
      <c r="G1817" s="247" t="s">
        <v>1701</v>
      </c>
      <c r="H1817" s="9">
        <v>25000</v>
      </c>
      <c r="I1817" s="85">
        <f t="shared" ref="I1817:I1830" si="2238">IF(E1817=H1817,0,IF(E1817=0,100,(H1817-E1817)/E1817*100))</f>
        <v>-3.1007751937984498</v>
      </c>
      <c r="J1817" s="9">
        <f>ROUND(H1817+(H1817*Assumptions!I$5),-3)</f>
        <v>26000</v>
      </c>
      <c r="K1817" s="9">
        <f>ROUND(J1817+(J1817*Assumptions!J$5),-3)</f>
        <v>27000</v>
      </c>
      <c r="L1817" s="9">
        <f>ROUND(K1817+(K1817*Assumptions!K$5),-3)</f>
        <v>28000</v>
      </c>
      <c r="M1817" s="9">
        <f>ROUND(L1817+(L1817*Assumptions!L$5),-3)</f>
        <v>29000</v>
      </c>
      <c r="N1817" s="9">
        <f>ROUND(M1817+(M1817*Assumptions!M$5),-3)</f>
        <v>30000</v>
      </c>
      <c r="O1817" s="9">
        <f>ROUND(N1817+(N1817*Assumptions!N$5),-3)</f>
        <v>31000</v>
      </c>
      <c r="P1817" s="9">
        <f>ROUND(O1817+(O1817*Assumptions!O$5),-3)</f>
        <v>32000</v>
      </c>
      <c r="Q1817" s="9">
        <f>ROUND(P1817+(P1817*Assumptions!P$5),-3)</f>
        <v>33000</v>
      </c>
      <c r="R1817" s="9">
        <f>ROUND(Q1817+(Q1817*Assumptions!Q$5),-3)</f>
        <v>34000</v>
      </c>
      <c r="S1817" s="47">
        <f>ROUND(R1817+(R1817*Assumptions!R$5),-3)</f>
        <v>35000</v>
      </c>
    </row>
    <row r="1818" spans="1:19" x14ac:dyDescent="0.2">
      <c r="A1818" s="54">
        <v>2800</v>
      </c>
      <c r="B1818" s="79">
        <v>3200</v>
      </c>
      <c r="C1818" s="136">
        <v>3400</v>
      </c>
      <c r="D1818" s="136">
        <v>3700</v>
      </c>
      <c r="E1818" s="134">
        <v>3500</v>
      </c>
      <c r="F1818" s="483" t="s">
        <v>1630</v>
      </c>
      <c r="G1818" s="772" t="s">
        <v>2839</v>
      </c>
      <c r="H1818" s="9">
        <v>3000</v>
      </c>
      <c r="I1818" s="85">
        <f t="shared" si="2238"/>
        <v>-14.285714285714285</v>
      </c>
      <c r="J1818" s="9">
        <f>ROUND(H1818+(H1818*Assumptions!I$5),-3)</f>
        <v>3000</v>
      </c>
      <c r="K1818" s="9">
        <f>ROUND(J1818+(J1818*Assumptions!J$5),-3)</f>
        <v>3000</v>
      </c>
      <c r="L1818" s="9">
        <f>ROUND(K1818+(K1818*Assumptions!K$5),-3)</f>
        <v>3000</v>
      </c>
      <c r="M1818" s="9">
        <f>ROUND(L1818+(L1818*Assumptions!L$5),-3)</f>
        <v>3000</v>
      </c>
      <c r="N1818" s="9">
        <f>ROUND(M1818+(M1818*Assumptions!M$5),-3)</f>
        <v>3000</v>
      </c>
      <c r="O1818" s="9">
        <f>ROUND(N1818+(N1818*Assumptions!N$5),-3)</f>
        <v>3000</v>
      </c>
      <c r="P1818" s="9">
        <f>ROUND(O1818+(O1818*Assumptions!O$5),-3)</f>
        <v>3000</v>
      </c>
      <c r="Q1818" s="9">
        <f>ROUND(P1818+(P1818*Assumptions!P$5),-3)</f>
        <v>3000</v>
      </c>
      <c r="R1818" s="9">
        <f>ROUND(Q1818+(Q1818*Assumptions!Q$5),-3)</f>
        <v>3000</v>
      </c>
      <c r="S1818" s="47">
        <f>ROUND(R1818+(R1818*Assumptions!R$5),-3)</f>
        <v>3000</v>
      </c>
    </row>
    <row r="1819" spans="1:19" x14ac:dyDescent="0.2">
      <c r="A1819" s="54">
        <v>0</v>
      </c>
      <c r="B1819" s="79">
        <v>4000</v>
      </c>
      <c r="C1819" s="136">
        <v>6000</v>
      </c>
      <c r="D1819" s="136">
        <v>1200</v>
      </c>
      <c r="E1819" s="134">
        <v>800</v>
      </c>
      <c r="F1819" s="771" t="s">
        <v>6609</v>
      </c>
      <c r="G1819" s="772" t="s">
        <v>3529</v>
      </c>
      <c r="H1819" s="9">
        <v>2000</v>
      </c>
      <c r="I1819" s="85">
        <f t="shared" si="2238"/>
        <v>150</v>
      </c>
      <c r="J1819" s="9">
        <f>ROUND(H1819+(H1819*Assumptions!I$5),-3)</f>
        <v>2000</v>
      </c>
      <c r="K1819" s="9">
        <f>ROUND(J1819+(J1819*Assumptions!J$5),-3)</f>
        <v>2000</v>
      </c>
      <c r="L1819" s="9">
        <f>ROUND(K1819+(K1819*Assumptions!K$5),-3)</f>
        <v>2000</v>
      </c>
      <c r="M1819" s="9">
        <f>ROUND(L1819+(L1819*Assumptions!L$5),-3)</f>
        <v>2000</v>
      </c>
      <c r="N1819" s="9">
        <f>ROUND(M1819+(M1819*Assumptions!M$5),-3)</f>
        <v>2000</v>
      </c>
      <c r="O1819" s="9">
        <f>ROUND(N1819+(N1819*Assumptions!N$5),-3)</f>
        <v>2000</v>
      </c>
      <c r="P1819" s="9">
        <f>ROUND(O1819+(O1819*Assumptions!O$5),-3)</f>
        <v>2000</v>
      </c>
      <c r="Q1819" s="9">
        <f>ROUND(P1819+(P1819*Assumptions!P$5),-3)</f>
        <v>2000</v>
      </c>
      <c r="R1819" s="9">
        <f>ROUND(Q1819+(Q1819*Assumptions!Q$5),-3)</f>
        <v>2000</v>
      </c>
      <c r="S1819" s="47">
        <f>ROUND(R1819+(R1819*Assumptions!R$5),-3)</f>
        <v>2000</v>
      </c>
    </row>
    <row r="1820" spans="1:19" x14ac:dyDescent="0.2">
      <c r="A1820" s="54">
        <v>12500</v>
      </c>
      <c r="B1820" s="79">
        <v>15600</v>
      </c>
      <c r="C1820" s="136">
        <v>11600</v>
      </c>
      <c r="D1820" s="136">
        <v>10700</v>
      </c>
      <c r="E1820" s="134">
        <v>10100</v>
      </c>
      <c r="F1820" s="483" t="s">
        <v>1629</v>
      </c>
      <c r="G1820" s="247" t="s">
        <v>2724</v>
      </c>
      <c r="H1820" s="9">
        <f>10000-3000</f>
        <v>7000</v>
      </c>
      <c r="I1820" s="85">
        <f t="shared" si="2238"/>
        <v>-30.693069306930692</v>
      </c>
      <c r="J1820" s="9">
        <f>ROUND(H1820+(H1820*Assumptions!I$5),-3)</f>
        <v>7000</v>
      </c>
      <c r="K1820" s="9">
        <f>ROUND(J1820+(J1820*Assumptions!J$5),-3)</f>
        <v>7000</v>
      </c>
      <c r="L1820" s="9">
        <f>ROUND(K1820+(K1820*Assumptions!K$5),-3)</f>
        <v>7000</v>
      </c>
      <c r="M1820" s="9">
        <f>ROUND(L1820+(L1820*Assumptions!L$5),-3)</f>
        <v>7000</v>
      </c>
      <c r="N1820" s="9">
        <f>ROUND(M1820+(M1820*Assumptions!M$5),-3)</f>
        <v>7000</v>
      </c>
      <c r="O1820" s="9">
        <f>ROUND(N1820+(N1820*Assumptions!N$5),-3)</f>
        <v>7000</v>
      </c>
      <c r="P1820" s="9">
        <f>ROUND(O1820+(O1820*Assumptions!O$5),-3)</f>
        <v>7000</v>
      </c>
      <c r="Q1820" s="9">
        <f>ROUND(P1820+(P1820*Assumptions!P$5),-3)</f>
        <v>7000</v>
      </c>
      <c r="R1820" s="9">
        <f>ROUND(Q1820+(Q1820*Assumptions!Q$5),-3)</f>
        <v>7000</v>
      </c>
      <c r="S1820" s="47">
        <f>ROUND(R1820+(R1820*Assumptions!R$5),-3)</f>
        <v>7000</v>
      </c>
    </row>
    <row r="1821" spans="1:19" x14ac:dyDescent="0.2">
      <c r="A1821" s="54">
        <v>29000</v>
      </c>
      <c r="B1821" s="79">
        <v>29700</v>
      </c>
      <c r="C1821" s="136">
        <v>34800</v>
      </c>
      <c r="D1821" s="136">
        <v>33700</v>
      </c>
      <c r="E1821" s="134">
        <v>34000</v>
      </c>
      <c r="F1821" s="483" t="s">
        <v>960</v>
      </c>
      <c r="G1821" s="247" t="s">
        <v>1296</v>
      </c>
      <c r="H1821" s="9">
        <v>37000</v>
      </c>
      <c r="I1821" s="85">
        <f t="shared" si="2238"/>
        <v>8.8235294117647065</v>
      </c>
      <c r="J1821" s="9">
        <f>ROUND(H1821+(H1821*Assumptions!I$5),-3)</f>
        <v>38000</v>
      </c>
      <c r="K1821" s="9">
        <f>ROUND(J1821+(J1821*Assumptions!J$5),-3)</f>
        <v>39000</v>
      </c>
      <c r="L1821" s="9">
        <f>ROUND(K1821+(K1821*Assumptions!K$5),-3)</f>
        <v>40000</v>
      </c>
      <c r="M1821" s="9">
        <f>ROUND(L1821+(L1821*Assumptions!L$5),-3)</f>
        <v>41000</v>
      </c>
      <c r="N1821" s="9">
        <f>ROUND(M1821+(M1821*Assumptions!M$5),-3)</f>
        <v>42000</v>
      </c>
      <c r="O1821" s="9">
        <f>ROUND(N1821+(N1821*Assumptions!N$5),-3)</f>
        <v>43000</v>
      </c>
      <c r="P1821" s="9">
        <f>ROUND(O1821+(O1821*Assumptions!O$5),-3)</f>
        <v>44000</v>
      </c>
      <c r="Q1821" s="9">
        <f>ROUND(P1821+(P1821*Assumptions!P$5),-3)</f>
        <v>45000</v>
      </c>
      <c r="R1821" s="9">
        <f>ROUND(Q1821+(Q1821*Assumptions!Q$5),-3)</f>
        <v>46000</v>
      </c>
      <c r="S1821" s="47">
        <f>ROUND(R1821+(R1821*Assumptions!R$5),-3)</f>
        <v>47000</v>
      </c>
    </row>
    <row r="1822" spans="1:19" x14ac:dyDescent="0.2">
      <c r="A1822" s="54">
        <v>800</v>
      </c>
      <c r="B1822" s="79">
        <v>800</v>
      </c>
      <c r="C1822" s="136">
        <v>1500</v>
      </c>
      <c r="D1822" s="136">
        <v>1700</v>
      </c>
      <c r="E1822" s="134">
        <v>800</v>
      </c>
      <c r="F1822" s="483" t="s">
        <v>1751</v>
      </c>
      <c r="G1822" s="247" t="s">
        <v>282</v>
      </c>
      <c r="H1822" s="9">
        <v>2000</v>
      </c>
      <c r="I1822" s="85">
        <f t="shared" si="2238"/>
        <v>150</v>
      </c>
      <c r="J1822" s="9">
        <f>ROUND(H1822+(H1822*Assumptions!I$5),-3)</f>
        <v>2000</v>
      </c>
      <c r="K1822" s="9">
        <f>ROUND(J1822+(J1822*Assumptions!J$5),-3)</f>
        <v>2000</v>
      </c>
      <c r="L1822" s="9">
        <f>ROUND(K1822+(K1822*Assumptions!K$5),-3)</f>
        <v>2000</v>
      </c>
      <c r="M1822" s="9">
        <f>ROUND(L1822+(L1822*Assumptions!L$5),-3)</f>
        <v>2000</v>
      </c>
      <c r="N1822" s="9">
        <f>ROUND(M1822+(M1822*Assumptions!M$5),-3)</f>
        <v>2000</v>
      </c>
      <c r="O1822" s="9">
        <f>ROUND(N1822+(N1822*Assumptions!N$5),-3)</f>
        <v>2000</v>
      </c>
      <c r="P1822" s="9">
        <f>ROUND(O1822+(O1822*Assumptions!O$5),-3)</f>
        <v>2000</v>
      </c>
      <c r="Q1822" s="9">
        <f>ROUND(P1822+(P1822*Assumptions!P$5),-3)</f>
        <v>2000</v>
      </c>
      <c r="R1822" s="9">
        <f>ROUND(Q1822+(Q1822*Assumptions!Q$5),-3)</f>
        <v>2000</v>
      </c>
      <c r="S1822" s="47">
        <f>ROUND(R1822+(R1822*Assumptions!R$5),-3)</f>
        <v>2000</v>
      </c>
    </row>
    <row r="1823" spans="1:19" x14ac:dyDescent="0.2">
      <c r="A1823" s="54">
        <v>15800</v>
      </c>
      <c r="B1823" s="79">
        <v>12100</v>
      </c>
      <c r="C1823" s="136">
        <v>11600</v>
      </c>
      <c r="D1823" s="136">
        <v>9500</v>
      </c>
      <c r="E1823" s="134">
        <v>9400</v>
      </c>
      <c r="F1823" s="483" t="s">
        <v>1750</v>
      </c>
      <c r="G1823" s="772" t="s">
        <v>3485</v>
      </c>
      <c r="H1823" s="9">
        <v>10000</v>
      </c>
      <c r="I1823" s="85">
        <f t="shared" si="2238"/>
        <v>6.3829787234042552</v>
      </c>
      <c r="J1823" s="9">
        <f>ROUND(H1823+(H1823*Assumptions!I$5),-3)</f>
        <v>10000</v>
      </c>
      <c r="K1823" s="9">
        <f>ROUND(J1823+(J1823*Assumptions!J$5),-3)</f>
        <v>10000</v>
      </c>
      <c r="L1823" s="9">
        <f>ROUND(K1823+(K1823*Assumptions!K$5),-3)</f>
        <v>10000</v>
      </c>
      <c r="M1823" s="9">
        <f>ROUND(L1823+(L1823*Assumptions!L$5),-3)</f>
        <v>10000</v>
      </c>
      <c r="N1823" s="9">
        <f>ROUND(M1823+(M1823*Assumptions!M$5),-3)</f>
        <v>10000</v>
      </c>
      <c r="O1823" s="9">
        <f>ROUND(N1823+(N1823*Assumptions!N$5),-3)</f>
        <v>10000</v>
      </c>
      <c r="P1823" s="9">
        <f>ROUND(O1823+(O1823*Assumptions!O$5),-3)</f>
        <v>10000</v>
      </c>
      <c r="Q1823" s="9">
        <f>ROUND(P1823+(P1823*Assumptions!P$5),-3)</f>
        <v>10000</v>
      </c>
      <c r="R1823" s="9">
        <f>ROUND(Q1823+(Q1823*Assumptions!Q$5),-3)</f>
        <v>10000</v>
      </c>
      <c r="S1823" s="47">
        <f>ROUND(R1823+(R1823*Assumptions!R$5),-3)</f>
        <v>10000</v>
      </c>
    </row>
    <row r="1824" spans="1:19" x14ac:dyDescent="0.2">
      <c r="A1824" s="54">
        <v>0</v>
      </c>
      <c r="B1824" s="79">
        <v>0</v>
      </c>
      <c r="C1824" s="136">
        <v>7800</v>
      </c>
      <c r="D1824" s="136">
        <v>5000</v>
      </c>
      <c r="E1824" s="134">
        <v>5700</v>
      </c>
      <c r="F1824" s="771" t="s">
        <v>4736</v>
      </c>
      <c r="G1824" s="772" t="s">
        <v>4737</v>
      </c>
      <c r="H1824" s="9">
        <v>5000</v>
      </c>
      <c r="I1824" s="85">
        <f t="shared" si="2238"/>
        <v>-12.280701754385964</v>
      </c>
      <c r="J1824" s="9">
        <f>ROUND(H1824+(H1824*Assumptions!I$5),-3)</f>
        <v>5000</v>
      </c>
      <c r="K1824" s="9">
        <f>ROUND(J1824+(J1824*Assumptions!J$5),-3)</f>
        <v>5000</v>
      </c>
      <c r="L1824" s="9">
        <f>ROUND(K1824+(K1824*Assumptions!K$5),-3)</f>
        <v>5000</v>
      </c>
      <c r="M1824" s="9">
        <f>ROUND(L1824+(L1824*Assumptions!L$5),-3)</f>
        <v>5000</v>
      </c>
      <c r="N1824" s="9">
        <f>ROUND(M1824+(M1824*Assumptions!M$5),-3)</f>
        <v>5000</v>
      </c>
      <c r="O1824" s="9">
        <f>ROUND(N1824+(N1824*Assumptions!N$5),-3)</f>
        <v>5000</v>
      </c>
      <c r="P1824" s="9">
        <f>ROUND(O1824+(O1824*Assumptions!O$5),-3)</f>
        <v>5000</v>
      </c>
      <c r="Q1824" s="9">
        <f>ROUND(P1824+(P1824*Assumptions!P$5),-3)</f>
        <v>5000</v>
      </c>
      <c r="R1824" s="9">
        <f>ROUND(Q1824+(Q1824*Assumptions!Q$5),-3)</f>
        <v>5000</v>
      </c>
      <c r="S1824" s="47">
        <f>ROUND(R1824+(R1824*Assumptions!R$5),-3)</f>
        <v>5000</v>
      </c>
    </row>
    <row r="1825" spans="1:19" x14ac:dyDescent="0.2">
      <c r="A1825" s="54">
        <v>137000</v>
      </c>
      <c r="B1825" s="79">
        <v>192700</v>
      </c>
      <c r="C1825" s="136">
        <v>215100</v>
      </c>
      <c r="D1825" s="136">
        <v>188200</v>
      </c>
      <c r="E1825" s="134">
        <v>221700</v>
      </c>
      <c r="F1825" s="483" t="s">
        <v>1419</v>
      </c>
      <c r="G1825" s="772" t="s">
        <v>3528</v>
      </c>
      <c r="H1825" s="9">
        <v>237000</v>
      </c>
      <c r="I1825" s="85">
        <f t="shared" si="2238"/>
        <v>6.9012178619756437</v>
      </c>
      <c r="J1825" s="9">
        <f>ROUND(H1825+(H1825*Assumptions!I$5),-3)</f>
        <v>242000</v>
      </c>
      <c r="K1825" s="9">
        <f>ROUND(J1825+(J1825*Assumptions!J$5),-3)</f>
        <v>248000</v>
      </c>
      <c r="L1825" s="9">
        <f>ROUND(K1825+(K1825*Assumptions!K$5),-3)</f>
        <v>254000</v>
      </c>
      <c r="M1825" s="9">
        <f>ROUND(L1825+(L1825*Assumptions!L$5),-3)</f>
        <v>260000</v>
      </c>
      <c r="N1825" s="9">
        <f>ROUND(M1825+(M1825*Assumptions!M$5),-3)</f>
        <v>267000</v>
      </c>
      <c r="O1825" s="9">
        <f>ROUND(N1825+(N1825*Assumptions!N$5),-3)</f>
        <v>274000</v>
      </c>
      <c r="P1825" s="9">
        <f>ROUND(O1825+(O1825*Assumptions!O$5),-3)</f>
        <v>281000</v>
      </c>
      <c r="Q1825" s="9">
        <f>ROUND(P1825+(P1825*Assumptions!P$5),-3)</f>
        <v>288000</v>
      </c>
      <c r="R1825" s="9">
        <f>ROUND(Q1825+(Q1825*Assumptions!Q$5),-3)</f>
        <v>295000</v>
      </c>
      <c r="S1825" s="47">
        <f>ROUND(R1825+(R1825*Assumptions!R$5),-3)</f>
        <v>302000</v>
      </c>
    </row>
    <row r="1826" spans="1:19" x14ac:dyDescent="0.2">
      <c r="A1826" s="54">
        <v>4600</v>
      </c>
      <c r="B1826" s="79">
        <v>3800</v>
      </c>
      <c r="C1826" s="136">
        <v>3800</v>
      </c>
      <c r="D1826" s="136">
        <v>3700</v>
      </c>
      <c r="E1826" s="134">
        <v>3500</v>
      </c>
      <c r="F1826" s="483" t="s">
        <v>75</v>
      </c>
      <c r="G1826" s="247" t="s">
        <v>1628</v>
      </c>
      <c r="H1826" s="9">
        <f>5000+3000</f>
        <v>8000</v>
      </c>
      <c r="I1826" s="85">
        <f t="shared" si="2238"/>
        <v>128.57142857142858</v>
      </c>
      <c r="J1826" s="9">
        <f>ROUND(H1826+(H1826*Assumptions!I$5),-3)</f>
        <v>8000</v>
      </c>
      <c r="K1826" s="9">
        <f>ROUND(J1826+(J1826*Assumptions!J$5),-3)</f>
        <v>8000</v>
      </c>
      <c r="L1826" s="9">
        <f>ROUND(K1826+(K1826*Assumptions!K$5),-3)</f>
        <v>8000</v>
      </c>
      <c r="M1826" s="9">
        <f>ROUND(L1826+(L1826*Assumptions!L$5),-3)</f>
        <v>8000</v>
      </c>
      <c r="N1826" s="9">
        <f>ROUND(M1826+(M1826*Assumptions!M$5),-3)</f>
        <v>8000</v>
      </c>
      <c r="O1826" s="9">
        <f>ROUND(N1826+(N1826*Assumptions!N$5),-3)</f>
        <v>8000</v>
      </c>
      <c r="P1826" s="9">
        <f>ROUND(O1826+(O1826*Assumptions!O$5),-3)</f>
        <v>8000</v>
      </c>
      <c r="Q1826" s="9">
        <f>ROUND(P1826+(P1826*Assumptions!P$5),-3)</f>
        <v>8000</v>
      </c>
      <c r="R1826" s="9">
        <f>ROUND(Q1826+(Q1826*Assumptions!Q$5),-3)</f>
        <v>8000</v>
      </c>
      <c r="S1826" s="47">
        <f>ROUND(R1826+(R1826*Assumptions!R$5),-3)</f>
        <v>8000</v>
      </c>
    </row>
    <row r="1827" spans="1:19" x14ac:dyDescent="0.2">
      <c r="A1827" s="54">
        <v>20200</v>
      </c>
      <c r="B1827" s="79">
        <f>10000+15000</f>
        <v>25000</v>
      </c>
      <c r="C1827" s="136">
        <v>12000</v>
      </c>
      <c r="D1827" s="136">
        <v>38000</v>
      </c>
      <c r="E1827" s="134">
        <v>12000</v>
      </c>
      <c r="F1827" s="483" t="s">
        <v>1724</v>
      </c>
      <c r="G1827" s="662" t="s">
        <v>4816</v>
      </c>
      <c r="H1827" s="9">
        <v>12000</v>
      </c>
      <c r="I1827" s="85">
        <f t="shared" si="2238"/>
        <v>0</v>
      </c>
      <c r="J1827" s="9">
        <f>ROUND(H1827+(H1827*Assumptions!I$5),-3)</f>
        <v>12000</v>
      </c>
      <c r="K1827" s="9">
        <f>ROUND(J1827+(J1827*Assumptions!J$5),-3)</f>
        <v>12000</v>
      </c>
      <c r="L1827" s="9">
        <f>ROUND(K1827+(K1827*Assumptions!K$5),-3)</f>
        <v>12000</v>
      </c>
      <c r="M1827" s="9">
        <f>ROUND(L1827+(L1827*Assumptions!L$5),-3)</f>
        <v>12000</v>
      </c>
      <c r="N1827" s="9">
        <f>ROUND(M1827+(M1827*Assumptions!M$5),-3)</f>
        <v>12000</v>
      </c>
      <c r="O1827" s="9">
        <f>ROUND(N1827+(N1827*Assumptions!N$5),-3)</f>
        <v>12000</v>
      </c>
      <c r="P1827" s="9">
        <f>ROUND(O1827+(O1827*Assumptions!O$5),-3)</f>
        <v>12000</v>
      </c>
      <c r="Q1827" s="9">
        <f>ROUND(P1827+(P1827*Assumptions!P$5),-3)</f>
        <v>12000</v>
      </c>
      <c r="R1827" s="9">
        <f>ROUND(Q1827+(Q1827*Assumptions!Q$5),-3)</f>
        <v>12000</v>
      </c>
      <c r="S1827" s="47">
        <f>ROUND(R1827+(R1827*Assumptions!R$5),-3)</f>
        <v>12000</v>
      </c>
    </row>
    <row r="1828" spans="1:19" x14ac:dyDescent="0.2">
      <c r="A1828" s="54">
        <v>0</v>
      </c>
      <c r="B1828" s="79">
        <v>0</v>
      </c>
      <c r="C1828" s="136">
        <v>0</v>
      </c>
      <c r="D1828" s="136">
        <v>0</v>
      </c>
      <c r="E1828" s="134">
        <v>67000</v>
      </c>
      <c r="F1828" s="771" t="s">
        <v>6309</v>
      </c>
      <c r="G1828" s="662" t="s">
        <v>5911</v>
      </c>
      <c r="H1828" s="9">
        <v>34000</v>
      </c>
      <c r="I1828" s="85">
        <f t="shared" si="2238"/>
        <v>-49.253731343283583</v>
      </c>
      <c r="J1828" s="9">
        <v>0</v>
      </c>
      <c r="K1828" s="9">
        <f>ROUND(J1828+(J1828*Assumptions!J$5),-3)</f>
        <v>0</v>
      </c>
      <c r="L1828" s="9">
        <f>ROUND(K1828+(K1828*Assumptions!K$5),-3)</f>
        <v>0</v>
      </c>
      <c r="M1828" s="9">
        <f>ROUND(L1828+(L1828*Assumptions!L$5),-3)</f>
        <v>0</v>
      </c>
      <c r="N1828" s="9">
        <f>ROUND(M1828+(M1828*Assumptions!M$5),-3)</f>
        <v>0</v>
      </c>
      <c r="O1828" s="9">
        <f>ROUND(N1828+(N1828*Assumptions!N$5),-3)</f>
        <v>0</v>
      </c>
      <c r="P1828" s="9">
        <f>ROUND(O1828+(O1828*Assumptions!O$5),-3)</f>
        <v>0</v>
      </c>
      <c r="Q1828" s="9">
        <f>ROUND(P1828+(P1828*Assumptions!P$5),-3)</f>
        <v>0</v>
      </c>
      <c r="R1828" s="9">
        <f>ROUND(Q1828+(Q1828*Assumptions!Q$5),-3)</f>
        <v>0</v>
      </c>
      <c r="S1828" s="47">
        <f>ROUND(R1828+(R1828*Assumptions!R$5),-3)</f>
        <v>0</v>
      </c>
    </row>
    <row r="1829" spans="1:19" x14ac:dyDescent="0.2">
      <c r="A1829" s="54">
        <v>1700</v>
      </c>
      <c r="B1829" s="79">
        <v>900</v>
      </c>
      <c r="C1829" s="136">
        <v>7500</v>
      </c>
      <c r="D1829" s="136">
        <v>10700</v>
      </c>
      <c r="E1829" s="144">
        <v>15700</v>
      </c>
      <c r="F1829" s="469" t="s">
        <v>1725</v>
      </c>
      <c r="G1829" s="371" t="s">
        <v>2813</v>
      </c>
      <c r="H1829" s="9">
        <f>9000+5000</f>
        <v>14000</v>
      </c>
      <c r="I1829" s="85">
        <f t="shared" si="2238"/>
        <v>-10.828025477707007</v>
      </c>
      <c r="J1829" s="9">
        <f>ROUND(H1829+(H1829*Assumptions!I$5),-3)</f>
        <v>14000</v>
      </c>
      <c r="K1829" s="9">
        <f>ROUND(J1829+(J1829*Assumptions!J$5),-3)</f>
        <v>14000</v>
      </c>
      <c r="L1829" s="9">
        <f>ROUND(K1829+(K1829*Assumptions!K$5),-3)</f>
        <v>14000</v>
      </c>
      <c r="M1829" s="9">
        <f>ROUND(L1829+(L1829*Assumptions!L$5),-3)</f>
        <v>14000</v>
      </c>
      <c r="N1829" s="9">
        <f>ROUND(M1829+(M1829*Assumptions!M$5),-3)</f>
        <v>14000</v>
      </c>
      <c r="O1829" s="9">
        <f>ROUND(N1829+(N1829*Assumptions!N$5),-3)</f>
        <v>14000</v>
      </c>
      <c r="P1829" s="9">
        <f>ROUND(O1829+(O1829*Assumptions!O$5),-3)</f>
        <v>14000</v>
      </c>
      <c r="Q1829" s="9">
        <f>ROUND(P1829+(P1829*Assumptions!P$5),-3)</f>
        <v>14000</v>
      </c>
      <c r="R1829" s="9">
        <f>ROUND(Q1829+(Q1829*Assumptions!Q$5),-3)</f>
        <v>14000</v>
      </c>
      <c r="S1829" s="47">
        <f>ROUND(R1829+(R1829*Assumptions!R$5),-3)</f>
        <v>14000</v>
      </c>
    </row>
    <row r="1830" spans="1:19" x14ac:dyDescent="0.2">
      <c r="A1830" s="54">
        <v>16300</v>
      </c>
      <c r="B1830" s="79">
        <v>2800</v>
      </c>
      <c r="C1830" s="136">
        <v>100</v>
      </c>
      <c r="D1830" s="136">
        <v>0</v>
      </c>
      <c r="E1830" s="144">
        <v>0</v>
      </c>
      <c r="F1830" s="469" t="s">
        <v>1726</v>
      </c>
      <c r="G1830" s="371" t="s">
        <v>2212</v>
      </c>
      <c r="H1830" s="9">
        <v>3000</v>
      </c>
      <c r="I1830" s="85">
        <f t="shared" si="2238"/>
        <v>100</v>
      </c>
      <c r="J1830" s="9">
        <f>ROUND(H1830+(H1830*Assumptions!I$5),-3)</f>
        <v>3000</v>
      </c>
      <c r="K1830" s="9">
        <f>ROUND(J1830+(J1830*Assumptions!J$5),-3)</f>
        <v>3000</v>
      </c>
      <c r="L1830" s="9">
        <f>ROUND(K1830+(K1830*Assumptions!K$5),-3)</f>
        <v>3000</v>
      </c>
      <c r="M1830" s="9">
        <f>ROUND(L1830+(L1830*Assumptions!L$5),-3)</f>
        <v>3000</v>
      </c>
      <c r="N1830" s="9">
        <f>ROUND(M1830+(M1830*Assumptions!M$5),-3)</f>
        <v>3000</v>
      </c>
      <c r="O1830" s="9">
        <f>ROUND(N1830+(N1830*Assumptions!N$5),-3)</f>
        <v>3000</v>
      </c>
      <c r="P1830" s="9">
        <f>ROUND(O1830+(O1830*Assumptions!O$5),-3)</f>
        <v>3000</v>
      </c>
      <c r="Q1830" s="9">
        <f>ROUND(P1830+(P1830*Assumptions!P$5),-3)</f>
        <v>3000</v>
      </c>
      <c r="R1830" s="9">
        <f>ROUND(Q1830+(Q1830*Assumptions!Q$5),-3)</f>
        <v>3000</v>
      </c>
      <c r="S1830" s="47">
        <f>ROUND(R1830+(R1830*Assumptions!R$5),-3)</f>
        <v>3000</v>
      </c>
    </row>
    <row r="1831" spans="1:19" x14ac:dyDescent="0.2">
      <c r="A1831" s="54"/>
      <c r="B1831" s="79"/>
      <c r="E1831" s="144">
        <v>200</v>
      </c>
      <c r="F1831" s="769" t="s">
        <v>8001</v>
      </c>
      <c r="G1831" s="662" t="s">
        <v>11801</v>
      </c>
      <c r="H1831" s="9"/>
      <c r="I1831" s="85"/>
      <c r="J1831" s="9"/>
      <c r="K1831" s="9"/>
      <c r="L1831" s="9"/>
      <c r="M1831" s="9"/>
      <c r="N1831" s="9"/>
      <c r="O1831" s="9"/>
      <c r="P1831" s="9"/>
      <c r="Q1831" s="9"/>
      <c r="R1831" s="9"/>
      <c r="S1831" s="47"/>
    </row>
    <row r="1832" spans="1:19" x14ac:dyDescent="0.2">
      <c r="A1832" s="54">
        <v>33200</v>
      </c>
      <c r="B1832" s="79">
        <v>28000</v>
      </c>
      <c r="C1832" s="136">
        <v>39100</v>
      </c>
      <c r="D1832" s="136">
        <v>44600</v>
      </c>
      <c r="E1832" s="144">
        <v>29200</v>
      </c>
      <c r="F1832" s="469" t="s">
        <v>438</v>
      </c>
      <c r="G1832" s="662" t="s">
        <v>3265</v>
      </c>
      <c r="H1832" s="9">
        <v>41000</v>
      </c>
      <c r="I1832" s="85">
        <f t="shared" ref="I1832:I1839" si="2239">IF(E1832=H1832,0,IF(E1832=0,100,(H1832-E1832)/E1832*100))</f>
        <v>40.410958904109592</v>
      </c>
      <c r="J1832" s="9">
        <f>ROUND(H1832+(H1832*Assumptions!I$5),-3)</f>
        <v>42000</v>
      </c>
      <c r="K1832" s="9">
        <f>ROUND(J1832+(J1832*Assumptions!J$5),-3)</f>
        <v>43000</v>
      </c>
      <c r="L1832" s="9">
        <f>ROUND(K1832+(K1832*Assumptions!K$5),-3)</f>
        <v>44000</v>
      </c>
      <c r="M1832" s="9">
        <f>ROUND(L1832+(L1832*Assumptions!L$5),-3)</f>
        <v>45000</v>
      </c>
      <c r="N1832" s="9">
        <f>ROUND(M1832+(M1832*Assumptions!M$5),-3)</f>
        <v>46000</v>
      </c>
      <c r="O1832" s="9">
        <f>ROUND(N1832+(N1832*Assumptions!N$5),-3)</f>
        <v>47000</v>
      </c>
      <c r="P1832" s="9">
        <f>ROUND(O1832+(O1832*Assumptions!O$5),-3)</f>
        <v>48000</v>
      </c>
      <c r="Q1832" s="9">
        <f>ROUND(P1832+(P1832*Assumptions!P$5),-3)</f>
        <v>49000</v>
      </c>
      <c r="R1832" s="9">
        <f>ROUND(Q1832+(Q1832*Assumptions!Q$5),-3)</f>
        <v>50000</v>
      </c>
      <c r="S1832" s="47">
        <f>ROUND(R1832+(R1832*Assumptions!R$5),-3)</f>
        <v>51000</v>
      </c>
    </row>
    <row r="1833" spans="1:19" x14ac:dyDescent="0.2">
      <c r="A1833" s="54">
        <v>8700</v>
      </c>
      <c r="B1833" s="79">
        <v>10800</v>
      </c>
      <c r="C1833" s="136">
        <v>4000</v>
      </c>
      <c r="D1833" s="136">
        <v>1700</v>
      </c>
      <c r="E1833" s="144">
        <v>900</v>
      </c>
      <c r="F1833" s="469" t="s">
        <v>439</v>
      </c>
      <c r="G1833" s="662" t="s">
        <v>5252</v>
      </c>
      <c r="H1833" s="9">
        <v>5000</v>
      </c>
      <c r="I1833" s="85">
        <f t="shared" si="2239"/>
        <v>455.55555555555554</v>
      </c>
      <c r="J1833" s="9">
        <f>ROUND(H1833+(H1833*Assumptions!I$5),-3)</f>
        <v>5000</v>
      </c>
      <c r="K1833" s="9">
        <f>ROUND(J1833+(J1833*Assumptions!J$5),-3)</f>
        <v>5000</v>
      </c>
      <c r="L1833" s="9">
        <f>ROUND(K1833+(K1833*Assumptions!K$5),-3)</f>
        <v>5000</v>
      </c>
      <c r="M1833" s="9">
        <f>ROUND(L1833+(L1833*Assumptions!L$5),-3)</f>
        <v>5000</v>
      </c>
      <c r="N1833" s="9">
        <f>ROUND(M1833+(M1833*Assumptions!M$5),-3)</f>
        <v>5000</v>
      </c>
      <c r="O1833" s="9">
        <f>ROUND(N1833+(N1833*Assumptions!N$5),-3)</f>
        <v>5000</v>
      </c>
      <c r="P1833" s="9">
        <f>ROUND(O1833+(O1833*Assumptions!O$5),-3)</f>
        <v>5000</v>
      </c>
      <c r="Q1833" s="9">
        <f>ROUND(P1833+(P1833*Assumptions!P$5),-3)</f>
        <v>5000</v>
      </c>
      <c r="R1833" s="9">
        <f>ROUND(Q1833+(Q1833*Assumptions!Q$5),-3)</f>
        <v>5000</v>
      </c>
      <c r="S1833" s="47">
        <f>ROUND(R1833+(R1833*Assumptions!R$5),-3)</f>
        <v>5000</v>
      </c>
    </row>
    <row r="1834" spans="1:19" x14ac:dyDescent="0.2">
      <c r="A1834" s="54">
        <v>21600</v>
      </c>
      <c r="B1834" s="79">
        <v>57500</v>
      </c>
      <c r="C1834" s="136">
        <v>45200</v>
      </c>
      <c r="D1834" s="136">
        <v>32800</v>
      </c>
      <c r="E1834" s="144">
        <v>75800</v>
      </c>
      <c r="F1834" s="469" t="s">
        <v>1718</v>
      </c>
      <c r="G1834" s="371" t="s">
        <v>1443</v>
      </c>
      <c r="H1834" s="9">
        <v>24000</v>
      </c>
      <c r="I1834" s="85">
        <f t="shared" si="2239"/>
        <v>-68.337730870712392</v>
      </c>
      <c r="J1834" s="9">
        <f>ROUND(H1834+(H1834*Assumptions!I$5),-3)</f>
        <v>25000</v>
      </c>
      <c r="K1834" s="9">
        <f>ROUND(J1834+(J1834*Assumptions!J$5),-3)</f>
        <v>26000</v>
      </c>
      <c r="L1834" s="9">
        <f>ROUND(K1834+(K1834*Assumptions!K$5),-3)</f>
        <v>27000</v>
      </c>
      <c r="M1834" s="9">
        <f>ROUND(L1834+(L1834*Assumptions!L$5),-3)</f>
        <v>28000</v>
      </c>
      <c r="N1834" s="9">
        <f>ROUND(M1834+(M1834*Assumptions!M$5),-3)</f>
        <v>29000</v>
      </c>
      <c r="O1834" s="9">
        <f>ROUND(N1834+(N1834*Assumptions!N$5),-3)</f>
        <v>30000</v>
      </c>
      <c r="P1834" s="9">
        <f>ROUND(O1834+(O1834*Assumptions!O$5),-3)</f>
        <v>31000</v>
      </c>
      <c r="Q1834" s="9">
        <f>ROUND(P1834+(P1834*Assumptions!P$5),-3)</f>
        <v>32000</v>
      </c>
      <c r="R1834" s="9">
        <f>ROUND(Q1834+(Q1834*Assumptions!Q$5),-3)</f>
        <v>33000</v>
      </c>
      <c r="S1834" s="47">
        <f>ROUND(R1834+(R1834*Assumptions!R$5),-3)</f>
        <v>34000</v>
      </c>
    </row>
    <row r="1835" spans="1:19" x14ac:dyDescent="0.2">
      <c r="A1835" s="54">
        <v>5100</v>
      </c>
      <c r="B1835" s="79">
        <v>5300</v>
      </c>
      <c r="C1835" s="136">
        <v>18500</v>
      </c>
      <c r="D1835" s="136">
        <v>57800</v>
      </c>
      <c r="E1835" s="144">
        <v>18900</v>
      </c>
      <c r="F1835" s="469" t="s">
        <v>1719</v>
      </c>
      <c r="G1835" s="371" t="s">
        <v>2140</v>
      </c>
      <c r="H1835" s="9">
        <f>43000</f>
        <v>43000</v>
      </c>
      <c r="I1835" s="85">
        <f t="shared" si="2239"/>
        <v>127.51322751322751</v>
      </c>
      <c r="J1835" s="9">
        <f>ROUND(H1835+(H1835*Assumptions!I$5),-3)</f>
        <v>44000</v>
      </c>
      <c r="K1835" s="9">
        <f>ROUND(J1835+(J1835*Assumptions!J$5),-3)</f>
        <v>45000</v>
      </c>
      <c r="L1835" s="9">
        <f>ROUND(K1835+(K1835*Assumptions!K$5),-3)</f>
        <v>46000</v>
      </c>
      <c r="M1835" s="9">
        <f>ROUND(L1835+(L1835*Assumptions!L$5),-3)</f>
        <v>47000</v>
      </c>
      <c r="N1835" s="9">
        <f>ROUND(M1835+(M1835*Assumptions!M$5),-3)</f>
        <v>48000</v>
      </c>
      <c r="O1835" s="9">
        <f>ROUND(N1835+(N1835*Assumptions!N$5),-3)</f>
        <v>49000</v>
      </c>
      <c r="P1835" s="9">
        <f>ROUND(O1835+(O1835*Assumptions!O$5),-3)</f>
        <v>50000</v>
      </c>
      <c r="Q1835" s="9">
        <f>ROUND(P1835+(P1835*Assumptions!P$5),-3)</f>
        <v>51000</v>
      </c>
      <c r="R1835" s="9">
        <f>ROUND(Q1835+(Q1835*Assumptions!Q$5),-3)</f>
        <v>52000</v>
      </c>
      <c r="S1835" s="47">
        <f>ROUND(R1835+(R1835*Assumptions!R$5),-3)</f>
        <v>53000</v>
      </c>
    </row>
    <row r="1836" spans="1:19" x14ac:dyDescent="0.2">
      <c r="A1836" s="54">
        <v>600</v>
      </c>
      <c r="B1836" s="79">
        <v>400</v>
      </c>
      <c r="C1836" s="136">
        <v>0</v>
      </c>
      <c r="D1836" s="136">
        <v>1300</v>
      </c>
      <c r="E1836" s="144">
        <v>3100</v>
      </c>
      <c r="F1836" s="469" t="s">
        <v>1720</v>
      </c>
      <c r="G1836" s="371" t="s">
        <v>903</v>
      </c>
      <c r="H1836" s="9">
        <v>1000</v>
      </c>
      <c r="I1836" s="85">
        <f t="shared" si="2239"/>
        <v>-67.741935483870961</v>
      </c>
      <c r="J1836" s="9">
        <f>ROUND(H1836+(H1836*Assumptions!I$5),-3)</f>
        <v>1000</v>
      </c>
      <c r="K1836" s="9">
        <f>ROUND(J1836+(J1836*Assumptions!J$5),-3)</f>
        <v>1000</v>
      </c>
      <c r="L1836" s="9">
        <f>ROUND(K1836+(K1836*Assumptions!K$5),-3)</f>
        <v>1000</v>
      </c>
      <c r="M1836" s="9">
        <f>ROUND(L1836+(L1836*Assumptions!L$5),-3)</f>
        <v>1000</v>
      </c>
      <c r="N1836" s="9">
        <f>ROUND(M1836+(M1836*Assumptions!M$5),-3)</f>
        <v>1000</v>
      </c>
      <c r="O1836" s="9">
        <f>ROUND(N1836+(N1836*Assumptions!N$5),-3)</f>
        <v>1000</v>
      </c>
      <c r="P1836" s="9">
        <f>ROUND(O1836+(O1836*Assumptions!O$5),-3)</f>
        <v>1000</v>
      </c>
      <c r="Q1836" s="9">
        <f>ROUND(P1836+(P1836*Assumptions!P$5),-3)</f>
        <v>1000</v>
      </c>
      <c r="R1836" s="9">
        <f>ROUND(Q1836+(Q1836*Assumptions!Q$5),-3)</f>
        <v>1000</v>
      </c>
      <c r="S1836" s="47">
        <f>ROUND(R1836+(R1836*Assumptions!R$5),-3)</f>
        <v>1000</v>
      </c>
    </row>
    <row r="1837" spans="1:19" x14ac:dyDescent="0.2">
      <c r="A1837" s="54">
        <v>0</v>
      </c>
      <c r="B1837" s="79">
        <v>0</v>
      </c>
      <c r="C1837" s="707">
        <v>0</v>
      </c>
      <c r="D1837" s="707">
        <v>0</v>
      </c>
      <c r="E1837" s="885">
        <v>80800</v>
      </c>
      <c r="F1837" s="769" t="s">
        <v>6670</v>
      </c>
      <c r="G1837" s="662" t="s">
        <v>6671</v>
      </c>
      <c r="H1837" s="9">
        <v>0</v>
      </c>
      <c r="I1837" s="85">
        <f t="shared" si="2239"/>
        <v>-100</v>
      </c>
      <c r="J1837" s="9">
        <f>ROUND(H1837+(H1837*Assumptions!I$5),-3)</f>
        <v>0</v>
      </c>
      <c r="K1837" s="9">
        <f>ROUND(J1837+(J1837*Assumptions!J$5),-3)</f>
        <v>0</v>
      </c>
      <c r="L1837" s="9">
        <f>ROUND(K1837+(K1837*Assumptions!K$5),-3)</f>
        <v>0</v>
      </c>
      <c r="M1837" s="9">
        <f>ROUND(L1837+(L1837*Assumptions!L$5),-3)</f>
        <v>0</v>
      </c>
      <c r="N1837" s="9">
        <f>ROUND(M1837+(M1837*Assumptions!M$5),-3)</f>
        <v>0</v>
      </c>
      <c r="O1837" s="9">
        <f>ROUND(N1837+(N1837*Assumptions!N$5),-3)</f>
        <v>0</v>
      </c>
      <c r="P1837" s="9">
        <f>ROUND(O1837+(O1837*Assumptions!O$5),-3)</f>
        <v>0</v>
      </c>
      <c r="Q1837" s="9">
        <f>ROUND(P1837+(P1837*Assumptions!P$5),-3)</f>
        <v>0</v>
      </c>
      <c r="R1837" s="9">
        <f>ROUND(Q1837+(Q1837*Assumptions!Q$5),-3)</f>
        <v>0</v>
      </c>
      <c r="S1837" s="47">
        <f>ROUND(R1837+(R1837*Assumptions!R$5),-3)</f>
        <v>0</v>
      </c>
    </row>
    <row r="1838" spans="1:19" x14ac:dyDescent="0.2">
      <c r="A1838" s="54">
        <v>0</v>
      </c>
      <c r="B1838" s="79">
        <v>0</v>
      </c>
      <c r="C1838" s="707">
        <v>0</v>
      </c>
      <c r="D1838" s="707">
        <v>0</v>
      </c>
      <c r="E1838" s="885">
        <v>0</v>
      </c>
      <c r="F1838" s="769" t="s">
        <v>6880</v>
      </c>
      <c r="G1838" s="662" t="s">
        <v>6881</v>
      </c>
      <c r="H1838" s="9">
        <v>500</v>
      </c>
      <c r="I1838" s="85">
        <f t="shared" si="2239"/>
        <v>100</v>
      </c>
      <c r="J1838" s="9">
        <f>ROUND(H1838+(H1838*Assumptions!I$5),-3)-1000</f>
        <v>0</v>
      </c>
      <c r="K1838" s="9">
        <f>ROUND(J1838+(J1838*Assumptions!J$5),-3)</f>
        <v>0</v>
      </c>
      <c r="L1838" s="9">
        <f>ROUND(K1838+(K1838*Assumptions!K$5),-3)</f>
        <v>0</v>
      </c>
      <c r="M1838" s="9">
        <f>ROUND(L1838+(L1838*Assumptions!L$5),-3)</f>
        <v>0</v>
      </c>
      <c r="N1838" s="9">
        <f>ROUND(M1838+(M1838*Assumptions!M$5),-3)</f>
        <v>0</v>
      </c>
      <c r="O1838" s="9">
        <f>ROUND(N1838+(N1838*Assumptions!N$5),-3)</f>
        <v>0</v>
      </c>
      <c r="P1838" s="9">
        <f>ROUND(O1838+(O1838*Assumptions!O$5),-3)</f>
        <v>0</v>
      </c>
      <c r="Q1838" s="9">
        <f>ROUND(P1838+(P1838*Assumptions!P$5),-3)</f>
        <v>0</v>
      </c>
      <c r="R1838" s="9">
        <f>ROUND(Q1838+(Q1838*Assumptions!Q$5),-3)</f>
        <v>0</v>
      </c>
      <c r="S1838" s="47">
        <f>ROUND(R1838+(R1838*Assumptions!R$5),-3)</f>
        <v>0</v>
      </c>
    </row>
    <row r="1839" spans="1:19" x14ac:dyDescent="0.2">
      <c r="A1839" s="54">
        <v>0</v>
      </c>
      <c r="B1839" s="79">
        <v>0</v>
      </c>
      <c r="C1839" s="136">
        <v>0</v>
      </c>
      <c r="D1839" s="136">
        <v>0</v>
      </c>
      <c r="E1839" s="144">
        <v>0</v>
      </c>
      <c r="F1839" s="769" t="s">
        <v>3384</v>
      </c>
      <c r="G1839" s="662" t="s">
        <v>3383</v>
      </c>
      <c r="H1839" s="9">
        <v>0</v>
      </c>
      <c r="I1839" s="85">
        <f t="shared" si="2239"/>
        <v>0</v>
      </c>
      <c r="J1839" s="9">
        <f>ROUND(H1839+(H1839*Assumptions!I$5),-3)</f>
        <v>0</v>
      </c>
      <c r="K1839" s="9">
        <f>ROUND(J1839+(J1839*Assumptions!J$5),-3)</f>
        <v>0</v>
      </c>
      <c r="L1839" s="9">
        <f>ROUND(K1839+(K1839*Assumptions!K$5),-3)</f>
        <v>0</v>
      </c>
      <c r="M1839" s="9">
        <f>ROUND(L1839+(L1839*Assumptions!L$5),-3)</f>
        <v>0</v>
      </c>
      <c r="N1839" s="9">
        <f>ROUND(M1839+(M1839*Assumptions!M$5),-3)</f>
        <v>0</v>
      </c>
      <c r="O1839" s="9">
        <f>ROUND(N1839+(N1839*Assumptions!N$5),-3)</f>
        <v>0</v>
      </c>
      <c r="P1839" s="9">
        <f>ROUND(O1839+(O1839*Assumptions!O$5),-3)</f>
        <v>0</v>
      </c>
      <c r="Q1839" s="9">
        <f>ROUND(P1839+(P1839*Assumptions!P$5),-3)</f>
        <v>0</v>
      </c>
      <c r="R1839" s="9">
        <f>ROUND(Q1839+(Q1839*Assumptions!Q$5),-3)</f>
        <v>0</v>
      </c>
      <c r="S1839" s="47">
        <f>ROUND(R1839+(R1839*Assumptions!R$5),-3)</f>
        <v>0</v>
      </c>
    </row>
    <row r="1840" spans="1:19" x14ac:dyDescent="0.2">
      <c r="A1840" s="54"/>
      <c r="B1840" s="79"/>
      <c r="E1840" s="144"/>
      <c r="F1840" s="469"/>
      <c r="G1840" s="371"/>
      <c r="H1840" s="9"/>
      <c r="I1840" s="85"/>
      <c r="J1840" s="9"/>
      <c r="K1840" s="9"/>
      <c r="L1840" s="9"/>
      <c r="M1840" s="9"/>
      <c r="N1840" s="9"/>
      <c r="O1840" s="9"/>
      <c r="P1840" s="9"/>
      <c r="Q1840" s="9"/>
      <c r="R1840" s="9"/>
      <c r="S1840" s="47"/>
    </row>
    <row r="1841" spans="1:21" x14ac:dyDescent="0.2">
      <c r="A1841" s="54"/>
      <c r="B1841" s="79"/>
      <c r="E1841" s="1442"/>
      <c r="F1841" s="469"/>
      <c r="G1841" s="320" t="s">
        <v>1636</v>
      </c>
      <c r="H1841" s="134"/>
      <c r="I1841" s="85"/>
      <c r="J1841" s="134"/>
      <c r="K1841" s="9"/>
      <c r="L1841" s="9"/>
      <c r="M1841" s="9"/>
      <c r="N1841" s="9"/>
      <c r="O1841" s="9"/>
      <c r="P1841" s="9"/>
      <c r="Q1841" s="9"/>
      <c r="R1841" s="9"/>
      <c r="S1841" s="47"/>
    </row>
    <row r="1842" spans="1:21" x14ac:dyDescent="0.2">
      <c r="A1842" s="54">
        <v>505000</v>
      </c>
      <c r="B1842" s="79">
        <v>525000</v>
      </c>
      <c r="C1842" s="136">
        <v>562000</v>
      </c>
      <c r="D1842" s="136">
        <v>555000</v>
      </c>
      <c r="E1842" s="136">
        <v>644400</v>
      </c>
      <c r="F1842" s="483" t="s">
        <v>440</v>
      </c>
      <c r="G1842" s="371" t="s">
        <v>1070</v>
      </c>
      <c r="H1842" s="9">
        <v>531000</v>
      </c>
      <c r="I1842" s="85">
        <f>IF(E1842=H1842,0,IF(E1842=0,100,(H1842-E1842)/E1842*100))</f>
        <v>-17.597765363128492</v>
      </c>
      <c r="J1842" s="9">
        <f>ROUND(H1842+(H1842*Assumptions!I$5),-3)</f>
        <v>543000</v>
      </c>
      <c r="K1842" s="9">
        <f>ROUND(J1842+(J1842*Assumptions!J$5),-3)</f>
        <v>557000</v>
      </c>
      <c r="L1842" s="9">
        <f>ROUND(K1842+(K1842*Assumptions!K$5),-3)</f>
        <v>571000</v>
      </c>
      <c r="M1842" s="9">
        <f>ROUND(L1842+(L1842*Assumptions!L$5),-3)</f>
        <v>585000</v>
      </c>
      <c r="N1842" s="9">
        <f>ROUND(M1842+(M1842*Assumptions!M$5),-3)</f>
        <v>600000</v>
      </c>
      <c r="O1842" s="9">
        <f>ROUND(N1842+(N1842*Assumptions!N$5),-3)</f>
        <v>615000</v>
      </c>
      <c r="P1842" s="9">
        <f>ROUND(O1842+(O1842*Assumptions!O$5),-3)</f>
        <v>630000</v>
      </c>
      <c r="Q1842" s="9">
        <f>ROUND(P1842+(P1842*Assumptions!P$5),-3)</f>
        <v>646000</v>
      </c>
      <c r="R1842" s="9">
        <f>ROUND(Q1842+(Q1842*Assumptions!Q$5),-3)</f>
        <v>662000</v>
      </c>
      <c r="S1842" s="47">
        <f>ROUND(R1842+(R1842*Assumptions!R$5),-3)</f>
        <v>679000</v>
      </c>
    </row>
    <row r="1843" spans="1:21" x14ac:dyDescent="0.2">
      <c r="A1843" s="54"/>
      <c r="B1843" s="9"/>
      <c r="E1843" s="707"/>
      <c r="F1843" s="483"/>
      <c r="G1843" s="419"/>
      <c r="H1843" s="9"/>
      <c r="I1843" s="85"/>
      <c r="J1843" s="9"/>
      <c r="K1843" s="9"/>
      <c r="L1843" s="9"/>
      <c r="M1843" s="9"/>
      <c r="N1843" s="9"/>
      <c r="O1843" s="9"/>
      <c r="P1843" s="9"/>
      <c r="Q1843" s="9"/>
      <c r="R1843" s="9"/>
      <c r="S1843" s="47"/>
    </row>
    <row r="1844" spans="1:21" x14ac:dyDescent="0.2">
      <c r="A1844" s="54"/>
      <c r="B1844" s="9"/>
      <c r="C1844" s="9"/>
      <c r="D1844" s="9"/>
      <c r="E1844" s="136"/>
      <c r="F1844" s="730"/>
      <c r="G1844" s="320" t="s">
        <v>1112</v>
      </c>
      <c r="H1844" s="9"/>
      <c r="I1844" s="85"/>
      <c r="J1844" s="9"/>
      <c r="K1844" s="9"/>
      <c r="L1844" s="9"/>
      <c r="M1844" s="9"/>
      <c r="N1844" s="9"/>
      <c r="O1844" s="9"/>
      <c r="P1844" s="9"/>
      <c r="Q1844" s="9"/>
      <c r="R1844" s="9"/>
      <c r="S1844" s="47"/>
    </row>
    <row r="1845" spans="1:21" x14ac:dyDescent="0.2">
      <c r="A1845" s="54">
        <v>369000</v>
      </c>
      <c r="B1845" s="9">
        <v>299600</v>
      </c>
      <c r="C1845" s="9">
        <v>208300</v>
      </c>
      <c r="D1845" s="134">
        <f>ROUND(SUM('Debt-Gen'!J24:'Debt-Gen'!J27),-2)</f>
        <v>154000</v>
      </c>
      <c r="E1845" s="136">
        <v>56000</v>
      </c>
      <c r="F1845" s="483" t="s">
        <v>1721</v>
      </c>
      <c r="G1845" s="662" t="s">
        <v>1343</v>
      </c>
      <c r="H1845" s="9">
        <f>ROUND(SUM('Debt-Gen'!N24:'Debt-Gen'!N27),-2)</f>
        <v>10400</v>
      </c>
      <c r="I1845" s="85">
        <f>IF(E1845=H1845,0,IF(E1845=0,100,(H1845-E1845)/E1845*100))</f>
        <v>-81.428571428571431</v>
      </c>
      <c r="J1845" s="9">
        <f>ROUND(SUM('Debt-Gen'!P24:'Debt-Gen'!P27),-2)</f>
        <v>0</v>
      </c>
      <c r="K1845" s="9">
        <f>ROUND(SUM('Debt-Gen'!R24:'Debt-Gen'!R27),-2)</f>
        <v>0</v>
      </c>
      <c r="L1845" s="9">
        <f>ROUND(SUM('Debt-Gen'!T24:'Debt-Gen'!T27),-2)</f>
        <v>0</v>
      </c>
      <c r="M1845" s="9">
        <f>ROUND(SUM('Debt-Gen'!V24:'Debt-Gen'!V27),-2)</f>
        <v>0</v>
      </c>
      <c r="N1845" s="9">
        <f>ROUND(SUM('Debt-Gen'!X24:'Debt-Gen'!X27),-2)</f>
        <v>0</v>
      </c>
      <c r="O1845" s="9">
        <f>ROUND(SUM('Debt-Gen'!Z24:'Debt-Gen'!Z27),-2)</f>
        <v>0</v>
      </c>
      <c r="P1845" s="9">
        <f>ROUND(SUM('Debt-Gen'!AB24:'Debt-Gen'!AB27),-2)</f>
        <v>0</v>
      </c>
      <c r="Q1845" s="9">
        <f>ROUND(SUM('Debt-Gen'!AD24:'Debt-Gen'!AD27),-2)</f>
        <v>0</v>
      </c>
      <c r="R1845" s="9">
        <f>ROUND(SUM('Debt-Gen'!AE24:'Debt-Gen'!AE27),-2)</f>
        <v>0</v>
      </c>
      <c r="S1845" s="47">
        <f>ROUND(SUM('Debt-Gen'!AF24:'Debt-Gen'!AF27),-2)</f>
        <v>0</v>
      </c>
    </row>
    <row r="1846" spans="1:21" x14ac:dyDescent="0.2">
      <c r="A1846" s="54"/>
      <c r="B1846" s="9"/>
      <c r="C1846" s="89"/>
      <c r="D1846" s="89"/>
      <c r="E1846" s="136"/>
      <c r="F1846" s="483"/>
      <c r="G1846" s="371"/>
      <c r="H1846" s="9"/>
      <c r="I1846" s="85"/>
      <c r="J1846" s="9"/>
      <c r="K1846" s="9"/>
      <c r="L1846" s="9"/>
      <c r="M1846" s="9"/>
      <c r="N1846" s="9"/>
      <c r="O1846" s="9"/>
      <c r="P1846" s="9"/>
      <c r="Q1846" s="9"/>
      <c r="R1846" s="9"/>
      <c r="S1846" s="47"/>
    </row>
    <row r="1847" spans="1:21" x14ac:dyDescent="0.2">
      <c r="A1847" s="54"/>
      <c r="B1847" s="9"/>
      <c r="E1847" s="134"/>
      <c r="F1847" s="483"/>
      <c r="G1847" s="912" t="s">
        <v>4322</v>
      </c>
      <c r="H1847" s="134"/>
      <c r="I1847" s="85">
        <f>IF(E1847=H1847,0,IF(E1847=0,100,(H1847-E1847)/E1847*100))</f>
        <v>0</v>
      </c>
      <c r="J1847" s="9"/>
      <c r="K1847" s="9"/>
      <c r="L1847" s="9"/>
      <c r="M1847" s="9"/>
      <c r="N1847" s="9"/>
      <c r="O1847" s="9"/>
      <c r="P1847" s="9"/>
      <c r="Q1847" s="9"/>
      <c r="R1847" s="9"/>
      <c r="S1847" s="47"/>
    </row>
    <row r="1848" spans="1:21" x14ac:dyDescent="0.2">
      <c r="A1848" s="54">
        <v>-841500</v>
      </c>
      <c r="B1848" s="9">
        <v>-892500</v>
      </c>
      <c r="C1848" s="144">
        <v>-982400</v>
      </c>
      <c r="D1848" s="136">
        <v>-957400</v>
      </c>
      <c r="E1848" s="134">
        <v>-1000200</v>
      </c>
      <c r="F1848" s="483" t="s">
        <v>2370</v>
      </c>
      <c r="G1848" s="662" t="s">
        <v>5249</v>
      </c>
      <c r="H1848" s="134">
        <v>-1003000</v>
      </c>
      <c r="I1848" s="85">
        <f>IF(E1848=H1848,0,IF(E1848=0,100,(H1848-E1848)/E1848*100))</f>
        <v>0.27994401119776047</v>
      </c>
      <c r="J1848" s="9">
        <f>ROUND(H1848+(H1848*Assumptions!I$23),-3)</f>
        <v>-1026000</v>
      </c>
      <c r="K1848" s="9">
        <f>ROUND(J1848+(J1848*Assumptions!J$23),-3)</f>
        <v>-1050000</v>
      </c>
      <c r="L1848" s="9">
        <f>ROUND(K1848+(K1848*Assumptions!K$23),-3)</f>
        <v>-1074000</v>
      </c>
      <c r="M1848" s="9">
        <f>ROUND(L1848+(L1848*Assumptions!L$23),-3)</f>
        <v>-1099000</v>
      </c>
      <c r="N1848" s="9">
        <f>ROUND(M1848+(M1848*Assumptions!M$23),-3)</f>
        <v>-1124000</v>
      </c>
      <c r="O1848" s="134">
        <f>ROUND(N1848+(N1848*Assumptions!N$23),-3)</f>
        <v>-1150000</v>
      </c>
      <c r="P1848" s="134">
        <f>ROUND(O1848+(O1848*Assumptions!O$23),-3)</f>
        <v>-1176000</v>
      </c>
      <c r="Q1848" s="134">
        <f>ROUND(P1848+(P1848*Assumptions!P$23),-3)</f>
        <v>-1203000</v>
      </c>
      <c r="R1848" s="134">
        <f>ROUND(Q1848+(Q1848*Assumptions!Q$23),-3)</f>
        <v>-1231000</v>
      </c>
      <c r="S1848" s="2359">
        <f>ROUND(R1848+(R1848*Assumptions!R$23),-3)</f>
        <v>-1259000</v>
      </c>
    </row>
    <row r="1849" spans="1:21" x14ac:dyDescent="0.2">
      <c r="A1849" s="54">
        <v>-3023700</v>
      </c>
      <c r="B1849" s="9">
        <v>-2919400</v>
      </c>
      <c r="C1849" s="707">
        <v>-1992400</v>
      </c>
      <c r="D1849" s="136">
        <v>-1831900</v>
      </c>
      <c r="E1849" s="134">
        <v>-1865600</v>
      </c>
      <c r="F1849" s="483" t="s">
        <v>1416</v>
      </c>
      <c r="G1849" s="662" t="s">
        <v>5250</v>
      </c>
      <c r="H1849" s="134">
        <f>-1889000-40900</f>
        <v>-1929900</v>
      </c>
      <c r="I1849" s="85">
        <f>IF(E1849=H1849,0,IF(E1849=0,100,(H1849-E1849)/E1849*100))</f>
        <v>3.4466123499142367</v>
      </c>
      <c r="J1849" s="9">
        <f>ROUND(H1849+(H1849*Assumptions!I$23),-3)</f>
        <v>-1974000</v>
      </c>
      <c r="K1849" s="9">
        <f>ROUND(J1849+(J1849*Assumptions!J$23),-3)</f>
        <v>-2019000</v>
      </c>
      <c r="L1849" s="9">
        <f>ROUND(K1849+(K1849*Assumptions!K$23),-3)</f>
        <v>-2065000</v>
      </c>
      <c r="M1849" s="9">
        <f>ROUND(L1849+(L1849*Assumptions!L$23),-3)</f>
        <v>-2112000</v>
      </c>
      <c r="N1849" s="9">
        <f>ROUND(M1849+(M1849*Assumptions!M$23),-3)</f>
        <v>-2161000</v>
      </c>
      <c r="O1849" s="134">
        <f>ROUND(N1849+(N1849*Assumptions!N$23),-3)</f>
        <v>-2211000</v>
      </c>
      <c r="P1849" s="134">
        <f>ROUND(O1849+(O1849*Assumptions!O$23),-3)</f>
        <v>-2262000</v>
      </c>
      <c r="Q1849" s="134">
        <f>ROUND(P1849+(P1849*Assumptions!P$23),-3)</f>
        <v>-2314000</v>
      </c>
      <c r="R1849" s="134">
        <f>ROUND(Q1849+(Q1849*Assumptions!Q$23),-3)</f>
        <v>-2367000</v>
      </c>
      <c r="S1849" s="2359">
        <f>ROUND(R1849+(R1849*Assumptions!R$23),-3)</f>
        <v>-2421000</v>
      </c>
    </row>
    <row r="1850" spans="1:21" x14ac:dyDescent="0.2">
      <c r="A1850" s="54">
        <v>-504700</v>
      </c>
      <c r="B1850" s="9">
        <v>-318900</v>
      </c>
      <c r="C1850" s="136">
        <v>-314900</v>
      </c>
      <c r="D1850" s="136">
        <v>-465700</v>
      </c>
      <c r="E1850" s="134">
        <v>-466400</v>
      </c>
      <c r="F1850" s="483" t="s">
        <v>89</v>
      </c>
      <c r="G1850" s="662" t="s">
        <v>5251</v>
      </c>
      <c r="H1850" s="134">
        <v>-430000</v>
      </c>
      <c r="I1850" s="85">
        <f>IF(E1850=H1850,0,IF(E1850=0,100,(H1850-E1850)/E1850*100))</f>
        <v>-7.804459691252144</v>
      </c>
      <c r="J1850" s="9">
        <f>ROUND(H1850+(H1850*Assumptions!I$24),-3)</f>
        <v>-440000</v>
      </c>
      <c r="K1850" s="9">
        <f>ROUND(J1850+(J1850*Assumptions!J$24),-3)</f>
        <v>-450000</v>
      </c>
      <c r="L1850" s="9">
        <f>ROUND(K1850+(K1850*Assumptions!K$24),-3)</f>
        <v>-460000</v>
      </c>
      <c r="M1850" s="9">
        <f>ROUND(L1850+(L1850*Assumptions!L$24),-3)</f>
        <v>-471000</v>
      </c>
      <c r="N1850" s="9">
        <f>ROUND(M1850+(M1850*Assumptions!M$24),-3)</f>
        <v>-482000</v>
      </c>
      <c r="O1850" s="134">
        <f>ROUND(N1850+(N1850*Assumptions!N$24),-3)</f>
        <v>-493000</v>
      </c>
      <c r="P1850" s="134">
        <f>ROUND(O1850+(O1850*Assumptions!O$24),-3)</f>
        <v>-504000</v>
      </c>
      <c r="Q1850" s="134">
        <f>ROUND(P1850+(P1850*Assumptions!P$24),-3)</f>
        <v>-516000</v>
      </c>
      <c r="R1850" s="134">
        <f>ROUND(Q1850+(Q1850*Assumptions!Q$24),-3)</f>
        <v>-528000</v>
      </c>
      <c r="S1850" s="2359">
        <f>ROUND(R1850+(R1850*Assumptions!R$24),-3)</f>
        <v>-540000</v>
      </c>
    </row>
    <row r="1851" spans="1:21" ht="13.5" thickBot="1" x14ac:dyDescent="0.25">
      <c r="A1851" s="118"/>
      <c r="B1851" s="23"/>
      <c r="C1851" s="148"/>
      <c r="D1851" s="148"/>
      <c r="E1851" s="148"/>
      <c r="F1851" s="1170"/>
      <c r="G1851" s="424"/>
      <c r="H1851" s="23"/>
      <c r="I1851" s="87"/>
      <c r="J1851" s="23"/>
      <c r="K1851" s="23"/>
      <c r="L1851" s="23"/>
      <c r="M1851" s="23"/>
      <c r="N1851" s="23"/>
      <c r="O1851" s="23"/>
      <c r="P1851" s="23"/>
      <c r="Q1851" s="23"/>
      <c r="R1851" s="23"/>
      <c r="S1851" s="112"/>
    </row>
    <row r="1852" spans="1:21" s="46" customFormat="1" ht="14.25" thickTop="1" thickBot="1" x14ac:dyDescent="0.25">
      <c r="A1852" s="27"/>
      <c r="B1852" s="27"/>
      <c r="C1852" s="143"/>
      <c r="D1852" s="143"/>
      <c r="E1852" s="143"/>
      <c r="F1852" s="169"/>
      <c r="G1852" s="84"/>
      <c r="I1852" s="70"/>
      <c r="U1852" s="34"/>
    </row>
    <row r="1853" spans="1:21" s="38" customFormat="1" ht="18.75" customHeight="1" thickTop="1" thickBot="1" x14ac:dyDescent="0.3">
      <c r="A1853" s="2588" t="s">
        <v>4497</v>
      </c>
      <c r="B1853" s="2589"/>
      <c r="C1853" s="2589"/>
      <c r="D1853" s="2589"/>
      <c r="E1853" s="2589"/>
      <c r="F1853" s="2589"/>
      <c r="G1853" s="2589"/>
      <c r="H1853" s="2589"/>
      <c r="I1853" s="2589"/>
      <c r="J1853" s="2589"/>
      <c r="K1853" s="2589"/>
      <c r="L1853" s="2589"/>
      <c r="M1853" s="2589"/>
      <c r="N1853" s="2589"/>
      <c r="O1853" s="2589"/>
      <c r="P1853" s="2589"/>
      <c r="Q1853" s="2589"/>
      <c r="R1853" s="2589"/>
      <c r="S1853" s="2590"/>
      <c r="U1853" s="34"/>
    </row>
    <row r="1854" spans="1:21" s="39" customFormat="1" ht="13.5" thickBot="1" x14ac:dyDescent="0.25">
      <c r="A1854" s="2591" t="s">
        <v>1824</v>
      </c>
      <c r="B1854" s="2577"/>
      <c r="C1854" s="2577"/>
      <c r="D1854" s="2577"/>
      <c r="E1854" s="2592"/>
      <c r="F1854" s="127" t="s">
        <v>2616</v>
      </c>
      <c r="G1854" s="127" t="s">
        <v>2213</v>
      </c>
      <c r="H1854" s="2568" t="s">
        <v>2215</v>
      </c>
      <c r="I1854" s="2568"/>
      <c r="J1854" s="2568"/>
      <c r="K1854" s="2568"/>
      <c r="L1854" s="2568"/>
      <c r="M1854" s="2568"/>
      <c r="N1854" s="2568"/>
      <c r="O1854" s="2568"/>
      <c r="P1854" s="2568"/>
      <c r="Q1854" s="2568"/>
      <c r="R1854" s="2568"/>
      <c r="S1854" s="2607"/>
      <c r="U1854" s="34"/>
    </row>
    <row r="1855" spans="1:21" ht="12.75" customHeight="1" thickBot="1" x14ac:dyDescent="0.25">
      <c r="A1855" s="541" t="str">
        <f>A3</f>
        <v>2012/13</v>
      </c>
      <c r="B1855" s="28" t="str">
        <f>B3</f>
        <v>2013/14</v>
      </c>
      <c r="C1855" s="40" t="str">
        <f>C3</f>
        <v>2014/15</v>
      </c>
      <c r="D1855" s="40" t="str">
        <f>D3</f>
        <v>2015/16</v>
      </c>
      <c r="E1855" s="1445" t="str">
        <f>E3</f>
        <v>2016/17</v>
      </c>
      <c r="F1855" s="40"/>
      <c r="G1855" s="2072"/>
      <c r="H1855" s="40" t="str">
        <f t="shared" ref="H1855:S1855" si="2240">H3</f>
        <v>2017/18</v>
      </c>
      <c r="I1855" s="1258" t="str">
        <f t="shared" si="2240"/>
        <v>%</v>
      </c>
      <c r="J1855" s="40" t="str">
        <f t="shared" si="2240"/>
        <v>2018/19</v>
      </c>
      <c r="K1855" s="40" t="str">
        <f t="shared" si="2240"/>
        <v>2019/20</v>
      </c>
      <c r="L1855" s="40" t="str">
        <f t="shared" si="2240"/>
        <v>2020/21</v>
      </c>
      <c r="M1855" s="40" t="str">
        <f t="shared" si="2240"/>
        <v>2021/22</v>
      </c>
      <c r="N1855" s="40" t="str">
        <f t="shared" si="2240"/>
        <v>2022/23</v>
      </c>
      <c r="O1855" s="40" t="str">
        <f t="shared" si="2240"/>
        <v>2023/24</v>
      </c>
      <c r="P1855" s="1257" t="str">
        <f t="shared" si="2240"/>
        <v>2024/25</v>
      </c>
      <c r="Q1855" s="28" t="str">
        <f t="shared" si="2240"/>
        <v>2025/26</v>
      </c>
      <c r="R1855" s="28" t="str">
        <f t="shared" si="2240"/>
        <v>2026/27</v>
      </c>
      <c r="S1855" s="1620" t="str">
        <f t="shared" si="2240"/>
        <v>2027/28</v>
      </c>
    </row>
    <row r="1856" spans="1:21" x14ac:dyDescent="0.2">
      <c r="A1856" s="54"/>
      <c r="B1856" s="9"/>
      <c r="E1856" s="144"/>
      <c r="F1856" s="2250"/>
      <c r="G1856" s="2424"/>
      <c r="H1856" s="9"/>
      <c r="I1856" s="85"/>
      <c r="J1856" s="9"/>
      <c r="K1856" s="9"/>
      <c r="L1856" s="9"/>
      <c r="M1856" s="9"/>
      <c r="N1856" s="9"/>
      <c r="O1856" s="9"/>
      <c r="P1856" s="89"/>
      <c r="Q1856" s="9"/>
      <c r="R1856" s="9"/>
      <c r="S1856" s="61"/>
    </row>
    <row r="1857" spans="1:19" x14ac:dyDescent="0.2">
      <c r="A1857" s="54"/>
      <c r="B1857" s="9"/>
      <c r="E1857" s="144"/>
      <c r="F1857" s="167"/>
      <c r="G1857" s="421" t="s">
        <v>162</v>
      </c>
      <c r="H1857" s="9"/>
      <c r="I1857" s="85"/>
      <c r="J1857" s="9"/>
      <c r="K1857" s="9"/>
      <c r="L1857" s="9"/>
      <c r="M1857" s="9"/>
      <c r="N1857" s="9"/>
      <c r="O1857" s="9"/>
      <c r="P1857" s="89"/>
      <c r="Q1857" s="9"/>
      <c r="R1857" s="9"/>
      <c r="S1857" s="61"/>
    </row>
    <row r="1858" spans="1:19" x14ac:dyDescent="0.2">
      <c r="A1858" s="54"/>
      <c r="B1858" s="9"/>
      <c r="E1858" s="144"/>
      <c r="F1858" s="2065"/>
      <c r="G1858" s="419" t="s">
        <v>2341</v>
      </c>
      <c r="H1858" s="9"/>
      <c r="I1858" s="85"/>
      <c r="J1858" s="9"/>
      <c r="K1858" s="9"/>
      <c r="L1858" s="9"/>
      <c r="M1858" s="9"/>
      <c r="N1858" s="9"/>
      <c r="O1858" s="9"/>
      <c r="P1858" s="89"/>
      <c r="Q1858" s="9"/>
      <c r="R1858" s="9"/>
      <c r="S1858" s="61"/>
    </row>
    <row r="1859" spans="1:19" x14ac:dyDescent="0.2">
      <c r="A1859" s="54">
        <v>1400</v>
      </c>
      <c r="B1859" s="79">
        <v>1400</v>
      </c>
      <c r="C1859" s="136">
        <v>1400</v>
      </c>
      <c r="D1859" s="136">
        <v>1600</v>
      </c>
      <c r="E1859" s="144">
        <v>1600</v>
      </c>
      <c r="F1859" s="469" t="s">
        <v>1605</v>
      </c>
      <c r="G1859" s="385" t="s">
        <v>2631</v>
      </c>
      <c r="H1859" s="9">
        <v>2000</v>
      </c>
      <c r="I1859" s="85">
        <f>IF(E1859=H1859,0,IF(E1859=0,100,(H1859-E1859)/E1859*100))</f>
        <v>25</v>
      </c>
      <c r="J1859" s="9">
        <f>ROUND(H1859+(H1859*Assumptions!I$5),-3)</f>
        <v>2000</v>
      </c>
      <c r="K1859" s="9">
        <f>ROUND(J1859+(J1859*Assumptions!J$5),-3)</f>
        <v>2000</v>
      </c>
      <c r="L1859" s="9">
        <f>ROUND(K1859+(K1859*Assumptions!K$5),-3)</f>
        <v>2000</v>
      </c>
      <c r="M1859" s="9">
        <f>ROUND(L1859+(L1859*Assumptions!L$5),-3)</f>
        <v>2000</v>
      </c>
      <c r="N1859" s="9">
        <f>ROUND(M1859+(M1859*Assumptions!M$5),-3)</f>
        <v>2000</v>
      </c>
      <c r="O1859" s="9">
        <f>ROUND(N1859+(N1859*Assumptions!N$5),-3)</f>
        <v>2000</v>
      </c>
      <c r="P1859" s="89">
        <f>ROUND(O1859+(O1859*Assumptions!O$5),-3)</f>
        <v>2000</v>
      </c>
      <c r="Q1859" s="9">
        <f>ROUND(P1859+(P1859*Assumptions!P$5),-3)</f>
        <v>2000</v>
      </c>
      <c r="R1859" s="9">
        <f>ROUND(Q1859+(Q1859*Assumptions!Q$5),-3)</f>
        <v>2000</v>
      </c>
      <c r="S1859" s="47">
        <f>ROUND(R1859+(R1859*Assumptions!R$5),-3)</f>
        <v>2000</v>
      </c>
    </row>
    <row r="1860" spans="1:19" x14ac:dyDescent="0.2">
      <c r="A1860" s="54">
        <v>19700</v>
      </c>
      <c r="B1860" s="79">
        <v>18900</v>
      </c>
      <c r="C1860" s="136">
        <v>12200</v>
      </c>
      <c r="D1860" s="136">
        <v>12100</v>
      </c>
      <c r="E1860" s="144">
        <f>170100-E1859-E1861</f>
        <v>24000</v>
      </c>
      <c r="F1860" s="469" t="s">
        <v>1606</v>
      </c>
      <c r="G1860" s="385" t="s">
        <v>270</v>
      </c>
      <c r="H1860" s="9">
        <v>20000</v>
      </c>
      <c r="I1860" s="85">
        <f>IF(E1860=H1860,0,IF(E1860=0,100,(H1860-E1860)/E1860*100))</f>
        <v>-16.666666666666664</v>
      </c>
      <c r="J1860" s="9">
        <f>ROUND(H1860+(H1860*Assumptions!I$5),-3)</f>
        <v>20000</v>
      </c>
      <c r="K1860" s="9">
        <f>ROUND(J1860+(J1860*Assumptions!J$5),-3)</f>
        <v>21000</v>
      </c>
      <c r="L1860" s="9">
        <f>ROUND(K1860+(K1860*Assumptions!K$5),-3)</f>
        <v>22000</v>
      </c>
      <c r="M1860" s="9">
        <f>ROUND(L1860+(L1860*Assumptions!L$5),-3)</f>
        <v>23000</v>
      </c>
      <c r="N1860" s="9">
        <f>ROUND(M1860+(M1860*Assumptions!M$5),-3)</f>
        <v>24000</v>
      </c>
      <c r="O1860" s="9">
        <f>ROUND(N1860+(N1860*Assumptions!N$5),-3)</f>
        <v>25000</v>
      </c>
      <c r="P1860" s="89">
        <f>ROUND(O1860+(O1860*Assumptions!O$5),-3)</f>
        <v>26000</v>
      </c>
      <c r="Q1860" s="9">
        <f>ROUND(P1860+(P1860*Assumptions!P$5),-3)</f>
        <v>27000</v>
      </c>
      <c r="R1860" s="9">
        <f>ROUND(Q1860+(Q1860*Assumptions!Q$5),-3)</f>
        <v>28000</v>
      </c>
      <c r="S1860" s="47">
        <f>ROUND(R1860+(R1860*Assumptions!R$5),-3)</f>
        <v>29000</v>
      </c>
    </row>
    <row r="1861" spans="1:19" x14ac:dyDescent="0.2">
      <c r="A1861" s="54">
        <v>164500</v>
      </c>
      <c r="B1861" s="79">
        <v>178200</v>
      </c>
      <c r="C1861" s="136">
        <f>188400-13600</f>
        <v>174800</v>
      </c>
      <c r="D1861" s="136">
        <v>149600</v>
      </c>
      <c r="E1861" s="144">
        <v>144500</v>
      </c>
      <c r="F1861" s="469" t="s">
        <v>1607</v>
      </c>
      <c r="G1861" s="385" t="s">
        <v>271</v>
      </c>
      <c r="H1861" s="9">
        <v>166000</v>
      </c>
      <c r="I1861" s="85">
        <f>IF(E1861=H1861,0,IF(E1861=0,100,(H1861-E1861)/E1861*100))</f>
        <v>14.878892733564014</v>
      </c>
      <c r="J1861" s="9">
        <f>ROUND(H1861+(H1861*Assumptions!I$5),-3)</f>
        <v>170000</v>
      </c>
      <c r="K1861" s="9">
        <f>ROUND(J1861+(J1861*Assumptions!J$5),-3)</f>
        <v>174000</v>
      </c>
      <c r="L1861" s="9">
        <f>ROUND(K1861+(K1861*Assumptions!K$5),-3)</f>
        <v>178000</v>
      </c>
      <c r="M1861" s="9">
        <f>ROUND(L1861+(L1861*Assumptions!L$5),-3)</f>
        <v>182000</v>
      </c>
      <c r="N1861" s="9">
        <f>ROUND(M1861+(M1861*Assumptions!M$5),-3)</f>
        <v>187000</v>
      </c>
      <c r="O1861" s="9">
        <f>ROUND(N1861+(N1861*Assumptions!N$5),-3)</f>
        <v>192000</v>
      </c>
      <c r="P1861" s="89">
        <f>ROUND(O1861+(O1861*Assumptions!O$5),-3)</f>
        <v>197000</v>
      </c>
      <c r="Q1861" s="9">
        <f>ROUND(P1861+(P1861*Assumptions!P$5),-3)</f>
        <v>202000</v>
      </c>
      <c r="R1861" s="9">
        <f>ROUND(Q1861+(Q1861*Assumptions!Q$5),-3)</f>
        <v>207000</v>
      </c>
      <c r="S1861" s="47">
        <f>ROUND(R1861+(R1861*Assumptions!R$5),-3)</f>
        <v>212000</v>
      </c>
    </row>
    <row r="1862" spans="1:19" x14ac:dyDescent="0.2">
      <c r="A1862" s="54">
        <v>5100</v>
      </c>
      <c r="B1862" s="79">
        <v>13600</v>
      </c>
      <c r="C1862" s="136">
        <v>5000</v>
      </c>
      <c r="D1862" s="136">
        <v>5200</v>
      </c>
      <c r="E1862" s="144">
        <v>3400</v>
      </c>
      <c r="F1862" s="469" t="s">
        <v>925</v>
      </c>
      <c r="G1862" s="385" t="s">
        <v>453</v>
      </c>
      <c r="H1862" s="9">
        <v>6000</v>
      </c>
      <c r="I1862" s="85">
        <f>IF(E1862=H1862,0,IF(E1862=0,100,(H1862-E1862)/E1862*100))</f>
        <v>76.470588235294116</v>
      </c>
      <c r="J1862" s="9">
        <f>ROUND(H1862+(H1862*Assumptions!I$5),-3)</f>
        <v>6000</v>
      </c>
      <c r="K1862" s="9">
        <f>ROUND(J1862+(J1862*Assumptions!J$5),-3)</f>
        <v>6000</v>
      </c>
      <c r="L1862" s="9">
        <f>ROUND(K1862+(K1862*Assumptions!K$5),-3)</f>
        <v>6000</v>
      </c>
      <c r="M1862" s="9">
        <f>ROUND(L1862+(L1862*Assumptions!L$5),-3)</f>
        <v>6000</v>
      </c>
      <c r="N1862" s="9">
        <f>ROUND(M1862+(M1862*Assumptions!M$5),-3)</f>
        <v>6000</v>
      </c>
      <c r="O1862" s="9">
        <f>ROUND(N1862+(N1862*Assumptions!N$5),-3)</f>
        <v>6000</v>
      </c>
      <c r="P1862" s="89">
        <f>ROUND(O1862+(O1862*Assumptions!O$5),-3)</f>
        <v>6000</v>
      </c>
      <c r="Q1862" s="9">
        <f>ROUND(P1862+(P1862*Assumptions!P$5),-3)</f>
        <v>6000</v>
      </c>
      <c r="R1862" s="9">
        <f>ROUND(Q1862+(Q1862*Assumptions!Q$5),-3)</f>
        <v>6000</v>
      </c>
      <c r="S1862" s="47">
        <f>ROUND(R1862+(R1862*Assumptions!R$5),-3)</f>
        <v>6000</v>
      </c>
    </row>
    <row r="1863" spans="1:19" x14ac:dyDescent="0.2">
      <c r="A1863" s="54">
        <v>3400</v>
      </c>
      <c r="B1863" s="79">
        <v>4000</v>
      </c>
      <c r="C1863" s="136">
        <v>13200</v>
      </c>
      <c r="D1863" s="136">
        <v>4100</v>
      </c>
      <c r="E1863" s="144">
        <v>7700</v>
      </c>
      <c r="F1863" s="469" t="s">
        <v>926</v>
      </c>
      <c r="G1863" s="385" t="s">
        <v>62</v>
      </c>
      <c r="H1863" s="9">
        <f>16000-5000</f>
        <v>11000</v>
      </c>
      <c r="I1863" s="85">
        <f>IF(E1863=H1863,0,IF(E1863=0,100,(H1863-E1863)/E1863*100))</f>
        <v>42.857142857142854</v>
      </c>
      <c r="J1863" s="9">
        <f>ROUND(H1863+(H1863*Assumptions!I$5),-3)</f>
        <v>11000</v>
      </c>
      <c r="K1863" s="9">
        <f>ROUND(J1863+(J1863*Assumptions!J$5),-3)</f>
        <v>11000</v>
      </c>
      <c r="L1863" s="9">
        <f>ROUND(K1863+(K1863*Assumptions!K$5),-3)</f>
        <v>11000</v>
      </c>
      <c r="M1863" s="9">
        <f>ROUND(L1863+(L1863*Assumptions!L$5),-3)</f>
        <v>11000</v>
      </c>
      <c r="N1863" s="9">
        <f>ROUND(M1863+(M1863*Assumptions!M$5),-3)</f>
        <v>11000</v>
      </c>
      <c r="O1863" s="9">
        <f>ROUND(N1863+(N1863*Assumptions!N$5),-3)</f>
        <v>11000</v>
      </c>
      <c r="P1863" s="89">
        <f>ROUND(O1863+(O1863*Assumptions!O$5),-3)</f>
        <v>11000</v>
      </c>
      <c r="Q1863" s="9">
        <f>ROUND(P1863+(P1863*Assumptions!P$5),-3)</f>
        <v>11000</v>
      </c>
      <c r="R1863" s="9">
        <f>ROUND(Q1863+(Q1863*Assumptions!Q$5),-3)</f>
        <v>11000</v>
      </c>
      <c r="S1863" s="47">
        <f>ROUND(R1863+(R1863*Assumptions!R$5),-3)</f>
        <v>11000</v>
      </c>
    </row>
    <row r="1864" spans="1:19" x14ac:dyDescent="0.2">
      <c r="A1864" s="54"/>
      <c r="B1864" s="79"/>
      <c r="E1864" s="144"/>
      <c r="F1864" s="1618"/>
      <c r="G1864" s="385"/>
      <c r="H1864" s="9"/>
      <c r="I1864" s="85"/>
      <c r="J1864" s="9"/>
      <c r="K1864" s="9"/>
      <c r="L1864" s="9"/>
      <c r="M1864" s="9"/>
      <c r="N1864" s="9"/>
      <c r="O1864" s="9"/>
      <c r="P1864" s="89"/>
      <c r="Q1864" s="9"/>
      <c r="R1864" s="9"/>
      <c r="S1864" s="47"/>
    </row>
    <row r="1865" spans="1:19" x14ac:dyDescent="0.2">
      <c r="A1865" s="54"/>
      <c r="B1865" s="79"/>
      <c r="E1865" s="144"/>
      <c r="F1865" s="2065"/>
      <c r="G1865" s="419" t="s">
        <v>482</v>
      </c>
      <c r="H1865" s="9"/>
      <c r="I1865" s="85"/>
      <c r="J1865" s="9"/>
      <c r="K1865" s="9"/>
      <c r="L1865" s="9"/>
      <c r="M1865" s="9"/>
      <c r="N1865" s="9"/>
      <c r="O1865" s="9"/>
      <c r="P1865" s="89"/>
      <c r="Q1865" s="9"/>
      <c r="R1865" s="9"/>
      <c r="S1865" s="47"/>
    </row>
    <row r="1866" spans="1:19" x14ac:dyDescent="0.2">
      <c r="A1866" s="54">
        <v>94900</v>
      </c>
      <c r="B1866" s="79">
        <v>91400</v>
      </c>
      <c r="C1866" s="136">
        <v>92000</v>
      </c>
      <c r="D1866" s="136">
        <v>117500</v>
      </c>
      <c r="E1866" s="144">
        <v>128300</v>
      </c>
      <c r="F1866" s="469" t="s">
        <v>914</v>
      </c>
      <c r="G1866" s="385" t="s">
        <v>2047</v>
      </c>
      <c r="H1866" s="9">
        <v>123000</v>
      </c>
      <c r="I1866" s="85">
        <f>IF(E1866=H1866,0,IF(E1866=0,100,(H1866-E1866)/E1866*100))</f>
        <v>-4.1309431021044425</v>
      </c>
      <c r="J1866" s="9">
        <f>ROUND(H1866+(H1866*Assumptions!I$5),-3)</f>
        <v>126000</v>
      </c>
      <c r="K1866" s="9">
        <f>ROUND(J1866+(J1866*Assumptions!J$5),-3)</f>
        <v>129000</v>
      </c>
      <c r="L1866" s="9">
        <f>ROUND(K1866+(K1866*Assumptions!K$5),-3)</f>
        <v>132000</v>
      </c>
      <c r="M1866" s="9">
        <f>ROUND(L1866+(L1866*Assumptions!L$5),-3)</f>
        <v>135000</v>
      </c>
      <c r="N1866" s="9">
        <f>ROUND(M1866+(M1866*Assumptions!M$5),-3)</f>
        <v>138000</v>
      </c>
      <c r="O1866" s="9">
        <f>ROUND(N1866+(N1866*Assumptions!N$5),-3)</f>
        <v>141000</v>
      </c>
      <c r="P1866" s="89">
        <f>ROUND(O1866+(O1866*Assumptions!O$5),-3)</f>
        <v>145000</v>
      </c>
      <c r="Q1866" s="9">
        <f>ROUND(P1866+(P1866*Assumptions!P$5),-3)</f>
        <v>149000</v>
      </c>
      <c r="R1866" s="9">
        <f>ROUND(Q1866+(Q1866*Assumptions!Q$5),-3)</f>
        <v>153000</v>
      </c>
      <c r="S1866" s="47">
        <f>ROUND(R1866+(R1866*Assumptions!R$5),-3)</f>
        <v>157000</v>
      </c>
    </row>
    <row r="1867" spans="1:19" x14ac:dyDescent="0.2">
      <c r="A1867" s="54">
        <v>51000</v>
      </c>
      <c r="B1867" s="79">
        <v>51100</v>
      </c>
      <c r="C1867" s="136">
        <v>29300</v>
      </c>
      <c r="D1867" s="136">
        <v>47800</v>
      </c>
      <c r="E1867" s="144">
        <v>20200</v>
      </c>
      <c r="F1867" s="469" t="s">
        <v>915</v>
      </c>
      <c r="G1867" s="385" t="s">
        <v>358</v>
      </c>
      <c r="H1867" s="9">
        <f>30000-5000</f>
        <v>25000</v>
      </c>
      <c r="I1867" s="85">
        <f>IF(E1867=H1867,0,IF(E1867=0,100,(H1867-E1867)/E1867*100))</f>
        <v>23.762376237623762</v>
      </c>
      <c r="J1867" s="9">
        <f>ROUND(H1867+(H1867*Assumptions!I$5),-3)</f>
        <v>26000</v>
      </c>
      <c r="K1867" s="9">
        <f>ROUND(J1867+(J1867*Assumptions!J$5),-3)</f>
        <v>27000</v>
      </c>
      <c r="L1867" s="9">
        <f>ROUND(K1867+(K1867*Assumptions!K$5),-3)</f>
        <v>28000</v>
      </c>
      <c r="M1867" s="9">
        <f>ROUND(L1867+(L1867*Assumptions!L$5),-3)</f>
        <v>29000</v>
      </c>
      <c r="N1867" s="9">
        <f>ROUND(M1867+(M1867*Assumptions!M$5),-3)</f>
        <v>30000</v>
      </c>
      <c r="O1867" s="9">
        <f>ROUND(N1867+(N1867*Assumptions!N$5),-3)</f>
        <v>31000</v>
      </c>
      <c r="P1867" s="89">
        <f>ROUND(O1867+(O1867*Assumptions!O$5),-3)</f>
        <v>32000</v>
      </c>
      <c r="Q1867" s="9">
        <f>ROUND(P1867+(P1867*Assumptions!P$5),-3)</f>
        <v>33000</v>
      </c>
      <c r="R1867" s="9">
        <f>ROUND(Q1867+(Q1867*Assumptions!Q$5),-3)</f>
        <v>34000</v>
      </c>
      <c r="S1867" s="47">
        <f>ROUND(R1867+(R1867*Assumptions!R$5),-3)</f>
        <v>35000</v>
      </c>
    </row>
    <row r="1868" spans="1:19" x14ac:dyDescent="0.2">
      <c r="A1868" s="54">
        <v>39600</v>
      </c>
      <c r="B1868" s="79">
        <v>44300</v>
      </c>
      <c r="C1868" s="136">
        <v>68500</v>
      </c>
      <c r="D1868" s="136">
        <v>34400</v>
      </c>
      <c r="E1868" s="144">
        <v>41700</v>
      </c>
      <c r="F1868" s="469" t="s">
        <v>916</v>
      </c>
      <c r="G1868" s="385" t="s">
        <v>359</v>
      </c>
      <c r="H1868" s="9">
        <f>53000-10000</f>
        <v>43000</v>
      </c>
      <c r="I1868" s="85">
        <f>IF(E1868=H1868,0,IF(E1868=0,100,(H1868-E1868)/E1868*100))</f>
        <v>3.1175059952038371</v>
      </c>
      <c r="J1868" s="9">
        <f>ROUND(H1868+(H1868*Assumptions!I$5),-3)</f>
        <v>44000</v>
      </c>
      <c r="K1868" s="9">
        <f>ROUND(J1868+(J1868*Assumptions!J$5),-3)</f>
        <v>45000</v>
      </c>
      <c r="L1868" s="9">
        <f>ROUND(K1868+(K1868*Assumptions!K$5),-3)</f>
        <v>46000</v>
      </c>
      <c r="M1868" s="9">
        <f>ROUND(L1868+(L1868*Assumptions!L$5),-3)</f>
        <v>47000</v>
      </c>
      <c r="N1868" s="9">
        <f>ROUND(M1868+(M1868*Assumptions!M$5),-3)</f>
        <v>48000</v>
      </c>
      <c r="O1868" s="9">
        <f>ROUND(N1868+(N1868*Assumptions!N$5),-3)</f>
        <v>49000</v>
      </c>
      <c r="P1868" s="89">
        <f>ROUND(O1868+(O1868*Assumptions!O$5),-3)</f>
        <v>50000</v>
      </c>
      <c r="Q1868" s="9">
        <f>ROUND(P1868+(P1868*Assumptions!P$5),-3)</f>
        <v>51000</v>
      </c>
      <c r="R1868" s="9">
        <f>ROUND(Q1868+(Q1868*Assumptions!Q$5),-3)</f>
        <v>52000</v>
      </c>
      <c r="S1868" s="47">
        <f>ROUND(R1868+(R1868*Assumptions!R$5),-3)</f>
        <v>53000</v>
      </c>
    </row>
    <row r="1869" spans="1:19" x14ac:dyDescent="0.2">
      <c r="A1869" s="54"/>
      <c r="B1869" s="79"/>
      <c r="E1869" s="144"/>
      <c r="F1869" s="469"/>
      <c r="G1869" s="385"/>
      <c r="H1869" s="9"/>
      <c r="I1869" s="85"/>
      <c r="J1869" s="9"/>
      <c r="K1869" s="9"/>
      <c r="L1869" s="9"/>
      <c r="M1869" s="9"/>
      <c r="N1869" s="9"/>
      <c r="O1869" s="9"/>
      <c r="P1869" s="89"/>
      <c r="Q1869" s="9"/>
      <c r="R1869" s="9"/>
      <c r="S1869" s="47"/>
    </row>
    <row r="1870" spans="1:19" x14ac:dyDescent="0.2">
      <c r="A1870" s="54"/>
      <c r="B1870" s="79"/>
      <c r="E1870" s="144"/>
      <c r="F1870" s="167"/>
      <c r="G1870" s="421" t="s">
        <v>2709</v>
      </c>
      <c r="H1870" s="9"/>
      <c r="I1870" s="85"/>
      <c r="J1870" s="9"/>
      <c r="K1870" s="9"/>
      <c r="L1870" s="9"/>
      <c r="M1870" s="9"/>
      <c r="N1870" s="9"/>
      <c r="O1870" s="9"/>
      <c r="P1870" s="89"/>
      <c r="Q1870" s="9"/>
      <c r="R1870" s="9"/>
      <c r="S1870" s="47"/>
    </row>
    <row r="1871" spans="1:19" x14ac:dyDescent="0.2">
      <c r="A1871" s="54"/>
      <c r="B1871" s="79"/>
      <c r="E1871" s="144"/>
      <c r="F1871" s="2065"/>
      <c r="G1871" s="419" t="s">
        <v>406</v>
      </c>
      <c r="H1871" s="9"/>
      <c r="I1871" s="85"/>
      <c r="J1871" s="9"/>
      <c r="K1871" s="9"/>
      <c r="L1871" s="9"/>
      <c r="M1871" s="9"/>
      <c r="N1871" s="9"/>
      <c r="O1871" s="9"/>
      <c r="P1871" s="89"/>
      <c r="Q1871" s="9"/>
      <c r="R1871" s="9"/>
      <c r="S1871" s="47"/>
    </row>
    <row r="1872" spans="1:19" x14ac:dyDescent="0.2">
      <c r="A1872" s="54">
        <v>10700</v>
      </c>
      <c r="B1872" s="79">
        <v>28600</v>
      </c>
      <c r="C1872" s="136">
        <v>53800</v>
      </c>
      <c r="D1872" s="136">
        <v>61000</v>
      </c>
      <c r="E1872" s="144">
        <v>66000</v>
      </c>
      <c r="F1872" s="469" t="s">
        <v>917</v>
      </c>
      <c r="G1872" s="661" t="s">
        <v>4512</v>
      </c>
      <c r="H1872" s="9">
        <v>64000</v>
      </c>
      <c r="I1872" s="85">
        <f>IF(E1872=H1872,0,IF(E1872=0,100,(H1872-E1872)/E1872*100))</f>
        <v>-3.0303030303030303</v>
      </c>
      <c r="J1872" s="9">
        <f>ROUND(H1872+(H1872*Assumptions!I$5),-3)</f>
        <v>65000</v>
      </c>
      <c r="K1872" s="9">
        <f>ROUND(J1872+(J1872*Assumptions!J$5),-3)</f>
        <v>67000</v>
      </c>
      <c r="L1872" s="9">
        <f>ROUND(K1872+(K1872*Assumptions!K$5),-3)</f>
        <v>69000</v>
      </c>
      <c r="M1872" s="9">
        <f>ROUND(L1872+(L1872*Assumptions!L$5),-3)</f>
        <v>71000</v>
      </c>
      <c r="N1872" s="9">
        <f>ROUND(M1872+(M1872*Assumptions!M$5),-3)</f>
        <v>73000</v>
      </c>
      <c r="O1872" s="9">
        <f>ROUND(N1872+(N1872*Assumptions!N$5),-3)</f>
        <v>75000</v>
      </c>
      <c r="P1872" s="89">
        <f>ROUND(O1872+(O1872*Assumptions!O$5),-3)</f>
        <v>77000</v>
      </c>
      <c r="Q1872" s="9">
        <f>ROUND(P1872+(P1872*Assumptions!P$5),-3)</f>
        <v>79000</v>
      </c>
      <c r="R1872" s="9">
        <f>ROUND(Q1872+(Q1872*Assumptions!Q$5),-3)</f>
        <v>81000</v>
      </c>
      <c r="S1872" s="47">
        <f>ROUND(R1872+(R1872*Assumptions!R$5),-3)</f>
        <v>83000</v>
      </c>
    </row>
    <row r="1873" spans="1:19" x14ac:dyDescent="0.2">
      <c r="A1873" s="54">
        <v>132200</v>
      </c>
      <c r="B1873" s="79">
        <v>160900</v>
      </c>
      <c r="C1873" s="136">
        <f>117700+2300</f>
        <v>120000</v>
      </c>
      <c r="D1873" s="136">
        <v>130400</v>
      </c>
      <c r="E1873" s="144">
        <v>130600</v>
      </c>
      <c r="F1873" s="469" t="s">
        <v>685</v>
      </c>
      <c r="G1873" s="385" t="s">
        <v>1723</v>
      </c>
      <c r="H1873" s="9">
        <v>134000</v>
      </c>
      <c r="I1873" s="85">
        <f>IF(E1873=H1873,0,IF(E1873=0,100,(H1873-E1873)/E1873*100))</f>
        <v>2.6033690658499236</v>
      </c>
      <c r="J1873" s="9">
        <f>ROUND(H1873+(H1873*Assumptions!I$5),-3)</f>
        <v>137000</v>
      </c>
      <c r="K1873" s="9">
        <f>ROUND(J1873+(J1873*Assumptions!J$5),-3)</f>
        <v>140000</v>
      </c>
      <c r="L1873" s="9">
        <f>ROUND(K1873+(K1873*Assumptions!K$5),-3)</f>
        <v>144000</v>
      </c>
      <c r="M1873" s="9">
        <f>ROUND(L1873+(L1873*Assumptions!L$5),-3)</f>
        <v>148000</v>
      </c>
      <c r="N1873" s="9">
        <f>ROUND(M1873+(M1873*Assumptions!M$5),-3)</f>
        <v>152000</v>
      </c>
      <c r="O1873" s="9">
        <f>ROUND(N1873+(N1873*Assumptions!N$5),-3)</f>
        <v>156000</v>
      </c>
      <c r="P1873" s="89">
        <f>ROUND(O1873+(O1873*Assumptions!O$5),-3)</f>
        <v>160000</v>
      </c>
      <c r="Q1873" s="9">
        <f>ROUND(P1873+(P1873*Assumptions!P$5),-3)</f>
        <v>164000</v>
      </c>
      <c r="R1873" s="9">
        <f>ROUND(Q1873+(Q1873*Assumptions!Q$5),-3)</f>
        <v>168000</v>
      </c>
      <c r="S1873" s="47">
        <f>ROUND(R1873+(R1873*Assumptions!R$5),-3)</f>
        <v>172000</v>
      </c>
    </row>
    <row r="1874" spans="1:19" x14ac:dyDescent="0.2">
      <c r="A1874" s="54">
        <v>4800</v>
      </c>
      <c r="B1874" s="79">
        <v>5000</v>
      </c>
      <c r="C1874" s="136">
        <v>0</v>
      </c>
      <c r="D1874" s="136">
        <v>400</v>
      </c>
      <c r="E1874" s="144">
        <v>0</v>
      </c>
      <c r="F1874" s="469" t="s">
        <v>686</v>
      </c>
      <c r="G1874" s="385" t="s">
        <v>529</v>
      </c>
      <c r="H1874" s="9">
        <v>0</v>
      </c>
      <c r="I1874" s="85">
        <f>IF(E1874=H1874,0,IF(E1874=0,100,(H1874-E1874)/E1874*100))</f>
        <v>0</v>
      </c>
      <c r="J1874" s="9">
        <f>ROUND(H1874+(H1874*Assumptions!I$5),-3)</f>
        <v>0</v>
      </c>
      <c r="K1874" s="9">
        <f>ROUND(J1874+(J1874*Assumptions!J$5),-3)</f>
        <v>0</v>
      </c>
      <c r="L1874" s="9">
        <f>ROUND(K1874+(K1874*Assumptions!K$5),-3)</f>
        <v>0</v>
      </c>
      <c r="M1874" s="9">
        <f>ROUND(L1874+(L1874*Assumptions!L$5),-3)</f>
        <v>0</v>
      </c>
      <c r="N1874" s="9">
        <f>ROUND(M1874+(M1874*Assumptions!M$5),-3)</f>
        <v>0</v>
      </c>
      <c r="O1874" s="9">
        <f>ROUND(N1874+(N1874*Assumptions!N$5),-3)</f>
        <v>0</v>
      </c>
      <c r="P1874" s="89">
        <f>ROUND(O1874+(O1874*Assumptions!O$5),-3)</f>
        <v>0</v>
      </c>
      <c r="Q1874" s="9">
        <f>ROUND(P1874+(P1874*Assumptions!P$5),-3)</f>
        <v>0</v>
      </c>
      <c r="R1874" s="9">
        <f>ROUND(Q1874+(Q1874*Assumptions!Q$5),-3)</f>
        <v>0</v>
      </c>
      <c r="S1874" s="47">
        <f>ROUND(R1874+(R1874*Assumptions!R$5),-3)</f>
        <v>0</v>
      </c>
    </row>
    <row r="1875" spans="1:19" x14ac:dyDescent="0.2">
      <c r="A1875" s="54"/>
      <c r="B1875" s="79"/>
      <c r="E1875" s="144"/>
      <c r="F1875" s="1618"/>
      <c r="G1875" s="385"/>
      <c r="H1875" s="9"/>
      <c r="I1875" s="85"/>
      <c r="J1875" s="9"/>
      <c r="K1875" s="9"/>
      <c r="L1875" s="9"/>
      <c r="M1875" s="9"/>
      <c r="N1875" s="9"/>
      <c r="O1875" s="9"/>
      <c r="P1875" s="89"/>
      <c r="Q1875" s="9"/>
      <c r="R1875" s="9"/>
      <c r="S1875" s="47"/>
    </row>
    <row r="1876" spans="1:19" x14ac:dyDescent="0.2">
      <c r="A1876" s="54"/>
      <c r="B1876" s="79"/>
      <c r="E1876" s="144"/>
      <c r="F1876" s="2065"/>
      <c r="G1876" s="419" t="s">
        <v>2427</v>
      </c>
      <c r="H1876" s="9"/>
      <c r="I1876" s="85"/>
      <c r="J1876" s="9"/>
      <c r="K1876" s="9"/>
      <c r="L1876" s="9"/>
      <c r="M1876" s="9"/>
      <c r="N1876" s="9"/>
      <c r="O1876" s="9"/>
      <c r="P1876" s="89"/>
      <c r="Q1876" s="9"/>
      <c r="R1876" s="9"/>
      <c r="S1876" s="47"/>
    </row>
    <row r="1877" spans="1:19" x14ac:dyDescent="0.2">
      <c r="A1877" s="54">
        <v>6700</v>
      </c>
      <c r="B1877" s="79">
        <v>0</v>
      </c>
      <c r="C1877" s="136">
        <v>0</v>
      </c>
      <c r="D1877" s="136">
        <v>4100</v>
      </c>
      <c r="E1877" s="144">
        <v>0</v>
      </c>
      <c r="F1877" s="469" t="s">
        <v>313</v>
      </c>
      <c r="G1877" s="661" t="s">
        <v>6699</v>
      </c>
      <c r="H1877" s="9">
        <v>0</v>
      </c>
      <c r="I1877" s="85">
        <f>IF(E1877=H1877,0,IF(E1877=0,100,(H1877-E1877)/E1877*100))</f>
        <v>0</v>
      </c>
      <c r="J1877" s="9">
        <f>ROUND(H1877+(H1877*Assumptions!I$5),-3)</f>
        <v>0</v>
      </c>
      <c r="K1877" s="9">
        <f>ROUND(J1877+(J1877*Assumptions!J$5),-3)</f>
        <v>0</v>
      </c>
      <c r="L1877" s="9">
        <f>ROUND(K1877+(K1877*Assumptions!K$5),-3)</f>
        <v>0</v>
      </c>
      <c r="M1877" s="9">
        <f>ROUND(L1877+(L1877*Assumptions!L$5),-3)</f>
        <v>0</v>
      </c>
      <c r="N1877" s="9">
        <f>ROUND(M1877+(M1877*Assumptions!M$5),-3)</f>
        <v>0</v>
      </c>
      <c r="O1877" s="9">
        <f>ROUND(N1877+(N1877*Assumptions!N$5),-3)</f>
        <v>0</v>
      </c>
      <c r="P1877" s="89">
        <f>ROUND(O1877+(O1877*Assumptions!O$5),-3)</f>
        <v>0</v>
      </c>
      <c r="Q1877" s="9">
        <f>ROUND(P1877+(P1877*Assumptions!P$5),-3)</f>
        <v>0</v>
      </c>
      <c r="R1877" s="9">
        <f>ROUND(Q1877+(Q1877*Assumptions!Q$5),-3)</f>
        <v>0</v>
      </c>
      <c r="S1877" s="47">
        <f>ROUND(R1877+(R1877*Assumptions!R$5),-3)</f>
        <v>0</v>
      </c>
    </row>
    <row r="1878" spans="1:19" x14ac:dyDescent="0.2">
      <c r="A1878" s="54"/>
      <c r="B1878" s="79"/>
      <c r="E1878" s="144">
        <v>1200</v>
      </c>
      <c r="F1878" s="769" t="s">
        <v>9215</v>
      </c>
      <c r="G1878" s="661" t="s">
        <v>11802</v>
      </c>
      <c r="H1878" s="9"/>
      <c r="I1878" s="85"/>
      <c r="J1878" s="9"/>
      <c r="K1878" s="9"/>
      <c r="L1878" s="9"/>
      <c r="M1878" s="9"/>
      <c r="N1878" s="9"/>
      <c r="O1878" s="9"/>
      <c r="P1878" s="89"/>
      <c r="Q1878" s="9"/>
      <c r="R1878" s="9"/>
      <c r="S1878" s="47"/>
    </row>
    <row r="1879" spans="1:19" x14ac:dyDescent="0.2">
      <c r="A1879" s="54">
        <v>56600</v>
      </c>
      <c r="B1879" s="79">
        <v>79300</v>
      </c>
      <c r="C1879" s="136">
        <v>78200</v>
      </c>
      <c r="D1879" s="136">
        <v>83900</v>
      </c>
      <c r="E1879" s="144">
        <v>90700</v>
      </c>
      <c r="F1879" s="469" t="s">
        <v>2568</v>
      </c>
      <c r="G1879" s="661" t="s">
        <v>3519</v>
      </c>
      <c r="H1879" s="9">
        <v>89000</v>
      </c>
      <c r="I1879" s="85">
        <f>IF(E1879=H1879,0,IF(E1879=0,100,(H1879-E1879)/E1879*100))</f>
        <v>-1.8743109151047408</v>
      </c>
      <c r="J1879" s="9">
        <f>ROUND(H1879+(H1879*Assumptions!I$5),-3)</f>
        <v>91000</v>
      </c>
      <c r="K1879" s="9">
        <f>ROUND(J1879+(J1879*Assumptions!J$5),-3)</f>
        <v>93000</v>
      </c>
      <c r="L1879" s="9">
        <f>ROUND(K1879+(K1879*Assumptions!K$5),-3)</f>
        <v>95000</v>
      </c>
      <c r="M1879" s="9">
        <f>ROUND(L1879+(L1879*Assumptions!L$5),-3)</f>
        <v>97000</v>
      </c>
      <c r="N1879" s="9">
        <f>ROUND(M1879+(M1879*Assumptions!M$5),-3)</f>
        <v>99000</v>
      </c>
      <c r="O1879" s="9">
        <f>ROUND(N1879+(N1879*Assumptions!N$5),-3)</f>
        <v>101000</v>
      </c>
      <c r="P1879" s="89">
        <f>ROUND(O1879+(O1879*Assumptions!O$5),-3)</f>
        <v>104000</v>
      </c>
      <c r="Q1879" s="9">
        <f>ROUND(P1879+(P1879*Assumptions!P$5),-3)</f>
        <v>107000</v>
      </c>
      <c r="R1879" s="9">
        <f>ROUND(Q1879+(Q1879*Assumptions!Q$5),-3)</f>
        <v>110000</v>
      </c>
      <c r="S1879" s="47">
        <f>ROUND(R1879+(R1879*Assumptions!R$5),-3)</f>
        <v>113000</v>
      </c>
    </row>
    <row r="1880" spans="1:19" x14ac:dyDescent="0.2">
      <c r="A1880" s="54">
        <v>2900</v>
      </c>
      <c r="B1880" s="79">
        <v>2200</v>
      </c>
      <c r="C1880" s="136">
        <v>3400</v>
      </c>
      <c r="D1880" s="136">
        <v>3200</v>
      </c>
      <c r="E1880" s="144">
        <v>5700</v>
      </c>
      <c r="F1880" s="469" t="s">
        <v>2569</v>
      </c>
      <c r="G1880" s="385" t="s">
        <v>720</v>
      </c>
      <c r="H1880" s="9">
        <v>6000</v>
      </c>
      <c r="I1880" s="85">
        <f>IF(E1880=H1880,0,IF(E1880=0,100,(H1880-E1880)/E1880*100))</f>
        <v>5.2631578947368416</v>
      </c>
      <c r="J1880" s="9">
        <f>ROUND(H1880+(H1880*Assumptions!I$5),-3)</f>
        <v>6000</v>
      </c>
      <c r="K1880" s="9">
        <f>ROUND(J1880+(J1880*Assumptions!J$5),-3)</f>
        <v>6000</v>
      </c>
      <c r="L1880" s="9">
        <f>ROUND(K1880+(K1880*Assumptions!K$5),-3)</f>
        <v>6000</v>
      </c>
      <c r="M1880" s="9">
        <f>ROUND(L1880+(L1880*Assumptions!L$5),-3)</f>
        <v>6000</v>
      </c>
      <c r="N1880" s="9">
        <f>ROUND(M1880+(M1880*Assumptions!M$5),-3)</f>
        <v>6000</v>
      </c>
      <c r="O1880" s="9">
        <f>ROUND(N1880+(N1880*Assumptions!N$5),-3)</f>
        <v>6000</v>
      </c>
      <c r="P1880" s="89">
        <f>ROUND(O1880+(O1880*Assumptions!O$5),-3)</f>
        <v>6000</v>
      </c>
      <c r="Q1880" s="9">
        <f>ROUND(P1880+(P1880*Assumptions!P$5),-3)</f>
        <v>6000</v>
      </c>
      <c r="R1880" s="9">
        <f>ROUND(Q1880+(Q1880*Assumptions!Q$5),-3)</f>
        <v>6000</v>
      </c>
      <c r="S1880" s="47">
        <f>ROUND(R1880+(R1880*Assumptions!R$5),-3)</f>
        <v>6000</v>
      </c>
    </row>
    <row r="1881" spans="1:19" x14ac:dyDescent="0.2">
      <c r="A1881" s="54">
        <v>1700</v>
      </c>
      <c r="B1881" s="79">
        <v>0</v>
      </c>
      <c r="C1881" s="136">
        <v>0</v>
      </c>
      <c r="D1881" s="136">
        <v>0</v>
      </c>
      <c r="E1881" s="144">
        <v>0</v>
      </c>
      <c r="F1881" s="469" t="s">
        <v>1524</v>
      </c>
      <c r="G1881" s="385" t="s">
        <v>1525</v>
      </c>
      <c r="H1881" s="9">
        <v>0</v>
      </c>
      <c r="I1881" s="85">
        <f>IF(E1881=H1881,0,IF(E1881=0,100,(H1881-E1881)/E1881*100))</f>
        <v>0</v>
      </c>
      <c r="J1881" s="9">
        <f>ROUND(H1881+(H1881*Assumptions!I$5),-3)</f>
        <v>0</v>
      </c>
      <c r="K1881" s="9">
        <f>ROUND(J1881+(J1881*Assumptions!J$5),-3)</f>
        <v>0</v>
      </c>
      <c r="L1881" s="9">
        <f>ROUND(K1881+(K1881*Assumptions!K$5),-3)</f>
        <v>0</v>
      </c>
      <c r="M1881" s="9">
        <f>ROUND(L1881+(L1881*Assumptions!L$5),-3)</f>
        <v>0</v>
      </c>
      <c r="N1881" s="9">
        <f>ROUND(M1881+(M1881*Assumptions!M$5),-3)</f>
        <v>0</v>
      </c>
      <c r="O1881" s="9">
        <f>ROUND(N1881+(N1881*Assumptions!N$5),-3)</f>
        <v>0</v>
      </c>
      <c r="P1881" s="89">
        <f>ROUND(O1881+(O1881*Assumptions!O$5),-3)</f>
        <v>0</v>
      </c>
      <c r="Q1881" s="9">
        <f>ROUND(P1881+(P1881*Assumptions!P$5),-3)</f>
        <v>0</v>
      </c>
      <c r="R1881" s="9">
        <f>ROUND(Q1881+(Q1881*Assumptions!Q$5),-3)</f>
        <v>0</v>
      </c>
      <c r="S1881" s="47">
        <f>ROUND(R1881+(R1881*Assumptions!R$5),-3)</f>
        <v>0</v>
      </c>
    </row>
    <row r="1882" spans="1:19" x14ac:dyDescent="0.2">
      <c r="A1882" s="54">
        <v>0</v>
      </c>
      <c r="B1882" s="79">
        <v>0</v>
      </c>
      <c r="C1882" s="136">
        <v>0</v>
      </c>
      <c r="D1882" s="136">
        <v>0</v>
      </c>
      <c r="E1882" s="144">
        <v>100</v>
      </c>
      <c r="F1882" s="769" t="s">
        <v>10971</v>
      </c>
      <c r="G1882" s="661" t="s">
        <v>11803</v>
      </c>
      <c r="H1882" s="9">
        <v>0</v>
      </c>
      <c r="I1882" s="85">
        <f>IF(E1882=H1882,0,IF(E1882=0,100,(H1882-E1882)/E1882*100))</f>
        <v>-100</v>
      </c>
      <c r="J1882" s="9">
        <f>ROUND(H1882+(H1882*Assumptions!I$5),-3)</f>
        <v>0</v>
      </c>
      <c r="K1882" s="9">
        <f>ROUND(J1882+(J1882*Assumptions!J$5),-3)</f>
        <v>0</v>
      </c>
      <c r="L1882" s="9">
        <f>ROUND(K1882+(K1882*Assumptions!K$5),-3)</f>
        <v>0</v>
      </c>
      <c r="M1882" s="9">
        <f>ROUND(L1882+(L1882*Assumptions!L$5),-3)</f>
        <v>0</v>
      </c>
      <c r="N1882" s="9">
        <f>ROUND(M1882+(M1882*Assumptions!M$5),-3)</f>
        <v>0</v>
      </c>
      <c r="O1882" s="9">
        <f>ROUND(N1882+(N1882*Assumptions!N$5),-3)</f>
        <v>0</v>
      </c>
      <c r="P1882" s="89">
        <f>ROUND(O1882+(O1882*Assumptions!O$5),-3)</f>
        <v>0</v>
      </c>
      <c r="Q1882" s="9">
        <f>ROUND(P1882+(P1882*Assumptions!P$5),-3)</f>
        <v>0</v>
      </c>
      <c r="R1882" s="9">
        <f>ROUND(Q1882+(Q1882*Assumptions!Q$5),-3)</f>
        <v>0</v>
      </c>
      <c r="S1882" s="47">
        <f>ROUND(R1882+(R1882*Assumptions!R$5),-3)</f>
        <v>0</v>
      </c>
    </row>
    <row r="1883" spans="1:19" x14ac:dyDescent="0.2">
      <c r="A1883" s="54"/>
      <c r="B1883" s="9"/>
      <c r="E1883" s="144"/>
      <c r="F1883" s="469"/>
      <c r="G1883" s="385"/>
      <c r="H1883" s="9"/>
      <c r="I1883" s="85"/>
      <c r="J1883" s="9"/>
      <c r="K1883" s="9"/>
      <c r="L1883" s="9"/>
      <c r="M1883" s="9"/>
      <c r="N1883" s="9"/>
      <c r="O1883" s="9"/>
      <c r="P1883" s="89"/>
      <c r="Q1883" s="9"/>
      <c r="R1883" s="9"/>
      <c r="S1883" s="47"/>
    </row>
    <row r="1884" spans="1:19" x14ac:dyDescent="0.2">
      <c r="A1884" s="54"/>
      <c r="B1884" s="9"/>
      <c r="E1884" s="144"/>
      <c r="F1884" s="2065"/>
      <c r="G1884" s="1189" t="s">
        <v>4720</v>
      </c>
      <c r="H1884" s="9"/>
      <c r="I1884" s="85"/>
      <c r="J1884" s="9"/>
      <c r="K1884" s="9"/>
      <c r="L1884" s="9"/>
      <c r="M1884" s="9"/>
      <c r="N1884" s="9"/>
      <c r="O1884" s="9"/>
      <c r="P1884" s="89"/>
      <c r="Q1884" s="9"/>
      <c r="R1884" s="9"/>
      <c r="S1884" s="47"/>
    </row>
    <row r="1885" spans="1:19" x14ac:dyDescent="0.2">
      <c r="A1885" s="54">
        <v>48900</v>
      </c>
      <c r="B1885" s="79">
        <f>43400-21000</f>
        <v>22400</v>
      </c>
      <c r="C1885" s="136">
        <v>20400</v>
      </c>
      <c r="D1885" s="136">
        <v>11400</v>
      </c>
      <c r="E1885" s="144">
        <f>38100-E1886</f>
        <v>14300</v>
      </c>
      <c r="F1885" s="469" t="s">
        <v>2570</v>
      </c>
      <c r="G1885" s="661" t="s">
        <v>4793</v>
      </c>
      <c r="H1885" s="9">
        <f>20000-10000</f>
        <v>10000</v>
      </c>
      <c r="I1885" s="85">
        <f t="shared" ref="I1885:I1891" si="2241">IF(E1885=H1885,0,IF(E1885=0,100,(H1885-E1885)/E1885*100))</f>
        <v>-30.069930069930066</v>
      </c>
      <c r="J1885" s="9">
        <f>ROUND(H1885+(H1885*Assumptions!I$5),-3)</f>
        <v>10000</v>
      </c>
      <c r="K1885" s="9">
        <f>ROUND(J1885+(J1885*Assumptions!J$5),-3)</f>
        <v>10000</v>
      </c>
      <c r="L1885" s="9">
        <f>ROUND(K1885+(K1885*Assumptions!K$5),-3)</f>
        <v>10000</v>
      </c>
      <c r="M1885" s="9">
        <f>ROUND(L1885+(L1885*Assumptions!L$5),-3)</f>
        <v>10000</v>
      </c>
      <c r="N1885" s="9">
        <f>ROUND(M1885+(M1885*Assumptions!M$5),-3)</f>
        <v>10000</v>
      </c>
      <c r="O1885" s="9">
        <f>ROUND(N1885+(N1885*Assumptions!N$5),-3)</f>
        <v>10000</v>
      </c>
      <c r="P1885" s="89">
        <f>ROUND(O1885+(O1885*Assumptions!O$5),-3)</f>
        <v>10000</v>
      </c>
      <c r="Q1885" s="9">
        <f>ROUND(P1885+(P1885*Assumptions!P$5),-3)</f>
        <v>10000</v>
      </c>
      <c r="R1885" s="9">
        <f>ROUND(Q1885+(Q1885*Assumptions!Q$5),-3)</f>
        <v>10000</v>
      </c>
      <c r="S1885" s="47">
        <f>ROUND(R1885+(R1885*Assumptions!R$5),-3)</f>
        <v>10000</v>
      </c>
    </row>
    <row r="1886" spans="1:19" x14ac:dyDescent="0.2">
      <c r="A1886" s="54">
        <v>30700</v>
      </c>
      <c r="B1886" s="79">
        <v>21000</v>
      </c>
      <c r="C1886" s="136">
        <v>27000</v>
      </c>
      <c r="D1886" s="136">
        <v>26100</v>
      </c>
      <c r="E1886" s="144">
        <v>23800</v>
      </c>
      <c r="F1886" s="469" t="s">
        <v>2573</v>
      </c>
      <c r="G1886" s="661" t="s">
        <v>4794</v>
      </c>
      <c r="H1886" s="9">
        <v>24000</v>
      </c>
      <c r="I1886" s="85">
        <f t="shared" si="2241"/>
        <v>0.84033613445378152</v>
      </c>
      <c r="J1886" s="9">
        <f>ROUND(H1886+(H1886*Assumptions!I$5),-3)</f>
        <v>25000</v>
      </c>
      <c r="K1886" s="9">
        <f>ROUND(J1886+(J1886*Assumptions!J$5),-3)</f>
        <v>26000</v>
      </c>
      <c r="L1886" s="9">
        <f>ROUND(K1886+(K1886*Assumptions!K$5),-3)</f>
        <v>27000</v>
      </c>
      <c r="M1886" s="9">
        <f>ROUND(L1886+(L1886*Assumptions!L$5),-3)</f>
        <v>28000</v>
      </c>
      <c r="N1886" s="9">
        <f>ROUND(M1886+(M1886*Assumptions!M$5),-3)</f>
        <v>29000</v>
      </c>
      <c r="O1886" s="9">
        <f>ROUND(N1886+(N1886*Assumptions!N$5),-3)</f>
        <v>30000</v>
      </c>
      <c r="P1886" s="89">
        <f>ROUND(O1886+(O1886*Assumptions!O$5),-3)</f>
        <v>31000</v>
      </c>
      <c r="Q1886" s="9">
        <f>ROUND(P1886+(P1886*Assumptions!P$5),-3)</f>
        <v>32000</v>
      </c>
      <c r="R1886" s="9">
        <f>ROUND(Q1886+(Q1886*Assumptions!Q$5),-3)</f>
        <v>33000</v>
      </c>
      <c r="S1886" s="47">
        <f>ROUND(R1886+(R1886*Assumptions!R$5),-3)</f>
        <v>34000</v>
      </c>
    </row>
    <row r="1887" spans="1:19" x14ac:dyDescent="0.2">
      <c r="A1887" s="54">
        <v>600</v>
      </c>
      <c r="B1887" s="79">
        <v>100</v>
      </c>
      <c r="C1887" s="136">
        <v>0</v>
      </c>
      <c r="D1887" s="136">
        <v>0</v>
      </c>
      <c r="E1887" s="144">
        <v>0</v>
      </c>
      <c r="F1887" s="469" t="s">
        <v>2571</v>
      </c>
      <c r="G1887" s="385" t="s">
        <v>2666</v>
      </c>
      <c r="H1887" s="9">
        <v>0</v>
      </c>
      <c r="I1887" s="85">
        <f t="shared" si="2241"/>
        <v>0</v>
      </c>
      <c r="J1887" s="9">
        <f>ROUND(H1887+(H1887*Assumptions!I$5),-3)</f>
        <v>0</v>
      </c>
      <c r="K1887" s="9">
        <f>ROUND(J1887+(J1887*Assumptions!J$5),-3)</f>
        <v>0</v>
      </c>
      <c r="L1887" s="9">
        <f>ROUND(K1887+(K1887*Assumptions!K$5),-3)</f>
        <v>0</v>
      </c>
      <c r="M1887" s="9">
        <f>ROUND(L1887+(L1887*Assumptions!L$5),-3)</f>
        <v>0</v>
      </c>
      <c r="N1887" s="9">
        <f>ROUND(M1887+(M1887*Assumptions!M$5),-3)</f>
        <v>0</v>
      </c>
      <c r="O1887" s="9">
        <f>ROUND(N1887+(N1887*Assumptions!N$5),-3)</f>
        <v>0</v>
      </c>
      <c r="P1887" s="89">
        <f>ROUND(O1887+(O1887*Assumptions!O$5),-3)</f>
        <v>0</v>
      </c>
      <c r="Q1887" s="9">
        <f>ROUND(P1887+(P1887*Assumptions!P$5),-3)</f>
        <v>0</v>
      </c>
      <c r="R1887" s="9">
        <f>ROUND(Q1887+(Q1887*Assumptions!Q$5),-3)</f>
        <v>0</v>
      </c>
      <c r="S1887" s="47">
        <f>ROUND(R1887+(R1887*Assumptions!R$5),-3)</f>
        <v>0</v>
      </c>
    </row>
    <row r="1888" spans="1:19" x14ac:dyDescent="0.2">
      <c r="A1888" s="54">
        <v>0</v>
      </c>
      <c r="B1888" s="79">
        <v>2200</v>
      </c>
      <c r="C1888" s="136">
        <v>19200</v>
      </c>
      <c r="D1888" s="136">
        <v>13000</v>
      </c>
      <c r="E1888" s="144">
        <v>16100</v>
      </c>
      <c r="F1888" s="469" t="s">
        <v>2572</v>
      </c>
      <c r="G1888" s="661" t="s">
        <v>4796</v>
      </c>
      <c r="H1888" s="9">
        <v>22000</v>
      </c>
      <c r="I1888" s="85">
        <f t="shared" si="2241"/>
        <v>36.645962732919259</v>
      </c>
      <c r="J1888" s="9">
        <f>ROUND(H1888+(H1888*Assumptions!I$5),-3)</f>
        <v>23000</v>
      </c>
      <c r="K1888" s="9">
        <f>ROUND(J1888+(J1888*Assumptions!J$5),-3)</f>
        <v>24000</v>
      </c>
      <c r="L1888" s="9">
        <f>ROUND(K1888+(K1888*Assumptions!K$5),-3)</f>
        <v>25000</v>
      </c>
      <c r="M1888" s="9">
        <f>ROUND(L1888+(L1888*Assumptions!L$5),-3)</f>
        <v>26000</v>
      </c>
      <c r="N1888" s="9">
        <f>ROUND(M1888+(M1888*Assumptions!M$5),-3)</f>
        <v>27000</v>
      </c>
      <c r="O1888" s="9">
        <f>ROUND(N1888+(N1888*Assumptions!N$5),-3)</f>
        <v>28000</v>
      </c>
      <c r="P1888" s="89">
        <f>ROUND(O1888+(O1888*Assumptions!O$5),-3)</f>
        <v>29000</v>
      </c>
      <c r="Q1888" s="9">
        <f>ROUND(P1888+(P1888*Assumptions!P$5),-3)</f>
        <v>30000</v>
      </c>
      <c r="R1888" s="9">
        <f>ROUND(Q1888+(Q1888*Assumptions!Q$5),-3)</f>
        <v>31000</v>
      </c>
      <c r="S1888" s="47">
        <f>ROUND(R1888+(R1888*Assumptions!R$5),-3)</f>
        <v>32000</v>
      </c>
    </row>
    <row r="1889" spans="1:19" x14ac:dyDescent="0.2">
      <c r="A1889" s="54">
        <v>99900</v>
      </c>
      <c r="B1889" s="79">
        <v>36000</v>
      </c>
      <c r="C1889" s="136">
        <v>56100</v>
      </c>
      <c r="D1889" s="136">
        <v>10000</v>
      </c>
      <c r="E1889" s="144">
        <v>17100</v>
      </c>
      <c r="F1889" s="469" t="s">
        <v>2574</v>
      </c>
      <c r="G1889" s="661" t="s">
        <v>4795</v>
      </c>
      <c r="H1889" s="9">
        <f>5000+10000</f>
        <v>15000</v>
      </c>
      <c r="I1889" s="85">
        <f t="shared" si="2241"/>
        <v>-12.280701754385964</v>
      </c>
      <c r="J1889" s="9">
        <f>ROUND(H1889+(H1889*Assumptions!I$5),-3)</f>
        <v>15000</v>
      </c>
      <c r="K1889" s="9">
        <f>ROUND(J1889+(J1889*Assumptions!J$5),-3)</f>
        <v>15000</v>
      </c>
      <c r="L1889" s="9">
        <f>ROUND(K1889+(K1889*Assumptions!K$5),-3)</f>
        <v>15000</v>
      </c>
      <c r="M1889" s="9">
        <f>ROUND(L1889+(L1889*Assumptions!L$5),-3)</f>
        <v>15000</v>
      </c>
      <c r="N1889" s="9">
        <f>ROUND(M1889+(M1889*Assumptions!M$5),-3)</f>
        <v>15000</v>
      </c>
      <c r="O1889" s="9">
        <f>ROUND(N1889+(N1889*Assumptions!N$5),-3)</f>
        <v>15000</v>
      </c>
      <c r="P1889" s="89">
        <f>ROUND(O1889+(O1889*Assumptions!O$5),-3)</f>
        <v>15000</v>
      </c>
      <c r="Q1889" s="9">
        <f>ROUND(P1889+(P1889*Assumptions!P$5),-3)</f>
        <v>15000</v>
      </c>
      <c r="R1889" s="9">
        <f>ROUND(Q1889+(Q1889*Assumptions!Q$5),-3)</f>
        <v>15000</v>
      </c>
      <c r="S1889" s="47">
        <f>ROUND(R1889+(R1889*Assumptions!R$5),-3)</f>
        <v>15000</v>
      </c>
    </row>
    <row r="1890" spans="1:19" x14ac:dyDescent="0.2">
      <c r="A1890" s="54">
        <v>0</v>
      </c>
      <c r="B1890" s="79">
        <v>0</v>
      </c>
      <c r="C1890" s="136">
        <v>0</v>
      </c>
      <c r="D1890" s="134">
        <v>0</v>
      </c>
      <c r="E1890" s="1442">
        <v>0</v>
      </c>
      <c r="F1890" s="469" t="s">
        <v>2575</v>
      </c>
      <c r="G1890" s="661" t="s">
        <v>4721</v>
      </c>
      <c r="H1890" s="9">
        <v>0</v>
      </c>
      <c r="I1890" s="85">
        <f t="shared" si="2241"/>
        <v>0</v>
      </c>
      <c r="J1890" s="9">
        <f>ROUND(H1890+(H1890*Assumptions!I$5),-3)</f>
        <v>0</v>
      </c>
      <c r="K1890" s="9">
        <f>ROUND(J1890+(J1890*Assumptions!J$5),-3)</f>
        <v>0</v>
      </c>
      <c r="L1890" s="9">
        <f>ROUND(K1890+(K1890*Assumptions!K$5),-3)</f>
        <v>0</v>
      </c>
      <c r="M1890" s="9">
        <f>ROUND(L1890+(L1890*Assumptions!L$5),-3)</f>
        <v>0</v>
      </c>
      <c r="N1890" s="9">
        <f>ROUND(M1890+(M1890*Assumptions!M$5),-3)</f>
        <v>0</v>
      </c>
      <c r="O1890" s="9">
        <f>ROUND(N1890+(N1890*Assumptions!N$5),-3)</f>
        <v>0</v>
      </c>
      <c r="P1890" s="89">
        <f>ROUND(O1890+(O1890*Assumptions!O$5),-3)</f>
        <v>0</v>
      </c>
      <c r="Q1890" s="9">
        <f>ROUND(P1890+(P1890*Assumptions!P$5),-3)</f>
        <v>0</v>
      </c>
      <c r="R1890" s="9">
        <f>ROUND(Q1890+(Q1890*Assumptions!Q$5),-3)</f>
        <v>0</v>
      </c>
      <c r="S1890" s="47">
        <f>ROUND(R1890+(R1890*Assumptions!R$5),-3)</f>
        <v>0</v>
      </c>
    </row>
    <row r="1891" spans="1:19" x14ac:dyDescent="0.2">
      <c r="A1891" s="54">
        <v>1000</v>
      </c>
      <c r="B1891" s="79">
        <v>300</v>
      </c>
      <c r="C1891" s="136">
        <v>800</v>
      </c>
      <c r="D1891" s="134">
        <v>1000</v>
      </c>
      <c r="E1891" s="1442">
        <v>100</v>
      </c>
      <c r="F1891" s="469" t="s">
        <v>1285</v>
      </c>
      <c r="G1891" s="385" t="s">
        <v>197</v>
      </c>
      <c r="H1891" s="9">
        <v>0</v>
      </c>
      <c r="I1891" s="85">
        <f t="shared" si="2241"/>
        <v>-100</v>
      </c>
      <c r="J1891" s="9">
        <f>ROUND(H1891+(H1891*Assumptions!I$5),-3)</f>
        <v>0</v>
      </c>
      <c r="K1891" s="9">
        <f>ROUND(J1891+(J1891*Assumptions!J$5),-3)</f>
        <v>0</v>
      </c>
      <c r="L1891" s="9">
        <f>ROUND(K1891+(K1891*Assumptions!K$5),-3)</f>
        <v>0</v>
      </c>
      <c r="M1891" s="9">
        <f>ROUND(L1891+(L1891*Assumptions!L$5),-3)</f>
        <v>0</v>
      </c>
      <c r="N1891" s="9">
        <f>ROUND(M1891+(M1891*Assumptions!M$5),-3)</f>
        <v>0</v>
      </c>
      <c r="O1891" s="9">
        <f>ROUND(N1891+(N1891*Assumptions!N$5),-3)</f>
        <v>0</v>
      </c>
      <c r="P1891" s="89">
        <f>ROUND(O1891+(O1891*Assumptions!O$5),-3)</f>
        <v>0</v>
      </c>
      <c r="Q1891" s="9">
        <f>ROUND(P1891+(P1891*Assumptions!P$5),-3)</f>
        <v>0</v>
      </c>
      <c r="R1891" s="9">
        <f>ROUND(Q1891+(Q1891*Assumptions!Q$5),-3)</f>
        <v>0</v>
      </c>
      <c r="S1891" s="47">
        <f>ROUND(R1891+(R1891*Assumptions!R$5),-3)</f>
        <v>0</v>
      </c>
    </row>
    <row r="1892" spans="1:19" x14ac:dyDescent="0.2">
      <c r="A1892" s="45"/>
      <c r="B1892" s="9"/>
      <c r="C1892" s="134"/>
      <c r="D1892" s="134"/>
      <c r="E1892" s="1442"/>
      <c r="F1892" s="167"/>
      <c r="G1892" s="385"/>
      <c r="H1892" s="9"/>
      <c r="I1892" s="85"/>
      <c r="J1892" s="9"/>
      <c r="K1892" s="9"/>
      <c r="L1892" s="9"/>
      <c r="M1892" s="9"/>
      <c r="N1892" s="9"/>
      <c r="O1892" s="9"/>
      <c r="P1892" s="89"/>
      <c r="Q1892" s="9"/>
      <c r="R1892" s="9"/>
      <c r="S1892" s="47"/>
    </row>
    <row r="1893" spans="1:19" x14ac:dyDescent="0.2">
      <c r="A1893" s="54"/>
      <c r="B1893" s="9"/>
      <c r="D1893" s="134"/>
      <c r="E1893" s="1442"/>
      <c r="F1893" s="2065"/>
      <c r="G1893" s="419" t="s">
        <v>457</v>
      </c>
      <c r="H1893" s="9"/>
      <c r="I1893" s="85"/>
      <c r="J1893" s="9"/>
      <c r="K1893" s="9"/>
      <c r="L1893" s="9"/>
      <c r="M1893" s="9"/>
      <c r="N1893" s="9"/>
      <c r="O1893" s="9"/>
      <c r="P1893" s="89"/>
      <c r="Q1893" s="9"/>
      <c r="R1893" s="9"/>
      <c r="S1893" s="47"/>
    </row>
    <row r="1894" spans="1:19" x14ac:dyDescent="0.2">
      <c r="A1894" s="54">
        <v>2400</v>
      </c>
      <c r="B1894" s="9">
        <v>3000</v>
      </c>
      <c r="C1894" s="136">
        <v>15200</v>
      </c>
      <c r="D1894" s="134">
        <v>47700</v>
      </c>
      <c r="E1894" s="1442">
        <v>14400</v>
      </c>
      <c r="F1894" s="922" t="s">
        <v>6610</v>
      </c>
      <c r="G1894" s="661" t="s">
        <v>4528</v>
      </c>
      <c r="H1894" s="9">
        <v>15000</v>
      </c>
      <c r="I1894" s="85">
        <f t="shared" ref="I1894:I1914" si="2242">IF(E1894=H1894,0,IF(E1894=0,100,(H1894-E1894)/E1894*100))</f>
        <v>4.1666666666666661</v>
      </c>
      <c r="J1894" s="9">
        <f>ROUND(H1894+(H1894*Assumptions!I$5),-3)</f>
        <v>15000</v>
      </c>
      <c r="K1894" s="9">
        <f>ROUND(J1894+(J1894*Assumptions!J$5),-3)</f>
        <v>15000</v>
      </c>
      <c r="L1894" s="9">
        <f>ROUND(K1894+(K1894*Assumptions!K$5),-3)</f>
        <v>15000</v>
      </c>
      <c r="M1894" s="9">
        <f>ROUND(L1894+(L1894*Assumptions!L$5),-3)</f>
        <v>15000</v>
      </c>
      <c r="N1894" s="9">
        <f>ROUND(M1894+(M1894*Assumptions!M$5),-3)</f>
        <v>15000</v>
      </c>
      <c r="O1894" s="9">
        <f>ROUND(N1894+(N1894*Assumptions!N$5),-3)</f>
        <v>15000</v>
      </c>
      <c r="P1894" s="89">
        <f>ROUND(O1894+(O1894*Assumptions!O$5),-3)</f>
        <v>15000</v>
      </c>
      <c r="Q1894" s="9">
        <f>ROUND(P1894+(P1894*Assumptions!P$5),-3)</f>
        <v>15000</v>
      </c>
      <c r="R1894" s="9">
        <f>ROUND(Q1894+(Q1894*Assumptions!Q$5),-3)</f>
        <v>15000</v>
      </c>
      <c r="S1894" s="47">
        <f>ROUND(R1894+(R1894*Assumptions!R$5),-3)</f>
        <v>15000</v>
      </c>
    </row>
    <row r="1895" spans="1:19" x14ac:dyDescent="0.2">
      <c r="A1895" s="54">
        <v>0</v>
      </c>
      <c r="B1895" s="9">
        <v>0</v>
      </c>
      <c r="C1895" s="136">
        <v>3900</v>
      </c>
      <c r="D1895" s="134">
        <v>13000</v>
      </c>
      <c r="E1895" s="1442">
        <v>400</v>
      </c>
      <c r="F1895" s="922" t="s">
        <v>6611</v>
      </c>
      <c r="G1895" s="661" t="s">
        <v>4529</v>
      </c>
      <c r="H1895" s="9">
        <v>21000</v>
      </c>
      <c r="I1895" s="85">
        <f t="shared" si="2242"/>
        <v>5150</v>
      </c>
      <c r="J1895" s="9">
        <f>ROUND(H1895+(H1895*Assumptions!I$5),-3)</f>
        <v>21000</v>
      </c>
      <c r="K1895" s="9">
        <f>ROUND(J1895+(J1895*Assumptions!J$5),-3)</f>
        <v>22000</v>
      </c>
      <c r="L1895" s="9">
        <f>ROUND(K1895+(K1895*Assumptions!K$5),-3)</f>
        <v>23000</v>
      </c>
      <c r="M1895" s="9">
        <f>ROUND(L1895+(L1895*Assumptions!L$5),-3)</f>
        <v>24000</v>
      </c>
      <c r="N1895" s="9">
        <f>ROUND(M1895+(M1895*Assumptions!M$5),-3)</f>
        <v>25000</v>
      </c>
      <c r="O1895" s="9">
        <f>ROUND(N1895+(N1895*Assumptions!N$5),-3)</f>
        <v>26000</v>
      </c>
      <c r="P1895" s="89">
        <f>ROUND(O1895+(O1895*Assumptions!O$5),-3)</f>
        <v>27000</v>
      </c>
      <c r="Q1895" s="9">
        <f>ROUND(P1895+(P1895*Assumptions!P$5),-3)</f>
        <v>28000</v>
      </c>
      <c r="R1895" s="9">
        <f>ROUND(Q1895+(Q1895*Assumptions!Q$5),-3)</f>
        <v>29000</v>
      </c>
      <c r="S1895" s="47">
        <f>ROUND(R1895+(R1895*Assumptions!R$5),-3)</f>
        <v>30000</v>
      </c>
    </row>
    <row r="1896" spans="1:19" x14ac:dyDescent="0.2">
      <c r="A1896" s="54">
        <v>0</v>
      </c>
      <c r="B1896" s="9">
        <v>0</v>
      </c>
      <c r="C1896" s="136">
        <v>0</v>
      </c>
      <c r="D1896" s="134">
        <v>500</v>
      </c>
      <c r="E1896" s="1442">
        <v>4800</v>
      </c>
      <c r="F1896" s="922" t="s">
        <v>5823</v>
      </c>
      <c r="G1896" s="661" t="s">
        <v>5824</v>
      </c>
      <c r="H1896" s="9">
        <v>4000</v>
      </c>
      <c r="I1896" s="85">
        <f t="shared" si="2242"/>
        <v>-16.666666666666664</v>
      </c>
      <c r="J1896" s="9">
        <f>ROUND(H1896+(H1896*Assumptions!I$5),-3)</f>
        <v>4000</v>
      </c>
      <c r="K1896" s="9">
        <f>ROUND(J1896+(J1896*Assumptions!J$5),-3)</f>
        <v>4000</v>
      </c>
      <c r="L1896" s="9">
        <f>ROUND(K1896+(K1896*Assumptions!K$5),-3)</f>
        <v>4000</v>
      </c>
      <c r="M1896" s="9">
        <f>ROUND(L1896+(L1896*Assumptions!L$5),-3)</f>
        <v>4000</v>
      </c>
      <c r="N1896" s="9">
        <f>ROUND(M1896+(M1896*Assumptions!M$5),-3)</f>
        <v>4000</v>
      </c>
      <c r="O1896" s="9">
        <f>ROUND(N1896+(N1896*Assumptions!N$5),-3)</f>
        <v>4000</v>
      </c>
      <c r="P1896" s="89">
        <f>ROUND(O1896+(O1896*Assumptions!O$5),-3)</f>
        <v>4000</v>
      </c>
      <c r="Q1896" s="9">
        <f>ROUND(P1896+(P1896*Assumptions!P$5),-3)</f>
        <v>4000</v>
      </c>
      <c r="R1896" s="9">
        <f>ROUND(Q1896+(Q1896*Assumptions!Q$5),-3)</f>
        <v>4000</v>
      </c>
      <c r="S1896" s="47">
        <f>ROUND(R1896+(R1896*Assumptions!R$5),-3)</f>
        <v>4000</v>
      </c>
    </row>
    <row r="1897" spans="1:19" x14ac:dyDescent="0.2">
      <c r="A1897" s="54">
        <v>0</v>
      </c>
      <c r="B1897" s="9">
        <v>0</v>
      </c>
      <c r="C1897" s="136">
        <v>0</v>
      </c>
      <c r="D1897" s="136">
        <v>0</v>
      </c>
      <c r="E1897" s="144">
        <v>112900</v>
      </c>
      <c r="F1897" s="922" t="s">
        <v>5784</v>
      </c>
      <c r="G1897" s="661" t="s">
        <v>5785</v>
      </c>
      <c r="H1897" s="9">
        <v>0</v>
      </c>
      <c r="I1897" s="85">
        <f t="shared" si="2242"/>
        <v>-100</v>
      </c>
      <c r="J1897" s="9">
        <f>ROUND(H1897+(H1897*Assumptions!I$5),-3)</f>
        <v>0</v>
      </c>
      <c r="K1897" s="9">
        <f>ROUND(J1897+(J1897*Assumptions!J$5),-3)</f>
        <v>0</v>
      </c>
      <c r="L1897" s="9">
        <f>ROUND(K1897+(K1897*Assumptions!K$5),-3)</f>
        <v>0</v>
      </c>
      <c r="M1897" s="9">
        <f>ROUND(L1897+(L1897*Assumptions!L$5),-3)</f>
        <v>0</v>
      </c>
      <c r="N1897" s="9">
        <f>ROUND(M1897+(M1897*Assumptions!M$5),-3)</f>
        <v>0</v>
      </c>
      <c r="O1897" s="9">
        <f>ROUND(N1897+(N1897*Assumptions!N$5),-3)</f>
        <v>0</v>
      </c>
      <c r="P1897" s="89">
        <f>ROUND(O1897+(O1897*Assumptions!O$5),-3)</f>
        <v>0</v>
      </c>
      <c r="Q1897" s="9">
        <f>ROUND(P1897+(P1897*Assumptions!P$5),-3)</f>
        <v>0</v>
      </c>
      <c r="R1897" s="9">
        <f>ROUND(Q1897+(Q1897*Assumptions!Q$5),-3)</f>
        <v>0</v>
      </c>
      <c r="S1897" s="47">
        <f>ROUND(R1897+(R1897*Assumptions!R$5),-3)</f>
        <v>0</v>
      </c>
    </row>
    <row r="1898" spans="1:19" x14ac:dyDescent="0.2">
      <c r="A1898" s="54">
        <v>2900</v>
      </c>
      <c r="B1898" s="79">
        <v>0</v>
      </c>
      <c r="C1898" s="136">
        <v>1200</v>
      </c>
      <c r="D1898" s="136">
        <v>800</v>
      </c>
      <c r="E1898" s="144">
        <v>0</v>
      </c>
      <c r="F1898" s="469" t="s">
        <v>945</v>
      </c>
      <c r="G1898" s="385" t="s">
        <v>990</v>
      </c>
      <c r="H1898" s="9">
        <v>1000</v>
      </c>
      <c r="I1898" s="85">
        <f t="shared" si="2242"/>
        <v>100</v>
      </c>
      <c r="J1898" s="9">
        <f>ROUND(H1898+(H1898*Assumptions!I$5),-3)</f>
        <v>1000</v>
      </c>
      <c r="K1898" s="9">
        <f>ROUND(J1898+(J1898*Assumptions!J$5),-3)</f>
        <v>1000</v>
      </c>
      <c r="L1898" s="9">
        <f>ROUND(K1898+(K1898*Assumptions!K$5),-3)</f>
        <v>1000</v>
      </c>
      <c r="M1898" s="9">
        <f>ROUND(L1898+(L1898*Assumptions!L$5),-3)</f>
        <v>1000</v>
      </c>
      <c r="N1898" s="9">
        <f>ROUND(M1898+(M1898*Assumptions!M$5),-3)</f>
        <v>1000</v>
      </c>
      <c r="O1898" s="9">
        <f>ROUND(N1898+(N1898*Assumptions!N$5),-3)</f>
        <v>1000</v>
      </c>
      <c r="P1898" s="89">
        <f>ROUND(O1898+(O1898*Assumptions!O$5),-3)</f>
        <v>1000</v>
      </c>
      <c r="Q1898" s="9">
        <f>ROUND(P1898+(P1898*Assumptions!P$5),-3)</f>
        <v>1000</v>
      </c>
      <c r="R1898" s="9">
        <f>ROUND(Q1898+(Q1898*Assumptions!Q$5),-3)</f>
        <v>1000</v>
      </c>
      <c r="S1898" s="47">
        <f>ROUND(R1898+(R1898*Assumptions!R$5),-3)</f>
        <v>1000</v>
      </c>
    </row>
    <row r="1899" spans="1:19" x14ac:dyDescent="0.2">
      <c r="A1899" s="54">
        <v>13200</v>
      </c>
      <c r="B1899" s="79">
        <v>7800</v>
      </c>
      <c r="C1899" s="136">
        <v>10100</v>
      </c>
      <c r="D1899" s="136">
        <v>7900</v>
      </c>
      <c r="E1899" s="144">
        <v>4900</v>
      </c>
      <c r="F1899" s="469" t="s">
        <v>946</v>
      </c>
      <c r="G1899" s="385" t="s">
        <v>2833</v>
      </c>
      <c r="H1899" s="9">
        <v>10000</v>
      </c>
      <c r="I1899" s="85">
        <f t="shared" si="2242"/>
        <v>104.08163265306123</v>
      </c>
      <c r="J1899" s="9">
        <f>ROUND(H1899+(H1899*Assumptions!I$5),-3)</f>
        <v>10000</v>
      </c>
      <c r="K1899" s="9">
        <f>ROUND(J1899+(J1899*Assumptions!J$5),-3)</f>
        <v>10000</v>
      </c>
      <c r="L1899" s="9">
        <f>ROUND(K1899+(K1899*Assumptions!K$5),-3)</f>
        <v>10000</v>
      </c>
      <c r="M1899" s="9">
        <f>ROUND(L1899+(L1899*Assumptions!L$5),-3)</f>
        <v>10000</v>
      </c>
      <c r="N1899" s="9">
        <f>ROUND(M1899+(M1899*Assumptions!M$5),-3)</f>
        <v>10000</v>
      </c>
      <c r="O1899" s="9">
        <f>ROUND(N1899+(N1899*Assumptions!N$5),-3)</f>
        <v>10000</v>
      </c>
      <c r="P1899" s="89">
        <f>ROUND(O1899+(O1899*Assumptions!O$5),-3)</f>
        <v>10000</v>
      </c>
      <c r="Q1899" s="9">
        <f>ROUND(P1899+(P1899*Assumptions!P$5),-3)</f>
        <v>10000</v>
      </c>
      <c r="R1899" s="9">
        <f>ROUND(Q1899+(Q1899*Assumptions!Q$5),-3)</f>
        <v>10000</v>
      </c>
      <c r="S1899" s="47">
        <f>ROUND(R1899+(R1899*Assumptions!R$5),-3)</f>
        <v>10000</v>
      </c>
    </row>
    <row r="1900" spans="1:19" x14ac:dyDescent="0.2">
      <c r="A1900" s="54">
        <v>57600</v>
      </c>
      <c r="B1900" s="79">
        <v>15000</v>
      </c>
      <c r="C1900" s="136">
        <v>11500</v>
      </c>
      <c r="D1900" s="136">
        <v>12800</v>
      </c>
      <c r="E1900" s="144">
        <v>10000</v>
      </c>
      <c r="F1900" s="469" t="s">
        <v>2258</v>
      </c>
      <c r="G1900" s="385" t="s">
        <v>1433</v>
      </c>
      <c r="H1900" s="9">
        <v>15000</v>
      </c>
      <c r="I1900" s="85">
        <f t="shared" si="2242"/>
        <v>50</v>
      </c>
      <c r="J1900" s="134">
        <f>ROUND(H1900+(H1900*Assumptions!I$5),-3)</f>
        <v>15000</v>
      </c>
      <c r="K1900" s="134">
        <f>ROUND(J1900+(J1900*Assumptions!J$5),-3)</f>
        <v>15000</v>
      </c>
      <c r="L1900" s="134">
        <f>ROUND(K1900+(K1900*Assumptions!K$5),-3)</f>
        <v>15000</v>
      </c>
      <c r="M1900" s="9">
        <f>ROUND(L1900+(L1900*Assumptions!L$5),-3)</f>
        <v>15000</v>
      </c>
      <c r="N1900" s="134">
        <f>ROUND(M1900+(M1900*Assumptions!M$5),-3)</f>
        <v>15000</v>
      </c>
      <c r="O1900" s="134">
        <f>ROUND(N1900+(N1900*Assumptions!N$5),-3)</f>
        <v>15000</v>
      </c>
      <c r="P1900" s="136">
        <f>ROUND(O1900+(O1900*Assumptions!O$5),-3)</f>
        <v>15000</v>
      </c>
      <c r="Q1900" s="134">
        <f>ROUND(P1900+(P1900*Assumptions!P$5),-3)</f>
        <v>15000</v>
      </c>
      <c r="R1900" s="134">
        <f>ROUND(Q1900+(Q1900*Assumptions!Q$5),-3)</f>
        <v>15000</v>
      </c>
      <c r="S1900" s="2359">
        <f>ROUND(R1900+(R1900*Assumptions!R$5),-3)</f>
        <v>15000</v>
      </c>
    </row>
    <row r="1901" spans="1:19" x14ac:dyDescent="0.2">
      <c r="A1901" s="54">
        <v>1065200</v>
      </c>
      <c r="B1901" s="79">
        <v>162800</v>
      </c>
      <c r="C1901" s="136">
        <v>26700</v>
      </c>
      <c r="D1901" s="136">
        <v>17100</v>
      </c>
      <c r="E1901" s="144">
        <v>15700</v>
      </c>
      <c r="F1901" s="469" t="s">
        <v>569</v>
      </c>
      <c r="G1901" s="385" t="s">
        <v>1265</v>
      </c>
      <c r="H1901" s="9">
        <f>54000-30000</f>
        <v>24000</v>
      </c>
      <c r="I1901" s="85">
        <f t="shared" si="2242"/>
        <v>52.866242038216562</v>
      </c>
      <c r="J1901" s="9">
        <f>ROUND(H1901+(H1901*Assumptions!I$5),-3)</f>
        <v>25000</v>
      </c>
      <c r="K1901" s="9">
        <f>ROUND(J1901+(J1901*Assumptions!J$5),-3)</f>
        <v>26000</v>
      </c>
      <c r="L1901" s="9">
        <f>ROUND(K1901+(K1901*Assumptions!K$5),-3)</f>
        <v>27000</v>
      </c>
      <c r="M1901" s="9">
        <f>ROUND(L1901+(L1901*Assumptions!L$5),-3)</f>
        <v>28000</v>
      </c>
      <c r="N1901" s="9">
        <f>ROUND(M1901+(M1901*Assumptions!M$5),-3)</f>
        <v>29000</v>
      </c>
      <c r="O1901" s="9">
        <f>ROUND(N1901+(N1901*Assumptions!N$5),-3)</f>
        <v>30000</v>
      </c>
      <c r="P1901" s="89">
        <f>ROUND(O1901+(O1901*Assumptions!O$5),-3)</f>
        <v>31000</v>
      </c>
      <c r="Q1901" s="9">
        <f>ROUND(P1901+(P1901*Assumptions!P$5),-3)</f>
        <v>32000</v>
      </c>
      <c r="R1901" s="9">
        <f>ROUND(Q1901+(Q1901*Assumptions!Q$5),-3)</f>
        <v>33000</v>
      </c>
      <c r="S1901" s="47">
        <f>ROUND(R1901+(R1901*Assumptions!R$5),-3)</f>
        <v>34000</v>
      </c>
    </row>
    <row r="1902" spans="1:19" x14ac:dyDescent="0.2">
      <c r="A1902" s="54">
        <v>119300</v>
      </c>
      <c r="B1902" s="79">
        <v>95500</v>
      </c>
      <c r="C1902" s="136">
        <v>129600</v>
      </c>
      <c r="D1902" s="136">
        <v>106100</v>
      </c>
      <c r="E1902" s="144">
        <v>113800</v>
      </c>
      <c r="F1902" s="469" t="s">
        <v>332</v>
      </c>
      <c r="G1902" s="385" t="s">
        <v>530</v>
      </c>
      <c r="H1902" s="9">
        <f>149000-20000</f>
        <v>129000</v>
      </c>
      <c r="I1902" s="85">
        <f t="shared" si="2242"/>
        <v>13.356766256590511</v>
      </c>
      <c r="J1902" s="9">
        <f>ROUND(H1902+(H1902*Assumptions!I$5),-3)</f>
        <v>132000</v>
      </c>
      <c r="K1902" s="9">
        <f>ROUND(J1902+(J1902*Assumptions!J$5),-3)</f>
        <v>135000</v>
      </c>
      <c r="L1902" s="9">
        <f>ROUND(K1902+(K1902*Assumptions!K$5),-3)</f>
        <v>138000</v>
      </c>
      <c r="M1902" s="9">
        <f>ROUND(L1902+(L1902*Assumptions!L$5),-3)</f>
        <v>141000</v>
      </c>
      <c r="N1902" s="9">
        <f>ROUND(M1902+(M1902*Assumptions!M$5),-3)</f>
        <v>145000</v>
      </c>
      <c r="O1902" s="9">
        <f>ROUND(N1902+(N1902*Assumptions!N$5),-3)</f>
        <v>149000</v>
      </c>
      <c r="P1902" s="89">
        <f>ROUND(O1902+(O1902*Assumptions!O$5),-3)</f>
        <v>153000</v>
      </c>
      <c r="Q1902" s="9">
        <f>ROUND(P1902+(P1902*Assumptions!P$5),-3)</f>
        <v>157000</v>
      </c>
      <c r="R1902" s="9">
        <f>ROUND(Q1902+(Q1902*Assumptions!Q$5),-3)</f>
        <v>161000</v>
      </c>
      <c r="S1902" s="47">
        <f>ROUND(R1902+(R1902*Assumptions!R$5),-3)</f>
        <v>165000</v>
      </c>
    </row>
    <row r="1903" spans="1:19" x14ac:dyDescent="0.2">
      <c r="A1903" s="54">
        <v>5700</v>
      </c>
      <c r="B1903" s="79">
        <v>19000</v>
      </c>
      <c r="C1903" s="136">
        <v>18900</v>
      </c>
      <c r="D1903" s="136">
        <v>29200</v>
      </c>
      <c r="E1903" s="144">
        <v>20800</v>
      </c>
      <c r="F1903" s="469" t="s">
        <v>333</v>
      </c>
      <c r="G1903" s="385" t="s">
        <v>111</v>
      </c>
      <c r="H1903" s="9">
        <f>32000-10000</f>
        <v>22000</v>
      </c>
      <c r="I1903" s="85">
        <f t="shared" si="2242"/>
        <v>5.7692307692307692</v>
      </c>
      <c r="J1903" s="9">
        <f>ROUND(H1903+(H1903*Assumptions!I$5),-3)</f>
        <v>23000</v>
      </c>
      <c r="K1903" s="9">
        <f>ROUND(J1903+(J1903*Assumptions!J$5),-3)</f>
        <v>24000</v>
      </c>
      <c r="L1903" s="9">
        <f>ROUND(K1903+(K1903*Assumptions!K$5),-3)</f>
        <v>25000</v>
      </c>
      <c r="M1903" s="9">
        <f>ROUND(L1903+(L1903*Assumptions!L$5),-3)</f>
        <v>26000</v>
      </c>
      <c r="N1903" s="9">
        <f>ROUND(M1903+(M1903*Assumptions!M$5),-3)</f>
        <v>27000</v>
      </c>
      <c r="O1903" s="9">
        <f>ROUND(N1903+(N1903*Assumptions!N$5),-3)</f>
        <v>28000</v>
      </c>
      <c r="P1903" s="89">
        <f>ROUND(O1903+(O1903*Assumptions!O$5),-3)</f>
        <v>29000</v>
      </c>
      <c r="Q1903" s="9">
        <f>ROUND(P1903+(P1903*Assumptions!P$5),-3)</f>
        <v>30000</v>
      </c>
      <c r="R1903" s="9">
        <f>ROUND(Q1903+(Q1903*Assumptions!Q$5),-3)</f>
        <v>31000</v>
      </c>
      <c r="S1903" s="47">
        <f>ROUND(R1903+(R1903*Assumptions!R$5),-3)</f>
        <v>32000</v>
      </c>
    </row>
    <row r="1904" spans="1:19" x14ac:dyDescent="0.2">
      <c r="A1904" s="54">
        <v>5500</v>
      </c>
      <c r="B1904" s="79">
        <v>19400</v>
      </c>
      <c r="C1904" s="136">
        <v>3400</v>
      </c>
      <c r="D1904" s="136">
        <v>4000</v>
      </c>
      <c r="E1904" s="144">
        <v>1000</v>
      </c>
      <c r="F1904" s="469" t="s">
        <v>2600</v>
      </c>
      <c r="G1904" s="385" t="s">
        <v>636</v>
      </c>
      <c r="H1904" s="9">
        <f>10000-5000</f>
        <v>5000</v>
      </c>
      <c r="I1904" s="85">
        <f t="shared" si="2242"/>
        <v>400</v>
      </c>
      <c r="J1904" s="9">
        <f>ROUND(H1904+(H1904*Assumptions!I$5),-3)</f>
        <v>5000</v>
      </c>
      <c r="K1904" s="9">
        <f>ROUND(J1904+(J1904*Assumptions!J$5),-3)</f>
        <v>5000</v>
      </c>
      <c r="L1904" s="9">
        <f>ROUND(K1904+(K1904*Assumptions!K$5),-3)</f>
        <v>5000</v>
      </c>
      <c r="M1904" s="9">
        <f>ROUND(L1904+(L1904*Assumptions!L$5),-3)</f>
        <v>5000</v>
      </c>
      <c r="N1904" s="9">
        <f>ROUND(M1904+(M1904*Assumptions!M$5),-3)</f>
        <v>5000</v>
      </c>
      <c r="O1904" s="9">
        <f>ROUND(N1904+(N1904*Assumptions!N$5),-3)</f>
        <v>5000</v>
      </c>
      <c r="P1904" s="89">
        <f>ROUND(O1904+(O1904*Assumptions!O$5),-3)</f>
        <v>5000</v>
      </c>
      <c r="Q1904" s="9">
        <f>ROUND(P1904+(P1904*Assumptions!P$5),-3)</f>
        <v>5000</v>
      </c>
      <c r="R1904" s="9">
        <f>ROUND(Q1904+(Q1904*Assumptions!Q$5),-3)</f>
        <v>5000</v>
      </c>
      <c r="S1904" s="47">
        <f>ROUND(R1904+(R1904*Assumptions!R$5),-3)</f>
        <v>5000</v>
      </c>
    </row>
    <row r="1905" spans="1:21" x14ac:dyDescent="0.2">
      <c r="A1905" s="54">
        <v>3500</v>
      </c>
      <c r="B1905" s="79">
        <v>16500</v>
      </c>
      <c r="C1905" s="136">
        <v>10800</v>
      </c>
      <c r="D1905" s="136">
        <v>21000</v>
      </c>
      <c r="E1905" s="144">
        <v>600</v>
      </c>
      <c r="F1905" s="469" t="s">
        <v>2601</v>
      </c>
      <c r="G1905" s="385" t="s">
        <v>1981</v>
      </c>
      <c r="H1905" s="9">
        <f>23000-15000</f>
        <v>8000</v>
      </c>
      <c r="I1905" s="85">
        <f t="shared" si="2242"/>
        <v>1233.3333333333335</v>
      </c>
      <c r="J1905" s="9">
        <f>ROUND(H1905+(H1905*Assumptions!I$5),-3)</f>
        <v>8000</v>
      </c>
      <c r="K1905" s="9">
        <f>ROUND(J1905+(J1905*Assumptions!J$5),-3)</f>
        <v>8000</v>
      </c>
      <c r="L1905" s="9">
        <f>ROUND(K1905+(K1905*Assumptions!K$5),-3)</f>
        <v>8000</v>
      </c>
      <c r="M1905" s="9">
        <f>ROUND(L1905+(L1905*Assumptions!L$5),-3)</f>
        <v>8000</v>
      </c>
      <c r="N1905" s="9">
        <f>ROUND(M1905+(M1905*Assumptions!M$5),-3)</f>
        <v>8000</v>
      </c>
      <c r="O1905" s="9">
        <f>ROUND(N1905+(N1905*Assumptions!N$5),-3)</f>
        <v>8000</v>
      </c>
      <c r="P1905" s="89">
        <f>ROUND(O1905+(O1905*Assumptions!O$5),-3)</f>
        <v>8000</v>
      </c>
      <c r="Q1905" s="9">
        <f>ROUND(P1905+(P1905*Assumptions!P$5),-3)</f>
        <v>8000</v>
      </c>
      <c r="R1905" s="9">
        <f>ROUND(Q1905+(Q1905*Assumptions!Q$5),-3)</f>
        <v>8000</v>
      </c>
      <c r="S1905" s="47">
        <f>ROUND(R1905+(R1905*Assumptions!R$5),-3)</f>
        <v>8000</v>
      </c>
    </row>
    <row r="1906" spans="1:21" x14ac:dyDescent="0.2">
      <c r="A1906" s="54">
        <v>5900</v>
      </c>
      <c r="B1906" s="79">
        <v>48600</v>
      </c>
      <c r="C1906" s="136">
        <v>36900</v>
      </c>
      <c r="D1906" s="136">
        <f>27100-2600</f>
        <v>24500</v>
      </c>
      <c r="E1906" s="144">
        <v>35500</v>
      </c>
      <c r="F1906" s="469" t="s">
        <v>2602</v>
      </c>
      <c r="G1906" s="661" t="s">
        <v>4513</v>
      </c>
      <c r="H1906" s="9">
        <v>51000</v>
      </c>
      <c r="I1906" s="85">
        <f t="shared" si="2242"/>
        <v>43.661971830985912</v>
      </c>
      <c r="J1906" s="9">
        <f>ROUND(H1906+(H1906*Assumptions!I$5),-3)</f>
        <v>52000</v>
      </c>
      <c r="K1906" s="9">
        <f>ROUND(J1906+(J1906*Assumptions!J$5),-3)</f>
        <v>53000</v>
      </c>
      <c r="L1906" s="9">
        <f>ROUND(K1906+(K1906*Assumptions!K$5),-3)</f>
        <v>54000</v>
      </c>
      <c r="M1906" s="9">
        <f>ROUND(L1906+(L1906*Assumptions!L$5),-3)</f>
        <v>55000</v>
      </c>
      <c r="N1906" s="9">
        <f>ROUND(M1906+(M1906*Assumptions!M$5),-3)</f>
        <v>56000</v>
      </c>
      <c r="O1906" s="9">
        <f>ROUND(N1906+(N1906*Assumptions!N$5),-3)</f>
        <v>57000</v>
      </c>
      <c r="P1906" s="89">
        <f>ROUND(O1906+(O1906*Assumptions!O$5),-3)</f>
        <v>58000</v>
      </c>
      <c r="Q1906" s="9">
        <f>ROUND(P1906+(P1906*Assumptions!P$5),-3)</f>
        <v>59000</v>
      </c>
      <c r="R1906" s="9">
        <f>ROUND(Q1906+(Q1906*Assumptions!Q$5),-3)</f>
        <v>60000</v>
      </c>
      <c r="S1906" s="47">
        <f>ROUND(R1906+(R1906*Assumptions!R$5),-3)</f>
        <v>62000</v>
      </c>
    </row>
    <row r="1907" spans="1:21" x14ac:dyDescent="0.2">
      <c r="A1907" s="54">
        <v>0</v>
      </c>
      <c r="B1907" s="79">
        <v>2600</v>
      </c>
      <c r="C1907" s="136">
        <v>100</v>
      </c>
      <c r="D1907" s="136">
        <f>100+2600</f>
        <v>2700</v>
      </c>
      <c r="E1907" s="144">
        <v>0</v>
      </c>
      <c r="F1907" s="469" t="s">
        <v>2603</v>
      </c>
      <c r="G1907" s="385" t="s">
        <v>2183</v>
      </c>
      <c r="H1907" s="9">
        <v>5000</v>
      </c>
      <c r="I1907" s="85">
        <f t="shared" si="2242"/>
        <v>100</v>
      </c>
      <c r="J1907" s="9">
        <f>ROUND(H1907+(H1907*Assumptions!I$5),-3)</f>
        <v>5000</v>
      </c>
      <c r="K1907" s="9">
        <f>ROUND(J1907+(J1907*Assumptions!J$5),-3)</f>
        <v>5000</v>
      </c>
      <c r="L1907" s="9">
        <f>ROUND(K1907+(K1907*Assumptions!K$5),-3)</f>
        <v>5000</v>
      </c>
      <c r="M1907" s="9">
        <f>ROUND(L1907+(L1907*Assumptions!L$5),-3)</f>
        <v>5000</v>
      </c>
      <c r="N1907" s="9">
        <f>ROUND(M1907+(M1907*Assumptions!M$5),-3)</f>
        <v>5000</v>
      </c>
      <c r="O1907" s="9">
        <f>ROUND(N1907+(N1907*Assumptions!N$5),-3)</f>
        <v>5000</v>
      </c>
      <c r="P1907" s="89">
        <f>ROUND(O1907+(O1907*Assumptions!O$5),-3)</f>
        <v>5000</v>
      </c>
      <c r="Q1907" s="9">
        <f>ROUND(P1907+(P1907*Assumptions!P$5),-3)</f>
        <v>5000</v>
      </c>
      <c r="R1907" s="9">
        <f>ROUND(Q1907+(Q1907*Assumptions!Q$5),-3)</f>
        <v>5000</v>
      </c>
      <c r="S1907" s="47">
        <f>ROUND(R1907+(R1907*Assumptions!R$5),-3)</f>
        <v>5000</v>
      </c>
    </row>
    <row r="1908" spans="1:21" x14ac:dyDescent="0.2">
      <c r="A1908" s="54">
        <v>34900</v>
      </c>
      <c r="B1908" s="79">
        <v>22400</v>
      </c>
      <c r="C1908" s="136">
        <v>2600</v>
      </c>
      <c r="D1908" s="136">
        <v>7500</v>
      </c>
      <c r="E1908" s="144">
        <v>12200</v>
      </c>
      <c r="F1908" s="469" t="s">
        <v>2604</v>
      </c>
      <c r="G1908" s="385" t="s">
        <v>1837</v>
      </c>
      <c r="H1908" s="9">
        <v>13000</v>
      </c>
      <c r="I1908" s="85">
        <f t="shared" si="2242"/>
        <v>6.557377049180328</v>
      </c>
      <c r="J1908" s="9">
        <f>ROUND(H1908+(H1908*Assumptions!I$5),-3)</f>
        <v>13000</v>
      </c>
      <c r="K1908" s="9">
        <f>ROUND(J1908+(J1908*Assumptions!J$5),-3)</f>
        <v>13000</v>
      </c>
      <c r="L1908" s="9">
        <f>ROUND(K1908+(K1908*Assumptions!K$5),-3)</f>
        <v>13000</v>
      </c>
      <c r="M1908" s="9">
        <f>ROUND(L1908+(L1908*Assumptions!L$5),-3)</f>
        <v>13000</v>
      </c>
      <c r="N1908" s="9">
        <f>ROUND(M1908+(M1908*Assumptions!M$5),-3)</f>
        <v>13000</v>
      </c>
      <c r="O1908" s="9">
        <f>ROUND(N1908+(N1908*Assumptions!N$5),-3)</f>
        <v>13000</v>
      </c>
      <c r="P1908" s="89">
        <f>ROUND(O1908+(O1908*Assumptions!O$5),-3)</f>
        <v>13000</v>
      </c>
      <c r="Q1908" s="9">
        <f>ROUND(P1908+(P1908*Assumptions!P$5),-3)</f>
        <v>13000</v>
      </c>
      <c r="R1908" s="9">
        <f>ROUND(Q1908+(Q1908*Assumptions!Q$5),-3)</f>
        <v>13000</v>
      </c>
      <c r="S1908" s="47">
        <f>ROUND(R1908+(R1908*Assumptions!R$5),-3)</f>
        <v>13000</v>
      </c>
    </row>
    <row r="1909" spans="1:21" x14ac:dyDescent="0.2">
      <c r="A1909" s="54">
        <v>0</v>
      </c>
      <c r="B1909" s="79">
        <v>0</v>
      </c>
      <c r="C1909" s="136">
        <v>0</v>
      </c>
      <c r="D1909" s="136">
        <v>0</v>
      </c>
      <c r="E1909" s="1442">
        <v>400</v>
      </c>
      <c r="F1909" s="469" t="s">
        <v>1860</v>
      </c>
      <c r="G1909" s="661" t="s">
        <v>4514</v>
      </c>
      <c r="H1909" s="9">
        <v>0</v>
      </c>
      <c r="I1909" s="85">
        <f t="shared" si="2242"/>
        <v>-100</v>
      </c>
      <c r="J1909" s="9">
        <f>ROUND(H1909+(H1909*Assumptions!I$5),-3)</f>
        <v>0</v>
      </c>
      <c r="K1909" s="9">
        <f>ROUND(J1909+(J1909*Assumptions!J$5),-3)</f>
        <v>0</v>
      </c>
      <c r="L1909" s="9">
        <f>ROUND(K1909+(K1909*Assumptions!K$5),-3)</f>
        <v>0</v>
      </c>
      <c r="M1909" s="9">
        <f>ROUND(L1909+(L1909*Assumptions!L$5),-3)</f>
        <v>0</v>
      </c>
      <c r="N1909" s="9">
        <f>ROUND(M1909+(M1909*Assumptions!M$5),-3)</f>
        <v>0</v>
      </c>
      <c r="O1909" s="9">
        <f>ROUND(N1909+(N1909*Assumptions!N$5),-3)</f>
        <v>0</v>
      </c>
      <c r="P1909" s="89">
        <f>ROUND(O1909+(O1909*Assumptions!O$5),-3)</f>
        <v>0</v>
      </c>
      <c r="Q1909" s="9">
        <f>ROUND(P1909+(P1909*Assumptions!P$5),-3)</f>
        <v>0</v>
      </c>
      <c r="R1909" s="9">
        <f>ROUND(Q1909+(Q1909*Assumptions!Q$5),-3)</f>
        <v>0</v>
      </c>
      <c r="S1909" s="47">
        <f>ROUND(R1909+(R1909*Assumptions!R$5),-3)</f>
        <v>0</v>
      </c>
    </row>
    <row r="1910" spans="1:21" x14ac:dyDescent="0.2">
      <c r="A1910" s="54">
        <v>0</v>
      </c>
      <c r="B1910" s="79">
        <v>0</v>
      </c>
      <c r="C1910" s="136">
        <v>0</v>
      </c>
      <c r="D1910" s="136">
        <v>0</v>
      </c>
      <c r="E1910" s="144">
        <v>400</v>
      </c>
      <c r="F1910" s="469" t="s">
        <v>1861</v>
      </c>
      <c r="G1910" s="385" t="s">
        <v>2022</v>
      </c>
      <c r="H1910" s="9">
        <v>0</v>
      </c>
      <c r="I1910" s="85">
        <f t="shared" si="2242"/>
        <v>-100</v>
      </c>
      <c r="J1910" s="9">
        <f>ROUND(H1910+(H1910*Assumptions!I$5),-3)</f>
        <v>0</v>
      </c>
      <c r="K1910" s="9">
        <f>ROUND(J1910+(J1910*Assumptions!J$5),-3)</f>
        <v>0</v>
      </c>
      <c r="L1910" s="9">
        <f>ROUND(K1910+(K1910*Assumptions!K$5),-3)</f>
        <v>0</v>
      </c>
      <c r="M1910" s="9">
        <f>ROUND(L1910+(L1910*Assumptions!L$5),-3)</f>
        <v>0</v>
      </c>
      <c r="N1910" s="9">
        <f>ROUND(M1910+(M1910*Assumptions!M$5),-3)</f>
        <v>0</v>
      </c>
      <c r="O1910" s="9">
        <f>ROUND(N1910+(N1910*Assumptions!N$5),-3)</f>
        <v>0</v>
      </c>
      <c r="P1910" s="89">
        <f>ROUND(O1910+(O1910*Assumptions!O$5),-3)</f>
        <v>0</v>
      </c>
      <c r="Q1910" s="9">
        <f>ROUND(P1910+(P1910*Assumptions!P$5),-3)</f>
        <v>0</v>
      </c>
      <c r="R1910" s="9">
        <f>ROUND(Q1910+(Q1910*Assumptions!Q$5),-3)</f>
        <v>0</v>
      </c>
      <c r="S1910" s="47">
        <f>ROUND(R1910+(R1910*Assumptions!R$5),-3)</f>
        <v>0</v>
      </c>
    </row>
    <row r="1911" spans="1:21" x14ac:dyDescent="0.2">
      <c r="A1911" s="54">
        <v>0</v>
      </c>
      <c r="B1911" s="79">
        <v>20100</v>
      </c>
      <c r="C1911" s="136">
        <v>45600</v>
      </c>
      <c r="D1911" s="136">
        <v>100</v>
      </c>
      <c r="E1911" s="144">
        <v>21500</v>
      </c>
      <c r="F1911" s="769" t="s">
        <v>3385</v>
      </c>
      <c r="G1911" s="661" t="s">
        <v>3386</v>
      </c>
      <c r="H1911" s="9">
        <v>30000</v>
      </c>
      <c r="I1911" s="85">
        <f t="shared" si="2242"/>
        <v>39.534883720930232</v>
      </c>
      <c r="J1911" s="9">
        <f>ROUND(H1911+(H1911*Assumptions!I$5),-3)</f>
        <v>31000</v>
      </c>
      <c r="K1911" s="9">
        <f>ROUND(J1911+(J1911*Assumptions!J$5),-3)</f>
        <v>32000</v>
      </c>
      <c r="L1911" s="9">
        <f>ROUND(K1911+(K1911*Assumptions!K$5),-3)</f>
        <v>33000</v>
      </c>
      <c r="M1911" s="9">
        <f>ROUND(L1911+(L1911*Assumptions!L$5),-3)</f>
        <v>34000</v>
      </c>
      <c r="N1911" s="9">
        <f>ROUND(M1911+(M1911*Assumptions!M$5),-3)</f>
        <v>35000</v>
      </c>
      <c r="O1911" s="9">
        <f>ROUND(N1911+(N1911*Assumptions!N$5),-3)</f>
        <v>36000</v>
      </c>
      <c r="P1911" s="89">
        <f>ROUND(O1911+(O1911*Assumptions!O$5),-3)</f>
        <v>37000</v>
      </c>
      <c r="Q1911" s="9">
        <f>ROUND(P1911+(P1911*Assumptions!P$5),-3)</f>
        <v>38000</v>
      </c>
      <c r="R1911" s="9">
        <f>ROUND(Q1911+(Q1911*Assumptions!Q$5),-3)</f>
        <v>39000</v>
      </c>
      <c r="S1911" s="47">
        <f>ROUND(R1911+(R1911*Assumptions!R$5),-3)</f>
        <v>40000</v>
      </c>
    </row>
    <row r="1912" spans="1:21" x14ac:dyDescent="0.2">
      <c r="A1912" s="54">
        <v>0</v>
      </c>
      <c r="B1912" s="79">
        <v>0</v>
      </c>
      <c r="C1912" s="136">
        <v>4200</v>
      </c>
      <c r="D1912" s="136">
        <v>13100</v>
      </c>
      <c r="E1912" s="144">
        <v>2300</v>
      </c>
      <c r="F1912" s="769" t="s">
        <v>4436</v>
      </c>
      <c r="G1912" s="661" t="s">
        <v>4726</v>
      </c>
      <c r="H1912" s="9">
        <f>20000-10000</f>
        <v>10000</v>
      </c>
      <c r="I1912" s="85">
        <f t="shared" si="2242"/>
        <v>334.78260869565219</v>
      </c>
      <c r="J1912" s="9">
        <f>ROUND(H1912+(H1912*Assumptions!I$5),-3)</f>
        <v>10000</v>
      </c>
      <c r="K1912" s="9">
        <f>ROUND(J1912+(J1912*Assumptions!J$5),-3)</f>
        <v>10000</v>
      </c>
      <c r="L1912" s="9">
        <f>ROUND(K1912+(K1912*Assumptions!K$5),-3)</f>
        <v>10000</v>
      </c>
      <c r="M1912" s="9">
        <f>ROUND(L1912+(L1912*Assumptions!L$5),-3)</f>
        <v>10000</v>
      </c>
      <c r="N1912" s="9">
        <f>ROUND(M1912+(M1912*Assumptions!M$5),-3)</f>
        <v>10000</v>
      </c>
      <c r="O1912" s="9">
        <f>ROUND(N1912+(N1912*Assumptions!N$5),-3)</f>
        <v>10000</v>
      </c>
      <c r="P1912" s="89">
        <f>ROUND(O1912+(O1912*Assumptions!O$5),-3)</f>
        <v>10000</v>
      </c>
      <c r="Q1912" s="9">
        <f>ROUND(P1912+(P1912*Assumptions!P$5),-3)</f>
        <v>10000</v>
      </c>
      <c r="R1912" s="9">
        <f>ROUND(Q1912+(Q1912*Assumptions!Q$5),-3)</f>
        <v>10000</v>
      </c>
      <c r="S1912" s="47">
        <f>ROUND(R1912+(R1912*Assumptions!R$5),-3)</f>
        <v>10000</v>
      </c>
    </row>
    <row r="1913" spans="1:21" x14ac:dyDescent="0.2">
      <c r="A1913" s="54">
        <v>0</v>
      </c>
      <c r="B1913" s="79">
        <v>0</v>
      </c>
      <c r="C1913" s="136">
        <v>0</v>
      </c>
      <c r="D1913" s="136">
        <v>0</v>
      </c>
      <c r="E1913" s="144">
        <v>5100</v>
      </c>
      <c r="F1913" s="769" t="s">
        <v>6451</v>
      </c>
      <c r="G1913" s="661" t="s">
        <v>6700</v>
      </c>
      <c r="H1913" s="9">
        <v>57300</v>
      </c>
      <c r="I1913" s="85">
        <f t="shared" si="2242"/>
        <v>1023.5294117647059</v>
      </c>
      <c r="J1913" s="9">
        <v>0</v>
      </c>
      <c r="K1913" s="9">
        <v>0</v>
      </c>
      <c r="L1913" s="9">
        <v>0</v>
      </c>
      <c r="M1913" s="9">
        <v>0</v>
      </c>
      <c r="N1913" s="9">
        <v>0</v>
      </c>
      <c r="O1913" s="9">
        <v>0</v>
      </c>
      <c r="P1913" s="9">
        <v>0</v>
      </c>
      <c r="Q1913" s="9">
        <v>0</v>
      </c>
      <c r="R1913" s="9">
        <v>0</v>
      </c>
      <c r="S1913" s="47">
        <v>0</v>
      </c>
    </row>
    <row r="1914" spans="1:21" x14ac:dyDescent="0.2">
      <c r="A1914" s="54">
        <v>0</v>
      </c>
      <c r="B1914" s="79">
        <v>0</v>
      </c>
      <c r="C1914" s="136">
        <v>0</v>
      </c>
      <c r="D1914" s="136">
        <v>0</v>
      </c>
      <c r="E1914" s="144">
        <v>60500</v>
      </c>
      <c r="F1914" s="769" t="s">
        <v>6452</v>
      </c>
      <c r="G1914" s="661" t="s">
        <v>6701</v>
      </c>
      <c r="H1914" s="9">
        <v>1900</v>
      </c>
      <c r="I1914" s="85">
        <f t="shared" si="2242"/>
        <v>-96.859504132231393</v>
      </c>
      <c r="J1914" s="9">
        <v>0</v>
      </c>
      <c r="K1914" s="9">
        <v>0</v>
      </c>
      <c r="L1914" s="9">
        <v>0</v>
      </c>
      <c r="M1914" s="9">
        <v>0</v>
      </c>
      <c r="N1914" s="9">
        <v>0</v>
      </c>
      <c r="O1914" s="9">
        <v>0</v>
      </c>
      <c r="P1914" s="9">
        <v>0</v>
      </c>
      <c r="Q1914" s="9">
        <v>0</v>
      </c>
      <c r="R1914" s="9">
        <v>0</v>
      </c>
      <c r="S1914" s="47">
        <v>0</v>
      </c>
    </row>
    <row r="1915" spans="1:21" ht="13.5" thickBot="1" x14ac:dyDescent="0.25">
      <c r="A1915" s="118"/>
      <c r="B1915" s="23"/>
      <c r="C1915" s="148"/>
      <c r="D1915" s="148"/>
      <c r="E1915" s="1518"/>
      <c r="F1915" s="168"/>
      <c r="G1915" s="424"/>
      <c r="H1915" s="23"/>
      <c r="I1915" s="87"/>
      <c r="J1915" s="23"/>
      <c r="K1915" s="23"/>
      <c r="L1915" s="23"/>
      <c r="M1915" s="23"/>
      <c r="N1915" s="23"/>
      <c r="O1915" s="23"/>
      <c r="P1915" s="113"/>
      <c r="Q1915" s="23"/>
      <c r="R1915" s="23"/>
      <c r="S1915" s="112"/>
    </row>
    <row r="1916" spans="1:21" s="46" customFormat="1" ht="14.25" thickTop="1" thickBot="1" x14ac:dyDescent="0.25">
      <c r="A1916" s="27"/>
      <c r="B1916" s="27"/>
      <c r="C1916" s="143"/>
      <c r="D1916" s="143"/>
      <c r="E1916" s="143"/>
      <c r="F1916" s="169"/>
      <c r="G1916" s="84"/>
      <c r="I1916" s="70"/>
      <c r="U1916" s="34"/>
    </row>
    <row r="1917" spans="1:21" s="38" customFormat="1" ht="18.75" customHeight="1" thickTop="1" thickBot="1" x14ac:dyDescent="0.3">
      <c r="A1917" s="2588" t="s">
        <v>4497</v>
      </c>
      <c r="B1917" s="2589"/>
      <c r="C1917" s="2589"/>
      <c r="D1917" s="2589"/>
      <c r="E1917" s="2589"/>
      <c r="F1917" s="2589"/>
      <c r="G1917" s="2589"/>
      <c r="H1917" s="2589"/>
      <c r="I1917" s="2589"/>
      <c r="J1917" s="2589"/>
      <c r="K1917" s="2589"/>
      <c r="L1917" s="2589"/>
      <c r="M1917" s="2589"/>
      <c r="N1917" s="2589"/>
      <c r="O1917" s="2589"/>
      <c r="P1917" s="2589"/>
      <c r="Q1917" s="2589"/>
      <c r="R1917" s="2589"/>
      <c r="S1917" s="2590"/>
      <c r="U1917" s="34"/>
    </row>
    <row r="1918" spans="1:21" s="39" customFormat="1" ht="13.5" thickBot="1" x14ac:dyDescent="0.25">
      <c r="A1918" s="2591" t="s">
        <v>1824</v>
      </c>
      <c r="B1918" s="2577"/>
      <c r="C1918" s="2577"/>
      <c r="D1918" s="2577"/>
      <c r="E1918" s="2592"/>
      <c r="F1918" s="127" t="s">
        <v>2616</v>
      </c>
      <c r="G1918" s="127" t="s">
        <v>2213</v>
      </c>
      <c r="H1918" s="2568" t="s">
        <v>2215</v>
      </c>
      <c r="I1918" s="2568"/>
      <c r="J1918" s="2568"/>
      <c r="K1918" s="2568"/>
      <c r="L1918" s="2568"/>
      <c r="M1918" s="2568"/>
      <c r="N1918" s="2568"/>
      <c r="O1918" s="2568"/>
      <c r="P1918" s="2568"/>
      <c r="Q1918" s="2568"/>
      <c r="R1918" s="2568"/>
      <c r="S1918" s="2607"/>
      <c r="U1918" s="34"/>
    </row>
    <row r="1919" spans="1:21" ht="12.75" customHeight="1" thickBot="1" x14ac:dyDescent="0.25">
      <c r="A1919" s="541" t="str">
        <f>A3</f>
        <v>2012/13</v>
      </c>
      <c r="B1919" s="28" t="str">
        <f>B3</f>
        <v>2013/14</v>
      </c>
      <c r="C1919" s="40" t="str">
        <f>C3</f>
        <v>2014/15</v>
      </c>
      <c r="D1919" s="40" t="str">
        <f>D3</f>
        <v>2015/16</v>
      </c>
      <c r="E1919" s="1445" t="str">
        <f>E3</f>
        <v>2016/17</v>
      </c>
      <c r="F1919" s="40" t="str">
        <f>F1786</f>
        <v>ACCOUNT</v>
      </c>
      <c r="G1919" s="2072"/>
      <c r="H1919" s="40" t="str">
        <f>H3</f>
        <v>2017/18</v>
      </c>
      <c r="I1919" s="1258" t="str">
        <f>I1855</f>
        <v>%</v>
      </c>
      <c r="J1919" s="40" t="str">
        <f t="shared" ref="J1919:S1919" si="2243">J3</f>
        <v>2018/19</v>
      </c>
      <c r="K1919" s="40" t="str">
        <f t="shared" si="2243"/>
        <v>2019/20</v>
      </c>
      <c r="L1919" s="40" t="str">
        <f t="shared" si="2243"/>
        <v>2020/21</v>
      </c>
      <c r="M1919" s="40" t="str">
        <f t="shared" si="2243"/>
        <v>2021/22</v>
      </c>
      <c r="N1919" s="40" t="str">
        <f t="shared" si="2243"/>
        <v>2022/23</v>
      </c>
      <c r="O1919" s="40" t="str">
        <f t="shared" si="2243"/>
        <v>2023/24</v>
      </c>
      <c r="P1919" s="40" t="str">
        <f t="shared" si="2243"/>
        <v>2024/25</v>
      </c>
      <c r="Q1919" s="28" t="str">
        <f t="shared" si="2243"/>
        <v>2025/26</v>
      </c>
      <c r="R1919" s="28" t="str">
        <f t="shared" si="2243"/>
        <v>2026/27</v>
      </c>
      <c r="S1919" s="1620" t="str">
        <f t="shared" si="2243"/>
        <v>2027/28</v>
      </c>
    </row>
    <row r="1920" spans="1:21" x14ac:dyDescent="0.2">
      <c r="A1920" s="54"/>
      <c r="B1920" s="9"/>
      <c r="E1920" s="1442"/>
      <c r="F1920" s="2250"/>
      <c r="G1920" s="2423"/>
      <c r="H1920" s="134"/>
      <c r="I1920" s="85"/>
      <c r="J1920" s="134"/>
      <c r="K1920" s="9"/>
      <c r="L1920" s="9"/>
      <c r="M1920" s="9"/>
      <c r="N1920" s="134"/>
      <c r="O1920" s="134"/>
      <c r="P1920" s="134"/>
      <c r="Q1920" s="134"/>
      <c r="R1920" s="134"/>
      <c r="S1920" s="135"/>
    </row>
    <row r="1921" spans="1:19" x14ac:dyDescent="0.2">
      <c r="A1921" s="54"/>
      <c r="B1921" s="9"/>
      <c r="E1921" s="1442"/>
      <c r="F1921" s="469"/>
      <c r="G1921" s="1189" t="s">
        <v>3687</v>
      </c>
      <c r="H1921" s="134"/>
      <c r="I1921" s="85"/>
      <c r="J1921" s="134"/>
      <c r="K1921" s="9"/>
      <c r="L1921" s="9"/>
      <c r="M1921" s="9"/>
      <c r="N1921" s="134"/>
      <c r="O1921" s="134"/>
      <c r="P1921" s="134"/>
      <c r="Q1921" s="134"/>
      <c r="R1921" s="134"/>
      <c r="S1921" s="135"/>
    </row>
    <row r="1922" spans="1:19" x14ac:dyDescent="0.2">
      <c r="A1922" s="54">
        <v>410700</v>
      </c>
      <c r="B1922" s="79">
        <v>293500</v>
      </c>
      <c r="C1922" s="136">
        <v>7600</v>
      </c>
      <c r="D1922" s="136">
        <v>1400</v>
      </c>
      <c r="E1922" s="1442">
        <v>0</v>
      </c>
      <c r="F1922" s="469" t="s">
        <v>2420</v>
      </c>
      <c r="G1922" s="661" t="s">
        <v>3793</v>
      </c>
      <c r="H1922" s="134">
        <f>24000-24000</f>
        <v>0</v>
      </c>
      <c r="I1922" s="85">
        <f t="shared" ref="I1922:I1928" si="2244">IF(E1922=H1922,0,IF(E1922=0,100,(H1922-E1922)/E1922*100))</f>
        <v>0</v>
      </c>
      <c r="J1922" s="134">
        <f>ROUND(H1922+(H1922*Assumptions!I$5),-3)</f>
        <v>0</v>
      </c>
      <c r="K1922" s="9">
        <f>ROUND(J1922+(J1922*Assumptions!J$5),-3)</f>
        <v>0</v>
      </c>
      <c r="L1922" s="9">
        <f>ROUND(K1922+(K1922*Assumptions!K$5),-3)</f>
        <v>0</v>
      </c>
      <c r="M1922" s="9">
        <f>ROUND(L1922+(L1922*Assumptions!L$5),-3)</f>
        <v>0</v>
      </c>
      <c r="N1922" s="134">
        <f>ROUND(M1922+(M1922*Assumptions!M$5),-3)</f>
        <v>0</v>
      </c>
      <c r="O1922" s="134">
        <f>ROUND(N1922+(N1922*Assumptions!N$5),-3)</f>
        <v>0</v>
      </c>
      <c r="P1922" s="134">
        <f>ROUND(O1922+(O1922*Assumptions!O$5),-3)</f>
        <v>0</v>
      </c>
      <c r="Q1922" s="134">
        <f>ROUND(P1922+(P1922*Assumptions!P$5),-3)</f>
        <v>0</v>
      </c>
      <c r="R1922" s="134">
        <f>ROUND(Q1922+(Q1922*Assumptions!Q$5),-3)</f>
        <v>0</v>
      </c>
      <c r="S1922" s="2359">
        <f>ROUND(R1922+(R1922*Assumptions!R$5),-3)</f>
        <v>0</v>
      </c>
    </row>
    <row r="1923" spans="1:19" x14ac:dyDescent="0.2">
      <c r="A1923" s="54">
        <v>0</v>
      </c>
      <c r="B1923" s="79">
        <v>1155800</v>
      </c>
      <c r="C1923" s="136">
        <v>1021300</v>
      </c>
      <c r="D1923" s="136">
        <v>856100</v>
      </c>
      <c r="E1923" s="144">
        <v>868500</v>
      </c>
      <c r="F1923" s="469" t="s">
        <v>3091</v>
      </c>
      <c r="G1923" s="661" t="s">
        <v>3794</v>
      </c>
      <c r="H1923" s="9">
        <f>923000-50000</f>
        <v>873000</v>
      </c>
      <c r="I1923" s="85">
        <f t="shared" si="2244"/>
        <v>0.5181347150259068</v>
      </c>
      <c r="J1923" s="9">
        <f>ROUND(H1923+(H1923*Assumptions!I$5),-3)</f>
        <v>893000</v>
      </c>
      <c r="K1923" s="9">
        <f>ROUND(J1923+(J1923*Assumptions!J$5),-3)</f>
        <v>915000</v>
      </c>
      <c r="L1923" s="9">
        <f>ROUND(K1923+(K1923*Assumptions!K$5),-3)</f>
        <v>938000</v>
      </c>
      <c r="M1923" s="9">
        <f>ROUND(L1923+(L1923*Assumptions!L$5),-3)</f>
        <v>961000</v>
      </c>
      <c r="N1923" s="9">
        <f>ROUND(M1923+(M1923*Assumptions!M$5),-3)</f>
        <v>985000</v>
      </c>
      <c r="O1923" s="9">
        <f>ROUND(N1923+(N1923*Assumptions!N$5),-3)</f>
        <v>1010000</v>
      </c>
      <c r="P1923" s="9">
        <f>ROUND(O1923+(O1923*Assumptions!O$5),-3)</f>
        <v>1035000</v>
      </c>
      <c r="Q1923" s="9">
        <f>ROUND(P1923+(P1923*Assumptions!P$5),-3)</f>
        <v>1061000</v>
      </c>
      <c r="R1923" s="9">
        <f>ROUND(Q1923+(Q1923*Assumptions!Q$5),-3)</f>
        <v>1088000</v>
      </c>
      <c r="S1923" s="47">
        <f>ROUND(R1923+(R1923*Assumptions!R$5),-3)</f>
        <v>1115000</v>
      </c>
    </row>
    <row r="1924" spans="1:19" x14ac:dyDescent="0.2">
      <c r="A1924" s="54">
        <v>392700</v>
      </c>
      <c r="B1924" s="79">
        <v>385000</v>
      </c>
      <c r="C1924" s="9">
        <v>301500</v>
      </c>
      <c r="D1924" s="136">
        <v>316000</v>
      </c>
      <c r="E1924" s="144">
        <v>490900</v>
      </c>
      <c r="F1924" s="469" t="s">
        <v>2031</v>
      </c>
      <c r="G1924" s="661" t="s">
        <v>3795</v>
      </c>
      <c r="H1924" s="9">
        <v>363000</v>
      </c>
      <c r="I1924" s="85">
        <f t="shared" si="2244"/>
        <v>-26.054186188633121</v>
      </c>
      <c r="J1924" s="9">
        <v>360000</v>
      </c>
      <c r="K1924" s="9">
        <f>ROUND(J1924+(J1924*Assumptions!J$5),-3)</f>
        <v>369000</v>
      </c>
      <c r="L1924" s="9">
        <f>ROUND(K1924+(K1924*Assumptions!K$5),-3)</f>
        <v>378000</v>
      </c>
      <c r="M1924" s="9">
        <f>ROUND(L1924+(L1924*Assumptions!L$5),-3)</f>
        <v>387000</v>
      </c>
      <c r="N1924" s="9">
        <f>ROUND(M1924+(M1924*Assumptions!M$5),-3)</f>
        <v>397000</v>
      </c>
      <c r="O1924" s="9">
        <f>ROUND(N1924+(N1924*Assumptions!N$5),-3)</f>
        <v>407000</v>
      </c>
      <c r="P1924" s="9">
        <f>ROUND(O1924+(O1924*Assumptions!O$5),-3)</f>
        <v>417000</v>
      </c>
      <c r="Q1924" s="9">
        <f>ROUND(P1924+(P1924*Assumptions!P$5),-3)</f>
        <v>427000</v>
      </c>
      <c r="R1924" s="9">
        <f>ROUND(Q1924+(Q1924*Assumptions!Q$5),-3)</f>
        <v>438000</v>
      </c>
      <c r="S1924" s="47">
        <f>ROUND(R1924+(R1924*Assumptions!R$5),-3)</f>
        <v>449000</v>
      </c>
    </row>
    <row r="1925" spans="1:19" x14ac:dyDescent="0.2">
      <c r="A1925" s="54">
        <v>344100</v>
      </c>
      <c r="B1925" s="79">
        <v>295600</v>
      </c>
      <c r="C1925" s="136">
        <v>277800</v>
      </c>
      <c r="D1925" s="136">
        <v>137200</v>
      </c>
      <c r="E1925" s="885">
        <v>141100</v>
      </c>
      <c r="F1925" s="469" t="s">
        <v>2576</v>
      </c>
      <c r="G1925" s="661" t="s">
        <v>3796</v>
      </c>
      <c r="H1925" s="9">
        <v>133000</v>
      </c>
      <c r="I1925" s="85">
        <f t="shared" si="2244"/>
        <v>-5.7406094968107721</v>
      </c>
      <c r="J1925" s="9">
        <f>ROUND(H1925+(H1925*Assumptions!I$5),-3)</f>
        <v>136000</v>
      </c>
      <c r="K1925" s="9">
        <f>ROUND(J1925+(J1925*Assumptions!J$5),-3)</f>
        <v>139000</v>
      </c>
      <c r="L1925" s="9">
        <f>ROUND(K1925+(K1925*Assumptions!K$5),-3)</f>
        <v>142000</v>
      </c>
      <c r="M1925" s="9">
        <f>ROUND(L1925+(L1925*Assumptions!L$5),-3)</f>
        <v>146000</v>
      </c>
      <c r="N1925" s="9">
        <f>ROUND(M1925+(M1925*Assumptions!M$5),-3)</f>
        <v>150000</v>
      </c>
      <c r="O1925" s="9">
        <f>ROUND(N1925+(N1925*Assumptions!N$5),-3)</f>
        <v>154000</v>
      </c>
      <c r="P1925" s="9">
        <f>ROUND(O1925+(O1925*Assumptions!O$5),-3)</f>
        <v>158000</v>
      </c>
      <c r="Q1925" s="9">
        <f>ROUND(P1925+(P1925*Assumptions!P$5),-3)</f>
        <v>162000</v>
      </c>
      <c r="R1925" s="9">
        <f>ROUND(Q1925+(Q1925*Assumptions!Q$5),-3)</f>
        <v>166000</v>
      </c>
      <c r="S1925" s="47">
        <f>ROUND(R1925+(R1925*Assumptions!R$5),-3)</f>
        <v>170000</v>
      </c>
    </row>
    <row r="1926" spans="1:19" x14ac:dyDescent="0.2">
      <c r="A1926" s="54">
        <v>0</v>
      </c>
      <c r="B1926" s="79">
        <v>219000</v>
      </c>
      <c r="C1926" s="136">
        <v>146500</v>
      </c>
      <c r="D1926" s="136">
        <v>120000</v>
      </c>
      <c r="E1926" s="144">
        <v>127400</v>
      </c>
      <c r="F1926" s="769" t="s">
        <v>3947</v>
      </c>
      <c r="G1926" s="661" t="s">
        <v>3711</v>
      </c>
      <c r="H1926" s="9">
        <v>162000</v>
      </c>
      <c r="I1926" s="85">
        <f t="shared" si="2244"/>
        <v>27.1585557299843</v>
      </c>
      <c r="J1926" s="9">
        <v>130000</v>
      </c>
      <c r="K1926" s="9">
        <f>ROUND(J1926+(J1926*Assumptions!J$5),-3)</f>
        <v>133000</v>
      </c>
      <c r="L1926" s="9">
        <f>ROUND(K1926+(K1926*Assumptions!K$5),-3)</f>
        <v>136000</v>
      </c>
      <c r="M1926" s="9">
        <f>ROUND(L1926+(L1926*Assumptions!L$5),-3)</f>
        <v>139000</v>
      </c>
      <c r="N1926" s="9">
        <f>ROUND(M1926+(M1926*Assumptions!M$5),-3)</f>
        <v>142000</v>
      </c>
      <c r="O1926" s="9">
        <f>ROUND(N1926+(N1926*Assumptions!N$5),-3)</f>
        <v>146000</v>
      </c>
      <c r="P1926" s="9">
        <f>ROUND(O1926+(O1926*Assumptions!O$5),-3)</f>
        <v>150000</v>
      </c>
      <c r="Q1926" s="9">
        <f>ROUND(P1926+(P1926*Assumptions!P$5),-3)</f>
        <v>154000</v>
      </c>
      <c r="R1926" s="9">
        <f>ROUND(Q1926+(Q1926*Assumptions!Q$5),-3)</f>
        <v>158000</v>
      </c>
      <c r="S1926" s="47">
        <f>ROUND(R1926+(R1926*Assumptions!R$5),-3)</f>
        <v>162000</v>
      </c>
    </row>
    <row r="1927" spans="1:19" x14ac:dyDescent="0.2">
      <c r="A1927" s="54">
        <v>0</v>
      </c>
      <c r="B1927" s="79">
        <v>149000</v>
      </c>
      <c r="C1927" s="136">
        <v>61400</v>
      </c>
      <c r="D1927" s="136">
        <v>63600</v>
      </c>
      <c r="E1927" s="144">
        <v>78200</v>
      </c>
      <c r="F1927" s="769" t="s">
        <v>4068</v>
      </c>
      <c r="G1927" s="661" t="s">
        <v>3712</v>
      </c>
      <c r="H1927" s="9">
        <v>82000</v>
      </c>
      <c r="I1927" s="85">
        <f t="shared" si="2244"/>
        <v>4.859335038363171</v>
      </c>
      <c r="J1927" s="9">
        <f>ROUND(H1927+(H1927*Assumptions!I$5),-3)</f>
        <v>84000</v>
      </c>
      <c r="K1927" s="9">
        <f>ROUND(J1927+(J1927*Assumptions!J$5),-3)</f>
        <v>86000</v>
      </c>
      <c r="L1927" s="9">
        <f>ROUND(K1927+(K1927*Assumptions!K$5),-3)</f>
        <v>88000</v>
      </c>
      <c r="M1927" s="9">
        <f>ROUND(L1927+(L1927*Assumptions!L$5),-3)</f>
        <v>90000</v>
      </c>
      <c r="N1927" s="9">
        <f>ROUND(M1927+(M1927*Assumptions!M$5),-3)</f>
        <v>92000</v>
      </c>
      <c r="O1927" s="9">
        <f>ROUND(N1927+(N1927*Assumptions!N$5),-3)</f>
        <v>94000</v>
      </c>
      <c r="P1927" s="9">
        <f>ROUND(O1927+(O1927*Assumptions!O$5),-3)</f>
        <v>96000</v>
      </c>
      <c r="Q1927" s="9">
        <f>ROUND(P1927+(P1927*Assumptions!P$5),-3)</f>
        <v>98000</v>
      </c>
      <c r="R1927" s="9">
        <f>ROUND(Q1927+(Q1927*Assumptions!Q$5),-3)</f>
        <v>100000</v>
      </c>
      <c r="S1927" s="47">
        <f>ROUND(R1927+(R1927*Assumptions!R$5),-3)</f>
        <v>103000</v>
      </c>
    </row>
    <row r="1928" spans="1:19" x14ac:dyDescent="0.2">
      <c r="A1928" s="54">
        <v>0</v>
      </c>
      <c r="B1928" s="79">
        <f>466100-B1927-B1926</f>
        <v>98100</v>
      </c>
      <c r="C1928" s="136">
        <v>55800</v>
      </c>
      <c r="D1928" s="136">
        <v>54300</v>
      </c>
      <c r="E1928" s="144">
        <v>72900</v>
      </c>
      <c r="F1928" s="769" t="s">
        <v>4069</v>
      </c>
      <c r="G1928" s="661" t="s">
        <v>5248</v>
      </c>
      <c r="H1928" s="9">
        <v>70000</v>
      </c>
      <c r="I1928" s="85">
        <f t="shared" si="2244"/>
        <v>-3.9780521262002746</v>
      </c>
      <c r="J1928" s="9">
        <f>ROUND(H1928+(H1928*Assumptions!I$5),-3)</f>
        <v>72000</v>
      </c>
      <c r="K1928" s="9">
        <f>ROUND(J1928+(J1928*Assumptions!J$5),-3)</f>
        <v>74000</v>
      </c>
      <c r="L1928" s="9">
        <f>ROUND(K1928+(K1928*Assumptions!K$5),-3)</f>
        <v>76000</v>
      </c>
      <c r="M1928" s="9">
        <f>ROUND(L1928+(L1928*Assumptions!L$5),-3)</f>
        <v>78000</v>
      </c>
      <c r="N1928" s="9">
        <f>ROUND(M1928+(M1928*Assumptions!M$5),-3)</f>
        <v>80000</v>
      </c>
      <c r="O1928" s="9">
        <f>ROUND(N1928+(N1928*Assumptions!N$5),-3)</f>
        <v>82000</v>
      </c>
      <c r="P1928" s="9">
        <f>ROUND(O1928+(O1928*Assumptions!O$5),-3)</f>
        <v>84000</v>
      </c>
      <c r="Q1928" s="9">
        <f>ROUND(P1928+(P1928*Assumptions!P$5),-3)</f>
        <v>86000</v>
      </c>
      <c r="R1928" s="9">
        <f>ROUND(Q1928+(Q1928*Assumptions!Q$5),-3)</f>
        <v>88000</v>
      </c>
      <c r="S1928" s="47">
        <f>ROUND(R1928+(R1928*Assumptions!R$5),-3)</f>
        <v>90000</v>
      </c>
    </row>
    <row r="1929" spans="1:19" x14ac:dyDescent="0.2">
      <c r="A1929" s="54"/>
      <c r="B1929" s="79"/>
      <c r="E1929" s="1442"/>
      <c r="F1929" s="469"/>
      <c r="G1929" s="661"/>
      <c r="H1929" s="134"/>
      <c r="I1929" s="85"/>
      <c r="J1929" s="134"/>
      <c r="K1929" s="9"/>
      <c r="L1929" s="9"/>
      <c r="M1929" s="9"/>
      <c r="N1929" s="134"/>
      <c r="O1929" s="134"/>
      <c r="P1929" s="134"/>
      <c r="Q1929" s="134"/>
      <c r="R1929" s="134"/>
      <c r="S1929" s="2359"/>
    </row>
    <row r="1930" spans="1:19" x14ac:dyDescent="0.2">
      <c r="A1930" s="54"/>
      <c r="B1930" s="79"/>
      <c r="E1930" s="144"/>
      <c r="F1930" s="2065"/>
      <c r="G1930" s="419" t="s">
        <v>977</v>
      </c>
      <c r="H1930" s="9"/>
      <c r="I1930" s="85"/>
      <c r="J1930" s="9"/>
      <c r="K1930" s="9"/>
      <c r="L1930" s="9"/>
      <c r="M1930" s="9"/>
      <c r="N1930" s="9"/>
      <c r="O1930" s="9"/>
      <c r="P1930" s="9"/>
      <c r="Q1930" s="9"/>
      <c r="R1930" s="9"/>
      <c r="S1930" s="47"/>
    </row>
    <row r="1931" spans="1:19" x14ac:dyDescent="0.2">
      <c r="A1931" s="54">
        <v>811600</v>
      </c>
      <c r="B1931" s="79">
        <v>125200</v>
      </c>
      <c r="C1931" s="136">
        <v>174600</v>
      </c>
      <c r="D1931" s="136">
        <v>375200</v>
      </c>
      <c r="E1931" s="1442">
        <v>94300</v>
      </c>
      <c r="F1931" s="469" t="s">
        <v>93</v>
      </c>
      <c r="G1931" s="661" t="s">
        <v>3520</v>
      </c>
      <c r="H1931" s="134">
        <f>209000+9000</f>
        <v>218000</v>
      </c>
      <c r="I1931" s="85">
        <f>IF(E1931=H1931,0,IF(E1931=0,100,(H1931-E1931)/E1931*100))</f>
        <v>131.17709437963944</v>
      </c>
      <c r="J1931" s="134">
        <f>ROUND(H1931+(H1931*Assumptions!I$5),-3)</f>
        <v>223000</v>
      </c>
      <c r="K1931" s="9">
        <f>ROUND(J1931+(J1931*Assumptions!J$5),-3)</f>
        <v>229000</v>
      </c>
      <c r="L1931" s="9">
        <f>ROUND(K1931+(K1931*Assumptions!K$5),-3)</f>
        <v>235000</v>
      </c>
      <c r="M1931" s="9">
        <f>ROUND(L1931+(L1931*Assumptions!L$5),-3)</f>
        <v>241000</v>
      </c>
      <c r="N1931" s="134">
        <f>ROUND(M1931+(M1931*Assumptions!M$5),-3)</f>
        <v>247000</v>
      </c>
      <c r="O1931" s="134">
        <f>ROUND(N1931+(N1931*Assumptions!N$5),-3)</f>
        <v>253000</v>
      </c>
      <c r="P1931" s="134">
        <f>ROUND(O1931+(O1931*Assumptions!O$5),-3)</f>
        <v>259000</v>
      </c>
      <c r="Q1931" s="134">
        <f>ROUND(P1931+(P1931*Assumptions!P$5),-3)</f>
        <v>265000</v>
      </c>
      <c r="R1931" s="134">
        <f>ROUND(Q1931+(Q1931*Assumptions!Q$5),-3)</f>
        <v>272000</v>
      </c>
      <c r="S1931" s="2359">
        <f>ROUND(R1931+(R1931*Assumptions!R$5),-3)</f>
        <v>279000</v>
      </c>
    </row>
    <row r="1932" spans="1:19" x14ac:dyDescent="0.2">
      <c r="A1932" s="54"/>
      <c r="B1932" s="79"/>
      <c r="E1932" s="144"/>
      <c r="F1932" s="1618"/>
      <c r="G1932" s="385"/>
      <c r="H1932" s="9"/>
      <c r="I1932" s="85"/>
      <c r="J1932" s="9"/>
      <c r="K1932" s="9"/>
      <c r="L1932" s="9"/>
      <c r="M1932" s="9"/>
      <c r="N1932" s="9"/>
      <c r="O1932" s="9"/>
      <c r="P1932" s="9"/>
      <c r="Q1932" s="9"/>
      <c r="R1932" s="9"/>
      <c r="S1932" s="47"/>
    </row>
    <row r="1933" spans="1:19" x14ac:dyDescent="0.2">
      <c r="A1933" s="54"/>
      <c r="B1933" s="79"/>
      <c r="E1933" s="144"/>
      <c r="F1933" s="2065"/>
      <c r="G1933" s="419" t="s">
        <v>1841</v>
      </c>
      <c r="H1933" s="9"/>
      <c r="I1933" s="85"/>
      <c r="J1933" s="9"/>
      <c r="K1933" s="9"/>
      <c r="L1933" s="9"/>
      <c r="M1933" s="9"/>
      <c r="N1933" s="9"/>
      <c r="O1933" s="9"/>
      <c r="P1933" s="9"/>
      <c r="Q1933" s="9"/>
      <c r="R1933" s="9"/>
      <c r="S1933" s="47"/>
    </row>
    <row r="1934" spans="1:19" x14ac:dyDescent="0.2">
      <c r="A1934" s="54">
        <v>1600</v>
      </c>
      <c r="B1934" s="79">
        <v>4500</v>
      </c>
      <c r="C1934" s="136">
        <v>3900</v>
      </c>
      <c r="D1934" s="136">
        <v>3500</v>
      </c>
      <c r="E1934" s="144">
        <v>6900</v>
      </c>
      <c r="F1934" s="469" t="s">
        <v>1862</v>
      </c>
      <c r="G1934" s="661" t="s">
        <v>3688</v>
      </c>
      <c r="H1934" s="9">
        <v>4000</v>
      </c>
      <c r="I1934" s="85">
        <f t="shared" ref="I1934:I1939" si="2245">IF(E1934=H1934,0,IF(E1934=0,100,(H1934-E1934)/E1934*100))</f>
        <v>-42.028985507246375</v>
      </c>
      <c r="J1934" s="9">
        <f>ROUND(H1934+(H1934*Assumptions!I$5),-3)</f>
        <v>4000</v>
      </c>
      <c r="K1934" s="9">
        <f>ROUND(J1934+(J1934*Assumptions!J$5),-3)</f>
        <v>4000</v>
      </c>
      <c r="L1934" s="9">
        <f>ROUND(K1934+(K1934*Assumptions!K$5),-3)</f>
        <v>4000</v>
      </c>
      <c r="M1934" s="9">
        <f>ROUND(L1934+(L1934*Assumptions!L$5),-3)</f>
        <v>4000</v>
      </c>
      <c r="N1934" s="9">
        <f>ROUND(M1934+(M1934*Assumptions!M$5),-3)</f>
        <v>4000</v>
      </c>
      <c r="O1934" s="9">
        <f>ROUND(N1934+(N1934*Assumptions!N$5),-3)</f>
        <v>4000</v>
      </c>
      <c r="P1934" s="9">
        <f>ROUND(O1934+(O1934*Assumptions!O$5),-3)</f>
        <v>4000</v>
      </c>
      <c r="Q1934" s="9">
        <f>ROUND(P1934+(P1934*Assumptions!P$5),-3)</f>
        <v>4000</v>
      </c>
      <c r="R1934" s="9">
        <f>ROUND(Q1934+(Q1934*Assumptions!Q$5),-3)</f>
        <v>4000</v>
      </c>
      <c r="S1934" s="47">
        <f>ROUND(R1934+(R1934*Assumptions!R$5),-3)</f>
        <v>4000</v>
      </c>
    </row>
    <row r="1935" spans="1:19" x14ac:dyDescent="0.2">
      <c r="A1935" s="54">
        <v>0</v>
      </c>
      <c r="B1935" s="79">
        <v>0</v>
      </c>
      <c r="C1935" s="136">
        <v>0</v>
      </c>
      <c r="D1935" s="136">
        <v>0</v>
      </c>
      <c r="E1935" s="144">
        <v>0</v>
      </c>
      <c r="F1935" s="469" t="s">
        <v>1200</v>
      </c>
      <c r="G1935" s="661" t="s">
        <v>3689</v>
      </c>
      <c r="H1935" s="9">
        <v>0</v>
      </c>
      <c r="I1935" s="85">
        <f t="shared" si="2245"/>
        <v>0</v>
      </c>
      <c r="J1935" s="9">
        <f>ROUND(H1935+(H1935*Assumptions!I$5),-3)</f>
        <v>0</v>
      </c>
      <c r="K1935" s="9">
        <f>ROUND(J1935+(J1935*Assumptions!J$5),-3)</f>
        <v>0</v>
      </c>
      <c r="L1935" s="9">
        <f>ROUND(K1935+(K1935*Assumptions!K$5),-3)</f>
        <v>0</v>
      </c>
      <c r="M1935" s="9">
        <f>ROUND(L1935+(L1935*Assumptions!L$5),-3)</f>
        <v>0</v>
      </c>
      <c r="N1935" s="9">
        <f>ROUND(M1935+(M1935*Assumptions!M$5),-3)</f>
        <v>0</v>
      </c>
      <c r="O1935" s="9">
        <f>ROUND(N1935+(N1935*Assumptions!N$5),-3)</f>
        <v>0</v>
      </c>
      <c r="P1935" s="9">
        <f>ROUND(O1935+(O1935*Assumptions!O$5),-3)</f>
        <v>0</v>
      </c>
      <c r="Q1935" s="9">
        <f>ROUND(P1935+(P1935*Assumptions!P$5),-3)</f>
        <v>0</v>
      </c>
      <c r="R1935" s="9">
        <f>ROUND(Q1935+(Q1935*Assumptions!Q$5),-3)</f>
        <v>0</v>
      </c>
      <c r="S1935" s="47">
        <f>ROUND(R1935+(R1935*Assumptions!R$5),-3)</f>
        <v>0</v>
      </c>
    </row>
    <row r="1936" spans="1:19" x14ac:dyDescent="0.2">
      <c r="A1936" s="54">
        <v>3700</v>
      </c>
      <c r="B1936" s="79">
        <v>2900</v>
      </c>
      <c r="C1936" s="136">
        <v>3800</v>
      </c>
      <c r="D1936" s="136">
        <v>3800</v>
      </c>
      <c r="E1936" s="144">
        <v>3800</v>
      </c>
      <c r="F1936" s="469" t="s">
        <v>1201</v>
      </c>
      <c r="G1936" s="385" t="s">
        <v>913</v>
      </c>
      <c r="H1936" s="9">
        <v>4000</v>
      </c>
      <c r="I1936" s="85">
        <f t="shared" si="2245"/>
        <v>5.2631578947368416</v>
      </c>
      <c r="J1936" s="9">
        <f>ROUND(H1936+(H1936*Assumptions!I$5),-3)</f>
        <v>4000</v>
      </c>
      <c r="K1936" s="9">
        <f>ROUND(J1936+(J1936*Assumptions!J$5),-3)</f>
        <v>4000</v>
      </c>
      <c r="L1936" s="9">
        <f>ROUND(K1936+(K1936*Assumptions!K$5),-3)</f>
        <v>4000</v>
      </c>
      <c r="M1936" s="9">
        <f>ROUND(L1936+(L1936*Assumptions!L$5),-3)</f>
        <v>4000</v>
      </c>
      <c r="N1936" s="9">
        <f>ROUND(M1936+(M1936*Assumptions!M$5),-3)</f>
        <v>4000</v>
      </c>
      <c r="O1936" s="9">
        <f>ROUND(N1936+(N1936*Assumptions!N$5),-3)</f>
        <v>4000</v>
      </c>
      <c r="P1936" s="9">
        <f>ROUND(O1936+(O1936*Assumptions!O$5),-3)</f>
        <v>4000</v>
      </c>
      <c r="Q1936" s="9">
        <f>ROUND(P1936+(P1936*Assumptions!P$5),-3)</f>
        <v>4000</v>
      </c>
      <c r="R1936" s="9">
        <f>ROUND(Q1936+(Q1936*Assumptions!Q$5),-3)</f>
        <v>4000</v>
      </c>
      <c r="S1936" s="47">
        <f>ROUND(R1936+(R1936*Assumptions!R$5),-3)</f>
        <v>4000</v>
      </c>
    </row>
    <row r="1937" spans="1:19" x14ac:dyDescent="0.2">
      <c r="A1937" s="54">
        <v>3800</v>
      </c>
      <c r="B1937" s="79">
        <v>3700</v>
      </c>
      <c r="C1937" s="136">
        <v>3000</v>
      </c>
      <c r="D1937" s="136">
        <v>1300</v>
      </c>
      <c r="E1937" s="144">
        <v>5200</v>
      </c>
      <c r="F1937" s="469" t="s">
        <v>1202</v>
      </c>
      <c r="G1937" s="385" t="s">
        <v>1284</v>
      </c>
      <c r="H1937" s="9">
        <v>4000</v>
      </c>
      <c r="I1937" s="85">
        <f t="shared" si="2245"/>
        <v>-23.076923076923077</v>
      </c>
      <c r="J1937" s="9">
        <f>ROUND(H1937+(H1937*Assumptions!I$5),-3)</f>
        <v>4000</v>
      </c>
      <c r="K1937" s="9">
        <f>ROUND(J1937+(J1937*Assumptions!J$5),-3)</f>
        <v>4000</v>
      </c>
      <c r="L1937" s="9">
        <f>ROUND(K1937+(K1937*Assumptions!K$5),-3)</f>
        <v>4000</v>
      </c>
      <c r="M1937" s="9">
        <f>ROUND(L1937+(L1937*Assumptions!L$5),-3)</f>
        <v>4000</v>
      </c>
      <c r="N1937" s="9">
        <f>ROUND(M1937+(M1937*Assumptions!M$5),-3)</f>
        <v>4000</v>
      </c>
      <c r="O1937" s="9">
        <f>ROUND(N1937+(N1937*Assumptions!N$5),-3)</f>
        <v>4000</v>
      </c>
      <c r="P1937" s="9">
        <f>ROUND(O1937+(O1937*Assumptions!O$5),-3)</f>
        <v>4000</v>
      </c>
      <c r="Q1937" s="9">
        <f>ROUND(P1937+(P1937*Assumptions!P$5),-3)</f>
        <v>4000</v>
      </c>
      <c r="R1937" s="9">
        <f>ROUND(Q1937+(Q1937*Assumptions!Q$5),-3)</f>
        <v>4000</v>
      </c>
      <c r="S1937" s="47">
        <f>ROUND(R1937+(R1937*Assumptions!R$5),-3)</f>
        <v>4000</v>
      </c>
    </row>
    <row r="1938" spans="1:19" x14ac:dyDescent="0.2">
      <c r="A1938" s="54">
        <v>6100</v>
      </c>
      <c r="B1938" s="79">
        <v>6700</v>
      </c>
      <c r="C1938" s="136">
        <f>7500+3500</f>
        <v>11000</v>
      </c>
      <c r="D1938" s="136">
        <v>3000</v>
      </c>
      <c r="E1938" s="144">
        <v>2200</v>
      </c>
      <c r="F1938" s="469" t="s">
        <v>1203</v>
      </c>
      <c r="G1938" s="385" t="s">
        <v>64</v>
      </c>
      <c r="H1938" s="9">
        <v>5000</v>
      </c>
      <c r="I1938" s="85">
        <f t="shared" si="2245"/>
        <v>127.27272727272727</v>
      </c>
      <c r="J1938" s="9">
        <f>ROUND(H1938+(H1938*Assumptions!I$5),-3)</f>
        <v>5000</v>
      </c>
      <c r="K1938" s="9">
        <f>ROUND(J1938+(J1938*Assumptions!J$5),-3)</f>
        <v>5000</v>
      </c>
      <c r="L1938" s="9">
        <f>ROUND(K1938+(K1938*Assumptions!K$5),-3)</f>
        <v>5000</v>
      </c>
      <c r="M1938" s="9">
        <f>ROUND(L1938+(L1938*Assumptions!L$5),-3)</f>
        <v>5000</v>
      </c>
      <c r="N1938" s="9">
        <f>ROUND(M1938+(M1938*Assumptions!M$5),-3)</f>
        <v>5000</v>
      </c>
      <c r="O1938" s="9">
        <f>ROUND(N1938+(N1938*Assumptions!N$5),-3)</f>
        <v>5000</v>
      </c>
      <c r="P1938" s="9">
        <f>ROUND(O1938+(O1938*Assumptions!O$5),-3)</f>
        <v>5000</v>
      </c>
      <c r="Q1938" s="9">
        <f>ROUND(P1938+(P1938*Assumptions!P$5),-3)</f>
        <v>5000</v>
      </c>
      <c r="R1938" s="9">
        <f>ROUND(Q1938+(Q1938*Assumptions!Q$5),-3)</f>
        <v>5000</v>
      </c>
      <c r="S1938" s="47">
        <f>ROUND(R1938+(R1938*Assumptions!R$5),-3)</f>
        <v>5000</v>
      </c>
    </row>
    <row r="1939" spans="1:19" x14ac:dyDescent="0.2">
      <c r="A1939" s="54">
        <v>0</v>
      </c>
      <c r="B1939" s="79">
        <v>0</v>
      </c>
      <c r="C1939" s="136">
        <v>0</v>
      </c>
      <c r="D1939" s="136">
        <v>8000</v>
      </c>
      <c r="E1939" s="144">
        <v>900</v>
      </c>
      <c r="F1939" s="769" t="s">
        <v>5825</v>
      </c>
      <c r="G1939" s="661" t="s">
        <v>5826</v>
      </c>
      <c r="H1939" s="9">
        <v>0</v>
      </c>
      <c r="I1939" s="85">
        <f t="shared" si="2245"/>
        <v>-100</v>
      </c>
      <c r="J1939" s="9">
        <f>ROUND(H1939+(H1939*Assumptions!I$5),-3)</f>
        <v>0</v>
      </c>
      <c r="K1939" s="9">
        <f>ROUND(J1939+(J1939*Assumptions!J$5),-3)</f>
        <v>0</v>
      </c>
      <c r="L1939" s="9">
        <f>ROUND(K1939+(K1939*Assumptions!K$5),-3)</f>
        <v>0</v>
      </c>
      <c r="M1939" s="9">
        <f>ROUND(L1939+(L1939*Assumptions!L$5),-3)</f>
        <v>0</v>
      </c>
      <c r="N1939" s="9">
        <f>ROUND(M1939+(M1939*Assumptions!M$5),-3)</f>
        <v>0</v>
      </c>
      <c r="O1939" s="9">
        <f>ROUND(N1939+(N1939*Assumptions!N$5),-3)</f>
        <v>0</v>
      </c>
      <c r="P1939" s="9">
        <f>ROUND(O1939+(O1939*Assumptions!O$5),-3)</f>
        <v>0</v>
      </c>
      <c r="Q1939" s="9">
        <f>ROUND(P1939+(P1939*Assumptions!P$5),-3)</f>
        <v>0</v>
      </c>
      <c r="R1939" s="9">
        <f>ROUND(Q1939+(Q1939*Assumptions!Q$5),-3)</f>
        <v>0</v>
      </c>
      <c r="S1939" s="47">
        <f>ROUND(R1939+(R1939*Assumptions!R$5),-3)</f>
        <v>0</v>
      </c>
    </row>
    <row r="1940" spans="1:19" x14ac:dyDescent="0.2">
      <c r="A1940" s="54"/>
      <c r="B1940" s="79"/>
      <c r="E1940" s="144"/>
      <c r="F1940" s="1618"/>
      <c r="G1940" s="385"/>
      <c r="H1940" s="9"/>
      <c r="I1940" s="85"/>
      <c r="J1940" s="9"/>
      <c r="K1940" s="9"/>
      <c r="L1940" s="9"/>
      <c r="M1940" s="9"/>
      <c r="N1940" s="9"/>
      <c r="O1940" s="9"/>
      <c r="P1940" s="9"/>
      <c r="Q1940" s="9"/>
      <c r="R1940" s="9"/>
      <c r="S1940" s="47"/>
    </row>
    <row r="1941" spans="1:19" x14ac:dyDescent="0.2">
      <c r="A1941" s="54"/>
      <c r="B1941" s="79"/>
      <c r="E1941" s="144"/>
      <c r="F1941" s="2065"/>
      <c r="G1941" s="419" t="s">
        <v>2630</v>
      </c>
      <c r="H1941" s="9"/>
      <c r="I1941" s="85"/>
      <c r="J1941" s="9"/>
      <c r="K1941" s="9"/>
      <c r="L1941" s="9"/>
      <c r="M1941" s="9"/>
      <c r="N1941" s="9"/>
      <c r="O1941" s="9"/>
      <c r="P1941" s="9"/>
      <c r="Q1941" s="9"/>
      <c r="R1941" s="9"/>
      <c r="S1941" s="47"/>
    </row>
    <row r="1942" spans="1:19" x14ac:dyDescent="0.2">
      <c r="A1942" s="54">
        <v>0</v>
      </c>
      <c r="B1942" s="79">
        <v>400</v>
      </c>
      <c r="C1942" s="136">
        <v>0</v>
      </c>
      <c r="D1942" s="136">
        <v>0</v>
      </c>
      <c r="E1942" s="144">
        <v>0</v>
      </c>
      <c r="F1942" s="469" t="s">
        <v>1204</v>
      </c>
      <c r="G1942" s="661" t="s">
        <v>896</v>
      </c>
      <c r="H1942" s="9">
        <v>1000</v>
      </c>
      <c r="I1942" s="85">
        <f>IF(E1942=H1942,0,IF(E1942=0,100,(H1942-E1942)/E1942*100))</f>
        <v>100</v>
      </c>
      <c r="J1942" s="9">
        <f>ROUND(H1942+(H1942*Assumptions!I$5),-3)</f>
        <v>1000</v>
      </c>
      <c r="K1942" s="9">
        <f>ROUND(J1942+(J1942*Assumptions!J$5),-3)</f>
        <v>1000</v>
      </c>
      <c r="L1942" s="9">
        <f>ROUND(K1942+(K1942*Assumptions!K$5),-3)</f>
        <v>1000</v>
      </c>
      <c r="M1942" s="9">
        <f>ROUND(L1942+(L1942*Assumptions!L$5),-3)</f>
        <v>1000</v>
      </c>
      <c r="N1942" s="9">
        <f>ROUND(M1942+(M1942*Assumptions!M$5),-3)</f>
        <v>1000</v>
      </c>
      <c r="O1942" s="9">
        <f>ROUND(N1942+(N1942*Assumptions!N$5),-3)</f>
        <v>1000</v>
      </c>
      <c r="P1942" s="9">
        <f>ROUND(O1942+(O1942*Assumptions!O$5),-3)</f>
        <v>1000</v>
      </c>
      <c r="Q1942" s="9">
        <f>ROUND(P1942+(P1942*Assumptions!P$5),-3)</f>
        <v>1000</v>
      </c>
      <c r="R1942" s="9">
        <f>ROUND(Q1942+(Q1942*Assumptions!Q$5),-3)</f>
        <v>1000</v>
      </c>
      <c r="S1942" s="47">
        <f>ROUND(R1942+(R1942*Assumptions!R$5),-3)</f>
        <v>1000</v>
      </c>
    </row>
    <row r="1943" spans="1:19" x14ac:dyDescent="0.2">
      <c r="A1943" s="54">
        <v>800</v>
      </c>
      <c r="B1943" s="79">
        <v>2300</v>
      </c>
      <c r="C1943" s="136">
        <v>1100</v>
      </c>
      <c r="D1943" s="136">
        <v>1700</v>
      </c>
      <c r="E1943" s="144">
        <v>400</v>
      </c>
      <c r="F1943" s="469" t="s">
        <v>1205</v>
      </c>
      <c r="G1943" s="661" t="s">
        <v>4138</v>
      </c>
      <c r="H1943" s="9">
        <v>2000</v>
      </c>
      <c r="I1943" s="85">
        <f>IF(E1943=H1943,0,IF(E1943=0,100,(H1943-E1943)/E1943*100))</f>
        <v>400</v>
      </c>
      <c r="J1943" s="9">
        <f>ROUND(H1943+(H1943*Assumptions!I$5),-3)</f>
        <v>2000</v>
      </c>
      <c r="K1943" s="9">
        <f>ROUND(J1943+(J1943*Assumptions!J$5),-3)</f>
        <v>2000</v>
      </c>
      <c r="L1943" s="9">
        <f>ROUND(K1943+(K1943*Assumptions!K$5),-3)</f>
        <v>2000</v>
      </c>
      <c r="M1943" s="9">
        <f>ROUND(L1943+(L1943*Assumptions!L$5),-3)</f>
        <v>2000</v>
      </c>
      <c r="N1943" s="9">
        <f>ROUND(M1943+(M1943*Assumptions!M$5),-3)</f>
        <v>2000</v>
      </c>
      <c r="O1943" s="9">
        <f>ROUND(N1943+(N1943*Assumptions!N$5),-3)</f>
        <v>2000</v>
      </c>
      <c r="P1943" s="9">
        <f>ROUND(O1943+(O1943*Assumptions!O$5),-3)</f>
        <v>2000</v>
      </c>
      <c r="Q1943" s="9">
        <f>ROUND(P1943+(P1943*Assumptions!P$5),-3)</f>
        <v>2000</v>
      </c>
      <c r="R1943" s="9">
        <f>ROUND(Q1943+(Q1943*Assumptions!Q$5),-3)</f>
        <v>2000</v>
      </c>
      <c r="S1943" s="47">
        <f>ROUND(R1943+(R1943*Assumptions!R$5),-3)</f>
        <v>2000</v>
      </c>
    </row>
    <row r="1944" spans="1:19" x14ac:dyDescent="0.2">
      <c r="A1944" s="54"/>
      <c r="B1944" s="79"/>
      <c r="E1944" s="144"/>
      <c r="F1944" s="1618"/>
      <c r="G1944" s="385"/>
      <c r="H1944" s="9"/>
      <c r="I1944" s="85"/>
      <c r="J1944" s="9"/>
      <c r="K1944" s="9"/>
      <c r="L1944" s="9"/>
      <c r="M1944" s="9"/>
      <c r="N1944" s="9"/>
      <c r="O1944" s="9"/>
      <c r="P1944" s="9"/>
      <c r="Q1944" s="9"/>
      <c r="R1944" s="9"/>
      <c r="S1944" s="47"/>
    </row>
    <row r="1945" spans="1:19" x14ac:dyDescent="0.2">
      <c r="A1945" s="54"/>
      <c r="B1945" s="79"/>
      <c r="E1945" s="144"/>
      <c r="F1945" s="2065"/>
      <c r="G1945" s="1189" t="s">
        <v>3685</v>
      </c>
      <c r="H1945" s="9"/>
      <c r="I1945" s="85"/>
      <c r="J1945" s="9"/>
      <c r="K1945" s="9"/>
      <c r="L1945" s="9"/>
      <c r="M1945" s="9"/>
      <c r="N1945" s="9"/>
      <c r="O1945" s="9"/>
      <c r="P1945" s="9"/>
      <c r="Q1945" s="9"/>
      <c r="R1945" s="9"/>
      <c r="S1945" s="47"/>
    </row>
    <row r="1946" spans="1:19" x14ac:dyDescent="0.2">
      <c r="A1946" s="54">
        <f>198100+30900</f>
        <v>229000</v>
      </c>
      <c r="B1946" s="79">
        <v>129300</v>
      </c>
      <c r="C1946" s="136">
        <v>135000</v>
      </c>
      <c r="D1946" s="136">
        <v>454600</v>
      </c>
      <c r="E1946" s="144">
        <v>193200</v>
      </c>
      <c r="F1946" s="469" t="s">
        <v>1206</v>
      </c>
      <c r="G1946" s="385" t="s">
        <v>3720</v>
      </c>
      <c r="H1946" s="9">
        <v>241100</v>
      </c>
      <c r="I1946" s="85">
        <f>IF(E1946=H1946,0,IF(E1946=0,100,(H1946-E1946)/E1946*100))</f>
        <v>24.792960662525878</v>
      </c>
      <c r="J1946" s="9">
        <f>ROUND(H1946+(H1946*Assumptions!I$5),-3)</f>
        <v>247000</v>
      </c>
      <c r="K1946" s="9">
        <f>ROUND(J1946+(J1946*Assumptions!J$5),-3)</f>
        <v>253000</v>
      </c>
      <c r="L1946" s="9">
        <f>ROUND(K1946+(K1946*Assumptions!K$5),-3)</f>
        <v>259000</v>
      </c>
      <c r="M1946" s="9">
        <f>ROUND(L1946+(L1946*Assumptions!L$5),-3)</f>
        <v>265000</v>
      </c>
      <c r="N1946" s="9">
        <f>ROUND(M1946+(M1946*Assumptions!M$5),-3)</f>
        <v>272000</v>
      </c>
      <c r="O1946" s="9">
        <f>ROUND(N1946+(N1946*Assumptions!N$5),-3)</f>
        <v>279000</v>
      </c>
      <c r="P1946" s="9">
        <f>ROUND(O1946+(O1946*Assumptions!O$5),-3)</f>
        <v>286000</v>
      </c>
      <c r="Q1946" s="9">
        <f>ROUND(P1946+(P1946*Assumptions!P$5),-3)</f>
        <v>293000</v>
      </c>
      <c r="R1946" s="9">
        <f>ROUND(Q1946+(Q1946*Assumptions!Q$5),-3)</f>
        <v>300000</v>
      </c>
      <c r="S1946" s="47">
        <f>ROUND(R1946+(R1946*Assumptions!R$5),-3)</f>
        <v>308000</v>
      </c>
    </row>
    <row r="1947" spans="1:19" x14ac:dyDescent="0.2">
      <c r="A1947" s="54">
        <v>1300</v>
      </c>
      <c r="B1947" s="79">
        <v>100</v>
      </c>
      <c r="C1947" s="136">
        <v>0</v>
      </c>
      <c r="D1947" s="136">
        <v>13800</v>
      </c>
      <c r="E1947" s="144">
        <v>8900</v>
      </c>
      <c r="F1947" s="469" t="s">
        <v>1207</v>
      </c>
      <c r="G1947" s="385" t="s">
        <v>2714</v>
      </c>
      <c r="H1947" s="9">
        <v>2000</v>
      </c>
      <c r="I1947" s="85">
        <f>IF(E1947=H1947,0,IF(E1947=0,100,(H1947-E1947)/E1947*100))</f>
        <v>-77.528089887640448</v>
      </c>
      <c r="J1947" s="9">
        <f>ROUND(H1947+(H1947*Assumptions!I$5),-3)</f>
        <v>2000</v>
      </c>
      <c r="K1947" s="9">
        <f>ROUND(J1947+(J1947*Assumptions!J$5),-3)</f>
        <v>2000</v>
      </c>
      <c r="L1947" s="9">
        <f>ROUND(K1947+(K1947*Assumptions!K$5),-3)</f>
        <v>2000</v>
      </c>
      <c r="M1947" s="9">
        <f>ROUND(L1947+(L1947*Assumptions!L$5),-3)</f>
        <v>2000</v>
      </c>
      <c r="N1947" s="9">
        <f>ROUND(M1947+(M1947*Assumptions!M$5),-3)</f>
        <v>2000</v>
      </c>
      <c r="O1947" s="9">
        <f>ROUND(N1947+(N1947*Assumptions!N$5),-3)</f>
        <v>2000</v>
      </c>
      <c r="P1947" s="9">
        <f>ROUND(O1947+(O1947*Assumptions!O$5),-3)</f>
        <v>2000</v>
      </c>
      <c r="Q1947" s="9">
        <f>ROUND(P1947+(P1947*Assumptions!P$5),-3)</f>
        <v>2000</v>
      </c>
      <c r="R1947" s="9">
        <f>ROUND(Q1947+(Q1947*Assumptions!Q$5),-3)</f>
        <v>2000</v>
      </c>
      <c r="S1947" s="47">
        <f>ROUND(R1947+(R1947*Assumptions!R$5),-3)</f>
        <v>2000</v>
      </c>
    </row>
    <row r="1948" spans="1:19" x14ac:dyDescent="0.2">
      <c r="A1948" s="54">
        <v>7500</v>
      </c>
      <c r="B1948" s="79">
        <v>1900</v>
      </c>
      <c r="C1948" s="136">
        <v>38600</v>
      </c>
      <c r="D1948" s="136">
        <v>117800</v>
      </c>
      <c r="E1948" s="144">
        <v>22100</v>
      </c>
      <c r="F1948" s="469" t="s">
        <v>1208</v>
      </c>
      <c r="G1948" s="385" t="s">
        <v>2501</v>
      </c>
      <c r="H1948" s="9">
        <f>84000-10000</f>
        <v>74000</v>
      </c>
      <c r="I1948" s="85">
        <f>IF(E1948=H1948,0,IF(E1948=0,100,(H1948-E1948)/E1948*100))</f>
        <v>234.84162895927602</v>
      </c>
      <c r="J1948" s="9">
        <f>ROUND(H1948+(H1948*Assumptions!I$5),-3)</f>
        <v>76000</v>
      </c>
      <c r="K1948" s="9">
        <f>ROUND(J1948+(J1948*Assumptions!J$5),-3)</f>
        <v>78000</v>
      </c>
      <c r="L1948" s="9">
        <f>ROUND(K1948+(K1948*Assumptions!K$5),-3)</f>
        <v>80000</v>
      </c>
      <c r="M1948" s="9">
        <f>ROUND(L1948+(L1948*Assumptions!L$5),-3)</f>
        <v>82000</v>
      </c>
      <c r="N1948" s="9">
        <f>ROUND(M1948+(M1948*Assumptions!M$5),-3)</f>
        <v>84000</v>
      </c>
      <c r="O1948" s="9">
        <f>ROUND(N1948+(N1948*Assumptions!N$5),-3)</f>
        <v>86000</v>
      </c>
      <c r="P1948" s="9">
        <f>ROUND(O1948+(O1948*Assumptions!O$5),-3)</f>
        <v>88000</v>
      </c>
      <c r="Q1948" s="9">
        <f>ROUND(P1948+(P1948*Assumptions!P$5),-3)</f>
        <v>90000</v>
      </c>
      <c r="R1948" s="9">
        <f>ROUND(Q1948+(Q1948*Assumptions!Q$5),-3)</f>
        <v>92000</v>
      </c>
      <c r="S1948" s="47">
        <f>ROUND(R1948+(R1948*Assumptions!R$5),-3)</f>
        <v>94000</v>
      </c>
    </row>
    <row r="1949" spans="1:19" x14ac:dyDescent="0.2">
      <c r="A1949" s="54"/>
      <c r="B1949" s="79"/>
      <c r="E1949" s="144"/>
      <c r="F1949" s="469"/>
      <c r="G1949" s="385"/>
      <c r="H1949" s="9"/>
      <c r="I1949" s="85"/>
      <c r="J1949" s="9"/>
      <c r="K1949" s="9"/>
      <c r="L1949" s="9"/>
      <c r="M1949" s="9"/>
      <c r="N1949" s="9"/>
      <c r="O1949" s="9"/>
      <c r="P1949" s="9"/>
      <c r="Q1949" s="9"/>
      <c r="R1949" s="9"/>
      <c r="S1949" s="47"/>
    </row>
    <row r="1950" spans="1:19" x14ac:dyDescent="0.2">
      <c r="A1950" s="54"/>
      <c r="B1950" s="79"/>
      <c r="E1950" s="144"/>
      <c r="F1950" s="469"/>
      <c r="G1950" s="1189" t="s">
        <v>3686</v>
      </c>
      <c r="H1950" s="9"/>
      <c r="I1950" s="85"/>
      <c r="J1950" s="9"/>
      <c r="K1950" s="9"/>
      <c r="L1950" s="9"/>
      <c r="M1950" s="9"/>
      <c r="N1950" s="9"/>
      <c r="O1950" s="9"/>
      <c r="P1950" s="9"/>
      <c r="Q1950" s="9"/>
      <c r="R1950" s="9"/>
      <c r="S1950" s="47"/>
    </row>
    <row r="1951" spans="1:19" x14ac:dyDescent="0.2">
      <c r="A1951" s="54">
        <v>40000</v>
      </c>
      <c r="B1951" s="79">
        <v>700</v>
      </c>
      <c r="C1951" s="136">
        <v>17400</v>
      </c>
      <c r="D1951" s="136">
        <v>0</v>
      </c>
      <c r="E1951" s="144">
        <v>0</v>
      </c>
      <c r="F1951" s="769" t="s">
        <v>4070</v>
      </c>
      <c r="G1951" s="661" t="s">
        <v>3392</v>
      </c>
      <c r="H1951" s="9">
        <v>10000</v>
      </c>
      <c r="I1951" s="85">
        <f>IF(E1951=H1951,0,IF(E1951=0,100,(H1951-E1951)/E1951*100))</f>
        <v>100</v>
      </c>
      <c r="J1951" s="9">
        <f>ROUND(H1951+(H1951*Assumptions!I$5),-3)</f>
        <v>10000</v>
      </c>
      <c r="K1951" s="9">
        <f>ROUND(J1951+(J1951*Assumptions!J$5),-3)</f>
        <v>10000</v>
      </c>
      <c r="L1951" s="9">
        <f>ROUND(K1951+(K1951*Assumptions!K$5),-3)</f>
        <v>10000</v>
      </c>
      <c r="M1951" s="9">
        <f>ROUND(L1951+(L1951*Assumptions!L$5),-3)</f>
        <v>10000</v>
      </c>
      <c r="N1951" s="9">
        <f>ROUND(M1951+(M1951*Assumptions!M$5),-3)</f>
        <v>10000</v>
      </c>
      <c r="O1951" s="9">
        <f>ROUND(N1951+(N1951*Assumptions!N$5),-3)</f>
        <v>10000</v>
      </c>
      <c r="P1951" s="9">
        <f>ROUND(O1951+(O1951*Assumptions!O$5),-3)</f>
        <v>10000</v>
      </c>
      <c r="Q1951" s="9">
        <f>ROUND(P1951+(P1951*Assumptions!P$5),-3)</f>
        <v>10000</v>
      </c>
      <c r="R1951" s="9">
        <f>ROUND(Q1951+(Q1951*Assumptions!Q$5),-3)</f>
        <v>10000</v>
      </c>
      <c r="S1951" s="47">
        <f>ROUND(R1951+(R1951*Assumptions!R$5),-3)</f>
        <v>10000</v>
      </c>
    </row>
    <row r="1952" spans="1:19" x14ac:dyDescent="0.2">
      <c r="A1952" s="54">
        <v>0</v>
      </c>
      <c r="B1952" s="79">
        <v>0</v>
      </c>
      <c r="C1952" s="136">
        <v>18400</v>
      </c>
      <c r="D1952" s="136">
        <v>4000</v>
      </c>
      <c r="E1952" s="144">
        <v>0</v>
      </c>
      <c r="F1952" s="769" t="s">
        <v>4430</v>
      </c>
      <c r="G1952" s="661" t="s">
        <v>5435</v>
      </c>
      <c r="H1952" s="9">
        <v>0</v>
      </c>
      <c r="I1952" s="85">
        <f>IF(E1952=H1952,0,IF(E1952=0,100,(H1952-E1952)/E1952*100))</f>
        <v>0</v>
      </c>
      <c r="J1952" s="9">
        <f>ROUND(H1952+(H1952*Assumptions!I$5),-3)</f>
        <v>0</v>
      </c>
      <c r="K1952" s="9">
        <f>ROUND(J1952+(J1952*Assumptions!J$5),-3)</f>
        <v>0</v>
      </c>
      <c r="L1952" s="9">
        <f>ROUND(K1952+(K1952*Assumptions!K$5),-3)</f>
        <v>0</v>
      </c>
      <c r="M1952" s="9">
        <f>ROUND(L1952+(L1952*Assumptions!L$5),-3)</f>
        <v>0</v>
      </c>
      <c r="N1952" s="9">
        <f>ROUND(M1952+(M1952*Assumptions!M$5),-3)</f>
        <v>0</v>
      </c>
      <c r="O1952" s="9">
        <f>ROUND(N1952+(N1952*Assumptions!N$5),-3)</f>
        <v>0</v>
      </c>
      <c r="P1952" s="9">
        <f>ROUND(O1952+(O1952*Assumptions!O$5),-3)</f>
        <v>0</v>
      </c>
      <c r="Q1952" s="9">
        <f>ROUND(P1952+(P1952*Assumptions!P$5),-3)</f>
        <v>0</v>
      </c>
      <c r="R1952" s="9">
        <f>ROUND(Q1952+(Q1952*Assumptions!Q$5),-3)</f>
        <v>0</v>
      </c>
      <c r="S1952" s="47">
        <f>ROUND(R1952+(R1952*Assumptions!R$5),-3)</f>
        <v>0</v>
      </c>
    </row>
    <row r="1953" spans="1:21" x14ac:dyDescent="0.2">
      <c r="A1953" s="54">
        <v>23700</v>
      </c>
      <c r="B1953" s="79">
        <v>16600</v>
      </c>
      <c r="C1953" s="136">
        <v>39000</v>
      </c>
      <c r="D1953" s="136">
        <v>15900</v>
      </c>
      <c r="E1953" s="144">
        <v>20900</v>
      </c>
      <c r="F1953" s="469" t="s">
        <v>2030</v>
      </c>
      <c r="G1953" s="661" t="s">
        <v>3252</v>
      </c>
      <c r="H1953" s="9">
        <v>27000</v>
      </c>
      <c r="I1953" s="85">
        <f>IF(E1953=H1953,0,IF(E1953=0,100,(H1953-E1953)/E1953*100))</f>
        <v>29.186602870813399</v>
      </c>
      <c r="J1953" s="9">
        <f>ROUND(H1953+(H1953*Assumptions!I$5),-3)</f>
        <v>28000</v>
      </c>
      <c r="K1953" s="9">
        <f>ROUND(J1953+(J1953*Assumptions!J$5),-3)</f>
        <v>29000</v>
      </c>
      <c r="L1953" s="9">
        <f>ROUND(K1953+(K1953*Assumptions!K$5),-3)</f>
        <v>30000</v>
      </c>
      <c r="M1953" s="9">
        <f>ROUND(L1953+(L1953*Assumptions!L$5),-3)</f>
        <v>31000</v>
      </c>
      <c r="N1953" s="9">
        <f>ROUND(M1953+(M1953*Assumptions!M$5),-3)</f>
        <v>32000</v>
      </c>
      <c r="O1953" s="9">
        <f>ROUND(N1953+(N1953*Assumptions!N$5),-3)</f>
        <v>33000</v>
      </c>
      <c r="P1953" s="9">
        <f>ROUND(O1953+(O1953*Assumptions!O$5),-3)</f>
        <v>34000</v>
      </c>
      <c r="Q1953" s="9">
        <f>ROUND(P1953+(P1953*Assumptions!P$5),-3)</f>
        <v>35000</v>
      </c>
      <c r="R1953" s="9">
        <f>ROUND(Q1953+(Q1953*Assumptions!Q$5),-3)</f>
        <v>36000</v>
      </c>
      <c r="S1953" s="47">
        <f>ROUND(R1953+(R1953*Assumptions!R$5),-3)</f>
        <v>37000</v>
      </c>
    </row>
    <row r="1954" spans="1:21" x14ac:dyDescent="0.2">
      <c r="A1954" s="54">
        <v>0</v>
      </c>
      <c r="B1954" s="79">
        <v>0</v>
      </c>
      <c r="C1954" s="136">
        <v>0</v>
      </c>
      <c r="D1954" s="136">
        <v>156300</v>
      </c>
      <c r="E1954" s="144">
        <v>0</v>
      </c>
      <c r="F1954" s="769" t="s">
        <v>6612</v>
      </c>
      <c r="G1954" s="661" t="s">
        <v>5962</v>
      </c>
      <c r="H1954" s="9">
        <v>0</v>
      </c>
      <c r="I1954" s="85">
        <f>IF(E1954=H1954,0,IF(E1954=0,100,(H1954-E1954)/E1954*100))</f>
        <v>0</v>
      </c>
      <c r="J1954" s="9">
        <v>0</v>
      </c>
      <c r="K1954" s="9">
        <v>0</v>
      </c>
      <c r="L1954" s="9">
        <v>0</v>
      </c>
      <c r="M1954" s="9">
        <v>0</v>
      </c>
      <c r="N1954" s="9">
        <v>0</v>
      </c>
      <c r="O1954" s="9">
        <v>0</v>
      </c>
      <c r="P1954" s="9">
        <v>0</v>
      </c>
      <c r="Q1954" s="9">
        <v>0</v>
      </c>
      <c r="R1954" s="9">
        <v>0</v>
      </c>
      <c r="S1954" s="47">
        <v>0</v>
      </c>
    </row>
    <row r="1955" spans="1:21" x14ac:dyDescent="0.2">
      <c r="A1955" s="54">
        <v>0</v>
      </c>
      <c r="B1955" s="79">
        <v>0</v>
      </c>
      <c r="C1955" s="136">
        <v>0</v>
      </c>
      <c r="D1955" s="136">
        <v>635400</v>
      </c>
      <c r="E1955" s="144">
        <v>0</v>
      </c>
      <c r="F1955" s="769" t="s">
        <v>6613</v>
      </c>
      <c r="G1955" s="661" t="s">
        <v>6702</v>
      </c>
      <c r="H1955" s="9">
        <v>0</v>
      </c>
      <c r="I1955" s="85">
        <f>IF(E1955=H1955,0,IF(E1955=0,100,(H1955-E1955)/E1955*100))</f>
        <v>0</v>
      </c>
      <c r="J1955" s="9">
        <v>0</v>
      </c>
      <c r="K1955" s="9">
        <v>0</v>
      </c>
      <c r="L1955" s="9">
        <v>0</v>
      </c>
      <c r="M1955" s="9">
        <v>0</v>
      </c>
      <c r="N1955" s="9">
        <v>0</v>
      </c>
      <c r="O1955" s="9">
        <v>0</v>
      </c>
      <c r="P1955" s="9">
        <v>0</v>
      </c>
      <c r="Q1955" s="9">
        <v>0</v>
      </c>
      <c r="R1955" s="9">
        <v>0</v>
      </c>
      <c r="S1955" s="47">
        <v>0</v>
      </c>
    </row>
    <row r="1956" spans="1:21" x14ac:dyDescent="0.2">
      <c r="A1956" s="54"/>
      <c r="B1956" s="9"/>
      <c r="E1956" s="144"/>
      <c r="F1956" s="1618"/>
      <c r="G1956" s="385"/>
      <c r="H1956" s="9"/>
      <c r="I1956" s="85"/>
      <c r="J1956" s="9"/>
      <c r="K1956" s="9"/>
      <c r="L1956" s="9"/>
      <c r="M1956" s="9"/>
      <c r="N1956" s="9"/>
      <c r="O1956" s="9"/>
      <c r="P1956" s="9"/>
      <c r="Q1956" s="9"/>
      <c r="R1956" s="9"/>
      <c r="S1956" s="47"/>
    </row>
    <row r="1957" spans="1:21" x14ac:dyDescent="0.2">
      <c r="A1957" s="54"/>
      <c r="B1957" s="9"/>
      <c r="E1957" s="144"/>
      <c r="F1957" s="167"/>
      <c r="G1957" s="21" t="str">
        <f>G101</f>
        <v>Non-Cash Expenses</v>
      </c>
      <c r="H1957" s="9"/>
      <c r="I1957" s="85"/>
      <c r="J1957" s="9"/>
      <c r="K1957" s="9"/>
      <c r="L1957" s="9"/>
      <c r="M1957" s="9"/>
      <c r="N1957" s="9"/>
      <c r="O1957" s="9"/>
      <c r="P1957" s="9"/>
      <c r="Q1957" s="9"/>
      <c r="R1957" s="9"/>
      <c r="S1957" s="47"/>
    </row>
    <row r="1958" spans="1:21" x14ac:dyDescent="0.2">
      <c r="A1958" s="54">
        <v>1086400</v>
      </c>
      <c r="B1958" s="9">
        <f>1227300-B1959</f>
        <v>1073600</v>
      </c>
      <c r="C1958" s="136">
        <v>1081300</v>
      </c>
      <c r="D1958" s="136">
        <v>1071900</v>
      </c>
      <c r="E1958" s="144">
        <v>900</v>
      </c>
      <c r="F1958" s="469" t="s">
        <v>2032</v>
      </c>
      <c r="G1958" s="420" t="s">
        <v>2035</v>
      </c>
      <c r="H1958" s="9">
        <v>1126100</v>
      </c>
      <c r="I1958" s="85">
        <f>IF(E1958=H1958,0,IF(E1958=0,100,(H1958-E1958)/E1958*100))</f>
        <v>125022.22222222222</v>
      </c>
      <c r="J1958" s="9">
        <f>ROUNDUP(H1958+(H1958*Assumptions!I$18),-2)</f>
        <v>1148700</v>
      </c>
      <c r="K1958" s="9">
        <f>ROUNDUP(J1958+(J1958*Assumptions!J$18),-2)</f>
        <v>1171700</v>
      </c>
      <c r="L1958" s="9">
        <f>ROUNDUP(K1958+(K1958*Assumptions!K$18),-2)</f>
        <v>1195200</v>
      </c>
      <c r="M1958" s="9">
        <f>ROUNDUP(L1958+(L1958*Assumptions!L$18),-2)</f>
        <v>1219200</v>
      </c>
      <c r="N1958" s="9">
        <f>ROUNDUP(M1958+(M1958*Assumptions!M$18),-2)</f>
        <v>1243600</v>
      </c>
      <c r="O1958" s="9">
        <f>ROUNDUP(N1958+(N1958*Assumptions!N$18),-2)</f>
        <v>1268500</v>
      </c>
      <c r="P1958" s="9">
        <f>ROUNDUP(O1958+(O1958*Assumptions!O$18),-2)</f>
        <v>1293900</v>
      </c>
      <c r="Q1958" s="9">
        <f>ROUNDUP(P1958+(P1958*Assumptions!P$18),-2)</f>
        <v>1319800</v>
      </c>
      <c r="R1958" s="9">
        <f>ROUNDUP(Q1958+(Q1958*Assumptions!Q$18),-2)</f>
        <v>1346200</v>
      </c>
      <c r="S1958" s="47">
        <f>ROUNDUP(R1958+(R1958*Assumptions!R$18),-2)</f>
        <v>1373200</v>
      </c>
    </row>
    <row r="1959" spans="1:21" x14ac:dyDescent="0.2">
      <c r="A1959" s="54">
        <v>260000</v>
      </c>
      <c r="B1959" s="9">
        <v>153700</v>
      </c>
      <c r="C1959" s="136">
        <v>131200</v>
      </c>
      <c r="D1959" s="136">
        <v>122400</v>
      </c>
      <c r="E1959" s="1442">
        <v>122400</v>
      </c>
      <c r="F1959" s="469" t="s">
        <v>2589</v>
      </c>
      <c r="G1959" s="420" t="s">
        <v>2109</v>
      </c>
      <c r="H1959" s="9">
        <v>137700</v>
      </c>
      <c r="I1959" s="85">
        <f>IF(E1959=H1959,0,IF(E1959=0,100,(H1959-E1959)/E1959*100))</f>
        <v>12.5</v>
      </c>
      <c r="J1959" s="9">
        <f>ROUNDUP(H1959+(H1959*Assumptions!I$18),-2)</f>
        <v>140500</v>
      </c>
      <c r="K1959" s="9">
        <f>ROUNDUP(J1959+(J1959*Assumptions!J$18),-2)</f>
        <v>143400</v>
      </c>
      <c r="L1959" s="9">
        <f>ROUNDUP(K1959+(K1959*Assumptions!K$18),-2)</f>
        <v>146300</v>
      </c>
      <c r="M1959" s="9">
        <f>ROUNDUP(L1959+(L1959*Assumptions!L$18),-2)</f>
        <v>149300</v>
      </c>
      <c r="N1959" s="9">
        <f>ROUNDUP(M1959+(M1959*Assumptions!M$18),-2)</f>
        <v>152300</v>
      </c>
      <c r="O1959" s="9">
        <f>ROUNDUP(N1959+(N1959*Assumptions!N$18),-2)</f>
        <v>155400</v>
      </c>
      <c r="P1959" s="9">
        <f>ROUNDUP(O1959+(O1959*Assumptions!O$18),-2)</f>
        <v>158600</v>
      </c>
      <c r="Q1959" s="9">
        <f>ROUNDUP(P1959+(P1959*Assumptions!P$18),-2)</f>
        <v>161800</v>
      </c>
      <c r="R1959" s="9">
        <f>ROUNDUP(Q1959+(Q1959*Assumptions!Q$18),-2)</f>
        <v>165100</v>
      </c>
      <c r="S1959" s="47">
        <f>ROUNDUP(R1959+(R1959*Assumptions!R$18),-2)</f>
        <v>168500</v>
      </c>
    </row>
    <row r="1960" spans="1:21" x14ac:dyDescent="0.2">
      <c r="A1960" s="54">
        <v>191200</v>
      </c>
      <c r="B1960" s="9">
        <v>67300</v>
      </c>
      <c r="C1960" s="136">
        <v>65300</v>
      </c>
      <c r="D1960" s="136">
        <v>53200</v>
      </c>
      <c r="E1960" s="1442">
        <v>40500</v>
      </c>
      <c r="F1960" s="469" t="s">
        <v>2108</v>
      </c>
      <c r="G1960" s="781" t="s">
        <v>4922</v>
      </c>
      <c r="H1960" s="9">
        <v>0</v>
      </c>
      <c r="I1960" s="85">
        <f>IF(E1960=H1960,0,IF(E1960=0,100,(H1960-E1960)/E1960*100))</f>
        <v>-100</v>
      </c>
      <c r="J1960" s="9">
        <v>0</v>
      </c>
      <c r="K1960" s="9">
        <v>0</v>
      </c>
      <c r="L1960" s="9">
        <v>0</v>
      </c>
      <c r="M1960" s="9">
        <v>0</v>
      </c>
      <c r="N1960" s="9">
        <v>0</v>
      </c>
      <c r="O1960" s="9">
        <v>0</v>
      </c>
      <c r="P1960" s="9">
        <v>0</v>
      </c>
      <c r="Q1960" s="9">
        <v>0</v>
      </c>
      <c r="R1960" s="9">
        <v>0</v>
      </c>
      <c r="S1960" s="47">
        <v>0</v>
      </c>
    </row>
    <row r="1961" spans="1:21" ht="13.5" thickBot="1" x14ac:dyDescent="0.25">
      <c r="A1961" s="54"/>
      <c r="B1961" s="9"/>
      <c r="D1961" s="134"/>
      <c r="E1961" s="1442"/>
      <c r="F1961" s="167"/>
      <c r="G1961" s="167"/>
      <c r="H1961" s="9"/>
      <c r="I1961" s="85"/>
      <c r="J1961" s="9"/>
      <c r="K1961" s="9"/>
      <c r="L1961" s="9"/>
      <c r="M1961" s="9"/>
      <c r="N1961" s="9"/>
      <c r="O1961" s="9"/>
      <c r="P1961" s="9"/>
      <c r="Q1961" s="9"/>
      <c r="R1961" s="9"/>
      <c r="S1961" s="47"/>
    </row>
    <row r="1962" spans="1:21" x14ac:dyDescent="0.2">
      <c r="A1962" s="52">
        <f>SUM(A1814:A1961)</f>
        <v>2750900</v>
      </c>
      <c r="B1962" s="16">
        <f>SUM(B1814:B1961)</f>
        <v>2493800</v>
      </c>
      <c r="C1962" s="137">
        <f>SUM(C1814:C1961)</f>
        <v>2612000</v>
      </c>
      <c r="D1962" s="137">
        <f>SUM(D1814:D1961)</f>
        <v>3544300</v>
      </c>
      <c r="E1962" s="1443">
        <f>SUM(E1814:E1961)</f>
        <v>1463000</v>
      </c>
      <c r="F1962" s="126"/>
      <c r="G1962" s="267" t="s">
        <v>556</v>
      </c>
      <c r="H1962" s="16">
        <f t="shared" ref="H1962:Q1962" si="2246">SUM(H1814:H1961)</f>
        <v>2413100</v>
      </c>
      <c r="I1962" s="127">
        <f>IF(E1962=H1962,0,IF(E1962=0,100,(H1962-E1962)/E1962*100))</f>
        <v>64.941900205058104</v>
      </c>
      <c r="J1962" s="16">
        <f t="shared" si="2246"/>
        <v>2309200</v>
      </c>
      <c r="K1962" s="16">
        <f t="shared" si="2246"/>
        <v>2364100</v>
      </c>
      <c r="L1962" s="16">
        <f t="shared" si="2246"/>
        <v>2420500</v>
      </c>
      <c r="M1962" s="16">
        <f t="shared" si="2246"/>
        <v>2475500</v>
      </c>
      <c r="N1962" s="16">
        <f t="shared" si="2246"/>
        <v>2535900</v>
      </c>
      <c r="O1962" s="16">
        <f t="shared" si="2246"/>
        <v>2596900</v>
      </c>
      <c r="P1962" s="16">
        <f t="shared" si="2246"/>
        <v>2659500</v>
      </c>
      <c r="Q1962" s="16">
        <f t="shared" si="2246"/>
        <v>2721600</v>
      </c>
      <c r="R1962" s="16">
        <f t="shared" ref="R1962" si="2247">SUM(R1814:R1961)</f>
        <v>2785300</v>
      </c>
      <c r="S1962" s="2342">
        <f t="shared" ref="S1962" si="2248">SUM(S1814:S1961)</f>
        <v>2852700</v>
      </c>
    </row>
    <row r="1963" spans="1:21" x14ac:dyDescent="0.2">
      <c r="A1963" s="54"/>
      <c r="B1963" s="9"/>
      <c r="E1963" s="1442"/>
      <c r="F1963" s="85"/>
      <c r="G1963" s="257"/>
      <c r="H1963" s="21"/>
      <c r="I1963" s="85"/>
      <c r="J1963" s="21"/>
      <c r="K1963" s="21"/>
      <c r="L1963" s="21"/>
      <c r="M1963" s="21"/>
      <c r="N1963" s="21"/>
      <c r="O1963" s="21"/>
      <c r="P1963" s="21"/>
      <c r="Q1963" s="21"/>
      <c r="R1963" s="21"/>
      <c r="S1963" s="86"/>
    </row>
    <row r="1964" spans="1:21" x14ac:dyDescent="0.2">
      <c r="A1964" s="24">
        <f>A1813-A1962</f>
        <v>-253900</v>
      </c>
      <c r="B1964" s="21">
        <f>B1813-B1962</f>
        <v>226400</v>
      </c>
      <c r="C1964" s="139">
        <f>C1813-C1962</f>
        <v>1346300</v>
      </c>
      <c r="D1964" s="139">
        <f>D1813-D1962</f>
        <v>300200</v>
      </c>
      <c r="E1964" s="1444">
        <f>E1813-E1962</f>
        <v>1887400</v>
      </c>
      <c r="F1964" s="173"/>
      <c r="G1964" s="361" t="s">
        <v>1002</v>
      </c>
      <c r="H1964" s="21">
        <f t="shared" ref="H1964:Q1964" si="2249">H1813-H1962</f>
        <v>-302100</v>
      </c>
      <c r="I1964" s="126">
        <f>IF(E1964=H1964,0,IF(E1964=0,100,(H1964-E1964)/E1964*100))</f>
        <v>-116.00614602098125</v>
      </c>
      <c r="J1964" s="21">
        <f t="shared" si="2249"/>
        <v>-170200</v>
      </c>
      <c r="K1964" s="21">
        <f t="shared" si="2249"/>
        <v>-131100</v>
      </c>
      <c r="L1964" s="21">
        <f t="shared" si="2249"/>
        <v>-144500</v>
      </c>
      <c r="M1964" s="21">
        <f t="shared" si="2249"/>
        <v>-157500</v>
      </c>
      <c r="N1964" s="21">
        <f t="shared" si="2249"/>
        <v>-176900</v>
      </c>
      <c r="O1964" s="21">
        <f t="shared" si="2249"/>
        <v>-196900</v>
      </c>
      <c r="P1964" s="21">
        <f t="shared" si="2249"/>
        <v>-208500</v>
      </c>
      <c r="Q1964" s="21">
        <f t="shared" si="2249"/>
        <v>-217600</v>
      </c>
      <c r="R1964" s="21">
        <f t="shared" ref="R1964" si="2250">R1813-R1962</f>
        <v>-227300</v>
      </c>
      <c r="S1964" s="86">
        <f t="shared" ref="S1964" si="2251">S1813-S1962</f>
        <v>-238700</v>
      </c>
    </row>
    <row r="1965" spans="1:21" x14ac:dyDescent="0.2">
      <c r="A1965" s="54">
        <f t="shared" ref="A1965:B1965" si="2252">SUM(A1958:A1960)</f>
        <v>1537600</v>
      </c>
      <c r="B1965" s="9">
        <f t="shared" si="2252"/>
        <v>1294600</v>
      </c>
      <c r="C1965" s="136">
        <f>SUM(C1958:C1960)</f>
        <v>1277800</v>
      </c>
      <c r="D1965" s="136">
        <f>SUM(D1958:D1960)</f>
        <v>1247500</v>
      </c>
      <c r="E1965" s="1442">
        <f t="shared" ref="E1965" si="2253">SUM(E1958:E1960)</f>
        <v>163800</v>
      </c>
      <c r="F1965" s="167"/>
      <c r="G1965" s="261" t="s">
        <v>4515</v>
      </c>
      <c r="H1965" s="9">
        <f t="shared" ref="H1965:O1965" si="2254">SUM(H1958:H1960)</f>
        <v>1263800</v>
      </c>
      <c r="I1965" s="85">
        <f>IF(E1965=H1965,0,IF(E1965=0,100,(H1965-E1965)/E1965*100))</f>
        <v>671.55067155067161</v>
      </c>
      <c r="J1965" s="9">
        <f t="shared" si="2254"/>
        <v>1289200</v>
      </c>
      <c r="K1965" s="9">
        <f t="shared" si="2254"/>
        <v>1315100</v>
      </c>
      <c r="L1965" s="9">
        <f t="shared" si="2254"/>
        <v>1341500</v>
      </c>
      <c r="M1965" s="9">
        <f t="shared" si="2254"/>
        <v>1368500</v>
      </c>
      <c r="N1965" s="9">
        <f t="shared" si="2254"/>
        <v>1395900</v>
      </c>
      <c r="O1965" s="9">
        <f t="shared" si="2254"/>
        <v>1423900</v>
      </c>
      <c r="P1965" s="9">
        <f t="shared" ref="P1965:Q1965" si="2255">SUM(P1958:P1960)</f>
        <v>1452500</v>
      </c>
      <c r="Q1965" s="9">
        <f t="shared" si="2255"/>
        <v>1481600</v>
      </c>
      <c r="R1965" s="9">
        <f t="shared" ref="R1965" si="2256">SUM(R1958:R1960)</f>
        <v>1511300</v>
      </c>
      <c r="S1965" s="47">
        <f t="shared" ref="S1965" si="2257">SUM(S1958:S1960)</f>
        <v>1541700</v>
      </c>
    </row>
    <row r="1966" spans="1:21" s="39" customFormat="1" x14ac:dyDescent="0.2">
      <c r="A1966" s="128">
        <f>A1964+A1965</f>
        <v>1283700</v>
      </c>
      <c r="B1966" s="280">
        <f>B1964+B1965</f>
        <v>1521000</v>
      </c>
      <c r="C1966" s="281">
        <f>C1964+C1965</f>
        <v>2624100</v>
      </c>
      <c r="D1966" s="281">
        <f>D1964+D1965</f>
        <v>1547700</v>
      </c>
      <c r="E1966" s="1515">
        <f t="shared" ref="E1966" si="2258">E1964+E1965</f>
        <v>2051200</v>
      </c>
      <c r="F1966" s="372"/>
      <c r="G1966" s="363" t="s">
        <v>1659</v>
      </c>
      <c r="H1966" s="280">
        <f t="shared" ref="H1966:O1966" si="2259">H1964+H1965</f>
        <v>961700</v>
      </c>
      <c r="I1966" s="278">
        <f>IF(E1966=H1966,0,IF(E1966=0,100,(H1966-E1966)/E1966*100))</f>
        <v>-53.115249609984396</v>
      </c>
      <c r="J1966" s="280">
        <f t="shared" si="2259"/>
        <v>1119000</v>
      </c>
      <c r="K1966" s="280">
        <f t="shared" si="2259"/>
        <v>1184000</v>
      </c>
      <c r="L1966" s="280">
        <f t="shared" si="2259"/>
        <v>1197000</v>
      </c>
      <c r="M1966" s="280">
        <f t="shared" si="2259"/>
        <v>1211000</v>
      </c>
      <c r="N1966" s="280">
        <f t="shared" si="2259"/>
        <v>1219000</v>
      </c>
      <c r="O1966" s="280">
        <f t="shared" si="2259"/>
        <v>1227000</v>
      </c>
      <c r="P1966" s="280">
        <f t="shared" ref="P1966:Q1966" si="2260">P1964+P1965</f>
        <v>1244000</v>
      </c>
      <c r="Q1966" s="280">
        <f t="shared" si="2260"/>
        <v>1264000</v>
      </c>
      <c r="R1966" s="280">
        <f t="shared" ref="R1966" si="2261">R1964+R1965</f>
        <v>1284000</v>
      </c>
      <c r="S1966" s="2343">
        <f t="shared" ref="S1966" si="2262">S1964+S1965</f>
        <v>1303000</v>
      </c>
      <c r="U1966" s="34"/>
    </row>
    <row r="1967" spans="1:21" ht="13.5" thickBot="1" x14ac:dyDescent="0.25">
      <c r="A1967" s="432"/>
      <c r="B1967" s="37"/>
      <c r="C1967" s="141"/>
      <c r="D1967" s="146"/>
      <c r="E1967" s="1520"/>
      <c r="F1967" s="168"/>
      <c r="G1967" s="168"/>
      <c r="H1967" s="68"/>
      <c r="I1967" s="275"/>
      <c r="J1967" s="68"/>
      <c r="K1967" s="68"/>
      <c r="L1967" s="68"/>
      <c r="M1967" s="68"/>
      <c r="N1967" s="68"/>
      <c r="O1967" s="68"/>
      <c r="P1967" s="68"/>
      <c r="Q1967" s="68"/>
      <c r="R1967" s="68"/>
      <c r="S1967" s="108"/>
    </row>
    <row r="1968" spans="1:21" ht="13.5" thickTop="1" x14ac:dyDescent="0.2">
      <c r="A1968" s="270"/>
      <c r="B1968" s="109"/>
      <c r="C1968" s="109"/>
      <c r="D1968" s="140"/>
      <c r="E1968" s="1516"/>
      <c r="F1968" s="109"/>
      <c r="G1968" s="109"/>
      <c r="H1968" s="74"/>
      <c r="I1968" s="352"/>
      <c r="J1968" s="74"/>
      <c r="K1968" s="74"/>
      <c r="L1968" s="74"/>
      <c r="M1968" s="74"/>
      <c r="N1968" s="74"/>
      <c r="O1968" s="74"/>
      <c r="P1968" s="74"/>
      <c r="Q1968" s="74"/>
      <c r="R1968" s="74"/>
      <c r="S1968" s="110"/>
    </row>
    <row r="1969" spans="1:21" x14ac:dyDescent="0.2">
      <c r="A1969" s="24"/>
      <c r="B1969" s="705"/>
      <c r="C1969" s="704"/>
      <c r="D1969" s="139"/>
      <c r="E1969" s="1444"/>
      <c r="F1969" s="167"/>
      <c r="G1969" s="361" t="s">
        <v>192</v>
      </c>
      <c r="H1969" s="9"/>
      <c r="I1969" s="126"/>
      <c r="J1969" s="9"/>
      <c r="K1969" s="9"/>
      <c r="L1969" s="9"/>
      <c r="M1969" s="9"/>
      <c r="N1969" s="9"/>
      <c r="O1969" s="9"/>
      <c r="P1969" s="9"/>
      <c r="Q1969" s="9"/>
      <c r="R1969" s="9"/>
      <c r="S1969" s="61"/>
    </row>
    <row r="1970" spans="1:21" x14ac:dyDescent="0.2">
      <c r="A1970" s="54">
        <v>982300</v>
      </c>
      <c r="B1970" s="9">
        <f>ROUND(SUM('Debt-Gen'!E23:'Debt-Gen'!E27),-2)</f>
        <v>1053000</v>
      </c>
      <c r="C1970" s="89">
        <f>ROUND(SUM('Debt-Gen'!G23:'Debt-Gen'!G27),-2)</f>
        <v>1135100</v>
      </c>
      <c r="D1970" s="9">
        <f>ROUND(SUM('Debt-Gen'!I23:'Debt-Gen'!I27),-2)</f>
        <v>1205600</v>
      </c>
      <c r="E1970" s="29">
        <f>ROUND(SUM('Debt-Gen'!K23:'Debt-Gen'!K27),-2)</f>
        <v>1111500</v>
      </c>
      <c r="F1970" s="167"/>
      <c r="G1970" s="257" t="str">
        <f>G1775</f>
        <v>Less Loan Principal Repayments</v>
      </c>
      <c r="H1970" s="9">
        <f>ROUND(SUM('Debt-Gen'!M23:'Debt-Gen'!M27),-2)</f>
        <v>193900</v>
      </c>
      <c r="I1970" s="126">
        <f>IF(E1970=H1970,0,IF(E1970=0,100,(H1970-E1970)/E1970*100))</f>
        <v>-82.555105713000458</v>
      </c>
      <c r="J1970" s="9">
        <f>ROUND(SUM('Debt-Gen'!O23:'Debt-Gen'!O27),-2)</f>
        <v>0</v>
      </c>
      <c r="K1970" s="9">
        <f>ROUND(SUM('Debt-Gen'!Q23:'Debt-Gen'!Q27),-2)</f>
        <v>0</v>
      </c>
      <c r="L1970" s="9">
        <f>ROUND(SUM('Debt-Gen'!S23:'Debt-Gen'!S27),-2)</f>
        <v>0</v>
      </c>
      <c r="M1970" s="9">
        <f>ROUND(SUM('Debt-Gen'!U23:'Debt-Gen'!U27),-2)</f>
        <v>0</v>
      </c>
      <c r="N1970" s="9">
        <f>ROUND(SUM('Debt-Gen'!W23:'Debt-Gen'!W27),-2)</f>
        <v>0</v>
      </c>
      <c r="O1970" s="134">
        <f>ROUND(SUM('Debt-Gen'!Y23:'Debt-Gen'!Y27),-2)</f>
        <v>0</v>
      </c>
      <c r="P1970" s="134">
        <f>ROUND(SUM('Debt-Gen'!AA23:'Debt-Gen'!AA27),-2)</f>
        <v>0</v>
      </c>
      <c r="Q1970" s="134">
        <f>ROUND(SUM('Debt-Gen'!AC23:'Debt-Gen'!AC27),-2)</f>
        <v>0</v>
      </c>
      <c r="R1970" s="134">
        <f>ROUND(SUM('Debt-Gen'!AE23:'Debt-Gen'!AE27),-2)</f>
        <v>0</v>
      </c>
      <c r="S1970" s="135">
        <f>ROUND(SUM('Debt-Gen'!AF23:'Debt-Gen'!AF27),-2)</f>
        <v>0</v>
      </c>
    </row>
    <row r="1971" spans="1:21" x14ac:dyDescent="0.2">
      <c r="A1971" s="54">
        <v>1496000</v>
      </c>
      <c r="B1971" s="9">
        <v>1626700</v>
      </c>
      <c r="C1971" s="136">
        <v>1489000</v>
      </c>
      <c r="D1971" s="136">
        <f>SUM('Res-Gen'!B250:B256)</f>
        <v>2065900</v>
      </c>
      <c r="E1971" s="144">
        <f>SUM('Res-Gen'!E250:E256)</f>
        <v>1003000</v>
      </c>
      <c r="F1971" s="167"/>
      <c r="G1971" s="257" t="str">
        <f>G1776</f>
        <v>Less Transfer to Reserves</v>
      </c>
      <c r="H1971" s="9">
        <f>SUM('Res-Gen'!H250:H256)+3000</f>
        <v>827500</v>
      </c>
      <c r="I1971" s="126">
        <f>IF(E1971=H1971,0,IF(E1971=0,100,(H1971-E1971)/E1971*100))</f>
        <v>-17.497507477567297</v>
      </c>
      <c r="J1971" s="9">
        <f>SUM('Res-Gen'!K250:K256)</f>
        <v>1119000</v>
      </c>
      <c r="K1971" s="9">
        <f>SUM('Res-Gen'!N250:N256)</f>
        <v>1184000</v>
      </c>
      <c r="L1971" s="9">
        <f>SUM('Res-Gen'!Q250:Q256)</f>
        <v>1197000</v>
      </c>
      <c r="M1971" s="9">
        <f>SUM('Res-Gen'!T250:T256)</f>
        <v>1211000</v>
      </c>
      <c r="N1971" s="9">
        <f>SUM('Res-Gen'!W250:W256)</f>
        <v>1219000</v>
      </c>
      <c r="O1971" s="9">
        <f>SUM('Res-Gen'!Z250:Z256)</f>
        <v>1227000</v>
      </c>
      <c r="P1971" s="9">
        <f>SUM('Res-Gen'!AC250:AC256)</f>
        <v>1244000</v>
      </c>
      <c r="Q1971" s="9">
        <f>SUM('Res-Gen'!AF250:AF256)</f>
        <v>1264000</v>
      </c>
      <c r="R1971" s="9">
        <f>SUM('Res-Gen'!AI250:AI256)</f>
        <v>1284000</v>
      </c>
      <c r="S1971" s="61">
        <f>SUM('Res-Gen'!AL250:AL256)</f>
        <v>1303000</v>
      </c>
    </row>
    <row r="1972" spans="1:21" x14ac:dyDescent="0.2">
      <c r="A1972" s="54">
        <v>1411800</v>
      </c>
      <c r="B1972" s="9">
        <v>1361200</v>
      </c>
      <c r="C1972" s="136">
        <v>257300</v>
      </c>
      <c r="D1972" s="136">
        <f>SUM('Res-Gen'!C250:C256)</f>
        <v>1459400</v>
      </c>
      <c r="E1972" s="144">
        <f>SUM('Res-Gen'!F250:F256)-'Res-Gen'!F252-'Res-Gen'!F251-'Res-Gen'!F254</f>
        <v>65600</v>
      </c>
      <c r="F1972" s="85"/>
      <c r="G1972" s="257" t="str">
        <f>G1777</f>
        <v>Add Transfer from Reserves</v>
      </c>
      <c r="H1972" s="9">
        <f>SUM('Res-Gen'!I250:I256)-'Res-Gen'!I252-'Res-Gen'!I251</f>
        <v>106700</v>
      </c>
      <c r="I1972" s="85">
        <f>IF(E1972=H1972,0,IF(E1972=0,100,(H1972-E1972)/E1972*100))</f>
        <v>62.65243902439024</v>
      </c>
      <c r="J1972" s="9">
        <f>SUM('Res-Gen'!L250:L256)-'Res-Gen'!L252</f>
        <v>0</v>
      </c>
      <c r="K1972" s="9">
        <f>SUM('Res-Gen'!O250:O256)-'Res-Gen'!O252</f>
        <v>0</v>
      </c>
      <c r="L1972" s="9">
        <f>SUM('Res-Gen'!R250:R256)</f>
        <v>1000000</v>
      </c>
      <c r="M1972" s="9">
        <f>SUM('Res-Gen'!U250:U256)</f>
        <v>1000000</v>
      </c>
      <c r="N1972" s="9">
        <f>SUM('Res-Gen'!X250:X256)</f>
        <v>1000000</v>
      </c>
      <c r="O1972" s="9">
        <f>SUM('Res-Gen'!AA250:AA256)</f>
        <v>1000000</v>
      </c>
      <c r="P1972" s="9">
        <f>SUM('Res-Gen'!AD250:AD256)</f>
        <v>3600000</v>
      </c>
      <c r="Q1972" s="9">
        <f>SUM('Res-Gen'!AG250:AG256)</f>
        <v>1000000</v>
      </c>
      <c r="R1972" s="9">
        <f>SUM('Res-Gen'!AJ250:AJ256)</f>
        <v>1500000</v>
      </c>
      <c r="S1972" s="61">
        <f>SUM('Res-Gen'!AM250:AM256)</f>
        <v>1500000</v>
      </c>
    </row>
    <row r="1973" spans="1:21" x14ac:dyDescent="0.2">
      <c r="A1973" s="54">
        <v>212500</v>
      </c>
      <c r="B1973" s="9">
        <v>0</v>
      </c>
      <c r="C1973" s="136">
        <v>0</v>
      </c>
      <c r="D1973" s="136">
        <v>0</v>
      </c>
      <c r="E1973" s="144">
        <v>0</v>
      </c>
      <c r="F1973" s="167"/>
      <c r="G1973" s="257" t="str">
        <f>G1778</f>
        <v>Add Capital Income Applied</v>
      </c>
      <c r="H1973" s="9">
        <v>0</v>
      </c>
      <c r="I1973" s="85">
        <f>IF(E1973=H1973,0,IF(E1973=0,100,(H1973-E1973)/E1973*100))</f>
        <v>0</v>
      </c>
      <c r="J1973" s="9">
        <v>0</v>
      </c>
      <c r="K1973" s="9">
        <v>0</v>
      </c>
      <c r="L1973" s="9">
        <v>0</v>
      </c>
      <c r="M1973" s="9">
        <v>0</v>
      </c>
      <c r="N1973" s="9">
        <v>0</v>
      </c>
      <c r="O1973" s="9">
        <v>0</v>
      </c>
      <c r="P1973" s="9">
        <v>0</v>
      </c>
      <c r="Q1973" s="9">
        <v>0</v>
      </c>
      <c r="R1973" s="9">
        <v>0</v>
      </c>
      <c r="S1973" s="61">
        <v>0</v>
      </c>
    </row>
    <row r="1974" spans="1:21" x14ac:dyDescent="0.2">
      <c r="A1974" s="54">
        <v>429700</v>
      </c>
      <c r="B1974" s="9">
        <v>152500</v>
      </c>
      <c r="C1974" s="136">
        <v>95300</v>
      </c>
      <c r="D1974" s="136">
        <f>SUM('Cap-Gen'!E209:E210)+'Cap-Gen'!E214+'Cap-Gen'!E211+'Cap-Gen'!E212+'Cap-Gen'!E213+'Cap-Gen'!E215+'Cap-Gen'!E216</f>
        <v>476500</v>
      </c>
      <c r="E1974" s="144">
        <v>0</v>
      </c>
      <c r="F1974" s="167"/>
      <c r="G1974" s="257" t="str">
        <f>G1779</f>
        <v>Less Capital Expenditure</v>
      </c>
      <c r="H1974" s="9">
        <f>SUM('Cap-Gen'!G209:G210)+'Cap-Gen'!G216+'Cap-Gen'!G211+'Cap-Gen'!G214+'Cap-Gen'!G206</f>
        <v>47000</v>
      </c>
      <c r="I1974" s="85">
        <f>IF(E1974=H1974,0,IF(E1974=0,100,(H1974-E1974)/E1974*100))</f>
        <v>100</v>
      </c>
      <c r="J1974" s="9">
        <f>SUM('Cap-Gen'!H209:H210)</f>
        <v>0</v>
      </c>
      <c r="K1974" s="9">
        <f>SUM('Cap-Gen'!I209:I210)</f>
        <v>0</v>
      </c>
      <c r="L1974" s="9">
        <f>SUM('Cap-Gen'!J209:J210)</f>
        <v>0</v>
      </c>
      <c r="M1974" s="9">
        <f>SUM('Cap-Gen'!K209:K210)</f>
        <v>0</v>
      </c>
      <c r="N1974" s="9">
        <f>SUM('Cap-Gen'!L209:L210)</f>
        <v>0</v>
      </c>
      <c r="O1974" s="9">
        <f>SUM('Cap-Gen'!M209:M210)</f>
        <v>0</v>
      </c>
      <c r="P1974" s="9">
        <f>SUM('Cap-Gen'!N209:N210)</f>
        <v>2600000</v>
      </c>
      <c r="Q1974" s="9">
        <f>SUM('Cap-Gen'!O209:O210)</f>
        <v>0</v>
      </c>
      <c r="R1974" s="9">
        <f>SUM('Cap-Gen'!P209:P210)</f>
        <v>0</v>
      </c>
      <c r="S1974" s="47">
        <f>SUM('Cap-Gen'!Q209:Q210)</f>
        <v>0</v>
      </c>
    </row>
    <row r="1975" spans="1:21" x14ac:dyDescent="0.2">
      <c r="A1975" s="54"/>
      <c r="B1975" s="9"/>
      <c r="E1975" s="144"/>
      <c r="F1975" s="167"/>
      <c r="G1975" s="167"/>
      <c r="H1975" s="9"/>
      <c r="I1975" s="401"/>
      <c r="J1975" s="9"/>
      <c r="K1975" s="9"/>
      <c r="L1975" s="9"/>
      <c r="M1975" s="9"/>
      <c r="N1975" s="9"/>
      <c r="O1975" s="9"/>
      <c r="P1975" s="9"/>
      <c r="Q1975" s="9"/>
      <c r="R1975" s="9"/>
      <c r="S1975" s="61"/>
    </row>
    <row r="1976" spans="1:21" s="39" customFormat="1" x14ac:dyDescent="0.2">
      <c r="A1976" s="128">
        <f>A1966-A1970-A1971+A1972++A1973-A1974</f>
        <v>0</v>
      </c>
      <c r="B1976" s="280">
        <f>B1966-B1970-B1971+B1972++B1973-B1974</f>
        <v>50000</v>
      </c>
      <c r="C1976" s="281">
        <f>C1966-C1970-C1971+C1972++C1973-C1974</f>
        <v>162000</v>
      </c>
      <c r="D1976" s="281">
        <f>D1966-D1970-D1971+D1972++D1973-D1974</f>
        <v>-740900</v>
      </c>
      <c r="E1976" s="1513">
        <f t="shared" ref="E1976" si="2263">E1966-E1970-E1971+E1972++E1973-E1974</f>
        <v>2300</v>
      </c>
      <c r="F1976" s="372"/>
      <c r="G1976" s="363" t="s">
        <v>2447</v>
      </c>
      <c r="H1976" s="280">
        <f t="shared" ref="H1976:O1976" si="2264">H1966-H1970-H1971+H1972++H1973-H1974</f>
        <v>0</v>
      </c>
      <c r="I1976" s="220">
        <f>IF(E1976=H1976,0,IF(E1976=0,100,(H1976-E1976)/E1976*100))</f>
        <v>-100</v>
      </c>
      <c r="J1976" s="280">
        <f t="shared" si="2264"/>
        <v>0</v>
      </c>
      <c r="K1976" s="280">
        <f t="shared" si="2264"/>
        <v>0</v>
      </c>
      <c r="L1976" s="280">
        <f t="shared" si="2264"/>
        <v>1000000</v>
      </c>
      <c r="M1976" s="280">
        <f t="shared" si="2264"/>
        <v>1000000</v>
      </c>
      <c r="N1976" s="280">
        <f t="shared" si="2264"/>
        <v>1000000</v>
      </c>
      <c r="O1976" s="280">
        <f t="shared" si="2264"/>
        <v>1000000</v>
      </c>
      <c r="P1976" s="280">
        <f t="shared" ref="P1976:Q1976" si="2265">P1966-P1970-P1971+P1972++P1973-P1974</f>
        <v>1000000</v>
      </c>
      <c r="Q1976" s="280">
        <f t="shared" si="2265"/>
        <v>1000000</v>
      </c>
      <c r="R1976" s="280">
        <f t="shared" ref="R1976:S1976" si="2266">R1966-R1970-R1971+R1972++R1973-R1974</f>
        <v>1500000</v>
      </c>
      <c r="S1976" s="282">
        <f t="shared" si="2266"/>
        <v>1500000</v>
      </c>
      <c r="U1976" s="34"/>
    </row>
    <row r="1977" spans="1:21" ht="13.5" thickBot="1" x14ac:dyDescent="0.25">
      <c r="A1977" s="26"/>
      <c r="B1977" s="37"/>
      <c r="C1977" s="141"/>
      <c r="D1977" s="141"/>
      <c r="E1977" s="1520"/>
      <c r="F1977" s="166"/>
      <c r="G1977" s="166"/>
      <c r="H1977" s="23"/>
      <c r="I1977" s="146"/>
      <c r="J1977" s="23"/>
      <c r="K1977" s="23"/>
      <c r="L1977" s="23"/>
      <c r="M1977" s="23"/>
      <c r="N1977" s="23"/>
      <c r="O1977" s="23"/>
      <c r="P1977" s="23"/>
      <c r="Q1977" s="23"/>
      <c r="R1977" s="23"/>
      <c r="S1977" s="112"/>
    </row>
    <row r="1978" spans="1:21" s="46" customFormat="1" ht="14.25" thickTop="1" thickBot="1" x14ac:dyDescent="0.25">
      <c r="A1978" s="27"/>
      <c r="B1978" s="27"/>
      <c r="C1978" s="143"/>
      <c r="D1978" s="143"/>
      <c r="E1978" s="143"/>
      <c r="F1978" s="169"/>
      <c r="G1978" s="169"/>
      <c r="H1978" s="143"/>
      <c r="I1978" s="143"/>
      <c r="U1978" s="34"/>
    </row>
    <row r="1979" spans="1:21" s="38" customFormat="1" ht="18.75" customHeight="1" thickTop="1" thickBot="1" x14ac:dyDescent="0.3">
      <c r="A1979" s="2588" t="s">
        <v>488</v>
      </c>
      <c r="B1979" s="2589"/>
      <c r="C1979" s="2589"/>
      <c r="D1979" s="2589"/>
      <c r="E1979" s="2589"/>
      <c r="F1979" s="2589"/>
      <c r="G1979" s="2589"/>
      <c r="H1979" s="2589"/>
      <c r="I1979" s="2589"/>
      <c r="J1979" s="2589"/>
      <c r="K1979" s="2589"/>
      <c r="L1979" s="2589"/>
      <c r="M1979" s="2589"/>
      <c r="N1979" s="2589"/>
      <c r="O1979" s="2589"/>
      <c r="P1979" s="2589"/>
      <c r="Q1979" s="2589"/>
      <c r="R1979" s="2589"/>
      <c r="S1979" s="2590"/>
      <c r="U1979" s="34"/>
    </row>
    <row r="1980" spans="1:21" s="39" customFormat="1" ht="13.5" thickBot="1" x14ac:dyDescent="0.25">
      <c r="A1980" s="2591" t="s">
        <v>1824</v>
      </c>
      <c r="B1980" s="2577"/>
      <c r="C1980" s="2577"/>
      <c r="D1980" s="2577"/>
      <c r="E1980" s="2592"/>
      <c r="F1980" s="127" t="s">
        <v>2616</v>
      </c>
      <c r="G1980" s="127" t="s">
        <v>2213</v>
      </c>
      <c r="H1980" s="2568" t="s">
        <v>2215</v>
      </c>
      <c r="I1980" s="2568"/>
      <c r="J1980" s="2568"/>
      <c r="K1980" s="2568"/>
      <c r="L1980" s="2568"/>
      <c r="M1980" s="2568"/>
      <c r="N1980" s="2568"/>
      <c r="O1980" s="2568"/>
      <c r="P1980" s="2568"/>
      <c r="Q1980" s="2568"/>
      <c r="R1980" s="2568"/>
      <c r="S1980" s="2607"/>
      <c r="U1980" s="34"/>
    </row>
    <row r="1981" spans="1:21" ht="13.5" thickBot="1" x14ac:dyDescent="0.25">
      <c r="A1981" s="541" t="str">
        <f>A3</f>
        <v>2012/13</v>
      </c>
      <c r="B1981" s="28" t="str">
        <f>B3</f>
        <v>2013/14</v>
      </c>
      <c r="C1981" s="40" t="str">
        <f>C3</f>
        <v>2014/15</v>
      </c>
      <c r="D1981" s="40" t="str">
        <f>D3</f>
        <v>2015/16</v>
      </c>
      <c r="E1981" s="1445" t="str">
        <f>E3</f>
        <v>2016/17</v>
      </c>
      <c r="F1981" s="40" t="s">
        <v>2617</v>
      </c>
      <c r="G1981" s="162"/>
      <c r="H1981" s="40" t="str">
        <f>H3</f>
        <v>2017/18</v>
      </c>
      <c r="I1981" s="1459" t="s">
        <v>492</v>
      </c>
      <c r="J1981" s="40" t="str">
        <f t="shared" ref="J1981:S1981" si="2267">J3</f>
        <v>2018/19</v>
      </c>
      <c r="K1981" s="40" t="str">
        <f t="shared" si="2267"/>
        <v>2019/20</v>
      </c>
      <c r="L1981" s="40" t="str">
        <f t="shared" si="2267"/>
        <v>2020/21</v>
      </c>
      <c r="M1981" s="40" t="str">
        <f t="shared" si="2267"/>
        <v>2021/22</v>
      </c>
      <c r="N1981" s="40" t="str">
        <f t="shared" si="2267"/>
        <v>2022/23</v>
      </c>
      <c r="O1981" s="40" t="str">
        <f t="shared" si="2267"/>
        <v>2023/24</v>
      </c>
      <c r="P1981" s="40" t="str">
        <f t="shared" si="2267"/>
        <v>2024/25</v>
      </c>
      <c r="Q1981" s="40" t="str">
        <f t="shared" si="2267"/>
        <v>2025/26</v>
      </c>
      <c r="R1981" s="40" t="str">
        <f t="shared" si="2267"/>
        <v>2026/27</v>
      </c>
      <c r="S1981" s="1620" t="str">
        <f t="shared" si="2267"/>
        <v>2027/28</v>
      </c>
    </row>
    <row r="1982" spans="1:21" x14ac:dyDescent="0.2">
      <c r="A1982" s="45"/>
      <c r="B1982" s="9"/>
      <c r="C1982" s="9"/>
      <c r="D1982" s="9"/>
      <c r="E1982" s="29"/>
      <c r="F1982" s="167"/>
      <c r="G1982" s="167"/>
      <c r="H1982" s="9"/>
      <c r="I1982" s="85"/>
      <c r="J1982" s="9"/>
      <c r="K1982" s="9"/>
      <c r="L1982" s="9"/>
      <c r="M1982" s="9"/>
      <c r="N1982" s="9"/>
      <c r="O1982" s="9"/>
      <c r="P1982" s="9"/>
      <c r="Q1982" s="9"/>
      <c r="R1982" s="9"/>
      <c r="S1982" s="61"/>
    </row>
    <row r="1983" spans="1:21" x14ac:dyDescent="0.2">
      <c r="A1983" s="45"/>
      <c r="B1983" s="9"/>
      <c r="C1983" s="9"/>
      <c r="D1983" s="9"/>
      <c r="E1983" s="29"/>
      <c r="F1983" s="167"/>
      <c r="G1983" s="256" t="s">
        <v>1056</v>
      </c>
      <c r="H1983" s="9"/>
      <c r="I1983" s="85"/>
      <c r="J1983" s="9"/>
      <c r="K1983" s="9"/>
      <c r="L1983" s="9"/>
      <c r="M1983" s="9"/>
      <c r="N1983" s="9"/>
      <c r="O1983" s="9"/>
      <c r="P1983" s="9"/>
      <c r="Q1983" s="9"/>
      <c r="R1983" s="9"/>
      <c r="S1983" s="61"/>
    </row>
    <row r="1984" spans="1:21" x14ac:dyDescent="0.2">
      <c r="A1984" s="45"/>
      <c r="B1984" s="9"/>
      <c r="E1984" s="1442"/>
      <c r="F1984" s="167"/>
      <c r="G1984" s="260" t="s">
        <v>60</v>
      </c>
      <c r="H1984" s="9"/>
      <c r="I1984" s="85"/>
      <c r="J1984" s="9"/>
      <c r="K1984" s="9"/>
      <c r="L1984" s="9"/>
      <c r="M1984" s="9"/>
      <c r="N1984" s="9"/>
      <c r="O1984" s="9"/>
      <c r="P1984" s="9"/>
      <c r="Q1984" s="9"/>
      <c r="R1984" s="9"/>
      <c r="S1984" s="61"/>
    </row>
    <row r="1985" spans="1:21" x14ac:dyDescent="0.2">
      <c r="A1985" s="54">
        <v>6497100</v>
      </c>
      <c r="B1985" s="9">
        <v>6810300</v>
      </c>
      <c r="C1985" s="136">
        <v>5919100</v>
      </c>
      <c r="D1985" s="136">
        <v>6134600</v>
      </c>
      <c r="E1985" s="1442">
        <v>6360800</v>
      </c>
      <c r="F1985" s="469" t="s">
        <v>2033</v>
      </c>
      <c r="G1985" s="385" t="s">
        <v>337</v>
      </c>
      <c r="H1985" s="134">
        <f>6489000+8500+50000</f>
        <v>6547500</v>
      </c>
      <c r="I1985" s="85">
        <f>IF(E1985=H1985,0,IF(E1985=0,100,(H1985-E1985)/E1985*100))</f>
        <v>2.9351653880015096</v>
      </c>
      <c r="J1985" s="134">
        <f>ROUND(H1985*Assumptions!I$25+H1985,-2)</f>
        <v>6698100</v>
      </c>
      <c r="K1985" s="134">
        <f>ROUND(J1985*Assumptions!J$25+J1985,-2)</f>
        <v>6852200</v>
      </c>
      <c r="L1985" s="134">
        <f>ROUND(K1985*Assumptions!K$25+K1985,-2)</f>
        <v>7009800</v>
      </c>
      <c r="M1985" s="134">
        <f>ROUND(L1985*Assumptions!L$25+L1985,-2)</f>
        <v>7171000</v>
      </c>
      <c r="N1985" s="134">
        <f>ROUND(M1985*Assumptions!M$25+M1985,-2)</f>
        <v>7335900</v>
      </c>
      <c r="O1985" s="134">
        <f>ROUND(N1985*Assumptions!N$25+N1985,-2)</f>
        <v>7504600</v>
      </c>
      <c r="P1985" s="134">
        <f>ROUND(O1985*Assumptions!O$25+O1985,-2)</f>
        <v>7677200</v>
      </c>
      <c r="Q1985" s="134">
        <f>ROUND(P1985*Assumptions!P$25+P1985,-2)</f>
        <v>7853800</v>
      </c>
      <c r="R1985" s="134">
        <f>ROUND(Q1985*Assumptions!Q$25+Q1985,-2)</f>
        <v>8034400</v>
      </c>
      <c r="S1985" s="2359">
        <f>ROUND(R1985*Assumptions!R$25+R1985,-2)</f>
        <v>8219200</v>
      </c>
    </row>
    <row r="1986" spans="1:21" x14ac:dyDescent="0.2">
      <c r="A1986" s="54">
        <v>18300</v>
      </c>
      <c r="B1986" s="9">
        <v>20300</v>
      </c>
      <c r="C1986" s="136">
        <v>21100</v>
      </c>
      <c r="D1986" s="136">
        <v>21700</v>
      </c>
      <c r="E1986" s="1442">
        <v>22300</v>
      </c>
      <c r="F1986" s="469" t="s">
        <v>680</v>
      </c>
      <c r="G1986" s="385" t="s">
        <v>1042</v>
      </c>
      <c r="H1986" s="134">
        <v>21000</v>
      </c>
      <c r="I1986" s="85">
        <f>IF(E1986=H1986,0,IF(E1986=0,100,(H1986-E1986)/E1986*100))</f>
        <v>-5.8295964125560538</v>
      </c>
      <c r="J1986" s="134">
        <f>ROUND(H1986*Assumptions!I$25+H1986,-2)</f>
        <v>21500</v>
      </c>
      <c r="K1986" s="134">
        <f>ROUND(J1986*Assumptions!J$25+J1986,-2)</f>
        <v>22000</v>
      </c>
      <c r="L1986" s="134">
        <f>ROUND(K1986*Assumptions!K$25+K1986,-2)</f>
        <v>22500</v>
      </c>
      <c r="M1986" s="134">
        <f>ROUND(L1986*Assumptions!L$25+L1986,-2)</f>
        <v>23000</v>
      </c>
      <c r="N1986" s="134">
        <f>ROUND(M1986*Assumptions!M$25+M1986,-2)</f>
        <v>23500</v>
      </c>
      <c r="O1986" s="134">
        <f>ROUND(N1986*Assumptions!N$25+N1986,-2)</f>
        <v>24000</v>
      </c>
      <c r="P1986" s="134">
        <f>ROUND(O1986*Assumptions!O$25+O1986,-2)</f>
        <v>24600</v>
      </c>
      <c r="Q1986" s="134">
        <f>ROUND(P1986*Assumptions!P$25+P1986,-2)</f>
        <v>25200</v>
      </c>
      <c r="R1986" s="134">
        <f>ROUND(Q1986*Assumptions!Q$25+Q1986,-2)</f>
        <v>25800</v>
      </c>
      <c r="S1986" s="2359">
        <f>ROUND(R1986*Assumptions!R$25+R1986,-2)</f>
        <v>26400</v>
      </c>
    </row>
    <row r="1987" spans="1:21" x14ac:dyDescent="0.2">
      <c r="A1987" s="54">
        <v>-170100</v>
      </c>
      <c r="B1987" s="9">
        <v>-169100</v>
      </c>
      <c r="C1987" s="136">
        <v>-151800</v>
      </c>
      <c r="D1987" s="136">
        <v>-152100</v>
      </c>
      <c r="E1987" s="1442">
        <v>-150200</v>
      </c>
      <c r="F1987" s="469" t="s">
        <v>679</v>
      </c>
      <c r="G1987" s="385" t="s">
        <v>236</v>
      </c>
      <c r="H1987" s="134">
        <f>+-151000+1400+22000</f>
        <v>-127600</v>
      </c>
      <c r="I1987" s="85">
        <f>IF(E1987=H1987,0,IF(E1987=0,100,(H1987-E1987)/E1987*100))</f>
        <v>-15.046604527296935</v>
      </c>
      <c r="J1987" s="134">
        <f>ROUND(H1987+(H1987*Assumptions!I$8),-3)</f>
        <v>-128000</v>
      </c>
      <c r="K1987" s="134">
        <f>ROUND(J1987+(J1987*Assumptions!J$8),-3)</f>
        <v>-129000</v>
      </c>
      <c r="L1987" s="134">
        <f>ROUND(K1987+(K1987*Assumptions!K$8),-3)</f>
        <v>-130000</v>
      </c>
      <c r="M1987" s="134">
        <f>ROUND(L1987+(L1987*Assumptions!L$8),-3)</f>
        <v>-131000</v>
      </c>
      <c r="N1987" s="134">
        <f>ROUND(M1987+(M1987*Assumptions!M$8),-3)</f>
        <v>-132000</v>
      </c>
      <c r="O1987" s="134">
        <f>ROUND(N1987+(N1987*Assumptions!N$8),-3)</f>
        <v>-133000</v>
      </c>
      <c r="P1987" s="134">
        <f>ROUND(O1987+(O1987*Assumptions!O$8),-3)</f>
        <v>-134000</v>
      </c>
      <c r="Q1987" s="134">
        <f>ROUND(P1987+(P1987*Assumptions!P$8),-3)</f>
        <v>-135000</v>
      </c>
      <c r="R1987" s="134">
        <f>ROUND(Q1987+(Q1987*Assumptions!Q$8),-3)</f>
        <v>-136000</v>
      </c>
      <c r="S1987" s="2359">
        <f>ROUND(R1987+(R1987*Assumptions!R$8),-3)</f>
        <v>-137000</v>
      </c>
    </row>
    <row r="1988" spans="1:21" x14ac:dyDescent="0.2">
      <c r="A1988" s="54">
        <v>-139200</v>
      </c>
      <c r="B1988" s="9">
        <v>-138400</v>
      </c>
      <c r="C1988" s="136">
        <v>-124200</v>
      </c>
      <c r="D1988" s="136">
        <v>-124400</v>
      </c>
      <c r="E1988" s="1442">
        <v>-122800</v>
      </c>
      <c r="F1988" s="469" t="s">
        <v>208</v>
      </c>
      <c r="G1988" s="661" t="s">
        <v>4722</v>
      </c>
      <c r="H1988" s="9">
        <f>+-124000+1600</f>
        <v>-122400</v>
      </c>
      <c r="I1988" s="85">
        <f>IF(E1988=H1988,0,IF(E1988=0,100,(H1988-E1988)/E1988*100))</f>
        <v>-0.32573289902280134</v>
      </c>
      <c r="J1988" s="9">
        <f>ROUND(H1988+(H1988*Assumptions!I$8),-3)</f>
        <v>-123000</v>
      </c>
      <c r="K1988" s="9">
        <f>ROUND(J1988+(J1988*Assumptions!J$8),-3)</f>
        <v>-124000</v>
      </c>
      <c r="L1988" s="9">
        <f>ROUND(K1988+(K1988*Assumptions!K$8),-3)</f>
        <v>-125000</v>
      </c>
      <c r="M1988" s="9">
        <f>ROUND(L1988+(L1988*Assumptions!L$8),-3)</f>
        <v>-126000</v>
      </c>
      <c r="N1988" s="9">
        <f>ROUND(M1988+(M1988*Assumptions!M$8),-3)</f>
        <v>-127000</v>
      </c>
      <c r="O1988" s="9">
        <f>ROUND(N1988+(N1988*Assumptions!N$8),-3)</f>
        <v>-128000</v>
      </c>
      <c r="P1988" s="9">
        <f>ROUND(O1988+(O1988*Assumptions!O$8),-3)</f>
        <v>-129000</v>
      </c>
      <c r="Q1988" s="9">
        <f>ROUND(P1988+(P1988*Assumptions!P$8),-3)</f>
        <v>-130000</v>
      </c>
      <c r="R1988" s="9">
        <f>ROUND(Q1988+(Q1988*Assumptions!Q$8),-3)</f>
        <v>-131000</v>
      </c>
      <c r="S1988" s="47">
        <f>ROUND(R1988+(R1988*Assumptions!R$8),-3)</f>
        <v>-132000</v>
      </c>
    </row>
    <row r="1989" spans="1:21" x14ac:dyDescent="0.2">
      <c r="A1989" s="54"/>
      <c r="B1989" s="9"/>
      <c r="E1989" s="1442"/>
      <c r="F1989" s="469"/>
      <c r="G1989" s="419" t="s">
        <v>1282</v>
      </c>
      <c r="H1989" s="9"/>
      <c r="I1989" s="85"/>
      <c r="J1989" s="9"/>
      <c r="K1989" s="9"/>
      <c r="L1989" s="9"/>
      <c r="M1989" s="9"/>
      <c r="N1989" s="9"/>
      <c r="O1989" s="9"/>
      <c r="P1989" s="9"/>
      <c r="Q1989" s="9"/>
      <c r="R1989" s="9"/>
      <c r="S1989" s="47"/>
    </row>
    <row r="1990" spans="1:21" x14ac:dyDescent="0.2">
      <c r="A1990" s="54">
        <v>170100</v>
      </c>
      <c r="B1990" s="9">
        <v>169100</v>
      </c>
      <c r="C1990" s="136">
        <v>151800</v>
      </c>
      <c r="D1990" s="136">
        <v>152100</v>
      </c>
      <c r="E1990" s="1442">
        <v>150200</v>
      </c>
      <c r="F1990" s="469" t="s">
        <v>1979</v>
      </c>
      <c r="G1990" s="385" t="s">
        <v>1316</v>
      </c>
      <c r="H1990" s="9">
        <f>137300+2000</f>
        <v>139300</v>
      </c>
      <c r="I1990" s="85">
        <f>IF(E1990=H1990,0,IF(E1990=0,100,(H1990-E1990)/E1990*100))</f>
        <v>-7.2569906790945407</v>
      </c>
      <c r="J1990" s="134">
        <f t="shared" ref="J1990:Q1990" si="2268">ROUND(-J1987/11*10,-2)</f>
        <v>116400</v>
      </c>
      <c r="K1990" s="134">
        <f t="shared" si="2268"/>
        <v>117300</v>
      </c>
      <c r="L1990" s="134">
        <f t="shared" si="2268"/>
        <v>118200</v>
      </c>
      <c r="M1990" s="134">
        <f t="shared" si="2268"/>
        <v>119100</v>
      </c>
      <c r="N1990" s="134">
        <f t="shared" si="2268"/>
        <v>120000</v>
      </c>
      <c r="O1990" s="9">
        <f t="shared" si="2268"/>
        <v>120900</v>
      </c>
      <c r="P1990" s="9">
        <f t="shared" si="2268"/>
        <v>121800</v>
      </c>
      <c r="Q1990" s="9">
        <f t="shared" si="2268"/>
        <v>122700</v>
      </c>
      <c r="R1990" s="9">
        <f t="shared" ref="R1990" si="2269">ROUND(-R1987/11*10,-2)</f>
        <v>123600</v>
      </c>
      <c r="S1990" s="47">
        <f t="shared" ref="S1990" si="2270">ROUND(-S1987/11*10,-2)</f>
        <v>124500</v>
      </c>
    </row>
    <row r="1991" spans="1:21" x14ac:dyDescent="0.2">
      <c r="A1991" s="54"/>
      <c r="B1991" s="9"/>
      <c r="E1991" s="1442"/>
      <c r="F1991" s="469"/>
      <c r="G1991" s="260" t="s">
        <v>2624</v>
      </c>
      <c r="H1991" s="9"/>
      <c r="I1991" s="85"/>
      <c r="J1991" s="9"/>
      <c r="K1991" s="9"/>
      <c r="L1991" s="9"/>
      <c r="M1991" s="9"/>
      <c r="N1991" s="9"/>
      <c r="O1991" s="9"/>
      <c r="P1991" s="9"/>
      <c r="Q1991" s="9"/>
      <c r="R1991" s="9"/>
      <c r="S1991" s="47"/>
    </row>
    <row r="1992" spans="1:21" x14ac:dyDescent="0.2">
      <c r="A1992" s="54">
        <v>25200</v>
      </c>
      <c r="B1992" s="9">
        <v>44300</v>
      </c>
      <c r="C1992" s="136">
        <v>49100</v>
      </c>
      <c r="D1992" s="136">
        <v>47600</v>
      </c>
      <c r="E1992" s="1442">
        <v>47800</v>
      </c>
      <c r="F1992" s="469" t="s">
        <v>1980</v>
      </c>
      <c r="G1992" s="385" t="s">
        <v>341</v>
      </c>
      <c r="H1992" s="9">
        <v>49000</v>
      </c>
      <c r="I1992" s="85">
        <f>IF(E1992=H1992,0,IF(E1992=0,100,(H1992-E1992)/E1992*100))</f>
        <v>2.510460251046025</v>
      </c>
      <c r="J1992" s="9">
        <f>ROUND(IF('Res-Bal'!J159&gt;0,'Res-Bal'!J159*0.05/2,0),-3)</f>
        <v>61000</v>
      </c>
      <c r="K1992" s="9">
        <f>ROUND(IF('Res-Bal'!M159&gt;0,'Res-Bal'!M159*0.05/2,0),-3)</f>
        <v>38000</v>
      </c>
      <c r="L1992" s="9">
        <f>ROUND(IF('Res-Bal'!P159&gt;0,'Res-Bal'!P159*0.05/2,0),-3)</f>
        <v>53000</v>
      </c>
      <c r="M1992" s="9">
        <f>ROUND(IF('Res-Bal'!S159&gt;0,'Res-Bal'!S159*0.05/2,0),-3)</f>
        <v>23000</v>
      </c>
      <c r="N1992" s="9">
        <f>ROUND(IF('Res-Bal'!V159&gt;0,'Res-Bal'!V159*0.05/2,0),-3)</f>
        <v>38000</v>
      </c>
      <c r="O1992" s="9">
        <f>ROUND(IF('Res-Bal'!Y159&gt;0,'Res-Bal'!Y159*0.05/2,0),-3)</f>
        <v>53000</v>
      </c>
      <c r="P1992" s="9">
        <f>ROUND(IF('Res-Bal'!AB159&gt;0,'Res-Bal'!AB159*0.05/2,0),-3)</f>
        <v>19000</v>
      </c>
      <c r="Q1992" s="9">
        <f>ROUND(IF('Res-Bal'!AE159&gt;0,'Res-Bal'!AE159*0.05/2,0),-3)</f>
        <v>34000</v>
      </c>
      <c r="R1992" s="9">
        <f>ROUND(IF('Res-Bal'!AF159&gt;0,'Res-Bal'!AF159*0.05/2,0),-3)</f>
        <v>34000</v>
      </c>
      <c r="S1992" s="47">
        <f>ROUND(IF('Res-Bal'!AG159&gt;0,'Res-Bal'!AG159*0.05/2,0),-3)</f>
        <v>16000</v>
      </c>
    </row>
    <row r="1993" spans="1:21" x14ac:dyDescent="0.2">
      <c r="A1993" s="54"/>
      <c r="B1993" s="9"/>
      <c r="E1993" s="1442"/>
      <c r="F1993" s="469"/>
      <c r="G1993" s="1189" t="s">
        <v>4160</v>
      </c>
      <c r="H1993" s="9"/>
      <c r="I1993" s="85"/>
      <c r="J1993" s="9"/>
      <c r="K1993" s="9"/>
      <c r="L1993" s="9"/>
      <c r="M1993" s="9"/>
      <c r="N1993" s="9"/>
      <c r="O1993" s="9"/>
      <c r="P1993" s="9"/>
      <c r="Q1993" s="9"/>
      <c r="R1993" s="9"/>
      <c r="S1993" s="47"/>
    </row>
    <row r="1994" spans="1:21" x14ac:dyDescent="0.2">
      <c r="A1994" s="54">
        <v>177800</v>
      </c>
      <c r="B1994" s="9">
        <v>0</v>
      </c>
      <c r="C1994" s="136">
        <v>0</v>
      </c>
      <c r="D1994" s="136">
        <v>0</v>
      </c>
      <c r="E1994" s="1442">
        <v>0</v>
      </c>
      <c r="F1994" s="469" t="s">
        <v>645</v>
      </c>
      <c r="G1994" s="385" t="s">
        <v>644</v>
      </c>
      <c r="H1994" s="9">
        <v>0</v>
      </c>
      <c r="I1994" s="85">
        <f>IF(E1994=H1994,0,IF(E1994=0,100,(H1994-E1994)/E1994*100))</f>
        <v>0</v>
      </c>
      <c r="J1994" s="9">
        <f>ROUND(H1994+(H1994*Assumptions!I$5),-3)</f>
        <v>0</v>
      </c>
      <c r="K1994" s="9">
        <f>ROUND(J1994+(J1994*Assumptions!J$5),-3)</f>
        <v>0</v>
      </c>
      <c r="L1994" s="9">
        <f>ROUND(K1994+(K1994*Assumptions!K$5),-3)</f>
        <v>0</v>
      </c>
      <c r="M1994" s="9">
        <f>ROUND(L1994+(L1994*Assumptions!L$5),-3)</f>
        <v>0</v>
      </c>
      <c r="N1994" s="9">
        <f>ROUND(M1994+(M1994*Assumptions!M$5),-3)</f>
        <v>0</v>
      </c>
      <c r="O1994" s="9">
        <f>ROUND(N1994+(N1994*Assumptions!N$5),-3)</f>
        <v>0</v>
      </c>
      <c r="P1994" s="9">
        <f>ROUND(O1994+(O1994*Assumptions!O$5),-3)</f>
        <v>0</v>
      </c>
      <c r="Q1994" s="9">
        <f>ROUND(P1994+(P1994*Assumptions!P$5),-3)</f>
        <v>0</v>
      </c>
      <c r="R1994" s="9">
        <f>ROUND(Q1994+(Q1994*Assumptions!Q$5),-3)</f>
        <v>0</v>
      </c>
      <c r="S1994" s="47">
        <f>ROUND(R1994+(R1994*Assumptions!R$5),-3)</f>
        <v>0</v>
      </c>
    </row>
    <row r="1995" spans="1:21" ht="13.5" thickBot="1" x14ac:dyDescent="0.25">
      <c r="A1995" s="54"/>
      <c r="B1995" s="9"/>
      <c r="C1995" s="9"/>
      <c r="D1995" s="9"/>
      <c r="E1995" s="29"/>
      <c r="F1995" s="167"/>
      <c r="G1995" s="167"/>
      <c r="H1995" s="9"/>
      <c r="I1995" s="85"/>
      <c r="J1995" s="9"/>
      <c r="K1995" s="9"/>
      <c r="L1995" s="9"/>
      <c r="M1995" s="9"/>
      <c r="N1995" s="9"/>
      <c r="O1995" s="9"/>
      <c r="P1995" s="9"/>
      <c r="Q1995" s="9"/>
      <c r="R1995" s="9"/>
      <c r="S1995" s="47"/>
    </row>
    <row r="1996" spans="1:21" s="39" customFormat="1" x14ac:dyDescent="0.2">
      <c r="A1996" s="52">
        <f>SUM(A1983:A1995)</f>
        <v>6579200</v>
      </c>
      <c r="B1996" s="16">
        <f>SUM(B1983:B1995)</f>
        <v>6736500</v>
      </c>
      <c r="C1996" s="16">
        <f>SUM(C1983:C1995)</f>
        <v>5865100</v>
      </c>
      <c r="D1996" s="16">
        <f>SUM(D1983:D1995)</f>
        <v>6079500</v>
      </c>
      <c r="E1996" s="323">
        <f>SUM(E1983:E1995)</f>
        <v>6308100</v>
      </c>
      <c r="F1996" s="173"/>
      <c r="G1996" s="173"/>
      <c r="H1996" s="16">
        <f t="shared" ref="H1996:Q1996" si="2271">SUM(H1983:H1995)</f>
        <v>6506800</v>
      </c>
      <c r="I1996" s="127">
        <f>IF(E1996=H1996,0,IF(E1996=0,100,(H1996-E1996)/E1996*100))</f>
        <v>3.149918358935337</v>
      </c>
      <c r="J1996" s="16">
        <f t="shared" si="2271"/>
        <v>6646000</v>
      </c>
      <c r="K1996" s="16">
        <f t="shared" si="2271"/>
        <v>6776500</v>
      </c>
      <c r="L1996" s="16">
        <f t="shared" si="2271"/>
        <v>6948500</v>
      </c>
      <c r="M1996" s="16">
        <f>SUM(M1983:M1995)</f>
        <v>7079100</v>
      </c>
      <c r="N1996" s="16">
        <f t="shared" si="2271"/>
        <v>7258400</v>
      </c>
      <c r="O1996" s="16">
        <f t="shared" si="2271"/>
        <v>7441500</v>
      </c>
      <c r="P1996" s="16">
        <f t="shared" si="2271"/>
        <v>7579600</v>
      </c>
      <c r="Q1996" s="16">
        <f t="shared" si="2271"/>
        <v>7770700</v>
      </c>
      <c r="R1996" s="16">
        <f t="shared" ref="R1996" si="2272">SUM(R1983:R1995)</f>
        <v>7950800</v>
      </c>
      <c r="S1996" s="2342">
        <f t="shared" ref="S1996" si="2273">SUM(S1983:S1995)</f>
        <v>8117100</v>
      </c>
      <c r="U1996" s="34"/>
    </row>
    <row r="1997" spans="1:21" x14ac:dyDescent="0.2">
      <c r="A1997" s="45"/>
      <c r="B1997" s="9"/>
      <c r="C1997" s="9"/>
      <c r="D1997" s="9"/>
      <c r="E1997" s="29"/>
      <c r="F1997" s="167"/>
      <c r="G1997" s="256" t="s">
        <v>2169</v>
      </c>
      <c r="H1997" s="9"/>
      <c r="I1997" s="85"/>
      <c r="J1997" s="9"/>
      <c r="K1997" s="9"/>
      <c r="L1997" s="9"/>
      <c r="M1997" s="9"/>
      <c r="N1997" s="9"/>
      <c r="O1997" s="9"/>
      <c r="P1997" s="9"/>
      <c r="Q1997" s="9"/>
      <c r="R1997" s="9"/>
      <c r="S1997" s="47"/>
    </row>
    <row r="1998" spans="1:21" x14ac:dyDescent="0.2">
      <c r="A1998" s="54"/>
      <c r="B1998" s="9"/>
      <c r="E1998" s="1442"/>
      <c r="F1998" s="2065"/>
      <c r="G1998" s="419" t="s">
        <v>465</v>
      </c>
      <c r="H1998" s="9"/>
      <c r="I1998" s="85"/>
      <c r="J1998" s="9"/>
      <c r="K1998" s="9"/>
      <c r="L1998" s="9"/>
      <c r="M1998" s="9"/>
      <c r="N1998" s="9"/>
      <c r="O1998" s="9"/>
      <c r="P1998" s="9"/>
      <c r="Q1998" s="9"/>
      <c r="R1998" s="9"/>
      <c r="S1998" s="47"/>
    </row>
    <row r="1999" spans="1:21" x14ac:dyDescent="0.2">
      <c r="A1999" s="54">
        <v>11900</v>
      </c>
      <c r="B1999" s="9">
        <v>15300</v>
      </c>
      <c r="C1999" s="136">
        <v>13900</v>
      </c>
      <c r="D1999" s="136">
        <v>18600</v>
      </c>
      <c r="E1999" s="1442">
        <v>16000</v>
      </c>
      <c r="F1999" s="469" t="s">
        <v>1129</v>
      </c>
      <c r="G1999" s="385" t="s">
        <v>1701</v>
      </c>
      <c r="H1999" s="9">
        <v>15000</v>
      </c>
      <c r="I1999" s="85">
        <f t="shared" ref="I1999:I2006" si="2274">IF(E1999=H1999,0,IF(E1999=0,100,(H1999-E1999)/E1999*100))</f>
        <v>-6.25</v>
      </c>
      <c r="J1999" s="9">
        <f>ROUND(H1999+(H1999*Assumptions!I$5),-3)</f>
        <v>15000</v>
      </c>
      <c r="K1999" s="9">
        <f>ROUND(J1999+(J1999*Assumptions!J$5),-3)</f>
        <v>15000</v>
      </c>
      <c r="L1999" s="9">
        <f>ROUND(K1999+(K1999*Assumptions!K$5),-3)</f>
        <v>15000</v>
      </c>
      <c r="M1999" s="9">
        <f>ROUND(L1999+(L1999*Assumptions!L$5),-3)</f>
        <v>15000</v>
      </c>
      <c r="N1999" s="9">
        <f>ROUND(M1999+(M1999*Assumptions!M$5),-3)</f>
        <v>15000</v>
      </c>
      <c r="O1999" s="9">
        <f>ROUND(N1999+(N1999*Assumptions!N$5),-3)</f>
        <v>15000</v>
      </c>
      <c r="P1999" s="9">
        <f>ROUND(O1999+(O1999*Assumptions!O$5),-3)</f>
        <v>15000</v>
      </c>
      <c r="Q1999" s="9">
        <f>ROUND(P1999+(P1999*Assumptions!P$5),-3)</f>
        <v>15000</v>
      </c>
      <c r="R1999" s="9">
        <f>ROUND(Q1999+(Q1999*Assumptions!Q$5),-3)</f>
        <v>15000</v>
      </c>
      <c r="S1999" s="47">
        <f>ROUND(R1999+(R1999*Assumptions!R$5),-3)</f>
        <v>15000</v>
      </c>
    </row>
    <row r="2000" spans="1:21" x14ac:dyDescent="0.2">
      <c r="A2000" s="54">
        <v>125500</v>
      </c>
      <c r="B2000" s="9">
        <v>151700</v>
      </c>
      <c r="C2000" s="136">
        <v>154600</v>
      </c>
      <c r="D2000" s="136">
        <v>138900</v>
      </c>
      <c r="E2000" s="1442">
        <v>177300</v>
      </c>
      <c r="F2000" s="469" t="s">
        <v>1130</v>
      </c>
      <c r="G2000" s="661" t="s">
        <v>3528</v>
      </c>
      <c r="H2000" s="9">
        <f>175000+9000+1000</f>
        <v>185000</v>
      </c>
      <c r="I2000" s="85">
        <f t="shared" si="2274"/>
        <v>4.3429216018048509</v>
      </c>
      <c r="J2000" s="9">
        <f>ROUND(H2000+(H2000*Assumptions!I$5),-3)</f>
        <v>189000</v>
      </c>
      <c r="K2000" s="9">
        <f>ROUND(J2000+(J2000*Assumptions!J$5),-3)</f>
        <v>194000</v>
      </c>
      <c r="L2000" s="9">
        <f>ROUND(K2000+(K2000*Assumptions!K$5),-3)</f>
        <v>199000</v>
      </c>
      <c r="M2000" s="9">
        <f>ROUND(L2000+(L2000*Assumptions!L$5),-3)</f>
        <v>204000</v>
      </c>
      <c r="N2000" s="9">
        <f>ROUND(M2000+(M2000*Assumptions!M$5),-3)</f>
        <v>209000</v>
      </c>
      <c r="O2000" s="9">
        <f>ROUND(N2000+(N2000*Assumptions!N$5),-3)</f>
        <v>214000</v>
      </c>
      <c r="P2000" s="9">
        <f>ROUND(O2000+(O2000*Assumptions!O$5),-3)</f>
        <v>219000</v>
      </c>
      <c r="Q2000" s="9">
        <f>ROUND(P2000+(P2000*Assumptions!P$5),-3)</f>
        <v>224000</v>
      </c>
      <c r="R2000" s="9">
        <f>ROUND(Q2000+(Q2000*Assumptions!Q$5),-3)</f>
        <v>230000</v>
      </c>
      <c r="S2000" s="47">
        <f>ROUND(R2000+(R2000*Assumptions!R$5),-3)</f>
        <v>236000</v>
      </c>
    </row>
    <row r="2001" spans="1:19" x14ac:dyDescent="0.2">
      <c r="A2001" s="54">
        <v>0</v>
      </c>
      <c r="B2001" s="9">
        <v>0</v>
      </c>
      <c r="C2001" s="136">
        <v>0</v>
      </c>
      <c r="D2001" s="136">
        <v>3000</v>
      </c>
      <c r="E2001" s="1442">
        <v>0</v>
      </c>
      <c r="F2001" s="469" t="s">
        <v>1131</v>
      </c>
      <c r="G2001" s="385" t="s">
        <v>971</v>
      </c>
      <c r="H2001" s="9">
        <v>3000</v>
      </c>
      <c r="I2001" s="85">
        <f t="shared" si="2274"/>
        <v>100</v>
      </c>
      <c r="J2001" s="9">
        <f>ROUND(H2001+(H2001*Assumptions!I$5),-3)</f>
        <v>3000</v>
      </c>
      <c r="K2001" s="9">
        <f>ROUND(J2001+(J2001*Assumptions!J$5),-3)</f>
        <v>3000</v>
      </c>
      <c r="L2001" s="9">
        <f>ROUND(K2001+(K2001*Assumptions!K$5),-3)</f>
        <v>3000</v>
      </c>
      <c r="M2001" s="9">
        <f>ROUND(L2001+(L2001*Assumptions!L$5),-3)</f>
        <v>3000</v>
      </c>
      <c r="N2001" s="9">
        <f>ROUND(M2001+(M2001*Assumptions!M$5),-3)</f>
        <v>3000</v>
      </c>
      <c r="O2001" s="9">
        <f>ROUND(N2001+(N2001*Assumptions!N$5),-3)</f>
        <v>3000</v>
      </c>
      <c r="P2001" s="9">
        <f>ROUND(O2001+(O2001*Assumptions!O$5),-3)</f>
        <v>3000</v>
      </c>
      <c r="Q2001" s="9">
        <f>ROUND(P2001+(P2001*Assumptions!P$5),-3)</f>
        <v>3000</v>
      </c>
      <c r="R2001" s="9">
        <f>ROUND(Q2001+(Q2001*Assumptions!Q$5),-3)</f>
        <v>3000</v>
      </c>
      <c r="S2001" s="47">
        <f>ROUND(R2001+(R2001*Assumptions!R$5),-3)</f>
        <v>3000</v>
      </c>
    </row>
    <row r="2002" spans="1:19" x14ac:dyDescent="0.2">
      <c r="A2002" s="54">
        <v>3300</v>
      </c>
      <c r="B2002" s="9">
        <v>1500</v>
      </c>
      <c r="C2002" s="136">
        <v>500</v>
      </c>
      <c r="D2002" s="136">
        <v>1100</v>
      </c>
      <c r="E2002" s="1442">
        <v>0</v>
      </c>
      <c r="F2002" s="469" t="s">
        <v>1631</v>
      </c>
      <c r="G2002" s="661" t="s">
        <v>3203</v>
      </c>
      <c r="H2002" s="9">
        <v>2000</v>
      </c>
      <c r="I2002" s="85">
        <f t="shared" si="2274"/>
        <v>100</v>
      </c>
      <c r="J2002" s="9">
        <f>ROUND(H2002+(H2002*Assumptions!I$5),-3)</f>
        <v>2000</v>
      </c>
      <c r="K2002" s="9">
        <f>ROUND(J2002+(J2002*Assumptions!J$5),-3)</f>
        <v>2000</v>
      </c>
      <c r="L2002" s="9">
        <f>ROUND(K2002+(K2002*Assumptions!K$5),-3)</f>
        <v>2000</v>
      </c>
      <c r="M2002" s="9">
        <f>ROUND(L2002+(L2002*Assumptions!L$5),-3)</f>
        <v>2000</v>
      </c>
      <c r="N2002" s="9">
        <f>ROUND(M2002+(M2002*Assumptions!M$5),-3)</f>
        <v>2000</v>
      </c>
      <c r="O2002" s="9">
        <f>ROUND(N2002+(N2002*Assumptions!N$5),-3)</f>
        <v>2000</v>
      </c>
      <c r="P2002" s="9">
        <f>ROUND(O2002+(O2002*Assumptions!O$5),-3)</f>
        <v>2000</v>
      </c>
      <c r="Q2002" s="9">
        <f>ROUND(P2002+(P2002*Assumptions!P$5),-3)</f>
        <v>2000</v>
      </c>
      <c r="R2002" s="9">
        <f>ROUND(Q2002+(Q2002*Assumptions!Q$5),-3)</f>
        <v>2000</v>
      </c>
      <c r="S2002" s="47">
        <f>ROUND(R2002+(R2002*Assumptions!R$5),-3)</f>
        <v>2000</v>
      </c>
    </row>
    <row r="2003" spans="1:19" x14ac:dyDescent="0.2">
      <c r="A2003" s="54">
        <v>200</v>
      </c>
      <c r="B2003" s="9">
        <v>2500</v>
      </c>
      <c r="C2003" s="136">
        <v>1700</v>
      </c>
      <c r="D2003" s="136">
        <v>5300</v>
      </c>
      <c r="E2003" s="1442">
        <v>800</v>
      </c>
      <c r="F2003" s="469" t="s">
        <v>586</v>
      </c>
      <c r="G2003" s="661" t="s">
        <v>566</v>
      </c>
      <c r="H2003" s="9">
        <v>5000</v>
      </c>
      <c r="I2003" s="85">
        <f t="shared" si="2274"/>
        <v>525</v>
      </c>
      <c r="J2003" s="9">
        <f>ROUND(H2003+(H2003*Assumptions!I$5),-3)</f>
        <v>5000</v>
      </c>
      <c r="K2003" s="9">
        <f>ROUND(J2003+(J2003*Assumptions!J$5),-3)</f>
        <v>5000</v>
      </c>
      <c r="L2003" s="9">
        <f>ROUND(K2003+(K2003*Assumptions!K$5),-3)</f>
        <v>5000</v>
      </c>
      <c r="M2003" s="9">
        <f>ROUND(L2003+(L2003*Assumptions!L$5),-3)</f>
        <v>5000</v>
      </c>
      <c r="N2003" s="9">
        <f>ROUND(M2003+(M2003*Assumptions!M$5),-3)</f>
        <v>5000</v>
      </c>
      <c r="O2003" s="9">
        <f>ROUND(N2003+(N2003*Assumptions!N$5),-3)</f>
        <v>5000</v>
      </c>
      <c r="P2003" s="9">
        <f>ROUND(O2003+(O2003*Assumptions!O$5),-3)</f>
        <v>5000</v>
      </c>
      <c r="Q2003" s="9">
        <f>ROUND(P2003+(P2003*Assumptions!P$5),-3)</f>
        <v>5000</v>
      </c>
      <c r="R2003" s="9">
        <f>ROUND(Q2003+(Q2003*Assumptions!Q$5),-3)</f>
        <v>5000</v>
      </c>
      <c r="S2003" s="47">
        <f>ROUND(R2003+(R2003*Assumptions!R$5),-3)</f>
        <v>5000</v>
      </c>
    </row>
    <row r="2004" spans="1:19" x14ac:dyDescent="0.2">
      <c r="A2004" s="54">
        <v>0</v>
      </c>
      <c r="B2004" s="9">
        <v>15000</v>
      </c>
      <c r="C2004" s="136">
        <v>0</v>
      </c>
      <c r="D2004" s="136">
        <v>0</v>
      </c>
      <c r="E2004" s="1442">
        <v>0</v>
      </c>
      <c r="F2004" s="769" t="s">
        <v>3471</v>
      </c>
      <c r="G2004" s="661" t="s">
        <v>3486</v>
      </c>
      <c r="H2004" s="9">
        <v>0</v>
      </c>
      <c r="I2004" s="85">
        <f t="shared" si="2274"/>
        <v>0</v>
      </c>
      <c r="J2004" s="9">
        <f>ROUND(H2004+(H2004*Assumptions!I$5),-3)</f>
        <v>0</v>
      </c>
      <c r="K2004" s="9">
        <f>ROUND(J2004+(J2004*Assumptions!J$5),-3)</f>
        <v>0</v>
      </c>
      <c r="L2004" s="9">
        <f>ROUND(K2004+(K2004*Assumptions!K$5),-3)</f>
        <v>0</v>
      </c>
      <c r="M2004" s="9">
        <f>ROUND(L2004+(L2004*Assumptions!L$5),-3)</f>
        <v>0</v>
      </c>
      <c r="N2004" s="9">
        <f>ROUND(M2004+(M2004*Assumptions!M$5),-3)</f>
        <v>0</v>
      </c>
      <c r="O2004" s="9">
        <f>ROUND(N2004+(N2004*Assumptions!N$5),-3)</f>
        <v>0</v>
      </c>
      <c r="P2004" s="9">
        <f>ROUND(O2004+(O2004*Assumptions!O$5),-3)</f>
        <v>0</v>
      </c>
      <c r="Q2004" s="9">
        <f>ROUND(P2004+(P2004*Assumptions!P$5),-3)</f>
        <v>0</v>
      </c>
      <c r="R2004" s="9">
        <f>ROUND(Q2004+(Q2004*Assumptions!Q$5),-3)</f>
        <v>0</v>
      </c>
      <c r="S2004" s="47">
        <f>ROUND(R2004+(R2004*Assumptions!R$5),-3)</f>
        <v>0</v>
      </c>
    </row>
    <row r="2005" spans="1:19" x14ac:dyDescent="0.2">
      <c r="A2005" s="54">
        <v>1600</v>
      </c>
      <c r="B2005" s="9">
        <v>2500</v>
      </c>
      <c r="C2005" s="136">
        <v>10800</v>
      </c>
      <c r="D2005" s="136">
        <v>38000</v>
      </c>
      <c r="E2005" s="1442">
        <v>12000</v>
      </c>
      <c r="F2005" s="769" t="s">
        <v>3361</v>
      </c>
      <c r="G2005" s="661" t="s">
        <v>4816</v>
      </c>
      <c r="H2005" s="9">
        <v>12000</v>
      </c>
      <c r="I2005" s="85">
        <f t="shared" si="2274"/>
        <v>0</v>
      </c>
      <c r="J2005" s="9">
        <f>ROUND(H2005+(H2005*Assumptions!I$5),-3)</f>
        <v>12000</v>
      </c>
      <c r="K2005" s="9">
        <f>ROUND(J2005+(J2005*Assumptions!J$5),-3)</f>
        <v>12000</v>
      </c>
      <c r="L2005" s="9">
        <f>ROUND(K2005+(K2005*Assumptions!K$5),-3)</f>
        <v>12000</v>
      </c>
      <c r="M2005" s="9">
        <f>ROUND(L2005+(L2005*Assumptions!L$5),-3)</f>
        <v>12000</v>
      </c>
      <c r="N2005" s="9">
        <f>ROUND(M2005+(M2005*Assumptions!M$5),-3)</f>
        <v>12000</v>
      </c>
      <c r="O2005" s="9">
        <f>ROUND(N2005+(N2005*Assumptions!N$5),-3)</f>
        <v>12000</v>
      </c>
      <c r="P2005" s="9">
        <f>ROUND(O2005+(O2005*Assumptions!O$5),-3)</f>
        <v>12000</v>
      </c>
      <c r="Q2005" s="9">
        <f>ROUND(P2005+(P2005*Assumptions!P$5),-3)</f>
        <v>12000</v>
      </c>
      <c r="R2005" s="9">
        <f>ROUND(Q2005+(Q2005*Assumptions!Q$5),-3)</f>
        <v>12000</v>
      </c>
      <c r="S2005" s="47">
        <f>ROUND(R2005+(R2005*Assumptions!R$5),-3)</f>
        <v>12000</v>
      </c>
    </row>
    <row r="2006" spans="1:19" x14ac:dyDescent="0.2">
      <c r="A2006" s="54">
        <v>43300</v>
      </c>
      <c r="B2006" s="9">
        <v>39700</v>
      </c>
      <c r="C2006" s="136">
        <v>45400</v>
      </c>
      <c r="D2006" s="136">
        <v>38100</v>
      </c>
      <c r="E2006" s="1442">
        <v>38200</v>
      </c>
      <c r="F2006" s="469" t="s">
        <v>1573</v>
      </c>
      <c r="G2006" s="661" t="s">
        <v>3254</v>
      </c>
      <c r="H2006" s="9">
        <v>39000</v>
      </c>
      <c r="I2006" s="85">
        <f t="shared" si="2274"/>
        <v>2.0942408376963351</v>
      </c>
      <c r="J2006" s="9">
        <f>ROUND(H2006+(H2006*Assumptions!I$5),-3)</f>
        <v>40000</v>
      </c>
      <c r="K2006" s="9">
        <f>ROUND(J2006+(J2006*Assumptions!J$5),-3)</f>
        <v>41000</v>
      </c>
      <c r="L2006" s="9">
        <f>ROUND(K2006+(K2006*Assumptions!K$5),-3)</f>
        <v>42000</v>
      </c>
      <c r="M2006" s="9">
        <f>ROUND(L2006+(L2006*Assumptions!L$5),-3)</f>
        <v>43000</v>
      </c>
      <c r="N2006" s="9">
        <f>ROUND(M2006+(M2006*Assumptions!M$5),-3)</f>
        <v>44000</v>
      </c>
      <c r="O2006" s="9">
        <f>ROUND(N2006+(N2006*Assumptions!N$5),-3)</f>
        <v>45000</v>
      </c>
      <c r="P2006" s="9">
        <f>ROUND(O2006+(O2006*Assumptions!O$5),-3)</f>
        <v>46000</v>
      </c>
      <c r="Q2006" s="9">
        <f>ROUND(P2006+(P2006*Assumptions!P$5),-3)</f>
        <v>47000</v>
      </c>
      <c r="R2006" s="9">
        <f>ROUND(Q2006+(Q2006*Assumptions!Q$5),-3)</f>
        <v>48000</v>
      </c>
      <c r="S2006" s="47">
        <f>ROUND(R2006+(R2006*Assumptions!R$5),-3)</f>
        <v>49000</v>
      </c>
    </row>
    <row r="2007" spans="1:19" x14ac:dyDescent="0.2">
      <c r="A2007" s="54"/>
      <c r="B2007" s="9"/>
      <c r="E2007" s="1442"/>
      <c r="F2007" s="469"/>
      <c r="G2007" s="419" t="s">
        <v>1636</v>
      </c>
      <c r="H2007" s="9"/>
      <c r="I2007" s="85"/>
      <c r="J2007" s="9"/>
      <c r="K2007" s="9"/>
      <c r="L2007" s="9"/>
      <c r="M2007" s="9"/>
      <c r="N2007" s="9"/>
      <c r="O2007" s="9"/>
      <c r="P2007" s="9"/>
      <c r="Q2007" s="9"/>
      <c r="R2007" s="9"/>
      <c r="S2007" s="47"/>
    </row>
    <row r="2008" spans="1:19" x14ac:dyDescent="0.2">
      <c r="A2008" s="54">
        <v>387000</v>
      </c>
      <c r="B2008" s="9">
        <v>406000</v>
      </c>
      <c r="C2008" s="136">
        <v>619000</v>
      </c>
      <c r="D2008" s="136">
        <v>630000</v>
      </c>
      <c r="E2008" s="1442">
        <v>637000</v>
      </c>
      <c r="F2008" s="469" t="s">
        <v>1409</v>
      </c>
      <c r="G2008" s="385" t="s">
        <v>1070</v>
      </c>
      <c r="H2008" s="9">
        <v>688000</v>
      </c>
      <c r="I2008" s="85">
        <f>IF(E2008=H2008,0,IF(E2008=0,100,(H2008-E2008)/E2008*100))</f>
        <v>8.0062794348508639</v>
      </c>
      <c r="J2008" s="9">
        <f>ROUND(H2008+(H2008*Assumptions!I$5),-3)</f>
        <v>704000</v>
      </c>
      <c r="K2008" s="9">
        <f>ROUND(J2008+(J2008*Assumptions!J$5),-3)</f>
        <v>722000</v>
      </c>
      <c r="L2008" s="9">
        <f>ROUND(K2008+(K2008*Assumptions!K$5),-3)</f>
        <v>740000</v>
      </c>
      <c r="M2008" s="9">
        <f>ROUND(L2008+(L2008*Assumptions!L$5),-3)</f>
        <v>759000</v>
      </c>
      <c r="N2008" s="9">
        <f>ROUND(M2008+(M2008*Assumptions!M$5),-3)</f>
        <v>778000</v>
      </c>
      <c r="O2008" s="9">
        <f>ROUND(N2008+(N2008*Assumptions!N$5),-3)</f>
        <v>797000</v>
      </c>
      <c r="P2008" s="9">
        <f>ROUND(O2008+(O2008*Assumptions!O$5),-3)</f>
        <v>817000</v>
      </c>
      <c r="Q2008" s="9">
        <f>ROUND(P2008+(P2008*Assumptions!P$5),-3)</f>
        <v>837000</v>
      </c>
      <c r="R2008" s="9">
        <f>ROUND(Q2008+(Q2008*Assumptions!Q$5),-3)</f>
        <v>858000</v>
      </c>
      <c r="S2008" s="47">
        <f>ROUND(R2008+(R2008*Assumptions!R$5),-3)</f>
        <v>879000</v>
      </c>
    </row>
    <row r="2009" spans="1:19" x14ac:dyDescent="0.2">
      <c r="A2009" s="45"/>
      <c r="B2009" s="9"/>
      <c r="E2009" s="1442"/>
      <c r="F2009" s="469"/>
      <c r="G2009" s="63" t="s">
        <v>4320</v>
      </c>
      <c r="H2009" s="9"/>
      <c r="I2009" s="85"/>
      <c r="J2009" s="9"/>
      <c r="K2009" s="9"/>
      <c r="L2009" s="9"/>
      <c r="M2009" s="9"/>
      <c r="N2009" s="9"/>
      <c r="O2009" s="9"/>
      <c r="P2009" s="9"/>
      <c r="Q2009" s="9"/>
      <c r="R2009" s="9"/>
      <c r="S2009" s="47"/>
    </row>
    <row r="2010" spans="1:19" x14ac:dyDescent="0.2">
      <c r="A2010" s="54">
        <v>-521200</v>
      </c>
      <c r="B2010" s="9">
        <f>-563200-300</f>
        <v>-563500</v>
      </c>
      <c r="C2010" s="707">
        <v>-530500</v>
      </c>
      <c r="D2010" s="136">
        <v>-618900</v>
      </c>
      <c r="E2010" s="1442">
        <v>-640200</v>
      </c>
      <c r="F2010" s="469" t="s">
        <v>681</v>
      </c>
      <c r="G2010" s="385" t="s">
        <v>1133</v>
      </c>
      <c r="H2010" s="9">
        <v>-630000</v>
      </c>
      <c r="I2010" s="85">
        <f>IF(E2010=H2010,0,IF(E2010=0,100,(H2010-E2010)/E2010*100))</f>
        <v>-1.5932521087160263</v>
      </c>
      <c r="J2010" s="9">
        <f>ROUND(H2010+(H2010*Assumptions!I$5),-3)</f>
        <v>-644000</v>
      </c>
      <c r="K2010" s="9">
        <f>ROUND(J2010+(J2010*Assumptions!J$5),-3)</f>
        <v>-660000</v>
      </c>
      <c r="L2010" s="9">
        <f>ROUND(K2010+(K2010*Assumptions!K$5),-3)</f>
        <v>-677000</v>
      </c>
      <c r="M2010" s="9">
        <f>ROUND(L2010+(L2010*Assumptions!L$5),-3)</f>
        <v>-694000</v>
      </c>
      <c r="N2010" s="9">
        <f>ROUND(M2010+(M2010*Assumptions!M$5),-3)</f>
        <v>-711000</v>
      </c>
      <c r="O2010" s="9">
        <f>ROUND(N2010+(N2010*Assumptions!N$5),-3)</f>
        <v>-729000</v>
      </c>
      <c r="P2010" s="9">
        <f>ROUND(O2010+(O2010*Assumptions!O$5),-3)</f>
        <v>-747000</v>
      </c>
      <c r="Q2010" s="9">
        <f>ROUND(P2010+(P2010*Assumptions!P$5),-3)</f>
        <v>-766000</v>
      </c>
      <c r="R2010" s="9">
        <f>ROUND(Q2010+(Q2010*Assumptions!Q$5),-3)</f>
        <v>-785000</v>
      </c>
      <c r="S2010" s="47">
        <f>ROUND(R2010+(R2010*Assumptions!R$5),-3)</f>
        <v>-805000</v>
      </c>
    </row>
    <row r="2011" spans="1:19" ht="12" customHeight="1" x14ac:dyDescent="0.2">
      <c r="A2011" s="54"/>
      <c r="B2011" s="9"/>
      <c r="E2011" s="1442"/>
      <c r="F2011" s="2065"/>
      <c r="G2011" s="1189" t="s">
        <v>4723</v>
      </c>
      <c r="H2011" s="9"/>
      <c r="I2011" s="85"/>
      <c r="J2011" s="9"/>
      <c r="K2011" s="9"/>
      <c r="L2011" s="9"/>
      <c r="M2011" s="9"/>
      <c r="N2011" s="9"/>
      <c r="O2011" s="9"/>
      <c r="P2011" s="9"/>
      <c r="Q2011" s="9"/>
      <c r="R2011" s="9"/>
      <c r="S2011" s="47"/>
    </row>
    <row r="2012" spans="1:19" ht="12" customHeight="1" x14ac:dyDescent="0.2">
      <c r="A2012" s="54">
        <v>1400</v>
      </c>
      <c r="B2012" s="9">
        <v>5100</v>
      </c>
      <c r="C2012" s="136">
        <f>6000+3000</f>
        <v>9000</v>
      </c>
      <c r="D2012" s="136">
        <v>2900</v>
      </c>
      <c r="E2012" s="1442">
        <v>3400</v>
      </c>
      <c r="F2012" s="469" t="s">
        <v>96</v>
      </c>
      <c r="G2012" s="385" t="s">
        <v>1617</v>
      </c>
      <c r="H2012" s="9">
        <v>3000</v>
      </c>
      <c r="I2012" s="85">
        <f>IF(E2012=H2012,0,IF(E2012=0,100,(H2012-E2012)/E2012*100))</f>
        <v>-11.76470588235294</v>
      </c>
      <c r="J2012" s="9">
        <f>ROUND(H2012+(H2012*Assumptions!I$5),-3)</f>
        <v>3000</v>
      </c>
      <c r="K2012" s="9">
        <f>ROUND(J2012+(J2012*Assumptions!J$5),-3)</f>
        <v>3000</v>
      </c>
      <c r="L2012" s="9">
        <f>ROUND(K2012+(K2012*Assumptions!K$5),-3)</f>
        <v>3000</v>
      </c>
      <c r="M2012" s="9">
        <f>ROUND(L2012+(L2012*Assumptions!L$5),-3)</f>
        <v>3000</v>
      </c>
      <c r="N2012" s="9">
        <f>ROUND(M2012+(M2012*Assumptions!M$5),-3)</f>
        <v>3000</v>
      </c>
      <c r="O2012" s="9">
        <f>ROUND(N2012+(N2012*Assumptions!N$5),-3)</f>
        <v>3000</v>
      </c>
      <c r="P2012" s="9">
        <f>ROUND(O2012+(O2012*Assumptions!O$5),-3)</f>
        <v>3000</v>
      </c>
      <c r="Q2012" s="9">
        <f>ROUND(P2012+(P2012*Assumptions!P$5),-3)</f>
        <v>3000</v>
      </c>
      <c r="R2012" s="9">
        <f>ROUND(Q2012+(Q2012*Assumptions!Q$5),-3)</f>
        <v>3000</v>
      </c>
      <c r="S2012" s="47">
        <f>ROUND(R2012+(R2012*Assumptions!R$5),-3)</f>
        <v>3000</v>
      </c>
    </row>
    <row r="2013" spans="1:19" ht="12" customHeight="1" x14ac:dyDescent="0.2">
      <c r="A2013" s="54">
        <v>1200</v>
      </c>
      <c r="B2013" s="9">
        <v>0</v>
      </c>
      <c r="C2013" s="136">
        <v>1300</v>
      </c>
      <c r="D2013" s="136">
        <f>2000-2000</f>
        <v>0</v>
      </c>
      <c r="E2013" s="144">
        <v>0</v>
      </c>
      <c r="F2013" s="469" t="s">
        <v>1029</v>
      </c>
      <c r="G2013" s="385" t="s">
        <v>903</v>
      </c>
      <c r="H2013" s="9">
        <v>0</v>
      </c>
      <c r="I2013" s="85">
        <f>IF(E2013=H2013,0,IF(E2013=0,100,(H2013-E2013)/E2013*100))</f>
        <v>0</v>
      </c>
      <c r="J2013" s="9">
        <f>ROUND(H2013+(H2013*Assumptions!I$5),-3)</f>
        <v>0</v>
      </c>
      <c r="K2013" s="9">
        <f>ROUND(J2013+(J2013*Assumptions!J$5),-3)</f>
        <v>0</v>
      </c>
      <c r="L2013" s="9">
        <f>ROUND(K2013+(K2013*Assumptions!K$5),-3)</f>
        <v>0</v>
      </c>
      <c r="M2013" s="9">
        <f>ROUND(L2013+(L2013*Assumptions!L$5),-3)</f>
        <v>0</v>
      </c>
      <c r="N2013" s="9">
        <f>ROUND(M2013+(M2013*Assumptions!M$5),-3)</f>
        <v>0</v>
      </c>
      <c r="O2013" s="9">
        <f>ROUND(N2013+(N2013*Assumptions!N$5),-3)</f>
        <v>0</v>
      </c>
      <c r="P2013" s="9">
        <f>ROUND(O2013+(O2013*Assumptions!O$5),-3)</f>
        <v>0</v>
      </c>
      <c r="Q2013" s="9">
        <f>ROUND(P2013+(P2013*Assumptions!P$5),-3)</f>
        <v>0</v>
      </c>
      <c r="R2013" s="9">
        <f>ROUND(Q2013+(Q2013*Assumptions!Q$5),-3)</f>
        <v>0</v>
      </c>
      <c r="S2013" s="47">
        <f>ROUND(R2013+(R2013*Assumptions!R$5),-3)</f>
        <v>0</v>
      </c>
    </row>
    <row r="2014" spans="1:19" ht="12" customHeight="1" x14ac:dyDescent="0.2">
      <c r="A2014" s="54"/>
      <c r="B2014" s="9"/>
      <c r="E2014" s="144">
        <v>14100</v>
      </c>
      <c r="F2014" s="769" t="s">
        <v>9214</v>
      </c>
      <c r="G2014" s="661" t="s">
        <v>11804</v>
      </c>
      <c r="H2014" s="9"/>
      <c r="I2014" s="85"/>
      <c r="J2014" s="9"/>
      <c r="K2014" s="9"/>
      <c r="L2014" s="9"/>
      <c r="M2014" s="9"/>
      <c r="N2014" s="9"/>
      <c r="O2014" s="9"/>
      <c r="P2014" s="9"/>
      <c r="Q2014" s="9"/>
      <c r="R2014" s="9"/>
      <c r="S2014" s="47"/>
    </row>
    <row r="2015" spans="1:19" x14ac:dyDescent="0.2">
      <c r="A2015" s="54"/>
      <c r="B2015" s="9"/>
      <c r="E2015" s="144"/>
      <c r="F2015" s="2065"/>
      <c r="G2015" s="419" t="s">
        <v>1112</v>
      </c>
      <c r="H2015" s="9"/>
      <c r="I2015" s="85"/>
      <c r="J2015" s="9"/>
      <c r="K2015" s="9"/>
      <c r="L2015" s="9"/>
      <c r="M2015" s="9"/>
      <c r="N2015" s="9"/>
      <c r="O2015" s="9"/>
      <c r="P2015" s="9"/>
      <c r="Q2015" s="9"/>
      <c r="R2015" s="9"/>
      <c r="S2015" s="47"/>
    </row>
    <row r="2016" spans="1:19" x14ac:dyDescent="0.2">
      <c r="A2016" s="54">
        <v>36500</v>
      </c>
      <c r="B2016" s="9">
        <f>ROUND(SUM('Debt-Gen'!F31:F31),-2)</f>
        <v>27800</v>
      </c>
      <c r="C2016" s="9">
        <v>18200</v>
      </c>
      <c r="D2016" s="9">
        <f>ROUND(SUM('Debt-Gen'!J31:J31),-2)</f>
        <v>8000</v>
      </c>
      <c r="E2016" s="144">
        <v>0</v>
      </c>
      <c r="F2016" s="469" t="s">
        <v>1030</v>
      </c>
      <c r="G2016" s="385" t="s">
        <v>220</v>
      </c>
      <c r="H2016" s="9">
        <v>0</v>
      </c>
      <c r="I2016" s="85">
        <f>IF(E2016=H2016,0,IF(E2016=0,100,(H2016-E2016)/E2016*100))</f>
        <v>0</v>
      </c>
      <c r="J2016" s="9">
        <f>ROUND(SUM('Debt-Gen'!P31:P31),-2)</f>
        <v>0</v>
      </c>
      <c r="K2016" s="9">
        <f>ROUND(SUM('Debt-Gen'!R31:R31),-2)</f>
        <v>0</v>
      </c>
      <c r="L2016" s="9">
        <f>ROUND(SUM('Debt-Gen'!T31:T31),-2)</f>
        <v>0</v>
      </c>
      <c r="M2016" s="9">
        <f>ROUND(SUM('Debt-Gen'!V31:V31),-2)</f>
        <v>0</v>
      </c>
      <c r="N2016" s="9">
        <f>ROUND(SUM('Debt-Gen'!X31:X31),-2)</f>
        <v>0</v>
      </c>
      <c r="O2016" s="9">
        <f>ROUND(SUM('Debt-Gen'!Z31:Z31),-2)</f>
        <v>0</v>
      </c>
      <c r="P2016" s="9">
        <f>ROUND(SUM('Debt-Gen'!AB31:AB31),-2)</f>
        <v>0</v>
      </c>
      <c r="Q2016" s="9">
        <f>ROUND(SUM('Debt-Gen'!AD31:AD31),-2)</f>
        <v>0</v>
      </c>
      <c r="R2016" s="9">
        <f>ROUND(SUM('Debt-Gen'!AF31:AF31),-2)</f>
        <v>0</v>
      </c>
      <c r="S2016" s="47">
        <f>ROUND(SUM('Debt-Gen'!AG31:AG31),-2)</f>
        <v>0</v>
      </c>
    </row>
    <row r="2017" spans="1:19" x14ac:dyDescent="0.2">
      <c r="A2017" s="54"/>
      <c r="B2017" s="9"/>
      <c r="E2017" s="144"/>
      <c r="F2017" s="2065"/>
      <c r="G2017" s="419" t="s">
        <v>406</v>
      </c>
      <c r="H2017" s="9"/>
      <c r="I2017" s="85"/>
      <c r="J2017" s="9"/>
      <c r="K2017" s="9"/>
      <c r="L2017" s="9"/>
      <c r="M2017" s="9"/>
      <c r="N2017" s="9"/>
      <c r="O2017" s="9"/>
      <c r="P2017" s="9"/>
      <c r="Q2017" s="9"/>
      <c r="R2017" s="9"/>
      <c r="S2017" s="47"/>
    </row>
    <row r="2018" spans="1:19" x14ac:dyDescent="0.2">
      <c r="A2018" s="54">
        <v>15200</v>
      </c>
      <c r="B2018" s="9">
        <v>0</v>
      </c>
      <c r="C2018" s="136">
        <v>0</v>
      </c>
      <c r="D2018" s="136">
        <v>0</v>
      </c>
      <c r="E2018" s="144">
        <v>0</v>
      </c>
      <c r="F2018" s="469" t="s">
        <v>1031</v>
      </c>
      <c r="G2018" s="385" t="s">
        <v>2395</v>
      </c>
      <c r="H2018" s="9">
        <v>0</v>
      </c>
      <c r="I2018" s="85">
        <f t="shared" ref="I2018:I2023" si="2275">IF(E2018=H2018,0,IF(E2018=0,100,(H2018-E2018)/E2018*100))</f>
        <v>0</v>
      </c>
      <c r="J2018" s="9">
        <v>0</v>
      </c>
      <c r="K2018" s="9">
        <v>0</v>
      </c>
      <c r="L2018" s="9">
        <v>0</v>
      </c>
      <c r="M2018" s="9">
        <v>0</v>
      </c>
      <c r="N2018" s="9">
        <v>0</v>
      </c>
      <c r="O2018" s="9">
        <v>0</v>
      </c>
      <c r="P2018" s="9">
        <v>0</v>
      </c>
      <c r="Q2018" s="9">
        <v>0</v>
      </c>
      <c r="R2018" s="9">
        <v>0</v>
      </c>
      <c r="S2018" s="47">
        <v>0</v>
      </c>
    </row>
    <row r="2019" spans="1:19" x14ac:dyDescent="0.2">
      <c r="A2019" s="54">
        <v>307900</v>
      </c>
      <c r="B2019" s="9">
        <v>355100</v>
      </c>
      <c r="C2019" s="136">
        <v>279400</v>
      </c>
      <c r="D2019" s="136">
        <v>330700</v>
      </c>
      <c r="E2019" s="144">
        <v>311200</v>
      </c>
      <c r="F2019" s="469" t="s">
        <v>1032</v>
      </c>
      <c r="G2019" s="661" t="s">
        <v>3797</v>
      </c>
      <c r="H2019" s="9">
        <f>334000-10000</f>
        <v>324000</v>
      </c>
      <c r="I2019" s="85">
        <f t="shared" si="2275"/>
        <v>4.1131105398457581</v>
      </c>
      <c r="J2019" s="9">
        <f>ROUND(H2019+(H2019*Assumptions!I$5),-3)</f>
        <v>331000</v>
      </c>
      <c r="K2019" s="9">
        <f>ROUND(J2019+(J2019*Assumptions!J$5),-3)</f>
        <v>339000</v>
      </c>
      <c r="L2019" s="9">
        <f>ROUND(K2019+(K2019*Assumptions!K$5),-3)</f>
        <v>347000</v>
      </c>
      <c r="M2019" s="9">
        <f>ROUND(L2019+(L2019*Assumptions!L$5),-3)</f>
        <v>356000</v>
      </c>
      <c r="N2019" s="9">
        <f>ROUND(M2019+(M2019*Assumptions!M$5),-3)</f>
        <v>365000</v>
      </c>
      <c r="O2019" s="9">
        <f>ROUND(N2019+(N2019*Assumptions!N$5),-3)</f>
        <v>374000</v>
      </c>
      <c r="P2019" s="9">
        <f>ROUND(O2019+(O2019*Assumptions!O$5),-3)</f>
        <v>383000</v>
      </c>
      <c r="Q2019" s="9">
        <f>ROUND(P2019+(P2019*Assumptions!P$5),-3)</f>
        <v>393000</v>
      </c>
      <c r="R2019" s="9">
        <f>ROUND(Q2019+(Q2019*Assumptions!Q$5),-3)</f>
        <v>403000</v>
      </c>
      <c r="S2019" s="47">
        <f>ROUND(R2019+(R2019*Assumptions!R$5),-3)</f>
        <v>413000</v>
      </c>
    </row>
    <row r="2020" spans="1:19" x14ac:dyDescent="0.2">
      <c r="A2020" s="54">
        <v>188800</v>
      </c>
      <c r="B2020" s="9">
        <v>164600</v>
      </c>
      <c r="C2020" s="136">
        <v>171700</v>
      </c>
      <c r="D2020" s="136">
        <v>184000</v>
      </c>
      <c r="E2020" s="144">
        <v>205900</v>
      </c>
      <c r="F2020" s="469" t="s">
        <v>113</v>
      </c>
      <c r="G2020" s="385" t="s">
        <v>2664</v>
      </c>
      <c r="H2020" s="9">
        <v>208000</v>
      </c>
      <c r="I2020" s="85">
        <f t="shared" si="2275"/>
        <v>1.0199125789218066</v>
      </c>
      <c r="J2020" s="9">
        <f>ROUND(H2020+(H2020*Assumptions!I$5),-3)</f>
        <v>213000</v>
      </c>
      <c r="K2020" s="9">
        <f>ROUND(J2020+(J2020*Assumptions!J$5),-3)</f>
        <v>218000</v>
      </c>
      <c r="L2020" s="9">
        <f>ROUND(K2020+(K2020*Assumptions!K$5),-3)</f>
        <v>223000</v>
      </c>
      <c r="M2020" s="9">
        <f>ROUND(L2020+(L2020*Assumptions!L$5),-3)</f>
        <v>229000</v>
      </c>
      <c r="N2020" s="9">
        <f>ROUND(M2020+(M2020*Assumptions!M$5),-3)</f>
        <v>235000</v>
      </c>
      <c r="O2020" s="9">
        <f>ROUND(N2020+(N2020*Assumptions!N$5),-3)</f>
        <v>241000</v>
      </c>
      <c r="P2020" s="9">
        <f>ROUND(O2020+(O2020*Assumptions!O$5),-3)</f>
        <v>247000</v>
      </c>
      <c r="Q2020" s="9">
        <f>ROUND(P2020+(P2020*Assumptions!P$5),-3)</f>
        <v>253000</v>
      </c>
      <c r="R2020" s="9">
        <f>ROUND(Q2020+(Q2020*Assumptions!Q$5),-3)</f>
        <v>259000</v>
      </c>
      <c r="S2020" s="47">
        <f>ROUND(R2020+(R2020*Assumptions!R$5),-3)</f>
        <v>265000</v>
      </c>
    </row>
    <row r="2021" spans="1:19" x14ac:dyDescent="0.2">
      <c r="A2021" s="54">
        <v>762100</v>
      </c>
      <c r="B2021" s="89">
        <v>773200</v>
      </c>
      <c r="C2021" s="136">
        <v>1144900</v>
      </c>
      <c r="D2021" s="136">
        <v>1242300</v>
      </c>
      <c r="E2021" s="144">
        <v>1231500</v>
      </c>
      <c r="F2021" s="469" t="s">
        <v>575</v>
      </c>
      <c r="G2021" s="661" t="s">
        <v>5247</v>
      </c>
      <c r="H2021" s="9">
        <f>1174000+5000</f>
        <v>1179000</v>
      </c>
      <c r="I2021" s="85">
        <f t="shared" si="2275"/>
        <v>-4.2630937880633368</v>
      </c>
      <c r="J2021" s="134">
        <f>ROUND(H2021+(H2021*Assumptions!I$5),-3)</f>
        <v>1206000</v>
      </c>
      <c r="K2021" s="134">
        <f>ROUND(J2021+(J2021*Assumptions!J$5),-3)</f>
        <v>1236000</v>
      </c>
      <c r="L2021" s="134">
        <f>ROUND(K2021+(K2021*Assumptions!K$5),-3)</f>
        <v>1267000</v>
      </c>
      <c r="M2021" s="134">
        <f>ROUND(L2021+(L2021*Assumptions!L$5),-3)</f>
        <v>1299000</v>
      </c>
      <c r="N2021" s="134">
        <f>ROUND(M2021+(M2021*Assumptions!M$5),-3)</f>
        <v>1331000</v>
      </c>
      <c r="O2021" s="9">
        <f>ROUND(N2021+(N2021*Assumptions!N$5),-3)</f>
        <v>1364000</v>
      </c>
      <c r="P2021" s="9">
        <f>ROUND(O2021+(O2021*Assumptions!O$5),-3)</f>
        <v>1398000</v>
      </c>
      <c r="Q2021" s="9">
        <f>ROUND(P2021+(P2021*Assumptions!P$5),-3)</f>
        <v>1433000</v>
      </c>
      <c r="R2021" s="9">
        <f>ROUND(Q2021+(Q2021*Assumptions!Q$5),-3)</f>
        <v>1469000</v>
      </c>
      <c r="S2021" s="47">
        <f>ROUND(R2021+(R2021*Assumptions!R$5),-3)</f>
        <v>1506000</v>
      </c>
    </row>
    <row r="2022" spans="1:19" x14ac:dyDescent="0.2">
      <c r="A2022" s="54">
        <v>8900</v>
      </c>
      <c r="B2022" s="89">
        <v>2500</v>
      </c>
      <c r="C2022" s="136">
        <f>600+800</f>
        <v>1400</v>
      </c>
      <c r="D2022" s="136">
        <v>2100</v>
      </c>
      <c r="E2022" s="144">
        <v>200</v>
      </c>
      <c r="F2022" s="469" t="s">
        <v>576</v>
      </c>
      <c r="G2022" s="661" t="s">
        <v>5246</v>
      </c>
      <c r="H2022" s="9">
        <v>1000</v>
      </c>
      <c r="I2022" s="85">
        <f t="shared" si="2275"/>
        <v>400</v>
      </c>
      <c r="J2022" s="134">
        <f>ROUND(H2022+(H2022*Assumptions!I$5),-3)</f>
        <v>1000</v>
      </c>
      <c r="K2022" s="134">
        <f>ROUND(J2022+(J2022*Assumptions!J$5),-3)</f>
        <v>1000</v>
      </c>
      <c r="L2022" s="134">
        <f>ROUND(K2022+(K2022*Assumptions!K$5),-3)</f>
        <v>1000</v>
      </c>
      <c r="M2022" s="134">
        <f>ROUND(L2022+(L2022*Assumptions!L$5),-3)</f>
        <v>1000</v>
      </c>
      <c r="N2022" s="134">
        <f>ROUND(M2022+(M2022*Assumptions!M$5),-3)</f>
        <v>1000</v>
      </c>
      <c r="O2022" s="9">
        <f>ROUND(N2022+(N2022*Assumptions!N$5),-3)</f>
        <v>1000</v>
      </c>
      <c r="P2022" s="9">
        <f>ROUND(O2022+(O2022*Assumptions!O$5),-3)</f>
        <v>1000</v>
      </c>
      <c r="Q2022" s="9">
        <f>ROUND(P2022+(P2022*Assumptions!P$5),-3)</f>
        <v>1000</v>
      </c>
      <c r="R2022" s="9">
        <f>ROUND(Q2022+(Q2022*Assumptions!Q$5),-3)</f>
        <v>1000</v>
      </c>
      <c r="S2022" s="47">
        <f>ROUND(R2022+(R2022*Assumptions!R$5),-3)</f>
        <v>1000</v>
      </c>
    </row>
    <row r="2023" spans="1:19" x14ac:dyDescent="0.2">
      <c r="A2023" s="54">
        <v>3023700</v>
      </c>
      <c r="B2023" s="136">
        <v>2919400</v>
      </c>
      <c r="C2023" s="136">
        <f>1993200-800</f>
        <v>1992400</v>
      </c>
      <c r="D2023" s="136">
        <v>1832300</v>
      </c>
      <c r="E2023" s="144">
        <v>1865600</v>
      </c>
      <c r="F2023" s="469" t="s">
        <v>907</v>
      </c>
      <c r="G2023" s="661" t="s">
        <v>3798</v>
      </c>
      <c r="H2023" s="9">
        <f>1889000+40900</f>
        <v>1929900</v>
      </c>
      <c r="I2023" s="85">
        <f t="shared" si="2275"/>
        <v>3.4466123499142367</v>
      </c>
      <c r="J2023" s="9">
        <f t="shared" ref="J2023:R2023" si="2276">-J1849</f>
        <v>1974000</v>
      </c>
      <c r="K2023" s="9">
        <f t="shared" si="2276"/>
        <v>2019000</v>
      </c>
      <c r="L2023" s="9">
        <f t="shared" si="2276"/>
        <v>2065000</v>
      </c>
      <c r="M2023" s="9">
        <f t="shared" si="2276"/>
        <v>2112000</v>
      </c>
      <c r="N2023" s="9">
        <f t="shared" si="2276"/>
        <v>2161000</v>
      </c>
      <c r="O2023" s="9">
        <f t="shared" si="2276"/>
        <v>2211000</v>
      </c>
      <c r="P2023" s="9">
        <f t="shared" si="2276"/>
        <v>2262000</v>
      </c>
      <c r="Q2023" s="9">
        <f t="shared" si="2276"/>
        <v>2314000</v>
      </c>
      <c r="R2023" s="9">
        <f t="shared" si="2276"/>
        <v>2367000</v>
      </c>
      <c r="S2023" s="47">
        <f t="shared" ref="S2023" si="2277">-S1849</f>
        <v>2421000</v>
      </c>
    </row>
    <row r="2024" spans="1:19" x14ac:dyDescent="0.2">
      <c r="A2024" s="54"/>
      <c r="B2024" s="9"/>
      <c r="E2024" s="144"/>
      <c r="F2024" s="469"/>
      <c r="G2024" s="419" t="s">
        <v>2382</v>
      </c>
      <c r="H2024" s="9"/>
      <c r="I2024" s="85"/>
      <c r="J2024" s="9"/>
      <c r="K2024" s="9"/>
      <c r="L2024" s="9"/>
      <c r="M2024" s="9"/>
      <c r="N2024" s="9"/>
      <c r="O2024" s="9"/>
      <c r="P2024" s="9"/>
      <c r="Q2024" s="9"/>
      <c r="R2024" s="9"/>
      <c r="S2024" s="47"/>
    </row>
    <row r="2025" spans="1:19" x14ac:dyDescent="0.2">
      <c r="A2025" s="54">
        <v>350100</v>
      </c>
      <c r="B2025" s="9">
        <v>341000</v>
      </c>
      <c r="C2025" s="136">
        <v>334500</v>
      </c>
      <c r="D2025" s="136">
        <v>497700</v>
      </c>
      <c r="E2025" s="144">
        <v>518800</v>
      </c>
      <c r="F2025" s="469" t="s">
        <v>699</v>
      </c>
      <c r="G2025" s="385" t="s">
        <v>1165</v>
      </c>
      <c r="H2025" s="9">
        <f>470000+30700</f>
        <v>500700</v>
      </c>
      <c r="I2025" s="85">
        <f>IF(E2025=H2025,0,IF(E2025=0,100,(H2025-E2025)/E2025*100))</f>
        <v>-3.4888203546646102</v>
      </c>
      <c r="J2025" s="9">
        <f>ROUND(H2025+(H2025*Assumptions!I$5),-3)</f>
        <v>512000</v>
      </c>
      <c r="K2025" s="9">
        <f>ROUND(J2025+(J2025*Assumptions!J$5),-3)</f>
        <v>525000</v>
      </c>
      <c r="L2025" s="9">
        <f>ROUND(K2025+(K2025*Assumptions!K$5),-3)</f>
        <v>538000</v>
      </c>
      <c r="M2025" s="9">
        <f>ROUND(L2025+(L2025*Assumptions!L$5),-3)</f>
        <v>551000</v>
      </c>
      <c r="N2025" s="9">
        <f>ROUND(M2025+(M2025*Assumptions!M$5),-3)</f>
        <v>565000</v>
      </c>
      <c r="O2025" s="9">
        <f>ROUND(N2025+(N2025*Assumptions!N$5),-3)</f>
        <v>579000</v>
      </c>
      <c r="P2025" s="9">
        <f>ROUND(O2025+(O2025*Assumptions!O$5),-3)</f>
        <v>593000</v>
      </c>
      <c r="Q2025" s="9">
        <f>ROUND(P2025+(P2025*Assumptions!P$5),-3)</f>
        <v>608000</v>
      </c>
      <c r="R2025" s="9">
        <f>ROUND(Q2025+(Q2025*Assumptions!Q$5),-3)</f>
        <v>623000</v>
      </c>
      <c r="S2025" s="47">
        <f>ROUND(R2025+(R2025*Assumptions!R$5),-3)</f>
        <v>639000</v>
      </c>
    </row>
    <row r="2026" spans="1:19" x14ac:dyDescent="0.2">
      <c r="A2026" s="54">
        <v>0</v>
      </c>
      <c r="B2026" s="9">
        <v>0</v>
      </c>
      <c r="C2026" s="136">
        <v>0</v>
      </c>
      <c r="D2026" s="136">
        <v>0</v>
      </c>
      <c r="E2026" s="144">
        <v>0</v>
      </c>
      <c r="F2026" s="469" t="s">
        <v>1476</v>
      </c>
      <c r="G2026" s="385" t="s">
        <v>1182</v>
      </c>
      <c r="H2026" s="9">
        <v>2000</v>
      </c>
      <c r="I2026" s="85">
        <f>IF(E2026=H2026,0,IF(E2026=0,100,(H2026-E2026)/E2026*100))</f>
        <v>100</v>
      </c>
      <c r="J2026" s="9">
        <f>ROUND(H2026+(H2026*Assumptions!I$5),-3)</f>
        <v>2000</v>
      </c>
      <c r="K2026" s="9">
        <f>ROUND(J2026+(J2026*Assumptions!J$5),-3)</f>
        <v>2000</v>
      </c>
      <c r="L2026" s="9">
        <f>ROUND(K2026+(K2026*Assumptions!K$5),-3)</f>
        <v>2000</v>
      </c>
      <c r="M2026" s="9">
        <f>ROUND(L2026+(L2026*Assumptions!L$5),-3)</f>
        <v>2000</v>
      </c>
      <c r="N2026" s="9">
        <f>ROUND(M2026+(M2026*Assumptions!M$5),-3)</f>
        <v>2000</v>
      </c>
      <c r="O2026" s="9">
        <f>ROUND(N2026+(N2026*Assumptions!N$5),-3)</f>
        <v>2000</v>
      </c>
      <c r="P2026" s="9">
        <f>ROUND(O2026+(O2026*Assumptions!O$5),-3)</f>
        <v>2000</v>
      </c>
      <c r="Q2026" s="9">
        <f>ROUND(P2026+(P2026*Assumptions!P$5),-3)</f>
        <v>2000</v>
      </c>
      <c r="R2026" s="9">
        <f>ROUND(Q2026+(Q2026*Assumptions!Q$5),-3)</f>
        <v>2000</v>
      </c>
      <c r="S2026" s="47">
        <f>ROUND(R2026+(R2026*Assumptions!R$5),-3)</f>
        <v>2000</v>
      </c>
    </row>
    <row r="2027" spans="1:19" x14ac:dyDescent="0.2">
      <c r="A2027" s="54">
        <v>841500</v>
      </c>
      <c r="B2027" s="9">
        <v>892500</v>
      </c>
      <c r="C2027" s="136">
        <f>984900-600-1900</f>
        <v>982400</v>
      </c>
      <c r="D2027" s="136">
        <v>960800</v>
      </c>
      <c r="E2027" s="144">
        <v>1002700</v>
      </c>
      <c r="F2027" s="469" t="s">
        <v>2845</v>
      </c>
      <c r="G2027" s="385" t="s">
        <v>1183</v>
      </c>
      <c r="H2027" s="9">
        <v>1003000</v>
      </c>
      <c r="I2027" s="85">
        <f>IF(E2027=H2027,0,IF(E2027=0,100,(H2027-E2027)/E2027*100))</f>
        <v>2.9919218111100033E-2</v>
      </c>
      <c r="J2027" s="9">
        <f t="shared" ref="J2027:R2027" si="2278">-J1848</f>
        <v>1026000</v>
      </c>
      <c r="K2027" s="9">
        <f t="shared" si="2278"/>
        <v>1050000</v>
      </c>
      <c r="L2027" s="9">
        <f t="shared" si="2278"/>
        <v>1074000</v>
      </c>
      <c r="M2027" s="9">
        <f t="shared" si="2278"/>
        <v>1099000</v>
      </c>
      <c r="N2027" s="9">
        <f t="shared" si="2278"/>
        <v>1124000</v>
      </c>
      <c r="O2027" s="9">
        <f t="shared" si="2278"/>
        <v>1150000</v>
      </c>
      <c r="P2027" s="9">
        <f t="shared" si="2278"/>
        <v>1176000</v>
      </c>
      <c r="Q2027" s="9">
        <f t="shared" si="2278"/>
        <v>1203000</v>
      </c>
      <c r="R2027" s="9">
        <f t="shared" si="2278"/>
        <v>1231000</v>
      </c>
      <c r="S2027" s="47">
        <f t="shared" ref="S2027" si="2279">-S1848</f>
        <v>1259000</v>
      </c>
    </row>
    <row r="2028" spans="1:19" x14ac:dyDescent="0.2">
      <c r="A2028" s="54">
        <v>18500</v>
      </c>
      <c r="B2028" s="9">
        <v>37300</v>
      </c>
      <c r="C2028" s="136">
        <f>45700+1900</f>
        <v>47600</v>
      </c>
      <c r="D2028" s="136">
        <v>48800</v>
      </c>
      <c r="E2028" s="1442">
        <v>51400</v>
      </c>
      <c r="F2028" s="469" t="s">
        <v>902</v>
      </c>
      <c r="G2028" s="661" t="s">
        <v>3014</v>
      </c>
      <c r="H2028" s="9">
        <v>43000</v>
      </c>
      <c r="I2028" s="85">
        <f>IF(E2028=H2028,0,IF(E2028=0,100,(H2028-E2028)/E2028*100))</f>
        <v>-16.342412451361866</v>
      </c>
      <c r="J2028" s="9">
        <f>ROUND(H2028+(H2028*Assumptions!I$5),-3)</f>
        <v>44000</v>
      </c>
      <c r="K2028" s="9">
        <f>ROUND(J2028+(J2028*Assumptions!J$5),-3)</f>
        <v>45000</v>
      </c>
      <c r="L2028" s="9">
        <f>ROUND(K2028+(K2028*Assumptions!K$5),-3)</f>
        <v>46000</v>
      </c>
      <c r="M2028" s="9">
        <f>ROUND(L2028+(L2028*Assumptions!L$5),-3)</f>
        <v>47000</v>
      </c>
      <c r="N2028" s="9">
        <f>ROUND(M2028+(M2028*Assumptions!M$5),-3)</f>
        <v>48000</v>
      </c>
      <c r="O2028" s="9">
        <f>ROUND(N2028+(N2028*Assumptions!N$5),-3)</f>
        <v>49000</v>
      </c>
      <c r="P2028" s="9">
        <f>ROUND(O2028+(O2028*Assumptions!O$5),-3)</f>
        <v>50000</v>
      </c>
      <c r="Q2028" s="9">
        <f>ROUND(P2028+(P2028*Assumptions!P$5),-3)</f>
        <v>51000</v>
      </c>
      <c r="R2028" s="9">
        <f>ROUND(Q2028+(Q2028*Assumptions!Q$5),-3)</f>
        <v>52000</v>
      </c>
      <c r="S2028" s="47">
        <f>ROUND(R2028+(R2028*Assumptions!R$5),-3)</f>
        <v>53000</v>
      </c>
    </row>
    <row r="2029" spans="1:19" x14ac:dyDescent="0.2">
      <c r="A2029" s="54"/>
      <c r="B2029" s="9"/>
      <c r="E2029" s="1442"/>
      <c r="F2029" s="469"/>
      <c r="G2029" s="419" t="s">
        <v>499</v>
      </c>
      <c r="H2029" s="9"/>
      <c r="I2029" s="85"/>
      <c r="J2029" s="9"/>
      <c r="K2029" s="9"/>
      <c r="L2029" s="9"/>
      <c r="M2029" s="9"/>
      <c r="N2029" s="9"/>
      <c r="O2029" s="9"/>
      <c r="P2029" s="9"/>
      <c r="Q2029" s="9"/>
      <c r="R2029" s="9"/>
      <c r="S2029" s="47"/>
    </row>
    <row r="2030" spans="1:19" x14ac:dyDescent="0.2">
      <c r="A2030" s="54">
        <v>304700</v>
      </c>
      <c r="B2030" s="9">
        <f>753200-27800-5100-406000</f>
        <v>314300</v>
      </c>
      <c r="C2030" s="136">
        <f>389700</f>
        <v>389700</v>
      </c>
      <c r="D2030" s="136">
        <f>378600-2700</f>
        <v>375900</v>
      </c>
      <c r="E2030" s="1442">
        <f>1050200-E2012-E2008-E2005-E2014</f>
        <v>383700</v>
      </c>
      <c r="F2030" s="469" t="s">
        <v>1011</v>
      </c>
      <c r="G2030" s="385" t="s">
        <v>100</v>
      </c>
      <c r="H2030" s="9">
        <v>401000</v>
      </c>
      <c r="I2030" s="85">
        <f>IF(E2030=H2030,0,IF(E2030=0,100,(H2030-E2030)/E2030*100))</f>
        <v>4.5087307792546261</v>
      </c>
      <c r="J2030" s="9">
        <f>ROUND(H2030+(H2030*Assumptions!I$5),-3)</f>
        <v>410000</v>
      </c>
      <c r="K2030" s="9">
        <f>ROUND(J2030+(J2030*Assumptions!J$5),-3)</f>
        <v>420000</v>
      </c>
      <c r="L2030" s="9">
        <f>ROUND(K2030+(K2030*Assumptions!K$5),-3)</f>
        <v>431000</v>
      </c>
      <c r="M2030" s="9">
        <f>ROUND(L2030+(L2030*Assumptions!L$5),-3)</f>
        <v>442000</v>
      </c>
      <c r="N2030" s="9">
        <f>ROUND(M2030+(M2030*Assumptions!M$5),-3)</f>
        <v>453000</v>
      </c>
      <c r="O2030" s="9">
        <f>ROUND(N2030+(N2030*Assumptions!N$5),-3)</f>
        <v>464000</v>
      </c>
      <c r="P2030" s="9">
        <f>ROUND(O2030+(O2030*Assumptions!O$5),-3)</f>
        <v>476000</v>
      </c>
      <c r="Q2030" s="9">
        <f>ROUND(P2030+(P2030*Assumptions!P$5),-3)</f>
        <v>488000</v>
      </c>
      <c r="R2030" s="9">
        <f>ROUND(Q2030+(Q2030*Assumptions!Q$5),-3)</f>
        <v>500000</v>
      </c>
      <c r="S2030" s="47">
        <f>ROUND(R2030+(R2030*Assumptions!R$5),-3)</f>
        <v>513000</v>
      </c>
    </row>
    <row r="2031" spans="1:19" x14ac:dyDescent="0.2">
      <c r="A2031" s="54"/>
      <c r="B2031" s="9"/>
      <c r="E2031" s="1442"/>
      <c r="F2031" s="469"/>
      <c r="G2031" s="21" t="str">
        <f>G101</f>
        <v>Non-Cash Expenses</v>
      </c>
      <c r="H2031" s="9"/>
      <c r="I2031" s="85"/>
      <c r="J2031" s="9"/>
      <c r="K2031" s="9"/>
      <c r="L2031" s="9"/>
      <c r="M2031" s="9"/>
      <c r="N2031" s="9"/>
      <c r="O2031" s="9"/>
      <c r="P2031" s="9"/>
      <c r="Q2031" s="9"/>
      <c r="R2031" s="9"/>
      <c r="S2031" s="47"/>
    </row>
    <row r="2032" spans="1:19" x14ac:dyDescent="0.2">
      <c r="A2032" s="54">
        <v>250900</v>
      </c>
      <c r="B2032" s="9">
        <v>179100</v>
      </c>
      <c r="C2032" s="136">
        <v>177200</v>
      </c>
      <c r="D2032" s="136">
        <v>177200</v>
      </c>
      <c r="E2032" s="1442">
        <v>177200</v>
      </c>
      <c r="F2032" s="469" t="s">
        <v>2389</v>
      </c>
      <c r="G2032" s="420" t="s">
        <v>219</v>
      </c>
      <c r="H2032" s="9">
        <v>180600</v>
      </c>
      <c r="I2032" s="85">
        <f>IF(E2032=H2032,0,IF(E2032=0,100,(H2032-E2032)/E2032*100))</f>
        <v>1.9187358916478554</v>
      </c>
      <c r="J2032" s="9">
        <f>ROUNDUP(H2032+(H2032*Assumptions!I$18),-2)</f>
        <v>184300</v>
      </c>
      <c r="K2032" s="9">
        <f>ROUNDUP(J2032+(J2032*Assumptions!J$18),-2)</f>
        <v>188000</v>
      </c>
      <c r="L2032" s="9">
        <f>ROUNDUP(K2032+(K2032*Assumptions!K$18),-2)</f>
        <v>191800</v>
      </c>
      <c r="M2032" s="9">
        <f>ROUNDUP(L2032+(L2032*Assumptions!L$18),-2)</f>
        <v>195700</v>
      </c>
      <c r="N2032" s="9">
        <f>ROUNDUP(M2032+(M2032*Assumptions!M$18),-2)</f>
        <v>199700</v>
      </c>
      <c r="O2032" s="9">
        <f>ROUNDUP(N2032+(N2032*Assumptions!N$18),-2)</f>
        <v>203700</v>
      </c>
      <c r="P2032" s="9">
        <f>ROUNDUP(O2032+(O2032*Assumptions!O$18),-2)</f>
        <v>207800</v>
      </c>
      <c r="Q2032" s="9">
        <f>ROUNDUP(P2032+(P2032*Assumptions!P$18),-2)</f>
        <v>212000</v>
      </c>
      <c r="R2032" s="9">
        <f>ROUNDUP(Q2032+(Q2032*Assumptions!Q$18),-2)</f>
        <v>216300</v>
      </c>
      <c r="S2032" s="47">
        <f>ROUNDUP(R2032+(R2032*Assumptions!R$18),-2)</f>
        <v>220700</v>
      </c>
    </row>
    <row r="2033" spans="1:21" ht="13.5" thickBot="1" x14ac:dyDescent="0.25">
      <c r="A2033" s="54"/>
      <c r="B2033" s="9"/>
      <c r="C2033" s="9"/>
      <c r="D2033" s="9"/>
      <c r="E2033" s="29"/>
      <c r="F2033" s="167"/>
      <c r="G2033" s="167"/>
      <c r="H2033" s="9"/>
      <c r="I2033" s="85"/>
      <c r="J2033" s="9"/>
      <c r="K2033" s="9"/>
      <c r="L2033" s="9"/>
      <c r="M2033" s="9"/>
      <c r="N2033" s="9"/>
      <c r="O2033" s="9"/>
      <c r="P2033" s="9"/>
      <c r="Q2033" s="9"/>
      <c r="R2033" s="9"/>
      <c r="S2033" s="47"/>
    </row>
    <row r="2034" spans="1:21" s="39" customFormat="1" x14ac:dyDescent="0.2">
      <c r="A2034" s="52">
        <f>SUM(A1997:A2033)</f>
        <v>6163000</v>
      </c>
      <c r="B2034" s="16">
        <f>SUM(B1997:B2033)</f>
        <v>6082600</v>
      </c>
      <c r="C2034" s="16">
        <f>SUM(C1997:C2033)</f>
        <v>5865100</v>
      </c>
      <c r="D2034" s="16">
        <f>SUM(D1997:D2033)</f>
        <v>5916800</v>
      </c>
      <c r="E2034" s="323">
        <f>SUM(E1997:E2033)</f>
        <v>6006800</v>
      </c>
      <c r="F2034" s="126"/>
      <c r="G2034" s="267" t="s">
        <v>556</v>
      </c>
      <c r="H2034" s="16">
        <f>SUM(H1997:H2033)</f>
        <v>6094200</v>
      </c>
      <c r="I2034" s="127">
        <f>IF(E2034=H2034,0,IF(E2034=0,100,(H2034-E2034)/E2034*100))</f>
        <v>1.4550176466671105</v>
      </c>
      <c r="J2034" s="16">
        <f t="shared" ref="J2034:R2034" si="2280">SUM(J1997:J2033)</f>
        <v>6232300</v>
      </c>
      <c r="K2034" s="16">
        <f t="shared" si="2280"/>
        <v>6380000</v>
      </c>
      <c r="L2034" s="16">
        <f t="shared" si="2280"/>
        <v>6529800</v>
      </c>
      <c r="M2034" s="16">
        <f t="shared" si="2280"/>
        <v>6685700</v>
      </c>
      <c r="N2034" s="16">
        <f t="shared" si="2280"/>
        <v>6844700</v>
      </c>
      <c r="O2034" s="16">
        <f t="shared" si="2280"/>
        <v>7005700</v>
      </c>
      <c r="P2034" s="16">
        <f t="shared" si="2280"/>
        <v>7170800</v>
      </c>
      <c r="Q2034" s="16">
        <f t="shared" si="2280"/>
        <v>7340000</v>
      </c>
      <c r="R2034" s="16">
        <f t="shared" si="2280"/>
        <v>7514300</v>
      </c>
      <c r="S2034" s="2342">
        <f t="shared" ref="S2034" si="2281">SUM(S1997:S2033)</f>
        <v>7691700</v>
      </c>
      <c r="U2034" s="34"/>
    </row>
    <row r="2035" spans="1:21" x14ac:dyDescent="0.2">
      <c r="A2035" s="54"/>
      <c r="B2035" s="9"/>
      <c r="C2035" s="9"/>
      <c r="D2035" s="9"/>
      <c r="E2035" s="29"/>
      <c r="F2035" s="2421"/>
      <c r="G2035" s="257"/>
      <c r="H2035" s="9"/>
      <c r="I2035" s="85"/>
      <c r="J2035" s="9"/>
      <c r="K2035" s="9"/>
      <c r="L2035" s="9"/>
      <c r="M2035" s="9"/>
      <c r="N2035" s="9"/>
      <c r="O2035" s="9"/>
      <c r="P2035" s="9"/>
      <c r="Q2035" s="9"/>
      <c r="R2035" s="9"/>
      <c r="S2035" s="47"/>
    </row>
    <row r="2036" spans="1:21" s="39" customFormat="1" x14ac:dyDescent="0.2">
      <c r="A2036" s="24">
        <f>A1996-A2034</f>
        <v>416200</v>
      </c>
      <c r="B2036" s="21">
        <f>B1996-B2034</f>
        <v>653900</v>
      </c>
      <c r="C2036" s="21">
        <f>C1996-C2034</f>
        <v>0</v>
      </c>
      <c r="D2036" s="21">
        <f>D1996-D2034</f>
        <v>162700</v>
      </c>
      <c r="E2036" s="32">
        <f>E1996-E2034</f>
        <v>301300</v>
      </c>
      <c r="F2036" s="138"/>
      <c r="G2036" s="361" t="s">
        <v>1002</v>
      </c>
      <c r="H2036" s="21">
        <f>H1996-H2034</f>
        <v>412600</v>
      </c>
      <c r="I2036" s="126">
        <f>IF(E2036=H2036,0,IF(E2036=0,100,(H2036-E2036)/E2036*100))</f>
        <v>36.939926983073349</v>
      </c>
      <c r="J2036" s="21">
        <f t="shared" ref="J2036:R2036" si="2282">J1996-J2034</f>
        <v>413700</v>
      </c>
      <c r="K2036" s="21">
        <f t="shared" si="2282"/>
        <v>396500</v>
      </c>
      <c r="L2036" s="21">
        <f t="shared" si="2282"/>
        <v>418700</v>
      </c>
      <c r="M2036" s="21">
        <f t="shared" si="2282"/>
        <v>393400</v>
      </c>
      <c r="N2036" s="21">
        <f t="shared" si="2282"/>
        <v>413700</v>
      </c>
      <c r="O2036" s="21">
        <f t="shared" si="2282"/>
        <v>435800</v>
      </c>
      <c r="P2036" s="21">
        <f t="shared" si="2282"/>
        <v>408800</v>
      </c>
      <c r="Q2036" s="21">
        <f t="shared" si="2282"/>
        <v>430700</v>
      </c>
      <c r="R2036" s="21">
        <f t="shared" si="2282"/>
        <v>436500</v>
      </c>
      <c r="S2036" s="86">
        <f t="shared" ref="S2036" si="2283">S1996-S2034</f>
        <v>425400</v>
      </c>
      <c r="U2036" s="34"/>
    </row>
    <row r="2037" spans="1:21" x14ac:dyDescent="0.2">
      <c r="A2037" s="54">
        <f>A2032</f>
        <v>250900</v>
      </c>
      <c r="B2037" s="9">
        <f>B2032</f>
        <v>179100</v>
      </c>
      <c r="C2037" s="9">
        <f>C2032</f>
        <v>177200</v>
      </c>
      <c r="D2037" s="9">
        <f>D2032</f>
        <v>177200</v>
      </c>
      <c r="E2037" s="29">
        <f t="shared" ref="E2037" si="2284">E2032</f>
        <v>177200</v>
      </c>
      <c r="F2037" s="167"/>
      <c r="G2037" s="261" t="s">
        <v>1943</v>
      </c>
      <c r="H2037" s="9">
        <f t="shared" ref="H2037:L2037" si="2285">H2032</f>
        <v>180600</v>
      </c>
      <c r="I2037" s="85">
        <f>IF(E2037=H2037,0,IF(E2037=0,100,(H2037-E2037)/E2037*100))</f>
        <v>1.9187358916478554</v>
      </c>
      <c r="J2037" s="9">
        <f t="shared" si="2285"/>
        <v>184300</v>
      </c>
      <c r="K2037" s="9">
        <f t="shared" si="2285"/>
        <v>188000</v>
      </c>
      <c r="L2037" s="9">
        <f t="shared" si="2285"/>
        <v>191800</v>
      </c>
      <c r="M2037" s="9">
        <f t="shared" ref="M2037:R2037" si="2286">M2032</f>
        <v>195700</v>
      </c>
      <c r="N2037" s="9">
        <f t="shared" si="2286"/>
        <v>199700</v>
      </c>
      <c r="O2037" s="9">
        <f t="shared" si="2286"/>
        <v>203700</v>
      </c>
      <c r="P2037" s="9">
        <f t="shared" si="2286"/>
        <v>207800</v>
      </c>
      <c r="Q2037" s="9">
        <f t="shared" si="2286"/>
        <v>212000</v>
      </c>
      <c r="R2037" s="9">
        <f t="shared" si="2286"/>
        <v>216300</v>
      </c>
      <c r="S2037" s="47">
        <f t="shared" ref="S2037" si="2287">S2032</f>
        <v>220700</v>
      </c>
    </row>
    <row r="2038" spans="1:21" s="39" customFormat="1" x14ac:dyDescent="0.2">
      <c r="A2038" s="128">
        <f>A2036+A2037</f>
        <v>667100</v>
      </c>
      <c r="B2038" s="280">
        <f>B2036+B2037</f>
        <v>833000</v>
      </c>
      <c r="C2038" s="280">
        <f>C2036+C2037</f>
        <v>177200</v>
      </c>
      <c r="D2038" s="280">
        <f>D2036+D2037</f>
        <v>339900</v>
      </c>
      <c r="E2038" s="515">
        <f>E2036+E2037</f>
        <v>478500</v>
      </c>
      <c r="F2038" s="372"/>
      <c r="G2038" s="363" t="s">
        <v>1659</v>
      </c>
      <c r="H2038" s="280">
        <f t="shared" ref="H2038:O2038" si="2288">H2036+H2037</f>
        <v>593200</v>
      </c>
      <c r="I2038" s="278">
        <f>IF(E2038=H2038,0,IF(E2038=0,100,(H2038-E2038)/E2038*100))</f>
        <v>23.970741901776385</v>
      </c>
      <c r="J2038" s="280">
        <f t="shared" si="2288"/>
        <v>598000</v>
      </c>
      <c r="K2038" s="280">
        <f t="shared" si="2288"/>
        <v>584500</v>
      </c>
      <c r="L2038" s="280">
        <f t="shared" si="2288"/>
        <v>610500</v>
      </c>
      <c r="M2038" s="280">
        <f t="shared" si="2288"/>
        <v>589100</v>
      </c>
      <c r="N2038" s="280">
        <f t="shared" si="2288"/>
        <v>613400</v>
      </c>
      <c r="O2038" s="280">
        <f t="shared" si="2288"/>
        <v>639500</v>
      </c>
      <c r="P2038" s="280">
        <f t="shared" ref="P2038:Q2038" si="2289">P2036+P2037</f>
        <v>616600</v>
      </c>
      <c r="Q2038" s="280">
        <f t="shared" si="2289"/>
        <v>642700</v>
      </c>
      <c r="R2038" s="280">
        <f t="shared" ref="R2038" si="2290">R2036+R2037</f>
        <v>652800</v>
      </c>
      <c r="S2038" s="2343">
        <f t="shared" ref="S2038" si="2291">S2036+S2037</f>
        <v>646100</v>
      </c>
      <c r="U2038" s="34"/>
    </row>
    <row r="2039" spans="1:21" ht="13.5" thickBot="1" x14ac:dyDescent="0.25">
      <c r="A2039" s="26"/>
      <c r="B2039" s="37"/>
      <c r="C2039" s="37"/>
      <c r="D2039" s="37"/>
      <c r="E2039" s="35"/>
      <c r="F2039" s="168"/>
      <c r="G2039" s="168"/>
      <c r="H2039" s="68"/>
      <c r="I2039" s="275"/>
      <c r="J2039" s="68"/>
      <c r="K2039" s="68"/>
      <c r="L2039" s="68"/>
      <c r="M2039" s="68"/>
      <c r="N2039" s="68"/>
      <c r="O2039" s="68"/>
      <c r="P2039" s="68"/>
      <c r="Q2039" s="68"/>
      <c r="R2039" s="68"/>
      <c r="S2039" s="108"/>
    </row>
    <row r="2040" spans="1:21" ht="13.5" thickTop="1" x14ac:dyDescent="0.2">
      <c r="A2040" s="270"/>
      <c r="B2040" s="69"/>
      <c r="C2040" s="109"/>
      <c r="D2040" s="109"/>
      <c r="E2040" s="274"/>
      <c r="F2040" s="254"/>
      <c r="G2040" s="254"/>
      <c r="H2040" s="74"/>
      <c r="I2040" s="352"/>
      <c r="J2040" s="74"/>
      <c r="K2040" s="74"/>
      <c r="L2040" s="74"/>
      <c r="M2040" s="74"/>
      <c r="N2040" s="74"/>
      <c r="O2040" s="74"/>
      <c r="P2040" s="74"/>
      <c r="Q2040" s="74"/>
      <c r="R2040" s="74"/>
      <c r="S2040" s="110"/>
    </row>
    <row r="2041" spans="1:21" x14ac:dyDescent="0.2">
      <c r="A2041" s="24"/>
      <c r="B2041" s="75"/>
      <c r="C2041" s="21"/>
      <c r="D2041" s="21"/>
      <c r="E2041" s="32"/>
      <c r="F2041" s="167"/>
      <c r="G2041" s="361" t="s">
        <v>192</v>
      </c>
      <c r="H2041" s="9"/>
      <c r="I2041" s="126"/>
      <c r="J2041" s="9"/>
      <c r="K2041" s="9"/>
      <c r="L2041" s="9"/>
      <c r="M2041" s="9"/>
      <c r="N2041" s="9"/>
      <c r="O2041" s="9"/>
      <c r="P2041" s="9"/>
      <c r="Q2041" s="9"/>
      <c r="R2041" s="9"/>
      <c r="S2041" s="61"/>
    </row>
    <row r="2042" spans="1:21" x14ac:dyDescent="0.2">
      <c r="A2042" s="54">
        <v>134000</v>
      </c>
      <c r="B2042" s="89">
        <f>ROUND(SUM('Debt-Gen'!E31:E31),-2)</f>
        <v>142800</v>
      </c>
      <c r="C2042" s="89">
        <f>ROUND(SUM('Debt-Gen'!G31:G31),-2)</f>
        <v>152500</v>
      </c>
      <c r="D2042" s="89">
        <f>ROUND(SUM('Debt-Gen'!I31:I31),-2)</f>
        <v>162600</v>
      </c>
      <c r="E2042" s="46">
        <f>ROUND(SUM('Debt-Gen'!K31:K31),-2)</f>
        <v>0</v>
      </c>
      <c r="F2042" s="9"/>
      <c r="G2042" s="257" t="str">
        <f>G1970</f>
        <v>Less Loan Principal Repayments</v>
      </c>
      <c r="H2042" s="9">
        <f>ROUND(SUM('Debt-Gen'!M31:M31),-2)</f>
        <v>0</v>
      </c>
      <c r="I2042" s="85">
        <f t="shared" ref="I2042:I2047" si="2292">IF(E2042=H2042,0,IF(E2042=0,100,(H2042-E2042)/E2042*100))</f>
        <v>0</v>
      </c>
      <c r="J2042" s="9">
        <f>ROUND(SUM('Debt-Gen'!O31:O31),-2)</f>
        <v>0</v>
      </c>
      <c r="K2042" s="9">
        <f>ROUND(SUM('Debt-Gen'!Q31:Q31),-2)</f>
        <v>0</v>
      </c>
      <c r="L2042" s="9">
        <f>ROUND(SUM('Debt-Gen'!S31:S31),-2)</f>
        <v>0</v>
      </c>
      <c r="M2042" s="9">
        <f>ROUND(SUM('Debt-Gen'!U31:U31),-2)</f>
        <v>0</v>
      </c>
      <c r="N2042" s="9">
        <f>ROUND(SUM('Debt-Gen'!W31:W31),-2)</f>
        <v>0</v>
      </c>
      <c r="O2042" s="9">
        <f>ROUND(SUM('Debt-Gen'!Y31:Y31),-2)</f>
        <v>0</v>
      </c>
      <c r="P2042" s="9">
        <f>ROUND(SUM('Debt-Gen'!AA31:AA31),-2)</f>
        <v>0</v>
      </c>
      <c r="Q2042" s="9">
        <f>ROUND(SUM('Debt-Gen'!AC31:AC31),-2)</f>
        <v>0</v>
      </c>
      <c r="R2042" s="9">
        <f>ROUND(SUM('Debt-Gen'!AE31:AE31),-2)</f>
        <v>0</v>
      </c>
      <c r="S2042" s="61">
        <f>ROUND(SUM('Debt-Gen'!AF31:AF31),-2)</f>
        <v>0</v>
      </c>
    </row>
    <row r="2043" spans="1:21" x14ac:dyDescent="0.2">
      <c r="A2043" s="54">
        <v>533100</v>
      </c>
      <c r="B2043" s="89">
        <v>690200</v>
      </c>
      <c r="C2043" s="9">
        <v>25600</v>
      </c>
      <c r="D2043" s="9">
        <f>SUM('Res-Gen'!B257:B258)</f>
        <v>339900</v>
      </c>
      <c r="E2043" s="29">
        <f>SUM('Res-Gen'!E257:E258)</f>
        <v>478500</v>
      </c>
      <c r="F2043" s="9"/>
      <c r="G2043" s="257" t="str">
        <f>G1971</f>
        <v>Less Transfer to Reserves</v>
      </c>
      <c r="H2043" s="9">
        <f>SUM('Res-Gen'!H257:H258)</f>
        <v>593200</v>
      </c>
      <c r="I2043" s="85">
        <f t="shared" si="2292"/>
        <v>23.970741901776385</v>
      </c>
      <c r="J2043" s="9">
        <f>SUM('Res-Gen'!K257:K258)</f>
        <v>598000</v>
      </c>
      <c r="K2043" s="9">
        <f>SUM('Res-Gen'!N257:N258)</f>
        <v>584500</v>
      </c>
      <c r="L2043" s="9">
        <f>SUM('Res-Gen'!Q257:Q258)</f>
        <v>610500</v>
      </c>
      <c r="M2043" s="9">
        <f>SUM('Res-Gen'!T257:T258)</f>
        <v>589100</v>
      </c>
      <c r="N2043" s="9">
        <f>SUM('Res-Gen'!W257:W258)</f>
        <v>613400</v>
      </c>
      <c r="O2043" s="9">
        <f>SUM('Res-Gen'!Z257:Z258)</f>
        <v>639500</v>
      </c>
      <c r="P2043" s="9">
        <f>SUM('Res-Gen'!AC257:AC258)</f>
        <v>616600</v>
      </c>
      <c r="Q2043" s="9">
        <f>SUM('Res-Gen'!AF257:AF258)</f>
        <v>642700</v>
      </c>
      <c r="R2043" s="9">
        <f>SUM('Res-Gen'!AI257:AI258)</f>
        <v>652800</v>
      </c>
      <c r="S2043" s="61">
        <f>SUM('Res-Gen'!AL257:AL258)</f>
        <v>646100</v>
      </c>
    </row>
    <row r="2044" spans="1:21" x14ac:dyDescent="0.2">
      <c r="A2044" s="54">
        <v>0</v>
      </c>
      <c r="B2044" s="89">
        <v>0</v>
      </c>
      <c r="C2044" s="9">
        <v>900</v>
      </c>
      <c r="D2044" s="9">
        <f>SUM('Res-Gen'!C257:C258)</f>
        <v>541900</v>
      </c>
      <c r="E2044" s="29">
        <f>SUM('Res-Gen'!F257:F258)</f>
        <v>0</v>
      </c>
      <c r="F2044" s="9"/>
      <c r="G2044" s="257" t="str">
        <f>G1972</f>
        <v>Add Transfer from Reserves</v>
      </c>
      <c r="H2044" s="9">
        <f>SUM('Res-Gen'!I257:I258)</f>
        <v>0</v>
      </c>
      <c r="I2044" s="85">
        <f t="shared" si="2292"/>
        <v>0</v>
      </c>
      <c r="J2044" s="9">
        <f>SUM('Res-Gen'!L257:L258)</f>
        <v>1533000</v>
      </c>
      <c r="K2044" s="9">
        <f>SUM('Res-Gen'!O257:O258)</f>
        <v>0</v>
      </c>
      <c r="L2044" s="9">
        <f>SUM('Res-Gen'!R257:R258)</f>
        <v>1800000</v>
      </c>
      <c r="M2044" s="9">
        <f>SUM('Res-Gen'!U257:U258)</f>
        <v>0</v>
      </c>
      <c r="N2044" s="9">
        <f>SUM('Res-Gen'!X257:X258)</f>
        <v>0</v>
      </c>
      <c r="O2044" s="9">
        <f>SUM('Res-Gen'!AA257:AA258)</f>
        <v>2000000</v>
      </c>
      <c r="P2044" s="9">
        <f>SUM('Res-Gen'!AD257:AD258)</f>
        <v>0</v>
      </c>
      <c r="Q2044" s="9">
        <f>SUM('Res-Gen'!AG257:AG258)</f>
        <v>0</v>
      </c>
      <c r="R2044" s="9">
        <f>SUM('Res-Gen'!AJ257:AJ258)</f>
        <v>2200000</v>
      </c>
      <c r="S2044" s="61">
        <f>SUM('Res-Gen'!AM257:AM258)</f>
        <v>0</v>
      </c>
    </row>
    <row r="2045" spans="1:21" x14ac:dyDescent="0.2">
      <c r="A2045" s="54">
        <v>0</v>
      </c>
      <c r="B2045" s="89">
        <v>0</v>
      </c>
      <c r="C2045" s="9">
        <v>0</v>
      </c>
      <c r="D2045" s="9">
        <v>0</v>
      </c>
      <c r="E2045" s="29">
        <v>0</v>
      </c>
      <c r="F2045" s="9"/>
      <c r="G2045" s="257" t="str">
        <f>G1973</f>
        <v>Add Capital Income Applied</v>
      </c>
      <c r="H2045" s="9">
        <v>0</v>
      </c>
      <c r="I2045" s="85">
        <f t="shared" si="2292"/>
        <v>0</v>
      </c>
      <c r="J2045" s="9">
        <v>0</v>
      </c>
      <c r="K2045" s="9">
        <v>0</v>
      </c>
      <c r="L2045" s="9">
        <v>0</v>
      </c>
      <c r="M2045" s="9">
        <v>0</v>
      </c>
      <c r="N2045" s="9">
        <v>0</v>
      </c>
      <c r="O2045" s="9">
        <v>0</v>
      </c>
      <c r="P2045" s="9">
        <v>0</v>
      </c>
      <c r="Q2045" s="9">
        <v>0</v>
      </c>
      <c r="R2045" s="9">
        <v>0</v>
      </c>
      <c r="S2045" s="61">
        <v>0</v>
      </c>
    </row>
    <row r="2046" spans="1:21" x14ac:dyDescent="0.2">
      <c r="A2046" s="54">
        <v>0</v>
      </c>
      <c r="B2046" s="89">
        <v>0</v>
      </c>
      <c r="C2046" s="9">
        <v>0</v>
      </c>
      <c r="D2046" s="9">
        <f>SUM('Cap-Gen'!E217)</f>
        <v>379300</v>
      </c>
      <c r="E2046" s="29">
        <f>SUM('Cap-Gen'!F217)</f>
        <v>0</v>
      </c>
      <c r="F2046" s="9"/>
      <c r="G2046" s="257" t="str">
        <f>G1974</f>
        <v>Less Capital Expenditure</v>
      </c>
      <c r="H2046" s="9">
        <f>SUM('Cap-Gen'!G217)</f>
        <v>0</v>
      </c>
      <c r="I2046" s="85">
        <f t="shared" si="2292"/>
        <v>0</v>
      </c>
      <c r="J2046" s="9">
        <f>SUM('Cap-Gen'!H217)</f>
        <v>1533000</v>
      </c>
      <c r="K2046" s="9">
        <f>SUM('Cap-Gen'!I217)</f>
        <v>0</v>
      </c>
      <c r="L2046" s="9">
        <f>SUM('Cap-Gen'!J217)</f>
        <v>1800000</v>
      </c>
      <c r="M2046" s="9">
        <f>SUM('Cap-Gen'!K217)</f>
        <v>0</v>
      </c>
      <c r="N2046" s="9">
        <f>SUM('Cap-Gen'!L217)</f>
        <v>0</v>
      </c>
      <c r="O2046" s="9">
        <f>SUM('Cap-Gen'!M217)</f>
        <v>2000000</v>
      </c>
      <c r="P2046" s="9">
        <f>SUM('Cap-Gen'!N217)</f>
        <v>0</v>
      </c>
      <c r="Q2046" s="9">
        <f>SUM('Cap-Gen'!O217)</f>
        <v>0</v>
      </c>
      <c r="R2046" s="9">
        <f>SUM('Cap-Gen'!P217)</f>
        <v>2200000</v>
      </c>
      <c r="S2046" s="47">
        <f>SUM('Cap-Gen'!Q217)</f>
        <v>0</v>
      </c>
    </row>
    <row r="2047" spans="1:21" s="39" customFormat="1" x14ac:dyDescent="0.2">
      <c r="A2047" s="128">
        <f>A2038-A2042-A2043+A2044++A2045-A2046</f>
        <v>0</v>
      </c>
      <c r="B2047" s="266">
        <f>B2038-B2042-B2043+B2044++B2045-B2046</f>
        <v>0</v>
      </c>
      <c r="C2047" s="280">
        <f>C2038-C2042-C2043+C2044++C2045-C2046</f>
        <v>0</v>
      </c>
      <c r="D2047" s="280">
        <f>D2038-D2042-D2043+D2044++D2045-D2046</f>
        <v>0</v>
      </c>
      <c r="E2047" s="515">
        <f t="shared" ref="E2047" si="2293">E2038-E2042-E2043+E2044++E2045-E2046</f>
        <v>0</v>
      </c>
      <c r="F2047" s="372"/>
      <c r="G2047" s="363" t="s">
        <v>2447</v>
      </c>
      <c r="H2047" s="280">
        <f t="shared" ref="H2047:O2047" si="2294">H2038-H2042-H2043+H2044++H2045-H2046</f>
        <v>0</v>
      </c>
      <c r="I2047" s="278">
        <f t="shared" si="2292"/>
        <v>0</v>
      </c>
      <c r="J2047" s="280">
        <f t="shared" si="2294"/>
        <v>0</v>
      </c>
      <c r="K2047" s="280">
        <f t="shared" si="2294"/>
        <v>0</v>
      </c>
      <c r="L2047" s="280">
        <f t="shared" si="2294"/>
        <v>0</v>
      </c>
      <c r="M2047" s="280">
        <f t="shared" si="2294"/>
        <v>0</v>
      </c>
      <c r="N2047" s="280">
        <f t="shared" si="2294"/>
        <v>0</v>
      </c>
      <c r="O2047" s="280">
        <f t="shared" si="2294"/>
        <v>0</v>
      </c>
      <c r="P2047" s="280">
        <f t="shared" ref="P2047:Q2047" si="2295">P2038-P2042-P2043+P2044++P2045-P2046</f>
        <v>0</v>
      </c>
      <c r="Q2047" s="280">
        <f t="shared" si="2295"/>
        <v>0</v>
      </c>
      <c r="R2047" s="280">
        <f t="shared" ref="R2047:S2047" si="2296">R2038-R2042-R2043+R2044++R2045-R2046</f>
        <v>0</v>
      </c>
      <c r="S2047" s="282">
        <f t="shared" si="2296"/>
        <v>0</v>
      </c>
      <c r="U2047" s="34"/>
    </row>
    <row r="2048" spans="1:21" ht="13.5" thickBot="1" x14ac:dyDescent="0.25">
      <c r="A2048" s="26"/>
      <c r="B2048" s="81"/>
      <c r="C2048" s="37"/>
      <c r="D2048" s="37"/>
      <c r="E2048" s="35"/>
      <c r="F2048" s="166"/>
      <c r="G2048" s="166"/>
      <c r="H2048" s="23"/>
      <c r="I2048" s="37"/>
      <c r="J2048" s="23"/>
      <c r="K2048" s="23"/>
      <c r="L2048" s="23"/>
      <c r="M2048" s="23"/>
      <c r="N2048" s="23"/>
      <c r="O2048" s="23"/>
      <c r="P2048" s="23"/>
      <c r="Q2048" s="23"/>
      <c r="R2048" s="23"/>
      <c r="S2048" s="112"/>
    </row>
    <row r="2049" spans="1:21" ht="14.25" thickTop="1" thickBot="1" x14ac:dyDescent="0.25">
      <c r="C2049" s="144"/>
      <c r="D2049" s="144"/>
    </row>
    <row r="2050" spans="1:21" s="39" customFormat="1" ht="14.25" thickTop="1" thickBot="1" x14ac:dyDescent="0.25">
      <c r="A2050" s="2596" t="s">
        <v>1824</v>
      </c>
      <c r="B2050" s="2594"/>
      <c r="C2050" s="2594"/>
      <c r="D2050" s="2594"/>
      <c r="E2050" s="2597"/>
      <c r="F2050" s="352" t="s">
        <v>2616</v>
      </c>
      <c r="G2050" s="352" t="s">
        <v>2213</v>
      </c>
      <c r="H2050" s="2613" t="s">
        <v>2215</v>
      </c>
      <c r="I2050" s="2613"/>
      <c r="J2050" s="2613"/>
      <c r="K2050" s="2613"/>
      <c r="L2050" s="2613"/>
      <c r="M2050" s="2613"/>
      <c r="N2050" s="2613"/>
      <c r="O2050" s="2613"/>
      <c r="P2050" s="2613"/>
      <c r="Q2050" s="2613"/>
      <c r="R2050" s="2613"/>
      <c r="S2050" s="2614"/>
      <c r="U2050" s="34"/>
    </row>
    <row r="2051" spans="1:21" ht="13.5" thickBot="1" x14ac:dyDescent="0.25">
      <c r="A2051" s="1526" t="str">
        <f>A3</f>
        <v>2012/13</v>
      </c>
      <c r="B2051" s="40" t="str">
        <f>B3</f>
        <v>2013/14</v>
      </c>
      <c r="C2051" s="40" t="str">
        <f>C3</f>
        <v>2014/15</v>
      </c>
      <c r="D2051" s="28" t="str">
        <f>D3</f>
        <v>2015/16</v>
      </c>
      <c r="E2051" s="28" t="str">
        <f>E3</f>
        <v>2016/17</v>
      </c>
      <c r="F2051" s="2008" t="s">
        <v>2617</v>
      </c>
      <c r="G2051" s="68"/>
      <c r="H2051" s="464" t="str">
        <f>H3</f>
        <v>2017/18</v>
      </c>
      <c r="I2051" s="43" t="str">
        <f>I622</f>
        <v xml:space="preserve">% </v>
      </c>
      <c r="J2051" s="28" t="str">
        <f t="shared" ref="J2051:S2051" si="2297">J3</f>
        <v>2018/19</v>
      </c>
      <c r="K2051" s="2073" t="str">
        <f t="shared" si="2297"/>
        <v>2019/20</v>
      </c>
      <c r="L2051" s="28" t="str">
        <f t="shared" si="2297"/>
        <v>2020/21</v>
      </c>
      <c r="M2051" s="2073" t="str">
        <f t="shared" si="2297"/>
        <v>2021/22</v>
      </c>
      <c r="N2051" s="28" t="str">
        <f t="shared" si="2297"/>
        <v>2022/23</v>
      </c>
      <c r="O2051" s="28" t="str">
        <f t="shared" si="2297"/>
        <v>2023/24</v>
      </c>
      <c r="P2051" s="28" t="str">
        <f t="shared" si="2297"/>
        <v>2024/25</v>
      </c>
      <c r="Q2051" s="28" t="str">
        <f t="shared" si="2297"/>
        <v>2025/26</v>
      </c>
      <c r="R2051" s="28" t="str">
        <f t="shared" si="2297"/>
        <v>2026/27</v>
      </c>
      <c r="S2051" s="1262" t="str">
        <f t="shared" si="2297"/>
        <v>2027/28</v>
      </c>
    </row>
    <row r="2052" spans="1:21" x14ac:dyDescent="0.2">
      <c r="A2052" s="54"/>
      <c r="B2052" s="9"/>
      <c r="C2052" s="134"/>
      <c r="D2052" s="134"/>
      <c r="E2052" s="134"/>
      <c r="F2052" s="167"/>
      <c r="G2052" s="21"/>
      <c r="H2052" s="89"/>
      <c r="I2052" s="85"/>
      <c r="J2052" s="9"/>
      <c r="K2052" s="9"/>
      <c r="L2052" s="9"/>
      <c r="M2052" s="9"/>
      <c r="N2052" s="9"/>
      <c r="O2052" s="9"/>
      <c r="P2052" s="9"/>
      <c r="Q2052" s="9"/>
      <c r="R2052" s="9"/>
      <c r="S2052" s="61"/>
    </row>
    <row r="2053" spans="1:21" x14ac:dyDescent="0.2">
      <c r="A2053" s="54">
        <f>A109</f>
        <v>-1880000</v>
      </c>
      <c r="B2053" s="9">
        <f>B109</f>
        <v>-1744400</v>
      </c>
      <c r="C2053" s="134">
        <f>C109</f>
        <v>-2083400</v>
      </c>
      <c r="D2053" s="134">
        <f>D109</f>
        <v>-2266000</v>
      </c>
      <c r="E2053" s="134">
        <f>E109</f>
        <v>-2143800</v>
      </c>
      <c r="F2053" s="167"/>
      <c r="G2053" s="79" t="s">
        <v>563</v>
      </c>
      <c r="H2053" s="89">
        <f>H109</f>
        <v>-2206200</v>
      </c>
      <c r="I2053" s="85"/>
      <c r="J2053" s="9">
        <f t="shared" ref="J2053:S2053" si="2298">J109</f>
        <v>-2378900</v>
      </c>
      <c r="K2053" s="9">
        <f t="shared" si="2298"/>
        <v>-2434300</v>
      </c>
      <c r="L2053" s="9">
        <f t="shared" si="2298"/>
        <v>-2490600</v>
      </c>
      <c r="M2053" s="9">
        <f t="shared" si="2298"/>
        <v>-2548500</v>
      </c>
      <c r="N2053" s="9">
        <f t="shared" si="2298"/>
        <v>-2608000</v>
      </c>
      <c r="O2053" s="9">
        <f t="shared" si="2298"/>
        <v>-2668700</v>
      </c>
      <c r="P2053" s="9">
        <f t="shared" si="2298"/>
        <v>-2730900</v>
      </c>
      <c r="Q2053" s="9">
        <f t="shared" si="2298"/>
        <v>-2794400</v>
      </c>
      <c r="R2053" s="9">
        <f t="shared" si="2298"/>
        <v>-2859300</v>
      </c>
      <c r="S2053" s="47">
        <f t="shared" si="2298"/>
        <v>-2925600</v>
      </c>
    </row>
    <row r="2054" spans="1:21" x14ac:dyDescent="0.2">
      <c r="A2054" s="54">
        <f>A169</f>
        <v>-1517000</v>
      </c>
      <c r="B2054" s="9">
        <f>B169</f>
        <v>-1632900</v>
      </c>
      <c r="C2054" s="134">
        <f>C169</f>
        <v>-1879000</v>
      </c>
      <c r="D2054" s="134">
        <f>D169</f>
        <v>-2034100</v>
      </c>
      <c r="E2054" s="134">
        <f>E169</f>
        <v>-2068600</v>
      </c>
      <c r="F2054" s="167"/>
      <c r="G2054" s="79" t="s">
        <v>3788</v>
      </c>
      <c r="H2054" s="89">
        <f>H169</f>
        <v>-2024900</v>
      </c>
      <c r="I2054" s="85"/>
      <c r="J2054" s="9">
        <f t="shared" ref="J2054:S2054" si="2299">J169</f>
        <v>-2128600</v>
      </c>
      <c r="K2054" s="9">
        <f t="shared" si="2299"/>
        <v>-2183800</v>
      </c>
      <c r="L2054" s="9">
        <f t="shared" si="2299"/>
        <v>-2240600</v>
      </c>
      <c r="M2054" s="9">
        <f t="shared" si="2299"/>
        <v>-2298900</v>
      </c>
      <c r="N2054" s="9">
        <f t="shared" si="2299"/>
        <v>-2358200</v>
      </c>
      <c r="O2054" s="9">
        <f t="shared" si="2299"/>
        <v>-2418900</v>
      </c>
      <c r="P2054" s="9">
        <f t="shared" si="2299"/>
        <v>-2481100</v>
      </c>
      <c r="Q2054" s="9">
        <f t="shared" si="2299"/>
        <v>-2544800</v>
      </c>
      <c r="R2054" s="9">
        <f t="shared" si="2299"/>
        <v>-2598100</v>
      </c>
      <c r="S2054" s="47">
        <f t="shared" si="2299"/>
        <v>-2653100</v>
      </c>
    </row>
    <row r="2055" spans="1:21" x14ac:dyDescent="0.2">
      <c r="A2055" s="54">
        <f>A223</f>
        <v>-355700</v>
      </c>
      <c r="B2055" s="9">
        <f>B223</f>
        <v>-426200</v>
      </c>
      <c r="C2055" s="134">
        <f>C223</f>
        <v>-631000</v>
      </c>
      <c r="D2055" s="134">
        <f>D223</f>
        <v>-380500</v>
      </c>
      <c r="E2055" s="134">
        <f>E223</f>
        <v>10200</v>
      </c>
      <c r="F2055" s="167"/>
      <c r="G2055" s="9" t="s">
        <v>1241</v>
      </c>
      <c r="H2055" s="89">
        <f>H223</f>
        <v>-464900</v>
      </c>
      <c r="I2055" s="85"/>
      <c r="J2055" s="9">
        <f t="shared" ref="J2055:S2055" si="2300">J223</f>
        <v>-359300</v>
      </c>
      <c r="K2055" s="9">
        <f t="shared" si="2300"/>
        <v>-514000</v>
      </c>
      <c r="L2055" s="9">
        <f t="shared" si="2300"/>
        <v>-392200</v>
      </c>
      <c r="M2055" s="9">
        <f t="shared" si="2300"/>
        <v>-410400</v>
      </c>
      <c r="N2055" s="9">
        <f t="shared" si="2300"/>
        <v>-429000</v>
      </c>
      <c r="O2055" s="9">
        <f t="shared" si="2300"/>
        <v>-448300</v>
      </c>
      <c r="P2055" s="9">
        <f t="shared" si="2300"/>
        <v>-645000</v>
      </c>
      <c r="Q2055" s="9">
        <f t="shared" si="2300"/>
        <v>-486800</v>
      </c>
      <c r="R2055" s="9">
        <f t="shared" si="2300"/>
        <v>-507700</v>
      </c>
      <c r="S2055" s="47">
        <f t="shared" si="2300"/>
        <v>-529200</v>
      </c>
    </row>
    <row r="2056" spans="1:21" x14ac:dyDescent="0.2">
      <c r="A2056" s="54">
        <f>A280</f>
        <v>-3391800</v>
      </c>
      <c r="B2056" s="9">
        <f>B280</f>
        <v>-2920100</v>
      </c>
      <c r="C2056" s="134">
        <f>C280</f>
        <v>-3120400</v>
      </c>
      <c r="D2056" s="134">
        <f>D280</f>
        <v>-3416700</v>
      </c>
      <c r="E2056" s="134">
        <f>E280</f>
        <v>-1809900</v>
      </c>
      <c r="F2056" s="167"/>
      <c r="G2056" s="9" t="s">
        <v>717</v>
      </c>
      <c r="H2056" s="89">
        <f>H280</f>
        <v>-2484800</v>
      </c>
      <c r="I2056" s="85"/>
      <c r="J2056" s="9">
        <f t="shared" ref="J2056:S2056" si="2301">J280</f>
        <v>-2938100</v>
      </c>
      <c r="K2056" s="9">
        <f t="shared" si="2301"/>
        <v>-2848100</v>
      </c>
      <c r="L2056" s="9">
        <f t="shared" si="2301"/>
        <v>-2888500</v>
      </c>
      <c r="M2056" s="9">
        <f t="shared" si="2301"/>
        <v>-3261300</v>
      </c>
      <c r="N2056" s="9">
        <f t="shared" si="2301"/>
        <v>-3284800</v>
      </c>
      <c r="O2056" s="9">
        <f t="shared" si="2301"/>
        <v>-3309100</v>
      </c>
      <c r="P2056" s="9">
        <f t="shared" si="2301"/>
        <v>-3334700</v>
      </c>
      <c r="Q2056" s="9">
        <f t="shared" si="2301"/>
        <v>-3371000</v>
      </c>
      <c r="R2056" s="9">
        <f t="shared" si="2301"/>
        <v>-3433000</v>
      </c>
      <c r="S2056" s="47">
        <f t="shared" si="2301"/>
        <v>-3497100</v>
      </c>
    </row>
    <row r="2057" spans="1:21" x14ac:dyDescent="0.2">
      <c r="A2057" s="54">
        <f>A344</f>
        <v>-1009300</v>
      </c>
      <c r="B2057" s="9">
        <f>B344</f>
        <v>-985300</v>
      </c>
      <c r="C2057" s="134">
        <f>C344</f>
        <v>-969000</v>
      </c>
      <c r="D2057" s="134">
        <f>D344</f>
        <v>-884000</v>
      </c>
      <c r="E2057" s="134">
        <f>E344</f>
        <v>-937100</v>
      </c>
      <c r="F2057" s="167"/>
      <c r="G2057" s="9" t="s">
        <v>1160</v>
      </c>
      <c r="H2057" s="89">
        <f>H344</f>
        <v>-1053900</v>
      </c>
      <c r="I2057" s="85"/>
      <c r="J2057" s="9">
        <f t="shared" ref="J2057:S2057" si="2302">J344</f>
        <v>-939300</v>
      </c>
      <c r="K2057" s="9">
        <f t="shared" si="2302"/>
        <v>-1147300</v>
      </c>
      <c r="L2057" s="9">
        <f t="shared" si="2302"/>
        <v>-1062400</v>
      </c>
      <c r="M2057" s="9">
        <f t="shared" si="2302"/>
        <v>-1179400</v>
      </c>
      <c r="N2057" s="9">
        <f t="shared" si="2302"/>
        <v>-1092800</v>
      </c>
      <c r="O2057" s="9">
        <f t="shared" si="2302"/>
        <v>-1214400</v>
      </c>
      <c r="P2057" s="9">
        <f t="shared" si="2302"/>
        <v>-1128000</v>
      </c>
      <c r="Q2057" s="9">
        <f t="shared" si="2302"/>
        <v>-1252500</v>
      </c>
      <c r="R2057" s="9">
        <f t="shared" si="2302"/>
        <v>-1164400</v>
      </c>
      <c r="S2057" s="47">
        <f t="shared" si="2302"/>
        <v>-1181200</v>
      </c>
    </row>
    <row r="2058" spans="1:21" x14ac:dyDescent="0.2">
      <c r="A2058" s="54">
        <f>A383</f>
        <v>-53000</v>
      </c>
      <c r="B2058" s="9">
        <f>B383</f>
        <v>176200</v>
      </c>
      <c r="C2058" s="134">
        <f>C383</f>
        <v>197300</v>
      </c>
      <c r="D2058" s="134">
        <f>D383</f>
        <v>106000</v>
      </c>
      <c r="E2058" s="134">
        <f>E383</f>
        <v>88100</v>
      </c>
      <c r="F2058" s="167"/>
      <c r="G2058" s="79" t="s">
        <v>3043</v>
      </c>
      <c r="H2058" s="89">
        <f>H383</f>
        <v>160000</v>
      </c>
      <c r="I2058" s="85"/>
      <c r="J2058" s="9">
        <f t="shared" ref="J2058:S2058" si="2303">J383</f>
        <v>0</v>
      </c>
      <c r="K2058" s="9">
        <f t="shared" si="2303"/>
        <v>0</v>
      </c>
      <c r="L2058" s="9">
        <f t="shared" si="2303"/>
        <v>0</v>
      </c>
      <c r="M2058" s="9">
        <f t="shared" si="2303"/>
        <v>0</v>
      </c>
      <c r="N2058" s="9">
        <f t="shared" si="2303"/>
        <v>0</v>
      </c>
      <c r="O2058" s="9">
        <f t="shared" si="2303"/>
        <v>0</v>
      </c>
      <c r="P2058" s="9">
        <f t="shared" si="2303"/>
        <v>0</v>
      </c>
      <c r="Q2058" s="9">
        <f t="shared" si="2303"/>
        <v>0</v>
      </c>
      <c r="R2058" s="9">
        <f t="shared" si="2303"/>
        <v>0</v>
      </c>
      <c r="S2058" s="47">
        <f t="shared" si="2303"/>
        <v>0</v>
      </c>
    </row>
    <row r="2059" spans="1:21" x14ac:dyDescent="0.2">
      <c r="A2059" s="54">
        <f>A456</f>
        <v>-2229800</v>
      </c>
      <c r="B2059" s="9">
        <f>B456</f>
        <v>-2277800</v>
      </c>
      <c r="C2059" s="134">
        <f>C456</f>
        <v>-2379500</v>
      </c>
      <c r="D2059" s="134">
        <f>D456</f>
        <v>-2630300</v>
      </c>
      <c r="E2059" s="134">
        <f>E456</f>
        <v>-2870800</v>
      </c>
      <c r="F2059" s="167"/>
      <c r="G2059" s="79" t="s">
        <v>491</v>
      </c>
      <c r="H2059" s="89">
        <f>H456</f>
        <v>-3057500</v>
      </c>
      <c r="I2059" s="85"/>
      <c r="J2059" s="9">
        <f t="shared" ref="J2059:S2059" si="2304">J456</f>
        <v>-2956100</v>
      </c>
      <c r="K2059" s="9">
        <f t="shared" si="2304"/>
        <v>-3040600</v>
      </c>
      <c r="L2059" s="9">
        <f t="shared" si="2304"/>
        <v>-3119400</v>
      </c>
      <c r="M2059" s="9">
        <f t="shared" si="2304"/>
        <v>-3200400</v>
      </c>
      <c r="N2059" s="9">
        <f t="shared" si="2304"/>
        <v>-3283400</v>
      </c>
      <c r="O2059" s="9">
        <f t="shared" si="2304"/>
        <v>-3368100</v>
      </c>
      <c r="P2059" s="9">
        <f t="shared" si="2304"/>
        <v>-3454600</v>
      </c>
      <c r="Q2059" s="9">
        <f t="shared" si="2304"/>
        <v>-3543600</v>
      </c>
      <c r="R2059" s="9">
        <f t="shared" si="2304"/>
        <v>-3624200</v>
      </c>
      <c r="S2059" s="47">
        <f t="shared" si="2304"/>
        <v>-3706800</v>
      </c>
    </row>
    <row r="2060" spans="1:21" x14ac:dyDescent="0.2">
      <c r="A2060" s="54">
        <f>A512</f>
        <v>1173300</v>
      </c>
      <c r="B2060" s="9">
        <f>B512</f>
        <v>1220800</v>
      </c>
      <c r="C2060" s="134">
        <f>C512</f>
        <v>1266800</v>
      </c>
      <c r="D2060" s="134">
        <f>D512</f>
        <v>1415200</v>
      </c>
      <c r="E2060" s="134">
        <f>E512</f>
        <v>1256900</v>
      </c>
      <c r="F2060" s="167"/>
      <c r="G2060" s="9" t="s">
        <v>376</v>
      </c>
      <c r="H2060" s="89">
        <f>H512</f>
        <v>1012600</v>
      </c>
      <c r="I2060" s="85"/>
      <c r="J2060" s="9">
        <f t="shared" ref="J2060:S2060" si="2305">J512</f>
        <v>1264700</v>
      </c>
      <c r="K2060" s="9">
        <f t="shared" si="2305"/>
        <v>1299900</v>
      </c>
      <c r="L2060" s="9">
        <f t="shared" si="2305"/>
        <v>1340300</v>
      </c>
      <c r="M2060" s="9">
        <f t="shared" si="2305"/>
        <v>1369600</v>
      </c>
      <c r="N2060" s="9">
        <f t="shared" si="2305"/>
        <v>1400600</v>
      </c>
      <c r="O2060" s="9">
        <f t="shared" si="2305"/>
        <v>1430600</v>
      </c>
      <c r="P2060" s="9">
        <f t="shared" si="2305"/>
        <v>1466500</v>
      </c>
      <c r="Q2060" s="9">
        <f t="shared" si="2305"/>
        <v>1511200</v>
      </c>
      <c r="R2060" s="9">
        <f t="shared" si="2305"/>
        <v>1514800</v>
      </c>
      <c r="S2060" s="47">
        <f t="shared" si="2305"/>
        <v>1553400</v>
      </c>
    </row>
    <row r="2061" spans="1:21" x14ac:dyDescent="0.2">
      <c r="A2061" s="54">
        <f>A551</f>
        <v>-149000</v>
      </c>
      <c r="B2061" s="9">
        <f>B551</f>
        <v>-203400</v>
      </c>
      <c r="C2061" s="134">
        <f>C551</f>
        <v>-95100</v>
      </c>
      <c r="D2061" s="134">
        <f>D551</f>
        <v>-157700</v>
      </c>
      <c r="E2061" s="134">
        <f>E551</f>
        <v>-152600</v>
      </c>
      <c r="F2061" s="167"/>
      <c r="G2061" s="9" t="s">
        <v>532</v>
      </c>
      <c r="H2061" s="89">
        <f>H551</f>
        <v>-217100</v>
      </c>
      <c r="I2061" s="85"/>
      <c r="J2061" s="9">
        <f t="shared" ref="J2061:S2061" si="2306">J551</f>
        <v>-222800</v>
      </c>
      <c r="K2061" s="9">
        <f t="shared" si="2306"/>
        <v>-229100</v>
      </c>
      <c r="L2061" s="9">
        <f t="shared" si="2306"/>
        <v>-235500</v>
      </c>
      <c r="M2061" s="9">
        <f t="shared" si="2306"/>
        <v>-241800</v>
      </c>
      <c r="N2061" s="9">
        <f t="shared" si="2306"/>
        <v>-248300</v>
      </c>
      <c r="O2061" s="9">
        <f t="shared" si="2306"/>
        <v>-254900</v>
      </c>
      <c r="P2061" s="9">
        <f t="shared" si="2306"/>
        <v>-261900</v>
      </c>
      <c r="Q2061" s="9">
        <f t="shared" si="2306"/>
        <v>-269200</v>
      </c>
      <c r="R2061" s="9">
        <f t="shared" si="2306"/>
        <v>-276500</v>
      </c>
      <c r="S2061" s="47">
        <f t="shared" si="2306"/>
        <v>-283900</v>
      </c>
    </row>
    <row r="2062" spans="1:21" x14ac:dyDescent="0.2">
      <c r="A2062" s="54">
        <f>A606</f>
        <v>340000</v>
      </c>
      <c r="B2062" s="9">
        <f>B606</f>
        <v>306900</v>
      </c>
      <c r="C2062" s="134">
        <f>C606</f>
        <v>76400</v>
      </c>
      <c r="D2062" s="134">
        <f>D606</f>
        <v>173200</v>
      </c>
      <c r="E2062" s="134">
        <f>E606</f>
        <v>-47700</v>
      </c>
      <c r="F2062" s="167"/>
      <c r="G2062" s="9" t="s">
        <v>1932</v>
      </c>
      <c r="H2062" s="89">
        <f>H606</f>
        <v>-562400</v>
      </c>
      <c r="I2062" s="85"/>
      <c r="J2062" s="9">
        <f t="shared" ref="J2062:S2062" si="2307">J606</f>
        <v>9200</v>
      </c>
      <c r="K2062" s="9">
        <f t="shared" si="2307"/>
        <v>9500</v>
      </c>
      <c r="L2062" s="9">
        <f t="shared" si="2307"/>
        <v>9800</v>
      </c>
      <c r="M2062" s="9">
        <f t="shared" si="2307"/>
        <v>10000</v>
      </c>
      <c r="N2062" s="9">
        <f t="shared" si="2307"/>
        <v>10300</v>
      </c>
      <c r="O2062" s="9">
        <f t="shared" si="2307"/>
        <v>10500</v>
      </c>
      <c r="P2062" s="9">
        <f t="shared" si="2307"/>
        <v>10800</v>
      </c>
      <c r="Q2062" s="9">
        <f t="shared" si="2307"/>
        <v>11000</v>
      </c>
      <c r="R2062" s="9">
        <f t="shared" si="2307"/>
        <v>11200</v>
      </c>
      <c r="S2062" s="47">
        <f t="shared" si="2307"/>
        <v>11500</v>
      </c>
    </row>
    <row r="2063" spans="1:21" s="328" customFormat="1" x14ac:dyDescent="0.2">
      <c r="A2063" s="54">
        <f>A681</f>
        <v>1283000</v>
      </c>
      <c r="B2063" s="9">
        <f>B681</f>
        <v>1521000</v>
      </c>
      <c r="C2063" s="348">
        <f>C681</f>
        <v>2624100</v>
      </c>
      <c r="D2063" s="348">
        <f>D681</f>
        <v>1547700</v>
      </c>
      <c r="E2063" s="348">
        <f>E681</f>
        <v>2051200</v>
      </c>
      <c r="F2063" s="333"/>
      <c r="G2063" s="335" t="s">
        <v>3773</v>
      </c>
      <c r="H2063" s="2550">
        <f>H681</f>
        <v>961700</v>
      </c>
      <c r="I2063" s="85"/>
      <c r="J2063" s="335">
        <f t="shared" ref="J2063:S2063" si="2308">J681</f>
        <v>1119000</v>
      </c>
      <c r="K2063" s="335">
        <f t="shared" si="2308"/>
        <v>1184000</v>
      </c>
      <c r="L2063" s="335">
        <f t="shared" si="2308"/>
        <v>1197000</v>
      </c>
      <c r="M2063" s="335">
        <f t="shared" si="2308"/>
        <v>1211000</v>
      </c>
      <c r="N2063" s="335">
        <f t="shared" si="2308"/>
        <v>1219000</v>
      </c>
      <c r="O2063" s="335">
        <f t="shared" si="2308"/>
        <v>1227000</v>
      </c>
      <c r="P2063" s="335">
        <f t="shared" si="2308"/>
        <v>1244000</v>
      </c>
      <c r="Q2063" s="335">
        <f t="shared" si="2308"/>
        <v>1264000</v>
      </c>
      <c r="R2063" s="335">
        <f t="shared" si="2308"/>
        <v>1284000</v>
      </c>
      <c r="S2063" s="2414">
        <f t="shared" si="2308"/>
        <v>1303000</v>
      </c>
      <c r="U2063" s="34"/>
    </row>
    <row r="2064" spans="1:21" s="328" customFormat="1" x14ac:dyDescent="0.2">
      <c r="A2064" s="54">
        <f>A735</f>
        <v>667100</v>
      </c>
      <c r="B2064" s="9">
        <f>B735</f>
        <v>833000</v>
      </c>
      <c r="C2064" s="348">
        <f>C735</f>
        <v>177200</v>
      </c>
      <c r="D2064" s="348">
        <f>D735</f>
        <v>339900</v>
      </c>
      <c r="E2064" s="348">
        <f>E735</f>
        <v>478500</v>
      </c>
      <c r="F2064" s="333"/>
      <c r="G2064" s="335" t="s">
        <v>2756</v>
      </c>
      <c r="H2064" s="2550">
        <f>H735</f>
        <v>593200</v>
      </c>
      <c r="I2064" s="85"/>
      <c r="J2064" s="335">
        <f t="shared" ref="J2064:S2064" si="2309">J735</f>
        <v>598000</v>
      </c>
      <c r="K2064" s="335">
        <f t="shared" si="2309"/>
        <v>584500</v>
      </c>
      <c r="L2064" s="335">
        <f t="shared" si="2309"/>
        <v>610500</v>
      </c>
      <c r="M2064" s="335">
        <f t="shared" si="2309"/>
        <v>589100</v>
      </c>
      <c r="N2064" s="335">
        <f t="shared" si="2309"/>
        <v>613400</v>
      </c>
      <c r="O2064" s="335">
        <f t="shared" si="2309"/>
        <v>639500</v>
      </c>
      <c r="P2064" s="335">
        <f t="shared" si="2309"/>
        <v>616600</v>
      </c>
      <c r="Q2064" s="335">
        <f t="shared" si="2309"/>
        <v>642700</v>
      </c>
      <c r="R2064" s="335">
        <f t="shared" si="2309"/>
        <v>652800</v>
      </c>
      <c r="S2064" s="2414">
        <f t="shared" si="2309"/>
        <v>646100</v>
      </c>
      <c r="U2064" s="34"/>
    </row>
    <row r="2065" spans="1:21" s="328" customFormat="1" ht="13.5" thickBot="1" x14ac:dyDescent="0.25">
      <c r="A2065" s="826"/>
      <c r="B2065" s="332"/>
      <c r="C2065" s="334"/>
      <c r="D2065" s="334"/>
      <c r="E2065" s="334"/>
      <c r="F2065" s="333"/>
      <c r="G2065" s="335"/>
      <c r="H2065" s="2550"/>
      <c r="I2065" s="334"/>
      <c r="J2065" s="335"/>
      <c r="K2065" s="335"/>
      <c r="L2065" s="335"/>
      <c r="M2065" s="335"/>
      <c r="N2065" s="335"/>
      <c r="O2065" s="335"/>
      <c r="P2065" s="335"/>
      <c r="Q2065" s="335"/>
      <c r="R2065" s="335"/>
      <c r="S2065" s="2414"/>
      <c r="U2065" s="34"/>
    </row>
    <row r="2066" spans="1:21" s="328" customFormat="1" x14ac:dyDescent="0.2">
      <c r="A2066" s="827">
        <f>SUM(A2053:A2065)</f>
        <v>-7122200</v>
      </c>
      <c r="B2066" s="336">
        <f>SUM(B2053:B2065)</f>
        <v>-6132200</v>
      </c>
      <c r="C2066" s="824">
        <f>SUM(C2053:C2065)</f>
        <v>-6815600</v>
      </c>
      <c r="D2066" s="337">
        <f>SUM(D2053:D2065)</f>
        <v>-8187300</v>
      </c>
      <c r="E2066" s="337">
        <f>SUM(E2053:E2065)</f>
        <v>-6145600</v>
      </c>
      <c r="F2066" s="333"/>
      <c r="G2066" s="425" t="s">
        <v>361</v>
      </c>
      <c r="H2066" s="2551">
        <f t="shared" ref="H2066:O2066" si="2310">SUM(H2053:H2065)</f>
        <v>-9344200</v>
      </c>
      <c r="I2066" s="347"/>
      <c r="J2066" s="336">
        <f t="shared" si="2310"/>
        <v>-8932200</v>
      </c>
      <c r="K2066" s="336">
        <f t="shared" si="2310"/>
        <v>-9319300</v>
      </c>
      <c r="L2066" s="336">
        <f t="shared" si="2310"/>
        <v>-9271600</v>
      </c>
      <c r="M2066" s="336">
        <f t="shared" si="2310"/>
        <v>-9961000</v>
      </c>
      <c r="N2066" s="336">
        <f t="shared" si="2310"/>
        <v>-10061200</v>
      </c>
      <c r="O2066" s="336">
        <f t="shared" si="2310"/>
        <v>-10374800</v>
      </c>
      <c r="P2066" s="336">
        <f t="shared" ref="P2066:Q2066" si="2311">SUM(P2053:P2065)</f>
        <v>-10698300</v>
      </c>
      <c r="Q2066" s="336">
        <f t="shared" si="2311"/>
        <v>-10833400</v>
      </c>
      <c r="R2066" s="336">
        <f t="shared" ref="R2066" si="2312">SUM(R2053:R2065)</f>
        <v>-11000400</v>
      </c>
      <c r="S2066" s="2415">
        <f t="shared" ref="S2066" si="2313">SUM(S2053:S2065)</f>
        <v>-11262900</v>
      </c>
      <c r="U2066" s="34"/>
    </row>
    <row r="2067" spans="1:21" s="328" customFormat="1" ht="13.5" thickBot="1" x14ac:dyDescent="0.25">
      <c r="A2067" s="828"/>
      <c r="B2067" s="338"/>
      <c r="C2067" s="340"/>
      <c r="D2067" s="340"/>
      <c r="E2067" s="340"/>
      <c r="F2067" s="339"/>
      <c r="G2067" s="2422"/>
      <c r="H2067" s="2552"/>
      <c r="I2067" s="340"/>
      <c r="J2067" s="341"/>
      <c r="K2067" s="341"/>
      <c r="L2067" s="341"/>
      <c r="M2067" s="341"/>
      <c r="N2067" s="341"/>
      <c r="O2067" s="341"/>
      <c r="P2067" s="341"/>
      <c r="Q2067" s="341"/>
      <c r="R2067" s="341"/>
      <c r="S2067" s="342"/>
      <c r="U2067" s="34"/>
    </row>
    <row r="2068" spans="1:21" s="328" customFormat="1" ht="13.5" thickTop="1" x14ac:dyDescent="0.2">
      <c r="A2068" s="331"/>
      <c r="B2068" s="331"/>
      <c r="C2068" s="345"/>
      <c r="D2068" s="345"/>
      <c r="E2068" s="1521"/>
      <c r="F2068" s="343"/>
      <c r="G2068" s="344"/>
      <c r="H2068" s="329"/>
      <c r="I2068" s="345"/>
      <c r="J2068" s="329"/>
      <c r="K2068" s="329"/>
      <c r="L2068" s="329"/>
      <c r="M2068" s="329"/>
      <c r="N2068" s="329"/>
      <c r="O2068" s="329"/>
      <c r="P2068" s="329"/>
      <c r="Q2068" s="329"/>
      <c r="R2068" s="329"/>
      <c r="S2068" s="329"/>
      <c r="U2068" s="34"/>
    </row>
    <row r="2069" spans="1:21" s="328" customFormat="1" ht="13.5" thickBot="1" x14ac:dyDescent="0.25">
      <c r="A2069" s="329"/>
      <c r="B2069" s="329"/>
      <c r="C2069" s="330"/>
      <c r="D2069" s="330"/>
      <c r="E2069" s="330"/>
      <c r="F2069" s="343"/>
      <c r="G2069" s="346"/>
      <c r="I2069" s="330"/>
      <c r="U2069" s="34"/>
    </row>
    <row r="2070" spans="1:21" s="39" customFormat="1" ht="14.25" thickTop="1" thickBot="1" x14ac:dyDescent="0.25">
      <c r="A2070" s="2596" t="s">
        <v>1824</v>
      </c>
      <c r="B2070" s="2594"/>
      <c r="C2070" s="2594"/>
      <c r="D2070" s="2594"/>
      <c r="E2070" s="2597"/>
      <c r="F2070" s="352" t="s">
        <v>2616</v>
      </c>
      <c r="G2070" s="352" t="s">
        <v>2213</v>
      </c>
      <c r="H2070" s="2615" t="s">
        <v>2215</v>
      </c>
      <c r="I2070" s="2615"/>
      <c r="J2070" s="2615"/>
      <c r="K2070" s="2615"/>
      <c r="L2070" s="2615"/>
      <c r="M2070" s="2615"/>
      <c r="N2070" s="2615"/>
      <c r="O2070" s="2615"/>
      <c r="P2070" s="2615"/>
      <c r="Q2070" s="2615"/>
      <c r="R2070" s="2615"/>
      <c r="S2070" s="2616"/>
      <c r="U2070" s="34"/>
    </row>
    <row r="2071" spans="1:21" s="328" customFormat="1" ht="12.75" customHeight="1" thickBot="1" x14ac:dyDescent="0.25">
      <c r="A2071" s="2074" t="str">
        <f>A3</f>
        <v>2012/13</v>
      </c>
      <c r="B2071" s="2075" t="str">
        <f>B3</f>
        <v>2013/14</v>
      </c>
      <c r="C2071" s="2075" t="str">
        <f>C2051</f>
        <v>2014/15</v>
      </c>
      <c r="D2071" s="1396" t="str">
        <f>D2051</f>
        <v>2015/16</v>
      </c>
      <c r="E2071" s="1396" t="str">
        <f t="shared" ref="E2071" si="2314">E2051</f>
        <v>2016/17</v>
      </c>
      <c r="F2071" s="2417" t="str">
        <f>F2051</f>
        <v>ACCOUNT</v>
      </c>
      <c r="G2071" s="2418"/>
      <c r="H2071" s="1396" t="str">
        <f t="shared" ref="H2071:P2071" si="2315">H2051</f>
        <v>2017/18</v>
      </c>
      <c r="I2071" s="2419" t="str">
        <f t="shared" ref="I2071" si="2316">I2051</f>
        <v xml:space="preserve">% </v>
      </c>
      <c r="J2071" s="1396" t="str">
        <f t="shared" si="2315"/>
        <v>2018/19</v>
      </c>
      <c r="K2071" s="1396" t="str">
        <f t="shared" si="2315"/>
        <v>2019/20</v>
      </c>
      <c r="L2071" s="1396" t="str">
        <f t="shared" si="2315"/>
        <v>2020/21</v>
      </c>
      <c r="M2071" s="1396" t="str">
        <f t="shared" si="2315"/>
        <v>2021/22</v>
      </c>
      <c r="N2071" s="1396" t="str">
        <f t="shared" si="2315"/>
        <v>2022/23</v>
      </c>
      <c r="O2071" s="1396" t="str">
        <f t="shared" si="2315"/>
        <v>2023/24</v>
      </c>
      <c r="P2071" s="1396" t="str">
        <f t="shared" si="2315"/>
        <v>2024/25</v>
      </c>
      <c r="Q2071" s="1396" t="str">
        <f t="shared" ref="Q2071" si="2317">Q2051</f>
        <v>2025/26</v>
      </c>
      <c r="R2071" s="1396" t="str">
        <f t="shared" ref="R2071:S2071" si="2318">R2051</f>
        <v>2026/27</v>
      </c>
      <c r="S2071" s="2420" t="str">
        <f t="shared" si="2318"/>
        <v>2027/28</v>
      </c>
      <c r="U2071" s="34"/>
    </row>
    <row r="2072" spans="1:21" s="328" customFormat="1" x14ac:dyDescent="0.2">
      <c r="A2072" s="825"/>
      <c r="B2072" s="335"/>
      <c r="C2072" s="348"/>
      <c r="D2072" s="348"/>
      <c r="E2072" s="348"/>
      <c r="F2072" s="333"/>
      <c r="G2072" s="332"/>
      <c r="H2072" s="335"/>
      <c r="I2072" s="347"/>
      <c r="J2072" s="335"/>
      <c r="K2072" s="335"/>
      <c r="L2072" s="335"/>
      <c r="M2072" s="335"/>
      <c r="N2072" s="335"/>
      <c r="O2072" s="335"/>
      <c r="P2072" s="335"/>
      <c r="Q2072" s="335"/>
      <c r="R2072" s="335"/>
      <c r="S2072" s="2414"/>
      <c r="U2072" s="34"/>
    </row>
    <row r="2073" spans="1:21" s="328" customFormat="1" x14ac:dyDescent="0.2">
      <c r="A2073" s="825">
        <f>A107</f>
        <v>-2071000</v>
      </c>
      <c r="B2073" s="335">
        <f>B107</f>
        <v>-1745100</v>
      </c>
      <c r="C2073" s="348">
        <f>C107</f>
        <v>-2183300</v>
      </c>
      <c r="D2073" s="348">
        <f>D107</f>
        <v>-2367500</v>
      </c>
      <c r="E2073" s="348">
        <f>E107</f>
        <v>-2247300</v>
      </c>
      <c r="F2073" s="333"/>
      <c r="G2073" s="335" t="str">
        <f t="shared" ref="G2073:G2084" si="2319">G2053</f>
        <v>Engineering Management</v>
      </c>
      <c r="H2073" s="335">
        <f>H107</f>
        <v>-2308200</v>
      </c>
      <c r="I2073" s="347"/>
      <c r="J2073" s="335">
        <f t="shared" ref="J2073:S2073" si="2320">J107</f>
        <v>-2483000</v>
      </c>
      <c r="K2073" s="335">
        <f t="shared" si="2320"/>
        <v>-2540500</v>
      </c>
      <c r="L2073" s="335">
        <f t="shared" si="2320"/>
        <v>-2599000</v>
      </c>
      <c r="M2073" s="335">
        <f t="shared" si="2320"/>
        <v>-2659100</v>
      </c>
      <c r="N2073" s="335">
        <f t="shared" si="2320"/>
        <v>-2720900</v>
      </c>
      <c r="O2073" s="335">
        <f t="shared" si="2320"/>
        <v>-2783900</v>
      </c>
      <c r="P2073" s="335">
        <f t="shared" si="2320"/>
        <v>-2848500</v>
      </c>
      <c r="Q2073" s="335">
        <f t="shared" si="2320"/>
        <v>-2914400</v>
      </c>
      <c r="R2073" s="335">
        <f t="shared" si="2320"/>
        <v>-2981700</v>
      </c>
      <c r="S2073" s="2414">
        <f t="shared" si="2320"/>
        <v>-3050500</v>
      </c>
      <c r="U2073" s="34"/>
    </row>
    <row r="2074" spans="1:21" s="328" customFormat="1" x14ac:dyDescent="0.2">
      <c r="A2074" s="825">
        <f>A166</f>
        <v>-2999000</v>
      </c>
      <c r="B2074" s="335">
        <f>B166</f>
        <v>-3454800</v>
      </c>
      <c r="C2074" s="348">
        <f>C166</f>
        <v>-3726400</v>
      </c>
      <c r="D2074" s="348">
        <f>D166</f>
        <v>-3713200</v>
      </c>
      <c r="E2074" s="348">
        <f>E166</f>
        <v>-3414800</v>
      </c>
      <c r="F2074" s="333"/>
      <c r="G2074" s="335" t="str">
        <f t="shared" si="2319"/>
        <v>Procurement and Building Management</v>
      </c>
      <c r="H2074" s="335">
        <f>H166</f>
        <v>-3662100</v>
      </c>
      <c r="I2074" s="347"/>
      <c r="J2074" s="335">
        <f t="shared" ref="J2074:S2074" si="2321">J166</f>
        <v>-3798800</v>
      </c>
      <c r="K2074" s="335">
        <f t="shared" si="2321"/>
        <v>-3887600</v>
      </c>
      <c r="L2074" s="335">
        <f t="shared" si="2321"/>
        <v>-3978600</v>
      </c>
      <c r="M2074" s="335">
        <f t="shared" si="2321"/>
        <v>-4071800</v>
      </c>
      <c r="N2074" s="335">
        <f t="shared" si="2321"/>
        <v>-4166800</v>
      </c>
      <c r="O2074" s="335">
        <f t="shared" si="2321"/>
        <v>-4263900</v>
      </c>
      <c r="P2074" s="335">
        <f t="shared" si="2321"/>
        <v>-4363100</v>
      </c>
      <c r="Q2074" s="335">
        <f t="shared" si="2321"/>
        <v>-4464700</v>
      </c>
      <c r="R2074" s="335">
        <f t="shared" si="2321"/>
        <v>-4556700</v>
      </c>
      <c r="S2074" s="2414">
        <f t="shared" si="2321"/>
        <v>-4651000</v>
      </c>
      <c r="U2074" s="34"/>
    </row>
    <row r="2075" spans="1:21" s="328" customFormat="1" x14ac:dyDescent="0.2">
      <c r="A2075" s="825">
        <f>A220</f>
        <v>-2116700</v>
      </c>
      <c r="B2075" s="335">
        <f>B220</f>
        <v>-2160400</v>
      </c>
      <c r="C2075" s="348">
        <f>C220</f>
        <v>-2051500</v>
      </c>
      <c r="D2075" s="348">
        <f>D220</f>
        <v>-1839300</v>
      </c>
      <c r="E2075" s="348">
        <f>E220</f>
        <v>-1479800</v>
      </c>
      <c r="F2075" s="333"/>
      <c r="G2075" s="335" t="str">
        <f t="shared" si="2319"/>
        <v>Stormwater and Environmental Protection</v>
      </c>
      <c r="H2075" s="335">
        <f>H220</f>
        <v>-1938900</v>
      </c>
      <c r="I2075" s="347"/>
      <c r="J2075" s="335">
        <f t="shared" ref="J2075:S2075" si="2322">J220</f>
        <v>-1862900</v>
      </c>
      <c r="K2075" s="335">
        <f t="shared" si="2322"/>
        <v>-2047800</v>
      </c>
      <c r="L2075" s="335">
        <f t="shared" si="2322"/>
        <v>-1956800</v>
      </c>
      <c r="M2075" s="335">
        <f t="shared" si="2322"/>
        <v>-2006400</v>
      </c>
      <c r="N2075" s="335">
        <f t="shared" si="2322"/>
        <v>-2057000</v>
      </c>
      <c r="O2075" s="335">
        <f t="shared" si="2322"/>
        <v>-2109000</v>
      </c>
      <c r="P2075" s="335">
        <f t="shared" si="2322"/>
        <v>-2339000</v>
      </c>
      <c r="Q2075" s="335">
        <f t="shared" si="2322"/>
        <v>-2214800</v>
      </c>
      <c r="R2075" s="335">
        <f t="shared" si="2322"/>
        <v>-2270400</v>
      </c>
      <c r="S2075" s="2414">
        <f t="shared" si="2322"/>
        <v>-2327200</v>
      </c>
      <c r="U2075" s="34"/>
    </row>
    <row r="2076" spans="1:21" s="328" customFormat="1" x14ac:dyDescent="0.2">
      <c r="A2076" s="825">
        <f>A276</f>
        <v>-15090800</v>
      </c>
      <c r="B2076" s="335">
        <f>B276</f>
        <v>-11919000</v>
      </c>
      <c r="C2076" s="348">
        <f>C276</f>
        <v>-12416300</v>
      </c>
      <c r="D2076" s="348">
        <f>D276</f>
        <v>-9379800</v>
      </c>
      <c r="E2076" s="348">
        <f>E276</f>
        <v>-10233000</v>
      </c>
      <c r="F2076" s="333"/>
      <c r="G2076" s="335" t="str">
        <f t="shared" si="2319"/>
        <v>Roads and Bridges</v>
      </c>
      <c r="H2076" s="335">
        <f>H276</f>
        <v>-7472100</v>
      </c>
      <c r="I2076" s="347"/>
      <c r="J2076" s="335">
        <f t="shared" ref="J2076:S2076" si="2323">J276</f>
        <v>-8002900</v>
      </c>
      <c r="K2076" s="335">
        <f t="shared" si="2323"/>
        <v>-7990300</v>
      </c>
      <c r="L2076" s="335">
        <f t="shared" si="2323"/>
        <v>-8104900</v>
      </c>
      <c r="M2076" s="335">
        <f t="shared" si="2323"/>
        <v>-8582100</v>
      </c>
      <c r="N2076" s="335">
        <f t="shared" si="2323"/>
        <v>-8712100</v>
      </c>
      <c r="O2076" s="335">
        <f t="shared" si="2323"/>
        <v>-8845000</v>
      </c>
      <c r="P2076" s="335">
        <f t="shared" si="2323"/>
        <v>-8981400</v>
      </c>
      <c r="Q2076" s="335">
        <f t="shared" si="2323"/>
        <v>-9130700</v>
      </c>
      <c r="R2076" s="335">
        <f t="shared" si="2323"/>
        <v>-9307900</v>
      </c>
      <c r="S2076" s="2414">
        <f t="shared" si="2323"/>
        <v>-9489500</v>
      </c>
      <c r="U2076" s="34"/>
    </row>
    <row r="2077" spans="1:21" s="328" customFormat="1" x14ac:dyDescent="0.2">
      <c r="A2077" s="825">
        <f>A342</f>
        <v>-1665300</v>
      </c>
      <c r="B2077" s="335">
        <f>B342</f>
        <v>-1054100</v>
      </c>
      <c r="C2077" s="348">
        <f>C342</f>
        <v>-1390300</v>
      </c>
      <c r="D2077" s="348">
        <f>D342</f>
        <v>-1496200</v>
      </c>
      <c r="E2077" s="348">
        <f>E342</f>
        <v>-1416500</v>
      </c>
      <c r="F2077" s="333"/>
      <c r="G2077" s="335" t="str">
        <f t="shared" si="2319"/>
        <v>Ancillary Transport Services</v>
      </c>
      <c r="H2077" s="335">
        <f>H342</f>
        <v>-1512900</v>
      </c>
      <c r="I2077" s="347"/>
      <c r="J2077" s="335">
        <f t="shared" ref="J2077:S2077" si="2324">J342</f>
        <v>-1407700</v>
      </c>
      <c r="K2077" s="335">
        <f t="shared" si="2324"/>
        <v>-1625200</v>
      </c>
      <c r="L2077" s="335">
        <f t="shared" si="2324"/>
        <v>-1550000</v>
      </c>
      <c r="M2077" s="335">
        <f t="shared" si="2324"/>
        <v>-1676800</v>
      </c>
      <c r="N2077" s="335">
        <f t="shared" si="2324"/>
        <v>-1600300</v>
      </c>
      <c r="O2077" s="335">
        <f t="shared" si="2324"/>
        <v>-1732200</v>
      </c>
      <c r="P2077" s="335">
        <f t="shared" si="2324"/>
        <v>-1656300</v>
      </c>
      <c r="Q2077" s="335">
        <f t="shared" si="2324"/>
        <v>-1791500</v>
      </c>
      <c r="R2077" s="335">
        <f t="shared" si="2324"/>
        <v>-1714300</v>
      </c>
      <c r="S2077" s="2414">
        <f t="shared" si="2324"/>
        <v>-1742200</v>
      </c>
      <c r="U2077" s="34"/>
    </row>
    <row r="2078" spans="1:21" s="328" customFormat="1" x14ac:dyDescent="0.2">
      <c r="A2078" s="825">
        <f>A381</f>
        <v>-53000</v>
      </c>
      <c r="B2078" s="335">
        <f>B381</f>
        <v>176200</v>
      </c>
      <c r="C2078" s="348">
        <f>C381</f>
        <v>197300</v>
      </c>
      <c r="D2078" s="348">
        <f>D381</f>
        <v>106000</v>
      </c>
      <c r="E2078" s="348">
        <f>E381</f>
        <v>88100</v>
      </c>
      <c r="F2078" s="333"/>
      <c r="G2078" s="335" t="str">
        <f t="shared" si="2319"/>
        <v>Roads and Maritime Services</v>
      </c>
      <c r="H2078" s="335">
        <f>H381</f>
        <v>160000</v>
      </c>
      <c r="I2078" s="347"/>
      <c r="J2078" s="335">
        <f t="shared" ref="J2078:S2078" si="2325">J381</f>
        <v>0</v>
      </c>
      <c r="K2078" s="335">
        <f t="shared" si="2325"/>
        <v>0</v>
      </c>
      <c r="L2078" s="335">
        <f t="shared" si="2325"/>
        <v>0</v>
      </c>
      <c r="M2078" s="335">
        <f t="shared" si="2325"/>
        <v>0</v>
      </c>
      <c r="N2078" s="335">
        <f t="shared" si="2325"/>
        <v>0</v>
      </c>
      <c r="O2078" s="335">
        <f t="shared" si="2325"/>
        <v>0</v>
      </c>
      <c r="P2078" s="335">
        <f t="shared" si="2325"/>
        <v>0</v>
      </c>
      <c r="Q2078" s="335">
        <f t="shared" si="2325"/>
        <v>0</v>
      </c>
      <c r="R2078" s="335">
        <f t="shared" si="2325"/>
        <v>0</v>
      </c>
      <c r="S2078" s="2414">
        <f t="shared" si="2325"/>
        <v>0</v>
      </c>
      <c r="U2078" s="34"/>
    </row>
    <row r="2079" spans="1:21" s="328" customFormat="1" x14ac:dyDescent="0.2">
      <c r="A2079" s="825">
        <f>A453</f>
        <v>-2234800</v>
      </c>
      <c r="B2079" s="335">
        <f>B453</f>
        <v>-2323700</v>
      </c>
      <c r="C2079" s="348">
        <f>C453</f>
        <v>-2485800</v>
      </c>
      <c r="D2079" s="348">
        <f>D453</f>
        <v>-2649900</v>
      </c>
      <c r="E2079" s="348">
        <f>E453</f>
        <v>-4564900</v>
      </c>
      <c r="F2079" s="333"/>
      <c r="G2079" s="335" t="str">
        <f t="shared" si="2319"/>
        <v>Open Spaces and Reserves</v>
      </c>
      <c r="H2079" s="335">
        <f>H453</f>
        <v>-3080000</v>
      </c>
      <c r="I2079" s="347"/>
      <c r="J2079" s="335">
        <f t="shared" ref="J2079:S2079" si="2326">J453</f>
        <v>-2979100</v>
      </c>
      <c r="K2079" s="335">
        <f t="shared" si="2326"/>
        <v>-3064100</v>
      </c>
      <c r="L2079" s="335">
        <f t="shared" si="2326"/>
        <v>-3143400</v>
      </c>
      <c r="M2079" s="335">
        <f t="shared" si="2326"/>
        <v>-3224900</v>
      </c>
      <c r="N2079" s="335">
        <f t="shared" si="2326"/>
        <v>-3308400</v>
      </c>
      <c r="O2079" s="335">
        <f t="shared" si="2326"/>
        <v>-3393600</v>
      </c>
      <c r="P2079" s="335">
        <f t="shared" si="2326"/>
        <v>-3480700</v>
      </c>
      <c r="Q2079" s="335">
        <f t="shared" si="2326"/>
        <v>-3570300</v>
      </c>
      <c r="R2079" s="335">
        <f t="shared" si="2326"/>
        <v>-3651500</v>
      </c>
      <c r="S2079" s="2414">
        <f t="shared" si="2326"/>
        <v>-3734700</v>
      </c>
      <c r="U2079" s="34"/>
    </row>
    <row r="2080" spans="1:21" s="328" customFormat="1" x14ac:dyDescent="0.2">
      <c r="A2080" s="825">
        <f>A510</f>
        <v>44300</v>
      </c>
      <c r="B2080" s="335">
        <f>B510</f>
        <v>66000</v>
      </c>
      <c r="C2080" s="348">
        <f>C510</f>
        <v>286000</v>
      </c>
      <c r="D2080" s="348">
        <f>D510</f>
        <v>489900</v>
      </c>
      <c r="E2080" s="348">
        <f>E510</f>
        <v>282700</v>
      </c>
      <c r="F2080" s="333"/>
      <c r="G2080" s="335" t="str">
        <f t="shared" si="2319"/>
        <v>Fleet Management and Workshop</v>
      </c>
      <c r="H2080" s="335">
        <f>H510</f>
        <v>74200</v>
      </c>
      <c r="I2080" s="347"/>
      <c r="J2080" s="335">
        <f t="shared" ref="J2080:S2080" si="2327">J510</f>
        <v>307500</v>
      </c>
      <c r="K2080" s="335">
        <f t="shared" si="2327"/>
        <v>323500</v>
      </c>
      <c r="L2080" s="335">
        <f t="shared" si="2327"/>
        <v>344300</v>
      </c>
      <c r="M2080" s="335">
        <f t="shared" si="2327"/>
        <v>353600</v>
      </c>
      <c r="N2080" s="335">
        <f t="shared" si="2327"/>
        <v>364200</v>
      </c>
      <c r="O2080" s="335">
        <f t="shared" si="2327"/>
        <v>373400</v>
      </c>
      <c r="P2080" s="335">
        <f t="shared" si="2327"/>
        <v>388100</v>
      </c>
      <c r="Q2080" s="335">
        <f t="shared" si="2327"/>
        <v>411200</v>
      </c>
      <c r="R2080" s="335">
        <f t="shared" si="2327"/>
        <v>392800</v>
      </c>
      <c r="S2080" s="2414">
        <f t="shared" si="2327"/>
        <v>408900</v>
      </c>
      <c r="U2080" s="34"/>
    </row>
    <row r="2081" spans="1:21" s="328" customFormat="1" x14ac:dyDescent="0.2">
      <c r="A2081" s="825">
        <f>A549</f>
        <v>-158000</v>
      </c>
      <c r="B2081" s="335">
        <f>B549</f>
        <v>-203400</v>
      </c>
      <c r="C2081" s="348">
        <f>C549</f>
        <v>-95100</v>
      </c>
      <c r="D2081" s="348">
        <f>D549</f>
        <v>-157700</v>
      </c>
      <c r="E2081" s="348">
        <f>E549</f>
        <v>-152600</v>
      </c>
      <c r="F2081" s="333"/>
      <c r="G2081" s="335" t="str">
        <f t="shared" si="2319"/>
        <v>Rural Fire Service</v>
      </c>
      <c r="H2081" s="335">
        <f>H549</f>
        <v>-217100</v>
      </c>
      <c r="I2081" s="347"/>
      <c r="J2081" s="335">
        <f t="shared" ref="J2081:S2081" si="2328">J549</f>
        <v>-222800</v>
      </c>
      <c r="K2081" s="335">
        <f t="shared" si="2328"/>
        <v>-229100</v>
      </c>
      <c r="L2081" s="335">
        <f t="shared" si="2328"/>
        <v>-235500</v>
      </c>
      <c r="M2081" s="335">
        <f t="shared" si="2328"/>
        <v>-241800</v>
      </c>
      <c r="N2081" s="335">
        <f t="shared" si="2328"/>
        <v>-248300</v>
      </c>
      <c r="O2081" s="335">
        <f t="shared" si="2328"/>
        <v>-254900</v>
      </c>
      <c r="P2081" s="335">
        <f t="shared" si="2328"/>
        <v>-261900</v>
      </c>
      <c r="Q2081" s="335">
        <f t="shared" si="2328"/>
        <v>-269200</v>
      </c>
      <c r="R2081" s="335">
        <f t="shared" si="2328"/>
        <v>-276500</v>
      </c>
      <c r="S2081" s="2414">
        <f t="shared" si="2328"/>
        <v>-283900</v>
      </c>
      <c r="U2081" s="34"/>
    </row>
    <row r="2082" spans="1:21" s="328" customFormat="1" x14ac:dyDescent="0.2">
      <c r="A2082" s="825">
        <f>A602</f>
        <v>193000</v>
      </c>
      <c r="B2082" s="335">
        <f>B602</f>
        <v>177100</v>
      </c>
      <c r="C2082" s="348">
        <f>C602</f>
        <v>247900</v>
      </c>
      <c r="D2082" s="348">
        <f>D602</f>
        <v>188800</v>
      </c>
      <c r="E2082" s="348">
        <f>E602</f>
        <v>-75400</v>
      </c>
      <c r="F2082" s="333"/>
      <c r="G2082" s="335" t="str">
        <f t="shared" si="2319"/>
        <v>Quarries and Sandpit</v>
      </c>
      <c r="H2082" s="335">
        <f>H602</f>
        <v>-619900</v>
      </c>
      <c r="I2082" s="347"/>
      <c r="J2082" s="335">
        <f t="shared" ref="J2082:S2082" si="2329">J602</f>
        <v>-20600</v>
      </c>
      <c r="K2082" s="335">
        <f t="shared" si="2329"/>
        <v>-21300</v>
      </c>
      <c r="L2082" s="335">
        <f t="shared" si="2329"/>
        <v>-22000</v>
      </c>
      <c r="M2082" s="335">
        <f t="shared" si="2329"/>
        <v>-22900</v>
      </c>
      <c r="N2082" s="335">
        <f t="shared" si="2329"/>
        <v>-23600</v>
      </c>
      <c r="O2082" s="335">
        <f t="shared" si="2329"/>
        <v>-24500</v>
      </c>
      <c r="P2082" s="335">
        <f t="shared" si="2329"/>
        <v>-25400</v>
      </c>
      <c r="Q2082" s="335">
        <f t="shared" si="2329"/>
        <v>-26400</v>
      </c>
      <c r="R2082" s="335">
        <f t="shared" si="2329"/>
        <v>-27400</v>
      </c>
      <c r="S2082" s="2414">
        <f t="shared" si="2329"/>
        <v>-27400</v>
      </c>
      <c r="U2082" s="34"/>
    </row>
    <row r="2083" spans="1:21" s="328" customFormat="1" x14ac:dyDescent="0.2">
      <c r="A2083" s="825">
        <f>A679</f>
        <v>-254600</v>
      </c>
      <c r="B2083" s="335">
        <f>B679</f>
        <v>226400</v>
      </c>
      <c r="C2083" s="348">
        <f>C679</f>
        <v>1346300</v>
      </c>
      <c r="D2083" s="348">
        <f>D679</f>
        <v>300200</v>
      </c>
      <c r="E2083" s="348">
        <f>E679</f>
        <v>1887400</v>
      </c>
      <c r="F2083" s="333"/>
      <c r="G2083" s="335" t="str">
        <f t="shared" si="2319"/>
        <v>Waste - Landfill and Resource Recovery</v>
      </c>
      <c r="H2083" s="335">
        <f>H679</f>
        <v>-302100</v>
      </c>
      <c r="I2083" s="347"/>
      <c r="J2083" s="335">
        <f t="shared" ref="J2083:S2083" si="2330">J679</f>
        <v>-170200</v>
      </c>
      <c r="K2083" s="335">
        <f t="shared" si="2330"/>
        <v>-131100</v>
      </c>
      <c r="L2083" s="335">
        <f t="shared" si="2330"/>
        <v>-144500</v>
      </c>
      <c r="M2083" s="335">
        <f t="shared" si="2330"/>
        <v>-157500</v>
      </c>
      <c r="N2083" s="335">
        <f t="shared" si="2330"/>
        <v>-176900</v>
      </c>
      <c r="O2083" s="335">
        <f t="shared" si="2330"/>
        <v>-196900</v>
      </c>
      <c r="P2083" s="335">
        <f t="shared" si="2330"/>
        <v>-208500</v>
      </c>
      <c r="Q2083" s="335">
        <f t="shared" si="2330"/>
        <v>-217600</v>
      </c>
      <c r="R2083" s="335">
        <f t="shared" si="2330"/>
        <v>-227300</v>
      </c>
      <c r="S2083" s="2414">
        <f t="shared" si="2330"/>
        <v>-238700</v>
      </c>
      <c r="U2083" s="34"/>
    </row>
    <row r="2084" spans="1:21" s="328" customFormat="1" x14ac:dyDescent="0.2">
      <c r="A2084" s="825">
        <f>A733</f>
        <v>416100</v>
      </c>
      <c r="B2084" s="335">
        <f>B733</f>
        <v>653900</v>
      </c>
      <c r="C2084" s="348">
        <f>C733</f>
        <v>0</v>
      </c>
      <c r="D2084" s="348">
        <f>D733</f>
        <v>162700</v>
      </c>
      <c r="E2084" s="348">
        <f>E733</f>
        <v>301300</v>
      </c>
      <c r="F2084" s="333"/>
      <c r="G2084" s="335" t="str">
        <f t="shared" si="2319"/>
        <v>Waste - Domestic</v>
      </c>
      <c r="H2084" s="335">
        <f>H733</f>
        <v>412600</v>
      </c>
      <c r="I2084" s="347"/>
      <c r="J2084" s="335">
        <f t="shared" ref="J2084:S2084" si="2331">J733</f>
        <v>413700</v>
      </c>
      <c r="K2084" s="335">
        <f t="shared" si="2331"/>
        <v>396500</v>
      </c>
      <c r="L2084" s="335">
        <f t="shared" si="2331"/>
        <v>418700</v>
      </c>
      <c r="M2084" s="335">
        <f t="shared" si="2331"/>
        <v>393400</v>
      </c>
      <c r="N2084" s="335">
        <f t="shared" si="2331"/>
        <v>413700</v>
      </c>
      <c r="O2084" s="335">
        <f t="shared" si="2331"/>
        <v>435800</v>
      </c>
      <c r="P2084" s="335">
        <f t="shared" si="2331"/>
        <v>408800</v>
      </c>
      <c r="Q2084" s="335">
        <f t="shared" si="2331"/>
        <v>430700</v>
      </c>
      <c r="R2084" s="335">
        <f t="shared" si="2331"/>
        <v>436500</v>
      </c>
      <c r="S2084" s="2414">
        <f t="shared" si="2331"/>
        <v>425400</v>
      </c>
      <c r="U2084" s="34"/>
    </row>
    <row r="2085" spans="1:21" s="328" customFormat="1" ht="13.5" thickBot="1" x14ac:dyDescent="0.25">
      <c r="A2085" s="826"/>
      <c r="B2085" s="332"/>
      <c r="C2085" s="334"/>
      <c r="D2085" s="334"/>
      <c r="E2085" s="334"/>
      <c r="F2085" s="333"/>
      <c r="G2085" s="335"/>
      <c r="H2085" s="335"/>
      <c r="I2085" s="347"/>
      <c r="J2085" s="335"/>
      <c r="K2085" s="335"/>
      <c r="L2085" s="335"/>
      <c r="M2085" s="335"/>
      <c r="N2085" s="335"/>
      <c r="O2085" s="335"/>
      <c r="P2085" s="335"/>
      <c r="Q2085" s="335"/>
      <c r="R2085" s="335"/>
      <c r="S2085" s="2414"/>
      <c r="U2085" s="34"/>
    </row>
    <row r="2086" spans="1:21" s="328" customFormat="1" x14ac:dyDescent="0.2">
      <c r="A2086" s="827">
        <f>SUM(A2073:A2085)</f>
        <v>-25989800</v>
      </c>
      <c r="B2086" s="336">
        <f>SUM(B2073:B2085)</f>
        <v>-21560900</v>
      </c>
      <c r="C2086" s="337">
        <f>SUM(C2073:C2085)</f>
        <v>-22271200</v>
      </c>
      <c r="D2086" s="337">
        <f>SUM(D2073:D2085)</f>
        <v>-20356000</v>
      </c>
      <c r="E2086" s="824">
        <f t="shared" ref="E2086" si="2332">SUM(E2073:E2085)</f>
        <v>-21024800</v>
      </c>
      <c r="F2086" s="333"/>
      <c r="G2086" s="425" t="s">
        <v>361</v>
      </c>
      <c r="H2086" s="336">
        <f t="shared" ref="H2086:O2086" si="2333">SUM(H2073:H2085)</f>
        <v>-20466500</v>
      </c>
      <c r="I2086" s="126"/>
      <c r="J2086" s="336">
        <f t="shared" si="2333"/>
        <v>-20226800</v>
      </c>
      <c r="K2086" s="336">
        <f t="shared" si="2333"/>
        <v>-20817000</v>
      </c>
      <c r="L2086" s="336">
        <f t="shared" si="2333"/>
        <v>-20971700</v>
      </c>
      <c r="M2086" s="336">
        <f t="shared" si="2333"/>
        <v>-21896300</v>
      </c>
      <c r="N2086" s="336">
        <f t="shared" si="2333"/>
        <v>-22236400</v>
      </c>
      <c r="O2086" s="336">
        <f t="shared" si="2333"/>
        <v>-22794700</v>
      </c>
      <c r="P2086" s="336">
        <f t="shared" ref="P2086:Q2086" si="2334">SUM(P2073:P2085)</f>
        <v>-23367900</v>
      </c>
      <c r="Q2086" s="336">
        <f t="shared" si="2334"/>
        <v>-23757700</v>
      </c>
      <c r="R2086" s="336">
        <f t="shared" ref="R2086" si="2335">SUM(R2073:R2085)</f>
        <v>-24184400</v>
      </c>
      <c r="S2086" s="2415">
        <f t="shared" ref="S2086" si="2336">SUM(S2073:S2085)</f>
        <v>-24710800</v>
      </c>
      <c r="U2086" s="34"/>
    </row>
    <row r="2087" spans="1:21" s="328" customFormat="1" x14ac:dyDescent="0.2">
      <c r="A2087" s="826"/>
      <c r="B2087" s="332"/>
      <c r="C2087" s="349"/>
      <c r="D2087" s="349"/>
      <c r="E2087" s="334"/>
      <c r="F2087" s="333"/>
      <c r="G2087" s="425"/>
      <c r="H2087" s="332"/>
      <c r="I2087" s="126"/>
      <c r="J2087" s="332"/>
      <c r="K2087" s="332"/>
      <c r="L2087" s="332"/>
      <c r="M2087" s="332"/>
      <c r="N2087" s="332"/>
      <c r="O2087" s="332"/>
      <c r="P2087" s="332"/>
      <c r="Q2087" s="332"/>
      <c r="R2087" s="332"/>
      <c r="S2087" s="2378"/>
      <c r="U2087" s="34"/>
    </row>
    <row r="2088" spans="1:21" s="328" customFormat="1" x14ac:dyDescent="0.2">
      <c r="A2088" s="826">
        <f>A2066</f>
        <v>-7122200</v>
      </c>
      <c r="B2088" s="332">
        <f>B2066</f>
        <v>-6132200</v>
      </c>
      <c r="C2088" s="349">
        <f>C2066</f>
        <v>-6815600</v>
      </c>
      <c r="D2088" s="349">
        <f>D2066</f>
        <v>-8187300</v>
      </c>
      <c r="E2088" s="334">
        <f t="shared" ref="E2088" si="2337">E2066</f>
        <v>-6145600</v>
      </c>
      <c r="F2088" s="333"/>
      <c r="G2088" s="425" t="s">
        <v>2755</v>
      </c>
      <c r="H2088" s="332">
        <f t="shared" ref="H2088:P2088" si="2338">H2066</f>
        <v>-9344200</v>
      </c>
      <c r="I2088" s="126"/>
      <c r="J2088" s="332">
        <f t="shared" si="2338"/>
        <v>-8932200</v>
      </c>
      <c r="K2088" s="332">
        <f t="shared" si="2338"/>
        <v>-9319300</v>
      </c>
      <c r="L2088" s="332">
        <f t="shared" si="2338"/>
        <v>-9271600</v>
      </c>
      <c r="M2088" s="332">
        <f t="shared" si="2338"/>
        <v>-9961000</v>
      </c>
      <c r="N2088" s="332">
        <f t="shared" si="2338"/>
        <v>-10061200</v>
      </c>
      <c r="O2088" s="332">
        <f t="shared" si="2338"/>
        <v>-10374800</v>
      </c>
      <c r="P2088" s="332">
        <f t="shared" si="2338"/>
        <v>-10698300</v>
      </c>
      <c r="Q2088" s="332">
        <f t="shared" ref="Q2088" si="2339">Q2066</f>
        <v>-10833400</v>
      </c>
      <c r="R2088" s="332">
        <f t="shared" ref="R2088" si="2340">R2066</f>
        <v>-11000400</v>
      </c>
      <c r="S2088" s="2378">
        <f t="shared" ref="S2088" si="2341">S2066</f>
        <v>-11262900</v>
      </c>
      <c r="U2088" s="34"/>
    </row>
    <row r="2089" spans="1:21" s="328" customFormat="1" x14ac:dyDescent="0.2">
      <c r="A2089" s="826"/>
      <c r="B2089" s="332"/>
      <c r="C2089" s="349"/>
      <c r="D2089" s="349"/>
      <c r="E2089" s="334"/>
      <c r="F2089" s="333"/>
      <c r="G2089" s="425"/>
      <c r="H2089" s="332"/>
      <c r="I2089" s="126"/>
      <c r="J2089" s="332"/>
      <c r="K2089" s="332"/>
      <c r="L2089" s="332"/>
      <c r="M2089" s="332"/>
      <c r="N2089" s="332"/>
      <c r="O2089" s="332"/>
      <c r="P2089" s="332"/>
      <c r="Q2089" s="332"/>
      <c r="R2089" s="332"/>
      <c r="S2089" s="2378"/>
      <c r="U2089" s="34"/>
    </row>
    <row r="2090" spans="1:21" s="328" customFormat="1" x14ac:dyDescent="0.2">
      <c r="A2090" s="826">
        <f>A102+A103+A158+A159+A160+A161++A214+A215+A270++A336+A337+A338+A382+A448+A506+A545+A598+A673+A729+A449+A675+A674</f>
        <v>13931400</v>
      </c>
      <c r="B2090" s="332">
        <f>B102+B103+B158+B159+B160+B161++B214+B215+B270++B336+B337+B338+B382+B448+B506+B545+B598+B673+B729+B449+B675+B674</f>
        <v>13367400</v>
      </c>
      <c r="C2090" s="349">
        <f>C102+C103+C158+C159+C160+C161++C214+C215+C270++C336+C337+C338+C382+C448+C506+C545+C598+C673+C729+C449+C675</f>
        <v>12100500</v>
      </c>
      <c r="D2090" s="349">
        <f>D102+D103+D158+D159+D160+D161++D214+D215+D270++D336+D337+D338+D382+D448+D506+D545+D598+D673+D729+D449+D675</f>
        <v>12031000</v>
      </c>
      <c r="E2090" s="334">
        <f>E102+E103+E158+E159+E160+E161++E214+E215+E270++E336+E337+E338+E382+E448+E506+E545+E598+E673+E729+E449+E675</f>
        <v>9486100</v>
      </c>
      <c r="F2090" s="333"/>
      <c r="G2090" s="425" t="s">
        <v>2035</v>
      </c>
      <c r="H2090" s="334">
        <f>H102+H103+H158+H159+H160+H161++H214+H215+H270++H336+H337+H338+H382+H448+H506+H545+H598+H673+H729+H449+H675</f>
        <v>11003200</v>
      </c>
      <c r="I2090" s="126"/>
      <c r="J2090" s="334">
        <f t="shared" ref="J2090:S2090" si="2342">J102+J103+J158+J159+J160+J161++J214+J215+J270++J336+J337+J338+J382+J448+J506+J545+J598+J673+J729+J449+J675</f>
        <v>11224400</v>
      </c>
      <c r="K2090" s="334">
        <f t="shared" si="2342"/>
        <v>11449700</v>
      </c>
      <c r="L2090" s="334">
        <f t="shared" si="2342"/>
        <v>11679500</v>
      </c>
      <c r="M2090" s="334">
        <f t="shared" si="2342"/>
        <v>11913900</v>
      </c>
      <c r="N2090" s="334">
        <f t="shared" si="2342"/>
        <v>12153100</v>
      </c>
      <c r="O2090" s="334">
        <f t="shared" si="2342"/>
        <v>12397000</v>
      </c>
      <c r="P2090" s="334">
        <f t="shared" si="2342"/>
        <v>12645800</v>
      </c>
      <c r="Q2090" s="334">
        <f t="shared" si="2342"/>
        <v>12899600</v>
      </c>
      <c r="R2090" s="334">
        <f t="shared" si="2342"/>
        <v>13158400</v>
      </c>
      <c r="S2090" s="2416">
        <f t="shared" si="2342"/>
        <v>13422300</v>
      </c>
      <c r="U2090" s="34"/>
    </row>
    <row r="2091" spans="1:21" s="328" customFormat="1" x14ac:dyDescent="0.2">
      <c r="A2091" s="826">
        <f>A603</f>
        <v>0</v>
      </c>
      <c r="B2091" s="332">
        <f>B603</f>
        <v>0</v>
      </c>
      <c r="C2091" s="349">
        <f>C603</f>
        <v>-223900</v>
      </c>
      <c r="D2091" s="349">
        <f>D603</f>
        <v>-53100</v>
      </c>
      <c r="E2091" s="334">
        <f>E603</f>
        <v>0</v>
      </c>
      <c r="F2091" s="333"/>
      <c r="G2091" s="425" t="s">
        <v>5351</v>
      </c>
      <c r="H2091" s="334">
        <f>H603</f>
        <v>0</v>
      </c>
      <c r="I2091" s="126"/>
      <c r="J2091" s="334">
        <f t="shared" ref="J2091:S2091" si="2343">J603</f>
        <v>0</v>
      </c>
      <c r="K2091" s="334">
        <f t="shared" si="2343"/>
        <v>0</v>
      </c>
      <c r="L2091" s="334">
        <f t="shared" si="2343"/>
        <v>0</v>
      </c>
      <c r="M2091" s="334">
        <f t="shared" si="2343"/>
        <v>0</v>
      </c>
      <c r="N2091" s="334">
        <f t="shared" si="2343"/>
        <v>0</v>
      </c>
      <c r="O2091" s="334">
        <f t="shared" si="2343"/>
        <v>0</v>
      </c>
      <c r="P2091" s="334">
        <f t="shared" si="2343"/>
        <v>0</v>
      </c>
      <c r="Q2091" s="334">
        <f t="shared" si="2343"/>
        <v>0</v>
      </c>
      <c r="R2091" s="334">
        <f t="shared" si="2343"/>
        <v>0</v>
      </c>
      <c r="S2091" s="2416">
        <f t="shared" si="2343"/>
        <v>0</v>
      </c>
      <c r="U2091" s="34"/>
    </row>
    <row r="2092" spans="1:21" s="328" customFormat="1" x14ac:dyDescent="0.2">
      <c r="A2092" s="826">
        <f>A271+A597</f>
        <v>202000</v>
      </c>
      <c r="B2092" s="332">
        <f>B271+B597</f>
        <v>169300</v>
      </c>
      <c r="C2092" s="349">
        <f>C271+C597+C674</f>
        <v>231300</v>
      </c>
      <c r="D2092" s="349">
        <f>D271+D597+D674</f>
        <v>190800</v>
      </c>
      <c r="E2092" s="334">
        <f>E271+E597+E674</f>
        <v>152000</v>
      </c>
      <c r="F2092" s="333"/>
      <c r="G2092" s="425" t="s">
        <v>908</v>
      </c>
      <c r="H2092" s="334">
        <f>H271+H597+H674</f>
        <v>119100</v>
      </c>
      <c r="I2092" s="126"/>
      <c r="J2092" s="334">
        <f t="shared" ref="J2092:S2092" si="2344">J271+J597+J674</f>
        <v>70200</v>
      </c>
      <c r="K2092" s="334">
        <f t="shared" si="2344"/>
        <v>48000</v>
      </c>
      <c r="L2092" s="334">
        <f t="shared" si="2344"/>
        <v>20600</v>
      </c>
      <c r="M2092" s="334">
        <f t="shared" si="2344"/>
        <v>21400</v>
      </c>
      <c r="N2092" s="334">
        <f t="shared" si="2344"/>
        <v>22100</v>
      </c>
      <c r="O2092" s="334">
        <f t="shared" si="2344"/>
        <v>22900</v>
      </c>
      <c r="P2092" s="334">
        <f t="shared" si="2344"/>
        <v>23800</v>
      </c>
      <c r="Q2092" s="334">
        <f t="shared" si="2344"/>
        <v>24700</v>
      </c>
      <c r="R2092" s="334">
        <f t="shared" si="2344"/>
        <v>25600</v>
      </c>
      <c r="S2092" s="2416">
        <f t="shared" si="2344"/>
        <v>25600</v>
      </c>
      <c r="U2092" s="34"/>
    </row>
    <row r="2093" spans="1:21" s="328" customFormat="1" x14ac:dyDescent="0.2">
      <c r="A2093" s="826">
        <f>A272+A222+A450+A162</f>
        <v>4734000</v>
      </c>
      <c r="B2093" s="332">
        <f>B272+B222+B450+B162</f>
        <v>1892000</v>
      </c>
      <c r="C2093" s="349">
        <f>C272+C222+C450+C162</f>
        <v>3347700</v>
      </c>
      <c r="D2093" s="349">
        <f>D272+D222+D450+D162</f>
        <v>0</v>
      </c>
      <c r="E2093" s="334">
        <f>E272+E222+E450+E162</f>
        <v>5241100</v>
      </c>
      <c r="F2093" s="333"/>
      <c r="G2093" s="425" t="s">
        <v>4448</v>
      </c>
      <c r="H2093" s="332">
        <f>H272+H222+H450+H162</f>
        <v>0</v>
      </c>
      <c r="I2093" s="126"/>
      <c r="J2093" s="332">
        <f t="shared" ref="J2093:S2093" si="2345">J272+J222+J450+J162</f>
        <v>0</v>
      </c>
      <c r="K2093" s="332">
        <f t="shared" si="2345"/>
        <v>0</v>
      </c>
      <c r="L2093" s="332">
        <f t="shared" si="2345"/>
        <v>0</v>
      </c>
      <c r="M2093" s="332">
        <f t="shared" si="2345"/>
        <v>0</v>
      </c>
      <c r="N2093" s="332">
        <f t="shared" si="2345"/>
        <v>0</v>
      </c>
      <c r="O2093" s="332">
        <f t="shared" si="2345"/>
        <v>0</v>
      </c>
      <c r="P2093" s="332">
        <f t="shared" si="2345"/>
        <v>0</v>
      </c>
      <c r="Q2093" s="332">
        <f t="shared" si="2345"/>
        <v>0</v>
      </c>
      <c r="R2093" s="332">
        <f t="shared" si="2345"/>
        <v>0</v>
      </c>
      <c r="S2093" s="2378">
        <f t="shared" si="2345"/>
        <v>0</v>
      </c>
      <c r="U2093" s="34"/>
    </row>
    <row r="2094" spans="1:21" s="328" customFormat="1" x14ac:dyDescent="0.2">
      <c r="A2094" s="826">
        <f>ROUND(A2086+A2090+A2092-A2088+A2093+A2091,-3)</f>
        <v>0</v>
      </c>
      <c r="B2094" s="332">
        <f t="shared" ref="B2094" si="2346">B2086+B2090+B2092-B2088+B2093+B2091</f>
        <v>0</v>
      </c>
      <c r="C2094" s="349">
        <f>C2086+C2090+C2092-C2088+C2093+C2091</f>
        <v>0</v>
      </c>
      <c r="D2094" s="349">
        <f>D2086+D2090+D2092-D2088+D2093+D2091</f>
        <v>0</v>
      </c>
      <c r="E2094" s="334">
        <f t="shared" ref="E2094" si="2347">E2086+E2090+E2092-E2088+E2093+E2091</f>
        <v>0</v>
      </c>
      <c r="F2094" s="333"/>
      <c r="G2094" s="425" t="s">
        <v>1731</v>
      </c>
      <c r="H2094" s="332">
        <f t="shared" ref="H2094:P2094" si="2348">H2086+H2090+H2092-H2088+H2093+H2091</f>
        <v>0</v>
      </c>
      <c r="I2094" s="126"/>
      <c r="J2094" s="332">
        <f t="shared" si="2348"/>
        <v>0</v>
      </c>
      <c r="K2094" s="332">
        <f t="shared" si="2348"/>
        <v>0</v>
      </c>
      <c r="L2094" s="332">
        <f t="shared" si="2348"/>
        <v>0</v>
      </c>
      <c r="M2094" s="332">
        <f t="shared" si="2348"/>
        <v>0</v>
      </c>
      <c r="N2094" s="332">
        <f t="shared" si="2348"/>
        <v>0</v>
      </c>
      <c r="O2094" s="332">
        <f t="shared" si="2348"/>
        <v>0</v>
      </c>
      <c r="P2094" s="332">
        <f t="shared" si="2348"/>
        <v>0</v>
      </c>
      <c r="Q2094" s="332">
        <f t="shared" ref="Q2094" si="2349">Q2086+Q2090+Q2092-Q2088+Q2093+Q2091</f>
        <v>0</v>
      </c>
      <c r="R2094" s="332">
        <f t="shared" ref="R2094" si="2350">R2086+R2090+R2092-R2088+R2093+R2091</f>
        <v>0</v>
      </c>
      <c r="S2094" s="2378">
        <f t="shared" ref="S2094" si="2351">S2086+S2090+S2092-S2088+S2093+S2091</f>
        <v>0</v>
      </c>
      <c r="U2094" s="34"/>
    </row>
    <row r="2095" spans="1:21" ht="13.5" thickBot="1" x14ac:dyDescent="0.25">
      <c r="A2095" s="26"/>
      <c r="B2095" s="37"/>
      <c r="C2095" s="146"/>
      <c r="D2095" s="146"/>
      <c r="E2095" s="146"/>
      <c r="F2095" s="168"/>
      <c r="G2095" s="259"/>
      <c r="H2095" s="23"/>
      <c r="I2095" s="275"/>
      <c r="J2095" s="23"/>
      <c r="K2095" s="23"/>
      <c r="L2095" s="23"/>
      <c r="M2095" s="23"/>
      <c r="N2095" s="23"/>
      <c r="O2095" s="23"/>
      <c r="P2095" s="23"/>
      <c r="Q2095" s="23"/>
      <c r="R2095" s="23"/>
      <c r="S2095" s="114"/>
    </row>
    <row r="2096" spans="1:21" ht="13.5" thickTop="1" x14ac:dyDescent="0.2">
      <c r="A2096" s="27"/>
      <c r="B2096" s="27"/>
      <c r="C2096" s="93"/>
      <c r="D2096" s="93"/>
      <c r="E2096" s="93"/>
      <c r="F2096" s="165"/>
      <c r="G2096" s="84"/>
      <c r="H2096" s="46"/>
      <c r="J2096" s="46"/>
      <c r="K2096" s="46"/>
      <c r="L2096" s="46"/>
      <c r="M2096" s="46"/>
      <c r="N2096" s="46"/>
      <c r="O2096" s="46"/>
      <c r="P2096" s="46"/>
      <c r="Q2096" s="46"/>
      <c r="R2096" s="46"/>
      <c r="S2096" s="46"/>
    </row>
    <row r="2097" spans="1:21" x14ac:dyDescent="0.2">
      <c r="A2097" s="27"/>
      <c r="B2097" s="27"/>
      <c r="C2097" s="93"/>
      <c r="D2097" s="93"/>
      <c r="E2097" s="93"/>
      <c r="F2097" s="165"/>
      <c r="G2097" s="84"/>
      <c r="H2097" s="46"/>
      <c r="J2097" s="46"/>
      <c r="K2097" s="46"/>
      <c r="L2097" s="46"/>
      <c r="M2097" s="46"/>
      <c r="N2097" s="46"/>
      <c r="O2097" s="46"/>
      <c r="P2097" s="46"/>
      <c r="Q2097" s="46"/>
      <c r="R2097" s="46"/>
      <c r="S2097" s="46"/>
    </row>
    <row r="2098" spans="1:21" x14ac:dyDescent="0.2">
      <c r="A2098" s="2234"/>
      <c r="B2098" s="93"/>
      <c r="C2098" s="93"/>
      <c r="D2098" s="93"/>
      <c r="E2098" s="93"/>
      <c r="F2098" s="2234"/>
      <c r="G2098" s="93"/>
      <c r="H2098" s="2546"/>
      <c r="I2098" s="2234"/>
    </row>
    <row r="2099" spans="1:21" s="46" customFormat="1" x14ac:dyDescent="0.2">
      <c r="C2099" s="144"/>
      <c r="D2099" s="144"/>
      <c r="E2099" s="144"/>
      <c r="F2099" s="373"/>
      <c r="H2099" s="144"/>
      <c r="I2099" s="144"/>
      <c r="J2099" s="144"/>
      <c r="K2099" s="144"/>
      <c r="L2099" s="144"/>
      <c r="M2099" s="144"/>
      <c r="N2099" s="144"/>
      <c r="O2099" s="144"/>
      <c r="P2099" s="144"/>
      <c r="Q2099" s="144"/>
      <c r="R2099" s="144"/>
      <c r="S2099" s="144"/>
      <c r="U2099" s="34"/>
    </row>
    <row r="2100" spans="1:21" s="46" customFormat="1" x14ac:dyDescent="0.2">
      <c r="C2100" s="144"/>
      <c r="D2100" s="144"/>
      <c r="E2100" s="144"/>
      <c r="F2100" s="373"/>
      <c r="H2100" s="144"/>
      <c r="I2100" s="144"/>
      <c r="J2100" s="144"/>
      <c r="K2100" s="144"/>
      <c r="L2100" s="144"/>
      <c r="M2100" s="144"/>
      <c r="N2100" s="144"/>
      <c r="O2100" s="144"/>
      <c r="P2100" s="144"/>
      <c r="Q2100" s="144"/>
      <c r="R2100" s="144"/>
      <c r="S2100" s="144"/>
      <c r="U2100" s="34"/>
    </row>
    <row r="2101" spans="1:21" s="46" customFormat="1" x14ac:dyDescent="0.2">
      <c r="C2101" s="144"/>
      <c r="D2101" s="144"/>
      <c r="E2101" s="144"/>
      <c r="F2101" s="373"/>
      <c r="H2101" s="144"/>
      <c r="I2101" s="144"/>
      <c r="J2101" s="144"/>
      <c r="K2101" s="144"/>
      <c r="L2101" s="144"/>
      <c r="M2101" s="144"/>
      <c r="N2101" s="144"/>
      <c r="O2101" s="144"/>
      <c r="P2101" s="144"/>
      <c r="Q2101" s="144"/>
      <c r="R2101" s="144"/>
      <c r="S2101" s="144"/>
      <c r="U2101" s="34"/>
    </row>
    <row r="2102" spans="1:21" s="46" customFormat="1" x14ac:dyDescent="0.2">
      <c r="C2102" s="144"/>
      <c r="D2102" s="144"/>
      <c r="E2102" s="144"/>
      <c r="F2102" s="373"/>
      <c r="H2102" s="144"/>
      <c r="I2102" s="144"/>
      <c r="J2102" s="144"/>
      <c r="K2102" s="144"/>
      <c r="L2102" s="144"/>
      <c r="M2102" s="144"/>
      <c r="N2102" s="144"/>
      <c r="O2102" s="144"/>
      <c r="P2102" s="144"/>
      <c r="Q2102" s="144"/>
      <c r="R2102" s="144"/>
      <c r="S2102" s="144"/>
      <c r="U2102" s="34"/>
    </row>
    <row r="2103" spans="1:21" s="46" customFormat="1" x14ac:dyDescent="0.2">
      <c r="C2103" s="144"/>
      <c r="D2103" s="144"/>
      <c r="E2103" s="144"/>
      <c r="F2103" s="373"/>
      <c r="H2103" s="144"/>
      <c r="I2103" s="144"/>
      <c r="J2103" s="144"/>
      <c r="K2103" s="144"/>
      <c r="L2103" s="144"/>
      <c r="M2103" s="144"/>
      <c r="N2103" s="144"/>
      <c r="O2103" s="144"/>
      <c r="P2103" s="144"/>
      <c r="Q2103" s="144"/>
      <c r="R2103" s="144"/>
      <c r="S2103" s="144"/>
      <c r="U2103" s="34"/>
    </row>
    <row r="2104" spans="1:21" s="46" customFormat="1" x14ac:dyDescent="0.2">
      <c r="C2104" s="144"/>
      <c r="D2104" s="144"/>
      <c r="E2104" s="144"/>
      <c r="F2104" s="373"/>
      <c r="H2104" s="144"/>
      <c r="I2104" s="144"/>
      <c r="J2104" s="144"/>
      <c r="K2104" s="144"/>
      <c r="L2104" s="144"/>
      <c r="M2104" s="144"/>
      <c r="N2104" s="144"/>
      <c r="O2104" s="144"/>
      <c r="P2104" s="144"/>
      <c r="Q2104" s="144"/>
      <c r="R2104" s="144"/>
      <c r="S2104" s="144"/>
      <c r="U2104" s="34"/>
    </row>
    <row r="2105" spans="1:21" s="46" customFormat="1" x14ac:dyDescent="0.2">
      <c r="C2105" s="144"/>
      <c r="D2105" s="144"/>
      <c r="E2105" s="144"/>
      <c r="F2105" s="373"/>
      <c r="H2105" s="144"/>
      <c r="I2105" s="144"/>
      <c r="J2105" s="144"/>
      <c r="K2105" s="144"/>
      <c r="L2105" s="144"/>
      <c r="M2105" s="144"/>
      <c r="N2105" s="144"/>
      <c r="O2105" s="144"/>
      <c r="P2105" s="144"/>
      <c r="Q2105" s="144"/>
      <c r="R2105" s="144"/>
      <c r="S2105" s="144"/>
      <c r="U2105" s="34"/>
    </row>
    <row r="2106" spans="1:21" s="46" customFormat="1" x14ac:dyDescent="0.2">
      <c r="C2106" s="144"/>
      <c r="D2106" s="144"/>
      <c r="E2106" s="144"/>
      <c r="F2106" s="373"/>
      <c r="H2106" s="144"/>
      <c r="I2106" s="144"/>
      <c r="J2106" s="144"/>
      <c r="K2106" s="144"/>
      <c r="L2106" s="144"/>
      <c r="M2106" s="144"/>
      <c r="N2106" s="144"/>
      <c r="O2106" s="144"/>
      <c r="P2106" s="144"/>
      <c r="Q2106" s="144"/>
      <c r="R2106" s="144"/>
      <c r="S2106" s="144"/>
      <c r="U2106" s="34"/>
    </row>
    <row r="2107" spans="1:21" s="46" customFormat="1" x14ac:dyDescent="0.2">
      <c r="C2107" s="144"/>
      <c r="D2107" s="144"/>
      <c r="E2107" s="144"/>
      <c r="F2107" s="373"/>
      <c r="H2107" s="144"/>
      <c r="I2107" s="144"/>
      <c r="J2107" s="144"/>
      <c r="K2107" s="144"/>
      <c r="L2107" s="144"/>
      <c r="M2107" s="144"/>
      <c r="N2107" s="144"/>
      <c r="O2107" s="144"/>
      <c r="P2107" s="144"/>
      <c r="Q2107" s="144"/>
      <c r="R2107" s="144"/>
      <c r="S2107" s="144"/>
      <c r="U2107" s="34"/>
    </row>
    <row r="2108" spans="1:21" s="46" customFormat="1" x14ac:dyDescent="0.2">
      <c r="C2108" s="144"/>
      <c r="D2108" s="144"/>
      <c r="E2108" s="144"/>
      <c r="F2108" s="373"/>
      <c r="H2108" s="144"/>
      <c r="I2108" s="144"/>
      <c r="J2108" s="144"/>
      <c r="K2108" s="144"/>
      <c r="L2108" s="144"/>
      <c r="M2108" s="144"/>
      <c r="N2108" s="144"/>
      <c r="O2108" s="144"/>
      <c r="P2108" s="144"/>
      <c r="Q2108" s="144"/>
      <c r="R2108" s="144"/>
      <c r="S2108" s="144"/>
      <c r="U2108" s="34"/>
    </row>
    <row r="2109" spans="1:21" s="46" customFormat="1" x14ac:dyDescent="0.2">
      <c r="C2109" s="144"/>
      <c r="D2109" s="144"/>
      <c r="E2109" s="144"/>
      <c r="F2109" s="373"/>
      <c r="I2109" s="70"/>
      <c r="U2109" s="34"/>
    </row>
    <row r="2110" spans="1:21" s="46" customFormat="1" x14ac:dyDescent="0.2">
      <c r="C2110" s="144"/>
      <c r="D2110" s="144"/>
      <c r="E2110" s="144"/>
      <c r="F2110" s="373"/>
      <c r="I2110" s="70"/>
      <c r="U2110" s="34"/>
    </row>
    <row r="2111" spans="1:21" s="46" customFormat="1" x14ac:dyDescent="0.2">
      <c r="C2111" s="144"/>
      <c r="D2111" s="144"/>
      <c r="E2111" s="144"/>
      <c r="F2111" s="373"/>
      <c r="I2111" s="70"/>
      <c r="U2111" s="34"/>
    </row>
    <row r="2112" spans="1:21" s="46" customFormat="1" x14ac:dyDescent="0.2">
      <c r="C2112" s="144"/>
      <c r="D2112" s="144"/>
      <c r="E2112" s="144"/>
      <c r="F2112" s="373"/>
      <c r="I2112" s="70"/>
      <c r="U2112" s="34"/>
    </row>
    <row r="2113" spans="2:21" s="46" customFormat="1" x14ac:dyDescent="0.2">
      <c r="C2113" s="144"/>
      <c r="D2113" s="144"/>
      <c r="E2113" s="144"/>
      <c r="F2113" s="373"/>
      <c r="I2113" s="70"/>
      <c r="U2113" s="34"/>
    </row>
    <row r="2114" spans="2:21" s="46" customFormat="1" x14ac:dyDescent="0.2">
      <c r="C2114" s="144"/>
      <c r="D2114" s="144"/>
      <c r="E2114" s="144"/>
      <c r="F2114" s="373"/>
      <c r="I2114" s="70"/>
      <c r="U2114" s="34"/>
    </row>
    <row r="2115" spans="2:21" s="46" customFormat="1" x14ac:dyDescent="0.2">
      <c r="C2115" s="144"/>
      <c r="D2115" s="144"/>
      <c r="E2115" s="144"/>
      <c r="F2115" s="373"/>
      <c r="I2115" s="70"/>
      <c r="U2115" s="34"/>
    </row>
    <row r="2116" spans="2:21" s="46" customFormat="1" x14ac:dyDescent="0.2">
      <c r="C2116" s="144"/>
      <c r="D2116" s="144"/>
      <c r="E2116" s="144"/>
      <c r="F2116" s="373"/>
      <c r="I2116" s="70"/>
      <c r="U2116" s="34"/>
    </row>
    <row r="2117" spans="2:21" s="46" customFormat="1" x14ac:dyDescent="0.2">
      <c r="C2117" s="144"/>
      <c r="D2117" s="144"/>
      <c r="E2117" s="144"/>
      <c r="F2117" s="373"/>
      <c r="I2117" s="70"/>
      <c r="U2117" s="34"/>
    </row>
    <row r="2118" spans="2:21" s="46" customFormat="1" x14ac:dyDescent="0.2">
      <c r="C2118" s="144"/>
      <c r="D2118" s="144"/>
      <c r="E2118" s="144"/>
      <c r="F2118" s="373"/>
      <c r="I2118" s="70"/>
      <c r="U2118" s="34"/>
    </row>
    <row r="2119" spans="2:21" s="46" customFormat="1" x14ac:dyDescent="0.2">
      <c r="B2119" s="538"/>
      <c r="C2119" s="144"/>
      <c r="D2119" s="144"/>
      <c r="E2119" s="144"/>
      <c r="F2119" s="373"/>
      <c r="I2119" s="70"/>
      <c r="U2119" s="34"/>
    </row>
    <row r="2120" spans="2:21" s="46" customFormat="1" x14ac:dyDescent="0.2">
      <c r="C2120" s="144"/>
      <c r="D2120" s="144"/>
      <c r="E2120" s="144"/>
      <c r="F2120" s="373"/>
      <c r="I2120" s="70"/>
      <c r="U2120" s="34"/>
    </row>
    <row r="2121" spans="2:21" s="46" customFormat="1" x14ac:dyDescent="0.2">
      <c r="C2121" s="144"/>
      <c r="D2121" s="144"/>
      <c r="E2121" s="144"/>
      <c r="F2121" s="373"/>
      <c r="I2121" s="70"/>
      <c r="U2121" s="34"/>
    </row>
    <row r="2122" spans="2:21" s="46" customFormat="1" x14ac:dyDescent="0.2">
      <c r="C2122" s="144"/>
      <c r="D2122" s="144"/>
      <c r="E2122" s="144"/>
      <c r="F2122" s="373"/>
      <c r="I2122" s="70"/>
      <c r="U2122" s="34"/>
    </row>
    <row r="2123" spans="2:21" s="46" customFormat="1" x14ac:dyDescent="0.2">
      <c r="C2123" s="144"/>
      <c r="D2123" s="144"/>
      <c r="E2123" s="144"/>
      <c r="F2123" s="373"/>
      <c r="I2123" s="70"/>
      <c r="U2123" s="34"/>
    </row>
    <row r="2124" spans="2:21" s="46" customFormat="1" x14ac:dyDescent="0.2">
      <c r="C2124" s="144"/>
      <c r="D2124" s="144"/>
      <c r="E2124" s="144"/>
      <c r="F2124" s="373"/>
      <c r="I2124" s="70"/>
      <c r="U2124" s="34"/>
    </row>
    <row r="2125" spans="2:21" s="46" customFormat="1" x14ac:dyDescent="0.2">
      <c r="C2125" s="144"/>
      <c r="D2125" s="144"/>
      <c r="E2125" s="144"/>
      <c r="F2125" s="373"/>
      <c r="I2125" s="70"/>
      <c r="U2125" s="34"/>
    </row>
    <row r="2126" spans="2:21" s="46" customFormat="1" x14ac:dyDescent="0.2">
      <c r="C2126" s="144"/>
      <c r="D2126" s="144"/>
      <c r="E2126" s="144"/>
      <c r="F2126" s="373"/>
      <c r="I2126" s="70"/>
      <c r="U2126" s="34"/>
    </row>
    <row r="2127" spans="2:21" s="46" customFormat="1" x14ac:dyDescent="0.2">
      <c r="C2127" s="144"/>
      <c r="D2127" s="144"/>
      <c r="E2127" s="144"/>
      <c r="F2127" s="373"/>
      <c r="I2127" s="70"/>
      <c r="U2127" s="34"/>
    </row>
    <row r="2128" spans="2:21" s="46" customFormat="1" x14ac:dyDescent="0.2">
      <c r="C2128" s="144"/>
      <c r="D2128" s="144"/>
      <c r="E2128" s="144"/>
      <c r="F2128" s="373"/>
      <c r="I2128" s="70"/>
      <c r="U2128" s="34"/>
    </row>
    <row r="2129" spans="3:21" s="46" customFormat="1" x14ac:dyDescent="0.2">
      <c r="C2129" s="144"/>
      <c r="D2129" s="144"/>
      <c r="E2129" s="144"/>
      <c r="F2129" s="373"/>
      <c r="I2129" s="70"/>
      <c r="U2129" s="34"/>
    </row>
    <row r="2130" spans="3:21" s="46" customFormat="1" x14ac:dyDescent="0.2">
      <c r="C2130" s="144"/>
      <c r="D2130" s="144"/>
      <c r="E2130" s="144"/>
      <c r="F2130" s="373"/>
      <c r="I2130" s="70"/>
      <c r="U2130" s="34"/>
    </row>
    <row r="2131" spans="3:21" s="46" customFormat="1" x14ac:dyDescent="0.2">
      <c r="C2131" s="144"/>
      <c r="D2131" s="144"/>
      <c r="E2131" s="144"/>
      <c r="F2131" s="373"/>
      <c r="I2131" s="70"/>
      <c r="U2131" s="34"/>
    </row>
    <row r="2132" spans="3:21" s="46" customFormat="1" x14ac:dyDescent="0.2">
      <c r="C2132" s="144"/>
      <c r="D2132" s="144"/>
      <c r="E2132" s="144"/>
      <c r="F2132" s="373"/>
      <c r="I2132" s="70"/>
      <c r="U2132" s="34"/>
    </row>
    <row r="2133" spans="3:21" s="46" customFormat="1" x14ac:dyDescent="0.2">
      <c r="C2133" s="144"/>
      <c r="D2133" s="144"/>
      <c r="E2133" s="144"/>
      <c r="F2133" s="373"/>
      <c r="I2133" s="70"/>
      <c r="U2133" s="34"/>
    </row>
    <row r="2134" spans="3:21" s="46" customFormat="1" x14ac:dyDescent="0.2">
      <c r="C2134" s="144"/>
      <c r="D2134" s="144"/>
      <c r="E2134" s="144"/>
      <c r="F2134" s="373"/>
      <c r="I2134" s="70"/>
      <c r="U2134" s="34"/>
    </row>
    <row r="2135" spans="3:21" s="46" customFormat="1" x14ac:dyDescent="0.2">
      <c r="C2135" s="144"/>
      <c r="D2135" s="144"/>
      <c r="E2135" s="144"/>
      <c r="F2135" s="373"/>
      <c r="I2135" s="70"/>
      <c r="U2135" s="34"/>
    </row>
    <row r="2136" spans="3:21" s="46" customFormat="1" x14ac:dyDescent="0.2">
      <c r="C2136" s="144"/>
      <c r="D2136" s="144"/>
      <c r="E2136" s="144"/>
      <c r="F2136" s="373"/>
      <c r="I2136" s="70"/>
      <c r="U2136" s="34"/>
    </row>
    <row r="2137" spans="3:21" s="46" customFormat="1" x14ac:dyDescent="0.2">
      <c r="C2137" s="144"/>
      <c r="D2137" s="144"/>
      <c r="E2137" s="144"/>
      <c r="F2137" s="373"/>
      <c r="I2137" s="70"/>
      <c r="U2137" s="34"/>
    </row>
    <row r="2138" spans="3:21" s="46" customFormat="1" x14ac:dyDescent="0.2">
      <c r="C2138" s="144"/>
      <c r="D2138" s="144"/>
      <c r="E2138" s="144"/>
      <c r="F2138" s="373"/>
      <c r="I2138" s="70"/>
      <c r="U2138" s="34"/>
    </row>
    <row r="2139" spans="3:21" s="46" customFormat="1" x14ac:dyDescent="0.2">
      <c r="C2139" s="144"/>
      <c r="D2139" s="144"/>
      <c r="E2139" s="144"/>
      <c r="F2139" s="373"/>
      <c r="I2139" s="70"/>
      <c r="U2139" s="34"/>
    </row>
    <row r="2140" spans="3:21" s="46" customFormat="1" x14ac:dyDescent="0.2">
      <c r="C2140" s="144"/>
      <c r="D2140" s="144"/>
      <c r="E2140" s="144"/>
      <c r="F2140" s="373"/>
      <c r="I2140" s="70"/>
      <c r="U2140" s="34"/>
    </row>
    <row r="2141" spans="3:21" s="46" customFormat="1" x14ac:dyDescent="0.2">
      <c r="C2141" s="144"/>
      <c r="D2141" s="144"/>
      <c r="E2141" s="144"/>
      <c r="F2141" s="373"/>
      <c r="I2141" s="70"/>
      <c r="U2141" s="34"/>
    </row>
    <row r="2142" spans="3:21" s="46" customFormat="1" x14ac:dyDescent="0.2">
      <c r="C2142" s="144"/>
      <c r="D2142" s="144"/>
      <c r="E2142" s="144"/>
      <c r="F2142" s="373"/>
      <c r="I2142" s="70"/>
      <c r="U2142" s="34"/>
    </row>
    <row r="2143" spans="3:21" s="46" customFormat="1" x14ac:dyDescent="0.2">
      <c r="C2143" s="144"/>
      <c r="D2143" s="144"/>
      <c r="E2143" s="144"/>
      <c r="F2143" s="373"/>
      <c r="I2143" s="70"/>
      <c r="U2143" s="34"/>
    </row>
    <row r="2144" spans="3:21" s="46" customFormat="1" x14ac:dyDescent="0.2">
      <c r="C2144" s="144"/>
      <c r="D2144" s="144"/>
      <c r="E2144" s="144"/>
      <c r="F2144" s="373"/>
      <c r="I2144" s="70"/>
      <c r="U2144" s="34"/>
    </row>
    <row r="2145" spans="3:21" s="46" customFormat="1" x14ac:dyDescent="0.2">
      <c r="C2145" s="144"/>
      <c r="D2145" s="144"/>
      <c r="E2145" s="144"/>
      <c r="F2145" s="373"/>
      <c r="I2145" s="70"/>
      <c r="U2145" s="34"/>
    </row>
    <row r="2146" spans="3:21" s="46" customFormat="1" x14ac:dyDescent="0.2">
      <c r="C2146" s="144"/>
      <c r="D2146" s="144"/>
      <c r="E2146" s="144"/>
      <c r="F2146" s="373"/>
      <c r="I2146" s="70"/>
      <c r="U2146" s="34"/>
    </row>
    <row r="2147" spans="3:21" s="46" customFormat="1" x14ac:dyDescent="0.2">
      <c r="C2147" s="144"/>
      <c r="D2147" s="144"/>
      <c r="E2147" s="144"/>
      <c r="F2147" s="373"/>
      <c r="I2147" s="70"/>
      <c r="U2147" s="34"/>
    </row>
    <row r="2148" spans="3:21" s="46" customFormat="1" x14ac:dyDescent="0.2">
      <c r="C2148" s="144"/>
      <c r="D2148" s="144"/>
      <c r="E2148" s="144"/>
      <c r="F2148" s="373"/>
      <c r="I2148" s="70"/>
      <c r="U2148" s="34"/>
    </row>
    <row r="2149" spans="3:21" s="46" customFormat="1" x14ac:dyDescent="0.2">
      <c r="C2149" s="144"/>
      <c r="D2149" s="144"/>
      <c r="E2149" s="144"/>
      <c r="F2149" s="373"/>
      <c r="I2149" s="70"/>
      <c r="U2149" s="34"/>
    </row>
    <row r="2150" spans="3:21" s="46" customFormat="1" x14ac:dyDescent="0.2">
      <c r="C2150" s="144"/>
      <c r="D2150" s="144"/>
      <c r="E2150" s="144"/>
      <c r="F2150" s="373"/>
      <c r="I2150" s="70"/>
      <c r="U2150" s="34"/>
    </row>
    <row r="2151" spans="3:21" s="46" customFormat="1" x14ac:dyDescent="0.2">
      <c r="C2151" s="144"/>
      <c r="D2151" s="144"/>
      <c r="E2151" s="144"/>
      <c r="F2151" s="373"/>
      <c r="I2151" s="70"/>
      <c r="U2151" s="34"/>
    </row>
    <row r="2152" spans="3:21" s="46" customFormat="1" x14ac:dyDescent="0.2">
      <c r="C2152" s="144"/>
      <c r="D2152" s="144"/>
      <c r="E2152" s="144"/>
      <c r="F2152" s="373"/>
      <c r="I2152" s="70"/>
      <c r="U2152" s="34"/>
    </row>
    <row r="2153" spans="3:21" s="46" customFormat="1" x14ac:dyDescent="0.2">
      <c r="C2153" s="144"/>
      <c r="D2153" s="144"/>
      <c r="E2153" s="144"/>
      <c r="F2153" s="373"/>
      <c r="I2153" s="70"/>
      <c r="U2153" s="34"/>
    </row>
    <row r="2154" spans="3:21" s="46" customFormat="1" x14ac:dyDescent="0.2">
      <c r="C2154" s="144"/>
      <c r="D2154" s="144"/>
      <c r="E2154" s="144"/>
      <c r="F2154" s="373"/>
      <c r="I2154" s="70"/>
      <c r="U2154" s="34"/>
    </row>
    <row r="2155" spans="3:21" s="46" customFormat="1" x14ac:dyDescent="0.2">
      <c r="C2155" s="144"/>
      <c r="D2155" s="144"/>
      <c r="E2155" s="144"/>
      <c r="F2155" s="373"/>
      <c r="I2155" s="70"/>
      <c r="U2155" s="34"/>
    </row>
    <row r="2156" spans="3:21" s="46" customFormat="1" x14ac:dyDescent="0.2">
      <c r="C2156" s="144"/>
      <c r="D2156" s="144"/>
      <c r="E2156" s="144"/>
      <c r="F2156" s="373"/>
      <c r="I2156" s="70"/>
      <c r="U2156" s="34"/>
    </row>
    <row r="2157" spans="3:21" s="46" customFormat="1" x14ac:dyDescent="0.2">
      <c r="C2157" s="144"/>
      <c r="D2157" s="144"/>
      <c r="E2157" s="144"/>
      <c r="F2157" s="373"/>
      <c r="I2157" s="70"/>
      <c r="U2157" s="34"/>
    </row>
    <row r="2158" spans="3:21" s="46" customFormat="1" x14ac:dyDescent="0.2">
      <c r="C2158" s="144"/>
      <c r="D2158" s="144"/>
      <c r="E2158" s="144"/>
      <c r="F2158" s="373"/>
      <c r="I2158" s="70"/>
      <c r="U2158" s="34"/>
    </row>
    <row r="2159" spans="3:21" s="46" customFormat="1" x14ac:dyDescent="0.2">
      <c r="C2159" s="144"/>
      <c r="D2159" s="144"/>
      <c r="E2159" s="144"/>
      <c r="F2159" s="373"/>
      <c r="I2159" s="70"/>
      <c r="U2159" s="34"/>
    </row>
    <row r="2160" spans="3:21" s="46" customFormat="1" x14ac:dyDescent="0.2">
      <c r="C2160" s="144"/>
      <c r="D2160" s="144"/>
      <c r="E2160" s="144"/>
      <c r="F2160" s="373"/>
      <c r="I2160" s="70"/>
      <c r="U2160" s="34"/>
    </row>
    <row r="2161" spans="3:21" s="46" customFormat="1" x14ac:dyDescent="0.2">
      <c r="C2161" s="144"/>
      <c r="D2161" s="144"/>
      <c r="E2161" s="144"/>
      <c r="F2161" s="373"/>
      <c r="I2161" s="70"/>
      <c r="U2161" s="34"/>
    </row>
    <row r="2162" spans="3:21" s="46" customFormat="1" x14ac:dyDescent="0.2">
      <c r="C2162" s="144"/>
      <c r="D2162" s="144"/>
      <c r="E2162" s="144"/>
      <c r="F2162" s="373"/>
      <c r="I2162" s="70"/>
      <c r="U2162" s="34"/>
    </row>
    <row r="2163" spans="3:21" s="46" customFormat="1" x14ac:dyDescent="0.2">
      <c r="C2163" s="144"/>
      <c r="D2163" s="144"/>
      <c r="E2163" s="144"/>
      <c r="F2163" s="373"/>
      <c r="I2163" s="70"/>
      <c r="U2163" s="34"/>
    </row>
    <row r="2164" spans="3:21" s="46" customFormat="1" x14ac:dyDescent="0.2">
      <c r="C2164" s="144"/>
      <c r="D2164" s="144"/>
      <c r="E2164" s="144"/>
      <c r="F2164" s="373"/>
      <c r="I2164" s="70"/>
      <c r="U2164" s="34"/>
    </row>
    <row r="2165" spans="3:21" s="46" customFormat="1" x14ac:dyDescent="0.2">
      <c r="C2165" s="144"/>
      <c r="D2165" s="144"/>
      <c r="E2165" s="144"/>
      <c r="F2165" s="373"/>
      <c r="I2165" s="70"/>
      <c r="U2165" s="34"/>
    </row>
    <row r="2166" spans="3:21" s="46" customFormat="1" x14ac:dyDescent="0.2">
      <c r="C2166" s="144"/>
      <c r="D2166" s="144"/>
      <c r="E2166" s="144"/>
      <c r="F2166" s="373"/>
      <c r="I2166" s="70"/>
      <c r="U2166" s="34"/>
    </row>
    <row r="2167" spans="3:21" s="46" customFormat="1" x14ac:dyDescent="0.2">
      <c r="C2167" s="144"/>
      <c r="D2167" s="144"/>
      <c r="E2167" s="144"/>
      <c r="F2167" s="373"/>
      <c r="I2167" s="70"/>
      <c r="U2167" s="34"/>
    </row>
    <row r="2168" spans="3:21" s="46" customFormat="1" x14ac:dyDescent="0.2">
      <c r="C2168" s="144"/>
      <c r="D2168" s="144"/>
      <c r="E2168" s="144"/>
      <c r="F2168" s="373"/>
      <c r="I2168" s="70"/>
      <c r="U2168" s="34"/>
    </row>
    <row r="2169" spans="3:21" s="46" customFormat="1" x14ac:dyDescent="0.2">
      <c r="C2169" s="144"/>
      <c r="D2169" s="144"/>
      <c r="E2169" s="144"/>
      <c r="F2169" s="373"/>
      <c r="I2169" s="70"/>
      <c r="U2169" s="34"/>
    </row>
    <row r="2170" spans="3:21" s="46" customFormat="1" x14ac:dyDescent="0.2">
      <c r="C2170" s="144"/>
      <c r="D2170" s="144"/>
      <c r="E2170" s="144"/>
      <c r="F2170" s="373"/>
      <c r="I2170" s="70"/>
      <c r="U2170" s="34"/>
    </row>
    <row r="2171" spans="3:21" s="46" customFormat="1" x14ac:dyDescent="0.2">
      <c r="C2171" s="144"/>
      <c r="D2171" s="144"/>
      <c r="E2171" s="144"/>
      <c r="F2171" s="373"/>
      <c r="I2171" s="70"/>
      <c r="U2171" s="34"/>
    </row>
    <row r="2172" spans="3:21" s="46" customFormat="1" x14ac:dyDescent="0.2">
      <c r="C2172" s="144"/>
      <c r="D2172" s="144"/>
      <c r="E2172" s="144"/>
      <c r="F2172" s="373"/>
      <c r="I2172" s="70"/>
      <c r="U2172" s="34"/>
    </row>
    <row r="2173" spans="3:21" s="46" customFormat="1" x14ac:dyDescent="0.2">
      <c r="C2173" s="144"/>
      <c r="D2173" s="144"/>
      <c r="E2173" s="144"/>
      <c r="F2173" s="373"/>
      <c r="I2173" s="70"/>
      <c r="U2173" s="34"/>
    </row>
    <row r="2174" spans="3:21" s="46" customFormat="1" x14ac:dyDescent="0.2">
      <c r="C2174" s="144"/>
      <c r="D2174" s="144"/>
      <c r="E2174" s="144"/>
      <c r="F2174" s="373"/>
      <c r="I2174" s="70"/>
      <c r="U2174" s="34"/>
    </row>
    <row r="2175" spans="3:21" s="46" customFormat="1" x14ac:dyDescent="0.2">
      <c r="C2175" s="144"/>
      <c r="D2175" s="144"/>
      <c r="E2175" s="144"/>
      <c r="F2175" s="373"/>
      <c r="I2175" s="70"/>
      <c r="U2175" s="34"/>
    </row>
    <row r="2176" spans="3:21" s="46" customFormat="1" x14ac:dyDescent="0.2">
      <c r="C2176" s="144"/>
      <c r="D2176" s="144"/>
      <c r="E2176" s="144"/>
      <c r="F2176" s="373"/>
      <c r="I2176" s="70"/>
      <c r="U2176" s="34"/>
    </row>
    <row r="2177" spans="3:21" s="46" customFormat="1" x14ac:dyDescent="0.2">
      <c r="C2177" s="144"/>
      <c r="D2177" s="144"/>
      <c r="E2177" s="144"/>
      <c r="F2177" s="373"/>
      <c r="I2177" s="70"/>
      <c r="U2177" s="34"/>
    </row>
    <row r="2178" spans="3:21" s="46" customFormat="1" x14ac:dyDescent="0.2">
      <c r="C2178" s="144"/>
      <c r="D2178" s="144"/>
      <c r="E2178" s="144"/>
      <c r="F2178" s="373"/>
      <c r="I2178" s="70"/>
      <c r="U2178" s="34"/>
    </row>
    <row r="2179" spans="3:21" s="46" customFormat="1" x14ac:dyDescent="0.2">
      <c r="C2179" s="144"/>
      <c r="D2179" s="144"/>
      <c r="E2179" s="144"/>
      <c r="F2179" s="373"/>
      <c r="I2179" s="70"/>
      <c r="U2179" s="34"/>
    </row>
    <row r="2180" spans="3:21" s="46" customFormat="1" x14ac:dyDescent="0.2">
      <c r="C2180" s="144"/>
      <c r="D2180" s="144"/>
      <c r="E2180" s="144"/>
      <c r="F2180" s="373"/>
      <c r="I2180" s="70"/>
      <c r="U2180" s="34"/>
    </row>
    <row r="2181" spans="3:21" s="46" customFormat="1" x14ac:dyDescent="0.2">
      <c r="C2181" s="144"/>
      <c r="D2181" s="144"/>
      <c r="E2181" s="144"/>
      <c r="F2181" s="373"/>
      <c r="I2181" s="70"/>
      <c r="U2181" s="34"/>
    </row>
    <row r="2182" spans="3:21" s="46" customFormat="1" x14ac:dyDescent="0.2">
      <c r="C2182" s="144"/>
      <c r="D2182" s="144"/>
      <c r="E2182" s="144"/>
      <c r="F2182" s="373"/>
      <c r="I2182" s="70"/>
      <c r="U2182" s="34"/>
    </row>
    <row r="2183" spans="3:21" s="46" customFormat="1" x14ac:dyDescent="0.2">
      <c r="C2183" s="144"/>
      <c r="D2183" s="144"/>
      <c r="E2183" s="144"/>
      <c r="F2183" s="373"/>
      <c r="I2183" s="70"/>
      <c r="U2183" s="34"/>
    </row>
    <row r="2184" spans="3:21" s="46" customFormat="1" x14ac:dyDescent="0.2">
      <c r="C2184" s="144"/>
      <c r="D2184" s="144"/>
      <c r="E2184" s="144"/>
      <c r="F2184" s="373"/>
      <c r="I2184" s="70"/>
      <c r="U2184" s="34"/>
    </row>
    <row r="2185" spans="3:21" s="46" customFormat="1" x14ac:dyDescent="0.2">
      <c r="C2185" s="144"/>
      <c r="D2185" s="144"/>
      <c r="E2185" s="144"/>
      <c r="F2185" s="373"/>
      <c r="I2185" s="70"/>
      <c r="U2185" s="34"/>
    </row>
    <row r="2186" spans="3:21" s="46" customFormat="1" x14ac:dyDescent="0.2">
      <c r="C2186" s="144"/>
      <c r="D2186" s="144"/>
      <c r="E2186" s="144"/>
      <c r="F2186" s="373"/>
      <c r="I2186" s="70"/>
      <c r="U2186" s="34"/>
    </row>
    <row r="2187" spans="3:21" s="46" customFormat="1" x14ac:dyDescent="0.2">
      <c r="C2187" s="144"/>
      <c r="D2187" s="144"/>
      <c r="E2187" s="144"/>
      <c r="F2187" s="373"/>
      <c r="I2187" s="70"/>
      <c r="U2187" s="34"/>
    </row>
    <row r="2188" spans="3:21" s="46" customFormat="1" x14ac:dyDescent="0.2">
      <c r="C2188" s="144"/>
      <c r="D2188" s="144"/>
      <c r="E2188" s="144"/>
      <c r="F2188" s="373"/>
      <c r="I2188" s="70"/>
      <c r="U2188" s="34"/>
    </row>
    <row r="2189" spans="3:21" s="46" customFormat="1" x14ac:dyDescent="0.2">
      <c r="C2189" s="144"/>
      <c r="D2189" s="144"/>
      <c r="E2189" s="144"/>
      <c r="F2189" s="373"/>
      <c r="I2189" s="70"/>
      <c r="U2189" s="34"/>
    </row>
    <row r="2190" spans="3:21" s="46" customFormat="1" x14ac:dyDescent="0.2">
      <c r="C2190" s="144"/>
      <c r="D2190" s="144"/>
      <c r="E2190" s="144"/>
      <c r="F2190" s="373"/>
      <c r="I2190" s="70"/>
      <c r="U2190" s="34"/>
    </row>
    <row r="2191" spans="3:21" s="46" customFormat="1" x14ac:dyDescent="0.2">
      <c r="C2191" s="144"/>
      <c r="D2191" s="144"/>
      <c r="E2191" s="144"/>
      <c r="F2191" s="373"/>
      <c r="I2191" s="70"/>
      <c r="U2191" s="34"/>
    </row>
    <row r="2192" spans="3:21" s="46" customFormat="1" x14ac:dyDescent="0.2">
      <c r="C2192" s="144"/>
      <c r="D2192" s="144"/>
      <c r="E2192" s="144"/>
      <c r="F2192" s="373"/>
      <c r="I2192" s="70"/>
      <c r="U2192" s="34"/>
    </row>
    <row r="2193" spans="3:21" s="46" customFormat="1" x14ac:dyDescent="0.2">
      <c r="C2193" s="144"/>
      <c r="D2193" s="144"/>
      <c r="E2193" s="144"/>
      <c r="F2193" s="373"/>
      <c r="I2193" s="70"/>
      <c r="U2193" s="34"/>
    </row>
    <row r="2194" spans="3:21" s="46" customFormat="1" x14ac:dyDescent="0.2">
      <c r="C2194" s="144"/>
      <c r="D2194" s="144"/>
      <c r="E2194" s="144"/>
      <c r="F2194" s="373"/>
      <c r="I2194" s="70"/>
      <c r="U2194" s="34"/>
    </row>
    <row r="2195" spans="3:21" s="46" customFormat="1" x14ac:dyDescent="0.2">
      <c r="C2195" s="144"/>
      <c r="D2195" s="144"/>
      <c r="E2195" s="144"/>
      <c r="F2195" s="373"/>
      <c r="I2195" s="70"/>
      <c r="U2195" s="34"/>
    </row>
    <row r="2196" spans="3:21" s="46" customFormat="1" x14ac:dyDescent="0.2">
      <c r="C2196" s="144"/>
      <c r="D2196" s="144"/>
      <c r="E2196" s="144"/>
      <c r="F2196" s="373"/>
      <c r="I2196" s="70"/>
      <c r="U2196" s="34"/>
    </row>
    <row r="2197" spans="3:21" s="46" customFormat="1" x14ac:dyDescent="0.2">
      <c r="C2197" s="144"/>
      <c r="D2197" s="144"/>
      <c r="E2197" s="144"/>
      <c r="F2197" s="373"/>
      <c r="I2197" s="70"/>
      <c r="U2197" s="34"/>
    </row>
    <row r="2198" spans="3:21" s="46" customFormat="1" x14ac:dyDescent="0.2">
      <c r="C2198" s="144"/>
      <c r="D2198" s="144"/>
      <c r="E2198" s="144"/>
      <c r="F2198" s="373"/>
      <c r="I2198" s="70"/>
      <c r="U2198" s="34"/>
    </row>
    <row r="2199" spans="3:21" s="46" customFormat="1" x14ac:dyDescent="0.2">
      <c r="C2199" s="144"/>
      <c r="D2199" s="144"/>
      <c r="E2199" s="144"/>
      <c r="F2199" s="373"/>
      <c r="I2199" s="70"/>
      <c r="U2199" s="34"/>
    </row>
    <row r="2200" spans="3:21" s="46" customFormat="1" x14ac:dyDescent="0.2">
      <c r="C2200" s="144"/>
      <c r="D2200" s="144"/>
      <c r="E2200" s="144"/>
      <c r="F2200" s="373"/>
      <c r="I2200" s="70"/>
      <c r="U2200" s="34"/>
    </row>
    <row r="2201" spans="3:21" s="46" customFormat="1" x14ac:dyDescent="0.2">
      <c r="C2201" s="144"/>
      <c r="D2201" s="144"/>
      <c r="E2201" s="144"/>
      <c r="F2201" s="373"/>
      <c r="I2201" s="70"/>
      <c r="U2201" s="34"/>
    </row>
    <row r="2202" spans="3:21" s="46" customFormat="1" x14ac:dyDescent="0.2">
      <c r="C2202" s="144"/>
      <c r="D2202" s="144"/>
      <c r="E2202" s="144"/>
      <c r="F2202" s="373"/>
      <c r="I2202" s="70"/>
      <c r="U2202" s="34"/>
    </row>
    <row r="2203" spans="3:21" s="46" customFormat="1" x14ac:dyDescent="0.2">
      <c r="C2203" s="144"/>
      <c r="D2203" s="144"/>
      <c r="E2203" s="144"/>
      <c r="F2203" s="373"/>
      <c r="I2203" s="70"/>
      <c r="U2203" s="34"/>
    </row>
    <row r="2204" spans="3:21" s="46" customFormat="1" x14ac:dyDescent="0.2">
      <c r="C2204" s="144"/>
      <c r="D2204" s="144"/>
      <c r="E2204" s="144"/>
      <c r="F2204" s="373"/>
      <c r="I2204" s="70"/>
      <c r="U2204" s="34"/>
    </row>
    <row r="2205" spans="3:21" s="46" customFormat="1" x14ac:dyDescent="0.2">
      <c r="C2205" s="144"/>
      <c r="D2205" s="144"/>
      <c r="E2205" s="144"/>
      <c r="F2205" s="373"/>
      <c r="I2205" s="70"/>
      <c r="U2205" s="34"/>
    </row>
    <row r="2206" spans="3:21" s="46" customFormat="1" x14ac:dyDescent="0.2">
      <c r="C2206" s="144"/>
      <c r="D2206" s="144"/>
      <c r="E2206" s="144"/>
      <c r="F2206" s="373"/>
      <c r="I2206" s="70"/>
      <c r="U2206" s="34"/>
    </row>
    <row r="2207" spans="3:21" s="46" customFormat="1" x14ac:dyDescent="0.2">
      <c r="C2207" s="144"/>
      <c r="D2207" s="144"/>
      <c r="E2207" s="144"/>
      <c r="F2207" s="373"/>
      <c r="I2207" s="70"/>
      <c r="U2207" s="34"/>
    </row>
    <row r="2208" spans="3:21" s="46" customFormat="1" x14ac:dyDescent="0.2">
      <c r="C2208" s="144"/>
      <c r="D2208" s="144"/>
      <c r="E2208" s="144"/>
      <c r="F2208" s="373"/>
      <c r="I2208" s="70"/>
      <c r="U2208" s="34"/>
    </row>
    <row r="2209" spans="3:21" s="46" customFormat="1" x14ac:dyDescent="0.2">
      <c r="C2209" s="144"/>
      <c r="D2209" s="144"/>
      <c r="E2209" s="144"/>
      <c r="F2209" s="373"/>
      <c r="I2209" s="70"/>
      <c r="U2209" s="34"/>
    </row>
    <row r="2210" spans="3:21" s="46" customFormat="1" x14ac:dyDescent="0.2">
      <c r="C2210" s="144"/>
      <c r="D2210" s="144"/>
      <c r="E2210" s="144"/>
      <c r="F2210" s="373"/>
      <c r="I2210" s="70"/>
      <c r="U2210" s="34"/>
    </row>
    <row r="2211" spans="3:21" s="46" customFormat="1" x14ac:dyDescent="0.2">
      <c r="C2211" s="144"/>
      <c r="D2211" s="144"/>
      <c r="E2211" s="144"/>
      <c r="F2211" s="373"/>
      <c r="I2211" s="70"/>
      <c r="U2211" s="34"/>
    </row>
    <row r="2212" spans="3:21" s="46" customFormat="1" x14ac:dyDescent="0.2">
      <c r="C2212" s="144"/>
      <c r="D2212" s="144"/>
      <c r="E2212" s="144"/>
      <c r="F2212" s="373"/>
      <c r="I2212" s="70"/>
      <c r="U2212" s="34"/>
    </row>
    <row r="2213" spans="3:21" s="46" customFormat="1" x14ac:dyDescent="0.2">
      <c r="C2213" s="144"/>
      <c r="D2213" s="144"/>
      <c r="E2213" s="144"/>
      <c r="F2213" s="373"/>
      <c r="I2213" s="70"/>
      <c r="U2213" s="34"/>
    </row>
    <row r="2214" spans="3:21" s="46" customFormat="1" x14ac:dyDescent="0.2">
      <c r="C2214" s="144"/>
      <c r="D2214" s="144"/>
      <c r="E2214" s="144"/>
      <c r="F2214" s="373"/>
      <c r="I2214" s="70"/>
      <c r="U2214" s="34"/>
    </row>
    <row r="2215" spans="3:21" s="46" customFormat="1" x14ac:dyDescent="0.2">
      <c r="C2215" s="144"/>
      <c r="D2215" s="144"/>
      <c r="E2215" s="144"/>
      <c r="F2215" s="373"/>
      <c r="I2215" s="70"/>
      <c r="U2215" s="34"/>
    </row>
    <row r="2216" spans="3:21" s="46" customFormat="1" x14ac:dyDescent="0.2">
      <c r="C2216" s="144"/>
      <c r="D2216" s="144"/>
      <c r="E2216" s="144"/>
      <c r="F2216" s="373"/>
      <c r="I2216" s="70"/>
      <c r="U2216" s="34"/>
    </row>
    <row r="2217" spans="3:21" s="46" customFormat="1" x14ac:dyDescent="0.2">
      <c r="C2217" s="144"/>
      <c r="D2217" s="144"/>
      <c r="E2217" s="144"/>
      <c r="F2217" s="373"/>
      <c r="I2217" s="70"/>
      <c r="U2217" s="34"/>
    </row>
    <row r="2218" spans="3:21" s="46" customFormat="1" x14ac:dyDescent="0.2">
      <c r="C2218" s="144"/>
      <c r="D2218" s="144"/>
      <c r="E2218" s="144"/>
      <c r="F2218" s="373"/>
      <c r="I2218" s="70"/>
      <c r="U2218" s="34"/>
    </row>
    <row r="2219" spans="3:21" s="46" customFormat="1" x14ac:dyDescent="0.2">
      <c r="C2219" s="144"/>
      <c r="D2219" s="144"/>
      <c r="E2219" s="144"/>
      <c r="F2219" s="373"/>
      <c r="I2219" s="70"/>
      <c r="U2219" s="34"/>
    </row>
    <row r="2220" spans="3:21" s="46" customFormat="1" x14ac:dyDescent="0.2">
      <c r="C2220" s="144"/>
      <c r="D2220" s="144"/>
      <c r="E2220" s="144"/>
      <c r="F2220" s="373"/>
      <c r="I2220" s="70"/>
      <c r="U2220" s="34"/>
    </row>
    <row r="2221" spans="3:21" s="46" customFormat="1" x14ac:dyDescent="0.2">
      <c r="C2221" s="144"/>
      <c r="D2221" s="144"/>
      <c r="E2221" s="144"/>
      <c r="F2221" s="373"/>
      <c r="I2221" s="70"/>
      <c r="U2221" s="34"/>
    </row>
    <row r="2222" spans="3:21" s="46" customFormat="1" x14ac:dyDescent="0.2">
      <c r="C2222" s="144"/>
      <c r="D2222" s="144"/>
      <c r="E2222" s="144"/>
      <c r="F2222" s="373"/>
      <c r="I2222" s="70"/>
      <c r="U2222" s="34"/>
    </row>
    <row r="2223" spans="3:21" s="46" customFormat="1" x14ac:dyDescent="0.2">
      <c r="C2223" s="144"/>
      <c r="D2223" s="144"/>
      <c r="E2223" s="144"/>
      <c r="F2223" s="373"/>
      <c r="I2223" s="70"/>
      <c r="U2223" s="34"/>
    </row>
    <row r="2224" spans="3:21" s="46" customFormat="1" x14ac:dyDescent="0.2">
      <c r="C2224" s="144"/>
      <c r="D2224" s="144"/>
      <c r="E2224" s="144"/>
      <c r="F2224" s="373"/>
      <c r="I2224" s="70"/>
      <c r="U2224" s="34"/>
    </row>
    <row r="2225" spans="3:21" s="46" customFormat="1" x14ac:dyDescent="0.2">
      <c r="C2225" s="144"/>
      <c r="D2225" s="144"/>
      <c r="E2225" s="144"/>
      <c r="F2225" s="373"/>
      <c r="I2225" s="70"/>
      <c r="U2225" s="34"/>
    </row>
    <row r="2226" spans="3:21" s="46" customFormat="1" x14ac:dyDescent="0.2">
      <c r="C2226" s="144"/>
      <c r="D2226" s="144"/>
      <c r="E2226" s="144"/>
      <c r="F2226" s="373"/>
      <c r="I2226" s="70"/>
      <c r="U2226" s="34"/>
    </row>
    <row r="2227" spans="3:21" s="46" customFormat="1" x14ac:dyDescent="0.2">
      <c r="C2227" s="144"/>
      <c r="D2227" s="144"/>
      <c r="E2227" s="144"/>
      <c r="F2227" s="373"/>
      <c r="I2227" s="70"/>
      <c r="U2227" s="34"/>
    </row>
    <row r="2228" spans="3:21" s="46" customFormat="1" x14ac:dyDescent="0.2">
      <c r="C2228" s="144"/>
      <c r="D2228" s="144"/>
      <c r="E2228" s="144"/>
      <c r="F2228" s="373"/>
      <c r="I2228" s="70"/>
      <c r="U2228" s="34"/>
    </row>
    <row r="2229" spans="3:21" s="46" customFormat="1" x14ac:dyDescent="0.2">
      <c r="C2229" s="144"/>
      <c r="D2229" s="144"/>
      <c r="E2229" s="144"/>
      <c r="F2229" s="373"/>
      <c r="I2229" s="70"/>
      <c r="U2229" s="34"/>
    </row>
    <row r="2230" spans="3:21" s="46" customFormat="1" x14ac:dyDescent="0.2">
      <c r="C2230" s="144"/>
      <c r="D2230" s="144"/>
      <c r="E2230" s="144"/>
      <c r="F2230" s="373"/>
      <c r="I2230" s="70"/>
      <c r="U2230" s="34"/>
    </row>
    <row r="2231" spans="3:21" s="46" customFormat="1" x14ac:dyDescent="0.2">
      <c r="C2231" s="144"/>
      <c r="D2231" s="144"/>
      <c r="E2231" s="144"/>
      <c r="F2231" s="373"/>
      <c r="I2231" s="70"/>
      <c r="U2231" s="34"/>
    </row>
    <row r="2232" spans="3:21" s="46" customFormat="1" x14ac:dyDescent="0.2">
      <c r="C2232" s="144"/>
      <c r="D2232" s="144"/>
      <c r="E2232" s="144"/>
      <c r="F2232" s="373"/>
      <c r="I2232" s="70"/>
      <c r="U2232" s="34"/>
    </row>
    <row r="2233" spans="3:21" s="46" customFormat="1" x14ac:dyDescent="0.2">
      <c r="C2233" s="144"/>
      <c r="D2233" s="144"/>
      <c r="E2233" s="144"/>
      <c r="F2233" s="373"/>
      <c r="I2233" s="70"/>
      <c r="U2233" s="34"/>
    </row>
    <row r="2234" spans="3:21" s="46" customFormat="1" x14ac:dyDescent="0.2">
      <c r="C2234" s="144"/>
      <c r="D2234" s="144"/>
      <c r="E2234" s="144"/>
      <c r="F2234" s="373"/>
      <c r="I2234" s="70"/>
      <c r="U2234" s="34"/>
    </row>
    <row r="2235" spans="3:21" s="46" customFormat="1" x14ac:dyDescent="0.2">
      <c r="C2235" s="144"/>
      <c r="D2235" s="144"/>
      <c r="E2235" s="144"/>
      <c r="F2235" s="373"/>
      <c r="I2235" s="70"/>
      <c r="U2235" s="34"/>
    </row>
    <row r="2236" spans="3:21" s="46" customFormat="1" x14ac:dyDescent="0.2">
      <c r="C2236" s="144"/>
      <c r="D2236" s="144"/>
      <c r="E2236" s="144"/>
      <c r="F2236" s="373"/>
      <c r="I2236" s="70"/>
      <c r="U2236" s="34"/>
    </row>
    <row r="2237" spans="3:21" s="46" customFormat="1" x14ac:dyDescent="0.2">
      <c r="C2237" s="144"/>
      <c r="D2237" s="144"/>
      <c r="E2237" s="144"/>
      <c r="F2237" s="373"/>
      <c r="I2237" s="70"/>
      <c r="U2237" s="34"/>
    </row>
    <row r="2238" spans="3:21" s="46" customFormat="1" x14ac:dyDescent="0.2">
      <c r="C2238" s="144"/>
      <c r="D2238" s="144"/>
      <c r="E2238" s="144"/>
      <c r="F2238" s="373"/>
      <c r="I2238" s="70"/>
      <c r="U2238" s="34"/>
    </row>
    <row r="2239" spans="3:21" s="46" customFormat="1" x14ac:dyDescent="0.2">
      <c r="C2239" s="144"/>
      <c r="D2239" s="144"/>
      <c r="E2239" s="144"/>
      <c r="F2239" s="373"/>
      <c r="I2239" s="70"/>
      <c r="U2239" s="34"/>
    </row>
    <row r="2240" spans="3:21" s="46" customFormat="1" x14ac:dyDescent="0.2">
      <c r="C2240" s="144"/>
      <c r="D2240" s="144"/>
      <c r="E2240" s="144"/>
      <c r="F2240" s="373"/>
      <c r="I2240" s="70"/>
      <c r="U2240" s="34"/>
    </row>
    <row r="2241" spans="3:21" s="46" customFormat="1" x14ac:dyDescent="0.2">
      <c r="C2241" s="144"/>
      <c r="D2241" s="144"/>
      <c r="E2241" s="144"/>
      <c r="F2241" s="373"/>
      <c r="I2241" s="70"/>
      <c r="U2241" s="34"/>
    </row>
    <row r="2242" spans="3:21" s="46" customFormat="1" x14ac:dyDescent="0.2">
      <c r="C2242" s="144"/>
      <c r="D2242" s="144"/>
      <c r="E2242" s="144"/>
      <c r="F2242" s="373"/>
      <c r="I2242" s="70"/>
      <c r="U2242" s="34"/>
    </row>
    <row r="2243" spans="3:21" s="46" customFormat="1" x14ac:dyDescent="0.2">
      <c r="C2243" s="144"/>
      <c r="D2243" s="144"/>
      <c r="E2243" s="144"/>
      <c r="F2243" s="373"/>
      <c r="I2243" s="70"/>
      <c r="U2243" s="34"/>
    </row>
    <row r="2244" spans="3:21" s="46" customFormat="1" x14ac:dyDescent="0.2">
      <c r="C2244" s="144"/>
      <c r="D2244" s="144"/>
      <c r="E2244" s="144"/>
      <c r="F2244" s="373"/>
      <c r="I2244" s="70"/>
      <c r="U2244" s="34"/>
    </row>
    <row r="2245" spans="3:21" s="46" customFormat="1" x14ac:dyDescent="0.2">
      <c r="C2245" s="144"/>
      <c r="D2245" s="144"/>
      <c r="E2245" s="144"/>
      <c r="F2245" s="373"/>
      <c r="I2245" s="70"/>
      <c r="U2245" s="34"/>
    </row>
    <row r="2246" spans="3:21" s="46" customFormat="1" x14ac:dyDescent="0.2">
      <c r="C2246" s="144"/>
      <c r="D2246" s="144"/>
      <c r="E2246" s="144"/>
      <c r="F2246" s="373"/>
      <c r="I2246" s="70"/>
      <c r="U2246" s="34"/>
    </row>
    <row r="2247" spans="3:21" s="46" customFormat="1" x14ac:dyDescent="0.2">
      <c r="C2247" s="144"/>
      <c r="D2247" s="144"/>
      <c r="E2247" s="144"/>
      <c r="F2247" s="373"/>
      <c r="I2247" s="70"/>
      <c r="U2247" s="34"/>
    </row>
    <row r="2248" spans="3:21" s="46" customFormat="1" x14ac:dyDescent="0.2">
      <c r="C2248" s="144"/>
      <c r="D2248" s="144"/>
      <c r="E2248" s="144"/>
      <c r="F2248" s="373"/>
      <c r="I2248" s="70"/>
      <c r="U2248" s="34"/>
    </row>
    <row r="2249" spans="3:21" s="46" customFormat="1" x14ac:dyDescent="0.2">
      <c r="C2249" s="144"/>
      <c r="D2249" s="144"/>
      <c r="E2249" s="144"/>
      <c r="F2249" s="373"/>
      <c r="I2249" s="70"/>
      <c r="U2249" s="34"/>
    </row>
    <row r="2250" spans="3:21" s="46" customFormat="1" x14ac:dyDescent="0.2">
      <c r="C2250" s="144"/>
      <c r="D2250" s="144"/>
      <c r="E2250" s="144"/>
      <c r="F2250" s="373"/>
      <c r="I2250" s="70"/>
      <c r="U2250" s="34"/>
    </row>
    <row r="2251" spans="3:21" s="46" customFormat="1" x14ac:dyDescent="0.2">
      <c r="C2251" s="144"/>
      <c r="D2251" s="144"/>
      <c r="E2251" s="144"/>
      <c r="F2251" s="373"/>
      <c r="I2251" s="70"/>
      <c r="U2251" s="34"/>
    </row>
    <row r="2252" spans="3:21" s="46" customFormat="1" x14ac:dyDescent="0.2">
      <c r="C2252" s="144"/>
      <c r="D2252" s="144"/>
      <c r="E2252" s="144"/>
      <c r="F2252" s="373"/>
      <c r="I2252" s="70"/>
      <c r="U2252" s="34"/>
    </row>
    <row r="2253" spans="3:21" s="46" customFormat="1" x14ac:dyDescent="0.2">
      <c r="C2253" s="144"/>
      <c r="D2253" s="144"/>
      <c r="E2253" s="144"/>
      <c r="F2253" s="373"/>
      <c r="I2253" s="70"/>
      <c r="U2253" s="34"/>
    </row>
    <row r="2254" spans="3:21" s="46" customFormat="1" x14ac:dyDescent="0.2">
      <c r="C2254" s="144"/>
      <c r="D2254" s="144"/>
      <c r="E2254" s="144"/>
      <c r="F2254" s="373"/>
      <c r="I2254" s="70"/>
      <c r="U2254" s="34"/>
    </row>
    <row r="2255" spans="3:21" s="46" customFormat="1" x14ac:dyDescent="0.2">
      <c r="C2255" s="144"/>
      <c r="D2255" s="144"/>
      <c r="E2255" s="144"/>
      <c r="F2255" s="373"/>
      <c r="I2255" s="70"/>
      <c r="U2255" s="34"/>
    </row>
    <row r="2256" spans="3:21" s="46" customFormat="1" x14ac:dyDescent="0.2">
      <c r="C2256" s="144"/>
      <c r="D2256" s="144"/>
      <c r="E2256" s="144"/>
      <c r="F2256" s="373"/>
      <c r="I2256" s="70"/>
      <c r="U2256" s="34"/>
    </row>
    <row r="2257" spans="3:21" s="46" customFormat="1" x14ac:dyDescent="0.2">
      <c r="C2257" s="144"/>
      <c r="D2257" s="144"/>
      <c r="E2257" s="144"/>
      <c r="F2257" s="373"/>
      <c r="I2257" s="70"/>
      <c r="U2257" s="34"/>
    </row>
    <row r="2258" spans="3:21" s="46" customFormat="1" x14ac:dyDescent="0.2">
      <c r="C2258" s="144"/>
      <c r="D2258" s="144"/>
      <c r="E2258" s="144"/>
      <c r="F2258" s="373"/>
      <c r="I2258" s="70"/>
      <c r="U2258" s="34"/>
    </row>
    <row r="2259" spans="3:21" s="46" customFormat="1" x14ac:dyDescent="0.2">
      <c r="C2259" s="144"/>
      <c r="D2259" s="144"/>
      <c r="E2259" s="144"/>
      <c r="F2259" s="373"/>
      <c r="I2259" s="70"/>
      <c r="U2259" s="34"/>
    </row>
    <row r="2260" spans="3:21" s="46" customFormat="1" x14ac:dyDescent="0.2">
      <c r="C2260" s="144"/>
      <c r="D2260" s="144"/>
      <c r="E2260" s="144"/>
      <c r="F2260" s="373"/>
      <c r="I2260" s="70"/>
      <c r="U2260" s="34"/>
    </row>
    <row r="2261" spans="3:21" s="46" customFormat="1" x14ac:dyDescent="0.2">
      <c r="C2261" s="144"/>
      <c r="D2261" s="144"/>
      <c r="E2261" s="144"/>
      <c r="F2261" s="373"/>
      <c r="I2261" s="70"/>
      <c r="U2261" s="34"/>
    </row>
    <row r="2262" spans="3:21" s="46" customFormat="1" x14ac:dyDescent="0.2">
      <c r="C2262" s="144"/>
      <c r="D2262" s="144"/>
      <c r="E2262" s="144"/>
      <c r="F2262" s="373"/>
      <c r="I2262" s="70"/>
      <c r="U2262" s="34"/>
    </row>
    <row r="2263" spans="3:21" s="46" customFormat="1" x14ac:dyDescent="0.2">
      <c r="C2263" s="144"/>
      <c r="D2263" s="144"/>
      <c r="E2263" s="144"/>
      <c r="F2263" s="373"/>
      <c r="I2263" s="70"/>
      <c r="U2263" s="34"/>
    </row>
    <row r="2264" spans="3:21" s="46" customFormat="1" x14ac:dyDescent="0.2">
      <c r="C2264" s="144"/>
      <c r="D2264" s="144"/>
      <c r="E2264" s="144"/>
      <c r="F2264" s="373"/>
      <c r="I2264" s="70"/>
      <c r="U2264" s="34"/>
    </row>
    <row r="2265" spans="3:21" s="46" customFormat="1" x14ac:dyDescent="0.2">
      <c r="C2265" s="144"/>
      <c r="D2265" s="144"/>
      <c r="E2265" s="144"/>
      <c r="F2265" s="373"/>
      <c r="I2265" s="70"/>
      <c r="U2265" s="34"/>
    </row>
    <row r="2266" spans="3:21" s="46" customFormat="1" x14ac:dyDescent="0.2">
      <c r="C2266" s="144"/>
      <c r="D2266" s="144"/>
      <c r="E2266" s="144"/>
      <c r="F2266" s="373"/>
      <c r="I2266" s="70"/>
      <c r="U2266" s="34"/>
    </row>
    <row r="2267" spans="3:21" s="46" customFormat="1" x14ac:dyDescent="0.2">
      <c r="C2267" s="144"/>
      <c r="D2267" s="144"/>
      <c r="E2267" s="144"/>
      <c r="F2267" s="373"/>
      <c r="I2267" s="70"/>
      <c r="U2267" s="34"/>
    </row>
    <row r="2268" spans="3:21" s="46" customFormat="1" x14ac:dyDescent="0.2">
      <c r="C2268" s="144"/>
      <c r="D2268" s="144"/>
      <c r="E2268" s="144"/>
      <c r="F2268" s="373"/>
      <c r="I2268" s="70"/>
      <c r="U2268" s="34"/>
    </row>
    <row r="2269" spans="3:21" s="46" customFormat="1" x14ac:dyDescent="0.2">
      <c r="C2269" s="144"/>
      <c r="D2269" s="144"/>
      <c r="E2269" s="144"/>
      <c r="F2269" s="373"/>
      <c r="I2269" s="70"/>
      <c r="U2269" s="34"/>
    </row>
    <row r="2270" spans="3:21" s="46" customFormat="1" x14ac:dyDescent="0.2">
      <c r="C2270" s="144"/>
      <c r="D2270" s="144"/>
      <c r="E2270" s="144"/>
      <c r="F2270" s="373"/>
      <c r="I2270" s="70"/>
      <c r="U2270" s="34"/>
    </row>
    <row r="2271" spans="3:21" s="46" customFormat="1" x14ac:dyDescent="0.2">
      <c r="C2271" s="144"/>
      <c r="D2271" s="144"/>
      <c r="E2271" s="144"/>
      <c r="F2271" s="373"/>
      <c r="I2271" s="70"/>
      <c r="U2271" s="34"/>
    </row>
    <row r="2272" spans="3:21" s="46" customFormat="1" x14ac:dyDescent="0.2">
      <c r="C2272" s="144"/>
      <c r="D2272" s="144"/>
      <c r="E2272" s="144"/>
      <c r="F2272" s="373"/>
      <c r="I2272" s="70"/>
      <c r="U2272" s="34"/>
    </row>
    <row r="2273" spans="3:21" s="46" customFormat="1" x14ac:dyDescent="0.2">
      <c r="C2273" s="144"/>
      <c r="D2273" s="144"/>
      <c r="E2273" s="144"/>
      <c r="F2273" s="373"/>
      <c r="I2273" s="70"/>
      <c r="U2273" s="34"/>
    </row>
    <row r="2274" spans="3:21" s="46" customFormat="1" x14ac:dyDescent="0.2">
      <c r="C2274" s="144"/>
      <c r="D2274" s="144"/>
      <c r="E2274" s="144"/>
      <c r="F2274" s="373"/>
      <c r="I2274" s="70"/>
      <c r="U2274" s="34"/>
    </row>
    <row r="2275" spans="3:21" s="46" customFormat="1" x14ac:dyDescent="0.2">
      <c r="C2275" s="144"/>
      <c r="D2275" s="144"/>
      <c r="E2275" s="144"/>
      <c r="F2275" s="373"/>
      <c r="I2275" s="70"/>
      <c r="U2275" s="34"/>
    </row>
    <row r="2276" spans="3:21" s="46" customFormat="1" x14ac:dyDescent="0.2">
      <c r="C2276" s="144"/>
      <c r="D2276" s="144"/>
      <c r="E2276" s="144"/>
      <c r="F2276" s="373"/>
      <c r="I2276" s="70"/>
      <c r="U2276" s="34"/>
    </row>
    <row r="2277" spans="3:21" s="46" customFormat="1" x14ac:dyDescent="0.2">
      <c r="C2277" s="144"/>
      <c r="D2277" s="144"/>
      <c r="E2277" s="144"/>
      <c r="F2277" s="373"/>
      <c r="I2277" s="70"/>
      <c r="U2277" s="34"/>
    </row>
    <row r="2278" spans="3:21" s="46" customFormat="1" x14ac:dyDescent="0.2">
      <c r="C2278" s="144"/>
      <c r="D2278" s="144"/>
      <c r="E2278" s="144"/>
      <c r="F2278" s="373"/>
      <c r="I2278" s="70"/>
      <c r="U2278" s="34"/>
    </row>
    <row r="2279" spans="3:21" s="46" customFormat="1" x14ac:dyDescent="0.2">
      <c r="C2279" s="144"/>
      <c r="D2279" s="144"/>
      <c r="E2279" s="144"/>
      <c r="F2279" s="373"/>
      <c r="I2279" s="70"/>
      <c r="U2279" s="34"/>
    </row>
    <row r="2280" spans="3:21" s="46" customFormat="1" x14ac:dyDescent="0.2">
      <c r="C2280" s="144"/>
      <c r="D2280" s="144"/>
      <c r="E2280" s="144"/>
      <c r="F2280" s="373"/>
      <c r="I2280" s="70"/>
      <c r="U2280" s="34"/>
    </row>
    <row r="2281" spans="3:21" s="46" customFormat="1" x14ac:dyDescent="0.2">
      <c r="C2281" s="144"/>
      <c r="D2281" s="144"/>
      <c r="E2281" s="144"/>
      <c r="F2281" s="373"/>
      <c r="I2281" s="70"/>
      <c r="U2281" s="34"/>
    </row>
    <row r="2282" spans="3:21" s="46" customFormat="1" x14ac:dyDescent="0.2">
      <c r="C2282" s="144"/>
      <c r="D2282" s="144"/>
      <c r="E2282" s="144"/>
      <c r="F2282" s="373"/>
      <c r="I2282" s="70"/>
      <c r="U2282" s="34"/>
    </row>
    <row r="2283" spans="3:21" s="46" customFormat="1" x14ac:dyDescent="0.2">
      <c r="C2283" s="144"/>
      <c r="D2283" s="144"/>
      <c r="E2283" s="144"/>
      <c r="F2283" s="373"/>
      <c r="I2283" s="70"/>
      <c r="U2283" s="34"/>
    </row>
    <row r="2284" spans="3:21" s="46" customFormat="1" x14ac:dyDescent="0.2">
      <c r="C2284" s="144"/>
      <c r="D2284" s="144"/>
      <c r="E2284" s="144"/>
      <c r="F2284" s="373"/>
      <c r="I2284" s="70"/>
    </row>
    <row r="2285" spans="3:21" s="46" customFormat="1" x14ac:dyDescent="0.2">
      <c r="C2285" s="144"/>
      <c r="D2285" s="144"/>
      <c r="E2285" s="144"/>
      <c r="F2285" s="373"/>
      <c r="I2285" s="70"/>
    </row>
    <row r="2286" spans="3:21" s="46" customFormat="1" x14ac:dyDescent="0.2">
      <c r="C2286" s="144"/>
      <c r="D2286" s="144"/>
      <c r="E2286" s="144"/>
      <c r="F2286" s="373"/>
      <c r="I2286" s="70"/>
    </row>
    <row r="2287" spans="3:21" s="46" customFormat="1" x14ac:dyDescent="0.2">
      <c r="C2287" s="144"/>
      <c r="D2287" s="144"/>
      <c r="E2287" s="144"/>
      <c r="F2287" s="373"/>
      <c r="I2287" s="70"/>
    </row>
    <row r="2288" spans="3:21" s="46" customFormat="1" x14ac:dyDescent="0.2">
      <c r="C2288" s="144"/>
      <c r="D2288" s="144"/>
      <c r="E2288" s="144"/>
      <c r="F2288" s="373"/>
      <c r="I2288" s="70"/>
    </row>
    <row r="2289" spans="3:9" s="46" customFormat="1" x14ac:dyDescent="0.2">
      <c r="C2289" s="144"/>
      <c r="D2289" s="144"/>
      <c r="E2289" s="144"/>
      <c r="F2289" s="373"/>
      <c r="I2289" s="70"/>
    </row>
    <row r="2290" spans="3:9" s="46" customFormat="1" x14ac:dyDescent="0.2">
      <c r="C2290" s="144"/>
      <c r="D2290" s="144"/>
      <c r="E2290" s="144"/>
      <c r="F2290" s="373"/>
      <c r="I2290" s="70"/>
    </row>
    <row r="2291" spans="3:9" s="46" customFormat="1" x14ac:dyDescent="0.2">
      <c r="C2291" s="144"/>
      <c r="D2291" s="144"/>
      <c r="E2291" s="144"/>
      <c r="F2291" s="373"/>
      <c r="I2291" s="70"/>
    </row>
    <row r="2292" spans="3:9" s="46" customFormat="1" x14ac:dyDescent="0.2">
      <c r="C2292" s="144"/>
      <c r="D2292" s="144"/>
      <c r="E2292" s="144"/>
      <c r="F2292" s="373"/>
      <c r="I2292" s="70"/>
    </row>
    <row r="2293" spans="3:9" s="46" customFormat="1" x14ac:dyDescent="0.2">
      <c r="C2293" s="144"/>
      <c r="D2293" s="144"/>
      <c r="E2293" s="144"/>
      <c r="F2293" s="373"/>
      <c r="I2293" s="70"/>
    </row>
    <row r="2294" spans="3:9" s="46" customFormat="1" x14ac:dyDescent="0.2">
      <c r="C2294" s="144"/>
      <c r="D2294" s="144"/>
      <c r="E2294" s="144"/>
      <c r="F2294" s="373"/>
      <c r="I2294" s="70"/>
    </row>
    <row r="2295" spans="3:9" s="46" customFormat="1" x14ac:dyDescent="0.2">
      <c r="C2295" s="144"/>
      <c r="D2295" s="144"/>
      <c r="E2295" s="144"/>
      <c r="F2295" s="373"/>
      <c r="I2295" s="70"/>
    </row>
    <row r="2296" spans="3:9" s="46" customFormat="1" x14ac:dyDescent="0.2">
      <c r="C2296" s="144"/>
      <c r="D2296" s="144"/>
      <c r="E2296" s="144"/>
      <c r="F2296" s="373"/>
      <c r="I2296" s="70"/>
    </row>
    <row r="2297" spans="3:9" s="46" customFormat="1" x14ac:dyDescent="0.2">
      <c r="C2297" s="144"/>
      <c r="D2297" s="144"/>
      <c r="E2297" s="144"/>
      <c r="F2297" s="373"/>
      <c r="I2297" s="70"/>
    </row>
    <row r="2298" spans="3:9" s="46" customFormat="1" x14ac:dyDescent="0.2">
      <c r="C2298" s="144"/>
      <c r="D2298" s="144"/>
      <c r="E2298" s="144"/>
      <c r="F2298" s="373"/>
      <c r="I2298" s="70"/>
    </row>
    <row r="2299" spans="3:9" s="46" customFormat="1" x14ac:dyDescent="0.2">
      <c r="C2299" s="144"/>
      <c r="D2299" s="144"/>
      <c r="E2299" s="144"/>
      <c r="F2299" s="373"/>
      <c r="I2299" s="70"/>
    </row>
    <row r="2300" spans="3:9" s="46" customFormat="1" x14ac:dyDescent="0.2">
      <c r="C2300" s="144"/>
      <c r="D2300" s="144"/>
      <c r="E2300" s="144"/>
      <c r="F2300" s="373"/>
      <c r="I2300" s="70"/>
    </row>
    <row r="2301" spans="3:9" s="46" customFormat="1" x14ac:dyDescent="0.2">
      <c r="C2301" s="144"/>
      <c r="D2301" s="144"/>
      <c r="E2301" s="144"/>
      <c r="F2301" s="373"/>
      <c r="I2301" s="70"/>
    </row>
    <row r="2302" spans="3:9" s="46" customFormat="1" x14ac:dyDescent="0.2">
      <c r="C2302" s="144"/>
      <c r="D2302" s="144"/>
      <c r="E2302" s="144"/>
      <c r="F2302" s="373"/>
      <c r="I2302" s="70"/>
    </row>
    <row r="2303" spans="3:9" s="46" customFormat="1" x14ac:dyDescent="0.2">
      <c r="C2303" s="144"/>
      <c r="D2303" s="144"/>
      <c r="E2303" s="144"/>
      <c r="F2303" s="373"/>
      <c r="I2303" s="70"/>
    </row>
    <row r="2304" spans="3:9" s="46" customFormat="1" x14ac:dyDescent="0.2">
      <c r="C2304" s="144"/>
      <c r="D2304" s="144"/>
      <c r="E2304" s="144"/>
      <c r="F2304" s="373"/>
      <c r="I2304" s="70"/>
    </row>
    <row r="2305" spans="3:9" s="46" customFormat="1" x14ac:dyDescent="0.2">
      <c r="C2305" s="144"/>
      <c r="D2305" s="144"/>
      <c r="E2305" s="144"/>
      <c r="F2305" s="373"/>
      <c r="I2305" s="70"/>
    </row>
    <row r="2306" spans="3:9" s="46" customFormat="1" x14ac:dyDescent="0.2">
      <c r="C2306" s="144"/>
      <c r="D2306" s="144"/>
      <c r="E2306" s="144"/>
      <c r="F2306" s="373"/>
      <c r="I2306" s="70"/>
    </row>
    <row r="2307" spans="3:9" s="46" customFormat="1" x14ac:dyDescent="0.2">
      <c r="C2307" s="144"/>
      <c r="D2307" s="144"/>
      <c r="E2307" s="144"/>
      <c r="F2307" s="373"/>
      <c r="I2307" s="70"/>
    </row>
    <row r="2308" spans="3:9" s="46" customFormat="1" x14ac:dyDescent="0.2">
      <c r="C2308" s="144"/>
      <c r="D2308" s="144"/>
      <c r="E2308" s="144"/>
      <c r="F2308" s="373"/>
      <c r="I2308" s="70"/>
    </row>
    <row r="2309" spans="3:9" s="46" customFormat="1" x14ac:dyDescent="0.2">
      <c r="C2309" s="144"/>
      <c r="D2309" s="144"/>
      <c r="E2309" s="144"/>
      <c r="F2309" s="373"/>
      <c r="I2309" s="70"/>
    </row>
    <row r="2310" spans="3:9" s="46" customFormat="1" x14ac:dyDescent="0.2">
      <c r="C2310" s="144"/>
      <c r="D2310" s="144"/>
      <c r="E2310" s="144"/>
      <c r="F2310" s="373"/>
      <c r="I2310" s="70"/>
    </row>
    <row r="2311" spans="3:9" s="46" customFormat="1" x14ac:dyDescent="0.2">
      <c r="C2311" s="144"/>
      <c r="D2311" s="144"/>
      <c r="E2311" s="144"/>
      <c r="F2311" s="373"/>
      <c r="I2311" s="70"/>
    </row>
    <row r="2312" spans="3:9" s="46" customFormat="1" x14ac:dyDescent="0.2">
      <c r="C2312" s="144"/>
      <c r="D2312" s="144"/>
      <c r="E2312" s="144"/>
      <c r="F2312" s="373"/>
      <c r="I2312" s="70"/>
    </row>
    <row r="2313" spans="3:9" s="46" customFormat="1" x14ac:dyDescent="0.2">
      <c r="C2313" s="144"/>
      <c r="D2313" s="144"/>
      <c r="E2313" s="144"/>
      <c r="F2313" s="373"/>
      <c r="I2313" s="70"/>
    </row>
    <row r="2314" spans="3:9" s="46" customFormat="1" x14ac:dyDescent="0.2">
      <c r="C2314" s="144"/>
      <c r="D2314" s="144"/>
      <c r="E2314" s="144"/>
      <c r="F2314" s="373"/>
      <c r="I2314" s="70"/>
    </row>
    <row r="2315" spans="3:9" s="46" customFormat="1" x14ac:dyDescent="0.2">
      <c r="C2315" s="144"/>
      <c r="D2315" s="144"/>
      <c r="E2315" s="144"/>
      <c r="F2315" s="373"/>
      <c r="I2315" s="70"/>
    </row>
    <row r="2316" spans="3:9" s="46" customFormat="1" x14ac:dyDescent="0.2">
      <c r="C2316" s="144"/>
      <c r="D2316" s="144"/>
      <c r="E2316" s="144"/>
      <c r="F2316" s="373"/>
      <c r="I2316" s="70"/>
    </row>
    <row r="2317" spans="3:9" s="46" customFormat="1" x14ac:dyDescent="0.2">
      <c r="C2317" s="144"/>
      <c r="D2317" s="144"/>
      <c r="E2317" s="144"/>
      <c r="F2317" s="373"/>
      <c r="I2317" s="70"/>
    </row>
    <row r="2318" spans="3:9" s="46" customFormat="1" x14ac:dyDescent="0.2">
      <c r="C2318" s="144"/>
      <c r="D2318" s="144"/>
      <c r="E2318" s="144"/>
      <c r="F2318" s="373"/>
      <c r="I2318" s="70"/>
    </row>
    <row r="2319" spans="3:9" s="46" customFormat="1" x14ac:dyDescent="0.2">
      <c r="C2319" s="144"/>
      <c r="D2319" s="144"/>
      <c r="E2319" s="144"/>
      <c r="F2319" s="373"/>
      <c r="I2319" s="70"/>
    </row>
    <row r="2320" spans="3:9" s="46" customFormat="1" x14ac:dyDescent="0.2">
      <c r="C2320" s="144"/>
      <c r="D2320" s="144"/>
      <c r="E2320" s="144"/>
      <c r="F2320" s="373"/>
      <c r="I2320" s="70"/>
    </row>
    <row r="2321" spans="3:9" s="46" customFormat="1" x14ac:dyDescent="0.2">
      <c r="C2321" s="144"/>
      <c r="D2321" s="144"/>
      <c r="E2321" s="144"/>
      <c r="F2321" s="373"/>
      <c r="I2321" s="70"/>
    </row>
    <row r="2322" spans="3:9" s="46" customFormat="1" x14ac:dyDescent="0.2">
      <c r="C2322" s="144"/>
      <c r="D2322" s="144"/>
      <c r="E2322" s="144"/>
      <c r="F2322" s="373"/>
      <c r="I2322" s="70"/>
    </row>
    <row r="2323" spans="3:9" s="46" customFormat="1" x14ac:dyDescent="0.2">
      <c r="C2323" s="144"/>
      <c r="D2323" s="144"/>
      <c r="E2323" s="144"/>
      <c r="F2323" s="373"/>
      <c r="I2323" s="70"/>
    </row>
    <row r="2324" spans="3:9" s="46" customFormat="1" x14ac:dyDescent="0.2">
      <c r="C2324" s="144"/>
      <c r="D2324" s="144"/>
      <c r="E2324" s="144"/>
      <c r="F2324" s="373"/>
      <c r="I2324" s="70"/>
    </row>
    <row r="2325" spans="3:9" s="46" customFormat="1" x14ac:dyDescent="0.2">
      <c r="C2325" s="144"/>
      <c r="D2325" s="144"/>
      <c r="E2325" s="144"/>
      <c r="F2325" s="373"/>
      <c r="I2325" s="70"/>
    </row>
    <row r="2326" spans="3:9" s="46" customFormat="1" x14ac:dyDescent="0.2">
      <c r="C2326" s="144"/>
      <c r="D2326" s="144"/>
      <c r="E2326" s="144"/>
      <c r="F2326" s="373"/>
      <c r="I2326" s="70"/>
    </row>
    <row r="2327" spans="3:9" s="46" customFormat="1" x14ac:dyDescent="0.2">
      <c r="C2327" s="144"/>
      <c r="D2327" s="144"/>
      <c r="E2327" s="144"/>
      <c r="F2327" s="373"/>
      <c r="I2327" s="70"/>
    </row>
    <row r="2328" spans="3:9" s="46" customFormat="1" x14ac:dyDescent="0.2">
      <c r="C2328" s="144"/>
      <c r="D2328" s="144"/>
      <c r="E2328" s="144"/>
      <c r="F2328" s="373"/>
      <c r="I2328" s="70"/>
    </row>
    <row r="2329" spans="3:9" s="46" customFormat="1" x14ac:dyDescent="0.2">
      <c r="C2329" s="144"/>
      <c r="D2329" s="144"/>
      <c r="E2329" s="144"/>
      <c r="F2329" s="373"/>
      <c r="I2329" s="70"/>
    </row>
    <row r="2330" spans="3:9" s="46" customFormat="1" x14ac:dyDescent="0.2">
      <c r="C2330" s="144"/>
      <c r="D2330" s="144"/>
      <c r="E2330" s="144"/>
      <c r="F2330" s="373"/>
      <c r="I2330" s="70"/>
    </row>
    <row r="2331" spans="3:9" s="46" customFormat="1" x14ac:dyDescent="0.2">
      <c r="C2331" s="144"/>
      <c r="D2331" s="144"/>
      <c r="E2331" s="144"/>
      <c r="F2331" s="373"/>
      <c r="I2331" s="70"/>
    </row>
    <row r="2332" spans="3:9" s="46" customFormat="1" x14ac:dyDescent="0.2">
      <c r="C2332" s="144"/>
      <c r="D2332" s="144"/>
      <c r="E2332" s="144"/>
      <c r="F2332" s="373"/>
      <c r="I2332" s="70"/>
    </row>
    <row r="2333" spans="3:9" s="46" customFormat="1" x14ac:dyDescent="0.2">
      <c r="C2333" s="144"/>
      <c r="D2333" s="144"/>
      <c r="E2333" s="144"/>
      <c r="F2333" s="373"/>
      <c r="I2333" s="70"/>
    </row>
    <row r="2334" spans="3:9" s="46" customFormat="1" x14ac:dyDescent="0.2">
      <c r="C2334" s="144"/>
      <c r="D2334" s="144"/>
      <c r="E2334" s="144"/>
      <c r="F2334" s="373"/>
      <c r="I2334" s="70"/>
    </row>
    <row r="2335" spans="3:9" s="46" customFormat="1" x14ac:dyDescent="0.2">
      <c r="C2335" s="144"/>
      <c r="D2335" s="144"/>
      <c r="E2335" s="144"/>
      <c r="F2335" s="373"/>
      <c r="I2335" s="70"/>
    </row>
    <row r="2336" spans="3:9" s="46" customFormat="1" x14ac:dyDescent="0.2">
      <c r="C2336" s="144"/>
      <c r="D2336" s="144"/>
      <c r="E2336" s="144"/>
      <c r="F2336" s="373"/>
      <c r="I2336" s="70"/>
    </row>
    <row r="2337" spans="3:9" s="46" customFormat="1" x14ac:dyDescent="0.2">
      <c r="C2337" s="144"/>
      <c r="D2337" s="144"/>
      <c r="E2337" s="144"/>
      <c r="F2337" s="373"/>
      <c r="I2337" s="70"/>
    </row>
    <row r="2338" spans="3:9" s="46" customFormat="1" x14ac:dyDescent="0.2">
      <c r="C2338" s="144"/>
      <c r="D2338" s="144"/>
      <c r="E2338" s="144"/>
      <c r="F2338" s="373"/>
      <c r="I2338" s="70"/>
    </row>
    <row r="2339" spans="3:9" s="46" customFormat="1" x14ac:dyDescent="0.2">
      <c r="C2339" s="144"/>
      <c r="D2339" s="144"/>
      <c r="E2339" s="144"/>
      <c r="F2339" s="373"/>
      <c r="I2339" s="70"/>
    </row>
    <row r="2340" spans="3:9" s="46" customFormat="1" x14ac:dyDescent="0.2">
      <c r="C2340" s="144"/>
      <c r="D2340" s="144"/>
      <c r="E2340" s="144"/>
      <c r="F2340" s="373"/>
      <c r="I2340" s="70"/>
    </row>
    <row r="2341" spans="3:9" s="46" customFormat="1" x14ac:dyDescent="0.2">
      <c r="C2341" s="144"/>
      <c r="D2341" s="144"/>
      <c r="E2341" s="144"/>
      <c r="F2341" s="373"/>
      <c r="I2341" s="70"/>
    </row>
    <row r="2342" spans="3:9" s="46" customFormat="1" x14ac:dyDescent="0.2">
      <c r="C2342" s="144"/>
      <c r="D2342" s="144"/>
      <c r="E2342" s="144"/>
      <c r="F2342" s="373"/>
      <c r="I2342" s="70"/>
    </row>
    <row r="2343" spans="3:9" s="46" customFormat="1" x14ac:dyDescent="0.2">
      <c r="C2343" s="144"/>
      <c r="D2343" s="144"/>
      <c r="E2343" s="144"/>
      <c r="F2343" s="373"/>
      <c r="I2343" s="70"/>
    </row>
    <row r="2344" spans="3:9" s="46" customFormat="1" x14ac:dyDescent="0.2">
      <c r="C2344" s="144"/>
      <c r="D2344" s="144"/>
      <c r="E2344" s="144"/>
      <c r="F2344" s="373"/>
      <c r="I2344" s="70"/>
    </row>
    <row r="2345" spans="3:9" s="46" customFormat="1" x14ac:dyDescent="0.2">
      <c r="C2345" s="144"/>
      <c r="D2345" s="144"/>
      <c r="E2345" s="144"/>
      <c r="F2345" s="373"/>
      <c r="I2345" s="70"/>
    </row>
    <row r="2346" spans="3:9" s="46" customFormat="1" x14ac:dyDescent="0.2">
      <c r="C2346" s="144"/>
      <c r="D2346" s="144"/>
      <c r="E2346" s="144"/>
      <c r="F2346" s="373"/>
      <c r="I2346" s="70"/>
    </row>
    <row r="2347" spans="3:9" s="46" customFormat="1" x14ac:dyDescent="0.2">
      <c r="C2347" s="144"/>
      <c r="D2347" s="144"/>
      <c r="E2347" s="144"/>
      <c r="F2347" s="373"/>
      <c r="I2347" s="70"/>
    </row>
    <row r="2348" spans="3:9" s="46" customFormat="1" x14ac:dyDescent="0.2">
      <c r="C2348" s="144"/>
      <c r="D2348" s="144"/>
      <c r="E2348" s="144"/>
      <c r="F2348" s="373"/>
      <c r="I2348" s="70"/>
    </row>
    <row r="2349" spans="3:9" s="46" customFormat="1" x14ac:dyDescent="0.2">
      <c r="C2349" s="144"/>
      <c r="D2349" s="144"/>
      <c r="E2349" s="144"/>
      <c r="F2349" s="373"/>
      <c r="I2349" s="70"/>
    </row>
    <row r="2350" spans="3:9" s="46" customFormat="1" x14ac:dyDescent="0.2">
      <c r="C2350" s="144"/>
      <c r="D2350" s="144"/>
      <c r="E2350" s="144"/>
      <c r="F2350" s="373"/>
      <c r="I2350" s="70"/>
    </row>
    <row r="2351" spans="3:9" s="46" customFormat="1" x14ac:dyDescent="0.2">
      <c r="C2351" s="144"/>
      <c r="D2351" s="144"/>
      <c r="E2351" s="144"/>
      <c r="F2351" s="373"/>
      <c r="I2351" s="70"/>
    </row>
    <row r="2352" spans="3:9" s="46" customFormat="1" x14ac:dyDescent="0.2">
      <c r="C2352" s="144"/>
      <c r="D2352" s="144"/>
      <c r="E2352" s="144"/>
      <c r="F2352" s="373"/>
      <c r="I2352" s="70"/>
    </row>
    <row r="2353" spans="3:9" s="46" customFormat="1" x14ac:dyDescent="0.2">
      <c r="C2353" s="144"/>
      <c r="D2353" s="144"/>
      <c r="E2353" s="144"/>
      <c r="F2353" s="373"/>
      <c r="I2353" s="70"/>
    </row>
    <row r="2354" spans="3:9" s="46" customFormat="1" x14ac:dyDescent="0.2">
      <c r="C2354" s="144"/>
      <c r="D2354" s="144"/>
      <c r="E2354" s="144"/>
      <c r="F2354" s="373"/>
      <c r="I2354" s="70"/>
    </row>
    <row r="2355" spans="3:9" s="46" customFormat="1" x14ac:dyDescent="0.2">
      <c r="C2355" s="144"/>
      <c r="D2355" s="144"/>
      <c r="E2355" s="144"/>
      <c r="F2355" s="373"/>
      <c r="I2355" s="70"/>
    </row>
    <row r="2356" spans="3:9" s="46" customFormat="1" x14ac:dyDescent="0.2">
      <c r="C2356" s="144"/>
      <c r="D2356" s="144"/>
      <c r="E2356" s="144"/>
      <c r="F2356" s="373"/>
      <c r="I2356" s="70"/>
    </row>
    <row r="2357" spans="3:9" s="46" customFormat="1" x14ac:dyDescent="0.2">
      <c r="C2357" s="144"/>
      <c r="D2357" s="144"/>
      <c r="E2357" s="144"/>
      <c r="F2357" s="373"/>
      <c r="I2357" s="70"/>
    </row>
    <row r="2358" spans="3:9" s="46" customFormat="1" x14ac:dyDescent="0.2">
      <c r="C2358" s="144"/>
      <c r="D2358" s="144"/>
      <c r="E2358" s="144"/>
      <c r="F2358" s="373"/>
      <c r="I2358" s="70"/>
    </row>
    <row r="2359" spans="3:9" s="46" customFormat="1" x14ac:dyDescent="0.2">
      <c r="C2359" s="144"/>
      <c r="D2359" s="144"/>
      <c r="E2359" s="144"/>
      <c r="F2359" s="373"/>
      <c r="I2359" s="70"/>
    </row>
    <row r="2360" spans="3:9" s="46" customFormat="1" x14ac:dyDescent="0.2">
      <c r="C2360" s="144"/>
      <c r="D2360" s="144"/>
      <c r="E2360" s="144"/>
      <c r="F2360" s="373"/>
      <c r="I2360" s="70"/>
    </row>
    <row r="2361" spans="3:9" s="46" customFormat="1" x14ac:dyDescent="0.2">
      <c r="C2361" s="144"/>
      <c r="D2361" s="144"/>
      <c r="E2361" s="144"/>
      <c r="F2361" s="373"/>
      <c r="I2361" s="70"/>
    </row>
    <row r="2362" spans="3:9" s="46" customFormat="1" x14ac:dyDescent="0.2">
      <c r="C2362" s="144"/>
      <c r="D2362" s="144"/>
      <c r="E2362" s="144"/>
      <c r="F2362" s="373"/>
      <c r="I2362" s="70"/>
    </row>
    <row r="2363" spans="3:9" s="46" customFormat="1" x14ac:dyDescent="0.2">
      <c r="C2363" s="144"/>
      <c r="D2363" s="144"/>
      <c r="E2363" s="144"/>
      <c r="F2363" s="373"/>
      <c r="I2363" s="70"/>
    </row>
    <row r="2364" spans="3:9" s="46" customFormat="1" x14ac:dyDescent="0.2">
      <c r="C2364" s="144"/>
      <c r="D2364" s="144"/>
      <c r="E2364" s="144"/>
      <c r="F2364" s="373"/>
      <c r="I2364" s="70"/>
    </row>
    <row r="2365" spans="3:9" s="46" customFormat="1" x14ac:dyDescent="0.2">
      <c r="C2365" s="144"/>
      <c r="D2365" s="144"/>
      <c r="E2365" s="144"/>
      <c r="F2365" s="373"/>
      <c r="I2365" s="70"/>
    </row>
    <row r="2366" spans="3:9" s="46" customFormat="1" x14ac:dyDescent="0.2">
      <c r="C2366" s="144"/>
      <c r="D2366" s="144"/>
      <c r="E2366" s="144"/>
      <c r="F2366" s="373"/>
      <c r="I2366" s="70"/>
    </row>
    <row r="2367" spans="3:9" s="46" customFormat="1" x14ac:dyDescent="0.2">
      <c r="C2367" s="144"/>
      <c r="D2367" s="144"/>
      <c r="E2367" s="144"/>
      <c r="F2367" s="373"/>
      <c r="I2367" s="70"/>
    </row>
    <row r="2368" spans="3:9" s="46" customFormat="1" x14ac:dyDescent="0.2">
      <c r="C2368" s="144"/>
      <c r="D2368" s="144"/>
      <c r="E2368" s="144"/>
      <c r="F2368" s="373"/>
      <c r="I2368" s="70"/>
    </row>
    <row r="2369" spans="3:9" s="46" customFormat="1" x14ac:dyDescent="0.2">
      <c r="C2369" s="144"/>
      <c r="D2369" s="144"/>
      <c r="E2369" s="144"/>
      <c r="F2369" s="373"/>
      <c r="I2369" s="70"/>
    </row>
    <row r="2370" spans="3:9" s="46" customFormat="1" x14ac:dyDescent="0.2">
      <c r="C2370" s="144"/>
      <c r="D2370" s="144"/>
      <c r="E2370" s="144"/>
      <c r="F2370" s="373"/>
      <c r="I2370" s="70"/>
    </row>
    <row r="2371" spans="3:9" s="46" customFormat="1" x14ac:dyDescent="0.2">
      <c r="C2371" s="144"/>
      <c r="D2371" s="144"/>
      <c r="E2371" s="144"/>
      <c r="F2371" s="373"/>
      <c r="I2371" s="70"/>
    </row>
    <row r="2372" spans="3:9" s="46" customFormat="1" x14ac:dyDescent="0.2">
      <c r="C2372" s="144"/>
      <c r="D2372" s="144"/>
      <c r="E2372" s="144"/>
      <c r="F2372" s="373"/>
      <c r="I2372" s="70"/>
    </row>
    <row r="2373" spans="3:9" s="46" customFormat="1" x14ac:dyDescent="0.2">
      <c r="C2373" s="144"/>
      <c r="D2373" s="144"/>
      <c r="E2373" s="144"/>
      <c r="F2373" s="373"/>
      <c r="I2373" s="70"/>
    </row>
    <row r="2374" spans="3:9" s="46" customFormat="1" x14ac:dyDescent="0.2">
      <c r="C2374" s="144"/>
      <c r="D2374" s="144"/>
      <c r="E2374" s="144"/>
      <c r="F2374" s="373"/>
      <c r="I2374" s="70"/>
    </row>
    <row r="2375" spans="3:9" s="46" customFormat="1" x14ac:dyDescent="0.2">
      <c r="C2375" s="144"/>
      <c r="D2375" s="144"/>
      <c r="E2375" s="144"/>
      <c r="F2375" s="373"/>
      <c r="I2375" s="70"/>
    </row>
    <row r="2376" spans="3:9" s="46" customFormat="1" x14ac:dyDescent="0.2">
      <c r="C2376" s="144"/>
      <c r="D2376" s="144"/>
      <c r="E2376" s="144"/>
      <c r="F2376" s="373"/>
      <c r="I2376" s="70"/>
    </row>
    <row r="2377" spans="3:9" s="46" customFormat="1" x14ac:dyDescent="0.2">
      <c r="C2377" s="144"/>
      <c r="D2377" s="144"/>
      <c r="E2377" s="144"/>
      <c r="F2377" s="373"/>
      <c r="I2377" s="70"/>
    </row>
    <row r="2378" spans="3:9" s="46" customFormat="1" x14ac:dyDescent="0.2">
      <c r="C2378" s="144"/>
      <c r="D2378" s="144"/>
      <c r="E2378" s="144"/>
      <c r="F2378" s="373"/>
      <c r="I2378" s="70"/>
    </row>
    <row r="2379" spans="3:9" s="46" customFormat="1" x14ac:dyDescent="0.2">
      <c r="C2379" s="144"/>
      <c r="D2379" s="144"/>
      <c r="E2379" s="144"/>
      <c r="F2379" s="373"/>
      <c r="I2379" s="70"/>
    </row>
    <row r="2380" spans="3:9" s="46" customFormat="1" x14ac:dyDescent="0.2">
      <c r="C2380" s="144"/>
      <c r="D2380" s="144"/>
      <c r="E2380" s="144"/>
      <c r="F2380" s="373"/>
      <c r="I2380" s="70"/>
    </row>
    <row r="2381" spans="3:9" s="46" customFormat="1" x14ac:dyDescent="0.2">
      <c r="C2381" s="144"/>
      <c r="D2381" s="144"/>
      <c r="E2381" s="144"/>
      <c r="F2381" s="373"/>
      <c r="I2381" s="70"/>
    </row>
    <row r="2382" spans="3:9" s="46" customFormat="1" x14ac:dyDescent="0.2">
      <c r="C2382" s="144"/>
      <c r="D2382" s="144"/>
      <c r="E2382" s="144"/>
      <c r="F2382" s="373"/>
      <c r="I2382" s="70"/>
    </row>
    <row r="2383" spans="3:9" s="46" customFormat="1" x14ac:dyDescent="0.2">
      <c r="C2383" s="144"/>
      <c r="D2383" s="144"/>
      <c r="E2383" s="144"/>
      <c r="F2383" s="373"/>
      <c r="I2383" s="70"/>
    </row>
    <row r="2384" spans="3:9" s="46" customFormat="1" x14ac:dyDescent="0.2">
      <c r="C2384" s="144"/>
      <c r="D2384" s="144"/>
      <c r="E2384" s="144"/>
      <c r="F2384" s="373"/>
      <c r="I2384" s="70"/>
    </row>
    <row r="2385" spans="3:9" s="46" customFormat="1" x14ac:dyDescent="0.2">
      <c r="C2385" s="144"/>
      <c r="D2385" s="144"/>
      <c r="E2385" s="144"/>
      <c r="F2385" s="373"/>
      <c r="I2385" s="70"/>
    </row>
    <row r="2386" spans="3:9" s="46" customFormat="1" x14ac:dyDescent="0.2">
      <c r="C2386" s="144"/>
      <c r="D2386" s="144"/>
      <c r="E2386" s="144"/>
      <c r="F2386" s="373"/>
      <c r="I2386" s="70"/>
    </row>
    <row r="2387" spans="3:9" s="46" customFormat="1" x14ac:dyDescent="0.2">
      <c r="C2387" s="144"/>
      <c r="D2387" s="144"/>
      <c r="E2387" s="144"/>
      <c r="F2387" s="373"/>
      <c r="I2387" s="70"/>
    </row>
    <row r="2388" spans="3:9" s="46" customFormat="1" x14ac:dyDescent="0.2">
      <c r="C2388" s="144"/>
      <c r="D2388" s="144"/>
      <c r="E2388" s="144"/>
      <c r="F2388" s="373"/>
      <c r="I2388" s="70"/>
    </row>
    <row r="2389" spans="3:9" s="46" customFormat="1" x14ac:dyDescent="0.2">
      <c r="C2389" s="144"/>
      <c r="D2389" s="144"/>
      <c r="E2389" s="144"/>
      <c r="F2389" s="373"/>
      <c r="I2389" s="70"/>
    </row>
    <row r="2390" spans="3:9" s="46" customFormat="1" x14ac:dyDescent="0.2">
      <c r="C2390" s="144"/>
      <c r="D2390" s="144"/>
      <c r="E2390" s="144"/>
      <c r="F2390" s="373"/>
      <c r="I2390" s="70"/>
    </row>
    <row r="2391" spans="3:9" s="46" customFormat="1" x14ac:dyDescent="0.2">
      <c r="C2391" s="144"/>
      <c r="D2391" s="144"/>
      <c r="E2391" s="144"/>
      <c r="F2391" s="373"/>
      <c r="I2391" s="70"/>
    </row>
    <row r="2392" spans="3:9" s="46" customFormat="1" x14ac:dyDescent="0.2">
      <c r="C2392" s="144"/>
      <c r="D2392" s="144"/>
      <c r="E2392" s="144"/>
      <c r="F2392" s="373"/>
      <c r="I2392" s="70"/>
    </row>
    <row r="2393" spans="3:9" s="46" customFormat="1" x14ac:dyDescent="0.2">
      <c r="C2393" s="144"/>
      <c r="D2393" s="144"/>
      <c r="E2393" s="144"/>
      <c r="F2393" s="373"/>
      <c r="I2393" s="70"/>
    </row>
    <row r="2394" spans="3:9" s="46" customFormat="1" x14ac:dyDescent="0.2">
      <c r="C2394" s="144"/>
      <c r="D2394" s="144"/>
      <c r="E2394" s="144"/>
      <c r="F2394" s="373"/>
      <c r="I2394" s="70"/>
    </row>
    <row r="2395" spans="3:9" s="46" customFormat="1" x14ac:dyDescent="0.2">
      <c r="C2395" s="144"/>
      <c r="D2395" s="144"/>
      <c r="E2395" s="144"/>
      <c r="F2395" s="373"/>
      <c r="I2395" s="70"/>
    </row>
    <row r="2396" spans="3:9" s="46" customFormat="1" x14ac:dyDescent="0.2">
      <c r="C2396" s="144"/>
      <c r="D2396" s="144"/>
      <c r="E2396" s="144"/>
      <c r="F2396" s="373"/>
      <c r="I2396" s="70"/>
    </row>
    <row r="2397" spans="3:9" s="46" customFormat="1" x14ac:dyDescent="0.2">
      <c r="C2397" s="144"/>
      <c r="D2397" s="144"/>
      <c r="E2397" s="144"/>
      <c r="F2397" s="373"/>
      <c r="I2397" s="70"/>
    </row>
    <row r="2398" spans="3:9" s="46" customFormat="1" x14ac:dyDescent="0.2">
      <c r="C2398" s="144"/>
      <c r="D2398" s="144"/>
      <c r="E2398" s="144"/>
      <c r="F2398" s="373"/>
      <c r="I2398" s="70"/>
    </row>
    <row r="2399" spans="3:9" s="46" customFormat="1" x14ac:dyDescent="0.2">
      <c r="C2399" s="144"/>
      <c r="D2399" s="144"/>
      <c r="E2399" s="144"/>
      <c r="F2399" s="373"/>
      <c r="I2399" s="70"/>
    </row>
    <row r="2400" spans="3:9" s="46" customFormat="1" x14ac:dyDescent="0.2">
      <c r="C2400" s="144"/>
      <c r="D2400" s="144"/>
      <c r="E2400" s="144"/>
      <c r="F2400" s="373"/>
      <c r="I2400" s="70"/>
    </row>
    <row r="2401" spans="3:9" s="46" customFormat="1" x14ac:dyDescent="0.2">
      <c r="C2401" s="144"/>
      <c r="D2401" s="144"/>
      <c r="E2401" s="144"/>
      <c r="F2401" s="373"/>
      <c r="I2401" s="70"/>
    </row>
    <row r="2402" spans="3:9" s="46" customFormat="1" x14ac:dyDescent="0.2">
      <c r="C2402" s="144"/>
      <c r="D2402" s="144"/>
      <c r="E2402" s="144"/>
      <c r="F2402" s="373"/>
      <c r="I2402" s="70"/>
    </row>
    <row r="2403" spans="3:9" s="46" customFormat="1" x14ac:dyDescent="0.2">
      <c r="C2403" s="144"/>
      <c r="D2403" s="144"/>
      <c r="E2403" s="144"/>
      <c r="F2403" s="373"/>
      <c r="I2403" s="70"/>
    </row>
    <row r="2404" spans="3:9" s="46" customFormat="1" x14ac:dyDescent="0.2">
      <c r="C2404" s="144"/>
      <c r="D2404" s="144"/>
      <c r="E2404" s="144"/>
      <c r="F2404" s="373"/>
      <c r="I2404" s="70"/>
    </row>
    <row r="2405" spans="3:9" s="46" customFormat="1" x14ac:dyDescent="0.2">
      <c r="C2405" s="144"/>
      <c r="D2405" s="144"/>
      <c r="E2405" s="144"/>
      <c r="F2405" s="373"/>
      <c r="I2405" s="70"/>
    </row>
    <row r="2406" spans="3:9" s="46" customFormat="1" x14ac:dyDescent="0.2">
      <c r="C2406" s="144"/>
      <c r="D2406" s="144"/>
      <c r="E2406" s="144"/>
      <c r="F2406" s="373"/>
      <c r="I2406" s="70"/>
    </row>
    <row r="2407" spans="3:9" s="46" customFormat="1" x14ac:dyDescent="0.2">
      <c r="C2407" s="144"/>
      <c r="D2407" s="144"/>
      <c r="E2407" s="144"/>
      <c r="F2407" s="373"/>
      <c r="I2407" s="70"/>
    </row>
    <row r="2408" spans="3:9" s="46" customFormat="1" x14ac:dyDescent="0.2">
      <c r="C2408" s="144"/>
      <c r="D2408" s="144"/>
      <c r="E2408" s="144"/>
      <c r="F2408" s="373"/>
      <c r="I2408" s="70"/>
    </row>
    <row r="2409" spans="3:9" s="46" customFormat="1" x14ac:dyDescent="0.2">
      <c r="C2409" s="144"/>
      <c r="D2409" s="144"/>
      <c r="E2409" s="144"/>
      <c r="F2409" s="373"/>
      <c r="I2409" s="70"/>
    </row>
    <row r="2410" spans="3:9" s="46" customFormat="1" x14ac:dyDescent="0.2">
      <c r="C2410" s="144"/>
      <c r="D2410" s="144"/>
      <c r="E2410" s="144"/>
      <c r="F2410" s="373"/>
      <c r="I2410" s="70"/>
    </row>
    <row r="2411" spans="3:9" s="46" customFormat="1" x14ac:dyDescent="0.2">
      <c r="C2411" s="144"/>
      <c r="D2411" s="144"/>
      <c r="E2411" s="144"/>
      <c r="F2411" s="373"/>
      <c r="I2411" s="70"/>
    </row>
    <row r="2412" spans="3:9" s="46" customFormat="1" x14ac:dyDescent="0.2">
      <c r="C2412" s="144"/>
      <c r="D2412" s="144"/>
      <c r="E2412" s="144"/>
      <c r="F2412" s="373"/>
      <c r="I2412" s="70"/>
    </row>
    <row r="2413" spans="3:9" s="46" customFormat="1" x14ac:dyDescent="0.2">
      <c r="C2413" s="144"/>
      <c r="D2413" s="144"/>
      <c r="E2413" s="144"/>
      <c r="F2413" s="373"/>
      <c r="I2413" s="70"/>
    </row>
    <row r="2414" spans="3:9" s="46" customFormat="1" x14ac:dyDescent="0.2">
      <c r="C2414" s="144"/>
      <c r="D2414" s="144"/>
      <c r="E2414" s="144"/>
      <c r="F2414" s="373"/>
      <c r="I2414" s="70"/>
    </row>
    <row r="2415" spans="3:9" s="46" customFormat="1" x14ac:dyDescent="0.2">
      <c r="C2415" s="144"/>
      <c r="D2415" s="144"/>
      <c r="E2415" s="144"/>
      <c r="F2415" s="373"/>
      <c r="I2415" s="70"/>
    </row>
    <row r="2416" spans="3:9" s="46" customFormat="1" x14ac:dyDescent="0.2">
      <c r="C2416" s="144"/>
      <c r="D2416" s="144"/>
      <c r="E2416" s="144"/>
      <c r="F2416" s="373"/>
      <c r="I2416" s="70"/>
    </row>
    <row r="2417" spans="3:9" s="46" customFormat="1" x14ac:dyDescent="0.2">
      <c r="C2417" s="144"/>
      <c r="D2417" s="144"/>
      <c r="E2417" s="144"/>
      <c r="F2417" s="373"/>
      <c r="I2417" s="70"/>
    </row>
    <row r="2418" spans="3:9" s="46" customFormat="1" x14ac:dyDescent="0.2">
      <c r="C2418" s="144"/>
      <c r="D2418" s="144"/>
      <c r="E2418" s="144"/>
      <c r="F2418" s="373"/>
      <c r="I2418" s="70"/>
    </row>
    <row r="2419" spans="3:9" s="46" customFormat="1" x14ac:dyDescent="0.2">
      <c r="C2419" s="144"/>
      <c r="D2419" s="144"/>
      <c r="E2419" s="144"/>
      <c r="F2419" s="373"/>
      <c r="I2419" s="70"/>
    </row>
    <row r="2420" spans="3:9" s="46" customFormat="1" x14ac:dyDescent="0.2">
      <c r="C2420" s="144"/>
      <c r="D2420" s="144"/>
      <c r="E2420" s="144"/>
      <c r="F2420" s="373"/>
      <c r="I2420" s="70"/>
    </row>
    <row r="2421" spans="3:9" s="46" customFormat="1" x14ac:dyDescent="0.2">
      <c r="C2421" s="144"/>
      <c r="D2421" s="144"/>
      <c r="E2421" s="144"/>
      <c r="F2421" s="373"/>
      <c r="I2421" s="70"/>
    </row>
    <row r="2422" spans="3:9" s="46" customFormat="1" x14ac:dyDescent="0.2">
      <c r="C2422" s="144"/>
      <c r="D2422" s="144"/>
      <c r="E2422" s="144"/>
      <c r="F2422" s="373"/>
      <c r="I2422" s="70"/>
    </row>
    <row r="2423" spans="3:9" s="46" customFormat="1" x14ac:dyDescent="0.2">
      <c r="C2423" s="144"/>
      <c r="D2423" s="144"/>
      <c r="E2423" s="144"/>
      <c r="F2423" s="373"/>
      <c r="I2423" s="70"/>
    </row>
    <row r="2424" spans="3:9" s="46" customFormat="1" x14ac:dyDescent="0.2">
      <c r="C2424" s="144"/>
      <c r="D2424" s="144"/>
      <c r="E2424" s="144"/>
      <c r="F2424" s="373"/>
      <c r="I2424" s="70"/>
    </row>
    <row r="2425" spans="3:9" s="46" customFormat="1" x14ac:dyDescent="0.2">
      <c r="C2425" s="144"/>
      <c r="D2425" s="144"/>
      <c r="E2425" s="144"/>
      <c r="F2425" s="373"/>
      <c r="I2425" s="70"/>
    </row>
    <row r="2426" spans="3:9" s="46" customFormat="1" x14ac:dyDescent="0.2">
      <c r="C2426" s="144"/>
      <c r="D2426" s="144"/>
      <c r="E2426" s="144"/>
      <c r="F2426" s="373"/>
      <c r="I2426" s="70"/>
    </row>
    <row r="2427" spans="3:9" s="46" customFormat="1" x14ac:dyDescent="0.2">
      <c r="C2427" s="144"/>
      <c r="D2427" s="144"/>
      <c r="E2427" s="144"/>
      <c r="F2427" s="373"/>
      <c r="I2427" s="70"/>
    </row>
    <row r="2428" spans="3:9" s="46" customFormat="1" x14ac:dyDescent="0.2">
      <c r="C2428" s="144"/>
      <c r="D2428" s="144"/>
      <c r="E2428" s="144"/>
      <c r="F2428" s="373"/>
      <c r="I2428" s="70"/>
    </row>
    <row r="2429" spans="3:9" s="46" customFormat="1" x14ac:dyDescent="0.2">
      <c r="C2429" s="144"/>
      <c r="D2429" s="144"/>
      <c r="E2429" s="144"/>
      <c r="F2429" s="373"/>
      <c r="I2429" s="70"/>
    </row>
    <row r="2430" spans="3:9" s="46" customFormat="1" x14ac:dyDescent="0.2">
      <c r="C2430" s="144"/>
      <c r="D2430" s="144"/>
      <c r="E2430" s="144"/>
      <c r="F2430" s="373"/>
      <c r="I2430" s="70"/>
    </row>
    <row r="2431" spans="3:9" s="46" customFormat="1" x14ac:dyDescent="0.2">
      <c r="C2431" s="144"/>
      <c r="D2431" s="144"/>
      <c r="E2431" s="144"/>
      <c r="F2431" s="373"/>
      <c r="I2431" s="70"/>
    </row>
    <row r="2432" spans="3:9" s="46" customFormat="1" x14ac:dyDescent="0.2">
      <c r="C2432" s="144"/>
      <c r="D2432" s="144"/>
      <c r="E2432" s="144"/>
      <c r="F2432" s="373"/>
      <c r="I2432" s="70"/>
    </row>
    <row r="2433" spans="3:9" s="46" customFormat="1" x14ac:dyDescent="0.2">
      <c r="C2433" s="144"/>
      <c r="D2433" s="144"/>
      <c r="E2433" s="144"/>
      <c r="F2433" s="373"/>
      <c r="I2433" s="70"/>
    </row>
    <row r="2434" spans="3:9" s="46" customFormat="1" x14ac:dyDescent="0.2">
      <c r="C2434" s="144"/>
      <c r="D2434" s="144"/>
      <c r="E2434" s="144"/>
      <c r="F2434" s="373"/>
      <c r="I2434" s="70"/>
    </row>
    <row r="2435" spans="3:9" s="46" customFormat="1" x14ac:dyDescent="0.2">
      <c r="C2435" s="144"/>
      <c r="D2435" s="144"/>
      <c r="E2435" s="144"/>
      <c r="F2435" s="373"/>
      <c r="I2435" s="70"/>
    </row>
    <row r="2436" spans="3:9" s="46" customFormat="1" x14ac:dyDescent="0.2">
      <c r="C2436" s="144"/>
      <c r="D2436" s="144"/>
      <c r="E2436" s="144"/>
      <c r="F2436" s="373"/>
      <c r="I2436" s="70"/>
    </row>
    <row r="2437" spans="3:9" s="46" customFormat="1" x14ac:dyDescent="0.2">
      <c r="C2437" s="144"/>
      <c r="D2437" s="144"/>
      <c r="E2437" s="144"/>
      <c r="F2437" s="373"/>
      <c r="I2437" s="70"/>
    </row>
    <row r="2438" spans="3:9" s="46" customFormat="1" x14ac:dyDescent="0.2">
      <c r="C2438" s="144"/>
      <c r="D2438" s="144"/>
      <c r="E2438" s="144"/>
      <c r="F2438" s="373"/>
      <c r="I2438" s="70"/>
    </row>
    <row r="2439" spans="3:9" s="46" customFormat="1" x14ac:dyDescent="0.2">
      <c r="C2439" s="144"/>
      <c r="D2439" s="144"/>
      <c r="E2439" s="144"/>
      <c r="F2439" s="373"/>
      <c r="I2439" s="70"/>
    </row>
    <row r="2440" spans="3:9" s="46" customFormat="1" x14ac:dyDescent="0.2">
      <c r="C2440" s="144"/>
      <c r="D2440" s="144"/>
      <c r="E2440" s="144"/>
      <c r="F2440" s="373"/>
      <c r="I2440" s="70"/>
    </row>
    <row r="2441" spans="3:9" s="46" customFormat="1" x14ac:dyDescent="0.2">
      <c r="C2441" s="144"/>
      <c r="D2441" s="144"/>
      <c r="E2441" s="144"/>
      <c r="F2441" s="373"/>
      <c r="I2441" s="70"/>
    </row>
    <row r="2442" spans="3:9" s="46" customFormat="1" x14ac:dyDescent="0.2">
      <c r="C2442" s="144"/>
      <c r="D2442" s="144"/>
      <c r="E2442" s="144"/>
      <c r="F2442" s="373"/>
      <c r="I2442" s="70"/>
    </row>
    <row r="2443" spans="3:9" s="46" customFormat="1" x14ac:dyDescent="0.2">
      <c r="C2443" s="144"/>
      <c r="D2443" s="144"/>
      <c r="E2443" s="144"/>
      <c r="F2443" s="373"/>
      <c r="I2443" s="70"/>
    </row>
    <row r="2444" spans="3:9" s="46" customFormat="1" x14ac:dyDescent="0.2">
      <c r="C2444" s="144"/>
      <c r="D2444" s="144"/>
      <c r="E2444" s="144"/>
      <c r="F2444" s="373"/>
      <c r="I2444" s="70"/>
    </row>
    <row r="2445" spans="3:9" s="46" customFormat="1" x14ac:dyDescent="0.2">
      <c r="C2445" s="144"/>
      <c r="D2445" s="144"/>
      <c r="E2445" s="144"/>
      <c r="F2445" s="373"/>
      <c r="I2445" s="70"/>
    </row>
    <row r="2446" spans="3:9" s="46" customFormat="1" x14ac:dyDescent="0.2">
      <c r="C2446" s="144"/>
      <c r="D2446" s="144"/>
      <c r="E2446" s="144"/>
      <c r="F2446" s="373"/>
      <c r="I2446" s="70"/>
    </row>
    <row r="2447" spans="3:9" s="46" customFormat="1" x14ac:dyDescent="0.2">
      <c r="C2447" s="144"/>
      <c r="D2447" s="144"/>
      <c r="E2447" s="144"/>
      <c r="F2447" s="373"/>
      <c r="I2447" s="70"/>
    </row>
    <row r="2448" spans="3:9" s="46" customFormat="1" x14ac:dyDescent="0.2">
      <c r="C2448" s="144"/>
      <c r="D2448" s="144"/>
      <c r="E2448" s="144"/>
      <c r="F2448" s="373"/>
      <c r="I2448" s="70"/>
    </row>
    <row r="2449" spans="3:9" s="46" customFormat="1" x14ac:dyDescent="0.2">
      <c r="C2449" s="144"/>
      <c r="D2449" s="144"/>
      <c r="E2449" s="144"/>
      <c r="F2449" s="373"/>
      <c r="I2449" s="70"/>
    </row>
    <row r="2450" spans="3:9" s="46" customFormat="1" x14ac:dyDescent="0.2">
      <c r="C2450" s="144"/>
      <c r="D2450" s="144"/>
      <c r="E2450" s="144"/>
      <c r="F2450" s="373"/>
      <c r="I2450" s="70"/>
    </row>
    <row r="2451" spans="3:9" s="46" customFormat="1" x14ac:dyDescent="0.2">
      <c r="C2451" s="144"/>
      <c r="D2451" s="144"/>
      <c r="E2451" s="144"/>
      <c r="F2451" s="373"/>
      <c r="I2451" s="70"/>
    </row>
    <row r="2452" spans="3:9" s="46" customFormat="1" x14ac:dyDescent="0.2">
      <c r="C2452" s="144"/>
      <c r="D2452" s="144"/>
      <c r="E2452" s="144"/>
      <c r="F2452" s="373"/>
      <c r="I2452" s="70"/>
    </row>
    <row r="2453" spans="3:9" s="46" customFormat="1" x14ac:dyDescent="0.2">
      <c r="C2453" s="144"/>
      <c r="D2453" s="144"/>
      <c r="E2453" s="144"/>
      <c r="F2453" s="373"/>
      <c r="I2453" s="70"/>
    </row>
    <row r="2454" spans="3:9" s="46" customFormat="1" x14ac:dyDescent="0.2">
      <c r="C2454" s="144"/>
      <c r="D2454" s="144"/>
      <c r="E2454" s="144"/>
      <c r="F2454" s="373"/>
      <c r="I2454" s="70"/>
    </row>
    <row r="2455" spans="3:9" s="46" customFormat="1" x14ac:dyDescent="0.2">
      <c r="C2455" s="144"/>
      <c r="D2455" s="144"/>
      <c r="E2455" s="144"/>
      <c r="F2455" s="373"/>
      <c r="I2455" s="70"/>
    </row>
    <row r="2456" spans="3:9" s="46" customFormat="1" x14ac:dyDescent="0.2">
      <c r="C2456" s="144"/>
      <c r="D2456" s="144"/>
      <c r="E2456" s="144"/>
      <c r="F2456" s="373"/>
      <c r="I2456" s="70"/>
    </row>
    <row r="2457" spans="3:9" s="46" customFormat="1" x14ac:dyDescent="0.2">
      <c r="C2457" s="144"/>
      <c r="D2457" s="144"/>
      <c r="E2457" s="144"/>
      <c r="F2457" s="373"/>
      <c r="I2457" s="70"/>
    </row>
    <row r="2458" spans="3:9" s="46" customFormat="1" x14ac:dyDescent="0.2">
      <c r="C2458" s="144"/>
      <c r="D2458" s="144"/>
      <c r="E2458" s="144"/>
      <c r="F2458" s="373"/>
      <c r="I2458" s="70"/>
    </row>
    <row r="2459" spans="3:9" s="46" customFormat="1" x14ac:dyDescent="0.2">
      <c r="C2459" s="144"/>
      <c r="D2459" s="144"/>
      <c r="E2459" s="144"/>
      <c r="F2459" s="373"/>
      <c r="I2459" s="70"/>
    </row>
    <row r="2460" spans="3:9" s="46" customFormat="1" x14ac:dyDescent="0.2">
      <c r="C2460" s="144"/>
      <c r="D2460" s="144"/>
      <c r="E2460" s="144"/>
      <c r="F2460" s="373"/>
      <c r="I2460" s="70"/>
    </row>
    <row r="2461" spans="3:9" s="46" customFormat="1" x14ac:dyDescent="0.2">
      <c r="C2461" s="144"/>
      <c r="D2461" s="144"/>
      <c r="E2461" s="144"/>
      <c r="F2461" s="373"/>
      <c r="I2461" s="70"/>
    </row>
    <row r="2462" spans="3:9" s="46" customFormat="1" x14ac:dyDescent="0.2">
      <c r="C2462" s="144"/>
      <c r="D2462" s="144"/>
      <c r="E2462" s="144"/>
      <c r="F2462" s="373"/>
      <c r="I2462" s="70"/>
    </row>
    <row r="2463" spans="3:9" s="46" customFormat="1" x14ac:dyDescent="0.2">
      <c r="C2463" s="144"/>
      <c r="D2463" s="144"/>
      <c r="E2463" s="144"/>
      <c r="F2463" s="373"/>
      <c r="I2463" s="70"/>
    </row>
    <row r="2464" spans="3:9" s="46" customFormat="1" x14ac:dyDescent="0.2">
      <c r="C2464" s="144"/>
      <c r="D2464" s="144"/>
      <c r="E2464" s="144"/>
      <c r="F2464" s="373"/>
      <c r="I2464" s="70"/>
    </row>
    <row r="2465" spans="3:9" s="46" customFormat="1" x14ac:dyDescent="0.2">
      <c r="C2465" s="144"/>
      <c r="D2465" s="144"/>
      <c r="E2465" s="144"/>
      <c r="F2465" s="373"/>
      <c r="I2465" s="70"/>
    </row>
    <row r="2466" spans="3:9" s="46" customFormat="1" x14ac:dyDescent="0.2">
      <c r="C2466" s="144"/>
      <c r="D2466" s="144"/>
      <c r="E2466" s="144"/>
      <c r="F2466" s="373"/>
      <c r="I2466" s="70"/>
    </row>
    <row r="2467" spans="3:9" s="46" customFormat="1" x14ac:dyDescent="0.2">
      <c r="C2467" s="144"/>
      <c r="D2467" s="144"/>
      <c r="E2467" s="144"/>
      <c r="F2467" s="373"/>
      <c r="I2467" s="70"/>
    </row>
    <row r="2468" spans="3:9" s="46" customFormat="1" x14ac:dyDescent="0.2">
      <c r="C2468" s="144"/>
      <c r="D2468" s="144"/>
      <c r="E2468" s="144"/>
      <c r="F2468" s="373"/>
      <c r="I2468" s="70"/>
    </row>
    <row r="2469" spans="3:9" s="46" customFormat="1" x14ac:dyDescent="0.2">
      <c r="C2469" s="144"/>
      <c r="D2469" s="144"/>
      <c r="E2469" s="144"/>
      <c r="F2469" s="373"/>
      <c r="I2469" s="70"/>
    </row>
    <row r="2470" spans="3:9" s="46" customFormat="1" x14ac:dyDescent="0.2">
      <c r="C2470" s="144"/>
      <c r="D2470" s="144"/>
      <c r="E2470" s="144"/>
      <c r="F2470" s="373"/>
      <c r="I2470" s="70"/>
    </row>
    <row r="2471" spans="3:9" s="46" customFormat="1" x14ac:dyDescent="0.2">
      <c r="C2471" s="144"/>
      <c r="D2471" s="144"/>
      <c r="E2471" s="144"/>
      <c r="F2471" s="373"/>
      <c r="I2471" s="70"/>
    </row>
    <row r="2472" spans="3:9" s="46" customFormat="1" x14ac:dyDescent="0.2">
      <c r="C2472" s="144"/>
      <c r="D2472" s="144"/>
      <c r="E2472" s="144"/>
      <c r="F2472" s="373"/>
      <c r="I2472" s="70"/>
    </row>
    <row r="2473" spans="3:9" s="46" customFormat="1" x14ac:dyDescent="0.2">
      <c r="C2473" s="144"/>
      <c r="D2473" s="144"/>
      <c r="E2473" s="144"/>
      <c r="F2473" s="373"/>
      <c r="I2473" s="70"/>
    </row>
    <row r="2474" spans="3:9" s="46" customFormat="1" x14ac:dyDescent="0.2">
      <c r="C2474" s="144"/>
      <c r="D2474" s="144"/>
      <c r="E2474" s="144"/>
      <c r="F2474" s="373"/>
      <c r="I2474" s="70"/>
    </row>
    <row r="2475" spans="3:9" s="46" customFormat="1" x14ac:dyDescent="0.2">
      <c r="C2475" s="144"/>
      <c r="D2475" s="144"/>
      <c r="E2475" s="144"/>
      <c r="F2475" s="373"/>
      <c r="I2475" s="70"/>
    </row>
    <row r="2476" spans="3:9" s="46" customFormat="1" x14ac:dyDescent="0.2">
      <c r="C2476" s="144"/>
      <c r="D2476" s="144"/>
      <c r="E2476" s="144"/>
      <c r="F2476" s="373"/>
      <c r="I2476" s="70"/>
    </row>
    <row r="2477" spans="3:9" s="46" customFormat="1" x14ac:dyDescent="0.2">
      <c r="C2477" s="144"/>
      <c r="D2477" s="144"/>
      <c r="E2477" s="144"/>
      <c r="F2477" s="373"/>
      <c r="I2477" s="70"/>
    </row>
    <row r="2478" spans="3:9" s="46" customFormat="1" x14ac:dyDescent="0.2">
      <c r="C2478" s="144"/>
      <c r="D2478" s="144"/>
      <c r="E2478" s="144"/>
      <c r="F2478" s="373"/>
      <c r="I2478" s="70"/>
    </row>
    <row r="2479" spans="3:9" s="46" customFormat="1" x14ac:dyDescent="0.2">
      <c r="C2479" s="144"/>
      <c r="D2479" s="144"/>
      <c r="E2479" s="144"/>
      <c r="F2479" s="373"/>
      <c r="I2479" s="70"/>
    </row>
    <row r="2480" spans="3:9" s="46" customFormat="1" x14ac:dyDescent="0.2">
      <c r="C2480" s="144"/>
      <c r="D2480" s="144"/>
      <c r="E2480" s="144"/>
      <c r="F2480" s="373"/>
      <c r="I2480" s="70"/>
    </row>
    <row r="2481" spans="3:9" s="46" customFormat="1" x14ac:dyDescent="0.2">
      <c r="C2481" s="144"/>
      <c r="D2481" s="144"/>
      <c r="E2481" s="144"/>
      <c r="F2481" s="373"/>
      <c r="I2481" s="70"/>
    </row>
    <row r="2482" spans="3:9" s="46" customFormat="1" x14ac:dyDescent="0.2">
      <c r="C2482" s="144"/>
      <c r="D2482" s="144"/>
      <c r="E2482" s="144"/>
      <c r="F2482" s="373"/>
      <c r="I2482" s="70"/>
    </row>
    <row r="2483" spans="3:9" s="46" customFormat="1" x14ac:dyDescent="0.2">
      <c r="C2483" s="144"/>
      <c r="D2483" s="144"/>
      <c r="E2483" s="144"/>
      <c r="F2483" s="373"/>
      <c r="I2483" s="70"/>
    </row>
    <row r="2484" spans="3:9" s="46" customFormat="1" x14ac:dyDescent="0.2">
      <c r="C2484" s="144"/>
      <c r="D2484" s="144"/>
      <c r="E2484" s="144"/>
      <c r="F2484" s="373"/>
      <c r="I2484" s="70"/>
    </row>
    <row r="2485" spans="3:9" s="46" customFormat="1" x14ac:dyDescent="0.2">
      <c r="C2485" s="144"/>
      <c r="D2485" s="144"/>
      <c r="E2485" s="144"/>
      <c r="F2485" s="373"/>
      <c r="I2485" s="70"/>
    </row>
    <row r="2486" spans="3:9" s="46" customFormat="1" x14ac:dyDescent="0.2">
      <c r="C2486" s="144"/>
      <c r="D2486" s="144"/>
      <c r="E2486" s="144"/>
      <c r="F2486" s="373"/>
      <c r="I2486" s="70"/>
    </row>
    <row r="2487" spans="3:9" s="46" customFormat="1" x14ac:dyDescent="0.2">
      <c r="C2487" s="144"/>
      <c r="D2487" s="144"/>
      <c r="E2487" s="144"/>
      <c r="F2487" s="373"/>
      <c r="I2487" s="70"/>
    </row>
    <row r="2488" spans="3:9" s="46" customFormat="1" x14ac:dyDescent="0.2">
      <c r="C2488" s="144"/>
      <c r="D2488" s="144"/>
      <c r="E2488" s="144"/>
      <c r="F2488" s="373"/>
      <c r="I2488" s="70"/>
    </row>
    <row r="2489" spans="3:9" s="46" customFormat="1" x14ac:dyDescent="0.2">
      <c r="C2489" s="144"/>
      <c r="D2489" s="144"/>
      <c r="E2489" s="144"/>
      <c r="F2489" s="373"/>
      <c r="I2489" s="70"/>
    </row>
    <row r="2490" spans="3:9" s="46" customFormat="1" x14ac:dyDescent="0.2">
      <c r="C2490" s="144"/>
      <c r="D2490" s="144"/>
      <c r="E2490" s="144"/>
      <c r="F2490" s="373"/>
      <c r="I2490" s="70"/>
    </row>
    <row r="2491" spans="3:9" s="46" customFormat="1" x14ac:dyDescent="0.2">
      <c r="C2491" s="144"/>
      <c r="D2491" s="144"/>
      <c r="E2491" s="144"/>
      <c r="F2491" s="373"/>
      <c r="I2491" s="70"/>
    </row>
    <row r="2492" spans="3:9" s="46" customFormat="1" x14ac:dyDescent="0.2">
      <c r="C2492" s="144"/>
      <c r="D2492" s="144"/>
      <c r="E2492" s="144"/>
      <c r="F2492" s="373"/>
      <c r="I2492" s="70"/>
    </row>
    <row r="2493" spans="3:9" s="46" customFormat="1" x14ac:dyDescent="0.2">
      <c r="C2493" s="144"/>
      <c r="D2493" s="144"/>
      <c r="E2493" s="144"/>
      <c r="F2493" s="373"/>
      <c r="I2493" s="70"/>
    </row>
    <row r="2494" spans="3:9" s="46" customFormat="1" x14ac:dyDescent="0.2">
      <c r="C2494" s="144"/>
      <c r="D2494" s="144"/>
      <c r="E2494" s="144"/>
      <c r="F2494" s="373"/>
      <c r="I2494" s="70"/>
    </row>
    <row r="2495" spans="3:9" s="46" customFormat="1" x14ac:dyDescent="0.2">
      <c r="C2495" s="144"/>
      <c r="D2495" s="144"/>
      <c r="E2495" s="144"/>
      <c r="F2495" s="373"/>
      <c r="I2495" s="70"/>
    </row>
    <row r="2496" spans="3:9" s="46" customFormat="1" x14ac:dyDescent="0.2">
      <c r="C2496" s="144"/>
      <c r="D2496" s="144"/>
      <c r="E2496" s="144"/>
      <c r="F2496" s="373"/>
      <c r="I2496" s="70"/>
    </row>
    <row r="2497" spans="3:9" s="46" customFormat="1" x14ac:dyDescent="0.2">
      <c r="C2497" s="144"/>
      <c r="D2497" s="144"/>
      <c r="E2497" s="144"/>
      <c r="F2497" s="373"/>
      <c r="I2497" s="70"/>
    </row>
    <row r="2498" spans="3:9" s="46" customFormat="1" x14ac:dyDescent="0.2">
      <c r="C2498" s="144"/>
      <c r="D2498" s="144"/>
      <c r="E2498" s="144"/>
      <c r="F2498" s="373"/>
      <c r="I2498" s="70"/>
    </row>
    <row r="2499" spans="3:9" s="46" customFormat="1" x14ac:dyDescent="0.2">
      <c r="C2499" s="144"/>
      <c r="D2499" s="144"/>
      <c r="E2499" s="144"/>
      <c r="F2499" s="373"/>
      <c r="I2499" s="70"/>
    </row>
    <row r="2500" spans="3:9" s="46" customFormat="1" x14ac:dyDescent="0.2">
      <c r="C2500" s="144"/>
      <c r="D2500" s="144"/>
      <c r="E2500" s="144"/>
      <c r="F2500" s="373"/>
      <c r="I2500" s="70"/>
    </row>
    <row r="2501" spans="3:9" s="46" customFormat="1" x14ac:dyDescent="0.2">
      <c r="C2501" s="144"/>
      <c r="D2501" s="144"/>
      <c r="E2501" s="144"/>
      <c r="F2501" s="373"/>
      <c r="I2501" s="70"/>
    </row>
    <row r="2502" spans="3:9" s="46" customFormat="1" x14ac:dyDescent="0.2">
      <c r="C2502" s="144"/>
      <c r="D2502" s="144"/>
      <c r="E2502" s="144"/>
      <c r="F2502" s="373"/>
      <c r="I2502" s="70"/>
    </row>
    <row r="2503" spans="3:9" s="46" customFormat="1" x14ac:dyDescent="0.2">
      <c r="C2503" s="144"/>
      <c r="D2503" s="144"/>
      <c r="E2503" s="144"/>
      <c r="F2503" s="373"/>
      <c r="I2503" s="70"/>
    </row>
    <row r="2504" spans="3:9" s="46" customFormat="1" x14ac:dyDescent="0.2">
      <c r="C2504" s="144"/>
      <c r="D2504" s="144"/>
      <c r="E2504" s="144"/>
      <c r="F2504" s="373"/>
      <c r="I2504" s="70"/>
    </row>
    <row r="2505" spans="3:9" s="46" customFormat="1" x14ac:dyDescent="0.2">
      <c r="C2505" s="144"/>
      <c r="D2505" s="144"/>
      <c r="E2505" s="144"/>
      <c r="F2505" s="373"/>
      <c r="I2505" s="70"/>
    </row>
    <row r="2506" spans="3:9" s="46" customFormat="1" x14ac:dyDescent="0.2">
      <c r="C2506" s="144"/>
      <c r="D2506" s="144"/>
      <c r="E2506" s="144"/>
      <c r="F2506" s="373"/>
      <c r="I2506" s="70"/>
    </row>
    <row r="2507" spans="3:9" s="46" customFormat="1" x14ac:dyDescent="0.2">
      <c r="C2507" s="144"/>
      <c r="D2507" s="144"/>
      <c r="E2507" s="144"/>
      <c r="F2507" s="373"/>
      <c r="I2507" s="70"/>
    </row>
    <row r="2508" spans="3:9" s="46" customFormat="1" x14ac:dyDescent="0.2">
      <c r="C2508" s="144"/>
      <c r="D2508" s="144"/>
      <c r="E2508" s="144"/>
      <c r="F2508" s="373"/>
      <c r="I2508" s="70"/>
    </row>
    <row r="2509" spans="3:9" s="46" customFormat="1" x14ac:dyDescent="0.2">
      <c r="C2509" s="144"/>
      <c r="D2509" s="144"/>
      <c r="E2509" s="144"/>
      <c r="F2509" s="373"/>
      <c r="I2509" s="70"/>
    </row>
    <row r="2510" spans="3:9" s="46" customFormat="1" x14ac:dyDescent="0.2">
      <c r="C2510" s="144"/>
      <c r="D2510" s="144"/>
      <c r="E2510" s="144"/>
      <c r="F2510" s="373"/>
      <c r="I2510" s="70"/>
    </row>
    <row r="2511" spans="3:9" s="46" customFormat="1" x14ac:dyDescent="0.2">
      <c r="C2511" s="144"/>
      <c r="D2511" s="144"/>
      <c r="E2511" s="144"/>
      <c r="F2511" s="373"/>
      <c r="I2511" s="70"/>
    </row>
    <row r="2512" spans="3:9" s="46" customFormat="1" x14ac:dyDescent="0.2">
      <c r="C2512" s="144"/>
      <c r="D2512" s="144"/>
      <c r="E2512" s="144"/>
      <c r="F2512" s="373"/>
      <c r="I2512" s="70"/>
    </row>
    <row r="2513" spans="3:9" s="46" customFormat="1" x14ac:dyDescent="0.2">
      <c r="C2513" s="144"/>
      <c r="D2513" s="144"/>
      <c r="E2513" s="144"/>
      <c r="F2513" s="373"/>
      <c r="I2513" s="70"/>
    </row>
    <row r="2514" spans="3:9" s="46" customFormat="1" x14ac:dyDescent="0.2">
      <c r="C2514" s="144"/>
      <c r="D2514" s="144"/>
      <c r="E2514" s="144"/>
      <c r="F2514" s="373"/>
      <c r="I2514" s="70"/>
    </row>
    <row r="2515" spans="3:9" s="46" customFormat="1" x14ac:dyDescent="0.2">
      <c r="C2515" s="144"/>
      <c r="D2515" s="144"/>
      <c r="E2515" s="144"/>
      <c r="F2515" s="373"/>
      <c r="I2515" s="70"/>
    </row>
    <row r="2516" spans="3:9" s="46" customFormat="1" x14ac:dyDescent="0.2">
      <c r="C2516" s="144"/>
      <c r="D2516" s="144"/>
      <c r="E2516" s="144"/>
      <c r="F2516" s="373"/>
      <c r="I2516" s="70"/>
    </row>
    <row r="2517" spans="3:9" s="46" customFormat="1" x14ac:dyDescent="0.2">
      <c r="C2517" s="144"/>
      <c r="D2517" s="144"/>
      <c r="E2517" s="144"/>
      <c r="F2517" s="373"/>
      <c r="I2517" s="70"/>
    </row>
    <row r="2518" spans="3:9" s="46" customFormat="1" x14ac:dyDescent="0.2">
      <c r="C2518" s="144"/>
      <c r="D2518" s="144"/>
      <c r="E2518" s="144"/>
      <c r="F2518" s="373"/>
      <c r="I2518" s="70"/>
    </row>
    <row r="2519" spans="3:9" s="46" customFormat="1" x14ac:dyDescent="0.2">
      <c r="C2519" s="144"/>
      <c r="D2519" s="144"/>
      <c r="E2519" s="144"/>
      <c r="F2519" s="373"/>
      <c r="I2519" s="70"/>
    </row>
    <row r="2520" spans="3:9" s="46" customFormat="1" x14ac:dyDescent="0.2">
      <c r="C2520" s="144"/>
      <c r="D2520" s="144"/>
      <c r="E2520" s="144"/>
      <c r="F2520" s="373"/>
      <c r="I2520" s="70"/>
    </row>
    <row r="2521" spans="3:9" s="46" customFormat="1" x14ac:dyDescent="0.2">
      <c r="C2521" s="144"/>
      <c r="D2521" s="144"/>
      <c r="E2521" s="144"/>
      <c r="F2521" s="373"/>
      <c r="I2521" s="70"/>
    </row>
    <row r="2522" spans="3:9" s="46" customFormat="1" x14ac:dyDescent="0.2">
      <c r="C2522" s="144"/>
      <c r="D2522" s="144"/>
      <c r="E2522" s="144"/>
      <c r="F2522" s="373"/>
      <c r="I2522" s="70"/>
    </row>
    <row r="2523" spans="3:9" s="46" customFormat="1" x14ac:dyDescent="0.2">
      <c r="C2523" s="144"/>
      <c r="D2523" s="144"/>
      <c r="E2523" s="144"/>
      <c r="F2523" s="373"/>
      <c r="I2523" s="70"/>
    </row>
    <row r="2524" spans="3:9" s="46" customFormat="1" x14ac:dyDescent="0.2">
      <c r="C2524" s="144"/>
      <c r="D2524" s="144"/>
      <c r="E2524" s="144"/>
      <c r="F2524" s="373"/>
      <c r="I2524" s="70"/>
    </row>
    <row r="2525" spans="3:9" s="46" customFormat="1" x14ac:dyDescent="0.2">
      <c r="C2525" s="144"/>
      <c r="D2525" s="144"/>
      <c r="E2525" s="144"/>
      <c r="F2525" s="373"/>
      <c r="I2525" s="70"/>
    </row>
    <row r="2526" spans="3:9" s="46" customFormat="1" x14ac:dyDescent="0.2">
      <c r="C2526" s="144"/>
      <c r="D2526" s="144"/>
      <c r="E2526" s="144"/>
      <c r="F2526" s="373"/>
      <c r="I2526" s="70"/>
    </row>
    <row r="2527" spans="3:9" s="46" customFormat="1" x14ac:dyDescent="0.2">
      <c r="C2527" s="144"/>
      <c r="D2527" s="144"/>
      <c r="E2527" s="144"/>
      <c r="F2527" s="373"/>
      <c r="I2527" s="70"/>
    </row>
    <row r="2528" spans="3:9" s="46" customFormat="1" x14ac:dyDescent="0.2">
      <c r="C2528" s="144"/>
      <c r="D2528" s="144"/>
      <c r="E2528" s="144"/>
      <c r="F2528" s="373"/>
      <c r="I2528" s="70"/>
    </row>
    <row r="2529" spans="3:9" s="46" customFormat="1" x14ac:dyDescent="0.2">
      <c r="C2529" s="144"/>
      <c r="D2529" s="144"/>
      <c r="E2529" s="144"/>
      <c r="F2529" s="373"/>
      <c r="I2529" s="70"/>
    </row>
    <row r="2530" spans="3:9" s="46" customFormat="1" x14ac:dyDescent="0.2">
      <c r="C2530" s="144"/>
      <c r="D2530" s="144"/>
      <c r="E2530" s="144"/>
      <c r="F2530" s="373"/>
      <c r="I2530" s="70"/>
    </row>
    <row r="2531" spans="3:9" s="46" customFormat="1" x14ac:dyDescent="0.2">
      <c r="C2531" s="144"/>
      <c r="D2531" s="144"/>
      <c r="E2531" s="144"/>
      <c r="F2531" s="373"/>
      <c r="I2531" s="70"/>
    </row>
    <row r="2532" spans="3:9" s="46" customFormat="1" x14ac:dyDescent="0.2">
      <c r="C2532" s="144"/>
      <c r="D2532" s="144"/>
      <c r="E2532" s="144"/>
      <c r="F2532" s="373"/>
      <c r="I2532" s="70"/>
    </row>
    <row r="2533" spans="3:9" s="46" customFormat="1" x14ac:dyDescent="0.2">
      <c r="C2533" s="144"/>
      <c r="D2533" s="144"/>
      <c r="E2533" s="144"/>
      <c r="F2533" s="373"/>
      <c r="I2533" s="70"/>
    </row>
    <row r="2534" spans="3:9" s="46" customFormat="1" x14ac:dyDescent="0.2">
      <c r="C2534" s="144"/>
      <c r="D2534" s="144"/>
      <c r="E2534" s="144"/>
      <c r="F2534" s="373"/>
      <c r="I2534" s="70"/>
    </row>
    <row r="2535" spans="3:9" s="46" customFormat="1" x14ac:dyDescent="0.2">
      <c r="C2535" s="144"/>
      <c r="D2535" s="144"/>
      <c r="E2535" s="144"/>
      <c r="F2535" s="373"/>
      <c r="I2535" s="70"/>
    </row>
    <row r="2536" spans="3:9" s="46" customFormat="1" x14ac:dyDescent="0.2">
      <c r="C2536" s="144"/>
      <c r="D2536" s="144"/>
      <c r="E2536" s="144"/>
      <c r="F2536" s="373"/>
      <c r="I2536" s="70"/>
    </row>
    <row r="2537" spans="3:9" s="46" customFormat="1" x14ac:dyDescent="0.2">
      <c r="C2537" s="144"/>
      <c r="D2537" s="144"/>
      <c r="E2537" s="144"/>
      <c r="F2537" s="373"/>
      <c r="I2537" s="70"/>
    </row>
    <row r="2538" spans="3:9" s="46" customFormat="1" x14ac:dyDescent="0.2">
      <c r="C2538" s="144"/>
      <c r="D2538" s="144"/>
      <c r="E2538" s="144"/>
      <c r="F2538" s="373"/>
      <c r="I2538" s="70"/>
    </row>
    <row r="2539" spans="3:9" s="46" customFormat="1" x14ac:dyDescent="0.2">
      <c r="C2539" s="144"/>
      <c r="D2539" s="144"/>
      <c r="E2539" s="144"/>
      <c r="F2539" s="373"/>
      <c r="I2539" s="70"/>
    </row>
    <row r="2540" spans="3:9" s="46" customFormat="1" x14ac:dyDescent="0.2">
      <c r="C2540" s="144"/>
      <c r="D2540" s="144"/>
      <c r="E2540" s="144"/>
      <c r="F2540" s="373"/>
      <c r="I2540" s="70"/>
    </row>
    <row r="2541" spans="3:9" s="46" customFormat="1" x14ac:dyDescent="0.2">
      <c r="C2541" s="144"/>
      <c r="D2541" s="144"/>
      <c r="E2541" s="144"/>
      <c r="F2541" s="373"/>
      <c r="I2541" s="70"/>
    </row>
    <row r="2542" spans="3:9" s="46" customFormat="1" x14ac:dyDescent="0.2">
      <c r="C2542" s="144"/>
      <c r="D2542" s="144"/>
      <c r="E2542" s="144"/>
      <c r="F2542" s="373"/>
      <c r="I2542" s="70"/>
    </row>
    <row r="2543" spans="3:9" s="46" customFormat="1" x14ac:dyDescent="0.2">
      <c r="C2543" s="144"/>
      <c r="D2543" s="144"/>
      <c r="E2543" s="144"/>
      <c r="F2543" s="373"/>
      <c r="I2543" s="70"/>
    </row>
    <row r="2544" spans="3:9" s="46" customFormat="1" x14ac:dyDescent="0.2">
      <c r="C2544" s="144"/>
      <c r="D2544" s="144"/>
      <c r="E2544" s="144"/>
      <c r="F2544" s="373"/>
      <c r="I2544" s="70"/>
    </row>
    <row r="2545" spans="3:9" s="46" customFormat="1" x14ac:dyDescent="0.2">
      <c r="C2545" s="144"/>
      <c r="D2545" s="144"/>
      <c r="E2545" s="144"/>
      <c r="F2545" s="373"/>
      <c r="I2545" s="70"/>
    </row>
    <row r="2546" spans="3:9" s="46" customFormat="1" x14ac:dyDescent="0.2">
      <c r="C2546" s="144"/>
      <c r="D2546" s="144"/>
      <c r="E2546" s="144"/>
      <c r="F2546" s="373"/>
      <c r="I2546" s="70"/>
    </row>
    <row r="2547" spans="3:9" s="46" customFormat="1" x14ac:dyDescent="0.2">
      <c r="C2547" s="144"/>
      <c r="D2547" s="144"/>
      <c r="E2547" s="144"/>
      <c r="F2547" s="373"/>
      <c r="I2547" s="70"/>
    </row>
    <row r="2548" spans="3:9" s="46" customFormat="1" x14ac:dyDescent="0.2">
      <c r="C2548" s="144"/>
      <c r="D2548" s="144"/>
      <c r="E2548" s="144"/>
      <c r="F2548" s="373"/>
      <c r="I2548" s="70"/>
    </row>
    <row r="2549" spans="3:9" s="46" customFormat="1" x14ac:dyDescent="0.2">
      <c r="C2549" s="144"/>
      <c r="D2549" s="144"/>
      <c r="E2549" s="144"/>
      <c r="F2549" s="373"/>
      <c r="I2549" s="70"/>
    </row>
    <row r="2550" spans="3:9" s="46" customFormat="1" x14ac:dyDescent="0.2">
      <c r="C2550" s="144"/>
      <c r="D2550" s="144"/>
      <c r="E2550" s="144"/>
      <c r="F2550" s="373"/>
      <c r="I2550" s="70"/>
    </row>
    <row r="2551" spans="3:9" s="46" customFormat="1" x14ac:dyDescent="0.2">
      <c r="C2551" s="144"/>
      <c r="D2551" s="144"/>
      <c r="E2551" s="144"/>
      <c r="F2551" s="373"/>
      <c r="I2551" s="70"/>
    </row>
    <row r="2552" spans="3:9" s="46" customFormat="1" x14ac:dyDescent="0.2">
      <c r="C2552" s="144"/>
      <c r="D2552" s="144"/>
      <c r="E2552" s="144"/>
      <c r="F2552" s="373"/>
      <c r="I2552" s="70"/>
    </row>
    <row r="2553" spans="3:9" s="46" customFormat="1" x14ac:dyDescent="0.2">
      <c r="C2553" s="144"/>
      <c r="D2553" s="144"/>
      <c r="E2553" s="144"/>
      <c r="F2553" s="373"/>
      <c r="I2553" s="70"/>
    </row>
    <row r="2554" spans="3:9" s="46" customFormat="1" x14ac:dyDescent="0.2">
      <c r="C2554" s="144"/>
      <c r="D2554" s="144"/>
      <c r="E2554" s="144"/>
      <c r="F2554" s="373"/>
      <c r="I2554" s="70"/>
    </row>
    <row r="2555" spans="3:9" s="46" customFormat="1" x14ac:dyDescent="0.2">
      <c r="C2555" s="144"/>
      <c r="D2555" s="144"/>
      <c r="E2555" s="144"/>
      <c r="F2555" s="373"/>
      <c r="I2555" s="70"/>
    </row>
    <row r="2556" spans="3:9" s="46" customFormat="1" x14ac:dyDescent="0.2">
      <c r="C2556" s="144"/>
      <c r="D2556" s="144"/>
      <c r="E2556" s="144"/>
      <c r="F2556" s="373"/>
      <c r="I2556" s="70"/>
    </row>
    <row r="2557" spans="3:9" s="46" customFormat="1" x14ac:dyDescent="0.2">
      <c r="C2557" s="144"/>
      <c r="D2557" s="144"/>
      <c r="E2557" s="144"/>
      <c r="F2557" s="373"/>
      <c r="I2557" s="70"/>
    </row>
    <row r="2558" spans="3:9" s="46" customFormat="1" x14ac:dyDescent="0.2">
      <c r="C2558" s="144"/>
      <c r="D2558" s="144"/>
      <c r="E2558" s="144"/>
      <c r="F2558" s="373"/>
      <c r="I2558" s="70"/>
    </row>
    <row r="2559" spans="3:9" s="46" customFormat="1" x14ac:dyDescent="0.2">
      <c r="C2559" s="144"/>
      <c r="D2559" s="144"/>
      <c r="E2559" s="144"/>
      <c r="F2559" s="373"/>
      <c r="I2559" s="70"/>
    </row>
    <row r="2560" spans="3:9" s="46" customFormat="1" x14ac:dyDescent="0.2">
      <c r="C2560" s="144"/>
      <c r="D2560" s="144"/>
      <c r="E2560" s="144"/>
      <c r="F2560" s="373"/>
      <c r="I2560" s="70"/>
    </row>
    <row r="2561" spans="3:9" s="46" customFormat="1" x14ac:dyDescent="0.2">
      <c r="C2561" s="144"/>
      <c r="D2561" s="144"/>
      <c r="E2561" s="144"/>
      <c r="F2561" s="373"/>
      <c r="I2561" s="70"/>
    </row>
    <row r="2562" spans="3:9" s="46" customFormat="1" x14ac:dyDescent="0.2">
      <c r="C2562" s="144"/>
      <c r="D2562" s="144"/>
      <c r="E2562" s="144"/>
      <c r="F2562" s="373"/>
      <c r="I2562" s="70"/>
    </row>
    <row r="2563" spans="3:9" s="46" customFormat="1" x14ac:dyDescent="0.2">
      <c r="C2563" s="144"/>
      <c r="D2563" s="144"/>
      <c r="E2563" s="144"/>
      <c r="F2563" s="373"/>
      <c r="I2563" s="70"/>
    </row>
    <row r="2564" spans="3:9" s="46" customFormat="1" x14ac:dyDescent="0.2">
      <c r="C2564" s="144"/>
      <c r="D2564" s="144"/>
      <c r="E2564" s="144"/>
      <c r="F2564" s="373"/>
      <c r="I2564" s="70"/>
    </row>
    <row r="2565" spans="3:9" s="46" customFormat="1" x14ac:dyDescent="0.2">
      <c r="C2565" s="144"/>
      <c r="D2565" s="144"/>
      <c r="E2565" s="144"/>
      <c r="F2565" s="373"/>
      <c r="I2565" s="70"/>
    </row>
    <row r="2566" spans="3:9" s="46" customFormat="1" x14ac:dyDescent="0.2">
      <c r="C2566" s="144"/>
      <c r="D2566" s="144"/>
      <c r="E2566" s="144"/>
      <c r="F2566" s="373"/>
      <c r="I2566" s="70"/>
    </row>
    <row r="2567" spans="3:9" s="46" customFormat="1" x14ac:dyDescent="0.2">
      <c r="C2567" s="144"/>
      <c r="D2567" s="144"/>
      <c r="E2567" s="144"/>
      <c r="F2567" s="373"/>
      <c r="I2567" s="70"/>
    </row>
    <row r="2568" spans="3:9" s="46" customFormat="1" x14ac:dyDescent="0.2">
      <c r="C2568" s="144"/>
      <c r="D2568" s="144"/>
      <c r="E2568" s="144"/>
      <c r="F2568" s="373"/>
      <c r="I2568" s="70"/>
    </row>
    <row r="2569" spans="3:9" s="46" customFormat="1" x14ac:dyDescent="0.2">
      <c r="C2569" s="144"/>
      <c r="D2569" s="144"/>
      <c r="E2569" s="144"/>
      <c r="F2569" s="373"/>
      <c r="I2569" s="70"/>
    </row>
    <row r="2570" spans="3:9" s="46" customFormat="1" x14ac:dyDescent="0.2">
      <c r="C2570" s="144"/>
      <c r="D2570" s="144"/>
      <c r="E2570" s="144"/>
      <c r="F2570" s="373"/>
      <c r="I2570" s="70"/>
    </row>
    <row r="2571" spans="3:9" s="46" customFormat="1" x14ac:dyDescent="0.2">
      <c r="C2571" s="144"/>
      <c r="D2571" s="144"/>
      <c r="E2571" s="144"/>
      <c r="F2571" s="373"/>
      <c r="I2571" s="70"/>
    </row>
    <row r="2572" spans="3:9" s="46" customFormat="1" x14ac:dyDescent="0.2">
      <c r="C2572" s="144"/>
      <c r="D2572" s="144"/>
      <c r="E2572" s="144"/>
      <c r="F2572" s="373"/>
      <c r="I2572" s="70"/>
    </row>
    <row r="2573" spans="3:9" s="46" customFormat="1" x14ac:dyDescent="0.2">
      <c r="C2573" s="144"/>
      <c r="D2573" s="144"/>
      <c r="E2573" s="144"/>
      <c r="F2573" s="373"/>
      <c r="I2573" s="70"/>
    </row>
    <row r="2574" spans="3:9" s="46" customFormat="1" x14ac:dyDescent="0.2">
      <c r="C2574" s="144"/>
      <c r="D2574" s="144"/>
      <c r="E2574" s="144"/>
      <c r="F2574" s="373"/>
      <c r="I2574" s="70"/>
    </row>
    <row r="2575" spans="3:9" s="46" customFormat="1" x14ac:dyDescent="0.2">
      <c r="C2575" s="144"/>
      <c r="D2575" s="144"/>
      <c r="E2575" s="144"/>
      <c r="F2575" s="373"/>
      <c r="I2575" s="70"/>
    </row>
    <row r="2576" spans="3:9" s="46" customFormat="1" x14ac:dyDescent="0.2">
      <c r="C2576" s="144"/>
      <c r="D2576" s="144"/>
      <c r="E2576" s="144"/>
      <c r="F2576" s="373"/>
      <c r="I2576" s="70"/>
    </row>
    <row r="2577" spans="3:9" s="46" customFormat="1" x14ac:dyDescent="0.2">
      <c r="C2577" s="144"/>
      <c r="D2577" s="144"/>
      <c r="E2577" s="144"/>
      <c r="F2577" s="373"/>
      <c r="I2577" s="70"/>
    </row>
    <row r="2578" spans="3:9" s="46" customFormat="1" x14ac:dyDescent="0.2">
      <c r="C2578" s="144"/>
      <c r="D2578" s="144"/>
      <c r="E2578" s="144"/>
      <c r="F2578" s="373"/>
      <c r="I2578" s="70"/>
    </row>
    <row r="2579" spans="3:9" s="46" customFormat="1" x14ac:dyDescent="0.2">
      <c r="C2579" s="144"/>
      <c r="D2579" s="144"/>
      <c r="E2579" s="144"/>
      <c r="F2579" s="373"/>
      <c r="I2579" s="70"/>
    </row>
    <row r="2580" spans="3:9" s="46" customFormat="1" x14ac:dyDescent="0.2">
      <c r="C2580" s="144"/>
      <c r="D2580" s="144"/>
      <c r="E2580" s="144"/>
      <c r="F2580" s="373"/>
      <c r="I2580" s="70"/>
    </row>
    <row r="2581" spans="3:9" s="46" customFormat="1" x14ac:dyDescent="0.2">
      <c r="C2581" s="144"/>
      <c r="D2581" s="144"/>
      <c r="E2581" s="144"/>
      <c r="F2581" s="373"/>
      <c r="I2581" s="70"/>
    </row>
    <row r="2582" spans="3:9" s="46" customFormat="1" x14ac:dyDescent="0.2">
      <c r="C2582" s="144"/>
      <c r="D2582" s="144"/>
      <c r="E2582" s="144"/>
      <c r="F2582" s="373"/>
      <c r="I2582" s="70"/>
    </row>
    <row r="2583" spans="3:9" s="46" customFormat="1" x14ac:dyDescent="0.2">
      <c r="C2583" s="144"/>
      <c r="D2583" s="144"/>
      <c r="E2583" s="144"/>
      <c r="F2583" s="373"/>
      <c r="I2583" s="70"/>
    </row>
    <row r="2584" spans="3:9" s="46" customFormat="1" x14ac:dyDescent="0.2">
      <c r="C2584" s="144"/>
      <c r="D2584" s="144"/>
      <c r="E2584" s="144"/>
      <c r="F2584" s="373"/>
      <c r="I2584" s="70"/>
    </row>
    <row r="2585" spans="3:9" s="46" customFormat="1" x14ac:dyDescent="0.2">
      <c r="C2585" s="144"/>
      <c r="D2585" s="144"/>
      <c r="E2585" s="144"/>
      <c r="F2585" s="373"/>
      <c r="I2585" s="70"/>
    </row>
    <row r="2586" spans="3:9" s="46" customFormat="1" x14ac:dyDescent="0.2">
      <c r="C2586" s="144"/>
      <c r="D2586" s="144"/>
      <c r="E2586" s="144"/>
      <c r="F2586" s="373"/>
      <c r="I2586" s="70"/>
    </row>
    <row r="2587" spans="3:9" s="46" customFormat="1" x14ac:dyDescent="0.2">
      <c r="C2587" s="144"/>
      <c r="D2587" s="144"/>
      <c r="E2587" s="144"/>
      <c r="F2587" s="373"/>
      <c r="I2587" s="70"/>
    </row>
    <row r="2588" spans="3:9" s="46" customFormat="1" x14ac:dyDescent="0.2">
      <c r="C2588" s="144"/>
      <c r="D2588" s="144"/>
      <c r="E2588" s="144"/>
      <c r="F2588" s="373"/>
      <c r="I2588" s="70"/>
    </row>
    <row r="2589" spans="3:9" s="46" customFormat="1" x14ac:dyDescent="0.2">
      <c r="C2589" s="144"/>
      <c r="D2589" s="144"/>
      <c r="E2589" s="144"/>
      <c r="F2589" s="373"/>
      <c r="I2589" s="70"/>
    </row>
    <row r="2590" spans="3:9" s="46" customFormat="1" x14ac:dyDescent="0.2">
      <c r="C2590" s="144"/>
      <c r="D2590" s="144"/>
      <c r="E2590" s="144"/>
      <c r="F2590" s="373"/>
      <c r="I2590" s="70"/>
    </row>
    <row r="2591" spans="3:9" s="46" customFormat="1" x14ac:dyDescent="0.2">
      <c r="C2591" s="144"/>
      <c r="D2591" s="144"/>
      <c r="E2591" s="144"/>
      <c r="F2591" s="373"/>
      <c r="I2591" s="70"/>
    </row>
    <row r="2592" spans="3:9" s="46" customFormat="1" x14ac:dyDescent="0.2">
      <c r="C2592" s="144"/>
      <c r="D2592" s="144"/>
      <c r="E2592" s="144"/>
      <c r="F2592" s="373"/>
      <c r="I2592" s="70"/>
    </row>
    <row r="2593" spans="3:9" s="46" customFormat="1" x14ac:dyDescent="0.2">
      <c r="C2593" s="144"/>
      <c r="D2593" s="144"/>
      <c r="E2593" s="144"/>
      <c r="F2593" s="373"/>
      <c r="I2593" s="70"/>
    </row>
    <row r="2594" spans="3:9" s="46" customFormat="1" x14ac:dyDescent="0.2">
      <c r="C2594" s="144"/>
      <c r="D2594" s="144"/>
      <c r="E2594" s="144"/>
      <c r="F2594" s="373"/>
      <c r="I2594" s="70"/>
    </row>
    <row r="2595" spans="3:9" s="46" customFormat="1" x14ac:dyDescent="0.2">
      <c r="C2595" s="144"/>
      <c r="D2595" s="144"/>
      <c r="E2595" s="144"/>
      <c r="F2595" s="373"/>
      <c r="I2595" s="70"/>
    </row>
    <row r="2596" spans="3:9" s="46" customFormat="1" x14ac:dyDescent="0.2">
      <c r="C2596" s="144"/>
      <c r="D2596" s="144"/>
      <c r="E2596" s="144"/>
      <c r="F2596" s="373"/>
      <c r="I2596" s="70"/>
    </row>
    <row r="2597" spans="3:9" s="46" customFormat="1" x14ac:dyDescent="0.2">
      <c r="C2597" s="144"/>
      <c r="D2597" s="144"/>
      <c r="E2597" s="144"/>
      <c r="F2597" s="373"/>
      <c r="I2597" s="70"/>
    </row>
    <row r="2598" spans="3:9" s="46" customFormat="1" x14ac:dyDescent="0.2">
      <c r="C2598" s="144"/>
      <c r="D2598" s="144"/>
      <c r="E2598" s="144"/>
      <c r="F2598" s="373"/>
      <c r="I2598" s="70"/>
    </row>
    <row r="2599" spans="3:9" s="46" customFormat="1" x14ac:dyDescent="0.2">
      <c r="C2599" s="144"/>
      <c r="D2599" s="144"/>
      <c r="E2599" s="144"/>
      <c r="F2599" s="373"/>
      <c r="I2599" s="70"/>
    </row>
    <row r="2600" spans="3:9" s="46" customFormat="1" x14ac:dyDescent="0.2">
      <c r="C2600" s="144"/>
      <c r="D2600" s="144"/>
      <c r="E2600" s="144"/>
      <c r="F2600" s="373"/>
      <c r="I2600" s="70"/>
    </row>
    <row r="2601" spans="3:9" s="46" customFormat="1" x14ac:dyDescent="0.2">
      <c r="C2601" s="144"/>
      <c r="D2601" s="144"/>
      <c r="E2601" s="144"/>
      <c r="F2601" s="373"/>
      <c r="I2601" s="70"/>
    </row>
    <row r="2602" spans="3:9" s="46" customFormat="1" x14ac:dyDescent="0.2">
      <c r="C2602" s="144"/>
      <c r="D2602" s="144"/>
      <c r="E2602" s="144"/>
      <c r="F2602" s="373"/>
      <c r="I2602" s="70"/>
    </row>
    <row r="2603" spans="3:9" s="46" customFormat="1" x14ac:dyDescent="0.2">
      <c r="C2603" s="144"/>
      <c r="D2603" s="144"/>
      <c r="E2603" s="144"/>
      <c r="F2603" s="373"/>
      <c r="I2603" s="70"/>
    </row>
    <row r="2604" spans="3:9" s="46" customFormat="1" x14ac:dyDescent="0.2">
      <c r="C2604" s="144"/>
      <c r="D2604" s="144"/>
      <c r="E2604" s="144"/>
      <c r="F2604" s="373"/>
      <c r="I2604" s="70"/>
    </row>
    <row r="2605" spans="3:9" s="46" customFormat="1" x14ac:dyDescent="0.2">
      <c r="C2605" s="144"/>
      <c r="D2605" s="144"/>
      <c r="E2605" s="144"/>
      <c r="F2605" s="373"/>
      <c r="I2605" s="70"/>
    </row>
    <row r="2606" spans="3:9" s="46" customFormat="1" x14ac:dyDescent="0.2">
      <c r="C2606" s="144"/>
      <c r="D2606" s="144"/>
      <c r="E2606" s="144"/>
      <c r="F2606" s="373"/>
      <c r="I2606" s="70"/>
    </row>
    <row r="2607" spans="3:9" s="46" customFormat="1" x14ac:dyDescent="0.2">
      <c r="C2607" s="144"/>
      <c r="D2607" s="144"/>
      <c r="E2607" s="144"/>
      <c r="F2607" s="373"/>
      <c r="I2607" s="70"/>
    </row>
    <row r="2608" spans="3:9" s="46" customFormat="1" x14ac:dyDescent="0.2">
      <c r="C2608" s="144"/>
      <c r="D2608" s="144"/>
      <c r="E2608" s="144"/>
      <c r="F2608" s="373"/>
      <c r="I2608" s="70"/>
    </row>
    <row r="2609" spans="3:9" s="46" customFormat="1" x14ac:dyDescent="0.2">
      <c r="C2609" s="144"/>
      <c r="D2609" s="144"/>
      <c r="E2609" s="144"/>
      <c r="F2609" s="373"/>
      <c r="I2609" s="70"/>
    </row>
    <row r="2610" spans="3:9" s="46" customFormat="1" x14ac:dyDescent="0.2">
      <c r="C2610" s="144"/>
      <c r="D2610" s="144"/>
      <c r="E2610" s="144"/>
      <c r="F2610" s="373"/>
      <c r="I2610" s="70"/>
    </row>
    <row r="2611" spans="3:9" s="46" customFormat="1" x14ac:dyDescent="0.2">
      <c r="C2611" s="144"/>
      <c r="D2611" s="144"/>
      <c r="E2611" s="144"/>
      <c r="F2611" s="373"/>
      <c r="I2611" s="70"/>
    </row>
    <row r="2612" spans="3:9" s="46" customFormat="1" x14ac:dyDescent="0.2">
      <c r="C2612" s="144"/>
      <c r="D2612" s="144"/>
      <c r="E2612" s="144"/>
      <c r="F2612" s="373"/>
      <c r="I2612" s="70"/>
    </row>
    <row r="2613" spans="3:9" s="46" customFormat="1" x14ac:dyDescent="0.2">
      <c r="C2613" s="144"/>
      <c r="D2613" s="144"/>
      <c r="E2613" s="144"/>
      <c r="F2613" s="373"/>
      <c r="I2613" s="70"/>
    </row>
    <row r="2614" spans="3:9" s="46" customFormat="1" x14ac:dyDescent="0.2">
      <c r="C2614" s="144"/>
      <c r="D2614" s="144"/>
      <c r="E2614" s="144"/>
      <c r="F2614" s="373"/>
      <c r="I2614" s="70"/>
    </row>
    <row r="2615" spans="3:9" s="46" customFormat="1" x14ac:dyDescent="0.2">
      <c r="C2615" s="144"/>
      <c r="D2615" s="144"/>
      <c r="E2615" s="144"/>
      <c r="F2615" s="373"/>
      <c r="I2615" s="70"/>
    </row>
    <row r="2616" spans="3:9" s="46" customFormat="1" x14ac:dyDescent="0.2">
      <c r="C2616" s="144"/>
      <c r="D2616" s="144"/>
      <c r="E2616" s="144"/>
      <c r="F2616" s="373"/>
      <c r="I2616" s="70"/>
    </row>
    <row r="2617" spans="3:9" s="46" customFormat="1" x14ac:dyDescent="0.2">
      <c r="C2617" s="144"/>
      <c r="D2617" s="144"/>
      <c r="E2617" s="144"/>
      <c r="F2617" s="373"/>
      <c r="I2617" s="70"/>
    </row>
    <row r="2618" spans="3:9" s="46" customFormat="1" x14ac:dyDescent="0.2">
      <c r="C2618" s="144"/>
      <c r="D2618" s="144"/>
      <c r="E2618" s="144"/>
      <c r="F2618" s="373"/>
      <c r="I2618" s="70"/>
    </row>
    <row r="2619" spans="3:9" s="46" customFormat="1" x14ac:dyDescent="0.2">
      <c r="C2619" s="144"/>
      <c r="D2619" s="144"/>
      <c r="E2619" s="144"/>
      <c r="F2619" s="373"/>
      <c r="I2619" s="70"/>
    </row>
    <row r="2620" spans="3:9" s="46" customFormat="1" x14ac:dyDescent="0.2">
      <c r="C2620" s="144"/>
      <c r="D2620" s="144"/>
      <c r="E2620" s="144"/>
      <c r="F2620" s="373"/>
      <c r="I2620" s="70"/>
    </row>
    <row r="2621" spans="3:9" s="46" customFormat="1" x14ac:dyDescent="0.2">
      <c r="C2621" s="144"/>
      <c r="D2621" s="144"/>
      <c r="E2621" s="144"/>
      <c r="F2621" s="373"/>
      <c r="I2621" s="70"/>
    </row>
    <row r="2622" spans="3:9" s="46" customFormat="1" x14ac:dyDescent="0.2">
      <c r="C2622" s="144"/>
      <c r="D2622" s="144"/>
      <c r="E2622" s="144"/>
      <c r="F2622" s="373"/>
      <c r="I2622" s="70"/>
    </row>
    <row r="2623" spans="3:9" s="46" customFormat="1" x14ac:dyDescent="0.2">
      <c r="C2623" s="144"/>
      <c r="D2623" s="144"/>
      <c r="E2623" s="144"/>
      <c r="F2623" s="373"/>
      <c r="I2623" s="70"/>
    </row>
    <row r="2624" spans="3:9" s="46" customFormat="1" x14ac:dyDescent="0.2">
      <c r="C2624" s="144"/>
      <c r="D2624" s="144"/>
      <c r="E2624" s="144"/>
      <c r="F2624" s="373"/>
      <c r="I2624" s="70"/>
    </row>
    <row r="2625" spans="3:9" s="46" customFormat="1" x14ac:dyDescent="0.2">
      <c r="C2625" s="144"/>
      <c r="D2625" s="144"/>
      <c r="E2625" s="144"/>
      <c r="F2625" s="373"/>
      <c r="I2625" s="70"/>
    </row>
    <row r="2626" spans="3:9" s="46" customFormat="1" x14ac:dyDescent="0.2">
      <c r="C2626" s="144"/>
      <c r="D2626" s="144"/>
      <c r="E2626" s="144"/>
      <c r="F2626" s="373"/>
      <c r="I2626" s="70"/>
    </row>
    <row r="2627" spans="3:9" s="46" customFormat="1" x14ac:dyDescent="0.2">
      <c r="C2627" s="144"/>
      <c r="D2627" s="144"/>
      <c r="E2627" s="144"/>
      <c r="F2627" s="373"/>
      <c r="I2627" s="70"/>
    </row>
    <row r="2628" spans="3:9" s="46" customFormat="1" x14ac:dyDescent="0.2">
      <c r="C2628" s="144"/>
      <c r="D2628" s="144"/>
      <c r="E2628" s="144"/>
      <c r="F2628" s="373"/>
      <c r="I2628" s="70"/>
    </row>
    <row r="2629" spans="3:9" s="46" customFormat="1" x14ac:dyDescent="0.2">
      <c r="C2629" s="144"/>
      <c r="D2629" s="144"/>
      <c r="E2629" s="144"/>
      <c r="F2629" s="373"/>
      <c r="I2629" s="70"/>
    </row>
    <row r="2630" spans="3:9" s="46" customFormat="1" x14ac:dyDescent="0.2">
      <c r="C2630" s="144"/>
      <c r="D2630" s="144"/>
      <c r="E2630" s="144"/>
      <c r="F2630" s="373"/>
      <c r="I2630" s="70"/>
    </row>
    <row r="2631" spans="3:9" s="46" customFormat="1" x14ac:dyDescent="0.2">
      <c r="C2631" s="144"/>
      <c r="D2631" s="144"/>
      <c r="E2631" s="144"/>
      <c r="F2631" s="373"/>
      <c r="I2631" s="70"/>
    </row>
    <row r="2632" spans="3:9" s="46" customFormat="1" x14ac:dyDescent="0.2">
      <c r="C2632" s="144"/>
      <c r="D2632" s="144"/>
      <c r="E2632" s="144"/>
      <c r="F2632" s="373"/>
      <c r="I2632" s="70"/>
    </row>
    <row r="2633" spans="3:9" s="46" customFormat="1" x14ac:dyDescent="0.2">
      <c r="C2633" s="144"/>
      <c r="D2633" s="144"/>
      <c r="E2633" s="144"/>
      <c r="F2633" s="373"/>
      <c r="I2633" s="70"/>
    </row>
    <row r="2634" spans="3:9" s="46" customFormat="1" x14ac:dyDescent="0.2">
      <c r="C2634" s="144"/>
      <c r="D2634" s="144"/>
      <c r="E2634" s="144"/>
      <c r="F2634" s="373"/>
      <c r="I2634" s="70"/>
    </row>
    <row r="2635" spans="3:9" s="46" customFormat="1" x14ac:dyDescent="0.2">
      <c r="C2635" s="144"/>
      <c r="D2635" s="144"/>
      <c r="E2635" s="144"/>
      <c r="F2635" s="373"/>
      <c r="I2635" s="70"/>
    </row>
    <row r="2636" spans="3:9" s="46" customFormat="1" x14ac:dyDescent="0.2">
      <c r="C2636" s="144"/>
      <c r="D2636" s="144"/>
      <c r="E2636" s="144"/>
      <c r="F2636" s="373"/>
      <c r="I2636" s="70"/>
    </row>
    <row r="2637" spans="3:9" s="46" customFormat="1" x14ac:dyDescent="0.2">
      <c r="C2637" s="144"/>
      <c r="D2637" s="144"/>
      <c r="E2637" s="144"/>
      <c r="F2637" s="373"/>
      <c r="I2637" s="70"/>
    </row>
    <row r="2638" spans="3:9" s="46" customFormat="1" x14ac:dyDescent="0.2">
      <c r="C2638" s="144"/>
      <c r="D2638" s="144"/>
      <c r="E2638" s="144"/>
      <c r="F2638" s="373"/>
      <c r="I2638" s="70"/>
    </row>
    <row r="2639" spans="3:9" s="46" customFormat="1" x14ac:dyDescent="0.2">
      <c r="C2639" s="144"/>
      <c r="D2639" s="144"/>
      <c r="E2639" s="144"/>
      <c r="F2639" s="373"/>
      <c r="I2639" s="70"/>
    </row>
    <row r="2640" spans="3:9" s="46" customFormat="1" x14ac:dyDescent="0.2">
      <c r="C2640" s="144"/>
      <c r="D2640" s="144"/>
      <c r="E2640" s="144"/>
      <c r="F2640" s="373"/>
      <c r="I2640" s="70"/>
    </row>
    <row r="2641" spans="3:9" s="46" customFormat="1" x14ac:dyDescent="0.2">
      <c r="C2641" s="144"/>
      <c r="D2641" s="144"/>
      <c r="E2641" s="144"/>
      <c r="F2641" s="373"/>
      <c r="I2641" s="70"/>
    </row>
    <row r="2642" spans="3:9" s="46" customFormat="1" x14ac:dyDescent="0.2">
      <c r="C2642" s="144"/>
      <c r="D2642" s="144"/>
      <c r="E2642" s="144"/>
      <c r="F2642" s="373"/>
      <c r="I2642" s="70"/>
    </row>
    <row r="2643" spans="3:9" s="46" customFormat="1" x14ac:dyDescent="0.2">
      <c r="C2643" s="144"/>
      <c r="D2643" s="144"/>
      <c r="E2643" s="144"/>
      <c r="F2643" s="373"/>
      <c r="I2643" s="70"/>
    </row>
    <row r="2644" spans="3:9" s="46" customFormat="1" x14ac:dyDescent="0.2">
      <c r="C2644" s="144"/>
      <c r="D2644" s="144"/>
      <c r="E2644" s="144"/>
      <c r="F2644" s="373"/>
      <c r="I2644" s="70"/>
    </row>
    <row r="2645" spans="3:9" s="46" customFormat="1" x14ac:dyDescent="0.2">
      <c r="C2645" s="144"/>
      <c r="D2645" s="144"/>
      <c r="E2645" s="144"/>
      <c r="F2645" s="373"/>
      <c r="I2645" s="70"/>
    </row>
    <row r="2646" spans="3:9" s="46" customFormat="1" x14ac:dyDescent="0.2">
      <c r="C2646" s="144"/>
      <c r="D2646" s="144"/>
      <c r="E2646" s="144"/>
      <c r="F2646" s="373"/>
      <c r="I2646" s="70"/>
    </row>
    <row r="2647" spans="3:9" s="46" customFormat="1" x14ac:dyDescent="0.2">
      <c r="C2647" s="144"/>
      <c r="D2647" s="144"/>
      <c r="E2647" s="144"/>
      <c r="F2647" s="373"/>
      <c r="I2647" s="70"/>
    </row>
    <row r="2648" spans="3:9" s="46" customFormat="1" x14ac:dyDescent="0.2">
      <c r="C2648" s="144"/>
      <c r="D2648" s="144"/>
      <c r="E2648" s="144"/>
      <c r="F2648" s="373"/>
      <c r="I2648" s="70"/>
    </row>
    <row r="2649" spans="3:9" s="46" customFormat="1" x14ac:dyDescent="0.2">
      <c r="C2649" s="144"/>
      <c r="D2649" s="144"/>
      <c r="E2649" s="144"/>
      <c r="F2649" s="373"/>
      <c r="I2649" s="70"/>
    </row>
    <row r="2650" spans="3:9" s="46" customFormat="1" x14ac:dyDescent="0.2">
      <c r="C2650" s="144"/>
      <c r="D2650" s="144"/>
      <c r="E2650" s="144"/>
      <c r="F2650" s="373"/>
      <c r="I2650" s="70"/>
    </row>
    <row r="2651" spans="3:9" s="46" customFormat="1" x14ac:dyDescent="0.2">
      <c r="C2651" s="144"/>
      <c r="D2651" s="144"/>
      <c r="E2651" s="144"/>
      <c r="F2651" s="373"/>
      <c r="I2651" s="70"/>
    </row>
    <row r="2652" spans="3:9" s="46" customFormat="1" x14ac:dyDescent="0.2">
      <c r="C2652" s="144"/>
      <c r="D2652" s="144"/>
      <c r="E2652" s="144"/>
      <c r="F2652" s="373"/>
      <c r="I2652" s="70"/>
    </row>
    <row r="2653" spans="3:9" s="46" customFormat="1" x14ac:dyDescent="0.2">
      <c r="C2653" s="144"/>
      <c r="D2653" s="144"/>
      <c r="E2653" s="144"/>
      <c r="F2653" s="373"/>
      <c r="I2653" s="70"/>
    </row>
    <row r="2654" spans="3:9" s="46" customFormat="1" x14ac:dyDescent="0.2">
      <c r="C2654" s="144"/>
      <c r="D2654" s="144"/>
      <c r="E2654" s="144"/>
      <c r="F2654" s="373"/>
      <c r="I2654" s="70"/>
    </row>
    <row r="2655" spans="3:9" s="46" customFormat="1" x14ac:dyDescent="0.2">
      <c r="C2655" s="144"/>
      <c r="D2655" s="144"/>
      <c r="E2655" s="144"/>
      <c r="F2655" s="373"/>
      <c r="I2655" s="70"/>
    </row>
    <row r="2656" spans="3:9" s="46" customFormat="1" x14ac:dyDescent="0.2">
      <c r="C2656" s="144"/>
      <c r="D2656" s="144"/>
      <c r="E2656" s="144"/>
      <c r="F2656" s="373"/>
      <c r="I2656" s="70"/>
    </row>
    <row r="2657" spans="3:9" s="46" customFormat="1" x14ac:dyDescent="0.2">
      <c r="C2657" s="144"/>
      <c r="D2657" s="144"/>
      <c r="E2657" s="144"/>
      <c r="F2657" s="373"/>
      <c r="I2657" s="70"/>
    </row>
    <row r="2658" spans="3:9" s="46" customFormat="1" x14ac:dyDescent="0.2">
      <c r="C2658" s="144"/>
      <c r="D2658" s="144"/>
      <c r="E2658" s="144"/>
      <c r="F2658" s="373"/>
      <c r="I2658" s="70"/>
    </row>
    <row r="2659" spans="3:9" s="46" customFormat="1" x14ac:dyDescent="0.2">
      <c r="C2659" s="144"/>
      <c r="D2659" s="144"/>
      <c r="E2659" s="144"/>
      <c r="F2659" s="373"/>
      <c r="I2659" s="70"/>
    </row>
    <row r="2660" spans="3:9" s="46" customFormat="1" x14ac:dyDescent="0.2">
      <c r="C2660" s="144"/>
      <c r="D2660" s="144"/>
      <c r="E2660" s="144"/>
      <c r="F2660" s="373"/>
      <c r="I2660" s="70"/>
    </row>
    <row r="2661" spans="3:9" s="46" customFormat="1" x14ac:dyDescent="0.2">
      <c r="C2661" s="144"/>
      <c r="D2661" s="144"/>
      <c r="E2661" s="144"/>
      <c r="F2661" s="373"/>
      <c r="I2661" s="70"/>
    </row>
    <row r="2662" spans="3:9" s="46" customFormat="1" x14ac:dyDescent="0.2">
      <c r="C2662" s="144"/>
      <c r="D2662" s="144"/>
      <c r="E2662" s="144"/>
      <c r="F2662" s="373"/>
      <c r="I2662" s="70"/>
    </row>
    <row r="2663" spans="3:9" s="46" customFormat="1" x14ac:dyDescent="0.2">
      <c r="C2663" s="144"/>
      <c r="D2663" s="144"/>
      <c r="E2663" s="144"/>
      <c r="F2663" s="373"/>
      <c r="I2663" s="70"/>
    </row>
    <row r="2664" spans="3:9" s="46" customFormat="1" x14ac:dyDescent="0.2">
      <c r="C2664" s="144"/>
      <c r="D2664" s="144"/>
      <c r="E2664" s="144"/>
      <c r="F2664" s="373"/>
      <c r="I2664" s="70"/>
    </row>
    <row r="2665" spans="3:9" s="46" customFormat="1" x14ac:dyDescent="0.2">
      <c r="C2665" s="144"/>
      <c r="D2665" s="144"/>
      <c r="E2665" s="144"/>
      <c r="F2665" s="373"/>
      <c r="I2665" s="70"/>
    </row>
    <row r="2666" spans="3:9" s="46" customFormat="1" x14ac:dyDescent="0.2">
      <c r="C2666" s="144"/>
      <c r="D2666" s="144"/>
      <c r="E2666" s="144"/>
      <c r="F2666" s="373"/>
      <c r="I2666" s="70"/>
    </row>
    <row r="2667" spans="3:9" s="46" customFormat="1" x14ac:dyDescent="0.2">
      <c r="C2667" s="144"/>
      <c r="D2667" s="144"/>
      <c r="E2667" s="144"/>
      <c r="F2667" s="373"/>
      <c r="I2667" s="70"/>
    </row>
    <row r="2668" spans="3:9" s="46" customFormat="1" x14ac:dyDescent="0.2">
      <c r="C2668" s="144"/>
      <c r="D2668" s="144"/>
      <c r="E2668" s="144"/>
      <c r="F2668" s="373"/>
      <c r="I2668" s="70"/>
    </row>
    <row r="2669" spans="3:9" s="46" customFormat="1" x14ac:dyDescent="0.2">
      <c r="C2669" s="144"/>
      <c r="D2669" s="144"/>
      <c r="E2669" s="144"/>
      <c r="F2669" s="373"/>
      <c r="I2669" s="70"/>
    </row>
    <row r="2670" spans="3:9" s="46" customFormat="1" x14ac:dyDescent="0.2">
      <c r="C2670" s="144"/>
      <c r="D2670" s="144"/>
      <c r="E2670" s="144"/>
      <c r="F2670" s="373"/>
      <c r="I2670" s="70"/>
    </row>
    <row r="2671" spans="3:9" s="46" customFormat="1" x14ac:dyDescent="0.2">
      <c r="C2671" s="144"/>
      <c r="D2671" s="144"/>
      <c r="E2671" s="144"/>
      <c r="F2671" s="373"/>
      <c r="I2671" s="70"/>
    </row>
    <row r="2672" spans="3:9" s="46" customFormat="1" x14ac:dyDescent="0.2">
      <c r="C2672" s="144"/>
      <c r="D2672" s="144"/>
      <c r="E2672" s="144"/>
      <c r="F2672" s="373"/>
      <c r="I2672" s="70"/>
    </row>
    <row r="2673" spans="3:9" s="46" customFormat="1" x14ac:dyDescent="0.2">
      <c r="C2673" s="144"/>
      <c r="D2673" s="144"/>
      <c r="E2673" s="144"/>
      <c r="F2673" s="373"/>
      <c r="I2673" s="70"/>
    </row>
    <row r="2674" spans="3:9" s="46" customFormat="1" x14ac:dyDescent="0.2">
      <c r="C2674" s="144"/>
      <c r="D2674" s="144"/>
      <c r="E2674" s="144"/>
      <c r="F2674" s="373"/>
      <c r="I2674" s="70"/>
    </row>
    <row r="2675" spans="3:9" s="46" customFormat="1" x14ac:dyDescent="0.2">
      <c r="C2675" s="144"/>
      <c r="D2675" s="144"/>
      <c r="E2675" s="144"/>
      <c r="F2675" s="373"/>
      <c r="I2675" s="70"/>
    </row>
    <row r="2676" spans="3:9" s="46" customFormat="1" x14ac:dyDescent="0.2">
      <c r="C2676" s="144"/>
      <c r="D2676" s="144"/>
      <c r="E2676" s="144"/>
      <c r="F2676" s="373"/>
      <c r="I2676" s="70"/>
    </row>
    <row r="2677" spans="3:9" s="46" customFormat="1" x14ac:dyDescent="0.2">
      <c r="C2677" s="144"/>
      <c r="D2677" s="144"/>
      <c r="E2677" s="144"/>
      <c r="F2677" s="373"/>
      <c r="I2677" s="70"/>
    </row>
    <row r="2678" spans="3:9" s="46" customFormat="1" x14ac:dyDescent="0.2">
      <c r="C2678" s="144"/>
      <c r="D2678" s="144"/>
      <c r="E2678" s="144"/>
      <c r="F2678" s="373"/>
      <c r="I2678" s="70"/>
    </row>
    <row r="2679" spans="3:9" s="46" customFormat="1" x14ac:dyDescent="0.2">
      <c r="C2679" s="144"/>
      <c r="D2679" s="144"/>
      <c r="E2679" s="144"/>
      <c r="F2679" s="373"/>
      <c r="I2679" s="70"/>
    </row>
    <row r="2680" spans="3:9" s="46" customFormat="1" x14ac:dyDescent="0.2">
      <c r="C2680" s="144"/>
      <c r="D2680" s="144"/>
      <c r="E2680" s="144"/>
      <c r="F2680" s="373"/>
      <c r="I2680" s="70"/>
    </row>
    <row r="2681" spans="3:9" s="46" customFormat="1" x14ac:dyDescent="0.2">
      <c r="C2681" s="144"/>
      <c r="D2681" s="144"/>
      <c r="E2681" s="144"/>
      <c r="F2681" s="373"/>
      <c r="I2681" s="70"/>
    </row>
    <row r="2682" spans="3:9" s="46" customFormat="1" x14ac:dyDescent="0.2">
      <c r="C2682" s="144"/>
      <c r="D2682" s="144"/>
      <c r="E2682" s="144"/>
      <c r="F2682" s="373"/>
      <c r="I2682" s="70"/>
    </row>
    <row r="2683" spans="3:9" s="46" customFormat="1" x14ac:dyDescent="0.2">
      <c r="C2683" s="144"/>
      <c r="D2683" s="144"/>
      <c r="E2683" s="144"/>
      <c r="F2683" s="373"/>
      <c r="I2683" s="70"/>
    </row>
    <row r="2684" spans="3:9" s="46" customFormat="1" x14ac:dyDescent="0.2">
      <c r="C2684" s="144"/>
      <c r="D2684" s="144"/>
      <c r="E2684" s="144"/>
      <c r="F2684" s="373"/>
      <c r="I2684" s="70"/>
    </row>
    <row r="2685" spans="3:9" s="46" customFormat="1" x14ac:dyDescent="0.2">
      <c r="C2685" s="144"/>
      <c r="D2685" s="144"/>
      <c r="E2685" s="144"/>
      <c r="F2685" s="373"/>
      <c r="I2685" s="70"/>
    </row>
    <row r="2686" spans="3:9" s="46" customFormat="1" x14ac:dyDescent="0.2">
      <c r="C2686" s="144"/>
      <c r="D2686" s="144"/>
      <c r="E2686" s="144"/>
      <c r="F2686" s="373"/>
      <c r="I2686" s="70"/>
    </row>
    <row r="2687" spans="3:9" s="46" customFormat="1" x14ac:dyDescent="0.2">
      <c r="C2687" s="144"/>
      <c r="D2687" s="144"/>
      <c r="E2687" s="144"/>
      <c r="F2687" s="373"/>
      <c r="I2687" s="70"/>
    </row>
    <row r="2688" spans="3:9" s="46" customFormat="1" x14ac:dyDescent="0.2">
      <c r="C2688" s="144"/>
      <c r="D2688" s="144"/>
      <c r="E2688" s="144"/>
      <c r="F2688" s="373"/>
      <c r="I2688" s="70"/>
    </row>
    <row r="2689" spans="3:9" s="46" customFormat="1" x14ac:dyDescent="0.2">
      <c r="C2689" s="144"/>
      <c r="D2689" s="144"/>
      <c r="E2689" s="144"/>
      <c r="F2689" s="373"/>
      <c r="I2689" s="70"/>
    </row>
    <row r="2690" spans="3:9" s="46" customFormat="1" x14ac:dyDescent="0.2">
      <c r="C2690" s="144"/>
      <c r="D2690" s="144"/>
      <c r="E2690" s="144"/>
      <c r="F2690" s="373"/>
      <c r="I2690" s="70"/>
    </row>
    <row r="2691" spans="3:9" s="46" customFormat="1" x14ac:dyDescent="0.2">
      <c r="C2691" s="144"/>
      <c r="D2691" s="144"/>
      <c r="E2691" s="144"/>
      <c r="F2691" s="373"/>
      <c r="I2691" s="70"/>
    </row>
    <row r="2692" spans="3:9" s="46" customFormat="1" x14ac:dyDescent="0.2">
      <c r="C2692" s="144"/>
      <c r="D2692" s="144"/>
      <c r="E2692" s="144"/>
      <c r="F2692" s="373"/>
      <c r="I2692" s="70"/>
    </row>
    <row r="2693" spans="3:9" s="46" customFormat="1" x14ac:dyDescent="0.2">
      <c r="C2693" s="144"/>
      <c r="D2693" s="144"/>
      <c r="E2693" s="144"/>
      <c r="F2693" s="373"/>
      <c r="I2693" s="70"/>
    </row>
    <row r="2694" spans="3:9" s="46" customFormat="1" x14ac:dyDescent="0.2">
      <c r="C2694" s="144"/>
      <c r="D2694" s="144"/>
      <c r="E2694" s="144"/>
      <c r="F2694" s="373"/>
      <c r="I2694" s="70"/>
    </row>
    <row r="2695" spans="3:9" s="46" customFormat="1" x14ac:dyDescent="0.2">
      <c r="C2695" s="144"/>
      <c r="D2695" s="144"/>
      <c r="E2695" s="144"/>
      <c r="F2695" s="373"/>
      <c r="I2695" s="70"/>
    </row>
    <row r="2696" spans="3:9" s="46" customFormat="1" x14ac:dyDescent="0.2">
      <c r="C2696" s="144"/>
      <c r="D2696" s="144"/>
      <c r="E2696" s="144"/>
      <c r="F2696" s="373"/>
      <c r="I2696" s="70"/>
    </row>
    <row r="2697" spans="3:9" s="46" customFormat="1" x14ac:dyDescent="0.2">
      <c r="C2697" s="144"/>
      <c r="D2697" s="144"/>
      <c r="E2697" s="144"/>
      <c r="F2697" s="373"/>
      <c r="I2697" s="70"/>
    </row>
    <row r="2698" spans="3:9" s="46" customFormat="1" x14ac:dyDescent="0.2">
      <c r="C2698" s="144"/>
      <c r="D2698" s="144"/>
      <c r="E2698" s="144"/>
      <c r="F2698" s="373"/>
      <c r="I2698" s="70"/>
    </row>
    <row r="2699" spans="3:9" s="46" customFormat="1" x14ac:dyDescent="0.2">
      <c r="C2699" s="144"/>
      <c r="D2699" s="144"/>
      <c r="E2699" s="144"/>
      <c r="F2699" s="373"/>
      <c r="I2699" s="70"/>
    </row>
    <row r="2700" spans="3:9" s="46" customFormat="1" x14ac:dyDescent="0.2">
      <c r="C2700" s="144"/>
      <c r="D2700" s="144"/>
      <c r="E2700" s="144"/>
      <c r="F2700" s="373"/>
      <c r="I2700" s="70"/>
    </row>
    <row r="2701" spans="3:9" s="46" customFormat="1" x14ac:dyDescent="0.2">
      <c r="C2701" s="144"/>
      <c r="D2701" s="144"/>
      <c r="E2701" s="144"/>
      <c r="F2701" s="373"/>
      <c r="I2701" s="70"/>
    </row>
    <row r="2702" spans="3:9" s="46" customFormat="1" x14ac:dyDescent="0.2">
      <c r="C2702" s="144"/>
      <c r="D2702" s="144"/>
      <c r="E2702" s="144"/>
      <c r="F2702" s="373"/>
      <c r="I2702" s="70"/>
    </row>
    <row r="2703" spans="3:9" s="46" customFormat="1" x14ac:dyDescent="0.2">
      <c r="C2703" s="144"/>
      <c r="D2703" s="144"/>
      <c r="E2703" s="144"/>
      <c r="F2703" s="373"/>
      <c r="I2703" s="70"/>
    </row>
    <row r="2704" spans="3:9" s="46" customFormat="1" x14ac:dyDescent="0.2">
      <c r="C2704" s="144"/>
      <c r="D2704" s="144"/>
      <c r="E2704" s="144"/>
      <c r="F2704" s="373"/>
      <c r="I2704" s="70"/>
    </row>
    <row r="2705" spans="3:9" s="46" customFormat="1" x14ac:dyDescent="0.2">
      <c r="C2705" s="144"/>
      <c r="D2705" s="144"/>
      <c r="E2705" s="144"/>
      <c r="F2705" s="373"/>
      <c r="I2705" s="70"/>
    </row>
    <row r="2706" spans="3:9" s="46" customFormat="1" x14ac:dyDescent="0.2">
      <c r="C2706" s="144"/>
      <c r="D2706" s="144"/>
      <c r="E2706" s="144"/>
      <c r="F2706" s="373"/>
      <c r="I2706" s="70"/>
    </row>
    <row r="2707" spans="3:9" s="46" customFormat="1" x14ac:dyDescent="0.2">
      <c r="C2707" s="144"/>
      <c r="D2707" s="144"/>
      <c r="E2707" s="144"/>
      <c r="F2707" s="373"/>
      <c r="I2707" s="70"/>
    </row>
    <row r="2708" spans="3:9" s="46" customFormat="1" x14ac:dyDescent="0.2">
      <c r="C2708" s="144"/>
      <c r="D2708" s="144"/>
      <c r="E2708" s="144"/>
      <c r="F2708" s="373"/>
      <c r="I2708" s="70"/>
    </row>
    <row r="2709" spans="3:9" s="46" customFormat="1" x14ac:dyDescent="0.2">
      <c r="C2709" s="144"/>
      <c r="D2709" s="144"/>
      <c r="E2709" s="144"/>
      <c r="F2709" s="373"/>
      <c r="I2709" s="70"/>
    </row>
    <row r="2710" spans="3:9" s="46" customFormat="1" x14ac:dyDescent="0.2">
      <c r="C2710" s="144"/>
      <c r="D2710" s="144"/>
      <c r="E2710" s="144"/>
      <c r="F2710" s="373"/>
      <c r="I2710" s="70"/>
    </row>
    <row r="2711" spans="3:9" s="46" customFormat="1" x14ac:dyDescent="0.2">
      <c r="C2711" s="144"/>
      <c r="D2711" s="144"/>
      <c r="E2711" s="144"/>
      <c r="F2711" s="373"/>
      <c r="I2711" s="70"/>
    </row>
    <row r="2712" spans="3:9" s="46" customFormat="1" x14ac:dyDescent="0.2">
      <c r="C2712" s="144"/>
      <c r="D2712" s="144"/>
      <c r="E2712" s="144"/>
      <c r="F2712" s="373"/>
      <c r="I2712" s="70"/>
    </row>
    <row r="2713" spans="3:9" s="46" customFormat="1" x14ac:dyDescent="0.2">
      <c r="C2713" s="144"/>
      <c r="D2713" s="144"/>
      <c r="E2713" s="144"/>
      <c r="F2713" s="373"/>
      <c r="I2713" s="70"/>
    </row>
    <row r="2714" spans="3:9" s="46" customFormat="1" x14ac:dyDescent="0.2">
      <c r="C2714" s="144"/>
      <c r="D2714" s="144"/>
      <c r="E2714" s="144"/>
      <c r="F2714" s="373"/>
      <c r="I2714" s="70"/>
    </row>
    <row r="2715" spans="3:9" s="46" customFormat="1" x14ac:dyDescent="0.2">
      <c r="C2715" s="144"/>
      <c r="D2715" s="144"/>
      <c r="E2715" s="144"/>
      <c r="F2715" s="373"/>
      <c r="I2715" s="70"/>
    </row>
    <row r="2716" spans="3:9" s="46" customFormat="1" x14ac:dyDescent="0.2">
      <c r="C2716" s="144"/>
      <c r="D2716" s="144"/>
      <c r="E2716" s="144"/>
      <c r="F2716" s="373"/>
      <c r="I2716" s="70"/>
    </row>
    <row r="2717" spans="3:9" s="46" customFormat="1" x14ac:dyDescent="0.2">
      <c r="C2717" s="144"/>
      <c r="D2717" s="144"/>
      <c r="E2717" s="144"/>
      <c r="F2717" s="373"/>
      <c r="I2717" s="70"/>
    </row>
    <row r="2718" spans="3:9" s="46" customFormat="1" x14ac:dyDescent="0.2">
      <c r="C2718" s="144"/>
      <c r="D2718" s="144"/>
      <c r="E2718" s="144"/>
      <c r="F2718" s="373"/>
      <c r="I2718" s="70"/>
    </row>
    <row r="2719" spans="3:9" s="46" customFormat="1" x14ac:dyDescent="0.2">
      <c r="C2719" s="144"/>
      <c r="D2719" s="144"/>
      <c r="E2719" s="144"/>
      <c r="F2719" s="373"/>
      <c r="I2719" s="70"/>
    </row>
    <row r="2720" spans="3:9" s="46" customFormat="1" x14ac:dyDescent="0.2">
      <c r="C2720" s="144"/>
      <c r="D2720" s="144"/>
      <c r="E2720" s="144"/>
      <c r="F2720" s="373"/>
      <c r="I2720" s="70"/>
    </row>
    <row r="2721" spans="3:9" s="46" customFormat="1" x14ac:dyDescent="0.2">
      <c r="C2721" s="144"/>
      <c r="D2721" s="144"/>
      <c r="E2721" s="144"/>
      <c r="F2721" s="373"/>
      <c r="I2721" s="70"/>
    </row>
    <row r="2722" spans="3:9" s="46" customFormat="1" x14ac:dyDescent="0.2">
      <c r="C2722" s="144"/>
      <c r="D2722" s="144"/>
      <c r="E2722" s="144"/>
      <c r="F2722" s="373"/>
      <c r="I2722" s="70"/>
    </row>
    <row r="2723" spans="3:9" s="46" customFormat="1" x14ac:dyDescent="0.2">
      <c r="C2723" s="144"/>
      <c r="D2723" s="144"/>
      <c r="E2723" s="144"/>
      <c r="F2723" s="373"/>
      <c r="I2723" s="70"/>
    </row>
    <row r="2724" spans="3:9" s="46" customFormat="1" x14ac:dyDescent="0.2">
      <c r="C2724" s="144"/>
      <c r="D2724" s="144"/>
      <c r="E2724" s="144"/>
      <c r="F2724" s="373"/>
      <c r="I2724" s="70"/>
    </row>
    <row r="2725" spans="3:9" s="46" customFormat="1" x14ac:dyDescent="0.2">
      <c r="C2725" s="144"/>
      <c r="D2725" s="144"/>
      <c r="E2725" s="144"/>
      <c r="F2725" s="373"/>
      <c r="I2725" s="70"/>
    </row>
    <row r="2726" spans="3:9" s="46" customFormat="1" x14ac:dyDescent="0.2">
      <c r="C2726" s="144"/>
      <c r="D2726" s="144"/>
      <c r="E2726" s="144"/>
      <c r="F2726" s="373"/>
      <c r="I2726" s="70"/>
    </row>
    <row r="2727" spans="3:9" s="46" customFormat="1" x14ac:dyDescent="0.2">
      <c r="C2727" s="144"/>
      <c r="D2727" s="144"/>
      <c r="E2727" s="144"/>
      <c r="F2727" s="373"/>
      <c r="I2727" s="70"/>
    </row>
    <row r="2728" spans="3:9" s="46" customFormat="1" x14ac:dyDescent="0.2">
      <c r="C2728" s="144"/>
      <c r="D2728" s="144"/>
      <c r="E2728" s="144"/>
      <c r="F2728" s="373"/>
      <c r="I2728" s="70"/>
    </row>
    <row r="2729" spans="3:9" s="46" customFormat="1" x14ac:dyDescent="0.2">
      <c r="C2729" s="144"/>
      <c r="D2729" s="144"/>
      <c r="E2729" s="144"/>
      <c r="F2729" s="373"/>
      <c r="I2729" s="70"/>
    </row>
    <row r="2730" spans="3:9" s="46" customFormat="1" x14ac:dyDescent="0.2">
      <c r="C2730" s="144"/>
      <c r="D2730" s="144"/>
      <c r="E2730" s="144"/>
      <c r="F2730" s="373"/>
      <c r="I2730" s="70"/>
    </row>
    <row r="2731" spans="3:9" s="46" customFormat="1" x14ac:dyDescent="0.2">
      <c r="C2731" s="144"/>
      <c r="D2731" s="144"/>
      <c r="E2731" s="144"/>
      <c r="F2731" s="373"/>
      <c r="I2731" s="70"/>
    </row>
    <row r="2732" spans="3:9" s="46" customFormat="1" x14ac:dyDescent="0.2">
      <c r="C2732" s="144"/>
      <c r="D2732" s="144"/>
      <c r="E2732" s="144"/>
      <c r="F2732" s="373"/>
      <c r="I2732" s="70"/>
    </row>
    <row r="2733" spans="3:9" s="46" customFormat="1" x14ac:dyDescent="0.2">
      <c r="C2733" s="144"/>
      <c r="D2733" s="144"/>
      <c r="E2733" s="144"/>
      <c r="F2733" s="373"/>
      <c r="I2733" s="70"/>
    </row>
    <row r="2734" spans="3:9" s="46" customFormat="1" x14ac:dyDescent="0.2">
      <c r="C2734" s="144"/>
      <c r="D2734" s="144"/>
      <c r="E2734" s="144"/>
      <c r="F2734" s="373"/>
      <c r="I2734" s="70"/>
    </row>
    <row r="2735" spans="3:9" s="46" customFormat="1" x14ac:dyDescent="0.2">
      <c r="C2735" s="144"/>
      <c r="D2735" s="144"/>
      <c r="E2735" s="144"/>
      <c r="F2735" s="373"/>
      <c r="I2735" s="70"/>
    </row>
    <row r="2736" spans="3:9" s="46" customFormat="1" x14ac:dyDescent="0.2">
      <c r="C2736" s="144"/>
      <c r="D2736" s="144"/>
      <c r="E2736" s="144"/>
      <c r="F2736" s="373"/>
      <c r="I2736" s="70"/>
    </row>
    <row r="2737" spans="3:9" s="46" customFormat="1" x14ac:dyDescent="0.2">
      <c r="C2737" s="144"/>
      <c r="D2737" s="144"/>
      <c r="E2737" s="144"/>
      <c r="F2737" s="373"/>
      <c r="I2737" s="70"/>
    </row>
    <row r="2738" spans="3:9" s="46" customFormat="1" x14ac:dyDescent="0.2">
      <c r="C2738" s="144"/>
      <c r="D2738" s="144"/>
      <c r="E2738" s="144"/>
      <c r="F2738" s="373"/>
      <c r="I2738" s="70"/>
    </row>
    <row r="2739" spans="3:9" s="46" customFormat="1" x14ac:dyDescent="0.2">
      <c r="C2739" s="144"/>
      <c r="D2739" s="144"/>
      <c r="E2739" s="144"/>
      <c r="F2739" s="373"/>
      <c r="I2739" s="70"/>
    </row>
    <row r="2740" spans="3:9" s="46" customFormat="1" x14ac:dyDescent="0.2">
      <c r="C2740" s="144"/>
      <c r="D2740" s="144"/>
      <c r="E2740" s="144"/>
      <c r="F2740" s="373"/>
      <c r="I2740" s="70"/>
    </row>
    <row r="2741" spans="3:9" s="46" customFormat="1" x14ac:dyDescent="0.2">
      <c r="C2741" s="144"/>
      <c r="D2741" s="144"/>
      <c r="E2741" s="144"/>
      <c r="F2741" s="373"/>
      <c r="I2741" s="70"/>
    </row>
    <row r="2742" spans="3:9" s="46" customFormat="1" x14ac:dyDescent="0.2">
      <c r="C2742" s="144"/>
      <c r="D2742" s="144"/>
      <c r="E2742" s="144"/>
      <c r="F2742" s="373"/>
      <c r="I2742" s="70"/>
    </row>
    <row r="2743" spans="3:9" s="46" customFormat="1" x14ac:dyDescent="0.2">
      <c r="C2743" s="144"/>
      <c r="D2743" s="144"/>
      <c r="E2743" s="144"/>
      <c r="F2743" s="373"/>
      <c r="I2743" s="70"/>
    </row>
    <row r="2744" spans="3:9" s="46" customFormat="1" x14ac:dyDescent="0.2">
      <c r="C2744" s="144"/>
      <c r="D2744" s="144"/>
      <c r="E2744" s="144"/>
      <c r="F2744" s="373"/>
      <c r="I2744" s="70"/>
    </row>
    <row r="2745" spans="3:9" s="46" customFormat="1" x14ac:dyDescent="0.2">
      <c r="C2745" s="144"/>
      <c r="D2745" s="144"/>
      <c r="E2745" s="144"/>
      <c r="F2745" s="373"/>
      <c r="I2745" s="70"/>
    </row>
    <row r="2746" spans="3:9" s="46" customFormat="1" x14ac:dyDescent="0.2">
      <c r="C2746" s="144"/>
      <c r="D2746" s="144"/>
      <c r="E2746" s="144"/>
      <c r="F2746" s="373"/>
      <c r="I2746" s="70"/>
    </row>
    <row r="2747" spans="3:9" s="46" customFormat="1" x14ac:dyDescent="0.2">
      <c r="C2747" s="144"/>
      <c r="D2747" s="144"/>
      <c r="E2747" s="144"/>
      <c r="F2747" s="373"/>
      <c r="I2747" s="70"/>
    </row>
    <row r="2748" spans="3:9" s="46" customFormat="1" x14ac:dyDescent="0.2">
      <c r="C2748" s="144"/>
      <c r="D2748" s="144"/>
      <c r="E2748" s="144"/>
      <c r="F2748" s="373"/>
      <c r="I2748" s="70"/>
    </row>
    <row r="2749" spans="3:9" s="46" customFormat="1" x14ac:dyDescent="0.2">
      <c r="C2749" s="144"/>
      <c r="D2749" s="144"/>
      <c r="E2749" s="144"/>
      <c r="F2749" s="373"/>
      <c r="I2749" s="70"/>
    </row>
    <row r="2750" spans="3:9" s="46" customFormat="1" x14ac:dyDescent="0.2">
      <c r="C2750" s="144"/>
      <c r="D2750" s="144"/>
      <c r="E2750" s="144"/>
      <c r="F2750" s="373"/>
      <c r="I2750" s="70"/>
    </row>
    <row r="2751" spans="3:9" s="46" customFormat="1" x14ac:dyDescent="0.2">
      <c r="C2751" s="144"/>
      <c r="D2751" s="144"/>
      <c r="E2751" s="144"/>
      <c r="F2751" s="373"/>
      <c r="I2751" s="70"/>
    </row>
    <row r="2752" spans="3:9" s="46" customFormat="1" x14ac:dyDescent="0.2">
      <c r="C2752" s="144"/>
      <c r="D2752" s="144"/>
      <c r="E2752" s="144"/>
      <c r="F2752" s="373"/>
      <c r="I2752" s="70"/>
    </row>
    <row r="2753" spans="3:9" s="46" customFormat="1" x14ac:dyDescent="0.2">
      <c r="C2753" s="144"/>
      <c r="D2753" s="144"/>
      <c r="E2753" s="144"/>
      <c r="F2753" s="373"/>
      <c r="I2753" s="70"/>
    </row>
    <row r="2754" spans="3:9" s="46" customFormat="1" x14ac:dyDescent="0.2">
      <c r="C2754" s="144"/>
      <c r="D2754" s="144"/>
      <c r="E2754" s="144"/>
      <c r="F2754" s="373"/>
      <c r="I2754" s="70"/>
    </row>
    <row r="2755" spans="3:9" s="46" customFormat="1" x14ac:dyDescent="0.2">
      <c r="C2755" s="144"/>
      <c r="D2755" s="144"/>
      <c r="E2755" s="144"/>
      <c r="F2755" s="373"/>
      <c r="I2755" s="70"/>
    </row>
    <row r="2756" spans="3:9" s="46" customFormat="1" x14ac:dyDescent="0.2">
      <c r="C2756" s="144"/>
      <c r="D2756" s="144"/>
      <c r="E2756" s="144"/>
      <c r="F2756" s="373"/>
      <c r="I2756" s="70"/>
    </row>
    <row r="2757" spans="3:9" s="46" customFormat="1" x14ac:dyDescent="0.2">
      <c r="C2757" s="144"/>
      <c r="D2757" s="144"/>
      <c r="E2757" s="144"/>
      <c r="F2757" s="373"/>
      <c r="I2757" s="70"/>
    </row>
    <row r="2758" spans="3:9" s="46" customFormat="1" x14ac:dyDescent="0.2">
      <c r="C2758" s="144"/>
      <c r="D2758" s="144"/>
      <c r="E2758" s="144"/>
      <c r="F2758" s="373"/>
      <c r="I2758" s="70"/>
    </row>
    <row r="2759" spans="3:9" s="46" customFormat="1" x14ac:dyDescent="0.2">
      <c r="C2759" s="144"/>
      <c r="D2759" s="144"/>
      <c r="E2759" s="144"/>
      <c r="F2759" s="373"/>
      <c r="I2759" s="70"/>
    </row>
    <row r="2760" spans="3:9" s="46" customFormat="1" x14ac:dyDescent="0.2">
      <c r="C2760" s="144"/>
      <c r="D2760" s="144"/>
      <c r="E2760" s="144"/>
      <c r="F2760" s="373"/>
      <c r="I2760" s="70"/>
    </row>
    <row r="2761" spans="3:9" s="46" customFormat="1" x14ac:dyDescent="0.2">
      <c r="C2761" s="144"/>
      <c r="D2761" s="144"/>
      <c r="E2761" s="144"/>
      <c r="F2761" s="373"/>
      <c r="I2761" s="70"/>
    </row>
    <row r="2762" spans="3:9" s="46" customFormat="1" x14ac:dyDescent="0.2">
      <c r="C2762" s="144"/>
      <c r="D2762" s="144"/>
      <c r="E2762" s="144"/>
      <c r="F2762" s="373"/>
      <c r="I2762" s="70"/>
    </row>
    <row r="2763" spans="3:9" s="46" customFormat="1" x14ac:dyDescent="0.2">
      <c r="C2763" s="144"/>
      <c r="D2763" s="144"/>
      <c r="E2763" s="144"/>
      <c r="F2763" s="373"/>
      <c r="I2763" s="70"/>
    </row>
    <row r="2764" spans="3:9" s="46" customFormat="1" x14ac:dyDescent="0.2">
      <c r="C2764" s="144"/>
      <c r="D2764" s="144"/>
      <c r="E2764" s="144"/>
      <c r="F2764" s="373"/>
      <c r="I2764" s="70"/>
    </row>
    <row r="2765" spans="3:9" s="46" customFormat="1" x14ac:dyDescent="0.2">
      <c r="C2765" s="144"/>
      <c r="D2765" s="144"/>
      <c r="E2765" s="144"/>
      <c r="F2765" s="373"/>
      <c r="I2765" s="70"/>
    </row>
    <row r="2766" spans="3:9" s="46" customFormat="1" x14ac:dyDescent="0.2">
      <c r="C2766" s="144"/>
      <c r="D2766" s="144"/>
      <c r="E2766" s="144"/>
      <c r="F2766" s="373"/>
      <c r="I2766" s="70"/>
    </row>
    <row r="2767" spans="3:9" s="46" customFormat="1" x14ac:dyDescent="0.2">
      <c r="C2767" s="144"/>
      <c r="D2767" s="144"/>
      <c r="E2767" s="144"/>
      <c r="F2767" s="373"/>
      <c r="I2767" s="70"/>
    </row>
    <row r="2768" spans="3:9" s="46" customFormat="1" x14ac:dyDescent="0.2">
      <c r="C2768" s="144"/>
      <c r="D2768" s="144"/>
      <c r="E2768" s="144"/>
      <c r="F2768" s="373"/>
      <c r="I2768" s="70"/>
    </row>
    <row r="2769" spans="3:9" s="46" customFormat="1" x14ac:dyDescent="0.2">
      <c r="C2769" s="144"/>
      <c r="D2769" s="144"/>
      <c r="E2769" s="144"/>
      <c r="F2769" s="373"/>
      <c r="I2769" s="70"/>
    </row>
    <row r="2770" spans="3:9" s="46" customFormat="1" x14ac:dyDescent="0.2">
      <c r="C2770" s="144"/>
      <c r="D2770" s="144"/>
      <c r="E2770" s="144"/>
      <c r="F2770" s="373"/>
      <c r="I2770" s="70"/>
    </row>
    <row r="2771" spans="3:9" s="46" customFormat="1" x14ac:dyDescent="0.2">
      <c r="C2771" s="144"/>
      <c r="D2771" s="144"/>
      <c r="E2771" s="144"/>
      <c r="F2771" s="373"/>
      <c r="I2771" s="70"/>
    </row>
    <row r="2772" spans="3:9" s="46" customFormat="1" x14ac:dyDescent="0.2">
      <c r="C2772" s="144"/>
      <c r="D2772" s="144"/>
      <c r="E2772" s="144"/>
      <c r="F2772" s="373"/>
      <c r="I2772" s="70"/>
    </row>
    <row r="2773" spans="3:9" s="46" customFormat="1" x14ac:dyDescent="0.2">
      <c r="C2773" s="144"/>
      <c r="D2773" s="144"/>
      <c r="E2773" s="144"/>
      <c r="F2773" s="373"/>
      <c r="I2773" s="70"/>
    </row>
    <row r="2774" spans="3:9" s="46" customFormat="1" x14ac:dyDescent="0.2">
      <c r="C2774" s="144"/>
      <c r="D2774" s="144"/>
      <c r="E2774" s="144"/>
      <c r="F2774" s="373"/>
      <c r="I2774" s="70"/>
    </row>
    <row r="2775" spans="3:9" s="46" customFormat="1" x14ac:dyDescent="0.2">
      <c r="C2775" s="144"/>
      <c r="D2775" s="144"/>
      <c r="E2775" s="144"/>
      <c r="F2775" s="373"/>
      <c r="I2775" s="70"/>
    </row>
    <row r="2776" spans="3:9" s="46" customFormat="1" x14ac:dyDescent="0.2">
      <c r="C2776" s="144"/>
      <c r="D2776" s="144"/>
      <c r="E2776" s="144"/>
      <c r="F2776" s="373"/>
      <c r="I2776" s="70"/>
    </row>
    <row r="2777" spans="3:9" s="46" customFormat="1" x14ac:dyDescent="0.2">
      <c r="C2777" s="144"/>
      <c r="D2777" s="144"/>
      <c r="E2777" s="144"/>
      <c r="F2777" s="373"/>
      <c r="I2777" s="70"/>
    </row>
    <row r="2778" spans="3:9" s="46" customFormat="1" x14ac:dyDescent="0.2">
      <c r="C2778" s="144"/>
      <c r="D2778" s="144"/>
      <c r="E2778" s="144"/>
      <c r="F2778" s="373"/>
      <c r="I2778" s="70"/>
    </row>
    <row r="2779" spans="3:9" s="46" customFormat="1" x14ac:dyDescent="0.2">
      <c r="C2779" s="144"/>
      <c r="D2779" s="144"/>
      <c r="E2779" s="144"/>
      <c r="F2779" s="373"/>
      <c r="I2779" s="70"/>
    </row>
    <row r="2780" spans="3:9" s="46" customFormat="1" x14ac:dyDescent="0.2">
      <c r="C2780" s="144"/>
      <c r="D2780" s="144"/>
      <c r="E2780" s="144"/>
      <c r="F2780" s="373"/>
      <c r="I2780" s="70"/>
    </row>
    <row r="2781" spans="3:9" s="46" customFormat="1" x14ac:dyDescent="0.2">
      <c r="C2781" s="144"/>
      <c r="D2781" s="144"/>
      <c r="E2781" s="144"/>
      <c r="F2781" s="373"/>
      <c r="I2781" s="70"/>
    </row>
    <row r="2782" spans="3:9" s="46" customFormat="1" x14ac:dyDescent="0.2">
      <c r="C2782" s="144"/>
      <c r="D2782" s="144"/>
      <c r="E2782" s="144"/>
      <c r="F2782" s="373"/>
      <c r="I2782" s="70"/>
    </row>
    <row r="2783" spans="3:9" s="46" customFormat="1" x14ac:dyDescent="0.2">
      <c r="C2783" s="144"/>
      <c r="D2783" s="144"/>
      <c r="E2783" s="144"/>
      <c r="F2783" s="373"/>
      <c r="I2783" s="70"/>
    </row>
    <row r="2784" spans="3:9" s="46" customFormat="1" x14ac:dyDescent="0.2">
      <c r="C2784" s="144"/>
      <c r="D2784" s="144"/>
      <c r="E2784" s="144"/>
      <c r="F2784" s="373"/>
      <c r="I2784" s="70"/>
    </row>
    <row r="2785" spans="3:9" s="46" customFormat="1" x14ac:dyDescent="0.2">
      <c r="C2785" s="144"/>
      <c r="D2785" s="144"/>
      <c r="E2785" s="144"/>
      <c r="F2785" s="373"/>
      <c r="I2785" s="70"/>
    </row>
    <row r="2786" spans="3:9" s="46" customFormat="1" x14ac:dyDescent="0.2">
      <c r="C2786" s="144"/>
      <c r="D2786" s="144"/>
      <c r="E2786" s="144"/>
      <c r="F2786" s="373"/>
      <c r="I2786" s="70"/>
    </row>
    <row r="2787" spans="3:9" s="46" customFormat="1" x14ac:dyDescent="0.2">
      <c r="C2787" s="144"/>
      <c r="D2787" s="144"/>
      <c r="E2787" s="144"/>
      <c r="F2787" s="373"/>
      <c r="I2787" s="70"/>
    </row>
    <row r="2788" spans="3:9" s="46" customFormat="1" x14ac:dyDescent="0.2">
      <c r="C2788" s="144"/>
      <c r="D2788" s="144"/>
      <c r="E2788" s="144"/>
      <c r="F2788" s="373"/>
      <c r="I2788" s="70"/>
    </row>
    <row r="2789" spans="3:9" s="46" customFormat="1" x14ac:dyDescent="0.2">
      <c r="C2789" s="144"/>
      <c r="D2789" s="144"/>
      <c r="E2789" s="144"/>
      <c r="F2789" s="373"/>
      <c r="I2789" s="70"/>
    </row>
    <row r="2790" spans="3:9" s="46" customFormat="1" x14ac:dyDescent="0.2">
      <c r="C2790" s="144"/>
      <c r="D2790" s="144"/>
      <c r="E2790" s="144"/>
      <c r="F2790" s="373"/>
      <c r="I2790" s="70"/>
    </row>
    <row r="2791" spans="3:9" s="46" customFormat="1" x14ac:dyDescent="0.2">
      <c r="C2791" s="144"/>
      <c r="D2791" s="144"/>
      <c r="E2791" s="144"/>
      <c r="F2791" s="373"/>
      <c r="I2791" s="70"/>
    </row>
    <row r="2792" spans="3:9" s="46" customFormat="1" x14ac:dyDescent="0.2">
      <c r="C2792" s="144"/>
      <c r="D2792" s="144"/>
      <c r="E2792" s="144"/>
      <c r="F2792" s="373"/>
      <c r="I2792" s="70"/>
    </row>
    <row r="2793" spans="3:9" s="46" customFormat="1" x14ac:dyDescent="0.2">
      <c r="C2793" s="144"/>
      <c r="D2793" s="144"/>
      <c r="E2793" s="144"/>
      <c r="F2793" s="373"/>
      <c r="I2793" s="70"/>
    </row>
    <row r="2794" spans="3:9" s="46" customFormat="1" x14ac:dyDescent="0.2">
      <c r="C2794" s="144"/>
      <c r="D2794" s="144"/>
      <c r="E2794" s="144"/>
      <c r="F2794" s="373"/>
      <c r="I2794" s="70"/>
    </row>
    <row r="2795" spans="3:9" s="46" customFormat="1" x14ac:dyDescent="0.2">
      <c r="C2795" s="144"/>
      <c r="D2795" s="144"/>
      <c r="E2795" s="144"/>
      <c r="F2795" s="373"/>
      <c r="I2795" s="70"/>
    </row>
    <row r="2796" spans="3:9" s="46" customFormat="1" x14ac:dyDescent="0.2">
      <c r="C2796" s="144"/>
      <c r="D2796" s="144"/>
      <c r="E2796" s="144"/>
      <c r="F2796" s="373"/>
      <c r="I2796" s="70"/>
    </row>
    <row r="2797" spans="3:9" s="46" customFormat="1" x14ac:dyDescent="0.2">
      <c r="C2797" s="144"/>
      <c r="D2797" s="144"/>
      <c r="E2797" s="144"/>
      <c r="F2797" s="373"/>
      <c r="I2797" s="70"/>
    </row>
    <row r="2798" spans="3:9" s="46" customFormat="1" x14ac:dyDescent="0.2">
      <c r="C2798" s="144"/>
      <c r="D2798" s="144"/>
      <c r="E2798" s="144"/>
      <c r="F2798" s="373"/>
      <c r="I2798" s="70"/>
    </row>
    <row r="2799" spans="3:9" s="46" customFormat="1" x14ac:dyDescent="0.2">
      <c r="C2799" s="144"/>
      <c r="D2799" s="144"/>
      <c r="E2799" s="144"/>
      <c r="F2799" s="373"/>
      <c r="I2799" s="70"/>
    </row>
    <row r="2800" spans="3:9" s="46" customFormat="1" x14ac:dyDescent="0.2">
      <c r="C2800" s="144"/>
      <c r="D2800" s="144"/>
      <c r="E2800" s="144"/>
      <c r="F2800" s="373"/>
      <c r="I2800" s="70"/>
    </row>
    <row r="2801" spans="3:9" s="46" customFormat="1" x14ac:dyDescent="0.2">
      <c r="C2801" s="144"/>
      <c r="D2801" s="144"/>
      <c r="E2801" s="144"/>
      <c r="F2801" s="373"/>
      <c r="I2801" s="70"/>
    </row>
    <row r="2802" spans="3:9" s="46" customFormat="1" x14ac:dyDescent="0.2">
      <c r="C2802" s="144"/>
      <c r="D2802" s="144"/>
      <c r="E2802" s="144"/>
      <c r="F2802" s="373"/>
      <c r="I2802" s="70"/>
    </row>
    <row r="2803" spans="3:9" s="46" customFormat="1" x14ac:dyDescent="0.2">
      <c r="C2803" s="144"/>
      <c r="D2803" s="144"/>
      <c r="E2803" s="144"/>
      <c r="F2803" s="373"/>
      <c r="I2803" s="70"/>
    </row>
    <row r="2804" spans="3:9" s="46" customFormat="1" x14ac:dyDescent="0.2">
      <c r="C2804" s="144"/>
      <c r="D2804" s="144"/>
      <c r="E2804" s="144"/>
      <c r="F2804" s="373"/>
      <c r="I2804" s="70"/>
    </row>
    <row r="2805" spans="3:9" s="46" customFormat="1" x14ac:dyDescent="0.2">
      <c r="C2805" s="144"/>
      <c r="D2805" s="144"/>
      <c r="E2805" s="144"/>
      <c r="F2805" s="373"/>
      <c r="I2805" s="70"/>
    </row>
    <row r="2806" spans="3:9" s="46" customFormat="1" x14ac:dyDescent="0.2">
      <c r="C2806" s="144"/>
      <c r="D2806" s="144"/>
      <c r="E2806" s="144"/>
      <c r="F2806" s="373"/>
      <c r="I2806" s="70"/>
    </row>
    <row r="2807" spans="3:9" s="46" customFormat="1" x14ac:dyDescent="0.2">
      <c r="C2807" s="144"/>
      <c r="D2807" s="144"/>
      <c r="E2807" s="144"/>
      <c r="F2807" s="373"/>
      <c r="I2807" s="70"/>
    </row>
    <row r="2808" spans="3:9" s="46" customFormat="1" x14ac:dyDescent="0.2">
      <c r="C2808" s="144"/>
      <c r="D2808" s="144"/>
      <c r="E2808" s="144"/>
      <c r="F2808" s="373"/>
      <c r="I2808" s="70"/>
    </row>
    <row r="2809" spans="3:9" s="46" customFormat="1" x14ac:dyDescent="0.2">
      <c r="C2809" s="144"/>
      <c r="D2809" s="144"/>
      <c r="E2809" s="144"/>
      <c r="F2809" s="373"/>
      <c r="I2809" s="70"/>
    </row>
    <row r="2810" spans="3:9" s="46" customFormat="1" x14ac:dyDescent="0.2">
      <c r="C2810" s="144"/>
      <c r="D2810" s="144"/>
      <c r="E2810" s="144"/>
      <c r="F2810" s="373"/>
      <c r="I2810" s="70"/>
    </row>
    <row r="2811" spans="3:9" s="46" customFormat="1" x14ac:dyDescent="0.2">
      <c r="C2811" s="144"/>
      <c r="D2811" s="144"/>
      <c r="E2811" s="144"/>
      <c r="F2811" s="373"/>
      <c r="I2811" s="70"/>
    </row>
    <row r="2812" spans="3:9" s="46" customFormat="1" x14ac:dyDescent="0.2">
      <c r="C2812" s="144"/>
      <c r="D2812" s="144"/>
      <c r="E2812" s="144"/>
      <c r="F2812" s="373"/>
      <c r="I2812" s="70"/>
    </row>
    <row r="2813" spans="3:9" s="46" customFormat="1" x14ac:dyDescent="0.2">
      <c r="C2813" s="144"/>
      <c r="D2813" s="144"/>
      <c r="E2813" s="144"/>
      <c r="F2813" s="373"/>
      <c r="I2813" s="70"/>
    </row>
    <row r="2814" spans="3:9" s="46" customFormat="1" x14ac:dyDescent="0.2">
      <c r="C2814" s="144"/>
      <c r="D2814" s="144"/>
      <c r="E2814" s="144"/>
      <c r="F2814" s="373"/>
      <c r="I2814" s="70"/>
    </row>
    <row r="2815" spans="3:9" s="46" customFormat="1" x14ac:dyDescent="0.2">
      <c r="C2815" s="144"/>
      <c r="D2815" s="144"/>
      <c r="E2815" s="144"/>
      <c r="F2815" s="373"/>
      <c r="I2815" s="70"/>
    </row>
    <row r="2816" spans="3:9" s="46" customFormat="1" x14ac:dyDescent="0.2">
      <c r="C2816" s="144"/>
      <c r="D2816" s="144"/>
      <c r="E2816" s="144"/>
      <c r="F2816" s="373"/>
      <c r="I2816" s="70"/>
    </row>
    <row r="2817" spans="3:9" s="46" customFormat="1" x14ac:dyDescent="0.2">
      <c r="C2817" s="144"/>
      <c r="D2817" s="144"/>
      <c r="E2817" s="144"/>
      <c r="F2817" s="373"/>
      <c r="I2817" s="70"/>
    </row>
    <row r="2818" spans="3:9" s="46" customFormat="1" x14ac:dyDescent="0.2">
      <c r="C2818" s="144"/>
      <c r="D2818" s="144"/>
      <c r="E2818" s="144"/>
      <c r="F2818" s="373"/>
      <c r="I2818" s="70"/>
    </row>
    <row r="2819" spans="3:9" s="46" customFormat="1" x14ac:dyDescent="0.2">
      <c r="C2819" s="144"/>
      <c r="D2819" s="144"/>
      <c r="E2819" s="144"/>
      <c r="F2819" s="373"/>
      <c r="I2819" s="70"/>
    </row>
    <row r="2820" spans="3:9" s="46" customFormat="1" x14ac:dyDescent="0.2">
      <c r="C2820" s="144"/>
      <c r="D2820" s="144"/>
      <c r="E2820" s="144"/>
      <c r="F2820" s="373"/>
      <c r="I2820" s="70"/>
    </row>
    <row r="2821" spans="3:9" s="46" customFormat="1" x14ac:dyDescent="0.2">
      <c r="C2821" s="144"/>
      <c r="D2821" s="144"/>
      <c r="E2821" s="144"/>
      <c r="F2821" s="373"/>
      <c r="I2821" s="70"/>
    </row>
    <row r="2822" spans="3:9" s="46" customFormat="1" x14ac:dyDescent="0.2">
      <c r="C2822" s="144"/>
      <c r="D2822" s="144"/>
      <c r="E2822" s="144"/>
      <c r="F2822" s="373"/>
      <c r="I2822" s="70"/>
    </row>
    <row r="2823" spans="3:9" s="46" customFormat="1" x14ac:dyDescent="0.2">
      <c r="C2823" s="144"/>
      <c r="D2823" s="144"/>
      <c r="E2823" s="144"/>
      <c r="F2823" s="373"/>
      <c r="I2823" s="70"/>
    </row>
    <row r="2824" spans="3:9" s="46" customFormat="1" x14ac:dyDescent="0.2">
      <c r="C2824" s="144"/>
      <c r="D2824" s="144"/>
      <c r="E2824" s="144"/>
      <c r="F2824" s="373"/>
      <c r="I2824" s="70"/>
    </row>
    <row r="2825" spans="3:9" s="46" customFormat="1" x14ac:dyDescent="0.2">
      <c r="C2825" s="144"/>
      <c r="D2825" s="144"/>
      <c r="E2825" s="144"/>
      <c r="F2825" s="373"/>
      <c r="I2825" s="70"/>
    </row>
    <row r="2826" spans="3:9" s="46" customFormat="1" x14ac:dyDescent="0.2">
      <c r="C2826" s="144"/>
      <c r="D2826" s="144"/>
      <c r="E2826" s="144"/>
      <c r="F2826" s="373"/>
      <c r="I2826" s="70"/>
    </row>
    <row r="2827" spans="3:9" s="46" customFormat="1" x14ac:dyDescent="0.2">
      <c r="C2827" s="144"/>
      <c r="D2827" s="144"/>
      <c r="E2827" s="144"/>
      <c r="F2827" s="373"/>
      <c r="I2827" s="70"/>
    </row>
    <row r="2828" spans="3:9" s="46" customFormat="1" x14ac:dyDescent="0.2">
      <c r="C2828" s="144"/>
      <c r="D2828" s="144"/>
      <c r="E2828" s="144"/>
      <c r="F2828" s="373"/>
      <c r="I2828" s="70"/>
    </row>
    <row r="2829" spans="3:9" s="46" customFormat="1" x14ac:dyDescent="0.2">
      <c r="C2829" s="144"/>
      <c r="D2829" s="144"/>
      <c r="E2829" s="144"/>
      <c r="F2829" s="373"/>
      <c r="I2829" s="70"/>
    </row>
    <row r="2830" spans="3:9" s="46" customFormat="1" x14ac:dyDescent="0.2">
      <c r="C2830" s="144"/>
      <c r="D2830" s="144"/>
      <c r="E2830" s="144"/>
      <c r="F2830" s="373"/>
      <c r="I2830" s="70"/>
    </row>
    <row r="2831" spans="3:9" s="46" customFormat="1" x14ac:dyDescent="0.2">
      <c r="C2831" s="144"/>
      <c r="D2831" s="144"/>
      <c r="E2831" s="144"/>
      <c r="F2831" s="373"/>
      <c r="I2831" s="70"/>
    </row>
    <row r="2832" spans="3:9" s="46" customFormat="1" x14ac:dyDescent="0.2">
      <c r="C2832" s="144"/>
      <c r="D2832" s="144"/>
      <c r="E2832" s="144"/>
      <c r="F2832" s="373"/>
      <c r="I2832" s="70"/>
    </row>
    <row r="2833" spans="3:9" s="46" customFormat="1" x14ac:dyDescent="0.2">
      <c r="C2833" s="144"/>
      <c r="D2833" s="144"/>
      <c r="E2833" s="144"/>
      <c r="F2833" s="373"/>
      <c r="I2833" s="70"/>
    </row>
    <row r="2834" spans="3:9" s="46" customFormat="1" x14ac:dyDescent="0.2">
      <c r="C2834" s="144"/>
      <c r="D2834" s="144"/>
      <c r="E2834" s="144"/>
      <c r="F2834" s="373"/>
      <c r="I2834" s="70"/>
    </row>
    <row r="2835" spans="3:9" s="46" customFormat="1" x14ac:dyDescent="0.2">
      <c r="C2835" s="144"/>
      <c r="D2835" s="144"/>
      <c r="E2835" s="144"/>
      <c r="F2835" s="373"/>
      <c r="I2835" s="70"/>
    </row>
    <row r="2836" spans="3:9" s="46" customFormat="1" x14ac:dyDescent="0.2">
      <c r="C2836" s="144"/>
      <c r="D2836" s="144"/>
      <c r="E2836" s="144"/>
      <c r="F2836" s="373"/>
      <c r="I2836" s="70"/>
    </row>
    <row r="2837" spans="3:9" s="46" customFormat="1" x14ac:dyDescent="0.2">
      <c r="C2837" s="144"/>
      <c r="D2837" s="144"/>
      <c r="E2837" s="144"/>
      <c r="F2837" s="373"/>
      <c r="I2837" s="70"/>
    </row>
    <row r="2838" spans="3:9" s="46" customFormat="1" x14ac:dyDescent="0.2">
      <c r="C2838" s="144"/>
      <c r="D2838" s="144"/>
      <c r="E2838" s="144"/>
      <c r="F2838" s="373"/>
      <c r="I2838" s="70"/>
    </row>
    <row r="2839" spans="3:9" s="46" customFormat="1" x14ac:dyDescent="0.2">
      <c r="C2839" s="144"/>
      <c r="D2839" s="144"/>
      <c r="E2839" s="144"/>
      <c r="F2839" s="373"/>
      <c r="I2839" s="70"/>
    </row>
    <row r="2840" spans="3:9" s="46" customFormat="1" x14ac:dyDescent="0.2">
      <c r="C2840" s="144"/>
      <c r="D2840" s="144"/>
      <c r="E2840" s="144"/>
      <c r="F2840" s="373"/>
      <c r="I2840" s="70"/>
    </row>
    <row r="2841" spans="3:9" s="46" customFormat="1" x14ac:dyDescent="0.2">
      <c r="C2841" s="144"/>
      <c r="D2841" s="144"/>
      <c r="E2841" s="144"/>
      <c r="F2841" s="373"/>
      <c r="I2841" s="70"/>
    </row>
    <row r="2842" spans="3:9" s="46" customFormat="1" x14ac:dyDescent="0.2">
      <c r="C2842" s="144"/>
      <c r="D2842" s="144"/>
      <c r="E2842" s="144"/>
      <c r="F2842" s="373"/>
      <c r="I2842" s="70"/>
    </row>
    <row r="2843" spans="3:9" s="46" customFormat="1" x14ac:dyDescent="0.2">
      <c r="C2843" s="144"/>
      <c r="D2843" s="144"/>
      <c r="E2843" s="144"/>
      <c r="F2843" s="373"/>
      <c r="I2843" s="70"/>
    </row>
    <row r="2844" spans="3:9" s="46" customFormat="1" x14ac:dyDescent="0.2">
      <c r="C2844" s="144"/>
      <c r="D2844" s="144"/>
      <c r="E2844" s="144"/>
      <c r="F2844" s="373"/>
      <c r="I2844" s="70"/>
    </row>
    <row r="2845" spans="3:9" s="46" customFormat="1" x14ac:dyDescent="0.2">
      <c r="C2845" s="144"/>
      <c r="D2845" s="144"/>
      <c r="E2845" s="144"/>
      <c r="F2845" s="373"/>
      <c r="I2845" s="70"/>
    </row>
    <row r="2846" spans="3:9" s="46" customFormat="1" x14ac:dyDescent="0.2">
      <c r="C2846" s="144"/>
      <c r="D2846" s="144"/>
      <c r="E2846" s="144"/>
      <c r="F2846" s="373"/>
      <c r="I2846" s="70"/>
    </row>
    <row r="2847" spans="3:9" s="46" customFormat="1" x14ac:dyDescent="0.2">
      <c r="C2847" s="144"/>
      <c r="D2847" s="144"/>
      <c r="E2847" s="144"/>
      <c r="F2847" s="373"/>
      <c r="I2847" s="70"/>
    </row>
    <row r="2848" spans="3:9" s="46" customFormat="1" x14ac:dyDescent="0.2">
      <c r="C2848" s="144"/>
      <c r="D2848" s="144"/>
      <c r="E2848" s="144"/>
      <c r="F2848" s="373"/>
      <c r="I2848" s="70"/>
    </row>
    <row r="2849" spans="3:9" s="46" customFormat="1" x14ac:dyDescent="0.2">
      <c r="C2849" s="144"/>
      <c r="D2849" s="144"/>
      <c r="E2849" s="144"/>
      <c r="F2849" s="373"/>
      <c r="I2849" s="70"/>
    </row>
    <row r="2850" spans="3:9" s="46" customFormat="1" x14ac:dyDescent="0.2">
      <c r="C2850" s="144"/>
      <c r="D2850" s="144"/>
      <c r="E2850" s="144"/>
      <c r="F2850" s="373"/>
      <c r="I2850" s="70"/>
    </row>
    <row r="2851" spans="3:9" s="46" customFormat="1" x14ac:dyDescent="0.2">
      <c r="C2851" s="144"/>
      <c r="D2851" s="144"/>
      <c r="E2851" s="144"/>
      <c r="F2851" s="373"/>
      <c r="I2851" s="70"/>
    </row>
    <row r="2852" spans="3:9" s="46" customFormat="1" x14ac:dyDescent="0.2">
      <c r="C2852" s="144"/>
      <c r="D2852" s="144"/>
      <c r="E2852" s="144"/>
      <c r="F2852" s="373"/>
      <c r="I2852" s="70"/>
    </row>
    <row r="2853" spans="3:9" s="46" customFormat="1" x14ac:dyDescent="0.2">
      <c r="C2853" s="144"/>
      <c r="D2853" s="144"/>
      <c r="E2853" s="144"/>
      <c r="F2853" s="373"/>
      <c r="I2853" s="70"/>
    </row>
    <row r="2854" spans="3:9" s="46" customFormat="1" x14ac:dyDescent="0.2">
      <c r="C2854" s="144"/>
      <c r="D2854" s="144"/>
      <c r="E2854" s="144"/>
      <c r="F2854" s="373"/>
      <c r="I2854" s="70"/>
    </row>
    <row r="2855" spans="3:9" s="46" customFormat="1" x14ac:dyDescent="0.2">
      <c r="C2855" s="144"/>
      <c r="D2855" s="144"/>
      <c r="E2855" s="144"/>
      <c r="F2855" s="373"/>
      <c r="I2855" s="70"/>
    </row>
    <row r="2856" spans="3:9" s="46" customFormat="1" x14ac:dyDescent="0.2">
      <c r="C2856" s="144"/>
      <c r="D2856" s="144"/>
      <c r="E2856" s="144"/>
      <c r="F2856" s="373"/>
      <c r="I2856" s="70"/>
    </row>
    <row r="2857" spans="3:9" s="46" customFormat="1" x14ac:dyDescent="0.2">
      <c r="C2857" s="144"/>
      <c r="D2857" s="144"/>
      <c r="E2857" s="144"/>
      <c r="F2857" s="373"/>
      <c r="I2857" s="70"/>
    </row>
    <row r="2858" spans="3:9" s="46" customFormat="1" x14ac:dyDescent="0.2">
      <c r="C2858" s="144"/>
      <c r="D2858" s="144"/>
      <c r="E2858" s="144"/>
      <c r="F2858" s="373"/>
      <c r="I2858" s="70"/>
    </row>
    <row r="2859" spans="3:9" s="46" customFormat="1" x14ac:dyDescent="0.2">
      <c r="C2859" s="144"/>
      <c r="D2859" s="144"/>
      <c r="E2859" s="144"/>
      <c r="F2859" s="373"/>
      <c r="I2859" s="70"/>
    </row>
    <row r="2860" spans="3:9" s="46" customFormat="1" x14ac:dyDescent="0.2">
      <c r="C2860" s="144"/>
      <c r="D2860" s="144"/>
      <c r="E2860" s="144"/>
      <c r="F2860" s="373"/>
      <c r="I2860" s="70"/>
    </row>
    <row r="2861" spans="3:9" s="46" customFormat="1" x14ac:dyDescent="0.2">
      <c r="C2861" s="144"/>
      <c r="D2861" s="144"/>
      <c r="E2861" s="144"/>
      <c r="F2861" s="373"/>
      <c r="I2861" s="70"/>
    </row>
    <row r="2862" spans="3:9" s="46" customFormat="1" x14ac:dyDescent="0.2">
      <c r="C2862" s="144"/>
      <c r="D2862" s="144"/>
      <c r="E2862" s="144"/>
      <c r="F2862" s="373"/>
      <c r="I2862" s="70"/>
    </row>
    <row r="2863" spans="3:9" s="46" customFormat="1" x14ac:dyDescent="0.2">
      <c r="C2863" s="144"/>
      <c r="D2863" s="144"/>
      <c r="E2863" s="144"/>
      <c r="F2863" s="373"/>
      <c r="I2863" s="70"/>
    </row>
    <row r="2864" spans="3:9" s="46" customFormat="1" x14ac:dyDescent="0.2">
      <c r="C2864" s="144"/>
      <c r="D2864" s="144"/>
      <c r="E2864" s="144"/>
      <c r="F2864" s="373"/>
      <c r="I2864" s="70"/>
    </row>
    <row r="2865" spans="3:9" s="46" customFormat="1" x14ac:dyDescent="0.2">
      <c r="C2865" s="144"/>
      <c r="D2865" s="144"/>
      <c r="E2865" s="144"/>
      <c r="F2865" s="373"/>
      <c r="I2865" s="70"/>
    </row>
    <row r="2866" spans="3:9" s="46" customFormat="1" x14ac:dyDescent="0.2">
      <c r="C2866" s="144"/>
      <c r="D2866" s="144"/>
      <c r="E2866" s="144"/>
      <c r="F2866" s="373"/>
      <c r="I2866" s="70"/>
    </row>
    <row r="2867" spans="3:9" s="46" customFormat="1" x14ac:dyDescent="0.2">
      <c r="C2867" s="144"/>
      <c r="D2867" s="144"/>
      <c r="E2867" s="144"/>
      <c r="F2867" s="373"/>
      <c r="I2867" s="70"/>
    </row>
    <row r="2868" spans="3:9" s="46" customFormat="1" x14ac:dyDescent="0.2">
      <c r="C2868" s="144"/>
      <c r="D2868" s="144"/>
      <c r="E2868" s="144"/>
      <c r="F2868" s="373"/>
      <c r="I2868" s="70"/>
    </row>
    <row r="2869" spans="3:9" s="46" customFormat="1" x14ac:dyDescent="0.2">
      <c r="C2869" s="144"/>
      <c r="D2869" s="144"/>
      <c r="E2869" s="144"/>
      <c r="F2869" s="373"/>
      <c r="I2869" s="70"/>
    </row>
    <row r="2870" spans="3:9" s="46" customFormat="1" x14ac:dyDescent="0.2">
      <c r="C2870" s="144"/>
      <c r="D2870" s="144"/>
      <c r="E2870" s="144"/>
      <c r="F2870" s="373"/>
      <c r="I2870" s="70"/>
    </row>
    <row r="2871" spans="3:9" s="46" customFormat="1" x14ac:dyDescent="0.2">
      <c r="C2871" s="144"/>
      <c r="D2871" s="144"/>
      <c r="E2871" s="144"/>
      <c r="F2871" s="373"/>
      <c r="I2871" s="70"/>
    </row>
    <row r="2872" spans="3:9" s="46" customFormat="1" x14ac:dyDescent="0.2">
      <c r="C2872" s="144"/>
      <c r="D2872" s="144"/>
      <c r="E2872" s="144"/>
      <c r="F2872" s="373"/>
      <c r="I2872" s="70"/>
    </row>
    <row r="2873" spans="3:9" s="46" customFormat="1" x14ac:dyDescent="0.2">
      <c r="C2873" s="144"/>
      <c r="D2873" s="144"/>
      <c r="E2873" s="144"/>
      <c r="F2873" s="373"/>
      <c r="I2873" s="70"/>
    </row>
    <row r="2874" spans="3:9" s="46" customFormat="1" x14ac:dyDescent="0.2">
      <c r="C2874" s="144"/>
      <c r="D2874" s="144"/>
      <c r="E2874" s="144"/>
      <c r="F2874" s="373"/>
      <c r="I2874" s="70"/>
    </row>
    <row r="2875" spans="3:9" s="46" customFormat="1" x14ac:dyDescent="0.2">
      <c r="C2875" s="144"/>
      <c r="D2875" s="144"/>
      <c r="E2875" s="144"/>
      <c r="F2875" s="373"/>
      <c r="I2875" s="70"/>
    </row>
    <row r="2876" spans="3:9" s="46" customFormat="1" x14ac:dyDescent="0.2">
      <c r="C2876" s="144"/>
      <c r="D2876" s="144"/>
      <c r="E2876" s="144"/>
      <c r="F2876" s="373"/>
      <c r="I2876" s="70"/>
    </row>
    <row r="2877" spans="3:9" s="46" customFormat="1" x14ac:dyDescent="0.2">
      <c r="C2877" s="144"/>
      <c r="D2877" s="144"/>
      <c r="E2877" s="144"/>
      <c r="F2877" s="373"/>
      <c r="I2877" s="70"/>
    </row>
    <row r="2878" spans="3:9" s="46" customFormat="1" x14ac:dyDescent="0.2">
      <c r="C2878" s="144"/>
      <c r="D2878" s="144"/>
      <c r="E2878" s="144"/>
      <c r="F2878" s="373"/>
      <c r="I2878" s="70"/>
    </row>
    <row r="2879" spans="3:9" s="46" customFormat="1" x14ac:dyDescent="0.2">
      <c r="C2879" s="144"/>
      <c r="D2879" s="144"/>
      <c r="E2879" s="144"/>
      <c r="F2879" s="373"/>
      <c r="I2879" s="70"/>
    </row>
    <row r="2880" spans="3:9" s="46" customFormat="1" x14ac:dyDescent="0.2">
      <c r="C2880" s="144"/>
      <c r="D2880" s="144"/>
      <c r="E2880" s="144"/>
      <c r="F2880" s="373"/>
      <c r="I2880" s="70"/>
    </row>
    <row r="2881" spans="3:9" s="46" customFormat="1" x14ac:dyDescent="0.2">
      <c r="C2881" s="144"/>
      <c r="D2881" s="144"/>
      <c r="E2881" s="144"/>
      <c r="F2881" s="373"/>
      <c r="I2881" s="70"/>
    </row>
    <row r="2882" spans="3:9" s="46" customFormat="1" x14ac:dyDescent="0.2">
      <c r="C2882" s="144"/>
      <c r="D2882" s="144"/>
      <c r="E2882" s="144"/>
      <c r="F2882" s="373"/>
      <c r="I2882" s="70"/>
    </row>
    <row r="2883" spans="3:9" s="46" customFormat="1" x14ac:dyDescent="0.2">
      <c r="C2883" s="144"/>
      <c r="D2883" s="144"/>
      <c r="E2883" s="144"/>
      <c r="F2883" s="373"/>
      <c r="I2883" s="70"/>
    </row>
    <row r="2884" spans="3:9" s="46" customFormat="1" x14ac:dyDescent="0.2">
      <c r="C2884" s="144"/>
      <c r="D2884" s="144"/>
      <c r="E2884" s="144"/>
      <c r="F2884" s="373"/>
      <c r="I2884" s="70"/>
    </row>
    <row r="2885" spans="3:9" s="46" customFormat="1" x14ac:dyDescent="0.2">
      <c r="C2885" s="144"/>
      <c r="D2885" s="144"/>
      <c r="E2885" s="144"/>
      <c r="F2885" s="373"/>
      <c r="I2885" s="70"/>
    </row>
    <row r="2886" spans="3:9" s="46" customFormat="1" x14ac:dyDescent="0.2">
      <c r="C2886" s="144"/>
      <c r="D2886" s="144"/>
      <c r="E2886" s="144"/>
      <c r="F2886" s="373"/>
      <c r="I2886" s="70"/>
    </row>
    <row r="2887" spans="3:9" s="46" customFormat="1" x14ac:dyDescent="0.2">
      <c r="C2887" s="144"/>
      <c r="D2887" s="144"/>
      <c r="E2887" s="144"/>
      <c r="F2887" s="373"/>
      <c r="I2887" s="70"/>
    </row>
    <row r="2888" spans="3:9" s="46" customFormat="1" x14ac:dyDescent="0.2">
      <c r="C2888" s="144"/>
      <c r="D2888" s="144"/>
      <c r="E2888" s="144"/>
      <c r="F2888" s="373"/>
      <c r="I2888" s="70"/>
    </row>
    <row r="2889" spans="3:9" s="46" customFormat="1" x14ac:dyDescent="0.2">
      <c r="C2889" s="144"/>
      <c r="D2889" s="144"/>
      <c r="E2889" s="144"/>
      <c r="F2889" s="373"/>
      <c r="I2889" s="70"/>
    </row>
    <row r="2890" spans="3:9" s="46" customFormat="1" x14ac:dyDescent="0.2">
      <c r="C2890" s="144"/>
      <c r="D2890" s="144"/>
      <c r="E2890" s="144"/>
      <c r="F2890" s="373"/>
      <c r="I2890" s="70"/>
    </row>
    <row r="2891" spans="3:9" s="46" customFormat="1" x14ac:dyDescent="0.2">
      <c r="C2891" s="144"/>
      <c r="D2891" s="144"/>
      <c r="E2891" s="144"/>
      <c r="F2891" s="373"/>
      <c r="I2891" s="70"/>
    </row>
    <row r="2892" spans="3:9" s="46" customFormat="1" x14ac:dyDescent="0.2">
      <c r="C2892" s="144"/>
      <c r="D2892" s="144"/>
      <c r="E2892" s="144"/>
      <c r="F2892" s="373"/>
      <c r="I2892" s="70"/>
    </row>
    <row r="2893" spans="3:9" s="46" customFormat="1" x14ac:dyDescent="0.2">
      <c r="C2893" s="144"/>
      <c r="D2893" s="144"/>
      <c r="E2893" s="144"/>
      <c r="F2893" s="373"/>
      <c r="I2893" s="70"/>
    </row>
    <row r="2894" spans="3:9" s="46" customFormat="1" x14ac:dyDescent="0.2">
      <c r="C2894" s="144"/>
      <c r="D2894" s="144"/>
      <c r="E2894" s="144"/>
      <c r="F2894" s="373"/>
      <c r="I2894" s="70"/>
    </row>
    <row r="2895" spans="3:9" s="46" customFormat="1" x14ac:dyDescent="0.2">
      <c r="C2895" s="144"/>
      <c r="D2895" s="144"/>
      <c r="E2895" s="144"/>
      <c r="F2895" s="373"/>
      <c r="I2895" s="70"/>
    </row>
    <row r="2896" spans="3:9" s="46" customFormat="1" x14ac:dyDescent="0.2">
      <c r="C2896" s="144"/>
      <c r="D2896" s="144"/>
      <c r="E2896" s="144"/>
      <c r="F2896" s="373"/>
      <c r="I2896" s="70"/>
    </row>
    <row r="2897" spans="3:9" s="46" customFormat="1" x14ac:dyDescent="0.2">
      <c r="C2897" s="144"/>
      <c r="D2897" s="144"/>
      <c r="E2897" s="144"/>
      <c r="F2897" s="373"/>
      <c r="I2897" s="70"/>
    </row>
    <row r="2898" spans="3:9" s="46" customFormat="1" x14ac:dyDescent="0.2">
      <c r="C2898" s="144"/>
      <c r="D2898" s="144"/>
      <c r="E2898" s="144"/>
      <c r="F2898" s="373"/>
      <c r="I2898" s="70"/>
    </row>
    <row r="2899" spans="3:9" s="46" customFormat="1" x14ac:dyDescent="0.2">
      <c r="C2899" s="144"/>
      <c r="D2899" s="144"/>
      <c r="E2899" s="144"/>
      <c r="F2899" s="373"/>
      <c r="I2899" s="70"/>
    </row>
    <row r="2900" spans="3:9" s="46" customFormat="1" x14ac:dyDescent="0.2">
      <c r="C2900" s="144"/>
      <c r="D2900" s="144"/>
      <c r="E2900" s="144"/>
      <c r="F2900" s="373"/>
      <c r="I2900" s="70"/>
    </row>
    <row r="2901" spans="3:9" s="46" customFormat="1" x14ac:dyDescent="0.2">
      <c r="C2901" s="144"/>
      <c r="D2901" s="144"/>
      <c r="E2901" s="144"/>
      <c r="F2901" s="373"/>
      <c r="I2901" s="70"/>
    </row>
    <row r="2902" spans="3:9" s="46" customFormat="1" x14ac:dyDescent="0.2">
      <c r="C2902" s="144"/>
      <c r="D2902" s="144"/>
      <c r="E2902" s="144"/>
      <c r="F2902" s="373"/>
      <c r="I2902" s="70"/>
    </row>
    <row r="2903" spans="3:9" s="46" customFormat="1" x14ac:dyDescent="0.2">
      <c r="C2903" s="144"/>
      <c r="D2903" s="144"/>
      <c r="E2903" s="144"/>
      <c r="F2903" s="373"/>
      <c r="I2903" s="70"/>
    </row>
    <row r="2904" spans="3:9" s="46" customFormat="1" x14ac:dyDescent="0.2">
      <c r="C2904" s="144"/>
      <c r="D2904" s="144"/>
      <c r="E2904" s="144"/>
      <c r="F2904" s="373"/>
      <c r="I2904" s="70"/>
    </row>
    <row r="2905" spans="3:9" s="46" customFormat="1" x14ac:dyDescent="0.2">
      <c r="C2905" s="144"/>
      <c r="D2905" s="144"/>
      <c r="E2905" s="144"/>
      <c r="F2905" s="373"/>
      <c r="I2905" s="70"/>
    </row>
    <row r="2906" spans="3:9" s="46" customFormat="1" x14ac:dyDescent="0.2">
      <c r="C2906" s="144"/>
      <c r="D2906" s="144"/>
      <c r="E2906" s="144"/>
      <c r="F2906" s="373"/>
      <c r="I2906" s="70"/>
    </row>
    <row r="2907" spans="3:9" s="46" customFormat="1" x14ac:dyDescent="0.2">
      <c r="C2907" s="144"/>
      <c r="D2907" s="144"/>
      <c r="E2907" s="144"/>
      <c r="F2907" s="373"/>
      <c r="I2907" s="70"/>
    </row>
    <row r="2908" spans="3:9" s="46" customFormat="1" x14ac:dyDescent="0.2">
      <c r="C2908" s="144"/>
      <c r="D2908" s="144"/>
      <c r="E2908" s="144"/>
      <c r="F2908" s="373"/>
      <c r="I2908" s="70"/>
    </row>
    <row r="2909" spans="3:9" s="46" customFormat="1" x14ac:dyDescent="0.2">
      <c r="C2909" s="144"/>
      <c r="D2909" s="144"/>
      <c r="E2909" s="144"/>
      <c r="F2909" s="373"/>
      <c r="I2909" s="70"/>
    </row>
    <row r="2910" spans="3:9" s="46" customFormat="1" x14ac:dyDescent="0.2">
      <c r="C2910" s="144"/>
      <c r="D2910" s="144"/>
      <c r="E2910" s="144"/>
      <c r="F2910" s="373"/>
      <c r="I2910" s="70"/>
    </row>
    <row r="2911" spans="3:9" s="46" customFormat="1" x14ac:dyDescent="0.2">
      <c r="C2911" s="144"/>
      <c r="D2911" s="144"/>
      <c r="E2911" s="144"/>
      <c r="F2911" s="373"/>
      <c r="I2911" s="70"/>
    </row>
    <row r="2912" spans="3:9" s="46" customFormat="1" x14ac:dyDescent="0.2">
      <c r="C2912" s="144"/>
      <c r="D2912" s="144"/>
      <c r="E2912" s="144"/>
      <c r="F2912" s="373"/>
      <c r="I2912" s="70"/>
    </row>
    <row r="2913" spans="3:9" s="46" customFormat="1" x14ac:dyDescent="0.2">
      <c r="C2913" s="144"/>
      <c r="D2913" s="144"/>
      <c r="E2913" s="144"/>
      <c r="F2913" s="373"/>
      <c r="I2913" s="70"/>
    </row>
    <row r="2914" spans="3:9" s="46" customFormat="1" x14ac:dyDescent="0.2">
      <c r="C2914" s="144"/>
      <c r="D2914" s="144"/>
      <c r="E2914" s="144"/>
      <c r="F2914" s="373"/>
      <c r="I2914" s="70"/>
    </row>
    <row r="2915" spans="3:9" s="46" customFormat="1" x14ac:dyDescent="0.2">
      <c r="C2915" s="144"/>
      <c r="D2915" s="144"/>
      <c r="E2915" s="144"/>
      <c r="F2915" s="373"/>
      <c r="I2915" s="70"/>
    </row>
    <row r="2916" spans="3:9" s="46" customFormat="1" x14ac:dyDescent="0.2">
      <c r="C2916" s="144"/>
      <c r="D2916" s="144"/>
      <c r="E2916" s="144"/>
      <c r="F2916" s="373"/>
      <c r="I2916" s="70"/>
    </row>
    <row r="2917" spans="3:9" s="46" customFormat="1" x14ac:dyDescent="0.2">
      <c r="C2917" s="144"/>
      <c r="D2917" s="144"/>
      <c r="E2917" s="144"/>
      <c r="F2917" s="373"/>
      <c r="I2917" s="70"/>
    </row>
    <row r="2918" spans="3:9" s="46" customFormat="1" x14ac:dyDescent="0.2">
      <c r="C2918" s="144"/>
      <c r="D2918" s="144"/>
      <c r="E2918" s="144"/>
      <c r="F2918" s="373"/>
      <c r="I2918" s="70"/>
    </row>
    <row r="2919" spans="3:9" s="46" customFormat="1" x14ac:dyDescent="0.2">
      <c r="C2919" s="144"/>
      <c r="D2919" s="144"/>
      <c r="E2919" s="144"/>
      <c r="F2919" s="373"/>
      <c r="I2919" s="70"/>
    </row>
    <row r="2920" spans="3:9" s="46" customFormat="1" x14ac:dyDescent="0.2">
      <c r="C2920" s="144"/>
      <c r="D2920" s="144"/>
      <c r="E2920" s="144"/>
      <c r="F2920" s="373"/>
      <c r="I2920" s="70"/>
    </row>
    <row r="2921" spans="3:9" s="46" customFormat="1" x14ac:dyDescent="0.2">
      <c r="C2921" s="144"/>
      <c r="D2921" s="144"/>
      <c r="E2921" s="144"/>
      <c r="F2921" s="373"/>
      <c r="I2921" s="70"/>
    </row>
    <row r="2922" spans="3:9" s="46" customFormat="1" x14ac:dyDescent="0.2">
      <c r="C2922" s="144"/>
      <c r="D2922" s="144"/>
      <c r="E2922" s="144"/>
      <c r="F2922" s="373"/>
      <c r="I2922" s="70"/>
    </row>
    <row r="2923" spans="3:9" s="46" customFormat="1" x14ac:dyDescent="0.2">
      <c r="C2923" s="144"/>
      <c r="D2923" s="144"/>
      <c r="E2923" s="144"/>
      <c r="F2923" s="373"/>
      <c r="I2923" s="70"/>
    </row>
    <row r="2924" spans="3:9" s="46" customFormat="1" x14ac:dyDescent="0.2">
      <c r="C2924" s="144"/>
      <c r="D2924" s="144"/>
      <c r="E2924" s="144"/>
      <c r="F2924" s="373"/>
      <c r="I2924" s="70"/>
    </row>
    <row r="2925" spans="3:9" s="46" customFormat="1" x14ac:dyDescent="0.2">
      <c r="C2925" s="144"/>
      <c r="D2925" s="144"/>
      <c r="E2925" s="144"/>
      <c r="F2925" s="373"/>
      <c r="I2925" s="70"/>
    </row>
    <row r="2926" spans="3:9" s="46" customFormat="1" x14ac:dyDescent="0.2">
      <c r="C2926" s="144"/>
      <c r="D2926" s="144"/>
      <c r="E2926" s="144"/>
      <c r="F2926" s="373"/>
      <c r="I2926" s="70"/>
    </row>
    <row r="2927" spans="3:9" s="46" customFormat="1" x14ac:dyDescent="0.2">
      <c r="C2927" s="144"/>
      <c r="D2927" s="144"/>
      <c r="E2927" s="144"/>
      <c r="F2927" s="373"/>
      <c r="I2927" s="70"/>
    </row>
    <row r="2928" spans="3:9" s="46" customFormat="1" x14ac:dyDescent="0.2">
      <c r="C2928" s="144"/>
      <c r="D2928" s="144"/>
      <c r="E2928" s="144"/>
      <c r="F2928" s="373"/>
      <c r="I2928" s="70"/>
    </row>
    <row r="2929" spans="3:9" s="46" customFormat="1" x14ac:dyDescent="0.2">
      <c r="C2929" s="144"/>
      <c r="D2929" s="144"/>
      <c r="E2929" s="144"/>
      <c r="F2929" s="373"/>
      <c r="I2929" s="70"/>
    </row>
    <row r="2930" spans="3:9" s="46" customFormat="1" x14ac:dyDescent="0.2">
      <c r="C2930" s="144"/>
      <c r="D2930" s="144"/>
      <c r="E2930" s="144"/>
      <c r="F2930" s="373"/>
      <c r="I2930" s="70"/>
    </row>
    <row r="2931" spans="3:9" s="46" customFormat="1" x14ac:dyDescent="0.2">
      <c r="C2931" s="144"/>
      <c r="D2931" s="144"/>
      <c r="E2931" s="144"/>
      <c r="F2931" s="373"/>
      <c r="I2931" s="70"/>
    </row>
    <row r="2932" spans="3:9" s="46" customFormat="1" x14ac:dyDescent="0.2">
      <c r="C2932" s="144"/>
      <c r="D2932" s="144"/>
      <c r="E2932" s="144"/>
      <c r="F2932" s="373"/>
      <c r="I2932" s="70"/>
    </row>
    <row r="2933" spans="3:9" s="46" customFormat="1" x14ac:dyDescent="0.2">
      <c r="C2933" s="144"/>
      <c r="D2933" s="144"/>
      <c r="E2933" s="144"/>
      <c r="F2933" s="373"/>
      <c r="I2933" s="70"/>
    </row>
    <row r="2934" spans="3:9" s="46" customFormat="1" x14ac:dyDescent="0.2">
      <c r="C2934" s="144"/>
      <c r="D2934" s="144"/>
      <c r="E2934" s="144"/>
      <c r="F2934" s="373"/>
      <c r="I2934" s="70"/>
    </row>
    <row r="2935" spans="3:9" s="46" customFormat="1" x14ac:dyDescent="0.2">
      <c r="C2935" s="144"/>
      <c r="D2935" s="144"/>
      <c r="E2935" s="144"/>
      <c r="F2935" s="373"/>
      <c r="I2935" s="70"/>
    </row>
    <row r="2936" spans="3:9" s="46" customFormat="1" x14ac:dyDescent="0.2">
      <c r="C2936" s="144"/>
      <c r="D2936" s="144"/>
      <c r="E2936" s="144"/>
      <c r="F2936" s="373"/>
      <c r="I2936" s="70"/>
    </row>
    <row r="2937" spans="3:9" s="46" customFormat="1" x14ac:dyDescent="0.2">
      <c r="C2937" s="144"/>
      <c r="D2937" s="144"/>
      <c r="E2937" s="144"/>
      <c r="F2937" s="373"/>
      <c r="I2937" s="70"/>
    </row>
    <row r="2938" spans="3:9" s="46" customFormat="1" x14ac:dyDescent="0.2">
      <c r="C2938" s="144"/>
      <c r="D2938" s="144"/>
      <c r="E2938" s="144"/>
      <c r="F2938" s="373"/>
      <c r="I2938" s="70"/>
    </row>
    <row r="2939" spans="3:9" s="46" customFormat="1" x14ac:dyDescent="0.2">
      <c r="C2939" s="144"/>
      <c r="D2939" s="144"/>
      <c r="E2939" s="144"/>
      <c r="F2939" s="373"/>
      <c r="I2939" s="70"/>
    </row>
    <row r="2940" spans="3:9" s="46" customFormat="1" x14ac:dyDescent="0.2">
      <c r="C2940" s="144"/>
      <c r="D2940" s="144"/>
      <c r="E2940" s="144"/>
      <c r="F2940" s="373"/>
      <c r="I2940" s="70"/>
    </row>
    <row r="2941" spans="3:9" s="46" customFormat="1" x14ac:dyDescent="0.2">
      <c r="C2941" s="144"/>
      <c r="D2941" s="144"/>
      <c r="E2941" s="144"/>
      <c r="F2941" s="373"/>
      <c r="I2941" s="70"/>
    </row>
    <row r="2942" spans="3:9" s="46" customFormat="1" x14ac:dyDescent="0.2">
      <c r="C2942" s="144"/>
      <c r="D2942" s="144"/>
      <c r="E2942" s="144"/>
      <c r="F2942" s="373"/>
      <c r="I2942" s="70"/>
    </row>
    <row r="2943" spans="3:9" s="46" customFormat="1" x14ac:dyDescent="0.2">
      <c r="C2943" s="144"/>
      <c r="D2943" s="144"/>
      <c r="E2943" s="144"/>
      <c r="F2943" s="373"/>
      <c r="I2943" s="70"/>
    </row>
    <row r="2944" spans="3:9" s="46" customFormat="1" x14ac:dyDescent="0.2">
      <c r="C2944" s="144"/>
      <c r="D2944" s="144"/>
      <c r="E2944" s="144"/>
      <c r="F2944" s="373"/>
      <c r="I2944" s="70"/>
    </row>
    <row r="2945" spans="3:9" s="46" customFormat="1" x14ac:dyDescent="0.2">
      <c r="C2945" s="144"/>
      <c r="D2945" s="144"/>
      <c r="E2945" s="144"/>
      <c r="F2945" s="373"/>
      <c r="I2945" s="70"/>
    </row>
    <row r="2946" spans="3:9" s="46" customFormat="1" x14ac:dyDescent="0.2">
      <c r="C2946" s="144"/>
      <c r="D2946" s="144"/>
      <c r="E2946" s="144"/>
      <c r="F2946" s="373"/>
      <c r="I2946" s="70"/>
    </row>
    <row r="2947" spans="3:9" s="46" customFormat="1" x14ac:dyDescent="0.2">
      <c r="C2947" s="144"/>
      <c r="D2947" s="144"/>
      <c r="E2947" s="144"/>
      <c r="F2947" s="373"/>
      <c r="I2947" s="70"/>
    </row>
    <row r="2948" spans="3:9" s="46" customFormat="1" x14ac:dyDescent="0.2">
      <c r="C2948" s="144"/>
      <c r="D2948" s="144"/>
      <c r="E2948" s="144"/>
      <c r="F2948" s="373"/>
      <c r="I2948" s="70"/>
    </row>
    <row r="2949" spans="3:9" s="46" customFormat="1" x14ac:dyDescent="0.2">
      <c r="C2949" s="144"/>
      <c r="D2949" s="144"/>
      <c r="E2949" s="144"/>
      <c r="F2949" s="373"/>
      <c r="I2949" s="70"/>
    </row>
    <row r="2950" spans="3:9" s="46" customFormat="1" x14ac:dyDescent="0.2">
      <c r="C2950" s="144"/>
      <c r="D2950" s="144"/>
      <c r="E2950" s="144"/>
      <c r="F2950" s="373"/>
      <c r="I2950" s="70"/>
    </row>
    <row r="2951" spans="3:9" s="46" customFormat="1" x14ac:dyDescent="0.2">
      <c r="C2951" s="144"/>
      <c r="D2951" s="144"/>
      <c r="E2951" s="144"/>
      <c r="F2951" s="373"/>
      <c r="I2951" s="70"/>
    </row>
    <row r="2952" spans="3:9" s="46" customFormat="1" x14ac:dyDescent="0.2">
      <c r="C2952" s="144"/>
      <c r="D2952" s="144"/>
      <c r="E2952" s="144"/>
      <c r="F2952" s="373"/>
      <c r="I2952" s="70"/>
    </row>
    <row r="2953" spans="3:9" s="46" customFormat="1" x14ac:dyDescent="0.2">
      <c r="C2953" s="144"/>
      <c r="D2953" s="144"/>
      <c r="E2953" s="144"/>
      <c r="F2953" s="373"/>
      <c r="I2953" s="70"/>
    </row>
    <row r="2954" spans="3:9" s="46" customFormat="1" x14ac:dyDescent="0.2">
      <c r="C2954" s="144"/>
      <c r="D2954" s="144"/>
      <c r="E2954" s="144"/>
      <c r="F2954" s="373"/>
      <c r="I2954" s="70"/>
    </row>
    <row r="2955" spans="3:9" s="46" customFormat="1" x14ac:dyDescent="0.2">
      <c r="C2955" s="144"/>
      <c r="D2955" s="144"/>
      <c r="E2955" s="144"/>
      <c r="F2955" s="373"/>
      <c r="I2955" s="70"/>
    </row>
    <row r="2956" spans="3:9" s="46" customFormat="1" x14ac:dyDescent="0.2">
      <c r="C2956" s="144"/>
      <c r="D2956" s="144"/>
      <c r="E2956" s="144"/>
      <c r="F2956" s="373"/>
      <c r="I2956" s="70"/>
    </row>
    <row r="2957" spans="3:9" s="46" customFormat="1" x14ac:dyDescent="0.2">
      <c r="C2957" s="144"/>
      <c r="D2957" s="144"/>
      <c r="E2957" s="144"/>
      <c r="F2957" s="373"/>
      <c r="I2957" s="70"/>
    </row>
    <row r="2958" spans="3:9" s="46" customFormat="1" x14ac:dyDescent="0.2">
      <c r="C2958" s="144"/>
      <c r="D2958" s="144"/>
      <c r="E2958" s="144"/>
      <c r="F2958" s="373"/>
      <c r="I2958" s="70"/>
    </row>
    <row r="2959" spans="3:9" s="46" customFormat="1" x14ac:dyDescent="0.2">
      <c r="C2959" s="144"/>
      <c r="D2959" s="144"/>
      <c r="E2959" s="144"/>
      <c r="F2959" s="373"/>
      <c r="I2959" s="70"/>
    </row>
    <row r="2960" spans="3:9" s="46" customFormat="1" x14ac:dyDescent="0.2">
      <c r="C2960" s="144"/>
      <c r="D2960" s="144"/>
      <c r="E2960" s="144"/>
      <c r="F2960" s="373"/>
      <c r="I2960" s="70"/>
    </row>
    <row r="2961" spans="3:9" s="46" customFormat="1" x14ac:dyDescent="0.2">
      <c r="C2961" s="144"/>
      <c r="D2961" s="144"/>
      <c r="E2961" s="144"/>
      <c r="F2961" s="373"/>
      <c r="I2961" s="70"/>
    </row>
    <row r="2962" spans="3:9" s="46" customFormat="1" x14ac:dyDescent="0.2">
      <c r="C2962" s="144"/>
      <c r="D2962" s="144"/>
      <c r="E2962" s="144"/>
      <c r="F2962" s="373"/>
      <c r="I2962" s="70"/>
    </row>
    <row r="2963" spans="3:9" s="46" customFormat="1" x14ac:dyDescent="0.2">
      <c r="C2963" s="144"/>
      <c r="D2963" s="144"/>
      <c r="E2963" s="144"/>
      <c r="F2963" s="373"/>
      <c r="I2963" s="70"/>
    </row>
    <row r="2964" spans="3:9" s="46" customFormat="1" x14ac:dyDescent="0.2">
      <c r="C2964" s="144"/>
      <c r="D2964" s="144"/>
      <c r="E2964" s="144"/>
      <c r="F2964" s="373"/>
      <c r="I2964" s="70"/>
    </row>
    <row r="2965" spans="3:9" s="46" customFormat="1" x14ac:dyDescent="0.2">
      <c r="C2965" s="144"/>
      <c r="D2965" s="144"/>
      <c r="E2965" s="144"/>
      <c r="F2965" s="373"/>
      <c r="I2965" s="70"/>
    </row>
    <row r="2966" spans="3:9" s="46" customFormat="1" x14ac:dyDescent="0.2">
      <c r="C2966" s="144"/>
      <c r="D2966" s="144"/>
      <c r="E2966" s="144"/>
      <c r="F2966" s="373"/>
      <c r="I2966" s="70"/>
    </row>
    <row r="2967" spans="3:9" s="46" customFormat="1" x14ac:dyDescent="0.2">
      <c r="C2967" s="144"/>
      <c r="D2967" s="144"/>
      <c r="E2967" s="144"/>
      <c r="F2967" s="373"/>
      <c r="I2967" s="70"/>
    </row>
    <row r="2968" spans="3:9" s="46" customFormat="1" x14ac:dyDescent="0.2">
      <c r="C2968" s="144"/>
      <c r="D2968" s="144"/>
      <c r="E2968" s="144"/>
      <c r="F2968" s="373"/>
      <c r="I2968" s="70"/>
    </row>
    <row r="2969" spans="3:9" s="46" customFormat="1" x14ac:dyDescent="0.2">
      <c r="C2969" s="144"/>
      <c r="D2969" s="144"/>
      <c r="E2969" s="144"/>
      <c r="F2969" s="373"/>
      <c r="I2969" s="70"/>
    </row>
    <row r="2970" spans="3:9" s="46" customFormat="1" x14ac:dyDescent="0.2">
      <c r="C2970" s="144"/>
      <c r="D2970" s="144"/>
      <c r="E2970" s="144"/>
      <c r="F2970" s="373"/>
      <c r="I2970" s="70"/>
    </row>
    <row r="2971" spans="3:9" s="46" customFormat="1" x14ac:dyDescent="0.2">
      <c r="C2971" s="144"/>
      <c r="D2971" s="144"/>
      <c r="E2971" s="144"/>
      <c r="F2971" s="373"/>
      <c r="I2971" s="70"/>
    </row>
    <row r="2972" spans="3:9" s="46" customFormat="1" x14ac:dyDescent="0.2">
      <c r="C2972" s="144"/>
      <c r="D2972" s="144"/>
      <c r="E2972" s="144"/>
      <c r="F2972" s="373"/>
      <c r="I2972" s="70"/>
    </row>
    <row r="2973" spans="3:9" s="46" customFormat="1" x14ac:dyDescent="0.2">
      <c r="C2973" s="144"/>
      <c r="D2973" s="144"/>
      <c r="E2973" s="144"/>
      <c r="F2973" s="373"/>
      <c r="I2973" s="70"/>
    </row>
    <row r="2974" spans="3:9" s="46" customFormat="1" x14ac:dyDescent="0.2">
      <c r="C2974" s="144"/>
      <c r="D2974" s="144"/>
      <c r="E2974" s="144"/>
      <c r="F2974" s="373"/>
      <c r="I2974" s="70"/>
    </row>
    <row r="2975" spans="3:9" s="46" customFormat="1" x14ac:dyDescent="0.2">
      <c r="C2975" s="144"/>
      <c r="D2975" s="144"/>
      <c r="E2975" s="144"/>
      <c r="F2975" s="373"/>
      <c r="I2975" s="70"/>
    </row>
    <row r="2976" spans="3:9" s="46" customFormat="1" x14ac:dyDescent="0.2">
      <c r="C2976" s="144"/>
      <c r="D2976" s="144"/>
      <c r="E2976" s="144"/>
      <c r="F2976" s="373"/>
      <c r="I2976" s="70"/>
    </row>
    <row r="2977" spans="3:9" s="46" customFormat="1" x14ac:dyDescent="0.2">
      <c r="C2977" s="144"/>
      <c r="D2977" s="144"/>
      <c r="E2977" s="144"/>
      <c r="F2977" s="373"/>
      <c r="I2977" s="70"/>
    </row>
    <row r="2978" spans="3:9" s="46" customFormat="1" x14ac:dyDescent="0.2">
      <c r="C2978" s="144"/>
      <c r="D2978" s="144"/>
      <c r="E2978" s="144"/>
      <c r="F2978" s="373"/>
      <c r="I2978" s="70"/>
    </row>
    <row r="2979" spans="3:9" s="46" customFormat="1" x14ac:dyDescent="0.2">
      <c r="C2979" s="144"/>
      <c r="D2979" s="144"/>
      <c r="E2979" s="144"/>
      <c r="F2979" s="373"/>
      <c r="I2979" s="70"/>
    </row>
    <row r="2980" spans="3:9" s="46" customFormat="1" x14ac:dyDescent="0.2">
      <c r="C2980" s="144"/>
      <c r="D2980" s="144"/>
      <c r="E2980" s="144"/>
      <c r="F2980" s="373"/>
      <c r="I2980" s="70"/>
    </row>
    <row r="2981" spans="3:9" s="46" customFormat="1" x14ac:dyDescent="0.2">
      <c r="C2981" s="144"/>
      <c r="D2981" s="144"/>
      <c r="E2981" s="144"/>
      <c r="F2981" s="373"/>
      <c r="I2981" s="70"/>
    </row>
    <row r="2982" spans="3:9" s="46" customFormat="1" x14ac:dyDescent="0.2">
      <c r="C2982" s="144"/>
      <c r="D2982" s="144"/>
      <c r="E2982" s="144"/>
      <c r="F2982" s="373"/>
      <c r="I2982" s="70"/>
    </row>
    <row r="2983" spans="3:9" s="46" customFormat="1" x14ac:dyDescent="0.2">
      <c r="C2983" s="144"/>
      <c r="D2983" s="144"/>
      <c r="E2983" s="144"/>
      <c r="F2983" s="373"/>
      <c r="I2983" s="70"/>
    </row>
    <row r="2984" spans="3:9" s="46" customFormat="1" x14ac:dyDescent="0.2">
      <c r="C2984" s="144"/>
      <c r="D2984" s="144"/>
      <c r="E2984" s="144"/>
      <c r="F2984" s="373"/>
      <c r="I2984" s="70"/>
    </row>
    <row r="2985" spans="3:9" s="46" customFormat="1" x14ac:dyDescent="0.2">
      <c r="C2985" s="144"/>
      <c r="D2985" s="144"/>
      <c r="E2985" s="144"/>
      <c r="F2985" s="373"/>
      <c r="I2985" s="70"/>
    </row>
    <row r="2986" spans="3:9" s="46" customFormat="1" x14ac:dyDescent="0.2">
      <c r="C2986" s="144"/>
      <c r="D2986" s="144"/>
      <c r="E2986" s="144"/>
      <c r="F2986" s="373"/>
      <c r="I2986" s="70"/>
    </row>
    <row r="2987" spans="3:9" s="46" customFormat="1" x14ac:dyDescent="0.2">
      <c r="C2987" s="144"/>
      <c r="D2987" s="144"/>
      <c r="E2987" s="144"/>
      <c r="F2987" s="373"/>
      <c r="I2987" s="70"/>
    </row>
    <row r="2988" spans="3:9" s="46" customFormat="1" x14ac:dyDescent="0.2">
      <c r="C2988" s="144"/>
      <c r="D2988" s="144"/>
      <c r="E2988" s="144"/>
      <c r="F2988" s="373"/>
      <c r="I2988" s="70"/>
    </row>
    <row r="2989" spans="3:9" s="46" customFormat="1" x14ac:dyDescent="0.2">
      <c r="C2989" s="144"/>
      <c r="D2989" s="144"/>
      <c r="E2989" s="144"/>
      <c r="F2989" s="373"/>
      <c r="I2989" s="70"/>
    </row>
    <row r="2990" spans="3:9" s="46" customFormat="1" x14ac:dyDescent="0.2">
      <c r="C2990" s="144"/>
      <c r="D2990" s="144"/>
      <c r="E2990" s="144"/>
      <c r="F2990" s="373"/>
      <c r="I2990" s="70"/>
    </row>
    <row r="2991" spans="3:9" s="46" customFormat="1" x14ac:dyDescent="0.2">
      <c r="C2991" s="144"/>
      <c r="D2991" s="144"/>
      <c r="E2991" s="144"/>
      <c r="F2991" s="373"/>
      <c r="I2991" s="70"/>
    </row>
    <row r="2992" spans="3:9" s="46" customFormat="1" x14ac:dyDescent="0.2">
      <c r="C2992" s="144"/>
      <c r="D2992" s="144"/>
      <c r="E2992" s="144"/>
      <c r="F2992" s="373"/>
      <c r="I2992" s="70"/>
    </row>
    <row r="2993" spans="3:9" s="46" customFormat="1" x14ac:dyDescent="0.2">
      <c r="C2993" s="144"/>
      <c r="D2993" s="144"/>
      <c r="E2993" s="144"/>
      <c r="F2993" s="373"/>
      <c r="I2993" s="70"/>
    </row>
    <row r="2994" spans="3:9" s="46" customFormat="1" x14ac:dyDescent="0.2">
      <c r="C2994" s="144"/>
      <c r="D2994" s="144"/>
      <c r="E2994" s="144"/>
      <c r="F2994" s="373"/>
      <c r="I2994" s="70"/>
    </row>
    <row r="2995" spans="3:9" s="46" customFormat="1" x14ac:dyDescent="0.2">
      <c r="C2995" s="144"/>
      <c r="D2995" s="144"/>
      <c r="E2995" s="144"/>
      <c r="F2995" s="373"/>
      <c r="I2995" s="70"/>
    </row>
    <row r="2996" spans="3:9" s="46" customFormat="1" x14ac:dyDescent="0.2">
      <c r="C2996" s="144"/>
      <c r="D2996" s="144"/>
      <c r="E2996" s="144"/>
      <c r="F2996" s="373"/>
      <c r="I2996" s="70"/>
    </row>
    <row r="2997" spans="3:9" s="46" customFormat="1" x14ac:dyDescent="0.2">
      <c r="C2997" s="144"/>
      <c r="D2997" s="144"/>
      <c r="E2997" s="144"/>
      <c r="F2997" s="373"/>
      <c r="I2997" s="70"/>
    </row>
    <row r="2998" spans="3:9" s="46" customFormat="1" x14ac:dyDescent="0.2">
      <c r="C2998" s="144"/>
      <c r="D2998" s="144"/>
      <c r="E2998" s="144"/>
      <c r="F2998" s="373"/>
      <c r="I2998" s="70"/>
    </row>
    <row r="2999" spans="3:9" s="46" customFormat="1" x14ac:dyDescent="0.2">
      <c r="C2999" s="144"/>
      <c r="D2999" s="144"/>
      <c r="E2999" s="144"/>
      <c r="F2999" s="373"/>
      <c r="I2999" s="70"/>
    </row>
    <row r="3000" spans="3:9" s="46" customFormat="1" x14ac:dyDescent="0.2">
      <c r="C3000" s="144"/>
      <c r="D3000" s="144"/>
      <c r="E3000" s="144"/>
      <c r="F3000" s="373"/>
      <c r="I3000" s="70"/>
    </row>
    <row r="3001" spans="3:9" s="46" customFormat="1" x14ac:dyDescent="0.2">
      <c r="C3001" s="144"/>
      <c r="D3001" s="144"/>
      <c r="E3001" s="144"/>
      <c r="F3001" s="373"/>
      <c r="I3001" s="70"/>
    </row>
    <row r="3002" spans="3:9" s="46" customFormat="1" x14ac:dyDescent="0.2">
      <c r="C3002" s="144"/>
      <c r="D3002" s="144"/>
      <c r="E3002" s="144"/>
      <c r="F3002" s="373"/>
      <c r="I3002" s="70"/>
    </row>
    <row r="3003" spans="3:9" s="46" customFormat="1" x14ac:dyDescent="0.2">
      <c r="C3003" s="144"/>
      <c r="D3003" s="144"/>
      <c r="E3003" s="144"/>
      <c r="F3003" s="373"/>
      <c r="I3003" s="70"/>
    </row>
    <row r="3004" spans="3:9" s="46" customFormat="1" x14ac:dyDescent="0.2">
      <c r="C3004" s="144"/>
      <c r="D3004" s="144"/>
      <c r="E3004" s="144"/>
      <c r="F3004" s="373"/>
      <c r="I3004" s="70"/>
    </row>
    <row r="3005" spans="3:9" s="46" customFormat="1" x14ac:dyDescent="0.2">
      <c r="C3005" s="144"/>
      <c r="D3005" s="144"/>
      <c r="E3005" s="144"/>
      <c r="F3005" s="373"/>
      <c r="I3005" s="70"/>
    </row>
    <row r="3006" spans="3:9" s="46" customFormat="1" x14ac:dyDescent="0.2">
      <c r="C3006" s="144"/>
      <c r="D3006" s="144"/>
      <c r="E3006" s="144"/>
      <c r="F3006" s="373"/>
      <c r="I3006" s="70"/>
    </row>
    <row r="3007" spans="3:9" s="46" customFormat="1" x14ac:dyDescent="0.2">
      <c r="C3007" s="144"/>
      <c r="D3007" s="144"/>
      <c r="E3007" s="144"/>
      <c r="F3007" s="373"/>
      <c r="I3007" s="70"/>
    </row>
    <row r="3008" spans="3:9" s="46" customFormat="1" x14ac:dyDescent="0.2">
      <c r="C3008" s="144"/>
      <c r="D3008" s="144"/>
      <c r="E3008" s="144"/>
      <c r="F3008" s="373"/>
      <c r="I3008" s="70"/>
    </row>
    <row r="3009" spans="3:9" s="46" customFormat="1" x14ac:dyDescent="0.2">
      <c r="C3009" s="144"/>
      <c r="D3009" s="144"/>
      <c r="E3009" s="144"/>
      <c r="F3009" s="373"/>
      <c r="I3009" s="70"/>
    </row>
    <row r="3010" spans="3:9" s="46" customFormat="1" x14ac:dyDescent="0.2">
      <c r="C3010" s="144"/>
      <c r="D3010" s="144"/>
      <c r="E3010" s="144"/>
      <c r="F3010" s="373"/>
      <c r="I3010" s="70"/>
    </row>
    <row r="3011" spans="3:9" s="46" customFormat="1" x14ac:dyDescent="0.2">
      <c r="C3011" s="144"/>
      <c r="D3011" s="144"/>
      <c r="E3011" s="144"/>
      <c r="F3011" s="373"/>
      <c r="I3011" s="70"/>
    </row>
    <row r="3012" spans="3:9" s="46" customFormat="1" x14ac:dyDescent="0.2">
      <c r="C3012" s="144"/>
      <c r="D3012" s="144"/>
      <c r="E3012" s="144"/>
      <c r="F3012" s="373"/>
      <c r="I3012" s="70"/>
    </row>
    <row r="3013" spans="3:9" s="46" customFormat="1" x14ac:dyDescent="0.2">
      <c r="C3013" s="144"/>
      <c r="D3013" s="144"/>
      <c r="E3013" s="144"/>
      <c r="F3013" s="373"/>
      <c r="I3013" s="70"/>
    </row>
    <row r="3014" spans="3:9" s="46" customFormat="1" x14ac:dyDescent="0.2">
      <c r="C3014" s="144"/>
      <c r="D3014" s="144"/>
      <c r="E3014" s="144"/>
      <c r="F3014" s="373"/>
      <c r="I3014" s="70"/>
    </row>
    <row r="3015" spans="3:9" s="46" customFormat="1" x14ac:dyDescent="0.2">
      <c r="C3015" s="144"/>
      <c r="D3015" s="144"/>
      <c r="E3015" s="144"/>
      <c r="F3015" s="373"/>
      <c r="I3015" s="70"/>
    </row>
    <row r="3016" spans="3:9" s="46" customFormat="1" x14ac:dyDescent="0.2">
      <c r="C3016" s="144"/>
      <c r="D3016" s="144"/>
      <c r="E3016" s="144"/>
      <c r="F3016" s="373"/>
      <c r="I3016" s="70"/>
    </row>
    <row r="3017" spans="3:9" s="46" customFormat="1" x14ac:dyDescent="0.2">
      <c r="C3017" s="144"/>
      <c r="D3017" s="144"/>
      <c r="E3017" s="144"/>
      <c r="F3017" s="373"/>
      <c r="I3017" s="70"/>
    </row>
    <row r="3018" spans="3:9" s="46" customFormat="1" x14ac:dyDescent="0.2">
      <c r="C3018" s="144"/>
      <c r="D3018" s="144"/>
      <c r="E3018" s="144"/>
      <c r="F3018" s="373"/>
      <c r="I3018" s="70"/>
    </row>
    <row r="3019" spans="3:9" s="46" customFormat="1" x14ac:dyDescent="0.2">
      <c r="C3019" s="144"/>
      <c r="D3019" s="144"/>
      <c r="E3019" s="144"/>
      <c r="F3019" s="373"/>
      <c r="I3019" s="70"/>
    </row>
    <row r="3020" spans="3:9" s="46" customFormat="1" x14ac:dyDescent="0.2">
      <c r="C3020" s="144"/>
      <c r="D3020" s="144"/>
      <c r="E3020" s="144"/>
      <c r="F3020" s="373"/>
      <c r="I3020" s="70"/>
    </row>
    <row r="3021" spans="3:9" s="46" customFormat="1" x14ac:dyDescent="0.2">
      <c r="C3021" s="144"/>
      <c r="D3021" s="144"/>
      <c r="E3021" s="144"/>
      <c r="F3021" s="373"/>
      <c r="I3021" s="70"/>
    </row>
    <row r="3022" spans="3:9" s="46" customFormat="1" x14ac:dyDescent="0.2">
      <c r="C3022" s="144"/>
      <c r="D3022" s="144"/>
      <c r="E3022" s="144"/>
      <c r="F3022" s="373"/>
      <c r="I3022" s="70"/>
    </row>
    <row r="3023" spans="3:9" s="46" customFormat="1" x14ac:dyDescent="0.2">
      <c r="C3023" s="144"/>
      <c r="D3023" s="144"/>
      <c r="E3023" s="144"/>
      <c r="F3023" s="373"/>
      <c r="I3023" s="70"/>
    </row>
    <row r="3024" spans="3:9" s="46" customFormat="1" x14ac:dyDescent="0.2">
      <c r="C3024" s="144"/>
      <c r="D3024" s="144"/>
      <c r="E3024" s="144"/>
      <c r="F3024" s="373"/>
      <c r="I3024" s="70"/>
    </row>
    <row r="3025" spans="3:9" s="46" customFormat="1" x14ac:dyDescent="0.2">
      <c r="C3025" s="144"/>
      <c r="D3025" s="144"/>
      <c r="E3025" s="144"/>
      <c r="F3025" s="373"/>
      <c r="I3025" s="70"/>
    </row>
    <row r="3026" spans="3:9" s="46" customFormat="1" x14ac:dyDescent="0.2">
      <c r="C3026" s="144"/>
      <c r="D3026" s="144"/>
      <c r="E3026" s="144"/>
      <c r="F3026" s="373"/>
      <c r="I3026" s="70"/>
    </row>
    <row r="3027" spans="3:9" s="46" customFormat="1" x14ac:dyDescent="0.2">
      <c r="C3027" s="144"/>
      <c r="D3027" s="144"/>
      <c r="E3027" s="144"/>
      <c r="F3027" s="373"/>
      <c r="I3027" s="70"/>
    </row>
    <row r="3028" spans="3:9" s="46" customFormat="1" x14ac:dyDescent="0.2">
      <c r="C3028" s="144"/>
      <c r="D3028" s="144"/>
      <c r="E3028" s="144"/>
      <c r="F3028" s="373"/>
      <c r="I3028" s="70"/>
    </row>
    <row r="3029" spans="3:9" s="46" customFormat="1" x14ac:dyDescent="0.2">
      <c r="C3029" s="144"/>
      <c r="D3029" s="144"/>
      <c r="E3029" s="144"/>
      <c r="F3029" s="373"/>
      <c r="I3029" s="70"/>
    </row>
    <row r="3030" spans="3:9" s="46" customFormat="1" x14ac:dyDescent="0.2">
      <c r="C3030" s="144"/>
      <c r="D3030" s="144"/>
      <c r="E3030" s="144"/>
      <c r="F3030" s="373"/>
      <c r="I3030" s="70"/>
    </row>
    <row r="3031" spans="3:9" s="46" customFormat="1" x14ac:dyDescent="0.2">
      <c r="C3031" s="144"/>
      <c r="D3031" s="144"/>
      <c r="E3031" s="144"/>
      <c r="F3031" s="373"/>
      <c r="I3031" s="70"/>
    </row>
    <row r="3032" spans="3:9" s="46" customFormat="1" x14ac:dyDescent="0.2">
      <c r="C3032" s="144"/>
      <c r="D3032" s="144"/>
      <c r="E3032" s="144"/>
      <c r="F3032" s="373"/>
      <c r="I3032" s="70"/>
    </row>
    <row r="3033" spans="3:9" s="46" customFormat="1" x14ac:dyDescent="0.2">
      <c r="C3033" s="144"/>
      <c r="D3033" s="144"/>
      <c r="E3033" s="144"/>
      <c r="F3033" s="373"/>
      <c r="I3033" s="70"/>
    </row>
    <row r="3034" spans="3:9" s="46" customFormat="1" x14ac:dyDescent="0.2">
      <c r="C3034" s="144"/>
      <c r="D3034" s="144"/>
      <c r="E3034" s="144"/>
      <c r="F3034" s="373"/>
      <c r="I3034" s="70"/>
    </row>
    <row r="3035" spans="3:9" s="46" customFormat="1" x14ac:dyDescent="0.2">
      <c r="C3035" s="144"/>
      <c r="D3035" s="144"/>
      <c r="E3035" s="144"/>
      <c r="F3035" s="373"/>
      <c r="I3035" s="70"/>
    </row>
    <row r="3036" spans="3:9" s="46" customFormat="1" x14ac:dyDescent="0.2">
      <c r="C3036" s="144"/>
      <c r="D3036" s="144"/>
      <c r="E3036" s="144"/>
      <c r="F3036" s="373"/>
      <c r="I3036" s="70"/>
    </row>
    <row r="3037" spans="3:9" s="46" customFormat="1" x14ac:dyDescent="0.2">
      <c r="C3037" s="144"/>
      <c r="D3037" s="144"/>
      <c r="E3037" s="144"/>
      <c r="F3037" s="373"/>
      <c r="I3037" s="70"/>
    </row>
    <row r="3038" spans="3:9" s="46" customFormat="1" x14ac:dyDescent="0.2">
      <c r="C3038" s="144"/>
      <c r="D3038" s="144"/>
      <c r="E3038" s="144"/>
      <c r="F3038" s="373"/>
      <c r="I3038" s="70"/>
    </row>
    <row r="3039" spans="3:9" s="46" customFormat="1" x14ac:dyDescent="0.2">
      <c r="C3039" s="144"/>
      <c r="D3039" s="144"/>
      <c r="E3039" s="144"/>
      <c r="F3039" s="373"/>
      <c r="I3039" s="70"/>
    </row>
    <row r="3040" spans="3:9" s="46" customFormat="1" x14ac:dyDescent="0.2">
      <c r="C3040" s="144"/>
      <c r="D3040" s="144"/>
      <c r="E3040" s="144"/>
      <c r="F3040" s="373"/>
      <c r="I3040" s="70"/>
    </row>
    <row r="3041" spans="3:9" s="46" customFormat="1" x14ac:dyDescent="0.2">
      <c r="C3041" s="144"/>
      <c r="D3041" s="144"/>
      <c r="E3041" s="144"/>
      <c r="F3041" s="373"/>
      <c r="I3041" s="70"/>
    </row>
    <row r="3042" spans="3:9" s="46" customFormat="1" x14ac:dyDescent="0.2">
      <c r="C3042" s="144"/>
      <c r="D3042" s="144"/>
      <c r="E3042" s="144"/>
      <c r="F3042" s="373"/>
      <c r="I3042" s="70"/>
    </row>
    <row r="3043" spans="3:9" s="46" customFormat="1" x14ac:dyDescent="0.2">
      <c r="C3043" s="144"/>
      <c r="D3043" s="144"/>
      <c r="E3043" s="144"/>
      <c r="F3043" s="373"/>
      <c r="I3043" s="70"/>
    </row>
    <row r="3044" spans="3:9" s="46" customFormat="1" x14ac:dyDescent="0.2">
      <c r="C3044" s="144"/>
      <c r="D3044" s="144"/>
      <c r="E3044" s="144"/>
      <c r="F3044" s="373"/>
      <c r="I3044" s="70"/>
    </row>
    <row r="3045" spans="3:9" s="46" customFormat="1" x14ac:dyDescent="0.2">
      <c r="C3045" s="144"/>
      <c r="D3045" s="144"/>
      <c r="E3045" s="144"/>
      <c r="F3045" s="373"/>
      <c r="I3045" s="70"/>
    </row>
    <row r="3046" spans="3:9" s="46" customFormat="1" x14ac:dyDescent="0.2">
      <c r="C3046" s="144"/>
      <c r="D3046" s="144"/>
      <c r="E3046" s="144"/>
      <c r="F3046" s="373"/>
      <c r="I3046" s="70"/>
    </row>
    <row r="3047" spans="3:9" s="46" customFormat="1" x14ac:dyDescent="0.2">
      <c r="C3047" s="144"/>
      <c r="D3047" s="144"/>
      <c r="E3047" s="144"/>
      <c r="F3047" s="373"/>
      <c r="I3047" s="70"/>
    </row>
    <row r="3048" spans="3:9" s="46" customFormat="1" x14ac:dyDescent="0.2">
      <c r="C3048" s="144"/>
      <c r="D3048" s="144"/>
      <c r="E3048" s="144"/>
      <c r="F3048" s="373"/>
      <c r="I3048" s="70"/>
    </row>
    <row r="3049" spans="3:9" s="46" customFormat="1" x14ac:dyDescent="0.2">
      <c r="C3049" s="144"/>
      <c r="D3049" s="144"/>
      <c r="E3049" s="144"/>
      <c r="F3049" s="373"/>
      <c r="I3049" s="70"/>
    </row>
    <row r="3050" spans="3:9" s="46" customFormat="1" x14ac:dyDescent="0.2">
      <c r="C3050" s="144"/>
      <c r="D3050" s="144"/>
      <c r="E3050" s="144"/>
      <c r="F3050" s="373"/>
      <c r="I3050" s="70"/>
    </row>
    <row r="3051" spans="3:9" s="46" customFormat="1" x14ac:dyDescent="0.2">
      <c r="C3051" s="144"/>
      <c r="D3051" s="144"/>
      <c r="E3051" s="144"/>
      <c r="F3051" s="373"/>
      <c r="I3051" s="70"/>
    </row>
    <row r="3052" spans="3:9" s="46" customFormat="1" x14ac:dyDescent="0.2">
      <c r="C3052" s="144"/>
      <c r="D3052" s="144"/>
      <c r="E3052" s="144"/>
      <c r="F3052" s="373"/>
      <c r="I3052" s="70"/>
    </row>
    <row r="3053" spans="3:9" s="46" customFormat="1" x14ac:dyDescent="0.2">
      <c r="C3053" s="144"/>
      <c r="D3053" s="144"/>
      <c r="E3053" s="144"/>
      <c r="F3053" s="373"/>
      <c r="I3053" s="70"/>
    </row>
    <row r="3054" spans="3:9" s="46" customFormat="1" x14ac:dyDescent="0.2">
      <c r="C3054" s="144"/>
      <c r="D3054" s="144"/>
      <c r="E3054" s="144"/>
      <c r="F3054" s="373"/>
      <c r="I3054" s="70"/>
    </row>
    <row r="3055" spans="3:9" s="46" customFormat="1" x14ac:dyDescent="0.2">
      <c r="C3055" s="144"/>
      <c r="D3055" s="144"/>
      <c r="E3055" s="144"/>
      <c r="F3055" s="373"/>
      <c r="I3055" s="70"/>
    </row>
    <row r="3056" spans="3:9" s="46" customFormat="1" x14ac:dyDescent="0.2">
      <c r="C3056" s="144"/>
      <c r="D3056" s="144"/>
      <c r="E3056" s="144"/>
      <c r="F3056" s="373"/>
      <c r="I3056" s="70"/>
    </row>
    <row r="3057" spans="3:9" s="46" customFormat="1" x14ac:dyDescent="0.2">
      <c r="C3057" s="144"/>
      <c r="D3057" s="144"/>
      <c r="E3057" s="144"/>
      <c r="F3057" s="373"/>
      <c r="I3057" s="70"/>
    </row>
    <row r="3058" spans="3:9" s="46" customFormat="1" x14ac:dyDescent="0.2">
      <c r="C3058" s="144"/>
      <c r="D3058" s="144"/>
      <c r="E3058" s="144"/>
      <c r="F3058" s="373"/>
      <c r="I3058" s="70"/>
    </row>
    <row r="3059" spans="3:9" s="46" customFormat="1" x14ac:dyDescent="0.2">
      <c r="C3059" s="144"/>
      <c r="D3059" s="144"/>
      <c r="E3059" s="144"/>
      <c r="F3059" s="373"/>
      <c r="I3059" s="70"/>
    </row>
    <row r="3060" spans="3:9" s="46" customFormat="1" x14ac:dyDescent="0.2">
      <c r="C3060" s="144"/>
      <c r="D3060" s="144"/>
      <c r="E3060" s="144"/>
      <c r="F3060" s="373"/>
      <c r="I3060" s="70"/>
    </row>
    <row r="3061" spans="3:9" s="46" customFormat="1" x14ac:dyDescent="0.2">
      <c r="C3061" s="144"/>
      <c r="D3061" s="144"/>
      <c r="E3061" s="144"/>
      <c r="F3061" s="373"/>
      <c r="I3061" s="70"/>
    </row>
    <row r="3062" spans="3:9" s="46" customFormat="1" x14ac:dyDescent="0.2">
      <c r="C3062" s="144"/>
      <c r="D3062" s="144"/>
      <c r="E3062" s="144"/>
      <c r="F3062" s="373"/>
      <c r="I3062" s="70"/>
    </row>
    <row r="3063" spans="3:9" s="46" customFormat="1" x14ac:dyDescent="0.2">
      <c r="C3063" s="144"/>
      <c r="D3063" s="144"/>
      <c r="E3063" s="144"/>
      <c r="F3063" s="373"/>
      <c r="I3063" s="70"/>
    </row>
    <row r="3064" spans="3:9" s="46" customFormat="1" x14ac:dyDescent="0.2">
      <c r="C3064" s="144"/>
      <c r="D3064" s="144"/>
      <c r="E3064" s="144"/>
      <c r="F3064" s="373"/>
      <c r="I3064" s="70"/>
    </row>
    <row r="3065" spans="3:9" s="46" customFormat="1" x14ac:dyDescent="0.2">
      <c r="C3065" s="144"/>
      <c r="D3065" s="144"/>
      <c r="E3065" s="144"/>
      <c r="F3065" s="373"/>
      <c r="I3065" s="70"/>
    </row>
    <row r="3066" spans="3:9" s="46" customFormat="1" x14ac:dyDescent="0.2">
      <c r="C3066" s="144"/>
      <c r="D3066" s="144"/>
      <c r="E3066" s="144"/>
      <c r="F3066" s="373"/>
      <c r="I3066" s="70"/>
    </row>
    <row r="3067" spans="3:9" s="46" customFormat="1" x14ac:dyDescent="0.2">
      <c r="C3067" s="144"/>
      <c r="D3067" s="144"/>
      <c r="E3067" s="144"/>
      <c r="F3067" s="373"/>
      <c r="I3067" s="70"/>
    </row>
    <row r="3068" spans="3:9" s="46" customFormat="1" x14ac:dyDescent="0.2">
      <c r="C3068" s="144"/>
      <c r="D3068" s="144"/>
      <c r="E3068" s="144"/>
      <c r="F3068" s="373"/>
      <c r="I3068" s="70"/>
    </row>
    <row r="3069" spans="3:9" s="46" customFormat="1" x14ac:dyDescent="0.2">
      <c r="C3069" s="144"/>
      <c r="D3069" s="144"/>
      <c r="E3069" s="144"/>
      <c r="F3069" s="373"/>
      <c r="I3069" s="70"/>
    </row>
    <row r="3070" spans="3:9" s="46" customFormat="1" x14ac:dyDescent="0.2">
      <c r="C3070" s="144"/>
      <c r="D3070" s="144"/>
      <c r="E3070" s="144"/>
      <c r="F3070" s="373"/>
      <c r="I3070" s="70"/>
    </row>
    <row r="3071" spans="3:9" s="46" customFormat="1" x14ac:dyDescent="0.2">
      <c r="C3071" s="144"/>
      <c r="D3071" s="144"/>
      <c r="E3071" s="144"/>
      <c r="F3071" s="373"/>
      <c r="I3071" s="70"/>
    </row>
    <row r="3072" spans="3:9" s="46" customFormat="1" x14ac:dyDescent="0.2">
      <c r="C3072" s="144"/>
      <c r="D3072" s="144"/>
      <c r="E3072" s="144"/>
      <c r="F3072" s="373"/>
      <c r="I3072" s="70"/>
    </row>
    <row r="3073" spans="3:9" s="46" customFormat="1" x14ac:dyDescent="0.2">
      <c r="C3073" s="144"/>
      <c r="D3073" s="144"/>
      <c r="E3073" s="144"/>
      <c r="F3073" s="373"/>
      <c r="I3073" s="70"/>
    </row>
    <row r="3074" spans="3:9" s="46" customFormat="1" x14ac:dyDescent="0.2">
      <c r="C3074" s="144"/>
      <c r="D3074" s="144"/>
      <c r="E3074" s="144"/>
      <c r="F3074" s="373"/>
      <c r="I3074" s="70"/>
    </row>
    <row r="3075" spans="3:9" s="46" customFormat="1" x14ac:dyDescent="0.2">
      <c r="C3075" s="144"/>
      <c r="D3075" s="144"/>
      <c r="E3075" s="144"/>
      <c r="F3075" s="373"/>
      <c r="I3075" s="70"/>
    </row>
    <row r="3076" spans="3:9" s="46" customFormat="1" x14ac:dyDescent="0.2">
      <c r="C3076" s="144"/>
      <c r="D3076" s="144"/>
      <c r="E3076" s="144"/>
      <c r="F3076" s="373"/>
      <c r="I3076" s="70"/>
    </row>
    <row r="3077" spans="3:9" s="46" customFormat="1" x14ac:dyDescent="0.2">
      <c r="C3077" s="144"/>
      <c r="D3077" s="144"/>
      <c r="E3077" s="144"/>
      <c r="F3077" s="373"/>
      <c r="I3077" s="70"/>
    </row>
    <row r="3078" spans="3:9" s="46" customFormat="1" x14ac:dyDescent="0.2">
      <c r="C3078" s="144"/>
      <c r="D3078" s="144"/>
      <c r="E3078" s="144"/>
      <c r="F3078" s="373"/>
      <c r="I3078" s="70"/>
    </row>
    <row r="3079" spans="3:9" s="46" customFormat="1" x14ac:dyDescent="0.2">
      <c r="C3079" s="144"/>
      <c r="D3079" s="144"/>
      <c r="E3079" s="144"/>
      <c r="F3079" s="373"/>
      <c r="I3079" s="70"/>
    </row>
    <row r="3080" spans="3:9" s="46" customFormat="1" x14ac:dyDescent="0.2">
      <c r="C3080" s="144"/>
      <c r="D3080" s="144"/>
      <c r="E3080" s="144"/>
      <c r="F3080" s="373"/>
      <c r="I3080" s="70"/>
    </row>
    <row r="3081" spans="3:9" s="46" customFormat="1" x14ac:dyDescent="0.2">
      <c r="C3081" s="144"/>
      <c r="D3081" s="144"/>
      <c r="E3081" s="144"/>
      <c r="F3081" s="373"/>
      <c r="I3081" s="70"/>
    </row>
    <row r="3082" spans="3:9" s="46" customFormat="1" x14ac:dyDescent="0.2">
      <c r="C3082" s="144"/>
      <c r="D3082" s="144"/>
      <c r="E3082" s="144"/>
      <c r="F3082" s="373"/>
      <c r="I3082" s="70"/>
    </row>
    <row r="3083" spans="3:9" s="46" customFormat="1" x14ac:dyDescent="0.2">
      <c r="C3083" s="144"/>
      <c r="D3083" s="144"/>
      <c r="E3083" s="144"/>
      <c r="F3083" s="373"/>
      <c r="I3083" s="70"/>
    </row>
    <row r="3084" spans="3:9" s="46" customFormat="1" x14ac:dyDescent="0.2">
      <c r="C3084" s="144"/>
      <c r="D3084" s="144"/>
      <c r="E3084" s="144"/>
      <c r="F3084" s="373"/>
      <c r="I3084" s="70"/>
    </row>
    <row r="3085" spans="3:9" s="46" customFormat="1" x14ac:dyDescent="0.2">
      <c r="C3085" s="144"/>
      <c r="D3085" s="144"/>
      <c r="E3085" s="144"/>
      <c r="F3085" s="373"/>
      <c r="I3085" s="70"/>
    </row>
    <row r="3086" spans="3:9" s="46" customFormat="1" x14ac:dyDescent="0.2">
      <c r="C3086" s="144"/>
      <c r="D3086" s="144"/>
      <c r="E3086" s="144"/>
      <c r="F3086" s="373"/>
      <c r="I3086" s="70"/>
    </row>
    <row r="3087" spans="3:9" s="46" customFormat="1" x14ac:dyDescent="0.2">
      <c r="C3087" s="144"/>
      <c r="D3087" s="144"/>
      <c r="E3087" s="144"/>
      <c r="F3087" s="373"/>
      <c r="I3087" s="70"/>
    </row>
    <row r="3088" spans="3:9" s="46" customFormat="1" x14ac:dyDescent="0.2">
      <c r="C3088" s="144"/>
      <c r="D3088" s="144"/>
      <c r="E3088" s="144"/>
      <c r="F3088" s="373"/>
      <c r="I3088" s="70"/>
    </row>
    <row r="3089" spans="3:9" s="46" customFormat="1" x14ac:dyDescent="0.2">
      <c r="C3089" s="144"/>
      <c r="D3089" s="144"/>
      <c r="E3089" s="144"/>
      <c r="F3089" s="373"/>
      <c r="I3089" s="70"/>
    </row>
    <row r="3090" spans="3:9" s="46" customFormat="1" x14ac:dyDescent="0.2">
      <c r="C3090" s="144"/>
      <c r="D3090" s="144"/>
      <c r="E3090" s="144"/>
      <c r="F3090" s="373"/>
      <c r="I3090" s="70"/>
    </row>
    <row r="3091" spans="3:9" s="46" customFormat="1" x14ac:dyDescent="0.2">
      <c r="C3091" s="144"/>
      <c r="D3091" s="144"/>
      <c r="E3091" s="144"/>
      <c r="F3091" s="373"/>
      <c r="I3091" s="70"/>
    </row>
    <row r="3092" spans="3:9" s="46" customFormat="1" x14ac:dyDescent="0.2">
      <c r="C3092" s="144"/>
      <c r="D3092" s="144"/>
      <c r="E3092" s="144"/>
      <c r="F3092" s="373"/>
      <c r="I3092" s="70"/>
    </row>
    <row r="3093" spans="3:9" s="46" customFormat="1" x14ac:dyDescent="0.2">
      <c r="C3093" s="144"/>
      <c r="D3093" s="144"/>
      <c r="E3093" s="144"/>
      <c r="F3093" s="373"/>
      <c r="I3093" s="70"/>
    </row>
    <row r="3094" spans="3:9" s="46" customFormat="1" x14ac:dyDescent="0.2">
      <c r="C3094" s="144"/>
      <c r="D3094" s="144"/>
      <c r="E3094" s="144"/>
      <c r="F3094" s="373"/>
      <c r="I3094" s="70"/>
    </row>
    <row r="3095" spans="3:9" s="46" customFormat="1" x14ac:dyDescent="0.2">
      <c r="C3095" s="144"/>
      <c r="D3095" s="144"/>
      <c r="E3095" s="144"/>
      <c r="F3095" s="373"/>
      <c r="I3095" s="70"/>
    </row>
    <row r="3096" spans="3:9" s="46" customFormat="1" x14ac:dyDescent="0.2">
      <c r="C3096" s="144"/>
      <c r="D3096" s="144"/>
      <c r="E3096" s="144"/>
      <c r="F3096" s="373"/>
      <c r="I3096" s="70"/>
    </row>
    <row r="3097" spans="3:9" s="46" customFormat="1" x14ac:dyDescent="0.2">
      <c r="C3097" s="144"/>
      <c r="D3097" s="144"/>
      <c r="E3097" s="144"/>
      <c r="F3097" s="373"/>
      <c r="I3097" s="70"/>
    </row>
    <row r="3098" spans="3:9" s="46" customFormat="1" x14ac:dyDescent="0.2">
      <c r="C3098" s="144"/>
      <c r="D3098" s="144"/>
      <c r="E3098" s="144"/>
      <c r="F3098" s="373"/>
      <c r="I3098" s="70"/>
    </row>
    <row r="3099" spans="3:9" s="46" customFormat="1" x14ac:dyDescent="0.2">
      <c r="C3099" s="144"/>
      <c r="D3099" s="144"/>
      <c r="E3099" s="144"/>
      <c r="F3099" s="373"/>
      <c r="I3099" s="70"/>
    </row>
    <row r="3100" spans="3:9" s="46" customFormat="1" x14ac:dyDescent="0.2">
      <c r="C3100" s="144"/>
      <c r="D3100" s="144"/>
      <c r="E3100" s="144"/>
      <c r="F3100" s="373"/>
      <c r="I3100" s="70"/>
    </row>
    <row r="3101" spans="3:9" s="46" customFormat="1" x14ac:dyDescent="0.2">
      <c r="C3101" s="144"/>
      <c r="D3101" s="144"/>
      <c r="E3101" s="144"/>
      <c r="F3101" s="373"/>
      <c r="I3101" s="70"/>
    </row>
    <row r="3102" spans="3:9" s="46" customFormat="1" x14ac:dyDescent="0.2">
      <c r="C3102" s="144"/>
      <c r="D3102" s="144"/>
      <c r="E3102" s="144"/>
      <c r="F3102" s="373"/>
      <c r="I3102" s="70"/>
    </row>
    <row r="3103" spans="3:9" s="46" customFormat="1" x14ac:dyDescent="0.2">
      <c r="C3103" s="144"/>
      <c r="D3103" s="144"/>
      <c r="E3103" s="144"/>
      <c r="F3103" s="373"/>
      <c r="I3103" s="70"/>
    </row>
    <row r="3104" spans="3:9" s="46" customFormat="1" x14ac:dyDescent="0.2">
      <c r="C3104" s="144"/>
      <c r="D3104" s="144"/>
      <c r="E3104" s="144"/>
      <c r="F3104" s="373"/>
      <c r="I3104" s="70"/>
    </row>
    <row r="3105" spans="3:9" s="46" customFormat="1" x14ac:dyDescent="0.2">
      <c r="C3105" s="144"/>
      <c r="D3105" s="144"/>
      <c r="E3105" s="144"/>
      <c r="F3105" s="373"/>
      <c r="I3105" s="70"/>
    </row>
    <row r="3106" spans="3:9" s="46" customFormat="1" x14ac:dyDescent="0.2">
      <c r="C3106" s="144"/>
      <c r="D3106" s="144"/>
      <c r="E3106" s="144"/>
      <c r="F3106" s="373"/>
      <c r="I3106" s="70"/>
    </row>
    <row r="3107" spans="3:9" s="46" customFormat="1" x14ac:dyDescent="0.2">
      <c r="C3107" s="144"/>
      <c r="D3107" s="144"/>
      <c r="E3107" s="144"/>
      <c r="F3107" s="373"/>
      <c r="I3107" s="70"/>
    </row>
    <row r="3108" spans="3:9" s="46" customFormat="1" x14ac:dyDescent="0.2">
      <c r="C3108" s="144"/>
      <c r="D3108" s="144"/>
      <c r="E3108" s="144"/>
      <c r="F3108" s="373"/>
      <c r="I3108" s="70"/>
    </row>
    <row r="3109" spans="3:9" s="46" customFormat="1" x14ac:dyDescent="0.2">
      <c r="C3109" s="144"/>
      <c r="D3109" s="144"/>
      <c r="E3109" s="144"/>
      <c r="F3109" s="373"/>
      <c r="I3109" s="70"/>
    </row>
    <row r="3110" spans="3:9" s="46" customFormat="1" x14ac:dyDescent="0.2">
      <c r="C3110" s="144"/>
      <c r="D3110" s="144"/>
      <c r="E3110" s="144"/>
      <c r="F3110" s="373"/>
      <c r="I3110" s="70"/>
    </row>
    <row r="3111" spans="3:9" s="46" customFormat="1" x14ac:dyDescent="0.2">
      <c r="C3111" s="144"/>
      <c r="D3111" s="144"/>
      <c r="E3111" s="144"/>
      <c r="F3111" s="373"/>
      <c r="I3111" s="70"/>
    </row>
    <row r="3112" spans="3:9" s="46" customFormat="1" x14ac:dyDescent="0.2">
      <c r="C3112" s="144"/>
      <c r="D3112" s="144"/>
      <c r="E3112" s="144"/>
      <c r="F3112" s="373"/>
      <c r="I3112" s="70"/>
    </row>
    <row r="3113" spans="3:9" s="46" customFormat="1" x14ac:dyDescent="0.2">
      <c r="C3113" s="144"/>
      <c r="D3113" s="144"/>
      <c r="E3113" s="144"/>
      <c r="F3113" s="373"/>
      <c r="I3113" s="70"/>
    </row>
    <row r="3114" spans="3:9" s="46" customFormat="1" x14ac:dyDescent="0.2">
      <c r="C3114" s="144"/>
      <c r="D3114" s="144"/>
      <c r="E3114" s="144"/>
      <c r="F3114" s="373"/>
      <c r="I3114" s="70"/>
    </row>
    <row r="3115" spans="3:9" s="46" customFormat="1" x14ac:dyDescent="0.2">
      <c r="C3115" s="144"/>
      <c r="D3115" s="144"/>
      <c r="E3115" s="144"/>
      <c r="F3115" s="373"/>
      <c r="I3115" s="70"/>
    </row>
    <row r="3116" spans="3:9" s="46" customFormat="1" x14ac:dyDescent="0.2">
      <c r="C3116" s="144"/>
      <c r="D3116" s="144"/>
      <c r="E3116" s="144"/>
      <c r="F3116" s="373"/>
      <c r="I3116" s="70"/>
    </row>
    <row r="3117" spans="3:9" s="46" customFormat="1" x14ac:dyDescent="0.2">
      <c r="C3117" s="144"/>
      <c r="D3117" s="144"/>
      <c r="E3117" s="144"/>
      <c r="F3117" s="373"/>
      <c r="I3117" s="70"/>
    </row>
    <row r="3118" spans="3:9" s="46" customFormat="1" x14ac:dyDescent="0.2">
      <c r="C3118" s="144"/>
      <c r="D3118" s="144"/>
      <c r="E3118" s="144"/>
      <c r="F3118" s="373"/>
      <c r="I3118" s="70"/>
    </row>
    <row r="3119" spans="3:9" s="46" customFormat="1" x14ac:dyDescent="0.2">
      <c r="C3119" s="144"/>
      <c r="D3119" s="144"/>
      <c r="E3119" s="144"/>
      <c r="F3119" s="373"/>
      <c r="I3119" s="70"/>
    </row>
    <row r="3120" spans="3:9" s="46" customFormat="1" x14ac:dyDescent="0.2">
      <c r="C3120" s="144"/>
      <c r="D3120" s="144"/>
      <c r="E3120" s="144"/>
      <c r="F3120" s="373"/>
      <c r="I3120" s="70"/>
    </row>
    <row r="3121" spans="3:9" s="46" customFormat="1" x14ac:dyDescent="0.2">
      <c r="C3121" s="144"/>
      <c r="D3121" s="144"/>
      <c r="E3121" s="144"/>
      <c r="F3121" s="373"/>
      <c r="I3121" s="70"/>
    </row>
    <row r="3122" spans="3:9" s="46" customFormat="1" x14ac:dyDescent="0.2">
      <c r="C3122" s="144"/>
      <c r="D3122" s="144"/>
      <c r="E3122" s="144"/>
      <c r="F3122" s="373"/>
      <c r="I3122" s="70"/>
    </row>
    <row r="3123" spans="3:9" s="46" customFormat="1" x14ac:dyDescent="0.2">
      <c r="C3123" s="144"/>
      <c r="D3123" s="144"/>
      <c r="E3123" s="144"/>
      <c r="F3123" s="373"/>
      <c r="I3123" s="70"/>
    </row>
    <row r="3124" spans="3:9" s="46" customFormat="1" x14ac:dyDescent="0.2">
      <c r="C3124" s="144"/>
      <c r="D3124" s="144"/>
      <c r="E3124" s="144"/>
      <c r="F3124" s="373"/>
      <c r="I3124" s="70"/>
    </row>
    <row r="3125" spans="3:9" s="46" customFormat="1" x14ac:dyDescent="0.2">
      <c r="C3125" s="144"/>
      <c r="D3125" s="144"/>
      <c r="E3125" s="144"/>
      <c r="F3125" s="373"/>
      <c r="I3125" s="70"/>
    </row>
    <row r="3126" spans="3:9" s="46" customFormat="1" x14ac:dyDescent="0.2">
      <c r="C3126" s="144"/>
      <c r="D3126" s="144"/>
      <c r="E3126" s="144"/>
      <c r="F3126" s="373"/>
      <c r="I3126" s="70"/>
    </row>
    <row r="3127" spans="3:9" s="46" customFormat="1" x14ac:dyDescent="0.2">
      <c r="C3127" s="144"/>
      <c r="D3127" s="144"/>
      <c r="E3127" s="144"/>
      <c r="F3127" s="373"/>
      <c r="I3127" s="70"/>
    </row>
    <row r="3128" spans="3:9" s="46" customFormat="1" x14ac:dyDescent="0.2">
      <c r="C3128" s="144"/>
      <c r="D3128" s="144"/>
      <c r="E3128" s="144"/>
      <c r="F3128" s="373"/>
      <c r="I3128" s="70"/>
    </row>
    <row r="3129" spans="3:9" s="46" customFormat="1" x14ac:dyDescent="0.2">
      <c r="C3129" s="144"/>
      <c r="D3129" s="144"/>
      <c r="E3129" s="144"/>
      <c r="F3129" s="373"/>
      <c r="I3129" s="70"/>
    </row>
    <row r="3130" spans="3:9" s="46" customFormat="1" x14ac:dyDescent="0.2">
      <c r="C3130" s="144"/>
      <c r="D3130" s="144"/>
      <c r="E3130" s="144"/>
      <c r="F3130" s="373"/>
      <c r="I3130" s="70"/>
    </row>
    <row r="3131" spans="3:9" s="46" customFormat="1" x14ac:dyDescent="0.2">
      <c r="C3131" s="144"/>
      <c r="D3131" s="144"/>
      <c r="E3131" s="144"/>
      <c r="F3131" s="373"/>
      <c r="I3131" s="70"/>
    </row>
    <row r="3132" spans="3:9" s="46" customFormat="1" x14ac:dyDescent="0.2">
      <c r="C3132" s="144"/>
      <c r="D3132" s="144"/>
      <c r="E3132" s="144"/>
      <c r="F3132" s="373"/>
      <c r="I3132" s="70"/>
    </row>
    <row r="3133" spans="3:9" s="46" customFormat="1" x14ac:dyDescent="0.2">
      <c r="C3133" s="144"/>
      <c r="D3133" s="144"/>
      <c r="E3133" s="144"/>
      <c r="F3133" s="373"/>
      <c r="I3133" s="70"/>
    </row>
    <row r="3134" spans="3:9" s="46" customFormat="1" x14ac:dyDescent="0.2">
      <c r="C3134" s="144"/>
      <c r="D3134" s="144"/>
      <c r="E3134" s="144"/>
      <c r="F3134" s="373"/>
      <c r="I3134" s="70"/>
    </row>
    <row r="3135" spans="3:9" s="46" customFormat="1" x14ac:dyDescent="0.2">
      <c r="C3135" s="144"/>
      <c r="D3135" s="144"/>
      <c r="E3135" s="144"/>
      <c r="F3135" s="373"/>
      <c r="I3135" s="70"/>
    </row>
    <row r="3136" spans="3:9" s="46" customFormat="1" x14ac:dyDescent="0.2">
      <c r="C3136" s="144"/>
      <c r="D3136" s="144"/>
      <c r="E3136" s="144"/>
      <c r="F3136" s="373"/>
      <c r="I3136" s="70"/>
    </row>
    <row r="3137" spans="3:9" s="46" customFormat="1" x14ac:dyDescent="0.2">
      <c r="C3137" s="144"/>
      <c r="D3137" s="144"/>
      <c r="E3137" s="144"/>
      <c r="F3137" s="373"/>
      <c r="I3137" s="70"/>
    </row>
    <row r="3138" spans="3:9" s="46" customFormat="1" x14ac:dyDescent="0.2">
      <c r="C3138" s="144"/>
      <c r="D3138" s="144"/>
      <c r="E3138" s="144"/>
      <c r="F3138" s="373"/>
      <c r="I3138" s="70"/>
    </row>
    <row r="3139" spans="3:9" s="46" customFormat="1" x14ac:dyDescent="0.2">
      <c r="C3139" s="144"/>
      <c r="D3139" s="144"/>
      <c r="E3139" s="144"/>
      <c r="F3139" s="373"/>
      <c r="I3139" s="70"/>
    </row>
    <row r="3140" spans="3:9" s="46" customFormat="1" x14ac:dyDescent="0.2">
      <c r="C3140" s="144"/>
      <c r="D3140" s="144"/>
      <c r="E3140" s="144"/>
      <c r="F3140" s="373"/>
      <c r="I3140" s="70"/>
    </row>
    <row r="3141" spans="3:9" s="46" customFormat="1" x14ac:dyDescent="0.2">
      <c r="C3141" s="144"/>
      <c r="D3141" s="144"/>
      <c r="E3141" s="144"/>
      <c r="F3141" s="373"/>
      <c r="I3141" s="70"/>
    </row>
    <row r="3142" spans="3:9" s="46" customFormat="1" x14ac:dyDescent="0.2">
      <c r="C3142" s="144"/>
      <c r="D3142" s="144"/>
      <c r="E3142" s="144"/>
      <c r="F3142" s="373"/>
      <c r="I3142" s="70"/>
    </row>
    <row r="3143" spans="3:9" s="46" customFormat="1" x14ac:dyDescent="0.2">
      <c r="C3143" s="144"/>
      <c r="D3143" s="144"/>
      <c r="E3143" s="144"/>
      <c r="F3143" s="373"/>
      <c r="I3143" s="70"/>
    </row>
    <row r="3144" spans="3:9" s="46" customFormat="1" x14ac:dyDescent="0.2">
      <c r="C3144" s="144"/>
      <c r="D3144" s="144"/>
      <c r="E3144" s="144"/>
      <c r="F3144" s="373"/>
      <c r="I3144" s="70"/>
    </row>
    <row r="3145" spans="3:9" s="46" customFormat="1" x14ac:dyDescent="0.2">
      <c r="C3145" s="144"/>
      <c r="D3145" s="144"/>
      <c r="E3145" s="144"/>
      <c r="F3145" s="373"/>
      <c r="I3145" s="70"/>
    </row>
    <row r="3146" spans="3:9" s="46" customFormat="1" x14ac:dyDescent="0.2">
      <c r="C3146" s="144"/>
      <c r="D3146" s="144"/>
      <c r="E3146" s="144"/>
      <c r="F3146" s="373"/>
      <c r="I3146" s="70"/>
    </row>
    <row r="3147" spans="3:9" s="46" customFormat="1" x14ac:dyDescent="0.2">
      <c r="C3147" s="144"/>
      <c r="D3147" s="144"/>
      <c r="E3147" s="144"/>
      <c r="F3147" s="373"/>
      <c r="I3147" s="70"/>
    </row>
    <row r="3148" spans="3:9" s="46" customFormat="1" x14ac:dyDescent="0.2">
      <c r="C3148" s="144"/>
      <c r="D3148" s="144"/>
      <c r="E3148" s="144"/>
      <c r="F3148" s="373"/>
      <c r="I3148" s="70"/>
    </row>
    <row r="3149" spans="3:9" s="46" customFormat="1" x14ac:dyDescent="0.2">
      <c r="C3149" s="144"/>
      <c r="D3149" s="144"/>
      <c r="E3149" s="144"/>
      <c r="F3149" s="373"/>
      <c r="I3149" s="70"/>
    </row>
    <row r="3150" spans="3:9" s="46" customFormat="1" x14ac:dyDescent="0.2">
      <c r="C3150" s="144"/>
      <c r="D3150" s="144"/>
      <c r="E3150" s="144"/>
      <c r="F3150" s="373"/>
      <c r="I3150" s="70"/>
    </row>
    <row r="3151" spans="3:9" s="46" customFormat="1" x14ac:dyDescent="0.2">
      <c r="C3151" s="144"/>
      <c r="D3151" s="144"/>
      <c r="E3151" s="144"/>
      <c r="F3151" s="373"/>
      <c r="I3151" s="70"/>
    </row>
    <row r="3152" spans="3:9" s="46" customFormat="1" x14ac:dyDescent="0.2">
      <c r="C3152" s="144"/>
      <c r="D3152" s="144"/>
      <c r="E3152" s="144"/>
      <c r="F3152" s="373"/>
      <c r="I3152" s="70"/>
    </row>
    <row r="3153" spans="3:9" s="46" customFormat="1" x14ac:dyDescent="0.2">
      <c r="C3153" s="144"/>
      <c r="D3153" s="144"/>
      <c r="E3153" s="144"/>
      <c r="F3153" s="373"/>
      <c r="I3153" s="70"/>
    </row>
    <row r="3154" spans="3:9" s="46" customFormat="1" x14ac:dyDescent="0.2">
      <c r="C3154" s="144"/>
      <c r="D3154" s="144"/>
      <c r="E3154" s="144"/>
      <c r="F3154" s="373"/>
      <c r="I3154" s="70"/>
    </row>
    <row r="3155" spans="3:9" s="46" customFormat="1" x14ac:dyDescent="0.2">
      <c r="C3155" s="144"/>
      <c r="D3155" s="144"/>
      <c r="E3155" s="144"/>
      <c r="F3155" s="373"/>
      <c r="I3155" s="70"/>
    </row>
    <row r="3156" spans="3:9" s="46" customFormat="1" x14ac:dyDescent="0.2">
      <c r="C3156" s="144"/>
      <c r="D3156" s="144"/>
      <c r="E3156" s="144"/>
      <c r="F3156" s="373"/>
      <c r="I3156" s="70"/>
    </row>
    <row r="3157" spans="3:9" s="46" customFormat="1" x14ac:dyDescent="0.2">
      <c r="C3157" s="144"/>
      <c r="D3157" s="144"/>
      <c r="E3157" s="144"/>
      <c r="F3157" s="373"/>
      <c r="I3157" s="70"/>
    </row>
    <row r="3158" spans="3:9" s="46" customFormat="1" x14ac:dyDescent="0.2">
      <c r="C3158" s="144"/>
      <c r="D3158" s="144"/>
      <c r="E3158" s="144"/>
      <c r="F3158" s="373"/>
      <c r="I3158" s="70"/>
    </row>
    <row r="3159" spans="3:9" s="46" customFormat="1" x14ac:dyDescent="0.2">
      <c r="C3159" s="144"/>
      <c r="D3159" s="144"/>
      <c r="E3159" s="144"/>
      <c r="F3159" s="373"/>
      <c r="I3159" s="70"/>
    </row>
    <row r="3160" spans="3:9" s="46" customFormat="1" x14ac:dyDescent="0.2">
      <c r="C3160" s="144"/>
      <c r="D3160" s="144"/>
      <c r="E3160" s="144"/>
      <c r="F3160" s="373"/>
      <c r="I3160" s="70"/>
    </row>
    <row r="3161" spans="3:9" s="46" customFormat="1" x14ac:dyDescent="0.2">
      <c r="C3161" s="144"/>
      <c r="D3161" s="144"/>
      <c r="E3161" s="144"/>
      <c r="F3161" s="373"/>
      <c r="I3161" s="70"/>
    </row>
    <row r="3162" spans="3:9" s="46" customFormat="1" x14ac:dyDescent="0.2">
      <c r="C3162" s="144"/>
      <c r="D3162" s="144"/>
      <c r="E3162" s="144"/>
      <c r="F3162" s="373"/>
      <c r="I3162" s="70"/>
    </row>
    <row r="3163" spans="3:9" s="46" customFormat="1" x14ac:dyDescent="0.2">
      <c r="C3163" s="144"/>
      <c r="D3163" s="144"/>
      <c r="E3163" s="144"/>
      <c r="F3163" s="373"/>
      <c r="I3163" s="70"/>
    </row>
    <row r="3164" spans="3:9" s="46" customFormat="1" x14ac:dyDescent="0.2">
      <c r="C3164" s="144"/>
      <c r="D3164" s="144"/>
      <c r="E3164" s="144"/>
      <c r="F3164" s="373"/>
      <c r="I3164" s="70"/>
    </row>
    <row r="3165" spans="3:9" s="46" customFormat="1" x14ac:dyDescent="0.2">
      <c r="C3165" s="144"/>
      <c r="D3165" s="144"/>
      <c r="E3165" s="144"/>
      <c r="F3165" s="373"/>
      <c r="I3165" s="70"/>
    </row>
    <row r="3166" spans="3:9" s="46" customFormat="1" x14ac:dyDescent="0.2">
      <c r="C3166" s="144"/>
      <c r="D3166" s="144"/>
      <c r="E3166" s="144"/>
      <c r="F3166" s="373"/>
      <c r="I3166" s="70"/>
    </row>
    <row r="3167" spans="3:9" s="46" customFormat="1" x14ac:dyDescent="0.2">
      <c r="C3167" s="144"/>
      <c r="D3167" s="144"/>
      <c r="E3167" s="144"/>
      <c r="F3167" s="373"/>
      <c r="I3167" s="70"/>
    </row>
    <row r="3168" spans="3:9" s="46" customFormat="1" x14ac:dyDescent="0.2">
      <c r="C3168" s="144"/>
      <c r="D3168" s="144"/>
      <c r="E3168" s="144"/>
      <c r="F3168" s="373"/>
      <c r="I3168" s="70"/>
    </row>
    <row r="3169" spans="3:9" s="46" customFormat="1" x14ac:dyDescent="0.2">
      <c r="C3169" s="144"/>
      <c r="D3169" s="144"/>
      <c r="E3169" s="144"/>
      <c r="F3169" s="373"/>
      <c r="I3169" s="70"/>
    </row>
    <row r="3170" spans="3:9" s="46" customFormat="1" x14ac:dyDescent="0.2">
      <c r="C3170" s="144"/>
      <c r="D3170" s="144"/>
      <c r="E3170" s="144"/>
      <c r="F3170" s="373"/>
      <c r="I3170" s="70"/>
    </row>
    <row r="3171" spans="3:9" s="46" customFormat="1" x14ac:dyDescent="0.2">
      <c r="C3171" s="144"/>
      <c r="D3171" s="144"/>
      <c r="E3171" s="144"/>
      <c r="F3171" s="373"/>
      <c r="I3171" s="70"/>
    </row>
    <row r="3172" spans="3:9" s="46" customFormat="1" x14ac:dyDescent="0.2">
      <c r="C3172" s="144"/>
      <c r="D3172" s="144"/>
      <c r="E3172" s="144"/>
      <c r="F3172" s="373"/>
      <c r="I3172" s="70"/>
    </row>
    <row r="3173" spans="3:9" s="46" customFormat="1" x14ac:dyDescent="0.2">
      <c r="C3173" s="144"/>
      <c r="D3173" s="144"/>
      <c r="E3173" s="144"/>
      <c r="F3173" s="373"/>
      <c r="I3173" s="70"/>
    </row>
    <row r="3174" spans="3:9" s="46" customFormat="1" x14ac:dyDescent="0.2">
      <c r="C3174" s="144"/>
      <c r="D3174" s="144"/>
      <c r="E3174" s="144"/>
      <c r="F3174" s="373"/>
      <c r="I3174" s="70"/>
    </row>
    <row r="3175" spans="3:9" s="46" customFormat="1" x14ac:dyDescent="0.2">
      <c r="C3175" s="144"/>
      <c r="D3175" s="144"/>
      <c r="E3175" s="144"/>
      <c r="F3175" s="373"/>
      <c r="I3175" s="70"/>
    </row>
    <row r="3176" spans="3:9" s="46" customFormat="1" x14ac:dyDescent="0.2">
      <c r="C3176" s="144"/>
      <c r="D3176" s="144"/>
      <c r="E3176" s="144"/>
      <c r="F3176" s="373"/>
      <c r="I3176" s="70"/>
    </row>
    <row r="3177" spans="3:9" s="46" customFormat="1" x14ac:dyDescent="0.2">
      <c r="C3177" s="144"/>
      <c r="D3177" s="144"/>
      <c r="E3177" s="144"/>
      <c r="F3177" s="373"/>
      <c r="I3177" s="70"/>
    </row>
    <row r="3178" spans="3:9" s="46" customFormat="1" x14ac:dyDescent="0.2">
      <c r="C3178" s="144"/>
      <c r="D3178" s="144"/>
      <c r="E3178" s="144"/>
      <c r="F3178" s="373"/>
      <c r="I3178" s="70"/>
    </row>
    <row r="3179" spans="3:9" s="46" customFormat="1" x14ac:dyDescent="0.2">
      <c r="C3179" s="144"/>
      <c r="D3179" s="144"/>
      <c r="E3179" s="144"/>
      <c r="F3179" s="373"/>
      <c r="I3179" s="70"/>
    </row>
    <row r="3180" spans="3:9" s="46" customFormat="1" x14ac:dyDescent="0.2">
      <c r="C3180" s="144"/>
      <c r="D3180" s="144"/>
      <c r="E3180" s="144"/>
      <c r="F3180" s="373"/>
      <c r="I3180" s="70"/>
    </row>
    <row r="3181" spans="3:9" s="46" customFormat="1" x14ac:dyDescent="0.2">
      <c r="C3181" s="144"/>
      <c r="D3181" s="144"/>
      <c r="E3181" s="144"/>
      <c r="F3181" s="373"/>
      <c r="I3181" s="70"/>
    </row>
    <row r="3182" spans="3:9" s="46" customFormat="1" x14ac:dyDescent="0.2">
      <c r="C3182" s="144"/>
      <c r="D3182" s="144"/>
      <c r="E3182" s="144"/>
      <c r="F3182" s="373"/>
      <c r="I3182" s="70"/>
    </row>
    <row r="3183" spans="3:9" s="46" customFormat="1" x14ac:dyDescent="0.2">
      <c r="C3183" s="144"/>
      <c r="D3183" s="144"/>
      <c r="E3183" s="144"/>
      <c r="F3183" s="373"/>
      <c r="I3183" s="70"/>
    </row>
    <row r="3184" spans="3:9" s="46" customFormat="1" x14ac:dyDescent="0.2">
      <c r="C3184" s="144"/>
      <c r="D3184" s="144"/>
      <c r="E3184" s="144"/>
      <c r="F3184" s="373"/>
      <c r="I3184" s="70"/>
    </row>
    <row r="3185" spans="3:9" s="46" customFormat="1" x14ac:dyDescent="0.2">
      <c r="C3185" s="144"/>
      <c r="D3185" s="144"/>
      <c r="E3185" s="144"/>
      <c r="F3185" s="373"/>
      <c r="I3185" s="70"/>
    </row>
    <row r="3186" spans="3:9" s="46" customFormat="1" x14ac:dyDescent="0.2">
      <c r="C3186" s="144"/>
      <c r="D3186" s="144"/>
      <c r="E3186" s="144"/>
      <c r="F3186" s="373"/>
      <c r="I3186" s="70"/>
    </row>
    <row r="3187" spans="3:9" s="46" customFormat="1" x14ac:dyDescent="0.2">
      <c r="C3187" s="144"/>
      <c r="D3187" s="144"/>
      <c r="E3187" s="144"/>
      <c r="F3187" s="373"/>
      <c r="I3187" s="70"/>
    </row>
    <row r="3188" spans="3:9" s="46" customFormat="1" x14ac:dyDescent="0.2">
      <c r="C3188" s="144"/>
      <c r="D3188" s="144"/>
      <c r="E3188" s="144"/>
      <c r="F3188" s="373"/>
      <c r="I3188" s="70"/>
    </row>
    <row r="3189" spans="3:9" s="46" customFormat="1" x14ac:dyDescent="0.2">
      <c r="C3189" s="144"/>
      <c r="D3189" s="144"/>
      <c r="E3189" s="144"/>
      <c r="F3189" s="373"/>
      <c r="I3189" s="70"/>
    </row>
    <row r="3190" spans="3:9" s="46" customFormat="1" x14ac:dyDescent="0.2">
      <c r="C3190" s="144"/>
      <c r="D3190" s="144"/>
      <c r="E3190" s="144"/>
      <c r="F3190" s="373"/>
      <c r="I3190" s="70"/>
    </row>
    <row r="3191" spans="3:9" s="46" customFormat="1" x14ac:dyDescent="0.2">
      <c r="C3191" s="144"/>
      <c r="D3191" s="144"/>
      <c r="E3191" s="144"/>
      <c r="F3191" s="373"/>
      <c r="I3191" s="70"/>
    </row>
    <row r="3192" spans="3:9" s="46" customFormat="1" x14ac:dyDescent="0.2">
      <c r="C3192" s="144"/>
      <c r="D3192" s="144"/>
      <c r="E3192" s="144"/>
      <c r="F3192" s="373"/>
      <c r="I3192" s="70"/>
    </row>
    <row r="3193" spans="3:9" s="46" customFormat="1" x14ac:dyDescent="0.2">
      <c r="C3193" s="144"/>
      <c r="D3193" s="144"/>
      <c r="E3193" s="144"/>
      <c r="F3193" s="373"/>
      <c r="I3193" s="70"/>
    </row>
    <row r="3194" spans="3:9" s="46" customFormat="1" x14ac:dyDescent="0.2">
      <c r="C3194" s="144"/>
      <c r="D3194" s="144"/>
      <c r="E3194" s="144"/>
      <c r="F3194" s="373"/>
      <c r="I3194" s="70"/>
    </row>
    <row r="3195" spans="3:9" s="46" customFormat="1" x14ac:dyDescent="0.2">
      <c r="C3195" s="144"/>
      <c r="D3195" s="144"/>
      <c r="E3195" s="144"/>
      <c r="F3195" s="373"/>
      <c r="I3195" s="70"/>
    </row>
    <row r="3196" spans="3:9" s="46" customFormat="1" x14ac:dyDescent="0.2">
      <c r="C3196" s="144"/>
      <c r="D3196" s="144"/>
      <c r="E3196" s="144"/>
      <c r="F3196" s="373"/>
      <c r="I3196" s="70"/>
    </row>
    <row r="3197" spans="3:9" s="46" customFormat="1" x14ac:dyDescent="0.2">
      <c r="C3197" s="144"/>
      <c r="D3197" s="144"/>
      <c r="E3197" s="144"/>
      <c r="F3197" s="373"/>
      <c r="I3197" s="70"/>
    </row>
    <row r="3198" spans="3:9" s="46" customFormat="1" x14ac:dyDescent="0.2">
      <c r="C3198" s="144"/>
      <c r="D3198" s="144"/>
      <c r="E3198" s="144"/>
      <c r="F3198" s="373"/>
      <c r="I3198" s="70"/>
    </row>
    <row r="3199" spans="3:9" s="46" customFormat="1" x14ac:dyDescent="0.2">
      <c r="C3199" s="144"/>
      <c r="D3199" s="144"/>
      <c r="E3199" s="144"/>
      <c r="F3199" s="373"/>
      <c r="I3199" s="70"/>
    </row>
    <row r="3200" spans="3:9" s="46" customFormat="1" x14ac:dyDescent="0.2">
      <c r="C3200" s="144"/>
      <c r="D3200" s="144"/>
      <c r="E3200" s="144"/>
      <c r="F3200" s="373"/>
      <c r="I3200" s="70"/>
    </row>
    <row r="3201" spans="3:9" s="46" customFormat="1" x14ac:dyDescent="0.2">
      <c r="C3201" s="144"/>
      <c r="D3201" s="144"/>
      <c r="E3201" s="144"/>
      <c r="F3201" s="373"/>
      <c r="I3201" s="70"/>
    </row>
    <row r="3202" spans="3:9" s="46" customFormat="1" x14ac:dyDescent="0.2">
      <c r="C3202" s="144"/>
      <c r="D3202" s="144"/>
      <c r="E3202" s="144"/>
      <c r="F3202" s="373"/>
      <c r="I3202" s="70"/>
    </row>
    <row r="3203" spans="3:9" s="46" customFormat="1" x14ac:dyDescent="0.2">
      <c r="C3203" s="144"/>
      <c r="D3203" s="144"/>
      <c r="E3203" s="144"/>
      <c r="F3203" s="373"/>
      <c r="I3203" s="70"/>
    </row>
    <row r="3204" spans="3:9" s="46" customFormat="1" x14ac:dyDescent="0.2">
      <c r="C3204" s="144"/>
      <c r="D3204" s="144"/>
      <c r="E3204" s="144"/>
      <c r="F3204" s="373"/>
      <c r="I3204" s="70"/>
    </row>
    <row r="3205" spans="3:9" s="46" customFormat="1" x14ac:dyDescent="0.2">
      <c r="C3205" s="144"/>
      <c r="D3205" s="144"/>
      <c r="E3205" s="144"/>
      <c r="F3205" s="373"/>
      <c r="I3205" s="70"/>
    </row>
    <row r="3206" spans="3:9" s="46" customFormat="1" x14ac:dyDescent="0.2">
      <c r="C3206" s="144"/>
      <c r="D3206" s="144"/>
      <c r="E3206" s="144"/>
      <c r="F3206" s="373"/>
      <c r="I3206" s="70"/>
    </row>
    <row r="3207" spans="3:9" s="46" customFormat="1" x14ac:dyDescent="0.2">
      <c r="C3207" s="144"/>
      <c r="D3207" s="144"/>
      <c r="E3207" s="144"/>
      <c r="F3207" s="373"/>
      <c r="I3207" s="70"/>
    </row>
    <row r="3208" spans="3:9" s="46" customFormat="1" x14ac:dyDescent="0.2">
      <c r="C3208" s="144"/>
      <c r="D3208" s="144"/>
      <c r="E3208" s="144"/>
      <c r="F3208" s="373"/>
      <c r="I3208" s="70"/>
    </row>
    <row r="3209" spans="3:9" s="46" customFormat="1" x14ac:dyDescent="0.2">
      <c r="C3209" s="144"/>
      <c r="D3209" s="144"/>
      <c r="E3209" s="144"/>
      <c r="F3209" s="373"/>
      <c r="I3209" s="70"/>
    </row>
    <row r="3210" spans="3:9" s="46" customFormat="1" x14ac:dyDescent="0.2">
      <c r="C3210" s="144"/>
      <c r="D3210" s="144"/>
      <c r="E3210" s="144"/>
      <c r="F3210" s="373"/>
      <c r="I3210" s="70"/>
    </row>
    <row r="3211" spans="3:9" s="46" customFormat="1" x14ac:dyDescent="0.2">
      <c r="C3211" s="144"/>
      <c r="D3211" s="144"/>
      <c r="E3211" s="144"/>
      <c r="F3211" s="373"/>
      <c r="I3211" s="70"/>
    </row>
    <row r="3212" spans="3:9" s="46" customFormat="1" x14ac:dyDescent="0.2">
      <c r="C3212" s="144"/>
      <c r="D3212" s="144"/>
      <c r="E3212" s="144"/>
      <c r="F3212" s="373"/>
      <c r="I3212" s="70"/>
    </row>
    <row r="3213" spans="3:9" s="46" customFormat="1" x14ac:dyDescent="0.2">
      <c r="C3213" s="144"/>
      <c r="D3213" s="144"/>
      <c r="E3213" s="144"/>
      <c r="F3213" s="373"/>
      <c r="I3213" s="70"/>
    </row>
    <row r="3214" spans="3:9" s="46" customFormat="1" x14ac:dyDescent="0.2">
      <c r="C3214" s="144"/>
      <c r="D3214" s="144"/>
      <c r="E3214" s="144"/>
      <c r="F3214" s="373"/>
      <c r="I3214" s="70"/>
    </row>
    <row r="3215" spans="3:9" s="46" customFormat="1" x14ac:dyDescent="0.2">
      <c r="C3215" s="144"/>
      <c r="D3215" s="144"/>
      <c r="E3215" s="144"/>
      <c r="F3215" s="373"/>
      <c r="I3215" s="70"/>
    </row>
    <row r="3216" spans="3:9" s="46" customFormat="1" x14ac:dyDescent="0.2">
      <c r="C3216" s="144"/>
      <c r="D3216" s="144"/>
      <c r="E3216" s="144"/>
      <c r="F3216" s="373"/>
      <c r="I3216" s="70"/>
    </row>
    <row r="3217" spans="3:9" s="46" customFormat="1" x14ac:dyDescent="0.2">
      <c r="C3217" s="144"/>
      <c r="D3217" s="144"/>
      <c r="E3217" s="144"/>
      <c r="F3217" s="373"/>
      <c r="I3217" s="70"/>
    </row>
    <row r="3218" spans="3:9" s="46" customFormat="1" x14ac:dyDescent="0.2">
      <c r="C3218" s="144"/>
      <c r="D3218" s="144"/>
      <c r="E3218" s="144"/>
      <c r="F3218" s="373"/>
      <c r="I3218" s="70"/>
    </row>
    <row r="3219" spans="3:9" s="46" customFormat="1" x14ac:dyDescent="0.2">
      <c r="C3219" s="144"/>
      <c r="D3219" s="144"/>
      <c r="E3219" s="144"/>
      <c r="F3219" s="373"/>
      <c r="I3219" s="70"/>
    </row>
    <row r="3220" spans="3:9" s="46" customFormat="1" x14ac:dyDescent="0.2">
      <c r="C3220" s="144"/>
      <c r="D3220" s="144"/>
      <c r="E3220" s="144"/>
      <c r="F3220" s="373"/>
      <c r="I3220" s="70"/>
    </row>
    <row r="3221" spans="3:9" s="46" customFormat="1" x14ac:dyDescent="0.2">
      <c r="C3221" s="144"/>
      <c r="D3221" s="144"/>
      <c r="E3221" s="144"/>
      <c r="F3221" s="373"/>
      <c r="I3221" s="70"/>
    </row>
    <row r="3222" spans="3:9" s="46" customFormat="1" x14ac:dyDescent="0.2">
      <c r="C3222" s="144"/>
      <c r="D3222" s="144"/>
      <c r="E3222" s="144"/>
      <c r="F3222" s="373"/>
      <c r="I3222" s="70"/>
    </row>
    <row r="3223" spans="3:9" s="46" customFormat="1" x14ac:dyDescent="0.2">
      <c r="C3223" s="144"/>
      <c r="D3223" s="144"/>
      <c r="E3223" s="144"/>
      <c r="F3223" s="373"/>
      <c r="I3223" s="70"/>
    </row>
    <row r="3224" spans="3:9" s="46" customFormat="1" x14ac:dyDescent="0.2">
      <c r="C3224" s="144"/>
      <c r="D3224" s="144"/>
      <c r="E3224" s="144"/>
      <c r="F3224" s="373"/>
      <c r="I3224" s="70"/>
    </row>
    <row r="3225" spans="3:9" s="46" customFormat="1" x14ac:dyDescent="0.2">
      <c r="C3225" s="144"/>
      <c r="D3225" s="144"/>
      <c r="E3225" s="144"/>
      <c r="F3225" s="373"/>
      <c r="I3225" s="70"/>
    </row>
    <row r="3226" spans="3:9" s="46" customFormat="1" x14ac:dyDescent="0.2">
      <c r="C3226" s="144"/>
      <c r="D3226" s="144"/>
      <c r="E3226" s="144"/>
      <c r="F3226" s="373"/>
      <c r="I3226" s="70"/>
    </row>
    <row r="3227" spans="3:9" s="46" customFormat="1" x14ac:dyDescent="0.2">
      <c r="C3227" s="144"/>
      <c r="D3227" s="144"/>
      <c r="E3227" s="144"/>
      <c r="F3227" s="373"/>
      <c r="I3227" s="70"/>
    </row>
    <row r="3228" spans="3:9" s="46" customFormat="1" x14ac:dyDescent="0.2">
      <c r="C3228" s="144"/>
      <c r="D3228" s="144"/>
      <c r="E3228" s="144"/>
      <c r="F3228" s="373"/>
      <c r="I3228" s="70"/>
    </row>
    <row r="3229" spans="3:9" s="46" customFormat="1" x14ac:dyDescent="0.2">
      <c r="C3229" s="144"/>
      <c r="D3229" s="144"/>
      <c r="E3229" s="144"/>
      <c r="F3229" s="373"/>
      <c r="I3229" s="70"/>
    </row>
    <row r="3230" spans="3:9" s="46" customFormat="1" x14ac:dyDescent="0.2">
      <c r="C3230" s="144"/>
      <c r="D3230" s="144"/>
      <c r="E3230" s="144"/>
      <c r="F3230" s="373"/>
      <c r="I3230" s="70"/>
    </row>
    <row r="3231" spans="3:9" s="46" customFormat="1" x14ac:dyDescent="0.2">
      <c r="C3231" s="144"/>
      <c r="D3231" s="144"/>
      <c r="E3231" s="144"/>
      <c r="F3231" s="373"/>
      <c r="I3231" s="70"/>
    </row>
    <row r="3232" spans="3:9" s="46" customFormat="1" x14ac:dyDescent="0.2">
      <c r="C3232" s="144"/>
      <c r="D3232" s="144"/>
      <c r="E3232" s="144"/>
      <c r="F3232" s="373"/>
      <c r="I3232" s="70"/>
    </row>
    <row r="3233" spans="3:9" s="46" customFormat="1" x14ac:dyDescent="0.2">
      <c r="C3233" s="144"/>
      <c r="D3233" s="144"/>
      <c r="E3233" s="144"/>
      <c r="F3233" s="373"/>
      <c r="I3233" s="70"/>
    </row>
    <row r="3234" spans="3:9" s="46" customFormat="1" x14ac:dyDescent="0.2">
      <c r="C3234" s="144"/>
      <c r="D3234" s="144"/>
      <c r="E3234" s="144"/>
      <c r="F3234" s="373"/>
      <c r="I3234" s="70"/>
    </row>
    <row r="3235" spans="3:9" s="46" customFormat="1" x14ac:dyDescent="0.2">
      <c r="C3235" s="144"/>
      <c r="D3235" s="144"/>
      <c r="E3235" s="144"/>
      <c r="F3235" s="373"/>
      <c r="I3235" s="70"/>
    </row>
    <row r="3236" spans="3:9" s="46" customFormat="1" x14ac:dyDescent="0.2">
      <c r="C3236" s="144"/>
      <c r="D3236" s="144"/>
      <c r="E3236" s="144"/>
      <c r="F3236" s="373"/>
      <c r="I3236" s="70"/>
    </row>
    <row r="3237" spans="3:9" s="46" customFormat="1" x14ac:dyDescent="0.2">
      <c r="C3237" s="144"/>
      <c r="D3237" s="144"/>
      <c r="E3237" s="144"/>
      <c r="F3237" s="373"/>
      <c r="I3237" s="70"/>
    </row>
    <row r="3238" spans="3:9" s="46" customFormat="1" x14ac:dyDescent="0.2">
      <c r="C3238" s="144"/>
      <c r="D3238" s="144"/>
      <c r="E3238" s="144"/>
      <c r="F3238" s="373"/>
      <c r="I3238" s="70"/>
    </row>
    <row r="3239" spans="3:9" s="46" customFormat="1" x14ac:dyDescent="0.2">
      <c r="C3239" s="144"/>
      <c r="D3239" s="144"/>
      <c r="E3239" s="144"/>
      <c r="F3239" s="373"/>
      <c r="I3239" s="70"/>
    </row>
    <row r="3240" spans="3:9" s="46" customFormat="1" x14ac:dyDescent="0.2">
      <c r="C3240" s="144"/>
      <c r="D3240" s="144"/>
      <c r="E3240" s="144"/>
      <c r="F3240" s="373"/>
      <c r="I3240" s="70"/>
    </row>
    <row r="3241" spans="3:9" s="46" customFormat="1" x14ac:dyDescent="0.2">
      <c r="C3241" s="144"/>
      <c r="D3241" s="144"/>
      <c r="E3241" s="144"/>
      <c r="F3241" s="373"/>
      <c r="I3241" s="70"/>
    </row>
    <row r="3242" spans="3:9" s="46" customFormat="1" x14ac:dyDescent="0.2">
      <c r="C3242" s="144"/>
      <c r="D3242" s="144"/>
      <c r="E3242" s="144"/>
      <c r="F3242" s="373"/>
      <c r="I3242" s="70"/>
    </row>
    <row r="3243" spans="3:9" s="46" customFormat="1" x14ac:dyDescent="0.2">
      <c r="C3243" s="144"/>
      <c r="D3243" s="144"/>
      <c r="E3243" s="144"/>
      <c r="F3243" s="373"/>
      <c r="I3243" s="70"/>
    </row>
    <row r="3244" spans="3:9" s="46" customFormat="1" x14ac:dyDescent="0.2">
      <c r="C3244" s="144"/>
      <c r="D3244" s="144"/>
      <c r="E3244" s="144"/>
      <c r="F3244" s="373"/>
      <c r="I3244" s="70"/>
    </row>
    <row r="3245" spans="3:9" s="46" customFormat="1" x14ac:dyDescent="0.2">
      <c r="C3245" s="144"/>
      <c r="D3245" s="144"/>
      <c r="E3245" s="144"/>
      <c r="F3245" s="373"/>
      <c r="I3245" s="70"/>
    </row>
    <row r="3246" spans="3:9" s="46" customFormat="1" x14ac:dyDescent="0.2">
      <c r="C3246" s="144"/>
      <c r="D3246" s="144"/>
      <c r="E3246" s="144"/>
      <c r="F3246" s="373"/>
      <c r="I3246" s="70"/>
    </row>
    <row r="3247" spans="3:9" s="46" customFormat="1" x14ac:dyDescent="0.2">
      <c r="C3247" s="144"/>
      <c r="D3247" s="144"/>
      <c r="E3247" s="144"/>
      <c r="F3247" s="373"/>
      <c r="I3247" s="70"/>
    </row>
    <row r="3248" spans="3:9" s="46" customFormat="1" x14ac:dyDescent="0.2">
      <c r="C3248" s="144"/>
      <c r="D3248" s="144"/>
      <c r="E3248" s="144"/>
      <c r="F3248" s="373"/>
      <c r="I3248" s="70"/>
    </row>
    <row r="3249" spans="3:9" s="46" customFormat="1" x14ac:dyDescent="0.2">
      <c r="C3249" s="144"/>
      <c r="D3249" s="144"/>
      <c r="E3249" s="144"/>
      <c r="F3249" s="373"/>
      <c r="I3249" s="70"/>
    </row>
    <row r="3250" spans="3:9" s="46" customFormat="1" x14ac:dyDescent="0.2">
      <c r="C3250" s="144"/>
      <c r="D3250" s="144"/>
      <c r="E3250" s="144"/>
      <c r="F3250" s="373"/>
      <c r="I3250" s="70"/>
    </row>
    <row r="3251" spans="3:9" s="46" customFormat="1" x14ac:dyDescent="0.2">
      <c r="C3251" s="144"/>
      <c r="D3251" s="144"/>
      <c r="E3251" s="144"/>
      <c r="F3251" s="373"/>
      <c r="I3251" s="70"/>
    </row>
    <row r="3252" spans="3:9" s="46" customFormat="1" x14ac:dyDescent="0.2">
      <c r="C3252" s="144"/>
      <c r="D3252" s="144"/>
      <c r="E3252" s="144"/>
      <c r="F3252" s="373"/>
      <c r="I3252" s="70"/>
    </row>
    <row r="3253" spans="3:9" s="46" customFormat="1" x14ac:dyDescent="0.2">
      <c r="C3253" s="144"/>
      <c r="D3253" s="144"/>
      <c r="E3253" s="144"/>
      <c r="F3253" s="373"/>
      <c r="I3253" s="70"/>
    </row>
    <row r="3254" spans="3:9" s="46" customFormat="1" x14ac:dyDescent="0.2">
      <c r="C3254" s="144"/>
      <c r="D3254" s="144"/>
      <c r="E3254" s="144"/>
      <c r="F3254" s="373"/>
      <c r="I3254" s="70"/>
    </row>
    <row r="3255" spans="3:9" s="46" customFormat="1" x14ac:dyDescent="0.2">
      <c r="C3255" s="144"/>
      <c r="D3255" s="144"/>
      <c r="E3255" s="144"/>
      <c r="F3255" s="373"/>
      <c r="I3255" s="70"/>
    </row>
    <row r="3256" spans="3:9" s="46" customFormat="1" x14ac:dyDescent="0.2">
      <c r="C3256" s="144"/>
      <c r="D3256" s="144"/>
      <c r="E3256" s="144"/>
      <c r="F3256" s="373"/>
      <c r="I3256" s="70"/>
    </row>
    <row r="3257" spans="3:9" s="46" customFormat="1" x14ac:dyDescent="0.2">
      <c r="C3257" s="144"/>
      <c r="D3257" s="144"/>
      <c r="E3257" s="144"/>
      <c r="F3257" s="373"/>
      <c r="I3257" s="70"/>
    </row>
    <row r="3258" spans="3:9" s="46" customFormat="1" x14ac:dyDescent="0.2">
      <c r="C3258" s="144"/>
      <c r="D3258" s="144"/>
      <c r="E3258" s="144"/>
      <c r="F3258" s="373"/>
      <c r="I3258" s="70"/>
    </row>
    <row r="3259" spans="3:9" s="46" customFormat="1" x14ac:dyDescent="0.2">
      <c r="C3259" s="144"/>
      <c r="D3259" s="144"/>
      <c r="E3259" s="144"/>
      <c r="F3259" s="373"/>
      <c r="I3259" s="70"/>
    </row>
    <row r="3260" spans="3:9" s="46" customFormat="1" x14ac:dyDescent="0.2">
      <c r="C3260" s="144"/>
      <c r="D3260" s="144"/>
      <c r="E3260" s="144"/>
      <c r="F3260" s="373"/>
      <c r="I3260" s="70"/>
    </row>
    <row r="3261" spans="3:9" s="46" customFormat="1" x14ac:dyDescent="0.2">
      <c r="C3261" s="144"/>
      <c r="D3261" s="144"/>
      <c r="E3261" s="144"/>
      <c r="F3261" s="373"/>
      <c r="I3261" s="70"/>
    </row>
    <row r="3262" spans="3:9" s="46" customFormat="1" x14ac:dyDescent="0.2">
      <c r="C3262" s="144"/>
      <c r="D3262" s="144"/>
      <c r="E3262" s="144"/>
      <c r="F3262" s="373"/>
      <c r="I3262" s="70"/>
    </row>
    <row r="3263" spans="3:9" s="46" customFormat="1" x14ac:dyDescent="0.2">
      <c r="C3263" s="144"/>
      <c r="D3263" s="144"/>
      <c r="E3263" s="144"/>
      <c r="F3263" s="373"/>
      <c r="I3263" s="70"/>
    </row>
    <row r="3264" spans="3:9" s="46" customFormat="1" x14ac:dyDescent="0.2">
      <c r="C3264" s="144"/>
      <c r="D3264" s="144"/>
      <c r="E3264" s="144"/>
      <c r="F3264" s="373"/>
      <c r="I3264" s="70"/>
    </row>
    <row r="3265" spans="3:9" s="46" customFormat="1" x14ac:dyDescent="0.2">
      <c r="C3265" s="144"/>
      <c r="D3265" s="144"/>
      <c r="E3265" s="144"/>
      <c r="F3265" s="373"/>
      <c r="I3265" s="70"/>
    </row>
    <row r="3266" spans="3:9" s="46" customFormat="1" x14ac:dyDescent="0.2">
      <c r="C3266" s="144"/>
      <c r="D3266" s="144"/>
      <c r="E3266" s="144"/>
      <c r="F3266" s="373"/>
      <c r="I3266" s="70"/>
    </row>
    <row r="3267" spans="3:9" s="46" customFormat="1" x14ac:dyDescent="0.2">
      <c r="C3267" s="144"/>
      <c r="D3267" s="144"/>
      <c r="E3267" s="144"/>
      <c r="F3267" s="373"/>
      <c r="I3267" s="70"/>
    </row>
    <row r="3268" spans="3:9" s="46" customFormat="1" x14ac:dyDescent="0.2">
      <c r="C3268" s="144"/>
      <c r="D3268" s="144"/>
      <c r="E3268" s="144"/>
      <c r="F3268" s="373"/>
      <c r="I3268" s="70"/>
    </row>
    <row r="3269" spans="3:9" s="46" customFormat="1" x14ac:dyDescent="0.2">
      <c r="C3269" s="144"/>
      <c r="D3269" s="144"/>
      <c r="E3269" s="144"/>
      <c r="F3269" s="373"/>
      <c r="I3269" s="70"/>
    </row>
    <row r="3270" spans="3:9" s="46" customFormat="1" x14ac:dyDescent="0.2">
      <c r="C3270" s="144"/>
      <c r="D3270" s="144"/>
      <c r="E3270" s="144"/>
      <c r="F3270" s="373"/>
      <c r="I3270" s="70"/>
    </row>
    <row r="3271" spans="3:9" s="46" customFormat="1" x14ac:dyDescent="0.2">
      <c r="C3271" s="144"/>
      <c r="D3271" s="144"/>
      <c r="E3271" s="144"/>
      <c r="F3271" s="373"/>
      <c r="I3271" s="70"/>
    </row>
    <row r="3272" spans="3:9" s="46" customFormat="1" x14ac:dyDescent="0.2">
      <c r="C3272" s="144"/>
      <c r="D3272" s="144"/>
      <c r="E3272" s="144"/>
      <c r="F3272" s="373"/>
      <c r="I3272" s="70"/>
    </row>
    <row r="3273" spans="3:9" s="46" customFormat="1" x14ac:dyDescent="0.2">
      <c r="C3273" s="144"/>
      <c r="D3273" s="144"/>
      <c r="E3273" s="144"/>
      <c r="F3273" s="373"/>
      <c r="I3273" s="70"/>
    </row>
    <row r="3274" spans="3:9" s="46" customFormat="1" x14ac:dyDescent="0.2">
      <c r="C3274" s="144"/>
      <c r="D3274" s="144"/>
      <c r="E3274" s="144"/>
      <c r="F3274" s="373"/>
      <c r="I3274" s="70"/>
    </row>
    <row r="3275" spans="3:9" s="46" customFormat="1" x14ac:dyDescent="0.2">
      <c r="C3275" s="144"/>
      <c r="D3275" s="144"/>
      <c r="E3275" s="144"/>
      <c r="F3275" s="373"/>
      <c r="I3275" s="70"/>
    </row>
    <row r="3276" spans="3:9" s="46" customFormat="1" x14ac:dyDescent="0.2">
      <c r="C3276" s="144"/>
      <c r="D3276" s="144"/>
      <c r="E3276" s="144"/>
      <c r="F3276" s="373"/>
      <c r="I3276" s="70"/>
    </row>
    <row r="3277" spans="3:9" s="46" customFormat="1" x14ac:dyDescent="0.2">
      <c r="C3277" s="144"/>
      <c r="D3277" s="144"/>
      <c r="E3277" s="144"/>
      <c r="F3277" s="373"/>
      <c r="I3277" s="70"/>
    </row>
    <row r="3278" spans="3:9" s="46" customFormat="1" x14ac:dyDescent="0.2">
      <c r="C3278" s="144"/>
      <c r="D3278" s="144"/>
      <c r="E3278" s="144"/>
      <c r="F3278" s="373"/>
      <c r="I3278" s="70"/>
    </row>
    <row r="3279" spans="3:9" s="46" customFormat="1" x14ac:dyDescent="0.2">
      <c r="C3279" s="144"/>
      <c r="D3279" s="144"/>
      <c r="E3279" s="144"/>
      <c r="F3279" s="373"/>
      <c r="I3279" s="70"/>
    </row>
    <row r="3280" spans="3:9" s="46" customFormat="1" x14ac:dyDescent="0.2">
      <c r="C3280" s="144"/>
      <c r="D3280" s="144"/>
      <c r="E3280" s="144"/>
      <c r="F3280" s="373"/>
      <c r="I3280" s="70"/>
    </row>
    <row r="3281" spans="3:9" s="46" customFormat="1" x14ac:dyDescent="0.2">
      <c r="C3281" s="144"/>
      <c r="D3281" s="144"/>
      <c r="E3281" s="144"/>
      <c r="F3281" s="373"/>
      <c r="I3281" s="70"/>
    </row>
    <row r="3282" spans="3:9" s="46" customFormat="1" x14ac:dyDescent="0.2">
      <c r="C3282" s="144"/>
      <c r="D3282" s="144"/>
      <c r="E3282" s="144"/>
      <c r="F3282" s="373"/>
      <c r="I3282" s="70"/>
    </row>
    <row r="3283" spans="3:9" s="46" customFormat="1" x14ac:dyDescent="0.2">
      <c r="C3283" s="144"/>
      <c r="D3283" s="144"/>
      <c r="E3283" s="144"/>
      <c r="F3283" s="373"/>
      <c r="I3283" s="70"/>
    </row>
    <row r="3284" spans="3:9" s="46" customFormat="1" x14ac:dyDescent="0.2">
      <c r="C3284" s="144"/>
      <c r="D3284" s="144"/>
      <c r="E3284" s="144"/>
      <c r="F3284" s="373"/>
      <c r="I3284" s="70"/>
    </row>
    <row r="3285" spans="3:9" s="46" customFormat="1" x14ac:dyDescent="0.2">
      <c r="C3285" s="144"/>
      <c r="D3285" s="144"/>
      <c r="E3285" s="144"/>
      <c r="F3285" s="373"/>
      <c r="I3285" s="70"/>
    </row>
    <row r="3286" spans="3:9" s="46" customFormat="1" x14ac:dyDescent="0.2">
      <c r="C3286" s="144"/>
      <c r="D3286" s="144"/>
      <c r="E3286" s="144"/>
      <c r="F3286" s="373"/>
      <c r="I3286" s="70"/>
    </row>
    <row r="3287" spans="3:9" s="46" customFormat="1" x14ac:dyDescent="0.2">
      <c r="C3287" s="144"/>
      <c r="D3287" s="144"/>
      <c r="E3287" s="144"/>
      <c r="F3287" s="373"/>
      <c r="I3287" s="70"/>
    </row>
    <row r="3288" spans="3:9" s="46" customFormat="1" x14ac:dyDescent="0.2">
      <c r="C3288" s="144"/>
      <c r="D3288" s="144"/>
      <c r="E3288" s="144"/>
      <c r="F3288" s="373"/>
      <c r="I3288" s="70"/>
    </row>
    <row r="3289" spans="3:9" s="46" customFormat="1" x14ac:dyDescent="0.2">
      <c r="C3289" s="144"/>
      <c r="D3289" s="144"/>
      <c r="E3289" s="144"/>
      <c r="F3289" s="373"/>
      <c r="I3289" s="70"/>
    </row>
    <row r="3290" spans="3:9" s="46" customFormat="1" x14ac:dyDescent="0.2">
      <c r="C3290" s="144"/>
      <c r="D3290" s="144"/>
      <c r="E3290" s="144"/>
      <c r="F3290" s="373"/>
      <c r="I3290" s="70"/>
    </row>
    <row r="3291" spans="3:9" s="46" customFormat="1" x14ac:dyDescent="0.2">
      <c r="C3291" s="144"/>
      <c r="D3291" s="144"/>
      <c r="E3291" s="144"/>
      <c r="F3291" s="373"/>
      <c r="I3291" s="70"/>
    </row>
    <row r="3292" spans="3:9" s="46" customFormat="1" x14ac:dyDescent="0.2">
      <c r="C3292" s="144"/>
      <c r="D3292" s="144"/>
      <c r="E3292" s="144"/>
      <c r="F3292" s="373"/>
      <c r="I3292" s="70"/>
    </row>
    <row r="3293" spans="3:9" s="46" customFormat="1" x14ac:dyDescent="0.2">
      <c r="C3293" s="144"/>
      <c r="D3293" s="144"/>
      <c r="E3293" s="144"/>
      <c r="F3293" s="373"/>
      <c r="I3293" s="70"/>
    </row>
    <row r="3294" spans="3:9" s="46" customFormat="1" x14ac:dyDescent="0.2">
      <c r="C3294" s="144"/>
      <c r="D3294" s="144"/>
      <c r="E3294" s="144"/>
      <c r="F3294" s="373"/>
      <c r="I3294" s="70"/>
    </row>
    <row r="3295" spans="3:9" s="46" customFormat="1" x14ac:dyDescent="0.2">
      <c r="C3295" s="144"/>
      <c r="D3295" s="144"/>
      <c r="E3295" s="144"/>
      <c r="F3295" s="373"/>
      <c r="I3295" s="70"/>
    </row>
    <row r="3296" spans="3:9" s="46" customFormat="1" x14ac:dyDescent="0.2">
      <c r="C3296" s="144"/>
      <c r="D3296" s="144"/>
      <c r="E3296" s="144"/>
      <c r="F3296" s="373"/>
      <c r="I3296" s="70"/>
    </row>
    <row r="3297" spans="3:9" s="46" customFormat="1" x14ac:dyDescent="0.2">
      <c r="C3297" s="144"/>
      <c r="D3297" s="144"/>
      <c r="E3297" s="144"/>
      <c r="F3297" s="373"/>
      <c r="I3297" s="70"/>
    </row>
    <row r="3298" spans="3:9" s="46" customFormat="1" x14ac:dyDescent="0.2">
      <c r="C3298" s="144"/>
      <c r="D3298" s="144"/>
      <c r="E3298" s="144"/>
      <c r="F3298" s="373"/>
      <c r="I3298" s="70"/>
    </row>
    <row r="3299" spans="3:9" s="46" customFormat="1" x14ac:dyDescent="0.2">
      <c r="C3299" s="144"/>
      <c r="D3299" s="144"/>
      <c r="E3299" s="144"/>
      <c r="F3299" s="373"/>
      <c r="I3299" s="70"/>
    </row>
    <row r="3300" spans="3:9" s="46" customFormat="1" x14ac:dyDescent="0.2">
      <c r="C3300" s="144"/>
      <c r="D3300" s="144"/>
      <c r="E3300" s="144"/>
      <c r="F3300" s="373"/>
      <c r="I3300" s="70"/>
    </row>
    <row r="3301" spans="3:9" s="46" customFormat="1" x14ac:dyDescent="0.2">
      <c r="C3301" s="144"/>
      <c r="D3301" s="144"/>
      <c r="E3301" s="144"/>
      <c r="F3301" s="373"/>
      <c r="I3301" s="70"/>
    </row>
    <row r="3302" spans="3:9" s="46" customFormat="1" x14ac:dyDescent="0.2">
      <c r="C3302" s="144"/>
      <c r="D3302" s="144"/>
      <c r="E3302" s="144"/>
      <c r="F3302" s="373"/>
      <c r="I3302" s="70"/>
    </row>
    <row r="3303" spans="3:9" s="46" customFormat="1" x14ac:dyDescent="0.2">
      <c r="C3303" s="144"/>
      <c r="D3303" s="144"/>
      <c r="E3303" s="144"/>
      <c r="F3303" s="373"/>
      <c r="I3303" s="70"/>
    </row>
    <row r="3304" spans="3:9" s="46" customFormat="1" x14ac:dyDescent="0.2">
      <c r="C3304" s="144"/>
      <c r="D3304" s="144"/>
      <c r="E3304" s="144"/>
      <c r="F3304" s="373"/>
      <c r="I3304" s="70"/>
    </row>
    <row r="3305" spans="3:9" s="46" customFormat="1" x14ac:dyDescent="0.2">
      <c r="C3305" s="144"/>
      <c r="D3305" s="144"/>
      <c r="E3305" s="144"/>
      <c r="F3305" s="373"/>
      <c r="I3305" s="70"/>
    </row>
    <row r="3306" spans="3:9" s="46" customFormat="1" x14ac:dyDescent="0.2">
      <c r="C3306" s="144"/>
      <c r="D3306" s="144"/>
      <c r="E3306" s="144"/>
      <c r="F3306" s="373"/>
      <c r="I3306" s="70"/>
    </row>
    <row r="3307" spans="3:9" s="46" customFormat="1" x14ac:dyDescent="0.2">
      <c r="C3307" s="144"/>
      <c r="D3307" s="144"/>
      <c r="E3307" s="144"/>
      <c r="F3307" s="373"/>
      <c r="I3307" s="70"/>
    </row>
    <row r="3308" spans="3:9" s="46" customFormat="1" x14ac:dyDescent="0.2">
      <c r="C3308" s="144"/>
      <c r="D3308" s="144"/>
      <c r="E3308" s="144"/>
      <c r="F3308" s="373"/>
      <c r="I3308" s="70"/>
    </row>
    <row r="3309" spans="3:9" s="46" customFormat="1" x14ac:dyDescent="0.2">
      <c r="C3309" s="144"/>
      <c r="D3309" s="144"/>
      <c r="E3309" s="144"/>
      <c r="F3309" s="373"/>
      <c r="I3309" s="70"/>
    </row>
    <row r="3310" spans="3:9" s="46" customFormat="1" x14ac:dyDescent="0.2">
      <c r="C3310" s="144"/>
      <c r="D3310" s="144"/>
      <c r="E3310" s="144"/>
      <c r="F3310" s="373"/>
      <c r="I3310" s="70"/>
    </row>
    <row r="3311" spans="3:9" s="46" customFormat="1" x14ac:dyDescent="0.2">
      <c r="C3311" s="144"/>
      <c r="D3311" s="144"/>
      <c r="E3311" s="144"/>
      <c r="F3311" s="373"/>
      <c r="I3311" s="70"/>
    </row>
    <row r="3312" spans="3:9" s="46" customFormat="1" x14ac:dyDescent="0.2">
      <c r="C3312" s="144"/>
      <c r="D3312" s="144"/>
      <c r="E3312" s="144"/>
      <c r="F3312" s="373"/>
      <c r="I3312" s="70"/>
    </row>
    <row r="3313" spans="3:9" s="46" customFormat="1" x14ac:dyDescent="0.2">
      <c r="C3313" s="144"/>
      <c r="D3313" s="144"/>
      <c r="E3313" s="144"/>
      <c r="F3313" s="373"/>
      <c r="I3313" s="70"/>
    </row>
    <row r="3314" spans="3:9" s="46" customFormat="1" x14ac:dyDescent="0.2">
      <c r="C3314" s="144"/>
      <c r="D3314" s="144"/>
      <c r="E3314" s="144"/>
      <c r="F3314" s="373"/>
      <c r="I3314" s="70"/>
    </row>
    <row r="3315" spans="3:9" s="46" customFormat="1" x14ac:dyDescent="0.2">
      <c r="C3315" s="144"/>
      <c r="D3315" s="144"/>
      <c r="E3315" s="144"/>
      <c r="F3315" s="373"/>
      <c r="I3315" s="70"/>
    </row>
    <row r="3316" spans="3:9" s="46" customFormat="1" x14ac:dyDescent="0.2">
      <c r="C3316" s="144"/>
      <c r="D3316" s="144"/>
      <c r="E3316" s="144"/>
      <c r="F3316" s="373"/>
      <c r="I3316" s="70"/>
    </row>
    <row r="3317" spans="3:9" s="46" customFormat="1" x14ac:dyDescent="0.2">
      <c r="C3317" s="144"/>
      <c r="D3317" s="144"/>
      <c r="E3317" s="144"/>
      <c r="F3317" s="373"/>
      <c r="I3317" s="70"/>
    </row>
    <row r="3318" spans="3:9" s="46" customFormat="1" x14ac:dyDescent="0.2">
      <c r="C3318" s="144"/>
      <c r="D3318" s="144"/>
      <c r="E3318" s="144"/>
      <c r="F3318" s="373"/>
      <c r="I3318" s="70"/>
    </row>
    <row r="3319" spans="3:9" s="46" customFormat="1" x14ac:dyDescent="0.2">
      <c r="C3319" s="144"/>
      <c r="D3319" s="144"/>
      <c r="E3319" s="144"/>
      <c r="F3319" s="373"/>
      <c r="I3319" s="70"/>
    </row>
    <row r="3320" spans="3:9" s="46" customFormat="1" x14ac:dyDescent="0.2">
      <c r="C3320" s="144"/>
      <c r="D3320" s="144"/>
      <c r="E3320" s="144"/>
      <c r="F3320" s="373"/>
      <c r="I3320" s="70"/>
    </row>
    <row r="3321" spans="3:9" s="46" customFormat="1" x14ac:dyDescent="0.2">
      <c r="C3321" s="144"/>
      <c r="D3321" s="144"/>
      <c r="E3321" s="144"/>
      <c r="F3321" s="373"/>
      <c r="I3321" s="70"/>
    </row>
    <row r="3322" spans="3:9" s="46" customFormat="1" x14ac:dyDescent="0.2">
      <c r="C3322" s="144"/>
      <c r="D3322" s="144"/>
      <c r="E3322" s="144"/>
      <c r="F3322" s="373"/>
      <c r="I3322" s="70"/>
    </row>
    <row r="3323" spans="3:9" s="46" customFormat="1" x14ac:dyDescent="0.2">
      <c r="C3323" s="144"/>
      <c r="D3323" s="144"/>
      <c r="E3323" s="144"/>
      <c r="F3323" s="373"/>
      <c r="I3323" s="70"/>
    </row>
    <row r="3324" spans="3:9" s="46" customFormat="1" x14ac:dyDescent="0.2">
      <c r="C3324" s="144"/>
      <c r="D3324" s="144"/>
      <c r="E3324" s="144"/>
      <c r="F3324" s="373"/>
      <c r="I3324" s="70"/>
    </row>
    <row r="3325" spans="3:9" s="46" customFormat="1" x14ac:dyDescent="0.2">
      <c r="C3325" s="144"/>
      <c r="D3325" s="144"/>
      <c r="E3325" s="144"/>
      <c r="F3325" s="373"/>
      <c r="I3325" s="70"/>
    </row>
    <row r="3326" spans="3:9" s="46" customFormat="1" x14ac:dyDescent="0.2">
      <c r="C3326" s="144"/>
      <c r="D3326" s="144"/>
      <c r="E3326" s="144"/>
      <c r="F3326" s="373"/>
      <c r="I3326" s="70"/>
    </row>
    <row r="3327" spans="3:9" s="46" customFormat="1" x14ac:dyDescent="0.2">
      <c r="C3327" s="144"/>
      <c r="D3327" s="144"/>
      <c r="E3327" s="144"/>
      <c r="F3327" s="373"/>
      <c r="I3327" s="70"/>
    </row>
    <row r="3328" spans="3:9" s="46" customFormat="1" x14ac:dyDescent="0.2">
      <c r="C3328" s="144"/>
      <c r="D3328" s="144"/>
      <c r="E3328" s="144"/>
      <c r="F3328" s="373"/>
      <c r="I3328" s="70"/>
    </row>
    <row r="3329" spans="3:9" s="46" customFormat="1" x14ac:dyDescent="0.2">
      <c r="C3329" s="144"/>
      <c r="D3329" s="144"/>
      <c r="E3329" s="144"/>
      <c r="F3329" s="373"/>
      <c r="I3329" s="70"/>
    </row>
    <row r="3330" spans="3:9" s="46" customFormat="1" x14ac:dyDescent="0.2">
      <c r="C3330" s="144"/>
      <c r="D3330" s="144"/>
      <c r="E3330" s="144"/>
      <c r="F3330" s="373"/>
      <c r="I3330" s="70"/>
    </row>
    <row r="3331" spans="3:9" s="46" customFormat="1" x14ac:dyDescent="0.2">
      <c r="C3331" s="144"/>
      <c r="D3331" s="144"/>
      <c r="E3331" s="144"/>
      <c r="F3331" s="373"/>
      <c r="I3331" s="70"/>
    </row>
    <row r="3332" spans="3:9" s="46" customFormat="1" x14ac:dyDescent="0.2">
      <c r="C3332" s="144"/>
      <c r="D3332" s="144"/>
      <c r="E3332" s="144"/>
      <c r="F3332" s="373"/>
      <c r="I3332" s="70"/>
    </row>
    <row r="3333" spans="3:9" s="46" customFormat="1" x14ac:dyDescent="0.2">
      <c r="C3333" s="144"/>
      <c r="D3333" s="144"/>
      <c r="E3333" s="144"/>
      <c r="F3333" s="373"/>
      <c r="I3333" s="70"/>
    </row>
    <row r="3334" spans="3:9" s="46" customFormat="1" x14ac:dyDescent="0.2">
      <c r="C3334" s="144"/>
      <c r="D3334" s="144"/>
      <c r="E3334" s="144"/>
      <c r="F3334" s="373"/>
      <c r="I3334" s="70"/>
    </row>
    <row r="3335" spans="3:9" s="46" customFormat="1" x14ac:dyDescent="0.2">
      <c r="C3335" s="144"/>
      <c r="D3335" s="144"/>
      <c r="E3335" s="144"/>
      <c r="F3335" s="373"/>
      <c r="I3335" s="70"/>
    </row>
    <row r="3336" spans="3:9" s="46" customFormat="1" x14ac:dyDescent="0.2">
      <c r="C3336" s="144"/>
      <c r="D3336" s="144"/>
      <c r="E3336" s="144"/>
      <c r="F3336" s="373"/>
      <c r="I3336" s="70"/>
    </row>
    <row r="3337" spans="3:9" s="46" customFormat="1" x14ac:dyDescent="0.2">
      <c r="C3337" s="144"/>
      <c r="D3337" s="144"/>
      <c r="E3337" s="144"/>
      <c r="F3337" s="373"/>
      <c r="I3337" s="70"/>
    </row>
    <row r="3338" spans="3:9" s="46" customFormat="1" x14ac:dyDescent="0.2">
      <c r="C3338" s="144"/>
      <c r="D3338" s="144"/>
      <c r="E3338" s="144"/>
      <c r="F3338" s="373"/>
      <c r="I3338" s="70"/>
    </row>
    <row r="3339" spans="3:9" s="46" customFormat="1" x14ac:dyDescent="0.2">
      <c r="C3339" s="144"/>
      <c r="D3339" s="144"/>
      <c r="E3339" s="144"/>
      <c r="F3339" s="373"/>
      <c r="I3339" s="70"/>
    </row>
    <row r="3340" spans="3:9" s="46" customFormat="1" x14ac:dyDescent="0.2">
      <c r="C3340" s="144"/>
      <c r="D3340" s="144"/>
      <c r="E3340" s="144"/>
      <c r="F3340" s="373"/>
      <c r="I3340" s="70"/>
    </row>
    <row r="3341" spans="3:9" s="46" customFormat="1" x14ac:dyDescent="0.2">
      <c r="C3341" s="144"/>
      <c r="D3341" s="144"/>
      <c r="E3341" s="144"/>
      <c r="F3341" s="373"/>
      <c r="I3341" s="70"/>
    </row>
    <row r="3342" spans="3:9" s="46" customFormat="1" x14ac:dyDescent="0.2">
      <c r="C3342" s="144"/>
      <c r="D3342" s="144"/>
      <c r="E3342" s="144"/>
      <c r="F3342" s="373"/>
      <c r="I3342" s="70"/>
    </row>
    <row r="3343" spans="3:9" s="46" customFormat="1" x14ac:dyDescent="0.2">
      <c r="C3343" s="144"/>
      <c r="D3343" s="144"/>
      <c r="E3343" s="144"/>
      <c r="F3343" s="373"/>
      <c r="I3343" s="70"/>
    </row>
    <row r="3344" spans="3:9" s="46" customFormat="1" x14ac:dyDescent="0.2">
      <c r="C3344" s="144"/>
      <c r="D3344" s="144"/>
      <c r="E3344" s="144"/>
      <c r="F3344" s="373"/>
      <c r="I3344" s="70"/>
    </row>
    <row r="3345" spans="3:9" s="46" customFormat="1" x14ac:dyDescent="0.2">
      <c r="C3345" s="144"/>
      <c r="D3345" s="144"/>
      <c r="E3345" s="144"/>
      <c r="F3345" s="373"/>
      <c r="I3345" s="70"/>
    </row>
    <row r="3346" spans="3:9" s="46" customFormat="1" x14ac:dyDescent="0.2">
      <c r="C3346" s="144"/>
      <c r="D3346" s="144"/>
      <c r="E3346" s="144"/>
      <c r="F3346" s="373"/>
      <c r="I3346" s="70"/>
    </row>
    <row r="3347" spans="3:9" s="46" customFormat="1" x14ac:dyDescent="0.2">
      <c r="C3347" s="144"/>
      <c r="D3347" s="144"/>
      <c r="E3347" s="144"/>
      <c r="F3347" s="373"/>
      <c r="I3347" s="70"/>
    </row>
    <row r="3348" spans="3:9" s="46" customFormat="1" x14ac:dyDescent="0.2">
      <c r="C3348" s="144"/>
      <c r="D3348" s="144"/>
      <c r="E3348" s="144"/>
      <c r="F3348" s="373"/>
      <c r="I3348" s="70"/>
    </row>
    <row r="3349" spans="3:9" s="46" customFormat="1" x14ac:dyDescent="0.2">
      <c r="C3349" s="144"/>
      <c r="D3349" s="144"/>
      <c r="E3349" s="144"/>
      <c r="F3349" s="373"/>
      <c r="I3349" s="70"/>
    </row>
    <row r="3350" spans="3:9" s="46" customFormat="1" x14ac:dyDescent="0.2">
      <c r="C3350" s="144"/>
      <c r="D3350" s="144"/>
      <c r="E3350" s="144"/>
      <c r="F3350" s="373"/>
      <c r="I3350" s="70"/>
    </row>
    <row r="3351" spans="3:9" s="46" customFormat="1" x14ac:dyDescent="0.2">
      <c r="C3351" s="144"/>
      <c r="D3351" s="144"/>
      <c r="E3351" s="144"/>
      <c r="F3351" s="373"/>
      <c r="I3351" s="70"/>
    </row>
    <row r="3352" spans="3:9" s="46" customFormat="1" x14ac:dyDescent="0.2">
      <c r="C3352" s="144"/>
      <c r="D3352" s="144"/>
      <c r="E3352" s="144"/>
      <c r="F3352" s="373"/>
      <c r="I3352" s="70"/>
    </row>
    <row r="3353" spans="3:9" s="46" customFormat="1" x14ac:dyDescent="0.2">
      <c r="C3353" s="144"/>
      <c r="D3353" s="144"/>
      <c r="E3353" s="144"/>
      <c r="F3353" s="373"/>
      <c r="I3353" s="70"/>
    </row>
    <row r="3354" spans="3:9" s="46" customFormat="1" x14ac:dyDescent="0.2">
      <c r="C3354" s="144"/>
      <c r="D3354" s="144"/>
      <c r="E3354" s="144"/>
      <c r="F3354" s="373"/>
      <c r="I3354" s="70"/>
    </row>
    <row r="3355" spans="3:9" s="46" customFormat="1" x14ac:dyDescent="0.2">
      <c r="C3355" s="144"/>
      <c r="D3355" s="144"/>
      <c r="E3355" s="144"/>
      <c r="F3355" s="373"/>
      <c r="I3355" s="70"/>
    </row>
    <row r="3356" spans="3:9" s="46" customFormat="1" x14ac:dyDescent="0.2">
      <c r="C3356" s="144"/>
      <c r="D3356" s="144"/>
      <c r="E3356" s="144"/>
      <c r="F3356" s="373"/>
      <c r="I3356" s="70"/>
    </row>
    <row r="3357" spans="3:9" s="46" customFormat="1" x14ac:dyDescent="0.2">
      <c r="C3357" s="144"/>
      <c r="D3357" s="144"/>
      <c r="E3357" s="144"/>
      <c r="F3357" s="373"/>
      <c r="I3357" s="70"/>
    </row>
    <row r="3358" spans="3:9" s="46" customFormat="1" x14ac:dyDescent="0.2">
      <c r="C3358" s="144"/>
      <c r="D3358" s="144"/>
      <c r="E3358" s="144"/>
      <c r="F3358" s="373"/>
      <c r="I3358" s="70"/>
    </row>
    <row r="3359" spans="3:9" s="46" customFormat="1" x14ac:dyDescent="0.2">
      <c r="C3359" s="144"/>
      <c r="D3359" s="144"/>
      <c r="E3359" s="144"/>
      <c r="F3359" s="373"/>
      <c r="I3359" s="70"/>
    </row>
    <row r="3360" spans="3:9" s="46" customFormat="1" x14ac:dyDescent="0.2">
      <c r="C3360" s="144"/>
      <c r="D3360" s="144"/>
      <c r="E3360" s="144"/>
      <c r="F3360" s="373"/>
      <c r="I3360" s="70"/>
    </row>
    <row r="3361" spans="3:9" s="46" customFormat="1" x14ac:dyDescent="0.2">
      <c r="C3361" s="144"/>
      <c r="D3361" s="144"/>
      <c r="E3361" s="144"/>
      <c r="F3361" s="373"/>
      <c r="I3361" s="70"/>
    </row>
    <row r="3362" spans="3:9" s="46" customFormat="1" x14ac:dyDescent="0.2">
      <c r="C3362" s="144"/>
      <c r="D3362" s="144"/>
      <c r="E3362" s="144"/>
      <c r="F3362" s="373"/>
      <c r="I3362" s="70"/>
    </row>
    <row r="3363" spans="3:9" s="46" customFormat="1" x14ac:dyDescent="0.2">
      <c r="C3363" s="144"/>
      <c r="D3363" s="144"/>
      <c r="E3363" s="144"/>
      <c r="F3363" s="373"/>
      <c r="I3363" s="70"/>
    </row>
    <row r="3364" spans="3:9" s="46" customFormat="1" x14ac:dyDescent="0.2">
      <c r="C3364" s="144"/>
      <c r="D3364" s="144"/>
      <c r="E3364" s="144"/>
      <c r="F3364" s="373"/>
      <c r="I3364" s="70"/>
    </row>
    <row r="3365" spans="3:9" s="46" customFormat="1" x14ac:dyDescent="0.2">
      <c r="C3365" s="144"/>
      <c r="D3365" s="144"/>
      <c r="E3365" s="144"/>
      <c r="F3365" s="373"/>
      <c r="I3365" s="70"/>
    </row>
    <row r="3366" spans="3:9" s="46" customFormat="1" x14ac:dyDescent="0.2">
      <c r="C3366" s="144"/>
      <c r="D3366" s="144"/>
      <c r="E3366" s="144"/>
      <c r="F3366" s="373"/>
      <c r="I3366" s="70"/>
    </row>
    <row r="3367" spans="3:9" s="46" customFormat="1" x14ac:dyDescent="0.2">
      <c r="C3367" s="144"/>
      <c r="D3367" s="144"/>
      <c r="E3367" s="144"/>
      <c r="F3367" s="373"/>
      <c r="I3367" s="70"/>
    </row>
    <row r="3368" spans="3:9" s="46" customFormat="1" x14ac:dyDescent="0.2">
      <c r="C3368" s="144"/>
      <c r="D3368" s="144"/>
      <c r="E3368" s="144"/>
      <c r="F3368" s="373"/>
      <c r="I3368" s="70"/>
    </row>
    <row r="3369" spans="3:9" s="46" customFormat="1" x14ac:dyDescent="0.2">
      <c r="C3369" s="144"/>
      <c r="D3369" s="144"/>
      <c r="E3369" s="144"/>
      <c r="F3369" s="373"/>
      <c r="I3369" s="70"/>
    </row>
    <row r="3370" spans="3:9" s="46" customFormat="1" x14ac:dyDescent="0.2">
      <c r="C3370" s="144"/>
      <c r="D3370" s="144"/>
      <c r="E3370" s="144"/>
      <c r="F3370" s="373"/>
      <c r="I3370" s="70"/>
    </row>
    <row r="3371" spans="3:9" s="46" customFormat="1" x14ac:dyDescent="0.2">
      <c r="C3371" s="144"/>
      <c r="D3371" s="144"/>
      <c r="E3371" s="144"/>
      <c r="F3371" s="373"/>
      <c r="I3371" s="70"/>
    </row>
    <row r="3372" spans="3:9" s="46" customFormat="1" x14ac:dyDescent="0.2">
      <c r="C3372" s="144"/>
      <c r="D3372" s="144"/>
      <c r="E3372" s="144"/>
      <c r="F3372" s="373"/>
      <c r="I3372" s="70"/>
    </row>
    <row r="3373" spans="3:9" s="46" customFormat="1" x14ac:dyDescent="0.2">
      <c r="C3373" s="144"/>
      <c r="D3373" s="144"/>
      <c r="E3373" s="144"/>
      <c r="F3373" s="373"/>
      <c r="I3373" s="70"/>
    </row>
    <row r="3374" spans="3:9" s="46" customFormat="1" x14ac:dyDescent="0.2">
      <c r="C3374" s="144"/>
      <c r="D3374" s="144"/>
      <c r="E3374" s="144"/>
      <c r="F3374" s="373"/>
      <c r="I3374" s="70"/>
    </row>
    <row r="3375" spans="3:9" s="46" customFormat="1" x14ac:dyDescent="0.2">
      <c r="C3375" s="144"/>
      <c r="D3375" s="144"/>
      <c r="E3375" s="144"/>
      <c r="F3375" s="373"/>
      <c r="I3375" s="70"/>
    </row>
    <row r="3376" spans="3:9" s="46" customFormat="1" x14ac:dyDescent="0.2">
      <c r="C3376" s="144"/>
      <c r="D3376" s="144"/>
      <c r="E3376" s="144"/>
      <c r="F3376" s="373"/>
      <c r="I3376" s="70"/>
    </row>
    <row r="3377" spans="3:9" s="46" customFormat="1" x14ac:dyDescent="0.2">
      <c r="C3377" s="144"/>
      <c r="D3377" s="144"/>
      <c r="E3377" s="144"/>
      <c r="F3377" s="373"/>
      <c r="I3377" s="70"/>
    </row>
    <row r="3378" spans="3:9" s="46" customFormat="1" x14ac:dyDescent="0.2">
      <c r="C3378" s="144"/>
      <c r="D3378" s="144"/>
      <c r="E3378" s="144"/>
      <c r="F3378" s="373"/>
      <c r="I3378" s="70"/>
    </row>
    <row r="3379" spans="3:9" s="46" customFormat="1" x14ac:dyDescent="0.2">
      <c r="C3379" s="144"/>
      <c r="D3379" s="144"/>
      <c r="E3379" s="144"/>
      <c r="F3379" s="373"/>
      <c r="I3379" s="70"/>
    </row>
    <row r="3380" spans="3:9" s="46" customFormat="1" x14ac:dyDescent="0.2">
      <c r="C3380" s="144"/>
      <c r="D3380" s="144"/>
      <c r="E3380" s="144"/>
      <c r="F3380" s="373"/>
      <c r="I3380" s="70"/>
    </row>
    <row r="3381" spans="3:9" s="46" customFormat="1" x14ac:dyDescent="0.2">
      <c r="C3381" s="144"/>
      <c r="D3381" s="144"/>
      <c r="E3381" s="144"/>
      <c r="F3381" s="373"/>
      <c r="I3381" s="70"/>
    </row>
    <row r="3382" spans="3:9" s="46" customFormat="1" x14ac:dyDescent="0.2">
      <c r="C3382" s="144"/>
      <c r="D3382" s="144"/>
      <c r="E3382" s="144"/>
      <c r="F3382" s="373"/>
      <c r="I3382" s="70"/>
    </row>
    <row r="3383" spans="3:9" s="46" customFormat="1" x14ac:dyDescent="0.2">
      <c r="C3383" s="144"/>
      <c r="D3383" s="144"/>
      <c r="E3383" s="144"/>
      <c r="F3383" s="373"/>
      <c r="I3383" s="70"/>
    </row>
    <row r="3384" spans="3:9" s="46" customFormat="1" x14ac:dyDescent="0.2">
      <c r="C3384" s="144"/>
      <c r="D3384" s="144"/>
      <c r="E3384" s="144"/>
      <c r="F3384" s="373"/>
      <c r="I3384" s="70"/>
    </row>
    <row r="3385" spans="3:9" s="46" customFormat="1" x14ac:dyDescent="0.2">
      <c r="C3385" s="144"/>
      <c r="D3385" s="144"/>
      <c r="E3385" s="144"/>
      <c r="F3385" s="373"/>
      <c r="I3385" s="70"/>
    </row>
    <row r="3386" spans="3:9" s="46" customFormat="1" x14ac:dyDescent="0.2">
      <c r="C3386" s="144"/>
      <c r="D3386" s="144"/>
      <c r="E3386" s="144"/>
      <c r="F3386" s="373"/>
      <c r="I3386" s="70"/>
    </row>
    <row r="3387" spans="3:9" s="46" customFormat="1" x14ac:dyDescent="0.2">
      <c r="C3387" s="144"/>
      <c r="D3387" s="144"/>
      <c r="E3387" s="144"/>
      <c r="F3387" s="373"/>
      <c r="I3387" s="70"/>
    </row>
    <row r="3388" spans="3:9" s="46" customFormat="1" x14ac:dyDescent="0.2">
      <c r="C3388" s="144"/>
      <c r="D3388" s="144"/>
      <c r="E3388" s="144"/>
      <c r="F3388" s="373"/>
      <c r="I3388" s="70"/>
    </row>
    <row r="3389" spans="3:9" s="46" customFormat="1" x14ac:dyDescent="0.2">
      <c r="C3389" s="144"/>
      <c r="D3389" s="144"/>
      <c r="E3389" s="144"/>
      <c r="F3389" s="373"/>
      <c r="I3389" s="70"/>
    </row>
    <row r="3390" spans="3:9" s="46" customFormat="1" x14ac:dyDescent="0.2">
      <c r="C3390" s="144"/>
      <c r="D3390" s="144"/>
      <c r="E3390" s="144"/>
      <c r="F3390" s="373"/>
      <c r="I3390" s="70"/>
    </row>
    <row r="3391" spans="3:9" s="46" customFormat="1" x14ac:dyDescent="0.2">
      <c r="C3391" s="144"/>
      <c r="D3391" s="144"/>
      <c r="E3391" s="144"/>
      <c r="F3391" s="373"/>
      <c r="I3391" s="70"/>
    </row>
    <row r="3392" spans="3:9" s="46" customFormat="1" x14ac:dyDescent="0.2">
      <c r="C3392" s="144"/>
      <c r="D3392" s="144"/>
      <c r="E3392" s="144"/>
      <c r="F3392" s="373"/>
      <c r="I3392" s="70"/>
    </row>
    <row r="3393" spans="3:9" s="46" customFormat="1" x14ac:dyDescent="0.2">
      <c r="C3393" s="144"/>
      <c r="D3393" s="144"/>
      <c r="E3393" s="144"/>
      <c r="F3393" s="373"/>
      <c r="I3393" s="70"/>
    </row>
    <row r="3394" spans="3:9" s="46" customFormat="1" x14ac:dyDescent="0.2">
      <c r="C3394" s="144"/>
      <c r="D3394" s="144"/>
      <c r="E3394" s="144"/>
      <c r="F3394" s="373"/>
      <c r="I3394" s="70"/>
    </row>
    <row r="3395" spans="3:9" s="46" customFormat="1" x14ac:dyDescent="0.2">
      <c r="C3395" s="144"/>
      <c r="D3395" s="144"/>
      <c r="E3395" s="144"/>
      <c r="F3395" s="373"/>
      <c r="I3395" s="70"/>
    </row>
    <row r="3396" spans="3:9" s="46" customFormat="1" x14ac:dyDescent="0.2">
      <c r="C3396" s="144"/>
      <c r="D3396" s="144"/>
      <c r="E3396" s="144"/>
      <c r="F3396" s="373"/>
      <c r="I3396" s="70"/>
    </row>
    <row r="3397" spans="3:9" s="46" customFormat="1" x14ac:dyDescent="0.2">
      <c r="C3397" s="144"/>
      <c r="D3397" s="144"/>
      <c r="E3397" s="144"/>
      <c r="F3397" s="373"/>
      <c r="I3397" s="70"/>
    </row>
    <row r="3398" spans="3:9" s="46" customFormat="1" x14ac:dyDescent="0.2">
      <c r="C3398" s="144"/>
      <c r="D3398" s="144"/>
      <c r="E3398" s="144"/>
      <c r="F3398" s="373"/>
      <c r="I3398" s="70"/>
    </row>
    <row r="3399" spans="3:9" s="46" customFormat="1" x14ac:dyDescent="0.2">
      <c r="C3399" s="144"/>
      <c r="D3399" s="144"/>
      <c r="E3399" s="144"/>
      <c r="F3399" s="373"/>
      <c r="I3399" s="70"/>
    </row>
    <row r="3400" spans="3:9" s="46" customFormat="1" x14ac:dyDescent="0.2">
      <c r="C3400" s="144"/>
      <c r="D3400" s="144"/>
      <c r="E3400" s="144"/>
      <c r="F3400" s="373"/>
      <c r="I3400" s="70"/>
    </row>
    <row r="3401" spans="3:9" s="46" customFormat="1" x14ac:dyDescent="0.2">
      <c r="C3401" s="144"/>
      <c r="D3401" s="144"/>
      <c r="E3401" s="144"/>
      <c r="F3401" s="373"/>
      <c r="I3401" s="70"/>
    </row>
    <row r="3402" spans="3:9" s="46" customFormat="1" x14ac:dyDescent="0.2">
      <c r="C3402" s="144"/>
      <c r="D3402" s="144"/>
      <c r="E3402" s="144"/>
      <c r="F3402" s="373"/>
      <c r="I3402" s="70"/>
    </row>
    <row r="3403" spans="3:9" s="46" customFormat="1" x14ac:dyDescent="0.2">
      <c r="C3403" s="144"/>
      <c r="D3403" s="144"/>
      <c r="E3403" s="144"/>
      <c r="F3403" s="373"/>
      <c r="I3403" s="70"/>
    </row>
    <row r="3404" spans="3:9" s="46" customFormat="1" x14ac:dyDescent="0.2">
      <c r="C3404" s="144"/>
      <c r="D3404" s="144"/>
      <c r="E3404" s="144"/>
      <c r="F3404" s="373"/>
      <c r="I3404" s="70"/>
    </row>
    <row r="3405" spans="3:9" s="46" customFormat="1" x14ac:dyDescent="0.2">
      <c r="C3405" s="144"/>
      <c r="D3405" s="144"/>
      <c r="E3405" s="144"/>
      <c r="F3405" s="373"/>
      <c r="I3405" s="70"/>
    </row>
    <row r="3406" spans="3:9" s="46" customFormat="1" x14ac:dyDescent="0.2">
      <c r="C3406" s="144"/>
      <c r="D3406" s="144"/>
      <c r="E3406" s="144"/>
      <c r="F3406" s="373"/>
      <c r="I3406" s="70"/>
    </row>
    <row r="3407" spans="3:9" s="46" customFormat="1" x14ac:dyDescent="0.2">
      <c r="C3407" s="144"/>
      <c r="D3407" s="144"/>
      <c r="E3407" s="144"/>
      <c r="F3407" s="373"/>
      <c r="I3407" s="70"/>
    </row>
    <row r="3408" spans="3:9" s="46" customFormat="1" x14ac:dyDescent="0.2">
      <c r="C3408" s="144"/>
      <c r="D3408" s="144"/>
      <c r="E3408" s="144"/>
      <c r="F3408" s="373"/>
      <c r="I3408" s="70"/>
    </row>
    <row r="3409" spans="3:9" s="46" customFormat="1" x14ac:dyDescent="0.2">
      <c r="C3409" s="144"/>
      <c r="D3409" s="144"/>
      <c r="E3409" s="144"/>
      <c r="F3409" s="373"/>
      <c r="I3409" s="70"/>
    </row>
    <row r="3410" spans="3:9" s="46" customFormat="1" x14ac:dyDescent="0.2">
      <c r="C3410" s="144"/>
      <c r="D3410" s="144"/>
      <c r="E3410" s="144"/>
      <c r="F3410" s="373"/>
      <c r="I3410" s="70"/>
    </row>
    <row r="3411" spans="3:9" s="46" customFormat="1" x14ac:dyDescent="0.2">
      <c r="C3411" s="144"/>
      <c r="D3411" s="144"/>
      <c r="E3411" s="144"/>
      <c r="F3411" s="373"/>
      <c r="I3411" s="70"/>
    </row>
    <row r="3412" spans="3:9" s="46" customFormat="1" x14ac:dyDescent="0.2">
      <c r="C3412" s="144"/>
      <c r="D3412" s="144"/>
      <c r="E3412" s="144"/>
      <c r="F3412" s="373"/>
      <c r="I3412" s="70"/>
    </row>
    <row r="3413" spans="3:9" s="46" customFormat="1" x14ac:dyDescent="0.2">
      <c r="C3413" s="144"/>
      <c r="D3413" s="144"/>
      <c r="E3413" s="144"/>
      <c r="F3413" s="373"/>
      <c r="I3413" s="70"/>
    </row>
    <row r="3414" spans="3:9" s="46" customFormat="1" x14ac:dyDescent="0.2">
      <c r="C3414" s="144"/>
      <c r="D3414" s="144"/>
      <c r="E3414" s="144"/>
      <c r="F3414" s="373"/>
      <c r="I3414" s="70"/>
    </row>
    <row r="3415" spans="3:9" s="46" customFormat="1" x14ac:dyDescent="0.2">
      <c r="C3415" s="144"/>
      <c r="D3415" s="144"/>
      <c r="E3415" s="144"/>
      <c r="F3415" s="373"/>
      <c r="I3415" s="70"/>
    </row>
    <row r="3416" spans="3:9" s="46" customFormat="1" x14ac:dyDescent="0.2">
      <c r="C3416" s="144"/>
      <c r="D3416" s="144"/>
      <c r="E3416" s="144"/>
      <c r="F3416" s="373"/>
      <c r="I3416" s="70"/>
    </row>
    <row r="3417" spans="3:9" s="46" customFormat="1" x14ac:dyDescent="0.2">
      <c r="C3417" s="144"/>
      <c r="D3417" s="144"/>
      <c r="E3417" s="144"/>
      <c r="F3417" s="373"/>
      <c r="I3417" s="70"/>
    </row>
    <row r="3418" spans="3:9" s="46" customFormat="1" x14ac:dyDescent="0.2">
      <c r="C3418" s="144"/>
      <c r="D3418" s="144"/>
      <c r="E3418" s="144"/>
      <c r="F3418" s="373"/>
      <c r="I3418" s="70"/>
    </row>
    <row r="3419" spans="3:9" s="46" customFormat="1" x14ac:dyDescent="0.2">
      <c r="C3419" s="144"/>
      <c r="D3419" s="144"/>
      <c r="E3419" s="144"/>
      <c r="F3419" s="373"/>
      <c r="I3419" s="70"/>
    </row>
    <row r="3420" spans="3:9" s="46" customFormat="1" x14ac:dyDescent="0.2">
      <c r="C3420" s="144"/>
      <c r="D3420" s="144"/>
      <c r="E3420" s="144"/>
      <c r="F3420" s="373"/>
      <c r="I3420" s="70"/>
    </row>
    <row r="3421" spans="3:9" s="46" customFormat="1" x14ac:dyDescent="0.2">
      <c r="C3421" s="144"/>
      <c r="D3421" s="144"/>
      <c r="E3421" s="144"/>
      <c r="F3421" s="373"/>
      <c r="I3421" s="70"/>
    </row>
    <row r="3422" spans="3:9" s="46" customFormat="1" x14ac:dyDescent="0.2">
      <c r="C3422" s="144"/>
      <c r="D3422" s="144"/>
      <c r="E3422" s="144"/>
      <c r="F3422" s="373"/>
      <c r="I3422" s="70"/>
    </row>
    <row r="3423" spans="3:9" s="46" customFormat="1" x14ac:dyDescent="0.2">
      <c r="C3423" s="144"/>
      <c r="D3423" s="144"/>
      <c r="E3423" s="144"/>
      <c r="F3423" s="373"/>
      <c r="I3423" s="70"/>
    </row>
    <row r="3424" spans="3:9" s="46" customFormat="1" x14ac:dyDescent="0.2">
      <c r="C3424" s="144"/>
      <c r="D3424" s="144"/>
      <c r="E3424" s="144"/>
      <c r="F3424" s="373"/>
      <c r="I3424" s="70"/>
    </row>
    <row r="3425" spans="3:9" s="46" customFormat="1" x14ac:dyDescent="0.2">
      <c r="C3425" s="144"/>
      <c r="D3425" s="144"/>
      <c r="E3425" s="144"/>
      <c r="F3425" s="373"/>
      <c r="I3425" s="70"/>
    </row>
    <row r="3426" spans="3:9" s="46" customFormat="1" x14ac:dyDescent="0.2">
      <c r="C3426" s="144"/>
      <c r="D3426" s="144"/>
      <c r="E3426" s="144"/>
      <c r="F3426" s="373"/>
      <c r="I3426" s="70"/>
    </row>
    <row r="3427" spans="3:9" s="46" customFormat="1" x14ac:dyDescent="0.2">
      <c r="C3427" s="144"/>
      <c r="D3427" s="144"/>
      <c r="E3427" s="144"/>
      <c r="F3427" s="373"/>
      <c r="I3427" s="70"/>
    </row>
    <row r="3428" spans="3:9" s="46" customFormat="1" x14ac:dyDescent="0.2">
      <c r="C3428" s="144"/>
      <c r="D3428" s="144"/>
      <c r="E3428" s="144"/>
      <c r="F3428" s="373"/>
      <c r="I3428" s="70"/>
    </row>
    <row r="3429" spans="3:9" s="46" customFormat="1" x14ac:dyDescent="0.2">
      <c r="C3429" s="144"/>
      <c r="D3429" s="144"/>
      <c r="E3429" s="144"/>
      <c r="F3429" s="373"/>
      <c r="I3429" s="70"/>
    </row>
    <row r="3430" spans="3:9" s="46" customFormat="1" x14ac:dyDescent="0.2">
      <c r="C3430" s="144"/>
      <c r="D3430" s="144"/>
      <c r="E3430" s="144"/>
      <c r="F3430" s="373"/>
      <c r="I3430" s="70"/>
    </row>
    <row r="3431" spans="3:9" s="46" customFormat="1" x14ac:dyDescent="0.2">
      <c r="C3431" s="144"/>
      <c r="D3431" s="144"/>
      <c r="E3431" s="144"/>
      <c r="F3431" s="373"/>
      <c r="I3431" s="70"/>
    </row>
    <row r="3432" spans="3:9" s="46" customFormat="1" x14ac:dyDescent="0.2">
      <c r="C3432" s="144"/>
      <c r="D3432" s="144"/>
      <c r="E3432" s="144"/>
      <c r="F3432" s="373"/>
      <c r="I3432" s="70"/>
    </row>
    <row r="3433" spans="3:9" s="46" customFormat="1" x14ac:dyDescent="0.2">
      <c r="C3433" s="144"/>
      <c r="D3433" s="144"/>
      <c r="E3433" s="144"/>
      <c r="F3433" s="373"/>
      <c r="I3433" s="70"/>
    </row>
    <row r="3434" spans="3:9" s="46" customFormat="1" x14ac:dyDescent="0.2">
      <c r="C3434" s="144"/>
      <c r="D3434" s="144"/>
      <c r="E3434" s="144"/>
      <c r="F3434" s="373"/>
      <c r="I3434" s="70"/>
    </row>
    <row r="3435" spans="3:9" s="46" customFormat="1" x14ac:dyDescent="0.2">
      <c r="C3435" s="144"/>
      <c r="D3435" s="144"/>
      <c r="E3435" s="144"/>
      <c r="F3435" s="373"/>
      <c r="I3435" s="70"/>
    </row>
    <row r="3436" spans="3:9" s="46" customFormat="1" x14ac:dyDescent="0.2">
      <c r="C3436" s="144"/>
      <c r="D3436" s="144"/>
      <c r="E3436" s="144"/>
      <c r="F3436" s="373"/>
      <c r="I3436" s="70"/>
    </row>
    <row r="3437" spans="3:9" s="46" customFormat="1" x14ac:dyDescent="0.2">
      <c r="C3437" s="144"/>
      <c r="D3437" s="144"/>
      <c r="E3437" s="144"/>
      <c r="F3437" s="373"/>
      <c r="I3437" s="70"/>
    </row>
    <row r="3438" spans="3:9" s="46" customFormat="1" x14ac:dyDescent="0.2">
      <c r="C3438" s="144"/>
      <c r="D3438" s="144"/>
      <c r="E3438" s="144"/>
      <c r="F3438" s="373"/>
      <c r="I3438" s="70"/>
    </row>
    <row r="3439" spans="3:9" s="46" customFormat="1" x14ac:dyDescent="0.2">
      <c r="C3439" s="144"/>
      <c r="D3439" s="144"/>
      <c r="E3439" s="144"/>
      <c r="F3439" s="373"/>
      <c r="I3439" s="70"/>
    </row>
    <row r="3440" spans="3:9" s="46" customFormat="1" x14ac:dyDescent="0.2">
      <c r="C3440" s="144"/>
      <c r="D3440" s="144"/>
      <c r="E3440" s="144"/>
      <c r="F3440" s="373"/>
      <c r="I3440" s="70"/>
    </row>
    <row r="3441" spans="3:9" s="46" customFormat="1" x14ac:dyDescent="0.2">
      <c r="C3441" s="144"/>
      <c r="D3441" s="144"/>
      <c r="E3441" s="144"/>
      <c r="F3441" s="373"/>
      <c r="I3441" s="70"/>
    </row>
    <row r="3442" spans="3:9" s="46" customFormat="1" x14ac:dyDescent="0.2">
      <c r="C3442" s="144"/>
      <c r="D3442" s="144"/>
      <c r="E3442" s="144"/>
      <c r="F3442" s="373"/>
      <c r="I3442" s="70"/>
    </row>
    <row r="3443" spans="3:9" s="46" customFormat="1" x14ac:dyDescent="0.2">
      <c r="C3443" s="144"/>
      <c r="D3443" s="144"/>
      <c r="E3443" s="144"/>
      <c r="F3443" s="373"/>
      <c r="I3443" s="70"/>
    </row>
    <row r="3444" spans="3:9" s="46" customFormat="1" x14ac:dyDescent="0.2">
      <c r="C3444" s="144"/>
      <c r="D3444" s="144"/>
      <c r="E3444" s="144"/>
      <c r="F3444" s="373"/>
      <c r="I3444" s="70"/>
    </row>
    <row r="3445" spans="3:9" s="46" customFormat="1" x14ac:dyDescent="0.2">
      <c r="C3445" s="144"/>
      <c r="D3445" s="144"/>
      <c r="E3445" s="144"/>
      <c r="F3445" s="373"/>
      <c r="I3445" s="70"/>
    </row>
    <row r="3446" spans="3:9" s="46" customFormat="1" x14ac:dyDescent="0.2">
      <c r="C3446" s="144"/>
      <c r="D3446" s="144"/>
      <c r="E3446" s="144"/>
      <c r="F3446" s="373"/>
      <c r="I3446" s="70"/>
    </row>
    <row r="3447" spans="3:9" s="46" customFormat="1" x14ac:dyDescent="0.2">
      <c r="C3447" s="144"/>
      <c r="D3447" s="144"/>
      <c r="E3447" s="144"/>
      <c r="F3447" s="373"/>
      <c r="I3447" s="70"/>
    </row>
    <row r="3448" spans="3:9" s="46" customFormat="1" x14ac:dyDescent="0.2">
      <c r="C3448" s="144"/>
      <c r="D3448" s="144"/>
      <c r="E3448" s="144"/>
      <c r="F3448" s="373"/>
      <c r="I3448" s="70"/>
    </row>
    <row r="3449" spans="3:9" s="46" customFormat="1" x14ac:dyDescent="0.2">
      <c r="C3449" s="144"/>
      <c r="D3449" s="144"/>
      <c r="E3449" s="144"/>
      <c r="F3449" s="373"/>
      <c r="I3449" s="70"/>
    </row>
    <row r="3450" spans="3:9" s="46" customFormat="1" x14ac:dyDescent="0.2">
      <c r="C3450" s="144"/>
      <c r="D3450" s="144"/>
      <c r="E3450" s="144"/>
      <c r="F3450" s="373"/>
      <c r="I3450" s="70"/>
    </row>
    <row r="3451" spans="3:9" s="46" customFormat="1" x14ac:dyDescent="0.2">
      <c r="C3451" s="144"/>
      <c r="D3451" s="144"/>
      <c r="E3451" s="144"/>
      <c r="F3451" s="373"/>
      <c r="I3451" s="70"/>
    </row>
    <row r="3452" spans="3:9" s="46" customFormat="1" x14ac:dyDescent="0.2">
      <c r="C3452" s="144"/>
      <c r="D3452" s="144"/>
      <c r="E3452" s="144"/>
      <c r="F3452" s="373"/>
      <c r="I3452" s="70"/>
    </row>
    <row r="3453" spans="3:9" s="46" customFormat="1" x14ac:dyDescent="0.2">
      <c r="C3453" s="144"/>
      <c r="D3453" s="144"/>
      <c r="E3453" s="144"/>
      <c r="F3453" s="373"/>
      <c r="I3453" s="70"/>
    </row>
    <row r="3454" spans="3:9" s="46" customFormat="1" x14ac:dyDescent="0.2">
      <c r="C3454" s="144"/>
      <c r="D3454" s="144"/>
      <c r="E3454" s="144"/>
      <c r="F3454" s="373"/>
      <c r="I3454" s="70"/>
    </row>
    <row r="3455" spans="3:9" s="46" customFormat="1" x14ac:dyDescent="0.2">
      <c r="C3455" s="144"/>
      <c r="D3455" s="144"/>
      <c r="E3455" s="144"/>
      <c r="F3455" s="373"/>
      <c r="I3455" s="70"/>
    </row>
    <row r="3456" spans="3:9" s="46" customFormat="1" x14ac:dyDescent="0.2">
      <c r="C3456" s="144"/>
      <c r="D3456" s="144"/>
      <c r="E3456" s="144"/>
      <c r="F3456" s="373"/>
      <c r="I3456" s="70"/>
    </row>
    <row r="3457" spans="3:9" s="46" customFormat="1" x14ac:dyDescent="0.2">
      <c r="C3457" s="144"/>
      <c r="D3457" s="144"/>
      <c r="E3457" s="144"/>
      <c r="F3457" s="373"/>
      <c r="I3457" s="70"/>
    </row>
    <row r="3458" spans="3:9" s="46" customFormat="1" x14ac:dyDescent="0.2">
      <c r="C3458" s="144"/>
      <c r="D3458" s="144"/>
      <c r="E3458" s="144"/>
      <c r="F3458" s="373"/>
      <c r="I3458" s="70"/>
    </row>
    <row r="3459" spans="3:9" s="46" customFormat="1" x14ac:dyDescent="0.2">
      <c r="C3459" s="144"/>
      <c r="D3459" s="144"/>
      <c r="E3459" s="144"/>
      <c r="F3459" s="373"/>
      <c r="I3459" s="70"/>
    </row>
    <row r="3460" spans="3:9" s="46" customFormat="1" x14ac:dyDescent="0.2">
      <c r="C3460" s="144"/>
      <c r="D3460" s="144"/>
      <c r="E3460" s="144"/>
      <c r="F3460" s="373"/>
      <c r="I3460" s="70"/>
    </row>
    <row r="3461" spans="3:9" s="46" customFormat="1" x14ac:dyDescent="0.2">
      <c r="C3461" s="144"/>
      <c r="D3461" s="144"/>
      <c r="E3461" s="144"/>
      <c r="F3461" s="373"/>
      <c r="I3461" s="70"/>
    </row>
    <row r="3462" spans="3:9" s="46" customFormat="1" x14ac:dyDescent="0.2">
      <c r="C3462" s="144"/>
      <c r="D3462" s="144"/>
      <c r="E3462" s="144"/>
      <c r="F3462" s="373"/>
      <c r="I3462" s="70"/>
    </row>
    <row r="3463" spans="3:9" s="46" customFormat="1" x14ac:dyDescent="0.2">
      <c r="C3463" s="144"/>
      <c r="D3463" s="144"/>
      <c r="E3463" s="144"/>
      <c r="F3463" s="373"/>
      <c r="I3463" s="70"/>
    </row>
    <row r="3464" spans="3:9" s="46" customFormat="1" x14ac:dyDescent="0.2">
      <c r="C3464" s="144"/>
      <c r="D3464" s="144"/>
      <c r="E3464" s="144"/>
      <c r="F3464" s="373"/>
      <c r="I3464" s="70"/>
    </row>
    <row r="3465" spans="3:9" s="46" customFormat="1" x14ac:dyDescent="0.2">
      <c r="C3465" s="144"/>
      <c r="D3465" s="144"/>
      <c r="E3465" s="144"/>
      <c r="F3465" s="373"/>
      <c r="I3465" s="70"/>
    </row>
    <row r="3466" spans="3:9" s="46" customFormat="1" x14ac:dyDescent="0.2">
      <c r="C3466" s="144"/>
      <c r="D3466" s="144"/>
      <c r="E3466" s="144"/>
      <c r="F3466" s="373"/>
      <c r="I3466" s="70"/>
    </row>
    <row r="3467" spans="3:9" s="46" customFormat="1" x14ac:dyDescent="0.2">
      <c r="C3467" s="144"/>
      <c r="D3467" s="144"/>
      <c r="E3467" s="144"/>
      <c r="F3467" s="373"/>
      <c r="I3467" s="70"/>
    </row>
    <row r="3468" spans="3:9" s="46" customFormat="1" x14ac:dyDescent="0.2">
      <c r="C3468" s="144"/>
      <c r="D3468" s="144"/>
      <c r="E3468" s="144"/>
      <c r="F3468" s="373"/>
      <c r="I3468" s="70"/>
    </row>
    <row r="3469" spans="3:9" s="46" customFormat="1" x14ac:dyDescent="0.2">
      <c r="C3469" s="144"/>
      <c r="D3469" s="144"/>
      <c r="E3469" s="144"/>
      <c r="F3469" s="373"/>
      <c r="I3469" s="70"/>
    </row>
    <row r="3470" spans="3:9" s="46" customFormat="1" x14ac:dyDescent="0.2">
      <c r="C3470" s="144"/>
      <c r="D3470" s="144"/>
      <c r="E3470" s="144"/>
      <c r="F3470" s="373"/>
      <c r="I3470" s="70"/>
    </row>
    <row r="3471" spans="3:9" s="46" customFormat="1" x14ac:dyDescent="0.2">
      <c r="C3471" s="144"/>
      <c r="D3471" s="144"/>
      <c r="E3471" s="144"/>
      <c r="F3471" s="373"/>
      <c r="I3471" s="70"/>
    </row>
    <row r="3472" spans="3:9" s="46" customFormat="1" x14ac:dyDescent="0.2">
      <c r="C3472" s="144"/>
      <c r="D3472" s="144"/>
      <c r="E3472" s="144"/>
      <c r="F3472" s="373"/>
      <c r="I3472" s="70"/>
    </row>
    <row r="3473" spans="3:9" s="46" customFormat="1" x14ac:dyDescent="0.2">
      <c r="C3473" s="144"/>
      <c r="D3473" s="144"/>
      <c r="E3473" s="144"/>
      <c r="F3473" s="373"/>
      <c r="I3473" s="70"/>
    </row>
    <row r="3474" spans="3:9" s="46" customFormat="1" x14ac:dyDescent="0.2">
      <c r="C3474" s="144"/>
      <c r="D3474" s="144"/>
      <c r="E3474" s="144"/>
      <c r="F3474" s="373"/>
      <c r="I3474" s="70"/>
    </row>
    <row r="3475" spans="3:9" s="46" customFormat="1" x14ac:dyDescent="0.2">
      <c r="C3475" s="144"/>
      <c r="D3475" s="144"/>
      <c r="E3475" s="144"/>
      <c r="F3475" s="373"/>
      <c r="I3475" s="70"/>
    </row>
    <row r="3476" spans="3:9" s="46" customFormat="1" x14ac:dyDescent="0.2">
      <c r="C3476" s="144"/>
      <c r="D3476" s="144"/>
      <c r="E3476" s="144"/>
      <c r="F3476" s="373"/>
      <c r="I3476" s="70"/>
    </row>
    <row r="3477" spans="3:9" s="46" customFormat="1" x14ac:dyDescent="0.2">
      <c r="C3477" s="144"/>
      <c r="D3477" s="144"/>
      <c r="E3477" s="144"/>
      <c r="F3477" s="373"/>
      <c r="I3477" s="70"/>
    </row>
    <row r="3478" spans="3:9" s="46" customFormat="1" x14ac:dyDescent="0.2">
      <c r="C3478" s="144"/>
      <c r="D3478" s="144"/>
      <c r="E3478" s="144"/>
      <c r="F3478" s="373"/>
      <c r="I3478" s="70"/>
    </row>
    <row r="3479" spans="3:9" s="46" customFormat="1" x14ac:dyDescent="0.2">
      <c r="C3479" s="144"/>
      <c r="D3479" s="144"/>
      <c r="E3479" s="144"/>
      <c r="F3479" s="373"/>
      <c r="I3479" s="70"/>
    </row>
    <row r="3480" spans="3:9" s="46" customFormat="1" x14ac:dyDescent="0.2">
      <c r="C3480" s="144"/>
      <c r="D3480" s="144"/>
      <c r="E3480" s="144"/>
      <c r="F3480" s="373"/>
      <c r="I3480" s="70"/>
    </row>
    <row r="3481" spans="3:9" s="46" customFormat="1" x14ac:dyDescent="0.2">
      <c r="C3481" s="144"/>
      <c r="D3481" s="144"/>
      <c r="E3481" s="144"/>
      <c r="F3481" s="373"/>
      <c r="I3481" s="70"/>
    </row>
    <row r="3482" spans="3:9" s="46" customFormat="1" x14ac:dyDescent="0.2">
      <c r="C3482" s="144"/>
      <c r="D3482" s="144"/>
      <c r="E3482" s="144"/>
      <c r="F3482" s="373"/>
      <c r="I3482" s="70"/>
    </row>
    <row r="3483" spans="3:9" s="46" customFormat="1" x14ac:dyDescent="0.2">
      <c r="C3483" s="144"/>
      <c r="D3483" s="144"/>
      <c r="E3483" s="144"/>
      <c r="F3483" s="373"/>
      <c r="I3483" s="70"/>
    </row>
    <row r="3484" spans="3:9" s="46" customFormat="1" x14ac:dyDescent="0.2">
      <c r="C3484" s="144"/>
      <c r="D3484" s="144"/>
      <c r="E3484" s="144"/>
      <c r="F3484" s="373"/>
      <c r="I3484" s="70"/>
    </row>
    <row r="3485" spans="3:9" s="46" customFormat="1" x14ac:dyDescent="0.2">
      <c r="C3485" s="144"/>
      <c r="D3485" s="144"/>
      <c r="E3485" s="144"/>
      <c r="F3485" s="373"/>
      <c r="I3485" s="70"/>
    </row>
    <row r="3486" spans="3:9" s="46" customFormat="1" x14ac:dyDescent="0.2">
      <c r="C3486" s="144"/>
      <c r="D3486" s="144"/>
      <c r="E3486" s="144"/>
      <c r="F3486" s="373"/>
      <c r="I3486" s="70"/>
    </row>
    <row r="3487" spans="3:9" s="46" customFormat="1" x14ac:dyDescent="0.2">
      <c r="C3487" s="144"/>
      <c r="D3487" s="144"/>
      <c r="E3487" s="144"/>
      <c r="F3487" s="373"/>
      <c r="I3487" s="70"/>
    </row>
    <row r="3488" spans="3:9" s="46" customFormat="1" x14ac:dyDescent="0.2">
      <c r="C3488" s="144"/>
      <c r="D3488" s="144"/>
      <c r="E3488" s="144"/>
      <c r="F3488" s="373"/>
      <c r="I3488" s="70"/>
    </row>
    <row r="3489" spans="3:9" s="46" customFormat="1" x14ac:dyDescent="0.2">
      <c r="C3489" s="144"/>
      <c r="D3489" s="144"/>
      <c r="E3489" s="144"/>
      <c r="F3489" s="373"/>
      <c r="I3489" s="70"/>
    </row>
    <row r="3490" spans="3:9" s="46" customFormat="1" x14ac:dyDescent="0.2">
      <c r="C3490" s="144"/>
      <c r="D3490" s="144"/>
      <c r="E3490" s="144"/>
      <c r="F3490" s="373"/>
      <c r="I3490" s="70"/>
    </row>
    <row r="3491" spans="3:9" s="46" customFormat="1" x14ac:dyDescent="0.2">
      <c r="C3491" s="144"/>
      <c r="D3491" s="144"/>
      <c r="E3491" s="144"/>
      <c r="F3491" s="373"/>
      <c r="I3491" s="70"/>
    </row>
    <row r="3492" spans="3:9" s="46" customFormat="1" x14ac:dyDescent="0.2">
      <c r="C3492" s="144"/>
      <c r="D3492" s="144"/>
      <c r="E3492" s="144"/>
      <c r="F3492" s="373"/>
      <c r="I3492" s="70"/>
    </row>
    <row r="3493" spans="3:9" s="46" customFormat="1" x14ac:dyDescent="0.2">
      <c r="C3493" s="144"/>
      <c r="D3493" s="144"/>
      <c r="E3493" s="144"/>
      <c r="F3493" s="373"/>
      <c r="I3493" s="70"/>
    </row>
    <row r="3494" spans="3:9" s="46" customFormat="1" x14ac:dyDescent="0.2">
      <c r="C3494" s="144"/>
      <c r="D3494" s="144"/>
      <c r="E3494" s="144"/>
      <c r="F3494" s="373"/>
      <c r="I3494" s="70"/>
    </row>
    <row r="3495" spans="3:9" s="46" customFormat="1" x14ac:dyDescent="0.2">
      <c r="C3495" s="144"/>
      <c r="D3495" s="144"/>
      <c r="E3495" s="144"/>
      <c r="F3495" s="373"/>
      <c r="I3495" s="70"/>
    </row>
    <row r="3496" spans="3:9" s="46" customFormat="1" x14ac:dyDescent="0.2">
      <c r="C3496" s="144"/>
      <c r="D3496" s="144"/>
      <c r="E3496" s="144"/>
      <c r="F3496" s="373"/>
      <c r="I3496" s="70"/>
    </row>
    <row r="3497" spans="3:9" s="46" customFormat="1" x14ac:dyDescent="0.2">
      <c r="C3497" s="144"/>
      <c r="D3497" s="144"/>
      <c r="E3497" s="144"/>
      <c r="F3497" s="373"/>
      <c r="I3497" s="70"/>
    </row>
    <row r="3498" spans="3:9" s="46" customFormat="1" x14ac:dyDescent="0.2">
      <c r="C3498" s="144"/>
      <c r="D3498" s="144"/>
      <c r="E3498" s="144"/>
      <c r="F3498" s="373"/>
      <c r="I3498" s="70"/>
    </row>
    <row r="3499" spans="3:9" s="46" customFormat="1" x14ac:dyDescent="0.2">
      <c r="C3499" s="144"/>
      <c r="D3499" s="144"/>
      <c r="E3499" s="144"/>
      <c r="F3499" s="373"/>
      <c r="I3499" s="70"/>
    </row>
    <row r="3500" spans="3:9" s="46" customFormat="1" x14ac:dyDescent="0.2">
      <c r="C3500" s="144"/>
      <c r="D3500" s="144"/>
      <c r="E3500" s="144"/>
      <c r="F3500" s="373"/>
      <c r="I3500" s="70"/>
    </row>
    <row r="3501" spans="3:9" s="46" customFormat="1" x14ac:dyDescent="0.2">
      <c r="C3501" s="144"/>
      <c r="D3501" s="144"/>
      <c r="E3501" s="144"/>
      <c r="F3501" s="373"/>
      <c r="I3501" s="70"/>
    </row>
    <row r="3502" spans="3:9" s="46" customFormat="1" x14ac:dyDescent="0.2">
      <c r="C3502" s="144"/>
      <c r="D3502" s="144"/>
      <c r="E3502" s="144"/>
      <c r="F3502" s="373"/>
      <c r="I3502" s="70"/>
    </row>
    <row r="3503" spans="3:9" s="46" customFormat="1" x14ac:dyDescent="0.2">
      <c r="C3503" s="144"/>
      <c r="D3503" s="144"/>
      <c r="E3503" s="144"/>
      <c r="F3503" s="373"/>
      <c r="I3503" s="70"/>
    </row>
    <row r="3504" spans="3:9" s="46" customFormat="1" x14ac:dyDescent="0.2">
      <c r="C3504" s="144"/>
      <c r="D3504" s="144"/>
      <c r="E3504" s="144"/>
      <c r="F3504" s="373"/>
      <c r="I3504" s="70"/>
    </row>
    <row r="3505" spans="3:9" s="46" customFormat="1" x14ac:dyDescent="0.2">
      <c r="C3505" s="144"/>
      <c r="D3505" s="144"/>
      <c r="E3505" s="144"/>
      <c r="F3505" s="373"/>
      <c r="I3505" s="70"/>
    </row>
    <row r="3506" spans="3:9" s="46" customFormat="1" x14ac:dyDescent="0.2">
      <c r="C3506" s="144"/>
      <c r="D3506" s="144"/>
      <c r="E3506" s="144"/>
      <c r="F3506" s="373"/>
      <c r="I3506" s="70"/>
    </row>
    <row r="3507" spans="3:9" s="46" customFormat="1" x14ac:dyDescent="0.2">
      <c r="C3507" s="144"/>
      <c r="D3507" s="144"/>
      <c r="E3507" s="144"/>
      <c r="F3507" s="373"/>
      <c r="I3507" s="70"/>
    </row>
    <row r="3508" spans="3:9" s="46" customFormat="1" x14ac:dyDescent="0.2">
      <c r="C3508" s="144"/>
      <c r="D3508" s="144"/>
      <c r="E3508" s="144"/>
      <c r="F3508" s="373"/>
      <c r="I3508" s="70"/>
    </row>
    <row r="3509" spans="3:9" s="46" customFormat="1" x14ac:dyDescent="0.2">
      <c r="C3509" s="144"/>
      <c r="D3509" s="144"/>
      <c r="E3509" s="144"/>
      <c r="F3509" s="373"/>
      <c r="I3509" s="70"/>
    </row>
    <row r="3510" spans="3:9" s="46" customFormat="1" x14ac:dyDescent="0.2">
      <c r="C3510" s="144"/>
      <c r="D3510" s="144"/>
      <c r="E3510" s="144"/>
      <c r="F3510" s="373"/>
      <c r="I3510" s="70"/>
    </row>
    <row r="3511" spans="3:9" s="46" customFormat="1" x14ac:dyDescent="0.2">
      <c r="C3511" s="144"/>
      <c r="D3511" s="144"/>
      <c r="E3511" s="144"/>
      <c r="F3511" s="373"/>
      <c r="I3511" s="70"/>
    </row>
    <row r="3512" spans="3:9" s="46" customFormat="1" x14ac:dyDescent="0.2">
      <c r="C3512" s="144"/>
      <c r="D3512" s="144"/>
      <c r="E3512" s="144"/>
      <c r="F3512" s="373"/>
      <c r="I3512" s="70"/>
    </row>
    <row r="3513" spans="3:9" s="46" customFormat="1" x14ac:dyDescent="0.2">
      <c r="C3513" s="144"/>
      <c r="D3513" s="144"/>
      <c r="E3513" s="144"/>
      <c r="F3513" s="373"/>
      <c r="I3513" s="70"/>
    </row>
    <row r="3514" spans="3:9" s="46" customFormat="1" x14ac:dyDescent="0.2">
      <c r="C3514" s="144"/>
      <c r="D3514" s="144"/>
      <c r="E3514" s="144"/>
      <c r="F3514" s="373"/>
      <c r="I3514" s="70"/>
    </row>
    <row r="3515" spans="3:9" s="46" customFormat="1" x14ac:dyDescent="0.2">
      <c r="C3515" s="144"/>
      <c r="D3515" s="144"/>
      <c r="E3515" s="144"/>
      <c r="F3515" s="373"/>
      <c r="I3515" s="70"/>
    </row>
    <row r="3516" spans="3:9" s="46" customFormat="1" x14ac:dyDescent="0.2">
      <c r="C3516" s="144"/>
      <c r="D3516" s="144"/>
      <c r="E3516" s="144"/>
      <c r="F3516" s="373"/>
      <c r="I3516" s="70"/>
    </row>
    <row r="3517" spans="3:9" s="46" customFormat="1" x14ac:dyDescent="0.2">
      <c r="C3517" s="144"/>
      <c r="D3517" s="144"/>
      <c r="E3517" s="144"/>
      <c r="F3517" s="373"/>
      <c r="I3517" s="70"/>
    </row>
    <row r="3518" spans="3:9" s="46" customFormat="1" x14ac:dyDescent="0.2">
      <c r="C3518" s="144"/>
      <c r="D3518" s="144"/>
      <c r="E3518" s="144"/>
      <c r="F3518" s="373"/>
      <c r="I3518" s="70"/>
    </row>
    <row r="3519" spans="3:9" s="46" customFormat="1" x14ac:dyDescent="0.2">
      <c r="C3519" s="144"/>
      <c r="D3519" s="144"/>
      <c r="E3519" s="144"/>
      <c r="F3519" s="373"/>
      <c r="I3519" s="70"/>
    </row>
    <row r="3520" spans="3:9" s="46" customFormat="1" x14ac:dyDescent="0.2">
      <c r="C3520" s="144"/>
      <c r="D3520" s="144"/>
      <c r="E3520" s="144"/>
      <c r="F3520" s="373"/>
      <c r="I3520" s="70"/>
    </row>
    <row r="3521" spans="3:9" s="46" customFormat="1" x14ac:dyDescent="0.2">
      <c r="C3521" s="144"/>
      <c r="D3521" s="144"/>
      <c r="E3521" s="144"/>
      <c r="F3521" s="373"/>
      <c r="I3521" s="70"/>
    </row>
    <row r="3522" spans="3:9" s="46" customFormat="1" x14ac:dyDescent="0.2">
      <c r="C3522" s="144"/>
      <c r="D3522" s="144"/>
      <c r="E3522" s="144"/>
      <c r="F3522" s="373"/>
      <c r="I3522" s="70"/>
    </row>
    <row r="3523" spans="3:9" s="46" customFormat="1" x14ac:dyDescent="0.2">
      <c r="C3523" s="144"/>
      <c r="D3523" s="144"/>
      <c r="E3523" s="144"/>
      <c r="F3523" s="373"/>
      <c r="I3523" s="70"/>
    </row>
    <row r="3524" spans="3:9" s="46" customFormat="1" x14ac:dyDescent="0.2">
      <c r="C3524" s="144"/>
      <c r="D3524" s="144"/>
      <c r="E3524" s="144"/>
      <c r="F3524" s="373"/>
      <c r="I3524" s="70"/>
    </row>
    <row r="3525" spans="3:9" s="46" customFormat="1" x14ac:dyDescent="0.2">
      <c r="C3525" s="144"/>
      <c r="D3525" s="144"/>
      <c r="E3525" s="144"/>
      <c r="F3525" s="373"/>
      <c r="I3525" s="70"/>
    </row>
    <row r="3526" spans="3:9" s="46" customFormat="1" x14ac:dyDescent="0.2">
      <c r="C3526" s="144"/>
      <c r="D3526" s="144"/>
      <c r="E3526" s="144"/>
      <c r="F3526" s="373"/>
      <c r="I3526" s="70"/>
    </row>
    <row r="3527" spans="3:9" s="46" customFormat="1" x14ac:dyDescent="0.2">
      <c r="C3527" s="144"/>
      <c r="D3527" s="144"/>
      <c r="E3527" s="144"/>
      <c r="F3527" s="373"/>
      <c r="I3527" s="70"/>
    </row>
    <row r="3528" spans="3:9" s="46" customFormat="1" x14ac:dyDescent="0.2">
      <c r="C3528" s="144"/>
      <c r="D3528" s="144"/>
      <c r="E3528" s="144"/>
      <c r="F3528" s="373"/>
      <c r="I3528" s="70"/>
    </row>
    <row r="3529" spans="3:9" s="46" customFormat="1" x14ac:dyDescent="0.2">
      <c r="C3529" s="144"/>
      <c r="D3529" s="144"/>
      <c r="E3529" s="144"/>
      <c r="F3529" s="373"/>
      <c r="I3529" s="70"/>
    </row>
    <row r="3530" spans="3:9" s="46" customFormat="1" x14ac:dyDescent="0.2">
      <c r="C3530" s="144"/>
      <c r="D3530" s="144"/>
      <c r="E3530" s="144"/>
      <c r="F3530" s="373"/>
      <c r="I3530" s="70"/>
    </row>
    <row r="3531" spans="3:9" s="46" customFormat="1" x14ac:dyDescent="0.2">
      <c r="C3531" s="144"/>
      <c r="D3531" s="144"/>
      <c r="E3531" s="144"/>
      <c r="F3531" s="373"/>
      <c r="I3531" s="70"/>
    </row>
    <row r="3532" spans="3:9" s="46" customFormat="1" x14ac:dyDescent="0.2">
      <c r="C3532" s="144"/>
      <c r="D3532" s="144"/>
      <c r="E3532" s="144"/>
      <c r="F3532" s="373"/>
      <c r="I3532" s="70"/>
    </row>
    <row r="3533" spans="3:9" s="46" customFormat="1" x14ac:dyDescent="0.2">
      <c r="C3533" s="144"/>
      <c r="D3533" s="144"/>
      <c r="E3533" s="144"/>
      <c r="F3533" s="373"/>
      <c r="I3533" s="70"/>
    </row>
    <row r="3534" spans="3:9" s="46" customFormat="1" x14ac:dyDescent="0.2">
      <c r="C3534" s="144"/>
      <c r="D3534" s="144"/>
      <c r="E3534" s="144"/>
      <c r="F3534" s="373"/>
      <c r="I3534" s="70"/>
    </row>
    <row r="3535" spans="3:9" s="46" customFormat="1" x14ac:dyDescent="0.2">
      <c r="C3535" s="144"/>
      <c r="D3535" s="144"/>
      <c r="E3535" s="144"/>
      <c r="F3535" s="373"/>
      <c r="I3535" s="70"/>
    </row>
    <row r="3536" spans="3:9" s="46" customFormat="1" x14ac:dyDescent="0.2">
      <c r="C3536" s="144"/>
      <c r="D3536" s="144"/>
      <c r="E3536" s="144"/>
      <c r="F3536" s="373"/>
      <c r="I3536" s="70"/>
    </row>
    <row r="3537" spans="3:9" s="46" customFormat="1" x14ac:dyDescent="0.2">
      <c r="C3537" s="144"/>
      <c r="D3537" s="144"/>
      <c r="E3537" s="144"/>
      <c r="F3537" s="373"/>
      <c r="I3537" s="70"/>
    </row>
    <row r="3538" spans="3:9" s="46" customFormat="1" x14ac:dyDescent="0.2">
      <c r="C3538" s="144"/>
      <c r="D3538" s="144"/>
      <c r="E3538" s="144"/>
      <c r="F3538" s="373"/>
      <c r="I3538" s="70"/>
    </row>
    <row r="3539" spans="3:9" s="46" customFormat="1" x14ac:dyDescent="0.2">
      <c r="C3539" s="144"/>
      <c r="D3539" s="144"/>
      <c r="E3539" s="144"/>
      <c r="F3539" s="373"/>
      <c r="I3539" s="70"/>
    </row>
    <row r="3540" spans="3:9" s="46" customFormat="1" x14ac:dyDescent="0.2">
      <c r="C3540" s="144"/>
      <c r="D3540" s="144"/>
      <c r="E3540" s="144"/>
      <c r="F3540" s="373"/>
      <c r="I3540" s="70"/>
    </row>
    <row r="3541" spans="3:9" s="46" customFormat="1" x14ac:dyDescent="0.2">
      <c r="C3541" s="144"/>
      <c r="D3541" s="144"/>
      <c r="E3541" s="144"/>
      <c r="F3541" s="373"/>
      <c r="I3541" s="70"/>
    </row>
    <row r="3542" spans="3:9" s="46" customFormat="1" x14ac:dyDescent="0.2">
      <c r="C3542" s="144"/>
      <c r="D3542" s="144"/>
      <c r="E3542" s="144"/>
      <c r="F3542" s="373"/>
      <c r="I3542" s="70"/>
    </row>
    <row r="3543" spans="3:9" s="46" customFormat="1" x14ac:dyDescent="0.2">
      <c r="C3543" s="144"/>
      <c r="D3543" s="144"/>
      <c r="E3543" s="144"/>
      <c r="F3543" s="373"/>
      <c r="I3543" s="70"/>
    </row>
    <row r="3544" spans="3:9" s="46" customFormat="1" x14ac:dyDescent="0.2">
      <c r="C3544" s="144"/>
      <c r="D3544" s="144"/>
      <c r="E3544" s="144"/>
      <c r="F3544" s="373"/>
      <c r="I3544" s="70"/>
    </row>
    <row r="3545" spans="3:9" s="46" customFormat="1" x14ac:dyDescent="0.2">
      <c r="C3545" s="144"/>
      <c r="D3545" s="144"/>
      <c r="E3545" s="144"/>
      <c r="F3545" s="373"/>
      <c r="I3545" s="70"/>
    </row>
    <row r="3546" spans="3:9" s="46" customFormat="1" x14ac:dyDescent="0.2">
      <c r="C3546" s="144"/>
      <c r="D3546" s="144"/>
      <c r="E3546" s="144"/>
      <c r="F3546" s="373"/>
      <c r="I3546" s="70"/>
    </row>
    <row r="3547" spans="3:9" s="46" customFormat="1" x14ac:dyDescent="0.2">
      <c r="C3547" s="144"/>
      <c r="D3547" s="144"/>
      <c r="E3547" s="144"/>
      <c r="F3547" s="373"/>
      <c r="I3547" s="70"/>
    </row>
    <row r="3548" spans="3:9" s="46" customFormat="1" x14ac:dyDescent="0.2">
      <c r="C3548" s="144"/>
      <c r="D3548" s="144"/>
      <c r="E3548" s="144"/>
      <c r="F3548" s="373"/>
      <c r="I3548" s="70"/>
    </row>
    <row r="3549" spans="3:9" s="46" customFormat="1" x14ac:dyDescent="0.2">
      <c r="C3549" s="144"/>
      <c r="D3549" s="144"/>
      <c r="E3549" s="144"/>
      <c r="F3549" s="373"/>
      <c r="I3549" s="70"/>
    </row>
    <row r="3550" spans="3:9" s="46" customFormat="1" x14ac:dyDescent="0.2">
      <c r="C3550" s="144"/>
      <c r="D3550" s="144"/>
      <c r="E3550" s="144"/>
      <c r="F3550" s="373"/>
      <c r="I3550" s="70"/>
    </row>
    <row r="3551" spans="3:9" s="46" customFormat="1" x14ac:dyDescent="0.2">
      <c r="C3551" s="144"/>
      <c r="D3551" s="144"/>
      <c r="E3551" s="144"/>
      <c r="F3551" s="373"/>
      <c r="I3551" s="70"/>
    </row>
    <row r="3552" spans="3:9" s="46" customFormat="1" x14ac:dyDescent="0.2">
      <c r="C3552" s="144"/>
      <c r="D3552" s="144"/>
      <c r="E3552" s="144"/>
      <c r="F3552" s="373"/>
      <c r="I3552" s="70"/>
    </row>
    <row r="3553" spans="3:9" s="46" customFormat="1" x14ac:dyDescent="0.2">
      <c r="C3553" s="144"/>
      <c r="D3553" s="144"/>
      <c r="E3553" s="144"/>
      <c r="F3553" s="373"/>
      <c r="I3553" s="70"/>
    </row>
    <row r="3554" spans="3:9" s="46" customFormat="1" x14ac:dyDescent="0.2">
      <c r="C3554" s="144"/>
      <c r="D3554" s="144"/>
      <c r="E3554" s="144"/>
      <c r="F3554" s="373"/>
      <c r="I3554" s="70"/>
    </row>
    <row r="3555" spans="3:9" s="46" customFormat="1" x14ac:dyDescent="0.2">
      <c r="C3555" s="144"/>
      <c r="D3555" s="144"/>
      <c r="E3555" s="144"/>
      <c r="F3555" s="373"/>
      <c r="I3555" s="70"/>
    </row>
    <row r="3556" spans="3:9" s="46" customFormat="1" x14ac:dyDescent="0.2">
      <c r="C3556" s="144"/>
      <c r="D3556" s="144"/>
      <c r="E3556" s="144"/>
      <c r="F3556" s="373"/>
      <c r="I3556" s="70"/>
    </row>
    <row r="3557" spans="3:9" s="46" customFormat="1" x14ac:dyDescent="0.2">
      <c r="C3557" s="144"/>
      <c r="D3557" s="144"/>
      <c r="E3557" s="144"/>
      <c r="F3557" s="373"/>
      <c r="I3557" s="70"/>
    </row>
    <row r="3558" spans="3:9" s="46" customFormat="1" x14ac:dyDescent="0.2">
      <c r="C3558" s="144"/>
      <c r="D3558" s="144"/>
      <c r="E3558" s="144"/>
      <c r="F3558" s="373"/>
      <c r="I3558" s="70"/>
    </row>
    <row r="3559" spans="3:9" s="46" customFormat="1" x14ac:dyDescent="0.2">
      <c r="C3559" s="144"/>
      <c r="D3559" s="144"/>
      <c r="E3559" s="144"/>
      <c r="F3559" s="373"/>
      <c r="I3559" s="70"/>
    </row>
    <row r="3560" spans="3:9" s="46" customFormat="1" x14ac:dyDescent="0.2">
      <c r="C3560" s="144"/>
      <c r="D3560" s="144"/>
      <c r="E3560" s="144"/>
      <c r="F3560" s="373"/>
      <c r="I3560" s="70"/>
    </row>
    <row r="3561" spans="3:9" s="46" customFormat="1" x14ac:dyDescent="0.2">
      <c r="C3561" s="144"/>
      <c r="D3561" s="144"/>
      <c r="E3561" s="144"/>
      <c r="F3561" s="373"/>
      <c r="I3561" s="70"/>
    </row>
    <row r="3562" spans="3:9" s="46" customFormat="1" x14ac:dyDescent="0.2">
      <c r="C3562" s="144"/>
      <c r="D3562" s="144"/>
      <c r="E3562" s="144"/>
      <c r="F3562" s="373"/>
      <c r="I3562" s="70"/>
    </row>
    <row r="3563" spans="3:9" s="46" customFormat="1" x14ac:dyDescent="0.2">
      <c r="C3563" s="144"/>
      <c r="D3563" s="144"/>
      <c r="E3563" s="144"/>
      <c r="F3563" s="373"/>
      <c r="I3563" s="70"/>
    </row>
    <row r="3564" spans="3:9" s="46" customFormat="1" x14ac:dyDescent="0.2">
      <c r="C3564" s="144"/>
      <c r="D3564" s="144"/>
      <c r="E3564" s="144"/>
      <c r="F3564" s="373"/>
      <c r="I3564" s="70"/>
    </row>
    <row r="3565" spans="3:9" s="46" customFormat="1" x14ac:dyDescent="0.2">
      <c r="C3565" s="144"/>
      <c r="D3565" s="144"/>
      <c r="E3565" s="144"/>
      <c r="F3565" s="373"/>
      <c r="I3565" s="70"/>
    </row>
    <row r="3566" spans="3:9" s="46" customFormat="1" x14ac:dyDescent="0.2">
      <c r="C3566" s="144"/>
      <c r="D3566" s="144"/>
      <c r="E3566" s="144"/>
      <c r="F3566" s="373"/>
      <c r="I3566" s="70"/>
    </row>
    <row r="3567" spans="3:9" s="46" customFormat="1" x14ac:dyDescent="0.2">
      <c r="C3567" s="144"/>
      <c r="D3567" s="144"/>
      <c r="E3567" s="144"/>
      <c r="F3567" s="373"/>
      <c r="I3567" s="70"/>
    </row>
    <row r="3568" spans="3:9" s="46" customFormat="1" x14ac:dyDescent="0.2">
      <c r="C3568" s="144"/>
      <c r="D3568" s="144"/>
      <c r="E3568" s="144"/>
      <c r="F3568" s="373"/>
      <c r="I3568" s="70"/>
    </row>
    <row r="3569" spans="3:9" s="46" customFormat="1" x14ac:dyDescent="0.2">
      <c r="C3569" s="144"/>
      <c r="D3569" s="144"/>
      <c r="E3569" s="144"/>
      <c r="F3569" s="373"/>
      <c r="I3569" s="70"/>
    </row>
    <row r="3570" spans="3:9" s="46" customFormat="1" x14ac:dyDescent="0.2">
      <c r="C3570" s="144"/>
      <c r="D3570" s="144"/>
      <c r="E3570" s="144"/>
      <c r="F3570" s="373"/>
      <c r="I3570" s="70"/>
    </row>
    <row r="3571" spans="3:9" s="46" customFormat="1" x14ac:dyDescent="0.2">
      <c r="C3571" s="144"/>
      <c r="D3571" s="144"/>
      <c r="E3571" s="144"/>
      <c r="F3571" s="373"/>
      <c r="I3571" s="70"/>
    </row>
    <row r="3572" spans="3:9" s="46" customFormat="1" x14ac:dyDescent="0.2">
      <c r="C3572" s="144"/>
      <c r="D3572" s="144"/>
      <c r="E3572" s="144"/>
      <c r="F3572" s="373"/>
      <c r="I3572" s="70"/>
    </row>
    <row r="3573" spans="3:9" s="46" customFormat="1" x14ac:dyDescent="0.2">
      <c r="C3573" s="144"/>
      <c r="D3573" s="144"/>
      <c r="E3573" s="144"/>
      <c r="F3573" s="373"/>
      <c r="I3573" s="70"/>
    </row>
    <row r="3574" spans="3:9" s="46" customFormat="1" x14ac:dyDescent="0.2">
      <c r="C3574" s="144"/>
      <c r="D3574" s="144"/>
      <c r="E3574" s="144"/>
      <c r="F3574" s="373"/>
      <c r="I3574" s="70"/>
    </row>
    <row r="3575" spans="3:9" s="46" customFormat="1" x14ac:dyDescent="0.2">
      <c r="C3575" s="144"/>
      <c r="D3575" s="144"/>
      <c r="E3575" s="144"/>
      <c r="F3575" s="373"/>
      <c r="I3575" s="70"/>
    </row>
    <row r="3576" spans="3:9" s="46" customFormat="1" x14ac:dyDescent="0.2">
      <c r="C3576" s="144"/>
      <c r="D3576" s="144"/>
      <c r="E3576" s="144"/>
      <c r="F3576" s="373"/>
      <c r="I3576" s="70"/>
    </row>
    <row r="3577" spans="3:9" s="46" customFormat="1" x14ac:dyDescent="0.2">
      <c r="C3577" s="144"/>
      <c r="D3577" s="144"/>
      <c r="E3577" s="144"/>
      <c r="F3577" s="373"/>
      <c r="I3577" s="70"/>
    </row>
    <row r="3578" spans="3:9" s="46" customFormat="1" x14ac:dyDescent="0.2">
      <c r="C3578" s="144"/>
      <c r="D3578" s="144"/>
      <c r="E3578" s="144"/>
      <c r="F3578" s="373"/>
      <c r="I3578" s="70"/>
    </row>
    <row r="3579" spans="3:9" s="46" customFormat="1" x14ac:dyDescent="0.2">
      <c r="C3579" s="144"/>
      <c r="D3579" s="144"/>
      <c r="E3579" s="144"/>
      <c r="F3579" s="373"/>
      <c r="I3579" s="70"/>
    </row>
    <row r="3580" spans="3:9" s="46" customFormat="1" x14ac:dyDescent="0.2">
      <c r="C3580" s="144"/>
      <c r="D3580" s="144"/>
      <c r="E3580" s="144"/>
      <c r="F3580" s="373"/>
      <c r="I3580" s="70"/>
    </row>
    <row r="3581" spans="3:9" s="46" customFormat="1" x14ac:dyDescent="0.2">
      <c r="C3581" s="144"/>
      <c r="D3581" s="144"/>
      <c r="E3581" s="144"/>
      <c r="F3581" s="373"/>
      <c r="I3581" s="70"/>
    </row>
    <row r="3582" spans="3:9" s="46" customFormat="1" x14ac:dyDescent="0.2">
      <c r="C3582" s="144"/>
      <c r="D3582" s="144"/>
      <c r="E3582" s="144"/>
      <c r="F3582" s="373"/>
      <c r="I3582" s="70"/>
    </row>
    <row r="3583" spans="3:9" s="46" customFormat="1" x14ac:dyDescent="0.2">
      <c r="C3583" s="144"/>
      <c r="D3583" s="144"/>
      <c r="E3583" s="144"/>
      <c r="F3583" s="373"/>
      <c r="I3583" s="70"/>
    </row>
    <row r="3584" spans="3:9" s="46" customFormat="1" x14ac:dyDescent="0.2">
      <c r="C3584" s="144"/>
      <c r="D3584" s="144"/>
      <c r="E3584" s="144"/>
      <c r="F3584" s="373"/>
      <c r="I3584" s="70"/>
    </row>
    <row r="3585" spans="3:9" s="46" customFormat="1" x14ac:dyDescent="0.2">
      <c r="C3585" s="144"/>
      <c r="D3585" s="144"/>
      <c r="E3585" s="144"/>
      <c r="F3585" s="373"/>
      <c r="I3585" s="70"/>
    </row>
    <row r="3586" spans="3:9" s="46" customFormat="1" x14ac:dyDescent="0.2">
      <c r="C3586" s="144"/>
      <c r="D3586" s="144"/>
      <c r="E3586" s="144"/>
      <c r="F3586" s="373"/>
      <c r="I3586" s="70"/>
    </row>
    <row r="3587" spans="3:9" s="46" customFormat="1" x14ac:dyDescent="0.2">
      <c r="C3587" s="144"/>
      <c r="D3587" s="144"/>
      <c r="E3587" s="144"/>
      <c r="F3587" s="373"/>
      <c r="I3587" s="70"/>
    </row>
    <row r="3588" spans="3:9" s="46" customFormat="1" x14ac:dyDescent="0.2">
      <c r="C3588" s="144"/>
      <c r="D3588" s="144"/>
      <c r="E3588" s="144"/>
      <c r="F3588" s="373"/>
      <c r="I3588" s="70"/>
    </row>
    <row r="3589" spans="3:9" s="46" customFormat="1" x14ac:dyDescent="0.2">
      <c r="C3589" s="144"/>
      <c r="D3589" s="144"/>
      <c r="E3589" s="144"/>
      <c r="F3589" s="373"/>
      <c r="I3589" s="70"/>
    </row>
    <row r="3590" spans="3:9" s="46" customFormat="1" x14ac:dyDescent="0.2">
      <c r="C3590" s="144"/>
      <c r="D3590" s="144"/>
      <c r="E3590" s="144"/>
      <c r="F3590" s="373"/>
      <c r="I3590" s="70"/>
    </row>
    <row r="3591" spans="3:9" s="46" customFormat="1" x14ac:dyDescent="0.2">
      <c r="C3591" s="144"/>
      <c r="D3591" s="144"/>
      <c r="E3591" s="144"/>
      <c r="F3591" s="373"/>
      <c r="I3591" s="70"/>
    </row>
    <row r="3592" spans="3:9" s="46" customFormat="1" x14ac:dyDescent="0.2">
      <c r="C3592" s="144"/>
      <c r="D3592" s="144"/>
      <c r="E3592" s="144"/>
      <c r="F3592" s="373"/>
      <c r="I3592" s="70"/>
    </row>
    <row r="3593" spans="3:9" s="46" customFormat="1" x14ac:dyDescent="0.2">
      <c r="C3593" s="144"/>
      <c r="D3593" s="144"/>
      <c r="E3593" s="144"/>
      <c r="F3593" s="373"/>
      <c r="I3593" s="70"/>
    </row>
    <row r="3594" spans="3:9" s="46" customFormat="1" x14ac:dyDescent="0.2">
      <c r="C3594" s="144"/>
      <c r="D3594" s="144"/>
      <c r="E3594" s="144"/>
      <c r="F3594" s="373"/>
      <c r="I3594" s="70"/>
    </row>
    <row r="3595" spans="3:9" s="46" customFormat="1" x14ac:dyDescent="0.2">
      <c r="C3595" s="144"/>
      <c r="D3595" s="144"/>
      <c r="E3595" s="144"/>
      <c r="F3595" s="373"/>
      <c r="I3595" s="70"/>
    </row>
    <row r="3596" spans="3:9" s="46" customFormat="1" x14ac:dyDescent="0.2">
      <c r="C3596" s="144"/>
      <c r="D3596" s="144"/>
      <c r="E3596" s="144"/>
      <c r="F3596" s="373"/>
      <c r="I3596" s="70"/>
    </row>
    <row r="3597" spans="3:9" s="46" customFormat="1" x14ac:dyDescent="0.2">
      <c r="C3597" s="144"/>
      <c r="D3597" s="144"/>
      <c r="E3597" s="144"/>
      <c r="F3597" s="373"/>
      <c r="I3597" s="70"/>
    </row>
    <row r="3598" spans="3:9" s="46" customFormat="1" x14ac:dyDescent="0.2">
      <c r="C3598" s="144"/>
      <c r="D3598" s="144"/>
      <c r="E3598" s="144"/>
      <c r="F3598" s="373"/>
      <c r="I3598" s="70"/>
    </row>
    <row r="3599" spans="3:9" s="46" customFormat="1" x14ac:dyDescent="0.2">
      <c r="C3599" s="144"/>
      <c r="D3599" s="144"/>
      <c r="E3599" s="144"/>
      <c r="F3599" s="373"/>
      <c r="I3599" s="70"/>
    </row>
    <row r="3600" spans="3:9" s="46" customFormat="1" x14ac:dyDescent="0.2">
      <c r="C3600" s="144"/>
      <c r="D3600" s="144"/>
      <c r="E3600" s="144"/>
      <c r="F3600" s="373"/>
      <c r="I3600" s="70"/>
    </row>
    <row r="3601" spans="3:9" s="46" customFormat="1" x14ac:dyDescent="0.2">
      <c r="C3601" s="144"/>
      <c r="D3601" s="144"/>
      <c r="E3601" s="144"/>
      <c r="F3601" s="373"/>
      <c r="I3601" s="70"/>
    </row>
    <row r="3602" spans="3:9" s="46" customFormat="1" x14ac:dyDescent="0.2">
      <c r="C3602" s="144"/>
      <c r="D3602" s="144"/>
      <c r="E3602" s="144"/>
      <c r="F3602" s="373"/>
      <c r="I3602" s="70"/>
    </row>
    <row r="3603" spans="3:9" s="46" customFormat="1" x14ac:dyDescent="0.2">
      <c r="C3603" s="144"/>
      <c r="D3603" s="144"/>
      <c r="E3603" s="144"/>
      <c r="F3603" s="373"/>
      <c r="I3603" s="70"/>
    </row>
    <row r="3604" spans="3:9" s="46" customFormat="1" x14ac:dyDescent="0.2">
      <c r="C3604" s="144"/>
      <c r="D3604" s="144"/>
      <c r="E3604" s="144"/>
      <c r="F3604" s="373"/>
      <c r="I3604" s="70"/>
    </row>
    <row r="3605" spans="3:9" s="46" customFormat="1" x14ac:dyDescent="0.2">
      <c r="C3605" s="144"/>
      <c r="D3605" s="144"/>
      <c r="E3605" s="144"/>
      <c r="F3605" s="373"/>
      <c r="I3605" s="70"/>
    </row>
    <row r="3606" spans="3:9" s="46" customFormat="1" x14ac:dyDescent="0.2">
      <c r="C3606" s="144"/>
      <c r="D3606" s="144"/>
      <c r="E3606" s="144"/>
      <c r="F3606" s="373"/>
      <c r="I3606" s="70"/>
    </row>
    <row r="3607" spans="3:9" s="46" customFormat="1" x14ac:dyDescent="0.2">
      <c r="C3607" s="144"/>
      <c r="D3607" s="144"/>
      <c r="E3607" s="144"/>
      <c r="F3607" s="373"/>
      <c r="I3607" s="70"/>
    </row>
    <row r="3608" spans="3:9" s="46" customFormat="1" x14ac:dyDescent="0.2">
      <c r="C3608" s="144"/>
      <c r="D3608" s="144"/>
      <c r="E3608" s="144"/>
      <c r="F3608" s="373"/>
      <c r="I3608" s="70"/>
    </row>
    <row r="3609" spans="3:9" s="46" customFormat="1" x14ac:dyDescent="0.2">
      <c r="C3609" s="144"/>
      <c r="D3609" s="144"/>
      <c r="E3609" s="144"/>
      <c r="F3609" s="373"/>
      <c r="I3609" s="70"/>
    </row>
    <row r="3610" spans="3:9" s="46" customFormat="1" x14ac:dyDescent="0.2">
      <c r="C3610" s="144"/>
      <c r="D3610" s="144"/>
      <c r="E3610" s="144"/>
      <c r="F3610" s="373"/>
      <c r="I3610" s="70"/>
    </row>
    <row r="3611" spans="3:9" s="46" customFormat="1" x14ac:dyDescent="0.2">
      <c r="C3611" s="144"/>
      <c r="D3611" s="144"/>
      <c r="E3611" s="144"/>
      <c r="F3611" s="373"/>
      <c r="I3611" s="70"/>
    </row>
    <row r="3612" spans="3:9" s="46" customFormat="1" x14ac:dyDescent="0.2">
      <c r="C3612" s="144"/>
      <c r="D3612" s="144"/>
      <c r="E3612" s="144"/>
      <c r="F3612" s="373"/>
      <c r="I3612" s="70"/>
    </row>
    <row r="3613" spans="3:9" s="46" customFormat="1" x14ac:dyDescent="0.2">
      <c r="C3613" s="144"/>
      <c r="D3613" s="144"/>
      <c r="E3613" s="144"/>
      <c r="F3613" s="373"/>
      <c r="I3613" s="70"/>
    </row>
    <row r="3614" spans="3:9" s="46" customFormat="1" x14ac:dyDescent="0.2">
      <c r="C3614" s="144"/>
      <c r="D3614" s="144"/>
      <c r="E3614" s="144"/>
      <c r="F3614" s="373"/>
      <c r="I3614" s="70"/>
    </row>
    <row r="3615" spans="3:9" s="46" customFormat="1" x14ac:dyDescent="0.2">
      <c r="C3615" s="144"/>
      <c r="D3615" s="144"/>
      <c r="E3615" s="144"/>
      <c r="F3615" s="373"/>
      <c r="I3615" s="70"/>
    </row>
    <row r="3616" spans="3:9" s="46" customFormat="1" x14ac:dyDescent="0.2">
      <c r="C3616" s="144"/>
      <c r="D3616" s="144"/>
      <c r="E3616" s="144"/>
      <c r="F3616" s="373"/>
      <c r="I3616" s="70"/>
    </row>
    <row r="3617" spans="3:9" s="46" customFormat="1" x14ac:dyDescent="0.2">
      <c r="C3617" s="144"/>
      <c r="D3617" s="144"/>
      <c r="E3617" s="144"/>
      <c r="F3617" s="373"/>
      <c r="I3617" s="70"/>
    </row>
    <row r="3618" spans="3:9" s="46" customFormat="1" x14ac:dyDescent="0.2">
      <c r="C3618" s="144"/>
      <c r="D3618" s="144"/>
      <c r="E3618" s="144"/>
      <c r="F3618" s="373"/>
      <c r="I3618" s="70"/>
    </row>
    <row r="3619" spans="3:9" s="46" customFormat="1" x14ac:dyDescent="0.2">
      <c r="C3619" s="144"/>
      <c r="D3619" s="144"/>
      <c r="E3619" s="144"/>
      <c r="F3619" s="373"/>
      <c r="I3619" s="70"/>
    </row>
    <row r="3620" spans="3:9" s="46" customFormat="1" x14ac:dyDescent="0.2">
      <c r="C3620" s="144"/>
      <c r="D3620" s="144"/>
      <c r="E3620" s="144"/>
      <c r="F3620" s="373"/>
      <c r="I3620" s="70"/>
    </row>
    <row r="3621" spans="3:9" s="46" customFormat="1" x14ac:dyDescent="0.2">
      <c r="C3621" s="144"/>
      <c r="D3621" s="144"/>
      <c r="E3621" s="144"/>
      <c r="F3621" s="373"/>
      <c r="I3621" s="70"/>
    </row>
    <row r="3622" spans="3:9" s="46" customFormat="1" x14ac:dyDescent="0.2">
      <c r="C3622" s="144"/>
      <c r="D3622" s="144"/>
      <c r="E3622" s="144"/>
      <c r="F3622" s="373"/>
      <c r="I3622" s="70"/>
    </row>
    <row r="3623" spans="3:9" s="46" customFormat="1" x14ac:dyDescent="0.2">
      <c r="C3623" s="144"/>
      <c r="D3623" s="144"/>
      <c r="E3623" s="144"/>
      <c r="F3623" s="373"/>
      <c r="I3623" s="70"/>
    </row>
    <row r="3624" spans="3:9" s="46" customFormat="1" x14ac:dyDescent="0.2">
      <c r="C3624" s="144"/>
      <c r="D3624" s="144"/>
      <c r="E3624" s="144"/>
      <c r="F3624" s="373"/>
      <c r="I3624" s="70"/>
    </row>
    <row r="3625" spans="3:9" s="46" customFormat="1" x14ac:dyDescent="0.2">
      <c r="C3625" s="144"/>
      <c r="D3625" s="144"/>
      <c r="E3625" s="144"/>
      <c r="F3625" s="373"/>
      <c r="I3625" s="70"/>
    </row>
    <row r="3626" spans="3:9" s="46" customFormat="1" x14ac:dyDescent="0.2">
      <c r="C3626" s="144"/>
      <c r="D3626" s="144"/>
      <c r="E3626" s="144"/>
      <c r="F3626" s="373"/>
      <c r="I3626" s="70"/>
    </row>
    <row r="3627" spans="3:9" s="46" customFormat="1" x14ac:dyDescent="0.2">
      <c r="C3627" s="144"/>
      <c r="D3627" s="144"/>
      <c r="E3627" s="144"/>
      <c r="F3627" s="373"/>
      <c r="I3627" s="70"/>
    </row>
    <row r="3628" spans="3:9" s="46" customFormat="1" x14ac:dyDescent="0.2">
      <c r="C3628" s="144"/>
      <c r="D3628" s="144"/>
      <c r="E3628" s="144"/>
      <c r="F3628" s="373"/>
      <c r="I3628" s="70"/>
    </row>
    <row r="3629" spans="3:9" s="46" customFormat="1" x14ac:dyDescent="0.2">
      <c r="C3629" s="144"/>
      <c r="D3629" s="144"/>
      <c r="E3629" s="144"/>
      <c r="F3629" s="373"/>
      <c r="I3629" s="70"/>
    </row>
    <row r="3630" spans="3:9" s="46" customFormat="1" x14ac:dyDescent="0.2">
      <c r="C3630" s="144"/>
      <c r="D3630" s="144"/>
      <c r="E3630" s="144"/>
      <c r="F3630" s="373"/>
      <c r="I3630" s="70"/>
    </row>
    <row r="3631" spans="3:9" s="46" customFormat="1" x14ac:dyDescent="0.2">
      <c r="C3631" s="144"/>
      <c r="D3631" s="144"/>
      <c r="E3631" s="144"/>
      <c r="F3631" s="373"/>
      <c r="I3631" s="70"/>
    </row>
    <row r="3632" spans="3:9" s="46" customFormat="1" x14ac:dyDescent="0.2">
      <c r="C3632" s="144"/>
      <c r="D3632" s="144"/>
      <c r="E3632" s="144"/>
      <c r="F3632" s="373"/>
      <c r="I3632" s="70"/>
    </row>
    <row r="3633" spans="3:9" s="46" customFormat="1" x14ac:dyDescent="0.2">
      <c r="C3633" s="144"/>
      <c r="D3633" s="144"/>
      <c r="E3633" s="144"/>
      <c r="F3633" s="373"/>
      <c r="I3633" s="70"/>
    </row>
    <row r="3634" spans="3:9" s="46" customFormat="1" x14ac:dyDescent="0.2">
      <c r="C3634" s="144"/>
      <c r="D3634" s="144"/>
      <c r="E3634" s="144"/>
      <c r="F3634" s="373"/>
      <c r="I3634" s="70"/>
    </row>
    <row r="3635" spans="3:9" s="46" customFormat="1" x14ac:dyDescent="0.2">
      <c r="C3635" s="144"/>
      <c r="D3635" s="144"/>
      <c r="E3635" s="144"/>
      <c r="F3635" s="373"/>
      <c r="I3635" s="70"/>
    </row>
    <row r="3636" spans="3:9" s="46" customFormat="1" x14ac:dyDescent="0.2">
      <c r="C3636" s="144"/>
      <c r="D3636" s="144"/>
      <c r="E3636" s="144"/>
      <c r="F3636" s="373"/>
      <c r="I3636" s="70"/>
    </row>
    <row r="3637" spans="3:9" s="46" customFormat="1" x14ac:dyDescent="0.2">
      <c r="C3637" s="144"/>
      <c r="D3637" s="144"/>
      <c r="E3637" s="144"/>
      <c r="F3637" s="373"/>
      <c r="I3637" s="70"/>
    </row>
    <row r="3638" spans="3:9" s="46" customFormat="1" x14ac:dyDescent="0.2">
      <c r="C3638" s="144"/>
      <c r="D3638" s="144"/>
      <c r="E3638" s="144"/>
      <c r="F3638" s="373"/>
      <c r="I3638" s="70"/>
    </row>
    <row r="3639" spans="3:9" s="46" customFormat="1" x14ac:dyDescent="0.2">
      <c r="C3639" s="144"/>
      <c r="D3639" s="144"/>
      <c r="E3639" s="144"/>
      <c r="F3639" s="373"/>
      <c r="I3639" s="70"/>
    </row>
    <row r="3640" spans="3:9" s="46" customFormat="1" x14ac:dyDescent="0.2">
      <c r="C3640" s="144"/>
      <c r="D3640" s="144"/>
      <c r="E3640" s="144"/>
      <c r="F3640" s="373"/>
      <c r="I3640" s="70"/>
    </row>
    <row r="3641" spans="3:9" s="46" customFormat="1" x14ac:dyDescent="0.2">
      <c r="C3641" s="144"/>
      <c r="D3641" s="144"/>
      <c r="E3641" s="144"/>
      <c r="F3641" s="373"/>
      <c r="I3641" s="70"/>
    </row>
    <row r="3642" spans="3:9" s="46" customFormat="1" x14ac:dyDescent="0.2">
      <c r="C3642" s="144"/>
      <c r="D3642" s="144"/>
      <c r="E3642" s="144"/>
      <c r="F3642" s="373"/>
      <c r="I3642" s="70"/>
    </row>
    <row r="3643" spans="3:9" s="46" customFormat="1" x14ac:dyDescent="0.2">
      <c r="C3643" s="144"/>
      <c r="D3643" s="144"/>
      <c r="E3643" s="144"/>
      <c r="F3643" s="373"/>
      <c r="I3643" s="70"/>
    </row>
    <row r="3644" spans="3:9" s="46" customFormat="1" x14ac:dyDescent="0.2">
      <c r="C3644" s="144"/>
      <c r="D3644" s="144"/>
      <c r="E3644" s="144"/>
      <c r="F3644" s="373"/>
      <c r="I3644" s="70"/>
    </row>
    <row r="3645" spans="3:9" s="46" customFormat="1" x14ac:dyDescent="0.2">
      <c r="C3645" s="144"/>
      <c r="D3645" s="144"/>
      <c r="E3645" s="144"/>
      <c r="F3645" s="373"/>
      <c r="I3645" s="70"/>
    </row>
    <row r="3646" spans="3:9" s="46" customFormat="1" x14ac:dyDescent="0.2">
      <c r="C3646" s="144"/>
      <c r="D3646" s="144"/>
      <c r="E3646" s="144"/>
      <c r="F3646" s="373"/>
      <c r="I3646" s="70"/>
    </row>
    <row r="3647" spans="3:9" s="46" customFormat="1" x14ac:dyDescent="0.2">
      <c r="C3647" s="144"/>
      <c r="D3647" s="144"/>
      <c r="E3647" s="144"/>
      <c r="F3647" s="373"/>
      <c r="I3647" s="70"/>
    </row>
    <row r="3648" spans="3:9" s="46" customFormat="1" x14ac:dyDescent="0.2">
      <c r="C3648" s="144"/>
      <c r="D3648" s="144"/>
      <c r="E3648" s="144"/>
      <c r="F3648" s="373"/>
      <c r="I3648" s="70"/>
    </row>
    <row r="3649" spans="3:9" s="46" customFormat="1" x14ac:dyDescent="0.2">
      <c r="C3649" s="144"/>
      <c r="D3649" s="144"/>
      <c r="E3649" s="144"/>
      <c r="F3649" s="373"/>
      <c r="I3649" s="70"/>
    </row>
    <row r="3650" spans="3:9" s="46" customFormat="1" x14ac:dyDescent="0.2">
      <c r="C3650" s="144"/>
      <c r="D3650" s="144"/>
      <c r="E3650" s="144"/>
      <c r="F3650" s="373"/>
      <c r="I3650" s="70"/>
    </row>
    <row r="3651" spans="3:9" s="46" customFormat="1" x14ac:dyDescent="0.2">
      <c r="C3651" s="144"/>
      <c r="D3651" s="144"/>
      <c r="E3651" s="144"/>
      <c r="F3651" s="373"/>
      <c r="I3651" s="70"/>
    </row>
    <row r="3652" spans="3:9" s="46" customFormat="1" x14ac:dyDescent="0.2">
      <c r="C3652" s="144"/>
      <c r="D3652" s="144"/>
      <c r="E3652" s="144"/>
      <c r="F3652" s="373"/>
      <c r="I3652" s="70"/>
    </row>
    <row r="3653" spans="3:9" s="46" customFormat="1" x14ac:dyDescent="0.2">
      <c r="C3653" s="144"/>
      <c r="D3653" s="144"/>
      <c r="E3653" s="144"/>
      <c r="F3653" s="373"/>
      <c r="I3653" s="70"/>
    </row>
    <row r="3654" spans="3:9" s="46" customFormat="1" x14ac:dyDescent="0.2">
      <c r="C3654" s="144"/>
      <c r="D3654" s="144"/>
      <c r="E3654" s="144"/>
      <c r="F3654" s="373"/>
      <c r="I3654" s="70"/>
    </row>
    <row r="3655" spans="3:9" s="46" customFormat="1" x14ac:dyDescent="0.2">
      <c r="C3655" s="144"/>
      <c r="D3655" s="144"/>
      <c r="E3655" s="144"/>
      <c r="F3655" s="373"/>
      <c r="I3655" s="70"/>
    </row>
    <row r="3656" spans="3:9" s="46" customFormat="1" x14ac:dyDescent="0.2">
      <c r="C3656" s="144"/>
      <c r="D3656" s="144"/>
      <c r="E3656" s="144"/>
      <c r="F3656" s="373"/>
      <c r="I3656" s="70"/>
    </row>
    <row r="3657" spans="3:9" s="46" customFormat="1" x14ac:dyDescent="0.2">
      <c r="C3657" s="144"/>
      <c r="D3657" s="144"/>
      <c r="E3657" s="144"/>
      <c r="F3657" s="373"/>
      <c r="I3657" s="70"/>
    </row>
    <row r="3658" spans="3:9" s="46" customFormat="1" x14ac:dyDescent="0.2">
      <c r="C3658" s="144"/>
      <c r="D3658" s="144"/>
      <c r="E3658" s="144"/>
      <c r="F3658" s="373"/>
      <c r="I3658" s="70"/>
    </row>
    <row r="3659" spans="3:9" s="46" customFormat="1" x14ac:dyDescent="0.2">
      <c r="C3659" s="144"/>
      <c r="D3659" s="144"/>
      <c r="E3659" s="144"/>
      <c r="F3659" s="373"/>
      <c r="I3659" s="70"/>
    </row>
    <row r="3660" spans="3:9" s="46" customFormat="1" x14ac:dyDescent="0.2">
      <c r="C3660" s="144"/>
      <c r="D3660" s="144"/>
      <c r="E3660" s="144"/>
      <c r="F3660" s="373"/>
      <c r="I3660" s="70"/>
    </row>
    <row r="3661" spans="3:9" s="46" customFormat="1" x14ac:dyDescent="0.2">
      <c r="C3661" s="144"/>
      <c r="D3661" s="144"/>
      <c r="E3661" s="144"/>
      <c r="F3661" s="373"/>
      <c r="I3661" s="70"/>
    </row>
    <row r="3662" spans="3:9" s="46" customFormat="1" x14ac:dyDescent="0.2">
      <c r="C3662" s="144"/>
      <c r="D3662" s="144"/>
      <c r="E3662" s="144"/>
      <c r="F3662" s="373"/>
      <c r="I3662" s="70"/>
    </row>
    <row r="3663" spans="3:9" s="46" customFormat="1" x14ac:dyDescent="0.2">
      <c r="C3663" s="144"/>
      <c r="D3663" s="144"/>
      <c r="E3663" s="144"/>
      <c r="F3663" s="373"/>
      <c r="I3663" s="70"/>
    </row>
    <row r="3664" spans="3:9" s="46" customFormat="1" x14ac:dyDescent="0.2">
      <c r="C3664" s="144"/>
      <c r="D3664" s="144"/>
      <c r="E3664" s="144"/>
      <c r="F3664" s="373"/>
      <c r="I3664" s="70"/>
    </row>
    <row r="3665" spans="3:9" s="46" customFormat="1" x14ac:dyDescent="0.2">
      <c r="C3665" s="144"/>
      <c r="D3665" s="144"/>
      <c r="E3665" s="144"/>
      <c r="F3665" s="373"/>
      <c r="I3665" s="70"/>
    </row>
    <row r="3666" spans="3:9" s="46" customFormat="1" x14ac:dyDescent="0.2">
      <c r="C3666" s="144"/>
      <c r="D3666" s="144"/>
      <c r="E3666" s="144"/>
      <c r="F3666" s="373"/>
      <c r="I3666" s="70"/>
    </row>
    <row r="3667" spans="3:9" s="46" customFormat="1" x14ac:dyDescent="0.2">
      <c r="C3667" s="144"/>
      <c r="D3667" s="144"/>
      <c r="E3667" s="144"/>
      <c r="F3667" s="373"/>
      <c r="I3667" s="70"/>
    </row>
    <row r="3668" spans="3:9" s="46" customFormat="1" x14ac:dyDescent="0.2">
      <c r="C3668" s="144"/>
      <c r="D3668" s="144"/>
      <c r="E3668" s="144"/>
      <c r="F3668" s="373"/>
      <c r="I3668" s="70"/>
    </row>
    <row r="3669" spans="3:9" s="46" customFormat="1" x14ac:dyDescent="0.2">
      <c r="C3669" s="144"/>
      <c r="D3669" s="144"/>
      <c r="E3669" s="144"/>
      <c r="F3669" s="373"/>
      <c r="I3669" s="70"/>
    </row>
    <row r="3670" spans="3:9" s="46" customFormat="1" x14ac:dyDescent="0.2">
      <c r="C3670" s="144"/>
      <c r="D3670" s="144"/>
      <c r="E3670" s="144"/>
      <c r="F3670" s="373"/>
      <c r="I3670" s="70"/>
    </row>
    <row r="3671" spans="3:9" s="46" customFormat="1" x14ac:dyDescent="0.2">
      <c r="C3671" s="144"/>
      <c r="D3671" s="144"/>
      <c r="E3671" s="144"/>
      <c r="F3671" s="373"/>
      <c r="I3671" s="70"/>
    </row>
    <row r="3672" spans="3:9" s="46" customFormat="1" x14ac:dyDescent="0.2">
      <c r="C3672" s="144"/>
      <c r="D3672" s="144"/>
      <c r="E3672" s="144"/>
      <c r="F3672" s="373"/>
      <c r="I3672" s="70"/>
    </row>
    <row r="3673" spans="3:9" s="46" customFormat="1" x14ac:dyDescent="0.2">
      <c r="C3673" s="144"/>
      <c r="D3673" s="144"/>
      <c r="E3673" s="144"/>
      <c r="F3673" s="373"/>
      <c r="I3673" s="70"/>
    </row>
    <row r="3674" spans="3:9" s="46" customFormat="1" x14ac:dyDescent="0.2">
      <c r="C3674" s="144"/>
      <c r="D3674" s="144"/>
      <c r="E3674" s="144"/>
      <c r="F3674" s="373"/>
      <c r="I3674" s="70"/>
    </row>
    <row r="3675" spans="3:9" s="46" customFormat="1" x14ac:dyDescent="0.2">
      <c r="C3675" s="144"/>
      <c r="D3675" s="144"/>
      <c r="E3675" s="144"/>
      <c r="F3675" s="373"/>
      <c r="I3675" s="70"/>
    </row>
    <row r="3676" spans="3:9" s="46" customFormat="1" x14ac:dyDescent="0.2">
      <c r="C3676" s="144"/>
      <c r="D3676" s="144"/>
      <c r="E3676" s="144"/>
      <c r="F3676" s="373"/>
      <c r="I3676" s="70"/>
    </row>
    <row r="3677" spans="3:9" s="46" customFormat="1" x14ac:dyDescent="0.2">
      <c r="C3677" s="144"/>
      <c r="D3677" s="144"/>
      <c r="E3677" s="144"/>
      <c r="F3677" s="373"/>
      <c r="I3677" s="70"/>
    </row>
    <row r="3678" spans="3:9" s="46" customFormat="1" x14ac:dyDescent="0.2">
      <c r="C3678" s="144"/>
      <c r="D3678" s="144"/>
      <c r="E3678" s="144"/>
      <c r="F3678" s="373"/>
      <c r="I3678" s="70"/>
    </row>
    <row r="3679" spans="3:9" s="46" customFormat="1" x14ac:dyDescent="0.2">
      <c r="C3679" s="144"/>
      <c r="D3679" s="144"/>
      <c r="E3679" s="144"/>
      <c r="F3679" s="373"/>
      <c r="I3679" s="70"/>
    </row>
    <row r="3680" spans="3:9" s="46" customFormat="1" x14ac:dyDescent="0.2">
      <c r="C3680" s="144"/>
      <c r="D3680" s="144"/>
      <c r="E3680" s="144"/>
      <c r="F3680" s="373"/>
      <c r="I3680" s="70"/>
    </row>
    <row r="3681" spans="3:9" s="46" customFormat="1" x14ac:dyDescent="0.2">
      <c r="C3681" s="144"/>
      <c r="D3681" s="144"/>
      <c r="E3681" s="144"/>
      <c r="F3681" s="373"/>
      <c r="I3681" s="70"/>
    </row>
    <row r="3682" spans="3:9" s="46" customFormat="1" x14ac:dyDescent="0.2">
      <c r="C3682" s="144"/>
      <c r="D3682" s="144"/>
      <c r="E3682" s="144"/>
      <c r="F3682" s="373"/>
      <c r="I3682" s="70"/>
    </row>
    <row r="3683" spans="3:9" s="46" customFormat="1" x14ac:dyDescent="0.2">
      <c r="C3683" s="144"/>
      <c r="D3683" s="144"/>
      <c r="E3683" s="144"/>
      <c r="F3683" s="373"/>
      <c r="I3683" s="70"/>
    </row>
    <row r="3684" spans="3:9" s="46" customFormat="1" x14ac:dyDescent="0.2">
      <c r="C3684" s="144"/>
      <c r="D3684" s="144"/>
      <c r="E3684" s="144"/>
      <c r="F3684" s="373"/>
      <c r="I3684" s="70"/>
    </row>
    <row r="3685" spans="3:9" s="46" customFormat="1" x14ac:dyDescent="0.2">
      <c r="C3685" s="144"/>
      <c r="D3685" s="144"/>
      <c r="E3685" s="144"/>
      <c r="F3685" s="373"/>
      <c r="I3685" s="70"/>
    </row>
    <row r="3686" spans="3:9" s="46" customFormat="1" x14ac:dyDescent="0.2">
      <c r="C3686" s="144"/>
      <c r="D3686" s="144"/>
      <c r="E3686" s="144"/>
      <c r="F3686" s="373"/>
      <c r="I3686" s="70"/>
    </row>
    <row r="3687" spans="3:9" s="46" customFormat="1" x14ac:dyDescent="0.2">
      <c r="C3687" s="144"/>
      <c r="D3687" s="144"/>
      <c r="E3687" s="144"/>
      <c r="F3687" s="373"/>
      <c r="I3687" s="70"/>
    </row>
    <row r="3688" spans="3:9" s="46" customFormat="1" x14ac:dyDescent="0.2">
      <c r="C3688" s="144"/>
      <c r="D3688" s="144"/>
      <c r="E3688" s="144"/>
      <c r="F3688" s="373"/>
      <c r="I3688" s="70"/>
    </row>
    <row r="3689" spans="3:9" s="46" customFormat="1" x14ac:dyDescent="0.2">
      <c r="C3689" s="144"/>
      <c r="D3689" s="144"/>
      <c r="E3689" s="144"/>
      <c r="F3689" s="373"/>
      <c r="I3689" s="70"/>
    </row>
    <row r="3690" spans="3:9" s="46" customFormat="1" x14ac:dyDescent="0.2">
      <c r="C3690" s="144"/>
      <c r="D3690" s="144"/>
      <c r="E3690" s="144"/>
      <c r="F3690" s="373"/>
      <c r="I3690" s="70"/>
    </row>
    <row r="3691" spans="3:9" s="46" customFormat="1" x14ac:dyDescent="0.2">
      <c r="C3691" s="144"/>
      <c r="D3691" s="144"/>
      <c r="E3691" s="144"/>
      <c r="F3691" s="373"/>
      <c r="I3691" s="70"/>
    </row>
    <row r="3692" spans="3:9" s="46" customFormat="1" x14ac:dyDescent="0.2">
      <c r="C3692" s="144"/>
      <c r="D3692" s="144"/>
      <c r="E3692" s="144"/>
      <c r="F3692" s="373"/>
      <c r="I3692" s="70"/>
    </row>
    <row r="3693" spans="3:9" s="46" customFormat="1" x14ac:dyDescent="0.2">
      <c r="C3693" s="144"/>
      <c r="D3693" s="144"/>
      <c r="E3693" s="144"/>
      <c r="F3693" s="373"/>
      <c r="I3693" s="70"/>
    </row>
    <row r="3694" spans="3:9" s="46" customFormat="1" x14ac:dyDescent="0.2">
      <c r="C3694" s="144"/>
      <c r="D3694" s="144"/>
      <c r="E3694" s="144"/>
      <c r="F3694" s="373"/>
      <c r="I3694" s="70"/>
    </row>
    <row r="3695" spans="3:9" s="46" customFormat="1" x14ac:dyDescent="0.2">
      <c r="C3695" s="144"/>
      <c r="D3695" s="144"/>
      <c r="E3695" s="144"/>
      <c r="F3695" s="373"/>
      <c r="I3695" s="70"/>
    </row>
    <row r="3696" spans="3:9" s="46" customFormat="1" x14ac:dyDescent="0.2">
      <c r="C3696" s="144"/>
      <c r="D3696" s="144"/>
      <c r="E3696" s="144"/>
      <c r="F3696" s="373"/>
      <c r="I3696" s="70"/>
    </row>
    <row r="3697" spans="3:9" s="46" customFormat="1" x14ac:dyDescent="0.2">
      <c r="C3697" s="144"/>
      <c r="D3697" s="144"/>
      <c r="E3697" s="144"/>
      <c r="F3697" s="373"/>
      <c r="I3697" s="70"/>
    </row>
    <row r="3698" spans="3:9" s="46" customFormat="1" x14ac:dyDescent="0.2">
      <c r="C3698" s="144"/>
      <c r="D3698" s="144"/>
      <c r="E3698" s="144"/>
      <c r="F3698" s="373"/>
      <c r="I3698" s="70"/>
    </row>
    <row r="3699" spans="3:9" s="46" customFormat="1" x14ac:dyDescent="0.2">
      <c r="C3699" s="144"/>
      <c r="D3699" s="144"/>
      <c r="E3699" s="144"/>
      <c r="F3699" s="373"/>
      <c r="I3699" s="70"/>
    </row>
    <row r="3700" spans="3:9" s="46" customFormat="1" x14ac:dyDescent="0.2">
      <c r="C3700" s="144"/>
      <c r="D3700" s="144"/>
      <c r="E3700" s="144"/>
      <c r="F3700" s="373"/>
      <c r="I3700" s="70"/>
    </row>
    <row r="3701" spans="3:9" s="46" customFormat="1" x14ac:dyDescent="0.2">
      <c r="C3701" s="144"/>
      <c r="D3701" s="144"/>
      <c r="E3701" s="144"/>
      <c r="F3701" s="373"/>
      <c r="I3701" s="70"/>
    </row>
    <row r="3702" spans="3:9" s="46" customFormat="1" x14ac:dyDescent="0.2">
      <c r="C3702" s="144"/>
      <c r="D3702" s="144"/>
      <c r="E3702" s="144"/>
      <c r="F3702" s="373"/>
      <c r="I3702" s="70"/>
    </row>
    <row r="3703" spans="3:9" s="46" customFormat="1" x14ac:dyDescent="0.2">
      <c r="C3703" s="144"/>
      <c r="D3703" s="144"/>
      <c r="E3703" s="144"/>
      <c r="F3703" s="373"/>
      <c r="I3703" s="70"/>
    </row>
    <row r="3704" spans="3:9" s="46" customFormat="1" x14ac:dyDescent="0.2">
      <c r="C3704" s="144"/>
      <c r="D3704" s="144"/>
      <c r="E3704" s="144"/>
      <c r="F3704" s="373"/>
      <c r="I3704" s="70"/>
    </row>
    <row r="3705" spans="3:9" s="46" customFormat="1" x14ac:dyDescent="0.2">
      <c r="C3705" s="144"/>
      <c r="D3705" s="144"/>
      <c r="E3705" s="144"/>
      <c r="F3705" s="373"/>
      <c r="I3705" s="70"/>
    </row>
    <row r="3706" spans="3:9" s="46" customFormat="1" x14ac:dyDescent="0.2">
      <c r="C3706" s="144"/>
      <c r="D3706" s="144"/>
      <c r="E3706" s="144"/>
      <c r="F3706" s="373"/>
      <c r="I3706" s="70"/>
    </row>
    <row r="3707" spans="3:9" s="46" customFormat="1" x14ac:dyDescent="0.2">
      <c r="C3707" s="144"/>
      <c r="D3707" s="144"/>
      <c r="E3707" s="144"/>
      <c r="F3707" s="373"/>
      <c r="I3707" s="70"/>
    </row>
    <row r="3708" spans="3:9" s="46" customFormat="1" x14ac:dyDescent="0.2">
      <c r="C3708" s="144"/>
      <c r="D3708" s="144"/>
      <c r="E3708" s="144"/>
      <c r="F3708" s="373"/>
      <c r="I3708" s="70"/>
    </row>
    <row r="3709" spans="3:9" s="46" customFormat="1" x14ac:dyDescent="0.2">
      <c r="C3709" s="144"/>
      <c r="D3709" s="144"/>
      <c r="E3709" s="144"/>
      <c r="F3709" s="373"/>
      <c r="I3709" s="70"/>
    </row>
    <row r="3710" spans="3:9" s="46" customFormat="1" x14ac:dyDescent="0.2">
      <c r="C3710" s="144"/>
      <c r="D3710" s="144"/>
      <c r="E3710" s="144"/>
      <c r="F3710" s="373"/>
      <c r="I3710" s="70"/>
    </row>
    <row r="3711" spans="3:9" s="46" customFormat="1" x14ac:dyDescent="0.2">
      <c r="C3711" s="144"/>
      <c r="D3711" s="144"/>
      <c r="E3711" s="144"/>
      <c r="F3711" s="373"/>
      <c r="I3711" s="70"/>
    </row>
    <row r="3712" spans="3:9" s="46" customFormat="1" x14ac:dyDescent="0.2">
      <c r="C3712" s="144"/>
      <c r="D3712" s="144"/>
      <c r="E3712" s="144"/>
      <c r="F3712" s="373"/>
      <c r="I3712" s="70"/>
    </row>
    <row r="3713" spans="3:9" s="46" customFormat="1" x14ac:dyDescent="0.2">
      <c r="C3713" s="144"/>
      <c r="D3713" s="144"/>
      <c r="E3713" s="144"/>
      <c r="F3713" s="373"/>
      <c r="I3713" s="70"/>
    </row>
    <row r="3714" spans="3:9" s="46" customFormat="1" x14ac:dyDescent="0.2">
      <c r="C3714" s="144"/>
      <c r="D3714" s="144"/>
      <c r="E3714" s="144"/>
      <c r="F3714" s="373"/>
      <c r="I3714" s="70"/>
    </row>
    <row r="3715" spans="3:9" s="46" customFormat="1" x14ac:dyDescent="0.2">
      <c r="C3715" s="144"/>
      <c r="D3715" s="144"/>
      <c r="E3715" s="144"/>
      <c r="F3715" s="373"/>
      <c r="I3715" s="70"/>
    </row>
    <row r="3716" spans="3:9" s="46" customFormat="1" x14ac:dyDescent="0.2">
      <c r="C3716" s="144"/>
      <c r="D3716" s="144"/>
      <c r="E3716" s="144"/>
      <c r="F3716" s="373"/>
      <c r="I3716" s="70"/>
    </row>
    <row r="3717" spans="3:9" s="46" customFormat="1" x14ac:dyDescent="0.2">
      <c r="C3717" s="144"/>
      <c r="D3717" s="144"/>
      <c r="E3717" s="144"/>
      <c r="F3717" s="373"/>
      <c r="I3717" s="70"/>
    </row>
    <row r="3718" spans="3:9" s="46" customFormat="1" x14ac:dyDescent="0.2">
      <c r="C3718" s="144"/>
      <c r="D3718" s="144"/>
      <c r="E3718" s="144"/>
      <c r="F3718" s="373"/>
      <c r="I3718" s="70"/>
    </row>
    <row r="3719" spans="3:9" s="46" customFormat="1" x14ac:dyDescent="0.2">
      <c r="C3719" s="144"/>
      <c r="D3719" s="144"/>
      <c r="E3719" s="144"/>
      <c r="F3719" s="373"/>
      <c r="I3719" s="70"/>
    </row>
    <row r="3720" spans="3:9" s="46" customFormat="1" x14ac:dyDescent="0.2">
      <c r="C3720" s="144"/>
      <c r="D3720" s="144"/>
      <c r="E3720" s="144"/>
      <c r="F3720" s="373"/>
      <c r="I3720" s="70"/>
    </row>
    <row r="3721" spans="3:9" s="46" customFormat="1" x14ac:dyDescent="0.2">
      <c r="C3721" s="144"/>
      <c r="D3721" s="144"/>
      <c r="E3721" s="144"/>
      <c r="F3721" s="373"/>
      <c r="I3721" s="70"/>
    </row>
    <row r="3722" spans="3:9" s="46" customFormat="1" x14ac:dyDescent="0.2">
      <c r="C3722" s="144"/>
      <c r="D3722" s="144"/>
      <c r="E3722" s="144"/>
      <c r="F3722" s="373"/>
      <c r="I3722" s="70"/>
    </row>
    <row r="3723" spans="3:9" s="46" customFormat="1" x14ac:dyDescent="0.2">
      <c r="C3723" s="144"/>
      <c r="D3723" s="144"/>
      <c r="E3723" s="144"/>
      <c r="F3723" s="373"/>
      <c r="I3723" s="70"/>
    </row>
    <row r="3724" spans="3:9" s="46" customFormat="1" x14ac:dyDescent="0.2">
      <c r="C3724" s="144"/>
      <c r="D3724" s="144"/>
      <c r="E3724" s="144"/>
      <c r="F3724" s="373"/>
      <c r="I3724" s="70"/>
    </row>
    <row r="3725" spans="3:9" s="46" customFormat="1" x14ac:dyDescent="0.2">
      <c r="C3725" s="144"/>
      <c r="D3725" s="144"/>
      <c r="E3725" s="144"/>
      <c r="F3725" s="373"/>
      <c r="I3725" s="70"/>
    </row>
    <row r="3726" spans="3:9" s="46" customFormat="1" x14ac:dyDescent="0.2">
      <c r="C3726" s="144"/>
      <c r="D3726" s="144"/>
      <c r="E3726" s="144"/>
      <c r="F3726" s="373"/>
      <c r="I3726" s="70"/>
    </row>
    <row r="3727" spans="3:9" s="46" customFormat="1" x14ac:dyDescent="0.2">
      <c r="C3727" s="144"/>
      <c r="D3727" s="144"/>
      <c r="E3727" s="144"/>
      <c r="F3727" s="373"/>
      <c r="I3727" s="70"/>
    </row>
    <row r="3728" spans="3:9" s="46" customFormat="1" x14ac:dyDescent="0.2">
      <c r="C3728" s="144"/>
      <c r="D3728" s="144"/>
      <c r="E3728" s="144"/>
      <c r="F3728" s="373"/>
      <c r="I3728" s="70"/>
    </row>
    <row r="3729" spans="3:9" s="46" customFormat="1" x14ac:dyDescent="0.2">
      <c r="C3729" s="144"/>
      <c r="D3729" s="144"/>
      <c r="E3729" s="144"/>
      <c r="F3729" s="373"/>
      <c r="I3729" s="70"/>
    </row>
    <row r="3730" spans="3:9" s="46" customFormat="1" x14ac:dyDescent="0.2">
      <c r="C3730" s="144"/>
      <c r="D3730" s="144"/>
      <c r="E3730" s="144"/>
      <c r="F3730" s="373"/>
      <c r="I3730" s="70"/>
    </row>
    <row r="3731" spans="3:9" s="46" customFormat="1" x14ac:dyDescent="0.2">
      <c r="C3731" s="144"/>
      <c r="D3731" s="144"/>
      <c r="E3731" s="144"/>
      <c r="F3731" s="373"/>
      <c r="I3731" s="70"/>
    </row>
    <row r="3732" spans="3:9" s="46" customFormat="1" x14ac:dyDescent="0.2">
      <c r="C3732" s="144"/>
      <c r="D3732" s="144"/>
      <c r="E3732" s="144"/>
      <c r="F3732" s="373"/>
      <c r="I3732" s="70"/>
    </row>
    <row r="3733" spans="3:9" s="46" customFormat="1" x14ac:dyDescent="0.2">
      <c r="C3733" s="144"/>
      <c r="D3733" s="144"/>
      <c r="E3733" s="144"/>
      <c r="F3733" s="373"/>
      <c r="I3733" s="70"/>
    </row>
    <row r="3734" spans="3:9" s="46" customFormat="1" x14ac:dyDescent="0.2">
      <c r="C3734" s="144"/>
      <c r="D3734" s="144"/>
      <c r="E3734" s="144"/>
      <c r="F3734" s="373"/>
      <c r="I3734" s="70"/>
    </row>
    <row r="3735" spans="3:9" s="46" customFormat="1" x14ac:dyDescent="0.2">
      <c r="C3735" s="144"/>
      <c r="D3735" s="144"/>
      <c r="E3735" s="144"/>
      <c r="F3735" s="373"/>
      <c r="I3735" s="70"/>
    </row>
    <row r="3736" spans="3:9" s="46" customFormat="1" x14ac:dyDescent="0.2">
      <c r="C3736" s="144"/>
      <c r="D3736" s="144"/>
      <c r="E3736" s="144"/>
      <c r="F3736" s="373"/>
      <c r="I3736" s="70"/>
    </row>
    <row r="3737" spans="3:9" s="46" customFormat="1" x14ac:dyDescent="0.2">
      <c r="C3737" s="144"/>
      <c r="D3737" s="144"/>
      <c r="E3737" s="144"/>
      <c r="F3737" s="373"/>
      <c r="I3737" s="70"/>
    </row>
    <row r="3738" spans="3:9" s="46" customFormat="1" x14ac:dyDescent="0.2">
      <c r="C3738" s="144"/>
      <c r="D3738" s="144"/>
      <c r="E3738" s="144"/>
      <c r="F3738" s="373"/>
      <c r="I3738" s="70"/>
    </row>
    <row r="3739" spans="3:9" s="46" customFormat="1" x14ac:dyDescent="0.2">
      <c r="C3739" s="144"/>
      <c r="D3739" s="144"/>
      <c r="E3739" s="144"/>
      <c r="F3739" s="373"/>
      <c r="I3739" s="70"/>
    </row>
    <row r="3740" spans="3:9" s="46" customFormat="1" x14ac:dyDescent="0.2">
      <c r="C3740" s="144"/>
      <c r="D3740" s="144"/>
      <c r="E3740" s="144"/>
      <c r="F3740" s="373"/>
      <c r="I3740" s="70"/>
    </row>
    <row r="3741" spans="3:9" s="46" customFormat="1" x14ac:dyDescent="0.2">
      <c r="C3741" s="144"/>
      <c r="D3741" s="144"/>
      <c r="E3741" s="144"/>
      <c r="F3741" s="373"/>
      <c r="I3741" s="70"/>
    </row>
    <row r="3742" spans="3:9" s="46" customFormat="1" x14ac:dyDescent="0.2">
      <c r="C3742" s="144"/>
      <c r="D3742" s="144"/>
      <c r="E3742" s="144"/>
      <c r="F3742" s="373"/>
      <c r="I3742" s="70"/>
    </row>
    <row r="3743" spans="3:9" s="46" customFormat="1" x14ac:dyDescent="0.2">
      <c r="C3743" s="144"/>
      <c r="D3743" s="144"/>
      <c r="E3743" s="144"/>
      <c r="F3743" s="373"/>
      <c r="I3743" s="70"/>
    </row>
    <row r="3744" spans="3:9" s="46" customFormat="1" x14ac:dyDescent="0.2">
      <c r="C3744" s="144"/>
      <c r="D3744" s="144"/>
      <c r="E3744" s="144"/>
      <c r="F3744" s="373"/>
      <c r="I3744" s="70"/>
    </row>
    <row r="3745" spans="3:9" s="46" customFormat="1" x14ac:dyDescent="0.2">
      <c r="C3745" s="144"/>
      <c r="D3745" s="144"/>
      <c r="E3745" s="144"/>
      <c r="F3745" s="373"/>
      <c r="I3745" s="70"/>
    </row>
    <row r="3746" spans="3:9" s="46" customFormat="1" x14ac:dyDescent="0.2">
      <c r="C3746" s="144"/>
      <c r="D3746" s="144"/>
      <c r="E3746" s="144"/>
      <c r="F3746" s="373"/>
      <c r="I3746" s="70"/>
    </row>
    <row r="3747" spans="3:9" s="46" customFormat="1" x14ac:dyDescent="0.2">
      <c r="C3747" s="144"/>
      <c r="D3747" s="144"/>
      <c r="E3747" s="144"/>
      <c r="F3747" s="373"/>
      <c r="I3747" s="70"/>
    </row>
    <row r="3748" spans="3:9" s="46" customFormat="1" x14ac:dyDescent="0.2">
      <c r="C3748" s="144"/>
      <c r="D3748" s="144"/>
      <c r="E3748" s="144"/>
      <c r="F3748" s="373"/>
      <c r="I3748" s="70"/>
    </row>
    <row r="3749" spans="3:9" s="46" customFormat="1" x14ac:dyDescent="0.2">
      <c r="C3749" s="144"/>
      <c r="D3749" s="144"/>
      <c r="E3749" s="144"/>
      <c r="F3749" s="373"/>
      <c r="I3749" s="70"/>
    </row>
    <row r="3750" spans="3:9" s="46" customFormat="1" x14ac:dyDescent="0.2">
      <c r="C3750" s="144"/>
      <c r="D3750" s="144"/>
      <c r="E3750" s="144"/>
      <c r="F3750" s="373"/>
      <c r="I3750" s="70"/>
    </row>
    <row r="3751" spans="3:9" s="46" customFormat="1" x14ac:dyDescent="0.2">
      <c r="C3751" s="144"/>
      <c r="D3751" s="144"/>
      <c r="E3751" s="144"/>
      <c r="F3751" s="373"/>
      <c r="I3751" s="70"/>
    </row>
    <row r="3752" spans="3:9" s="46" customFormat="1" x14ac:dyDescent="0.2">
      <c r="C3752" s="144"/>
      <c r="D3752" s="144"/>
      <c r="E3752" s="144"/>
      <c r="F3752" s="373"/>
      <c r="I3752" s="70"/>
    </row>
    <row r="3753" spans="3:9" s="46" customFormat="1" x14ac:dyDescent="0.2">
      <c r="C3753" s="144"/>
      <c r="D3753" s="144"/>
      <c r="E3753" s="144"/>
      <c r="F3753" s="373"/>
      <c r="I3753" s="70"/>
    </row>
    <row r="3754" spans="3:9" s="46" customFormat="1" x14ac:dyDescent="0.2">
      <c r="C3754" s="144"/>
      <c r="D3754" s="144"/>
      <c r="E3754" s="144"/>
      <c r="F3754" s="373"/>
      <c r="I3754" s="70"/>
    </row>
    <row r="3755" spans="3:9" s="46" customFormat="1" x14ac:dyDescent="0.2">
      <c r="C3755" s="144"/>
      <c r="D3755" s="144"/>
      <c r="E3755" s="144"/>
      <c r="F3755" s="373"/>
      <c r="I3755" s="70"/>
    </row>
    <row r="3756" spans="3:9" s="46" customFormat="1" x14ac:dyDescent="0.2">
      <c r="C3756" s="144"/>
      <c r="D3756" s="144"/>
      <c r="E3756" s="144"/>
      <c r="F3756" s="373"/>
      <c r="I3756" s="70"/>
    </row>
    <row r="3757" spans="3:9" s="46" customFormat="1" x14ac:dyDescent="0.2">
      <c r="C3757" s="144"/>
      <c r="D3757" s="144"/>
      <c r="E3757" s="144"/>
      <c r="F3757" s="373"/>
      <c r="I3757" s="70"/>
    </row>
    <row r="3758" spans="3:9" s="46" customFormat="1" x14ac:dyDescent="0.2">
      <c r="C3758" s="144"/>
      <c r="D3758" s="144"/>
      <c r="E3758" s="144"/>
      <c r="F3758" s="373"/>
      <c r="I3758" s="70"/>
    </row>
    <row r="3759" spans="3:9" s="46" customFormat="1" x14ac:dyDescent="0.2">
      <c r="C3759" s="144"/>
      <c r="D3759" s="144"/>
      <c r="E3759" s="144"/>
      <c r="F3759" s="373"/>
      <c r="I3759" s="70"/>
    </row>
    <row r="3760" spans="3:9" s="46" customFormat="1" x14ac:dyDescent="0.2">
      <c r="C3760" s="144"/>
      <c r="D3760" s="144"/>
      <c r="E3760" s="144"/>
      <c r="F3760" s="373"/>
      <c r="I3760" s="70"/>
    </row>
    <row r="3761" spans="3:9" s="46" customFormat="1" x14ac:dyDescent="0.2">
      <c r="C3761" s="144"/>
      <c r="D3761" s="144"/>
      <c r="E3761" s="144"/>
      <c r="F3761" s="373"/>
      <c r="I3761" s="70"/>
    </row>
    <row r="3762" spans="3:9" s="46" customFormat="1" x14ac:dyDescent="0.2">
      <c r="C3762" s="144"/>
      <c r="D3762" s="144"/>
      <c r="E3762" s="144"/>
      <c r="F3762" s="373"/>
      <c r="I3762" s="70"/>
    </row>
    <row r="3763" spans="3:9" s="46" customFormat="1" x14ac:dyDescent="0.2">
      <c r="C3763" s="144"/>
      <c r="D3763" s="144"/>
      <c r="E3763" s="144"/>
      <c r="F3763" s="373"/>
      <c r="I3763" s="70"/>
    </row>
    <row r="3764" spans="3:9" s="46" customFormat="1" x14ac:dyDescent="0.2">
      <c r="C3764" s="144"/>
      <c r="D3764" s="144"/>
      <c r="E3764" s="144"/>
      <c r="F3764" s="373"/>
      <c r="I3764" s="70"/>
    </row>
    <row r="3765" spans="3:9" s="46" customFormat="1" x14ac:dyDescent="0.2">
      <c r="C3765" s="144"/>
      <c r="D3765" s="144"/>
      <c r="E3765" s="144"/>
      <c r="F3765" s="373"/>
      <c r="I3765" s="70"/>
    </row>
    <row r="3766" spans="3:9" s="46" customFormat="1" x14ac:dyDescent="0.2">
      <c r="C3766" s="144"/>
      <c r="D3766" s="144"/>
      <c r="E3766" s="144"/>
      <c r="F3766" s="373"/>
      <c r="I3766" s="70"/>
    </row>
    <row r="3767" spans="3:9" s="46" customFormat="1" x14ac:dyDescent="0.2">
      <c r="C3767" s="144"/>
      <c r="D3767" s="144"/>
      <c r="E3767" s="144"/>
      <c r="F3767" s="373"/>
      <c r="I3767" s="70"/>
    </row>
    <row r="3768" spans="3:9" s="46" customFormat="1" x14ac:dyDescent="0.2">
      <c r="C3768" s="144"/>
      <c r="D3768" s="144"/>
      <c r="E3768" s="144"/>
      <c r="F3768" s="373"/>
      <c r="I3768" s="70"/>
    </row>
    <row r="3769" spans="3:9" s="46" customFormat="1" x14ac:dyDescent="0.2">
      <c r="C3769" s="144"/>
      <c r="D3769" s="144"/>
      <c r="E3769" s="144"/>
      <c r="F3769" s="373"/>
      <c r="I3769" s="70"/>
    </row>
    <row r="3770" spans="3:9" s="46" customFormat="1" x14ac:dyDescent="0.2">
      <c r="C3770" s="144"/>
      <c r="D3770" s="144"/>
      <c r="E3770" s="144"/>
      <c r="F3770" s="373"/>
      <c r="I3770" s="70"/>
    </row>
    <row r="3771" spans="3:9" s="46" customFormat="1" x14ac:dyDescent="0.2">
      <c r="C3771" s="144"/>
      <c r="D3771" s="144"/>
      <c r="E3771" s="144"/>
      <c r="F3771" s="373"/>
      <c r="I3771" s="70"/>
    </row>
    <row r="3772" spans="3:9" s="46" customFormat="1" x14ac:dyDescent="0.2">
      <c r="C3772" s="144"/>
      <c r="D3772" s="144"/>
      <c r="E3772" s="144"/>
      <c r="F3772" s="373"/>
      <c r="I3772" s="70"/>
    </row>
    <row r="3773" spans="3:9" s="46" customFormat="1" x14ac:dyDescent="0.2">
      <c r="C3773" s="144"/>
      <c r="D3773" s="144"/>
      <c r="E3773" s="144"/>
      <c r="F3773" s="373"/>
      <c r="I3773" s="70"/>
    </row>
    <row r="3774" spans="3:9" s="46" customFormat="1" x14ac:dyDescent="0.2">
      <c r="C3774" s="144"/>
      <c r="D3774" s="144"/>
      <c r="E3774" s="144"/>
      <c r="F3774" s="373"/>
      <c r="I3774" s="70"/>
    </row>
    <row r="3775" spans="3:9" s="46" customFormat="1" x14ac:dyDescent="0.2">
      <c r="C3775" s="144"/>
      <c r="D3775" s="144"/>
      <c r="E3775" s="144"/>
      <c r="F3775" s="373"/>
      <c r="I3775" s="70"/>
    </row>
    <row r="3776" spans="3:9" s="46" customFormat="1" x14ac:dyDescent="0.2">
      <c r="C3776" s="144"/>
      <c r="D3776" s="144"/>
      <c r="E3776" s="144"/>
      <c r="F3776" s="373"/>
      <c r="I3776" s="70"/>
    </row>
    <row r="3777" spans="3:9" s="46" customFormat="1" x14ac:dyDescent="0.2">
      <c r="C3777" s="144"/>
      <c r="D3777" s="144"/>
      <c r="E3777" s="144"/>
      <c r="F3777" s="373"/>
      <c r="I3777" s="70"/>
    </row>
    <row r="3778" spans="3:9" s="46" customFormat="1" x14ac:dyDescent="0.2">
      <c r="C3778" s="144"/>
      <c r="D3778" s="144"/>
      <c r="E3778" s="144"/>
      <c r="F3778" s="373"/>
      <c r="I3778" s="70"/>
    </row>
    <row r="3779" spans="3:9" s="46" customFormat="1" x14ac:dyDescent="0.2">
      <c r="C3779" s="144"/>
      <c r="D3779" s="144"/>
      <c r="E3779" s="144"/>
      <c r="F3779" s="373"/>
      <c r="I3779" s="70"/>
    </row>
    <row r="3780" spans="3:9" s="46" customFormat="1" x14ac:dyDescent="0.2">
      <c r="C3780" s="144"/>
      <c r="D3780" s="144"/>
      <c r="E3780" s="144"/>
      <c r="F3780" s="373"/>
      <c r="I3780" s="70"/>
    </row>
    <row r="3781" spans="3:9" s="46" customFormat="1" x14ac:dyDescent="0.2">
      <c r="C3781" s="144"/>
      <c r="D3781" s="144"/>
      <c r="E3781" s="144"/>
      <c r="F3781" s="373"/>
      <c r="I3781" s="70"/>
    </row>
    <row r="3782" spans="3:9" s="46" customFormat="1" x14ac:dyDescent="0.2">
      <c r="C3782" s="144"/>
      <c r="D3782" s="144"/>
      <c r="E3782" s="144"/>
      <c r="F3782" s="373"/>
      <c r="I3782" s="70"/>
    </row>
    <row r="3783" spans="3:9" s="46" customFormat="1" x14ac:dyDescent="0.2">
      <c r="C3783" s="144"/>
      <c r="D3783" s="144"/>
      <c r="E3783" s="144"/>
      <c r="F3783" s="373"/>
      <c r="I3783" s="70"/>
    </row>
    <row r="3784" spans="3:9" s="46" customFormat="1" x14ac:dyDescent="0.2">
      <c r="C3784" s="144"/>
      <c r="D3784" s="144"/>
      <c r="E3784" s="144"/>
      <c r="F3784" s="373"/>
      <c r="I3784" s="70"/>
    </row>
    <row r="3785" spans="3:9" s="46" customFormat="1" x14ac:dyDescent="0.2">
      <c r="C3785" s="144"/>
      <c r="D3785" s="144"/>
      <c r="E3785" s="144"/>
      <c r="F3785" s="373"/>
      <c r="I3785" s="70"/>
    </row>
    <row r="3786" spans="3:9" s="46" customFormat="1" x14ac:dyDescent="0.2">
      <c r="C3786" s="144"/>
      <c r="D3786" s="144"/>
      <c r="E3786" s="144"/>
      <c r="F3786" s="373"/>
      <c r="I3786" s="70"/>
    </row>
    <row r="3787" spans="3:9" s="46" customFormat="1" x14ac:dyDescent="0.2">
      <c r="C3787" s="144"/>
      <c r="D3787" s="144"/>
      <c r="E3787" s="144"/>
      <c r="F3787" s="373"/>
      <c r="I3787" s="70"/>
    </row>
    <row r="3788" spans="3:9" s="46" customFormat="1" x14ac:dyDescent="0.2">
      <c r="C3788" s="144"/>
      <c r="D3788" s="144"/>
      <c r="E3788" s="144"/>
      <c r="F3788" s="373"/>
      <c r="I3788" s="70"/>
    </row>
    <row r="3789" spans="3:9" s="46" customFormat="1" x14ac:dyDescent="0.2">
      <c r="C3789" s="144"/>
      <c r="D3789" s="144"/>
      <c r="E3789" s="144"/>
      <c r="F3789" s="373"/>
      <c r="I3789" s="70"/>
    </row>
    <row r="3790" spans="3:9" s="46" customFormat="1" x14ac:dyDescent="0.2">
      <c r="C3790" s="144"/>
      <c r="D3790" s="144"/>
      <c r="E3790" s="144"/>
      <c r="F3790" s="373"/>
      <c r="I3790" s="70"/>
    </row>
    <row r="3791" spans="3:9" s="46" customFormat="1" x14ac:dyDescent="0.2">
      <c r="C3791" s="144"/>
      <c r="D3791" s="144"/>
      <c r="E3791" s="144"/>
      <c r="F3791" s="373"/>
      <c r="I3791" s="70"/>
    </row>
    <row r="3792" spans="3:9" s="46" customFormat="1" x14ac:dyDescent="0.2">
      <c r="C3792" s="144"/>
      <c r="D3792" s="144"/>
      <c r="E3792" s="144"/>
      <c r="F3792" s="373"/>
      <c r="I3792" s="70"/>
    </row>
    <row r="3793" spans="3:9" s="46" customFormat="1" x14ac:dyDescent="0.2">
      <c r="C3793" s="144"/>
      <c r="D3793" s="144"/>
      <c r="E3793" s="144"/>
      <c r="F3793" s="373"/>
      <c r="I3793" s="70"/>
    </row>
    <row r="3794" spans="3:9" s="46" customFormat="1" x14ac:dyDescent="0.2">
      <c r="C3794" s="144"/>
      <c r="D3794" s="144"/>
      <c r="E3794" s="144"/>
      <c r="F3794" s="373"/>
      <c r="I3794" s="70"/>
    </row>
    <row r="3795" spans="3:9" s="46" customFormat="1" x14ac:dyDescent="0.2">
      <c r="C3795" s="144"/>
      <c r="D3795" s="144"/>
      <c r="E3795" s="144"/>
      <c r="F3795" s="373"/>
      <c r="I3795" s="70"/>
    </row>
    <row r="3796" spans="3:9" s="46" customFormat="1" x14ac:dyDescent="0.2">
      <c r="C3796" s="144"/>
      <c r="D3796" s="144"/>
      <c r="E3796" s="144"/>
      <c r="F3796" s="373"/>
      <c r="I3796" s="70"/>
    </row>
    <row r="3797" spans="3:9" s="46" customFormat="1" x14ac:dyDescent="0.2">
      <c r="C3797" s="144"/>
      <c r="D3797" s="144"/>
      <c r="E3797" s="144"/>
      <c r="F3797" s="373"/>
      <c r="I3797" s="70"/>
    </row>
    <row r="3798" spans="3:9" s="46" customFormat="1" x14ac:dyDescent="0.2">
      <c r="C3798" s="144"/>
      <c r="D3798" s="144"/>
      <c r="E3798" s="144"/>
      <c r="F3798" s="373"/>
      <c r="I3798" s="70"/>
    </row>
    <row r="3799" spans="3:9" s="46" customFormat="1" x14ac:dyDescent="0.2">
      <c r="C3799" s="144"/>
      <c r="D3799" s="144"/>
      <c r="E3799" s="144"/>
      <c r="F3799" s="373"/>
      <c r="I3799" s="70"/>
    </row>
    <row r="3800" spans="3:9" s="46" customFormat="1" x14ac:dyDescent="0.2">
      <c r="C3800" s="144"/>
      <c r="D3800" s="144"/>
      <c r="E3800" s="144"/>
      <c r="F3800" s="373"/>
      <c r="I3800" s="70"/>
    </row>
    <row r="3801" spans="3:9" s="46" customFormat="1" x14ac:dyDescent="0.2">
      <c r="C3801" s="144"/>
      <c r="D3801" s="144"/>
      <c r="E3801" s="144"/>
      <c r="F3801" s="373"/>
      <c r="I3801" s="70"/>
    </row>
    <row r="3802" spans="3:9" s="46" customFormat="1" x14ac:dyDescent="0.2">
      <c r="C3802" s="144"/>
      <c r="D3802" s="144"/>
      <c r="E3802" s="144"/>
      <c r="F3802" s="373"/>
      <c r="I3802" s="70"/>
    </row>
    <row r="3803" spans="3:9" s="46" customFormat="1" x14ac:dyDescent="0.2">
      <c r="C3803" s="144"/>
      <c r="D3803" s="144"/>
      <c r="E3803" s="144"/>
      <c r="F3803" s="373"/>
      <c r="I3803" s="70"/>
    </row>
    <row r="3804" spans="3:9" s="46" customFormat="1" x14ac:dyDescent="0.2">
      <c r="C3804" s="144"/>
      <c r="D3804" s="144"/>
      <c r="E3804" s="144"/>
      <c r="F3804" s="373"/>
      <c r="I3804" s="70"/>
    </row>
    <row r="3805" spans="3:9" s="46" customFormat="1" x14ac:dyDescent="0.2">
      <c r="C3805" s="144"/>
      <c r="D3805" s="144"/>
      <c r="E3805" s="144"/>
      <c r="F3805" s="373"/>
      <c r="I3805" s="70"/>
    </row>
    <row r="3806" spans="3:9" s="46" customFormat="1" x14ac:dyDescent="0.2">
      <c r="C3806" s="144"/>
      <c r="D3806" s="144"/>
      <c r="E3806" s="144"/>
      <c r="F3806" s="373"/>
      <c r="I3806" s="70"/>
    </row>
    <row r="3807" spans="3:9" s="46" customFormat="1" x14ac:dyDescent="0.2">
      <c r="C3807" s="144"/>
      <c r="D3807" s="144"/>
      <c r="E3807" s="144"/>
      <c r="F3807" s="373"/>
      <c r="I3807" s="70"/>
    </row>
    <row r="3808" spans="3:9" s="46" customFormat="1" x14ac:dyDescent="0.2">
      <c r="C3808" s="144"/>
      <c r="D3808" s="144"/>
      <c r="E3808" s="144"/>
      <c r="F3808" s="373"/>
      <c r="I3808" s="70"/>
    </row>
    <row r="3809" spans="3:9" s="46" customFormat="1" x14ac:dyDescent="0.2">
      <c r="C3809" s="144"/>
      <c r="D3809" s="144"/>
      <c r="E3809" s="144"/>
      <c r="F3809" s="373"/>
      <c r="I3809" s="70"/>
    </row>
    <row r="3810" spans="3:9" s="46" customFormat="1" x14ac:dyDescent="0.2">
      <c r="C3810" s="144"/>
      <c r="D3810" s="144"/>
      <c r="E3810" s="144"/>
      <c r="F3810" s="373"/>
      <c r="I3810" s="70"/>
    </row>
    <row r="3811" spans="3:9" s="46" customFormat="1" x14ac:dyDescent="0.2">
      <c r="C3811" s="144"/>
      <c r="D3811" s="144"/>
      <c r="E3811" s="144"/>
      <c r="F3811" s="373"/>
      <c r="I3811" s="70"/>
    </row>
    <row r="3812" spans="3:9" s="46" customFormat="1" x14ac:dyDescent="0.2">
      <c r="C3812" s="144"/>
      <c r="D3812" s="144"/>
      <c r="E3812" s="144"/>
      <c r="F3812" s="373"/>
      <c r="I3812" s="70"/>
    </row>
    <row r="3813" spans="3:9" s="46" customFormat="1" x14ac:dyDescent="0.2">
      <c r="C3813" s="144"/>
      <c r="D3813" s="144"/>
      <c r="E3813" s="144"/>
      <c r="F3813" s="373"/>
      <c r="I3813" s="70"/>
    </row>
    <row r="3814" spans="3:9" s="46" customFormat="1" x14ac:dyDescent="0.2">
      <c r="C3814" s="144"/>
      <c r="D3814" s="144"/>
      <c r="E3814" s="144"/>
      <c r="F3814" s="373"/>
      <c r="I3814" s="70"/>
    </row>
    <row r="3815" spans="3:9" s="46" customFormat="1" x14ac:dyDescent="0.2">
      <c r="C3815" s="144"/>
      <c r="D3815" s="144"/>
      <c r="E3815" s="144"/>
      <c r="F3815" s="373"/>
      <c r="I3815" s="70"/>
    </row>
    <row r="3816" spans="3:9" s="46" customFormat="1" x14ac:dyDescent="0.2">
      <c r="C3816" s="144"/>
      <c r="D3816" s="144"/>
      <c r="E3816" s="144"/>
      <c r="F3816" s="373"/>
      <c r="I3816" s="70"/>
    </row>
    <row r="3817" spans="3:9" s="46" customFormat="1" x14ac:dyDescent="0.2">
      <c r="C3817" s="144"/>
      <c r="D3817" s="144"/>
      <c r="E3817" s="144"/>
      <c r="F3817" s="373"/>
      <c r="I3817" s="70"/>
    </row>
    <row r="3818" spans="3:9" s="46" customFormat="1" x14ac:dyDescent="0.2">
      <c r="C3818" s="144"/>
      <c r="D3818" s="144"/>
      <c r="E3818" s="144"/>
      <c r="F3818" s="373"/>
      <c r="I3818" s="70"/>
    </row>
    <row r="3819" spans="3:9" s="46" customFormat="1" x14ac:dyDescent="0.2">
      <c r="C3819" s="144"/>
      <c r="D3819" s="144"/>
      <c r="E3819" s="144"/>
      <c r="F3819" s="373"/>
      <c r="I3819" s="70"/>
    </row>
    <row r="3820" spans="3:9" s="46" customFormat="1" x14ac:dyDescent="0.2">
      <c r="C3820" s="144"/>
      <c r="D3820" s="144"/>
      <c r="E3820" s="144"/>
      <c r="F3820" s="373"/>
      <c r="I3820" s="70"/>
    </row>
    <row r="3821" spans="3:9" s="46" customFormat="1" x14ac:dyDescent="0.2">
      <c r="C3821" s="144"/>
      <c r="D3821" s="144"/>
      <c r="E3821" s="144"/>
      <c r="F3821" s="373"/>
      <c r="I3821" s="70"/>
    </row>
    <row r="3822" spans="3:9" s="46" customFormat="1" x14ac:dyDescent="0.2">
      <c r="C3822" s="144"/>
      <c r="D3822" s="144"/>
      <c r="E3822" s="144"/>
      <c r="F3822" s="373"/>
      <c r="I3822" s="70"/>
    </row>
    <row r="3823" spans="3:9" s="46" customFormat="1" x14ac:dyDescent="0.2">
      <c r="C3823" s="144"/>
      <c r="D3823" s="144"/>
      <c r="E3823" s="144"/>
      <c r="F3823" s="373"/>
      <c r="I3823" s="70"/>
    </row>
    <row r="3824" spans="3:9" s="46" customFormat="1" x14ac:dyDescent="0.2">
      <c r="C3824" s="144"/>
      <c r="D3824" s="144"/>
      <c r="E3824" s="144"/>
      <c r="F3824" s="373"/>
      <c r="I3824" s="70"/>
    </row>
    <row r="3825" spans="3:9" s="46" customFormat="1" x14ac:dyDescent="0.2">
      <c r="C3825" s="144"/>
      <c r="D3825" s="144"/>
      <c r="E3825" s="144"/>
      <c r="F3825" s="373"/>
      <c r="I3825" s="70"/>
    </row>
    <row r="3826" spans="3:9" s="46" customFormat="1" x14ac:dyDescent="0.2">
      <c r="C3826" s="144"/>
      <c r="D3826" s="144"/>
      <c r="E3826" s="144"/>
      <c r="F3826" s="373"/>
      <c r="I3826" s="70"/>
    </row>
    <row r="3827" spans="3:9" s="46" customFormat="1" x14ac:dyDescent="0.2">
      <c r="C3827" s="144"/>
      <c r="D3827" s="144"/>
      <c r="E3827" s="144"/>
      <c r="F3827" s="373"/>
      <c r="I3827" s="70"/>
    </row>
    <row r="3828" spans="3:9" s="46" customFormat="1" x14ac:dyDescent="0.2">
      <c r="C3828" s="144"/>
      <c r="D3828" s="144"/>
      <c r="E3828" s="144"/>
      <c r="F3828" s="373"/>
      <c r="I3828" s="70"/>
    </row>
    <row r="3829" spans="3:9" s="46" customFormat="1" x14ac:dyDescent="0.2">
      <c r="C3829" s="144"/>
      <c r="D3829" s="144"/>
      <c r="E3829" s="144"/>
      <c r="F3829" s="373"/>
      <c r="I3829" s="70"/>
    </row>
    <row r="3830" spans="3:9" s="46" customFormat="1" x14ac:dyDescent="0.2">
      <c r="C3830" s="144"/>
      <c r="D3830" s="144"/>
      <c r="E3830" s="144"/>
      <c r="F3830" s="373"/>
      <c r="I3830" s="70"/>
    </row>
    <row r="3831" spans="3:9" s="46" customFormat="1" x14ac:dyDescent="0.2">
      <c r="C3831" s="144"/>
      <c r="D3831" s="144"/>
      <c r="E3831" s="144"/>
      <c r="F3831" s="373"/>
      <c r="I3831" s="70"/>
    </row>
    <row r="3832" spans="3:9" s="46" customFormat="1" x14ac:dyDescent="0.2">
      <c r="C3832" s="144"/>
      <c r="D3832" s="144"/>
      <c r="E3832" s="144"/>
      <c r="F3832" s="373"/>
      <c r="I3832" s="70"/>
    </row>
    <row r="3833" spans="3:9" s="46" customFormat="1" x14ac:dyDescent="0.2">
      <c r="C3833" s="144"/>
      <c r="D3833" s="144"/>
      <c r="E3833" s="144"/>
      <c r="F3833" s="373"/>
      <c r="I3833" s="70"/>
    </row>
    <row r="3834" spans="3:9" s="46" customFormat="1" x14ac:dyDescent="0.2">
      <c r="C3834" s="144"/>
      <c r="D3834" s="144"/>
      <c r="E3834" s="144"/>
      <c r="F3834" s="373"/>
      <c r="I3834" s="70"/>
    </row>
    <row r="3835" spans="3:9" s="46" customFormat="1" x14ac:dyDescent="0.2">
      <c r="C3835" s="144"/>
      <c r="D3835" s="144"/>
      <c r="E3835" s="144"/>
      <c r="F3835" s="373"/>
      <c r="I3835" s="70"/>
    </row>
    <row r="3836" spans="3:9" s="46" customFormat="1" x14ac:dyDescent="0.2">
      <c r="C3836" s="144"/>
      <c r="D3836" s="144"/>
      <c r="E3836" s="144"/>
      <c r="F3836" s="373"/>
      <c r="I3836" s="70"/>
    </row>
    <row r="3837" spans="3:9" s="46" customFormat="1" x14ac:dyDescent="0.2">
      <c r="C3837" s="144"/>
      <c r="D3837" s="144"/>
      <c r="E3837" s="144"/>
      <c r="F3837" s="373"/>
      <c r="I3837" s="70"/>
    </row>
    <row r="3838" spans="3:9" s="46" customFormat="1" x14ac:dyDescent="0.2">
      <c r="C3838" s="144"/>
      <c r="D3838" s="144"/>
      <c r="E3838" s="144"/>
      <c r="F3838" s="373"/>
      <c r="I3838" s="70"/>
    </row>
    <row r="3839" spans="3:9" s="46" customFormat="1" x14ac:dyDescent="0.2">
      <c r="C3839" s="144"/>
      <c r="D3839" s="144"/>
      <c r="E3839" s="144"/>
      <c r="F3839" s="373"/>
      <c r="I3839" s="70"/>
    </row>
    <row r="3840" spans="3:9" s="46" customFormat="1" x14ac:dyDescent="0.2">
      <c r="C3840" s="144"/>
      <c r="D3840" s="144"/>
      <c r="E3840" s="144"/>
      <c r="F3840" s="373"/>
      <c r="I3840" s="70"/>
    </row>
    <row r="3841" spans="3:9" s="46" customFormat="1" x14ac:dyDescent="0.2">
      <c r="C3841" s="144"/>
      <c r="D3841" s="144"/>
      <c r="E3841" s="144"/>
      <c r="F3841" s="373"/>
      <c r="I3841" s="70"/>
    </row>
    <row r="3842" spans="3:9" s="46" customFormat="1" x14ac:dyDescent="0.2">
      <c r="C3842" s="144"/>
      <c r="D3842" s="144"/>
      <c r="E3842" s="144"/>
      <c r="F3842" s="373"/>
      <c r="I3842" s="70"/>
    </row>
    <row r="3843" spans="3:9" s="46" customFormat="1" x14ac:dyDescent="0.2">
      <c r="C3843" s="144"/>
      <c r="D3843" s="144"/>
      <c r="E3843" s="144"/>
      <c r="F3843" s="373"/>
      <c r="I3843" s="70"/>
    </row>
    <row r="3844" spans="3:9" s="46" customFormat="1" x14ac:dyDescent="0.2">
      <c r="C3844" s="144"/>
      <c r="D3844" s="144"/>
      <c r="E3844" s="144"/>
      <c r="F3844" s="373"/>
      <c r="I3844" s="70"/>
    </row>
    <row r="3845" spans="3:9" s="46" customFormat="1" x14ac:dyDescent="0.2">
      <c r="C3845" s="144"/>
      <c r="D3845" s="144"/>
      <c r="E3845" s="144"/>
      <c r="F3845" s="373"/>
      <c r="I3845" s="70"/>
    </row>
    <row r="3846" spans="3:9" s="46" customFormat="1" x14ac:dyDescent="0.2">
      <c r="C3846" s="144"/>
      <c r="D3846" s="144"/>
      <c r="E3846" s="144"/>
      <c r="F3846" s="373"/>
      <c r="I3846" s="70"/>
    </row>
    <row r="3847" spans="3:9" s="46" customFormat="1" x14ac:dyDescent="0.2">
      <c r="C3847" s="144"/>
      <c r="D3847" s="144"/>
      <c r="E3847" s="144"/>
      <c r="F3847" s="373"/>
      <c r="I3847" s="70"/>
    </row>
    <row r="3848" spans="3:9" s="46" customFormat="1" x14ac:dyDescent="0.2">
      <c r="C3848" s="144"/>
      <c r="D3848" s="144"/>
      <c r="E3848" s="144"/>
      <c r="F3848" s="373"/>
      <c r="I3848" s="70"/>
    </row>
    <row r="3849" spans="3:9" s="46" customFormat="1" x14ac:dyDescent="0.2">
      <c r="C3849" s="144"/>
      <c r="D3849" s="144"/>
      <c r="E3849" s="144"/>
      <c r="F3849" s="373"/>
      <c r="I3849" s="70"/>
    </row>
    <row r="3850" spans="3:9" s="46" customFormat="1" x14ac:dyDescent="0.2">
      <c r="C3850" s="144"/>
      <c r="D3850" s="144"/>
      <c r="E3850" s="144"/>
      <c r="F3850" s="373"/>
      <c r="I3850" s="70"/>
    </row>
    <row r="3851" spans="3:9" s="46" customFormat="1" x14ac:dyDescent="0.2">
      <c r="C3851" s="144"/>
      <c r="D3851" s="144"/>
      <c r="E3851" s="144"/>
      <c r="F3851" s="373"/>
      <c r="I3851" s="70"/>
    </row>
    <row r="3852" spans="3:9" s="46" customFormat="1" x14ac:dyDescent="0.2">
      <c r="C3852" s="144"/>
      <c r="D3852" s="144"/>
      <c r="E3852" s="144"/>
      <c r="F3852" s="373"/>
      <c r="I3852" s="70"/>
    </row>
    <row r="3853" spans="3:9" s="46" customFormat="1" x14ac:dyDescent="0.2">
      <c r="C3853" s="144"/>
      <c r="D3853" s="144"/>
      <c r="E3853" s="144"/>
      <c r="F3853" s="373"/>
      <c r="I3853" s="70"/>
    </row>
    <row r="3854" spans="3:9" s="46" customFormat="1" x14ac:dyDescent="0.2">
      <c r="C3854" s="144"/>
      <c r="D3854" s="144"/>
      <c r="E3854" s="144"/>
      <c r="F3854" s="373"/>
      <c r="I3854" s="70"/>
    </row>
    <row r="3855" spans="3:9" s="46" customFormat="1" x14ac:dyDescent="0.2">
      <c r="C3855" s="144"/>
      <c r="D3855" s="144"/>
      <c r="E3855" s="144"/>
      <c r="F3855" s="373"/>
      <c r="I3855" s="70"/>
    </row>
    <row r="3856" spans="3:9" s="46" customFormat="1" x14ac:dyDescent="0.2">
      <c r="C3856" s="144"/>
      <c r="D3856" s="144"/>
      <c r="E3856" s="144"/>
      <c r="F3856" s="373"/>
      <c r="I3856" s="70"/>
    </row>
    <row r="3857" spans="3:9" s="46" customFormat="1" x14ac:dyDescent="0.2">
      <c r="C3857" s="144"/>
      <c r="D3857" s="144"/>
      <c r="E3857" s="144"/>
      <c r="F3857" s="373"/>
      <c r="I3857" s="70"/>
    </row>
    <row r="3858" spans="3:9" s="46" customFormat="1" x14ac:dyDescent="0.2">
      <c r="C3858" s="144"/>
      <c r="D3858" s="144"/>
      <c r="E3858" s="144"/>
      <c r="F3858" s="373"/>
      <c r="I3858" s="70"/>
    </row>
    <row r="3859" spans="3:9" s="46" customFormat="1" x14ac:dyDescent="0.2">
      <c r="C3859" s="144"/>
      <c r="D3859" s="144"/>
      <c r="E3859" s="144"/>
      <c r="F3859" s="373"/>
      <c r="I3859" s="70"/>
    </row>
    <row r="3860" spans="3:9" s="46" customFormat="1" x14ac:dyDescent="0.2">
      <c r="C3860" s="144"/>
      <c r="D3860" s="144"/>
      <c r="E3860" s="144"/>
      <c r="F3860" s="373"/>
      <c r="I3860" s="70"/>
    </row>
    <row r="3861" spans="3:9" s="46" customFormat="1" x14ac:dyDescent="0.2">
      <c r="C3861" s="144"/>
      <c r="D3861" s="144"/>
      <c r="E3861" s="144"/>
      <c r="F3861" s="373"/>
      <c r="I3861" s="70"/>
    </row>
    <row r="3862" spans="3:9" s="46" customFormat="1" x14ac:dyDescent="0.2">
      <c r="C3862" s="144"/>
      <c r="D3862" s="144"/>
      <c r="E3862" s="144"/>
      <c r="F3862" s="373"/>
      <c r="I3862" s="70"/>
    </row>
    <row r="3863" spans="3:9" s="46" customFormat="1" x14ac:dyDescent="0.2">
      <c r="C3863" s="144"/>
      <c r="D3863" s="144"/>
      <c r="E3863" s="144"/>
      <c r="F3863" s="373"/>
      <c r="I3863" s="70"/>
    </row>
    <row r="3864" spans="3:9" s="46" customFormat="1" x14ac:dyDescent="0.2">
      <c r="C3864" s="144"/>
      <c r="D3864" s="144"/>
      <c r="E3864" s="144"/>
      <c r="F3864" s="373"/>
      <c r="I3864" s="70"/>
    </row>
    <row r="3865" spans="3:9" s="46" customFormat="1" x14ac:dyDescent="0.2">
      <c r="C3865" s="144"/>
      <c r="D3865" s="144"/>
      <c r="E3865" s="144"/>
      <c r="F3865" s="373"/>
      <c r="I3865" s="70"/>
    </row>
    <row r="3866" spans="3:9" s="46" customFormat="1" x14ac:dyDescent="0.2">
      <c r="C3866" s="144"/>
      <c r="D3866" s="144"/>
      <c r="E3866" s="144"/>
      <c r="F3866" s="373"/>
      <c r="I3866" s="70"/>
    </row>
    <row r="3867" spans="3:9" s="46" customFormat="1" x14ac:dyDescent="0.2">
      <c r="C3867" s="144"/>
      <c r="D3867" s="144"/>
      <c r="E3867" s="144"/>
      <c r="F3867" s="373"/>
      <c r="I3867" s="70"/>
    </row>
    <row r="3868" spans="3:9" s="46" customFormat="1" x14ac:dyDescent="0.2">
      <c r="C3868" s="144"/>
      <c r="D3868" s="144"/>
      <c r="E3868" s="144"/>
      <c r="F3868" s="373"/>
      <c r="I3868" s="70"/>
    </row>
    <row r="3869" spans="3:9" s="46" customFormat="1" x14ac:dyDescent="0.2">
      <c r="C3869" s="144"/>
      <c r="D3869" s="144"/>
      <c r="E3869" s="144"/>
      <c r="F3869" s="373"/>
      <c r="I3869" s="70"/>
    </row>
    <row r="3870" spans="3:9" s="46" customFormat="1" x14ac:dyDescent="0.2">
      <c r="C3870" s="144"/>
      <c r="D3870" s="144"/>
      <c r="E3870" s="144"/>
      <c r="F3870" s="373"/>
      <c r="I3870" s="70"/>
    </row>
    <row r="3871" spans="3:9" s="46" customFormat="1" x14ac:dyDescent="0.2">
      <c r="C3871" s="144"/>
      <c r="D3871" s="144"/>
      <c r="E3871" s="144"/>
      <c r="F3871" s="373"/>
      <c r="I3871" s="70"/>
    </row>
    <row r="3872" spans="3:9" s="46" customFormat="1" x14ac:dyDescent="0.2">
      <c r="C3872" s="144"/>
      <c r="D3872" s="144"/>
      <c r="E3872" s="144"/>
      <c r="F3872" s="373"/>
      <c r="I3872" s="70"/>
    </row>
    <row r="3873" spans="3:9" s="46" customFormat="1" x14ac:dyDescent="0.2">
      <c r="C3873" s="144"/>
      <c r="D3873" s="144"/>
      <c r="E3873" s="144"/>
      <c r="F3873" s="373"/>
      <c r="I3873" s="70"/>
    </row>
    <row r="3874" spans="3:9" s="46" customFormat="1" x14ac:dyDescent="0.2">
      <c r="C3874" s="144"/>
      <c r="D3874" s="144"/>
      <c r="E3874" s="144"/>
      <c r="F3874" s="373"/>
      <c r="I3874" s="70"/>
    </row>
    <row r="3875" spans="3:9" s="46" customFormat="1" x14ac:dyDescent="0.2">
      <c r="C3875" s="144"/>
      <c r="D3875" s="144"/>
      <c r="E3875" s="144"/>
      <c r="F3875" s="373"/>
      <c r="I3875" s="70"/>
    </row>
    <row r="3876" spans="3:9" s="46" customFormat="1" x14ac:dyDescent="0.2">
      <c r="C3876" s="144"/>
      <c r="D3876" s="144"/>
      <c r="E3876" s="144"/>
      <c r="F3876" s="373"/>
      <c r="I3876" s="70"/>
    </row>
    <row r="3877" spans="3:9" s="46" customFormat="1" x14ac:dyDescent="0.2">
      <c r="C3877" s="144"/>
      <c r="D3877" s="144"/>
      <c r="E3877" s="144"/>
      <c r="F3877" s="373"/>
      <c r="I3877" s="70"/>
    </row>
    <row r="3878" spans="3:9" s="46" customFormat="1" x14ac:dyDescent="0.2">
      <c r="C3878" s="144"/>
      <c r="D3878" s="144"/>
      <c r="E3878" s="144"/>
      <c r="F3878" s="373"/>
      <c r="I3878" s="70"/>
    </row>
    <row r="3879" spans="3:9" s="46" customFormat="1" x14ac:dyDescent="0.2">
      <c r="C3879" s="144"/>
      <c r="D3879" s="144"/>
      <c r="E3879" s="144"/>
      <c r="F3879" s="373"/>
      <c r="I3879" s="70"/>
    </row>
    <row r="3880" spans="3:9" s="46" customFormat="1" x14ac:dyDescent="0.2">
      <c r="C3880" s="144"/>
      <c r="D3880" s="144"/>
      <c r="E3880" s="144"/>
      <c r="F3880" s="373"/>
      <c r="I3880" s="70"/>
    </row>
    <row r="3881" spans="3:9" s="46" customFormat="1" x14ac:dyDescent="0.2">
      <c r="C3881" s="144"/>
      <c r="D3881" s="144"/>
      <c r="E3881" s="144"/>
      <c r="F3881" s="373"/>
      <c r="I3881" s="70"/>
    </row>
    <row r="3882" spans="3:9" s="46" customFormat="1" x14ac:dyDescent="0.2">
      <c r="C3882" s="144"/>
      <c r="D3882" s="144"/>
      <c r="E3882" s="144"/>
      <c r="F3882" s="373"/>
      <c r="I3882" s="70"/>
    </row>
    <row r="3883" spans="3:9" s="46" customFormat="1" x14ac:dyDescent="0.2">
      <c r="C3883" s="144"/>
      <c r="D3883" s="144"/>
      <c r="E3883" s="144"/>
      <c r="F3883" s="373"/>
      <c r="I3883" s="70"/>
    </row>
    <row r="3884" spans="3:9" s="46" customFormat="1" x14ac:dyDescent="0.2">
      <c r="C3884" s="144"/>
      <c r="D3884" s="144"/>
      <c r="E3884" s="144"/>
      <c r="F3884" s="373"/>
      <c r="I3884" s="70"/>
    </row>
    <row r="3885" spans="3:9" s="46" customFormat="1" x14ac:dyDescent="0.2">
      <c r="C3885" s="144"/>
      <c r="D3885" s="144"/>
      <c r="E3885" s="144"/>
      <c r="F3885" s="373"/>
      <c r="I3885" s="70"/>
    </row>
    <row r="3886" spans="3:9" s="46" customFormat="1" x14ac:dyDescent="0.2">
      <c r="C3886" s="144"/>
      <c r="D3886" s="144"/>
      <c r="E3886" s="144"/>
      <c r="F3886" s="373"/>
      <c r="I3886" s="70"/>
    </row>
    <row r="3887" spans="3:9" s="46" customFormat="1" x14ac:dyDescent="0.2">
      <c r="C3887" s="144"/>
      <c r="D3887" s="144"/>
      <c r="E3887" s="144"/>
      <c r="F3887" s="373"/>
      <c r="I3887" s="70"/>
    </row>
    <row r="3888" spans="3:9" s="46" customFormat="1" x14ac:dyDescent="0.2">
      <c r="C3888" s="144"/>
      <c r="D3888" s="144"/>
      <c r="E3888" s="144"/>
      <c r="F3888" s="373"/>
      <c r="I3888" s="70"/>
    </row>
    <row r="3889" spans="3:9" s="46" customFormat="1" x14ac:dyDescent="0.2">
      <c r="C3889" s="144"/>
      <c r="D3889" s="144"/>
      <c r="E3889" s="144"/>
      <c r="F3889" s="373"/>
      <c r="I3889" s="70"/>
    </row>
    <row r="3890" spans="3:9" s="46" customFormat="1" x14ac:dyDescent="0.2">
      <c r="C3890" s="144"/>
      <c r="D3890" s="144"/>
      <c r="E3890" s="144"/>
      <c r="F3890" s="373"/>
      <c r="I3890" s="70"/>
    </row>
    <row r="3891" spans="3:9" s="46" customFormat="1" x14ac:dyDescent="0.2">
      <c r="C3891" s="144"/>
      <c r="D3891" s="144"/>
      <c r="E3891" s="144"/>
      <c r="F3891" s="373"/>
      <c r="I3891" s="70"/>
    </row>
    <row r="3892" spans="3:9" s="46" customFormat="1" x14ac:dyDescent="0.2">
      <c r="C3892" s="144"/>
      <c r="D3892" s="144"/>
      <c r="E3892" s="144"/>
      <c r="F3892" s="373"/>
      <c r="I3892" s="70"/>
    </row>
    <row r="3893" spans="3:9" s="46" customFormat="1" x14ac:dyDescent="0.2">
      <c r="C3893" s="144"/>
      <c r="D3893" s="144"/>
      <c r="E3893" s="144"/>
      <c r="F3893" s="373"/>
      <c r="I3893" s="70"/>
    </row>
    <row r="3894" spans="3:9" s="46" customFormat="1" x14ac:dyDescent="0.2">
      <c r="C3894" s="144"/>
      <c r="D3894" s="144"/>
      <c r="E3894" s="144"/>
      <c r="F3894" s="373"/>
      <c r="I3894" s="70"/>
    </row>
    <row r="3895" spans="3:9" s="46" customFormat="1" x14ac:dyDescent="0.2">
      <c r="C3895" s="144"/>
      <c r="D3895" s="144"/>
      <c r="E3895" s="144"/>
      <c r="F3895" s="373"/>
      <c r="I3895" s="70"/>
    </row>
    <row r="3896" spans="3:9" s="46" customFormat="1" x14ac:dyDescent="0.2">
      <c r="C3896" s="144"/>
      <c r="D3896" s="144"/>
      <c r="E3896" s="144"/>
      <c r="F3896" s="373"/>
      <c r="I3896" s="70"/>
    </row>
    <row r="3897" spans="3:9" s="46" customFormat="1" x14ac:dyDescent="0.2">
      <c r="C3897" s="144"/>
      <c r="D3897" s="144"/>
      <c r="E3897" s="144"/>
      <c r="F3897" s="373"/>
      <c r="I3897" s="70"/>
    </row>
    <row r="3898" spans="3:9" s="46" customFormat="1" x14ac:dyDescent="0.2">
      <c r="C3898" s="144"/>
      <c r="D3898" s="144"/>
      <c r="E3898" s="144"/>
      <c r="F3898" s="373"/>
      <c r="I3898" s="70"/>
    </row>
    <row r="3899" spans="3:9" s="46" customFormat="1" x14ac:dyDescent="0.2">
      <c r="C3899" s="144"/>
      <c r="D3899" s="144"/>
      <c r="E3899" s="144"/>
      <c r="F3899" s="373"/>
      <c r="I3899" s="70"/>
    </row>
    <row r="3900" spans="3:9" s="46" customFormat="1" x14ac:dyDescent="0.2">
      <c r="C3900" s="144"/>
      <c r="D3900" s="144"/>
      <c r="E3900" s="144"/>
      <c r="F3900" s="373"/>
      <c r="I3900" s="70"/>
    </row>
    <row r="3901" spans="3:9" s="46" customFormat="1" x14ac:dyDescent="0.2">
      <c r="C3901" s="144"/>
      <c r="D3901" s="144"/>
      <c r="E3901" s="144"/>
      <c r="F3901" s="373"/>
      <c r="I3901" s="70"/>
    </row>
    <row r="3902" spans="3:9" s="46" customFormat="1" x14ac:dyDescent="0.2">
      <c r="C3902" s="144"/>
      <c r="D3902" s="144"/>
      <c r="E3902" s="144"/>
      <c r="F3902" s="373"/>
      <c r="I3902" s="70"/>
    </row>
    <row r="3903" spans="3:9" s="46" customFormat="1" x14ac:dyDescent="0.2">
      <c r="C3903" s="144"/>
      <c r="D3903" s="144"/>
      <c r="E3903" s="144"/>
      <c r="F3903" s="373"/>
      <c r="I3903" s="70"/>
    </row>
    <row r="3904" spans="3:9" s="46" customFormat="1" x14ac:dyDescent="0.2">
      <c r="C3904" s="144"/>
      <c r="D3904" s="144"/>
      <c r="E3904" s="144"/>
      <c r="F3904" s="373"/>
      <c r="I3904" s="70"/>
    </row>
    <row r="3905" spans="3:9" s="46" customFormat="1" x14ac:dyDescent="0.2">
      <c r="C3905" s="144"/>
      <c r="D3905" s="144"/>
      <c r="E3905" s="144"/>
      <c r="F3905" s="373"/>
      <c r="I3905" s="70"/>
    </row>
    <row r="3906" spans="3:9" s="46" customFormat="1" x14ac:dyDescent="0.2">
      <c r="C3906" s="144"/>
      <c r="D3906" s="144"/>
      <c r="E3906" s="144"/>
      <c r="F3906" s="373"/>
      <c r="I3906" s="70"/>
    </row>
    <row r="3907" spans="3:9" s="46" customFormat="1" x14ac:dyDescent="0.2">
      <c r="C3907" s="144"/>
      <c r="D3907" s="144"/>
      <c r="E3907" s="144"/>
      <c r="F3907" s="373"/>
      <c r="I3907" s="70"/>
    </row>
    <row r="3908" spans="3:9" s="46" customFormat="1" x14ac:dyDescent="0.2">
      <c r="C3908" s="144"/>
      <c r="D3908" s="144"/>
      <c r="E3908" s="144"/>
      <c r="F3908" s="373"/>
      <c r="I3908" s="70"/>
    </row>
    <row r="3909" spans="3:9" s="46" customFormat="1" x14ac:dyDescent="0.2">
      <c r="C3909" s="144"/>
      <c r="D3909" s="144"/>
      <c r="E3909" s="144"/>
      <c r="F3909" s="373"/>
      <c r="I3909" s="70"/>
    </row>
    <row r="3910" spans="3:9" s="46" customFormat="1" x14ac:dyDescent="0.2">
      <c r="C3910" s="144"/>
      <c r="D3910" s="144"/>
      <c r="E3910" s="144"/>
      <c r="F3910" s="373"/>
      <c r="I3910" s="70"/>
    </row>
    <row r="3911" spans="3:9" s="46" customFormat="1" x14ac:dyDescent="0.2">
      <c r="C3911" s="144"/>
      <c r="D3911" s="144"/>
      <c r="E3911" s="144"/>
      <c r="F3911" s="373"/>
      <c r="I3911" s="70"/>
    </row>
    <row r="3912" spans="3:9" s="46" customFormat="1" x14ac:dyDescent="0.2">
      <c r="C3912" s="144"/>
      <c r="D3912" s="144"/>
      <c r="E3912" s="144"/>
      <c r="F3912" s="373"/>
      <c r="I3912" s="70"/>
    </row>
    <row r="3913" spans="3:9" s="46" customFormat="1" x14ac:dyDescent="0.2">
      <c r="C3913" s="144"/>
      <c r="D3913" s="144"/>
      <c r="E3913" s="144"/>
      <c r="F3913" s="373"/>
      <c r="I3913" s="70"/>
    </row>
    <row r="3914" spans="3:9" s="46" customFormat="1" x14ac:dyDescent="0.2">
      <c r="C3914" s="144"/>
      <c r="D3914" s="144"/>
      <c r="E3914" s="144"/>
      <c r="F3914" s="373"/>
      <c r="I3914" s="70"/>
    </row>
    <row r="3915" spans="3:9" s="46" customFormat="1" x14ac:dyDescent="0.2">
      <c r="C3915" s="144"/>
      <c r="D3915" s="144"/>
      <c r="E3915" s="144"/>
      <c r="F3915" s="373"/>
      <c r="I3915" s="70"/>
    </row>
    <row r="3916" spans="3:9" s="46" customFormat="1" x14ac:dyDescent="0.2">
      <c r="C3916" s="144"/>
      <c r="D3916" s="144"/>
      <c r="E3916" s="144"/>
      <c r="F3916" s="373"/>
      <c r="I3916" s="70"/>
    </row>
    <row r="3917" spans="3:9" s="46" customFormat="1" x14ac:dyDescent="0.2">
      <c r="C3917" s="144"/>
      <c r="D3917" s="144"/>
      <c r="E3917" s="144"/>
      <c r="F3917" s="373"/>
      <c r="I3917" s="70"/>
    </row>
    <row r="3918" spans="3:9" s="46" customFormat="1" x14ac:dyDescent="0.2">
      <c r="C3918" s="144"/>
      <c r="D3918" s="144"/>
      <c r="E3918" s="144"/>
      <c r="F3918" s="373"/>
      <c r="I3918" s="70"/>
    </row>
    <row r="3919" spans="3:9" s="46" customFormat="1" x14ac:dyDescent="0.2">
      <c r="C3919" s="144"/>
      <c r="D3919" s="144"/>
      <c r="E3919" s="144"/>
      <c r="F3919" s="373"/>
      <c r="I3919" s="70"/>
    </row>
    <row r="3920" spans="3:9" s="46" customFormat="1" x14ac:dyDescent="0.2">
      <c r="C3920" s="144"/>
      <c r="D3920" s="144"/>
      <c r="E3920" s="144"/>
      <c r="F3920" s="373"/>
      <c r="I3920" s="70"/>
    </row>
    <row r="3921" spans="3:9" s="46" customFormat="1" x14ac:dyDescent="0.2">
      <c r="C3921" s="144"/>
      <c r="D3921" s="144"/>
      <c r="E3921" s="144"/>
      <c r="F3921" s="373"/>
      <c r="I3921" s="70"/>
    </row>
    <row r="3922" spans="3:9" s="46" customFormat="1" x14ac:dyDescent="0.2">
      <c r="C3922" s="144"/>
      <c r="D3922" s="144"/>
      <c r="E3922" s="144"/>
      <c r="F3922" s="373"/>
      <c r="I3922" s="70"/>
    </row>
    <row r="3923" spans="3:9" s="46" customFormat="1" x14ac:dyDescent="0.2">
      <c r="C3923" s="144"/>
      <c r="D3923" s="144"/>
      <c r="E3923" s="144"/>
      <c r="F3923" s="373"/>
      <c r="I3923" s="70"/>
    </row>
    <row r="3924" spans="3:9" s="46" customFormat="1" x14ac:dyDescent="0.2">
      <c r="C3924" s="144"/>
      <c r="D3924" s="144"/>
      <c r="E3924" s="144"/>
      <c r="F3924" s="373"/>
      <c r="I3924" s="70"/>
    </row>
    <row r="3925" spans="3:9" s="46" customFormat="1" x14ac:dyDescent="0.2">
      <c r="C3925" s="144"/>
      <c r="D3925" s="144"/>
      <c r="E3925" s="144"/>
      <c r="F3925" s="373"/>
      <c r="I3925" s="70"/>
    </row>
    <row r="3926" spans="3:9" s="46" customFormat="1" x14ac:dyDescent="0.2">
      <c r="C3926" s="144"/>
      <c r="D3926" s="144"/>
      <c r="E3926" s="144"/>
      <c r="F3926" s="373"/>
      <c r="I3926" s="70"/>
    </row>
    <row r="3927" spans="3:9" s="46" customFormat="1" x14ac:dyDescent="0.2">
      <c r="C3927" s="144"/>
      <c r="D3927" s="144"/>
      <c r="E3927" s="144"/>
      <c r="F3927" s="373"/>
      <c r="I3927" s="70"/>
    </row>
    <row r="3928" spans="3:9" s="46" customFormat="1" x14ac:dyDescent="0.2">
      <c r="C3928" s="144"/>
      <c r="D3928" s="144"/>
      <c r="E3928" s="144"/>
      <c r="F3928" s="373"/>
      <c r="I3928" s="70"/>
    </row>
    <row r="3929" spans="3:9" s="46" customFormat="1" x14ac:dyDescent="0.2">
      <c r="C3929" s="144"/>
      <c r="D3929" s="144"/>
      <c r="E3929" s="144"/>
      <c r="F3929" s="373"/>
      <c r="I3929" s="70"/>
    </row>
    <row r="3930" spans="3:9" s="46" customFormat="1" x14ac:dyDescent="0.2">
      <c r="C3930" s="144"/>
      <c r="D3930" s="144"/>
      <c r="E3930" s="144"/>
      <c r="F3930" s="373"/>
      <c r="I3930" s="70"/>
    </row>
    <row r="3931" spans="3:9" s="46" customFormat="1" x14ac:dyDescent="0.2">
      <c r="C3931" s="144"/>
      <c r="D3931" s="144"/>
      <c r="E3931" s="144"/>
      <c r="F3931" s="373"/>
      <c r="I3931" s="70"/>
    </row>
    <row r="3932" spans="3:9" s="46" customFormat="1" x14ac:dyDescent="0.2">
      <c r="C3932" s="144"/>
      <c r="D3932" s="144"/>
      <c r="E3932" s="144"/>
      <c r="F3932" s="373"/>
      <c r="I3932" s="70"/>
    </row>
    <row r="3933" spans="3:9" s="46" customFormat="1" x14ac:dyDescent="0.2">
      <c r="C3933" s="144"/>
      <c r="D3933" s="144"/>
      <c r="E3933" s="144"/>
      <c r="F3933" s="373"/>
      <c r="I3933" s="70"/>
    </row>
    <row r="3934" spans="3:9" s="46" customFormat="1" x14ac:dyDescent="0.2">
      <c r="C3934" s="144"/>
      <c r="D3934" s="144"/>
      <c r="E3934" s="144"/>
      <c r="F3934" s="373"/>
      <c r="I3934" s="70"/>
    </row>
    <row r="3935" spans="3:9" s="46" customFormat="1" x14ac:dyDescent="0.2">
      <c r="C3935" s="144"/>
      <c r="D3935" s="144"/>
      <c r="E3935" s="144"/>
      <c r="F3935" s="373"/>
      <c r="I3935" s="70"/>
    </row>
    <row r="3936" spans="3:9" s="46" customFormat="1" x14ac:dyDescent="0.2">
      <c r="C3936" s="144"/>
      <c r="D3936" s="144"/>
      <c r="E3936" s="144"/>
      <c r="F3936" s="373"/>
      <c r="I3936" s="70"/>
    </row>
    <row r="3937" spans="3:9" s="46" customFormat="1" x14ac:dyDescent="0.2">
      <c r="C3937" s="144"/>
      <c r="D3937" s="144"/>
      <c r="E3937" s="144"/>
      <c r="F3937" s="373"/>
      <c r="I3937" s="70"/>
    </row>
    <row r="3938" spans="3:9" s="46" customFormat="1" x14ac:dyDescent="0.2">
      <c r="C3938" s="144"/>
      <c r="D3938" s="144"/>
      <c r="E3938" s="144"/>
      <c r="F3938" s="373"/>
      <c r="I3938" s="70"/>
    </row>
    <row r="3939" spans="3:9" s="46" customFormat="1" x14ac:dyDescent="0.2">
      <c r="C3939" s="144"/>
      <c r="D3939" s="144"/>
      <c r="E3939" s="144"/>
      <c r="F3939" s="373"/>
      <c r="I3939" s="70"/>
    </row>
    <row r="3940" spans="3:9" s="46" customFormat="1" x14ac:dyDescent="0.2">
      <c r="C3940" s="144"/>
      <c r="D3940" s="144"/>
      <c r="E3940" s="144"/>
      <c r="F3940" s="373"/>
      <c r="I3940" s="70"/>
    </row>
    <row r="3941" spans="3:9" s="46" customFormat="1" x14ac:dyDescent="0.2">
      <c r="C3941" s="144"/>
      <c r="D3941" s="144"/>
      <c r="E3941" s="144"/>
      <c r="F3941" s="373"/>
      <c r="I3941" s="70"/>
    </row>
    <row r="3942" spans="3:9" s="46" customFormat="1" x14ac:dyDescent="0.2">
      <c r="C3942" s="144"/>
      <c r="D3942" s="144"/>
      <c r="E3942" s="144"/>
      <c r="F3942" s="373"/>
      <c r="I3942" s="70"/>
    </row>
    <row r="3943" spans="3:9" s="46" customFormat="1" x14ac:dyDescent="0.2">
      <c r="C3943" s="144"/>
      <c r="D3943" s="144"/>
      <c r="E3943" s="144"/>
      <c r="F3943" s="373"/>
      <c r="I3943" s="70"/>
    </row>
    <row r="3944" spans="3:9" s="46" customFormat="1" x14ac:dyDescent="0.2">
      <c r="C3944" s="144"/>
      <c r="D3944" s="144"/>
      <c r="E3944" s="144"/>
      <c r="F3944" s="373"/>
      <c r="I3944" s="70"/>
    </row>
    <row r="3945" spans="3:9" s="46" customFormat="1" x14ac:dyDescent="0.2">
      <c r="C3945" s="144"/>
      <c r="D3945" s="144"/>
      <c r="E3945" s="144"/>
      <c r="F3945" s="373"/>
      <c r="I3945" s="70"/>
    </row>
    <row r="3946" spans="3:9" s="46" customFormat="1" x14ac:dyDescent="0.2">
      <c r="C3946" s="144"/>
      <c r="D3946" s="144"/>
      <c r="E3946" s="144"/>
      <c r="F3946" s="373"/>
      <c r="I3946" s="70"/>
    </row>
    <row r="3947" spans="3:9" s="46" customFormat="1" x14ac:dyDescent="0.2">
      <c r="C3947" s="144"/>
      <c r="D3947" s="144"/>
      <c r="E3947" s="144"/>
      <c r="F3947" s="373"/>
      <c r="I3947" s="70"/>
    </row>
    <row r="3948" spans="3:9" s="46" customFormat="1" x14ac:dyDescent="0.2">
      <c r="C3948" s="144"/>
      <c r="D3948" s="144"/>
      <c r="E3948" s="144"/>
      <c r="F3948" s="373"/>
      <c r="I3948" s="70"/>
    </row>
    <row r="3949" spans="3:9" s="46" customFormat="1" x14ac:dyDescent="0.2">
      <c r="C3949" s="144"/>
      <c r="D3949" s="144"/>
      <c r="E3949" s="144"/>
      <c r="F3949" s="373"/>
      <c r="I3949" s="70"/>
    </row>
    <row r="3950" spans="3:9" s="46" customFormat="1" x14ac:dyDescent="0.2">
      <c r="C3950" s="144"/>
      <c r="D3950" s="144"/>
      <c r="E3950" s="144"/>
      <c r="F3950" s="373"/>
      <c r="I3950" s="70"/>
    </row>
    <row r="3951" spans="3:9" s="46" customFormat="1" x14ac:dyDescent="0.2">
      <c r="C3951" s="144"/>
      <c r="D3951" s="144"/>
      <c r="E3951" s="144"/>
      <c r="F3951" s="373"/>
      <c r="I3951" s="70"/>
    </row>
    <row r="3952" spans="3:9" s="46" customFormat="1" x14ac:dyDescent="0.2">
      <c r="C3952" s="144"/>
      <c r="D3952" s="144"/>
      <c r="E3952" s="144"/>
      <c r="F3952" s="373"/>
      <c r="I3952" s="70"/>
    </row>
    <row r="3953" spans="3:9" s="46" customFormat="1" x14ac:dyDescent="0.2">
      <c r="C3953" s="144"/>
      <c r="D3953" s="144"/>
      <c r="E3953" s="144"/>
      <c r="F3953" s="373"/>
      <c r="I3953" s="70"/>
    </row>
    <row r="3954" spans="3:9" s="46" customFormat="1" x14ac:dyDescent="0.2">
      <c r="C3954" s="144"/>
      <c r="D3954" s="144"/>
      <c r="E3954" s="144"/>
      <c r="F3954" s="373"/>
      <c r="I3954" s="70"/>
    </row>
    <row r="3955" spans="3:9" s="46" customFormat="1" x14ac:dyDescent="0.2">
      <c r="C3955" s="144"/>
      <c r="D3955" s="144"/>
      <c r="E3955" s="144"/>
      <c r="F3955" s="373"/>
      <c r="I3955" s="70"/>
    </row>
    <row r="3956" spans="3:9" s="46" customFormat="1" x14ac:dyDescent="0.2">
      <c r="C3956" s="144"/>
      <c r="D3956" s="144"/>
      <c r="E3956" s="144"/>
      <c r="F3956" s="373"/>
      <c r="I3956" s="70"/>
    </row>
    <row r="3957" spans="3:9" s="46" customFormat="1" x14ac:dyDescent="0.2">
      <c r="C3957" s="144"/>
      <c r="D3957" s="144"/>
      <c r="E3957" s="144"/>
      <c r="F3957" s="373"/>
      <c r="I3957" s="70"/>
    </row>
    <row r="3958" spans="3:9" s="46" customFormat="1" x14ac:dyDescent="0.2">
      <c r="C3958" s="144"/>
      <c r="D3958" s="144"/>
      <c r="E3958" s="144"/>
      <c r="F3958" s="373"/>
      <c r="I3958" s="70"/>
    </row>
    <row r="3959" spans="3:9" s="46" customFormat="1" x14ac:dyDescent="0.2">
      <c r="C3959" s="144"/>
      <c r="D3959" s="144"/>
      <c r="E3959" s="144"/>
      <c r="F3959" s="373"/>
      <c r="I3959" s="70"/>
    </row>
    <row r="3960" spans="3:9" s="46" customFormat="1" x14ac:dyDescent="0.2">
      <c r="C3960" s="144"/>
      <c r="D3960" s="144"/>
      <c r="E3960" s="144"/>
      <c r="F3960" s="373"/>
      <c r="I3960" s="70"/>
    </row>
    <row r="3961" spans="3:9" s="46" customFormat="1" x14ac:dyDescent="0.2">
      <c r="C3961" s="144"/>
      <c r="D3961" s="144"/>
      <c r="E3961" s="144"/>
      <c r="F3961" s="373"/>
      <c r="I3961" s="70"/>
    </row>
    <row r="3962" spans="3:9" s="46" customFormat="1" x14ac:dyDescent="0.2">
      <c r="C3962" s="144"/>
      <c r="D3962" s="144"/>
      <c r="E3962" s="144"/>
      <c r="F3962" s="373"/>
      <c r="I3962" s="70"/>
    </row>
    <row r="3963" spans="3:9" s="46" customFormat="1" x14ac:dyDescent="0.2">
      <c r="C3963" s="144"/>
      <c r="D3963" s="144"/>
      <c r="E3963" s="144"/>
      <c r="F3963" s="373"/>
      <c r="I3963" s="70"/>
    </row>
    <row r="3964" spans="3:9" s="46" customFormat="1" x14ac:dyDescent="0.2">
      <c r="C3964" s="144"/>
      <c r="D3964" s="144"/>
      <c r="E3964" s="144"/>
      <c r="F3964" s="373"/>
      <c r="I3964" s="70"/>
    </row>
    <row r="3965" spans="3:9" s="46" customFormat="1" x14ac:dyDescent="0.2">
      <c r="C3965" s="144"/>
      <c r="D3965" s="144"/>
      <c r="E3965" s="144"/>
      <c r="F3965" s="373"/>
      <c r="I3965" s="70"/>
    </row>
    <row r="3966" spans="3:9" s="46" customFormat="1" x14ac:dyDescent="0.2">
      <c r="C3966" s="144"/>
      <c r="D3966" s="144"/>
      <c r="E3966" s="144"/>
      <c r="F3966" s="373"/>
      <c r="I3966" s="70"/>
    </row>
    <row r="3967" spans="3:9" s="46" customFormat="1" x14ac:dyDescent="0.2">
      <c r="C3967" s="144"/>
      <c r="D3967" s="144"/>
      <c r="E3967" s="144"/>
      <c r="F3967" s="373"/>
      <c r="I3967" s="70"/>
    </row>
    <row r="3968" spans="3:9" s="46" customFormat="1" x14ac:dyDescent="0.2">
      <c r="C3968" s="144"/>
      <c r="D3968" s="144"/>
      <c r="E3968" s="144"/>
      <c r="F3968" s="373"/>
      <c r="I3968" s="70"/>
    </row>
    <row r="3969" spans="3:9" s="46" customFormat="1" x14ac:dyDescent="0.2">
      <c r="C3969" s="144"/>
      <c r="D3969" s="144"/>
      <c r="E3969" s="144"/>
      <c r="F3969" s="373"/>
      <c r="I3969" s="70"/>
    </row>
    <row r="3970" spans="3:9" s="46" customFormat="1" x14ac:dyDescent="0.2">
      <c r="C3970" s="144"/>
      <c r="D3970" s="144"/>
      <c r="E3970" s="144"/>
      <c r="F3970" s="373"/>
      <c r="I3970" s="70"/>
    </row>
    <row r="3971" spans="3:9" s="46" customFormat="1" x14ac:dyDescent="0.2">
      <c r="C3971" s="144"/>
      <c r="D3971" s="144"/>
      <c r="E3971" s="144"/>
      <c r="F3971" s="373"/>
      <c r="I3971" s="70"/>
    </row>
    <row r="3972" spans="3:9" s="46" customFormat="1" x14ac:dyDescent="0.2">
      <c r="C3972" s="144"/>
      <c r="D3972" s="144"/>
      <c r="E3972" s="144"/>
      <c r="F3972" s="373"/>
      <c r="I3972" s="70"/>
    </row>
    <row r="3973" spans="3:9" s="46" customFormat="1" x14ac:dyDescent="0.2">
      <c r="C3973" s="144"/>
      <c r="D3973" s="144"/>
      <c r="E3973" s="144"/>
      <c r="F3973" s="373"/>
      <c r="I3973" s="70"/>
    </row>
    <row r="3974" spans="3:9" s="46" customFormat="1" x14ac:dyDescent="0.2">
      <c r="C3974" s="144"/>
      <c r="D3974" s="144"/>
      <c r="E3974" s="144"/>
      <c r="F3974" s="373"/>
      <c r="I3974" s="70"/>
    </row>
    <row r="3975" spans="3:9" s="46" customFormat="1" x14ac:dyDescent="0.2">
      <c r="C3975" s="144"/>
      <c r="D3975" s="144"/>
      <c r="E3975" s="144"/>
      <c r="F3975" s="373"/>
      <c r="I3975" s="70"/>
    </row>
    <row r="3976" spans="3:9" s="46" customFormat="1" x14ac:dyDescent="0.2">
      <c r="C3976" s="144"/>
      <c r="D3976" s="144"/>
      <c r="E3976" s="144"/>
      <c r="F3976" s="373"/>
      <c r="I3976" s="70"/>
    </row>
    <row r="3977" spans="3:9" s="46" customFormat="1" x14ac:dyDescent="0.2">
      <c r="C3977" s="144"/>
      <c r="D3977" s="144"/>
      <c r="E3977" s="144"/>
      <c r="F3977" s="373"/>
      <c r="I3977" s="70"/>
    </row>
    <row r="3978" spans="3:9" s="46" customFormat="1" x14ac:dyDescent="0.2">
      <c r="C3978" s="144"/>
      <c r="D3978" s="144"/>
      <c r="E3978" s="144"/>
      <c r="F3978" s="373"/>
      <c r="I3978" s="70"/>
    </row>
    <row r="3979" spans="3:9" s="46" customFormat="1" x14ac:dyDescent="0.2">
      <c r="C3979" s="144"/>
      <c r="D3979" s="144"/>
      <c r="E3979" s="144"/>
      <c r="F3979" s="373"/>
      <c r="I3979" s="70"/>
    </row>
    <row r="3980" spans="3:9" s="46" customFormat="1" x14ac:dyDescent="0.2">
      <c r="C3980" s="144"/>
      <c r="D3980" s="144"/>
      <c r="E3980" s="144"/>
      <c r="F3980" s="373"/>
      <c r="I3980" s="70"/>
    </row>
    <row r="3981" spans="3:9" s="46" customFormat="1" x14ac:dyDescent="0.2">
      <c r="C3981" s="144"/>
      <c r="D3981" s="144"/>
      <c r="E3981" s="144"/>
      <c r="F3981" s="373"/>
      <c r="I3981" s="70"/>
    </row>
    <row r="3982" spans="3:9" s="46" customFormat="1" x14ac:dyDescent="0.2">
      <c r="C3982" s="144"/>
      <c r="D3982" s="144"/>
      <c r="E3982" s="144"/>
      <c r="F3982" s="373"/>
      <c r="I3982" s="70"/>
    </row>
    <row r="3983" spans="3:9" s="46" customFormat="1" x14ac:dyDescent="0.2">
      <c r="C3983" s="144"/>
      <c r="D3983" s="144"/>
      <c r="E3983" s="144"/>
      <c r="F3983" s="373"/>
      <c r="I3983" s="70"/>
    </row>
    <row r="3984" spans="3:9" s="46" customFormat="1" x14ac:dyDescent="0.2">
      <c r="C3984" s="144"/>
      <c r="D3984" s="144"/>
      <c r="E3984" s="144"/>
      <c r="F3984" s="373"/>
      <c r="I3984" s="70"/>
    </row>
    <row r="3985" spans="3:9" s="46" customFormat="1" x14ac:dyDescent="0.2">
      <c r="C3985" s="144"/>
      <c r="D3985" s="144"/>
      <c r="E3985" s="144"/>
      <c r="F3985" s="373"/>
      <c r="I3985" s="70"/>
    </row>
    <row r="3986" spans="3:9" s="46" customFormat="1" x14ac:dyDescent="0.2">
      <c r="C3986" s="144"/>
      <c r="D3986" s="144"/>
      <c r="E3986" s="144"/>
      <c r="F3986" s="373"/>
      <c r="I3986" s="70"/>
    </row>
    <row r="3987" spans="3:9" s="46" customFormat="1" x14ac:dyDescent="0.2">
      <c r="C3987" s="144"/>
      <c r="D3987" s="144"/>
      <c r="E3987" s="144"/>
      <c r="F3987" s="373"/>
      <c r="I3987" s="70"/>
    </row>
    <row r="3988" spans="3:9" s="46" customFormat="1" x14ac:dyDescent="0.2">
      <c r="C3988" s="144"/>
      <c r="D3988" s="144"/>
      <c r="E3988" s="144"/>
      <c r="F3988" s="373"/>
      <c r="I3988" s="70"/>
    </row>
    <row r="3989" spans="3:9" s="46" customFormat="1" x14ac:dyDescent="0.2">
      <c r="C3989" s="144"/>
      <c r="D3989" s="144"/>
      <c r="E3989" s="144"/>
      <c r="F3989" s="373"/>
      <c r="I3989" s="70"/>
    </row>
    <row r="3990" spans="3:9" s="46" customFormat="1" x14ac:dyDescent="0.2">
      <c r="C3990" s="144"/>
      <c r="D3990" s="144"/>
      <c r="E3990" s="144"/>
      <c r="F3990" s="373"/>
      <c r="I3990" s="70"/>
    </row>
    <row r="3991" spans="3:9" s="46" customFormat="1" x14ac:dyDescent="0.2">
      <c r="C3991" s="144"/>
      <c r="D3991" s="144"/>
      <c r="E3991" s="144"/>
      <c r="F3991" s="373"/>
      <c r="I3991" s="70"/>
    </row>
    <row r="3992" spans="3:9" s="46" customFormat="1" x14ac:dyDescent="0.2">
      <c r="C3992" s="144"/>
      <c r="D3992" s="144"/>
      <c r="E3992" s="144"/>
      <c r="F3992" s="373"/>
      <c r="I3992" s="70"/>
    </row>
    <row r="3993" spans="3:9" s="46" customFormat="1" x14ac:dyDescent="0.2">
      <c r="C3993" s="144"/>
      <c r="D3993" s="144"/>
      <c r="E3993" s="144"/>
      <c r="F3993" s="373"/>
      <c r="I3993" s="70"/>
    </row>
    <row r="3994" spans="3:9" s="46" customFormat="1" x14ac:dyDescent="0.2">
      <c r="C3994" s="144"/>
      <c r="D3994" s="144"/>
      <c r="E3994" s="144"/>
      <c r="F3994" s="373"/>
      <c r="I3994" s="70"/>
    </row>
    <row r="3995" spans="3:9" s="46" customFormat="1" x14ac:dyDescent="0.2">
      <c r="C3995" s="144"/>
      <c r="D3995" s="144"/>
      <c r="E3995" s="144"/>
      <c r="F3995" s="373"/>
      <c r="I3995" s="70"/>
    </row>
    <row r="3996" spans="3:9" s="46" customFormat="1" x14ac:dyDescent="0.2">
      <c r="C3996" s="144"/>
      <c r="D3996" s="144"/>
      <c r="E3996" s="144"/>
      <c r="F3996" s="373"/>
      <c r="I3996" s="70"/>
    </row>
    <row r="3997" spans="3:9" s="46" customFormat="1" x14ac:dyDescent="0.2">
      <c r="C3997" s="144"/>
      <c r="D3997" s="144"/>
      <c r="E3997" s="144"/>
      <c r="F3997" s="373"/>
      <c r="I3997" s="70"/>
    </row>
    <row r="3998" spans="3:9" s="46" customFormat="1" x14ac:dyDescent="0.2">
      <c r="C3998" s="144"/>
      <c r="D3998" s="144"/>
      <c r="E3998" s="144"/>
      <c r="F3998" s="373"/>
      <c r="I3998" s="70"/>
    </row>
    <row r="3999" spans="3:9" s="46" customFormat="1" x14ac:dyDescent="0.2">
      <c r="C3999" s="144"/>
      <c r="D3999" s="144"/>
      <c r="E3999" s="144"/>
      <c r="F3999" s="373"/>
      <c r="I3999" s="70"/>
    </row>
    <row r="4000" spans="3:9" s="46" customFormat="1" x14ac:dyDescent="0.2">
      <c r="C4000" s="144"/>
      <c r="D4000" s="144"/>
      <c r="E4000" s="144"/>
      <c r="F4000" s="373"/>
      <c r="I4000" s="70"/>
    </row>
    <row r="4001" spans="3:9" s="46" customFormat="1" x14ac:dyDescent="0.2">
      <c r="C4001" s="144"/>
      <c r="D4001" s="144"/>
      <c r="E4001" s="144"/>
      <c r="F4001" s="373"/>
      <c r="I4001" s="70"/>
    </row>
    <row r="4002" spans="3:9" s="46" customFormat="1" x14ac:dyDescent="0.2">
      <c r="C4002" s="144"/>
      <c r="D4002" s="144"/>
      <c r="E4002" s="144"/>
      <c r="F4002" s="373"/>
      <c r="I4002" s="70"/>
    </row>
    <row r="4003" spans="3:9" s="46" customFormat="1" x14ac:dyDescent="0.2">
      <c r="C4003" s="144"/>
      <c r="D4003" s="144"/>
      <c r="E4003" s="144"/>
      <c r="F4003" s="373"/>
      <c r="I4003" s="70"/>
    </row>
    <row r="4004" spans="3:9" s="46" customFormat="1" x14ac:dyDescent="0.2">
      <c r="C4004" s="144"/>
      <c r="D4004" s="144"/>
      <c r="E4004" s="144"/>
      <c r="F4004" s="373"/>
      <c r="I4004" s="70"/>
    </row>
    <row r="4005" spans="3:9" s="46" customFormat="1" x14ac:dyDescent="0.2">
      <c r="C4005" s="144"/>
      <c r="D4005" s="144"/>
      <c r="E4005" s="144"/>
      <c r="F4005" s="373"/>
      <c r="I4005" s="70"/>
    </row>
    <row r="4006" spans="3:9" s="46" customFormat="1" x14ac:dyDescent="0.2">
      <c r="C4006" s="144"/>
      <c r="D4006" s="144"/>
      <c r="E4006" s="144"/>
      <c r="F4006" s="373"/>
      <c r="I4006" s="70"/>
    </row>
    <row r="4007" spans="3:9" s="46" customFormat="1" x14ac:dyDescent="0.2">
      <c r="C4007" s="144"/>
      <c r="D4007" s="144"/>
      <c r="E4007" s="144"/>
      <c r="F4007" s="373"/>
      <c r="I4007" s="70"/>
    </row>
    <row r="4008" spans="3:9" s="46" customFormat="1" x14ac:dyDescent="0.2">
      <c r="C4008" s="144"/>
      <c r="D4008" s="144"/>
      <c r="E4008" s="144"/>
      <c r="F4008" s="373"/>
      <c r="I4008" s="70"/>
    </row>
    <row r="4009" spans="3:9" s="46" customFormat="1" x14ac:dyDescent="0.2">
      <c r="C4009" s="144"/>
      <c r="D4009" s="144"/>
      <c r="E4009" s="144"/>
      <c r="F4009" s="373"/>
      <c r="I4009" s="70"/>
    </row>
    <row r="4010" spans="3:9" s="46" customFormat="1" x14ac:dyDescent="0.2">
      <c r="C4010" s="144"/>
      <c r="D4010" s="144"/>
      <c r="E4010" s="144"/>
      <c r="F4010" s="373"/>
      <c r="I4010" s="70"/>
    </row>
    <row r="4011" spans="3:9" s="46" customFormat="1" x14ac:dyDescent="0.2">
      <c r="C4011" s="144"/>
      <c r="D4011" s="144"/>
      <c r="E4011" s="144"/>
      <c r="F4011" s="373"/>
      <c r="I4011" s="70"/>
    </row>
    <row r="4012" spans="3:9" s="46" customFormat="1" x14ac:dyDescent="0.2">
      <c r="C4012" s="144"/>
      <c r="D4012" s="144"/>
      <c r="E4012" s="144"/>
      <c r="F4012" s="373"/>
      <c r="I4012" s="70"/>
    </row>
    <row r="4013" spans="3:9" s="46" customFormat="1" x14ac:dyDescent="0.2">
      <c r="C4013" s="144"/>
      <c r="D4013" s="144"/>
      <c r="E4013" s="144"/>
      <c r="F4013" s="373"/>
      <c r="I4013" s="70"/>
    </row>
    <row r="4014" spans="3:9" s="46" customFormat="1" x14ac:dyDescent="0.2">
      <c r="C4014" s="144"/>
      <c r="D4014" s="144"/>
      <c r="E4014" s="144"/>
      <c r="F4014" s="373"/>
      <c r="I4014" s="70"/>
    </row>
    <row r="4015" spans="3:9" s="46" customFormat="1" x14ac:dyDescent="0.2">
      <c r="C4015" s="144"/>
      <c r="D4015" s="144"/>
      <c r="E4015" s="144"/>
      <c r="F4015" s="373"/>
      <c r="I4015" s="70"/>
    </row>
    <row r="4016" spans="3:9" s="46" customFormat="1" x14ac:dyDescent="0.2">
      <c r="C4016" s="144"/>
      <c r="D4016" s="144"/>
      <c r="E4016" s="144"/>
      <c r="F4016" s="373"/>
      <c r="I4016" s="70"/>
    </row>
    <row r="4017" spans="3:9" s="46" customFormat="1" x14ac:dyDescent="0.2">
      <c r="C4017" s="144"/>
      <c r="D4017" s="144"/>
      <c r="E4017" s="144"/>
      <c r="F4017" s="373"/>
      <c r="I4017" s="70"/>
    </row>
    <row r="4018" spans="3:9" s="46" customFormat="1" x14ac:dyDescent="0.2">
      <c r="C4018" s="144"/>
      <c r="D4018" s="144"/>
      <c r="E4018" s="144"/>
      <c r="F4018" s="373"/>
      <c r="I4018" s="70"/>
    </row>
    <row r="4019" spans="3:9" s="46" customFormat="1" x14ac:dyDescent="0.2">
      <c r="C4019" s="144"/>
      <c r="D4019" s="144"/>
      <c r="E4019" s="144"/>
      <c r="F4019" s="373"/>
      <c r="I4019" s="70"/>
    </row>
    <row r="4020" spans="3:9" s="46" customFormat="1" x14ac:dyDescent="0.2">
      <c r="C4020" s="144"/>
      <c r="D4020" s="144"/>
      <c r="E4020" s="144"/>
      <c r="F4020" s="373"/>
      <c r="I4020" s="70"/>
    </row>
    <row r="4021" spans="3:9" s="46" customFormat="1" x14ac:dyDescent="0.2">
      <c r="C4021" s="144"/>
      <c r="D4021" s="144"/>
      <c r="E4021" s="144"/>
      <c r="F4021" s="373"/>
      <c r="I4021" s="70"/>
    </row>
    <row r="4022" spans="3:9" s="46" customFormat="1" x14ac:dyDescent="0.2">
      <c r="C4022" s="144"/>
      <c r="D4022" s="144"/>
      <c r="E4022" s="144"/>
      <c r="F4022" s="373"/>
      <c r="I4022" s="70"/>
    </row>
    <row r="4023" spans="3:9" s="46" customFormat="1" x14ac:dyDescent="0.2">
      <c r="C4023" s="144"/>
      <c r="D4023" s="144"/>
      <c r="E4023" s="144"/>
      <c r="F4023" s="373"/>
      <c r="I4023" s="70"/>
    </row>
    <row r="4024" spans="3:9" s="46" customFormat="1" x14ac:dyDescent="0.2">
      <c r="C4024" s="144"/>
      <c r="D4024" s="144"/>
      <c r="E4024" s="144"/>
      <c r="F4024" s="373"/>
      <c r="I4024" s="70"/>
    </row>
    <row r="4025" spans="3:9" s="46" customFormat="1" x14ac:dyDescent="0.2">
      <c r="C4025" s="144"/>
      <c r="D4025" s="144"/>
      <c r="E4025" s="144"/>
      <c r="F4025" s="373"/>
      <c r="I4025" s="70"/>
    </row>
    <row r="4026" spans="3:9" s="46" customFormat="1" x14ac:dyDescent="0.2">
      <c r="C4026" s="144"/>
      <c r="D4026" s="144"/>
      <c r="E4026" s="144"/>
      <c r="F4026" s="373"/>
      <c r="I4026" s="70"/>
    </row>
    <row r="4027" spans="3:9" s="46" customFormat="1" x14ac:dyDescent="0.2">
      <c r="C4027" s="144"/>
      <c r="D4027" s="144"/>
      <c r="E4027" s="144"/>
      <c r="F4027" s="373"/>
      <c r="I4027" s="70"/>
    </row>
    <row r="4028" spans="3:9" s="46" customFormat="1" x14ac:dyDescent="0.2">
      <c r="C4028" s="144"/>
      <c r="D4028" s="144"/>
      <c r="E4028" s="144"/>
      <c r="F4028" s="373"/>
      <c r="I4028" s="70"/>
    </row>
    <row r="4029" spans="3:9" s="46" customFormat="1" x14ac:dyDescent="0.2">
      <c r="C4029" s="144"/>
      <c r="D4029" s="144"/>
      <c r="E4029" s="144"/>
      <c r="F4029" s="373"/>
      <c r="I4029" s="70"/>
    </row>
    <row r="4030" spans="3:9" s="46" customFormat="1" x14ac:dyDescent="0.2">
      <c r="C4030" s="144"/>
      <c r="D4030" s="144"/>
      <c r="E4030" s="144"/>
      <c r="F4030" s="373"/>
      <c r="I4030" s="70"/>
    </row>
    <row r="4031" spans="3:9" s="46" customFormat="1" x14ac:dyDescent="0.2">
      <c r="C4031" s="144"/>
      <c r="D4031" s="144"/>
      <c r="E4031" s="144"/>
      <c r="F4031" s="373"/>
      <c r="I4031" s="70"/>
    </row>
    <row r="4032" spans="3:9" s="46" customFormat="1" x14ac:dyDescent="0.2">
      <c r="C4032" s="144"/>
      <c r="D4032" s="144"/>
      <c r="E4032" s="144"/>
      <c r="F4032" s="373"/>
      <c r="I4032" s="70"/>
    </row>
    <row r="4033" spans="3:9" s="46" customFormat="1" x14ac:dyDescent="0.2">
      <c r="C4033" s="144"/>
      <c r="D4033" s="144"/>
      <c r="E4033" s="144"/>
      <c r="F4033" s="373"/>
      <c r="I4033" s="70"/>
    </row>
    <row r="4034" spans="3:9" s="46" customFormat="1" x14ac:dyDescent="0.2">
      <c r="C4034" s="144"/>
      <c r="D4034" s="144"/>
      <c r="E4034" s="144"/>
      <c r="F4034" s="373"/>
      <c r="I4034" s="70"/>
    </row>
    <row r="4035" spans="3:9" s="46" customFormat="1" x14ac:dyDescent="0.2">
      <c r="C4035" s="144"/>
      <c r="D4035" s="144"/>
      <c r="E4035" s="144"/>
      <c r="F4035" s="373"/>
      <c r="I4035" s="70"/>
    </row>
    <row r="4036" spans="3:9" s="46" customFormat="1" x14ac:dyDescent="0.2">
      <c r="C4036" s="144"/>
      <c r="D4036" s="144"/>
      <c r="E4036" s="144"/>
      <c r="F4036" s="373"/>
      <c r="I4036" s="70"/>
    </row>
    <row r="4037" spans="3:9" s="46" customFormat="1" x14ac:dyDescent="0.2">
      <c r="C4037" s="144"/>
      <c r="D4037" s="144"/>
      <c r="E4037" s="144"/>
      <c r="F4037" s="373"/>
      <c r="I4037" s="70"/>
    </row>
    <row r="4038" spans="3:9" s="46" customFormat="1" x14ac:dyDescent="0.2">
      <c r="C4038" s="144"/>
      <c r="D4038" s="144"/>
      <c r="E4038" s="144"/>
      <c r="F4038" s="373"/>
      <c r="I4038" s="70"/>
    </row>
    <row r="4039" spans="3:9" s="46" customFormat="1" x14ac:dyDescent="0.2">
      <c r="C4039" s="144"/>
      <c r="D4039" s="144"/>
      <c r="E4039" s="144"/>
      <c r="F4039" s="373"/>
      <c r="I4039" s="70"/>
    </row>
    <row r="4040" spans="3:9" s="46" customFormat="1" x14ac:dyDescent="0.2">
      <c r="C4040" s="144"/>
      <c r="D4040" s="144"/>
      <c r="E4040" s="144"/>
      <c r="F4040" s="373"/>
      <c r="I4040" s="70"/>
    </row>
    <row r="4041" spans="3:9" s="46" customFormat="1" x14ac:dyDescent="0.2">
      <c r="C4041" s="144"/>
      <c r="D4041" s="144"/>
      <c r="E4041" s="144"/>
      <c r="F4041" s="373"/>
      <c r="I4041" s="70"/>
    </row>
    <row r="4042" spans="3:9" s="46" customFormat="1" x14ac:dyDescent="0.2">
      <c r="C4042" s="144"/>
      <c r="D4042" s="144"/>
      <c r="E4042" s="144"/>
      <c r="F4042" s="373"/>
      <c r="I4042" s="70"/>
    </row>
    <row r="4043" spans="3:9" s="46" customFormat="1" x14ac:dyDescent="0.2">
      <c r="C4043" s="144"/>
      <c r="D4043" s="144"/>
      <c r="E4043" s="144"/>
      <c r="F4043" s="373"/>
      <c r="I4043" s="70"/>
    </row>
    <row r="4044" spans="3:9" s="46" customFormat="1" x14ac:dyDescent="0.2">
      <c r="C4044" s="144"/>
      <c r="D4044" s="144"/>
      <c r="E4044" s="144"/>
      <c r="F4044" s="373"/>
      <c r="I4044" s="70"/>
    </row>
    <row r="4045" spans="3:9" s="46" customFormat="1" x14ac:dyDescent="0.2">
      <c r="C4045" s="144"/>
      <c r="D4045" s="144"/>
      <c r="E4045" s="144"/>
      <c r="F4045" s="373"/>
      <c r="I4045" s="70"/>
    </row>
    <row r="4046" spans="3:9" s="46" customFormat="1" x14ac:dyDescent="0.2">
      <c r="C4046" s="144"/>
      <c r="D4046" s="144"/>
      <c r="E4046" s="144"/>
      <c r="F4046" s="373"/>
      <c r="I4046" s="70"/>
    </row>
    <row r="4047" spans="3:9" s="46" customFormat="1" x14ac:dyDescent="0.2">
      <c r="C4047" s="144"/>
      <c r="D4047" s="144"/>
      <c r="E4047" s="144"/>
      <c r="F4047" s="373"/>
      <c r="I4047" s="70"/>
    </row>
    <row r="4048" spans="3:9" s="46" customFormat="1" x14ac:dyDescent="0.2">
      <c r="C4048" s="144"/>
      <c r="D4048" s="144"/>
      <c r="E4048" s="144"/>
      <c r="F4048" s="373"/>
      <c r="I4048" s="70"/>
    </row>
    <row r="4049" spans="3:9" s="46" customFormat="1" x14ac:dyDescent="0.2">
      <c r="C4049" s="144"/>
      <c r="D4049" s="144"/>
      <c r="E4049" s="144"/>
      <c r="F4049" s="373"/>
      <c r="I4049" s="70"/>
    </row>
    <row r="4050" spans="3:9" s="46" customFormat="1" x14ac:dyDescent="0.2">
      <c r="C4050" s="144"/>
      <c r="D4050" s="144"/>
      <c r="E4050" s="144"/>
      <c r="F4050" s="373"/>
      <c r="I4050" s="70"/>
    </row>
    <row r="4051" spans="3:9" s="46" customFormat="1" x14ac:dyDescent="0.2">
      <c r="C4051" s="144"/>
      <c r="D4051" s="144"/>
      <c r="E4051" s="144"/>
      <c r="F4051" s="373"/>
      <c r="I4051" s="70"/>
    </row>
    <row r="4052" spans="3:9" s="46" customFormat="1" x14ac:dyDescent="0.2">
      <c r="C4052" s="144"/>
      <c r="D4052" s="144"/>
      <c r="E4052" s="144"/>
      <c r="F4052" s="373"/>
      <c r="I4052" s="70"/>
    </row>
    <row r="4053" spans="3:9" s="46" customFormat="1" x14ac:dyDescent="0.2">
      <c r="C4053" s="144"/>
      <c r="D4053" s="144"/>
      <c r="E4053" s="144"/>
      <c r="F4053" s="373"/>
      <c r="I4053" s="70"/>
    </row>
    <row r="4054" spans="3:9" s="46" customFormat="1" x14ac:dyDescent="0.2">
      <c r="C4054" s="144"/>
      <c r="D4054" s="144"/>
      <c r="E4054" s="144"/>
      <c r="F4054" s="373"/>
      <c r="I4054" s="70"/>
    </row>
    <row r="4055" spans="3:9" s="46" customFormat="1" x14ac:dyDescent="0.2">
      <c r="C4055" s="144"/>
      <c r="D4055" s="144"/>
      <c r="E4055" s="144"/>
      <c r="F4055" s="373"/>
      <c r="I4055" s="70"/>
    </row>
    <row r="4056" spans="3:9" s="46" customFormat="1" x14ac:dyDescent="0.2">
      <c r="C4056" s="144"/>
      <c r="D4056" s="144"/>
      <c r="E4056" s="144"/>
      <c r="F4056" s="373"/>
      <c r="I4056" s="70"/>
    </row>
    <row r="4057" spans="3:9" s="46" customFormat="1" x14ac:dyDescent="0.2">
      <c r="C4057" s="144"/>
      <c r="D4057" s="144"/>
      <c r="E4057" s="144"/>
      <c r="F4057" s="373"/>
      <c r="I4057" s="70"/>
    </row>
    <row r="4058" spans="3:9" s="46" customFormat="1" x14ac:dyDescent="0.2">
      <c r="C4058" s="144"/>
      <c r="D4058" s="144"/>
      <c r="E4058" s="144"/>
      <c r="F4058" s="373"/>
      <c r="I4058" s="70"/>
    </row>
    <row r="4059" spans="3:9" s="46" customFormat="1" x14ac:dyDescent="0.2">
      <c r="C4059" s="144"/>
      <c r="D4059" s="144"/>
      <c r="E4059" s="144"/>
      <c r="F4059" s="373"/>
      <c r="I4059" s="70"/>
    </row>
    <row r="4060" spans="3:9" s="46" customFormat="1" x14ac:dyDescent="0.2">
      <c r="C4060" s="144"/>
      <c r="D4060" s="144"/>
      <c r="E4060" s="144"/>
      <c r="F4060" s="373"/>
      <c r="I4060" s="70"/>
    </row>
    <row r="4061" spans="3:9" s="46" customFormat="1" x14ac:dyDescent="0.2">
      <c r="C4061" s="144"/>
      <c r="D4061" s="144"/>
      <c r="E4061" s="144"/>
      <c r="F4061" s="373"/>
      <c r="I4061" s="70"/>
    </row>
    <row r="4062" spans="3:9" s="46" customFormat="1" x14ac:dyDescent="0.2">
      <c r="C4062" s="144"/>
      <c r="D4062" s="144"/>
      <c r="E4062" s="144"/>
      <c r="F4062" s="373"/>
      <c r="I4062" s="70"/>
    </row>
    <row r="4063" spans="3:9" s="46" customFormat="1" x14ac:dyDescent="0.2">
      <c r="C4063" s="144"/>
      <c r="D4063" s="144"/>
      <c r="E4063" s="144"/>
      <c r="F4063" s="373"/>
      <c r="I4063" s="70"/>
    </row>
    <row r="4064" spans="3:9" s="46" customFormat="1" x14ac:dyDescent="0.2">
      <c r="C4064" s="144"/>
      <c r="D4064" s="144"/>
      <c r="E4064" s="144"/>
      <c r="F4064" s="373"/>
      <c r="I4064" s="70"/>
    </row>
    <row r="4065" spans="3:9" s="46" customFormat="1" x14ac:dyDescent="0.2">
      <c r="C4065" s="144"/>
      <c r="D4065" s="144"/>
      <c r="E4065" s="144"/>
      <c r="F4065" s="373"/>
      <c r="I4065" s="70"/>
    </row>
    <row r="4066" spans="3:9" s="46" customFormat="1" x14ac:dyDescent="0.2">
      <c r="C4066" s="144"/>
      <c r="D4066" s="144"/>
      <c r="E4066" s="144"/>
      <c r="F4066" s="373"/>
      <c r="I4066" s="70"/>
    </row>
    <row r="4067" spans="3:9" s="46" customFormat="1" x14ac:dyDescent="0.2">
      <c r="C4067" s="144"/>
      <c r="D4067" s="144"/>
      <c r="E4067" s="144"/>
      <c r="F4067" s="373"/>
      <c r="I4067" s="70"/>
    </row>
    <row r="4068" spans="3:9" s="46" customFormat="1" x14ac:dyDescent="0.2">
      <c r="C4068" s="144"/>
      <c r="D4068" s="144"/>
      <c r="E4068" s="144"/>
      <c r="F4068" s="373"/>
      <c r="I4068" s="70"/>
    </row>
    <row r="4069" spans="3:9" s="46" customFormat="1" x14ac:dyDescent="0.2">
      <c r="C4069" s="144"/>
      <c r="D4069" s="144"/>
      <c r="E4069" s="144"/>
      <c r="F4069" s="373"/>
      <c r="I4069" s="70"/>
    </row>
    <row r="4070" spans="3:9" s="46" customFormat="1" x14ac:dyDescent="0.2">
      <c r="C4070" s="144"/>
      <c r="D4070" s="144"/>
      <c r="E4070" s="144"/>
      <c r="F4070" s="373"/>
      <c r="I4070" s="70"/>
    </row>
    <row r="4071" spans="3:9" s="46" customFormat="1" x14ac:dyDescent="0.2">
      <c r="C4071" s="144"/>
      <c r="D4071" s="144"/>
      <c r="E4071" s="144"/>
      <c r="F4071" s="373"/>
      <c r="I4071" s="70"/>
    </row>
    <row r="4072" spans="3:9" s="46" customFormat="1" x14ac:dyDescent="0.2">
      <c r="C4072" s="144"/>
      <c r="D4072" s="144"/>
      <c r="E4072" s="144"/>
      <c r="F4072" s="373"/>
      <c r="I4072" s="70"/>
    </row>
    <row r="4073" spans="3:9" s="46" customFormat="1" x14ac:dyDescent="0.2">
      <c r="C4073" s="144"/>
      <c r="D4073" s="144"/>
      <c r="E4073" s="144"/>
      <c r="F4073" s="373"/>
      <c r="I4073" s="70"/>
    </row>
    <row r="4074" spans="3:9" s="46" customFormat="1" x14ac:dyDescent="0.2">
      <c r="C4074" s="144"/>
      <c r="D4074" s="144"/>
      <c r="E4074" s="144"/>
      <c r="F4074" s="373"/>
      <c r="I4074" s="70"/>
    </row>
    <row r="4075" spans="3:9" s="46" customFormat="1" x14ac:dyDescent="0.2">
      <c r="C4075" s="144"/>
      <c r="D4075" s="144"/>
      <c r="E4075" s="144"/>
      <c r="F4075" s="373"/>
      <c r="I4075" s="70"/>
    </row>
    <row r="4076" spans="3:9" s="46" customFormat="1" x14ac:dyDescent="0.2">
      <c r="C4076" s="144"/>
      <c r="D4076" s="144"/>
      <c r="E4076" s="144"/>
      <c r="F4076" s="373"/>
      <c r="I4076" s="70"/>
    </row>
    <row r="4077" spans="3:9" s="46" customFormat="1" x14ac:dyDescent="0.2">
      <c r="C4077" s="144"/>
      <c r="D4077" s="144"/>
      <c r="E4077" s="144"/>
      <c r="F4077" s="373"/>
      <c r="I4077" s="70"/>
    </row>
    <row r="4078" spans="3:9" s="46" customFormat="1" x14ac:dyDescent="0.2">
      <c r="C4078" s="144"/>
      <c r="D4078" s="144"/>
      <c r="E4078" s="144"/>
      <c r="F4078" s="373"/>
      <c r="I4078" s="70"/>
    </row>
    <row r="4079" spans="3:9" s="46" customFormat="1" x14ac:dyDescent="0.2">
      <c r="C4079" s="144"/>
      <c r="D4079" s="144"/>
      <c r="E4079" s="144"/>
      <c r="F4079" s="373"/>
      <c r="I4079" s="70"/>
    </row>
    <row r="4080" spans="3:9" s="46" customFormat="1" x14ac:dyDescent="0.2">
      <c r="C4080" s="144"/>
      <c r="D4080" s="144"/>
      <c r="E4080" s="144"/>
      <c r="F4080" s="373"/>
      <c r="I4080" s="70"/>
    </row>
    <row r="4081" spans="3:9" s="46" customFormat="1" x14ac:dyDescent="0.2">
      <c r="C4081" s="144"/>
      <c r="D4081" s="144"/>
      <c r="E4081" s="144"/>
      <c r="F4081" s="373"/>
      <c r="I4081" s="70"/>
    </row>
    <row r="4082" spans="3:9" s="46" customFormat="1" x14ac:dyDescent="0.2">
      <c r="C4082" s="144"/>
      <c r="D4082" s="144"/>
      <c r="E4082" s="144"/>
      <c r="F4082" s="373"/>
      <c r="I4082" s="70"/>
    </row>
    <row r="4083" spans="3:9" s="46" customFormat="1" x14ac:dyDescent="0.2">
      <c r="C4083" s="144"/>
      <c r="D4083" s="144"/>
      <c r="E4083" s="144"/>
      <c r="F4083" s="373"/>
      <c r="I4083" s="70"/>
    </row>
    <row r="4084" spans="3:9" s="46" customFormat="1" x14ac:dyDescent="0.2">
      <c r="C4084" s="144"/>
      <c r="D4084" s="144"/>
      <c r="E4084" s="144"/>
      <c r="F4084" s="373"/>
      <c r="I4084" s="70"/>
    </row>
    <row r="4085" spans="3:9" s="46" customFormat="1" x14ac:dyDescent="0.2">
      <c r="C4085" s="144"/>
      <c r="D4085" s="144"/>
      <c r="E4085" s="144"/>
      <c r="F4085" s="373"/>
      <c r="I4085" s="70"/>
    </row>
    <row r="4086" spans="3:9" s="46" customFormat="1" x14ac:dyDescent="0.2">
      <c r="C4086" s="144"/>
      <c r="D4086" s="144"/>
      <c r="E4086" s="144"/>
      <c r="F4086" s="373"/>
      <c r="I4086" s="70"/>
    </row>
    <row r="4087" spans="3:9" s="46" customFormat="1" x14ac:dyDescent="0.2">
      <c r="C4087" s="144"/>
      <c r="D4087" s="144"/>
      <c r="E4087" s="144"/>
      <c r="F4087" s="373"/>
      <c r="I4087" s="70"/>
    </row>
    <row r="4088" spans="3:9" s="46" customFormat="1" x14ac:dyDescent="0.2">
      <c r="C4088" s="144"/>
      <c r="D4088" s="144"/>
      <c r="E4088" s="144"/>
      <c r="F4088" s="373"/>
      <c r="I4088" s="70"/>
    </row>
    <row r="4089" spans="3:9" s="46" customFormat="1" x14ac:dyDescent="0.2">
      <c r="C4089" s="144"/>
      <c r="D4089" s="144"/>
      <c r="E4089" s="144"/>
      <c r="F4089" s="373"/>
      <c r="I4089" s="70"/>
    </row>
    <row r="4090" spans="3:9" s="46" customFormat="1" x14ac:dyDescent="0.2">
      <c r="C4090" s="144"/>
      <c r="D4090" s="144"/>
      <c r="E4090" s="144"/>
      <c r="F4090" s="373"/>
      <c r="I4090" s="70"/>
    </row>
    <row r="4091" spans="3:9" s="46" customFormat="1" x14ac:dyDescent="0.2">
      <c r="C4091" s="144"/>
      <c r="D4091" s="144"/>
      <c r="E4091" s="144"/>
      <c r="F4091" s="373"/>
      <c r="I4091" s="70"/>
    </row>
    <row r="4092" spans="3:9" s="46" customFormat="1" x14ac:dyDescent="0.2">
      <c r="C4092" s="144"/>
      <c r="D4092" s="144"/>
      <c r="E4092" s="144"/>
      <c r="F4092" s="373"/>
      <c r="I4092" s="70"/>
    </row>
    <row r="4093" spans="3:9" s="46" customFormat="1" x14ac:dyDescent="0.2">
      <c r="C4093" s="144"/>
      <c r="D4093" s="144"/>
      <c r="E4093" s="144"/>
      <c r="F4093" s="373"/>
      <c r="I4093" s="70"/>
    </row>
    <row r="4094" spans="3:9" s="46" customFormat="1" x14ac:dyDescent="0.2">
      <c r="C4094" s="144"/>
      <c r="D4094" s="144"/>
      <c r="E4094" s="144"/>
      <c r="F4094" s="373"/>
      <c r="I4094" s="70"/>
    </row>
    <row r="4095" spans="3:9" s="46" customFormat="1" x14ac:dyDescent="0.2">
      <c r="C4095" s="144"/>
      <c r="D4095" s="144"/>
      <c r="E4095" s="144"/>
      <c r="F4095" s="373"/>
      <c r="I4095" s="70"/>
    </row>
    <row r="4096" spans="3:9" s="46" customFormat="1" x14ac:dyDescent="0.2">
      <c r="C4096" s="144"/>
      <c r="D4096" s="144"/>
      <c r="E4096" s="144"/>
      <c r="F4096" s="373"/>
      <c r="I4096" s="70"/>
    </row>
    <row r="4097" spans="3:9" s="46" customFormat="1" x14ac:dyDescent="0.2">
      <c r="C4097" s="144"/>
      <c r="D4097" s="144"/>
      <c r="E4097" s="144"/>
      <c r="F4097" s="373"/>
      <c r="I4097" s="70"/>
    </row>
    <row r="4098" spans="3:9" s="46" customFormat="1" x14ac:dyDescent="0.2">
      <c r="C4098" s="144"/>
      <c r="D4098" s="144"/>
      <c r="E4098" s="144"/>
      <c r="F4098" s="373"/>
      <c r="I4098" s="70"/>
    </row>
    <row r="4099" spans="3:9" s="46" customFormat="1" x14ac:dyDescent="0.2">
      <c r="C4099" s="144"/>
      <c r="D4099" s="144"/>
      <c r="E4099" s="144"/>
      <c r="F4099" s="373"/>
      <c r="I4099" s="70"/>
    </row>
    <row r="4100" spans="3:9" s="46" customFormat="1" x14ac:dyDescent="0.2">
      <c r="C4100" s="144"/>
      <c r="D4100" s="144"/>
      <c r="E4100" s="144"/>
      <c r="F4100" s="373"/>
      <c r="I4100" s="70"/>
    </row>
    <row r="4101" spans="3:9" s="46" customFormat="1" x14ac:dyDescent="0.2">
      <c r="C4101" s="144"/>
      <c r="D4101" s="144"/>
      <c r="E4101" s="144"/>
      <c r="F4101" s="373"/>
      <c r="I4101" s="70"/>
    </row>
    <row r="4102" spans="3:9" s="46" customFormat="1" x14ac:dyDescent="0.2">
      <c r="C4102" s="144"/>
      <c r="D4102" s="144"/>
      <c r="E4102" s="144"/>
      <c r="F4102" s="373"/>
      <c r="I4102" s="70"/>
    </row>
    <row r="4103" spans="3:9" s="46" customFormat="1" x14ac:dyDescent="0.2">
      <c r="C4103" s="144"/>
      <c r="D4103" s="144"/>
      <c r="E4103" s="144"/>
      <c r="F4103" s="373"/>
      <c r="I4103" s="70"/>
    </row>
    <row r="4104" spans="3:9" s="46" customFormat="1" x14ac:dyDescent="0.2">
      <c r="C4104" s="144"/>
      <c r="D4104" s="144"/>
      <c r="E4104" s="144"/>
      <c r="F4104" s="373"/>
      <c r="I4104" s="70"/>
    </row>
    <row r="4105" spans="3:9" s="46" customFormat="1" x14ac:dyDescent="0.2">
      <c r="C4105" s="144"/>
      <c r="D4105" s="144"/>
      <c r="E4105" s="144"/>
      <c r="F4105" s="373"/>
      <c r="I4105" s="70"/>
    </row>
    <row r="4106" spans="3:9" s="46" customFormat="1" x14ac:dyDescent="0.2">
      <c r="C4106" s="144"/>
      <c r="D4106" s="144"/>
      <c r="E4106" s="144"/>
      <c r="F4106" s="373"/>
      <c r="I4106" s="70"/>
    </row>
    <row r="4107" spans="3:9" s="46" customFormat="1" x14ac:dyDescent="0.2">
      <c r="C4107" s="144"/>
      <c r="D4107" s="144"/>
      <c r="E4107" s="144"/>
      <c r="F4107" s="373"/>
      <c r="I4107" s="70"/>
    </row>
    <row r="4108" spans="3:9" s="46" customFormat="1" x14ac:dyDescent="0.2">
      <c r="C4108" s="144"/>
      <c r="D4108" s="144"/>
      <c r="E4108" s="144"/>
      <c r="F4108" s="373"/>
      <c r="I4108" s="70"/>
    </row>
    <row r="4109" spans="3:9" s="46" customFormat="1" x14ac:dyDescent="0.2">
      <c r="C4109" s="144"/>
      <c r="D4109" s="144"/>
      <c r="E4109" s="144"/>
      <c r="F4109" s="373"/>
      <c r="I4109" s="70"/>
    </row>
    <row r="4110" spans="3:9" s="46" customFormat="1" x14ac:dyDescent="0.2">
      <c r="C4110" s="144"/>
      <c r="D4110" s="144"/>
      <c r="E4110" s="144"/>
      <c r="F4110" s="373"/>
      <c r="I4110" s="70"/>
    </row>
    <row r="4111" spans="3:9" s="46" customFormat="1" x14ac:dyDescent="0.2">
      <c r="C4111" s="144"/>
      <c r="D4111" s="144"/>
      <c r="E4111" s="144"/>
      <c r="F4111" s="373"/>
      <c r="I4111" s="70"/>
    </row>
    <row r="4112" spans="3:9" s="46" customFormat="1" x14ac:dyDescent="0.2">
      <c r="C4112" s="144"/>
      <c r="D4112" s="144"/>
      <c r="E4112" s="144"/>
      <c r="F4112" s="373"/>
      <c r="I4112" s="70"/>
    </row>
    <row r="4113" spans="3:9" s="46" customFormat="1" x14ac:dyDescent="0.2">
      <c r="C4113" s="144"/>
      <c r="D4113" s="144"/>
      <c r="E4113" s="144"/>
      <c r="F4113" s="373"/>
      <c r="I4113" s="70"/>
    </row>
    <row r="4114" spans="3:9" s="46" customFormat="1" x14ac:dyDescent="0.2">
      <c r="C4114" s="144"/>
      <c r="D4114" s="144"/>
      <c r="E4114" s="144"/>
      <c r="F4114" s="373"/>
      <c r="I4114" s="70"/>
    </row>
    <row r="4115" spans="3:9" s="46" customFormat="1" x14ac:dyDescent="0.2">
      <c r="C4115" s="144"/>
      <c r="D4115" s="144"/>
      <c r="E4115" s="144"/>
      <c r="F4115" s="373"/>
      <c r="I4115" s="70"/>
    </row>
    <row r="4116" spans="3:9" s="46" customFormat="1" x14ac:dyDescent="0.2">
      <c r="C4116" s="144"/>
      <c r="D4116" s="144"/>
      <c r="E4116" s="144"/>
      <c r="F4116" s="373"/>
      <c r="I4116" s="70"/>
    </row>
    <row r="4117" spans="3:9" s="46" customFormat="1" x14ac:dyDescent="0.2">
      <c r="C4117" s="144"/>
      <c r="D4117" s="144"/>
      <c r="E4117" s="144"/>
      <c r="F4117" s="373"/>
      <c r="I4117" s="70"/>
    </row>
    <row r="4118" spans="3:9" s="46" customFormat="1" x14ac:dyDescent="0.2">
      <c r="C4118" s="144"/>
      <c r="D4118" s="144"/>
      <c r="E4118" s="144"/>
      <c r="F4118" s="373"/>
      <c r="I4118" s="70"/>
    </row>
    <row r="4119" spans="3:9" s="46" customFormat="1" x14ac:dyDescent="0.2">
      <c r="C4119" s="144"/>
      <c r="D4119" s="144"/>
      <c r="E4119" s="144"/>
      <c r="F4119" s="373"/>
      <c r="I4119" s="70"/>
    </row>
    <row r="4120" spans="3:9" s="46" customFormat="1" x14ac:dyDescent="0.2">
      <c r="C4120" s="144"/>
      <c r="D4120" s="144"/>
      <c r="E4120" s="144"/>
      <c r="F4120" s="373"/>
      <c r="I4120" s="70"/>
    </row>
    <row r="4121" spans="3:9" s="46" customFormat="1" x14ac:dyDescent="0.2">
      <c r="C4121" s="144"/>
      <c r="D4121" s="144"/>
      <c r="E4121" s="144"/>
      <c r="F4121" s="373"/>
      <c r="I4121" s="70"/>
    </row>
    <row r="4122" spans="3:9" s="46" customFormat="1" x14ac:dyDescent="0.2">
      <c r="C4122" s="144"/>
      <c r="D4122" s="144"/>
      <c r="E4122" s="144"/>
      <c r="F4122" s="373"/>
      <c r="I4122" s="70"/>
    </row>
    <row r="4123" spans="3:9" s="46" customFormat="1" x14ac:dyDescent="0.2">
      <c r="C4123" s="144"/>
      <c r="D4123" s="144"/>
      <c r="E4123" s="144"/>
      <c r="F4123" s="373"/>
      <c r="I4123" s="70"/>
    </row>
    <row r="4124" spans="3:9" s="46" customFormat="1" x14ac:dyDescent="0.2">
      <c r="C4124" s="144"/>
      <c r="D4124" s="144"/>
      <c r="E4124" s="144"/>
      <c r="F4124" s="373"/>
      <c r="I4124" s="70"/>
    </row>
    <row r="4125" spans="3:9" s="46" customFormat="1" x14ac:dyDescent="0.2">
      <c r="C4125" s="144"/>
      <c r="D4125" s="144"/>
      <c r="E4125" s="144"/>
      <c r="F4125" s="373"/>
      <c r="I4125" s="70"/>
    </row>
    <row r="4126" spans="3:9" s="46" customFormat="1" x14ac:dyDescent="0.2">
      <c r="C4126" s="144"/>
      <c r="D4126" s="144"/>
      <c r="E4126" s="144"/>
      <c r="F4126" s="373"/>
      <c r="I4126" s="70"/>
    </row>
    <row r="4127" spans="3:9" s="46" customFormat="1" x14ac:dyDescent="0.2">
      <c r="C4127" s="144"/>
      <c r="D4127" s="144"/>
      <c r="E4127" s="144"/>
      <c r="F4127" s="373"/>
      <c r="I4127" s="70"/>
    </row>
    <row r="4128" spans="3:9" s="46" customFormat="1" x14ac:dyDescent="0.2">
      <c r="C4128" s="144"/>
      <c r="D4128" s="144"/>
      <c r="E4128" s="144"/>
      <c r="F4128" s="373"/>
      <c r="I4128" s="70"/>
    </row>
    <row r="4129" spans="3:9" s="46" customFormat="1" x14ac:dyDescent="0.2">
      <c r="C4129" s="144"/>
      <c r="D4129" s="144"/>
      <c r="E4129" s="144"/>
      <c r="F4129" s="373"/>
      <c r="I4129" s="70"/>
    </row>
    <row r="4130" spans="3:9" s="46" customFormat="1" x14ac:dyDescent="0.2">
      <c r="C4130" s="144"/>
      <c r="D4130" s="144"/>
      <c r="E4130" s="144"/>
      <c r="F4130" s="373"/>
      <c r="I4130" s="70"/>
    </row>
    <row r="4131" spans="3:9" s="46" customFormat="1" x14ac:dyDescent="0.2">
      <c r="C4131" s="144"/>
      <c r="D4131" s="144"/>
      <c r="E4131" s="144"/>
      <c r="F4131" s="373"/>
      <c r="I4131" s="70"/>
    </row>
    <row r="4132" spans="3:9" s="46" customFormat="1" x14ac:dyDescent="0.2">
      <c r="C4132" s="144"/>
      <c r="D4132" s="144"/>
      <c r="E4132" s="144"/>
      <c r="F4132" s="373"/>
      <c r="I4132" s="70"/>
    </row>
    <row r="4133" spans="3:9" s="46" customFormat="1" x14ac:dyDescent="0.2">
      <c r="C4133" s="144"/>
      <c r="D4133" s="144"/>
      <c r="E4133" s="144"/>
      <c r="F4133" s="373"/>
      <c r="I4133" s="70"/>
    </row>
    <row r="4134" spans="3:9" s="46" customFormat="1" x14ac:dyDescent="0.2">
      <c r="C4134" s="144"/>
      <c r="D4134" s="144"/>
      <c r="E4134" s="144"/>
      <c r="F4134" s="373"/>
      <c r="I4134" s="70"/>
    </row>
    <row r="4135" spans="3:9" s="46" customFormat="1" x14ac:dyDescent="0.2">
      <c r="C4135" s="144"/>
      <c r="D4135" s="144"/>
      <c r="E4135" s="144"/>
      <c r="F4135" s="373"/>
      <c r="I4135" s="70"/>
    </row>
    <row r="4136" spans="3:9" s="46" customFormat="1" x14ac:dyDescent="0.2">
      <c r="C4136" s="144"/>
      <c r="D4136" s="144"/>
      <c r="E4136" s="144"/>
      <c r="F4136" s="373"/>
      <c r="I4136" s="70"/>
    </row>
    <row r="4137" spans="3:9" s="46" customFormat="1" x14ac:dyDescent="0.2">
      <c r="C4137" s="144"/>
      <c r="D4137" s="144"/>
      <c r="E4137" s="144"/>
      <c r="F4137" s="373"/>
      <c r="I4137" s="70"/>
    </row>
    <row r="4138" spans="3:9" s="46" customFormat="1" x14ac:dyDescent="0.2">
      <c r="C4138" s="144"/>
      <c r="D4138" s="144"/>
      <c r="E4138" s="144"/>
      <c r="F4138" s="373"/>
      <c r="I4138" s="70"/>
    </row>
    <row r="4139" spans="3:9" s="46" customFormat="1" x14ac:dyDescent="0.2">
      <c r="C4139" s="144"/>
      <c r="D4139" s="144"/>
      <c r="E4139" s="144"/>
      <c r="F4139" s="373"/>
      <c r="I4139" s="70"/>
    </row>
    <row r="4140" spans="3:9" s="46" customFormat="1" x14ac:dyDescent="0.2">
      <c r="C4140" s="144"/>
      <c r="D4140" s="144"/>
      <c r="E4140" s="144"/>
      <c r="F4140" s="373"/>
      <c r="I4140" s="70"/>
    </row>
    <row r="4141" spans="3:9" s="46" customFormat="1" x14ac:dyDescent="0.2">
      <c r="C4141" s="144"/>
      <c r="D4141" s="144"/>
      <c r="E4141" s="144"/>
      <c r="F4141" s="373"/>
      <c r="I4141" s="70"/>
    </row>
    <row r="4142" spans="3:9" s="46" customFormat="1" x14ac:dyDescent="0.2">
      <c r="C4142" s="144"/>
      <c r="D4142" s="144"/>
      <c r="E4142" s="144"/>
      <c r="F4142" s="373"/>
      <c r="I4142" s="70"/>
    </row>
    <row r="4143" spans="3:9" s="46" customFormat="1" x14ac:dyDescent="0.2">
      <c r="C4143" s="144"/>
      <c r="D4143" s="144"/>
      <c r="E4143" s="144"/>
      <c r="F4143" s="373"/>
      <c r="I4143" s="70"/>
    </row>
    <row r="4144" spans="3:9" s="46" customFormat="1" x14ac:dyDescent="0.2">
      <c r="C4144" s="144"/>
      <c r="D4144" s="144"/>
      <c r="E4144" s="144"/>
      <c r="F4144" s="373"/>
      <c r="I4144" s="70"/>
    </row>
    <row r="4145" spans="3:9" s="46" customFormat="1" x14ac:dyDescent="0.2">
      <c r="C4145" s="144"/>
      <c r="D4145" s="144"/>
      <c r="E4145" s="144"/>
      <c r="F4145" s="373"/>
      <c r="I4145" s="70"/>
    </row>
    <row r="4146" spans="3:9" s="46" customFormat="1" x14ac:dyDescent="0.2">
      <c r="C4146" s="144"/>
      <c r="D4146" s="144"/>
      <c r="E4146" s="144"/>
      <c r="F4146" s="373"/>
      <c r="I4146" s="70"/>
    </row>
    <row r="4147" spans="3:9" s="46" customFormat="1" x14ac:dyDescent="0.2">
      <c r="C4147" s="144"/>
      <c r="D4147" s="144"/>
      <c r="E4147" s="144"/>
      <c r="F4147" s="373"/>
      <c r="I4147" s="70"/>
    </row>
    <row r="4148" spans="3:9" s="46" customFormat="1" x14ac:dyDescent="0.2">
      <c r="C4148" s="144"/>
      <c r="D4148" s="144"/>
      <c r="E4148" s="144"/>
      <c r="F4148" s="373"/>
      <c r="I4148" s="70"/>
    </row>
    <row r="4149" spans="3:9" s="46" customFormat="1" x14ac:dyDescent="0.2">
      <c r="C4149" s="144"/>
      <c r="D4149" s="144"/>
      <c r="E4149" s="144"/>
      <c r="F4149" s="373"/>
      <c r="I4149" s="70"/>
    </row>
    <row r="4150" spans="3:9" s="46" customFormat="1" x14ac:dyDescent="0.2">
      <c r="C4150" s="144"/>
      <c r="D4150" s="144"/>
      <c r="E4150" s="144"/>
      <c r="F4150" s="373"/>
      <c r="I4150" s="70"/>
    </row>
    <row r="4151" spans="3:9" s="46" customFormat="1" x14ac:dyDescent="0.2">
      <c r="C4151" s="144"/>
      <c r="D4151" s="144"/>
      <c r="E4151" s="144"/>
      <c r="F4151" s="373"/>
      <c r="I4151" s="70"/>
    </row>
    <row r="4152" spans="3:9" s="46" customFormat="1" x14ac:dyDescent="0.2">
      <c r="C4152" s="144"/>
      <c r="D4152" s="144"/>
      <c r="E4152" s="144"/>
      <c r="F4152" s="373"/>
      <c r="I4152" s="70"/>
    </row>
    <row r="4153" spans="3:9" s="46" customFormat="1" x14ac:dyDescent="0.2">
      <c r="C4153" s="144"/>
      <c r="D4153" s="144"/>
      <c r="E4153" s="144"/>
      <c r="F4153" s="373"/>
      <c r="I4153" s="70"/>
    </row>
    <row r="4154" spans="3:9" s="46" customFormat="1" x14ac:dyDescent="0.2">
      <c r="C4154" s="144"/>
      <c r="D4154" s="144"/>
      <c r="E4154" s="144"/>
      <c r="F4154" s="373"/>
      <c r="I4154" s="70"/>
    </row>
    <row r="4155" spans="3:9" s="46" customFormat="1" x14ac:dyDescent="0.2">
      <c r="C4155" s="144"/>
      <c r="D4155" s="144"/>
      <c r="E4155" s="144"/>
      <c r="F4155" s="373"/>
      <c r="I4155" s="70"/>
    </row>
    <row r="4156" spans="3:9" s="46" customFormat="1" x14ac:dyDescent="0.2">
      <c r="C4156" s="144"/>
      <c r="D4156" s="144"/>
      <c r="E4156" s="144"/>
      <c r="F4156" s="373"/>
      <c r="I4156" s="70"/>
    </row>
    <row r="4157" spans="3:9" s="46" customFormat="1" x14ac:dyDescent="0.2">
      <c r="C4157" s="144"/>
      <c r="D4157" s="144"/>
      <c r="E4157" s="144"/>
      <c r="F4157" s="373"/>
      <c r="I4157" s="70"/>
    </row>
    <row r="4158" spans="3:9" s="46" customFormat="1" x14ac:dyDescent="0.2">
      <c r="C4158" s="144"/>
      <c r="D4158" s="144"/>
      <c r="E4158" s="144"/>
      <c r="F4158" s="373"/>
      <c r="I4158" s="70"/>
    </row>
    <row r="4159" spans="3:9" s="46" customFormat="1" x14ac:dyDescent="0.2">
      <c r="C4159" s="144"/>
      <c r="D4159" s="144"/>
      <c r="E4159" s="144"/>
      <c r="F4159" s="373"/>
      <c r="I4159" s="70"/>
    </row>
    <row r="4160" spans="3:9" s="46" customFormat="1" x14ac:dyDescent="0.2">
      <c r="C4160" s="144"/>
      <c r="D4160" s="144"/>
      <c r="E4160" s="144"/>
      <c r="F4160" s="373"/>
      <c r="I4160" s="70"/>
    </row>
    <row r="4161" spans="3:9" s="46" customFormat="1" x14ac:dyDescent="0.2">
      <c r="C4161" s="144"/>
      <c r="D4161" s="144"/>
      <c r="E4161" s="144"/>
      <c r="F4161" s="373"/>
      <c r="I4161" s="70"/>
    </row>
    <row r="4162" spans="3:9" s="46" customFormat="1" x14ac:dyDescent="0.2">
      <c r="C4162" s="144"/>
      <c r="D4162" s="144"/>
      <c r="E4162" s="144"/>
      <c r="F4162" s="373"/>
      <c r="I4162" s="70"/>
    </row>
    <row r="4163" spans="3:9" s="46" customFormat="1" x14ac:dyDescent="0.2">
      <c r="C4163" s="144"/>
      <c r="D4163" s="144"/>
      <c r="E4163" s="144"/>
      <c r="F4163" s="373"/>
      <c r="I4163" s="70"/>
    </row>
    <row r="4164" spans="3:9" s="46" customFormat="1" x14ac:dyDescent="0.2">
      <c r="C4164" s="144"/>
      <c r="D4164" s="144"/>
      <c r="E4164" s="144"/>
      <c r="F4164" s="373"/>
      <c r="I4164" s="70"/>
    </row>
    <row r="4165" spans="3:9" s="46" customFormat="1" x14ac:dyDescent="0.2">
      <c r="C4165" s="144"/>
      <c r="D4165" s="144"/>
      <c r="E4165" s="144"/>
      <c r="F4165" s="373"/>
      <c r="I4165" s="70"/>
    </row>
    <row r="4166" spans="3:9" s="46" customFormat="1" x14ac:dyDescent="0.2">
      <c r="C4166" s="144"/>
      <c r="D4166" s="144"/>
      <c r="E4166" s="144"/>
      <c r="F4166" s="373"/>
      <c r="I4166" s="70"/>
    </row>
    <row r="4167" spans="3:9" s="46" customFormat="1" x14ac:dyDescent="0.2">
      <c r="C4167" s="144"/>
      <c r="D4167" s="144"/>
      <c r="E4167" s="144"/>
      <c r="F4167" s="373"/>
      <c r="I4167" s="70"/>
    </row>
    <row r="4168" spans="3:9" s="46" customFormat="1" x14ac:dyDescent="0.2">
      <c r="C4168" s="144"/>
      <c r="D4168" s="144"/>
      <c r="E4168" s="144"/>
      <c r="F4168" s="373"/>
      <c r="I4168" s="70"/>
    </row>
    <row r="4169" spans="3:9" s="46" customFormat="1" x14ac:dyDescent="0.2">
      <c r="C4169" s="144"/>
      <c r="D4169" s="144"/>
      <c r="E4169" s="144"/>
      <c r="F4169" s="373"/>
      <c r="I4169" s="70"/>
    </row>
    <row r="4170" spans="3:9" s="46" customFormat="1" x14ac:dyDescent="0.2">
      <c r="C4170" s="144"/>
      <c r="D4170" s="144"/>
      <c r="E4170" s="144"/>
      <c r="F4170" s="373"/>
      <c r="I4170" s="70"/>
    </row>
    <row r="4171" spans="3:9" s="46" customFormat="1" x14ac:dyDescent="0.2">
      <c r="C4171" s="144"/>
      <c r="D4171" s="144"/>
      <c r="E4171" s="144"/>
      <c r="F4171" s="373"/>
      <c r="I4171" s="70"/>
    </row>
    <row r="4172" spans="3:9" s="46" customFormat="1" x14ac:dyDescent="0.2">
      <c r="C4172" s="144"/>
      <c r="D4172" s="144"/>
      <c r="E4172" s="144"/>
      <c r="F4172" s="373"/>
      <c r="I4172" s="70"/>
    </row>
    <row r="4173" spans="3:9" s="46" customFormat="1" x14ac:dyDescent="0.2">
      <c r="C4173" s="144"/>
      <c r="D4173" s="144"/>
      <c r="E4173" s="144"/>
      <c r="F4173" s="373"/>
      <c r="I4173" s="70"/>
    </row>
    <row r="4174" spans="3:9" s="46" customFormat="1" x14ac:dyDescent="0.2">
      <c r="C4174" s="144"/>
      <c r="D4174" s="144"/>
      <c r="E4174" s="144"/>
      <c r="F4174" s="373"/>
      <c r="I4174" s="70"/>
    </row>
    <row r="4175" spans="3:9" s="46" customFormat="1" x14ac:dyDescent="0.2">
      <c r="C4175" s="144"/>
      <c r="D4175" s="144"/>
      <c r="E4175" s="144"/>
      <c r="F4175" s="373"/>
      <c r="I4175" s="70"/>
    </row>
    <row r="4176" spans="3:9" s="46" customFormat="1" x14ac:dyDescent="0.2">
      <c r="C4176" s="144"/>
      <c r="D4176" s="144"/>
      <c r="E4176" s="144"/>
      <c r="F4176" s="373"/>
      <c r="I4176" s="70"/>
    </row>
    <row r="4177" spans="3:9" s="46" customFormat="1" x14ac:dyDescent="0.2">
      <c r="C4177" s="144"/>
      <c r="D4177" s="144"/>
      <c r="E4177" s="144"/>
      <c r="F4177" s="373"/>
      <c r="I4177" s="70"/>
    </row>
    <row r="4178" spans="3:9" s="46" customFormat="1" x14ac:dyDescent="0.2">
      <c r="C4178" s="144"/>
      <c r="D4178" s="144"/>
      <c r="E4178" s="144"/>
      <c r="F4178" s="373"/>
      <c r="I4178" s="70"/>
    </row>
    <row r="4179" spans="3:9" s="46" customFormat="1" x14ac:dyDescent="0.2">
      <c r="C4179" s="144"/>
      <c r="D4179" s="144"/>
      <c r="E4179" s="144"/>
      <c r="F4179" s="373"/>
      <c r="I4179" s="70"/>
    </row>
    <row r="4180" spans="3:9" s="46" customFormat="1" x14ac:dyDescent="0.2">
      <c r="C4180" s="144"/>
      <c r="D4180" s="144"/>
      <c r="E4180" s="144"/>
      <c r="F4180" s="373"/>
      <c r="I4180" s="70"/>
    </row>
    <row r="4181" spans="3:9" s="46" customFormat="1" x14ac:dyDescent="0.2">
      <c r="C4181" s="144"/>
      <c r="D4181" s="144"/>
      <c r="E4181" s="144"/>
      <c r="F4181" s="373"/>
      <c r="I4181" s="70"/>
    </row>
    <row r="4182" spans="3:9" s="46" customFormat="1" x14ac:dyDescent="0.2">
      <c r="C4182" s="144"/>
      <c r="D4182" s="144"/>
      <c r="E4182" s="144"/>
      <c r="F4182" s="373"/>
      <c r="I4182" s="70"/>
    </row>
    <row r="4183" spans="3:9" s="46" customFormat="1" x14ac:dyDescent="0.2">
      <c r="C4183" s="144"/>
      <c r="D4183" s="144"/>
      <c r="E4183" s="144"/>
      <c r="F4183" s="373"/>
      <c r="I4183" s="70"/>
    </row>
    <row r="4184" spans="3:9" s="46" customFormat="1" x14ac:dyDescent="0.2">
      <c r="C4184" s="144"/>
      <c r="D4184" s="144"/>
      <c r="E4184" s="144"/>
      <c r="F4184" s="373"/>
      <c r="I4184" s="70"/>
    </row>
    <row r="4185" spans="3:9" s="46" customFormat="1" x14ac:dyDescent="0.2">
      <c r="C4185" s="144"/>
      <c r="D4185" s="144"/>
      <c r="E4185" s="144"/>
      <c r="F4185" s="373"/>
      <c r="I4185" s="70"/>
    </row>
    <row r="4186" spans="3:9" s="46" customFormat="1" x14ac:dyDescent="0.2">
      <c r="C4186" s="144"/>
      <c r="D4186" s="144"/>
      <c r="E4186" s="144"/>
      <c r="F4186" s="373"/>
      <c r="I4186" s="70"/>
    </row>
    <row r="4187" spans="3:9" s="46" customFormat="1" x14ac:dyDescent="0.2">
      <c r="C4187" s="144"/>
      <c r="D4187" s="144"/>
      <c r="E4187" s="144"/>
      <c r="F4187" s="373"/>
      <c r="I4187" s="70"/>
    </row>
    <row r="4188" spans="3:9" s="46" customFormat="1" x14ac:dyDescent="0.2">
      <c r="C4188" s="144"/>
      <c r="D4188" s="144"/>
      <c r="E4188" s="144"/>
      <c r="F4188" s="373"/>
      <c r="I4188" s="70"/>
    </row>
    <row r="4189" spans="3:9" s="46" customFormat="1" x14ac:dyDescent="0.2">
      <c r="C4189" s="144"/>
      <c r="D4189" s="144"/>
      <c r="E4189" s="144"/>
      <c r="F4189" s="373"/>
      <c r="I4189" s="70"/>
    </row>
    <row r="4190" spans="3:9" s="46" customFormat="1" x14ac:dyDescent="0.2">
      <c r="C4190" s="144"/>
      <c r="D4190" s="144"/>
      <c r="E4190" s="144"/>
      <c r="F4190" s="373"/>
      <c r="I4190" s="70"/>
    </row>
    <row r="4191" spans="3:9" s="46" customFormat="1" x14ac:dyDescent="0.2">
      <c r="C4191" s="144"/>
      <c r="D4191" s="144"/>
      <c r="E4191" s="144"/>
      <c r="F4191" s="373"/>
      <c r="I4191" s="70"/>
    </row>
    <row r="4192" spans="3:9" s="46" customFormat="1" x14ac:dyDescent="0.2">
      <c r="C4192" s="144"/>
      <c r="D4192" s="144"/>
      <c r="E4192" s="144"/>
      <c r="F4192" s="373"/>
      <c r="I4192" s="70"/>
    </row>
    <row r="4193" spans="3:9" s="46" customFormat="1" x14ac:dyDescent="0.2">
      <c r="C4193" s="144"/>
      <c r="D4193" s="144"/>
      <c r="E4193" s="144"/>
      <c r="F4193" s="373"/>
      <c r="I4193" s="70"/>
    </row>
    <row r="4194" spans="3:9" s="46" customFormat="1" x14ac:dyDescent="0.2">
      <c r="C4194" s="144"/>
      <c r="D4194" s="144"/>
      <c r="E4194" s="144"/>
      <c r="F4194" s="373"/>
      <c r="I4194" s="70"/>
    </row>
    <row r="4195" spans="3:9" s="46" customFormat="1" x14ac:dyDescent="0.2">
      <c r="C4195" s="144"/>
      <c r="D4195" s="144"/>
      <c r="E4195" s="144"/>
      <c r="F4195" s="373"/>
      <c r="I4195" s="70"/>
    </row>
    <row r="4196" spans="3:9" s="46" customFormat="1" x14ac:dyDescent="0.2">
      <c r="C4196" s="144"/>
      <c r="D4196" s="144"/>
      <c r="E4196" s="144"/>
      <c r="F4196" s="373"/>
      <c r="I4196" s="70"/>
    </row>
    <row r="4197" spans="3:9" s="46" customFormat="1" x14ac:dyDescent="0.2">
      <c r="C4197" s="144"/>
      <c r="D4197" s="144"/>
      <c r="E4197" s="144"/>
      <c r="F4197" s="373"/>
      <c r="I4197" s="70"/>
    </row>
    <row r="4198" spans="3:9" s="46" customFormat="1" x14ac:dyDescent="0.2">
      <c r="C4198" s="144"/>
      <c r="D4198" s="144"/>
      <c r="E4198" s="144"/>
      <c r="F4198" s="373"/>
      <c r="I4198" s="70"/>
    </row>
    <row r="4199" spans="3:9" s="46" customFormat="1" x14ac:dyDescent="0.2">
      <c r="C4199" s="144"/>
      <c r="D4199" s="144"/>
      <c r="E4199" s="144"/>
      <c r="F4199" s="373"/>
      <c r="I4199" s="70"/>
    </row>
    <row r="4200" spans="3:9" s="46" customFormat="1" x14ac:dyDescent="0.2">
      <c r="C4200" s="144"/>
      <c r="D4200" s="144"/>
      <c r="E4200" s="144"/>
      <c r="F4200" s="373"/>
      <c r="I4200" s="70"/>
    </row>
    <row r="4201" spans="3:9" s="46" customFormat="1" x14ac:dyDescent="0.2">
      <c r="C4201" s="144"/>
      <c r="D4201" s="144"/>
      <c r="E4201" s="144"/>
      <c r="F4201" s="373"/>
      <c r="I4201" s="70"/>
    </row>
    <row r="4202" spans="3:9" s="46" customFormat="1" x14ac:dyDescent="0.2">
      <c r="C4202" s="144"/>
      <c r="D4202" s="144"/>
      <c r="E4202" s="144"/>
      <c r="F4202" s="373"/>
      <c r="I4202" s="70"/>
    </row>
    <row r="4203" spans="3:9" s="46" customFormat="1" x14ac:dyDescent="0.2">
      <c r="C4203" s="144"/>
      <c r="D4203" s="144"/>
      <c r="E4203" s="144"/>
      <c r="F4203" s="373"/>
      <c r="I4203" s="70"/>
    </row>
    <row r="4204" spans="3:9" s="46" customFormat="1" x14ac:dyDescent="0.2">
      <c r="C4204" s="144"/>
      <c r="D4204" s="144"/>
      <c r="E4204" s="144"/>
      <c r="F4204" s="373"/>
      <c r="I4204" s="70"/>
    </row>
    <row r="4205" spans="3:9" s="46" customFormat="1" x14ac:dyDescent="0.2">
      <c r="C4205" s="144"/>
      <c r="D4205" s="144"/>
      <c r="E4205" s="144"/>
      <c r="F4205" s="373"/>
      <c r="I4205" s="70"/>
    </row>
    <row r="4206" spans="3:9" s="46" customFormat="1" x14ac:dyDescent="0.2">
      <c r="C4206" s="144"/>
      <c r="D4206" s="144"/>
      <c r="E4206" s="144"/>
      <c r="F4206" s="373"/>
      <c r="I4206" s="70"/>
    </row>
    <row r="4207" spans="3:9" s="46" customFormat="1" x14ac:dyDescent="0.2">
      <c r="C4207" s="144"/>
      <c r="D4207" s="144"/>
      <c r="E4207" s="144"/>
      <c r="F4207" s="373"/>
      <c r="I4207" s="70"/>
    </row>
    <row r="4208" spans="3:9" s="46" customFormat="1" x14ac:dyDescent="0.2">
      <c r="C4208" s="144"/>
      <c r="D4208" s="144"/>
      <c r="E4208" s="144"/>
      <c r="F4208" s="373"/>
      <c r="I4208" s="70"/>
    </row>
    <row r="4209" spans="3:9" s="46" customFormat="1" x14ac:dyDescent="0.2">
      <c r="C4209" s="144"/>
      <c r="D4209" s="144"/>
      <c r="E4209" s="144"/>
      <c r="F4209" s="373"/>
      <c r="I4209" s="70"/>
    </row>
    <row r="4210" spans="3:9" s="46" customFormat="1" x14ac:dyDescent="0.2">
      <c r="C4210" s="144"/>
      <c r="D4210" s="144"/>
      <c r="E4210" s="144"/>
      <c r="F4210" s="373"/>
      <c r="I4210" s="70"/>
    </row>
    <row r="4211" spans="3:9" s="46" customFormat="1" x14ac:dyDescent="0.2">
      <c r="C4211" s="144"/>
      <c r="D4211" s="144"/>
      <c r="E4211" s="144"/>
      <c r="F4211" s="373"/>
      <c r="I4211" s="70"/>
    </row>
    <row r="4212" spans="3:9" s="46" customFormat="1" x14ac:dyDescent="0.2">
      <c r="C4212" s="144"/>
      <c r="D4212" s="144"/>
      <c r="E4212" s="144"/>
      <c r="F4212" s="373"/>
      <c r="I4212" s="70"/>
    </row>
    <row r="4213" spans="3:9" s="46" customFormat="1" x14ac:dyDescent="0.2">
      <c r="C4213" s="144"/>
      <c r="D4213" s="144"/>
      <c r="E4213" s="144"/>
      <c r="F4213" s="373"/>
      <c r="I4213" s="70"/>
    </row>
    <row r="4214" spans="3:9" s="46" customFormat="1" x14ac:dyDescent="0.2">
      <c r="C4214" s="144"/>
      <c r="D4214" s="144"/>
      <c r="E4214" s="144"/>
      <c r="F4214" s="373"/>
      <c r="I4214" s="70"/>
    </row>
    <row r="4215" spans="3:9" s="46" customFormat="1" x14ac:dyDescent="0.2">
      <c r="C4215" s="144"/>
      <c r="D4215" s="144"/>
      <c r="E4215" s="144"/>
      <c r="F4215" s="373"/>
      <c r="I4215" s="70"/>
    </row>
    <row r="4216" spans="3:9" s="46" customFormat="1" x14ac:dyDescent="0.2">
      <c r="C4216" s="144"/>
      <c r="D4216" s="144"/>
      <c r="E4216" s="144"/>
      <c r="F4216" s="373"/>
      <c r="I4216" s="70"/>
    </row>
    <row r="4217" spans="3:9" s="46" customFormat="1" x14ac:dyDescent="0.2">
      <c r="C4217" s="144"/>
      <c r="D4217" s="144"/>
      <c r="E4217" s="144"/>
      <c r="F4217" s="373"/>
      <c r="I4217" s="70"/>
    </row>
    <row r="4218" spans="3:9" s="46" customFormat="1" x14ac:dyDescent="0.2">
      <c r="C4218" s="144"/>
      <c r="D4218" s="144"/>
      <c r="E4218" s="144"/>
      <c r="F4218" s="373"/>
      <c r="I4218" s="70"/>
    </row>
    <row r="4219" spans="3:9" s="46" customFormat="1" x14ac:dyDescent="0.2">
      <c r="C4219" s="144"/>
      <c r="D4219" s="144"/>
      <c r="E4219" s="144"/>
      <c r="F4219" s="373"/>
      <c r="I4219" s="70"/>
    </row>
    <row r="4220" spans="3:9" s="46" customFormat="1" x14ac:dyDescent="0.2">
      <c r="C4220" s="144"/>
      <c r="D4220" s="144"/>
      <c r="E4220" s="144"/>
      <c r="F4220" s="373"/>
      <c r="I4220" s="70"/>
    </row>
    <row r="4221" spans="3:9" s="46" customFormat="1" x14ac:dyDescent="0.2">
      <c r="C4221" s="144"/>
      <c r="D4221" s="144"/>
      <c r="E4221" s="144"/>
      <c r="F4221" s="373"/>
      <c r="I4221" s="70"/>
    </row>
    <row r="4222" spans="3:9" s="46" customFormat="1" x14ac:dyDescent="0.2">
      <c r="C4222" s="144"/>
      <c r="D4222" s="144"/>
      <c r="E4222" s="144"/>
      <c r="F4222" s="373"/>
      <c r="I4222" s="70"/>
    </row>
    <row r="4223" spans="3:9" s="46" customFormat="1" x14ac:dyDescent="0.2">
      <c r="C4223" s="144"/>
      <c r="D4223" s="144"/>
      <c r="E4223" s="144"/>
      <c r="F4223" s="373"/>
      <c r="I4223" s="70"/>
    </row>
    <row r="4224" spans="3:9" s="46" customFormat="1" x14ac:dyDescent="0.2">
      <c r="C4224" s="144"/>
      <c r="D4224" s="144"/>
      <c r="E4224" s="144"/>
      <c r="F4224" s="373"/>
      <c r="I4224" s="70"/>
    </row>
    <row r="4225" spans="3:9" s="46" customFormat="1" x14ac:dyDescent="0.2">
      <c r="C4225" s="144"/>
      <c r="D4225" s="144"/>
      <c r="E4225" s="144"/>
      <c r="F4225" s="373"/>
      <c r="I4225" s="70"/>
    </row>
    <row r="4226" spans="3:9" s="46" customFormat="1" x14ac:dyDescent="0.2">
      <c r="C4226" s="144"/>
      <c r="D4226" s="144"/>
      <c r="E4226" s="144"/>
      <c r="F4226" s="373"/>
      <c r="I4226" s="70"/>
    </row>
    <row r="4227" spans="3:9" s="46" customFormat="1" x14ac:dyDescent="0.2">
      <c r="C4227" s="144"/>
      <c r="D4227" s="144"/>
      <c r="E4227" s="144"/>
      <c r="F4227" s="373"/>
      <c r="I4227" s="70"/>
    </row>
    <row r="4228" spans="3:9" s="46" customFormat="1" x14ac:dyDescent="0.2">
      <c r="C4228" s="144"/>
      <c r="D4228" s="144"/>
      <c r="E4228" s="144"/>
      <c r="F4228" s="373"/>
      <c r="I4228" s="70"/>
    </row>
    <row r="4229" spans="3:9" s="46" customFormat="1" x14ac:dyDescent="0.2">
      <c r="C4229" s="144"/>
      <c r="D4229" s="144"/>
      <c r="E4229" s="144"/>
      <c r="F4229" s="373"/>
      <c r="I4229" s="70"/>
    </row>
    <row r="4230" spans="3:9" s="46" customFormat="1" x14ac:dyDescent="0.2">
      <c r="C4230" s="144"/>
      <c r="D4230" s="144"/>
      <c r="E4230" s="144"/>
      <c r="F4230" s="373"/>
      <c r="I4230" s="70"/>
    </row>
    <row r="4231" spans="3:9" s="46" customFormat="1" x14ac:dyDescent="0.2">
      <c r="C4231" s="144"/>
      <c r="D4231" s="144"/>
      <c r="E4231" s="144"/>
      <c r="F4231" s="373"/>
      <c r="I4231" s="70"/>
    </row>
    <row r="4232" spans="3:9" s="46" customFormat="1" x14ac:dyDescent="0.2">
      <c r="C4232" s="144"/>
      <c r="D4232" s="144"/>
      <c r="E4232" s="144"/>
      <c r="F4232" s="373"/>
      <c r="I4232" s="70"/>
    </row>
    <row r="4233" spans="3:9" s="46" customFormat="1" x14ac:dyDescent="0.2">
      <c r="C4233" s="144"/>
      <c r="D4233" s="144"/>
      <c r="E4233" s="144"/>
      <c r="F4233" s="373"/>
      <c r="I4233" s="70"/>
    </row>
    <row r="4234" spans="3:9" s="46" customFormat="1" x14ac:dyDescent="0.2">
      <c r="C4234" s="144"/>
      <c r="D4234" s="144"/>
      <c r="E4234" s="144"/>
      <c r="F4234" s="373"/>
      <c r="I4234" s="70"/>
    </row>
    <row r="4235" spans="3:9" s="46" customFormat="1" x14ac:dyDescent="0.2">
      <c r="C4235" s="144"/>
      <c r="D4235" s="144"/>
      <c r="E4235" s="144"/>
      <c r="F4235" s="373"/>
      <c r="I4235" s="70"/>
    </row>
    <row r="4236" spans="3:9" s="46" customFormat="1" x14ac:dyDescent="0.2">
      <c r="C4236" s="144"/>
      <c r="D4236" s="144"/>
      <c r="E4236" s="144"/>
      <c r="F4236" s="373"/>
      <c r="I4236" s="70"/>
    </row>
    <row r="4237" spans="3:9" s="46" customFormat="1" x14ac:dyDescent="0.2">
      <c r="C4237" s="144"/>
      <c r="D4237" s="144"/>
      <c r="E4237" s="144"/>
      <c r="F4237" s="373"/>
      <c r="I4237" s="70"/>
    </row>
    <row r="4238" spans="3:9" s="46" customFormat="1" x14ac:dyDescent="0.2">
      <c r="C4238" s="144"/>
      <c r="D4238" s="144"/>
      <c r="E4238" s="144"/>
      <c r="F4238" s="373"/>
      <c r="I4238" s="70"/>
    </row>
    <row r="4239" spans="3:9" s="46" customFormat="1" x14ac:dyDescent="0.2">
      <c r="C4239" s="144"/>
      <c r="D4239" s="144"/>
      <c r="E4239" s="144"/>
      <c r="F4239" s="373"/>
      <c r="I4239" s="70"/>
    </row>
    <row r="4240" spans="3:9" s="46" customFormat="1" x14ac:dyDescent="0.2">
      <c r="C4240" s="144"/>
      <c r="D4240" s="144"/>
      <c r="E4240" s="144"/>
      <c r="F4240" s="373"/>
      <c r="I4240" s="70"/>
    </row>
    <row r="4241" spans="3:9" s="46" customFormat="1" x14ac:dyDescent="0.2">
      <c r="C4241" s="144"/>
      <c r="D4241" s="144"/>
      <c r="E4241" s="144"/>
      <c r="F4241" s="373"/>
      <c r="I4241" s="70"/>
    </row>
    <row r="4242" spans="3:9" s="46" customFormat="1" x14ac:dyDescent="0.2">
      <c r="C4242" s="144"/>
      <c r="D4242" s="144"/>
      <c r="E4242" s="144"/>
      <c r="F4242" s="373"/>
      <c r="I4242" s="70"/>
    </row>
    <row r="4243" spans="3:9" s="46" customFormat="1" x14ac:dyDescent="0.2">
      <c r="C4243" s="144"/>
      <c r="D4243" s="144"/>
      <c r="E4243" s="144"/>
      <c r="F4243" s="373"/>
      <c r="I4243" s="70"/>
    </row>
    <row r="4244" spans="3:9" s="46" customFormat="1" x14ac:dyDescent="0.2">
      <c r="C4244" s="144"/>
      <c r="D4244" s="144"/>
      <c r="E4244" s="144"/>
      <c r="F4244" s="373"/>
      <c r="I4244" s="70"/>
    </row>
    <row r="4245" spans="3:9" s="46" customFormat="1" x14ac:dyDescent="0.2">
      <c r="C4245" s="144"/>
      <c r="D4245" s="144"/>
      <c r="E4245" s="144"/>
      <c r="F4245" s="373"/>
      <c r="I4245" s="70"/>
    </row>
    <row r="4246" spans="3:9" s="46" customFormat="1" x14ac:dyDescent="0.2">
      <c r="C4246" s="144"/>
      <c r="D4246" s="144"/>
      <c r="E4246" s="144"/>
      <c r="F4246" s="373"/>
      <c r="I4246" s="70"/>
    </row>
    <row r="4247" spans="3:9" s="46" customFormat="1" x14ac:dyDescent="0.2">
      <c r="C4247" s="144"/>
      <c r="D4247" s="144"/>
      <c r="E4247" s="144"/>
      <c r="F4247" s="373"/>
      <c r="I4247" s="70"/>
    </row>
    <row r="4248" spans="3:9" s="46" customFormat="1" x14ac:dyDescent="0.2">
      <c r="C4248" s="144"/>
      <c r="D4248" s="144"/>
      <c r="E4248" s="144"/>
      <c r="F4248" s="373"/>
      <c r="I4248" s="70"/>
    </row>
    <row r="4249" spans="3:9" s="46" customFormat="1" x14ac:dyDescent="0.2">
      <c r="C4249" s="144"/>
      <c r="D4249" s="144"/>
      <c r="E4249" s="144"/>
      <c r="F4249" s="373"/>
      <c r="I4249" s="70"/>
    </row>
    <row r="4250" spans="3:9" s="46" customFormat="1" x14ac:dyDescent="0.2">
      <c r="C4250" s="144"/>
      <c r="D4250" s="144"/>
      <c r="E4250" s="144"/>
      <c r="F4250" s="373"/>
      <c r="I4250" s="70"/>
    </row>
    <row r="4251" spans="3:9" s="46" customFormat="1" x14ac:dyDescent="0.2">
      <c r="C4251" s="144"/>
      <c r="D4251" s="144"/>
      <c r="E4251" s="144"/>
      <c r="F4251" s="373"/>
      <c r="I4251" s="70"/>
    </row>
    <row r="4252" spans="3:9" s="46" customFormat="1" x14ac:dyDescent="0.2">
      <c r="C4252" s="144"/>
      <c r="D4252" s="144"/>
      <c r="E4252" s="144"/>
      <c r="F4252" s="373"/>
      <c r="I4252" s="70"/>
    </row>
    <row r="4253" spans="3:9" s="46" customFormat="1" x14ac:dyDescent="0.2">
      <c r="C4253" s="144"/>
      <c r="D4253" s="144"/>
      <c r="E4253" s="144"/>
      <c r="F4253" s="373"/>
      <c r="I4253" s="70"/>
    </row>
    <row r="4254" spans="3:9" s="46" customFormat="1" x14ac:dyDescent="0.2">
      <c r="C4254" s="144"/>
      <c r="D4254" s="144"/>
      <c r="E4254" s="144"/>
      <c r="F4254" s="373"/>
      <c r="I4254" s="70"/>
    </row>
    <row r="4255" spans="3:9" s="46" customFormat="1" x14ac:dyDescent="0.2">
      <c r="C4255" s="144"/>
      <c r="D4255" s="144"/>
      <c r="E4255" s="144"/>
      <c r="F4255" s="373"/>
      <c r="I4255" s="70"/>
    </row>
    <row r="4256" spans="3:9" s="46" customFormat="1" x14ac:dyDescent="0.2">
      <c r="C4256" s="144"/>
      <c r="D4256" s="144"/>
      <c r="E4256" s="144"/>
      <c r="F4256" s="373"/>
      <c r="I4256" s="70"/>
    </row>
    <row r="4257" spans="3:9" s="46" customFormat="1" x14ac:dyDescent="0.2">
      <c r="C4257" s="144"/>
      <c r="D4257" s="144"/>
      <c r="E4257" s="144"/>
      <c r="F4257" s="373"/>
      <c r="I4257" s="70"/>
    </row>
    <row r="4258" spans="3:9" s="46" customFormat="1" x14ac:dyDescent="0.2">
      <c r="C4258" s="144"/>
      <c r="D4258" s="144"/>
      <c r="E4258" s="144"/>
      <c r="F4258" s="373"/>
      <c r="I4258" s="70"/>
    </row>
    <row r="4259" spans="3:9" s="46" customFormat="1" x14ac:dyDescent="0.2">
      <c r="C4259" s="144"/>
      <c r="D4259" s="144"/>
      <c r="E4259" s="144"/>
      <c r="F4259" s="373"/>
      <c r="I4259" s="70"/>
    </row>
    <row r="4260" spans="3:9" s="46" customFormat="1" x14ac:dyDescent="0.2">
      <c r="C4260" s="144"/>
      <c r="D4260" s="144"/>
      <c r="E4260" s="144"/>
      <c r="F4260" s="373"/>
      <c r="I4260" s="70"/>
    </row>
    <row r="4261" spans="3:9" s="46" customFormat="1" x14ac:dyDescent="0.2">
      <c r="C4261" s="144"/>
      <c r="D4261" s="144"/>
      <c r="E4261" s="144"/>
      <c r="F4261" s="373"/>
      <c r="I4261" s="70"/>
    </row>
    <row r="4262" spans="3:9" s="46" customFormat="1" x14ac:dyDescent="0.2">
      <c r="C4262" s="144"/>
      <c r="D4262" s="144"/>
      <c r="E4262" s="144"/>
      <c r="F4262" s="373"/>
      <c r="I4262" s="70"/>
    </row>
    <row r="4263" spans="3:9" s="46" customFormat="1" x14ac:dyDescent="0.2">
      <c r="C4263" s="144"/>
      <c r="D4263" s="144"/>
      <c r="E4263" s="144"/>
      <c r="F4263" s="373"/>
      <c r="I4263" s="70"/>
    </row>
    <row r="4264" spans="3:9" s="46" customFormat="1" x14ac:dyDescent="0.2">
      <c r="C4264" s="144"/>
      <c r="D4264" s="144"/>
      <c r="E4264" s="144"/>
      <c r="F4264" s="373"/>
      <c r="I4264" s="70"/>
    </row>
    <row r="4265" spans="3:9" s="46" customFormat="1" x14ac:dyDescent="0.2">
      <c r="C4265" s="144"/>
      <c r="D4265" s="144"/>
      <c r="E4265" s="144"/>
      <c r="F4265" s="373"/>
      <c r="I4265" s="70"/>
    </row>
    <row r="4266" spans="3:9" s="46" customFormat="1" x14ac:dyDescent="0.2">
      <c r="C4266" s="144"/>
      <c r="D4266" s="144"/>
      <c r="E4266" s="144"/>
      <c r="F4266" s="373"/>
      <c r="I4266" s="70"/>
    </row>
    <row r="4267" spans="3:9" s="46" customFormat="1" x14ac:dyDescent="0.2">
      <c r="C4267" s="144"/>
      <c r="D4267" s="144"/>
      <c r="E4267" s="144"/>
      <c r="F4267" s="373"/>
      <c r="I4267" s="70"/>
    </row>
    <row r="4268" spans="3:9" s="46" customFormat="1" x14ac:dyDescent="0.2">
      <c r="C4268" s="144"/>
      <c r="D4268" s="144"/>
      <c r="E4268" s="144"/>
      <c r="F4268" s="373"/>
      <c r="I4268" s="70"/>
    </row>
    <row r="4269" spans="3:9" s="46" customFormat="1" x14ac:dyDescent="0.2">
      <c r="C4269" s="144"/>
      <c r="D4269" s="144"/>
      <c r="E4269" s="144"/>
      <c r="F4269" s="373"/>
      <c r="I4269" s="70"/>
    </row>
    <row r="4270" spans="3:9" s="46" customFormat="1" x14ac:dyDescent="0.2">
      <c r="C4270" s="144"/>
      <c r="D4270" s="144"/>
      <c r="E4270" s="144"/>
      <c r="F4270" s="373"/>
      <c r="I4270" s="70"/>
    </row>
    <row r="4271" spans="3:9" s="46" customFormat="1" x14ac:dyDescent="0.2">
      <c r="C4271" s="144"/>
      <c r="D4271" s="144"/>
      <c r="E4271" s="144"/>
      <c r="F4271" s="373"/>
      <c r="I4271" s="70"/>
    </row>
    <row r="4272" spans="3:9" s="46" customFormat="1" x14ac:dyDescent="0.2">
      <c r="C4272" s="144"/>
      <c r="D4272" s="144"/>
      <c r="E4272" s="144"/>
      <c r="F4272" s="373"/>
      <c r="I4272" s="70"/>
    </row>
    <row r="4273" spans="3:9" s="46" customFormat="1" x14ac:dyDescent="0.2">
      <c r="C4273" s="144"/>
      <c r="D4273" s="144"/>
      <c r="E4273" s="144"/>
      <c r="F4273" s="373"/>
      <c r="I4273" s="70"/>
    </row>
    <row r="4274" spans="3:9" s="46" customFormat="1" x14ac:dyDescent="0.2">
      <c r="C4274" s="144"/>
      <c r="D4274" s="144"/>
      <c r="E4274" s="144"/>
      <c r="F4274" s="373"/>
      <c r="I4274" s="70"/>
    </row>
    <row r="4275" spans="3:9" s="46" customFormat="1" x14ac:dyDescent="0.2">
      <c r="C4275" s="144"/>
      <c r="D4275" s="144"/>
      <c r="E4275" s="144"/>
      <c r="F4275" s="373"/>
      <c r="I4275" s="70"/>
    </row>
    <row r="4276" spans="3:9" s="46" customFormat="1" x14ac:dyDescent="0.2">
      <c r="C4276" s="144"/>
      <c r="D4276" s="144"/>
      <c r="E4276" s="144"/>
      <c r="F4276" s="373"/>
      <c r="I4276" s="70"/>
    </row>
    <row r="4277" spans="3:9" s="46" customFormat="1" x14ac:dyDescent="0.2">
      <c r="C4277" s="144"/>
      <c r="D4277" s="144"/>
      <c r="E4277" s="144"/>
      <c r="F4277" s="373"/>
      <c r="I4277" s="70"/>
    </row>
    <row r="4278" spans="3:9" s="46" customFormat="1" x14ac:dyDescent="0.2">
      <c r="C4278" s="144"/>
      <c r="D4278" s="144"/>
      <c r="E4278" s="144"/>
      <c r="F4278" s="373"/>
      <c r="I4278" s="70"/>
    </row>
    <row r="4279" spans="3:9" s="46" customFormat="1" x14ac:dyDescent="0.2">
      <c r="C4279" s="144"/>
      <c r="D4279" s="144"/>
      <c r="E4279" s="144"/>
      <c r="F4279" s="373"/>
      <c r="I4279" s="70"/>
    </row>
    <row r="4280" spans="3:9" s="46" customFormat="1" x14ac:dyDescent="0.2">
      <c r="C4280" s="144"/>
      <c r="D4280" s="144"/>
      <c r="E4280" s="144"/>
      <c r="F4280" s="373"/>
      <c r="I4280" s="70"/>
    </row>
    <row r="4281" spans="3:9" s="46" customFormat="1" x14ac:dyDescent="0.2">
      <c r="C4281" s="144"/>
      <c r="D4281" s="144"/>
      <c r="E4281" s="144"/>
      <c r="F4281" s="373"/>
      <c r="I4281" s="70"/>
    </row>
    <row r="4282" spans="3:9" s="46" customFormat="1" x14ac:dyDescent="0.2">
      <c r="C4282" s="144"/>
      <c r="D4282" s="144"/>
      <c r="E4282" s="144"/>
      <c r="F4282" s="373"/>
      <c r="I4282" s="70"/>
    </row>
    <row r="4283" spans="3:9" s="46" customFormat="1" x14ac:dyDescent="0.2">
      <c r="C4283" s="144"/>
      <c r="D4283" s="144"/>
      <c r="E4283" s="144"/>
      <c r="F4283" s="373"/>
      <c r="I4283" s="70"/>
    </row>
    <row r="4284" spans="3:9" s="46" customFormat="1" x14ac:dyDescent="0.2">
      <c r="C4284" s="144"/>
      <c r="D4284" s="144"/>
      <c r="E4284" s="144"/>
      <c r="F4284" s="373"/>
      <c r="I4284" s="70"/>
    </row>
    <row r="4285" spans="3:9" s="46" customFormat="1" x14ac:dyDescent="0.2">
      <c r="C4285" s="144"/>
      <c r="D4285" s="144"/>
      <c r="E4285" s="144"/>
      <c r="F4285" s="373"/>
      <c r="I4285" s="70"/>
    </row>
    <row r="4286" spans="3:9" s="46" customFormat="1" x14ac:dyDescent="0.2">
      <c r="C4286" s="144"/>
      <c r="D4286" s="144"/>
      <c r="E4286" s="144"/>
      <c r="F4286" s="373"/>
      <c r="I4286" s="70"/>
    </row>
    <row r="4287" spans="3:9" s="46" customFormat="1" x14ac:dyDescent="0.2">
      <c r="C4287" s="144"/>
      <c r="D4287" s="144"/>
      <c r="E4287" s="144"/>
      <c r="F4287" s="373"/>
      <c r="I4287" s="70"/>
    </row>
    <row r="4288" spans="3:9" s="46" customFormat="1" x14ac:dyDescent="0.2">
      <c r="C4288" s="144"/>
      <c r="D4288" s="144"/>
      <c r="E4288" s="144"/>
      <c r="F4288" s="373"/>
      <c r="I4288" s="70"/>
    </row>
    <row r="4289" spans="3:9" s="46" customFormat="1" x14ac:dyDescent="0.2">
      <c r="C4289" s="144"/>
      <c r="D4289" s="144"/>
      <c r="E4289" s="144"/>
      <c r="F4289" s="373"/>
      <c r="I4289" s="70"/>
    </row>
    <row r="4290" spans="3:9" s="46" customFormat="1" x14ac:dyDescent="0.2">
      <c r="C4290" s="144"/>
      <c r="D4290" s="144"/>
      <c r="E4290" s="144"/>
      <c r="F4290" s="373"/>
      <c r="I4290" s="70"/>
    </row>
    <row r="4291" spans="3:9" s="46" customFormat="1" x14ac:dyDescent="0.2">
      <c r="C4291" s="144"/>
      <c r="D4291" s="144"/>
      <c r="E4291" s="144"/>
      <c r="F4291" s="373"/>
      <c r="I4291" s="70"/>
    </row>
    <row r="4292" spans="3:9" s="46" customFormat="1" x14ac:dyDescent="0.2">
      <c r="C4292" s="144"/>
      <c r="D4292" s="144"/>
      <c r="E4292" s="144"/>
      <c r="F4292" s="373"/>
      <c r="I4292" s="70"/>
    </row>
    <row r="4293" spans="3:9" s="46" customFormat="1" x14ac:dyDescent="0.2">
      <c r="C4293" s="144"/>
      <c r="D4293" s="144"/>
      <c r="E4293" s="144"/>
      <c r="F4293" s="373"/>
      <c r="I4293" s="70"/>
    </row>
    <row r="4294" spans="3:9" s="46" customFormat="1" x14ac:dyDescent="0.2">
      <c r="C4294" s="144"/>
      <c r="D4294" s="144"/>
      <c r="E4294" s="144"/>
      <c r="F4294" s="373"/>
      <c r="I4294" s="70"/>
    </row>
    <row r="4295" spans="3:9" s="46" customFormat="1" x14ac:dyDescent="0.2">
      <c r="C4295" s="144"/>
      <c r="D4295" s="144"/>
      <c r="E4295" s="144"/>
      <c r="F4295" s="373"/>
      <c r="I4295" s="70"/>
    </row>
    <row r="4296" spans="3:9" s="46" customFormat="1" x14ac:dyDescent="0.2">
      <c r="C4296" s="144"/>
      <c r="D4296" s="144"/>
      <c r="E4296" s="144"/>
      <c r="F4296" s="373"/>
      <c r="I4296" s="70"/>
    </row>
    <row r="4297" spans="3:9" s="46" customFormat="1" x14ac:dyDescent="0.2">
      <c r="C4297" s="144"/>
      <c r="D4297" s="144"/>
      <c r="E4297" s="144"/>
      <c r="F4297" s="373"/>
      <c r="I4297" s="70"/>
    </row>
    <row r="4298" spans="3:9" s="46" customFormat="1" x14ac:dyDescent="0.2">
      <c r="C4298" s="144"/>
      <c r="D4298" s="144"/>
      <c r="E4298" s="144"/>
      <c r="F4298" s="373"/>
      <c r="I4298" s="70"/>
    </row>
    <row r="4299" spans="3:9" s="46" customFormat="1" x14ac:dyDescent="0.2">
      <c r="C4299" s="144"/>
      <c r="D4299" s="144"/>
      <c r="E4299" s="144"/>
      <c r="F4299" s="373"/>
      <c r="I4299" s="70"/>
    </row>
    <row r="4300" spans="3:9" s="46" customFormat="1" x14ac:dyDescent="0.2">
      <c r="C4300" s="144"/>
      <c r="D4300" s="144"/>
      <c r="E4300" s="144"/>
      <c r="F4300" s="373"/>
      <c r="I4300" s="70"/>
    </row>
    <row r="4301" spans="3:9" s="46" customFormat="1" x14ac:dyDescent="0.2">
      <c r="C4301" s="144"/>
      <c r="D4301" s="144"/>
      <c r="E4301" s="144"/>
      <c r="F4301" s="373"/>
      <c r="I4301" s="70"/>
    </row>
    <row r="4302" spans="3:9" s="46" customFormat="1" x14ac:dyDescent="0.2">
      <c r="C4302" s="144"/>
      <c r="D4302" s="144"/>
      <c r="E4302" s="144"/>
      <c r="F4302" s="373"/>
      <c r="I4302" s="70"/>
    </row>
    <row r="4303" spans="3:9" s="46" customFormat="1" x14ac:dyDescent="0.2">
      <c r="C4303" s="144"/>
      <c r="D4303" s="144"/>
      <c r="E4303" s="144"/>
      <c r="F4303" s="373"/>
      <c r="I4303" s="70"/>
    </row>
    <row r="4304" spans="3:9" s="46" customFormat="1" x14ac:dyDescent="0.2">
      <c r="C4304" s="144"/>
      <c r="D4304" s="144"/>
      <c r="E4304" s="144"/>
      <c r="F4304" s="373"/>
      <c r="I4304" s="70"/>
    </row>
    <row r="4305" spans="3:9" s="46" customFormat="1" x14ac:dyDescent="0.2">
      <c r="C4305" s="144"/>
      <c r="D4305" s="144"/>
      <c r="E4305" s="144"/>
      <c r="F4305" s="373"/>
      <c r="I4305" s="70"/>
    </row>
    <row r="4306" spans="3:9" s="46" customFormat="1" x14ac:dyDescent="0.2">
      <c r="C4306" s="144"/>
      <c r="D4306" s="144"/>
      <c r="E4306" s="144"/>
      <c r="F4306" s="373"/>
      <c r="I4306" s="70"/>
    </row>
    <row r="4307" spans="3:9" s="46" customFormat="1" x14ac:dyDescent="0.2">
      <c r="C4307" s="144"/>
      <c r="D4307" s="144"/>
      <c r="E4307" s="144"/>
      <c r="F4307" s="373"/>
      <c r="I4307" s="70"/>
    </row>
    <row r="4308" spans="3:9" s="46" customFormat="1" x14ac:dyDescent="0.2">
      <c r="C4308" s="144"/>
      <c r="D4308" s="144"/>
      <c r="E4308" s="144"/>
      <c r="F4308" s="373"/>
      <c r="I4308" s="70"/>
    </row>
    <row r="4309" spans="3:9" s="46" customFormat="1" x14ac:dyDescent="0.2">
      <c r="C4309" s="144"/>
      <c r="D4309" s="144"/>
      <c r="E4309" s="144"/>
      <c r="F4309" s="373"/>
      <c r="I4309" s="70"/>
    </row>
    <row r="4310" spans="3:9" s="46" customFormat="1" x14ac:dyDescent="0.2">
      <c r="C4310" s="144"/>
      <c r="D4310" s="144"/>
      <c r="E4310" s="144"/>
      <c r="F4310" s="373"/>
      <c r="I4310" s="70"/>
    </row>
    <row r="4311" spans="3:9" s="46" customFormat="1" x14ac:dyDescent="0.2">
      <c r="C4311" s="144"/>
      <c r="D4311" s="144"/>
      <c r="E4311" s="144"/>
      <c r="F4311" s="373"/>
      <c r="I4311" s="70"/>
    </row>
    <row r="4312" spans="3:9" s="46" customFormat="1" x14ac:dyDescent="0.2">
      <c r="C4312" s="144"/>
      <c r="D4312" s="144"/>
      <c r="E4312" s="144"/>
      <c r="F4312" s="373"/>
      <c r="I4312" s="70"/>
    </row>
    <row r="4313" spans="3:9" s="46" customFormat="1" x14ac:dyDescent="0.2">
      <c r="C4313" s="144"/>
      <c r="D4313" s="144"/>
      <c r="E4313" s="144"/>
      <c r="F4313" s="373"/>
      <c r="I4313" s="70"/>
    </row>
    <row r="4314" spans="3:9" s="46" customFormat="1" x14ac:dyDescent="0.2">
      <c r="C4314" s="144"/>
      <c r="D4314" s="144"/>
      <c r="E4314" s="144"/>
      <c r="F4314" s="373"/>
      <c r="I4314" s="70"/>
    </row>
    <row r="4315" spans="3:9" s="46" customFormat="1" x14ac:dyDescent="0.2">
      <c r="C4315" s="144"/>
      <c r="D4315" s="144"/>
      <c r="E4315" s="144"/>
      <c r="F4315" s="373"/>
      <c r="I4315" s="70"/>
    </row>
    <row r="4316" spans="3:9" s="46" customFormat="1" x14ac:dyDescent="0.2">
      <c r="C4316" s="144"/>
      <c r="D4316" s="144"/>
      <c r="E4316" s="144"/>
      <c r="F4316" s="373"/>
      <c r="I4316" s="70"/>
    </row>
    <row r="4317" spans="3:9" s="46" customFormat="1" x14ac:dyDescent="0.2">
      <c r="C4317" s="144"/>
      <c r="D4317" s="144"/>
      <c r="E4317" s="144"/>
      <c r="F4317" s="373"/>
      <c r="I4317" s="70"/>
    </row>
    <row r="4318" spans="3:9" s="46" customFormat="1" x14ac:dyDescent="0.2">
      <c r="C4318" s="144"/>
      <c r="D4318" s="144"/>
      <c r="E4318" s="144"/>
      <c r="F4318" s="373"/>
      <c r="I4318" s="70"/>
    </row>
    <row r="4319" spans="3:9" s="46" customFormat="1" x14ac:dyDescent="0.2">
      <c r="C4319" s="144"/>
      <c r="D4319" s="144"/>
      <c r="E4319" s="144"/>
      <c r="F4319" s="373"/>
      <c r="I4319" s="70"/>
    </row>
    <row r="4320" spans="3:9" s="46" customFormat="1" x14ac:dyDescent="0.2">
      <c r="C4320" s="144"/>
      <c r="D4320" s="144"/>
      <c r="E4320" s="144"/>
      <c r="F4320" s="373"/>
      <c r="I4320" s="70"/>
    </row>
    <row r="4321" spans="3:9" s="46" customFormat="1" x14ac:dyDescent="0.2">
      <c r="C4321" s="144"/>
      <c r="D4321" s="144"/>
      <c r="E4321" s="144"/>
      <c r="F4321" s="373"/>
      <c r="I4321" s="70"/>
    </row>
    <row r="4322" spans="3:9" s="46" customFormat="1" x14ac:dyDescent="0.2">
      <c r="C4322" s="144"/>
      <c r="D4322" s="144"/>
      <c r="E4322" s="144"/>
      <c r="F4322" s="373"/>
      <c r="I4322" s="70"/>
    </row>
    <row r="4323" spans="3:9" s="46" customFormat="1" x14ac:dyDescent="0.2">
      <c r="C4323" s="144"/>
      <c r="D4323" s="144"/>
      <c r="E4323" s="144"/>
      <c r="F4323" s="373"/>
      <c r="I4323" s="70"/>
    </row>
    <row r="4324" spans="3:9" s="46" customFormat="1" x14ac:dyDescent="0.2">
      <c r="C4324" s="144"/>
      <c r="D4324" s="144"/>
      <c r="E4324" s="144"/>
      <c r="F4324" s="373"/>
      <c r="I4324" s="70"/>
    </row>
    <row r="4325" spans="3:9" s="46" customFormat="1" x14ac:dyDescent="0.2">
      <c r="C4325" s="144"/>
      <c r="D4325" s="144"/>
      <c r="E4325" s="144"/>
      <c r="F4325" s="373"/>
      <c r="I4325" s="70"/>
    </row>
    <row r="4326" spans="3:9" s="46" customFormat="1" x14ac:dyDescent="0.2">
      <c r="C4326" s="144"/>
      <c r="D4326" s="144"/>
      <c r="E4326" s="144"/>
      <c r="F4326" s="373"/>
      <c r="I4326" s="70"/>
    </row>
    <row r="4327" spans="3:9" s="46" customFormat="1" x14ac:dyDescent="0.2">
      <c r="C4327" s="144"/>
      <c r="D4327" s="144"/>
      <c r="E4327" s="144"/>
      <c r="F4327" s="373"/>
      <c r="I4327" s="70"/>
    </row>
    <row r="4328" spans="3:9" s="46" customFormat="1" x14ac:dyDescent="0.2">
      <c r="C4328" s="144"/>
      <c r="D4328" s="144"/>
      <c r="E4328" s="144"/>
      <c r="F4328" s="373"/>
      <c r="I4328" s="70"/>
    </row>
    <row r="4329" spans="3:9" s="46" customFormat="1" x14ac:dyDescent="0.2">
      <c r="C4329" s="144"/>
      <c r="D4329" s="144"/>
      <c r="E4329" s="144"/>
      <c r="F4329" s="373"/>
      <c r="I4329" s="70"/>
    </row>
    <row r="4330" spans="3:9" s="46" customFormat="1" x14ac:dyDescent="0.2">
      <c r="C4330" s="144"/>
      <c r="D4330" s="144"/>
      <c r="E4330" s="144"/>
      <c r="F4330" s="373"/>
      <c r="I4330" s="70"/>
    </row>
    <row r="4331" spans="3:9" s="46" customFormat="1" x14ac:dyDescent="0.2">
      <c r="C4331" s="144"/>
      <c r="D4331" s="144"/>
      <c r="E4331" s="144"/>
      <c r="F4331" s="373"/>
      <c r="I4331" s="70"/>
    </row>
    <row r="4332" spans="3:9" s="46" customFormat="1" x14ac:dyDescent="0.2">
      <c r="C4332" s="144"/>
      <c r="D4332" s="144"/>
      <c r="E4332" s="144"/>
      <c r="F4332" s="373"/>
      <c r="I4332" s="70"/>
    </row>
    <row r="4333" spans="3:9" s="46" customFormat="1" x14ac:dyDescent="0.2">
      <c r="C4333" s="144"/>
      <c r="D4333" s="144"/>
      <c r="E4333" s="144"/>
      <c r="F4333" s="373"/>
      <c r="I4333" s="70"/>
    </row>
    <row r="4334" spans="3:9" s="46" customFormat="1" x14ac:dyDescent="0.2">
      <c r="C4334" s="144"/>
      <c r="D4334" s="144"/>
      <c r="E4334" s="144"/>
      <c r="F4334" s="373"/>
      <c r="I4334" s="70"/>
    </row>
    <row r="4335" spans="3:9" s="46" customFormat="1" x14ac:dyDescent="0.2">
      <c r="C4335" s="144"/>
      <c r="D4335" s="144"/>
      <c r="E4335" s="144"/>
      <c r="F4335" s="373"/>
      <c r="I4335" s="70"/>
    </row>
    <row r="4336" spans="3:9" s="46" customFormat="1" x14ac:dyDescent="0.2">
      <c r="C4336" s="144"/>
      <c r="D4336" s="144"/>
      <c r="E4336" s="144"/>
      <c r="F4336" s="373"/>
      <c r="I4336" s="70"/>
    </row>
    <row r="4337" spans="3:9" s="46" customFormat="1" x14ac:dyDescent="0.2">
      <c r="C4337" s="144"/>
      <c r="D4337" s="144"/>
      <c r="E4337" s="144"/>
      <c r="F4337" s="373"/>
      <c r="I4337" s="70"/>
    </row>
    <row r="4338" spans="3:9" s="46" customFormat="1" x14ac:dyDescent="0.2">
      <c r="C4338" s="144"/>
      <c r="D4338" s="144"/>
      <c r="E4338" s="144"/>
      <c r="F4338" s="373"/>
      <c r="I4338" s="70"/>
    </row>
    <row r="4339" spans="3:9" s="46" customFormat="1" x14ac:dyDescent="0.2">
      <c r="C4339" s="144"/>
      <c r="D4339" s="144"/>
      <c r="E4339" s="144"/>
      <c r="F4339" s="373"/>
      <c r="I4339" s="70"/>
    </row>
    <row r="4340" spans="3:9" s="46" customFormat="1" x14ac:dyDescent="0.2">
      <c r="C4340" s="144"/>
      <c r="D4340" s="144"/>
      <c r="E4340" s="144"/>
      <c r="F4340" s="373"/>
      <c r="I4340" s="70"/>
    </row>
    <row r="4341" spans="3:9" s="46" customFormat="1" x14ac:dyDescent="0.2">
      <c r="C4341" s="144"/>
      <c r="D4341" s="144"/>
      <c r="E4341" s="144"/>
      <c r="F4341" s="373"/>
      <c r="I4341" s="70"/>
    </row>
    <row r="4342" spans="3:9" s="46" customFormat="1" x14ac:dyDescent="0.2">
      <c r="C4342" s="144"/>
      <c r="D4342" s="144"/>
      <c r="E4342" s="144"/>
      <c r="F4342" s="373"/>
      <c r="I4342" s="70"/>
    </row>
    <row r="4343" spans="3:9" s="46" customFormat="1" x14ac:dyDescent="0.2">
      <c r="C4343" s="144"/>
      <c r="D4343" s="144"/>
      <c r="E4343" s="144"/>
      <c r="F4343" s="373"/>
      <c r="I4343" s="70"/>
    </row>
    <row r="4344" spans="3:9" s="46" customFormat="1" x14ac:dyDescent="0.2">
      <c r="C4344" s="144"/>
      <c r="D4344" s="144"/>
      <c r="E4344" s="144"/>
      <c r="F4344" s="373"/>
      <c r="I4344" s="70"/>
    </row>
    <row r="4345" spans="3:9" s="46" customFormat="1" x14ac:dyDescent="0.2">
      <c r="C4345" s="144"/>
      <c r="D4345" s="144"/>
      <c r="E4345" s="144"/>
      <c r="F4345" s="373"/>
      <c r="I4345" s="70"/>
    </row>
    <row r="4346" spans="3:9" s="46" customFormat="1" x14ac:dyDescent="0.2">
      <c r="C4346" s="144"/>
      <c r="D4346" s="144"/>
      <c r="E4346" s="144"/>
      <c r="F4346" s="373"/>
      <c r="I4346" s="70"/>
    </row>
    <row r="4347" spans="3:9" s="46" customFormat="1" x14ac:dyDescent="0.2">
      <c r="C4347" s="144"/>
      <c r="D4347" s="144"/>
      <c r="E4347" s="144"/>
      <c r="F4347" s="373"/>
      <c r="I4347" s="70"/>
    </row>
    <row r="4348" spans="3:9" s="46" customFormat="1" x14ac:dyDescent="0.2">
      <c r="C4348" s="144"/>
      <c r="D4348" s="144"/>
      <c r="E4348" s="144"/>
      <c r="F4348" s="373"/>
      <c r="I4348" s="70"/>
    </row>
    <row r="4349" spans="3:9" s="46" customFormat="1" x14ac:dyDescent="0.2">
      <c r="C4349" s="144"/>
      <c r="D4349" s="144"/>
      <c r="E4349" s="144"/>
      <c r="F4349" s="373"/>
      <c r="I4349" s="70"/>
    </row>
    <row r="4350" spans="3:9" s="46" customFormat="1" x14ac:dyDescent="0.2">
      <c r="C4350" s="144"/>
      <c r="D4350" s="144"/>
      <c r="E4350" s="144"/>
      <c r="F4350" s="373"/>
      <c r="I4350" s="70"/>
    </row>
    <row r="4351" spans="3:9" s="46" customFormat="1" x14ac:dyDescent="0.2">
      <c r="C4351" s="144"/>
      <c r="D4351" s="144"/>
      <c r="E4351" s="144"/>
      <c r="F4351" s="373"/>
      <c r="I4351" s="70"/>
    </row>
    <row r="4352" spans="3:9" s="46" customFormat="1" x14ac:dyDescent="0.2">
      <c r="C4352" s="144"/>
      <c r="D4352" s="144"/>
      <c r="E4352" s="144"/>
      <c r="F4352" s="373"/>
      <c r="I4352" s="70"/>
    </row>
    <row r="4353" spans="3:9" s="46" customFormat="1" x14ac:dyDescent="0.2">
      <c r="C4353" s="144"/>
      <c r="D4353" s="144"/>
      <c r="E4353" s="144"/>
      <c r="F4353" s="373"/>
      <c r="I4353" s="70"/>
    </row>
    <row r="4354" spans="3:9" s="46" customFormat="1" x14ac:dyDescent="0.2">
      <c r="C4354" s="144"/>
      <c r="D4354" s="144"/>
      <c r="E4354" s="144"/>
      <c r="F4354" s="373"/>
      <c r="I4354" s="70"/>
    </row>
    <row r="4355" spans="3:9" s="46" customFormat="1" x14ac:dyDescent="0.2">
      <c r="C4355" s="144"/>
      <c r="D4355" s="144"/>
      <c r="E4355" s="144"/>
      <c r="F4355" s="373"/>
      <c r="I4355" s="70"/>
    </row>
    <row r="4356" spans="3:9" s="46" customFormat="1" x14ac:dyDescent="0.2">
      <c r="C4356" s="144"/>
      <c r="D4356" s="144"/>
      <c r="E4356" s="144"/>
      <c r="F4356" s="373"/>
      <c r="I4356" s="70"/>
    </row>
    <row r="4357" spans="3:9" s="46" customFormat="1" x14ac:dyDescent="0.2">
      <c r="C4357" s="144"/>
      <c r="D4357" s="144"/>
      <c r="E4357" s="144"/>
      <c r="F4357" s="373"/>
      <c r="I4357" s="70"/>
    </row>
    <row r="4358" spans="3:9" s="46" customFormat="1" x14ac:dyDescent="0.2">
      <c r="C4358" s="144"/>
      <c r="D4358" s="144"/>
      <c r="E4358" s="144"/>
      <c r="F4358" s="373"/>
      <c r="I4358" s="70"/>
    </row>
    <row r="4359" spans="3:9" s="46" customFormat="1" x14ac:dyDescent="0.2">
      <c r="C4359" s="144"/>
      <c r="D4359" s="144"/>
      <c r="E4359" s="144"/>
      <c r="F4359" s="373"/>
      <c r="I4359" s="70"/>
    </row>
    <row r="4360" spans="3:9" s="46" customFormat="1" x14ac:dyDescent="0.2">
      <c r="C4360" s="144"/>
      <c r="D4360" s="144"/>
      <c r="E4360" s="144"/>
      <c r="F4360" s="373"/>
      <c r="I4360" s="70"/>
    </row>
    <row r="4361" spans="3:9" s="46" customFormat="1" x14ac:dyDescent="0.2">
      <c r="C4361" s="144"/>
      <c r="D4361" s="144"/>
      <c r="E4361" s="144"/>
      <c r="F4361" s="373"/>
      <c r="I4361" s="70"/>
    </row>
    <row r="4362" spans="3:9" s="46" customFormat="1" x14ac:dyDescent="0.2">
      <c r="C4362" s="144"/>
      <c r="D4362" s="144"/>
      <c r="E4362" s="144"/>
      <c r="F4362" s="373"/>
      <c r="I4362" s="70"/>
    </row>
    <row r="4363" spans="3:9" s="46" customFormat="1" x14ac:dyDescent="0.2">
      <c r="C4363" s="144"/>
      <c r="D4363" s="144"/>
      <c r="E4363" s="144"/>
      <c r="F4363" s="373"/>
      <c r="I4363" s="70"/>
    </row>
    <row r="4364" spans="3:9" s="46" customFormat="1" x14ac:dyDescent="0.2">
      <c r="C4364" s="144"/>
      <c r="D4364" s="144"/>
      <c r="E4364" s="144"/>
      <c r="F4364" s="373"/>
      <c r="I4364" s="70"/>
    </row>
    <row r="4365" spans="3:9" s="46" customFormat="1" x14ac:dyDescent="0.2">
      <c r="C4365" s="144"/>
      <c r="D4365" s="144"/>
      <c r="E4365" s="144"/>
      <c r="F4365" s="373"/>
      <c r="I4365" s="70"/>
    </row>
    <row r="4366" spans="3:9" s="46" customFormat="1" x14ac:dyDescent="0.2">
      <c r="C4366" s="144"/>
      <c r="D4366" s="144"/>
      <c r="E4366" s="144"/>
      <c r="F4366" s="373"/>
      <c r="I4366" s="70"/>
    </row>
    <row r="4367" spans="3:9" s="46" customFormat="1" x14ac:dyDescent="0.2">
      <c r="C4367" s="144"/>
      <c r="D4367" s="144"/>
      <c r="E4367" s="144"/>
      <c r="F4367" s="373"/>
      <c r="I4367" s="70"/>
    </row>
    <row r="4368" spans="3:9" s="46" customFormat="1" x14ac:dyDescent="0.2">
      <c r="C4368" s="144"/>
      <c r="D4368" s="144"/>
      <c r="E4368" s="144"/>
      <c r="F4368" s="373"/>
      <c r="I4368" s="70"/>
    </row>
    <row r="4369" spans="3:9" s="46" customFormat="1" x14ac:dyDescent="0.2">
      <c r="C4369" s="144"/>
      <c r="D4369" s="144"/>
      <c r="E4369" s="144"/>
      <c r="F4369" s="373"/>
      <c r="I4369" s="70"/>
    </row>
    <row r="4370" spans="3:9" s="46" customFormat="1" x14ac:dyDescent="0.2">
      <c r="C4370" s="144"/>
      <c r="D4370" s="144"/>
      <c r="E4370" s="144"/>
      <c r="F4370" s="373"/>
      <c r="I4370" s="70"/>
    </row>
    <row r="4371" spans="3:9" s="46" customFormat="1" x14ac:dyDescent="0.2">
      <c r="C4371" s="144"/>
      <c r="D4371" s="144"/>
      <c r="E4371" s="144"/>
      <c r="F4371" s="373"/>
      <c r="I4371" s="70"/>
    </row>
    <row r="4372" spans="3:9" s="46" customFormat="1" x14ac:dyDescent="0.2">
      <c r="C4372" s="144"/>
      <c r="D4372" s="144"/>
      <c r="E4372" s="144"/>
      <c r="F4372" s="373"/>
      <c r="I4372" s="70"/>
    </row>
    <row r="4373" spans="3:9" s="46" customFormat="1" x14ac:dyDescent="0.2">
      <c r="C4373" s="144"/>
      <c r="D4373" s="144"/>
      <c r="E4373" s="144"/>
      <c r="F4373" s="373"/>
      <c r="I4373" s="70"/>
    </row>
    <row r="4374" spans="3:9" s="46" customFormat="1" x14ac:dyDescent="0.2">
      <c r="C4374" s="144"/>
      <c r="D4374" s="144"/>
      <c r="E4374" s="144"/>
      <c r="F4374" s="373"/>
      <c r="I4374" s="70"/>
    </row>
    <row r="4375" spans="3:9" s="46" customFormat="1" x14ac:dyDescent="0.2">
      <c r="C4375" s="144"/>
      <c r="D4375" s="144"/>
      <c r="E4375" s="144"/>
      <c r="F4375" s="373"/>
      <c r="I4375" s="70"/>
    </row>
    <row r="4376" spans="3:9" s="46" customFormat="1" x14ac:dyDescent="0.2">
      <c r="C4376" s="144"/>
      <c r="D4376" s="144"/>
      <c r="E4376" s="144"/>
      <c r="F4376" s="373"/>
      <c r="I4376" s="70"/>
    </row>
    <row r="4377" spans="3:9" s="46" customFormat="1" x14ac:dyDescent="0.2">
      <c r="C4377" s="144"/>
      <c r="D4377" s="144"/>
      <c r="E4377" s="144"/>
      <c r="F4377" s="373"/>
      <c r="I4377" s="70"/>
    </row>
    <row r="4378" spans="3:9" s="46" customFormat="1" x14ac:dyDescent="0.2">
      <c r="C4378" s="144"/>
      <c r="D4378" s="144"/>
      <c r="E4378" s="144"/>
      <c r="F4378" s="373"/>
      <c r="I4378" s="70"/>
    </row>
    <row r="4379" spans="3:9" s="46" customFormat="1" x14ac:dyDescent="0.2">
      <c r="C4379" s="144"/>
      <c r="D4379" s="144"/>
      <c r="E4379" s="144"/>
      <c r="F4379" s="373"/>
      <c r="I4379" s="70"/>
    </row>
    <row r="4380" spans="3:9" s="46" customFormat="1" x14ac:dyDescent="0.2">
      <c r="C4380" s="144"/>
      <c r="D4380" s="144"/>
      <c r="E4380" s="144"/>
      <c r="F4380" s="373"/>
      <c r="I4380" s="70"/>
    </row>
    <row r="4381" spans="3:9" s="46" customFormat="1" x14ac:dyDescent="0.2">
      <c r="C4381" s="144"/>
      <c r="D4381" s="144"/>
      <c r="E4381" s="144"/>
      <c r="F4381" s="373"/>
      <c r="I4381" s="70"/>
    </row>
    <row r="4382" spans="3:9" s="46" customFormat="1" x14ac:dyDescent="0.2">
      <c r="C4382" s="144"/>
      <c r="D4382" s="144"/>
      <c r="E4382" s="144"/>
      <c r="F4382" s="373"/>
      <c r="I4382" s="70"/>
    </row>
    <row r="4383" spans="3:9" s="46" customFormat="1" x14ac:dyDescent="0.2">
      <c r="C4383" s="144"/>
      <c r="D4383" s="144"/>
      <c r="E4383" s="144"/>
      <c r="F4383" s="373"/>
      <c r="I4383" s="70"/>
    </row>
    <row r="4384" spans="3:9" s="46" customFormat="1" x14ac:dyDescent="0.2">
      <c r="C4384" s="144"/>
      <c r="D4384" s="144"/>
      <c r="E4384" s="144"/>
      <c r="F4384" s="373"/>
      <c r="I4384" s="70"/>
    </row>
    <row r="4385" spans="3:9" s="46" customFormat="1" x14ac:dyDescent="0.2">
      <c r="C4385" s="144"/>
      <c r="D4385" s="144"/>
      <c r="E4385" s="144"/>
      <c r="F4385" s="373"/>
      <c r="I4385" s="70"/>
    </row>
    <row r="4386" spans="3:9" s="46" customFormat="1" x14ac:dyDescent="0.2">
      <c r="C4386" s="144"/>
      <c r="D4386" s="144"/>
      <c r="E4386" s="144"/>
      <c r="F4386" s="373"/>
      <c r="I4386" s="70"/>
    </row>
    <row r="4387" spans="3:9" s="46" customFormat="1" x14ac:dyDescent="0.2">
      <c r="C4387" s="144"/>
      <c r="D4387" s="144"/>
      <c r="E4387" s="144"/>
      <c r="F4387" s="373"/>
      <c r="I4387" s="70"/>
    </row>
    <row r="4388" spans="3:9" s="46" customFormat="1" x14ac:dyDescent="0.2">
      <c r="C4388" s="144"/>
      <c r="D4388" s="144"/>
      <c r="E4388" s="144"/>
      <c r="F4388" s="373"/>
      <c r="I4388" s="70"/>
    </row>
    <row r="4389" spans="3:9" s="46" customFormat="1" x14ac:dyDescent="0.2">
      <c r="C4389" s="144"/>
      <c r="D4389" s="144"/>
      <c r="E4389" s="144"/>
      <c r="F4389" s="373"/>
      <c r="I4389" s="70"/>
    </row>
    <row r="4390" spans="3:9" s="46" customFormat="1" x14ac:dyDescent="0.2">
      <c r="C4390" s="144"/>
      <c r="D4390" s="144"/>
      <c r="E4390" s="144"/>
      <c r="F4390" s="373"/>
      <c r="I4390" s="70"/>
    </row>
    <row r="4391" spans="3:9" s="46" customFormat="1" x14ac:dyDescent="0.2">
      <c r="C4391" s="144"/>
      <c r="D4391" s="144"/>
      <c r="E4391" s="144"/>
      <c r="F4391" s="373"/>
      <c r="I4391" s="70"/>
    </row>
    <row r="4392" spans="3:9" s="46" customFormat="1" x14ac:dyDescent="0.2">
      <c r="C4392" s="144"/>
      <c r="D4392" s="144"/>
      <c r="E4392" s="144"/>
      <c r="F4392" s="373"/>
      <c r="I4392" s="70"/>
    </row>
    <row r="4393" spans="3:9" s="46" customFormat="1" x14ac:dyDescent="0.2">
      <c r="C4393" s="144"/>
      <c r="D4393" s="144"/>
      <c r="E4393" s="144"/>
      <c r="F4393" s="373"/>
      <c r="I4393" s="70"/>
    </row>
    <row r="4394" spans="3:9" s="46" customFormat="1" x14ac:dyDescent="0.2">
      <c r="C4394" s="144"/>
      <c r="D4394" s="144"/>
      <c r="E4394" s="144"/>
      <c r="F4394" s="373"/>
      <c r="I4394" s="70"/>
    </row>
    <row r="4395" spans="3:9" s="46" customFormat="1" x14ac:dyDescent="0.2">
      <c r="C4395" s="144"/>
      <c r="D4395" s="144"/>
      <c r="E4395" s="144"/>
      <c r="F4395" s="373"/>
      <c r="I4395" s="70"/>
    </row>
    <row r="4396" spans="3:9" s="46" customFormat="1" x14ac:dyDescent="0.2">
      <c r="C4396" s="144"/>
      <c r="D4396" s="144"/>
      <c r="E4396" s="144"/>
      <c r="F4396" s="373"/>
      <c r="I4396" s="70"/>
    </row>
    <row r="4397" spans="3:9" s="46" customFormat="1" x14ac:dyDescent="0.2">
      <c r="C4397" s="144"/>
      <c r="D4397" s="144"/>
      <c r="E4397" s="144"/>
      <c r="F4397" s="373"/>
      <c r="I4397" s="70"/>
    </row>
    <row r="4398" spans="3:9" s="46" customFormat="1" x14ac:dyDescent="0.2">
      <c r="C4398" s="144"/>
      <c r="D4398" s="144"/>
      <c r="E4398" s="144"/>
      <c r="F4398" s="373"/>
      <c r="I4398" s="70"/>
    </row>
    <row r="4399" spans="3:9" s="46" customFormat="1" x14ac:dyDescent="0.2">
      <c r="C4399" s="144"/>
      <c r="D4399" s="144"/>
      <c r="E4399" s="144"/>
      <c r="F4399" s="373"/>
      <c r="I4399" s="70"/>
    </row>
    <row r="4400" spans="3:9" s="46" customFormat="1" x14ac:dyDescent="0.2">
      <c r="C4400" s="144"/>
      <c r="D4400" s="144"/>
      <c r="E4400" s="144"/>
      <c r="F4400" s="373"/>
      <c r="I4400" s="70"/>
    </row>
    <row r="4401" spans="3:9" s="46" customFormat="1" x14ac:dyDescent="0.2">
      <c r="C4401" s="144"/>
      <c r="D4401" s="144"/>
      <c r="E4401" s="144"/>
      <c r="F4401" s="373"/>
      <c r="I4401" s="70"/>
    </row>
    <row r="4402" spans="3:9" s="46" customFormat="1" x14ac:dyDescent="0.2">
      <c r="C4402" s="144"/>
      <c r="D4402" s="144"/>
      <c r="E4402" s="144"/>
      <c r="F4402" s="373"/>
      <c r="I4402" s="70"/>
    </row>
    <row r="4403" spans="3:9" s="46" customFormat="1" x14ac:dyDescent="0.2">
      <c r="C4403" s="144"/>
      <c r="D4403" s="144"/>
      <c r="E4403" s="144"/>
      <c r="F4403" s="373"/>
      <c r="I4403" s="70"/>
    </row>
    <row r="4404" spans="3:9" s="46" customFormat="1" x14ac:dyDescent="0.2">
      <c r="C4404" s="144"/>
      <c r="D4404" s="144"/>
      <c r="E4404" s="144"/>
      <c r="F4404" s="373"/>
      <c r="I4404" s="70"/>
    </row>
    <row r="4405" spans="3:9" s="46" customFormat="1" x14ac:dyDescent="0.2">
      <c r="C4405" s="144"/>
      <c r="D4405" s="144"/>
      <c r="E4405" s="144"/>
      <c r="F4405" s="373"/>
      <c r="I4405" s="70"/>
    </row>
    <row r="4406" spans="3:9" s="46" customFormat="1" x14ac:dyDescent="0.2">
      <c r="C4406" s="144"/>
      <c r="D4406" s="144"/>
      <c r="E4406" s="144"/>
      <c r="F4406" s="373"/>
      <c r="I4406" s="70"/>
    </row>
    <row r="4407" spans="3:9" s="46" customFormat="1" x14ac:dyDescent="0.2">
      <c r="C4407" s="144"/>
      <c r="D4407" s="144"/>
      <c r="E4407" s="144"/>
      <c r="F4407" s="373"/>
      <c r="I4407" s="70"/>
    </row>
    <row r="4408" spans="3:9" s="46" customFormat="1" x14ac:dyDescent="0.2">
      <c r="C4408" s="144"/>
      <c r="D4408" s="144"/>
      <c r="E4408" s="144"/>
      <c r="F4408" s="373"/>
      <c r="I4408" s="70"/>
    </row>
    <row r="4409" spans="3:9" s="46" customFormat="1" x14ac:dyDescent="0.2">
      <c r="C4409" s="144"/>
      <c r="D4409" s="144"/>
      <c r="E4409" s="144"/>
      <c r="F4409" s="373"/>
      <c r="I4409" s="70"/>
    </row>
    <row r="4410" spans="3:9" s="46" customFormat="1" x14ac:dyDescent="0.2">
      <c r="C4410" s="144"/>
      <c r="D4410" s="144"/>
      <c r="E4410" s="144"/>
      <c r="F4410" s="373"/>
      <c r="I4410" s="70"/>
    </row>
    <row r="4411" spans="3:9" s="46" customFormat="1" x14ac:dyDescent="0.2">
      <c r="C4411" s="144"/>
      <c r="D4411" s="144"/>
      <c r="E4411" s="144"/>
      <c r="F4411" s="373"/>
      <c r="I4411" s="70"/>
    </row>
    <row r="4412" spans="3:9" s="46" customFormat="1" x14ac:dyDescent="0.2">
      <c r="C4412" s="144"/>
      <c r="D4412" s="144"/>
      <c r="E4412" s="144"/>
      <c r="F4412" s="373"/>
      <c r="I4412" s="70"/>
    </row>
    <row r="4413" spans="3:9" s="46" customFormat="1" x14ac:dyDescent="0.2">
      <c r="C4413" s="144"/>
      <c r="D4413" s="144"/>
      <c r="E4413" s="144"/>
      <c r="F4413" s="373"/>
      <c r="I4413" s="70"/>
    </row>
    <row r="4414" spans="3:9" s="46" customFormat="1" x14ac:dyDescent="0.2">
      <c r="C4414" s="144"/>
      <c r="D4414" s="144"/>
      <c r="E4414" s="144"/>
      <c r="F4414" s="373"/>
      <c r="I4414" s="70"/>
    </row>
    <row r="4415" spans="3:9" s="46" customFormat="1" x14ac:dyDescent="0.2">
      <c r="C4415" s="144"/>
      <c r="D4415" s="144"/>
      <c r="E4415" s="144"/>
      <c r="F4415" s="373"/>
      <c r="I4415" s="70"/>
    </row>
    <row r="4416" spans="3:9" s="46" customFormat="1" x14ac:dyDescent="0.2">
      <c r="C4416" s="144"/>
      <c r="D4416" s="144"/>
      <c r="E4416" s="144"/>
      <c r="F4416" s="373"/>
      <c r="I4416" s="70"/>
    </row>
    <row r="4417" spans="3:9" s="46" customFormat="1" x14ac:dyDescent="0.2">
      <c r="C4417" s="144"/>
      <c r="D4417" s="144"/>
      <c r="E4417" s="144"/>
      <c r="F4417" s="373"/>
      <c r="I4417" s="70"/>
    </row>
    <row r="4418" spans="3:9" s="46" customFormat="1" x14ac:dyDescent="0.2">
      <c r="C4418" s="144"/>
      <c r="D4418" s="144"/>
      <c r="E4418" s="144"/>
      <c r="F4418" s="373"/>
      <c r="I4418" s="70"/>
    </row>
    <row r="4419" spans="3:9" s="46" customFormat="1" x14ac:dyDescent="0.2">
      <c r="C4419" s="144"/>
      <c r="D4419" s="144"/>
      <c r="E4419" s="144"/>
      <c r="F4419" s="373"/>
      <c r="I4419" s="70"/>
    </row>
    <row r="4420" spans="3:9" s="46" customFormat="1" x14ac:dyDescent="0.2">
      <c r="C4420" s="144"/>
      <c r="D4420" s="144"/>
      <c r="E4420" s="144"/>
      <c r="F4420" s="373"/>
      <c r="I4420" s="70"/>
    </row>
    <row r="4421" spans="3:9" s="46" customFormat="1" x14ac:dyDescent="0.2">
      <c r="C4421" s="144"/>
      <c r="D4421" s="144"/>
      <c r="E4421" s="144"/>
      <c r="F4421" s="373"/>
      <c r="I4421" s="70"/>
    </row>
    <row r="4422" spans="3:9" s="46" customFormat="1" x14ac:dyDescent="0.2">
      <c r="C4422" s="144"/>
      <c r="D4422" s="144"/>
      <c r="E4422" s="144"/>
      <c r="F4422" s="373"/>
      <c r="I4422" s="70"/>
    </row>
    <row r="4423" spans="3:9" s="46" customFormat="1" x14ac:dyDescent="0.2">
      <c r="C4423" s="144"/>
      <c r="D4423" s="144"/>
      <c r="E4423" s="144"/>
      <c r="F4423" s="373"/>
      <c r="I4423" s="70"/>
    </row>
    <row r="4424" spans="3:9" s="46" customFormat="1" x14ac:dyDescent="0.2">
      <c r="C4424" s="144"/>
      <c r="D4424" s="144"/>
      <c r="E4424" s="144"/>
      <c r="F4424" s="373"/>
      <c r="I4424" s="70"/>
    </row>
    <row r="4425" spans="3:9" s="46" customFormat="1" x14ac:dyDescent="0.2">
      <c r="C4425" s="144"/>
      <c r="D4425" s="144"/>
      <c r="E4425" s="144"/>
      <c r="F4425" s="373"/>
      <c r="I4425" s="70"/>
    </row>
    <row r="4426" spans="3:9" s="46" customFormat="1" x14ac:dyDescent="0.2">
      <c r="C4426" s="144"/>
      <c r="D4426" s="144"/>
      <c r="E4426" s="144"/>
      <c r="F4426" s="373"/>
      <c r="I4426" s="70"/>
    </row>
    <row r="4427" spans="3:9" s="46" customFormat="1" x14ac:dyDescent="0.2">
      <c r="C4427" s="144"/>
      <c r="D4427" s="144"/>
      <c r="E4427" s="144"/>
      <c r="F4427" s="373"/>
      <c r="I4427" s="70"/>
    </row>
    <row r="4428" spans="3:9" s="46" customFormat="1" x14ac:dyDescent="0.2">
      <c r="C4428" s="144"/>
      <c r="D4428" s="144"/>
      <c r="E4428" s="144"/>
      <c r="F4428" s="373"/>
      <c r="I4428" s="70"/>
    </row>
    <row r="4429" spans="3:9" s="46" customFormat="1" x14ac:dyDescent="0.2">
      <c r="C4429" s="144"/>
      <c r="D4429" s="144"/>
      <c r="E4429" s="144"/>
      <c r="F4429" s="373"/>
      <c r="I4429" s="70"/>
    </row>
    <row r="4430" spans="3:9" s="46" customFormat="1" x14ac:dyDescent="0.2">
      <c r="C4430" s="144"/>
      <c r="D4430" s="144"/>
      <c r="E4430" s="144"/>
      <c r="F4430" s="373"/>
      <c r="I4430" s="70"/>
    </row>
    <row r="4431" spans="3:9" s="46" customFormat="1" x14ac:dyDescent="0.2">
      <c r="C4431" s="144"/>
      <c r="D4431" s="144"/>
      <c r="E4431" s="144"/>
      <c r="F4431" s="373"/>
      <c r="I4431" s="70"/>
    </row>
    <row r="4432" spans="3:9" s="46" customFormat="1" x14ac:dyDescent="0.2">
      <c r="C4432" s="144"/>
      <c r="D4432" s="144"/>
      <c r="E4432" s="144"/>
      <c r="F4432" s="373"/>
      <c r="I4432" s="70"/>
    </row>
    <row r="4433" spans="3:9" s="46" customFormat="1" x14ac:dyDescent="0.2">
      <c r="C4433" s="144"/>
      <c r="D4433" s="144"/>
      <c r="E4433" s="144"/>
      <c r="F4433" s="373"/>
      <c r="I4433" s="70"/>
    </row>
    <row r="4434" spans="3:9" s="46" customFormat="1" x14ac:dyDescent="0.2">
      <c r="C4434" s="144"/>
      <c r="D4434" s="144"/>
      <c r="E4434" s="144"/>
      <c r="F4434" s="373"/>
      <c r="I4434" s="70"/>
    </row>
    <row r="4435" spans="3:9" s="46" customFormat="1" x14ac:dyDescent="0.2">
      <c r="C4435" s="144"/>
      <c r="D4435" s="144"/>
      <c r="E4435" s="144"/>
      <c r="F4435" s="373"/>
      <c r="I4435" s="70"/>
    </row>
    <row r="4436" spans="3:9" s="46" customFormat="1" x14ac:dyDescent="0.2">
      <c r="C4436" s="144"/>
      <c r="D4436" s="144"/>
      <c r="E4436" s="144"/>
      <c r="F4436" s="373"/>
      <c r="I4436" s="70"/>
    </row>
    <row r="4437" spans="3:9" s="46" customFormat="1" x14ac:dyDescent="0.2">
      <c r="C4437" s="144"/>
      <c r="D4437" s="144"/>
      <c r="E4437" s="144"/>
      <c r="F4437" s="373"/>
      <c r="I4437" s="70"/>
    </row>
    <row r="4438" spans="3:9" s="46" customFormat="1" x14ac:dyDescent="0.2">
      <c r="C4438" s="144"/>
      <c r="D4438" s="144"/>
      <c r="E4438" s="144"/>
      <c r="F4438" s="373"/>
      <c r="I4438" s="70"/>
    </row>
    <row r="4439" spans="3:9" s="46" customFormat="1" x14ac:dyDescent="0.2">
      <c r="C4439" s="144"/>
      <c r="D4439" s="144"/>
      <c r="E4439" s="144"/>
      <c r="F4439" s="373"/>
      <c r="I4439" s="70"/>
    </row>
    <row r="4440" spans="3:9" s="46" customFormat="1" x14ac:dyDescent="0.2">
      <c r="C4440" s="144"/>
      <c r="D4440" s="144"/>
      <c r="E4440" s="144"/>
      <c r="F4440" s="373"/>
      <c r="I4440" s="70"/>
    </row>
    <row r="4441" spans="3:9" s="46" customFormat="1" x14ac:dyDescent="0.2">
      <c r="C4441" s="144"/>
      <c r="D4441" s="144"/>
      <c r="E4441" s="144"/>
      <c r="F4441" s="373"/>
      <c r="I4441" s="70"/>
    </row>
    <row r="4442" spans="3:9" s="46" customFormat="1" x14ac:dyDescent="0.2">
      <c r="C4442" s="144"/>
      <c r="D4442" s="144"/>
      <c r="E4442" s="144"/>
      <c r="F4442" s="373"/>
      <c r="I4442" s="70"/>
    </row>
    <row r="4443" spans="3:9" s="46" customFormat="1" x14ac:dyDescent="0.2">
      <c r="C4443" s="144"/>
      <c r="D4443" s="144"/>
      <c r="E4443" s="144"/>
      <c r="F4443" s="373"/>
      <c r="I4443" s="70"/>
    </row>
    <row r="4444" spans="3:9" s="46" customFormat="1" x14ac:dyDescent="0.2">
      <c r="C4444" s="144"/>
      <c r="D4444" s="144"/>
      <c r="E4444" s="144"/>
      <c r="F4444" s="373"/>
      <c r="I4444" s="70"/>
    </row>
    <row r="4445" spans="3:9" s="46" customFormat="1" x14ac:dyDescent="0.2">
      <c r="C4445" s="144"/>
      <c r="D4445" s="144"/>
      <c r="E4445" s="144"/>
      <c r="F4445" s="373"/>
      <c r="I4445" s="70"/>
    </row>
    <row r="4446" spans="3:9" s="46" customFormat="1" x14ac:dyDescent="0.2">
      <c r="C4446" s="144"/>
      <c r="D4446" s="144"/>
      <c r="E4446" s="144"/>
      <c r="F4446" s="373"/>
      <c r="I4446" s="70"/>
    </row>
    <row r="4447" spans="3:9" s="46" customFormat="1" x14ac:dyDescent="0.2">
      <c r="C4447" s="144"/>
      <c r="D4447" s="144"/>
      <c r="E4447" s="144"/>
      <c r="F4447" s="373"/>
      <c r="I4447" s="70"/>
    </row>
    <row r="4448" spans="3:9" s="46" customFormat="1" x14ac:dyDescent="0.2">
      <c r="C4448" s="144"/>
      <c r="D4448" s="144"/>
      <c r="E4448" s="144"/>
      <c r="F4448" s="373"/>
      <c r="I4448" s="70"/>
    </row>
    <row r="4449" spans="3:9" s="46" customFormat="1" x14ac:dyDescent="0.2">
      <c r="C4449" s="144"/>
      <c r="D4449" s="144"/>
      <c r="E4449" s="144"/>
      <c r="F4449" s="373"/>
      <c r="I4449" s="70"/>
    </row>
    <row r="4450" spans="3:9" s="46" customFormat="1" x14ac:dyDescent="0.2">
      <c r="C4450" s="144"/>
      <c r="D4450" s="144"/>
      <c r="E4450" s="144"/>
      <c r="F4450" s="373"/>
      <c r="I4450" s="70"/>
    </row>
    <row r="4451" spans="3:9" s="46" customFormat="1" x14ac:dyDescent="0.2">
      <c r="C4451" s="144"/>
      <c r="D4451" s="144"/>
      <c r="E4451" s="144"/>
      <c r="F4451" s="373"/>
      <c r="I4451" s="70"/>
    </row>
    <row r="4452" spans="3:9" s="46" customFormat="1" x14ac:dyDescent="0.2">
      <c r="C4452" s="144"/>
      <c r="D4452" s="144"/>
      <c r="E4452" s="144"/>
      <c r="F4452" s="373"/>
      <c r="I4452" s="70"/>
    </row>
    <row r="4453" spans="3:9" s="46" customFormat="1" x14ac:dyDescent="0.2">
      <c r="C4453" s="144"/>
      <c r="D4453" s="144"/>
      <c r="E4453" s="144"/>
      <c r="F4453" s="373"/>
      <c r="I4453" s="70"/>
    </row>
    <row r="4454" spans="3:9" s="46" customFormat="1" x14ac:dyDescent="0.2">
      <c r="C4454" s="144"/>
      <c r="D4454" s="144"/>
      <c r="E4454" s="144"/>
      <c r="F4454" s="373"/>
      <c r="I4454" s="70"/>
    </row>
    <row r="4455" spans="3:9" s="46" customFormat="1" x14ac:dyDescent="0.2">
      <c r="C4455" s="144"/>
      <c r="D4455" s="144"/>
      <c r="E4455" s="144"/>
      <c r="F4455" s="373"/>
      <c r="I4455" s="70"/>
    </row>
    <row r="4456" spans="3:9" s="46" customFormat="1" x14ac:dyDescent="0.2">
      <c r="C4456" s="144"/>
      <c r="D4456" s="144"/>
      <c r="E4456" s="144"/>
      <c r="F4456" s="373"/>
      <c r="I4456" s="70"/>
    </row>
    <row r="4457" spans="3:9" s="46" customFormat="1" x14ac:dyDescent="0.2">
      <c r="C4457" s="144"/>
      <c r="D4457" s="144"/>
      <c r="E4457" s="144"/>
      <c r="F4457" s="373"/>
      <c r="I4457" s="70"/>
    </row>
    <row r="4458" spans="3:9" s="46" customFormat="1" x14ac:dyDescent="0.2">
      <c r="C4458" s="144"/>
      <c r="D4458" s="144"/>
      <c r="E4458" s="144"/>
      <c r="F4458" s="373"/>
      <c r="I4458" s="70"/>
    </row>
    <row r="4459" spans="3:9" s="46" customFormat="1" x14ac:dyDescent="0.2">
      <c r="C4459" s="144"/>
      <c r="D4459" s="144"/>
      <c r="E4459" s="144"/>
      <c r="F4459" s="373"/>
      <c r="I4459" s="70"/>
    </row>
    <row r="4460" spans="3:9" s="46" customFormat="1" x14ac:dyDescent="0.2">
      <c r="C4460" s="144"/>
      <c r="D4460" s="144"/>
      <c r="E4460" s="144"/>
      <c r="F4460" s="373"/>
      <c r="I4460" s="70"/>
    </row>
    <row r="4461" spans="3:9" s="46" customFormat="1" x14ac:dyDescent="0.2">
      <c r="C4461" s="144"/>
      <c r="D4461" s="144"/>
      <c r="E4461" s="144"/>
      <c r="F4461" s="373"/>
      <c r="I4461" s="70"/>
    </row>
    <row r="4462" spans="3:9" s="46" customFormat="1" x14ac:dyDescent="0.2">
      <c r="C4462" s="144"/>
      <c r="D4462" s="144"/>
      <c r="E4462" s="144"/>
      <c r="F4462" s="373"/>
      <c r="I4462" s="70"/>
    </row>
    <row r="4463" spans="3:9" s="46" customFormat="1" x14ac:dyDescent="0.2">
      <c r="C4463" s="144"/>
      <c r="D4463" s="144"/>
      <c r="E4463" s="144"/>
      <c r="F4463" s="373"/>
      <c r="I4463" s="70"/>
    </row>
    <row r="4464" spans="3:9" s="46" customFormat="1" x14ac:dyDescent="0.2">
      <c r="C4464" s="144"/>
      <c r="D4464" s="144"/>
      <c r="E4464" s="144"/>
      <c r="F4464" s="373"/>
      <c r="I4464" s="70"/>
    </row>
    <row r="4465" spans="3:9" s="46" customFormat="1" x14ac:dyDescent="0.2">
      <c r="C4465" s="144"/>
      <c r="D4465" s="144"/>
      <c r="E4465" s="144"/>
      <c r="F4465" s="373"/>
      <c r="I4465" s="70"/>
    </row>
    <row r="4466" spans="3:9" s="46" customFormat="1" x14ac:dyDescent="0.2">
      <c r="C4466" s="144"/>
      <c r="D4466" s="144"/>
      <c r="E4466" s="144"/>
      <c r="F4466" s="373"/>
      <c r="I4466" s="70"/>
    </row>
    <row r="4467" spans="3:9" s="46" customFormat="1" x14ac:dyDescent="0.2">
      <c r="C4467" s="144"/>
      <c r="D4467" s="144"/>
      <c r="E4467" s="144"/>
      <c r="F4467" s="373"/>
      <c r="I4467" s="70"/>
    </row>
    <row r="4468" spans="3:9" s="46" customFormat="1" x14ac:dyDescent="0.2">
      <c r="C4468" s="144"/>
      <c r="D4468" s="144"/>
      <c r="E4468" s="144"/>
      <c r="F4468" s="373"/>
      <c r="I4468" s="70"/>
    </row>
    <row r="4469" spans="3:9" s="46" customFormat="1" x14ac:dyDescent="0.2">
      <c r="C4469" s="144"/>
      <c r="D4469" s="144"/>
      <c r="E4469" s="144"/>
      <c r="F4469" s="373"/>
      <c r="I4469" s="70"/>
    </row>
    <row r="4470" spans="3:9" s="46" customFormat="1" x14ac:dyDescent="0.2">
      <c r="C4470" s="144"/>
      <c r="D4470" s="144"/>
      <c r="E4470" s="144"/>
      <c r="F4470" s="373"/>
      <c r="I4470" s="70"/>
    </row>
    <row r="4471" spans="3:9" s="46" customFormat="1" x14ac:dyDescent="0.2">
      <c r="C4471" s="144"/>
      <c r="D4471" s="144"/>
      <c r="E4471" s="144"/>
      <c r="F4471" s="373"/>
      <c r="I4471" s="70"/>
    </row>
    <row r="4472" spans="3:9" s="46" customFormat="1" x14ac:dyDescent="0.2">
      <c r="C4472" s="144"/>
      <c r="D4472" s="144"/>
      <c r="E4472" s="144"/>
      <c r="F4472" s="373"/>
      <c r="I4472" s="70"/>
    </row>
    <row r="4473" spans="3:9" s="46" customFormat="1" x14ac:dyDescent="0.2">
      <c r="C4473" s="144"/>
      <c r="D4473" s="144"/>
      <c r="E4473" s="144"/>
      <c r="F4473" s="373"/>
      <c r="I4473" s="70"/>
    </row>
    <row r="4474" spans="3:9" s="46" customFormat="1" x14ac:dyDescent="0.2">
      <c r="C4474" s="144"/>
      <c r="D4474" s="144"/>
      <c r="E4474" s="144"/>
      <c r="F4474" s="373"/>
      <c r="I4474" s="70"/>
    </row>
    <row r="4475" spans="3:9" s="46" customFormat="1" x14ac:dyDescent="0.2">
      <c r="C4475" s="144"/>
      <c r="D4475" s="144"/>
      <c r="E4475" s="144"/>
      <c r="F4475" s="373"/>
      <c r="I4475" s="70"/>
    </row>
    <row r="4476" spans="3:9" s="46" customFormat="1" x14ac:dyDescent="0.2">
      <c r="C4476" s="144"/>
      <c r="D4476" s="144"/>
      <c r="E4476" s="144"/>
      <c r="F4476" s="373"/>
      <c r="I4476" s="70"/>
    </row>
    <row r="4477" spans="3:9" s="46" customFormat="1" x14ac:dyDescent="0.2">
      <c r="C4477" s="144"/>
      <c r="D4477" s="144"/>
      <c r="E4477" s="144"/>
      <c r="F4477" s="373"/>
      <c r="I4477" s="70"/>
    </row>
    <row r="4478" spans="3:9" s="46" customFormat="1" x14ac:dyDescent="0.2">
      <c r="C4478" s="144"/>
      <c r="D4478" s="144"/>
      <c r="E4478" s="144"/>
      <c r="F4478" s="373"/>
      <c r="I4478" s="70"/>
    </row>
    <row r="4479" spans="3:9" s="46" customFormat="1" x14ac:dyDescent="0.2">
      <c r="C4479" s="144"/>
      <c r="D4479" s="144"/>
      <c r="E4479" s="144"/>
      <c r="F4479" s="373"/>
      <c r="I4479" s="70"/>
    </row>
    <row r="4480" spans="3:9" s="46" customFormat="1" x14ac:dyDescent="0.2">
      <c r="C4480" s="144"/>
      <c r="D4480" s="144"/>
      <c r="E4480" s="144"/>
      <c r="F4480" s="373"/>
      <c r="I4480" s="70"/>
    </row>
    <row r="4481" spans="3:9" s="46" customFormat="1" x14ac:dyDescent="0.2">
      <c r="C4481" s="144"/>
      <c r="D4481" s="144"/>
      <c r="E4481" s="144"/>
      <c r="F4481" s="373"/>
      <c r="I4481" s="70"/>
    </row>
    <row r="4482" spans="3:9" s="46" customFormat="1" x14ac:dyDescent="0.2">
      <c r="C4482" s="144"/>
      <c r="D4482" s="144"/>
      <c r="E4482" s="144"/>
      <c r="F4482" s="373"/>
      <c r="I4482" s="70"/>
    </row>
    <row r="4483" spans="3:9" s="46" customFormat="1" x14ac:dyDescent="0.2">
      <c r="C4483" s="144"/>
      <c r="D4483" s="144"/>
      <c r="E4483" s="144"/>
      <c r="F4483" s="373"/>
      <c r="I4483" s="70"/>
    </row>
    <row r="4484" spans="3:9" s="46" customFormat="1" x14ac:dyDescent="0.2">
      <c r="C4484" s="144"/>
      <c r="D4484" s="144"/>
      <c r="E4484" s="144"/>
      <c r="F4484" s="373"/>
      <c r="I4484" s="70"/>
    </row>
    <row r="4485" spans="3:9" s="46" customFormat="1" x14ac:dyDescent="0.2">
      <c r="C4485" s="144"/>
      <c r="D4485" s="144"/>
      <c r="E4485" s="144"/>
      <c r="F4485" s="373"/>
      <c r="I4485" s="70"/>
    </row>
    <row r="4486" spans="3:9" s="46" customFormat="1" x14ac:dyDescent="0.2">
      <c r="C4486" s="144"/>
      <c r="D4486" s="144"/>
      <c r="E4486" s="144"/>
      <c r="F4486" s="373"/>
      <c r="I4486" s="70"/>
    </row>
    <row r="4487" spans="3:9" s="46" customFormat="1" x14ac:dyDescent="0.2">
      <c r="C4487" s="144"/>
      <c r="D4487" s="144"/>
      <c r="E4487" s="144"/>
      <c r="F4487" s="373"/>
      <c r="I4487" s="70"/>
    </row>
    <row r="4488" spans="3:9" s="46" customFormat="1" x14ac:dyDescent="0.2">
      <c r="C4488" s="144"/>
      <c r="D4488" s="144"/>
      <c r="E4488" s="144"/>
      <c r="F4488" s="373"/>
      <c r="I4488" s="70"/>
    </row>
    <row r="4489" spans="3:9" s="46" customFormat="1" x14ac:dyDescent="0.2">
      <c r="C4489" s="144"/>
      <c r="D4489" s="144"/>
      <c r="E4489" s="144"/>
      <c r="F4489" s="373"/>
      <c r="I4489" s="70"/>
    </row>
    <row r="4490" spans="3:9" s="46" customFormat="1" x14ac:dyDescent="0.2">
      <c r="C4490" s="144"/>
      <c r="D4490" s="144"/>
      <c r="E4490" s="144"/>
      <c r="F4490" s="373"/>
      <c r="I4490" s="70"/>
    </row>
    <row r="4491" spans="3:9" s="46" customFormat="1" x14ac:dyDescent="0.2">
      <c r="C4491" s="144"/>
      <c r="D4491" s="144"/>
      <c r="E4491" s="144"/>
      <c r="F4491" s="373"/>
      <c r="I4491" s="70"/>
    </row>
    <row r="4492" spans="3:9" s="46" customFormat="1" x14ac:dyDescent="0.2">
      <c r="C4492" s="144"/>
      <c r="D4492" s="144"/>
      <c r="E4492" s="144"/>
      <c r="F4492" s="373"/>
      <c r="I4492" s="70"/>
    </row>
    <row r="4493" spans="3:9" s="46" customFormat="1" x14ac:dyDescent="0.2">
      <c r="C4493" s="144"/>
      <c r="D4493" s="144"/>
      <c r="E4493" s="144"/>
      <c r="F4493" s="373"/>
      <c r="I4493" s="70"/>
    </row>
    <row r="4494" spans="3:9" s="46" customFormat="1" x14ac:dyDescent="0.2">
      <c r="C4494" s="144"/>
      <c r="D4494" s="144"/>
      <c r="E4494" s="144"/>
      <c r="F4494" s="373"/>
      <c r="I4494" s="70"/>
    </row>
    <row r="4495" spans="3:9" s="46" customFormat="1" x14ac:dyDescent="0.2">
      <c r="C4495" s="144"/>
      <c r="D4495" s="144"/>
      <c r="E4495" s="144"/>
      <c r="F4495" s="373"/>
      <c r="I4495" s="70"/>
    </row>
    <row r="4496" spans="3:9" s="46" customFormat="1" x14ac:dyDescent="0.2">
      <c r="C4496" s="144"/>
      <c r="D4496" s="144"/>
      <c r="E4496" s="144"/>
      <c r="F4496" s="373"/>
      <c r="I4496" s="70"/>
    </row>
    <row r="4497" spans="3:9" s="46" customFormat="1" x14ac:dyDescent="0.2">
      <c r="C4497" s="144"/>
      <c r="D4497" s="144"/>
      <c r="E4497" s="144"/>
      <c r="F4497" s="373"/>
      <c r="I4497" s="70"/>
    </row>
    <row r="4498" spans="3:9" s="46" customFormat="1" x14ac:dyDescent="0.2">
      <c r="C4498" s="144"/>
      <c r="D4498" s="144"/>
      <c r="E4498" s="144"/>
      <c r="F4498" s="373"/>
      <c r="I4498" s="70"/>
    </row>
    <row r="4499" spans="3:9" s="46" customFormat="1" x14ac:dyDescent="0.2">
      <c r="C4499" s="144"/>
      <c r="D4499" s="144"/>
      <c r="E4499" s="144"/>
      <c r="F4499" s="373"/>
      <c r="I4499" s="70"/>
    </row>
    <row r="4500" spans="3:9" s="46" customFormat="1" x14ac:dyDescent="0.2">
      <c r="C4500" s="144"/>
      <c r="D4500" s="144"/>
      <c r="E4500" s="144"/>
      <c r="F4500" s="373"/>
      <c r="I4500" s="70"/>
    </row>
    <row r="4501" spans="3:9" s="46" customFormat="1" x14ac:dyDescent="0.2">
      <c r="C4501" s="144"/>
      <c r="D4501" s="144"/>
      <c r="E4501" s="144"/>
      <c r="F4501" s="373"/>
      <c r="I4501" s="70"/>
    </row>
    <row r="4502" spans="3:9" s="46" customFormat="1" x14ac:dyDescent="0.2">
      <c r="C4502" s="144"/>
      <c r="D4502" s="144"/>
      <c r="E4502" s="144"/>
      <c r="F4502" s="373"/>
      <c r="I4502" s="70"/>
    </row>
    <row r="4503" spans="3:9" s="46" customFormat="1" x14ac:dyDescent="0.2">
      <c r="C4503" s="144"/>
      <c r="D4503" s="144"/>
      <c r="E4503" s="144"/>
      <c r="F4503" s="373"/>
      <c r="I4503" s="70"/>
    </row>
    <row r="4504" spans="3:9" s="46" customFormat="1" x14ac:dyDescent="0.2">
      <c r="C4504" s="144"/>
      <c r="D4504" s="144"/>
      <c r="E4504" s="144"/>
      <c r="F4504" s="373"/>
      <c r="I4504" s="70"/>
    </row>
    <row r="4505" spans="3:9" s="46" customFormat="1" x14ac:dyDescent="0.2">
      <c r="C4505" s="144"/>
      <c r="D4505" s="144"/>
      <c r="E4505" s="144"/>
      <c r="F4505" s="373"/>
      <c r="I4505" s="70"/>
    </row>
    <row r="4506" spans="3:9" s="46" customFormat="1" x14ac:dyDescent="0.2">
      <c r="C4506" s="144"/>
      <c r="D4506" s="144"/>
      <c r="E4506" s="144"/>
      <c r="F4506" s="373"/>
      <c r="I4506" s="70"/>
    </row>
    <row r="4507" spans="3:9" s="46" customFormat="1" x14ac:dyDescent="0.2">
      <c r="C4507" s="144"/>
      <c r="D4507" s="144"/>
      <c r="E4507" s="144"/>
      <c r="F4507" s="373"/>
      <c r="I4507" s="70"/>
    </row>
    <row r="4508" spans="3:9" s="46" customFormat="1" x14ac:dyDescent="0.2">
      <c r="C4508" s="144"/>
      <c r="D4508" s="144"/>
      <c r="E4508" s="144"/>
      <c r="F4508" s="373"/>
      <c r="I4508" s="70"/>
    </row>
    <row r="4509" spans="3:9" s="46" customFormat="1" x14ac:dyDescent="0.2">
      <c r="C4509" s="144"/>
      <c r="D4509" s="144"/>
      <c r="E4509" s="144"/>
      <c r="F4509" s="373"/>
      <c r="I4509" s="70"/>
    </row>
    <row r="4510" spans="3:9" s="46" customFormat="1" x14ac:dyDescent="0.2">
      <c r="C4510" s="144"/>
      <c r="D4510" s="144"/>
      <c r="E4510" s="144"/>
      <c r="F4510" s="373"/>
      <c r="I4510" s="70"/>
    </row>
    <row r="4511" spans="3:9" s="46" customFormat="1" x14ac:dyDescent="0.2">
      <c r="C4511" s="144"/>
      <c r="D4511" s="144"/>
      <c r="E4511" s="144"/>
      <c r="F4511" s="373"/>
      <c r="I4511" s="70"/>
    </row>
    <row r="4512" spans="3:9" s="46" customFormat="1" x14ac:dyDescent="0.2">
      <c r="C4512" s="144"/>
      <c r="D4512" s="144"/>
      <c r="E4512" s="144"/>
      <c r="F4512" s="373"/>
      <c r="I4512" s="70"/>
    </row>
    <row r="4513" spans="3:9" s="46" customFormat="1" x14ac:dyDescent="0.2">
      <c r="C4513" s="144"/>
      <c r="D4513" s="144"/>
      <c r="E4513" s="144"/>
      <c r="F4513" s="373"/>
      <c r="I4513" s="70"/>
    </row>
    <row r="4514" spans="3:9" s="46" customFormat="1" x14ac:dyDescent="0.2">
      <c r="C4514" s="144"/>
      <c r="D4514" s="144"/>
      <c r="E4514" s="144"/>
      <c r="F4514" s="373"/>
      <c r="I4514" s="70"/>
    </row>
    <row r="4515" spans="3:9" s="46" customFormat="1" x14ac:dyDescent="0.2">
      <c r="C4515" s="144"/>
      <c r="D4515" s="144"/>
      <c r="E4515" s="144"/>
      <c r="F4515" s="373"/>
      <c r="I4515" s="70"/>
    </row>
    <row r="4516" spans="3:9" s="46" customFormat="1" x14ac:dyDescent="0.2">
      <c r="C4516" s="144"/>
      <c r="D4516" s="144"/>
      <c r="E4516" s="144"/>
      <c r="F4516" s="373"/>
      <c r="I4516" s="70"/>
    </row>
    <row r="4517" spans="3:9" s="46" customFormat="1" x14ac:dyDescent="0.2">
      <c r="C4517" s="144"/>
      <c r="D4517" s="144"/>
      <c r="E4517" s="144"/>
      <c r="F4517" s="373"/>
      <c r="I4517" s="70"/>
    </row>
    <row r="4518" spans="3:9" s="46" customFormat="1" x14ac:dyDescent="0.2">
      <c r="C4518" s="144"/>
      <c r="D4518" s="144"/>
      <c r="E4518" s="144"/>
      <c r="F4518" s="373"/>
      <c r="I4518" s="70"/>
    </row>
    <row r="4519" spans="3:9" s="46" customFormat="1" x14ac:dyDescent="0.2">
      <c r="C4519" s="144"/>
      <c r="D4519" s="144"/>
      <c r="E4519" s="144"/>
      <c r="F4519" s="373"/>
      <c r="I4519" s="70"/>
    </row>
    <row r="4520" spans="3:9" s="46" customFormat="1" x14ac:dyDescent="0.2">
      <c r="C4520" s="144"/>
      <c r="D4520" s="144"/>
      <c r="E4520" s="144"/>
      <c r="F4520" s="373"/>
      <c r="I4520" s="70"/>
    </row>
    <row r="4521" spans="3:9" s="46" customFormat="1" x14ac:dyDescent="0.2">
      <c r="C4521" s="144"/>
      <c r="D4521" s="144"/>
      <c r="E4521" s="144"/>
      <c r="F4521" s="373"/>
      <c r="I4521" s="70"/>
    </row>
    <row r="4522" spans="3:9" s="46" customFormat="1" x14ac:dyDescent="0.2">
      <c r="C4522" s="144"/>
      <c r="D4522" s="144"/>
      <c r="E4522" s="144"/>
      <c r="F4522" s="373"/>
      <c r="I4522" s="70"/>
    </row>
    <row r="4523" spans="3:9" s="46" customFormat="1" x14ac:dyDescent="0.2">
      <c r="C4523" s="144"/>
      <c r="D4523" s="144"/>
      <c r="E4523" s="144"/>
      <c r="F4523" s="373"/>
      <c r="I4523" s="70"/>
    </row>
    <row r="4524" spans="3:9" s="46" customFormat="1" x14ac:dyDescent="0.2">
      <c r="C4524" s="144"/>
      <c r="D4524" s="144"/>
      <c r="E4524" s="144"/>
      <c r="F4524" s="373"/>
      <c r="I4524" s="70"/>
    </row>
    <row r="4525" spans="3:9" s="46" customFormat="1" x14ac:dyDescent="0.2">
      <c r="C4525" s="144"/>
      <c r="D4525" s="144"/>
      <c r="E4525" s="144"/>
      <c r="F4525" s="373"/>
      <c r="I4525" s="70"/>
    </row>
    <row r="4526" spans="3:9" s="46" customFormat="1" x14ac:dyDescent="0.2">
      <c r="C4526" s="144"/>
      <c r="D4526" s="144"/>
      <c r="E4526" s="144"/>
      <c r="F4526" s="373"/>
      <c r="I4526" s="70"/>
    </row>
    <row r="4527" spans="3:9" s="46" customFormat="1" x14ac:dyDescent="0.2">
      <c r="C4527" s="144"/>
      <c r="D4527" s="144"/>
      <c r="E4527" s="144"/>
      <c r="F4527" s="373"/>
      <c r="I4527" s="70"/>
    </row>
    <row r="4528" spans="3:9" s="46" customFormat="1" x14ac:dyDescent="0.2">
      <c r="C4528" s="144"/>
      <c r="D4528" s="144"/>
      <c r="E4528" s="144"/>
      <c r="F4528" s="373"/>
      <c r="I4528" s="70"/>
    </row>
    <row r="4529" spans="3:9" s="46" customFormat="1" x14ac:dyDescent="0.2">
      <c r="C4529" s="144"/>
      <c r="D4529" s="144"/>
      <c r="E4529" s="144"/>
      <c r="F4529" s="373"/>
      <c r="I4529" s="70"/>
    </row>
    <row r="4530" spans="3:9" s="46" customFormat="1" x14ac:dyDescent="0.2">
      <c r="C4530" s="144"/>
      <c r="D4530" s="144"/>
      <c r="E4530" s="144"/>
      <c r="F4530" s="373"/>
      <c r="I4530" s="70"/>
    </row>
    <row r="4531" spans="3:9" s="46" customFormat="1" x14ac:dyDescent="0.2">
      <c r="C4531" s="144"/>
      <c r="D4531" s="144"/>
      <c r="E4531" s="144"/>
      <c r="F4531" s="373"/>
      <c r="I4531" s="70"/>
    </row>
    <row r="4532" spans="3:9" s="46" customFormat="1" x14ac:dyDescent="0.2">
      <c r="C4532" s="144"/>
      <c r="D4532" s="144"/>
      <c r="E4532" s="144"/>
      <c r="F4532" s="373"/>
      <c r="I4532" s="70"/>
    </row>
    <row r="4533" spans="3:9" s="46" customFormat="1" x14ac:dyDescent="0.2">
      <c r="C4533" s="144"/>
      <c r="D4533" s="144"/>
      <c r="E4533" s="144"/>
      <c r="F4533" s="373"/>
      <c r="I4533" s="70"/>
    </row>
    <row r="4534" spans="3:9" s="46" customFormat="1" x14ac:dyDescent="0.2">
      <c r="C4534" s="144"/>
      <c r="D4534" s="144"/>
      <c r="E4534" s="144"/>
      <c r="F4534" s="373"/>
      <c r="I4534" s="70"/>
    </row>
    <row r="4535" spans="3:9" s="46" customFormat="1" x14ac:dyDescent="0.2">
      <c r="C4535" s="144"/>
      <c r="D4535" s="144"/>
      <c r="E4535" s="144"/>
      <c r="F4535" s="373"/>
      <c r="I4535" s="70"/>
    </row>
    <row r="4536" spans="3:9" s="46" customFormat="1" x14ac:dyDescent="0.2">
      <c r="C4536" s="144"/>
      <c r="D4536" s="144"/>
      <c r="E4536" s="144"/>
      <c r="F4536" s="373"/>
      <c r="I4536" s="70"/>
    </row>
    <row r="4537" spans="3:9" s="46" customFormat="1" x14ac:dyDescent="0.2">
      <c r="C4537" s="144"/>
      <c r="D4537" s="144"/>
      <c r="E4537" s="144"/>
      <c r="F4537" s="373"/>
      <c r="I4537" s="70"/>
    </row>
    <row r="4538" spans="3:9" s="46" customFormat="1" x14ac:dyDescent="0.2">
      <c r="C4538" s="144"/>
      <c r="D4538" s="144"/>
      <c r="E4538" s="144"/>
      <c r="F4538" s="373"/>
      <c r="I4538" s="70"/>
    </row>
    <row r="4539" spans="3:9" s="46" customFormat="1" x14ac:dyDescent="0.2">
      <c r="C4539" s="144"/>
      <c r="D4539" s="144"/>
      <c r="E4539" s="144"/>
      <c r="F4539" s="373"/>
      <c r="I4539" s="70"/>
    </row>
    <row r="4540" spans="3:9" s="46" customFormat="1" x14ac:dyDescent="0.2">
      <c r="C4540" s="144"/>
      <c r="D4540" s="144"/>
      <c r="E4540" s="144"/>
      <c r="F4540" s="373"/>
      <c r="I4540" s="70"/>
    </row>
    <row r="4541" spans="3:9" s="46" customFormat="1" x14ac:dyDescent="0.2">
      <c r="C4541" s="144"/>
      <c r="D4541" s="144"/>
      <c r="E4541" s="144"/>
      <c r="F4541" s="373"/>
      <c r="I4541" s="70"/>
    </row>
    <row r="4542" spans="3:9" s="46" customFormat="1" x14ac:dyDescent="0.2">
      <c r="C4542" s="144"/>
      <c r="D4542" s="144"/>
      <c r="E4542" s="144"/>
      <c r="F4542" s="373"/>
      <c r="I4542" s="70"/>
    </row>
    <row r="4543" spans="3:9" s="46" customFormat="1" x14ac:dyDescent="0.2">
      <c r="C4543" s="144"/>
      <c r="D4543" s="144"/>
      <c r="E4543" s="144"/>
      <c r="F4543" s="373"/>
      <c r="I4543" s="70"/>
    </row>
    <row r="4544" spans="3:9" s="46" customFormat="1" x14ac:dyDescent="0.2">
      <c r="C4544" s="144"/>
      <c r="D4544" s="144"/>
      <c r="E4544" s="144"/>
      <c r="F4544" s="373"/>
      <c r="I4544" s="70"/>
    </row>
    <row r="4545" spans="3:9" s="46" customFormat="1" x14ac:dyDescent="0.2">
      <c r="C4545" s="144"/>
      <c r="D4545" s="144"/>
      <c r="E4545" s="144"/>
      <c r="F4545" s="373"/>
      <c r="I4545" s="70"/>
    </row>
    <row r="4546" spans="3:9" s="46" customFormat="1" x14ac:dyDescent="0.2">
      <c r="C4546" s="144"/>
      <c r="D4546" s="144"/>
      <c r="E4546" s="144"/>
      <c r="F4546" s="373"/>
      <c r="I4546" s="70"/>
    </row>
    <row r="4547" spans="3:9" s="46" customFormat="1" x14ac:dyDescent="0.2">
      <c r="C4547" s="144"/>
      <c r="D4547" s="144"/>
      <c r="E4547" s="144"/>
      <c r="F4547" s="373"/>
      <c r="I4547" s="70"/>
    </row>
    <row r="4548" spans="3:9" s="46" customFormat="1" x14ac:dyDescent="0.2">
      <c r="C4548" s="144"/>
      <c r="D4548" s="144"/>
      <c r="E4548" s="144"/>
      <c r="F4548" s="373"/>
      <c r="I4548" s="70"/>
    </row>
    <row r="4549" spans="3:9" s="46" customFormat="1" x14ac:dyDescent="0.2">
      <c r="C4549" s="144"/>
      <c r="D4549" s="144"/>
      <c r="E4549" s="144"/>
      <c r="F4549" s="373"/>
      <c r="I4549" s="70"/>
    </row>
    <row r="4550" spans="3:9" s="46" customFormat="1" x14ac:dyDescent="0.2">
      <c r="C4550" s="144"/>
      <c r="D4550" s="144"/>
      <c r="E4550" s="144"/>
      <c r="F4550" s="373"/>
      <c r="I4550" s="70"/>
    </row>
    <row r="4551" spans="3:9" s="46" customFormat="1" x14ac:dyDescent="0.2">
      <c r="C4551" s="144"/>
      <c r="D4551" s="144"/>
      <c r="E4551" s="144"/>
      <c r="F4551" s="373"/>
      <c r="I4551" s="70"/>
    </row>
    <row r="4552" spans="3:9" s="46" customFormat="1" x14ac:dyDescent="0.2">
      <c r="C4552" s="144"/>
      <c r="D4552" s="144"/>
      <c r="E4552" s="144"/>
      <c r="F4552" s="373"/>
      <c r="I4552" s="70"/>
    </row>
    <row r="4553" spans="3:9" s="46" customFormat="1" x14ac:dyDescent="0.2">
      <c r="C4553" s="144"/>
      <c r="D4553" s="144"/>
      <c r="E4553" s="144"/>
      <c r="F4553" s="373"/>
      <c r="I4553" s="70"/>
    </row>
    <row r="4554" spans="3:9" s="46" customFormat="1" x14ac:dyDescent="0.2">
      <c r="C4554" s="144"/>
      <c r="D4554" s="144"/>
      <c r="E4554" s="144"/>
      <c r="F4554" s="373"/>
      <c r="I4554" s="70"/>
    </row>
    <row r="4555" spans="3:9" s="46" customFormat="1" x14ac:dyDescent="0.2">
      <c r="C4555" s="144"/>
      <c r="D4555" s="144"/>
      <c r="E4555" s="144"/>
      <c r="F4555" s="373"/>
      <c r="I4555" s="70"/>
    </row>
    <row r="4556" spans="3:9" s="46" customFormat="1" x14ac:dyDescent="0.2">
      <c r="C4556" s="144"/>
      <c r="D4556" s="144"/>
      <c r="E4556" s="144"/>
      <c r="F4556" s="373"/>
      <c r="I4556" s="70"/>
    </row>
    <row r="4557" spans="3:9" s="46" customFormat="1" x14ac:dyDescent="0.2">
      <c r="C4557" s="144"/>
      <c r="D4557" s="144"/>
      <c r="E4557" s="144"/>
      <c r="F4557" s="373"/>
      <c r="I4557" s="70"/>
    </row>
    <row r="4558" spans="3:9" s="46" customFormat="1" x14ac:dyDescent="0.2">
      <c r="C4558" s="144"/>
      <c r="D4558" s="144"/>
      <c r="E4558" s="144"/>
      <c r="F4558" s="373"/>
      <c r="I4558" s="70"/>
    </row>
    <row r="4559" spans="3:9" s="46" customFormat="1" x14ac:dyDescent="0.2">
      <c r="C4559" s="144"/>
      <c r="D4559" s="144"/>
      <c r="E4559" s="144"/>
      <c r="F4559" s="373"/>
      <c r="I4559" s="70"/>
    </row>
    <row r="4560" spans="3:9" s="46" customFormat="1" x14ac:dyDescent="0.2">
      <c r="C4560" s="144"/>
      <c r="D4560" s="144"/>
      <c r="E4560" s="144"/>
      <c r="F4560" s="373"/>
      <c r="I4560" s="70"/>
    </row>
    <row r="4561" spans="3:9" s="46" customFormat="1" x14ac:dyDescent="0.2">
      <c r="C4561" s="144"/>
      <c r="D4561" s="144"/>
      <c r="E4561" s="144"/>
      <c r="F4561" s="373"/>
      <c r="I4561" s="70"/>
    </row>
    <row r="4562" spans="3:9" s="46" customFormat="1" x14ac:dyDescent="0.2">
      <c r="C4562" s="144"/>
      <c r="D4562" s="144"/>
      <c r="E4562" s="144"/>
      <c r="F4562" s="373"/>
      <c r="I4562" s="70"/>
    </row>
    <row r="4563" spans="3:9" s="46" customFormat="1" x14ac:dyDescent="0.2">
      <c r="C4563" s="144"/>
      <c r="D4563" s="144"/>
      <c r="E4563" s="144"/>
      <c r="F4563" s="373"/>
      <c r="I4563" s="70"/>
    </row>
    <row r="4564" spans="3:9" s="46" customFormat="1" x14ac:dyDescent="0.2">
      <c r="C4564" s="144"/>
      <c r="D4564" s="144"/>
      <c r="E4564" s="144"/>
      <c r="F4564" s="373"/>
      <c r="I4564" s="70"/>
    </row>
    <row r="4565" spans="3:9" s="46" customFormat="1" x14ac:dyDescent="0.2">
      <c r="C4565" s="144"/>
      <c r="D4565" s="144"/>
      <c r="E4565" s="144"/>
      <c r="F4565" s="373"/>
      <c r="I4565" s="70"/>
    </row>
    <row r="4566" spans="3:9" s="46" customFormat="1" x14ac:dyDescent="0.2">
      <c r="C4566" s="144"/>
      <c r="D4566" s="144"/>
      <c r="E4566" s="144"/>
      <c r="F4566" s="373"/>
      <c r="I4566" s="70"/>
    </row>
    <row r="4567" spans="3:9" s="46" customFormat="1" x14ac:dyDescent="0.2">
      <c r="C4567" s="144"/>
      <c r="D4567" s="144"/>
      <c r="E4567" s="144"/>
      <c r="F4567" s="373"/>
      <c r="I4567" s="70"/>
    </row>
    <row r="4568" spans="3:9" s="46" customFormat="1" x14ac:dyDescent="0.2">
      <c r="C4568" s="144"/>
      <c r="D4568" s="144"/>
      <c r="E4568" s="144"/>
      <c r="F4568" s="373"/>
      <c r="I4568" s="70"/>
    </row>
    <row r="4569" spans="3:9" s="46" customFormat="1" x14ac:dyDescent="0.2">
      <c r="C4569" s="144"/>
      <c r="D4569" s="144"/>
      <c r="E4569" s="144"/>
      <c r="F4569" s="373"/>
      <c r="I4569" s="70"/>
    </row>
    <row r="4570" spans="3:9" s="46" customFormat="1" x14ac:dyDescent="0.2">
      <c r="C4570" s="144"/>
      <c r="D4570" s="144"/>
      <c r="E4570" s="144"/>
      <c r="F4570" s="373"/>
      <c r="I4570" s="70"/>
    </row>
    <row r="4571" spans="3:9" s="46" customFormat="1" x14ac:dyDescent="0.2">
      <c r="C4571" s="144"/>
      <c r="D4571" s="144"/>
      <c r="E4571" s="144"/>
      <c r="F4571" s="373"/>
      <c r="I4571" s="70"/>
    </row>
    <row r="4572" spans="3:9" s="46" customFormat="1" x14ac:dyDescent="0.2">
      <c r="C4572" s="144"/>
      <c r="D4572" s="144"/>
      <c r="E4572" s="144"/>
      <c r="F4572" s="373"/>
      <c r="I4572" s="70"/>
    </row>
    <row r="4573" spans="3:9" s="46" customFormat="1" x14ac:dyDescent="0.2">
      <c r="C4573" s="144"/>
      <c r="D4573" s="144"/>
      <c r="E4573" s="144"/>
      <c r="F4573" s="373"/>
      <c r="I4573" s="70"/>
    </row>
    <row r="4574" spans="3:9" s="46" customFormat="1" x14ac:dyDescent="0.2">
      <c r="C4574" s="144"/>
      <c r="D4574" s="144"/>
      <c r="E4574" s="144"/>
      <c r="F4574" s="373"/>
      <c r="I4574" s="70"/>
    </row>
    <row r="4575" spans="3:9" s="46" customFormat="1" x14ac:dyDescent="0.2">
      <c r="C4575" s="144"/>
      <c r="D4575" s="144"/>
      <c r="E4575" s="144"/>
      <c r="F4575" s="373"/>
      <c r="I4575" s="70"/>
    </row>
    <row r="4576" spans="3:9" s="46" customFormat="1" x14ac:dyDescent="0.2">
      <c r="C4576" s="144"/>
      <c r="D4576" s="144"/>
      <c r="E4576" s="144"/>
      <c r="F4576" s="373"/>
      <c r="I4576" s="70"/>
    </row>
    <row r="4577" spans="3:9" s="46" customFormat="1" x14ac:dyDescent="0.2">
      <c r="C4577" s="144"/>
      <c r="D4577" s="144"/>
      <c r="E4577" s="144"/>
      <c r="F4577" s="373"/>
      <c r="I4577" s="70"/>
    </row>
    <row r="4578" spans="3:9" s="46" customFormat="1" x14ac:dyDescent="0.2">
      <c r="C4578" s="144"/>
      <c r="D4578" s="144"/>
      <c r="E4578" s="144"/>
      <c r="F4578" s="373"/>
      <c r="I4578" s="70"/>
    </row>
    <row r="4579" spans="3:9" s="46" customFormat="1" x14ac:dyDescent="0.2">
      <c r="C4579" s="144"/>
      <c r="D4579" s="144"/>
      <c r="E4579" s="144"/>
      <c r="F4579" s="373"/>
      <c r="I4579" s="70"/>
    </row>
    <row r="4580" spans="3:9" s="46" customFormat="1" x14ac:dyDescent="0.2">
      <c r="C4580" s="144"/>
      <c r="D4580" s="144"/>
      <c r="E4580" s="144"/>
      <c r="F4580" s="373"/>
      <c r="I4580" s="70"/>
    </row>
    <row r="4581" spans="3:9" s="46" customFormat="1" x14ac:dyDescent="0.2">
      <c r="C4581" s="144"/>
      <c r="D4581" s="144"/>
      <c r="E4581" s="144"/>
      <c r="F4581" s="373"/>
      <c r="I4581" s="70"/>
    </row>
    <row r="4582" spans="3:9" s="46" customFormat="1" x14ac:dyDescent="0.2">
      <c r="C4582" s="144"/>
      <c r="D4582" s="144"/>
      <c r="E4582" s="144"/>
      <c r="F4582" s="373"/>
      <c r="I4582" s="70"/>
    </row>
    <row r="4583" spans="3:9" s="46" customFormat="1" x14ac:dyDescent="0.2">
      <c r="C4583" s="144"/>
      <c r="D4583" s="144"/>
      <c r="E4583" s="144"/>
      <c r="F4583" s="373"/>
      <c r="I4583" s="70"/>
    </row>
    <row r="4584" spans="3:9" s="46" customFormat="1" x14ac:dyDescent="0.2">
      <c r="C4584" s="144"/>
      <c r="D4584" s="144"/>
      <c r="E4584" s="144"/>
      <c r="F4584" s="373"/>
      <c r="I4584" s="70"/>
    </row>
    <row r="4585" spans="3:9" s="46" customFormat="1" x14ac:dyDescent="0.2">
      <c r="C4585" s="144"/>
      <c r="D4585" s="144"/>
      <c r="E4585" s="144"/>
      <c r="F4585" s="373"/>
      <c r="I4585" s="70"/>
    </row>
    <row r="4586" spans="3:9" s="46" customFormat="1" x14ac:dyDescent="0.2">
      <c r="C4586" s="144"/>
      <c r="D4586" s="144"/>
      <c r="E4586" s="144"/>
      <c r="F4586" s="373"/>
      <c r="I4586" s="70"/>
    </row>
    <row r="4587" spans="3:9" s="46" customFormat="1" x14ac:dyDescent="0.2">
      <c r="C4587" s="144"/>
      <c r="D4587" s="144"/>
      <c r="E4587" s="144"/>
      <c r="F4587" s="373"/>
      <c r="I4587" s="70"/>
    </row>
    <row r="4588" spans="3:9" s="46" customFormat="1" x14ac:dyDescent="0.2">
      <c r="C4588" s="144"/>
      <c r="D4588" s="144"/>
      <c r="E4588" s="144"/>
      <c r="F4588" s="373"/>
      <c r="I4588" s="70"/>
    </row>
    <row r="4589" spans="3:9" s="46" customFormat="1" x14ac:dyDescent="0.2">
      <c r="C4589" s="144"/>
      <c r="D4589" s="144"/>
      <c r="E4589" s="144"/>
      <c r="F4589" s="373"/>
      <c r="I4589" s="70"/>
    </row>
    <row r="4590" spans="3:9" s="46" customFormat="1" x14ac:dyDescent="0.2">
      <c r="C4590" s="144"/>
      <c r="D4590" s="144"/>
      <c r="E4590" s="144"/>
      <c r="F4590" s="373"/>
      <c r="I4590" s="70"/>
    </row>
    <row r="4591" spans="3:9" s="46" customFormat="1" x14ac:dyDescent="0.2">
      <c r="C4591" s="144"/>
      <c r="D4591" s="144"/>
      <c r="E4591" s="144"/>
      <c r="F4591" s="373"/>
      <c r="I4591" s="70"/>
    </row>
    <row r="4592" spans="3:9" s="46" customFormat="1" x14ac:dyDescent="0.2">
      <c r="C4592" s="144"/>
      <c r="D4592" s="144"/>
      <c r="E4592" s="144"/>
      <c r="F4592" s="373"/>
      <c r="I4592" s="70"/>
    </row>
    <row r="4593" spans="3:9" s="46" customFormat="1" x14ac:dyDescent="0.2">
      <c r="C4593" s="144"/>
      <c r="D4593" s="144"/>
      <c r="E4593" s="144"/>
      <c r="F4593" s="373"/>
      <c r="I4593" s="70"/>
    </row>
    <row r="4594" spans="3:9" s="46" customFormat="1" x14ac:dyDescent="0.2">
      <c r="C4594" s="144"/>
      <c r="D4594" s="144"/>
      <c r="E4594" s="144"/>
      <c r="F4594" s="373"/>
      <c r="I4594" s="70"/>
    </row>
    <row r="4595" spans="3:9" s="46" customFormat="1" x14ac:dyDescent="0.2">
      <c r="C4595" s="144"/>
      <c r="D4595" s="144"/>
      <c r="E4595" s="144"/>
      <c r="F4595" s="373"/>
      <c r="I4595" s="70"/>
    </row>
    <row r="4596" spans="3:9" s="46" customFormat="1" x14ac:dyDescent="0.2">
      <c r="C4596" s="144"/>
      <c r="D4596" s="144"/>
      <c r="E4596" s="144"/>
      <c r="F4596" s="373"/>
      <c r="I4596" s="70"/>
    </row>
    <row r="4597" spans="3:9" s="46" customFormat="1" x14ac:dyDescent="0.2">
      <c r="C4597" s="144"/>
      <c r="D4597" s="144"/>
      <c r="E4597" s="144"/>
      <c r="F4597" s="373"/>
      <c r="I4597" s="70"/>
    </row>
    <row r="4598" spans="3:9" s="46" customFormat="1" x14ac:dyDescent="0.2">
      <c r="C4598" s="144"/>
      <c r="D4598" s="144"/>
      <c r="E4598" s="144"/>
      <c r="F4598" s="373"/>
      <c r="I4598" s="70"/>
    </row>
    <row r="4599" spans="3:9" s="46" customFormat="1" x14ac:dyDescent="0.2">
      <c r="C4599" s="144"/>
      <c r="D4599" s="144"/>
      <c r="E4599" s="144"/>
      <c r="F4599" s="373"/>
      <c r="I4599" s="70"/>
    </row>
    <row r="4600" spans="3:9" s="46" customFormat="1" x14ac:dyDescent="0.2">
      <c r="C4600" s="144"/>
      <c r="D4600" s="144"/>
      <c r="E4600" s="144"/>
      <c r="F4600" s="373"/>
      <c r="I4600" s="70"/>
    </row>
    <row r="4601" spans="3:9" s="46" customFormat="1" x14ac:dyDescent="0.2">
      <c r="C4601" s="144"/>
      <c r="D4601" s="144"/>
      <c r="E4601" s="144"/>
      <c r="F4601" s="373"/>
      <c r="I4601" s="70"/>
    </row>
    <row r="4602" spans="3:9" s="46" customFormat="1" x14ac:dyDescent="0.2">
      <c r="C4602" s="144"/>
      <c r="D4602" s="144"/>
      <c r="E4602" s="144"/>
      <c r="F4602" s="373"/>
      <c r="I4602" s="70"/>
    </row>
    <row r="4603" spans="3:9" s="46" customFormat="1" x14ac:dyDescent="0.2">
      <c r="C4603" s="144"/>
      <c r="D4603" s="144"/>
      <c r="E4603" s="144"/>
      <c r="F4603" s="373"/>
      <c r="I4603" s="70"/>
    </row>
    <row r="4604" spans="3:9" s="46" customFormat="1" x14ac:dyDescent="0.2">
      <c r="C4604" s="144"/>
      <c r="D4604" s="144"/>
      <c r="E4604" s="144"/>
      <c r="F4604" s="373"/>
      <c r="I4604" s="70"/>
    </row>
    <row r="4605" spans="3:9" s="46" customFormat="1" x14ac:dyDescent="0.2">
      <c r="C4605" s="144"/>
      <c r="D4605" s="144"/>
      <c r="E4605" s="144"/>
      <c r="F4605" s="373"/>
      <c r="I4605" s="70"/>
    </row>
    <row r="4606" spans="3:9" s="46" customFormat="1" x14ac:dyDescent="0.2">
      <c r="C4606" s="144"/>
      <c r="D4606" s="144"/>
      <c r="E4606" s="144"/>
      <c r="F4606" s="373"/>
      <c r="I4606" s="70"/>
    </row>
    <row r="4607" spans="3:9" s="46" customFormat="1" x14ac:dyDescent="0.2">
      <c r="C4607" s="144"/>
      <c r="D4607" s="144"/>
      <c r="E4607" s="144"/>
      <c r="F4607" s="373"/>
      <c r="I4607" s="70"/>
    </row>
    <row r="4608" spans="3:9" s="46" customFormat="1" x14ac:dyDescent="0.2">
      <c r="C4608" s="144"/>
      <c r="D4608" s="144"/>
      <c r="E4608" s="144"/>
      <c r="F4608" s="373"/>
      <c r="I4608" s="70"/>
    </row>
    <row r="4609" spans="3:9" s="46" customFormat="1" x14ac:dyDescent="0.2">
      <c r="C4609" s="144"/>
      <c r="D4609" s="144"/>
      <c r="E4609" s="144"/>
      <c r="F4609" s="373"/>
      <c r="I4609" s="70"/>
    </row>
    <row r="4610" spans="3:9" s="46" customFormat="1" x14ac:dyDescent="0.2">
      <c r="C4610" s="144"/>
      <c r="D4610" s="144"/>
      <c r="E4610" s="144"/>
      <c r="F4610" s="373"/>
      <c r="I4610" s="70"/>
    </row>
    <row r="4611" spans="3:9" s="46" customFormat="1" x14ac:dyDescent="0.2">
      <c r="C4611" s="144"/>
      <c r="D4611" s="144"/>
      <c r="E4611" s="144"/>
      <c r="F4611" s="373"/>
      <c r="I4611" s="70"/>
    </row>
    <row r="4612" spans="3:9" s="46" customFormat="1" x14ac:dyDescent="0.2">
      <c r="C4612" s="144"/>
      <c r="D4612" s="144"/>
      <c r="E4612" s="144"/>
      <c r="F4612" s="373"/>
      <c r="I4612" s="70"/>
    </row>
    <row r="4613" spans="3:9" s="46" customFormat="1" x14ac:dyDescent="0.2">
      <c r="C4613" s="144"/>
      <c r="D4613" s="144"/>
      <c r="E4613" s="144"/>
      <c r="F4613" s="373"/>
      <c r="I4613" s="70"/>
    </row>
    <row r="4614" spans="3:9" s="46" customFormat="1" x14ac:dyDescent="0.2">
      <c r="C4614" s="144"/>
      <c r="D4614" s="144"/>
      <c r="E4614" s="144"/>
      <c r="F4614" s="373"/>
      <c r="I4614" s="70"/>
    </row>
    <row r="4615" spans="3:9" s="46" customFormat="1" x14ac:dyDescent="0.2">
      <c r="C4615" s="144"/>
      <c r="D4615" s="144"/>
      <c r="E4615" s="144"/>
      <c r="F4615" s="373"/>
      <c r="I4615" s="70"/>
    </row>
    <row r="4616" spans="3:9" s="46" customFormat="1" x14ac:dyDescent="0.2">
      <c r="C4616" s="144"/>
      <c r="D4616" s="144"/>
      <c r="E4616" s="144"/>
      <c r="F4616" s="373"/>
      <c r="I4616" s="70"/>
    </row>
    <row r="4617" spans="3:9" s="46" customFormat="1" x14ac:dyDescent="0.2">
      <c r="C4617" s="144"/>
      <c r="D4617" s="144"/>
      <c r="E4617" s="144"/>
      <c r="F4617" s="373"/>
      <c r="I4617" s="70"/>
    </row>
    <row r="4618" spans="3:9" s="46" customFormat="1" x14ac:dyDescent="0.2">
      <c r="C4618" s="144"/>
      <c r="D4618" s="144"/>
      <c r="E4618" s="144"/>
      <c r="F4618" s="373"/>
      <c r="I4618" s="70"/>
    </row>
    <row r="4619" spans="3:9" s="46" customFormat="1" x14ac:dyDescent="0.2">
      <c r="C4619" s="144"/>
      <c r="D4619" s="144"/>
      <c r="E4619" s="144"/>
      <c r="F4619" s="373"/>
      <c r="I4619" s="70"/>
    </row>
    <row r="4620" spans="3:9" s="46" customFormat="1" x14ac:dyDescent="0.2">
      <c r="C4620" s="144"/>
      <c r="D4620" s="144"/>
      <c r="E4620" s="144"/>
      <c r="F4620" s="373"/>
      <c r="I4620" s="70"/>
    </row>
    <row r="4621" spans="3:9" s="46" customFormat="1" x14ac:dyDescent="0.2">
      <c r="C4621" s="144"/>
      <c r="D4621" s="144"/>
      <c r="E4621" s="144"/>
      <c r="F4621" s="373"/>
      <c r="I4621" s="70"/>
    </row>
    <row r="4622" spans="3:9" s="46" customFormat="1" x14ac:dyDescent="0.2">
      <c r="C4622" s="144"/>
      <c r="D4622" s="144"/>
      <c r="E4622" s="144"/>
      <c r="F4622" s="373"/>
      <c r="I4622" s="70"/>
    </row>
    <row r="4623" spans="3:9" s="46" customFormat="1" x14ac:dyDescent="0.2">
      <c r="C4623" s="144"/>
      <c r="D4623" s="144"/>
      <c r="E4623" s="144"/>
      <c r="F4623" s="373"/>
      <c r="I4623" s="70"/>
    </row>
    <row r="4624" spans="3:9" s="46" customFormat="1" x14ac:dyDescent="0.2">
      <c r="C4624" s="144"/>
      <c r="D4624" s="144"/>
      <c r="E4624" s="144"/>
      <c r="F4624" s="373"/>
      <c r="I4624" s="70"/>
    </row>
    <row r="4625" spans="3:9" s="46" customFormat="1" x14ac:dyDescent="0.2">
      <c r="C4625" s="144"/>
      <c r="D4625" s="144"/>
      <c r="E4625" s="144"/>
      <c r="F4625" s="373"/>
      <c r="I4625" s="70"/>
    </row>
    <row r="4626" spans="3:9" s="46" customFormat="1" x14ac:dyDescent="0.2">
      <c r="C4626" s="144"/>
      <c r="D4626" s="144"/>
      <c r="E4626" s="144"/>
      <c r="F4626" s="373"/>
      <c r="I4626" s="70"/>
    </row>
    <row r="4627" spans="3:9" s="46" customFormat="1" x14ac:dyDescent="0.2">
      <c r="C4627" s="144"/>
      <c r="D4627" s="144"/>
      <c r="E4627" s="144"/>
      <c r="F4627" s="373"/>
      <c r="I4627" s="70"/>
    </row>
    <row r="4628" spans="3:9" s="46" customFormat="1" x14ac:dyDescent="0.2">
      <c r="C4628" s="144"/>
      <c r="D4628" s="144"/>
      <c r="E4628" s="144"/>
      <c r="F4628" s="373"/>
      <c r="I4628" s="70"/>
    </row>
    <row r="4629" spans="3:9" s="46" customFormat="1" x14ac:dyDescent="0.2">
      <c r="C4629" s="144"/>
      <c r="D4629" s="144"/>
      <c r="E4629" s="144"/>
      <c r="F4629" s="373"/>
      <c r="I4629" s="70"/>
    </row>
    <row r="4630" spans="3:9" s="46" customFormat="1" x14ac:dyDescent="0.2">
      <c r="C4630" s="144"/>
      <c r="D4630" s="144"/>
      <c r="E4630" s="144"/>
      <c r="F4630" s="373"/>
      <c r="I4630" s="70"/>
    </row>
    <row r="4631" spans="3:9" s="46" customFormat="1" x14ac:dyDescent="0.2">
      <c r="C4631" s="144"/>
      <c r="D4631" s="144"/>
      <c r="E4631" s="144"/>
      <c r="F4631" s="373"/>
      <c r="I4631" s="70"/>
    </row>
    <row r="4632" spans="3:9" s="46" customFormat="1" x14ac:dyDescent="0.2">
      <c r="C4632" s="144"/>
      <c r="D4632" s="144"/>
      <c r="E4632" s="144"/>
      <c r="F4632" s="373"/>
      <c r="I4632" s="70"/>
    </row>
    <row r="4633" spans="3:9" s="46" customFormat="1" x14ac:dyDescent="0.2">
      <c r="C4633" s="144"/>
      <c r="D4633" s="144"/>
      <c r="E4633" s="144"/>
      <c r="F4633" s="373"/>
      <c r="I4633" s="70"/>
    </row>
    <row r="4634" spans="3:9" s="46" customFormat="1" x14ac:dyDescent="0.2">
      <c r="C4634" s="144"/>
      <c r="D4634" s="144"/>
      <c r="E4634" s="144"/>
      <c r="F4634" s="373"/>
      <c r="I4634" s="70"/>
    </row>
    <row r="4635" spans="3:9" s="46" customFormat="1" x14ac:dyDescent="0.2">
      <c r="C4635" s="144"/>
      <c r="D4635" s="144"/>
      <c r="E4635" s="144"/>
      <c r="F4635" s="373"/>
      <c r="I4635" s="70"/>
    </row>
    <row r="4636" spans="3:9" s="46" customFormat="1" x14ac:dyDescent="0.2">
      <c r="C4636" s="144"/>
      <c r="D4636" s="144"/>
      <c r="E4636" s="144"/>
      <c r="F4636" s="373"/>
      <c r="I4636" s="70"/>
    </row>
    <row r="4637" spans="3:9" s="46" customFormat="1" x14ac:dyDescent="0.2">
      <c r="C4637" s="144"/>
      <c r="D4637" s="144"/>
      <c r="E4637" s="144"/>
      <c r="F4637" s="373"/>
      <c r="I4637" s="70"/>
    </row>
    <row r="4638" spans="3:9" s="46" customFormat="1" x14ac:dyDescent="0.2">
      <c r="C4638" s="144"/>
      <c r="D4638" s="144"/>
      <c r="E4638" s="144"/>
      <c r="F4638" s="373"/>
      <c r="I4638" s="70"/>
    </row>
    <row r="4639" spans="3:9" s="46" customFormat="1" x14ac:dyDescent="0.2">
      <c r="C4639" s="144"/>
      <c r="D4639" s="144"/>
      <c r="E4639" s="144"/>
      <c r="F4639" s="373"/>
      <c r="I4639" s="70"/>
    </row>
    <row r="4640" spans="3:9" s="46" customFormat="1" x14ac:dyDescent="0.2">
      <c r="C4640" s="144"/>
      <c r="D4640" s="144"/>
      <c r="E4640" s="144"/>
      <c r="F4640" s="373"/>
      <c r="I4640" s="70"/>
    </row>
    <row r="4641" spans="3:9" s="46" customFormat="1" x14ac:dyDescent="0.2">
      <c r="C4641" s="144"/>
      <c r="D4641" s="144"/>
      <c r="E4641" s="144"/>
      <c r="F4641" s="373"/>
      <c r="I4641" s="70"/>
    </row>
    <row r="4642" spans="3:9" s="46" customFormat="1" x14ac:dyDescent="0.2">
      <c r="C4642" s="144"/>
      <c r="D4642" s="144"/>
      <c r="E4642" s="144"/>
      <c r="F4642" s="373"/>
      <c r="I4642" s="70"/>
    </row>
    <row r="4643" spans="3:9" s="46" customFormat="1" x14ac:dyDescent="0.2">
      <c r="C4643" s="144"/>
      <c r="D4643" s="144"/>
      <c r="E4643" s="144"/>
      <c r="F4643" s="373"/>
      <c r="I4643" s="70"/>
    </row>
    <row r="4644" spans="3:9" s="46" customFormat="1" x14ac:dyDescent="0.2">
      <c r="C4644" s="144"/>
      <c r="D4644" s="144"/>
      <c r="E4644" s="144"/>
      <c r="F4644" s="373"/>
      <c r="I4644" s="70"/>
    </row>
    <row r="4645" spans="3:9" s="46" customFormat="1" x14ac:dyDescent="0.2">
      <c r="C4645" s="144"/>
      <c r="D4645" s="144"/>
      <c r="E4645" s="144"/>
      <c r="F4645" s="373"/>
      <c r="I4645" s="70"/>
    </row>
    <row r="4646" spans="3:9" s="46" customFormat="1" x14ac:dyDescent="0.2">
      <c r="C4646" s="144"/>
      <c r="D4646" s="144"/>
      <c r="E4646" s="144"/>
      <c r="F4646" s="373"/>
      <c r="I4646" s="70"/>
    </row>
    <row r="4647" spans="3:9" s="46" customFormat="1" x14ac:dyDescent="0.2">
      <c r="C4647" s="144"/>
      <c r="D4647" s="144"/>
      <c r="E4647" s="144"/>
      <c r="F4647" s="373"/>
      <c r="I4647" s="70"/>
    </row>
    <row r="4648" spans="3:9" s="46" customFormat="1" x14ac:dyDescent="0.2">
      <c r="C4648" s="144"/>
      <c r="D4648" s="144"/>
      <c r="E4648" s="144"/>
      <c r="F4648" s="373"/>
      <c r="I4648" s="70"/>
    </row>
    <row r="4649" spans="3:9" s="46" customFormat="1" x14ac:dyDescent="0.2">
      <c r="C4649" s="144"/>
      <c r="D4649" s="144"/>
      <c r="E4649" s="144"/>
      <c r="F4649" s="373"/>
      <c r="I4649" s="70"/>
    </row>
    <row r="4650" spans="3:9" s="46" customFormat="1" x14ac:dyDescent="0.2">
      <c r="C4650" s="144"/>
      <c r="D4650" s="144"/>
      <c r="E4650" s="144"/>
      <c r="F4650" s="373"/>
      <c r="I4650" s="70"/>
    </row>
    <row r="4651" spans="3:9" s="46" customFormat="1" x14ac:dyDescent="0.2">
      <c r="C4651" s="144"/>
      <c r="D4651" s="144"/>
      <c r="E4651" s="144"/>
      <c r="F4651" s="373"/>
      <c r="I4651" s="70"/>
    </row>
    <row r="4652" spans="3:9" s="46" customFormat="1" x14ac:dyDescent="0.2">
      <c r="C4652" s="144"/>
      <c r="D4652" s="144"/>
      <c r="E4652" s="144"/>
      <c r="F4652" s="373"/>
      <c r="I4652" s="70"/>
    </row>
    <row r="4653" spans="3:9" s="46" customFormat="1" x14ac:dyDescent="0.2">
      <c r="C4653" s="144"/>
      <c r="D4653" s="144"/>
      <c r="E4653" s="144"/>
      <c r="F4653" s="373"/>
      <c r="I4653" s="70"/>
    </row>
    <row r="4654" spans="3:9" s="46" customFormat="1" x14ac:dyDescent="0.2">
      <c r="C4654" s="144"/>
      <c r="D4654" s="144"/>
      <c r="E4654" s="144"/>
      <c r="F4654" s="373"/>
      <c r="I4654" s="70"/>
    </row>
    <row r="4655" spans="3:9" s="46" customFormat="1" x14ac:dyDescent="0.2">
      <c r="C4655" s="144"/>
      <c r="D4655" s="144"/>
      <c r="E4655" s="144"/>
      <c r="F4655" s="373"/>
      <c r="I4655" s="70"/>
    </row>
    <row r="4656" spans="3:9" s="46" customFormat="1" x14ac:dyDescent="0.2">
      <c r="C4656" s="144"/>
      <c r="D4656" s="144"/>
      <c r="E4656" s="144"/>
      <c r="F4656" s="373"/>
      <c r="I4656" s="70"/>
    </row>
    <row r="4657" spans="3:9" s="46" customFormat="1" x14ac:dyDescent="0.2">
      <c r="C4657" s="144"/>
      <c r="D4657" s="144"/>
      <c r="E4657" s="144"/>
      <c r="F4657" s="373"/>
      <c r="I4657" s="70"/>
    </row>
    <row r="4658" spans="3:9" s="46" customFormat="1" x14ac:dyDescent="0.2">
      <c r="C4658" s="144"/>
      <c r="D4658" s="144"/>
      <c r="E4658" s="144"/>
      <c r="F4658" s="373"/>
      <c r="I4658" s="70"/>
    </row>
    <row r="4659" spans="3:9" s="46" customFormat="1" x14ac:dyDescent="0.2">
      <c r="C4659" s="144"/>
      <c r="D4659" s="144"/>
      <c r="E4659" s="144"/>
      <c r="F4659" s="373"/>
      <c r="I4659" s="70"/>
    </row>
    <row r="4660" spans="3:9" s="46" customFormat="1" x14ac:dyDescent="0.2">
      <c r="C4660" s="144"/>
      <c r="D4660" s="144"/>
      <c r="E4660" s="144"/>
      <c r="F4660" s="373"/>
      <c r="I4660" s="70"/>
    </row>
    <row r="4661" spans="3:9" s="46" customFormat="1" x14ac:dyDescent="0.2">
      <c r="C4661" s="144"/>
      <c r="D4661" s="144"/>
      <c r="E4661" s="144"/>
      <c r="F4661" s="373"/>
      <c r="I4661" s="70"/>
    </row>
    <row r="4662" spans="3:9" s="46" customFormat="1" x14ac:dyDescent="0.2">
      <c r="C4662" s="144"/>
      <c r="D4662" s="144"/>
      <c r="E4662" s="144"/>
      <c r="F4662" s="373"/>
      <c r="I4662" s="70"/>
    </row>
    <row r="4663" spans="3:9" s="46" customFormat="1" x14ac:dyDescent="0.2">
      <c r="C4663" s="144"/>
      <c r="D4663" s="144"/>
      <c r="E4663" s="144"/>
      <c r="F4663" s="373"/>
      <c r="I4663" s="70"/>
    </row>
    <row r="4664" spans="3:9" s="46" customFormat="1" x14ac:dyDescent="0.2">
      <c r="C4664" s="144"/>
      <c r="D4664" s="144"/>
      <c r="E4664" s="144"/>
      <c r="F4664" s="373"/>
      <c r="I4664" s="70"/>
    </row>
    <row r="4665" spans="3:9" s="46" customFormat="1" x14ac:dyDescent="0.2">
      <c r="C4665" s="144"/>
      <c r="D4665" s="144"/>
      <c r="E4665" s="144"/>
      <c r="F4665" s="373"/>
      <c r="I4665" s="70"/>
    </row>
    <row r="4666" spans="3:9" s="46" customFormat="1" x14ac:dyDescent="0.2">
      <c r="C4666" s="144"/>
      <c r="D4666" s="144"/>
      <c r="E4666" s="144"/>
      <c r="F4666" s="373"/>
      <c r="I4666" s="70"/>
    </row>
    <row r="4667" spans="3:9" s="46" customFormat="1" x14ac:dyDescent="0.2">
      <c r="C4667" s="144"/>
      <c r="D4667" s="144"/>
      <c r="E4667" s="144"/>
      <c r="F4667" s="373"/>
      <c r="I4667" s="70"/>
    </row>
    <row r="4668" spans="3:9" s="46" customFormat="1" x14ac:dyDescent="0.2">
      <c r="C4668" s="144"/>
      <c r="D4668" s="144"/>
      <c r="E4668" s="144"/>
      <c r="F4668" s="373"/>
      <c r="I4668" s="70"/>
    </row>
    <row r="4669" spans="3:9" s="46" customFormat="1" x14ac:dyDescent="0.2">
      <c r="C4669" s="144"/>
      <c r="D4669" s="144"/>
      <c r="E4669" s="144"/>
      <c r="F4669" s="373"/>
      <c r="I4669" s="70"/>
    </row>
    <row r="4670" spans="3:9" s="46" customFormat="1" x14ac:dyDescent="0.2">
      <c r="C4670" s="144"/>
      <c r="D4670" s="144"/>
      <c r="E4670" s="144"/>
      <c r="F4670" s="373"/>
      <c r="I4670" s="70"/>
    </row>
    <row r="4671" spans="3:9" s="46" customFormat="1" x14ac:dyDescent="0.2">
      <c r="C4671" s="144"/>
      <c r="D4671" s="144"/>
      <c r="E4671" s="144"/>
      <c r="F4671" s="373"/>
      <c r="I4671" s="70"/>
    </row>
    <row r="4672" spans="3:9" s="46" customFormat="1" x14ac:dyDescent="0.2">
      <c r="C4672" s="144"/>
      <c r="D4672" s="144"/>
      <c r="E4672" s="144"/>
      <c r="F4672" s="373"/>
      <c r="I4672" s="70"/>
    </row>
    <row r="4673" spans="3:9" s="46" customFormat="1" x14ac:dyDescent="0.2">
      <c r="C4673" s="144"/>
      <c r="D4673" s="144"/>
      <c r="E4673" s="144"/>
      <c r="F4673" s="373"/>
      <c r="I4673" s="70"/>
    </row>
    <row r="4674" spans="3:9" s="46" customFormat="1" x14ac:dyDescent="0.2">
      <c r="C4674" s="144"/>
      <c r="D4674" s="144"/>
      <c r="E4674" s="144"/>
      <c r="F4674" s="373"/>
      <c r="I4674" s="70"/>
    </row>
    <row r="4675" spans="3:9" s="46" customFormat="1" x14ac:dyDescent="0.2">
      <c r="C4675" s="144"/>
      <c r="D4675" s="144"/>
      <c r="E4675" s="144"/>
      <c r="F4675" s="373"/>
      <c r="I4675" s="70"/>
    </row>
    <row r="4676" spans="3:9" s="46" customFormat="1" x14ac:dyDescent="0.2">
      <c r="C4676" s="144"/>
      <c r="D4676" s="144"/>
      <c r="E4676" s="144"/>
      <c r="F4676" s="373"/>
      <c r="I4676" s="70"/>
    </row>
    <row r="4677" spans="3:9" s="46" customFormat="1" x14ac:dyDescent="0.2">
      <c r="C4677" s="144"/>
      <c r="D4677" s="144"/>
      <c r="E4677" s="144"/>
      <c r="F4677" s="373"/>
      <c r="I4677" s="70"/>
    </row>
    <row r="4678" spans="3:9" s="46" customFormat="1" x14ac:dyDescent="0.2">
      <c r="C4678" s="144"/>
      <c r="D4678" s="144"/>
      <c r="E4678" s="144"/>
      <c r="F4678" s="373"/>
      <c r="I4678" s="70"/>
    </row>
    <row r="4679" spans="3:9" s="46" customFormat="1" x14ac:dyDescent="0.2">
      <c r="C4679" s="144"/>
      <c r="D4679" s="144"/>
      <c r="E4679" s="144"/>
      <c r="F4679" s="373"/>
      <c r="I4679" s="70"/>
    </row>
    <row r="4680" spans="3:9" s="46" customFormat="1" x14ac:dyDescent="0.2">
      <c r="C4680" s="144"/>
      <c r="D4680" s="144"/>
      <c r="E4680" s="144"/>
      <c r="F4680" s="373"/>
      <c r="I4680" s="70"/>
    </row>
    <row r="4681" spans="3:9" s="46" customFormat="1" x14ac:dyDescent="0.2">
      <c r="C4681" s="144"/>
      <c r="D4681" s="144"/>
      <c r="E4681" s="144"/>
      <c r="F4681" s="373"/>
      <c r="I4681" s="70"/>
    </row>
    <row r="4682" spans="3:9" s="46" customFormat="1" x14ac:dyDescent="0.2">
      <c r="C4682" s="144"/>
      <c r="D4682" s="144"/>
      <c r="E4682" s="144"/>
      <c r="F4682" s="373"/>
      <c r="I4682" s="70"/>
    </row>
    <row r="4683" spans="3:9" s="46" customFormat="1" x14ac:dyDescent="0.2">
      <c r="C4683" s="144"/>
      <c r="D4683" s="144"/>
      <c r="E4683" s="144"/>
      <c r="F4683" s="373"/>
      <c r="I4683" s="70"/>
    </row>
    <row r="4684" spans="3:9" s="46" customFormat="1" x14ac:dyDescent="0.2">
      <c r="C4684" s="144"/>
      <c r="D4684" s="144"/>
      <c r="E4684" s="144"/>
      <c r="F4684" s="373"/>
      <c r="I4684" s="70"/>
    </row>
    <row r="4685" spans="3:9" s="46" customFormat="1" x14ac:dyDescent="0.2">
      <c r="C4685" s="144"/>
      <c r="D4685" s="144"/>
      <c r="E4685" s="144"/>
      <c r="F4685" s="373"/>
      <c r="I4685" s="70"/>
    </row>
    <row r="4686" spans="3:9" s="46" customFormat="1" x14ac:dyDescent="0.2">
      <c r="C4686" s="144"/>
      <c r="D4686" s="144"/>
      <c r="E4686" s="144"/>
      <c r="F4686" s="373"/>
      <c r="I4686" s="70"/>
    </row>
    <row r="4687" spans="3:9" s="46" customFormat="1" x14ac:dyDescent="0.2">
      <c r="C4687" s="144"/>
      <c r="D4687" s="144"/>
      <c r="E4687" s="144"/>
      <c r="F4687" s="373"/>
      <c r="I4687" s="70"/>
    </row>
    <row r="4688" spans="3:9" s="46" customFormat="1" x14ac:dyDescent="0.2">
      <c r="C4688" s="144"/>
      <c r="D4688" s="144"/>
      <c r="E4688" s="144"/>
      <c r="F4688" s="373"/>
      <c r="I4688" s="70"/>
    </row>
    <row r="4689" spans="3:9" s="46" customFormat="1" x14ac:dyDescent="0.2">
      <c r="C4689" s="144"/>
      <c r="D4689" s="144"/>
      <c r="E4689" s="144"/>
      <c r="F4689" s="373"/>
      <c r="I4689" s="70"/>
    </row>
    <row r="4690" spans="3:9" s="46" customFormat="1" x14ac:dyDescent="0.2">
      <c r="C4690" s="144"/>
      <c r="D4690" s="144"/>
      <c r="E4690" s="144"/>
      <c r="F4690" s="373"/>
      <c r="I4690" s="70"/>
    </row>
    <row r="4691" spans="3:9" s="46" customFormat="1" x14ac:dyDescent="0.2">
      <c r="C4691" s="144"/>
      <c r="D4691" s="144"/>
      <c r="E4691" s="144"/>
      <c r="F4691" s="373"/>
      <c r="I4691" s="70"/>
    </row>
    <row r="4692" spans="3:9" s="46" customFormat="1" x14ac:dyDescent="0.2">
      <c r="C4692" s="144"/>
      <c r="D4692" s="144"/>
      <c r="E4692" s="144"/>
      <c r="F4692" s="373"/>
      <c r="I4692" s="70"/>
    </row>
    <row r="4693" spans="3:9" s="46" customFormat="1" x14ac:dyDescent="0.2">
      <c r="C4693" s="144"/>
      <c r="D4693" s="144"/>
      <c r="E4693" s="144"/>
      <c r="F4693" s="373"/>
      <c r="I4693" s="70"/>
    </row>
    <row r="4694" spans="3:9" s="46" customFormat="1" x14ac:dyDescent="0.2">
      <c r="C4694" s="144"/>
      <c r="D4694" s="144"/>
      <c r="E4694" s="144"/>
      <c r="F4694" s="373"/>
      <c r="I4694" s="70"/>
    </row>
    <row r="4695" spans="3:9" s="46" customFormat="1" x14ac:dyDescent="0.2">
      <c r="C4695" s="144"/>
      <c r="D4695" s="144"/>
      <c r="E4695" s="144"/>
      <c r="F4695" s="373"/>
      <c r="I4695" s="70"/>
    </row>
    <row r="4696" spans="3:9" s="46" customFormat="1" x14ac:dyDescent="0.2">
      <c r="C4696" s="144"/>
      <c r="D4696" s="144"/>
      <c r="E4696" s="144"/>
      <c r="F4696" s="373"/>
      <c r="I4696" s="70"/>
    </row>
    <row r="4697" spans="3:9" s="46" customFormat="1" x14ac:dyDescent="0.2">
      <c r="C4697" s="144"/>
      <c r="D4697" s="144"/>
      <c r="E4697" s="144"/>
      <c r="F4697" s="373"/>
      <c r="I4697" s="70"/>
    </row>
    <row r="4698" spans="3:9" s="46" customFormat="1" x14ac:dyDescent="0.2">
      <c r="C4698" s="144"/>
      <c r="D4698" s="144"/>
      <c r="E4698" s="144"/>
      <c r="F4698" s="373"/>
      <c r="I4698" s="70"/>
    </row>
    <row r="4699" spans="3:9" s="46" customFormat="1" x14ac:dyDescent="0.2">
      <c r="C4699" s="144"/>
      <c r="D4699" s="144"/>
      <c r="E4699" s="144"/>
      <c r="F4699" s="373"/>
      <c r="I4699" s="70"/>
    </row>
    <row r="4700" spans="3:9" s="46" customFormat="1" x14ac:dyDescent="0.2">
      <c r="C4700" s="144"/>
      <c r="D4700" s="144"/>
      <c r="E4700" s="144"/>
      <c r="F4700" s="373"/>
      <c r="I4700" s="70"/>
    </row>
    <row r="4701" spans="3:9" s="46" customFormat="1" x14ac:dyDescent="0.2">
      <c r="C4701" s="144"/>
      <c r="D4701" s="144"/>
      <c r="E4701" s="144"/>
      <c r="F4701" s="373"/>
      <c r="I4701" s="70"/>
    </row>
    <row r="4702" spans="3:9" s="46" customFormat="1" x14ac:dyDescent="0.2">
      <c r="C4702" s="144"/>
      <c r="D4702" s="144"/>
      <c r="E4702" s="144"/>
      <c r="F4702" s="373"/>
      <c r="I4702" s="70"/>
    </row>
    <row r="4703" spans="3:9" s="46" customFormat="1" x14ac:dyDescent="0.2">
      <c r="C4703" s="144"/>
      <c r="D4703" s="144"/>
      <c r="E4703" s="144"/>
      <c r="F4703" s="373"/>
      <c r="I4703" s="70"/>
    </row>
    <row r="4704" spans="3:9" s="46" customFormat="1" x14ac:dyDescent="0.2">
      <c r="C4704" s="144"/>
      <c r="D4704" s="144"/>
      <c r="E4704" s="144"/>
      <c r="F4704" s="373"/>
      <c r="I4704" s="70"/>
    </row>
    <row r="4705" spans="3:9" s="46" customFormat="1" x14ac:dyDescent="0.2">
      <c r="C4705" s="144"/>
      <c r="D4705" s="144"/>
      <c r="E4705" s="144"/>
      <c r="F4705" s="373"/>
      <c r="I4705" s="70"/>
    </row>
    <row r="4706" spans="3:9" s="46" customFormat="1" x14ac:dyDescent="0.2">
      <c r="C4706" s="144"/>
      <c r="D4706" s="144"/>
      <c r="E4706" s="144"/>
      <c r="F4706" s="373"/>
      <c r="I4706" s="70"/>
    </row>
    <row r="4707" spans="3:9" s="46" customFormat="1" x14ac:dyDescent="0.2">
      <c r="C4707" s="144"/>
      <c r="D4707" s="144"/>
      <c r="E4707" s="144"/>
      <c r="F4707" s="373"/>
      <c r="I4707" s="70"/>
    </row>
    <row r="4708" spans="3:9" s="46" customFormat="1" x14ac:dyDescent="0.2">
      <c r="C4708" s="144"/>
      <c r="D4708" s="144"/>
      <c r="E4708" s="144"/>
      <c r="F4708" s="373"/>
      <c r="I4708" s="70"/>
    </row>
    <row r="4709" spans="3:9" s="46" customFormat="1" x14ac:dyDescent="0.2">
      <c r="C4709" s="144"/>
      <c r="D4709" s="144"/>
      <c r="E4709" s="144"/>
      <c r="F4709" s="373"/>
      <c r="I4709" s="70"/>
    </row>
    <row r="4710" spans="3:9" s="46" customFormat="1" x14ac:dyDescent="0.2">
      <c r="C4710" s="144"/>
      <c r="D4710" s="144"/>
      <c r="E4710" s="144"/>
      <c r="F4710" s="373"/>
      <c r="I4710" s="70"/>
    </row>
    <row r="4711" spans="3:9" s="46" customFormat="1" x14ac:dyDescent="0.2">
      <c r="C4711" s="144"/>
      <c r="D4711" s="144"/>
      <c r="E4711" s="144"/>
      <c r="F4711" s="373"/>
      <c r="I4711" s="70"/>
    </row>
    <row r="4712" spans="3:9" s="46" customFormat="1" x14ac:dyDescent="0.2">
      <c r="C4712" s="144"/>
      <c r="D4712" s="144"/>
      <c r="E4712" s="144"/>
      <c r="F4712" s="373"/>
      <c r="I4712" s="70"/>
    </row>
    <row r="4713" spans="3:9" s="46" customFormat="1" x14ac:dyDescent="0.2">
      <c r="C4713" s="144"/>
      <c r="D4713" s="144"/>
      <c r="E4713" s="144"/>
      <c r="F4713" s="373"/>
      <c r="I4713" s="70"/>
    </row>
    <row r="4714" spans="3:9" s="46" customFormat="1" x14ac:dyDescent="0.2">
      <c r="C4714" s="144"/>
      <c r="D4714" s="144"/>
      <c r="E4714" s="144"/>
      <c r="F4714" s="373"/>
      <c r="I4714" s="70"/>
    </row>
    <row r="4715" spans="3:9" s="46" customFormat="1" x14ac:dyDescent="0.2">
      <c r="C4715" s="144"/>
      <c r="D4715" s="144"/>
      <c r="E4715" s="144"/>
      <c r="F4715" s="373"/>
      <c r="I4715" s="70"/>
    </row>
    <row r="4716" spans="3:9" s="46" customFormat="1" x14ac:dyDescent="0.2">
      <c r="C4716" s="144"/>
      <c r="D4716" s="144"/>
      <c r="E4716" s="144"/>
      <c r="F4716" s="373"/>
      <c r="I4716" s="70"/>
    </row>
    <row r="4717" spans="3:9" s="46" customFormat="1" x14ac:dyDescent="0.2">
      <c r="C4717" s="144"/>
      <c r="D4717" s="144"/>
      <c r="E4717" s="144"/>
      <c r="F4717" s="373"/>
      <c r="I4717" s="70"/>
    </row>
    <row r="4718" spans="3:9" s="46" customFormat="1" x14ac:dyDescent="0.2">
      <c r="C4718" s="144"/>
      <c r="D4718" s="144"/>
      <c r="E4718" s="144"/>
      <c r="F4718" s="373"/>
      <c r="I4718" s="70"/>
    </row>
    <row r="4719" spans="3:9" s="46" customFormat="1" x14ac:dyDescent="0.2">
      <c r="C4719" s="144"/>
      <c r="D4719" s="144"/>
      <c r="E4719" s="144"/>
      <c r="F4719" s="373"/>
      <c r="I4719" s="70"/>
    </row>
    <row r="4720" spans="3:9" s="46" customFormat="1" x14ac:dyDescent="0.2">
      <c r="C4720" s="144"/>
      <c r="D4720" s="144"/>
      <c r="E4720" s="144"/>
      <c r="F4720" s="373"/>
      <c r="I4720" s="70"/>
    </row>
    <row r="4721" spans="3:9" s="46" customFormat="1" x14ac:dyDescent="0.2">
      <c r="C4721" s="144"/>
      <c r="D4721" s="144"/>
      <c r="E4721" s="144"/>
      <c r="F4721" s="373"/>
      <c r="I4721" s="70"/>
    </row>
    <row r="4722" spans="3:9" s="46" customFormat="1" x14ac:dyDescent="0.2">
      <c r="C4722" s="144"/>
      <c r="D4722" s="144"/>
      <c r="E4722" s="144"/>
      <c r="F4722" s="373"/>
      <c r="I4722" s="70"/>
    </row>
    <row r="4723" spans="3:9" s="46" customFormat="1" x14ac:dyDescent="0.2">
      <c r="C4723" s="144"/>
      <c r="D4723" s="144"/>
      <c r="E4723" s="144"/>
      <c r="F4723" s="373"/>
      <c r="I4723" s="70"/>
    </row>
    <row r="4724" spans="3:9" s="46" customFormat="1" x14ac:dyDescent="0.2">
      <c r="C4724" s="144"/>
      <c r="D4724" s="144"/>
      <c r="E4724" s="144"/>
      <c r="F4724" s="373"/>
      <c r="I4724" s="70"/>
    </row>
    <row r="4725" spans="3:9" s="46" customFormat="1" x14ac:dyDescent="0.2">
      <c r="C4725" s="144"/>
      <c r="D4725" s="144"/>
      <c r="E4725" s="144"/>
      <c r="F4725" s="373"/>
      <c r="I4725" s="70"/>
    </row>
    <row r="4726" spans="3:9" s="46" customFormat="1" x14ac:dyDescent="0.2">
      <c r="C4726" s="144"/>
      <c r="D4726" s="144"/>
      <c r="E4726" s="144"/>
      <c r="F4726" s="373"/>
      <c r="I4726" s="70"/>
    </row>
    <row r="4727" spans="3:9" s="46" customFormat="1" x14ac:dyDescent="0.2">
      <c r="C4727" s="144"/>
      <c r="D4727" s="144"/>
      <c r="E4727" s="144"/>
      <c r="F4727" s="373"/>
      <c r="I4727" s="70"/>
    </row>
    <row r="4728" spans="3:9" s="46" customFormat="1" x14ac:dyDescent="0.2">
      <c r="C4728" s="144"/>
      <c r="D4728" s="144"/>
      <c r="E4728" s="144"/>
      <c r="F4728" s="373"/>
      <c r="I4728" s="70"/>
    </row>
    <row r="4729" spans="3:9" s="46" customFormat="1" x14ac:dyDescent="0.2">
      <c r="C4729" s="144"/>
      <c r="D4729" s="144"/>
      <c r="E4729" s="144"/>
      <c r="F4729" s="373"/>
      <c r="I4729" s="70"/>
    </row>
    <row r="4730" spans="3:9" s="46" customFormat="1" x14ac:dyDescent="0.2">
      <c r="C4730" s="144"/>
      <c r="D4730" s="144"/>
      <c r="E4730" s="144"/>
      <c r="F4730" s="373"/>
      <c r="I4730" s="70"/>
    </row>
    <row r="4731" spans="3:9" s="46" customFormat="1" x14ac:dyDescent="0.2">
      <c r="C4731" s="144"/>
      <c r="D4731" s="144"/>
      <c r="E4731" s="144"/>
      <c r="F4731" s="373"/>
      <c r="I4731" s="70"/>
    </row>
    <row r="4732" spans="3:9" s="46" customFormat="1" x14ac:dyDescent="0.2">
      <c r="C4732" s="144"/>
      <c r="D4732" s="144"/>
      <c r="E4732" s="144"/>
      <c r="F4732" s="373"/>
      <c r="I4732" s="70"/>
    </row>
    <row r="4733" spans="3:9" s="46" customFormat="1" x14ac:dyDescent="0.2">
      <c r="C4733" s="144"/>
      <c r="D4733" s="144"/>
      <c r="E4733" s="144"/>
      <c r="F4733" s="373"/>
      <c r="I4733" s="70"/>
    </row>
    <row r="4734" spans="3:9" s="46" customFormat="1" x14ac:dyDescent="0.2">
      <c r="C4734" s="144"/>
      <c r="D4734" s="144"/>
      <c r="E4734" s="144"/>
      <c r="F4734" s="373"/>
      <c r="I4734" s="70"/>
    </row>
    <row r="4735" spans="3:9" s="46" customFormat="1" x14ac:dyDescent="0.2">
      <c r="C4735" s="144"/>
      <c r="D4735" s="144"/>
      <c r="E4735" s="144"/>
      <c r="F4735" s="373"/>
      <c r="I4735" s="70"/>
    </row>
    <row r="4736" spans="3:9" s="46" customFormat="1" x14ac:dyDescent="0.2">
      <c r="C4736" s="144"/>
      <c r="D4736" s="144"/>
      <c r="E4736" s="144"/>
      <c r="F4736" s="373"/>
      <c r="I4736" s="70"/>
    </row>
    <row r="4737" spans="3:9" s="46" customFormat="1" x14ac:dyDescent="0.2">
      <c r="C4737" s="144"/>
      <c r="D4737" s="144"/>
      <c r="E4737" s="144"/>
      <c r="F4737" s="373"/>
      <c r="I4737" s="70"/>
    </row>
    <row r="4738" spans="3:9" s="46" customFormat="1" x14ac:dyDescent="0.2">
      <c r="C4738" s="144"/>
      <c r="D4738" s="144"/>
      <c r="E4738" s="144"/>
      <c r="F4738" s="373"/>
      <c r="I4738" s="70"/>
    </row>
    <row r="4739" spans="3:9" s="46" customFormat="1" x14ac:dyDescent="0.2">
      <c r="C4739" s="144"/>
      <c r="D4739" s="144"/>
      <c r="E4739" s="144"/>
      <c r="F4739" s="373"/>
      <c r="I4739" s="70"/>
    </row>
    <row r="4740" spans="3:9" s="46" customFormat="1" x14ac:dyDescent="0.2">
      <c r="C4740" s="144"/>
      <c r="D4740" s="144"/>
      <c r="E4740" s="144"/>
      <c r="F4740" s="373"/>
      <c r="I4740" s="70"/>
    </row>
    <row r="4741" spans="3:9" s="46" customFormat="1" x14ac:dyDescent="0.2">
      <c r="C4741" s="144"/>
      <c r="D4741" s="144"/>
      <c r="E4741" s="144"/>
      <c r="F4741" s="373"/>
      <c r="I4741" s="70"/>
    </row>
    <row r="4742" spans="3:9" s="46" customFormat="1" x14ac:dyDescent="0.2">
      <c r="C4742" s="144"/>
      <c r="D4742" s="144"/>
      <c r="E4742" s="144"/>
      <c r="F4742" s="373"/>
      <c r="I4742" s="70"/>
    </row>
    <row r="4743" spans="3:9" s="46" customFormat="1" x14ac:dyDescent="0.2">
      <c r="C4743" s="144"/>
      <c r="D4743" s="144"/>
      <c r="E4743" s="144"/>
      <c r="F4743" s="373"/>
      <c r="I4743" s="70"/>
    </row>
    <row r="4744" spans="3:9" s="46" customFormat="1" x14ac:dyDescent="0.2">
      <c r="C4744" s="144"/>
      <c r="D4744" s="144"/>
      <c r="E4744" s="144"/>
      <c r="F4744" s="373"/>
      <c r="I4744" s="70"/>
    </row>
    <row r="4745" spans="3:9" s="46" customFormat="1" x14ac:dyDescent="0.2">
      <c r="C4745" s="144"/>
      <c r="D4745" s="144"/>
      <c r="E4745" s="144"/>
      <c r="F4745" s="373"/>
      <c r="I4745" s="70"/>
    </row>
    <row r="4746" spans="3:9" s="46" customFormat="1" x14ac:dyDescent="0.2">
      <c r="C4746" s="144"/>
      <c r="D4746" s="144"/>
      <c r="E4746" s="144"/>
      <c r="F4746" s="373"/>
      <c r="I4746" s="70"/>
    </row>
    <row r="4747" spans="3:9" s="46" customFormat="1" x14ac:dyDescent="0.2">
      <c r="C4747" s="144"/>
      <c r="D4747" s="144"/>
      <c r="E4747" s="144"/>
      <c r="F4747" s="373"/>
      <c r="I4747" s="70"/>
    </row>
    <row r="4748" spans="3:9" s="46" customFormat="1" x14ac:dyDescent="0.2">
      <c r="C4748" s="144"/>
      <c r="D4748" s="144"/>
      <c r="E4748" s="144"/>
      <c r="F4748" s="373"/>
      <c r="I4748" s="70"/>
    </row>
    <row r="4749" spans="3:9" s="46" customFormat="1" x14ac:dyDescent="0.2">
      <c r="C4749" s="144"/>
      <c r="D4749" s="144"/>
      <c r="E4749" s="144"/>
      <c r="F4749" s="373"/>
      <c r="I4749" s="70"/>
    </row>
    <row r="4750" spans="3:9" s="46" customFormat="1" x14ac:dyDescent="0.2">
      <c r="C4750" s="144"/>
      <c r="D4750" s="144"/>
      <c r="E4750" s="144"/>
      <c r="F4750" s="373"/>
      <c r="I4750" s="70"/>
    </row>
    <row r="4751" spans="3:9" s="46" customFormat="1" x14ac:dyDescent="0.2">
      <c r="C4751" s="144"/>
      <c r="D4751" s="144"/>
      <c r="E4751" s="144"/>
      <c r="F4751" s="373"/>
      <c r="I4751" s="70"/>
    </row>
    <row r="4752" spans="3:9" s="46" customFormat="1" x14ac:dyDescent="0.2">
      <c r="C4752" s="144"/>
      <c r="D4752" s="144"/>
      <c r="E4752" s="144"/>
      <c r="F4752" s="373"/>
      <c r="I4752" s="70"/>
    </row>
    <row r="4753" spans="3:9" s="46" customFormat="1" x14ac:dyDescent="0.2">
      <c r="C4753" s="144"/>
      <c r="D4753" s="144"/>
      <c r="E4753" s="144"/>
      <c r="F4753" s="373"/>
      <c r="I4753" s="70"/>
    </row>
    <row r="4754" spans="3:9" s="46" customFormat="1" x14ac:dyDescent="0.2">
      <c r="C4754" s="144"/>
      <c r="D4754" s="144"/>
      <c r="E4754" s="144"/>
      <c r="F4754" s="373"/>
      <c r="I4754" s="70"/>
    </row>
    <row r="4755" spans="3:9" s="46" customFormat="1" x14ac:dyDescent="0.2">
      <c r="C4755" s="144"/>
      <c r="D4755" s="144"/>
      <c r="E4755" s="144"/>
      <c r="F4755" s="373"/>
      <c r="I4755" s="70"/>
    </row>
    <row r="4756" spans="3:9" s="46" customFormat="1" x14ac:dyDescent="0.2">
      <c r="C4756" s="144"/>
      <c r="D4756" s="144"/>
      <c r="E4756" s="144"/>
      <c r="F4756" s="373"/>
      <c r="I4756" s="70"/>
    </row>
    <row r="4757" spans="3:9" s="46" customFormat="1" x14ac:dyDescent="0.2">
      <c r="C4757" s="144"/>
      <c r="D4757" s="144"/>
      <c r="E4757" s="144"/>
      <c r="F4757" s="373"/>
      <c r="I4757" s="70"/>
    </row>
    <row r="4758" spans="3:9" s="46" customFormat="1" x14ac:dyDescent="0.2">
      <c r="C4758" s="144"/>
      <c r="D4758" s="144"/>
      <c r="E4758" s="144"/>
      <c r="F4758" s="373"/>
      <c r="I4758" s="70"/>
    </row>
    <row r="4759" spans="3:9" s="46" customFormat="1" x14ac:dyDescent="0.2">
      <c r="C4759" s="144"/>
      <c r="D4759" s="144"/>
      <c r="E4759" s="144"/>
      <c r="F4759" s="373"/>
      <c r="I4759" s="70"/>
    </row>
    <row r="4760" spans="3:9" s="46" customFormat="1" x14ac:dyDescent="0.2">
      <c r="C4760" s="144"/>
      <c r="D4760" s="144"/>
      <c r="E4760" s="144"/>
      <c r="F4760" s="373"/>
      <c r="I4760" s="70"/>
    </row>
    <row r="4761" spans="3:9" s="46" customFormat="1" x14ac:dyDescent="0.2">
      <c r="C4761" s="144"/>
      <c r="D4761" s="144"/>
      <c r="E4761" s="144"/>
      <c r="F4761" s="373"/>
      <c r="I4761" s="70"/>
    </row>
    <row r="4762" spans="3:9" s="46" customFormat="1" x14ac:dyDescent="0.2">
      <c r="C4762" s="144"/>
      <c r="D4762" s="144"/>
      <c r="E4762" s="144"/>
      <c r="F4762" s="373"/>
      <c r="I4762" s="70"/>
    </row>
    <row r="4763" spans="3:9" s="46" customFormat="1" x14ac:dyDescent="0.2">
      <c r="C4763" s="144"/>
      <c r="D4763" s="144"/>
      <c r="E4763" s="144"/>
      <c r="F4763" s="373"/>
      <c r="I4763" s="70"/>
    </row>
    <row r="4764" spans="3:9" s="46" customFormat="1" x14ac:dyDescent="0.2">
      <c r="C4764" s="144"/>
      <c r="D4764" s="144"/>
      <c r="E4764" s="144"/>
      <c r="F4764" s="373"/>
      <c r="I4764" s="70"/>
    </row>
    <row r="4765" spans="3:9" s="46" customFormat="1" x14ac:dyDescent="0.2">
      <c r="C4765" s="144"/>
      <c r="D4765" s="144"/>
      <c r="E4765" s="144"/>
      <c r="F4765" s="373"/>
      <c r="I4765" s="70"/>
    </row>
    <row r="4766" spans="3:9" s="46" customFormat="1" x14ac:dyDescent="0.2">
      <c r="C4766" s="144"/>
      <c r="D4766" s="144"/>
      <c r="E4766" s="144"/>
      <c r="F4766" s="373"/>
      <c r="I4766" s="70"/>
    </row>
    <row r="4767" spans="3:9" s="46" customFormat="1" x14ac:dyDescent="0.2">
      <c r="C4767" s="144"/>
      <c r="D4767" s="144"/>
      <c r="E4767" s="144"/>
      <c r="F4767" s="373"/>
      <c r="I4767" s="70"/>
    </row>
    <row r="4768" spans="3:9" s="46" customFormat="1" x14ac:dyDescent="0.2">
      <c r="C4768" s="144"/>
      <c r="D4768" s="144"/>
      <c r="E4768" s="144"/>
      <c r="F4768" s="373"/>
      <c r="I4768" s="70"/>
    </row>
    <row r="4769" spans="3:9" s="46" customFormat="1" x14ac:dyDescent="0.2">
      <c r="C4769" s="144"/>
      <c r="D4769" s="144"/>
      <c r="E4769" s="144"/>
      <c r="F4769" s="373"/>
      <c r="I4769" s="70"/>
    </row>
    <row r="4770" spans="3:9" s="46" customFormat="1" x14ac:dyDescent="0.2">
      <c r="C4770" s="144"/>
      <c r="D4770" s="144"/>
      <c r="E4770" s="144"/>
      <c r="F4770" s="373"/>
      <c r="I4770" s="70"/>
    </row>
    <row r="4771" spans="3:9" s="46" customFormat="1" x14ac:dyDescent="0.2">
      <c r="C4771" s="144"/>
      <c r="D4771" s="144"/>
      <c r="E4771" s="144"/>
      <c r="F4771" s="373"/>
      <c r="I4771" s="70"/>
    </row>
    <row r="4772" spans="3:9" s="46" customFormat="1" x14ac:dyDescent="0.2">
      <c r="C4772" s="144"/>
      <c r="D4772" s="144"/>
      <c r="E4772" s="144"/>
      <c r="F4772" s="373"/>
      <c r="I4772" s="70"/>
    </row>
    <row r="4773" spans="3:9" s="46" customFormat="1" x14ac:dyDescent="0.2">
      <c r="C4773" s="144"/>
      <c r="D4773" s="144"/>
      <c r="E4773" s="144"/>
      <c r="F4773" s="373"/>
      <c r="I4773" s="70"/>
    </row>
    <row r="4774" spans="3:9" s="46" customFormat="1" x14ac:dyDescent="0.2">
      <c r="C4774" s="144"/>
      <c r="D4774" s="144"/>
      <c r="E4774" s="144"/>
      <c r="F4774" s="373"/>
      <c r="I4774" s="70"/>
    </row>
    <row r="4775" spans="3:9" s="46" customFormat="1" x14ac:dyDescent="0.2">
      <c r="C4775" s="144"/>
      <c r="D4775" s="144"/>
      <c r="E4775" s="144"/>
      <c r="F4775" s="373"/>
      <c r="I4775" s="70"/>
    </row>
    <row r="4776" spans="3:9" s="46" customFormat="1" x14ac:dyDescent="0.2">
      <c r="C4776" s="144"/>
      <c r="D4776" s="144"/>
      <c r="E4776" s="144"/>
      <c r="F4776" s="373"/>
      <c r="I4776" s="70"/>
    </row>
    <row r="4777" spans="3:9" s="46" customFormat="1" x14ac:dyDescent="0.2">
      <c r="C4777" s="144"/>
      <c r="D4777" s="144"/>
      <c r="E4777" s="144"/>
      <c r="F4777" s="373"/>
      <c r="I4777" s="70"/>
    </row>
    <row r="4778" spans="3:9" s="46" customFormat="1" x14ac:dyDescent="0.2">
      <c r="C4778" s="144"/>
      <c r="D4778" s="144"/>
      <c r="E4778" s="144"/>
      <c r="F4778" s="373"/>
      <c r="I4778" s="70"/>
    </row>
    <row r="4779" spans="3:9" s="46" customFormat="1" x14ac:dyDescent="0.2">
      <c r="C4779" s="144"/>
      <c r="D4779" s="144"/>
      <c r="E4779" s="144"/>
      <c r="F4779" s="373"/>
      <c r="I4779" s="70"/>
    </row>
    <row r="4780" spans="3:9" s="46" customFormat="1" x14ac:dyDescent="0.2">
      <c r="C4780" s="144"/>
      <c r="D4780" s="144"/>
      <c r="E4780" s="144"/>
      <c r="F4780" s="373"/>
      <c r="I4780" s="70"/>
    </row>
    <row r="4781" spans="3:9" s="46" customFormat="1" x14ac:dyDescent="0.2">
      <c r="C4781" s="144"/>
      <c r="D4781" s="144"/>
      <c r="E4781" s="144"/>
      <c r="F4781" s="373"/>
      <c r="I4781" s="70"/>
    </row>
    <row r="4782" spans="3:9" s="46" customFormat="1" x14ac:dyDescent="0.2">
      <c r="C4782" s="144"/>
      <c r="D4782" s="144"/>
      <c r="E4782" s="144"/>
      <c r="F4782" s="373"/>
      <c r="I4782" s="70"/>
    </row>
    <row r="4783" spans="3:9" s="46" customFormat="1" x14ac:dyDescent="0.2">
      <c r="C4783" s="144"/>
      <c r="D4783" s="144"/>
      <c r="E4783" s="144"/>
      <c r="F4783" s="373"/>
      <c r="I4783" s="70"/>
    </row>
    <row r="4784" spans="3:9" s="46" customFormat="1" x14ac:dyDescent="0.2">
      <c r="C4784" s="144"/>
      <c r="D4784" s="144"/>
      <c r="E4784" s="144"/>
      <c r="F4784" s="373"/>
      <c r="I4784" s="70"/>
    </row>
    <row r="4785" spans="3:9" s="46" customFormat="1" x14ac:dyDescent="0.2">
      <c r="C4785" s="144"/>
      <c r="D4785" s="144"/>
      <c r="E4785" s="144"/>
      <c r="F4785" s="373"/>
      <c r="I4785" s="70"/>
    </row>
    <row r="4786" spans="3:9" s="46" customFormat="1" x14ac:dyDescent="0.2">
      <c r="C4786" s="144"/>
      <c r="D4786" s="144"/>
      <c r="E4786" s="144"/>
      <c r="F4786" s="373"/>
      <c r="I4786" s="70"/>
    </row>
    <row r="4787" spans="3:9" s="46" customFormat="1" x14ac:dyDescent="0.2">
      <c r="C4787" s="144"/>
      <c r="D4787" s="144"/>
      <c r="E4787" s="144"/>
      <c r="F4787" s="373"/>
      <c r="I4787" s="70"/>
    </row>
    <row r="4788" spans="3:9" s="46" customFormat="1" x14ac:dyDescent="0.2">
      <c r="C4788" s="144"/>
      <c r="D4788" s="144"/>
      <c r="E4788" s="144"/>
      <c r="F4788" s="373"/>
      <c r="I4788" s="70"/>
    </row>
    <row r="4789" spans="3:9" s="46" customFormat="1" x14ac:dyDescent="0.2">
      <c r="C4789" s="144"/>
      <c r="D4789" s="144"/>
      <c r="E4789" s="144"/>
      <c r="F4789" s="373"/>
      <c r="I4789" s="70"/>
    </row>
    <row r="4790" spans="3:9" s="46" customFormat="1" x14ac:dyDescent="0.2">
      <c r="C4790" s="144"/>
      <c r="D4790" s="144"/>
      <c r="E4790" s="144"/>
      <c r="F4790" s="373"/>
      <c r="I4790" s="70"/>
    </row>
    <row r="4791" spans="3:9" s="46" customFormat="1" x14ac:dyDescent="0.2">
      <c r="C4791" s="144"/>
      <c r="D4791" s="144"/>
      <c r="E4791" s="144"/>
      <c r="F4791" s="373"/>
      <c r="I4791" s="70"/>
    </row>
    <row r="4792" spans="3:9" s="46" customFormat="1" x14ac:dyDescent="0.2">
      <c r="C4792" s="144"/>
      <c r="D4792" s="144"/>
      <c r="E4792" s="144"/>
      <c r="F4792" s="373"/>
      <c r="I4792" s="70"/>
    </row>
    <row r="4793" spans="3:9" s="46" customFormat="1" x14ac:dyDescent="0.2">
      <c r="C4793" s="144"/>
      <c r="D4793" s="144"/>
      <c r="E4793" s="144"/>
      <c r="F4793" s="373"/>
      <c r="I4793" s="70"/>
    </row>
    <row r="4794" spans="3:9" s="46" customFormat="1" x14ac:dyDescent="0.2">
      <c r="C4794" s="144"/>
      <c r="D4794" s="144"/>
      <c r="E4794" s="144"/>
      <c r="F4794" s="373"/>
      <c r="I4794" s="70"/>
    </row>
    <row r="4795" spans="3:9" s="46" customFormat="1" x14ac:dyDescent="0.2">
      <c r="C4795" s="144"/>
      <c r="D4795" s="144"/>
      <c r="E4795" s="144"/>
      <c r="F4795" s="373"/>
      <c r="I4795" s="70"/>
    </row>
    <row r="4796" spans="3:9" s="46" customFormat="1" x14ac:dyDescent="0.2">
      <c r="C4796" s="144"/>
      <c r="D4796" s="144"/>
      <c r="E4796" s="144"/>
      <c r="F4796" s="373"/>
      <c r="I4796" s="70"/>
    </row>
    <row r="4797" spans="3:9" s="46" customFormat="1" x14ac:dyDescent="0.2">
      <c r="C4797" s="144"/>
      <c r="D4797" s="144"/>
      <c r="E4797" s="144"/>
      <c r="F4797" s="373"/>
      <c r="I4797" s="70"/>
    </row>
    <row r="4798" spans="3:9" s="46" customFormat="1" x14ac:dyDescent="0.2">
      <c r="C4798" s="144"/>
      <c r="D4798" s="144"/>
      <c r="E4798" s="144"/>
      <c r="F4798" s="373"/>
      <c r="I4798" s="70"/>
    </row>
    <row r="4799" spans="3:9" s="46" customFormat="1" x14ac:dyDescent="0.2">
      <c r="C4799" s="144"/>
      <c r="D4799" s="144"/>
      <c r="E4799" s="144"/>
      <c r="F4799" s="373"/>
      <c r="I4799" s="70"/>
    </row>
    <row r="4800" spans="3:9" s="46" customFormat="1" x14ac:dyDescent="0.2">
      <c r="C4800" s="144"/>
      <c r="D4800" s="144"/>
      <c r="E4800" s="144"/>
      <c r="F4800" s="373"/>
      <c r="I4800" s="70"/>
    </row>
    <row r="4801" spans="3:9" s="46" customFormat="1" x14ac:dyDescent="0.2">
      <c r="C4801" s="144"/>
      <c r="D4801" s="144"/>
      <c r="E4801" s="144"/>
      <c r="F4801" s="373"/>
      <c r="I4801" s="70"/>
    </row>
    <row r="4802" spans="3:9" s="46" customFormat="1" x14ac:dyDescent="0.2">
      <c r="C4802" s="144"/>
      <c r="D4802" s="144"/>
      <c r="E4802" s="144"/>
      <c r="F4802" s="373"/>
      <c r="I4802" s="70"/>
    </row>
    <row r="4803" spans="3:9" s="46" customFormat="1" x14ac:dyDescent="0.2">
      <c r="C4803" s="144"/>
      <c r="D4803" s="144"/>
      <c r="E4803" s="144"/>
      <c r="F4803" s="373"/>
      <c r="I4803" s="70"/>
    </row>
    <row r="4804" spans="3:9" s="46" customFormat="1" x14ac:dyDescent="0.2">
      <c r="C4804" s="144"/>
      <c r="D4804" s="144"/>
      <c r="E4804" s="144"/>
      <c r="F4804" s="373"/>
      <c r="I4804" s="70"/>
    </row>
    <row r="4805" spans="3:9" s="46" customFormat="1" x14ac:dyDescent="0.2">
      <c r="C4805" s="144"/>
      <c r="D4805" s="144"/>
      <c r="E4805" s="144"/>
      <c r="F4805" s="373"/>
      <c r="I4805" s="70"/>
    </row>
    <row r="4806" spans="3:9" s="46" customFormat="1" x14ac:dyDescent="0.2">
      <c r="C4806" s="144"/>
      <c r="D4806" s="144"/>
      <c r="E4806" s="144"/>
      <c r="F4806" s="373"/>
      <c r="I4806" s="70"/>
    </row>
    <row r="4807" spans="3:9" s="46" customFormat="1" x14ac:dyDescent="0.2">
      <c r="C4807" s="144"/>
      <c r="D4807" s="144"/>
      <c r="E4807" s="144"/>
      <c r="F4807" s="373"/>
      <c r="I4807" s="70"/>
    </row>
    <row r="4808" spans="3:9" s="46" customFormat="1" x14ac:dyDescent="0.2">
      <c r="C4808" s="144"/>
      <c r="D4808" s="144"/>
      <c r="E4808" s="144"/>
      <c r="F4808" s="373"/>
      <c r="I4808" s="70"/>
    </row>
    <row r="4809" spans="3:9" s="46" customFormat="1" x14ac:dyDescent="0.2">
      <c r="C4809" s="144"/>
      <c r="D4809" s="144"/>
      <c r="E4809" s="144"/>
      <c r="F4809" s="373"/>
      <c r="I4809" s="70"/>
    </row>
    <row r="4810" spans="3:9" s="46" customFormat="1" x14ac:dyDescent="0.2">
      <c r="C4810" s="144"/>
      <c r="D4810" s="144"/>
      <c r="E4810" s="144"/>
      <c r="F4810" s="373"/>
      <c r="I4810" s="70"/>
    </row>
    <row r="4811" spans="3:9" s="46" customFormat="1" x14ac:dyDescent="0.2">
      <c r="C4811" s="144"/>
      <c r="D4811" s="144"/>
      <c r="E4811" s="144"/>
      <c r="F4811" s="373"/>
      <c r="I4811" s="70"/>
    </row>
    <row r="4812" spans="3:9" s="46" customFormat="1" x14ac:dyDescent="0.2">
      <c r="C4812" s="144"/>
      <c r="D4812" s="144"/>
      <c r="E4812" s="144"/>
      <c r="F4812" s="373"/>
      <c r="I4812" s="70"/>
    </row>
    <row r="4813" spans="3:9" s="46" customFormat="1" x14ac:dyDescent="0.2">
      <c r="C4813" s="144"/>
      <c r="D4813" s="144"/>
      <c r="E4813" s="144"/>
      <c r="F4813" s="373"/>
      <c r="I4813" s="70"/>
    </row>
    <row r="4814" spans="3:9" s="46" customFormat="1" x14ac:dyDescent="0.2">
      <c r="C4814" s="144"/>
      <c r="D4814" s="144"/>
      <c r="E4814" s="144"/>
      <c r="F4814" s="373"/>
      <c r="I4814" s="70"/>
    </row>
    <row r="4815" spans="3:9" s="46" customFormat="1" x14ac:dyDescent="0.2">
      <c r="C4815" s="144"/>
      <c r="D4815" s="144"/>
      <c r="E4815" s="144"/>
      <c r="F4815" s="373"/>
      <c r="I4815" s="70"/>
    </row>
    <row r="4816" spans="3:9" s="46" customFormat="1" x14ac:dyDescent="0.2">
      <c r="C4816" s="144"/>
      <c r="D4816" s="144"/>
      <c r="E4816" s="144"/>
      <c r="F4816" s="373"/>
      <c r="I4816" s="70"/>
    </row>
    <row r="4817" spans="3:9" s="46" customFormat="1" x14ac:dyDescent="0.2">
      <c r="C4817" s="144"/>
      <c r="D4817" s="144"/>
      <c r="E4817" s="144"/>
      <c r="F4817" s="373"/>
      <c r="I4817" s="70"/>
    </row>
    <row r="4818" spans="3:9" s="46" customFormat="1" x14ac:dyDescent="0.2">
      <c r="C4818" s="144"/>
      <c r="D4818" s="144"/>
      <c r="E4818" s="144"/>
      <c r="F4818" s="373"/>
      <c r="I4818" s="70"/>
    </row>
    <row r="4819" spans="3:9" s="46" customFormat="1" x14ac:dyDescent="0.2">
      <c r="C4819" s="144"/>
      <c r="D4819" s="144"/>
      <c r="E4819" s="144"/>
      <c r="F4819" s="373"/>
      <c r="I4819" s="70"/>
    </row>
    <row r="4820" spans="3:9" s="46" customFormat="1" x14ac:dyDescent="0.2">
      <c r="C4820" s="144"/>
      <c r="D4820" s="144"/>
      <c r="E4820" s="144"/>
      <c r="F4820" s="373"/>
      <c r="I4820" s="70"/>
    </row>
    <row r="4821" spans="3:9" s="46" customFormat="1" x14ac:dyDescent="0.2">
      <c r="C4821" s="144"/>
      <c r="D4821" s="144"/>
      <c r="E4821" s="144"/>
      <c r="F4821" s="373"/>
      <c r="I4821" s="70"/>
    </row>
    <row r="4822" spans="3:9" s="46" customFormat="1" x14ac:dyDescent="0.2">
      <c r="C4822" s="144"/>
      <c r="D4822" s="144"/>
      <c r="E4822" s="144"/>
      <c r="F4822" s="373"/>
      <c r="I4822" s="70"/>
    </row>
    <row r="4823" spans="3:9" s="46" customFormat="1" x14ac:dyDescent="0.2">
      <c r="C4823" s="144"/>
      <c r="D4823" s="144"/>
      <c r="E4823" s="144"/>
      <c r="F4823" s="373"/>
      <c r="I4823" s="70"/>
    </row>
    <row r="4824" spans="3:9" s="46" customFormat="1" x14ac:dyDescent="0.2">
      <c r="C4824" s="144"/>
      <c r="D4824" s="144"/>
      <c r="E4824" s="144"/>
      <c r="F4824" s="373"/>
      <c r="I4824" s="70"/>
    </row>
    <row r="4825" spans="3:9" s="46" customFormat="1" x14ac:dyDescent="0.2">
      <c r="C4825" s="144"/>
      <c r="D4825" s="144"/>
      <c r="E4825" s="144"/>
      <c r="F4825" s="373"/>
      <c r="I4825" s="70"/>
    </row>
    <row r="4826" spans="3:9" s="46" customFormat="1" x14ac:dyDescent="0.2">
      <c r="C4826" s="144"/>
      <c r="D4826" s="144"/>
      <c r="E4826" s="144"/>
      <c r="F4826" s="373"/>
      <c r="I4826" s="70"/>
    </row>
    <row r="4827" spans="3:9" s="46" customFormat="1" x14ac:dyDescent="0.2">
      <c r="C4827" s="144"/>
      <c r="D4827" s="144"/>
      <c r="E4827" s="144"/>
      <c r="F4827" s="373"/>
      <c r="I4827" s="70"/>
    </row>
    <row r="4828" spans="3:9" s="46" customFormat="1" x14ac:dyDescent="0.2">
      <c r="C4828" s="144"/>
      <c r="D4828" s="144"/>
      <c r="E4828" s="144"/>
      <c r="F4828" s="373"/>
      <c r="I4828" s="70"/>
    </row>
    <row r="4829" spans="3:9" s="46" customFormat="1" x14ac:dyDescent="0.2">
      <c r="C4829" s="144"/>
      <c r="D4829" s="144"/>
      <c r="E4829" s="144"/>
      <c r="F4829" s="373"/>
      <c r="I4829" s="70"/>
    </row>
    <row r="4830" spans="3:9" s="46" customFormat="1" x14ac:dyDescent="0.2">
      <c r="C4830" s="144"/>
      <c r="D4830" s="144"/>
      <c r="E4830" s="144"/>
      <c r="F4830" s="373"/>
      <c r="I4830" s="70"/>
    </row>
    <row r="4831" spans="3:9" s="46" customFormat="1" x14ac:dyDescent="0.2">
      <c r="C4831" s="144"/>
      <c r="D4831" s="144"/>
      <c r="E4831" s="144"/>
      <c r="F4831" s="373"/>
      <c r="I4831" s="70"/>
    </row>
    <row r="4832" spans="3:9" s="46" customFormat="1" x14ac:dyDescent="0.2">
      <c r="C4832" s="144"/>
      <c r="D4832" s="144"/>
      <c r="E4832" s="144"/>
      <c r="F4832" s="373"/>
      <c r="I4832" s="70"/>
    </row>
    <row r="4833" spans="3:9" s="46" customFormat="1" x14ac:dyDescent="0.2">
      <c r="C4833" s="144"/>
      <c r="D4833" s="144"/>
      <c r="E4833" s="144"/>
      <c r="F4833" s="373"/>
      <c r="I4833" s="70"/>
    </row>
    <row r="4834" spans="3:9" s="46" customFormat="1" x14ac:dyDescent="0.2">
      <c r="C4834" s="144"/>
      <c r="D4834" s="144"/>
      <c r="E4834" s="144"/>
      <c r="F4834" s="373"/>
      <c r="I4834" s="70"/>
    </row>
    <row r="4835" spans="3:9" s="46" customFormat="1" x14ac:dyDescent="0.2">
      <c r="C4835" s="144"/>
      <c r="D4835" s="144"/>
      <c r="E4835" s="144"/>
      <c r="F4835" s="373"/>
      <c r="I4835" s="70"/>
    </row>
    <row r="4836" spans="3:9" s="46" customFormat="1" x14ac:dyDescent="0.2">
      <c r="C4836" s="144"/>
      <c r="D4836" s="144"/>
      <c r="E4836" s="144"/>
      <c r="F4836" s="373"/>
      <c r="I4836" s="70"/>
    </row>
    <row r="4837" spans="3:9" s="46" customFormat="1" x14ac:dyDescent="0.2">
      <c r="C4837" s="144"/>
      <c r="D4837" s="144"/>
      <c r="E4837" s="144"/>
      <c r="F4837" s="373"/>
      <c r="I4837" s="70"/>
    </row>
    <row r="4838" spans="3:9" s="46" customFormat="1" x14ac:dyDescent="0.2">
      <c r="C4838" s="144"/>
      <c r="D4838" s="144"/>
      <c r="E4838" s="144"/>
      <c r="F4838" s="373"/>
      <c r="I4838" s="70"/>
    </row>
    <row r="4839" spans="3:9" s="46" customFormat="1" x14ac:dyDescent="0.2">
      <c r="C4839" s="144"/>
      <c r="D4839" s="144"/>
      <c r="E4839" s="144"/>
      <c r="F4839" s="373"/>
      <c r="I4839" s="70"/>
    </row>
    <row r="4840" spans="3:9" s="46" customFormat="1" x14ac:dyDescent="0.2">
      <c r="C4840" s="144"/>
      <c r="D4840" s="144"/>
      <c r="E4840" s="144"/>
      <c r="F4840" s="373"/>
      <c r="I4840" s="70"/>
    </row>
    <row r="4841" spans="3:9" s="46" customFormat="1" x14ac:dyDescent="0.2">
      <c r="C4841" s="144"/>
      <c r="D4841" s="144"/>
      <c r="E4841" s="144"/>
      <c r="F4841" s="373"/>
      <c r="I4841" s="70"/>
    </row>
    <row r="4842" spans="3:9" s="46" customFormat="1" x14ac:dyDescent="0.2">
      <c r="C4842" s="144"/>
      <c r="D4842" s="144"/>
      <c r="E4842" s="144"/>
      <c r="F4842" s="373"/>
      <c r="I4842" s="70"/>
    </row>
    <row r="4843" spans="3:9" s="46" customFormat="1" x14ac:dyDescent="0.2">
      <c r="C4843" s="144"/>
      <c r="D4843" s="144"/>
      <c r="E4843" s="144"/>
      <c r="F4843" s="373"/>
      <c r="I4843" s="70"/>
    </row>
    <row r="4844" spans="3:9" s="46" customFormat="1" x14ac:dyDescent="0.2">
      <c r="C4844" s="144"/>
      <c r="D4844" s="144"/>
      <c r="E4844" s="144"/>
      <c r="F4844" s="373"/>
      <c r="I4844" s="70"/>
    </row>
    <row r="4845" spans="3:9" s="46" customFormat="1" x14ac:dyDescent="0.2">
      <c r="C4845" s="144"/>
      <c r="D4845" s="144"/>
      <c r="E4845" s="144"/>
      <c r="F4845" s="373"/>
      <c r="I4845" s="70"/>
    </row>
    <row r="4846" spans="3:9" s="46" customFormat="1" x14ac:dyDescent="0.2">
      <c r="C4846" s="144"/>
      <c r="D4846" s="144"/>
      <c r="E4846" s="144"/>
      <c r="F4846" s="373"/>
      <c r="I4846" s="70"/>
    </row>
    <row r="4847" spans="3:9" s="46" customFormat="1" x14ac:dyDescent="0.2">
      <c r="C4847" s="144"/>
      <c r="D4847" s="144"/>
      <c r="E4847" s="144"/>
      <c r="F4847" s="373"/>
      <c r="I4847" s="70"/>
    </row>
    <row r="4848" spans="3:9" s="46" customFormat="1" x14ac:dyDescent="0.2">
      <c r="C4848" s="144"/>
      <c r="D4848" s="144"/>
      <c r="E4848" s="144"/>
      <c r="F4848" s="373"/>
      <c r="I4848" s="70"/>
    </row>
    <row r="4849" spans="3:9" s="46" customFormat="1" x14ac:dyDescent="0.2">
      <c r="C4849" s="144"/>
      <c r="D4849" s="144"/>
      <c r="E4849" s="144"/>
      <c r="F4849" s="373"/>
      <c r="I4849" s="70"/>
    </row>
    <row r="4850" spans="3:9" s="46" customFormat="1" x14ac:dyDescent="0.2">
      <c r="C4850" s="144"/>
      <c r="D4850" s="144"/>
      <c r="E4850" s="144"/>
      <c r="F4850" s="373"/>
      <c r="I4850" s="70"/>
    </row>
    <row r="4851" spans="3:9" s="46" customFormat="1" x14ac:dyDescent="0.2">
      <c r="C4851" s="144"/>
      <c r="D4851" s="144"/>
      <c r="E4851" s="144"/>
      <c r="F4851" s="373"/>
      <c r="I4851" s="70"/>
    </row>
    <row r="4852" spans="3:9" s="46" customFormat="1" x14ac:dyDescent="0.2">
      <c r="C4852" s="144"/>
      <c r="D4852" s="144"/>
      <c r="E4852" s="144"/>
      <c r="F4852" s="373"/>
      <c r="I4852" s="70"/>
    </row>
    <row r="4853" spans="3:9" s="46" customFormat="1" x14ac:dyDescent="0.2">
      <c r="C4853" s="144"/>
      <c r="D4853" s="144"/>
      <c r="E4853" s="144"/>
      <c r="F4853" s="373"/>
      <c r="I4853" s="70"/>
    </row>
    <row r="4854" spans="3:9" s="46" customFormat="1" x14ac:dyDescent="0.2">
      <c r="C4854" s="144"/>
      <c r="D4854" s="144"/>
      <c r="E4854" s="144"/>
      <c r="F4854" s="373"/>
      <c r="I4854" s="70"/>
    </row>
    <row r="4855" spans="3:9" s="46" customFormat="1" x14ac:dyDescent="0.2">
      <c r="C4855" s="144"/>
      <c r="D4855" s="144"/>
      <c r="E4855" s="144"/>
      <c r="F4855" s="373"/>
      <c r="I4855" s="70"/>
    </row>
    <row r="4856" spans="3:9" s="46" customFormat="1" x14ac:dyDescent="0.2">
      <c r="C4856" s="144"/>
      <c r="D4856" s="144"/>
      <c r="E4856" s="144"/>
      <c r="F4856" s="373"/>
      <c r="I4856" s="70"/>
    </row>
    <row r="4857" spans="3:9" s="46" customFormat="1" x14ac:dyDescent="0.2">
      <c r="C4857" s="144"/>
      <c r="D4857" s="144"/>
      <c r="E4857" s="144"/>
      <c r="F4857" s="373"/>
      <c r="I4857" s="70"/>
    </row>
    <row r="4858" spans="3:9" s="46" customFormat="1" x14ac:dyDescent="0.2">
      <c r="C4858" s="144"/>
      <c r="D4858" s="144"/>
      <c r="E4858" s="144"/>
      <c r="F4858" s="373"/>
      <c r="I4858" s="70"/>
    </row>
    <row r="4859" spans="3:9" s="46" customFormat="1" x14ac:dyDescent="0.2">
      <c r="C4859" s="144"/>
      <c r="D4859" s="144"/>
      <c r="E4859" s="144"/>
      <c r="F4859" s="373"/>
      <c r="I4859" s="70"/>
    </row>
    <row r="4860" spans="3:9" s="46" customFormat="1" x14ac:dyDescent="0.2">
      <c r="C4860" s="144"/>
      <c r="D4860" s="144"/>
      <c r="E4860" s="144"/>
      <c r="F4860" s="373"/>
      <c r="I4860" s="70"/>
    </row>
    <row r="4861" spans="3:9" s="46" customFormat="1" x14ac:dyDescent="0.2">
      <c r="C4861" s="144"/>
      <c r="D4861" s="144"/>
      <c r="E4861" s="144"/>
      <c r="F4861" s="373"/>
      <c r="I4861" s="70"/>
    </row>
    <row r="4862" spans="3:9" s="46" customFormat="1" x14ac:dyDescent="0.2">
      <c r="C4862" s="144"/>
      <c r="D4862" s="144"/>
      <c r="E4862" s="144"/>
      <c r="F4862" s="373"/>
      <c r="I4862" s="70"/>
    </row>
    <row r="4863" spans="3:9" s="46" customFormat="1" x14ac:dyDescent="0.2">
      <c r="C4863" s="144"/>
      <c r="D4863" s="144"/>
      <c r="E4863" s="144"/>
      <c r="F4863" s="373"/>
      <c r="I4863" s="70"/>
    </row>
    <row r="4864" spans="3:9" s="46" customFormat="1" x14ac:dyDescent="0.2">
      <c r="C4864" s="144"/>
      <c r="D4864" s="144"/>
      <c r="E4864" s="144"/>
      <c r="F4864" s="373"/>
      <c r="I4864" s="70"/>
    </row>
    <row r="4865" spans="3:9" s="46" customFormat="1" x14ac:dyDescent="0.2">
      <c r="C4865" s="144"/>
      <c r="D4865" s="144"/>
      <c r="E4865" s="144"/>
      <c r="F4865" s="373"/>
      <c r="I4865" s="70"/>
    </row>
    <row r="4866" spans="3:9" s="46" customFormat="1" x14ac:dyDescent="0.2">
      <c r="C4866" s="144"/>
      <c r="D4866" s="144"/>
      <c r="E4866" s="144"/>
      <c r="F4866" s="373"/>
      <c r="I4866" s="70"/>
    </row>
    <row r="4867" spans="3:9" s="46" customFormat="1" x14ac:dyDescent="0.2">
      <c r="C4867" s="144"/>
      <c r="D4867" s="144"/>
      <c r="E4867" s="144"/>
      <c r="F4867" s="373"/>
      <c r="I4867" s="70"/>
    </row>
    <row r="4868" spans="3:9" s="46" customFormat="1" x14ac:dyDescent="0.2">
      <c r="C4868" s="144"/>
      <c r="D4868" s="144"/>
      <c r="E4868" s="144"/>
      <c r="F4868" s="373"/>
      <c r="I4868" s="70"/>
    </row>
    <row r="4869" spans="3:9" s="46" customFormat="1" x14ac:dyDescent="0.2">
      <c r="C4869" s="144"/>
      <c r="D4869" s="144"/>
      <c r="E4869" s="144"/>
      <c r="F4869" s="373"/>
      <c r="I4869" s="70"/>
    </row>
    <row r="4870" spans="3:9" s="46" customFormat="1" x14ac:dyDescent="0.2">
      <c r="C4870" s="144"/>
      <c r="D4870" s="144"/>
      <c r="E4870" s="144"/>
      <c r="F4870" s="373"/>
      <c r="I4870" s="70"/>
    </row>
    <row r="4871" spans="3:9" s="46" customFormat="1" x14ac:dyDescent="0.2">
      <c r="C4871" s="144"/>
      <c r="D4871" s="144"/>
      <c r="E4871" s="144"/>
      <c r="F4871" s="373"/>
      <c r="I4871" s="70"/>
    </row>
    <row r="4872" spans="3:9" s="46" customFormat="1" x14ac:dyDescent="0.2">
      <c r="C4872" s="144"/>
      <c r="D4872" s="144"/>
      <c r="E4872" s="144"/>
      <c r="F4872" s="373"/>
      <c r="I4872" s="70"/>
    </row>
    <row r="4873" spans="3:9" s="46" customFormat="1" x14ac:dyDescent="0.2">
      <c r="C4873" s="144"/>
      <c r="D4873" s="144"/>
      <c r="E4873" s="144"/>
      <c r="F4873" s="373"/>
      <c r="I4873" s="70"/>
    </row>
    <row r="4874" spans="3:9" s="46" customFormat="1" x14ac:dyDescent="0.2">
      <c r="C4874" s="144"/>
      <c r="D4874" s="144"/>
      <c r="E4874" s="144"/>
      <c r="F4874" s="373"/>
      <c r="I4874" s="70"/>
    </row>
    <row r="4875" spans="3:9" s="46" customFormat="1" x14ac:dyDescent="0.2">
      <c r="C4875" s="144"/>
      <c r="D4875" s="144"/>
      <c r="E4875" s="144"/>
      <c r="F4875" s="373"/>
      <c r="I4875" s="70"/>
    </row>
    <row r="4876" spans="3:9" s="46" customFormat="1" x14ac:dyDescent="0.2">
      <c r="C4876" s="144"/>
      <c r="D4876" s="144"/>
      <c r="E4876" s="144"/>
      <c r="F4876" s="373"/>
      <c r="I4876" s="70"/>
    </row>
    <row r="4877" spans="3:9" s="46" customFormat="1" x14ac:dyDescent="0.2">
      <c r="C4877" s="144"/>
      <c r="D4877" s="144"/>
      <c r="E4877" s="144"/>
      <c r="F4877" s="373"/>
      <c r="I4877" s="70"/>
    </row>
    <row r="4878" spans="3:9" s="46" customFormat="1" x14ac:dyDescent="0.2">
      <c r="C4878" s="144"/>
      <c r="D4878" s="144"/>
      <c r="E4878" s="144"/>
      <c r="F4878" s="373"/>
      <c r="I4878" s="70"/>
    </row>
    <row r="4879" spans="3:9" s="46" customFormat="1" x14ac:dyDescent="0.2">
      <c r="C4879" s="144"/>
      <c r="D4879" s="144"/>
      <c r="E4879" s="144"/>
      <c r="F4879" s="373"/>
      <c r="I4879" s="70"/>
    </row>
    <row r="4880" spans="3:9" s="46" customFormat="1" x14ac:dyDescent="0.2">
      <c r="C4880" s="144"/>
      <c r="D4880" s="144"/>
      <c r="E4880" s="144"/>
      <c r="F4880" s="373"/>
      <c r="I4880" s="70"/>
    </row>
    <row r="4881" spans="3:9" s="46" customFormat="1" x14ac:dyDescent="0.2">
      <c r="C4881" s="144"/>
      <c r="D4881" s="144"/>
      <c r="E4881" s="144"/>
      <c r="F4881" s="373"/>
      <c r="I4881" s="70"/>
    </row>
    <row r="4882" spans="3:9" s="46" customFormat="1" x14ac:dyDescent="0.2">
      <c r="C4882" s="144"/>
      <c r="D4882" s="144"/>
      <c r="E4882" s="144"/>
      <c r="F4882" s="373"/>
      <c r="I4882" s="70"/>
    </row>
    <row r="4883" spans="3:9" s="46" customFormat="1" x14ac:dyDescent="0.2">
      <c r="C4883" s="144"/>
      <c r="D4883" s="144"/>
      <c r="E4883" s="144"/>
      <c r="F4883" s="373"/>
      <c r="I4883" s="70"/>
    </row>
    <row r="4884" spans="3:9" s="46" customFormat="1" x14ac:dyDescent="0.2">
      <c r="C4884" s="144"/>
      <c r="D4884" s="144"/>
      <c r="E4884" s="144"/>
      <c r="F4884" s="373"/>
      <c r="I4884" s="70"/>
    </row>
    <row r="4885" spans="3:9" s="46" customFormat="1" x14ac:dyDescent="0.2">
      <c r="C4885" s="144"/>
      <c r="D4885" s="144"/>
      <c r="E4885" s="144"/>
      <c r="F4885" s="373"/>
      <c r="I4885" s="70"/>
    </row>
    <row r="4886" spans="3:9" s="46" customFormat="1" x14ac:dyDescent="0.2">
      <c r="C4886" s="144"/>
      <c r="D4886" s="144"/>
      <c r="E4886" s="144"/>
      <c r="F4886" s="373"/>
      <c r="I4886" s="70"/>
    </row>
    <row r="4887" spans="3:9" s="46" customFormat="1" x14ac:dyDescent="0.2">
      <c r="C4887" s="144"/>
      <c r="D4887" s="144"/>
      <c r="E4887" s="144"/>
      <c r="F4887" s="373"/>
      <c r="I4887" s="70"/>
    </row>
    <row r="4888" spans="3:9" s="46" customFormat="1" x14ac:dyDescent="0.2">
      <c r="C4888" s="144"/>
      <c r="D4888" s="144"/>
      <c r="E4888" s="144"/>
      <c r="F4888" s="373"/>
      <c r="I4888" s="70"/>
    </row>
    <row r="4889" spans="3:9" s="46" customFormat="1" x14ac:dyDescent="0.2">
      <c r="C4889" s="144"/>
      <c r="D4889" s="144"/>
      <c r="E4889" s="144"/>
      <c r="F4889" s="373"/>
      <c r="I4889" s="70"/>
    </row>
    <row r="4890" spans="3:9" s="46" customFormat="1" x14ac:dyDescent="0.2">
      <c r="C4890" s="144"/>
      <c r="D4890" s="144"/>
      <c r="E4890" s="144"/>
      <c r="F4890" s="373"/>
      <c r="I4890" s="70"/>
    </row>
    <row r="4891" spans="3:9" s="46" customFormat="1" x14ac:dyDescent="0.2">
      <c r="C4891" s="144"/>
      <c r="D4891" s="144"/>
      <c r="E4891" s="144"/>
      <c r="F4891" s="373"/>
      <c r="I4891" s="70"/>
    </row>
    <row r="4892" spans="3:9" s="46" customFormat="1" x14ac:dyDescent="0.2">
      <c r="C4892" s="144"/>
      <c r="D4892" s="144"/>
      <c r="E4892" s="144"/>
      <c r="F4892" s="373"/>
      <c r="I4892" s="70"/>
    </row>
    <row r="4893" spans="3:9" s="46" customFormat="1" x14ac:dyDescent="0.2">
      <c r="C4893" s="144"/>
      <c r="D4893" s="144"/>
      <c r="E4893" s="144"/>
      <c r="F4893" s="373"/>
      <c r="I4893" s="70"/>
    </row>
    <row r="4894" spans="3:9" s="46" customFormat="1" x14ac:dyDescent="0.2">
      <c r="C4894" s="144"/>
      <c r="D4894" s="144"/>
      <c r="E4894" s="144"/>
      <c r="F4894" s="373"/>
      <c r="I4894" s="70"/>
    </row>
    <row r="4895" spans="3:9" s="46" customFormat="1" x14ac:dyDescent="0.2">
      <c r="C4895" s="144"/>
      <c r="D4895" s="144"/>
      <c r="E4895" s="144"/>
      <c r="F4895" s="373"/>
      <c r="I4895" s="70"/>
    </row>
    <row r="4896" spans="3:9" s="46" customFormat="1" x14ac:dyDescent="0.2">
      <c r="C4896" s="144"/>
      <c r="D4896" s="144"/>
      <c r="E4896" s="144"/>
      <c r="F4896" s="373"/>
      <c r="I4896" s="70"/>
    </row>
    <row r="4897" spans="3:9" s="46" customFormat="1" x14ac:dyDescent="0.2">
      <c r="C4897" s="144"/>
      <c r="D4897" s="144"/>
      <c r="E4897" s="144"/>
      <c r="F4897" s="373"/>
      <c r="I4897" s="70"/>
    </row>
    <row r="4898" spans="3:9" s="46" customFormat="1" x14ac:dyDescent="0.2">
      <c r="C4898" s="144"/>
      <c r="D4898" s="144"/>
      <c r="E4898" s="144"/>
      <c r="F4898" s="373"/>
      <c r="I4898" s="70"/>
    </row>
    <row r="4899" spans="3:9" s="46" customFormat="1" x14ac:dyDescent="0.2">
      <c r="C4899" s="144"/>
      <c r="D4899" s="144"/>
      <c r="E4899" s="144"/>
      <c r="F4899" s="373"/>
      <c r="I4899" s="70"/>
    </row>
    <row r="4900" spans="3:9" s="46" customFormat="1" x14ac:dyDescent="0.2">
      <c r="C4900" s="144"/>
      <c r="D4900" s="144"/>
      <c r="E4900" s="144"/>
      <c r="F4900" s="373"/>
      <c r="I4900" s="70"/>
    </row>
    <row r="4901" spans="3:9" s="46" customFormat="1" x14ac:dyDescent="0.2">
      <c r="C4901" s="144"/>
      <c r="D4901" s="144"/>
      <c r="E4901" s="144"/>
      <c r="F4901" s="373"/>
      <c r="I4901" s="70"/>
    </row>
    <row r="4902" spans="3:9" s="46" customFormat="1" x14ac:dyDescent="0.2">
      <c r="C4902" s="144"/>
      <c r="D4902" s="144"/>
      <c r="E4902" s="144"/>
      <c r="F4902" s="373"/>
      <c r="I4902" s="70"/>
    </row>
    <row r="4903" spans="3:9" s="46" customFormat="1" x14ac:dyDescent="0.2">
      <c r="C4903" s="144"/>
      <c r="D4903" s="144"/>
      <c r="E4903" s="144"/>
      <c r="F4903" s="373"/>
      <c r="I4903" s="70"/>
    </row>
    <row r="4904" spans="3:9" s="46" customFormat="1" x14ac:dyDescent="0.2">
      <c r="C4904" s="144"/>
      <c r="D4904" s="144"/>
      <c r="E4904" s="144"/>
      <c r="F4904" s="373"/>
      <c r="I4904" s="70"/>
    </row>
    <row r="4905" spans="3:9" s="46" customFormat="1" x14ac:dyDescent="0.2">
      <c r="C4905" s="144"/>
      <c r="D4905" s="144"/>
      <c r="E4905" s="144"/>
      <c r="F4905" s="373"/>
      <c r="I4905" s="70"/>
    </row>
    <row r="4906" spans="3:9" s="46" customFormat="1" x14ac:dyDescent="0.2">
      <c r="C4906" s="144"/>
      <c r="D4906" s="144"/>
      <c r="E4906" s="144"/>
      <c r="F4906" s="373"/>
      <c r="I4906" s="70"/>
    </row>
    <row r="4907" spans="3:9" s="46" customFormat="1" x14ac:dyDescent="0.2">
      <c r="C4907" s="144"/>
      <c r="D4907" s="144"/>
      <c r="E4907" s="144"/>
      <c r="F4907" s="373"/>
      <c r="I4907" s="70"/>
    </row>
    <row r="4908" spans="3:9" s="46" customFormat="1" x14ac:dyDescent="0.2">
      <c r="C4908" s="144"/>
      <c r="D4908" s="144"/>
      <c r="E4908" s="144"/>
      <c r="F4908" s="373"/>
      <c r="I4908" s="70"/>
    </row>
    <row r="4909" spans="3:9" s="46" customFormat="1" x14ac:dyDescent="0.2">
      <c r="C4909" s="144"/>
      <c r="D4909" s="144"/>
      <c r="E4909" s="144"/>
      <c r="F4909" s="373"/>
      <c r="I4909" s="70"/>
    </row>
    <row r="4910" spans="3:9" s="46" customFormat="1" x14ac:dyDescent="0.2">
      <c r="C4910" s="144"/>
      <c r="D4910" s="144"/>
      <c r="E4910" s="144"/>
      <c r="F4910" s="373"/>
      <c r="I4910" s="70"/>
    </row>
    <row r="4911" spans="3:9" s="46" customFormat="1" x14ac:dyDescent="0.2">
      <c r="C4911" s="144"/>
      <c r="D4911" s="144"/>
      <c r="E4911" s="144"/>
      <c r="F4911" s="373"/>
      <c r="I4911" s="70"/>
    </row>
    <row r="4912" spans="3:9" s="46" customFormat="1" x14ac:dyDescent="0.2">
      <c r="C4912" s="144"/>
      <c r="D4912" s="144"/>
      <c r="E4912" s="144"/>
      <c r="F4912" s="373"/>
      <c r="I4912" s="70"/>
    </row>
    <row r="4913" spans="3:9" s="46" customFormat="1" x14ac:dyDescent="0.2">
      <c r="C4913" s="144"/>
      <c r="D4913" s="144"/>
      <c r="E4913" s="144"/>
      <c r="F4913" s="373"/>
      <c r="I4913" s="70"/>
    </row>
    <row r="4914" spans="3:9" s="46" customFormat="1" x14ac:dyDescent="0.2">
      <c r="C4914" s="144"/>
      <c r="D4914" s="144"/>
      <c r="E4914" s="144"/>
      <c r="F4914" s="373"/>
      <c r="I4914" s="70"/>
    </row>
    <row r="4915" spans="3:9" s="46" customFormat="1" x14ac:dyDescent="0.2">
      <c r="C4915" s="144"/>
      <c r="D4915" s="144"/>
      <c r="E4915" s="144"/>
      <c r="F4915" s="373"/>
      <c r="I4915" s="70"/>
    </row>
    <row r="4916" spans="3:9" s="46" customFormat="1" x14ac:dyDescent="0.2">
      <c r="C4916" s="144"/>
      <c r="D4916" s="144"/>
      <c r="E4916" s="144"/>
      <c r="F4916" s="373"/>
      <c r="I4916" s="70"/>
    </row>
    <row r="4917" spans="3:9" s="46" customFormat="1" x14ac:dyDescent="0.2">
      <c r="C4917" s="144"/>
      <c r="D4917" s="144"/>
      <c r="E4917" s="144"/>
      <c r="F4917" s="373"/>
      <c r="I4917" s="70"/>
    </row>
    <row r="4918" spans="3:9" s="46" customFormat="1" x14ac:dyDescent="0.2">
      <c r="C4918" s="144"/>
      <c r="D4918" s="144"/>
      <c r="E4918" s="144"/>
      <c r="F4918" s="373"/>
      <c r="I4918" s="70"/>
    </row>
    <row r="4919" spans="3:9" s="46" customFormat="1" x14ac:dyDescent="0.2">
      <c r="C4919" s="144"/>
      <c r="D4919" s="144"/>
      <c r="E4919" s="144"/>
      <c r="F4919" s="373"/>
      <c r="I4919" s="70"/>
    </row>
    <row r="4920" spans="3:9" s="46" customFormat="1" x14ac:dyDescent="0.2">
      <c r="C4920" s="144"/>
      <c r="D4920" s="144"/>
      <c r="E4920" s="144"/>
      <c r="F4920" s="373"/>
      <c r="I4920" s="70"/>
    </row>
    <row r="4921" spans="3:9" s="46" customFormat="1" x14ac:dyDescent="0.2">
      <c r="C4921" s="144"/>
      <c r="D4921" s="144"/>
      <c r="E4921" s="144"/>
      <c r="F4921" s="373"/>
      <c r="I4921" s="70"/>
    </row>
    <row r="4922" spans="3:9" s="46" customFormat="1" x14ac:dyDescent="0.2">
      <c r="C4922" s="144"/>
      <c r="D4922" s="144"/>
      <c r="E4922" s="144"/>
      <c r="F4922" s="373"/>
      <c r="I4922" s="70"/>
    </row>
    <row r="4923" spans="3:9" s="46" customFormat="1" x14ac:dyDescent="0.2">
      <c r="C4923" s="144"/>
      <c r="D4923" s="144"/>
      <c r="E4923" s="144"/>
      <c r="F4923" s="373"/>
      <c r="I4923" s="70"/>
    </row>
    <row r="4924" spans="3:9" s="46" customFormat="1" x14ac:dyDescent="0.2">
      <c r="C4924" s="144"/>
      <c r="D4924" s="144"/>
      <c r="E4924" s="144"/>
      <c r="F4924" s="373"/>
      <c r="I4924" s="70"/>
    </row>
    <row r="4925" spans="3:9" s="46" customFormat="1" x14ac:dyDescent="0.2">
      <c r="C4925" s="144"/>
      <c r="D4925" s="144"/>
      <c r="E4925" s="144"/>
      <c r="F4925" s="373"/>
      <c r="I4925" s="70"/>
    </row>
    <row r="4926" spans="3:9" s="46" customFormat="1" x14ac:dyDescent="0.2">
      <c r="C4926" s="144"/>
      <c r="D4926" s="144"/>
      <c r="E4926" s="144"/>
      <c r="F4926" s="373"/>
      <c r="I4926" s="70"/>
    </row>
    <row r="4927" spans="3:9" s="46" customFormat="1" x14ac:dyDescent="0.2">
      <c r="C4927" s="144"/>
      <c r="D4927" s="144"/>
      <c r="E4927" s="144"/>
      <c r="F4927" s="373"/>
      <c r="I4927" s="70"/>
    </row>
    <row r="4928" spans="3:9" s="46" customFormat="1" x14ac:dyDescent="0.2">
      <c r="C4928" s="144"/>
      <c r="D4928" s="144"/>
      <c r="E4928" s="144"/>
      <c r="F4928" s="373"/>
      <c r="I4928" s="70"/>
    </row>
    <row r="4929" spans="3:9" s="46" customFormat="1" x14ac:dyDescent="0.2">
      <c r="C4929" s="144"/>
      <c r="D4929" s="144"/>
      <c r="E4929" s="144"/>
      <c r="F4929" s="373"/>
      <c r="I4929" s="70"/>
    </row>
    <row r="4930" spans="3:9" s="46" customFormat="1" x14ac:dyDescent="0.2">
      <c r="C4930" s="144"/>
      <c r="D4930" s="144"/>
      <c r="E4930" s="144"/>
      <c r="F4930" s="373"/>
      <c r="I4930" s="70"/>
    </row>
    <row r="4931" spans="3:9" s="46" customFormat="1" x14ac:dyDescent="0.2">
      <c r="C4931" s="144"/>
      <c r="D4931" s="144"/>
      <c r="E4931" s="144"/>
      <c r="F4931" s="373"/>
      <c r="I4931" s="70"/>
    </row>
    <row r="4932" spans="3:9" s="46" customFormat="1" x14ac:dyDescent="0.2">
      <c r="C4932" s="144"/>
      <c r="D4932" s="144"/>
      <c r="E4932" s="144"/>
      <c r="F4932" s="373"/>
      <c r="I4932" s="70"/>
    </row>
    <row r="4933" spans="3:9" s="46" customFormat="1" x14ac:dyDescent="0.2">
      <c r="C4933" s="144"/>
      <c r="D4933" s="144"/>
      <c r="E4933" s="144"/>
      <c r="F4933" s="373"/>
      <c r="I4933" s="70"/>
    </row>
    <row r="4934" spans="3:9" s="46" customFormat="1" x14ac:dyDescent="0.2">
      <c r="C4934" s="144"/>
      <c r="D4934" s="144"/>
      <c r="E4934" s="144"/>
      <c r="F4934" s="373"/>
      <c r="I4934" s="70"/>
    </row>
    <row r="4935" spans="3:9" s="46" customFormat="1" x14ac:dyDescent="0.2">
      <c r="C4935" s="144"/>
      <c r="D4935" s="144"/>
      <c r="E4935" s="144"/>
      <c r="F4935" s="373"/>
      <c r="I4935" s="70"/>
    </row>
    <row r="4936" spans="3:9" s="46" customFormat="1" x14ac:dyDescent="0.2">
      <c r="C4936" s="144"/>
      <c r="D4936" s="144"/>
      <c r="E4936" s="144"/>
      <c r="F4936" s="373"/>
      <c r="I4936" s="70"/>
    </row>
    <row r="4937" spans="3:9" s="46" customFormat="1" x14ac:dyDescent="0.2">
      <c r="C4937" s="144"/>
      <c r="D4937" s="144"/>
      <c r="E4937" s="144"/>
      <c r="F4937" s="373"/>
      <c r="I4937" s="70"/>
    </row>
    <row r="4938" spans="3:9" s="46" customFormat="1" x14ac:dyDescent="0.2">
      <c r="C4938" s="144"/>
      <c r="D4938" s="144"/>
      <c r="E4938" s="144"/>
      <c r="F4938" s="373"/>
      <c r="I4938" s="70"/>
    </row>
    <row r="4939" spans="3:9" s="46" customFormat="1" x14ac:dyDescent="0.2">
      <c r="C4939" s="144"/>
      <c r="D4939" s="144"/>
      <c r="E4939" s="144"/>
      <c r="F4939" s="373"/>
      <c r="I4939" s="70"/>
    </row>
    <row r="4940" spans="3:9" s="46" customFormat="1" x14ac:dyDescent="0.2">
      <c r="C4940" s="144"/>
      <c r="D4940" s="144"/>
      <c r="E4940" s="144"/>
      <c r="F4940" s="373"/>
      <c r="I4940" s="70"/>
    </row>
    <row r="4941" spans="3:9" s="46" customFormat="1" x14ac:dyDescent="0.2">
      <c r="C4941" s="144"/>
      <c r="D4941" s="144"/>
      <c r="E4941" s="144"/>
      <c r="F4941" s="373"/>
      <c r="I4941" s="70"/>
    </row>
    <row r="4942" spans="3:9" s="46" customFormat="1" x14ac:dyDescent="0.2">
      <c r="C4942" s="144"/>
      <c r="D4942" s="144"/>
      <c r="E4942" s="144"/>
      <c r="F4942" s="373"/>
      <c r="I4942" s="70"/>
    </row>
    <row r="4943" spans="3:9" s="46" customFormat="1" x14ac:dyDescent="0.2">
      <c r="C4943" s="144"/>
      <c r="D4943" s="144"/>
      <c r="E4943" s="144"/>
      <c r="F4943" s="373"/>
      <c r="I4943" s="70"/>
    </row>
    <row r="4944" spans="3:9" s="46" customFormat="1" x14ac:dyDescent="0.2">
      <c r="C4944" s="144"/>
      <c r="D4944" s="144"/>
      <c r="E4944" s="144"/>
      <c r="F4944" s="373"/>
      <c r="I4944" s="70"/>
    </row>
    <row r="4945" spans="3:9" s="46" customFormat="1" x14ac:dyDescent="0.2">
      <c r="C4945" s="144"/>
      <c r="D4945" s="144"/>
      <c r="E4945" s="144"/>
      <c r="F4945" s="373"/>
      <c r="I4945" s="70"/>
    </row>
    <row r="4946" spans="3:9" s="46" customFormat="1" x14ac:dyDescent="0.2">
      <c r="C4946" s="144"/>
      <c r="D4946" s="144"/>
      <c r="E4946" s="144"/>
      <c r="F4946" s="373"/>
      <c r="I4946" s="70"/>
    </row>
    <row r="4947" spans="3:9" s="46" customFormat="1" x14ac:dyDescent="0.2">
      <c r="C4947" s="144"/>
      <c r="D4947" s="144"/>
      <c r="E4947" s="144"/>
      <c r="F4947" s="373"/>
      <c r="I4947" s="70"/>
    </row>
    <row r="4948" spans="3:9" s="46" customFormat="1" x14ac:dyDescent="0.2">
      <c r="C4948" s="144"/>
      <c r="D4948" s="144"/>
      <c r="E4948" s="144"/>
      <c r="F4948" s="373"/>
      <c r="I4948" s="70"/>
    </row>
    <row r="4949" spans="3:9" s="46" customFormat="1" x14ac:dyDescent="0.2">
      <c r="C4949" s="144"/>
      <c r="D4949" s="144"/>
      <c r="E4949" s="144"/>
      <c r="F4949" s="373"/>
      <c r="I4949" s="70"/>
    </row>
    <row r="4950" spans="3:9" s="46" customFormat="1" x14ac:dyDescent="0.2">
      <c r="C4950" s="144"/>
      <c r="D4950" s="144"/>
      <c r="E4950" s="144"/>
      <c r="F4950" s="373"/>
      <c r="I4950" s="70"/>
    </row>
    <row r="4951" spans="3:9" s="46" customFormat="1" x14ac:dyDescent="0.2">
      <c r="C4951" s="144"/>
      <c r="D4951" s="144"/>
      <c r="E4951" s="144"/>
      <c r="F4951" s="373"/>
      <c r="I4951" s="70"/>
    </row>
    <row r="4952" spans="3:9" s="46" customFormat="1" x14ac:dyDescent="0.2">
      <c r="C4952" s="144"/>
      <c r="D4952" s="144"/>
      <c r="E4952" s="144"/>
      <c r="F4952" s="373"/>
      <c r="I4952" s="70"/>
    </row>
    <row r="4953" spans="3:9" s="46" customFormat="1" x14ac:dyDescent="0.2">
      <c r="C4953" s="144"/>
      <c r="D4953" s="144"/>
      <c r="E4953" s="144"/>
      <c r="F4953" s="373"/>
      <c r="I4953" s="70"/>
    </row>
    <row r="4954" spans="3:9" s="46" customFormat="1" x14ac:dyDescent="0.2">
      <c r="C4954" s="144"/>
      <c r="D4954" s="144"/>
      <c r="E4954" s="144"/>
      <c r="F4954" s="373"/>
      <c r="I4954" s="70"/>
    </row>
    <row r="4955" spans="3:9" s="46" customFormat="1" x14ac:dyDescent="0.2">
      <c r="C4955" s="144"/>
      <c r="D4955" s="144"/>
      <c r="E4955" s="144"/>
      <c r="F4955" s="373"/>
      <c r="I4955" s="70"/>
    </row>
    <row r="4956" spans="3:9" s="46" customFormat="1" x14ac:dyDescent="0.2">
      <c r="C4956" s="144"/>
      <c r="D4956" s="144"/>
      <c r="E4956" s="144"/>
      <c r="F4956" s="373"/>
      <c r="I4956" s="70"/>
    </row>
    <row r="4957" spans="3:9" s="46" customFormat="1" x14ac:dyDescent="0.2">
      <c r="C4957" s="144"/>
      <c r="D4957" s="144"/>
      <c r="E4957" s="144"/>
      <c r="F4957" s="373"/>
      <c r="I4957" s="70"/>
    </row>
    <row r="4958" spans="3:9" s="46" customFormat="1" x14ac:dyDescent="0.2">
      <c r="C4958" s="144"/>
      <c r="D4958" s="144"/>
      <c r="E4958" s="144"/>
      <c r="F4958" s="373"/>
      <c r="I4958" s="70"/>
    </row>
    <row r="4959" spans="3:9" s="46" customFormat="1" x14ac:dyDescent="0.2">
      <c r="C4959" s="144"/>
      <c r="D4959" s="144"/>
      <c r="E4959" s="144"/>
      <c r="F4959" s="373"/>
      <c r="I4959" s="70"/>
    </row>
    <row r="4960" spans="3:9" s="46" customFormat="1" x14ac:dyDescent="0.2">
      <c r="C4960" s="144"/>
      <c r="D4960" s="144"/>
      <c r="E4960" s="144"/>
      <c r="F4960" s="373"/>
      <c r="I4960" s="70"/>
    </row>
    <row r="4961" spans="3:9" s="46" customFormat="1" x14ac:dyDescent="0.2">
      <c r="C4961" s="144"/>
      <c r="D4961" s="144"/>
      <c r="E4961" s="144"/>
      <c r="F4961" s="373"/>
      <c r="I4961" s="70"/>
    </row>
    <row r="4962" spans="3:9" s="46" customFormat="1" x14ac:dyDescent="0.2">
      <c r="C4962" s="144"/>
      <c r="D4962" s="144"/>
      <c r="E4962" s="144"/>
      <c r="F4962" s="373"/>
      <c r="I4962" s="70"/>
    </row>
    <row r="4963" spans="3:9" s="46" customFormat="1" x14ac:dyDescent="0.2">
      <c r="C4963" s="144"/>
      <c r="D4963" s="144"/>
      <c r="E4963" s="144"/>
      <c r="F4963" s="373"/>
      <c r="I4963" s="70"/>
    </row>
    <row r="4964" spans="3:9" s="46" customFormat="1" x14ac:dyDescent="0.2">
      <c r="C4964" s="144"/>
      <c r="D4964" s="144"/>
      <c r="E4964" s="144"/>
      <c r="F4964" s="373"/>
      <c r="I4964" s="70"/>
    </row>
    <row r="4965" spans="3:9" s="46" customFormat="1" x14ac:dyDescent="0.2">
      <c r="C4965" s="144"/>
      <c r="D4965" s="144"/>
      <c r="E4965" s="144"/>
      <c r="F4965" s="373"/>
      <c r="I4965" s="70"/>
    </row>
    <row r="4966" spans="3:9" s="46" customFormat="1" x14ac:dyDescent="0.2">
      <c r="C4966" s="144"/>
      <c r="D4966" s="144"/>
      <c r="E4966" s="144"/>
      <c r="F4966" s="373"/>
      <c r="I4966" s="70"/>
    </row>
    <row r="4967" spans="3:9" s="46" customFormat="1" x14ac:dyDescent="0.2">
      <c r="C4967" s="144"/>
      <c r="D4967" s="144"/>
      <c r="E4967" s="144"/>
      <c r="F4967" s="373"/>
      <c r="I4967" s="70"/>
    </row>
    <row r="4968" spans="3:9" s="46" customFormat="1" x14ac:dyDescent="0.2">
      <c r="C4968" s="144"/>
      <c r="D4968" s="144"/>
      <c r="E4968" s="144"/>
      <c r="F4968" s="373"/>
      <c r="I4968" s="70"/>
    </row>
    <row r="4969" spans="3:9" s="46" customFormat="1" x14ac:dyDescent="0.2">
      <c r="C4969" s="144"/>
      <c r="D4969" s="144"/>
      <c r="E4969" s="144"/>
      <c r="F4969" s="373"/>
      <c r="I4969" s="70"/>
    </row>
    <row r="4970" spans="3:9" s="46" customFormat="1" x14ac:dyDescent="0.2">
      <c r="C4970" s="144"/>
      <c r="D4970" s="144"/>
      <c r="E4970" s="144"/>
      <c r="F4970" s="373"/>
      <c r="I4970" s="70"/>
    </row>
    <row r="4971" spans="3:9" s="46" customFormat="1" x14ac:dyDescent="0.2">
      <c r="C4971" s="144"/>
      <c r="D4971" s="144"/>
      <c r="E4971" s="144"/>
      <c r="F4971" s="373"/>
      <c r="I4971" s="70"/>
    </row>
    <row r="4972" spans="3:9" s="46" customFormat="1" x14ac:dyDescent="0.2">
      <c r="C4972" s="144"/>
      <c r="D4972" s="144"/>
      <c r="E4972" s="144"/>
      <c r="F4972" s="373"/>
      <c r="I4972" s="70"/>
    </row>
    <row r="4973" spans="3:9" s="46" customFormat="1" x14ac:dyDescent="0.2">
      <c r="C4973" s="144"/>
      <c r="D4973" s="144"/>
      <c r="E4973" s="144"/>
      <c r="F4973" s="373"/>
      <c r="I4973" s="70"/>
    </row>
    <row r="4974" spans="3:9" s="46" customFormat="1" x14ac:dyDescent="0.2">
      <c r="C4974" s="144"/>
      <c r="D4974" s="144"/>
      <c r="E4974" s="144"/>
      <c r="F4974" s="373"/>
      <c r="I4974" s="70"/>
    </row>
    <row r="4975" spans="3:9" s="46" customFormat="1" x14ac:dyDescent="0.2">
      <c r="C4975" s="144"/>
      <c r="D4975" s="144"/>
      <c r="E4975" s="144"/>
      <c r="F4975" s="373"/>
      <c r="I4975" s="70"/>
    </row>
    <row r="4976" spans="3:9" s="46" customFormat="1" x14ac:dyDescent="0.2">
      <c r="C4976" s="144"/>
      <c r="D4976" s="144"/>
      <c r="E4976" s="144"/>
      <c r="F4976" s="373"/>
      <c r="I4976" s="70"/>
    </row>
    <row r="4977" spans="3:9" s="46" customFormat="1" x14ac:dyDescent="0.2">
      <c r="C4977" s="144"/>
      <c r="D4977" s="144"/>
      <c r="E4977" s="144"/>
      <c r="F4977" s="373"/>
      <c r="I4977" s="70"/>
    </row>
    <row r="4978" spans="3:9" s="46" customFormat="1" x14ac:dyDescent="0.2">
      <c r="C4978" s="144"/>
      <c r="D4978" s="144"/>
      <c r="E4978" s="144"/>
      <c r="F4978" s="373"/>
      <c r="I4978" s="70"/>
    </row>
    <row r="4979" spans="3:9" s="46" customFormat="1" x14ac:dyDescent="0.2">
      <c r="C4979" s="144"/>
      <c r="D4979" s="144"/>
      <c r="E4979" s="144"/>
      <c r="F4979" s="373"/>
      <c r="I4979" s="70"/>
    </row>
    <row r="4980" spans="3:9" s="46" customFormat="1" x14ac:dyDescent="0.2">
      <c r="C4980" s="144"/>
      <c r="D4980" s="144"/>
      <c r="E4980" s="144"/>
      <c r="F4980" s="373"/>
      <c r="I4980" s="70"/>
    </row>
    <row r="4981" spans="3:9" s="46" customFormat="1" x14ac:dyDescent="0.2">
      <c r="C4981" s="144"/>
      <c r="D4981" s="144"/>
      <c r="E4981" s="144"/>
      <c r="F4981" s="373"/>
      <c r="I4981" s="70"/>
    </row>
    <row r="4982" spans="3:9" s="46" customFormat="1" x14ac:dyDescent="0.2">
      <c r="C4982" s="144"/>
      <c r="D4982" s="144"/>
      <c r="E4982" s="144"/>
      <c r="F4982" s="373"/>
      <c r="I4982" s="70"/>
    </row>
    <row r="4983" spans="3:9" s="46" customFormat="1" x14ac:dyDescent="0.2">
      <c r="C4983" s="144"/>
      <c r="D4983" s="144"/>
      <c r="E4983" s="144"/>
      <c r="F4983" s="373"/>
      <c r="I4983" s="70"/>
    </row>
    <row r="4984" spans="3:9" s="46" customFormat="1" x14ac:dyDescent="0.2">
      <c r="C4984" s="144"/>
      <c r="D4984" s="144"/>
      <c r="E4984" s="144"/>
      <c r="F4984" s="373"/>
      <c r="I4984" s="70"/>
    </row>
    <row r="4985" spans="3:9" s="46" customFormat="1" x14ac:dyDescent="0.2">
      <c r="C4985" s="144"/>
      <c r="D4985" s="144"/>
      <c r="E4985" s="144"/>
      <c r="F4985" s="373"/>
      <c r="I4985" s="70"/>
    </row>
    <row r="4986" spans="3:9" s="46" customFormat="1" x14ac:dyDescent="0.2">
      <c r="C4986" s="144"/>
      <c r="D4986" s="144"/>
      <c r="E4986" s="144"/>
      <c r="F4986" s="373"/>
      <c r="I4986" s="70"/>
    </row>
    <row r="4987" spans="3:9" s="46" customFormat="1" x14ac:dyDescent="0.2">
      <c r="C4987" s="144"/>
      <c r="D4987" s="144"/>
      <c r="E4987" s="144"/>
      <c r="F4987" s="373"/>
      <c r="I4987" s="70"/>
    </row>
    <row r="4988" spans="3:9" s="46" customFormat="1" x14ac:dyDescent="0.2">
      <c r="C4988" s="144"/>
      <c r="D4988" s="144"/>
      <c r="E4988" s="144"/>
      <c r="F4988" s="373"/>
      <c r="I4988" s="70"/>
    </row>
    <row r="4989" spans="3:9" s="46" customFormat="1" x14ac:dyDescent="0.2">
      <c r="C4989" s="144"/>
      <c r="D4989" s="144"/>
      <c r="E4989" s="144"/>
      <c r="F4989" s="373"/>
      <c r="I4989" s="70"/>
    </row>
    <row r="4990" spans="3:9" s="46" customFormat="1" x14ac:dyDescent="0.2">
      <c r="C4990" s="144"/>
      <c r="D4990" s="144"/>
      <c r="E4990" s="144"/>
      <c r="F4990" s="373"/>
      <c r="I4990" s="70"/>
    </row>
    <row r="4991" spans="3:9" s="46" customFormat="1" x14ac:dyDescent="0.2">
      <c r="C4991" s="144"/>
      <c r="D4991" s="144"/>
      <c r="E4991" s="144"/>
      <c r="F4991" s="373"/>
      <c r="I4991" s="70"/>
    </row>
    <row r="4992" spans="3:9" s="46" customFormat="1" x14ac:dyDescent="0.2">
      <c r="C4992" s="144"/>
      <c r="D4992" s="144"/>
      <c r="E4992" s="144"/>
      <c r="F4992" s="373"/>
      <c r="I4992" s="70"/>
    </row>
    <row r="4993" spans="3:9" s="46" customFormat="1" x14ac:dyDescent="0.2">
      <c r="C4993" s="144"/>
      <c r="D4993" s="144"/>
      <c r="E4993" s="144"/>
      <c r="F4993" s="373"/>
      <c r="I4993" s="70"/>
    </row>
    <row r="4994" spans="3:9" s="46" customFormat="1" x14ac:dyDescent="0.2">
      <c r="C4994" s="144"/>
      <c r="D4994" s="144"/>
      <c r="E4994" s="144"/>
      <c r="F4994" s="373"/>
      <c r="I4994" s="70"/>
    </row>
    <row r="4995" spans="3:9" s="46" customFormat="1" x14ac:dyDescent="0.2">
      <c r="C4995" s="144"/>
      <c r="D4995" s="144"/>
      <c r="E4995" s="144"/>
      <c r="F4995" s="373"/>
      <c r="I4995" s="70"/>
    </row>
    <row r="4996" spans="3:9" s="46" customFormat="1" x14ac:dyDescent="0.2">
      <c r="C4996" s="144"/>
      <c r="D4996" s="144"/>
      <c r="E4996" s="144"/>
      <c r="F4996" s="373"/>
      <c r="I4996" s="70"/>
    </row>
    <row r="4997" spans="3:9" s="46" customFormat="1" x14ac:dyDescent="0.2">
      <c r="C4997" s="144"/>
      <c r="D4997" s="144"/>
      <c r="E4997" s="144"/>
      <c r="F4997" s="373"/>
      <c r="I4997" s="70"/>
    </row>
    <row r="4998" spans="3:9" s="46" customFormat="1" x14ac:dyDescent="0.2">
      <c r="C4998" s="144"/>
      <c r="D4998" s="144"/>
      <c r="E4998" s="144"/>
      <c r="F4998" s="373"/>
      <c r="I4998" s="70"/>
    </row>
    <row r="4999" spans="3:9" s="46" customFormat="1" x14ac:dyDescent="0.2">
      <c r="C4999" s="144"/>
      <c r="D4999" s="144"/>
      <c r="E4999" s="144"/>
      <c r="F4999" s="373"/>
      <c r="I4999" s="70"/>
    </row>
    <row r="5000" spans="3:9" s="46" customFormat="1" x14ac:dyDescent="0.2">
      <c r="C5000" s="144"/>
      <c r="D5000" s="144"/>
      <c r="E5000" s="144"/>
      <c r="F5000" s="373"/>
      <c r="I5000" s="70"/>
    </row>
    <row r="5001" spans="3:9" s="46" customFormat="1" x14ac:dyDescent="0.2">
      <c r="C5001" s="144"/>
      <c r="D5001" s="144"/>
      <c r="E5001" s="144"/>
      <c r="F5001" s="373"/>
      <c r="I5001" s="70"/>
    </row>
    <row r="5002" spans="3:9" s="46" customFormat="1" x14ac:dyDescent="0.2">
      <c r="C5002" s="144"/>
      <c r="D5002" s="144"/>
      <c r="E5002" s="144"/>
      <c r="F5002" s="373"/>
      <c r="I5002" s="70"/>
    </row>
    <row r="5003" spans="3:9" s="46" customFormat="1" x14ac:dyDescent="0.2">
      <c r="C5003" s="144"/>
      <c r="D5003" s="144"/>
      <c r="E5003" s="144"/>
      <c r="F5003" s="373"/>
      <c r="I5003" s="70"/>
    </row>
    <row r="5004" spans="3:9" s="46" customFormat="1" x14ac:dyDescent="0.2">
      <c r="C5004" s="144"/>
      <c r="D5004" s="144"/>
      <c r="E5004" s="144"/>
      <c r="F5004" s="373"/>
      <c r="I5004" s="70"/>
    </row>
    <row r="5005" spans="3:9" s="46" customFormat="1" x14ac:dyDescent="0.2">
      <c r="C5005" s="144"/>
      <c r="D5005" s="144"/>
      <c r="E5005" s="144"/>
      <c r="F5005" s="373"/>
      <c r="I5005" s="70"/>
    </row>
    <row r="5006" spans="3:9" s="46" customFormat="1" x14ac:dyDescent="0.2">
      <c r="C5006" s="144"/>
      <c r="D5006" s="144"/>
      <c r="E5006" s="144"/>
      <c r="F5006" s="373"/>
      <c r="I5006" s="70"/>
    </row>
    <row r="5007" spans="3:9" s="46" customFormat="1" x14ac:dyDescent="0.2">
      <c r="C5007" s="144"/>
      <c r="D5007" s="144"/>
      <c r="E5007" s="144"/>
      <c r="F5007" s="373"/>
      <c r="I5007" s="70"/>
    </row>
    <row r="5008" spans="3:9" s="46" customFormat="1" x14ac:dyDescent="0.2">
      <c r="C5008" s="144"/>
      <c r="D5008" s="144"/>
      <c r="E5008" s="144"/>
      <c r="F5008" s="373"/>
      <c r="I5008" s="70"/>
    </row>
    <row r="5009" spans="3:9" s="46" customFormat="1" x14ac:dyDescent="0.2">
      <c r="C5009" s="144"/>
      <c r="D5009" s="144"/>
      <c r="E5009" s="144"/>
      <c r="F5009" s="373"/>
      <c r="I5009" s="70"/>
    </row>
    <row r="5010" spans="3:9" s="46" customFormat="1" x14ac:dyDescent="0.2">
      <c r="C5010" s="144"/>
      <c r="D5010" s="144"/>
      <c r="E5010" s="144"/>
      <c r="F5010" s="373"/>
      <c r="I5010" s="70"/>
    </row>
    <row r="5011" spans="3:9" s="46" customFormat="1" x14ac:dyDescent="0.2">
      <c r="C5011" s="144"/>
      <c r="D5011" s="144"/>
      <c r="E5011" s="144"/>
      <c r="F5011" s="373"/>
      <c r="I5011" s="70"/>
    </row>
    <row r="5012" spans="3:9" s="46" customFormat="1" x14ac:dyDescent="0.2">
      <c r="C5012" s="144"/>
      <c r="D5012" s="144"/>
      <c r="E5012" s="144"/>
      <c r="F5012" s="373"/>
      <c r="I5012" s="70"/>
    </row>
    <row r="5013" spans="3:9" s="46" customFormat="1" x14ac:dyDescent="0.2">
      <c r="C5013" s="144"/>
      <c r="D5013" s="144"/>
      <c r="E5013" s="144"/>
      <c r="F5013" s="373"/>
      <c r="I5013" s="70"/>
    </row>
    <row r="5014" spans="3:9" s="46" customFormat="1" x14ac:dyDescent="0.2">
      <c r="C5014" s="144"/>
      <c r="D5014" s="144"/>
      <c r="E5014" s="144"/>
      <c r="F5014" s="373"/>
      <c r="I5014" s="70"/>
    </row>
    <row r="5015" spans="3:9" s="46" customFormat="1" x14ac:dyDescent="0.2">
      <c r="C5015" s="144"/>
      <c r="D5015" s="144"/>
      <c r="E5015" s="144"/>
      <c r="F5015" s="373"/>
      <c r="I5015" s="70"/>
    </row>
    <row r="5016" spans="3:9" s="46" customFormat="1" x14ac:dyDescent="0.2">
      <c r="C5016" s="144"/>
      <c r="D5016" s="144"/>
      <c r="E5016" s="144"/>
      <c r="F5016" s="373"/>
      <c r="I5016" s="70"/>
    </row>
    <row r="5017" spans="3:9" s="46" customFormat="1" x14ac:dyDescent="0.2">
      <c r="C5017" s="144"/>
      <c r="D5017" s="144"/>
      <c r="E5017" s="144"/>
      <c r="F5017" s="373"/>
      <c r="I5017" s="70"/>
    </row>
    <row r="5018" spans="3:9" s="46" customFormat="1" x14ac:dyDescent="0.2">
      <c r="C5018" s="144"/>
      <c r="D5018" s="144"/>
      <c r="E5018" s="144"/>
      <c r="F5018" s="373"/>
      <c r="I5018" s="70"/>
    </row>
    <row r="5019" spans="3:9" s="46" customFormat="1" x14ac:dyDescent="0.2">
      <c r="C5019" s="144"/>
      <c r="D5019" s="144"/>
      <c r="E5019" s="144"/>
      <c r="F5019" s="373"/>
      <c r="I5019" s="70"/>
    </row>
    <row r="5020" spans="3:9" s="46" customFormat="1" x14ac:dyDescent="0.2">
      <c r="C5020" s="144"/>
      <c r="D5020" s="144"/>
      <c r="E5020" s="144"/>
      <c r="F5020" s="373"/>
      <c r="I5020" s="70"/>
    </row>
    <row r="5021" spans="3:9" s="46" customFormat="1" x14ac:dyDescent="0.2">
      <c r="C5021" s="144"/>
      <c r="D5021" s="144"/>
      <c r="E5021" s="144"/>
      <c r="F5021" s="373"/>
      <c r="I5021" s="70"/>
    </row>
    <row r="5022" spans="3:9" s="46" customFormat="1" x14ac:dyDescent="0.2">
      <c r="C5022" s="144"/>
      <c r="D5022" s="144"/>
      <c r="E5022" s="144"/>
      <c r="F5022" s="373"/>
      <c r="I5022" s="70"/>
    </row>
    <row r="5023" spans="3:9" s="46" customFormat="1" x14ac:dyDescent="0.2">
      <c r="C5023" s="144"/>
      <c r="D5023" s="144"/>
      <c r="E5023" s="144"/>
      <c r="F5023" s="373"/>
      <c r="I5023" s="70"/>
    </row>
    <row r="5024" spans="3:9" s="46" customFormat="1" x14ac:dyDescent="0.2">
      <c r="C5024" s="144"/>
      <c r="D5024" s="144"/>
      <c r="E5024" s="144"/>
      <c r="F5024" s="373"/>
      <c r="I5024" s="70"/>
    </row>
    <row r="5025" spans="3:9" s="46" customFormat="1" x14ac:dyDescent="0.2">
      <c r="C5025" s="144"/>
      <c r="D5025" s="144"/>
      <c r="E5025" s="144"/>
      <c r="F5025" s="373"/>
      <c r="I5025" s="70"/>
    </row>
    <row r="5026" spans="3:9" s="46" customFormat="1" x14ac:dyDescent="0.2">
      <c r="C5026" s="144"/>
      <c r="D5026" s="144"/>
      <c r="E5026" s="144"/>
      <c r="F5026" s="373"/>
      <c r="I5026" s="70"/>
    </row>
    <row r="5027" spans="3:9" s="46" customFormat="1" x14ac:dyDescent="0.2">
      <c r="C5027" s="144"/>
      <c r="D5027" s="144"/>
      <c r="E5027" s="144"/>
      <c r="F5027" s="373"/>
      <c r="I5027" s="70"/>
    </row>
    <row r="5028" spans="3:9" s="46" customFormat="1" x14ac:dyDescent="0.2">
      <c r="C5028" s="144"/>
      <c r="D5028" s="144"/>
      <c r="E5028" s="144"/>
      <c r="F5028" s="373"/>
      <c r="I5028" s="70"/>
    </row>
    <row r="5029" spans="3:9" s="46" customFormat="1" x14ac:dyDescent="0.2">
      <c r="C5029" s="144"/>
      <c r="D5029" s="144"/>
      <c r="E5029" s="144"/>
      <c r="F5029" s="373"/>
      <c r="I5029" s="70"/>
    </row>
    <row r="5030" spans="3:9" s="46" customFormat="1" x14ac:dyDescent="0.2">
      <c r="C5030" s="144"/>
      <c r="D5030" s="144"/>
      <c r="E5030" s="144"/>
      <c r="F5030" s="373"/>
      <c r="I5030" s="70"/>
    </row>
    <row r="5031" spans="3:9" s="46" customFormat="1" x14ac:dyDescent="0.2">
      <c r="C5031" s="144"/>
      <c r="D5031" s="144"/>
      <c r="E5031" s="144"/>
      <c r="F5031" s="373"/>
      <c r="I5031" s="70"/>
    </row>
    <row r="5032" spans="3:9" s="46" customFormat="1" x14ac:dyDescent="0.2">
      <c r="C5032" s="144"/>
      <c r="D5032" s="144"/>
      <c r="E5032" s="144"/>
      <c r="F5032" s="373"/>
      <c r="I5032" s="70"/>
    </row>
    <row r="5033" spans="3:9" s="46" customFormat="1" x14ac:dyDescent="0.2">
      <c r="C5033" s="144"/>
      <c r="D5033" s="144"/>
      <c r="E5033" s="144"/>
      <c r="F5033" s="373"/>
      <c r="I5033" s="70"/>
    </row>
    <row r="5034" spans="3:9" s="46" customFormat="1" x14ac:dyDescent="0.2">
      <c r="C5034" s="144"/>
      <c r="D5034" s="144"/>
      <c r="E5034" s="144"/>
      <c r="F5034" s="373"/>
      <c r="I5034" s="70"/>
    </row>
    <row r="5035" spans="3:9" s="46" customFormat="1" x14ac:dyDescent="0.2">
      <c r="C5035" s="144"/>
      <c r="D5035" s="144"/>
      <c r="E5035" s="144"/>
      <c r="F5035" s="373"/>
      <c r="I5035" s="70"/>
    </row>
    <row r="5036" spans="3:9" s="46" customFormat="1" x14ac:dyDescent="0.2">
      <c r="C5036" s="144"/>
      <c r="D5036" s="144"/>
      <c r="E5036" s="144"/>
      <c r="F5036" s="373"/>
      <c r="I5036" s="70"/>
    </row>
    <row r="5037" spans="3:9" s="46" customFormat="1" x14ac:dyDescent="0.2">
      <c r="C5037" s="144"/>
      <c r="D5037" s="144"/>
      <c r="E5037" s="144"/>
      <c r="F5037" s="373"/>
      <c r="I5037" s="70"/>
    </row>
    <row r="5038" spans="3:9" s="46" customFormat="1" x14ac:dyDescent="0.2">
      <c r="C5038" s="144"/>
      <c r="D5038" s="144"/>
      <c r="E5038" s="144"/>
      <c r="F5038" s="373"/>
      <c r="I5038" s="70"/>
    </row>
    <row r="5039" spans="3:9" s="46" customFormat="1" x14ac:dyDescent="0.2">
      <c r="C5039" s="144"/>
      <c r="D5039" s="144"/>
      <c r="E5039" s="144"/>
      <c r="F5039" s="373"/>
      <c r="I5039" s="70"/>
    </row>
    <row r="5040" spans="3:9" s="46" customFormat="1" x14ac:dyDescent="0.2">
      <c r="C5040" s="144"/>
      <c r="D5040" s="144"/>
      <c r="E5040" s="144"/>
      <c r="F5040" s="373"/>
      <c r="I5040" s="70"/>
    </row>
    <row r="5041" spans="3:9" s="46" customFormat="1" x14ac:dyDescent="0.2">
      <c r="C5041" s="144"/>
      <c r="D5041" s="144"/>
      <c r="E5041" s="144"/>
      <c r="F5041" s="373"/>
      <c r="I5041" s="70"/>
    </row>
    <row r="5042" spans="3:9" s="46" customFormat="1" x14ac:dyDescent="0.2">
      <c r="C5042" s="144"/>
      <c r="D5042" s="144"/>
      <c r="E5042" s="144"/>
      <c r="F5042" s="373"/>
      <c r="I5042" s="70"/>
    </row>
    <row r="5043" spans="3:9" s="46" customFormat="1" x14ac:dyDescent="0.2">
      <c r="C5043" s="144"/>
      <c r="D5043" s="144"/>
      <c r="E5043" s="144"/>
      <c r="F5043" s="373"/>
      <c r="I5043" s="70"/>
    </row>
    <row r="5044" spans="3:9" s="46" customFormat="1" x14ac:dyDescent="0.2">
      <c r="C5044" s="144"/>
      <c r="D5044" s="144"/>
      <c r="E5044" s="144"/>
      <c r="F5044" s="373"/>
      <c r="I5044" s="70"/>
    </row>
    <row r="5045" spans="3:9" s="46" customFormat="1" x14ac:dyDescent="0.2">
      <c r="C5045" s="144"/>
      <c r="D5045" s="144"/>
      <c r="E5045" s="144"/>
      <c r="F5045" s="373"/>
      <c r="I5045" s="70"/>
    </row>
    <row r="5046" spans="3:9" s="46" customFormat="1" x14ac:dyDescent="0.2">
      <c r="C5046" s="144"/>
      <c r="D5046" s="144"/>
      <c r="E5046" s="144"/>
      <c r="F5046" s="373"/>
      <c r="I5046" s="70"/>
    </row>
    <row r="5047" spans="3:9" s="46" customFormat="1" x14ac:dyDescent="0.2">
      <c r="C5047" s="144"/>
      <c r="D5047" s="144"/>
      <c r="E5047" s="144"/>
      <c r="F5047" s="373"/>
      <c r="I5047" s="70"/>
    </row>
    <row r="5048" spans="3:9" s="46" customFormat="1" x14ac:dyDescent="0.2">
      <c r="C5048" s="144"/>
      <c r="D5048" s="144"/>
      <c r="E5048" s="144"/>
      <c r="F5048" s="373"/>
      <c r="I5048" s="70"/>
    </row>
    <row r="5049" spans="3:9" s="46" customFormat="1" x14ac:dyDescent="0.2">
      <c r="C5049" s="144"/>
      <c r="D5049" s="144"/>
      <c r="E5049" s="144"/>
      <c r="F5049" s="373"/>
      <c r="I5049" s="70"/>
    </row>
    <row r="5050" spans="3:9" s="46" customFormat="1" x14ac:dyDescent="0.2">
      <c r="C5050" s="144"/>
      <c r="D5050" s="144"/>
      <c r="E5050" s="144"/>
      <c r="F5050" s="373"/>
      <c r="I5050" s="70"/>
    </row>
    <row r="5051" spans="3:9" s="46" customFormat="1" x14ac:dyDescent="0.2">
      <c r="C5051" s="144"/>
      <c r="D5051" s="144"/>
      <c r="E5051" s="144"/>
      <c r="F5051" s="373"/>
      <c r="I5051" s="70"/>
    </row>
    <row r="5052" spans="3:9" s="46" customFormat="1" x14ac:dyDescent="0.2">
      <c r="C5052" s="144"/>
      <c r="D5052" s="144"/>
      <c r="E5052" s="144"/>
      <c r="F5052" s="373"/>
      <c r="I5052" s="70"/>
    </row>
    <row r="5053" spans="3:9" s="46" customFormat="1" x14ac:dyDescent="0.2">
      <c r="C5053" s="144"/>
      <c r="D5053" s="144"/>
      <c r="E5053" s="144"/>
      <c r="F5053" s="373"/>
      <c r="I5053" s="70"/>
    </row>
    <row r="5054" spans="3:9" s="46" customFormat="1" x14ac:dyDescent="0.2">
      <c r="C5054" s="144"/>
      <c r="D5054" s="144"/>
      <c r="E5054" s="144"/>
      <c r="F5054" s="373"/>
      <c r="I5054" s="70"/>
    </row>
    <row r="5055" spans="3:9" s="46" customFormat="1" x14ac:dyDescent="0.2">
      <c r="C5055" s="144"/>
      <c r="D5055" s="144"/>
      <c r="E5055" s="144"/>
      <c r="F5055" s="373"/>
      <c r="I5055" s="70"/>
    </row>
    <row r="5056" spans="3:9" s="46" customFormat="1" x14ac:dyDescent="0.2">
      <c r="C5056" s="144"/>
      <c r="D5056" s="144"/>
      <c r="E5056" s="144"/>
      <c r="F5056" s="373"/>
      <c r="I5056" s="70"/>
    </row>
    <row r="5057" spans="3:9" s="46" customFormat="1" x14ac:dyDescent="0.2">
      <c r="C5057" s="144"/>
      <c r="D5057" s="144"/>
      <c r="E5057" s="144"/>
      <c r="F5057" s="373"/>
      <c r="I5057" s="70"/>
    </row>
    <row r="5058" spans="3:9" s="46" customFormat="1" x14ac:dyDescent="0.2">
      <c r="C5058" s="144"/>
      <c r="D5058" s="144"/>
      <c r="E5058" s="144"/>
      <c r="F5058" s="373"/>
      <c r="I5058" s="70"/>
    </row>
    <row r="5059" spans="3:9" s="46" customFormat="1" x14ac:dyDescent="0.2">
      <c r="C5059" s="144"/>
      <c r="D5059" s="144"/>
      <c r="E5059" s="144"/>
      <c r="F5059" s="373"/>
      <c r="I5059" s="70"/>
    </row>
    <row r="5060" spans="3:9" s="46" customFormat="1" x14ac:dyDescent="0.2">
      <c r="C5060" s="144"/>
      <c r="D5060" s="144"/>
      <c r="E5060" s="144"/>
      <c r="F5060" s="373"/>
      <c r="I5060" s="70"/>
    </row>
    <row r="5061" spans="3:9" s="46" customFormat="1" x14ac:dyDescent="0.2">
      <c r="C5061" s="144"/>
      <c r="D5061" s="144"/>
      <c r="E5061" s="144"/>
      <c r="F5061" s="373"/>
      <c r="I5061" s="70"/>
    </row>
    <row r="5062" spans="3:9" s="46" customFormat="1" x14ac:dyDescent="0.2">
      <c r="C5062" s="144"/>
      <c r="D5062" s="144"/>
      <c r="E5062" s="144"/>
      <c r="F5062" s="373"/>
      <c r="I5062" s="70"/>
    </row>
    <row r="5063" spans="3:9" s="46" customFormat="1" x14ac:dyDescent="0.2">
      <c r="C5063" s="144"/>
      <c r="D5063" s="144"/>
      <c r="E5063" s="144"/>
      <c r="F5063" s="373"/>
      <c r="I5063" s="70"/>
    </row>
    <row r="5064" spans="3:9" s="46" customFormat="1" x14ac:dyDescent="0.2">
      <c r="C5064" s="144"/>
      <c r="D5064" s="144"/>
      <c r="E5064" s="144"/>
      <c r="F5064" s="373"/>
      <c r="I5064" s="70"/>
    </row>
    <row r="5065" spans="3:9" s="46" customFormat="1" x14ac:dyDescent="0.2">
      <c r="C5065" s="144"/>
      <c r="D5065" s="144"/>
      <c r="E5065" s="144"/>
      <c r="F5065" s="373"/>
      <c r="I5065" s="70"/>
    </row>
    <row r="5066" spans="3:9" s="46" customFormat="1" x14ac:dyDescent="0.2">
      <c r="C5066" s="144"/>
      <c r="D5066" s="144"/>
      <c r="E5066" s="144"/>
      <c r="F5066" s="373"/>
      <c r="I5066" s="70"/>
    </row>
    <row r="5067" spans="3:9" s="46" customFormat="1" x14ac:dyDescent="0.2">
      <c r="C5067" s="144"/>
      <c r="D5067" s="144"/>
      <c r="E5067" s="144"/>
      <c r="F5067" s="373"/>
      <c r="I5067" s="70"/>
    </row>
    <row r="5068" spans="3:9" s="46" customFormat="1" x14ac:dyDescent="0.2">
      <c r="C5068" s="144"/>
      <c r="D5068" s="144"/>
      <c r="E5068" s="144"/>
      <c r="F5068" s="373"/>
      <c r="I5068" s="70"/>
    </row>
    <row r="5069" spans="3:9" s="46" customFormat="1" x14ac:dyDescent="0.2">
      <c r="C5069" s="144"/>
      <c r="D5069" s="144"/>
      <c r="E5069" s="144"/>
      <c r="F5069" s="373"/>
      <c r="I5069" s="70"/>
    </row>
    <row r="5070" spans="3:9" s="46" customFormat="1" x14ac:dyDescent="0.2">
      <c r="C5070" s="144"/>
      <c r="D5070" s="144"/>
      <c r="E5070" s="144"/>
      <c r="F5070" s="373"/>
      <c r="I5070" s="70"/>
    </row>
    <row r="5071" spans="3:9" s="46" customFormat="1" x14ac:dyDescent="0.2">
      <c r="C5071" s="144"/>
      <c r="D5071" s="144"/>
      <c r="E5071" s="144"/>
      <c r="F5071" s="373"/>
      <c r="I5071" s="70"/>
    </row>
    <row r="5072" spans="3:9" s="46" customFormat="1" x14ac:dyDescent="0.2">
      <c r="C5072" s="144"/>
      <c r="D5072" s="144"/>
      <c r="E5072" s="144"/>
      <c r="F5072" s="373"/>
      <c r="I5072" s="70"/>
    </row>
    <row r="5073" spans="3:9" s="46" customFormat="1" x14ac:dyDescent="0.2">
      <c r="C5073" s="144"/>
      <c r="D5073" s="144"/>
      <c r="E5073" s="144"/>
      <c r="F5073" s="373"/>
      <c r="I5073" s="70"/>
    </row>
    <row r="5074" spans="3:9" s="46" customFormat="1" x14ac:dyDescent="0.2">
      <c r="C5074" s="144"/>
      <c r="D5074" s="144"/>
      <c r="E5074" s="144"/>
      <c r="F5074" s="373"/>
      <c r="I5074" s="70"/>
    </row>
    <row r="5075" spans="3:9" s="46" customFormat="1" x14ac:dyDescent="0.2">
      <c r="C5075" s="144"/>
      <c r="D5075" s="144"/>
      <c r="E5075" s="144"/>
      <c r="F5075" s="373"/>
      <c r="I5075" s="70"/>
    </row>
    <row r="5076" spans="3:9" s="46" customFormat="1" x14ac:dyDescent="0.2">
      <c r="C5076" s="144"/>
      <c r="D5076" s="144"/>
      <c r="E5076" s="144"/>
      <c r="F5076" s="373"/>
      <c r="I5076" s="70"/>
    </row>
    <row r="5077" spans="3:9" s="46" customFormat="1" x14ac:dyDescent="0.2">
      <c r="C5077" s="144"/>
      <c r="D5077" s="144"/>
      <c r="E5077" s="144"/>
      <c r="F5077" s="373"/>
      <c r="I5077" s="70"/>
    </row>
    <row r="5078" spans="3:9" s="46" customFormat="1" x14ac:dyDescent="0.2">
      <c r="C5078" s="144"/>
      <c r="D5078" s="144"/>
      <c r="E5078" s="144"/>
      <c r="F5078" s="373"/>
      <c r="I5078" s="70"/>
    </row>
    <row r="5079" spans="3:9" s="46" customFormat="1" x14ac:dyDescent="0.2">
      <c r="C5079" s="144"/>
      <c r="D5079" s="144"/>
      <c r="E5079" s="144"/>
      <c r="F5079" s="373"/>
      <c r="I5079" s="70"/>
    </row>
    <row r="5080" spans="3:9" s="46" customFormat="1" x14ac:dyDescent="0.2">
      <c r="C5080" s="144"/>
      <c r="D5080" s="144"/>
      <c r="E5080" s="144"/>
      <c r="F5080" s="373"/>
      <c r="I5080" s="70"/>
    </row>
    <row r="5081" spans="3:9" s="46" customFormat="1" x14ac:dyDescent="0.2">
      <c r="C5081" s="144"/>
      <c r="D5081" s="144"/>
      <c r="E5081" s="144"/>
      <c r="F5081" s="373"/>
      <c r="I5081" s="70"/>
    </row>
    <row r="5082" spans="3:9" s="46" customFormat="1" x14ac:dyDescent="0.2">
      <c r="C5082" s="144"/>
      <c r="D5082" s="144"/>
      <c r="E5082" s="144"/>
      <c r="F5082" s="373"/>
      <c r="I5082" s="70"/>
    </row>
    <row r="5083" spans="3:9" s="46" customFormat="1" x14ac:dyDescent="0.2">
      <c r="C5083" s="144"/>
      <c r="D5083" s="144"/>
      <c r="E5083" s="144"/>
      <c r="F5083" s="373"/>
      <c r="I5083" s="70"/>
    </row>
    <row r="5084" spans="3:9" s="46" customFormat="1" x14ac:dyDescent="0.2">
      <c r="C5084" s="144"/>
      <c r="D5084" s="144"/>
      <c r="E5084" s="144"/>
      <c r="F5084" s="373"/>
      <c r="I5084" s="70"/>
    </row>
    <row r="5085" spans="3:9" s="46" customFormat="1" x14ac:dyDescent="0.2">
      <c r="C5085" s="144"/>
      <c r="D5085" s="144"/>
      <c r="E5085" s="144"/>
      <c r="F5085" s="373"/>
      <c r="I5085" s="70"/>
    </row>
    <row r="5086" spans="3:9" s="46" customFormat="1" x14ac:dyDescent="0.2">
      <c r="C5086" s="144"/>
      <c r="D5086" s="144"/>
      <c r="E5086" s="144"/>
      <c r="F5086" s="373"/>
      <c r="I5086" s="70"/>
    </row>
    <row r="5087" spans="3:9" s="46" customFormat="1" x14ac:dyDescent="0.2">
      <c r="C5087" s="144"/>
      <c r="D5087" s="144"/>
      <c r="E5087" s="144"/>
      <c r="F5087" s="373"/>
      <c r="I5087" s="70"/>
    </row>
    <row r="5088" spans="3:9" s="46" customFormat="1" x14ac:dyDescent="0.2">
      <c r="C5088" s="144"/>
      <c r="D5088" s="144"/>
      <c r="E5088" s="144"/>
      <c r="F5088" s="373"/>
      <c r="I5088" s="70"/>
    </row>
    <row r="5089" spans="3:9" s="46" customFormat="1" x14ac:dyDescent="0.2">
      <c r="C5089" s="144"/>
      <c r="D5089" s="144"/>
      <c r="E5089" s="144"/>
      <c r="F5089" s="373"/>
      <c r="I5089" s="70"/>
    </row>
    <row r="5090" spans="3:9" s="46" customFormat="1" x14ac:dyDescent="0.2">
      <c r="C5090" s="144"/>
      <c r="D5090" s="144"/>
      <c r="E5090" s="144"/>
      <c r="F5090" s="373"/>
      <c r="I5090" s="70"/>
    </row>
    <row r="5091" spans="3:9" s="46" customFormat="1" x14ac:dyDescent="0.2">
      <c r="C5091" s="144"/>
      <c r="D5091" s="144"/>
      <c r="E5091" s="144"/>
      <c r="F5091" s="373"/>
      <c r="I5091" s="70"/>
    </row>
    <row r="5092" spans="3:9" s="46" customFormat="1" x14ac:dyDescent="0.2">
      <c r="C5092" s="144"/>
      <c r="D5092" s="144"/>
      <c r="E5092" s="144"/>
      <c r="F5092" s="373"/>
      <c r="I5092" s="70"/>
    </row>
    <row r="5093" spans="3:9" s="46" customFormat="1" x14ac:dyDescent="0.2">
      <c r="C5093" s="144"/>
      <c r="D5093" s="144"/>
      <c r="E5093" s="144"/>
      <c r="F5093" s="373"/>
      <c r="I5093" s="70"/>
    </row>
    <row r="5094" spans="3:9" s="46" customFormat="1" x14ac:dyDescent="0.2">
      <c r="C5094" s="144"/>
      <c r="D5094" s="144"/>
      <c r="E5094" s="144"/>
      <c r="F5094" s="373"/>
      <c r="I5094" s="70"/>
    </row>
    <row r="5095" spans="3:9" s="46" customFormat="1" x14ac:dyDescent="0.2">
      <c r="C5095" s="144"/>
      <c r="D5095" s="144"/>
      <c r="E5095" s="144"/>
      <c r="F5095" s="373"/>
      <c r="I5095" s="70"/>
    </row>
    <row r="5096" spans="3:9" s="46" customFormat="1" x14ac:dyDescent="0.2">
      <c r="C5096" s="144"/>
      <c r="D5096" s="144"/>
      <c r="E5096" s="144"/>
      <c r="F5096" s="373"/>
      <c r="I5096" s="70"/>
    </row>
    <row r="5097" spans="3:9" s="46" customFormat="1" x14ac:dyDescent="0.2">
      <c r="C5097" s="144"/>
      <c r="D5097" s="144"/>
      <c r="E5097" s="144"/>
      <c r="F5097" s="373"/>
      <c r="I5097" s="70"/>
    </row>
    <row r="5098" spans="3:9" s="46" customFormat="1" x14ac:dyDescent="0.2">
      <c r="C5098" s="144"/>
      <c r="D5098" s="144"/>
      <c r="E5098" s="144"/>
      <c r="F5098" s="373"/>
      <c r="I5098" s="70"/>
    </row>
    <row r="5099" spans="3:9" s="46" customFormat="1" x14ac:dyDescent="0.2">
      <c r="C5099" s="144"/>
      <c r="D5099" s="144"/>
      <c r="E5099" s="144"/>
      <c r="F5099" s="373"/>
      <c r="I5099" s="70"/>
    </row>
    <row r="5100" spans="3:9" s="46" customFormat="1" x14ac:dyDescent="0.2">
      <c r="C5100" s="144"/>
      <c r="D5100" s="144"/>
      <c r="E5100" s="144"/>
      <c r="F5100" s="373"/>
      <c r="I5100" s="70"/>
    </row>
    <row r="5101" spans="3:9" s="46" customFormat="1" x14ac:dyDescent="0.2">
      <c r="C5101" s="144"/>
      <c r="D5101" s="144"/>
      <c r="E5101" s="144"/>
      <c r="F5101" s="373"/>
      <c r="I5101" s="70"/>
    </row>
    <row r="5102" spans="3:9" s="46" customFormat="1" x14ac:dyDescent="0.2">
      <c r="C5102" s="144"/>
      <c r="D5102" s="144"/>
      <c r="E5102" s="144"/>
      <c r="F5102" s="373"/>
      <c r="I5102" s="70"/>
    </row>
    <row r="5103" spans="3:9" s="46" customFormat="1" x14ac:dyDescent="0.2">
      <c r="C5103" s="144"/>
      <c r="D5103" s="144"/>
      <c r="E5103" s="144"/>
      <c r="F5103" s="373"/>
      <c r="I5103" s="70"/>
    </row>
    <row r="5104" spans="3:9" s="46" customFormat="1" x14ac:dyDescent="0.2">
      <c r="C5104" s="144"/>
      <c r="D5104" s="144"/>
      <c r="E5104" s="144"/>
      <c r="F5104" s="373"/>
      <c r="I5104" s="70"/>
    </row>
    <row r="5105" spans="3:9" s="46" customFormat="1" x14ac:dyDescent="0.2">
      <c r="C5105" s="144"/>
      <c r="D5105" s="144"/>
      <c r="E5105" s="144"/>
      <c r="F5105" s="373"/>
      <c r="I5105" s="70"/>
    </row>
    <row r="5106" spans="3:9" s="46" customFormat="1" x14ac:dyDescent="0.2">
      <c r="C5106" s="144"/>
      <c r="D5106" s="144"/>
      <c r="E5106" s="144"/>
      <c r="F5106" s="373"/>
      <c r="I5106" s="70"/>
    </row>
    <row r="5107" spans="3:9" s="46" customFormat="1" x14ac:dyDescent="0.2">
      <c r="C5107" s="144"/>
      <c r="D5107" s="144"/>
      <c r="E5107" s="144"/>
      <c r="F5107" s="373"/>
      <c r="I5107" s="70"/>
    </row>
    <row r="5108" spans="3:9" s="46" customFormat="1" x14ac:dyDescent="0.2">
      <c r="C5108" s="144"/>
      <c r="D5108" s="144"/>
      <c r="E5108" s="144"/>
      <c r="F5108" s="373"/>
      <c r="I5108" s="70"/>
    </row>
    <row r="5109" spans="3:9" s="46" customFormat="1" x14ac:dyDescent="0.2">
      <c r="C5109" s="144"/>
      <c r="D5109" s="144"/>
      <c r="E5109" s="144"/>
      <c r="F5109" s="373"/>
      <c r="I5109" s="70"/>
    </row>
    <row r="5110" spans="3:9" s="46" customFormat="1" x14ac:dyDescent="0.2">
      <c r="C5110" s="144"/>
      <c r="D5110" s="144"/>
      <c r="E5110" s="144"/>
      <c r="F5110" s="373"/>
      <c r="I5110" s="70"/>
    </row>
    <row r="5111" spans="3:9" s="46" customFormat="1" x14ac:dyDescent="0.2">
      <c r="C5111" s="144"/>
      <c r="D5111" s="144"/>
      <c r="E5111" s="144"/>
      <c r="F5111" s="373"/>
      <c r="I5111" s="70"/>
    </row>
    <row r="5112" spans="3:9" s="46" customFormat="1" x14ac:dyDescent="0.2">
      <c r="C5112" s="144"/>
      <c r="D5112" s="144"/>
      <c r="E5112" s="144"/>
      <c r="F5112" s="373"/>
      <c r="I5112" s="70"/>
    </row>
    <row r="5113" spans="3:9" s="46" customFormat="1" x14ac:dyDescent="0.2">
      <c r="C5113" s="144"/>
      <c r="D5113" s="144"/>
      <c r="E5113" s="144"/>
      <c r="F5113" s="373"/>
      <c r="I5113" s="70"/>
    </row>
    <row r="5114" spans="3:9" s="46" customFormat="1" x14ac:dyDescent="0.2">
      <c r="C5114" s="144"/>
      <c r="D5114" s="144"/>
      <c r="E5114" s="144"/>
      <c r="F5114" s="373"/>
      <c r="I5114" s="70"/>
    </row>
    <row r="5115" spans="3:9" s="46" customFormat="1" x14ac:dyDescent="0.2">
      <c r="C5115" s="144"/>
      <c r="D5115" s="144"/>
      <c r="E5115" s="144"/>
      <c r="F5115" s="373"/>
      <c r="I5115" s="70"/>
    </row>
    <row r="5116" spans="3:9" s="46" customFormat="1" x14ac:dyDescent="0.2">
      <c r="C5116" s="144"/>
      <c r="D5116" s="144"/>
      <c r="E5116" s="144"/>
      <c r="F5116" s="373"/>
      <c r="I5116" s="70"/>
    </row>
    <row r="5117" spans="3:9" s="46" customFormat="1" x14ac:dyDescent="0.2">
      <c r="C5117" s="144"/>
      <c r="D5117" s="144"/>
      <c r="E5117" s="144"/>
      <c r="F5117" s="373"/>
      <c r="I5117" s="70"/>
    </row>
    <row r="5118" spans="3:9" s="46" customFormat="1" x14ac:dyDescent="0.2">
      <c r="C5118" s="144"/>
      <c r="D5118" s="144"/>
      <c r="E5118" s="144"/>
      <c r="F5118" s="373"/>
      <c r="I5118" s="70"/>
    </row>
    <row r="5119" spans="3:9" s="46" customFormat="1" x14ac:dyDescent="0.2">
      <c r="C5119" s="144"/>
      <c r="D5119" s="144"/>
      <c r="E5119" s="144"/>
      <c r="F5119" s="373"/>
      <c r="I5119" s="70"/>
    </row>
    <row r="5120" spans="3:9" s="46" customFormat="1" x14ac:dyDescent="0.2">
      <c r="C5120" s="144"/>
      <c r="D5120" s="144"/>
      <c r="E5120" s="144"/>
      <c r="F5120" s="373"/>
      <c r="I5120" s="70"/>
    </row>
    <row r="5121" spans="3:9" s="46" customFormat="1" x14ac:dyDescent="0.2">
      <c r="C5121" s="144"/>
      <c r="D5121" s="144"/>
      <c r="E5121" s="144"/>
      <c r="F5121" s="373"/>
      <c r="I5121" s="70"/>
    </row>
    <row r="5122" spans="3:9" s="46" customFormat="1" x14ac:dyDescent="0.2">
      <c r="C5122" s="144"/>
      <c r="D5122" s="144"/>
      <c r="E5122" s="144"/>
      <c r="F5122" s="373"/>
      <c r="I5122" s="70"/>
    </row>
    <row r="5123" spans="3:9" s="46" customFormat="1" x14ac:dyDescent="0.2">
      <c r="C5123" s="144"/>
      <c r="D5123" s="144"/>
      <c r="E5123" s="144"/>
      <c r="F5123" s="373"/>
      <c r="I5123" s="70"/>
    </row>
    <row r="5124" spans="3:9" s="46" customFormat="1" x14ac:dyDescent="0.2">
      <c r="C5124" s="144"/>
      <c r="D5124" s="144"/>
      <c r="E5124" s="144"/>
      <c r="F5124" s="373"/>
      <c r="I5124" s="70"/>
    </row>
    <row r="5125" spans="3:9" s="46" customFormat="1" x14ac:dyDescent="0.2">
      <c r="C5125" s="144"/>
      <c r="D5125" s="144"/>
      <c r="E5125" s="144"/>
      <c r="F5125" s="373"/>
      <c r="I5125" s="70"/>
    </row>
    <row r="5126" spans="3:9" s="46" customFormat="1" x14ac:dyDescent="0.2">
      <c r="C5126" s="144"/>
      <c r="D5126" s="144"/>
      <c r="E5126" s="144"/>
      <c r="F5126" s="373"/>
      <c r="I5126" s="70"/>
    </row>
    <row r="5127" spans="3:9" s="46" customFormat="1" x14ac:dyDescent="0.2">
      <c r="C5127" s="144"/>
      <c r="D5127" s="144"/>
      <c r="E5127" s="144"/>
      <c r="F5127" s="373"/>
      <c r="I5127" s="70"/>
    </row>
    <row r="5128" spans="3:9" s="46" customFormat="1" x14ac:dyDescent="0.2">
      <c r="C5128" s="144"/>
      <c r="D5128" s="144"/>
      <c r="E5128" s="144"/>
      <c r="F5128" s="373"/>
      <c r="I5128" s="70"/>
    </row>
    <row r="5129" spans="3:9" s="46" customFormat="1" x14ac:dyDescent="0.2">
      <c r="C5129" s="144"/>
      <c r="D5129" s="144"/>
      <c r="E5129" s="144"/>
      <c r="F5129" s="373"/>
      <c r="I5129" s="70"/>
    </row>
    <row r="5130" spans="3:9" s="46" customFormat="1" x14ac:dyDescent="0.2">
      <c r="C5130" s="144"/>
      <c r="D5130" s="144"/>
      <c r="E5130" s="144"/>
      <c r="F5130" s="373"/>
      <c r="I5130" s="70"/>
    </row>
    <row r="5131" spans="3:9" s="46" customFormat="1" x14ac:dyDescent="0.2">
      <c r="C5131" s="144"/>
      <c r="D5131" s="144"/>
      <c r="E5131" s="144"/>
      <c r="F5131" s="373"/>
      <c r="I5131" s="70"/>
    </row>
    <row r="5132" spans="3:9" s="46" customFormat="1" x14ac:dyDescent="0.2">
      <c r="C5132" s="144"/>
      <c r="D5132" s="144"/>
      <c r="E5132" s="144"/>
      <c r="F5132" s="373"/>
      <c r="I5132" s="70"/>
    </row>
    <row r="5133" spans="3:9" s="46" customFormat="1" x14ac:dyDescent="0.2">
      <c r="C5133" s="144"/>
      <c r="D5133" s="144"/>
      <c r="E5133" s="144"/>
      <c r="F5133" s="373"/>
      <c r="I5133" s="70"/>
    </row>
    <row r="5134" spans="3:9" s="46" customFormat="1" x14ac:dyDescent="0.2">
      <c r="C5134" s="144"/>
      <c r="D5134" s="144"/>
      <c r="E5134" s="144"/>
      <c r="F5134" s="373"/>
      <c r="I5134" s="70"/>
    </row>
    <row r="5135" spans="3:9" s="46" customFormat="1" x14ac:dyDescent="0.2">
      <c r="C5135" s="144"/>
      <c r="D5135" s="144"/>
      <c r="E5135" s="144"/>
      <c r="F5135" s="373"/>
      <c r="I5135" s="70"/>
    </row>
    <row r="5136" spans="3:9" s="46" customFormat="1" x14ac:dyDescent="0.2">
      <c r="C5136" s="144"/>
      <c r="D5136" s="144"/>
      <c r="E5136" s="144"/>
      <c r="F5136" s="373"/>
      <c r="I5136" s="70"/>
    </row>
    <row r="5137" spans="3:9" s="46" customFormat="1" x14ac:dyDescent="0.2">
      <c r="C5137" s="144"/>
      <c r="D5137" s="144"/>
      <c r="E5137" s="144"/>
      <c r="F5137" s="373"/>
      <c r="I5137" s="70"/>
    </row>
    <row r="5138" spans="3:9" s="46" customFormat="1" x14ac:dyDescent="0.2">
      <c r="C5138" s="144"/>
      <c r="D5138" s="144"/>
      <c r="E5138" s="144"/>
      <c r="F5138" s="373"/>
      <c r="I5138" s="70"/>
    </row>
    <row r="5139" spans="3:9" s="46" customFormat="1" x14ac:dyDescent="0.2">
      <c r="C5139" s="144"/>
      <c r="D5139" s="144"/>
      <c r="E5139" s="144"/>
      <c r="F5139" s="373"/>
      <c r="I5139" s="70"/>
    </row>
    <row r="5140" spans="3:9" s="46" customFormat="1" x14ac:dyDescent="0.2">
      <c r="C5140" s="144"/>
      <c r="D5140" s="144"/>
      <c r="E5140" s="144"/>
      <c r="F5140" s="373"/>
      <c r="I5140" s="70"/>
    </row>
    <row r="5141" spans="3:9" s="46" customFormat="1" x14ac:dyDescent="0.2">
      <c r="C5141" s="144"/>
      <c r="D5141" s="144"/>
      <c r="E5141" s="144"/>
      <c r="F5141" s="373"/>
      <c r="I5141" s="70"/>
    </row>
    <row r="5142" spans="3:9" s="46" customFormat="1" x14ac:dyDescent="0.2">
      <c r="C5142" s="144"/>
      <c r="D5142" s="144"/>
      <c r="E5142" s="144"/>
      <c r="F5142" s="373"/>
      <c r="I5142" s="70"/>
    </row>
    <row r="5143" spans="3:9" s="46" customFormat="1" x14ac:dyDescent="0.2">
      <c r="C5143" s="144"/>
      <c r="D5143" s="144"/>
      <c r="E5143" s="144"/>
      <c r="F5143" s="373"/>
      <c r="I5143" s="70"/>
    </row>
    <row r="5144" spans="3:9" s="46" customFormat="1" x14ac:dyDescent="0.2">
      <c r="C5144" s="144"/>
      <c r="D5144" s="144"/>
      <c r="E5144" s="144"/>
      <c r="F5144" s="373"/>
      <c r="I5144" s="70"/>
    </row>
    <row r="5145" spans="3:9" s="46" customFormat="1" x14ac:dyDescent="0.2">
      <c r="C5145" s="144"/>
      <c r="D5145" s="144"/>
      <c r="E5145" s="144"/>
      <c r="F5145" s="373"/>
      <c r="I5145" s="70"/>
    </row>
    <row r="5146" spans="3:9" s="46" customFormat="1" x14ac:dyDescent="0.2">
      <c r="C5146" s="144"/>
      <c r="D5146" s="144"/>
      <c r="E5146" s="144"/>
      <c r="F5146" s="373"/>
      <c r="I5146" s="70"/>
    </row>
    <row r="5147" spans="3:9" s="46" customFormat="1" x14ac:dyDescent="0.2">
      <c r="C5147" s="144"/>
      <c r="D5147" s="144"/>
      <c r="E5147" s="144"/>
      <c r="F5147" s="373"/>
      <c r="I5147" s="70"/>
    </row>
    <row r="5148" spans="3:9" s="46" customFormat="1" x14ac:dyDescent="0.2">
      <c r="C5148" s="144"/>
      <c r="D5148" s="144"/>
      <c r="E5148" s="144"/>
      <c r="F5148" s="373"/>
      <c r="I5148" s="70"/>
    </row>
    <row r="5149" spans="3:9" s="46" customFormat="1" x14ac:dyDescent="0.2">
      <c r="C5149" s="144"/>
      <c r="D5149" s="144"/>
      <c r="E5149" s="144"/>
      <c r="F5149" s="373"/>
      <c r="I5149" s="70"/>
    </row>
    <row r="5150" spans="3:9" s="46" customFormat="1" x14ac:dyDescent="0.2">
      <c r="C5150" s="144"/>
      <c r="D5150" s="144"/>
      <c r="E5150" s="144"/>
      <c r="F5150" s="373"/>
      <c r="I5150" s="70"/>
    </row>
    <row r="5151" spans="3:9" s="46" customFormat="1" x14ac:dyDescent="0.2">
      <c r="C5151" s="144"/>
      <c r="D5151" s="144"/>
      <c r="E5151" s="144"/>
      <c r="F5151" s="373"/>
      <c r="I5151" s="70"/>
    </row>
    <row r="5152" spans="3:9" s="46" customFormat="1" x14ac:dyDescent="0.2">
      <c r="C5152" s="144"/>
      <c r="D5152" s="144"/>
      <c r="E5152" s="144"/>
      <c r="F5152" s="373"/>
      <c r="I5152" s="70"/>
    </row>
    <row r="5153" spans="3:9" s="46" customFormat="1" x14ac:dyDescent="0.2">
      <c r="C5153" s="144"/>
      <c r="D5153" s="144"/>
      <c r="E5153" s="144"/>
      <c r="F5153" s="373"/>
      <c r="I5153" s="70"/>
    </row>
    <row r="5154" spans="3:9" s="46" customFormat="1" x14ac:dyDescent="0.2">
      <c r="C5154" s="144"/>
      <c r="D5154" s="144"/>
      <c r="E5154" s="144"/>
      <c r="F5154" s="373"/>
      <c r="I5154" s="70"/>
    </row>
    <row r="5155" spans="3:9" s="46" customFormat="1" x14ac:dyDescent="0.2">
      <c r="C5155" s="144"/>
      <c r="D5155" s="144"/>
      <c r="E5155" s="144"/>
      <c r="F5155" s="373"/>
      <c r="I5155" s="70"/>
    </row>
    <row r="5156" spans="3:9" s="46" customFormat="1" x14ac:dyDescent="0.2">
      <c r="C5156" s="144"/>
      <c r="D5156" s="144"/>
      <c r="E5156" s="144"/>
      <c r="F5156" s="373"/>
      <c r="I5156" s="70"/>
    </row>
    <row r="5157" spans="3:9" s="46" customFormat="1" x14ac:dyDescent="0.2">
      <c r="C5157" s="144"/>
      <c r="D5157" s="144"/>
      <c r="E5157" s="144"/>
      <c r="F5157" s="373"/>
      <c r="I5157" s="70"/>
    </row>
    <row r="5158" spans="3:9" s="46" customFormat="1" x14ac:dyDescent="0.2">
      <c r="C5158" s="144"/>
      <c r="D5158" s="144"/>
      <c r="E5158" s="144"/>
      <c r="F5158" s="373"/>
      <c r="I5158" s="70"/>
    </row>
    <row r="5159" spans="3:9" s="46" customFormat="1" x14ac:dyDescent="0.2">
      <c r="C5159" s="144"/>
      <c r="D5159" s="144"/>
      <c r="E5159" s="144"/>
      <c r="F5159" s="373"/>
      <c r="I5159" s="70"/>
    </row>
    <row r="5160" spans="3:9" s="46" customFormat="1" x14ac:dyDescent="0.2">
      <c r="C5160" s="144"/>
      <c r="D5160" s="144"/>
      <c r="E5160" s="144"/>
      <c r="F5160" s="373"/>
      <c r="I5160" s="70"/>
    </row>
    <row r="5161" spans="3:9" s="46" customFormat="1" x14ac:dyDescent="0.2">
      <c r="C5161" s="144"/>
      <c r="D5161" s="144"/>
      <c r="E5161" s="144"/>
      <c r="F5161" s="373"/>
      <c r="I5161" s="70"/>
    </row>
    <row r="5162" spans="3:9" s="46" customFormat="1" x14ac:dyDescent="0.2">
      <c r="C5162" s="144"/>
      <c r="D5162" s="144"/>
      <c r="E5162" s="144"/>
      <c r="F5162" s="373"/>
      <c r="I5162" s="70"/>
    </row>
    <row r="5163" spans="3:9" s="46" customFormat="1" x14ac:dyDescent="0.2">
      <c r="C5163" s="144"/>
      <c r="D5163" s="144"/>
      <c r="E5163" s="144"/>
      <c r="F5163" s="373"/>
      <c r="I5163" s="70"/>
    </row>
    <row r="5164" spans="3:9" s="46" customFormat="1" x14ac:dyDescent="0.2">
      <c r="C5164" s="144"/>
      <c r="D5164" s="144"/>
      <c r="E5164" s="144"/>
      <c r="F5164" s="373"/>
      <c r="I5164" s="70"/>
    </row>
    <row r="5165" spans="3:9" s="46" customFormat="1" x14ac:dyDescent="0.2">
      <c r="C5165" s="144"/>
      <c r="D5165" s="144"/>
      <c r="E5165" s="144"/>
      <c r="F5165" s="373"/>
      <c r="I5165" s="70"/>
    </row>
    <row r="5166" spans="3:9" s="46" customFormat="1" x14ac:dyDescent="0.2">
      <c r="C5166" s="144"/>
      <c r="D5166" s="144"/>
      <c r="E5166" s="144"/>
      <c r="F5166" s="373"/>
      <c r="I5166" s="70"/>
    </row>
    <row r="5167" spans="3:9" s="46" customFormat="1" x14ac:dyDescent="0.2">
      <c r="C5167" s="144"/>
      <c r="D5167" s="144"/>
      <c r="E5167" s="144"/>
      <c r="F5167" s="373"/>
      <c r="I5167" s="70"/>
    </row>
    <row r="5168" spans="3:9" s="46" customFormat="1" x14ac:dyDescent="0.2">
      <c r="C5168" s="144"/>
      <c r="D5168" s="144"/>
      <c r="E5168" s="144"/>
      <c r="F5168" s="373"/>
      <c r="I5168" s="70"/>
    </row>
    <row r="5169" spans="3:9" s="46" customFormat="1" x14ac:dyDescent="0.2">
      <c r="C5169" s="144"/>
      <c r="D5169" s="144"/>
      <c r="E5169" s="144"/>
      <c r="F5169" s="373"/>
      <c r="I5169" s="70"/>
    </row>
    <row r="5170" spans="3:9" s="46" customFormat="1" x14ac:dyDescent="0.2">
      <c r="C5170" s="144"/>
      <c r="D5170" s="144"/>
      <c r="E5170" s="144"/>
      <c r="F5170" s="373"/>
      <c r="I5170" s="70"/>
    </row>
    <row r="5171" spans="3:9" s="46" customFormat="1" x14ac:dyDescent="0.2">
      <c r="C5171" s="144"/>
      <c r="D5171" s="144"/>
      <c r="E5171" s="144"/>
      <c r="F5171" s="373"/>
      <c r="I5171" s="70"/>
    </row>
    <row r="5172" spans="3:9" s="46" customFormat="1" x14ac:dyDescent="0.2">
      <c r="C5172" s="144"/>
      <c r="D5172" s="144"/>
      <c r="E5172" s="144"/>
      <c r="F5172" s="373"/>
      <c r="I5172" s="70"/>
    </row>
    <row r="5173" spans="3:9" s="46" customFormat="1" x14ac:dyDescent="0.2">
      <c r="C5173" s="144"/>
      <c r="D5173" s="144"/>
      <c r="E5173" s="144"/>
      <c r="F5173" s="373"/>
      <c r="I5173" s="70"/>
    </row>
    <row r="5174" spans="3:9" s="46" customFormat="1" x14ac:dyDescent="0.2">
      <c r="C5174" s="144"/>
      <c r="D5174" s="144"/>
      <c r="E5174" s="144"/>
      <c r="F5174" s="373"/>
      <c r="I5174" s="70"/>
    </row>
    <row r="5175" spans="3:9" s="46" customFormat="1" x14ac:dyDescent="0.2">
      <c r="C5175" s="144"/>
      <c r="D5175" s="144"/>
      <c r="E5175" s="144"/>
      <c r="F5175" s="373"/>
      <c r="I5175" s="70"/>
    </row>
    <row r="5176" spans="3:9" s="46" customFormat="1" x14ac:dyDescent="0.2">
      <c r="C5176" s="144"/>
      <c r="D5176" s="144"/>
      <c r="E5176" s="144"/>
      <c r="F5176" s="373"/>
      <c r="I5176" s="70"/>
    </row>
    <row r="5177" spans="3:9" s="46" customFormat="1" x14ac:dyDescent="0.2">
      <c r="C5177" s="144"/>
      <c r="D5177" s="144"/>
      <c r="E5177" s="144"/>
      <c r="F5177" s="373"/>
      <c r="I5177" s="70"/>
    </row>
    <row r="5178" spans="3:9" s="46" customFormat="1" x14ac:dyDescent="0.2">
      <c r="C5178" s="144"/>
      <c r="D5178" s="144"/>
      <c r="E5178" s="144"/>
      <c r="F5178" s="373"/>
      <c r="I5178" s="70"/>
    </row>
    <row r="5179" spans="3:9" s="46" customFormat="1" x14ac:dyDescent="0.2">
      <c r="C5179" s="144"/>
      <c r="D5179" s="144"/>
      <c r="E5179" s="144"/>
      <c r="F5179" s="373"/>
      <c r="I5179" s="70"/>
    </row>
    <row r="5180" spans="3:9" s="46" customFormat="1" x14ac:dyDescent="0.2">
      <c r="C5180" s="144"/>
      <c r="D5180" s="144"/>
      <c r="E5180" s="144"/>
      <c r="F5180" s="373"/>
      <c r="I5180" s="70"/>
    </row>
    <row r="5181" spans="3:9" s="46" customFormat="1" x14ac:dyDescent="0.2">
      <c r="C5181" s="144"/>
      <c r="D5181" s="144"/>
      <c r="E5181" s="144"/>
      <c r="F5181" s="373"/>
      <c r="I5181" s="70"/>
    </row>
    <row r="5182" spans="3:9" s="46" customFormat="1" x14ac:dyDescent="0.2">
      <c r="C5182" s="144"/>
      <c r="D5182" s="144"/>
      <c r="E5182" s="144"/>
      <c r="F5182" s="373"/>
      <c r="I5182" s="70"/>
    </row>
    <row r="5183" spans="3:9" s="46" customFormat="1" x14ac:dyDescent="0.2">
      <c r="C5183" s="144"/>
      <c r="D5183" s="144"/>
      <c r="E5183" s="144"/>
      <c r="F5183" s="373"/>
      <c r="I5183" s="70"/>
    </row>
    <row r="5184" spans="3:9" s="46" customFormat="1" x14ac:dyDescent="0.2">
      <c r="C5184" s="144"/>
      <c r="D5184" s="144"/>
      <c r="E5184" s="144"/>
      <c r="F5184" s="373"/>
      <c r="I5184" s="70"/>
    </row>
    <row r="5185" spans="3:9" s="46" customFormat="1" x14ac:dyDescent="0.2">
      <c r="C5185" s="144"/>
      <c r="D5185" s="144"/>
      <c r="E5185" s="144"/>
      <c r="F5185" s="373"/>
      <c r="I5185" s="70"/>
    </row>
    <row r="5186" spans="3:9" s="46" customFormat="1" x14ac:dyDescent="0.2">
      <c r="C5186" s="144"/>
      <c r="D5186" s="144"/>
      <c r="E5186" s="144"/>
      <c r="F5186" s="373"/>
      <c r="I5186" s="70"/>
    </row>
    <row r="5187" spans="3:9" s="46" customFormat="1" x14ac:dyDescent="0.2">
      <c r="C5187" s="144"/>
      <c r="D5187" s="144"/>
      <c r="E5187" s="144"/>
      <c r="F5187" s="373"/>
      <c r="I5187" s="70"/>
    </row>
    <row r="5188" spans="3:9" s="46" customFormat="1" x14ac:dyDescent="0.2">
      <c r="C5188" s="144"/>
      <c r="D5188" s="144"/>
      <c r="E5188" s="144"/>
      <c r="F5188" s="373"/>
      <c r="I5188" s="70"/>
    </row>
    <row r="5189" spans="3:9" s="46" customFormat="1" x14ac:dyDescent="0.2">
      <c r="C5189" s="144"/>
      <c r="D5189" s="144"/>
      <c r="E5189" s="144"/>
      <c r="F5189" s="373"/>
      <c r="I5189" s="70"/>
    </row>
    <row r="5190" spans="3:9" s="46" customFormat="1" x14ac:dyDescent="0.2">
      <c r="C5190" s="144"/>
      <c r="D5190" s="144"/>
      <c r="E5190" s="144"/>
      <c r="F5190" s="373"/>
      <c r="I5190" s="70"/>
    </row>
    <row r="5191" spans="3:9" s="46" customFormat="1" x14ac:dyDescent="0.2">
      <c r="C5191" s="144"/>
      <c r="D5191" s="144"/>
      <c r="E5191" s="144"/>
      <c r="F5191" s="373"/>
      <c r="I5191" s="70"/>
    </row>
    <row r="5192" spans="3:9" s="46" customFormat="1" x14ac:dyDescent="0.2">
      <c r="C5192" s="144"/>
      <c r="D5192" s="144"/>
      <c r="E5192" s="144"/>
      <c r="F5192" s="373"/>
      <c r="I5192" s="70"/>
    </row>
    <row r="5193" spans="3:9" s="46" customFormat="1" x14ac:dyDescent="0.2">
      <c r="C5193" s="144"/>
      <c r="D5193" s="144"/>
      <c r="E5193" s="144"/>
      <c r="F5193" s="373"/>
      <c r="I5193" s="70"/>
    </row>
    <row r="5194" spans="3:9" s="46" customFormat="1" x14ac:dyDescent="0.2">
      <c r="C5194" s="144"/>
      <c r="D5194" s="144"/>
      <c r="E5194" s="144"/>
      <c r="F5194" s="373"/>
      <c r="I5194" s="70"/>
    </row>
    <row r="5195" spans="3:9" s="46" customFormat="1" x14ac:dyDescent="0.2">
      <c r="C5195" s="144"/>
      <c r="D5195" s="144"/>
      <c r="E5195" s="144"/>
      <c r="F5195" s="373"/>
      <c r="I5195" s="70"/>
    </row>
    <row r="5196" spans="3:9" s="46" customFormat="1" x14ac:dyDescent="0.2">
      <c r="C5196" s="144"/>
      <c r="D5196" s="144"/>
      <c r="E5196" s="144"/>
      <c r="F5196" s="373"/>
      <c r="I5196" s="70"/>
    </row>
    <row r="5197" spans="3:9" s="46" customFormat="1" x14ac:dyDescent="0.2">
      <c r="C5197" s="144"/>
      <c r="D5197" s="144"/>
      <c r="E5197" s="144"/>
      <c r="F5197" s="373"/>
      <c r="I5197" s="70"/>
    </row>
    <row r="5198" spans="3:9" s="46" customFormat="1" x14ac:dyDescent="0.2">
      <c r="C5198" s="144"/>
      <c r="D5198" s="144"/>
      <c r="E5198" s="144"/>
      <c r="F5198" s="373"/>
      <c r="I5198" s="70"/>
    </row>
    <row r="5199" spans="3:9" s="46" customFormat="1" x14ac:dyDescent="0.2">
      <c r="C5199" s="144"/>
      <c r="D5199" s="144"/>
      <c r="E5199" s="144"/>
      <c r="F5199" s="373"/>
      <c r="I5199" s="70"/>
    </row>
    <row r="5200" spans="3:9" s="46" customFormat="1" x14ac:dyDescent="0.2">
      <c r="C5200" s="144"/>
      <c r="D5200" s="144"/>
      <c r="E5200" s="144"/>
      <c r="F5200" s="373"/>
      <c r="I5200" s="70"/>
    </row>
    <row r="5201" spans="3:9" s="46" customFormat="1" x14ac:dyDescent="0.2">
      <c r="C5201" s="144"/>
      <c r="D5201" s="144"/>
      <c r="E5201" s="144"/>
      <c r="F5201" s="373"/>
      <c r="I5201" s="70"/>
    </row>
    <row r="5202" spans="3:9" s="46" customFormat="1" x14ac:dyDescent="0.2">
      <c r="C5202" s="144"/>
      <c r="D5202" s="144"/>
      <c r="E5202" s="144"/>
      <c r="F5202" s="373"/>
      <c r="I5202" s="70"/>
    </row>
    <row r="5203" spans="3:9" s="46" customFormat="1" x14ac:dyDescent="0.2">
      <c r="C5203" s="144"/>
      <c r="D5203" s="144"/>
      <c r="E5203" s="144"/>
      <c r="F5203" s="373"/>
      <c r="I5203" s="70"/>
    </row>
    <row r="5204" spans="3:9" s="46" customFormat="1" x14ac:dyDescent="0.2">
      <c r="C5204" s="144"/>
      <c r="D5204" s="144"/>
      <c r="E5204" s="144"/>
      <c r="F5204" s="373"/>
      <c r="I5204" s="70"/>
    </row>
    <row r="5205" spans="3:9" s="46" customFormat="1" x14ac:dyDescent="0.2">
      <c r="C5205" s="144"/>
      <c r="D5205" s="144"/>
      <c r="E5205" s="144"/>
      <c r="F5205" s="373"/>
      <c r="I5205" s="70"/>
    </row>
    <row r="5206" spans="3:9" s="46" customFormat="1" x14ac:dyDescent="0.2">
      <c r="C5206" s="144"/>
      <c r="D5206" s="144"/>
      <c r="E5206" s="144"/>
      <c r="F5206" s="373"/>
      <c r="I5206" s="70"/>
    </row>
    <row r="5207" spans="3:9" s="46" customFormat="1" x14ac:dyDescent="0.2">
      <c r="C5207" s="144"/>
      <c r="D5207" s="144"/>
      <c r="E5207" s="144"/>
      <c r="F5207" s="373"/>
      <c r="I5207" s="70"/>
    </row>
    <row r="5208" spans="3:9" s="46" customFormat="1" x14ac:dyDescent="0.2">
      <c r="C5208" s="144"/>
      <c r="D5208" s="144"/>
      <c r="E5208" s="144"/>
      <c r="F5208" s="373"/>
      <c r="I5208" s="70"/>
    </row>
    <row r="5209" spans="3:9" s="46" customFormat="1" x14ac:dyDescent="0.2">
      <c r="C5209" s="144"/>
      <c r="D5209" s="144"/>
      <c r="E5209" s="144"/>
      <c r="F5209" s="373"/>
      <c r="I5209" s="70"/>
    </row>
    <row r="5210" spans="3:9" s="46" customFormat="1" x14ac:dyDescent="0.2">
      <c r="C5210" s="144"/>
      <c r="D5210" s="144"/>
      <c r="E5210" s="144"/>
      <c r="F5210" s="373"/>
      <c r="I5210" s="70"/>
    </row>
    <row r="5211" spans="3:9" s="46" customFormat="1" x14ac:dyDescent="0.2">
      <c r="C5211" s="144"/>
      <c r="D5211" s="144"/>
      <c r="E5211" s="144"/>
      <c r="F5211" s="373"/>
      <c r="I5211" s="70"/>
    </row>
    <row r="5212" spans="3:9" s="46" customFormat="1" x14ac:dyDescent="0.2">
      <c r="C5212" s="144"/>
      <c r="D5212" s="144"/>
      <c r="E5212" s="144"/>
      <c r="F5212" s="373"/>
      <c r="I5212" s="70"/>
    </row>
    <row r="5213" spans="3:9" s="46" customFormat="1" x14ac:dyDescent="0.2">
      <c r="C5213" s="144"/>
      <c r="D5213" s="144"/>
      <c r="E5213" s="144"/>
      <c r="F5213" s="373"/>
      <c r="I5213" s="70"/>
    </row>
    <row r="5214" spans="3:9" s="46" customFormat="1" x14ac:dyDescent="0.2">
      <c r="C5214" s="144"/>
      <c r="D5214" s="144"/>
      <c r="E5214" s="144"/>
      <c r="F5214" s="373"/>
      <c r="I5214" s="70"/>
    </row>
    <row r="5215" spans="3:9" s="46" customFormat="1" x14ac:dyDescent="0.2">
      <c r="C5215" s="144"/>
      <c r="D5215" s="144"/>
      <c r="E5215" s="144"/>
      <c r="F5215" s="373"/>
      <c r="I5215" s="70"/>
    </row>
    <row r="5216" spans="3:9" s="46" customFormat="1" x14ac:dyDescent="0.2">
      <c r="C5216" s="144"/>
      <c r="D5216" s="144"/>
      <c r="E5216" s="144"/>
      <c r="F5216" s="373"/>
      <c r="I5216" s="70"/>
    </row>
    <row r="5217" spans="3:9" s="46" customFormat="1" x14ac:dyDescent="0.2">
      <c r="C5217" s="144"/>
      <c r="D5217" s="144"/>
      <c r="E5217" s="144"/>
      <c r="F5217" s="373"/>
      <c r="I5217" s="70"/>
    </row>
    <row r="5218" spans="3:9" s="46" customFormat="1" x14ac:dyDescent="0.2">
      <c r="C5218" s="144"/>
      <c r="D5218" s="144"/>
      <c r="E5218" s="144"/>
      <c r="F5218" s="373"/>
      <c r="I5218" s="70"/>
    </row>
    <row r="5219" spans="3:9" s="46" customFormat="1" x14ac:dyDescent="0.2">
      <c r="C5219" s="144"/>
      <c r="D5219" s="144"/>
      <c r="E5219" s="144"/>
      <c r="F5219" s="373"/>
      <c r="I5219" s="70"/>
    </row>
    <row r="5220" spans="3:9" s="46" customFormat="1" x14ac:dyDescent="0.2">
      <c r="C5220" s="144"/>
      <c r="D5220" s="144"/>
      <c r="E5220" s="144"/>
      <c r="F5220" s="373"/>
      <c r="I5220" s="70"/>
    </row>
    <row r="5221" spans="3:9" s="46" customFormat="1" x14ac:dyDescent="0.2">
      <c r="C5221" s="144"/>
      <c r="D5221" s="144"/>
      <c r="E5221" s="144"/>
      <c r="F5221" s="373"/>
      <c r="I5221" s="70"/>
    </row>
    <row r="5222" spans="3:9" s="46" customFormat="1" x14ac:dyDescent="0.2">
      <c r="C5222" s="144"/>
      <c r="D5222" s="144"/>
      <c r="E5222" s="144"/>
      <c r="F5222" s="373"/>
      <c r="I5222" s="70"/>
    </row>
    <row r="5223" spans="3:9" s="46" customFormat="1" x14ac:dyDescent="0.2">
      <c r="C5223" s="144"/>
      <c r="D5223" s="144"/>
      <c r="E5223" s="144"/>
      <c r="F5223" s="373"/>
      <c r="I5223" s="70"/>
    </row>
    <row r="5224" spans="3:9" s="46" customFormat="1" x14ac:dyDescent="0.2">
      <c r="C5224" s="144"/>
      <c r="D5224" s="144"/>
      <c r="E5224" s="144"/>
      <c r="F5224" s="373"/>
      <c r="I5224" s="70"/>
    </row>
    <row r="5225" spans="3:9" s="46" customFormat="1" x14ac:dyDescent="0.2">
      <c r="C5225" s="144"/>
      <c r="D5225" s="144"/>
      <c r="E5225" s="144"/>
      <c r="F5225" s="373"/>
      <c r="I5225" s="70"/>
    </row>
    <row r="5226" spans="3:9" s="46" customFormat="1" x14ac:dyDescent="0.2">
      <c r="C5226" s="144"/>
      <c r="D5226" s="144"/>
      <c r="E5226" s="144"/>
      <c r="F5226" s="373"/>
      <c r="I5226" s="70"/>
    </row>
    <row r="5227" spans="3:9" s="46" customFormat="1" x14ac:dyDescent="0.2">
      <c r="C5227" s="144"/>
      <c r="D5227" s="144"/>
      <c r="E5227" s="144"/>
      <c r="F5227" s="373"/>
      <c r="I5227" s="70"/>
    </row>
    <row r="5228" spans="3:9" s="46" customFormat="1" x14ac:dyDescent="0.2">
      <c r="C5228" s="144"/>
      <c r="D5228" s="144"/>
      <c r="E5228" s="144"/>
      <c r="F5228" s="373"/>
      <c r="I5228" s="70"/>
    </row>
    <row r="5229" spans="3:9" s="46" customFormat="1" x14ac:dyDescent="0.2">
      <c r="C5229" s="144"/>
      <c r="D5229" s="144"/>
      <c r="E5229" s="144"/>
      <c r="F5229" s="373"/>
      <c r="I5229" s="70"/>
    </row>
    <row r="5230" spans="3:9" s="46" customFormat="1" x14ac:dyDescent="0.2">
      <c r="C5230" s="144"/>
      <c r="D5230" s="144"/>
      <c r="E5230" s="144"/>
      <c r="F5230" s="373"/>
      <c r="I5230" s="70"/>
    </row>
    <row r="5231" spans="3:9" s="46" customFormat="1" x14ac:dyDescent="0.2">
      <c r="C5231" s="144"/>
      <c r="D5231" s="144"/>
      <c r="E5231" s="144"/>
      <c r="F5231" s="373"/>
      <c r="I5231" s="70"/>
    </row>
    <row r="5232" spans="3:9" s="46" customFormat="1" x14ac:dyDescent="0.2">
      <c r="C5232" s="144"/>
      <c r="D5232" s="144"/>
      <c r="E5232" s="144"/>
      <c r="F5232" s="373"/>
      <c r="I5232" s="70"/>
    </row>
    <row r="5233" spans="3:9" s="46" customFormat="1" x14ac:dyDescent="0.2">
      <c r="C5233" s="144"/>
      <c r="D5233" s="144"/>
      <c r="E5233" s="144"/>
      <c r="F5233" s="373"/>
      <c r="I5233" s="70"/>
    </row>
    <row r="5234" spans="3:9" s="46" customFormat="1" x14ac:dyDescent="0.2">
      <c r="C5234" s="144"/>
      <c r="D5234" s="144"/>
      <c r="E5234" s="144"/>
      <c r="F5234" s="373"/>
      <c r="I5234" s="70"/>
    </row>
    <row r="5235" spans="3:9" s="46" customFormat="1" x14ac:dyDescent="0.2">
      <c r="C5235" s="144"/>
      <c r="D5235" s="144"/>
      <c r="E5235" s="144"/>
      <c r="F5235" s="373"/>
      <c r="I5235" s="70"/>
    </row>
    <row r="5236" spans="3:9" s="46" customFormat="1" x14ac:dyDescent="0.2">
      <c r="C5236" s="144"/>
      <c r="D5236" s="144"/>
      <c r="E5236" s="144"/>
      <c r="F5236" s="373"/>
      <c r="I5236" s="70"/>
    </row>
    <row r="5237" spans="3:9" s="46" customFormat="1" x14ac:dyDescent="0.2">
      <c r="C5237" s="144"/>
      <c r="D5237" s="144"/>
      <c r="E5237" s="144"/>
      <c r="F5237" s="373"/>
      <c r="I5237" s="70"/>
    </row>
    <row r="5238" spans="3:9" s="46" customFormat="1" x14ac:dyDescent="0.2">
      <c r="C5238" s="144"/>
      <c r="D5238" s="144"/>
      <c r="E5238" s="144"/>
      <c r="F5238" s="373"/>
      <c r="I5238" s="70"/>
    </row>
    <row r="5239" spans="3:9" s="46" customFormat="1" x14ac:dyDescent="0.2">
      <c r="C5239" s="144"/>
      <c r="D5239" s="144"/>
      <c r="E5239" s="144"/>
      <c r="F5239" s="373"/>
      <c r="I5239" s="70"/>
    </row>
    <row r="5240" spans="3:9" s="46" customFormat="1" x14ac:dyDescent="0.2">
      <c r="C5240" s="144"/>
      <c r="D5240" s="144"/>
      <c r="E5240" s="144"/>
      <c r="F5240" s="373"/>
      <c r="I5240" s="70"/>
    </row>
    <row r="5241" spans="3:9" s="46" customFormat="1" x14ac:dyDescent="0.2">
      <c r="C5241" s="144"/>
      <c r="D5241" s="144"/>
      <c r="E5241" s="144"/>
      <c r="F5241" s="373"/>
      <c r="I5241" s="70"/>
    </row>
    <row r="5242" spans="3:9" s="46" customFormat="1" x14ac:dyDescent="0.2">
      <c r="C5242" s="144"/>
      <c r="D5242" s="144"/>
      <c r="E5242" s="144"/>
      <c r="F5242" s="373"/>
      <c r="I5242" s="70"/>
    </row>
    <row r="5243" spans="3:9" s="46" customFormat="1" x14ac:dyDescent="0.2">
      <c r="C5243" s="144"/>
      <c r="D5243" s="144"/>
      <c r="E5243" s="144"/>
      <c r="F5243" s="373"/>
      <c r="I5243" s="70"/>
    </row>
    <row r="5244" spans="3:9" s="46" customFormat="1" x14ac:dyDescent="0.2">
      <c r="C5244" s="144"/>
      <c r="D5244" s="144"/>
      <c r="E5244" s="144"/>
      <c r="F5244" s="373"/>
      <c r="I5244" s="70"/>
    </row>
    <row r="5245" spans="3:9" s="46" customFormat="1" x14ac:dyDescent="0.2">
      <c r="C5245" s="144"/>
      <c r="D5245" s="144"/>
      <c r="E5245" s="144"/>
      <c r="F5245" s="373"/>
      <c r="I5245" s="70"/>
    </row>
    <row r="5246" spans="3:9" s="46" customFormat="1" x14ac:dyDescent="0.2">
      <c r="C5246" s="144"/>
      <c r="D5246" s="144"/>
      <c r="E5246" s="144"/>
      <c r="F5246" s="373"/>
      <c r="I5246" s="70"/>
    </row>
    <row r="5247" spans="3:9" s="46" customFormat="1" x14ac:dyDescent="0.2">
      <c r="C5247" s="144"/>
      <c r="D5247" s="144"/>
      <c r="E5247" s="144"/>
      <c r="F5247" s="373"/>
      <c r="I5247" s="70"/>
    </row>
    <row r="5248" spans="3:9" s="46" customFormat="1" x14ac:dyDescent="0.2">
      <c r="C5248" s="144"/>
      <c r="D5248" s="144"/>
      <c r="E5248" s="144"/>
      <c r="F5248" s="373"/>
      <c r="I5248" s="70"/>
    </row>
    <row r="5249" spans="3:9" s="46" customFormat="1" x14ac:dyDescent="0.2">
      <c r="C5249" s="144"/>
      <c r="D5249" s="144"/>
      <c r="E5249" s="144"/>
      <c r="F5249" s="373"/>
      <c r="I5249" s="70"/>
    </row>
    <row r="5250" spans="3:9" s="46" customFormat="1" x14ac:dyDescent="0.2">
      <c r="C5250" s="144"/>
      <c r="D5250" s="144"/>
      <c r="E5250" s="144"/>
      <c r="F5250" s="373"/>
      <c r="I5250" s="70"/>
    </row>
    <row r="5251" spans="3:9" s="46" customFormat="1" x14ac:dyDescent="0.2">
      <c r="C5251" s="144"/>
      <c r="D5251" s="144"/>
      <c r="E5251" s="144"/>
      <c r="F5251" s="373"/>
      <c r="I5251" s="70"/>
    </row>
    <row r="5252" spans="3:9" s="46" customFormat="1" x14ac:dyDescent="0.2">
      <c r="C5252" s="144"/>
      <c r="D5252" s="144"/>
      <c r="E5252" s="144"/>
      <c r="F5252" s="373"/>
      <c r="I5252" s="70"/>
    </row>
    <row r="5253" spans="3:9" s="46" customFormat="1" x14ac:dyDescent="0.2">
      <c r="C5253" s="144"/>
      <c r="D5253" s="144"/>
      <c r="E5253" s="144"/>
      <c r="F5253" s="373"/>
      <c r="I5253" s="70"/>
    </row>
    <row r="5254" spans="3:9" s="46" customFormat="1" x14ac:dyDescent="0.2">
      <c r="C5254" s="144"/>
      <c r="D5254" s="144"/>
      <c r="E5254" s="144"/>
      <c r="F5254" s="373"/>
      <c r="I5254" s="70"/>
    </row>
    <row r="5255" spans="3:9" s="46" customFormat="1" x14ac:dyDescent="0.2">
      <c r="C5255" s="144"/>
      <c r="D5255" s="144"/>
      <c r="E5255" s="144"/>
      <c r="F5255" s="373"/>
      <c r="I5255" s="70"/>
    </row>
    <row r="5256" spans="3:9" s="46" customFormat="1" x14ac:dyDescent="0.2">
      <c r="C5256" s="144"/>
      <c r="D5256" s="144"/>
      <c r="E5256" s="144"/>
      <c r="F5256" s="373"/>
      <c r="I5256" s="70"/>
    </row>
    <row r="5257" spans="3:9" s="46" customFormat="1" x14ac:dyDescent="0.2">
      <c r="C5257" s="144"/>
      <c r="D5257" s="144"/>
      <c r="E5257" s="144"/>
      <c r="F5257" s="373"/>
      <c r="I5257" s="70"/>
    </row>
    <row r="5258" spans="3:9" s="46" customFormat="1" x14ac:dyDescent="0.2">
      <c r="C5258" s="144"/>
      <c r="D5258" s="144"/>
      <c r="E5258" s="144"/>
      <c r="F5258" s="373"/>
      <c r="I5258" s="70"/>
    </row>
    <row r="5259" spans="3:9" s="46" customFormat="1" x14ac:dyDescent="0.2">
      <c r="C5259" s="144"/>
      <c r="D5259" s="144"/>
      <c r="E5259" s="144"/>
      <c r="F5259" s="373"/>
      <c r="I5259" s="70"/>
    </row>
    <row r="5260" spans="3:9" s="46" customFormat="1" x14ac:dyDescent="0.2">
      <c r="C5260" s="144"/>
      <c r="D5260" s="144"/>
      <c r="E5260" s="144"/>
      <c r="F5260" s="373"/>
      <c r="I5260" s="70"/>
    </row>
    <row r="5261" spans="3:9" s="46" customFormat="1" x14ac:dyDescent="0.2">
      <c r="C5261" s="144"/>
      <c r="D5261" s="144"/>
      <c r="E5261" s="144"/>
      <c r="F5261" s="373"/>
      <c r="I5261" s="70"/>
    </row>
    <row r="5262" spans="3:9" s="46" customFormat="1" x14ac:dyDescent="0.2">
      <c r="C5262" s="144"/>
      <c r="D5262" s="144"/>
      <c r="E5262" s="144"/>
      <c r="F5262" s="373"/>
      <c r="I5262" s="70"/>
    </row>
    <row r="5263" spans="3:9" s="46" customFormat="1" x14ac:dyDescent="0.2">
      <c r="C5263" s="144"/>
      <c r="D5263" s="144"/>
      <c r="E5263" s="144"/>
      <c r="F5263" s="373"/>
      <c r="I5263" s="70"/>
    </row>
    <row r="5264" spans="3:9" s="46" customFormat="1" x14ac:dyDescent="0.2">
      <c r="C5264" s="144"/>
      <c r="D5264" s="144"/>
      <c r="E5264" s="144"/>
      <c r="F5264" s="373"/>
      <c r="I5264" s="70"/>
    </row>
    <row r="5265" spans="3:9" s="46" customFormat="1" x14ac:dyDescent="0.2">
      <c r="C5265" s="144"/>
      <c r="D5265" s="144"/>
      <c r="E5265" s="144"/>
      <c r="F5265" s="373"/>
      <c r="I5265" s="70"/>
    </row>
    <row r="5266" spans="3:9" s="46" customFormat="1" x14ac:dyDescent="0.2">
      <c r="C5266" s="144"/>
      <c r="D5266" s="144"/>
      <c r="E5266" s="144"/>
      <c r="F5266" s="373"/>
      <c r="I5266" s="70"/>
    </row>
    <row r="5267" spans="3:9" s="46" customFormat="1" x14ac:dyDescent="0.2">
      <c r="C5267" s="144"/>
      <c r="D5267" s="144"/>
      <c r="E5267" s="144"/>
      <c r="F5267" s="373"/>
      <c r="I5267" s="70"/>
    </row>
    <row r="5268" spans="3:9" s="46" customFormat="1" x14ac:dyDescent="0.2">
      <c r="C5268" s="144"/>
      <c r="D5268" s="144"/>
      <c r="E5268" s="144"/>
      <c r="F5268" s="373"/>
      <c r="I5268" s="70"/>
    </row>
    <row r="5269" spans="3:9" s="46" customFormat="1" x14ac:dyDescent="0.2">
      <c r="C5269" s="144"/>
      <c r="D5269" s="144"/>
      <c r="E5269" s="144"/>
      <c r="F5269" s="373"/>
      <c r="I5269" s="70"/>
    </row>
    <row r="5270" spans="3:9" s="46" customFormat="1" x14ac:dyDescent="0.2">
      <c r="C5270" s="144"/>
      <c r="D5270" s="144"/>
      <c r="E5270" s="144"/>
      <c r="F5270" s="373"/>
      <c r="I5270" s="70"/>
    </row>
    <row r="5271" spans="3:9" s="46" customFormat="1" x14ac:dyDescent="0.2">
      <c r="C5271" s="144"/>
      <c r="D5271" s="144"/>
      <c r="E5271" s="144"/>
      <c r="F5271" s="373"/>
      <c r="I5271" s="70"/>
    </row>
    <row r="5272" spans="3:9" s="46" customFormat="1" x14ac:dyDescent="0.2">
      <c r="C5272" s="144"/>
      <c r="D5272" s="144"/>
      <c r="E5272" s="144"/>
      <c r="F5272" s="373"/>
      <c r="I5272" s="70"/>
    </row>
    <row r="5273" spans="3:9" s="46" customFormat="1" x14ac:dyDescent="0.2">
      <c r="C5273" s="144"/>
      <c r="D5273" s="144"/>
      <c r="E5273" s="144"/>
      <c r="F5273" s="373"/>
      <c r="I5273" s="70"/>
    </row>
    <row r="5274" spans="3:9" s="46" customFormat="1" x14ac:dyDescent="0.2">
      <c r="C5274" s="144"/>
      <c r="D5274" s="144"/>
      <c r="E5274" s="144"/>
      <c r="F5274" s="373"/>
      <c r="I5274" s="70"/>
    </row>
    <row r="5275" spans="3:9" s="46" customFormat="1" x14ac:dyDescent="0.2">
      <c r="C5275" s="144"/>
      <c r="D5275" s="144"/>
      <c r="E5275" s="144"/>
      <c r="F5275" s="373"/>
      <c r="I5275" s="70"/>
    </row>
    <row r="5276" spans="3:9" s="46" customFormat="1" x14ac:dyDescent="0.2">
      <c r="C5276" s="144"/>
      <c r="D5276" s="144"/>
      <c r="E5276" s="144"/>
      <c r="F5276" s="373"/>
      <c r="I5276" s="70"/>
    </row>
    <row r="5277" spans="3:9" s="46" customFormat="1" x14ac:dyDescent="0.2">
      <c r="C5277" s="144"/>
      <c r="D5277" s="144"/>
      <c r="E5277" s="144"/>
      <c r="F5277" s="373"/>
      <c r="I5277" s="70"/>
    </row>
    <row r="5278" spans="3:9" s="46" customFormat="1" x14ac:dyDescent="0.2">
      <c r="C5278" s="144"/>
      <c r="D5278" s="144"/>
      <c r="E5278" s="144"/>
      <c r="F5278" s="373"/>
      <c r="I5278" s="70"/>
    </row>
    <row r="5279" spans="3:9" s="46" customFormat="1" x14ac:dyDescent="0.2">
      <c r="C5279" s="144"/>
      <c r="D5279" s="144"/>
      <c r="E5279" s="144"/>
      <c r="F5279" s="373"/>
      <c r="I5279" s="70"/>
    </row>
    <row r="5280" spans="3:9" s="46" customFormat="1" x14ac:dyDescent="0.2">
      <c r="C5280" s="144"/>
      <c r="D5280" s="144"/>
      <c r="E5280" s="144"/>
      <c r="F5280" s="373"/>
      <c r="I5280" s="70"/>
    </row>
    <row r="5281" spans="3:9" s="46" customFormat="1" x14ac:dyDescent="0.2">
      <c r="C5281" s="144"/>
      <c r="D5281" s="144"/>
      <c r="E5281" s="144"/>
      <c r="F5281" s="373"/>
      <c r="I5281" s="70"/>
    </row>
    <row r="5282" spans="3:9" s="46" customFormat="1" x14ac:dyDescent="0.2">
      <c r="C5282" s="144"/>
      <c r="D5282" s="144"/>
      <c r="E5282" s="144"/>
      <c r="F5282" s="373"/>
      <c r="I5282" s="70"/>
    </row>
    <row r="5283" spans="3:9" s="46" customFormat="1" x14ac:dyDescent="0.2">
      <c r="C5283" s="144"/>
      <c r="D5283" s="144"/>
      <c r="E5283" s="144"/>
      <c r="F5283" s="373"/>
      <c r="I5283" s="70"/>
    </row>
    <row r="5284" spans="3:9" s="46" customFormat="1" x14ac:dyDescent="0.2">
      <c r="C5284" s="144"/>
      <c r="D5284" s="144"/>
      <c r="E5284" s="144"/>
      <c r="F5284" s="373"/>
      <c r="I5284" s="70"/>
    </row>
    <row r="5285" spans="3:9" s="46" customFormat="1" x14ac:dyDescent="0.2">
      <c r="C5285" s="144"/>
      <c r="D5285" s="144"/>
      <c r="E5285" s="144"/>
      <c r="F5285" s="373"/>
      <c r="I5285" s="70"/>
    </row>
    <row r="5286" spans="3:9" s="46" customFormat="1" x14ac:dyDescent="0.2">
      <c r="C5286" s="144"/>
      <c r="D5286" s="144"/>
      <c r="E5286" s="144"/>
      <c r="F5286" s="373"/>
      <c r="I5286" s="70"/>
    </row>
    <row r="5287" spans="3:9" s="46" customFormat="1" x14ac:dyDescent="0.2">
      <c r="C5287" s="144"/>
      <c r="D5287" s="144"/>
      <c r="E5287" s="144"/>
      <c r="F5287" s="373"/>
      <c r="I5287" s="70"/>
    </row>
    <row r="5288" spans="3:9" s="46" customFormat="1" x14ac:dyDescent="0.2">
      <c r="C5288" s="144"/>
      <c r="D5288" s="144"/>
      <c r="E5288" s="144"/>
      <c r="F5288" s="373"/>
      <c r="I5288" s="70"/>
    </row>
    <row r="5289" spans="3:9" s="46" customFormat="1" x14ac:dyDescent="0.2">
      <c r="C5289" s="144"/>
      <c r="D5289" s="144"/>
      <c r="E5289" s="144"/>
      <c r="F5289" s="373"/>
      <c r="I5289" s="70"/>
    </row>
    <row r="5290" spans="3:9" s="46" customFormat="1" x14ac:dyDescent="0.2">
      <c r="C5290" s="144"/>
      <c r="D5290" s="144"/>
      <c r="E5290" s="144"/>
      <c r="F5290" s="373"/>
      <c r="I5290" s="70"/>
    </row>
    <row r="5291" spans="3:9" s="46" customFormat="1" x14ac:dyDescent="0.2">
      <c r="C5291" s="144"/>
      <c r="D5291" s="144"/>
      <c r="E5291" s="144"/>
      <c r="F5291" s="373"/>
      <c r="I5291" s="70"/>
    </row>
    <row r="5292" spans="3:9" s="46" customFormat="1" x14ac:dyDescent="0.2">
      <c r="C5292" s="144"/>
      <c r="D5292" s="144"/>
      <c r="E5292" s="144"/>
      <c r="F5292" s="373"/>
      <c r="I5292" s="70"/>
    </row>
    <row r="5293" spans="3:9" s="46" customFormat="1" x14ac:dyDescent="0.2">
      <c r="C5293" s="144"/>
      <c r="D5293" s="144"/>
      <c r="E5293" s="144"/>
      <c r="F5293" s="373"/>
      <c r="I5293" s="70"/>
    </row>
    <row r="5294" spans="3:9" s="46" customFormat="1" x14ac:dyDescent="0.2">
      <c r="C5294" s="144"/>
      <c r="D5294" s="144"/>
      <c r="E5294" s="144"/>
      <c r="F5294" s="373"/>
      <c r="I5294" s="70"/>
    </row>
    <row r="5295" spans="3:9" s="46" customFormat="1" x14ac:dyDescent="0.2">
      <c r="C5295" s="144"/>
      <c r="D5295" s="144"/>
      <c r="E5295" s="144"/>
      <c r="F5295" s="373"/>
      <c r="I5295" s="70"/>
    </row>
    <row r="5296" spans="3:9" s="46" customFormat="1" x14ac:dyDescent="0.2">
      <c r="C5296" s="144"/>
      <c r="D5296" s="144"/>
      <c r="E5296" s="144"/>
      <c r="F5296" s="373"/>
      <c r="I5296" s="70"/>
    </row>
    <row r="5297" spans="3:9" s="46" customFormat="1" x14ac:dyDescent="0.2">
      <c r="C5297" s="144"/>
      <c r="D5297" s="144"/>
      <c r="E5297" s="144"/>
      <c r="F5297" s="373"/>
      <c r="I5297" s="70"/>
    </row>
    <row r="5298" spans="3:9" s="46" customFormat="1" x14ac:dyDescent="0.2">
      <c r="C5298" s="144"/>
      <c r="D5298" s="144"/>
      <c r="E5298" s="144"/>
      <c r="F5298" s="373"/>
      <c r="I5298" s="70"/>
    </row>
    <row r="5299" spans="3:9" s="46" customFormat="1" x14ac:dyDescent="0.2">
      <c r="C5299" s="144"/>
      <c r="D5299" s="144"/>
      <c r="E5299" s="144"/>
      <c r="F5299" s="373"/>
      <c r="I5299" s="70"/>
    </row>
    <row r="5300" spans="3:9" s="46" customFormat="1" x14ac:dyDescent="0.2">
      <c r="C5300" s="144"/>
      <c r="D5300" s="144"/>
      <c r="E5300" s="144"/>
      <c r="F5300" s="373"/>
      <c r="I5300" s="70"/>
    </row>
    <row r="5301" spans="3:9" s="46" customFormat="1" x14ac:dyDescent="0.2">
      <c r="C5301" s="144"/>
      <c r="D5301" s="144"/>
      <c r="E5301" s="144"/>
      <c r="F5301" s="373"/>
      <c r="I5301" s="70"/>
    </row>
    <row r="5302" spans="3:9" s="46" customFormat="1" x14ac:dyDescent="0.2">
      <c r="C5302" s="144"/>
      <c r="D5302" s="144"/>
      <c r="E5302" s="144"/>
      <c r="F5302" s="373"/>
      <c r="I5302" s="70"/>
    </row>
    <row r="5303" spans="3:9" s="46" customFormat="1" x14ac:dyDescent="0.2">
      <c r="C5303" s="144"/>
      <c r="D5303" s="144"/>
      <c r="E5303" s="144"/>
      <c r="F5303" s="373"/>
      <c r="I5303" s="70"/>
    </row>
    <row r="5304" spans="3:9" s="46" customFormat="1" x14ac:dyDescent="0.2">
      <c r="C5304" s="144"/>
      <c r="D5304" s="144"/>
      <c r="E5304" s="144"/>
      <c r="F5304" s="373"/>
      <c r="I5304" s="70"/>
    </row>
    <row r="5305" spans="3:9" s="46" customFormat="1" x14ac:dyDescent="0.2">
      <c r="C5305" s="144"/>
      <c r="D5305" s="144"/>
      <c r="E5305" s="144"/>
      <c r="F5305" s="373"/>
      <c r="I5305" s="70"/>
    </row>
    <row r="5306" spans="3:9" s="46" customFormat="1" x14ac:dyDescent="0.2">
      <c r="C5306" s="144"/>
      <c r="D5306" s="144"/>
      <c r="E5306" s="144"/>
      <c r="F5306" s="373"/>
      <c r="I5306" s="70"/>
    </row>
    <row r="5307" spans="3:9" s="46" customFormat="1" x14ac:dyDescent="0.2">
      <c r="C5307" s="144"/>
      <c r="D5307" s="144"/>
      <c r="E5307" s="144"/>
      <c r="F5307" s="373"/>
      <c r="I5307" s="70"/>
    </row>
    <row r="5308" spans="3:9" s="46" customFormat="1" x14ac:dyDescent="0.2">
      <c r="C5308" s="144"/>
      <c r="D5308" s="144"/>
      <c r="E5308" s="144"/>
      <c r="F5308" s="373"/>
      <c r="I5308" s="70"/>
    </row>
    <row r="5309" spans="3:9" s="46" customFormat="1" x14ac:dyDescent="0.2">
      <c r="C5309" s="144"/>
      <c r="D5309" s="144"/>
      <c r="E5309" s="144"/>
      <c r="F5309" s="373"/>
      <c r="I5309" s="70"/>
    </row>
    <row r="5310" spans="3:9" s="46" customFormat="1" x14ac:dyDescent="0.2">
      <c r="C5310" s="144"/>
      <c r="D5310" s="144"/>
      <c r="E5310" s="144"/>
      <c r="F5310" s="373"/>
      <c r="I5310" s="70"/>
    </row>
    <row r="5311" spans="3:9" s="46" customFormat="1" x14ac:dyDescent="0.2">
      <c r="C5311" s="144"/>
      <c r="D5311" s="144"/>
      <c r="E5311" s="144"/>
      <c r="F5311" s="373"/>
      <c r="I5311" s="70"/>
    </row>
    <row r="5312" spans="3:9" s="46" customFormat="1" x14ac:dyDescent="0.2">
      <c r="C5312" s="144"/>
      <c r="D5312" s="144"/>
      <c r="E5312" s="144"/>
      <c r="F5312" s="373"/>
      <c r="I5312" s="70"/>
    </row>
    <row r="5313" spans="3:9" s="46" customFormat="1" x14ac:dyDescent="0.2">
      <c r="C5313" s="144"/>
      <c r="D5313" s="144"/>
      <c r="E5313" s="144"/>
      <c r="F5313" s="373"/>
      <c r="I5313" s="70"/>
    </row>
    <row r="5314" spans="3:9" s="46" customFormat="1" x14ac:dyDescent="0.2">
      <c r="C5314" s="144"/>
      <c r="D5314" s="144"/>
      <c r="E5314" s="144"/>
      <c r="F5314" s="373"/>
      <c r="I5314" s="70"/>
    </row>
    <row r="5315" spans="3:9" s="46" customFormat="1" x14ac:dyDescent="0.2">
      <c r="C5315" s="144"/>
      <c r="D5315" s="144"/>
      <c r="E5315" s="144"/>
      <c r="F5315" s="373"/>
      <c r="I5315" s="70"/>
    </row>
    <row r="5316" spans="3:9" s="46" customFormat="1" x14ac:dyDescent="0.2">
      <c r="C5316" s="144"/>
      <c r="D5316" s="144"/>
      <c r="E5316" s="144"/>
      <c r="F5316" s="373"/>
      <c r="I5316" s="70"/>
    </row>
    <row r="5317" spans="3:9" s="46" customFormat="1" x14ac:dyDescent="0.2">
      <c r="C5317" s="144"/>
      <c r="D5317" s="144"/>
      <c r="E5317" s="144"/>
      <c r="F5317" s="373"/>
      <c r="I5317" s="70"/>
    </row>
    <row r="5318" spans="3:9" s="46" customFormat="1" x14ac:dyDescent="0.2">
      <c r="C5318" s="144"/>
      <c r="D5318" s="144"/>
      <c r="E5318" s="144"/>
      <c r="F5318" s="373"/>
      <c r="I5318" s="70"/>
    </row>
    <row r="5319" spans="3:9" s="46" customFormat="1" x14ac:dyDescent="0.2">
      <c r="C5319" s="144"/>
      <c r="D5319" s="144"/>
      <c r="E5319" s="144"/>
      <c r="F5319" s="373"/>
      <c r="I5319" s="70"/>
    </row>
    <row r="5320" spans="3:9" s="46" customFormat="1" x14ac:dyDescent="0.2">
      <c r="C5320" s="144"/>
      <c r="D5320" s="144"/>
      <c r="E5320" s="144"/>
      <c r="F5320" s="373"/>
      <c r="I5320" s="70"/>
    </row>
    <row r="5321" spans="3:9" s="46" customFormat="1" x14ac:dyDescent="0.2">
      <c r="C5321" s="144"/>
      <c r="D5321" s="144"/>
      <c r="E5321" s="144"/>
      <c r="F5321" s="373"/>
      <c r="I5321" s="70"/>
    </row>
    <row r="5322" spans="3:9" s="46" customFormat="1" x14ac:dyDescent="0.2">
      <c r="C5322" s="144"/>
      <c r="D5322" s="144"/>
      <c r="E5322" s="144"/>
      <c r="F5322" s="373"/>
      <c r="I5322" s="70"/>
    </row>
    <row r="5323" spans="3:9" s="46" customFormat="1" x14ac:dyDescent="0.2">
      <c r="C5323" s="144"/>
      <c r="D5323" s="144"/>
      <c r="E5323" s="144"/>
      <c r="F5323" s="373"/>
      <c r="I5323" s="70"/>
    </row>
    <row r="5324" spans="3:9" s="46" customFormat="1" x14ac:dyDescent="0.2">
      <c r="C5324" s="144"/>
      <c r="D5324" s="144"/>
      <c r="E5324" s="144"/>
      <c r="F5324" s="373"/>
      <c r="I5324" s="70"/>
    </row>
    <row r="5325" spans="3:9" s="46" customFormat="1" x14ac:dyDescent="0.2">
      <c r="C5325" s="144"/>
      <c r="D5325" s="144"/>
      <c r="E5325" s="144"/>
      <c r="F5325" s="373"/>
      <c r="I5325" s="70"/>
    </row>
    <row r="5326" spans="3:9" s="46" customFormat="1" x14ac:dyDescent="0.2">
      <c r="C5326" s="144"/>
      <c r="D5326" s="144"/>
      <c r="E5326" s="144"/>
      <c r="F5326" s="373"/>
      <c r="I5326" s="70"/>
    </row>
    <row r="5327" spans="3:9" s="46" customFormat="1" x14ac:dyDescent="0.2">
      <c r="C5327" s="144"/>
      <c r="D5327" s="144"/>
      <c r="E5327" s="144"/>
      <c r="F5327" s="373"/>
      <c r="I5327" s="70"/>
    </row>
    <row r="5328" spans="3:9" s="46" customFormat="1" x14ac:dyDescent="0.2">
      <c r="C5328" s="144"/>
      <c r="D5328" s="144"/>
      <c r="E5328" s="144"/>
      <c r="F5328" s="373"/>
      <c r="I5328" s="70"/>
    </row>
    <row r="5329" spans="3:9" s="46" customFormat="1" x14ac:dyDescent="0.2">
      <c r="C5329" s="144"/>
      <c r="D5329" s="144"/>
      <c r="E5329" s="144"/>
      <c r="F5329" s="373"/>
      <c r="I5329" s="70"/>
    </row>
    <row r="5330" spans="3:9" s="46" customFormat="1" x14ac:dyDescent="0.2">
      <c r="C5330" s="144"/>
      <c r="D5330" s="144"/>
      <c r="E5330" s="144"/>
      <c r="F5330" s="373"/>
      <c r="I5330" s="70"/>
    </row>
    <row r="5331" spans="3:9" s="46" customFormat="1" x14ac:dyDescent="0.2">
      <c r="C5331" s="144"/>
      <c r="D5331" s="144"/>
      <c r="E5331" s="144"/>
      <c r="F5331" s="373"/>
      <c r="I5331" s="70"/>
    </row>
    <row r="5332" spans="3:9" s="46" customFormat="1" x14ac:dyDescent="0.2">
      <c r="C5332" s="144"/>
      <c r="D5332" s="144"/>
      <c r="E5332" s="144"/>
      <c r="F5332" s="373"/>
      <c r="I5332" s="70"/>
    </row>
    <row r="5333" spans="3:9" s="46" customFormat="1" x14ac:dyDescent="0.2">
      <c r="C5333" s="144"/>
      <c r="D5333" s="144"/>
      <c r="E5333" s="144"/>
      <c r="F5333" s="373"/>
      <c r="I5333" s="70"/>
    </row>
    <row r="5334" spans="3:9" s="46" customFormat="1" x14ac:dyDescent="0.2">
      <c r="C5334" s="144"/>
      <c r="D5334" s="144"/>
      <c r="E5334" s="144"/>
      <c r="F5334" s="373"/>
      <c r="I5334" s="70"/>
    </row>
    <row r="5335" spans="3:9" s="46" customFormat="1" x14ac:dyDescent="0.2">
      <c r="C5335" s="144"/>
      <c r="D5335" s="144"/>
      <c r="E5335" s="144"/>
      <c r="F5335" s="373"/>
      <c r="I5335" s="70"/>
    </row>
    <row r="5336" spans="3:9" s="46" customFormat="1" x14ac:dyDescent="0.2">
      <c r="C5336" s="144"/>
      <c r="D5336" s="144"/>
      <c r="E5336" s="144"/>
      <c r="F5336" s="373"/>
      <c r="I5336" s="70"/>
    </row>
    <row r="5337" spans="3:9" s="46" customFormat="1" x14ac:dyDescent="0.2">
      <c r="C5337" s="144"/>
      <c r="D5337" s="144"/>
      <c r="E5337" s="144"/>
      <c r="F5337" s="373"/>
      <c r="I5337" s="70"/>
    </row>
    <row r="5338" spans="3:9" s="46" customFormat="1" x14ac:dyDescent="0.2">
      <c r="C5338" s="144"/>
      <c r="D5338" s="144"/>
      <c r="E5338" s="144"/>
      <c r="F5338" s="373"/>
      <c r="I5338" s="70"/>
    </row>
    <row r="5339" spans="3:9" s="46" customFormat="1" x14ac:dyDescent="0.2">
      <c r="C5339" s="144"/>
      <c r="D5339" s="144"/>
      <c r="E5339" s="144"/>
      <c r="F5339" s="373"/>
      <c r="I5339" s="70"/>
    </row>
    <row r="5340" spans="3:9" s="46" customFormat="1" x14ac:dyDescent="0.2">
      <c r="C5340" s="144"/>
      <c r="D5340" s="144"/>
      <c r="E5340" s="144"/>
      <c r="F5340" s="373"/>
      <c r="I5340" s="70"/>
    </row>
    <row r="5341" spans="3:9" s="46" customFormat="1" x14ac:dyDescent="0.2">
      <c r="C5341" s="144"/>
      <c r="D5341" s="144"/>
      <c r="E5341" s="144"/>
      <c r="F5341" s="373"/>
      <c r="I5341" s="70"/>
    </row>
    <row r="5342" spans="3:9" s="46" customFormat="1" x14ac:dyDescent="0.2">
      <c r="C5342" s="144"/>
      <c r="D5342" s="144"/>
      <c r="E5342" s="144"/>
      <c r="F5342" s="373"/>
      <c r="I5342" s="70"/>
    </row>
    <row r="5343" spans="3:9" s="46" customFormat="1" x14ac:dyDescent="0.2">
      <c r="C5343" s="144"/>
      <c r="D5343" s="144"/>
      <c r="E5343" s="144"/>
      <c r="F5343" s="373"/>
      <c r="I5343" s="70"/>
    </row>
    <row r="5344" spans="3:9" s="46" customFormat="1" x14ac:dyDescent="0.2">
      <c r="C5344" s="144"/>
      <c r="D5344" s="144"/>
      <c r="E5344" s="144"/>
      <c r="F5344" s="373"/>
      <c r="I5344" s="70"/>
    </row>
    <row r="5345" spans="3:9" s="46" customFormat="1" x14ac:dyDescent="0.2">
      <c r="C5345" s="144"/>
      <c r="D5345" s="144"/>
      <c r="E5345" s="144"/>
      <c r="F5345" s="373"/>
      <c r="I5345" s="70"/>
    </row>
    <row r="5346" spans="3:9" s="46" customFormat="1" x14ac:dyDescent="0.2">
      <c r="C5346" s="144"/>
      <c r="D5346" s="144"/>
      <c r="E5346" s="144"/>
      <c r="F5346" s="373"/>
      <c r="I5346" s="70"/>
    </row>
    <row r="5347" spans="3:9" s="46" customFormat="1" x14ac:dyDescent="0.2">
      <c r="C5347" s="144"/>
      <c r="D5347" s="144"/>
      <c r="E5347" s="144"/>
      <c r="F5347" s="373"/>
      <c r="I5347" s="70"/>
    </row>
    <row r="5348" spans="3:9" s="46" customFormat="1" x14ac:dyDescent="0.2">
      <c r="C5348" s="144"/>
      <c r="D5348" s="144"/>
      <c r="E5348" s="144"/>
      <c r="F5348" s="373"/>
      <c r="I5348" s="70"/>
    </row>
    <row r="5349" spans="3:9" s="46" customFormat="1" x14ac:dyDescent="0.2">
      <c r="C5349" s="144"/>
      <c r="D5349" s="144"/>
      <c r="E5349" s="144"/>
      <c r="F5349" s="373"/>
      <c r="I5349" s="70"/>
    </row>
    <row r="5350" spans="3:9" s="46" customFormat="1" x14ac:dyDescent="0.2">
      <c r="C5350" s="144"/>
      <c r="D5350" s="144"/>
      <c r="E5350" s="144"/>
      <c r="F5350" s="373"/>
      <c r="I5350" s="70"/>
    </row>
    <row r="5351" spans="3:9" s="46" customFormat="1" x14ac:dyDescent="0.2">
      <c r="C5351" s="144"/>
      <c r="D5351" s="144"/>
      <c r="E5351" s="144"/>
      <c r="F5351" s="373"/>
      <c r="I5351" s="70"/>
    </row>
    <row r="5352" spans="3:9" s="46" customFormat="1" x14ac:dyDescent="0.2">
      <c r="C5352" s="144"/>
      <c r="D5352" s="144"/>
      <c r="E5352" s="144"/>
      <c r="F5352" s="373"/>
      <c r="I5352" s="70"/>
    </row>
    <row r="5353" spans="3:9" s="46" customFormat="1" x14ac:dyDescent="0.2">
      <c r="C5353" s="144"/>
      <c r="D5353" s="144"/>
      <c r="E5353" s="144"/>
      <c r="F5353" s="373"/>
      <c r="I5353" s="70"/>
    </row>
    <row r="5354" spans="3:9" s="46" customFormat="1" x14ac:dyDescent="0.2">
      <c r="C5354" s="144"/>
      <c r="D5354" s="144"/>
      <c r="E5354" s="144"/>
      <c r="F5354" s="373"/>
      <c r="I5354" s="70"/>
    </row>
    <row r="5355" spans="3:9" s="46" customFormat="1" x14ac:dyDescent="0.2">
      <c r="C5355" s="144"/>
      <c r="D5355" s="144"/>
      <c r="E5355" s="144"/>
      <c r="F5355" s="373"/>
      <c r="I5355" s="70"/>
    </row>
    <row r="5356" spans="3:9" s="46" customFormat="1" x14ac:dyDescent="0.2">
      <c r="C5356" s="144"/>
      <c r="D5356" s="144"/>
      <c r="E5356" s="144"/>
      <c r="F5356" s="373"/>
      <c r="I5356" s="70"/>
    </row>
    <row r="5357" spans="3:9" s="46" customFormat="1" x14ac:dyDescent="0.2">
      <c r="C5357" s="144"/>
      <c r="D5357" s="144"/>
      <c r="E5357" s="144"/>
      <c r="F5357" s="373"/>
      <c r="I5357" s="70"/>
    </row>
    <row r="5358" spans="3:9" s="46" customFormat="1" x14ac:dyDescent="0.2">
      <c r="C5358" s="144"/>
      <c r="D5358" s="144"/>
      <c r="E5358" s="144"/>
      <c r="F5358" s="373"/>
      <c r="I5358" s="70"/>
    </row>
    <row r="5359" spans="3:9" s="46" customFormat="1" x14ac:dyDescent="0.2">
      <c r="C5359" s="144"/>
      <c r="D5359" s="144"/>
      <c r="E5359" s="144"/>
      <c r="F5359" s="373"/>
      <c r="I5359" s="70"/>
    </row>
    <row r="5360" spans="3:9" s="46" customFormat="1" x14ac:dyDescent="0.2">
      <c r="C5360" s="144"/>
      <c r="D5360" s="144"/>
      <c r="E5360" s="144"/>
      <c r="F5360" s="373"/>
      <c r="I5360" s="70"/>
    </row>
    <row r="5361" spans="3:9" s="46" customFormat="1" x14ac:dyDescent="0.2">
      <c r="C5361" s="144"/>
      <c r="D5361" s="144"/>
      <c r="E5361" s="144"/>
      <c r="F5361" s="373"/>
      <c r="I5361" s="70"/>
    </row>
    <row r="5362" spans="3:9" s="46" customFormat="1" x14ac:dyDescent="0.2">
      <c r="C5362" s="144"/>
      <c r="D5362" s="144"/>
      <c r="E5362" s="144"/>
      <c r="F5362" s="373"/>
      <c r="I5362" s="70"/>
    </row>
    <row r="5363" spans="3:9" s="46" customFormat="1" x14ac:dyDescent="0.2">
      <c r="C5363" s="144"/>
      <c r="D5363" s="144"/>
      <c r="E5363" s="144"/>
      <c r="F5363" s="373"/>
      <c r="I5363" s="70"/>
    </row>
    <row r="5364" spans="3:9" s="46" customFormat="1" x14ac:dyDescent="0.2">
      <c r="C5364" s="144"/>
      <c r="D5364" s="144"/>
      <c r="E5364" s="144"/>
      <c r="F5364" s="373"/>
      <c r="I5364" s="70"/>
    </row>
    <row r="5365" spans="3:9" s="46" customFormat="1" x14ac:dyDescent="0.2">
      <c r="C5365" s="144"/>
      <c r="D5365" s="144"/>
      <c r="E5365" s="144"/>
      <c r="F5365" s="373"/>
      <c r="I5365" s="70"/>
    </row>
    <row r="5366" spans="3:9" s="46" customFormat="1" x14ac:dyDescent="0.2">
      <c r="C5366" s="144"/>
      <c r="D5366" s="144"/>
      <c r="E5366" s="144"/>
      <c r="F5366" s="373"/>
      <c r="I5366" s="70"/>
    </row>
    <row r="5367" spans="3:9" s="46" customFormat="1" x14ac:dyDescent="0.2">
      <c r="C5367" s="144"/>
      <c r="D5367" s="144"/>
      <c r="E5367" s="144"/>
      <c r="F5367" s="373"/>
      <c r="I5367" s="70"/>
    </row>
    <row r="5368" spans="3:9" s="46" customFormat="1" x14ac:dyDescent="0.2">
      <c r="C5368" s="144"/>
      <c r="D5368" s="144"/>
      <c r="E5368" s="144"/>
      <c r="F5368" s="373"/>
      <c r="I5368" s="70"/>
    </row>
    <row r="5369" spans="3:9" s="46" customFormat="1" x14ac:dyDescent="0.2">
      <c r="C5369" s="144"/>
      <c r="D5369" s="144"/>
      <c r="E5369" s="144"/>
      <c r="F5369" s="373"/>
      <c r="I5369" s="70"/>
    </row>
    <row r="5370" spans="3:9" s="46" customFormat="1" x14ac:dyDescent="0.2">
      <c r="C5370" s="144"/>
      <c r="D5370" s="144"/>
      <c r="E5370" s="144"/>
      <c r="F5370" s="373"/>
      <c r="I5370" s="70"/>
    </row>
    <row r="5371" spans="3:9" s="46" customFormat="1" x14ac:dyDescent="0.2">
      <c r="C5371" s="144"/>
      <c r="D5371" s="144"/>
      <c r="E5371" s="144"/>
      <c r="F5371" s="373"/>
      <c r="I5371" s="70"/>
    </row>
    <row r="5372" spans="3:9" s="46" customFormat="1" x14ac:dyDescent="0.2">
      <c r="C5372" s="144"/>
      <c r="D5372" s="144"/>
      <c r="E5372" s="144"/>
      <c r="F5372" s="373"/>
      <c r="I5372" s="70"/>
    </row>
    <row r="5373" spans="3:9" s="46" customFormat="1" x14ac:dyDescent="0.2">
      <c r="C5373" s="144"/>
      <c r="D5373" s="144"/>
      <c r="E5373" s="144"/>
      <c r="F5373" s="373"/>
      <c r="I5373" s="70"/>
    </row>
    <row r="5374" spans="3:9" s="46" customFormat="1" x14ac:dyDescent="0.2">
      <c r="C5374" s="144"/>
      <c r="D5374" s="144"/>
      <c r="E5374" s="144"/>
      <c r="F5374" s="373"/>
      <c r="I5374" s="70"/>
    </row>
    <row r="5375" spans="3:9" s="46" customFormat="1" x14ac:dyDescent="0.2">
      <c r="C5375" s="144"/>
      <c r="D5375" s="144"/>
      <c r="E5375" s="144"/>
      <c r="F5375" s="373"/>
      <c r="I5375" s="70"/>
    </row>
    <row r="5376" spans="3:9" s="46" customFormat="1" x14ac:dyDescent="0.2">
      <c r="C5376" s="144"/>
      <c r="D5376" s="144"/>
      <c r="E5376" s="144"/>
      <c r="F5376" s="373"/>
      <c r="I5376" s="70"/>
    </row>
    <row r="5377" spans="3:9" s="46" customFormat="1" x14ac:dyDescent="0.2">
      <c r="C5377" s="144"/>
      <c r="D5377" s="144"/>
      <c r="E5377" s="144"/>
      <c r="F5377" s="373"/>
      <c r="I5377" s="70"/>
    </row>
    <row r="5378" spans="3:9" s="46" customFormat="1" x14ac:dyDescent="0.2">
      <c r="C5378" s="144"/>
      <c r="D5378" s="144"/>
      <c r="E5378" s="144"/>
      <c r="F5378" s="373"/>
      <c r="I5378" s="70"/>
    </row>
    <row r="5379" spans="3:9" s="46" customFormat="1" x14ac:dyDescent="0.2">
      <c r="C5379" s="144"/>
      <c r="D5379" s="144"/>
      <c r="E5379" s="144"/>
      <c r="F5379" s="373"/>
      <c r="I5379" s="70"/>
    </row>
    <row r="5380" spans="3:9" s="46" customFormat="1" x14ac:dyDescent="0.2">
      <c r="C5380" s="144"/>
      <c r="D5380" s="144"/>
      <c r="E5380" s="144"/>
      <c r="F5380" s="373"/>
      <c r="I5380" s="70"/>
    </row>
    <row r="5381" spans="3:9" s="46" customFormat="1" x14ac:dyDescent="0.2">
      <c r="C5381" s="144"/>
      <c r="D5381" s="144"/>
      <c r="E5381" s="144"/>
      <c r="F5381" s="373"/>
      <c r="I5381" s="70"/>
    </row>
    <row r="5382" spans="3:9" s="46" customFormat="1" x14ac:dyDescent="0.2">
      <c r="C5382" s="144"/>
      <c r="D5382" s="144"/>
      <c r="E5382" s="144"/>
      <c r="F5382" s="373"/>
      <c r="I5382" s="70"/>
    </row>
    <row r="5383" spans="3:9" s="46" customFormat="1" x14ac:dyDescent="0.2">
      <c r="C5383" s="144"/>
      <c r="D5383" s="144"/>
      <c r="E5383" s="144"/>
      <c r="F5383" s="373"/>
      <c r="I5383" s="70"/>
    </row>
    <row r="5384" spans="3:9" s="46" customFormat="1" x14ac:dyDescent="0.2">
      <c r="C5384" s="144"/>
      <c r="D5384" s="144"/>
      <c r="E5384" s="144"/>
      <c r="F5384" s="373"/>
      <c r="I5384" s="70"/>
    </row>
    <row r="5385" spans="3:9" s="46" customFormat="1" x14ac:dyDescent="0.2">
      <c r="C5385" s="144"/>
      <c r="D5385" s="144"/>
      <c r="E5385" s="144"/>
      <c r="F5385" s="373"/>
      <c r="I5385" s="70"/>
    </row>
    <row r="5386" spans="3:9" s="46" customFormat="1" x14ac:dyDescent="0.2">
      <c r="C5386" s="144"/>
      <c r="D5386" s="144"/>
      <c r="E5386" s="144"/>
      <c r="F5386" s="373"/>
      <c r="I5386" s="70"/>
    </row>
    <row r="5387" spans="3:9" s="46" customFormat="1" x14ac:dyDescent="0.2">
      <c r="C5387" s="144"/>
      <c r="D5387" s="144"/>
      <c r="E5387" s="144"/>
      <c r="F5387" s="373"/>
      <c r="I5387" s="70"/>
    </row>
    <row r="5388" spans="3:9" s="46" customFormat="1" x14ac:dyDescent="0.2">
      <c r="C5388" s="144"/>
      <c r="D5388" s="144"/>
      <c r="E5388" s="144"/>
      <c r="F5388" s="373"/>
      <c r="I5388" s="70"/>
    </row>
    <row r="5389" spans="3:9" s="46" customFormat="1" x14ac:dyDescent="0.2">
      <c r="C5389" s="144"/>
      <c r="D5389" s="144"/>
      <c r="E5389" s="144"/>
      <c r="F5389" s="373"/>
      <c r="I5389" s="70"/>
    </row>
    <row r="5390" spans="3:9" s="46" customFormat="1" x14ac:dyDescent="0.2">
      <c r="C5390" s="144"/>
      <c r="D5390" s="144"/>
      <c r="E5390" s="144"/>
      <c r="F5390" s="373"/>
      <c r="I5390" s="70"/>
    </row>
    <row r="5391" spans="3:9" s="46" customFormat="1" x14ac:dyDescent="0.2">
      <c r="C5391" s="144"/>
      <c r="D5391" s="144"/>
      <c r="E5391" s="144"/>
      <c r="F5391" s="373"/>
      <c r="I5391" s="70"/>
    </row>
    <row r="5392" spans="3:9" s="46" customFormat="1" x14ac:dyDescent="0.2">
      <c r="C5392" s="144"/>
      <c r="D5392" s="144"/>
      <c r="E5392" s="144"/>
      <c r="F5392" s="373"/>
      <c r="I5392" s="70"/>
    </row>
    <row r="5393" spans="3:9" s="46" customFormat="1" x14ac:dyDescent="0.2">
      <c r="C5393" s="144"/>
      <c r="D5393" s="144"/>
      <c r="E5393" s="144"/>
      <c r="F5393" s="373"/>
      <c r="I5393" s="70"/>
    </row>
    <row r="5394" spans="3:9" s="46" customFormat="1" x14ac:dyDescent="0.2">
      <c r="C5394" s="144"/>
      <c r="D5394" s="144"/>
      <c r="E5394" s="144"/>
      <c r="F5394" s="373"/>
      <c r="I5394" s="70"/>
    </row>
    <row r="5395" spans="3:9" s="46" customFormat="1" x14ac:dyDescent="0.2">
      <c r="C5395" s="144"/>
      <c r="D5395" s="144"/>
      <c r="E5395" s="144"/>
      <c r="F5395" s="373"/>
      <c r="I5395" s="70"/>
    </row>
    <row r="5396" spans="3:9" s="46" customFormat="1" x14ac:dyDescent="0.2">
      <c r="C5396" s="144"/>
      <c r="D5396" s="144"/>
      <c r="E5396" s="144"/>
      <c r="F5396" s="373"/>
      <c r="I5396" s="70"/>
    </row>
    <row r="5397" spans="3:9" s="46" customFormat="1" x14ac:dyDescent="0.2">
      <c r="C5397" s="144"/>
      <c r="D5397" s="144"/>
      <c r="E5397" s="144"/>
      <c r="F5397" s="373"/>
      <c r="I5397" s="70"/>
    </row>
    <row r="5398" spans="3:9" s="46" customFormat="1" x14ac:dyDescent="0.2">
      <c r="C5398" s="144"/>
      <c r="D5398" s="144"/>
      <c r="E5398" s="144"/>
      <c r="F5398" s="373"/>
      <c r="I5398" s="70"/>
    </row>
    <row r="5399" spans="3:9" s="46" customFormat="1" x14ac:dyDescent="0.2">
      <c r="C5399" s="144"/>
      <c r="D5399" s="144"/>
      <c r="E5399" s="144"/>
      <c r="F5399" s="373"/>
      <c r="I5399" s="70"/>
    </row>
    <row r="5400" spans="3:9" s="46" customFormat="1" x14ac:dyDescent="0.2">
      <c r="C5400" s="144"/>
      <c r="D5400" s="144"/>
      <c r="E5400" s="144"/>
      <c r="F5400" s="373"/>
      <c r="I5400" s="70"/>
    </row>
    <row r="5401" spans="3:9" s="46" customFormat="1" x14ac:dyDescent="0.2">
      <c r="C5401" s="144"/>
      <c r="D5401" s="144"/>
      <c r="E5401" s="144"/>
      <c r="F5401" s="373"/>
      <c r="I5401" s="70"/>
    </row>
    <row r="5402" spans="3:9" s="46" customFormat="1" x14ac:dyDescent="0.2">
      <c r="C5402" s="144"/>
      <c r="D5402" s="144"/>
      <c r="E5402" s="144"/>
      <c r="F5402" s="373"/>
      <c r="I5402" s="70"/>
    </row>
    <row r="5403" spans="3:9" s="46" customFormat="1" x14ac:dyDescent="0.2">
      <c r="C5403" s="144"/>
      <c r="D5403" s="144"/>
      <c r="E5403" s="144"/>
      <c r="F5403" s="373"/>
      <c r="I5403" s="70"/>
    </row>
    <row r="5404" spans="3:9" s="46" customFormat="1" x14ac:dyDescent="0.2">
      <c r="C5404" s="144"/>
      <c r="D5404" s="144"/>
      <c r="E5404" s="144"/>
      <c r="F5404" s="373"/>
      <c r="I5404" s="70"/>
    </row>
    <row r="5405" spans="3:9" s="46" customFormat="1" x14ac:dyDescent="0.2">
      <c r="C5405" s="144"/>
      <c r="D5405" s="144"/>
      <c r="E5405" s="144"/>
      <c r="F5405" s="373"/>
      <c r="I5405" s="70"/>
    </row>
    <row r="5406" spans="3:9" s="46" customFormat="1" x14ac:dyDescent="0.2">
      <c r="C5406" s="144"/>
      <c r="D5406" s="144"/>
      <c r="E5406" s="144"/>
      <c r="F5406" s="373"/>
      <c r="I5406" s="70"/>
    </row>
    <row r="5407" spans="3:9" s="46" customFormat="1" x14ac:dyDescent="0.2">
      <c r="C5407" s="144"/>
      <c r="D5407" s="144"/>
      <c r="E5407" s="144"/>
      <c r="F5407" s="373"/>
      <c r="I5407" s="70"/>
    </row>
    <row r="5408" spans="3:9" s="46" customFormat="1" x14ac:dyDescent="0.2">
      <c r="C5408" s="144"/>
      <c r="D5408" s="144"/>
      <c r="E5408" s="144"/>
      <c r="F5408" s="373"/>
      <c r="I5408" s="70"/>
    </row>
    <row r="5409" spans="3:9" s="46" customFormat="1" x14ac:dyDescent="0.2">
      <c r="C5409" s="144"/>
      <c r="D5409" s="144"/>
      <c r="E5409" s="144"/>
      <c r="F5409" s="373"/>
      <c r="I5409" s="70"/>
    </row>
    <row r="5410" spans="3:9" s="46" customFormat="1" x14ac:dyDescent="0.2">
      <c r="C5410" s="144"/>
      <c r="D5410" s="144"/>
      <c r="E5410" s="144"/>
      <c r="F5410" s="373"/>
      <c r="I5410" s="70"/>
    </row>
    <row r="5411" spans="3:9" s="46" customFormat="1" x14ac:dyDescent="0.2">
      <c r="C5411" s="144"/>
      <c r="D5411" s="144"/>
      <c r="E5411" s="144"/>
      <c r="F5411" s="373"/>
      <c r="I5411" s="70"/>
    </row>
    <row r="5412" spans="3:9" s="46" customFormat="1" x14ac:dyDescent="0.2">
      <c r="C5412" s="144"/>
      <c r="D5412" s="144"/>
      <c r="E5412" s="144"/>
      <c r="F5412" s="373"/>
      <c r="I5412" s="70"/>
    </row>
    <row r="5413" spans="3:9" s="46" customFormat="1" x14ac:dyDescent="0.2">
      <c r="C5413" s="144"/>
      <c r="D5413" s="144"/>
      <c r="E5413" s="144"/>
      <c r="F5413" s="373"/>
      <c r="I5413" s="70"/>
    </row>
    <row r="5414" spans="3:9" s="46" customFormat="1" x14ac:dyDescent="0.2">
      <c r="C5414" s="144"/>
      <c r="D5414" s="144"/>
      <c r="E5414" s="144"/>
      <c r="F5414" s="373"/>
      <c r="I5414" s="70"/>
    </row>
    <row r="5415" spans="3:9" s="46" customFormat="1" x14ac:dyDescent="0.2">
      <c r="C5415" s="144"/>
      <c r="D5415" s="144"/>
      <c r="E5415" s="144"/>
      <c r="F5415" s="373"/>
      <c r="I5415" s="70"/>
    </row>
    <row r="5416" spans="3:9" s="46" customFormat="1" x14ac:dyDescent="0.2">
      <c r="C5416" s="144"/>
      <c r="D5416" s="144"/>
      <c r="E5416" s="144"/>
      <c r="F5416" s="373"/>
      <c r="I5416" s="70"/>
    </row>
    <row r="5417" spans="3:9" s="46" customFormat="1" x14ac:dyDescent="0.2">
      <c r="C5417" s="144"/>
      <c r="D5417" s="144"/>
      <c r="E5417" s="144"/>
      <c r="F5417" s="373"/>
      <c r="I5417" s="70"/>
    </row>
    <row r="5418" spans="3:9" s="46" customFormat="1" x14ac:dyDescent="0.2">
      <c r="C5418" s="144"/>
      <c r="D5418" s="144"/>
      <c r="E5418" s="144"/>
      <c r="F5418" s="373"/>
      <c r="I5418" s="70"/>
    </row>
    <row r="5419" spans="3:9" s="46" customFormat="1" x14ac:dyDescent="0.2">
      <c r="C5419" s="144"/>
      <c r="D5419" s="144"/>
      <c r="E5419" s="144"/>
      <c r="F5419" s="373"/>
      <c r="I5419" s="70"/>
    </row>
    <row r="5420" spans="3:9" s="46" customFormat="1" x14ac:dyDescent="0.2">
      <c r="C5420" s="144"/>
      <c r="D5420" s="144"/>
      <c r="E5420" s="144"/>
      <c r="F5420" s="373"/>
      <c r="I5420" s="70"/>
    </row>
    <row r="5421" spans="3:9" s="46" customFormat="1" x14ac:dyDescent="0.2">
      <c r="C5421" s="144"/>
      <c r="D5421" s="144"/>
      <c r="E5421" s="144"/>
      <c r="F5421" s="373"/>
      <c r="I5421" s="70"/>
    </row>
    <row r="5422" spans="3:9" s="46" customFormat="1" x14ac:dyDescent="0.2">
      <c r="C5422" s="144"/>
      <c r="D5422" s="144"/>
      <c r="E5422" s="144"/>
      <c r="F5422" s="373"/>
      <c r="I5422" s="70"/>
    </row>
    <row r="5423" spans="3:9" s="46" customFormat="1" x14ac:dyDescent="0.2">
      <c r="C5423" s="144"/>
      <c r="D5423" s="144"/>
      <c r="E5423" s="144"/>
      <c r="F5423" s="373"/>
      <c r="I5423" s="70"/>
    </row>
    <row r="5424" spans="3:9" s="46" customFormat="1" x14ac:dyDescent="0.2">
      <c r="C5424" s="144"/>
      <c r="D5424" s="144"/>
      <c r="E5424" s="144"/>
      <c r="F5424" s="373"/>
      <c r="I5424" s="70"/>
    </row>
    <row r="5425" spans="3:9" s="46" customFormat="1" x14ac:dyDescent="0.2">
      <c r="C5425" s="144"/>
      <c r="D5425" s="144"/>
      <c r="E5425" s="144"/>
      <c r="F5425" s="373"/>
      <c r="I5425" s="70"/>
    </row>
    <row r="5426" spans="3:9" s="46" customFormat="1" x14ac:dyDescent="0.2">
      <c r="C5426" s="144"/>
      <c r="D5426" s="144"/>
      <c r="E5426" s="144"/>
      <c r="F5426" s="373"/>
      <c r="I5426" s="70"/>
    </row>
    <row r="5427" spans="3:9" s="46" customFormat="1" x14ac:dyDescent="0.2">
      <c r="C5427" s="144"/>
      <c r="D5427" s="144"/>
      <c r="E5427" s="144"/>
      <c r="F5427" s="373"/>
      <c r="I5427" s="70"/>
    </row>
    <row r="5428" spans="3:9" s="46" customFormat="1" x14ac:dyDescent="0.2">
      <c r="C5428" s="144"/>
      <c r="D5428" s="144"/>
      <c r="E5428" s="144"/>
      <c r="F5428" s="373"/>
      <c r="I5428" s="70"/>
    </row>
    <row r="5429" spans="3:9" s="46" customFormat="1" x14ac:dyDescent="0.2">
      <c r="C5429" s="144"/>
      <c r="D5429" s="144"/>
      <c r="E5429" s="144"/>
      <c r="F5429" s="373"/>
      <c r="I5429" s="70"/>
    </row>
    <row r="5430" spans="3:9" s="46" customFormat="1" x14ac:dyDescent="0.2">
      <c r="C5430" s="144"/>
      <c r="D5430" s="144"/>
      <c r="E5430" s="144"/>
      <c r="F5430" s="373"/>
      <c r="I5430" s="70"/>
    </row>
    <row r="5431" spans="3:9" s="46" customFormat="1" x14ac:dyDescent="0.2">
      <c r="C5431" s="144"/>
      <c r="D5431" s="144"/>
      <c r="E5431" s="144"/>
      <c r="F5431" s="373"/>
      <c r="I5431" s="70"/>
    </row>
    <row r="5432" spans="3:9" s="46" customFormat="1" x14ac:dyDescent="0.2">
      <c r="C5432" s="144"/>
      <c r="D5432" s="144"/>
      <c r="E5432" s="144"/>
      <c r="F5432" s="373"/>
      <c r="I5432" s="70"/>
    </row>
    <row r="5433" spans="3:9" s="46" customFormat="1" x14ac:dyDescent="0.2">
      <c r="C5433" s="144"/>
      <c r="D5433" s="144"/>
      <c r="E5433" s="144"/>
      <c r="F5433" s="373"/>
      <c r="I5433" s="70"/>
    </row>
    <row r="5434" spans="3:9" s="46" customFormat="1" x14ac:dyDescent="0.2">
      <c r="C5434" s="144"/>
      <c r="D5434" s="144"/>
      <c r="E5434" s="144"/>
      <c r="F5434" s="373"/>
      <c r="I5434" s="70"/>
    </row>
    <row r="5435" spans="3:9" s="46" customFormat="1" x14ac:dyDescent="0.2">
      <c r="C5435" s="144"/>
      <c r="D5435" s="144"/>
      <c r="E5435" s="144"/>
      <c r="F5435" s="373"/>
      <c r="I5435" s="70"/>
    </row>
    <row r="5436" spans="3:9" s="46" customFormat="1" x14ac:dyDescent="0.2">
      <c r="C5436" s="144"/>
      <c r="D5436" s="144"/>
      <c r="E5436" s="144"/>
      <c r="F5436" s="373"/>
      <c r="I5436" s="70"/>
    </row>
    <row r="5437" spans="3:9" s="46" customFormat="1" x14ac:dyDescent="0.2">
      <c r="C5437" s="144"/>
      <c r="D5437" s="144"/>
      <c r="E5437" s="144"/>
      <c r="F5437" s="373"/>
      <c r="I5437" s="70"/>
    </row>
    <row r="5438" spans="3:9" s="46" customFormat="1" x14ac:dyDescent="0.2">
      <c r="C5438" s="144"/>
      <c r="D5438" s="144"/>
      <c r="E5438" s="144"/>
      <c r="F5438" s="373"/>
      <c r="I5438" s="70"/>
    </row>
    <row r="5439" spans="3:9" s="46" customFormat="1" x14ac:dyDescent="0.2">
      <c r="C5439" s="144"/>
      <c r="D5439" s="144"/>
      <c r="E5439" s="144"/>
      <c r="F5439" s="373"/>
      <c r="I5439" s="70"/>
    </row>
    <row r="5440" spans="3:9" s="46" customFormat="1" x14ac:dyDescent="0.2">
      <c r="C5440" s="144"/>
      <c r="D5440" s="144"/>
      <c r="E5440" s="144"/>
      <c r="F5440" s="373"/>
      <c r="I5440" s="70"/>
    </row>
    <row r="5441" spans="3:9" s="46" customFormat="1" x14ac:dyDescent="0.2">
      <c r="C5441" s="144"/>
      <c r="D5441" s="144"/>
      <c r="E5441" s="144"/>
      <c r="F5441" s="373"/>
      <c r="I5441" s="70"/>
    </row>
    <row r="5442" spans="3:9" s="46" customFormat="1" x14ac:dyDescent="0.2">
      <c r="C5442" s="144"/>
      <c r="D5442" s="144"/>
      <c r="E5442" s="144"/>
      <c r="F5442" s="373"/>
      <c r="I5442" s="70"/>
    </row>
    <row r="5443" spans="3:9" s="46" customFormat="1" x14ac:dyDescent="0.2">
      <c r="C5443" s="144"/>
      <c r="D5443" s="144"/>
      <c r="E5443" s="144"/>
      <c r="F5443" s="373"/>
      <c r="I5443" s="70"/>
    </row>
    <row r="5444" spans="3:9" s="46" customFormat="1" x14ac:dyDescent="0.2">
      <c r="C5444" s="144"/>
      <c r="D5444" s="144"/>
      <c r="E5444" s="144"/>
      <c r="F5444" s="373"/>
      <c r="I5444" s="70"/>
    </row>
    <row r="5445" spans="3:9" s="46" customFormat="1" x14ac:dyDescent="0.2">
      <c r="C5445" s="144"/>
      <c r="D5445" s="144"/>
      <c r="E5445" s="144"/>
      <c r="F5445" s="373"/>
      <c r="I5445" s="70"/>
    </row>
    <row r="5446" spans="3:9" s="46" customFormat="1" x14ac:dyDescent="0.2">
      <c r="C5446" s="144"/>
      <c r="D5446" s="144"/>
      <c r="E5446" s="144"/>
      <c r="F5446" s="373"/>
      <c r="I5446" s="70"/>
    </row>
    <row r="5447" spans="3:9" s="46" customFormat="1" x14ac:dyDescent="0.2">
      <c r="C5447" s="144"/>
      <c r="D5447" s="144"/>
      <c r="E5447" s="144"/>
      <c r="F5447" s="373"/>
      <c r="I5447" s="70"/>
    </row>
    <row r="5448" spans="3:9" s="46" customFormat="1" x14ac:dyDescent="0.2">
      <c r="C5448" s="144"/>
      <c r="D5448" s="144"/>
      <c r="E5448" s="144"/>
      <c r="F5448" s="373"/>
      <c r="I5448" s="70"/>
    </row>
    <row r="5449" spans="3:9" s="46" customFormat="1" x14ac:dyDescent="0.2">
      <c r="C5449" s="144"/>
      <c r="D5449" s="144"/>
      <c r="E5449" s="144"/>
      <c r="F5449" s="373"/>
      <c r="I5449" s="70"/>
    </row>
    <row r="5450" spans="3:9" s="46" customFormat="1" x14ac:dyDescent="0.2">
      <c r="C5450" s="144"/>
      <c r="D5450" s="144"/>
      <c r="E5450" s="144"/>
      <c r="F5450" s="373"/>
      <c r="I5450" s="70"/>
    </row>
    <row r="5451" spans="3:9" s="46" customFormat="1" x14ac:dyDescent="0.2">
      <c r="C5451" s="144"/>
      <c r="D5451" s="144"/>
      <c r="E5451" s="144"/>
      <c r="F5451" s="373"/>
      <c r="I5451" s="70"/>
    </row>
    <row r="5452" spans="3:9" s="46" customFormat="1" x14ac:dyDescent="0.2">
      <c r="C5452" s="144"/>
      <c r="D5452" s="144"/>
      <c r="E5452" s="144"/>
      <c r="F5452" s="373"/>
      <c r="I5452" s="70"/>
    </row>
    <row r="5453" spans="3:9" s="46" customFormat="1" x14ac:dyDescent="0.2">
      <c r="C5453" s="144"/>
      <c r="D5453" s="144"/>
      <c r="E5453" s="144"/>
      <c r="F5453" s="373"/>
      <c r="I5453" s="70"/>
    </row>
    <row r="5454" spans="3:9" s="46" customFormat="1" x14ac:dyDescent="0.2">
      <c r="C5454" s="144"/>
      <c r="D5454" s="144"/>
      <c r="E5454" s="144"/>
      <c r="F5454" s="373"/>
      <c r="I5454" s="70"/>
    </row>
    <row r="5455" spans="3:9" s="46" customFormat="1" x14ac:dyDescent="0.2">
      <c r="C5455" s="144"/>
      <c r="D5455" s="144"/>
      <c r="E5455" s="144"/>
      <c r="F5455" s="373"/>
      <c r="I5455" s="70"/>
    </row>
    <row r="5456" spans="3:9" s="46" customFormat="1" x14ac:dyDescent="0.2">
      <c r="C5456" s="144"/>
      <c r="D5456" s="144"/>
      <c r="E5456" s="144"/>
      <c r="F5456" s="373"/>
      <c r="I5456" s="70"/>
    </row>
    <row r="5457" spans="3:9" s="46" customFormat="1" x14ac:dyDescent="0.2">
      <c r="C5457" s="144"/>
      <c r="D5457" s="144"/>
      <c r="E5457" s="144"/>
      <c r="F5457" s="373"/>
      <c r="I5457" s="70"/>
    </row>
    <row r="5458" spans="3:9" s="46" customFormat="1" x14ac:dyDescent="0.2">
      <c r="C5458" s="144"/>
      <c r="D5458" s="144"/>
      <c r="E5458" s="144"/>
      <c r="F5458" s="373"/>
      <c r="I5458" s="70"/>
    </row>
    <row r="5459" spans="3:9" s="46" customFormat="1" x14ac:dyDescent="0.2">
      <c r="C5459" s="144"/>
      <c r="D5459" s="144"/>
      <c r="E5459" s="144"/>
      <c r="F5459" s="373"/>
      <c r="I5459" s="70"/>
    </row>
    <row r="5460" spans="3:9" s="46" customFormat="1" x14ac:dyDescent="0.2">
      <c r="C5460" s="144"/>
      <c r="D5460" s="144"/>
      <c r="E5460" s="144"/>
      <c r="F5460" s="373"/>
      <c r="I5460" s="70"/>
    </row>
    <row r="5461" spans="3:9" s="46" customFormat="1" x14ac:dyDescent="0.2">
      <c r="C5461" s="144"/>
      <c r="D5461" s="144"/>
      <c r="E5461" s="144"/>
      <c r="F5461" s="373"/>
      <c r="I5461" s="70"/>
    </row>
    <row r="5462" spans="3:9" s="46" customFormat="1" x14ac:dyDescent="0.2">
      <c r="C5462" s="144"/>
      <c r="D5462" s="144"/>
      <c r="E5462" s="144"/>
      <c r="F5462" s="373"/>
      <c r="I5462" s="70"/>
    </row>
    <row r="5463" spans="3:9" s="46" customFormat="1" x14ac:dyDescent="0.2">
      <c r="C5463" s="144"/>
      <c r="D5463" s="144"/>
      <c r="E5463" s="144"/>
      <c r="F5463" s="373"/>
      <c r="I5463" s="70"/>
    </row>
    <row r="5464" spans="3:9" s="46" customFormat="1" x14ac:dyDescent="0.2">
      <c r="C5464" s="144"/>
      <c r="D5464" s="144"/>
      <c r="E5464" s="144"/>
      <c r="F5464" s="373"/>
      <c r="I5464" s="70"/>
    </row>
    <row r="5465" spans="3:9" s="46" customFormat="1" x14ac:dyDescent="0.2">
      <c r="C5465" s="144"/>
      <c r="D5465" s="144"/>
      <c r="E5465" s="144"/>
      <c r="F5465" s="373"/>
      <c r="I5465" s="70"/>
    </row>
    <row r="5466" spans="3:9" s="46" customFormat="1" x14ac:dyDescent="0.2">
      <c r="C5466" s="144"/>
      <c r="D5466" s="144"/>
      <c r="E5466" s="144"/>
      <c r="F5466" s="373"/>
      <c r="I5466" s="70"/>
    </row>
    <row r="5467" spans="3:9" s="46" customFormat="1" x14ac:dyDescent="0.2">
      <c r="C5467" s="144"/>
      <c r="D5467" s="144"/>
      <c r="E5467" s="144"/>
      <c r="F5467" s="373"/>
      <c r="I5467" s="70"/>
    </row>
    <row r="5468" spans="3:9" s="46" customFormat="1" x14ac:dyDescent="0.2">
      <c r="C5468" s="144"/>
      <c r="D5468" s="144"/>
      <c r="E5468" s="144"/>
      <c r="F5468" s="373"/>
      <c r="I5468" s="70"/>
    </row>
    <row r="5469" spans="3:9" s="46" customFormat="1" x14ac:dyDescent="0.2">
      <c r="C5469" s="144"/>
      <c r="D5469" s="144"/>
      <c r="E5469" s="144"/>
      <c r="F5469" s="373"/>
      <c r="I5469" s="70"/>
    </row>
    <row r="5470" spans="3:9" s="46" customFormat="1" x14ac:dyDescent="0.2">
      <c r="C5470" s="144"/>
      <c r="D5470" s="144"/>
      <c r="E5470" s="144"/>
      <c r="F5470" s="373"/>
      <c r="I5470" s="70"/>
    </row>
    <row r="5471" spans="3:9" s="46" customFormat="1" x14ac:dyDescent="0.2">
      <c r="C5471" s="144"/>
      <c r="D5471" s="144"/>
      <c r="E5471" s="144"/>
      <c r="F5471" s="373"/>
      <c r="I5471" s="70"/>
    </row>
    <row r="5472" spans="3:9" s="46" customFormat="1" x14ac:dyDescent="0.2">
      <c r="C5472" s="144"/>
      <c r="D5472" s="144"/>
      <c r="E5472" s="144"/>
      <c r="F5472" s="373"/>
      <c r="I5472" s="70"/>
    </row>
    <row r="5473" spans="3:9" s="46" customFormat="1" x14ac:dyDescent="0.2">
      <c r="C5473" s="144"/>
      <c r="D5473" s="144"/>
      <c r="E5473" s="144"/>
      <c r="F5473" s="373"/>
      <c r="I5473" s="70"/>
    </row>
    <row r="5474" spans="3:9" s="46" customFormat="1" x14ac:dyDescent="0.2">
      <c r="C5474" s="144"/>
      <c r="D5474" s="144"/>
      <c r="E5474" s="144"/>
      <c r="F5474" s="373"/>
      <c r="I5474" s="70"/>
    </row>
    <row r="5475" spans="3:9" s="46" customFormat="1" x14ac:dyDescent="0.2">
      <c r="C5475" s="144"/>
      <c r="D5475" s="144"/>
      <c r="E5475" s="144"/>
      <c r="F5475" s="373"/>
      <c r="I5475" s="70"/>
    </row>
    <row r="5476" spans="3:9" s="46" customFormat="1" x14ac:dyDescent="0.2">
      <c r="C5476" s="144"/>
      <c r="D5476" s="144"/>
      <c r="E5476" s="144"/>
      <c r="F5476" s="373"/>
      <c r="I5476" s="70"/>
    </row>
    <row r="5477" spans="3:9" s="46" customFormat="1" x14ac:dyDescent="0.2">
      <c r="C5477" s="144"/>
      <c r="D5477" s="144"/>
      <c r="E5477" s="144"/>
      <c r="F5477" s="373"/>
      <c r="I5477" s="70"/>
    </row>
    <row r="5478" spans="3:9" s="46" customFormat="1" x14ac:dyDescent="0.2">
      <c r="C5478" s="144"/>
      <c r="D5478" s="144"/>
      <c r="E5478" s="144"/>
      <c r="F5478" s="373"/>
      <c r="I5478" s="70"/>
    </row>
    <row r="5479" spans="3:9" s="46" customFormat="1" x14ac:dyDescent="0.2">
      <c r="C5479" s="144"/>
      <c r="D5479" s="144"/>
      <c r="E5479" s="144"/>
      <c r="F5479" s="373"/>
      <c r="I5479" s="70"/>
    </row>
    <row r="5480" spans="3:9" s="46" customFormat="1" x14ac:dyDescent="0.2">
      <c r="C5480" s="144"/>
      <c r="D5480" s="144"/>
      <c r="E5480" s="144"/>
      <c r="F5480" s="373"/>
      <c r="I5480" s="70"/>
    </row>
    <row r="5481" spans="3:9" s="46" customFormat="1" x14ac:dyDescent="0.2">
      <c r="C5481" s="144"/>
      <c r="D5481" s="144"/>
      <c r="E5481" s="144"/>
      <c r="F5481" s="373"/>
      <c r="I5481" s="70"/>
    </row>
    <row r="5482" spans="3:9" s="46" customFormat="1" x14ac:dyDescent="0.2">
      <c r="C5482" s="144"/>
      <c r="D5482" s="144"/>
      <c r="E5482" s="144"/>
      <c r="F5482" s="373"/>
      <c r="I5482" s="70"/>
    </row>
    <row r="5483" spans="3:9" s="46" customFormat="1" x14ac:dyDescent="0.2">
      <c r="C5483" s="144"/>
      <c r="D5483" s="144"/>
      <c r="E5483" s="144"/>
      <c r="F5483" s="373"/>
      <c r="I5483" s="70"/>
    </row>
    <row r="5484" spans="3:9" s="46" customFormat="1" x14ac:dyDescent="0.2">
      <c r="C5484" s="144"/>
      <c r="D5484" s="144"/>
      <c r="E5484" s="144"/>
      <c r="F5484" s="373"/>
      <c r="I5484" s="70"/>
    </row>
    <row r="5485" spans="3:9" s="46" customFormat="1" x14ac:dyDescent="0.2">
      <c r="C5485" s="144"/>
      <c r="D5485" s="144"/>
      <c r="E5485" s="144"/>
      <c r="F5485" s="373"/>
      <c r="I5485" s="70"/>
    </row>
    <row r="5486" spans="3:9" s="46" customFormat="1" x14ac:dyDescent="0.2">
      <c r="C5486" s="144"/>
      <c r="D5486" s="144"/>
      <c r="E5486" s="144"/>
      <c r="F5486" s="373"/>
      <c r="I5486" s="70"/>
    </row>
    <row r="5487" spans="3:9" s="46" customFormat="1" x14ac:dyDescent="0.2">
      <c r="C5487" s="144"/>
      <c r="D5487" s="144"/>
      <c r="E5487" s="144"/>
      <c r="F5487" s="373"/>
      <c r="I5487" s="70"/>
    </row>
    <row r="5488" spans="3:9" s="46" customFormat="1" x14ac:dyDescent="0.2">
      <c r="C5488" s="144"/>
      <c r="D5488" s="144"/>
      <c r="E5488" s="144"/>
      <c r="F5488" s="373"/>
      <c r="I5488" s="70"/>
    </row>
    <row r="5489" spans="3:9" s="46" customFormat="1" x14ac:dyDescent="0.2">
      <c r="C5489" s="144"/>
      <c r="D5489" s="144"/>
      <c r="E5489" s="144"/>
      <c r="F5489" s="373"/>
      <c r="I5489" s="70"/>
    </row>
    <row r="5490" spans="3:9" s="46" customFormat="1" x14ac:dyDescent="0.2">
      <c r="C5490" s="144"/>
      <c r="D5490" s="144"/>
      <c r="E5490" s="144"/>
      <c r="F5490" s="373"/>
      <c r="I5490" s="70"/>
    </row>
    <row r="5491" spans="3:9" s="46" customFormat="1" x14ac:dyDescent="0.2">
      <c r="C5491" s="144"/>
      <c r="D5491" s="144"/>
      <c r="E5491" s="144"/>
      <c r="F5491" s="373"/>
      <c r="I5491" s="70"/>
    </row>
    <row r="5492" spans="3:9" s="46" customFormat="1" x14ac:dyDescent="0.2">
      <c r="C5492" s="144"/>
      <c r="D5492" s="144"/>
      <c r="E5492" s="144"/>
      <c r="F5492" s="373"/>
      <c r="I5492" s="70"/>
    </row>
    <row r="5493" spans="3:9" s="46" customFormat="1" x14ac:dyDescent="0.2">
      <c r="C5493" s="144"/>
      <c r="D5493" s="144"/>
      <c r="E5493" s="144"/>
      <c r="F5493" s="373"/>
      <c r="I5493" s="70"/>
    </row>
    <row r="5494" spans="3:9" s="46" customFormat="1" x14ac:dyDescent="0.2">
      <c r="C5494" s="144"/>
      <c r="D5494" s="144"/>
      <c r="E5494" s="144"/>
      <c r="F5494" s="373"/>
      <c r="I5494" s="70"/>
    </row>
    <row r="5495" spans="3:9" s="46" customFormat="1" x14ac:dyDescent="0.2">
      <c r="C5495" s="144"/>
      <c r="D5495" s="144"/>
      <c r="E5495" s="144"/>
      <c r="F5495" s="373"/>
      <c r="I5495" s="70"/>
    </row>
    <row r="5496" spans="3:9" s="46" customFormat="1" x14ac:dyDescent="0.2">
      <c r="C5496" s="144"/>
      <c r="D5496" s="144"/>
      <c r="E5496" s="144"/>
      <c r="F5496" s="373"/>
      <c r="I5496" s="70"/>
    </row>
    <row r="5497" spans="3:9" s="46" customFormat="1" x14ac:dyDescent="0.2">
      <c r="C5497" s="144"/>
      <c r="D5497" s="144"/>
      <c r="E5497" s="144"/>
      <c r="F5497" s="373"/>
      <c r="I5497" s="70"/>
    </row>
    <row r="5498" spans="3:9" s="46" customFormat="1" x14ac:dyDescent="0.2">
      <c r="C5498" s="144"/>
      <c r="D5498" s="144"/>
      <c r="E5498" s="144"/>
      <c r="F5498" s="373"/>
      <c r="I5498" s="70"/>
    </row>
    <row r="5499" spans="3:9" s="46" customFormat="1" x14ac:dyDescent="0.2">
      <c r="C5499" s="144"/>
      <c r="D5499" s="144"/>
      <c r="E5499" s="144"/>
      <c r="F5499" s="373"/>
      <c r="I5499" s="70"/>
    </row>
    <row r="5500" spans="3:9" s="46" customFormat="1" x14ac:dyDescent="0.2">
      <c r="C5500" s="144"/>
      <c r="D5500" s="144"/>
      <c r="E5500" s="144"/>
      <c r="F5500" s="373"/>
      <c r="I5500" s="70"/>
    </row>
    <row r="5501" spans="3:9" s="46" customFormat="1" x14ac:dyDescent="0.2">
      <c r="C5501" s="144"/>
      <c r="D5501" s="144"/>
      <c r="E5501" s="144"/>
      <c r="F5501" s="373"/>
      <c r="I5501" s="70"/>
    </row>
    <row r="5502" spans="3:9" s="46" customFormat="1" x14ac:dyDescent="0.2">
      <c r="C5502" s="144"/>
      <c r="D5502" s="144"/>
      <c r="E5502" s="144"/>
      <c r="F5502" s="373"/>
      <c r="I5502" s="70"/>
    </row>
    <row r="5503" spans="3:9" s="46" customFormat="1" x14ac:dyDescent="0.2">
      <c r="C5503" s="144"/>
      <c r="D5503" s="144"/>
      <c r="E5503" s="144"/>
      <c r="F5503" s="373"/>
      <c r="I5503" s="70"/>
    </row>
    <row r="5504" spans="3:9" s="46" customFormat="1" x14ac:dyDescent="0.2">
      <c r="C5504" s="144"/>
      <c r="D5504" s="144"/>
      <c r="E5504" s="144"/>
      <c r="F5504" s="373"/>
      <c r="I5504" s="70"/>
    </row>
    <row r="5505" spans="3:9" s="46" customFormat="1" x14ac:dyDescent="0.2">
      <c r="C5505" s="144"/>
      <c r="D5505" s="144"/>
      <c r="E5505" s="144"/>
      <c r="F5505" s="373"/>
      <c r="I5505" s="70"/>
    </row>
    <row r="5506" spans="3:9" s="46" customFormat="1" x14ac:dyDescent="0.2">
      <c r="C5506" s="144"/>
      <c r="D5506" s="144"/>
      <c r="E5506" s="144"/>
      <c r="F5506" s="373"/>
      <c r="I5506" s="70"/>
    </row>
    <row r="5507" spans="3:9" s="46" customFormat="1" x14ac:dyDescent="0.2">
      <c r="C5507" s="144"/>
      <c r="D5507" s="144"/>
      <c r="E5507" s="144"/>
      <c r="F5507" s="373"/>
      <c r="I5507" s="70"/>
    </row>
    <row r="5508" spans="3:9" s="46" customFormat="1" x14ac:dyDescent="0.2">
      <c r="C5508" s="144"/>
      <c r="D5508" s="144"/>
      <c r="E5508" s="144"/>
      <c r="F5508" s="373"/>
      <c r="I5508" s="70"/>
    </row>
    <row r="5509" spans="3:9" s="46" customFormat="1" x14ac:dyDescent="0.2">
      <c r="C5509" s="144"/>
      <c r="D5509" s="144"/>
      <c r="E5509" s="144"/>
      <c r="F5509" s="373"/>
      <c r="I5509" s="70"/>
    </row>
    <row r="5510" spans="3:9" s="46" customFormat="1" x14ac:dyDescent="0.2">
      <c r="C5510" s="144"/>
      <c r="D5510" s="144"/>
      <c r="E5510" s="144"/>
      <c r="F5510" s="373"/>
      <c r="I5510" s="70"/>
    </row>
    <row r="5511" spans="3:9" s="46" customFormat="1" x14ac:dyDescent="0.2">
      <c r="C5511" s="144"/>
      <c r="D5511" s="144"/>
      <c r="E5511" s="144"/>
      <c r="F5511" s="373"/>
      <c r="I5511" s="70"/>
    </row>
    <row r="5512" spans="3:9" s="46" customFormat="1" x14ac:dyDescent="0.2">
      <c r="C5512" s="144"/>
      <c r="D5512" s="144"/>
      <c r="E5512" s="144"/>
      <c r="F5512" s="373"/>
      <c r="I5512" s="70"/>
    </row>
    <row r="5513" spans="3:9" s="46" customFormat="1" x14ac:dyDescent="0.2">
      <c r="C5513" s="144"/>
      <c r="D5513" s="144"/>
      <c r="E5513" s="144"/>
      <c r="F5513" s="373"/>
      <c r="I5513" s="70"/>
    </row>
    <row r="5514" spans="3:9" s="46" customFormat="1" x14ac:dyDescent="0.2">
      <c r="C5514" s="144"/>
      <c r="D5514" s="144"/>
      <c r="E5514" s="144"/>
      <c r="F5514" s="373"/>
      <c r="I5514" s="70"/>
    </row>
    <row r="5515" spans="3:9" s="46" customFormat="1" x14ac:dyDescent="0.2">
      <c r="C5515" s="144"/>
      <c r="D5515" s="144"/>
      <c r="E5515" s="144"/>
      <c r="F5515" s="373"/>
      <c r="I5515" s="70"/>
    </row>
    <row r="5516" spans="3:9" s="46" customFormat="1" x14ac:dyDescent="0.2">
      <c r="C5516" s="144"/>
      <c r="D5516" s="144"/>
      <c r="E5516" s="144"/>
      <c r="F5516" s="373"/>
      <c r="I5516" s="70"/>
    </row>
    <row r="5517" spans="3:9" s="46" customFormat="1" x14ac:dyDescent="0.2">
      <c r="C5517" s="144"/>
      <c r="D5517" s="144"/>
      <c r="E5517" s="144"/>
      <c r="F5517" s="373"/>
      <c r="I5517" s="70"/>
    </row>
    <row r="5518" spans="3:9" s="46" customFormat="1" x14ac:dyDescent="0.2">
      <c r="C5518" s="144"/>
      <c r="D5518" s="144"/>
      <c r="E5518" s="144"/>
      <c r="F5518" s="373"/>
      <c r="I5518" s="70"/>
    </row>
    <row r="5519" spans="3:9" s="46" customFormat="1" x14ac:dyDescent="0.2">
      <c r="C5519" s="144"/>
      <c r="D5519" s="144"/>
      <c r="E5519" s="144"/>
      <c r="F5519" s="373"/>
      <c r="I5519" s="70"/>
    </row>
    <row r="5520" spans="3:9" s="46" customFormat="1" x14ac:dyDescent="0.2">
      <c r="C5520" s="144"/>
      <c r="D5520" s="144"/>
      <c r="E5520" s="144"/>
      <c r="F5520" s="373"/>
      <c r="I5520" s="70"/>
    </row>
    <row r="5521" spans="3:9" s="46" customFormat="1" x14ac:dyDescent="0.2">
      <c r="C5521" s="144"/>
      <c r="D5521" s="144"/>
      <c r="E5521" s="144"/>
      <c r="F5521" s="373"/>
      <c r="I5521" s="70"/>
    </row>
    <row r="5522" spans="3:9" s="46" customFormat="1" x14ac:dyDescent="0.2">
      <c r="C5522" s="144"/>
      <c r="D5522" s="144"/>
      <c r="E5522" s="144"/>
      <c r="F5522" s="373"/>
      <c r="I5522" s="70"/>
    </row>
    <row r="5523" spans="3:9" s="46" customFormat="1" x14ac:dyDescent="0.2">
      <c r="C5523" s="144"/>
      <c r="D5523" s="144"/>
      <c r="E5523" s="144"/>
      <c r="F5523" s="373"/>
      <c r="I5523" s="70"/>
    </row>
    <row r="5524" spans="3:9" s="46" customFormat="1" x14ac:dyDescent="0.2">
      <c r="C5524" s="144"/>
      <c r="D5524" s="144"/>
      <c r="E5524" s="144"/>
      <c r="F5524" s="373"/>
      <c r="I5524" s="70"/>
    </row>
    <row r="5525" spans="3:9" s="46" customFormat="1" x14ac:dyDescent="0.2">
      <c r="C5525" s="144"/>
      <c r="D5525" s="144"/>
      <c r="E5525" s="144"/>
      <c r="F5525" s="373"/>
      <c r="I5525" s="70"/>
    </row>
    <row r="5526" spans="3:9" s="46" customFormat="1" x14ac:dyDescent="0.2">
      <c r="C5526" s="144"/>
      <c r="D5526" s="144"/>
      <c r="E5526" s="144"/>
      <c r="F5526" s="373"/>
      <c r="I5526" s="70"/>
    </row>
    <row r="5527" spans="3:9" s="46" customFormat="1" x14ac:dyDescent="0.2">
      <c r="C5527" s="144"/>
      <c r="D5527" s="144"/>
      <c r="E5527" s="144"/>
      <c r="F5527" s="373"/>
      <c r="I5527" s="70"/>
    </row>
    <row r="5528" spans="3:9" s="46" customFormat="1" x14ac:dyDescent="0.2">
      <c r="C5528" s="144"/>
      <c r="D5528" s="144"/>
      <c r="E5528" s="144"/>
      <c r="F5528" s="373"/>
      <c r="I5528" s="70"/>
    </row>
    <row r="5529" spans="3:9" s="46" customFormat="1" x14ac:dyDescent="0.2">
      <c r="C5529" s="144"/>
      <c r="D5529" s="144"/>
      <c r="E5529" s="144"/>
      <c r="F5529" s="373"/>
      <c r="I5529" s="70"/>
    </row>
    <row r="5530" spans="3:9" s="46" customFormat="1" x14ac:dyDescent="0.2">
      <c r="C5530" s="144"/>
      <c r="D5530" s="144"/>
      <c r="E5530" s="144"/>
      <c r="F5530" s="373"/>
      <c r="I5530" s="70"/>
    </row>
    <row r="5531" spans="3:9" s="46" customFormat="1" x14ac:dyDescent="0.2">
      <c r="C5531" s="144"/>
      <c r="D5531" s="144"/>
      <c r="E5531" s="144"/>
      <c r="F5531" s="373"/>
      <c r="I5531" s="70"/>
    </row>
    <row r="5532" spans="3:9" s="46" customFormat="1" x14ac:dyDescent="0.2">
      <c r="C5532" s="144"/>
      <c r="D5532" s="144"/>
      <c r="E5532" s="144"/>
      <c r="F5532" s="373"/>
      <c r="I5532" s="70"/>
    </row>
    <row r="5533" spans="3:9" s="46" customFormat="1" x14ac:dyDescent="0.2">
      <c r="C5533" s="144"/>
      <c r="D5533" s="144"/>
      <c r="E5533" s="144"/>
      <c r="F5533" s="373"/>
      <c r="I5533" s="70"/>
    </row>
    <row r="5534" spans="3:9" s="46" customFormat="1" x14ac:dyDescent="0.2">
      <c r="C5534" s="144"/>
      <c r="D5534" s="144"/>
      <c r="E5534" s="144"/>
      <c r="F5534" s="373"/>
      <c r="I5534" s="70"/>
    </row>
    <row r="5535" spans="3:9" s="46" customFormat="1" x14ac:dyDescent="0.2">
      <c r="C5535" s="144"/>
      <c r="D5535" s="144"/>
      <c r="E5535" s="144"/>
      <c r="F5535" s="373"/>
      <c r="I5535" s="70"/>
    </row>
    <row r="5536" spans="3:9" s="46" customFormat="1" x14ac:dyDescent="0.2">
      <c r="C5536" s="144"/>
      <c r="D5536" s="144"/>
      <c r="E5536" s="144"/>
      <c r="F5536" s="373"/>
      <c r="I5536" s="70"/>
    </row>
    <row r="5537" spans="3:9" s="46" customFormat="1" x14ac:dyDescent="0.2">
      <c r="C5537" s="144"/>
      <c r="D5537" s="144"/>
      <c r="E5537" s="144"/>
      <c r="F5537" s="373"/>
      <c r="I5537" s="70"/>
    </row>
    <row r="5538" spans="3:9" s="46" customFormat="1" x14ac:dyDescent="0.2">
      <c r="C5538" s="144"/>
      <c r="D5538" s="144"/>
      <c r="E5538" s="144"/>
      <c r="F5538" s="373"/>
      <c r="I5538" s="70"/>
    </row>
    <row r="5539" spans="3:9" s="46" customFormat="1" x14ac:dyDescent="0.2">
      <c r="C5539" s="144"/>
      <c r="D5539" s="144"/>
      <c r="E5539" s="144"/>
      <c r="F5539" s="373"/>
      <c r="I5539" s="70"/>
    </row>
    <row r="5540" spans="3:9" s="46" customFormat="1" x14ac:dyDescent="0.2">
      <c r="C5540" s="144"/>
      <c r="D5540" s="144"/>
      <c r="E5540" s="144"/>
      <c r="F5540" s="373"/>
      <c r="I5540" s="70"/>
    </row>
    <row r="5541" spans="3:9" s="46" customFormat="1" x14ac:dyDescent="0.2">
      <c r="C5541" s="144"/>
      <c r="D5541" s="144"/>
      <c r="E5541" s="144"/>
      <c r="F5541" s="373"/>
      <c r="I5541" s="70"/>
    </row>
    <row r="5542" spans="3:9" s="46" customFormat="1" x14ac:dyDescent="0.2">
      <c r="C5542" s="144"/>
      <c r="D5542" s="144"/>
      <c r="E5542" s="144"/>
      <c r="F5542" s="373"/>
      <c r="I5542" s="70"/>
    </row>
    <row r="5543" spans="3:9" s="46" customFormat="1" x14ac:dyDescent="0.2">
      <c r="C5543" s="144"/>
      <c r="D5543" s="144"/>
      <c r="E5543" s="144"/>
      <c r="F5543" s="373"/>
      <c r="I5543" s="70"/>
    </row>
    <row r="5544" spans="3:9" s="46" customFormat="1" x14ac:dyDescent="0.2">
      <c r="C5544" s="144"/>
      <c r="D5544" s="144"/>
      <c r="E5544" s="144"/>
      <c r="F5544" s="373"/>
      <c r="I5544" s="70"/>
    </row>
    <row r="5545" spans="3:9" s="46" customFormat="1" x14ac:dyDescent="0.2">
      <c r="C5545" s="144"/>
      <c r="D5545" s="144"/>
      <c r="E5545" s="144"/>
      <c r="F5545" s="373"/>
      <c r="I5545" s="70"/>
    </row>
    <row r="5546" spans="3:9" s="46" customFormat="1" x14ac:dyDescent="0.2">
      <c r="C5546" s="144"/>
      <c r="D5546" s="144"/>
      <c r="E5546" s="144"/>
      <c r="F5546" s="373"/>
      <c r="I5546" s="70"/>
    </row>
    <row r="5547" spans="3:9" s="46" customFormat="1" x14ac:dyDescent="0.2">
      <c r="C5547" s="144"/>
      <c r="D5547" s="144"/>
      <c r="E5547" s="144"/>
      <c r="F5547" s="373"/>
      <c r="I5547" s="70"/>
    </row>
    <row r="5548" spans="3:9" s="46" customFormat="1" x14ac:dyDescent="0.2">
      <c r="C5548" s="144"/>
      <c r="D5548" s="144"/>
      <c r="E5548" s="144"/>
      <c r="F5548" s="373"/>
      <c r="I5548" s="70"/>
    </row>
    <row r="5549" spans="3:9" s="46" customFormat="1" x14ac:dyDescent="0.2">
      <c r="C5549" s="144"/>
      <c r="D5549" s="144"/>
      <c r="E5549" s="144"/>
      <c r="F5549" s="373"/>
      <c r="I5549" s="70"/>
    </row>
    <row r="5550" spans="3:9" s="46" customFormat="1" x14ac:dyDescent="0.2">
      <c r="C5550" s="144"/>
      <c r="D5550" s="144"/>
      <c r="E5550" s="144"/>
      <c r="F5550" s="373"/>
      <c r="I5550" s="70"/>
    </row>
    <row r="5551" spans="3:9" s="46" customFormat="1" x14ac:dyDescent="0.2">
      <c r="C5551" s="144"/>
      <c r="D5551" s="144"/>
      <c r="E5551" s="144"/>
      <c r="F5551" s="373"/>
      <c r="I5551" s="70"/>
    </row>
    <row r="5552" spans="3:9" s="46" customFormat="1" x14ac:dyDescent="0.2">
      <c r="C5552" s="144"/>
      <c r="D5552" s="144"/>
      <c r="E5552" s="144"/>
      <c r="F5552" s="373"/>
      <c r="I5552" s="70"/>
    </row>
    <row r="5553" spans="3:9" s="46" customFormat="1" x14ac:dyDescent="0.2">
      <c r="C5553" s="144"/>
      <c r="D5553" s="144"/>
      <c r="E5553" s="144"/>
      <c r="F5553" s="373"/>
      <c r="I5553" s="70"/>
    </row>
    <row r="5554" spans="3:9" s="46" customFormat="1" x14ac:dyDescent="0.2">
      <c r="C5554" s="144"/>
      <c r="D5554" s="144"/>
      <c r="E5554" s="144"/>
      <c r="F5554" s="373"/>
      <c r="I5554" s="70"/>
    </row>
    <row r="5555" spans="3:9" s="46" customFormat="1" x14ac:dyDescent="0.2">
      <c r="C5555" s="144"/>
      <c r="D5555" s="144"/>
      <c r="E5555" s="144"/>
      <c r="F5555" s="373"/>
      <c r="I5555" s="70"/>
    </row>
    <row r="5556" spans="3:9" s="46" customFormat="1" x14ac:dyDescent="0.2">
      <c r="C5556" s="144"/>
      <c r="D5556" s="144"/>
      <c r="E5556" s="144"/>
      <c r="F5556" s="373"/>
      <c r="I5556" s="70"/>
    </row>
    <row r="5557" spans="3:9" s="46" customFormat="1" x14ac:dyDescent="0.2">
      <c r="C5557" s="144"/>
      <c r="D5557" s="144"/>
      <c r="E5557" s="144"/>
      <c r="F5557" s="373"/>
      <c r="I5557" s="70"/>
    </row>
    <row r="5558" spans="3:9" s="46" customFormat="1" x14ac:dyDescent="0.2">
      <c r="C5558" s="144"/>
      <c r="D5558" s="144"/>
      <c r="E5558" s="144"/>
      <c r="F5558" s="373"/>
      <c r="I5558" s="70"/>
    </row>
    <row r="5559" spans="3:9" s="46" customFormat="1" x14ac:dyDescent="0.2">
      <c r="C5559" s="144"/>
      <c r="D5559" s="144"/>
      <c r="E5559" s="144"/>
      <c r="F5559" s="373"/>
      <c r="I5559" s="70"/>
    </row>
    <row r="5560" spans="3:9" s="46" customFormat="1" x14ac:dyDescent="0.2">
      <c r="C5560" s="144"/>
      <c r="D5560" s="144"/>
      <c r="E5560" s="144"/>
      <c r="F5560" s="373"/>
      <c r="I5560" s="70"/>
    </row>
    <row r="5561" spans="3:9" s="46" customFormat="1" x14ac:dyDescent="0.2">
      <c r="C5561" s="144"/>
      <c r="D5561" s="144"/>
      <c r="E5561" s="144"/>
      <c r="F5561" s="373"/>
      <c r="I5561" s="70"/>
    </row>
    <row r="5562" spans="3:9" s="46" customFormat="1" x14ac:dyDescent="0.2">
      <c r="C5562" s="144"/>
      <c r="D5562" s="144"/>
      <c r="E5562" s="144"/>
      <c r="F5562" s="373"/>
      <c r="I5562" s="70"/>
    </row>
    <row r="5563" spans="3:9" s="46" customFormat="1" x14ac:dyDescent="0.2">
      <c r="C5563" s="144"/>
      <c r="D5563" s="144"/>
      <c r="E5563" s="144"/>
      <c r="F5563" s="373"/>
      <c r="I5563" s="70"/>
    </row>
    <row r="5564" spans="3:9" s="46" customFormat="1" x14ac:dyDescent="0.2">
      <c r="C5564" s="144"/>
      <c r="D5564" s="144"/>
      <c r="E5564" s="144"/>
      <c r="F5564" s="373"/>
      <c r="I5564" s="70"/>
    </row>
    <row r="5565" spans="3:9" s="46" customFormat="1" x14ac:dyDescent="0.2">
      <c r="C5565" s="144"/>
      <c r="D5565" s="144"/>
      <c r="E5565" s="144"/>
      <c r="F5565" s="373"/>
      <c r="I5565" s="70"/>
    </row>
    <row r="5566" spans="3:9" s="46" customFormat="1" x14ac:dyDescent="0.2">
      <c r="C5566" s="144"/>
      <c r="D5566" s="144"/>
      <c r="E5566" s="144"/>
      <c r="F5566" s="373"/>
      <c r="I5566" s="70"/>
    </row>
    <row r="5567" spans="3:9" s="46" customFormat="1" x14ac:dyDescent="0.2">
      <c r="C5567" s="144"/>
      <c r="D5567" s="144"/>
      <c r="E5567" s="144"/>
      <c r="F5567" s="373"/>
      <c r="I5567" s="70"/>
    </row>
    <row r="5568" spans="3:9" s="46" customFormat="1" x14ac:dyDescent="0.2">
      <c r="C5568" s="144"/>
      <c r="D5568" s="144"/>
      <c r="E5568" s="144"/>
      <c r="F5568" s="373"/>
      <c r="I5568" s="70"/>
    </row>
    <row r="5569" spans="3:9" s="46" customFormat="1" x14ac:dyDescent="0.2">
      <c r="C5569" s="144"/>
      <c r="D5569" s="144"/>
      <c r="E5569" s="144"/>
      <c r="F5569" s="373"/>
      <c r="I5569" s="70"/>
    </row>
    <row r="5570" spans="3:9" s="46" customFormat="1" x14ac:dyDescent="0.2">
      <c r="C5570" s="144"/>
      <c r="D5570" s="144"/>
      <c r="E5570" s="144"/>
      <c r="F5570" s="373"/>
      <c r="I5570" s="70"/>
    </row>
    <row r="5571" spans="3:9" s="46" customFormat="1" x14ac:dyDescent="0.2">
      <c r="C5571" s="144"/>
      <c r="D5571" s="144"/>
      <c r="E5571" s="144"/>
      <c r="F5571" s="373"/>
      <c r="I5571" s="70"/>
    </row>
    <row r="5572" spans="3:9" s="46" customFormat="1" x14ac:dyDescent="0.2">
      <c r="C5572" s="144"/>
      <c r="D5572" s="144"/>
      <c r="E5572" s="144"/>
      <c r="F5572" s="373"/>
      <c r="I5572" s="70"/>
    </row>
    <row r="5573" spans="3:9" s="46" customFormat="1" x14ac:dyDescent="0.2">
      <c r="C5573" s="144"/>
      <c r="D5573" s="144"/>
      <c r="E5573" s="144"/>
      <c r="F5573" s="373"/>
      <c r="I5573" s="70"/>
    </row>
    <row r="5574" spans="3:9" s="46" customFormat="1" x14ac:dyDescent="0.2">
      <c r="C5574" s="144"/>
      <c r="D5574" s="144"/>
      <c r="E5574" s="144"/>
      <c r="F5574" s="373"/>
      <c r="I5574" s="70"/>
    </row>
    <row r="5575" spans="3:9" s="46" customFormat="1" x14ac:dyDescent="0.2">
      <c r="C5575" s="144"/>
      <c r="D5575" s="144"/>
      <c r="E5575" s="144"/>
      <c r="F5575" s="373"/>
      <c r="I5575" s="70"/>
    </row>
    <row r="5576" spans="3:9" s="46" customFormat="1" x14ac:dyDescent="0.2">
      <c r="C5576" s="144"/>
      <c r="D5576" s="144"/>
      <c r="E5576" s="144"/>
      <c r="F5576" s="373"/>
      <c r="I5576" s="70"/>
    </row>
    <row r="5577" spans="3:9" s="46" customFormat="1" x14ac:dyDescent="0.2">
      <c r="C5577" s="144"/>
      <c r="D5577" s="144"/>
      <c r="E5577" s="144"/>
      <c r="F5577" s="373"/>
      <c r="I5577" s="70"/>
    </row>
    <row r="5578" spans="3:9" s="46" customFormat="1" x14ac:dyDescent="0.2">
      <c r="C5578" s="144"/>
      <c r="D5578" s="144"/>
      <c r="E5578" s="144"/>
      <c r="F5578" s="373"/>
      <c r="I5578" s="70"/>
    </row>
    <row r="5579" spans="3:9" s="46" customFormat="1" x14ac:dyDescent="0.2">
      <c r="C5579" s="144"/>
      <c r="D5579" s="144"/>
      <c r="E5579" s="144"/>
      <c r="F5579" s="373"/>
      <c r="I5579" s="70"/>
    </row>
    <row r="5580" spans="3:9" s="46" customFormat="1" x14ac:dyDescent="0.2">
      <c r="C5580" s="144"/>
      <c r="D5580" s="144"/>
      <c r="E5580" s="144"/>
      <c r="F5580" s="373"/>
      <c r="I5580" s="70"/>
    </row>
    <row r="5581" spans="3:9" s="46" customFormat="1" x14ac:dyDescent="0.2">
      <c r="C5581" s="144"/>
      <c r="D5581" s="144"/>
      <c r="E5581" s="144"/>
      <c r="F5581" s="373"/>
      <c r="I5581" s="70"/>
    </row>
    <row r="5582" spans="3:9" s="46" customFormat="1" x14ac:dyDescent="0.2">
      <c r="C5582" s="144"/>
      <c r="D5582" s="144"/>
      <c r="E5582" s="144"/>
      <c r="F5582" s="373"/>
      <c r="I5582" s="70"/>
    </row>
    <row r="5583" spans="3:9" s="46" customFormat="1" x14ac:dyDescent="0.2">
      <c r="C5583" s="144"/>
      <c r="D5583" s="144"/>
      <c r="E5583" s="144"/>
      <c r="F5583" s="373"/>
      <c r="I5583" s="70"/>
    </row>
    <row r="5584" spans="3:9" s="46" customFormat="1" x14ac:dyDescent="0.2">
      <c r="C5584" s="144"/>
      <c r="D5584" s="144"/>
      <c r="E5584" s="144"/>
      <c r="F5584" s="373"/>
      <c r="I5584" s="70"/>
    </row>
    <row r="5585" spans="3:9" s="46" customFormat="1" x14ac:dyDescent="0.2">
      <c r="C5585" s="144"/>
      <c r="D5585" s="144"/>
      <c r="E5585" s="144"/>
      <c r="F5585" s="373"/>
      <c r="I5585" s="70"/>
    </row>
    <row r="5586" spans="3:9" s="46" customFormat="1" x14ac:dyDescent="0.2">
      <c r="C5586" s="144"/>
      <c r="D5586" s="144"/>
      <c r="E5586" s="144"/>
      <c r="F5586" s="373"/>
      <c r="I5586" s="70"/>
    </row>
    <row r="5587" spans="3:9" s="46" customFormat="1" x14ac:dyDescent="0.2">
      <c r="C5587" s="144"/>
      <c r="D5587" s="144"/>
      <c r="E5587" s="144"/>
      <c r="F5587" s="373"/>
      <c r="I5587" s="70"/>
    </row>
    <row r="5588" spans="3:9" s="46" customFormat="1" x14ac:dyDescent="0.2">
      <c r="C5588" s="144"/>
      <c r="D5588" s="144"/>
      <c r="E5588" s="144"/>
      <c r="F5588" s="373"/>
      <c r="I5588" s="70"/>
    </row>
    <row r="5589" spans="3:9" s="46" customFormat="1" x14ac:dyDescent="0.2">
      <c r="C5589" s="144"/>
      <c r="D5589" s="144"/>
      <c r="E5589" s="144"/>
      <c r="F5589" s="373"/>
      <c r="I5589" s="70"/>
    </row>
    <row r="5590" spans="3:9" s="46" customFormat="1" x14ac:dyDescent="0.2">
      <c r="C5590" s="144"/>
      <c r="D5590" s="144"/>
      <c r="E5590" s="144"/>
      <c r="F5590" s="373"/>
      <c r="I5590" s="70"/>
    </row>
    <row r="5591" spans="3:9" s="46" customFormat="1" x14ac:dyDescent="0.2">
      <c r="C5591" s="144"/>
      <c r="D5591" s="144"/>
      <c r="E5591" s="144"/>
      <c r="F5591" s="373"/>
      <c r="I5591" s="70"/>
    </row>
    <row r="5592" spans="3:9" s="46" customFormat="1" x14ac:dyDescent="0.2">
      <c r="C5592" s="144"/>
      <c r="D5592" s="144"/>
      <c r="E5592" s="144"/>
      <c r="F5592" s="373"/>
      <c r="I5592" s="70"/>
    </row>
    <row r="5593" spans="3:9" s="46" customFormat="1" x14ac:dyDescent="0.2">
      <c r="C5593" s="144"/>
      <c r="D5593" s="144"/>
      <c r="E5593" s="144"/>
      <c r="F5593" s="373"/>
      <c r="I5593" s="70"/>
    </row>
    <row r="5594" spans="3:9" s="46" customFormat="1" x14ac:dyDescent="0.2">
      <c r="C5594" s="144"/>
      <c r="D5594" s="144"/>
      <c r="E5594" s="144"/>
      <c r="F5594" s="373"/>
      <c r="I5594" s="70"/>
    </row>
    <row r="5595" spans="3:9" s="46" customFormat="1" x14ac:dyDescent="0.2">
      <c r="C5595" s="144"/>
      <c r="D5595" s="144"/>
      <c r="E5595" s="144"/>
      <c r="F5595" s="373"/>
      <c r="I5595" s="70"/>
    </row>
    <row r="5596" spans="3:9" s="46" customFormat="1" x14ac:dyDescent="0.2">
      <c r="C5596" s="144"/>
      <c r="D5596" s="144"/>
      <c r="E5596" s="144"/>
      <c r="F5596" s="373"/>
      <c r="I5596" s="70"/>
    </row>
    <row r="5597" spans="3:9" s="46" customFormat="1" x14ac:dyDescent="0.2">
      <c r="C5597" s="144"/>
      <c r="D5597" s="144"/>
      <c r="E5597" s="144"/>
      <c r="F5597" s="373"/>
      <c r="I5597" s="70"/>
    </row>
    <row r="5598" spans="3:9" s="46" customFormat="1" x14ac:dyDescent="0.2">
      <c r="C5598" s="144"/>
      <c r="D5598" s="144"/>
      <c r="E5598" s="144"/>
      <c r="F5598" s="373"/>
      <c r="I5598" s="70"/>
    </row>
    <row r="5599" spans="3:9" s="46" customFormat="1" x14ac:dyDescent="0.2">
      <c r="C5599" s="144"/>
      <c r="D5599" s="144"/>
      <c r="E5599" s="144"/>
      <c r="F5599" s="373"/>
      <c r="I5599" s="70"/>
    </row>
    <row r="5600" spans="3:9" s="46" customFormat="1" x14ac:dyDescent="0.2">
      <c r="C5600" s="144"/>
      <c r="D5600" s="144"/>
      <c r="E5600" s="144"/>
      <c r="F5600" s="373"/>
      <c r="I5600" s="70"/>
    </row>
    <row r="5601" spans="3:9" s="46" customFormat="1" x14ac:dyDescent="0.2">
      <c r="C5601" s="144"/>
      <c r="D5601" s="144"/>
      <c r="E5601" s="144"/>
      <c r="F5601" s="373"/>
      <c r="I5601" s="70"/>
    </row>
    <row r="5602" spans="3:9" s="46" customFormat="1" x14ac:dyDescent="0.2">
      <c r="C5602" s="144"/>
      <c r="D5602" s="144"/>
      <c r="E5602" s="144"/>
      <c r="F5602" s="373"/>
      <c r="I5602" s="70"/>
    </row>
    <row r="5603" spans="3:9" s="46" customFormat="1" x14ac:dyDescent="0.2">
      <c r="C5603" s="144"/>
      <c r="D5603" s="144"/>
      <c r="E5603" s="144"/>
      <c r="F5603" s="373"/>
      <c r="I5603" s="70"/>
    </row>
    <row r="5604" spans="3:9" s="46" customFormat="1" x14ac:dyDescent="0.2">
      <c r="C5604" s="144"/>
      <c r="D5604" s="144"/>
      <c r="E5604" s="144"/>
      <c r="F5604" s="373"/>
      <c r="I5604" s="70"/>
    </row>
    <row r="5605" spans="3:9" s="46" customFormat="1" x14ac:dyDescent="0.2">
      <c r="C5605" s="144"/>
      <c r="D5605" s="144"/>
      <c r="E5605" s="144"/>
      <c r="F5605" s="373"/>
      <c r="I5605" s="70"/>
    </row>
    <row r="5606" spans="3:9" s="46" customFormat="1" x14ac:dyDescent="0.2">
      <c r="C5606" s="144"/>
      <c r="D5606" s="144"/>
      <c r="E5606" s="144"/>
      <c r="F5606" s="373"/>
      <c r="I5606" s="70"/>
    </row>
    <row r="5607" spans="3:9" s="46" customFormat="1" x14ac:dyDescent="0.2">
      <c r="C5607" s="144"/>
      <c r="D5607" s="144"/>
      <c r="E5607" s="144"/>
      <c r="F5607" s="373"/>
      <c r="I5607" s="70"/>
    </row>
    <row r="5608" spans="3:9" s="46" customFormat="1" x14ac:dyDescent="0.2">
      <c r="C5608" s="144"/>
      <c r="D5608" s="144"/>
      <c r="E5608" s="144"/>
      <c r="F5608" s="373"/>
      <c r="I5608" s="70"/>
    </row>
    <row r="5609" spans="3:9" s="46" customFormat="1" x14ac:dyDescent="0.2">
      <c r="C5609" s="144"/>
      <c r="D5609" s="144"/>
      <c r="E5609" s="144"/>
      <c r="F5609" s="373"/>
      <c r="I5609" s="70"/>
    </row>
    <row r="5610" spans="3:9" s="46" customFormat="1" x14ac:dyDescent="0.2">
      <c r="C5610" s="144"/>
      <c r="D5610" s="144"/>
      <c r="E5610" s="144"/>
      <c r="F5610" s="373"/>
      <c r="I5610" s="70"/>
    </row>
    <row r="5611" spans="3:9" s="46" customFormat="1" x14ac:dyDescent="0.2">
      <c r="C5611" s="144"/>
      <c r="D5611" s="144"/>
      <c r="E5611" s="144"/>
      <c r="F5611" s="373"/>
      <c r="I5611" s="70"/>
    </row>
    <row r="5612" spans="3:9" s="46" customFormat="1" x14ac:dyDescent="0.2">
      <c r="C5612" s="144"/>
      <c r="D5612" s="144"/>
      <c r="E5612" s="144"/>
      <c r="F5612" s="373"/>
      <c r="I5612" s="70"/>
    </row>
    <row r="5613" spans="3:9" s="46" customFormat="1" x14ac:dyDescent="0.2">
      <c r="C5613" s="144"/>
      <c r="D5613" s="144"/>
      <c r="E5613" s="144"/>
      <c r="F5613" s="373"/>
      <c r="I5613" s="70"/>
    </row>
    <row r="5614" spans="3:9" s="46" customFormat="1" x14ac:dyDescent="0.2">
      <c r="C5614" s="144"/>
      <c r="D5614" s="144"/>
      <c r="E5614" s="144"/>
      <c r="F5614" s="373"/>
      <c r="I5614" s="70"/>
    </row>
    <row r="5615" spans="3:9" s="46" customFormat="1" x14ac:dyDescent="0.2">
      <c r="C5615" s="144"/>
      <c r="D5615" s="144"/>
      <c r="E5615" s="144"/>
      <c r="F5615" s="373"/>
      <c r="I5615" s="70"/>
    </row>
    <row r="5616" spans="3:9" s="46" customFormat="1" x14ac:dyDescent="0.2">
      <c r="C5616" s="144"/>
      <c r="D5616" s="144"/>
      <c r="E5616" s="144"/>
      <c r="F5616" s="373"/>
      <c r="I5616" s="70"/>
    </row>
    <row r="5617" spans="3:9" s="46" customFormat="1" x14ac:dyDescent="0.2">
      <c r="C5617" s="144"/>
      <c r="D5617" s="144"/>
      <c r="E5617" s="144"/>
      <c r="F5617" s="373"/>
      <c r="I5617" s="70"/>
    </row>
    <row r="5618" spans="3:9" s="46" customFormat="1" x14ac:dyDescent="0.2">
      <c r="C5618" s="144"/>
      <c r="D5618" s="144"/>
      <c r="E5618" s="144"/>
      <c r="F5618" s="373"/>
      <c r="I5618" s="70"/>
    </row>
    <row r="5619" spans="3:9" s="46" customFormat="1" x14ac:dyDescent="0.2">
      <c r="C5619" s="144"/>
      <c r="D5619" s="144"/>
      <c r="E5619" s="144"/>
      <c r="F5619" s="373"/>
      <c r="I5619" s="70"/>
    </row>
    <row r="5620" spans="3:9" s="46" customFormat="1" x14ac:dyDescent="0.2">
      <c r="C5620" s="144"/>
      <c r="D5620" s="144"/>
      <c r="E5620" s="144"/>
      <c r="F5620" s="373"/>
      <c r="I5620" s="70"/>
    </row>
    <row r="5621" spans="3:9" s="46" customFormat="1" x14ac:dyDescent="0.2">
      <c r="C5621" s="144"/>
      <c r="D5621" s="144"/>
      <c r="E5621" s="144"/>
      <c r="F5621" s="373"/>
      <c r="I5621" s="70"/>
    </row>
    <row r="5622" spans="3:9" s="46" customFormat="1" x14ac:dyDescent="0.2">
      <c r="C5622" s="144"/>
      <c r="D5622" s="144"/>
      <c r="E5622" s="144"/>
      <c r="F5622" s="373"/>
      <c r="I5622" s="70"/>
    </row>
    <row r="5623" spans="3:9" s="46" customFormat="1" x14ac:dyDescent="0.2">
      <c r="C5623" s="144"/>
      <c r="D5623" s="144"/>
      <c r="E5623" s="144"/>
      <c r="F5623" s="373"/>
      <c r="I5623" s="70"/>
    </row>
    <row r="5624" spans="3:9" s="46" customFormat="1" x14ac:dyDescent="0.2">
      <c r="C5624" s="144"/>
      <c r="D5624" s="144"/>
      <c r="E5624" s="144"/>
      <c r="F5624" s="373"/>
      <c r="I5624" s="70"/>
    </row>
    <row r="5625" spans="3:9" s="46" customFormat="1" x14ac:dyDescent="0.2">
      <c r="C5625" s="144"/>
      <c r="D5625" s="144"/>
      <c r="E5625" s="144"/>
      <c r="F5625" s="373"/>
      <c r="I5625" s="70"/>
    </row>
    <row r="5626" spans="3:9" s="46" customFormat="1" x14ac:dyDescent="0.2">
      <c r="C5626" s="144"/>
      <c r="D5626" s="144"/>
      <c r="E5626" s="144"/>
      <c r="F5626" s="373"/>
      <c r="I5626" s="70"/>
    </row>
    <row r="5627" spans="3:9" s="46" customFormat="1" x14ac:dyDescent="0.2">
      <c r="C5627" s="144"/>
      <c r="D5627" s="144"/>
      <c r="E5627" s="144"/>
      <c r="F5627" s="373"/>
      <c r="I5627" s="70"/>
    </row>
    <row r="5628" spans="3:9" s="46" customFormat="1" x14ac:dyDescent="0.2">
      <c r="C5628" s="144"/>
      <c r="D5628" s="144"/>
      <c r="E5628" s="144"/>
      <c r="F5628" s="373"/>
      <c r="I5628" s="70"/>
    </row>
    <row r="5629" spans="3:9" s="46" customFormat="1" x14ac:dyDescent="0.2">
      <c r="C5629" s="144"/>
      <c r="D5629" s="144"/>
      <c r="E5629" s="144"/>
      <c r="F5629" s="373"/>
      <c r="I5629" s="70"/>
    </row>
    <row r="5630" spans="3:9" s="46" customFormat="1" x14ac:dyDescent="0.2">
      <c r="C5630" s="144"/>
      <c r="D5630" s="144"/>
      <c r="E5630" s="144"/>
      <c r="F5630" s="373"/>
      <c r="I5630" s="70"/>
    </row>
    <row r="5631" spans="3:9" s="46" customFormat="1" x14ac:dyDescent="0.2">
      <c r="C5631" s="144"/>
      <c r="D5631" s="144"/>
      <c r="E5631" s="144"/>
      <c r="F5631" s="373"/>
      <c r="I5631" s="70"/>
    </row>
    <row r="5632" spans="3:9" s="46" customFormat="1" x14ac:dyDescent="0.2">
      <c r="C5632" s="144"/>
      <c r="D5632" s="144"/>
      <c r="E5632" s="144"/>
      <c r="F5632" s="373"/>
      <c r="I5632" s="70"/>
    </row>
    <row r="5633" spans="3:9" s="46" customFormat="1" x14ac:dyDescent="0.2">
      <c r="C5633" s="144"/>
      <c r="D5633" s="144"/>
      <c r="E5633" s="144"/>
      <c r="F5633" s="373"/>
      <c r="I5633" s="70"/>
    </row>
    <row r="5634" spans="3:9" s="46" customFormat="1" x14ac:dyDescent="0.2">
      <c r="C5634" s="144"/>
      <c r="D5634" s="144"/>
      <c r="E5634" s="144"/>
      <c r="F5634" s="373"/>
      <c r="I5634" s="70"/>
    </row>
    <row r="5635" spans="3:9" s="46" customFormat="1" x14ac:dyDescent="0.2">
      <c r="C5635" s="144"/>
      <c r="D5635" s="144"/>
      <c r="E5635" s="144"/>
      <c r="F5635" s="373"/>
      <c r="I5635" s="70"/>
    </row>
    <row r="5636" spans="3:9" s="46" customFormat="1" x14ac:dyDescent="0.2">
      <c r="C5636" s="144"/>
      <c r="D5636" s="144"/>
      <c r="E5636" s="144"/>
      <c r="F5636" s="373"/>
      <c r="I5636" s="70"/>
    </row>
    <row r="5637" spans="3:9" s="46" customFormat="1" x14ac:dyDescent="0.2">
      <c r="C5637" s="144"/>
      <c r="D5637" s="144"/>
      <c r="E5637" s="144"/>
      <c r="F5637" s="373"/>
      <c r="I5637" s="70"/>
    </row>
    <row r="5638" spans="3:9" s="46" customFormat="1" x14ac:dyDescent="0.2">
      <c r="C5638" s="144"/>
      <c r="D5638" s="144"/>
      <c r="E5638" s="144"/>
      <c r="F5638" s="373"/>
      <c r="I5638" s="70"/>
    </row>
    <row r="5639" spans="3:9" s="46" customFormat="1" x14ac:dyDescent="0.2">
      <c r="C5639" s="144"/>
      <c r="D5639" s="144"/>
      <c r="E5639" s="144"/>
      <c r="F5639" s="373"/>
      <c r="I5639" s="70"/>
    </row>
    <row r="5640" spans="3:9" s="46" customFormat="1" x14ac:dyDescent="0.2">
      <c r="C5640" s="144"/>
      <c r="D5640" s="144"/>
      <c r="E5640" s="144"/>
      <c r="F5640" s="373"/>
      <c r="I5640" s="70"/>
    </row>
    <row r="5641" spans="3:9" s="46" customFormat="1" x14ac:dyDescent="0.2">
      <c r="C5641" s="144"/>
      <c r="D5641" s="144"/>
      <c r="E5641" s="144"/>
      <c r="F5641" s="373"/>
      <c r="I5641" s="70"/>
    </row>
    <row r="5642" spans="3:9" s="46" customFormat="1" x14ac:dyDescent="0.2">
      <c r="C5642" s="144"/>
      <c r="D5642" s="144"/>
      <c r="E5642" s="144"/>
      <c r="F5642" s="373"/>
      <c r="I5642" s="70"/>
    </row>
    <row r="5643" spans="3:9" s="46" customFormat="1" x14ac:dyDescent="0.2">
      <c r="C5643" s="144"/>
      <c r="D5643" s="144"/>
      <c r="E5643" s="144"/>
      <c r="F5643" s="373"/>
      <c r="I5643" s="70"/>
    </row>
    <row r="5644" spans="3:9" s="46" customFormat="1" x14ac:dyDescent="0.2">
      <c r="C5644" s="144"/>
      <c r="D5644" s="144"/>
      <c r="E5644" s="144"/>
      <c r="F5644" s="373"/>
      <c r="I5644" s="70"/>
    </row>
    <row r="5645" spans="3:9" s="46" customFormat="1" x14ac:dyDescent="0.2">
      <c r="C5645" s="144"/>
      <c r="D5645" s="144"/>
      <c r="E5645" s="144"/>
      <c r="F5645" s="373"/>
      <c r="I5645" s="70"/>
    </row>
    <row r="5646" spans="3:9" s="46" customFormat="1" x14ac:dyDescent="0.2">
      <c r="C5646" s="144"/>
      <c r="D5646" s="144"/>
      <c r="E5646" s="144"/>
      <c r="F5646" s="373"/>
      <c r="I5646" s="70"/>
    </row>
    <row r="5647" spans="3:9" s="46" customFormat="1" x14ac:dyDescent="0.2">
      <c r="C5647" s="144"/>
      <c r="D5647" s="144"/>
      <c r="E5647" s="144"/>
      <c r="F5647" s="373"/>
      <c r="I5647" s="70"/>
    </row>
    <row r="5648" spans="3:9" s="46" customFormat="1" x14ac:dyDescent="0.2">
      <c r="C5648" s="144"/>
      <c r="D5648" s="144"/>
      <c r="E5648" s="144"/>
      <c r="F5648" s="373"/>
      <c r="I5648" s="70"/>
    </row>
    <row r="5649" spans="3:9" s="46" customFormat="1" x14ac:dyDescent="0.2">
      <c r="C5649" s="144"/>
      <c r="D5649" s="144"/>
      <c r="E5649" s="144"/>
      <c r="F5649" s="373"/>
      <c r="I5649" s="70"/>
    </row>
    <row r="5650" spans="3:9" s="46" customFormat="1" x14ac:dyDescent="0.2">
      <c r="C5650" s="144"/>
      <c r="D5650" s="144"/>
      <c r="E5650" s="144"/>
      <c r="F5650" s="373"/>
      <c r="I5650" s="70"/>
    </row>
    <row r="5651" spans="3:9" s="46" customFormat="1" x14ac:dyDescent="0.2">
      <c r="C5651" s="144"/>
      <c r="D5651" s="144"/>
      <c r="E5651" s="144"/>
      <c r="F5651" s="373"/>
      <c r="I5651" s="70"/>
    </row>
    <row r="5652" spans="3:9" s="46" customFormat="1" x14ac:dyDescent="0.2">
      <c r="C5652" s="144"/>
      <c r="D5652" s="144"/>
      <c r="E5652" s="144"/>
      <c r="F5652" s="373"/>
      <c r="I5652" s="70"/>
    </row>
    <row r="5653" spans="3:9" s="46" customFormat="1" x14ac:dyDescent="0.2">
      <c r="C5653" s="144"/>
      <c r="D5653" s="144"/>
      <c r="E5653" s="144"/>
      <c r="F5653" s="373"/>
      <c r="I5653" s="70"/>
    </row>
    <row r="5654" spans="3:9" s="46" customFormat="1" x14ac:dyDescent="0.2">
      <c r="C5654" s="144"/>
      <c r="D5654" s="144"/>
      <c r="E5654" s="144"/>
      <c r="F5654" s="373"/>
      <c r="I5654" s="70"/>
    </row>
    <row r="5655" spans="3:9" s="46" customFormat="1" x14ac:dyDescent="0.2">
      <c r="C5655" s="144"/>
      <c r="D5655" s="144"/>
      <c r="E5655" s="144"/>
      <c r="F5655" s="373"/>
      <c r="I5655" s="70"/>
    </row>
    <row r="5656" spans="3:9" s="46" customFormat="1" x14ac:dyDescent="0.2">
      <c r="C5656" s="144"/>
      <c r="D5656" s="144"/>
      <c r="E5656" s="144"/>
      <c r="F5656" s="373"/>
      <c r="I5656" s="70"/>
    </row>
    <row r="5657" spans="3:9" s="46" customFormat="1" x14ac:dyDescent="0.2">
      <c r="C5657" s="144"/>
      <c r="D5657" s="144"/>
      <c r="E5657" s="144"/>
      <c r="F5657" s="373"/>
      <c r="I5657" s="70"/>
    </row>
    <row r="5658" spans="3:9" s="46" customFormat="1" x14ac:dyDescent="0.2">
      <c r="C5658" s="144"/>
      <c r="D5658" s="144"/>
      <c r="E5658" s="144"/>
      <c r="F5658" s="373"/>
      <c r="I5658" s="70"/>
    </row>
    <row r="5659" spans="3:9" s="46" customFormat="1" x14ac:dyDescent="0.2">
      <c r="C5659" s="144"/>
      <c r="D5659" s="144"/>
      <c r="E5659" s="144"/>
      <c r="F5659" s="373"/>
      <c r="I5659" s="70"/>
    </row>
    <row r="5660" spans="3:9" s="46" customFormat="1" x14ac:dyDescent="0.2">
      <c r="C5660" s="144"/>
      <c r="D5660" s="144"/>
      <c r="E5660" s="144"/>
      <c r="F5660" s="373"/>
      <c r="I5660" s="70"/>
    </row>
    <row r="5661" spans="3:9" s="46" customFormat="1" x14ac:dyDescent="0.2">
      <c r="C5661" s="144"/>
      <c r="D5661" s="144"/>
      <c r="E5661" s="144"/>
      <c r="F5661" s="373"/>
      <c r="I5661" s="70"/>
    </row>
    <row r="5662" spans="3:9" s="46" customFormat="1" x14ac:dyDescent="0.2">
      <c r="C5662" s="144"/>
      <c r="D5662" s="144"/>
      <c r="E5662" s="144"/>
      <c r="F5662" s="373"/>
      <c r="I5662" s="70"/>
    </row>
    <row r="5663" spans="3:9" s="46" customFormat="1" x14ac:dyDescent="0.2">
      <c r="C5663" s="144"/>
      <c r="D5663" s="144"/>
      <c r="E5663" s="144"/>
      <c r="F5663" s="373"/>
      <c r="I5663" s="70"/>
    </row>
    <row r="5664" spans="3:9" s="46" customFormat="1" x14ac:dyDescent="0.2">
      <c r="C5664" s="144"/>
      <c r="D5664" s="144"/>
      <c r="E5664" s="144"/>
      <c r="F5664" s="373"/>
      <c r="I5664" s="70"/>
    </row>
    <row r="5665" spans="3:9" s="46" customFormat="1" x14ac:dyDescent="0.2">
      <c r="C5665" s="144"/>
      <c r="D5665" s="144"/>
      <c r="E5665" s="144"/>
      <c r="F5665" s="373"/>
      <c r="I5665" s="70"/>
    </row>
    <row r="5666" spans="3:9" s="46" customFormat="1" x14ac:dyDescent="0.2">
      <c r="C5666" s="144"/>
      <c r="D5666" s="144"/>
      <c r="E5666" s="144"/>
      <c r="F5666" s="373"/>
      <c r="I5666" s="70"/>
    </row>
    <row r="5667" spans="3:9" s="46" customFormat="1" x14ac:dyDescent="0.2">
      <c r="C5667" s="144"/>
      <c r="D5667" s="144"/>
      <c r="E5667" s="144"/>
      <c r="F5667" s="373"/>
      <c r="I5667" s="70"/>
    </row>
    <row r="5668" spans="3:9" s="46" customFormat="1" x14ac:dyDescent="0.2">
      <c r="C5668" s="144"/>
      <c r="D5668" s="144"/>
      <c r="E5668" s="144"/>
      <c r="F5668" s="373"/>
      <c r="I5668" s="70"/>
    </row>
    <row r="5669" spans="3:9" s="46" customFormat="1" x14ac:dyDescent="0.2">
      <c r="C5669" s="144"/>
      <c r="D5669" s="144"/>
      <c r="E5669" s="144"/>
      <c r="F5669" s="373"/>
      <c r="I5669" s="70"/>
    </row>
    <row r="5670" spans="3:9" s="46" customFormat="1" x14ac:dyDescent="0.2">
      <c r="C5670" s="144"/>
      <c r="D5670" s="144"/>
      <c r="E5670" s="144"/>
      <c r="F5670" s="373"/>
      <c r="I5670" s="70"/>
    </row>
    <row r="5671" spans="3:9" s="46" customFormat="1" x14ac:dyDescent="0.2">
      <c r="C5671" s="144"/>
      <c r="D5671" s="144"/>
      <c r="E5671" s="144"/>
      <c r="F5671" s="373"/>
      <c r="I5671" s="70"/>
    </row>
    <row r="5672" spans="3:9" s="46" customFormat="1" x14ac:dyDescent="0.2">
      <c r="C5672" s="144"/>
      <c r="D5672" s="144"/>
      <c r="E5672" s="144"/>
      <c r="F5672" s="373"/>
      <c r="I5672" s="70"/>
    </row>
    <row r="5673" spans="3:9" s="46" customFormat="1" x14ac:dyDescent="0.2">
      <c r="C5673" s="144"/>
      <c r="D5673" s="144"/>
      <c r="E5673" s="144"/>
      <c r="F5673" s="373"/>
      <c r="I5673" s="70"/>
    </row>
    <row r="5674" spans="3:9" s="46" customFormat="1" x14ac:dyDescent="0.2">
      <c r="C5674" s="144"/>
      <c r="D5674" s="144"/>
      <c r="E5674" s="144"/>
      <c r="F5674" s="373"/>
      <c r="I5674" s="70"/>
    </row>
    <row r="5675" spans="3:9" s="46" customFormat="1" x14ac:dyDescent="0.2">
      <c r="C5675" s="144"/>
      <c r="D5675" s="144"/>
      <c r="E5675" s="144"/>
      <c r="F5675" s="373"/>
      <c r="I5675" s="70"/>
    </row>
    <row r="5676" spans="3:9" s="46" customFormat="1" x14ac:dyDescent="0.2">
      <c r="C5676" s="144"/>
      <c r="D5676" s="144"/>
      <c r="E5676" s="144"/>
      <c r="F5676" s="373"/>
      <c r="I5676" s="70"/>
    </row>
    <row r="5677" spans="3:9" s="46" customFormat="1" x14ac:dyDescent="0.2">
      <c r="C5677" s="144"/>
      <c r="D5677" s="144"/>
      <c r="E5677" s="144"/>
      <c r="F5677" s="373"/>
      <c r="I5677" s="70"/>
    </row>
    <row r="5678" spans="3:9" s="46" customFormat="1" x14ac:dyDescent="0.2">
      <c r="C5678" s="144"/>
      <c r="D5678" s="144"/>
      <c r="E5678" s="144"/>
      <c r="F5678" s="373"/>
      <c r="I5678" s="70"/>
    </row>
    <row r="5679" spans="3:9" s="46" customFormat="1" x14ac:dyDescent="0.2">
      <c r="C5679" s="144"/>
      <c r="D5679" s="144"/>
      <c r="E5679" s="144"/>
      <c r="F5679" s="373"/>
      <c r="I5679" s="70"/>
    </row>
    <row r="5680" spans="3:9" s="46" customFormat="1" x14ac:dyDescent="0.2">
      <c r="C5680" s="144"/>
      <c r="D5680" s="144"/>
      <c r="E5680" s="144"/>
      <c r="F5680" s="373"/>
      <c r="I5680" s="70"/>
    </row>
    <row r="5681" spans="3:9" s="46" customFormat="1" x14ac:dyDescent="0.2">
      <c r="C5681" s="144"/>
      <c r="D5681" s="144"/>
      <c r="E5681" s="144"/>
      <c r="F5681" s="373"/>
      <c r="I5681" s="70"/>
    </row>
    <row r="5682" spans="3:9" s="46" customFormat="1" x14ac:dyDescent="0.2">
      <c r="C5682" s="144"/>
      <c r="D5682" s="144"/>
      <c r="E5682" s="144"/>
      <c r="F5682" s="373"/>
      <c r="I5682" s="70"/>
    </row>
    <row r="5683" spans="3:9" s="46" customFormat="1" x14ac:dyDescent="0.2">
      <c r="C5683" s="144"/>
      <c r="D5683" s="144"/>
      <c r="E5683" s="144"/>
      <c r="F5683" s="373"/>
      <c r="I5683" s="70"/>
    </row>
    <row r="5684" spans="3:9" s="46" customFormat="1" x14ac:dyDescent="0.2">
      <c r="C5684" s="144"/>
      <c r="D5684" s="144"/>
      <c r="E5684" s="144"/>
      <c r="F5684" s="373"/>
      <c r="I5684" s="70"/>
    </row>
    <row r="5685" spans="3:9" s="46" customFormat="1" x14ac:dyDescent="0.2">
      <c r="C5685" s="144"/>
      <c r="D5685" s="144"/>
      <c r="E5685" s="144"/>
      <c r="F5685" s="373"/>
      <c r="I5685" s="70"/>
    </row>
    <row r="5686" spans="3:9" s="46" customFormat="1" x14ac:dyDescent="0.2">
      <c r="C5686" s="144"/>
      <c r="D5686" s="144"/>
      <c r="E5686" s="144"/>
      <c r="F5686" s="373"/>
      <c r="I5686" s="70"/>
    </row>
    <row r="5687" spans="3:9" s="46" customFormat="1" x14ac:dyDescent="0.2">
      <c r="C5687" s="144"/>
      <c r="D5687" s="144"/>
      <c r="E5687" s="144"/>
      <c r="F5687" s="373"/>
      <c r="I5687" s="70"/>
    </row>
    <row r="5688" spans="3:9" s="46" customFormat="1" x14ac:dyDescent="0.2">
      <c r="C5688" s="144"/>
      <c r="D5688" s="144"/>
      <c r="E5688" s="144"/>
      <c r="F5688" s="373"/>
      <c r="I5688" s="70"/>
    </row>
    <row r="5689" spans="3:9" s="46" customFormat="1" x14ac:dyDescent="0.2">
      <c r="C5689" s="144"/>
      <c r="D5689" s="144"/>
      <c r="E5689" s="144"/>
      <c r="F5689" s="373"/>
      <c r="I5689" s="70"/>
    </row>
    <row r="5690" spans="3:9" s="46" customFormat="1" x14ac:dyDescent="0.2">
      <c r="C5690" s="144"/>
      <c r="D5690" s="144"/>
      <c r="E5690" s="144"/>
      <c r="F5690" s="373"/>
      <c r="I5690" s="70"/>
    </row>
    <row r="5691" spans="3:9" s="46" customFormat="1" x14ac:dyDescent="0.2">
      <c r="C5691" s="144"/>
      <c r="D5691" s="144"/>
      <c r="E5691" s="144"/>
      <c r="F5691" s="373"/>
      <c r="I5691" s="70"/>
    </row>
    <row r="5692" spans="3:9" s="46" customFormat="1" x14ac:dyDescent="0.2">
      <c r="C5692" s="144"/>
      <c r="D5692" s="144"/>
      <c r="E5692" s="144"/>
      <c r="F5692" s="373"/>
      <c r="I5692" s="70"/>
    </row>
    <row r="5693" spans="3:9" s="46" customFormat="1" x14ac:dyDescent="0.2">
      <c r="C5693" s="144"/>
      <c r="D5693" s="144"/>
      <c r="E5693" s="144"/>
      <c r="F5693" s="373"/>
      <c r="I5693" s="70"/>
    </row>
    <row r="5694" spans="3:9" s="46" customFormat="1" x14ac:dyDescent="0.2">
      <c r="C5694" s="144"/>
      <c r="D5694" s="144"/>
      <c r="E5694" s="144"/>
      <c r="F5694" s="373"/>
      <c r="I5694" s="70"/>
    </row>
    <row r="5695" spans="3:9" s="46" customFormat="1" x14ac:dyDescent="0.2">
      <c r="C5695" s="144"/>
      <c r="D5695" s="144"/>
      <c r="E5695" s="144"/>
      <c r="F5695" s="373"/>
      <c r="I5695" s="70"/>
    </row>
    <row r="5696" spans="3:9" s="46" customFormat="1" x14ac:dyDescent="0.2">
      <c r="C5696" s="144"/>
      <c r="D5696" s="144"/>
      <c r="E5696" s="144"/>
      <c r="F5696" s="373"/>
      <c r="I5696" s="70"/>
    </row>
    <row r="5697" spans="3:9" s="46" customFormat="1" x14ac:dyDescent="0.2">
      <c r="C5697" s="144"/>
      <c r="D5697" s="144"/>
      <c r="E5697" s="144"/>
      <c r="F5697" s="373"/>
      <c r="I5697" s="70"/>
    </row>
    <row r="5698" spans="3:9" s="46" customFormat="1" x14ac:dyDescent="0.2">
      <c r="C5698" s="144"/>
      <c r="D5698" s="144"/>
      <c r="E5698" s="144"/>
      <c r="F5698" s="373"/>
      <c r="I5698" s="70"/>
    </row>
    <row r="5699" spans="3:9" s="46" customFormat="1" x14ac:dyDescent="0.2">
      <c r="C5699" s="144"/>
      <c r="D5699" s="144"/>
      <c r="E5699" s="144"/>
      <c r="F5699" s="373"/>
      <c r="I5699" s="70"/>
    </row>
    <row r="5700" spans="3:9" s="46" customFormat="1" x14ac:dyDescent="0.2">
      <c r="C5700" s="144"/>
      <c r="D5700" s="144"/>
      <c r="E5700" s="144"/>
      <c r="F5700" s="373"/>
      <c r="I5700" s="70"/>
    </row>
    <row r="5701" spans="3:9" s="46" customFormat="1" x14ac:dyDescent="0.2">
      <c r="C5701" s="144"/>
      <c r="D5701" s="144"/>
      <c r="E5701" s="144"/>
      <c r="F5701" s="373"/>
      <c r="I5701" s="70"/>
    </row>
    <row r="5702" spans="3:9" s="46" customFormat="1" x14ac:dyDescent="0.2">
      <c r="C5702" s="144"/>
      <c r="D5702" s="144"/>
      <c r="E5702" s="144"/>
      <c r="F5702" s="373"/>
      <c r="I5702" s="70"/>
    </row>
    <row r="5703" spans="3:9" s="46" customFormat="1" x14ac:dyDescent="0.2">
      <c r="C5703" s="144"/>
      <c r="D5703" s="144"/>
      <c r="E5703" s="144"/>
      <c r="F5703" s="373"/>
      <c r="I5703" s="70"/>
    </row>
    <row r="5704" spans="3:9" s="46" customFormat="1" x14ac:dyDescent="0.2">
      <c r="C5704" s="144"/>
      <c r="D5704" s="144"/>
      <c r="E5704" s="144"/>
      <c r="F5704" s="373"/>
      <c r="I5704" s="70"/>
    </row>
    <row r="5705" spans="3:9" s="46" customFormat="1" x14ac:dyDescent="0.2">
      <c r="C5705" s="144"/>
      <c r="D5705" s="144"/>
      <c r="E5705" s="144"/>
      <c r="F5705" s="373"/>
      <c r="I5705" s="70"/>
    </row>
    <row r="5706" spans="3:9" s="46" customFormat="1" x14ac:dyDescent="0.2">
      <c r="C5706" s="144"/>
      <c r="D5706" s="144"/>
      <c r="E5706" s="144"/>
      <c r="F5706" s="373"/>
      <c r="I5706" s="70"/>
    </row>
    <row r="5707" spans="3:9" s="46" customFormat="1" x14ac:dyDescent="0.2">
      <c r="C5707" s="144"/>
      <c r="D5707" s="144"/>
      <c r="E5707" s="144"/>
      <c r="F5707" s="373"/>
      <c r="I5707" s="70"/>
    </row>
    <row r="5708" spans="3:9" s="46" customFormat="1" x14ac:dyDescent="0.2">
      <c r="C5708" s="144"/>
      <c r="D5708" s="144"/>
      <c r="E5708" s="144"/>
      <c r="F5708" s="373"/>
      <c r="I5708" s="70"/>
    </row>
    <row r="5709" spans="3:9" s="46" customFormat="1" x14ac:dyDescent="0.2">
      <c r="C5709" s="144"/>
      <c r="D5709" s="144"/>
      <c r="E5709" s="144"/>
      <c r="F5709" s="373"/>
      <c r="I5709" s="70"/>
    </row>
    <row r="5710" spans="3:9" s="46" customFormat="1" x14ac:dyDescent="0.2">
      <c r="C5710" s="144"/>
      <c r="D5710" s="144"/>
      <c r="E5710" s="144"/>
      <c r="F5710" s="373"/>
      <c r="I5710" s="70"/>
    </row>
    <row r="5711" spans="3:9" s="46" customFormat="1" x14ac:dyDescent="0.2">
      <c r="C5711" s="144"/>
      <c r="D5711" s="144"/>
      <c r="E5711" s="144"/>
      <c r="F5711" s="373"/>
      <c r="I5711" s="70"/>
    </row>
    <row r="5712" spans="3:9" s="46" customFormat="1" x14ac:dyDescent="0.2">
      <c r="C5712" s="144"/>
      <c r="D5712" s="144"/>
      <c r="E5712" s="144"/>
      <c r="F5712" s="373"/>
      <c r="I5712" s="70"/>
    </row>
    <row r="5713" spans="3:9" s="46" customFormat="1" x14ac:dyDescent="0.2">
      <c r="C5713" s="144"/>
      <c r="D5713" s="144"/>
      <c r="E5713" s="144"/>
      <c r="F5713" s="373"/>
      <c r="I5713" s="70"/>
    </row>
    <row r="5714" spans="3:9" s="46" customFormat="1" x14ac:dyDescent="0.2">
      <c r="C5714" s="144"/>
      <c r="D5714" s="144"/>
      <c r="E5714" s="144"/>
      <c r="F5714" s="373"/>
      <c r="I5714" s="70"/>
    </row>
    <row r="5715" spans="3:9" s="46" customFormat="1" x14ac:dyDescent="0.2">
      <c r="C5715" s="144"/>
      <c r="D5715" s="144"/>
      <c r="E5715" s="144"/>
      <c r="F5715" s="373"/>
      <c r="I5715" s="70"/>
    </row>
    <row r="5716" spans="3:9" s="46" customFormat="1" x14ac:dyDescent="0.2">
      <c r="C5716" s="144"/>
      <c r="D5716" s="144"/>
      <c r="E5716" s="144"/>
      <c r="F5716" s="373"/>
      <c r="I5716" s="70"/>
    </row>
    <row r="5717" spans="3:9" s="46" customFormat="1" x14ac:dyDescent="0.2">
      <c r="C5717" s="144"/>
      <c r="D5717" s="144"/>
      <c r="E5717" s="144"/>
      <c r="F5717" s="373"/>
      <c r="I5717" s="70"/>
    </row>
    <row r="5718" spans="3:9" s="46" customFormat="1" x14ac:dyDescent="0.2">
      <c r="C5718" s="144"/>
      <c r="D5718" s="144"/>
      <c r="E5718" s="144"/>
      <c r="F5718" s="373"/>
      <c r="I5718" s="70"/>
    </row>
    <row r="5719" spans="3:9" s="46" customFormat="1" x14ac:dyDescent="0.2">
      <c r="C5719" s="144"/>
      <c r="D5719" s="144"/>
      <c r="E5719" s="144"/>
      <c r="F5719" s="373"/>
      <c r="I5719" s="70"/>
    </row>
    <row r="5720" spans="3:9" s="46" customFormat="1" x14ac:dyDescent="0.2">
      <c r="C5720" s="144"/>
      <c r="D5720" s="144"/>
      <c r="E5720" s="144"/>
      <c r="F5720" s="373"/>
      <c r="I5720" s="70"/>
    </row>
    <row r="5721" spans="3:9" s="46" customFormat="1" x14ac:dyDescent="0.2">
      <c r="C5721" s="144"/>
      <c r="D5721" s="144"/>
      <c r="E5721" s="144"/>
      <c r="F5721" s="373"/>
      <c r="I5721" s="70"/>
    </row>
    <row r="5722" spans="3:9" s="46" customFormat="1" x14ac:dyDescent="0.2">
      <c r="C5722" s="144"/>
      <c r="D5722" s="144"/>
      <c r="E5722" s="144"/>
      <c r="F5722" s="373"/>
      <c r="I5722" s="70"/>
    </row>
    <row r="5723" spans="3:9" s="46" customFormat="1" x14ac:dyDescent="0.2">
      <c r="C5723" s="144"/>
      <c r="D5723" s="144"/>
      <c r="E5723" s="144"/>
      <c r="F5723" s="373"/>
      <c r="I5723" s="70"/>
    </row>
    <row r="5724" spans="3:9" s="46" customFormat="1" x14ac:dyDescent="0.2">
      <c r="C5724" s="144"/>
      <c r="D5724" s="144"/>
      <c r="E5724" s="144"/>
      <c r="F5724" s="373"/>
      <c r="I5724" s="70"/>
    </row>
    <row r="5725" spans="3:9" s="46" customFormat="1" x14ac:dyDescent="0.2">
      <c r="C5725" s="144"/>
      <c r="D5725" s="144"/>
      <c r="E5725" s="144"/>
      <c r="F5725" s="373"/>
      <c r="I5725" s="70"/>
    </row>
    <row r="5726" spans="3:9" s="46" customFormat="1" x14ac:dyDescent="0.2">
      <c r="C5726" s="144"/>
      <c r="D5726" s="144"/>
      <c r="E5726" s="144"/>
      <c r="F5726" s="373"/>
      <c r="I5726" s="70"/>
    </row>
    <row r="5727" spans="3:9" s="46" customFormat="1" x14ac:dyDescent="0.2">
      <c r="C5727" s="144"/>
      <c r="D5727" s="144"/>
      <c r="E5727" s="144"/>
      <c r="F5727" s="373"/>
      <c r="I5727" s="70"/>
    </row>
    <row r="5728" spans="3:9" s="46" customFormat="1" x14ac:dyDescent="0.2">
      <c r="C5728" s="144"/>
      <c r="D5728" s="144"/>
      <c r="E5728" s="144"/>
      <c r="F5728" s="373"/>
      <c r="I5728" s="70"/>
    </row>
    <row r="5729" spans="3:9" s="46" customFormat="1" x14ac:dyDescent="0.2">
      <c r="C5729" s="144"/>
      <c r="D5729" s="144"/>
      <c r="E5729" s="144"/>
      <c r="F5729" s="373"/>
      <c r="I5729" s="70"/>
    </row>
    <row r="5730" spans="3:9" s="46" customFormat="1" x14ac:dyDescent="0.2">
      <c r="C5730" s="144"/>
      <c r="D5730" s="144"/>
      <c r="E5730" s="144"/>
      <c r="F5730" s="373"/>
      <c r="I5730" s="70"/>
    </row>
    <row r="5731" spans="3:9" s="46" customFormat="1" x14ac:dyDescent="0.2">
      <c r="C5731" s="144"/>
      <c r="D5731" s="144"/>
      <c r="E5731" s="144"/>
      <c r="F5731" s="373"/>
      <c r="I5731" s="70"/>
    </row>
    <row r="5732" spans="3:9" s="46" customFormat="1" x14ac:dyDescent="0.2">
      <c r="C5732" s="144"/>
      <c r="D5732" s="144"/>
      <c r="E5732" s="144"/>
      <c r="F5732" s="373"/>
      <c r="I5732" s="70"/>
    </row>
    <row r="5733" spans="3:9" s="46" customFormat="1" x14ac:dyDescent="0.2">
      <c r="C5733" s="144"/>
      <c r="D5733" s="144"/>
      <c r="E5733" s="144"/>
      <c r="F5733" s="373"/>
      <c r="I5733" s="70"/>
    </row>
    <row r="5734" spans="3:9" s="46" customFormat="1" x14ac:dyDescent="0.2">
      <c r="C5734" s="144"/>
      <c r="D5734" s="144"/>
      <c r="E5734" s="144"/>
      <c r="F5734" s="373"/>
      <c r="I5734" s="70"/>
    </row>
    <row r="5735" spans="3:9" s="46" customFormat="1" x14ac:dyDescent="0.2">
      <c r="C5735" s="144"/>
      <c r="D5735" s="144"/>
      <c r="E5735" s="144"/>
      <c r="F5735" s="373"/>
      <c r="I5735" s="70"/>
    </row>
    <row r="5736" spans="3:9" s="46" customFormat="1" x14ac:dyDescent="0.2">
      <c r="C5736" s="144"/>
      <c r="D5736" s="144"/>
      <c r="E5736" s="144"/>
      <c r="F5736" s="373"/>
      <c r="I5736" s="70"/>
    </row>
    <row r="5737" spans="3:9" s="46" customFormat="1" x14ac:dyDescent="0.2">
      <c r="C5737" s="144"/>
      <c r="D5737" s="144"/>
      <c r="E5737" s="144"/>
      <c r="F5737" s="373"/>
      <c r="I5737" s="70"/>
    </row>
    <row r="5738" spans="3:9" s="46" customFormat="1" x14ac:dyDescent="0.2">
      <c r="C5738" s="144"/>
      <c r="D5738" s="144"/>
      <c r="E5738" s="144"/>
      <c r="F5738" s="373"/>
      <c r="I5738" s="70"/>
    </row>
    <row r="5739" spans="3:9" s="46" customFormat="1" x14ac:dyDescent="0.2">
      <c r="C5739" s="144"/>
      <c r="D5739" s="144"/>
      <c r="E5739" s="144"/>
      <c r="F5739" s="373"/>
      <c r="I5739" s="70"/>
    </row>
    <row r="5740" spans="3:9" s="46" customFormat="1" x14ac:dyDescent="0.2">
      <c r="C5740" s="144"/>
      <c r="D5740" s="144"/>
      <c r="E5740" s="144"/>
      <c r="F5740" s="373"/>
      <c r="I5740" s="70"/>
    </row>
    <row r="5741" spans="3:9" s="46" customFormat="1" x14ac:dyDescent="0.2">
      <c r="C5741" s="144"/>
      <c r="D5741" s="144"/>
      <c r="E5741" s="144"/>
      <c r="F5741" s="373"/>
      <c r="I5741" s="70"/>
    </row>
    <row r="5742" spans="3:9" s="46" customFormat="1" x14ac:dyDescent="0.2">
      <c r="C5742" s="144"/>
      <c r="D5742" s="144"/>
      <c r="E5742" s="144"/>
      <c r="F5742" s="373"/>
      <c r="I5742" s="70"/>
    </row>
    <row r="5743" spans="3:9" s="46" customFormat="1" x14ac:dyDescent="0.2">
      <c r="C5743" s="144"/>
      <c r="D5743" s="144"/>
      <c r="E5743" s="144"/>
      <c r="F5743" s="373"/>
      <c r="I5743" s="70"/>
    </row>
    <row r="5744" spans="3:9" s="46" customFormat="1" x14ac:dyDescent="0.2">
      <c r="C5744" s="144"/>
      <c r="D5744" s="144"/>
      <c r="E5744" s="144"/>
      <c r="F5744" s="373"/>
      <c r="I5744" s="70"/>
    </row>
    <row r="5745" spans="3:9" s="46" customFormat="1" x14ac:dyDescent="0.2">
      <c r="C5745" s="144"/>
      <c r="D5745" s="144"/>
      <c r="E5745" s="144"/>
      <c r="F5745" s="373"/>
      <c r="I5745" s="70"/>
    </row>
    <row r="5746" spans="3:9" s="46" customFormat="1" x14ac:dyDescent="0.2">
      <c r="C5746" s="144"/>
      <c r="D5746" s="144"/>
      <c r="E5746" s="144"/>
      <c r="F5746" s="373"/>
      <c r="I5746" s="70"/>
    </row>
    <row r="5747" spans="3:9" s="46" customFormat="1" x14ac:dyDescent="0.2">
      <c r="C5747" s="144"/>
      <c r="D5747" s="144"/>
      <c r="E5747" s="144"/>
      <c r="F5747" s="373"/>
      <c r="I5747" s="70"/>
    </row>
    <row r="5748" spans="3:9" s="46" customFormat="1" x14ac:dyDescent="0.2">
      <c r="C5748" s="144"/>
      <c r="D5748" s="144"/>
      <c r="E5748" s="144"/>
      <c r="F5748" s="373"/>
      <c r="I5748" s="70"/>
    </row>
    <row r="5749" spans="3:9" s="46" customFormat="1" x14ac:dyDescent="0.2">
      <c r="C5749" s="144"/>
      <c r="D5749" s="144"/>
      <c r="E5749" s="144"/>
      <c r="F5749" s="373"/>
      <c r="I5749" s="70"/>
    </row>
    <row r="5750" spans="3:9" s="46" customFormat="1" x14ac:dyDescent="0.2">
      <c r="C5750" s="144"/>
      <c r="D5750" s="144"/>
      <c r="E5750" s="144"/>
      <c r="F5750" s="373"/>
      <c r="I5750" s="70"/>
    </row>
    <row r="5751" spans="3:9" s="46" customFormat="1" x14ac:dyDescent="0.2">
      <c r="C5751" s="144"/>
      <c r="D5751" s="144"/>
      <c r="E5751" s="144"/>
      <c r="F5751" s="373"/>
      <c r="I5751" s="70"/>
    </row>
    <row r="5752" spans="3:9" s="46" customFormat="1" x14ac:dyDescent="0.2">
      <c r="C5752" s="144"/>
      <c r="D5752" s="144"/>
      <c r="E5752" s="144"/>
      <c r="F5752" s="373"/>
      <c r="I5752" s="70"/>
    </row>
    <row r="5753" spans="3:9" s="46" customFormat="1" x14ac:dyDescent="0.2">
      <c r="C5753" s="144"/>
      <c r="D5753" s="144"/>
      <c r="E5753" s="144"/>
      <c r="F5753" s="373"/>
      <c r="I5753" s="70"/>
    </row>
    <row r="5754" spans="3:9" s="46" customFormat="1" x14ac:dyDescent="0.2">
      <c r="C5754" s="144"/>
      <c r="D5754" s="144"/>
      <c r="E5754" s="144"/>
      <c r="F5754" s="373"/>
      <c r="I5754" s="70"/>
    </row>
    <row r="5755" spans="3:9" s="46" customFormat="1" x14ac:dyDescent="0.2">
      <c r="C5755" s="144"/>
      <c r="D5755" s="144"/>
      <c r="E5755" s="144"/>
      <c r="F5755" s="373"/>
      <c r="I5755" s="70"/>
    </row>
    <row r="5756" spans="3:9" s="46" customFormat="1" x14ac:dyDescent="0.2">
      <c r="C5756" s="144"/>
      <c r="D5756" s="144"/>
      <c r="E5756" s="144"/>
      <c r="F5756" s="373"/>
      <c r="I5756" s="70"/>
    </row>
    <row r="5757" spans="3:9" s="46" customFormat="1" x14ac:dyDescent="0.2">
      <c r="C5757" s="144"/>
      <c r="D5757" s="144"/>
      <c r="E5757" s="144"/>
      <c r="F5757" s="373"/>
      <c r="I5757" s="70"/>
    </row>
    <row r="5758" spans="3:9" s="46" customFormat="1" x14ac:dyDescent="0.2">
      <c r="C5758" s="144"/>
      <c r="D5758" s="144"/>
      <c r="E5758" s="144"/>
      <c r="F5758" s="373"/>
      <c r="I5758" s="70"/>
    </row>
    <row r="5759" spans="3:9" s="46" customFormat="1" x14ac:dyDescent="0.2">
      <c r="C5759" s="144"/>
      <c r="D5759" s="144"/>
      <c r="E5759" s="144"/>
      <c r="F5759" s="373"/>
      <c r="I5759" s="70"/>
    </row>
    <row r="5760" spans="3:9" s="46" customFormat="1" x14ac:dyDescent="0.2">
      <c r="C5760" s="144"/>
      <c r="D5760" s="144"/>
      <c r="E5760" s="144"/>
      <c r="F5760" s="373"/>
      <c r="I5760" s="70"/>
    </row>
    <row r="5761" spans="3:9" s="46" customFormat="1" x14ac:dyDescent="0.2">
      <c r="C5761" s="144"/>
      <c r="D5761" s="144"/>
      <c r="E5761" s="144"/>
      <c r="F5761" s="373"/>
      <c r="I5761" s="70"/>
    </row>
    <row r="5762" spans="3:9" s="46" customFormat="1" x14ac:dyDescent="0.2">
      <c r="C5762" s="144"/>
      <c r="D5762" s="144"/>
      <c r="E5762" s="144"/>
      <c r="F5762" s="373"/>
      <c r="I5762" s="70"/>
    </row>
    <row r="5763" spans="3:9" s="46" customFormat="1" x14ac:dyDescent="0.2">
      <c r="C5763" s="144"/>
      <c r="D5763" s="144"/>
      <c r="E5763" s="144"/>
      <c r="F5763" s="373"/>
      <c r="I5763" s="70"/>
    </row>
    <row r="5764" spans="3:9" s="46" customFormat="1" x14ac:dyDescent="0.2">
      <c r="C5764" s="144"/>
      <c r="D5764" s="144"/>
      <c r="E5764" s="144"/>
      <c r="F5764" s="373"/>
      <c r="I5764" s="70"/>
    </row>
    <row r="5765" spans="3:9" s="46" customFormat="1" x14ac:dyDescent="0.2">
      <c r="C5765" s="144"/>
      <c r="D5765" s="144"/>
      <c r="E5765" s="144"/>
      <c r="F5765" s="373"/>
      <c r="I5765" s="70"/>
    </row>
    <row r="5766" spans="3:9" s="46" customFormat="1" x14ac:dyDescent="0.2">
      <c r="C5766" s="144"/>
      <c r="D5766" s="144"/>
      <c r="E5766" s="144"/>
      <c r="F5766" s="373"/>
      <c r="I5766" s="70"/>
    </row>
    <row r="5767" spans="3:9" s="46" customFormat="1" x14ac:dyDescent="0.2">
      <c r="C5767" s="144"/>
      <c r="D5767" s="144"/>
      <c r="E5767" s="144"/>
      <c r="F5767" s="373"/>
      <c r="I5767" s="70"/>
    </row>
    <row r="5768" spans="3:9" s="46" customFormat="1" x14ac:dyDescent="0.2">
      <c r="C5768" s="144"/>
      <c r="D5768" s="144"/>
      <c r="E5768" s="144"/>
      <c r="F5768" s="373"/>
      <c r="I5768" s="70"/>
    </row>
    <row r="5769" spans="3:9" s="46" customFormat="1" x14ac:dyDescent="0.2">
      <c r="C5769" s="144"/>
      <c r="D5769" s="144"/>
      <c r="E5769" s="144"/>
      <c r="F5769" s="373"/>
      <c r="I5769" s="70"/>
    </row>
    <row r="5770" spans="3:9" s="46" customFormat="1" x14ac:dyDescent="0.2">
      <c r="C5770" s="144"/>
      <c r="D5770" s="144"/>
      <c r="E5770" s="144"/>
      <c r="F5770" s="373"/>
      <c r="I5770" s="70"/>
    </row>
    <row r="5771" spans="3:9" s="46" customFormat="1" x14ac:dyDescent="0.2">
      <c r="C5771" s="144"/>
      <c r="D5771" s="144"/>
      <c r="E5771" s="144"/>
      <c r="F5771" s="373"/>
      <c r="I5771" s="70"/>
    </row>
    <row r="5772" spans="3:9" s="46" customFormat="1" x14ac:dyDescent="0.2">
      <c r="C5772" s="144"/>
      <c r="D5772" s="144"/>
      <c r="E5772" s="144"/>
      <c r="F5772" s="373"/>
      <c r="I5772" s="70"/>
    </row>
    <row r="5773" spans="3:9" s="46" customFormat="1" x14ac:dyDescent="0.2">
      <c r="C5773" s="144"/>
      <c r="D5773" s="144"/>
      <c r="E5773" s="144"/>
      <c r="F5773" s="373"/>
      <c r="I5773" s="70"/>
    </row>
    <row r="5774" spans="3:9" s="46" customFormat="1" x14ac:dyDescent="0.2">
      <c r="C5774" s="144"/>
      <c r="D5774" s="144"/>
      <c r="E5774" s="144"/>
      <c r="F5774" s="373"/>
      <c r="I5774" s="70"/>
    </row>
    <row r="5775" spans="3:9" s="46" customFormat="1" x14ac:dyDescent="0.2">
      <c r="C5775" s="144"/>
      <c r="D5775" s="144"/>
      <c r="E5775" s="144"/>
      <c r="F5775" s="373"/>
      <c r="I5775" s="70"/>
    </row>
    <row r="5776" spans="3:9" s="46" customFormat="1" x14ac:dyDescent="0.2">
      <c r="C5776" s="144"/>
      <c r="D5776" s="144"/>
      <c r="E5776" s="144"/>
      <c r="F5776" s="373"/>
      <c r="I5776" s="70"/>
    </row>
    <row r="5777" spans="3:9" s="46" customFormat="1" x14ac:dyDescent="0.2">
      <c r="C5777" s="144"/>
      <c r="D5777" s="144"/>
      <c r="E5777" s="144"/>
      <c r="F5777" s="373"/>
      <c r="I5777" s="70"/>
    </row>
    <row r="5778" spans="3:9" s="46" customFormat="1" x14ac:dyDescent="0.2">
      <c r="C5778" s="144"/>
      <c r="D5778" s="144"/>
      <c r="E5778" s="144"/>
      <c r="F5778" s="373"/>
      <c r="I5778" s="70"/>
    </row>
    <row r="5779" spans="3:9" s="46" customFormat="1" x14ac:dyDescent="0.2">
      <c r="C5779" s="144"/>
      <c r="D5779" s="144"/>
      <c r="E5779" s="144"/>
      <c r="F5779" s="373"/>
      <c r="I5779" s="70"/>
    </row>
    <row r="5780" spans="3:9" s="46" customFormat="1" x14ac:dyDescent="0.2">
      <c r="C5780" s="144"/>
      <c r="D5780" s="144"/>
      <c r="E5780" s="144"/>
      <c r="F5780" s="373"/>
      <c r="I5780" s="70"/>
    </row>
    <row r="5781" spans="3:9" s="46" customFormat="1" x14ac:dyDescent="0.2">
      <c r="C5781" s="144"/>
      <c r="D5781" s="144"/>
      <c r="E5781" s="144"/>
      <c r="F5781" s="373"/>
      <c r="I5781" s="70"/>
    </row>
    <row r="5782" spans="3:9" s="46" customFormat="1" x14ac:dyDescent="0.2">
      <c r="C5782" s="144"/>
      <c r="D5782" s="144"/>
      <c r="E5782" s="144"/>
      <c r="F5782" s="373"/>
      <c r="I5782" s="70"/>
    </row>
    <row r="5783" spans="3:9" s="46" customFormat="1" x14ac:dyDescent="0.2">
      <c r="C5783" s="144"/>
      <c r="D5783" s="144"/>
      <c r="E5783" s="144"/>
      <c r="F5783" s="373"/>
      <c r="I5783" s="70"/>
    </row>
    <row r="5784" spans="3:9" s="46" customFormat="1" x14ac:dyDescent="0.2">
      <c r="C5784" s="144"/>
      <c r="D5784" s="144"/>
      <c r="E5784" s="144"/>
      <c r="F5784" s="373"/>
      <c r="I5784" s="70"/>
    </row>
    <row r="5785" spans="3:9" s="46" customFormat="1" x14ac:dyDescent="0.2">
      <c r="C5785" s="144"/>
      <c r="D5785" s="144"/>
      <c r="E5785" s="144"/>
      <c r="F5785" s="373"/>
      <c r="I5785" s="70"/>
    </row>
    <row r="5786" spans="3:9" s="46" customFormat="1" x14ac:dyDescent="0.2">
      <c r="C5786" s="144"/>
      <c r="D5786" s="144"/>
      <c r="E5786" s="144"/>
      <c r="F5786" s="373"/>
      <c r="I5786" s="70"/>
    </row>
    <row r="5787" spans="3:9" s="46" customFormat="1" x14ac:dyDescent="0.2">
      <c r="C5787" s="144"/>
      <c r="D5787" s="144"/>
      <c r="E5787" s="144"/>
      <c r="F5787" s="373"/>
      <c r="I5787" s="70"/>
    </row>
    <row r="5788" spans="3:9" s="46" customFormat="1" x14ac:dyDescent="0.2">
      <c r="C5788" s="144"/>
      <c r="D5788" s="144"/>
      <c r="E5788" s="144"/>
      <c r="F5788" s="373"/>
      <c r="I5788" s="70"/>
    </row>
    <row r="5789" spans="3:9" s="46" customFormat="1" x14ac:dyDescent="0.2">
      <c r="C5789" s="144"/>
      <c r="D5789" s="144"/>
      <c r="E5789" s="144"/>
      <c r="F5789" s="373"/>
      <c r="I5789" s="70"/>
    </row>
    <row r="5790" spans="3:9" s="46" customFormat="1" x14ac:dyDescent="0.2">
      <c r="C5790" s="144"/>
      <c r="D5790" s="144"/>
      <c r="E5790" s="144"/>
      <c r="F5790" s="373"/>
      <c r="I5790" s="70"/>
    </row>
    <row r="5791" spans="3:9" s="46" customFormat="1" x14ac:dyDescent="0.2">
      <c r="C5791" s="144"/>
      <c r="D5791" s="144"/>
      <c r="E5791" s="144"/>
      <c r="F5791" s="373"/>
      <c r="I5791" s="70"/>
    </row>
    <row r="5792" spans="3:9" s="46" customFormat="1" x14ac:dyDescent="0.2">
      <c r="C5792" s="144"/>
      <c r="D5792" s="144"/>
      <c r="E5792" s="144"/>
      <c r="F5792" s="373"/>
      <c r="I5792" s="70"/>
    </row>
    <row r="5793" spans="3:9" s="46" customFormat="1" x14ac:dyDescent="0.2">
      <c r="C5793" s="144"/>
      <c r="D5793" s="144"/>
      <c r="E5793" s="144"/>
      <c r="F5793" s="373"/>
      <c r="I5793" s="70"/>
    </row>
    <row r="5794" spans="3:9" s="46" customFormat="1" x14ac:dyDescent="0.2">
      <c r="C5794" s="144"/>
      <c r="D5794" s="144"/>
      <c r="E5794" s="144"/>
      <c r="F5794" s="373"/>
      <c r="I5794" s="70"/>
    </row>
    <row r="5795" spans="3:9" s="46" customFormat="1" x14ac:dyDescent="0.2">
      <c r="C5795" s="144"/>
      <c r="D5795" s="144"/>
      <c r="E5795" s="144"/>
      <c r="F5795" s="373"/>
      <c r="I5795" s="70"/>
    </row>
    <row r="5796" spans="3:9" s="46" customFormat="1" x14ac:dyDescent="0.2">
      <c r="C5796" s="144"/>
      <c r="D5796" s="144"/>
      <c r="E5796" s="144"/>
      <c r="F5796" s="373"/>
      <c r="I5796" s="70"/>
    </row>
    <row r="5797" spans="3:9" s="46" customFormat="1" x14ac:dyDescent="0.2">
      <c r="C5797" s="144"/>
      <c r="D5797" s="144"/>
      <c r="E5797" s="144"/>
      <c r="F5797" s="373"/>
      <c r="I5797" s="70"/>
    </row>
    <row r="5798" spans="3:9" s="46" customFormat="1" x14ac:dyDescent="0.2">
      <c r="C5798" s="144"/>
      <c r="D5798" s="144"/>
      <c r="E5798" s="144"/>
      <c r="F5798" s="373"/>
      <c r="I5798" s="70"/>
    </row>
    <row r="5799" spans="3:9" s="46" customFormat="1" x14ac:dyDescent="0.2">
      <c r="C5799" s="144"/>
      <c r="D5799" s="144"/>
      <c r="E5799" s="144"/>
      <c r="F5799" s="373"/>
      <c r="I5799" s="70"/>
    </row>
    <row r="5800" spans="3:9" s="46" customFormat="1" x14ac:dyDescent="0.2">
      <c r="C5800" s="144"/>
      <c r="D5800" s="144"/>
      <c r="E5800" s="144"/>
      <c r="F5800" s="373"/>
      <c r="I5800" s="70"/>
    </row>
    <row r="5801" spans="3:9" s="46" customFormat="1" x14ac:dyDescent="0.2">
      <c r="C5801" s="144"/>
      <c r="D5801" s="144"/>
      <c r="E5801" s="144"/>
      <c r="F5801" s="373"/>
      <c r="I5801" s="70"/>
    </row>
    <row r="5802" spans="3:9" s="46" customFormat="1" x14ac:dyDescent="0.2">
      <c r="C5802" s="144"/>
      <c r="D5802" s="144"/>
      <c r="E5802" s="144"/>
      <c r="F5802" s="373"/>
      <c r="I5802" s="70"/>
    </row>
    <row r="5803" spans="3:9" s="46" customFormat="1" x14ac:dyDescent="0.2">
      <c r="C5803" s="144"/>
      <c r="D5803" s="144"/>
      <c r="E5803" s="144"/>
      <c r="F5803" s="373"/>
      <c r="I5803" s="70"/>
    </row>
    <row r="5804" spans="3:9" s="46" customFormat="1" x14ac:dyDescent="0.2">
      <c r="C5804" s="144"/>
      <c r="D5804" s="144"/>
      <c r="E5804" s="144"/>
      <c r="F5804" s="373"/>
      <c r="I5804" s="70"/>
    </row>
    <row r="5805" spans="3:9" s="46" customFormat="1" x14ac:dyDescent="0.2">
      <c r="C5805" s="144"/>
      <c r="D5805" s="144"/>
      <c r="E5805" s="144"/>
      <c r="F5805" s="373"/>
      <c r="I5805" s="70"/>
    </row>
    <row r="5806" spans="3:9" s="46" customFormat="1" x14ac:dyDescent="0.2">
      <c r="C5806" s="144"/>
      <c r="D5806" s="144"/>
      <c r="E5806" s="144"/>
      <c r="F5806" s="373"/>
      <c r="I5806" s="70"/>
    </row>
    <row r="5807" spans="3:9" s="46" customFormat="1" x14ac:dyDescent="0.2">
      <c r="C5807" s="144"/>
      <c r="D5807" s="144"/>
      <c r="E5807" s="144"/>
      <c r="F5807" s="373"/>
      <c r="I5807" s="70"/>
    </row>
    <row r="5808" spans="3:9" s="46" customFormat="1" x14ac:dyDescent="0.2">
      <c r="C5808" s="144"/>
      <c r="D5808" s="144"/>
      <c r="E5808" s="144"/>
      <c r="F5808" s="373"/>
      <c r="I5808" s="70"/>
    </row>
    <row r="5809" spans="3:9" s="46" customFormat="1" x14ac:dyDescent="0.2">
      <c r="C5809" s="144"/>
      <c r="D5809" s="144"/>
      <c r="E5809" s="144"/>
      <c r="F5809" s="373"/>
      <c r="I5809" s="70"/>
    </row>
    <row r="5810" spans="3:9" s="46" customFormat="1" x14ac:dyDescent="0.2">
      <c r="C5810" s="144"/>
      <c r="D5810" s="144"/>
      <c r="E5810" s="144"/>
      <c r="F5810" s="373"/>
      <c r="I5810" s="70"/>
    </row>
    <row r="5811" spans="3:9" s="46" customFormat="1" x14ac:dyDescent="0.2">
      <c r="C5811" s="144"/>
      <c r="D5811" s="144"/>
      <c r="E5811" s="144"/>
      <c r="F5811" s="373"/>
      <c r="I5811" s="70"/>
    </row>
    <row r="5812" spans="3:9" s="46" customFormat="1" x14ac:dyDescent="0.2">
      <c r="C5812" s="144"/>
      <c r="D5812" s="144"/>
      <c r="E5812" s="144"/>
      <c r="F5812" s="373"/>
      <c r="I5812" s="70"/>
    </row>
    <row r="5813" spans="3:9" s="46" customFormat="1" x14ac:dyDescent="0.2">
      <c r="C5813" s="144"/>
      <c r="D5813" s="144"/>
      <c r="E5813" s="144"/>
      <c r="F5813" s="373"/>
      <c r="I5813" s="70"/>
    </row>
    <row r="5814" spans="3:9" s="46" customFormat="1" x14ac:dyDescent="0.2">
      <c r="C5814" s="144"/>
      <c r="D5814" s="144"/>
      <c r="E5814" s="144"/>
      <c r="F5814" s="373"/>
      <c r="I5814" s="70"/>
    </row>
    <row r="5815" spans="3:9" s="46" customFormat="1" x14ac:dyDescent="0.2">
      <c r="C5815" s="144"/>
      <c r="D5815" s="144"/>
      <c r="E5815" s="144"/>
      <c r="F5815" s="373"/>
      <c r="I5815" s="70"/>
    </row>
    <row r="5816" spans="3:9" s="46" customFormat="1" x14ac:dyDescent="0.2">
      <c r="C5816" s="144"/>
      <c r="D5816" s="144"/>
      <c r="E5816" s="144"/>
      <c r="F5816" s="373"/>
      <c r="I5816" s="70"/>
    </row>
    <row r="5817" spans="3:9" s="46" customFormat="1" x14ac:dyDescent="0.2">
      <c r="C5817" s="144"/>
      <c r="D5817" s="144"/>
      <c r="E5817" s="144"/>
      <c r="F5817" s="373"/>
      <c r="I5817" s="70"/>
    </row>
    <row r="5818" spans="3:9" s="46" customFormat="1" x14ac:dyDescent="0.2">
      <c r="C5818" s="144"/>
      <c r="D5818" s="144"/>
      <c r="E5818" s="144"/>
      <c r="F5818" s="373"/>
      <c r="I5818" s="70"/>
    </row>
    <row r="5819" spans="3:9" s="46" customFormat="1" x14ac:dyDescent="0.2">
      <c r="C5819" s="144"/>
      <c r="D5819" s="144"/>
      <c r="E5819" s="144"/>
      <c r="F5819" s="373"/>
      <c r="I5819" s="70"/>
    </row>
    <row r="5820" spans="3:9" s="46" customFormat="1" x14ac:dyDescent="0.2">
      <c r="C5820" s="144"/>
      <c r="D5820" s="144"/>
      <c r="E5820" s="144"/>
      <c r="F5820" s="373"/>
      <c r="I5820" s="70"/>
    </row>
    <row r="5821" spans="3:9" s="46" customFormat="1" x14ac:dyDescent="0.2">
      <c r="C5821" s="144"/>
      <c r="D5821" s="144"/>
      <c r="E5821" s="144"/>
      <c r="F5821" s="373"/>
      <c r="I5821" s="70"/>
    </row>
    <row r="5822" spans="3:9" s="46" customFormat="1" x14ac:dyDescent="0.2">
      <c r="C5822" s="144"/>
      <c r="D5822" s="144"/>
      <c r="E5822" s="144"/>
      <c r="F5822" s="373"/>
      <c r="I5822" s="70"/>
    </row>
    <row r="5823" spans="3:9" s="46" customFormat="1" x14ac:dyDescent="0.2">
      <c r="C5823" s="144"/>
      <c r="D5823" s="144"/>
      <c r="E5823" s="144"/>
      <c r="F5823" s="373"/>
      <c r="I5823" s="70"/>
    </row>
    <row r="5824" spans="3:9" s="46" customFormat="1" x14ac:dyDescent="0.2">
      <c r="C5824" s="144"/>
      <c r="D5824" s="144"/>
      <c r="E5824" s="144"/>
      <c r="F5824" s="373"/>
      <c r="I5824" s="70"/>
    </row>
    <row r="5825" spans="3:9" s="46" customFormat="1" x14ac:dyDescent="0.2">
      <c r="C5825" s="144"/>
      <c r="D5825" s="144"/>
      <c r="E5825" s="144"/>
      <c r="F5825" s="373"/>
      <c r="I5825" s="70"/>
    </row>
    <row r="5826" spans="3:9" s="46" customFormat="1" x14ac:dyDescent="0.2">
      <c r="C5826" s="144"/>
      <c r="D5826" s="144"/>
      <c r="E5826" s="144"/>
      <c r="F5826" s="373"/>
      <c r="I5826" s="70"/>
    </row>
    <row r="5827" spans="3:9" s="46" customFormat="1" x14ac:dyDescent="0.2">
      <c r="C5827" s="144"/>
      <c r="D5827" s="144"/>
      <c r="E5827" s="144"/>
      <c r="F5827" s="373"/>
      <c r="I5827" s="70"/>
    </row>
    <row r="5828" spans="3:9" s="46" customFormat="1" x14ac:dyDescent="0.2">
      <c r="C5828" s="144"/>
      <c r="D5828" s="144"/>
      <c r="E5828" s="144"/>
      <c r="F5828" s="373"/>
      <c r="I5828" s="70"/>
    </row>
    <row r="5829" spans="3:9" s="46" customFormat="1" x14ac:dyDescent="0.2">
      <c r="C5829" s="144"/>
      <c r="D5829" s="144"/>
      <c r="E5829" s="144"/>
      <c r="F5829" s="373"/>
      <c r="I5829" s="70"/>
    </row>
    <row r="5830" spans="3:9" s="46" customFormat="1" x14ac:dyDescent="0.2">
      <c r="C5830" s="144"/>
      <c r="D5830" s="144"/>
      <c r="E5830" s="144"/>
      <c r="F5830" s="373"/>
      <c r="I5830" s="70"/>
    </row>
    <row r="5831" spans="3:9" s="46" customFormat="1" x14ac:dyDescent="0.2">
      <c r="C5831" s="144"/>
      <c r="D5831" s="144"/>
      <c r="E5831" s="144"/>
      <c r="F5831" s="373"/>
      <c r="I5831" s="70"/>
    </row>
    <row r="5832" spans="3:9" s="46" customFormat="1" x14ac:dyDescent="0.2">
      <c r="C5832" s="144"/>
      <c r="D5832" s="144"/>
      <c r="E5832" s="144"/>
      <c r="F5832" s="373"/>
      <c r="I5832" s="70"/>
    </row>
    <row r="5833" spans="3:9" s="46" customFormat="1" x14ac:dyDescent="0.2">
      <c r="C5833" s="144"/>
      <c r="D5833" s="144"/>
      <c r="E5833" s="144"/>
      <c r="F5833" s="373"/>
      <c r="I5833" s="70"/>
    </row>
    <row r="5834" spans="3:9" s="46" customFormat="1" x14ac:dyDescent="0.2">
      <c r="C5834" s="144"/>
      <c r="D5834" s="144"/>
      <c r="E5834" s="144"/>
      <c r="F5834" s="373"/>
      <c r="I5834" s="70"/>
    </row>
    <row r="5835" spans="3:9" s="46" customFormat="1" x14ac:dyDescent="0.2">
      <c r="C5835" s="144"/>
      <c r="D5835" s="144"/>
      <c r="E5835" s="144"/>
      <c r="F5835" s="373"/>
      <c r="I5835" s="70"/>
    </row>
    <row r="5836" spans="3:9" s="46" customFormat="1" x14ac:dyDescent="0.2">
      <c r="C5836" s="144"/>
      <c r="D5836" s="144"/>
      <c r="E5836" s="144"/>
      <c r="F5836" s="373"/>
      <c r="I5836" s="70"/>
    </row>
    <row r="5837" spans="3:9" s="46" customFormat="1" x14ac:dyDescent="0.2">
      <c r="C5837" s="144"/>
      <c r="D5837" s="144"/>
      <c r="E5837" s="144"/>
      <c r="F5837" s="373"/>
      <c r="I5837" s="70"/>
    </row>
    <row r="5838" spans="3:9" s="46" customFormat="1" x14ac:dyDescent="0.2">
      <c r="C5838" s="144"/>
      <c r="D5838" s="144"/>
      <c r="E5838" s="144"/>
      <c r="F5838" s="373"/>
      <c r="I5838" s="70"/>
    </row>
    <row r="5839" spans="3:9" s="46" customFormat="1" x14ac:dyDescent="0.2">
      <c r="C5839" s="144"/>
      <c r="D5839" s="144"/>
      <c r="E5839" s="144"/>
      <c r="F5839" s="373"/>
      <c r="I5839" s="70"/>
    </row>
    <row r="5840" spans="3:9" s="46" customFormat="1" x14ac:dyDescent="0.2">
      <c r="C5840" s="144"/>
      <c r="D5840" s="144"/>
      <c r="E5840" s="144"/>
      <c r="F5840" s="373"/>
      <c r="I5840" s="70"/>
    </row>
    <row r="5841" spans="3:9" s="46" customFormat="1" x14ac:dyDescent="0.2">
      <c r="C5841" s="144"/>
      <c r="D5841" s="144"/>
      <c r="E5841" s="144"/>
      <c r="F5841" s="373"/>
      <c r="I5841" s="70"/>
    </row>
    <row r="5842" spans="3:9" s="46" customFormat="1" x14ac:dyDescent="0.2">
      <c r="C5842" s="144"/>
      <c r="D5842" s="144"/>
      <c r="E5842" s="144"/>
      <c r="F5842" s="373"/>
      <c r="I5842" s="70"/>
    </row>
    <row r="5843" spans="3:9" s="46" customFormat="1" x14ac:dyDescent="0.2">
      <c r="C5843" s="144"/>
      <c r="D5843" s="144"/>
      <c r="E5843" s="144"/>
      <c r="F5843" s="373"/>
      <c r="I5843" s="70"/>
    </row>
    <row r="5844" spans="3:9" s="46" customFormat="1" x14ac:dyDescent="0.2">
      <c r="C5844" s="144"/>
      <c r="D5844" s="144"/>
      <c r="E5844" s="144"/>
      <c r="F5844" s="373"/>
      <c r="I5844" s="70"/>
    </row>
    <row r="5845" spans="3:9" s="46" customFormat="1" x14ac:dyDescent="0.2">
      <c r="C5845" s="144"/>
      <c r="D5845" s="144"/>
      <c r="E5845" s="144"/>
      <c r="F5845" s="373"/>
      <c r="I5845" s="70"/>
    </row>
    <row r="5846" spans="3:9" s="46" customFormat="1" x14ac:dyDescent="0.2">
      <c r="C5846" s="144"/>
      <c r="D5846" s="144"/>
      <c r="E5846" s="144"/>
      <c r="F5846" s="373"/>
      <c r="I5846" s="70"/>
    </row>
    <row r="5847" spans="3:9" s="46" customFormat="1" x14ac:dyDescent="0.2">
      <c r="C5847" s="144"/>
      <c r="D5847" s="144"/>
      <c r="E5847" s="144"/>
      <c r="F5847" s="373"/>
      <c r="I5847" s="70"/>
    </row>
    <row r="5848" spans="3:9" s="46" customFormat="1" x14ac:dyDescent="0.2">
      <c r="C5848" s="144"/>
      <c r="D5848" s="144"/>
      <c r="E5848" s="144"/>
      <c r="F5848" s="373"/>
      <c r="I5848" s="70"/>
    </row>
    <row r="5849" spans="3:9" s="46" customFormat="1" x14ac:dyDescent="0.2">
      <c r="C5849" s="144"/>
      <c r="D5849" s="144"/>
      <c r="E5849" s="144"/>
      <c r="F5849" s="373"/>
      <c r="I5849" s="70"/>
    </row>
    <row r="5850" spans="3:9" s="46" customFormat="1" x14ac:dyDescent="0.2">
      <c r="C5850" s="144"/>
      <c r="D5850" s="144"/>
      <c r="E5850" s="144"/>
      <c r="F5850" s="373"/>
      <c r="I5850" s="70"/>
    </row>
    <row r="5851" spans="3:9" s="46" customFormat="1" x14ac:dyDescent="0.2">
      <c r="C5851" s="144"/>
      <c r="D5851" s="144"/>
      <c r="E5851" s="144"/>
      <c r="F5851" s="373"/>
      <c r="I5851" s="70"/>
    </row>
    <row r="5852" spans="3:9" s="46" customFormat="1" x14ac:dyDescent="0.2">
      <c r="C5852" s="144"/>
      <c r="D5852" s="144"/>
      <c r="E5852" s="144"/>
      <c r="F5852" s="373"/>
      <c r="I5852" s="70"/>
    </row>
    <row r="5853" spans="3:9" s="46" customFormat="1" x14ac:dyDescent="0.2">
      <c r="C5853" s="144"/>
      <c r="D5853" s="144"/>
      <c r="E5853" s="144"/>
      <c r="F5853" s="373"/>
      <c r="I5853" s="70"/>
    </row>
    <row r="5854" spans="3:9" s="46" customFormat="1" x14ac:dyDescent="0.2">
      <c r="C5854" s="144"/>
      <c r="D5854" s="144"/>
      <c r="E5854" s="144"/>
      <c r="F5854" s="373"/>
      <c r="I5854" s="70"/>
    </row>
    <row r="5855" spans="3:9" s="46" customFormat="1" x14ac:dyDescent="0.2">
      <c r="C5855" s="144"/>
      <c r="D5855" s="144"/>
      <c r="E5855" s="144"/>
      <c r="F5855" s="373"/>
      <c r="I5855" s="70"/>
    </row>
    <row r="5856" spans="3:9" s="46" customFormat="1" x14ac:dyDescent="0.2">
      <c r="C5856" s="144"/>
      <c r="D5856" s="144"/>
      <c r="E5856" s="144"/>
      <c r="F5856" s="373"/>
      <c r="I5856" s="70"/>
    </row>
    <row r="5857" spans="3:9" s="46" customFormat="1" x14ac:dyDescent="0.2">
      <c r="C5857" s="144"/>
      <c r="D5857" s="144"/>
      <c r="E5857" s="144"/>
      <c r="F5857" s="373"/>
      <c r="I5857" s="70"/>
    </row>
    <row r="5858" spans="3:9" s="46" customFormat="1" x14ac:dyDescent="0.2">
      <c r="C5858" s="144"/>
      <c r="D5858" s="144"/>
      <c r="E5858" s="144"/>
      <c r="F5858" s="373"/>
      <c r="I5858" s="70"/>
    </row>
    <row r="5859" spans="3:9" s="46" customFormat="1" x14ac:dyDescent="0.2">
      <c r="C5859" s="144"/>
      <c r="D5859" s="144"/>
      <c r="E5859" s="144"/>
      <c r="F5859" s="373"/>
      <c r="I5859" s="70"/>
    </row>
    <row r="5860" spans="3:9" s="46" customFormat="1" x14ac:dyDescent="0.2">
      <c r="C5860" s="144"/>
      <c r="D5860" s="144"/>
      <c r="E5860" s="144"/>
      <c r="F5860" s="373"/>
      <c r="I5860" s="70"/>
    </row>
    <row r="5861" spans="3:9" s="46" customFormat="1" x14ac:dyDescent="0.2">
      <c r="C5861" s="144"/>
      <c r="D5861" s="144"/>
      <c r="E5861" s="144"/>
      <c r="F5861" s="373"/>
      <c r="I5861" s="70"/>
    </row>
    <row r="5862" spans="3:9" s="46" customFormat="1" x14ac:dyDescent="0.2">
      <c r="C5862" s="144"/>
      <c r="D5862" s="144"/>
      <c r="E5862" s="144"/>
      <c r="F5862" s="373"/>
      <c r="I5862" s="70"/>
    </row>
    <row r="5863" spans="3:9" s="46" customFormat="1" x14ac:dyDescent="0.2">
      <c r="C5863" s="144"/>
      <c r="D5863" s="144"/>
      <c r="E5863" s="144"/>
      <c r="F5863" s="373"/>
      <c r="I5863" s="70"/>
    </row>
    <row r="5864" spans="3:9" s="46" customFormat="1" x14ac:dyDescent="0.2">
      <c r="C5864" s="144"/>
      <c r="D5864" s="144"/>
      <c r="E5864" s="144"/>
      <c r="F5864" s="373"/>
      <c r="I5864" s="70"/>
    </row>
    <row r="5865" spans="3:9" s="46" customFormat="1" x14ac:dyDescent="0.2">
      <c r="C5865" s="144"/>
      <c r="D5865" s="144"/>
      <c r="E5865" s="144"/>
      <c r="F5865" s="373"/>
      <c r="I5865" s="70"/>
    </row>
    <row r="5866" spans="3:9" s="46" customFormat="1" x14ac:dyDescent="0.2">
      <c r="C5866" s="144"/>
      <c r="D5866" s="144"/>
      <c r="E5866" s="144"/>
      <c r="F5866" s="373"/>
      <c r="I5866" s="70"/>
    </row>
    <row r="5867" spans="3:9" s="46" customFormat="1" x14ac:dyDescent="0.2">
      <c r="C5867" s="144"/>
      <c r="D5867" s="144"/>
      <c r="E5867" s="144"/>
      <c r="F5867" s="373"/>
      <c r="I5867" s="70"/>
    </row>
    <row r="5868" spans="3:9" s="46" customFormat="1" x14ac:dyDescent="0.2">
      <c r="C5868" s="144"/>
      <c r="D5868" s="144"/>
      <c r="E5868" s="144"/>
      <c r="F5868" s="373"/>
      <c r="I5868" s="70"/>
    </row>
    <row r="5869" spans="3:9" s="46" customFormat="1" x14ac:dyDescent="0.2">
      <c r="C5869" s="144"/>
      <c r="D5869" s="144"/>
      <c r="E5869" s="144"/>
      <c r="F5869" s="373"/>
      <c r="I5869" s="70"/>
    </row>
    <row r="5870" spans="3:9" s="46" customFormat="1" x14ac:dyDescent="0.2">
      <c r="C5870" s="144"/>
      <c r="D5870" s="144"/>
      <c r="E5870" s="144"/>
      <c r="F5870" s="373"/>
      <c r="I5870" s="70"/>
    </row>
    <row r="5871" spans="3:9" s="46" customFormat="1" x14ac:dyDescent="0.2">
      <c r="C5871" s="144"/>
      <c r="D5871" s="144"/>
      <c r="E5871" s="144"/>
      <c r="F5871" s="373"/>
      <c r="I5871" s="70"/>
    </row>
    <row r="5872" spans="3:9" s="46" customFormat="1" x14ac:dyDescent="0.2">
      <c r="C5872" s="144"/>
      <c r="D5872" s="144"/>
      <c r="E5872" s="144"/>
      <c r="F5872" s="373"/>
      <c r="I5872" s="70"/>
    </row>
    <row r="5873" spans="3:9" s="46" customFormat="1" x14ac:dyDescent="0.2">
      <c r="C5873" s="144"/>
      <c r="D5873" s="144"/>
      <c r="E5873" s="144"/>
      <c r="F5873" s="373"/>
      <c r="I5873" s="70"/>
    </row>
    <row r="5874" spans="3:9" s="46" customFormat="1" x14ac:dyDescent="0.2">
      <c r="C5874" s="144"/>
      <c r="D5874" s="144"/>
      <c r="E5874" s="144"/>
      <c r="F5874" s="373"/>
      <c r="I5874" s="70"/>
    </row>
    <row r="5875" spans="3:9" s="46" customFormat="1" x14ac:dyDescent="0.2">
      <c r="C5875" s="144"/>
      <c r="D5875" s="144"/>
      <c r="E5875" s="144"/>
      <c r="F5875" s="373"/>
      <c r="I5875" s="70"/>
    </row>
    <row r="5876" spans="3:9" s="46" customFormat="1" x14ac:dyDescent="0.2">
      <c r="C5876" s="144"/>
      <c r="D5876" s="144"/>
      <c r="E5876" s="144"/>
      <c r="F5876" s="373"/>
      <c r="I5876" s="70"/>
    </row>
    <row r="5877" spans="3:9" s="46" customFormat="1" x14ac:dyDescent="0.2">
      <c r="C5877" s="144"/>
      <c r="D5877" s="144"/>
      <c r="E5877" s="144"/>
      <c r="F5877" s="373"/>
      <c r="I5877" s="70"/>
    </row>
    <row r="5878" spans="3:9" s="46" customFormat="1" x14ac:dyDescent="0.2">
      <c r="C5878" s="144"/>
      <c r="D5878" s="144"/>
      <c r="E5878" s="144"/>
      <c r="F5878" s="373"/>
      <c r="I5878" s="70"/>
    </row>
    <row r="5879" spans="3:9" s="46" customFormat="1" x14ac:dyDescent="0.2">
      <c r="C5879" s="144"/>
      <c r="D5879" s="144"/>
      <c r="E5879" s="144"/>
      <c r="F5879" s="373"/>
      <c r="I5879" s="70"/>
    </row>
    <row r="5880" spans="3:9" s="46" customFormat="1" x14ac:dyDescent="0.2">
      <c r="C5880" s="144"/>
      <c r="D5880" s="144"/>
      <c r="E5880" s="144"/>
      <c r="F5880" s="373"/>
      <c r="I5880" s="70"/>
    </row>
    <row r="5881" spans="3:9" s="46" customFormat="1" x14ac:dyDescent="0.2">
      <c r="C5881" s="144"/>
      <c r="D5881" s="144"/>
      <c r="E5881" s="144"/>
      <c r="F5881" s="373"/>
      <c r="I5881" s="70"/>
    </row>
    <row r="5882" spans="3:9" s="46" customFormat="1" x14ac:dyDescent="0.2">
      <c r="C5882" s="144"/>
      <c r="D5882" s="144"/>
      <c r="E5882" s="144"/>
      <c r="F5882" s="373"/>
      <c r="I5882" s="70"/>
    </row>
    <row r="5883" spans="3:9" s="46" customFormat="1" x14ac:dyDescent="0.2">
      <c r="C5883" s="144"/>
      <c r="D5883" s="144"/>
      <c r="E5883" s="144"/>
      <c r="F5883" s="373"/>
      <c r="I5883" s="70"/>
    </row>
    <row r="5884" spans="3:9" s="46" customFormat="1" x14ac:dyDescent="0.2">
      <c r="C5884" s="144"/>
      <c r="D5884" s="144"/>
      <c r="E5884" s="144"/>
      <c r="F5884" s="373"/>
      <c r="I5884" s="70"/>
    </row>
    <row r="5885" spans="3:9" s="46" customFormat="1" x14ac:dyDescent="0.2">
      <c r="C5885" s="144"/>
      <c r="D5885" s="144"/>
      <c r="E5885" s="144"/>
      <c r="F5885" s="373"/>
      <c r="I5885" s="70"/>
    </row>
    <row r="5886" spans="3:9" s="46" customFormat="1" x14ac:dyDescent="0.2">
      <c r="C5886" s="144"/>
      <c r="D5886" s="144"/>
      <c r="E5886" s="144"/>
      <c r="F5886" s="373"/>
      <c r="I5886" s="70"/>
    </row>
    <row r="5887" spans="3:9" s="46" customFormat="1" x14ac:dyDescent="0.2">
      <c r="C5887" s="144"/>
      <c r="D5887" s="144"/>
      <c r="E5887" s="144"/>
      <c r="F5887" s="373"/>
      <c r="I5887" s="70"/>
    </row>
    <row r="5888" spans="3:9" s="46" customFormat="1" x14ac:dyDescent="0.2">
      <c r="C5888" s="144"/>
      <c r="D5888" s="144"/>
      <c r="E5888" s="144"/>
      <c r="F5888" s="373"/>
      <c r="I5888" s="70"/>
    </row>
    <row r="5889" spans="3:9" s="46" customFormat="1" x14ac:dyDescent="0.2">
      <c r="C5889" s="144"/>
      <c r="D5889" s="144"/>
      <c r="E5889" s="144"/>
      <c r="F5889" s="373"/>
      <c r="I5889" s="70"/>
    </row>
    <row r="5890" spans="3:9" s="46" customFormat="1" x14ac:dyDescent="0.2">
      <c r="C5890" s="144"/>
      <c r="D5890" s="144"/>
      <c r="E5890" s="144"/>
      <c r="F5890" s="373"/>
      <c r="I5890" s="70"/>
    </row>
    <row r="5891" spans="3:9" s="46" customFormat="1" x14ac:dyDescent="0.2">
      <c r="C5891" s="144"/>
      <c r="D5891" s="144"/>
      <c r="E5891" s="144"/>
      <c r="F5891" s="373"/>
      <c r="I5891" s="70"/>
    </row>
    <row r="5892" spans="3:9" s="46" customFormat="1" x14ac:dyDescent="0.2">
      <c r="C5892" s="144"/>
      <c r="D5892" s="144"/>
      <c r="E5892" s="144"/>
      <c r="F5892" s="373"/>
      <c r="I5892" s="70"/>
    </row>
    <row r="5893" spans="3:9" s="46" customFormat="1" x14ac:dyDescent="0.2">
      <c r="C5893" s="144"/>
      <c r="D5893" s="144"/>
      <c r="E5893" s="144"/>
      <c r="F5893" s="373"/>
      <c r="I5893" s="70"/>
    </row>
    <row r="5894" spans="3:9" s="46" customFormat="1" x14ac:dyDescent="0.2">
      <c r="C5894" s="144"/>
      <c r="D5894" s="144"/>
      <c r="E5894" s="144"/>
      <c r="F5894" s="373"/>
      <c r="I5894" s="70"/>
    </row>
    <row r="5895" spans="3:9" s="46" customFormat="1" x14ac:dyDescent="0.2">
      <c r="C5895" s="144"/>
      <c r="D5895" s="144"/>
      <c r="E5895" s="144"/>
      <c r="F5895" s="373"/>
      <c r="I5895" s="70"/>
    </row>
    <row r="5896" spans="3:9" s="46" customFormat="1" x14ac:dyDescent="0.2">
      <c r="C5896" s="144"/>
      <c r="D5896" s="144"/>
      <c r="E5896" s="144"/>
      <c r="F5896" s="373"/>
      <c r="I5896" s="70"/>
    </row>
    <row r="5897" spans="3:9" s="46" customFormat="1" x14ac:dyDescent="0.2">
      <c r="C5897" s="144"/>
      <c r="D5897" s="144"/>
      <c r="E5897" s="144"/>
      <c r="F5897" s="373"/>
      <c r="I5897" s="70"/>
    </row>
    <row r="5898" spans="3:9" s="46" customFormat="1" x14ac:dyDescent="0.2">
      <c r="C5898" s="144"/>
      <c r="D5898" s="144"/>
      <c r="E5898" s="144"/>
      <c r="F5898" s="373"/>
      <c r="I5898" s="70"/>
    </row>
    <row r="5899" spans="3:9" s="46" customFormat="1" x14ac:dyDescent="0.2">
      <c r="C5899" s="144"/>
      <c r="D5899" s="144"/>
      <c r="E5899" s="144"/>
      <c r="F5899" s="373"/>
      <c r="I5899" s="70"/>
    </row>
    <row r="5900" spans="3:9" s="46" customFormat="1" x14ac:dyDescent="0.2">
      <c r="C5900" s="144"/>
      <c r="D5900" s="144"/>
      <c r="E5900" s="144"/>
      <c r="F5900" s="373"/>
      <c r="I5900" s="70"/>
    </row>
    <row r="5901" spans="3:9" s="46" customFormat="1" x14ac:dyDescent="0.2">
      <c r="C5901" s="144"/>
      <c r="D5901" s="144"/>
      <c r="E5901" s="144"/>
      <c r="F5901" s="373"/>
      <c r="I5901" s="70"/>
    </row>
    <row r="5902" spans="3:9" s="46" customFormat="1" x14ac:dyDescent="0.2">
      <c r="C5902" s="144"/>
      <c r="D5902" s="144"/>
      <c r="E5902" s="144"/>
      <c r="F5902" s="373"/>
      <c r="I5902" s="70"/>
    </row>
    <row r="5903" spans="3:9" s="46" customFormat="1" x14ac:dyDescent="0.2">
      <c r="C5903" s="144"/>
      <c r="D5903" s="144"/>
      <c r="E5903" s="144"/>
      <c r="F5903" s="373"/>
      <c r="I5903" s="70"/>
    </row>
    <row r="5904" spans="3:9" s="46" customFormat="1" x14ac:dyDescent="0.2">
      <c r="C5904" s="144"/>
      <c r="D5904" s="144"/>
      <c r="E5904" s="144"/>
      <c r="F5904" s="373"/>
      <c r="I5904" s="70"/>
    </row>
    <row r="5905" spans="3:9" s="46" customFormat="1" x14ac:dyDescent="0.2">
      <c r="C5905" s="144"/>
      <c r="D5905" s="144"/>
      <c r="E5905" s="144"/>
      <c r="F5905" s="373"/>
      <c r="I5905" s="70"/>
    </row>
    <row r="5906" spans="3:9" s="46" customFormat="1" x14ac:dyDescent="0.2">
      <c r="C5906" s="144"/>
      <c r="D5906" s="144"/>
      <c r="E5906" s="144"/>
      <c r="F5906" s="373"/>
      <c r="I5906" s="70"/>
    </row>
    <row r="5907" spans="3:9" s="46" customFormat="1" x14ac:dyDescent="0.2">
      <c r="C5907" s="144"/>
      <c r="D5907" s="144"/>
      <c r="E5907" s="144"/>
      <c r="F5907" s="373"/>
      <c r="I5907" s="70"/>
    </row>
    <row r="5908" spans="3:9" s="46" customFormat="1" x14ac:dyDescent="0.2">
      <c r="C5908" s="144"/>
      <c r="D5908" s="144"/>
      <c r="E5908" s="144"/>
      <c r="F5908" s="373"/>
      <c r="I5908" s="70"/>
    </row>
    <row r="5909" spans="3:9" s="46" customFormat="1" x14ac:dyDescent="0.2">
      <c r="C5909" s="144"/>
      <c r="D5909" s="144"/>
      <c r="E5909" s="144"/>
      <c r="F5909" s="373"/>
      <c r="I5909" s="70"/>
    </row>
    <row r="5910" spans="3:9" s="46" customFormat="1" x14ac:dyDescent="0.2">
      <c r="C5910" s="144"/>
      <c r="D5910" s="144"/>
      <c r="E5910" s="144"/>
      <c r="F5910" s="373"/>
      <c r="I5910" s="70"/>
    </row>
    <row r="5911" spans="3:9" s="46" customFormat="1" x14ac:dyDescent="0.2">
      <c r="C5911" s="144"/>
      <c r="D5911" s="144"/>
      <c r="E5911" s="144"/>
      <c r="F5911" s="373"/>
      <c r="I5911" s="70"/>
    </row>
    <row r="5912" spans="3:9" s="46" customFormat="1" x14ac:dyDescent="0.2">
      <c r="C5912" s="144"/>
      <c r="D5912" s="144"/>
      <c r="E5912" s="144"/>
      <c r="F5912" s="373"/>
      <c r="I5912" s="70"/>
    </row>
    <row r="5913" spans="3:9" s="46" customFormat="1" x14ac:dyDescent="0.2">
      <c r="C5913" s="144"/>
      <c r="D5913" s="144"/>
      <c r="E5913" s="144"/>
      <c r="F5913" s="373"/>
      <c r="I5913" s="70"/>
    </row>
    <row r="5914" spans="3:9" s="46" customFormat="1" x14ac:dyDescent="0.2">
      <c r="C5914" s="144"/>
      <c r="D5914" s="144"/>
      <c r="E5914" s="144"/>
      <c r="F5914" s="373"/>
      <c r="I5914" s="70"/>
    </row>
    <row r="5915" spans="3:9" s="46" customFormat="1" x14ac:dyDescent="0.2">
      <c r="C5915" s="144"/>
      <c r="D5915" s="144"/>
      <c r="E5915" s="144"/>
      <c r="F5915" s="373"/>
      <c r="I5915" s="70"/>
    </row>
    <row r="5916" spans="3:9" s="46" customFormat="1" x14ac:dyDescent="0.2">
      <c r="C5916" s="144"/>
      <c r="D5916" s="144"/>
      <c r="E5916" s="144"/>
      <c r="F5916" s="373"/>
      <c r="I5916" s="70"/>
    </row>
    <row r="5917" spans="3:9" s="46" customFormat="1" x14ac:dyDescent="0.2">
      <c r="C5917" s="144"/>
      <c r="D5917" s="144"/>
      <c r="E5917" s="144"/>
      <c r="F5917" s="373"/>
      <c r="I5917" s="70"/>
    </row>
    <row r="5918" spans="3:9" s="46" customFormat="1" x14ac:dyDescent="0.2">
      <c r="C5918" s="144"/>
      <c r="D5918" s="144"/>
      <c r="E5918" s="144"/>
      <c r="F5918" s="373"/>
      <c r="I5918" s="70"/>
    </row>
    <row r="5919" spans="3:9" s="46" customFormat="1" x14ac:dyDescent="0.2">
      <c r="C5919" s="144"/>
      <c r="D5919" s="144"/>
      <c r="E5919" s="144"/>
      <c r="F5919" s="373"/>
      <c r="I5919" s="70"/>
    </row>
    <row r="5920" spans="3:9" s="46" customFormat="1" x14ac:dyDescent="0.2">
      <c r="C5920" s="144"/>
      <c r="D5920" s="144"/>
      <c r="E5920" s="144"/>
      <c r="F5920" s="373"/>
      <c r="I5920" s="70"/>
    </row>
    <row r="5921" spans="3:9" s="46" customFormat="1" x14ac:dyDescent="0.2">
      <c r="C5921" s="144"/>
      <c r="D5921" s="144"/>
      <c r="E5921" s="144"/>
      <c r="F5921" s="373"/>
      <c r="I5921" s="70"/>
    </row>
    <row r="5922" spans="3:9" s="46" customFormat="1" x14ac:dyDescent="0.2">
      <c r="C5922" s="144"/>
      <c r="D5922" s="144"/>
      <c r="E5922" s="144"/>
      <c r="F5922" s="373"/>
      <c r="I5922" s="70"/>
    </row>
    <row r="5923" spans="3:9" s="46" customFormat="1" x14ac:dyDescent="0.2">
      <c r="C5923" s="144"/>
      <c r="D5923" s="144"/>
      <c r="E5923" s="144"/>
      <c r="F5923" s="373"/>
      <c r="I5923" s="70"/>
    </row>
    <row r="5924" spans="3:9" s="46" customFormat="1" x14ac:dyDescent="0.2">
      <c r="C5924" s="144"/>
      <c r="D5924" s="144"/>
      <c r="E5924" s="144"/>
      <c r="F5924" s="373"/>
      <c r="I5924" s="70"/>
    </row>
    <row r="5925" spans="3:9" s="46" customFormat="1" x14ac:dyDescent="0.2">
      <c r="C5925" s="144"/>
      <c r="D5925" s="144"/>
      <c r="E5925" s="144"/>
      <c r="F5925" s="373"/>
      <c r="I5925" s="70"/>
    </row>
    <row r="5926" spans="3:9" s="46" customFormat="1" x14ac:dyDescent="0.2">
      <c r="C5926" s="144"/>
      <c r="D5926" s="144"/>
      <c r="E5926" s="144"/>
      <c r="F5926" s="373"/>
      <c r="I5926" s="70"/>
    </row>
    <row r="5927" spans="3:9" s="46" customFormat="1" x14ac:dyDescent="0.2">
      <c r="C5927" s="144"/>
      <c r="D5927" s="144"/>
      <c r="E5927" s="144"/>
      <c r="F5927" s="373"/>
      <c r="I5927" s="70"/>
    </row>
    <row r="5928" spans="3:9" s="46" customFormat="1" x14ac:dyDescent="0.2">
      <c r="C5928" s="144"/>
      <c r="D5928" s="144"/>
      <c r="E5928" s="144"/>
      <c r="F5928" s="373"/>
      <c r="I5928" s="70"/>
    </row>
    <row r="5929" spans="3:9" s="46" customFormat="1" x14ac:dyDescent="0.2">
      <c r="C5929" s="144"/>
      <c r="D5929" s="144"/>
      <c r="E5929" s="144"/>
      <c r="F5929" s="373"/>
      <c r="I5929" s="70"/>
    </row>
    <row r="5930" spans="3:9" s="46" customFormat="1" x14ac:dyDescent="0.2">
      <c r="C5930" s="144"/>
      <c r="D5930" s="144"/>
      <c r="E5930" s="144"/>
      <c r="F5930" s="373"/>
      <c r="I5930" s="70"/>
    </row>
    <row r="5931" spans="3:9" s="46" customFormat="1" x14ac:dyDescent="0.2">
      <c r="C5931" s="144"/>
      <c r="D5931" s="144"/>
      <c r="E5931" s="144"/>
      <c r="F5931" s="373"/>
      <c r="I5931" s="70"/>
    </row>
    <row r="5932" spans="3:9" s="46" customFormat="1" x14ac:dyDescent="0.2">
      <c r="C5932" s="144"/>
      <c r="D5932" s="144"/>
      <c r="E5932" s="144"/>
      <c r="F5932" s="373"/>
      <c r="I5932" s="70"/>
    </row>
    <row r="5933" spans="3:9" s="46" customFormat="1" x14ac:dyDescent="0.2">
      <c r="C5933" s="144"/>
      <c r="D5933" s="144"/>
      <c r="E5933" s="144"/>
      <c r="F5933" s="373"/>
      <c r="I5933" s="70"/>
    </row>
    <row r="5934" spans="3:9" s="46" customFormat="1" x14ac:dyDescent="0.2">
      <c r="C5934" s="144"/>
      <c r="D5934" s="144"/>
      <c r="E5934" s="144"/>
      <c r="F5934" s="373"/>
      <c r="I5934" s="70"/>
    </row>
    <row r="5935" spans="3:9" s="46" customFormat="1" x14ac:dyDescent="0.2">
      <c r="C5935" s="144"/>
      <c r="D5935" s="144"/>
      <c r="E5935" s="144"/>
      <c r="F5935" s="373"/>
      <c r="I5935" s="70"/>
    </row>
    <row r="5936" spans="3:9" s="46" customFormat="1" x14ac:dyDescent="0.2">
      <c r="C5936" s="144"/>
      <c r="D5936" s="144"/>
      <c r="E5936" s="144"/>
      <c r="F5936" s="373"/>
      <c r="I5936" s="70"/>
    </row>
    <row r="5937" spans="3:9" s="46" customFormat="1" x14ac:dyDescent="0.2">
      <c r="C5937" s="144"/>
      <c r="D5937" s="144"/>
      <c r="E5937" s="144"/>
      <c r="F5937" s="373"/>
      <c r="I5937" s="70"/>
    </row>
    <row r="5938" spans="3:9" s="46" customFormat="1" x14ac:dyDescent="0.2">
      <c r="C5938" s="144"/>
      <c r="D5938" s="144"/>
      <c r="E5938" s="144"/>
      <c r="F5938" s="373"/>
      <c r="I5938" s="70"/>
    </row>
    <row r="5939" spans="3:9" s="46" customFormat="1" x14ac:dyDescent="0.2">
      <c r="C5939" s="144"/>
      <c r="D5939" s="144"/>
      <c r="E5939" s="144"/>
      <c r="F5939" s="373"/>
      <c r="I5939" s="70"/>
    </row>
    <row r="5940" spans="3:9" s="46" customFormat="1" x14ac:dyDescent="0.2">
      <c r="C5940" s="144"/>
      <c r="D5940" s="144"/>
      <c r="E5940" s="144"/>
      <c r="F5940" s="373"/>
      <c r="I5940" s="70"/>
    </row>
    <row r="5941" spans="3:9" s="46" customFormat="1" x14ac:dyDescent="0.2">
      <c r="C5941" s="144"/>
      <c r="D5941" s="144"/>
      <c r="E5941" s="144"/>
      <c r="F5941" s="373"/>
      <c r="I5941" s="70"/>
    </row>
    <row r="5942" spans="3:9" s="46" customFormat="1" x14ac:dyDescent="0.2">
      <c r="C5942" s="144"/>
      <c r="D5942" s="144"/>
      <c r="E5942" s="144"/>
      <c r="F5942" s="373"/>
      <c r="I5942" s="70"/>
    </row>
    <row r="5943" spans="3:9" s="46" customFormat="1" x14ac:dyDescent="0.2">
      <c r="C5943" s="144"/>
      <c r="D5943" s="144"/>
      <c r="E5943" s="144"/>
      <c r="F5943" s="373"/>
      <c r="I5943" s="70"/>
    </row>
    <row r="5944" spans="3:9" s="46" customFormat="1" x14ac:dyDescent="0.2">
      <c r="C5944" s="144"/>
      <c r="D5944" s="144"/>
      <c r="E5944" s="144"/>
      <c r="F5944" s="373"/>
      <c r="I5944" s="70"/>
    </row>
    <row r="5945" spans="3:9" s="46" customFormat="1" x14ac:dyDescent="0.2">
      <c r="C5945" s="144"/>
      <c r="D5945" s="144"/>
      <c r="E5945" s="144"/>
      <c r="F5945" s="373"/>
      <c r="I5945" s="70"/>
    </row>
    <row r="5946" spans="3:9" s="46" customFormat="1" x14ac:dyDescent="0.2">
      <c r="C5946" s="144"/>
      <c r="D5946" s="144"/>
      <c r="E5946" s="144"/>
      <c r="F5946" s="373"/>
      <c r="I5946" s="70"/>
    </row>
    <row r="5947" spans="3:9" s="46" customFormat="1" x14ac:dyDescent="0.2">
      <c r="C5947" s="144"/>
      <c r="D5947" s="144"/>
      <c r="E5947" s="144"/>
      <c r="F5947" s="373"/>
      <c r="I5947" s="70"/>
    </row>
    <row r="5948" spans="3:9" s="46" customFormat="1" x14ac:dyDescent="0.2">
      <c r="C5948" s="144"/>
      <c r="D5948" s="144"/>
      <c r="E5948" s="144"/>
      <c r="F5948" s="373"/>
      <c r="I5948" s="70"/>
    </row>
    <row r="5949" spans="3:9" s="46" customFormat="1" x14ac:dyDescent="0.2">
      <c r="C5949" s="144"/>
      <c r="D5949" s="144"/>
      <c r="E5949" s="144"/>
      <c r="F5949" s="373"/>
      <c r="I5949" s="70"/>
    </row>
    <row r="5950" spans="3:9" s="46" customFormat="1" x14ac:dyDescent="0.2">
      <c r="C5950" s="144"/>
      <c r="D5950" s="144"/>
      <c r="E5950" s="144"/>
      <c r="F5950" s="373"/>
      <c r="I5950" s="70"/>
    </row>
    <row r="5951" spans="3:9" s="46" customFormat="1" x14ac:dyDescent="0.2">
      <c r="C5951" s="144"/>
      <c r="D5951" s="144"/>
      <c r="E5951" s="144"/>
      <c r="F5951" s="373"/>
      <c r="I5951" s="70"/>
    </row>
    <row r="5952" spans="3:9" s="46" customFormat="1" x14ac:dyDescent="0.2">
      <c r="C5952" s="144"/>
      <c r="D5952" s="144"/>
      <c r="E5952" s="144"/>
      <c r="F5952" s="373"/>
      <c r="I5952" s="70"/>
    </row>
    <row r="5953" spans="3:9" s="46" customFormat="1" x14ac:dyDescent="0.2">
      <c r="C5953" s="144"/>
      <c r="D5953" s="144"/>
      <c r="E5953" s="144"/>
      <c r="F5953" s="373"/>
      <c r="I5953" s="70"/>
    </row>
    <row r="5954" spans="3:9" s="46" customFormat="1" x14ac:dyDescent="0.2">
      <c r="C5954" s="144"/>
      <c r="D5954" s="144"/>
      <c r="E5954" s="144"/>
      <c r="F5954" s="373"/>
      <c r="I5954" s="70"/>
    </row>
    <row r="5955" spans="3:9" s="46" customFormat="1" x14ac:dyDescent="0.2">
      <c r="C5955" s="144"/>
      <c r="D5955" s="144"/>
      <c r="E5955" s="144"/>
      <c r="F5955" s="373"/>
      <c r="I5955" s="70"/>
    </row>
    <row r="5956" spans="3:9" s="46" customFormat="1" x14ac:dyDescent="0.2">
      <c r="C5956" s="144"/>
      <c r="D5956" s="144"/>
      <c r="E5956" s="144"/>
      <c r="F5956" s="373"/>
      <c r="I5956" s="70"/>
    </row>
    <row r="5957" spans="3:9" s="46" customFormat="1" x14ac:dyDescent="0.2">
      <c r="C5957" s="144"/>
      <c r="D5957" s="144"/>
      <c r="E5957" s="144"/>
      <c r="F5957" s="373"/>
      <c r="I5957" s="70"/>
    </row>
    <row r="5958" spans="3:9" s="46" customFormat="1" x14ac:dyDescent="0.2">
      <c r="C5958" s="144"/>
      <c r="D5958" s="144"/>
      <c r="E5958" s="144"/>
      <c r="F5958" s="373"/>
      <c r="I5958" s="70"/>
    </row>
    <row r="5959" spans="3:9" s="46" customFormat="1" x14ac:dyDescent="0.2">
      <c r="C5959" s="144"/>
      <c r="D5959" s="144"/>
      <c r="E5959" s="144"/>
      <c r="F5959" s="373"/>
      <c r="I5959" s="70"/>
    </row>
    <row r="5960" spans="3:9" s="46" customFormat="1" x14ac:dyDescent="0.2">
      <c r="C5960" s="144"/>
      <c r="D5960" s="144"/>
      <c r="E5960" s="144"/>
      <c r="F5960" s="373"/>
      <c r="I5960" s="70"/>
    </row>
    <row r="5961" spans="3:9" s="46" customFormat="1" x14ac:dyDescent="0.2">
      <c r="C5961" s="144"/>
      <c r="D5961" s="144"/>
      <c r="E5961" s="144"/>
      <c r="F5961" s="373"/>
      <c r="I5961" s="70"/>
    </row>
    <row r="5962" spans="3:9" s="46" customFormat="1" x14ac:dyDescent="0.2">
      <c r="C5962" s="144"/>
      <c r="D5962" s="144"/>
      <c r="E5962" s="144"/>
      <c r="F5962" s="373"/>
      <c r="I5962" s="70"/>
    </row>
    <row r="5963" spans="3:9" s="46" customFormat="1" x14ac:dyDescent="0.2">
      <c r="C5963" s="144"/>
      <c r="D5963" s="144"/>
      <c r="E5963" s="144"/>
      <c r="F5963" s="373"/>
      <c r="I5963" s="70"/>
    </row>
    <row r="5964" spans="3:9" s="46" customFormat="1" x14ac:dyDescent="0.2">
      <c r="C5964" s="144"/>
      <c r="D5964" s="144"/>
      <c r="E5964" s="144"/>
      <c r="F5964" s="373"/>
      <c r="I5964" s="70"/>
    </row>
    <row r="5965" spans="3:9" s="46" customFormat="1" x14ac:dyDescent="0.2">
      <c r="C5965" s="144"/>
      <c r="D5965" s="144"/>
      <c r="E5965" s="144"/>
      <c r="F5965" s="373"/>
      <c r="I5965" s="70"/>
    </row>
    <row r="5966" spans="3:9" s="46" customFormat="1" x14ac:dyDescent="0.2">
      <c r="C5966" s="144"/>
      <c r="D5966" s="144"/>
      <c r="E5966" s="144"/>
      <c r="F5966" s="373"/>
      <c r="I5966" s="70"/>
    </row>
    <row r="5967" spans="3:9" s="46" customFormat="1" x14ac:dyDescent="0.2">
      <c r="C5967" s="144"/>
      <c r="D5967" s="144"/>
      <c r="E5967" s="144"/>
      <c r="F5967" s="373"/>
      <c r="I5967" s="70"/>
    </row>
    <row r="5968" spans="3:9" s="46" customFormat="1" x14ac:dyDescent="0.2">
      <c r="C5968" s="144"/>
      <c r="D5968" s="144"/>
      <c r="E5968" s="144"/>
      <c r="F5968" s="373"/>
      <c r="I5968" s="70"/>
    </row>
    <row r="5969" spans="3:9" s="46" customFormat="1" x14ac:dyDescent="0.2">
      <c r="C5969" s="144"/>
      <c r="D5969" s="144"/>
      <c r="E5969" s="144"/>
      <c r="F5969" s="373"/>
      <c r="I5969" s="70"/>
    </row>
    <row r="5970" spans="3:9" s="46" customFormat="1" x14ac:dyDescent="0.2">
      <c r="C5970" s="144"/>
      <c r="D5970" s="144"/>
      <c r="E5970" s="144"/>
      <c r="F5970" s="373"/>
      <c r="I5970" s="70"/>
    </row>
    <row r="5971" spans="3:9" s="46" customFormat="1" x14ac:dyDescent="0.2">
      <c r="C5971" s="144"/>
      <c r="D5971" s="144"/>
      <c r="E5971" s="144"/>
      <c r="F5971" s="373"/>
      <c r="I5971" s="70"/>
    </row>
    <row r="5972" spans="3:9" s="46" customFormat="1" x14ac:dyDescent="0.2">
      <c r="C5972" s="144"/>
      <c r="D5972" s="144"/>
      <c r="E5972" s="144"/>
      <c r="F5972" s="373"/>
      <c r="I5972" s="70"/>
    </row>
    <row r="5973" spans="3:9" s="46" customFormat="1" x14ac:dyDescent="0.2">
      <c r="C5973" s="144"/>
      <c r="D5973" s="144"/>
      <c r="E5973" s="144"/>
      <c r="F5973" s="373"/>
      <c r="I5973" s="70"/>
    </row>
    <row r="5974" spans="3:9" s="46" customFormat="1" x14ac:dyDescent="0.2">
      <c r="C5974" s="144"/>
      <c r="D5974" s="144"/>
      <c r="E5974" s="144"/>
      <c r="F5974" s="373"/>
      <c r="I5974" s="70"/>
    </row>
    <row r="5975" spans="3:9" s="46" customFormat="1" x14ac:dyDescent="0.2">
      <c r="C5975" s="144"/>
      <c r="D5975" s="144"/>
      <c r="E5975" s="144"/>
      <c r="F5975" s="373"/>
      <c r="I5975" s="70"/>
    </row>
    <row r="5976" spans="3:9" s="46" customFormat="1" x14ac:dyDescent="0.2">
      <c r="C5976" s="144"/>
      <c r="D5976" s="144"/>
      <c r="E5976" s="144"/>
      <c r="F5976" s="373"/>
      <c r="I5976" s="70"/>
    </row>
    <row r="5977" spans="3:9" s="46" customFormat="1" x14ac:dyDescent="0.2">
      <c r="C5977" s="144"/>
      <c r="D5977" s="144"/>
      <c r="E5977" s="144"/>
      <c r="F5977" s="373"/>
      <c r="I5977" s="70"/>
    </row>
    <row r="5978" spans="3:9" s="46" customFormat="1" x14ac:dyDescent="0.2">
      <c r="C5978" s="144"/>
      <c r="D5978" s="144"/>
      <c r="E5978" s="144"/>
      <c r="F5978" s="373"/>
      <c r="I5978" s="70"/>
    </row>
    <row r="5979" spans="3:9" s="46" customFormat="1" x14ac:dyDescent="0.2">
      <c r="C5979" s="144"/>
      <c r="D5979" s="144"/>
      <c r="E5979" s="144"/>
      <c r="F5979" s="373"/>
      <c r="I5979" s="70"/>
    </row>
    <row r="5980" spans="3:9" s="46" customFormat="1" x14ac:dyDescent="0.2">
      <c r="C5980" s="144"/>
      <c r="D5980" s="144"/>
      <c r="E5980" s="144"/>
      <c r="F5980" s="373"/>
      <c r="I5980" s="70"/>
    </row>
    <row r="5981" spans="3:9" s="46" customFormat="1" x14ac:dyDescent="0.2">
      <c r="C5981" s="144"/>
      <c r="D5981" s="144"/>
      <c r="E5981" s="144"/>
      <c r="F5981" s="373"/>
      <c r="I5981" s="70"/>
    </row>
    <row r="5982" spans="3:9" s="46" customFormat="1" x14ac:dyDescent="0.2">
      <c r="C5982" s="144"/>
      <c r="D5982" s="144"/>
      <c r="E5982" s="144"/>
      <c r="F5982" s="373"/>
      <c r="I5982" s="70"/>
    </row>
    <row r="5983" spans="3:9" s="46" customFormat="1" x14ac:dyDescent="0.2">
      <c r="C5983" s="144"/>
      <c r="D5983" s="144"/>
      <c r="E5983" s="144"/>
      <c r="F5983" s="373"/>
      <c r="I5983" s="70"/>
    </row>
    <row r="5984" spans="3:9" s="46" customFormat="1" x14ac:dyDescent="0.2">
      <c r="C5984" s="144"/>
      <c r="D5984" s="144"/>
      <c r="E5984" s="144"/>
      <c r="F5984" s="373"/>
      <c r="I5984" s="70"/>
    </row>
    <row r="5985" spans="3:9" s="46" customFormat="1" x14ac:dyDescent="0.2">
      <c r="C5985" s="144"/>
      <c r="D5985" s="144"/>
      <c r="E5985" s="144"/>
      <c r="F5985" s="373"/>
      <c r="I5985" s="70"/>
    </row>
    <row r="5986" spans="3:9" s="46" customFormat="1" x14ac:dyDescent="0.2">
      <c r="C5986" s="144"/>
      <c r="D5986" s="144"/>
      <c r="E5986" s="144"/>
      <c r="F5986" s="373"/>
      <c r="I5986" s="70"/>
    </row>
    <row r="5987" spans="3:9" s="46" customFormat="1" x14ac:dyDescent="0.2">
      <c r="C5987" s="144"/>
      <c r="D5987" s="144"/>
      <c r="E5987" s="144"/>
      <c r="F5987" s="373"/>
      <c r="I5987" s="70"/>
    </row>
    <row r="5988" spans="3:9" s="46" customFormat="1" x14ac:dyDescent="0.2">
      <c r="C5988" s="144"/>
      <c r="D5988" s="144"/>
      <c r="E5988" s="144"/>
      <c r="F5988" s="373"/>
      <c r="I5988" s="70"/>
    </row>
    <row r="5989" spans="3:9" s="46" customFormat="1" x14ac:dyDescent="0.2">
      <c r="C5989" s="144"/>
      <c r="D5989" s="144"/>
      <c r="E5989" s="144"/>
      <c r="F5989" s="373"/>
      <c r="I5989" s="70"/>
    </row>
    <row r="5990" spans="3:9" s="46" customFormat="1" x14ac:dyDescent="0.2">
      <c r="C5990" s="144"/>
      <c r="D5990" s="144"/>
      <c r="E5990" s="144"/>
      <c r="F5990" s="373"/>
      <c r="I5990" s="70"/>
    </row>
    <row r="5991" spans="3:9" s="46" customFormat="1" x14ac:dyDescent="0.2">
      <c r="C5991" s="144"/>
      <c r="D5991" s="144"/>
      <c r="E5991" s="144"/>
      <c r="F5991" s="373"/>
      <c r="I5991" s="70"/>
    </row>
    <row r="5992" spans="3:9" s="46" customFormat="1" x14ac:dyDescent="0.2">
      <c r="C5992" s="144"/>
      <c r="D5992" s="144"/>
      <c r="E5992" s="144"/>
      <c r="F5992" s="373"/>
      <c r="I5992" s="70"/>
    </row>
    <row r="5993" spans="3:9" s="46" customFormat="1" x14ac:dyDescent="0.2">
      <c r="C5993" s="144"/>
      <c r="D5993" s="144"/>
      <c r="E5993" s="144"/>
      <c r="F5993" s="373"/>
      <c r="I5993" s="70"/>
    </row>
    <row r="5994" spans="3:9" s="46" customFormat="1" x14ac:dyDescent="0.2">
      <c r="C5994" s="144"/>
      <c r="D5994" s="144"/>
      <c r="E5994" s="144"/>
      <c r="F5994" s="373"/>
      <c r="I5994" s="70"/>
    </row>
    <row r="5995" spans="3:9" s="46" customFormat="1" x14ac:dyDescent="0.2">
      <c r="C5995" s="144"/>
      <c r="D5995" s="144"/>
      <c r="E5995" s="144"/>
      <c r="F5995" s="373"/>
      <c r="I5995" s="70"/>
    </row>
    <row r="5996" spans="3:9" s="46" customFormat="1" x14ac:dyDescent="0.2">
      <c r="C5996" s="144"/>
      <c r="D5996" s="144"/>
      <c r="E5996" s="144"/>
      <c r="F5996" s="373"/>
      <c r="I5996" s="70"/>
    </row>
    <row r="5997" spans="3:9" s="46" customFormat="1" x14ac:dyDescent="0.2">
      <c r="C5997" s="144"/>
      <c r="D5997" s="144"/>
      <c r="E5997" s="144"/>
      <c r="F5997" s="373"/>
      <c r="I5997" s="70"/>
    </row>
    <row r="5998" spans="3:9" s="46" customFormat="1" x14ac:dyDescent="0.2">
      <c r="C5998" s="144"/>
      <c r="D5998" s="144"/>
      <c r="E5998" s="144"/>
      <c r="F5998" s="373"/>
      <c r="I5998" s="70"/>
    </row>
    <row r="5999" spans="3:9" s="46" customFormat="1" x14ac:dyDescent="0.2">
      <c r="C5999" s="144"/>
      <c r="D5999" s="144"/>
      <c r="E5999" s="144"/>
      <c r="F5999" s="373"/>
      <c r="I5999" s="70"/>
    </row>
    <row r="6000" spans="3:9" s="46" customFormat="1" x14ac:dyDescent="0.2">
      <c r="C6000" s="144"/>
      <c r="D6000" s="144"/>
      <c r="E6000" s="144"/>
      <c r="F6000" s="373"/>
      <c r="I6000" s="70"/>
    </row>
    <row r="6001" spans="3:9" s="46" customFormat="1" x14ac:dyDescent="0.2">
      <c r="C6001" s="144"/>
      <c r="D6001" s="144"/>
      <c r="E6001" s="144"/>
      <c r="F6001" s="373"/>
      <c r="I6001" s="70"/>
    </row>
    <row r="6002" spans="3:9" s="46" customFormat="1" x14ac:dyDescent="0.2">
      <c r="C6002" s="144"/>
      <c r="D6002" s="144"/>
      <c r="E6002" s="144"/>
      <c r="F6002" s="373"/>
      <c r="I6002" s="70"/>
    </row>
    <row r="6003" spans="3:9" s="46" customFormat="1" x14ac:dyDescent="0.2">
      <c r="C6003" s="144"/>
      <c r="D6003" s="144"/>
      <c r="E6003" s="144"/>
      <c r="F6003" s="373"/>
      <c r="I6003" s="70"/>
    </row>
    <row r="6004" spans="3:9" s="46" customFormat="1" x14ac:dyDescent="0.2">
      <c r="C6004" s="144"/>
      <c r="D6004" s="144"/>
      <c r="E6004" s="144"/>
      <c r="F6004" s="373"/>
      <c r="I6004" s="70"/>
    </row>
    <row r="6005" spans="3:9" s="46" customFormat="1" x14ac:dyDescent="0.2">
      <c r="C6005" s="144"/>
      <c r="D6005" s="144"/>
      <c r="E6005" s="144"/>
      <c r="F6005" s="373"/>
      <c r="I6005" s="70"/>
    </row>
    <row r="6006" spans="3:9" s="46" customFormat="1" x14ac:dyDescent="0.2">
      <c r="C6006" s="144"/>
      <c r="D6006" s="144"/>
      <c r="E6006" s="144"/>
      <c r="F6006" s="373"/>
      <c r="I6006" s="70"/>
    </row>
    <row r="6007" spans="3:9" s="46" customFormat="1" x14ac:dyDescent="0.2">
      <c r="C6007" s="144"/>
      <c r="D6007" s="144"/>
      <c r="E6007" s="144"/>
      <c r="F6007" s="373"/>
      <c r="I6007" s="70"/>
    </row>
    <row r="6008" spans="3:9" s="46" customFormat="1" x14ac:dyDescent="0.2">
      <c r="C6008" s="144"/>
      <c r="D6008" s="144"/>
      <c r="E6008" s="144"/>
      <c r="F6008" s="373"/>
      <c r="I6008" s="70"/>
    </row>
    <row r="6009" spans="3:9" s="46" customFormat="1" x14ac:dyDescent="0.2">
      <c r="C6009" s="144"/>
      <c r="D6009" s="144"/>
      <c r="E6009" s="144"/>
      <c r="F6009" s="373"/>
      <c r="I6009" s="70"/>
    </row>
    <row r="6010" spans="3:9" s="46" customFormat="1" x14ac:dyDescent="0.2">
      <c r="C6010" s="144"/>
      <c r="D6010" s="144"/>
      <c r="E6010" s="144"/>
      <c r="F6010" s="373"/>
      <c r="I6010" s="70"/>
    </row>
    <row r="6011" spans="3:9" s="46" customFormat="1" x14ac:dyDescent="0.2">
      <c r="C6011" s="144"/>
      <c r="D6011" s="144"/>
      <c r="E6011" s="144"/>
      <c r="F6011" s="373"/>
      <c r="I6011" s="70"/>
    </row>
    <row r="6012" spans="3:9" s="46" customFormat="1" x14ac:dyDescent="0.2">
      <c r="C6012" s="144"/>
      <c r="D6012" s="144"/>
      <c r="E6012" s="144"/>
      <c r="F6012" s="373"/>
      <c r="I6012" s="70"/>
    </row>
    <row r="6013" spans="3:9" s="46" customFormat="1" x14ac:dyDescent="0.2">
      <c r="C6013" s="144"/>
      <c r="D6013" s="144"/>
      <c r="E6013" s="144"/>
      <c r="F6013" s="373"/>
      <c r="I6013" s="70"/>
    </row>
    <row r="6014" spans="3:9" s="46" customFormat="1" x14ac:dyDescent="0.2">
      <c r="C6014" s="144"/>
      <c r="D6014" s="144"/>
      <c r="E6014" s="144"/>
      <c r="F6014" s="373"/>
      <c r="I6014" s="70"/>
    </row>
    <row r="6015" spans="3:9" s="46" customFormat="1" x14ac:dyDescent="0.2">
      <c r="C6015" s="144"/>
      <c r="D6015" s="144"/>
      <c r="E6015" s="144"/>
      <c r="F6015" s="373"/>
      <c r="I6015" s="70"/>
    </row>
    <row r="6016" spans="3:9" s="46" customFormat="1" x14ac:dyDescent="0.2">
      <c r="C6016" s="144"/>
      <c r="D6016" s="144"/>
      <c r="E6016" s="144"/>
      <c r="F6016" s="373"/>
      <c r="I6016" s="70"/>
    </row>
    <row r="6017" spans="3:9" s="46" customFormat="1" x14ac:dyDescent="0.2">
      <c r="C6017" s="144"/>
      <c r="D6017" s="144"/>
      <c r="E6017" s="144"/>
      <c r="F6017" s="373"/>
      <c r="I6017" s="70"/>
    </row>
    <row r="6018" spans="3:9" s="46" customFormat="1" x14ac:dyDescent="0.2">
      <c r="C6018" s="144"/>
      <c r="D6018" s="144"/>
      <c r="E6018" s="144"/>
      <c r="F6018" s="373"/>
      <c r="I6018" s="70"/>
    </row>
    <row r="6019" spans="3:9" s="46" customFormat="1" x14ac:dyDescent="0.2">
      <c r="C6019" s="144"/>
      <c r="D6019" s="144"/>
      <c r="E6019" s="144"/>
      <c r="F6019" s="373"/>
      <c r="I6019" s="70"/>
    </row>
    <row r="6020" spans="3:9" s="46" customFormat="1" x14ac:dyDescent="0.2">
      <c r="C6020" s="144"/>
      <c r="D6020" s="144"/>
      <c r="E6020" s="144"/>
      <c r="F6020" s="373"/>
      <c r="I6020" s="70"/>
    </row>
    <row r="6021" spans="3:9" s="46" customFormat="1" x14ac:dyDescent="0.2">
      <c r="C6021" s="144"/>
      <c r="D6021" s="144"/>
      <c r="E6021" s="144"/>
      <c r="F6021" s="373"/>
      <c r="I6021" s="70"/>
    </row>
    <row r="6022" spans="3:9" s="46" customFormat="1" x14ac:dyDescent="0.2">
      <c r="C6022" s="144"/>
      <c r="D6022" s="144"/>
      <c r="E6022" s="144"/>
      <c r="F6022" s="373"/>
      <c r="I6022" s="70"/>
    </row>
    <row r="6023" spans="3:9" s="46" customFormat="1" x14ac:dyDescent="0.2">
      <c r="C6023" s="144"/>
      <c r="D6023" s="144"/>
      <c r="E6023" s="144"/>
      <c r="F6023" s="373"/>
      <c r="I6023" s="70"/>
    </row>
    <row r="6024" spans="3:9" s="46" customFormat="1" x14ac:dyDescent="0.2">
      <c r="C6024" s="144"/>
      <c r="D6024" s="144"/>
      <c r="E6024" s="144"/>
      <c r="F6024" s="373"/>
      <c r="I6024" s="70"/>
    </row>
    <row r="6025" spans="3:9" s="46" customFormat="1" x14ac:dyDescent="0.2">
      <c r="C6025" s="144"/>
      <c r="D6025" s="144"/>
      <c r="E6025" s="144"/>
      <c r="F6025" s="373"/>
      <c r="I6025" s="70"/>
    </row>
    <row r="6026" spans="3:9" s="46" customFormat="1" x14ac:dyDescent="0.2">
      <c r="C6026" s="144"/>
      <c r="D6026" s="144"/>
      <c r="E6026" s="144"/>
      <c r="F6026" s="373"/>
      <c r="I6026" s="70"/>
    </row>
    <row r="6027" spans="3:9" s="46" customFormat="1" x14ac:dyDescent="0.2">
      <c r="C6027" s="144"/>
      <c r="D6027" s="144"/>
      <c r="E6027" s="144"/>
      <c r="F6027" s="373"/>
      <c r="I6027" s="70"/>
    </row>
    <row r="6028" spans="3:9" s="46" customFormat="1" x14ac:dyDescent="0.2">
      <c r="C6028" s="144"/>
      <c r="D6028" s="144"/>
      <c r="E6028" s="144"/>
      <c r="F6028" s="373"/>
      <c r="I6028" s="70"/>
    </row>
    <row r="6029" spans="3:9" s="46" customFormat="1" x14ac:dyDescent="0.2">
      <c r="C6029" s="144"/>
      <c r="D6029" s="144"/>
      <c r="E6029" s="144"/>
      <c r="F6029" s="373"/>
      <c r="I6029" s="70"/>
    </row>
    <row r="6030" spans="3:9" s="46" customFormat="1" x14ac:dyDescent="0.2">
      <c r="C6030" s="144"/>
      <c r="D6030" s="144"/>
      <c r="E6030" s="144"/>
      <c r="F6030" s="373"/>
      <c r="I6030" s="70"/>
    </row>
    <row r="6031" spans="3:9" s="46" customFormat="1" x14ac:dyDescent="0.2">
      <c r="C6031" s="144"/>
      <c r="D6031" s="144"/>
      <c r="E6031" s="144"/>
      <c r="F6031" s="373"/>
      <c r="I6031" s="70"/>
    </row>
    <row r="6032" spans="3:9" s="46" customFormat="1" x14ac:dyDescent="0.2">
      <c r="C6032" s="144"/>
      <c r="D6032" s="144"/>
      <c r="E6032" s="144"/>
      <c r="F6032" s="373"/>
      <c r="I6032" s="70"/>
    </row>
    <row r="6033" spans="3:9" s="46" customFormat="1" x14ac:dyDescent="0.2">
      <c r="C6033" s="144"/>
      <c r="D6033" s="144"/>
      <c r="E6033" s="144"/>
      <c r="F6033" s="373"/>
      <c r="I6033" s="70"/>
    </row>
    <row r="6034" spans="3:9" s="46" customFormat="1" x14ac:dyDescent="0.2">
      <c r="C6034" s="144"/>
      <c r="D6034" s="144"/>
      <c r="E6034" s="144"/>
      <c r="F6034" s="373"/>
      <c r="I6034" s="70"/>
    </row>
    <row r="6035" spans="3:9" s="46" customFormat="1" x14ac:dyDescent="0.2">
      <c r="C6035" s="144"/>
      <c r="D6035" s="144"/>
      <c r="E6035" s="144"/>
      <c r="F6035" s="373"/>
      <c r="I6035" s="70"/>
    </row>
    <row r="6036" spans="3:9" s="46" customFormat="1" x14ac:dyDescent="0.2">
      <c r="C6036" s="144"/>
      <c r="D6036" s="144"/>
      <c r="E6036" s="144"/>
      <c r="F6036" s="373"/>
      <c r="I6036" s="70"/>
    </row>
    <row r="6037" spans="3:9" s="46" customFormat="1" x14ac:dyDescent="0.2">
      <c r="C6037" s="144"/>
      <c r="D6037" s="144"/>
      <c r="E6037" s="144"/>
      <c r="F6037" s="373"/>
      <c r="I6037" s="70"/>
    </row>
    <row r="6038" spans="3:9" s="46" customFormat="1" x14ac:dyDescent="0.2">
      <c r="C6038" s="144"/>
      <c r="D6038" s="144"/>
      <c r="E6038" s="144"/>
      <c r="F6038" s="373"/>
      <c r="I6038" s="70"/>
    </row>
    <row r="6039" spans="3:9" s="46" customFormat="1" x14ac:dyDescent="0.2">
      <c r="C6039" s="144"/>
      <c r="D6039" s="144"/>
      <c r="E6039" s="144"/>
      <c r="F6039" s="373"/>
      <c r="I6039" s="70"/>
    </row>
    <row r="6040" spans="3:9" s="46" customFormat="1" x14ac:dyDescent="0.2">
      <c r="C6040" s="144"/>
      <c r="D6040" s="144"/>
      <c r="E6040" s="144"/>
      <c r="F6040" s="373"/>
      <c r="I6040" s="70"/>
    </row>
    <row r="6041" spans="3:9" s="46" customFormat="1" x14ac:dyDescent="0.2">
      <c r="C6041" s="144"/>
      <c r="D6041" s="144"/>
      <c r="E6041" s="144"/>
      <c r="F6041" s="373"/>
      <c r="I6041" s="70"/>
    </row>
    <row r="6042" spans="3:9" s="46" customFormat="1" x14ac:dyDescent="0.2">
      <c r="C6042" s="144"/>
      <c r="D6042" s="144"/>
      <c r="E6042" s="144"/>
      <c r="F6042" s="373"/>
      <c r="I6042" s="70"/>
    </row>
    <row r="6043" spans="3:9" s="46" customFormat="1" x14ac:dyDescent="0.2">
      <c r="C6043" s="144"/>
      <c r="D6043" s="144"/>
      <c r="E6043" s="144"/>
      <c r="F6043" s="373"/>
      <c r="I6043" s="70"/>
    </row>
    <row r="6044" spans="3:9" s="46" customFormat="1" x14ac:dyDescent="0.2">
      <c r="C6044" s="144"/>
      <c r="D6044" s="144"/>
      <c r="E6044" s="144"/>
      <c r="F6044" s="373"/>
      <c r="I6044" s="70"/>
    </row>
    <row r="6045" spans="3:9" s="46" customFormat="1" x14ac:dyDescent="0.2">
      <c r="C6045" s="144"/>
      <c r="D6045" s="144"/>
      <c r="E6045" s="144"/>
      <c r="F6045" s="373"/>
      <c r="I6045" s="70"/>
    </row>
    <row r="6046" spans="3:9" s="46" customFormat="1" x14ac:dyDescent="0.2">
      <c r="C6046" s="144"/>
      <c r="D6046" s="144"/>
      <c r="E6046" s="144"/>
      <c r="F6046" s="373"/>
      <c r="I6046" s="70"/>
    </row>
    <row r="6047" spans="3:9" s="46" customFormat="1" x14ac:dyDescent="0.2">
      <c r="C6047" s="144"/>
      <c r="D6047" s="144"/>
      <c r="E6047" s="144"/>
      <c r="F6047" s="373"/>
      <c r="I6047" s="70"/>
    </row>
    <row r="6048" spans="3:9" s="46" customFormat="1" x14ac:dyDescent="0.2">
      <c r="C6048" s="144"/>
      <c r="D6048" s="144"/>
      <c r="E6048" s="144"/>
      <c r="F6048" s="373"/>
      <c r="I6048" s="70"/>
    </row>
    <row r="6049" spans="3:9" s="46" customFormat="1" x14ac:dyDescent="0.2">
      <c r="C6049" s="144"/>
      <c r="D6049" s="144"/>
      <c r="E6049" s="144"/>
      <c r="F6049" s="373"/>
      <c r="I6049" s="70"/>
    </row>
    <row r="6050" spans="3:9" s="46" customFormat="1" x14ac:dyDescent="0.2">
      <c r="C6050" s="144"/>
      <c r="D6050" s="144"/>
      <c r="E6050" s="144"/>
      <c r="F6050" s="373"/>
      <c r="I6050" s="70"/>
    </row>
    <row r="6051" spans="3:9" s="46" customFormat="1" x14ac:dyDescent="0.2">
      <c r="C6051" s="144"/>
      <c r="D6051" s="144"/>
      <c r="E6051" s="144"/>
      <c r="F6051" s="373"/>
      <c r="I6051" s="70"/>
    </row>
    <row r="6052" spans="3:9" s="46" customFormat="1" x14ac:dyDescent="0.2">
      <c r="C6052" s="144"/>
      <c r="D6052" s="144"/>
      <c r="E6052" s="144"/>
      <c r="F6052" s="373"/>
      <c r="I6052" s="70"/>
    </row>
    <row r="6053" spans="3:9" s="46" customFormat="1" x14ac:dyDescent="0.2">
      <c r="C6053" s="144"/>
      <c r="D6053" s="144"/>
      <c r="E6053" s="144"/>
      <c r="F6053" s="373"/>
      <c r="I6053" s="70"/>
    </row>
    <row r="6054" spans="3:9" s="46" customFormat="1" x14ac:dyDescent="0.2">
      <c r="C6054" s="144"/>
      <c r="D6054" s="144"/>
      <c r="E6054" s="144"/>
      <c r="F6054" s="373"/>
      <c r="I6054" s="70"/>
    </row>
    <row r="6055" spans="3:9" s="46" customFormat="1" x14ac:dyDescent="0.2">
      <c r="C6055" s="144"/>
      <c r="D6055" s="144"/>
      <c r="E6055" s="144"/>
      <c r="F6055" s="373"/>
      <c r="I6055" s="70"/>
    </row>
    <row r="6056" spans="3:9" s="46" customFormat="1" x14ac:dyDescent="0.2">
      <c r="C6056" s="144"/>
      <c r="D6056" s="144"/>
      <c r="E6056" s="144"/>
      <c r="F6056" s="373"/>
      <c r="I6056" s="70"/>
    </row>
    <row r="6057" spans="3:9" s="46" customFormat="1" x14ac:dyDescent="0.2">
      <c r="C6057" s="144"/>
      <c r="D6057" s="144"/>
      <c r="E6057" s="144"/>
      <c r="F6057" s="373"/>
      <c r="I6057" s="70"/>
    </row>
    <row r="6058" spans="3:9" s="46" customFormat="1" x14ac:dyDescent="0.2">
      <c r="C6058" s="144"/>
      <c r="D6058" s="144"/>
      <c r="E6058" s="144"/>
      <c r="F6058" s="373"/>
      <c r="I6058" s="70"/>
    </row>
    <row r="6059" spans="3:9" s="46" customFormat="1" x14ac:dyDescent="0.2">
      <c r="C6059" s="144"/>
      <c r="D6059" s="144"/>
      <c r="E6059" s="144"/>
      <c r="F6059" s="373"/>
      <c r="I6059" s="70"/>
    </row>
    <row r="6060" spans="3:9" s="46" customFormat="1" x14ac:dyDescent="0.2">
      <c r="C6060" s="144"/>
      <c r="D6060" s="144"/>
      <c r="E6060" s="144"/>
      <c r="F6060" s="373"/>
      <c r="I6060" s="70"/>
    </row>
    <row r="6061" spans="3:9" s="46" customFormat="1" x14ac:dyDescent="0.2">
      <c r="C6061" s="144"/>
      <c r="D6061" s="144"/>
      <c r="E6061" s="144"/>
      <c r="F6061" s="373"/>
      <c r="I6061" s="70"/>
    </row>
    <row r="6062" spans="3:9" s="46" customFormat="1" x14ac:dyDescent="0.2">
      <c r="C6062" s="144"/>
      <c r="D6062" s="144"/>
      <c r="E6062" s="144"/>
      <c r="F6062" s="373"/>
      <c r="I6062" s="70"/>
    </row>
    <row r="6063" spans="3:9" s="46" customFormat="1" x14ac:dyDescent="0.2">
      <c r="C6063" s="144"/>
      <c r="D6063" s="144"/>
      <c r="E6063" s="144"/>
      <c r="F6063" s="373"/>
      <c r="I6063" s="70"/>
    </row>
    <row r="6064" spans="3:9" s="46" customFormat="1" x14ac:dyDescent="0.2">
      <c r="C6064" s="144"/>
      <c r="D6064" s="144"/>
      <c r="E6064" s="144"/>
      <c r="F6064" s="373"/>
      <c r="I6064" s="70"/>
    </row>
    <row r="6065" spans="3:9" s="46" customFormat="1" x14ac:dyDescent="0.2">
      <c r="C6065" s="144"/>
      <c r="D6065" s="144"/>
      <c r="E6065" s="144"/>
      <c r="F6065" s="373"/>
      <c r="I6065" s="70"/>
    </row>
    <row r="6066" spans="3:9" s="46" customFormat="1" x14ac:dyDescent="0.2">
      <c r="C6066" s="144"/>
      <c r="D6066" s="144"/>
      <c r="E6066" s="144"/>
      <c r="F6066" s="373"/>
      <c r="I6066" s="70"/>
    </row>
    <row r="6067" spans="3:9" s="46" customFormat="1" x14ac:dyDescent="0.2">
      <c r="C6067" s="144"/>
      <c r="D6067" s="144"/>
      <c r="E6067" s="144"/>
      <c r="F6067" s="373"/>
      <c r="I6067" s="70"/>
    </row>
    <row r="6068" spans="3:9" s="46" customFormat="1" x14ac:dyDescent="0.2">
      <c r="C6068" s="144"/>
      <c r="D6068" s="144"/>
      <c r="E6068" s="144"/>
      <c r="F6068" s="373"/>
      <c r="I6068" s="70"/>
    </row>
    <row r="6069" spans="3:9" s="46" customFormat="1" x14ac:dyDescent="0.2">
      <c r="C6069" s="144"/>
      <c r="D6069" s="144"/>
      <c r="E6069" s="144"/>
      <c r="F6069" s="373"/>
      <c r="I6069" s="70"/>
    </row>
    <row r="6070" spans="3:9" s="46" customFormat="1" x14ac:dyDescent="0.2">
      <c r="C6070" s="144"/>
      <c r="D6070" s="144"/>
      <c r="E6070" s="144"/>
      <c r="F6070" s="373"/>
      <c r="I6070" s="70"/>
    </row>
    <row r="6071" spans="3:9" s="46" customFormat="1" x14ac:dyDescent="0.2">
      <c r="C6071" s="144"/>
      <c r="D6071" s="144"/>
      <c r="E6071" s="144"/>
      <c r="F6071" s="373"/>
      <c r="I6071" s="70"/>
    </row>
    <row r="6072" spans="3:9" s="46" customFormat="1" x14ac:dyDescent="0.2">
      <c r="C6072" s="144"/>
      <c r="D6072" s="144"/>
      <c r="E6072" s="144"/>
      <c r="F6072" s="373"/>
      <c r="I6072" s="70"/>
    </row>
    <row r="6073" spans="3:9" s="46" customFormat="1" x14ac:dyDescent="0.2">
      <c r="C6073" s="144"/>
      <c r="D6073" s="144"/>
      <c r="E6073" s="144"/>
      <c r="F6073" s="373"/>
      <c r="I6073" s="70"/>
    </row>
    <row r="6074" spans="3:9" s="46" customFormat="1" x14ac:dyDescent="0.2">
      <c r="C6074" s="144"/>
      <c r="D6074" s="144"/>
      <c r="E6074" s="144"/>
      <c r="F6074" s="373"/>
      <c r="I6074" s="70"/>
    </row>
    <row r="6075" spans="3:9" s="46" customFormat="1" x14ac:dyDescent="0.2">
      <c r="C6075" s="144"/>
      <c r="D6075" s="144"/>
      <c r="E6075" s="144"/>
      <c r="F6075" s="373"/>
      <c r="I6075" s="70"/>
    </row>
    <row r="6076" spans="3:9" s="46" customFormat="1" x14ac:dyDescent="0.2">
      <c r="C6076" s="144"/>
      <c r="D6076" s="144"/>
      <c r="E6076" s="144"/>
      <c r="F6076" s="373"/>
      <c r="I6076" s="70"/>
    </row>
    <row r="6077" spans="3:9" s="46" customFormat="1" x14ac:dyDescent="0.2">
      <c r="C6077" s="144"/>
      <c r="D6077" s="144"/>
      <c r="E6077" s="144"/>
      <c r="F6077" s="373"/>
      <c r="I6077" s="70"/>
    </row>
    <row r="6078" spans="3:9" s="46" customFormat="1" x14ac:dyDescent="0.2">
      <c r="C6078" s="144"/>
      <c r="D6078" s="144"/>
      <c r="E6078" s="144"/>
      <c r="F6078" s="373"/>
      <c r="I6078" s="70"/>
    </row>
    <row r="6079" spans="3:9" s="46" customFormat="1" x14ac:dyDescent="0.2">
      <c r="C6079" s="144"/>
      <c r="D6079" s="144"/>
      <c r="E6079" s="144"/>
      <c r="F6079" s="373"/>
      <c r="I6079" s="70"/>
    </row>
    <row r="6080" spans="3:9" s="46" customFormat="1" x14ac:dyDescent="0.2">
      <c r="C6080" s="144"/>
      <c r="D6080" s="144"/>
      <c r="E6080" s="144"/>
      <c r="F6080" s="373"/>
      <c r="I6080" s="70"/>
    </row>
    <row r="6081" spans="3:9" s="46" customFormat="1" x14ac:dyDescent="0.2">
      <c r="C6081" s="144"/>
      <c r="D6081" s="144"/>
      <c r="E6081" s="144"/>
      <c r="F6081" s="373"/>
      <c r="I6081" s="70"/>
    </row>
    <row r="6082" spans="3:9" s="46" customFormat="1" x14ac:dyDescent="0.2">
      <c r="C6082" s="144"/>
      <c r="D6082" s="144"/>
      <c r="E6082" s="144"/>
      <c r="F6082" s="373"/>
      <c r="I6082" s="70"/>
    </row>
    <row r="6083" spans="3:9" s="46" customFormat="1" x14ac:dyDescent="0.2">
      <c r="C6083" s="144"/>
      <c r="D6083" s="144"/>
      <c r="E6083" s="144"/>
      <c r="F6083" s="373"/>
      <c r="I6083" s="70"/>
    </row>
    <row r="6084" spans="3:9" s="46" customFormat="1" x14ac:dyDescent="0.2">
      <c r="C6084" s="144"/>
      <c r="D6084" s="144"/>
      <c r="E6084" s="144"/>
      <c r="F6084" s="373"/>
      <c r="I6084" s="70"/>
    </row>
    <row r="6085" spans="3:9" s="46" customFormat="1" x14ac:dyDescent="0.2">
      <c r="C6085" s="144"/>
      <c r="D6085" s="144"/>
      <c r="E6085" s="144"/>
      <c r="F6085" s="373"/>
      <c r="I6085" s="70"/>
    </row>
    <row r="6086" spans="3:9" s="46" customFormat="1" x14ac:dyDescent="0.2">
      <c r="C6086" s="144"/>
      <c r="D6086" s="144"/>
      <c r="E6086" s="144"/>
      <c r="F6086" s="373"/>
      <c r="I6086" s="70"/>
    </row>
    <row r="6087" spans="3:9" s="46" customFormat="1" x14ac:dyDescent="0.2">
      <c r="C6087" s="144"/>
      <c r="D6087" s="144"/>
      <c r="E6087" s="144"/>
      <c r="F6087" s="373"/>
      <c r="I6087" s="70"/>
    </row>
    <row r="6088" spans="3:9" s="46" customFormat="1" x14ac:dyDescent="0.2">
      <c r="C6088" s="144"/>
      <c r="D6088" s="144"/>
      <c r="E6088" s="144"/>
      <c r="F6088" s="373"/>
      <c r="I6088" s="70"/>
    </row>
    <row r="6089" spans="3:9" s="46" customFormat="1" x14ac:dyDescent="0.2">
      <c r="C6089" s="144"/>
      <c r="D6089" s="144"/>
      <c r="E6089" s="144"/>
      <c r="F6089" s="373"/>
      <c r="I6089" s="70"/>
    </row>
    <row r="6090" spans="3:9" s="46" customFormat="1" x14ac:dyDescent="0.2">
      <c r="C6090" s="144"/>
      <c r="D6090" s="144"/>
      <c r="E6090" s="144"/>
      <c r="F6090" s="373"/>
      <c r="I6090" s="70"/>
    </row>
    <row r="6091" spans="3:9" s="46" customFormat="1" x14ac:dyDescent="0.2">
      <c r="C6091" s="144"/>
      <c r="D6091" s="144"/>
      <c r="E6091" s="144"/>
      <c r="F6091" s="373"/>
      <c r="I6091" s="70"/>
    </row>
    <row r="6092" spans="3:9" s="46" customFormat="1" x14ac:dyDescent="0.2">
      <c r="C6092" s="144"/>
      <c r="D6092" s="144"/>
      <c r="E6092" s="144"/>
      <c r="F6092" s="373"/>
      <c r="I6092" s="70"/>
    </row>
    <row r="6093" spans="3:9" s="46" customFormat="1" x14ac:dyDescent="0.2">
      <c r="C6093" s="144"/>
      <c r="D6093" s="144"/>
      <c r="E6093" s="144"/>
      <c r="F6093" s="373"/>
      <c r="I6093" s="70"/>
    </row>
    <row r="6094" spans="3:9" s="46" customFormat="1" x14ac:dyDescent="0.2">
      <c r="C6094" s="144"/>
      <c r="D6094" s="144"/>
      <c r="E6094" s="144"/>
      <c r="F6094" s="373"/>
      <c r="I6094" s="70"/>
    </row>
    <row r="6095" spans="3:9" s="46" customFormat="1" x14ac:dyDescent="0.2">
      <c r="C6095" s="144"/>
      <c r="D6095" s="144"/>
      <c r="E6095" s="144"/>
      <c r="F6095" s="373"/>
      <c r="I6095" s="70"/>
    </row>
    <row r="6096" spans="3:9" s="46" customFormat="1" x14ac:dyDescent="0.2">
      <c r="C6096" s="144"/>
      <c r="D6096" s="144"/>
      <c r="E6096" s="144"/>
      <c r="F6096" s="373"/>
      <c r="I6096" s="70"/>
    </row>
    <row r="6097" spans="3:9" s="46" customFormat="1" x14ac:dyDescent="0.2">
      <c r="C6097" s="144"/>
      <c r="D6097" s="144"/>
      <c r="E6097" s="144"/>
      <c r="F6097" s="373"/>
      <c r="I6097" s="70"/>
    </row>
    <row r="6098" spans="3:9" s="46" customFormat="1" x14ac:dyDescent="0.2">
      <c r="C6098" s="144"/>
      <c r="D6098" s="144"/>
      <c r="E6098" s="144"/>
      <c r="F6098" s="373"/>
      <c r="I6098" s="70"/>
    </row>
    <row r="6099" spans="3:9" s="46" customFormat="1" x14ac:dyDescent="0.2">
      <c r="C6099" s="144"/>
      <c r="D6099" s="144"/>
      <c r="E6099" s="144"/>
      <c r="F6099" s="373"/>
      <c r="I6099" s="70"/>
    </row>
    <row r="6100" spans="3:9" s="46" customFormat="1" x14ac:dyDescent="0.2">
      <c r="C6100" s="144"/>
      <c r="D6100" s="144"/>
      <c r="E6100" s="144"/>
      <c r="F6100" s="373"/>
      <c r="I6100" s="70"/>
    </row>
    <row r="6101" spans="3:9" s="46" customFormat="1" x14ac:dyDescent="0.2">
      <c r="C6101" s="144"/>
      <c r="D6101" s="144"/>
      <c r="E6101" s="144"/>
      <c r="F6101" s="373"/>
      <c r="I6101" s="70"/>
    </row>
    <row r="6102" spans="3:9" s="46" customFormat="1" x14ac:dyDescent="0.2">
      <c r="C6102" s="144"/>
      <c r="D6102" s="144"/>
      <c r="E6102" s="144"/>
      <c r="F6102" s="373"/>
      <c r="I6102" s="70"/>
    </row>
    <row r="6103" spans="3:9" s="46" customFormat="1" x14ac:dyDescent="0.2">
      <c r="C6103" s="144"/>
      <c r="D6103" s="144"/>
      <c r="E6103" s="144"/>
      <c r="F6103" s="373"/>
      <c r="I6103" s="70"/>
    </row>
    <row r="6104" spans="3:9" s="46" customFormat="1" x14ac:dyDescent="0.2">
      <c r="C6104" s="144"/>
      <c r="D6104" s="144"/>
      <c r="E6104" s="144"/>
      <c r="F6104" s="373"/>
      <c r="I6104" s="70"/>
    </row>
    <row r="6105" spans="3:9" s="46" customFormat="1" x14ac:dyDescent="0.2">
      <c r="C6105" s="144"/>
      <c r="D6105" s="144"/>
      <c r="E6105" s="144"/>
      <c r="F6105" s="373"/>
      <c r="I6105" s="70"/>
    </row>
    <row r="6106" spans="3:9" s="46" customFormat="1" x14ac:dyDescent="0.2">
      <c r="C6106" s="144"/>
      <c r="D6106" s="144"/>
      <c r="E6106" s="144"/>
      <c r="F6106" s="373"/>
      <c r="I6106" s="70"/>
    </row>
    <row r="6107" spans="3:9" s="46" customFormat="1" x14ac:dyDescent="0.2">
      <c r="C6107" s="144"/>
      <c r="D6107" s="144"/>
      <c r="E6107" s="144"/>
      <c r="F6107" s="373"/>
      <c r="I6107" s="70"/>
    </row>
    <row r="6108" spans="3:9" s="46" customFormat="1" x14ac:dyDescent="0.2">
      <c r="C6108" s="144"/>
      <c r="D6108" s="144"/>
      <c r="E6108" s="144"/>
      <c r="F6108" s="373"/>
      <c r="I6108" s="70"/>
    </row>
    <row r="6109" spans="3:9" s="46" customFormat="1" x14ac:dyDescent="0.2">
      <c r="C6109" s="144"/>
      <c r="D6109" s="144"/>
      <c r="E6109" s="144"/>
      <c r="F6109" s="373"/>
      <c r="I6109" s="70"/>
    </row>
    <row r="6110" spans="3:9" s="46" customFormat="1" x14ac:dyDescent="0.2">
      <c r="C6110" s="144"/>
      <c r="D6110" s="144"/>
      <c r="E6110" s="144"/>
      <c r="F6110" s="373"/>
      <c r="I6110" s="70"/>
    </row>
    <row r="6111" spans="3:9" s="46" customFormat="1" x14ac:dyDescent="0.2">
      <c r="C6111" s="144"/>
      <c r="D6111" s="144"/>
      <c r="E6111" s="144"/>
      <c r="F6111" s="373"/>
      <c r="I6111" s="70"/>
    </row>
    <row r="6112" spans="3:9" s="46" customFormat="1" x14ac:dyDescent="0.2">
      <c r="C6112" s="144"/>
      <c r="D6112" s="144"/>
      <c r="E6112" s="144"/>
      <c r="F6112" s="373"/>
      <c r="I6112" s="70"/>
    </row>
    <row r="6113" spans="3:9" s="46" customFormat="1" x14ac:dyDescent="0.2">
      <c r="C6113" s="144"/>
      <c r="D6113" s="144"/>
      <c r="E6113" s="144"/>
      <c r="F6113" s="373"/>
      <c r="I6113" s="70"/>
    </row>
    <row r="6114" spans="3:9" s="46" customFormat="1" x14ac:dyDescent="0.2">
      <c r="C6114" s="144"/>
      <c r="D6114" s="144"/>
      <c r="E6114" s="144"/>
      <c r="F6114" s="373"/>
      <c r="I6114" s="70"/>
    </row>
    <row r="6115" spans="3:9" s="46" customFormat="1" x14ac:dyDescent="0.2">
      <c r="C6115" s="144"/>
      <c r="D6115" s="144"/>
      <c r="E6115" s="144"/>
      <c r="F6115" s="373"/>
      <c r="I6115" s="70"/>
    </row>
    <row r="6116" spans="3:9" s="46" customFormat="1" x14ac:dyDescent="0.2">
      <c r="C6116" s="144"/>
      <c r="D6116" s="144"/>
      <c r="E6116" s="144"/>
      <c r="F6116" s="373"/>
      <c r="I6116" s="70"/>
    </row>
    <row r="6117" spans="3:9" s="46" customFormat="1" x14ac:dyDescent="0.2">
      <c r="C6117" s="144"/>
      <c r="D6117" s="144"/>
      <c r="E6117" s="144"/>
      <c r="F6117" s="373"/>
      <c r="I6117" s="70"/>
    </row>
    <row r="6118" spans="3:9" s="46" customFormat="1" x14ac:dyDescent="0.2">
      <c r="C6118" s="144"/>
      <c r="D6118" s="144"/>
      <c r="E6118" s="144"/>
      <c r="F6118" s="373"/>
      <c r="I6118" s="70"/>
    </row>
    <row r="6119" spans="3:9" s="46" customFormat="1" x14ac:dyDescent="0.2">
      <c r="C6119" s="144"/>
      <c r="D6119" s="144"/>
      <c r="E6119" s="144"/>
      <c r="F6119" s="373"/>
      <c r="I6119" s="70"/>
    </row>
    <row r="6120" spans="3:9" s="46" customFormat="1" x14ac:dyDescent="0.2">
      <c r="C6120" s="144"/>
      <c r="D6120" s="144"/>
      <c r="E6120" s="144"/>
      <c r="F6120" s="373"/>
      <c r="I6120" s="70"/>
    </row>
    <row r="6121" spans="3:9" s="46" customFormat="1" x14ac:dyDescent="0.2">
      <c r="C6121" s="144"/>
      <c r="D6121" s="144"/>
      <c r="E6121" s="144"/>
      <c r="F6121" s="373"/>
      <c r="I6121" s="70"/>
    </row>
    <row r="6122" spans="3:9" s="46" customFormat="1" x14ac:dyDescent="0.2">
      <c r="C6122" s="144"/>
      <c r="D6122" s="144"/>
      <c r="E6122" s="144"/>
      <c r="F6122" s="373"/>
      <c r="I6122" s="70"/>
    </row>
    <row r="6123" spans="3:9" s="46" customFormat="1" x14ac:dyDescent="0.2">
      <c r="C6123" s="144"/>
      <c r="D6123" s="144"/>
      <c r="E6123" s="144"/>
      <c r="F6123" s="373"/>
      <c r="I6123" s="70"/>
    </row>
    <row r="6124" spans="3:9" s="46" customFormat="1" x14ac:dyDescent="0.2">
      <c r="C6124" s="144"/>
      <c r="D6124" s="144"/>
      <c r="E6124" s="144"/>
      <c r="F6124" s="373"/>
      <c r="I6124" s="70"/>
    </row>
    <row r="6125" spans="3:9" s="46" customFormat="1" x14ac:dyDescent="0.2">
      <c r="C6125" s="144"/>
      <c r="D6125" s="144"/>
      <c r="E6125" s="144"/>
      <c r="F6125" s="373"/>
      <c r="I6125" s="70"/>
    </row>
    <row r="6126" spans="3:9" s="46" customFormat="1" x14ac:dyDescent="0.2">
      <c r="C6126" s="144"/>
      <c r="D6126" s="144"/>
      <c r="E6126" s="144"/>
      <c r="F6126" s="373"/>
      <c r="I6126" s="70"/>
    </row>
    <row r="6127" spans="3:9" s="46" customFormat="1" x14ac:dyDescent="0.2">
      <c r="C6127" s="144"/>
      <c r="D6127" s="144"/>
      <c r="E6127" s="144"/>
      <c r="F6127" s="373"/>
      <c r="I6127" s="70"/>
    </row>
    <row r="6128" spans="3:9" s="46" customFormat="1" x14ac:dyDescent="0.2">
      <c r="C6128" s="144"/>
      <c r="D6128" s="144"/>
      <c r="E6128" s="144"/>
      <c r="F6128" s="373"/>
      <c r="I6128" s="70"/>
    </row>
    <row r="6129" spans="3:9" s="46" customFormat="1" x14ac:dyDescent="0.2">
      <c r="C6129" s="144"/>
      <c r="D6129" s="144"/>
      <c r="E6129" s="144"/>
      <c r="F6129" s="373"/>
      <c r="I6129" s="70"/>
    </row>
    <row r="6130" spans="3:9" s="46" customFormat="1" x14ac:dyDescent="0.2">
      <c r="C6130" s="144"/>
      <c r="D6130" s="144"/>
      <c r="E6130" s="144"/>
      <c r="F6130" s="373"/>
      <c r="I6130" s="70"/>
    </row>
    <row r="6131" spans="3:9" s="46" customFormat="1" x14ac:dyDescent="0.2">
      <c r="C6131" s="144"/>
      <c r="D6131" s="144"/>
      <c r="E6131" s="144"/>
      <c r="F6131" s="373"/>
      <c r="I6131" s="70"/>
    </row>
    <row r="6132" spans="3:9" s="46" customFormat="1" x14ac:dyDescent="0.2">
      <c r="C6132" s="144"/>
      <c r="D6132" s="144"/>
      <c r="E6132" s="144"/>
      <c r="F6132" s="373"/>
      <c r="I6132" s="70"/>
    </row>
    <row r="6133" spans="3:9" s="46" customFormat="1" x14ac:dyDescent="0.2">
      <c r="C6133" s="144"/>
      <c r="D6133" s="144"/>
      <c r="E6133" s="144"/>
      <c r="F6133" s="373"/>
      <c r="I6133" s="70"/>
    </row>
    <row r="6134" spans="3:9" s="46" customFormat="1" x14ac:dyDescent="0.2">
      <c r="C6134" s="144"/>
      <c r="D6134" s="144"/>
      <c r="E6134" s="144"/>
      <c r="F6134" s="373"/>
      <c r="I6134" s="70"/>
    </row>
    <row r="6135" spans="3:9" s="46" customFormat="1" x14ac:dyDescent="0.2">
      <c r="C6135" s="144"/>
      <c r="D6135" s="144"/>
      <c r="E6135" s="144"/>
      <c r="F6135" s="373"/>
      <c r="I6135" s="70"/>
    </row>
    <row r="6136" spans="3:9" s="46" customFormat="1" x14ac:dyDescent="0.2">
      <c r="C6136" s="144"/>
      <c r="D6136" s="144"/>
      <c r="E6136" s="144"/>
      <c r="F6136" s="373"/>
      <c r="I6136" s="70"/>
    </row>
    <row r="6137" spans="3:9" s="46" customFormat="1" x14ac:dyDescent="0.2">
      <c r="C6137" s="144"/>
      <c r="D6137" s="144"/>
      <c r="E6137" s="144"/>
      <c r="F6137" s="373"/>
      <c r="I6137" s="70"/>
    </row>
    <row r="6138" spans="3:9" s="46" customFormat="1" x14ac:dyDescent="0.2">
      <c r="C6138" s="144"/>
      <c r="D6138" s="144"/>
      <c r="E6138" s="144"/>
      <c r="F6138" s="373"/>
      <c r="I6138" s="70"/>
    </row>
    <row r="6139" spans="3:9" s="46" customFormat="1" x14ac:dyDescent="0.2">
      <c r="C6139" s="144"/>
      <c r="D6139" s="144"/>
      <c r="E6139" s="144"/>
      <c r="F6139" s="373"/>
      <c r="I6139" s="70"/>
    </row>
    <row r="6140" spans="3:9" s="46" customFormat="1" x14ac:dyDescent="0.2">
      <c r="C6140" s="144"/>
      <c r="D6140" s="144"/>
      <c r="E6140" s="144"/>
      <c r="F6140" s="373"/>
      <c r="I6140" s="70"/>
    </row>
    <row r="6141" spans="3:9" s="46" customFormat="1" x14ac:dyDescent="0.2">
      <c r="C6141" s="144"/>
      <c r="D6141" s="144"/>
      <c r="E6141" s="144"/>
      <c r="F6141" s="373"/>
      <c r="I6141" s="70"/>
    </row>
    <row r="6142" spans="3:9" s="46" customFormat="1" x14ac:dyDescent="0.2">
      <c r="C6142" s="144"/>
      <c r="D6142" s="144"/>
      <c r="E6142" s="144"/>
      <c r="F6142" s="373"/>
      <c r="I6142" s="70"/>
    </row>
    <row r="6143" spans="3:9" s="46" customFormat="1" x14ac:dyDescent="0.2">
      <c r="C6143" s="144"/>
      <c r="D6143" s="144"/>
      <c r="E6143" s="144"/>
      <c r="F6143" s="373"/>
      <c r="I6143" s="70"/>
    </row>
    <row r="6144" spans="3:9" s="46" customFormat="1" x14ac:dyDescent="0.2">
      <c r="C6144" s="144"/>
      <c r="D6144" s="144"/>
      <c r="E6144" s="144"/>
      <c r="F6144" s="373"/>
      <c r="I6144" s="70"/>
    </row>
    <row r="6145" spans="3:9" s="46" customFormat="1" x14ac:dyDescent="0.2">
      <c r="C6145" s="144"/>
      <c r="D6145" s="144"/>
      <c r="E6145" s="144"/>
      <c r="F6145" s="373"/>
      <c r="I6145" s="70"/>
    </row>
    <row r="6146" spans="3:9" s="46" customFormat="1" x14ac:dyDescent="0.2">
      <c r="C6146" s="144"/>
      <c r="D6146" s="144"/>
      <c r="E6146" s="144"/>
      <c r="F6146" s="373"/>
      <c r="I6146" s="70"/>
    </row>
    <row r="6147" spans="3:9" s="46" customFormat="1" x14ac:dyDescent="0.2">
      <c r="C6147" s="144"/>
      <c r="D6147" s="144"/>
      <c r="E6147" s="144"/>
      <c r="F6147" s="373"/>
      <c r="I6147" s="70"/>
    </row>
    <row r="6148" spans="3:9" s="46" customFormat="1" x14ac:dyDescent="0.2">
      <c r="C6148" s="144"/>
      <c r="D6148" s="144"/>
      <c r="E6148" s="144"/>
      <c r="F6148" s="373"/>
      <c r="I6148" s="70"/>
    </row>
    <row r="6149" spans="3:9" s="46" customFormat="1" x14ac:dyDescent="0.2">
      <c r="C6149" s="144"/>
      <c r="D6149" s="144"/>
      <c r="E6149" s="144"/>
      <c r="F6149" s="373"/>
      <c r="I6149" s="70"/>
    </row>
    <row r="6150" spans="3:9" s="46" customFormat="1" x14ac:dyDescent="0.2">
      <c r="C6150" s="144"/>
      <c r="D6150" s="144"/>
      <c r="E6150" s="144"/>
      <c r="F6150" s="373"/>
      <c r="I6150" s="70"/>
    </row>
    <row r="6151" spans="3:9" s="46" customFormat="1" x14ac:dyDescent="0.2">
      <c r="C6151" s="144"/>
      <c r="D6151" s="144"/>
      <c r="E6151" s="144"/>
      <c r="F6151" s="373"/>
      <c r="I6151" s="70"/>
    </row>
    <row r="6152" spans="3:9" s="46" customFormat="1" x14ac:dyDescent="0.2">
      <c r="C6152" s="144"/>
      <c r="D6152" s="144"/>
      <c r="E6152" s="144"/>
      <c r="F6152" s="373"/>
      <c r="I6152" s="70"/>
    </row>
    <row r="6153" spans="3:9" s="46" customFormat="1" x14ac:dyDescent="0.2">
      <c r="C6153" s="144"/>
      <c r="D6153" s="144"/>
      <c r="E6153" s="144"/>
      <c r="F6153" s="373"/>
      <c r="I6153" s="70"/>
    </row>
    <row r="6154" spans="3:9" s="46" customFormat="1" x14ac:dyDescent="0.2">
      <c r="C6154" s="144"/>
      <c r="D6154" s="144"/>
      <c r="E6154" s="144"/>
      <c r="F6154" s="373"/>
      <c r="I6154" s="70"/>
    </row>
    <row r="6155" spans="3:9" s="46" customFormat="1" x14ac:dyDescent="0.2">
      <c r="C6155" s="144"/>
      <c r="D6155" s="144"/>
      <c r="E6155" s="144"/>
      <c r="F6155" s="373"/>
      <c r="I6155" s="70"/>
    </row>
    <row r="6156" spans="3:9" s="46" customFormat="1" x14ac:dyDescent="0.2">
      <c r="C6156" s="144"/>
      <c r="D6156" s="144"/>
      <c r="E6156" s="144"/>
      <c r="F6156" s="373"/>
      <c r="I6156" s="70"/>
    </row>
    <row r="6157" spans="3:9" s="46" customFormat="1" x14ac:dyDescent="0.2">
      <c r="C6157" s="144"/>
      <c r="D6157" s="144"/>
      <c r="E6157" s="144"/>
      <c r="F6157" s="373"/>
      <c r="I6157" s="70"/>
    </row>
    <row r="6158" spans="3:9" s="46" customFormat="1" x14ac:dyDescent="0.2">
      <c r="C6158" s="144"/>
      <c r="D6158" s="144"/>
      <c r="E6158" s="144"/>
      <c r="F6158" s="373"/>
      <c r="I6158" s="70"/>
    </row>
    <row r="6159" spans="3:9" s="46" customFormat="1" x14ac:dyDescent="0.2">
      <c r="C6159" s="144"/>
      <c r="D6159" s="144"/>
      <c r="E6159" s="144"/>
      <c r="F6159" s="373"/>
      <c r="I6159" s="70"/>
    </row>
    <row r="6160" spans="3:9" s="46" customFormat="1" x14ac:dyDescent="0.2">
      <c r="C6160" s="144"/>
      <c r="D6160" s="144"/>
      <c r="E6160" s="144"/>
      <c r="F6160" s="373"/>
      <c r="I6160" s="70"/>
    </row>
    <row r="6161" spans="3:9" s="46" customFormat="1" x14ac:dyDescent="0.2">
      <c r="C6161" s="144"/>
      <c r="D6161" s="144"/>
      <c r="E6161" s="144"/>
      <c r="F6161" s="373"/>
      <c r="I6161" s="70"/>
    </row>
    <row r="6162" spans="3:9" s="46" customFormat="1" x14ac:dyDescent="0.2">
      <c r="C6162" s="144"/>
      <c r="D6162" s="144"/>
      <c r="E6162" s="144"/>
      <c r="F6162" s="373"/>
      <c r="I6162" s="70"/>
    </row>
    <row r="6163" spans="3:9" s="46" customFormat="1" x14ac:dyDescent="0.2">
      <c r="C6163" s="144"/>
      <c r="D6163" s="144"/>
      <c r="E6163" s="144"/>
      <c r="F6163" s="373"/>
      <c r="I6163" s="70"/>
    </row>
    <row r="6164" spans="3:9" s="46" customFormat="1" x14ac:dyDescent="0.2">
      <c r="C6164" s="144"/>
      <c r="D6164" s="144"/>
      <c r="E6164" s="144"/>
      <c r="F6164" s="373"/>
      <c r="I6164" s="70"/>
    </row>
    <row r="6165" spans="3:9" s="46" customFormat="1" x14ac:dyDescent="0.2">
      <c r="C6165" s="144"/>
      <c r="D6165" s="144"/>
      <c r="E6165" s="144"/>
      <c r="F6165" s="373"/>
      <c r="I6165" s="70"/>
    </row>
    <row r="6166" spans="3:9" s="46" customFormat="1" x14ac:dyDescent="0.2">
      <c r="C6166" s="144"/>
      <c r="D6166" s="144"/>
      <c r="E6166" s="144"/>
      <c r="F6166" s="373"/>
      <c r="I6166" s="70"/>
    </row>
    <row r="6167" spans="3:9" s="46" customFormat="1" x14ac:dyDescent="0.2">
      <c r="C6167" s="144"/>
      <c r="D6167" s="144"/>
      <c r="E6167" s="144"/>
      <c r="F6167" s="373"/>
      <c r="I6167" s="70"/>
    </row>
    <row r="6168" spans="3:9" s="46" customFormat="1" x14ac:dyDescent="0.2">
      <c r="C6168" s="144"/>
      <c r="D6168" s="144"/>
      <c r="E6168" s="144"/>
      <c r="F6168" s="373"/>
      <c r="I6168" s="70"/>
    </row>
    <row r="6169" spans="3:9" s="46" customFormat="1" x14ac:dyDescent="0.2">
      <c r="C6169" s="144"/>
      <c r="D6169" s="144"/>
      <c r="E6169" s="144"/>
      <c r="F6169" s="373"/>
      <c r="I6169" s="70"/>
    </row>
    <row r="6170" spans="3:9" s="46" customFormat="1" x14ac:dyDescent="0.2">
      <c r="C6170" s="144"/>
      <c r="D6170" s="144"/>
      <c r="E6170" s="144"/>
      <c r="F6170" s="373"/>
      <c r="I6170" s="70"/>
    </row>
    <row r="6171" spans="3:9" s="46" customFormat="1" x14ac:dyDescent="0.2">
      <c r="C6171" s="144"/>
      <c r="D6171" s="144"/>
      <c r="E6171" s="144"/>
      <c r="F6171" s="373"/>
      <c r="I6171" s="70"/>
    </row>
    <row r="6172" spans="3:9" s="46" customFormat="1" x14ac:dyDescent="0.2">
      <c r="C6172" s="144"/>
      <c r="D6172" s="144"/>
      <c r="E6172" s="144"/>
      <c r="F6172" s="373"/>
      <c r="I6172" s="70"/>
    </row>
    <row r="6173" spans="3:9" s="46" customFormat="1" x14ac:dyDescent="0.2">
      <c r="C6173" s="144"/>
      <c r="D6173" s="144"/>
      <c r="E6173" s="144"/>
      <c r="F6173" s="373"/>
      <c r="I6173" s="70"/>
    </row>
    <row r="6174" spans="3:9" s="46" customFormat="1" x14ac:dyDescent="0.2">
      <c r="C6174" s="144"/>
      <c r="D6174" s="144"/>
      <c r="E6174" s="144"/>
      <c r="F6174" s="373"/>
      <c r="I6174" s="70"/>
    </row>
    <row r="6175" spans="3:9" s="46" customFormat="1" x14ac:dyDescent="0.2">
      <c r="C6175" s="144"/>
      <c r="D6175" s="144"/>
      <c r="E6175" s="144"/>
      <c r="F6175" s="373"/>
      <c r="I6175" s="70"/>
    </row>
    <row r="6176" spans="3:9" s="46" customFormat="1" x14ac:dyDescent="0.2">
      <c r="C6176" s="144"/>
      <c r="D6176" s="144"/>
      <c r="E6176" s="144"/>
      <c r="F6176" s="373"/>
      <c r="I6176" s="70"/>
    </row>
    <row r="6177" spans="3:9" s="46" customFormat="1" x14ac:dyDescent="0.2">
      <c r="C6177" s="144"/>
      <c r="D6177" s="144"/>
      <c r="E6177" s="144"/>
      <c r="F6177" s="373"/>
      <c r="I6177" s="70"/>
    </row>
    <row r="6178" spans="3:9" s="46" customFormat="1" x14ac:dyDescent="0.2">
      <c r="C6178" s="144"/>
      <c r="D6178" s="144"/>
      <c r="E6178" s="144"/>
      <c r="F6178" s="373"/>
      <c r="I6178" s="70"/>
    </row>
    <row r="6179" spans="3:9" s="46" customFormat="1" x14ac:dyDescent="0.2">
      <c r="C6179" s="144"/>
      <c r="D6179" s="144"/>
      <c r="E6179" s="144"/>
      <c r="F6179" s="373"/>
      <c r="I6179" s="70"/>
    </row>
    <row r="6180" spans="3:9" s="46" customFormat="1" x14ac:dyDescent="0.2">
      <c r="C6180" s="144"/>
      <c r="D6180" s="144"/>
      <c r="E6180" s="144"/>
      <c r="F6180" s="373"/>
      <c r="I6180" s="70"/>
    </row>
    <row r="6181" spans="3:9" s="46" customFormat="1" x14ac:dyDescent="0.2">
      <c r="C6181" s="144"/>
      <c r="D6181" s="144"/>
      <c r="E6181" s="144"/>
      <c r="F6181" s="373"/>
      <c r="I6181" s="70"/>
    </row>
    <row r="6182" spans="3:9" s="46" customFormat="1" x14ac:dyDescent="0.2">
      <c r="C6182" s="144"/>
      <c r="D6182" s="144"/>
      <c r="E6182" s="144"/>
      <c r="F6182" s="373"/>
      <c r="I6182" s="70"/>
    </row>
    <row r="6183" spans="3:9" s="46" customFormat="1" x14ac:dyDescent="0.2">
      <c r="C6183" s="144"/>
      <c r="D6183" s="144"/>
      <c r="E6183" s="144"/>
      <c r="F6183" s="373"/>
      <c r="I6183" s="70"/>
    </row>
    <row r="6184" spans="3:9" s="46" customFormat="1" x14ac:dyDescent="0.2">
      <c r="C6184" s="144"/>
      <c r="D6184" s="144"/>
      <c r="E6184" s="144"/>
      <c r="F6184" s="373"/>
      <c r="I6184" s="70"/>
    </row>
    <row r="6185" spans="3:9" s="46" customFormat="1" x14ac:dyDescent="0.2">
      <c r="C6185" s="144"/>
      <c r="D6185" s="144"/>
      <c r="E6185" s="144"/>
      <c r="F6185" s="373"/>
      <c r="I6185" s="70"/>
    </row>
    <row r="6186" spans="3:9" s="46" customFormat="1" x14ac:dyDescent="0.2">
      <c r="C6186" s="144"/>
      <c r="D6186" s="144"/>
      <c r="E6186" s="144"/>
      <c r="F6186" s="373"/>
      <c r="I6186" s="70"/>
    </row>
    <row r="6187" spans="3:9" s="46" customFormat="1" x14ac:dyDescent="0.2">
      <c r="C6187" s="144"/>
      <c r="D6187" s="144"/>
      <c r="E6187" s="144"/>
      <c r="F6187" s="373"/>
      <c r="I6187" s="70"/>
    </row>
    <row r="6188" spans="3:9" s="46" customFormat="1" x14ac:dyDescent="0.2">
      <c r="C6188" s="144"/>
      <c r="D6188" s="144"/>
      <c r="E6188" s="144"/>
      <c r="F6188" s="373"/>
      <c r="I6188" s="70"/>
    </row>
    <row r="6189" spans="3:9" s="46" customFormat="1" x14ac:dyDescent="0.2">
      <c r="C6189" s="144"/>
      <c r="D6189" s="144"/>
      <c r="E6189" s="144"/>
      <c r="F6189" s="373"/>
      <c r="I6189" s="70"/>
    </row>
    <row r="6190" spans="3:9" s="46" customFormat="1" x14ac:dyDescent="0.2">
      <c r="C6190" s="144"/>
      <c r="D6190" s="144"/>
      <c r="E6190" s="144"/>
      <c r="F6190" s="373"/>
      <c r="I6190" s="70"/>
    </row>
    <row r="6191" spans="3:9" s="46" customFormat="1" x14ac:dyDescent="0.2">
      <c r="C6191" s="144"/>
      <c r="D6191" s="144"/>
      <c r="E6191" s="144"/>
      <c r="F6191" s="373"/>
      <c r="I6191" s="70"/>
    </row>
    <row r="6192" spans="3:9" s="46" customFormat="1" x14ac:dyDescent="0.2">
      <c r="C6192" s="144"/>
      <c r="D6192" s="144"/>
      <c r="E6192" s="144"/>
      <c r="F6192" s="373"/>
      <c r="I6192" s="70"/>
    </row>
    <row r="6193" spans="3:9" s="46" customFormat="1" x14ac:dyDescent="0.2">
      <c r="C6193" s="144"/>
      <c r="D6193" s="144"/>
      <c r="E6193" s="144"/>
      <c r="F6193" s="373"/>
      <c r="I6193" s="70"/>
    </row>
    <row r="6194" spans="3:9" s="46" customFormat="1" x14ac:dyDescent="0.2">
      <c r="C6194" s="144"/>
      <c r="D6194" s="144"/>
      <c r="E6194" s="144"/>
      <c r="F6194" s="373"/>
      <c r="I6194" s="70"/>
    </row>
    <row r="6195" spans="3:9" s="46" customFormat="1" x14ac:dyDescent="0.2">
      <c r="C6195" s="144"/>
      <c r="D6195" s="144"/>
      <c r="E6195" s="144"/>
      <c r="F6195" s="373"/>
      <c r="I6195" s="70"/>
    </row>
    <row r="6196" spans="3:9" s="46" customFormat="1" x14ac:dyDescent="0.2">
      <c r="C6196" s="144"/>
      <c r="D6196" s="144"/>
      <c r="E6196" s="144"/>
      <c r="F6196" s="373"/>
      <c r="I6196" s="70"/>
    </row>
    <row r="6197" spans="3:9" s="46" customFormat="1" x14ac:dyDescent="0.2">
      <c r="C6197" s="144"/>
      <c r="D6197" s="144"/>
      <c r="E6197" s="144"/>
      <c r="F6197" s="373"/>
      <c r="I6197" s="70"/>
    </row>
    <row r="6198" spans="3:9" s="46" customFormat="1" x14ac:dyDescent="0.2">
      <c r="C6198" s="144"/>
      <c r="D6198" s="144"/>
      <c r="E6198" s="144"/>
      <c r="F6198" s="373"/>
      <c r="I6198" s="70"/>
    </row>
    <row r="6199" spans="3:9" s="46" customFormat="1" x14ac:dyDescent="0.2">
      <c r="C6199" s="144"/>
      <c r="D6199" s="144"/>
      <c r="E6199" s="144"/>
      <c r="F6199" s="373"/>
      <c r="I6199" s="70"/>
    </row>
    <row r="6200" spans="3:9" s="46" customFormat="1" x14ac:dyDescent="0.2">
      <c r="C6200" s="144"/>
      <c r="D6200" s="144"/>
      <c r="E6200" s="144"/>
      <c r="F6200" s="373"/>
      <c r="I6200" s="70"/>
    </row>
    <row r="6201" spans="3:9" s="46" customFormat="1" x14ac:dyDescent="0.2">
      <c r="C6201" s="144"/>
      <c r="D6201" s="144"/>
      <c r="E6201" s="144"/>
      <c r="F6201" s="373"/>
      <c r="I6201" s="70"/>
    </row>
    <row r="6202" spans="3:9" s="46" customFormat="1" x14ac:dyDescent="0.2">
      <c r="C6202" s="144"/>
      <c r="D6202" s="144"/>
      <c r="E6202" s="144"/>
      <c r="F6202" s="373"/>
      <c r="I6202" s="70"/>
    </row>
    <row r="6203" spans="3:9" s="46" customFormat="1" x14ac:dyDescent="0.2">
      <c r="C6203" s="144"/>
      <c r="D6203" s="144"/>
      <c r="E6203" s="144"/>
      <c r="F6203" s="373"/>
      <c r="I6203" s="70"/>
    </row>
    <row r="6204" spans="3:9" s="46" customFormat="1" x14ac:dyDescent="0.2">
      <c r="C6204" s="144"/>
      <c r="D6204" s="144"/>
      <c r="E6204" s="144"/>
      <c r="F6204" s="373"/>
      <c r="I6204" s="70"/>
    </row>
    <row r="6205" spans="3:9" s="46" customFormat="1" x14ac:dyDescent="0.2">
      <c r="C6205" s="144"/>
      <c r="D6205" s="144"/>
      <c r="E6205" s="144"/>
      <c r="F6205" s="373"/>
      <c r="I6205" s="70"/>
    </row>
    <row r="6206" spans="3:9" s="46" customFormat="1" x14ac:dyDescent="0.2">
      <c r="C6206" s="144"/>
      <c r="D6206" s="144"/>
      <c r="E6206" s="144"/>
      <c r="F6206" s="373"/>
      <c r="I6206" s="70"/>
    </row>
    <row r="6207" spans="3:9" s="46" customFormat="1" x14ac:dyDescent="0.2">
      <c r="C6207" s="144"/>
      <c r="D6207" s="144"/>
      <c r="E6207" s="144"/>
      <c r="F6207" s="373"/>
      <c r="I6207" s="70"/>
    </row>
    <row r="6208" spans="3:9" s="46" customFormat="1" x14ac:dyDescent="0.2">
      <c r="C6208" s="144"/>
      <c r="D6208" s="144"/>
      <c r="E6208" s="144"/>
      <c r="F6208" s="373"/>
      <c r="I6208" s="70"/>
    </row>
    <row r="6209" spans="3:9" s="46" customFormat="1" x14ac:dyDescent="0.2">
      <c r="C6209" s="144"/>
      <c r="D6209" s="144"/>
      <c r="E6209" s="144"/>
      <c r="F6209" s="373"/>
      <c r="I6209" s="70"/>
    </row>
    <row r="6210" spans="3:9" s="46" customFormat="1" x14ac:dyDescent="0.2">
      <c r="C6210" s="144"/>
      <c r="D6210" s="144"/>
      <c r="E6210" s="144"/>
      <c r="F6210" s="373"/>
      <c r="I6210" s="70"/>
    </row>
    <row r="6211" spans="3:9" s="46" customFormat="1" x14ac:dyDescent="0.2">
      <c r="C6211" s="144"/>
      <c r="D6211" s="144"/>
      <c r="E6211" s="144"/>
      <c r="F6211" s="373"/>
      <c r="I6211" s="70"/>
    </row>
    <row r="6212" spans="3:9" s="46" customFormat="1" x14ac:dyDescent="0.2">
      <c r="C6212" s="144"/>
      <c r="D6212" s="144"/>
      <c r="E6212" s="144"/>
      <c r="F6212" s="373"/>
      <c r="I6212" s="70"/>
    </row>
    <row r="6213" spans="3:9" s="46" customFormat="1" x14ac:dyDescent="0.2">
      <c r="C6213" s="144"/>
      <c r="D6213" s="144"/>
      <c r="E6213" s="144"/>
      <c r="F6213" s="373"/>
      <c r="I6213" s="70"/>
    </row>
    <row r="6214" spans="3:9" s="46" customFormat="1" x14ac:dyDescent="0.2">
      <c r="C6214" s="144"/>
      <c r="D6214" s="144"/>
      <c r="E6214" s="144"/>
      <c r="F6214" s="373"/>
      <c r="I6214" s="70"/>
    </row>
    <row r="6215" spans="3:9" s="46" customFormat="1" x14ac:dyDescent="0.2">
      <c r="C6215" s="144"/>
      <c r="D6215" s="144"/>
      <c r="E6215" s="144"/>
      <c r="F6215" s="373"/>
      <c r="I6215" s="70"/>
    </row>
    <row r="6216" spans="3:9" s="46" customFormat="1" x14ac:dyDescent="0.2">
      <c r="C6216" s="144"/>
      <c r="D6216" s="144"/>
      <c r="E6216" s="144"/>
      <c r="F6216" s="373"/>
      <c r="I6216" s="70"/>
    </row>
    <row r="6217" spans="3:9" s="46" customFormat="1" x14ac:dyDescent="0.2">
      <c r="C6217" s="144"/>
      <c r="D6217" s="144"/>
      <c r="E6217" s="144"/>
      <c r="F6217" s="373"/>
      <c r="I6217" s="70"/>
    </row>
    <row r="6218" spans="3:9" s="46" customFormat="1" x14ac:dyDescent="0.2">
      <c r="C6218" s="144"/>
      <c r="D6218" s="144"/>
      <c r="E6218" s="144"/>
      <c r="F6218" s="373"/>
      <c r="I6218" s="70"/>
    </row>
    <row r="6219" spans="3:9" s="46" customFormat="1" x14ac:dyDescent="0.2">
      <c r="C6219" s="144"/>
      <c r="D6219" s="144"/>
      <c r="E6219" s="144"/>
      <c r="F6219" s="373"/>
      <c r="I6219" s="70"/>
    </row>
    <row r="6220" spans="3:9" s="46" customFormat="1" x14ac:dyDescent="0.2">
      <c r="C6220" s="144"/>
      <c r="D6220" s="144"/>
      <c r="E6220" s="144"/>
      <c r="F6220" s="373"/>
      <c r="I6220" s="70"/>
    </row>
    <row r="6221" spans="3:9" s="46" customFormat="1" x14ac:dyDescent="0.2">
      <c r="C6221" s="144"/>
      <c r="D6221" s="144"/>
      <c r="E6221" s="144"/>
      <c r="F6221" s="373"/>
      <c r="I6221" s="70"/>
    </row>
    <row r="6222" spans="3:9" s="46" customFormat="1" x14ac:dyDescent="0.2">
      <c r="C6222" s="144"/>
      <c r="D6222" s="144"/>
      <c r="E6222" s="144"/>
      <c r="F6222" s="373"/>
      <c r="I6222" s="70"/>
    </row>
    <row r="6223" spans="3:9" s="46" customFormat="1" x14ac:dyDescent="0.2">
      <c r="C6223" s="144"/>
      <c r="D6223" s="144"/>
      <c r="E6223" s="144"/>
      <c r="F6223" s="373"/>
      <c r="I6223" s="70"/>
    </row>
    <row r="6224" spans="3:9" s="46" customFormat="1" x14ac:dyDescent="0.2">
      <c r="C6224" s="144"/>
      <c r="D6224" s="144"/>
      <c r="E6224" s="144"/>
      <c r="F6224" s="373"/>
      <c r="I6224" s="70"/>
    </row>
    <row r="6225" spans="3:9" s="46" customFormat="1" x14ac:dyDescent="0.2">
      <c r="C6225" s="144"/>
      <c r="D6225" s="144"/>
      <c r="E6225" s="144"/>
      <c r="F6225" s="373"/>
      <c r="I6225" s="70"/>
    </row>
    <row r="6226" spans="3:9" s="46" customFormat="1" x14ac:dyDescent="0.2">
      <c r="C6226" s="144"/>
      <c r="D6226" s="144"/>
      <c r="E6226" s="144"/>
      <c r="F6226" s="373"/>
      <c r="I6226" s="70"/>
    </row>
    <row r="6227" spans="3:9" s="46" customFormat="1" x14ac:dyDescent="0.2">
      <c r="C6227" s="144"/>
      <c r="D6227" s="144"/>
      <c r="E6227" s="144"/>
      <c r="F6227" s="373"/>
      <c r="I6227" s="70"/>
    </row>
    <row r="6228" spans="3:9" s="46" customFormat="1" x14ac:dyDescent="0.2">
      <c r="C6228" s="144"/>
      <c r="D6228" s="144"/>
      <c r="E6228" s="144"/>
      <c r="F6228" s="373"/>
      <c r="I6228" s="70"/>
    </row>
    <row r="6229" spans="3:9" s="46" customFormat="1" x14ac:dyDescent="0.2">
      <c r="C6229" s="144"/>
      <c r="D6229" s="144"/>
      <c r="E6229" s="144"/>
      <c r="F6229" s="373"/>
      <c r="I6229" s="70"/>
    </row>
    <row r="6230" spans="3:9" s="46" customFormat="1" x14ac:dyDescent="0.2">
      <c r="C6230" s="144"/>
      <c r="D6230" s="144"/>
      <c r="E6230" s="144"/>
      <c r="F6230" s="373"/>
      <c r="I6230" s="70"/>
    </row>
    <row r="6231" spans="3:9" s="46" customFormat="1" x14ac:dyDescent="0.2">
      <c r="C6231" s="144"/>
      <c r="D6231" s="144"/>
      <c r="E6231" s="144"/>
      <c r="F6231" s="373"/>
      <c r="I6231" s="70"/>
    </row>
    <row r="6232" spans="3:9" s="46" customFormat="1" x14ac:dyDescent="0.2">
      <c r="C6232" s="144"/>
      <c r="D6232" s="144"/>
      <c r="E6232" s="144"/>
      <c r="F6232" s="373"/>
      <c r="I6232" s="70"/>
    </row>
    <row r="6233" spans="3:9" s="46" customFormat="1" x14ac:dyDescent="0.2">
      <c r="C6233" s="144"/>
      <c r="D6233" s="144"/>
      <c r="E6233" s="144"/>
      <c r="F6233" s="373"/>
      <c r="I6233" s="70"/>
    </row>
    <row r="6234" spans="3:9" s="46" customFormat="1" x14ac:dyDescent="0.2">
      <c r="C6234" s="144"/>
      <c r="D6234" s="144"/>
      <c r="E6234" s="144"/>
      <c r="F6234" s="373"/>
      <c r="I6234" s="70"/>
    </row>
    <row r="6235" spans="3:9" s="46" customFormat="1" x14ac:dyDescent="0.2">
      <c r="C6235" s="144"/>
      <c r="D6235" s="144"/>
      <c r="E6235" s="144"/>
      <c r="F6235" s="373"/>
      <c r="I6235" s="70"/>
    </row>
    <row r="6236" spans="3:9" s="46" customFormat="1" x14ac:dyDescent="0.2">
      <c r="C6236" s="144"/>
      <c r="D6236" s="144"/>
      <c r="E6236" s="144"/>
      <c r="F6236" s="373"/>
      <c r="I6236" s="70"/>
    </row>
    <row r="6237" spans="3:9" s="46" customFormat="1" x14ac:dyDescent="0.2">
      <c r="C6237" s="144"/>
      <c r="D6237" s="144"/>
      <c r="E6237" s="144"/>
      <c r="F6237" s="373"/>
      <c r="I6237" s="70"/>
    </row>
    <row r="6238" spans="3:9" s="46" customFormat="1" x14ac:dyDescent="0.2">
      <c r="C6238" s="144"/>
      <c r="D6238" s="144"/>
      <c r="E6238" s="144"/>
      <c r="F6238" s="373"/>
      <c r="I6238" s="70"/>
    </row>
    <row r="6239" spans="3:9" s="46" customFormat="1" x14ac:dyDescent="0.2">
      <c r="C6239" s="144"/>
      <c r="D6239" s="144"/>
      <c r="E6239" s="144"/>
      <c r="F6239" s="373"/>
      <c r="I6239" s="70"/>
    </row>
    <row r="6240" spans="3:9" s="46" customFormat="1" x14ac:dyDescent="0.2">
      <c r="C6240" s="144"/>
      <c r="D6240" s="144"/>
      <c r="E6240" s="144"/>
      <c r="F6240" s="373"/>
      <c r="I6240" s="70"/>
    </row>
    <row r="6241" spans="3:9" s="46" customFormat="1" x14ac:dyDescent="0.2">
      <c r="C6241" s="144"/>
      <c r="D6241" s="144"/>
      <c r="E6241" s="144"/>
      <c r="F6241" s="373"/>
      <c r="I6241" s="70"/>
    </row>
    <row r="6242" spans="3:9" s="46" customFormat="1" x14ac:dyDescent="0.2">
      <c r="C6242" s="144"/>
      <c r="D6242" s="144"/>
      <c r="E6242" s="144"/>
      <c r="F6242" s="373"/>
      <c r="I6242" s="70"/>
    </row>
    <row r="6243" spans="3:9" s="46" customFormat="1" x14ac:dyDescent="0.2">
      <c r="C6243" s="144"/>
      <c r="D6243" s="144"/>
      <c r="E6243" s="144"/>
      <c r="F6243" s="373"/>
      <c r="I6243" s="70"/>
    </row>
    <row r="6244" spans="3:9" s="46" customFormat="1" x14ac:dyDescent="0.2">
      <c r="C6244" s="144"/>
      <c r="D6244" s="144"/>
      <c r="E6244" s="144"/>
      <c r="F6244" s="373"/>
      <c r="I6244" s="70"/>
    </row>
    <row r="6245" spans="3:9" s="46" customFormat="1" x14ac:dyDescent="0.2">
      <c r="C6245" s="144"/>
      <c r="D6245" s="144"/>
      <c r="E6245" s="144"/>
      <c r="F6245" s="373"/>
      <c r="I6245" s="70"/>
    </row>
    <row r="6246" spans="3:9" s="46" customFormat="1" x14ac:dyDescent="0.2">
      <c r="C6246" s="144"/>
      <c r="D6246" s="144"/>
      <c r="E6246" s="144"/>
      <c r="F6246" s="373"/>
      <c r="I6246" s="70"/>
    </row>
    <row r="6247" spans="3:9" s="46" customFormat="1" x14ac:dyDescent="0.2">
      <c r="C6247" s="144"/>
      <c r="D6247" s="144"/>
      <c r="E6247" s="144"/>
      <c r="F6247" s="373"/>
      <c r="I6247" s="70"/>
    </row>
    <row r="6248" spans="3:9" s="46" customFormat="1" x14ac:dyDescent="0.2">
      <c r="C6248" s="144"/>
      <c r="D6248" s="144"/>
      <c r="E6248" s="144"/>
      <c r="F6248" s="373"/>
      <c r="I6248" s="70"/>
    </row>
    <row r="6249" spans="3:9" s="46" customFormat="1" x14ac:dyDescent="0.2">
      <c r="C6249" s="144"/>
      <c r="D6249" s="144"/>
      <c r="E6249" s="144"/>
      <c r="F6249" s="373"/>
      <c r="I6249" s="70"/>
    </row>
    <row r="6250" spans="3:9" s="46" customFormat="1" x14ac:dyDescent="0.2">
      <c r="C6250" s="144"/>
      <c r="D6250" s="144"/>
      <c r="E6250" s="144"/>
      <c r="F6250" s="373"/>
      <c r="I6250" s="70"/>
    </row>
    <row r="6251" spans="3:9" s="46" customFormat="1" x14ac:dyDescent="0.2">
      <c r="C6251" s="144"/>
      <c r="D6251" s="144"/>
      <c r="E6251" s="144"/>
      <c r="F6251" s="373"/>
      <c r="I6251" s="70"/>
    </row>
    <row r="6252" spans="3:9" s="46" customFormat="1" x14ac:dyDescent="0.2">
      <c r="C6252" s="144"/>
      <c r="D6252" s="144"/>
      <c r="E6252" s="144"/>
      <c r="F6252" s="373"/>
      <c r="I6252" s="70"/>
    </row>
    <row r="6253" spans="3:9" s="46" customFormat="1" x14ac:dyDescent="0.2">
      <c r="C6253" s="144"/>
      <c r="D6253" s="144"/>
      <c r="E6253" s="144"/>
      <c r="F6253" s="373"/>
      <c r="I6253" s="70"/>
    </row>
    <row r="6254" spans="3:9" s="46" customFormat="1" x14ac:dyDescent="0.2">
      <c r="C6254" s="144"/>
      <c r="D6254" s="144"/>
      <c r="E6254" s="144"/>
      <c r="F6254" s="373"/>
      <c r="I6254" s="70"/>
    </row>
    <row r="6255" spans="3:9" s="46" customFormat="1" x14ac:dyDescent="0.2">
      <c r="C6255" s="144"/>
      <c r="D6255" s="144"/>
      <c r="E6255" s="144"/>
      <c r="F6255" s="373"/>
      <c r="I6255" s="70"/>
    </row>
    <row r="6256" spans="3:9" s="46" customFormat="1" x14ac:dyDescent="0.2">
      <c r="C6256" s="144"/>
      <c r="D6256" s="144"/>
      <c r="E6256" s="144"/>
      <c r="F6256" s="373"/>
      <c r="I6256" s="70"/>
    </row>
    <row r="6257" spans="3:9" s="46" customFormat="1" x14ac:dyDescent="0.2">
      <c r="C6257" s="144"/>
      <c r="D6257" s="144"/>
      <c r="E6257" s="144"/>
      <c r="F6257" s="373"/>
      <c r="I6257" s="70"/>
    </row>
    <row r="6258" spans="3:9" s="46" customFormat="1" x14ac:dyDescent="0.2">
      <c r="C6258" s="144"/>
      <c r="D6258" s="144"/>
      <c r="E6258" s="144"/>
      <c r="F6258" s="373"/>
      <c r="I6258" s="70"/>
    </row>
    <row r="6259" spans="3:9" s="46" customFormat="1" x14ac:dyDescent="0.2">
      <c r="C6259" s="144"/>
      <c r="D6259" s="144"/>
      <c r="E6259" s="144"/>
      <c r="F6259" s="373"/>
      <c r="I6259" s="70"/>
    </row>
    <row r="6260" spans="3:9" s="46" customFormat="1" x14ac:dyDescent="0.2">
      <c r="C6260" s="144"/>
      <c r="D6260" s="144"/>
      <c r="E6260" s="144"/>
      <c r="F6260" s="373"/>
      <c r="I6260" s="70"/>
    </row>
    <row r="6261" spans="3:9" s="46" customFormat="1" x14ac:dyDescent="0.2">
      <c r="C6261" s="144"/>
      <c r="D6261" s="144"/>
      <c r="E6261" s="144"/>
      <c r="F6261" s="373"/>
      <c r="I6261" s="70"/>
    </row>
    <row r="6262" spans="3:9" s="46" customFormat="1" x14ac:dyDescent="0.2">
      <c r="C6262" s="144"/>
      <c r="D6262" s="144"/>
      <c r="E6262" s="144"/>
      <c r="F6262" s="373"/>
      <c r="I6262" s="70"/>
    </row>
    <row r="6263" spans="3:9" s="46" customFormat="1" x14ac:dyDescent="0.2">
      <c r="C6263" s="144"/>
      <c r="D6263" s="144"/>
      <c r="E6263" s="144"/>
      <c r="F6263" s="373"/>
      <c r="I6263" s="70"/>
    </row>
    <row r="6264" spans="3:9" s="46" customFormat="1" x14ac:dyDescent="0.2">
      <c r="C6264" s="144"/>
      <c r="D6264" s="144"/>
      <c r="E6264" s="144"/>
      <c r="F6264" s="373"/>
      <c r="I6264" s="70"/>
    </row>
    <row r="6265" spans="3:9" s="46" customFormat="1" x14ac:dyDescent="0.2">
      <c r="C6265" s="144"/>
      <c r="D6265" s="144"/>
      <c r="E6265" s="144"/>
      <c r="F6265" s="373"/>
      <c r="I6265" s="70"/>
    </row>
    <row r="6266" spans="3:9" s="46" customFormat="1" x14ac:dyDescent="0.2">
      <c r="C6266" s="144"/>
      <c r="D6266" s="144"/>
      <c r="E6266" s="144"/>
      <c r="F6266" s="373"/>
      <c r="I6266" s="70"/>
    </row>
    <row r="6267" spans="3:9" s="46" customFormat="1" x14ac:dyDescent="0.2">
      <c r="C6267" s="144"/>
      <c r="D6267" s="144"/>
      <c r="E6267" s="144"/>
      <c r="F6267" s="373"/>
      <c r="I6267" s="70"/>
    </row>
    <row r="6268" spans="3:9" s="46" customFormat="1" x14ac:dyDescent="0.2">
      <c r="C6268" s="144"/>
      <c r="D6268" s="144"/>
      <c r="E6268" s="144"/>
      <c r="F6268" s="373"/>
      <c r="I6268" s="70"/>
    </row>
    <row r="6269" spans="3:9" s="46" customFormat="1" x14ac:dyDescent="0.2">
      <c r="C6269" s="144"/>
      <c r="D6269" s="144"/>
      <c r="E6269" s="144"/>
      <c r="F6269" s="373"/>
      <c r="I6269" s="70"/>
    </row>
    <row r="6270" spans="3:9" s="46" customFormat="1" x14ac:dyDescent="0.2">
      <c r="C6270" s="144"/>
      <c r="D6270" s="144"/>
      <c r="E6270" s="144"/>
      <c r="F6270" s="373"/>
      <c r="I6270" s="70"/>
    </row>
    <row r="6271" spans="3:9" s="46" customFormat="1" x14ac:dyDescent="0.2">
      <c r="C6271" s="144"/>
      <c r="D6271" s="144"/>
      <c r="E6271" s="144"/>
      <c r="F6271" s="373"/>
      <c r="I6271" s="70"/>
    </row>
    <row r="6272" spans="3:9" s="46" customFormat="1" x14ac:dyDescent="0.2">
      <c r="C6272" s="144"/>
      <c r="D6272" s="144"/>
      <c r="E6272" s="144"/>
      <c r="F6272" s="373"/>
      <c r="I6272" s="70"/>
    </row>
    <row r="6273" spans="3:9" s="46" customFormat="1" x14ac:dyDescent="0.2">
      <c r="C6273" s="144"/>
      <c r="D6273" s="144"/>
      <c r="E6273" s="144"/>
      <c r="F6273" s="373"/>
      <c r="I6273" s="70"/>
    </row>
    <row r="6274" spans="3:9" s="46" customFormat="1" x14ac:dyDescent="0.2">
      <c r="C6274" s="144"/>
      <c r="D6274" s="144"/>
      <c r="E6274" s="144"/>
      <c r="F6274" s="373"/>
      <c r="I6274" s="70"/>
    </row>
    <row r="6275" spans="3:9" s="46" customFormat="1" x14ac:dyDescent="0.2">
      <c r="C6275" s="144"/>
      <c r="D6275" s="144"/>
      <c r="E6275" s="144"/>
      <c r="F6275" s="373"/>
      <c r="I6275" s="70"/>
    </row>
    <row r="6276" spans="3:9" s="46" customFormat="1" x14ac:dyDescent="0.2">
      <c r="C6276" s="144"/>
      <c r="D6276" s="144"/>
      <c r="E6276" s="144"/>
      <c r="F6276" s="373"/>
      <c r="I6276" s="70"/>
    </row>
    <row r="6277" spans="3:9" s="46" customFormat="1" x14ac:dyDescent="0.2">
      <c r="C6277" s="144"/>
      <c r="D6277" s="144"/>
      <c r="E6277" s="144"/>
      <c r="F6277" s="373"/>
      <c r="I6277" s="70"/>
    </row>
    <row r="6278" spans="3:9" s="46" customFormat="1" x14ac:dyDescent="0.2">
      <c r="C6278" s="144"/>
      <c r="D6278" s="144"/>
      <c r="E6278" s="144"/>
      <c r="F6278" s="373"/>
      <c r="I6278" s="70"/>
    </row>
    <row r="6279" spans="3:9" s="46" customFormat="1" x14ac:dyDescent="0.2">
      <c r="C6279" s="144"/>
      <c r="D6279" s="144"/>
      <c r="E6279" s="144"/>
      <c r="F6279" s="373"/>
      <c r="I6279" s="70"/>
    </row>
    <row r="6280" spans="3:9" s="46" customFormat="1" x14ac:dyDescent="0.2">
      <c r="C6280" s="144"/>
      <c r="D6280" s="144"/>
      <c r="E6280" s="144"/>
      <c r="F6280" s="373"/>
      <c r="I6280" s="70"/>
    </row>
    <row r="6281" spans="3:9" s="46" customFormat="1" x14ac:dyDescent="0.2">
      <c r="C6281" s="144"/>
      <c r="D6281" s="144"/>
      <c r="E6281" s="144"/>
      <c r="F6281" s="373"/>
      <c r="I6281" s="70"/>
    </row>
    <row r="6282" spans="3:9" s="46" customFormat="1" x14ac:dyDescent="0.2">
      <c r="C6282" s="144"/>
      <c r="D6282" s="144"/>
      <c r="E6282" s="144"/>
      <c r="F6282" s="373"/>
      <c r="I6282" s="70"/>
    </row>
    <row r="6283" spans="3:9" s="46" customFormat="1" x14ac:dyDescent="0.2">
      <c r="C6283" s="144"/>
      <c r="D6283" s="144"/>
      <c r="E6283" s="144"/>
      <c r="F6283" s="373"/>
      <c r="I6283" s="70"/>
    </row>
    <row r="6284" spans="3:9" s="46" customFormat="1" x14ac:dyDescent="0.2">
      <c r="C6284" s="144"/>
      <c r="D6284" s="144"/>
      <c r="E6284" s="144"/>
      <c r="F6284" s="373"/>
      <c r="I6284" s="70"/>
    </row>
    <row r="6285" spans="3:9" s="46" customFormat="1" x14ac:dyDescent="0.2">
      <c r="C6285" s="144"/>
      <c r="D6285" s="144"/>
      <c r="E6285" s="144"/>
      <c r="F6285" s="373"/>
      <c r="I6285" s="70"/>
    </row>
    <row r="6286" spans="3:9" s="46" customFormat="1" x14ac:dyDescent="0.2">
      <c r="C6286" s="144"/>
      <c r="D6286" s="144"/>
      <c r="E6286" s="144"/>
      <c r="F6286" s="373"/>
      <c r="I6286" s="70"/>
    </row>
    <row r="6287" spans="3:9" s="46" customFormat="1" x14ac:dyDescent="0.2">
      <c r="C6287" s="144"/>
      <c r="D6287" s="144"/>
      <c r="E6287" s="144"/>
      <c r="F6287" s="373"/>
      <c r="I6287" s="70"/>
    </row>
    <row r="6288" spans="3:9" s="46" customFormat="1" x14ac:dyDescent="0.2">
      <c r="C6288" s="144"/>
      <c r="D6288" s="144"/>
      <c r="E6288" s="144"/>
      <c r="F6288" s="373"/>
      <c r="I6288" s="70"/>
    </row>
    <row r="6289" spans="3:9" s="46" customFormat="1" x14ac:dyDescent="0.2">
      <c r="C6289" s="144"/>
      <c r="D6289" s="144"/>
      <c r="E6289" s="144"/>
      <c r="F6289" s="373"/>
      <c r="I6289" s="70"/>
    </row>
    <row r="6290" spans="3:9" s="46" customFormat="1" x14ac:dyDescent="0.2">
      <c r="C6290" s="144"/>
      <c r="D6290" s="144"/>
      <c r="E6290" s="144"/>
      <c r="F6290" s="373"/>
      <c r="I6290" s="70"/>
    </row>
    <row r="6291" spans="3:9" s="46" customFormat="1" x14ac:dyDescent="0.2">
      <c r="C6291" s="144"/>
      <c r="D6291" s="144"/>
      <c r="E6291" s="144"/>
      <c r="F6291" s="373"/>
      <c r="I6291" s="70"/>
    </row>
    <row r="6292" spans="3:9" s="46" customFormat="1" x14ac:dyDescent="0.2">
      <c r="C6292" s="144"/>
      <c r="D6292" s="144"/>
      <c r="E6292" s="144"/>
      <c r="F6292" s="373"/>
      <c r="I6292" s="70"/>
    </row>
    <row r="6293" spans="3:9" s="46" customFormat="1" x14ac:dyDescent="0.2">
      <c r="C6293" s="144"/>
      <c r="D6293" s="144"/>
      <c r="E6293" s="144"/>
      <c r="F6293" s="373"/>
      <c r="I6293" s="70"/>
    </row>
    <row r="6294" spans="3:9" s="46" customFormat="1" x14ac:dyDescent="0.2">
      <c r="C6294" s="144"/>
      <c r="D6294" s="144"/>
      <c r="E6294" s="144"/>
      <c r="F6294" s="373"/>
      <c r="I6294" s="70"/>
    </row>
    <row r="6295" spans="3:9" s="46" customFormat="1" x14ac:dyDescent="0.2">
      <c r="C6295" s="144"/>
      <c r="D6295" s="144"/>
      <c r="E6295" s="144"/>
      <c r="F6295" s="373"/>
      <c r="I6295" s="70"/>
    </row>
    <row r="6296" spans="3:9" s="46" customFormat="1" x14ac:dyDescent="0.2">
      <c r="C6296" s="144"/>
      <c r="D6296" s="144"/>
      <c r="E6296" s="144"/>
      <c r="F6296" s="373"/>
      <c r="I6296" s="70"/>
    </row>
    <row r="6297" spans="3:9" s="46" customFormat="1" x14ac:dyDescent="0.2">
      <c r="C6297" s="144"/>
      <c r="D6297" s="144"/>
      <c r="E6297" s="144"/>
      <c r="F6297" s="373"/>
      <c r="I6297" s="70"/>
    </row>
    <row r="6298" spans="3:9" s="46" customFormat="1" x14ac:dyDescent="0.2">
      <c r="C6298" s="144"/>
      <c r="D6298" s="144"/>
      <c r="E6298" s="144"/>
      <c r="F6298" s="373"/>
      <c r="I6298" s="70"/>
    </row>
    <row r="6299" spans="3:9" s="46" customFormat="1" x14ac:dyDescent="0.2">
      <c r="C6299" s="144"/>
      <c r="D6299" s="144"/>
      <c r="E6299" s="144"/>
      <c r="F6299" s="373"/>
      <c r="I6299" s="70"/>
    </row>
    <row r="6300" spans="3:9" s="46" customFormat="1" x14ac:dyDescent="0.2">
      <c r="C6300" s="144"/>
      <c r="D6300" s="144"/>
      <c r="E6300" s="144"/>
      <c r="F6300" s="373"/>
      <c r="I6300" s="70"/>
    </row>
    <row r="6301" spans="3:9" s="46" customFormat="1" x14ac:dyDescent="0.2">
      <c r="C6301" s="144"/>
      <c r="D6301" s="144"/>
      <c r="E6301" s="144"/>
      <c r="F6301" s="373"/>
      <c r="I6301" s="70"/>
    </row>
    <row r="6302" spans="3:9" s="46" customFormat="1" x14ac:dyDescent="0.2">
      <c r="C6302" s="144"/>
      <c r="D6302" s="144"/>
      <c r="E6302" s="144"/>
      <c r="F6302" s="373"/>
      <c r="I6302" s="70"/>
    </row>
    <row r="6303" spans="3:9" s="46" customFormat="1" x14ac:dyDescent="0.2">
      <c r="C6303" s="144"/>
      <c r="D6303" s="144"/>
      <c r="E6303" s="144"/>
      <c r="F6303" s="373"/>
      <c r="I6303" s="70"/>
    </row>
    <row r="6304" spans="3:9" s="46" customFormat="1" x14ac:dyDescent="0.2">
      <c r="C6304" s="144"/>
      <c r="D6304" s="144"/>
      <c r="E6304" s="144"/>
      <c r="F6304" s="373"/>
      <c r="I6304" s="70"/>
    </row>
    <row r="6305" spans="3:9" s="46" customFormat="1" x14ac:dyDescent="0.2">
      <c r="C6305" s="144"/>
      <c r="D6305" s="144"/>
      <c r="E6305" s="144"/>
      <c r="F6305" s="373"/>
      <c r="I6305" s="70"/>
    </row>
    <row r="6306" spans="3:9" s="46" customFormat="1" x14ac:dyDescent="0.2">
      <c r="C6306" s="144"/>
      <c r="D6306" s="144"/>
      <c r="E6306" s="144"/>
      <c r="F6306" s="373"/>
      <c r="I6306" s="70"/>
    </row>
    <row r="6307" spans="3:9" s="46" customFormat="1" x14ac:dyDescent="0.2">
      <c r="C6307" s="144"/>
      <c r="D6307" s="144"/>
      <c r="E6307" s="144"/>
      <c r="F6307" s="373"/>
      <c r="I6307" s="70"/>
    </row>
    <row r="6308" spans="3:9" s="46" customFormat="1" x14ac:dyDescent="0.2">
      <c r="C6308" s="144"/>
      <c r="D6308" s="144"/>
      <c r="E6308" s="144"/>
      <c r="F6308" s="373"/>
      <c r="I6308" s="70"/>
    </row>
    <row r="6309" spans="3:9" s="46" customFormat="1" x14ac:dyDescent="0.2">
      <c r="C6309" s="144"/>
      <c r="D6309" s="144"/>
      <c r="E6309" s="144"/>
      <c r="F6309" s="373"/>
      <c r="I6309" s="70"/>
    </row>
    <row r="6310" spans="3:9" s="46" customFormat="1" x14ac:dyDescent="0.2">
      <c r="C6310" s="144"/>
      <c r="D6310" s="144"/>
      <c r="E6310" s="144"/>
      <c r="F6310" s="373"/>
      <c r="I6310" s="70"/>
    </row>
    <row r="6311" spans="3:9" s="46" customFormat="1" x14ac:dyDescent="0.2">
      <c r="C6311" s="144"/>
      <c r="D6311" s="144"/>
      <c r="E6311" s="144"/>
      <c r="F6311" s="373"/>
      <c r="I6311" s="70"/>
    </row>
    <row r="6312" spans="3:9" s="46" customFormat="1" x14ac:dyDescent="0.2">
      <c r="C6312" s="144"/>
      <c r="D6312" s="144"/>
      <c r="E6312" s="144"/>
      <c r="F6312" s="373"/>
      <c r="I6312" s="70"/>
    </row>
    <row r="6313" spans="3:9" s="46" customFormat="1" x14ac:dyDescent="0.2">
      <c r="C6313" s="144"/>
      <c r="D6313" s="144"/>
      <c r="E6313" s="144"/>
      <c r="F6313" s="373"/>
      <c r="I6313" s="70"/>
    </row>
    <row r="6314" spans="3:9" s="46" customFormat="1" x14ac:dyDescent="0.2">
      <c r="C6314" s="144"/>
      <c r="D6314" s="144"/>
      <c r="E6314" s="144"/>
      <c r="F6314" s="373"/>
      <c r="I6314" s="70"/>
    </row>
    <row r="6315" spans="3:9" s="46" customFormat="1" x14ac:dyDescent="0.2">
      <c r="C6315" s="144"/>
      <c r="D6315" s="144"/>
      <c r="E6315" s="144"/>
      <c r="F6315" s="373"/>
      <c r="I6315" s="70"/>
    </row>
    <row r="6316" spans="3:9" s="46" customFormat="1" x14ac:dyDescent="0.2">
      <c r="C6316" s="144"/>
      <c r="D6316" s="144"/>
      <c r="E6316" s="144"/>
      <c r="F6316" s="373"/>
      <c r="I6316" s="70"/>
    </row>
    <row r="6317" spans="3:9" s="46" customFormat="1" x14ac:dyDescent="0.2">
      <c r="C6317" s="144"/>
      <c r="D6317" s="144"/>
      <c r="E6317" s="144"/>
      <c r="F6317" s="373"/>
      <c r="I6317" s="70"/>
    </row>
    <row r="6318" spans="3:9" s="46" customFormat="1" x14ac:dyDescent="0.2">
      <c r="C6318" s="144"/>
      <c r="D6318" s="144"/>
      <c r="E6318" s="144"/>
      <c r="F6318" s="373"/>
      <c r="I6318" s="70"/>
    </row>
    <row r="6319" spans="3:9" s="46" customFormat="1" x14ac:dyDescent="0.2">
      <c r="C6319" s="144"/>
      <c r="D6319" s="144"/>
      <c r="E6319" s="144"/>
      <c r="F6319" s="373"/>
      <c r="I6319" s="70"/>
    </row>
    <row r="6320" spans="3:9" s="46" customFormat="1" x14ac:dyDescent="0.2">
      <c r="C6320" s="144"/>
      <c r="D6320" s="144"/>
      <c r="E6320" s="144"/>
      <c r="F6320" s="373"/>
      <c r="I6320" s="70"/>
    </row>
    <row r="6321" spans="3:9" s="46" customFormat="1" x14ac:dyDescent="0.2">
      <c r="C6321" s="144"/>
      <c r="D6321" s="144"/>
      <c r="E6321" s="144"/>
      <c r="F6321" s="373"/>
      <c r="I6321" s="70"/>
    </row>
    <row r="6322" spans="3:9" s="46" customFormat="1" x14ac:dyDescent="0.2">
      <c r="C6322" s="144"/>
      <c r="D6322" s="144"/>
      <c r="E6322" s="144"/>
      <c r="F6322" s="373"/>
      <c r="I6322" s="70"/>
    </row>
    <row r="6323" spans="3:9" s="46" customFormat="1" x14ac:dyDescent="0.2">
      <c r="C6323" s="144"/>
      <c r="D6323" s="144"/>
      <c r="E6323" s="144"/>
      <c r="F6323" s="373"/>
      <c r="I6323" s="70"/>
    </row>
    <row r="6324" spans="3:9" s="46" customFormat="1" x14ac:dyDescent="0.2">
      <c r="C6324" s="144"/>
      <c r="D6324" s="144"/>
      <c r="E6324" s="144"/>
      <c r="F6324" s="373"/>
      <c r="I6324" s="70"/>
    </row>
    <row r="6325" spans="3:9" s="46" customFormat="1" x14ac:dyDescent="0.2">
      <c r="C6325" s="144"/>
      <c r="D6325" s="144"/>
      <c r="E6325" s="144"/>
      <c r="F6325" s="373"/>
      <c r="I6325" s="70"/>
    </row>
    <row r="6326" spans="3:9" s="46" customFormat="1" x14ac:dyDescent="0.2">
      <c r="C6326" s="144"/>
      <c r="D6326" s="144"/>
      <c r="E6326" s="144"/>
      <c r="F6326" s="373"/>
      <c r="I6326" s="70"/>
    </row>
    <row r="6327" spans="3:9" s="46" customFormat="1" x14ac:dyDescent="0.2">
      <c r="C6327" s="144"/>
      <c r="D6327" s="144"/>
      <c r="E6327" s="144"/>
      <c r="F6327" s="373"/>
      <c r="I6327" s="70"/>
    </row>
    <row r="6328" spans="3:9" s="46" customFormat="1" x14ac:dyDescent="0.2">
      <c r="C6328" s="144"/>
      <c r="D6328" s="144"/>
      <c r="E6328" s="144"/>
      <c r="F6328" s="373"/>
      <c r="I6328" s="70"/>
    </row>
    <row r="6329" spans="3:9" s="46" customFormat="1" x14ac:dyDescent="0.2">
      <c r="C6329" s="144"/>
      <c r="D6329" s="144"/>
      <c r="E6329" s="144"/>
      <c r="F6329" s="373"/>
      <c r="I6329" s="70"/>
    </row>
    <row r="6330" spans="3:9" s="46" customFormat="1" x14ac:dyDescent="0.2">
      <c r="C6330" s="144"/>
      <c r="D6330" s="144"/>
      <c r="E6330" s="144"/>
      <c r="F6330" s="373"/>
      <c r="I6330" s="70"/>
    </row>
    <row r="6331" spans="3:9" s="46" customFormat="1" x14ac:dyDescent="0.2">
      <c r="C6331" s="144"/>
      <c r="D6331" s="144"/>
      <c r="E6331" s="144"/>
      <c r="F6331" s="373"/>
      <c r="I6331" s="70"/>
    </row>
    <row r="6332" spans="3:9" s="46" customFormat="1" x14ac:dyDescent="0.2">
      <c r="C6332" s="144"/>
      <c r="D6332" s="144"/>
      <c r="E6332" s="144"/>
      <c r="F6332" s="373"/>
      <c r="I6332" s="70"/>
    </row>
    <row r="6333" spans="3:9" s="46" customFormat="1" x14ac:dyDescent="0.2">
      <c r="C6333" s="144"/>
      <c r="D6333" s="144"/>
      <c r="E6333" s="144"/>
      <c r="F6333" s="373"/>
      <c r="I6333" s="70"/>
    </row>
    <row r="6334" spans="3:9" s="46" customFormat="1" x14ac:dyDescent="0.2">
      <c r="C6334" s="144"/>
      <c r="D6334" s="144"/>
      <c r="E6334" s="144"/>
      <c r="F6334" s="373"/>
      <c r="I6334" s="70"/>
    </row>
    <row r="6335" spans="3:9" s="46" customFormat="1" x14ac:dyDescent="0.2">
      <c r="C6335" s="144"/>
      <c r="D6335" s="144"/>
      <c r="E6335" s="144"/>
      <c r="F6335" s="373"/>
      <c r="I6335" s="70"/>
    </row>
    <row r="6336" spans="3:9" s="46" customFormat="1" x14ac:dyDescent="0.2">
      <c r="C6336" s="144"/>
      <c r="D6336" s="144"/>
      <c r="E6336" s="144"/>
      <c r="F6336" s="373"/>
      <c r="I6336" s="70"/>
    </row>
    <row r="6337" spans="3:9" s="46" customFormat="1" x14ac:dyDescent="0.2">
      <c r="C6337" s="144"/>
      <c r="D6337" s="144"/>
      <c r="E6337" s="144"/>
      <c r="F6337" s="373"/>
      <c r="I6337" s="70"/>
    </row>
    <row r="6338" spans="3:9" s="46" customFormat="1" x14ac:dyDescent="0.2">
      <c r="C6338" s="144"/>
      <c r="D6338" s="144"/>
      <c r="E6338" s="144"/>
      <c r="F6338" s="373"/>
      <c r="I6338" s="70"/>
    </row>
    <row r="6339" spans="3:9" s="46" customFormat="1" x14ac:dyDescent="0.2">
      <c r="C6339" s="144"/>
      <c r="D6339" s="144"/>
      <c r="E6339" s="144"/>
      <c r="F6339" s="373"/>
      <c r="I6339" s="70"/>
    </row>
    <row r="6340" spans="3:9" s="46" customFormat="1" x14ac:dyDescent="0.2">
      <c r="C6340" s="144"/>
      <c r="D6340" s="144"/>
      <c r="E6340" s="144"/>
      <c r="F6340" s="373"/>
      <c r="I6340" s="70"/>
    </row>
    <row r="6341" spans="3:9" s="46" customFormat="1" x14ac:dyDescent="0.2">
      <c r="C6341" s="144"/>
      <c r="D6341" s="144"/>
      <c r="E6341" s="144"/>
      <c r="F6341" s="373"/>
      <c r="I6341" s="70"/>
    </row>
    <row r="6342" spans="3:9" s="46" customFormat="1" x14ac:dyDescent="0.2">
      <c r="C6342" s="144"/>
      <c r="D6342" s="144"/>
      <c r="E6342" s="144"/>
      <c r="F6342" s="373"/>
      <c r="I6342" s="70"/>
    </row>
    <row r="6343" spans="3:9" s="46" customFormat="1" x14ac:dyDescent="0.2">
      <c r="C6343" s="144"/>
      <c r="D6343" s="144"/>
      <c r="E6343" s="144"/>
      <c r="F6343" s="373"/>
      <c r="I6343" s="70"/>
    </row>
    <row r="6344" spans="3:9" s="46" customFormat="1" x14ac:dyDescent="0.2">
      <c r="C6344" s="144"/>
      <c r="D6344" s="144"/>
      <c r="E6344" s="144"/>
      <c r="F6344" s="373"/>
      <c r="I6344" s="70"/>
    </row>
    <row r="6345" spans="3:9" s="46" customFormat="1" x14ac:dyDescent="0.2">
      <c r="C6345" s="144"/>
      <c r="D6345" s="144"/>
      <c r="E6345" s="144"/>
      <c r="F6345" s="373"/>
      <c r="I6345" s="70"/>
    </row>
    <row r="6346" spans="3:9" s="46" customFormat="1" x14ac:dyDescent="0.2">
      <c r="C6346" s="144"/>
      <c r="D6346" s="144"/>
      <c r="E6346" s="144"/>
      <c r="F6346" s="373"/>
      <c r="I6346" s="70"/>
    </row>
    <row r="6347" spans="3:9" s="46" customFormat="1" x14ac:dyDescent="0.2">
      <c r="C6347" s="144"/>
      <c r="D6347" s="144"/>
      <c r="E6347" s="144"/>
      <c r="F6347" s="373"/>
      <c r="I6347" s="70"/>
    </row>
    <row r="6348" spans="3:9" s="46" customFormat="1" x14ac:dyDescent="0.2">
      <c r="C6348" s="144"/>
      <c r="D6348" s="144"/>
      <c r="E6348" s="144"/>
      <c r="F6348" s="373"/>
      <c r="I6348" s="70"/>
    </row>
    <row r="6349" spans="3:9" s="46" customFormat="1" x14ac:dyDescent="0.2">
      <c r="C6349" s="144"/>
      <c r="D6349" s="144"/>
      <c r="E6349" s="144"/>
      <c r="F6349" s="373"/>
      <c r="I6349" s="70"/>
    </row>
    <row r="6350" spans="3:9" s="46" customFormat="1" x14ac:dyDescent="0.2">
      <c r="C6350" s="144"/>
      <c r="D6350" s="144"/>
      <c r="E6350" s="144"/>
      <c r="F6350" s="373"/>
      <c r="I6350" s="70"/>
    </row>
    <row r="6351" spans="3:9" s="46" customFormat="1" x14ac:dyDescent="0.2">
      <c r="C6351" s="144"/>
      <c r="D6351" s="144"/>
      <c r="E6351" s="144"/>
      <c r="F6351" s="373"/>
      <c r="I6351" s="70"/>
    </row>
    <row r="6352" spans="3:9" s="46" customFormat="1" x14ac:dyDescent="0.2">
      <c r="C6352" s="144"/>
      <c r="D6352" s="144"/>
      <c r="E6352" s="144"/>
      <c r="F6352" s="373"/>
      <c r="I6352" s="70"/>
    </row>
    <row r="6353" spans="3:9" s="46" customFormat="1" x14ac:dyDescent="0.2">
      <c r="C6353" s="144"/>
      <c r="D6353" s="144"/>
      <c r="E6353" s="144"/>
      <c r="F6353" s="373"/>
      <c r="I6353" s="70"/>
    </row>
    <row r="6354" spans="3:9" s="46" customFormat="1" x14ac:dyDescent="0.2">
      <c r="C6354" s="144"/>
      <c r="D6354" s="144"/>
      <c r="E6354" s="144"/>
      <c r="F6354" s="373"/>
      <c r="I6354" s="70"/>
    </row>
    <row r="6355" spans="3:9" s="46" customFormat="1" x14ac:dyDescent="0.2">
      <c r="C6355" s="144"/>
      <c r="D6355" s="144"/>
      <c r="E6355" s="144"/>
      <c r="F6355" s="373"/>
      <c r="I6355" s="70"/>
    </row>
    <row r="6356" spans="3:9" s="46" customFormat="1" x14ac:dyDescent="0.2">
      <c r="C6356" s="144"/>
      <c r="D6356" s="144"/>
      <c r="E6356" s="144"/>
      <c r="F6356" s="373"/>
      <c r="I6356" s="70"/>
    </row>
    <row r="6357" spans="3:9" s="46" customFormat="1" x14ac:dyDescent="0.2">
      <c r="C6357" s="144"/>
      <c r="D6357" s="144"/>
      <c r="E6357" s="144"/>
      <c r="F6357" s="373"/>
      <c r="I6357" s="70"/>
    </row>
    <row r="6358" spans="3:9" s="46" customFormat="1" x14ac:dyDescent="0.2">
      <c r="C6358" s="144"/>
      <c r="D6358" s="144"/>
      <c r="E6358" s="144"/>
      <c r="F6358" s="373"/>
      <c r="I6358" s="70"/>
    </row>
    <row r="6359" spans="3:9" s="46" customFormat="1" x14ac:dyDescent="0.2">
      <c r="C6359" s="144"/>
      <c r="D6359" s="144"/>
      <c r="E6359" s="144"/>
      <c r="F6359" s="373"/>
      <c r="I6359" s="70"/>
    </row>
    <row r="6360" spans="3:9" s="46" customFormat="1" x14ac:dyDescent="0.2">
      <c r="C6360" s="144"/>
      <c r="D6360" s="144"/>
      <c r="E6360" s="144"/>
      <c r="F6360" s="373"/>
      <c r="I6360" s="70"/>
    </row>
    <row r="6361" spans="3:9" s="46" customFormat="1" x14ac:dyDescent="0.2">
      <c r="C6361" s="144"/>
      <c r="D6361" s="144"/>
      <c r="E6361" s="144"/>
      <c r="F6361" s="373"/>
      <c r="I6361" s="70"/>
    </row>
    <row r="6362" spans="3:9" s="46" customFormat="1" x14ac:dyDescent="0.2">
      <c r="C6362" s="144"/>
      <c r="D6362" s="144"/>
      <c r="E6362" s="144"/>
      <c r="F6362" s="373"/>
      <c r="I6362" s="70"/>
    </row>
    <row r="6363" spans="3:9" s="46" customFormat="1" x14ac:dyDescent="0.2">
      <c r="C6363" s="144"/>
      <c r="D6363" s="144"/>
      <c r="E6363" s="144"/>
      <c r="F6363" s="373"/>
      <c r="I6363" s="70"/>
    </row>
    <row r="6364" spans="3:9" s="46" customFormat="1" x14ac:dyDescent="0.2">
      <c r="C6364" s="144"/>
      <c r="D6364" s="144"/>
      <c r="E6364" s="144"/>
      <c r="F6364" s="373"/>
      <c r="I6364" s="70"/>
    </row>
    <row r="6365" spans="3:9" s="46" customFormat="1" x14ac:dyDescent="0.2">
      <c r="C6365" s="144"/>
      <c r="D6365" s="144"/>
      <c r="E6365" s="144"/>
      <c r="F6365" s="373"/>
      <c r="I6365" s="70"/>
    </row>
    <row r="6366" spans="3:9" s="46" customFormat="1" x14ac:dyDescent="0.2">
      <c r="C6366" s="144"/>
      <c r="D6366" s="144"/>
      <c r="E6366" s="144"/>
      <c r="F6366" s="373"/>
      <c r="I6366" s="70"/>
    </row>
    <row r="6367" spans="3:9" s="46" customFormat="1" x14ac:dyDescent="0.2">
      <c r="C6367" s="144"/>
      <c r="D6367" s="144"/>
      <c r="E6367" s="144"/>
      <c r="F6367" s="373"/>
      <c r="I6367" s="70"/>
    </row>
    <row r="6368" spans="3:9" s="46" customFormat="1" x14ac:dyDescent="0.2">
      <c r="C6368" s="144"/>
      <c r="D6368" s="144"/>
      <c r="E6368" s="144"/>
      <c r="F6368" s="373"/>
      <c r="I6368" s="70"/>
    </row>
    <row r="6369" spans="3:9" s="46" customFormat="1" x14ac:dyDescent="0.2">
      <c r="C6369" s="144"/>
      <c r="D6369" s="144"/>
      <c r="E6369" s="144"/>
      <c r="F6369" s="373"/>
      <c r="I6369" s="70"/>
    </row>
    <row r="6370" spans="3:9" s="46" customFormat="1" x14ac:dyDescent="0.2">
      <c r="C6370" s="144"/>
      <c r="D6370" s="144"/>
      <c r="E6370" s="144"/>
      <c r="F6370" s="373"/>
      <c r="I6370" s="70"/>
    </row>
    <row r="6371" spans="3:9" s="46" customFormat="1" x14ac:dyDescent="0.2">
      <c r="C6371" s="144"/>
      <c r="D6371" s="144"/>
      <c r="E6371" s="144"/>
      <c r="F6371" s="373"/>
      <c r="I6371" s="70"/>
    </row>
    <row r="6372" spans="3:9" s="46" customFormat="1" x14ac:dyDescent="0.2">
      <c r="C6372" s="144"/>
      <c r="D6372" s="144"/>
      <c r="E6372" s="144"/>
      <c r="F6372" s="373"/>
      <c r="I6372" s="70"/>
    </row>
    <row r="6373" spans="3:9" s="46" customFormat="1" x14ac:dyDescent="0.2">
      <c r="C6373" s="144"/>
      <c r="D6373" s="144"/>
      <c r="E6373" s="144"/>
      <c r="F6373" s="373"/>
      <c r="I6373" s="70"/>
    </row>
    <row r="6374" spans="3:9" s="46" customFormat="1" x14ac:dyDescent="0.2">
      <c r="C6374" s="144"/>
      <c r="D6374" s="144"/>
      <c r="E6374" s="144"/>
      <c r="F6374" s="373"/>
      <c r="I6374" s="70"/>
    </row>
    <row r="6375" spans="3:9" s="46" customFormat="1" x14ac:dyDescent="0.2">
      <c r="C6375" s="144"/>
      <c r="D6375" s="144"/>
      <c r="E6375" s="144"/>
      <c r="F6375" s="373"/>
      <c r="I6375" s="70"/>
    </row>
    <row r="6376" spans="3:9" s="46" customFormat="1" x14ac:dyDescent="0.2">
      <c r="C6376" s="144"/>
      <c r="D6376" s="144"/>
      <c r="E6376" s="144"/>
      <c r="F6376" s="373"/>
      <c r="I6376" s="70"/>
    </row>
    <row r="6377" spans="3:9" s="46" customFormat="1" x14ac:dyDescent="0.2">
      <c r="C6377" s="144"/>
      <c r="D6377" s="144"/>
      <c r="E6377" s="144"/>
      <c r="F6377" s="373"/>
      <c r="I6377" s="70"/>
    </row>
    <row r="6378" spans="3:9" s="46" customFormat="1" x14ac:dyDescent="0.2">
      <c r="C6378" s="144"/>
      <c r="D6378" s="144"/>
      <c r="E6378" s="144"/>
      <c r="F6378" s="373"/>
      <c r="I6378" s="70"/>
    </row>
    <row r="6379" spans="3:9" s="46" customFormat="1" x14ac:dyDescent="0.2">
      <c r="C6379" s="144"/>
      <c r="D6379" s="144"/>
      <c r="E6379" s="144"/>
      <c r="F6379" s="373"/>
      <c r="I6379" s="70"/>
    </row>
    <row r="6380" spans="3:9" s="46" customFormat="1" x14ac:dyDescent="0.2">
      <c r="C6380" s="144"/>
      <c r="D6380" s="144"/>
      <c r="E6380" s="144"/>
      <c r="F6380" s="373"/>
      <c r="I6380" s="70"/>
    </row>
    <row r="6381" spans="3:9" s="46" customFormat="1" x14ac:dyDescent="0.2">
      <c r="C6381" s="144"/>
      <c r="D6381" s="144"/>
      <c r="E6381" s="144"/>
      <c r="F6381" s="373"/>
      <c r="I6381" s="70"/>
    </row>
    <row r="6382" spans="3:9" s="46" customFormat="1" x14ac:dyDescent="0.2">
      <c r="C6382" s="144"/>
      <c r="D6382" s="144"/>
      <c r="E6382" s="144"/>
      <c r="F6382" s="373"/>
      <c r="I6382" s="70"/>
    </row>
    <row r="6383" spans="3:9" s="46" customFormat="1" x14ac:dyDescent="0.2">
      <c r="C6383" s="144"/>
      <c r="D6383" s="144"/>
      <c r="E6383" s="144"/>
      <c r="F6383" s="373"/>
      <c r="I6383" s="70"/>
    </row>
    <row r="6384" spans="3:9" s="46" customFormat="1" x14ac:dyDescent="0.2">
      <c r="C6384" s="144"/>
      <c r="D6384" s="144"/>
      <c r="E6384" s="144"/>
      <c r="F6384" s="373"/>
      <c r="I6384" s="70"/>
    </row>
    <row r="6385" spans="3:9" s="46" customFormat="1" x14ac:dyDescent="0.2">
      <c r="C6385" s="144"/>
      <c r="D6385" s="144"/>
      <c r="E6385" s="144"/>
      <c r="F6385" s="373"/>
      <c r="I6385" s="70"/>
    </row>
    <row r="6386" spans="3:9" s="46" customFormat="1" x14ac:dyDescent="0.2">
      <c r="C6386" s="144"/>
      <c r="D6386" s="144"/>
      <c r="E6386" s="144"/>
      <c r="F6386" s="373"/>
      <c r="I6386" s="70"/>
    </row>
    <row r="6387" spans="3:9" s="46" customFormat="1" x14ac:dyDescent="0.2">
      <c r="C6387" s="144"/>
      <c r="D6387" s="144"/>
      <c r="E6387" s="144"/>
      <c r="F6387" s="373"/>
      <c r="I6387" s="70"/>
    </row>
    <row r="6388" spans="3:9" s="46" customFormat="1" x14ac:dyDescent="0.2">
      <c r="C6388" s="144"/>
      <c r="D6388" s="144"/>
      <c r="E6388" s="144"/>
      <c r="F6388" s="373"/>
      <c r="I6388" s="70"/>
    </row>
    <row r="6389" spans="3:9" s="46" customFormat="1" x14ac:dyDescent="0.2">
      <c r="C6389" s="144"/>
      <c r="D6389" s="144"/>
      <c r="E6389" s="144"/>
      <c r="F6389" s="373"/>
      <c r="I6389" s="70"/>
    </row>
    <row r="6390" spans="3:9" s="46" customFormat="1" x14ac:dyDescent="0.2">
      <c r="C6390" s="144"/>
      <c r="D6390" s="144"/>
      <c r="E6390" s="144"/>
      <c r="F6390" s="373"/>
      <c r="I6390" s="70"/>
    </row>
    <row r="6391" spans="3:9" s="46" customFormat="1" x14ac:dyDescent="0.2">
      <c r="C6391" s="144"/>
      <c r="D6391" s="144"/>
      <c r="E6391" s="144"/>
      <c r="F6391" s="373"/>
      <c r="I6391" s="70"/>
    </row>
    <row r="6392" spans="3:9" s="46" customFormat="1" x14ac:dyDescent="0.2">
      <c r="C6392" s="144"/>
      <c r="D6392" s="144"/>
      <c r="E6392" s="144"/>
      <c r="F6392" s="373"/>
      <c r="I6392" s="70"/>
    </row>
    <row r="6393" spans="3:9" s="46" customFormat="1" x14ac:dyDescent="0.2">
      <c r="C6393" s="144"/>
      <c r="D6393" s="144"/>
      <c r="E6393" s="144"/>
      <c r="F6393" s="373"/>
      <c r="I6393" s="70"/>
    </row>
    <row r="6394" spans="3:9" s="46" customFormat="1" x14ac:dyDescent="0.2">
      <c r="C6394" s="144"/>
      <c r="D6394" s="144"/>
      <c r="E6394" s="144"/>
      <c r="F6394" s="373"/>
      <c r="I6394" s="70"/>
    </row>
    <row r="6395" spans="3:9" s="46" customFormat="1" x14ac:dyDescent="0.2">
      <c r="C6395" s="144"/>
      <c r="D6395" s="144"/>
      <c r="E6395" s="144"/>
      <c r="F6395" s="373"/>
      <c r="I6395" s="70"/>
    </row>
    <row r="6396" spans="3:9" s="46" customFormat="1" x14ac:dyDescent="0.2">
      <c r="C6396" s="144"/>
      <c r="D6396" s="144"/>
      <c r="E6396" s="144"/>
      <c r="F6396" s="373"/>
      <c r="I6396" s="70"/>
    </row>
    <row r="6397" spans="3:9" s="46" customFormat="1" x14ac:dyDescent="0.2">
      <c r="C6397" s="144"/>
      <c r="D6397" s="144"/>
      <c r="E6397" s="144"/>
      <c r="F6397" s="373"/>
      <c r="I6397" s="70"/>
    </row>
    <row r="6398" spans="3:9" s="46" customFormat="1" x14ac:dyDescent="0.2">
      <c r="C6398" s="144"/>
      <c r="D6398" s="144"/>
      <c r="E6398" s="144"/>
      <c r="F6398" s="373"/>
      <c r="I6398" s="70"/>
    </row>
    <row r="6399" spans="3:9" s="46" customFormat="1" x14ac:dyDescent="0.2">
      <c r="C6399" s="144"/>
      <c r="D6399" s="144"/>
      <c r="E6399" s="144"/>
      <c r="F6399" s="373"/>
      <c r="I6399" s="70"/>
    </row>
    <row r="6400" spans="3:9" s="46" customFormat="1" x14ac:dyDescent="0.2">
      <c r="C6400" s="144"/>
      <c r="D6400" s="144"/>
      <c r="E6400" s="144"/>
      <c r="F6400" s="373"/>
      <c r="I6400" s="70"/>
    </row>
    <row r="6401" spans="3:9" s="46" customFormat="1" x14ac:dyDescent="0.2">
      <c r="C6401" s="144"/>
      <c r="D6401" s="144"/>
      <c r="E6401" s="144"/>
      <c r="F6401" s="373"/>
      <c r="I6401" s="70"/>
    </row>
    <row r="6402" spans="3:9" s="46" customFormat="1" x14ac:dyDescent="0.2">
      <c r="C6402" s="144"/>
      <c r="D6402" s="144"/>
      <c r="E6402" s="144"/>
      <c r="F6402" s="373"/>
      <c r="I6402" s="70"/>
    </row>
    <row r="6403" spans="3:9" s="46" customFormat="1" x14ac:dyDescent="0.2">
      <c r="C6403" s="144"/>
      <c r="D6403" s="144"/>
      <c r="E6403" s="144"/>
      <c r="F6403" s="373"/>
      <c r="I6403" s="70"/>
    </row>
    <row r="6404" spans="3:9" s="46" customFormat="1" x14ac:dyDescent="0.2">
      <c r="C6404" s="144"/>
      <c r="D6404" s="144"/>
      <c r="E6404" s="144"/>
      <c r="F6404" s="373"/>
      <c r="I6404" s="70"/>
    </row>
    <row r="6405" spans="3:9" s="46" customFormat="1" x14ac:dyDescent="0.2">
      <c r="C6405" s="144"/>
      <c r="D6405" s="144"/>
      <c r="E6405" s="144"/>
      <c r="F6405" s="373"/>
      <c r="I6405" s="70"/>
    </row>
    <row r="6406" spans="3:9" s="46" customFormat="1" x14ac:dyDescent="0.2">
      <c r="C6406" s="144"/>
      <c r="D6406" s="144"/>
      <c r="E6406" s="144"/>
      <c r="F6406" s="373"/>
      <c r="I6406" s="70"/>
    </row>
    <row r="6407" spans="3:9" s="46" customFormat="1" x14ac:dyDescent="0.2">
      <c r="C6407" s="144"/>
      <c r="D6407" s="144"/>
      <c r="E6407" s="144"/>
      <c r="F6407" s="373"/>
      <c r="I6407" s="70"/>
    </row>
    <row r="6408" spans="3:9" s="46" customFormat="1" x14ac:dyDescent="0.2">
      <c r="C6408" s="144"/>
      <c r="D6408" s="144"/>
      <c r="E6408" s="144"/>
      <c r="F6408" s="373"/>
      <c r="I6408" s="70"/>
    </row>
    <row r="6409" spans="3:9" s="46" customFormat="1" x14ac:dyDescent="0.2">
      <c r="C6409" s="144"/>
      <c r="D6409" s="144"/>
      <c r="E6409" s="144"/>
      <c r="F6409" s="373"/>
      <c r="I6409" s="70"/>
    </row>
    <row r="6410" spans="3:9" s="46" customFormat="1" x14ac:dyDescent="0.2">
      <c r="C6410" s="144"/>
      <c r="D6410" s="144"/>
      <c r="E6410" s="144"/>
      <c r="F6410" s="373"/>
      <c r="I6410" s="70"/>
    </row>
    <row r="6411" spans="3:9" s="46" customFormat="1" x14ac:dyDescent="0.2">
      <c r="C6411" s="144"/>
      <c r="D6411" s="144"/>
      <c r="E6411" s="144"/>
      <c r="F6411" s="373"/>
      <c r="I6411" s="70"/>
    </row>
    <row r="6412" spans="3:9" s="46" customFormat="1" x14ac:dyDescent="0.2">
      <c r="C6412" s="144"/>
      <c r="D6412" s="144"/>
      <c r="E6412" s="144"/>
      <c r="F6412" s="373"/>
      <c r="I6412" s="70"/>
    </row>
    <row r="6413" spans="3:9" s="46" customFormat="1" x14ac:dyDescent="0.2">
      <c r="C6413" s="144"/>
      <c r="D6413" s="144"/>
      <c r="E6413" s="144"/>
      <c r="F6413" s="373"/>
      <c r="I6413" s="70"/>
    </row>
    <row r="6414" spans="3:9" s="46" customFormat="1" x14ac:dyDescent="0.2">
      <c r="C6414" s="144"/>
      <c r="D6414" s="144"/>
      <c r="E6414" s="144"/>
      <c r="F6414" s="373"/>
      <c r="I6414" s="70"/>
    </row>
    <row r="6415" spans="3:9" s="46" customFormat="1" x14ac:dyDescent="0.2">
      <c r="C6415" s="144"/>
      <c r="D6415" s="144"/>
      <c r="E6415" s="144"/>
      <c r="F6415" s="373"/>
      <c r="I6415" s="70"/>
    </row>
    <row r="6416" spans="3:9" s="46" customFormat="1" x14ac:dyDescent="0.2">
      <c r="C6416" s="144"/>
      <c r="D6416" s="144"/>
      <c r="E6416" s="144"/>
      <c r="F6416" s="373"/>
      <c r="I6416" s="70"/>
    </row>
    <row r="6417" spans="3:9" s="46" customFormat="1" x14ac:dyDescent="0.2">
      <c r="C6417" s="144"/>
      <c r="D6417" s="144"/>
      <c r="E6417" s="144"/>
      <c r="F6417" s="373"/>
      <c r="I6417" s="70"/>
    </row>
    <row r="6418" spans="3:9" s="46" customFormat="1" x14ac:dyDescent="0.2">
      <c r="C6418" s="144"/>
      <c r="D6418" s="144"/>
      <c r="E6418" s="144"/>
      <c r="F6418" s="373"/>
      <c r="I6418" s="70"/>
    </row>
    <row r="6419" spans="3:9" s="46" customFormat="1" x14ac:dyDescent="0.2">
      <c r="C6419" s="144"/>
      <c r="D6419" s="144"/>
      <c r="E6419" s="144"/>
      <c r="F6419" s="373"/>
      <c r="I6419" s="70"/>
    </row>
    <row r="6420" spans="3:9" s="46" customFormat="1" x14ac:dyDescent="0.2">
      <c r="C6420" s="144"/>
      <c r="D6420" s="144"/>
      <c r="E6420" s="144"/>
      <c r="F6420" s="373"/>
      <c r="I6420" s="70"/>
    </row>
    <row r="6421" spans="3:9" s="46" customFormat="1" x14ac:dyDescent="0.2">
      <c r="C6421" s="144"/>
      <c r="D6421" s="144"/>
      <c r="E6421" s="144"/>
      <c r="F6421" s="373"/>
      <c r="I6421" s="70"/>
    </row>
    <row r="6422" spans="3:9" s="46" customFormat="1" x14ac:dyDescent="0.2">
      <c r="C6422" s="144"/>
      <c r="D6422" s="144"/>
      <c r="E6422" s="144"/>
      <c r="F6422" s="373"/>
      <c r="I6422" s="70"/>
    </row>
    <row r="6423" spans="3:9" s="46" customFormat="1" x14ac:dyDescent="0.2">
      <c r="C6423" s="144"/>
      <c r="D6423" s="144"/>
      <c r="E6423" s="144"/>
      <c r="F6423" s="373"/>
      <c r="I6423" s="70"/>
    </row>
    <row r="6424" spans="3:9" s="46" customFormat="1" x14ac:dyDescent="0.2">
      <c r="C6424" s="144"/>
      <c r="D6424" s="144"/>
      <c r="E6424" s="144"/>
      <c r="F6424" s="373"/>
      <c r="I6424" s="70"/>
    </row>
    <row r="6425" spans="3:9" s="46" customFormat="1" x14ac:dyDescent="0.2">
      <c r="C6425" s="144"/>
      <c r="D6425" s="144"/>
      <c r="E6425" s="144"/>
      <c r="F6425" s="373"/>
      <c r="I6425" s="70"/>
    </row>
    <row r="6426" spans="3:9" s="46" customFormat="1" x14ac:dyDescent="0.2">
      <c r="C6426" s="144"/>
      <c r="D6426" s="144"/>
      <c r="E6426" s="144"/>
      <c r="F6426" s="373"/>
      <c r="I6426" s="70"/>
    </row>
    <row r="6427" spans="3:9" s="46" customFormat="1" x14ac:dyDescent="0.2">
      <c r="C6427" s="144"/>
      <c r="D6427" s="144"/>
      <c r="E6427" s="144"/>
      <c r="F6427" s="373"/>
      <c r="I6427" s="70"/>
    </row>
    <row r="6428" spans="3:9" s="46" customFormat="1" x14ac:dyDescent="0.2">
      <c r="C6428" s="144"/>
      <c r="D6428" s="144"/>
      <c r="E6428" s="144"/>
      <c r="F6428" s="373"/>
      <c r="I6428" s="70"/>
    </row>
    <row r="6429" spans="3:9" s="46" customFormat="1" x14ac:dyDescent="0.2">
      <c r="C6429" s="144"/>
      <c r="D6429" s="144"/>
      <c r="E6429" s="144"/>
      <c r="F6429" s="373"/>
      <c r="I6429" s="70"/>
    </row>
    <row r="6430" spans="3:9" s="46" customFormat="1" x14ac:dyDescent="0.2">
      <c r="C6430" s="144"/>
      <c r="D6430" s="144"/>
      <c r="E6430" s="144"/>
      <c r="F6430" s="373"/>
      <c r="I6430" s="70"/>
    </row>
    <row r="6431" spans="3:9" s="46" customFormat="1" x14ac:dyDescent="0.2">
      <c r="C6431" s="144"/>
      <c r="D6431" s="144"/>
      <c r="E6431" s="144"/>
      <c r="F6431" s="373"/>
      <c r="I6431" s="70"/>
    </row>
    <row r="6432" spans="3:9" s="46" customFormat="1" x14ac:dyDescent="0.2">
      <c r="C6432" s="144"/>
      <c r="D6432" s="144"/>
      <c r="E6432" s="144"/>
      <c r="F6432" s="373"/>
      <c r="I6432" s="70"/>
    </row>
    <row r="6433" spans="3:9" s="46" customFormat="1" x14ac:dyDescent="0.2">
      <c r="C6433" s="144"/>
      <c r="D6433" s="144"/>
      <c r="E6433" s="144"/>
      <c r="F6433" s="373"/>
      <c r="I6433" s="70"/>
    </row>
    <row r="6434" spans="3:9" s="46" customFormat="1" x14ac:dyDescent="0.2">
      <c r="C6434" s="144"/>
      <c r="D6434" s="144"/>
      <c r="E6434" s="144"/>
      <c r="F6434" s="373"/>
      <c r="I6434" s="70"/>
    </row>
    <row r="6435" spans="3:9" s="46" customFormat="1" x14ac:dyDescent="0.2">
      <c r="C6435" s="144"/>
      <c r="D6435" s="144"/>
      <c r="E6435" s="144"/>
      <c r="F6435" s="373"/>
      <c r="I6435" s="70"/>
    </row>
    <row r="6436" spans="3:9" s="46" customFormat="1" x14ac:dyDescent="0.2">
      <c r="C6436" s="144"/>
      <c r="D6436" s="144"/>
      <c r="E6436" s="144"/>
      <c r="F6436" s="373"/>
      <c r="I6436" s="70"/>
    </row>
    <row r="6437" spans="3:9" s="46" customFormat="1" x14ac:dyDescent="0.2">
      <c r="C6437" s="144"/>
      <c r="D6437" s="144"/>
      <c r="E6437" s="144"/>
      <c r="F6437" s="373"/>
      <c r="I6437" s="70"/>
    </row>
    <row r="6438" spans="3:9" s="46" customFormat="1" x14ac:dyDescent="0.2">
      <c r="C6438" s="144"/>
      <c r="D6438" s="144"/>
      <c r="E6438" s="144"/>
      <c r="F6438" s="373"/>
      <c r="I6438" s="70"/>
    </row>
    <row r="6439" spans="3:9" s="46" customFormat="1" x14ac:dyDescent="0.2">
      <c r="C6439" s="144"/>
      <c r="D6439" s="144"/>
      <c r="E6439" s="144"/>
      <c r="F6439" s="373"/>
      <c r="I6439" s="70"/>
    </row>
    <row r="6440" spans="3:9" s="46" customFormat="1" x14ac:dyDescent="0.2">
      <c r="C6440" s="144"/>
      <c r="D6440" s="144"/>
      <c r="E6440" s="144"/>
      <c r="F6440" s="373"/>
      <c r="I6440" s="70"/>
    </row>
    <row r="6441" spans="3:9" s="46" customFormat="1" x14ac:dyDescent="0.2">
      <c r="C6441" s="144"/>
      <c r="D6441" s="144"/>
      <c r="E6441" s="144"/>
      <c r="F6441" s="373"/>
      <c r="I6441" s="70"/>
    </row>
    <row r="6442" spans="3:9" s="46" customFormat="1" x14ac:dyDescent="0.2">
      <c r="C6442" s="144"/>
      <c r="D6442" s="144"/>
      <c r="E6442" s="144"/>
      <c r="F6442" s="373"/>
      <c r="I6442" s="70"/>
    </row>
    <row r="6443" spans="3:9" s="46" customFormat="1" x14ac:dyDescent="0.2">
      <c r="C6443" s="144"/>
      <c r="D6443" s="144"/>
      <c r="E6443" s="144"/>
      <c r="F6443" s="373"/>
      <c r="I6443" s="70"/>
    </row>
    <row r="6444" spans="3:9" s="46" customFormat="1" x14ac:dyDescent="0.2">
      <c r="C6444" s="144"/>
      <c r="D6444" s="144"/>
      <c r="E6444" s="144"/>
      <c r="F6444" s="373"/>
      <c r="I6444" s="70"/>
    </row>
    <row r="6445" spans="3:9" s="46" customFormat="1" x14ac:dyDescent="0.2">
      <c r="C6445" s="144"/>
      <c r="D6445" s="144"/>
      <c r="E6445" s="144"/>
      <c r="F6445" s="373"/>
      <c r="I6445" s="70"/>
    </row>
    <row r="6446" spans="3:9" s="46" customFormat="1" x14ac:dyDescent="0.2">
      <c r="C6446" s="144"/>
      <c r="D6446" s="144"/>
      <c r="E6446" s="144"/>
      <c r="F6446" s="373"/>
      <c r="I6446" s="70"/>
    </row>
    <row r="6447" spans="3:9" s="46" customFormat="1" x14ac:dyDescent="0.2">
      <c r="C6447" s="144"/>
      <c r="D6447" s="144"/>
      <c r="E6447" s="144"/>
      <c r="F6447" s="373"/>
      <c r="I6447" s="70"/>
    </row>
    <row r="6448" spans="3:9" s="46" customFormat="1" x14ac:dyDescent="0.2">
      <c r="C6448" s="144"/>
      <c r="D6448" s="144"/>
      <c r="E6448" s="144"/>
      <c r="F6448" s="373"/>
      <c r="I6448" s="70"/>
    </row>
    <row r="6449" spans="3:9" s="46" customFormat="1" x14ac:dyDescent="0.2">
      <c r="C6449" s="144"/>
      <c r="D6449" s="144"/>
      <c r="E6449" s="144"/>
      <c r="F6449" s="373"/>
      <c r="I6449" s="70"/>
    </row>
    <row r="6450" spans="3:9" s="46" customFormat="1" x14ac:dyDescent="0.2">
      <c r="C6450" s="144"/>
      <c r="D6450" s="144"/>
      <c r="E6450" s="144"/>
      <c r="F6450" s="373"/>
      <c r="I6450" s="70"/>
    </row>
    <row r="6451" spans="3:9" s="46" customFormat="1" x14ac:dyDescent="0.2">
      <c r="C6451" s="144"/>
      <c r="D6451" s="144"/>
      <c r="E6451" s="144"/>
      <c r="F6451" s="373"/>
      <c r="I6451" s="70"/>
    </row>
    <row r="6452" spans="3:9" s="46" customFormat="1" x14ac:dyDescent="0.2">
      <c r="C6452" s="144"/>
      <c r="D6452" s="144"/>
      <c r="E6452" s="144"/>
      <c r="F6452" s="373"/>
      <c r="I6452" s="70"/>
    </row>
    <row r="6453" spans="3:9" s="46" customFormat="1" x14ac:dyDescent="0.2">
      <c r="C6453" s="144"/>
      <c r="D6453" s="144"/>
      <c r="E6453" s="144"/>
      <c r="F6453" s="373"/>
      <c r="I6453" s="70"/>
    </row>
    <row r="6454" spans="3:9" s="46" customFormat="1" x14ac:dyDescent="0.2">
      <c r="C6454" s="144"/>
      <c r="D6454" s="144"/>
      <c r="E6454" s="144"/>
      <c r="F6454" s="373"/>
      <c r="I6454" s="70"/>
    </row>
    <row r="6455" spans="3:9" s="46" customFormat="1" x14ac:dyDescent="0.2">
      <c r="C6455" s="144"/>
      <c r="D6455" s="144"/>
      <c r="E6455" s="144"/>
      <c r="F6455" s="373"/>
      <c r="I6455" s="70"/>
    </row>
    <row r="6456" spans="3:9" s="46" customFormat="1" x14ac:dyDescent="0.2">
      <c r="C6456" s="144"/>
      <c r="D6456" s="144"/>
      <c r="E6456" s="144"/>
      <c r="F6456" s="373"/>
      <c r="I6456" s="70"/>
    </row>
    <row r="6457" spans="3:9" s="46" customFormat="1" x14ac:dyDescent="0.2">
      <c r="C6457" s="144"/>
      <c r="D6457" s="144"/>
      <c r="E6457" s="144"/>
      <c r="F6457" s="373"/>
      <c r="I6457" s="70"/>
    </row>
    <row r="6458" spans="3:9" s="46" customFormat="1" x14ac:dyDescent="0.2">
      <c r="C6458" s="144"/>
      <c r="D6458" s="144"/>
      <c r="E6458" s="144"/>
      <c r="F6458" s="373"/>
      <c r="I6458" s="70"/>
    </row>
    <row r="6459" spans="3:9" s="46" customFormat="1" x14ac:dyDescent="0.2">
      <c r="C6459" s="144"/>
      <c r="D6459" s="144"/>
      <c r="E6459" s="144"/>
      <c r="F6459" s="373"/>
      <c r="I6459" s="70"/>
    </row>
    <row r="6460" spans="3:9" s="46" customFormat="1" x14ac:dyDescent="0.2">
      <c r="C6460" s="144"/>
      <c r="D6460" s="144"/>
      <c r="E6460" s="144"/>
      <c r="F6460" s="373"/>
      <c r="I6460" s="70"/>
    </row>
    <row r="6461" spans="3:9" s="46" customFormat="1" x14ac:dyDescent="0.2">
      <c r="C6461" s="144"/>
      <c r="D6461" s="144"/>
      <c r="E6461" s="144"/>
      <c r="F6461" s="373"/>
      <c r="I6461" s="70"/>
    </row>
    <row r="6462" spans="3:9" s="46" customFormat="1" x14ac:dyDescent="0.2">
      <c r="C6462" s="144"/>
      <c r="D6462" s="144"/>
      <c r="E6462" s="144"/>
      <c r="F6462" s="373"/>
      <c r="I6462" s="70"/>
    </row>
    <row r="6463" spans="3:9" s="46" customFormat="1" x14ac:dyDescent="0.2">
      <c r="C6463" s="144"/>
      <c r="D6463" s="144"/>
      <c r="E6463" s="144"/>
      <c r="F6463" s="373"/>
      <c r="I6463" s="70"/>
    </row>
    <row r="6464" spans="3:9" s="46" customFormat="1" x14ac:dyDescent="0.2">
      <c r="C6464" s="144"/>
      <c r="D6464" s="144"/>
      <c r="E6464" s="144"/>
      <c r="F6464" s="373"/>
      <c r="I6464" s="70"/>
    </row>
    <row r="6465" spans="3:9" s="46" customFormat="1" x14ac:dyDescent="0.2">
      <c r="C6465" s="144"/>
      <c r="D6465" s="144"/>
      <c r="E6465" s="144"/>
      <c r="F6465" s="373"/>
      <c r="I6465" s="70"/>
    </row>
    <row r="6466" spans="3:9" s="46" customFormat="1" x14ac:dyDescent="0.2">
      <c r="C6466" s="144"/>
      <c r="D6466" s="144"/>
      <c r="E6466" s="144"/>
      <c r="F6466" s="373"/>
      <c r="I6466" s="70"/>
    </row>
    <row r="6467" spans="3:9" s="46" customFormat="1" x14ac:dyDescent="0.2">
      <c r="C6467" s="144"/>
      <c r="D6467" s="144"/>
      <c r="E6467" s="144"/>
      <c r="F6467" s="373"/>
      <c r="I6467" s="70"/>
    </row>
    <row r="6468" spans="3:9" s="46" customFormat="1" x14ac:dyDescent="0.2">
      <c r="C6468" s="144"/>
      <c r="D6468" s="144"/>
      <c r="E6468" s="144"/>
      <c r="F6468" s="373"/>
      <c r="I6468" s="70"/>
    </row>
    <row r="6469" spans="3:9" s="46" customFormat="1" x14ac:dyDescent="0.2">
      <c r="C6469" s="144"/>
      <c r="D6469" s="144"/>
      <c r="E6469" s="144"/>
      <c r="F6469" s="373"/>
      <c r="I6469" s="70"/>
    </row>
    <row r="6470" spans="3:9" s="46" customFormat="1" x14ac:dyDescent="0.2">
      <c r="C6470" s="144"/>
      <c r="D6470" s="144"/>
      <c r="E6470" s="144"/>
      <c r="F6470" s="373"/>
      <c r="I6470" s="70"/>
    </row>
    <row r="6471" spans="3:9" s="46" customFormat="1" x14ac:dyDescent="0.2">
      <c r="C6471" s="144"/>
      <c r="D6471" s="144"/>
      <c r="E6471" s="144"/>
      <c r="F6471" s="373"/>
      <c r="I6471" s="70"/>
    </row>
    <row r="6472" spans="3:9" s="46" customFormat="1" x14ac:dyDescent="0.2">
      <c r="C6472" s="144"/>
      <c r="D6472" s="144"/>
      <c r="E6472" s="144"/>
      <c r="F6472" s="373"/>
      <c r="I6472" s="70"/>
    </row>
    <row r="6473" spans="3:9" s="46" customFormat="1" x14ac:dyDescent="0.2">
      <c r="C6473" s="144"/>
      <c r="D6473" s="144"/>
      <c r="E6473" s="144"/>
      <c r="F6473" s="373"/>
      <c r="I6473" s="70"/>
    </row>
    <row r="6474" spans="3:9" s="46" customFormat="1" x14ac:dyDescent="0.2">
      <c r="C6474" s="144"/>
      <c r="D6474" s="144"/>
      <c r="E6474" s="144"/>
      <c r="F6474" s="373"/>
      <c r="I6474" s="70"/>
    </row>
    <row r="6475" spans="3:9" s="46" customFormat="1" x14ac:dyDescent="0.2">
      <c r="C6475" s="144"/>
      <c r="D6475" s="144"/>
      <c r="E6475" s="144"/>
      <c r="F6475" s="373"/>
      <c r="I6475" s="70"/>
    </row>
    <row r="6476" spans="3:9" s="46" customFormat="1" x14ac:dyDescent="0.2">
      <c r="C6476" s="144"/>
      <c r="D6476" s="144"/>
      <c r="E6476" s="144"/>
      <c r="F6476" s="373"/>
      <c r="I6476" s="70"/>
    </row>
    <row r="6477" spans="3:9" s="46" customFormat="1" x14ac:dyDescent="0.2">
      <c r="C6477" s="144"/>
      <c r="D6477" s="144"/>
      <c r="E6477" s="144"/>
      <c r="F6477" s="373"/>
      <c r="I6477" s="70"/>
    </row>
    <row r="6478" spans="3:9" s="46" customFormat="1" x14ac:dyDescent="0.2">
      <c r="C6478" s="144"/>
      <c r="D6478" s="144"/>
      <c r="E6478" s="144"/>
      <c r="F6478" s="373"/>
      <c r="I6478" s="70"/>
    </row>
    <row r="6479" spans="3:9" s="46" customFormat="1" x14ac:dyDescent="0.2">
      <c r="C6479" s="144"/>
      <c r="D6479" s="144"/>
      <c r="E6479" s="144"/>
      <c r="F6479" s="373"/>
      <c r="I6479" s="70"/>
    </row>
    <row r="6480" spans="3:9" s="46" customFormat="1" x14ac:dyDescent="0.2">
      <c r="C6480" s="144"/>
      <c r="D6480" s="144"/>
      <c r="E6480" s="144"/>
      <c r="F6480" s="373"/>
      <c r="I6480" s="70"/>
    </row>
    <row r="6481" spans="3:9" s="46" customFormat="1" x14ac:dyDescent="0.2">
      <c r="C6481" s="144"/>
      <c r="D6481" s="144"/>
      <c r="E6481" s="144"/>
      <c r="F6481" s="373"/>
      <c r="I6481" s="70"/>
    </row>
    <row r="6482" spans="3:9" s="46" customFormat="1" x14ac:dyDescent="0.2">
      <c r="C6482" s="144"/>
      <c r="D6482" s="144"/>
      <c r="E6482" s="144"/>
      <c r="F6482" s="373"/>
      <c r="I6482" s="70"/>
    </row>
    <row r="6483" spans="3:9" s="46" customFormat="1" x14ac:dyDescent="0.2">
      <c r="C6483" s="144"/>
      <c r="D6483" s="144"/>
      <c r="E6483" s="144"/>
      <c r="F6483" s="373"/>
      <c r="I6483" s="70"/>
    </row>
    <row r="6484" spans="3:9" s="46" customFormat="1" x14ac:dyDescent="0.2">
      <c r="C6484" s="144"/>
      <c r="D6484" s="144"/>
      <c r="E6484" s="144"/>
      <c r="F6484" s="373"/>
      <c r="I6484" s="70"/>
    </row>
    <row r="6485" spans="3:9" s="46" customFormat="1" x14ac:dyDescent="0.2">
      <c r="C6485" s="144"/>
      <c r="D6485" s="144"/>
      <c r="E6485" s="144"/>
      <c r="F6485" s="373"/>
      <c r="I6485" s="70"/>
    </row>
    <row r="6486" spans="3:9" s="46" customFormat="1" x14ac:dyDescent="0.2">
      <c r="C6486" s="144"/>
      <c r="D6486" s="144"/>
      <c r="E6486" s="144"/>
      <c r="F6486" s="373"/>
      <c r="I6486" s="70"/>
    </row>
    <row r="6487" spans="3:9" s="46" customFormat="1" x14ac:dyDescent="0.2">
      <c r="C6487" s="144"/>
      <c r="D6487" s="144"/>
      <c r="E6487" s="144"/>
      <c r="F6487" s="373"/>
      <c r="I6487" s="70"/>
    </row>
    <row r="6488" spans="3:9" s="46" customFormat="1" x14ac:dyDescent="0.2">
      <c r="C6488" s="144"/>
      <c r="D6488" s="144"/>
      <c r="E6488" s="144"/>
      <c r="F6488" s="373"/>
      <c r="I6488" s="70"/>
    </row>
    <row r="6489" spans="3:9" s="46" customFormat="1" x14ac:dyDescent="0.2">
      <c r="C6489" s="144"/>
      <c r="D6489" s="144"/>
      <c r="E6489" s="144"/>
      <c r="F6489" s="373"/>
      <c r="I6489" s="70"/>
    </row>
    <row r="6490" spans="3:9" s="46" customFormat="1" x14ac:dyDescent="0.2">
      <c r="C6490" s="144"/>
      <c r="D6490" s="144"/>
      <c r="E6490" s="144"/>
      <c r="F6490" s="373"/>
      <c r="I6490" s="70"/>
    </row>
    <row r="6491" spans="3:9" s="46" customFormat="1" x14ac:dyDescent="0.2">
      <c r="C6491" s="144"/>
      <c r="D6491" s="144"/>
      <c r="E6491" s="144"/>
      <c r="F6491" s="373"/>
      <c r="I6491" s="70"/>
    </row>
    <row r="6492" spans="3:9" s="46" customFormat="1" x14ac:dyDescent="0.2">
      <c r="C6492" s="144"/>
      <c r="D6492" s="144"/>
      <c r="E6492" s="144"/>
      <c r="F6492" s="373"/>
      <c r="I6492" s="70"/>
    </row>
    <row r="6493" spans="3:9" s="46" customFormat="1" x14ac:dyDescent="0.2">
      <c r="C6493" s="144"/>
      <c r="D6493" s="144"/>
      <c r="E6493" s="144"/>
      <c r="F6493" s="373"/>
      <c r="I6493" s="70"/>
    </row>
    <row r="6494" spans="3:9" s="46" customFormat="1" x14ac:dyDescent="0.2">
      <c r="C6494" s="144"/>
      <c r="D6494" s="144"/>
      <c r="E6494" s="144"/>
      <c r="F6494" s="373"/>
      <c r="I6494" s="70"/>
    </row>
    <row r="6495" spans="3:9" s="46" customFormat="1" x14ac:dyDescent="0.2">
      <c r="C6495" s="144"/>
      <c r="D6495" s="144"/>
      <c r="E6495" s="144"/>
      <c r="F6495" s="373"/>
      <c r="I6495" s="70"/>
    </row>
    <row r="6496" spans="3:9" s="46" customFormat="1" x14ac:dyDescent="0.2">
      <c r="C6496" s="144"/>
      <c r="D6496" s="144"/>
      <c r="E6496" s="144"/>
      <c r="F6496" s="373"/>
      <c r="I6496" s="70"/>
    </row>
    <row r="6497" spans="3:9" s="46" customFormat="1" x14ac:dyDescent="0.2">
      <c r="C6497" s="144"/>
      <c r="D6497" s="144"/>
      <c r="E6497" s="144"/>
      <c r="F6497" s="373"/>
      <c r="I6497" s="70"/>
    </row>
    <row r="6498" spans="3:9" s="46" customFormat="1" x14ac:dyDescent="0.2">
      <c r="C6498" s="144"/>
      <c r="D6498" s="144"/>
      <c r="E6498" s="144"/>
      <c r="F6498" s="373"/>
      <c r="I6498" s="70"/>
    </row>
    <row r="6499" spans="3:9" s="46" customFormat="1" x14ac:dyDescent="0.2">
      <c r="C6499" s="144"/>
      <c r="D6499" s="144"/>
      <c r="E6499" s="144"/>
      <c r="F6499" s="373"/>
      <c r="I6499" s="70"/>
    </row>
    <row r="6500" spans="3:9" s="46" customFormat="1" x14ac:dyDescent="0.2">
      <c r="C6500" s="144"/>
      <c r="D6500" s="144"/>
      <c r="E6500" s="144"/>
      <c r="F6500" s="373"/>
      <c r="I6500" s="70"/>
    </row>
    <row r="6501" spans="3:9" s="46" customFormat="1" x14ac:dyDescent="0.2">
      <c r="C6501" s="144"/>
      <c r="D6501" s="144"/>
      <c r="E6501" s="144"/>
      <c r="F6501" s="373"/>
      <c r="I6501" s="70"/>
    </row>
    <row r="6502" spans="3:9" s="46" customFormat="1" x14ac:dyDescent="0.2">
      <c r="C6502" s="144"/>
      <c r="D6502" s="144"/>
      <c r="E6502" s="144"/>
      <c r="F6502" s="373"/>
      <c r="I6502" s="70"/>
    </row>
    <row r="6503" spans="3:9" s="46" customFormat="1" x14ac:dyDescent="0.2">
      <c r="C6503" s="144"/>
      <c r="D6503" s="144"/>
      <c r="E6503" s="144"/>
      <c r="F6503" s="373"/>
      <c r="I6503" s="70"/>
    </row>
    <row r="6504" spans="3:9" s="46" customFormat="1" x14ac:dyDescent="0.2">
      <c r="C6504" s="144"/>
      <c r="D6504" s="144"/>
      <c r="E6504" s="144"/>
      <c r="F6504" s="373"/>
      <c r="I6504" s="70"/>
    </row>
    <row r="6505" spans="3:9" s="46" customFormat="1" x14ac:dyDescent="0.2">
      <c r="C6505" s="144"/>
      <c r="D6505" s="144"/>
      <c r="E6505" s="144"/>
      <c r="F6505" s="373"/>
      <c r="I6505" s="70"/>
    </row>
    <row r="6506" spans="3:9" s="46" customFormat="1" x14ac:dyDescent="0.2">
      <c r="C6506" s="144"/>
      <c r="D6506" s="144"/>
      <c r="E6506" s="144"/>
      <c r="F6506" s="373"/>
      <c r="I6506" s="70"/>
    </row>
    <row r="6507" spans="3:9" s="46" customFormat="1" x14ac:dyDescent="0.2">
      <c r="C6507" s="144"/>
      <c r="D6507" s="144"/>
      <c r="E6507" s="144"/>
      <c r="F6507" s="373"/>
      <c r="I6507" s="70"/>
    </row>
    <row r="6508" spans="3:9" s="46" customFormat="1" x14ac:dyDescent="0.2">
      <c r="C6508" s="144"/>
      <c r="D6508" s="144"/>
      <c r="E6508" s="144"/>
      <c r="F6508" s="373"/>
      <c r="I6508" s="70"/>
    </row>
    <row r="6509" spans="3:9" s="46" customFormat="1" x14ac:dyDescent="0.2">
      <c r="C6509" s="144"/>
      <c r="D6509" s="144"/>
      <c r="E6509" s="144"/>
      <c r="F6509" s="373"/>
      <c r="I6509" s="70"/>
    </row>
    <row r="6510" spans="3:9" s="46" customFormat="1" x14ac:dyDescent="0.2">
      <c r="C6510" s="144"/>
      <c r="D6510" s="144"/>
      <c r="E6510" s="144"/>
      <c r="F6510" s="373"/>
      <c r="I6510" s="70"/>
    </row>
    <row r="6511" spans="3:9" s="46" customFormat="1" x14ac:dyDescent="0.2">
      <c r="C6511" s="144"/>
      <c r="D6511" s="144"/>
      <c r="E6511" s="144"/>
      <c r="F6511" s="373"/>
      <c r="I6511" s="70"/>
    </row>
    <row r="6512" spans="3:9" s="46" customFormat="1" x14ac:dyDescent="0.2">
      <c r="C6512" s="144"/>
      <c r="D6512" s="144"/>
      <c r="E6512" s="144"/>
      <c r="F6512" s="373"/>
      <c r="I6512" s="70"/>
    </row>
    <row r="6513" spans="3:9" s="46" customFormat="1" x14ac:dyDescent="0.2">
      <c r="C6513" s="144"/>
      <c r="D6513" s="144"/>
      <c r="E6513" s="144"/>
      <c r="F6513" s="373"/>
      <c r="I6513" s="70"/>
    </row>
    <row r="6514" spans="3:9" s="46" customFormat="1" x14ac:dyDescent="0.2">
      <c r="C6514" s="144"/>
      <c r="D6514" s="144"/>
      <c r="E6514" s="144"/>
      <c r="F6514" s="373"/>
      <c r="I6514" s="70"/>
    </row>
    <row r="6515" spans="3:9" s="46" customFormat="1" x14ac:dyDescent="0.2">
      <c r="C6515" s="144"/>
      <c r="D6515" s="144"/>
      <c r="E6515" s="144"/>
      <c r="F6515" s="373"/>
      <c r="I6515" s="70"/>
    </row>
    <row r="6516" spans="3:9" s="46" customFormat="1" x14ac:dyDescent="0.2">
      <c r="C6516" s="144"/>
      <c r="D6516" s="144"/>
      <c r="E6516" s="144"/>
      <c r="F6516" s="373"/>
      <c r="I6516" s="70"/>
    </row>
    <row r="6517" spans="3:9" s="46" customFormat="1" x14ac:dyDescent="0.2">
      <c r="C6517" s="144"/>
      <c r="D6517" s="144"/>
      <c r="E6517" s="144"/>
      <c r="F6517" s="373"/>
      <c r="I6517" s="70"/>
    </row>
    <row r="6518" spans="3:9" s="46" customFormat="1" x14ac:dyDescent="0.2">
      <c r="C6518" s="144"/>
      <c r="D6518" s="144"/>
      <c r="E6518" s="144"/>
      <c r="F6518" s="373"/>
      <c r="I6518" s="70"/>
    </row>
    <row r="6519" spans="3:9" s="46" customFormat="1" x14ac:dyDescent="0.2">
      <c r="C6519" s="144"/>
      <c r="D6519" s="144"/>
      <c r="E6519" s="144"/>
      <c r="F6519" s="373"/>
      <c r="I6519" s="70"/>
    </row>
    <row r="6520" spans="3:9" s="46" customFormat="1" x14ac:dyDescent="0.2">
      <c r="C6520" s="144"/>
      <c r="D6520" s="144"/>
      <c r="E6520" s="144"/>
      <c r="F6520" s="373"/>
      <c r="I6520" s="70"/>
    </row>
    <row r="6521" spans="3:9" s="46" customFormat="1" x14ac:dyDescent="0.2">
      <c r="C6521" s="144"/>
      <c r="D6521" s="144"/>
      <c r="E6521" s="144"/>
      <c r="F6521" s="373"/>
      <c r="I6521" s="70"/>
    </row>
    <row r="6522" spans="3:9" s="46" customFormat="1" x14ac:dyDescent="0.2">
      <c r="C6522" s="144"/>
      <c r="D6522" s="144"/>
      <c r="E6522" s="144"/>
      <c r="F6522" s="373"/>
      <c r="I6522" s="70"/>
    </row>
    <row r="6523" spans="3:9" s="46" customFormat="1" x14ac:dyDescent="0.2">
      <c r="C6523" s="144"/>
      <c r="D6523" s="144"/>
      <c r="E6523" s="144"/>
      <c r="F6523" s="373"/>
      <c r="I6523" s="70"/>
    </row>
    <row r="6524" spans="3:9" s="46" customFormat="1" x14ac:dyDescent="0.2">
      <c r="C6524" s="144"/>
      <c r="D6524" s="144"/>
      <c r="E6524" s="144"/>
      <c r="F6524" s="373"/>
      <c r="I6524" s="70"/>
    </row>
    <row r="6525" spans="3:9" s="46" customFormat="1" x14ac:dyDescent="0.2">
      <c r="C6525" s="144"/>
      <c r="D6525" s="144"/>
      <c r="E6525" s="144"/>
      <c r="F6525" s="373"/>
      <c r="I6525" s="70"/>
    </row>
    <row r="6526" spans="3:9" s="46" customFormat="1" x14ac:dyDescent="0.2">
      <c r="C6526" s="144"/>
      <c r="D6526" s="144"/>
      <c r="E6526" s="144"/>
      <c r="F6526" s="373"/>
      <c r="I6526" s="70"/>
    </row>
    <row r="6527" spans="3:9" s="46" customFormat="1" x14ac:dyDescent="0.2">
      <c r="C6527" s="144"/>
      <c r="D6527" s="144"/>
      <c r="E6527" s="144"/>
      <c r="F6527" s="373"/>
      <c r="I6527" s="70"/>
    </row>
    <row r="6528" spans="3:9" s="46" customFormat="1" x14ac:dyDescent="0.2">
      <c r="C6528" s="144"/>
      <c r="D6528" s="144"/>
      <c r="E6528" s="144"/>
      <c r="F6528" s="373"/>
      <c r="I6528" s="70"/>
    </row>
    <row r="6529" spans="3:9" s="46" customFormat="1" x14ac:dyDescent="0.2">
      <c r="C6529" s="144"/>
      <c r="D6529" s="144"/>
      <c r="E6529" s="144"/>
      <c r="F6529" s="373"/>
      <c r="I6529" s="70"/>
    </row>
    <row r="6530" spans="3:9" s="46" customFormat="1" x14ac:dyDescent="0.2">
      <c r="C6530" s="144"/>
      <c r="D6530" s="144"/>
      <c r="E6530" s="144"/>
      <c r="F6530" s="373"/>
      <c r="I6530" s="70"/>
    </row>
    <row r="6531" spans="3:9" s="46" customFormat="1" x14ac:dyDescent="0.2">
      <c r="C6531" s="144"/>
      <c r="D6531" s="144"/>
      <c r="E6531" s="144"/>
      <c r="F6531" s="373"/>
      <c r="I6531" s="70"/>
    </row>
    <row r="6532" spans="3:9" s="46" customFormat="1" x14ac:dyDescent="0.2">
      <c r="C6532" s="144"/>
      <c r="D6532" s="144"/>
      <c r="E6532" s="144"/>
      <c r="F6532" s="373"/>
      <c r="I6532" s="70"/>
    </row>
    <row r="6533" spans="3:9" s="46" customFormat="1" x14ac:dyDescent="0.2">
      <c r="C6533" s="144"/>
      <c r="D6533" s="144"/>
      <c r="E6533" s="144"/>
      <c r="F6533" s="373"/>
      <c r="I6533" s="70"/>
    </row>
    <row r="6534" spans="3:9" s="46" customFormat="1" x14ac:dyDescent="0.2">
      <c r="C6534" s="144"/>
      <c r="D6534" s="144"/>
      <c r="E6534" s="144"/>
      <c r="F6534" s="373"/>
      <c r="I6534" s="70"/>
    </row>
    <row r="6535" spans="3:9" s="46" customFormat="1" x14ac:dyDescent="0.2">
      <c r="C6535" s="144"/>
      <c r="D6535" s="144"/>
      <c r="E6535" s="144"/>
      <c r="F6535" s="373"/>
      <c r="I6535" s="70"/>
    </row>
    <row r="6536" spans="3:9" s="46" customFormat="1" x14ac:dyDescent="0.2">
      <c r="C6536" s="144"/>
      <c r="D6536" s="144"/>
      <c r="E6536" s="144"/>
      <c r="F6536" s="373"/>
      <c r="I6536" s="70"/>
    </row>
    <row r="6537" spans="3:9" s="46" customFormat="1" x14ac:dyDescent="0.2">
      <c r="C6537" s="144"/>
      <c r="D6537" s="144"/>
      <c r="E6537" s="144"/>
      <c r="F6537" s="373"/>
      <c r="I6537" s="70"/>
    </row>
    <row r="6538" spans="3:9" s="46" customFormat="1" x14ac:dyDescent="0.2">
      <c r="C6538" s="144"/>
      <c r="D6538" s="144"/>
      <c r="E6538" s="144"/>
      <c r="F6538" s="373"/>
      <c r="I6538" s="70"/>
    </row>
    <row r="6539" spans="3:9" s="46" customFormat="1" x14ac:dyDescent="0.2">
      <c r="C6539" s="144"/>
      <c r="D6539" s="144"/>
      <c r="E6539" s="144"/>
      <c r="F6539" s="373"/>
      <c r="I6539" s="70"/>
    </row>
    <row r="6540" spans="3:9" s="46" customFormat="1" x14ac:dyDescent="0.2">
      <c r="C6540" s="144"/>
      <c r="D6540" s="144"/>
      <c r="E6540" s="144"/>
      <c r="F6540" s="373"/>
      <c r="I6540" s="70"/>
    </row>
    <row r="6541" spans="3:9" s="46" customFormat="1" x14ac:dyDescent="0.2">
      <c r="C6541" s="144"/>
      <c r="D6541" s="144"/>
      <c r="E6541" s="144"/>
      <c r="F6541" s="373"/>
      <c r="I6541" s="70"/>
    </row>
    <row r="6542" spans="3:9" s="46" customFormat="1" x14ac:dyDescent="0.2">
      <c r="C6542" s="144"/>
      <c r="D6542" s="144"/>
      <c r="E6542" s="144"/>
      <c r="F6542" s="373"/>
      <c r="I6542" s="70"/>
    </row>
    <row r="6543" spans="3:9" s="46" customFormat="1" x14ac:dyDescent="0.2">
      <c r="C6543" s="144"/>
      <c r="D6543" s="144"/>
      <c r="E6543" s="144"/>
      <c r="F6543" s="373"/>
      <c r="I6543" s="70"/>
    </row>
    <row r="6544" spans="3:9" s="46" customFormat="1" x14ac:dyDescent="0.2">
      <c r="C6544" s="144"/>
      <c r="D6544" s="144"/>
      <c r="E6544" s="144"/>
      <c r="F6544" s="373"/>
      <c r="I6544" s="70"/>
    </row>
    <row r="6545" spans="3:9" s="46" customFormat="1" x14ac:dyDescent="0.2">
      <c r="C6545" s="144"/>
      <c r="D6545" s="144"/>
      <c r="E6545" s="144"/>
      <c r="F6545" s="373"/>
      <c r="I6545" s="70"/>
    </row>
    <row r="6546" spans="3:9" s="46" customFormat="1" x14ac:dyDescent="0.2">
      <c r="C6546" s="144"/>
      <c r="D6546" s="144"/>
      <c r="E6546" s="144"/>
      <c r="F6546" s="373"/>
      <c r="I6546" s="70"/>
    </row>
    <row r="6547" spans="3:9" s="46" customFormat="1" x14ac:dyDescent="0.2">
      <c r="C6547" s="144"/>
      <c r="D6547" s="144"/>
      <c r="E6547" s="144"/>
      <c r="F6547" s="373"/>
      <c r="I6547" s="70"/>
    </row>
    <row r="6548" spans="3:9" s="46" customFormat="1" x14ac:dyDescent="0.2">
      <c r="C6548" s="144"/>
      <c r="D6548" s="144"/>
      <c r="E6548" s="144"/>
      <c r="F6548" s="373"/>
      <c r="I6548" s="70"/>
    </row>
    <row r="6549" spans="3:9" s="46" customFormat="1" x14ac:dyDescent="0.2">
      <c r="C6549" s="144"/>
      <c r="D6549" s="144"/>
      <c r="E6549" s="144"/>
      <c r="F6549" s="373"/>
      <c r="I6549" s="70"/>
    </row>
    <row r="6550" spans="3:9" s="46" customFormat="1" x14ac:dyDescent="0.2">
      <c r="C6550" s="144"/>
      <c r="D6550" s="144"/>
      <c r="E6550" s="144"/>
      <c r="F6550" s="373"/>
      <c r="I6550" s="70"/>
    </row>
    <row r="6551" spans="3:9" s="46" customFormat="1" x14ac:dyDescent="0.2">
      <c r="C6551" s="144"/>
      <c r="D6551" s="144"/>
      <c r="E6551" s="144"/>
      <c r="F6551" s="373"/>
      <c r="I6551" s="70"/>
    </row>
    <row r="6552" spans="3:9" s="46" customFormat="1" x14ac:dyDescent="0.2">
      <c r="C6552" s="144"/>
      <c r="D6552" s="144"/>
      <c r="E6552" s="144"/>
      <c r="F6552" s="373"/>
      <c r="I6552" s="70"/>
    </row>
    <row r="6553" spans="3:9" s="46" customFormat="1" x14ac:dyDescent="0.2">
      <c r="C6553" s="144"/>
      <c r="D6553" s="144"/>
      <c r="E6553" s="144"/>
      <c r="F6553" s="373"/>
      <c r="I6553" s="70"/>
    </row>
    <row r="6554" spans="3:9" s="46" customFormat="1" x14ac:dyDescent="0.2">
      <c r="C6554" s="144"/>
      <c r="D6554" s="144"/>
      <c r="E6554" s="144"/>
      <c r="F6554" s="373"/>
      <c r="I6554" s="70"/>
    </row>
    <row r="6555" spans="3:9" s="46" customFormat="1" x14ac:dyDescent="0.2">
      <c r="C6555" s="144"/>
      <c r="D6555" s="144"/>
      <c r="E6555" s="144"/>
      <c r="F6555" s="373"/>
      <c r="I6555" s="70"/>
    </row>
    <row r="6556" spans="3:9" s="46" customFormat="1" x14ac:dyDescent="0.2">
      <c r="C6556" s="144"/>
      <c r="D6556" s="144"/>
      <c r="E6556" s="144"/>
      <c r="F6556" s="373"/>
      <c r="I6556" s="70"/>
    </row>
    <row r="6557" spans="3:9" s="46" customFormat="1" x14ac:dyDescent="0.2">
      <c r="C6557" s="144"/>
      <c r="D6557" s="144"/>
      <c r="E6557" s="144"/>
      <c r="F6557" s="373"/>
      <c r="I6557" s="70"/>
    </row>
    <row r="6558" spans="3:9" s="46" customFormat="1" x14ac:dyDescent="0.2">
      <c r="C6558" s="144"/>
      <c r="D6558" s="144"/>
      <c r="E6558" s="144"/>
      <c r="F6558" s="373"/>
      <c r="I6558" s="70"/>
    </row>
    <row r="6559" spans="3:9" s="46" customFormat="1" x14ac:dyDescent="0.2">
      <c r="C6559" s="144"/>
      <c r="D6559" s="144"/>
      <c r="E6559" s="144"/>
      <c r="F6559" s="373"/>
      <c r="I6559" s="70"/>
    </row>
    <row r="6560" spans="3:9" s="46" customFormat="1" x14ac:dyDescent="0.2">
      <c r="C6560" s="144"/>
      <c r="D6560" s="144"/>
      <c r="E6560" s="144"/>
      <c r="F6560" s="373"/>
      <c r="I6560" s="70"/>
    </row>
    <row r="6561" spans="3:9" s="46" customFormat="1" x14ac:dyDescent="0.2">
      <c r="C6561" s="144"/>
      <c r="D6561" s="144"/>
      <c r="E6561" s="144"/>
      <c r="F6561" s="373"/>
      <c r="I6561" s="70"/>
    </row>
    <row r="6562" spans="3:9" s="46" customFormat="1" x14ac:dyDescent="0.2">
      <c r="C6562" s="144"/>
      <c r="D6562" s="144"/>
      <c r="E6562" s="144"/>
      <c r="F6562" s="373"/>
      <c r="I6562" s="70"/>
    </row>
    <row r="6563" spans="3:9" s="46" customFormat="1" x14ac:dyDescent="0.2">
      <c r="C6563" s="144"/>
      <c r="D6563" s="144"/>
      <c r="E6563" s="144"/>
      <c r="F6563" s="373"/>
      <c r="I6563" s="70"/>
    </row>
    <row r="6564" spans="3:9" s="46" customFormat="1" x14ac:dyDescent="0.2">
      <c r="C6564" s="144"/>
      <c r="D6564" s="144"/>
      <c r="E6564" s="144"/>
      <c r="F6564" s="373"/>
      <c r="I6564" s="70"/>
    </row>
    <row r="6565" spans="3:9" s="46" customFormat="1" x14ac:dyDescent="0.2">
      <c r="C6565" s="144"/>
      <c r="D6565" s="144"/>
      <c r="E6565" s="144"/>
      <c r="F6565" s="373"/>
      <c r="I6565" s="70"/>
    </row>
    <row r="6566" spans="3:9" s="46" customFormat="1" x14ac:dyDescent="0.2">
      <c r="C6566" s="144"/>
      <c r="D6566" s="144"/>
      <c r="E6566" s="144"/>
      <c r="F6566" s="373"/>
      <c r="I6566" s="70"/>
    </row>
    <row r="6567" spans="3:9" s="46" customFormat="1" x14ac:dyDescent="0.2">
      <c r="C6567" s="144"/>
      <c r="D6567" s="144"/>
      <c r="E6567" s="144"/>
      <c r="F6567" s="373"/>
      <c r="I6567" s="70"/>
    </row>
    <row r="6568" spans="3:9" s="46" customFormat="1" x14ac:dyDescent="0.2">
      <c r="C6568" s="144"/>
      <c r="D6568" s="144"/>
      <c r="E6568" s="144"/>
      <c r="F6568" s="373"/>
      <c r="I6568" s="70"/>
    </row>
    <row r="6569" spans="3:9" s="46" customFormat="1" x14ac:dyDescent="0.2">
      <c r="C6569" s="144"/>
      <c r="D6569" s="144"/>
      <c r="E6569" s="144"/>
      <c r="F6569" s="373"/>
      <c r="I6569" s="70"/>
    </row>
    <row r="6570" spans="3:9" s="46" customFormat="1" x14ac:dyDescent="0.2">
      <c r="C6570" s="144"/>
      <c r="D6570" s="144"/>
      <c r="E6570" s="144"/>
      <c r="F6570" s="373"/>
      <c r="I6570" s="70"/>
    </row>
    <row r="6571" spans="3:9" s="46" customFormat="1" x14ac:dyDescent="0.2">
      <c r="C6571" s="144"/>
      <c r="D6571" s="144"/>
      <c r="E6571" s="144"/>
      <c r="F6571" s="373"/>
      <c r="I6571" s="70"/>
    </row>
    <row r="6572" spans="3:9" s="46" customFormat="1" x14ac:dyDescent="0.2">
      <c r="C6572" s="144"/>
      <c r="D6572" s="144"/>
      <c r="E6572" s="144"/>
      <c r="F6572" s="373"/>
      <c r="I6572" s="70"/>
    </row>
    <row r="6573" spans="3:9" s="46" customFormat="1" x14ac:dyDescent="0.2">
      <c r="C6573" s="144"/>
      <c r="D6573" s="144"/>
      <c r="E6573" s="144"/>
      <c r="F6573" s="373"/>
      <c r="I6573" s="70"/>
    </row>
    <row r="6574" spans="3:9" s="46" customFormat="1" x14ac:dyDescent="0.2">
      <c r="C6574" s="144"/>
      <c r="D6574" s="144"/>
      <c r="E6574" s="144"/>
      <c r="F6574" s="373"/>
      <c r="I6574" s="70"/>
    </row>
    <row r="6575" spans="3:9" s="46" customFormat="1" x14ac:dyDescent="0.2">
      <c r="C6575" s="144"/>
      <c r="D6575" s="144"/>
      <c r="E6575" s="144"/>
      <c r="F6575" s="373"/>
      <c r="I6575" s="70"/>
    </row>
    <row r="6576" spans="3:9" s="46" customFormat="1" x14ac:dyDescent="0.2">
      <c r="C6576" s="144"/>
      <c r="D6576" s="144"/>
      <c r="E6576" s="144"/>
      <c r="F6576" s="373"/>
      <c r="I6576" s="70"/>
    </row>
    <row r="6577" spans="3:9" s="46" customFormat="1" x14ac:dyDescent="0.2">
      <c r="C6577" s="144"/>
      <c r="D6577" s="144"/>
      <c r="E6577" s="144"/>
      <c r="F6577" s="373"/>
      <c r="I6577" s="70"/>
    </row>
    <row r="6578" spans="3:9" s="46" customFormat="1" x14ac:dyDescent="0.2">
      <c r="C6578" s="144"/>
      <c r="D6578" s="144"/>
      <c r="E6578" s="144"/>
      <c r="F6578" s="373"/>
      <c r="I6578" s="70"/>
    </row>
    <row r="6579" spans="3:9" s="46" customFormat="1" x14ac:dyDescent="0.2">
      <c r="C6579" s="144"/>
      <c r="D6579" s="144"/>
      <c r="E6579" s="144"/>
      <c r="F6579" s="373"/>
      <c r="I6579" s="70"/>
    </row>
    <row r="6580" spans="3:9" s="46" customFormat="1" x14ac:dyDescent="0.2">
      <c r="C6580" s="144"/>
      <c r="D6580" s="144"/>
      <c r="E6580" s="144"/>
      <c r="F6580" s="373"/>
      <c r="I6580" s="70"/>
    </row>
    <row r="6581" spans="3:9" s="46" customFormat="1" x14ac:dyDescent="0.2">
      <c r="C6581" s="144"/>
      <c r="D6581" s="144"/>
      <c r="E6581" s="144"/>
      <c r="F6581" s="373"/>
      <c r="I6581" s="70"/>
    </row>
    <row r="6582" spans="3:9" s="46" customFormat="1" x14ac:dyDescent="0.2">
      <c r="C6582" s="144"/>
      <c r="D6582" s="144"/>
      <c r="E6582" s="144"/>
      <c r="F6582" s="373"/>
      <c r="I6582" s="70"/>
    </row>
    <row r="6583" spans="3:9" s="46" customFormat="1" x14ac:dyDescent="0.2">
      <c r="C6583" s="144"/>
      <c r="D6583" s="144"/>
      <c r="E6583" s="144"/>
      <c r="F6583" s="373"/>
      <c r="I6583" s="70"/>
    </row>
    <row r="6584" spans="3:9" s="46" customFormat="1" x14ac:dyDescent="0.2">
      <c r="C6584" s="144"/>
      <c r="D6584" s="144"/>
      <c r="E6584" s="144"/>
      <c r="F6584" s="373"/>
      <c r="I6584" s="70"/>
    </row>
    <row r="6585" spans="3:9" s="46" customFormat="1" x14ac:dyDescent="0.2">
      <c r="C6585" s="144"/>
      <c r="D6585" s="144"/>
      <c r="E6585" s="144"/>
      <c r="F6585" s="373"/>
      <c r="I6585" s="70"/>
    </row>
    <row r="6586" spans="3:9" s="46" customFormat="1" x14ac:dyDescent="0.2">
      <c r="C6586" s="144"/>
      <c r="D6586" s="144"/>
      <c r="E6586" s="144"/>
      <c r="F6586" s="373"/>
      <c r="I6586" s="70"/>
    </row>
    <row r="6587" spans="3:9" s="46" customFormat="1" x14ac:dyDescent="0.2">
      <c r="C6587" s="144"/>
      <c r="D6587" s="144"/>
      <c r="E6587" s="144"/>
      <c r="F6587" s="373"/>
      <c r="I6587" s="70"/>
    </row>
    <row r="6588" spans="3:9" s="46" customFormat="1" x14ac:dyDescent="0.2">
      <c r="C6588" s="144"/>
      <c r="D6588" s="144"/>
      <c r="E6588" s="144"/>
      <c r="F6588" s="373"/>
      <c r="I6588" s="70"/>
    </row>
    <row r="6589" spans="3:9" s="46" customFormat="1" x14ac:dyDescent="0.2">
      <c r="C6589" s="144"/>
      <c r="D6589" s="144"/>
      <c r="E6589" s="144"/>
      <c r="F6589" s="373"/>
      <c r="I6589" s="70"/>
    </row>
    <row r="6590" spans="3:9" s="46" customFormat="1" x14ac:dyDescent="0.2">
      <c r="C6590" s="144"/>
      <c r="D6590" s="144"/>
      <c r="E6590" s="144"/>
      <c r="F6590" s="373"/>
      <c r="I6590" s="70"/>
    </row>
    <row r="6591" spans="3:9" s="46" customFormat="1" x14ac:dyDescent="0.2">
      <c r="C6591" s="144"/>
      <c r="D6591" s="144"/>
      <c r="E6591" s="144"/>
      <c r="F6591" s="373"/>
      <c r="I6591" s="70"/>
    </row>
    <row r="6592" spans="3:9" s="46" customFormat="1" x14ac:dyDescent="0.2">
      <c r="C6592" s="144"/>
      <c r="D6592" s="144"/>
      <c r="E6592" s="144"/>
      <c r="F6592" s="373"/>
      <c r="I6592" s="70"/>
    </row>
    <row r="6593" spans="3:9" s="46" customFormat="1" x14ac:dyDescent="0.2">
      <c r="C6593" s="144"/>
      <c r="D6593" s="144"/>
      <c r="E6593" s="144"/>
      <c r="F6593" s="373"/>
      <c r="I6593" s="70"/>
    </row>
    <row r="6594" spans="3:9" s="46" customFormat="1" x14ac:dyDescent="0.2">
      <c r="C6594" s="144"/>
      <c r="D6594" s="144"/>
      <c r="E6594" s="144"/>
      <c r="F6594" s="373"/>
      <c r="I6594" s="70"/>
    </row>
    <row r="6595" spans="3:9" s="46" customFormat="1" x14ac:dyDescent="0.2">
      <c r="C6595" s="144"/>
      <c r="D6595" s="144"/>
      <c r="E6595" s="144"/>
      <c r="F6595" s="373"/>
      <c r="I6595" s="70"/>
    </row>
    <row r="6596" spans="3:9" s="46" customFormat="1" x14ac:dyDescent="0.2">
      <c r="C6596" s="144"/>
      <c r="D6596" s="144"/>
      <c r="E6596" s="144"/>
      <c r="F6596" s="373"/>
      <c r="I6596" s="70"/>
    </row>
    <row r="6597" spans="3:9" s="46" customFormat="1" x14ac:dyDescent="0.2">
      <c r="C6597" s="144"/>
      <c r="D6597" s="144"/>
      <c r="E6597" s="144"/>
      <c r="F6597" s="373"/>
      <c r="I6597" s="70"/>
    </row>
    <row r="6598" spans="3:9" s="46" customFormat="1" x14ac:dyDescent="0.2">
      <c r="C6598" s="144"/>
      <c r="D6598" s="144"/>
      <c r="E6598" s="144"/>
      <c r="F6598" s="373"/>
      <c r="I6598" s="70"/>
    </row>
    <row r="6599" spans="3:9" s="46" customFormat="1" x14ac:dyDescent="0.2">
      <c r="C6599" s="144"/>
      <c r="D6599" s="144"/>
      <c r="E6599" s="144"/>
      <c r="F6599" s="373"/>
      <c r="I6599" s="70"/>
    </row>
    <row r="6600" spans="3:9" s="46" customFormat="1" x14ac:dyDescent="0.2">
      <c r="C6600" s="144"/>
      <c r="D6600" s="144"/>
      <c r="E6600" s="144"/>
      <c r="F6600" s="373"/>
      <c r="I6600" s="70"/>
    </row>
    <row r="6601" spans="3:9" s="46" customFormat="1" x14ac:dyDescent="0.2">
      <c r="C6601" s="144"/>
      <c r="D6601" s="144"/>
      <c r="E6601" s="144"/>
      <c r="F6601" s="373"/>
      <c r="I6601" s="70"/>
    </row>
    <row r="6602" spans="3:9" s="46" customFormat="1" x14ac:dyDescent="0.2">
      <c r="C6602" s="144"/>
      <c r="D6602" s="144"/>
      <c r="E6602" s="144"/>
      <c r="F6602" s="373"/>
      <c r="I6602" s="70"/>
    </row>
    <row r="6603" spans="3:9" s="46" customFormat="1" x14ac:dyDescent="0.2">
      <c r="C6603" s="144"/>
      <c r="D6603" s="144"/>
      <c r="E6603" s="144"/>
      <c r="F6603" s="373"/>
      <c r="I6603" s="70"/>
    </row>
    <row r="6604" spans="3:9" s="46" customFormat="1" x14ac:dyDescent="0.2">
      <c r="C6604" s="144"/>
      <c r="D6604" s="144"/>
      <c r="E6604" s="144"/>
      <c r="F6604" s="373"/>
      <c r="I6604" s="70"/>
    </row>
    <row r="6605" spans="3:9" s="46" customFormat="1" x14ac:dyDescent="0.2">
      <c r="C6605" s="144"/>
      <c r="D6605" s="144"/>
      <c r="E6605" s="144"/>
      <c r="F6605" s="373"/>
      <c r="I6605" s="70"/>
    </row>
    <row r="6606" spans="3:9" s="46" customFormat="1" x14ac:dyDescent="0.2">
      <c r="C6606" s="144"/>
      <c r="D6606" s="144"/>
      <c r="E6606" s="144"/>
      <c r="F6606" s="373"/>
      <c r="I6606" s="70"/>
    </row>
    <row r="6607" spans="3:9" s="46" customFormat="1" x14ac:dyDescent="0.2">
      <c r="C6607" s="144"/>
      <c r="D6607" s="144"/>
      <c r="E6607" s="144"/>
      <c r="F6607" s="373"/>
      <c r="I6607" s="70"/>
    </row>
    <row r="6608" spans="3:9" s="46" customFormat="1" x14ac:dyDescent="0.2">
      <c r="C6608" s="144"/>
      <c r="D6608" s="144"/>
      <c r="E6608" s="144"/>
      <c r="F6608" s="373"/>
      <c r="I6608" s="70"/>
    </row>
    <row r="6609" spans="3:9" s="46" customFormat="1" x14ac:dyDescent="0.2">
      <c r="C6609" s="144"/>
      <c r="D6609" s="144"/>
      <c r="E6609" s="144"/>
      <c r="F6609" s="373"/>
      <c r="I6609" s="70"/>
    </row>
    <row r="6610" spans="3:9" s="46" customFormat="1" x14ac:dyDescent="0.2">
      <c r="C6610" s="144"/>
      <c r="D6610" s="144"/>
      <c r="E6610" s="144"/>
      <c r="F6610" s="373"/>
      <c r="I6610" s="70"/>
    </row>
    <row r="6611" spans="3:9" s="46" customFormat="1" x14ac:dyDescent="0.2">
      <c r="C6611" s="144"/>
      <c r="D6611" s="144"/>
      <c r="E6611" s="144"/>
      <c r="F6611" s="373"/>
      <c r="I6611" s="70"/>
    </row>
    <row r="6612" spans="3:9" s="46" customFormat="1" x14ac:dyDescent="0.2">
      <c r="C6612" s="144"/>
      <c r="D6612" s="144"/>
      <c r="E6612" s="144"/>
      <c r="F6612" s="373"/>
      <c r="I6612" s="70"/>
    </row>
    <row r="6613" spans="3:9" s="46" customFormat="1" x14ac:dyDescent="0.2">
      <c r="C6613" s="144"/>
      <c r="D6613" s="144"/>
      <c r="E6613" s="144"/>
      <c r="F6613" s="373"/>
      <c r="I6613" s="70"/>
    </row>
    <row r="6614" spans="3:9" s="46" customFormat="1" x14ac:dyDescent="0.2">
      <c r="C6614" s="144"/>
      <c r="D6614" s="144"/>
      <c r="E6614" s="144"/>
      <c r="F6614" s="373"/>
      <c r="I6614" s="70"/>
    </row>
    <row r="6615" spans="3:9" s="46" customFormat="1" x14ac:dyDescent="0.2">
      <c r="C6615" s="144"/>
      <c r="D6615" s="144"/>
      <c r="E6615" s="144"/>
      <c r="F6615" s="373"/>
      <c r="I6615" s="70"/>
    </row>
    <row r="6616" spans="3:9" s="46" customFormat="1" x14ac:dyDescent="0.2">
      <c r="C6616" s="144"/>
      <c r="D6616" s="144"/>
      <c r="E6616" s="144"/>
      <c r="F6616" s="373"/>
      <c r="I6616" s="70"/>
    </row>
    <row r="6617" spans="3:9" s="46" customFormat="1" x14ac:dyDescent="0.2">
      <c r="C6617" s="144"/>
      <c r="D6617" s="144"/>
      <c r="E6617" s="144"/>
      <c r="F6617" s="373"/>
      <c r="I6617" s="70"/>
    </row>
    <row r="6618" spans="3:9" s="46" customFormat="1" x14ac:dyDescent="0.2">
      <c r="C6618" s="144"/>
      <c r="D6618" s="144"/>
      <c r="E6618" s="144"/>
      <c r="F6618" s="373"/>
      <c r="I6618" s="70"/>
    </row>
    <row r="6619" spans="3:9" s="46" customFormat="1" x14ac:dyDescent="0.2">
      <c r="C6619" s="144"/>
      <c r="D6619" s="144"/>
      <c r="E6619" s="144"/>
      <c r="F6619" s="373"/>
      <c r="I6619" s="70"/>
    </row>
    <row r="6620" spans="3:9" s="46" customFormat="1" x14ac:dyDescent="0.2">
      <c r="C6620" s="144"/>
      <c r="D6620" s="144"/>
      <c r="E6620" s="144"/>
      <c r="F6620" s="373"/>
      <c r="I6620" s="70"/>
    </row>
    <row r="6621" spans="3:9" s="46" customFormat="1" x14ac:dyDescent="0.2">
      <c r="C6621" s="144"/>
      <c r="D6621" s="144"/>
      <c r="E6621" s="144"/>
      <c r="F6621" s="373"/>
      <c r="I6621" s="70"/>
    </row>
    <row r="6622" spans="3:9" s="46" customFormat="1" x14ac:dyDescent="0.2">
      <c r="C6622" s="144"/>
      <c r="D6622" s="144"/>
      <c r="E6622" s="144"/>
      <c r="F6622" s="373"/>
      <c r="I6622" s="70"/>
    </row>
    <row r="6623" spans="3:9" s="46" customFormat="1" x14ac:dyDescent="0.2">
      <c r="C6623" s="144"/>
      <c r="D6623" s="144"/>
      <c r="E6623" s="144"/>
      <c r="F6623" s="373"/>
      <c r="I6623" s="70"/>
    </row>
    <row r="6624" spans="3:9" s="46" customFormat="1" x14ac:dyDescent="0.2">
      <c r="C6624" s="144"/>
      <c r="D6624" s="144"/>
      <c r="E6624" s="144"/>
      <c r="F6624" s="373"/>
      <c r="I6624" s="70"/>
    </row>
    <row r="6625" spans="3:9" s="46" customFormat="1" x14ac:dyDescent="0.2">
      <c r="C6625" s="144"/>
      <c r="D6625" s="144"/>
      <c r="E6625" s="144"/>
      <c r="F6625" s="373"/>
      <c r="I6625" s="70"/>
    </row>
    <row r="6626" spans="3:9" s="46" customFormat="1" x14ac:dyDescent="0.2">
      <c r="C6626" s="144"/>
      <c r="D6626" s="144"/>
      <c r="E6626" s="144"/>
      <c r="F6626" s="373"/>
      <c r="I6626" s="70"/>
    </row>
    <row r="6627" spans="3:9" s="46" customFormat="1" x14ac:dyDescent="0.2">
      <c r="C6627" s="144"/>
      <c r="D6627" s="144"/>
      <c r="E6627" s="144"/>
      <c r="F6627" s="373"/>
      <c r="I6627" s="70"/>
    </row>
    <row r="6628" spans="3:9" s="46" customFormat="1" x14ac:dyDescent="0.2">
      <c r="C6628" s="144"/>
      <c r="D6628" s="144"/>
      <c r="E6628" s="144"/>
      <c r="F6628" s="373"/>
      <c r="I6628" s="70"/>
    </row>
    <row r="6629" spans="3:9" s="46" customFormat="1" x14ac:dyDescent="0.2">
      <c r="C6629" s="144"/>
      <c r="D6629" s="144"/>
      <c r="E6629" s="144"/>
      <c r="F6629" s="373"/>
      <c r="I6629" s="70"/>
    </row>
    <row r="6630" spans="3:9" s="46" customFormat="1" x14ac:dyDescent="0.2">
      <c r="C6630" s="144"/>
      <c r="D6630" s="144"/>
      <c r="E6630" s="144"/>
      <c r="F6630" s="373"/>
      <c r="I6630" s="70"/>
    </row>
    <row r="6631" spans="3:9" s="46" customFormat="1" x14ac:dyDescent="0.2">
      <c r="C6631" s="144"/>
      <c r="D6631" s="144"/>
      <c r="E6631" s="144"/>
      <c r="F6631" s="373"/>
      <c r="I6631" s="70"/>
    </row>
    <row r="6632" spans="3:9" s="46" customFormat="1" x14ac:dyDescent="0.2">
      <c r="C6632" s="144"/>
      <c r="D6632" s="144"/>
      <c r="E6632" s="144"/>
      <c r="F6632" s="373"/>
      <c r="I6632" s="70"/>
    </row>
    <row r="6633" spans="3:9" s="46" customFormat="1" x14ac:dyDescent="0.2">
      <c r="C6633" s="144"/>
      <c r="D6633" s="144"/>
      <c r="E6633" s="144"/>
      <c r="F6633" s="373"/>
      <c r="I6633" s="70"/>
    </row>
    <row r="6634" spans="3:9" s="46" customFormat="1" x14ac:dyDescent="0.2">
      <c r="C6634" s="144"/>
      <c r="D6634" s="144"/>
      <c r="E6634" s="144"/>
      <c r="F6634" s="373"/>
      <c r="I6634" s="70"/>
    </row>
    <row r="6635" spans="3:9" s="46" customFormat="1" x14ac:dyDescent="0.2">
      <c r="C6635" s="144"/>
      <c r="D6635" s="144"/>
      <c r="E6635" s="144"/>
      <c r="F6635" s="373"/>
      <c r="I6635" s="70"/>
    </row>
    <row r="6636" spans="3:9" s="46" customFormat="1" x14ac:dyDescent="0.2">
      <c r="C6636" s="144"/>
      <c r="D6636" s="144"/>
      <c r="E6636" s="144"/>
      <c r="F6636" s="373"/>
      <c r="I6636" s="70"/>
    </row>
    <row r="6637" spans="3:9" s="46" customFormat="1" x14ac:dyDescent="0.2">
      <c r="C6637" s="144"/>
      <c r="D6637" s="144"/>
      <c r="E6637" s="144"/>
      <c r="F6637" s="373"/>
      <c r="I6637" s="70"/>
    </row>
    <row r="6638" spans="3:9" s="46" customFormat="1" x14ac:dyDescent="0.2">
      <c r="C6638" s="144"/>
      <c r="D6638" s="144"/>
      <c r="E6638" s="144"/>
      <c r="F6638" s="373"/>
      <c r="I6638" s="70"/>
    </row>
    <row r="6639" spans="3:9" s="46" customFormat="1" x14ac:dyDescent="0.2">
      <c r="C6639" s="144"/>
      <c r="D6639" s="144"/>
      <c r="E6639" s="144"/>
      <c r="F6639" s="373"/>
      <c r="I6639" s="70"/>
    </row>
    <row r="6640" spans="3:9" s="46" customFormat="1" x14ac:dyDescent="0.2">
      <c r="C6640" s="144"/>
      <c r="D6640" s="144"/>
      <c r="E6640" s="144"/>
      <c r="F6640" s="373"/>
      <c r="I6640" s="70"/>
    </row>
    <row r="6641" spans="3:9" s="46" customFormat="1" x14ac:dyDescent="0.2">
      <c r="C6641" s="144"/>
      <c r="D6641" s="144"/>
      <c r="E6641" s="144"/>
      <c r="F6641" s="373"/>
      <c r="I6641" s="70"/>
    </row>
    <row r="6642" spans="3:9" s="46" customFormat="1" x14ac:dyDescent="0.2">
      <c r="C6642" s="144"/>
      <c r="D6642" s="144"/>
      <c r="E6642" s="144"/>
      <c r="F6642" s="373"/>
      <c r="I6642" s="70"/>
    </row>
    <row r="6643" spans="3:9" s="46" customFormat="1" x14ac:dyDescent="0.2">
      <c r="C6643" s="144"/>
      <c r="D6643" s="144"/>
      <c r="E6643" s="144"/>
      <c r="F6643" s="373"/>
      <c r="I6643" s="70"/>
    </row>
    <row r="6644" spans="3:9" s="46" customFormat="1" x14ac:dyDescent="0.2">
      <c r="C6644" s="144"/>
      <c r="D6644" s="144"/>
      <c r="E6644" s="144"/>
      <c r="F6644" s="373"/>
      <c r="I6644" s="70"/>
    </row>
    <row r="6645" spans="3:9" s="46" customFormat="1" x14ac:dyDescent="0.2">
      <c r="C6645" s="144"/>
      <c r="D6645" s="144"/>
      <c r="E6645" s="144"/>
      <c r="F6645" s="373"/>
      <c r="I6645" s="70"/>
    </row>
    <row r="6646" spans="3:9" s="46" customFormat="1" x14ac:dyDescent="0.2">
      <c r="C6646" s="144"/>
      <c r="D6646" s="144"/>
      <c r="E6646" s="144"/>
      <c r="F6646" s="373"/>
      <c r="I6646" s="70"/>
    </row>
    <row r="6647" spans="3:9" s="46" customFormat="1" x14ac:dyDescent="0.2">
      <c r="C6647" s="144"/>
      <c r="D6647" s="144"/>
      <c r="E6647" s="144"/>
      <c r="F6647" s="373"/>
      <c r="I6647" s="70"/>
    </row>
    <row r="6648" spans="3:9" s="46" customFormat="1" x14ac:dyDescent="0.2">
      <c r="C6648" s="144"/>
      <c r="D6648" s="144"/>
      <c r="E6648" s="144"/>
      <c r="F6648" s="373"/>
      <c r="I6648" s="70"/>
    </row>
    <row r="6649" spans="3:9" s="46" customFormat="1" x14ac:dyDescent="0.2">
      <c r="C6649" s="144"/>
      <c r="D6649" s="144"/>
      <c r="E6649" s="144"/>
      <c r="F6649" s="373"/>
      <c r="I6649" s="70"/>
    </row>
    <row r="6650" spans="3:9" s="46" customFormat="1" x14ac:dyDescent="0.2">
      <c r="C6650" s="144"/>
      <c r="D6650" s="144"/>
      <c r="E6650" s="144"/>
      <c r="F6650" s="373"/>
      <c r="I6650" s="70"/>
    </row>
    <row r="6651" spans="3:9" s="46" customFormat="1" x14ac:dyDescent="0.2">
      <c r="C6651" s="144"/>
      <c r="D6651" s="144"/>
      <c r="E6651" s="144"/>
      <c r="F6651" s="373"/>
      <c r="I6651" s="70"/>
    </row>
    <row r="6652" spans="3:9" s="46" customFormat="1" x14ac:dyDescent="0.2">
      <c r="C6652" s="144"/>
      <c r="D6652" s="144"/>
      <c r="E6652" s="144"/>
      <c r="F6652" s="373"/>
      <c r="I6652" s="70"/>
    </row>
    <row r="6653" spans="3:9" s="46" customFormat="1" x14ac:dyDescent="0.2">
      <c r="C6653" s="144"/>
      <c r="D6653" s="144"/>
      <c r="E6653" s="144"/>
      <c r="F6653" s="373"/>
      <c r="I6653" s="70"/>
    </row>
    <row r="6654" spans="3:9" s="46" customFormat="1" x14ac:dyDescent="0.2">
      <c r="C6654" s="144"/>
      <c r="D6654" s="144"/>
      <c r="E6654" s="144"/>
      <c r="F6654" s="373"/>
      <c r="I6654" s="70"/>
    </row>
    <row r="6655" spans="3:9" s="46" customFormat="1" x14ac:dyDescent="0.2">
      <c r="C6655" s="144"/>
      <c r="D6655" s="144"/>
      <c r="E6655" s="144"/>
      <c r="F6655" s="373"/>
      <c r="I6655" s="70"/>
    </row>
    <row r="6656" spans="3:9" s="46" customFormat="1" x14ac:dyDescent="0.2">
      <c r="C6656" s="144"/>
      <c r="D6656" s="144"/>
      <c r="E6656" s="144"/>
      <c r="F6656" s="373"/>
      <c r="I6656" s="70"/>
    </row>
    <row r="6657" spans="3:9" s="46" customFormat="1" x14ac:dyDescent="0.2">
      <c r="C6657" s="144"/>
      <c r="D6657" s="144"/>
      <c r="E6657" s="144"/>
      <c r="F6657" s="373"/>
      <c r="I6657" s="70"/>
    </row>
    <row r="6658" spans="3:9" s="46" customFormat="1" x14ac:dyDescent="0.2">
      <c r="C6658" s="144"/>
      <c r="D6658" s="144"/>
      <c r="E6658" s="144"/>
      <c r="F6658" s="373"/>
      <c r="I6658" s="70"/>
    </row>
    <row r="6659" spans="3:9" s="46" customFormat="1" x14ac:dyDescent="0.2">
      <c r="C6659" s="144"/>
      <c r="D6659" s="144"/>
      <c r="E6659" s="144"/>
      <c r="F6659" s="373"/>
      <c r="I6659" s="70"/>
    </row>
    <row r="6660" spans="3:9" s="46" customFormat="1" x14ac:dyDescent="0.2">
      <c r="C6660" s="144"/>
      <c r="D6660" s="144"/>
      <c r="E6660" s="144"/>
      <c r="F6660" s="373"/>
      <c r="I6660" s="70"/>
    </row>
    <row r="6661" spans="3:9" s="46" customFormat="1" x14ac:dyDescent="0.2">
      <c r="C6661" s="144"/>
      <c r="D6661" s="144"/>
      <c r="E6661" s="144"/>
      <c r="F6661" s="373"/>
      <c r="I6661" s="70"/>
    </row>
    <row r="6662" spans="3:9" s="46" customFormat="1" x14ac:dyDescent="0.2">
      <c r="C6662" s="144"/>
      <c r="D6662" s="144"/>
      <c r="E6662" s="144"/>
      <c r="F6662" s="373"/>
      <c r="I6662" s="70"/>
    </row>
    <row r="6663" spans="3:9" s="46" customFormat="1" x14ac:dyDescent="0.2">
      <c r="C6663" s="144"/>
      <c r="D6663" s="144"/>
      <c r="E6663" s="144"/>
      <c r="F6663" s="373"/>
      <c r="I6663" s="70"/>
    </row>
    <row r="6664" spans="3:9" s="46" customFormat="1" x14ac:dyDescent="0.2">
      <c r="C6664" s="144"/>
      <c r="D6664" s="144"/>
      <c r="E6664" s="144"/>
      <c r="F6664" s="373"/>
      <c r="I6664" s="70"/>
    </row>
    <row r="6665" spans="3:9" s="46" customFormat="1" x14ac:dyDescent="0.2">
      <c r="C6665" s="144"/>
      <c r="D6665" s="144"/>
      <c r="E6665" s="144"/>
      <c r="F6665" s="373"/>
      <c r="I6665" s="70"/>
    </row>
    <row r="6666" spans="3:9" s="46" customFormat="1" x14ac:dyDescent="0.2">
      <c r="C6666" s="144"/>
      <c r="D6666" s="144"/>
      <c r="E6666" s="144"/>
      <c r="F6666" s="373"/>
      <c r="I6666" s="70"/>
    </row>
    <row r="6667" spans="3:9" s="46" customFormat="1" x14ac:dyDescent="0.2">
      <c r="C6667" s="144"/>
      <c r="D6667" s="144"/>
      <c r="E6667" s="144"/>
      <c r="F6667" s="373"/>
      <c r="I6667" s="70"/>
    </row>
    <row r="6668" spans="3:9" s="46" customFormat="1" x14ac:dyDescent="0.2">
      <c r="C6668" s="144"/>
      <c r="D6668" s="144"/>
      <c r="E6668" s="144"/>
      <c r="F6668" s="373"/>
      <c r="I6668" s="70"/>
    </row>
    <row r="6669" spans="3:9" s="46" customFormat="1" x14ac:dyDescent="0.2">
      <c r="C6669" s="144"/>
      <c r="D6669" s="144"/>
      <c r="E6669" s="144"/>
      <c r="F6669" s="373"/>
      <c r="I6669" s="70"/>
    </row>
    <row r="6670" spans="3:9" s="46" customFormat="1" x14ac:dyDescent="0.2">
      <c r="C6670" s="144"/>
      <c r="D6670" s="144"/>
      <c r="E6670" s="144"/>
      <c r="F6670" s="373"/>
      <c r="I6670" s="70"/>
    </row>
    <row r="6671" spans="3:9" s="46" customFormat="1" x14ac:dyDescent="0.2">
      <c r="C6671" s="144"/>
      <c r="D6671" s="144"/>
      <c r="E6671" s="144"/>
      <c r="F6671" s="373"/>
      <c r="I6671" s="70"/>
    </row>
    <row r="6672" spans="3:9" s="46" customFormat="1" x14ac:dyDescent="0.2">
      <c r="C6672" s="144"/>
      <c r="D6672" s="144"/>
      <c r="E6672" s="144"/>
      <c r="F6672" s="373"/>
      <c r="I6672" s="70"/>
    </row>
    <row r="6673" spans="3:9" s="46" customFormat="1" x14ac:dyDescent="0.2">
      <c r="C6673" s="144"/>
      <c r="D6673" s="144"/>
      <c r="E6673" s="144"/>
      <c r="F6673" s="373"/>
      <c r="I6673" s="70"/>
    </row>
    <row r="6674" spans="3:9" s="46" customFormat="1" x14ac:dyDescent="0.2">
      <c r="C6674" s="144"/>
      <c r="D6674" s="144"/>
      <c r="E6674" s="144"/>
      <c r="F6674" s="373"/>
      <c r="I6674" s="70"/>
    </row>
    <row r="6675" spans="3:9" s="46" customFormat="1" x14ac:dyDescent="0.2">
      <c r="C6675" s="144"/>
      <c r="D6675" s="144"/>
      <c r="E6675" s="144"/>
      <c r="F6675" s="373"/>
      <c r="I6675" s="70"/>
    </row>
    <row r="6676" spans="3:9" s="46" customFormat="1" x14ac:dyDescent="0.2">
      <c r="C6676" s="144"/>
      <c r="D6676" s="144"/>
      <c r="E6676" s="144"/>
      <c r="F6676" s="373"/>
      <c r="I6676" s="70"/>
    </row>
    <row r="6677" spans="3:9" s="46" customFormat="1" x14ac:dyDescent="0.2">
      <c r="C6677" s="144"/>
      <c r="D6677" s="144"/>
      <c r="E6677" s="144"/>
      <c r="F6677" s="373"/>
      <c r="I6677" s="70"/>
    </row>
    <row r="6678" spans="3:9" s="46" customFormat="1" x14ac:dyDescent="0.2">
      <c r="C6678" s="144"/>
      <c r="D6678" s="144"/>
      <c r="E6678" s="144"/>
      <c r="F6678" s="373"/>
      <c r="I6678" s="70"/>
    </row>
    <row r="6679" spans="3:9" s="46" customFormat="1" x14ac:dyDescent="0.2">
      <c r="C6679" s="144"/>
      <c r="D6679" s="144"/>
      <c r="E6679" s="144"/>
      <c r="F6679" s="373"/>
      <c r="I6679" s="70"/>
    </row>
    <row r="6680" spans="3:9" s="46" customFormat="1" x14ac:dyDescent="0.2">
      <c r="C6680" s="144"/>
      <c r="D6680" s="144"/>
      <c r="E6680" s="144"/>
      <c r="F6680" s="373"/>
      <c r="I6680" s="70"/>
    </row>
    <row r="6681" spans="3:9" s="46" customFormat="1" x14ac:dyDescent="0.2">
      <c r="C6681" s="144"/>
      <c r="D6681" s="144"/>
      <c r="E6681" s="144"/>
      <c r="F6681" s="373"/>
      <c r="I6681" s="70"/>
    </row>
    <row r="6682" spans="3:9" s="46" customFormat="1" x14ac:dyDescent="0.2">
      <c r="C6682" s="144"/>
      <c r="D6682" s="144"/>
      <c r="E6682" s="144"/>
      <c r="F6682" s="373"/>
      <c r="I6682" s="70"/>
    </row>
    <row r="6683" spans="3:9" s="46" customFormat="1" x14ac:dyDescent="0.2">
      <c r="C6683" s="144"/>
      <c r="D6683" s="144"/>
      <c r="E6683" s="144"/>
      <c r="F6683" s="373"/>
      <c r="I6683" s="70"/>
    </row>
    <row r="6684" spans="3:9" s="46" customFormat="1" x14ac:dyDescent="0.2">
      <c r="C6684" s="144"/>
      <c r="D6684" s="144"/>
      <c r="E6684" s="144"/>
      <c r="F6684" s="373"/>
      <c r="I6684" s="70"/>
    </row>
    <row r="6685" spans="3:9" s="46" customFormat="1" x14ac:dyDescent="0.2">
      <c r="C6685" s="144"/>
      <c r="D6685" s="144"/>
      <c r="E6685" s="144"/>
      <c r="F6685" s="373"/>
      <c r="I6685" s="70"/>
    </row>
    <row r="6686" spans="3:9" s="46" customFormat="1" x14ac:dyDescent="0.2">
      <c r="C6686" s="144"/>
      <c r="D6686" s="144"/>
      <c r="E6686" s="144"/>
      <c r="F6686" s="373"/>
      <c r="I6686" s="70"/>
    </row>
    <row r="6687" spans="3:9" s="46" customFormat="1" x14ac:dyDescent="0.2">
      <c r="C6687" s="144"/>
      <c r="D6687" s="144"/>
      <c r="E6687" s="144"/>
      <c r="F6687" s="373"/>
      <c r="I6687" s="70"/>
    </row>
    <row r="6688" spans="3:9" s="46" customFormat="1" x14ac:dyDescent="0.2">
      <c r="C6688" s="144"/>
      <c r="D6688" s="144"/>
      <c r="E6688" s="144"/>
      <c r="F6688" s="373"/>
      <c r="I6688" s="70"/>
    </row>
    <row r="6689" spans="3:9" s="46" customFormat="1" x14ac:dyDescent="0.2">
      <c r="C6689" s="144"/>
      <c r="D6689" s="144"/>
      <c r="E6689" s="144"/>
      <c r="F6689" s="373"/>
      <c r="I6689" s="70"/>
    </row>
    <row r="6690" spans="3:9" s="46" customFormat="1" x14ac:dyDescent="0.2">
      <c r="C6690" s="144"/>
      <c r="D6690" s="144"/>
      <c r="E6690" s="144"/>
      <c r="F6690" s="373"/>
      <c r="I6690" s="70"/>
    </row>
    <row r="6691" spans="3:9" s="46" customFormat="1" x14ac:dyDescent="0.2">
      <c r="C6691" s="144"/>
      <c r="D6691" s="144"/>
      <c r="E6691" s="144"/>
      <c r="F6691" s="373"/>
      <c r="I6691" s="70"/>
    </row>
    <row r="6692" spans="3:9" s="46" customFormat="1" x14ac:dyDescent="0.2">
      <c r="C6692" s="144"/>
      <c r="D6692" s="144"/>
      <c r="E6692" s="144"/>
      <c r="F6692" s="373"/>
      <c r="I6692" s="70"/>
    </row>
    <row r="6693" spans="3:9" s="46" customFormat="1" x14ac:dyDescent="0.2">
      <c r="C6693" s="144"/>
      <c r="D6693" s="144"/>
      <c r="E6693" s="144"/>
      <c r="F6693" s="373"/>
      <c r="I6693" s="70"/>
    </row>
    <row r="6694" spans="3:9" s="46" customFormat="1" x14ac:dyDescent="0.2">
      <c r="C6694" s="144"/>
      <c r="D6694" s="144"/>
      <c r="E6694" s="144"/>
      <c r="F6694" s="373"/>
      <c r="I6694" s="70"/>
    </row>
    <row r="6695" spans="3:9" s="46" customFormat="1" x14ac:dyDescent="0.2">
      <c r="C6695" s="144"/>
      <c r="D6695" s="144"/>
      <c r="E6695" s="144"/>
      <c r="F6695" s="373"/>
      <c r="I6695" s="70"/>
    </row>
    <row r="6696" spans="3:9" s="46" customFormat="1" x14ac:dyDescent="0.2">
      <c r="C6696" s="144"/>
      <c r="D6696" s="144"/>
      <c r="E6696" s="144"/>
      <c r="F6696" s="373"/>
      <c r="I6696" s="70"/>
    </row>
    <row r="6697" spans="3:9" s="46" customFormat="1" x14ac:dyDescent="0.2">
      <c r="C6697" s="144"/>
      <c r="D6697" s="144"/>
      <c r="E6697" s="144"/>
      <c r="F6697" s="373"/>
      <c r="I6697" s="70"/>
    </row>
    <row r="6698" spans="3:9" s="46" customFormat="1" x14ac:dyDescent="0.2">
      <c r="C6698" s="144"/>
      <c r="D6698" s="144"/>
      <c r="E6698" s="144"/>
      <c r="F6698" s="373"/>
      <c r="I6698" s="70"/>
    </row>
    <row r="6699" spans="3:9" s="46" customFormat="1" x14ac:dyDescent="0.2">
      <c r="C6699" s="144"/>
      <c r="D6699" s="144"/>
      <c r="E6699" s="144"/>
      <c r="F6699" s="373"/>
      <c r="I6699" s="70"/>
    </row>
    <row r="6700" spans="3:9" s="46" customFormat="1" x14ac:dyDescent="0.2">
      <c r="C6700" s="144"/>
      <c r="D6700" s="144"/>
      <c r="E6700" s="144"/>
      <c r="F6700" s="373"/>
      <c r="I6700" s="70"/>
    </row>
    <row r="6701" spans="3:9" s="46" customFormat="1" x14ac:dyDescent="0.2">
      <c r="C6701" s="144"/>
      <c r="D6701" s="144"/>
      <c r="E6701" s="144"/>
      <c r="F6701" s="373"/>
      <c r="I6701" s="70"/>
    </row>
    <row r="6702" spans="3:9" s="46" customFormat="1" x14ac:dyDescent="0.2">
      <c r="C6702" s="144"/>
      <c r="D6702" s="144"/>
      <c r="E6702" s="144"/>
      <c r="F6702" s="373"/>
      <c r="I6702" s="70"/>
    </row>
    <row r="6703" spans="3:9" s="46" customFormat="1" x14ac:dyDescent="0.2">
      <c r="C6703" s="144"/>
      <c r="D6703" s="144"/>
      <c r="E6703" s="144"/>
      <c r="F6703" s="373"/>
      <c r="I6703" s="70"/>
    </row>
    <row r="6704" spans="3:9" s="46" customFormat="1" x14ac:dyDescent="0.2">
      <c r="C6704" s="144"/>
      <c r="D6704" s="144"/>
      <c r="E6704" s="144"/>
      <c r="F6704" s="373"/>
      <c r="I6704" s="70"/>
    </row>
    <row r="6705" spans="3:9" s="46" customFormat="1" x14ac:dyDescent="0.2">
      <c r="C6705" s="144"/>
      <c r="D6705" s="144"/>
      <c r="E6705" s="144"/>
      <c r="F6705" s="373"/>
      <c r="I6705" s="70"/>
    </row>
    <row r="6706" spans="3:9" s="46" customFormat="1" x14ac:dyDescent="0.2">
      <c r="C6706" s="144"/>
      <c r="D6706" s="144"/>
      <c r="E6706" s="144"/>
      <c r="F6706" s="373"/>
      <c r="I6706" s="70"/>
    </row>
    <row r="6707" spans="3:9" s="46" customFormat="1" x14ac:dyDescent="0.2">
      <c r="C6707" s="144"/>
      <c r="D6707" s="144"/>
      <c r="E6707" s="144"/>
      <c r="F6707" s="373"/>
      <c r="I6707" s="70"/>
    </row>
    <row r="6708" spans="3:9" s="46" customFormat="1" x14ac:dyDescent="0.2">
      <c r="C6708" s="144"/>
      <c r="D6708" s="144"/>
      <c r="E6708" s="144"/>
      <c r="F6708" s="373"/>
      <c r="I6708" s="70"/>
    </row>
    <row r="6709" spans="3:9" s="46" customFormat="1" x14ac:dyDescent="0.2">
      <c r="C6709" s="144"/>
      <c r="D6709" s="144"/>
      <c r="E6709" s="144"/>
      <c r="F6709" s="373"/>
      <c r="I6709" s="70"/>
    </row>
    <row r="6710" spans="3:9" s="46" customFormat="1" x14ac:dyDescent="0.2">
      <c r="C6710" s="144"/>
      <c r="D6710" s="144"/>
      <c r="E6710" s="144"/>
      <c r="F6710" s="373"/>
      <c r="I6710" s="70"/>
    </row>
    <row r="6711" spans="3:9" s="46" customFormat="1" x14ac:dyDescent="0.2">
      <c r="C6711" s="144"/>
      <c r="D6711" s="144"/>
      <c r="E6711" s="144"/>
      <c r="F6711" s="373"/>
      <c r="I6711" s="70"/>
    </row>
    <row r="6712" spans="3:9" s="46" customFormat="1" x14ac:dyDescent="0.2">
      <c r="C6712" s="144"/>
      <c r="D6712" s="144"/>
      <c r="E6712" s="144"/>
      <c r="F6712" s="373"/>
      <c r="I6712" s="70"/>
    </row>
    <row r="6713" spans="3:9" s="46" customFormat="1" x14ac:dyDescent="0.2">
      <c r="C6713" s="144"/>
      <c r="D6713" s="144"/>
      <c r="E6713" s="144"/>
      <c r="F6713" s="373"/>
      <c r="I6713" s="70"/>
    </row>
    <row r="6714" spans="3:9" s="46" customFormat="1" x14ac:dyDescent="0.2">
      <c r="C6714" s="144"/>
      <c r="D6714" s="144"/>
      <c r="E6714" s="144"/>
      <c r="F6714" s="373"/>
      <c r="I6714" s="70"/>
    </row>
    <row r="6715" spans="3:9" s="46" customFormat="1" x14ac:dyDescent="0.2">
      <c r="C6715" s="144"/>
      <c r="D6715" s="144"/>
      <c r="E6715" s="144"/>
      <c r="F6715" s="373"/>
      <c r="I6715" s="70"/>
    </row>
    <row r="6716" spans="3:9" s="46" customFormat="1" x14ac:dyDescent="0.2">
      <c r="C6716" s="144"/>
      <c r="D6716" s="144"/>
      <c r="E6716" s="144"/>
      <c r="F6716" s="373"/>
      <c r="I6716" s="70"/>
    </row>
    <row r="6717" spans="3:9" s="46" customFormat="1" x14ac:dyDescent="0.2">
      <c r="C6717" s="144"/>
      <c r="D6717" s="144"/>
      <c r="E6717" s="144"/>
      <c r="F6717" s="373"/>
      <c r="I6717" s="70"/>
    </row>
    <row r="6718" spans="3:9" s="46" customFormat="1" x14ac:dyDescent="0.2">
      <c r="C6718" s="144"/>
      <c r="D6718" s="144"/>
      <c r="E6718" s="144"/>
      <c r="F6718" s="373"/>
      <c r="I6718" s="70"/>
    </row>
    <row r="6719" spans="3:9" s="46" customFormat="1" x14ac:dyDescent="0.2">
      <c r="C6719" s="144"/>
      <c r="D6719" s="144"/>
      <c r="E6719" s="144"/>
      <c r="F6719" s="373"/>
      <c r="I6719" s="70"/>
    </row>
    <row r="6720" spans="3:9" s="46" customFormat="1" x14ac:dyDescent="0.2">
      <c r="C6720" s="144"/>
      <c r="D6720" s="144"/>
      <c r="E6720" s="144"/>
      <c r="F6720" s="373"/>
      <c r="I6720" s="70"/>
    </row>
    <row r="6721" spans="3:9" s="46" customFormat="1" x14ac:dyDescent="0.2">
      <c r="C6721" s="144"/>
      <c r="D6721" s="144"/>
      <c r="E6721" s="144"/>
      <c r="F6721" s="373"/>
      <c r="I6721" s="70"/>
    </row>
    <row r="6722" spans="3:9" s="46" customFormat="1" x14ac:dyDescent="0.2">
      <c r="C6722" s="144"/>
      <c r="D6722" s="144"/>
      <c r="E6722" s="144"/>
      <c r="F6722" s="373"/>
      <c r="I6722" s="70"/>
    </row>
    <row r="6723" spans="3:9" s="46" customFormat="1" x14ac:dyDescent="0.2">
      <c r="C6723" s="144"/>
      <c r="D6723" s="144"/>
      <c r="E6723" s="144"/>
      <c r="F6723" s="373"/>
      <c r="I6723" s="70"/>
    </row>
    <row r="6724" spans="3:9" s="46" customFormat="1" x14ac:dyDescent="0.2">
      <c r="C6724" s="144"/>
      <c r="D6724" s="144"/>
      <c r="E6724" s="144"/>
      <c r="F6724" s="373"/>
      <c r="I6724" s="70"/>
    </row>
    <row r="6725" spans="3:9" s="46" customFormat="1" x14ac:dyDescent="0.2">
      <c r="C6725" s="144"/>
      <c r="D6725" s="144"/>
      <c r="E6725" s="144"/>
      <c r="F6725" s="373"/>
      <c r="I6725" s="70"/>
    </row>
    <row r="6726" spans="3:9" s="46" customFormat="1" x14ac:dyDescent="0.2">
      <c r="C6726" s="144"/>
      <c r="D6726" s="144"/>
      <c r="E6726" s="144"/>
      <c r="F6726" s="373"/>
      <c r="I6726" s="70"/>
    </row>
    <row r="6727" spans="3:9" s="46" customFormat="1" x14ac:dyDescent="0.2">
      <c r="C6727" s="144"/>
      <c r="D6727" s="144"/>
      <c r="E6727" s="144"/>
      <c r="F6727" s="373"/>
      <c r="I6727" s="70"/>
    </row>
    <row r="6728" spans="3:9" s="46" customFormat="1" x14ac:dyDescent="0.2">
      <c r="C6728" s="144"/>
      <c r="D6728" s="144"/>
      <c r="E6728" s="144"/>
      <c r="F6728" s="373"/>
      <c r="I6728" s="70"/>
    </row>
    <row r="6729" spans="3:9" s="46" customFormat="1" x14ac:dyDescent="0.2">
      <c r="C6729" s="144"/>
      <c r="D6729" s="144"/>
      <c r="E6729" s="144"/>
      <c r="F6729" s="373"/>
      <c r="I6729" s="70"/>
    </row>
    <row r="6730" spans="3:9" s="46" customFormat="1" x14ac:dyDescent="0.2">
      <c r="C6730" s="144"/>
      <c r="D6730" s="144"/>
      <c r="E6730" s="144"/>
      <c r="F6730" s="373"/>
      <c r="I6730" s="70"/>
    </row>
    <row r="6731" spans="3:9" s="46" customFormat="1" x14ac:dyDescent="0.2">
      <c r="C6731" s="144"/>
      <c r="D6731" s="144"/>
      <c r="E6731" s="144"/>
      <c r="F6731" s="373"/>
      <c r="I6731" s="70"/>
    </row>
    <row r="6732" spans="3:9" s="46" customFormat="1" x14ac:dyDescent="0.2">
      <c r="C6732" s="144"/>
      <c r="D6732" s="144"/>
      <c r="E6732" s="144"/>
      <c r="F6732" s="373"/>
      <c r="I6732" s="70"/>
    </row>
    <row r="6733" spans="3:9" s="46" customFormat="1" x14ac:dyDescent="0.2">
      <c r="C6733" s="144"/>
      <c r="D6733" s="144"/>
      <c r="E6733" s="144"/>
      <c r="F6733" s="373"/>
      <c r="I6733" s="70"/>
    </row>
    <row r="6734" spans="3:9" s="46" customFormat="1" x14ac:dyDescent="0.2">
      <c r="C6734" s="144"/>
      <c r="D6734" s="144"/>
      <c r="E6734" s="144"/>
      <c r="F6734" s="373"/>
      <c r="I6734" s="70"/>
    </row>
    <row r="6735" spans="3:9" s="46" customFormat="1" x14ac:dyDescent="0.2">
      <c r="C6735" s="144"/>
      <c r="D6735" s="144"/>
      <c r="E6735" s="144"/>
      <c r="F6735" s="373"/>
      <c r="I6735" s="70"/>
    </row>
    <row r="6736" spans="3:9" s="46" customFormat="1" x14ac:dyDescent="0.2">
      <c r="C6736" s="144"/>
      <c r="D6736" s="144"/>
      <c r="E6736" s="144"/>
      <c r="F6736" s="373"/>
      <c r="I6736" s="70"/>
    </row>
    <row r="6737" spans="3:9" s="46" customFormat="1" x14ac:dyDescent="0.2">
      <c r="C6737" s="144"/>
      <c r="D6737" s="144"/>
      <c r="E6737" s="144"/>
      <c r="F6737" s="373"/>
      <c r="I6737" s="70"/>
    </row>
    <row r="6738" spans="3:9" s="46" customFormat="1" x14ac:dyDescent="0.2">
      <c r="C6738" s="144"/>
      <c r="D6738" s="144"/>
      <c r="E6738" s="144"/>
      <c r="F6738" s="373"/>
      <c r="I6738" s="70"/>
    </row>
    <row r="6739" spans="3:9" s="46" customFormat="1" x14ac:dyDescent="0.2">
      <c r="C6739" s="144"/>
      <c r="D6739" s="144"/>
      <c r="E6739" s="144"/>
      <c r="F6739" s="373"/>
      <c r="I6739" s="70"/>
    </row>
    <row r="6740" spans="3:9" s="46" customFormat="1" x14ac:dyDescent="0.2">
      <c r="C6740" s="144"/>
      <c r="D6740" s="144"/>
      <c r="E6740" s="144"/>
      <c r="F6740" s="373"/>
      <c r="I6740" s="70"/>
    </row>
    <row r="6741" spans="3:9" s="46" customFormat="1" x14ac:dyDescent="0.2">
      <c r="C6741" s="144"/>
      <c r="D6741" s="144"/>
      <c r="E6741" s="144"/>
      <c r="F6741" s="373"/>
      <c r="I6741" s="70"/>
    </row>
    <row r="6742" spans="3:9" s="46" customFormat="1" x14ac:dyDescent="0.2">
      <c r="C6742" s="144"/>
      <c r="D6742" s="144"/>
      <c r="E6742" s="144"/>
      <c r="F6742" s="373"/>
      <c r="I6742" s="70"/>
    </row>
    <row r="6743" spans="3:9" s="46" customFormat="1" x14ac:dyDescent="0.2">
      <c r="C6743" s="144"/>
      <c r="D6743" s="144"/>
      <c r="E6743" s="144"/>
      <c r="F6743" s="373"/>
      <c r="I6743" s="70"/>
    </row>
    <row r="6744" spans="3:9" s="46" customFormat="1" x14ac:dyDescent="0.2">
      <c r="C6744" s="144"/>
      <c r="D6744" s="144"/>
      <c r="E6744" s="144"/>
      <c r="F6744" s="373"/>
      <c r="I6744" s="70"/>
    </row>
    <row r="6745" spans="3:9" s="46" customFormat="1" x14ac:dyDescent="0.2">
      <c r="C6745" s="144"/>
      <c r="D6745" s="144"/>
      <c r="E6745" s="144"/>
      <c r="F6745" s="373"/>
      <c r="I6745" s="70"/>
    </row>
    <row r="6746" spans="3:9" s="46" customFormat="1" x14ac:dyDescent="0.2">
      <c r="C6746" s="144"/>
      <c r="D6746" s="144"/>
      <c r="E6746" s="144"/>
      <c r="F6746" s="373"/>
      <c r="I6746" s="70"/>
    </row>
    <row r="6747" spans="3:9" s="46" customFormat="1" x14ac:dyDescent="0.2">
      <c r="C6747" s="144"/>
      <c r="D6747" s="144"/>
      <c r="E6747" s="144"/>
      <c r="F6747" s="373"/>
      <c r="I6747" s="70"/>
    </row>
    <row r="6748" spans="3:9" s="46" customFormat="1" x14ac:dyDescent="0.2">
      <c r="C6748" s="144"/>
      <c r="D6748" s="144"/>
      <c r="E6748" s="144"/>
      <c r="F6748" s="373"/>
      <c r="I6748" s="70"/>
    </row>
    <row r="6749" spans="3:9" s="46" customFormat="1" x14ac:dyDescent="0.2">
      <c r="C6749" s="144"/>
      <c r="D6749" s="144"/>
      <c r="E6749" s="144"/>
      <c r="F6749" s="373"/>
      <c r="I6749" s="70"/>
    </row>
    <row r="6750" spans="3:9" s="46" customFormat="1" x14ac:dyDescent="0.2">
      <c r="C6750" s="144"/>
      <c r="D6750" s="144"/>
      <c r="E6750" s="144"/>
      <c r="F6750" s="373"/>
      <c r="I6750" s="70"/>
    </row>
    <row r="6751" spans="3:9" s="46" customFormat="1" x14ac:dyDescent="0.2">
      <c r="C6751" s="144"/>
      <c r="D6751" s="144"/>
      <c r="E6751" s="144"/>
      <c r="F6751" s="373"/>
      <c r="I6751" s="70"/>
    </row>
    <row r="6752" spans="3:9" s="46" customFormat="1" x14ac:dyDescent="0.2">
      <c r="C6752" s="144"/>
      <c r="D6752" s="144"/>
      <c r="E6752" s="144"/>
      <c r="F6752" s="373"/>
      <c r="I6752" s="70"/>
    </row>
    <row r="6753" spans="3:9" s="46" customFormat="1" x14ac:dyDescent="0.2">
      <c r="C6753" s="144"/>
      <c r="D6753" s="144"/>
      <c r="E6753" s="144"/>
      <c r="F6753" s="373"/>
      <c r="I6753" s="70"/>
    </row>
    <row r="6754" spans="3:9" s="46" customFormat="1" x14ac:dyDescent="0.2">
      <c r="C6754" s="144"/>
      <c r="D6754" s="144"/>
      <c r="E6754" s="144"/>
      <c r="F6754" s="373"/>
      <c r="I6754" s="70"/>
    </row>
    <row r="6755" spans="3:9" s="46" customFormat="1" x14ac:dyDescent="0.2">
      <c r="C6755" s="144"/>
      <c r="D6755" s="144"/>
      <c r="E6755" s="144"/>
      <c r="F6755" s="373"/>
      <c r="I6755" s="70"/>
    </row>
    <row r="6756" spans="3:9" s="46" customFormat="1" x14ac:dyDescent="0.2">
      <c r="C6756" s="144"/>
      <c r="D6756" s="144"/>
      <c r="E6756" s="144"/>
      <c r="F6756" s="373"/>
      <c r="I6756" s="70"/>
    </row>
    <row r="6757" spans="3:9" s="46" customFormat="1" x14ac:dyDescent="0.2">
      <c r="C6757" s="144"/>
      <c r="D6757" s="144"/>
      <c r="E6757" s="144"/>
      <c r="F6757" s="373"/>
      <c r="I6757" s="70"/>
    </row>
    <row r="6758" spans="3:9" s="46" customFormat="1" x14ac:dyDescent="0.2">
      <c r="C6758" s="144"/>
      <c r="D6758" s="144"/>
      <c r="E6758" s="144"/>
      <c r="F6758" s="373"/>
      <c r="I6758" s="70"/>
    </row>
    <row r="6759" spans="3:9" s="46" customFormat="1" x14ac:dyDescent="0.2">
      <c r="C6759" s="144"/>
      <c r="D6759" s="144"/>
      <c r="E6759" s="144"/>
      <c r="F6759" s="373"/>
      <c r="I6759" s="70"/>
    </row>
    <row r="6760" spans="3:9" s="46" customFormat="1" x14ac:dyDescent="0.2">
      <c r="C6760" s="144"/>
      <c r="D6760" s="144"/>
      <c r="E6760" s="144"/>
      <c r="F6760" s="373"/>
      <c r="I6760" s="70"/>
    </row>
    <row r="6761" spans="3:9" s="46" customFormat="1" x14ac:dyDescent="0.2">
      <c r="C6761" s="144"/>
      <c r="D6761" s="144"/>
      <c r="E6761" s="144"/>
      <c r="F6761" s="373"/>
      <c r="I6761" s="70"/>
    </row>
    <row r="6762" spans="3:9" s="46" customFormat="1" x14ac:dyDescent="0.2">
      <c r="C6762" s="144"/>
      <c r="D6762" s="144"/>
      <c r="E6762" s="144"/>
      <c r="F6762" s="373"/>
      <c r="I6762" s="70"/>
    </row>
    <row r="6763" spans="3:9" s="46" customFormat="1" x14ac:dyDescent="0.2">
      <c r="C6763" s="144"/>
      <c r="D6763" s="144"/>
      <c r="E6763" s="144"/>
      <c r="F6763" s="373"/>
      <c r="I6763" s="70"/>
    </row>
    <row r="6764" spans="3:9" s="46" customFormat="1" x14ac:dyDescent="0.2">
      <c r="C6764" s="144"/>
      <c r="D6764" s="144"/>
      <c r="E6764" s="144"/>
      <c r="F6764" s="373"/>
      <c r="I6764" s="70"/>
    </row>
    <row r="6765" spans="3:9" s="46" customFormat="1" x14ac:dyDescent="0.2">
      <c r="C6765" s="144"/>
      <c r="D6765" s="144"/>
      <c r="E6765" s="144"/>
      <c r="F6765" s="373"/>
      <c r="I6765" s="70"/>
    </row>
    <row r="6766" spans="3:9" s="46" customFormat="1" x14ac:dyDescent="0.2">
      <c r="C6766" s="144"/>
      <c r="D6766" s="144"/>
      <c r="E6766" s="144"/>
      <c r="F6766" s="373"/>
      <c r="I6766" s="70"/>
    </row>
    <row r="6767" spans="3:9" s="46" customFormat="1" x14ac:dyDescent="0.2">
      <c r="C6767" s="144"/>
      <c r="D6767" s="144"/>
      <c r="E6767" s="144"/>
      <c r="F6767" s="373"/>
      <c r="I6767" s="70"/>
    </row>
    <row r="6768" spans="3:9" s="46" customFormat="1" x14ac:dyDescent="0.2">
      <c r="C6768" s="144"/>
      <c r="D6768" s="144"/>
      <c r="E6768" s="144"/>
      <c r="F6768" s="373"/>
      <c r="I6768" s="70"/>
    </row>
    <row r="6769" spans="3:9" s="46" customFormat="1" x14ac:dyDescent="0.2">
      <c r="C6769" s="144"/>
      <c r="D6769" s="144"/>
      <c r="E6769" s="144"/>
      <c r="F6769" s="373"/>
      <c r="I6769" s="70"/>
    </row>
    <row r="6770" spans="3:9" s="46" customFormat="1" x14ac:dyDescent="0.2">
      <c r="C6770" s="144"/>
      <c r="D6770" s="144"/>
      <c r="E6770" s="144"/>
      <c r="F6770" s="373"/>
      <c r="I6770" s="70"/>
    </row>
    <row r="6771" spans="3:9" s="46" customFormat="1" x14ac:dyDescent="0.2">
      <c r="C6771" s="144"/>
      <c r="D6771" s="144"/>
      <c r="E6771" s="144"/>
      <c r="F6771" s="373"/>
      <c r="I6771" s="70"/>
    </row>
    <row r="6772" spans="3:9" s="46" customFormat="1" x14ac:dyDescent="0.2">
      <c r="C6772" s="144"/>
      <c r="D6772" s="144"/>
      <c r="E6772" s="144"/>
      <c r="F6772" s="373"/>
      <c r="I6772" s="70"/>
    </row>
    <row r="6773" spans="3:9" s="46" customFormat="1" x14ac:dyDescent="0.2">
      <c r="C6773" s="144"/>
      <c r="D6773" s="144"/>
      <c r="E6773" s="144"/>
      <c r="F6773" s="373"/>
      <c r="I6773" s="70"/>
    </row>
    <row r="6774" spans="3:9" s="46" customFormat="1" x14ac:dyDescent="0.2">
      <c r="C6774" s="144"/>
      <c r="D6774" s="144"/>
      <c r="E6774" s="144"/>
      <c r="F6774" s="373"/>
      <c r="I6774" s="70"/>
    </row>
    <row r="6775" spans="3:9" s="46" customFormat="1" x14ac:dyDescent="0.2">
      <c r="C6775" s="144"/>
      <c r="D6775" s="144"/>
      <c r="E6775" s="144"/>
      <c r="F6775" s="373"/>
      <c r="I6775" s="70"/>
    </row>
    <row r="6776" spans="3:9" s="46" customFormat="1" x14ac:dyDescent="0.2">
      <c r="C6776" s="144"/>
      <c r="D6776" s="144"/>
      <c r="E6776" s="144"/>
      <c r="F6776" s="373"/>
      <c r="I6776" s="70"/>
    </row>
    <row r="6777" spans="3:9" s="46" customFormat="1" x14ac:dyDescent="0.2">
      <c r="C6777" s="144"/>
      <c r="D6777" s="144"/>
      <c r="E6777" s="144"/>
      <c r="F6777" s="373"/>
      <c r="I6777" s="70"/>
    </row>
    <row r="6778" spans="3:9" s="46" customFormat="1" x14ac:dyDescent="0.2">
      <c r="C6778" s="144"/>
      <c r="D6778" s="144"/>
      <c r="E6778" s="144"/>
      <c r="F6778" s="373"/>
      <c r="I6778" s="70"/>
    </row>
    <row r="6779" spans="3:9" s="46" customFormat="1" x14ac:dyDescent="0.2">
      <c r="C6779" s="144"/>
      <c r="D6779" s="144"/>
      <c r="E6779" s="144"/>
      <c r="F6779" s="373"/>
      <c r="I6779" s="70"/>
    </row>
    <row r="6780" spans="3:9" s="46" customFormat="1" x14ac:dyDescent="0.2">
      <c r="C6780" s="144"/>
      <c r="D6780" s="144"/>
      <c r="E6780" s="144"/>
      <c r="F6780" s="373"/>
      <c r="I6780" s="70"/>
    </row>
    <row r="6781" spans="3:9" s="46" customFormat="1" x14ac:dyDescent="0.2">
      <c r="C6781" s="144"/>
      <c r="D6781" s="144"/>
      <c r="E6781" s="144"/>
      <c r="F6781" s="373"/>
      <c r="I6781" s="70"/>
    </row>
    <row r="6782" spans="3:9" s="46" customFormat="1" x14ac:dyDescent="0.2">
      <c r="C6782" s="144"/>
      <c r="D6782" s="144"/>
      <c r="E6782" s="144"/>
      <c r="F6782" s="373"/>
      <c r="I6782" s="70"/>
    </row>
    <row r="6783" spans="3:9" s="46" customFormat="1" x14ac:dyDescent="0.2">
      <c r="C6783" s="144"/>
      <c r="D6783" s="144"/>
      <c r="E6783" s="144"/>
      <c r="F6783" s="373"/>
      <c r="I6783" s="70"/>
    </row>
    <row r="6784" spans="3:9" s="46" customFormat="1" x14ac:dyDescent="0.2">
      <c r="C6784" s="144"/>
      <c r="D6784" s="144"/>
      <c r="E6784" s="144"/>
      <c r="F6784" s="373"/>
      <c r="I6784" s="70"/>
    </row>
    <row r="6785" spans="3:9" s="46" customFormat="1" x14ac:dyDescent="0.2">
      <c r="C6785" s="144"/>
      <c r="D6785" s="144"/>
      <c r="E6785" s="144"/>
      <c r="F6785" s="373"/>
      <c r="I6785" s="70"/>
    </row>
    <row r="6786" spans="3:9" s="46" customFormat="1" x14ac:dyDescent="0.2">
      <c r="C6786" s="144"/>
      <c r="D6786" s="144"/>
      <c r="E6786" s="144"/>
      <c r="F6786" s="373"/>
      <c r="I6786" s="70"/>
    </row>
    <row r="6787" spans="3:9" s="46" customFormat="1" x14ac:dyDescent="0.2">
      <c r="C6787" s="144"/>
      <c r="D6787" s="144"/>
      <c r="E6787" s="144"/>
      <c r="F6787" s="373"/>
      <c r="I6787" s="70"/>
    </row>
    <row r="6788" spans="3:9" s="46" customFormat="1" x14ac:dyDescent="0.2">
      <c r="C6788" s="144"/>
      <c r="D6788" s="144"/>
      <c r="E6788" s="144"/>
      <c r="F6788" s="373"/>
      <c r="I6788" s="70"/>
    </row>
    <row r="6789" spans="3:9" s="46" customFormat="1" x14ac:dyDescent="0.2">
      <c r="C6789" s="144"/>
      <c r="D6789" s="144"/>
      <c r="E6789" s="144"/>
      <c r="F6789" s="373"/>
      <c r="I6789" s="70"/>
    </row>
    <row r="6790" spans="3:9" s="46" customFormat="1" x14ac:dyDescent="0.2">
      <c r="C6790" s="144"/>
      <c r="D6790" s="144"/>
      <c r="E6790" s="144"/>
      <c r="F6790" s="373"/>
      <c r="I6790" s="70"/>
    </row>
    <row r="6791" spans="3:9" s="46" customFormat="1" x14ac:dyDescent="0.2">
      <c r="C6791" s="144"/>
      <c r="D6791" s="144"/>
      <c r="E6791" s="144"/>
      <c r="F6791" s="373"/>
      <c r="I6791" s="70"/>
    </row>
    <row r="6792" spans="3:9" s="46" customFormat="1" x14ac:dyDescent="0.2">
      <c r="C6792" s="144"/>
      <c r="D6792" s="144"/>
      <c r="E6792" s="144"/>
      <c r="F6792" s="373"/>
      <c r="I6792" s="70"/>
    </row>
    <row r="6793" spans="3:9" s="46" customFormat="1" x14ac:dyDescent="0.2">
      <c r="C6793" s="144"/>
      <c r="D6793" s="144"/>
      <c r="E6793" s="144"/>
      <c r="F6793" s="373"/>
      <c r="I6793" s="70"/>
    </row>
    <row r="6794" spans="3:9" s="46" customFormat="1" x14ac:dyDescent="0.2">
      <c r="C6794" s="144"/>
      <c r="D6794" s="144"/>
      <c r="E6794" s="144"/>
      <c r="F6794" s="373"/>
      <c r="I6794" s="70"/>
    </row>
    <row r="6795" spans="3:9" s="46" customFormat="1" x14ac:dyDescent="0.2">
      <c r="C6795" s="144"/>
      <c r="D6795" s="144"/>
      <c r="E6795" s="144"/>
      <c r="F6795" s="373"/>
      <c r="I6795" s="70"/>
    </row>
    <row r="6796" spans="3:9" s="46" customFormat="1" x14ac:dyDescent="0.2">
      <c r="C6796" s="144"/>
      <c r="D6796" s="144"/>
      <c r="E6796" s="144"/>
      <c r="F6796" s="373"/>
      <c r="I6796" s="70"/>
    </row>
    <row r="6797" spans="3:9" s="46" customFormat="1" x14ac:dyDescent="0.2">
      <c r="C6797" s="144"/>
      <c r="D6797" s="144"/>
      <c r="E6797" s="144"/>
      <c r="F6797" s="373"/>
      <c r="I6797" s="70"/>
    </row>
    <row r="6798" spans="3:9" s="46" customFormat="1" x14ac:dyDescent="0.2">
      <c r="C6798" s="144"/>
      <c r="D6798" s="144"/>
      <c r="E6798" s="144"/>
      <c r="F6798" s="373"/>
      <c r="I6798" s="70"/>
    </row>
    <row r="6799" spans="3:9" s="46" customFormat="1" x14ac:dyDescent="0.2">
      <c r="C6799" s="144"/>
      <c r="D6799" s="144"/>
      <c r="E6799" s="144"/>
      <c r="F6799" s="373"/>
      <c r="I6799" s="70"/>
    </row>
    <row r="6800" spans="3:9" s="46" customFormat="1" x14ac:dyDescent="0.2">
      <c r="C6800" s="144"/>
      <c r="D6800" s="144"/>
      <c r="E6800" s="144"/>
      <c r="F6800" s="373"/>
      <c r="I6800" s="70"/>
    </row>
    <row r="6801" spans="3:9" s="46" customFormat="1" x14ac:dyDescent="0.2">
      <c r="C6801" s="144"/>
      <c r="D6801" s="144"/>
      <c r="E6801" s="144"/>
      <c r="F6801" s="373"/>
      <c r="I6801" s="70"/>
    </row>
    <row r="6802" spans="3:9" s="46" customFormat="1" x14ac:dyDescent="0.2">
      <c r="C6802" s="144"/>
      <c r="D6802" s="144"/>
      <c r="E6802" s="144"/>
      <c r="F6802" s="373"/>
      <c r="I6802" s="70"/>
    </row>
    <row r="6803" spans="3:9" s="46" customFormat="1" x14ac:dyDescent="0.2">
      <c r="C6803" s="144"/>
      <c r="D6803" s="144"/>
      <c r="E6803" s="144"/>
      <c r="F6803" s="373"/>
      <c r="I6803" s="70"/>
    </row>
    <row r="6804" spans="3:9" s="46" customFormat="1" x14ac:dyDescent="0.2">
      <c r="C6804" s="144"/>
      <c r="D6804" s="144"/>
      <c r="E6804" s="144"/>
      <c r="F6804" s="373"/>
      <c r="I6804" s="70"/>
    </row>
    <row r="6805" spans="3:9" s="46" customFormat="1" x14ac:dyDescent="0.2">
      <c r="C6805" s="144"/>
      <c r="D6805" s="144"/>
      <c r="E6805" s="144"/>
      <c r="F6805" s="373"/>
      <c r="I6805" s="70"/>
    </row>
    <row r="6806" spans="3:9" s="46" customFormat="1" x14ac:dyDescent="0.2">
      <c r="C6806" s="144"/>
      <c r="D6806" s="144"/>
      <c r="E6806" s="144"/>
      <c r="F6806" s="373"/>
      <c r="I6806" s="70"/>
    </row>
    <row r="6807" spans="3:9" s="46" customFormat="1" x14ac:dyDescent="0.2">
      <c r="C6807" s="144"/>
      <c r="D6807" s="144"/>
      <c r="E6807" s="144"/>
      <c r="F6807" s="373"/>
      <c r="I6807" s="70"/>
    </row>
    <row r="6808" spans="3:9" s="46" customFormat="1" x14ac:dyDescent="0.2">
      <c r="C6808" s="144"/>
      <c r="D6808" s="144"/>
      <c r="E6808" s="144"/>
      <c r="F6808" s="373"/>
      <c r="I6808" s="70"/>
    </row>
    <row r="6809" spans="3:9" s="46" customFormat="1" x14ac:dyDescent="0.2">
      <c r="C6809" s="144"/>
      <c r="D6809" s="144"/>
      <c r="E6809" s="144"/>
      <c r="F6809" s="373"/>
      <c r="I6809" s="70"/>
    </row>
    <row r="6810" spans="3:9" s="46" customFormat="1" x14ac:dyDescent="0.2">
      <c r="C6810" s="144"/>
      <c r="D6810" s="144"/>
      <c r="E6810" s="144"/>
      <c r="F6810" s="373"/>
      <c r="I6810" s="70"/>
    </row>
    <row r="6811" spans="3:9" s="46" customFormat="1" x14ac:dyDescent="0.2">
      <c r="C6811" s="144"/>
      <c r="D6811" s="144"/>
      <c r="E6811" s="144"/>
      <c r="F6811" s="373"/>
      <c r="I6811" s="70"/>
    </row>
    <row r="6812" spans="3:9" s="46" customFormat="1" x14ac:dyDescent="0.2">
      <c r="C6812" s="144"/>
      <c r="D6812" s="144"/>
      <c r="E6812" s="144"/>
      <c r="F6812" s="373"/>
      <c r="I6812" s="70"/>
    </row>
    <row r="6813" spans="3:9" s="46" customFormat="1" x14ac:dyDescent="0.2">
      <c r="C6813" s="144"/>
      <c r="D6813" s="144"/>
      <c r="E6813" s="144"/>
      <c r="F6813" s="373"/>
      <c r="I6813" s="70"/>
    </row>
    <row r="6814" spans="3:9" s="46" customFormat="1" x14ac:dyDescent="0.2">
      <c r="C6814" s="144"/>
      <c r="D6814" s="144"/>
      <c r="E6814" s="144"/>
      <c r="F6814" s="373"/>
      <c r="I6814" s="70"/>
    </row>
    <row r="6815" spans="3:9" s="46" customFormat="1" x14ac:dyDescent="0.2">
      <c r="C6815" s="144"/>
      <c r="D6815" s="144"/>
      <c r="E6815" s="144"/>
      <c r="F6815" s="373"/>
      <c r="I6815" s="70"/>
    </row>
    <row r="6816" spans="3:9" s="46" customFormat="1" x14ac:dyDescent="0.2">
      <c r="C6816" s="144"/>
      <c r="D6816" s="144"/>
      <c r="E6816" s="144"/>
      <c r="F6816" s="373"/>
      <c r="I6816" s="70"/>
    </row>
    <row r="6817" spans="3:9" s="46" customFormat="1" x14ac:dyDescent="0.2">
      <c r="C6817" s="144"/>
      <c r="D6817" s="144"/>
      <c r="E6817" s="144"/>
      <c r="F6817" s="373"/>
      <c r="I6817" s="70"/>
    </row>
    <row r="6818" spans="3:9" s="46" customFormat="1" x14ac:dyDescent="0.2">
      <c r="C6818" s="144"/>
      <c r="D6818" s="144"/>
      <c r="E6818" s="144"/>
      <c r="F6818" s="373"/>
      <c r="I6818" s="70"/>
    </row>
    <row r="6819" spans="3:9" s="46" customFormat="1" x14ac:dyDescent="0.2">
      <c r="C6819" s="144"/>
      <c r="D6819" s="144"/>
      <c r="E6819" s="144"/>
      <c r="F6819" s="373"/>
      <c r="I6819" s="70"/>
    </row>
    <row r="6820" spans="3:9" s="46" customFormat="1" x14ac:dyDescent="0.2">
      <c r="C6820" s="144"/>
      <c r="D6820" s="144"/>
      <c r="E6820" s="144"/>
      <c r="F6820" s="373"/>
      <c r="I6820" s="70"/>
    </row>
    <row r="6821" spans="3:9" s="46" customFormat="1" x14ac:dyDescent="0.2">
      <c r="C6821" s="144"/>
      <c r="D6821" s="144"/>
      <c r="E6821" s="144"/>
      <c r="F6821" s="373"/>
      <c r="I6821" s="70"/>
    </row>
    <row r="6822" spans="3:9" s="46" customFormat="1" x14ac:dyDescent="0.2">
      <c r="C6822" s="144"/>
      <c r="D6822" s="144"/>
      <c r="E6822" s="144"/>
      <c r="F6822" s="373"/>
      <c r="I6822" s="70"/>
    </row>
    <row r="6823" spans="3:9" s="46" customFormat="1" x14ac:dyDescent="0.2">
      <c r="C6823" s="144"/>
      <c r="D6823" s="144"/>
      <c r="E6823" s="144"/>
      <c r="F6823" s="373"/>
      <c r="I6823" s="70"/>
    </row>
    <row r="6824" spans="3:9" s="46" customFormat="1" x14ac:dyDescent="0.2">
      <c r="C6824" s="144"/>
      <c r="D6824" s="144"/>
      <c r="E6824" s="144"/>
      <c r="F6824" s="373"/>
      <c r="I6824" s="70"/>
    </row>
    <row r="6825" spans="3:9" s="46" customFormat="1" x14ac:dyDescent="0.2">
      <c r="C6825" s="144"/>
      <c r="D6825" s="144"/>
      <c r="E6825" s="144"/>
      <c r="F6825" s="373"/>
      <c r="I6825" s="70"/>
    </row>
    <row r="6826" spans="3:9" s="46" customFormat="1" x14ac:dyDescent="0.2">
      <c r="C6826" s="144"/>
      <c r="D6826" s="144"/>
      <c r="E6826" s="144"/>
      <c r="F6826" s="373"/>
      <c r="I6826" s="70"/>
    </row>
    <row r="6827" spans="3:9" s="46" customFormat="1" x14ac:dyDescent="0.2">
      <c r="C6827" s="144"/>
      <c r="D6827" s="144"/>
      <c r="E6827" s="144"/>
      <c r="F6827" s="373"/>
      <c r="I6827" s="70"/>
    </row>
    <row r="6828" spans="3:9" s="46" customFormat="1" x14ac:dyDescent="0.2">
      <c r="C6828" s="144"/>
      <c r="D6828" s="144"/>
      <c r="E6828" s="144"/>
      <c r="F6828" s="373"/>
      <c r="I6828" s="70"/>
    </row>
    <row r="6829" spans="3:9" s="46" customFormat="1" x14ac:dyDescent="0.2">
      <c r="C6829" s="144"/>
      <c r="D6829" s="144"/>
      <c r="E6829" s="144"/>
      <c r="F6829" s="373"/>
      <c r="I6829" s="70"/>
    </row>
    <row r="6830" spans="3:9" s="46" customFormat="1" x14ac:dyDescent="0.2">
      <c r="C6830" s="144"/>
      <c r="D6830" s="144"/>
      <c r="E6830" s="144"/>
      <c r="F6830" s="373"/>
      <c r="I6830" s="70"/>
    </row>
    <row r="6831" spans="3:9" s="46" customFormat="1" x14ac:dyDescent="0.2">
      <c r="C6831" s="144"/>
      <c r="D6831" s="144"/>
      <c r="E6831" s="144"/>
      <c r="F6831" s="373"/>
      <c r="I6831" s="70"/>
    </row>
    <row r="6832" spans="3:9" s="46" customFormat="1" x14ac:dyDescent="0.2">
      <c r="C6832" s="144"/>
      <c r="D6832" s="144"/>
      <c r="E6832" s="144"/>
      <c r="F6832" s="373"/>
      <c r="I6832" s="70"/>
    </row>
    <row r="6833" spans="3:9" s="46" customFormat="1" x14ac:dyDescent="0.2">
      <c r="C6833" s="144"/>
      <c r="D6833" s="144"/>
      <c r="E6833" s="144"/>
      <c r="F6833" s="373"/>
      <c r="I6833" s="70"/>
    </row>
    <row r="6834" spans="3:9" s="46" customFormat="1" x14ac:dyDescent="0.2">
      <c r="C6834" s="144"/>
      <c r="D6834" s="144"/>
      <c r="E6834" s="144"/>
      <c r="F6834" s="373"/>
      <c r="I6834" s="70"/>
    </row>
    <row r="6835" spans="3:9" s="46" customFormat="1" x14ac:dyDescent="0.2">
      <c r="C6835" s="144"/>
      <c r="D6835" s="144"/>
      <c r="E6835" s="144"/>
      <c r="F6835" s="373"/>
      <c r="I6835" s="70"/>
    </row>
    <row r="6836" spans="3:9" s="46" customFormat="1" x14ac:dyDescent="0.2">
      <c r="C6836" s="144"/>
      <c r="D6836" s="144"/>
      <c r="E6836" s="144"/>
      <c r="F6836" s="373"/>
      <c r="I6836" s="70"/>
    </row>
    <row r="6837" spans="3:9" s="46" customFormat="1" x14ac:dyDescent="0.2">
      <c r="C6837" s="144"/>
      <c r="D6837" s="144"/>
      <c r="E6837" s="144"/>
      <c r="F6837" s="373"/>
      <c r="I6837" s="70"/>
    </row>
    <row r="6838" spans="3:9" s="46" customFormat="1" x14ac:dyDescent="0.2">
      <c r="C6838" s="144"/>
      <c r="D6838" s="144"/>
      <c r="E6838" s="144"/>
      <c r="F6838" s="373"/>
      <c r="I6838" s="70"/>
    </row>
    <row r="6839" spans="3:9" s="46" customFormat="1" x14ac:dyDescent="0.2">
      <c r="C6839" s="144"/>
      <c r="D6839" s="144"/>
      <c r="E6839" s="144"/>
      <c r="F6839" s="373"/>
      <c r="I6839" s="70"/>
    </row>
    <row r="6840" spans="3:9" s="46" customFormat="1" x14ac:dyDescent="0.2">
      <c r="C6840" s="144"/>
      <c r="D6840" s="144"/>
      <c r="E6840" s="144"/>
      <c r="F6840" s="373"/>
      <c r="I6840" s="70"/>
    </row>
    <row r="6841" spans="3:9" s="46" customFormat="1" x14ac:dyDescent="0.2">
      <c r="C6841" s="144"/>
      <c r="D6841" s="144"/>
      <c r="E6841" s="144"/>
      <c r="F6841" s="373"/>
      <c r="I6841" s="70"/>
    </row>
    <row r="6842" spans="3:9" s="46" customFormat="1" x14ac:dyDescent="0.2">
      <c r="C6842" s="144"/>
      <c r="D6842" s="144"/>
      <c r="E6842" s="144"/>
      <c r="F6842" s="373"/>
      <c r="I6842" s="70"/>
    </row>
    <row r="6843" spans="3:9" s="46" customFormat="1" x14ac:dyDescent="0.2">
      <c r="C6843" s="144"/>
      <c r="D6843" s="144"/>
      <c r="E6843" s="144"/>
      <c r="F6843" s="373"/>
      <c r="I6843" s="70"/>
    </row>
    <row r="6844" spans="3:9" s="46" customFormat="1" x14ac:dyDescent="0.2">
      <c r="C6844" s="144"/>
      <c r="D6844" s="144"/>
      <c r="E6844" s="144"/>
      <c r="F6844" s="373"/>
      <c r="I6844" s="70"/>
    </row>
    <row r="6845" spans="3:9" s="46" customFormat="1" x14ac:dyDescent="0.2">
      <c r="C6845" s="144"/>
      <c r="D6845" s="144"/>
      <c r="E6845" s="144"/>
      <c r="F6845" s="373"/>
      <c r="I6845" s="70"/>
    </row>
    <row r="6846" spans="3:9" s="46" customFormat="1" x14ac:dyDescent="0.2">
      <c r="C6846" s="144"/>
      <c r="D6846" s="144"/>
      <c r="E6846" s="144"/>
      <c r="F6846" s="373"/>
      <c r="I6846" s="70"/>
    </row>
    <row r="6847" spans="3:9" s="46" customFormat="1" x14ac:dyDescent="0.2">
      <c r="C6847" s="144"/>
      <c r="D6847" s="144"/>
      <c r="E6847" s="144"/>
      <c r="F6847" s="373"/>
      <c r="I6847" s="70"/>
    </row>
    <row r="6848" spans="3:9" s="46" customFormat="1" x14ac:dyDescent="0.2">
      <c r="C6848" s="144"/>
      <c r="D6848" s="144"/>
      <c r="E6848" s="144"/>
      <c r="F6848" s="373"/>
      <c r="I6848" s="70"/>
    </row>
    <row r="6849" spans="3:9" s="46" customFormat="1" x14ac:dyDescent="0.2">
      <c r="C6849" s="144"/>
      <c r="D6849" s="144"/>
      <c r="E6849" s="144"/>
      <c r="F6849" s="373"/>
      <c r="I6849" s="70"/>
    </row>
    <row r="6850" spans="3:9" s="46" customFormat="1" x14ac:dyDescent="0.2">
      <c r="C6850" s="144"/>
      <c r="D6850" s="144"/>
      <c r="E6850" s="144"/>
      <c r="F6850" s="373"/>
      <c r="I6850" s="70"/>
    </row>
    <row r="6851" spans="3:9" s="46" customFormat="1" x14ac:dyDescent="0.2">
      <c r="C6851" s="144"/>
      <c r="D6851" s="144"/>
      <c r="E6851" s="144"/>
      <c r="F6851" s="373"/>
      <c r="I6851" s="70"/>
    </row>
    <row r="6852" spans="3:9" s="46" customFormat="1" x14ac:dyDescent="0.2">
      <c r="C6852" s="144"/>
      <c r="D6852" s="144"/>
      <c r="E6852" s="144"/>
      <c r="F6852" s="373"/>
      <c r="I6852" s="70"/>
    </row>
    <row r="6853" spans="3:9" s="46" customFormat="1" x14ac:dyDescent="0.2">
      <c r="C6853" s="144"/>
      <c r="D6853" s="144"/>
      <c r="E6853" s="144"/>
      <c r="F6853" s="373"/>
      <c r="I6853" s="70"/>
    </row>
    <row r="6854" spans="3:9" s="46" customFormat="1" x14ac:dyDescent="0.2">
      <c r="C6854" s="144"/>
      <c r="D6854" s="144"/>
      <c r="E6854" s="144"/>
      <c r="F6854" s="373"/>
      <c r="I6854" s="70"/>
    </row>
    <row r="6855" spans="3:9" s="46" customFormat="1" x14ac:dyDescent="0.2">
      <c r="C6855" s="144"/>
      <c r="D6855" s="144"/>
      <c r="E6855" s="144"/>
      <c r="F6855" s="373"/>
      <c r="I6855" s="70"/>
    </row>
    <row r="6856" spans="3:9" s="46" customFormat="1" x14ac:dyDescent="0.2">
      <c r="C6856" s="144"/>
      <c r="D6856" s="144"/>
      <c r="E6856" s="144"/>
      <c r="F6856" s="373"/>
      <c r="I6856" s="70"/>
    </row>
    <row r="6857" spans="3:9" s="46" customFormat="1" x14ac:dyDescent="0.2">
      <c r="C6857" s="144"/>
      <c r="D6857" s="144"/>
      <c r="E6857" s="144"/>
      <c r="F6857" s="373"/>
      <c r="I6857" s="70"/>
    </row>
    <row r="6858" spans="3:9" s="46" customFormat="1" x14ac:dyDescent="0.2">
      <c r="C6858" s="144"/>
      <c r="D6858" s="144"/>
      <c r="E6858" s="144"/>
      <c r="F6858" s="373"/>
      <c r="I6858" s="70"/>
    </row>
    <row r="6859" spans="3:9" s="46" customFormat="1" x14ac:dyDescent="0.2">
      <c r="C6859" s="144"/>
      <c r="D6859" s="144"/>
      <c r="E6859" s="144"/>
      <c r="F6859" s="373"/>
      <c r="I6859" s="70"/>
    </row>
    <row r="6860" spans="3:9" s="46" customFormat="1" x14ac:dyDescent="0.2">
      <c r="C6860" s="144"/>
      <c r="D6860" s="144"/>
      <c r="E6860" s="144"/>
      <c r="F6860" s="373"/>
      <c r="I6860" s="70"/>
    </row>
    <row r="6861" spans="3:9" s="46" customFormat="1" x14ac:dyDescent="0.2">
      <c r="C6861" s="144"/>
      <c r="D6861" s="144"/>
      <c r="E6861" s="144"/>
      <c r="F6861" s="373"/>
      <c r="I6861" s="70"/>
    </row>
    <row r="6862" spans="3:9" s="46" customFormat="1" x14ac:dyDescent="0.2">
      <c r="C6862" s="144"/>
      <c r="D6862" s="144"/>
      <c r="E6862" s="144"/>
      <c r="F6862" s="373"/>
      <c r="I6862" s="70"/>
    </row>
    <row r="6863" spans="3:9" s="46" customFormat="1" x14ac:dyDescent="0.2">
      <c r="C6863" s="144"/>
      <c r="D6863" s="144"/>
      <c r="E6863" s="144"/>
      <c r="F6863" s="373"/>
      <c r="I6863" s="70"/>
    </row>
    <row r="6864" spans="3:9" s="46" customFormat="1" x14ac:dyDescent="0.2">
      <c r="C6864" s="144"/>
      <c r="D6864" s="144"/>
      <c r="E6864" s="144"/>
      <c r="F6864" s="373"/>
      <c r="I6864" s="70"/>
    </row>
    <row r="6865" spans="3:9" s="46" customFormat="1" x14ac:dyDescent="0.2">
      <c r="C6865" s="144"/>
      <c r="D6865" s="144"/>
      <c r="E6865" s="144"/>
      <c r="F6865" s="373"/>
      <c r="I6865" s="70"/>
    </row>
    <row r="6866" spans="3:9" s="46" customFormat="1" x14ac:dyDescent="0.2">
      <c r="C6866" s="144"/>
      <c r="D6866" s="144"/>
      <c r="E6866" s="144"/>
      <c r="F6866" s="373"/>
      <c r="I6866" s="70"/>
    </row>
    <row r="6867" spans="3:9" s="46" customFormat="1" x14ac:dyDescent="0.2">
      <c r="C6867" s="144"/>
      <c r="D6867" s="144"/>
      <c r="E6867" s="144"/>
      <c r="F6867" s="373"/>
      <c r="I6867" s="70"/>
    </row>
    <row r="6868" spans="3:9" s="46" customFormat="1" x14ac:dyDescent="0.2">
      <c r="C6868" s="144"/>
      <c r="D6868" s="144"/>
      <c r="E6868" s="144"/>
      <c r="F6868" s="373"/>
      <c r="I6868" s="70"/>
    </row>
    <row r="6869" spans="3:9" s="46" customFormat="1" x14ac:dyDescent="0.2">
      <c r="C6869" s="144"/>
      <c r="D6869" s="144"/>
      <c r="E6869" s="144"/>
      <c r="F6869" s="373"/>
      <c r="I6869" s="70"/>
    </row>
    <row r="6870" spans="3:9" s="46" customFormat="1" x14ac:dyDescent="0.2">
      <c r="C6870" s="144"/>
      <c r="D6870" s="144"/>
      <c r="E6870" s="144"/>
      <c r="F6870" s="373"/>
      <c r="I6870" s="70"/>
    </row>
    <row r="6871" spans="3:9" s="46" customFormat="1" x14ac:dyDescent="0.2">
      <c r="C6871" s="144"/>
      <c r="D6871" s="144"/>
      <c r="E6871" s="144"/>
      <c r="F6871" s="373"/>
      <c r="I6871" s="70"/>
    </row>
    <row r="6872" spans="3:9" s="46" customFormat="1" x14ac:dyDescent="0.2">
      <c r="C6872" s="144"/>
      <c r="D6872" s="144"/>
      <c r="E6872" s="144"/>
      <c r="F6872" s="373"/>
      <c r="I6872" s="70"/>
    </row>
    <row r="6873" spans="3:9" s="46" customFormat="1" x14ac:dyDescent="0.2">
      <c r="C6873" s="144"/>
      <c r="D6873" s="144"/>
      <c r="E6873" s="144"/>
      <c r="F6873" s="373"/>
      <c r="I6873" s="70"/>
    </row>
    <row r="6874" spans="3:9" s="46" customFormat="1" x14ac:dyDescent="0.2">
      <c r="C6874" s="144"/>
      <c r="D6874" s="144"/>
      <c r="E6874" s="144"/>
      <c r="F6874" s="373"/>
      <c r="I6874" s="70"/>
    </row>
    <row r="6875" spans="3:9" s="46" customFormat="1" x14ac:dyDescent="0.2">
      <c r="C6875" s="144"/>
      <c r="D6875" s="144"/>
      <c r="E6875" s="144"/>
      <c r="F6875" s="373"/>
      <c r="I6875" s="70"/>
    </row>
    <row r="6876" spans="3:9" s="46" customFormat="1" x14ac:dyDescent="0.2">
      <c r="C6876" s="144"/>
      <c r="D6876" s="144"/>
      <c r="E6876" s="144"/>
      <c r="F6876" s="373"/>
      <c r="I6876" s="70"/>
    </row>
    <row r="6877" spans="3:9" s="46" customFormat="1" x14ac:dyDescent="0.2">
      <c r="C6877" s="144"/>
      <c r="D6877" s="144"/>
      <c r="E6877" s="144"/>
      <c r="F6877" s="373"/>
      <c r="I6877" s="70"/>
    </row>
    <row r="6878" spans="3:9" s="46" customFormat="1" x14ac:dyDescent="0.2">
      <c r="C6878" s="144"/>
      <c r="D6878" s="144"/>
      <c r="E6878" s="144"/>
      <c r="F6878" s="373"/>
      <c r="I6878" s="70"/>
    </row>
    <row r="6879" spans="3:9" s="46" customFormat="1" x14ac:dyDescent="0.2">
      <c r="C6879" s="144"/>
      <c r="D6879" s="144"/>
      <c r="E6879" s="144"/>
      <c r="F6879" s="373"/>
      <c r="I6879" s="70"/>
    </row>
    <row r="6880" spans="3:9" s="46" customFormat="1" x14ac:dyDescent="0.2">
      <c r="C6880" s="144"/>
      <c r="D6880" s="144"/>
      <c r="E6880" s="144"/>
      <c r="F6880" s="373"/>
      <c r="I6880" s="70"/>
    </row>
    <row r="6881" spans="3:9" s="46" customFormat="1" x14ac:dyDescent="0.2">
      <c r="C6881" s="144"/>
      <c r="D6881" s="144"/>
      <c r="E6881" s="144"/>
      <c r="F6881" s="373"/>
      <c r="I6881" s="70"/>
    </row>
    <row r="6882" spans="3:9" s="46" customFormat="1" x14ac:dyDescent="0.2">
      <c r="C6882" s="144"/>
      <c r="D6882" s="144"/>
      <c r="E6882" s="144"/>
      <c r="F6882" s="373"/>
      <c r="I6882" s="70"/>
    </row>
    <row r="6883" spans="3:9" s="46" customFormat="1" x14ac:dyDescent="0.2">
      <c r="C6883" s="144"/>
      <c r="D6883" s="144"/>
      <c r="E6883" s="144"/>
      <c r="F6883" s="373"/>
      <c r="I6883" s="70"/>
    </row>
    <row r="6884" spans="3:9" s="46" customFormat="1" x14ac:dyDescent="0.2">
      <c r="C6884" s="144"/>
      <c r="D6884" s="144"/>
      <c r="E6884" s="144"/>
      <c r="F6884" s="373"/>
      <c r="I6884" s="70"/>
    </row>
    <row r="6885" spans="3:9" s="46" customFormat="1" x14ac:dyDescent="0.2">
      <c r="C6885" s="144"/>
      <c r="D6885" s="144"/>
      <c r="E6885" s="144"/>
      <c r="F6885" s="373"/>
      <c r="I6885" s="70"/>
    </row>
    <row r="6886" spans="3:9" s="46" customFormat="1" x14ac:dyDescent="0.2">
      <c r="C6886" s="144"/>
      <c r="D6886" s="144"/>
      <c r="E6886" s="144"/>
      <c r="F6886" s="373"/>
      <c r="I6886" s="70"/>
    </row>
    <row r="6887" spans="3:9" s="46" customFormat="1" x14ac:dyDescent="0.2">
      <c r="C6887" s="144"/>
      <c r="D6887" s="144"/>
      <c r="E6887" s="144"/>
      <c r="F6887" s="373"/>
      <c r="I6887" s="70"/>
    </row>
    <row r="6888" spans="3:9" s="46" customFormat="1" x14ac:dyDescent="0.2">
      <c r="C6888" s="144"/>
      <c r="D6888" s="144"/>
      <c r="E6888" s="144"/>
      <c r="F6888" s="373"/>
      <c r="I6888" s="70"/>
    </row>
    <row r="6889" spans="3:9" s="46" customFormat="1" x14ac:dyDescent="0.2">
      <c r="C6889" s="144"/>
      <c r="D6889" s="144"/>
      <c r="E6889" s="144"/>
      <c r="F6889" s="373"/>
      <c r="I6889" s="70"/>
    </row>
    <row r="6890" spans="3:9" s="46" customFormat="1" x14ac:dyDescent="0.2">
      <c r="C6890" s="144"/>
      <c r="D6890" s="144"/>
      <c r="E6890" s="144"/>
      <c r="F6890" s="373"/>
      <c r="I6890" s="70"/>
    </row>
    <row r="6891" spans="3:9" s="46" customFormat="1" x14ac:dyDescent="0.2">
      <c r="C6891" s="144"/>
      <c r="D6891" s="144"/>
      <c r="E6891" s="144"/>
      <c r="F6891" s="373"/>
      <c r="I6891" s="70"/>
    </row>
    <row r="6892" spans="3:9" s="46" customFormat="1" x14ac:dyDescent="0.2">
      <c r="C6892" s="144"/>
      <c r="D6892" s="144"/>
      <c r="E6892" s="144"/>
      <c r="F6892" s="373"/>
      <c r="I6892" s="70"/>
    </row>
    <row r="6893" spans="3:9" s="46" customFormat="1" x14ac:dyDescent="0.2">
      <c r="C6893" s="144"/>
      <c r="D6893" s="144"/>
      <c r="E6893" s="144"/>
      <c r="F6893" s="373"/>
      <c r="I6893" s="70"/>
    </row>
    <row r="6894" spans="3:9" s="46" customFormat="1" x14ac:dyDescent="0.2">
      <c r="C6894" s="144"/>
      <c r="D6894" s="144"/>
      <c r="E6894" s="144"/>
      <c r="F6894" s="373"/>
      <c r="I6894" s="70"/>
    </row>
    <row r="6895" spans="3:9" s="46" customFormat="1" x14ac:dyDescent="0.2">
      <c r="C6895" s="144"/>
      <c r="D6895" s="144"/>
      <c r="E6895" s="144"/>
      <c r="F6895" s="373"/>
      <c r="I6895" s="70"/>
    </row>
    <row r="6896" spans="3:9" s="46" customFormat="1" x14ac:dyDescent="0.2">
      <c r="C6896" s="144"/>
      <c r="D6896" s="144"/>
      <c r="E6896" s="144"/>
      <c r="F6896" s="373"/>
      <c r="I6896" s="70"/>
    </row>
    <row r="6897" spans="3:9" s="46" customFormat="1" x14ac:dyDescent="0.2">
      <c r="C6897" s="144"/>
      <c r="D6897" s="144"/>
      <c r="E6897" s="144"/>
      <c r="F6897" s="373"/>
      <c r="I6897" s="70"/>
    </row>
    <row r="6898" spans="3:9" s="46" customFormat="1" x14ac:dyDescent="0.2">
      <c r="C6898" s="144"/>
      <c r="D6898" s="144"/>
      <c r="E6898" s="144"/>
      <c r="F6898" s="373"/>
      <c r="I6898" s="70"/>
    </row>
    <row r="6899" spans="3:9" s="46" customFormat="1" x14ac:dyDescent="0.2">
      <c r="C6899" s="144"/>
      <c r="D6899" s="144"/>
      <c r="E6899" s="144"/>
      <c r="F6899" s="373"/>
      <c r="I6899" s="70"/>
    </row>
    <row r="6900" spans="3:9" s="46" customFormat="1" x14ac:dyDescent="0.2">
      <c r="C6900" s="144"/>
      <c r="D6900" s="144"/>
      <c r="E6900" s="144"/>
      <c r="F6900" s="373"/>
      <c r="I6900" s="70"/>
    </row>
    <row r="6901" spans="3:9" s="46" customFormat="1" x14ac:dyDescent="0.2">
      <c r="C6901" s="144"/>
      <c r="D6901" s="144"/>
      <c r="E6901" s="144"/>
      <c r="F6901" s="373"/>
      <c r="I6901" s="70"/>
    </row>
    <row r="6902" spans="3:9" s="46" customFormat="1" x14ac:dyDescent="0.2">
      <c r="C6902" s="144"/>
      <c r="D6902" s="144"/>
      <c r="E6902" s="144"/>
      <c r="F6902" s="373"/>
      <c r="I6902" s="70"/>
    </row>
    <row r="6903" spans="3:9" s="46" customFormat="1" x14ac:dyDescent="0.2">
      <c r="C6903" s="144"/>
      <c r="D6903" s="144"/>
      <c r="E6903" s="144"/>
      <c r="F6903" s="373"/>
      <c r="I6903" s="70"/>
    </row>
    <row r="6904" spans="3:9" s="46" customFormat="1" x14ac:dyDescent="0.2">
      <c r="C6904" s="144"/>
      <c r="D6904" s="144"/>
      <c r="E6904" s="144"/>
      <c r="F6904" s="373"/>
      <c r="I6904" s="70"/>
    </row>
    <row r="6905" spans="3:9" s="46" customFormat="1" x14ac:dyDescent="0.2">
      <c r="C6905" s="144"/>
      <c r="D6905" s="144"/>
      <c r="E6905" s="144"/>
      <c r="F6905" s="373"/>
      <c r="I6905" s="70"/>
    </row>
    <row r="6906" spans="3:9" s="46" customFormat="1" x14ac:dyDescent="0.2">
      <c r="C6906" s="144"/>
      <c r="D6906" s="144"/>
      <c r="E6906" s="144"/>
      <c r="F6906" s="373"/>
      <c r="I6906" s="70"/>
    </row>
    <row r="6907" spans="3:9" s="46" customFormat="1" x14ac:dyDescent="0.2">
      <c r="C6907" s="144"/>
      <c r="D6907" s="144"/>
      <c r="E6907" s="144"/>
      <c r="F6907" s="373"/>
      <c r="I6907" s="70"/>
    </row>
    <row r="6908" spans="3:9" s="46" customFormat="1" x14ac:dyDescent="0.2">
      <c r="C6908" s="144"/>
      <c r="D6908" s="144"/>
      <c r="E6908" s="144"/>
      <c r="F6908" s="373"/>
      <c r="I6908" s="70"/>
    </row>
    <row r="6909" spans="3:9" s="46" customFormat="1" x14ac:dyDescent="0.2">
      <c r="C6909" s="144"/>
      <c r="D6909" s="144"/>
      <c r="E6909" s="144"/>
      <c r="F6909" s="373"/>
      <c r="I6909" s="70"/>
    </row>
    <row r="6910" spans="3:9" s="46" customFormat="1" x14ac:dyDescent="0.2">
      <c r="C6910" s="144"/>
      <c r="D6910" s="144"/>
      <c r="E6910" s="144"/>
      <c r="F6910" s="373"/>
      <c r="I6910" s="70"/>
    </row>
    <row r="6911" spans="3:9" s="46" customFormat="1" x14ac:dyDescent="0.2">
      <c r="C6911" s="144"/>
      <c r="D6911" s="144"/>
      <c r="E6911" s="144"/>
      <c r="F6911" s="373"/>
      <c r="I6911" s="70"/>
    </row>
    <row r="6912" spans="3:9" s="46" customFormat="1" x14ac:dyDescent="0.2">
      <c r="C6912" s="144"/>
      <c r="D6912" s="144"/>
      <c r="E6912" s="144"/>
      <c r="F6912" s="373"/>
      <c r="I6912" s="70"/>
    </row>
    <row r="6913" spans="3:9" s="46" customFormat="1" x14ac:dyDescent="0.2">
      <c r="C6913" s="144"/>
      <c r="D6913" s="144"/>
      <c r="E6913" s="144"/>
      <c r="F6913" s="373"/>
      <c r="I6913" s="70"/>
    </row>
    <row r="6914" spans="3:9" s="46" customFormat="1" x14ac:dyDescent="0.2">
      <c r="C6914" s="144"/>
      <c r="D6914" s="144"/>
      <c r="E6914" s="144"/>
      <c r="F6914" s="373"/>
      <c r="I6914" s="70"/>
    </row>
    <row r="6915" spans="3:9" s="46" customFormat="1" x14ac:dyDescent="0.2">
      <c r="C6915" s="144"/>
      <c r="D6915" s="144"/>
      <c r="E6915" s="144"/>
      <c r="F6915" s="373"/>
      <c r="I6915" s="70"/>
    </row>
    <row r="6916" spans="3:9" s="46" customFormat="1" x14ac:dyDescent="0.2">
      <c r="C6916" s="144"/>
      <c r="D6916" s="144"/>
      <c r="E6916" s="144"/>
      <c r="F6916" s="373"/>
      <c r="I6916" s="70"/>
    </row>
    <row r="6917" spans="3:9" s="46" customFormat="1" x14ac:dyDescent="0.2">
      <c r="C6917" s="144"/>
      <c r="D6917" s="144"/>
      <c r="E6917" s="144"/>
      <c r="F6917" s="373"/>
      <c r="I6917" s="70"/>
    </row>
    <row r="6918" spans="3:9" s="46" customFormat="1" x14ac:dyDescent="0.2">
      <c r="C6918" s="144"/>
      <c r="D6918" s="144"/>
      <c r="E6918" s="144"/>
      <c r="F6918" s="373"/>
      <c r="I6918" s="70"/>
    </row>
    <row r="6919" spans="3:9" s="46" customFormat="1" x14ac:dyDescent="0.2">
      <c r="C6919" s="144"/>
      <c r="D6919" s="144"/>
      <c r="E6919" s="144"/>
      <c r="F6919" s="373"/>
      <c r="I6919" s="70"/>
    </row>
    <row r="6920" spans="3:9" s="46" customFormat="1" x14ac:dyDescent="0.2">
      <c r="C6920" s="144"/>
      <c r="D6920" s="144"/>
      <c r="E6920" s="144"/>
      <c r="F6920" s="373"/>
      <c r="I6920" s="70"/>
    </row>
    <row r="6921" spans="3:9" s="46" customFormat="1" x14ac:dyDescent="0.2">
      <c r="C6921" s="144"/>
      <c r="D6921" s="144"/>
      <c r="E6921" s="144"/>
      <c r="F6921" s="373"/>
      <c r="I6921" s="70"/>
    </row>
    <row r="6922" spans="3:9" s="46" customFormat="1" x14ac:dyDescent="0.2">
      <c r="C6922" s="144"/>
      <c r="D6922" s="144"/>
      <c r="E6922" s="144"/>
      <c r="F6922" s="373"/>
      <c r="I6922" s="70"/>
    </row>
    <row r="6923" spans="3:9" s="46" customFormat="1" x14ac:dyDescent="0.2">
      <c r="C6923" s="144"/>
      <c r="D6923" s="144"/>
      <c r="E6923" s="144"/>
      <c r="F6923" s="373"/>
      <c r="I6923" s="70"/>
    </row>
    <row r="6924" spans="3:9" s="46" customFormat="1" x14ac:dyDescent="0.2">
      <c r="C6924" s="144"/>
      <c r="D6924" s="144"/>
      <c r="E6924" s="144"/>
      <c r="F6924" s="373"/>
      <c r="I6924" s="70"/>
    </row>
    <row r="6925" spans="3:9" s="46" customFormat="1" x14ac:dyDescent="0.2">
      <c r="C6925" s="144"/>
      <c r="D6925" s="144"/>
      <c r="E6925" s="144"/>
      <c r="F6925" s="373"/>
      <c r="I6925" s="70"/>
    </row>
    <row r="6926" spans="3:9" s="46" customFormat="1" x14ac:dyDescent="0.2">
      <c r="C6926" s="144"/>
      <c r="D6926" s="144"/>
      <c r="E6926" s="144"/>
      <c r="F6926" s="373"/>
      <c r="I6926" s="70"/>
    </row>
    <row r="6927" spans="3:9" s="46" customFormat="1" x14ac:dyDescent="0.2">
      <c r="C6927" s="144"/>
      <c r="D6927" s="144"/>
      <c r="E6927" s="144"/>
      <c r="F6927" s="373"/>
      <c r="I6927" s="70"/>
    </row>
    <row r="6928" spans="3:9" s="46" customFormat="1" x14ac:dyDescent="0.2">
      <c r="C6928" s="144"/>
      <c r="D6928" s="144"/>
      <c r="E6928" s="144"/>
      <c r="F6928" s="373"/>
      <c r="I6928" s="70"/>
    </row>
    <row r="6929" spans="3:9" s="46" customFormat="1" x14ac:dyDescent="0.2">
      <c r="C6929" s="144"/>
      <c r="D6929" s="144"/>
      <c r="E6929" s="144"/>
      <c r="F6929" s="373"/>
      <c r="I6929" s="70"/>
    </row>
    <row r="6930" spans="3:9" s="46" customFormat="1" x14ac:dyDescent="0.2">
      <c r="C6930" s="144"/>
      <c r="D6930" s="144"/>
      <c r="E6930" s="144"/>
      <c r="F6930" s="373"/>
      <c r="I6930" s="70"/>
    </row>
    <row r="6931" spans="3:9" s="46" customFormat="1" x14ac:dyDescent="0.2">
      <c r="C6931" s="144"/>
      <c r="D6931" s="144"/>
      <c r="E6931" s="144"/>
      <c r="F6931" s="373"/>
      <c r="I6931" s="70"/>
    </row>
    <row r="6932" spans="3:9" s="46" customFormat="1" x14ac:dyDescent="0.2">
      <c r="C6932" s="144"/>
      <c r="D6932" s="144"/>
      <c r="E6932" s="144"/>
      <c r="F6932" s="373"/>
      <c r="I6932" s="70"/>
    </row>
    <row r="6933" spans="3:9" s="46" customFormat="1" x14ac:dyDescent="0.2">
      <c r="C6933" s="144"/>
      <c r="D6933" s="144"/>
      <c r="E6933" s="144"/>
      <c r="F6933" s="373"/>
      <c r="I6933" s="70"/>
    </row>
    <row r="6934" spans="3:9" s="46" customFormat="1" x14ac:dyDescent="0.2">
      <c r="C6934" s="144"/>
      <c r="D6934" s="144"/>
      <c r="E6934" s="144"/>
      <c r="F6934" s="373"/>
      <c r="I6934" s="70"/>
    </row>
    <row r="6935" spans="3:9" s="46" customFormat="1" x14ac:dyDescent="0.2">
      <c r="C6935" s="144"/>
      <c r="D6935" s="144"/>
      <c r="E6935" s="144"/>
      <c r="F6935" s="373"/>
      <c r="I6935" s="70"/>
    </row>
    <row r="6936" spans="3:9" s="46" customFormat="1" x14ac:dyDescent="0.2">
      <c r="C6936" s="144"/>
      <c r="D6936" s="144"/>
      <c r="E6936" s="144"/>
      <c r="F6936" s="373"/>
      <c r="I6936" s="70"/>
    </row>
    <row r="6937" spans="3:9" s="46" customFormat="1" x14ac:dyDescent="0.2">
      <c r="C6937" s="144"/>
      <c r="D6937" s="144"/>
      <c r="E6937" s="144"/>
      <c r="F6937" s="373"/>
      <c r="I6937" s="70"/>
    </row>
    <row r="6938" spans="3:9" s="46" customFormat="1" x14ac:dyDescent="0.2">
      <c r="C6938" s="144"/>
      <c r="D6938" s="144"/>
      <c r="E6938" s="144"/>
      <c r="F6938" s="373"/>
      <c r="I6938" s="70"/>
    </row>
    <row r="6939" spans="3:9" s="46" customFormat="1" x14ac:dyDescent="0.2">
      <c r="C6939" s="144"/>
      <c r="D6939" s="144"/>
      <c r="E6939" s="144"/>
      <c r="F6939" s="373"/>
      <c r="I6939" s="70"/>
    </row>
    <row r="6940" spans="3:9" s="46" customFormat="1" x14ac:dyDescent="0.2">
      <c r="C6940" s="144"/>
      <c r="D6940" s="144"/>
      <c r="E6940" s="144"/>
      <c r="F6940" s="373"/>
      <c r="I6940" s="70"/>
    </row>
    <row r="6941" spans="3:9" s="46" customFormat="1" x14ac:dyDescent="0.2">
      <c r="C6941" s="144"/>
      <c r="D6941" s="144"/>
      <c r="E6941" s="144"/>
      <c r="F6941" s="373"/>
      <c r="I6941" s="70"/>
    </row>
    <row r="6942" spans="3:9" s="46" customFormat="1" x14ac:dyDescent="0.2">
      <c r="C6942" s="144"/>
      <c r="D6942" s="144"/>
      <c r="E6942" s="144"/>
      <c r="F6942" s="373"/>
      <c r="I6942" s="70"/>
    </row>
    <row r="6943" spans="3:9" s="46" customFormat="1" x14ac:dyDescent="0.2">
      <c r="C6943" s="144"/>
      <c r="D6943" s="144"/>
      <c r="E6943" s="144"/>
      <c r="F6943" s="373"/>
      <c r="I6943" s="70"/>
    </row>
    <row r="6944" spans="3:9" s="46" customFormat="1" x14ac:dyDescent="0.2">
      <c r="C6944" s="144"/>
      <c r="D6944" s="144"/>
      <c r="E6944" s="144"/>
      <c r="F6944" s="373"/>
      <c r="I6944" s="70"/>
    </row>
    <row r="6945" spans="3:9" s="46" customFormat="1" x14ac:dyDescent="0.2">
      <c r="C6945" s="144"/>
      <c r="D6945" s="144"/>
      <c r="E6945" s="144"/>
      <c r="F6945" s="373"/>
      <c r="I6945" s="70"/>
    </row>
    <row r="6946" spans="3:9" s="46" customFormat="1" x14ac:dyDescent="0.2">
      <c r="C6946" s="144"/>
      <c r="D6946" s="144"/>
      <c r="E6946" s="144"/>
      <c r="F6946" s="373"/>
      <c r="I6946" s="70"/>
    </row>
    <row r="6947" spans="3:9" s="46" customFormat="1" x14ac:dyDescent="0.2">
      <c r="C6947" s="144"/>
      <c r="D6947" s="144"/>
      <c r="E6947" s="144"/>
      <c r="F6947" s="373"/>
      <c r="I6947" s="70"/>
    </row>
    <row r="6948" spans="3:9" s="46" customFormat="1" x14ac:dyDescent="0.2">
      <c r="C6948" s="144"/>
      <c r="D6948" s="144"/>
      <c r="E6948" s="144"/>
      <c r="F6948" s="373"/>
      <c r="I6948" s="70"/>
    </row>
    <row r="6949" spans="3:9" s="46" customFormat="1" x14ac:dyDescent="0.2">
      <c r="C6949" s="144"/>
      <c r="D6949" s="144"/>
      <c r="E6949" s="144"/>
      <c r="F6949" s="373"/>
      <c r="I6949" s="70"/>
    </row>
    <row r="6950" spans="3:9" s="46" customFormat="1" x14ac:dyDescent="0.2">
      <c r="C6950" s="144"/>
      <c r="D6950" s="144"/>
      <c r="E6950" s="144"/>
      <c r="F6950" s="373"/>
      <c r="I6950" s="70"/>
    </row>
    <row r="6951" spans="3:9" s="46" customFormat="1" x14ac:dyDescent="0.2">
      <c r="C6951" s="144"/>
      <c r="D6951" s="144"/>
      <c r="E6951" s="144"/>
      <c r="F6951" s="373"/>
      <c r="I6951" s="70"/>
    </row>
    <row r="6952" spans="3:9" s="46" customFormat="1" x14ac:dyDescent="0.2">
      <c r="C6952" s="144"/>
      <c r="D6952" s="144"/>
      <c r="E6952" s="144"/>
      <c r="F6952" s="373"/>
      <c r="I6952" s="70"/>
    </row>
    <row r="6953" spans="3:9" s="46" customFormat="1" x14ac:dyDescent="0.2">
      <c r="C6953" s="144"/>
      <c r="D6953" s="144"/>
      <c r="E6953" s="144"/>
      <c r="F6953" s="373"/>
      <c r="I6953" s="70"/>
    </row>
    <row r="6954" spans="3:9" s="46" customFormat="1" x14ac:dyDescent="0.2">
      <c r="C6954" s="144"/>
      <c r="D6954" s="144"/>
      <c r="E6954" s="144"/>
      <c r="F6954" s="373"/>
      <c r="I6954" s="70"/>
    </row>
    <row r="6955" spans="3:9" s="46" customFormat="1" x14ac:dyDescent="0.2">
      <c r="C6955" s="144"/>
      <c r="D6955" s="144"/>
      <c r="E6955" s="144"/>
      <c r="F6955" s="373"/>
      <c r="I6955" s="70"/>
    </row>
    <row r="6956" spans="3:9" s="46" customFormat="1" x14ac:dyDescent="0.2">
      <c r="C6956" s="144"/>
      <c r="D6956" s="144"/>
      <c r="E6956" s="144"/>
      <c r="F6956" s="373"/>
      <c r="I6956" s="70"/>
    </row>
    <row r="6957" spans="3:9" s="46" customFormat="1" x14ac:dyDescent="0.2">
      <c r="C6957" s="144"/>
      <c r="D6957" s="144"/>
      <c r="E6957" s="144"/>
      <c r="F6957" s="373"/>
      <c r="I6957" s="70"/>
    </row>
    <row r="6958" spans="3:9" s="46" customFormat="1" x14ac:dyDescent="0.2">
      <c r="C6958" s="144"/>
      <c r="D6958" s="144"/>
      <c r="E6958" s="144"/>
      <c r="F6958" s="373"/>
      <c r="I6958" s="70"/>
    </row>
    <row r="6959" spans="3:9" s="46" customFormat="1" x14ac:dyDescent="0.2">
      <c r="C6959" s="144"/>
      <c r="D6959" s="144"/>
      <c r="E6959" s="144"/>
      <c r="F6959" s="373"/>
      <c r="I6959" s="70"/>
    </row>
    <row r="6960" spans="3:9" s="46" customFormat="1" x14ac:dyDescent="0.2">
      <c r="C6960" s="144"/>
      <c r="D6960" s="144"/>
      <c r="E6960" s="144"/>
      <c r="F6960" s="373"/>
      <c r="I6960" s="70"/>
    </row>
    <row r="6961" spans="3:9" s="46" customFormat="1" x14ac:dyDescent="0.2">
      <c r="C6961" s="144"/>
      <c r="D6961" s="144"/>
      <c r="E6961" s="144"/>
      <c r="F6961" s="373"/>
      <c r="I6961" s="70"/>
    </row>
    <row r="6962" spans="3:9" s="46" customFormat="1" x14ac:dyDescent="0.2">
      <c r="C6962" s="144"/>
      <c r="D6962" s="144"/>
      <c r="E6962" s="144"/>
      <c r="F6962" s="373"/>
      <c r="I6962" s="70"/>
    </row>
    <row r="6963" spans="3:9" s="46" customFormat="1" x14ac:dyDescent="0.2">
      <c r="C6963" s="144"/>
      <c r="D6963" s="144"/>
      <c r="E6963" s="144"/>
      <c r="F6963" s="373"/>
      <c r="I6963" s="70"/>
    </row>
    <row r="6964" spans="3:9" s="46" customFormat="1" x14ac:dyDescent="0.2">
      <c r="C6964" s="144"/>
      <c r="D6964" s="144"/>
      <c r="E6964" s="144"/>
      <c r="F6964" s="373"/>
      <c r="I6964" s="70"/>
    </row>
    <row r="6965" spans="3:9" s="46" customFormat="1" x14ac:dyDescent="0.2">
      <c r="C6965" s="144"/>
      <c r="D6965" s="144"/>
      <c r="E6965" s="144"/>
      <c r="F6965" s="373"/>
      <c r="I6965" s="70"/>
    </row>
    <row r="6966" spans="3:9" s="46" customFormat="1" x14ac:dyDescent="0.2">
      <c r="C6966" s="144"/>
      <c r="D6966" s="144"/>
      <c r="E6966" s="144"/>
      <c r="F6966" s="373"/>
      <c r="I6966" s="70"/>
    </row>
    <row r="6967" spans="3:9" s="46" customFormat="1" x14ac:dyDescent="0.2">
      <c r="C6967" s="144"/>
      <c r="D6967" s="144"/>
      <c r="E6967" s="144"/>
      <c r="F6967" s="373"/>
      <c r="I6967" s="70"/>
    </row>
    <row r="6968" spans="3:9" s="46" customFormat="1" x14ac:dyDescent="0.2">
      <c r="C6968" s="144"/>
      <c r="D6968" s="144"/>
      <c r="E6968" s="144"/>
      <c r="F6968" s="373"/>
      <c r="I6968" s="70"/>
    </row>
    <row r="6969" spans="3:9" s="46" customFormat="1" x14ac:dyDescent="0.2">
      <c r="C6969" s="144"/>
      <c r="D6969" s="144"/>
      <c r="E6969" s="144"/>
      <c r="F6969" s="373"/>
      <c r="I6969" s="70"/>
    </row>
    <row r="6970" spans="3:9" s="46" customFormat="1" x14ac:dyDescent="0.2">
      <c r="C6970" s="144"/>
      <c r="D6970" s="144"/>
      <c r="E6970" s="144"/>
      <c r="F6970" s="373"/>
      <c r="I6970" s="70"/>
    </row>
    <row r="6971" spans="3:9" s="46" customFormat="1" x14ac:dyDescent="0.2">
      <c r="C6971" s="144"/>
      <c r="D6971" s="144"/>
      <c r="E6971" s="144"/>
      <c r="F6971" s="373"/>
      <c r="I6971" s="70"/>
    </row>
    <row r="6972" spans="3:9" s="46" customFormat="1" x14ac:dyDescent="0.2">
      <c r="C6972" s="144"/>
      <c r="D6972" s="144"/>
      <c r="E6972" s="144"/>
      <c r="F6972" s="373"/>
      <c r="I6972" s="70"/>
    </row>
    <row r="6973" spans="3:9" s="46" customFormat="1" x14ac:dyDescent="0.2">
      <c r="C6973" s="144"/>
      <c r="D6973" s="144"/>
      <c r="E6973" s="144"/>
      <c r="F6973" s="373"/>
      <c r="I6973" s="70"/>
    </row>
    <row r="6974" spans="3:9" s="46" customFormat="1" x14ac:dyDescent="0.2">
      <c r="C6974" s="144"/>
      <c r="D6974" s="144"/>
      <c r="E6974" s="144"/>
      <c r="F6974" s="373"/>
      <c r="I6974" s="70"/>
    </row>
    <row r="6975" spans="3:9" s="46" customFormat="1" x14ac:dyDescent="0.2">
      <c r="C6975" s="144"/>
      <c r="D6975" s="144"/>
      <c r="E6975" s="144"/>
      <c r="F6975" s="373"/>
      <c r="I6975" s="70"/>
    </row>
    <row r="6976" spans="3:9" s="46" customFormat="1" x14ac:dyDescent="0.2">
      <c r="C6976" s="144"/>
      <c r="D6976" s="144"/>
      <c r="E6976" s="144"/>
      <c r="F6976" s="373"/>
      <c r="I6976" s="70"/>
    </row>
    <row r="6977" spans="3:9" s="46" customFormat="1" x14ac:dyDescent="0.2">
      <c r="C6977" s="144"/>
      <c r="D6977" s="144"/>
      <c r="E6977" s="144"/>
      <c r="F6977" s="373"/>
      <c r="I6977" s="70"/>
    </row>
    <row r="6978" spans="3:9" s="46" customFormat="1" x14ac:dyDescent="0.2">
      <c r="C6978" s="144"/>
      <c r="D6978" s="144"/>
      <c r="E6978" s="144"/>
      <c r="F6978" s="373"/>
      <c r="I6978" s="70"/>
    </row>
    <row r="6979" spans="3:9" s="46" customFormat="1" x14ac:dyDescent="0.2">
      <c r="C6979" s="144"/>
      <c r="D6979" s="144"/>
      <c r="E6979" s="144"/>
      <c r="F6979" s="373"/>
      <c r="I6979" s="70"/>
    </row>
    <row r="6980" spans="3:9" s="46" customFormat="1" x14ac:dyDescent="0.2">
      <c r="C6980" s="144"/>
      <c r="D6980" s="144"/>
      <c r="E6980" s="144"/>
      <c r="F6980" s="373"/>
      <c r="I6980" s="70"/>
    </row>
    <row r="6981" spans="3:9" s="46" customFormat="1" x14ac:dyDescent="0.2">
      <c r="C6981" s="144"/>
      <c r="D6981" s="144"/>
      <c r="E6981" s="144"/>
      <c r="F6981" s="373"/>
      <c r="I6981" s="70"/>
    </row>
    <row r="6982" spans="3:9" s="46" customFormat="1" x14ac:dyDescent="0.2">
      <c r="C6982" s="144"/>
      <c r="D6982" s="144"/>
      <c r="E6982" s="144"/>
      <c r="F6982" s="373"/>
      <c r="I6982" s="70"/>
    </row>
    <row r="6983" spans="3:9" s="46" customFormat="1" x14ac:dyDescent="0.2">
      <c r="C6983" s="144"/>
      <c r="D6983" s="144"/>
      <c r="E6983" s="144"/>
      <c r="F6983" s="373"/>
      <c r="I6983" s="70"/>
    </row>
    <row r="6984" spans="3:9" s="46" customFormat="1" x14ac:dyDescent="0.2">
      <c r="C6984" s="144"/>
      <c r="D6984" s="144"/>
      <c r="E6984" s="144"/>
      <c r="F6984" s="373"/>
      <c r="I6984" s="70"/>
    </row>
    <row r="6985" spans="3:9" s="46" customFormat="1" x14ac:dyDescent="0.2">
      <c r="C6985" s="144"/>
      <c r="D6985" s="144"/>
      <c r="E6985" s="144"/>
      <c r="F6985" s="373"/>
      <c r="I6985" s="70"/>
    </row>
    <row r="6986" spans="3:9" s="46" customFormat="1" x14ac:dyDescent="0.2">
      <c r="C6986" s="144"/>
      <c r="D6986" s="144"/>
      <c r="E6986" s="144"/>
      <c r="F6986" s="373"/>
      <c r="I6986" s="70"/>
    </row>
    <row r="6987" spans="3:9" s="46" customFormat="1" x14ac:dyDescent="0.2">
      <c r="C6987" s="144"/>
      <c r="D6987" s="144"/>
      <c r="E6987" s="144"/>
      <c r="F6987" s="373"/>
      <c r="I6987" s="70"/>
    </row>
    <row r="6988" spans="3:9" s="46" customFormat="1" x14ac:dyDescent="0.2">
      <c r="C6988" s="144"/>
      <c r="D6988" s="144"/>
      <c r="E6988" s="144"/>
      <c r="F6988" s="373"/>
      <c r="I6988" s="70"/>
    </row>
    <row r="6989" spans="3:9" s="46" customFormat="1" x14ac:dyDescent="0.2">
      <c r="C6989" s="144"/>
      <c r="D6989" s="144"/>
      <c r="E6989" s="144"/>
      <c r="F6989" s="373"/>
      <c r="I6989" s="70"/>
    </row>
    <row r="6990" spans="3:9" s="46" customFormat="1" x14ac:dyDescent="0.2">
      <c r="C6990" s="144"/>
      <c r="D6990" s="144"/>
      <c r="E6990" s="144"/>
      <c r="F6990" s="373"/>
      <c r="I6990" s="70"/>
    </row>
    <row r="6991" spans="3:9" s="46" customFormat="1" x14ac:dyDescent="0.2">
      <c r="C6991" s="144"/>
      <c r="D6991" s="144"/>
      <c r="E6991" s="144"/>
      <c r="F6991" s="373"/>
      <c r="I6991" s="70"/>
    </row>
    <row r="6992" spans="3:9" s="46" customFormat="1" x14ac:dyDescent="0.2">
      <c r="C6992" s="144"/>
      <c r="D6992" s="144"/>
      <c r="E6992" s="144"/>
      <c r="F6992" s="373"/>
      <c r="I6992" s="70"/>
    </row>
    <row r="6993" spans="3:9" s="46" customFormat="1" x14ac:dyDescent="0.2">
      <c r="C6993" s="144"/>
      <c r="D6993" s="144"/>
      <c r="E6993" s="144"/>
      <c r="F6993" s="373"/>
      <c r="I6993" s="70"/>
    </row>
    <row r="6994" spans="3:9" s="46" customFormat="1" x14ac:dyDescent="0.2">
      <c r="C6994" s="144"/>
      <c r="D6994" s="144"/>
      <c r="E6994" s="144"/>
      <c r="F6994" s="373"/>
      <c r="I6994" s="70"/>
    </row>
    <row r="6995" spans="3:9" s="46" customFormat="1" x14ac:dyDescent="0.2">
      <c r="C6995" s="144"/>
      <c r="D6995" s="144"/>
      <c r="E6995" s="144"/>
      <c r="F6995" s="373"/>
      <c r="I6995" s="70"/>
    </row>
    <row r="6996" spans="3:9" s="46" customFormat="1" x14ac:dyDescent="0.2">
      <c r="C6996" s="144"/>
      <c r="D6996" s="144"/>
      <c r="E6996" s="144"/>
      <c r="F6996" s="373"/>
      <c r="I6996" s="70"/>
    </row>
    <row r="6997" spans="3:9" s="46" customFormat="1" x14ac:dyDescent="0.2">
      <c r="C6997" s="144"/>
      <c r="D6997" s="144"/>
      <c r="E6997" s="144"/>
      <c r="F6997" s="373"/>
      <c r="I6997" s="70"/>
    </row>
    <row r="6998" spans="3:9" s="46" customFormat="1" x14ac:dyDescent="0.2">
      <c r="C6998" s="144"/>
      <c r="D6998" s="144"/>
      <c r="E6998" s="144"/>
      <c r="F6998" s="373"/>
      <c r="I6998" s="70"/>
    </row>
    <row r="6999" spans="3:9" s="46" customFormat="1" x14ac:dyDescent="0.2">
      <c r="C6999" s="144"/>
      <c r="D6999" s="144"/>
      <c r="E6999" s="144"/>
      <c r="F6999" s="373"/>
      <c r="I6999" s="70"/>
    </row>
    <row r="7000" spans="3:9" s="46" customFormat="1" x14ac:dyDescent="0.2">
      <c r="C7000" s="144"/>
      <c r="D7000" s="144"/>
      <c r="E7000" s="144"/>
      <c r="F7000" s="373"/>
      <c r="I7000" s="70"/>
    </row>
    <row r="7001" spans="3:9" s="46" customFormat="1" x14ac:dyDescent="0.2">
      <c r="C7001" s="144"/>
      <c r="D7001" s="144"/>
      <c r="E7001" s="144"/>
      <c r="F7001" s="373"/>
      <c r="I7001" s="70"/>
    </row>
    <row r="7002" spans="3:9" s="46" customFormat="1" x14ac:dyDescent="0.2">
      <c r="C7002" s="144"/>
      <c r="D7002" s="144"/>
      <c r="E7002" s="144"/>
      <c r="F7002" s="373"/>
      <c r="I7002" s="70"/>
    </row>
    <row r="7003" spans="3:9" s="46" customFormat="1" x14ac:dyDescent="0.2">
      <c r="C7003" s="144"/>
      <c r="D7003" s="144"/>
      <c r="E7003" s="144"/>
      <c r="F7003" s="373"/>
      <c r="I7003" s="70"/>
    </row>
    <row r="7004" spans="3:9" s="46" customFormat="1" x14ac:dyDescent="0.2">
      <c r="C7004" s="144"/>
      <c r="D7004" s="144"/>
      <c r="E7004" s="144"/>
      <c r="F7004" s="373"/>
      <c r="I7004" s="70"/>
    </row>
    <row r="7005" spans="3:9" s="46" customFormat="1" x14ac:dyDescent="0.2">
      <c r="C7005" s="144"/>
      <c r="D7005" s="144"/>
      <c r="E7005" s="144"/>
      <c r="F7005" s="373"/>
      <c r="I7005" s="70"/>
    </row>
    <row r="7006" spans="3:9" s="46" customFormat="1" x14ac:dyDescent="0.2">
      <c r="C7006" s="144"/>
      <c r="D7006" s="144"/>
      <c r="E7006" s="144"/>
      <c r="F7006" s="373"/>
      <c r="I7006" s="70"/>
    </row>
    <row r="7007" spans="3:9" s="46" customFormat="1" x14ac:dyDescent="0.2">
      <c r="C7007" s="144"/>
      <c r="D7007" s="144"/>
      <c r="E7007" s="144"/>
      <c r="F7007" s="373"/>
      <c r="I7007" s="70"/>
    </row>
    <row r="7008" spans="3:9" s="46" customFormat="1" x14ac:dyDescent="0.2">
      <c r="C7008" s="144"/>
      <c r="D7008" s="144"/>
      <c r="E7008" s="144"/>
      <c r="F7008" s="373"/>
      <c r="I7008" s="70"/>
    </row>
    <row r="7009" spans="3:9" s="46" customFormat="1" x14ac:dyDescent="0.2">
      <c r="C7009" s="144"/>
      <c r="D7009" s="144"/>
      <c r="E7009" s="144"/>
      <c r="F7009" s="373"/>
      <c r="I7009" s="70"/>
    </row>
    <row r="7010" spans="3:9" s="46" customFormat="1" x14ac:dyDescent="0.2">
      <c r="C7010" s="144"/>
      <c r="D7010" s="144"/>
      <c r="E7010" s="144"/>
      <c r="F7010" s="373"/>
      <c r="I7010" s="70"/>
    </row>
    <row r="7011" spans="3:9" s="46" customFormat="1" x14ac:dyDescent="0.2">
      <c r="C7011" s="144"/>
      <c r="D7011" s="144"/>
      <c r="E7011" s="144"/>
      <c r="F7011" s="373"/>
      <c r="I7011" s="70"/>
    </row>
    <row r="7012" spans="3:9" s="46" customFormat="1" x14ac:dyDescent="0.2">
      <c r="C7012" s="144"/>
      <c r="D7012" s="144"/>
      <c r="E7012" s="144"/>
      <c r="F7012" s="373"/>
      <c r="I7012" s="70"/>
    </row>
    <row r="7013" spans="3:9" s="46" customFormat="1" x14ac:dyDescent="0.2">
      <c r="C7013" s="144"/>
      <c r="D7013" s="144"/>
      <c r="E7013" s="144"/>
      <c r="F7013" s="373"/>
      <c r="I7013" s="70"/>
    </row>
    <row r="7014" spans="3:9" s="46" customFormat="1" x14ac:dyDescent="0.2">
      <c r="C7014" s="144"/>
      <c r="D7014" s="144"/>
      <c r="E7014" s="144"/>
      <c r="F7014" s="373"/>
      <c r="I7014" s="70"/>
    </row>
    <row r="7015" spans="3:9" s="46" customFormat="1" x14ac:dyDescent="0.2">
      <c r="C7015" s="144"/>
      <c r="D7015" s="144"/>
      <c r="E7015" s="144"/>
      <c r="F7015" s="373"/>
      <c r="I7015" s="70"/>
    </row>
    <row r="7016" spans="3:9" s="46" customFormat="1" x14ac:dyDescent="0.2">
      <c r="C7016" s="144"/>
      <c r="D7016" s="144"/>
      <c r="E7016" s="144"/>
      <c r="F7016" s="373"/>
      <c r="I7016" s="70"/>
    </row>
    <row r="7017" spans="3:9" s="46" customFormat="1" x14ac:dyDescent="0.2">
      <c r="C7017" s="144"/>
      <c r="D7017" s="144"/>
      <c r="E7017" s="144"/>
      <c r="F7017" s="373"/>
      <c r="I7017" s="70"/>
    </row>
    <row r="7018" spans="3:9" s="46" customFormat="1" x14ac:dyDescent="0.2">
      <c r="C7018" s="144"/>
      <c r="D7018" s="144"/>
      <c r="E7018" s="144"/>
      <c r="F7018" s="373"/>
      <c r="I7018" s="70"/>
    </row>
    <row r="7019" spans="3:9" s="46" customFormat="1" x14ac:dyDescent="0.2">
      <c r="C7019" s="144"/>
      <c r="D7019" s="144"/>
      <c r="E7019" s="144"/>
      <c r="F7019" s="373"/>
      <c r="I7019" s="70"/>
    </row>
    <row r="7020" spans="3:9" s="46" customFormat="1" x14ac:dyDescent="0.2">
      <c r="C7020" s="144"/>
      <c r="D7020" s="144"/>
      <c r="E7020" s="144"/>
      <c r="F7020" s="373"/>
      <c r="I7020" s="70"/>
    </row>
    <row r="7021" spans="3:9" s="46" customFormat="1" x14ac:dyDescent="0.2">
      <c r="C7021" s="144"/>
      <c r="D7021" s="144"/>
      <c r="E7021" s="144"/>
      <c r="F7021" s="373"/>
      <c r="I7021" s="70"/>
    </row>
    <row r="7022" spans="3:9" s="46" customFormat="1" x14ac:dyDescent="0.2">
      <c r="C7022" s="144"/>
      <c r="D7022" s="144"/>
      <c r="E7022" s="144"/>
      <c r="F7022" s="373"/>
      <c r="I7022" s="70"/>
    </row>
    <row r="7023" spans="3:9" s="46" customFormat="1" x14ac:dyDescent="0.2">
      <c r="C7023" s="144"/>
      <c r="D7023" s="144"/>
      <c r="E7023" s="144"/>
      <c r="F7023" s="373"/>
      <c r="I7023" s="70"/>
    </row>
    <row r="7024" spans="3:9" s="46" customFormat="1" x14ac:dyDescent="0.2">
      <c r="C7024" s="144"/>
      <c r="D7024" s="144"/>
      <c r="E7024" s="144"/>
      <c r="F7024" s="373"/>
      <c r="I7024" s="70"/>
    </row>
    <row r="7025" spans="3:9" s="46" customFormat="1" x14ac:dyDescent="0.2">
      <c r="C7025" s="144"/>
      <c r="D7025" s="144"/>
      <c r="E7025" s="144"/>
      <c r="F7025" s="373"/>
      <c r="I7025" s="70"/>
    </row>
    <row r="7026" spans="3:9" s="46" customFormat="1" x14ac:dyDescent="0.2">
      <c r="C7026" s="144"/>
      <c r="D7026" s="144"/>
      <c r="E7026" s="144"/>
      <c r="F7026" s="373"/>
      <c r="I7026" s="70"/>
    </row>
    <row r="7027" spans="3:9" s="46" customFormat="1" x14ac:dyDescent="0.2">
      <c r="C7027" s="144"/>
      <c r="D7027" s="144"/>
      <c r="E7027" s="144"/>
      <c r="F7027" s="373"/>
      <c r="I7027" s="70"/>
    </row>
    <row r="7028" spans="3:9" s="46" customFormat="1" x14ac:dyDescent="0.2">
      <c r="C7028" s="144"/>
      <c r="D7028" s="144"/>
      <c r="E7028" s="144"/>
      <c r="F7028" s="373"/>
      <c r="I7028" s="70"/>
    </row>
    <row r="7029" spans="3:9" s="46" customFormat="1" x14ac:dyDescent="0.2">
      <c r="C7029" s="144"/>
      <c r="D7029" s="144"/>
      <c r="E7029" s="144"/>
      <c r="F7029" s="373"/>
      <c r="I7029" s="70"/>
    </row>
    <row r="7030" spans="3:9" s="46" customFormat="1" x14ac:dyDescent="0.2">
      <c r="C7030" s="144"/>
      <c r="D7030" s="144"/>
      <c r="E7030" s="144"/>
      <c r="F7030" s="373"/>
      <c r="I7030" s="70"/>
    </row>
    <row r="7031" spans="3:9" s="46" customFormat="1" x14ac:dyDescent="0.2">
      <c r="C7031" s="144"/>
      <c r="D7031" s="144"/>
      <c r="E7031" s="144"/>
      <c r="F7031" s="373"/>
      <c r="I7031" s="70"/>
    </row>
    <row r="7032" spans="3:9" s="46" customFormat="1" x14ac:dyDescent="0.2">
      <c r="C7032" s="144"/>
      <c r="D7032" s="144"/>
      <c r="E7032" s="144"/>
      <c r="F7032" s="373"/>
      <c r="I7032" s="70"/>
    </row>
    <row r="7033" spans="3:9" s="46" customFormat="1" x14ac:dyDescent="0.2">
      <c r="C7033" s="144"/>
      <c r="D7033" s="144"/>
      <c r="E7033" s="144"/>
      <c r="F7033" s="373"/>
      <c r="I7033" s="70"/>
    </row>
    <row r="7034" spans="3:9" s="46" customFormat="1" x14ac:dyDescent="0.2">
      <c r="C7034" s="144"/>
      <c r="D7034" s="144"/>
      <c r="E7034" s="144"/>
      <c r="F7034" s="373"/>
      <c r="I7034" s="70"/>
    </row>
    <row r="7035" spans="3:9" s="46" customFormat="1" x14ac:dyDescent="0.2">
      <c r="C7035" s="144"/>
      <c r="D7035" s="144"/>
      <c r="E7035" s="144"/>
      <c r="F7035" s="373"/>
      <c r="I7035" s="70"/>
    </row>
    <row r="7036" spans="3:9" s="46" customFormat="1" x14ac:dyDescent="0.2">
      <c r="C7036" s="144"/>
      <c r="D7036" s="144"/>
      <c r="E7036" s="144"/>
      <c r="F7036" s="373"/>
      <c r="I7036" s="70"/>
    </row>
    <row r="7037" spans="3:9" s="46" customFormat="1" x14ac:dyDescent="0.2">
      <c r="C7037" s="144"/>
      <c r="D7037" s="144"/>
      <c r="E7037" s="144"/>
      <c r="F7037" s="373"/>
      <c r="I7037" s="70"/>
    </row>
    <row r="7038" spans="3:9" s="46" customFormat="1" x14ac:dyDescent="0.2">
      <c r="C7038" s="144"/>
      <c r="D7038" s="144"/>
      <c r="E7038" s="144"/>
      <c r="F7038" s="373"/>
      <c r="I7038" s="70"/>
    </row>
    <row r="7039" spans="3:9" s="46" customFormat="1" x14ac:dyDescent="0.2">
      <c r="C7039" s="144"/>
      <c r="D7039" s="144"/>
      <c r="E7039" s="144"/>
      <c r="F7039" s="373"/>
      <c r="I7039" s="70"/>
    </row>
    <row r="7040" spans="3:9" s="46" customFormat="1" x14ac:dyDescent="0.2">
      <c r="C7040" s="144"/>
      <c r="D7040" s="144"/>
      <c r="E7040" s="144"/>
      <c r="F7040" s="373"/>
      <c r="I7040" s="70"/>
    </row>
    <row r="7041" spans="3:9" s="46" customFormat="1" x14ac:dyDescent="0.2">
      <c r="C7041" s="144"/>
      <c r="D7041" s="144"/>
      <c r="E7041" s="144"/>
      <c r="F7041" s="373"/>
      <c r="I7041" s="70"/>
    </row>
    <row r="7042" spans="3:9" s="46" customFormat="1" x14ac:dyDescent="0.2">
      <c r="C7042" s="144"/>
      <c r="D7042" s="144"/>
      <c r="E7042" s="144"/>
      <c r="F7042" s="373"/>
      <c r="I7042" s="70"/>
    </row>
    <row r="7043" spans="3:9" s="46" customFormat="1" x14ac:dyDescent="0.2">
      <c r="C7043" s="144"/>
      <c r="D7043" s="144"/>
      <c r="E7043" s="144"/>
      <c r="F7043" s="373"/>
      <c r="I7043" s="70"/>
    </row>
    <row r="7044" spans="3:9" s="46" customFormat="1" x14ac:dyDescent="0.2">
      <c r="C7044" s="144"/>
      <c r="D7044" s="144"/>
      <c r="E7044" s="144"/>
      <c r="F7044" s="373"/>
      <c r="I7044" s="70"/>
    </row>
    <row r="7045" spans="3:9" s="46" customFormat="1" x14ac:dyDescent="0.2">
      <c r="C7045" s="144"/>
      <c r="D7045" s="144"/>
      <c r="E7045" s="144"/>
      <c r="F7045" s="373"/>
      <c r="I7045" s="70"/>
    </row>
    <row r="7046" spans="3:9" s="46" customFormat="1" x14ac:dyDescent="0.2">
      <c r="C7046" s="144"/>
      <c r="D7046" s="144"/>
      <c r="E7046" s="144"/>
      <c r="F7046" s="373"/>
      <c r="I7046" s="70"/>
    </row>
    <row r="7047" spans="3:9" s="46" customFormat="1" x14ac:dyDescent="0.2">
      <c r="C7047" s="144"/>
      <c r="D7047" s="144"/>
      <c r="E7047" s="144"/>
      <c r="F7047" s="373"/>
      <c r="I7047" s="70"/>
    </row>
    <row r="7048" spans="3:9" s="46" customFormat="1" x14ac:dyDescent="0.2">
      <c r="C7048" s="144"/>
      <c r="D7048" s="144"/>
      <c r="E7048" s="144"/>
      <c r="F7048" s="373"/>
      <c r="I7048" s="70"/>
    </row>
    <row r="7049" spans="3:9" s="46" customFormat="1" x14ac:dyDescent="0.2">
      <c r="C7049" s="144"/>
      <c r="D7049" s="144"/>
      <c r="E7049" s="144"/>
      <c r="F7049" s="373"/>
      <c r="I7049" s="70"/>
    </row>
    <row r="7050" spans="3:9" s="46" customFormat="1" x14ac:dyDescent="0.2">
      <c r="C7050" s="144"/>
      <c r="D7050" s="144"/>
      <c r="E7050" s="144"/>
      <c r="F7050" s="373"/>
      <c r="I7050" s="70"/>
    </row>
    <row r="7051" spans="3:9" s="46" customFormat="1" x14ac:dyDescent="0.2">
      <c r="C7051" s="144"/>
      <c r="D7051" s="144"/>
      <c r="E7051" s="144"/>
      <c r="F7051" s="373"/>
      <c r="I7051" s="70"/>
    </row>
    <row r="7052" spans="3:9" s="46" customFormat="1" x14ac:dyDescent="0.2">
      <c r="C7052" s="144"/>
      <c r="D7052" s="144"/>
      <c r="E7052" s="144"/>
      <c r="F7052" s="373"/>
      <c r="I7052" s="70"/>
    </row>
    <row r="7053" spans="3:9" s="46" customFormat="1" x14ac:dyDescent="0.2">
      <c r="C7053" s="144"/>
      <c r="D7053" s="144"/>
      <c r="E7053" s="144"/>
      <c r="F7053" s="373"/>
      <c r="I7053" s="70"/>
    </row>
    <row r="7054" spans="3:9" s="46" customFormat="1" x14ac:dyDescent="0.2">
      <c r="C7054" s="144"/>
      <c r="D7054" s="144"/>
      <c r="E7054" s="144"/>
      <c r="F7054" s="373"/>
      <c r="I7054" s="70"/>
    </row>
    <row r="7055" spans="3:9" s="46" customFormat="1" x14ac:dyDescent="0.2">
      <c r="C7055" s="144"/>
      <c r="D7055" s="144"/>
      <c r="E7055" s="144"/>
      <c r="F7055" s="373"/>
      <c r="I7055" s="70"/>
    </row>
    <row r="7056" spans="3:9" s="46" customFormat="1" x14ac:dyDescent="0.2">
      <c r="C7056" s="144"/>
      <c r="D7056" s="144"/>
      <c r="E7056" s="144"/>
      <c r="F7056" s="373"/>
      <c r="I7056" s="70"/>
    </row>
    <row r="7057" spans="3:9" s="46" customFormat="1" x14ac:dyDescent="0.2">
      <c r="C7057" s="144"/>
      <c r="D7057" s="144"/>
      <c r="E7057" s="144"/>
      <c r="F7057" s="373"/>
      <c r="I7057" s="70"/>
    </row>
    <row r="7058" spans="3:9" s="46" customFormat="1" x14ac:dyDescent="0.2">
      <c r="C7058" s="144"/>
      <c r="D7058" s="144"/>
      <c r="E7058" s="144"/>
      <c r="F7058" s="373"/>
      <c r="I7058" s="70"/>
    </row>
    <row r="7059" spans="3:9" s="46" customFormat="1" x14ac:dyDescent="0.2">
      <c r="C7059" s="144"/>
      <c r="D7059" s="144"/>
      <c r="E7059" s="144"/>
      <c r="F7059" s="373"/>
      <c r="I7059" s="70"/>
    </row>
    <row r="7060" spans="3:9" s="46" customFormat="1" x14ac:dyDescent="0.2">
      <c r="C7060" s="144"/>
      <c r="D7060" s="144"/>
      <c r="E7060" s="144"/>
      <c r="F7060" s="373"/>
      <c r="I7060" s="70"/>
    </row>
    <row r="7061" spans="3:9" s="46" customFormat="1" x14ac:dyDescent="0.2">
      <c r="C7061" s="144"/>
      <c r="D7061" s="144"/>
      <c r="E7061" s="144"/>
      <c r="F7061" s="373"/>
      <c r="I7061" s="70"/>
    </row>
    <row r="7062" spans="3:9" s="46" customFormat="1" x14ac:dyDescent="0.2">
      <c r="C7062" s="144"/>
      <c r="D7062" s="144"/>
      <c r="E7062" s="144"/>
      <c r="F7062" s="373"/>
      <c r="I7062" s="70"/>
    </row>
    <row r="7063" spans="3:9" s="46" customFormat="1" x14ac:dyDescent="0.2">
      <c r="C7063" s="144"/>
      <c r="D7063" s="144"/>
      <c r="E7063" s="144"/>
      <c r="F7063" s="373"/>
      <c r="I7063" s="70"/>
    </row>
    <row r="7064" spans="3:9" s="46" customFormat="1" x14ac:dyDescent="0.2">
      <c r="C7064" s="144"/>
      <c r="D7064" s="144"/>
      <c r="E7064" s="144"/>
      <c r="F7064" s="373"/>
      <c r="I7064" s="70"/>
    </row>
    <row r="7065" spans="3:9" s="46" customFormat="1" x14ac:dyDescent="0.2">
      <c r="C7065" s="144"/>
      <c r="D7065" s="144"/>
      <c r="E7065" s="144"/>
      <c r="F7065" s="373"/>
      <c r="I7065" s="70"/>
    </row>
    <row r="7066" spans="3:9" s="46" customFormat="1" x14ac:dyDescent="0.2">
      <c r="C7066" s="144"/>
      <c r="D7066" s="144"/>
      <c r="E7066" s="144"/>
      <c r="F7066" s="373"/>
      <c r="I7066" s="70"/>
    </row>
    <row r="7067" spans="3:9" s="46" customFormat="1" x14ac:dyDescent="0.2">
      <c r="C7067" s="144"/>
      <c r="D7067" s="144"/>
      <c r="E7067" s="144"/>
      <c r="F7067" s="373"/>
      <c r="I7067" s="70"/>
    </row>
    <row r="7068" spans="3:9" s="46" customFormat="1" x14ac:dyDescent="0.2">
      <c r="C7068" s="144"/>
      <c r="D7068" s="144"/>
      <c r="E7068" s="144"/>
      <c r="F7068" s="373"/>
      <c r="I7068" s="70"/>
    </row>
    <row r="7069" spans="3:9" s="46" customFormat="1" x14ac:dyDescent="0.2">
      <c r="C7069" s="144"/>
      <c r="D7069" s="144"/>
      <c r="E7069" s="144"/>
      <c r="F7069" s="373"/>
      <c r="I7069" s="70"/>
    </row>
    <row r="7070" spans="3:9" s="46" customFormat="1" x14ac:dyDescent="0.2">
      <c r="C7070" s="144"/>
      <c r="D7070" s="144"/>
      <c r="E7070" s="144"/>
      <c r="F7070" s="373"/>
      <c r="I7070" s="70"/>
    </row>
    <row r="7071" spans="3:9" s="46" customFormat="1" x14ac:dyDescent="0.2">
      <c r="C7071" s="144"/>
      <c r="D7071" s="144"/>
      <c r="E7071" s="144"/>
      <c r="F7071" s="373"/>
      <c r="I7071" s="70"/>
    </row>
    <row r="7072" spans="3:9" s="46" customFormat="1" x14ac:dyDescent="0.2">
      <c r="C7072" s="144"/>
      <c r="D7072" s="144"/>
      <c r="E7072" s="144"/>
      <c r="F7072" s="373"/>
      <c r="I7072" s="70"/>
    </row>
    <row r="7073" spans="3:9" s="46" customFormat="1" x14ac:dyDescent="0.2">
      <c r="C7073" s="144"/>
      <c r="D7073" s="144"/>
      <c r="E7073" s="144"/>
      <c r="F7073" s="373"/>
      <c r="I7073" s="70"/>
    </row>
    <row r="7074" spans="3:9" s="46" customFormat="1" x14ac:dyDescent="0.2">
      <c r="C7074" s="144"/>
      <c r="D7074" s="144"/>
      <c r="E7074" s="144"/>
      <c r="F7074" s="373"/>
      <c r="I7074" s="70"/>
    </row>
    <row r="7075" spans="3:9" s="46" customFormat="1" x14ac:dyDescent="0.2">
      <c r="C7075" s="144"/>
      <c r="D7075" s="144"/>
      <c r="E7075" s="144"/>
      <c r="F7075" s="373"/>
      <c r="I7075" s="70"/>
    </row>
    <row r="7076" spans="3:9" s="46" customFormat="1" x14ac:dyDescent="0.2">
      <c r="C7076" s="144"/>
      <c r="D7076" s="144"/>
      <c r="E7076" s="144"/>
      <c r="F7076" s="373"/>
      <c r="I7076" s="70"/>
    </row>
    <row r="7077" spans="3:9" s="46" customFormat="1" x14ac:dyDescent="0.2">
      <c r="C7077" s="144"/>
      <c r="D7077" s="144"/>
      <c r="E7077" s="144"/>
      <c r="F7077" s="373"/>
      <c r="I7077" s="70"/>
    </row>
    <row r="7078" spans="3:9" s="46" customFormat="1" x14ac:dyDescent="0.2">
      <c r="C7078" s="144"/>
      <c r="D7078" s="144"/>
      <c r="E7078" s="144"/>
      <c r="F7078" s="373"/>
      <c r="I7078" s="70"/>
    </row>
    <row r="7079" spans="3:9" s="46" customFormat="1" x14ac:dyDescent="0.2">
      <c r="C7079" s="144"/>
      <c r="D7079" s="144"/>
      <c r="E7079" s="144"/>
      <c r="F7079" s="373"/>
      <c r="I7079" s="70"/>
    </row>
    <row r="7080" spans="3:9" s="46" customFormat="1" x14ac:dyDescent="0.2">
      <c r="C7080" s="144"/>
      <c r="D7080" s="144"/>
      <c r="E7080" s="144"/>
      <c r="F7080" s="373"/>
      <c r="I7080" s="70"/>
    </row>
    <row r="7081" spans="3:9" s="46" customFormat="1" x14ac:dyDescent="0.2">
      <c r="C7081" s="144"/>
      <c r="D7081" s="144"/>
      <c r="E7081" s="144"/>
      <c r="F7081" s="373"/>
      <c r="I7081" s="70"/>
    </row>
    <row r="7082" spans="3:9" s="46" customFormat="1" x14ac:dyDescent="0.2">
      <c r="C7082" s="144"/>
      <c r="D7082" s="144"/>
      <c r="E7082" s="144"/>
      <c r="F7082" s="373"/>
      <c r="I7082" s="70"/>
    </row>
    <row r="7083" spans="3:9" s="46" customFormat="1" x14ac:dyDescent="0.2">
      <c r="C7083" s="144"/>
      <c r="D7083" s="144"/>
      <c r="E7083" s="144"/>
      <c r="F7083" s="373"/>
      <c r="I7083" s="70"/>
    </row>
    <row r="7084" spans="3:9" s="46" customFormat="1" x14ac:dyDescent="0.2">
      <c r="C7084" s="144"/>
      <c r="D7084" s="144"/>
      <c r="E7084" s="144"/>
      <c r="F7084" s="373"/>
      <c r="I7084" s="70"/>
    </row>
    <row r="7085" spans="3:9" s="46" customFormat="1" x14ac:dyDescent="0.2">
      <c r="C7085" s="144"/>
      <c r="D7085" s="144"/>
      <c r="E7085" s="144"/>
      <c r="F7085" s="373"/>
      <c r="I7085" s="70"/>
    </row>
    <row r="7086" spans="3:9" s="46" customFormat="1" x14ac:dyDescent="0.2">
      <c r="C7086" s="144"/>
      <c r="D7086" s="144"/>
      <c r="E7086" s="144"/>
      <c r="F7086" s="373"/>
      <c r="I7086" s="70"/>
    </row>
    <row r="7087" spans="3:9" s="46" customFormat="1" x14ac:dyDescent="0.2">
      <c r="C7087" s="144"/>
      <c r="D7087" s="144"/>
      <c r="E7087" s="144"/>
      <c r="F7087" s="373"/>
      <c r="I7087" s="70"/>
    </row>
    <row r="7088" spans="3:9" s="46" customFormat="1" x14ac:dyDescent="0.2">
      <c r="C7088" s="144"/>
      <c r="D7088" s="144"/>
      <c r="E7088" s="144"/>
      <c r="F7088" s="373"/>
      <c r="I7088" s="70"/>
    </row>
    <row r="7089" spans="3:9" s="46" customFormat="1" x14ac:dyDescent="0.2">
      <c r="C7089" s="144"/>
      <c r="D7089" s="144"/>
      <c r="E7089" s="144"/>
      <c r="F7089" s="373"/>
      <c r="I7089" s="70"/>
    </row>
    <row r="7090" spans="3:9" s="46" customFormat="1" x14ac:dyDescent="0.2">
      <c r="C7090" s="144"/>
      <c r="D7090" s="144"/>
      <c r="E7090" s="144"/>
      <c r="F7090" s="373"/>
      <c r="I7090" s="70"/>
    </row>
    <row r="7091" spans="3:9" s="46" customFormat="1" x14ac:dyDescent="0.2">
      <c r="C7091" s="144"/>
      <c r="D7091" s="144"/>
      <c r="E7091" s="144"/>
      <c r="F7091" s="373"/>
      <c r="I7091" s="70"/>
    </row>
    <row r="7092" spans="3:9" s="46" customFormat="1" x14ac:dyDescent="0.2">
      <c r="C7092" s="144"/>
      <c r="D7092" s="144"/>
      <c r="E7092" s="144"/>
      <c r="F7092" s="373"/>
      <c r="I7092" s="70"/>
    </row>
    <row r="7093" spans="3:9" s="46" customFormat="1" x14ac:dyDescent="0.2">
      <c r="C7093" s="144"/>
      <c r="D7093" s="144"/>
      <c r="E7093" s="144"/>
      <c r="F7093" s="373"/>
      <c r="I7093" s="70"/>
    </row>
    <row r="7094" spans="3:9" s="46" customFormat="1" x14ac:dyDescent="0.2">
      <c r="C7094" s="144"/>
      <c r="D7094" s="144"/>
      <c r="E7094" s="144"/>
      <c r="F7094" s="373"/>
      <c r="I7094" s="70"/>
    </row>
    <row r="7095" spans="3:9" s="46" customFormat="1" x14ac:dyDescent="0.2">
      <c r="C7095" s="144"/>
      <c r="D7095" s="144"/>
      <c r="E7095" s="144"/>
      <c r="F7095" s="373"/>
      <c r="I7095" s="70"/>
    </row>
    <row r="7096" spans="3:9" s="46" customFormat="1" x14ac:dyDescent="0.2">
      <c r="C7096" s="144"/>
      <c r="D7096" s="144"/>
      <c r="E7096" s="144"/>
      <c r="F7096" s="373"/>
      <c r="I7096" s="70"/>
    </row>
    <row r="7097" spans="3:9" s="46" customFormat="1" x14ac:dyDescent="0.2">
      <c r="C7097" s="144"/>
      <c r="D7097" s="144"/>
      <c r="E7097" s="144"/>
      <c r="F7097" s="373"/>
      <c r="I7097" s="70"/>
    </row>
    <row r="7098" spans="3:9" s="46" customFormat="1" x14ac:dyDescent="0.2">
      <c r="C7098" s="144"/>
      <c r="D7098" s="144"/>
      <c r="E7098" s="144"/>
      <c r="F7098" s="373"/>
      <c r="I7098" s="70"/>
    </row>
    <row r="7099" spans="3:9" s="46" customFormat="1" x14ac:dyDescent="0.2">
      <c r="C7099" s="144"/>
      <c r="D7099" s="144"/>
      <c r="E7099" s="144"/>
      <c r="F7099" s="373"/>
      <c r="I7099" s="70"/>
    </row>
    <row r="7100" spans="3:9" s="46" customFormat="1" x14ac:dyDescent="0.2">
      <c r="C7100" s="144"/>
      <c r="D7100" s="144"/>
      <c r="E7100" s="144"/>
      <c r="F7100" s="373"/>
      <c r="I7100" s="70"/>
    </row>
    <row r="7101" spans="3:9" s="46" customFormat="1" x14ac:dyDescent="0.2">
      <c r="C7101" s="144"/>
      <c r="D7101" s="144"/>
      <c r="E7101" s="144"/>
      <c r="F7101" s="373"/>
      <c r="I7101" s="70"/>
    </row>
    <row r="7102" spans="3:9" s="46" customFormat="1" x14ac:dyDescent="0.2">
      <c r="C7102" s="144"/>
      <c r="D7102" s="144"/>
      <c r="E7102" s="144"/>
      <c r="F7102" s="373"/>
      <c r="I7102" s="70"/>
    </row>
    <row r="7103" spans="3:9" s="46" customFormat="1" x14ac:dyDescent="0.2">
      <c r="C7103" s="144"/>
      <c r="D7103" s="144"/>
      <c r="E7103" s="144"/>
      <c r="F7103" s="373"/>
      <c r="I7103" s="70"/>
    </row>
    <row r="7104" spans="3:9" s="46" customFormat="1" x14ac:dyDescent="0.2">
      <c r="C7104" s="144"/>
      <c r="D7104" s="144"/>
      <c r="E7104" s="144"/>
      <c r="F7104" s="373"/>
      <c r="I7104" s="70"/>
    </row>
    <row r="7105" spans="3:9" s="46" customFormat="1" x14ac:dyDescent="0.2">
      <c r="C7105" s="144"/>
      <c r="D7105" s="144"/>
      <c r="E7105" s="144"/>
      <c r="F7105" s="373"/>
      <c r="I7105" s="70"/>
    </row>
    <row r="7106" spans="3:9" s="46" customFormat="1" x14ac:dyDescent="0.2">
      <c r="C7106" s="144"/>
      <c r="D7106" s="144"/>
      <c r="E7106" s="144"/>
      <c r="F7106" s="373"/>
      <c r="I7106" s="70"/>
    </row>
    <row r="7107" spans="3:9" s="46" customFormat="1" x14ac:dyDescent="0.2">
      <c r="C7107" s="144"/>
      <c r="D7107" s="144"/>
      <c r="E7107" s="144"/>
      <c r="F7107" s="373"/>
      <c r="I7107" s="70"/>
    </row>
    <row r="7108" spans="3:9" s="46" customFormat="1" x14ac:dyDescent="0.2">
      <c r="C7108" s="144"/>
      <c r="D7108" s="144"/>
      <c r="E7108" s="144"/>
      <c r="F7108" s="373"/>
      <c r="I7108" s="70"/>
    </row>
    <row r="7109" spans="3:9" s="46" customFormat="1" x14ac:dyDescent="0.2">
      <c r="C7109" s="144"/>
      <c r="D7109" s="144"/>
      <c r="E7109" s="144"/>
      <c r="F7109" s="373"/>
      <c r="I7109" s="70"/>
    </row>
    <row r="7110" spans="3:9" s="46" customFormat="1" x14ac:dyDescent="0.2">
      <c r="C7110" s="144"/>
      <c r="D7110" s="144"/>
      <c r="E7110" s="144"/>
      <c r="F7110" s="373"/>
      <c r="I7110" s="70"/>
    </row>
    <row r="7111" spans="3:9" s="46" customFormat="1" x14ac:dyDescent="0.2">
      <c r="C7111" s="144"/>
      <c r="D7111" s="144"/>
      <c r="E7111" s="144"/>
      <c r="F7111" s="373"/>
      <c r="I7111" s="70"/>
    </row>
    <row r="7112" spans="3:9" s="46" customFormat="1" x14ac:dyDescent="0.2">
      <c r="C7112" s="144"/>
      <c r="D7112" s="144"/>
      <c r="E7112" s="144"/>
      <c r="F7112" s="373"/>
      <c r="I7112" s="70"/>
    </row>
    <row r="7113" spans="3:9" s="46" customFormat="1" x14ac:dyDescent="0.2">
      <c r="C7113" s="144"/>
      <c r="D7113" s="144"/>
      <c r="E7113" s="144"/>
      <c r="F7113" s="373"/>
      <c r="I7113" s="70"/>
    </row>
    <row r="7114" spans="3:9" s="46" customFormat="1" x14ac:dyDescent="0.2">
      <c r="C7114" s="144"/>
      <c r="D7114" s="144"/>
      <c r="E7114" s="144"/>
      <c r="F7114" s="373"/>
      <c r="I7114" s="70"/>
    </row>
    <row r="7115" spans="3:9" s="46" customFormat="1" x14ac:dyDescent="0.2">
      <c r="C7115" s="144"/>
      <c r="D7115" s="144"/>
      <c r="E7115" s="144"/>
      <c r="F7115" s="373"/>
      <c r="I7115" s="70"/>
    </row>
    <row r="7116" spans="3:9" s="46" customFormat="1" x14ac:dyDescent="0.2">
      <c r="C7116" s="144"/>
      <c r="D7116" s="144"/>
      <c r="E7116" s="144"/>
      <c r="F7116" s="373"/>
      <c r="I7116" s="70"/>
    </row>
    <row r="7117" spans="3:9" s="46" customFormat="1" x14ac:dyDescent="0.2">
      <c r="C7117" s="144"/>
      <c r="D7117" s="144"/>
      <c r="E7117" s="144"/>
      <c r="F7117" s="373"/>
      <c r="I7117" s="70"/>
    </row>
    <row r="7118" spans="3:9" s="46" customFormat="1" x14ac:dyDescent="0.2">
      <c r="C7118" s="144"/>
      <c r="D7118" s="144"/>
      <c r="E7118" s="144"/>
      <c r="F7118" s="373"/>
      <c r="I7118" s="70"/>
    </row>
    <row r="7119" spans="3:9" s="46" customFormat="1" x14ac:dyDescent="0.2">
      <c r="C7119" s="144"/>
      <c r="D7119" s="144"/>
      <c r="E7119" s="144"/>
      <c r="F7119" s="373"/>
      <c r="I7119" s="70"/>
    </row>
    <row r="7120" spans="3:9" s="46" customFormat="1" x14ac:dyDescent="0.2">
      <c r="C7120" s="144"/>
      <c r="D7120" s="144"/>
      <c r="E7120" s="144"/>
      <c r="F7120" s="373"/>
      <c r="I7120" s="70"/>
    </row>
    <row r="7121" spans="3:9" s="46" customFormat="1" x14ac:dyDescent="0.2">
      <c r="C7121" s="144"/>
      <c r="D7121" s="144"/>
      <c r="E7121" s="144"/>
      <c r="F7121" s="373"/>
      <c r="I7121" s="70"/>
    </row>
    <row r="7122" spans="3:9" s="46" customFormat="1" x14ac:dyDescent="0.2">
      <c r="C7122" s="144"/>
      <c r="D7122" s="144"/>
      <c r="E7122" s="144"/>
      <c r="F7122" s="373"/>
      <c r="I7122" s="70"/>
    </row>
    <row r="7123" spans="3:9" s="46" customFormat="1" x14ac:dyDescent="0.2">
      <c r="C7123" s="144"/>
      <c r="D7123" s="144"/>
      <c r="E7123" s="144"/>
      <c r="F7123" s="373"/>
      <c r="I7123" s="70"/>
    </row>
    <row r="7124" spans="3:9" s="46" customFormat="1" x14ac:dyDescent="0.2">
      <c r="C7124" s="144"/>
      <c r="D7124" s="144"/>
      <c r="E7124" s="144"/>
      <c r="F7124" s="373"/>
      <c r="I7124" s="70"/>
    </row>
    <row r="7125" spans="3:9" s="46" customFormat="1" x14ac:dyDescent="0.2">
      <c r="C7125" s="144"/>
      <c r="D7125" s="144"/>
      <c r="E7125" s="144"/>
      <c r="F7125" s="373"/>
      <c r="I7125" s="70"/>
    </row>
    <row r="7126" spans="3:9" s="46" customFormat="1" x14ac:dyDescent="0.2">
      <c r="C7126" s="144"/>
      <c r="D7126" s="144"/>
      <c r="E7126" s="144"/>
      <c r="F7126" s="373"/>
      <c r="I7126" s="70"/>
    </row>
    <row r="7127" spans="3:9" s="46" customFormat="1" x14ac:dyDescent="0.2">
      <c r="C7127" s="144"/>
      <c r="D7127" s="144"/>
      <c r="E7127" s="144"/>
      <c r="F7127" s="373"/>
      <c r="I7127" s="70"/>
    </row>
    <row r="7128" spans="3:9" s="46" customFormat="1" x14ac:dyDescent="0.2">
      <c r="C7128" s="144"/>
      <c r="D7128" s="144"/>
      <c r="E7128" s="144"/>
      <c r="F7128" s="373"/>
      <c r="I7128" s="70"/>
    </row>
    <row r="7129" spans="3:9" s="46" customFormat="1" x14ac:dyDescent="0.2">
      <c r="C7129" s="144"/>
      <c r="D7129" s="144"/>
      <c r="E7129" s="144"/>
      <c r="F7129" s="373"/>
      <c r="I7129" s="70"/>
    </row>
    <row r="7130" spans="3:9" s="46" customFormat="1" x14ac:dyDescent="0.2">
      <c r="C7130" s="144"/>
      <c r="D7130" s="144"/>
      <c r="E7130" s="144"/>
      <c r="F7130" s="373"/>
      <c r="I7130" s="70"/>
    </row>
    <row r="7131" spans="3:9" s="46" customFormat="1" x14ac:dyDescent="0.2">
      <c r="C7131" s="144"/>
      <c r="D7131" s="144"/>
      <c r="E7131" s="144"/>
      <c r="F7131" s="373"/>
      <c r="I7131" s="70"/>
    </row>
    <row r="7132" spans="3:9" s="46" customFormat="1" x14ac:dyDescent="0.2">
      <c r="C7132" s="144"/>
      <c r="D7132" s="144"/>
      <c r="E7132" s="144"/>
      <c r="F7132" s="373"/>
      <c r="I7132" s="70"/>
    </row>
    <row r="7133" spans="3:9" s="46" customFormat="1" x14ac:dyDescent="0.2">
      <c r="C7133" s="144"/>
      <c r="D7133" s="144"/>
      <c r="E7133" s="144"/>
      <c r="F7133" s="373"/>
      <c r="I7133" s="70"/>
    </row>
    <row r="7134" spans="3:9" s="46" customFormat="1" x14ac:dyDescent="0.2">
      <c r="C7134" s="144"/>
      <c r="D7134" s="144"/>
      <c r="E7134" s="144"/>
      <c r="F7134" s="373"/>
      <c r="I7134" s="70"/>
    </row>
    <row r="7135" spans="3:9" s="46" customFormat="1" x14ac:dyDescent="0.2">
      <c r="C7135" s="144"/>
      <c r="D7135" s="144"/>
      <c r="E7135" s="144"/>
      <c r="F7135" s="373"/>
      <c r="I7135" s="70"/>
    </row>
    <row r="7136" spans="3:9" s="46" customFormat="1" x14ac:dyDescent="0.2">
      <c r="C7136" s="144"/>
      <c r="D7136" s="144"/>
      <c r="E7136" s="144"/>
      <c r="F7136" s="373"/>
      <c r="I7136" s="70"/>
    </row>
    <row r="7137" spans="3:9" s="46" customFormat="1" x14ac:dyDescent="0.2">
      <c r="C7137" s="144"/>
      <c r="D7137" s="144"/>
      <c r="E7137" s="144"/>
      <c r="F7137" s="373"/>
      <c r="I7137" s="70"/>
    </row>
    <row r="7138" spans="3:9" s="46" customFormat="1" x14ac:dyDescent="0.2">
      <c r="C7138" s="144"/>
      <c r="D7138" s="144"/>
      <c r="E7138" s="144"/>
      <c r="F7138" s="373"/>
      <c r="I7138" s="70"/>
    </row>
    <row r="7139" spans="3:9" s="46" customFormat="1" x14ac:dyDescent="0.2">
      <c r="C7139" s="144"/>
      <c r="D7139" s="144"/>
      <c r="E7139" s="144"/>
      <c r="F7139" s="373"/>
      <c r="I7139" s="70"/>
    </row>
    <row r="7140" spans="3:9" s="46" customFormat="1" x14ac:dyDescent="0.2">
      <c r="C7140" s="144"/>
      <c r="D7140" s="144"/>
      <c r="E7140" s="144"/>
      <c r="F7140" s="373"/>
      <c r="I7140" s="70"/>
    </row>
    <row r="7141" spans="3:9" s="46" customFormat="1" x14ac:dyDescent="0.2">
      <c r="C7141" s="144"/>
      <c r="D7141" s="144"/>
      <c r="E7141" s="144"/>
      <c r="F7141" s="373"/>
      <c r="I7141" s="70"/>
    </row>
    <row r="7142" spans="3:9" s="46" customFormat="1" x14ac:dyDescent="0.2">
      <c r="C7142" s="144"/>
      <c r="D7142" s="144"/>
      <c r="E7142" s="144"/>
      <c r="F7142" s="373"/>
      <c r="I7142" s="70"/>
    </row>
    <row r="7143" spans="3:9" s="46" customFormat="1" x14ac:dyDescent="0.2">
      <c r="C7143" s="144"/>
      <c r="D7143" s="144"/>
      <c r="E7143" s="144"/>
      <c r="F7143" s="373"/>
      <c r="I7143" s="70"/>
    </row>
    <row r="7144" spans="3:9" s="46" customFormat="1" x14ac:dyDescent="0.2">
      <c r="C7144" s="144"/>
      <c r="D7144" s="144"/>
      <c r="E7144" s="144"/>
      <c r="F7144" s="373"/>
      <c r="I7144" s="70"/>
    </row>
    <row r="7145" spans="3:9" s="46" customFormat="1" x14ac:dyDescent="0.2">
      <c r="C7145" s="144"/>
      <c r="D7145" s="144"/>
      <c r="E7145" s="144"/>
      <c r="F7145" s="373"/>
      <c r="I7145" s="70"/>
    </row>
    <row r="7146" spans="3:9" s="46" customFormat="1" x14ac:dyDescent="0.2">
      <c r="C7146" s="144"/>
      <c r="D7146" s="144"/>
      <c r="E7146" s="144"/>
      <c r="F7146" s="373"/>
      <c r="I7146" s="70"/>
    </row>
    <row r="7147" spans="3:9" s="46" customFormat="1" x14ac:dyDescent="0.2">
      <c r="C7147" s="144"/>
      <c r="D7147" s="144"/>
      <c r="E7147" s="144"/>
      <c r="F7147" s="373"/>
      <c r="I7147" s="70"/>
    </row>
    <row r="7148" spans="3:9" s="46" customFormat="1" x14ac:dyDescent="0.2">
      <c r="C7148" s="144"/>
      <c r="D7148" s="144"/>
      <c r="E7148" s="144"/>
      <c r="F7148" s="373"/>
      <c r="I7148" s="70"/>
    </row>
    <row r="7149" spans="3:9" s="46" customFormat="1" x14ac:dyDescent="0.2">
      <c r="C7149" s="144"/>
      <c r="D7149" s="144"/>
      <c r="E7149" s="144"/>
      <c r="F7149" s="373"/>
      <c r="I7149" s="70"/>
    </row>
    <row r="7150" spans="3:9" s="46" customFormat="1" x14ac:dyDescent="0.2">
      <c r="C7150" s="144"/>
      <c r="D7150" s="144"/>
      <c r="E7150" s="144"/>
      <c r="F7150" s="373"/>
      <c r="I7150" s="70"/>
    </row>
    <row r="7151" spans="3:9" s="46" customFormat="1" x14ac:dyDescent="0.2">
      <c r="C7151" s="144"/>
      <c r="D7151" s="144"/>
      <c r="E7151" s="144"/>
      <c r="F7151" s="373"/>
      <c r="I7151" s="70"/>
    </row>
    <row r="7152" spans="3:9" s="46" customFormat="1" x14ac:dyDescent="0.2">
      <c r="C7152" s="144"/>
      <c r="D7152" s="144"/>
      <c r="E7152" s="144"/>
      <c r="F7152" s="373"/>
      <c r="I7152" s="70"/>
    </row>
    <row r="7153" spans="3:9" s="46" customFormat="1" x14ac:dyDescent="0.2">
      <c r="C7153" s="144"/>
      <c r="D7153" s="144"/>
      <c r="E7153" s="144"/>
      <c r="F7153" s="373"/>
      <c r="I7153" s="70"/>
    </row>
    <row r="7154" spans="3:9" s="46" customFormat="1" x14ac:dyDescent="0.2">
      <c r="C7154" s="144"/>
      <c r="D7154" s="144"/>
      <c r="E7154" s="144"/>
      <c r="F7154" s="373"/>
      <c r="I7154" s="70"/>
    </row>
    <row r="7155" spans="3:9" s="46" customFormat="1" x14ac:dyDescent="0.2">
      <c r="C7155" s="144"/>
      <c r="D7155" s="144"/>
      <c r="E7155" s="144"/>
      <c r="F7155" s="373"/>
      <c r="I7155" s="70"/>
    </row>
    <row r="7156" spans="3:9" s="46" customFormat="1" x14ac:dyDescent="0.2">
      <c r="C7156" s="144"/>
      <c r="D7156" s="144"/>
      <c r="E7156" s="144"/>
      <c r="F7156" s="373"/>
      <c r="I7156" s="70"/>
    </row>
    <row r="7157" spans="3:9" s="46" customFormat="1" x14ac:dyDescent="0.2">
      <c r="C7157" s="144"/>
      <c r="D7157" s="144"/>
      <c r="E7157" s="144"/>
      <c r="F7157" s="373"/>
      <c r="I7157" s="70"/>
    </row>
    <row r="7158" spans="3:9" s="46" customFormat="1" x14ac:dyDescent="0.2">
      <c r="C7158" s="144"/>
      <c r="D7158" s="144"/>
      <c r="E7158" s="144"/>
      <c r="F7158" s="373"/>
      <c r="I7158" s="70"/>
    </row>
    <row r="7159" spans="3:9" s="46" customFormat="1" x14ac:dyDescent="0.2">
      <c r="C7159" s="144"/>
      <c r="D7159" s="144"/>
      <c r="E7159" s="144"/>
      <c r="F7159" s="373"/>
      <c r="I7159" s="70"/>
    </row>
    <row r="7160" spans="3:9" s="46" customFormat="1" x14ac:dyDescent="0.2">
      <c r="C7160" s="144"/>
      <c r="D7160" s="144"/>
      <c r="E7160" s="144"/>
      <c r="F7160" s="373"/>
      <c r="I7160" s="70"/>
    </row>
    <row r="7161" spans="3:9" s="46" customFormat="1" x14ac:dyDescent="0.2">
      <c r="C7161" s="144"/>
      <c r="D7161" s="144"/>
      <c r="E7161" s="144"/>
      <c r="F7161" s="373"/>
      <c r="I7161" s="70"/>
    </row>
    <row r="7162" spans="3:9" s="46" customFormat="1" x14ac:dyDescent="0.2">
      <c r="C7162" s="144"/>
      <c r="D7162" s="144"/>
      <c r="E7162" s="144"/>
      <c r="F7162" s="373"/>
      <c r="I7162" s="70"/>
    </row>
    <row r="7163" spans="3:9" s="46" customFormat="1" x14ac:dyDescent="0.2">
      <c r="C7163" s="144"/>
      <c r="D7163" s="144"/>
      <c r="E7163" s="144"/>
      <c r="F7163" s="373"/>
      <c r="I7163" s="70"/>
    </row>
    <row r="7164" spans="3:9" s="46" customFormat="1" x14ac:dyDescent="0.2">
      <c r="C7164" s="144"/>
      <c r="D7164" s="144"/>
      <c r="E7164" s="144"/>
      <c r="F7164" s="373"/>
      <c r="I7164" s="70"/>
    </row>
    <row r="7165" spans="3:9" s="46" customFormat="1" x14ac:dyDescent="0.2">
      <c r="C7165" s="144"/>
      <c r="D7165" s="144"/>
      <c r="E7165" s="144"/>
      <c r="F7165" s="373"/>
      <c r="I7165" s="70"/>
    </row>
    <row r="7166" spans="3:9" s="46" customFormat="1" x14ac:dyDescent="0.2">
      <c r="C7166" s="144"/>
      <c r="D7166" s="144"/>
      <c r="E7166" s="144"/>
      <c r="F7166" s="373"/>
      <c r="I7166" s="70"/>
    </row>
    <row r="7167" spans="3:9" s="46" customFormat="1" x14ac:dyDescent="0.2">
      <c r="C7167" s="144"/>
      <c r="D7167" s="144"/>
      <c r="E7167" s="144"/>
      <c r="F7167" s="373"/>
      <c r="I7167" s="70"/>
    </row>
    <row r="7168" spans="3:9" s="46" customFormat="1" x14ac:dyDescent="0.2">
      <c r="C7168" s="144"/>
      <c r="D7168" s="144"/>
      <c r="E7168" s="144"/>
      <c r="F7168" s="373"/>
      <c r="I7168" s="70"/>
    </row>
    <row r="7169" spans="3:9" s="46" customFormat="1" x14ac:dyDescent="0.2">
      <c r="C7169" s="144"/>
      <c r="D7169" s="144"/>
      <c r="E7169" s="144"/>
      <c r="F7169" s="373"/>
      <c r="I7169" s="70"/>
    </row>
    <row r="7170" spans="3:9" s="46" customFormat="1" x14ac:dyDescent="0.2">
      <c r="C7170" s="144"/>
      <c r="D7170" s="144"/>
      <c r="E7170" s="144"/>
      <c r="F7170" s="373"/>
      <c r="I7170" s="70"/>
    </row>
    <row r="7171" spans="3:9" s="46" customFormat="1" x14ac:dyDescent="0.2">
      <c r="C7171" s="144"/>
      <c r="D7171" s="144"/>
      <c r="E7171" s="144"/>
      <c r="F7171" s="373"/>
      <c r="I7171" s="70"/>
    </row>
    <row r="7172" spans="3:9" s="46" customFormat="1" x14ac:dyDescent="0.2">
      <c r="C7172" s="144"/>
      <c r="D7172" s="144"/>
      <c r="E7172" s="144"/>
      <c r="F7172" s="373"/>
      <c r="I7172" s="70"/>
    </row>
    <row r="7173" spans="3:9" s="46" customFormat="1" x14ac:dyDescent="0.2">
      <c r="C7173" s="144"/>
      <c r="D7173" s="144"/>
      <c r="E7173" s="144"/>
      <c r="F7173" s="373"/>
      <c r="I7173" s="70"/>
    </row>
    <row r="7174" spans="3:9" s="46" customFormat="1" x14ac:dyDescent="0.2">
      <c r="C7174" s="144"/>
      <c r="D7174" s="144"/>
      <c r="E7174" s="144"/>
      <c r="F7174" s="373"/>
      <c r="I7174" s="70"/>
    </row>
    <row r="7175" spans="3:9" s="46" customFormat="1" x14ac:dyDescent="0.2">
      <c r="C7175" s="144"/>
      <c r="D7175" s="144"/>
      <c r="E7175" s="144"/>
      <c r="F7175" s="373"/>
      <c r="I7175" s="70"/>
    </row>
    <row r="7176" spans="3:9" s="46" customFormat="1" x14ac:dyDescent="0.2">
      <c r="C7176" s="144"/>
      <c r="D7176" s="144"/>
      <c r="E7176" s="144"/>
      <c r="F7176" s="373"/>
      <c r="I7176" s="70"/>
    </row>
    <row r="7177" spans="3:9" s="46" customFormat="1" x14ac:dyDescent="0.2">
      <c r="C7177" s="144"/>
      <c r="D7177" s="144"/>
      <c r="E7177" s="144"/>
      <c r="F7177" s="373"/>
      <c r="I7177" s="70"/>
    </row>
    <row r="7178" spans="3:9" s="46" customFormat="1" x14ac:dyDescent="0.2">
      <c r="C7178" s="144"/>
      <c r="D7178" s="144"/>
      <c r="E7178" s="144"/>
      <c r="F7178" s="373"/>
      <c r="I7178" s="70"/>
    </row>
    <row r="7179" spans="3:9" s="46" customFormat="1" x14ac:dyDescent="0.2">
      <c r="C7179" s="144"/>
      <c r="D7179" s="144"/>
      <c r="E7179" s="144"/>
      <c r="F7179" s="373"/>
      <c r="I7179" s="70"/>
    </row>
    <row r="7180" spans="3:9" s="46" customFormat="1" x14ac:dyDescent="0.2">
      <c r="C7180" s="144"/>
      <c r="D7180" s="144"/>
      <c r="E7180" s="144"/>
      <c r="F7180" s="373"/>
      <c r="I7180" s="70"/>
    </row>
    <row r="7181" spans="3:9" s="46" customFormat="1" x14ac:dyDescent="0.2">
      <c r="C7181" s="144"/>
      <c r="D7181" s="144"/>
      <c r="E7181" s="144"/>
      <c r="F7181" s="373"/>
      <c r="I7181" s="70"/>
    </row>
    <row r="7182" spans="3:9" s="46" customFormat="1" x14ac:dyDescent="0.2">
      <c r="C7182" s="144"/>
      <c r="D7182" s="144"/>
      <c r="E7182" s="144"/>
      <c r="F7182" s="373"/>
      <c r="I7182" s="70"/>
    </row>
    <row r="7183" spans="3:9" s="46" customFormat="1" x14ac:dyDescent="0.2">
      <c r="C7183" s="144"/>
      <c r="D7183" s="144"/>
      <c r="E7183" s="144"/>
      <c r="F7183" s="373"/>
      <c r="I7183" s="70"/>
    </row>
    <row r="7184" spans="3:9" s="46" customFormat="1" x14ac:dyDescent="0.2">
      <c r="C7184" s="144"/>
      <c r="D7184" s="144"/>
      <c r="E7184" s="144"/>
      <c r="F7184" s="373"/>
      <c r="I7184" s="70"/>
    </row>
    <row r="7185" spans="3:9" s="46" customFormat="1" x14ac:dyDescent="0.2">
      <c r="C7185" s="144"/>
      <c r="D7185" s="144"/>
      <c r="E7185" s="144"/>
      <c r="F7185" s="373"/>
      <c r="I7185" s="70"/>
    </row>
    <row r="7186" spans="3:9" s="46" customFormat="1" x14ac:dyDescent="0.2">
      <c r="C7186" s="144"/>
      <c r="D7186" s="144"/>
      <c r="E7186" s="144"/>
      <c r="F7186" s="373"/>
      <c r="I7186" s="70"/>
    </row>
    <row r="7187" spans="3:9" s="46" customFormat="1" x14ac:dyDescent="0.2">
      <c r="C7187" s="144"/>
      <c r="D7187" s="144"/>
      <c r="E7187" s="144"/>
      <c r="F7187" s="373"/>
      <c r="I7187" s="70"/>
    </row>
    <row r="7188" spans="3:9" s="46" customFormat="1" x14ac:dyDescent="0.2">
      <c r="C7188" s="144"/>
      <c r="D7188" s="144"/>
      <c r="E7188" s="144"/>
      <c r="F7188" s="373"/>
      <c r="I7188" s="70"/>
    </row>
    <row r="7189" spans="3:9" s="46" customFormat="1" x14ac:dyDescent="0.2">
      <c r="C7189" s="144"/>
      <c r="D7189" s="144"/>
      <c r="E7189" s="144"/>
      <c r="F7189" s="373"/>
      <c r="I7189" s="70"/>
    </row>
    <row r="7190" spans="3:9" s="46" customFormat="1" x14ac:dyDescent="0.2">
      <c r="C7190" s="144"/>
      <c r="D7190" s="144"/>
      <c r="E7190" s="144"/>
      <c r="F7190" s="373"/>
      <c r="I7190" s="70"/>
    </row>
    <row r="7191" spans="3:9" s="46" customFormat="1" x14ac:dyDescent="0.2">
      <c r="C7191" s="144"/>
      <c r="D7191" s="144"/>
      <c r="E7191" s="144"/>
      <c r="F7191" s="373"/>
      <c r="I7191" s="70"/>
    </row>
    <row r="7192" spans="3:9" s="46" customFormat="1" x14ac:dyDescent="0.2">
      <c r="C7192" s="144"/>
      <c r="D7192" s="144"/>
      <c r="E7192" s="144"/>
      <c r="F7192" s="373"/>
      <c r="I7192" s="70"/>
    </row>
    <row r="7193" spans="3:9" s="46" customFormat="1" x14ac:dyDescent="0.2">
      <c r="C7193" s="144"/>
      <c r="D7193" s="144"/>
      <c r="E7193" s="144"/>
      <c r="F7193" s="373"/>
      <c r="I7193" s="70"/>
    </row>
    <row r="7194" spans="3:9" s="46" customFormat="1" x14ac:dyDescent="0.2">
      <c r="C7194" s="144"/>
      <c r="D7194" s="144"/>
      <c r="E7194" s="144"/>
      <c r="F7194" s="373"/>
      <c r="I7194" s="70"/>
    </row>
    <row r="7195" spans="3:9" s="46" customFormat="1" x14ac:dyDescent="0.2">
      <c r="C7195" s="144"/>
      <c r="D7195" s="144"/>
      <c r="E7195" s="144"/>
      <c r="F7195" s="373"/>
      <c r="I7195" s="70"/>
    </row>
    <row r="7196" spans="3:9" s="46" customFormat="1" x14ac:dyDescent="0.2">
      <c r="C7196" s="144"/>
      <c r="D7196" s="144"/>
      <c r="E7196" s="144"/>
      <c r="F7196" s="373"/>
      <c r="I7196" s="70"/>
    </row>
    <row r="7197" spans="3:9" s="46" customFormat="1" x14ac:dyDescent="0.2">
      <c r="C7197" s="144"/>
      <c r="D7197" s="144"/>
      <c r="E7197" s="144"/>
      <c r="F7197" s="373"/>
      <c r="I7197" s="70"/>
    </row>
    <row r="7198" spans="3:9" s="46" customFormat="1" x14ac:dyDescent="0.2">
      <c r="C7198" s="144"/>
      <c r="D7198" s="144"/>
      <c r="E7198" s="144"/>
      <c r="F7198" s="373"/>
      <c r="I7198" s="70"/>
    </row>
    <row r="7199" spans="3:9" s="46" customFormat="1" x14ac:dyDescent="0.2">
      <c r="C7199" s="144"/>
      <c r="D7199" s="144"/>
      <c r="E7199" s="144"/>
      <c r="F7199" s="373"/>
      <c r="I7199" s="70"/>
    </row>
    <row r="7200" spans="3:9" s="46" customFormat="1" x14ac:dyDescent="0.2">
      <c r="C7200" s="144"/>
      <c r="D7200" s="144"/>
      <c r="E7200" s="144"/>
      <c r="F7200" s="373"/>
      <c r="I7200" s="70"/>
    </row>
    <row r="7201" spans="3:9" s="46" customFormat="1" x14ac:dyDescent="0.2">
      <c r="C7201" s="144"/>
      <c r="D7201" s="144"/>
      <c r="E7201" s="144"/>
      <c r="F7201" s="373"/>
      <c r="I7201" s="70"/>
    </row>
    <row r="7202" spans="3:9" s="46" customFormat="1" x14ac:dyDescent="0.2">
      <c r="C7202" s="144"/>
      <c r="D7202" s="144"/>
      <c r="E7202" s="144"/>
      <c r="F7202" s="373"/>
      <c r="I7202" s="70"/>
    </row>
    <row r="7203" spans="3:9" s="46" customFormat="1" x14ac:dyDescent="0.2">
      <c r="C7203" s="144"/>
      <c r="D7203" s="144"/>
      <c r="E7203" s="144"/>
      <c r="F7203" s="373"/>
      <c r="I7203" s="70"/>
    </row>
    <row r="7204" spans="3:9" s="46" customFormat="1" x14ac:dyDescent="0.2">
      <c r="C7204" s="144"/>
      <c r="D7204" s="144"/>
      <c r="E7204" s="144"/>
      <c r="F7204" s="373"/>
      <c r="I7204" s="70"/>
    </row>
    <row r="7205" spans="3:9" s="46" customFormat="1" x14ac:dyDescent="0.2">
      <c r="C7205" s="144"/>
      <c r="D7205" s="144"/>
      <c r="E7205" s="144"/>
      <c r="F7205" s="373"/>
      <c r="I7205" s="70"/>
    </row>
    <row r="7206" spans="3:9" s="46" customFormat="1" x14ac:dyDescent="0.2">
      <c r="C7206" s="144"/>
      <c r="D7206" s="144"/>
      <c r="E7206" s="144"/>
      <c r="F7206" s="373"/>
      <c r="I7206" s="70"/>
    </row>
    <row r="7207" spans="3:9" s="46" customFormat="1" x14ac:dyDescent="0.2">
      <c r="C7207" s="144"/>
      <c r="D7207" s="144"/>
      <c r="E7207" s="144"/>
      <c r="F7207" s="373"/>
      <c r="I7207" s="70"/>
    </row>
    <row r="7208" spans="3:9" s="46" customFormat="1" x14ac:dyDescent="0.2">
      <c r="C7208" s="144"/>
      <c r="D7208" s="144"/>
      <c r="E7208" s="144"/>
      <c r="F7208" s="373"/>
      <c r="I7208" s="70"/>
    </row>
    <row r="7209" spans="3:9" s="46" customFormat="1" x14ac:dyDescent="0.2">
      <c r="C7209" s="144"/>
      <c r="D7209" s="144"/>
      <c r="E7209" s="144"/>
      <c r="F7209" s="373"/>
      <c r="I7209" s="70"/>
    </row>
    <row r="7210" spans="3:9" s="46" customFormat="1" x14ac:dyDescent="0.2">
      <c r="C7210" s="144"/>
      <c r="D7210" s="144"/>
      <c r="E7210" s="144"/>
      <c r="F7210" s="373"/>
      <c r="I7210" s="70"/>
    </row>
    <row r="7211" spans="3:9" s="46" customFormat="1" x14ac:dyDescent="0.2">
      <c r="C7211" s="144"/>
      <c r="D7211" s="144"/>
      <c r="E7211" s="144"/>
      <c r="F7211" s="373"/>
      <c r="I7211" s="70"/>
    </row>
    <row r="7212" spans="3:9" s="46" customFormat="1" x14ac:dyDescent="0.2">
      <c r="C7212" s="144"/>
      <c r="D7212" s="144"/>
      <c r="E7212" s="144"/>
      <c r="F7212" s="373"/>
      <c r="I7212" s="70"/>
    </row>
    <row r="7213" spans="3:9" s="46" customFormat="1" x14ac:dyDescent="0.2">
      <c r="C7213" s="144"/>
      <c r="D7213" s="144"/>
      <c r="E7213" s="144"/>
      <c r="F7213" s="373"/>
      <c r="I7213" s="70"/>
    </row>
    <row r="7214" spans="3:9" s="46" customFormat="1" x14ac:dyDescent="0.2">
      <c r="C7214" s="144"/>
      <c r="D7214" s="144"/>
      <c r="E7214" s="144"/>
      <c r="F7214" s="373"/>
      <c r="I7214" s="70"/>
    </row>
    <row r="7215" spans="3:9" s="46" customFormat="1" x14ac:dyDescent="0.2">
      <c r="C7215" s="144"/>
      <c r="D7215" s="144"/>
      <c r="E7215" s="144"/>
      <c r="F7215" s="373"/>
      <c r="I7215" s="70"/>
    </row>
    <row r="7216" spans="3:9" s="46" customFormat="1" x14ac:dyDescent="0.2">
      <c r="C7216" s="144"/>
      <c r="D7216" s="144"/>
      <c r="E7216" s="144"/>
      <c r="F7216" s="373"/>
      <c r="I7216" s="70"/>
    </row>
    <row r="7217" spans="3:9" s="46" customFormat="1" x14ac:dyDescent="0.2">
      <c r="C7217" s="144"/>
      <c r="D7217" s="144"/>
      <c r="E7217" s="144"/>
      <c r="F7217" s="373"/>
      <c r="I7217" s="70"/>
    </row>
    <row r="7218" spans="3:9" s="46" customFormat="1" x14ac:dyDescent="0.2">
      <c r="C7218" s="144"/>
      <c r="D7218" s="144"/>
      <c r="E7218" s="144"/>
      <c r="F7218" s="373"/>
      <c r="I7218" s="70"/>
    </row>
    <row r="7219" spans="3:9" s="46" customFormat="1" x14ac:dyDescent="0.2">
      <c r="C7219" s="144"/>
      <c r="D7219" s="144"/>
      <c r="E7219" s="144"/>
      <c r="F7219" s="373"/>
      <c r="I7219" s="70"/>
    </row>
    <row r="7220" spans="3:9" s="46" customFormat="1" x14ac:dyDescent="0.2">
      <c r="C7220" s="144"/>
      <c r="D7220" s="144"/>
      <c r="E7220" s="144"/>
      <c r="F7220" s="373"/>
      <c r="I7220" s="70"/>
    </row>
    <row r="7221" spans="3:9" s="46" customFormat="1" x14ac:dyDescent="0.2">
      <c r="C7221" s="144"/>
      <c r="D7221" s="144"/>
      <c r="E7221" s="144"/>
      <c r="F7221" s="373"/>
      <c r="I7221" s="70"/>
    </row>
    <row r="7222" spans="3:9" s="46" customFormat="1" x14ac:dyDescent="0.2">
      <c r="C7222" s="144"/>
      <c r="D7222" s="144"/>
      <c r="E7222" s="144"/>
      <c r="F7222" s="373"/>
      <c r="I7222" s="70"/>
    </row>
    <row r="7223" spans="3:9" s="46" customFormat="1" x14ac:dyDescent="0.2">
      <c r="C7223" s="144"/>
      <c r="D7223" s="144"/>
      <c r="E7223" s="144"/>
      <c r="F7223" s="373"/>
      <c r="I7223" s="70"/>
    </row>
    <row r="7224" spans="3:9" s="46" customFormat="1" x14ac:dyDescent="0.2">
      <c r="C7224" s="144"/>
      <c r="D7224" s="144"/>
      <c r="E7224" s="144"/>
      <c r="F7224" s="373"/>
      <c r="I7224" s="70"/>
    </row>
    <row r="7225" spans="3:9" s="46" customFormat="1" x14ac:dyDescent="0.2">
      <c r="C7225" s="144"/>
      <c r="D7225" s="144"/>
      <c r="E7225" s="144"/>
      <c r="F7225" s="373"/>
      <c r="I7225" s="70"/>
    </row>
    <row r="7226" spans="3:9" s="46" customFormat="1" x14ac:dyDescent="0.2">
      <c r="C7226" s="144"/>
      <c r="D7226" s="144"/>
      <c r="E7226" s="144"/>
      <c r="F7226" s="373"/>
      <c r="I7226" s="70"/>
    </row>
    <row r="7227" spans="3:9" s="46" customFormat="1" x14ac:dyDescent="0.2">
      <c r="C7227" s="144"/>
      <c r="D7227" s="144"/>
      <c r="E7227" s="144"/>
      <c r="F7227" s="373"/>
      <c r="I7227" s="70"/>
    </row>
    <row r="7228" spans="3:9" s="46" customFormat="1" x14ac:dyDescent="0.2">
      <c r="C7228" s="144"/>
      <c r="D7228" s="144"/>
      <c r="E7228" s="144"/>
      <c r="F7228" s="373"/>
      <c r="I7228" s="70"/>
    </row>
    <row r="7229" spans="3:9" s="46" customFormat="1" x14ac:dyDescent="0.2">
      <c r="C7229" s="144"/>
      <c r="D7229" s="144"/>
      <c r="E7229" s="144"/>
      <c r="F7229" s="373"/>
      <c r="I7229" s="70"/>
    </row>
    <row r="7230" spans="3:9" s="46" customFormat="1" x14ac:dyDescent="0.2">
      <c r="C7230" s="144"/>
      <c r="D7230" s="144"/>
      <c r="E7230" s="144"/>
      <c r="F7230" s="373"/>
      <c r="I7230" s="70"/>
    </row>
    <row r="7231" spans="3:9" s="46" customFormat="1" x14ac:dyDescent="0.2">
      <c r="C7231" s="144"/>
      <c r="D7231" s="144"/>
      <c r="E7231" s="144"/>
      <c r="F7231" s="373"/>
      <c r="I7231" s="70"/>
    </row>
    <row r="7232" spans="3:9" s="46" customFormat="1" x14ac:dyDescent="0.2">
      <c r="C7232" s="144"/>
      <c r="D7232" s="144"/>
      <c r="E7232" s="144"/>
      <c r="F7232" s="373"/>
      <c r="I7232" s="70"/>
    </row>
    <row r="7233" spans="3:9" s="46" customFormat="1" x14ac:dyDescent="0.2">
      <c r="C7233" s="144"/>
      <c r="D7233" s="144"/>
      <c r="E7233" s="144"/>
      <c r="F7233" s="373"/>
      <c r="I7233" s="70"/>
    </row>
    <row r="7234" spans="3:9" s="46" customFormat="1" x14ac:dyDescent="0.2">
      <c r="C7234" s="144"/>
      <c r="D7234" s="144"/>
      <c r="E7234" s="144"/>
      <c r="F7234" s="373"/>
      <c r="I7234" s="70"/>
    </row>
    <row r="7235" spans="3:9" s="46" customFormat="1" x14ac:dyDescent="0.2">
      <c r="C7235" s="144"/>
      <c r="D7235" s="144"/>
      <c r="E7235" s="144"/>
      <c r="F7235" s="373"/>
      <c r="I7235" s="70"/>
    </row>
    <row r="7236" spans="3:9" s="46" customFormat="1" x14ac:dyDescent="0.2">
      <c r="C7236" s="144"/>
      <c r="D7236" s="144"/>
      <c r="E7236" s="144"/>
      <c r="F7236" s="373"/>
      <c r="I7236" s="70"/>
    </row>
    <row r="7237" spans="3:9" s="46" customFormat="1" x14ac:dyDescent="0.2">
      <c r="C7237" s="144"/>
      <c r="D7237" s="144"/>
      <c r="E7237" s="144"/>
      <c r="F7237" s="373"/>
      <c r="I7237" s="70"/>
    </row>
    <row r="7238" spans="3:9" s="46" customFormat="1" x14ac:dyDescent="0.2">
      <c r="C7238" s="144"/>
      <c r="D7238" s="144"/>
      <c r="E7238" s="144"/>
      <c r="F7238" s="373"/>
      <c r="I7238" s="70"/>
    </row>
    <row r="7239" spans="3:9" s="46" customFormat="1" x14ac:dyDescent="0.2">
      <c r="C7239" s="144"/>
      <c r="D7239" s="144"/>
      <c r="E7239" s="144"/>
      <c r="F7239" s="373"/>
      <c r="I7239" s="70"/>
    </row>
    <row r="7240" spans="3:9" s="46" customFormat="1" x14ac:dyDescent="0.2">
      <c r="C7240" s="144"/>
      <c r="D7240" s="144"/>
      <c r="E7240" s="144"/>
      <c r="F7240" s="373"/>
      <c r="I7240" s="70"/>
    </row>
    <row r="7241" spans="3:9" s="46" customFormat="1" x14ac:dyDescent="0.2">
      <c r="C7241" s="144"/>
      <c r="D7241" s="144"/>
      <c r="E7241" s="144"/>
      <c r="F7241" s="373"/>
      <c r="I7241" s="70"/>
    </row>
    <row r="7242" spans="3:9" s="46" customFormat="1" x14ac:dyDescent="0.2">
      <c r="C7242" s="144"/>
      <c r="D7242" s="144"/>
      <c r="E7242" s="144"/>
      <c r="F7242" s="373"/>
      <c r="I7242" s="70"/>
    </row>
    <row r="7243" spans="3:9" s="46" customFormat="1" x14ac:dyDescent="0.2">
      <c r="C7243" s="144"/>
      <c r="D7243" s="144"/>
      <c r="E7243" s="144"/>
      <c r="F7243" s="373"/>
      <c r="I7243" s="70"/>
    </row>
    <row r="7244" spans="3:9" s="46" customFormat="1" x14ac:dyDescent="0.2">
      <c r="C7244" s="144"/>
      <c r="D7244" s="144"/>
      <c r="E7244" s="144"/>
      <c r="F7244" s="373"/>
      <c r="I7244" s="70"/>
    </row>
    <row r="7245" spans="3:9" s="46" customFormat="1" x14ac:dyDescent="0.2">
      <c r="C7245" s="144"/>
      <c r="D7245" s="144"/>
      <c r="E7245" s="144"/>
      <c r="F7245" s="373"/>
      <c r="I7245" s="70"/>
    </row>
    <row r="7246" spans="3:9" s="46" customFormat="1" x14ac:dyDescent="0.2">
      <c r="C7246" s="144"/>
      <c r="D7246" s="144"/>
      <c r="E7246" s="144"/>
      <c r="F7246" s="373"/>
      <c r="I7246" s="70"/>
    </row>
    <row r="7247" spans="3:9" s="46" customFormat="1" x14ac:dyDescent="0.2">
      <c r="C7247" s="144"/>
      <c r="D7247" s="144"/>
      <c r="E7247" s="144"/>
      <c r="F7247" s="373"/>
      <c r="I7247" s="70"/>
    </row>
    <row r="7248" spans="3:9" s="46" customFormat="1" x14ac:dyDescent="0.2">
      <c r="C7248" s="144"/>
      <c r="D7248" s="144"/>
      <c r="E7248" s="144"/>
      <c r="F7248" s="373"/>
      <c r="I7248" s="70"/>
    </row>
    <row r="7249" spans="3:9" s="46" customFormat="1" x14ac:dyDescent="0.2">
      <c r="C7249" s="144"/>
      <c r="D7249" s="144"/>
      <c r="E7249" s="144"/>
      <c r="F7249" s="373"/>
      <c r="I7249" s="70"/>
    </row>
    <row r="7250" spans="3:9" s="46" customFormat="1" x14ac:dyDescent="0.2">
      <c r="C7250" s="144"/>
      <c r="D7250" s="144"/>
      <c r="E7250" s="144"/>
      <c r="F7250" s="373"/>
      <c r="I7250" s="70"/>
    </row>
    <row r="7251" spans="3:9" s="46" customFormat="1" x14ac:dyDescent="0.2">
      <c r="C7251" s="144"/>
      <c r="D7251" s="144"/>
      <c r="E7251" s="144"/>
      <c r="F7251" s="373"/>
      <c r="I7251" s="70"/>
    </row>
    <row r="7252" spans="3:9" s="46" customFormat="1" x14ac:dyDescent="0.2">
      <c r="C7252" s="144"/>
      <c r="D7252" s="144"/>
      <c r="E7252" s="144"/>
      <c r="F7252" s="373"/>
      <c r="I7252" s="70"/>
    </row>
    <row r="7253" spans="3:9" s="46" customFormat="1" x14ac:dyDescent="0.2">
      <c r="C7253" s="144"/>
      <c r="D7253" s="144"/>
      <c r="E7253" s="144"/>
      <c r="F7253" s="373"/>
      <c r="I7253" s="70"/>
    </row>
    <row r="7254" spans="3:9" s="46" customFormat="1" x14ac:dyDescent="0.2">
      <c r="C7254" s="144"/>
      <c r="D7254" s="144"/>
      <c r="E7254" s="144"/>
      <c r="F7254" s="373"/>
      <c r="I7254" s="70"/>
    </row>
    <row r="7255" spans="3:9" s="46" customFormat="1" x14ac:dyDescent="0.2">
      <c r="C7255" s="144"/>
      <c r="D7255" s="144"/>
      <c r="E7255" s="144"/>
      <c r="F7255" s="373"/>
      <c r="I7255" s="70"/>
    </row>
    <row r="7256" spans="3:9" s="46" customFormat="1" x14ac:dyDescent="0.2">
      <c r="C7256" s="144"/>
      <c r="D7256" s="144"/>
      <c r="E7256" s="144"/>
      <c r="F7256" s="373"/>
      <c r="I7256" s="70"/>
    </row>
    <row r="7257" spans="3:9" s="46" customFormat="1" x14ac:dyDescent="0.2">
      <c r="C7257" s="144"/>
      <c r="D7257" s="144"/>
      <c r="E7257" s="144"/>
      <c r="F7257" s="373"/>
      <c r="I7257" s="70"/>
    </row>
    <row r="7258" spans="3:9" s="46" customFormat="1" x14ac:dyDescent="0.2">
      <c r="C7258" s="144"/>
      <c r="D7258" s="144"/>
      <c r="E7258" s="144"/>
      <c r="F7258" s="373"/>
      <c r="I7258" s="70"/>
    </row>
    <row r="7259" spans="3:9" s="46" customFormat="1" x14ac:dyDescent="0.2">
      <c r="C7259" s="144"/>
      <c r="D7259" s="144"/>
      <c r="E7259" s="144"/>
      <c r="F7259" s="373"/>
      <c r="I7259" s="70"/>
    </row>
    <row r="7260" spans="3:9" s="46" customFormat="1" x14ac:dyDescent="0.2">
      <c r="C7260" s="144"/>
      <c r="D7260" s="144"/>
      <c r="E7260" s="144"/>
      <c r="F7260" s="373"/>
      <c r="I7260" s="70"/>
    </row>
    <row r="7261" spans="3:9" s="46" customFormat="1" x14ac:dyDescent="0.2">
      <c r="C7261" s="144"/>
      <c r="D7261" s="144"/>
      <c r="E7261" s="144"/>
      <c r="F7261" s="373"/>
      <c r="I7261" s="70"/>
    </row>
    <row r="7262" spans="3:9" s="46" customFormat="1" x14ac:dyDescent="0.2">
      <c r="C7262" s="144"/>
      <c r="D7262" s="144"/>
      <c r="E7262" s="144"/>
      <c r="F7262" s="373"/>
      <c r="I7262" s="70"/>
    </row>
    <row r="7263" spans="3:9" s="46" customFormat="1" x14ac:dyDescent="0.2">
      <c r="C7263" s="144"/>
      <c r="D7263" s="144"/>
      <c r="E7263" s="144"/>
      <c r="F7263" s="373"/>
      <c r="I7263" s="70"/>
    </row>
    <row r="7264" spans="3:9" s="46" customFormat="1" x14ac:dyDescent="0.2">
      <c r="C7264" s="144"/>
      <c r="D7264" s="144"/>
      <c r="E7264" s="144"/>
      <c r="F7264" s="373"/>
      <c r="I7264" s="70"/>
    </row>
    <row r="7265" spans="3:9" s="46" customFormat="1" x14ac:dyDescent="0.2">
      <c r="C7265" s="144"/>
      <c r="D7265" s="144"/>
      <c r="E7265" s="144"/>
      <c r="F7265" s="373"/>
      <c r="I7265" s="70"/>
    </row>
    <row r="7266" spans="3:9" s="46" customFormat="1" x14ac:dyDescent="0.2">
      <c r="C7266" s="144"/>
      <c r="D7266" s="144"/>
      <c r="E7266" s="144"/>
      <c r="F7266" s="373"/>
      <c r="I7266" s="70"/>
    </row>
    <row r="7267" spans="3:9" s="46" customFormat="1" x14ac:dyDescent="0.2">
      <c r="C7267" s="144"/>
      <c r="D7267" s="144"/>
      <c r="E7267" s="144"/>
      <c r="F7267" s="373"/>
      <c r="I7267" s="70"/>
    </row>
    <row r="7268" spans="3:9" s="46" customFormat="1" x14ac:dyDescent="0.2">
      <c r="C7268" s="144"/>
      <c r="D7268" s="144"/>
      <c r="E7268" s="144"/>
      <c r="F7268" s="373"/>
      <c r="I7268" s="70"/>
    </row>
    <row r="7269" spans="3:9" s="46" customFormat="1" x14ac:dyDescent="0.2">
      <c r="C7269" s="144"/>
      <c r="D7269" s="144"/>
      <c r="E7269" s="144"/>
      <c r="F7269" s="373"/>
      <c r="I7269" s="70"/>
    </row>
    <row r="7270" spans="3:9" s="46" customFormat="1" x14ac:dyDescent="0.2">
      <c r="C7270" s="144"/>
      <c r="D7270" s="144"/>
      <c r="E7270" s="144"/>
      <c r="F7270" s="373"/>
      <c r="I7270" s="70"/>
    </row>
    <row r="7271" spans="3:9" s="46" customFormat="1" x14ac:dyDescent="0.2">
      <c r="C7271" s="144"/>
      <c r="D7271" s="144"/>
      <c r="E7271" s="144"/>
      <c r="F7271" s="373"/>
      <c r="I7271" s="70"/>
    </row>
    <row r="7272" spans="3:9" s="46" customFormat="1" x14ac:dyDescent="0.2">
      <c r="C7272" s="144"/>
      <c r="D7272" s="144"/>
      <c r="E7272" s="144"/>
      <c r="F7272" s="373"/>
      <c r="I7272" s="70"/>
    </row>
    <row r="7273" spans="3:9" s="46" customFormat="1" x14ac:dyDescent="0.2">
      <c r="C7273" s="144"/>
      <c r="D7273" s="144"/>
      <c r="E7273" s="144"/>
      <c r="F7273" s="373"/>
      <c r="I7273" s="70"/>
    </row>
    <row r="7274" spans="3:9" s="46" customFormat="1" x14ac:dyDescent="0.2">
      <c r="C7274" s="144"/>
      <c r="D7274" s="144"/>
      <c r="E7274" s="144"/>
      <c r="F7274" s="373"/>
      <c r="I7274" s="70"/>
    </row>
    <row r="7275" spans="3:9" s="46" customFormat="1" x14ac:dyDescent="0.2">
      <c r="C7275" s="144"/>
      <c r="D7275" s="144"/>
      <c r="E7275" s="144"/>
      <c r="F7275" s="373"/>
      <c r="I7275" s="70"/>
    </row>
    <row r="7276" spans="3:9" s="46" customFormat="1" x14ac:dyDescent="0.2">
      <c r="C7276" s="144"/>
      <c r="D7276" s="144"/>
      <c r="E7276" s="144"/>
      <c r="F7276" s="373"/>
      <c r="I7276" s="70"/>
    </row>
    <row r="7277" spans="3:9" s="46" customFormat="1" x14ac:dyDescent="0.2">
      <c r="C7277" s="144"/>
      <c r="D7277" s="144"/>
      <c r="E7277" s="144"/>
      <c r="F7277" s="373"/>
      <c r="I7277" s="70"/>
    </row>
    <row r="7278" spans="3:9" s="46" customFormat="1" x14ac:dyDescent="0.2">
      <c r="C7278" s="144"/>
      <c r="D7278" s="144"/>
      <c r="E7278" s="144"/>
      <c r="F7278" s="373"/>
      <c r="I7278" s="70"/>
    </row>
    <row r="7279" spans="3:9" s="46" customFormat="1" x14ac:dyDescent="0.2">
      <c r="C7279" s="144"/>
      <c r="D7279" s="144"/>
      <c r="E7279" s="144"/>
      <c r="F7279" s="373"/>
      <c r="I7279" s="70"/>
    </row>
    <row r="7280" spans="3:9" s="46" customFormat="1" x14ac:dyDescent="0.2">
      <c r="C7280" s="144"/>
      <c r="D7280" s="144"/>
      <c r="E7280" s="144"/>
      <c r="F7280" s="373"/>
      <c r="I7280" s="70"/>
    </row>
    <row r="7281" spans="3:9" s="46" customFormat="1" x14ac:dyDescent="0.2">
      <c r="C7281" s="144"/>
      <c r="D7281" s="144"/>
      <c r="E7281" s="144"/>
      <c r="F7281" s="373"/>
      <c r="I7281" s="70"/>
    </row>
    <row r="7282" spans="3:9" s="46" customFormat="1" x14ac:dyDescent="0.2">
      <c r="C7282" s="144"/>
      <c r="D7282" s="144"/>
      <c r="E7282" s="144"/>
      <c r="F7282" s="373"/>
      <c r="I7282" s="70"/>
    </row>
    <row r="7283" spans="3:9" s="46" customFormat="1" x14ac:dyDescent="0.2">
      <c r="C7283" s="144"/>
      <c r="D7283" s="144"/>
      <c r="E7283" s="144"/>
      <c r="F7283" s="373"/>
      <c r="I7283" s="70"/>
    </row>
    <row r="7284" spans="3:9" s="46" customFormat="1" x14ac:dyDescent="0.2">
      <c r="C7284" s="144"/>
      <c r="D7284" s="144"/>
      <c r="E7284" s="144"/>
      <c r="F7284" s="373"/>
      <c r="I7284" s="70"/>
    </row>
    <row r="7285" spans="3:9" s="46" customFormat="1" x14ac:dyDescent="0.2">
      <c r="C7285" s="144"/>
      <c r="D7285" s="144"/>
      <c r="E7285" s="144"/>
      <c r="F7285" s="373"/>
      <c r="I7285" s="70"/>
    </row>
    <row r="7286" spans="3:9" s="46" customFormat="1" x14ac:dyDescent="0.2">
      <c r="C7286" s="144"/>
      <c r="D7286" s="144"/>
      <c r="E7286" s="144"/>
      <c r="F7286" s="373"/>
      <c r="I7286" s="70"/>
    </row>
    <row r="7287" spans="3:9" s="46" customFormat="1" x14ac:dyDescent="0.2">
      <c r="C7287" s="144"/>
      <c r="D7287" s="144"/>
      <c r="E7287" s="144"/>
      <c r="F7287" s="373"/>
      <c r="I7287" s="70"/>
    </row>
    <row r="7288" spans="3:9" s="46" customFormat="1" x14ac:dyDescent="0.2">
      <c r="C7288" s="144"/>
      <c r="D7288" s="144"/>
      <c r="E7288" s="144"/>
      <c r="F7288" s="373"/>
      <c r="I7288" s="70"/>
    </row>
    <row r="7289" spans="3:9" s="46" customFormat="1" x14ac:dyDescent="0.2">
      <c r="C7289" s="144"/>
      <c r="D7289" s="144"/>
      <c r="E7289" s="144"/>
      <c r="F7289" s="373"/>
      <c r="I7289" s="70"/>
    </row>
    <row r="7290" spans="3:9" s="46" customFormat="1" x14ac:dyDescent="0.2">
      <c r="C7290" s="144"/>
      <c r="D7290" s="144"/>
      <c r="E7290" s="144"/>
      <c r="F7290" s="373"/>
      <c r="I7290" s="70"/>
    </row>
    <row r="7291" spans="3:9" s="46" customFormat="1" x14ac:dyDescent="0.2">
      <c r="C7291" s="144"/>
      <c r="D7291" s="144"/>
      <c r="E7291" s="144"/>
      <c r="F7291" s="373"/>
      <c r="I7291" s="70"/>
    </row>
    <row r="7292" spans="3:9" s="46" customFormat="1" x14ac:dyDescent="0.2">
      <c r="C7292" s="144"/>
      <c r="D7292" s="144"/>
      <c r="E7292" s="144"/>
      <c r="F7292" s="373"/>
      <c r="I7292" s="70"/>
    </row>
    <row r="7293" spans="3:9" s="46" customFormat="1" x14ac:dyDescent="0.2">
      <c r="C7293" s="144"/>
      <c r="D7293" s="144"/>
      <c r="E7293" s="144"/>
      <c r="F7293" s="373"/>
      <c r="I7293" s="70"/>
    </row>
    <row r="7294" spans="3:9" s="46" customFormat="1" x14ac:dyDescent="0.2">
      <c r="C7294" s="144"/>
      <c r="D7294" s="144"/>
      <c r="E7294" s="144"/>
      <c r="F7294" s="373"/>
      <c r="I7294" s="70"/>
    </row>
    <row r="7295" spans="3:9" s="46" customFormat="1" x14ac:dyDescent="0.2">
      <c r="C7295" s="144"/>
      <c r="D7295" s="144"/>
      <c r="E7295" s="144"/>
      <c r="F7295" s="373"/>
      <c r="I7295" s="70"/>
    </row>
    <row r="7296" spans="3:9" s="46" customFormat="1" x14ac:dyDescent="0.2">
      <c r="C7296" s="144"/>
      <c r="D7296" s="144"/>
      <c r="E7296" s="144"/>
      <c r="F7296" s="373"/>
      <c r="I7296" s="70"/>
    </row>
    <row r="7297" spans="3:9" s="46" customFormat="1" x14ac:dyDescent="0.2">
      <c r="C7297" s="144"/>
      <c r="D7297" s="144"/>
      <c r="E7297" s="144"/>
      <c r="F7297" s="373"/>
      <c r="I7297" s="70"/>
    </row>
    <row r="7298" spans="3:9" s="46" customFormat="1" x14ac:dyDescent="0.2">
      <c r="C7298" s="144"/>
      <c r="D7298" s="144"/>
      <c r="E7298" s="144"/>
      <c r="F7298" s="373"/>
      <c r="I7298" s="70"/>
    </row>
    <row r="7299" spans="3:9" s="46" customFormat="1" x14ac:dyDescent="0.2">
      <c r="C7299" s="144"/>
      <c r="D7299" s="144"/>
      <c r="E7299" s="144"/>
      <c r="F7299" s="373"/>
      <c r="I7299" s="70"/>
    </row>
    <row r="7300" spans="3:9" s="46" customFormat="1" x14ac:dyDescent="0.2">
      <c r="C7300" s="144"/>
      <c r="D7300" s="144"/>
      <c r="E7300" s="144"/>
      <c r="F7300" s="373"/>
      <c r="I7300" s="70"/>
    </row>
    <row r="7301" spans="3:9" s="46" customFormat="1" x14ac:dyDescent="0.2">
      <c r="C7301" s="144"/>
      <c r="D7301" s="144"/>
      <c r="E7301" s="144"/>
      <c r="F7301" s="373"/>
      <c r="I7301" s="70"/>
    </row>
    <row r="7302" spans="3:9" s="46" customFormat="1" x14ac:dyDescent="0.2">
      <c r="C7302" s="144"/>
      <c r="D7302" s="144"/>
      <c r="E7302" s="144"/>
      <c r="F7302" s="373"/>
      <c r="I7302" s="70"/>
    </row>
    <row r="7303" spans="3:9" s="46" customFormat="1" x14ac:dyDescent="0.2">
      <c r="C7303" s="144"/>
      <c r="D7303" s="144"/>
      <c r="E7303" s="144"/>
      <c r="F7303" s="373"/>
      <c r="I7303" s="70"/>
    </row>
    <row r="7304" spans="3:9" s="46" customFormat="1" x14ac:dyDescent="0.2">
      <c r="C7304" s="144"/>
      <c r="D7304" s="144"/>
      <c r="E7304" s="144"/>
      <c r="F7304" s="373"/>
      <c r="I7304" s="70"/>
    </row>
    <row r="7305" spans="3:9" s="46" customFormat="1" x14ac:dyDescent="0.2">
      <c r="C7305" s="144"/>
      <c r="D7305" s="144"/>
      <c r="E7305" s="144"/>
      <c r="F7305" s="373"/>
      <c r="I7305" s="70"/>
    </row>
    <row r="7306" spans="3:9" s="46" customFormat="1" x14ac:dyDescent="0.2">
      <c r="C7306" s="144"/>
      <c r="D7306" s="144"/>
      <c r="E7306" s="144"/>
      <c r="F7306" s="373"/>
      <c r="I7306" s="70"/>
    </row>
    <row r="7307" spans="3:9" s="46" customFormat="1" x14ac:dyDescent="0.2">
      <c r="C7307" s="144"/>
      <c r="D7307" s="144"/>
      <c r="E7307" s="144"/>
      <c r="F7307" s="373"/>
      <c r="I7307" s="70"/>
    </row>
    <row r="7308" spans="3:9" s="46" customFormat="1" x14ac:dyDescent="0.2">
      <c r="C7308" s="144"/>
      <c r="D7308" s="144"/>
      <c r="E7308" s="144"/>
      <c r="F7308" s="373"/>
      <c r="I7308" s="70"/>
    </row>
    <row r="7309" spans="3:9" s="46" customFormat="1" x14ac:dyDescent="0.2">
      <c r="C7309" s="144"/>
      <c r="D7309" s="144"/>
      <c r="E7309" s="144"/>
      <c r="F7309" s="373"/>
      <c r="I7309" s="70"/>
    </row>
    <row r="7310" spans="3:9" s="46" customFormat="1" x14ac:dyDescent="0.2">
      <c r="C7310" s="144"/>
      <c r="D7310" s="144"/>
      <c r="E7310" s="144"/>
      <c r="F7310" s="373"/>
      <c r="I7310" s="70"/>
    </row>
    <row r="7311" spans="3:9" s="46" customFormat="1" x14ac:dyDescent="0.2">
      <c r="C7311" s="144"/>
      <c r="D7311" s="144"/>
      <c r="E7311" s="144"/>
      <c r="F7311" s="373"/>
      <c r="I7311" s="70"/>
    </row>
    <row r="7312" spans="3:9" s="46" customFormat="1" x14ac:dyDescent="0.2">
      <c r="C7312" s="144"/>
      <c r="D7312" s="144"/>
      <c r="E7312" s="144"/>
      <c r="F7312" s="373"/>
      <c r="I7312" s="70"/>
    </row>
    <row r="7313" spans="3:9" s="46" customFormat="1" x14ac:dyDescent="0.2">
      <c r="C7313" s="144"/>
      <c r="D7313" s="144"/>
      <c r="E7313" s="144"/>
      <c r="F7313" s="373"/>
      <c r="I7313" s="70"/>
    </row>
    <row r="7314" spans="3:9" s="46" customFormat="1" x14ac:dyDescent="0.2">
      <c r="C7314" s="144"/>
      <c r="D7314" s="144"/>
      <c r="E7314" s="144"/>
      <c r="F7314" s="373"/>
      <c r="I7314" s="70"/>
    </row>
    <row r="7315" spans="3:9" s="46" customFormat="1" x14ac:dyDescent="0.2">
      <c r="C7315" s="144"/>
      <c r="D7315" s="144"/>
      <c r="E7315" s="144"/>
      <c r="F7315" s="373"/>
      <c r="I7315" s="70"/>
    </row>
    <row r="7316" spans="3:9" s="46" customFormat="1" x14ac:dyDescent="0.2">
      <c r="C7316" s="144"/>
      <c r="D7316" s="144"/>
      <c r="E7316" s="144"/>
      <c r="F7316" s="373"/>
      <c r="I7316" s="70"/>
    </row>
    <row r="7317" spans="3:9" s="46" customFormat="1" x14ac:dyDescent="0.2">
      <c r="C7317" s="144"/>
      <c r="D7317" s="144"/>
      <c r="E7317" s="144"/>
      <c r="F7317" s="373"/>
      <c r="I7317" s="70"/>
    </row>
    <row r="7318" spans="3:9" s="46" customFormat="1" x14ac:dyDescent="0.2">
      <c r="C7318" s="144"/>
      <c r="D7318" s="144"/>
      <c r="E7318" s="144"/>
      <c r="F7318" s="373"/>
      <c r="I7318" s="70"/>
    </row>
    <row r="7319" spans="3:9" s="46" customFormat="1" x14ac:dyDescent="0.2">
      <c r="C7319" s="144"/>
      <c r="D7319" s="144"/>
      <c r="E7319" s="144"/>
      <c r="F7319" s="373"/>
      <c r="I7319" s="70"/>
    </row>
    <row r="7320" spans="3:9" s="46" customFormat="1" x14ac:dyDescent="0.2">
      <c r="C7320" s="144"/>
      <c r="D7320" s="144"/>
      <c r="E7320" s="144"/>
      <c r="F7320" s="373"/>
      <c r="I7320" s="70"/>
    </row>
    <row r="7321" spans="3:9" s="46" customFormat="1" x14ac:dyDescent="0.2">
      <c r="C7321" s="144"/>
      <c r="D7321" s="144"/>
      <c r="E7321" s="144"/>
      <c r="F7321" s="373"/>
      <c r="I7321" s="70"/>
    </row>
    <row r="7322" spans="3:9" s="46" customFormat="1" x14ac:dyDescent="0.2">
      <c r="C7322" s="144"/>
      <c r="D7322" s="144"/>
      <c r="E7322" s="144"/>
      <c r="F7322" s="373"/>
      <c r="I7322" s="70"/>
    </row>
    <row r="7323" spans="3:9" s="46" customFormat="1" x14ac:dyDescent="0.2">
      <c r="C7323" s="144"/>
      <c r="D7323" s="144"/>
      <c r="E7323" s="144"/>
      <c r="F7323" s="373"/>
      <c r="I7323" s="70"/>
    </row>
    <row r="7324" spans="3:9" s="46" customFormat="1" x14ac:dyDescent="0.2">
      <c r="C7324" s="144"/>
      <c r="D7324" s="144"/>
      <c r="E7324" s="144"/>
      <c r="F7324" s="373"/>
      <c r="I7324" s="70"/>
    </row>
    <row r="7325" spans="3:9" s="46" customFormat="1" x14ac:dyDescent="0.2">
      <c r="C7325" s="144"/>
      <c r="D7325" s="144"/>
      <c r="E7325" s="144"/>
      <c r="F7325" s="373"/>
      <c r="I7325" s="70"/>
    </row>
    <row r="7326" spans="3:9" s="46" customFormat="1" x14ac:dyDescent="0.2">
      <c r="C7326" s="144"/>
      <c r="D7326" s="144"/>
      <c r="E7326" s="144"/>
      <c r="F7326" s="373"/>
      <c r="I7326" s="70"/>
    </row>
    <row r="7327" spans="3:9" s="46" customFormat="1" x14ac:dyDescent="0.2">
      <c r="C7327" s="144"/>
      <c r="D7327" s="144"/>
      <c r="E7327" s="144"/>
      <c r="F7327" s="373"/>
      <c r="I7327" s="70"/>
    </row>
    <row r="7328" spans="3:9" s="46" customFormat="1" x14ac:dyDescent="0.2">
      <c r="C7328" s="144"/>
      <c r="D7328" s="144"/>
      <c r="E7328" s="144"/>
      <c r="F7328" s="373"/>
      <c r="I7328" s="70"/>
    </row>
    <row r="7329" spans="3:9" s="46" customFormat="1" x14ac:dyDescent="0.2">
      <c r="C7329" s="144"/>
      <c r="D7329" s="144"/>
      <c r="E7329" s="144"/>
      <c r="F7329" s="373"/>
      <c r="I7329" s="70"/>
    </row>
    <row r="7330" spans="3:9" s="46" customFormat="1" x14ac:dyDescent="0.2">
      <c r="C7330" s="144"/>
      <c r="D7330" s="144"/>
      <c r="E7330" s="144"/>
      <c r="F7330" s="373"/>
      <c r="I7330" s="70"/>
    </row>
    <row r="7331" spans="3:9" s="46" customFormat="1" x14ac:dyDescent="0.2">
      <c r="C7331" s="144"/>
      <c r="D7331" s="144"/>
      <c r="E7331" s="144"/>
      <c r="F7331" s="373"/>
      <c r="I7331" s="70"/>
    </row>
    <row r="7332" spans="3:9" s="46" customFormat="1" x14ac:dyDescent="0.2">
      <c r="C7332" s="144"/>
      <c r="D7332" s="144"/>
      <c r="E7332" s="144"/>
      <c r="F7332" s="373"/>
      <c r="I7332" s="70"/>
    </row>
    <row r="7333" spans="3:9" s="46" customFormat="1" x14ac:dyDescent="0.2">
      <c r="C7333" s="144"/>
      <c r="D7333" s="144"/>
      <c r="E7333" s="144"/>
      <c r="F7333" s="373"/>
      <c r="I7333" s="70"/>
    </row>
    <row r="7334" spans="3:9" s="46" customFormat="1" x14ac:dyDescent="0.2">
      <c r="C7334" s="144"/>
      <c r="D7334" s="144"/>
      <c r="E7334" s="144"/>
      <c r="F7334" s="373"/>
      <c r="I7334" s="70"/>
    </row>
    <row r="7335" spans="3:9" s="46" customFormat="1" x14ac:dyDescent="0.2">
      <c r="C7335" s="144"/>
      <c r="D7335" s="144"/>
      <c r="E7335" s="144"/>
      <c r="F7335" s="373"/>
      <c r="I7335" s="70"/>
    </row>
    <row r="7336" spans="3:9" s="46" customFormat="1" x14ac:dyDescent="0.2">
      <c r="C7336" s="144"/>
      <c r="D7336" s="144"/>
      <c r="E7336" s="144"/>
      <c r="F7336" s="373"/>
      <c r="I7336" s="70"/>
    </row>
    <row r="7337" spans="3:9" s="46" customFormat="1" x14ac:dyDescent="0.2">
      <c r="C7337" s="144"/>
      <c r="D7337" s="144"/>
      <c r="E7337" s="144"/>
      <c r="F7337" s="373"/>
      <c r="I7337" s="70"/>
    </row>
    <row r="7338" spans="3:9" s="46" customFormat="1" x14ac:dyDescent="0.2">
      <c r="C7338" s="144"/>
      <c r="D7338" s="144"/>
      <c r="E7338" s="144"/>
      <c r="F7338" s="373"/>
      <c r="I7338" s="70"/>
    </row>
    <row r="7339" spans="3:9" s="46" customFormat="1" x14ac:dyDescent="0.2">
      <c r="C7339" s="144"/>
      <c r="D7339" s="144"/>
      <c r="E7339" s="144"/>
      <c r="F7339" s="373"/>
      <c r="I7339" s="70"/>
    </row>
    <row r="7340" spans="3:9" s="46" customFormat="1" x14ac:dyDescent="0.2">
      <c r="C7340" s="144"/>
      <c r="D7340" s="144"/>
      <c r="E7340" s="144"/>
      <c r="F7340" s="373"/>
      <c r="I7340" s="70"/>
    </row>
    <row r="7341" spans="3:9" s="46" customFormat="1" x14ac:dyDescent="0.2">
      <c r="C7341" s="144"/>
      <c r="D7341" s="144"/>
      <c r="E7341" s="144"/>
      <c r="F7341" s="373"/>
      <c r="I7341" s="70"/>
    </row>
    <row r="7342" spans="3:9" s="46" customFormat="1" x14ac:dyDescent="0.2">
      <c r="C7342" s="144"/>
      <c r="D7342" s="144"/>
      <c r="E7342" s="144"/>
      <c r="F7342" s="373"/>
      <c r="I7342" s="70"/>
    </row>
    <row r="7343" spans="3:9" s="46" customFormat="1" x14ac:dyDescent="0.2">
      <c r="C7343" s="144"/>
      <c r="D7343" s="144"/>
      <c r="E7343" s="144"/>
      <c r="F7343" s="373"/>
      <c r="I7343" s="70"/>
    </row>
    <row r="7344" spans="3:9" s="46" customFormat="1" x14ac:dyDescent="0.2">
      <c r="C7344" s="144"/>
      <c r="D7344" s="144"/>
      <c r="E7344" s="144"/>
      <c r="F7344" s="373"/>
      <c r="I7344" s="70"/>
    </row>
    <row r="7345" spans="3:9" s="46" customFormat="1" x14ac:dyDescent="0.2">
      <c r="C7345" s="144"/>
      <c r="D7345" s="144"/>
      <c r="E7345" s="144"/>
      <c r="F7345" s="373"/>
      <c r="I7345" s="70"/>
    </row>
    <row r="7346" spans="3:9" s="46" customFormat="1" x14ac:dyDescent="0.2">
      <c r="C7346" s="144"/>
      <c r="D7346" s="144"/>
      <c r="E7346" s="144"/>
      <c r="F7346" s="373"/>
      <c r="I7346" s="70"/>
    </row>
    <row r="7347" spans="3:9" s="46" customFormat="1" x14ac:dyDescent="0.2">
      <c r="C7347" s="144"/>
      <c r="D7347" s="144"/>
      <c r="E7347" s="144"/>
      <c r="F7347" s="373"/>
      <c r="I7347" s="70"/>
    </row>
    <row r="7348" spans="3:9" s="46" customFormat="1" x14ac:dyDescent="0.2">
      <c r="C7348" s="144"/>
      <c r="D7348" s="144"/>
      <c r="E7348" s="144"/>
      <c r="F7348" s="373"/>
      <c r="I7348" s="70"/>
    </row>
    <row r="7349" spans="3:9" s="46" customFormat="1" x14ac:dyDescent="0.2">
      <c r="C7349" s="144"/>
      <c r="D7349" s="144"/>
      <c r="E7349" s="144"/>
      <c r="F7349" s="373"/>
      <c r="I7349" s="70"/>
    </row>
    <row r="7350" spans="3:9" s="46" customFormat="1" x14ac:dyDescent="0.2">
      <c r="C7350" s="144"/>
      <c r="D7350" s="144"/>
      <c r="E7350" s="144"/>
      <c r="F7350" s="373"/>
      <c r="I7350" s="70"/>
    </row>
    <row r="7351" spans="3:9" s="46" customFormat="1" x14ac:dyDescent="0.2">
      <c r="C7351" s="144"/>
      <c r="D7351" s="144"/>
      <c r="E7351" s="144"/>
      <c r="F7351" s="373"/>
      <c r="I7351" s="70"/>
    </row>
    <row r="7352" spans="3:9" s="46" customFormat="1" x14ac:dyDescent="0.2">
      <c r="C7352" s="144"/>
      <c r="D7352" s="144"/>
      <c r="E7352" s="144"/>
      <c r="F7352" s="373"/>
      <c r="I7352" s="70"/>
    </row>
    <row r="7353" spans="3:9" s="46" customFormat="1" x14ac:dyDescent="0.2">
      <c r="C7353" s="144"/>
      <c r="D7353" s="144"/>
      <c r="E7353" s="144"/>
      <c r="F7353" s="373"/>
      <c r="I7353" s="70"/>
    </row>
    <row r="7354" spans="3:9" s="46" customFormat="1" x14ac:dyDescent="0.2">
      <c r="C7354" s="144"/>
      <c r="D7354" s="144"/>
      <c r="E7354" s="144"/>
      <c r="F7354" s="373"/>
      <c r="I7354" s="70"/>
    </row>
    <row r="7355" spans="3:9" s="46" customFormat="1" x14ac:dyDescent="0.2">
      <c r="C7355" s="144"/>
      <c r="D7355" s="144"/>
      <c r="E7355" s="144"/>
      <c r="F7355" s="373"/>
      <c r="I7355" s="70"/>
    </row>
    <row r="7356" spans="3:9" s="46" customFormat="1" x14ac:dyDescent="0.2">
      <c r="C7356" s="144"/>
      <c r="D7356" s="144"/>
      <c r="E7356" s="144"/>
      <c r="F7356" s="373"/>
      <c r="I7356" s="70"/>
    </row>
    <row r="7357" spans="3:9" s="46" customFormat="1" x14ac:dyDescent="0.2">
      <c r="C7357" s="144"/>
      <c r="D7357" s="144"/>
      <c r="E7357" s="144"/>
      <c r="F7357" s="373"/>
      <c r="I7357" s="70"/>
    </row>
    <row r="7358" spans="3:9" s="46" customFormat="1" x14ac:dyDescent="0.2">
      <c r="C7358" s="144"/>
      <c r="D7358" s="144"/>
      <c r="E7358" s="144"/>
      <c r="F7358" s="373"/>
      <c r="I7358" s="70"/>
    </row>
    <row r="7359" spans="3:9" s="46" customFormat="1" x14ac:dyDescent="0.2">
      <c r="C7359" s="144"/>
      <c r="D7359" s="144"/>
      <c r="E7359" s="144"/>
      <c r="F7359" s="373"/>
      <c r="I7359" s="70"/>
    </row>
    <row r="7360" spans="3:9" s="46" customFormat="1" x14ac:dyDescent="0.2">
      <c r="C7360" s="144"/>
      <c r="D7360" s="144"/>
      <c r="E7360" s="144"/>
      <c r="F7360" s="373"/>
      <c r="I7360" s="70"/>
    </row>
    <row r="7361" spans="3:9" s="46" customFormat="1" x14ac:dyDescent="0.2">
      <c r="C7361" s="144"/>
      <c r="D7361" s="144"/>
      <c r="E7361" s="144"/>
      <c r="F7361" s="373"/>
      <c r="I7361" s="70"/>
    </row>
    <row r="7362" spans="3:9" s="46" customFormat="1" x14ac:dyDescent="0.2">
      <c r="C7362" s="144"/>
      <c r="D7362" s="144"/>
      <c r="E7362" s="144"/>
      <c r="F7362" s="373"/>
      <c r="I7362" s="70"/>
    </row>
    <row r="7363" spans="3:9" s="46" customFormat="1" x14ac:dyDescent="0.2">
      <c r="C7363" s="144"/>
      <c r="D7363" s="144"/>
      <c r="E7363" s="144"/>
      <c r="F7363" s="373"/>
      <c r="I7363" s="70"/>
    </row>
    <row r="7364" spans="3:9" s="46" customFormat="1" x14ac:dyDescent="0.2">
      <c r="C7364" s="144"/>
      <c r="D7364" s="144"/>
      <c r="E7364" s="144"/>
      <c r="F7364" s="373"/>
      <c r="I7364" s="70"/>
    </row>
    <row r="7365" spans="3:9" s="46" customFormat="1" x14ac:dyDescent="0.2">
      <c r="C7365" s="144"/>
      <c r="D7365" s="144"/>
      <c r="E7365" s="144"/>
      <c r="F7365" s="373"/>
      <c r="I7365" s="70"/>
    </row>
    <row r="7366" spans="3:9" s="46" customFormat="1" x14ac:dyDescent="0.2">
      <c r="C7366" s="144"/>
      <c r="D7366" s="144"/>
      <c r="E7366" s="144"/>
      <c r="F7366" s="373"/>
      <c r="I7366" s="70"/>
    </row>
    <row r="7367" spans="3:9" s="46" customFormat="1" x14ac:dyDescent="0.2">
      <c r="C7367" s="144"/>
      <c r="D7367" s="144"/>
      <c r="E7367" s="144"/>
      <c r="F7367" s="373"/>
      <c r="I7367" s="70"/>
    </row>
    <row r="7368" spans="3:9" s="46" customFormat="1" x14ac:dyDescent="0.2">
      <c r="C7368" s="144"/>
      <c r="D7368" s="144"/>
      <c r="E7368" s="144"/>
      <c r="F7368" s="373"/>
      <c r="I7368" s="70"/>
    </row>
    <row r="7369" spans="3:9" s="46" customFormat="1" x14ac:dyDescent="0.2">
      <c r="C7369" s="144"/>
      <c r="D7369" s="144"/>
      <c r="E7369" s="144"/>
      <c r="F7369" s="373"/>
      <c r="I7369" s="70"/>
    </row>
    <row r="7370" spans="3:9" s="46" customFormat="1" x14ac:dyDescent="0.2">
      <c r="C7370" s="144"/>
      <c r="D7370" s="144"/>
      <c r="E7370" s="144"/>
      <c r="F7370" s="373"/>
      <c r="I7370" s="70"/>
    </row>
    <row r="7371" spans="3:9" s="46" customFormat="1" x14ac:dyDescent="0.2">
      <c r="C7371" s="144"/>
      <c r="D7371" s="144"/>
      <c r="E7371" s="144"/>
      <c r="F7371" s="373"/>
      <c r="I7371" s="70"/>
    </row>
    <row r="7372" spans="3:9" s="46" customFormat="1" x14ac:dyDescent="0.2">
      <c r="C7372" s="144"/>
      <c r="D7372" s="144"/>
      <c r="E7372" s="144"/>
      <c r="F7372" s="373"/>
      <c r="I7372" s="70"/>
    </row>
    <row r="7373" spans="3:9" s="46" customFormat="1" x14ac:dyDescent="0.2">
      <c r="C7373" s="144"/>
      <c r="D7373" s="144"/>
      <c r="E7373" s="144"/>
      <c r="F7373" s="373"/>
      <c r="I7373" s="70"/>
    </row>
    <row r="7374" spans="3:9" s="46" customFormat="1" x14ac:dyDescent="0.2">
      <c r="C7374" s="144"/>
      <c r="D7374" s="144"/>
      <c r="E7374" s="144"/>
      <c r="F7374" s="373"/>
      <c r="I7374" s="70"/>
    </row>
    <row r="7375" spans="3:9" s="46" customFormat="1" x14ac:dyDescent="0.2">
      <c r="C7375" s="144"/>
      <c r="D7375" s="144"/>
      <c r="E7375" s="144"/>
      <c r="F7375" s="373"/>
      <c r="I7375" s="70"/>
    </row>
    <row r="7376" spans="3:9" s="46" customFormat="1" x14ac:dyDescent="0.2">
      <c r="C7376" s="144"/>
      <c r="D7376" s="144"/>
      <c r="E7376" s="144"/>
      <c r="F7376" s="373"/>
      <c r="I7376" s="70"/>
    </row>
    <row r="7377" spans="3:9" s="46" customFormat="1" x14ac:dyDescent="0.2">
      <c r="C7377" s="144"/>
      <c r="D7377" s="144"/>
      <c r="E7377" s="144"/>
      <c r="F7377" s="373"/>
      <c r="I7377" s="70"/>
    </row>
    <row r="7378" spans="3:9" s="46" customFormat="1" x14ac:dyDescent="0.2">
      <c r="C7378" s="144"/>
      <c r="D7378" s="144"/>
      <c r="E7378" s="144"/>
      <c r="F7378" s="373"/>
      <c r="I7378" s="70"/>
    </row>
    <row r="7379" spans="3:9" s="46" customFormat="1" x14ac:dyDescent="0.2">
      <c r="C7379" s="144"/>
      <c r="D7379" s="144"/>
      <c r="E7379" s="144"/>
      <c r="F7379" s="373"/>
      <c r="I7379" s="70"/>
    </row>
    <row r="7380" spans="3:9" s="46" customFormat="1" x14ac:dyDescent="0.2">
      <c r="C7380" s="144"/>
      <c r="D7380" s="144"/>
      <c r="E7380" s="144"/>
      <c r="F7380" s="373"/>
      <c r="I7380" s="70"/>
    </row>
    <row r="7381" spans="3:9" s="46" customFormat="1" x14ac:dyDescent="0.2">
      <c r="C7381" s="144"/>
      <c r="D7381" s="144"/>
      <c r="E7381" s="144"/>
      <c r="F7381" s="373"/>
      <c r="I7381" s="70"/>
    </row>
    <row r="7382" spans="3:9" s="46" customFormat="1" x14ac:dyDescent="0.2">
      <c r="C7382" s="144"/>
      <c r="D7382" s="144"/>
      <c r="E7382" s="144"/>
      <c r="F7382" s="373"/>
      <c r="I7382" s="70"/>
    </row>
    <row r="7383" spans="3:9" s="46" customFormat="1" x14ac:dyDescent="0.2">
      <c r="C7383" s="144"/>
      <c r="D7383" s="144"/>
      <c r="E7383" s="144"/>
      <c r="F7383" s="373"/>
      <c r="I7383" s="70"/>
    </row>
    <row r="7384" spans="3:9" s="46" customFormat="1" x14ac:dyDescent="0.2">
      <c r="C7384" s="144"/>
      <c r="D7384" s="144"/>
      <c r="E7384" s="144"/>
      <c r="F7384" s="373"/>
      <c r="I7384" s="70"/>
    </row>
    <row r="7385" spans="3:9" s="46" customFormat="1" x14ac:dyDescent="0.2">
      <c r="C7385" s="144"/>
      <c r="D7385" s="144"/>
      <c r="E7385" s="144"/>
      <c r="F7385" s="373"/>
      <c r="I7385" s="70"/>
    </row>
    <row r="7386" spans="3:9" s="46" customFormat="1" x14ac:dyDescent="0.2">
      <c r="C7386" s="144"/>
      <c r="D7386" s="144"/>
      <c r="E7386" s="144"/>
      <c r="F7386" s="373"/>
      <c r="I7386" s="70"/>
    </row>
    <row r="7387" spans="3:9" s="46" customFormat="1" x14ac:dyDescent="0.2">
      <c r="C7387" s="144"/>
      <c r="D7387" s="144"/>
      <c r="E7387" s="144"/>
      <c r="F7387" s="373"/>
      <c r="I7387" s="70"/>
    </row>
    <row r="7388" spans="3:9" s="46" customFormat="1" x14ac:dyDescent="0.2">
      <c r="C7388" s="144"/>
      <c r="D7388" s="144"/>
      <c r="E7388" s="144"/>
      <c r="F7388" s="373"/>
      <c r="I7388" s="70"/>
    </row>
    <row r="7389" spans="3:9" s="46" customFormat="1" x14ac:dyDescent="0.2">
      <c r="C7389" s="144"/>
      <c r="D7389" s="144"/>
      <c r="E7389" s="144"/>
      <c r="F7389" s="373"/>
      <c r="I7389" s="70"/>
    </row>
    <row r="7390" spans="3:9" s="46" customFormat="1" x14ac:dyDescent="0.2">
      <c r="C7390" s="144"/>
      <c r="D7390" s="144"/>
      <c r="E7390" s="144"/>
      <c r="F7390" s="373"/>
      <c r="I7390" s="70"/>
    </row>
    <row r="7391" spans="3:9" s="46" customFormat="1" x14ac:dyDescent="0.2">
      <c r="C7391" s="144"/>
      <c r="D7391" s="144"/>
      <c r="E7391" s="144"/>
      <c r="F7391" s="373"/>
      <c r="I7391" s="70"/>
    </row>
    <row r="7392" spans="3:9" s="46" customFormat="1" x14ac:dyDescent="0.2">
      <c r="C7392" s="144"/>
      <c r="D7392" s="144"/>
      <c r="E7392" s="144"/>
      <c r="F7392" s="373"/>
      <c r="I7392" s="70"/>
    </row>
    <row r="7393" spans="3:9" s="46" customFormat="1" x14ac:dyDescent="0.2">
      <c r="C7393" s="144"/>
      <c r="D7393" s="144"/>
      <c r="E7393" s="144"/>
      <c r="F7393" s="373"/>
      <c r="I7393" s="70"/>
    </row>
    <row r="7394" spans="3:9" s="46" customFormat="1" x14ac:dyDescent="0.2">
      <c r="C7394" s="144"/>
      <c r="D7394" s="144"/>
      <c r="E7394" s="144"/>
      <c r="F7394" s="373"/>
      <c r="I7394" s="70"/>
    </row>
    <row r="7395" spans="3:9" s="46" customFormat="1" x14ac:dyDescent="0.2">
      <c r="C7395" s="144"/>
      <c r="D7395" s="144"/>
      <c r="E7395" s="144"/>
      <c r="F7395" s="373"/>
      <c r="I7395" s="70"/>
    </row>
    <row r="7396" spans="3:9" s="46" customFormat="1" x14ac:dyDescent="0.2">
      <c r="C7396" s="144"/>
      <c r="D7396" s="144"/>
      <c r="E7396" s="144"/>
      <c r="F7396" s="373"/>
      <c r="I7396" s="70"/>
    </row>
    <row r="7397" spans="3:9" s="46" customFormat="1" x14ac:dyDescent="0.2">
      <c r="C7397" s="144"/>
      <c r="D7397" s="144"/>
      <c r="E7397" s="144"/>
      <c r="F7397" s="373"/>
      <c r="I7397" s="70"/>
    </row>
    <row r="7398" spans="3:9" s="46" customFormat="1" x14ac:dyDescent="0.2">
      <c r="C7398" s="144"/>
      <c r="D7398" s="144"/>
      <c r="E7398" s="144"/>
      <c r="F7398" s="373"/>
      <c r="I7398" s="70"/>
    </row>
    <row r="7399" spans="3:9" s="46" customFormat="1" x14ac:dyDescent="0.2">
      <c r="C7399" s="144"/>
      <c r="D7399" s="144"/>
      <c r="E7399" s="144"/>
      <c r="F7399" s="373"/>
      <c r="I7399" s="70"/>
    </row>
    <row r="7400" spans="3:9" s="46" customFormat="1" x14ac:dyDescent="0.2">
      <c r="C7400" s="144"/>
      <c r="D7400" s="144"/>
      <c r="E7400" s="144"/>
      <c r="F7400" s="373"/>
      <c r="I7400" s="70"/>
    </row>
    <row r="7401" spans="3:9" s="46" customFormat="1" x14ac:dyDescent="0.2">
      <c r="C7401" s="144"/>
      <c r="D7401" s="144"/>
      <c r="E7401" s="144"/>
      <c r="F7401" s="373"/>
      <c r="I7401" s="70"/>
    </row>
    <row r="7402" spans="3:9" s="46" customFormat="1" x14ac:dyDescent="0.2">
      <c r="C7402" s="144"/>
      <c r="D7402" s="144"/>
      <c r="E7402" s="144"/>
      <c r="F7402" s="373"/>
      <c r="I7402" s="70"/>
    </row>
    <row r="7403" spans="3:9" s="46" customFormat="1" x14ac:dyDescent="0.2">
      <c r="C7403" s="144"/>
      <c r="D7403" s="144"/>
      <c r="E7403" s="144"/>
      <c r="F7403" s="373"/>
      <c r="I7403" s="70"/>
    </row>
    <row r="7404" spans="3:9" s="46" customFormat="1" x14ac:dyDescent="0.2">
      <c r="C7404" s="144"/>
      <c r="D7404" s="144"/>
      <c r="E7404" s="144"/>
      <c r="F7404" s="373"/>
      <c r="I7404" s="70"/>
    </row>
    <row r="7405" spans="3:9" s="46" customFormat="1" x14ac:dyDescent="0.2">
      <c r="C7405" s="144"/>
      <c r="D7405" s="144"/>
      <c r="E7405" s="144"/>
      <c r="F7405" s="373"/>
      <c r="I7405" s="70"/>
    </row>
    <row r="7406" spans="3:9" s="46" customFormat="1" x14ac:dyDescent="0.2">
      <c r="C7406" s="144"/>
      <c r="D7406" s="144"/>
      <c r="E7406" s="144"/>
      <c r="F7406" s="373"/>
      <c r="I7406" s="70"/>
    </row>
    <row r="7407" spans="3:9" s="46" customFormat="1" x14ac:dyDescent="0.2">
      <c r="C7407" s="144"/>
      <c r="D7407" s="144"/>
      <c r="E7407" s="144"/>
      <c r="F7407" s="373"/>
      <c r="I7407" s="70"/>
    </row>
    <row r="7408" spans="3:9" s="46" customFormat="1" x14ac:dyDescent="0.2">
      <c r="C7408" s="144"/>
      <c r="D7408" s="144"/>
      <c r="E7408" s="144"/>
      <c r="F7408" s="373"/>
      <c r="I7408" s="70"/>
    </row>
    <row r="7409" spans="3:9" s="46" customFormat="1" x14ac:dyDescent="0.2">
      <c r="C7409" s="144"/>
      <c r="D7409" s="144"/>
      <c r="E7409" s="144"/>
      <c r="F7409" s="373"/>
      <c r="I7409" s="70"/>
    </row>
    <row r="7410" spans="3:9" s="46" customFormat="1" x14ac:dyDescent="0.2">
      <c r="C7410" s="144"/>
      <c r="D7410" s="144"/>
      <c r="E7410" s="144"/>
      <c r="F7410" s="373"/>
      <c r="I7410" s="70"/>
    </row>
    <row r="7411" spans="3:9" s="46" customFormat="1" x14ac:dyDescent="0.2">
      <c r="C7411" s="144"/>
      <c r="D7411" s="144"/>
      <c r="E7411" s="144"/>
      <c r="F7411" s="373"/>
      <c r="I7411" s="70"/>
    </row>
    <row r="7412" spans="3:9" s="46" customFormat="1" x14ac:dyDescent="0.2">
      <c r="C7412" s="144"/>
      <c r="D7412" s="144"/>
      <c r="E7412" s="144"/>
      <c r="F7412" s="373"/>
      <c r="I7412" s="70"/>
    </row>
    <row r="7413" spans="3:9" s="46" customFormat="1" x14ac:dyDescent="0.2">
      <c r="C7413" s="144"/>
      <c r="D7413" s="144"/>
      <c r="E7413" s="144"/>
      <c r="F7413" s="373"/>
      <c r="I7413" s="70"/>
    </row>
    <row r="7414" spans="3:9" s="46" customFormat="1" x14ac:dyDescent="0.2">
      <c r="C7414" s="144"/>
      <c r="D7414" s="144"/>
      <c r="E7414" s="144"/>
      <c r="F7414" s="373"/>
      <c r="I7414" s="70"/>
    </row>
    <row r="7415" spans="3:9" s="46" customFormat="1" x14ac:dyDescent="0.2">
      <c r="C7415" s="144"/>
      <c r="D7415" s="144"/>
      <c r="E7415" s="144"/>
      <c r="F7415" s="373"/>
      <c r="I7415" s="70"/>
    </row>
    <row r="7416" spans="3:9" s="46" customFormat="1" x14ac:dyDescent="0.2">
      <c r="C7416" s="144"/>
      <c r="D7416" s="144"/>
      <c r="E7416" s="144"/>
      <c r="F7416" s="373"/>
      <c r="I7416" s="70"/>
    </row>
    <row r="7417" spans="3:9" s="46" customFormat="1" x14ac:dyDescent="0.2">
      <c r="C7417" s="144"/>
      <c r="D7417" s="144"/>
      <c r="E7417" s="144"/>
      <c r="F7417" s="373"/>
      <c r="I7417" s="70"/>
    </row>
    <row r="7418" spans="3:9" s="46" customFormat="1" x14ac:dyDescent="0.2">
      <c r="C7418" s="144"/>
      <c r="D7418" s="144"/>
      <c r="E7418" s="144"/>
      <c r="F7418" s="373"/>
      <c r="I7418" s="70"/>
    </row>
    <row r="7419" spans="3:9" s="46" customFormat="1" x14ac:dyDescent="0.2">
      <c r="C7419" s="144"/>
      <c r="D7419" s="144"/>
      <c r="E7419" s="144"/>
      <c r="F7419" s="373"/>
      <c r="I7419" s="70"/>
    </row>
    <row r="7420" spans="3:9" s="46" customFormat="1" x14ac:dyDescent="0.2">
      <c r="C7420" s="144"/>
      <c r="D7420" s="144"/>
      <c r="E7420" s="144"/>
      <c r="F7420" s="373"/>
      <c r="I7420" s="70"/>
    </row>
    <row r="7421" spans="3:9" s="46" customFormat="1" x14ac:dyDescent="0.2">
      <c r="C7421" s="144"/>
      <c r="D7421" s="144"/>
      <c r="E7421" s="144"/>
      <c r="F7421" s="373"/>
      <c r="I7421" s="70"/>
    </row>
    <row r="7422" spans="3:9" s="46" customFormat="1" x14ac:dyDescent="0.2">
      <c r="C7422" s="144"/>
      <c r="D7422" s="144"/>
      <c r="E7422" s="144"/>
      <c r="F7422" s="373"/>
      <c r="I7422" s="70"/>
    </row>
    <row r="7423" spans="3:9" s="46" customFormat="1" x14ac:dyDescent="0.2">
      <c r="C7423" s="144"/>
      <c r="D7423" s="144"/>
      <c r="E7423" s="144"/>
      <c r="F7423" s="373"/>
      <c r="I7423" s="70"/>
    </row>
    <row r="7424" spans="3:9" s="46" customFormat="1" x14ac:dyDescent="0.2">
      <c r="C7424" s="144"/>
      <c r="D7424" s="144"/>
      <c r="E7424" s="144"/>
      <c r="F7424" s="373"/>
      <c r="I7424" s="70"/>
    </row>
    <row r="7425" spans="3:9" s="46" customFormat="1" x14ac:dyDescent="0.2">
      <c r="C7425" s="144"/>
      <c r="D7425" s="144"/>
      <c r="E7425" s="144"/>
      <c r="F7425" s="373"/>
      <c r="I7425" s="70"/>
    </row>
    <row r="7426" spans="3:9" s="46" customFormat="1" x14ac:dyDescent="0.2">
      <c r="C7426" s="144"/>
      <c r="D7426" s="144"/>
      <c r="E7426" s="144"/>
      <c r="F7426" s="373"/>
      <c r="I7426" s="70"/>
    </row>
    <row r="7427" spans="3:9" s="46" customFormat="1" x14ac:dyDescent="0.2">
      <c r="C7427" s="144"/>
      <c r="D7427" s="144"/>
      <c r="E7427" s="144"/>
      <c r="F7427" s="373"/>
      <c r="I7427" s="70"/>
    </row>
    <row r="7428" spans="3:9" s="46" customFormat="1" x14ac:dyDescent="0.2">
      <c r="C7428" s="144"/>
      <c r="D7428" s="144"/>
      <c r="E7428" s="144"/>
      <c r="F7428" s="373"/>
      <c r="I7428" s="70"/>
    </row>
    <row r="7429" spans="3:9" s="46" customFormat="1" x14ac:dyDescent="0.2">
      <c r="C7429" s="144"/>
      <c r="D7429" s="144"/>
      <c r="E7429" s="144"/>
      <c r="F7429" s="373"/>
      <c r="I7429" s="70"/>
    </row>
    <row r="7430" spans="3:9" s="46" customFormat="1" x14ac:dyDescent="0.2">
      <c r="C7430" s="144"/>
      <c r="D7430" s="144"/>
      <c r="E7430" s="144"/>
      <c r="F7430" s="373"/>
      <c r="I7430" s="70"/>
    </row>
    <row r="7431" spans="3:9" s="46" customFormat="1" x14ac:dyDescent="0.2">
      <c r="C7431" s="144"/>
      <c r="D7431" s="144"/>
      <c r="E7431" s="144"/>
      <c r="F7431" s="373"/>
      <c r="I7431" s="70"/>
    </row>
    <row r="7432" spans="3:9" s="46" customFormat="1" x14ac:dyDescent="0.2">
      <c r="C7432" s="144"/>
      <c r="D7432" s="144"/>
      <c r="E7432" s="144"/>
      <c r="F7432" s="373"/>
      <c r="I7432" s="70"/>
    </row>
    <row r="7433" spans="3:9" s="46" customFormat="1" x14ac:dyDescent="0.2">
      <c r="C7433" s="144"/>
      <c r="D7433" s="144"/>
      <c r="E7433" s="144"/>
      <c r="F7433" s="373"/>
      <c r="I7433" s="70"/>
    </row>
    <row r="7434" spans="3:9" s="46" customFormat="1" x14ac:dyDescent="0.2">
      <c r="C7434" s="144"/>
      <c r="D7434" s="144"/>
      <c r="E7434" s="144"/>
      <c r="F7434" s="373"/>
      <c r="I7434" s="70"/>
    </row>
    <row r="7435" spans="3:9" s="46" customFormat="1" x14ac:dyDescent="0.2">
      <c r="C7435" s="144"/>
      <c r="D7435" s="144"/>
      <c r="E7435" s="144"/>
      <c r="F7435" s="373"/>
      <c r="I7435" s="70"/>
    </row>
    <row r="7436" spans="3:9" s="46" customFormat="1" x14ac:dyDescent="0.2">
      <c r="C7436" s="144"/>
      <c r="D7436" s="144"/>
      <c r="E7436" s="144"/>
      <c r="F7436" s="373"/>
      <c r="I7436" s="70"/>
    </row>
    <row r="7437" spans="3:9" s="46" customFormat="1" x14ac:dyDescent="0.2">
      <c r="C7437" s="144"/>
      <c r="D7437" s="144"/>
      <c r="E7437" s="144"/>
      <c r="F7437" s="373"/>
      <c r="I7437" s="70"/>
    </row>
    <row r="7438" spans="3:9" s="46" customFormat="1" x14ac:dyDescent="0.2">
      <c r="C7438" s="144"/>
      <c r="D7438" s="144"/>
      <c r="E7438" s="144"/>
      <c r="F7438" s="373"/>
      <c r="I7438" s="70"/>
    </row>
    <row r="7439" spans="3:9" s="46" customFormat="1" x14ac:dyDescent="0.2">
      <c r="C7439" s="144"/>
      <c r="D7439" s="144"/>
      <c r="E7439" s="144"/>
      <c r="F7439" s="373"/>
      <c r="I7439" s="70"/>
    </row>
    <row r="7440" spans="3:9" s="46" customFormat="1" x14ac:dyDescent="0.2">
      <c r="C7440" s="144"/>
      <c r="D7440" s="144"/>
      <c r="E7440" s="144"/>
      <c r="F7440" s="373"/>
      <c r="I7440" s="70"/>
    </row>
    <row r="7441" spans="3:9" s="46" customFormat="1" x14ac:dyDescent="0.2">
      <c r="C7441" s="144"/>
      <c r="D7441" s="144"/>
      <c r="E7441" s="144"/>
      <c r="F7441" s="373"/>
      <c r="I7441" s="70"/>
    </row>
    <row r="7442" spans="3:9" s="46" customFormat="1" x14ac:dyDescent="0.2">
      <c r="C7442" s="144"/>
      <c r="D7442" s="144"/>
      <c r="E7442" s="144"/>
      <c r="F7442" s="373"/>
      <c r="I7442" s="70"/>
    </row>
    <row r="7443" spans="3:9" s="46" customFormat="1" x14ac:dyDescent="0.2">
      <c r="C7443" s="144"/>
      <c r="D7443" s="144"/>
      <c r="E7443" s="144"/>
      <c r="F7443" s="373"/>
      <c r="I7443" s="70"/>
    </row>
    <row r="7444" spans="3:9" s="46" customFormat="1" x14ac:dyDescent="0.2">
      <c r="C7444" s="144"/>
      <c r="D7444" s="144"/>
      <c r="E7444" s="144"/>
      <c r="F7444" s="373"/>
      <c r="I7444" s="70"/>
    </row>
    <row r="7445" spans="3:9" s="46" customFormat="1" x14ac:dyDescent="0.2">
      <c r="C7445" s="144"/>
      <c r="D7445" s="144"/>
      <c r="E7445" s="144"/>
      <c r="F7445" s="373"/>
      <c r="I7445" s="70"/>
    </row>
    <row r="7446" spans="3:9" s="46" customFormat="1" x14ac:dyDescent="0.2">
      <c r="C7446" s="144"/>
      <c r="D7446" s="144"/>
      <c r="E7446" s="144"/>
      <c r="F7446" s="373"/>
      <c r="I7446" s="70"/>
    </row>
    <row r="7447" spans="3:9" s="46" customFormat="1" x14ac:dyDescent="0.2">
      <c r="C7447" s="144"/>
      <c r="D7447" s="144"/>
      <c r="E7447" s="144"/>
      <c r="F7447" s="373"/>
      <c r="I7447" s="70"/>
    </row>
    <row r="7448" spans="3:9" s="46" customFormat="1" x14ac:dyDescent="0.2">
      <c r="C7448" s="144"/>
      <c r="D7448" s="144"/>
      <c r="E7448" s="144"/>
      <c r="F7448" s="373"/>
      <c r="I7448" s="70"/>
    </row>
    <row r="7449" spans="3:9" s="46" customFormat="1" x14ac:dyDescent="0.2">
      <c r="C7449" s="144"/>
      <c r="D7449" s="144"/>
      <c r="E7449" s="144"/>
      <c r="F7449" s="373"/>
      <c r="I7449" s="70"/>
    </row>
    <row r="7450" spans="3:9" s="46" customFormat="1" x14ac:dyDescent="0.2">
      <c r="C7450" s="144"/>
      <c r="D7450" s="144"/>
      <c r="E7450" s="144"/>
      <c r="F7450" s="373"/>
      <c r="I7450" s="70"/>
    </row>
    <row r="7451" spans="3:9" s="46" customFormat="1" x14ac:dyDescent="0.2">
      <c r="C7451" s="144"/>
      <c r="D7451" s="144"/>
      <c r="E7451" s="144"/>
      <c r="F7451" s="373"/>
      <c r="I7451" s="70"/>
    </row>
    <row r="7452" spans="3:9" s="46" customFormat="1" x14ac:dyDescent="0.2">
      <c r="C7452" s="144"/>
      <c r="D7452" s="144"/>
      <c r="E7452" s="144"/>
      <c r="F7452" s="373"/>
      <c r="I7452" s="70"/>
    </row>
    <row r="7453" spans="3:9" s="46" customFormat="1" x14ac:dyDescent="0.2">
      <c r="C7453" s="144"/>
      <c r="D7453" s="144"/>
      <c r="E7453" s="144"/>
      <c r="F7453" s="373"/>
      <c r="I7453" s="70"/>
    </row>
    <row r="7454" spans="3:9" s="46" customFormat="1" x14ac:dyDescent="0.2">
      <c r="C7454" s="144"/>
      <c r="D7454" s="144"/>
      <c r="E7454" s="144"/>
      <c r="F7454" s="373"/>
      <c r="I7454" s="70"/>
    </row>
    <row r="7455" spans="3:9" s="46" customFormat="1" x14ac:dyDescent="0.2">
      <c r="C7455" s="144"/>
      <c r="D7455" s="144"/>
      <c r="E7455" s="144"/>
      <c r="F7455" s="373"/>
      <c r="I7455" s="70"/>
    </row>
    <row r="7456" spans="3:9" s="46" customFormat="1" x14ac:dyDescent="0.2">
      <c r="C7456" s="144"/>
      <c r="D7456" s="144"/>
      <c r="E7456" s="144"/>
      <c r="F7456" s="373"/>
      <c r="I7456" s="70"/>
    </row>
    <row r="7457" spans="3:9" s="46" customFormat="1" x14ac:dyDescent="0.2">
      <c r="C7457" s="144"/>
      <c r="D7457" s="144"/>
      <c r="E7457" s="144"/>
      <c r="F7457" s="373"/>
      <c r="I7457" s="70"/>
    </row>
    <row r="7458" spans="3:9" s="46" customFormat="1" x14ac:dyDescent="0.2">
      <c r="C7458" s="144"/>
      <c r="D7458" s="144"/>
      <c r="E7458" s="144"/>
      <c r="F7458" s="373"/>
      <c r="I7458" s="70"/>
    </row>
    <row r="7459" spans="3:9" s="46" customFormat="1" x14ac:dyDescent="0.2">
      <c r="C7459" s="144"/>
      <c r="D7459" s="144"/>
      <c r="E7459" s="144"/>
      <c r="F7459" s="373"/>
      <c r="I7459" s="70"/>
    </row>
    <row r="7460" spans="3:9" s="46" customFormat="1" x14ac:dyDescent="0.2">
      <c r="C7460" s="144"/>
      <c r="D7460" s="144"/>
      <c r="E7460" s="144"/>
      <c r="F7460" s="373"/>
      <c r="I7460" s="70"/>
    </row>
    <row r="7461" spans="3:9" s="46" customFormat="1" x14ac:dyDescent="0.2">
      <c r="C7461" s="144"/>
      <c r="D7461" s="144"/>
      <c r="E7461" s="144"/>
      <c r="F7461" s="373"/>
      <c r="I7461" s="70"/>
    </row>
    <row r="7462" spans="3:9" s="46" customFormat="1" x14ac:dyDescent="0.2">
      <c r="C7462" s="144"/>
      <c r="D7462" s="144"/>
      <c r="E7462" s="144"/>
      <c r="F7462" s="373"/>
      <c r="I7462" s="70"/>
    </row>
    <row r="7463" spans="3:9" s="46" customFormat="1" x14ac:dyDescent="0.2">
      <c r="C7463" s="144"/>
      <c r="D7463" s="144"/>
      <c r="E7463" s="144"/>
      <c r="F7463" s="373"/>
      <c r="I7463" s="70"/>
    </row>
    <row r="7464" spans="3:9" s="46" customFormat="1" x14ac:dyDescent="0.2">
      <c r="C7464" s="144"/>
      <c r="D7464" s="144"/>
      <c r="E7464" s="144"/>
      <c r="F7464" s="373"/>
      <c r="I7464" s="70"/>
    </row>
    <row r="7465" spans="3:9" s="46" customFormat="1" x14ac:dyDescent="0.2">
      <c r="C7465" s="144"/>
      <c r="D7465" s="144"/>
      <c r="E7465" s="144"/>
      <c r="F7465" s="373"/>
      <c r="I7465" s="70"/>
    </row>
    <row r="7466" spans="3:9" s="46" customFormat="1" x14ac:dyDescent="0.2">
      <c r="C7466" s="144"/>
      <c r="D7466" s="144"/>
      <c r="E7466" s="144"/>
      <c r="F7466" s="373"/>
      <c r="I7466" s="70"/>
    </row>
    <row r="7467" spans="3:9" s="46" customFormat="1" x14ac:dyDescent="0.2">
      <c r="C7467" s="144"/>
      <c r="D7467" s="144"/>
      <c r="E7467" s="144"/>
      <c r="F7467" s="373"/>
      <c r="I7467" s="70"/>
    </row>
    <row r="7468" spans="3:9" s="46" customFormat="1" x14ac:dyDescent="0.2">
      <c r="C7468" s="144"/>
      <c r="D7468" s="144"/>
      <c r="E7468" s="144"/>
      <c r="F7468" s="373"/>
      <c r="I7468" s="70"/>
    </row>
    <row r="7469" spans="3:9" s="46" customFormat="1" x14ac:dyDescent="0.2">
      <c r="C7469" s="144"/>
      <c r="D7469" s="144"/>
      <c r="E7469" s="144"/>
      <c r="F7469" s="373"/>
      <c r="I7469" s="70"/>
    </row>
    <row r="7470" spans="3:9" s="46" customFormat="1" x14ac:dyDescent="0.2">
      <c r="C7470" s="144"/>
      <c r="D7470" s="144"/>
      <c r="E7470" s="144"/>
      <c r="F7470" s="373"/>
      <c r="I7470" s="70"/>
    </row>
    <row r="7471" spans="3:9" s="46" customFormat="1" x14ac:dyDescent="0.2">
      <c r="C7471" s="144"/>
      <c r="D7471" s="144"/>
      <c r="E7471" s="144"/>
      <c r="F7471" s="373"/>
      <c r="I7471" s="70"/>
    </row>
    <row r="7472" spans="3:9" s="46" customFormat="1" x14ac:dyDescent="0.2">
      <c r="C7472" s="144"/>
      <c r="D7472" s="144"/>
      <c r="E7472" s="144"/>
      <c r="F7472" s="373"/>
      <c r="I7472" s="70"/>
    </row>
    <row r="7473" spans="3:9" s="46" customFormat="1" x14ac:dyDescent="0.2">
      <c r="C7473" s="144"/>
      <c r="D7473" s="144"/>
      <c r="E7473" s="144"/>
      <c r="F7473" s="373"/>
      <c r="I7473" s="70"/>
    </row>
    <row r="7474" spans="3:9" s="46" customFormat="1" x14ac:dyDescent="0.2">
      <c r="C7474" s="144"/>
      <c r="D7474" s="144"/>
      <c r="E7474" s="144"/>
      <c r="F7474" s="373"/>
      <c r="I7474" s="70"/>
    </row>
    <row r="7475" spans="3:9" s="46" customFormat="1" x14ac:dyDescent="0.2">
      <c r="C7475" s="144"/>
      <c r="D7475" s="144"/>
      <c r="E7475" s="144"/>
      <c r="F7475" s="373"/>
      <c r="I7475" s="70"/>
    </row>
    <row r="7476" spans="3:9" s="46" customFormat="1" x14ac:dyDescent="0.2">
      <c r="C7476" s="144"/>
      <c r="D7476" s="144"/>
      <c r="E7476" s="144"/>
      <c r="F7476" s="373"/>
      <c r="I7476" s="70"/>
    </row>
    <row r="7477" spans="3:9" s="46" customFormat="1" x14ac:dyDescent="0.2">
      <c r="C7477" s="144"/>
      <c r="D7477" s="144"/>
      <c r="E7477" s="144"/>
      <c r="F7477" s="373"/>
      <c r="I7477" s="70"/>
    </row>
    <row r="7478" spans="3:9" s="46" customFormat="1" x14ac:dyDescent="0.2">
      <c r="C7478" s="144"/>
      <c r="D7478" s="144"/>
      <c r="E7478" s="144"/>
      <c r="F7478" s="373"/>
      <c r="I7478" s="70"/>
    </row>
    <row r="7479" spans="3:9" s="46" customFormat="1" x14ac:dyDescent="0.2">
      <c r="C7479" s="144"/>
      <c r="D7479" s="144"/>
      <c r="E7479" s="144"/>
      <c r="F7479" s="373"/>
      <c r="I7479" s="70"/>
    </row>
    <row r="7480" spans="3:9" s="46" customFormat="1" x14ac:dyDescent="0.2">
      <c r="C7480" s="144"/>
      <c r="D7480" s="144"/>
      <c r="E7480" s="144"/>
      <c r="F7480" s="373"/>
      <c r="I7480" s="70"/>
    </row>
    <row r="7481" spans="3:9" s="46" customFormat="1" x14ac:dyDescent="0.2">
      <c r="C7481" s="144"/>
      <c r="D7481" s="144"/>
      <c r="E7481" s="144"/>
      <c r="F7481" s="373"/>
      <c r="I7481" s="70"/>
    </row>
    <row r="7482" spans="3:9" s="46" customFormat="1" x14ac:dyDescent="0.2">
      <c r="C7482" s="144"/>
      <c r="D7482" s="144"/>
      <c r="E7482" s="144"/>
      <c r="F7482" s="373"/>
      <c r="I7482" s="70"/>
    </row>
    <row r="7483" spans="3:9" s="46" customFormat="1" x14ac:dyDescent="0.2">
      <c r="C7483" s="144"/>
      <c r="D7483" s="144"/>
      <c r="E7483" s="144"/>
      <c r="F7483" s="373"/>
      <c r="I7483" s="70"/>
    </row>
    <row r="7484" spans="3:9" s="46" customFormat="1" x14ac:dyDescent="0.2">
      <c r="C7484" s="144"/>
      <c r="D7484" s="144"/>
      <c r="E7484" s="144"/>
      <c r="F7484" s="373"/>
      <c r="I7484" s="70"/>
    </row>
    <row r="7485" spans="3:9" s="46" customFormat="1" x14ac:dyDescent="0.2">
      <c r="C7485" s="144"/>
      <c r="D7485" s="144"/>
      <c r="E7485" s="144"/>
      <c r="F7485" s="373"/>
      <c r="I7485" s="70"/>
    </row>
    <row r="7486" spans="3:9" s="46" customFormat="1" x14ac:dyDescent="0.2">
      <c r="C7486" s="144"/>
      <c r="D7486" s="144"/>
      <c r="E7486" s="144"/>
      <c r="F7486" s="373"/>
      <c r="I7486" s="70"/>
    </row>
    <row r="7487" spans="3:9" s="46" customFormat="1" x14ac:dyDescent="0.2">
      <c r="C7487" s="144"/>
      <c r="D7487" s="144"/>
      <c r="E7487" s="144"/>
      <c r="F7487" s="373"/>
      <c r="I7487" s="70"/>
    </row>
    <row r="7488" spans="3:9" s="46" customFormat="1" x14ac:dyDescent="0.2">
      <c r="C7488" s="144"/>
      <c r="D7488" s="144"/>
      <c r="E7488" s="144"/>
      <c r="F7488" s="373"/>
      <c r="I7488" s="70"/>
    </row>
    <row r="7489" spans="3:9" s="46" customFormat="1" x14ac:dyDescent="0.2">
      <c r="C7489" s="144"/>
      <c r="D7489" s="144"/>
      <c r="E7489" s="144"/>
      <c r="F7489" s="373"/>
      <c r="I7489" s="70"/>
    </row>
    <row r="7490" spans="3:9" s="46" customFormat="1" x14ac:dyDescent="0.2">
      <c r="C7490" s="144"/>
      <c r="D7490" s="144"/>
      <c r="E7490" s="144"/>
      <c r="F7490" s="373"/>
      <c r="I7490" s="70"/>
    </row>
    <row r="7491" spans="3:9" s="46" customFormat="1" x14ac:dyDescent="0.2">
      <c r="C7491" s="144"/>
      <c r="D7491" s="144"/>
      <c r="E7491" s="144"/>
      <c r="F7491" s="373"/>
      <c r="I7491" s="70"/>
    </row>
    <row r="7492" spans="3:9" s="46" customFormat="1" x14ac:dyDescent="0.2">
      <c r="C7492" s="144"/>
      <c r="D7492" s="144"/>
      <c r="E7492" s="144"/>
      <c r="F7492" s="373"/>
      <c r="I7492" s="70"/>
    </row>
    <row r="7493" spans="3:9" s="46" customFormat="1" x14ac:dyDescent="0.2">
      <c r="C7493" s="144"/>
      <c r="D7493" s="144"/>
      <c r="E7493" s="144"/>
      <c r="F7493" s="373"/>
      <c r="I7493" s="70"/>
    </row>
    <row r="7494" spans="3:9" s="46" customFormat="1" x14ac:dyDescent="0.2">
      <c r="C7494" s="144"/>
      <c r="D7494" s="144"/>
      <c r="E7494" s="144"/>
      <c r="F7494" s="373"/>
      <c r="I7494" s="70"/>
    </row>
    <row r="7495" spans="3:9" s="46" customFormat="1" x14ac:dyDescent="0.2">
      <c r="C7495" s="144"/>
      <c r="D7495" s="144"/>
      <c r="E7495" s="144"/>
      <c r="F7495" s="373"/>
      <c r="I7495" s="70"/>
    </row>
    <row r="7496" spans="3:9" s="46" customFormat="1" x14ac:dyDescent="0.2">
      <c r="C7496" s="144"/>
      <c r="D7496" s="144"/>
      <c r="E7496" s="144"/>
      <c r="F7496" s="373"/>
      <c r="I7496" s="70"/>
    </row>
    <row r="7497" spans="3:9" s="46" customFormat="1" x14ac:dyDescent="0.2">
      <c r="C7497" s="144"/>
      <c r="D7497" s="144"/>
      <c r="E7497" s="144"/>
      <c r="F7497" s="373"/>
      <c r="I7497" s="70"/>
    </row>
    <row r="7498" spans="3:9" s="46" customFormat="1" x14ac:dyDescent="0.2">
      <c r="C7498" s="144"/>
      <c r="D7498" s="144"/>
      <c r="E7498" s="144"/>
      <c r="F7498" s="373"/>
      <c r="I7498" s="70"/>
    </row>
    <row r="7499" spans="3:9" s="46" customFormat="1" x14ac:dyDescent="0.2">
      <c r="C7499" s="144"/>
      <c r="D7499" s="144"/>
      <c r="E7499" s="144"/>
      <c r="F7499" s="373"/>
      <c r="I7499" s="70"/>
    </row>
    <row r="7500" spans="3:9" s="46" customFormat="1" x14ac:dyDescent="0.2">
      <c r="C7500" s="144"/>
      <c r="D7500" s="144"/>
      <c r="E7500" s="144"/>
      <c r="F7500" s="373"/>
      <c r="I7500" s="70"/>
    </row>
    <row r="7501" spans="3:9" s="46" customFormat="1" x14ac:dyDescent="0.2">
      <c r="C7501" s="144"/>
      <c r="D7501" s="144"/>
      <c r="E7501" s="144"/>
      <c r="F7501" s="373"/>
      <c r="I7501" s="70"/>
    </row>
    <row r="7502" spans="3:9" s="46" customFormat="1" x14ac:dyDescent="0.2">
      <c r="C7502" s="144"/>
      <c r="D7502" s="144"/>
      <c r="E7502" s="144"/>
      <c r="F7502" s="373"/>
      <c r="I7502" s="70"/>
    </row>
    <row r="7503" spans="3:9" s="46" customFormat="1" x14ac:dyDescent="0.2">
      <c r="C7503" s="144"/>
      <c r="D7503" s="144"/>
      <c r="E7503" s="144"/>
      <c r="F7503" s="373"/>
      <c r="I7503" s="70"/>
    </row>
    <row r="7504" spans="3:9" s="46" customFormat="1" x14ac:dyDescent="0.2">
      <c r="C7504" s="144"/>
      <c r="D7504" s="144"/>
      <c r="E7504" s="144"/>
      <c r="F7504" s="373"/>
      <c r="I7504" s="70"/>
    </row>
    <row r="7505" spans="3:9" s="46" customFormat="1" x14ac:dyDescent="0.2">
      <c r="C7505" s="144"/>
      <c r="D7505" s="144"/>
      <c r="E7505" s="144"/>
      <c r="F7505" s="373"/>
      <c r="I7505" s="70"/>
    </row>
    <row r="7506" spans="3:9" s="46" customFormat="1" x14ac:dyDescent="0.2">
      <c r="C7506" s="144"/>
      <c r="D7506" s="144"/>
      <c r="E7506" s="144"/>
      <c r="F7506" s="373"/>
      <c r="I7506" s="70"/>
    </row>
    <row r="7507" spans="3:9" s="46" customFormat="1" x14ac:dyDescent="0.2">
      <c r="C7507" s="144"/>
      <c r="D7507" s="144"/>
      <c r="E7507" s="144"/>
      <c r="F7507" s="373"/>
      <c r="I7507" s="70"/>
    </row>
    <row r="7508" spans="3:9" s="46" customFormat="1" x14ac:dyDescent="0.2">
      <c r="C7508" s="144"/>
      <c r="D7508" s="144"/>
      <c r="E7508" s="144"/>
      <c r="F7508" s="373"/>
      <c r="I7508" s="70"/>
    </row>
    <row r="7509" spans="3:9" s="46" customFormat="1" x14ac:dyDescent="0.2">
      <c r="C7509" s="144"/>
      <c r="D7509" s="144"/>
      <c r="E7509" s="144"/>
      <c r="F7509" s="373"/>
      <c r="I7509" s="70"/>
    </row>
    <row r="7510" spans="3:9" s="46" customFormat="1" x14ac:dyDescent="0.2">
      <c r="C7510" s="144"/>
      <c r="D7510" s="144"/>
      <c r="E7510" s="144"/>
      <c r="F7510" s="373"/>
      <c r="I7510" s="70"/>
    </row>
    <row r="7511" spans="3:9" s="46" customFormat="1" x14ac:dyDescent="0.2">
      <c r="C7511" s="144"/>
      <c r="D7511" s="144"/>
      <c r="E7511" s="144"/>
      <c r="F7511" s="373"/>
      <c r="I7511" s="70"/>
    </row>
    <row r="7512" spans="3:9" s="46" customFormat="1" x14ac:dyDescent="0.2">
      <c r="C7512" s="144"/>
      <c r="D7512" s="144"/>
      <c r="E7512" s="144"/>
      <c r="F7512" s="373"/>
      <c r="I7512" s="70"/>
    </row>
    <row r="7513" spans="3:9" s="46" customFormat="1" x14ac:dyDescent="0.2">
      <c r="C7513" s="144"/>
      <c r="D7513" s="144"/>
      <c r="E7513" s="144"/>
      <c r="F7513" s="373"/>
      <c r="I7513" s="70"/>
    </row>
    <row r="7514" spans="3:9" s="46" customFormat="1" x14ac:dyDescent="0.2">
      <c r="C7514" s="144"/>
      <c r="D7514" s="144"/>
      <c r="E7514" s="144"/>
      <c r="F7514" s="373"/>
      <c r="I7514" s="70"/>
    </row>
    <row r="7515" spans="3:9" s="46" customFormat="1" x14ac:dyDescent="0.2">
      <c r="C7515" s="144"/>
      <c r="D7515" s="144"/>
      <c r="E7515" s="144"/>
      <c r="F7515" s="373"/>
      <c r="I7515" s="70"/>
    </row>
    <row r="7516" spans="3:9" s="46" customFormat="1" x14ac:dyDescent="0.2">
      <c r="C7516" s="144"/>
      <c r="D7516" s="144"/>
      <c r="E7516" s="144"/>
      <c r="F7516" s="373"/>
      <c r="I7516" s="70"/>
    </row>
    <row r="7517" spans="3:9" s="46" customFormat="1" x14ac:dyDescent="0.2">
      <c r="C7517" s="144"/>
      <c r="D7517" s="144"/>
      <c r="E7517" s="144"/>
      <c r="F7517" s="373"/>
      <c r="I7517" s="70"/>
    </row>
    <row r="7518" spans="3:9" s="46" customFormat="1" x14ac:dyDescent="0.2">
      <c r="C7518" s="144"/>
      <c r="D7518" s="144"/>
      <c r="E7518" s="144"/>
      <c r="F7518" s="373"/>
      <c r="I7518" s="70"/>
    </row>
    <row r="7519" spans="3:9" s="46" customFormat="1" x14ac:dyDescent="0.2">
      <c r="C7519" s="144"/>
      <c r="D7519" s="144"/>
      <c r="E7519" s="144"/>
      <c r="F7519" s="373"/>
      <c r="I7519" s="70"/>
    </row>
    <row r="7520" spans="3:9" s="46" customFormat="1" x14ac:dyDescent="0.2">
      <c r="C7520" s="144"/>
      <c r="D7520" s="144"/>
      <c r="E7520" s="144"/>
      <c r="F7520" s="373"/>
      <c r="I7520" s="70"/>
    </row>
    <row r="7521" spans="3:9" s="46" customFormat="1" x14ac:dyDescent="0.2">
      <c r="C7521" s="144"/>
      <c r="D7521" s="144"/>
      <c r="E7521" s="144"/>
      <c r="F7521" s="373"/>
      <c r="I7521" s="70"/>
    </row>
    <row r="7522" spans="3:9" s="46" customFormat="1" x14ac:dyDescent="0.2">
      <c r="C7522" s="144"/>
      <c r="D7522" s="144"/>
      <c r="E7522" s="144"/>
      <c r="F7522" s="373"/>
      <c r="I7522" s="70"/>
    </row>
    <row r="7523" spans="3:9" s="46" customFormat="1" x14ac:dyDescent="0.2">
      <c r="C7523" s="144"/>
      <c r="D7523" s="144"/>
      <c r="E7523" s="144"/>
      <c r="F7523" s="373"/>
      <c r="I7523" s="70"/>
    </row>
    <row r="7524" spans="3:9" s="46" customFormat="1" x14ac:dyDescent="0.2">
      <c r="C7524" s="144"/>
      <c r="D7524" s="144"/>
      <c r="E7524" s="144"/>
      <c r="F7524" s="373"/>
      <c r="I7524" s="70"/>
    </row>
    <row r="7525" spans="3:9" s="46" customFormat="1" x14ac:dyDescent="0.2">
      <c r="C7525" s="144"/>
      <c r="D7525" s="144"/>
      <c r="E7525" s="144"/>
      <c r="F7525" s="373"/>
      <c r="I7525" s="70"/>
    </row>
    <row r="7526" spans="3:9" s="46" customFormat="1" x14ac:dyDescent="0.2">
      <c r="C7526" s="144"/>
      <c r="D7526" s="144"/>
      <c r="E7526" s="144"/>
      <c r="F7526" s="373"/>
      <c r="I7526" s="70"/>
    </row>
    <row r="7527" spans="3:9" s="46" customFormat="1" x14ac:dyDescent="0.2">
      <c r="C7527" s="144"/>
      <c r="D7527" s="144"/>
      <c r="E7527" s="144"/>
      <c r="F7527" s="373"/>
      <c r="I7527" s="70"/>
    </row>
    <row r="7528" spans="3:9" s="46" customFormat="1" x14ac:dyDescent="0.2">
      <c r="C7528" s="144"/>
      <c r="D7528" s="144"/>
      <c r="E7528" s="144"/>
      <c r="F7528" s="373"/>
      <c r="I7528" s="70"/>
    </row>
    <row r="7529" spans="3:9" s="46" customFormat="1" x14ac:dyDescent="0.2">
      <c r="C7529" s="144"/>
      <c r="D7529" s="144"/>
      <c r="E7529" s="144"/>
      <c r="F7529" s="373"/>
      <c r="I7529" s="70"/>
    </row>
    <row r="7530" spans="3:9" s="46" customFormat="1" x14ac:dyDescent="0.2">
      <c r="C7530" s="144"/>
      <c r="D7530" s="144"/>
      <c r="E7530" s="144"/>
      <c r="F7530" s="373"/>
      <c r="I7530" s="70"/>
    </row>
    <row r="7531" spans="3:9" s="46" customFormat="1" x14ac:dyDescent="0.2">
      <c r="C7531" s="144"/>
      <c r="D7531" s="144"/>
      <c r="E7531" s="144"/>
      <c r="F7531" s="373"/>
      <c r="I7531" s="70"/>
    </row>
    <row r="7532" spans="3:9" s="46" customFormat="1" x14ac:dyDescent="0.2">
      <c r="C7532" s="144"/>
      <c r="D7532" s="144"/>
      <c r="E7532" s="144"/>
      <c r="F7532" s="373"/>
      <c r="I7532" s="70"/>
    </row>
    <row r="7533" spans="3:9" s="46" customFormat="1" x14ac:dyDescent="0.2">
      <c r="C7533" s="144"/>
      <c r="D7533" s="144"/>
      <c r="E7533" s="144"/>
      <c r="F7533" s="373"/>
      <c r="I7533" s="70"/>
    </row>
    <row r="7534" spans="3:9" s="46" customFormat="1" x14ac:dyDescent="0.2">
      <c r="C7534" s="144"/>
      <c r="D7534" s="144"/>
      <c r="E7534" s="144"/>
      <c r="F7534" s="373"/>
      <c r="I7534" s="70"/>
    </row>
    <row r="7535" spans="3:9" s="46" customFormat="1" x14ac:dyDescent="0.2">
      <c r="C7535" s="144"/>
      <c r="D7535" s="144"/>
      <c r="E7535" s="144"/>
      <c r="F7535" s="373"/>
      <c r="I7535" s="70"/>
    </row>
    <row r="7536" spans="3:9" s="46" customFormat="1" x14ac:dyDescent="0.2">
      <c r="C7536" s="144"/>
      <c r="D7536" s="144"/>
      <c r="E7536" s="144"/>
      <c r="F7536" s="373"/>
      <c r="I7536" s="70"/>
    </row>
    <row r="7537" spans="3:9" s="46" customFormat="1" x14ac:dyDescent="0.2">
      <c r="C7537" s="144"/>
      <c r="D7537" s="144"/>
      <c r="E7537" s="144"/>
      <c r="F7537" s="373"/>
      <c r="I7537" s="70"/>
    </row>
    <row r="7538" spans="3:9" s="46" customFormat="1" x14ac:dyDescent="0.2">
      <c r="C7538" s="144"/>
      <c r="D7538" s="144"/>
      <c r="E7538" s="144"/>
      <c r="F7538" s="373"/>
      <c r="I7538" s="70"/>
    </row>
    <row r="7539" spans="3:9" s="46" customFormat="1" x14ac:dyDescent="0.2">
      <c r="C7539" s="144"/>
      <c r="D7539" s="144"/>
      <c r="E7539" s="144"/>
      <c r="F7539" s="373"/>
      <c r="I7539" s="70"/>
    </row>
    <row r="7540" spans="3:9" s="46" customFormat="1" x14ac:dyDescent="0.2">
      <c r="C7540" s="144"/>
      <c r="D7540" s="144"/>
      <c r="E7540" s="144"/>
      <c r="F7540" s="373"/>
      <c r="I7540" s="70"/>
    </row>
    <row r="7541" spans="3:9" s="46" customFormat="1" x14ac:dyDescent="0.2">
      <c r="C7541" s="144"/>
      <c r="D7541" s="144"/>
      <c r="E7541" s="144"/>
      <c r="F7541" s="373"/>
      <c r="I7541" s="70"/>
    </row>
    <row r="7542" spans="3:9" s="46" customFormat="1" x14ac:dyDescent="0.2">
      <c r="C7542" s="144"/>
      <c r="D7542" s="144"/>
      <c r="E7542" s="144"/>
      <c r="F7542" s="373"/>
      <c r="I7542" s="70"/>
    </row>
    <row r="7543" spans="3:9" s="46" customFormat="1" x14ac:dyDescent="0.2">
      <c r="C7543" s="144"/>
      <c r="D7543" s="144"/>
      <c r="E7543" s="144"/>
      <c r="F7543" s="373"/>
      <c r="I7543" s="70"/>
    </row>
    <row r="7544" spans="3:9" s="46" customFormat="1" x14ac:dyDescent="0.2">
      <c r="C7544" s="144"/>
      <c r="D7544" s="144"/>
      <c r="E7544" s="144"/>
      <c r="F7544" s="373"/>
      <c r="I7544" s="70"/>
    </row>
    <row r="7545" spans="3:9" s="46" customFormat="1" x14ac:dyDescent="0.2">
      <c r="C7545" s="144"/>
      <c r="D7545" s="144"/>
      <c r="E7545" s="144"/>
      <c r="F7545" s="373"/>
      <c r="I7545" s="70"/>
    </row>
    <row r="7546" spans="3:9" s="46" customFormat="1" x14ac:dyDescent="0.2">
      <c r="C7546" s="144"/>
      <c r="D7546" s="144"/>
      <c r="E7546" s="144"/>
      <c r="F7546" s="373"/>
      <c r="I7546" s="70"/>
    </row>
    <row r="7547" spans="3:9" s="46" customFormat="1" x14ac:dyDescent="0.2">
      <c r="C7547" s="144"/>
      <c r="D7547" s="144"/>
      <c r="E7547" s="144"/>
      <c r="F7547" s="373"/>
      <c r="I7547" s="70"/>
    </row>
    <row r="7548" spans="3:9" s="46" customFormat="1" x14ac:dyDescent="0.2">
      <c r="C7548" s="144"/>
      <c r="D7548" s="144"/>
      <c r="E7548" s="144"/>
      <c r="F7548" s="373"/>
      <c r="I7548" s="70"/>
    </row>
    <row r="7549" spans="3:9" s="46" customFormat="1" x14ac:dyDescent="0.2">
      <c r="C7549" s="144"/>
      <c r="D7549" s="144"/>
      <c r="E7549" s="144"/>
      <c r="F7549" s="373"/>
      <c r="I7549" s="70"/>
    </row>
    <row r="7550" spans="3:9" s="46" customFormat="1" x14ac:dyDescent="0.2">
      <c r="C7550" s="144"/>
      <c r="D7550" s="144"/>
      <c r="E7550" s="144"/>
      <c r="F7550" s="373"/>
      <c r="I7550" s="70"/>
    </row>
    <row r="7551" spans="3:9" s="46" customFormat="1" x14ac:dyDescent="0.2">
      <c r="C7551" s="144"/>
      <c r="D7551" s="144"/>
      <c r="E7551" s="144"/>
      <c r="F7551" s="373"/>
      <c r="I7551" s="70"/>
    </row>
    <row r="7552" spans="3:9" s="46" customFormat="1" x14ac:dyDescent="0.2">
      <c r="C7552" s="144"/>
      <c r="D7552" s="144"/>
      <c r="E7552" s="144"/>
      <c r="F7552" s="373"/>
      <c r="I7552" s="70"/>
    </row>
    <row r="7553" spans="3:9" s="46" customFormat="1" x14ac:dyDescent="0.2">
      <c r="C7553" s="144"/>
      <c r="D7553" s="144"/>
      <c r="E7553" s="144"/>
      <c r="F7553" s="373"/>
      <c r="I7553" s="70"/>
    </row>
    <row r="7554" spans="3:9" s="46" customFormat="1" x14ac:dyDescent="0.2">
      <c r="C7554" s="144"/>
      <c r="D7554" s="144"/>
      <c r="E7554" s="144"/>
      <c r="F7554" s="373"/>
      <c r="I7554" s="70"/>
    </row>
    <row r="7555" spans="3:9" s="46" customFormat="1" x14ac:dyDescent="0.2">
      <c r="C7555" s="144"/>
      <c r="D7555" s="144"/>
      <c r="E7555" s="144"/>
      <c r="F7555" s="373"/>
      <c r="I7555" s="70"/>
    </row>
    <row r="7556" spans="3:9" s="46" customFormat="1" x14ac:dyDescent="0.2">
      <c r="C7556" s="144"/>
      <c r="D7556" s="144"/>
      <c r="E7556" s="144"/>
      <c r="F7556" s="373"/>
      <c r="I7556" s="70"/>
    </row>
    <row r="7557" spans="3:9" s="46" customFormat="1" x14ac:dyDescent="0.2">
      <c r="C7557" s="144"/>
      <c r="D7557" s="144"/>
      <c r="E7557" s="144"/>
      <c r="F7557" s="373"/>
      <c r="I7557" s="70"/>
    </row>
    <row r="7558" spans="3:9" s="46" customFormat="1" x14ac:dyDescent="0.2">
      <c r="C7558" s="144"/>
      <c r="D7558" s="144"/>
      <c r="E7558" s="144"/>
      <c r="F7558" s="373"/>
      <c r="I7558" s="70"/>
    </row>
    <row r="7559" spans="3:9" s="46" customFormat="1" x14ac:dyDescent="0.2">
      <c r="C7559" s="144"/>
      <c r="D7559" s="144"/>
      <c r="E7559" s="144"/>
      <c r="F7559" s="373"/>
      <c r="I7559" s="70"/>
    </row>
    <row r="7560" spans="3:9" s="46" customFormat="1" x14ac:dyDescent="0.2">
      <c r="C7560" s="144"/>
      <c r="D7560" s="144"/>
      <c r="E7560" s="144"/>
      <c r="F7560" s="373"/>
      <c r="I7560" s="70"/>
    </row>
    <row r="7561" spans="3:9" s="46" customFormat="1" x14ac:dyDescent="0.2">
      <c r="C7561" s="144"/>
      <c r="D7561" s="144"/>
      <c r="E7561" s="144"/>
      <c r="F7561" s="373"/>
      <c r="I7561" s="70"/>
    </row>
    <row r="7562" spans="3:9" s="46" customFormat="1" x14ac:dyDescent="0.2">
      <c r="C7562" s="144"/>
      <c r="D7562" s="144"/>
      <c r="E7562" s="144"/>
      <c r="F7562" s="373"/>
      <c r="I7562" s="70"/>
    </row>
    <row r="7563" spans="3:9" s="46" customFormat="1" x14ac:dyDescent="0.2">
      <c r="C7563" s="144"/>
      <c r="D7563" s="144"/>
      <c r="E7563" s="144"/>
      <c r="F7563" s="373"/>
      <c r="I7563" s="70"/>
    </row>
    <row r="7564" spans="3:9" s="46" customFormat="1" x14ac:dyDescent="0.2">
      <c r="C7564" s="144"/>
      <c r="D7564" s="144"/>
      <c r="E7564" s="144"/>
      <c r="F7564" s="373"/>
      <c r="I7564" s="70"/>
    </row>
    <row r="7565" spans="3:9" s="46" customFormat="1" x14ac:dyDescent="0.2">
      <c r="C7565" s="144"/>
      <c r="D7565" s="144"/>
      <c r="E7565" s="144"/>
      <c r="F7565" s="373"/>
      <c r="I7565" s="70"/>
    </row>
    <row r="7566" spans="3:9" s="46" customFormat="1" x14ac:dyDescent="0.2">
      <c r="C7566" s="144"/>
      <c r="D7566" s="144"/>
      <c r="E7566" s="144"/>
      <c r="F7566" s="373"/>
      <c r="I7566" s="70"/>
    </row>
    <row r="7567" spans="3:9" s="46" customFormat="1" x14ac:dyDescent="0.2">
      <c r="C7567" s="144"/>
      <c r="D7567" s="144"/>
      <c r="E7567" s="144"/>
      <c r="F7567" s="373"/>
      <c r="I7567" s="70"/>
    </row>
    <row r="7568" spans="3:9" s="46" customFormat="1" x14ac:dyDescent="0.2">
      <c r="C7568" s="144"/>
      <c r="D7568" s="144"/>
      <c r="E7568" s="144"/>
      <c r="F7568" s="373"/>
      <c r="I7568" s="70"/>
    </row>
    <row r="7569" spans="3:9" s="46" customFormat="1" x14ac:dyDescent="0.2">
      <c r="C7569" s="144"/>
      <c r="D7569" s="144"/>
      <c r="E7569" s="144"/>
      <c r="F7569" s="373"/>
      <c r="I7569" s="70"/>
    </row>
    <row r="7570" spans="3:9" s="46" customFormat="1" x14ac:dyDescent="0.2">
      <c r="C7570" s="144"/>
      <c r="D7570" s="144"/>
      <c r="E7570" s="144"/>
      <c r="F7570" s="373"/>
      <c r="I7570" s="70"/>
    </row>
    <row r="7571" spans="3:9" s="46" customFormat="1" x14ac:dyDescent="0.2">
      <c r="C7571" s="144"/>
      <c r="D7571" s="144"/>
      <c r="E7571" s="144"/>
      <c r="F7571" s="373"/>
      <c r="I7571" s="70"/>
    </row>
    <row r="7572" spans="3:9" s="46" customFormat="1" x14ac:dyDescent="0.2">
      <c r="C7572" s="144"/>
      <c r="D7572" s="144"/>
      <c r="E7572" s="144"/>
      <c r="F7572" s="373"/>
      <c r="I7572" s="70"/>
    </row>
    <row r="7573" spans="3:9" s="46" customFormat="1" x14ac:dyDescent="0.2">
      <c r="C7573" s="144"/>
      <c r="D7573" s="144"/>
      <c r="E7573" s="144"/>
      <c r="F7573" s="373"/>
      <c r="I7573" s="70"/>
    </row>
    <row r="7574" spans="3:9" s="46" customFormat="1" x14ac:dyDescent="0.2">
      <c r="C7574" s="144"/>
      <c r="D7574" s="144"/>
      <c r="E7574" s="144"/>
      <c r="F7574" s="373"/>
      <c r="I7574" s="70"/>
    </row>
    <row r="7575" spans="3:9" s="46" customFormat="1" x14ac:dyDescent="0.2">
      <c r="C7575" s="144"/>
      <c r="D7575" s="144"/>
      <c r="E7575" s="144"/>
      <c r="F7575" s="373"/>
      <c r="I7575" s="70"/>
    </row>
    <row r="7576" spans="3:9" s="46" customFormat="1" x14ac:dyDescent="0.2">
      <c r="C7576" s="144"/>
      <c r="D7576" s="144"/>
      <c r="E7576" s="144"/>
      <c r="F7576" s="373"/>
      <c r="I7576" s="70"/>
    </row>
    <row r="7577" spans="3:9" s="46" customFormat="1" x14ac:dyDescent="0.2">
      <c r="C7577" s="144"/>
      <c r="D7577" s="144"/>
      <c r="E7577" s="144"/>
      <c r="F7577" s="373"/>
      <c r="I7577" s="70"/>
    </row>
    <row r="7578" spans="3:9" s="46" customFormat="1" x14ac:dyDescent="0.2">
      <c r="C7578" s="144"/>
      <c r="D7578" s="144"/>
      <c r="E7578" s="144"/>
      <c r="F7578" s="373"/>
      <c r="I7578" s="70"/>
    </row>
    <row r="7579" spans="3:9" s="46" customFormat="1" x14ac:dyDescent="0.2">
      <c r="C7579" s="144"/>
      <c r="D7579" s="144"/>
      <c r="E7579" s="144"/>
      <c r="F7579" s="373"/>
      <c r="I7579" s="70"/>
    </row>
    <row r="7580" spans="3:9" s="46" customFormat="1" x14ac:dyDescent="0.2">
      <c r="C7580" s="144"/>
      <c r="D7580" s="144"/>
      <c r="E7580" s="144"/>
      <c r="F7580" s="373"/>
      <c r="I7580" s="70"/>
    </row>
    <row r="7581" spans="3:9" s="46" customFormat="1" x14ac:dyDescent="0.2">
      <c r="C7581" s="144"/>
      <c r="D7581" s="144"/>
      <c r="E7581" s="144"/>
      <c r="F7581" s="373"/>
      <c r="I7581" s="70"/>
    </row>
    <row r="7582" spans="3:9" s="46" customFormat="1" x14ac:dyDescent="0.2">
      <c r="C7582" s="144"/>
      <c r="D7582" s="144"/>
      <c r="E7582" s="144"/>
      <c r="F7582" s="373"/>
      <c r="I7582" s="70"/>
    </row>
    <row r="7583" spans="3:9" s="46" customFormat="1" x14ac:dyDescent="0.2">
      <c r="C7583" s="144"/>
      <c r="D7583" s="144"/>
      <c r="E7583" s="144"/>
      <c r="F7583" s="373"/>
      <c r="I7583" s="70"/>
    </row>
    <row r="7584" spans="3:9" s="46" customFormat="1" x14ac:dyDescent="0.2">
      <c r="C7584" s="144"/>
      <c r="D7584" s="144"/>
      <c r="E7584" s="144"/>
      <c r="F7584" s="373"/>
      <c r="I7584" s="70"/>
    </row>
    <row r="7585" spans="3:9" s="46" customFormat="1" x14ac:dyDescent="0.2">
      <c r="C7585" s="144"/>
      <c r="D7585" s="144"/>
      <c r="E7585" s="144"/>
      <c r="F7585" s="373"/>
      <c r="I7585" s="70"/>
    </row>
    <row r="7586" spans="3:9" s="46" customFormat="1" x14ac:dyDescent="0.2">
      <c r="C7586" s="144"/>
      <c r="D7586" s="144"/>
      <c r="E7586" s="144"/>
      <c r="F7586" s="373"/>
      <c r="I7586" s="70"/>
    </row>
    <row r="7587" spans="3:9" s="46" customFormat="1" x14ac:dyDescent="0.2">
      <c r="C7587" s="144"/>
      <c r="D7587" s="144"/>
      <c r="E7587" s="144"/>
      <c r="F7587" s="373"/>
      <c r="I7587" s="70"/>
    </row>
    <row r="7588" spans="3:9" s="46" customFormat="1" x14ac:dyDescent="0.2">
      <c r="C7588" s="144"/>
      <c r="D7588" s="144"/>
      <c r="E7588" s="144"/>
      <c r="F7588" s="373"/>
      <c r="I7588" s="70"/>
    </row>
    <row r="7589" spans="3:9" s="46" customFormat="1" x14ac:dyDescent="0.2">
      <c r="C7589" s="144"/>
      <c r="D7589" s="144"/>
      <c r="E7589" s="144"/>
      <c r="F7589" s="373"/>
      <c r="I7589" s="70"/>
    </row>
    <row r="7590" spans="3:9" s="46" customFormat="1" x14ac:dyDescent="0.2">
      <c r="C7590" s="144"/>
      <c r="D7590" s="144"/>
      <c r="E7590" s="144"/>
      <c r="F7590" s="373"/>
      <c r="I7590" s="70"/>
    </row>
    <row r="7591" spans="3:9" s="46" customFormat="1" x14ac:dyDescent="0.2">
      <c r="C7591" s="144"/>
      <c r="D7591" s="144"/>
      <c r="E7591" s="144"/>
      <c r="F7591" s="373"/>
      <c r="I7591" s="70"/>
    </row>
    <row r="7592" spans="3:9" s="46" customFormat="1" x14ac:dyDescent="0.2">
      <c r="C7592" s="144"/>
      <c r="D7592" s="144"/>
      <c r="E7592" s="144"/>
      <c r="F7592" s="373"/>
      <c r="I7592" s="70"/>
    </row>
    <row r="7593" spans="3:9" s="46" customFormat="1" x14ac:dyDescent="0.2">
      <c r="C7593" s="144"/>
      <c r="D7593" s="144"/>
      <c r="E7593" s="144"/>
      <c r="F7593" s="373"/>
      <c r="I7593" s="70"/>
    </row>
    <row r="7594" spans="3:9" s="46" customFormat="1" x14ac:dyDescent="0.2">
      <c r="C7594" s="144"/>
      <c r="D7594" s="144"/>
      <c r="E7594" s="144"/>
      <c r="F7594" s="373"/>
      <c r="I7594" s="70"/>
    </row>
    <row r="7595" spans="3:9" s="46" customFormat="1" x14ac:dyDescent="0.2">
      <c r="C7595" s="144"/>
      <c r="D7595" s="144"/>
      <c r="E7595" s="144"/>
      <c r="F7595" s="373"/>
      <c r="I7595" s="70"/>
    </row>
    <row r="7596" spans="3:9" s="46" customFormat="1" x14ac:dyDescent="0.2">
      <c r="C7596" s="144"/>
      <c r="D7596" s="144"/>
      <c r="E7596" s="144"/>
      <c r="F7596" s="373"/>
      <c r="I7596" s="70"/>
    </row>
    <row r="7597" spans="3:9" s="46" customFormat="1" x14ac:dyDescent="0.2">
      <c r="C7597" s="144"/>
      <c r="D7597" s="144"/>
      <c r="E7597" s="144"/>
      <c r="F7597" s="373"/>
      <c r="I7597" s="70"/>
    </row>
    <row r="7598" spans="3:9" s="46" customFormat="1" x14ac:dyDescent="0.2">
      <c r="C7598" s="144"/>
      <c r="D7598" s="144"/>
      <c r="E7598" s="144"/>
      <c r="F7598" s="373"/>
      <c r="I7598" s="70"/>
    </row>
    <row r="7599" spans="3:9" s="46" customFormat="1" x14ac:dyDescent="0.2">
      <c r="C7599" s="144"/>
      <c r="D7599" s="144"/>
      <c r="E7599" s="144"/>
      <c r="F7599" s="373"/>
      <c r="I7599" s="70"/>
    </row>
    <row r="7600" spans="3:9" s="46" customFormat="1" x14ac:dyDescent="0.2">
      <c r="C7600" s="144"/>
      <c r="D7600" s="144"/>
      <c r="E7600" s="144"/>
      <c r="F7600" s="373"/>
      <c r="I7600" s="70"/>
    </row>
    <row r="7601" spans="3:9" s="46" customFormat="1" x14ac:dyDescent="0.2">
      <c r="C7601" s="144"/>
      <c r="D7601" s="144"/>
      <c r="E7601" s="144"/>
      <c r="F7601" s="373"/>
      <c r="I7601" s="70"/>
    </row>
    <row r="7602" spans="3:9" s="46" customFormat="1" x14ac:dyDescent="0.2">
      <c r="C7602" s="144"/>
      <c r="D7602" s="144"/>
      <c r="E7602" s="144"/>
      <c r="F7602" s="373"/>
      <c r="I7602" s="70"/>
    </row>
    <row r="7603" spans="3:9" s="46" customFormat="1" x14ac:dyDescent="0.2">
      <c r="C7603" s="144"/>
      <c r="D7603" s="144"/>
      <c r="E7603" s="144"/>
      <c r="F7603" s="373"/>
      <c r="I7603" s="70"/>
    </row>
    <row r="7604" spans="3:9" s="46" customFormat="1" x14ac:dyDescent="0.2">
      <c r="C7604" s="144"/>
      <c r="D7604" s="144"/>
      <c r="E7604" s="144"/>
      <c r="F7604" s="373"/>
      <c r="I7604" s="70"/>
    </row>
    <row r="7605" spans="3:9" s="46" customFormat="1" x14ac:dyDescent="0.2">
      <c r="C7605" s="144"/>
      <c r="D7605" s="144"/>
      <c r="E7605" s="144"/>
      <c r="F7605" s="373"/>
      <c r="I7605" s="70"/>
    </row>
    <row r="7606" spans="3:9" s="46" customFormat="1" x14ac:dyDescent="0.2">
      <c r="C7606" s="144"/>
      <c r="D7606" s="144"/>
      <c r="E7606" s="144"/>
      <c r="F7606" s="373"/>
      <c r="I7606" s="70"/>
    </row>
    <row r="7607" spans="3:9" s="46" customFormat="1" x14ac:dyDescent="0.2">
      <c r="C7607" s="144"/>
      <c r="D7607" s="144"/>
      <c r="E7607" s="144"/>
      <c r="F7607" s="373"/>
      <c r="I7607" s="70"/>
    </row>
    <row r="7608" spans="3:9" s="46" customFormat="1" x14ac:dyDescent="0.2">
      <c r="C7608" s="144"/>
      <c r="D7608" s="144"/>
      <c r="E7608" s="144"/>
      <c r="F7608" s="373"/>
      <c r="I7608" s="70"/>
    </row>
    <row r="7609" spans="3:9" s="46" customFormat="1" x14ac:dyDescent="0.2">
      <c r="C7609" s="144"/>
      <c r="D7609" s="144"/>
      <c r="E7609" s="144"/>
      <c r="F7609" s="373"/>
      <c r="I7609" s="70"/>
    </row>
    <row r="7610" spans="3:9" s="46" customFormat="1" x14ac:dyDescent="0.2">
      <c r="C7610" s="144"/>
      <c r="D7610" s="144"/>
      <c r="E7610" s="144"/>
      <c r="F7610" s="373"/>
      <c r="I7610" s="70"/>
    </row>
    <row r="7611" spans="3:9" s="46" customFormat="1" x14ac:dyDescent="0.2">
      <c r="C7611" s="144"/>
      <c r="D7611" s="144"/>
      <c r="E7611" s="144"/>
      <c r="F7611" s="373"/>
      <c r="I7611" s="70"/>
    </row>
    <row r="7612" spans="3:9" s="46" customFormat="1" x14ac:dyDescent="0.2">
      <c r="C7612" s="144"/>
      <c r="D7612" s="144"/>
      <c r="E7612" s="144"/>
      <c r="F7612" s="373"/>
      <c r="I7612" s="70"/>
    </row>
    <row r="7613" spans="3:9" s="46" customFormat="1" x14ac:dyDescent="0.2">
      <c r="C7613" s="144"/>
      <c r="D7613" s="144"/>
      <c r="E7613" s="144"/>
      <c r="F7613" s="373"/>
      <c r="I7613" s="70"/>
    </row>
    <row r="7614" spans="3:9" s="46" customFormat="1" x14ac:dyDescent="0.2">
      <c r="C7614" s="144"/>
      <c r="D7614" s="144"/>
      <c r="E7614" s="144"/>
      <c r="F7614" s="373"/>
      <c r="I7614" s="70"/>
    </row>
    <row r="7615" spans="3:9" s="46" customFormat="1" x14ac:dyDescent="0.2">
      <c r="C7615" s="144"/>
      <c r="D7615" s="144"/>
      <c r="E7615" s="144"/>
      <c r="F7615" s="373"/>
      <c r="I7615" s="70"/>
    </row>
    <row r="7616" spans="3:9" s="46" customFormat="1" x14ac:dyDescent="0.2">
      <c r="C7616" s="144"/>
      <c r="D7616" s="144"/>
      <c r="E7616" s="144"/>
      <c r="F7616" s="373"/>
      <c r="I7616" s="70"/>
    </row>
    <row r="7617" spans="3:9" s="46" customFormat="1" x14ac:dyDescent="0.2">
      <c r="C7617" s="144"/>
      <c r="D7617" s="144"/>
      <c r="E7617" s="144"/>
      <c r="F7617" s="373"/>
      <c r="I7617" s="70"/>
    </row>
    <row r="7618" spans="3:9" s="46" customFormat="1" x14ac:dyDescent="0.2">
      <c r="C7618" s="144"/>
      <c r="D7618" s="144"/>
      <c r="E7618" s="144"/>
      <c r="F7618" s="373"/>
      <c r="I7618" s="70"/>
    </row>
    <row r="7619" spans="3:9" s="46" customFormat="1" x14ac:dyDescent="0.2">
      <c r="C7619" s="144"/>
      <c r="D7619" s="144"/>
      <c r="E7619" s="144"/>
      <c r="F7619" s="373"/>
      <c r="I7619" s="70"/>
    </row>
    <row r="7620" spans="3:9" s="46" customFormat="1" x14ac:dyDescent="0.2">
      <c r="C7620" s="144"/>
      <c r="D7620" s="144"/>
      <c r="E7620" s="144"/>
      <c r="F7620" s="373"/>
      <c r="I7620" s="70"/>
    </row>
    <row r="7621" spans="3:9" s="46" customFormat="1" x14ac:dyDescent="0.2">
      <c r="C7621" s="144"/>
      <c r="D7621" s="144"/>
      <c r="E7621" s="144"/>
      <c r="F7621" s="373"/>
      <c r="I7621" s="70"/>
    </row>
    <row r="7622" spans="3:9" s="46" customFormat="1" x14ac:dyDescent="0.2">
      <c r="C7622" s="144"/>
      <c r="D7622" s="144"/>
      <c r="E7622" s="144"/>
      <c r="F7622" s="373"/>
      <c r="I7622" s="70"/>
    </row>
    <row r="7623" spans="3:9" s="46" customFormat="1" x14ac:dyDescent="0.2">
      <c r="C7623" s="144"/>
      <c r="D7623" s="144"/>
      <c r="E7623" s="144"/>
      <c r="F7623" s="373"/>
      <c r="I7623" s="70"/>
    </row>
    <row r="7624" spans="3:9" s="46" customFormat="1" x14ac:dyDescent="0.2">
      <c r="C7624" s="144"/>
      <c r="D7624" s="144"/>
      <c r="E7624" s="144"/>
      <c r="F7624" s="373"/>
      <c r="I7624" s="70"/>
    </row>
    <row r="7625" spans="3:9" s="46" customFormat="1" x14ac:dyDescent="0.2">
      <c r="C7625" s="144"/>
      <c r="D7625" s="144"/>
      <c r="E7625" s="144"/>
      <c r="F7625" s="373"/>
      <c r="I7625" s="70"/>
    </row>
    <row r="7626" spans="3:9" s="46" customFormat="1" x14ac:dyDescent="0.2">
      <c r="C7626" s="144"/>
      <c r="D7626" s="144"/>
      <c r="E7626" s="144"/>
      <c r="F7626" s="373"/>
      <c r="I7626" s="70"/>
    </row>
    <row r="7627" spans="3:9" s="46" customFormat="1" x14ac:dyDescent="0.2">
      <c r="C7627" s="144"/>
      <c r="D7627" s="144"/>
      <c r="E7627" s="144"/>
      <c r="F7627" s="373"/>
      <c r="I7627" s="70"/>
    </row>
    <row r="7628" spans="3:9" s="46" customFormat="1" x14ac:dyDescent="0.2">
      <c r="C7628" s="144"/>
      <c r="D7628" s="144"/>
      <c r="E7628" s="144"/>
      <c r="F7628" s="373"/>
      <c r="I7628" s="70"/>
    </row>
    <row r="7629" spans="3:9" s="46" customFormat="1" x14ac:dyDescent="0.2">
      <c r="C7629" s="144"/>
      <c r="D7629" s="144"/>
      <c r="E7629" s="144"/>
      <c r="F7629" s="373"/>
      <c r="I7629" s="70"/>
    </row>
    <row r="7630" spans="3:9" s="46" customFormat="1" x14ac:dyDescent="0.2">
      <c r="C7630" s="144"/>
      <c r="D7630" s="144"/>
      <c r="E7630" s="144"/>
      <c r="F7630" s="373"/>
      <c r="I7630" s="70"/>
    </row>
    <row r="7631" spans="3:9" s="46" customFormat="1" x14ac:dyDescent="0.2">
      <c r="C7631" s="144"/>
      <c r="D7631" s="144"/>
      <c r="E7631" s="144"/>
      <c r="F7631" s="373"/>
      <c r="I7631" s="70"/>
    </row>
    <row r="7632" spans="3:9" s="46" customFormat="1" x14ac:dyDescent="0.2">
      <c r="C7632" s="144"/>
      <c r="D7632" s="144"/>
      <c r="E7632" s="144"/>
      <c r="F7632" s="373"/>
      <c r="I7632" s="70"/>
    </row>
    <row r="7633" spans="3:9" s="46" customFormat="1" x14ac:dyDescent="0.2">
      <c r="C7633" s="144"/>
      <c r="D7633" s="144"/>
      <c r="E7633" s="144"/>
      <c r="F7633" s="373"/>
      <c r="I7633" s="70"/>
    </row>
    <row r="7634" spans="3:9" s="46" customFormat="1" x14ac:dyDescent="0.2">
      <c r="C7634" s="144"/>
      <c r="D7634" s="144"/>
      <c r="E7634" s="144"/>
      <c r="F7634" s="373"/>
      <c r="I7634" s="70"/>
    </row>
    <row r="7635" spans="3:9" s="46" customFormat="1" x14ac:dyDescent="0.2">
      <c r="C7635" s="144"/>
      <c r="D7635" s="144"/>
      <c r="E7635" s="144"/>
      <c r="F7635" s="373"/>
      <c r="I7635" s="70"/>
    </row>
    <row r="7636" spans="3:9" s="46" customFormat="1" x14ac:dyDescent="0.2">
      <c r="C7636" s="144"/>
      <c r="D7636" s="144"/>
      <c r="E7636" s="144"/>
      <c r="F7636" s="373"/>
      <c r="I7636" s="70"/>
    </row>
    <row r="7637" spans="3:9" s="46" customFormat="1" x14ac:dyDescent="0.2">
      <c r="C7637" s="144"/>
      <c r="D7637" s="144"/>
      <c r="E7637" s="144"/>
      <c r="F7637" s="373"/>
      <c r="I7637" s="70"/>
    </row>
    <row r="7638" spans="3:9" s="46" customFormat="1" x14ac:dyDescent="0.2">
      <c r="C7638" s="144"/>
      <c r="D7638" s="144"/>
      <c r="E7638" s="144"/>
      <c r="F7638" s="373"/>
      <c r="I7638" s="70"/>
    </row>
    <row r="7639" spans="3:9" s="46" customFormat="1" x14ac:dyDescent="0.2">
      <c r="C7639" s="144"/>
      <c r="D7639" s="144"/>
      <c r="E7639" s="144"/>
      <c r="F7639" s="373"/>
      <c r="I7639" s="70"/>
    </row>
    <row r="7640" spans="3:9" s="46" customFormat="1" x14ac:dyDescent="0.2">
      <c r="C7640" s="144"/>
      <c r="D7640" s="144"/>
      <c r="E7640" s="144"/>
      <c r="F7640" s="373"/>
      <c r="I7640" s="70"/>
    </row>
    <row r="7641" spans="3:9" s="46" customFormat="1" x14ac:dyDescent="0.2">
      <c r="C7641" s="144"/>
      <c r="D7641" s="144"/>
      <c r="E7641" s="144"/>
      <c r="F7641" s="373"/>
      <c r="I7641" s="70"/>
    </row>
    <row r="7642" spans="3:9" s="46" customFormat="1" x14ac:dyDescent="0.2">
      <c r="C7642" s="144"/>
      <c r="D7642" s="144"/>
      <c r="E7642" s="144"/>
      <c r="F7642" s="373"/>
      <c r="I7642" s="70"/>
    </row>
    <row r="7643" spans="3:9" s="46" customFormat="1" x14ac:dyDescent="0.2">
      <c r="C7643" s="144"/>
      <c r="D7643" s="144"/>
      <c r="E7643" s="144"/>
      <c r="F7643" s="373"/>
      <c r="I7643" s="70"/>
    </row>
    <row r="7644" spans="3:9" s="46" customFormat="1" x14ac:dyDescent="0.2">
      <c r="C7644" s="144"/>
      <c r="D7644" s="144"/>
      <c r="E7644" s="144"/>
      <c r="F7644" s="373"/>
      <c r="I7644" s="70"/>
    </row>
    <row r="7645" spans="3:9" s="46" customFormat="1" x14ac:dyDescent="0.2">
      <c r="C7645" s="144"/>
      <c r="D7645" s="144"/>
      <c r="E7645" s="144"/>
      <c r="F7645" s="373"/>
      <c r="I7645" s="70"/>
    </row>
    <row r="7646" spans="3:9" s="46" customFormat="1" x14ac:dyDescent="0.2">
      <c r="C7646" s="144"/>
      <c r="D7646" s="144"/>
      <c r="E7646" s="144"/>
      <c r="F7646" s="373"/>
      <c r="I7646" s="70"/>
    </row>
    <row r="7647" spans="3:9" s="46" customFormat="1" x14ac:dyDescent="0.2">
      <c r="C7647" s="144"/>
      <c r="D7647" s="144"/>
      <c r="E7647" s="144"/>
      <c r="F7647" s="373"/>
      <c r="I7647" s="70"/>
    </row>
    <row r="7648" spans="3:9" s="46" customFormat="1" x14ac:dyDescent="0.2">
      <c r="C7648" s="144"/>
      <c r="D7648" s="144"/>
      <c r="E7648" s="144"/>
      <c r="F7648" s="373"/>
      <c r="I7648" s="70"/>
    </row>
    <row r="7649" spans="3:9" s="46" customFormat="1" x14ac:dyDescent="0.2">
      <c r="C7649" s="144"/>
      <c r="D7649" s="144"/>
      <c r="E7649" s="144"/>
      <c r="F7649" s="373"/>
      <c r="I7649" s="70"/>
    </row>
    <row r="7650" spans="3:9" s="46" customFormat="1" x14ac:dyDescent="0.2">
      <c r="C7650" s="144"/>
      <c r="D7650" s="144"/>
      <c r="E7650" s="144"/>
      <c r="F7650" s="373"/>
      <c r="I7650" s="70"/>
    </row>
    <row r="7651" spans="3:9" s="46" customFormat="1" x14ac:dyDescent="0.2">
      <c r="C7651" s="144"/>
      <c r="D7651" s="144"/>
      <c r="E7651" s="144"/>
      <c r="F7651" s="373"/>
      <c r="I7651" s="70"/>
    </row>
    <row r="7652" spans="3:9" s="46" customFormat="1" x14ac:dyDescent="0.2">
      <c r="C7652" s="144"/>
      <c r="D7652" s="144"/>
      <c r="E7652" s="144"/>
      <c r="F7652" s="373"/>
      <c r="I7652" s="70"/>
    </row>
    <row r="7653" spans="3:9" s="46" customFormat="1" x14ac:dyDescent="0.2">
      <c r="C7653" s="144"/>
      <c r="D7653" s="144"/>
      <c r="E7653" s="144"/>
      <c r="F7653" s="373"/>
      <c r="I7653" s="70"/>
    </row>
    <row r="7654" spans="3:9" s="46" customFormat="1" x14ac:dyDescent="0.2">
      <c r="C7654" s="144"/>
      <c r="D7654" s="144"/>
      <c r="E7654" s="144"/>
      <c r="F7654" s="373"/>
      <c r="I7654" s="70"/>
    </row>
    <row r="7655" spans="3:9" s="46" customFormat="1" x14ac:dyDescent="0.2">
      <c r="C7655" s="144"/>
      <c r="D7655" s="144"/>
      <c r="E7655" s="144"/>
      <c r="F7655" s="373"/>
      <c r="I7655" s="70"/>
    </row>
    <row r="7656" spans="3:9" s="46" customFormat="1" x14ac:dyDescent="0.2">
      <c r="C7656" s="144"/>
      <c r="D7656" s="144"/>
      <c r="E7656" s="144"/>
      <c r="F7656" s="373"/>
      <c r="I7656" s="70"/>
    </row>
    <row r="7657" spans="3:9" s="46" customFormat="1" x14ac:dyDescent="0.2">
      <c r="C7657" s="144"/>
      <c r="D7657" s="144"/>
      <c r="E7657" s="144"/>
      <c r="F7657" s="373"/>
      <c r="I7657" s="70"/>
    </row>
    <row r="7658" spans="3:9" s="46" customFormat="1" x14ac:dyDescent="0.2">
      <c r="C7658" s="144"/>
      <c r="D7658" s="144"/>
      <c r="E7658" s="144"/>
      <c r="F7658" s="373"/>
      <c r="I7658" s="70"/>
    </row>
    <row r="7659" spans="3:9" s="46" customFormat="1" x14ac:dyDescent="0.2">
      <c r="C7659" s="144"/>
      <c r="D7659" s="144"/>
      <c r="E7659" s="144"/>
      <c r="F7659" s="373"/>
      <c r="I7659" s="70"/>
    </row>
    <row r="7660" spans="3:9" s="46" customFormat="1" x14ac:dyDescent="0.2">
      <c r="C7660" s="144"/>
      <c r="D7660" s="144"/>
      <c r="E7660" s="144"/>
      <c r="F7660" s="373"/>
      <c r="I7660" s="70"/>
    </row>
    <row r="7661" spans="3:9" s="46" customFormat="1" x14ac:dyDescent="0.2">
      <c r="C7661" s="144"/>
      <c r="D7661" s="144"/>
      <c r="E7661" s="144"/>
      <c r="F7661" s="373"/>
      <c r="I7661" s="70"/>
    </row>
    <row r="7662" spans="3:9" s="46" customFormat="1" x14ac:dyDescent="0.2">
      <c r="C7662" s="144"/>
      <c r="D7662" s="144"/>
      <c r="E7662" s="144"/>
      <c r="F7662" s="373"/>
      <c r="I7662" s="70"/>
    </row>
    <row r="7663" spans="3:9" s="46" customFormat="1" x14ac:dyDescent="0.2">
      <c r="C7663" s="144"/>
      <c r="D7663" s="144"/>
      <c r="E7663" s="144"/>
      <c r="F7663" s="373"/>
      <c r="I7663" s="70"/>
    </row>
    <row r="7664" spans="3:9" s="46" customFormat="1" x14ac:dyDescent="0.2">
      <c r="C7664" s="144"/>
      <c r="D7664" s="144"/>
      <c r="E7664" s="144"/>
      <c r="F7664" s="373"/>
      <c r="I7664" s="70"/>
    </row>
    <row r="7665" spans="3:9" s="46" customFormat="1" x14ac:dyDescent="0.2">
      <c r="C7665" s="144"/>
      <c r="D7665" s="144"/>
      <c r="E7665" s="144"/>
      <c r="F7665" s="373"/>
      <c r="I7665" s="70"/>
    </row>
    <row r="7666" spans="3:9" s="46" customFormat="1" x14ac:dyDescent="0.2">
      <c r="C7666" s="144"/>
      <c r="D7666" s="144"/>
      <c r="E7666" s="144"/>
      <c r="F7666" s="373"/>
      <c r="I7666" s="70"/>
    </row>
    <row r="7667" spans="3:9" s="46" customFormat="1" x14ac:dyDescent="0.2">
      <c r="C7667" s="144"/>
      <c r="D7667" s="144"/>
      <c r="E7667" s="144"/>
      <c r="F7667" s="373"/>
      <c r="I7667" s="70"/>
    </row>
    <row r="7668" spans="3:9" s="46" customFormat="1" x14ac:dyDescent="0.2">
      <c r="C7668" s="144"/>
      <c r="D7668" s="144"/>
      <c r="E7668" s="144"/>
      <c r="F7668" s="373"/>
      <c r="I7668" s="70"/>
    </row>
    <row r="7669" spans="3:9" s="46" customFormat="1" x14ac:dyDescent="0.2">
      <c r="C7669" s="144"/>
      <c r="D7669" s="144"/>
      <c r="E7669" s="144"/>
      <c r="F7669" s="373"/>
      <c r="I7669" s="70"/>
    </row>
    <row r="7670" spans="3:9" s="46" customFormat="1" x14ac:dyDescent="0.2">
      <c r="C7670" s="144"/>
      <c r="D7670" s="144"/>
      <c r="E7670" s="144"/>
      <c r="F7670" s="373"/>
      <c r="I7670" s="70"/>
    </row>
    <row r="7671" spans="3:9" s="46" customFormat="1" x14ac:dyDescent="0.2">
      <c r="C7671" s="144"/>
      <c r="D7671" s="144"/>
      <c r="E7671" s="144"/>
      <c r="F7671" s="373"/>
      <c r="I7671" s="70"/>
    </row>
    <row r="7672" spans="3:9" s="46" customFormat="1" x14ac:dyDescent="0.2">
      <c r="C7672" s="144"/>
      <c r="D7672" s="144"/>
      <c r="E7672" s="144"/>
      <c r="F7672" s="373"/>
      <c r="I7672" s="70"/>
    </row>
    <row r="7673" spans="3:9" s="46" customFormat="1" x14ac:dyDescent="0.2">
      <c r="C7673" s="144"/>
      <c r="D7673" s="144"/>
      <c r="E7673" s="144"/>
      <c r="F7673" s="373"/>
      <c r="I7673" s="70"/>
    </row>
    <row r="7674" spans="3:9" s="46" customFormat="1" x14ac:dyDescent="0.2">
      <c r="C7674" s="144"/>
      <c r="D7674" s="144"/>
      <c r="E7674" s="144"/>
      <c r="F7674" s="373"/>
      <c r="I7674" s="70"/>
    </row>
    <row r="7675" spans="3:9" s="46" customFormat="1" x14ac:dyDescent="0.2">
      <c r="C7675" s="144"/>
      <c r="D7675" s="144"/>
      <c r="E7675" s="144"/>
      <c r="F7675" s="373"/>
      <c r="I7675" s="70"/>
    </row>
    <row r="7676" spans="3:9" s="46" customFormat="1" x14ac:dyDescent="0.2">
      <c r="C7676" s="144"/>
      <c r="D7676" s="144"/>
      <c r="E7676" s="144"/>
      <c r="F7676" s="373"/>
      <c r="I7676" s="70"/>
    </row>
    <row r="7677" spans="3:9" s="46" customFormat="1" x14ac:dyDescent="0.2">
      <c r="C7677" s="144"/>
      <c r="D7677" s="144"/>
      <c r="E7677" s="144"/>
      <c r="F7677" s="373"/>
      <c r="I7677" s="70"/>
    </row>
    <row r="7678" spans="3:9" s="46" customFormat="1" x14ac:dyDescent="0.2">
      <c r="C7678" s="144"/>
      <c r="D7678" s="144"/>
      <c r="E7678" s="144"/>
      <c r="F7678" s="373"/>
      <c r="I7678" s="70"/>
    </row>
    <row r="7679" spans="3:9" s="46" customFormat="1" x14ac:dyDescent="0.2">
      <c r="C7679" s="144"/>
      <c r="D7679" s="144"/>
      <c r="E7679" s="144"/>
      <c r="F7679" s="373"/>
      <c r="I7679" s="70"/>
    </row>
    <row r="7680" spans="3:9" s="46" customFormat="1" x14ac:dyDescent="0.2">
      <c r="C7680" s="144"/>
      <c r="D7680" s="144"/>
      <c r="E7680" s="144"/>
      <c r="F7680" s="373"/>
      <c r="I7680" s="70"/>
    </row>
    <row r="7681" spans="3:9" s="46" customFormat="1" x14ac:dyDescent="0.2">
      <c r="C7681" s="144"/>
      <c r="D7681" s="144"/>
      <c r="E7681" s="144"/>
      <c r="F7681" s="373"/>
      <c r="I7681" s="70"/>
    </row>
    <row r="7682" spans="3:9" s="46" customFormat="1" x14ac:dyDescent="0.2">
      <c r="C7682" s="144"/>
      <c r="D7682" s="144"/>
      <c r="E7682" s="144"/>
      <c r="F7682" s="373"/>
      <c r="I7682" s="70"/>
    </row>
    <row r="7683" spans="3:9" s="46" customFormat="1" x14ac:dyDescent="0.2">
      <c r="C7683" s="144"/>
      <c r="D7683" s="144"/>
      <c r="E7683" s="144"/>
      <c r="F7683" s="373"/>
      <c r="I7683" s="70"/>
    </row>
    <row r="7684" spans="3:9" s="46" customFormat="1" x14ac:dyDescent="0.2">
      <c r="C7684" s="144"/>
      <c r="D7684" s="144"/>
      <c r="E7684" s="144"/>
      <c r="F7684" s="373"/>
      <c r="I7684" s="70"/>
    </row>
    <row r="7685" spans="3:9" s="46" customFormat="1" x14ac:dyDescent="0.2">
      <c r="C7685" s="144"/>
      <c r="D7685" s="144"/>
      <c r="E7685" s="144"/>
      <c r="F7685" s="373"/>
      <c r="I7685" s="70"/>
    </row>
    <row r="7686" spans="3:9" s="46" customFormat="1" x14ac:dyDescent="0.2">
      <c r="C7686" s="144"/>
      <c r="D7686" s="144"/>
      <c r="E7686" s="144"/>
      <c r="F7686" s="373"/>
      <c r="I7686" s="70"/>
    </row>
    <row r="7687" spans="3:9" s="46" customFormat="1" x14ac:dyDescent="0.2">
      <c r="C7687" s="144"/>
      <c r="D7687" s="144"/>
      <c r="E7687" s="144"/>
      <c r="F7687" s="373"/>
      <c r="I7687" s="70"/>
    </row>
    <row r="7688" spans="3:9" s="46" customFormat="1" x14ac:dyDescent="0.2">
      <c r="C7688" s="144"/>
      <c r="D7688" s="144"/>
      <c r="E7688" s="144"/>
      <c r="F7688" s="373"/>
      <c r="I7688" s="70"/>
    </row>
    <row r="7689" spans="3:9" s="46" customFormat="1" x14ac:dyDescent="0.2">
      <c r="C7689" s="144"/>
      <c r="D7689" s="144"/>
      <c r="E7689" s="144"/>
      <c r="F7689" s="373"/>
      <c r="I7689" s="70"/>
    </row>
    <row r="7690" spans="3:9" s="46" customFormat="1" x14ac:dyDescent="0.2">
      <c r="C7690" s="144"/>
      <c r="D7690" s="144"/>
      <c r="E7690" s="144"/>
      <c r="F7690" s="373"/>
      <c r="I7690" s="70"/>
    </row>
    <row r="7691" spans="3:9" s="46" customFormat="1" x14ac:dyDescent="0.2">
      <c r="C7691" s="144"/>
      <c r="D7691" s="144"/>
      <c r="E7691" s="144"/>
      <c r="F7691" s="373"/>
      <c r="I7691" s="70"/>
    </row>
    <row r="7692" spans="3:9" s="46" customFormat="1" x14ac:dyDescent="0.2">
      <c r="C7692" s="144"/>
      <c r="D7692" s="144"/>
      <c r="E7692" s="144"/>
      <c r="F7692" s="373"/>
      <c r="I7692" s="70"/>
    </row>
    <row r="7693" spans="3:9" s="46" customFormat="1" x14ac:dyDescent="0.2">
      <c r="C7693" s="144"/>
      <c r="D7693" s="144"/>
      <c r="E7693" s="144"/>
      <c r="F7693" s="373"/>
      <c r="I7693" s="70"/>
    </row>
    <row r="7694" spans="3:9" s="46" customFormat="1" x14ac:dyDescent="0.2">
      <c r="C7694" s="144"/>
      <c r="D7694" s="144"/>
      <c r="E7694" s="144"/>
      <c r="F7694" s="373"/>
      <c r="I7694" s="70"/>
    </row>
    <row r="7695" spans="3:9" s="46" customFormat="1" x14ac:dyDescent="0.2">
      <c r="C7695" s="144"/>
      <c r="D7695" s="144"/>
      <c r="E7695" s="144"/>
      <c r="F7695" s="373"/>
      <c r="I7695" s="70"/>
    </row>
    <row r="7696" spans="3:9" s="46" customFormat="1" x14ac:dyDescent="0.2">
      <c r="C7696" s="144"/>
      <c r="D7696" s="144"/>
      <c r="E7696" s="144"/>
      <c r="F7696" s="373"/>
      <c r="I7696" s="70"/>
    </row>
    <row r="7697" spans="3:9" s="46" customFormat="1" x14ac:dyDescent="0.2">
      <c r="C7697" s="144"/>
      <c r="D7697" s="144"/>
      <c r="E7697" s="144"/>
      <c r="F7697" s="373"/>
      <c r="I7697" s="70"/>
    </row>
    <row r="7698" spans="3:9" s="46" customFormat="1" x14ac:dyDescent="0.2">
      <c r="C7698" s="144"/>
      <c r="D7698" s="144"/>
      <c r="E7698" s="144"/>
      <c r="F7698" s="373"/>
      <c r="I7698" s="70"/>
    </row>
    <row r="7699" spans="3:9" s="46" customFormat="1" x14ac:dyDescent="0.2">
      <c r="C7699" s="144"/>
      <c r="D7699" s="144"/>
      <c r="E7699" s="144"/>
      <c r="F7699" s="373"/>
      <c r="I7699" s="70"/>
    </row>
    <row r="7700" spans="3:9" s="46" customFormat="1" x14ac:dyDescent="0.2">
      <c r="C7700" s="144"/>
      <c r="D7700" s="144"/>
      <c r="E7700" s="144"/>
      <c r="F7700" s="373"/>
      <c r="I7700" s="70"/>
    </row>
    <row r="7701" spans="3:9" s="46" customFormat="1" x14ac:dyDescent="0.2">
      <c r="C7701" s="144"/>
      <c r="D7701" s="144"/>
      <c r="E7701" s="144"/>
      <c r="F7701" s="373"/>
      <c r="I7701" s="70"/>
    </row>
    <row r="7702" spans="3:9" s="46" customFormat="1" x14ac:dyDescent="0.2">
      <c r="C7702" s="144"/>
      <c r="D7702" s="144"/>
      <c r="E7702" s="144"/>
      <c r="F7702" s="373"/>
      <c r="I7702" s="70"/>
    </row>
    <row r="7703" spans="3:9" s="46" customFormat="1" x14ac:dyDescent="0.2">
      <c r="C7703" s="144"/>
      <c r="D7703" s="144"/>
      <c r="E7703" s="144"/>
      <c r="F7703" s="373"/>
      <c r="I7703" s="70"/>
    </row>
    <row r="7704" spans="3:9" s="46" customFormat="1" x14ac:dyDescent="0.2">
      <c r="C7704" s="144"/>
      <c r="D7704" s="144"/>
      <c r="E7704" s="144"/>
      <c r="F7704" s="373"/>
      <c r="I7704" s="70"/>
    </row>
    <row r="7705" spans="3:9" s="46" customFormat="1" x14ac:dyDescent="0.2">
      <c r="C7705" s="144"/>
      <c r="D7705" s="144"/>
      <c r="E7705" s="144"/>
      <c r="F7705" s="373"/>
      <c r="I7705" s="70"/>
    </row>
    <row r="7706" spans="3:9" s="46" customFormat="1" x14ac:dyDescent="0.2">
      <c r="C7706" s="144"/>
      <c r="D7706" s="144"/>
      <c r="E7706" s="144"/>
      <c r="F7706" s="373"/>
      <c r="I7706" s="70"/>
    </row>
    <row r="7707" spans="3:9" s="46" customFormat="1" x14ac:dyDescent="0.2">
      <c r="C7707" s="144"/>
      <c r="D7707" s="144"/>
      <c r="E7707" s="144"/>
      <c r="F7707" s="373"/>
      <c r="I7707" s="70"/>
    </row>
    <row r="7708" spans="3:9" s="46" customFormat="1" x14ac:dyDescent="0.2">
      <c r="C7708" s="144"/>
      <c r="D7708" s="144"/>
      <c r="E7708" s="144"/>
      <c r="F7708" s="373"/>
      <c r="I7708" s="70"/>
    </row>
    <row r="7709" spans="3:9" s="46" customFormat="1" x14ac:dyDescent="0.2">
      <c r="C7709" s="144"/>
      <c r="D7709" s="144"/>
      <c r="E7709" s="144"/>
      <c r="F7709" s="373"/>
      <c r="I7709" s="70"/>
    </row>
    <row r="7710" spans="3:9" s="46" customFormat="1" x14ac:dyDescent="0.2">
      <c r="C7710" s="144"/>
      <c r="D7710" s="144"/>
      <c r="E7710" s="144"/>
      <c r="F7710" s="373"/>
      <c r="I7710" s="70"/>
    </row>
    <row r="7711" spans="3:9" s="46" customFormat="1" x14ac:dyDescent="0.2">
      <c r="C7711" s="144"/>
      <c r="D7711" s="144"/>
      <c r="E7711" s="144"/>
      <c r="F7711" s="373"/>
      <c r="I7711" s="70"/>
    </row>
    <row r="7712" spans="3:9" s="46" customFormat="1" x14ac:dyDescent="0.2">
      <c r="C7712" s="144"/>
      <c r="D7712" s="144"/>
      <c r="E7712" s="144"/>
      <c r="F7712" s="373"/>
      <c r="I7712" s="70"/>
    </row>
    <row r="7713" spans="3:9" s="46" customFormat="1" x14ac:dyDescent="0.2">
      <c r="C7713" s="144"/>
      <c r="D7713" s="144"/>
      <c r="E7713" s="144"/>
      <c r="F7713" s="373"/>
      <c r="I7713" s="70"/>
    </row>
    <row r="7714" spans="3:9" s="46" customFormat="1" x14ac:dyDescent="0.2">
      <c r="C7714" s="144"/>
      <c r="D7714" s="144"/>
      <c r="E7714" s="144"/>
      <c r="F7714" s="373"/>
      <c r="I7714" s="70"/>
    </row>
    <row r="7715" spans="3:9" s="46" customFormat="1" x14ac:dyDescent="0.2">
      <c r="C7715" s="144"/>
      <c r="D7715" s="144"/>
      <c r="E7715" s="144"/>
      <c r="F7715" s="373"/>
      <c r="I7715" s="70"/>
    </row>
    <row r="7716" spans="3:9" s="46" customFormat="1" x14ac:dyDescent="0.2">
      <c r="C7716" s="144"/>
      <c r="D7716" s="144"/>
      <c r="E7716" s="144"/>
      <c r="F7716" s="373"/>
      <c r="I7716" s="70"/>
    </row>
    <row r="7717" spans="3:9" s="46" customFormat="1" x14ac:dyDescent="0.2">
      <c r="C7717" s="144"/>
      <c r="D7717" s="144"/>
      <c r="E7717" s="144"/>
      <c r="F7717" s="373"/>
      <c r="I7717" s="70"/>
    </row>
    <row r="7718" spans="3:9" s="46" customFormat="1" x14ac:dyDescent="0.2">
      <c r="C7718" s="144"/>
      <c r="D7718" s="144"/>
      <c r="E7718" s="144"/>
      <c r="F7718" s="373"/>
      <c r="I7718" s="70"/>
    </row>
    <row r="7719" spans="3:9" s="46" customFormat="1" x14ac:dyDescent="0.2">
      <c r="C7719" s="144"/>
      <c r="D7719" s="144"/>
      <c r="E7719" s="144"/>
      <c r="F7719" s="373"/>
      <c r="I7719" s="70"/>
    </row>
    <row r="7720" spans="3:9" s="46" customFormat="1" x14ac:dyDescent="0.2">
      <c r="C7720" s="144"/>
      <c r="D7720" s="144"/>
      <c r="E7720" s="144"/>
      <c r="F7720" s="373"/>
      <c r="I7720" s="70"/>
    </row>
    <row r="7721" spans="3:9" s="46" customFormat="1" x14ac:dyDescent="0.2">
      <c r="C7721" s="144"/>
      <c r="D7721" s="144"/>
      <c r="E7721" s="144"/>
      <c r="F7721" s="373"/>
      <c r="I7721" s="70"/>
    </row>
    <row r="7722" spans="3:9" s="46" customFormat="1" x14ac:dyDescent="0.2">
      <c r="C7722" s="144"/>
      <c r="D7722" s="144"/>
      <c r="E7722" s="144"/>
      <c r="F7722" s="373"/>
      <c r="I7722" s="70"/>
    </row>
    <row r="7723" spans="3:9" s="46" customFormat="1" x14ac:dyDescent="0.2">
      <c r="C7723" s="144"/>
      <c r="D7723" s="144"/>
      <c r="E7723" s="144"/>
      <c r="F7723" s="373"/>
      <c r="I7723" s="70"/>
    </row>
    <row r="7724" spans="3:9" s="46" customFormat="1" x14ac:dyDescent="0.2">
      <c r="C7724" s="144"/>
      <c r="D7724" s="144"/>
      <c r="E7724" s="144"/>
      <c r="F7724" s="373"/>
      <c r="I7724" s="70"/>
    </row>
    <row r="7725" spans="3:9" s="46" customFormat="1" x14ac:dyDescent="0.2">
      <c r="C7725" s="144"/>
      <c r="D7725" s="144"/>
      <c r="E7725" s="144"/>
      <c r="F7725" s="373"/>
      <c r="I7725" s="70"/>
    </row>
    <row r="7726" spans="3:9" s="46" customFormat="1" x14ac:dyDescent="0.2">
      <c r="C7726" s="144"/>
      <c r="D7726" s="144"/>
      <c r="E7726" s="144"/>
      <c r="F7726" s="373"/>
      <c r="I7726" s="70"/>
    </row>
    <row r="7727" spans="3:9" s="46" customFormat="1" x14ac:dyDescent="0.2">
      <c r="C7727" s="144"/>
      <c r="D7727" s="144"/>
      <c r="E7727" s="144"/>
      <c r="F7727" s="373"/>
      <c r="I7727" s="70"/>
    </row>
    <row r="7728" spans="3:9" s="46" customFormat="1" x14ac:dyDescent="0.2">
      <c r="C7728" s="144"/>
      <c r="D7728" s="144"/>
      <c r="E7728" s="144"/>
      <c r="F7728" s="373"/>
      <c r="I7728" s="70"/>
    </row>
    <row r="7729" spans="3:9" s="46" customFormat="1" x14ac:dyDescent="0.2">
      <c r="C7729" s="144"/>
      <c r="D7729" s="144"/>
      <c r="E7729" s="144"/>
      <c r="F7729" s="373"/>
      <c r="I7729" s="70"/>
    </row>
    <row r="7730" spans="3:9" s="46" customFormat="1" x14ac:dyDescent="0.2">
      <c r="C7730" s="144"/>
      <c r="D7730" s="144"/>
      <c r="E7730" s="144"/>
      <c r="F7730" s="373"/>
      <c r="I7730" s="70"/>
    </row>
    <row r="7731" spans="3:9" s="46" customFormat="1" x14ac:dyDescent="0.2">
      <c r="C7731" s="144"/>
      <c r="D7731" s="144"/>
      <c r="E7731" s="144"/>
      <c r="F7731" s="373"/>
      <c r="I7731" s="70"/>
    </row>
    <row r="7732" spans="3:9" s="46" customFormat="1" x14ac:dyDescent="0.2">
      <c r="C7732" s="144"/>
      <c r="D7732" s="144"/>
      <c r="E7732" s="144"/>
      <c r="F7732" s="373"/>
      <c r="I7732" s="70"/>
    </row>
    <row r="7733" spans="3:9" s="46" customFormat="1" x14ac:dyDescent="0.2">
      <c r="C7733" s="144"/>
      <c r="D7733" s="144"/>
      <c r="E7733" s="144"/>
      <c r="F7733" s="373"/>
      <c r="I7733" s="70"/>
    </row>
    <row r="7734" spans="3:9" s="46" customFormat="1" x14ac:dyDescent="0.2">
      <c r="C7734" s="144"/>
      <c r="D7734" s="144"/>
      <c r="E7734" s="144"/>
      <c r="F7734" s="373"/>
      <c r="I7734" s="70"/>
    </row>
    <row r="7735" spans="3:9" s="46" customFormat="1" x14ac:dyDescent="0.2">
      <c r="C7735" s="144"/>
      <c r="D7735" s="144"/>
      <c r="E7735" s="144"/>
      <c r="F7735" s="373"/>
      <c r="I7735" s="70"/>
    </row>
    <row r="7736" spans="3:9" s="46" customFormat="1" x14ac:dyDescent="0.2">
      <c r="C7736" s="144"/>
      <c r="D7736" s="144"/>
      <c r="E7736" s="144"/>
      <c r="F7736" s="373"/>
      <c r="I7736" s="70"/>
    </row>
    <row r="7737" spans="3:9" s="46" customFormat="1" x14ac:dyDescent="0.2">
      <c r="C7737" s="144"/>
      <c r="D7737" s="144"/>
      <c r="E7737" s="144"/>
      <c r="F7737" s="373"/>
      <c r="I7737" s="70"/>
    </row>
    <row r="7738" spans="3:9" s="46" customFormat="1" x14ac:dyDescent="0.2">
      <c r="C7738" s="144"/>
      <c r="D7738" s="144"/>
      <c r="E7738" s="144"/>
      <c r="F7738" s="373"/>
      <c r="I7738" s="70"/>
    </row>
    <row r="7739" spans="3:9" s="46" customFormat="1" x14ac:dyDescent="0.2">
      <c r="C7739" s="144"/>
      <c r="D7739" s="144"/>
      <c r="E7739" s="144"/>
      <c r="F7739" s="373"/>
      <c r="I7739" s="70"/>
    </row>
    <row r="7740" spans="3:9" s="46" customFormat="1" x14ac:dyDescent="0.2">
      <c r="C7740" s="144"/>
      <c r="D7740" s="144"/>
      <c r="E7740" s="144"/>
      <c r="F7740" s="373"/>
      <c r="I7740" s="70"/>
    </row>
    <row r="7741" spans="3:9" s="46" customFormat="1" x14ac:dyDescent="0.2">
      <c r="C7741" s="144"/>
      <c r="D7741" s="144"/>
      <c r="E7741" s="144"/>
      <c r="F7741" s="373"/>
      <c r="I7741" s="70"/>
    </row>
    <row r="7742" spans="3:9" s="46" customFormat="1" x14ac:dyDescent="0.2">
      <c r="C7742" s="144"/>
      <c r="D7742" s="144"/>
      <c r="E7742" s="144"/>
      <c r="F7742" s="373"/>
      <c r="I7742" s="70"/>
    </row>
    <row r="7743" spans="3:9" s="46" customFormat="1" x14ac:dyDescent="0.2">
      <c r="C7743" s="144"/>
      <c r="D7743" s="144"/>
      <c r="E7743" s="144"/>
      <c r="F7743" s="373"/>
      <c r="I7743" s="70"/>
    </row>
    <row r="7744" spans="3:9" s="46" customFormat="1" x14ac:dyDescent="0.2">
      <c r="C7744" s="144"/>
      <c r="D7744" s="144"/>
      <c r="E7744" s="144"/>
      <c r="F7744" s="373"/>
      <c r="I7744" s="70"/>
    </row>
    <row r="7745" spans="3:9" s="46" customFormat="1" x14ac:dyDescent="0.2">
      <c r="C7745" s="144"/>
      <c r="D7745" s="144"/>
      <c r="E7745" s="144"/>
      <c r="F7745" s="373"/>
      <c r="I7745" s="70"/>
    </row>
    <row r="7746" spans="3:9" s="46" customFormat="1" x14ac:dyDescent="0.2">
      <c r="C7746" s="144"/>
      <c r="D7746" s="144"/>
      <c r="E7746" s="144"/>
      <c r="F7746" s="373"/>
      <c r="I7746" s="70"/>
    </row>
    <row r="7747" spans="3:9" s="46" customFormat="1" x14ac:dyDescent="0.2">
      <c r="C7747" s="144"/>
      <c r="D7747" s="144"/>
      <c r="E7747" s="144"/>
      <c r="F7747" s="373"/>
      <c r="I7747" s="70"/>
    </row>
    <row r="7748" spans="3:9" s="46" customFormat="1" x14ac:dyDescent="0.2">
      <c r="C7748" s="144"/>
      <c r="D7748" s="144"/>
      <c r="E7748" s="144"/>
      <c r="F7748" s="373"/>
      <c r="I7748" s="70"/>
    </row>
    <row r="7749" spans="3:9" s="46" customFormat="1" x14ac:dyDescent="0.2">
      <c r="C7749" s="144"/>
      <c r="D7749" s="144"/>
      <c r="E7749" s="144"/>
      <c r="F7749" s="373"/>
      <c r="I7749" s="70"/>
    </row>
    <row r="7750" spans="3:9" s="46" customFormat="1" x14ac:dyDescent="0.2">
      <c r="C7750" s="144"/>
      <c r="D7750" s="144"/>
      <c r="E7750" s="144"/>
      <c r="F7750" s="373"/>
      <c r="I7750" s="70"/>
    </row>
    <row r="7751" spans="3:9" s="46" customFormat="1" x14ac:dyDescent="0.2">
      <c r="C7751" s="144"/>
      <c r="D7751" s="144"/>
      <c r="E7751" s="144"/>
      <c r="F7751" s="373"/>
      <c r="I7751" s="70"/>
    </row>
    <row r="7752" spans="3:9" s="46" customFormat="1" x14ac:dyDescent="0.2">
      <c r="C7752" s="144"/>
      <c r="D7752" s="144"/>
      <c r="E7752" s="144"/>
      <c r="F7752" s="373"/>
      <c r="I7752" s="70"/>
    </row>
    <row r="7753" spans="3:9" s="46" customFormat="1" x14ac:dyDescent="0.2">
      <c r="C7753" s="144"/>
      <c r="D7753" s="144"/>
      <c r="E7753" s="144"/>
      <c r="F7753" s="373"/>
      <c r="I7753" s="70"/>
    </row>
    <row r="7754" spans="3:9" s="46" customFormat="1" x14ac:dyDescent="0.2">
      <c r="C7754" s="144"/>
      <c r="D7754" s="144"/>
      <c r="E7754" s="144"/>
      <c r="F7754" s="373"/>
      <c r="I7754" s="70"/>
    </row>
    <row r="7755" spans="3:9" s="46" customFormat="1" x14ac:dyDescent="0.2">
      <c r="C7755" s="144"/>
      <c r="D7755" s="144"/>
      <c r="E7755" s="144"/>
      <c r="F7755" s="373"/>
      <c r="I7755" s="70"/>
    </row>
    <row r="7756" spans="3:9" s="46" customFormat="1" x14ac:dyDescent="0.2">
      <c r="C7756" s="144"/>
      <c r="D7756" s="144"/>
      <c r="E7756" s="144"/>
      <c r="F7756" s="373"/>
      <c r="I7756" s="70"/>
    </row>
    <row r="7757" spans="3:9" s="46" customFormat="1" x14ac:dyDescent="0.2">
      <c r="C7757" s="144"/>
      <c r="D7757" s="144"/>
      <c r="E7757" s="144"/>
      <c r="F7757" s="373"/>
      <c r="I7757" s="70"/>
    </row>
    <row r="7758" spans="3:9" s="46" customFormat="1" x14ac:dyDescent="0.2">
      <c r="C7758" s="144"/>
      <c r="D7758" s="144"/>
      <c r="E7758" s="144"/>
      <c r="F7758" s="373"/>
      <c r="I7758" s="70"/>
    </row>
    <row r="7759" spans="3:9" s="46" customFormat="1" x14ac:dyDescent="0.2">
      <c r="C7759" s="144"/>
      <c r="D7759" s="144"/>
      <c r="E7759" s="144"/>
      <c r="F7759" s="373"/>
      <c r="I7759" s="70"/>
    </row>
    <row r="7760" spans="3:9" s="46" customFormat="1" x14ac:dyDescent="0.2">
      <c r="C7760" s="144"/>
      <c r="D7760" s="144"/>
      <c r="E7760" s="144"/>
      <c r="F7760" s="373"/>
      <c r="I7760" s="70"/>
    </row>
    <row r="7761" spans="3:9" s="46" customFormat="1" x14ac:dyDescent="0.2">
      <c r="C7761" s="144"/>
      <c r="D7761" s="144"/>
      <c r="E7761" s="144"/>
      <c r="F7761" s="373"/>
      <c r="I7761" s="70"/>
    </row>
    <row r="7762" spans="3:9" s="46" customFormat="1" x14ac:dyDescent="0.2">
      <c r="C7762" s="144"/>
      <c r="D7762" s="144"/>
      <c r="E7762" s="144"/>
      <c r="F7762" s="373"/>
      <c r="I7762" s="70"/>
    </row>
    <row r="7763" spans="3:9" s="46" customFormat="1" x14ac:dyDescent="0.2">
      <c r="C7763" s="144"/>
      <c r="D7763" s="144"/>
      <c r="E7763" s="144"/>
      <c r="F7763" s="373"/>
      <c r="I7763" s="70"/>
    </row>
    <row r="7764" spans="3:9" s="46" customFormat="1" x14ac:dyDescent="0.2">
      <c r="C7764" s="144"/>
      <c r="D7764" s="144"/>
      <c r="E7764" s="144"/>
      <c r="F7764" s="373"/>
      <c r="I7764" s="70"/>
    </row>
    <row r="7765" spans="3:9" s="46" customFormat="1" x14ac:dyDescent="0.2">
      <c r="C7765" s="144"/>
      <c r="D7765" s="144"/>
      <c r="E7765" s="144"/>
      <c r="F7765" s="373"/>
      <c r="I7765" s="70"/>
    </row>
    <row r="7766" spans="3:9" s="46" customFormat="1" x14ac:dyDescent="0.2">
      <c r="C7766" s="144"/>
      <c r="D7766" s="144"/>
      <c r="E7766" s="144"/>
      <c r="F7766" s="373"/>
      <c r="I7766" s="70"/>
    </row>
    <row r="7767" spans="3:9" s="46" customFormat="1" x14ac:dyDescent="0.2">
      <c r="C7767" s="144"/>
      <c r="D7767" s="144"/>
      <c r="E7767" s="144"/>
      <c r="F7767" s="373"/>
      <c r="I7767" s="70"/>
    </row>
    <row r="7768" spans="3:9" s="46" customFormat="1" x14ac:dyDescent="0.2">
      <c r="C7768" s="144"/>
      <c r="D7768" s="144"/>
      <c r="E7768" s="144"/>
      <c r="F7768" s="373"/>
      <c r="I7768" s="70"/>
    </row>
    <row r="7769" spans="3:9" s="46" customFormat="1" x14ac:dyDescent="0.2">
      <c r="C7769" s="144"/>
      <c r="D7769" s="144"/>
      <c r="E7769" s="144"/>
      <c r="F7769" s="373"/>
      <c r="I7769" s="70"/>
    </row>
    <row r="7770" spans="3:9" s="46" customFormat="1" x14ac:dyDescent="0.2">
      <c r="C7770" s="144"/>
      <c r="D7770" s="144"/>
      <c r="E7770" s="144"/>
      <c r="F7770" s="373"/>
      <c r="I7770" s="70"/>
    </row>
    <row r="7771" spans="3:9" s="46" customFormat="1" x14ac:dyDescent="0.2">
      <c r="C7771" s="144"/>
      <c r="D7771" s="144"/>
      <c r="E7771" s="144"/>
      <c r="F7771" s="373"/>
      <c r="I7771" s="70"/>
    </row>
    <row r="7772" spans="3:9" s="46" customFormat="1" x14ac:dyDescent="0.2">
      <c r="C7772" s="144"/>
      <c r="D7772" s="144"/>
      <c r="E7772" s="144"/>
      <c r="F7772" s="373"/>
      <c r="I7772" s="70"/>
    </row>
    <row r="7773" spans="3:9" s="46" customFormat="1" x14ac:dyDescent="0.2">
      <c r="C7773" s="144"/>
      <c r="D7773" s="144"/>
      <c r="E7773" s="144"/>
      <c r="F7773" s="373"/>
      <c r="I7773" s="70"/>
    </row>
    <row r="7774" spans="3:9" s="46" customFormat="1" x14ac:dyDescent="0.2">
      <c r="C7774" s="144"/>
      <c r="D7774" s="144"/>
      <c r="E7774" s="144"/>
      <c r="F7774" s="373"/>
      <c r="I7774" s="70"/>
    </row>
    <row r="7775" spans="3:9" s="46" customFormat="1" x14ac:dyDescent="0.2">
      <c r="C7775" s="144"/>
      <c r="D7775" s="144"/>
      <c r="E7775" s="144"/>
      <c r="F7775" s="373"/>
      <c r="I7775" s="70"/>
    </row>
    <row r="7776" spans="3:9" s="46" customFormat="1" x14ac:dyDescent="0.2">
      <c r="C7776" s="144"/>
      <c r="D7776" s="144"/>
      <c r="E7776" s="144"/>
      <c r="F7776" s="373"/>
      <c r="I7776" s="70"/>
    </row>
    <row r="7777" spans="3:9" s="46" customFormat="1" x14ac:dyDescent="0.2">
      <c r="C7777" s="144"/>
      <c r="D7777" s="144"/>
      <c r="E7777" s="144"/>
      <c r="F7777" s="373"/>
      <c r="I7777" s="70"/>
    </row>
    <row r="7778" spans="3:9" s="46" customFormat="1" x14ac:dyDescent="0.2">
      <c r="C7778" s="144"/>
      <c r="D7778" s="144"/>
      <c r="E7778" s="144"/>
      <c r="F7778" s="373"/>
      <c r="I7778" s="70"/>
    </row>
    <row r="7779" spans="3:9" s="46" customFormat="1" x14ac:dyDescent="0.2">
      <c r="C7779" s="144"/>
      <c r="D7779" s="144"/>
      <c r="E7779" s="144"/>
      <c r="F7779" s="373"/>
      <c r="I7779" s="70"/>
    </row>
    <row r="7780" spans="3:9" s="46" customFormat="1" x14ac:dyDescent="0.2">
      <c r="C7780" s="144"/>
      <c r="D7780" s="144"/>
      <c r="E7780" s="144"/>
      <c r="F7780" s="373"/>
      <c r="I7780" s="70"/>
    </row>
    <row r="7781" spans="3:9" s="46" customFormat="1" x14ac:dyDescent="0.2">
      <c r="C7781" s="144"/>
      <c r="D7781" s="144"/>
      <c r="E7781" s="144"/>
      <c r="F7781" s="373"/>
      <c r="I7781" s="70"/>
    </row>
    <row r="7782" spans="3:9" s="46" customFormat="1" x14ac:dyDescent="0.2">
      <c r="C7782" s="144"/>
      <c r="D7782" s="144"/>
      <c r="E7782" s="144"/>
      <c r="F7782" s="373"/>
      <c r="I7782" s="70"/>
    </row>
    <row r="7783" spans="3:9" s="46" customFormat="1" x14ac:dyDescent="0.2">
      <c r="C7783" s="144"/>
      <c r="D7783" s="144"/>
      <c r="E7783" s="144"/>
      <c r="F7783" s="373"/>
      <c r="I7783" s="70"/>
    </row>
    <row r="7784" spans="3:9" s="46" customFormat="1" x14ac:dyDescent="0.2">
      <c r="C7784" s="144"/>
      <c r="D7784" s="144"/>
      <c r="E7784" s="144"/>
      <c r="F7784" s="373"/>
      <c r="I7784" s="70"/>
    </row>
    <row r="7785" spans="3:9" s="46" customFormat="1" x14ac:dyDescent="0.2">
      <c r="C7785" s="144"/>
      <c r="D7785" s="144"/>
      <c r="E7785" s="144"/>
      <c r="F7785" s="373"/>
      <c r="I7785" s="70"/>
    </row>
    <row r="7786" spans="3:9" s="46" customFormat="1" x14ac:dyDescent="0.2">
      <c r="C7786" s="144"/>
      <c r="D7786" s="144"/>
      <c r="E7786" s="144"/>
      <c r="F7786" s="373"/>
      <c r="I7786" s="70"/>
    </row>
    <row r="7787" spans="3:9" s="46" customFormat="1" x14ac:dyDescent="0.2">
      <c r="C7787" s="144"/>
      <c r="D7787" s="144"/>
      <c r="E7787" s="144"/>
      <c r="F7787" s="373"/>
      <c r="I7787" s="70"/>
    </row>
    <row r="7788" spans="3:9" s="46" customFormat="1" x14ac:dyDescent="0.2">
      <c r="C7788" s="144"/>
      <c r="D7788" s="144"/>
      <c r="E7788" s="144"/>
      <c r="F7788" s="373"/>
      <c r="I7788" s="70"/>
    </row>
    <row r="7789" spans="3:9" s="46" customFormat="1" x14ac:dyDescent="0.2">
      <c r="C7789" s="144"/>
      <c r="D7789" s="144"/>
      <c r="E7789" s="144"/>
      <c r="F7789" s="373"/>
      <c r="I7789" s="70"/>
    </row>
    <row r="7790" spans="3:9" s="46" customFormat="1" x14ac:dyDescent="0.2">
      <c r="C7790" s="144"/>
      <c r="D7790" s="144"/>
      <c r="E7790" s="144"/>
      <c r="F7790" s="373"/>
      <c r="I7790" s="70"/>
    </row>
    <row r="7791" spans="3:9" s="46" customFormat="1" x14ac:dyDescent="0.2">
      <c r="C7791" s="144"/>
      <c r="D7791" s="144"/>
      <c r="E7791" s="144"/>
      <c r="F7791" s="373"/>
      <c r="I7791" s="70"/>
    </row>
    <row r="7792" spans="3:9" s="46" customFormat="1" x14ac:dyDescent="0.2">
      <c r="C7792" s="144"/>
      <c r="D7792" s="144"/>
      <c r="E7792" s="144"/>
      <c r="F7792" s="373"/>
      <c r="I7792" s="70"/>
    </row>
    <row r="7793" spans="3:9" s="46" customFormat="1" x14ac:dyDescent="0.2">
      <c r="C7793" s="144"/>
      <c r="D7793" s="144"/>
      <c r="E7793" s="144"/>
      <c r="F7793" s="373"/>
      <c r="I7793" s="70"/>
    </row>
    <row r="7794" spans="3:9" s="46" customFormat="1" x14ac:dyDescent="0.2">
      <c r="C7794" s="144"/>
      <c r="D7794" s="144"/>
      <c r="E7794" s="144"/>
      <c r="F7794" s="373"/>
      <c r="I7794" s="70"/>
    </row>
    <row r="7795" spans="3:9" s="46" customFormat="1" x14ac:dyDescent="0.2">
      <c r="C7795" s="144"/>
      <c r="D7795" s="144"/>
      <c r="E7795" s="144"/>
      <c r="F7795" s="373"/>
      <c r="I7795" s="70"/>
    </row>
    <row r="7796" spans="3:9" s="46" customFormat="1" x14ac:dyDescent="0.2">
      <c r="C7796" s="144"/>
      <c r="D7796" s="144"/>
      <c r="E7796" s="144"/>
      <c r="F7796" s="373"/>
      <c r="I7796" s="70"/>
    </row>
    <row r="7797" spans="3:9" s="46" customFormat="1" x14ac:dyDescent="0.2">
      <c r="C7797" s="144"/>
      <c r="D7797" s="144"/>
      <c r="E7797" s="144"/>
      <c r="F7797" s="373"/>
      <c r="I7797" s="70"/>
    </row>
    <row r="7798" spans="3:9" s="46" customFormat="1" x14ac:dyDescent="0.2">
      <c r="C7798" s="144"/>
      <c r="D7798" s="144"/>
      <c r="E7798" s="144"/>
      <c r="F7798" s="373"/>
      <c r="I7798" s="70"/>
    </row>
    <row r="7799" spans="3:9" s="46" customFormat="1" x14ac:dyDescent="0.2">
      <c r="C7799" s="144"/>
      <c r="D7799" s="144"/>
      <c r="E7799" s="144"/>
      <c r="F7799" s="373"/>
      <c r="I7799" s="70"/>
    </row>
    <row r="7800" spans="3:9" s="46" customFormat="1" x14ac:dyDescent="0.2">
      <c r="C7800" s="144"/>
      <c r="D7800" s="144"/>
      <c r="E7800" s="144"/>
      <c r="F7800" s="373"/>
      <c r="I7800" s="70"/>
    </row>
    <row r="7801" spans="3:9" s="46" customFormat="1" x14ac:dyDescent="0.2">
      <c r="C7801" s="144"/>
      <c r="D7801" s="144"/>
      <c r="E7801" s="144"/>
      <c r="F7801" s="373"/>
      <c r="I7801" s="70"/>
    </row>
    <row r="7802" spans="3:9" s="46" customFormat="1" x14ac:dyDescent="0.2">
      <c r="C7802" s="144"/>
      <c r="D7802" s="144"/>
      <c r="E7802" s="144"/>
      <c r="F7802" s="373"/>
      <c r="I7802" s="70"/>
    </row>
    <row r="7803" spans="3:9" s="46" customFormat="1" x14ac:dyDescent="0.2">
      <c r="C7803" s="144"/>
      <c r="D7803" s="144"/>
      <c r="E7803" s="144"/>
      <c r="F7803" s="373"/>
      <c r="I7803" s="70"/>
    </row>
    <row r="7804" spans="3:9" s="46" customFormat="1" x14ac:dyDescent="0.2">
      <c r="C7804" s="144"/>
      <c r="D7804" s="144"/>
      <c r="E7804" s="144"/>
      <c r="F7804" s="373"/>
      <c r="I7804" s="70"/>
    </row>
    <row r="7805" spans="3:9" s="46" customFormat="1" x14ac:dyDescent="0.2">
      <c r="C7805" s="144"/>
      <c r="D7805" s="144"/>
      <c r="E7805" s="144"/>
      <c r="F7805" s="373"/>
      <c r="I7805" s="70"/>
    </row>
    <row r="7806" spans="3:9" s="46" customFormat="1" x14ac:dyDescent="0.2">
      <c r="C7806" s="144"/>
      <c r="D7806" s="144"/>
      <c r="E7806" s="144"/>
      <c r="F7806" s="373"/>
      <c r="I7806" s="70"/>
    </row>
    <row r="7807" spans="3:9" s="46" customFormat="1" x14ac:dyDescent="0.2">
      <c r="C7807" s="144"/>
      <c r="D7807" s="144"/>
      <c r="E7807" s="144"/>
      <c r="F7807" s="373"/>
      <c r="I7807" s="70"/>
    </row>
    <row r="7808" spans="3:9" s="46" customFormat="1" x14ac:dyDescent="0.2">
      <c r="C7808" s="144"/>
      <c r="D7808" s="144"/>
      <c r="E7808" s="144"/>
      <c r="F7808" s="373"/>
      <c r="I7808" s="70"/>
    </row>
    <row r="7809" spans="3:9" s="46" customFormat="1" x14ac:dyDescent="0.2">
      <c r="C7809" s="144"/>
      <c r="D7809" s="144"/>
      <c r="E7809" s="144"/>
      <c r="F7809" s="373"/>
      <c r="I7809" s="70"/>
    </row>
    <row r="7810" spans="3:9" s="46" customFormat="1" x14ac:dyDescent="0.2">
      <c r="C7810" s="144"/>
      <c r="D7810" s="144"/>
      <c r="E7810" s="144"/>
      <c r="F7810" s="373"/>
      <c r="I7810" s="70"/>
    </row>
    <row r="7811" spans="3:9" s="46" customFormat="1" x14ac:dyDescent="0.2">
      <c r="C7811" s="144"/>
      <c r="D7811" s="144"/>
      <c r="E7811" s="144"/>
      <c r="F7811" s="373"/>
      <c r="I7811" s="70"/>
    </row>
    <row r="7812" spans="3:9" s="46" customFormat="1" x14ac:dyDescent="0.2">
      <c r="C7812" s="144"/>
      <c r="D7812" s="144"/>
      <c r="E7812" s="144"/>
      <c r="F7812" s="373"/>
      <c r="I7812" s="70"/>
    </row>
    <row r="7813" spans="3:9" s="46" customFormat="1" x14ac:dyDescent="0.2">
      <c r="C7813" s="144"/>
      <c r="D7813" s="144"/>
      <c r="E7813" s="144"/>
      <c r="F7813" s="373"/>
      <c r="I7813" s="70"/>
    </row>
    <row r="7814" spans="3:9" s="46" customFormat="1" x14ac:dyDescent="0.2">
      <c r="C7814" s="144"/>
      <c r="D7814" s="144"/>
      <c r="E7814" s="144"/>
      <c r="F7814" s="373"/>
      <c r="I7814" s="70"/>
    </row>
    <row r="7815" spans="3:9" s="46" customFormat="1" x14ac:dyDescent="0.2">
      <c r="C7815" s="144"/>
      <c r="D7815" s="144"/>
      <c r="E7815" s="144"/>
      <c r="F7815" s="373"/>
      <c r="I7815" s="70"/>
    </row>
    <row r="7816" spans="3:9" s="46" customFormat="1" x14ac:dyDescent="0.2">
      <c r="C7816" s="144"/>
      <c r="D7816" s="144"/>
      <c r="E7816" s="144"/>
      <c r="F7816" s="373"/>
      <c r="I7816" s="70"/>
    </row>
    <row r="7817" spans="3:9" s="46" customFormat="1" x14ac:dyDescent="0.2">
      <c r="C7817" s="144"/>
      <c r="D7817" s="144"/>
      <c r="E7817" s="144"/>
      <c r="F7817" s="373"/>
      <c r="I7817" s="70"/>
    </row>
    <row r="7818" spans="3:9" s="46" customFormat="1" x14ac:dyDescent="0.2">
      <c r="C7818" s="144"/>
      <c r="D7818" s="144"/>
      <c r="E7818" s="144"/>
      <c r="F7818" s="373"/>
      <c r="I7818" s="70"/>
    </row>
    <row r="7819" spans="3:9" s="46" customFormat="1" x14ac:dyDescent="0.2">
      <c r="C7819" s="144"/>
      <c r="D7819" s="144"/>
      <c r="E7819" s="144"/>
      <c r="F7819" s="373"/>
      <c r="I7819" s="70"/>
    </row>
    <row r="7820" spans="3:9" s="46" customFormat="1" x14ac:dyDescent="0.2">
      <c r="C7820" s="144"/>
      <c r="D7820" s="144"/>
      <c r="E7820" s="144"/>
      <c r="F7820" s="373"/>
      <c r="I7820" s="70"/>
    </row>
    <row r="7821" spans="3:9" s="46" customFormat="1" x14ac:dyDescent="0.2">
      <c r="C7821" s="144"/>
      <c r="D7821" s="144"/>
      <c r="E7821" s="144"/>
      <c r="F7821" s="373"/>
      <c r="I7821" s="70"/>
    </row>
    <row r="7822" spans="3:9" s="46" customFormat="1" x14ac:dyDescent="0.2">
      <c r="C7822" s="144"/>
      <c r="D7822" s="144"/>
      <c r="E7822" s="144"/>
      <c r="F7822" s="373"/>
      <c r="I7822" s="70"/>
    </row>
    <row r="7823" spans="3:9" s="46" customFormat="1" x14ac:dyDescent="0.2">
      <c r="C7823" s="144"/>
      <c r="D7823" s="144"/>
      <c r="E7823" s="144"/>
      <c r="F7823" s="373"/>
      <c r="I7823" s="70"/>
    </row>
    <row r="7824" spans="3:9" s="46" customFormat="1" x14ac:dyDescent="0.2">
      <c r="C7824" s="144"/>
      <c r="D7824" s="144"/>
      <c r="E7824" s="144"/>
      <c r="F7824" s="373"/>
      <c r="I7824" s="70"/>
    </row>
    <row r="7825" spans="3:9" s="46" customFormat="1" x14ac:dyDescent="0.2">
      <c r="C7825" s="144"/>
      <c r="D7825" s="144"/>
      <c r="E7825" s="144"/>
      <c r="F7825" s="373"/>
      <c r="I7825" s="70"/>
    </row>
    <row r="7826" spans="3:9" s="46" customFormat="1" x14ac:dyDescent="0.2">
      <c r="C7826" s="144"/>
      <c r="D7826" s="144"/>
      <c r="E7826" s="144"/>
      <c r="F7826" s="373"/>
      <c r="I7826" s="70"/>
    </row>
    <row r="7827" spans="3:9" s="46" customFormat="1" x14ac:dyDescent="0.2">
      <c r="C7827" s="144"/>
      <c r="D7827" s="144"/>
      <c r="E7827" s="144"/>
      <c r="F7827" s="373"/>
      <c r="I7827" s="70"/>
    </row>
    <row r="7828" spans="3:9" s="46" customFormat="1" x14ac:dyDescent="0.2">
      <c r="C7828" s="144"/>
      <c r="D7828" s="144"/>
      <c r="E7828" s="144"/>
      <c r="F7828" s="373"/>
      <c r="I7828" s="70"/>
    </row>
    <row r="7829" spans="3:9" s="46" customFormat="1" x14ac:dyDescent="0.2">
      <c r="C7829" s="144"/>
      <c r="D7829" s="144"/>
      <c r="E7829" s="144"/>
      <c r="F7829" s="373"/>
      <c r="I7829" s="70"/>
    </row>
    <row r="7830" spans="3:9" s="46" customFormat="1" x14ac:dyDescent="0.2">
      <c r="C7830" s="144"/>
      <c r="D7830" s="144"/>
      <c r="E7830" s="144"/>
      <c r="F7830" s="373"/>
      <c r="I7830" s="70"/>
    </row>
    <row r="7831" spans="3:9" s="46" customFormat="1" x14ac:dyDescent="0.2">
      <c r="C7831" s="144"/>
      <c r="D7831" s="144"/>
      <c r="E7831" s="144"/>
      <c r="F7831" s="373"/>
      <c r="I7831" s="70"/>
    </row>
    <row r="7832" spans="3:9" s="46" customFormat="1" x14ac:dyDescent="0.2">
      <c r="C7832" s="144"/>
      <c r="D7832" s="144"/>
      <c r="E7832" s="144"/>
      <c r="F7832" s="373"/>
      <c r="I7832" s="70"/>
    </row>
    <row r="7833" spans="3:9" s="46" customFormat="1" x14ac:dyDescent="0.2">
      <c r="C7833" s="144"/>
      <c r="D7833" s="144"/>
      <c r="E7833" s="144"/>
      <c r="F7833" s="373"/>
      <c r="I7833" s="70"/>
    </row>
    <row r="7834" spans="3:9" s="46" customFormat="1" x14ac:dyDescent="0.2">
      <c r="C7834" s="144"/>
      <c r="D7834" s="144"/>
      <c r="E7834" s="144"/>
      <c r="F7834" s="373"/>
      <c r="I7834" s="70"/>
    </row>
    <row r="7835" spans="3:9" s="46" customFormat="1" x14ac:dyDescent="0.2">
      <c r="C7835" s="144"/>
      <c r="D7835" s="144"/>
      <c r="E7835" s="144"/>
      <c r="F7835" s="373"/>
      <c r="I7835" s="70"/>
    </row>
    <row r="7836" spans="3:9" s="46" customFormat="1" x14ac:dyDescent="0.2">
      <c r="C7836" s="144"/>
      <c r="D7836" s="144"/>
      <c r="E7836" s="144"/>
      <c r="F7836" s="373"/>
      <c r="I7836" s="70"/>
    </row>
    <row r="7837" spans="3:9" s="46" customFormat="1" x14ac:dyDescent="0.2">
      <c r="C7837" s="144"/>
      <c r="D7837" s="144"/>
      <c r="E7837" s="144"/>
      <c r="F7837" s="373"/>
      <c r="I7837" s="70"/>
    </row>
    <row r="7838" spans="3:9" s="46" customFormat="1" x14ac:dyDescent="0.2">
      <c r="C7838" s="144"/>
      <c r="D7838" s="144"/>
      <c r="E7838" s="144"/>
      <c r="F7838" s="373"/>
      <c r="I7838" s="70"/>
    </row>
    <row r="7839" spans="3:9" s="46" customFormat="1" x14ac:dyDescent="0.2">
      <c r="C7839" s="144"/>
      <c r="D7839" s="144"/>
      <c r="E7839" s="144"/>
      <c r="F7839" s="373"/>
      <c r="I7839" s="70"/>
    </row>
    <row r="7840" spans="3:9" s="46" customFormat="1" x14ac:dyDescent="0.2">
      <c r="C7840" s="144"/>
      <c r="D7840" s="144"/>
      <c r="E7840" s="144"/>
      <c r="F7840" s="373"/>
      <c r="I7840" s="70"/>
    </row>
    <row r="7841" spans="3:9" s="46" customFormat="1" x14ac:dyDescent="0.2">
      <c r="C7841" s="144"/>
      <c r="D7841" s="144"/>
      <c r="E7841" s="144"/>
      <c r="F7841" s="373"/>
      <c r="I7841" s="70"/>
    </row>
    <row r="7842" spans="3:9" s="46" customFormat="1" x14ac:dyDescent="0.2">
      <c r="C7842" s="144"/>
      <c r="D7842" s="144"/>
      <c r="E7842" s="144"/>
      <c r="F7842" s="373"/>
      <c r="I7842" s="70"/>
    </row>
    <row r="7843" spans="3:9" s="46" customFormat="1" x14ac:dyDescent="0.2">
      <c r="C7843" s="144"/>
      <c r="D7843" s="144"/>
      <c r="E7843" s="144"/>
      <c r="F7843" s="373"/>
      <c r="I7843" s="70"/>
    </row>
    <row r="7844" spans="3:9" s="46" customFormat="1" x14ac:dyDescent="0.2">
      <c r="C7844" s="144"/>
      <c r="D7844" s="144"/>
      <c r="E7844" s="144"/>
      <c r="F7844" s="373"/>
      <c r="I7844" s="70"/>
    </row>
    <row r="7845" spans="3:9" s="46" customFormat="1" x14ac:dyDescent="0.2">
      <c r="C7845" s="144"/>
      <c r="D7845" s="144"/>
      <c r="E7845" s="144"/>
      <c r="F7845" s="373"/>
      <c r="I7845" s="70"/>
    </row>
    <row r="7846" spans="3:9" s="46" customFormat="1" x14ac:dyDescent="0.2">
      <c r="C7846" s="144"/>
      <c r="D7846" s="144"/>
      <c r="E7846" s="144"/>
      <c r="F7846" s="373"/>
      <c r="I7846" s="70"/>
    </row>
    <row r="7847" spans="3:9" s="46" customFormat="1" x14ac:dyDescent="0.2">
      <c r="C7847" s="144"/>
      <c r="D7847" s="144"/>
      <c r="E7847" s="144"/>
      <c r="F7847" s="373"/>
      <c r="I7847" s="70"/>
    </row>
    <row r="7848" spans="3:9" s="46" customFormat="1" x14ac:dyDescent="0.2">
      <c r="C7848" s="144"/>
      <c r="D7848" s="144"/>
      <c r="E7848" s="144"/>
      <c r="F7848" s="373"/>
      <c r="I7848" s="70"/>
    </row>
    <row r="7849" spans="3:9" s="46" customFormat="1" x14ac:dyDescent="0.2">
      <c r="C7849" s="144"/>
      <c r="D7849" s="144"/>
      <c r="E7849" s="144"/>
      <c r="F7849" s="373"/>
      <c r="I7849" s="70"/>
    </row>
    <row r="7850" spans="3:9" s="46" customFormat="1" x14ac:dyDescent="0.2">
      <c r="C7850" s="144"/>
      <c r="D7850" s="144"/>
      <c r="E7850" s="144"/>
      <c r="F7850" s="373"/>
      <c r="I7850" s="70"/>
    </row>
    <row r="7851" spans="3:9" s="46" customFormat="1" x14ac:dyDescent="0.2">
      <c r="C7851" s="144"/>
      <c r="D7851" s="144"/>
      <c r="E7851" s="144"/>
      <c r="F7851" s="373"/>
      <c r="I7851" s="70"/>
    </row>
    <row r="7852" spans="3:9" s="46" customFormat="1" x14ac:dyDescent="0.2">
      <c r="C7852" s="144"/>
      <c r="D7852" s="144"/>
      <c r="E7852" s="144"/>
      <c r="F7852" s="373"/>
      <c r="I7852" s="70"/>
    </row>
    <row r="7853" spans="3:9" s="46" customFormat="1" x14ac:dyDescent="0.2">
      <c r="C7853" s="144"/>
      <c r="D7853" s="144"/>
      <c r="E7853" s="144"/>
      <c r="F7853" s="373"/>
      <c r="I7853" s="70"/>
    </row>
    <row r="7854" spans="3:9" s="46" customFormat="1" x14ac:dyDescent="0.2">
      <c r="C7854" s="144"/>
      <c r="D7854" s="144"/>
      <c r="E7854" s="144"/>
      <c r="F7854" s="373"/>
      <c r="I7854" s="70"/>
    </row>
    <row r="7855" spans="3:9" s="46" customFormat="1" x14ac:dyDescent="0.2">
      <c r="C7855" s="144"/>
      <c r="D7855" s="144"/>
      <c r="E7855" s="144"/>
      <c r="F7855" s="373"/>
      <c r="I7855" s="70"/>
    </row>
    <row r="7856" spans="3:9" s="46" customFormat="1" x14ac:dyDescent="0.2">
      <c r="C7856" s="144"/>
      <c r="D7856" s="144"/>
      <c r="E7856" s="144"/>
      <c r="F7856" s="373"/>
      <c r="I7856" s="70"/>
    </row>
    <row r="7857" spans="3:9" s="46" customFormat="1" x14ac:dyDescent="0.2">
      <c r="C7857" s="144"/>
      <c r="D7857" s="144"/>
      <c r="E7857" s="144"/>
      <c r="F7857" s="373"/>
      <c r="I7857" s="70"/>
    </row>
    <row r="7858" spans="3:9" s="46" customFormat="1" x14ac:dyDescent="0.2">
      <c r="C7858" s="144"/>
      <c r="D7858" s="144"/>
      <c r="E7858" s="144"/>
      <c r="F7858" s="373"/>
      <c r="I7858" s="70"/>
    </row>
    <row r="7859" spans="3:9" s="46" customFormat="1" x14ac:dyDescent="0.2">
      <c r="C7859" s="144"/>
      <c r="D7859" s="144"/>
      <c r="E7859" s="144"/>
      <c r="F7859" s="373"/>
      <c r="I7859" s="70"/>
    </row>
    <row r="7860" spans="3:9" s="46" customFormat="1" x14ac:dyDescent="0.2">
      <c r="C7860" s="144"/>
      <c r="D7860" s="144"/>
      <c r="E7860" s="144"/>
      <c r="F7860" s="373"/>
      <c r="I7860" s="70"/>
    </row>
    <row r="7861" spans="3:9" s="46" customFormat="1" x14ac:dyDescent="0.2">
      <c r="C7861" s="144"/>
      <c r="D7861" s="144"/>
      <c r="E7861" s="144"/>
      <c r="F7861" s="373"/>
      <c r="I7861" s="70"/>
    </row>
    <row r="7862" spans="3:9" s="46" customFormat="1" x14ac:dyDescent="0.2">
      <c r="C7862" s="144"/>
      <c r="D7862" s="144"/>
      <c r="E7862" s="144"/>
      <c r="F7862" s="373"/>
      <c r="I7862" s="70"/>
    </row>
    <row r="7863" spans="3:9" s="46" customFormat="1" x14ac:dyDescent="0.2">
      <c r="C7863" s="144"/>
      <c r="D7863" s="144"/>
      <c r="E7863" s="144"/>
      <c r="F7863" s="373"/>
      <c r="I7863" s="70"/>
    </row>
    <row r="7864" spans="3:9" s="46" customFormat="1" x14ac:dyDescent="0.2">
      <c r="C7864" s="144"/>
      <c r="D7864" s="144"/>
      <c r="E7864" s="144"/>
      <c r="F7864" s="373"/>
      <c r="I7864" s="70"/>
    </row>
    <row r="7865" spans="3:9" s="46" customFormat="1" x14ac:dyDescent="0.2">
      <c r="C7865" s="144"/>
      <c r="D7865" s="144"/>
      <c r="E7865" s="144"/>
      <c r="F7865" s="373"/>
      <c r="I7865" s="70"/>
    </row>
    <row r="7866" spans="3:9" s="46" customFormat="1" x14ac:dyDescent="0.2">
      <c r="C7866" s="144"/>
      <c r="D7866" s="144"/>
      <c r="E7866" s="144"/>
      <c r="F7866" s="373"/>
      <c r="I7866" s="70"/>
    </row>
    <row r="7867" spans="3:9" s="46" customFormat="1" x14ac:dyDescent="0.2">
      <c r="C7867" s="144"/>
      <c r="D7867" s="144"/>
      <c r="E7867" s="144"/>
      <c r="F7867" s="373"/>
      <c r="I7867" s="70"/>
    </row>
    <row r="7868" spans="3:9" s="46" customFormat="1" x14ac:dyDescent="0.2">
      <c r="C7868" s="144"/>
      <c r="D7868" s="144"/>
      <c r="E7868" s="144"/>
      <c r="F7868" s="373"/>
      <c r="I7868" s="70"/>
    </row>
    <row r="7869" spans="3:9" s="46" customFormat="1" x14ac:dyDescent="0.2">
      <c r="C7869" s="144"/>
      <c r="D7869" s="144"/>
      <c r="E7869" s="144"/>
      <c r="F7869" s="373"/>
      <c r="I7869" s="70"/>
    </row>
    <row r="7870" spans="3:9" s="46" customFormat="1" x14ac:dyDescent="0.2">
      <c r="C7870" s="144"/>
      <c r="D7870" s="144"/>
      <c r="E7870" s="144"/>
      <c r="F7870" s="373"/>
      <c r="I7870" s="70"/>
    </row>
    <row r="7871" spans="3:9" s="46" customFormat="1" x14ac:dyDescent="0.2">
      <c r="C7871" s="144"/>
      <c r="D7871" s="144"/>
      <c r="E7871" s="144"/>
      <c r="F7871" s="373"/>
      <c r="I7871" s="70"/>
    </row>
    <row r="7872" spans="3:9" s="46" customFormat="1" x14ac:dyDescent="0.2">
      <c r="C7872" s="144"/>
      <c r="D7872" s="144"/>
      <c r="E7872" s="144"/>
      <c r="F7872" s="373"/>
      <c r="I7872" s="70"/>
    </row>
    <row r="7873" spans="3:9" s="46" customFormat="1" x14ac:dyDescent="0.2">
      <c r="C7873" s="144"/>
      <c r="D7873" s="144"/>
      <c r="E7873" s="144"/>
      <c r="F7873" s="373"/>
      <c r="I7873" s="70"/>
    </row>
    <row r="7874" spans="3:9" s="46" customFormat="1" x14ac:dyDescent="0.2">
      <c r="C7874" s="144"/>
      <c r="D7874" s="144"/>
      <c r="E7874" s="144"/>
      <c r="F7874" s="373"/>
      <c r="I7874" s="70"/>
    </row>
    <row r="7875" spans="3:9" s="46" customFormat="1" x14ac:dyDescent="0.2">
      <c r="C7875" s="144"/>
      <c r="D7875" s="144"/>
      <c r="E7875" s="144"/>
      <c r="F7875" s="373"/>
      <c r="I7875" s="70"/>
    </row>
    <row r="7876" spans="3:9" s="46" customFormat="1" x14ac:dyDescent="0.2">
      <c r="C7876" s="144"/>
      <c r="D7876" s="144"/>
      <c r="E7876" s="144"/>
      <c r="F7876" s="373"/>
      <c r="I7876" s="70"/>
    </row>
    <row r="7877" spans="3:9" s="46" customFormat="1" x14ac:dyDescent="0.2">
      <c r="C7877" s="144"/>
      <c r="D7877" s="144"/>
      <c r="E7877" s="144"/>
      <c r="F7877" s="373"/>
      <c r="I7877" s="70"/>
    </row>
    <row r="7878" spans="3:9" s="46" customFormat="1" x14ac:dyDescent="0.2">
      <c r="C7878" s="144"/>
      <c r="D7878" s="144"/>
      <c r="E7878" s="144"/>
      <c r="F7878" s="373"/>
      <c r="I7878" s="70"/>
    </row>
    <row r="7879" spans="3:9" s="46" customFormat="1" x14ac:dyDescent="0.2">
      <c r="C7879" s="144"/>
      <c r="D7879" s="144"/>
      <c r="E7879" s="144"/>
      <c r="F7879" s="373"/>
      <c r="I7879" s="70"/>
    </row>
    <row r="7880" spans="3:9" s="46" customFormat="1" x14ac:dyDescent="0.2">
      <c r="C7880" s="144"/>
      <c r="D7880" s="144"/>
      <c r="E7880" s="144"/>
      <c r="F7880" s="373"/>
      <c r="I7880" s="70"/>
    </row>
    <row r="7881" spans="3:9" s="46" customFormat="1" x14ac:dyDescent="0.2">
      <c r="C7881" s="144"/>
      <c r="D7881" s="144"/>
      <c r="E7881" s="144"/>
      <c r="F7881" s="373"/>
      <c r="I7881" s="70"/>
    </row>
    <row r="7882" spans="3:9" s="46" customFormat="1" x14ac:dyDescent="0.2">
      <c r="C7882" s="144"/>
      <c r="D7882" s="144"/>
      <c r="E7882" s="144"/>
      <c r="F7882" s="373"/>
      <c r="I7882" s="70"/>
    </row>
    <row r="7883" spans="3:9" s="46" customFormat="1" x14ac:dyDescent="0.2">
      <c r="C7883" s="144"/>
      <c r="D7883" s="144"/>
      <c r="E7883" s="144"/>
      <c r="F7883" s="373"/>
      <c r="I7883" s="70"/>
    </row>
    <row r="7884" spans="3:9" s="46" customFormat="1" x14ac:dyDescent="0.2">
      <c r="C7884" s="144"/>
      <c r="D7884" s="144"/>
      <c r="E7884" s="144"/>
      <c r="F7884" s="373"/>
      <c r="I7884" s="70"/>
    </row>
    <row r="7885" spans="3:9" s="46" customFormat="1" x14ac:dyDescent="0.2">
      <c r="C7885" s="144"/>
      <c r="D7885" s="144"/>
      <c r="E7885" s="144"/>
      <c r="F7885" s="373"/>
      <c r="I7885" s="70"/>
    </row>
    <row r="7886" spans="3:9" s="46" customFormat="1" x14ac:dyDescent="0.2">
      <c r="C7886" s="144"/>
      <c r="D7886" s="144"/>
      <c r="E7886" s="144"/>
      <c r="F7886" s="373"/>
      <c r="I7886" s="70"/>
    </row>
    <row r="7887" spans="3:9" s="46" customFormat="1" x14ac:dyDescent="0.2">
      <c r="C7887" s="144"/>
      <c r="D7887" s="144"/>
      <c r="E7887" s="144"/>
      <c r="F7887" s="373"/>
      <c r="I7887" s="70"/>
    </row>
    <row r="7888" spans="3:9" s="46" customFormat="1" x14ac:dyDescent="0.2">
      <c r="C7888" s="144"/>
      <c r="D7888" s="144"/>
      <c r="E7888" s="144"/>
      <c r="F7888" s="373"/>
      <c r="I7888" s="70"/>
    </row>
    <row r="7889" spans="3:9" s="46" customFormat="1" x14ac:dyDescent="0.2">
      <c r="C7889" s="144"/>
      <c r="D7889" s="144"/>
      <c r="E7889" s="144"/>
      <c r="F7889" s="373"/>
      <c r="I7889" s="70"/>
    </row>
    <row r="7890" spans="3:9" s="46" customFormat="1" x14ac:dyDescent="0.2">
      <c r="C7890" s="144"/>
      <c r="D7890" s="144"/>
      <c r="E7890" s="144"/>
      <c r="F7890" s="373"/>
      <c r="I7890" s="70"/>
    </row>
    <row r="7891" spans="3:9" s="46" customFormat="1" x14ac:dyDescent="0.2">
      <c r="C7891" s="144"/>
      <c r="D7891" s="144"/>
      <c r="E7891" s="144"/>
      <c r="F7891" s="373"/>
      <c r="I7891" s="70"/>
    </row>
    <row r="7892" spans="3:9" s="46" customFormat="1" x14ac:dyDescent="0.2">
      <c r="C7892" s="144"/>
      <c r="D7892" s="144"/>
      <c r="E7892" s="144"/>
      <c r="F7892" s="373"/>
      <c r="I7892" s="70"/>
    </row>
    <row r="7893" spans="3:9" s="46" customFormat="1" x14ac:dyDescent="0.2">
      <c r="C7893" s="144"/>
      <c r="D7893" s="144"/>
      <c r="E7893" s="144"/>
      <c r="F7893" s="373"/>
      <c r="I7893" s="70"/>
    </row>
    <row r="7894" spans="3:9" s="46" customFormat="1" x14ac:dyDescent="0.2">
      <c r="C7894" s="144"/>
      <c r="D7894" s="144"/>
      <c r="E7894" s="144"/>
      <c r="F7894" s="373"/>
      <c r="I7894" s="70"/>
    </row>
    <row r="7895" spans="3:9" s="46" customFormat="1" x14ac:dyDescent="0.2">
      <c r="C7895" s="144"/>
      <c r="D7895" s="144"/>
      <c r="E7895" s="144"/>
      <c r="F7895" s="373"/>
      <c r="I7895" s="70"/>
    </row>
    <row r="7896" spans="3:9" s="46" customFormat="1" x14ac:dyDescent="0.2">
      <c r="C7896" s="144"/>
      <c r="D7896" s="144"/>
      <c r="E7896" s="144"/>
      <c r="F7896" s="373"/>
      <c r="I7896" s="70"/>
    </row>
    <row r="7897" spans="3:9" s="46" customFormat="1" x14ac:dyDescent="0.2">
      <c r="C7897" s="144"/>
      <c r="D7897" s="144"/>
      <c r="E7897" s="144"/>
      <c r="F7897" s="373"/>
      <c r="I7897" s="70"/>
    </row>
    <row r="7898" spans="3:9" s="46" customFormat="1" x14ac:dyDescent="0.2">
      <c r="C7898" s="144"/>
      <c r="D7898" s="144"/>
      <c r="E7898" s="144"/>
      <c r="F7898" s="373"/>
      <c r="I7898" s="70"/>
    </row>
    <row r="7899" spans="3:9" s="46" customFormat="1" x14ac:dyDescent="0.2">
      <c r="C7899" s="144"/>
      <c r="D7899" s="144"/>
      <c r="E7899" s="144"/>
      <c r="F7899" s="373"/>
      <c r="I7899" s="70"/>
    </row>
    <row r="7900" spans="3:9" s="46" customFormat="1" x14ac:dyDescent="0.2">
      <c r="C7900" s="144"/>
      <c r="D7900" s="144"/>
      <c r="E7900" s="144"/>
      <c r="F7900" s="373"/>
      <c r="I7900" s="70"/>
    </row>
    <row r="7901" spans="3:9" s="46" customFormat="1" x14ac:dyDescent="0.2">
      <c r="C7901" s="144"/>
      <c r="D7901" s="144"/>
      <c r="E7901" s="144"/>
      <c r="F7901" s="373"/>
      <c r="I7901" s="70"/>
    </row>
    <row r="7902" spans="3:9" s="46" customFormat="1" x14ac:dyDescent="0.2">
      <c r="C7902" s="144"/>
      <c r="D7902" s="144"/>
      <c r="E7902" s="144"/>
      <c r="F7902" s="373"/>
      <c r="I7902" s="70"/>
    </row>
    <row r="7903" spans="3:9" s="46" customFormat="1" x14ac:dyDescent="0.2">
      <c r="C7903" s="144"/>
      <c r="D7903" s="144"/>
      <c r="E7903" s="144"/>
      <c r="F7903" s="373"/>
      <c r="I7903" s="70"/>
    </row>
    <row r="7904" spans="3:9" s="46" customFormat="1" x14ac:dyDescent="0.2">
      <c r="C7904" s="144"/>
      <c r="D7904" s="144"/>
      <c r="E7904" s="144"/>
      <c r="F7904" s="373"/>
      <c r="I7904" s="70"/>
    </row>
    <row r="7905" spans="3:9" s="46" customFormat="1" x14ac:dyDescent="0.2">
      <c r="C7905" s="144"/>
      <c r="D7905" s="144"/>
      <c r="E7905" s="144"/>
      <c r="F7905" s="373"/>
      <c r="I7905" s="70"/>
    </row>
    <row r="7906" spans="3:9" s="46" customFormat="1" x14ac:dyDescent="0.2">
      <c r="C7906" s="144"/>
      <c r="D7906" s="144"/>
      <c r="E7906" s="144"/>
      <c r="F7906" s="373"/>
      <c r="I7906" s="70"/>
    </row>
    <row r="7907" spans="3:9" s="46" customFormat="1" x14ac:dyDescent="0.2">
      <c r="C7907" s="144"/>
      <c r="D7907" s="144"/>
      <c r="E7907" s="144"/>
      <c r="F7907" s="373"/>
      <c r="I7907" s="70"/>
    </row>
    <row r="7908" spans="3:9" s="46" customFormat="1" x14ac:dyDescent="0.2">
      <c r="C7908" s="144"/>
      <c r="D7908" s="144"/>
      <c r="E7908" s="144"/>
      <c r="F7908" s="373"/>
      <c r="I7908" s="70"/>
    </row>
    <row r="7909" spans="3:9" s="46" customFormat="1" x14ac:dyDescent="0.2">
      <c r="C7909" s="144"/>
      <c r="D7909" s="144"/>
      <c r="E7909" s="144"/>
      <c r="F7909" s="373"/>
      <c r="I7909" s="70"/>
    </row>
    <row r="7910" spans="3:9" s="46" customFormat="1" x14ac:dyDescent="0.2">
      <c r="C7910" s="144"/>
      <c r="D7910" s="144"/>
      <c r="E7910" s="144"/>
      <c r="F7910" s="373"/>
      <c r="I7910" s="70"/>
    </row>
    <row r="7911" spans="3:9" s="46" customFormat="1" x14ac:dyDescent="0.2">
      <c r="C7911" s="144"/>
      <c r="D7911" s="144"/>
      <c r="E7911" s="144"/>
      <c r="F7911" s="373"/>
      <c r="I7911" s="70"/>
    </row>
    <row r="7912" spans="3:9" s="46" customFormat="1" x14ac:dyDescent="0.2">
      <c r="C7912" s="144"/>
      <c r="D7912" s="144"/>
      <c r="E7912" s="144"/>
      <c r="F7912" s="373"/>
      <c r="I7912" s="70"/>
    </row>
    <row r="7913" spans="3:9" s="46" customFormat="1" x14ac:dyDescent="0.2">
      <c r="C7913" s="144"/>
      <c r="D7913" s="144"/>
      <c r="E7913" s="144"/>
      <c r="F7913" s="373"/>
      <c r="I7913" s="70"/>
    </row>
    <row r="7914" spans="3:9" s="46" customFormat="1" x14ac:dyDescent="0.2">
      <c r="C7914" s="144"/>
      <c r="D7914" s="144"/>
      <c r="E7914" s="144"/>
      <c r="F7914" s="373"/>
      <c r="I7914" s="70"/>
    </row>
    <row r="7915" spans="3:9" s="46" customFormat="1" x14ac:dyDescent="0.2">
      <c r="C7915" s="144"/>
      <c r="D7915" s="144"/>
      <c r="E7915" s="144"/>
      <c r="F7915" s="373"/>
      <c r="I7915" s="70"/>
    </row>
    <row r="7916" spans="3:9" s="46" customFormat="1" x14ac:dyDescent="0.2">
      <c r="C7916" s="144"/>
      <c r="D7916" s="144"/>
      <c r="E7916" s="144"/>
      <c r="F7916" s="373"/>
      <c r="I7916" s="70"/>
    </row>
    <row r="7917" spans="3:9" s="46" customFormat="1" x14ac:dyDescent="0.2">
      <c r="C7917" s="144"/>
      <c r="D7917" s="144"/>
      <c r="E7917" s="144"/>
      <c r="F7917" s="373"/>
      <c r="I7917" s="70"/>
    </row>
    <row r="7918" spans="3:9" s="46" customFormat="1" x14ac:dyDescent="0.2">
      <c r="C7918" s="144"/>
      <c r="D7918" s="144"/>
      <c r="E7918" s="144"/>
      <c r="F7918" s="373"/>
      <c r="I7918" s="70"/>
    </row>
    <row r="7919" spans="3:9" s="46" customFormat="1" x14ac:dyDescent="0.2">
      <c r="C7919" s="144"/>
      <c r="D7919" s="144"/>
      <c r="E7919" s="144"/>
      <c r="F7919" s="373"/>
      <c r="I7919" s="70"/>
    </row>
    <row r="7920" spans="3:9" s="46" customFormat="1" x14ac:dyDescent="0.2">
      <c r="C7920" s="144"/>
      <c r="D7920" s="144"/>
      <c r="E7920" s="144"/>
      <c r="F7920" s="373"/>
      <c r="I7920" s="70"/>
    </row>
    <row r="7921" spans="3:9" s="46" customFormat="1" x14ac:dyDescent="0.2">
      <c r="C7921" s="144"/>
      <c r="D7921" s="144"/>
      <c r="E7921" s="144"/>
      <c r="F7921" s="373"/>
      <c r="I7921" s="70"/>
    </row>
    <row r="7922" spans="3:9" s="46" customFormat="1" x14ac:dyDescent="0.2">
      <c r="C7922" s="144"/>
      <c r="D7922" s="144"/>
      <c r="E7922" s="144"/>
      <c r="F7922" s="373"/>
      <c r="I7922" s="70"/>
    </row>
    <row r="7923" spans="3:9" s="46" customFormat="1" x14ac:dyDescent="0.2">
      <c r="C7923" s="144"/>
      <c r="D7923" s="144"/>
      <c r="E7923" s="144"/>
      <c r="F7923" s="373"/>
      <c r="I7923" s="70"/>
    </row>
    <row r="7924" spans="3:9" s="46" customFormat="1" x14ac:dyDescent="0.2">
      <c r="C7924" s="144"/>
      <c r="D7924" s="144"/>
      <c r="E7924" s="144"/>
      <c r="F7924" s="373"/>
      <c r="I7924" s="70"/>
    </row>
    <row r="7925" spans="3:9" s="46" customFormat="1" x14ac:dyDescent="0.2">
      <c r="C7925" s="144"/>
      <c r="D7925" s="144"/>
      <c r="E7925" s="144"/>
      <c r="F7925" s="373"/>
      <c r="I7925" s="70"/>
    </row>
    <row r="7926" spans="3:9" s="46" customFormat="1" x14ac:dyDescent="0.2">
      <c r="C7926" s="144"/>
      <c r="D7926" s="144"/>
      <c r="E7926" s="144"/>
      <c r="F7926" s="373"/>
      <c r="I7926" s="70"/>
    </row>
    <row r="7927" spans="3:9" s="46" customFormat="1" x14ac:dyDescent="0.2">
      <c r="C7927" s="144"/>
      <c r="D7927" s="144"/>
      <c r="E7927" s="144"/>
      <c r="F7927" s="373"/>
      <c r="I7927" s="70"/>
    </row>
    <row r="7928" spans="3:9" s="46" customFormat="1" x14ac:dyDescent="0.2">
      <c r="C7928" s="144"/>
      <c r="D7928" s="144"/>
      <c r="E7928" s="144"/>
      <c r="F7928" s="373"/>
      <c r="I7928" s="70"/>
    </row>
    <row r="7929" spans="3:9" s="46" customFormat="1" x14ac:dyDescent="0.2">
      <c r="C7929" s="144"/>
      <c r="D7929" s="144"/>
      <c r="E7929" s="144"/>
      <c r="F7929" s="373"/>
      <c r="I7929" s="70"/>
    </row>
    <row r="7930" spans="3:9" s="46" customFormat="1" x14ac:dyDescent="0.2">
      <c r="C7930" s="144"/>
      <c r="D7930" s="144"/>
      <c r="E7930" s="144"/>
      <c r="F7930" s="373"/>
      <c r="I7930" s="70"/>
    </row>
    <row r="7931" spans="3:9" s="46" customFormat="1" x14ac:dyDescent="0.2">
      <c r="C7931" s="144"/>
      <c r="D7931" s="144"/>
      <c r="E7931" s="144"/>
      <c r="F7931" s="373"/>
      <c r="I7931" s="70"/>
    </row>
    <row r="7932" spans="3:9" s="46" customFormat="1" x14ac:dyDescent="0.2">
      <c r="C7932" s="144"/>
      <c r="D7932" s="144"/>
      <c r="E7932" s="144"/>
      <c r="F7932" s="373"/>
      <c r="I7932" s="70"/>
    </row>
    <row r="7933" spans="3:9" s="46" customFormat="1" x14ac:dyDescent="0.2">
      <c r="C7933" s="144"/>
      <c r="D7933" s="144"/>
      <c r="E7933" s="144"/>
      <c r="F7933" s="373"/>
      <c r="I7933" s="70"/>
    </row>
    <row r="7934" spans="3:9" s="46" customFormat="1" x14ac:dyDescent="0.2">
      <c r="C7934" s="144"/>
      <c r="D7934" s="144"/>
      <c r="E7934" s="144"/>
      <c r="F7934" s="373"/>
      <c r="I7934" s="70"/>
    </row>
    <row r="7935" spans="3:9" s="46" customFormat="1" x14ac:dyDescent="0.2">
      <c r="C7935" s="144"/>
      <c r="D7935" s="144"/>
      <c r="E7935" s="144"/>
      <c r="F7935" s="373"/>
      <c r="I7935" s="70"/>
    </row>
    <row r="7936" spans="3:9" s="46" customFormat="1" x14ac:dyDescent="0.2">
      <c r="C7936" s="144"/>
      <c r="D7936" s="144"/>
      <c r="E7936" s="144"/>
      <c r="F7936" s="373"/>
      <c r="I7936" s="70"/>
    </row>
    <row r="7937" spans="3:9" s="46" customFormat="1" x14ac:dyDescent="0.2">
      <c r="C7937" s="144"/>
      <c r="D7937" s="144"/>
      <c r="E7937" s="144"/>
      <c r="F7937" s="373"/>
      <c r="I7937" s="70"/>
    </row>
    <row r="7938" spans="3:9" s="46" customFormat="1" x14ac:dyDescent="0.2">
      <c r="C7938" s="144"/>
      <c r="D7938" s="144"/>
      <c r="E7938" s="144"/>
      <c r="F7938" s="373"/>
      <c r="I7938" s="70"/>
    </row>
    <row r="7939" spans="3:9" s="46" customFormat="1" x14ac:dyDescent="0.2">
      <c r="C7939" s="144"/>
      <c r="D7939" s="144"/>
      <c r="E7939" s="144"/>
      <c r="F7939" s="373"/>
      <c r="I7939" s="70"/>
    </row>
    <row r="7940" spans="3:9" s="46" customFormat="1" x14ac:dyDescent="0.2">
      <c r="C7940" s="144"/>
      <c r="D7940" s="144"/>
      <c r="E7940" s="144"/>
      <c r="F7940" s="373"/>
      <c r="I7940" s="70"/>
    </row>
    <row r="7941" spans="3:9" s="46" customFormat="1" x14ac:dyDescent="0.2">
      <c r="C7941" s="144"/>
      <c r="D7941" s="144"/>
      <c r="E7941" s="144"/>
      <c r="F7941" s="373"/>
      <c r="I7941" s="70"/>
    </row>
    <row r="7942" spans="3:9" s="46" customFormat="1" x14ac:dyDescent="0.2">
      <c r="C7942" s="144"/>
      <c r="D7942" s="144"/>
      <c r="E7942" s="144"/>
      <c r="F7942" s="373"/>
      <c r="I7942" s="70"/>
    </row>
    <row r="7943" spans="3:9" s="46" customFormat="1" x14ac:dyDescent="0.2">
      <c r="C7943" s="144"/>
      <c r="D7943" s="144"/>
      <c r="E7943" s="144"/>
      <c r="F7943" s="373"/>
      <c r="I7943" s="70"/>
    </row>
    <row r="7944" spans="3:9" s="46" customFormat="1" x14ac:dyDescent="0.2">
      <c r="C7944" s="144"/>
      <c r="D7944" s="144"/>
      <c r="E7944" s="144"/>
      <c r="F7944" s="373"/>
      <c r="I7944" s="70"/>
    </row>
    <row r="7945" spans="3:9" s="46" customFormat="1" x14ac:dyDescent="0.2">
      <c r="C7945" s="144"/>
      <c r="D7945" s="144"/>
      <c r="E7945" s="144"/>
      <c r="F7945" s="373"/>
      <c r="I7945" s="70"/>
    </row>
    <row r="7946" spans="3:9" s="46" customFormat="1" x14ac:dyDescent="0.2">
      <c r="C7946" s="144"/>
      <c r="D7946" s="144"/>
      <c r="E7946" s="144"/>
      <c r="F7946" s="373"/>
      <c r="I7946" s="70"/>
    </row>
    <row r="7947" spans="3:9" s="46" customFormat="1" x14ac:dyDescent="0.2">
      <c r="C7947" s="144"/>
      <c r="D7947" s="144"/>
      <c r="E7947" s="144"/>
      <c r="F7947" s="373"/>
      <c r="I7947" s="70"/>
    </row>
    <row r="7948" spans="3:9" s="46" customFormat="1" x14ac:dyDescent="0.2">
      <c r="C7948" s="144"/>
      <c r="D7948" s="144"/>
      <c r="E7948" s="144"/>
      <c r="F7948" s="373"/>
      <c r="I7948" s="70"/>
    </row>
    <row r="7949" spans="3:9" s="46" customFormat="1" x14ac:dyDescent="0.2">
      <c r="C7949" s="144"/>
      <c r="D7949" s="144"/>
      <c r="E7949" s="144"/>
      <c r="F7949" s="373"/>
      <c r="I7949" s="70"/>
    </row>
    <row r="7950" spans="3:9" s="46" customFormat="1" x14ac:dyDescent="0.2">
      <c r="C7950" s="144"/>
      <c r="D7950" s="144"/>
      <c r="E7950" s="144"/>
      <c r="F7950" s="373"/>
      <c r="I7950" s="70"/>
    </row>
    <row r="7951" spans="3:9" s="46" customFormat="1" x14ac:dyDescent="0.2">
      <c r="C7951" s="144"/>
      <c r="D7951" s="144"/>
      <c r="E7951" s="144"/>
      <c r="F7951" s="373"/>
      <c r="I7951" s="70"/>
    </row>
    <row r="7952" spans="3:9" s="46" customFormat="1" x14ac:dyDescent="0.2">
      <c r="C7952" s="144"/>
      <c r="D7952" s="144"/>
      <c r="E7952" s="144"/>
      <c r="F7952" s="373"/>
      <c r="I7952" s="70"/>
    </row>
    <row r="7953" spans="3:9" s="46" customFormat="1" x14ac:dyDescent="0.2">
      <c r="C7953" s="144"/>
      <c r="D7953" s="144"/>
      <c r="E7953" s="144"/>
      <c r="F7953" s="373"/>
      <c r="I7953" s="70"/>
    </row>
    <row r="7954" spans="3:9" s="46" customFormat="1" x14ac:dyDescent="0.2">
      <c r="C7954" s="144"/>
      <c r="D7954" s="144"/>
      <c r="E7954" s="144"/>
      <c r="F7954" s="373"/>
      <c r="I7954" s="70"/>
    </row>
    <row r="7955" spans="3:9" s="46" customFormat="1" x14ac:dyDescent="0.2">
      <c r="C7955" s="144"/>
      <c r="D7955" s="144"/>
      <c r="E7955" s="144"/>
      <c r="F7955" s="373"/>
      <c r="I7955" s="70"/>
    </row>
    <row r="7956" spans="3:9" s="46" customFormat="1" x14ac:dyDescent="0.2">
      <c r="C7956" s="144"/>
      <c r="D7956" s="144"/>
      <c r="E7956" s="144"/>
      <c r="F7956" s="373"/>
      <c r="I7956" s="70"/>
    </row>
    <row r="7957" spans="3:9" s="46" customFormat="1" x14ac:dyDescent="0.2">
      <c r="C7957" s="144"/>
      <c r="D7957" s="144"/>
      <c r="E7957" s="144"/>
      <c r="F7957" s="373"/>
      <c r="I7957" s="70"/>
    </row>
    <row r="7958" spans="3:9" s="46" customFormat="1" x14ac:dyDescent="0.2">
      <c r="C7958" s="144"/>
      <c r="D7958" s="144"/>
      <c r="E7958" s="144"/>
      <c r="F7958" s="373"/>
      <c r="I7958" s="70"/>
    </row>
    <row r="7959" spans="3:9" s="46" customFormat="1" x14ac:dyDescent="0.2">
      <c r="C7959" s="144"/>
      <c r="D7959" s="144"/>
      <c r="E7959" s="144"/>
      <c r="F7959" s="373"/>
      <c r="I7959" s="70"/>
    </row>
    <row r="7960" spans="3:9" s="46" customFormat="1" x14ac:dyDescent="0.2">
      <c r="C7960" s="144"/>
      <c r="D7960" s="144"/>
      <c r="E7960" s="144"/>
      <c r="F7960" s="373"/>
      <c r="I7960" s="70"/>
    </row>
    <row r="7961" spans="3:9" s="46" customFormat="1" x14ac:dyDescent="0.2">
      <c r="C7961" s="144"/>
      <c r="D7961" s="144"/>
      <c r="E7961" s="144"/>
      <c r="F7961" s="373"/>
      <c r="I7961" s="70"/>
    </row>
    <row r="7962" spans="3:9" s="46" customFormat="1" x14ac:dyDescent="0.2">
      <c r="C7962" s="144"/>
      <c r="D7962" s="144"/>
      <c r="E7962" s="144"/>
      <c r="F7962" s="373"/>
      <c r="I7962" s="70"/>
    </row>
    <row r="7963" spans="3:9" s="46" customFormat="1" x14ac:dyDescent="0.2">
      <c r="C7963" s="144"/>
      <c r="D7963" s="144"/>
      <c r="E7963" s="144"/>
      <c r="F7963" s="373"/>
      <c r="I7963" s="70"/>
    </row>
    <row r="7964" spans="3:9" s="46" customFormat="1" x14ac:dyDescent="0.2">
      <c r="C7964" s="144"/>
      <c r="D7964" s="144"/>
      <c r="E7964" s="144"/>
      <c r="F7964" s="373"/>
      <c r="I7964" s="70"/>
    </row>
    <row r="7965" spans="3:9" s="46" customFormat="1" x14ac:dyDescent="0.2">
      <c r="C7965" s="144"/>
      <c r="D7965" s="144"/>
      <c r="E7965" s="144"/>
      <c r="F7965" s="373"/>
      <c r="I7965" s="70"/>
    </row>
    <row r="7966" spans="3:9" s="46" customFormat="1" x14ac:dyDescent="0.2">
      <c r="C7966" s="144"/>
      <c r="D7966" s="144"/>
      <c r="E7966" s="144"/>
      <c r="F7966" s="373"/>
      <c r="I7966" s="70"/>
    </row>
    <row r="7967" spans="3:9" s="46" customFormat="1" x14ac:dyDescent="0.2">
      <c r="C7967" s="144"/>
      <c r="D7967" s="144"/>
      <c r="E7967" s="144"/>
      <c r="F7967" s="373"/>
      <c r="I7967" s="70"/>
    </row>
    <row r="7968" spans="3:9" s="46" customFormat="1" x14ac:dyDescent="0.2">
      <c r="C7968" s="144"/>
      <c r="D7968" s="144"/>
      <c r="E7968" s="144"/>
      <c r="F7968" s="373"/>
      <c r="I7968" s="70"/>
    </row>
    <row r="7969" spans="3:9" s="46" customFormat="1" x14ac:dyDescent="0.2">
      <c r="C7969" s="144"/>
      <c r="D7969" s="144"/>
      <c r="E7969" s="144"/>
      <c r="F7969" s="373"/>
      <c r="I7969" s="70"/>
    </row>
    <row r="7970" spans="3:9" s="46" customFormat="1" x14ac:dyDescent="0.2">
      <c r="C7970" s="144"/>
      <c r="D7970" s="144"/>
      <c r="E7970" s="144"/>
      <c r="F7970" s="373"/>
      <c r="I7970" s="70"/>
    </row>
    <row r="7971" spans="3:9" s="46" customFormat="1" x14ac:dyDescent="0.2">
      <c r="C7971" s="144"/>
      <c r="D7971" s="144"/>
      <c r="E7971" s="144"/>
      <c r="F7971" s="373"/>
      <c r="I7971" s="70"/>
    </row>
    <row r="7972" spans="3:9" s="46" customFormat="1" x14ac:dyDescent="0.2">
      <c r="C7972" s="144"/>
      <c r="D7972" s="144"/>
      <c r="E7972" s="144"/>
      <c r="F7972" s="373"/>
      <c r="I7972" s="70"/>
    </row>
    <row r="7973" spans="3:9" s="46" customFormat="1" x14ac:dyDescent="0.2">
      <c r="C7973" s="144"/>
      <c r="D7973" s="144"/>
      <c r="E7973" s="144"/>
      <c r="F7973" s="373"/>
      <c r="I7973" s="70"/>
    </row>
    <row r="7974" spans="3:9" s="46" customFormat="1" x14ac:dyDescent="0.2">
      <c r="C7974" s="144"/>
      <c r="D7974" s="144"/>
      <c r="E7974" s="144"/>
      <c r="F7974" s="373"/>
      <c r="I7974" s="70"/>
    </row>
    <row r="7975" spans="3:9" s="46" customFormat="1" x14ac:dyDescent="0.2">
      <c r="C7975" s="144"/>
      <c r="D7975" s="144"/>
      <c r="E7975" s="144"/>
      <c r="F7975" s="373"/>
      <c r="I7975" s="70"/>
    </row>
    <row r="7976" spans="3:9" s="46" customFormat="1" x14ac:dyDescent="0.2">
      <c r="C7976" s="144"/>
      <c r="D7976" s="144"/>
      <c r="E7976" s="144"/>
      <c r="F7976" s="373"/>
      <c r="I7976" s="70"/>
    </row>
    <row r="7977" spans="3:9" s="46" customFormat="1" x14ac:dyDescent="0.2">
      <c r="C7977" s="144"/>
      <c r="D7977" s="144"/>
      <c r="E7977" s="144"/>
      <c r="F7977" s="373"/>
      <c r="I7977" s="70"/>
    </row>
    <row r="7978" spans="3:9" s="46" customFormat="1" x14ac:dyDescent="0.2">
      <c r="C7978" s="144"/>
      <c r="D7978" s="144"/>
      <c r="E7978" s="144"/>
      <c r="F7978" s="373"/>
      <c r="I7978" s="70"/>
    </row>
    <row r="7979" spans="3:9" s="46" customFormat="1" x14ac:dyDescent="0.2">
      <c r="C7979" s="144"/>
      <c r="D7979" s="144"/>
      <c r="E7979" s="144"/>
      <c r="F7979" s="373"/>
      <c r="I7979" s="70"/>
    </row>
    <row r="7980" spans="3:9" s="46" customFormat="1" x14ac:dyDescent="0.2">
      <c r="C7980" s="144"/>
      <c r="D7980" s="144"/>
      <c r="E7980" s="144"/>
      <c r="F7980" s="373"/>
      <c r="I7980" s="70"/>
    </row>
    <row r="7981" spans="3:9" s="46" customFormat="1" x14ac:dyDescent="0.2">
      <c r="C7981" s="144"/>
      <c r="D7981" s="144"/>
      <c r="E7981" s="144"/>
      <c r="F7981" s="373"/>
      <c r="I7981" s="70"/>
    </row>
    <row r="7982" spans="3:9" s="46" customFormat="1" x14ac:dyDescent="0.2">
      <c r="C7982" s="144"/>
      <c r="D7982" s="144"/>
      <c r="E7982" s="144"/>
      <c r="F7982" s="373"/>
      <c r="I7982" s="70"/>
    </row>
    <row r="7983" spans="3:9" s="46" customFormat="1" x14ac:dyDescent="0.2">
      <c r="C7983" s="144"/>
      <c r="D7983" s="144"/>
      <c r="E7983" s="144"/>
      <c r="F7983" s="373"/>
      <c r="I7983" s="70"/>
    </row>
    <row r="7984" spans="3:9" s="46" customFormat="1" x14ac:dyDescent="0.2">
      <c r="C7984" s="144"/>
      <c r="D7984" s="144"/>
      <c r="E7984" s="144"/>
      <c r="F7984" s="373"/>
      <c r="I7984" s="70"/>
    </row>
    <row r="7985" spans="3:9" s="46" customFormat="1" x14ac:dyDescent="0.2">
      <c r="C7985" s="144"/>
      <c r="D7985" s="144"/>
      <c r="E7985" s="144"/>
      <c r="F7985" s="373"/>
      <c r="I7985" s="70"/>
    </row>
    <row r="7986" spans="3:9" s="46" customFormat="1" x14ac:dyDescent="0.2">
      <c r="C7986" s="144"/>
      <c r="D7986" s="144"/>
      <c r="E7986" s="144"/>
      <c r="F7986" s="373"/>
      <c r="I7986" s="70"/>
    </row>
    <row r="7987" spans="3:9" s="46" customFormat="1" x14ac:dyDescent="0.2">
      <c r="C7987" s="144"/>
      <c r="D7987" s="144"/>
      <c r="E7987" s="144"/>
      <c r="F7987" s="373"/>
      <c r="I7987" s="70"/>
    </row>
    <row r="7988" spans="3:9" s="46" customFormat="1" x14ac:dyDescent="0.2">
      <c r="C7988" s="144"/>
      <c r="D7988" s="144"/>
      <c r="E7988" s="144"/>
      <c r="F7988" s="373"/>
      <c r="I7988" s="70"/>
    </row>
    <row r="7989" spans="3:9" s="46" customFormat="1" x14ac:dyDescent="0.2">
      <c r="C7989" s="144"/>
      <c r="D7989" s="144"/>
      <c r="E7989" s="144"/>
      <c r="F7989" s="373"/>
      <c r="I7989" s="70"/>
    </row>
    <row r="7990" spans="3:9" s="46" customFormat="1" x14ac:dyDescent="0.2">
      <c r="C7990" s="144"/>
      <c r="D7990" s="144"/>
      <c r="E7990" s="144"/>
      <c r="F7990" s="373"/>
      <c r="I7990" s="70"/>
    </row>
    <row r="7991" spans="3:9" s="46" customFormat="1" x14ac:dyDescent="0.2">
      <c r="C7991" s="144"/>
      <c r="D7991" s="144"/>
      <c r="E7991" s="144"/>
      <c r="F7991" s="373"/>
      <c r="I7991" s="70"/>
    </row>
    <row r="7992" spans="3:9" s="46" customFormat="1" x14ac:dyDescent="0.2">
      <c r="C7992" s="144"/>
      <c r="D7992" s="144"/>
      <c r="E7992" s="144"/>
      <c r="F7992" s="373"/>
      <c r="I7992" s="70"/>
    </row>
    <row r="7993" spans="3:9" s="46" customFormat="1" x14ac:dyDescent="0.2">
      <c r="C7993" s="144"/>
      <c r="D7993" s="144"/>
      <c r="E7993" s="144"/>
      <c r="F7993" s="373"/>
      <c r="I7993" s="70"/>
    </row>
    <row r="7994" spans="3:9" s="46" customFormat="1" x14ac:dyDescent="0.2">
      <c r="C7994" s="144"/>
      <c r="D7994" s="144"/>
      <c r="E7994" s="144"/>
      <c r="F7994" s="373"/>
      <c r="I7994" s="70"/>
    </row>
    <row r="7995" spans="3:9" s="46" customFormat="1" x14ac:dyDescent="0.2">
      <c r="C7995" s="144"/>
      <c r="D7995" s="144"/>
      <c r="E7995" s="144"/>
      <c r="F7995" s="373"/>
      <c r="I7995" s="70"/>
    </row>
    <row r="7996" spans="3:9" s="46" customFormat="1" x14ac:dyDescent="0.2">
      <c r="C7996" s="144"/>
      <c r="D7996" s="144"/>
      <c r="E7996" s="144"/>
      <c r="F7996" s="373"/>
      <c r="I7996" s="70"/>
    </row>
    <row r="7997" spans="3:9" s="46" customFormat="1" x14ac:dyDescent="0.2">
      <c r="C7997" s="144"/>
      <c r="D7997" s="144"/>
      <c r="E7997" s="144"/>
      <c r="F7997" s="373"/>
      <c r="I7997" s="70"/>
    </row>
    <row r="7998" spans="3:9" s="46" customFormat="1" x14ac:dyDescent="0.2">
      <c r="C7998" s="144"/>
      <c r="D7998" s="144"/>
      <c r="E7998" s="144"/>
      <c r="F7998" s="373"/>
      <c r="I7998" s="70"/>
    </row>
    <row r="7999" spans="3:9" s="46" customFormat="1" x14ac:dyDescent="0.2">
      <c r="C7999" s="144"/>
      <c r="D7999" s="144"/>
      <c r="E7999" s="144"/>
      <c r="F7999" s="373"/>
      <c r="I7999" s="70"/>
    </row>
    <row r="8000" spans="3:9" s="46" customFormat="1" x14ac:dyDescent="0.2">
      <c r="C8000" s="144"/>
      <c r="D8000" s="144"/>
      <c r="E8000" s="144"/>
      <c r="F8000" s="373"/>
      <c r="I8000" s="70"/>
    </row>
    <row r="8001" spans="3:9" s="46" customFormat="1" x14ac:dyDescent="0.2">
      <c r="C8001" s="144"/>
      <c r="D8001" s="144"/>
      <c r="E8001" s="144"/>
      <c r="F8001" s="373"/>
      <c r="I8001" s="70"/>
    </row>
    <row r="8002" spans="3:9" s="46" customFormat="1" x14ac:dyDescent="0.2">
      <c r="C8002" s="144"/>
      <c r="D8002" s="144"/>
      <c r="E8002" s="144"/>
      <c r="F8002" s="373"/>
      <c r="I8002" s="70"/>
    </row>
    <row r="8003" spans="3:9" s="46" customFormat="1" x14ac:dyDescent="0.2">
      <c r="C8003" s="144"/>
      <c r="D8003" s="144"/>
      <c r="E8003" s="144"/>
      <c r="F8003" s="373"/>
      <c r="I8003" s="70"/>
    </row>
    <row r="8004" spans="3:9" s="46" customFormat="1" x14ac:dyDescent="0.2">
      <c r="C8004" s="144"/>
      <c r="D8004" s="144"/>
      <c r="E8004" s="144"/>
      <c r="F8004" s="373"/>
      <c r="I8004" s="70"/>
    </row>
    <row r="8005" spans="3:9" s="46" customFormat="1" x14ac:dyDescent="0.2">
      <c r="C8005" s="144"/>
      <c r="D8005" s="144"/>
      <c r="E8005" s="144"/>
      <c r="F8005" s="373"/>
      <c r="I8005" s="70"/>
    </row>
    <row r="8006" spans="3:9" s="46" customFormat="1" x14ac:dyDescent="0.2">
      <c r="C8006" s="144"/>
      <c r="D8006" s="144"/>
      <c r="E8006" s="144"/>
      <c r="F8006" s="373"/>
      <c r="I8006" s="70"/>
    </row>
    <row r="8007" spans="3:9" s="46" customFormat="1" x14ac:dyDescent="0.2">
      <c r="C8007" s="144"/>
      <c r="D8007" s="144"/>
      <c r="E8007" s="144"/>
      <c r="F8007" s="373"/>
      <c r="I8007" s="70"/>
    </row>
    <row r="8008" spans="3:9" s="46" customFormat="1" x14ac:dyDescent="0.2">
      <c r="C8008" s="144"/>
      <c r="D8008" s="144"/>
      <c r="E8008" s="144"/>
      <c r="F8008" s="373"/>
      <c r="I8008" s="70"/>
    </row>
    <row r="8009" spans="3:9" s="46" customFormat="1" x14ac:dyDescent="0.2">
      <c r="C8009" s="144"/>
      <c r="D8009" s="144"/>
      <c r="E8009" s="144"/>
      <c r="F8009" s="373"/>
      <c r="I8009" s="70"/>
    </row>
    <row r="8010" spans="3:9" s="46" customFormat="1" x14ac:dyDescent="0.2">
      <c r="C8010" s="144"/>
      <c r="D8010" s="144"/>
      <c r="E8010" s="144"/>
      <c r="F8010" s="373"/>
      <c r="I8010" s="70"/>
    </row>
    <row r="8011" spans="3:9" s="46" customFormat="1" x14ac:dyDescent="0.2">
      <c r="C8011" s="144"/>
      <c r="D8011" s="144"/>
      <c r="E8011" s="144"/>
      <c r="F8011" s="373"/>
      <c r="I8011" s="70"/>
    </row>
    <row r="8012" spans="3:9" s="46" customFormat="1" x14ac:dyDescent="0.2">
      <c r="C8012" s="144"/>
      <c r="D8012" s="144"/>
      <c r="E8012" s="144"/>
      <c r="F8012" s="373"/>
      <c r="I8012" s="70"/>
    </row>
    <row r="8013" spans="3:9" s="46" customFormat="1" x14ac:dyDescent="0.2">
      <c r="C8013" s="144"/>
      <c r="D8013" s="144"/>
      <c r="E8013" s="144"/>
      <c r="F8013" s="373"/>
      <c r="I8013" s="70"/>
    </row>
    <row r="8014" spans="3:9" s="46" customFormat="1" x14ac:dyDescent="0.2">
      <c r="C8014" s="144"/>
      <c r="D8014" s="144"/>
      <c r="E8014" s="144"/>
      <c r="F8014" s="373"/>
      <c r="I8014" s="70"/>
    </row>
    <row r="8015" spans="3:9" s="46" customFormat="1" x14ac:dyDescent="0.2">
      <c r="C8015" s="144"/>
      <c r="D8015" s="144"/>
      <c r="E8015" s="144"/>
      <c r="F8015" s="373"/>
      <c r="I8015" s="70"/>
    </row>
    <row r="8016" spans="3:9" s="46" customFormat="1" x14ac:dyDescent="0.2">
      <c r="C8016" s="144"/>
      <c r="D8016" s="144"/>
      <c r="E8016" s="144"/>
      <c r="F8016" s="373"/>
      <c r="I8016" s="70"/>
    </row>
    <row r="8017" spans="3:9" s="46" customFormat="1" x14ac:dyDescent="0.2">
      <c r="C8017" s="144"/>
      <c r="D8017" s="144"/>
      <c r="E8017" s="144"/>
      <c r="F8017" s="373"/>
      <c r="I8017" s="70"/>
    </row>
    <row r="8018" spans="3:9" s="46" customFormat="1" x14ac:dyDescent="0.2">
      <c r="C8018" s="144"/>
      <c r="D8018" s="144"/>
      <c r="E8018" s="144"/>
      <c r="F8018" s="373"/>
      <c r="I8018" s="70"/>
    </row>
    <row r="8019" spans="3:9" s="46" customFormat="1" x14ac:dyDescent="0.2">
      <c r="C8019" s="144"/>
      <c r="D8019" s="144"/>
      <c r="E8019" s="144"/>
      <c r="F8019" s="373"/>
      <c r="I8019" s="70"/>
    </row>
    <row r="8020" spans="3:9" s="46" customFormat="1" x14ac:dyDescent="0.2">
      <c r="C8020" s="144"/>
      <c r="D8020" s="144"/>
      <c r="E8020" s="144"/>
      <c r="F8020" s="373"/>
      <c r="I8020" s="70"/>
    </row>
    <row r="8021" spans="3:9" s="46" customFormat="1" x14ac:dyDescent="0.2">
      <c r="C8021" s="144"/>
      <c r="D8021" s="144"/>
      <c r="E8021" s="144"/>
      <c r="F8021" s="373"/>
      <c r="I8021" s="70"/>
    </row>
    <row r="8022" spans="3:9" s="46" customFormat="1" x14ac:dyDescent="0.2">
      <c r="C8022" s="144"/>
      <c r="D8022" s="144"/>
      <c r="E8022" s="144"/>
      <c r="F8022" s="373"/>
      <c r="I8022" s="70"/>
    </row>
    <row r="8023" spans="3:9" s="46" customFormat="1" x14ac:dyDescent="0.2">
      <c r="C8023" s="144"/>
      <c r="D8023" s="144"/>
      <c r="E8023" s="144"/>
      <c r="F8023" s="373"/>
      <c r="I8023" s="70"/>
    </row>
    <row r="8024" spans="3:9" s="46" customFormat="1" x14ac:dyDescent="0.2">
      <c r="C8024" s="144"/>
      <c r="D8024" s="144"/>
      <c r="E8024" s="144"/>
      <c r="F8024" s="373"/>
      <c r="I8024" s="70"/>
    </row>
    <row r="8025" spans="3:9" s="46" customFormat="1" x14ac:dyDescent="0.2">
      <c r="C8025" s="144"/>
      <c r="D8025" s="144"/>
      <c r="E8025" s="144"/>
      <c r="F8025" s="373"/>
      <c r="I8025" s="70"/>
    </row>
    <row r="8026" spans="3:9" s="46" customFormat="1" x14ac:dyDescent="0.2">
      <c r="C8026" s="144"/>
      <c r="D8026" s="144"/>
      <c r="E8026" s="144"/>
      <c r="F8026" s="373"/>
      <c r="I8026" s="70"/>
    </row>
    <row r="8027" spans="3:9" s="46" customFormat="1" x14ac:dyDescent="0.2">
      <c r="C8027" s="144"/>
      <c r="D8027" s="144"/>
      <c r="E8027" s="144"/>
      <c r="F8027" s="373"/>
      <c r="I8027" s="70"/>
    </row>
    <row r="8028" spans="3:9" s="46" customFormat="1" x14ac:dyDescent="0.2">
      <c r="C8028" s="144"/>
      <c r="D8028" s="144"/>
      <c r="E8028" s="144"/>
      <c r="F8028" s="373"/>
      <c r="I8028" s="70"/>
    </row>
    <row r="8029" spans="3:9" s="46" customFormat="1" x14ac:dyDescent="0.2">
      <c r="C8029" s="144"/>
      <c r="D8029" s="144"/>
      <c r="E8029" s="144"/>
      <c r="F8029" s="373"/>
      <c r="I8029" s="70"/>
    </row>
    <row r="8030" spans="3:9" s="46" customFormat="1" x14ac:dyDescent="0.2">
      <c r="C8030" s="144"/>
      <c r="D8030" s="144"/>
      <c r="E8030" s="144"/>
      <c r="F8030" s="373"/>
      <c r="I8030" s="70"/>
    </row>
    <row r="8031" spans="3:9" s="46" customFormat="1" x14ac:dyDescent="0.2">
      <c r="C8031" s="144"/>
      <c r="D8031" s="144"/>
      <c r="E8031" s="144"/>
      <c r="F8031" s="373"/>
      <c r="I8031" s="70"/>
    </row>
    <row r="8032" spans="3:9" s="46" customFormat="1" x14ac:dyDescent="0.2">
      <c r="C8032" s="144"/>
      <c r="D8032" s="144"/>
      <c r="E8032" s="144"/>
      <c r="F8032" s="373"/>
      <c r="I8032" s="70"/>
    </row>
    <row r="8033" spans="3:9" s="46" customFormat="1" x14ac:dyDescent="0.2">
      <c r="C8033" s="144"/>
      <c r="D8033" s="144"/>
      <c r="E8033" s="144"/>
      <c r="F8033" s="373"/>
      <c r="I8033" s="70"/>
    </row>
    <row r="8034" spans="3:9" s="46" customFormat="1" x14ac:dyDescent="0.2">
      <c r="C8034" s="144"/>
      <c r="D8034" s="144"/>
      <c r="E8034" s="144"/>
      <c r="F8034" s="373"/>
      <c r="I8034" s="70"/>
    </row>
    <row r="8035" spans="3:9" s="46" customFormat="1" x14ac:dyDescent="0.2">
      <c r="C8035" s="144"/>
      <c r="D8035" s="144"/>
      <c r="E8035" s="144"/>
      <c r="F8035" s="373"/>
      <c r="I8035" s="70"/>
    </row>
    <row r="8036" spans="3:9" s="46" customFormat="1" x14ac:dyDescent="0.2">
      <c r="C8036" s="144"/>
      <c r="D8036" s="144"/>
      <c r="E8036" s="144"/>
      <c r="F8036" s="373"/>
      <c r="I8036" s="70"/>
    </row>
    <row r="8037" spans="3:9" s="46" customFormat="1" x14ac:dyDescent="0.2">
      <c r="C8037" s="144"/>
      <c r="D8037" s="144"/>
      <c r="E8037" s="144"/>
      <c r="F8037" s="373"/>
      <c r="I8037" s="70"/>
    </row>
    <row r="8038" spans="3:9" s="46" customFormat="1" x14ac:dyDescent="0.2">
      <c r="C8038" s="144"/>
      <c r="D8038" s="144"/>
      <c r="E8038" s="144"/>
      <c r="F8038" s="373"/>
      <c r="I8038" s="70"/>
    </row>
    <row r="8039" spans="3:9" s="46" customFormat="1" x14ac:dyDescent="0.2">
      <c r="C8039" s="144"/>
      <c r="D8039" s="144"/>
      <c r="E8039" s="144"/>
      <c r="F8039" s="373"/>
      <c r="I8039" s="70"/>
    </row>
    <row r="8040" spans="3:9" s="46" customFormat="1" x14ac:dyDescent="0.2">
      <c r="C8040" s="144"/>
      <c r="D8040" s="144"/>
      <c r="E8040" s="144"/>
      <c r="F8040" s="373"/>
      <c r="I8040" s="70"/>
    </row>
    <row r="8041" spans="3:9" s="46" customFormat="1" x14ac:dyDescent="0.2">
      <c r="C8041" s="144"/>
      <c r="D8041" s="144"/>
      <c r="E8041" s="144"/>
      <c r="F8041" s="373"/>
      <c r="I8041" s="70"/>
    </row>
    <row r="8042" spans="3:9" s="46" customFormat="1" x14ac:dyDescent="0.2">
      <c r="C8042" s="144"/>
      <c r="D8042" s="144"/>
      <c r="E8042" s="144"/>
      <c r="F8042" s="373"/>
      <c r="I8042" s="70"/>
    </row>
    <row r="8043" spans="3:9" s="46" customFormat="1" x14ac:dyDescent="0.2">
      <c r="C8043" s="144"/>
      <c r="D8043" s="144"/>
      <c r="E8043" s="144"/>
      <c r="F8043" s="373"/>
      <c r="I8043" s="70"/>
    </row>
    <row r="8044" spans="3:9" s="46" customFormat="1" x14ac:dyDescent="0.2">
      <c r="C8044" s="144"/>
      <c r="D8044" s="144"/>
      <c r="E8044" s="144"/>
      <c r="F8044" s="373"/>
      <c r="I8044" s="70"/>
    </row>
    <row r="8045" spans="3:9" s="46" customFormat="1" x14ac:dyDescent="0.2">
      <c r="C8045" s="144"/>
      <c r="D8045" s="144"/>
      <c r="E8045" s="144"/>
      <c r="F8045" s="373"/>
      <c r="I8045" s="70"/>
    </row>
    <row r="8046" spans="3:9" s="46" customFormat="1" x14ac:dyDescent="0.2">
      <c r="C8046" s="144"/>
      <c r="D8046" s="144"/>
      <c r="E8046" s="144"/>
      <c r="F8046" s="373"/>
      <c r="I8046" s="70"/>
    </row>
    <row r="8047" spans="3:9" s="46" customFormat="1" x14ac:dyDescent="0.2">
      <c r="C8047" s="144"/>
      <c r="D8047" s="144"/>
      <c r="E8047" s="144"/>
      <c r="F8047" s="373"/>
      <c r="I8047" s="70"/>
    </row>
    <row r="8048" spans="3:9" s="46" customFormat="1" x14ac:dyDescent="0.2">
      <c r="C8048" s="144"/>
      <c r="D8048" s="144"/>
      <c r="E8048" s="144"/>
      <c r="F8048" s="373"/>
      <c r="I8048" s="70"/>
    </row>
    <row r="8049" spans="3:9" s="46" customFormat="1" x14ac:dyDescent="0.2">
      <c r="C8049" s="144"/>
      <c r="D8049" s="144"/>
      <c r="E8049" s="144"/>
      <c r="F8049" s="373"/>
      <c r="I8049" s="70"/>
    </row>
    <row r="8050" spans="3:9" s="46" customFormat="1" x14ac:dyDescent="0.2">
      <c r="C8050" s="144"/>
      <c r="D8050" s="144"/>
      <c r="E8050" s="144"/>
      <c r="F8050" s="373"/>
      <c r="I8050" s="70"/>
    </row>
    <row r="8051" spans="3:9" s="46" customFormat="1" x14ac:dyDescent="0.2">
      <c r="C8051" s="144"/>
      <c r="D8051" s="144"/>
      <c r="E8051" s="144"/>
      <c r="F8051" s="373"/>
      <c r="I8051" s="70"/>
    </row>
    <row r="8052" spans="3:9" s="46" customFormat="1" x14ac:dyDescent="0.2">
      <c r="C8052" s="144"/>
      <c r="D8052" s="144"/>
      <c r="E8052" s="144"/>
      <c r="F8052" s="373"/>
      <c r="I8052" s="70"/>
    </row>
    <row r="8053" spans="3:9" s="46" customFormat="1" x14ac:dyDescent="0.2">
      <c r="C8053" s="144"/>
      <c r="D8053" s="144"/>
      <c r="E8053" s="144"/>
      <c r="F8053" s="373"/>
      <c r="I8053" s="70"/>
    </row>
    <row r="8054" spans="3:9" s="46" customFormat="1" x14ac:dyDescent="0.2">
      <c r="C8054" s="144"/>
      <c r="D8054" s="144"/>
      <c r="E8054" s="144"/>
      <c r="F8054" s="373"/>
      <c r="I8054" s="70"/>
    </row>
    <row r="8055" spans="3:9" s="46" customFormat="1" x14ac:dyDescent="0.2">
      <c r="C8055" s="144"/>
      <c r="D8055" s="144"/>
      <c r="E8055" s="144"/>
      <c r="F8055" s="373"/>
      <c r="I8055" s="70"/>
    </row>
    <row r="8056" spans="3:9" s="46" customFormat="1" x14ac:dyDescent="0.2">
      <c r="C8056" s="144"/>
      <c r="D8056" s="144"/>
      <c r="E8056" s="144"/>
      <c r="F8056" s="373"/>
      <c r="I8056" s="70"/>
    </row>
    <row r="8057" spans="3:9" s="46" customFormat="1" x14ac:dyDescent="0.2">
      <c r="C8057" s="144"/>
      <c r="D8057" s="144"/>
      <c r="E8057" s="144"/>
      <c r="F8057" s="373"/>
      <c r="I8057" s="70"/>
    </row>
    <row r="8058" spans="3:9" s="46" customFormat="1" x14ac:dyDescent="0.2">
      <c r="C8058" s="144"/>
      <c r="D8058" s="144"/>
      <c r="E8058" s="144"/>
      <c r="F8058" s="373"/>
      <c r="I8058" s="70"/>
    </row>
    <row r="8059" spans="3:9" s="46" customFormat="1" x14ac:dyDescent="0.2">
      <c r="C8059" s="144"/>
      <c r="D8059" s="144"/>
      <c r="E8059" s="144"/>
      <c r="F8059" s="373"/>
      <c r="I8059" s="70"/>
    </row>
    <row r="8060" spans="3:9" s="46" customFormat="1" x14ac:dyDescent="0.2">
      <c r="C8060" s="144"/>
      <c r="D8060" s="144"/>
      <c r="E8060" s="144"/>
      <c r="F8060" s="373"/>
      <c r="I8060" s="70"/>
    </row>
    <row r="8061" spans="3:9" s="46" customFormat="1" x14ac:dyDescent="0.2">
      <c r="C8061" s="144"/>
      <c r="D8061" s="144"/>
      <c r="E8061" s="144"/>
      <c r="F8061" s="373"/>
      <c r="I8061" s="70"/>
    </row>
    <row r="8062" spans="3:9" s="46" customFormat="1" x14ac:dyDescent="0.2">
      <c r="C8062" s="144"/>
      <c r="D8062" s="144"/>
      <c r="E8062" s="144"/>
      <c r="F8062" s="373"/>
      <c r="I8062" s="70"/>
    </row>
    <row r="8063" spans="3:9" s="46" customFormat="1" x14ac:dyDescent="0.2">
      <c r="C8063" s="144"/>
      <c r="D8063" s="144"/>
      <c r="E8063" s="144"/>
      <c r="F8063" s="373"/>
      <c r="I8063" s="70"/>
    </row>
    <row r="8064" spans="3:9" s="46" customFormat="1" x14ac:dyDescent="0.2">
      <c r="C8064" s="144"/>
      <c r="D8064" s="144"/>
      <c r="E8064" s="144"/>
      <c r="F8064" s="373"/>
      <c r="I8064" s="70"/>
    </row>
    <row r="8065" spans="3:9" s="46" customFormat="1" x14ac:dyDescent="0.2">
      <c r="C8065" s="144"/>
      <c r="D8065" s="144"/>
      <c r="E8065" s="144"/>
      <c r="F8065" s="373"/>
      <c r="I8065" s="70"/>
    </row>
    <row r="8066" spans="3:9" s="46" customFormat="1" x14ac:dyDescent="0.2">
      <c r="C8066" s="144"/>
      <c r="D8066" s="144"/>
      <c r="E8066" s="144"/>
      <c r="F8066" s="373"/>
      <c r="I8066" s="70"/>
    </row>
    <row r="8067" spans="3:9" s="46" customFormat="1" x14ac:dyDescent="0.2">
      <c r="C8067" s="144"/>
      <c r="D8067" s="144"/>
      <c r="E8067" s="144"/>
      <c r="F8067" s="373"/>
      <c r="I8067" s="70"/>
    </row>
    <row r="8068" spans="3:9" s="46" customFormat="1" x14ac:dyDescent="0.2">
      <c r="C8068" s="144"/>
      <c r="D8068" s="144"/>
      <c r="E8068" s="144"/>
      <c r="F8068" s="373"/>
      <c r="I8068" s="70"/>
    </row>
    <row r="8069" spans="3:9" s="46" customFormat="1" x14ac:dyDescent="0.2">
      <c r="C8069" s="144"/>
      <c r="D8069" s="144"/>
      <c r="E8069" s="144"/>
      <c r="F8069" s="373"/>
      <c r="I8069" s="70"/>
    </row>
    <row r="8070" spans="3:9" s="46" customFormat="1" x14ac:dyDescent="0.2">
      <c r="C8070" s="144"/>
      <c r="D8070" s="144"/>
      <c r="E8070" s="144"/>
      <c r="F8070" s="373"/>
      <c r="I8070" s="70"/>
    </row>
    <row r="8071" spans="3:9" s="46" customFormat="1" x14ac:dyDescent="0.2">
      <c r="C8071" s="144"/>
      <c r="D8071" s="144"/>
      <c r="E8071" s="144"/>
      <c r="F8071" s="373"/>
      <c r="I8071" s="70"/>
    </row>
    <row r="8072" spans="3:9" s="46" customFormat="1" x14ac:dyDescent="0.2">
      <c r="C8072" s="144"/>
      <c r="D8072" s="144"/>
      <c r="E8072" s="144"/>
      <c r="F8072" s="373"/>
      <c r="I8072" s="70"/>
    </row>
    <row r="8073" spans="3:9" s="46" customFormat="1" x14ac:dyDescent="0.2">
      <c r="C8073" s="144"/>
      <c r="D8073" s="144"/>
      <c r="E8073" s="144"/>
      <c r="F8073" s="373"/>
      <c r="I8073" s="70"/>
    </row>
    <row r="8074" spans="3:9" s="46" customFormat="1" x14ac:dyDescent="0.2">
      <c r="C8074" s="144"/>
      <c r="D8074" s="144"/>
      <c r="E8074" s="144"/>
      <c r="F8074" s="373"/>
      <c r="I8074" s="70"/>
    </row>
    <row r="8075" spans="3:9" s="46" customFormat="1" x14ac:dyDescent="0.2">
      <c r="C8075" s="144"/>
      <c r="D8075" s="144"/>
      <c r="E8075" s="144"/>
      <c r="F8075" s="373"/>
      <c r="I8075" s="70"/>
    </row>
    <row r="8076" spans="3:9" s="46" customFormat="1" x14ac:dyDescent="0.2">
      <c r="C8076" s="144"/>
      <c r="D8076" s="144"/>
      <c r="E8076" s="144"/>
      <c r="F8076" s="373"/>
      <c r="I8076" s="70"/>
    </row>
    <row r="8077" spans="3:9" s="46" customFormat="1" x14ac:dyDescent="0.2">
      <c r="C8077" s="144"/>
      <c r="D8077" s="144"/>
      <c r="E8077" s="144"/>
      <c r="F8077" s="373"/>
      <c r="I8077" s="70"/>
    </row>
    <row r="8078" spans="3:9" s="46" customFormat="1" x14ac:dyDescent="0.2">
      <c r="C8078" s="144"/>
      <c r="D8078" s="144"/>
      <c r="E8078" s="144"/>
      <c r="F8078" s="373"/>
      <c r="I8078" s="70"/>
    </row>
    <row r="8079" spans="3:9" s="46" customFormat="1" x14ac:dyDescent="0.2">
      <c r="C8079" s="144"/>
      <c r="D8079" s="144"/>
      <c r="E8079" s="144"/>
      <c r="F8079" s="373"/>
      <c r="I8079" s="70"/>
    </row>
    <row r="8080" spans="3:9" s="46" customFormat="1" x14ac:dyDescent="0.2">
      <c r="C8080" s="144"/>
      <c r="D8080" s="144"/>
      <c r="E8080" s="144"/>
      <c r="F8080" s="373"/>
      <c r="I8080" s="70"/>
    </row>
    <row r="8081" spans="3:9" s="46" customFormat="1" x14ac:dyDescent="0.2">
      <c r="C8081" s="144"/>
      <c r="D8081" s="144"/>
      <c r="E8081" s="144"/>
      <c r="F8081" s="373"/>
      <c r="I8081" s="70"/>
    </row>
    <row r="8082" spans="3:9" s="46" customFormat="1" x14ac:dyDescent="0.2">
      <c r="C8082" s="144"/>
      <c r="D8082" s="144"/>
      <c r="E8082" s="144"/>
      <c r="F8082" s="373"/>
      <c r="I8082" s="70"/>
    </row>
    <row r="8083" spans="3:9" s="46" customFormat="1" x14ac:dyDescent="0.2">
      <c r="C8083" s="144"/>
      <c r="D8083" s="144"/>
      <c r="E8083" s="144"/>
      <c r="F8083" s="373"/>
      <c r="I8083" s="70"/>
    </row>
    <row r="8084" spans="3:9" s="46" customFormat="1" x14ac:dyDescent="0.2">
      <c r="C8084" s="144"/>
      <c r="D8084" s="144"/>
      <c r="E8084" s="144"/>
      <c r="F8084" s="373"/>
      <c r="I8084" s="70"/>
    </row>
    <row r="8085" spans="3:9" s="46" customFormat="1" x14ac:dyDescent="0.2">
      <c r="C8085" s="144"/>
      <c r="D8085" s="144"/>
      <c r="E8085" s="144"/>
      <c r="F8085" s="373"/>
      <c r="I8085" s="70"/>
    </row>
    <row r="8086" spans="3:9" s="46" customFormat="1" x14ac:dyDescent="0.2">
      <c r="C8086" s="144"/>
      <c r="D8086" s="144"/>
      <c r="E8086" s="144"/>
      <c r="F8086" s="373"/>
      <c r="I8086" s="70"/>
    </row>
    <row r="8087" spans="3:9" s="46" customFormat="1" x14ac:dyDescent="0.2">
      <c r="C8087" s="144"/>
      <c r="D8087" s="144"/>
      <c r="E8087" s="144"/>
      <c r="F8087" s="373"/>
      <c r="I8087" s="70"/>
    </row>
    <row r="8088" spans="3:9" s="46" customFormat="1" x14ac:dyDescent="0.2">
      <c r="C8088" s="144"/>
      <c r="D8088" s="144"/>
      <c r="E8088" s="144"/>
      <c r="F8088" s="373"/>
      <c r="I8088" s="70"/>
    </row>
    <row r="8089" spans="3:9" s="46" customFormat="1" x14ac:dyDescent="0.2">
      <c r="C8089" s="144"/>
      <c r="D8089" s="144"/>
      <c r="E8089" s="144"/>
      <c r="F8089" s="373"/>
      <c r="I8089" s="70"/>
    </row>
    <row r="8090" spans="3:9" s="46" customFormat="1" x14ac:dyDescent="0.2">
      <c r="C8090" s="144"/>
      <c r="D8090" s="144"/>
      <c r="E8090" s="144"/>
      <c r="F8090" s="373"/>
      <c r="I8090" s="70"/>
    </row>
    <row r="8091" spans="3:9" s="46" customFormat="1" x14ac:dyDescent="0.2">
      <c r="C8091" s="144"/>
      <c r="D8091" s="144"/>
      <c r="E8091" s="144"/>
      <c r="F8091" s="373"/>
      <c r="I8091" s="70"/>
    </row>
    <row r="8092" spans="3:9" x14ac:dyDescent="0.2">
      <c r="I8092" s="70"/>
    </row>
    <row r="8093" spans="3:9" x14ac:dyDescent="0.2">
      <c r="I8093" s="70"/>
    </row>
  </sheetData>
  <autoFilter ref="H1:S809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106">
    <mergeCell ref="A1:S1"/>
    <mergeCell ref="H2:S2"/>
    <mergeCell ref="H71:S71"/>
    <mergeCell ref="A70:S70"/>
    <mergeCell ref="H124:S124"/>
    <mergeCell ref="H184:S184"/>
    <mergeCell ref="H240:S240"/>
    <mergeCell ref="H295:S295"/>
    <mergeCell ref="H359:S359"/>
    <mergeCell ref="A240:E240"/>
    <mergeCell ref="A295:E295"/>
    <mergeCell ref="A359:E359"/>
    <mergeCell ref="A2:E2"/>
    <mergeCell ref="A71:E71"/>
    <mergeCell ref="A124:E124"/>
    <mergeCell ref="A184:E184"/>
    <mergeCell ref="A239:S239"/>
    <mergeCell ref="A183:S183"/>
    <mergeCell ref="A123:S123"/>
    <mergeCell ref="H750:S750"/>
    <mergeCell ref="H817:S817"/>
    <mergeCell ref="H883:S883"/>
    <mergeCell ref="H954:S954"/>
    <mergeCell ref="H1022:S1022"/>
    <mergeCell ref="H1087:S1087"/>
    <mergeCell ref="H1159:S1159"/>
    <mergeCell ref="H1221:S1221"/>
    <mergeCell ref="H1277:S1277"/>
    <mergeCell ref="A1086:S1086"/>
    <mergeCell ref="A1021:S1021"/>
    <mergeCell ref="A953:S953"/>
    <mergeCell ref="A882:S882"/>
    <mergeCell ref="A816:S816"/>
    <mergeCell ref="A954:E954"/>
    <mergeCell ref="A1022:E1022"/>
    <mergeCell ref="A1087:E1087"/>
    <mergeCell ref="A1159:E1159"/>
    <mergeCell ref="A1221:E1221"/>
    <mergeCell ref="A1277:E1277"/>
    <mergeCell ref="A750:E750"/>
    <mergeCell ref="A817:E817"/>
    <mergeCell ref="A883:E883"/>
    <mergeCell ref="H1589:S1589"/>
    <mergeCell ref="H1660:S1660"/>
    <mergeCell ref="H1717:S1717"/>
    <mergeCell ref="H1785:S1785"/>
    <mergeCell ref="H1854:S1854"/>
    <mergeCell ref="H1918:S1918"/>
    <mergeCell ref="H1980:S1980"/>
    <mergeCell ref="H2050:S2050"/>
    <mergeCell ref="H2070:S2070"/>
    <mergeCell ref="A1979:S1979"/>
    <mergeCell ref="A1917:S1917"/>
    <mergeCell ref="A1853:S1853"/>
    <mergeCell ref="A1784:S1784"/>
    <mergeCell ref="A1716:S1716"/>
    <mergeCell ref="A1659:S1659"/>
    <mergeCell ref="A1589:E1589"/>
    <mergeCell ref="A1660:E1660"/>
    <mergeCell ref="A1717:E1717"/>
    <mergeCell ref="A1785:E1785"/>
    <mergeCell ref="A1854:E1854"/>
    <mergeCell ref="A1918:E1918"/>
    <mergeCell ref="A1980:E1980"/>
    <mergeCell ref="A2050:E2050"/>
    <mergeCell ref="A2070:E2070"/>
    <mergeCell ref="A1588:S1588"/>
    <mergeCell ref="A1524:S1524"/>
    <mergeCell ref="A1477:S1477"/>
    <mergeCell ref="A1440:S1440"/>
    <mergeCell ref="A1386:S1386"/>
    <mergeCell ref="A1345:S1345"/>
    <mergeCell ref="A1276:S1276"/>
    <mergeCell ref="A1220:S1220"/>
    <mergeCell ref="A1158:S1158"/>
    <mergeCell ref="A1387:E1387"/>
    <mergeCell ref="A1441:E1441"/>
    <mergeCell ref="A1478:E1478"/>
    <mergeCell ref="A1525:E1525"/>
    <mergeCell ref="H1387:S1387"/>
    <mergeCell ref="H1441:S1441"/>
    <mergeCell ref="H1478:S1478"/>
    <mergeCell ref="H1525:S1525"/>
    <mergeCell ref="A1346:E1346"/>
    <mergeCell ref="H1346:S1346"/>
    <mergeCell ref="A749:S749"/>
    <mergeCell ref="A691:S691"/>
    <mergeCell ref="A620:S620"/>
    <mergeCell ref="A565:S565"/>
    <mergeCell ref="A527:S527"/>
    <mergeCell ref="A468:S468"/>
    <mergeCell ref="A397:S397"/>
    <mergeCell ref="A358:S358"/>
    <mergeCell ref="A294:S294"/>
    <mergeCell ref="H398:S398"/>
    <mergeCell ref="H469:S469"/>
    <mergeCell ref="H528:S528"/>
    <mergeCell ref="A398:E398"/>
    <mergeCell ref="A469:E469"/>
    <mergeCell ref="A528:E528"/>
    <mergeCell ref="A566:E566"/>
    <mergeCell ref="A621:E621"/>
    <mergeCell ref="A692:E692"/>
    <mergeCell ref="H566:S566"/>
    <mergeCell ref="H621:S621"/>
    <mergeCell ref="H692:S692"/>
  </mergeCells>
  <phoneticPr fontId="9" type="noConversion"/>
  <printOptions horizontalCentered="1"/>
  <pageMargins left="0.19685039370078741" right="0.19685039370078741" top="0.39370078740157483" bottom="0.39370078740157483" header="0.39370078740157483" footer="0.39370078740157483"/>
  <pageSetup paperSize="9" scale="60" orientation="landscape" r:id="rId1"/>
  <headerFooter alignWithMargins="0"/>
  <rowBreaks count="34" manualBreakCount="34">
    <brk id="69" max="16383" man="1"/>
    <brk id="121" max="16383" man="1"/>
    <brk id="182" max="16383" man="1"/>
    <brk id="235" max="16383" man="1"/>
    <brk id="293" max="16383" man="1"/>
    <brk id="356" max="16383" man="1"/>
    <brk id="396" max="16383" man="1"/>
    <brk id="466" max="16383" man="1"/>
    <brk id="524" max="16383" man="1"/>
    <brk id="564" max="16383" man="1"/>
    <brk id="619" max="16383" man="1"/>
    <brk id="689" max="16383" man="1"/>
    <brk id="748" max="16383" man="1"/>
    <brk id="814" max="16383" man="1"/>
    <brk id="880" max="16383" man="1"/>
    <brk id="951" max="16383" man="1"/>
    <brk id="1020" max="16383" man="1"/>
    <brk id="1084" max="16383" man="1"/>
    <brk id="1155" max="16383" man="1"/>
    <brk id="1218" max="16383" man="1"/>
    <brk id="1275" max="16383" man="1"/>
    <brk id="1344" max="16383" man="1"/>
    <brk id="1384" max="16383" man="1"/>
    <brk id="1438" max="16383" man="1"/>
    <brk id="1475" max="16383" man="1"/>
    <brk id="1523" max="16383" man="1"/>
    <brk id="1586" max="16383" man="1"/>
    <brk id="1656" max="16383" man="1"/>
    <brk id="1714" max="16383" man="1"/>
    <brk id="1783" max="16383" man="1"/>
    <brk id="1851" max="16383" man="1"/>
    <brk id="1915" max="16383" man="1"/>
    <brk id="1978" max="16383" man="1"/>
    <brk id="204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W1172"/>
  <sheetViews>
    <sheetView showGridLines="0" topLeftCell="A1105" zoomScaleNormal="100" workbookViewId="0">
      <selection activeCell="H1105" sqref="H1:H1048576"/>
    </sheetView>
  </sheetViews>
  <sheetFormatPr defaultColWidth="9.140625" defaultRowHeight="12.75" x14ac:dyDescent="0.2"/>
  <cols>
    <col min="1" max="2" width="10.28515625" style="34" bestFit="1" customWidth="1"/>
    <col min="3" max="5" width="10.28515625" style="46" bestFit="1" customWidth="1"/>
    <col min="6" max="6" width="15.7109375" style="193" customWidth="1"/>
    <col min="7" max="7" width="36.7109375" style="34" customWidth="1"/>
    <col min="8" max="8" width="10.28515625" style="34" bestFit="1" customWidth="1"/>
    <col min="9" max="9" width="9.140625" style="96" bestFit="1" customWidth="1"/>
    <col min="10" max="19" width="10.28515625" style="34" bestFit="1" customWidth="1"/>
    <col min="20" max="20" width="10.85546875" style="34" customWidth="1"/>
    <col min="21" max="21" width="9.140625" style="34" customWidth="1"/>
    <col min="22" max="22" width="13.85546875" style="34" bestFit="1" customWidth="1"/>
    <col min="23" max="23" width="12.140625" style="34" bestFit="1" customWidth="1"/>
    <col min="24" max="16384" width="9.140625" style="34"/>
  </cols>
  <sheetData>
    <row r="1" spans="1:23" s="38" customFormat="1" ht="18.75" customHeight="1" thickTop="1" thickBot="1" x14ac:dyDescent="0.3">
      <c r="A1" s="2601" t="s">
        <v>1344</v>
      </c>
      <c r="B1" s="2602"/>
      <c r="C1" s="2602"/>
      <c r="D1" s="2602"/>
      <c r="E1" s="2602"/>
      <c r="F1" s="2602"/>
      <c r="G1" s="2602"/>
      <c r="H1" s="2602"/>
      <c r="I1" s="2602"/>
      <c r="J1" s="2602"/>
      <c r="K1" s="2602"/>
      <c r="L1" s="2602"/>
      <c r="M1" s="2602"/>
      <c r="N1" s="2602"/>
      <c r="O1" s="2602"/>
      <c r="P1" s="2602"/>
      <c r="Q1" s="2602"/>
      <c r="R1" s="2602"/>
      <c r="S1" s="2603"/>
    </row>
    <row r="2" spans="1:23" s="39" customFormat="1" ht="13.5" thickBot="1" x14ac:dyDescent="0.25">
      <c r="A2" s="2598" t="s">
        <v>1824</v>
      </c>
      <c r="B2" s="2599"/>
      <c r="C2" s="2599"/>
      <c r="D2" s="2599"/>
      <c r="E2" s="2600"/>
      <c r="F2" s="2246" t="s">
        <v>2213</v>
      </c>
      <c r="G2" s="1163"/>
      <c r="H2" s="2568" t="s">
        <v>2215</v>
      </c>
      <c r="I2" s="2568"/>
      <c r="J2" s="2568"/>
      <c r="K2" s="2568"/>
      <c r="L2" s="2568"/>
      <c r="M2" s="2568"/>
      <c r="N2" s="2568"/>
      <c r="O2" s="2568"/>
      <c r="P2" s="2568"/>
      <c r="Q2" s="2568"/>
      <c r="R2" s="2568"/>
      <c r="S2" s="2607"/>
    </row>
    <row r="3" spans="1:23" ht="13.5" thickBot="1" x14ac:dyDescent="0.25">
      <c r="A3" s="1526" t="str">
        <f>SP!A3</f>
        <v>2012/13</v>
      </c>
      <c r="B3" s="40" t="str">
        <f>SP!B3</f>
        <v>2013/14</v>
      </c>
      <c r="C3" s="40" t="str">
        <f>SP!C3</f>
        <v>2014/15</v>
      </c>
      <c r="D3" s="40" t="str">
        <f>SP!D3</f>
        <v>2015/16</v>
      </c>
      <c r="E3" s="40" t="str">
        <f>SP!E3</f>
        <v>2016/17</v>
      </c>
      <c r="F3" s="178"/>
      <c r="G3" s="41"/>
      <c r="H3" s="40" t="str">
        <f>SP!H3</f>
        <v>2017/18</v>
      </c>
      <c r="I3" s="1459" t="s">
        <v>492</v>
      </c>
      <c r="J3" s="40" t="str">
        <f>SP!J3</f>
        <v>2018/19</v>
      </c>
      <c r="K3" s="40" t="str">
        <f>SP!K3</f>
        <v>2019/20</v>
      </c>
      <c r="L3" s="40" t="str">
        <f>SP!L3</f>
        <v>2020/21</v>
      </c>
      <c r="M3" s="40" t="str">
        <f>SP!M3</f>
        <v>2021/22</v>
      </c>
      <c r="N3" s="40" t="str">
        <f>SP!N3</f>
        <v>2022/23</v>
      </c>
      <c r="O3" s="40" t="str">
        <f>SP!O3</f>
        <v>2023/24</v>
      </c>
      <c r="P3" s="40" t="str">
        <f>SP!P3</f>
        <v>2024/25</v>
      </c>
      <c r="Q3" s="1257" t="str">
        <f>SP!Q3</f>
        <v>2025/26</v>
      </c>
      <c r="R3" s="1257" t="str">
        <f>SP!R3</f>
        <v>2026/27</v>
      </c>
      <c r="S3" s="1620" t="str">
        <f>SP!S3</f>
        <v>2027/28</v>
      </c>
    </row>
    <row r="4" spans="1:23" x14ac:dyDescent="0.2">
      <c r="A4" s="1432"/>
      <c r="B4" s="116"/>
      <c r="C4" s="9"/>
      <c r="D4" s="9"/>
      <c r="E4" s="9"/>
      <c r="F4" s="378"/>
      <c r="G4" s="377"/>
      <c r="H4" s="9"/>
      <c r="I4" s="85"/>
      <c r="J4" s="9"/>
      <c r="K4" s="9"/>
      <c r="L4" s="9"/>
      <c r="M4" s="9"/>
      <c r="N4" s="9"/>
      <c r="O4" s="9"/>
      <c r="P4" s="9"/>
      <c r="Q4" s="89"/>
      <c r="R4" s="89"/>
      <c r="S4" s="61"/>
    </row>
    <row r="5" spans="1:23" x14ac:dyDescent="0.2">
      <c r="A5" s="427"/>
      <c r="B5" s="97"/>
      <c r="C5" s="97"/>
      <c r="D5" s="97"/>
      <c r="E5" s="9"/>
      <c r="F5" s="180" t="s">
        <v>1056</v>
      </c>
      <c r="G5" s="27"/>
      <c r="H5" s="9"/>
      <c r="I5" s="85"/>
      <c r="J5" s="9"/>
      <c r="K5" s="9"/>
      <c r="L5" s="9"/>
      <c r="M5" s="9"/>
      <c r="N5" s="9"/>
      <c r="O5" s="9"/>
      <c r="P5" s="9"/>
      <c r="Q5" s="89"/>
      <c r="R5" s="89"/>
      <c r="S5" s="61"/>
    </row>
    <row r="6" spans="1:23" x14ac:dyDescent="0.2">
      <c r="A6" s="427"/>
      <c r="B6" s="97"/>
      <c r="C6" s="97"/>
      <c r="D6" s="97"/>
      <c r="E6" s="9"/>
      <c r="F6" s="179"/>
      <c r="G6" s="75"/>
      <c r="H6" s="9"/>
      <c r="I6" s="85"/>
      <c r="J6" s="9"/>
      <c r="K6" s="9"/>
      <c r="L6" s="9"/>
      <c r="M6" s="9"/>
      <c r="N6" s="9"/>
      <c r="O6" s="9"/>
      <c r="P6" s="9"/>
      <c r="Q6" s="89"/>
      <c r="R6" s="89"/>
      <c r="S6" s="61"/>
    </row>
    <row r="7" spans="1:23" x14ac:dyDescent="0.2">
      <c r="A7" s="427">
        <f>A69</f>
        <v>18000</v>
      </c>
      <c r="B7" s="97">
        <f>B69</f>
        <v>19100</v>
      </c>
      <c r="C7" s="97">
        <f>C69</f>
        <v>17400</v>
      </c>
      <c r="D7" s="97">
        <f>D69</f>
        <v>46800</v>
      </c>
      <c r="E7" s="9">
        <f t="shared" ref="E7" si="0">E69</f>
        <v>21100</v>
      </c>
      <c r="F7" s="782" t="s">
        <v>6989</v>
      </c>
      <c r="G7" s="75"/>
      <c r="H7" s="9">
        <f t="shared" ref="H7:O7" si="1">H69</f>
        <v>22000</v>
      </c>
      <c r="I7" s="85">
        <f t="shared" ref="I7:I13" si="2">IF(E7=H7,0,IF(E7=0,100,(H7-E7)/E7*100))</f>
        <v>4.2654028436018958</v>
      </c>
      <c r="J7" s="9">
        <f t="shared" si="1"/>
        <v>19500</v>
      </c>
      <c r="K7" s="9">
        <f t="shared" si="1"/>
        <v>20100</v>
      </c>
      <c r="L7" s="9">
        <f t="shared" si="1"/>
        <v>20800</v>
      </c>
      <c r="M7" s="9">
        <f t="shared" si="1"/>
        <v>21500</v>
      </c>
      <c r="N7" s="9">
        <f t="shared" si="1"/>
        <v>22300</v>
      </c>
      <c r="O7" s="9">
        <f t="shared" si="1"/>
        <v>23100</v>
      </c>
      <c r="P7" s="9">
        <f t="shared" ref="P7:Q7" si="3">P69</f>
        <v>23900</v>
      </c>
      <c r="Q7" s="89">
        <f t="shared" si="3"/>
        <v>24800</v>
      </c>
      <c r="R7" s="89">
        <f t="shared" ref="R7" si="4">R69</f>
        <v>25700</v>
      </c>
      <c r="S7" s="61">
        <f t="shared" ref="S7" si="5">S69</f>
        <v>26600</v>
      </c>
    </row>
    <row r="8" spans="1:23" x14ac:dyDescent="0.2">
      <c r="A8" s="427">
        <f>A183</f>
        <v>156000</v>
      </c>
      <c r="B8" s="97">
        <f>B183</f>
        <v>191700</v>
      </c>
      <c r="C8" s="97">
        <f>C183</f>
        <v>203900</v>
      </c>
      <c r="D8" s="97">
        <f>D183</f>
        <v>274000</v>
      </c>
      <c r="E8" s="9">
        <f t="shared" ref="E8" si="6">E183</f>
        <v>260200</v>
      </c>
      <c r="F8" s="182" t="s">
        <v>87</v>
      </c>
      <c r="G8" s="89"/>
      <c r="H8" s="9">
        <f t="shared" ref="H8:O8" si="7">H183</f>
        <v>235800</v>
      </c>
      <c r="I8" s="85">
        <f t="shared" si="2"/>
        <v>-9.3774019984627213</v>
      </c>
      <c r="J8" s="9">
        <f t="shared" si="7"/>
        <v>230500</v>
      </c>
      <c r="K8" s="9">
        <f t="shared" si="7"/>
        <v>235600</v>
      </c>
      <c r="L8" s="9">
        <f t="shared" si="7"/>
        <v>241000</v>
      </c>
      <c r="M8" s="9">
        <f t="shared" si="7"/>
        <v>246400</v>
      </c>
      <c r="N8" s="9">
        <f t="shared" si="7"/>
        <v>252000</v>
      </c>
      <c r="O8" s="9">
        <f t="shared" si="7"/>
        <v>257600</v>
      </c>
      <c r="P8" s="9">
        <f t="shared" ref="P8:Q8" si="8">P183</f>
        <v>263400</v>
      </c>
      <c r="Q8" s="89">
        <f t="shared" si="8"/>
        <v>269400</v>
      </c>
      <c r="R8" s="89">
        <f t="shared" ref="R8" si="9">R183</f>
        <v>275500</v>
      </c>
      <c r="S8" s="61">
        <f t="shared" ref="S8" si="10">S183</f>
        <v>281800</v>
      </c>
    </row>
    <row r="9" spans="1:23" x14ac:dyDescent="0.2">
      <c r="A9" s="427">
        <f>A152</f>
        <v>21213000</v>
      </c>
      <c r="B9" s="97">
        <f>B152</f>
        <v>20300600</v>
      </c>
      <c r="C9" s="97">
        <f>C152</f>
        <v>22370900</v>
      </c>
      <c r="D9" s="97">
        <f>D152</f>
        <v>23415400</v>
      </c>
      <c r="E9" s="9">
        <f t="shared" ref="E9" si="11">E152</f>
        <v>27343300</v>
      </c>
      <c r="F9" s="182" t="s">
        <v>1005</v>
      </c>
      <c r="G9" s="89"/>
      <c r="H9" s="9">
        <f t="shared" ref="H9:O9" si="12">H152</f>
        <v>26165700</v>
      </c>
      <c r="I9" s="85">
        <f t="shared" si="2"/>
        <v>-4.3067223049156462</v>
      </c>
      <c r="J9" s="9">
        <f t="shared" si="12"/>
        <v>26089300</v>
      </c>
      <c r="K9" s="9">
        <f t="shared" si="12"/>
        <v>26819600</v>
      </c>
      <c r="L9" s="9">
        <f t="shared" si="12"/>
        <v>27571100</v>
      </c>
      <c r="M9" s="9">
        <f t="shared" si="12"/>
        <v>28344100</v>
      </c>
      <c r="N9" s="9">
        <f t="shared" si="12"/>
        <v>29139600</v>
      </c>
      <c r="O9" s="9">
        <f t="shared" si="12"/>
        <v>29958000</v>
      </c>
      <c r="P9" s="9">
        <f t="shared" ref="P9:Q9" si="13">P152</f>
        <v>30800100</v>
      </c>
      <c r="Q9" s="89">
        <f t="shared" si="13"/>
        <v>31666600</v>
      </c>
      <c r="R9" s="89">
        <f t="shared" ref="R9" si="14">R152</f>
        <v>32558000</v>
      </c>
      <c r="S9" s="61">
        <f t="shared" ref="S9" si="15">S152</f>
        <v>33475200</v>
      </c>
    </row>
    <row r="10" spans="1:23" x14ac:dyDescent="0.2">
      <c r="A10" s="427">
        <f>A224</f>
        <v>4000</v>
      </c>
      <c r="B10" s="97">
        <f>B224</f>
        <v>13600</v>
      </c>
      <c r="C10" s="97">
        <f>C224</f>
        <v>17600</v>
      </c>
      <c r="D10" s="97">
        <f>D224</f>
        <v>3100</v>
      </c>
      <c r="E10" s="9">
        <f t="shared" ref="E10" si="16">E224</f>
        <v>231100</v>
      </c>
      <c r="F10" s="182" t="s">
        <v>2273</v>
      </c>
      <c r="G10" s="89"/>
      <c r="H10" s="9">
        <f t="shared" ref="H10:O10" si="17">H224</f>
        <v>103000</v>
      </c>
      <c r="I10" s="85">
        <f t="shared" si="2"/>
        <v>-55.430549545651232</v>
      </c>
      <c r="J10" s="9">
        <f t="shared" si="17"/>
        <v>93000</v>
      </c>
      <c r="K10" s="9">
        <f t="shared" si="17"/>
        <v>95400</v>
      </c>
      <c r="L10" s="9">
        <f t="shared" si="17"/>
        <v>97900</v>
      </c>
      <c r="M10" s="9">
        <f t="shared" si="17"/>
        <v>100400</v>
      </c>
      <c r="N10" s="9">
        <f t="shared" si="17"/>
        <v>103000</v>
      </c>
      <c r="O10" s="9">
        <f t="shared" si="17"/>
        <v>105600</v>
      </c>
      <c r="P10" s="9">
        <f t="shared" ref="P10:Q10" si="18">P224</f>
        <v>108300</v>
      </c>
      <c r="Q10" s="89">
        <f t="shared" si="18"/>
        <v>111100</v>
      </c>
      <c r="R10" s="89">
        <f t="shared" ref="R10" si="19">R224</f>
        <v>113900</v>
      </c>
      <c r="S10" s="61">
        <f t="shared" ref="S10" si="20">S224</f>
        <v>116800</v>
      </c>
    </row>
    <row r="11" spans="1:23" x14ac:dyDescent="0.2">
      <c r="A11" s="427">
        <f>A267</f>
        <v>233000</v>
      </c>
      <c r="B11" s="97">
        <f>B267</f>
        <v>189900</v>
      </c>
      <c r="C11" s="97">
        <f>C267</f>
        <v>295400</v>
      </c>
      <c r="D11" s="97">
        <f>D267</f>
        <v>191400</v>
      </c>
      <c r="E11" s="9">
        <f t="shared" ref="E11" si="21">E267</f>
        <v>446500</v>
      </c>
      <c r="F11" s="182" t="s">
        <v>2253</v>
      </c>
      <c r="G11" s="89"/>
      <c r="H11" s="9">
        <f t="shared" ref="H11:O11" si="22">H267</f>
        <v>173100</v>
      </c>
      <c r="I11" s="85">
        <f t="shared" si="2"/>
        <v>-61.231802911534153</v>
      </c>
      <c r="J11" s="9">
        <f t="shared" si="22"/>
        <v>153000</v>
      </c>
      <c r="K11" s="9">
        <f t="shared" si="22"/>
        <v>157000</v>
      </c>
      <c r="L11" s="9">
        <f t="shared" si="22"/>
        <v>161100</v>
      </c>
      <c r="M11" s="9">
        <f t="shared" si="22"/>
        <v>165300</v>
      </c>
      <c r="N11" s="9">
        <f t="shared" si="22"/>
        <v>169700</v>
      </c>
      <c r="O11" s="9">
        <f t="shared" si="22"/>
        <v>174100</v>
      </c>
      <c r="P11" s="9">
        <f t="shared" ref="P11:Q11" si="23">P267</f>
        <v>178800</v>
      </c>
      <c r="Q11" s="89">
        <f t="shared" si="23"/>
        <v>183500</v>
      </c>
      <c r="R11" s="89">
        <f t="shared" ref="R11" si="24">R267</f>
        <v>188300</v>
      </c>
      <c r="S11" s="61">
        <f t="shared" ref="S11" si="25">S267</f>
        <v>193300</v>
      </c>
    </row>
    <row r="12" spans="1:23" x14ac:dyDescent="0.2">
      <c r="A12" s="427">
        <f>A331</f>
        <v>4601500</v>
      </c>
      <c r="B12" s="97">
        <f>B331</f>
        <v>3380000</v>
      </c>
      <c r="C12" s="97">
        <f>C331</f>
        <v>3385100</v>
      </c>
      <c r="D12" s="97">
        <f>D331</f>
        <v>2570800</v>
      </c>
      <c r="E12" s="9">
        <f t="shared" ref="E12" si="26">E331</f>
        <v>2599800</v>
      </c>
      <c r="F12" s="182" t="s">
        <v>2499</v>
      </c>
      <c r="G12" s="89"/>
      <c r="H12" s="9">
        <f t="shared" ref="H12:O12" si="27">H331</f>
        <v>2521800</v>
      </c>
      <c r="I12" s="85">
        <f t="shared" si="2"/>
        <v>-3.000230786983614</v>
      </c>
      <c r="J12" s="9">
        <f t="shared" si="27"/>
        <v>2611400</v>
      </c>
      <c r="K12" s="9">
        <f t="shared" si="27"/>
        <v>2673000</v>
      </c>
      <c r="L12" s="9">
        <f t="shared" si="27"/>
        <v>2684800</v>
      </c>
      <c r="M12" s="9">
        <f t="shared" si="27"/>
        <v>2755200</v>
      </c>
      <c r="N12" s="9">
        <f t="shared" si="27"/>
        <v>2812700</v>
      </c>
      <c r="O12" s="9">
        <f t="shared" si="27"/>
        <v>2878500</v>
      </c>
      <c r="P12" s="9">
        <f t="shared" ref="P12:Q12" si="28">P331</f>
        <v>2932900</v>
      </c>
      <c r="Q12" s="89">
        <f t="shared" si="28"/>
        <v>2996600</v>
      </c>
      <c r="R12" s="89">
        <f t="shared" ref="R12" si="29">R331</f>
        <v>3061500</v>
      </c>
      <c r="S12" s="61">
        <f t="shared" ref="S12" si="30">S331</f>
        <v>3127000</v>
      </c>
    </row>
    <row r="13" spans="1:23" x14ac:dyDescent="0.2">
      <c r="A13" s="427">
        <f>GM!A400</f>
        <v>4005300</v>
      </c>
      <c r="B13" s="97">
        <f>GM!B400</f>
        <v>4617800</v>
      </c>
      <c r="C13" s="99">
        <f>GM!C400</f>
        <v>4709700</v>
      </c>
      <c r="D13" s="97">
        <f>GM!D400</f>
        <v>5111900</v>
      </c>
      <c r="E13" s="9">
        <f>GM!E400</f>
        <v>5780100</v>
      </c>
      <c r="F13" s="182" t="s">
        <v>2093</v>
      </c>
      <c r="G13" s="89"/>
      <c r="H13" s="9">
        <f>GM!H400</f>
        <v>6096400</v>
      </c>
      <c r="I13" s="85">
        <f t="shared" si="2"/>
        <v>5.4722236639504507</v>
      </c>
      <c r="J13" s="9">
        <f>GM!J400</f>
        <v>6325900</v>
      </c>
      <c r="K13" s="9">
        <f>GM!K400</f>
        <v>6438600</v>
      </c>
      <c r="L13" s="9">
        <f>GM!L400</f>
        <v>6562900</v>
      </c>
      <c r="M13" s="9">
        <f>GM!M400</f>
        <v>6662700</v>
      </c>
      <c r="N13" s="9">
        <f>GM!N400</f>
        <v>6770500</v>
      </c>
      <c r="O13" s="9">
        <f>GM!O400</f>
        <v>6904000</v>
      </c>
      <c r="P13" s="9">
        <f>GM!P400</f>
        <v>7049800</v>
      </c>
      <c r="Q13" s="89">
        <f>GM!Q400</f>
        <v>7196400</v>
      </c>
      <c r="R13" s="89">
        <f>GM!R400</f>
        <v>7349300</v>
      </c>
      <c r="S13" s="61">
        <f>GM!S400</f>
        <v>7491100</v>
      </c>
    </row>
    <row r="14" spans="1:23" ht="13.5" thickBot="1" x14ac:dyDescent="0.25">
      <c r="A14" s="427"/>
      <c r="B14" s="97"/>
      <c r="C14" s="99"/>
      <c r="D14" s="97"/>
      <c r="E14" s="9"/>
      <c r="F14" s="178"/>
      <c r="G14" s="42"/>
      <c r="H14" s="9"/>
      <c r="I14" s="85"/>
      <c r="J14" s="9"/>
      <c r="K14" s="9"/>
      <c r="L14" s="9"/>
      <c r="M14" s="9"/>
      <c r="N14" s="9"/>
      <c r="O14" s="9"/>
      <c r="P14" s="9"/>
      <c r="Q14" s="89"/>
      <c r="R14" s="89"/>
      <c r="S14" s="61"/>
    </row>
    <row r="15" spans="1:23" s="39" customFormat="1" x14ac:dyDescent="0.2">
      <c r="A15" s="428">
        <f>SUM(A5:A14)</f>
        <v>30230800</v>
      </c>
      <c r="B15" s="100">
        <f>SUM(B5:B14)</f>
        <v>28712700</v>
      </c>
      <c r="C15" s="101">
        <f>SUM(C5:C14)</f>
        <v>31000000</v>
      </c>
      <c r="D15" s="100">
        <f>SUM(D5:D14)</f>
        <v>31613400</v>
      </c>
      <c r="E15" s="16">
        <f>SUM(E5:E14)</f>
        <v>36682100</v>
      </c>
      <c r="F15" s="181" t="s">
        <v>2561</v>
      </c>
      <c r="G15" s="75"/>
      <c r="H15" s="16">
        <f t="shared" ref="H15:R15" si="31">SUM(H5:H14)</f>
        <v>35317800</v>
      </c>
      <c r="I15" s="127">
        <f>IF(E15=H15,0,IF(E15=0,100,(H15-E15)/E15*100))</f>
        <v>-3.7192527145392438</v>
      </c>
      <c r="J15" s="16">
        <f t="shared" si="31"/>
        <v>35522600</v>
      </c>
      <c r="K15" s="16">
        <f t="shared" si="31"/>
        <v>36439300</v>
      </c>
      <c r="L15" s="16">
        <f t="shared" si="31"/>
        <v>37339600</v>
      </c>
      <c r="M15" s="16">
        <f t="shared" si="31"/>
        <v>38295600</v>
      </c>
      <c r="N15" s="16">
        <f t="shared" si="31"/>
        <v>39269800</v>
      </c>
      <c r="O15" s="16">
        <f t="shared" si="31"/>
        <v>40300900</v>
      </c>
      <c r="P15" s="16">
        <f t="shared" si="31"/>
        <v>41357200</v>
      </c>
      <c r="Q15" s="102">
        <f t="shared" si="31"/>
        <v>42448400</v>
      </c>
      <c r="R15" s="102">
        <f t="shared" si="31"/>
        <v>43572200</v>
      </c>
      <c r="S15" s="60">
        <f t="shared" ref="S15" si="32">SUM(S5:S14)</f>
        <v>44711800</v>
      </c>
      <c r="U15" s="34"/>
      <c r="W15" s="34"/>
    </row>
    <row r="16" spans="1:23" x14ac:dyDescent="0.2">
      <c r="A16" s="427"/>
      <c r="B16" s="97"/>
      <c r="C16" s="99"/>
      <c r="D16" s="97"/>
      <c r="E16" s="9"/>
      <c r="F16" s="182"/>
      <c r="G16" s="89"/>
      <c r="H16" s="9"/>
      <c r="I16" s="85"/>
      <c r="J16" s="9"/>
      <c r="K16" s="9"/>
      <c r="L16" s="9"/>
      <c r="M16" s="9"/>
      <c r="N16" s="9"/>
      <c r="O16" s="9"/>
      <c r="P16" s="9"/>
      <c r="Q16" s="89"/>
      <c r="R16" s="89"/>
      <c r="S16" s="61"/>
    </row>
    <row r="17" spans="1:23" x14ac:dyDescent="0.2">
      <c r="A17" s="427"/>
      <c r="B17" s="97"/>
      <c r="C17" s="99"/>
      <c r="D17" s="97"/>
      <c r="E17" s="9"/>
      <c r="F17" s="180" t="s">
        <v>2169</v>
      </c>
      <c r="G17" s="89"/>
      <c r="H17" s="9"/>
      <c r="I17" s="85"/>
      <c r="J17" s="9"/>
      <c r="K17" s="9"/>
      <c r="L17" s="9"/>
      <c r="M17" s="9"/>
      <c r="N17" s="9"/>
      <c r="O17" s="9"/>
      <c r="P17" s="9"/>
      <c r="Q17" s="89"/>
      <c r="R17" s="89"/>
      <c r="S17" s="61"/>
    </row>
    <row r="18" spans="1:23" x14ac:dyDescent="0.2">
      <c r="A18" s="427"/>
      <c r="B18" s="97"/>
      <c r="C18" s="97"/>
      <c r="D18" s="97"/>
      <c r="E18" s="9"/>
      <c r="F18" s="179"/>
      <c r="G18" s="75"/>
      <c r="H18" s="9"/>
      <c r="I18" s="85"/>
      <c r="J18" s="9"/>
      <c r="K18" s="9"/>
      <c r="L18" s="9"/>
      <c r="M18" s="9"/>
      <c r="N18" s="9"/>
      <c r="O18" s="9"/>
      <c r="P18" s="9"/>
      <c r="Q18" s="89"/>
      <c r="R18" s="89"/>
      <c r="S18" s="61"/>
    </row>
    <row r="19" spans="1:23" x14ac:dyDescent="0.2">
      <c r="A19" s="427">
        <f>A106</f>
        <v>1858100</v>
      </c>
      <c r="B19" s="97">
        <f>B106</f>
        <v>1851900</v>
      </c>
      <c r="C19" s="97">
        <f>C106</f>
        <v>1838600</v>
      </c>
      <c r="D19" s="97">
        <f>D106</f>
        <v>1997600</v>
      </c>
      <c r="E19" s="9">
        <f t="shared" ref="E19" si="33">E106</f>
        <v>2388200</v>
      </c>
      <c r="F19" s="782" t="s">
        <v>6989</v>
      </c>
      <c r="G19" s="27"/>
      <c r="H19" s="9">
        <f t="shared" ref="H19:O19" si="34">H106</f>
        <v>2316600</v>
      </c>
      <c r="I19" s="85">
        <f t="shared" ref="I19:I26" si="35">IF(E19=H19,0,IF(E19=0,100,(H19-E19)/E19*100))</f>
        <v>-2.9980738631605393</v>
      </c>
      <c r="J19" s="9">
        <f t="shared" si="34"/>
        <v>2293100</v>
      </c>
      <c r="K19" s="9">
        <f t="shared" si="34"/>
        <v>2356300</v>
      </c>
      <c r="L19" s="9">
        <f t="shared" si="34"/>
        <v>2690900</v>
      </c>
      <c r="M19" s="9">
        <f t="shared" si="34"/>
        <v>2478000</v>
      </c>
      <c r="N19" s="9">
        <f t="shared" si="34"/>
        <v>2536400</v>
      </c>
      <c r="O19" s="9">
        <f t="shared" si="34"/>
        <v>2596300</v>
      </c>
      <c r="P19" s="9">
        <f t="shared" ref="P19:Q19" si="36">P106</f>
        <v>2959700</v>
      </c>
      <c r="Q19" s="89">
        <f t="shared" si="36"/>
        <v>2720400</v>
      </c>
      <c r="R19" s="89">
        <f t="shared" ref="R19" si="37">R106</f>
        <v>2762500</v>
      </c>
      <c r="S19" s="61">
        <f t="shared" ref="S19" si="38">S106</f>
        <v>2805700</v>
      </c>
    </row>
    <row r="20" spans="1:23" x14ac:dyDescent="0.2">
      <c r="A20" s="427">
        <f>A197</f>
        <v>-3187000</v>
      </c>
      <c r="B20" s="97">
        <f>B197</f>
        <v>-3745700</v>
      </c>
      <c r="C20" s="97">
        <f>C197</f>
        <v>-3774600</v>
      </c>
      <c r="D20" s="97">
        <f>D197</f>
        <v>-4086900</v>
      </c>
      <c r="E20" s="9">
        <f t="shared" ref="E20" si="39">E197</f>
        <v>-4256800</v>
      </c>
      <c r="F20" s="182" t="s">
        <v>87</v>
      </c>
      <c r="G20" s="46"/>
      <c r="H20" s="9">
        <f t="shared" ref="H20:O20" si="40">H197</f>
        <v>-4396700</v>
      </c>
      <c r="I20" s="85">
        <f t="shared" si="35"/>
        <v>3.2865062958090587</v>
      </c>
      <c r="J20" s="9">
        <f t="shared" si="40"/>
        <v>-4500100</v>
      </c>
      <c r="K20" s="9">
        <f t="shared" si="40"/>
        <v>-4615000</v>
      </c>
      <c r="L20" s="9">
        <f t="shared" si="40"/>
        <v>-4732000</v>
      </c>
      <c r="M20" s="9">
        <f t="shared" si="40"/>
        <v>-4852200</v>
      </c>
      <c r="N20" s="9">
        <f t="shared" si="40"/>
        <v>-4925600</v>
      </c>
      <c r="O20" s="9">
        <f t="shared" si="40"/>
        <v>-5050300</v>
      </c>
      <c r="P20" s="9">
        <f t="shared" ref="P20:Q20" si="41">P197</f>
        <v>-5178100</v>
      </c>
      <c r="Q20" s="89">
        <f t="shared" si="41"/>
        <v>-5309300</v>
      </c>
      <c r="R20" s="89">
        <f t="shared" ref="R20" si="42">R197</f>
        <v>-5444100</v>
      </c>
      <c r="S20" s="61">
        <f t="shared" ref="S20" si="43">S197</f>
        <v>-5582400</v>
      </c>
    </row>
    <row r="21" spans="1:23" x14ac:dyDescent="0.2">
      <c r="A21" s="427">
        <f>A236</f>
        <v>1577000</v>
      </c>
      <c r="B21" s="97">
        <f>B236</f>
        <v>1838300</v>
      </c>
      <c r="C21" s="97">
        <f>C236</f>
        <v>1913000</v>
      </c>
      <c r="D21" s="97">
        <f>D236</f>
        <v>2049200</v>
      </c>
      <c r="E21" s="9">
        <f t="shared" ref="E21" si="44">E236</f>
        <v>2375000</v>
      </c>
      <c r="F21" s="182" t="s">
        <v>2273</v>
      </c>
      <c r="G21" s="46"/>
      <c r="H21" s="9">
        <f t="shared" ref="H21:O21" si="45">H236</f>
        <v>2603000</v>
      </c>
      <c r="I21" s="85">
        <f t="shared" si="35"/>
        <v>9.6</v>
      </c>
      <c r="J21" s="9">
        <f t="shared" si="45"/>
        <v>2671400</v>
      </c>
      <c r="K21" s="9">
        <f t="shared" si="45"/>
        <v>2735600</v>
      </c>
      <c r="L21" s="9">
        <f t="shared" si="45"/>
        <v>2801600</v>
      </c>
      <c r="M21" s="9">
        <f t="shared" si="45"/>
        <v>2869200</v>
      </c>
      <c r="N21" s="9">
        <f t="shared" si="45"/>
        <v>2938100</v>
      </c>
      <c r="O21" s="9">
        <f t="shared" si="45"/>
        <v>3008600</v>
      </c>
      <c r="P21" s="9">
        <f t="shared" ref="P21:Q21" si="46">P236</f>
        <v>3081100</v>
      </c>
      <c r="Q21" s="89">
        <f t="shared" si="46"/>
        <v>3155200</v>
      </c>
      <c r="R21" s="89">
        <f t="shared" ref="R21" si="47">R236</f>
        <v>3231300</v>
      </c>
      <c r="S21" s="61">
        <f t="shared" ref="S21" si="48">S236</f>
        <v>3309000</v>
      </c>
    </row>
    <row r="22" spans="1:23" x14ac:dyDescent="0.2">
      <c r="A22" s="427">
        <f>A292</f>
        <v>886000</v>
      </c>
      <c r="B22" s="97">
        <f>B292</f>
        <v>1371400</v>
      </c>
      <c r="C22" s="97">
        <f>C292</f>
        <v>1366300</v>
      </c>
      <c r="D22" s="97">
        <f>D292</f>
        <v>1282200</v>
      </c>
      <c r="E22" s="9">
        <f t="shared" ref="E22" si="49">E292</f>
        <v>781500</v>
      </c>
      <c r="F22" s="182" t="s">
        <v>2253</v>
      </c>
      <c r="G22" s="46"/>
      <c r="H22" s="9">
        <f t="shared" ref="H22:O22" si="50">H292</f>
        <v>1159100</v>
      </c>
      <c r="I22" s="85">
        <f t="shared" si="35"/>
        <v>48.317338451695456</v>
      </c>
      <c r="J22" s="9">
        <f t="shared" si="50"/>
        <v>1015300</v>
      </c>
      <c r="K22" s="9">
        <f t="shared" si="50"/>
        <v>1034200</v>
      </c>
      <c r="L22" s="9">
        <f t="shared" si="50"/>
        <v>1057700</v>
      </c>
      <c r="M22" s="9">
        <f t="shared" si="50"/>
        <v>1085200</v>
      </c>
      <c r="N22" s="9">
        <f t="shared" si="50"/>
        <v>1117200</v>
      </c>
      <c r="O22" s="9">
        <f t="shared" si="50"/>
        <v>1153100</v>
      </c>
      <c r="P22" s="9">
        <f t="shared" ref="P22:Q22" si="51">P292</f>
        <v>1192800</v>
      </c>
      <c r="Q22" s="89">
        <f t="shared" si="51"/>
        <v>1236700</v>
      </c>
      <c r="R22" s="89">
        <f t="shared" ref="R22" si="52">R292</f>
        <v>1284400</v>
      </c>
      <c r="S22" s="61">
        <f t="shared" ref="S22" si="53">S292</f>
        <v>1337300</v>
      </c>
    </row>
    <row r="23" spans="1:23" x14ac:dyDescent="0.2">
      <c r="A23" s="427">
        <f>A357</f>
        <v>1925600</v>
      </c>
      <c r="B23" s="97">
        <f>B357</f>
        <v>3357700</v>
      </c>
      <c r="C23" s="97">
        <f>C357</f>
        <v>2115000</v>
      </c>
      <c r="D23" s="97">
        <f>D357</f>
        <v>2961700</v>
      </c>
      <c r="E23" s="9">
        <f t="shared" ref="E23" si="54">E357</f>
        <v>1772500</v>
      </c>
      <c r="F23" s="182" t="s">
        <v>2499</v>
      </c>
      <c r="G23" s="46"/>
      <c r="H23" s="9">
        <f t="shared" ref="H23:O23" si="55">H357</f>
        <v>2519700</v>
      </c>
      <c r="I23" s="85">
        <f t="shared" si="35"/>
        <v>42.15514809590973</v>
      </c>
      <c r="J23" s="9">
        <f t="shared" si="55"/>
        <v>1611900</v>
      </c>
      <c r="K23" s="9">
        <f t="shared" si="55"/>
        <v>1653300</v>
      </c>
      <c r="L23" s="9">
        <f t="shared" si="55"/>
        <v>1696200</v>
      </c>
      <c r="M23" s="9">
        <f t="shared" si="55"/>
        <v>1739700</v>
      </c>
      <c r="N23" s="9">
        <f t="shared" si="55"/>
        <v>1684200</v>
      </c>
      <c r="O23" s="9">
        <f t="shared" si="55"/>
        <v>1727100</v>
      </c>
      <c r="P23" s="9">
        <f t="shared" ref="P23:Q23" si="56">P357</f>
        <v>1770700</v>
      </c>
      <c r="Q23" s="89">
        <f t="shared" si="56"/>
        <v>1815600</v>
      </c>
      <c r="R23" s="89">
        <f t="shared" ref="R23" si="57">R357</f>
        <v>1861700</v>
      </c>
      <c r="S23" s="61">
        <f t="shared" ref="S23" si="58">S357</f>
        <v>1909400</v>
      </c>
    </row>
    <row r="24" spans="1:23" x14ac:dyDescent="0.2">
      <c r="A24" s="427">
        <f>GM!A420</f>
        <v>4056200</v>
      </c>
      <c r="B24" s="97">
        <f>GM!B420</f>
        <v>6404400</v>
      </c>
      <c r="C24" s="99">
        <f>GM!C420</f>
        <v>4362900</v>
      </c>
      <c r="D24" s="97">
        <f>GM!D420</f>
        <v>4513400</v>
      </c>
      <c r="E24" s="9">
        <f>GM!E420</f>
        <v>4371600</v>
      </c>
      <c r="F24" s="182" t="s">
        <v>2093</v>
      </c>
      <c r="G24" s="89"/>
      <c r="H24" s="9">
        <f>GM!H420</f>
        <v>5490300</v>
      </c>
      <c r="I24" s="85">
        <f t="shared" si="35"/>
        <v>25.59017293439473</v>
      </c>
      <c r="J24" s="9">
        <f>GM!J420</f>
        <v>5689300</v>
      </c>
      <c r="K24" s="9">
        <f>GM!K420</f>
        <v>5764800</v>
      </c>
      <c r="L24" s="9">
        <f>GM!L420</f>
        <v>5828500</v>
      </c>
      <c r="M24" s="9">
        <f>GM!M420</f>
        <v>5882900</v>
      </c>
      <c r="N24" s="9">
        <f>GM!N420</f>
        <v>5949800</v>
      </c>
      <c r="O24" s="9">
        <f>GM!O420</f>
        <v>6059800</v>
      </c>
      <c r="P24" s="9">
        <f>GM!P420</f>
        <v>6191600</v>
      </c>
      <c r="Q24" s="89">
        <f>GM!Q420</f>
        <v>6335800</v>
      </c>
      <c r="R24" s="89">
        <f>GM!R420</f>
        <v>6482800</v>
      </c>
      <c r="S24" s="61">
        <f>GM!S420</f>
        <v>6634200</v>
      </c>
    </row>
    <row r="25" spans="1:23" ht="13.5" thickBot="1" x14ac:dyDescent="0.25">
      <c r="A25" s="427"/>
      <c r="B25" s="97"/>
      <c r="C25" s="99"/>
      <c r="D25" s="97"/>
      <c r="E25" s="9"/>
      <c r="F25" s="183"/>
      <c r="G25" s="89"/>
      <c r="H25" s="9"/>
      <c r="I25" s="85">
        <f t="shared" si="35"/>
        <v>0</v>
      </c>
      <c r="J25" s="9"/>
      <c r="K25" s="9"/>
      <c r="L25" s="9"/>
      <c r="M25" s="9"/>
      <c r="N25" s="9"/>
      <c r="O25" s="9"/>
      <c r="P25" s="9"/>
      <c r="Q25" s="89"/>
      <c r="R25" s="89"/>
      <c r="S25" s="61"/>
    </row>
    <row r="26" spans="1:23" s="39" customFormat="1" x14ac:dyDescent="0.2">
      <c r="A26" s="428">
        <f>SUM(A17:A25)</f>
        <v>7115900</v>
      </c>
      <c r="B26" s="100">
        <f>SUM(B17:B25)</f>
        <v>11078000</v>
      </c>
      <c r="C26" s="101">
        <f>SUM(C17:C25)</f>
        <v>7821200</v>
      </c>
      <c r="D26" s="100">
        <f>SUM(D17:D25)</f>
        <v>8717200</v>
      </c>
      <c r="E26" s="16">
        <f>SUM(E17:E25)</f>
        <v>7432000</v>
      </c>
      <c r="F26" s="181" t="s">
        <v>556</v>
      </c>
      <c r="G26" s="75"/>
      <c r="H26" s="16">
        <f t="shared" ref="H26:R26" si="59">SUM(H17:H25)</f>
        <v>9692000</v>
      </c>
      <c r="I26" s="127">
        <f t="shared" si="35"/>
        <v>30.40904198062433</v>
      </c>
      <c r="J26" s="16">
        <f t="shared" si="59"/>
        <v>8780900</v>
      </c>
      <c r="K26" s="16">
        <f t="shared" si="59"/>
        <v>8929200</v>
      </c>
      <c r="L26" s="16">
        <f t="shared" si="59"/>
        <v>9342900</v>
      </c>
      <c r="M26" s="16">
        <f t="shared" si="59"/>
        <v>9202800</v>
      </c>
      <c r="N26" s="16">
        <f t="shared" si="59"/>
        <v>9300100</v>
      </c>
      <c r="O26" s="16">
        <f t="shared" si="59"/>
        <v>9494600</v>
      </c>
      <c r="P26" s="16">
        <f t="shared" si="59"/>
        <v>10017800</v>
      </c>
      <c r="Q26" s="102">
        <f t="shared" si="59"/>
        <v>9954400</v>
      </c>
      <c r="R26" s="102">
        <f t="shared" si="59"/>
        <v>10178600</v>
      </c>
      <c r="S26" s="60">
        <f t="shared" ref="S26" si="60">SUM(S17:S25)</f>
        <v>10413200</v>
      </c>
      <c r="U26" s="34"/>
      <c r="W26" s="34"/>
    </row>
    <row r="27" spans="1:23" x14ac:dyDescent="0.2">
      <c r="A27" s="427"/>
      <c r="B27" s="97"/>
      <c r="C27" s="99"/>
      <c r="D27" s="97"/>
      <c r="E27" s="9"/>
      <c r="F27" s="182"/>
      <c r="G27" s="89"/>
      <c r="H27" s="9"/>
      <c r="I27" s="85"/>
      <c r="J27" s="9"/>
      <c r="K27" s="9"/>
      <c r="L27" s="9"/>
      <c r="M27" s="9"/>
      <c r="N27" s="9"/>
      <c r="O27" s="9"/>
      <c r="P27" s="9"/>
      <c r="Q27" s="89"/>
      <c r="R27" s="89"/>
      <c r="S27" s="61"/>
    </row>
    <row r="28" spans="1:23" x14ac:dyDescent="0.2">
      <c r="A28" s="427"/>
      <c r="B28" s="97"/>
      <c r="C28" s="99"/>
      <c r="D28" s="97"/>
      <c r="E28" s="9"/>
      <c r="F28" s="1177" t="s">
        <v>4617</v>
      </c>
      <c r="G28" s="1161"/>
      <c r="H28" s="9"/>
      <c r="I28" s="85"/>
      <c r="J28" s="9"/>
      <c r="K28" s="9"/>
      <c r="L28" s="9"/>
      <c r="M28" s="9"/>
      <c r="N28" s="9"/>
      <c r="O28" s="9"/>
      <c r="P28" s="9"/>
      <c r="Q28" s="89"/>
      <c r="R28" s="89"/>
      <c r="S28" s="61"/>
    </row>
    <row r="29" spans="1:23" x14ac:dyDescent="0.2">
      <c r="A29" s="427"/>
      <c r="B29" s="97"/>
      <c r="C29" s="97"/>
      <c r="D29" s="97"/>
      <c r="E29" s="9"/>
      <c r="F29" s="179"/>
      <c r="G29" s="75"/>
      <c r="H29" s="9"/>
      <c r="I29" s="85"/>
      <c r="J29" s="9"/>
      <c r="K29" s="9"/>
      <c r="L29" s="9"/>
      <c r="M29" s="9"/>
      <c r="N29" s="9"/>
      <c r="O29" s="9"/>
      <c r="P29" s="9"/>
      <c r="Q29" s="89"/>
      <c r="R29" s="89"/>
      <c r="S29" s="61"/>
    </row>
    <row r="30" spans="1:23" x14ac:dyDescent="0.2">
      <c r="A30" s="427">
        <f>A7-A19</f>
        <v>-1840100</v>
      </c>
      <c r="B30" s="97">
        <f>B7-B19</f>
        <v>-1832800</v>
      </c>
      <c r="C30" s="97">
        <f>C7-C19</f>
        <v>-1821200</v>
      </c>
      <c r="D30" s="97">
        <f>D7-D19</f>
        <v>-1950800</v>
      </c>
      <c r="E30" s="9">
        <f>E7-E19</f>
        <v>-2367100</v>
      </c>
      <c r="F30" s="182" t="s">
        <v>771</v>
      </c>
      <c r="G30" s="27"/>
      <c r="H30" s="9">
        <f t="shared" ref="H30:R30" si="61">H7-H19</f>
        <v>-2294600</v>
      </c>
      <c r="I30" s="85">
        <f t="shared" ref="I30:I35" si="62">IF(E30=H30,0,IF(E30=0,100,(H30-E30)/E30*100))</f>
        <v>-3.062819483756495</v>
      </c>
      <c r="J30" s="9">
        <f t="shared" si="61"/>
        <v>-2273600</v>
      </c>
      <c r="K30" s="9">
        <f t="shared" si="61"/>
        <v>-2336200</v>
      </c>
      <c r="L30" s="9">
        <f t="shared" si="61"/>
        <v>-2670100</v>
      </c>
      <c r="M30" s="9">
        <f t="shared" si="61"/>
        <v>-2456500</v>
      </c>
      <c r="N30" s="9">
        <f t="shared" si="61"/>
        <v>-2514100</v>
      </c>
      <c r="O30" s="9">
        <f t="shared" si="61"/>
        <v>-2573200</v>
      </c>
      <c r="P30" s="9">
        <f t="shared" si="61"/>
        <v>-2935800</v>
      </c>
      <c r="Q30" s="89">
        <f t="shared" si="61"/>
        <v>-2695600</v>
      </c>
      <c r="R30" s="89">
        <f t="shared" si="61"/>
        <v>-2736800</v>
      </c>
      <c r="S30" s="61">
        <f t="shared" ref="S30" si="63">S7-S19</f>
        <v>-2779100</v>
      </c>
    </row>
    <row r="31" spans="1:23" x14ac:dyDescent="0.2">
      <c r="A31" s="427">
        <f>A8+A9-A20</f>
        <v>24556000</v>
      </c>
      <c r="B31" s="97">
        <f>B8+B9-B20</f>
        <v>24238000</v>
      </c>
      <c r="C31" s="97">
        <f>C8+C9-C20</f>
        <v>26349400</v>
      </c>
      <c r="D31" s="97">
        <f>D8+D9-D20</f>
        <v>27776300</v>
      </c>
      <c r="E31" s="9">
        <f>E8+E9-E20</f>
        <v>31860300</v>
      </c>
      <c r="F31" s="182" t="s">
        <v>87</v>
      </c>
      <c r="G31" s="46"/>
      <c r="H31" s="9">
        <f t="shared" ref="H31:R31" si="64">H8+H9-H20</f>
        <v>30798200</v>
      </c>
      <c r="I31" s="85">
        <f t="shared" si="62"/>
        <v>-3.3336158165491221</v>
      </c>
      <c r="J31" s="9">
        <f t="shared" si="64"/>
        <v>30819900</v>
      </c>
      <c r="K31" s="9">
        <f t="shared" si="64"/>
        <v>31670200</v>
      </c>
      <c r="L31" s="9">
        <f t="shared" si="64"/>
        <v>32544100</v>
      </c>
      <c r="M31" s="9">
        <f t="shared" si="64"/>
        <v>33442700</v>
      </c>
      <c r="N31" s="9">
        <f t="shared" si="64"/>
        <v>34317200</v>
      </c>
      <c r="O31" s="9">
        <f t="shared" si="64"/>
        <v>35265900</v>
      </c>
      <c r="P31" s="9">
        <f t="shared" si="64"/>
        <v>36241600</v>
      </c>
      <c r="Q31" s="89">
        <f t="shared" si="64"/>
        <v>37245300</v>
      </c>
      <c r="R31" s="89">
        <f t="shared" si="64"/>
        <v>38277600</v>
      </c>
      <c r="S31" s="61">
        <f t="shared" ref="S31" si="65">S8+S9-S20</f>
        <v>39339400</v>
      </c>
    </row>
    <row r="32" spans="1:23" x14ac:dyDescent="0.2">
      <c r="A32" s="427">
        <f t="shared" ref="A32:D35" si="66">A10-A21</f>
        <v>-1573000</v>
      </c>
      <c r="B32" s="97">
        <f t="shared" si="66"/>
        <v>-1824700</v>
      </c>
      <c r="C32" s="97">
        <f t="shared" si="66"/>
        <v>-1895400</v>
      </c>
      <c r="D32" s="97">
        <f t="shared" si="66"/>
        <v>-2046100</v>
      </c>
      <c r="E32" s="9">
        <f>E10-E21</f>
        <v>-2143900</v>
      </c>
      <c r="F32" s="182" t="s">
        <v>2273</v>
      </c>
      <c r="G32" s="46"/>
      <c r="H32" s="9">
        <f t="shared" ref="H32:R32" si="67">H10-H21</f>
        <v>-2500000</v>
      </c>
      <c r="I32" s="85">
        <f t="shared" si="62"/>
        <v>16.609916507299779</v>
      </c>
      <c r="J32" s="9">
        <f t="shared" si="67"/>
        <v>-2578400</v>
      </c>
      <c r="K32" s="9">
        <f t="shared" si="67"/>
        <v>-2640200</v>
      </c>
      <c r="L32" s="9">
        <f t="shared" si="67"/>
        <v>-2703700</v>
      </c>
      <c r="M32" s="9">
        <f t="shared" si="67"/>
        <v>-2768800</v>
      </c>
      <c r="N32" s="9">
        <f t="shared" si="67"/>
        <v>-2835100</v>
      </c>
      <c r="O32" s="9">
        <f t="shared" si="67"/>
        <v>-2903000</v>
      </c>
      <c r="P32" s="9">
        <f t="shared" si="67"/>
        <v>-2972800</v>
      </c>
      <c r="Q32" s="89">
        <f t="shared" si="67"/>
        <v>-3044100</v>
      </c>
      <c r="R32" s="89">
        <f t="shared" si="67"/>
        <v>-3117400</v>
      </c>
      <c r="S32" s="61">
        <f t="shared" ref="S32" si="68">S10-S21</f>
        <v>-3192200</v>
      </c>
    </row>
    <row r="33" spans="1:23" x14ac:dyDescent="0.2">
      <c r="A33" s="427">
        <f t="shared" si="66"/>
        <v>-653000</v>
      </c>
      <c r="B33" s="97">
        <f t="shared" si="66"/>
        <v>-1181500</v>
      </c>
      <c r="C33" s="97">
        <f t="shared" si="66"/>
        <v>-1070900</v>
      </c>
      <c r="D33" s="97">
        <f t="shared" si="66"/>
        <v>-1090800</v>
      </c>
      <c r="E33" s="9">
        <f>E11-E22</f>
        <v>-335000</v>
      </c>
      <c r="F33" s="182" t="s">
        <v>2253</v>
      </c>
      <c r="G33" s="46"/>
      <c r="H33" s="9">
        <f t="shared" ref="H33:R33" si="69">H11-H22</f>
        <v>-986000</v>
      </c>
      <c r="I33" s="85">
        <f t="shared" si="62"/>
        <v>194.32835820895522</v>
      </c>
      <c r="J33" s="9">
        <f t="shared" si="69"/>
        <v>-862300</v>
      </c>
      <c r="K33" s="9">
        <f t="shared" si="69"/>
        <v>-877200</v>
      </c>
      <c r="L33" s="9">
        <f t="shared" si="69"/>
        <v>-896600</v>
      </c>
      <c r="M33" s="9">
        <f t="shared" si="69"/>
        <v>-919900</v>
      </c>
      <c r="N33" s="9">
        <f t="shared" si="69"/>
        <v>-947500</v>
      </c>
      <c r="O33" s="9">
        <f t="shared" si="69"/>
        <v>-979000</v>
      </c>
      <c r="P33" s="9">
        <f t="shared" si="69"/>
        <v>-1014000</v>
      </c>
      <c r="Q33" s="89">
        <f t="shared" si="69"/>
        <v>-1053200</v>
      </c>
      <c r="R33" s="89">
        <f t="shared" si="69"/>
        <v>-1096100</v>
      </c>
      <c r="S33" s="61">
        <f t="shared" ref="S33" si="70">S11-S22</f>
        <v>-1144000</v>
      </c>
    </row>
    <row r="34" spans="1:23" x14ac:dyDescent="0.2">
      <c r="A34" s="427">
        <f t="shared" si="66"/>
        <v>2675900</v>
      </c>
      <c r="B34" s="97">
        <f t="shared" si="66"/>
        <v>22300</v>
      </c>
      <c r="C34" s="97">
        <f t="shared" si="66"/>
        <v>1270100</v>
      </c>
      <c r="D34" s="97">
        <f t="shared" si="66"/>
        <v>-390900</v>
      </c>
      <c r="E34" s="9">
        <f>E12-E23</f>
        <v>827300</v>
      </c>
      <c r="F34" s="182" t="s">
        <v>2499</v>
      </c>
      <c r="G34" s="46"/>
      <c r="H34" s="9">
        <f t="shared" ref="H34:R34" si="71">H12-H23</f>
        <v>2100</v>
      </c>
      <c r="I34" s="85">
        <f t="shared" si="62"/>
        <v>-99.746162214432488</v>
      </c>
      <c r="J34" s="9">
        <f t="shared" si="71"/>
        <v>999500</v>
      </c>
      <c r="K34" s="9">
        <f t="shared" si="71"/>
        <v>1019700</v>
      </c>
      <c r="L34" s="9">
        <f t="shared" si="71"/>
        <v>988600</v>
      </c>
      <c r="M34" s="9">
        <f t="shared" si="71"/>
        <v>1015500</v>
      </c>
      <c r="N34" s="9">
        <f t="shared" si="71"/>
        <v>1128500</v>
      </c>
      <c r="O34" s="9">
        <f t="shared" si="71"/>
        <v>1151400</v>
      </c>
      <c r="P34" s="9">
        <f t="shared" si="71"/>
        <v>1162200</v>
      </c>
      <c r="Q34" s="89">
        <f t="shared" si="71"/>
        <v>1181000</v>
      </c>
      <c r="R34" s="89">
        <f t="shared" si="71"/>
        <v>1199800</v>
      </c>
      <c r="S34" s="61">
        <f t="shared" ref="S34" si="72">S12-S23</f>
        <v>1217600</v>
      </c>
    </row>
    <row r="35" spans="1:23" x14ac:dyDescent="0.2">
      <c r="A35" s="427">
        <f t="shared" si="66"/>
        <v>-50900</v>
      </c>
      <c r="B35" s="97">
        <f t="shared" si="66"/>
        <v>-1786600</v>
      </c>
      <c r="C35" s="99">
        <f t="shared" si="66"/>
        <v>346800</v>
      </c>
      <c r="D35" s="97">
        <f t="shared" si="66"/>
        <v>598500</v>
      </c>
      <c r="E35" s="9">
        <f>E13-E24</f>
        <v>1408500</v>
      </c>
      <c r="F35" s="182" t="s">
        <v>2093</v>
      </c>
      <c r="G35" s="89"/>
      <c r="H35" s="9">
        <f t="shared" ref="H35:R35" si="73">H13-H24</f>
        <v>606100</v>
      </c>
      <c r="I35" s="85">
        <f t="shared" si="62"/>
        <v>-56.968406105786293</v>
      </c>
      <c r="J35" s="9">
        <f t="shared" si="73"/>
        <v>636600</v>
      </c>
      <c r="K35" s="9">
        <f t="shared" si="73"/>
        <v>673800</v>
      </c>
      <c r="L35" s="9">
        <f t="shared" si="73"/>
        <v>734400</v>
      </c>
      <c r="M35" s="9">
        <f t="shared" si="73"/>
        <v>779800</v>
      </c>
      <c r="N35" s="9">
        <f t="shared" si="73"/>
        <v>820700</v>
      </c>
      <c r="O35" s="9">
        <f t="shared" si="73"/>
        <v>844200</v>
      </c>
      <c r="P35" s="9">
        <f t="shared" si="73"/>
        <v>858200</v>
      </c>
      <c r="Q35" s="89">
        <f t="shared" si="73"/>
        <v>860600</v>
      </c>
      <c r="R35" s="89">
        <f t="shared" si="73"/>
        <v>866500</v>
      </c>
      <c r="S35" s="61">
        <f t="shared" ref="S35" si="74">S13-S24</f>
        <v>856900</v>
      </c>
    </row>
    <row r="36" spans="1:23" ht="13.5" thickBot="1" x14ac:dyDescent="0.25">
      <c r="A36" s="429"/>
      <c r="B36" s="103"/>
      <c r="C36" s="269"/>
      <c r="D36" s="103"/>
      <c r="E36" s="9"/>
      <c r="F36" s="182"/>
      <c r="G36" s="75"/>
      <c r="H36" s="9"/>
      <c r="I36" s="126"/>
      <c r="J36" s="9"/>
      <c r="K36" s="9"/>
      <c r="L36" s="9"/>
      <c r="M36" s="9"/>
      <c r="N36" s="9"/>
      <c r="O36" s="9"/>
      <c r="P36" s="9"/>
      <c r="Q36" s="89"/>
      <c r="R36" s="89"/>
      <c r="S36" s="61"/>
    </row>
    <row r="37" spans="1:23" x14ac:dyDescent="0.2">
      <c r="A37" s="428">
        <f>A15-A26</f>
        <v>23114900</v>
      </c>
      <c r="B37" s="100">
        <f>B15-B26</f>
        <v>17634700</v>
      </c>
      <c r="C37" s="101">
        <f>C15-C26</f>
        <v>23178800</v>
      </c>
      <c r="D37" s="100">
        <f>D15-D26</f>
        <v>22896200</v>
      </c>
      <c r="E37" s="16">
        <f>E15-E26</f>
        <v>29250100</v>
      </c>
      <c r="F37" s="1081" t="s">
        <v>4615</v>
      </c>
      <c r="G37" s="89"/>
      <c r="H37" s="16">
        <f t="shared" ref="H37:R37" si="75">H15-H26</f>
        <v>25625800</v>
      </c>
      <c r="I37" s="127">
        <f t="shared" ref="I37:I43" si="76">IF(E37=H37,0,IF(E37=0,100,(H37-E37)/E37*100))</f>
        <v>-12.390726869309848</v>
      </c>
      <c r="J37" s="16">
        <f t="shared" si="75"/>
        <v>26741700</v>
      </c>
      <c r="K37" s="16">
        <f t="shared" si="75"/>
        <v>27510100</v>
      </c>
      <c r="L37" s="16">
        <f t="shared" si="75"/>
        <v>27996700</v>
      </c>
      <c r="M37" s="16">
        <f t="shared" si="75"/>
        <v>29092800</v>
      </c>
      <c r="N37" s="16">
        <f t="shared" si="75"/>
        <v>29969700</v>
      </c>
      <c r="O37" s="16">
        <f t="shared" si="75"/>
        <v>30806300</v>
      </c>
      <c r="P37" s="16">
        <f t="shared" si="75"/>
        <v>31339400</v>
      </c>
      <c r="Q37" s="102">
        <f t="shared" si="75"/>
        <v>32494000</v>
      </c>
      <c r="R37" s="102">
        <f t="shared" si="75"/>
        <v>33393600</v>
      </c>
      <c r="S37" s="60">
        <f t="shared" ref="S37" si="77">S15-S26</f>
        <v>34298600</v>
      </c>
    </row>
    <row r="38" spans="1:23" x14ac:dyDescent="0.2">
      <c r="A38" s="427">
        <f>A109+A200++A239+A295+A360+A423</f>
        <v>998800</v>
      </c>
      <c r="B38" s="97">
        <f>B109+B200++B239+B295+B360+B423</f>
        <v>1384100</v>
      </c>
      <c r="C38" s="99">
        <f>C109+C200++C239+C295+C360+C423</f>
        <v>879400</v>
      </c>
      <c r="D38" s="97">
        <f>D109+D200++D239+D295+D360+D423</f>
        <v>942200</v>
      </c>
      <c r="E38" s="9">
        <f>E109+E200++E239+E295+E360+E423</f>
        <v>334500</v>
      </c>
      <c r="F38" s="217" t="s">
        <v>1943</v>
      </c>
      <c r="G38" s="89"/>
      <c r="H38" s="9">
        <f>H109+H200++H239+H295+H360+H423</f>
        <v>1110200</v>
      </c>
      <c r="I38" s="85">
        <f t="shared" si="76"/>
        <v>231.89835575485799</v>
      </c>
      <c r="J38" s="9">
        <f t="shared" ref="J38:S38" si="78">J109+J200++J239+J295+J360+J423</f>
        <v>1147000</v>
      </c>
      <c r="K38" s="9">
        <f t="shared" si="78"/>
        <v>1181400</v>
      </c>
      <c r="L38" s="9">
        <f t="shared" si="78"/>
        <v>1205100</v>
      </c>
      <c r="M38" s="9">
        <f t="shared" si="78"/>
        <v>1229400</v>
      </c>
      <c r="N38" s="9">
        <f t="shared" si="78"/>
        <v>1254100</v>
      </c>
      <c r="O38" s="9">
        <f t="shared" si="78"/>
        <v>1279300</v>
      </c>
      <c r="P38" s="9">
        <f t="shared" si="78"/>
        <v>1305000</v>
      </c>
      <c r="Q38" s="89">
        <f t="shared" si="78"/>
        <v>1331300</v>
      </c>
      <c r="R38" s="89">
        <f t="shared" si="78"/>
        <v>1358000</v>
      </c>
      <c r="S38" s="61">
        <f t="shared" si="78"/>
        <v>1385200</v>
      </c>
    </row>
    <row r="39" spans="1:23" x14ac:dyDescent="0.2">
      <c r="A39" s="427">
        <f t="shared" ref="A39:C39" si="79">A153</f>
        <v>-414000</v>
      </c>
      <c r="B39" s="97">
        <f t="shared" si="79"/>
        <v>-333000</v>
      </c>
      <c r="C39" s="99">
        <f t="shared" si="79"/>
        <v>30000</v>
      </c>
      <c r="D39" s="97">
        <f>D153</f>
        <v>163000</v>
      </c>
      <c r="E39" s="9">
        <f t="shared" ref="E39" si="80">E153</f>
        <v>-150000</v>
      </c>
      <c r="F39" s="217" t="s">
        <v>5280</v>
      </c>
      <c r="G39" s="89"/>
      <c r="H39" s="9">
        <f t="shared" ref="H39:P39" si="81">H153</f>
        <v>0</v>
      </c>
      <c r="I39" s="85">
        <f t="shared" si="76"/>
        <v>-100</v>
      </c>
      <c r="J39" s="9">
        <f t="shared" si="81"/>
        <v>0</v>
      </c>
      <c r="K39" s="9">
        <f t="shared" si="81"/>
        <v>0</v>
      </c>
      <c r="L39" s="9">
        <f t="shared" si="81"/>
        <v>0</v>
      </c>
      <c r="M39" s="9">
        <f t="shared" si="81"/>
        <v>0</v>
      </c>
      <c r="N39" s="9">
        <f t="shared" si="81"/>
        <v>0</v>
      </c>
      <c r="O39" s="9">
        <f t="shared" si="81"/>
        <v>0</v>
      </c>
      <c r="P39" s="9">
        <f t="shared" si="81"/>
        <v>0</v>
      </c>
      <c r="Q39" s="89">
        <f t="shared" ref="Q39" si="82">Q153</f>
        <v>0</v>
      </c>
      <c r="R39" s="89">
        <f t="shared" ref="R39" si="83">R153</f>
        <v>0</v>
      </c>
      <c r="S39" s="61">
        <f t="shared" ref="S39" si="84">S153</f>
        <v>0</v>
      </c>
    </row>
    <row r="40" spans="1:23" x14ac:dyDescent="0.2">
      <c r="A40" s="427">
        <f t="shared" ref="A40:C40" si="85">A362</f>
        <v>-165000</v>
      </c>
      <c r="B40" s="97">
        <f t="shared" si="85"/>
        <v>-289900</v>
      </c>
      <c r="C40" s="99">
        <f t="shared" si="85"/>
        <v>-725700</v>
      </c>
      <c r="D40" s="97">
        <f>D362</f>
        <v>319800</v>
      </c>
      <c r="E40" s="9">
        <f t="shared" ref="E40" si="86">E362</f>
        <v>-403100</v>
      </c>
      <c r="F40" s="217" t="s">
        <v>5287</v>
      </c>
      <c r="G40" s="89"/>
      <c r="H40" s="9">
        <f t="shared" ref="H40:P40" si="87">H362</f>
        <v>0</v>
      </c>
      <c r="I40" s="85">
        <f t="shared" si="76"/>
        <v>-100</v>
      </c>
      <c r="J40" s="9">
        <f t="shared" si="87"/>
        <v>0</v>
      </c>
      <c r="K40" s="9">
        <f t="shared" si="87"/>
        <v>0</v>
      </c>
      <c r="L40" s="9">
        <f t="shared" si="87"/>
        <v>0</v>
      </c>
      <c r="M40" s="9">
        <f t="shared" si="87"/>
        <v>0</v>
      </c>
      <c r="N40" s="9">
        <f t="shared" si="87"/>
        <v>0</v>
      </c>
      <c r="O40" s="9">
        <f t="shared" si="87"/>
        <v>0</v>
      </c>
      <c r="P40" s="9">
        <f t="shared" si="87"/>
        <v>0</v>
      </c>
      <c r="Q40" s="89">
        <f t="shared" ref="Q40" si="88">Q362</f>
        <v>0</v>
      </c>
      <c r="R40" s="89">
        <f t="shared" ref="R40" si="89">R362</f>
        <v>0</v>
      </c>
      <c r="S40" s="61">
        <f t="shared" ref="S40" si="90">S362</f>
        <v>0</v>
      </c>
    </row>
    <row r="41" spans="1:23" x14ac:dyDescent="0.2">
      <c r="A41" s="427">
        <f>A361</f>
        <v>0</v>
      </c>
      <c r="B41" s="97">
        <f>B361</f>
        <v>0</v>
      </c>
      <c r="C41" s="99">
        <f>C361</f>
        <v>-460100</v>
      </c>
      <c r="D41" s="97">
        <f>D361</f>
        <v>0</v>
      </c>
      <c r="E41" s="9">
        <f t="shared" ref="E41" si="91">E361</f>
        <v>360400</v>
      </c>
      <c r="F41" s="217" t="s">
        <v>5316</v>
      </c>
      <c r="G41" s="89"/>
      <c r="H41" s="9">
        <f t="shared" ref="H41:P41" si="92">H361</f>
        <v>0</v>
      </c>
      <c r="I41" s="85">
        <f t="shared" si="76"/>
        <v>-100</v>
      </c>
      <c r="J41" s="9">
        <f t="shared" si="92"/>
        <v>0</v>
      </c>
      <c r="K41" s="9">
        <f t="shared" si="92"/>
        <v>0</v>
      </c>
      <c r="L41" s="9">
        <f t="shared" si="92"/>
        <v>0</v>
      </c>
      <c r="M41" s="9">
        <f t="shared" si="92"/>
        <v>0</v>
      </c>
      <c r="N41" s="9">
        <f t="shared" si="92"/>
        <v>0</v>
      </c>
      <c r="O41" s="9">
        <f t="shared" si="92"/>
        <v>0</v>
      </c>
      <c r="P41" s="9">
        <f t="shared" si="92"/>
        <v>0</v>
      </c>
      <c r="Q41" s="89">
        <f t="shared" ref="Q41" si="93">Q361</f>
        <v>0</v>
      </c>
      <c r="R41" s="89">
        <f t="shared" ref="R41" si="94">R361</f>
        <v>0</v>
      </c>
      <c r="S41" s="61">
        <f t="shared" ref="S41" si="95">S361</f>
        <v>0</v>
      </c>
    </row>
    <row r="42" spans="1:23" x14ac:dyDescent="0.2">
      <c r="A42" s="427">
        <f>A424</f>
        <v>0</v>
      </c>
      <c r="B42" s="97">
        <f>B424</f>
        <v>2075400</v>
      </c>
      <c r="C42" s="99">
        <f>C424</f>
        <v>0</v>
      </c>
      <c r="D42" s="97">
        <f>D424</f>
        <v>0</v>
      </c>
      <c r="E42" s="9">
        <f t="shared" ref="E42" si="96">E424</f>
        <v>0</v>
      </c>
      <c r="F42" s="217" t="s">
        <v>5286</v>
      </c>
      <c r="G42" s="89"/>
      <c r="H42" s="9">
        <f t="shared" ref="H42:P42" si="97">H424</f>
        <v>0</v>
      </c>
      <c r="I42" s="85">
        <f t="shared" si="76"/>
        <v>0</v>
      </c>
      <c r="J42" s="9">
        <f t="shared" si="97"/>
        <v>0</v>
      </c>
      <c r="K42" s="9">
        <f t="shared" si="97"/>
        <v>0</v>
      </c>
      <c r="L42" s="9">
        <f t="shared" si="97"/>
        <v>0</v>
      </c>
      <c r="M42" s="9">
        <f t="shared" si="97"/>
        <v>0</v>
      </c>
      <c r="N42" s="9">
        <f t="shared" si="97"/>
        <v>0</v>
      </c>
      <c r="O42" s="9">
        <f t="shared" si="97"/>
        <v>0</v>
      </c>
      <c r="P42" s="9">
        <f t="shared" si="97"/>
        <v>0</v>
      </c>
      <c r="Q42" s="89">
        <f t="shared" ref="Q42" si="98">Q424</f>
        <v>0</v>
      </c>
      <c r="R42" s="89">
        <f t="shared" ref="R42" si="99">R424</f>
        <v>0</v>
      </c>
      <c r="S42" s="61">
        <f t="shared" ref="S42" si="100">S424</f>
        <v>0</v>
      </c>
    </row>
    <row r="43" spans="1:23" s="39" customFormat="1" x14ac:dyDescent="0.2">
      <c r="A43" s="128">
        <f>SUM(A37:A42)</f>
        <v>23534700</v>
      </c>
      <c r="B43" s="280">
        <f>SUM(B37:B42)</f>
        <v>20471300</v>
      </c>
      <c r="C43" s="266">
        <f>SUM(C37:C42)</f>
        <v>22902400</v>
      </c>
      <c r="D43" s="280">
        <f>SUM(D37:D42)</f>
        <v>24321200</v>
      </c>
      <c r="E43" s="280">
        <f t="shared" ref="E43" si="101">SUM(E37:E42)</f>
        <v>29391900</v>
      </c>
      <c r="F43" s="1082" t="s">
        <v>4618</v>
      </c>
      <c r="G43" s="266"/>
      <c r="H43" s="280">
        <f t="shared" ref="H43:P43" si="102">SUM(H37:H42)</f>
        <v>26736000</v>
      </c>
      <c r="I43" s="278">
        <f t="shared" si="76"/>
        <v>-9.0361630245067524</v>
      </c>
      <c r="J43" s="280">
        <f t="shared" si="102"/>
        <v>27888700</v>
      </c>
      <c r="K43" s="280">
        <f t="shared" si="102"/>
        <v>28691500</v>
      </c>
      <c r="L43" s="280">
        <f t="shared" si="102"/>
        <v>29201800</v>
      </c>
      <c r="M43" s="280">
        <f t="shared" si="102"/>
        <v>30322200</v>
      </c>
      <c r="N43" s="280">
        <f t="shared" si="102"/>
        <v>31223800</v>
      </c>
      <c r="O43" s="280">
        <f t="shared" si="102"/>
        <v>32085600</v>
      </c>
      <c r="P43" s="280">
        <f t="shared" si="102"/>
        <v>32644400</v>
      </c>
      <c r="Q43" s="266">
        <f t="shared" ref="Q43" si="103">SUM(Q37:Q42)</f>
        <v>33825300</v>
      </c>
      <c r="R43" s="266">
        <f t="shared" ref="R43" si="104">SUM(R37:R42)</f>
        <v>34751600</v>
      </c>
      <c r="S43" s="282">
        <f t="shared" ref="S43" si="105">SUM(S37:S42)</f>
        <v>35683800</v>
      </c>
      <c r="U43" s="34"/>
      <c r="W43" s="34"/>
    </row>
    <row r="44" spans="1:23" ht="13.5" thickBot="1" x14ac:dyDescent="0.25">
      <c r="A44" s="514"/>
      <c r="B44" s="288"/>
      <c r="C44" s="288"/>
      <c r="D44" s="288"/>
      <c r="E44" s="23"/>
      <c r="F44" s="186"/>
      <c r="G44" s="67"/>
      <c r="H44" s="68"/>
      <c r="I44" s="275"/>
      <c r="J44" s="68"/>
      <c r="K44" s="68"/>
      <c r="L44" s="68"/>
      <c r="M44" s="68"/>
      <c r="N44" s="68"/>
      <c r="O44" s="68"/>
      <c r="P44" s="68"/>
      <c r="Q44" s="42"/>
      <c r="R44" s="42"/>
      <c r="S44" s="108"/>
    </row>
    <row r="45" spans="1:23" ht="13.5" thickTop="1" x14ac:dyDescent="0.2">
      <c r="A45" s="270"/>
      <c r="B45" s="109"/>
      <c r="C45" s="69"/>
      <c r="D45" s="109"/>
      <c r="E45" s="74"/>
      <c r="F45" s="184"/>
      <c r="G45" s="69"/>
      <c r="H45" s="74"/>
      <c r="I45" s="352"/>
      <c r="J45" s="74"/>
      <c r="K45" s="74"/>
      <c r="L45" s="74"/>
      <c r="M45" s="74"/>
      <c r="N45" s="74"/>
      <c r="O45" s="74"/>
      <c r="P45" s="74"/>
      <c r="Q45" s="111"/>
      <c r="R45" s="111"/>
      <c r="S45" s="110"/>
    </row>
    <row r="46" spans="1:23" x14ac:dyDescent="0.2">
      <c r="A46" s="24"/>
      <c r="B46" s="21"/>
      <c r="C46" s="75"/>
      <c r="D46" s="21"/>
      <c r="E46" s="9"/>
      <c r="F46" s="357" t="s">
        <v>192</v>
      </c>
      <c r="G46" s="75"/>
      <c r="H46" s="9"/>
      <c r="I46" s="126"/>
      <c r="J46" s="9"/>
      <c r="K46" s="9"/>
      <c r="L46" s="9"/>
      <c r="M46" s="9"/>
      <c r="N46" s="9"/>
      <c r="O46" s="9"/>
      <c r="P46" s="9"/>
      <c r="Q46" s="89"/>
      <c r="R46" s="89"/>
      <c r="S46" s="61"/>
    </row>
    <row r="47" spans="1:23" x14ac:dyDescent="0.2">
      <c r="A47" s="24"/>
      <c r="B47" s="21"/>
      <c r="C47" s="75"/>
      <c r="D47" s="21"/>
      <c r="E47" s="9"/>
      <c r="F47" s="185"/>
      <c r="G47" s="75"/>
      <c r="H47" s="9"/>
      <c r="I47" s="126"/>
      <c r="J47" s="9"/>
      <c r="K47" s="9"/>
      <c r="L47" s="9"/>
      <c r="M47" s="9"/>
      <c r="N47" s="9"/>
      <c r="O47" s="9"/>
      <c r="P47" s="9"/>
      <c r="Q47" s="89"/>
      <c r="R47" s="89"/>
      <c r="S47" s="61"/>
    </row>
    <row r="48" spans="1:23" x14ac:dyDescent="0.2">
      <c r="A48" s="54">
        <f t="shared" ref="A48:E52" si="106">+A206+A367+++A114+A301+A245+A159+A430</f>
        <v>572000</v>
      </c>
      <c r="B48" s="9">
        <f t="shared" si="106"/>
        <v>838700</v>
      </c>
      <c r="C48" s="89">
        <f t="shared" si="106"/>
        <v>845500</v>
      </c>
      <c r="D48" s="9">
        <f t="shared" si="106"/>
        <v>970600</v>
      </c>
      <c r="E48" s="9">
        <f t="shared" si="106"/>
        <v>1073300</v>
      </c>
      <c r="F48" s="55" t="s">
        <v>2848</v>
      </c>
      <c r="G48" s="257"/>
      <c r="H48" s="9">
        <f>+H206+H367+++H114+H301+H245+H159+H430</f>
        <v>1176800</v>
      </c>
      <c r="I48" s="85"/>
      <c r="J48" s="9">
        <f t="shared" ref="J48:S48" si="107">+J206+J367+++J114+J301+J245+J159+J430</f>
        <v>1301600</v>
      </c>
      <c r="K48" s="9">
        <f t="shared" si="107"/>
        <v>1369900</v>
      </c>
      <c r="L48" s="9">
        <f t="shared" si="107"/>
        <v>1443000</v>
      </c>
      <c r="M48" s="9">
        <f t="shared" si="107"/>
        <v>1452600</v>
      </c>
      <c r="N48" s="9">
        <f t="shared" si="107"/>
        <v>1052700</v>
      </c>
      <c r="O48" s="9">
        <f t="shared" si="107"/>
        <v>406400</v>
      </c>
      <c r="P48" s="9">
        <f t="shared" si="107"/>
        <v>208100</v>
      </c>
      <c r="Q48" s="89">
        <f t="shared" si="107"/>
        <v>217100</v>
      </c>
      <c r="R48" s="89">
        <f t="shared" si="107"/>
        <v>167000</v>
      </c>
      <c r="S48" s="61">
        <f t="shared" si="107"/>
        <v>176000</v>
      </c>
    </row>
    <row r="49" spans="1:23" x14ac:dyDescent="0.2">
      <c r="A49" s="54">
        <f t="shared" si="106"/>
        <v>12621300</v>
      </c>
      <c r="B49" s="9">
        <f t="shared" si="106"/>
        <v>5690100</v>
      </c>
      <c r="C49" s="89">
        <f t="shared" si="106"/>
        <v>7765000</v>
      </c>
      <c r="D49" s="9">
        <f t="shared" si="106"/>
        <v>5562000</v>
      </c>
      <c r="E49" s="9">
        <f t="shared" si="106"/>
        <v>7061300</v>
      </c>
      <c r="F49" s="358" t="s">
        <v>1909</v>
      </c>
      <c r="G49" s="257"/>
      <c r="H49" s="9">
        <f>+H207+H368+++H115+H302+H246+H160+H431</f>
        <v>14184500</v>
      </c>
      <c r="I49" s="85"/>
      <c r="J49" s="9">
        <f t="shared" ref="J49:S49" si="108">+J207+J368+++J115+J302+J246+J160+J431</f>
        <v>10043500</v>
      </c>
      <c r="K49" s="9">
        <f t="shared" si="108"/>
        <v>7089800</v>
      </c>
      <c r="L49" s="9">
        <f t="shared" si="108"/>
        <v>6390100</v>
      </c>
      <c r="M49" s="9">
        <f t="shared" si="108"/>
        <v>5064800</v>
      </c>
      <c r="N49" s="9">
        <f t="shared" si="108"/>
        <v>4521800</v>
      </c>
      <c r="O49" s="9">
        <f t="shared" si="108"/>
        <v>4758000</v>
      </c>
      <c r="P49" s="9">
        <f t="shared" si="108"/>
        <v>5725000</v>
      </c>
      <c r="Q49" s="89">
        <f t="shared" si="108"/>
        <v>5785000</v>
      </c>
      <c r="R49" s="89">
        <f t="shared" si="108"/>
        <v>5908500</v>
      </c>
      <c r="S49" s="61">
        <f t="shared" si="108"/>
        <v>5957600</v>
      </c>
    </row>
    <row r="50" spans="1:23" x14ac:dyDescent="0.2">
      <c r="A50" s="54">
        <f t="shared" si="106"/>
        <v>9462000</v>
      </c>
      <c r="B50" s="9">
        <f t="shared" si="106"/>
        <v>11563800</v>
      </c>
      <c r="C50" s="89">
        <f t="shared" si="106"/>
        <v>7330100</v>
      </c>
      <c r="D50" s="9">
        <f t="shared" si="106"/>
        <v>3383700</v>
      </c>
      <c r="E50" s="9">
        <f t="shared" si="106"/>
        <v>4300500</v>
      </c>
      <c r="F50" s="358" t="s">
        <v>2309</v>
      </c>
      <c r="G50" s="257"/>
      <c r="H50" s="9">
        <f>+H208+H369+++H116+H303+H247+H161+H432</f>
        <v>6874800</v>
      </c>
      <c r="I50" s="85"/>
      <c r="J50" s="9">
        <f t="shared" ref="J50:S50" si="109">+J208+J369+++J116+J303+J247+J161+J432</f>
        <v>8807000</v>
      </c>
      <c r="K50" s="9">
        <f t="shared" si="109"/>
        <v>7984800</v>
      </c>
      <c r="L50" s="9">
        <f t="shared" si="109"/>
        <v>3833500</v>
      </c>
      <c r="M50" s="9">
        <f t="shared" si="109"/>
        <v>2642700</v>
      </c>
      <c r="N50" s="9">
        <f t="shared" si="109"/>
        <v>2365200</v>
      </c>
      <c r="O50" s="9">
        <f t="shared" si="109"/>
        <v>4985500</v>
      </c>
      <c r="P50" s="9">
        <f t="shared" si="109"/>
        <v>4495700</v>
      </c>
      <c r="Q50" s="89">
        <f t="shared" si="109"/>
        <v>3726200</v>
      </c>
      <c r="R50" s="89">
        <f t="shared" si="109"/>
        <v>3747200</v>
      </c>
      <c r="S50" s="61">
        <f t="shared" si="109"/>
        <v>4068900</v>
      </c>
    </row>
    <row r="51" spans="1:23" x14ac:dyDescent="0.2">
      <c r="A51" s="54">
        <f t="shared" si="106"/>
        <v>14103000</v>
      </c>
      <c r="B51" s="9">
        <f t="shared" si="106"/>
        <v>-342600</v>
      </c>
      <c r="C51" s="89">
        <f t="shared" si="106"/>
        <v>3566900</v>
      </c>
      <c r="D51" s="9">
        <f t="shared" si="106"/>
        <v>7113800</v>
      </c>
      <c r="E51" s="9">
        <f t="shared" si="106"/>
        <v>1310700</v>
      </c>
      <c r="F51" s="358" t="s">
        <v>5847</v>
      </c>
      <c r="G51" s="257"/>
      <c r="H51" s="9">
        <f>+H209+H370+++H117+H304+H248+H162+H433</f>
        <v>15205000</v>
      </c>
      <c r="I51" s="85"/>
      <c r="J51" s="9">
        <f t="shared" ref="J51:S51" si="110">+J209+J370+++J117+J304+J248+J162+J433</f>
        <v>7855000</v>
      </c>
      <c r="K51" s="9">
        <f t="shared" si="110"/>
        <v>4855000</v>
      </c>
      <c r="L51" s="9">
        <f t="shared" si="110"/>
        <v>3140000</v>
      </c>
      <c r="M51" s="9">
        <f t="shared" si="110"/>
        <v>1600000</v>
      </c>
      <c r="N51" s="9">
        <f t="shared" si="110"/>
        <v>1160000</v>
      </c>
      <c r="O51" s="9">
        <f t="shared" si="110"/>
        <v>1160000</v>
      </c>
      <c r="P51" s="9">
        <f t="shared" si="110"/>
        <v>1160000</v>
      </c>
      <c r="Q51" s="89">
        <f t="shared" si="110"/>
        <v>1160000</v>
      </c>
      <c r="R51" s="89">
        <f t="shared" si="110"/>
        <v>1160000</v>
      </c>
      <c r="S51" s="61">
        <f t="shared" si="110"/>
        <v>1160000</v>
      </c>
    </row>
    <row r="52" spans="1:23" x14ac:dyDescent="0.2">
      <c r="A52" s="54">
        <f t="shared" si="106"/>
        <v>12170000</v>
      </c>
      <c r="B52" s="9">
        <f t="shared" si="106"/>
        <v>6222600</v>
      </c>
      <c r="C52" s="89">
        <f t="shared" si="106"/>
        <v>5331900</v>
      </c>
      <c r="D52" s="9">
        <f t="shared" si="106"/>
        <v>3750700</v>
      </c>
      <c r="E52" s="9">
        <f t="shared" si="106"/>
        <v>2171600</v>
      </c>
      <c r="F52" s="358" t="s">
        <v>958</v>
      </c>
      <c r="G52" s="257"/>
      <c r="H52" s="9">
        <f>+H210+H371+++H118+H305+H249+H163+H434</f>
        <v>7672800</v>
      </c>
      <c r="I52" s="85"/>
      <c r="J52" s="9">
        <f t="shared" ref="J52:S52" si="111">+J210+J371+++J118+J305+J249+J163+J434</f>
        <v>7463000</v>
      </c>
      <c r="K52" s="9">
        <f t="shared" si="111"/>
        <v>6624000</v>
      </c>
      <c r="L52" s="9">
        <f t="shared" si="111"/>
        <v>1195000</v>
      </c>
      <c r="M52" s="9">
        <f t="shared" si="111"/>
        <v>147000</v>
      </c>
      <c r="N52" s="9">
        <f t="shared" si="111"/>
        <v>552000</v>
      </c>
      <c r="O52" s="9">
        <f t="shared" si="111"/>
        <v>3657000</v>
      </c>
      <c r="P52" s="9">
        <f t="shared" si="111"/>
        <v>2162000</v>
      </c>
      <c r="Q52" s="89">
        <f t="shared" si="111"/>
        <v>1667000</v>
      </c>
      <c r="R52" s="89">
        <f t="shared" si="111"/>
        <v>1672000</v>
      </c>
      <c r="S52" s="61">
        <f t="shared" si="111"/>
        <v>1977000</v>
      </c>
    </row>
    <row r="53" spans="1:23" x14ac:dyDescent="0.2">
      <c r="A53" s="54"/>
      <c r="B53" s="9"/>
      <c r="C53" s="89"/>
      <c r="D53" s="9"/>
      <c r="E53" s="9"/>
      <c r="F53" s="357"/>
      <c r="G53" s="89"/>
      <c r="H53" s="9"/>
      <c r="I53" s="85"/>
      <c r="J53" s="9"/>
      <c r="K53" s="9"/>
      <c r="L53" s="9"/>
      <c r="M53" s="9"/>
      <c r="N53" s="9"/>
      <c r="O53" s="9"/>
      <c r="P53" s="9"/>
      <c r="Q53" s="89"/>
      <c r="R53" s="89"/>
      <c r="S53" s="61"/>
    </row>
    <row r="54" spans="1:23" s="39" customFormat="1" x14ac:dyDescent="0.2">
      <c r="A54" s="128">
        <f>A43-A48-A49+A50++A51-A52</f>
        <v>21736400</v>
      </c>
      <c r="B54" s="280">
        <f>B43-B48-B49+B50++B51-B52</f>
        <v>18941100</v>
      </c>
      <c r="C54" s="266">
        <f>C43-C48-C49+C50++C51-C52</f>
        <v>19857000</v>
      </c>
      <c r="D54" s="280">
        <f>D43-D48-D49+D50++D51-D52</f>
        <v>24535400</v>
      </c>
      <c r="E54" s="280">
        <f t="shared" ref="E54" si="112">E43-E48-E49+E50++E51-E52</f>
        <v>24696900</v>
      </c>
      <c r="F54" s="355" t="s">
        <v>2447</v>
      </c>
      <c r="G54" s="266"/>
      <c r="H54" s="280">
        <f t="shared" ref="H54:O54" si="113">H43-H48-H49+H50++H51-H52</f>
        <v>25781700</v>
      </c>
      <c r="I54" s="278">
        <f>IF(E54=H54,0,IF(E54=0,100,(H54-E54)/E54*100))</f>
        <v>4.3924541136741855</v>
      </c>
      <c r="J54" s="280">
        <f t="shared" si="113"/>
        <v>25742600</v>
      </c>
      <c r="K54" s="280">
        <f t="shared" si="113"/>
        <v>26447600</v>
      </c>
      <c r="L54" s="280">
        <f t="shared" si="113"/>
        <v>27147200</v>
      </c>
      <c r="M54" s="280">
        <f t="shared" si="113"/>
        <v>27900500</v>
      </c>
      <c r="N54" s="280">
        <f t="shared" si="113"/>
        <v>28622500</v>
      </c>
      <c r="O54" s="280">
        <f t="shared" si="113"/>
        <v>29409700</v>
      </c>
      <c r="P54" s="280">
        <f t="shared" ref="P54:Q54" si="114">P43-P48-P49+P50++P51-P52</f>
        <v>30205000</v>
      </c>
      <c r="Q54" s="266">
        <f t="shared" si="114"/>
        <v>31042400</v>
      </c>
      <c r="R54" s="266">
        <f t="shared" ref="R54" si="115">R43-R48-R49+R50++R51-R52</f>
        <v>31911300</v>
      </c>
      <c r="S54" s="282">
        <f t="shared" ref="S54" si="116">S43-S48-S49+S50++S51-S52</f>
        <v>32802100</v>
      </c>
      <c r="U54" s="34"/>
      <c r="W54" s="34"/>
    </row>
    <row r="55" spans="1:23" ht="13.5" thickBot="1" x14ac:dyDescent="0.25">
      <c r="A55" s="26"/>
      <c r="B55" s="37"/>
      <c r="C55" s="81"/>
      <c r="D55" s="37"/>
      <c r="E55" s="23"/>
      <c r="F55" s="186"/>
      <c r="G55" s="81"/>
      <c r="H55" s="23"/>
      <c r="I55" s="275"/>
      <c r="J55" s="23"/>
      <c r="K55" s="23"/>
      <c r="L55" s="23"/>
      <c r="M55" s="23"/>
      <c r="N55" s="23"/>
      <c r="O55" s="23"/>
      <c r="P55" s="23"/>
      <c r="Q55" s="113"/>
      <c r="R55" s="113"/>
      <c r="S55" s="112"/>
    </row>
    <row r="56" spans="1:23" s="46" customFormat="1" ht="14.25" thickTop="1" thickBot="1" x14ac:dyDescent="0.25">
      <c r="A56" s="27"/>
      <c r="B56" s="27"/>
      <c r="C56" s="27"/>
      <c r="D56" s="27"/>
      <c r="F56" s="185"/>
      <c r="G56" s="27"/>
      <c r="I56" s="2234"/>
      <c r="U56" s="34"/>
      <c r="W56" s="34"/>
    </row>
    <row r="57" spans="1:23" s="38" customFormat="1" ht="18.75" customHeight="1" thickTop="1" thickBot="1" x14ac:dyDescent="0.3">
      <c r="A57" s="2601" t="s">
        <v>6990</v>
      </c>
      <c r="B57" s="2602"/>
      <c r="C57" s="2602"/>
      <c r="D57" s="2602"/>
      <c r="E57" s="2602"/>
      <c r="F57" s="2602"/>
      <c r="G57" s="2602"/>
      <c r="H57" s="2602"/>
      <c r="I57" s="2602"/>
      <c r="J57" s="2602"/>
      <c r="K57" s="2602"/>
      <c r="L57" s="2602"/>
      <c r="M57" s="2602"/>
      <c r="N57" s="2602"/>
      <c r="O57" s="2602"/>
      <c r="P57" s="2602"/>
      <c r="Q57" s="2602"/>
      <c r="R57" s="2602"/>
      <c r="S57" s="2603"/>
      <c r="U57" s="34"/>
      <c r="W57" s="34"/>
    </row>
    <row r="58" spans="1:23" s="39" customFormat="1" x14ac:dyDescent="0.2">
      <c r="A58" s="2620" t="s">
        <v>1824</v>
      </c>
      <c r="B58" s="2621"/>
      <c r="C58" s="2621"/>
      <c r="D58" s="2621"/>
      <c r="E58" s="2622"/>
      <c r="F58" s="150" t="s">
        <v>2616</v>
      </c>
      <c r="G58" s="126" t="s">
        <v>2213</v>
      </c>
      <c r="H58" s="2617" t="s">
        <v>2215</v>
      </c>
      <c r="I58" s="2618"/>
      <c r="J58" s="2618"/>
      <c r="K58" s="2618"/>
      <c r="L58" s="2618"/>
      <c r="M58" s="2618"/>
      <c r="N58" s="2618"/>
      <c r="O58" s="2618"/>
      <c r="P58" s="2618"/>
      <c r="Q58" s="2618"/>
      <c r="R58" s="2618"/>
      <c r="S58" s="2619"/>
      <c r="U58" s="34"/>
      <c r="W58" s="34"/>
    </row>
    <row r="59" spans="1:23" ht="13.5" thickBot="1" x14ac:dyDescent="0.25">
      <c r="A59" s="1526" t="str">
        <f>A3</f>
        <v>2012/13</v>
      </c>
      <c r="B59" s="40" t="str">
        <f>B3</f>
        <v>2013/14</v>
      </c>
      <c r="C59" s="40" t="str">
        <f>C3</f>
        <v>2014/15</v>
      </c>
      <c r="D59" s="40" t="str">
        <f>D3</f>
        <v>2015/16</v>
      </c>
      <c r="E59" s="40" t="str">
        <f>E3</f>
        <v>2016/17</v>
      </c>
      <c r="F59" s="40" t="s">
        <v>2617</v>
      </c>
      <c r="G59" s="41"/>
      <c r="H59" s="40" t="str">
        <f t="shared" ref="H59:R59" si="117">H3</f>
        <v>2017/18</v>
      </c>
      <c r="I59" s="1459" t="s">
        <v>492</v>
      </c>
      <c r="J59" s="40" t="str">
        <f t="shared" si="117"/>
        <v>2018/19</v>
      </c>
      <c r="K59" s="40" t="str">
        <f t="shared" si="117"/>
        <v>2019/20</v>
      </c>
      <c r="L59" s="40" t="str">
        <f t="shared" si="117"/>
        <v>2020/21</v>
      </c>
      <c r="M59" s="40" t="str">
        <f t="shared" si="117"/>
        <v>2021/22</v>
      </c>
      <c r="N59" s="40" t="str">
        <f t="shared" si="117"/>
        <v>2022/23</v>
      </c>
      <c r="O59" s="40" t="str">
        <f t="shared" si="117"/>
        <v>2023/24</v>
      </c>
      <c r="P59" s="40" t="str">
        <f t="shared" si="117"/>
        <v>2024/25</v>
      </c>
      <c r="Q59" s="40" t="str">
        <f t="shared" si="117"/>
        <v>2025/26</v>
      </c>
      <c r="R59" s="40" t="str">
        <f t="shared" si="117"/>
        <v>2026/27</v>
      </c>
      <c r="S59" s="1620" t="str">
        <f t="shared" ref="S59" si="118">S3</f>
        <v>2027/28</v>
      </c>
    </row>
    <row r="60" spans="1:23" x14ac:dyDescent="0.2">
      <c r="A60" s="45"/>
      <c r="B60" s="9"/>
      <c r="C60" s="9"/>
      <c r="D60" s="9"/>
      <c r="E60" s="9"/>
      <c r="F60" s="175"/>
      <c r="G60" s="27"/>
      <c r="H60" s="9"/>
      <c r="I60" s="85"/>
      <c r="J60" s="9"/>
      <c r="K60" s="9"/>
      <c r="L60" s="9"/>
      <c r="M60" s="9"/>
      <c r="N60" s="9"/>
      <c r="O60" s="9"/>
      <c r="P60" s="9"/>
      <c r="Q60" s="9"/>
      <c r="R60" s="9"/>
      <c r="S60" s="61"/>
    </row>
    <row r="61" spans="1:23" x14ac:dyDescent="0.2">
      <c r="A61" s="54"/>
      <c r="B61" s="9"/>
      <c r="C61" s="9"/>
      <c r="D61" s="9"/>
      <c r="E61" s="9"/>
      <c r="F61" s="177"/>
      <c r="G61" s="256" t="s">
        <v>1056</v>
      </c>
      <c r="H61" s="9"/>
      <c r="I61" s="85"/>
      <c r="J61" s="9"/>
      <c r="K61" s="9"/>
      <c r="L61" s="9"/>
      <c r="M61" s="9"/>
      <c r="N61" s="9"/>
      <c r="O61" s="9"/>
      <c r="P61" s="9"/>
      <c r="Q61" s="9"/>
      <c r="R61" s="9"/>
      <c r="S61" s="61"/>
    </row>
    <row r="62" spans="1:23" x14ac:dyDescent="0.2">
      <c r="A62" s="54"/>
      <c r="B62" s="9"/>
      <c r="C62" s="9"/>
      <c r="D62" s="9"/>
      <c r="E62" s="9"/>
      <c r="F62" s="177"/>
      <c r="G62" s="27"/>
      <c r="H62" s="9"/>
      <c r="I62" s="85"/>
      <c r="J62" s="9"/>
      <c r="K62" s="9"/>
      <c r="L62" s="9"/>
      <c r="M62" s="9"/>
      <c r="N62" s="9"/>
      <c r="O62" s="9"/>
      <c r="P62" s="9"/>
      <c r="Q62" s="9"/>
      <c r="R62" s="9"/>
      <c r="S62" s="61"/>
    </row>
    <row r="63" spans="1:23" x14ac:dyDescent="0.2">
      <c r="A63" s="54"/>
      <c r="B63" s="9"/>
      <c r="C63" s="9"/>
      <c r="D63" s="9"/>
      <c r="E63" s="9"/>
      <c r="F63" s="177"/>
      <c r="G63" s="27" t="s">
        <v>1460</v>
      </c>
      <c r="H63" s="9"/>
      <c r="I63" s="85"/>
      <c r="J63" s="9"/>
      <c r="K63" s="9"/>
      <c r="L63" s="9"/>
      <c r="M63" s="9"/>
      <c r="N63" s="9"/>
      <c r="O63" s="9"/>
      <c r="P63" s="9"/>
      <c r="Q63" s="9"/>
      <c r="R63" s="9"/>
      <c r="S63" s="61"/>
    </row>
    <row r="64" spans="1:23" x14ac:dyDescent="0.2">
      <c r="A64" s="54">
        <f>ROUND(A448,3)</f>
        <v>0</v>
      </c>
      <c r="B64" s="9">
        <f>B448</f>
        <v>0</v>
      </c>
      <c r="C64" s="9">
        <f>C448</f>
        <v>0</v>
      </c>
      <c r="D64" s="9">
        <f>D448</f>
        <v>4300</v>
      </c>
      <c r="E64" s="9">
        <f t="shared" ref="E64" si="119">E448</f>
        <v>0</v>
      </c>
      <c r="F64" s="177">
        <v>26000</v>
      </c>
      <c r="G64" s="46" t="s">
        <v>1740</v>
      </c>
      <c r="H64" s="9">
        <f t="shared" ref="H64:O64" si="120">H448</f>
        <v>0</v>
      </c>
      <c r="I64" s="85">
        <f>IF(E64=H64,0,IF(E64=0,100,(H64-E64)/E64*100))</f>
        <v>0</v>
      </c>
      <c r="J64" s="9">
        <f t="shared" si="120"/>
        <v>0</v>
      </c>
      <c r="K64" s="9">
        <f t="shared" si="120"/>
        <v>0</v>
      </c>
      <c r="L64" s="9">
        <f t="shared" si="120"/>
        <v>0</v>
      </c>
      <c r="M64" s="9">
        <f t="shared" si="120"/>
        <v>0</v>
      </c>
      <c r="N64" s="9">
        <f t="shared" si="120"/>
        <v>0</v>
      </c>
      <c r="O64" s="9">
        <f t="shared" si="120"/>
        <v>0</v>
      </c>
      <c r="P64" s="9">
        <f t="shared" ref="P64:Q64" si="121">P448</f>
        <v>0</v>
      </c>
      <c r="Q64" s="9">
        <f t="shared" si="121"/>
        <v>0</v>
      </c>
      <c r="R64" s="9">
        <f t="shared" ref="R64" si="122">R448</f>
        <v>0</v>
      </c>
      <c r="S64" s="47">
        <f t="shared" ref="S64" si="123">S448</f>
        <v>0</v>
      </c>
    </row>
    <row r="65" spans="1:23" s="2226" customFormat="1" x14ac:dyDescent="0.2">
      <c r="A65" s="581"/>
      <c r="B65" s="79"/>
      <c r="C65" s="79"/>
      <c r="D65" s="79"/>
      <c r="E65" s="79"/>
      <c r="F65" s="857"/>
      <c r="G65" s="207"/>
      <c r="H65" s="79"/>
      <c r="I65" s="584"/>
      <c r="J65" s="79"/>
      <c r="K65" s="79"/>
      <c r="L65" s="79"/>
      <c r="M65" s="79"/>
      <c r="N65" s="79"/>
      <c r="O65" s="79"/>
      <c r="P65" s="79"/>
      <c r="Q65" s="79"/>
      <c r="R65" s="79"/>
      <c r="S65" s="2346"/>
      <c r="U65" s="34"/>
      <c r="W65" s="34"/>
    </row>
    <row r="66" spans="1:23" s="2226" customFormat="1" x14ac:dyDescent="0.2">
      <c r="A66" s="25"/>
      <c r="B66" s="79"/>
      <c r="C66" s="79"/>
      <c r="D66" s="79"/>
      <c r="E66" s="79"/>
      <c r="F66" s="860"/>
      <c r="G66" s="92" t="s">
        <v>2829</v>
      </c>
      <c r="H66" s="79"/>
      <c r="I66" s="584"/>
      <c r="J66" s="79"/>
      <c r="K66" s="79"/>
      <c r="L66" s="79"/>
      <c r="M66" s="79"/>
      <c r="N66" s="79"/>
      <c r="O66" s="79"/>
      <c r="P66" s="79"/>
      <c r="Q66" s="79"/>
      <c r="R66" s="79"/>
      <c r="S66" s="2346"/>
      <c r="U66" s="34"/>
      <c r="W66" s="34"/>
    </row>
    <row r="67" spans="1:23" s="2226" customFormat="1" x14ac:dyDescent="0.2">
      <c r="A67" s="25">
        <f>ROUND(SUM(A450:A455),-3)</f>
        <v>18000</v>
      </c>
      <c r="B67" s="79">
        <f>SUM(B450:B455)</f>
        <v>19100</v>
      </c>
      <c r="C67" s="79">
        <f>SUM(C450:C455)</f>
        <v>17400</v>
      </c>
      <c r="D67" s="79">
        <f>SUM(D450:D455)</f>
        <v>42500</v>
      </c>
      <c r="E67" s="79">
        <f>SUM(E450:E455)</f>
        <v>21100</v>
      </c>
      <c r="F67" s="860">
        <v>26005</v>
      </c>
      <c r="G67" s="31" t="s">
        <v>2808</v>
      </c>
      <c r="H67" s="79">
        <f>SUM(H450:H455)</f>
        <v>22000</v>
      </c>
      <c r="I67" s="584">
        <f>IF(E67=H67,0,IF(E67=0,100,(H67-E67)/E67*100))</f>
        <v>4.2654028436018958</v>
      </c>
      <c r="J67" s="79">
        <f t="shared" ref="J67:R67" si="124">SUM(J450:J455)</f>
        <v>19500</v>
      </c>
      <c r="K67" s="79">
        <f t="shared" si="124"/>
        <v>20100</v>
      </c>
      <c r="L67" s="79">
        <f t="shared" si="124"/>
        <v>20800</v>
      </c>
      <c r="M67" s="79">
        <f t="shared" si="124"/>
        <v>21500</v>
      </c>
      <c r="N67" s="79">
        <f t="shared" si="124"/>
        <v>22300</v>
      </c>
      <c r="O67" s="79">
        <f t="shared" si="124"/>
        <v>23100</v>
      </c>
      <c r="P67" s="79">
        <f t="shared" si="124"/>
        <v>23900</v>
      </c>
      <c r="Q67" s="79">
        <f t="shared" si="124"/>
        <v>24800</v>
      </c>
      <c r="R67" s="79">
        <f t="shared" si="124"/>
        <v>25700</v>
      </c>
      <c r="S67" s="2346">
        <f t="shared" ref="S67" si="125">SUM(S450:S455)</f>
        <v>26600</v>
      </c>
      <c r="U67" s="34"/>
      <c r="W67" s="34"/>
    </row>
    <row r="68" spans="1:23" ht="13.5" thickBot="1" x14ac:dyDescent="0.25">
      <c r="A68" s="54"/>
      <c r="B68" s="9"/>
      <c r="C68" s="9"/>
      <c r="D68" s="9"/>
      <c r="E68" s="9"/>
      <c r="F68" s="240"/>
      <c r="G68" s="46"/>
      <c r="H68" s="9"/>
      <c r="I68" s="85"/>
      <c r="J68" s="9"/>
      <c r="K68" s="9"/>
      <c r="L68" s="9"/>
      <c r="M68" s="9"/>
      <c r="N68" s="9"/>
      <c r="O68" s="9"/>
      <c r="P68" s="9"/>
      <c r="Q68" s="9"/>
      <c r="R68" s="9"/>
      <c r="S68" s="47"/>
    </row>
    <row r="69" spans="1:23" s="39" customFormat="1" x14ac:dyDescent="0.2">
      <c r="A69" s="52">
        <f>SUM(A63:A68)</f>
        <v>18000</v>
      </c>
      <c r="B69" s="16">
        <f>SUM(B63:B68)</f>
        <v>19100</v>
      </c>
      <c r="C69" s="16">
        <f>SUM(C63:C68)</f>
        <v>17400</v>
      </c>
      <c r="D69" s="16">
        <f>SUM(D63:D68)</f>
        <v>46800</v>
      </c>
      <c r="E69" s="16">
        <f t="shared" ref="E69" si="126">SUM(E63:E68)</f>
        <v>21100</v>
      </c>
      <c r="F69" s="241"/>
      <c r="G69" s="59" t="s">
        <v>2561</v>
      </c>
      <c r="H69" s="16">
        <f t="shared" ref="H69:O69" si="127">SUM(H63:H68)</f>
        <v>22000</v>
      </c>
      <c r="I69" s="127">
        <f>IF(E69=H69,0,IF(E69=0,100,(H69-E69)/E69*100))</f>
        <v>4.2654028436018958</v>
      </c>
      <c r="J69" s="16">
        <f t="shared" si="127"/>
        <v>19500</v>
      </c>
      <c r="K69" s="16">
        <f t="shared" si="127"/>
        <v>20100</v>
      </c>
      <c r="L69" s="16">
        <f t="shared" si="127"/>
        <v>20800</v>
      </c>
      <c r="M69" s="16">
        <f t="shared" si="127"/>
        <v>21500</v>
      </c>
      <c r="N69" s="16">
        <f t="shared" si="127"/>
        <v>22300</v>
      </c>
      <c r="O69" s="16">
        <f t="shared" si="127"/>
        <v>23100</v>
      </c>
      <c r="P69" s="16">
        <f t="shared" ref="P69:Q69" si="128">SUM(P63:P68)</f>
        <v>23900</v>
      </c>
      <c r="Q69" s="16">
        <f t="shared" si="128"/>
        <v>24800</v>
      </c>
      <c r="R69" s="16">
        <f t="shared" ref="R69" si="129">SUM(R63:R68)</f>
        <v>25700</v>
      </c>
      <c r="S69" s="2342">
        <f t="shared" ref="S69" si="130">SUM(S63:S68)</f>
        <v>26600</v>
      </c>
      <c r="U69" s="34"/>
      <c r="W69" s="34"/>
    </row>
    <row r="70" spans="1:23" x14ac:dyDescent="0.2">
      <c r="A70" s="54"/>
      <c r="B70" s="9"/>
      <c r="C70" s="9"/>
      <c r="D70" s="9"/>
      <c r="E70" s="9"/>
      <c r="F70" s="177"/>
      <c r="G70" s="27"/>
      <c r="H70" s="9"/>
      <c r="I70" s="85"/>
      <c r="J70" s="9"/>
      <c r="K70" s="9"/>
      <c r="L70" s="9"/>
      <c r="M70" s="9"/>
      <c r="N70" s="9"/>
      <c r="O70" s="9"/>
      <c r="P70" s="9"/>
      <c r="Q70" s="9"/>
      <c r="R70" s="9"/>
      <c r="S70" s="47"/>
    </row>
    <row r="71" spans="1:23" x14ac:dyDescent="0.2">
      <c r="A71" s="54"/>
      <c r="B71" s="9"/>
      <c r="C71" s="9"/>
      <c r="D71" s="9"/>
      <c r="E71" s="9"/>
      <c r="F71" s="240"/>
      <c r="G71" s="91" t="s">
        <v>2169</v>
      </c>
      <c r="H71" s="9"/>
      <c r="I71" s="85"/>
      <c r="J71" s="9"/>
      <c r="K71" s="9"/>
      <c r="L71" s="9"/>
      <c r="M71" s="9"/>
      <c r="N71" s="9"/>
      <c r="O71" s="9"/>
      <c r="P71" s="9"/>
      <c r="Q71" s="9"/>
      <c r="R71" s="9"/>
      <c r="S71" s="47"/>
    </row>
    <row r="72" spans="1:23" x14ac:dyDescent="0.2">
      <c r="A72" s="54"/>
      <c r="B72" s="9"/>
      <c r="C72" s="9"/>
      <c r="D72" s="9"/>
      <c r="E72" s="9"/>
      <c r="F72" s="240"/>
      <c r="G72" s="55"/>
      <c r="H72" s="9"/>
      <c r="I72" s="85"/>
      <c r="J72" s="9"/>
      <c r="K72" s="9"/>
      <c r="L72" s="9"/>
      <c r="M72" s="9"/>
      <c r="N72" s="9"/>
      <c r="O72" s="9"/>
      <c r="P72" s="9"/>
      <c r="Q72" s="9"/>
      <c r="R72" s="9"/>
      <c r="S72" s="47"/>
    </row>
    <row r="73" spans="1:23" x14ac:dyDescent="0.2">
      <c r="A73" s="54"/>
      <c r="B73" s="9"/>
      <c r="C73" s="9"/>
      <c r="D73" s="9"/>
      <c r="E73" s="9"/>
      <c r="F73" s="240"/>
      <c r="G73" s="56" t="s">
        <v>6250</v>
      </c>
      <c r="H73" s="9"/>
      <c r="I73" s="85"/>
      <c r="J73" s="9"/>
      <c r="K73" s="9"/>
      <c r="L73" s="9"/>
      <c r="M73" s="9"/>
      <c r="N73" s="9"/>
      <c r="O73" s="9"/>
      <c r="P73" s="9"/>
      <c r="Q73" s="9"/>
      <c r="R73" s="9"/>
      <c r="S73" s="47"/>
    </row>
    <row r="74" spans="1:23" x14ac:dyDescent="0.2">
      <c r="A74" s="54">
        <f>ROUND(SUM(A460:A462),-3)</f>
        <v>708000</v>
      </c>
      <c r="B74" s="9">
        <f>SUM(B460:B462)</f>
        <v>847000</v>
      </c>
      <c r="C74" s="9">
        <f>SUM(C460:C462)</f>
        <v>907600</v>
      </c>
      <c r="D74" s="9">
        <f>SUM(D460:D462)</f>
        <v>945500</v>
      </c>
      <c r="E74" s="9">
        <f>SUM(E460:E462)</f>
        <v>1029000</v>
      </c>
      <c r="F74" s="240" t="s">
        <v>1620</v>
      </c>
      <c r="G74" s="55" t="s">
        <v>1228</v>
      </c>
      <c r="H74" s="9">
        <f>SUM(H460:H462)</f>
        <v>1148000</v>
      </c>
      <c r="I74" s="85">
        <f>IF(E74=H74,0,IF(E74=0,100,(H74-E74)/E74*100))</f>
        <v>11.564625850340136</v>
      </c>
      <c r="J74" s="9">
        <f t="shared" ref="J74:R74" si="131">SUM(J460:J462)</f>
        <v>1176200</v>
      </c>
      <c r="K74" s="9">
        <f t="shared" si="131"/>
        <v>1203400</v>
      </c>
      <c r="L74" s="9">
        <f t="shared" si="131"/>
        <v>1231200</v>
      </c>
      <c r="M74" s="9">
        <f t="shared" si="131"/>
        <v>1259600</v>
      </c>
      <c r="N74" s="9">
        <f t="shared" si="131"/>
        <v>1288700</v>
      </c>
      <c r="O74" s="9">
        <f t="shared" si="131"/>
        <v>1318400</v>
      </c>
      <c r="P74" s="9">
        <f t="shared" si="131"/>
        <v>1348800</v>
      </c>
      <c r="Q74" s="9">
        <f t="shared" si="131"/>
        <v>1379900</v>
      </c>
      <c r="R74" s="9">
        <f t="shared" si="131"/>
        <v>1389500</v>
      </c>
      <c r="S74" s="47">
        <f t="shared" ref="S74" si="132">SUM(S460:S462)</f>
        <v>1399400</v>
      </c>
    </row>
    <row r="75" spans="1:23" x14ac:dyDescent="0.2">
      <c r="A75" s="54">
        <f>ROUND(SUM(A463:A465),-3)</f>
        <v>9000</v>
      </c>
      <c r="B75" s="9">
        <f>SUM(B463:B465)</f>
        <v>10100</v>
      </c>
      <c r="C75" s="9">
        <f>SUM(C463:C465)</f>
        <v>10200</v>
      </c>
      <c r="D75" s="9">
        <f>SUM(D463:D465)</f>
        <v>8600</v>
      </c>
      <c r="E75" s="9">
        <f>SUM(E463:E465)</f>
        <v>5100</v>
      </c>
      <c r="F75" s="240" t="s">
        <v>1620</v>
      </c>
      <c r="G75" s="55" t="s">
        <v>666</v>
      </c>
      <c r="H75" s="9">
        <f>SUM(H463:H465)</f>
        <v>12100</v>
      </c>
      <c r="I75" s="85">
        <f>IF(E75=H75,0,IF(E75=0,100,(H75-E75)/E75*100))</f>
        <v>137.25490196078431</v>
      </c>
      <c r="J75" s="9">
        <f>SUM(J463:J465)</f>
        <v>14000</v>
      </c>
      <c r="K75" s="9">
        <f t="shared" ref="K75:R75" si="133">SUM(K463:K465)</f>
        <v>14500</v>
      </c>
      <c r="L75" s="9">
        <f t="shared" si="133"/>
        <v>15100</v>
      </c>
      <c r="M75" s="9">
        <f t="shared" si="133"/>
        <v>15700</v>
      </c>
      <c r="N75" s="9">
        <f t="shared" si="133"/>
        <v>16300</v>
      </c>
      <c r="O75" s="9">
        <f t="shared" si="133"/>
        <v>16900</v>
      </c>
      <c r="P75" s="9">
        <f t="shared" si="133"/>
        <v>17500</v>
      </c>
      <c r="Q75" s="9">
        <f t="shared" si="133"/>
        <v>18100</v>
      </c>
      <c r="R75" s="9">
        <f t="shared" si="133"/>
        <v>18700</v>
      </c>
      <c r="S75" s="47">
        <f t="shared" ref="S75" si="134">SUM(S463:S465)</f>
        <v>19300</v>
      </c>
    </row>
    <row r="76" spans="1:23" x14ac:dyDescent="0.2">
      <c r="A76" s="54">
        <f>ROUND(SUM(A466),-3)</f>
        <v>55000</v>
      </c>
      <c r="B76" s="9">
        <f t="shared" ref="B76:E77" si="135">SUM(B466)</f>
        <v>53000</v>
      </c>
      <c r="C76" s="9">
        <f t="shared" si="135"/>
        <v>59900</v>
      </c>
      <c r="D76" s="9">
        <f t="shared" si="135"/>
        <v>68700</v>
      </c>
      <c r="E76" s="9">
        <f t="shared" ref="E76" si="136">SUM(E466)</f>
        <v>66500</v>
      </c>
      <c r="F76" s="240" t="s">
        <v>1620</v>
      </c>
      <c r="G76" s="58" t="s">
        <v>3053</v>
      </c>
      <c r="H76" s="9">
        <f t="shared" ref="H76:O76" si="137">SUM(H466)</f>
        <v>75000</v>
      </c>
      <c r="I76" s="85">
        <f>IF(E76=H76,0,IF(E76=0,100,(H76-E76)/E76*100))</f>
        <v>12.781954887218044</v>
      </c>
      <c r="J76" s="9">
        <f t="shared" si="137"/>
        <v>77000</v>
      </c>
      <c r="K76" s="9">
        <f t="shared" si="137"/>
        <v>79000</v>
      </c>
      <c r="L76" s="9">
        <f t="shared" si="137"/>
        <v>81000</v>
      </c>
      <c r="M76" s="9">
        <f t="shared" si="137"/>
        <v>83100</v>
      </c>
      <c r="N76" s="9">
        <f t="shared" si="137"/>
        <v>85200</v>
      </c>
      <c r="O76" s="9">
        <f t="shared" si="137"/>
        <v>87400</v>
      </c>
      <c r="P76" s="9">
        <f t="shared" ref="P76:Q76" si="138">SUM(P466)</f>
        <v>89600</v>
      </c>
      <c r="Q76" s="9">
        <f t="shared" si="138"/>
        <v>91900</v>
      </c>
      <c r="R76" s="9">
        <f t="shared" ref="R76" si="139">SUM(R466)</f>
        <v>94200</v>
      </c>
      <c r="S76" s="47">
        <f t="shared" ref="S76" si="140">SUM(S466)</f>
        <v>96600</v>
      </c>
    </row>
    <row r="77" spans="1:23" x14ac:dyDescent="0.2">
      <c r="A77" s="54">
        <f>ROUND(SUM(A467),-3)</f>
        <v>1000</v>
      </c>
      <c r="B77" s="9">
        <f t="shared" si="135"/>
        <v>6100</v>
      </c>
      <c r="C77" s="9">
        <f t="shared" si="135"/>
        <v>0</v>
      </c>
      <c r="D77" s="9">
        <f t="shared" si="135"/>
        <v>1000</v>
      </c>
      <c r="E77" s="9">
        <f t="shared" si="135"/>
        <v>5300</v>
      </c>
      <c r="F77" s="240" t="s">
        <v>1620</v>
      </c>
      <c r="G77" s="55" t="s">
        <v>2103</v>
      </c>
      <c r="H77" s="9">
        <f t="shared" ref="H77:O77" si="141">SUM(H467)</f>
        <v>2500</v>
      </c>
      <c r="I77" s="85">
        <f>IF(E77=H77,0,IF(E77=0,100,(H77-E77)/E77*100))</f>
        <v>-52.830188679245282</v>
      </c>
      <c r="J77" s="9">
        <f t="shared" si="141"/>
        <v>2500</v>
      </c>
      <c r="K77" s="9">
        <f t="shared" si="141"/>
        <v>2600</v>
      </c>
      <c r="L77" s="9">
        <f t="shared" si="141"/>
        <v>2700</v>
      </c>
      <c r="M77" s="9">
        <f t="shared" si="141"/>
        <v>2800</v>
      </c>
      <c r="N77" s="9">
        <f t="shared" si="141"/>
        <v>2900</v>
      </c>
      <c r="O77" s="9">
        <f t="shared" si="141"/>
        <v>3000</v>
      </c>
      <c r="P77" s="9">
        <f t="shared" ref="P77:Q77" si="142">SUM(P467)</f>
        <v>3100</v>
      </c>
      <c r="Q77" s="9">
        <f t="shared" si="142"/>
        <v>3200</v>
      </c>
      <c r="R77" s="9">
        <f t="shared" ref="R77" si="143">SUM(R467)</f>
        <v>3300</v>
      </c>
      <c r="S77" s="47">
        <f t="shared" ref="S77" si="144">SUM(S467)</f>
        <v>3400</v>
      </c>
    </row>
    <row r="78" spans="1:23" x14ac:dyDescent="0.2">
      <c r="A78" s="54"/>
      <c r="B78" s="9"/>
      <c r="C78" s="9"/>
      <c r="D78" s="9"/>
      <c r="E78" s="9"/>
      <c r="F78" s="240"/>
      <c r="G78" s="55"/>
      <c r="H78" s="9"/>
      <c r="I78" s="85"/>
      <c r="J78" s="9"/>
      <c r="K78" s="9"/>
      <c r="L78" s="9"/>
      <c r="M78" s="9"/>
      <c r="N78" s="9"/>
      <c r="O78" s="9"/>
      <c r="P78" s="9"/>
      <c r="Q78" s="9"/>
      <c r="R78" s="9"/>
      <c r="S78" s="47"/>
    </row>
    <row r="79" spans="1:23" x14ac:dyDescent="0.2">
      <c r="A79" s="54"/>
      <c r="B79" s="9"/>
      <c r="C79" s="9"/>
      <c r="D79" s="9"/>
      <c r="E79" s="9"/>
      <c r="F79" s="240"/>
      <c r="G79" s="84" t="s">
        <v>962</v>
      </c>
      <c r="H79" s="9"/>
      <c r="I79" s="85"/>
      <c r="J79" s="9"/>
      <c r="K79" s="9"/>
      <c r="L79" s="9"/>
      <c r="M79" s="9"/>
      <c r="N79" s="9"/>
      <c r="O79" s="9"/>
      <c r="P79" s="9"/>
      <c r="Q79" s="9"/>
      <c r="R79" s="9"/>
      <c r="S79" s="47"/>
    </row>
    <row r="80" spans="1:23" x14ac:dyDescent="0.2">
      <c r="A80" s="54">
        <f>ROUND(SUM(A469:A480),-3)</f>
        <v>316000</v>
      </c>
      <c r="B80" s="9">
        <f>SUM(B469:B480)</f>
        <v>329400</v>
      </c>
      <c r="C80" s="9">
        <f>SUM(C469:C480)</f>
        <v>304800</v>
      </c>
      <c r="D80" s="9">
        <f>SUM(D469:D480)</f>
        <v>308300</v>
      </c>
      <c r="E80" s="9">
        <f t="shared" ref="E80" si="145">SUM(E469:E480)</f>
        <v>351000</v>
      </c>
      <c r="F80" s="240" t="s">
        <v>1621</v>
      </c>
      <c r="G80" s="58" t="s">
        <v>4547</v>
      </c>
      <c r="H80" s="9">
        <f t="shared" ref="H80:O80" si="146">SUM(H469:H480)</f>
        <v>358000</v>
      </c>
      <c r="I80" s="85">
        <f>IF(E80=H80,0,IF(E80=0,100,(H80-E80)/E80*100))</f>
        <v>1.9943019943019942</v>
      </c>
      <c r="J80" s="9">
        <f t="shared" si="146"/>
        <v>364700</v>
      </c>
      <c r="K80" s="9">
        <f t="shared" si="146"/>
        <v>374200</v>
      </c>
      <c r="L80" s="9">
        <f t="shared" si="146"/>
        <v>394000</v>
      </c>
      <c r="M80" s="9">
        <f t="shared" si="146"/>
        <v>394100</v>
      </c>
      <c r="N80" s="9">
        <f t="shared" si="146"/>
        <v>404400</v>
      </c>
      <c r="O80" s="9">
        <f t="shared" si="146"/>
        <v>414800</v>
      </c>
      <c r="P80" s="9">
        <f t="shared" ref="P80:Q80" si="147">SUM(P469:P480)</f>
        <v>437700</v>
      </c>
      <c r="Q80" s="9">
        <f t="shared" si="147"/>
        <v>436800</v>
      </c>
      <c r="R80" s="9">
        <f t="shared" ref="R80" si="148">SUM(R469:R480)</f>
        <v>448300</v>
      </c>
      <c r="S80" s="47">
        <f t="shared" ref="S80" si="149">SUM(S469:S480)</f>
        <v>460100</v>
      </c>
    </row>
    <row r="81" spans="1:19" x14ac:dyDescent="0.2">
      <c r="A81" s="54">
        <f>ROUND(A481,-3)</f>
        <v>200000</v>
      </c>
      <c r="B81" s="9">
        <f>B481</f>
        <v>0</v>
      </c>
      <c r="C81" s="9">
        <f>C481</f>
        <v>0</v>
      </c>
      <c r="D81" s="9">
        <f>D481</f>
        <v>0</v>
      </c>
      <c r="E81" s="9">
        <f t="shared" ref="E81" si="150">E481</f>
        <v>246500</v>
      </c>
      <c r="F81" s="240" t="s">
        <v>1621</v>
      </c>
      <c r="G81" s="55" t="s">
        <v>855</v>
      </c>
      <c r="H81" s="9">
        <f t="shared" ref="H81:O81" si="151">H481</f>
        <v>0</v>
      </c>
      <c r="I81" s="85">
        <f>IF(E81=H81,0,IF(E81=0,100,(H81-E81)/E81*100))</f>
        <v>-100</v>
      </c>
      <c r="J81" s="9">
        <f t="shared" si="151"/>
        <v>0</v>
      </c>
      <c r="K81" s="9">
        <f t="shared" si="151"/>
        <v>0</v>
      </c>
      <c r="L81" s="9">
        <f t="shared" si="151"/>
        <v>260000</v>
      </c>
      <c r="M81" s="9">
        <f t="shared" si="151"/>
        <v>0</v>
      </c>
      <c r="N81" s="9">
        <f t="shared" si="151"/>
        <v>0</v>
      </c>
      <c r="O81" s="9">
        <f t="shared" si="151"/>
        <v>0</v>
      </c>
      <c r="P81" s="9">
        <f t="shared" ref="P81:Q81" si="152">P481</f>
        <v>290000</v>
      </c>
      <c r="Q81" s="9">
        <f t="shared" si="152"/>
        <v>0</v>
      </c>
      <c r="R81" s="9">
        <f t="shared" ref="R81" si="153">R481</f>
        <v>0</v>
      </c>
      <c r="S81" s="47">
        <f t="shared" ref="S81" si="154">S481</f>
        <v>0</v>
      </c>
    </row>
    <row r="82" spans="1:19" x14ac:dyDescent="0.2">
      <c r="A82" s="54">
        <f>ROUND(SUM(A483:A489),-3)</f>
        <v>57000</v>
      </c>
      <c r="B82" s="9">
        <f>SUM(B483:B489)</f>
        <v>55500</v>
      </c>
      <c r="C82" s="9">
        <f>SUM(C483:C489)</f>
        <v>57100</v>
      </c>
      <c r="D82" s="9">
        <f>SUM(D483:D489)</f>
        <v>62600</v>
      </c>
      <c r="E82" s="9">
        <f>SUM(E483:E489)</f>
        <v>62700</v>
      </c>
      <c r="F82" s="240" t="s">
        <v>1621</v>
      </c>
      <c r="G82" s="55" t="s">
        <v>1132</v>
      </c>
      <c r="H82" s="9">
        <f>SUM(H483:H489)</f>
        <v>70300</v>
      </c>
      <c r="I82" s="85">
        <f>IF(E82=H82,0,IF(E82=0,100,(H82-E82)/E82*100))</f>
        <v>12.121212121212121</v>
      </c>
      <c r="J82" s="9">
        <f t="shared" ref="J82:R82" si="155">SUM(J483:J489)</f>
        <v>71700</v>
      </c>
      <c r="K82" s="9">
        <f t="shared" si="155"/>
        <v>73800</v>
      </c>
      <c r="L82" s="9">
        <f t="shared" si="155"/>
        <v>76000</v>
      </c>
      <c r="M82" s="9">
        <f t="shared" si="155"/>
        <v>78200</v>
      </c>
      <c r="N82" s="9">
        <f t="shared" si="155"/>
        <v>80400</v>
      </c>
      <c r="O82" s="9">
        <f t="shared" si="155"/>
        <v>82700</v>
      </c>
      <c r="P82" s="9">
        <f t="shared" si="155"/>
        <v>85100</v>
      </c>
      <c r="Q82" s="9">
        <f t="shared" si="155"/>
        <v>87500</v>
      </c>
      <c r="R82" s="9">
        <f t="shared" si="155"/>
        <v>90000</v>
      </c>
      <c r="S82" s="47">
        <f t="shared" ref="S82" si="156">SUM(S483:S489)</f>
        <v>92500</v>
      </c>
    </row>
    <row r="83" spans="1:19" x14ac:dyDescent="0.2">
      <c r="A83" s="54"/>
      <c r="B83" s="9"/>
      <c r="C83" s="9"/>
      <c r="D83" s="9"/>
      <c r="E83" s="9"/>
      <c r="F83" s="240"/>
      <c r="G83" s="58"/>
      <c r="H83" s="9"/>
      <c r="I83" s="85"/>
      <c r="J83" s="9"/>
      <c r="K83" s="9"/>
      <c r="L83" s="9"/>
      <c r="M83" s="9"/>
      <c r="N83" s="9"/>
      <c r="O83" s="9"/>
      <c r="P83" s="9"/>
      <c r="Q83" s="9"/>
      <c r="R83" s="9"/>
      <c r="S83" s="47"/>
    </row>
    <row r="84" spans="1:19" x14ac:dyDescent="0.2">
      <c r="A84" s="54"/>
      <c r="B84" s="9"/>
      <c r="C84" s="9"/>
      <c r="D84" s="9"/>
      <c r="E84" s="9"/>
      <c r="F84" s="240"/>
      <c r="G84" s="56" t="s">
        <v>6917</v>
      </c>
      <c r="H84" s="9"/>
      <c r="I84" s="85"/>
      <c r="J84" s="9"/>
      <c r="K84" s="9"/>
      <c r="L84" s="9"/>
      <c r="M84" s="9"/>
      <c r="N84" s="9"/>
      <c r="O84" s="9"/>
      <c r="P84" s="9"/>
      <c r="Q84" s="9"/>
      <c r="R84" s="9"/>
      <c r="S84" s="47"/>
    </row>
    <row r="85" spans="1:19" x14ac:dyDescent="0.2">
      <c r="A85" s="54">
        <f>SUM(A502:A503)</f>
        <v>83300</v>
      </c>
      <c r="B85" s="9">
        <f>SUM(B502:B503)</f>
        <v>91800</v>
      </c>
      <c r="C85" s="9">
        <f>SUM(C502:C503)</f>
        <v>102900</v>
      </c>
      <c r="D85" s="9">
        <f>SUM(D502:D503)</f>
        <v>119000</v>
      </c>
      <c r="E85" s="9">
        <f>SUM(E502:E503)</f>
        <v>122600</v>
      </c>
      <c r="F85" s="240" t="s">
        <v>1623</v>
      </c>
      <c r="G85" s="55" t="s">
        <v>505</v>
      </c>
      <c r="H85" s="9">
        <f>SUM(H502:H503)</f>
        <v>96000</v>
      </c>
      <c r="I85" s="85">
        <f t="shared" ref="I85:I90" si="157">IF(E85=H85,0,IF(E85=0,100,(H85-E85)/E85*100))</f>
        <v>-21.696574225122351</v>
      </c>
      <c r="J85" s="9">
        <f t="shared" ref="J85:R85" si="158">SUM(J502:J503)</f>
        <v>99000</v>
      </c>
      <c r="K85" s="9">
        <f t="shared" si="158"/>
        <v>101600</v>
      </c>
      <c r="L85" s="9">
        <f t="shared" si="158"/>
        <v>104200</v>
      </c>
      <c r="M85" s="9">
        <f t="shared" si="158"/>
        <v>106900</v>
      </c>
      <c r="N85" s="9">
        <f t="shared" si="158"/>
        <v>109600</v>
      </c>
      <c r="O85" s="9">
        <f t="shared" si="158"/>
        <v>112500</v>
      </c>
      <c r="P85" s="9">
        <f t="shared" si="158"/>
        <v>115400</v>
      </c>
      <c r="Q85" s="9">
        <f t="shared" si="158"/>
        <v>118400</v>
      </c>
      <c r="R85" s="9">
        <f t="shared" si="158"/>
        <v>121500</v>
      </c>
      <c r="S85" s="47">
        <f t="shared" ref="S85" si="159">SUM(S502:S503)</f>
        <v>124600</v>
      </c>
    </row>
    <row r="86" spans="1:19" x14ac:dyDescent="0.2">
      <c r="A86" s="54">
        <f t="shared" ref="A86:D87" si="160">SUM(A504)</f>
        <v>17500</v>
      </c>
      <c r="B86" s="9">
        <f t="shared" si="160"/>
        <v>16700</v>
      </c>
      <c r="C86" s="9">
        <f t="shared" si="160"/>
        <v>13000</v>
      </c>
      <c r="D86" s="9">
        <f t="shared" si="160"/>
        <v>9800</v>
      </c>
      <c r="E86" s="9">
        <f>SUM(E504)</f>
        <v>12000</v>
      </c>
      <c r="F86" s="240" t="s">
        <v>1623</v>
      </c>
      <c r="G86" s="55" t="s">
        <v>526</v>
      </c>
      <c r="H86" s="9">
        <f>SUM(H504)</f>
        <v>10000</v>
      </c>
      <c r="I86" s="85">
        <f t="shared" si="157"/>
        <v>-16.666666666666664</v>
      </c>
      <c r="J86" s="9">
        <f t="shared" ref="J86:R86" si="161">SUM(J504)</f>
        <v>11000</v>
      </c>
      <c r="K86" s="9">
        <f t="shared" si="161"/>
        <v>11300</v>
      </c>
      <c r="L86" s="9">
        <f t="shared" si="161"/>
        <v>11600</v>
      </c>
      <c r="M86" s="9">
        <f t="shared" si="161"/>
        <v>11900</v>
      </c>
      <c r="N86" s="9">
        <f t="shared" si="161"/>
        <v>12200</v>
      </c>
      <c r="O86" s="9">
        <f t="shared" si="161"/>
        <v>12600</v>
      </c>
      <c r="P86" s="9">
        <f t="shared" si="161"/>
        <v>13000</v>
      </c>
      <c r="Q86" s="9">
        <f t="shared" si="161"/>
        <v>13400</v>
      </c>
      <c r="R86" s="9">
        <f t="shared" si="161"/>
        <v>13800</v>
      </c>
      <c r="S86" s="47">
        <f t="shared" ref="S86" si="162">SUM(S504)</f>
        <v>14200</v>
      </c>
    </row>
    <row r="87" spans="1:19" x14ac:dyDescent="0.2">
      <c r="A87" s="54">
        <f t="shared" si="160"/>
        <v>2600</v>
      </c>
      <c r="B87" s="9">
        <f t="shared" si="160"/>
        <v>1700</v>
      </c>
      <c r="C87" s="9">
        <f t="shared" si="160"/>
        <v>100</v>
      </c>
      <c r="D87" s="9">
        <f t="shared" si="160"/>
        <v>6900</v>
      </c>
      <c r="E87" s="9">
        <f>SUM(E505)</f>
        <v>6100</v>
      </c>
      <c r="F87" s="240" t="s">
        <v>1623</v>
      </c>
      <c r="G87" s="55" t="s">
        <v>1763</v>
      </c>
      <c r="H87" s="9">
        <f>SUM(H505)</f>
        <v>6300</v>
      </c>
      <c r="I87" s="85">
        <f t="shared" si="157"/>
        <v>3.278688524590164</v>
      </c>
      <c r="J87" s="9">
        <f t="shared" ref="J87:R87" si="163">SUM(J505)</f>
        <v>6500</v>
      </c>
      <c r="K87" s="9">
        <f t="shared" si="163"/>
        <v>6700</v>
      </c>
      <c r="L87" s="9">
        <f t="shared" si="163"/>
        <v>6900</v>
      </c>
      <c r="M87" s="9">
        <f t="shared" si="163"/>
        <v>7100</v>
      </c>
      <c r="N87" s="9">
        <f t="shared" si="163"/>
        <v>7300</v>
      </c>
      <c r="O87" s="9">
        <f t="shared" si="163"/>
        <v>7500</v>
      </c>
      <c r="P87" s="9">
        <f t="shared" si="163"/>
        <v>7700</v>
      </c>
      <c r="Q87" s="9">
        <f t="shared" si="163"/>
        <v>7900</v>
      </c>
      <c r="R87" s="9">
        <f t="shared" si="163"/>
        <v>8100</v>
      </c>
      <c r="S87" s="47">
        <f t="shared" ref="S87" si="164">SUM(S505)</f>
        <v>8400</v>
      </c>
    </row>
    <row r="88" spans="1:19" x14ac:dyDescent="0.2">
      <c r="A88" s="54">
        <f>SUM(A507:A510)</f>
        <v>125000</v>
      </c>
      <c r="B88" s="9">
        <f>SUM(B507:B510)</f>
        <v>133300</v>
      </c>
      <c r="C88" s="9">
        <f>SUM(C507:C510)</f>
        <v>84000</v>
      </c>
      <c r="D88" s="9">
        <f>SUM(D507:D510)</f>
        <v>115400</v>
      </c>
      <c r="E88" s="9">
        <f>SUM(E507:E510)</f>
        <v>145500</v>
      </c>
      <c r="F88" s="240" t="s">
        <v>1623</v>
      </c>
      <c r="G88" s="55" t="s">
        <v>708</v>
      </c>
      <c r="H88" s="9">
        <f>SUM(H507:H510)</f>
        <v>120500</v>
      </c>
      <c r="I88" s="85">
        <f t="shared" si="157"/>
        <v>-17.182130584192439</v>
      </c>
      <c r="J88" s="9">
        <f t="shared" ref="J88:R88" si="165">SUM(J507:J510)</f>
        <v>124700</v>
      </c>
      <c r="K88" s="9">
        <f t="shared" si="165"/>
        <v>127900</v>
      </c>
      <c r="L88" s="9">
        <f t="shared" si="165"/>
        <v>131200</v>
      </c>
      <c r="M88" s="9">
        <f t="shared" si="165"/>
        <v>134600</v>
      </c>
      <c r="N88" s="9">
        <f t="shared" si="165"/>
        <v>138200</v>
      </c>
      <c r="O88" s="9">
        <f t="shared" si="165"/>
        <v>141800</v>
      </c>
      <c r="P88" s="9">
        <f t="shared" si="165"/>
        <v>145600</v>
      </c>
      <c r="Q88" s="9">
        <f t="shared" si="165"/>
        <v>149400</v>
      </c>
      <c r="R88" s="9">
        <f t="shared" si="165"/>
        <v>153300</v>
      </c>
      <c r="S88" s="47">
        <f t="shared" ref="S88" si="166">SUM(S507:S510)</f>
        <v>157300</v>
      </c>
    </row>
    <row r="89" spans="1:19" x14ac:dyDescent="0.2">
      <c r="A89" s="54">
        <f>SUM(A511:A511)+A506+A500+A501</f>
        <v>21700</v>
      </c>
      <c r="B89" s="9">
        <f>SUM(B511:B511)+B506+B500+B501</f>
        <v>21700</v>
      </c>
      <c r="C89" s="9">
        <f>SUM(C511:C511)+C506+C500+C501</f>
        <v>20800</v>
      </c>
      <c r="D89" s="9">
        <f>SUM(D511:D511)+D506+D500+D501</f>
        <v>26600</v>
      </c>
      <c r="E89" s="9">
        <f>SUM(E511:E511)+E506+E500+E501</f>
        <v>44200</v>
      </c>
      <c r="F89" s="240" t="s">
        <v>1623</v>
      </c>
      <c r="G89" s="55" t="s">
        <v>1764</v>
      </c>
      <c r="H89" s="9">
        <f>SUM(H511:H511)+H506+H500+H501</f>
        <v>27000</v>
      </c>
      <c r="I89" s="85">
        <f t="shared" si="157"/>
        <v>-38.914027149321271</v>
      </c>
      <c r="J89" s="9">
        <f t="shared" ref="J89:R89" si="167">SUM(J511:J511)+J506+J500+J501</f>
        <v>28200</v>
      </c>
      <c r="K89" s="9">
        <f t="shared" si="167"/>
        <v>29100</v>
      </c>
      <c r="L89" s="9">
        <f t="shared" si="167"/>
        <v>30000</v>
      </c>
      <c r="M89" s="9">
        <f t="shared" si="167"/>
        <v>30900</v>
      </c>
      <c r="N89" s="9">
        <f t="shared" si="167"/>
        <v>31900</v>
      </c>
      <c r="O89" s="9">
        <f t="shared" si="167"/>
        <v>32900</v>
      </c>
      <c r="P89" s="9">
        <f t="shared" si="167"/>
        <v>33900</v>
      </c>
      <c r="Q89" s="9">
        <f t="shared" si="167"/>
        <v>34900</v>
      </c>
      <c r="R89" s="9">
        <f t="shared" si="167"/>
        <v>35900</v>
      </c>
      <c r="S89" s="47">
        <f t="shared" ref="S89" si="168">SUM(S511:S511)+S506+S500+S501</f>
        <v>36900</v>
      </c>
    </row>
    <row r="90" spans="1:19" x14ac:dyDescent="0.2">
      <c r="A90" s="54">
        <f>SUM(A512:A513)</f>
        <v>34800</v>
      </c>
      <c r="B90" s="9">
        <f>SUM(B512:B513)</f>
        <v>36600</v>
      </c>
      <c r="C90" s="9">
        <f>SUM(C512:C513)</f>
        <v>34400</v>
      </c>
      <c r="D90" s="9">
        <f>SUM(D512:D513)</f>
        <v>33200</v>
      </c>
      <c r="E90" s="9">
        <f>SUM(E512:E513)</f>
        <v>37600</v>
      </c>
      <c r="F90" s="240" t="s">
        <v>1623</v>
      </c>
      <c r="G90" s="58" t="s">
        <v>2620</v>
      </c>
      <c r="H90" s="9">
        <f>SUM(H512:H513)</f>
        <v>27000</v>
      </c>
      <c r="I90" s="85">
        <f t="shared" si="157"/>
        <v>-28.191489361702125</v>
      </c>
      <c r="J90" s="9">
        <f t="shared" ref="J90:R90" si="169">SUM(J512:J513)</f>
        <v>28600</v>
      </c>
      <c r="K90" s="9">
        <f t="shared" si="169"/>
        <v>29400</v>
      </c>
      <c r="L90" s="9">
        <f t="shared" si="169"/>
        <v>30200</v>
      </c>
      <c r="M90" s="9">
        <f t="shared" si="169"/>
        <v>31000</v>
      </c>
      <c r="N90" s="9">
        <f t="shared" si="169"/>
        <v>31900</v>
      </c>
      <c r="O90" s="9">
        <f t="shared" si="169"/>
        <v>32800</v>
      </c>
      <c r="P90" s="9">
        <f t="shared" si="169"/>
        <v>33700</v>
      </c>
      <c r="Q90" s="9">
        <f t="shared" si="169"/>
        <v>34600</v>
      </c>
      <c r="R90" s="9">
        <f t="shared" si="169"/>
        <v>35500</v>
      </c>
      <c r="S90" s="47">
        <f t="shared" ref="S90" si="170">SUM(S512:S513)</f>
        <v>36400</v>
      </c>
    </row>
    <row r="91" spans="1:19" x14ac:dyDescent="0.2">
      <c r="A91" s="54"/>
      <c r="B91" s="9"/>
      <c r="C91" s="9"/>
      <c r="D91" s="9"/>
      <c r="E91" s="9"/>
      <c r="F91" s="240"/>
      <c r="G91" s="55"/>
      <c r="H91" s="9"/>
      <c r="I91" s="85"/>
      <c r="J91" s="9"/>
      <c r="K91" s="9"/>
      <c r="L91" s="9"/>
      <c r="M91" s="9"/>
      <c r="N91" s="9"/>
      <c r="O91" s="9"/>
      <c r="P91" s="9"/>
      <c r="Q91" s="9"/>
      <c r="R91" s="9"/>
      <c r="S91" s="47"/>
    </row>
    <row r="92" spans="1:19" x14ac:dyDescent="0.2">
      <c r="A92" s="54"/>
      <c r="B92" s="9"/>
      <c r="C92" s="9"/>
      <c r="D92" s="9"/>
      <c r="E92" s="9"/>
      <c r="F92" s="240"/>
      <c r="G92" s="84" t="s">
        <v>1262</v>
      </c>
      <c r="H92" s="9"/>
      <c r="I92" s="85"/>
      <c r="J92" s="9"/>
      <c r="K92" s="9"/>
      <c r="L92" s="9"/>
      <c r="M92" s="9"/>
      <c r="N92" s="9"/>
      <c r="O92" s="9"/>
      <c r="P92" s="9"/>
      <c r="Q92" s="9"/>
      <c r="R92" s="9"/>
      <c r="S92" s="47"/>
    </row>
    <row r="93" spans="1:19" x14ac:dyDescent="0.2">
      <c r="A93" s="54">
        <f>ROUND(SUM(A516:A516),-3)</f>
        <v>24000</v>
      </c>
      <c r="B93" s="9">
        <f>SUM(B516:B516)</f>
        <v>25300</v>
      </c>
      <c r="C93" s="9">
        <f>SUM(C516:C516)</f>
        <v>26400</v>
      </c>
      <c r="D93" s="9">
        <f>SUM(D516:D516)</f>
        <v>27800</v>
      </c>
      <c r="E93" s="9">
        <f>SUM(E516:E516)</f>
        <v>29500</v>
      </c>
      <c r="F93" s="240" t="s">
        <v>1622</v>
      </c>
      <c r="G93" s="58" t="s">
        <v>6487</v>
      </c>
      <c r="H93" s="9">
        <f>SUM(H516:H516)</f>
        <v>32000</v>
      </c>
      <c r="I93" s="85">
        <f t="shared" ref="I93:I99" si="171">IF(E93=H93,0,IF(E93=0,100,(H93-E93)/E93*100))</f>
        <v>8.4745762711864394</v>
      </c>
      <c r="J93" s="9">
        <f t="shared" ref="J93:R93" si="172">SUM(J516:J516)</f>
        <v>33000</v>
      </c>
      <c r="K93" s="9">
        <f t="shared" si="172"/>
        <v>33900</v>
      </c>
      <c r="L93" s="9">
        <f t="shared" si="172"/>
        <v>34800</v>
      </c>
      <c r="M93" s="9">
        <f t="shared" si="172"/>
        <v>35700</v>
      </c>
      <c r="N93" s="9">
        <f t="shared" si="172"/>
        <v>36600</v>
      </c>
      <c r="O93" s="9">
        <f t="shared" si="172"/>
        <v>37600</v>
      </c>
      <c r="P93" s="9">
        <f t="shared" si="172"/>
        <v>38600</v>
      </c>
      <c r="Q93" s="9">
        <f t="shared" si="172"/>
        <v>39600</v>
      </c>
      <c r="R93" s="9">
        <f t="shared" si="172"/>
        <v>40600</v>
      </c>
      <c r="S93" s="47">
        <f t="shared" ref="S93" si="173">SUM(S516:S516)</f>
        <v>41700</v>
      </c>
    </row>
    <row r="94" spans="1:19" x14ac:dyDescent="0.2">
      <c r="A94" s="54">
        <f>ROUND(SUM(A517:A517),-3)</f>
        <v>5000</v>
      </c>
      <c r="B94" s="9">
        <f>SUM(B517:B517)</f>
        <v>5000</v>
      </c>
      <c r="C94" s="9">
        <f>ROUND(SUM(C517:C517),-1)</f>
        <v>10000</v>
      </c>
      <c r="D94" s="9">
        <f>ROUND(SUM(D517:D517),-1)</f>
        <v>10000</v>
      </c>
      <c r="E94" s="9">
        <f>ROUND(SUM(E517:E517),-1)</f>
        <v>10000</v>
      </c>
      <c r="F94" s="240" t="s">
        <v>1622</v>
      </c>
      <c r="G94" s="58" t="s">
        <v>6486</v>
      </c>
      <c r="H94" s="9">
        <f>ROUND(SUM(H517:H517),-1)</f>
        <v>10000</v>
      </c>
      <c r="I94" s="85">
        <f t="shared" si="171"/>
        <v>0</v>
      </c>
      <c r="J94" s="9">
        <f t="shared" ref="J94:R94" si="174">ROUND(SUM(J517:J517),-1)</f>
        <v>10000</v>
      </c>
      <c r="K94" s="9">
        <f t="shared" si="174"/>
        <v>10300</v>
      </c>
      <c r="L94" s="9">
        <f t="shared" si="174"/>
        <v>10600</v>
      </c>
      <c r="M94" s="9">
        <f t="shared" si="174"/>
        <v>10900</v>
      </c>
      <c r="N94" s="9">
        <f t="shared" si="174"/>
        <v>11200</v>
      </c>
      <c r="O94" s="9">
        <f t="shared" si="174"/>
        <v>11500</v>
      </c>
      <c r="P94" s="9">
        <f t="shared" si="174"/>
        <v>11800</v>
      </c>
      <c r="Q94" s="9">
        <f t="shared" si="174"/>
        <v>12100</v>
      </c>
      <c r="R94" s="9">
        <f t="shared" si="174"/>
        <v>12500</v>
      </c>
      <c r="S94" s="47">
        <f t="shared" ref="S94" si="175">ROUND(SUM(S517:S517),-1)</f>
        <v>12900</v>
      </c>
    </row>
    <row r="95" spans="1:19" x14ac:dyDescent="0.2">
      <c r="A95" s="54">
        <f>ROUND(SUM(A518:A518),-3)</f>
        <v>35000</v>
      </c>
      <c r="B95" s="9">
        <f>SUM(B518:B518)</f>
        <v>35900</v>
      </c>
      <c r="C95" s="9">
        <f>SUM(C518:C518)</f>
        <v>31400</v>
      </c>
      <c r="D95" s="9">
        <f>SUM(D518:D518)</f>
        <v>17400</v>
      </c>
      <c r="E95" s="9">
        <f>SUM(E518:E518)</f>
        <v>18600</v>
      </c>
      <c r="F95" s="240" t="s">
        <v>1622</v>
      </c>
      <c r="G95" s="58" t="s">
        <v>6488</v>
      </c>
      <c r="H95" s="9">
        <f>SUM(H518:H518)</f>
        <v>41000</v>
      </c>
      <c r="I95" s="85">
        <f t="shared" si="171"/>
        <v>120.43010752688173</v>
      </c>
      <c r="J95" s="9">
        <f t="shared" ref="J95:R95" si="176">SUM(J518:J518)</f>
        <v>0</v>
      </c>
      <c r="K95" s="9">
        <f t="shared" si="176"/>
        <v>0</v>
      </c>
      <c r="L95" s="9">
        <f t="shared" si="176"/>
        <v>0</v>
      </c>
      <c r="M95" s="9">
        <f t="shared" si="176"/>
        <v>0</v>
      </c>
      <c r="N95" s="9">
        <f t="shared" si="176"/>
        <v>0</v>
      </c>
      <c r="O95" s="9">
        <f t="shared" si="176"/>
        <v>0</v>
      </c>
      <c r="P95" s="9">
        <f t="shared" si="176"/>
        <v>0</v>
      </c>
      <c r="Q95" s="9">
        <f t="shared" si="176"/>
        <v>0</v>
      </c>
      <c r="R95" s="9">
        <f t="shared" si="176"/>
        <v>0</v>
      </c>
      <c r="S95" s="47">
        <f t="shared" ref="S95" si="177">SUM(S518:S518)</f>
        <v>0</v>
      </c>
    </row>
    <row r="96" spans="1:19" x14ac:dyDescent="0.2">
      <c r="A96" s="54">
        <f>ROUND(SUM(A519),-3)</f>
        <v>7000</v>
      </c>
      <c r="B96" s="9">
        <f>SUM(B519)</f>
        <v>6000</v>
      </c>
      <c r="C96" s="9">
        <f t="shared" ref="C96:E98" si="178">ROUND(SUM(C519),-1)</f>
        <v>7500</v>
      </c>
      <c r="D96" s="9">
        <f t="shared" si="178"/>
        <v>6000</v>
      </c>
      <c r="E96" s="9">
        <f t="shared" si="178"/>
        <v>6000</v>
      </c>
      <c r="F96" s="240" t="s">
        <v>1622</v>
      </c>
      <c r="G96" s="634" t="s">
        <v>4570</v>
      </c>
      <c r="H96" s="9">
        <f>ROUND(SUM(H519),-1)</f>
        <v>5200</v>
      </c>
      <c r="I96" s="85">
        <f t="shared" si="171"/>
        <v>-13.333333333333334</v>
      </c>
      <c r="J96" s="9">
        <f t="shared" ref="J96:R96" si="179">ROUND(SUM(J519),-1)</f>
        <v>5400</v>
      </c>
      <c r="K96" s="9">
        <f t="shared" si="179"/>
        <v>5600</v>
      </c>
      <c r="L96" s="9">
        <f t="shared" si="179"/>
        <v>5800</v>
      </c>
      <c r="M96" s="9">
        <f t="shared" si="179"/>
        <v>6000</v>
      </c>
      <c r="N96" s="9">
        <f t="shared" si="179"/>
        <v>6200</v>
      </c>
      <c r="O96" s="9">
        <f t="shared" si="179"/>
        <v>6400</v>
      </c>
      <c r="P96" s="9">
        <f t="shared" si="179"/>
        <v>6600</v>
      </c>
      <c r="Q96" s="9">
        <f t="shared" si="179"/>
        <v>6800</v>
      </c>
      <c r="R96" s="9">
        <f t="shared" si="179"/>
        <v>7000</v>
      </c>
      <c r="S96" s="47">
        <f t="shared" ref="S96" si="180">ROUND(SUM(S519),-1)</f>
        <v>7200</v>
      </c>
    </row>
    <row r="97" spans="1:23" x14ac:dyDescent="0.2">
      <c r="A97" s="54">
        <f>ROUND(SUM(A520),-3)</f>
        <v>76000</v>
      </c>
      <c r="B97" s="9">
        <f>SUM(B520)</f>
        <v>63300</v>
      </c>
      <c r="C97" s="9">
        <f t="shared" si="178"/>
        <v>35000</v>
      </c>
      <c r="D97" s="9">
        <f t="shared" si="178"/>
        <v>83700</v>
      </c>
      <c r="E97" s="9">
        <f t="shared" si="178"/>
        <v>55400</v>
      </c>
      <c r="F97" s="240" t="s">
        <v>1622</v>
      </c>
      <c r="G97" s="58" t="s">
        <v>4571</v>
      </c>
      <c r="H97" s="9">
        <f>ROUND(SUM(H520),-1)</f>
        <v>78700</v>
      </c>
      <c r="I97" s="85">
        <f t="shared" si="171"/>
        <v>42.057761732851986</v>
      </c>
      <c r="J97" s="9">
        <f t="shared" ref="J97:R97" si="181">ROUND(SUM(J520),-1)</f>
        <v>62600</v>
      </c>
      <c r="K97" s="9">
        <f t="shared" si="181"/>
        <v>64200</v>
      </c>
      <c r="L97" s="9">
        <f t="shared" si="181"/>
        <v>65900</v>
      </c>
      <c r="M97" s="9">
        <f t="shared" si="181"/>
        <v>67600</v>
      </c>
      <c r="N97" s="9">
        <f t="shared" si="181"/>
        <v>69300</v>
      </c>
      <c r="O97" s="9">
        <f t="shared" si="181"/>
        <v>71100</v>
      </c>
      <c r="P97" s="9">
        <f t="shared" si="181"/>
        <v>72900</v>
      </c>
      <c r="Q97" s="9">
        <f t="shared" si="181"/>
        <v>74800</v>
      </c>
      <c r="R97" s="9">
        <f t="shared" si="181"/>
        <v>76700</v>
      </c>
      <c r="S97" s="47">
        <f t="shared" ref="S97" si="182">ROUND(SUM(S520),-1)</f>
        <v>78700</v>
      </c>
    </row>
    <row r="98" spans="1:23" x14ac:dyDescent="0.2">
      <c r="A98" s="54">
        <f>ROUND(SUM(A521),-3)</f>
        <v>0</v>
      </c>
      <c r="B98" s="9">
        <f>SUM(B521)</f>
        <v>0</v>
      </c>
      <c r="C98" s="9">
        <f t="shared" si="178"/>
        <v>0</v>
      </c>
      <c r="D98" s="9">
        <f t="shared" si="178"/>
        <v>0</v>
      </c>
      <c r="E98" s="9">
        <f t="shared" si="178"/>
        <v>30100</v>
      </c>
      <c r="F98" s="240" t="s">
        <v>1622</v>
      </c>
      <c r="G98" s="58" t="s">
        <v>6485</v>
      </c>
      <c r="H98" s="9">
        <f>ROUND(SUM(H521),-1)</f>
        <v>20000</v>
      </c>
      <c r="I98" s="85">
        <f t="shared" si="171"/>
        <v>-33.554817275747503</v>
      </c>
      <c r="J98" s="9">
        <f t="shared" ref="J98:R98" si="183">ROUND(SUM(J521),-1)</f>
        <v>30000</v>
      </c>
      <c r="K98" s="9">
        <f t="shared" si="183"/>
        <v>40000</v>
      </c>
      <c r="L98" s="9">
        <f t="shared" si="183"/>
        <v>50000</v>
      </c>
      <c r="M98" s="9">
        <f t="shared" si="183"/>
        <v>51300</v>
      </c>
      <c r="N98" s="9">
        <f t="shared" si="183"/>
        <v>52600</v>
      </c>
      <c r="O98" s="9">
        <f t="shared" si="183"/>
        <v>54000</v>
      </c>
      <c r="P98" s="9">
        <f t="shared" si="183"/>
        <v>55400</v>
      </c>
      <c r="Q98" s="9">
        <f t="shared" si="183"/>
        <v>56800</v>
      </c>
      <c r="R98" s="9">
        <f t="shared" si="183"/>
        <v>58300</v>
      </c>
      <c r="S98" s="47">
        <f t="shared" ref="S98" si="184">ROUND(SUM(S521),-1)</f>
        <v>59800</v>
      </c>
    </row>
    <row r="99" spans="1:23" x14ac:dyDescent="0.2">
      <c r="A99" s="54">
        <f>ROUND(SUM(A522),-3)</f>
        <v>0</v>
      </c>
      <c r="B99" s="9">
        <f>SUM(B522:B522)</f>
        <v>600</v>
      </c>
      <c r="C99" s="9">
        <f>SUM(C522:C522)</f>
        <v>5100</v>
      </c>
      <c r="D99" s="9">
        <f>SUM(D522)</f>
        <v>1200</v>
      </c>
      <c r="E99" s="9">
        <f>SUM(E522:E522)</f>
        <v>0</v>
      </c>
      <c r="F99" s="240" t="s">
        <v>1622</v>
      </c>
      <c r="G99" s="58" t="s">
        <v>4530</v>
      </c>
      <c r="H99" s="9">
        <f>SUM(H522:H522)</f>
        <v>3000</v>
      </c>
      <c r="I99" s="85">
        <f t="shared" si="171"/>
        <v>100</v>
      </c>
      <c r="J99" s="9">
        <f t="shared" ref="J99:R99" si="185">SUM(J522:J522)</f>
        <v>3000</v>
      </c>
      <c r="K99" s="9">
        <f t="shared" si="185"/>
        <v>3100</v>
      </c>
      <c r="L99" s="9">
        <f t="shared" si="185"/>
        <v>3200</v>
      </c>
      <c r="M99" s="9">
        <f t="shared" si="185"/>
        <v>3300</v>
      </c>
      <c r="N99" s="9">
        <f t="shared" si="185"/>
        <v>3400</v>
      </c>
      <c r="O99" s="9">
        <f t="shared" si="185"/>
        <v>3500</v>
      </c>
      <c r="P99" s="9">
        <f t="shared" si="185"/>
        <v>3600</v>
      </c>
      <c r="Q99" s="9">
        <f t="shared" si="185"/>
        <v>3700</v>
      </c>
      <c r="R99" s="9">
        <f t="shared" si="185"/>
        <v>3800</v>
      </c>
      <c r="S99" s="47">
        <f t="shared" ref="S99" si="186">SUM(S522:S522)</f>
        <v>3900</v>
      </c>
    </row>
    <row r="100" spans="1:23" x14ac:dyDescent="0.2">
      <c r="A100" s="54"/>
      <c r="B100" s="9"/>
      <c r="C100" s="9"/>
      <c r="D100" s="9"/>
      <c r="E100" s="9"/>
      <c r="F100" s="240"/>
      <c r="G100" s="58"/>
      <c r="H100" s="9"/>
      <c r="I100" s="85"/>
      <c r="J100" s="9"/>
      <c r="K100" s="9"/>
      <c r="L100" s="9"/>
      <c r="M100" s="9"/>
      <c r="N100" s="9"/>
      <c r="O100" s="9"/>
      <c r="P100" s="9"/>
      <c r="Q100" s="9"/>
      <c r="R100" s="9"/>
      <c r="S100" s="47"/>
    </row>
    <row r="101" spans="1:23" x14ac:dyDescent="0.2">
      <c r="A101" s="54"/>
      <c r="B101" s="9"/>
      <c r="C101" s="9"/>
      <c r="D101" s="9"/>
      <c r="E101" s="9"/>
      <c r="F101" s="240"/>
      <c r="G101" s="56" t="s">
        <v>7197</v>
      </c>
      <c r="H101" s="9"/>
      <c r="I101" s="85"/>
      <c r="J101" s="9"/>
      <c r="K101" s="9"/>
      <c r="L101" s="9"/>
      <c r="M101" s="9"/>
      <c r="N101" s="9"/>
      <c r="O101" s="9"/>
      <c r="P101" s="9"/>
      <c r="Q101" s="9"/>
      <c r="R101" s="9"/>
      <c r="S101" s="47"/>
    </row>
    <row r="102" spans="1:23" x14ac:dyDescent="0.2">
      <c r="A102" s="54">
        <f>A525</f>
        <v>50300</v>
      </c>
      <c r="B102" s="9">
        <f t="shared" ref="B102:E102" si="187">B525</f>
        <v>79600</v>
      </c>
      <c r="C102" s="9">
        <f t="shared" si="187"/>
        <v>95900</v>
      </c>
      <c r="D102" s="9">
        <f t="shared" si="187"/>
        <v>122300</v>
      </c>
      <c r="E102" s="9">
        <f t="shared" si="187"/>
        <v>77700</v>
      </c>
      <c r="F102" s="577" t="s">
        <v>138</v>
      </c>
      <c r="G102" s="58" t="str">
        <f t="shared" ref="G102" si="188">G525</f>
        <v>Festivals and Events Program</v>
      </c>
      <c r="H102" s="9">
        <f>H525</f>
        <v>150000</v>
      </c>
      <c r="I102" s="85">
        <f>IF(E102=H102,0,IF(E102=0,100,(H102-E102)/E102*100))</f>
        <v>93.050193050193059</v>
      </c>
      <c r="J102" s="9">
        <f t="shared" ref="J102:R102" si="189">J525</f>
        <v>120000</v>
      </c>
      <c r="K102" s="9">
        <f t="shared" si="189"/>
        <v>120000</v>
      </c>
      <c r="L102" s="9">
        <f t="shared" si="189"/>
        <v>120000</v>
      </c>
      <c r="M102" s="9">
        <f t="shared" si="189"/>
        <v>120000</v>
      </c>
      <c r="N102" s="9">
        <f t="shared" si="189"/>
        <v>120000</v>
      </c>
      <c r="O102" s="9">
        <f t="shared" si="189"/>
        <v>120000</v>
      </c>
      <c r="P102" s="9">
        <f t="shared" si="189"/>
        <v>120000</v>
      </c>
      <c r="Q102" s="9">
        <f t="shared" si="189"/>
        <v>120000</v>
      </c>
      <c r="R102" s="9">
        <f t="shared" si="189"/>
        <v>120000</v>
      </c>
      <c r="S102" s="47">
        <f t="shared" ref="S102" si="190">S525</f>
        <v>120000</v>
      </c>
    </row>
    <row r="103" spans="1:23" x14ac:dyDescent="0.2">
      <c r="A103" s="54">
        <f>A526</f>
        <v>13200</v>
      </c>
      <c r="B103" s="9">
        <f t="shared" ref="B103:D104" si="191">B526</f>
        <v>14600</v>
      </c>
      <c r="C103" s="9">
        <f t="shared" si="191"/>
        <v>13500</v>
      </c>
      <c r="D103" s="9">
        <f t="shared" si="191"/>
        <v>3900</v>
      </c>
      <c r="E103" s="9">
        <f>E526</f>
        <v>4000</v>
      </c>
      <c r="F103" s="577" t="s">
        <v>138</v>
      </c>
      <c r="G103" s="58" t="str">
        <f>G526</f>
        <v>Fair Go</v>
      </c>
      <c r="H103" s="9">
        <f t="shared" ref="H103" si="192">H526</f>
        <v>4000</v>
      </c>
      <c r="I103" s="85">
        <f>IF(E103=H103,0,IF(E103=0,100,(H103-E103)/E103*100))</f>
        <v>0</v>
      </c>
      <c r="J103" s="9">
        <f t="shared" ref="J103:R103" si="193">J526</f>
        <v>4000</v>
      </c>
      <c r="K103" s="9">
        <f t="shared" si="193"/>
        <v>4100</v>
      </c>
      <c r="L103" s="9">
        <f t="shared" si="193"/>
        <v>4300</v>
      </c>
      <c r="M103" s="9">
        <f t="shared" si="193"/>
        <v>4500</v>
      </c>
      <c r="N103" s="9">
        <f t="shared" si="193"/>
        <v>4700</v>
      </c>
      <c r="O103" s="9">
        <f t="shared" si="193"/>
        <v>4900</v>
      </c>
      <c r="P103" s="9">
        <f t="shared" si="193"/>
        <v>5100</v>
      </c>
      <c r="Q103" s="9">
        <f t="shared" si="193"/>
        <v>5300</v>
      </c>
      <c r="R103" s="9">
        <f t="shared" si="193"/>
        <v>5500</v>
      </c>
      <c r="S103" s="47">
        <f t="shared" ref="S103" si="194">S526</f>
        <v>5700</v>
      </c>
    </row>
    <row r="104" spans="1:23" x14ac:dyDescent="0.2">
      <c r="A104" s="54">
        <f>A527</f>
        <v>16700</v>
      </c>
      <c r="B104" s="9">
        <f t="shared" si="191"/>
        <v>18700</v>
      </c>
      <c r="C104" s="9">
        <f t="shared" si="191"/>
        <v>19000</v>
      </c>
      <c r="D104" s="9">
        <f t="shared" si="191"/>
        <v>19700</v>
      </c>
      <c r="E104" s="9">
        <f>E527</f>
        <v>22800</v>
      </c>
      <c r="F104" s="577" t="s">
        <v>138</v>
      </c>
      <c r="G104" s="58" t="str">
        <f>G527</f>
        <v>Australia Day</v>
      </c>
      <c r="H104" s="9">
        <f t="shared" ref="H104" si="195">H527</f>
        <v>20000</v>
      </c>
      <c r="I104" s="85">
        <f>IF(E104=H104,0,IF(E104=0,100,(H104-E104)/E104*100))</f>
        <v>-12.280701754385964</v>
      </c>
      <c r="J104" s="9">
        <f t="shared" ref="J104:R104" si="196">J527</f>
        <v>21000</v>
      </c>
      <c r="K104" s="9">
        <f t="shared" si="196"/>
        <v>21600</v>
      </c>
      <c r="L104" s="9">
        <f t="shared" si="196"/>
        <v>22200</v>
      </c>
      <c r="M104" s="9">
        <f t="shared" si="196"/>
        <v>22800</v>
      </c>
      <c r="N104" s="9">
        <f t="shared" si="196"/>
        <v>23400</v>
      </c>
      <c r="O104" s="9">
        <f t="shared" si="196"/>
        <v>24000</v>
      </c>
      <c r="P104" s="9">
        <f t="shared" si="196"/>
        <v>24600</v>
      </c>
      <c r="Q104" s="9">
        <f t="shared" si="196"/>
        <v>25300</v>
      </c>
      <c r="R104" s="9">
        <f t="shared" si="196"/>
        <v>26000</v>
      </c>
      <c r="S104" s="47">
        <f t="shared" ref="S104" si="197">S527</f>
        <v>26700</v>
      </c>
    </row>
    <row r="105" spans="1:23" ht="13.5" thickBot="1" x14ac:dyDescent="0.25">
      <c r="A105" s="54"/>
      <c r="B105" s="9"/>
      <c r="C105" s="9"/>
      <c r="D105" s="9"/>
      <c r="E105" s="9"/>
      <c r="F105" s="177"/>
      <c r="G105" s="55"/>
      <c r="H105" s="9"/>
      <c r="I105" s="85"/>
      <c r="J105" s="9"/>
      <c r="K105" s="9"/>
      <c r="L105" s="9"/>
      <c r="M105" s="9"/>
      <c r="N105" s="9"/>
      <c r="O105" s="9"/>
      <c r="P105" s="9"/>
      <c r="Q105" s="9"/>
      <c r="R105" s="9"/>
      <c r="S105" s="47"/>
    </row>
    <row r="106" spans="1:23" s="39" customFormat="1" x14ac:dyDescent="0.2">
      <c r="A106" s="52">
        <f>SUBTOTAL(9,A71:A105)</f>
        <v>1858100</v>
      </c>
      <c r="B106" s="16">
        <f>SUBTOTAL(9,B71:B105)</f>
        <v>1851900</v>
      </c>
      <c r="C106" s="16">
        <f>SUBTOTAL(9,C71:C105)</f>
        <v>1838600</v>
      </c>
      <c r="D106" s="16">
        <f>SUBTOTAL(9,D71:D105)</f>
        <v>1997600</v>
      </c>
      <c r="E106" s="16">
        <f>SUBTOTAL(9,E71:E105)</f>
        <v>2388200</v>
      </c>
      <c r="F106" s="188"/>
      <c r="G106" s="59" t="s">
        <v>556</v>
      </c>
      <c r="H106" s="16">
        <f>SUBTOTAL(9,H71:H105)</f>
        <v>2316600</v>
      </c>
      <c r="I106" s="127">
        <f>IF(E106=H106,0,IF(E106=0,100,(H106-E106)/E106*100))</f>
        <v>-2.9980738631605393</v>
      </c>
      <c r="J106" s="16">
        <f t="shared" ref="J106:S106" si="198">SUBTOTAL(9,J71:J105)</f>
        <v>2293100</v>
      </c>
      <c r="K106" s="16">
        <f t="shared" si="198"/>
        <v>2356300</v>
      </c>
      <c r="L106" s="16">
        <f t="shared" si="198"/>
        <v>2690900</v>
      </c>
      <c r="M106" s="16">
        <f t="shared" si="198"/>
        <v>2478000</v>
      </c>
      <c r="N106" s="16">
        <f t="shared" si="198"/>
        <v>2536400</v>
      </c>
      <c r="O106" s="16">
        <f t="shared" si="198"/>
        <v>2596300</v>
      </c>
      <c r="P106" s="16">
        <f t="shared" si="198"/>
        <v>2959700</v>
      </c>
      <c r="Q106" s="16">
        <f t="shared" si="198"/>
        <v>2720400</v>
      </c>
      <c r="R106" s="16">
        <f t="shared" si="198"/>
        <v>2762500</v>
      </c>
      <c r="S106" s="2342">
        <f t="shared" si="198"/>
        <v>2805700</v>
      </c>
      <c r="U106" s="34"/>
      <c r="W106" s="34"/>
    </row>
    <row r="107" spans="1:23" x14ac:dyDescent="0.2">
      <c r="A107" s="54"/>
      <c r="B107" s="9"/>
      <c r="C107" s="9"/>
      <c r="D107" s="9"/>
      <c r="E107" s="9"/>
      <c r="F107" s="177"/>
      <c r="G107" s="55"/>
      <c r="H107" s="9"/>
      <c r="I107" s="85"/>
      <c r="J107" s="9"/>
      <c r="K107" s="9"/>
      <c r="L107" s="9"/>
      <c r="M107" s="9"/>
      <c r="N107" s="9"/>
      <c r="O107" s="9"/>
      <c r="P107" s="9"/>
      <c r="Q107" s="9"/>
      <c r="R107" s="9"/>
      <c r="S107" s="47"/>
    </row>
    <row r="108" spans="1:23" s="39" customFormat="1" x14ac:dyDescent="0.2">
      <c r="A108" s="24">
        <f>A69-A106</f>
        <v>-1840100</v>
      </c>
      <c r="B108" s="21">
        <f>B69-B106</f>
        <v>-1832800</v>
      </c>
      <c r="C108" s="21">
        <f>C69-C106</f>
        <v>-1821200</v>
      </c>
      <c r="D108" s="21">
        <f>D69-D106</f>
        <v>-1950800</v>
      </c>
      <c r="E108" s="21">
        <f>E69-E106</f>
        <v>-2367100</v>
      </c>
      <c r="F108" s="188"/>
      <c r="G108" s="1161" t="s">
        <v>1002</v>
      </c>
      <c r="H108" s="21">
        <f>H69-H106</f>
        <v>-2294600</v>
      </c>
      <c r="I108" s="126">
        <f>IF(E108=H108,0,IF(E108=0,100,(H108-E108)/E108*100))</f>
        <v>-3.062819483756495</v>
      </c>
      <c r="J108" s="21">
        <f t="shared" ref="J108:S108" si="199">J69-J106</f>
        <v>-2273600</v>
      </c>
      <c r="K108" s="21">
        <f t="shared" si="199"/>
        <v>-2336200</v>
      </c>
      <c r="L108" s="21">
        <f t="shared" si="199"/>
        <v>-2670100</v>
      </c>
      <c r="M108" s="21">
        <f t="shared" si="199"/>
        <v>-2456500</v>
      </c>
      <c r="N108" s="21">
        <f t="shared" si="199"/>
        <v>-2514100</v>
      </c>
      <c r="O108" s="21">
        <f t="shared" si="199"/>
        <v>-2573200</v>
      </c>
      <c r="P108" s="21">
        <f t="shared" si="199"/>
        <v>-2935800</v>
      </c>
      <c r="Q108" s="21">
        <f t="shared" si="199"/>
        <v>-2695600</v>
      </c>
      <c r="R108" s="21">
        <f t="shared" si="199"/>
        <v>-2736800</v>
      </c>
      <c r="S108" s="86">
        <f t="shared" si="199"/>
        <v>-2779100</v>
      </c>
      <c r="U108" s="34"/>
      <c r="W108" s="34"/>
    </row>
    <row r="109" spans="1:23" x14ac:dyDescent="0.2">
      <c r="A109" s="54">
        <v>0</v>
      </c>
      <c r="B109" s="9">
        <v>0</v>
      </c>
      <c r="C109" s="9">
        <v>0</v>
      </c>
      <c r="D109" s="9">
        <v>0</v>
      </c>
      <c r="E109" s="9">
        <v>0</v>
      </c>
      <c r="F109" s="177"/>
      <c r="G109" s="217" t="s">
        <v>1943</v>
      </c>
      <c r="H109" s="9">
        <v>0</v>
      </c>
      <c r="I109" s="85">
        <f>IF(E109=H109,0,IF(E109=0,100,(H109-E109)/E109*100))</f>
        <v>0</v>
      </c>
      <c r="J109" s="9">
        <v>0</v>
      </c>
      <c r="K109" s="9">
        <v>0</v>
      </c>
      <c r="L109" s="9">
        <v>0</v>
      </c>
      <c r="M109" s="9">
        <v>0</v>
      </c>
      <c r="N109" s="9">
        <v>0</v>
      </c>
      <c r="O109" s="9">
        <v>0</v>
      </c>
      <c r="P109" s="9">
        <v>0</v>
      </c>
      <c r="Q109" s="9">
        <v>0</v>
      </c>
      <c r="R109" s="9">
        <v>0</v>
      </c>
      <c r="S109" s="47">
        <v>0</v>
      </c>
    </row>
    <row r="110" spans="1:23" s="39" customFormat="1" x14ac:dyDescent="0.2">
      <c r="A110" s="128">
        <f>A108+A109</f>
        <v>-1840100</v>
      </c>
      <c r="B110" s="280">
        <f>B108+B109</f>
        <v>-1832800</v>
      </c>
      <c r="C110" s="280">
        <f>C108+C109</f>
        <v>-1821200</v>
      </c>
      <c r="D110" s="280">
        <f>D108+D109</f>
        <v>-1950800</v>
      </c>
      <c r="E110" s="280">
        <f t="shared" ref="E110" si="200">E108+E109</f>
        <v>-2367100</v>
      </c>
      <c r="F110" s="359"/>
      <c r="G110" s="360" t="s">
        <v>1659</v>
      </c>
      <c r="H110" s="280">
        <f t="shared" ref="H110:O110" si="201">H108+H109</f>
        <v>-2294600</v>
      </c>
      <c r="I110" s="278">
        <f>IF(E110=H110,0,IF(E110=0,100,(H110-E110)/E110*100))</f>
        <v>-3.062819483756495</v>
      </c>
      <c r="J110" s="280">
        <f t="shared" si="201"/>
        <v>-2273600</v>
      </c>
      <c r="K110" s="280">
        <f t="shared" si="201"/>
        <v>-2336200</v>
      </c>
      <c r="L110" s="280">
        <f t="shared" si="201"/>
        <v>-2670100</v>
      </c>
      <c r="M110" s="280">
        <f t="shared" si="201"/>
        <v>-2456500</v>
      </c>
      <c r="N110" s="280">
        <f t="shared" si="201"/>
        <v>-2514100</v>
      </c>
      <c r="O110" s="280">
        <f t="shared" si="201"/>
        <v>-2573200</v>
      </c>
      <c r="P110" s="280">
        <f t="shared" ref="P110:Q110" si="202">P108+P109</f>
        <v>-2935800</v>
      </c>
      <c r="Q110" s="280">
        <f t="shared" si="202"/>
        <v>-2695600</v>
      </c>
      <c r="R110" s="280">
        <f t="shared" ref="R110" si="203">R108+R109</f>
        <v>-2736800</v>
      </c>
      <c r="S110" s="2343">
        <f t="shared" ref="S110" si="204">S108+S109</f>
        <v>-2779100</v>
      </c>
      <c r="U110" s="34"/>
      <c r="W110" s="34"/>
    </row>
    <row r="111" spans="1:23" ht="13.5" thickBot="1" x14ac:dyDescent="0.25">
      <c r="A111" s="118"/>
      <c r="B111" s="23"/>
      <c r="C111" s="23"/>
      <c r="D111" s="23"/>
      <c r="E111" s="23"/>
      <c r="F111" s="389"/>
      <c r="G111" s="120"/>
      <c r="H111" s="68"/>
      <c r="I111" s="87"/>
      <c r="J111" s="68"/>
      <c r="K111" s="68"/>
      <c r="L111" s="68"/>
      <c r="M111" s="68"/>
      <c r="N111" s="68"/>
      <c r="O111" s="68"/>
      <c r="P111" s="68"/>
      <c r="Q111" s="68"/>
      <c r="R111" s="68"/>
      <c r="S111" s="108"/>
    </row>
    <row r="112" spans="1:23" ht="13.5" thickTop="1" x14ac:dyDescent="0.2">
      <c r="A112" s="270"/>
      <c r="B112" s="109"/>
      <c r="C112" s="109"/>
      <c r="D112" s="109"/>
      <c r="E112" s="74"/>
      <c r="F112" s="192"/>
      <c r="G112" s="258"/>
      <c r="H112" s="74"/>
      <c r="I112" s="352"/>
      <c r="J112" s="74"/>
      <c r="K112" s="74"/>
      <c r="L112" s="74"/>
      <c r="M112" s="74"/>
      <c r="N112" s="74"/>
      <c r="O112" s="74"/>
      <c r="P112" s="74"/>
      <c r="Q112" s="74"/>
      <c r="R112" s="74"/>
      <c r="S112" s="110"/>
    </row>
    <row r="113" spans="1:23" x14ac:dyDescent="0.2">
      <c r="A113" s="24"/>
      <c r="B113" s="21"/>
      <c r="C113" s="21"/>
      <c r="D113" s="21"/>
      <c r="E113" s="9"/>
      <c r="F113" s="189"/>
      <c r="G113" s="361" t="s">
        <v>192</v>
      </c>
      <c r="H113" s="9"/>
      <c r="I113" s="126"/>
      <c r="J113" s="9"/>
      <c r="K113" s="9"/>
      <c r="L113" s="9"/>
      <c r="M113" s="9"/>
      <c r="N113" s="9"/>
      <c r="O113" s="9"/>
      <c r="P113" s="9"/>
      <c r="Q113" s="9"/>
      <c r="R113" s="9"/>
      <c r="S113" s="61"/>
    </row>
    <row r="114" spans="1:23" x14ac:dyDescent="0.2">
      <c r="A114" s="54">
        <f>ROUND(A537,-3)</f>
        <v>0</v>
      </c>
      <c r="B114" s="9">
        <f t="shared" ref="B114:C118" si="205">B537</f>
        <v>0</v>
      </c>
      <c r="C114" s="9">
        <f t="shared" si="205"/>
        <v>0</v>
      </c>
      <c r="D114" s="9">
        <f t="shared" ref="D114:E118" si="206">D537</f>
        <v>0</v>
      </c>
      <c r="E114" s="9">
        <f t="shared" si="206"/>
        <v>0</v>
      </c>
      <c r="F114" s="165"/>
      <c r="G114" s="257" t="s">
        <v>2848</v>
      </c>
      <c r="H114" s="9">
        <f t="shared" ref="H114:O114" si="207">H537</f>
        <v>0</v>
      </c>
      <c r="I114" s="85"/>
      <c r="J114" s="9">
        <f t="shared" si="207"/>
        <v>0</v>
      </c>
      <c r="K114" s="9">
        <f t="shared" si="207"/>
        <v>0</v>
      </c>
      <c r="L114" s="9">
        <f t="shared" si="207"/>
        <v>0</v>
      </c>
      <c r="M114" s="9">
        <f t="shared" si="207"/>
        <v>0</v>
      </c>
      <c r="N114" s="9">
        <f t="shared" si="207"/>
        <v>0</v>
      </c>
      <c r="O114" s="9">
        <f t="shared" si="207"/>
        <v>0</v>
      </c>
      <c r="P114" s="9">
        <f t="shared" ref="P114:Q114" si="208">P537</f>
        <v>0</v>
      </c>
      <c r="Q114" s="9">
        <f t="shared" si="208"/>
        <v>0</v>
      </c>
      <c r="R114" s="9">
        <f t="shared" ref="R114:S114" si="209">R537</f>
        <v>0</v>
      </c>
      <c r="S114" s="61">
        <f t="shared" si="209"/>
        <v>0</v>
      </c>
    </row>
    <row r="115" spans="1:23" x14ac:dyDescent="0.2">
      <c r="A115" s="54">
        <f>ROUND(A538,-3)</f>
        <v>31000</v>
      </c>
      <c r="B115" s="9">
        <f t="shared" si="205"/>
        <v>7000</v>
      </c>
      <c r="C115" s="9">
        <f t="shared" si="205"/>
        <v>192200</v>
      </c>
      <c r="D115" s="9">
        <f t="shared" si="206"/>
        <v>94000</v>
      </c>
      <c r="E115" s="9">
        <f t="shared" si="206"/>
        <v>127300</v>
      </c>
      <c r="F115" s="165"/>
      <c r="G115" s="257" t="s">
        <v>1909</v>
      </c>
      <c r="H115" s="9">
        <f t="shared" ref="H115:O115" si="210">H538</f>
        <v>30000</v>
      </c>
      <c r="I115" s="85"/>
      <c r="J115" s="9">
        <f t="shared" si="210"/>
        <v>40000</v>
      </c>
      <c r="K115" s="9">
        <f t="shared" si="210"/>
        <v>45000</v>
      </c>
      <c r="L115" s="9">
        <f t="shared" si="210"/>
        <v>61500</v>
      </c>
      <c r="M115" s="9">
        <f t="shared" si="210"/>
        <v>71000</v>
      </c>
      <c r="N115" s="9">
        <f t="shared" si="210"/>
        <v>71000</v>
      </c>
      <c r="O115" s="9">
        <f t="shared" si="210"/>
        <v>73000</v>
      </c>
      <c r="P115" s="9">
        <f t="shared" ref="P115:Q115" si="211">P538</f>
        <v>75000</v>
      </c>
      <c r="Q115" s="9">
        <f t="shared" si="211"/>
        <v>80000</v>
      </c>
      <c r="R115" s="9">
        <f t="shared" ref="R115:S115" si="212">R538</f>
        <v>85000</v>
      </c>
      <c r="S115" s="61">
        <f t="shared" si="212"/>
        <v>90000</v>
      </c>
    </row>
    <row r="116" spans="1:23" x14ac:dyDescent="0.2">
      <c r="A116" s="54">
        <f>ROUND(A539,-3)</f>
        <v>171000</v>
      </c>
      <c r="B116" s="9">
        <f t="shared" si="205"/>
        <v>5800</v>
      </c>
      <c r="C116" s="9">
        <f t="shared" si="205"/>
        <v>2000</v>
      </c>
      <c r="D116" s="9">
        <f t="shared" si="206"/>
        <v>18700</v>
      </c>
      <c r="E116" s="9">
        <f t="shared" si="206"/>
        <v>290600</v>
      </c>
      <c r="F116" s="165"/>
      <c r="G116" s="257" t="s">
        <v>2309</v>
      </c>
      <c r="H116" s="9">
        <f t="shared" ref="H116:O116" si="213">H539</f>
        <v>47700</v>
      </c>
      <c r="I116" s="85"/>
      <c r="J116" s="9">
        <f t="shared" si="213"/>
        <v>0</v>
      </c>
      <c r="K116" s="9">
        <f t="shared" si="213"/>
        <v>0</v>
      </c>
      <c r="L116" s="9">
        <f t="shared" si="213"/>
        <v>260000</v>
      </c>
      <c r="M116" s="9">
        <f t="shared" si="213"/>
        <v>0</v>
      </c>
      <c r="N116" s="9">
        <f t="shared" si="213"/>
        <v>0</v>
      </c>
      <c r="O116" s="9">
        <f t="shared" si="213"/>
        <v>0</v>
      </c>
      <c r="P116" s="9">
        <f t="shared" ref="P116:Q116" si="214">P539</f>
        <v>290000</v>
      </c>
      <c r="Q116" s="9">
        <f t="shared" si="214"/>
        <v>0</v>
      </c>
      <c r="R116" s="9">
        <f t="shared" ref="R116:S116" si="215">R539</f>
        <v>0</v>
      </c>
      <c r="S116" s="61">
        <f t="shared" si="215"/>
        <v>0</v>
      </c>
    </row>
    <row r="117" spans="1:23" x14ac:dyDescent="0.2">
      <c r="A117" s="54">
        <f>ROUND(A540,-3)</f>
        <v>0</v>
      </c>
      <c r="B117" s="9">
        <f t="shared" si="205"/>
        <v>0</v>
      </c>
      <c r="C117" s="9">
        <f t="shared" si="205"/>
        <v>0</v>
      </c>
      <c r="D117" s="9">
        <f t="shared" si="206"/>
        <v>0</v>
      </c>
      <c r="E117" s="9">
        <f t="shared" si="206"/>
        <v>0</v>
      </c>
      <c r="F117" s="165"/>
      <c r="G117" s="257" t="s">
        <v>5847</v>
      </c>
      <c r="H117" s="9">
        <f t="shared" ref="H117:O117" si="216">H540</f>
        <v>0</v>
      </c>
      <c r="I117" s="85"/>
      <c r="J117" s="9">
        <f t="shared" si="216"/>
        <v>0</v>
      </c>
      <c r="K117" s="9">
        <f t="shared" si="216"/>
        <v>0</v>
      </c>
      <c r="L117" s="9">
        <f t="shared" si="216"/>
        <v>0</v>
      </c>
      <c r="M117" s="9">
        <f t="shared" si="216"/>
        <v>0</v>
      </c>
      <c r="N117" s="9">
        <f t="shared" si="216"/>
        <v>0</v>
      </c>
      <c r="O117" s="9">
        <f t="shared" si="216"/>
        <v>0</v>
      </c>
      <c r="P117" s="9">
        <f t="shared" ref="P117:Q117" si="217">P540</f>
        <v>0</v>
      </c>
      <c r="Q117" s="9">
        <f t="shared" si="217"/>
        <v>0</v>
      </c>
      <c r="R117" s="9">
        <f t="shared" ref="R117:S117" si="218">R540</f>
        <v>0</v>
      </c>
      <c r="S117" s="61">
        <f t="shared" si="218"/>
        <v>0</v>
      </c>
    </row>
    <row r="118" spans="1:23" x14ac:dyDescent="0.2">
      <c r="A118" s="54">
        <f>ROUND(A541,-3)</f>
        <v>0</v>
      </c>
      <c r="B118" s="9">
        <f t="shared" si="205"/>
        <v>19600</v>
      </c>
      <c r="C118" s="9">
        <f t="shared" si="205"/>
        <v>0</v>
      </c>
      <c r="D118" s="9">
        <f t="shared" si="206"/>
        <v>0</v>
      </c>
      <c r="E118" s="9">
        <f t="shared" si="206"/>
        <v>0</v>
      </c>
      <c r="F118" s="165"/>
      <c r="G118" s="257" t="s">
        <v>958</v>
      </c>
      <c r="H118" s="9">
        <f t="shared" ref="H118:O118" si="219">H541</f>
        <v>0</v>
      </c>
      <c r="I118" s="85"/>
      <c r="J118" s="9">
        <f t="shared" si="219"/>
        <v>0</v>
      </c>
      <c r="K118" s="9">
        <f t="shared" si="219"/>
        <v>0</v>
      </c>
      <c r="L118" s="9">
        <f t="shared" si="219"/>
        <v>0</v>
      </c>
      <c r="M118" s="9">
        <f t="shared" si="219"/>
        <v>0</v>
      </c>
      <c r="N118" s="9">
        <f t="shared" si="219"/>
        <v>0</v>
      </c>
      <c r="O118" s="9">
        <f t="shared" si="219"/>
        <v>0</v>
      </c>
      <c r="P118" s="9">
        <f t="shared" ref="P118:Q118" si="220">P541</f>
        <v>0</v>
      </c>
      <c r="Q118" s="9">
        <f t="shared" si="220"/>
        <v>0</v>
      </c>
      <c r="R118" s="9">
        <f t="shared" ref="R118:S118" si="221">R541</f>
        <v>0</v>
      </c>
      <c r="S118" s="61">
        <f t="shared" si="221"/>
        <v>0</v>
      </c>
    </row>
    <row r="119" spans="1:23" x14ac:dyDescent="0.2">
      <c r="A119" s="54"/>
      <c r="B119" s="9"/>
      <c r="C119" s="9"/>
      <c r="D119" s="9"/>
      <c r="E119" s="9"/>
      <c r="F119" s="189"/>
      <c r="G119" s="361"/>
      <c r="H119" s="9"/>
      <c r="I119" s="85"/>
      <c r="J119" s="9"/>
      <c r="K119" s="9"/>
      <c r="L119" s="9"/>
      <c r="M119" s="9"/>
      <c r="N119" s="9"/>
      <c r="O119" s="9"/>
      <c r="P119" s="9"/>
      <c r="Q119" s="9"/>
      <c r="R119" s="9"/>
      <c r="S119" s="61"/>
    </row>
    <row r="120" spans="1:23" s="39" customFormat="1" x14ac:dyDescent="0.2">
      <c r="A120" s="128">
        <f>A110-A114-A115+A116++A117-A118</f>
        <v>-1700100</v>
      </c>
      <c r="B120" s="280">
        <f>B110-B114-B115+B116++B117-B118</f>
        <v>-1853600</v>
      </c>
      <c r="C120" s="280">
        <f>C110-C114-C115+C116++C117-C118</f>
        <v>-2011400</v>
      </c>
      <c r="D120" s="280">
        <f>D110-D114-D115+D116++D117-D118</f>
        <v>-2026100</v>
      </c>
      <c r="E120" s="280">
        <f>E110-E114-E115+E116++E117-E118</f>
        <v>-2203800</v>
      </c>
      <c r="F120" s="362"/>
      <c r="G120" s="363" t="s">
        <v>2447</v>
      </c>
      <c r="H120" s="280">
        <f>H110-H114-H115+H116++H117-H118</f>
        <v>-2276900</v>
      </c>
      <c r="I120" s="278">
        <f>IF(E120=H120,0,IF(E120=0,100,(H120-E120)/E120*100))</f>
        <v>3.3169979126962521</v>
      </c>
      <c r="J120" s="280">
        <f t="shared" ref="J120:S120" si="222">J110-J114-J115+J116++J117-J118</f>
        <v>-2313600</v>
      </c>
      <c r="K120" s="280">
        <f t="shared" si="222"/>
        <v>-2381200</v>
      </c>
      <c r="L120" s="280">
        <f t="shared" si="222"/>
        <v>-2471600</v>
      </c>
      <c r="M120" s="280">
        <f t="shared" si="222"/>
        <v>-2527500</v>
      </c>
      <c r="N120" s="280">
        <f t="shared" si="222"/>
        <v>-2585100</v>
      </c>
      <c r="O120" s="280">
        <f t="shared" si="222"/>
        <v>-2646200</v>
      </c>
      <c r="P120" s="280">
        <f t="shared" si="222"/>
        <v>-2720800</v>
      </c>
      <c r="Q120" s="280">
        <f t="shared" si="222"/>
        <v>-2775600</v>
      </c>
      <c r="R120" s="280">
        <f t="shared" si="222"/>
        <v>-2821800</v>
      </c>
      <c r="S120" s="282">
        <f t="shared" si="222"/>
        <v>-2869100</v>
      </c>
      <c r="U120" s="34"/>
      <c r="W120" s="34"/>
    </row>
    <row r="121" spans="1:23" ht="13.5" thickBot="1" x14ac:dyDescent="0.25">
      <c r="A121" s="26"/>
      <c r="B121" s="37"/>
      <c r="C121" s="37"/>
      <c r="D121" s="37"/>
      <c r="E121" s="23"/>
      <c r="F121" s="190"/>
      <c r="G121" s="259"/>
      <c r="H121" s="23"/>
      <c r="I121" s="275"/>
      <c r="J121" s="23"/>
      <c r="K121" s="23"/>
      <c r="L121" s="23"/>
      <c r="M121" s="23"/>
      <c r="N121" s="23"/>
      <c r="O121" s="23"/>
      <c r="P121" s="23"/>
      <c r="Q121" s="23"/>
      <c r="R121" s="23"/>
      <c r="S121" s="112"/>
    </row>
    <row r="122" spans="1:23" ht="14.25" thickTop="1" thickBot="1" x14ac:dyDescent="0.25">
      <c r="A122" s="46"/>
      <c r="B122" s="46"/>
      <c r="F122" s="189"/>
      <c r="G122" s="55"/>
      <c r="I122" s="70"/>
    </row>
    <row r="123" spans="1:23" s="38" customFormat="1" ht="18.75" customHeight="1" thickTop="1" thickBot="1" x14ac:dyDescent="0.3">
      <c r="A123" s="2588" t="s">
        <v>940</v>
      </c>
      <c r="B123" s="2589"/>
      <c r="C123" s="2589"/>
      <c r="D123" s="2589"/>
      <c r="E123" s="2589"/>
      <c r="F123" s="2589"/>
      <c r="G123" s="2589"/>
      <c r="H123" s="2589"/>
      <c r="I123" s="2589"/>
      <c r="J123" s="2589"/>
      <c r="K123" s="2589"/>
      <c r="L123" s="2589"/>
      <c r="M123" s="2589"/>
      <c r="N123" s="2589"/>
      <c r="O123" s="2589"/>
      <c r="P123" s="2589"/>
      <c r="Q123" s="2589"/>
      <c r="R123" s="2589"/>
      <c r="S123" s="2590"/>
      <c r="U123" s="34"/>
      <c r="W123" s="34"/>
    </row>
    <row r="124" spans="1:23" s="39" customFormat="1" x14ac:dyDescent="0.2">
      <c r="A124" s="2620" t="s">
        <v>1824</v>
      </c>
      <c r="B124" s="2621"/>
      <c r="C124" s="2621"/>
      <c r="D124" s="2621"/>
      <c r="E124" s="2622"/>
      <c r="F124" s="150" t="s">
        <v>2616</v>
      </c>
      <c r="G124" s="126" t="s">
        <v>2213</v>
      </c>
      <c r="H124" s="2617" t="s">
        <v>2215</v>
      </c>
      <c r="I124" s="2618"/>
      <c r="J124" s="2618"/>
      <c r="K124" s="2618"/>
      <c r="L124" s="2618"/>
      <c r="M124" s="2618"/>
      <c r="N124" s="2618"/>
      <c r="O124" s="2618"/>
      <c r="P124" s="2618"/>
      <c r="Q124" s="2618"/>
      <c r="R124" s="2618"/>
      <c r="S124" s="2619"/>
      <c r="U124" s="34"/>
      <c r="W124" s="34"/>
    </row>
    <row r="125" spans="1:23" ht="13.5" thickBot="1" x14ac:dyDescent="0.25">
      <c r="A125" s="541" t="str">
        <f>A3</f>
        <v>2012/13</v>
      </c>
      <c r="B125" s="28" t="str">
        <f>B3</f>
        <v>2013/14</v>
      </c>
      <c r="C125" s="40" t="str">
        <f>C3</f>
        <v>2014/15</v>
      </c>
      <c r="D125" s="40" t="str">
        <f>D3</f>
        <v>2015/16</v>
      </c>
      <c r="E125" s="28" t="str">
        <f>E3</f>
        <v>2016/17</v>
      </c>
      <c r="F125" s="40" t="s">
        <v>2617</v>
      </c>
      <c r="G125" s="41"/>
      <c r="H125" s="40" t="str">
        <f>H3</f>
        <v>2017/18</v>
      </c>
      <c r="I125" s="1459" t="s">
        <v>492</v>
      </c>
      <c r="J125" s="40" t="str">
        <f t="shared" ref="J125:S125" si="223">J3</f>
        <v>2018/19</v>
      </c>
      <c r="K125" s="40" t="str">
        <f t="shared" si="223"/>
        <v>2019/20</v>
      </c>
      <c r="L125" s="40" t="str">
        <f t="shared" si="223"/>
        <v>2020/21</v>
      </c>
      <c r="M125" s="40" t="str">
        <f t="shared" si="223"/>
        <v>2021/22</v>
      </c>
      <c r="N125" s="40" t="str">
        <f t="shared" si="223"/>
        <v>2022/23</v>
      </c>
      <c r="O125" s="40" t="str">
        <f t="shared" si="223"/>
        <v>2023/24</v>
      </c>
      <c r="P125" s="40" t="str">
        <f t="shared" si="223"/>
        <v>2024/25</v>
      </c>
      <c r="Q125" s="40" t="str">
        <f t="shared" si="223"/>
        <v>2025/26</v>
      </c>
      <c r="R125" s="40" t="str">
        <f t="shared" si="223"/>
        <v>2026/27</v>
      </c>
      <c r="S125" s="1620" t="str">
        <f t="shared" si="223"/>
        <v>2027/28</v>
      </c>
    </row>
    <row r="126" spans="1:23" x14ac:dyDescent="0.2">
      <c r="A126" s="54"/>
      <c r="B126" s="9"/>
      <c r="C126" s="9"/>
      <c r="D126" s="9"/>
      <c r="E126" s="9"/>
      <c r="F126" s="175"/>
      <c r="G126" s="27"/>
      <c r="H126" s="9"/>
      <c r="I126" s="85"/>
      <c r="J126" s="9"/>
      <c r="K126" s="9"/>
      <c r="L126" s="9"/>
      <c r="M126" s="9"/>
      <c r="N126" s="9"/>
      <c r="O126" s="9"/>
      <c r="P126" s="9"/>
      <c r="Q126" s="9"/>
      <c r="R126" s="9"/>
      <c r="S126" s="61"/>
    </row>
    <row r="127" spans="1:23" x14ac:dyDescent="0.2">
      <c r="A127" s="54"/>
      <c r="B127" s="9"/>
      <c r="C127" s="9"/>
      <c r="D127" s="9"/>
      <c r="E127" s="9"/>
      <c r="F127" s="175"/>
      <c r="G127" s="91" t="s">
        <v>1056</v>
      </c>
      <c r="H127" s="9"/>
      <c r="I127" s="85"/>
      <c r="J127" s="9"/>
      <c r="K127" s="9"/>
      <c r="L127" s="9"/>
      <c r="M127" s="9"/>
      <c r="N127" s="9"/>
      <c r="O127" s="9"/>
      <c r="P127" s="9"/>
      <c r="Q127" s="9"/>
      <c r="R127" s="9"/>
      <c r="S127" s="61"/>
    </row>
    <row r="128" spans="1:23" x14ac:dyDescent="0.2">
      <c r="A128" s="54"/>
      <c r="B128" s="9"/>
      <c r="C128" s="9"/>
      <c r="D128" s="9"/>
      <c r="E128" s="9"/>
      <c r="F128" s="175"/>
      <c r="G128" s="27"/>
      <c r="H128" s="9"/>
      <c r="I128" s="85"/>
      <c r="J128" s="9"/>
      <c r="K128" s="9"/>
      <c r="L128" s="9"/>
      <c r="M128" s="9"/>
      <c r="N128" s="9"/>
      <c r="O128" s="9"/>
      <c r="P128" s="9"/>
      <c r="Q128" s="9"/>
      <c r="R128" s="9"/>
      <c r="S128" s="61"/>
    </row>
    <row r="129" spans="1:19" x14ac:dyDescent="0.2">
      <c r="A129" s="45"/>
      <c r="B129" s="9"/>
      <c r="C129" s="9"/>
      <c r="D129" s="9"/>
      <c r="E129" s="9"/>
      <c r="F129" s="175"/>
      <c r="G129" s="27" t="s">
        <v>1296</v>
      </c>
      <c r="H129" s="9"/>
      <c r="I129" s="85"/>
      <c r="J129" s="9"/>
      <c r="K129" s="9"/>
      <c r="L129" s="9"/>
      <c r="M129" s="9"/>
      <c r="N129" s="9"/>
      <c r="O129" s="9"/>
      <c r="P129" s="9"/>
      <c r="Q129" s="9"/>
      <c r="R129" s="9"/>
      <c r="S129" s="61"/>
    </row>
    <row r="130" spans="1:19" x14ac:dyDescent="0.2">
      <c r="A130" s="45">
        <f>ROUND(A552,-3)</f>
        <v>12023000</v>
      </c>
      <c r="B130" s="9">
        <f t="shared" ref="B130:C132" si="224">B552</f>
        <v>12780600</v>
      </c>
      <c r="C130" s="9">
        <f t="shared" si="224"/>
        <v>13206900</v>
      </c>
      <c r="D130" s="9">
        <f>D552</f>
        <v>13968100</v>
      </c>
      <c r="E130" s="9">
        <f t="shared" ref="E130" si="225">E552</f>
        <v>14890400</v>
      </c>
      <c r="F130" s="175">
        <v>26020</v>
      </c>
      <c r="G130" s="247" t="s">
        <v>1784</v>
      </c>
      <c r="H130" s="9">
        <f t="shared" ref="H130:O130" si="226">H552</f>
        <v>15684000</v>
      </c>
      <c r="I130" s="85">
        <f>IF(E130=H130,0,IF(E130=0,100,(H130-E130)/E130*100))</f>
        <v>5.3296083382582067</v>
      </c>
      <c r="J130" s="9">
        <f t="shared" si="226"/>
        <v>15589900</v>
      </c>
      <c r="K130" s="9">
        <f t="shared" si="226"/>
        <v>16057600</v>
      </c>
      <c r="L130" s="9">
        <f t="shared" si="226"/>
        <v>16539300</v>
      </c>
      <c r="M130" s="9">
        <f t="shared" si="226"/>
        <v>17035500</v>
      </c>
      <c r="N130" s="9">
        <f t="shared" si="226"/>
        <v>17546600</v>
      </c>
      <c r="O130" s="9">
        <f t="shared" si="226"/>
        <v>18073000</v>
      </c>
      <c r="P130" s="9">
        <f t="shared" ref="P130:Q130" si="227">P552</f>
        <v>18615200</v>
      </c>
      <c r="Q130" s="9">
        <f t="shared" si="227"/>
        <v>19173700</v>
      </c>
      <c r="R130" s="9">
        <f t="shared" ref="R130" si="228">R552</f>
        <v>19748900</v>
      </c>
      <c r="S130" s="47">
        <f t="shared" ref="S130" si="229">S552</f>
        <v>20341400</v>
      </c>
    </row>
    <row r="131" spans="1:19" x14ac:dyDescent="0.2">
      <c r="A131" s="45">
        <f>ROUND(A553,-3)-1000</f>
        <v>3305000</v>
      </c>
      <c r="B131" s="9">
        <f t="shared" si="224"/>
        <v>3476100</v>
      </c>
      <c r="C131" s="9">
        <f t="shared" si="224"/>
        <v>3644700</v>
      </c>
      <c r="D131" s="9">
        <f>D553</f>
        <v>3826700</v>
      </c>
      <c r="E131" s="9">
        <f t="shared" ref="E131" si="230">E553</f>
        <v>4055800</v>
      </c>
      <c r="F131" s="175">
        <v>26020</v>
      </c>
      <c r="G131" s="247" t="s">
        <v>1785</v>
      </c>
      <c r="H131" s="9">
        <f t="shared" ref="H131:O131" si="231">H553</f>
        <v>4303000</v>
      </c>
      <c r="I131" s="85">
        <f>IF(E131=H131,0,IF(E131=0,100,(H131-E131)/E131*100))</f>
        <v>6.0949750973913899</v>
      </c>
      <c r="J131" s="9">
        <f t="shared" si="231"/>
        <v>4277200</v>
      </c>
      <c r="K131" s="9">
        <f t="shared" si="231"/>
        <v>4405500</v>
      </c>
      <c r="L131" s="9">
        <f t="shared" si="231"/>
        <v>4537700</v>
      </c>
      <c r="M131" s="9">
        <f t="shared" si="231"/>
        <v>4673800</v>
      </c>
      <c r="N131" s="9">
        <f t="shared" si="231"/>
        <v>4814000</v>
      </c>
      <c r="O131" s="9">
        <f t="shared" si="231"/>
        <v>4958400</v>
      </c>
      <c r="P131" s="9">
        <f t="shared" ref="P131:Q131" si="232">P553</f>
        <v>5107200</v>
      </c>
      <c r="Q131" s="9">
        <f t="shared" si="232"/>
        <v>5260400</v>
      </c>
      <c r="R131" s="9">
        <f t="shared" ref="R131" si="233">R553</f>
        <v>5418200</v>
      </c>
      <c r="S131" s="47">
        <f t="shared" ref="S131" si="234">S553</f>
        <v>5580700</v>
      </c>
    </row>
    <row r="132" spans="1:19" x14ac:dyDescent="0.2">
      <c r="A132" s="45">
        <f>ROUND(A554,-3)</f>
        <v>1303000</v>
      </c>
      <c r="B132" s="9">
        <f t="shared" si="224"/>
        <v>1356800</v>
      </c>
      <c r="C132" s="9">
        <f t="shared" si="224"/>
        <v>1387800</v>
      </c>
      <c r="D132" s="9">
        <f>D554</f>
        <v>1445600</v>
      </c>
      <c r="E132" s="9">
        <f t="shared" ref="E132" si="235">E554</f>
        <v>1507000</v>
      </c>
      <c r="F132" s="175">
        <v>26020</v>
      </c>
      <c r="G132" s="247" t="s">
        <v>2245</v>
      </c>
      <c r="H132" s="9">
        <f t="shared" ref="H132:O132" si="236">H554</f>
        <v>1580000</v>
      </c>
      <c r="I132" s="85">
        <f>IF(E132=H132,0,IF(E132=0,100,(H132-E132)/E132*100))</f>
        <v>4.8440610484406106</v>
      </c>
      <c r="J132" s="9">
        <f t="shared" si="236"/>
        <v>1570500</v>
      </c>
      <c r="K132" s="9">
        <f t="shared" si="236"/>
        <v>1617600</v>
      </c>
      <c r="L132" s="9">
        <f t="shared" si="236"/>
        <v>1666100</v>
      </c>
      <c r="M132" s="9">
        <f t="shared" si="236"/>
        <v>1716100</v>
      </c>
      <c r="N132" s="9">
        <f t="shared" si="236"/>
        <v>1767600</v>
      </c>
      <c r="O132" s="9">
        <f t="shared" si="236"/>
        <v>1820600</v>
      </c>
      <c r="P132" s="9">
        <f t="shared" ref="P132:Q132" si="237">P554</f>
        <v>1875200</v>
      </c>
      <c r="Q132" s="9">
        <f t="shared" si="237"/>
        <v>1931500</v>
      </c>
      <c r="R132" s="9">
        <f t="shared" ref="R132" si="238">R554</f>
        <v>1989400</v>
      </c>
      <c r="S132" s="47">
        <f t="shared" ref="S132" si="239">S554</f>
        <v>2049100</v>
      </c>
    </row>
    <row r="133" spans="1:19" x14ac:dyDescent="0.2">
      <c r="A133" s="45"/>
      <c r="B133" s="9"/>
      <c r="C133" s="9"/>
      <c r="D133" s="9"/>
      <c r="E133" s="9"/>
      <c r="F133" s="175"/>
      <c r="G133" s="46"/>
      <c r="H133" s="9"/>
      <c r="I133" s="85"/>
      <c r="J133" s="9"/>
      <c r="K133" s="9"/>
      <c r="L133" s="9"/>
      <c r="M133" s="9"/>
      <c r="N133" s="9"/>
      <c r="O133" s="9"/>
      <c r="P133" s="9"/>
      <c r="Q133" s="9"/>
      <c r="R133" s="9"/>
      <c r="S133" s="47"/>
    </row>
    <row r="134" spans="1:19" x14ac:dyDescent="0.2">
      <c r="A134" s="45"/>
      <c r="B134" s="9"/>
      <c r="C134" s="9"/>
      <c r="D134" s="9"/>
      <c r="E134" s="9"/>
      <c r="F134" s="175"/>
      <c r="G134" s="27" t="s">
        <v>562</v>
      </c>
      <c r="H134" s="9"/>
      <c r="I134" s="85"/>
      <c r="J134" s="9"/>
      <c r="K134" s="9"/>
      <c r="L134" s="9"/>
      <c r="M134" s="9"/>
      <c r="N134" s="9"/>
      <c r="O134" s="9"/>
      <c r="P134" s="9"/>
      <c r="Q134" s="9"/>
      <c r="R134" s="9"/>
      <c r="S134" s="47"/>
    </row>
    <row r="135" spans="1:19" x14ac:dyDescent="0.2">
      <c r="A135" s="45">
        <f>ROUND(SUM(A556:A559),-3)-1000</f>
        <v>0</v>
      </c>
      <c r="B135" s="9">
        <f>SUM(B556:B559)</f>
        <v>-600</v>
      </c>
      <c r="C135" s="9">
        <f>SUM(C556:C559)</f>
        <v>2800</v>
      </c>
      <c r="D135" s="9">
        <f>SUM(D556:D559)</f>
        <v>-600</v>
      </c>
      <c r="E135" s="9">
        <f t="shared" ref="E135" si="240">SUM(E556:E559)</f>
        <v>100</v>
      </c>
      <c r="F135" s="175">
        <v>26020</v>
      </c>
      <c r="G135" s="46" t="s">
        <v>562</v>
      </c>
      <c r="H135" s="9">
        <f t="shared" ref="H135:O135" si="241">SUM(H556:H559)</f>
        <v>500</v>
      </c>
      <c r="I135" s="85">
        <f>IF(E135=H135,0,IF(E135=0,100,(H135-E135)/E135*100))</f>
        <v>400</v>
      </c>
      <c r="J135" s="9">
        <f t="shared" si="241"/>
        <v>500</v>
      </c>
      <c r="K135" s="9">
        <f t="shared" si="241"/>
        <v>600</v>
      </c>
      <c r="L135" s="9">
        <f t="shared" si="241"/>
        <v>700</v>
      </c>
      <c r="M135" s="9">
        <f t="shared" si="241"/>
        <v>800</v>
      </c>
      <c r="N135" s="9">
        <f t="shared" si="241"/>
        <v>900</v>
      </c>
      <c r="O135" s="9">
        <f t="shared" si="241"/>
        <v>1000</v>
      </c>
      <c r="P135" s="9">
        <f t="shared" ref="P135:Q135" si="242">SUM(P556:P559)</f>
        <v>1100</v>
      </c>
      <c r="Q135" s="9">
        <f t="shared" si="242"/>
        <v>1200</v>
      </c>
      <c r="R135" s="9">
        <f t="shared" ref="R135" si="243">SUM(R556:R559)</f>
        <v>1300</v>
      </c>
      <c r="S135" s="47">
        <f t="shared" ref="S135" si="244">SUM(S556:S559)</f>
        <v>1400</v>
      </c>
    </row>
    <row r="136" spans="1:19" x14ac:dyDescent="0.2">
      <c r="A136" s="45"/>
      <c r="B136" s="9"/>
      <c r="C136" s="9"/>
      <c r="D136" s="9"/>
      <c r="E136" s="9"/>
      <c r="F136" s="175"/>
      <c r="G136" s="29"/>
      <c r="H136" s="9"/>
      <c r="I136" s="85"/>
      <c r="J136" s="9"/>
      <c r="K136" s="9"/>
      <c r="L136" s="9"/>
      <c r="M136" s="9"/>
      <c r="N136" s="9"/>
      <c r="O136" s="9"/>
      <c r="P136" s="9"/>
      <c r="Q136" s="9"/>
      <c r="R136" s="9"/>
      <c r="S136" s="47"/>
    </row>
    <row r="137" spans="1:19" x14ac:dyDescent="0.2">
      <c r="A137" s="45"/>
      <c r="B137" s="9"/>
      <c r="C137" s="9"/>
      <c r="D137" s="9"/>
      <c r="E137" s="9"/>
      <c r="F137" s="175"/>
      <c r="G137" s="32" t="s">
        <v>1501</v>
      </c>
      <c r="H137" s="9"/>
      <c r="I137" s="85"/>
      <c r="J137" s="9"/>
      <c r="K137" s="9"/>
      <c r="L137" s="9"/>
      <c r="M137" s="9"/>
      <c r="N137" s="9"/>
      <c r="O137" s="9"/>
      <c r="P137" s="9"/>
      <c r="Q137" s="9"/>
      <c r="R137" s="9"/>
      <c r="S137" s="47"/>
    </row>
    <row r="138" spans="1:19" x14ac:dyDescent="0.2">
      <c r="A138" s="45">
        <f>ROUND(SUM(A560:A567),-3)</f>
        <v>-582000</v>
      </c>
      <c r="B138" s="9">
        <f>SUM(B560:B567)</f>
        <v>-581800</v>
      </c>
      <c r="C138" s="9">
        <f>SUM(C560:C567)</f>
        <v>-636400</v>
      </c>
      <c r="D138" s="9">
        <f>SUM(D560:D567)</f>
        <v>-639100</v>
      </c>
      <c r="E138" s="9">
        <f t="shared" ref="E138" si="245">SUM(E560:E567)</f>
        <v>-647500</v>
      </c>
      <c r="F138" s="175">
        <v>26021</v>
      </c>
      <c r="G138" s="29" t="s">
        <v>251</v>
      </c>
      <c r="H138" s="9">
        <f t="shared" ref="H138:O138" si="246">SUM(H560:H567)</f>
        <v>-656900</v>
      </c>
      <c r="I138" s="85">
        <f>IF(E138=H138,0,IF(E138=0,100,(H138-E138)/E138*100))</f>
        <v>1.4517374517374517</v>
      </c>
      <c r="J138" s="9">
        <f t="shared" si="246"/>
        <v>-660400</v>
      </c>
      <c r="K138" s="9">
        <f t="shared" si="246"/>
        <v>-663900</v>
      </c>
      <c r="L138" s="9">
        <f t="shared" si="246"/>
        <v>-667500</v>
      </c>
      <c r="M138" s="9">
        <f t="shared" si="246"/>
        <v>-671100</v>
      </c>
      <c r="N138" s="9">
        <f t="shared" si="246"/>
        <v>-674700</v>
      </c>
      <c r="O138" s="9">
        <f t="shared" si="246"/>
        <v>-678300</v>
      </c>
      <c r="P138" s="9">
        <f t="shared" ref="P138:Q138" si="247">SUM(P560:P567)</f>
        <v>-681900</v>
      </c>
      <c r="Q138" s="9">
        <f t="shared" si="247"/>
        <v>-685500</v>
      </c>
      <c r="R138" s="9">
        <f t="shared" ref="R138" si="248">SUM(R560:R567)</f>
        <v>-689100</v>
      </c>
      <c r="S138" s="47">
        <f t="shared" ref="S138" si="249">SUM(S560:S567)</f>
        <v>-692800</v>
      </c>
    </row>
    <row r="139" spans="1:19" x14ac:dyDescent="0.2">
      <c r="A139" s="45"/>
      <c r="B139" s="9"/>
      <c r="C139" s="9"/>
      <c r="D139" s="9"/>
      <c r="E139" s="9"/>
      <c r="F139" s="175"/>
      <c r="G139" s="29"/>
      <c r="H139" s="9"/>
      <c r="I139" s="85"/>
      <c r="J139" s="9"/>
      <c r="K139" s="9"/>
      <c r="L139" s="9"/>
      <c r="M139" s="9"/>
      <c r="N139" s="9"/>
      <c r="O139" s="9"/>
      <c r="P139" s="9"/>
      <c r="Q139" s="9"/>
      <c r="R139" s="9"/>
      <c r="S139" s="47"/>
    </row>
    <row r="140" spans="1:19" x14ac:dyDescent="0.2">
      <c r="A140" s="45"/>
      <c r="B140" s="9"/>
      <c r="C140" s="9"/>
      <c r="D140" s="9"/>
      <c r="E140" s="9"/>
      <c r="F140" s="175"/>
      <c r="G140" s="32" t="s">
        <v>876</v>
      </c>
      <c r="H140" s="9"/>
      <c r="I140" s="85"/>
      <c r="J140" s="9"/>
      <c r="K140" s="9"/>
      <c r="L140" s="9"/>
      <c r="M140" s="9"/>
      <c r="N140" s="9"/>
      <c r="O140" s="9"/>
      <c r="P140" s="9"/>
      <c r="Q140" s="9"/>
      <c r="R140" s="9"/>
      <c r="S140" s="47"/>
    </row>
    <row r="141" spans="1:19" x14ac:dyDescent="0.2">
      <c r="A141" s="45">
        <f>ROUND(SUM(A568:A572),-3)</f>
        <v>131000</v>
      </c>
      <c r="B141" s="9">
        <f>SUM(B568:B572)</f>
        <v>101300</v>
      </c>
      <c r="C141" s="9">
        <f>SUM(C568:C572)</f>
        <v>86600</v>
      </c>
      <c r="D141" s="9">
        <f>SUM(D568:D572)</f>
        <v>79600</v>
      </c>
      <c r="E141" s="9">
        <f>SUM(E569:E572)</f>
        <v>64700</v>
      </c>
      <c r="F141" s="175">
        <v>26023</v>
      </c>
      <c r="G141" s="29" t="s">
        <v>2624</v>
      </c>
      <c r="H141" s="9">
        <f t="shared" ref="H141:O141" si="250">SUM(H568:H572)</f>
        <v>75100</v>
      </c>
      <c r="I141" s="85">
        <f>IF(E141=H141,0,IF(E141=0,100,(H141-E141)/E141*100))</f>
        <v>16.0741885625966</v>
      </c>
      <c r="J141" s="9">
        <f t="shared" si="250"/>
        <v>76800</v>
      </c>
      <c r="K141" s="9">
        <f t="shared" si="250"/>
        <v>78700</v>
      </c>
      <c r="L141" s="9">
        <f t="shared" si="250"/>
        <v>80700</v>
      </c>
      <c r="M141" s="9">
        <f t="shared" si="250"/>
        <v>82700</v>
      </c>
      <c r="N141" s="9">
        <f t="shared" si="250"/>
        <v>84800</v>
      </c>
      <c r="O141" s="9">
        <f t="shared" si="250"/>
        <v>86900</v>
      </c>
      <c r="P141" s="9">
        <f t="shared" ref="P141:Q141" si="251">SUM(P568:P572)</f>
        <v>89100</v>
      </c>
      <c r="Q141" s="9">
        <f t="shared" si="251"/>
        <v>91300</v>
      </c>
      <c r="R141" s="9">
        <f t="shared" ref="R141" si="252">SUM(R568:R572)</f>
        <v>93600</v>
      </c>
      <c r="S141" s="47">
        <f t="shared" ref="S141" si="253">SUM(S568:S572)</f>
        <v>95900</v>
      </c>
    </row>
    <row r="142" spans="1:19" x14ac:dyDescent="0.2">
      <c r="A142" s="45"/>
      <c r="B142" s="9"/>
      <c r="C142" s="9"/>
      <c r="D142" s="9"/>
      <c r="E142" s="9"/>
      <c r="F142" s="175"/>
      <c r="G142" s="29"/>
      <c r="H142" s="9"/>
      <c r="I142" s="85"/>
      <c r="J142" s="9"/>
      <c r="K142" s="9"/>
      <c r="L142" s="9"/>
      <c r="M142" s="9"/>
      <c r="N142" s="9"/>
      <c r="O142" s="9"/>
      <c r="P142" s="9"/>
      <c r="Q142" s="9"/>
      <c r="R142" s="9"/>
      <c r="S142" s="47"/>
    </row>
    <row r="143" spans="1:19" x14ac:dyDescent="0.2">
      <c r="A143" s="54"/>
      <c r="B143" s="9"/>
      <c r="C143" s="9"/>
      <c r="D143" s="9"/>
      <c r="E143" s="9"/>
      <c r="F143" s="239"/>
      <c r="G143" s="122" t="s">
        <v>837</v>
      </c>
      <c r="H143" s="9"/>
      <c r="I143" s="85"/>
      <c r="J143" s="9"/>
      <c r="K143" s="9"/>
      <c r="L143" s="9"/>
      <c r="M143" s="9"/>
      <c r="N143" s="9"/>
      <c r="O143" s="9"/>
      <c r="P143" s="9"/>
      <c r="Q143" s="9"/>
      <c r="R143" s="9"/>
      <c r="S143" s="47"/>
    </row>
    <row r="144" spans="1:19" x14ac:dyDescent="0.2">
      <c r="A144" s="54"/>
      <c r="B144" s="9"/>
      <c r="C144" s="9"/>
      <c r="D144" s="9"/>
      <c r="E144" s="9">
        <f>E574</f>
        <v>92600</v>
      </c>
      <c r="F144" s="578" t="s">
        <v>1788</v>
      </c>
      <c r="G144" s="1150" t="s">
        <v>7058</v>
      </c>
      <c r="H144" s="9">
        <v>0</v>
      </c>
      <c r="I144" s="85"/>
      <c r="J144" s="9">
        <v>0</v>
      </c>
      <c r="K144" s="9">
        <v>0</v>
      </c>
      <c r="L144" s="9">
        <v>0</v>
      </c>
      <c r="M144" s="9">
        <v>0</v>
      </c>
      <c r="N144" s="9">
        <v>0</v>
      </c>
      <c r="O144" s="9">
        <v>0</v>
      </c>
      <c r="P144" s="9">
        <v>0</v>
      </c>
      <c r="Q144" s="9">
        <v>0</v>
      </c>
      <c r="R144" s="9">
        <v>0</v>
      </c>
      <c r="S144" s="47">
        <v>0</v>
      </c>
    </row>
    <row r="145" spans="1:23" ht="12" customHeight="1" x14ac:dyDescent="0.2">
      <c r="A145" s="54">
        <f>ROUND(A575,-3)</f>
        <v>3413000</v>
      </c>
      <c r="B145" s="9">
        <f t="shared" ref="B145:E146" si="254">B575</f>
        <v>1800200</v>
      </c>
      <c r="C145" s="9">
        <f t="shared" si="254"/>
        <v>3717800</v>
      </c>
      <c r="D145" s="9">
        <f t="shared" si="254"/>
        <v>3831300</v>
      </c>
      <c r="E145" s="9">
        <f t="shared" si="254"/>
        <v>6194600</v>
      </c>
      <c r="F145" s="239" t="s">
        <v>1788</v>
      </c>
      <c r="G145" s="29" t="s">
        <v>1944</v>
      </c>
      <c r="H145" s="9">
        <f t="shared" ref="H145:O145" si="255">H575</f>
        <v>4284600</v>
      </c>
      <c r="I145" s="85">
        <f>IF(E145=H145,0,IF(E145=0,100,(H145-E145)/E145*100))</f>
        <v>-30.83330642817938</v>
      </c>
      <c r="J145" s="9">
        <f t="shared" si="255"/>
        <v>4370300</v>
      </c>
      <c r="K145" s="9">
        <f t="shared" si="255"/>
        <v>4457700</v>
      </c>
      <c r="L145" s="9">
        <f t="shared" si="255"/>
        <v>4546900</v>
      </c>
      <c r="M145" s="9">
        <f t="shared" si="255"/>
        <v>4637800</v>
      </c>
      <c r="N145" s="9">
        <f t="shared" si="255"/>
        <v>4730600</v>
      </c>
      <c r="O145" s="9">
        <f t="shared" si="255"/>
        <v>4825200</v>
      </c>
      <c r="P145" s="9">
        <f t="shared" ref="P145:Q145" si="256">P575</f>
        <v>4921700</v>
      </c>
      <c r="Q145" s="9">
        <f t="shared" si="256"/>
        <v>5020100</v>
      </c>
      <c r="R145" s="9">
        <f t="shared" ref="R145" si="257">R575</f>
        <v>5120500</v>
      </c>
      <c r="S145" s="47">
        <f t="shared" ref="S145" si="258">S575</f>
        <v>5222900</v>
      </c>
    </row>
    <row r="146" spans="1:23" x14ac:dyDescent="0.2">
      <c r="A146" s="54">
        <f>ROUND(A576,-3)</f>
        <v>316000</v>
      </c>
      <c r="B146" s="9">
        <f t="shared" si="254"/>
        <v>318300</v>
      </c>
      <c r="C146" s="9">
        <f t="shared" si="254"/>
        <v>339400</v>
      </c>
      <c r="D146" s="9">
        <f t="shared" si="254"/>
        <v>350200</v>
      </c>
      <c r="E146" s="9">
        <f t="shared" si="254"/>
        <v>355000</v>
      </c>
      <c r="F146" s="239" t="s">
        <v>1788</v>
      </c>
      <c r="G146" s="29" t="s">
        <v>389</v>
      </c>
      <c r="H146" s="9">
        <f t="shared" ref="H146:O146" si="259">H576</f>
        <v>354600</v>
      </c>
      <c r="I146" s="85">
        <f>IF(E146=H146,0,IF(E146=0,100,(H146-E146)/E146*100))</f>
        <v>-0.11267605633802817</v>
      </c>
      <c r="J146" s="9">
        <f t="shared" si="259"/>
        <v>324000</v>
      </c>
      <c r="K146" s="9">
        <f t="shared" si="259"/>
        <v>325600</v>
      </c>
      <c r="L146" s="9">
        <f t="shared" si="259"/>
        <v>327300</v>
      </c>
      <c r="M146" s="9">
        <f t="shared" si="259"/>
        <v>328900</v>
      </c>
      <c r="N146" s="9">
        <f t="shared" si="259"/>
        <v>330500</v>
      </c>
      <c r="O146" s="9">
        <f t="shared" si="259"/>
        <v>332200</v>
      </c>
      <c r="P146" s="9">
        <f t="shared" ref="P146:Q146" si="260">P576</f>
        <v>333800</v>
      </c>
      <c r="Q146" s="9">
        <f t="shared" si="260"/>
        <v>335500</v>
      </c>
      <c r="R146" s="9">
        <f t="shared" ref="R146" si="261">R576</f>
        <v>337100</v>
      </c>
      <c r="S146" s="47">
        <f t="shared" ref="S146" si="262">S576</f>
        <v>338800</v>
      </c>
    </row>
    <row r="147" spans="1:23" x14ac:dyDescent="0.2">
      <c r="A147" s="517"/>
      <c r="B147" s="174"/>
      <c r="C147" s="9"/>
      <c r="D147" s="9"/>
      <c r="E147" s="9"/>
      <c r="F147" s="239"/>
      <c r="G147" s="29"/>
      <c r="H147" s="9"/>
      <c r="I147" s="85"/>
      <c r="J147" s="9"/>
      <c r="K147" s="9"/>
      <c r="L147" s="9"/>
      <c r="M147" s="9"/>
      <c r="N147" s="9"/>
      <c r="O147" s="9"/>
      <c r="P147" s="9"/>
      <c r="Q147" s="9"/>
      <c r="R147" s="9"/>
      <c r="S147" s="47"/>
    </row>
    <row r="148" spans="1:23" x14ac:dyDescent="0.2">
      <c r="A148" s="54"/>
      <c r="B148" s="9"/>
      <c r="C148" s="9"/>
      <c r="D148" s="9"/>
      <c r="E148" s="9"/>
      <c r="F148" s="239"/>
      <c r="G148" s="32" t="s">
        <v>2624</v>
      </c>
      <c r="H148" s="9"/>
      <c r="I148" s="85"/>
      <c r="J148" s="9"/>
      <c r="K148" s="9"/>
      <c r="L148" s="9"/>
      <c r="M148" s="9"/>
      <c r="N148" s="9"/>
      <c r="O148" s="9"/>
      <c r="P148" s="9"/>
      <c r="Q148" s="9"/>
      <c r="R148" s="9"/>
      <c r="S148" s="47"/>
    </row>
    <row r="149" spans="1:23" x14ac:dyDescent="0.2">
      <c r="A149" s="54">
        <f>ROUND(SUM(A578:A580),-3)</f>
        <v>890000</v>
      </c>
      <c r="B149" s="9">
        <f>SUM(B578:B580)</f>
        <v>716700</v>
      </c>
      <c r="C149" s="9">
        <f>SUM(C578:C580)</f>
        <v>651300</v>
      </c>
      <c r="D149" s="9">
        <f>SUM(D578:D580)</f>
        <v>716600</v>
      </c>
      <c r="E149" s="9">
        <f t="shared" ref="E149" si="263">SUM(E578:E580)</f>
        <v>680600</v>
      </c>
      <c r="F149" s="239" t="s">
        <v>1789</v>
      </c>
      <c r="G149" s="29" t="s">
        <v>599</v>
      </c>
      <c r="H149" s="9">
        <f t="shared" ref="H149:O149" si="264">SUM(H578:H580)</f>
        <v>540800</v>
      </c>
      <c r="I149" s="85">
        <f>IF(E149=H149,0,IF(E149=0,100,(H149-E149)/E149*100))</f>
        <v>-20.540699382897444</v>
      </c>
      <c r="J149" s="9">
        <f t="shared" si="264"/>
        <v>540500</v>
      </c>
      <c r="K149" s="9">
        <f t="shared" si="264"/>
        <v>540200</v>
      </c>
      <c r="L149" s="9">
        <f t="shared" si="264"/>
        <v>539900</v>
      </c>
      <c r="M149" s="9">
        <f t="shared" si="264"/>
        <v>539600</v>
      </c>
      <c r="N149" s="9">
        <f t="shared" si="264"/>
        <v>539300</v>
      </c>
      <c r="O149" s="9">
        <f t="shared" si="264"/>
        <v>539000</v>
      </c>
      <c r="P149" s="9">
        <f t="shared" ref="P149:Q149" si="265">SUM(P578:P580)</f>
        <v>538700</v>
      </c>
      <c r="Q149" s="9">
        <f t="shared" si="265"/>
        <v>538400</v>
      </c>
      <c r="R149" s="9">
        <f t="shared" ref="R149" si="266">SUM(R578:R580)</f>
        <v>538100</v>
      </c>
      <c r="S149" s="47">
        <f t="shared" ref="S149" si="267">SUM(S578:S580)</f>
        <v>537800</v>
      </c>
    </row>
    <row r="150" spans="1:23" x14ac:dyDescent="0.2">
      <c r="A150" s="54">
        <f>ROUND(SUM(A581:A581),-3)</f>
        <v>414000</v>
      </c>
      <c r="B150" s="9">
        <f>SUM(B581:B581)</f>
        <v>333000</v>
      </c>
      <c r="C150" s="9">
        <f>SUM(C581:C581)</f>
        <v>-30000</v>
      </c>
      <c r="D150" s="9">
        <f>SUM(D581:D581)</f>
        <v>-163000</v>
      </c>
      <c r="E150" s="9">
        <f t="shared" ref="E150" si="268">SUM(E581:E581)</f>
        <v>150000</v>
      </c>
      <c r="F150" s="239" t="s">
        <v>1789</v>
      </c>
      <c r="G150" s="30" t="s">
        <v>5274</v>
      </c>
      <c r="H150" s="9">
        <f t="shared" ref="H150:P150" si="269">SUM(H581:H581)</f>
        <v>0</v>
      </c>
      <c r="I150" s="85">
        <f>IF(E150=H150,0,IF(E150=0,100,(H150-E150)/E150*100))</f>
        <v>-100</v>
      </c>
      <c r="J150" s="9">
        <f t="shared" si="269"/>
        <v>0</v>
      </c>
      <c r="K150" s="9">
        <f t="shared" si="269"/>
        <v>0</v>
      </c>
      <c r="L150" s="9">
        <f t="shared" si="269"/>
        <v>0</v>
      </c>
      <c r="M150" s="9">
        <f t="shared" si="269"/>
        <v>0</v>
      </c>
      <c r="N150" s="9">
        <f t="shared" si="269"/>
        <v>0</v>
      </c>
      <c r="O150" s="9">
        <f t="shared" si="269"/>
        <v>0</v>
      </c>
      <c r="P150" s="9">
        <f t="shared" si="269"/>
        <v>0</v>
      </c>
      <c r="Q150" s="9">
        <f t="shared" ref="Q150" si="270">SUM(Q581:Q581)</f>
        <v>0</v>
      </c>
      <c r="R150" s="9">
        <f t="shared" ref="R150" si="271">SUM(R581:R581)</f>
        <v>0</v>
      </c>
      <c r="S150" s="47">
        <f t="shared" ref="S150" si="272">SUM(S581:S581)</f>
        <v>0</v>
      </c>
    </row>
    <row r="151" spans="1:23" ht="13.5" thickBot="1" x14ac:dyDescent="0.25">
      <c r="A151" s="24"/>
      <c r="B151" s="21"/>
      <c r="C151" s="21"/>
      <c r="D151" s="21"/>
      <c r="E151" s="9"/>
      <c r="F151" s="239"/>
      <c r="G151" s="27"/>
      <c r="H151" s="9"/>
      <c r="I151" s="126"/>
      <c r="J151" s="9"/>
      <c r="K151" s="9"/>
      <c r="L151" s="9"/>
      <c r="M151" s="9"/>
      <c r="N151" s="9"/>
      <c r="O151" s="9"/>
      <c r="P151" s="9"/>
      <c r="Q151" s="9"/>
      <c r="R151" s="9"/>
      <c r="S151" s="47"/>
    </row>
    <row r="152" spans="1:23" x14ac:dyDescent="0.2">
      <c r="A152" s="52">
        <f>SUM(A127:A151)</f>
        <v>21213000</v>
      </c>
      <c r="B152" s="16">
        <f>SUM(B127:B151)</f>
        <v>20300600</v>
      </c>
      <c r="C152" s="16">
        <f>SUM(C127:C151)</f>
        <v>22370900</v>
      </c>
      <c r="D152" s="16">
        <f>SUM(D127:D151)</f>
        <v>23415400</v>
      </c>
      <c r="E152" s="16">
        <f>SUM(E127:E151)</f>
        <v>27343300</v>
      </c>
      <c r="F152" s="584"/>
      <c r="G152" s="366" t="s">
        <v>1002</v>
      </c>
      <c r="H152" s="16">
        <f>SUM(H127:H151)</f>
        <v>26165700</v>
      </c>
      <c r="I152" s="127">
        <f>IF(E152=H152,0,IF(E152=0,100,(H152-E152)/E152*100))</f>
        <v>-4.3067223049156462</v>
      </c>
      <c r="J152" s="16">
        <f t="shared" ref="J152:R152" si="273">SUM(J127:J151)</f>
        <v>26089300</v>
      </c>
      <c r="K152" s="16">
        <f t="shared" si="273"/>
        <v>26819600</v>
      </c>
      <c r="L152" s="16">
        <f t="shared" si="273"/>
        <v>27571100</v>
      </c>
      <c r="M152" s="16">
        <f t="shared" si="273"/>
        <v>28344100</v>
      </c>
      <c r="N152" s="16">
        <f t="shared" si="273"/>
        <v>29139600</v>
      </c>
      <c r="O152" s="16">
        <f t="shared" si="273"/>
        <v>29958000</v>
      </c>
      <c r="P152" s="16">
        <f t="shared" si="273"/>
        <v>30800100</v>
      </c>
      <c r="Q152" s="16">
        <f t="shared" si="273"/>
        <v>31666600</v>
      </c>
      <c r="R152" s="16">
        <f t="shared" si="273"/>
        <v>32558000</v>
      </c>
      <c r="S152" s="2342">
        <f t="shared" ref="S152" si="274">SUM(S127:S151)</f>
        <v>33475200</v>
      </c>
    </row>
    <row r="153" spans="1:23" x14ac:dyDescent="0.2">
      <c r="A153" s="54">
        <f>-A150</f>
        <v>-414000</v>
      </c>
      <c r="B153" s="9">
        <f>-B150</f>
        <v>-333000</v>
      </c>
      <c r="C153" s="9">
        <f>-C150</f>
        <v>30000</v>
      </c>
      <c r="D153" s="9">
        <f>-D150</f>
        <v>163000</v>
      </c>
      <c r="E153" s="322">
        <f>-E150</f>
        <v>-150000</v>
      </c>
      <c r="F153" s="177"/>
      <c r="G153" s="217" t="s">
        <v>5275</v>
      </c>
      <c r="H153" s="9">
        <f t="shared" ref="H153:P153" si="275">-H150</f>
        <v>0</v>
      </c>
      <c r="I153" s="85">
        <f>IF(E153=H153,0,IF(E153=0,100,(H153-E153)/E153*100))</f>
        <v>-100</v>
      </c>
      <c r="J153" s="9">
        <f t="shared" si="275"/>
        <v>0</v>
      </c>
      <c r="K153" s="9">
        <f t="shared" si="275"/>
        <v>0</v>
      </c>
      <c r="L153" s="9">
        <f t="shared" si="275"/>
        <v>0</v>
      </c>
      <c r="M153" s="9">
        <f t="shared" si="275"/>
        <v>0</v>
      </c>
      <c r="N153" s="9">
        <f t="shared" si="275"/>
        <v>0</v>
      </c>
      <c r="O153" s="9">
        <f t="shared" si="275"/>
        <v>0</v>
      </c>
      <c r="P153" s="9">
        <f t="shared" si="275"/>
        <v>0</v>
      </c>
      <c r="Q153" s="9">
        <f t="shared" ref="Q153" si="276">-Q150</f>
        <v>0</v>
      </c>
      <c r="R153" s="9">
        <f t="shared" ref="R153" si="277">-R150</f>
        <v>0</v>
      </c>
      <c r="S153" s="47">
        <f t="shared" ref="S153" si="278">-S150</f>
        <v>0</v>
      </c>
    </row>
    <row r="154" spans="1:23" s="39" customFormat="1" x14ac:dyDescent="0.2">
      <c r="A154" s="128">
        <f t="shared" ref="A154:C154" si="279">A153+A152</f>
        <v>20799000</v>
      </c>
      <c r="B154" s="280">
        <f t="shared" si="279"/>
        <v>19967600</v>
      </c>
      <c r="C154" s="280">
        <f t="shared" si="279"/>
        <v>22400900</v>
      </c>
      <c r="D154" s="280">
        <f>D153+D152</f>
        <v>23578400</v>
      </c>
      <c r="E154" s="515">
        <f t="shared" ref="E154" si="280">E153+E152</f>
        <v>27193300</v>
      </c>
      <c r="F154" s="359"/>
      <c r="G154" s="360" t="s">
        <v>1659</v>
      </c>
      <c r="H154" s="280">
        <f t="shared" ref="H154:P154" si="281">H153+H152</f>
        <v>26165700</v>
      </c>
      <c r="I154" s="278">
        <f>IF(E154=H154,0,IF(E154=0,100,(H154-E154)/E154*100))</f>
        <v>-3.7788720015592072</v>
      </c>
      <c r="J154" s="280">
        <f t="shared" si="281"/>
        <v>26089300</v>
      </c>
      <c r="K154" s="280">
        <f t="shared" si="281"/>
        <v>26819600</v>
      </c>
      <c r="L154" s="280">
        <f t="shared" si="281"/>
        <v>27571100</v>
      </c>
      <c r="M154" s="280">
        <f t="shared" si="281"/>
        <v>28344100</v>
      </c>
      <c r="N154" s="280">
        <f t="shared" si="281"/>
        <v>29139600</v>
      </c>
      <c r="O154" s="280">
        <f t="shared" si="281"/>
        <v>29958000</v>
      </c>
      <c r="P154" s="280">
        <f t="shared" si="281"/>
        <v>30800100</v>
      </c>
      <c r="Q154" s="280">
        <f t="shared" ref="Q154" si="282">Q153+Q152</f>
        <v>31666600</v>
      </c>
      <c r="R154" s="280">
        <f t="shared" ref="R154" si="283">R153+R152</f>
        <v>32558000</v>
      </c>
      <c r="S154" s="2343">
        <f t="shared" ref="S154" si="284">S153+S152</f>
        <v>33475200</v>
      </c>
      <c r="U154" s="34"/>
      <c r="W154" s="34"/>
    </row>
    <row r="155" spans="1:23" ht="13.5" thickBot="1" x14ac:dyDescent="0.25">
      <c r="A155" s="26"/>
      <c r="B155" s="37"/>
      <c r="C155" s="37"/>
      <c r="D155" s="37"/>
      <c r="E155" s="227"/>
      <c r="F155" s="191"/>
      <c r="G155" s="88"/>
      <c r="H155" s="68"/>
      <c r="I155" s="275"/>
      <c r="J155" s="68"/>
      <c r="K155" s="68"/>
      <c r="L155" s="68"/>
      <c r="M155" s="68"/>
      <c r="N155" s="68"/>
      <c r="O155" s="68"/>
      <c r="P155" s="68"/>
      <c r="Q155" s="68"/>
      <c r="R155" s="68"/>
      <c r="S155" s="108"/>
    </row>
    <row r="156" spans="1:23" ht="13.5" thickTop="1" x14ac:dyDescent="0.2">
      <c r="A156" s="270"/>
      <c r="B156" s="109"/>
      <c r="C156" s="109"/>
      <c r="D156" s="109"/>
      <c r="E156" s="123"/>
      <c r="F156" s="192"/>
      <c r="G156" s="258"/>
      <c r="H156" s="74"/>
      <c r="I156" s="352"/>
      <c r="J156" s="74"/>
      <c r="K156" s="74"/>
      <c r="L156" s="74"/>
      <c r="M156" s="74"/>
      <c r="N156" s="74"/>
      <c r="O156" s="74"/>
      <c r="P156" s="74"/>
      <c r="Q156" s="74"/>
      <c r="R156" s="74"/>
      <c r="S156" s="110"/>
    </row>
    <row r="157" spans="1:23" x14ac:dyDescent="0.2">
      <c r="A157" s="24"/>
      <c r="B157" s="21"/>
      <c r="C157" s="21"/>
      <c r="D157" s="21"/>
      <c r="F157" s="189"/>
      <c r="G157" s="361" t="s">
        <v>192</v>
      </c>
      <c r="H157" s="9"/>
      <c r="I157" s="126"/>
      <c r="J157" s="9"/>
      <c r="K157" s="9"/>
      <c r="L157" s="9"/>
      <c r="M157" s="9"/>
      <c r="N157" s="9"/>
      <c r="O157" s="9"/>
      <c r="P157" s="9"/>
      <c r="Q157" s="9"/>
      <c r="R157" s="9"/>
      <c r="S157" s="61"/>
    </row>
    <row r="158" spans="1:23" x14ac:dyDescent="0.2">
      <c r="A158" s="24"/>
      <c r="B158" s="21"/>
      <c r="C158" s="21"/>
      <c r="D158" s="21"/>
      <c r="F158" s="189"/>
      <c r="G158" s="260"/>
      <c r="H158" s="9"/>
      <c r="I158" s="126"/>
      <c r="J158" s="9"/>
      <c r="K158" s="9"/>
      <c r="L158" s="9"/>
      <c r="M158" s="9"/>
      <c r="N158" s="9"/>
      <c r="O158" s="9"/>
      <c r="P158" s="9"/>
      <c r="Q158" s="9"/>
      <c r="R158" s="9"/>
      <c r="S158" s="61"/>
    </row>
    <row r="159" spans="1:23" x14ac:dyDescent="0.2">
      <c r="A159" s="54">
        <f>ROUND(A590,-3)</f>
        <v>0</v>
      </c>
      <c r="B159" s="9">
        <f t="shared" ref="B159:C163" si="285">B590</f>
        <v>0</v>
      </c>
      <c r="C159" s="9">
        <f t="shared" si="285"/>
        <v>0</v>
      </c>
      <c r="D159" s="9">
        <f t="shared" ref="D159:E163" si="286">D590</f>
        <v>0</v>
      </c>
      <c r="E159" s="9">
        <f t="shared" si="286"/>
        <v>0</v>
      </c>
      <c r="F159" s="165"/>
      <c r="G159" s="257" t="s">
        <v>2848</v>
      </c>
      <c r="H159" s="9">
        <f t="shared" ref="H159:O159" si="287">H590</f>
        <v>0</v>
      </c>
      <c r="I159" s="85"/>
      <c r="J159" s="9">
        <f t="shared" si="287"/>
        <v>0</v>
      </c>
      <c r="K159" s="9">
        <f t="shared" si="287"/>
        <v>0</v>
      </c>
      <c r="L159" s="9">
        <f t="shared" si="287"/>
        <v>0</v>
      </c>
      <c r="M159" s="9">
        <f t="shared" si="287"/>
        <v>0</v>
      </c>
      <c r="N159" s="9">
        <f t="shared" si="287"/>
        <v>0</v>
      </c>
      <c r="O159" s="9">
        <f t="shared" si="287"/>
        <v>0</v>
      </c>
      <c r="P159" s="9">
        <f t="shared" ref="P159:Q159" si="288">P590</f>
        <v>0</v>
      </c>
      <c r="Q159" s="9">
        <f t="shared" si="288"/>
        <v>0</v>
      </c>
      <c r="R159" s="9">
        <f t="shared" ref="R159:S159" si="289">R590</f>
        <v>0</v>
      </c>
      <c r="S159" s="61">
        <f t="shared" si="289"/>
        <v>0</v>
      </c>
    </row>
    <row r="160" spans="1:23" x14ac:dyDescent="0.2">
      <c r="A160" s="54">
        <f>ROUND(A591,-3)</f>
        <v>1789000</v>
      </c>
      <c r="B160" s="9">
        <f t="shared" si="285"/>
        <v>0</v>
      </c>
      <c r="C160" s="89">
        <f t="shared" si="285"/>
        <v>0</v>
      </c>
      <c r="D160" s="89">
        <f t="shared" si="286"/>
        <v>0</v>
      </c>
      <c r="E160" s="89">
        <f t="shared" si="286"/>
        <v>2108000</v>
      </c>
      <c r="F160" s="165"/>
      <c r="G160" s="257" t="s">
        <v>1909</v>
      </c>
      <c r="H160" s="9">
        <f t="shared" ref="H160:O160" si="290">H591</f>
        <v>0</v>
      </c>
      <c r="I160" s="85"/>
      <c r="J160" s="9">
        <f t="shared" si="290"/>
        <v>0</v>
      </c>
      <c r="K160" s="9">
        <f t="shared" si="290"/>
        <v>0</v>
      </c>
      <c r="L160" s="9">
        <f t="shared" si="290"/>
        <v>0</v>
      </c>
      <c r="M160" s="9">
        <f t="shared" si="290"/>
        <v>0</v>
      </c>
      <c r="N160" s="9">
        <f t="shared" si="290"/>
        <v>0</v>
      </c>
      <c r="O160" s="9">
        <f t="shared" si="290"/>
        <v>0</v>
      </c>
      <c r="P160" s="9">
        <f t="shared" ref="P160:Q160" si="291">P591</f>
        <v>0</v>
      </c>
      <c r="Q160" s="9">
        <f t="shared" si="291"/>
        <v>0</v>
      </c>
      <c r="R160" s="9">
        <f t="shared" ref="R160:S160" si="292">R591</f>
        <v>0</v>
      </c>
      <c r="S160" s="61">
        <f t="shared" si="292"/>
        <v>0</v>
      </c>
    </row>
    <row r="161" spans="1:23" x14ac:dyDescent="0.2">
      <c r="A161" s="54">
        <f>ROUND(A592,-3)</f>
        <v>1757000</v>
      </c>
      <c r="B161" s="9">
        <f t="shared" si="285"/>
        <v>1789000</v>
      </c>
      <c r="C161" s="9">
        <f t="shared" si="285"/>
        <v>0</v>
      </c>
      <c r="D161" s="9">
        <f t="shared" si="286"/>
        <v>0</v>
      </c>
      <c r="E161" s="9">
        <f t="shared" si="286"/>
        <v>0</v>
      </c>
      <c r="F161" s="165"/>
      <c r="G161" s="257" t="s">
        <v>2309</v>
      </c>
      <c r="H161" s="9">
        <f t="shared" ref="H161:O161" si="293">H592</f>
        <v>0</v>
      </c>
      <c r="I161" s="85"/>
      <c r="J161" s="9">
        <f t="shared" si="293"/>
        <v>0</v>
      </c>
      <c r="K161" s="9">
        <f t="shared" si="293"/>
        <v>0</v>
      </c>
      <c r="L161" s="9">
        <f t="shared" si="293"/>
        <v>0</v>
      </c>
      <c r="M161" s="9">
        <f t="shared" si="293"/>
        <v>0</v>
      </c>
      <c r="N161" s="9">
        <f t="shared" si="293"/>
        <v>0</v>
      </c>
      <c r="O161" s="9">
        <f t="shared" si="293"/>
        <v>0</v>
      </c>
      <c r="P161" s="9">
        <f t="shared" ref="P161:Q161" si="294">P592</f>
        <v>0</v>
      </c>
      <c r="Q161" s="9">
        <f t="shared" si="294"/>
        <v>0</v>
      </c>
      <c r="R161" s="9">
        <f t="shared" ref="R161:S161" si="295">R592</f>
        <v>0</v>
      </c>
      <c r="S161" s="61">
        <f t="shared" si="295"/>
        <v>0</v>
      </c>
    </row>
    <row r="162" spans="1:23" x14ac:dyDescent="0.2">
      <c r="A162" s="54">
        <f>ROUND(A593,-3)</f>
        <v>0</v>
      </c>
      <c r="B162" s="9">
        <f t="shared" si="285"/>
        <v>0</v>
      </c>
      <c r="C162" s="9">
        <f t="shared" si="285"/>
        <v>0</v>
      </c>
      <c r="D162" s="9">
        <f t="shared" si="286"/>
        <v>0</v>
      </c>
      <c r="E162" s="9">
        <f t="shared" si="286"/>
        <v>0</v>
      </c>
      <c r="F162" s="165"/>
      <c r="G162" s="257" t="s">
        <v>5847</v>
      </c>
      <c r="H162" s="9">
        <f t="shared" ref="H162:O162" si="296">H593</f>
        <v>0</v>
      </c>
      <c r="I162" s="85"/>
      <c r="J162" s="9">
        <f t="shared" si="296"/>
        <v>0</v>
      </c>
      <c r="K162" s="9">
        <f t="shared" si="296"/>
        <v>0</v>
      </c>
      <c r="L162" s="9">
        <f t="shared" si="296"/>
        <v>0</v>
      </c>
      <c r="M162" s="9">
        <f t="shared" si="296"/>
        <v>0</v>
      </c>
      <c r="N162" s="9">
        <f t="shared" si="296"/>
        <v>0</v>
      </c>
      <c r="O162" s="9">
        <f t="shared" si="296"/>
        <v>0</v>
      </c>
      <c r="P162" s="9">
        <f t="shared" ref="P162:Q162" si="297">P593</f>
        <v>0</v>
      </c>
      <c r="Q162" s="9">
        <f t="shared" si="297"/>
        <v>0</v>
      </c>
      <c r="R162" s="9">
        <f t="shared" ref="R162:S162" si="298">R593</f>
        <v>0</v>
      </c>
      <c r="S162" s="61">
        <f t="shared" si="298"/>
        <v>0</v>
      </c>
    </row>
    <row r="163" spans="1:23" x14ac:dyDescent="0.2">
      <c r="A163" s="54">
        <f>ROUND(A594,-3)</f>
        <v>0</v>
      </c>
      <c r="B163" s="9">
        <f t="shared" si="285"/>
        <v>0</v>
      </c>
      <c r="C163" s="9">
        <f t="shared" si="285"/>
        <v>0</v>
      </c>
      <c r="D163" s="9">
        <f t="shared" si="286"/>
        <v>0</v>
      </c>
      <c r="E163" s="9">
        <f t="shared" si="286"/>
        <v>0</v>
      </c>
      <c r="F163" s="165"/>
      <c r="G163" s="257" t="s">
        <v>958</v>
      </c>
      <c r="H163" s="9">
        <f t="shared" ref="H163:O163" si="299">H594</f>
        <v>0</v>
      </c>
      <c r="I163" s="85"/>
      <c r="J163" s="9">
        <f t="shared" si="299"/>
        <v>0</v>
      </c>
      <c r="K163" s="9">
        <f t="shared" si="299"/>
        <v>0</v>
      </c>
      <c r="L163" s="9">
        <f t="shared" si="299"/>
        <v>0</v>
      </c>
      <c r="M163" s="9">
        <f t="shared" si="299"/>
        <v>0</v>
      </c>
      <c r="N163" s="9">
        <f t="shared" si="299"/>
        <v>0</v>
      </c>
      <c r="O163" s="9">
        <f t="shared" si="299"/>
        <v>0</v>
      </c>
      <c r="P163" s="9">
        <f t="shared" ref="P163:Q163" si="300">P594</f>
        <v>0</v>
      </c>
      <c r="Q163" s="9">
        <f t="shared" si="300"/>
        <v>0</v>
      </c>
      <c r="R163" s="9">
        <f t="shared" ref="R163:S163" si="301">R594</f>
        <v>0</v>
      </c>
      <c r="S163" s="61">
        <f t="shared" si="301"/>
        <v>0</v>
      </c>
    </row>
    <row r="164" spans="1:23" x14ac:dyDescent="0.2">
      <c r="A164" s="54"/>
      <c r="B164" s="9"/>
      <c r="C164" s="9"/>
      <c r="D164" s="9"/>
      <c r="F164" s="189"/>
      <c r="G164" s="361"/>
      <c r="H164" s="9"/>
      <c r="I164" s="85"/>
      <c r="J164" s="9"/>
      <c r="K164" s="9"/>
      <c r="L164" s="9"/>
      <c r="M164" s="9"/>
      <c r="N164" s="9"/>
      <c r="O164" s="9"/>
      <c r="P164" s="9"/>
      <c r="Q164" s="9"/>
      <c r="R164" s="9"/>
      <c r="S164" s="61"/>
    </row>
    <row r="165" spans="1:23" s="39" customFormat="1" x14ac:dyDescent="0.2">
      <c r="A165" s="128">
        <f>A154-A159-A160+A161++A162-A163</f>
        <v>20767000</v>
      </c>
      <c r="B165" s="280">
        <f>B154-B159-B160+B161++B162-B163</f>
        <v>21756600</v>
      </c>
      <c r="C165" s="280">
        <f>C154-C159-C160+C161++C162-C163</f>
        <v>22400900</v>
      </c>
      <c r="D165" s="280">
        <f>D154-D159-D160+D161++D162-D163</f>
        <v>23578400</v>
      </c>
      <c r="E165" s="515">
        <f t="shared" ref="E165" si="302">E154-E159-E160+E161++E162-E163</f>
        <v>25085300</v>
      </c>
      <c r="F165" s="362"/>
      <c r="G165" s="363" t="s">
        <v>2447</v>
      </c>
      <c r="H165" s="280">
        <f t="shared" ref="H165:O165" si="303">H154-H159-H160+H161++H162-H163</f>
        <v>26165700</v>
      </c>
      <c r="I165" s="278">
        <f>IF(E165=H165,0,IF(E165=0,100,(H165-E165)/E165*100))</f>
        <v>4.3069048406835879</v>
      </c>
      <c r="J165" s="280">
        <f t="shared" si="303"/>
        <v>26089300</v>
      </c>
      <c r="K165" s="280">
        <f t="shared" si="303"/>
        <v>26819600</v>
      </c>
      <c r="L165" s="280">
        <f t="shared" si="303"/>
        <v>27571100</v>
      </c>
      <c r="M165" s="280">
        <f t="shared" si="303"/>
        <v>28344100</v>
      </c>
      <c r="N165" s="280">
        <f t="shared" si="303"/>
        <v>29139600</v>
      </c>
      <c r="O165" s="280">
        <f t="shared" si="303"/>
        <v>29958000</v>
      </c>
      <c r="P165" s="280">
        <f t="shared" ref="P165:Q165" si="304">P154-P159-P160+P161++P162-P163</f>
        <v>30800100</v>
      </c>
      <c r="Q165" s="280">
        <f t="shared" si="304"/>
        <v>31666600</v>
      </c>
      <c r="R165" s="280">
        <f t="shared" ref="R165:S165" si="305">R154-R159-R160+R161++R162-R163</f>
        <v>32558000</v>
      </c>
      <c r="S165" s="282">
        <f t="shared" si="305"/>
        <v>33475200</v>
      </c>
      <c r="U165" s="34"/>
      <c r="W165" s="34"/>
    </row>
    <row r="166" spans="1:23" ht="13.5" thickBot="1" x14ac:dyDescent="0.25">
      <c r="A166" s="26"/>
      <c r="B166" s="37"/>
      <c r="C166" s="37"/>
      <c r="D166" s="37"/>
      <c r="E166" s="121"/>
      <c r="F166" s="190"/>
      <c r="G166" s="259"/>
      <c r="H166" s="23"/>
      <c r="I166" s="275"/>
      <c r="J166" s="23"/>
      <c r="K166" s="23"/>
      <c r="L166" s="23"/>
      <c r="M166" s="23"/>
      <c r="N166" s="23"/>
      <c r="O166" s="23"/>
      <c r="P166" s="23"/>
      <c r="Q166" s="23"/>
      <c r="R166" s="23"/>
      <c r="S166" s="112"/>
    </row>
    <row r="167" spans="1:23" ht="13.5" thickTop="1" x14ac:dyDescent="0.2">
      <c r="A167" s="46"/>
      <c r="B167" s="46"/>
      <c r="F167" s="189"/>
      <c r="G167" s="55"/>
      <c r="I167" s="70"/>
    </row>
    <row r="168" spans="1:23" ht="13.5" thickBot="1" x14ac:dyDescent="0.25">
      <c r="A168" s="27"/>
      <c r="B168" s="27"/>
      <c r="C168" s="27"/>
      <c r="D168" s="27"/>
      <c r="F168" s="189"/>
      <c r="G168" s="84"/>
      <c r="H168" s="46"/>
      <c r="I168" s="2234"/>
      <c r="J168" s="46"/>
      <c r="K168" s="46"/>
      <c r="L168" s="46"/>
      <c r="M168" s="46"/>
      <c r="N168" s="46"/>
      <c r="O168" s="46"/>
      <c r="P168" s="46"/>
      <c r="Q168" s="46"/>
      <c r="R168" s="46"/>
      <c r="S168" s="46"/>
    </row>
    <row r="169" spans="1:23" s="38" customFormat="1" ht="18.75" customHeight="1" thickTop="1" thickBot="1" x14ac:dyDescent="0.3">
      <c r="A169" s="2588" t="s">
        <v>787</v>
      </c>
      <c r="B169" s="2589"/>
      <c r="C169" s="2589"/>
      <c r="D169" s="2589"/>
      <c r="E169" s="2589"/>
      <c r="F169" s="2589"/>
      <c r="G169" s="2589"/>
      <c r="H169" s="2589"/>
      <c r="I169" s="2589"/>
      <c r="J169" s="2589"/>
      <c r="K169" s="2589"/>
      <c r="L169" s="2589"/>
      <c r="M169" s="2589"/>
      <c r="N169" s="2589"/>
      <c r="O169" s="2589"/>
      <c r="P169" s="2589"/>
      <c r="Q169" s="2589"/>
      <c r="R169" s="2589"/>
      <c r="S169" s="2590"/>
      <c r="U169" s="34"/>
      <c r="W169" s="34"/>
    </row>
    <row r="170" spans="1:23" s="39" customFormat="1" x14ac:dyDescent="0.2">
      <c r="A170" s="2620" t="s">
        <v>1824</v>
      </c>
      <c r="B170" s="2621"/>
      <c r="C170" s="2621"/>
      <c r="D170" s="2621"/>
      <c r="E170" s="2622"/>
      <c r="F170" s="150" t="s">
        <v>2616</v>
      </c>
      <c r="G170" s="126" t="s">
        <v>2213</v>
      </c>
      <c r="H170" s="2617" t="s">
        <v>2215</v>
      </c>
      <c r="I170" s="2618"/>
      <c r="J170" s="2618"/>
      <c r="K170" s="2618"/>
      <c r="L170" s="2618"/>
      <c r="M170" s="2618"/>
      <c r="N170" s="2618"/>
      <c r="O170" s="2618"/>
      <c r="P170" s="2618"/>
      <c r="Q170" s="2618"/>
      <c r="R170" s="2618"/>
      <c r="S170" s="2619"/>
      <c r="U170" s="34"/>
      <c r="W170" s="34"/>
    </row>
    <row r="171" spans="1:23" ht="13.5" thickBot="1" x14ac:dyDescent="0.25">
      <c r="A171" s="541" t="str">
        <f>A3</f>
        <v>2012/13</v>
      </c>
      <c r="B171" s="28" t="str">
        <f>B3</f>
        <v>2013/14</v>
      </c>
      <c r="C171" s="40" t="str">
        <f>C3</f>
        <v>2014/15</v>
      </c>
      <c r="D171" s="40" t="str">
        <f>D3</f>
        <v>2015/16</v>
      </c>
      <c r="E171" s="40" t="str">
        <f>E3</f>
        <v>2016/17</v>
      </c>
      <c r="F171" s="40" t="s">
        <v>2617</v>
      </c>
      <c r="G171" s="41"/>
      <c r="H171" s="40" t="str">
        <f>H3</f>
        <v>2017/18</v>
      </c>
      <c r="I171" s="1459" t="s">
        <v>492</v>
      </c>
      <c r="J171" s="40" t="str">
        <f t="shared" ref="J171:S171" si="306">J3</f>
        <v>2018/19</v>
      </c>
      <c r="K171" s="40" t="str">
        <f t="shared" si="306"/>
        <v>2019/20</v>
      </c>
      <c r="L171" s="40" t="str">
        <f t="shared" si="306"/>
        <v>2020/21</v>
      </c>
      <c r="M171" s="40" t="str">
        <f t="shared" si="306"/>
        <v>2021/22</v>
      </c>
      <c r="N171" s="40" t="str">
        <f t="shared" si="306"/>
        <v>2022/23</v>
      </c>
      <c r="O171" s="40" t="str">
        <f t="shared" si="306"/>
        <v>2023/24</v>
      </c>
      <c r="P171" s="40" t="str">
        <f t="shared" si="306"/>
        <v>2024/25</v>
      </c>
      <c r="Q171" s="28" t="str">
        <f t="shared" si="306"/>
        <v>2025/26</v>
      </c>
      <c r="R171" s="28" t="str">
        <f t="shared" si="306"/>
        <v>2026/27</v>
      </c>
      <c r="S171" s="1620" t="str">
        <f t="shared" si="306"/>
        <v>2027/28</v>
      </c>
    </row>
    <row r="172" spans="1:23" x14ac:dyDescent="0.2">
      <c r="A172" s="54"/>
      <c r="B172" s="9"/>
      <c r="C172" s="9"/>
      <c r="D172" s="9"/>
      <c r="E172" s="9"/>
      <c r="F172" s="175"/>
      <c r="G172" s="27"/>
      <c r="H172" s="9"/>
      <c r="I172" s="85"/>
      <c r="J172" s="9"/>
      <c r="K172" s="9"/>
      <c r="L172" s="9"/>
      <c r="M172" s="9"/>
      <c r="N172" s="9"/>
      <c r="O172" s="9"/>
      <c r="P172" s="9"/>
      <c r="Q172" s="9"/>
      <c r="R172" s="9"/>
      <c r="S172" s="61"/>
    </row>
    <row r="173" spans="1:23" x14ac:dyDescent="0.2">
      <c r="A173" s="54"/>
      <c r="B173" s="9"/>
      <c r="C173" s="9"/>
      <c r="D173" s="9"/>
      <c r="E173" s="9"/>
      <c r="F173" s="175"/>
      <c r="G173" s="91" t="s">
        <v>1056</v>
      </c>
      <c r="H173" s="9"/>
      <c r="I173" s="85"/>
      <c r="J173" s="9"/>
      <c r="K173" s="9"/>
      <c r="L173" s="9"/>
      <c r="M173" s="9"/>
      <c r="N173" s="9"/>
      <c r="O173" s="9"/>
      <c r="P173" s="9"/>
      <c r="Q173" s="9"/>
      <c r="R173" s="9"/>
      <c r="S173" s="61"/>
    </row>
    <row r="174" spans="1:23" x14ac:dyDescent="0.2">
      <c r="A174" s="54"/>
      <c r="B174" s="9"/>
      <c r="C174" s="9"/>
      <c r="D174" s="9"/>
      <c r="E174" s="9"/>
      <c r="F174" s="175"/>
      <c r="G174" s="27"/>
      <c r="H174" s="9"/>
      <c r="I174" s="85"/>
      <c r="J174" s="9"/>
      <c r="K174" s="9"/>
      <c r="L174" s="9"/>
      <c r="M174" s="9"/>
      <c r="N174" s="9"/>
      <c r="O174" s="9"/>
      <c r="P174" s="9"/>
      <c r="Q174" s="9"/>
      <c r="R174" s="9"/>
      <c r="S174" s="61"/>
    </row>
    <row r="175" spans="1:23" x14ac:dyDescent="0.2">
      <c r="A175" s="54"/>
      <c r="B175" s="9"/>
      <c r="D175" s="9"/>
      <c r="E175" s="9"/>
      <c r="F175" s="239"/>
      <c r="G175" s="63" t="s">
        <v>2829</v>
      </c>
      <c r="H175" s="9"/>
      <c r="I175" s="85"/>
      <c r="J175" s="9"/>
      <c r="K175" s="9"/>
      <c r="L175" s="9"/>
      <c r="M175" s="9"/>
      <c r="N175" s="9"/>
      <c r="O175" s="9"/>
      <c r="P175" s="9"/>
      <c r="Q175" s="9"/>
      <c r="R175" s="9"/>
      <c r="S175" s="61"/>
    </row>
    <row r="176" spans="1:23" x14ac:dyDescent="0.2">
      <c r="A176" s="54">
        <f>ROUND(SUM(A604:A606),-3)</f>
        <v>58000</v>
      </c>
      <c r="B176" s="9">
        <f>SUM(B604:B606)</f>
        <v>78500</v>
      </c>
      <c r="C176" s="46">
        <f>SUM(C604:C606)</f>
        <v>94000</v>
      </c>
      <c r="D176" s="9">
        <f>SUM(D604:D606)</f>
        <v>101800</v>
      </c>
      <c r="E176" s="9">
        <f t="shared" ref="E176" si="307">SUM(E604:E606)</f>
        <v>98300</v>
      </c>
      <c r="F176" s="239" t="s">
        <v>1790</v>
      </c>
      <c r="G176" s="9" t="s">
        <v>2558</v>
      </c>
      <c r="H176" s="9">
        <f t="shared" ref="H176:P176" si="308">SUM(H604:H606)</f>
        <v>99600</v>
      </c>
      <c r="I176" s="85">
        <f>IF(E176=H176,0,IF(E176=0,100,(H176-E176)/E176*100))</f>
        <v>1.3224821973550356</v>
      </c>
      <c r="J176" s="9">
        <f t="shared" si="308"/>
        <v>93200</v>
      </c>
      <c r="K176" s="9">
        <f t="shared" si="308"/>
        <v>95600</v>
      </c>
      <c r="L176" s="9">
        <f t="shared" si="308"/>
        <v>98100</v>
      </c>
      <c r="M176" s="9">
        <f t="shared" si="308"/>
        <v>100600</v>
      </c>
      <c r="N176" s="9">
        <f t="shared" si="308"/>
        <v>103200</v>
      </c>
      <c r="O176" s="9">
        <f t="shared" si="308"/>
        <v>105800</v>
      </c>
      <c r="P176" s="9">
        <f t="shared" si="308"/>
        <v>108500</v>
      </c>
      <c r="Q176" s="9">
        <f t="shared" ref="Q176" si="309">SUM(Q604:Q606)</f>
        <v>111300</v>
      </c>
      <c r="R176" s="9">
        <f t="shared" ref="R176" si="310">SUM(R604:R606)</f>
        <v>114100</v>
      </c>
      <c r="S176" s="47">
        <f t="shared" ref="S176" si="311">SUM(S604:S606)</f>
        <v>117000</v>
      </c>
    </row>
    <row r="177" spans="1:19" x14ac:dyDescent="0.2">
      <c r="A177" s="54">
        <f>ROUND(A607,-3)</f>
        <v>26000</v>
      </c>
      <c r="B177" s="9">
        <f>B607</f>
        <v>28900</v>
      </c>
      <c r="C177" s="46">
        <f>SUM(C607:C610)</f>
        <v>27000</v>
      </c>
      <c r="D177" s="9">
        <f>SUM(D607:D610)</f>
        <v>28900</v>
      </c>
      <c r="E177" s="9">
        <f t="shared" ref="E177" si="312">SUM(E607:E610)</f>
        <v>31800</v>
      </c>
      <c r="F177" s="239" t="s">
        <v>1790</v>
      </c>
      <c r="G177" s="9" t="s">
        <v>1478</v>
      </c>
      <c r="H177" s="9">
        <f t="shared" ref="H177:O177" si="313">SUM(H607:H610)</f>
        <v>31400</v>
      </c>
      <c r="I177" s="85">
        <f>IF(E177=H177,0,IF(E177=0,100,(H177-E177)/E177*100))</f>
        <v>-1.257861635220126</v>
      </c>
      <c r="J177" s="9">
        <f t="shared" si="313"/>
        <v>32000</v>
      </c>
      <c r="K177" s="9">
        <f t="shared" si="313"/>
        <v>33000</v>
      </c>
      <c r="L177" s="9">
        <f t="shared" si="313"/>
        <v>34100</v>
      </c>
      <c r="M177" s="9">
        <f t="shared" si="313"/>
        <v>35200</v>
      </c>
      <c r="N177" s="9">
        <f t="shared" si="313"/>
        <v>36300</v>
      </c>
      <c r="O177" s="9">
        <f t="shared" si="313"/>
        <v>37400</v>
      </c>
      <c r="P177" s="9">
        <f t="shared" ref="P177:Q177" si="314">SUM(P607:P610)</f>
        <v>38500</v>
      </c>
      <c r="Q177" s="9">
        <f t="shared" si="314"/>
        <v>39700</v>
      </c>
      <c r="R177" s="9">
        <f t="shared" ref="R177" si="315">SUM(R607:R610)</f>
        <v>40900</v>
      </c>
      <c r="S177" s="47">
        <f t="shared" ref="S177" si="316">SUM(S607:S610)</f>
        <v>42100</v>
      </c>
    </row>
    <row r="178" spans="1:19" x14ac:dyDescent="0.2">
      <c r="A178" s="54">
        <f>ROUND(SUM(A611:A613),-3)</f>
        <v>11000</v>
      </c>
      <c r="B178" s="9">
        <f>SUM(B611:B613)</f>
        <v>30300</v>
      </c>
      <c r="C178" s="46">
        <f>SUM(C611:C613)</f>
        <v>28900</v>
      </c>
      <c r="D178" s="9">
        <f>SUM(D611:D613)</f>
        <v>66200</v>
      </c>
      <c r="E178" s="9">
        <f>SUM(E611:E613)</f>
        <v>58200</v>
      </c>
      <c r="F178" s="239" t="s">
        <v>1790</v>
      </c>
      <c r="G178" s="9" t="s">
        <v>2388</v>
      </c>
      <c r="H178" s="9">
        <f>SUM(H611:H613)</f>
        <v>50800</v>
      </c>
      <c r="I178" s="85">
        <f>IF(E178=H178,0,IF(E178=0,100,(H178-E178)/E178*100))</f>
        <v>-12.714776632302405</v>
      </c>
      <c r="J178" s="9">
        <f t="shared" ref="J178:R178" si="317">SUM(J611:J613)</f>
        <v>51300</v>
      </c>
      <c r="K178" s="9">
        <f t="shared" si="317"/>
        <v>53000</v>
      </c>
      <c r="L178" s="9">
        <f t="shared" si="317"/>
        <v>54800</v>
      </c>
      <c r="M178" s="9">
        <f t="shared" si="317"/>
        <v>56600</v>
      </c>
      <c r="N178" s="9">
        <f t="shared" si="317"/>
        <v>58500</v>
      </c>
      <c r="O178" s="9">
        <f t="shared" si="317"/>
        <v>60400</v>
      </c>
      <c r="P178" s="9">
        <f t="shared" si="317"/>
        <v>62400</v>
      </c>
      <c r="Q178" s="9">
        <f t="shared" si="317"/>
        <v>64400</v>
      </c>
      <c r="R178" s="9">
        <f t="shared" si="317"/>
        <v>66500</v>
      </c>
      <c r="S178" s="47">
        <f t="shared" ref="S178" si="318">SUM(S611:S613)</f>
        <v>68700</v>
      </c>
    </row>
    <row r="179" spans="1:19" x14ac:dyDescent="0.2">
      <c r="A179" s="54"/>
      <c r="B179" s="9"/>
      <c r="D179" s="9"/>
      <c r="E179" s="9"/>
      <c r="F179" s="240"/>
      <c r="G179" s="9"/>
      <c r="H179" s="9"/>
      <c r="I179" s="85"/>
      <c r="J179" s="9"/>
      <c r="K179" s="9"/>
      <c r="L179" s="9"/>
      <c r="M179" s="9"/>
      <c r="N179" s="9"/>
      <c r="O179" s="9"/>
      <c r="P179" s="9"/>
      <c r="Q179" s="9"/>
      <c r="R179" s="9"/>
      <c r="S179" s="47"/>
    </row>
    <row r="180" spans="1:19" x14ac:dyDescent="0.2">
      <c r="A180" s="54"/>
      <c r="B180" s="9"/>
      <c r="D180" s="9"/>
      <c r="E180" s="9"/>
      <c r="F180" s="240"/>
      <c r="G180" s="21" t="s">
        <v>281</v>
      </c>
      <c r="H180" s="9"/>
      <c r="I180" s="85"/>
      <c r="J180" s="9"/>
      <c r="K180" s="9"/>
      <c r="L180" s="9"/>
      <c r="M180" s="9"/>
      <c r="N180" s="9"/>
      <c r="O180" s="9"/>
      <c r="P180" s="9"/>
      <c r="Q180" s="9"/>
      <c r="R180" s="9"/>
      <c r="S180" s="47"/>
    </row>
    <row r="181" spans="1:19" x14ac:dyDescent="0.2">
      <c r="A181" s="54">
        <f>ROUND(SUM(A616:A617),-3)</f>
        <v>61000</v>
      </c>
      <c r="B181" s="9">
        <f>SUM(B616:B617)</f>
        <v>54000</v>
      </c>
      <c r="C181" s="46">
        <f>SUM(C616:C617)</f>
        <v>54000</v>
      </c>
      <c r="D181" s="9">
        <f>SUM(D616:D617)</f>
        <v>77100</v>
      </c>
      <c r="E181" s="9">
        <f t="shared" ref="E181" si="319">SUM(E616:E617)</f>
        <v>71900</v>
      </c>
      <c r="F181" s="240" t="s">
        <v>1790</v>
      </c>
      <c r="G181" s="9" t="s">
        <v>1693</v>
      </c>
      <c r="H181" s="9">
        <f t="shared" ref="H181:O181" si="320">SUM(H616:H617)</f>
        <v>54000</v>
      </c>
      <c r="I181" s="85">
        <f>IF(E181=H181,0,IF(E181=0,100,(H181-E181)/E181*100))</f>
        <v>-24.895688456189152</v>
      </c>
      <c r="J181" s="9">
        <f t="shared" si="320"/>
        <v>54000</v>
      </c>
      <c r="K181" s="9">
        <f t="shared" si="320"/>
        <v>54000</v>
      </c>
      <c r="L181" s="9">
        <f t="shared" si="320"/>
        <v>54000</v>
      </c>
      <c r="M181" s="9">
        <f t="shared" si="320"/>
        <v>54000</v>
      </c>
      <c r="N181" s="9">
        <f t="shared" si="320"/>
        <v>54000</v>
      </c>
      <c r="O181" s="9">
        <f t="shared" si="320"/>
        <v>54000</v>
      </c>
      <c r="P181" s="9">
        <f t="shared" ref="P181:Q181" si="321">SUM(P616:P617)</f>
        <v>54000</v>
      </c>
      <c r="Q181" s="9">
        <f t="shared" si="321"/>
        <v>54000</v>
      </c>
      <c r="R181" s="9">
        <f t="shared" ref="R181" si="322">SUM(R616:R617)</f>
        <v>54000</v>
      </c>
      <c r="S181" s="47">
        <f t="shared" ref="S181" si="323">SUM(S616:S617)</f>
        <v>54000</v>
      </c>
    </row>
    <row r="182" spans="1:19" ht="13.5" thickBot="1" x14ac:dyDescent="0.25">
      <c r="A182" s="24"/>
      <c r="B182" s="21"/>
      <c r="C182" s="21"/>
      <c r="D182" s="21"/>
      <c r="E182" s="9"/>
      <c r="F182" s="239"/>
      <c r="G182" s="27"/>
      <c r="H182" s="9"/>
      <c r="I182" s="126"/>
      <c r="J182" s="9"/>
      <c r="K182" s="9"/>
      <c r="L182" s="9"/>
      <c r="M182" s="9"/>
      <c r="N182" s="9"/>
      <c r="O182" s="9"/>
      <c r="P182" s="9"/>
      <c r="Q182" s="9"/>
      <c r="R182" s="9"/>
      <c r="S182" s="47"/>
    </row>
    <row r="183" spans="1:19" x14ac:dyDescent="0.2">
      <c r="A183" s="52">
        <f>SUM(A173:A182)</f>
        <v>156000</v>
      </c>
      <c r="B183" s="16">
        <f>SUM(B173:B182)</f>
        <v>191700</v>
      </c>
      <c r="C183" s="16">
        <f>SUM(C173:C182)</f>
        <v>203900</v>
      </c>
      <c r="D183" s="16">
        <f>SUM(D173:D182)</f>
        <v>274000</v>
      </c>
      <c r="E183" s="16">
        <f>SUM(E173:E182)</f>
        <v>260200</v>
      </c>
      <c r="F183" s="239"/>
      <c r="G183" s="59" t="s">
        <v>2561</v>
      </c>
      <c r="H183" s="16">
        <f>SUM(H173:H182)</f>
        <v>235800</v>
      </c>
      <c r="I183" s="127">
        <f>IF(E183=H183,0,IF(E183=0,100,(H183-E183)/E183*100))</f>
        <v>-9.3774019984627213</v>
      </c>
      <c r="J183" s="16">
        <f t="shared" ref="J183:R183" si="324">SUM(J173:J182)</f>
        <v>230500</v>
      </c>
      <c r="K183" s="16">
        <f t="shared" si="324"/>
        <v>235600</v>
      </c>
      <c r="L183" s="16">
        <f t="shared" si="324"/>
        <v>241000</v>
      </c>
      <c r="M183" s="16">
        <f t="shared" si="324"/>
        <v>246400</v>
      </c>
      <c r="N183" s="16">
        <f t="shared" si="324"/>
        <v>252000</v>
      </c>
      <c r="O183" s="16">
        <f t="shared" si="324"/>
        <v>257600</v>
      </c>
      <c r="P183" s="16">
        <f t="shared" si="324"/>
        <v>263400</v>
      </c>
      <c r="Q183" s="16">
        <f t="shared" si="324"/>
        <v>269400</v>
      </c>
      <c r="R183" s="16">
        <f t="shared" si="324"/>
        <v>275500</v>
      </c>
      <c r="S183" s="2342">
        <f t="shared" ref="S183" si="325">SUM(S173:S182)</f>
        <v>281800</v>
      </c>
    </row>
    <row r="184" spans="1:19" x14ac:dyDescent="0.2">
      <c r="A184" s="54"/>
      <c r="B184" s="9"/>
      <c r="C184" s="9"/>
      <c r="D184" s="9"/>
      <c r="E184" s="9"/>
      <c r="F184" s="239"/>
      <c r="G184" s="59"/>
      <c r="H184" s="9"/>
      <c r="I184" s="85"/>
      <c r="J184" s="9"/>
      <c r="K184" s="9"/>
      <c r="L184" s="9"/>
      <c r="M184" s="9"/>
      <c r="N184" s="9"/>
      <c r="O184" s="9"/>
      <c r="P184" s="9"/>
      <c r="Q184" s="9"/>
      <c r="R184" s="9"/>
      <c r="S184" s="47"/>
    </row>
    <row r="185" spans="1:19" x14ac:dyDescent="0.2">
      <c r="A185" s="54"/>
      <c r="B185" s="9"/>
      <c r="C185" s="9"/>
      <c r="D185" s="9"/>
      <c r="E185" s="9"/>
      <c r="F185" s="239"/>
      <c r="G185" s="91" t="s">
        <v>2169</v>
      </c>
      <c r="H185" s="9"/>
      <c r="I185" s="85"/>
      <c r="J185" s="9"/>
      <c r="K185" s="9"/>
      <c r="L185" s="9"/>
      <c r="M185" s="9"/>
      <c r="N185" s="9"/>
      <c r="O185" s="9"/>
      <c r="P185" s="9"/>
      <c r="Q185" s="9"/>
      <c r="R185" s="9"/>
      <c r="S185" s="47"/>
    </row>
    <row r="186" spans="1:19" x14ac:dyDescent="0.2">
      <c r="A186" s="54"/>
      <c r="B186" s="9"/>
      <c r="C186" s="9"/>
      <c r="D186" s="9"/>
      <c r="E186" s="9"/>
      <c r="F186" s="239"/>
      <c r="G186" s="55"/>
      <c r="H186" s="9"/>
      <c r="I186" s="85"/>
      <c r="J186" s="9"/>
      <c r="K186" s="9"/>
      <c r="L186" s="9"/>
      <c r="M186" s="9"/>
      <c r="N186" s="9"/>
      <c r="O186" s="9"/>
      <c r="P186" s="9"/>
      <c r="Q186" s="9"/>
      <c r="R186" s="9"/>
      <c r="S186" s="47"/>
    </row>
    <row r="187" spans="1:19" x14ac:dyDescent="0.2">
      <c r="A187" s="54">
        <f>ROUND(SUM(A621:A623),-3)</f>
        <v>1078000</v>
      </c>
      <c r="B187" s="9">
        <f>SUM(B621:B623)</f>
        <v>903000</v>
      </c>
      <c r="C187" s="46">
        <f>SUM(C621:C623)</f>
        <v>1026800</v>
      </c>
      <c r="D187" s="9">
        <f>SUM(D621:D623)</f>
        <v>1021700</v>
      </c>
      <c r="E187" s="9">
        <f>SUM(E621:E623)</f>
        <v>1029300</v>
      </c>
      <c r="F187" s="240" t="s">
        <v>1791</v>
      </c>
      <c r="G187" s="257" t="s">
        <v>1228</v>
      </c>
      <c r="H187" s="9">
        <f>SUM(H621:H623)</f>
        <v>1063000</v>
      </c>
      <c r="I187" s="85">
        <f>IF(E187=H187,0,IF(E187=0,100,(H187-E187)/E187*100))</f>
        <v>3.2740697561449532</v>
      </c>
      <c r="J187" s="9">
        <f t="shared" ref="J187:S187" si="326">SUM(J621:J623)</f>
        <v>1090000</v>
      </c>
      <c r="K187" s="9">
        <f t="shared" si="326"/>
        <v>1115100</v>
      </c>
      <c r="L187" s="9">
        <f t="shared" si="326"/>
        <v>1140700</v>
      </c>
      <c r="M187" s="9">
        <f t="shared" si="326"/>
        <v>1166900</v>
      </c>
      <c r="N187" s="9">
        <f t="shared" si="326"/>
        <v>1193700</v>
      </c>
      <c r="O187" s="9">
        <f t="shared" si="326"/>
        <v>1221100</v>
      </c>
      <c r="P187" s="9">
        <f t="shared" si="326"/>
        <v>1249200</v>
      </c>
      <c r="Q187" s="9">
        <f t="shared" si="326"/>
        <v>1277900</v>
      </c>
      <c r="R187" s="9">
        <f t="shared" si="326"/>
        <v>1307300</v>
      </c>
      <c r="S187" s="47">
        <f t="shared" si="326"/>
        <v>1337300</v>
      </c>
    </row>
    <row r="188" spans="1:19" x14ac:dyDescent="0.2">
      <c r="A188" s="54">
        <f>ROUND(SUM(A624:A635),-3)</f>
        <v>85000</v>
      </c>
      <c r="B188" s="9">
        <f>SUM(B624:B635)</f>
        <v>85000</v>
      </c>
      <c r="C188" s="46">
        <f>SUM(C624:C635)</f>
        <v>83300</v>
      </c>
      <c r="D188" s="9">
        <f>SUM(D624:D635)</f>
        <v>89700</v>
      </c>
      <c r="E188" s="9">
        <f>SUM(E624:E635)-E635</f>
        <v>89500</v>
      </c>
      <c r="F188" s="240" t="s">
        <v>1791</v>
      </c>
      <c r="G188" s="257" t="s">
        <v>597</v>
      </c>
      <c r="H188" s="9">
        <f>SUM(H624:H635)</f>
        <v>96300</v>
      </c>
      <c r="I188" s="85">
        <f>IF(E188=H188,0,IF(E188=0,100,(H188-E188)/E188*100))</f>
        <v>7.5977653631284916</v>
      </c>
      <c r="J188" s="9">
        <f t="shared" ref="J188:S188" si="327">SUM(J624:J635)</f>
        <v>98400</v>
      </c>
      <c r="K188" s="9">
        <f t="shared" si="327"/>
        <v>101200</v>
      </c>
      <c r="L188" s="9">
        <f t="shared" si="327"/>
        <v>104300</v>
      </c>
      <c r="M188" s="9">
        <f t="shared" si="327"/>
        <v>107400</v>
      </c>
      <c r="N188" s="9">
        <f t="shared" si="327"/>
        <v>110500</v>
      </c>
      <c r="O188" s="9">
        <f t="shared" si="327"/>
        <v>113600</v>
      </c>
      <c r="P188" s="9">
        <f t="shared" si="327"/>
        <v>116800</v>
      </c>
      <c r="Q188" s="9">
        <f t="shared" si="327"/>
        <v>120200</v>
      </c>
      <c r="R188" s="9">
        <f t="shared" si="327"/>
        <v>123600</v>
      </c>
      <c r="S188" s="47">
        <f t="shared" si="327"/>
        <v>127100</v>
      </c>
    </row>
    <row r="189" spans="1:19" x14ac:dyDescent="0.2">
      <c r="A189" s="54">
        <f>ROUND(SUM(A636:A639),-3)</f>
        <v>25000</v>
      </c>
      <c r="B189" s="9">
        <f>SUM(B636:B639)</f>
        <v>46800</v>
      </c>
      <c r="C189" s="46">
        <f>SUM(C636:C639)</f>
        <v>44500</v>
      </c>
      <c r="D189" s="9">
        <f>SUM(D636:D639)</f>
        <v>83400</v>
      </c>
      <c r="E189" s="9">
        <f>SUM(E636:E639)</f>
        <v>82300</v>
      </c>
      <c r="F189" s="240" t="s">
        <v>1792</v>
      </c>
      <c r="G189" s="257" t="s">
        <v>1765</v>
      </c>
      <c r="H189" s="9">
        <f>SUM(H636:H639)</f>
        <v>75100</v>
      </c>
      <c r="I189" s="85">
        <f>IF(E189=H189,0,IF(E189=0,100,(H189-E189)/E189*100))</f>
        <v>-8.7484811664641562</v>
      </c>
      <c r="J189" s="9">
        <f t="shared" ref="J189:S189" si="328">SUM(J636:J639)</f>
        <v>72000</v>
      </c>
      <c r="K189" s="9">
        <f t="shared" si="328"/>
        <v>73900</v>
      </c>
      <c r="L189" s="9">
        <f t="shared" si="328"/>
        <v>75800</v>
      </c>
      <c r="M189" s="9">
        <f t="shared" si="328"/>
        <v>77800</v>
      </c>
      <c r="N189" s="9">
        <f t="shared" si="328"/>
        <v>79900</v>
      </c>
      <c r="O189" s="9">
        <f t="shared" si="328"/>
        <v>82000</v>
      </c>
      <c r="P189" s="9">
        <f t="shared" si="328"/>
        <v>84200</v>
      </c>
      <c r="Q189" s="9">
        <f t="shared" si="328"/>
        <v>86400</v>
      </c>
      <c r="R189" s="9">
        <f t="shared" si="328"/>
        <v>88600</v>
      </c>
      <c r="S189" s="47">
        <f t="shared" si="328"/>
        <v>91000</v>
      </c>
    </row>
    <row r="190" spans="1:19" x14ac:dyDescent="0.2">
      <c r="A190" s="54">
        <f>ROUND(SUM(A640:A642),-3)</f>
        <v>89000</v>
      </c>
      <c r="B190" s="9">
        <f>SUM(B640:B642)</f>
        <v>117300</v>
      </c>
      <c r="C190" s="46">
        <f>SUM(C640:C642)</f>
        <v>97300</v>
      </c>
      <c r="D190" s="9">
        <f>SUM(D640:D642)</f>
        <v>99300</v>
      </c>
      <c r="E190" s="9">
        <f>SUM(E640:E642)</f>
        <v>101600</v>
      </c>
      <c r="F190" s="240" t="s">
        <v>1792</v>
      </c>
      <c r="G190" s="257" t="s">
        <v>2010</v>
      </c>
      <c r="H190" s="9">
        <f>SUM(H640:H642)</f>
        <v>112500</v>
      </c>
      <c r="I190" s="85">
        <f>IF(E190=H190,0,IF(E190=0,100,(H190-E190)/E190*100))</f>
        <v>10.728346456692913</v>
      </c>
      <c r="J190" s="9">
        <f t="shared" ref="J190:S190" si="329">SUM(J640:J642)</f>
        <v>115200</v>
      </c>
      <c r="K190" s="9">
        <f t="shared" si="329"/>
        <v>118200</v>
      </c>
      <c r="L190" s="9">
        <f t="shared" si="329"/>
        <v>121300</v>
      </c>
      <c r="M190" s="9">
        <f t="shared" si="329"/>
        <v>124400</v>
      </c>
      <c r="N190" s="9">
        <f t="shared" si="329"/>
        <v>127600</v>
      </c>
      <c r="O190" s="9">
        <f t="shared" si="329"/>
        <v>130900</v>
      </c>
      <c r="P190" s="9">
        <f t="shared" si="329"/>
        <v>134300</v>
      </c>
      <c r="Q190" s="9">
        <f t="shared" si="329"/>
        <v>137700</v>
      </c>
      <c r="R190" s="9">
        <f t="shared" si="329"/>
        <v>141200</v>
      </c>
      <c r="S190" s="47">
        <f t="shared" si="329"/>
        <v>144800</v>
      </c>
    </row>
    <row r="191" spans="1:19" x14ac:dyDescent="0.2">
      <c r="A191" s="54">
        <f>ROUND(SUM(A643:A644),-3)</f>
        <v>23000</v>
      </c>
      <c r="B191" s="9">
        <f>SUM(B643:B644)</f>
        <v>22200</v>
      </c>
      <c r="C191" s="46">
        <f>SUM(C643:C644)</f>
        <v>30500</v>
      </c>
      <c r="D191" s="9">
        <f>SUM(D643:D644)</f>
        <v>21000</v>
      </c>
      <c r="E191" s="9">
        <f>SUM(E643:E644)</f>
        <v>24500</v>
      </c>
      <c r="F191" s="240" t="s">
        <v>1792</v>
      </c>
      <c r="G191" s="634" t="s">
        <v>3054</v>
      </c>
      <c r="H191" s="9">
        <f>SUM(H643:H644)</f>
        <v>25400</v>
      </c>
      <c r="I191" s="85">
        <f>IF(E191=H191,0,IF(E191=0,100,(H191-E191)/E191*100))</f>
        <v>3.6734693877551026</v>
      </c>
      <c r="J191" s="9">
        <f t="shared" ref="J191:S191" si="330">SUM(J643:J644)</f>
        <v>26000</v>
      </c>
      <c r="K191" s="9">
        <f t="shared" si="330"/>
        <v>26700</v>
      </c>
      <c r="L191" s="9">
        <f t="shared" si="330"/>
        <v>27400</v>
      </c>
      <c r="M191" s="9">
        <f t="shared" si="330"/>
        <v>28100</v>
      </c>
      <c r="N191" s="9">
        <f t="shared" si="330"/>
        <v>28900</v>
      </c>
      <c r="O191" s="9">
        <f t="shared" si="330"/>
        <v>29700</v>
      </c>
      <c r="P191" s="9">
        <f t="shared" si="330"/>
        <v>30500</v>
      </c>
      <c r="Q191" s="9">
        <f t="shared" si="330"/>
        <v>31300</v>
      </c>
      <c r="R191" s="9">
        <f t="shared" si="330"/>
        <v>32100</v>
      </c>
      <c r="S191" s="47">
        <f t="shared" si="330"/>
        <v>33000</v>
      </c>
    </row>
    <row r="192" spans="1:19" x14ac:dyDescent="0.2">
      <c r="A192" s="54"/>
      <c r="B192" s="9"/>
      <c r="D192" s="9"/>
      <c r="E192" s="9">
        <f>E635</f>
        <v>0</v>
      </c>
      <c r="F192" s="577" t="s">
        <v>1791</v>
      </c>
      <c r="G192" s="634" t="s">
        <v>7030</v>
      </c>
      <c r="H192" s="9">
        <v>0</v>
      </c>
      <c r="I192" s="85"/>
      <c r="J192" s="9">
        <v>0</v>
      </c>
      <c r="K192" s="9">
        <v>0</v>
      </c>
      <c r="L192" s="9">
        <v>0</v>
      </c>
      <c r="M192" s="9">
        <v>0</v>
      </c>
      <c r="N192" s="9">
        <v>0</v>
      </c>
      <c r="O192" s="9">
        <v>0</v>
      </c>
      <c r="P192" s="9">
        <v>0</v>
      </c>
      <c r="Q192" s="9">
        <v>0</v>
      </c>
      <c r="R192" s="9">
        <v>0</v>
      </c>
      <c r="S192" s="47">
        <v>0</v>
      </c>
    </row>
    <row r="193" spans="1:23" x14ac:dyDescent="0.2">
      <c r="A193" s="54"/>
      <c r="B193" s="9"/>
      <c r="C193" s="136"/>
      <c r="D193" s="134"/>
      <c r="E193" s="134"/>
      <c r="F193" s="730"/>
      <c r="G193" s="385"/>
      <c r="H193" s="9"/>
      <c r="I193" s="85"/>
      <c r="J193" s="9"/>
      <c r="K193" s="9"/>
      <c r="L193" s="9"/>
      <c r="M193" s="9"/>
      <c r="N193" s="9"/>
      <c r="O193" s="9"/>
      <c r="P193" s="9"/>
      <c r="Q193" s="9"/>
      <c r="R193" s="9"/>
      <c r="S193" s="47"/>
    </row>
    <row r="194" spans="1:23" x14ac:dyDescent="0.2">
      <c r="A194" s="54"/>
      <c r="B194" s="9"/>
      <c r="C194" s="136"/>
      <c r="D194" s="134"/>
      <c r="E194" s="134"/>
      <c r="F194" s="730"/>
      <c r="G194" s="260" t="s">
        <v>1743</v>
      </c>
      <c r="H194" s="9"/>
      <c r="I194" s="85"/>
      <c r="J194" s="9"/>
      <c r="K194" s="9"/>
      <c r="L194" s="9"/>
      <c r="M194" s="9"/>
      <c r="N194" s="9"/>
      <c r="O194" s="9"/>
      <c r="P194" s="9"/>
      <c r="Q194" s="9"/>
      <c r="R194" s="9"/>
      <c r="S194" s="47"/>
    </row>
    <row r="195" spans="1:23" x14ac:dyDescent="0.2">
      <c r="A195" s="54">
        <f>ROUND(A646,-3)</f>
        <v>-4487000</v>
      </c>
      <c r="B195" s="9">
        <f>B646</f>
        <v>-4920000</v>
      </c>
      <c r="C195" s="136">
        <f>C646</f>
        <v>-5057000</v>
      </c>
      <c r="D195" s="134">
        <f>D646</f>
        <v>-5402000</v>
      </c>
      <c r="E195" s="134">
        <f t="shared" ref="E195" si="331">E646</f>
        <v>-5584000</v>
      </c>
      <c r="F195" s="730">
        <v>35021</v>
      </c>
      <c r="G195" s="634" t="s">
        <v>4531</v>
      </c>
      <c r="H195" s="9">
        <f>H646</f>
        <v>-5769000</v>
      </c>
      <c r="I195" s="85">
        <f>IF(E195=H195,0,IF(E195=0,100,(H195-E195)/E195*100))</f>
        <v>3.3130372492836679</v>
      </c>
      <c r="J195" s="9">
        <f t="shared" ref="J195:O195" si="332">J646</f>
        <v>-5901700</v>
      </c>
      <c r="K195" s="9">
        <f t="shared" si="332"/>
        <v>-6050100</v>
      </c>
      <c r="L195" s="9">
        <f t="shared" si="332"/>
        <v>-6201500</v>
      </c>
      <c r="M195" s="9">
        <f t="shared" si="332"/>
        <v>-6356800</v>
      </c>
      <c r="N195" s="9">
        <f t="shared" si="332"/>
        <v>-6466200</v>
      </c>
      <c r="O195" s="9">
        <f t="shared" si="332"/>
        <v>-6627600</v>
      </c>
      <c r="P195" s="9">
        <f t="shared" ref="P195:Q195" si="333">P646</f>
        <v>-6793100</v>
      </c>
      <c r="Q195" s="9">
        <f t="shared" si="333"/>
        <v>-6962800</v>
      </c>
      <c r="R195" s="9">
        <f t="shared" ref="R195" si="334">R646</f>
        <v>-7136900</v>
      </c>
      <c r="S195" s="47">
        <f t="shared" ref="S195" si="335">S646</f>
        <v>-7315600</v>
      </c>
    </row>
    <row r="196" spans="1:23" ht="13.5" thickBot="1" x14ac:dyDescent="0.25">
      <c r="A196" s="24"/>
      <c r="B196" s="21"/>
      <c r="C196" s="21"/>
      <c r="D196" s="21"/>
      <c r="E196" s="9"/>
      <c r="F196" s="175"/>
      <c r="G196" s="27"/>
      <c r="H196" s="9"/>
      <c r="I196" s="126"/>
      <c r="J196" s="9"/>
      <c r="K196" s="9"/>
      <c r="L196" s="9"/>
      <c r="M196" s="9"/>
      <c r="N196" s="9"/>
      <c r="O196" s="9"/>
      <c r="P196" s="9"/>
      <c r="Q196" s="9"/>
      <c r="R196" s="9"/>
      <c r="S196" s="47"/>
    </row>
    <row r="197" spans="1:23" s="39" customFormat="1" x14ac:dyDescent="0.2">
      <c r="A197" s="52">
        <f>SUM(A185:A196)</f>
        <v>-3187000</v>
      </c>
      <c r="B197" s="16">
        <f>SUM(B185:B196)</f>
        <v>-3745700</v>
      </c>
      <c r="C197" s="16">
        <f>SUM(C185:C196)</f>
        <v>-3774600</v>
      </c>
      <c r="D197" s="16">
        <f>SUM(D185:D196)</f>
        <v>-4086900</v>
      </c>
      <c r="E197" s="16">
        <f>SUM(E185:E196)</f>
        <v>-4256800</v>
      </c>
      <c r="F197" s="188"/>
      <c r="G197" s="59" t="s">
        <v>556</v>
      </c>
      <c r="H197" s="16">
        <f>SUM(H185:H196)</f>
        <v>-4396700</v>
      </c>
      <c r="I197" s="127">
        <f>IF(E197=H197,0,IF(E197=0,100,(H197-E197)/E197*100))</f>
        <v>3.2865062958090587</v>
      </c>
      <c r="J197" s="16">
        <f t="shared" ref="J197:R197" si="336">SUM(J185:J196)</f>
        <v>-4500100</v>
      </c>
      <c r="K197" s="16">
        <f t="shared" si="336"/>
        <v>-4615000</v>
      </c>
      <c r="L197" s="16">
        <f t="shared" si="336"/>
        <v>-4732000</v>
      </c>
      <c r="M197" s="16">
        <f t="shared" si="336"/>
        <v>-4852200</v>
      </c>
      <c r="N197" s="16">
        <f t="shared" si="336"/>
        <v>-4925600</v>
      </c>
      <c r="O197" s="16">
        <f t="shared" si="336"/>
        <v>-5050300</v>
      </c>
      <c r="P197" s="16">
        <f t="shared" si="336"/>
        <v>-5178100</v>
      </c>
      <c r="Q197" s="16">
        <f t="shared" si="336"/>
        <v>-5309300</v>
      </c>
      <c r="R197" s="16">
        <f t="shared" si="336"/>
        <v>-5444100</v>
      </c>
      <c r="S197" s="2342">
        <f t="shared" ref="S197" si="337">SUM(S185:S196)</f>
        <v>-5582400</v>
      </c>
      <c r="U197" s="34"/>
      <c r="W197" s="34"/>
    </row>
    <row r="198" spans="1:23" x14ac:dyDescent="0.2">
      <c r="A198" s="54"/>
      <c r="B198" s="9"/>
      <c r="C198" s="9"/>
      <c r="D198" s="9"/>
      <c r="E198" s="9"/>
      <c r="F198" s="177"/>
      <c r="G198" s="55"/>
      <c r="H198" s="21"/>
      <c r="I198" s="85"/>
      <c r="J198" s="9"/>
      <c r="K198" s="9"/>
      <c r="L198" s="9"/>
      <c r="M198" s="9"/>
      <c r="N198" s="9"/>
      <c r="O198" s="9"/>
      <c r="P198" s="9"/>
      <c r="Q198" s="9"/>
      <c r="R198" s="9"/>
      <c r="S198" s="47"/>
    </row>
    <row r="199" spans="1:23" s="39" customFormat="1" x14ac:dyDescent="0.2">
      <c r="A199" s="24">
        <f>A183-A197</f>
        <v>3343000</v>
      </c>
      <c r="B199" s="21">
        <f>B183-B197</f>
        <v>3937400</v>
      </c>
      <c r="C199" s="21">
        <f>C183-C197</f>
        <v>3978500</v>
      </c>
      <c r="D199" s="21">
        <f>D183-D197</f>
        <v>4360900</v>
      </c>
      <c r="E199" s="21">
        <f>E183-E197</f>
        <v>4517000</v>
      </c>
      <c r="F199" s="188"/>
      <c r="G199" s="1161" t="s">
        <v>1002</v>
      </c>
      <c r="H199" s="21">
        <f>H183-H197</f>
        <v>4632500</v>
      </c>
      <c r="I199" s="126">
        <f>IF(E199=H199,0,IF(E199=0,100,(H199-E199)/E199*100))</f>
        <v>2.557006862962143</v>
      </c>
      <c r="J199" s="21">
        <f t="shared" ref="J199:R199" si="338">J183-J197</f>
        <v>4730600</v>
      </c>
      <c r="K199" s="21">
        <f t="shared" si="338"/>
        <v>4850600</v>
      </c>
      <c r="L199" s="21">
        <f t="shared" si="338"/>
        <v>4973000</v>
      </c>
      <c r="M199" s="21">
        <f t="shared" si="338"/>
        <v>5098600</v>
      </c>
      <c r="N199" s="21">
        <f t="shared" si="338"/>
        <v>5177600</v>
      </c>
      <c r="O199" s="21">
        <f t="shared" si="338"/>
        <v>5307900</v>
      </c>
      <c r="P199" s="21">
        <f t="shared" si="338"/>
        <v>5441500</v>
      </c>
      <c r="Q199" s="21">
        <f t="shared" si="338"/>
        <v>5578700</v>
      </c>
      <c r="R199" s="21">
        <f t="shared" si="338"/>
        <v>5719600</v>
      </c>
      <c r="S199" s="86">
        <f t="shared" ref="S199" si="339">S183-S197</f>
        <v>5864200</v>
      </c>
      <c r="U199" s="34"/>
      <c r="W199" s="34"/>
    </row>
    <row r="200" spans="1:23" x14ac:dyDescent="0.2">
      <c r="A200" s="54"/>
      <c r="B200" s="9"/>
      <c r="C200" s="9"/>
      <c r="D200" s="9"/>
      <c r="E200" s="9"/>
      <c r="F200" s="177"/>
      <c r="G200" s="217" t="s">
        <v>1943</v>
      </c>
      <c r="H200" s="9"/>
      <c r="I200" s="85">
        <f>IF(E200=H200,0,IF(E200=0,100,(H200-E200)/E200*100))</f>
        <v>0</v>
      </c>
      <c r="J200" s="9"/>
      <c r="K200" s="9"/>
      <c r="L200" s="9"/>
      <c r="M200" s="9"/>
      <c r="N200" s="9"/>
      <c r="O200" s="9"/>
      <c r="P200" s="9"/>
      <c r="Q200" s="9"/>
      <c r="R200" s="9"/>
      <c r="S200" s="47"/>
    </row>
    <row r="201" spans="1:23" s="39" customFormat="1" x14ac:dyDescent="0.2">
      <c r="A201" s="128">
        <f>A199+A200</f>
        <v>3343000</v>
      </c>
      <c r="B201" s="280">
        <f>B199+B200</f>
        <v>3937400</v>
      </c>
      <c r="C201" s="280">
        <f>C199+C200</f>
        <v>3978500</v>
      </c>
      <c r="D201" s="280">
        <f>D199+D200</f>
        <v>4360900</v>
      </c>
      <c r="E201" s="280">
        <f t="shared" ref="E201" si="340">E199+E200</f>
        <v>4517000</v>
      </c>
      <c r="F201" s="359"/>
      <c r="G201" s="360" t="s">
        <v>1659</v>
      </c>
      <c r="H201" s="280">
        <f t="shared" ref="H201:O201" si="341">H199+H200</f>
        <v>4632500</v>
      </c>
      <c r="I201" s="278">
        <f>IF(E201=H201,0,IF(E201=0,100,(H201-E201)/E201*100))</f>
        <v>2.557006862962143</v>
      </c>
      <c r="J201" s="280">
        <f t="shared" si="341"/>
        <v>4730600</v>
      </c>
      <c r="K201" s="280">
        <f t="shared" si="341"/>
        <v>4850600</v>
      </c>
      <c r="L201" s="280">
        <f t="shared" si="341"/>
        <v>4973000</v>
      </c>
      <c r="M201" s="280">
        <f t="shared" si="341"/>
        <v>5098600</v>
      </c>
      <c r="N201" s="280">
        <f t="shared" si="341"/>
        <v>5177600</v>
      </c>
      <c r="O201" s="280">
        <f t="shared" si="341"/>
        <v>5307900</v>
      </c>
      <c r="P201" s="280">
        <f t="shared" ref="P201:Q201" si="342">P199+P200</f>
        <v>5441500</v>
      </c>
      <c r="Q201" s="280">
        <f t="shared" si="342"/>
        <v>5578700</v>
      </c>
      <c r="R201" s="280">
        <f t="shared" ref="R201" si="343">R199+R200</f>
        <v>5719600</v>
      </c>
      <c r="S201" s="2343">
        <f t="shared" ref="S201" si="344">S199+S200</f>
        <v>5864200</v>
      </c>
      <c r="U201" s="34"/>
      <c r="W201" s="34"/>
    </row>
    <row r="202" spans="1:23" ht="13.5" thickBot="1" x14ac:dyDescent="0.25">
      <c r="A202" s="26"/>
      <c r="B202" s="37"/>
      <c r="C202" s="37"/>
      <c r="D202" s="37"/>
      <c r="E202" s="23"/>
      <c r="F202" s="191"/>
      <c r="G202" s="88"/>
      <c r="H202" s="68"/>
      <c r="I202" s="275"/>
      <c r="J202" s="68"/>
      <c r="K202" s="68"/>
      <c r="L202" s="68"/>
      <c r="M202" s="68"/>
      <c r="N202" s="68"/>
      <c r="O202" s="68"/>
      <c r="P202" s="68"/>
      <c r="Q202" s="68"/>
      <c r="R202" s="68"/>
      <c r="S202" s="108"/>
    </row>
    <row r="203" spans="1:23" ht="13.5" thickTop="1" x14ac:dyDescent="0.2">
      <c r="A203" s="270"/>
      <c r="B203" s="109"/>
      <c r="C203" s="109"/>
      <c r="D203" s="109"/>
      <c r="E203" s="74"/>
      <c r="F203" s="192"/>
      <c r="G203" s="258"/>
      <c r="H203" s="74"/>
      <c r="I203" s="352"/>
      <c r="J203" s="74"/>
      <c r="K203" s="74"/>
      <c r="L203" s="74"/>
      <c r="M203" s="74"/>
      <c r="N203" s="74"/>
      <c r="O203" s="74"/>
      <c r="P203" s="74"/>
      <c r="Q203" s="74"/>
      <c r="R203" s="74"/>
      <c r="S203" s="110"/>
    </row>
    <row r="204" spans="1:23" x14ac:dyDescent="0.2">
      <c r="A204" s="24"/>
      <c r="B204" s="21"/>
      <c r="C204" s="21"/>
      <c r="D204" s="21"/>
      <c r="E204" s="9"/>
      <c r="F204" s="189"/>
      <c r="G204" s="361" t="s">
        <v>192</v>
      </c>
      <c r="H204" s="9"/>
      <c r="I204" s="126"/>
      <c r="J204" s="9"/>
      <c r="K204" s="9"/>
      <c r="L204" s="9"/>
      <c r="M204" s="9"/>
      <c r="N204" s="9"/>
      <c r="O204" s="9"/>
      <c r="P204" s="9"/>
      <c r="Q204" s="9"/>
      <c r="R204" s="9"/>
      <c r="S204" s="61"/>
    </row>
    <row r="205" spans="1:23" x14ac:dyDescent="0.2">
      <c r="A205" s="24"/>
      <c r="B205" s="21"/>
      <c r="C205" s="21"/>
      <c r="D205" s="21"/>
      <c r="E205" s="9"/>
      <c r="F205" s="189"/>
      <c r="G205" s="260"/>
      <c r="H205" s="9"/>
      <c r="I205" s="126"/>
      <c r="J205" s="9"/>
      <c r="K205" s="9"/>
      <c r="L205" s="9"/>
      <c r="M205" s="9"/>
      <c r="N205" s="9"/>
      <c r="O205" s="9"/>
      <c r="P205" s="9"/>
      <c r="Q205" s="9"/>
      <c r="R205" s="9"/>
      <c r="S205" s="61"/>
    </row>
    <row r="206" spans="1:23" x14ac:dyDescent="0.2">
      <c r="A206" s="54">
        <f>ROUND(A656,-3)</f>
        <v>0</v>
      </c>
      <c r="B206" s="9">
        <f t="shared" ref="B206:C210" si="345">B656</f>
        <v>0</v>
      </c>
      <c r="C206" s="9">
        <f t="shared" si="345"/>
        <v>0</v>
      </c>
      <c r="D206" s="9">
        <f t="shared" ref="D206:E210" si="346">D656</f>
        <v>0</v>
      </c>
      <c r="E206" s="9">
        <f t="shared" si="346"/>
        <v>0</v>
      </c>
      <c r="F206" s="165"/>
      <c r="G206" s="257" t="s">
        <v>2848</v>
      </c>
      <c r="H206" s="9">
        <f t="shared" ref="H206:O206" si="347">H656</f>
        <v>0</v>
      </c>
      <c r="I206" s="85"/>
      <c r="J206" s="9">
        <f t="shared" si="347"/>
        <v>0</v>
      </c>
      <c r="K206" s="9">
        <f t="shared" si="347"/>
        <v>0</v>
      </c>
      <c r="L206" s="9">
        <f t="shared" si="347"/>
        <v>0</v>
      </c>
      <c r="M206" s="9">
        <f t="shared" si="347"/>
        <v>0</v>
      </c>
      <c r="N206" s="9">
        <f t="shared" si="347"/>
        <v>0</v>
      </c>
      <c r="O206" s="9">
        <f t="shared" si="347"/>
        <v>0</v>
      </c>
      <c r="P206" s="9">
        <f t="shared" ref="P206:Q206" si="348">P656</f>
        <v>0</v>
      </c>
      <c r="Q206" s="9">
        <f t="shared" si="348"/>
        <v>0</v>
      </c>
      <c r="R206" s="9">
        <f t="shared" ref="R206:S206" si="349">R656</f>
        <v>0</v>
      </c>
      <c r="S206" s="61">
        <f t="shared" si="349"/>
        <v>0</v>
      </c>
    </row>
    <row r="207" spans="1:23" x14ac:dyDescent="0.2">
      <c r="A207" s="54">
        <f>ROUND(A657,-3)</f>
        <v>8000</v>
      </c>
      <c r="B207" s="9">
        <f t="shared" si="345"/>
        <v>0</v>
      </c>
      <c r="C207" s="89">
        <f t="shared" si="345"/>
        <v>0</v>
      </c>
      <c r="D207" s="9">
        <f t="shared" si="346"/>
        <v>103500</v>
      </c>
      <c r="E207" s="9">
        <f t="shared" si="346"/>
        <v>0</v>
      </c>
      <c r="F207" s="165"/>
      <c r="G207" s="257" t="s">
        <v>1909</v>
      </c>
      <c r="H207" s="9">
        <f t="shared" ref="H207:O207" si="350">H657</f>
        <v>0</v>
      </c>
      <c r="I207" s="85"/>
      <c r="J207" s="9">
        <f t="shared" si="350"/>
        <v>0</v>
      </c>
      <c r="K207" s="9">
        <f t="shared" si="350"/>
        <v>0</v>
      </c>
      <c r="L207" s="9">
        <f t="shared" si="350"/>
        <v>0</v>
      </c>
      <c r="M207" s="9">
        <f t="shared" si="350"/>
        <v>0</v>
      </c>
      <c r="N207" s="9">
        <f t="shared" si="350"/>
        <v>0</v>
      </c>
      <c r="O207" s="9">
        <f t="shared" si="350"/>
        <v>0</v>
      </c>
      <c r="P207" s="9">
        <f t="shared" ref="P207:Q207" si="351">P657</f>
        <v>0</v>
      </c>
      <c r="Q207" s="9">
        <f t="shared" si="351"/>
        <v>0</v>
      </c>
      <c r="R207" s="9">
        <f t="shared" ref="R207:S207" si="352">R657</f>
        <v>0</v>
      </c>
      <c r="S207" s="61">
        <f t="shared" si="352"/>
        <v>0</v>
      </c>
    </row>
    <row r="208" spans="1:23" x14ac:dyDescent="0.2">
      <c r="A208" s="54">
        <f>ROUND(A658,-3)</f>
        <v>7000</v>
      </c>
      <c r="B208" s="9">
        <f t="shared" si="345"/>
        <v>0</v>
      </c>
      <c r="C208" s="9">
        <f t="shared" si="345"/>
        <v>0</v>
      </c>
      <c r="D208" s="9">
        <f t="shared" si="346"/>
        <v>0</v>
      </c>
      <c r="E208" s="9">
        <f t="shared" si="346"/>
        <v>0</v>
      </c>
      <c r="F208" s="165"/>
      <c r="G208" s="257" t="s">
        <v>2309</v>
      </c>
      <c r="H208" s="9">
        <f t="shared" ref="H208:O208" si="353">H658</f>
        <v>0</v>
      </c>
      <c r="I208" s="85"/>
      <c r="J208" s="9">
        <f t="shared" si="353"/>
        <v>0</v>
      </c>
      <c r="K208" s="9">
        <f t="shared" si="353"/>
        <v>0</v>
      </c>
      <c r="L208" s="9">
        <f t="shared" si="353"/>
        <v>0</v>
      </c>
      <c r="M208" s="9">
        <f t="shared" si="353"/>
        <v>0</v>
      </c>
      <c r="N208" s="9">
        <f t="shared" si="353"/>
        <v>0</v>
      </c>
      <c r="O208" s="9">
        <f t="shared" si="353"/>
        <v>0</v>
      </c>
      <c r="P208" s="9">
        <f t="shared" ref="P208:Q208" si="354">P658</f>
        <v>0</v>
      </c>
      <c r="Q208" s="9">
        <f t="shared" si="354"/>
        <v>0</v>
      </c>
      <c r="R208" s="9">
        <f t="shared" ref="R208:S208" si="355">R658</f>
        <v>0</v>
      </c>
      <c r="S208" s="61">
        <f t="shared" si="355"/>
        <v>0</v>
      </c>
    </row>
    <row r="209" spans="1:23" x14ac:dyDescent="0.2">
      <c r="A209" s="54">
        <f>ROUND(A659,-3)</f>
        <v>0</v>
      </c>
      <c r="B209" s="9">
        <f t="shared" si="345"/>
        <v>0</v>
      </c>
      <c r="C209" s="9">
        <f t="shared" si="345"/>
        <v>0</v>
      </c>
      <c r="D209" s="9">
        <f t="shared" si="346"/>
        <v>0</v>
      </c>
      <c r="E209" s="9">
        <f t="shared" si="346"/>
        <v>0</v>
      </c>
      <c r="F209" s="165"/>
      <c r="G209" s="257" t="s">
        <v>5847</v>
      </c>
      <c r="H209" s="9">
        <f t="shared" ref="H209:O209" si="356">H659</f>
        <v>0</v>
      </c>
      <c r="I209" s="85"/>
      <c r="J209" s="9">
        <f t="shared" si="356"/>
        <v>0</v>
      </c>
      <c r="K209" s="9">
        <f t="shared" si="356"/>
        <v>0</v>
      </c>
      <c r="L209" s="9">
        <f t="shared" si="356"/>
        <v>0</v>
      </c>
      <c r="M209" s="9">
        <f t="shared" si="356"/>
        <v>0</v>
      </c>
      <c r="N209" s="9">
        <f t="shared" si="356"/>
        <v>0</v>
      </c>
      <c r="O209" s="9">
        <f t="shared" si="356"/>
        <v>0</v>
      </c>
      <c r="P209" s="9">
        <f t="shared" ref="P209:Q209" si="357">P659</f>
        <v>0</v>
      </c>
      <c r="Q209" s="9">
        <f t="shared" si="357"/>
        <v>0</v>
      </c>
      <c r="R209" s="9">
        <f t="shared" ref="R209:S209" si="358">R659</f>
        <v>0</v>
      </c>
      <c r="S209" s="61">
        <f t="shared" si="358"/>
        <v>0</v>
      </c>
    </row>
    <row r="210" spans="1:23" x14ac:dyDescent="0.2">
      <c r="A210" s="54">
        <f>ROUND(A660,-3)</f>
        <v>0</v>
      </c>
      <c r="B210" s="9">
        <f t="shared" si="345"/>
        <v>0</v>
      </c>
      <c r="C210" s="9">
        <f t="shared" si="345"/>
        <v>0</v>
      </c>
      <c r="D210" s="9">
        <f t="shared" si="346"/>
        <v>0</v>
      </c>
      <c r="E210" s="9">
        <f t="shared" si="346"/>
        <v>0</v>
      </c>
      <c r="F210" s="165"/>
      <c r="G210" s="257" t="s">
        <v>958</v>
      </c>
      <c r="H210" s="9">
        <f t="shared" ref="H210:O210" si="359">H660</f>
        <v>0</v>
      </c>
      <c r="I210" s="85"/>
      <c r="J210" s="9">
        <f t="shared" si="359"/>
        <v>0</v>
      </c>
      <c r="K210" s="9">
        <f t="shared" si="359"/>
        <v>0</v>
      </c>
      <c r="L210" s="9">
        <f t="shared" si="359"/>
        <v>0</v>
      </c>
      <c r="M210" s="9">
        <f t="shared" si="359"/>
        <v>0</v>
      </c>
      <c r="N210" s="9">
        <f t="shared" si="359"/>
        <v>0</v>
      </c>
      <c r="O210" s="9">
        <f t="shared" si="359"/>
        <v>0</v>
      </c>
      <c r="P210" s="9">
        <f t="shared" ref="P210:Q210" si="360">P660</f>
        <v>0</v>
      </c>
      <c r="Q210" s="9">
        <f t="shared" si="360"/>
        <v>0</v>
      </c>
      <c r="R210" s="9">
        <f t="shared" ref="R210:S210" si="361">R660</f>
        <v>0</v>
      </c>
      <c r="S210" s="61">
        <f t="shared" si="361"/>
        <v>0</v>
      </c>
    </row>
    <row r="211" spans="1:23" x14ac:dyDescent="0.2">
      <c r="A211" s="54"/>
      <c r="B211" s="9"/>
      <c r="C211" s="9"/>
      <c r="D211" s="9"/>
      <c r="E211" s="9"/>
      <c r="F211" s="189"/>
      <c r="G211" s="361"/>
      <c r="H211" s="9"/>
      <c r="I211" s="85"/>
      <c r="J211" s="9"/>
      <c r="K211" s="9"/>
      <c r="L211" s="9"/>
      <c r="M211" s="9"/>
      <c r="N211" s="9"/>
      <c r="O211" s="9"/>
      <c r="P211" s="9"/>
      <c r="Q211" s="9"/>
      <c r="R211" s="9"/>
      <c r="S211" s="61"/>
    </row>
    <row r="212" spans="1:23" s="39" customFormat="1" x14ac:dyDescent="0.2">
      <c r="A212" s="128">
        <f>A201-A206-A207+A208++A209-A210</f>
        <v>3342000</v>
      </c>
      <c r="B212" s="280">
        <f>B201-B206-B207+B208++B209-B210</f>
        <v>3937400</v>
      </c>
      <c r="C212" s="280">
        <f>C201-C206-C207+C208++C209-C210</f>
        <v>3978500</v>
      </c>
      <c r="D212" s="280">
        <f>D201-D206-D207+D208++D209-D210</f>
        <v>4257400</v>
      </c>
      <c r="E212" s="280">
        <f t="shared" ref="E212" si="362">E201-E206-E207+E208++E209-E210</f>
        <v>4517000</v>
      </c>
      <c r="F212" s="362"/>
      <c r="G212" s="363" t="s">
        <v>2447</v>
      </c>
      <c r="H212" s="280">
        <f t="shared" ref="H212:O212" si="363">H201-H206-H207+H208++H209-H210</f>
        <v>4632500</v>
      </c>
      <c r="I212" s="278">
        <f>IF(E212=H212,0,IF(E212=0,100,(H212-E212)/E212*100))</f>
        <v>2.557006862962143</v>
      </c>
      <c r="J212" s="280">
        <f t="shared" si="363"/>
        <v>4730600</v>
      </c>
      <c r="K212" s="280">
        <f t="shared" si="363"/>
        <v>4850600</v>
      </c>
      <c r="L212" s="280">
        <f t="shared" si="363"/>
        <v>4973000</v>
      </c>
      <c r="M212" s="280">
        <f t="shared" si="363"/>
        <v>5098600</v>
      </c>
      <c r="N212" s="280">
        <f t="shared" si="363"/>
        <v>5177600</v>
      </c>
      <c r="O212" s="280">
        <f t="shared" si="363"/>
        <v>5307900</v>
      </c>
      <c r="P212" s="280">
        <f t="shared" ref="P212:Q212" si="364">P201-P206-P207+P208++P209-P210</f>
        <v>5441500</v>
      </c>
      <c r="Q212" s="280">
        <f t="shared" si="364"/>
        <v>5578700</v>
      </c>
      <c r="R212" s="280">
        <f t="shared" ref="R212:S212" si="365">R201-R206-R207+R208++R209-R210</f>
        <v>5719600</v>
      </c>
      <c r="S212" s="282">
        <f t="shared" si="365"/>
        <v>5864200</v>
      </c>
      <c r="U212" s="34"/>
      <c r="W212" s="34"/>
    </row>
    <row r="213" spans="1:23" ht="13.5" thickBot="1" x14ac:dyDescent="0.25">
      <c r="A213" s="26"/>
      <c r="B213" s="37"/>
      <c r="C213" s="37"/>
      <c r="D213" s="37"/>
      <c r="E213" s="23"/>
      <c r="F213" s="190"/>
      <c r="G213" s="259"/>
      <c r="H213" s="23"/>
      <c r="I213" s="275"/>
      <c r="J213" s="23"/>
      <c r="K213" s="23"/>
      <c r="L213" s="23"/>
      <c r="M213" s="23"/>
      <c r="N213" s="23"/>
      <c r="O213" s="23"/>
      <c r="P213" s="23"/>
      <c r="Q213" s="23"/>
      <c r="R213" s="23"/>
      <c r="S213" s="112"/>
    </row>
    <row r="214" spans="1:23" ht="14.25" thickTop="1" thickBot="1" x14ac:dyDescent="0.25">
      <c r="A214" s="27"/>
      <c r="B214" s="27"/>
      <c r="C214" s="27"/>
      <c r="D214" s="27"/>
      <c r="F214" s="179"/>
      <c r="G214" s="84"/>
      <c r="H214" s="46"/>
      <c r="I214" s="2234"/>
      <c r="J214" s="46"/>
      <c r="K214" s="46"/>
      <c r="L214" s="46"/>
      <c r="M214" s="46"/>
      <c r="N214" s="46"/>
      <c r="O214" s="46"/>
      <c r="P214" s="46"/>
      <c r="Q214" s="46"/>
      <c r="R214" s="46"/>
      <c r="S214" s="46"/>
    </row>
    <row r="215" spans="1:23" s="38" customFormat="1" ht="18.75" customHeight="1" thickTop="1" thickBot="1" x14ac:dyDescent="0.3">
      <c r="A215" s="2588" t="s">
        <v>1578</v>
      </c>
      <c r="B215" s="2589"/>
      <c r="C215" s="2589"/>
      <c r="D215" s="2589"/>
      <c r="E215" s="2589"/>
      <c r="F215" s="2589"/>
      <c r="G215" s="2589"/>
      <c r="H215" s="2589"/>
      <c r="I215" s="2589"/>
      <c r="J215" s="2589"/>
      <c r="K215" s="2589"/>
      <c r="L215" s="2589"/>
      <c r="M215" s="2589"/>
      <c r="N215" s="2589"/>
      <c r="O215" s="2589"/>
      <c r="P215" s="2589"/>
      <c r="Q215" s="2589"/>
      <c r="R215" s="2589"/>
      <c r="S215" s="2590"/>
      <c r="U215" s="34"/>
      <c r="W215" s="34"/>
    </row>
    <row r="216" spans="1:23" s="39" customFormat="1" x14ac:dyDescent="0.2">
      <c r="A216" s="2620" t="s">
        <v>1824</v>
      </c>
      <c r="B216" s="2621"/>
      <c r="C216" s="2621"/>
      <c r="D216" s="2621"/>
      <c r="E216" s="2622"/>
      <c r="F216" s="150" t="s">
        <v>2616</v>
      </c>
      <c r="G216" s="126" t="s">
        <v>2213</v>
      </c>
      <c r="H216" s="2617" t="s">
        <v>2215</v>
      </c>
      <c r="I216" s="2618"/>
      <c r="J216" s="2618"/>
      <c r="K216" s="2618"/>
      <c r="L216" s="2618"/>
      <c r="M216" s="2618"/>
      <c r="N216" s="2618"/>
      <c r="O216" s="2618"/>
      <c r="P216" s="2618"/>
      <c r="Q216" s="2618"/>
      <c r="R216" s="2618"/>
      <c r="S216" s="2619"/>
      <c r="U216" s="34"/>
      <c r="W216" s="34"/>
    </row>
    <row r="217" spans="1:23" ht="13.5" thickBot="1" x14ac:dyDescent="0.25">
      <c r="A217" s="1526" t="str">
        <f>A3</f>
        <v>2012/13</v>
      </c>
      <c r="B217" s="40" t="str">
        <f>B3</f>
        <v>2013/14</v>
      </c>
      <c r="C217" s="28" t="str">
        <f>C3</f>
        <v>2014/15</v>
      </c>
      <c r="D217" s="40" t="str">
        <f>D3</f>
        <v>2015/16</v>
      </c>
      <c r="E217" s="40" t="str">
        <f>E3</f>
        <v>2016/17</v>
      </c>
      <c r="F217" s="40" t="str">
        <f>+F171</f>
        <v>ACCOUNT</v>
      </c>
      <c r="G217" s="41"/>
      <c r="H217" s="40" t="str">
        <f t="shared" ref="H217:S217" si="366">H3</f>
        <v>2017/18</v>
      </c>
      <c r="I217" s="40" t="str">
        <f t="shared" si="366"/>
        <v>%</v>
      </c>
      <c r="J217" s="40" t="str">
        <f t="shared" si="366"/>
        <v>2018/19</v>
      </c>
      <c r="K217" s="40" t="str">
        <f t="shared" si="366"/>
        <v>2019/20</v>
      </c>
      <c r="L217" s="40" t="str">
        <f t="shared" si="366"/>
        <v>2020/21</v>
      </c>
      <c r="M217" s="40" t="str">
        <f t="shared" si="366"/>
        <v>2021/22</v>
      </c>
      <c r="N217" s="40" t="str">
        <f t="shared" si="366"/>
        <v>2022/23</v>
      </c>
      <c r="O217" s="40" t="str">
        <f t="shared" si="366"/>
        <v>2023/24</v>
      </c>
      <c r="P217" s="40" t="str">
        <f t="shared" si="366"/>
        <v>2024/25</v>
      </c>
      <c r="Q217" s="28" t="str">
        <f t="shared" si="366"/>
        <v>2025/26</v>
      </c>
      <c r="R217" s="28" t="str">
        <f t="shared" si="366"/>
        <v>2026/27</v>
      </c>
      <c r="S217" s="1620" t="str">
        <f t="shared" si="366"/>
        <v>2027/28</v>
      </c>
    </row>
    <row r="218" spans="1:23" x14ac:dyDescent="0.2">
      <c r="A218" s="45"/>
      <c r="B218" s="9"/>
      <c r="C218" s="9"/>
      <c r="D218" s="9"/>
      <c r="E218" s="9"/>
      <c r="F218" s="175"/>
      <c r="G218" s="27"/>
      <c r="H218" s="9"/>
      <c r="I218" s="85"/>
      <c r="J218" s="9"/>
      <c r="K218" s="9"/>
      <c r="L218" s="9"/>
      <c r="M218" s="9"/>
      <c r="N218" s="9"/>
      <c r="O218" s="9"/>
      <c r="P218" s="9"/>
      <c r="Q218" s="9"/>
      <c r="R218" s="9"/>
      <c r="S218" s="61"/>
    </row>
    <row r="219" spans="1:23" x14ac:dyDescent="0.2">
      <c r="A219" s="54"/>
      <c r="B219" s="9"/>
      <c r="C219" s="9"/>
      <c r="D219" s="9"/>
      <c r="E219" s="9"/>
      <c r="F219" s="177"/>
      <c r="G219" s="256" t="s">
        <v>1056</v>
      </c>
      <c r="H219" s="9"/>
      <c r="I219" s="85"/>
      <c r="J219" s="9"/>
      <c r="K219" s="9"/>
      <c r="L219" s="9"/>
      <c r="M219" s="9"/>
      <c r="N219" s="9"/>
      <c r="O219" s="9"/>
      <c r="P219" s="9"/>
      <c r="Q219" s="9"/>
      <c r="R219" s="9"/>
      <c r="S219" s="61"/>
    </row>
    <row r="220" spans="1:23" x14ac:dyDescent="0.2">
      <c r="A220" s="45"/>
      <c r="B220" s="9"/>
      <c r="C220" s="9"/>
      <c r="D220" s="9"/>
      <c r="E220" s="9"/>
      <c r="F220" s="175"/>
      <c r="G220" s="91"/>
      <c r="H220" s="9"/>
      <c r="I220" s="85"/>
      <c r="J220" s="9"/>
      <c r="K220" s="9"/>
      <c r="L220" s="9"/>
      <c r="M220" s="9"/>
      <c r="N220" s="9"/>
      <c r="O220" s="9"/>
      <c r="P220" s="9"/>
      <c r="Q220" s="9"/>
      <c r="R220" s="9"/>
      <c r="S220" s="61"/>
    </row>
    <row r="221" spans="1:23" x14ac:dyDescent="0.2">
      <c r="A221" s="54"/>
      <c r="B221" s="9"/>
      <c r="C221" s="9"/>
      <c r="D221" s="9"/>
      <c r="E221" s="9"/>
      <c r="F221" s="177"/>
      <c r="G221" s="27" t="s">
        <v>2829</v>
      </c>
      <c r="H221" s="9"/>
      <c r="I221" s="85"/>
      <c r="J221" s="9"/>
      <c r="K221" s="9"/>
      <c r="L221" s="9"/>
      <c r="M221" s="9"/>
      <c r="N221" s="9"/>
      <c r="O221" s="9"/>
      <c r="P221" s="9"/>
      <c r="Q221" s="9"/>
      <c r="R221" s="9"/>
      <c r="S221" s="61"/>
    </row>
    <row r="222" spans="1:23" x14ac:dyDescent="0.2">
      <c r="A222" s="54">
        <f>ROUND(SUM(A670:A675),-3)</f>
        <v>4000</v>
      </c>
      <c r="B222" s="9">
        <f>SUM(B670:B675)</f>
        <v>13600</v>
      </c>
      <c r="C222" s="9">
        <f>SUM(C670:C675)</f>
        <v>17600</v>
      </c>
      <c r="D222" s="9">
        <f>SUM(D670:D675)</f>
        <v>3100</v>
      </c>
      <c r="E222" s="9">
        <f t="shared" ref="E222" si="367">SUM(E670:E675)</f>
        <v>231100</v>
      </c>
      <c r="F222" s="177">
        <v>26045</v>
      </c>
      <c r="G222" s="46" t="s">
        <v>2808</v>
      </c>
      <c r="H222" s="9">
        <f t="shared" ref="H222:O222" si="368">SUM(H670:H675)</f>
        <v>103000</v>
      </c>
      <c r="I222" s="85">
        <f>IF(E222=H222,0,IF(E222=0,100,(H222-E222)/E222*100))</f>
        <v>-55.430549545651232</v>
      </c>
      <c r="J222" s="9">
        <f t="shared" si="368"/>
        <v>93000</v>
      </c>
      <c r="K222" s="9">
        <f t="shared" si="368"/>
        <v>95400</v>
      </c>
      <c r="L222" s="9">
        <f t="shared" si="368"/>
        <v>97900</v>
      </c>
      <c r="M222" s="9">
        <f t="shared" si="368"/>
        <v>100400</v>
      </c>
      <c r="N222" s="9">
        <f t="shared" si="368"/>
        <v>103000</v>
      </c>
      <c r="O222" s="9">
        <f t="shared" si="368"/>
        <v>105600</v>
      </c>
      <c r="P222" s="9">
        <f t="shared" ref="P222:Q222" si="369">SUM(P670:P675)</f>
        <v>108300</v>
      </c>
      <c r="Q222" s="9">
        <f t="shared" si="369"/>
        <v>111100</v>
      </c>
      <c r="R222" s="9">
        <f t="shared" ref="R222" si="370">SUM(R670:R675)</f>
        <v>113900</v>
      </c>
      <c r="S222" s="47">
        <f t="shared" ref="S222" si="371">SUM(S670:S675)</f>
        <v>116800</v>
      </c>
    </row>
    <row r="223" spans="1:23" ht="13.5" thickBot="1" x14ac:dyDescent="0.25">
      <c r="A223" s="54"/>
      <c r="B223" s="9"/>
      <c r="C223" s="9"/>
      <c r="D223" s="9"/>
      <c r="E223" s="9"/>
      <c r="F223" s="240"/>
      <c r="G223" s="46"/>
      <c r="H223" s="9"/>
      <c r="I223" s="85">
        <f>IF(E223=H223,0,IF(E223=0,100,(H223-E223)/E223*100))</f>
        <v>0</v>
      </c>
      <c r="J223" s="9"/>
      <c r="K223" s="9"/>
      <c r="L223" s="9"/>
      <c r="M223" s="9"/>
      <c r="N223" s="9"/>
      <c r="O223" s="9"/>
      <c r="P223" s="9"/>
      <c r="Q223" s="9"/>
      <c r="R223" s="9"/>
      <c r="S223" s="47"/>
    </row>
    <row r="224" spans="1:23" s="39" customFormat="1" x14ac:dyDescent="0.2">
      <c r="A224" s="52">
        <f>SUM(A222:A223)</f>
        <v>4000</v>
      </c>
      <c r="B224" s="16">
        <f>SUM(B222:B223)</f>
        <v>13600</v>
      </c>
      <c r="C224" s="16">
        <f>SUM(C222:C223)</f>
        <v>17600</v>
      </c>
      <c r="D224" s="16">
        <f>SUM(D222:D223)</f>
        <v>3100</v>
      </c>
      <c r="E224" s="16">
        <f t="shared" ref="E224" si="372">SUM(E222:E223)</f>
        <v>231100</v>
      </c>
      <c r="F224" s="241"/>
      <c r="G224" s="59" t="s">
        <v>2561</v>
      </c>
      <c r="H224" s="16">
        <f t="shared" ref="H224:O224" si="373">SUM(H222:H223)</f>
        <v>103000</v>
      </c>
      <c r="I224" s="127">
        <f>IF(E224=H224,0,IF(E224=0,100,(H224-E224)/E224*100))</f>
        <v>-55.430549545651232</v>
      </c>
      <c r="J224" s="16">
        <f t="shared" si="373"/>
        <v>93000</v>
      </c>
      <c r="K224" s="16">
        <f t="shared" si="373"/>
        <v>95400</v>
      </c>
      <c r="L224" s="16">
        <f t="shared" si="373"/>
        <v>97900</v>
      </c>
      <c r="M224" s="16">
        <f t="shared" si="373"/>
        <v>100400</v>
      </c>
      <c r="N224" s="16">
        <f t="shared" si="373"/>
        <v>103000</v>
      </c>
      <c r="O224" s="16">
        <f t="shared" si="373"/>
        <v>105600</v>
      </c>
      <c r="P224" s="16">
        <f t="shared" ref="P224:Q224" si="374">SUM(P222:P223)</f>
        <v>108300</v>
      </c>
      <c r="Q224" s="16">
        <f t="shared" si="374"/>
        <v>111100</v>
      </c>
      <c r="R224" s="16">
        <f t="shared" ref="R224" si="375">SUM(R222:R223)</f>
        <v>113900</v>
      </c>
      <c r="S224" s="2342">
        <f t="shared" ref="S224" si="376">SUM(S222:S223)</f>
        <v>116800</v>
      </c>
      <c r="U224" s="34"/>
      <c r="W224" s="34"/>
    </row>
    <row r="225" spans="1:23" x14ac:dyDescent="0.2">
      <c r="A225" s="54"/>
      <c r="B225" s="9"/>
      <c r="C225" s="9"/>
      <c r="D225" s="9"/>
      <c r="E225" s="9"/>
      <c r="F225" s="240"/>
      <c r="G225" s="46"/>
      <c r="H225" s="9"/>
      <c r="I225" s="85"/>
      <c r="J225" s="9"/>
      <c r="K225" s="9"/>
      <c r="L225" s="9"/>
      <c r="M225" s="9"/>
      <c r="N225" s="9"/>
      <c r="O225" s="9"/>
      <c r="P225" s="9"/>
      <c r="Q225" s="9"/>
      <c r="R225" s="9"/>
      <c r="S225" s="47"/>
    </row>
    <row r="226" spans="1:23" x14ac:dyDescent="0.2">
      <c r="A226" s="54"/>
      <c r="B226" s="9"/>
      <c r="C226" s="9"/>
      <c r="D226" s="9"/>
      <c r="E226" s="9"/>
      <c r="F226" s="240"/>
      <c r="G226" s="91" t="s">
        <v>2169</v>
      </c>
      <c r="H226" s="9"/>
      <c r="I226" s="85"/>
      <c r="J226" s="9"/>
      <c r="K226" s="9"/>
      <c r="L226" s="9"/>
      <c r="M226" s="9"/>
      <c r="N226" s="9"/>
      <c r="O226" s="9"/>
      <c r="P226" s="9"/>
      <c r="Q226" s="9"/>
      <c r="R226" s="9"/>
      <c r="S226" s="47"/>
    </row>
    <row r="227" spans="1:23" x14ac:dyDescent="0.2">
      <c r="A227" s="54"/>
      <c r="B227" s="9"/>
      <c r="C227" s="9"/>
      <c r="D227" s="9"/>
      <c r="E227" s="9"/>
      <c r="F227" s="240"/>
      <c r="G227" s="91"/>
      <c r="H227" s="9"/>
      <c r="I227" s="85"/>
      <c r="J227" s="9"/>
      <c r="K227" s="9"/>
      <c r="L227" s="9"/>
      <c r="M227" s="9"/>
      <c r="N227" s="9"/>
      <c r="O227" s="9"/>
      <c r="P227" s="9"/>
      <c r="Q227" s="9"/>
      <c r="R227" s="9"/>
      <c r="S227" s="47"/>
    </row>
    <row r="228" spans="1:23" x14ac:dyDescent="0.2">
      <c r="A228" s="54"/>
      <c r="B228" s="9"/>
      <c r="C228" s="9"/>
      <c r="D228" s="9"/>
      <c r="E228" s="9"/>
      <c r="F228" s="240"/>
      <c r="G228" s="27" t="s">
        <v>2273</v>
      </c>
      <c r="H228" s="9"/>
      <c r="I228" s="85"/>
      <c r="J228" s="9"/>
      <c r="K228" s="9"/>
      <c r="L228" s="9"/>
      <c r="M228" s="9"/>
      <c r="N228" s="9"/>
      <c r="O228" s="9"/>
      <c r="P228" s="9"/>
      <c r="Q228" s="9"/>
      <c r="R228" s="9"/>
      <c r="S228" s="47"/>
    </row>
    <row r="229" spans="1:23" x14ac:dyDescent="0.2">
      <c r="A229" s="54">
        <f>ROUND(SUM(A681:A685),-3)</f>
        <v>758000</v>
      </c>
      <c r="B229" s="9">
        <f>SUM(B681:B685)</f>
        <v>1041000</v>
      </c>
      <c r="C229" s="9">
        <f>SUM(C681:C685)</f>
        <v>1029300</v>
      </c>
      <c r="D229" s="9">
        <f>SUM(D681:D685)</f>
        <v>1131300</v>
      </c>
      <c r="E229" s="9">
        <f t="shared" ref="E229" si="377">SUM(E681:E685)</f>
        <v>1216100</v>
      </c>
      <c r="F229" s="240" t="s">
        <v>1538</v>
      </c>
      <c r="G229" s="55" t="s">
        <v>1228</v>
      </c>
      <c r="H229" s="9">
        <f t="shared" ref="H229:O229" si="378">SUM(H681:H685)</f>
        <v>1486400</v>
      </c>
      <c r="I229" s="85">
        <f t="shared" ref="I229:I234" si="379">IF(E229=H229,0,IF(E229=0,100,(H229-E229)/E229*100))</f>
        <v>22.226790559986842</v>
      </c>
      <c r="J229" s="9">
        <f t="shared" si="378"/>
        <v>1523400</v>
      </c>
      <c r="K229" s="9">
        <f t="shared" si="378"/>
        <v>1558500</v>
      </c>
      <c r="L229" s="9">
        <f t="shared" si="378"/>
        <v>1594500</v>
      </c>
      <c r="M229" s="9">
        <f t="shared" si="378"/>
        <v>1631300</v>
      </c>
      <c r="N229" s="9">
        <f t="shared" si="378"/>
        <v>1668900</v>
      </c>
      <c r="O229" s="9">
        <f t="shared" si="378"/>
        <v>1707400</v>
      </c>
      <c r="P229" s="9">
        <f t="shared" ref="P229:Q229" si="380">SUM(P681:P685)</f>
        <v>1746800</v>
      </c>
      <c r="Q229" s="9">
        <f t="shared" si="380"/>
        <v>1787100</v>
      </c>
      <c r="R229" s="9">
        <f t="shared" ref="R229" si="381">SUM(R681:R685)</f>
        <v>1828300</v>
      </c>
      <c r="S229" s="47">
        <f t="shared" ref="S229" si="382">SUM(S681:S685)</f>
        <v>1870400</v>
      </c>
    </row>
    <row r="230" spans="1:23" x14ac:dyDescent="0.2">
      <c r="A230" s="54">
        <f>ROUND(A687,-3)</f>
        <v>279000</v>
      </c>
      <c r="B230" s="9">
        <f>B687</f>
        <v>175100</v>
      </c>
      <c r="C230" s="9">
        <f>C687</f>
        <v>174000</v>
      </c>
      <c r="D230" s="9">
        <f>D687</f>
        <v>186100</v>
      </c>
      <c r="E230" s="9">
        <f t="shared" ref="E230" si="383">E687</f>
        <v>179800</v>
      </c>
      <c r="F230" s="240" t="s">
        <v>1538</v>
      </c>
      <c r="G230" s="58" t="s">
        <v>97</v>
      </c>
      <c r="H230" s="9">
        <f t="shared" ref="H230:O230" si="384">H687</f>
        <v>194000</v>
      </c>
      <c r="I230" s="85">
        <f t="shared" si="379"/>
        <v>7.8976640711902109</v>
      </c>
      <c r="J230" s="9">
        <f t="shared" si="384"/>
        <v>199000</v>
      </c>
      <c r="K230" s="9">
        <f t="shared" si="384"/>
        <v>204000</v>
      </c>
      <c r="L230" s="9">
        <f t="shared" si="384"/>
        <v>209100</v>
      </c>
      <c r="M230" s="9">
        <f t="shared" si="384"/>
        <v>214400</v>
      </c>
      <c r="N230" s="9">
        <f t="shared" si="384"/>
        <v>219800</v>
      </c>
      <c r="O230" s="9">
        <f t="shared" si="384"/>
        <v>225300</v>
      </c>
      <c r="P230" s="9">
        <f t="shared" ref="P230:Q230" si="385">P687</f>
        <v>231000</v>
      </c>
      <c r="Q230" s="9">
        <f t="shared" si="385"/>
        <v>236800</v>
      </c>
      <c r="R230" s="9">
        <f t="shared" ref="R230" si="386">R687</f>
        <v>242800</v>
      </c>
      <c r="S230" s="47">
        <f t="shared" ref="S230" si="387">S687</f>
        <v>248900</v>
      </c>
    </row>
    <row r="231" spans="1:23" x14ac:dyDescent="0.2">
      <c r="A231" s="54">
        <f>ROUND(SUM(A689:A692),-3)</f>
        <v>52000</v>
      </c>
      <c r="B231" s="9">
        <f>SUM(B689:B692)</f>
        <v>65000</v>
      </c>
      <c r="C231" s="9">
        <f>SUM(C689:C692)</f>
        <v>106800</v>
      </c>
      <c r="D231" s="9">
        <f>SUM(D688:D692)</f>
        <v>93400</v>
      </c>
      <c r="E231" s="9">
        <f>SUM(E688:E692)</f>
        <v>134900</v>
      </c>
      <c r="F231" s="240" t="s">
        <v>1538</v>
      </c>
      <c r="G231" s="58" t="s">
        <v>3055</v>
      </c>
      <c r="H231" s="9">
        <f>SUM(H688:H692)</f>
        <v>120400</v>
      </c>
      <c r="I231" s="85">
        <f t="shared" si="379"/>
        <v>-10.748702742772425</v>
      </c>
      <c r="J231" s="9">
        <f t="shared" ref="J231:Q231" si="388">SUM(J688:J692)</f>
        <v>131000</v>
      </c>
      <c r="K231" s="9">
        <f t="shared" si="388"/>
        <v>134400</v>
      </c>
      <c r="L231" s="9">
        <f t="shared" si="388"/>
        <v>137900</v>
      </c>
      <c r="M231" s="9">
        <f t="shared" si="388"/>
        <v>141600</v>
      </c>
      <c r="N231" s="9">
        <f t="shared" si="388"/>
        <v>145300</v>
      </c>
      <c r="O231" s="9">
        <f t="shared" si="388"/>
        <v>149000</v>
      </c>
      <c r="P231" s="9">
        <f t="shared" si="388"/>
        <v>152900</v>
      </c>
      <c r="Q231" s="9">
        <f t="shared" si="388"/>
        <v>156900</v>
      </c>
      <c r="R231" s="9">
        <f t="shared" ref="R231" si="389">SUM(R688:R692)</f>
        <v>161100</v>
      </c>
      <c r="S231" s="47">
        <f t="shared" ref="S231" si="390">SUM(S688:S692)</f>
        <v>165400</v>
      </c>
    </row>
    <row r="232" spans="1:23" x14ac:dyDescent="0.2">
      <c r="A232" s="54">
        <f>ROUND(SUM(A696:A696),-3)</f>
        <v>138000</v>
      </c>
      <c r="B232" s="9">
        <f>SUM(B696:B696)</f>
        <v>184000</v>
      </c>
      <c r="C232" s="9">
        <f>SUM(C696:C696)</f>
        <v>174200</v>
      </c>
      <c r="D232" s="9">
        <f>SUM(D696:D696)</f>
        <v>187900</v>
      </c>
      <c r="E232" s="9">
        <f t="shared" ref="E232" si="391">SUM(E696:E696)</f>
        <v>219700</v>
      </c>
      <c r="F232" s="240" t="s">
        <v>1538</v>
      </c>
      <c r="G232" s="58" t="s">
        <v>3056</v>
      </c>
      <c r="H232" s="9">
        <f t="shared" ref="H232:O232" si="392">SUM(H696:H696)</f>
        <v>235000</v>
      </c>
      <c r="I232" s="85">
        <f t="shared" si="379"/>
        <v>6.9640418752844786</v>
      </c>
      <c r="J232" s="9">
        <f t="shared" si="392"/>
        <v>241000</v>
      </c>
      <c r="K232" s="9">
        <f t="shared" si="392"/>
        <v>247100</v>
      </c>
      <c r="L232" s="9">
        <f t="shared" si="392"/>
        <v>253300</v>
      </c>
      <c r="M232" s="9">
        <f t="shared" si="392"/>
        <v>259700</v>
      </c>
      <c r="N232" s="9">
        <f t="shared" si="392"/>
        <v>266200</v>
      </c>
      <c r="O232" s="9">
        <f t="shared" si="392"/>
        <v>272900</v>
      </c>
      <c r="P232" s="9">
        <f t="shared" ref="P232:Q232" si="393">SUM(P696:P696)</f>
        <v>279800</v>
      </c>
      <c r="Q232" s="9">
        <f t="shared" si="393"/>
        <v>286800</v>
      </c>
      <c r="R232" s="9">
        <f t="shared" ref="R232" si="394">SUM(R696:R696)</f>
        <v>294000</v>
      </c>
      <c r="S232" s="47">
        <f t="shared" ref="S232" si="395">SUM(S696:S696)</f>
        <v>301400</v>
      </c>
    </row>
    <row r="233" spans="1:23" x14ac:dyDescent="0.2">
      <c r="A233" s="54">
        <f>ROUND(SUM(A694:A698)-A232,-3)-1000</f>
        <v>350000</v>
      </c>
      <c r="B233" s="9">
        <f>SUM(B694:B698)-B232</f>
        <v>373200</v>
      </c>
      <c r="C233" s="9">
        <f>SUM(C694:C698)-C232</f>
        <v>428700</v>
      </c>
      <c r="D233" s="9">
        <f>SUM(D694:D699)-D232</f>
        <v>450500</v>
      </c>
      <c r="E233" s="9">
        <f>SUM(E694:E699)-E232</f>
        <v>603400</v>
      </c>
      <c r="F233" s="240" t="s">
        <v>1538</v>
      </c>
      <c r="G233" s="55" t="s">
        <v>2271</v>
      </c>
      <c r="H233" s="9">
        <f>SUM(H694:H699)-H232</f>
        <v>512500</v>
      </c>
      <c r="I233" s="85">
        <f t="shared" si="379"/>
        <v>-15.064633742127942</v>
      </c>
      <c r="J233" s="9">
        <f t="shared" ref="J233:S233" si="396">SUM(J694:J699)-J232</f>
        <v>526000</v>
      </c>
      <c r="K233" s="9">
        <f t="shared" si="396"/>
        <v>539300</v>
      </c>
      <c r="L233" s="9">
        <f t="shared" si="396"/>
        <v>553100</v>
      </c>
      <c r="M233" s="9">
        <f t="shared" si="396"/>
        <v>567100</v>
      </c>
      <c r="N233" s="9">
        <f t="shared" si="396"/>
        <v>581400</v>
      </c>
      <c r="O233" s="9">
        <f t="shared" si="396"/>
        <v>596000</v>
      </c>
      <c r="P233" s="9">
        <f t="shared" si="396"/>
        <v>611100</v>
      </c>
      <c r="Q233" s="9">
        <f t="shared" si="396"/>
        <v>626600</v>
      </c>
      <c r="R233" s="9">
        <f t="shared" si="396"/>
        <v>642500</v>
      </c>
      <c r="S233" s="47">
        <f t="shared" si="396"/>
        <v>658700</v>
      </c>
    </row>
    <row r="234" spans="1:23" x14ac:dyDescent="0.2">
      <c r="A234" s="54">
        <f>(SUM(A700:A702))</f>
        <v>0</v>
      </c>
      <c r="B234" s="9">
        <f t="shared" ref="B234:D234" si="397">(SUM(B700:B702))</f>
        <v>0</v>
      </c>
      <c r="C234" s="9">
        <f t="shared" si="397"/>
        <v>0</v>
      </c>
      <c r="D234" s="9">
        <f t="shared" si="397"/>
        <v>0</v>
      </c>
      <c r="E234" s="9">
        <f t="shared" ref="E234" si="398">(SUM(E700:E702))</f>
        <v>21100</v>
      </c>
      <c r="F234" s="240" t="s">
        <v>1538</v>
      </c>
      <c r="G234" s="55" t="s">
        <v>2271</v>
      </c>
      <c r="H234" s="9">
        <f t="shared" ref="H234:R234" si="399">(SUM(H700:H702))</f>
        <v>54700</v>
      </c>
      <c r="I234" s="85">
        <f t="shared" si="379"/>
        <v>159.24170616113744</v>
      </c>
      <c r="J234" s="9">
        <f t="shared" si="399"/>
        <v>51000</v>
      </c>
      <c r="K234" s="9">
        <f t="shared" si="399"/>
        <v>52300</v>
      </c>
      <c r="L234" s="9">
        <f t="shared" si="399"/>
        <v>53700</v>
      </c>
      <c r="M234" s="9">
        <f t="shared" si="399"/>
        <v>55100</v>
      </c>
      <c r="N234" s="9">
        <f t="shared" si="399"/>
        <v>56500</v>
      </c>
      <c r="O234" s="9">
        <f t="shared" si="399"/>
        <v>58000</v>
      </c>
      <c r="P234" s="9">
        <f t="shared" si="399"/>
        <v>59500</v>
      </c>
      <c r="Q234" s="9">
        <f t="shared" si="399"/>
        <v>61000</v>
      </c>
      <c r="R234" s="9">
        <f t="shared" si="399"/>
        <v>62600</v>
      </c>
      <c r="S234" s="47">
        <f t="shared" ref="S234" si="400">(SUM(S700:S702))</f>
        <v>64200</v>
      </c>
    </row>
    <row r="235" spans="1:23" ht="13.5" thickBot="1" x14ac:dyDescent="0.25">
      <c r="A235" s="54"/>
      <c r="B235" s="9"/>
      <c r="C235" s="9"/>
      <c r="D235" s="9"/>
      <c r="E235" s="9"/>
      <c r="F235" s="177"/>
      <c r="G235" s="55"/>
      <c r="H235" s="9"/>
      <c r="I235" s="85"/>
      <c r="J235" s="9"/>
      <c r="K235" s="9"/>
      <c r="L235" s="9"/>
      <c r="M235" s="9"/>
      <c r="N235" s="9"/>
      <c r="O235" s="9"/>
      <c r="P235" s="9"/>
      <c r="Q235" s="9"/>
      <c r="R235" s="9"/>
      <c r="S235" s="47"/>
    </row>
    <row r="236" spans="1:23" s="39" customFormat="1" x14ac:dyDescent="0.2">
      <c r="A236" s="52">
        <f>SUBTOTAL(9,A226:A235)</f>
        <v>1577000</v>
      </c>
      <c r="B236" s="16">
        <f>SUBTOTAL(9,B226:B235)</f>
        <v>1838300</v>
      </c>
      <c r="C236" s="16">
        <f>SUBTOTAL(9,C226:C235)</f>
        <v>1913000</v>
      </c>
      <c r="D236" s="16">
        <f>SUBTOTAL(9,D226:D235)</f>
        <v>2049200</v>
      </c>
      <c r="E236" s="16">
        <f>SUBTOTAL(9,E226:E235)</f>
        <v>2375000</v>
      </c>
      <c r="F236" s="188"/>
      <c r="G236" s="59" t="s">
        <v>556</v>
      </c>
      <c r="H236" s="16">
        <f t="shared" ref="H236:P236" si="401">SUBTOTAL(9,H226:H235)</f>
        <v>2603000</v>
      </c>
      <c r="I236" s="127">
        <f>IF(E236=H236,0,IF(E236=0,100,(H236-E236)/E236*100))</f>
        <v>9.6</v>
      </c>
      <c r="J236" s="16">
        <f t="shared" si="401"/>
        <v>2671400</v>
      </c>
      <c r="K236" s="16">
        <f t="shared" si="401"/>
        <v>2735600</v>
      </c>
      <c r="L236" s="16">
        <f t="shared" si="401"/>
        <v>2801600</v>
      </c>
      <c r="M236" s="16">
        <f t="shared" si="401"/>
        <v>2869200</v>
      </c>
      <c r="N236" s="16">
        <f t="shared" si="401"/>
        <v>2938100</v>
      </c>
      <c r="O236" s="16">
        <f t="shared" si="401"/>
        <v>3008600</v>
      </c>
      <c r="P236" s="16">
        <f t="shared" si="401"/>
        <v>3081100</v>
      </c>
      <c r="Q236" s="16">
        <f t="shared" ref="Q236" si="402">SUBTOTAL(9,Q226:Q235)</f>
        <v>3155200</v>
      </c>
      <c r="R236" s="16">
        <f t="shared" ref="R236" si="403">SUBTOTAL(9,R226:R235)</f>
        <v>3231300</v>
      </c>
      <c r="S236" s="2342">
        <f t="shared" ref="S236" si="404">SUBTOTAL(9,S226:S235)</f>
        <v>3309000</v>
      </c>
      <c r="U236" s="34"/>
      <c r="W236" s="34"/>
    </row>
    <row r="237" spans="1:23" x14ac:dyDescent="0.2">
      <c r="A237" s="54"/>
      <c r="B237" s="9"/>
      <c r="C237" s="9"/>
      <c r="D237" s="9"/>
      <c r="E237" s="9"/>
      <c r="F237" s="177"/>
      <c r="G237" s="55"/>
      <c r="H237" s="9"/>
      <c r="I237" s="85"/>
      <c r="J237" s="9"/>
      <c r="K237" s="9"/>
      <c r="L237" s="9"/>
      <c r="M237" s="9"/>
      <c r="N237" s="9"/>
      <c r="O237" s="9"/>
      <c r="P237" s="9"/>
      <c r="Q237" s="9"/>
      <c r="R237" s="9"/>
      <c r="S237" s="47"/>
    </row>
    <row r="238" spans="1:23" s="39" customFormat="1" x14ac:dyDescent="0.2">
      <c r="A238" s="24">
        <f>A224-A236</f>
        <v>-1573000</v>
      </c>
      <c r="B238" s="21">
        <f>B224-B236</f>
        <v>-1824700</v>
      </c>
      <c r="C238" s="21">
        <f>C224-C236</f>
        <v>-1895400</v>
      </c>
      <c r="D238" s="21">
        <f>D224-D236</f>
        <v>-2046100</v>
      </c>
      <c r="E238" s="21">
        <f t="shared" ref="E238" si="405">E224-E236</f>
        <v>-2143900</v>
      </c>
      <c r="F238" s="188"/>
      <c r="G238" s="1161" t="s">
        <v>1002</v>
      </c>
      <c r="H238" s="21">
        <f t="shared" ref="H238:P238" si="406">H224-H236</f>
        <v>-2500000</v>
      </c>
      <c r="I238" s="126">
        <f>IF(E238=H238,0,IF(E238=0,100,(H238-E238)/E238*100))</f>
        <v>16.609916507299779</v>
      </c>
      <c r="J238" s="21">
        <f t="shared" si="406"/>
        <v>-2578400</v>
      </c>
      <c r="K238" s="21">
        <f t="shared" si="406"/>
        <v>-2640200</v>
      </c>
      <c r="L238" s="21">
        <f t="shared" si="406"/>
        <v>-2703700</v>
      </c>
      <c r="M238" s="21">
        <f t="shared" si="406"/>
        <v>-2768800</v>
      </c>
      <c r="N238" s="21">
        <f t="shared" si="406"/>
        <v>-2835100</v>
      </c>
      <c r="O238" s="21">
        <f t="shared" si="406"/>
        <v>-2903000</v>
      </c>
      <c r="P238" s="21">
        <f t="shared" si="406"/>
        <v>-2972800</v>
      </c>
      <c r="Q238" s="21">
        <f t="shared" ref="Q238" si="407">Q224-Q236</f>
        <v>-3044100</v>
      </c>
      <c r="R238" s="21">
        <f t="shared" ref="R238" si="408">R224-R236</f>
        <v>-3117400</v>
      </c>
      <c r="S238" s="86">
        <f t="shared" ref="S238" si="409">S224-S236</f>
        <v>-3192200</v>
      </c>
      <c r="U238" s="34"/>
      <c r="W238" s="34"/>
    </row>
    <row r="239" spans="1:23" x14ac:dyDescent="0.2">
      <c r="A239" s="54">
        <v>0</v>
      </c>
      <c r="B239" s="9">
        <v>0</v>
      </c>
      <c r="C239" s="9">
        <v>0</v>
      </c>
      <c r="D239" s="9">
        <v>0</v>
      </c>
      <c r="E239" s="9">
        <v>0</v>
      </c>
      <c r="F239" s="177"/>
      <c r="G239" s="217" t="s">
        <v>1943</v>
      </c>
      <c r="H239" s="9">
        <v>0</v>
      </c>
      <c r="I239" s="85">
        <f>IF(E239=H239,0,IF(E239=0,100,(H239-E239)/E239*100))</f>
        <v>0</v>
      </c>
      <c r="J239" s="9">
        <v>0</v>
      </c>
      <c r="K239" s="9">
        <v>0</v>
      </c>
      <c r="L239" s="9">
        <v>0</v>
      </c>
      <c r="M239" s="9">
        <v>0</v>
      </c>
      <c r="N239" s="9">
        <v>0</v>
      </c>
      <c r="O239" s="9">
        <v>0</v>
      </c>
      <c r="P239" s="9">
        <v>0</v>
      </c>
      <c r="Q239" s="9">
        <v>0</v>
      </c>
      <c r="R239" s="9">
        <v>0</v>
      </c>
      <c r="S239" s="47">
        <v>0</v>
      </c>
    </row>
    <row r="240" spans="1:23" s="39" customFormat="1" x14ac:dyDescent="0.2">
      <c r="A240" s="128">
        <f>A238+A239</f>
        <v>-1573000</v>
      </c>
      <c r="B240" s="280">
        <f>B238+B239</f>
        <v>-1824700</v>
      </c>
      <c r="C240" s="280">
        <f>C238+C239</f>
        <v>-1895400</v>
      </c>
      <c r="D240" s="280">
        <f>D238+D239</f>
        <v>-2046100</v>
      </c>
      <c r="E240" s="280">
        <f t="shared" ref="E240" si="410">E238+E239</f>
        <v>-2143900</v>
      </c>
      <c r="F240" s="359"/>
      <c r="G240" s="360" t="s">
        <v>1659</v>
      </c>
      <c r="H240" s="280">
        <f t="shared" ref="H240:O240" si="411">H238+H239</f>
        <v>-2500000</v>
      </c>
      <c r="I240" s="278">
        <f>IF(E240=H240,0,IF(E240=0,100,(H240-E240)/E240*100))</f>
        <v>16.609916507299779</v>
      </c>
      <c r="J240" s="280">
        <f t="shared" si="411"/>
        <v>-2578400</v>
      </c>
      <c r="K240" s="280">
        <f t="shared" si="411"/>
        <v>-2640200</v>
      </c>
      <c r="L240" s="280">
        <f t="shared" si="411"/>
        <v>-2703700</v>
      </c>
      <c r="M240" s="280">
        <f t="shared" si="411"/>
        <v>-2768800</v>
      </c>
      <c r="N240" s="280">
        <f t="shared" si="411"/>
        <v>-2835100</v>
      </c>
      <c r="O240" s="280">
        <f t="shared" si="411"/>
        <v>-2903000</v>
      </c>
      <c r="P240" s="280">
        <f t="shared" ref="P240:Q240" si="412">P238+P239</f>
        <v>-2972800</v>
      </c>
      <c r="Q240" s="280">
        <f t="shared" si="412"/>
        <v>-3044100</v>
      </c>
      <c r="R240" s="280">
        <f t="shared" ref="R240" si="413">R238+R239</f>
        <v>-3117400</v>
      </c>
      <c r="S240" s="2343">
        <f t="shared" ref="S240" si="414">S238+S239</f>
        <v>-3192200</v>
      </c>
      <c r="U240" s="34"/>
      <c r="W240" s="34"/>
    </row>
    <row r="241" spans="1:23" ht="13.5" thickBot="1" x14ac:dyDescent="0.25">
      <c r="A241" s="118"/>
      <c r="B241" s="23"/>
      <c r="C241" s="23"/>
      <c r="D241" s="23"/>
      <c r="E241" s="23"/>
      <c r="F241" s="389"/>
      <c r="G241" s="120"/>
      <c r="H241" s="68"/>
      <c r="I241" s="87"/>
      <c r="J241" s="68"/>
      <c r="K241" s="68"/>
      <c r="L241" s="68"/>
      <c r="M241" s="68"/>
      <c r="N241" s="68"/>
      <c r="O241" s="68"/>
      <c r="P241" s="68"/>
      <c r="Q241" s="68"/>
      <c r="R241" s="68"/>
      <c r="S241" s="108"/>
    </row>
    <row r="242" spans="1:23" ht="13.5" thickTop="1" x14ac:dyDescent="0.2">
      <c r="A242" s="270"/>
      <c r="B242" s="109"/>
      <c r="C242" s="109"/>
      <c r="D242" s="109"/>
      <c r="E242" s="74"/>
      <c r="F242" s="192"/>
      <c r="G242" s="258"/>
      <c r="H242" s="74"/>
      <c r="I242" s="352"/>
      <c r="J242" s="74"/>
      <c r="K242" s="74"/>
      <c r="L242" s="74"/>
      <c r="M242" s="74"/>
      <c r="N242" s="74"/>
      <c r="O242" s="74"/>
      <c r="P242" s="74"/>
      <c r="Q242" s="74"/>
      <c r="R242" s="74"/>
      <c r="S242" s="110"/>
    </row>
    <row r="243" spans="1:23" x14ac:dyDescent="0.2">
      <c r="A243" s="24"/>
      <c r="B243" s="21"/>
      <c r="C243" s="21"/>
      <c r="D243" s="21"/>
      <c r="E243" s="9"/>
      <c r="F243" s="189"/>
      <c r="G243" s="361" t="s">
        <v>192</v>
      </c>
      <c r="H243" s="9"/>
      <c r="I243" s="126"/>
      <c r="J243" s="9"/>
      <c r="K243" s="9"/>
      <c r="L243" s="9"/>
      <c r="M243" s="9"/>
      <c r="N243" s="9"/>
      <c r="O243" s="9"/>
      <c r="P243" s="9"/>
      <c r="Q243" s="9"/>
      <c r="R243" s="9"/>
      <c r="S243" s="61"/>
    </row>
    <row r="244" spans="1:23" x14ac:dyDescent="0.2">
      <c r="A244" s="24"/>
      <c r="B244" s="21"/>
      <c r="C244" s="21"/>
      <c r="D244" s="21"/>
      <c r="E244" s="9"/>
      <c r="F244" s="165"/>
      <c r="G244" s="260"/>
      <c r="H244" s="9"/>
      <c r="I244" s="126"/>
      <c r="J244" s="9"/>
      <c r="K244" s="9"/>
      <c r="L244" s="9"/>
      <c r="M244" s="9"/>
      <c r="N244" s="9"/>
      <c r="O244" s="9"/>
      <c r="P244" s="9"/>
      <c r="Q244" s="9"/>
      <c r="R244" s="9"/>
      <c r="S244" s="61"/>
    </row>
    <row r="245" spans="1:23" x14ac:dyDescent="0.2">
      <c r="A245" s="54">
        <f t="shared" ref="A245:A249" si="415">ROUND(A712,-3)</f>
        <v>0</v>
      </c>
      <c r="B245" s="9">
        <f t="shared" ref="B245:C249" si="416">B712</f>
        <v>0</v>
      </c>
      <c r="C245" s="9">
        <f t="shared" si="416"/>
        <v>0</v>
      </c>
      <c r="D245" s="9">
        <f t="shared" ref="D245:E249" si="417">D712</f>
        <v>0</v>
      </c>
      <c r="E245" s="9">
        <f t="shared" si="417"/>
        <v>0</v>
      </c>
      <c r="F245" s="165"/>
      <c r="G245" s="257" t="s">
        <v>2848</v>
      </c>
      <c r="H245" s="9">
        <f t="shared" ref="H245:O245" si="418">H712</f>
        <v>0</v>
      </c>
      <c r="I245" s="85">
        <f>IF(E245=H245,0,IF(E245=0,100,(H245-E245)/E245*100))</f>
        <v>0</v>
      </c>
      <c r="J245" s="9">
        <f t="shared" si="418"/>
        <v>0</v>
      </c>
      <c r="K245" s="9">
        <f t="shared" si="418"/>
        <v>0</v>
      </c>
      <c r="L245" s="9">
        <f t="shared" si="418"/>
        <v>0</v>
      </c>
      <c r="M245" s="9">
        <f t="shared" si="418"/>
        <v>0</v>
      </c>
      <c r="N245" s="9">
        <f t="shared" si="418"/>
        <v>0</v>
      </c>
      <c r="O245" s="9">
        <f t="shared" si="418"/>
        <v>0</v>
      </c>
      <c r="P245" s="9">
        <f t="shared" ref="P245:Q245" si="419">P712</f>
        <v>0</v>
      </c>
      <c r="Q245" s="9">
        <f t="shared" si="419"/>
        <v>0</v>
      </c>
      <c r="R245" s="9">
        <f t="shared" ref="R245:S245" si="420">R712</f>
        <v>0</v>
      </c>
      <c r="S245" s="61">
        <f t="shared" si="420"/>
        <v>0</v>
      </c>
    </row>
    <row r="246" spans="1:23" x14ac:dyDescent="0.2">
      <c r="A246" s="54">
        <f t="shared" si="415"/>
        <v>0</v>
      </c>
      <c r="B246" s="9">
        <f t="shared" si="416"/>
        <v>0</v>
      </c>
      <c r="C246" s="9">
        <f t="shared" si="416"/>
        <v>40000</v>
      </c>
      <c r="D246" s="9">
        <f t="shared" si="417"/>
        <v>59100</v>
      </c>
      <c r="E246" s="9">
        <f t="shared" si="417"/>
        <v>139200</v>
      </c>
      <c r="F246" s="165"/>
      <c r="G246" s="257" t="s">
        <v>1909</v>
      </c>
      <c r="H246" s="9">
        <f t="shared" ref="H246:O246" si="421">H713</f>
        <v>0</v>
      </c>
      <c r="I246" s="85">
        <f>IF(E246=H246,0,IF(E246=0,100,(H246-E246)/E246*100))</f>
        <v>-100</v>
      </c>
      <c r="J246" s="9">
        <f t="shared" si="421"/>
        <v>0</v>
      </c>
      <c r="K246" s="9">
        <f t="shared" si="421"/>
        <v>0</v>
      </c>
      <c r="L246" s="9">
        <f t="shared" si="421"/>
        <v>0</v>
      </c>
      <c r="M246" s="9">
        <f t="shared" si="421"/>
        <v>0</v>
      </c>
      <c r="N246" s="9">
        <f t="shared" si="421"/>
        <v>0</v>
      </c>
      <c r="O246" s="9">
        <f t="shared" si="421"/>
        <v>0</v>
      </c>
      <c r="P246" s="9">
        <f t="shared" ref="P246:Q246" si="422">P713</f>
        <v>0</v>
      </c>
      <c r="Q246" s="9">
        <f t="shared" si="422"/>
        <v>0</v>
      </c>
      <c r="R246" s="9">
        <f t="shared" ref="R246:S246" si="423">R713</f>
        <v>0</v>
      </c>
      <c r="S246" s="61">
        <f t="shared" si="423"/>
        <v>0</v>
      </c>
    </row>
    <row r="247" spans="1:23" x14ac:dyDescent="0.2">
      <c r="A247" s="54">
        <f t="shared" si="415"/>
        <v>0</v>
      </c>
      <c r="B247" s="9">
        <f t="shared" si="416"/>
        <v>0</v>
      </c>
      <c r="C247" s="9">
        <f t="shared" si="416"/>
        <v>0</v>
      </c>
      <c r="D247" s="9">
        <f t="shared" si="417"/>
        <v>40000</v>
      </c>
      <c r="E247" s="9">
        <f t="shared" si="417"/>
        <v>32000</v>
      </c>
      <c r="F247" s="165"/>
      <c r="G247" s="257" t="s">
        <v>2309</v>
      </c>
      <c r="H247" s="9">
        <f t="shared" ref="H247:O247" si="424">H714</f>
        <v>154200</v>
      </c>
      <c r="I247" s="85">
        <f>IF(E247=H247,0,IF(E247=0,100,(H247-E247)/E247*100))</f>
        <v>381.875</v>
      </c>
      <c r="J247" s="9">
        <f t="shared" si="424"/>
        <v>0</v>
      </c>
      <c r="K247" s="9">
        <f t="shared" si="424"/>
        <v>0</v>
      </c>
      <c r="L247" s="9">
        <f t="shared" si="424"/>
        <v>0</v>
      </c>
      <c r="M247" s="9">
        <f t="shared" si="424"/>
        <v>0</v>
      </c>
      <c r="N247" s="9">
        <f t="shared" si="424"/>
        <v>0</v>
      </c>
      <c r="O247" s="9">
        <f t="shared" si="424"/>
        <v>0</v>
      </c>
      <c r="P247" s="9">
        <f t="shared" ref="P247:Q247" si="425">P714</f>
        <v>0</v>
      </c>
      <c r="Q247" s="9">
        <f t="shared" si="425"/>
        <v>0</v>
      </c>
      <c r="R247" s="9">
        <f t="shared" ref="R247:S247" si="426">R714</f>
        <v>0</v>
      </c>
      <c r="S247" s="61">
        <f t="shared" si="426"/>
        <v>0</v>
      </c>
    </row>
    <row r="248" spans="1:23" x14ac:dyDescent="0.2">
      <c r="A248" s="54">
        <f t="shared" si="415"/>
        <v>0</v>
      </c>
      <c r="B248" s="9">
        <f t="shared" si="416"/>
        <v>0</v>
      </c>
      <c r="C248" s="9">
        <f t="shared" si="416"/>
        <v>0</v>
      </c>
      <c r="D248" s="9">
        <f t="shared" si="417"/>
        <v>0</v>
      </c>
      <c r="E248" s="9">
        <f t="shared" si="417"/>
        <v>0</v>
      </c>
      <c r="F248" s="165"/>
      <c r="G248" s="257" t="s">
        <v>5847</v>
      </c>
      <c r="H248" s="9">
        <f t="shared" ref="H248:O248" si="427">H715</f>
        <v>0</v>
      </c>
      <c r="I248" s="85">
        <f>IF(E248=H248,0,IF(E248=0,100,(H248-E248)/E248*100))</f>
        <v>0</v>
      </c>
      <c r="J248" s="9">
        <f t="shared" si="427"/>
        <v>0</v>
      </c>
      <c r="K248" s="9">
        <f t="shared" si="427"/>
        <v>0</v>
      </c>
      <c r="L248" s="9">
        <f t="shared" si="427"/>
        <v>0</v>
      </c>
      <c r="M248" s="9">
        <f t="shared" si="427"/>
        <v>0</v>
      </c>
      <c r="N248" s="9">
        <f t="shared" si="427"/>
        <v>0</v>
      </c>
      <c r="O248" s="9">
        <f t="shared" si="427"/>
        <v>0</v>
      </c>
      <c r="P248" s="9">
        <f t="shared" ref="P248:Q248" si="428">P715</f>
        <v>0</v>
      </c>
      <c r="Q248" s="9">
        <f t="shared" si="428"/>
        <v>0</v>
      </c>
      <c r="R248" s="9">
        <f t="shared" ref="R248:S248" si="429">R715</f>
        <v>0</v>
      </c>
      <c r="S248" s="61">
        <f t="shared" si="429"/>
        <v>0</v>
      </c>
    </row>
    <row r="249" spans="1:23" x14ac:dyDescent="0.2">
      <c r="A249" s="54">
        <f t="shared" si="415"/>
        <v>20000</v>
      </c>
      <c r="B249" s="9">
        <f t="shared" si="416"/>
        <v>26600</v>
      </c>
      <c r="C249" s="9">
        <f t="shared" si="416"/>
        <v>11400</v>
      </c>
      <c r="D249" s="9">
        <f t="shared" si="417"/>
        <v>54300</v>
      </c>
      <c r="E249" s="9">
        <f t="shared" si="417"/>
        <v>66700</v>
      </c>
      <c r="F249" s="165"/>
      <c r="G249" s="257" t="s">
        <v>958</v>
      </c>
      <c r="H249" s="9">
        <f t="shared" ref="H249:O249" si="430">H716</f>
        <v>124800</v>
      </c>
      <c r="I249" s="85">
        <f>IF(E249=H249,0,IF(E249=0,100,(H249-E249)/E249*100))</f>
        <v>87.106446776611691</v>
      </c>
      <c r="J249" s="9">
        <f t="shared" si="430"/>
        <v>23000</v>
      </c>
      <c r="K249" s="9">
        <f t="shared" si="430"/>
        <v>24000</v>
      </c>
      <c r="L249" s="9">
        <f t="shared" si="430"/>
        <v>25000</v>
      </c>
      <c r="M249" s="9">
        <f t="shared" si="430"/>
        <v>26000</v>
      </c>
      <c r="N249" s="9">
        <f t="shared" si="430"/>
        <v>27000</v>
      </c>
      <c r="O249" s="9">
        <f t="shared" si="430"/>
        <v>28000</v>
      </c>
      <c r="P249" s="9">
        <f t="shared" ref="P249:Q249" si="431">P716</f>
        <v>29000</v>
      </c>
      <c r="Q249" s="9">
        <f t="shared" si="431"/>
        <v>30000</v>
      </c>
      <c r="R249" s="9">
        <f t="shared" ref="R249:S249" si="432">R716</f>
        <v>31000</v>
      </c>
      <c r="S249" s="61">
        <f t="shared" si="432"/>
        <v>32000</v>
      </c>
    </row>
    <row r="250" spans="1:23" x14ac:dyDescent="0.2">
      <c r="A250" s="54"/>
      <c r="B250" s="9"/>
      <c r="C250" s="9"/>
      <c r="D250" s="9"/>
      <c r="E250" s="9"/>
      <c r="F250" s="189"/>
      <c r="G250" s="361"/>
      <c r="H250" s="9"/>
      <c r="I250" s="85"/>
      <c r="J250" s="9"/>
      <c r="K250" s="9"/>
      <c r="L250" s="9"/>
      <c r="M250" s="9"/>
      <c r="N250" s="9"/>
      <c r="O250" s="9"/>
      <c r="P250" s="9"/>
      <c r="Q250" s="9"/>
      <c r="R250" s="9"/>
      <c r="S250" s="61"/>
    </row>
    <row r="251" spans="1:23" s="39" customFormat="1" x14ac:dyDescent="0.2">
      <c r="A251" s="128">
        <f>A240-A245-A246+A247++A248-A249</f>
        <v>-1593000</v>
      </c>
      <c r="B251" s="280">
        <f>B240-B245-B246+B247++B248-B249</f>
        <v>-1851300</v>
      </c>
      <c r="C251" s="280">
        <f>C240-C245-C246+C247++C248-C249</f>
        <v>-1946800</v>
      </c>
      <c r="D251" s="280">
        <f>D240-D245-D246+D247++D248-D249</f>
        <v>-2119500</v>
      </c>
      <c r="E251" s="280">
        <f t="shared" ref="E251" si="433">E240-E245-E246+E247++E248-E249</f>
        <v>-2317800</v>
      </c>
      <c r="F251" s="362"/>
      <c r="G251" s="363" t="s">
        <v>2447</v>
      </c>
      <c r="H251" s="280">
        <f t="shared" ref="H251:O251" si="434">H240-H245-H246+H247++H248-H249</f>
        <v>-2470600</v>
      </c>
      <c r="I251" s="278">
        <f>IF(E251=H251,0,IF(E251=0,100,(H251-E251)/E251*100))</f>
        <v>6.5924583656916047</v>
      </c>
      <c r="J251" s="280">
        <f t="shared" si="434"/>
        <v>-2601400</v>
      </c>
      <c r="K251" s="280">
        <f t="shared" si="434"/>
        <v>-2664200</v>
      </c>
      <c r="L251" s="280">
        <f t="shared" si="434"/>
        <v>-2728700</v>
      </c>
      <c r="M251" s="280">
        <f t="shared" si="434"/>
        <v>-2794800</v>
      </c>
      <c r="N251" s="280">
        <f t="shared" si="434"/>
        <v>-2862100</v>
      </c>
      <c r="O251" s="280">
        <f t="shared" si="434"/>
        <v>-2931000</v>
      </c>
      <c r="P251" s="280">
        <f t="shared" ref="P251:Q251" si="435">P240-P245-P246+P247++P248-P249</f>
        <v>-3001800</v>
      </c>
      <c r="Q251" s="280">
        <f t="shared" si="435"/>
        <v>-3074100</v>
      </c>
      <c r="R251" s="280">
        <f t="shared" ref="R251:S251" si="436">R240-R245-R246+R247++R248-R249</f>
        <v>-3148400</v>
      </c>
      <c r="S251" s="282">
        <f t="shared" si="436"/>
        <v>-3224200</v>
      </c>
      <c r="U251" s="34"/>
      <c r="W251" s="34"/>
    </row>
    <row r="252" spans="1:23" ht="13.5" thickBot="1" x14ac:dyDescent="0.25">
      <c r="A252" s="26"/>
      <c r="B252" s="37"/>
      <c r="C252" s="37"/>
      <c r="D252" s="37"/>
      <c r="E252" s="23"/>
      <c r="F252" s="400"/>
      <c r="G252" s="259"/>
      <c r="H252" s="23"/>
      <c r="I252" s="275"/>
      <c r="J252" s="23"/>
      <c r="K252" s="23"/>
      <c r="L252" s="23"/>
      <c r="M252" s="23"/>
      <c r="N252" s="23"/>
      <c r="O252" s="23"/>
      <c r="P252" s="23"/>
      <c r="Q252" s="23"/>
      <c r="R252" s="23"/>
      <c r="S252" s="112"/>
    </row>
    <row r="253" spans="1:23" ht="13.5" thickTop="1" x14ac:dyDescent="0.2">
      <c r="A253" s="46"/>
      <c r="B253" s="46"/>
      <c r="F253" s="189"/>
      <c r="G253" s="55"/>
      <c r="I253" s="70"/>
    </row>
    <row r="254" spans="1:23" ht="13.5" thickBot="1" x14ac:dyDescent="0.25">
      <c r="A254" s="27"/>
      <c r="B254" s="27"/>
      <c r="C254" s="27"/>
      <c r="D254" s="27"/>
      <c r="F254" s="189"/>
      <c r="G254" s="84"/>
      <c r="H254" s="46"/>
      <c r="I254" s="2234"/>
      <c r="J254" s="46"/>
      <c r="K254" s="46"/>
      <c r="L254" s="46"/>
      <c r="M254" s="46"/>
      <c r="N254" s="46"/>
      <c r="O254" s="46"/>
      <c r="P254" s="46"/>
      <c r="Q254" s="46"/>
      <c r="R254" s="46"/>
      <c r="S254" s="46"/>
    </row>
    <row r="255" spans="1:23" s="38" customFormat="1" ht="18.75" customHeight="1" thickTop="1" thickBot="1" x14ac:dyDescent="0.3">
      <c r="A255" s="2588" t="s">
        <v>277</v>
      </c>
      <c r="B255" s="2589"/>
      <c r="C255" s="2589"/>
      <c r="D255" s="2589"/>
      <c r="E255" s="2589"/>
      <c r="F255" s="2589"/>
      <c r="G255" s="2589"/>
      <c r="H255" s="2589"/>
      <c r="I255" s="2589"/>
      <c r="J255" s="2589"/>
      <c r="K255" s="2589"/>
      <c r="L255" s="2589"/>
      <c r="M255" s="2589"/>
      <c r="N255" s="2589"/>
      <c r="O255" s="2589"/>
      <c r="P255" s="2589"/>
      <c r="Q255" s="2589"/>
      <c r="R255" s="2589"/>
      <c r="S255" s="2590"/>
      <c r="U255" s="34"/>
      <c r="W255" s="34"/>
    </row>
    <row r="256" spans="1:23" s="39" customFormat="1" x14ac:dyDescent="0.2">
      <c r="A256" s="2620" t="s">
        <v>1824</v>
      </c>
      <c r="B256" s="2621"/>
      <c r="C256" s="2621"/>
      <c r="D256" s="2621"/>
      <c r="E256" s="2622"/>
      <c r="F256" s="150" t="s">
        <v>2616</v>
      </c>
      <c r="G256" s="126" t="s">
        <v>2213</v>
      </c>
      <c r="H256" s="2617" t="s">
        <v>2215</v>
      </c>
      <c r="I256" s="2618"/>
      <c r="J256" s="2618"/>
      <c r="K256" s="2618"/>
      <c r="L256" s="2618"/>
      <c r="M256" s="2618"/>
      <c r="N256" s="2618"/>
      <c r="O256" s="2618"/>
      <c r="P256" s="2618"/>
      <c r="Q256" s="2618"/>
      <c r="R256" s="2618"/>
      <c r="S256" s="2619"/>
      <c r="U256" s="34"/>
      <c r="W256" s="34"/>
    </row>
    <row r="257" spans="1:19" ht="13.5" thickBot="1" x14ac:dyDescent="0.25">
      <c r="A257" s="1526" t="str">
        <f>A3</f>
        <v>2012/13</v>
      </c>
      <c r="B257" s="40" t="str">
        <f>B3</f>
        <v>2013/14</v>
      </c>
      <c r="C257" s="40" t="str">
        <f>C3</f>
        <v>2014/15</v>
      </c>
      <c r="D257" s="1445" t="str">
        <f>D3</f>
        <v>2015/16</v>
      </c>
      <c r="E257" s="40" t="str">
        <f>E3</f>
        <v>2016/17</v>
      </c>
      <c r="F257" s="40" t="s">
        <v>2617</v>
      </c>
      <c r="G257" s="68"/>
      <c r="H257" s="40" t="str">
        <f>H3</f>
        <v>2017/18</v>
      </c>
      <c r="I257" s="1459" t="s">
        <v>492</v>
      </c>
      <c r="J257" s="40" t="str">
        <f t="shared" ref="J257:S257" si="437">J3</f>
        <v>2018/19</v>
      </c>
      <c r="K257" s="40" t="str">
        <f t="shared" si="437"/>
        <v>2019/20</v>
      </c>
      <c r="L257" s="40" t="str">
        <f t="shared" si="437"/>
        <v>2020/21</v>
      </c>
      <c r="M257" s="40" t="str">
        <f t="shared" si="437"/>
        <v>2021/22</v>
      </c>
      <c r="N257" s="40" t="str">
        <f t="shared" si="437"/>
        <v>2022/23</v>
      </c>
      <c r="O257" s="40" t="str">
        <f t="shared" si="437"/>
        <v>2023/24</v>
      </c>
      <c r="P257" s="40" t="str">
        <f t="shared" si="437"/>
        <v>2024/25</v>
      </c>
      <c r="Q257" s="28" t="str">
        <f t="shared" si="437"/>
        <v>2025/26</v>
      </c>
      <c r="R257" s="28" t="str">
        <f t="shared" si="437"/>
        <v>2026/27</v>
      </c>
      <c r="S257" s="1620" t="str">
        <f t="shared" si="437"/>
        <v>2027/28</v>
      </c>
    </row>
    <row r="258" spans="1:19" x14ac:dyDescent="0.2">
      <c r="A258" s="54"/>
      <c r="B258" s="9"/>
      <c r="C258" s="9"/>
      <c r="D258" s="29"/>
      <c r="E258" s="9"/>
      <c r="F258" s="175"/>
      <c r="G258" s="21"/>
      <c r="H258" s="9"/>
      <c r="I258" s="85"/>
      <c r="J258" s="9"/>
      <c r="K258" s="9"/>
      <c r="L258" s="9"/>
      <c r="M258" s="9"/>
      <c r="N258" s="9"/>
      <c r="O258" s="9"/>
      <c r="P258" s="9"/>
      <c r="Q258" s="9"/>
      <c r="R258" s="9"/>
      <c r="S258" s="61"/>
    </row>
    <row r="259" spans="1:19" x14ac:dyDescent="0.2">
      <c r="A259" s="54"/>
      <c r="B259" s="9"/>
      <c r="C259" s="9"/>
      <c r="D259" s="29"/>
      <c r="E259" s="9"/>
      <c r="F259" s="175"/>
      <c r="G259" s="256" t="s">
        <v>1056</v>
      </c>
      <c r="H259" s="9"/>
      <c r="I259" s="85"/>
      <c r="J259" s="9"/>
      <c r="K259" s="9"/>
      <c r="L259" s="9"/>
      <c r="M259" s="9"/>
      <c r="N259" s="9"/>
      <c r="O259" s="9"/>
      <c r="P259" s="9"/>
      <c r="Q259" s="9"/>
      <c r="R259" s="9"/>
      <c r="S259" s="61"/>
    </row>
    <row r="260" spans="1:19" x14ac:dyDescent="0.2">
      <c r="A260" s="54"/>
      <c r="B260" s="9"/>
      <c r="D260" s="29"/>
      <c r="E260" s="9"/>
      <c r="F260" s="239"/>
      <c r="G260" s="9"/>
      <c r="H260" s="9"/>
      <c r="I260" s="85"/>
      <c r="J260" s="9"/>
      <c r="K260" s="9"/>
      <c r="L260" s="9"/>
      <c r="M260" s="9"/>
      <c r="N260" s="9"/>
      <c r="O260" s="9"/>
      <c r="P260" s="9"/>
      <c r="Q260" s="9"/>
      <c r="R260" s="9"/>
      <c r="S260" s="61"/>
    </row>
    <row r="261" spans="1:19" x14ac:dyDescent="0.2">
      <c r="A261" s="54">
        <f>ROUND(SUM(A728:A728),-3)</f>
        <v>13000</v>
      </c>
      <c r="B261" s="9">
        <f t="shared" ref="B261:C261" si="438">SUM(B728:B728)</f>
        <v>47100</v>
      </c>
      <c r="C261" s="46">
        <f t="shared" si="438"/>
        <v>32000</v>
      </c>
      <c r="D261" s="29">
        <f>SUM(D728:D728)</f>
        <v>34600</v>
      </c>
      <c r="E261" s="9">
        <f t="shared" ref="E261" si="439">SUM(E728:E728)</f>
        <v>15900</v>
      </c>
      <c r="F261" s="239" t="s">
        <v>2784</v>
      </c>
      <c r="G261" s="9" t="s">
        <v>217</v>
      </c>
      <c r="H261" s="9">
        <f t="shared" ref="H261:O261" si="440">SUM(H728:H728)</f>
        <v>18000</v>
      </c>
      <c r="I261" s="85">
        <f>IF(E261=H261,0,IF(E261=0,100,(H261-E261)/E261*100))</f>
        <v>13.20754716981132</v>
      </c>
      <c r="J261" s="9">
        <f t="shared" si="440"/>
        <v>18000</v>
      </c>
      <c r="K261" s="9">
        <f t="shared" si="440"/>
        <v>18500</v>
      </c>
      <c r="L261" s="9">
        <f t="shared" si="440"/>
        <v>19000</v>
      </c>
      <c r="M261" s="9">
        <f t="shared" si="440"/>
        <v>19500</v>
      </c>
      <c r="N261" s="9">
        <f t="shared" si="440"/>
        <v>20000</v>
      </c>
      <c r="O261" s="9">
        <f t="shared" si="440"/>
        <v>20500</v>
      </c>
      <c r="P261" s="9">
        <f t="shared" ref="P261:Q261" si="441">SUM(P728:P728)</f>
        <v>21100</v>
      </c>
      <c r="Q261" s="9">
        <f t="shared" si="441"/>
        <v>21700</v>
      </c>
      <c r="R261" s="9">
        <f t="shared" ref="R261" si="442">SUM(R728:R728)</f>
        <v>22300</v>
      </c>
      <c r="S261" s="47">
        <f t="shared" ref="S261" si="443">SUM(S728:S728)</f>
        <v>22900</v>
      </c>
    </row>
    <row r="262" spans="1:19" x14ac:dyDescent="0.2">
      <c r="A262" s="54">
        <f>ROUND(SUM(A730:A730),-3)</f>
        <v>61000</v>
      </c>
      <c r="B262" s="9">
        <f t="shared" ref="B262:E263" si="444">SUM(B730:B730)</f>
        <v>29400</v>
      </c>
      <c r="C262" s="46">
        <f t="shared" si="444"/>
        <v>26800</v>
      </c>
      <c r="D262" s="29">
        <f t="shared" si="444"/>
        <v>29300</v>
      </c>
      <c r="E262" s="9">
        <f>SUM(E729:E730)</f>
        <v>124100</v>
      </c>
      <c r="F262" s="239" t="s">
        <v>2784</v>
      </c>
      <c r="G262" s="9" t="s">
        <v>2278</v>
      </c>
      <c r="H262" s="9">
        <f>SUM(H729:H730)</f>
        <v>21000</v>
      </c>
      <c r="I262" s="85">
        <f>IF(E262=H262,0,IF(E262=0,100,(H262-E262)/E262*100))</f>
        <v>-83.078162771958091</v>
      </c>
      <c r="J262" s="9">
        <f>SUM(J729:J730)</f>
        <v>10000</v>
      </c>
      <c r="K262" s="9">
        <f t="shared" ref="K262:R262" si="445">SUM(K729:K730)</f>
        <v>10300</v>
      </c>
      <c r="L262" s="9">
        <f t="shared" si="445"/>
        <v>10600</v>
      </c>
      <c r="M262" s="9">
        <f t="shared" si="445"/>
        <v>10900</v>
      </c>
      <c r="N262" s="9">
        <f t="shared" si="445"/>
        <v>11200</v>
      </c>
      <c r="O262" s="9">
        <f t="shared" si="445"/>
        <v>11500</v>
      </c>
      <c r="P262" s="9">
        <f t="shared" si="445"/>
        <v>11800</v>
      </c>
      <c r="Q262" s="9">
        <f t="shared" si="445"/>
        <v>12100</v>
      </c>
      <c r="R262" s="9">
        <f t="shared" si="445"/>
        <v>12500</v>
      </c>
      <c r="S262" s="47">
        <f t="shared" ref="S262" si="446">SUM(S729:S730)</f>
        <v>12900</v>
      </c>
    </row>
    <row r="263" spans="1:19" x14ac:dyDescent="0.2">
      <c r="A263" s="54">
        <f>ROUND(SUM(A731:A731),-3)</f>
        <v>16000</v>
      </c>
      <c r="B263" s="9">
        <f t="shared" si="444"/>
        <v>7500</v>
      </c>
      <c r="C263" s="46">
        <f t="shared" si="444"/>
        <v>9000</v>
      </c>
      <c r="D263" s="29">
        <f t="shared" si="444"/>
        <v>11800</v>
      </c>
      <c r="E263" s="9">
        <f t="shared" si="444"/>
        <v>12100</v>
      </c>
      <c r="F263" s="239" t="s">
        <v>2784</v>
      </c>
      <c r="G263" s="79" t="s">
        <v>3058</v>
      </c>
      <c r="H263" s="9">
        <f t="shared" ref="H263:O263" si="447">SUM(H731:H731)</f>
        <v>15000</v>
      </c>
      <c r="I263" s="85">
        <f>IF(E263=H263,0,IF(E263=0,100,(H263-E263)/E263*100))</f>
        <v>23.966942148760332</v>
      </c>
      <c r="J263" s="9">
        <f t="shared" si="447"/>
        <v>15000</v>
      </c>
      <c r="K263" s="9">
        <f t="shared" si="447"/>
        <v>15400</v>
      </c>
      <c r="L263" s="9">
        <f t="shared" si="447"/>
        <v>15800</v>
      </c>
      <c r="M263" s="9">
        <f t="shared" si="447"/>
        <v>16200</v>
      </c>
      <c r="N263" s="9">
        <f t="shared" si="447"/>
        <v>16700</v>
      </c>
      <c r="O263" s="9">
        <f t="shared" si="447"/>
        <v>17200</v>
      </c>
      <c r="P263" s="9">
        <f t="shared" ref="P263:Q263" si="448">SUM(P731:P731)</f>
        <v>17700</v>
      </c>
      <c r="Q263" s="9">
        <f t="shared" si="448"/>
        <v>18200</v>
      </c>
      <c r="R263" s="9">
        <f t="shared" ref="R263" si="449">SUM(R731:R731)</f>
        <v>18700</v>
      </c>
      <c r="S263" s="47">
        <f t="shared" ref="S263" si="450">SUM(S731:S731)</f>
        <v>19200</v>
      </c>
    </row>
    <row r="264" spans="1:19" x14ac:dyDescent="0.2">
      <c r="A264" s="54">
        <f>ROUND(SUM(A733:A734),-3)</f>
        <v>67000</v>
      </c>
      <c r="B264" s="9">
        <f>SUM(B733:B734)</f>
        <v>47600</v>
      </c>
      <c r="C264" s="46">
        <f>SUM(C733:C734)</f>
        <v>80400</v>
      </c>
      <c r="D264" s="29">
        <f>SUM(D733:D734)</f>
        <v>50900</v>
      </c>
      <c r="E264" s="9">
        <f t="shared" ref="E264" si="451">SUM(E733:E734)</f>
        <v>165100</v>
      </c>
      <c r="F264" s="239" t="s">
        <v>2784</v>
      </c>
      <c r="G264" s="9" t="s">
        <v>2777</v>
      </c>
      <c r="H264" s="9">
        <f t="shared" ref="H264:O264" si="452">SUM(H733:H734)</f>
        <v>52100</v>
      </c>
      <c r="I264" s="85">
        <f>IF(E264=H264,0,IF(E264=0,100,(H264-E264)/E264*100))</f>
        <v>-68.443367655966085</v>
      </c>
      <c r="J264" s="9">
        <f t="shared" si="452"/>
        <v>50000</v>
      </c>
      <c r="K264" s="9">
        <f t="shared" si="452"/>
        <v>51300</v>
      </c>
      <c r="L264" s="9">
        <f t="shared" si="452"/>
        <v>52600</v>
      </c>
      <c r="M264" s="9">
        <f t="shared" si="452"/>
        <v>54000</v>
      </c>
      <c r="N264" s="9">
        <f t="shared" si="452"/>
        <v>55400</v>
      </c>
      <c r="O264" s="9">
        <f t="shared" si="452"/>
        <v>56800</v>
      </c>
      <c r="P264" s="9">
        <f t="shared" ref="P264:Q264" si="453">SUM(P733:P734)</f>
        <v>58300</v>
      </c>
      <c r="Q264" s="9">
        <f t="shared" si="453"/>
        <v>59800</v>
      </c>
      <c r="R264" s="9">
        <f t="shared" ref="R264" si="454">SUM(R733:R734)</f>
        <v>61300</v>
      </c>
      <c r="S264" s="47">
        <f t="shared" ref="S264" si="455">SUM(S733:S734)</f>
        <v>62900</v>
      </c>
    </row>
    <row r="265" spans="1:19" x14ac:dyDescent="0.2">
      <c r="A265" s="54">
        <f>ROUND(SUM(A735:A735),-3)</f>
        <v>76000</v>
      </c>
      <c r="B265" s="9">
        <f>SUM(B735:B735)</f>
        <v>58300</v>
      </c>
      <c r="C265" s="46">
        <f>SUM(C735:C735)</f>
        <v>147200</v>
      </c>
      <c r="D265" s="29">
        <f>SUM(D735:D735)</f>
        <v>64800</v>
      </c>
      <c r="E265" s="9">
        <f t="shared" ref="E265" si="456">SUM(E735:E735)</f>
        <v>129300</v>
      </c>
      <c r="F265" s="239" t="s">
        <v>2784</v>
      </c>
      <c r="G265" s="79" t="s">
        <v>3057</v>
      </c>
      <c r="H265" s="9">
        <f t="shared" ref="H265:O265" si="457">SUM(H735:H735)</f>
        <v>67000</v>
      </c>
      <c r="I265" s="85">
        <f>IF(E265=H265,0,IF(E265=0,100,(H265-E265)/E265*100))</f>
        <v>-48.182521268368134</v>
      </c>
      <c r="J265" s="9">
        <f t="shared" si="457"/>
        <v>60000</v>
      </c>
      <c r="K265" s="9">
        <f t="shared" si="457"/>
        <v>61500</v>
      </c>
      <c r="L265" s="9">
        <f t="shared" si="457"/>
        <v>63100</v>
      </c>
      <c r="M265" s="9">
        <f t="shared" si="457"/>
        <v>64700</v>
      </c>
      <c r="N265" s="9">
        <f t="shared" si="457"/>
        <v>66400</v>
      </c>
      <c r="O265" s="9">
        <f t="shared" si="457"/>
        <v>68100</v>
      </c>
      <c r="P265" s="9">
        <f t="shared" ref="P265:Q265" si="458">SUM(P735:P735)</f>
        <v>69900</v>
      </c>
      <c r="Q265" s="9">
        <f t="shared" si="458"/>
        <v>71700</v>
      </c>
      <c r="R265" s="9">
        <f t="shared" ref="R265" si="459">SUM(R735:R735)</f>
        <v>73500</v>
      </c>
      <c r="S265" s="47">
        <f t="shared" ref="S265" si="460">SUM(S735:S735)</f>
        <v>75400</v>
      </c>
    </row>
    <row r="266" spans="1:19" ht="13.5" thickBot="1" x14ac:dyDescent="0.25">
      <c r="A266" s="460"/>
      <c r="B266" s="130"/>
      <c r="C266" s="130"/>
      <c r="D266" s="29"/>
      <c r="E266" s="68"/>
      <c r="F266" s="239"/>
      <c r="G266" s="21"/>
      <c r="H266" s="9"/>
      <c r="I266" s="13"/>
      <c r="J266" s="9"/>
      <c r="K266" s="9"/>
      <c r="L266" s="9"/>
      <c r="M266" s="9"/>
      <c r="N266" s="9"/>
      <c r="O266" s="9"/>
      <c r="P266" s="9"/>
      <c r="Q266" s="9"/>
      <c r="R266" s="9"/>
      <c r="S266" s="47"/>
    </row>
    <row r="267" spans="1:19" x14ac:dyDescent="0.2">
      <c r="A267" s="24">
        <f>SUM(A259:A266)</f>
        <v>233000</v>
      </c>
      <c r="B267" s="21">
        <f>SUM(B259:B266)</f>
        <v>189900</v>
      </c>
      <c r="C267" s="21">
        <f>SUM(C259:C266)</f>
        <v>295400</v>
      </c>
      <c r="D267" s="32">
        <f>SUM(D259:D266)</f>
        <v>191400</v>
      </c>
      <c r="E267" s="21">
        <f t="shared" ref="E267" si="461">SUM(E259:E266)</f>
        <v>446500</v>
      </c>
      <c r="F267" s="239"/>
      <c r="G267" s="267" t="s">
        <v>2561</v>
      </c>
      <c r="H267" s="16">
        <f t="shared" ref="H267:O267" si="462">SUM(H259:H266)</f>
        <v>173100</v>
      </c>
      <c r="I267" s="126">
        <f>IF(E267=H267,0,IF(E267=0,100,(H267-E267)/E267*100))</f>
        <v>-61.231802911534153</v>
      </c>
      <c r="J267" s="16">
        <f t="shared" si="462"/>
        <v>153000</v>
      </c>
      <c r="K267" s="16">
        <f t="shared" si="462"/>
        <v>157000</v>
      </c>
      <c r="L267" s="16">
        <f t="shared" si="462"/>
        <v>161100</v>
      </c>
      <c r="M267" s="16">
        <f t="shared" si="462"/>
        <v>165300</v>
      </c>
      <c r="N267" s="16">
        <f t="shared" si="462"/>
        <v>169700</v>
      </c>
      <c r="O267" s="16">
        <f t="shared" si="462"/>
        <v>174100</v>
      </c>
      <c r="P267" s="16">
        <f t="shared" ref="P267:Q267" si="463">SUM(P259:P266)</f>
        <v>178800</v>
      </c>
      <c r="Q267" s="16">
        <f t="shared" si="463"/>
        <v>183500</v>
      </c>
      <c r="R267" s="16">
        <f t="shared" ref="R267" si="464">SUM(R259:R266)</f>
        <v>188300</v>
      </c>
      <c r="S267" s="2342">
        <f t="shared" ref="S267" si="465">SUM(S259:S266)</f>
        <v>193300</v>
      </c>
    </row>
    <row r="268" spans="1:19" x14ac:dyDescent="0.2">
      <c r="A268" s="54"/>
      <c r="B268" s="9"/>
      <c r="C268" s="9"/>
      <c r="D268" s="29"/>
      <c r="E268" s="9"/>
      <c r="F268" s="239"/>
      <c r="G268" s="267"/>
      <c r="H268" s="9"/>
      <c r="I268" s="85"/>
      <c r="J268" s="9"/>
      <c r="K268" s="9"/>
      <c r="L268" s="9"/>
      <c r="M268" s="9"/>
      <c r="N268" s="9"/>
      <c r="O268" s="9"/>
      <c r="P268" s="9"/>
      <c r="Q268" s="9"/>
      <c r="R268" s="9"/>
      <c r="S268" s="47"/>
    </row>
    <row r="269" spans="1:19" x14ac:dyDescent="0.2">
      <c r="A269" s="54"/>
      <c r="B269" s="9"/>
      <c r="C269" s="9"/>
      <c r="D269" s="9"/>
      <c r="E269" s="9"/>
      <c r="F269" s="239"/>
      <c r="G269" s="256" t="s">
        <v>2169</v>
      </c>
      <c r="H269" s="9"/>
      <c r="I269" s="85"/>
      <c r="J269" s="9"/>
      <c r="K269" s="9"/>
      <c r="L269" s="9"/>
      <c r="M269" s="9"/>
      <c r="N269" s="9"/>
      <c r="O269" s="9"/>
      <c r="P269" s="9"/>
      <c r="Q269" s="9"/>
      <c r="R269" s="9"/>
      <c r="S269" s="47"/>
    </row>
    <row r="270" spans="1:19" x14ac:dyDescent="0.2">
      <c r="A270" s="54"/>
      <c r="B270" s="9"/>
      <c r="C270" s="9"/>
      <c r="D270" s="9"/>
      <c r="E270" s="9"/>
      <c r="F270" s="239"/>
      <c r="G270" s="257"/>
      <c r="H270" s="9"/>
      <c r="I270" s="85"/>
      <c r="J270" s="9"/>
      <c r="K270" s="9"/>
      <c r="L270" s="9"/>
      <c r="M270" s="9"/>
      <c r="N270" s="9"/>
      <c r="O270" s="9"/>
      <c r="P270" s="9"/>
      <c r="Q270" s="9"/>
      <c r="R270" s="9"/>
      <c r="S270" s="47"/>
    </row>
    <row r="271" spans="1:19" x14ac:dyDescent="0.2">
      <c r="A271" s="54"/>
      <c r="B271" s="9"/>
      <c r="C271" s="9"/>
      <c r="D271" s="9"/>
      <c r="E271" s="9"/>
      <c r="F271" s="239"/>
      <c r="G271" s="260" t="s">
        <v>357</v>
      </c>
      <c r="H271" s="9"/>
      <c r="I271" s="85"/>
      <c r="J271" s="9"/>
      <c r="K271" s="9"/>
      <c r="L271" s="9"/>
      <c r="M271" s="9"/>
      <c r="N271" s="9"/>
      <c r="O271" s="9"/>
      <c r="P271" s="9"/>
      <c r="Q271" s="9"/>
      <c r="R271" s="9"/>
      <c r="S271" s="47"/>
    </row>
    <row r="272" spans="1:19" x14ac:dyDescent="0.2">
      <c r="A272" s="54">
        <f>ROUND(SUM(A741:A745),-3)</f>
        <v>702000</v>
      </c>
      <c r="B272" s="9">
        <f>SUM(B741:B745)</f>
        <v>652200</v>
      </c>
      <c r="C272" s="9">
        <f>SUM(C741:C745)</f>
        <v>687000</v>
      </c>
      <c r="D272" s="9">
        <f>SUM(D741:D745)</f>
        <v>741300</v>
      </c>
      <c r="E272" s="9">
        <f>SUM(E741:E746)</f>
        <v>792700</v>
      </c>
      <c r="F272" s="239" t="s">
        <v>2785</v>
      </c>
      <c r="G272" s="257" t="s">
        <v>1228</v>
      </c>
      <c r="H272" s="9">
        <f>SUM(H741:H746)</f>
        <v>852300</v>
      </c>
      <c r="I272" s="85">
        <f>IF(E272=H272,0,IF(E272=0,100,(H272-E272)/E272*100))</f>
        <v>7.5186072915352593</v>
      </c>
      <c r="J272" s="9">
        <f>SUM(J741:J746)</f>
        <v>796400</v>
      </c>
      <c r="K272" s="9">
        <f t="shared" ref="K272:R272" si="466">SUM(K741:K746)</f>
        <v>814800</v>
      </c>
      <c r="L272" s="9">
        <f t="shared" si="466"/>
        <v>833700</v>
      </c>
      <c r="M272" s="9">
        <f t="shared" si="466"/>
        <v>853000</v>
      </c>
      <c r="N272" s="9">
        <f t="shared" si="466"/>
        <v>872700</v>
      </c>
      <c r="O272" s="9">
        <f t="shared" si="466"/>
        <v>892900</v>
      </c>
      <c r="P272" s="9">
        <f t="shared" si="466"/>
        <v>913500</v>
      </c>
      <c r="Q272" s="9">
        <f t="shared" si="466"/>
        <v>934600</v>
      </c>
      <c r="R272" s="9">
        <f t="shared" si="466"/>
        <v>956200</v>
      </c>
      <c r="S272" s="47">
        <f t="shared" ref="S272" si="467">SUM(S741:S746)</f>
        <v>978300</v>
      </c>
    </row>
    <row r="273" spans="1:19" x14ac:dyDescent="0.2">
      <c r="A273" s="54">
        <f>ROUND(SUM(A747:A752),-3)</f>
        <v>342000</v>
      </c>
      <c r="B273" s="9">
        <f>SUM(B747:B752)</f>
        <v>422600</v>
      </c>
      <c r="C273" s="9">
        <f>SUM(C747:C752)</f>
        <v>420000</v>
      </c>
      <c r="D273" s="9">
        <f>SUM(D747:D752)</f>
        <v>446500</v>
      </c>
      <c r="E273" s="9">
        <f>SUM(E747:E752)</f>
        <v>433000</v>
      </c>
      <c r="F273" s="239" t="s">
        <v>2786</v>
      </c>
      <c r="G273" s="257" t="s">
        <v>181</v>
      </c>
      <c r="H273" s="9">
        <f>SUM(H747:H752)</f>
        <v>450500</v>
      </c>
      <c r="I273" s="85">
        <f>IF(E273=H273,0,IF(E273=0,100,(H273-E273)/E273*100))</f>
        <v>4.0415704387990763</v>
      </c>
      <c r="J273" s="9">
        <f t="shared" ref="J273:R273" si="468">SUM(J747:J752)</f>
        <v>461700</v>
      </c>
      <c r="K273" s="9">
        <f t="shared" si="468"/>
        <v>473400</v>
      </c>
      <c r="L273" s="9">
        <f t="shared" si="468"/>
        <v>485500</v>
      </c>
      <c r="M273" s="9">
        <f t="shared" si="468"/>
        <v>497800</v>
      </c>
      <c r="N273" s="9">
        <f t="shared" si="468"/>
        <v>510400</v>
      </c>
      <c r="O273" s="9">
        <f t="shared" si="468"/>
        <v>523300</v>
      </c>
      <c r="P273" s="9">
        <f t="shared" si="468"/>
        <v>536500</v>
      </c>
      <c r="Q273" s="9">
        <f t="shared" si="468"/>
        <v>550200</v>
      </c>
      <c r="R273" s="9">
        <f t="shared" si="468"/>
        <v>564100</v>
      </c>
      <c r="S273" s="47">
        <f t="shared" ref="S273" si="469">SUM(S747:S752)</f>
        <v>578400</v>
      </c>
    </row>
    <row r="274" spans="1:19" x14ac:dyDescent="0.2">
      <c r="A274" s="54">
        <f>ROUND(SUM(A753:A758),-3)</f>
        <v>25000</v>
      </c>
      <c r="B274" s="9">
        <f>SUM(B753:B758)</f>
        <v>25100</v>
      </c>
      <c r="C274" s="9">
        <f>SUM(C753:C758)</f>
        <v>60000</v>
      </c>
      <c r="D274" s="9">
        <f>SUM(D753:D758)</f>
        <v>48600</v>
      </c>
      <c r="E274" s="9">
        <f t="shared" ref="E274" si="470">SUM(E753:E758)</f>
        <v>47600</v>
      </c>
      <c r="F274" s="239" t="s">
        <v>2786</v>
      </c>
      <c r="G274" s="257" t="s">
        <v>182</v>
      </c>
      <c r="H274" s="9">
        <f t="shared" ref="H274:O274" si="471">SUM(H753:H758)</f>
        <v>78100</v>
      </c>
      <c r="I274" s="85">
        <f>IF(E274=H274,0,IF(E274=0,100,(H274-E274)/E274*100))</f>
        <v>64.075630252100851</v>
      </c>
      <c r="J274" s="9">
        <f t="shared" si="471"/>
        <v>70000</v>
      </c>
      <c r="K274" s="9">
        <f t="shared" si="471"/>
        <v>72000</v>
      </c>
      <c r="L274" s="9">
        <f t="shared" si="471"/>
        <v>74100</v>
      </c>
      <c r="M274" s="9">
        <f t="shared" si="471"/>
        <v>76200</v>
      </c>
      <c r="N274" s="9">
        <f t="shared" si="471"/>
        <v>78400</v>
      </c>
      <c r="O274" s="9">
        <f t="shared" si="471"/>
        <v>80600</v>
      </c>
      <c r="P274" s="9">
        <f t="shared" ref="P274:Q274" si="472">SUM(P753:P758)</f>
        <v>82800</v>
      </c>
      <c r="Q274" s="9">
        <f t="shared" si="472"/>
        <v>85100</v>
      </c>
      <c r="R274" s="9">
        <f t="shared" ref="R274" si="473">SUM(R753:R758)</f>
        <v>87600</v>
      </c>
      <c r="S274" s="47">
        <f t="shared" ref="S274" si="474">SUM(S753:S758)</f>
        <v>90300</v>
      </c>
    </row>
    <row r="275" spans="1:19" x14ac:dyDescent="0.2">
      <c r="A275" s="54"/>
      <c r="B275" s="9"/>
      <c r="C275" s="9"/>
      <c r="D275" s="9"/>
      <c r="E275" s="9"/>
      <c r="F275" s="239"/>
      <c r="G275" s="257"/>
      <c r="H275" s="9"/>
      <c r="I275" s="85"/>
      <c r="J275" s="9"/>
      <c r="K275" s="9"/>
      <c r="L275" s="9"/>
      <c r="M275" s="9"/>
      <c r="N275" s="9"/>
      <c r="O275" s="9"/>
      <c r="P275" s="9"/>
      <c r="Q275" s="9"/>
      <c r="R275" s="9"/>
      <c r="S275" s="47"/>
    </row>
    <row r="276" spans="1:19" x14ac:dyDescent="0.2">
      <c r="A276" s="54"/>
      <c r="B276" s="9"/>
      <c r="C276" s="9"/>
      <c r="D276" s="9"/>
      <c r="E276" s="9"/>
      <c r="F276" s="239"/>
      <c r="G276" s="260" t="s">
        <v>1787</v>
      </c>
      <c r="H276" s="9"/>
      <c r="I276" s="85"/>
      <c r="J276" s="9"/>
      <c r="K276" s="9"/>
      <c r="L276" s="9"/>
      <c r="M276" s="9"/>
      <c r="N276" s="9"/>
      <c r="O276" s="9"/>
      <c r="P276" s="9"/>
      <c r="Q276" s="9"/>
      <c r="R276" s="9"/>
      <c r="S276" s="47"/>
    </row>
    <row r="277" spans="1:19" x14ac:dyDescent="0.2">
      <c r="A277" s="54">
        <f>ROUND(SUM(A760:A761),-3)</f>
        <v>1958000</v>
      </c>
      <c r="B277" s="9">
        <f>SUM(B760:B761)</f>
        <v>2041500</v>
      </c>
      <c r="C277" s="9">
        <f>SUM(C760:C761)</f>
        <v>2103900</v>
      </c>
      <c r="D277" s="9">
        <f>SUM(D760:D761)</f>
        <v>2157400</v>
      </c>
      <c r="E277" s="9">
        <f t="shared" ref="E277" si="475">SUM(E760:E761)</f>
        <v>2244700</v>
      </c>
      <c r="F277" s="239" t="s">
        <v>2786</v>
      </c>
      <c r="G277" s="257" t="s">
        <v>994</v>
      </c>
      <c r="H277" s="9">
        <f t="shared" ref="H277:O277" si="476">SUM(H760:H761)</f>
        <v>2344000</v>
      </c>
      <c r="I277" s="85">
        <f>IF(E277=H277,0,IF(E277=0,100,(H277-E277)/E277*100))</f>
        <v>4.4237537310108248</v>
      </c>
      <c r="J277" s="9">
        <f t="shared" si="476"/>
        <v>2343000</v>
      </c>
      <c r="K277" s="9">
        <f t="shared" si="476"/>
        <v>2396000</v>
      </c>
      <c r="L277" s="9">
        <f t="shared" si="476"/>
        <v>2454000</v>
      </c>
      <c r="M277" s="9">
        <f t="shared" si="476"/>
        <v>2517000</v>
      </c>
      <c r="N277" s="9">
        <f t="shared" si="476"/>
        <v>2585000</v>
      </c>
      <c r="O277" s="9">
        <f t="shared" si="476"/>
        <v>2658000</v>
      </c>
      <c r="P277" s="9">
        <f t="shared" ref="P277:Q277" si="477">SUM(P760:P761)</f>
        <v>2736000</v>
      </c>
      <c r="Q277" s="9">
        <f t="shared" si="477"/>
        <v>2819000</v>
      </c>
      <c r="R277" s="9">
        <f t="shared" ref="R277" si="478">SUM(R760:R761)</f>
        <v>2907000</v>
      </c>
      <c r="S277" s="47">
        <f t="shared" ref="S277" si="479">SUM(S760:S761)</f>
        <v>3001000</v>
      </c>
    </row>
    <row r="278" spans="1:19" x14ac:dyDescent="0.2">
      <c r="A278" s="54">
        <f>ROUND(SUM(A762:A762),-3)</f>
        <v>3000</v>
      </c>
      <c r="B278" s="9">
        <f>SUM(B762:B762)</f>
        <v>1900</v>
      </c>
      <c r="C278" s="9">
        <f>SUM(C762:C762)</f>
        <v>5200</v>
      </c>
      <c r="D278" s="9">
        <f>SUM(D762:D762)</f>
        <v>2400</v>
      </c>
      <c r="E278" s="9">
        <f t="shared" ref="E278" si="480">SUM(E762:E762)</f>
        <v>2000</v>
      </c>
      <c r="F278" s="239" t="s">
        <v>2786</v>
      </c>
      <c r="G278" s="257" t="s">
        <v>2525</v>
      </c>
      <c r="H278" s="9">
        <f t="shared" ref="H278:O278" si="481">SUM(H762:H762)</f>
        <v>2100</v>
      </c>
      <c r="I278" s="85">
        <f>IF(E278=H278,0,IF(E278=0,100,(H278-E278)/E278*100))</f>
        <v>5</v>
      </c>
      <c r="J278" s="9">
        <f t="shared" si="481"/>
        <v>2000</v>
      </c>
      <c r="K278" s="9">
        <f t="shared" si="481"/>
        <v>2100</v>
      </c>
      <c r="L278" s="9">
        <f t="shared" si="481"/>
        <v>2200</v>
      </c>
      <c r="M278" s="9">
        <f t="shared" si="481"/>
        <v>2300</v>
      </c>
      <c r="N278" s="9">
        <f t="shared" si="481"/>
        <v>2400</v>
      </c>
      <c r="O278" s="9">
        <f t="shared" si="481"/>
        <v>2500</v>
      </c>
      <c r="P278" s="9">
        <f t="shared" ref="P278:Q278" si="482">SUM(P762:P762)</f>
        <v>2600</v>
      </c>
      <c r="Q278" s="9">
        <f t="shared" si="482"/>
        <v>2700</v>
      </c>
      <c r="R278" s="9">
        <f t="shared" ref="R278" si="483">SUM(R762:R762)</f>
        <v>2800</v>
      </c>
      <c r="S278" s="47">
        <f t="shared" ref="S278" si="484">SUM(S762:S762)</f>
        <v>2900</v>
      </c>
    </row>
    <row r="279" spans="1:19" x14ac:dyDescent="0.2">
      <c r="A279" s="54">
        <f>ROUND(SUM(A763:A772),-3)</f>
        <v>737000</v>
      </c>
      <c r="B279" s="9">
        <f>SUM(B763:B772)</f>
        <v>560100</v>
      </c>
      <c r="C279" s="9">
        <f>SUM(C763:C772)</f>
        <v>560300</v>
      </c>
      <c r="D279" s="9">
        <f>SUM(D763:D772)</f>
        <v>557000</v>
      </c>
      <c r="E279" s="9">
        <f t="shared" ref="E279" si="485">SUM(E763:E772)</f>
        <v>475600</v>
      </c>
      <c r="F279" s="239" t="s">
        <v>183</v>
      </c>
      <c r="G279" s="634" t="s">
        <v>3059</v>
      </c>
      <c r="H279" s="9">
        <f>SUM(H763:H773)</f>
        <v>575600</v>
      </c>
      <c r="I279" s="85">
        <f>IF(E279=H279,0,IF(E279=0,100,(H279-E279)/E279*100))</f>
        <v>21.026072329688812</v>
      </c>
      <c r="J279" s="9">
        <f>SUM(J763:J773)</f>
        <v>589400</v>
      </c>
      <c r="K279" s="9">
        <f t="shared" ref="K279:R279" si="486">SUM(K763:K773)</f>
        <v>604400</v>
      </c>
      <c r="L279" s="9">
        <f t="shared" si="486"/>
        <v>619900</v>
      </c>
      <c r="M279" s="9">
        <f t="shared" si="486"/>
        <v>635700</v>
      </c>
      <c r="N279" s="9">
        <f t="shared" si="486"/>
        <v>652100</v>
      </c>
      <c r="O279" s="9">
        <f t="shared" si="486"/>
        <v>668900</v>
      </c>
      <c r="P279" s="9">
        <f t="shared" si="486"/>
        <v>686100</v>
      </c>
      <c r="Q279" s="9">
        <f t="shared" si="486"/>
        <v>703600</v>
      </c>
      <c r="R279" s="9">
        <f t="shared" si="486"/>
        <v>721500</v>
      </c>
      <c r="S279" s="47">
        <f t="shared" ref="S279" si="487">SUM(S763:S773)</f>
        <v>739800</v>
      </c>
    </row>
    <row r="280" spans="1:19" x14ac:dyDescent="0.2">
      <c r="A280" s="54">
        <f>ROUND(SUM(A774:A779),-3)</f>
        <v>1234000</v>
      </c>
      <c r="B280" s="9">
        <f>SUM(B774:B779)</f>
        <v>1292700</v>
      </c>
      <c r="C280" s="9">
        <f>SUM(C774:C779)</f>
        <v>1513700</v>
      </c>
      <c r="D280" s="9">
        <f>SUM(D774:D779)</f>
        <v>1411900</v>
      </c>
      <c r="E280" s="9">
        <f t="shared" ref="E280" si="488">SUM(E774:E779)</f>
        <v>1039400</v>
      </c>
      <c r="F280" s="239" t="s">
        <v>1062</v>
      </c>
      <c r="G280" s="257" t="str">
        <f>G774</f>
        <v>Employee Entitlements - Salaried Staff</v>
      </c>
      <c r="H280" s="9">
        <f t="shared" ref="H280:O280" si="489">SUM(H774:H779)</f>
        <v>1662000</v>
      </c>
      <c r="I280" s="85">
        <f>IF(E280=H280,0,IF(E280=0,100,(H280-E280)/E280*100))</f>
        <v>59.899942274389076</v>
      </c>
      <c r="J280" s="9">
        <f t="shared" si="489"/>
        <v>1706000</v>
      </c>
      <c r="K280" s="9">
        <f t="shared" si="489"/>
        <v>1748800</v>
      </c>
      <c r="L280" s="9">
        <f t="shared" si="489"/>
        <v>1792600</v>
      </c>
      <c r="M280" s="9">
        <f t="shared" si="489"/>
        <v>1837600</v>
      </c>
      <c r="N280" s="9">
        <f t="shared" si="489"/>
        <v>1883800</v>
      </c>
      <c r="O280" s="9">
        <f t="shared" si="489"/>
        <v>1931100</v>
      </c>
      <c r="P280" s="9">
        <f t="shared" ref="P280:Q280" si="490">SUM(P774:P779)</f>
        <v>1979500</v>
      </c>
      <c r="Q280" s="9">
        <f t="shared" si="490"/>
        <v>2029200</v>
      </c>
      <c r="R280" s="9">
        <f t="shared" ref="R280" si="491">SUM(R774:R779)</f>
        <v>2080100</v>
      </c>
      <c r="S280" s="47">
        <f t="shared" ref="S280" si="492">SUM(S774:S779)</f>
        <v>2132300</v>
      </c>
    </row>
    <row r="281" spans="1:19" x14ac:dyDescent="0.2">
      <c r="A281" s="54">
        <f>ROUND(SUM(A789:A794),-3)</f>
        <v>1143000</v>
      </c>
      <c r="B281" s="9">
        <f>SUM(B789:B794)</f>
        <v>1356600</v>
      </c>
      <c r="C281" s="9">
        <f>SUM(C789:C794)</f>
        <v>1304200</v>
      </c>
      <c r="D281" s="9">
        <f>SUM(D789:D794)</f>
        <v>1651100</v>
      </c>
      <c r="E281" s="9">
        <f t="shared" ref="E281" si="493">SUM(E789:E794)</f>
        <v>1815600</v>
      </c>
      <c r="F281" s="239" t="s">
        <v>1062</v>
      </c>
      <c r="G281" s="257" t="s">
        <v>288</v>
      </c>
      <c r="H281" s="9">
        <f t="shared" ref="H281:O281" si="494">SUM(H789:H794)</f>
        <v>1431300</v>
      </c>
      <c r="I281" s="85">
        <f>IF(E281=H281,0,IF(E281=0,100,(H281-E281)/E281*100))</f>
        <v>-21.166556510244547</v>
      </c>
      <c r="J281" s="9">
        <f t="shared" si="494"/>
        <v>1469000</v>
      </c>
      <c r="K281" s="9">
        <f t="shared" si="494"/>
        <v>1505600</v>
      </c>
      <c r="L281" s="9">
        <f t="shared" si="494"/>
        <v>1543400</v>
      </c>
      <c r="M281" s="9">
        <f t="shared" si="494"/>
        <v>1582100</v>
      </c>
      <c r="N281" s="9">
        <f t="shared" si="494"/>
        <v>1621900</v>
      </c>
      <c r="O281" s="9">
        <f t="shared" si="494"/>
        <v>1662700</v>
      </c>
      <c r="P281" s="9">
        <f t="shared" ref="P281:Q281" si="495">SUM(P789:P794)</f>
        <v>1704400</v>
      </c>
      <c r="Q281" s="9">
        <f t="shared" si="495"/>
        <v>1747200</v>
      </c>
      <c r="R281" s="9">
        <f t="shared" ref="R281" si="496">SUM(R789:R794)</f>
        <v>1791000</v>
      </c>
      <c r="S281" s="47">
        <f t="shared" ref="S281" si="497">SUM(S789:S794)</f>
        <v>1835900</v>
      </c>
    </row>
    <row r="282" spans="1:19" x14ac:dyDescent="0.2">
      <c r="A282" s="54"/>
      <c r="B282" s="9"/>
      <c r="C282" s="9"/>
      <c r="D282" s="9"/>
      <c r="E282" s="9"/>
      <c r="F282" s="239"/>
      <c r="G282" s="257"/>
      <c r="H282" s="9"/>
      <c r="I282" s="85"/>
      <c r="J282" s="9"/>
      <c r="K282" s="9"/>
      <c r="L282" s="9"/>
      <c r="M282" s="9"/>
      <c r="N282" s="9"/>
      <c r="O282" s="9"/>
      <c r="P282" s="9"/>
      <c r="Q282" s="9"/>
      <c r="R282" s="9"/>
      <c r="S282" s="47"/>
    </row>
    <row r="283" spans="1:19" x14ac:dyDescent="0.2">
      <c r="A283" s="54"/>
      <c r="B283" s="9"/>
      <c r="C283" s="9"/>
      <c r="D283" s="9"/>
      <c r="E283" s="9"/>
      <c r="F283" s="239"/>
      <c r="G283" s="260" t="s">
        <v>689</v>
      </c>
      <c r="H283" s="9"/>
      <c r="I283" s="85"/>
      <c r="J283" s="9"/>
      <c r="K283" s="9"/>
      <c r="L283" s="9"/>
      <c r="M283" s="9"/>
      <c r="N283" s="9"/>
      <c r="O283" s="9"/>
      <c r="P283" s="9"/>
      <c r="Q283" s="9"/>
      <c r="R283" s="9"/>
      <c r="S283" s="47"/>
    </row>
    <row r="284" spans="1:19" x14ac:dyDescent="0.2">
      <c r="A284" s="54">
        <f>ROUND(SUM(A796:A796),-3)</f>
        <v>2000</v>
      </c>
      <c r="B284" s="9">
        <f t="shared" ref="B284:C286" si="498">SUM(B796:B796)</f>
        <v>7500</v>
      </c>
      <c r="C284" s="9">
        <f t="shared" si="498"/>
        <v>7500</v>
      </c>
      <c r="D284" s="9">
        <f>SUM(D796:D796)</f>
        <v>0</v>
      </c>
      <c r="E284" s="9">
        <f t="shared" ref="E284" si="499">SUM(E796:E796)</f>
        <v>0</v>
      </c>
      <c r="F284" s="239" t="s">
        <v>1063</v>
      </c>
      <c r="G284" s="257" t="str">
        <f>G796</f>
        <v>Fidelity Guarantee</v>
      </c>
      <c r="H284" s="9">
        <f t="shared" ref="H284:O284" si="500">SUM(H796:H796)</f>
        <v>8200</v>
      </c>
      <c r="I284" s="85">
        <f>IF(E284=H284,0,IF(E284=0,100,(H284-E284)/E284*100))</f>
        <v>100</v>
      </c>
      <c r="J284" s="9">
        <f t="shared" si="500"/>
        <v>8400</v>
      </c>
      <c r="K284" s="9">
        <f t="shared" si="500"/>
        <v>8700</v>
      </c>
      <c r="L284" s="9">
        <f t="shared" si="500"/>
        <v>9000</v>
      </c>
      <c r="M284" s="9">
        <f t="shared" si="500"/>
        <v>9300</v>
      </c>
      <c r="N284" s="9">
        <f t="shared" si="500"/>
        <v>9600</v>
      </c>
      <c r="O284" s="9">
        <f t="shared" si="500"/>
        <v>9900</v>
      </c>
      <c r="P284" s="9">
        <f t="shared" ref="P284:Q284" si="501">SUM(P796:P796)</f>
        <v>10200</v>
      </c>
      <c r="Q284" s="9">
        <f t="shared" si="501"/>
        <v>10500</v>
      </c>
      <c r="R284" s="9">
        <f t="shared" ref="R284" si="502">SUM(R796:R796)</f>
        <v>10800</v>
      </c>
      <c r="S284" s="47">
        <f t="shared" ref="S284" si="503">SUM(S796:S796)</f>
        <v>11100</v>
      </c>
    </row>
    <row r="285" spans="1:19" x14ac:dyDescent="0.2">
      <c r="A285" s="54">
        <f>ROUND(SUM(A797:A797),-3)</f>
        <v>510000</v>
      </c>
      <c r="B285" s="9">
        <f t="shared" si="498"/>
        <v>534500</v>
      </c>
      <c r="C285" s="9">
        <f t="shared" si="498"/>
        <v>557200</v>
      </c>
      <c r="D285" s="9">
        <f>SUM(D797:D797)</f>
        <v>568700</v>
      </c>
      <c r="E285" s="9">
        <f>SUM(E797:E797)+E799</f>
        <v>591000</v>
      </c>
      <c r="F285" s="239" t="s">
        <v>1063</v>
      </c>
      <c r="G285" s="257" t="str">
        <f>G797</f>
        <v>Public Risk and Plant</v>
      </c>
      <c r="H285" s="9">
        <f>SUM(H797:H797)+H799</f>
        <v>616500</v>
      </c>
      <c r="I285" s="85">
        <f>IF(E285=H285,0,IF(E285=0,100,(H285-E285)/E285*100))</f>
        <v>4.3147208121827409</v>
      </c>
      <c r="J285" s="9">
        <f t="shared" ref="J285:R285" si="504">SUM(J797:J797)+J799</f>
        <v>588800</v>
      </c>
      <c r="K285" s="9">
        <f t="shared" si="504"/>
        <v>603500</v>
      </c>
      <c r="L285" s="9">
        <f t="shared" si="504"/>
        <v>618500</v>
      </c>
      <c r="M285" s="9">
        <f t="shared" si="504"/>
        <v>633900</v>
      </c>
      <c r="N285" s="9">
        <f t="shared" si="504"/>
        <v>649700</v>
      </c>
      <c r="O285" s="9">
        <f t="shared" si="504"/>
        <v>665900</v>
      </c>
      <c r="P285" s="9">
        <f t="shared" si="504"/>
        <v>682500</v>
      </c>
      <c r="Q285" s="9">
        <f t="shared" si="504"/>
        <v>699500</v>
      </c>
      <c r="R285" s="9">
        <f t="shared" si="504"/>
        <v>717000</v>
      </c>
      <c r="S285" s="47">
        <f t="shared" ref="S285" si="505">SUM(S797:S797)+S799</f>
        <v>734900</v>
      </c>
    </row>
    <row r="286" spans="1:19" x14ac:dyDescent="0.2">
      <c r="A286" s="54">
        <f>ROUND(SUM(A798:A798),-3)</f>
        <v>10000</v>
      </c>
      <c r="B286" s="9">
        <f t="shared" si="498"/>
        <v>39700</v>
      </c>
      <c r="C286" s="9">
        <f t="shared" si="498"/>
        <v>17700</v>
      </c>
      <c r="D286" s="9">
        <f>SUM(D798:D798)</f>
        <v>24800</v>
      </c>
      <c r="E286" s="9">
        <f t="shared" ref="E286" si="506">SUM(E798:E798)</f>
        <v>33600</v>
      </c>
      <c r="F286" s="239" t="s">
        <v>1063</v>
      </c>
      <c r="G286" s="257" t="str">
        <f>G798</f>
        <v>Excess Public Risk</v>
      </c>
      <c r="H286" s="9">
        <f t="shared" ref="H286:O286" si="507">SUM(H798:H798)</f>
        <v>41500</v>
      </c>
      <c r="I286" s="85">
        <f>IF(E286=H286,0,IF(E286=0,100,(H286-E286)/E286*100))</f>
        <v>23.511904761904763</v>
      </c>
      <c r="J286" s="9">
        <f t="shared" si="507"/>
        <v>42500</v>
      </c>
      <c r="K286" s="9">
        <f t="shared" si="507"/>
        <v>43600</v>
      </c>
      <c r="L286" s="9">
        <f t="shared" si="507"/>
        <v>44700</v>
      </c>
      <c r="M286" s="9">
        <f t="shared" si="507"/>
        <v>45900</v>
      </c>
      <c r="N286" s="9">
        <f t="shared" si="507"/>
        <v>47100</v>
      </c>
      <c r="O286" s="9">
        <f t="shared" si="507"/>
        <v>48300</v>
      </c>
      <c r="P286" s="9">
        <f t="shared" ref="P286:Q286" si="508">SUM(P798:P798)</f>
        <v>49600</v>
      </c>
      <c r="Q286" s="9">
        <f t="shared" si="508"/>
        <v>50900</v>
      </c>
      <c r="R286" s="9">
        <f t="shared" ref="R286" si="509">SUM(R798:R798)</f>
        <v>52200</v>
      </c>
      <c r="S286" s="47">
        <f t="shared" ref="S286" si="510">SUM(S798:S798)</f>
        <v>53600</v>
      </c>
    </row>
    <row r="287" spans="1:19" x14ac:dyDescent="0.2">
      <c r="A287" s="54"/>
      <c r="B287" s="9"/>
      <c r="C287" s="9"/>
      <c r="D287" s="9"/>
      <c r="E287" s="9"/>
      <c r="F287" s="239"/>
      <c r="G287" s="257"/>
      <c r="H287" s="9"/>
      <c r="I287" s="85"/>
      <c r="J287" s="9"/>
      <c r="K287" s="9"/>
      <c r="L287" s="9"/>
      <c r="M287" s="9"/>
      <c r="N287" s="9"/>
      <c r="O287" s="9"/>
      <c r="P287" s="9"/>
      <c r="Q287" s="9"/>
      <c r="R287" s="9"/>
      <c r="S287" s="47"/>
    </row>
    <row r="288" spans="1:19" x14ac:dyDescent="0.2">
      <c r="A288" s="54"/>
      <c r="B288" s="9"/>
      <c r="C288" s="9"/>
      <c r="D288" s="9"/>
      <c r="E288" s="9"/>
      <c r="F288" s="239"/>
      <c r="G288" s="260" t="s">
        <v>485</v>
      </c>
      <c r="H288" s="9"/>
      <c r="I288" s="85"/>
      <c r="J288" s="9"/>
      <c r="K288" s="9"/>
      <c r="L288" s="9"/>
      <c r="M288" s="9"/>
      <c r="N288" s="9"/>
      <c r="O288" s="9"/>
      <c r="P288" s="9"/>
      <c r="Q288" s="9"/>
      <c r="R288" s="9"/>
      <c r="S288" s="47"/>
    </row>
    <row r="289" spans="1:23" x14ac:dyDescent="0.2">
      <c r="A289" s="54">
        <f>ROUND(SUM(A800:A802),-3)</f>
        <v>-5732000</v>
      </c>
      <c r="B289" s="9">
        <f>SUM(B800:B802)</f>
        <v>-5474300</v>
      </c>
      <c r="C289" s="9">
        <f>SUM(C800:C802)</f>
        <v>-5729400</v>
      </c>
      <c r="D289" s="9">
        <f>SUM(D800:D802)</f>
        <v>-6181000</v>
      </c>
      <c r="E289" s="9">
        <f t="shared" ref="E289" si="511">SUM(E800:E802)</f>
        <v>-6587900</v>
      </c>
      <c r="F289" s="239" t="s">
        <v>678</v>
      </c>
      <c r="G289" s="257" t="s">
        <v>2034</v>
      </c>
      <c r="H289" s="9">
        <f t="shared" ref="H289:O289" si="512">SUM(H800:H802)</f>
        <v>-6772000</v>
      </c>
      <c r="I289" s="85">
        <f>IF(E289=H289,0,IF(E289=0,100,(H289-E289)/E289*100))</f>
        <v>2.7945172209657096</v>
      </c>
      <c r="J289" s="9">
        <f t="shared" si="512"/>
        <v>-6927800</v>
      </c>
      <c r="K289" s="9">
        <f t="shared" si="512"/>
        <v>-7101100</v>
      </c>
      <c r="L289" s="9">
        <f t="shared" si="512"/>
        <v>-7278800</v>
      </c>
      <c r="M289" s="9">
        <f t="shared" si="512"/>
        <v>-7460900</v>
      </c>
      <c r="N289" s="9">
        <f t="shared" si="512"/>
        <v>-7647500</v>
      </c>
      <c r="O289" s="9">
        <f t="shared" si="512"/>
        <v>-7838800</v>
      </c>
      <c r="P289" s="9">
        <f t="shared" ref="P289:Q289" si="513">SUM(P800:P802)</f>
        <v>-8034800</v>
      </c>
      <c r="Q289" s="9">
        <f t="shared" si="513"/>
        <v>-8235700</v>
      </c>
      <c r="R289" s="9">
        <f t="shared" ref="R289" si="514">SUM(R800:R802)</f>
        <v>-8441700</v>
      </c>
      <c r="S289" s="47">
        <f t="shared" ref="S289" si="515">SUM(S800:S802)</f>
        <v>-8652800</v>
      </c>
    </row>
    <row r="290" spans="1:23" x14ac:dyDescent="0.2">
      <c r="A290" s="54">
        <f>ROUND(SUM(A803:A805),-3)</f>
        <v>-48000</v>
      </c>
      <c r="B290" s="9">
        <f>SUM(B803:B805)</f>
        <v>-88700</v>
      </c>
      <c r="C290" s="9">
        <f>SUM(C803:C805)</f>
        <v>-141000</v>
      </c>
      <c r="D290" s="9">
        <f>SUM(D803:D805)</f>
        <v>-146500</v>
      </c>
      <c r="E290" s="9">
        <f t="shared" ref="E290" si="516">SUM(E803:E805)</f>
        <v>-105800</v>
      </c>
      <c r="F290" s="239" t="s">
        <v>678</v>
      </c>
      <c r="G290" s="257" t="s">
        <v>1293</v>
      </c>
      <c r="H290" s="9">
        <f t="shared" ref="H290:O290" si="517">SUM(H803:H805)</f>
        <v>-131000</v>
      </c>
      <c r="I290" s="85">
        <f>IF(E290=H290,0,IF(E290=0,100,(H290-E290)/E290*100))</f>
        <v>23.81852551984877</v>
      </c>
      <c r="J290" s="9">
        <f t="shared" si="517"/>
        <v>-134100</v>
      </c>
      <c r="K290" s="9">
        <f t="shared" si="517"/>
        <v>-137600</v>
      </c>
      <c r="L290" s="9">
        <f t="shared" si="517"/>
        <v>-141100</v>
      </c>
      <c r="M290" s="9">
        <f t="shared" si="517"/>
        <v>-144700</v>
      </c>
      <c r="N290" s="9">
        <f t="shared" si="517"/>
        <v>-148400</v>
      </c>
      <c r="O290" s="9">
        <f t="shared" si="517"/>
        <v>-152200</v>
      </c>
      <c r="P290" s="9">
        <f t="shared" ref="P290:Q290" si="518">SUM(P803:P805)</f>
        <v>-156100</v>
      </c>
      <c r="Q290" s="9">
        <f t="shared" si="518"/>
        <v>-160100</v>
      </c>
      <c r="R290" s="9">
        <f t="shared" ref="R290" si="519">SUM(R803:R805)</f>
        <v>-164200</v>
      </c>
      <c r="S290" s="47">
        <f t="shared" ref="S290" si="520">SUM(S803:S805)</f>
        <v>-168400</v>
      </c>
    </row>
    <row r="291" spans="1:23" ht="13.5" thickBot="1" x14ac:dyDescent="0.25">
      <c r="A291" s="460"/>
      <c r="B291" s="130"/>
      <c r="C291" s="130"/>
      <c r="D291" s="1449"/>
      <c r="E291" s="68"/>
      <c r="F291" s="175"/>
      <c r="G291" s="21"/>
      <c r="H291" s="9"/>
      <c r="I291" s="13"/>
      <c r="J291" s="9"/>
      <c r="K291" s="9"/>
      <c r="L291" s="9"/>
      <c r="M291" s="9"/>
      <c r="N291" s="9"/>
      <c r="O291" s="9"/>
      <c r="P291" s="9"/>
      <c r="Q291" s="9"/>
      <c r="R291" s="9"/>
      <c r="S291" s="47"/>
    </row>
    <row r="292" spans="1:23" s="39" customFormat="1" x14ac:dyDescent="0.2">
      <c r="A292" s="24">
        <f>SUM(A269:A291)</f>
        <v>886000</v>
      </c>
      <c r="B292" s="21">
        <f>SUM(B269:B291)</f>
        <v>1371400</v>
      </c>
      <c r="C292" s="21">
        <f>SUM(C269:C291)</f>
        <v>1366300</v>
      </c>
      <c r="D292" s="32">
        <f>SUM(D269:D291)</f>
        <v>1282200</v>
      </c>
      <c r="E292" s="21">
        <f t="shared" ref="E292" si="521">SUM(E269:E291)</f>
        <v>781500</v>
      </c>
      <c r="F292" s="1446"/>
      <c r="G292" s="267" t="s">
        <v>556</v>
      </c>
      <c r="H292" s="16">
        <f t="shared" ref="H292:O292" si="522">SUM(H269:H291)</f>
        <v>1159100</v>
      </c>
      <c r="I292" s="126">
        <f>IF(E292=H292,0,IF(E292=0,100,(H292-E292)/E292*100))</f>
        <v>48.317338451695456</v>
      </c>
      <c r="J292" s="16">
        <f t="shared" si="522"/>
        <v>1015300</v>
      </c>
      <c r="K292" s="16">
        <f t="shared" si="522"/>
        <v>1034200</v>
      </c>
      <c r="L292" s="16">
        <f t="shared" si="522"/>
        <v>1057700</v>
      </c>
      <c r="M292" s="16">
        <f t="shared" si="522"/>
        <v>1085200</v>
      </c>
      <c r="N292" s="16">
        <f t="shared" si="522"/>
        <v>1117200</v>
      </c>
      <c r="O292" s="16">
        <f t="shared" si="522"/>
        <v>1153100</v>
      </c>
      <c r="P292" s="16">
        <f t="shared" ref="P292:Q292" si="523">SUM(P269:P291)</f>
        <v>1192800</v>
      </c>
      <c r="Q292" s="16">
        <f t="shared" si="523"/>
        <v>1236700</v>
      </c>
      <c r="R292" s="16">
        <f t="shared" ref="R292" si="524">SUM(R269:R291)</f>
        <v>1284400</v>
      </c>
      <c r="S292" s="2342">
        <f t="shared" ref="S292" si="525">SUM(S269:S291)</f>
        <v>1337300</v>
      </c>
      <c r="U292" s="34"/>
      <c r="W292" s="34"/>
    </row>
    <row r="293" spans="1:23" x14ac:dyDescent="0.2">
      <c r="A293" s="54"/>
      <c r="B293" s="9"/>
      <c r="C293" s="9"/>
      <c r="D293" s="29"/>
      <c r="E293" s="9"/>
      <c r="F293" s="175"/>
      <c r="G293" s="257"/>
      <c r="H293" s="21"/>
      <c r="I293" s="85"/>
      <c r="J293" s="9"/>
      <c r="K293" s="9"/>
      <c r="L293" s="9"/>
      <c r="M293" s="9"/>
      <c r="N293" s="9"/>
      <c r="O293" s="9"/>
      <c r="P293" s="9"/>
      <c r="Q293" s="9"/>
      <c r="R293" s="9"/>
      <c r="S293" s="47"/>
    </row>
    <row r="294" spans="1:23" s="39" customFormat="1" x14ac:dyDescent="0.2">
      <c r="A294" s="24">
        <f>A267-A292</f>
        <v>-653000</v>
      </c>
      <c r="B294" s="21">
        <f>B267-B292</f>
        <v>-1181500</v>
      </c>
      <c r="C294" s="21">
        <f>C267-C292</f>
        <v>-1070900</v>
      </c>
      <c r="D294" s="32">
        <f>D267-D292</f>
        <v>-1090800</v>
      </c>
      <c r="E294" s="21">
        <f t="shared" ref="E294" si="526">E267-E292</f>
        <v>-335000</v>
      </c>
      <c r="F294" s="1446"/>
      <c r="G294" s="361" t="s">
        <v>1002</v>
      </c>
      <c r="H294" s="21">
        <f t="shared" ref="H294:O294" si="527">H267-H292</f>
        <v>-986000</v>
      </c>
      <c r="I294" s="126">
        <f>IF(E294=H294,0,IF(E294=0,100,(H294-E294)/E294*100))</f>
        <v>194.32835820895522</v>
      </c>
      <c r="J294" s="21">
        <f t="shared" si="527"/>
        <v>-862300</v>
      </c>
      <c r="K294" s="21">
        <f t="shared" si="527"/>
        <v>-877200</v>
      </c>
      <c r="L294" s="21">
        <f t="shared" si="527"/>
        <v>-896600</v>
      </c>
      <c r="M294" s="21">
        <f t="shared" si="527"/>
        <v>-919900</v>
      </c>
      <c r="N294" s="21">
        <f t="shared" si="527"/>
        <v>-947500</v>
      </c>
      <c r="O294" s="21">
        <f t="shared" si="527"/>
        <v>-979000</v>
      </c>
      <c r="P294" s="21">
        <f t="shared" ref="P294:Q294" si="528">P267-P292</f>
        <v>-1014000</v>
      </c>
      <c r="Q294" s="21">
        <f t="shared" si="528"/>
        <v>-1053200</v>
      </c>
      <c r="R294" s="21">
        <f t="shared" ref="R294" si="529">R267-R292</f>
        <v>-1096100</v>
      </c>
      <c r="S294" s="86">
        <f t="shared" ref="S294" si="530">S267-S292</f>
        <v>-1144000</v>
      </c>
      <c r="U294" s="34"/>
      <c r="W294" s="34"/>
    </row>
    <row r="295" spans="1:23" x14ac:dyDescent="0.2">
      <c r="A295" s="415">
        <v>0</v>
      </c>
      <c r="B295" s="322">
        <v>0</v>
      </c>
      <c r="C295" s="322">
        <v>0</v>
      </c>
      <c r="D295" s="1450">
        <v>0</v>
      </c>
      <c r="E295" s="322">
        <v>0</v>
      </c>
      <c r="F295" s="175"/>
      <c r="G295" s="261" t="s">
        <v>1943</v>
      </c>
      <c r="H295" s="9">
        <v>0</v>
      </c>
      <c r="I295" s="401">
        <f>IF(E295=H295,0,IF(E295=0,100,(H295-E295)/E295*100))</f>
        <v>0</v>
      </c>
      <c r="J295" s="9">
        <v>0</v>
      </c>
      <c r="K295" s="9">
        <v>0</v>
      </c>
      <c r="L295" s="9">
        <v>0</v>
      </c>
      <c r="M295" s="9">
        <v>0</v>
      </c>
      <c r="N295" s="9">
        <v>0</v>
      </c>
      <c r="O295" s="9">
        <v>0</v>
      </c>
      <c r="P295" s="9">
        <v>0</v>
      </c>
      <c r="Q295" s="9">
        <v>0</v>
      </c>
      <c r="R295" s="9">
        <v>0</v>
      </c>
      <c r="S295" s="47">
        <v>0</v>
      </c>
    </row>
    <row r="296" spans="1:23" s="39" customFormat="1" x14ac:dyDescent="0.2">
      <c r="A296" s="24">
        <f>A294+A295</f>
        <v>-653000</v>
      </c>
      <c r="B296" s="21">
        <f>B294+B295</f>
        <v>-1181500</v>
      </c>
      <c r="C296" s="21">
        <f>C294+C295</f>
        <v>-1070900</v>
      </c>
      <c r="D296" s="32">
        <f>D294+D295</f>
        <v>-1090800</v>
      </c>
      <c r="E296" s="21">
        <f t="shared" ref="E296" si="531">E294+E295</f>
        <v>-335000</v>
      </c>
      <c r="F296" s="1446"/>
      <c r="G296" s="361" t="s">
        <v>1659</v>
      </c>
      <c r="H296" s="280">
        <f t="shared" ref="H296:O296" si="532">H294+H295</f>
        <v>-986000</v>
      </c>
      <c r="I296" s="126">
        <f>IF(E296=H296,0,IF(E296=0,100,(H296-E296)/E296*100))</f>
        <v>194.32835820895522</v>
      </c>
      <c r="J296" s="280">
        <f t="shared" si="532"/>
        <v>-862300</v>
      </c>
      <c r="K296" s="280">
        <f t="shared" si="532"/>
        <v>-877200</v>
      </c>
      <c r="L296" s="280">
        <f t="shared" si="532"/>
        <v>-896600</v>
      </c>
      <c r="M296" s="280">
        <f t="shared" si="532"/>
        <v>-919900</v>
      </c>
      <c r="N296" s="280">
        <f t="shared" si="532"/>
        <v>-947500</v>
      </c>
      <c r="O296" s="280">
        <f t="shared" si="532"/>
        <v>-979000</v>
      </c>
      <c r="P296" s="280">
        <f t="shared" ref="P296:Q296" si="533">P294+P295</f>
        <v>-1014000</v>
      </c>
      <c r="Q296" s="280">
        <f t="shared" si="533"/>
        <v>-1053200</v>
      </c>
      <c r="R296" s="280">
        <f t="shared" ref="R296" si="534">R294+R295</f>
        <v>-1096100</v>
      </c>
      <c r="S296" s="2343">
        <f t="shared" ref="S296" si="535">S294+S295</f>
        <v>-1144000</v>
      </c>
      <c r="U296" s="34"/>
      <c r="W296" s="34"/>
    </row>
    <row r="297" spans="1:23" ht="13.5" thickBot="1" x14ac:dyDescent="0.25">
      <c r="A297" s="26"/>
      <c r="B297" s="37"/>
      <c r="C297" s="37"/>
      <c r="D297" s="35"/>
      <c r="E297" s="23"/>
      <c r="F297" s="191"/>
      <c r="G297" s="259"/>
      <c r="H297" s="68"/>
      <c r="I297" s="275">
        <f>IF(E297=H297,0,IF(E297=0,100,(H297-E297)/E297*100))</f>
        <v>0</v>
      </c>
      <c r="J297" s="68"/>
      <c r="K297" s="68"/>
      <c r="L297" s="68"/>
      <c r="M297" s="68"/>
      <c r="N297" s="68"/>
      <c r="O297" s="68"/>
      <c r="P297" s="68"/>
      <c r="Q297" s="68"/>
      <c r="R297" s="68"/>
      <c r="S297" s="108"/>
    </row>
    <row r="298" spans="1:23" ht="13.5" thickTop="1" x14ac:dyDescent="0.2">
      <c r="A298" s="270"/>
      <c r="B298" s="109"/>
      <c r="C298" s="109"/>
      <c r="D298" s="274"/>
      <c r="E298" s="74"/>
      <c r="F298" s="1451"/>
      <c r="G298" s="258"/>
      <c r="H298" s="74"/>
      <c r="I298" s="352"/>
      <c r="J298" s="74"/>
      <c r="K298" s="74"/>
      <c r="L298" s="74"/>
      <c r="M298" s="74"/>
      <c r="N298" s="74"/>
      <c r="O298" s="74"/>
      <c r="P298" s="74"/>
      <c r="Q298" s="74"/>
      <c r="R298" s="74"/>
      <c r="S298" s="110"/>
    </row>
    <row r="299" spans="1:23" x14ac:dyDescent="0.2">
      <c r="A299" s="24"/>
      <c r="B299" s="21"/>
      <c r="C299" s="21"/>
      <c r="D299" s="32"/>
      <c r="E299" s="9"/>
      <c r="F299" s="175"/>
      <c r="G299" s="361" t="s">
        <v>192</v>
      </c>
      <c r="H299" s="9"/>
      <c r="I299" s="126"/>
      <c r="J299" s="9"/>
      <c r="K299" s="9"/>
      <c r="L299" s="9"/>
      <c r="M299" s="9"/>
      <c r="N299" s="9"/>
      <c r="O299" s="9"/>
      <c r="P299" s="9"/>
      <c r="Q299" s="9"/>
      <c r="R299" s="9"/>
      <c r="S299" s="61"/>
    </row>
    <row r="300" spans="1:23" x14ac:dyDescent="0.2">
      <c r="A300" s="24"/>
      <c r="B300" s="21"/>
      <c r="C300" s="21"/>
      <c r="D300" s="32"/>
      <c r="E300" s="9"/>
      <c r="F300" s="175"/>
      <c r="G300" s="260"/>
      <c r="H300" s="9"/>
      <c r="I300" s="126"/>
      <c r="J300" s="9"/>
      <c r="K300" s="9"/>
      <c r="L300" s="9"/>
      <c r="M300" s="9"/>
      <c r="N300" s="9"/>
      <c r="O300" s="9"/>
      <c r="P300" s="9"/>
      <c r="Q300" s="9"/>
      <c r="R300" s="9"/>
      <c r="S300" s="61"/>
    </row>
    <row r="301" spans="1:23" x14ac:dyDescent="0.2">
      <c r="A301" s="54">
        <f>ROUND(A815,-3)</f>
        <v>0</v>
      </c>
      <c r="B301" s="9">
        <f t="shared" ref="B301:C305" si="536">B815</f>
        <v>0</v>
      </c>
      <c r="C301" s="9">
        <f t="shared" si="536"/>
        <v>0</v>
      </c>
      <c r="D301" s="29">
        <f t="shared" ref="D301:E305" si="537">D815</f>
        <v>0</v>
      </c>
      <c r="E301" s="29">
        <f t="shared" si="537"/>
        <v>0</v>
      </c>
      <c r="F301" s="167"/>
      <c r="G301" s="257" t="s">
        <v>2848</v>
      </c>
      <c r="H301" s="9">
        <f t="shared" ref="H301:O301" si="538">H815</f>
        <v>0</v>
      </c>
      <c r="I301" s="85">
        <f>IF(E301=H301,0,IF(E301=0,100,(H301-E301)/E301*100))</f>
        <v>0</v>
      </c>
      <c r="J301" s="9">
        <f t="shared" si="538"/>
        <v>0</v>
      </c>
      <c r="K301" s="9">
        <f t="shared" si="538"/>
        <v>0</v>
      </c>
      <c r="L301" s="9">
        <f t="shared" si="538"/>
        <v>0</v>
      </c>
      <c r="M301" s="9">
        <f t="shared" si="538"/>
        <v>0</v>
      </c>
      <c r="N301" s="9">
        <f t="shared" si="538"/>
        <v>0</v>
      </c>
      <c r="O301" s="9">
        <f t="shared" si="538"/>
        <v>0</v>
      </c>
      <c r="P301" s="9">
        <f t="shared" ref="P301:Q301" si="539">P815</f>
        <v>0</v>
      </c>
      <c r="Q301" s="9">
        <f t="shared" si="539"/>
        <v>0</v>
      </c>
      <c r="R301" s="9">
        <f t="shared" ref="R301:S301" si="540">R815</f>
        <v>0</v>
      </c>
      <c r="S301" s="61">
        <f t="shared" si="540"/>
        <v>0</v>
      </c>
    </row>
    <row r="302" spans="1:23" x14ac:dyDescent="0.2">
      <c r="A302" s="54">
        <f>ROUND(A816,-3)</f>
        <v>313000</v>
      </c>
      <c r="B302" s="9">
        <f t="shared" si="536"/>
        <v>297000</v>
      </c>
      <c r="C302" s="89">
        <f t="shared" si="536"/>
        <v>732000</v>
      </c>
      <c r="D302" s="46">
        <f t="shared" si="537"/>
        <v>284000</v>
      </c>
      <c r="E302" s="46">
        <f t="shared" si="537"/>
        <v>337000</v>
      </c>
      <c r="F302" s="167"/>
      <c r="G302" s="257" t="s">
        <v>1909</v>
      </c>
      <c r="H302" s="9">
        <f t="shared" ref="H302:O302" si="541">H816</f>
        <v>0</v>
      </c>
      <c r="I302" s="85">
        <f>IF(E302=H302,0,IF(E302=0,100,(H302-E302)/E302*100))</f>
        <v>-100</v>
      </c>
      <c r="J302" s="9">
        <f t="shared" si="541"/>
        <v>0</v>
      </c>
      <c r="K302" s="9">
        <f t="shared" si="541"/>
        <v>0</v>
      </c>
      <c r="L302" s="9">
        <f t="shared" si="541"/>
        <v>0</v>
      </c>
      <c r="M302" s="9">
        <f t="shared" si="541"/>
        <v>0</v>
      </c>
      <c r="N302" s="9">
        <f t="shared" si="541"/>
        <v>0</v>
      </c>
      <c r="O302" s="9">
        <f t="shared" si="541"/>
        <v>0</v>
      </c>
      <c r="P302" s="9">
        <f t="shared" ref="P302:Q302" si="542">P816</f>
        <v>0</v>
      </c>
      <c r="Q302" s="9">
        <f t="shared" si="542"/>
        <v>0</v>
      </c>
      <c r="R302" s="9">
        <f t="shared" ref="R302:S302" si="543">R816</f>
        <v>0</v>
      </c>
      <c r="S302" s="61">
        <f t="shared" si="543"/>
        <v>0</v>
      </c>
    </row>
    <row r="303" spans="1:23" x14ac:dyDescent="0.2">
      <c r="A303" s="54">
        <f>ROUND(A817,-3)</f>
        <v>8000</v>
      </c>
      <c r="B303" s="9">
        <f t="shared" si="536"/>
        <v>336000</v>
      </c>
      <c r="C303" s="9">
        <f t="shared" si="536"/>
        <v>192100</v>
      </c>
      <c r="D303" s="29">
        <f t="shared" si="537"/>
        <v>0</v>
      </c>
      <c r="E303" s="29">
        <f t="shared" si="537"/>
        <v>0</v>
      </c>
      <c r="F303" s="167"/>
      <c r="G303" s="257" t="s">
        <v>2309</v>
      </c>
      <c r="H303" s="9">
        <f t="shared" ref="H303:O303" si="544">H817</f>
        <v>117000</v>
      </c>
      <c r="I303" s="85">
        <f>IF(E303=H303,0,IF(E303=0,100,(H303-E303)/E303*100))</f>
        <v>100</v>
      </c>
      <c r="J303" s="9">
        <f t="shared" si="544"/>
        <v>0</v>
      </c>
      <c r="K303" s="9">
        <f t="shared" si="544"/>
        <v>0</v>
      </c>
      <c r="L303" s="9">
        <f t="shared" si="544"/>
        <v>0</v>
      </c>
      <c r="M303" s="9">
        <f t="shared" si="544"/>
        <v>0</v>
      </c>
      <c r="N303" s="9">
        <f t="shared" si="544"/>
        <v>0</v>
      </c>
      <c r="O303" s="9">
        <f t="shared" si="544"/>
        <v>0</v>
      </c>
      <c r="P303" s="9">
        <f t="shared" ref="P303:Q303" si="545">P817</f>
        <v>0</v>
      </c>
      <c r="Q303" s="9">
        <f t="shared" si="545"/>
        <v>0</v>
      </c>
      <c r="R303" s="9">
        <f t="shared" ref="R303:S303" si="546">R817</f>
        <v>0</v>
      </c>
      <c r="S303" s="61">
        <f t="shared" si="546"/>
        <v>0</v>
      </c>
    </row>
    <row r="304" spans="1:23" x14ac:dyDescent="0.2">
      <c r="A304" s="54">
        <f>ROUND(A818,-3)</f>
        <v>0</v>
      </c>
      <c r="B304" s="9">
        <f t="shared" si="536"/>
        <v>-1957800</v>
      </c>
      <c r="C304" s="9">
        <f t="shared" si="536"/>
        <v>-498500</v>
      </c>
      <c r="D304" s="29">
        <f t="shared" si="537"/>
        <v>2036000</v>
      </c>
      <c r="E304" s="29">
        <f t="shared" si="537"/>
        <v>0</v>
      </c>
      <c r="F304" s="167"/>
      <c r="G304" s="257" t="s">
        <v>5847</v>
      </c>
      <c r="H304" s="9">
        <f t="shared" ref="H304:O304" si="547">H818</f>
        <v>200000</v>
      </c>
      <c r="I304" s="85">
        <f>IF(E304=H304,0,IF(E304=0,100,(H304-E304)/E304*100))</f>
        <v>100</v>
      </c>
      <c r="J304" s="9">
        <f t="shared" si="547"/>
        <v>200000</v>
      </c>
      <c r="K304" s="9">
        <f t="shared" si="547"/>
        <v>200000</v>
      </c>
      <c r="L304" s="9">
        <f t="shared" si="547"/>
        <v>200000</v>
      </c>
      <c r="M304" s="9">
        <f t="shared" si="547"/>
        <v>200000</v>
      </c>
      <c r="N304" s="9">
        <f t="shared" si="547"/>
        <v>200000</v>
      </c>
      <c r="O304" s="9">
        <f t="shared" si="547"/>
        <v>200000</v>
      </c>
      <c r="P304" s="9">
        <f t="shared" ref="P304:Q304" si="548">P818</f>
        <v>200000</v>
      </c>
      <c r="Q304" s="9">
        <f t="shared" si="548"/>
        <v>200000</v>
      </c>
      <c r="R304" s="9">
        <f t="shared" ref="R304:S304" si="549">R818</f>
        <v>200000</v>
      </c>
      <c r="S304" s="61">
        <f t="shared" si="549"/>
        <v>200000</v>
      </c>
    </row>
    <row r="305" spans="1:23" x14ac:dyDescent="0.2">
      <c r="A305" s="54">
        <f>ROUND(A819,-3)</f>
        <v>0</v>
      </c>
      <c r="B305" s="9">
        <f t="shared" si="536"/>
        <v>0</v>
      </c>
      <c r="C305" s="9">
        <f t="shared" si="536"/>
        <v>0</v>
      </c>
      <c r="D305" s="29">
        <f t="shared" si="537"/>
        <v>0</v>
      </c>
      <c r="E305" s="29">
        <f t="shared" si="537"/>
        <v>36100</v>
      </c>
      <c r="F305" s="167"/>
      <c r="G305" s="257" t="s">
        <v>958</v>
      </c>
      <c r="H305" s="9">
        <f t="shared" ref="H305:O305" si="550">H819</f>
        <v>0</v>
      </c>
      <c r="I305" s="85">
        <f>IF(E305=H305,0,IF(E305=0,100,(H305-E305)/E305*100))</f>
        <v>-100</v>
      </c>
      <c r="J305" s="9">
        <f t="shared" si="550"/>
        <v>0</v>
      </c>
      <c r="K305" s="9">
        <f t="shared" si="550"/>
        <v>0</v>
      </c>
      <c r="L305" s="9">
        <f t="shared" si="550"/>
        <v>0</v>
      </c>
      <c r="M305" s="9">
        <f t="shared" si="550"/>
        <v>0</v>
      </c>
      <c r="N305" s="9">
        <f t="shared" si="550"/>
        <v>0</v>
      </c>
      <c r="O305" s="9">
        <f t="shared" si="550"/>
        <v>0</v>
      </c>
      <c r="P305" s="9">
        <f t="shared" ref="P305:Q305" si="551">P819</f>
        <v>0</v>
      </c>
      <c r="Q305" s="9">
        <f t="shared" si="551"/>
        <v>0</v>
      </c>
      <c r="R305" s="9">
        <f t="shared" ref="R305:S305" si="552">R819</f>
        <v>0</v>
      </c>
      <c r="S305" s="61">
        <f t="shared" si="552"/>
        <v>0</v>
      </c>
    </row>
    <row r="306" spans="1:23" x14ac:dyDescent="0.2">
      <c r="A306" s="54"/>
      <c r="B306" s="9"/>
      <c r="C306" s="9"/>
      <c r="D306" s="29"/>
      <c r="E306" s="322"/>
      <c r="F306" s="1452"/>
      <c r="G306" s="1453"/>
      <c r="H306" s="9"/>
      <c r="I306" s="85"/>
      <c r="J306" s="9"/>
      <c r="K306" s="9"/>
      <c r="L306" s="9"/>
      <c r="M306" s="9"/>
      <c r="N306" s="9"/>
      <c r="O306" s="9"/>
      <c r="P306" s="9"/>
      <c r="Q306" s="9"/>
      <c r="R306" s="9"/>
      <c r="S306" s="61"/>
    </row>
    <row r="307" spans="1:23" s="39" customFormat="1" x14ac:dyDescent="0.2">
      <c r="A307" s="128">
        <f>A296-A301-A302+A303++A304-A305</f>
        <v>-958000</v>
      </c>
      <c r="B307" s="280">
        <f>B296-B301-B302+B303++B304-B305</f>
        <v>-3100300</v>
      </c>
      <c r="C307" s="280">
        <f>C296-C301-C302+C303++C304-C305</f>
        <v>-2109300</v>
      </c>
      <c r="D307" s="280">
        <f>D296-D301-D302+D303++D304-D305</f>
        <v>661200</v>
      </c>
      <c r="E307" s="515">
        <f t="shared" ref="E307" si="553">E296-E301-E302+E303++E304-E305</f>
        <v>-708100</v>
      </c>
      <c r="F307" s="362"/>
      <c r="G307" s="363" t="s">
        <v>2447</v>
      </c>
      <c r="H307" s="280">
        <f t="shared" ref="H307:O307" si="554">H296-H301-H302+H303++H304-H305</f>
        <v>-669000</v>
      </c>
      <c r="I307" s="278">
        <f>IF(E307=H307,0,IF(E307=0,100,(H307-E307)/E307*100))</f>
        <v>-5.5218189521254057</v>
      </c>
      <c r="J307" s="280">
        <f t="shared" si="554"/>
        <v>-662300</v>
      </c>
      <c r="K307" s="280">
        <f t="shared" si="554"/>
        <v>-677200</v>
      </c>
      <c r="L307" s="280">
        <f t="shared" si="554"/>
        <v>-696600</v>
      </c>
      <c r="M307" s="280">
        <f t="shared" si="554"/>
        <v>-719900</v>
      </c>
      <c r="N307" s="280">
        <f t="shared" si="554"/>
        <v>-747500</v>
      </c>
      <c r="O307" s="280">
        <f t="shared" si="554"/>
        <v>-779000</v>
      </c>
      <c r="P307" s="280">
        <f t="shared" ref="P307:Q307" si="555">P296-P301-P302+P303++P304-P305</f>
        <v>-814000</v>
      </c>
      <c r="Q307" s="280">
        <f t="shared" si="555"/>
        <v>-853200</v>
      </c>
      <c r="R307" s="280">
        <f t="shared" ref="R307:S307" si="556">R296-R301-R302+R303++R304-R305</f>
        <v>-896100</v>
      </c>
      <c r="S307" s="282">
        <f t="shared" si="556"/>
        <v>-944000</v>
      </c>
      <c r="U307" s="34"/>
      <c r="W307" s="34"/>
    </row>
    <row r="308" spans="1:23" ht="13.5" thickBot="1" x14ac:dyDescent="0.25">
      <c r="A308" s="26"/>
      <c r="B308" s="37"/>
      <c r="C308" s="37"/>
      <c r="D308" s="37"/>
      <c r="E308" s="121"/>
      <c r="F308" s="190"/>
      <c r="G308" s="259"/>
      <c r="H308" s="23"/>
      <c r="I308" s="275"/>
      <c r="J308" s="23"/>
      <c r="K308" s="23"/>
      <c r="L308" s="23"/>
      <c r="M308" s="23"/>
      <c r="N308" s="23"/>
      <c r="O308" s="23"/>
      <c r="P308" s="23"/>
      <c r="Q308" s="23"/>
      <c r="R308" s="23"/>
      <c r="S308" s="112"/>
    </row>
    <row r="309" spans="1:23" ht="14.25" thickTop="1" thickBot="1" x14ac:dyDescent="0.25">
      <c r="A309" s="46"/>
      <c r="B309" s="46"/>
      <c r="F309" s="189"/>
      <c r="G309" s="55"/>
      <c r="I309" s="70"/>
    </row>
    <row r="310" spans="1:23" s="38" customFormat="1" ht="18.75" customHeight="1" thickTop="1" thickBot="1" x14ac:dyDescent="0.3">
      <c r="A310" s="2588" t="s">
        <v>967</v>
      </c>
      <c r="B310" s="2589"/>
      <c r="C310" s="2589"/>
      <c r="D310" s="2589"/>
      <c r="E310" s="2589"/>
      <c r="F310" s="2589"/>
      <c r="G310" s="2589"/>
      <c r="H310" s="2589"/>
      <c r="I310" s="2589"/>
      <c r="J310" s="2589"/>
      <c r="K310" s="2589"/>
      <c r="L310" s="2589"/>
      <c r="M310" s="2589"/>
      <c r="N310" s="2589"/>
      <c r="O310" s="2589"/>
      <c r="P310" s="2589"/>
      <c r="Q310" s="2589"/>
      <c r="R310" s="2589"/>
      <c r="S310" s="2590"/>
      <c r="U310" s="34"/>
      <c r="W310" s="34"/>
    </row>
    <row r="311" spans="1:23" s="39" customFormat="1" x14ac:dyDescent="0.2">
      <c r="A311" s="2620" t="s">
        <v>1824</v>
      </c>
      <c r="B311" s="2621"/>
      <c r="C311" s="2621"/>
      <c r="D311" s="2621"/>
      <c r="E311" s="2622"/>
      <c r="F311" s="150" t="s">
        <v>2616</v>
      </c>
      <c r="G311" s="126" t="s">
        <v>2213</v>
      </c>
      <c r="H311" s="2617" t="s">
        <v>2215</v>
      </c>
      <c r="I311" s="2618"/>
      <c r="J311" s="2618"/>
      <c r="K311" s="2618"/>
      <c r="L311" s="2618"/>
      <c r="M311" s="2618"/>
      <c r="N311" s="2618"/>
      <c r="O311" s="2618"/>
      <c r="P311" s="2618"/>
      <c r="Q311" s="2618"/>
      <c r="R311" s="2618"/>
      <c r="S311" s="2619"/>
      <c r="U311" s="34"/>
      <c r="W311" s="34"/>
    </row>
    <row r="312" spans="1:23" ht="13.5" thickBot="1" x14ac:dyDescent="0.25">
      <c r="A312" s="541" t="str">
        <f>A3</f>
        <v>2012/13</v>
      </c>
      <c r="B312" s="28" t="str">
        <f>B3</f>
        <v>2013/14</v>
      </c>
      <c r="C312" s="40" t="str">
        <f>C3</f>
        <v>2014/15</v>
      </c>
      <c r="D312" s="40" t="str">
        <f>D3</f>
        <v>2015/16</v>
      </c>
      <c r="E312" s="28" t="str">
        <f>E3</f>
        <v>2016/17</v>
      </c>
      <c r="F312" s="1257" t="s">
        <v>2617</v>
      </c>
      <c r="G312" s="41"/>
      <c r="H312" s="40" t="str">
        <f t="shared" ref="H312:S312" si="557">H3</f>
        <v>2017/18</v>
      </c>
      <c r="I312" s="40" t="str">
        <f t="shared" si="557"/>
        <v>%</v>
      </c>
      <c r="J312" s="40" t="str">
        <f t="shared" si="557"/>
        <v>2018/19</v>
      </c>
      <c r="K312" s="40" t="str">
        <f t="shared" si="557"/>
        <v>2019/20</v>
      </c>
      <c r="L312" s="40" t="str">
        <f t="shared" si="557"/>
        <v>2020/21</v>
      </c>
      <c r="M312" s="40" t="str">
        <f t="shared" si="557"/>
        <v>2021/22</v>
      </c>
      <c r="N312" s="40" t="str">
        <f t="shared" si="557"/>
        <v>2022/23</v>
      </c>
      <c r="O312" s="40" t="str">
        <f t="shared" si="557"/>
        <v>2023/24</v>
      </c>
      <c r="P312" s="40" t="str">
        <f t="shared" si="557"/>
        <v>2024/25</v>
      </c>
      <c r="Q312" s="28" t="str">
        <f t="shared" si="557"/>
        <v>2025/26</v>
      </c>
      <c r="R312" s="28" t="str">
        <f t="shared" si="557"/>
        <v>2026/27</v>
      </c>
      <c r="S312" s="1620" t="str">
        <f t="shared" si="557"/>
        <v>2027/28</v>
      </c>
    </row>
    <row r="313" spans="1:23" x14ac:dyDescent="0.2">
      <c r="A313" s="430"/>
      <c r="B313" s="126"/>
      <c r="C313" s="126"/>
      <c r="D313" s="126"/>
      <c r="E313" s="9"/>
      <c r="F313" s="188"/>
      <c r="G313" s="46"/>
      <c r="H313" s="9"/>
      <c r="I313" s="126"/>
      <c r="J313" s="9"/>
      <c r="K313" s="9"/>
      <c r="L313" s="9"/>
      <c r="M313" s="9"/>
      <c r="N313" s="9"/>
      <c r="O313" s="9"/>
      <c r="P313" s="9"/>
      <c r="Q313" s="9"/>
      <c r="R313" s="9"/>
      <c r="S313" s="61"/>
    </row>
    <row r="314" spans="1:23" x14ac:dyDescent="0.2">
      <c r="A314" s="54"/>
      <c r="B314" s="9"/>
      <c r="C314" s="9"/>
      <c r="D314" s="9"/>
      <c r="E314" s="9"/>
      <c r="F314" s="177"/>
      <c r="G314" s="91" t="s">
        <v>1056</v>
      </c>
      <c r="H314" s="9"/>
      <c r="I314" s="85"/>
      <c r="J314" s="9"/>
      <c r="K314" s="9"/>
      <c r="L314" s="9"/>
      <c r="M314" s="9"/>
      <c r="N314" s="9"/>
      <c r="O314" s="9"/>
      <c r="P314" s="9"/>
      <c r="Q314" s="9"/>
      <c r="R314" s="9"/>
      <c r="S314" s="61"/>
    </row>
    <row r="315" spans="1:23" x14ac:dyDescent="0.2">
      <c r="A315" s="54"/>
      <c r="B315" s="9"/>
      <c r="C315" s="9"/>
      <c r="D315" s="9"/>
      <c r="E315" s="9"/>
      <c r="F315" s="240"/>
      <c r="G315" s="27" t="s">
        <v>1711</v>
      </c>
      <c r="H315" s="9"/>
      <c r="I315" s="85"/>
      <c r="J315" s="9"/>
      <c r="K315" s="9"/>
      <c r="L315" s="9"/>
      <c r="M315" s="9"/>
      <c r="N315" s="9"/>
      <c r="O315" s="9"/>
      <c r="P315" s="9"/>
      <c r="Q315" s="9"/>
      <c r="R315" s="9"/>
      <c r="S315" s="61"/>
    </row>
    <row r="316" spans="1:23" x14ac:dyDescent="0.2">
      <c r="A316" s="54">
        <f>ROUND(SUM(A828:A838),-3)</f>
        <v>1698000</v>
      </c>
      <c r="B316" s="9">
        <f>SUM(B828:B838)</f>
        <v>1618900</v>
      </c>
      <c r="C316" s="9">
        <f>SUM(C828:C838)</f>
        <v>1462100</v>
      </c>
      <c r="D316" s="9">
        <f>SUM(D828:D838)</f>
        <v>1639800</v>
      </c>
      <c r="E316" s="2165">
        <f>SUM(E828:E838)</f>
        <v>1749300</v>
      </c>
      <c r="F316" s="240" t="s">
        <v>433</v>
      </c>
      <c r="G316" s="31" t="s">
        <v>4919</v>
      </c>
      <c r="H316" s="9">
        <f>SUM(H828:H838)</f>
        <v>1769500</v>
      </c>
      <c r="I316" s="85">
        <f>IF(E316=H316,0,IF(E316=0,100,(H316-E316)/E316*100))</f>
        <v>1.1547476133310468</v>
      </c>
      <c r="J316" s="9">
        <f t="shared" ref="J316:R316" si="558">SUM(J828:J838)</f>
        <v>1803000</v>
      </c>
      <c r="K316" s="9">
        <f t="shared" si="558"/>
        <v>1839100</v>
      </c>
      <c r="L316" s="9">
        <f t="shared" si="558"/>
        <v>1875800</v>
      </c>
      <c r="M316" s="9">
        <f t="shared" si="558"/>
        <v>1913300</v>
      </c>
      <c r="N316" s="9">
        <f t="shared" si="558"/>
        <v>1951400</v>
      </c>
      <c r="O316" s="9">
        <f t="shared" si="558"/>
        <v>1990300</v>
      </c>
      <c r="P316" s="9">
        <f t="shared" si="558"/>
        <v>2030100</v>
      </c>
      <c r="Q316" s="9">
        <f t="shared" si="558"/>
        <v>2070600</v>
      </c>
      <c r="R316" s="9">
        <f t="shared" si="558"/>
        <v>2111900</v>
      </c>
      <c r="S316" s="47">
        <f t="shared" ref="S316" si="559">SUM(S828:S838)</f>
        <v>2154100</v>
      </c>
    </row>
    <row r="317" spans="1:23" x14ac:dyDescent="0.2">
      <c r="A317" s="54">
        <f>ROUND(SUM(A839:A847),-3)</f>
        <v>260000</v>
      </c>
      <c r="B317" s="9">
        <f>SUM(B839:B847)</f>
        <v>354400</v>
      </c>
      <c r="C317" s="89">
        <f>SUM(C839:C847)</f>
        <v>218600</v>
      </c>
      <c r="D317" s="9">
        <f>SUM(D839:D847)</f>
        <v>225100</v>
      </c>
      <c r="E317" s="9">
        <f>SUM(E839:E847)</f>
        <v>211600</v>
      </c>
      <c r="F317" s="240" t="s">
        <v>434</v>
      </c>
      <c r="G317" s="1173" t="s">
        <v>1712</v>
      </c>
      <c r="H317" s="9">
        <f t="shared" ref="H317:Q317" si="560">SUM(H839:H847)</f>
        <v>226800</v>
      </c>
      <c r="I317" s="85">
        <f>IF(E317=H317,0,IF(E317=0,100,(H317-E317)/E317*100))</f>
        <v>7.1833648393194709</v>
      </c>
      <c r="J317" s="9">
        <f t="shared" si="560"/>
        <v>232000</v>
      </c>
      <c r="K317" s="9">
        <f t="shared" si="560"/>
        <v>237900</v>
      </c>
      <c r="L317" s="9">
        <f t="shared" si="560"/>
        <v>244000</v>
      </c>
      <c r="M317" s="9">
        <f t="shared" si="560"/>
        <v>250500</v>
      </c>
      <c r="N317" s="9">
        <f t="shared" si="560"/>
        <v>257200</v>
      </c>
      <c r="O317" s="9">
        <f t="shared" si="560"/>
        <v>264100</v>
      </c>
      <c r="P317" s="9">
        <f t="shared" si="560"/>
        <v>271400</v>
      </c>
      <c r="Q317" s="9">
        <f t="shared" si="560"/>
        <v>278900</v>
      </c>
      <c r="R317" s="9">
        <f t="shared" ref="R317" si="561">SUM(R839:R847)</f>
        <v>286500</v>
      </c>
      <c r="S317" s="47">
        <f t="shared" ref="S317" si="562">SUM(S839:S847)</f>
        <v>294400</v>
      </c>
    </row>
    <row r="318" spans="1:23" x14ac:dyDescent="0.2">
      <c r="A318" s="54"/>
      <c r="B318" s="9"/>
      <c r="C318" s="89"/>
      <c r="D318" s="89"/>
      <c r="E318" s="9"/>
      <c r="F318" s="240"/>
      <c r="G318" s="32" t="s">
        <v>2512</v>
      </c>
      <c r="H318" s="9"/>
      <c r="I318" s="85"/>
      <c r="J318" s="9"/>
      <c r="K318" s="9"/>
      <c r="L318" s="9"/>
      <c r="M318" s="9"/>
      <c r="N318" s="9"/>
      <c r="O318" s="9"/>
      <c r="P318" s="9"/>
      <c r="Q318" s="9"/>
      <c r="R318" s="9"/>
      <c r="S318" s="47"/>
    </row>
    <row r="319" spans="1:23" x14ac:dyDescent="0.2">
      <c r="A319" s="54">
        <f>ROUND(SUM(A848:A853),-3)</f>
        <v>72000</v>
      </c>
      <c r="B319" s="9">
        <f>SUM(B848:B853)</f>
        <v>87600</v>
      </c>
      <c r="C319" s="89">
        <f>SUM(C848:C853)</f>
        <v>81400</v>
      </c>
      <c r="D319" s="89">
        <f>SUM(D849:D853)</f>
        <v>64500</v>
      </c>
      <c r="E319" s="9">
        <f>SUM(E848:E853)</f>
        <v>65800</v>
      </c>
      <c r="F319" s="240" t="s">
        <v>435</v>
      </c>
      <c r="G319" s="1173" t="s">
        <v>1713</v>
      </c>
      <c r="H319" s="9">
        <f t="shared" ref="H319:P319" si="563">SUM(H848:H853)</f>
        <v>57300</v>
      </c>
      <c r="I319" s="85">
        <f>IF(E319=H319,0,IF(E319=0,100,(H319-E319)/E319*100))</f>
        <v>-12.917933130699089</v>
      </c>
      <c r="J319" s="9">
        <f t="shared" si="563"/>
        <v>70000</v>
      </c>
      <c r="K319" s="9">
        <f t="shared" si="563"/>
        <v>71300</v>
      </c>
      <c r="L319" s="9">
        <f t="shared" si="563"/>
        <v>72700</v>
      </c>
      <c r="M319" s="9">
        <f t="shared" si="563"/>
        <v>74200</v>
      </c>
      <c r="N319" s="9">
        <f t="shared" si="563"/>
        <v>75700</v>
      </c>
      <c r="O319" s="9">
        <f t="shared" si="563"/>
        <v>77200</v>
      </c>
      <c r="P319" s="9">
        <f t="shared" si="563"/>
        <v>78700</v>
      </c>
      <c r="Q319" s="9">
        <f t="shared" ref="Q319" si="564">SUM(Q848:Q853)</f>
        <v>80300</v>
      </c>
      <c r="R319" s="9">
        <f t="shared" ref="R319" si="565">SUM(R848:R853)</f>
        <v>81900</v>
      </c>
      <c r="S319" s="47">
        <f t="shared" ref="S319" si="566">SUM(S848:S853)</f>
        <v>83500</v>
      </c>
    </row>
    <row r="320" spans="1:23" x14ac:dyDescent="0.2">
      <c r="A320" s="54"/>
      <c r="B320" s="9"/>
      <c r="C320" s="9"/>
      <c r="D320" s="89"/>
      <c r="E320" s="9"/>
      <c r="F320" s="240"/>
      <c r="G320" s="32" t="s">
        <v>14</v>
      </c>
      <c r="H320" s="9"/>
      <c r="I320" s="85"/>
      <c r="J320" s="9"/>
      <c r="K320" s="9"/>
      <c r="L320" s="9"/>
      <c r="M320" s="9"/>
      <c r="N320" s="9"/>
      <c r="O320" s="9"/>
      <c r="P320" s="9"/>
      <c r="Q320" s="9"/>
      <c r="R320" s="9"/>
      <c r="S320" s="47"/>
    </row>
    <row r="321" spans="1:23" x14ac:dyDescent="0.2">
      <c r="A321" s="54">
        <f>ROUND(SUM(A961:A963),-3)</f>
        <v>355000</v>
      </c>
      <c r="B321" s="9">
        <f>SUM(B961:B963)</f>
        <v>422600</v>
      </c>
      <c r="C321" s="9">
        <f>SUM(C961:C963)</f>
        <v>432400</v>
      </c>
      <c r="D321" s="9">
        <f>SUM(D961:D963)</f>
        <v>421600</v>
      </c>
      <c r="E321" s="2165">
        <f t="shared" ref="E321" si="567">SUM(E961:E963)</f>
        <v>413400</v>
      </c>
      <c r="F321" s="577" t="s">
        <v>1681</v>
      </c>
      <c r="G321" s="30" t="s">
        <v>1392</v>
      </c>
      <c r="H321" s="9">
        <f t="shared" ref="H321:O321" si="568">SUM(H961:H963)</f>
        <v>438200</v>
      </c>
      <c r="I321" s="85">
        <f>IF(E321=H321,0,IF(E321=0,100,(H321-E321)/E321*100))</f>
        <v>5.9990324141267539</v>
      </c>
      <c r="J321" s="9">
        <f t="shared" si="568"/>
        <v>448400</v>
      </c>
      <c r="K321" s="9">
        <f t="shared" si="568"/>
        <v>459700</v>
      </c>
      <c r="L321" s="9">
        <f t="shared" si="568"/>
        <v>471300</v>
      </c>
      <c r="M321" s="9">
        <f t="shared" si="568"/>
        <v>483200</v>
      </c>
      <c r="N321" s="9">
        <f t="shared" si="568"/>
        <v>495400</v>
      </c>
      <c r="O321" s="9">
        <f t="shared" si="568"/>
        <v>507900</v>
      </c>
      <c r="P321" s="9">
        <f>SUM(P961:P963)</f>
        <v>520700</v>
      </c>
      <c r="Q321" s="9">
        <f>SUM(Q961:Q963)</f>
        <v>533800</v>
      </c>
      <c r="R321" s="9">
        <f>SUM(R961:R963)</f>
        <v>547200</v>
      </c>
      <c r="S321" s="47">
        <f>SUM(S961:S963)</f>
        <v>561000</v>
      </c>
    </row>
    <row r="322" spans="1:23" x14ac:dyDescent="0.2">
      <c r="A322" s="54"/>
      <c r="B322" s="9"/>
      <c r="C322" s="9"/>
      <c r="D322" s="9"/>
      <c r="E322" s="9"/>
      <c r="F322" s="240"/>
      <c r="G322" s="1461" t="s">
        <v>1460</v>
      </c>
      <c r="H322" s="9"/>
      <c r="I322" s="85"/>
      <c r="J322" s="9"/>
      <c r="K322" s="9"/>
      <c r="L322" s="9"/>
      <c r="M322" s="9"/>
      <c r="N322" s="9"/>
      <c r="O322" s="9"/>
      <c r="P322" s="9"/>
      <c r="Q322" s="9"/>
      <c r="R322" s="9"/>
      <c r="S322" s="47"/>
    </row>
    <row r="323" spans="1:23" x14ac:dyDescent="0.2">
      <c r="A323" s="54">
        <f>SUM(A854:A856)</f>
        <v>1815500</v>
      </c>
      <c r="B323" s="9">
        <f>SUM(B854:B856)</f>
        <v>697300</v>
      </c>
      <c r="C323" s="9">
        <f>SUM(C854:C856)</f>
        <v>545200</v>
      </c>
      <c r="D323" s="9">
        <f>SUM(D854:D856)</f>
        <v>92000</v>
      </c>
      <c r="E323" s="2165">
        <f t="shared" ref="E323" si="569">SUM(E854:E856)</f>
        <v>440000</v>
      </c>
      <c r="F323" s="577" t="s">
        <v>4754</v>
      </c>
      <c r="G323" s="30" t="s">
        <v>4753</v>
      </c>
      <c r="H323" s="9">
        <f t="shared" ref="H323:P323" si="570">SUM(H854:H856)</f>
        <v>0</v>
      </c>
      <c r="I323" s="85">
        <f>IF(E323=H323,0,IF(E323=0,100,(H323-E323)/E323*100))</f>
        <v>-100</v>
      </c>
      <c r="J323" s="9">
        <f t="shared" si="570"/>
        <v>0</v>
      </c>
      <c r="K323" s="9">
        <f t="shared" si="570"/>
        <v>0</v>
      </c>
      <c r="L323" s="9">
        <f t="shared" si="570"/>
        <v>0</v>
      </c>
      <c r="M323" s="9">
        <f t="shared" si="570"/>
        <v>0</v>
      </c>
      <c r="N323" s="9">
        <f t="shared" si="570"/>
        <v>0</v>
      </c>
      <c r="O323" s="9">
        <f t="shared" si="570"/>
        <v>0</v>
      </c>
      <c r="P323" s="9">
        <f t="shared" si="570"/>
        <v>0</v>
      </c>
      <c r="Q323" s="9">
        <f t="shared" ref="Q323" si="571">SUM(Q854:Q856)</f>
        <v>0</v>
      </c>
      <c r="R323" s="9">
        <f t="shared" ref="R323" si="572">SUM(R854:R856)</f>
        <v>0</v>
      </c>
      <c r="S323" s="47">
        <f t="shared" ref="S323" si="573">SUM(S854:S856)</f>
        <v>0</v>
      </c>
    </row>
    <row r="324" spans="1:23" x14ac:dyDescent="0.2">
      <c r="A324" s="54"/>
      <c r="B324" s="9"/>
      <c r="C324" s="9"/>
      <c r="D324" s="9"/>
      <c r="E324" s="9"/>
      <c r="F324" s="240"/>
      <c r="G324" s="122" t="s">
        <v>599</v>
      </c>
      <c r="H324" s="9"/>
      <c r="I324" s="85"/>
      <c r="J324" s="9"/>
      <c r="K324" s="9"/>
      <c r="L324" s="9"/>
      <c r="M324" s="9"/>
      <c r="N324" s="9"/>
      <c r="O324" s="9"/>
      <c r="P324" s="9"/>
      <c r="Q324" s="9"/>
      <c r="R324" s="9"/>
      <c r="S324" s="47"/>
    </row>
    <row r="325" spans="1:23" x14ac:dyDescent="0.2">
      <c r="A325" s="54">
        <f>ROUND(A858,-3)</f>
        <v>121000</v>
      </c>
      <c r="B325" s="9">
        <f t="shared" ref="B325:C327" si="574">B858</f>
        <v>18000</v>
      </c>
      <c r="C325" s="9">
        <f t="shared" si="574"/>
        <v>80200</v>
      </c>
      <c r="D325" s="9">
        <f>D858</f>
        <v>41000</v>
      </c>
      <c r="E325" s="9">
        <f t="shared" ref="E325" si="575">E858</f>
        <v>25500</v>
      </c>
      <c r="F325" s="240" t="s">
        <v>436</v>
      </c>
      <c r="G325" s="30" t="s">
        <v>4920</v>
      </c>
      <c r="H325" s="9">
        <f t="shared" ref="H325:O325" si="576">H858</f>
        <v>16000</v>
      </c>
      <c r="I325" s="85">
        <f>IF(E325=H325,0,IF(E325=0,100,(H325-E325)/E325*100))</f>
        <v>-37.254901960784316</v>
      </c>
      <c r="J325" s="9">
        <f t="shared" si="576"/>
        <v>0</v>
      </c>
      <c r="K325" s="9">
        <f t="shared" si="576"/>
        <v>2000</v>
      </c>
      <c r="L325" s="9">
        <f t="shared" si="576"/>
        <v>6000</v>
      </c>
      <c r="M325" s="9">
        <f t="shared" si="576"/>
        <v>3000</v>
      </c>
      <c r="N325" s="9">
        <f t="shared" si="576"/>
        <v>3000</v>
      </c>
      <c r="O325" s="9">
        <f t="shared" si="576"/>
        <v>3000</v>
      </c>
      <c r="P325" s="9">
        <f t="shared" ref="P325:Q325" si="577">P858</f>
        <v>3000</v>
      </c>
      <c r="Q325" s="9">
        <f t="shared" si="577"/>
        <v>5000</v>
      </c>
      <c r="R325" s="9">
        <f t="shared" ref="R325" si="578">R858</f>
        <v>6000</v>
      </c>
      <c r="S325" s="47">
        <f t="shared" ref="S325" si="579">S858</f>
        <v>6000</v>
      </c>
    </row>
    <row r="326" spans="1:23" x14ac:dyDescent="0.2">
      <c r="A326" s="54">
        <f>ROUND(A859,-3)</f>
        <v>179000</v>
      </c>
      <c r="B326" s="9">
        <f t="shared" si="574"/>
        <v>181200</v>
      </c>
      <c r="C326" s="9">
        <f t="shared" si="574"/>
        <v>105100</v>
      </c>
      <c r="D326" s="9">
        <f>D859</f>
        <v>86800</v>
      </c>
      <c r="E326" s="9">
        <f t="shared" ref="E326" si="580">E859</f>
        <v>54600</v>
      </c>
      <c r="F326" s="240" t="s">
        <v>433</v>
      </c>
      <c r="G326" s="30" t="s">
        <v>3226</v>
      </c>
      <c r="H326" s="9">
        <f t="shared" ref="H326:O326" si="581">H859</f>
        <v>14000</v>
      </c>
      <c r="I326" s="85">
        <f>IF(E326=H326,0,IF(E326=0,100,(H326-E326)/E326*100))</f>
        <v>-74.358974358974365</v>
      </c>
      <c r="J326" s="9">
        <f t="shared" si="581"/>
        <v>58000</v>
      </c>
      <c r="K326" s="9">
        <f t="shared" si="581"/>
        <v>63000</v>
      </c>
      <c r="L326" s="9">
        <f t="shared" si="581"/>
        <v>15000</v>
      </c>
      <c r="M326" s="9">
        <f t="shared" si="581"/>
        <v>31000</v>
      </c>
      <c r="N326" s="9">
        <f t="shared" si="581"/>
        <v>30000</v>
      </c>
      <c r="O326" s="9">
        <f t="shared" si="581"/>
        <v>36000</v>
      </c>
      <c r="P326" s="9">
        <f t="shared" ref="P326:Q326" si="582">P859</f>
        <v>29000</v>
      </c>
      <c r="Q326" s="9">
        <f t="shared" si="582"/>
        <v>28000</v>
      </c>
      <c r="R326" s="9">
        <f t="shared" ref="R326" si="583">R859</f>
        <v>28000</v>
      </c>
      <c r="S326" s="47">
        <f t="shared" ref="S326" si="584">S859</f>
        <v>28000</v>
      </c>
    </row>
    <row r="327" spans="1:23" x14ac:dyDescent="0.2">
      <c r="A327" s="54">
        <f>ROUND(A860,-3)</f>
        <v>101000</v>
      </c>
      <c r="B327" s="9">
        <f t="shared" si="574"/>
        <v>0</v>
      </c>
      <c r="C327" s="9">
        <f t="shared" si="574"/>
        <v>0</v>
      </c>
      <c r="D327" s="9">
        <f>D860</f>
        <v>0</v>
      </c>
      <c r="E327" s="9">
        <f t="shared" ref="E327" si="585">E860</f>
        <v>0</v>
      </c>
      <c r="F327" s="577" t="s">
        <v>436</v>
      </c>
      <c r="G327" s="30" t="s">
        <v>3487</v>
      </c>
      <c r="H327" s="9">
        <f t="shared" ref="H327:O327" si="586">H860</f>
        <v>0</v>
      </c>
      <c r="I327" s="85">
        <f>IF(E327=H327,0,IF(E327=0,100,(H327-E327)/E327*100))</f>
        <v>0</v>
      </c>
      <c r="J327" s="9">
        <f t="shared" si="586"/>
        <v>0</v>
      </c>
      <c r="K327" s="9">
        <f t="shared" si="586"/>
        <v>0</v>
      </c>
      <c r="L327" s="9">
        <f t="shared" si="586"/>
        <v>0</v>
      </c>
      <c r="M327" s="9">
        <f t="shared" si="586"/>
        <v>0</v>
      </c>
      <c r="N327" s="9">
        <f t="shared" si="586"/>
        <v>0</v>
      </c>
      <c r="O327" s="9">
        <f t="shared" si="586"/>
        <v>0</v>
      </c>
      <c r="P327" s="9">
        <f t="shared" ref="P327:Q327" si="587">P860</f>
        <v>0</v>
      </c>
      <c r="Q327" s="9">
        <f t="shared" si="587"/>
        <v>0</v>
      </c>
      <c r="R327" s="9">
        <f t="shared" ref="R327" si="588">R860</f>
        <v>0</v>
      </c>
      <c r="S327" s="47">
        <f t="shared" ref="S327" si="589">S860</f>
        <v>0</v>
      </c>
    </row>
    <row r="328" spans="1:23" x14ac:dyDescent="0.2">
      <c r="A328" s="54"/>
      <c r="B328" s="9"/>
      <c r="C328" s="9"/>
      <c r="D328" s="9"/>
      <c r="E328" s="9"/>
      <c r="F328" s="240"/>
      <c r="G328" s="853" t="s">
        <v>420</v>
      </c>
      <c r="H328" s="9"/>
      <c r="I328" s="85"/>
      <c r="J328" s="9"/>
      <c r="K328" s="9"/>
      <c r="L328" s="9"/>
      <c r="M328" s="9"/>
      <c r="N328" s="9"/>
      <c r="O328" s="9"/>
      <c r="P328" s="9"/>
      <c r="Q328" s="9"/>
      <c r="R328" s="9"/>
      <c r="S328" s="47"/>
    </row>
    <row r="329" spans="1:23" x14ac:dyDescent="0.2">
      <c r="A329" s="54">
        <f>ROUND(A862,-3)</f>
        <v>0</v>
      </c>
      <c r="B329" s="9">
        <f t="shared" ref="B329:C329" si="590">B862</f>
        <v>0</v>
      </c>
      <c r="C329" s="9">
        <f t="shared" si="590"/>
        <v>460100</v>
      </c>
      <c r="D329" s="9">
        <f t="shared" ref="D329:E329" si="591">D862</f>
        <v>0</v>
      </c>
      <c r="E329" s="9">
        <f t="shared" si="591"/>
        <v>-360400</v>
      </c>
      <c r="F329" s="577" t="s">
        <v>434</v>
      </c>
      <c r="G329" s="30" t="s">
        <v>5315</v>
      </c>
      <c r="H329" s="9">
        <f t="shared" ref="H329:P329" si="592">H862</f>
        <v>0</v>
      </c>
      <c r="I329" s="85">
        <f>IF(E329=H329,0,IF(E329=0,100,(H329-E329)/E329*100))</f>
        <v>-100</v>
      </c>
      <c r="J329" s="9">
        <f t="shared" si="592"/>
        <v>0</v>
      </c>
      <c r="K329" s="9">
        <f t="shared" si="592"/>
        <v>0</v>
      </c>
      <c r="L329" s="9">
        <f t="shared" si="592"/>
        <v>0</v>
      </c>
      <c r="M329" s="9">
        <f t="shared" si="592"/>
        <v>0</v>
      </c>
      <c r="N329" s="9">
        <f t="shared" si="592"/>
        <v>0</v>
      </c>
      <c r="O329" s="9">
        <f t="shared" si="592"/>
        <v>0</v>
      </c>
      <c r="P329" s="9">
        <f t="shared" si="592"/>
        <v>0</v>
      </c>
      <c r="Q329" s="9">
        <f t="shared" ref="Q329" si="593">Q862</f>
        <v>0</v>
      </c>
      <c r="R329" s="9">
        <f t="shared" ref="R329" si="594">R862</f>
        <v>0</v>
      </c>
      <c r="S329" s="47">
        <f t="shared" ref="S329" si="595">S862</f>
        <v>0</v>
      </c>
    </row>
    <row r="330" spans="1:23" ht="13.5" thickBot="1" x14ac:dyDescent="0.25">
      <c r="A330" s="54"/>
      <c r="B330" s="9"/>
      <c r="C330" s="9"/>
      <c r="D330" s="9"/>
      <c r="E330" s="68"/>
      <c r="F330" s="240"/>
      <c r="G330" s="29"/>
      <c r="H330" s="68"/>
      <c r="I330" s="1522"/>
      <c r="J330" s="68"/>
      <c r="K330" s="68"/>
      <c r="L330" s="68"/>
      <c r="M330" s="68"/>
      <c r="N330" s="68"/>
      <c r="O330" s="68"/>
      <c r="P330" s="68"/>
      <c r="Q330" s="68"/>
      <c r="R330" s="68"/>
      <c r="S330" s="2344"/>
    </row>
    <row r="331" spans="1:23" s="39" customFormat="1" x14ac:dyDescent="0.2">
      <c r="A331" s="52">
        <f>SUM(A315:A330)</f>
        <v>4601500</v>
      </c>
      <c r="B331" s="16">
        <f>SUM(B315:B330)</f>
        <v>3380000</v>
      </c>
      <c r="C331" s="16">
        <f>SUM(C314:C330)</f>
        <v>3385100</v>
      </c>
      <c r="D331" s="16">
        <f>SUM(D314:D330)</f>
        <v>2570800</v>
      </c>
      <c r="E331" s="16">
        <f>SUM(E314:E330)</f>
        <v>2599800</v>
      </c>
      <c r="F331" s="284"/>
      <c r="G331" s="267" t="s">
        <v>2561</v>
      </c>
      <c r="H331" s="16">
        <f>SUM(H314:H330)</f>
        <v>2521800</v>
      </c>
      <c r="I331" s="1425">
        <f>IF(E331=H331,0,IF(E331=0,100,(H331-E331)/E331*100))</f>
        <v>-3.000230786983614</v>
      </c>
      <c r="J331" s="16">
        <f t="shared" ref="J331:S331" si="596">SUM(J314:J330)</f>
        <v>2611400</v>
      </c>
      <c r="K331" s="16">
        <f t="shared" si="596"/>
        <v>2673000</v>
      </c>
      <c r="L331" s="16">
        <f t="shared" si="596"/>
        <v>2684800</v>
      </c>
      <c r="M331" s="16">
        <f t="shared" si="596"/>
        <v>2755200</v>
      </c>
      <c r="N331" s="16">
        <f t="shared" si="596"/>
        <v>2812700</v>
      </c>
      <c r="O331" s="16">
        <f t="shared" si="596"/>
        <v>2878500</v>
      </c>
      <c r="P331" s="16">
        <f t="shared" si="596"/>
        <v>2932900</v>
      </c>
      <c r="Q331" s="16">
        <f t="shared" si="596"/>
        <v>2996600</v>
      </c>
      <c r="R331" s="16">
        <f t="shared" si="596"/>
        <v>3061500</v>
      </c>
      <c r="S331" s="2342">
        <f t="shared" si="596"/>
        <v>3127000</v>
      </c>
      <c r="U331" s="34"/>
      <c r="W331" s="34"/>
    </row>
    <row r="332" spans="1:23" s="46" customFormat="1" x14ac:dyDescent="0.2">
      <c r="A332" s="427"/>
      <c r="B332" s="97"/>
      <c r="C332" s="97"/>
      <c r="D332" s="97"/>
      <c r="E332" s="9"/>
      <c r="F332" s="241"/>
      <c r="G332" s="9"/>
      <c r="H332" s="9"/>
      <c r="I332" s="85"/>
      <c r="J332" s="9"/>
      <c r="K332" s="9"/>
      <c r="L332" s="9"/>
      <c r="M332" s="9"/>
      <c r="N332" s="9"/>
      <c r="O332" s="9"/>
      <c r="P332" s="9"/>
      <c r="Q332" s="9"/>
      <c r="R332" s="9"/>
      <c r="S332" s="47"/>
      <c r="U332" s="34"/>
      <c r="W332" s="34"/>
    </row>
    <row r="333" spans="1:23" s="46" customFormat="1" x14ac:dyDescent="0.2">
      <c r="A333" s="54"/>
      <c r="B333" s="9"/>
      <c r="C333" s="9"/>
      <c r="D333" s="9"/>
      <c r="E333" s="9"/>
      <c r="F333" s="240"/>
      <c r="G333" s="256" t="s">
        <v>2169</v>
      </c>
      <c r="H333" s="9"/>
      <c r="I333" s="85"/>
      <c r="J333" s="9"/>
      <c r="K333" s="9"/>
      <c r="L333" s="9"/>
      <c r="M333" s="9"/>
      <c r="N333" s="9"/>
      <c r="O333" s="9"/>
      <c r="P333" s="9"/>
      <c r="Q333" s="9"/>
      <c r="R333" s="9"/>
      <c r="S333" s="47"/>
      <c r="U333" s="34"/>
      <c r="W333" s="34"/>
    </row>
    <row r="334" spans="1:23" s="46" customFormat="1" x14ac:dyDescent="0.2">
      <c r="A334" s="54"/>
      <c r="B334" s="9"/>
      <c r="C334" s="9"/>
      <c r="D334" s="9"/>
      <c r="E334" s="9"/>
      <c r="F334" s="240"/>
      <c r="G334" s="260" t="s">
        <v>2499</v>
      </c>
      <c r="H334" s="9"/>
      <c r="I334" s="85"/>
      <c r="J334" s="9"/>
      <c r="K334" s="9"/>
      <c r="L334" s="9"/>
      <c r="M334" s="9"/>
      <c r="N334" s="9"/>
      <c r="O334" s="9"/>
      <c r="P334" s="9"/>
      <c r="Q334" s="9"/>
      <c r="R334" s="9"/>
      <c r="S334" s="47"/>
      <c r="U334" s="34"/>
      <c r="W334" s="34"/>
    </row>
    <row r="335" spans="1:23" s="46" customFormat="1" x14ac:dyDescent="0.2">
      <c r="A335" s="54">
        <f>ROUND(SUM(A867:A869),-3)</f>
        <v>405000</v>
      </c>
      <c r="B335" s="9">
        <f>SUM(B867:B869)</f>
        <v>343600</v>
      </c>
      <c r="C335" s="9">
        <f>SUM(C867:C869)</f>
        <v>292800</v>
      </c>
      <c r="D335" s="9">
        <f>SUM(D867:D869)</f>
        <v>310700</v>
      </c>
      <c r="E335" s="9">
        <f t="shared" ref="E335" si="597">SUM(E867:E869)</f>
        <v>304600</v>
      </c>
      <c r="F335" s="240" t="s">
        <v>1772</v>
      </c>
      <c r="G335" s="257" t="s">
        <v>1228</v>
      </c>
      <c r="H335" s="9">
        <f t="shared" ref="H335:O335" si="598">SUM(H867:H869)</f>
        <v>321000</v>
      </c>
      <c r="I335" s="85">
        <f>IF(E335=H335,0,IF(E335=0,100,(H335-E335)/E335*100))</f>
        <v>5.3841103086014446</v>
      </c>
      <c r="J335" s="9">
        <f t="shared" si="598"/>
        <v>328400</v>
      </c>
      <c r="K335" s="9">
        <f t="shared" si="598"/>
        <v>335900</v>
      </c>
      <c r="L335" s="9">
        <f t="shared" si="598"/>
        <v>343600</v>
      </c>
      <c r="M335" s="9">
        <f t="shared" si="598"/>
        <v>351500</v>
      </c>
      <c r="N335" s="9">
        <f t="shared" si="598"/>
        <v>359600</v>
      </c>
      <c r="O335" s="9">
        <f t="shared" si="598"/>
        <v>367800</v>
      </c>
      <c r="P335" s="9">
        <f t="shared" ref="P335:Q335" si="599">SUM(P867:P869)</f>
        <v>376200</v>
      </c>
      <c r="Q335" s="9">
        <f t="shared" si="599"/>
        <v>384800</v>
      </c>
      <c r="R335" s="9">
        <f t="shared" ref="R335" si="600">SUM(R867:R869)</f>
        <v>393600</v>
      </c>
      <c r="S335" s="47">
        <f t="shared" ref="S335" si="601">SUM(S867:S869)</f>
        <v>402600</v>
      </c>
      <c r="U335" s="34"/>
      <c r="W335" s="34"/>
    </row>
    <row r="336" spans="1:23" x14ac:dyDescent="0.2">
      <c r="A336" s="54">
        <f>ROUND(SUM(A871:A871),-3)</f>
        <v>13000</v>
      </c>
      <c r="B336" s="9">
        <f>SUM(B871:B871)</f>
        <v>21700</v>
      </c>
      <c r="C336" s="9">
        <f>SUM(C871:C871)</f>
        <v>44000</v>
      </c>
      <c r="D336" s="9">
        <f>SUM(D871:D871)</f>
        <v>13700</v>
      </c>
      <c r="E336" s="9">
        <f>SUM(E871:E871)</f>
        <v>0</v>
      </c>
      <c r="F336" s="240" t="s">
        <v>1772</v>
      </c>
      <c r="G336" s="79" t="s">
        <v>2511</v>
      </c>
      <c r="H336" s="9">
        <f t="shared" ref="H336:Q336" si="602">SUM(H871:H871)</f>
        <v>41200</v>
      </c>
      <c r="I336" s="85">
        <f>IF(E336=H336,0,IF(E336=0,100,(H336-E336)/E336*100))</f>
        <v>100</v>
      </c>
      <c r="J336" s="9">
        <f t="shared" si="602"/>
        <v>21200</v>
      </c>
      <c r="K336" s="9">
        <f t="shared" si="602"/>
        <v>21700</v>
      </c>
      <c r="L336" s="9">
        <f t="shared" si="602"/>
        <v>22200</v>
      </c>
      <c r="M336" s="9">
        <f t="shared" si="602"/>
        <v>22700</v>
      </c>
      <c r="N336" s="9">
        <f t="shared" si="602"/>
        <v>23200</v>
      </c>
      <c r="O336" s="9">
        <f t="shared" si="602"/>
        <v>23700</v>
      </c>
      <c r="P336" s="9">
        <f t="shared" si="602"/>
        <v>24200</v>
      </c>
      <c r="Q336" s="9">
        <f t="shared" si="602"/>
        <v>24800</v>
      </c>
      <c r="R336" s="9">
        <f t="shared" ref="R336" si="603">SUM(R871:R871)</f>
        <v>25400</v>
      </c>
      <c r="S336" s="47">
        <f t="shared" ref="S336" si="604">SUM(S871:S871)</f>
        <v>26000</v>
      </c>
    </row>
    <row r="337" spans="1:19" x14ac:dyDescent="0.2">
      <c r="A337" s="54">
        <f>SUM(A872:A873)+A266</f>
        <v>225000</v>
      </c>
      <c r="B337" s="9">
        <f>SUM(B872:B873)+B870</f>
        <v>1420000</v>
      </c>
      <c r="C337" s="9">
        <f>SUM(C872:C874)+C870</f>
        <v>1440100</v>
      </c>
      <c r="D337" s="9">
        <f>SUM(D872:D874)+D870</f>
        <v>1084200</v>
      </c>
      <c r="E337" s="9">
        <f>SUM(E872:E874)+E870</f>
        <v>738900</v>
      </c>
      <c r="F337" s="240" t="s">
        <v>1772</v>
      </c>
      <c r="G337" s="79" t="s">
        <v>3270</v>
      </c>
      <c r="H337" s="9">
        <f>SUM(H872:H874)+H870</f>
        <v>725000</v>
      </c>
      <c r="I337" s="85">
        <f>IF(E337=H337,0,IF(E337=0,100,(H337-E337)/E337*100))</f>
        <v>-1.8811747191771553</v>
      </c>
      <c r="J337" s="9">
        <f t="shared" ref="J337:R337" si="605">SUM(J872:J874)+J870</f>
        <v>-1400</v>
      </c>
      <c r="K337" s="9">
        <f t="shared" si="605"/>
        <v>-1400</v>
      </c>
      <c r="L337" s="9">
        <f t="shared" si="605"/>
        <v>-1400</v>
      </c>
      <c r="M337" s="9">
        <f t="shared" si="605"/>
        <v>-1400</v>
      </c>
      <c r="N337" s="9">
        <f t="shared" si="605"/>
        <v>-1400</v>
      </c>
      <c r="O337" s="9">
        <f t="shared" si="605"/>
        <v>-1400</v>
      </c>
      <c r="P337" s="9">
        <f t="shared" si="605"/>
        <v>-1400</v>
      </c>
      <c r="Q337" s="9">
        <f t="shared" si="605"/>
        <v>-1400</v>
      </c>
      <c r="R337" s="9">
        <f t="shared" si="605"/>
        <v>-1400</v>
      </c>
      <c r="S337" s="47">
        <f t="shared" ref="S337" si="606">SUM(S872:S874)+S870</f>
        <v>-1400</v>
      </c>
    </row>
    <row r="338" spans="1:19" x14ac:dyDescent="0.2">
      <c r="A338" s="54"/>
      <c r="B338" s="9"/>
      <c r="C338" s="9"/>
      <c r="D338" s="9"/>
      <c r="E338" s="9"/>
      <c r="F338" s="240"/>
      <c r="G338" s="21" t="s">
        <v>558</v>
      </c>
      <c r="H338" s="9"/>
      <c r="I338" s="85"/>
      <c r="J338" s="9"/>
      <c r="K338" s="9"/>
      <c r="L338" s="9"/>
      <c r="M338" s="9"/>
      <c r="N338" s="9"/>
      <c r="O338" s="9"/>
      <c r="P338" s="9"/>
      <c r="Q338" s="9"/>
      <c r="R338" s="9"/>
      <c r="S338" s="47"/>
    </row>
    <row r="339" spans="1:19" x14ac:dyDescent="0.2">
      <c r="A339" s="54">
        <f>ROUND(SUM(A875:A877),-3)</f>
        <v>14000</v>
      </c>
      <c r="B339" s="9">
        <f>SUM(B875:B877)</f>
        <v>10300</v>
      </c>
      <c r="C339" s="9">
        <f>SUM(C875:C877)</f>
        <v>16400</v>
      </c>
      <c r="D339" s="9">
        <f>SUM(D875:D877)</f>
        <v>28300</v>
      </c>
      <c r="E339" s="9">
        <f t="shared" ref="E339" si="607">SUM(E875:E877)</f>
        <v>17000</v>
      </c>
      <c r="F339" s="240" t="s">
        <v>1773</v>
      </c>
      <c r="G339" s="9" t="s">
        <v>2566</v>
      </c>
      <c r="H339" s="9">
        <f t="shared" ref="H339:O339" si="608">SUM(H875:H877)</f>
        <v>66500</v>
      </c>
      <c r="I339" s="85">
        <f>IF(E339=H339,0,IF(E339=0,100,(H339-E339)/E339*100))</f>
        <v>291.1764705882353</v>
      </c>
      <c r="J339" s="9">
        <f t="shared" si="608"/>
        <v>44900</v>
      </c>
      <c r="K339" s="9">
        <f t="shared" si="608"/>
        <v>46100</v>
      </c>
      <c r="L339" s="9">
        <f t="shared" si="608"/>
        <v>47300</v>
      </c>
      <c r="M339" s="9">
        <f t="shared" si="608"/>
        <v>48500</v>
      </c>
      <c r="N339" s="9">
        <f t="shared" si="608"/>
        <v>0</v>
      </c>
      <c r="O339" s="9">
        <f t="shared" si="608"/>
        <v>0</v>
      </c>
      <c r="P339" s="9">
        <f t="shared" ref="P339:Q339" si="609">SUM(P875:P877)</f>
        <v>0</v>
      </c>
      <c r="Q339" s="9">
        <f t="shared" si="609"/>
        <v>0</v>
      </c>
      <c r="R339" s="9">
        <f t="shared" ref="R339" si="610">SUM(R875:R877)</f>
        <v>0</v>
      </c>
      <c r="S339" s="47">
        <f t="shared" ref="S339" si="611">SUM(S875:S877)</f>
        <v>0</v>
      </c>
    </row>
    <row r="340" spans="1:19" x14ac:dyDescent="0.2">
      <c r="A340" s="54">
        <f>ROUND(SUM(A878:A881),-3)</f>
        <v>115000</v>
      </c>
      <c r="B340" s="9">
        <f>SUM(B878:B881)</f>
        <v>59200</v>
      </c>
      <c r="C340" s="9">
        <f>SUM(C878:C881)</f>
        <v>97900</v>
      </c>
      <c r="D340" s="9">
        <f>SUM(D878:D881)</f>
        <v>150700</v>
      </c>
      <c r="E340" s="9">
        <f t="shared" ref="E340" si="612">SUM(E878:E881)</f>
        <v>78200</v>
      </c>
      <c r="F340" s="240" t="s">
        <v>1773</v>
      </c>
      <c r="G340" s="9" t="s">
        <v>2567</v>
      </c>
      <c r="H340" s="9">
        <f t="shared" ref="H340:O340" si="613">SUM(H878:H881)</f>
        <v>232500</v>
      </c>
      <c r="I340" s="85">
        <f>IF(E340=H340,0,IF(E340=0,100,(H340-E340)/E340*100))</f>
        <v>197.3145780051151</v>
      </c>
      <c r="J340" s="9">
        <f t="shared" si="613"/>
        <v>63600</v>
      </c>
      <c r="K340" s="9">
        <f t="shared" si="613"/>
        <v>65000</v>
      </c>
      <c r="L340" s="9">
        <f t="shared" si="613"/>
        <v>66500</v>
      </c>
      <c r="M340" s="9">
        <f t="shared" si="613"/>
        <v>68000</v>
      </c>
      <c r="N340" s="9">
        <f t="shared" si="613"/>
        <v>69500</v>
      </c>
      <c r="O340" s="9">
        <f t="shared" si="613"/>
        <v>71100</v>
      </c>
      <c r="P340" s="9">
        <f t="shared" ref="P340:Q340" si="614">SUM(P878:P881)</f>
        <v>72700</v>
      </c>
      <c r="Q340" s="9">
        <f t="shared" si="614"/>
        <v>74300</v>
      </c>
      <c r="R340" s="9">
        <f t="shared" ref="R340" si="615">SUM(R878:R881)</f>
        <v>76000</v>
      </c>
      <c r="S340" s="47">
        <f t="shared" ref="S340" si="616">SUM(S878:S881)</f>
        <v>77700</v>
      </c>
    </row>
    <row r="341" spans="1:19" x14ac:dyDescent="0.2">
      <c r="A341" s="54">
        <f>ROUND(SUM(A882:A883),-3)</f>
        <v>12000</v>
      </c>
      <c r="B341" s="9">
        <f>SUM(B882:B883)</f>
        <v>8500</v>
      </c>
      <c r="C341" s="9">
        <f>SUM(C882:C883)</f>
        <v>9000</v>
      </c>
      <c r="D341" s="9">
        <f>SUM(D882:D883)</f>
        <v>9800</v>
      </c>
      <c r="E341" s="9">
        <f t="shared" ref="E341" si="617">SUM(E882:E883)</f>
        <v>11300</v>
      </c>
      <c r="F341" s="240" t="s">
        <v>1774</v>
      </c>
      <c r="G341" s="9" t="s">
        <v>2381</v>
      </c>
      <c r="H341" s="9">
        <f t="shared" ref="H341:O341" si="618">SUM(H882:H883)</f>
        <v>34600</v>
      </c>
      <c r="I341" s="85">
        <f>IF(E341=H341,0,IF(E341=0,100,(H341-E341)/E341*100))</f>
        <v>206.19469026548671</v>
      </c>
      <c r="J341" s="9">
        <f t="shared" si="618"/>
        <v>24700</v>
      </c>
      <c r="K341" s="9">
        <f t="shared" si="618"/>
        <v>25400</v>
      </c>
      <c r="L341" s="9">
        <f t="shared" si="618"/>
        <v>26200</v>
      </c>
      <c r="M341" s="9">
        <f t="shared" si="618"/>
        <v>27000</v>
      </c>
      <c r="N341" s="9">
        <f t="shared" si="618"/>
        <v>27800</v>
      </c>
      <c r="O341" s="9">
        <f t="shared" si="618"/>
        <v>28600</v>
      </c>
      <c r="P341" s="9">
        <f t="shared" ref="P341:Q341" si="619">SUM(P882:P883)</f>
        <v>29400</v>
      </c>
      <c r="Q341" s="9">
        <f t="shared" si="619"/>
        <v>30200</v>
      </c>
      <c r="R341" s="9">
        <f t="shared" ref="R341" si="620">SUM(R882:R883)</f>
        <v>31000</v>
      </c>
      <c r="S341" s="47">
        <f t="shared" ref="S341" si="621">SUM(S882:S883)</f>
        <v>31900</v>
      </c>
    </row>
    <row r="342" spans="1:19" x14ac:dyDescent="0.2">
      <c r="A342" s="54">
        <f>ROUND(SUM(A884:A886),-3)</f>
        <v>-165000</v>
      </c>
      <c r="B342" s="9">
        <f>SUM(B884:B886)</f>
        <v>-289900</v>
      </c>
      <c r="C342" s="9">
        <f>SUM(C884:C886)</f>
        <v>-725700</v>
      </c>
      <c r="D342" s="9">
        <f>SUM(D884:D886)</f>
        <v>319800</v>
      </c>
      <c r="E342" s="9">
        <f>SUM(E884:E886)</f>
        <v>-403100</v>
      </c>
      <c r="F342" s="240" t="s">
        <v>1774</v>
      </c>
      <c r="G342" s="79" t="s">
        <v>4137</v>
      </c>
      <c r="H342" s="9">
        <f t="shared" ref="H342:P342" si="622">SUM(H884:H886)</f>
        <v>0</v>
      </c>
      <c r="I342" s="85">
        <f>IF(E342=H342,0,IF(E342=0,100,(H342-E342)/E342*100))</f>
        <v>-100</v>
      </c>
      <c r="J342" s="9">
        <f t="shared" si="622"/>
        <v>0</v>
      </c>
      <c r="K342" s="9">
        <f t="shared" si="622"/>
        <v>0</v>
      </c>
      <c r="L342" s="9">
        <f t="shared" si="622"/>
        <v>0</v>
      </c>
      <c r="M342" s="9">
        <f t="shared" si="622"/>
        <v>0</v>
      </c>
      <c r="N342" s="9">
        <f t="shared" si="622"/>
        <v>0</v>
      </c>
      <c r="O342" s="9">
        <f t="shared" si="622"/>
        <v>0</v>
      </c>
      <c r="P342" s="9">
        <f t="shared" si="622"/>
        <v>0</v>
      </c>
      <c r="Q342" s="9">
        <f t="shared" ref="Q342" si="623">SUM(Q884:Q886)</f>
        <v>0</v>
      </c>
      <c r="R342" s="9">
        <f t="shared" ref="R342" si="624">SUM(R884:R886)</f>
        <v>0</v>
      </c>
      <c r="S342" s="47">
        <f t="shared" ref="S342" si="625">SUM(S884:S886)</f>
        <v>0</v>
      </c>
    </row>
    <row r="343" spans="1:19" x14ac:dyDescent="0.2">
      <c r="A343" s="54"/>
      <c r="B343" s="9"/>
      <c r="C343" s="9"/>
      <c r="D343" s="9"/>
      <c r="E343" s="9"/>
      <c r="F343" s="240"/>
      <c r="G343" s="21" t="s">
        <v>461</v>
      </c>
      <c r="H343" s="9"/>
      <c r="I343" s="85"/>
      <c r="J343" s="9"/>
      <c r="K343" s="9"/>
      <c r="L343" s="9"/>
      <c r="M343" s="9"/>
      <c r="N343" s="9"/>
      <c r="O343" s="9"/>
      <c r="P343" s="9"/>
      <c r="Q343" s="9"/>
      <c r="R343" s="9"/>
      <c r="S343" s="47"/>
    </row>
    <row r="344" spans="1:19" x14ac:dyDescent="0.2">
      <c r="A344" s="54">
        <f>ROUND(SUM(A893:A909),-3)</f>
        <v>255000</v>
      </c>
      <c r="B344" s="9">
        <f>SUM(B893:B909)</f>
        <v>214000</v>
      </c>
      <c r="C344" s="9">
        <f>SUM(C893:C909)</f>
        <v>199400</v>
      </c>
      <c r="D344" s="9">
        <f>SUM(D893:D909)</f>
        <v>246000</v>
      </c>
      <c r="E344" s="9">
        <f>SUM(E893:E909)</f>
        <v>263700</v>
      </c>
      <c r="F344" s="240" t="s">
        <v>1775</v>
      </c>
      <c r="G344" s="422" t="s">
        <v>1569</v>
      </c>
      <c r="H344" s="9">
        <f>SUM(H893:H909)</f>
        <v>249100</v>
      </c>
      <c r="I344" s="85">
        <f>IF(E344=H344,0,IF(E344=0,100,(H344-E344)/E344*100))</f>
        <v>-5.5365946150929091</v>
      </c>
      <c r="J344" s="9">
        <f t="shared" ref="J344:S344" si="626">SUM(J893:J909)</f>
        <v>255700</v>
      </c>
      <c r="K344" s="9">
        <f t="shared" si="626"/>
        <v>262900</v>
      </c>
      <c r="L344" s="9">
        <f t="shared" si="626"/>
        <v>270400</v>
      </c>
      <c r="M344" s="9">
        <f t="shared" si="626"/>
        <v>277800</v>
      </c>
      <c r="N344" s="9">
        <f t="shared" si="626"/>
        <v>285300</v>
      </c>
      <c r="O344" s="9">
        <f t="shared" si="626"/>
        <v>293000</v>
      </c>
      <c r="P344" s="9">
        <f t="shared" si="626"/>
        <v>300900</v>
      </c>
      <c r="Q344" s="9">
        <f t="shared" si="626"/>
        <v>309200</v>
      </c>
      <c r="R344" s="9">
        <f t="shared" si="626"/>
        <v>317700</v>
      </c>
      <c r="S344" s="47">
        <f t="shared" si="626"/>
        <v>326500</v>
      </c>
    </row>
    <row r="345" spans="1:19" x14ac:dyDescent="0.2">
      <c r="A345" s="54">
        <f>ROUND(SUM(A910:A918),-3)</f>
        <v>165000</v>
      </c>
      <c r="B345" s="9">
        <f>SUM(B910:B918)</f>
        <v>157200</v>
      </c>
      <c r="C345" s="9">
        <f>SUM(C910:C918)</f>
        <v>98800</v>
      </c>
      <c r="D345" s="9">
        <f>SUM(D910:D918)</f>
        <v>118500</v>
      </c>
      <c r="E345" s="9">
        <f>SUM(E910:E918)</f>
        <v>110500</v>
      </c>
      <c r="F345" s="240" t="s">
        <v>1776</v>
      </c>
      <c r="G345" s="1190" t="s">
        <v>3060</v>
      </c>
      <c r="H345" s="9">
        <f>SUM(H910:H918)</f>
        <v>124200</v>
      </c>
      <c r="I345" s="85">
        <f>IF(E345=H345,0,IF(E345=0,100,(H345-E345)/E345*100))</f>
        <v>12.398190045248869</v>
      </c>
      <c r="J345" s="9">
        <f t="shared" ref="J345:S345" si="627">SUM(J910:J918)</f>
        <v>127400</v>
      </c>
      <c r="K345" s="9">
        <f t="shared" si="627"/>
        <v>130900</v>
      </c>
      <c r="L345" s="9">
        <f t="shared" si="627"/>
        <v>134400</v>
      </c>
      <c r="M345" s="9">
        <f t="shared" si="627"/>
        <v>138000</v>
      </c>
      <c r="N345" s="9">
        <f t="shared" si="627"/>
        <v>141700</v>
      </c>
      <c r="O345" s="9">
        <f t="shared" si="627"/>
        <v>145500</v>
      </c>
      <c r="P345" s="9">
        <f t="shared" si="627"/>
        <v>149400</v>
      </c>
      <c r="Q345" s="9">
        <f t="shared" si="627"/>
        <v>153300</v>
      </c>
      <c r="R345" s="9">
        <f t="shared" si="627"/>
        <v>157200</v>
      </c>
      <c r="S345" s="47">
        <f t="shared" si="627"/>
        <v>161600</v>
      </c>
    </row>
    <row r="346" spans="1:19" x14ac:dyDescent="0.2">
      <c r="A346" s="54">
        <f>ROUND(SUM(A919:A923),-3)</f>
        <v>48000</v>
      </c>
      <c r="B346" s="9">
        <f>SUM(B919:B923)</f>
        <v>59000</v>
      </c>
      <c r="C346" s="9">
        <f>SUM(C919:C923)</f>
        <v>29200</v>
      </c>
      <c r="D346" s="9">
        <f>SUM(D919:D923)</f>
        <v>22300</v>
      </c>
      <c r="E346" s="9">
        <f t="shared" ref="E346" si="628">SUM(E919:E923)</f>
        <v>34500</v>
      </c>
      <c r="F346" s="240" t="s">
        <v>1777</v>
      </c>
      <c r="G346" s="422" t="s">
        <v>1568</v>
      </c>
      <c r="H346" s="9">
        <f t="shared" ref="H346:P346" si="629">SUM(H919:H923)</f>
        <v>47900</v>
      </c>
      <c r="I346" s="85">
        <f>IF(E346=H346,0,IF(E346=0,100,(H346-E346)/E346*100))</f>
        <v>38.840579710144929</v>
      </c>
      <c r="J346" s="9">
        <f t="shared" si="629"/>
        <v>49300</v>
      </c>
      <c r="K346" s="9">
        <f t="shared" si="629"/>
        <v>50700</v>
      </c>
      <c r="L346" s="9">
        <f t="shared" si="629"/>
        <v>52300</v>
      </c>
      <c r="M346" s="9">
        <f t="shared" si="629"/>
        <v>53900</v>
      </c>
      <c r="N346" s="9">
        <f t="shared" si="629"/>
        <v>55500</v>
      </c>
      <c r="O346" s="9">
        <f t="shared" si="629"/>
        <v>57100</v>
      </c>
      <c r="P346" s="9">
        <f t="shared" si="629"/>
        <v>58700</v>
      </c>
      <c r="Q346" s="9">
        <f t="shared" ref="Q346" si="630">SUM(Q919:Q923)</f>
        <v>60300</v>
      </c>
      <c r="R346" s="9">
        <f t="shared" ref="R346" si="631">SUM(R919:R923)</f>
        <v>62100</v>
      </c>
      <c r="S346" s="47">
        <f t="shared" ref="S346" si="632">SUM(S919:S923)</f>
        <v>63900</v>
      </c>
    </row>
    <row r="347" spans="1:19" x14ac:dyDescent="0.2">
      <c r="A347" s="54">
        <f>ROUND(SUM(A924:A931),-3)</f>
        <v>62000</v>
      </c>
      <c r="B347" s="9">
        <f>SUM(B924:B931)</f>
        <v>67600</v>
      </c>
      <c r="C347" s="9">
        <f>SUM(C924:C931)</f>
        <v>66900</v>
      </c>
      <c r="D347" s="9">
        <f>SUM(D924:D931)</f>
        <v>65300</v>
      </c>
      <c r="E347" s="9">
        <f>SUM(E924:E931)</f>
        <v>58100</v>
      </c>
      <c r="F347" s="240" t="s">
        <v>2541</v>
      </c>
      <c r="G347" s="634" t="s">
        <v>1713</v>
      </c>
      <c r="H347" s="9">
        <f>SUM(H924:H931)</f>
        <v>70600</v>
      </c>
      <c r="I347" s="85">
        <f>IF(E347=H347,0,IF(E347=0,100,(H347-E347)/E347*100))</f>
        <v>21.514629948364888</v>
      </c>
      <c r="J347" s="9">
        <f t="shared" ref="J347:S347" si="633">SUM(J924:J931)</f>
        <v>72400</v>
      </c>
      <c r="K347" s="9">
        <f t="shared" si="633"/>
        <v>74500</v>
      </c>
      <c r="L347" s="9">
        <f t="shared" si="633"/>
        <v>76600</v>
      </c>
      <c r="M347" s="9">
        <f t="shared" si="633"/>
        <v>78800</v>
      </c>
      <c r="N347" s="9">
        <f t="shared" si="633"/>
        <v>81000</v>
      </c>
      <c r="O347" s="9">
        <f t="shared" si="633"/>
        <v>83300</v>
      </c>
      <c r="P347" s="9">
        <f t="shared" si="633"/>
        <v>85600</v>
      </c>
      <c r="Q347" s="9">
        <f t="shared" si="633"/>
        <v>88000</v>
      </c>
      <c r="R347" s="9">
        <f t="shared" si="633"/>
        <v>90400</v>
      </c>
      <c r="S347" s="47">
        <f t="shared" si="633"/>
        <v>92900</v>
      </c>
    </row>
    <row r="348" spans="1:19" x14ac:dyDescent="0.2">
      <c r="A348" s="54"/>
      <c r="B348" s="9"/>
      <c r="C348" s="9"/>
      <c r="D348" s="9"/>
      <c r="E348" s="9"/>
      <c r="F348" s="239"/>
      <c r="G348" s="21" t="s">
        <v>14</v>
      </c>
      <c r="H348" s="9"/>
      <c r="I348" s="85"/>
      <c r="J348" s="9"/>
      <c r="K348" s="9"/>
      <c r="L348" s="9"/>
      <c r="M348" s="9"/>
      <c r="N348" s="9"/>
      <c r="O348" s="9"/>
      <c r="P348" s="9"/>
      <c r="Q348" s="9"/>
      <c r="R348" s="9"/>
      <c r="S348" s="47"/>
    </row>
    <row r="349" spans="1:19" x14ac:dyDescent="0.2">
      <c r="A349" s="54">
        <f>ROUND(SUM(A969:A986)+A989,-3)</f>
        <v>282000</v>
      </c>
      <c r="B349" s="9">
        <f>SUM(B969:B986)+B989</f>
        <v>301000</v>
      </c>
      <c r="C349" s="9">
        <f>SUM(C969:C986)+C989</f>
        <v>259500</v>
      </c>
      <c r="D349" s="9">
        <f>SUM(D969:D986)+D989</f>
        <v>250600</v>
      </c>
      <c r="E349" s="9">
        <f t="shared" ref="E349" si="634">SUM(E969:E986)+E989</f>
        <v>259800</v>
      </c>
      <c r="F349" s="578" t="s">
        <v>1682</v>
      </c>
      <c r="G349" s="79" t="s">
        <v>1392</v>
      </c>
      <c r="H349" s="9">
        <f t="shared" ref="H349:O349" si="635">SUM(H969:H986)+H989</f>
        <v>285900</v>
      </c>
      <c r="I349" s="85">
        <f>IF(E349=H349,0,IF(E349=0,100,(H349-E349)/E349*100))</f>
        <v>10.046189376443419</v>
      </c>
      <c r="J349" s="9">
        <f t="shared" si="635"/>
        <v>293900</v>
      </c>
      <c r="K349" s="9">
        <f t="shared" si="635"/>
        <v>302100</v>
      </c>
      <c r="L349" s="9">
        <f t="shared" si="635"/>
        <v>310500</v>
      </c>
      <c r="M349" s="9">
        <f t="shared" si="635"/>
        <v>319100</v>
      </c>
      <c r="N349" s="9">
        <f t="shared" si="635"/>
        <v>327900</v>
      </c>
      <c r="O349" s="9">
        <f t="shared" si="635"/>
        <v>336800</v>
      </c>
      <c r="P349" s="9">
        <f t="shared" ref="P349:Q349" si="636">SUM(P969:P986)+P989</f>
        <v>345900</v>
      </c>
      <c r="Q349" s="9">
        <f t="shared" si="636"/>
        <v>355300</v>
      </c>
      <c r="R349" s="9">
        <f t="shared" ref="R349" si="637">SUM(R969:R986)+R989</f>
        <v>365100</v>
      </c>
      <c r="S349" s="47">
        <f t="shared" ref="S349" si="638">SUM(S969:S986)+S989</f>
        <v>375100</v>
      </c>
    </row>
    <row r="350" spans="1:19" x14ac:dyDescent="0.2">
      <c r="A350" s="54">
        <f>ROUND(A992,-3)</f>
        <v>2000</v>
      </c>
      <c r="B350" s="9">
        <f>B992</f>
        <v>0</v>
      </c>
      <c r="C350" s="9">
        <f>C992</f>
        <v>0</v>
      </c>
      <c r="D350" s="9">
        <f>D992</f>
        <v>0</v>
      </c>
      <c r="E350" s="9">
        <f t="shared" ref="E350" si="639">E992</f>
        <v>0</v>
      </c>
      <c r="F350" s="578" t="s">
        <v>1682</v>
      </c>
      <c r="G350" s="79" t="s">
        <v>810</v>
      </c>
      <c r="H350" s="9">
        <f t="shared" ref="H350:O350" si="640">H992</f>
        <v>0</v>
      </c>
      <c r="I350" s="85">
        <f>IF(E350=H350,0,IF(E350=0,100,(H350-E350)/E350*100))</f>
        <v>0</v>
      </c>
      <c r="J350" s="9">
        <f t="shared" si="640"/>
        <v>0</v>
      </c>
      <c r="K350" s="9">
        <f t="shared" si="640"/>
        <v>0</v>
      </c>
      <c r="L350" s="9">
        <f t="shared" si="640"/>
        <v>0</v>
      </c>
      <c r="M350" s="9">
        <f t="shared" si="640"/>
        <v>0</v>
      </c>
      <c r="N350" s="9">
        <f t="shared" si="640"/>
        <v>0</v>
      </c>
      <c r="O350" s="9">
        <f t="shared" si="640"/>
        <v>0</v>
      </c>
      <c r="P350" s="9">
        <f t="shared" ref="P350:Q350" si="641">P992</f>
        <v>0</v>
      </c>
      <c r="Q350" s="9">
        <f t="shared" si="641"/>
        <v>0</v>
      </c>
      <c r="R350" s="9">
        <f t="shared" ref="R350" si="642">R992</f>
        <v>0</v>
      </c>
      <c r="S350" s="47">
        <f t="shared" ref="S350" si="643">S992</f>
        <v>0</v>
      </c>
    </row>
    <row r="351" spans="1:19" x14ac:dyDescent="0.2">
      <c r="A351" s="54"/>
      <c r="B351" s="9"/>
      <c r="C351" s="9"/>
      <c r="D351" s="9"/>
      <c r="E351" s="9"/>
      <c r="F351" s="239"/>
      <c r="G351" s="21" t="s">
        <v>1636</v>
      </c>
      <c r="H351" s="9"/>
      <c r="I351" s="85"/>
      <c r="J351" s="9"/>
      <c r="K351" s="9"/>
      <c r="L351" s="9"/>
      <c r="M351" s="9"/>
      <c r="N351" s="9"/>
      <c r="O351" s="9"/>
      <c r="P351" s="9"/>
      <c r="Q351" s="9"/>
      <c r="R351" s="9"/>
      <c r="S351" s="47"/>
    </row>
    <row r="352" spans="1:19" x14ac:dyDescent="0.2">
      <c r="A352" s="54">
        <f>ROUND(SUM(A932:A936),-3)</f>
        <v>325000</v>
      </c>
      <c r="B352" s="9">
        <f>SUM(B932:B936)</f>
        <v>362000</v>
      </c>
      <c r="C352" s="9">
        <f>SUM(C932:C936)</f>
        <v>178000</v>
      </c>
      <c r="D352" s="9">
        <f>SUM(D932:D936)</f>
        <v>230000</v>
      </c>
      <c r="E352" s="9">
        <f t="shared" ref="E352" si="644">SUM(E932:E936)</f>
        <v>185000</v>
      </c>
      <c r="F352" s="239" t="s">
        <v>2542</v>
      </c>
      <c r="G352" s="9" t="s">
        <v>399</v>
      </c>
      <c r="H352" s="9">
        <f t="shared" ref="H352:O352" si="645">SUM(H932:H936)</f>
        <v>210000</v>
      </c>
      <c r="I352" s="85">
        <f>IF(E352=H352,0,IF(E352=0,100,(H352-E352)/E352*100))</f>
        <v>13.513513513513514</v>
      </c>
      <c r="J352" s="9">
        <f t="shared" si="645"/>
        <v>214800</v>
      </c>
      <c r="K352" s="9">
        <f t="shared" si="645"/>
        <v>220100</v>
      </c>
      <c r="L352" s="9">
        <f t="shared" si="645"/>
        <v>225700</v>
      </c>
      <c r="M352" s="9">
        <f t="shared" si="645"/>
        <v>231300</v>
      </c>
      <c r="N352" s="9">
        <f t="shared" si="645"/>
        <v>187000</v>
      </c>
      <c r="O352" s="9">
        <f t="shared" si="645"/>
        <v>191800</v>
      </c>
      <c r="P352" s="9">
        <f t="shared" ref="P352:Q352" si="646">SUM(P932:P936)</f>
        <v>196600</v>
      </c>
      <c r="Q352" s="9">
        <f t="shared" si="646"/>
        <v>201500</v>
      </c>
      <c r="R352" s="9">
        <f t="shared" ref="R352" si="647">SUM(R932:R936)</f>
        <v>206500</v>
      </c>
      <c r="S352" s="47">
        <f t="shared" ref="S352" si="648">SUM(S932:S936)</f>
        <v>211700</v>
      </c>
    </row>
    <row r="353" spans="1:23" x14ac:dyDescent="0.2">
      <c r="A353" s="54"/>
      <c r="B353" s="9"/>
      <c r="C353" s="9"/>
      <c r="D353" s="9"/>
      <c r="E353" s="9"/>
      <c r="F353" s="239"/>
      <c r="G353" s="63" t="s">
        <v>261</v>
      </c>
      <c r="H353" s="9"/>
      <c r="I353" s="85"/>
      <c r="J353" s="9"/>
      <c r="K353" s="9"/>
      <c r="L353" s="9"/>
      <c r="M353" s="9"/>
      <c r="N353" s="9"/>
      <c r="O353" s="9"/>
      <c r="P353" s="9"/>
      <c r="Q353" s="9"/>
      <c r="R353" s="9"/>
      <c r="S353" s="47"/>
    </row>
    <row r="354" spans="1:23" x14ac:dyDescent="0.2">
      <c r="A354" s="54">
        <f>ROUND(A995,-2)</f>
        <v>16700</v>
      </c>
      <c r="B354" s="9">
        <f>B995</f>
        <v>439700</v>
      </c>
      <c r="C354" s="9">
        <f>C995</f>
        <v>13600</v>
      </c>
      <c r="D354" s="9">
        <f>D995</f>
        <v>14000</v>
      </c>
      <c r="E354" s="9">
        <f t="shared" ref="E354" si="649">E995</f>
        <v>13600</v>
      </c>
      <c r="F354" s="578" t="s">
        <v>1682</v>
      </c>
      <c r="G354" s="79" t="s">
        <v>3666</v>
      </c>
      <c r="H354" s="9">
        <f t="shared" ref="H354:O354" si="650">H995</f>
        <v>14300</v>
      </c>
      <c r="I354" s="85">
        <f>IF(E354=H354,0,IF(E354=0,100,(H354-E354)/E354*100))</f>
        <v>5.1470588235294112</v>
      </c>
      <c r="J354" s="9">
        <f t="shared" si="650"/>
        <v>15000</v>
      </c>
      <c r="K354" s="9">
        <f t="shared" si="650"/>
        <v>15300</v>
      </c>
      <c r="L354" s="9">
        <f t="shared" si="650"/>
        <v>15700</v>
      </c>
      <c r="M354" s="9">
        <f t="shared" si="650"/>
        <v>16100</v>
      </c>
      <c r="N354" s="9">
        <f t="shared" si="650"/>
        <v>16500</v>
      </c>
      <c r="O354" s="9">
        <f t="shared" si="650"/>
        <v>16900</v>
      </c>
      <c r="P354" s="9">
        <f t="shared" ref="P354:Q354" si="651">P995</f>
        <v>17300</v>
      </c>
      <c r="Q354" s="9">
        <f t="shared" si="651"/>
        <v>17700</v>
      </c>
      <c r="R354" s="9">
        <f t="shared" ref="R354" si="652">R995</f>
        <v>18100</v>
      </c>
      <c r="S354" s="47">
        <f t="shared" ref="S354" si="653">S995</f>
        <v>18500</v>
      </c>
    </row>
    <row r="355" spans="1:23" x14ac:dyDescent="0.2">
      <c r="A355" s="54">
        <f>ROUND(A938,-2)</f>
        <v>150900</v>
      </c>
      <c r="B355" s="9">
        <f>B938</f>
        <v>183800</v>
      </c>
      <c r="C355" s="9">
        <f>C938</f>
        <v>95100</v>
      </c>
      <c r="D355" s="9">
        <f>D938</f>
        <v>97800</v>
      </c>
      <c r="E355" s="9">
        <f t="shared" ref="E355" si="654">E938</f>
        <v>100400</v>
      </c>
      <c r="F355" s="578" t="s">
        <v>1682</v>
      </c>
      <c r="G355" s="79" t="s">
        <v>3663</v>
      </c>
      <c r="H355" s="9">
        <f t="shared" ref="H355:O355" si="655">H938</f>
        <v>96900</v>
      </c>
      <c r="I355" s="85">
        <f>IF(E355=H355,0,IF(E355=0,100,(H355-E355)/E355*100))</f>
        <v>-3.4860557768924298</v>
      </c>
      <c r="J355" s="9">
        <f t="shared" si="655"/>
        <v>102000</v>
      </c>
      <c r="K355" s="9">
        <f t="shared" si="655"/>
        <v>104100</v>
      </c>
      <c r="L355" s="9">
        <f t="shared" si="655"/>
        <v>106200</v>
      </c>
      <c r="M355" s="9">
        <f t="shared" si="655"/>
        <v>108400</v>
      </c>
      <c r="N355" s="9">
        <f t="shared" si="655"/>
        <v>110600</v>
      </c>
      <c r="O355" s="9">
        <f t="shared" si="655"/>
        <v>112900</v>
      </c>
      <c r="P355" s="9">
        <f t="shared" ref="P355:Q355" si="656">P938</f>
        <v>115200</v>
      </c>
      <c r="Q355" s="9">
        <f t="shared" si="656"/>
        <v>117600</v>
      </c>
      <c r="R355" s="9">
        <f t="shared" ref="R355" si="657">R938</f>
        <v>120000</v>
      </c>
      <c r="S355" s="47">
        <f t="shared" ref="S355" si="658">S938</f>
        <v>122400</v>
      </c>
    </row>
    <row r="356" spans="1:23" ht="13.5" thickBot="1" x14ac:dyDescent="0.25">
      <c r="A356" s="54"/>
      <c r="B356" s="9"/>
      <c r="C356" s="9"/>
      <c r="D356" s="9"/>
      <c r="E356" s="9"/>
      <c r="F356" s="177"/>
      <c r="G356" s="257"/>
      <c r="H356" s="9"/>
      <c r="I356" s="85"/>
      <c r="J356" s="9"/>
      <c r="K356" s="9"/>
      <c r="L356" s="9"/>
      <c r="M356" s="9"/>
      <c r="N356" s="9"/>
      <c r="O356" s="9"/>
      <c r="P356" s="9"/>
      <c r="Q356" s="9"/>
      <c r="R356" s="9"/>
      <c r="S356" s="47"/>
    </row>
    <row r="357" spans="1:23" s="39" customFormat="1" x14ac:dyDescent="0.2">
      <c r="A357" s="52">
        <f>SUM(A333:A356)</f>
        <v>1925600</v>
      </c>
      <c r="B357" s="16">
        <f>SUM(B333:B356)</f>
        <v>3357700</v>
      </c>
      <c r="C357" s="16">
        <f>SUM(C333:C356)</f>
        <v>2115000</v>
      </c>
      <c r="D357" s="16">
        <f>SUM(D333:D356)</f>
        <v>2961700</v>
      </c>
      <c r="E357" s="16">
        <f>SUM(E333:E356)</f>
        <v>1772500</v>
      </c>
      <c r="F357" s="188"/>
      <c r="G357" s="267" t="s">
        <v>556</v>
      </c>
      <c r="H357" s="16">
        <f>SUM(H333:H356)</f>
        <v>2519700</v>
      </c>
      <c r="I357" s="127">
        <f>IF(E357=H357,0,IF(E357=0,100,(H357-E357)/E357*100))</f>
        <v>42.15514809590973</v>
      </c>
      <c r="J357" s="16">
        <f t="shared" ref="J357:S357" si="659">SUM(J333:J356)</f>
        <v>1611900</v>
      </c>
      <c r="K357" s="16">
        <f t="shared" si="659"/>
        <v>1653300</v>
      </c>
      <c r="L357" s="16">
        <f t="shared" si="659"/>
        <v>1696200</v>
      </c>
      <c r="M357" s="16">
        <f t="shared" si="659"/>
        <v>1739700</v>
      </c>
      <c r="N357" s="16">
        <f t="shared" si="659"/>
        <v>1684200</v>
      </c>
      <c r="O357" s="16">
        <f t="shared" si="659"/>
        <v>1727100</v>
      </c>
      <c r="P357" s="16">
        <f t="shared" si="659"/>
        <v>1770700</v>
      </c>
      <c r="Q357" s="16">
        <f t="shared" si="659"/>
        <v>1815600</v>
      </c>
      <c r="R357" s="16">
        <f t="shared" si="659"/>
        <v>1861700</v>
      </c>
      <c r="S357" s="2342">
        <f t="shared" si="659"/>
        <v>1909400</v>
      </c>
      <c r="U357" s="34"/>
      <c r="W357" s="34"/>
    </row>
    <row r="358" spans="1:23" x14ac:dyDescent="0.2">
      <c r="A358" s="54"/>
      <c r="B358" s="9"/>
      <c r="C358" s="9"/>
      <c r="D358" s="9"/>
      <c r="E358" s="9"/>
      <c r="F358" s="177"/>
      <c r="G358" s="257"/>
      <c r="H358" s="9"/>
      <c r="I358" s="85"/>
      <c r="J358" s="9"/>
      <c r="K358" s="9"/>
      <c r="L358" s="9"/>
      <c r="M358" s="9"/>
      <c r="N358" s="9"/>
      <c r="O358" s="9"/>
      <c r="P358" s="9"/>
      <c r="Q358" s="9"/>
      <c r="R358" s="9"/>
      <c r="S358" s="47"/>
    </row>
    <row r="359" spans="1:23" s="39" customFormat="1" x14ac:dyDescent="0.2">
      <c r="A359" s="24">
        <f>A331-A357</f>
        <v>2675900</v>
      </c>
      <c r="B359" s="21">
        <f>B331-B357</f>
        <v>22300</v>
      </c>
      <c r="C359" s="21">
        <f>C331-C357</f>
        <v>1270100</v>
      </c>
      <c r="D359" s="21">
        <f>D331-D357</f>
        <v>-390900</v>
      </c>
      <c r="E359" s="21">
        <f>E331-E357</f>
        <v>827300</v>
      </c>
      <c r="F359" s="188"/>
      <c r="G359" s="361" t="s">
        <v>1002</v>
      </c>
      <c r="H359" s="21">
        <f>H331-H357</f>
        <v>2100</v>
      </c>
      <c r="I359" s="126">
        <f>IF(E359=H359,0,IF(E359=0,100,(H359-E359)/E359*100))</f>
        <v>-99.746162214432488</v>
      </c>
      <c r="J359" s="21">
        <f t="shared" ref="J359:S359" si="660">J331-J357</f>
        <v>999500</v>
      </c>
      <c r="K359" s="21">
        <f t="shared" si="660"/>
        <v>1019700</v>
      </c>
      <c r="L359" s="21">
        <f t="shared" si="660"/>
        <v>988600</v>
      </c>
      <c r="M359" s="21">
        <f t="shared" si="660"/>
        <v>1015500</v>
      </c>
      <c r="N359" s="21">
        <f t="shared" si="660"/>
        <v>1128500</v>
      </c>
      <c r="O359" s="21">
        <f t="shared" si="660"/>
        <v>1151400</v>
      </c>
      <c r="P359" s="21">
        <f t="shared" si="660"/>
        <v>1162200</v>
      </c>
      <c r="Q359" s="21">
        <f t="shared" si="660"/>
        <v>1181000</v>
      </c>
      <c r="R359" s="21">
        <f t="shared" si="660"/>
        <v>1199800</v>
      </c>
      <c r="S359" s="86">
        <f t="shared" si="660"/>
        <v>1217600</v>
      </c>
      <c r="U359" s="34"/>
      <c r="W359" s="34"/>
    </row>
    <row r="360" spans="1:23" x14ac:dyDescent="0.2">
      <c r="A360" s="54">
        <f t="shared" ref="A360:C360" si="661">SUM(A353:A356)</f>
        <v>167600</v>
      </c>
      <c r="B360" s="9">
        <f t="shared" si="661"/>
        <v>623500</v>
      </c>
      <c r="C360" s="9">
        <f t="shared" si="661"/>
        <v>108700</v>
      </c>
      <c r="D360" s="9">
        <f>SUM(D353:D356)</f>
        <v>111800</v>
      </c>
      <c r="E360" s="9">
        <f t="shared" ref="E360" si="662">SUM(E353:E356)</f>
        <v>114000</v>
      </c>
      <c r="F360" s="177"/>
      <c r="G360" s="261" t="s">
        <v>1943</v>
      </c>
      <c r="H360" s="9">
        <f t="shared" ref="H360:P360" si="663">SUM(H353:H356)</f>
        <v>111200</v>
      </c>
      <c r="I360" s="584">
        <f>IF(E360=H360,0,IF(E360=0,100,(H360-E360)/E360*100))</f>
        <v>-2.4561403508771931</v>
      </c>
      <c r="J360" s="9">
        <f t="shared" si="663"/>
        <v>117000</v>
      </c>
      <c r="K360" s="9">
        <f t="shared" si="663"/>
        <v>119400</v>
      </c>
      <c r="L360" s="9">
        <f t="shared" si="663"/>
        <v>121900</v>
      </c>
      <c r="M360" s="9">
        <f t="shared" si="663"/>
        <v>124500</v>
      </c>
      <c r="N360" s="9">
        <f t="shared" si="663"/>
        <v>127100</v>
      </c>
      <c r="O360" s="9">
        <f t="shared" si="663"/>
        <v>129800</v>
      </c>
      <c r="P360" s="9">
        <f t="shared" si="663"/>
        <v>132500</v>
      </c>
      <c r="Q360" s="9">
        <f t="shared" ref="Q360" si="664">SUM(Q353:Q356)</f>
        <v>135300</v>
      </c>
      <c r="R360" s="9">
        <f t="shared" ref="R360" si="665">SUM(R353:R356)</f>
        <v>138100</v>
      </c>
      <c r="S360" s="47">
        <f t="shared" ref="S360" si="666">SUM(S353:S356)</f>
        <v>140900</v>
      </c>
    </row>
    <row r="361" spans="1:23" x14ac:dyDescent="0.2">
      <c r="A361" s="54">
        <f>-A329</f>
        <v>0</v>
      </c>
      <c r="B361" s="9">
        <f>-B329</f>
        <v>0</v>
      </c>
      <c r="C361" s="9">
        <f>-C329</f>
        <v>-460100</v>
      </c>
      <c r="D361" s="9">
        <f>-D329</f>
        <v>0</v>
      </c>
      <c r="E361" s="9">
        <f>-E329</f>
        <v>360400</v>
      </c>
      <c r="F361" s="177"/>
      <c r="G361" s="261" t="s">
        <v>5314</v>
      </c>
      <c r="H361" s="9">
        <f>-H329</f>
        <v>0</v>
      </c>
      <c r="I361" s="584">
        <f>IF(E361=H361,0,IF(E361=0,100,(H361-E361)/E361*100))</f>
        <v>-100</v>
      </c>
      <c r="J361" s="9">
        <f t="shared" ref="J361:S361" si="667">-J329</f>
        <v>0</v>
      </c>
      <c r="K361" s="9">
        <f t="shared" si="667"/>
        <v>0</v>
      </c>
      <c r="L361" s="9">
        <f t="shared" si="667"/>
        <v>0</v>
      </c>
      <c r="M361" s="9">
        <f t="shared" si="667"/>
        <v>0</v>
      </c>
      <c r="N361" s="9">
        <f t="shared" si="667"/>
        <v>0</v>
      </c>
      <c r="O361" s="9">
        <f t="shared" si="667"/>
        <v>0</v>
      </c>
      <c r="P361" s="9">
        <f t="shared" si="667"/>
        <v>0</v>
      </c>
      <c r="Q361" s="9">
        <f t="shared" si="667"/>
        <v>0</v>
      </c>
      <c r="R361" s="9">
        <f t="shared" si="667"/>
        <v>0</v>
      </c>
      <c r="S361" s="47">
        <f t="shared" si="667"/>
        <v>0</v>
      </c>
    </row>
    <row r="362" spans="1:23" x14ac:dyDescent="0.2">
      <c r="A362" s="54">
        <f>A342</f>
        <v>-165000</v>
      </c>
      <c r="B362" s="9">
        <f>B342</f>
        <v>-289900</v>
      </c>
      <c r="C362" s="9">
        <f>C342</f>
        <v>-725700</v>
      </c>
      <c r="D362" s="9">
        <f>D342</f>
        <v>319800</v>
      </c>
      <c r="E362" s="9">
        <f>E342</f>
        <v>-403100</v>
      </c>
      <c r="F362" s="177"/>
      <c r="G362" s="261" t="s">
        <v>5285</v>
      </c>
      <c r="H362" s="9">
        <f>H342</f>
        <v>0</v>
      </c>
      <c r="I362" s="584">
        <f>IF(E362=H362,0,IF(E362=0,100,(H362-E362)/E362*100))</f>
        <v>-100</v>
      </c>
      <c r="J362" s="9">
        <f t="shared" ref="J362:S362" si="668">J342</f>
        <v>0</v>
      </c>
      <c r="K362" s="9">
        <f t="shared" si="668"/>
        <v>0</v>
      </c>
      <c r="L362" s="9">
        <f t="shared" si="668"/>
        <v>0</v>
      </c>
      <c r="M362" s="9">
        <f t="shared" si="668"/>
        <v>0</v>
      </c>
      <c r="N362" s="9">
        <f t="shared" si="668"/>
        <v>0</v>
      </c>
      <c r="O362" s="9">
        <f t="shared" si="668"/>
        <v>0</v>
      </c>
      <c r="P362" s="9">
        <f t="shared" si="668"/>
        <v>0</v>
      </c>
      <c r="Q362" s="9">
        <f t="shared" si="668"/>
        <v>0</v>
      </c>
      <c r="R362" s="9">
        <f t="shared" si="668"/>
        <v>0</v>
      </c>
      <c r="S362" s="47">
        <f t="shared" si="668"/>
        <v>0</v>
      </c>
    </row>
    <row r="363" spans="1:23" s="39" customFormat="1" x14ac:dyDescent="0.2">
      <c r="A363" s="128">
        <f t="shared" ref="A363:C363" si="669">SUM(A359:A362)</f>
        <v>2678500</v>
      </c>
      <c r="B363" s="280">
        <f t="shared" si="669"/>
        <v>355900</v>
      </c>
      <c r="C363" s="280">
        <f t="shared" si="669"/>
        <v>193000</v>
      </c>
      <c r="D363" s="280">
        <f>SUM(D359:D362)</f>
        <v>40700</v>
      </c>
      <c r="E363" s="280">
        <f t="shared" ref="E363" si="670">SUM(E359:E362)</f>
        <v>898600</v>
      </c>
      <c r="F363" s="359"/>
      <c r="G363" s="363" t="s">
        <v>1659</v>
      </c>
      <c r="H363" s="280">
        <f t="shared" ref="H363:P363" si="671">SUM(H359:H362)</f>
        <v>113300</v>
      </c>
      <c r="I363" s="278">
        <f>IF(E363=H363,0,IF(E363=0,100,(H363-E363)/E363*100))</f>
        <v>-87.391497885599819</v>
      </c>
      <c r="J363" s="280">
        <f t="shared" si="671"/>
        <v>1116500</v>
      </c>
      <c r="K363" s="280">
        <f t="shared" si="671"/>
        <v>1139100</v>
      </c>
      <c r="L363" s="280">
        <f t="shared" si="671"/>
        <v>1110500</v>
      </c>
      <c r="M363" s="280">
        <f t="shared" si="671"/>
        <v>1140000</v>
      </c>
      <c r="N363" s="280">
        <f t="shared" si="671"/>
        <v>1255600</v>
      </c>
      <c r="O363" s="280">
        <f t="shared" si="671"/>
        <v>1281200</v>
      </c>
      <c r="P363" s="280">
        <f t="shared" si="671"/>
        <v>1294700</v>
      </c>
      <c r="Q363" s="280">
        <f t="shared" ref="Q363" si="672">SUM(Q359:Q362)</f>
        <v>1316300</v>
      </c>
      <c r="R363" s="280">
        <f t="shared" ref="R363" si="673">SUM(R359:R362)</f>
        <v>1337900</v>
      </c>
      <c r="S363" s="2343">
        <f t="shared" ref="S363" si="674">SUM(S359:S362)</f>
        <v>1358500</v>
      </c>
      <c r="U363" s="34"/>
      <c r="W363" s="34"/>
    </row>
    <row r="364" spans="1:23" ht="13.5" thickBot="1" x14ac:dyDescent="0.25">
      <c r="A364" s="118"/>
      <c r="B364" s="23"/>
      <c r="C364" s="23"/>
      <c r="D364" s="23"/>
      <c r="E364" s="23"/>
      <c r="F364" s="389"/>
      <c r="G364" s="268"/>
      <c r="H364" s="68"/>
      <c r="I364" s="87"/>
      <c r="J364" s="68"/>
      <c r="K364" s="68"/>
      <c r="L364" s="68"/>
      <c r="M364" s="68"/>
      <c r="N364" s="68"/>
      <c r="O364" s="68"/>
      <c r="P364" s="68"/>
      <c r="Q364" s="68"/>
      <c r="R364" s="68"/>
      <c r="S364" s="108"/>
    </row>
    <row r="365" spans="1:23" ht="13.5" thickTop="1" x14ac:dyDescent="0.2">
      <c r="A365" s="270"/>
      <c r="B365" s="109"/>
      <c r="C365" s="109"/>
      <c r="D365" s="109"/>
      <c r="E365" s="74"/>
      <c r="F365" s="192"/>
      <c r="G365" s="258"/>
      <c r="H365" s="74"/>
      <c r="I365" s="352"/>
      <c r="J365" s="74"/>
      <c r="K365" s="74"/>
      <c r="L365" s="74"/>
      <c r="M365" s="74"/>
      <c r="N365" s="74"/>
      <c r="O365" s="74"/>
      <c r="P365" s="74"/>
      <c r="Q365" s="74"/>
      <c r="R365" s="74"/>
      <c r="S365" s="110"/>
    </row>
    <row r="366" spans="1:23" x14ac:dyDescent="0.2">
      <c r="A366" s="24"/>
      <c r="B366" s="21"/>
      <c r="C366" s="21"/>
      <c r="D366" s="21"/>
      <c r="E366" s="9"/>
      <c r="F366" s="189"/>
      <c r="G366" s="361" t="s">
        <v>192</v>
      </c>
      <c r="H366" s="9"/>
      <c r="I366" s="126"/>
      <c r="J366" s="9"/>
      <c r="K366" s="9"/>
      <c r="L366" s="9"/>
      <c r="M366" s="9"/>
      <c r="N366" s="9"/>
      <c r="O366" s="9"/>
      <c r="P366" s="9"/>
      <c r="Q366" s="9"/>
      <c r="R366" s="9"/>
      <c r="S366" s="61"/>
    </row>
    <row r="367" spans="1:23" x14ac:dyDescent="0.2">
      <c r="A367" s="54">
        <f>ROUND(A948+A1005,-3)</f>
        <v>40000</v>
      </c>
      <c r="B367" s="9">
        <f t="shared" ref="B367:C371" si="675">B948+B1005</f>
        <v>0</v>
      </c>
      <c r="C367" s="89">
        <f t="shared" si="675"/>
        <v>0</v>
      </c>
      <c r="D367" s="89">
        <f>D948+D1005</f>
        <v>0</v>
      </c>
      <c r="E367" s="9">
        <f t="shared" ref="E367" si="676">E948+E1005</f>
        <v>0</v>
      </c>
      <c r="F367" s="165"/>
      <c r="G367" s="257" t="s">
        <v>2848</v>
      </c>
      <c r="H367" s="9">
        <f t="shared" ref="H367:P367" si="677">H948+H1005</f>
        <v>0</v>
      </c>
      <c r="I367" s="85">
        <f>IF(E367=H367,0,IF(E367=0,100,(H367-E367)/E367*100))</f>
        <v>0</v>
      </c>
      <c r="J367" s="9">
        <f t="shared" si="677"/>
        <v>0</v>
      </c>
      <c r="K367" s="9">
        <f t="shared" si="677"/>
        <v>0</v>
      </c>
      <c r="L367" s="9">
        <f t="shared" si="677"/>
        <v>0</v>
      </c>
      <c r="M367" s="9">
        <f t="shared" si="677"/>
        <v>0</v>
      </c>
      <c r="N367" s="9">
        <f t="shared" si="677"/>
        <v>0</v>
      </c>
      <c r="O367" s="9">
        <f t="shared" si="677"/>
        <v>0</v>
      </c>
      <c r="P367" s="9">
        <f t="shared" si="677"/>
        <v>0</v>
      </c>
      <c r="Q367" s="9">
        <f t="shared" ref="Q367" si="678">Q948+Q1005</f>
        <v>0</v>
      </c>
      <c r="R367" s="9">
        <f t="shared" ref="R367:S367" si="679">R948+R1005</f>
        <v>0</v>
      </c>
      <c r="S367" s="61">
        <f t="shared" si="679"/>
        <v>0</v>
      </c>
    </row>
    <row r="368" spans="1:23" x14ac:dyDescent="0.2">
      <c r="A368" s="54">
        <f>ROUND(A949+A1006,-3)</f>
        <v>5834000</v>
      </c>
      <c r="B368" s="9">
        <f t="shared" si="675"/>
        <v>5175400</v>
      </c>
      <c r="C368" s="9">
        <f t="shared" si="675"/>
        <v>6528800</v>
      </c>
      <c r="D368" s="9">
        <f>D949+D1006</f>
        <v>4563100</v>
      </c>
      <c r="E368" s="9">
        <f t="shared" ref="E368" si="680">E949+E1006</f>
        <v>3793600</v>
      </c>
      <c r="F368" s="165"/>
      <c r="G368" s="257" t="s">
        <v>1909</v>
      </c>
      <c r="H368" s="9">
        <f t="shared" ref="H368:P368" si="681">H949+H1006</f>
        <v>10226200</v>
      </c>
      <c r="I368" s="85">
        <f>IF(E368=H368,0,IF(E368=0,100,(H368-E368)/E368*100))</f>
        <v>169.56452973428932</v>
      </c>
      <c r="J368" s="9">
        <f t="shared" si="681"/>
        <v>9638500</v>
      </c>
      <c r="K368" s="9">
        <f t="shared" si="681"/>
        <v>6678900</v>
      </c>
      <c r="L368" s="9">
        <f t="shared" si="681"/>
        <v>5954000</v>
      </c>
      <c r="M368" s="9">
        <f t="shared" si="681"/>
        <v>4561700</v>
      </c>
      <c r="N368" s="9">
        <f t="shared" si="681"/>
        <v>3555800</v>
      </c>
      <c r="O368" s="9">
        <f t="shared" si="681"/>
        <v>3097700</v>
      </c>
      <c r="P368" s="9">
        <f t="shared" si="681"/>
        <v>3827400</v>
      </c>
      <c r="Q368" s="9">
        <f t="shared" ref="Q368" si="682">Q949+Q1006</f>
        <v>3865500</v>
      </c>
      <c r="R368" s="9">
        <f t="shared" ref="R368:S368" si="683">R949+R1006</f>
        <v>3904100</v>
      </c>
      <c r="S368" s="61">
        <f t="shared" si="683"/>
        <v>3942400</v>
      </c>
    </row>
    <row r="369" spans="1:23" x14ac:dyDescent="0.2">
      <c r="A369" s="54">
        <f>ROUND(A950+A1007,-3)</f>
        <v>6978000</v>
      </c>
      <c r="B369" s="9">
        <f t="shared" si="675"/>
        <v>4436400</v>
      </c>
      <c r="C369" s="9">
        <f t="shared" si="675"/>
        <v>6732200</v>
      </c>
      <c r="D369" s="9">
        <f>D950+D1007</f>
        <v>3237000</v>
      </c>
      <c r="E369" s="9">
        <f t="shared" ref="E369" si="684">E950+E1007</f>
        <v>3278400</v>
      </c>
      <c r="F369" s="165"/>
      <c r="G369" s="257" t="s">
        <v>2309</v>
      </c>
      <c r="H369" s="9">
        <f t="shared" ref="H369:P369" si="685">H950+H1007</f>
        <v>6462900</v>
      </c>
      <c r="I369" s="85">
        <f>IF(E369=H369,0,IF(E369=0,100,(H369-E369)/E369*100))</f>
        <v>97.135797950219612</v>
      </c>
      <c r="J369" s="9">
        <f t="shared" si="685"/>
        <v>5507000</v>
      </c>
      <c r="K369" s="9">
        <f t="shared" si="685"/>
        <v>7684800</v>
      </c>
      <c r="L369" s="9">
        <f t="shared" si="685"/>
        <v>3273500</v>
      </c>
      <c r="M369" s="9">
        <f t="shared" si="685"/>
        <v>2442700</v>
      </c>
      <c r="N369" s="9">
        <f t="shared" si="685"/>
        <v>1762200</v>
      </c>
      <c r="O369" s="9">
        <f t="shared" si="685"/>
        <v>2779500</v>
      </c>
      <c r="P369" s="9">
        <f t="shared" si="685"/>
        <v>1996700</v>
      </c>
      <c r="Q369" s="9">
        <f t="shared" ref="Q369" si="686">Q950+Q1007</f>
        <v>2014200</v>
      </c>
      <c r="R369" s="9">
        <f t="shared" ref="R369:S369" si="687">R950+R1007</f>
        <v>2032200</v>
      </c>
      <c r="S369" s="61">
        <f t="shared" si="687"/>
        <v>2050900</v>
      </c>
    </row>
    <row r="370" spans="1:23" x14ac:dyDescent="0.2">
      <c r="A370" s="54">
        <f>ROUND(A951+A1008,-3)</f>
        <v>4459000</v>
      </c>
      <c r="B370" s="9">
        <f t="shared" si="675"/>
        <v>1615200</v>
      </c>
      <c r="C370" s="9">
        <f t="shared" si="675"/>
        <v>3340400</v>
      </c>
      <c r="D370" s="9">
        <f>D951+D1008</f>
        <v>2286400</v>
      </c>
      <c r="E370" s="9">
        <f t="shared" ref="E370" si="688">E951+E1008</f>
        <v>1310300</v>
      </c>
      <c r="F370" s="165"/>
      <c r="G370" s="257" t="s">
        <v>5847</v>
      </c>
      <c r="H370" s="9">
        <f t="shared" ref="H370:P370" si="689">H951+H1008</f>
        <v>8105000</v>
      </c>
      <c r="I370" s="85">
        <f>IF(E370=H370,0,IF(E370=0,100,(H370-E370)/E370*100))</f>
        <v>518.5606349690911</v>
      </c>
      <c r="J370" s="9">
        <f t="shared" si="689"/>
        <v>7655000</v>
      </c>
      <c r="K370" s="9">
        <f t="shared" si="689"/>
        <v>4655000</v>
      </c>
      <c r="L370" s="9">
        <f t="shared" si="689"/>
        <v>2940000</v>
      </c>
      <c r="M370" s="9">
        <f t="shared" si="689"/>
        <v>1400000</v>
      </c>
      <c r="N370" s="9">
        <f t="shared" si="689"/>
        <v>960000</v>
      </c>
      <c r="O370" s="9">
        <f t="shared" si="689"/>
        <v>960000</v>
      </c>
      <c r="P370" s="9">
        <f t="shared" si="689"/>
        <v>960000</v>
      </c>
      <c r="Q370" s="9">
        <f t="shared" ref="Q370" si="690">Q951+Q1008</f>
        <v>960000</v>
      </c>
      <c r="R370" s="9">
        <f t="shared" ref="R370:S370" si="691">R951+R1008</f>
        <v>960000</v>
      </c>
      <c r="S370" s="61">
        <f t="shared" si="691"/>
        <v>960000</v>
      </c>
    </row>
    <row r="371" spans="1:23" x14ac:dyDescent="0.2">
      <c r="A371" s="54">
        <f>ROUND(A952+A1009,-3)</f>
        <v>6363000</v>
      </c>
      <c r="B371" s="9">
        <f t="shared" si="675"/>
        <v>1179800</v>
      </c>
      <c r="C371" s="9">
        <f t="shared" si="675"/>
        <v>4191700</v>
      </c>
      <c r="D371" s="9">
        <f>D952+D1009</f>
        <v>817000</v>
      </c>
      <c r="E371" s="9">
        <f t="shared" ref="E371" si="692">E952+E1009</f>
        <v>1369400</v>
      </c>
      <c r="F371" s="165"/>
      <c r="G371" s="257" t="s">
        <v>958</v>
      </c>
      <c r="H371" s="9">
        <f t="shared" ref="H371:P371" si="693">H952+H1009</f>
        <v>4055000</v>
      </c>
      <c r="I371" s="85">
        <f>IF(E371=H371,0,IF(E371=0,100,(H371-E371)/E371*100))</f>
        <v>196.11508689937199</v>
      </c>
      <c r="J371" s="9">
        <f t="shared" si="693"/>
        <v>4240000</v>
      </c>
      <c r="K371" s="9">
        <f t="shared" si="693"/>
        <v>6400000</v>
      </c>
      <c r="L371" s="9">
        <f t="shared" si="693"/>
        <v>970000</v>
      </c>
      <c r="M371" s="9">
        <f t="shared" si="693"/>
        <v>21000</v>
      </c>
      <c r="N371" s="9">
        <f t="shared" si="693"/>
        <v>22000</v>
      </c>
      <c r="O371" s="9">
        <f t="shared" si="693"/>
        <v>1523000</v>
      </c>
      <c r="P371" s="9">
        <f t="shared" si="693"/>
        <v>24000</v>
      </c>
      <c r="Q371" s="9">
        <f t="shared" ref="Q371" si="694">Q952+Q1009</f>
        <v>25000</v>
      </c>
      <c r="R371" s="9">
        <f t="shared" ref="R371:S371" si="695">R952+R1009</f>
        <v>26000</v>
      </c>
      <c r="S371" s="61">
        <f t="shared" si="695"/>
        <v>27000</v>
      </c>
    </row>
    <row r="372" spans="1:23" x14ac:dyDescent="0.2">
      <c r="A372" s="54"/>
      <c r="B372" s="9"/>
      <c r="C372" s="9"/>
      <c r="D372" s="9"/>
      <c r="E372" s="9"/>
      <c r="F372" s="165"/>
      <c r="G372" s="257"/>
      <c r="H372" s="9"/>
      <c r="I372" s="85"/>
      <c r="J372" s="9"/>
      <c r="K372" s="9"/>
      <c r="L372" s="9"/>
      <c r="M372" s="9"/>
      <c r="N372" s="9"/>
      <c r="O372" s="9"/>
      <c r="P372" s="9"/>
      <c r="Q372" s="9"/>
      <c r="R372" s="9"/>
      <c r="S372" s="61"/>
    </row>
    <row r="373" spans="1:23" s="27" customFormat="1" x14ac:dyDescent="0.2">
      <c r="A373" s="128">
        <f>A363-A367-A368+A369++A370-A371</f>
        <v>1878500</v>
      </c>
      <c r="B373" s="280">
        <f>B363-B367-B368+B369++B370-B371</f>
        <v>52300</v>
      </c>
      <c r="C373" s="280">
        <f>C363-C367-C368+C369++C370-C371</f>
        <v>-454900</v>
      </c>
      <c r="D373" s="280">
        <f>D363-D367-D368+D369++D370-D371</f>
        <v>184000</v>
      </c>
      <c r="E373" s="280">
        <f>E363-E367-E368+E369++E370-E371</f>
        <v>324300</v>
      </c>
      <c r="F373" s="362"/>
      <c r="G373" s="363" t="s">
        <v>2447</v>
      </c>
      <c r="H373" s="280">
        <f>H363-H367-H368+H369++H370-H371</f>
        <v>400000</v>
      </c>
      <c r="I373" s="278">
        <f>IF(E373=H373,0,IF(E373=0,100,(H373-E373)/E373*100))</f>
        <v>23.34258402713537</v>
      </c>
      <c r="J373" s="280">
        <f t="shared" ref="J373:S373" si="696">J363-J367-J368+J369++J370-J371</f>
        <v>400000</v>
      </c>
      <c r="K373" s="280">
        <f t="shared" si="696"/>
        <v>400000</v>
      </c>
      <c r="L373" s="280">
        <f t="shared" si="696"/>
        <v>400000</v>
      </c>
      <c r="M373" s="280">
        <f t="shared" si="696"/>
        <v>400000</v>
      </c>
      <c r="N373" s="280">
        <f t="shared" si="696"/>
        <v>400000</v>
      </c>
      <c r="O373" s="280">
        <f t="shared" si="696"/>
        <v>400000</v>
      </c>
      <c r="P373" s="280">
        <f t="shared" si="696"/>
        <v>400000</v>
      </c>
      <c r="Q373" s="280">
        <f t="shared" si="696"/>
        <v>400000</v>
      </c>
      <c r="R373" s="280">
        <f t="shared" si="696"/>
        <v>400000</v>
      </c>
      <c r="S373" s="282">
        <f t="shared" si="696"/>
        <v>400000</v>
      </c>
      <c r="U373" s="34"/>
      <c r="W373" s="34"/>
    </row>
    <row r="374" spans="1:23" ht="13.5" thickBot="1" x14ac:dyDescent="0.25">
      <c r="A374" s="26"/>
      <c r="B374" s="37"/>
      <c r="C374" s="37"/>
      <c r="D374" s="37"/>
      <c r="E374" s="23"/>
      <c r="F374" s="400"/>
      <c r="G374" s="259"/>
      <c r="H374" s="23"/>
      <c r="I374" s="275"/>
      <c r="J374" s="23"/>
      <c r="K374" s="23"/>
      <c r="L374" s="23"/>
      <c r="M374" s="23"/>
      <c r="N374" s="23"/>
      <c r="O374" s="23"/>
      <c r="P374" s="23"/>
      <c r="Q374" s="23"/>
      <c r="R374" s="23"/>
      <c r="S374" s="112"/>
    </row>
    <row r="375" spans="1:23" s="46" customFormat="1" ht="12.75" customHeight="1" thickTop="1" x14ac:dyDescent="0.2">
      <c r="F375" s="182"/>
      <c r="I375" s="70"/>
    </row>
    <row r="376" spans="1:23" ht="13.5" thickBot="1" x14ac:dyDescent="0.25">
      <c r="A376" s="27"/>
      <c r="B376" s="27"/>
      <c r="C376" s="143"/>
      <c r="D376" s="143"/>
      <c r="E376" s="143"/>
      <c r="F376" s="169"/>
      <c r="G376" s="84"/>
      <c r="H376" s="46"/>
      <c r="I376" s="2234"/>
      <c r="J376" s="46"/>
      <c r="K376" s="46"/>
      <c r="L376" s="46"/>
      <c r="M376" s="46"/>
      <c r="N376" s="46"/>
      <c r="O376" s="46"/>
      <c r="P376" s="46"/>
      <c r="Q376" s="46"/>
      <c r="R376" s="46"/>
      <c r="S376" s="46"/>
    </row>
    <row r="377" spans="1:23" s="38" customFormat="1" ht="18.75" customHeight="1" thickTop="1" thickBot="1" x14ac:dyDescent="0.3">
      <c r="A377" s="2588" t="s">
        <v>1683</v>
      </c>
      <c r="B377" s="2589"/>
      <c r="C377" s="2589"/>
      <c r="D377" s="2589"/>
      <c r="E377" s="2589"/>
      <c r="F377" s="2589"/>
      <c r="G377" s="2589"/>
      <c r="H377" s="2589"/>
      <c r="I377" s="2589"/>
      <c r="J377" s="2589"/>
      <c r="K377" s="2589"/>
      <c r="L377" s="2589"/>
      <c r="M377" s="2589"/>
      <c r="N377" s="2589"/>
      <c r="O377" s="2589"/>
      <c r="P377" s="2589"/>
      <c r="Q377" s="2589"/>
      <c r="R377" s="2589"/>
      <c r="S377" s="2590"/>
      <c r="U377" s="34"/>
      <c r="W377" s="34"/>
    </row>
    <row r="378" spans="1:23" s="39" customFormat="1" x14ac:dyDescent="0.2">
      <c r="A378" s="2620" t="s">
        <v>1824</v>
      </c>
      <c r="B378" s="2621"/>
      <c r="C378" s="2621"/>
      <c r="D378" s="2621"/>
      <c r="E378" s="2622"/>
      <c r="F378" s="150" t="s">
        <v>2616</v>
      </c>
      <c r="G378" s="126" t="s">
        <v>2213</v>
      </c>
      <c r="H378" s="2617" t="s">
        <v>2215</v>
      </c>
      <c r="I378" s="2618"/>
      <c r="J378" s="2618"/>
      <c r="K378" s="2618"/>
      <c r="L378" s="2618"/>
      <c r="M378" s="2618"/>
      <c r="N378" s="2618"/>
      <c r="O378" s="2618"/>
      <c r="P378" s="2618"/>
      <c r="Q378" s="2618"/>
      <c r="R378" s="2618"/>
      <c r="S378" s="2619"/>
      <c r="U378" s="34"/>
      <c r="W378" s="34"/>
    </row>
    <row r="379" spans="1:23" ht="12.75" customHeight="1" thickBot="1" x14ac:dyDescent="0.25">
      <c r="A379" s="541" t="str">
        <f>CIV!A3</f>
        <v>2012/13</v>
      </c>
      <c r="B379" s="28" t="str">
        <f>CIV!B3</f>
        <v>2013/14</v>
      </c>
      <c r="C379" s="40" t="str">
        <f>CIV!C3</f>
        <v>2014/15</v>
      </c>
      <c r="D379" s="40" t="str">
        <f>CIV!D3</f>
        <v>2015/16</v>
      </c>
      <c r="E379" s="40" t="str">
        <f>CIV!E3</f>
        <v>2016/17</v>
      </c>
      <c r="F379" s="40" t="s">
        <v>2617</v>
      </c>
      <c r="G379" s="68"/>
      <c r="H379" s="40" t="str">
        <f>CIV!H3</f>
        <v>2017/18</v>
      </c>
      <c r="I379" s="2060" t="str">
        <f>I312</f>
        <v>%</v>
      </c>
      <c r="J379" s="40" t="str">
        <f>CIV!J3</f>
        <v>2018/19</v>
      </c>
      <c r="K379" s="40" t="str">
        <f>CIV!K3</f>
        <v>2019/20</v>
      </c>
      <c r="L379" s="40" t="str">
        <f>CIV!L3</f>
        <v>2020/21</v>
      </c>
      <c r="M379" s="40" t="str">
        <f>CIV!M3</f>
        <v>2021/22</v>
      </c>
      <c r="N379" s="40" t="str">
        <f>CIV!N3</f>
        <v>2022/23</v>
      </c>
      <c r="O379" s="40" t="str">
        <f>CIV!O3</f>
        <v>2023/24</v>
      </c>
      <c r="P379" s="40" t="str">
        <f>CIV!P3</f>
        <v>2024/25</v>
      </c>
      <c r="Q379" s="28" t="str">
        <f>CIV!Q3</f>
        <v>2025/26</v>
      </c>
      <c r="R379" s="28" t="str">
        <f>CIV!R3</f>
        <v>2026/27</v>
      </c>
      <c r="S379" s="1620" t="str">
        <f>CIV!S3</f>
        <v>2027/28</v>
      </c>
    </row>
    <row r="380" spans="1:23" x14ac:dyDescent="0.2">
      <c r="A380" s="45"/>
      <c r="B380" s="9"/>
      <c r="C380" s="134"/>
      <c r="D380" s="134"/>
      <c r="E380" s="134"/>
      <c r="F380" s="1152"/>
      <c r="G380" s="29"/>
      <c r="H380" s="9"/>
      <c r="I380" s="85"/>
      <c r="J380" s="9"/>
      <c r="K380" s="9"/>
      <c r="L380" s="9"/>
      <c r="M380" s="9"/>
      <c r="N380" s="9"/>
      <c r="O380" s="9"/>
      <c r="P380" s="9"/>
      <c r="Q380" s="9"/>
      <c r="R380" s="9"/>
      <c r="S380" s="61"/>
    </row>
    <row r="381" spans="1:23" x14ac:dyDescent="0.2">
      <c r="A381" s="45"/>
      <c r="B381" s="9"/>
      <c r="C381" s="134"/>
      <c r="D381" s="134"/>
      <c r="E381" s="134"/>
      <c r="F381" s="1152"/>
      <c r="G381" s="50" t="s">
        <v>1056</v>
      </c>
      <c r="H381" s="9"/>
      <c r="I381" s="85"/>
      <c r="J381" s="9"/>
      <c r="K381" s="9"/>
      <c r="L381" s="9"/>
      <c r="M381" s="9"/>
      <c r="N381" s="9"/>
      <c r="O381" s="9"/>
      <c r="P381" s="9"/>
      <c r="Q381" s="9"/>
      <c r="R381" s="9"/>
      <c r="S381" s="61"/>
    </row>
    <row r="382" spans="1:23" ht="12" customHeight="1" x14ac:dyDescent="0.2">
      <c r="A382" s="45"/>
      <c r="B382" s="9"/>
      <c r="C382" s="136"/>
      <c r="D382" s="136"/>
      <c r="E382" s="134"/>
      <c r="F382" s="1152"/>
      <c r="G382" s="9"/>
      <c r="H382" s="9"/>
      <c r="I382" s="85"/>
      <c r="J382" s="9"/>
      <c r="K382" s="9"/>
      <c r="L382" s="9"/>
      <c r="M382" s="9"/>
      <c r="N382" s="9"/>
      <c r="O382" s="9"/>
      <c r="P382" s="9"/>
      <c r="Q382" s="9"/>
      <c r="R382" s="9"/>
      <c r="S382" s="61"/>
    </row>
    <row r="383" spans="1:23" x14ac:dyDescent="0.2">
      <c r="A383" s="45"/>
      <c r="B383" s="9"/>
      <c r="C383" s="136"/>
      <c r="D383" s="136"/>
      <c r="E383" s="134"/>
      <c r="F383" s="1152"/>
      <c r="G383" s="21" t="s">
        <v>2829</v>
      </c>
      <c r="H383" s="9"/>
      <c r="I383" s="85"/>
      <c r="J383" s="9"/>
      <c r="K383" s="9"/>
      <c r="L383" s="9"/>
      <c r="M383" s="9"/>
      <c r="N383" s="9"/>
      <c r="O383" s="9"/>
      <c r="P383" s="9"/>
      <c r="Q383" s="9"/>
      <c r="R383" s="9"/>
      <c r="S383" s="61"/>
    </row>
    <row r="384" spans="1:23" x14ac:dyDescent="0.2">
      <c r="A384" s="54">
        <f>ROUND(SUM(GM!A1020:A1021),-3)</f>
        <v>1996000</v>
      </c>
      <c r="B384" s="9">
        <f>SUM(GM!B1020:B1021)</f>
        <v>2113000</v>
      </c>
      <c r="C384" s="136">
        <f>SUM(GM!C1020:C1021)</f>
        <v>2177700</v>
      </c>
      <c r="D384" s="136">
        <f>SUM(GM!D1020:D1021)</f>
        <v>2231100</v>
      </c>
      <c r="E384" s="134">
        <f>SUM(GM!E1020:E1022)</f>
        <v>2469800</v>
      </c>
      <c r="F384" s="1152">
        <v>26100</v>
      </c>
      <c r="G384" s="9" t="s">
        <v>528</v>
      </c>
      <c r="H384" s="9">
        <f>SUM(GM!H1020:H1022)</f>
        <v>2574000</v>
      </c>
      <c r="I384" s="85">
        <f t="shared" ref="I384:I389" si="697">IF(E384=H384,0,IF(E384=0,100,(H384-E384)/E384*100))</f>
        <v>4.2189650983885336</v>
      </c>
      <c r="J384" s="9">
        <f>SUM(GM!J1020:J1022)</f>
        <v>2600100</v>
      </c>
      <c r="K384" s="9">
        <f>SUM(GM!K1020:K1022)</f>
        <v>2616200</v>
      </c>
      <c r="L384" s="9">
        <f>SUM(GM!L1020:L1022)</f>
        <v>2633300</v>
      </c>
      <c r="M384" s="9">
        <f>SUM(GM!M1020:M1022)</f>
        <v>2648600</v>
      </c>
      <c r="N384" s="9">
        <f>SUM(GM!N1020:N1022)</f>
        <v>2666900</v>
      </c>
      <c r="O384" s="9">
        <f>SUM(GM!O1020:O1022)</f>
        <v>2683200</v>
      </c>
      <c r="P384" s="9">
        <f>SUM(GM!P1020:P1022)</f>
        <v>2701700</v>
      </c>
      <c r="Q384" s="9">
        <f>SUM(GM!Q1020:Q1022)</f>
        <v>2717200</v>
      </c>
      <c r="R384" s="9">
        <f>SUM(GM!R1020:R1022)</f>
        <v>2734800</v>
      </c>
      <c r="S384" s="47">
        <f>SUM(GM!S1020:S1022)</f>
        <v>2737500</v>
      </c>
    </row>
    <row r="385" spans="1:23" x14ac:dyDescent="0.2">
      <c r="A385" s="54">
        <f>ROUND(SUM(GM!A1023),-3)</f>
        <v>848000</v>
      </c>
      <c r="B385" s="9">
        <f>SUM(GM!B1023)</f>
        <v>1078000</v>
      </c>
      <c r="C385" s="136">
        <f>SUM(GM!C1023)</f>
        <v>1067000</v>
      </c>
      <c r="D385" s="136">
        <f>SUM(GM!D1023)</f>
        <v>1265100</v>
      </c>
      <c r="E385" s="134">
        <f>SUM(GM!E1023)</f>
        <v>1375400</v>
      </c>
      <c r="F385" s="1152">
        <v>26100</v>
      </c>
      <c r="G385" s="9" t="s">
        <v>2392</v>
      </c>
      <c r="H385" s="9">
        <f>SUM(GM!H1023)</f>
        <v>1424000</v>
      </c>
      <c r="I385" s="85">
        <f t="shared" si="697"/>
        <v>3.5335175221753676</v>
      </c>
      <c r="J385" s="9">
        <f>SUM(GM!J1023)</f>
        <v>1466800</v>
      </c>
      <c r="K385" s="9">
        <f>SUM(GM!K1023)</f>
        <v>1510900</v>
      </c>
      <c r="L385" s="9">
        <f>SUM(GM!L1023)</f>
        <v>1556300</v>
      </c>
      <c r="M385" s="9">
        <f>SUM(GM!M1023)</f>
        <v>1603000</v>
      </c>
      <c r="N385" s="9">
        <f>SUM(GM!N1023)</f>
        <v>1651100</v>
      </c>
      <c r="O385" s="9">
        <f>SUM(GM!O1023)</f>
        <v>1700700</v>
      </c>
      <c r="P385" s="9">
        <f>SUM(GM!P1023)</f>
        <v>1751800</v>
      </c>
      <c r="Q385" s="9">
        <f>SUM(GM!Q1023)</f>
        <v>1804400</v>
      </c>
      <c r="R385" s="9">
        <f>SUM(GM!R1023)</f>
        <v>1858600</v>
      </c>
      <c r="S385" s="47">
        <f>SUM(GM!S1023)</f>
        <v>1914400</v>
      </c>
    </row>
    <row r="386" spans="1:23" x14ac:dyDescent="0.2">
      <c r="A386" s="54">
        <f>ROUND(SUM(GM!A1031:A1037),-3)+A1040</f>
        <v>491400</v>
      </c>
      <c r="B386" s="9">
        <f>SUM(GM!B1031:B1037)+B1040</f>
        <v>522200</v>
      </c>
      <c r="C386" s="136">
        <f>SUM(GM!C1031:C1037)+C1040</f>
        <v>623500</v>
      </c>
      <c r="D386" s="136">
        <f>SUM(GM!D1031:D1037)+D1040</f>
        <v>645900</v>
      </c>
      <c r="E386" s="134">
        <f>SUM(GM!E1031:E1037)+E1040+E1042</f>
        <v>840100</v>
      </c>
      <c r="F386" s="1152">
        <v>26100</v>
      </c>
      <c r="G386" s="9" t="s">
        <v>2391</v>
      </c>
      <c r="H386" s="134">
        <f>SUM(GM!H1031:H1037)+H1040+H1042</f>
        <v>770100</v>
      </c>
      <c r="I386" s="85">
        <f t="shared" si="697"/>
        <v>-8.3323413879300094</v>
      </c>
      <c r="J386" s="134">
        <f>SUM(GM!J1031:J1037)+J1040+J1042</f>
        <v>893600</v>
      </c>
      <c r="K386" s="134">
        <f>SUM(GM!K1031:K1037)+K1040+K1042</f>
        <v>937800</v>
      </c>
      <c r="L386" s="134">
        <f>SUM(GM!L1031:L1037)+L1040+L1042</f>
        <v>992700</v>
      </c>
      <c r="M386" s="134">
        <f>SUM(GM!M1031:M1037)+M1040+M1042</f>
        <v>1022900</v>
      </c>
      <c r="N386" s="134">
        <f>SUM(GM!N1031:N1037)+N1040+N1042</f>
        <v>1054100</v>
      </c>
      <c r="O386" s="134">
        <f>SUM(GM!O1031:O1037)+O1040+O1042</f>
        <v>1085900</v>
      </c>
      <c r="P386" s="134">
        <f>SUM(GM!P1031:P1037)+P1040+P1042</f>
        <v>1119000</v>
      </c>
      <c r="Q386" s="134">
        <f>SUM(GM!Q1031:Q1037)+Q1040+Q1042</f>
        <v>1152900</v>
      </c>
      <c r="R386" s="134">
        <f>SUM(GM!R1031:R1037)+R1040+R1042</f>
        <v>1188100</v>
      </c>
      <c r="S386" s="2359">
        <f>SUM(GM!S1031:S1037)+S1040+S1042</f>
        <v>1224100</v>
      </c>
    </row>
    <row r="387" spans="1:23" x14ac:dyDescent="0.2">
      <c r="A387" s="54">
        <f>ROUND(SUM(A1038:A1038),-3)</f>
        <v>363000</v>
      </c>
      <c r="B387" s="9">
        <f>B1038</f>
        <v>414900</v>
      </c>
      <c r="C387" s="136">
        <f>C1038</f>
        <v>467200</v>
      </c>
      <c r="D387" s="136">
        <f>D1038</f>
        <v>568000</v>
      </c>
      <c r="E387" s="134">
        <f t="shared" ref="E387" si="698">E1038</f>
        <v>641200</v>
      </c>
      <c r="F387" s="1152">
        <v>26100</v>
      </c>
      <c r="G387" s="9" t="s">
        <v>1297</v>
      </c>
      <c r="H387" s="134">
        <f t="shared" ref="H387:P387" si="699">H1038</f>
        <v>660000</v>
      </c>
      <c r="I387" s="85">
        <f t="shared" si="697"/>
        <v>2.9320024953212727</v>
      </c>
      <c r="J387" s="134">
        <f t="shared" si="699"/>
        <v>679800</v>
      </c>
      <c r="K387" s="134">
        <f t="shared" si="699"/>
        <v>700200</v>
      </c>
      <c r="L387" s="134">
        <f t="shared" si="699"/>
        <v>721300</v>
      </c>
      <c r="M387" s="134">
        <f t="shared" si="699"/>
        <v>743000</v>
      </c>
      <c r="N387" s="134">
        <f t="shared" si="699"/>
        <v>765300</v>
      </c>
      <c r="O387" s="134">
        <f t="shared" si="699"/>
        <v>788300</v>
      </c>
      <c r="P387" s="9">
        <f t="shared" si="699"/>
        <v>812000</v>
      </c>
      <c r="Q387" s="9">
        <f t="shared" ref="Q387" si="700">Q1038</f>
        <v>836400</v>
      </c>
      <c r="R387" s="9">
        <f t="shared" ref="R387" si="701">R1038</f>
        <v>861500</v>
      </c>
      <c r="S387" s="47">
        <f t="shared" ref="S387" si="702">S1038</f>
        <v>887400</v>
      </c>
    </row>
    <row r="388" spans="1:23" x14ac:dyDescent="0.2">
      <c r="A388" s="54">
        <f>ROUND(SUM(GM!A1039),-3)-1000</f>
        <v>56000</v>
      </c>
      <c r="B388" s="9">
        <f>GM!B1039</f>
        <v>65400</v>
      </c>
      <c r="C388" s="136">
        <f>GM!C1039</f>
        <v>66700</v>
      </c>
      <c r="D388" s="136">
        <f>GM!D1039</f>
        <v>72400</v>
      </c>
      <c r="E388" s="134">
        <f>GM!E1039</f>
        <v>73300</v>
      </c>
      <c r="F388" s="1152">
        <v>26100</v>
      </c>
      <c r="G388" s="9" t="s">
        <v>526</v>
      </c>
      <c r="H388" s="9">
        <f>GM!H1039</f>
        <v>73000</v>
      </c>
      <c r="I388" s="85">
        <f t="shared" si="697"/>
        <v>-0.40927694406548432</v>
      </c>
      <c r="J388" s="9">
        <f>GM!J1039</f>
        <v>106500</v>
      </c>
      <c r="K388" s="9">
        <f>GM!K1039</f>
        <v>109700</v>
      </c>
      <c r="L388" s="9">
        <f>GM!L1039</f>
        <v>113000</v>
      </c>
      <c r="M388" s="9">
        <f>GM!M1039</f>
        <v>116400</v>
      </c>
      <c r="N388" s="9">
        <f>GM!N1039</f>
        <v>119900</v>
      </c>
      <c r="O388" s="9">
        <f>GM!O1039</f>
        <v>123500</v>
      </c>
      <c r="P388" s="9">
        <f>GM!P1039</f>
        <v>127300</v>
      </c>
      <c r="Q388" s="9">
        <f>GM!Q1039</f>
        <v>131200</v>
      </c>
      <c r="R388" s="9">
        <f>GM!R1039</f>
        <v>135200</v>
      </c>
      <c r="S388" s="47">
        <f>GM!S1039</f>
        <v>139300</v>
      </c>
    </row>
    <row r="389" spans="1:23" x14ac:dyDescent="0.2">
      <c r="A389" s="54">
        <f>ROUND(A1029,-3)</f>
        <v>89000</v>
      </c>
      <c r="B389" s="9">
        <f>B1029</f>
        <v>72000</v>
      </c>
      <c r="C389" s="136">
        <f>C1029</f>
        <v>0</v>
      </c>
      <c r="D389" s="136">
        <f>D1029</f>
        <v>0</v>
      </c>
      <c r="E389" s="134">
        <f t="shared" ref="E389" si="703">E1029</f>
        <v>0</v>
      </c>
      <c r="F389" s="1152">
        <v>26100</v>
      </c>
      <c r="G389" s="9" t="s">
        <v>2624</v>
      </c>
      <c r="H389" s="9">
        <f t="shared" ref="H389:P389" si="704">H1029</f>
        <v>0</v>
      </c>
      <c r="I389" s="85">
        <f t="shared" si="697"/>
        <v>0</v>
      </c>
      <c r="J389" s="9">
        <f t="shared" si="704"/>
        <v>0</v>
      </c>
      <c r="K389" s="9">
        <f t="shared" si="704"/>
        <v>0</v>
      </c>
      <c r="L389" s="9">
        <f t="shared" si="704"/>
        <v>0</v>
      </c>
      <c r="M389" s="9">
        <f t="shared" si="704"/>
        <v>0</v>
      </c>
      <c r="N389" s="9">
        <f t="shared" si="704"/>
        <v>0</v>
      </c>
      <c r="O389" s="9">
        <f t="shared" si="704"/>
        <v>0</v>
      </c>
      <c r="P389" s="9">
        <f t="shared" si="704"/>
        <v>0</v>
      </c>
      <c r="Q389" s="9">
        <f t="shared" ref="Q389" si="705">Q1029</f>
        <v>0</v>
      </c>
      <c r="R389" s="9">
        <f t="shared" ref="R389" si="706">R1029</f>
        <v>0</v>
      </c>
      <c r="S389" s="47">
        <f t="shared" ref="S389" si="707">S1029</f>
        <v>0</v>
      </c>
    </row>
    <row r="390" spans="1:23" x14ac:dyDescent="0.2">
      <c r="A390" s="54"/>
      <c r="B390" s="9"/>
      <c r="C390" s="136"/>
      <c r="D390" s="136"/>
      <c r="E390" s="134"/>
      <c r="F390" s="1152"/>
      <c r="G390" s="9"/>
      <c r="H390" s="9"/>
      <c r="I390" s="85"/>
      <c r="J390" s="9"/>
      <c r="K390" s="9"/>
      <c r="L390" s="9"/>
      <c r="M390" s="9"/>
      <c r="N390" s="9"/>
      <c r="O390" s="9"/>
      <c r="P390" s="9"/>
      <c r="Q390" s="9"/>
      <c r="R390" s="9"/>
      <c r="S390" s="47"/>
    </row>
    <row r="391" spans="1:23" x14ac:dyDescent="0.2">
      <c r="A391" s="54"/>
      <c r="B391" s="9"/>
      <c r="C391" s="136"/>
      <c r="D391" s="136"/>
      <c r="E391" s="134"/>
      <c r="F391" s="1152"/>
      <c r="G391" s="63" t="s">
        <v>1242</v>
      </c>
      <c r="H391" s="9"/>
      <c r="I391" s="85"/>
      <c r="J391" s="9"/>
      <c r="K391" s="9"/>
      <c r="L391" s="9"/>
      <c r="M391" s="9"/>
      <c r="N391" s="9"/>
      <c r="O391" s="9"/>
      <c r="P391" s="9"/>
      <c r="Q391" s="9"/>
      <c r="R391" s="9"/>
      <c r="S391" s="47"/>
    </row>
    <row r="392" spans="1:23" x14ac:dyDescent="0.2">
      <c r="A392" s="54">
        <f t="shared" ref="A392:D392" si="708">A1025</f>
        <v>0</v>
      </c>
      <c r="B392" s="9">
        <f t="shared" si="708"/>
        <v>63500</v>
      </c>
      <c r="C392" s="136">
        <f t="shared" si="708"/>
        <v>46200</v>
      </c>
      <c r="D392" s="136">
        <f t="shared" si="708"/>
        <v>83800</v>
      </c>
      <c r="E392" s="134">
        <f>E1025</f>
        <v>57900</v>
      </c>
      <c r="F392" s="1152">
        <v>26100</v>
      </c>
      <c r="G392" s="79" t="s">
        <v>6953</v>
      </c>
      <c r="H392" s="134">
        <f t="shared" ref="H392:R392" si="709">H1025</f>
        <v>72000</v>
      </c>
      <c r="I392" s="85">
        <f>IF(E392=H392,0,IF(E392=0,100,(H392-E392)/E392*100))</f>
        <v>24.352331606217618</v>
      </c>
      <c r="J392" s="134">
        <f t="shared" si="709"/>
        <v>74200</v>
      </c>
      <c r="K392" s="134">
        <f t="shared" si="709"/>
        <v>76500</v>
      </c>
      <c r="L392" s="134">
        <f t="shared" si="709"/>
        <v>78800</v>
      </c>
      <c r="M392" s="134">
        <f t="shared" si="709"/>
        <v>81200</v>
      </c>
      <c r="N392" s="134">
        <f t="shared" si="709"/>
        <v>83700</v>
      </c>
      <c r="O392" s="134">
        <f t="shared" si="709"/>
        <v>86300</v>
      </c>
      <c r="P392" s="134">
        <f t="shared" si="709"/>
        <v>88900</v>
      </c>
      <c r="Q392" s="134">
        <f t="shared" si="709"/>
        <v>91600</v>
      </c>
      <c r="R392" s="134">
        <f t="shared" si="709"/>
        <v>94400</v>
      </c>
      <c r="S392" s="2359">
        <f t="shared" ref="S392" si="710">S1025</f>
        <v>97300</v>
      </c>
    </row>
    <row r="393" spans="1:23" x14ac:dyDescent="0.2">
      <c r="A393" s="54">
        <f t="shared" ref="A393:D393" si="711">A1026</f>
        <v>0</v>
      </c>
      <c r="B393" s="9">
        <f t="shared" si="711"/>
        <v>0</v>
      </c>
      <c r="C393" s="136">
        <f t="shared" si="711"/>
        <v>0</v>
      </c>
      <c r="D393" s="134">
        <f t="shared" si="711"/>
        <v>0</v>
      </c>
      <c r="E393" s="134">
        <f>E1026</f>
        <v>99300</v>
      </c>
      <c r="F393" s="1152" t="s">
        <v>6954</v>
      </c>
      <c r="G393" s="79" t="s">
        <v>6007</v>
      </c>
      <c r="H393" s="9">
        <f t="shared" ref="H393:R393" si="712">H1026</f>
        <v>341000</v>
      </c>
      <c r="I393" s="85">
        <f>IF(E393=H393,0,IF(E393=0,100,(H393-E393)/E393*100))</f>
        <v>243.40382678751257</v>
      </c>
      <c r="J393" s="9">
        <f t="shared" si="712"/>
        <v>350000</v>
      </c>
      <c r="K393" s="9">
        <f t="shared" si="712"/>
        <v>361000</v>
      </c>
      <c r="L393" s="9">
        <f t="shared" si="712"/>
        <v>371000</v>
      </c>
      <c r="M393" s="9">
        <f t="shared" si="712"/>
        <v>382000</v>
      </c>
      <c r="N393" s="9">
        <f t="shared" si="712"/>
        <v>394000</v>
      </c>
      <c r="O393" s="9">
        <f t="shared" si="712"/>
        <v>406000</v>
      </c>
      <c r="P393" s="9">
        <f t="shared" si="712"/>
        <v>418000</v>
      </c>
      <c r="Q393" s="9">
        <f t="shared" si="712"/>
        <v>430600</v>
      </c>
      <c r="R393" s="9">
        <f t="shared" si="712"/>
        <v>443600</v>
      </c>
      <c r="S393" s="47">
        <f t="shared" ref="S393" si="713">S1026</f>
        <v>457000</v>
      </c>
    </row>
    <row r="394" spans="1:23" x14ac:dyDescent="0.2">
      <c r="A394" s="54">
        <f>A1027</f>
        <v>138600</v>
      </c>
      <c r="B394" s="9">
        <f>B1027</f>
        <v>259700</v>
      </c>
      <c r="C394" s="136">
        <f>C1027</f>
        <v>240100</v>
      </c>
      <c r="D394" s="136">
        <f>D1027</f>
        <v>214100</v>
      </c>
      <c r="E394" s="134">
        <f t="shared" ref="E394" si="714">E1027</f>
        <v>188800</v>
      </c>
      <c r="F394" s="1152">
        <v>26100</v>
      </c>
      <c r="G394" s="79" t="s">
        <v>4440</v>
      </c>
      <c r="H394" s="9">
        <f t="shared" ref="H394:O394" si="715">H1027</f>
        <v>157300</v>
      </c>
      <c r="I394" s="85">
        <f>IF(E394=H394,0,IF(E394=0,100,(H394-E394)/E394*100))</f>
        <v>-16.684322033898304</v>
      </c>
      <c r="J394" s="9">
        <f t="shared" si="715"/>
        <v>129100</v>
      </c>
      <c r="K394" s="9">
        <f t="shared" si="715"/>
        <v>99700</v>
      </c>
      <c r="L394" s="9">
        <f t="shared" si="715"/>
        <v>69100</v>
      </c>
      <c r="M394" s="9">
        <f t="shared" si="715"/>
        <v>37300</v>
      </c>
      <c r="N394" s="9">
        <f t="shared" si="715"/>
        <v>6300</v>
      </c>
      <c r="O394" s="9">
        <f t="shared" si="715"/>
        <v>0</v>
      </c>
      <c r="P394" s="9">
        <f t="shared" ref="P394:Q394" si="716">P1027</f>
        <v>0</v>
      </c>
      <c r="Q394" s="9">
        <f t="shared" si="716"/>
        <v>0</v>
      </c>
      <c r="R394" s="9">
        <f t="shared" ref="R394" si="717">R1027</f>
        <v>0</v>
      </c>
      <c r="S394" s="47">
        <f t="shared" ref="S394" si="718">S1027</f>
        <v>0</v>
      </c>
    </row>
    <row r="395" spans="1:23" x14ac:dyDescent="0.2">
      <c r="A395" s="54"/>
      <c r="B395" s="9"/>
      <c r="C395" s="136"/>
      <c r="D395" s="136"/>
      <c r="E395" s="134"/>
      <c r="F395" s="1152"/>
      <c r="G395" s="79"/>
      <c r="H395" s="9"/>
      <c r="I395" s="85"/>
      <c r="J395" s="9"/>
      <c r="K395" s="9"/>
      <c r="L395" s="9"/>
      <c r="M395" s="9"/>
      <c r="N395" s="9"/>
      <c r="O395" s="9"/>
      <c r="P395" s="9"/>
      <c r="Q395" s="9"/>
      <c r="R395" s="9"/>
      <c r="S395" s="47"/>
    </row>
    <row r="396" spans="1:23" x14ac:dyDescent="0.2">
      <c r="A396" s="54"/>
      <c r="B396" s="9"/>
      <c r="C396" s="136"/>
      <c r="D396" s="136"/>
      <c r="E396" s="134"/>
      <c r="F396" s="1152"/>
      <c r="G396" s="63" t="s">
        <v>420</v>
      </c>
      <c r="H396" s="9"/>
      <c r="I396" s="85"/>
      <c r="J396" s="9"/>
      <c r="K396" s="9"/>
      <c r="L396" s="9"/>
      <c r="M396" s="9"/>
      <c r="N396" s="9"/>
      <c r="O396" s="9"/>
      <c r="P396" s="9"/>
      <c r="Q396" s="9"/>
      <c r="R396" s="9"/>
      <c r="S396" s="47"/>
    </row>
    <row r="397" spans="1:23" x14ac:dyDescent="0.2">
      <c r="A397" s="54">
        <f t="shared" ref="A397:B397" si="719">A1041</f>
        <v>23300</v>
      </c>
      <c r="B397" s="9">
        <f t="shared" si="719"/>
        <v>29100</v>
      </c>
      <c r="C397" s="136">
        <f>C1041</f>
        <v>21300</v>
      </c>
      <c r="D397" s="136">
        <f>D1041</f>
        <v>31500</v>
      </c>
      <c r="E397" s="134">
        <f t="shared" ref="E397" si="720">E1041</f>
        <v>34300</v>
      </c>
      <c r="F397" s="1152">
        <v>26100</v>
      </c>
      <c r="G397" s="79" t="s">
        <v>2131</v>
      </c>
      <c r="H397" s="9">
        <f t="shared" ref="H397:O397" si="721">H1041</f>
        <v>25000</v>
      </c>
      <c r="I397" s="85">
        <f>IF(E397=H397,0,IF(E397=0,100,(H397-E397)/E397*100))</f>
        <v>-27.113702623906704</v>
      </c>
      <c r="J397" s="9">
        <f t="shared" si="721"/>
        <v>25800</v>
      </c>
      <c r="K397" s="9">
        <f t="shared" si="721"/>
        <v>26600</v>
      </c>
      <c r="L397" s="9">
        <f t="shared" si="721"/>
        <v>27400</v>
      </c>
      <c r="M397" s="9">
        <f t="shared" si="721"/>
        <v>28300</v>
      </c>
      <c r="N397" s="9">
        <f t="shared" si="721"/>
        <v>29200</v>
      </c>
      <c r="O397" s="9">
        <f t="shared" si="721"/>
        <v>30100</v>
      </c>
      <c r="P397" s="9">
        <f t="shared" ref="P397:Q397" si="722">P1041</f>
        <v>31100</v>
      </c>
      <c r="Q397" s="9">
        <f t="shared" si="722"/>
        <v>32100</v>
      </c>
      <c r="R397" s="9">
        <f t="shared" ref="R397" si="723">R1041</f>
        <v>33100</v>
      </c>
      <c r="S397" s="47">
        <f t="shared" ref="S397" si="724">S1041</f>
        <v>34100</v>
      </c>
    </row>
    <row r="398" spans="1:23" x14ac:dyDescent="0.2">
      <c r="A398" s="54"/>
      <c r="B398" s="9"/>
      <c r="C398" s="136"/>
      <c r="D398" s="136"/>
      <c r="E398" s="134"/>
      <c r="F398" s="1152"/>
      <c r="G398" s="79"/>
      <c r="H398" s="9"/>
      <c r="I398" s="85"/>
      <c r="J398" s="9"/>
      <c r="K398" s="9"/>
      <c r="L398" s="9"/>
      <c r="M398" s="9"/>
      <c r="N398" s="9"/>
      <c r="O398" s="9"/>
      <c r="P398" s="9"/>
      <c r="Q398" s="9"/>
      <c r="R398" s="9"/>
      <c r="S398" s="47"/>
    </row>
    <row r="399" spans="1:23" ht="13.5" thickBot="1" x14ac:dyDescent="0.25">
      <c r="A399" s="54"/>
      <c r="B399" s="9"/>
      <c r="C399" s="85"/>
      <c r="D399" s="136"/>
      <c r="E399" s="134"/>
      <c r="F399" s="1152"/>
      <c r="G399" s="79"/>
      <c r="H399" s="9"/>
      <c r="I399" s="85"/>
      <c r="J399" s="9"/>
      <c r="K399" s="9"/>
      <c r="L399" s="9"/>
      <c r="M399" s="9"/>
      <c r="N399" s="9"/>
      <c r="O399" s="9"/>
      <c r="P399" s="9"/>
      <c r="Q399" s="9"/>
      <c r="R399" s="9"/>
      <c r="S399" s="47"/>
    </row>
    <row r="400" spans="1:23" s="39" customFormat="1" x14ac:dyDescent="0.2">
      <c r="A400" s="52">
        <f>SUM(A381:A397)</f>
        <v>4005300</v>
      </c>
      <c r="B400" s="16">
        <f>SUM(B381:B397)</f>
        <v>4617800</v>
      </c>
      <c r="C400" s="145">
        <f>SUM(C381:C397)</f>
        <v>4709700</v>
      </c>
      <c r="D400" s="137">
        <f>SUM(D381:D397)</f>
        <v>5111900</v>
      </c>
      <c r="E400" s="145">
        <f>SUM(E381:E397)</f>
        <v>5780100</v>
      </c>
      <c r="F400" s="163"/>
      <c r="G400" s="267" t="s">
        <v>2561</v>
      </c>
      <c r="H400" s="16">
        <f t="shared" ref="H400:R400" si="725">SUM(H381:H397)</f>
        <v>6096400</v>
      </c>
      <c r="I400" s="127">
        <f>IF(E400=H400,0,IF(E400=0,100,(H400-E400)/E400*100))</f>
        <v>5.4722236639504507</v>
      </c>
      <c r="J400" s="16">
        <f t="shared" si="725"/>
        <v>6325900</v>
      </c>
      <c r="K400" s="16">
        <f t="shared" si="725"/>
        <v>6438600</v>
      </c>
      <c r="L400" s="16">
        <f t="shared" si="725"/>
        <v>6562900</v>
      </c>
      <c r="M400" s="16">
        <f t="shared" si="725"/>
        <v>6662700</v>
      </c>
      <c r="N400" s="16">
        <f t="shared" si="725"/>
        <v>6770500</v>
      </c>
      <c r="O400" s="16">
        <f t="shared" si="725"/>
        <v>6904000</v>
      </c>
      <c r="P400" s="16">
        <f t="shared" si="725"/>
        <v>7049800</v>
      </c>
      <c r="Q400" s="16">
        <f t="shared" si="725"/>
        <v>7196400</v>
      </c>
      <c r="R400" s="16">
        <f t="shared" si="725"/>
        <v>7349300</v>
      </c>
      <c r="S400" s="2342">
        <f t="shared" ref="S400" si="726">SUM(S381:S397)</f>
        <v>7491100</v>
      </c>
      <c r="U400" s="34"/>
      <c r="W400" s="34"/>
    </row>
    <row r="401" spans="1:19" x14ac:dyDescent="0.2">
      <c r="A401" s="45"/>
      <c r="B401" s="9"/>
      <c r="C401" s="134"/>
      <c r="D401" s="136"/>
      <c r="E401" s="134"/>
      <c r="F401" s="1152"/>
      <c r="G401" s="21"/>
      <c r="H401" s="9"/>
      <c r="I401" s="85"/>
      <c r="J401" s="9"/>
      <c r="K401" s="9"/>
      <c r="L401" s="9"/>
      <c r="M401" s="9"/>
      <c r="N401" s="9"/>
      <c r="O401" s="9"/>
      <c r="P401" s="9"/>
      <c r="Q401" s="9"/>
      <c r="R401" s="9"/>
      <c r="S401" s="47"/>
    </row>
    <row r="402" spans="1:19" x14ac:dyDescent="0.2">
      <c r="A402" s="45"/>
      <c r="B402" s="9"/>
      <c r="C402" s="134"/>
      <c r="D402" s="136"/>
      <c r="E402" s="134"/>
      <c r="F402" s="1152"/>
      <c r="G402" s="256" t="s">
        <v>2169</v>
      </c>
      <c r="H402" s="9"/>
      <c r="I402" s="85"/>
      <c r="J402" s="9"/>
      <c r="K402" s="9"/>
      <c r="L402" s="9"/>
      <c r="M402" s="9"/>
      <c r="N402" s="9"/>
      <c r="O402" s="9"/>
      <c r="P402" s="9"/>
      <c r="Q402" s="9"/>
      <c r="R402" s="9"/>
      <c r="S402" s="47"/>
    </row>
    <row r="403" spans="1:19" ht="13.5" customHeight="1" x14ac:dyDescent="0.2">
      <c r="A403" s="45"/>
      <c r="B403" s="9"/>
      <c r="C403" s="136"/>
      <c r="D403" s="136"/>
      <c r="E403" s="134"/>
      <c r="F403" s="1152"/>
      <c r="G403" s="257"/>
      <c r="H403" s="9"/>
      <c r="I403" s="85"/>
      <c r="J403" s="9"/>
      <c r="K403" s="9"/>
      <c r="L403" s="9"/>
      <c r="M403" s="9"/>
      <c r="N403" s="9"/>
      <c r="O403" s="9"/>
      <c r="P403" s="9"/>
      <c r="Q403" s="9"/>
      <c r="R403" s="9"/>
      <c r="S403" s="47"/>
    </row>
    <row r="404" spans="1:19" ht="13.5" customHeight="1" x14ac:dyDescent="0.2">
      <c r="A404" s="45"/>
      <c r="B404" s="9"/>
      <c r="C404" s="136"/>
      <c r="D404" s="136"/>
      <c r="E404" s="134"/>
      <c r="F404" s="1152"/>
      <c r="G404" s="260" t="s">
        <v>1393</v>
      </c>
      <c r="H404" s="9"/>
      <c r="I404" s="85"/>
      <c r="J404" s="9"/>
      <c r="K404" s="9"/>
      <c r="L404" s="9"/>
      <c r="M404" s="9"/>
      <c r="N404" s="9"/>
      <c r="O404" s="9"/>
      <c r="P404" s="9"/>
      <c r="Q404" s="9"/>
      <c r="R404" s="9"/>
      <c r="S404" s="47"/>
    </row>
    <row r="405" spans="1:19" ht="13.5" customHeight="1" x14ac:dyDescent="0.2">
      <c r="A405" s="54">
        <f>ROUND(SUM(GM!A1047:A1051),-3)</f>
        <v>519000</v>
      </c>
      <c r="B405" s="9">
        <f>SUM(GM!B1047:B1051)</f>
        <v>500300</v>
      </c>
      <c r="C405" s="136">
        <f>SUM(GM!C1047:C1051)</f>
        <v>519600</v>
      </c>
      <c r="D405" s="136">
        <f>SUM(GM!D1047:D1051)</f>
        <v>514500</v>
      </c>
      <c r="E405" s="134">
        <f>SUM(GM!E1047:E1051)</f>
        <v>523400</v>
      </c>
      <c r="F405" s="1152">
        <v>35120</v>
      </c>
      <c r="G405" s="257" t="s">
        <v>1228</v>
      </c>
      <c r="H405" s="9">
        <f>SUM(GM!H1047:H1051)</f>
        <v>483000</v>
      </c>
      <c r="I405" s="85">
        <f>IF(E405=H405,0,IF(E405=0,100,(H405-E405)/E405*100))</f>
        <v>-7.7187619411539927</v>
      </c>
      <c r="J405" s="9">
        <f>SUM(GM!J1047:J1051)</f>
        <v>603500</v>
      </c>
      <c r="K405" s="9">
        <f>SUM(GM!K1047:K1051)</f>
        <v>617500</v>
      </c>
      <c r="L405" s="9">
        <f>SUM(GM!L1047:L1051)</f>
        <v>631800</v>
      </c>
      <c r="M405" s="9">
        <f>SUM(GM!M1047:M1051)</f>
        <v>646500</v>
      </c>
      <c r="N405" s="9">
        <f>SUM(GM!N1047:N1051)</f>
        <v>661500</v>
      </c>
      <c r="O405" s="9">
        <f>SUM(GM!O1047:O1051)</f>
        <v>676800</v>
      </c>
      <c r="P405" s="9">
        <f>SUM(GM!P1047:P1051)</f>
        <v>692500</v>
      </c>
      <c r="Q405" s="9">
        <f>SUM(GM!Q1047:Q1051)</f>
        <v>708500</v>
      </c>
      <c r="R405" s="9">
        <f>SUM(GM!R1047:R1051)</f>
        <v>725000</v>
      </c>
      <c r="S405" s="47">
        <f>SUM(GM!S1047:S1051)</f>
        <v>741800</v>
      </c>
    </row>
    <row r="406" spans="1:19" ht="13.5" customHeight="1" x14ac:dyDescent="0.2">
      <c r="A406" s="54">
        <f>ROUND(SUM(GM!A1052:A1055),-3)</f>
        <v>307000</v>
      </c>
      <c r="B406" s="9">
        <f>SUM(GM!B1052:B1055)</f>
        <v>269300</v>
      </c>
      <c r="C406" s="136">
        <f>SUM(GM!C1052:C1055)</f>
        <v>247700</v>
      </c>
      <c r="D406" s="136">
        <f>SUM(GM!D1052:D1055)</f>
        <v>270500</v>
      </c>
      <c r="E406" s="134">
        <f>SUM(GM!E1052:E1055)</f>
        <v>268600</v>
      </c>
      <c r="F406" s="1152">
        <v>35120</v>
      </c>
      <c r="G406" s="634" t="s">
        <v>6797</v>
      </c>
      <c r="H406" s="9">
        <f>SUM(GM!H1052:H1055)</f>
        <v>283000</v>
      </c>
      <c r="I406" s="85">
        <f>IF(E406=H406,0,IF(E406=0,100,(H406-E406)/E406*100))</f>
        <v>5.3611317944899479</v>
      </c>
      <c r="J406" s="9">
        <f>SUM(GM!J1052:J1055)</f>
        <v>305600</v>
      </c>
      <c r="K406" s="9">
        <f>SUM(GM!K1052:K1055)</f>
        <v>313200</v>
      </c>
      <c r="L406" s="9">
        <f>SUM(GM!L1052:L1055)</f>
        <v>322100</v>
      </c>
      <c r="M406" s="9">
        <f>SUM(GM!M1052:M1055)</f>
        <v>320300</v>
      </c>
      <c r="N406" s="9">
        <f>SUM(GM!N1052:N1055)</f>
        <v>329200</v>
      </c>
      <c r="O406" s="9">
        <f>SUM(GM!O1052:O1055)</f>
        <v>338300</v>
      </c>
      <c r="P406" s="9">
        <f>SUM(GM!P1052:P1055)</f>
        <v>346800</v>
      </c>
      <c r="Q406" s="9">
        <f>SUM(GM!Q1052:Q1055)</f>
        <v>355500</v>
      </c>
      <c r="R406" s="9">
        <f>SUM(GM!R1052:R1055)</f>
        <v>364400</v>
      </c>
      <c r="S406" s="47">
        <f>SUM(GM!S1052:S1055)</f>
        <v>373400</v>
      </c>
    </row>
    <row r="407" spans="1:19" ht="13.5" customHeight="1" x14ac:dyDescent="0.2">
      <c r="A407" s="54">
        <f>ROUND(A1073,-3)</f>
        <v>758000</v>
      </c>
      <c r="B407" s="9">
        <f>B1073</f>
        <v>901700</v>
      </c>
      <c r="C407" s="136">
        <f>C1073</f>
        <v>955600</v>
      </c>
      <c r="D407" s="136">
        <f>D1073</f>
        <v>999200</v>
      </c>
      <c r="E407" s="134">
        <f t="shared" ref="E407" si="727">E1073</f>
        <v>1051800</v>
      </c>
      <c r="F407" s="1152">
        <v>35125</v>
      </c>
      <c r="G407" s="257" t="s">
        <v>2153</v>
      </c>
      <c r="H407" s="9">
        <f t="shared" ref="H407:O407" si="728">H1073</f>
        <v>1244000</v>
      </c>
      <c r="I407" s="85">
        <f>IF(E407=H407,0,IF(E407=0,100,(H407-E407)/E407*100))</f>
        <v>18.273436014451416</v>
      </c>
      <c r="J407" s="9">
        <f t="shared" si="728"/>
        <v>1247000</v>
      </c>
      <c r="K407" s="9">
        <f t="shared" si="728"/>
        <v>1284000</v>
      </c>
      <c r="L407" s="9">
        <f t="shared" si="728"/>
        <v>1323000</v>
      </c>
      <c r="M407" s="9">
        <f t="shared" si="728"/>
        <v>1363000</v>
      </c>
      <c r="N407" s="9">
        <f t="shared" si="728"/>
        <v>1403000</v>
      </c>
      <c r="O407" s="9">
        <f t="shared" si="728"/>
        <v>1446000</v>
      </c>
      <c r="P407" s="9">
        <f t="shared" ref="P407:Q407" si="729">P1073</f>
        <v>1489000</v>
      </c>
      <c r="Q407" s="9">
        <f t="shared" si="729"/>
        <v>1534000</v>
      </c>
      <c r="R407" s="9">
        <f t="shared" ref="R407" si="730">R1073</f>
        <v>1580000</v>
      </c>
      <c r="S407" s="47">
        <f t="shared" ref="S407" si="731">S1073</f>
        <v>1627000</v>
      </c>
    </row>
    <row r="408" spans="1:19" ht="13.5" customHeight="1" x14ac:dyDescent="0.2">
      <c r="A408" s="54">
        <f>ROUND(SUM(A1064:A1099)-A407,-3)+1000</f>
        <v>937000</v>
      </c>
      <c r="B408" s="9">
        <f>SUM(B1064:B1099)-B407</f>
        <v>1049000</v>
      </c>
      <c r="C408" s="136">
        <f>SUM(C1064:C1099)-C407</f>
        <v>1065000</v>
      </c>
      <c r="D408" s="136">
        <f>SUM(D1064:D1099)-D407</f>
        <v>1100800</v>
      </c>
      <c r="E408" s="134">
        <f>SUM(E1064:E1100)-E407</f>
        <v>1506700</v>
      </c>
      <c r="F408" s="1152">
        <v>35125</v>
      </c>
      <c r="G408" s="257" t="s">
        <v>658</v>
      </c>
      <c r="H408" s="9">
        <f>SUM(H1064:H1100)-H407</f>
        <v>1642800</v>
      </c>
      <c r="I408" s="85">
        <f>IF(E408=H408,0,IF(E408=0,100,(H408-E408)/E408*100))</f>
        <v>9.0329859958850474</v>
      </c>
      <c r="J408" s="9">
        <f t="shared" ref="J408:S408" si="732">SUM(J1064:J1100)-J407</f>
        <v>1656100</v>
      </c>
      <c r="K408" s="9">
        <f t="shared" si="732"/>
        <v>1698800</v>
      </c>
      <c r="L408" s="9">
        <f t="shared" si="732"/>
        <v>1741300</v>
      </c>
      <c r="M408" s="9">
        <f t="shared" si="732"/>
        <v>1784900</v>
      </c>
      <c r="N408" s="9">
        <f t="shared" si="732"/>
        <v>1829400</v>
      </c>
      <c r="O408" s="9">
        <f t="shared" si="732"/>
        <v>1875200</v>
      </c>
      <c r="P408" s="9">
        <f t="shared" si="732"/>
        <v>1921900</v>
      </c>
      <c r="Q408" s="9">
        <f t="shared" si="732"/>
        <v>1969700</v>
      </c>
      <c r="R408" s="9">
        <f t="shared" si="732"/>
        <v>2018400</v>
      </c>
      <c r="S408" s="47">
        <f t="shared" si="732"/>
        <v>2068800</v>
      </c>
    </row>
    <row r="409" spans="1:19" ht="13.5" customHeight="1" x14ac:dyDescent="0.2">
      <c r="A409" s="54"/>
      <c r="B409" s="9"/>
      <c r="C409" s="136"/>
      <c r="D409" s="136"/>
      <c r="E409" s="134"/>
      <c r="F409" s="1152"/>
      <c r="G409" s="257"/>
      <c r="H409" s="9"/>
      <c r="I409" s="85"/>
      <c r="J409" s="9"/>
      <c r="K409" s="9"/>
      <c r="L409" s="9"/>
      <c r="M409" s="9"/>
      <c r="N409" s="9"/>
      <c r="O409" s="9"/>
      <c r="P409" s="9"/>
      <c r="Q409" s="9"/>
      <c r="R409" s="9"/>
      <c r="S409" s="47"/>
    </row>
    <row r="410" spans="1:19" ht="13.5" customHeight="1" x14ac:dyDescent="0.2">
      <c r="A410" s="54"/>
      <c r="B410" s="9"/>
      <c r="C410" s="136"/>
      <c r="D410" s="136"/>
      <c r="E410" s="134"/>
      <c r="F410" s="1152"/>
      <c r="G410" s="260" t="s">
        <v>2240</v>
      </c>
      <c r="H410" s="9"/>
      <c r="I410" s="85"/>
      <c r="J410" s="9"/>
      <c r="K410" s="9"/>
      <c r="L410" s="9"/>
      <c r="M410" s="9"/>
      <c r="N410" s="9"/>
      <c r="O410" s="9"/>
      <c r="P410" s="9"/>
      <c r="Q410" s="9"/>
      <c r="R410" s="9"/>
      <c r="S410" s="47"/>
    </row>
    <row r="411" spans="1:19" ht="13.5" customHeight="1" x14ac:dyDescent="0.2">
      <c r="A411" s="54">
        <f>ROUND(SUM(GM!A1101:A1102),-3)</f>
        <v>280000</v>
      </c>
      <c r="B411" s="9">
        <f>SUM(GM!B1101:B1102)</f>
        <v>294000</v>
      </c>
      <c r="C411" s="136">
        <f>SUM(GM!C1101:C1102)</f>
        <v>302000</v>
      </c>
      <c r="D411" s="136">
        <f>SUM(GM!D1101:D1102)</f>
        <v>325000</v>
      </c>
      <c r="E411" s="134">
        <f>SUM(GM!E1101:E1102)</f>
        <v>378000</v>
      </c>
      <c r="F411" s="1152">
        <v>35120</v>
      </c>
      <c r="G411" s="257" t="s">
        <v>399</v>
      </c>
      <c r="H411" s="9">
        <f>SUM(GM!H1101:H1102)</f>
        <v>410000</v>
      </c>
      <c r="I411" s="85">
        <f>IF(E411=H411,0,IF(E411=0,100,(H411-E411)/E411*100))</f>
        <v>8.4656084656084651</v>
      </c>
      <c r="J411" s="9">
        <f>SUM(GM!J1101:J1102)</f>
        <v>419400</v>
      </c>
      <c r="K411" s="9">
        <f>SUM(GM!K1101:K1102)</f>
        <v>429900</v>
      </c>
      <c r="L411" s="9">
        <f>SUM(GM!L1101:L1102)</f>
        <v>440600</v>
      </c>
      <c r="M411" s="9">
        <f>SUM(GM!M1101:M1102)</f>
        <v>451600</v>
      </c>
      <c r="N411" s="9">
        <f>SUM(GM!N1101:N1102)</f>
        <v>462900</v>
      </c>
      <c r="O411" s="9">
        <f>SUM(GM!O1101:O1102)</f>
        <v>474500</v>
      </c>
      <c r="P411" s="9">
        <f>SUM(GM!P1101:P1102)</f>
        <v>486400</v>
      </c>
      <c r="Q411" s="9">
        <f>SUM(GM!Q1101:Q1102)</f>
        <v>498600</v>
      </c>
      <c r="R411" s="9">
        <f>SUM(GM!R1101:R1102)</f>
        <v>511100</v>
      </c>
      <c r="S411" s="47">
        <f>SUM(GM!S1101:S1102)</f>
        <v>523900</v>
      </c>
    </row>
    <row r="412" spans="1:19" ht="13.5" customHeight="1" x14ac:dyDescent="0.2">
      <c r="A412" s="54"/>
      <c r="B412" s="9"/>
      <c r="C412" s="136"/>
      <c r="D412" s="136"/>
      <c r="E412" s="134"/>
      <c r="F412" s="1152"/>
      <c r="G412" s="257"/>
      <c r="H412" s="9"/>
      <c r="I412" s="85"/>
      <c r="J412" s="9"/>
      <c r="K412" s="9"/>
      <c r="L412" s="9"/>
      <c r="M412" s="9"/>
      <c r="N412" s="9"/>
      <c r="O412" s="9"/>
      <c r="P412" s="9"/>
      <c r="Q412" s="9"/>
      <c r="R412" s="9"/>
      <c r="S412" s="47"/>
    </row>
    <row r="413" spans="1:19" ht="13.5" customHeight="1" x14ac:dyDescent="0.2">
      <c r="A413" s="54"/>
      <c r="B413" s="9"/>
      <c r="C413" s="136"/>
      <c r="D413" s="136"/>
      <c r="E413" s="134"/>
      <c r="F413" s="1152"/>
      <c r="G413" s="260" t="s">
        <v>1112</v>
      </c>
      <c r="H413" s="9"/>
      <c r="I413" s="85"/>
      <c r="J413" s="9"/>
      <c r="K413" s="9"/>
      <c r="L413" s="9"/>
      <c r="M413" s="9"/>
      <c r="N413" s="9"/>
      <c r="O413" s="9"/>
      <c r="P413" s="9"/>
      <c r="Q413" s="9"/>
      <c r="R413" s="9"/>
      <c r="S413" s="47"/>
    </row>
    <row r="414" spans="1:19" ht="13.5" customHeight="1" x14ac:dyDescent="0.2">
      <c r="A414" s="54">
        <f>ROUND(SUM(GM!A1103:A1103),-3)</f>
        <v>424000</v>
      </c>
      <c r="B414" s="9">
        <f>SUM(GM!B1103:B1103)</f>
        <v>554100</v>
      </c>
      <c r="C414" s="136">
        <f>SUM(GM!C1103:C1103)</f>
        <v>502300</v>
      </c>
      <c r="D414" s="136">
        <f>SUM(GM!D1103:D1103)</f>
        <v>473000</v>
      </c>
      <c r="E414" s="134">
        <f>SUM(GM!E1103:E1103)</f>
        <v>422600</v>
      </c>
      <c r="F414" s="1152">
        <v>35150</v>
      </c>
      <c r="G414" s="257" t="s">
        <v>1343</v>
      </c>
      <c r="H414" s="9">
        <f>SUM(GM!H1103:H1103)</f>
        <v>428500</v>
      </c>
      <c r="I414" s="85">
        <f>IF(E414=H414,0,IF(E414=0,100,(H414-E414)/E414*100))</f>
        <v>1.3961192617132039</v>
      </c>
      <c r="J414" s="9">
        <f>SUM(GM!J1103:J1103)</f>
        <v>427700</v>
      </c>
      <c r="K414" s="9">
        <f>SUM(GM!K1103:K1103)</f>
        <v>359400</v>
      </c>
      <c r="L414" s="9">
        <f>SUM(GM!L1103:L1103)</f>
        <v>286500</v>
      </c>
      <c r="M414" s="9">
        <f>SUM(GM!M1103:M1103)</f>
        <v>211700</v>
      </c>
      <c r="N414" s="9">
        <f>SUM(GM!N1103:N1103)</f>
        <v>136800</v>
      </c>
      <c r="O414" s="9">
        <f>SUM(GM!O1103:O1103)</f>
        <v>99500</v>
      </c>
      <c r="P414" s="9">
        <f>SUM(GM!P1103:P1103)</f>
        <v>82500</v>
      </c>
      <c r="Q414" s="9">
        <f>SUM(GM!Q1103:Q1103)</f>
        <v>73500</v>
      </c>
      <c r="R414" s="9">
        <f>SUM(GM!R1103:R1103)</f>
        <v>64000</v>
      </c>
      <c r="S414" s="47">
        <f>SUM(GM!S1103:S1103)</f>
        <v>55000</v>
      </c>
    </row>
    <row r="415" spans="1:19" x14ac:dyDescent="0.2">
      <c r="A415" s="54"/>
      <c r="B415" s="9"/>
      <c r="C415" s="136"/>
      <c r="D415" s="136"/>
      <c r="E415" s="134"/>
      <c r="F415" s="1152"/>
      <c r="G415" s="257"/>
      <c r="H415" s="9"/>
      <c r="I415" s="85"/>
      <c r="J415" s="9"/>
      <c r="K415" s="9"/>
      <c r="L415" s="9"/>
      <c r="M415" s="9"/>
      <c r="N415" s="9"/>
      <c r="O415" s="9"/>
      <c r="P415" s="9"/>
      <c r="Q415" s="9"/>
      <c r="R415" s="9"/>
      <c r="S415" s="47"/>
    </row>
    <row r="416" spans="1:19" x14ac:dyDescent="0.2">
      <c r="A416" s="54"/>
      <c r="B416" s="9"/>
      <c r="C416" s="136"/>
      <c r="D416" s="136"/>
      <c r="E416" s="134"/>
      <c r="F416" s="1152"/>
      <c r="G416" s="260" t="str">
        <f>CIV!G101</f>
        <v>Non-Cash Expenses</v>
      </c>
      <c r="H416" s="9"/>
      <c r="I416" s="85"/>
      <c r="J416" s="9"/>
      <c r="K416" s="9"/>
      <c r="L416" s="9"/>
      <c r="M416" s="9"/>
      <c r="N416" s="9"/>
      <c r="O416" s="9"/>
      <c r="P416" s="9"/>
      <c r="Q416" s="9"/>
      <c r="R416" s="9"/>
      <c r="S416" s="47"/>
    </row>
    <row r="417" spans="1:23" x14ac:dyDescent="0.2">
      <c r="A417" s="54">
        <f>ROUND(SUM(GM!A1104:A1105),-2)</f>
        <v>831200</v>
      </c>
      <c r="B417" s="9">
        <f>SUM(GM!B1104:B1105)</f>
        <v>760600</v>
      </c>
      <c r="C417" s="136">
        <f>SUM(GM!C1104:C1105)</f>
        <v>770700</v>
      </c>
      <c r="D417" s="136">
        <f>SUM(GM!D1104:D1105)</f>
        <v>830400</v>
      </c>
      <c r="E417" s="134">
        <f>SUM(GM!E1104:E1105)</f>
        <v>220500</v>
      </c>
      <c r="F417" s="1152">
        <v>35150</v>
      </c>
      <c r="G417" s="9" t="s">
        <v>1912</v>
      </c>
      <c r="H417" s="9">
        <f>SUM(GM!H1104:H1105)</f>
        <v>999000</v>
      </c>
      <c r="I417" s="85">
        <f>IF(E417=H417,0,IF(E417=0,100,(H417-E417)/E417*100))</f>
        <v>353.0612244897959</v>
      </c>
      <c r="J417" s="9">
        <f>SUM(GM!J1104:J1105)</f>
        <v>1030000</v>
      </c>
      <c r="K417" s="9">
        <f>SUM(GM!K1104:K1105)</f>
        <v>1062000</v>
      </c>
      <c r="L417" s="9">
        <f>SUM(GM!L1104:L1105)</f>
        <v>1083200</v>
      </c>
      <c r="M417" s="9">
        <f>SUM(GM!M1104:M1105)</f>
        <v>1104900</v>
      </c>
      <c r="N417" s="9">
        <f>SUM(GM!N1104:N1105)</f>
        <v>1127000</v>
      </c>
      <c r="O417" s="9">
        <f>SUM(GM!O1104:O1105)</f>
        <v>1149500</v>
      </c>
      <c r="P417" s="9">
        <f>SUM(GM!P1104:P1105)</f>
        <v>1172500</v>
      </c>
      <c r="Q417" s="9">
        <f>SUM(GM!Q1104:Q1105)</f>
        <v>1196000</v>
      </c>
      <c r="R417" s="9">
        <f>SUM(GM!R1104:R1105)</f>
        <v>1219900</v>
      </c>
      <c r="S417" s="47">
        <f>SUM(GM!S1104:S1105)</f>
        <v>1244300</v>
      </c>
    </row>
    <row r="418" spans="1:23" x14ac:dyDescent="0.2">
      <c r="A418" s="54">
        <f>ROUND(SUM(GM!A1106:A1106),-3)</f>
        <v>0</v>
      </c>
      <c r="B418" s="9">
        <f>SUM(GM!B1106:B1106)</f>
        <v>2075400</v>
      </c>
      <c r="C418" s="136">
        <f>SUM(GM!C1106:C1106)</f>
        <v>0</v>
      </c>
      <c r="D418" s="136">
        <f>SUM(GM!D1106:D1106)</f>
        <v>0</v>
      </c>
      <c r="E418" s="134">
        <f>SUM(GM!E1106:E1106)</f>
        <v>0</v>
      </c>
      <c r="F418" s="1152">
        <v>35120</v>
      </c>
      <c r="G418" s="79" t="s">
        <v>4427</v>
      </c>
      <c r="H418" s="9">
        <f>SUM(GM!H1106:H1106)</f>
        <v>0</v>
      </c>
      <c r="I418" s="85">
        <f>IF(E418=H418,0,IF(E418=0,100,(H418-E418)/E418*100))</f>
        <v>0</v>
      </c>
      <c r="J418" s="9">
        <f>SUM(GM!J1106:J1106)</f>
        <v>0</v>
      </c>
      <c r="K418" s="9">
        <f>SUM(GM!K1106:K1106)</f>
        <v>0</v>
      </c>
      <c r="L418" s="9">
        <f>SUM(GM!L1106:L1106)</f>
        <v>0</v>
      </c>
      <c r="M418" s="9">
        <f>SUM(GM!M1106:M1106)</f>
        <v>0</v>
      </c>
      <c r="N418" s="9">
        <f>SUM(GM!N1106:N1106)</f>
        <v>0</v>
      </c>
      <c r="O418" s="9">
        <f>SUM(GM!O1106:O1106)</f>
        <v>0</v>
      </c>
      <c r="P418" s="9">
        <f>SUM(GM!P1106:P1106)</f>
        <v>0</v>
      </c>
      <c r="Q418" s="9">
        <f>SUM(GM!Q1106:Q1106)</f>
        <v>0</v>
      </c>
      <c r="R418" s="9">
        <f>SUM(GM!R1106:R1106)</f>
        <v>0</v>
      </c>
      <c r="S418" s="47">
        <f>SUM(GM!S1106:S1106)</f>
        <v>0</v>
      </c>
    </row>
    <row r="419" spans="1:23" ht="13.5" thickBot="1" x14ac:dyDescent="0.25">
      <c r="A419" s="54"/>
      <c r="B419" s="9"/>
      <c r="C419" s="136"/>
      <c r="D419" s="134"/>
      <c r="E419" s="134"/>
      <c r="F419" s="1152"/>
      <c r="G419" s="9"/>
      <c r="H419" s="9"/>
      <c r="I419" s="85"/>
      <c r="J419" s="9"/>
      <c r="K419" s="9"/>
      <c r="L419" s="9"/>
      <c r="M419" s="9"/>
      <c r="N419" s="9"/>
      <c r="O419" s="9"/>
      <c r="P419" s="9"/>
      <c r="Q419" s="9"/>
      <c r="R419" s="9"/>
      <c r="S419" s="47"/>
    </row>
    <row r="420" spans="1:23" s="39" customFormat="1" x14ac:dyDescent="0.2">
      <c r="A420" s="52">
        <f t="shared" ref="A420" si="733">SUBTOTAL(9,A403:A418)</f>
        <v>4056200</v>
      </c>
      <c r="B420" s="16">
        <f>SUBTOTAL(9,B403:B418)</f>
        <v>6404400</v>
      </c>
      <c r="C420" s="137">
        <f>SUBTOTAL(9,C403:C418)</f>
        <v>4362900</v>
      </c>
      <c r="D420" s="137">
        <f>SUBTOTAL(9,D403:D418)</f>
        <v>4513400</v>
      </c>
      <c r="E420" s="145">
        <f t="shared" ref="E420" si="734">SUBTOTAL(9,E403:E418)</f>
        <v>4371600</v>
      </c>
      <c r="F420" s="164"/>
      <c r="G420" s="267" t="s">
        <v>556</v>
      </c>
      <c r="H420" s="16">
        <f t="shared" ref="H420:O420" si="735">SUBTOTAL(9,H403:H418)</f>
        <v>5490300</v>
      </c>
      <c r="I420" s="127">
        <f>IF(E420=H420,0,IF(E420=0,100,(H420-E420)/E420*100))</f>
        <v>25.59017293439473</v>
      </c>
      <c r="J420" s="16">
        <f t="shared" si="735"/>
        <v>5689300</v>
      </c>
      <c r="K420" s="16">
        <f t="shared" si="735"/>
        <v>5764800</v>
      </c>
      <c r="L420" s="16">
        <f t="shared" si="735"/>
        <v>5828500</v>
      </c>
      <c r="M420" s="16">
        <f t="shared" si="735"/>
        <v>5882900</v>
      </c>
      <c r="N420" s="16">
        <f t="shared" si="735"/>
        <v>5949800</v>
      </c>
      <c r="O420" s="16">
        <f t="shared" si="735"/>
        <v>6059800</v>
      </c>
      <c r="P420" s="16">
        <f t="shared" ref="P420:Q420" si="736">SUBTOTAL(9,P403:P418)</f>
        <v>6191600</v>
      </c>
      <c r="Q420" s="16">
        <f t="shared" si="736"/>
        <v>6335800</v>
      </c>
      <c r="R420" s="16">
        <f t="shared" ref="R420" si="737">SUBTOTAL(9,R403:R418)</f>
        <v>6482800</v>
      </c>
      <c r="S420" s="2342">
        <f t="shared" ref="S420" si="738">SUBTOTAL(9,S403:S418)</f>
        <v>6634200</v>
      </c>
      <c r="U420" s="34"/>
      <c r="W420" s="34"/>
    </row>
    <row r="421" spans="1:23" x14ac:dyDescent="0.2">
      <c r="A421" s="54"/>
      <c r="B421" s="9"/>
      <c r="C421" s="136"/>
      <c r="D421" s="136"/>
      <c r="E421" s="134"/>
      <c r="F421" s="1153"/>
      <c r="G421" s="257"/>
      <c r="H421" s="9"/>
      <c r="I421" s="85"/>
      <c r="J421" s="9"/>
      <c r="K421" s="9"/>
      <c r="L421" s="9"/>
      <c r="M421" s="9"/>
      <c r="N421" s="9"/>
      <c r="O421" s="9"/>
      <c r="P421" s="9"/>
      <c r="Q421" s="9"/>
      <c r="R421" s="9"/>
      <c r="S421" s="47"/>
    </row>
    <row r="422" spans="1:23" s="39" customFormat="1" x14ac:dyDescent="0.2">
      <c r="A422" s="24">
        <f>A400-A420</f>
        <v>-50900</v>
      </c>
      <c r="B422" s="21">
        <f>B400-B420</f>
        <v>-1786600</v>
      </c>
      <c r="C422" s="139">
        <f>C400-C420</f>
        <v>346800</v>
      </c>
      <c r="D422" s="139">
        <f>D400-D420</f>
        <v>598500</v>
      </c>
      <c r="E422" s="138">
        <f t="shared" ref="E422" si="739">E400-E420</f>
        <v>1408500</v>
      </c>
      <c r="F422" s="164"/>
      <c r="G422" s="361" t="s">
        <v>1002</v>
      </c>
      <c r="H422" s="21">
        <f t="shared" ref="H422:O422" si="740">H400-H420</f>
        <v>606100</v>
      </c>
      <c r="I422" s="126">
        <f>IF(E422=H422,0,IF(E422=0,100,(H422-E422)/E422*100))</f>
        <v>-56.968406105786293</v>
      </c>
      <c r="J422" s="21">
        <f t="shared" si="740"/>
        <v>636600</v>
      </c>
      <c r="K422" s="21">
        <f t="shared" si="740"/>
        <v>673800</v>
      </c>
      <c r="L422" s="21">
        <f t="shared" si="740"/>
        <v>734400</v>
      </c>
      <c r="M422" s="21">
        <f t="shared" si="740"/>
        <v>779800</v>
      </c>
      <c r="N422" s="21">
        <f t="shared" si="740"/>
        <v>820700</v>
      </c>
      <c r="O422" s="21">
        <f t="shared" si="740"/>
        <v>844200</v>
      </c>
      <c r="P422" s="21">
        <f t="shared" ref="P422:Q422" si="741">P400-P420</f>
        <v>858200</v>
      </c>
      <c r="Q422" s="21">
        <f t="shared" si="741"/>
        <v>860600</v>
      </c>
      <c r="R422" s="21">
        <f t="shared" ref="R422" si="742">R400-R420</f>
        <v>866500</v>
      </c>
      <c r="S422" s="86">
        <f t="shared" ref="S422" si="743">S400-S420</f>
        <v>856900</v>
      </c>
      <c r="U422" s="34"/>
      <c r="W422" s="34"/>
    </row>
    <row r="423" spans="1:23" x14ac:dyDescent="0.2">
      <c r="A423" s="54">
        <f t="shared" ref="A423:B423" si="744">A417</f>
        <v>831200</v>
      </c>
      <c r="B423" s="9">
        <f t="shared" si="744"/>
        <v>760600</v>
      </c>
      <c r="C423" s="136">
        <f>C417</f>
        <v>770700</v>
      </c>
      <c r="D423" s="136">
        <f>D417</f>
        <v>830400</v>
      </c>
      <c r="E423" s="134">
        <f t="shared" ref="E423" si="745">E417</f>
        <v>220500</v>
      </c>
      <c r="F423" s="1153"/>
      <c r="G423" s="261" t="s">
        <v>1943</v>
      </c>
      <c r="H423" s="9">
        <f t="shared" ref="H423:O423" si="746">H417</f>
        <v>999000</v>
      </c>
      <c r="I423" s="85">
        <f>IF(E423=H423,0,IF(E423=0,100,(H423-E423)/E423*100))</f>
        <v>353.0612244897959</v>
      </c>
      <c r="J423" s="9">
        <f t="shared" si="746"/>
        <v>1030000</v>
      </c>
      <c r="K423" s="9">
        <f t="shared" si="746"/>
        <v>1062000</v>
      </c>
      <c r="L423" s="9">
        <f t="shared" si="746"/>
        <v>1083200</v>
      </c>
      <c r="M423" s="9">
        <f t="shared" si="746"/>
        <v>1104900</v>
      </c>
      <c r="N423" s="9">
        <f t="shared" si="746"/>
        <v>1127000</v>
      </c>
      <c r="O423" s="9">
        <f t="shared" si="746"/>
        <v>1149500</v>
      </c>
      <c r="P423" s="9">
        <f t="shared" ref="P423:Q423" si="747">P417</f>
        <v>1172500</v>
      </c>
      <c r="Q423" s="9">
        <f t="shared" si="747"/>
        <v>1196000</v>
      </c>
      <c r="R423" s="9">
        <f t="shared" ref="R423" si="748">R417</f>
        <v>1219900</v>
      </c>
      <c r="S423" s="47">
        <f t="shared" ref="S423" si="749">S417</f>
        <v>1244300</v>
      </c>
    </row>
    <row r="424" spans="1:23" x14ac:dyDescent="0.2">
      <c r="A424" s="54">
        <f t="shared" ref="A424:B424" si="750">A418</f>
        <v>0</v>
      </c>
      <c r="B424" s="9">
        <f t="shared" si="750"/>
        <v>2075400</v>
      </c>
      <c r="C424" s="136">
        <f>C418</f>
        <v>0</v>
      </c>
      <c r="D424" s="136">
        <f>D418</f>
        <v>0</v>
      </c>
      <c r="E424" s="134">
        <f t="shared" ref="E424" si="751">E418</f>
        <v>0</v>
      </c>
      <c r="F424" s="1153"/>
      <c r="G424" s="261" t="s">
        <v>4594</v>
      </c>
      <c r="H424" s="9">
        <f t="shared" ref="H424:O424" si="752">H418</f>
        <v>0</v>
      </c>
      <c r="I424" s="85">
        <f>IF(E424=H424,0,IF(E424=0,100,(H424-E424)/E424*100))</f>
        <v>0</v>
      </c>
      <c r="J424" s="9">
        <f t="shared" si="752"/>
        <v>0</v>
      </c>
      <c r="K424" s="9">
        <f t="shared" si="752"/>
        <v>0</v>
      </c>
      <c r="L424" s="9">
        <f t="shared" si="752"/>
        <v>0</v>
      </c>
      <c r="M424" s="9">
        <f t="shared" si="752"/>
        <v>0</v>
      </c>
      <c r="N424" s="9">
        <f t="shared" si="752"/>
        <v>0</v>
      </c>
      <c r="O424" s="9">
        <f t="shared" si="752"/>
        <v>0</v>
      </c>
      <c r="P424" s="9">
        <f t="shared" ref="P424:Q424" si="753">P418</f>
        <v>0</v>
      </c>
      <c r="Q424" s="9">
        <f t="shared" si="753"/>
        <v>0</v>
      </c>
      <c r="R424" s="9">
        <f t="shared" ref="R424" si="754">R418</f>
        <v>0</v>
      </c>
      <c r="S424" s="47">
        <f t="shared" ref="S424" si="755">S418</f>
        <v>0</v>
      </c>
    </row>
    <row r="425" spans="1:23" s="39" customFormat="1" x14ac:dyDescent="0.2">
      <c r="A425" s="128">
        <f t="shared" ref="A425:B425" si="756">A423+A422+A424</f>
        <v>780300</v>
      </c>
      <c r="B425" s="280">
        <f t="shared" si="756"/>
        <v>1049400</v>
      </c>
      <c r="C425" s="281">
        <f>C423+C422+C424</f>
        <v>1117500</v>
      </c>
      <c r="D425" s="281">
        <f>D423+D422+D424</f>
        <v>1428900</v>
      </c>
      <c r="E425" s="529">
        <f t="shared" ref="E425" si="757">E423+E422+E424</f>
        <v>1629000</v>
      </c>
      <c r="F425" s="367"/>
      <c r="G425" s="363" t="s">
        <v>1659</v>
      </c>
      <c r="H425" s="280">
        <f t="shared" ref="H425:O425" si="758">H423+H422+H424</f>
        <v>1605100</v>
      </c>
      <c r="I425" s="278">
        <f>IF(E425=H425,0,IF(E425=0,100,(H425-E425)/E425*100))</f>
        <v>-1.467157765500307</v>
      </c>
      <c r="J425" s="280">
        <f t="shared" si="758"/>
        <v>1666600</v>
      </c>
      <c r="K425" s="280">
        <f t="shared" si="758"/>
        <v>1735800</v>
      </c>
      <c r="L425" s="280">
        <f t="shared" si="758"/>
        <v>1817600</v>
      </c>
      <c r="M425" s="280">
        <f t="shared" si="758"/>
        <v>1884700</v>
      </c>
      <c r="N425" s="280">
        <f t="shared" si="758"/>
        <v>1947700</v>
      </c>
      <c r="O425" s="280">
        <f t="shared" si="758"/>
        <v>1993700</v>
      </c>
      <c r="P425" s="280">
        <f t="shared" ref="P425:Q425" si="759">P423+P422+P424</f>
        <v>2030700</v>
      </c>
      <c r="Q425" s="280">
        <f t="shared" si="759"/>
        <v>2056600</v>
      </c>
      <c r="R425" s="280">
        <f t="shared" ref="R425" si="760">R423+R422+R424</f>
        <v>2086400</v>
      </c>
      <c r="S425" s="2343">
        <f t="shared" ref="S425" si="761">S423+S422+S424</f>
        <v>2101200</v>
      </c>
      <c r="U425" s="34"/>
      <c r="W425" s="34"/>
    </row>
    <row r="426" spans="1:23" ht="13.5" thickBot="1" x14ac:dyDescent="0.25">
      <c r="A426" s="432"/>
      <c r="B426" s="37"/>
      <c r="C426" s="146"/>
      <c r="D426" s="146"/>
      <c r="E426" s="146"/>
      <c r="F426" s="1169"/>
      <c r="G426" s="66"/>
      <c r="H426" s="68"/>
      <c r="I426" s="275"/>
      <c r="J426" s="68"/>
      <c r="K426" s="68"/>
      <c r="L426" s="68"/>
      <c r="M426" s="68"/>
      <c r="N426" s="68"/>
      <c r="O426" s="68"/>
      <c r="P426" s="68"/>
      <c r="Q426" s="68"/>
      <c r="R426" s="68"/>
      <c r="S426" s="108"/>
    </row>
    <row r="427" spans="1:23" ht="13.5" thickTop="1" x14ac:dyDescent="0.2">
      <c r="A427" s="270"/>
      <c r="B427" s="109"/>
      <c r="C427" s="140"/>
      <c r="D427" s="140"/>
      <c r="E427" s="531"/>
      <c r="F427" s="375"/>
      <c r="G427" s="258"/>
      <c r="H427" s="74"/>
      <c r="I427" s="276"/>
      <c r="J427" s="74"/>
      <c r="K427" s="74"/>
      <c r="L427" s="74"/>
      <c r="M427" s="74"/>
      <c r="N427" s="74"/>
      <c r="O427" s="74"/>
      <c r="P427" s="74"/>
      <c r="Q427" s="74"/>
      <c r="R427" s="74"/>
      <c r="S427" s="110"/>
    </row>
    <row r="428" spans="1:23" x14ac:dyDescent="0.2">
      <c r="A428" s="24"/>
      <c r="B428" s="21"/>
      <c r="C428" s="139"/>
      <c r="D428" s="139"/>
      <c r="E428" s="138"/>
      <c r="F428" s="165"/>
      <c r="G428" s="361" t="s">
        <v>192</v>
      </c>
      <c r="H428" s="9"/>
      <c r="I428" s="1182"/>
      <c r="J428" s="9"/>
      <c r="K428" s="9"/>
      <c r="L428" s="9"/>
      <c r="M428" s="9"/>
      <c r="N428" s="9"/>
      <c r="O428" s="9"/>
      <c r="P428" s="9"/>
      <c r="Q428" s="9"/>
      <c r="R428" s="9"/>
      <c r="S428" s="61"/>
    </row>
    <row r="429" spans="1:23" x14ac:dyDescent="0.2">
      <c r="A429" s="24"/>
      <c r="B429" s="21"/>
      <c r="C429" s="139"/>
      <c r="D429" s="139"/>
      <c r="E429" s="138"/>
      <c r="F429" s="165"/>
      <c r="G429" s="260"/>
      <c r="H429" s="9"/>
      <c r="I429" s="1182"/>
      <c r="J429" s="9"/>
      <c r="K429" s="9"/>
      <c r="L429" s="9"/>
      <c r="M429" s="9"/>
      <c r="N429" s="9"/>
      <c r="O429" s="9"/>
      <c r="P429" s="9"/>
      <c r="Q429" s="9"/>
      <c r="R429" s="9"/>
      <c r="S429" s="61"/>
    </row>
    <row r="430" spans="1:23" x14ac:dyDescent="0.2">
      <c r="A430" s="54">
        <f>ROUND(GM!A1115,-3)</f>
        <v>532000</v>
      </c>
      <c r="B430" s="9">
        <f>GM!B1115</f>
        <v>838700</v>
      </c>
      <c r="C430" s="136">
        <f>GM!C1115</f>
        <v>845500</v>
      </c>
      <c r="D430" s="136">
        <f>GM!D1115</f>
        <v>970600</v>
      </c>
      <c r="E430" s="134">
        <f>ROUND('Debt-Gen'!K63,-2)</f>
        <v>1073300</v>
      </c>
      <c r="F430" s="165"/>
      <c r="G430" s="257" t="s">
        <v>2848</v>
      </c>
      <c r="H430" s="9">
        <f>GM!H1115</f>
        <v>1176800</v>
      </c>
      <c r="I430" s="1157">
        <f>IF(E430=H430,0,IF(E430=0,100,(H430-E430)/E430*100))</f>
        <v>9.6431566197707994</v>
      </c>
      <c r="J430" s="9">
        <f>GM!J1115</f>
        <v>1301600</v>
      </c>
      <c r="K430" s="9">
        <f>GM!K1115</f>
        <v>1369900</v>
      </c>
      <c r="L430" s="9">
        <f>GM!L1115</f>
        <v>1443000</v>
      </c>
      <c r="M430" s="9">
        <f>GM!M1115</f>
        <v>1452600</v>
      </c>
      <c r="N430" s="9">
        <f>GM!N1115</f>
        <v>1052700</v>
      </c>
      <c r="O430" s="9">
        <f>GM!O1115</f>
        <v>406400</v>
      </c>
      <c r="P430" s="9">
        <f>GM!P1115</f>
        <v>208100</v>
      </c>
      <c r="Q430" s="9">
        <f>GM!Q1115</f>
        <v>217100</v>
      </c>
      <c r="R430" s="9">
        <f>GM!R1115</f>
        <v>167000</v>
      </c>
      <c r="S430" s="61">
        <f>GM!S1115</f>
        <v>176000</v>
      </c>
    </row>
    <row r="431" spans="1:23" x14ac:dyDescent="0.2">
      <c r="A431" s="54">
        <f>ROUND(GM!A1116,-3)-1700</f>
        <v>4646300</v>
      </c>
      <c r="B431" s="9">
        <f>GM!B1116</f>
        <v>210700</v>
      </c>
      <c r="C431" s="136">
        <f>GM!C1116</f>
        <v>272000</v>
      </c>
      <c r="D431" s="136">
        <f>GM!D1116</f>
        <v>458300</v>
      </c>
      <c r="E431" s="134">
        <f>SUM('Res-Gen'!E133:E133)</f>
        <v>556200</v>
      </c>
      <c r="F431" s="165"/>
      <c r="G431" s="257" t="s">
        <v>1909</v>
      </c>
      <c r="H431" s="9">
        <f>GM!H1116</f>
        <v>3928300</v>
      </c>
      <c r="I431" s="1157">
        <f>IF(E431=H431,0,IF(E431=0,100,(H431-E431)/E431*100))</f>
        <v>606.274721323265</v>
      </c>
      <c r="J431" s="9">
        <f>GM!J1116</f>
        <v>365000</v>
      </c>
      <c r="K431" s="9">
        <f>GM!K1116</f>
        <v>365900</v>
      </c>
      <c r="L431" s="9">
        <f>GM!L1116</f>
        <v>374600</v>
      </c>
      <c r="M431" s="9">
        <f>GM!M1116</f>
        <v>432100</v>
      </c>
      <c r="N431" s="9">
        <f>GM!N1116</f>
        <v>895000</v>
      </c>
      <c r="O431" s="9">
        <f>GM!O1116</f>
        <v>1587300</v>
      </c>
      <c r="P431" s="9">
        <f>GM!P1116</f>
        <v>1822600</v>
      </c>
      <c r="Q431" s="9">
        <f>GM!Q1116</f>
        <v>1839500</v>
      </c>
      <c r="R431" s="9">
        <f>GM!R1116</f>
        <v>1919400</v>
      </c>
      <c r="S431" s="61">
        <f>GM!S1116</f>
        <v>1925200</v>
      </c>
    </row>
    <row r="432" spans="1:23" x14ac:dyDescent="0.2">
      <c r="A432" s="54">
        <f>ROUND(GM!A1117,-3)</f>
        <v>541000</v>
      </c>
      <c r="B432" s="9">
        <f>GM!B1117</f>
        <v>4996600</v>
      </c>
      <c r="C432" s="136">
        <f>GM!C1117</f>
        <v>403800</v>
      </c>
      <c r="D432" s="136">
        <f>GM!D1117</f>
        <v>88000</v>
      </c>
      <c r="E432" s="134">
        <f>SUM('Res-Gen'!F133:F133)</f>
        <v>699500</v>
      </c>
      <c r="F432" s="165"/>
      <c r="G432" s="257" t="s">
        <v>2309</v>
      </c>
      <c r="H432" s="9">
        <f>GM!H1117</f>
        <v>93000</v>
      </c>
      <c r="I432" s="1157">
        <f>IF(E432=H432,0,IF(E432=0,100,(H432-E432)/E432*100))</f>
        <v>-86.70478913509649</v>
      </c>
      <c r="J432" s="9">
        <f>GM!J1117</f>
        <v>3300000</v>
      </c>
      <c r="K432" s="9">
        <f>GM!K1117</f>
        <v>300000</v>
      </c>
      <c r="L432" s="9">
        <f>GM!L1117</f>
        <v>300000</v>
      </c>
      <c r="M432" s="9">
        <f>GM!M1117</f>
        <v>200000</v>
      </c>
      <c r="N432" s="9">
        <f>GM!N1117</f>
        <v>603000</v>
      </c>
      <c r="O432" s="9">
        <f>GM!O1117</f>
        <v>2206000</v>
      </c>
      <c r="P432" s="9">
        <f>GM!P1117</f>
        <v>2209000</v>
      </c>
      <c r="Q432" s="9">
        <f>GM!Q1117</f>
        <v>1712000</v>
      </c>
      <c r="R432" s="9">
        <f>GM!R1117</f>
        <v>1715000</v>
      </c>
      <c r="S432" s="61">
        <f>GM!S1117</f>
        <v>2018000</v>
      </c>
    </row>
    <row r="433" spans="1:23" x14ac:dyDescent="0.2">
      <c r="A433" s="54">
        <f>ROUND(GM!A1118,-3)</f>
        <v>9644000</v>
      </c>
      <c r="B433" s="9">
        <f>GM!B1118</f>
        <v>0</v>
      </c>
      <c r="C433" s="136">
        <f>GM!C1118</f>
        <v>725000</v>
      </c>
      <c r="D433" s="136">
        <f>GM!D1118</f>
        <v>2791400</v>
      </c>
      <c r="E433" s="134">
        <f>SUM('Cap-Gen'!W64:Y64)</f>
        <v>400</v>
      </c>
      <c r="F433" s="165"/>
      <c r="G433" s="257" t="s">
        <v>5847</v>
      </c>
      <c r="H433" s="9">
        <f>GM!H1118</f>
        <v>6900000</v>
      </c>
      <c r="I433" s="1157">
        <f>IF(E433=H433,0,IF(E433=0,100,(H433-E433)/E433*100))</f>
        <v>1724900</v>
      </c>
      <c r="J433" s="9">
        <f>GM!J1118</f>
        <v>0</v>
      </c>
      <c r="K433" s="9">
        <f>GM!K1118</f>
        <v>0</v>
      </c>
      <c r="L433" s="9">
        <f>GM!L1118</f>
        <v>0</v>
      </c>
      <c r="M433" s="9">
        <f>GM!M1118</f>
        <v>0</v>
      </c>
      <c r="N433" s="9">
        <f>GM!N1118</f>
        <v>0</v>
      </c>
      <c r="O433" s="9">
        <f>GM!O1118</f>
        <v>0</v>
      </c>
      <c r="P433" s="9">
        <f>GM!P1118</f>
        <v>0</v>
      </c>
      <c r="Q433" s="9">
        <f>GM!Q1118</f>
        <v>0</v>
      </c>
      <c r="R433" s="9">
        <f>GM!R1118</f>
        <v>0</v>
      </c>
      <c r="S433" s="61">
        <f>GM!S1118</f>
        <v>0</v>
      </c>
    </row>
    <row r="434" spans="1:23" x14ac:dyDescent="0.2">
      <c r="A434" s="54">
        <f>ROUND(GM!A1119,-3)</f>
        <v>5787000</v>
      </c>
      <c r="B434" s="9">
        <f>GM!B1119</f>
        <v>4996600</v>
      </c>
      <c r="C434" s="136">
        <f>GM!C1119</f>
        <v>1128800</v>
      </c>
      <c r="D434" s="136">
        <f>GM!D1119</f>
        <v>2879400</v>
      </c>
      <c r="E434" s="134">
        <f>SUM('Cap-Gen'!F64:F64)</f>
        <v>699400</v>
      </c>
      <c r="F434" s="165"/>
      <c r="G434" s="257" t="s">
        <v>958</v>
      </c>
      <c r="H434" s="9">
        <f>GM!H1119</f>
        <v>3493000</v>
      </c>
      <c r="I434" s="1157">
        <f>IF(E434=H434,0,IF(E434=0,100,(H434-E434)/E434*100))</f>
        <v>399.42808121246787</v>
      </c>
      <c r="J434" s="9">
        <f>GM!J1119</f>
        <v>3200000</v>
      </c>
      <c r="K434" s="9">
        <f>GM!K1119</f>
        <v>200000</v>
      </c>
      <c r="L434" s="9">
        <f>GM!L1119</f>
        <v>200000</v>
      </c>
      <c r="M434" s="9">
        <f>GM!M1119</f>
        <v>100000</v>
      </c>
      <c r="N434" s="9">
        <f>GM!N1119</f>
        <v>503000</v>
      </c>
      <c r="O434" s="9">
        <f>GM!O1119</f>
        <v>2106000</v>
      </c>
      <c r="P434" s="9">
        <f>GM!P1119</f>
        <v>2109000</v>
      </c>
      <c r="Q434" s="9">
        <f>GM!Q1119</f>
        <v>1612000</v>
      </c>
      <c r="R434" s="9">
        <f>GM!R1119</f>
        <v>1615000</v>
      </c>
      <c r="S434" s="61">
        <f>GM!S1119</f>
        <v>1918000</v>
      </c>
    </row>
    <row r="435" spans="1:23" x14ac:dyDescent="0.2">
      <c r="A435" s="54"/>
      <c r="B435" s="9"/>
      <c r="C435" s="136"/>
      <c r="D435" s="136"/>
      <c r="E435" s="134"/>
      <c r="F435" s="165"/>
      <c r="G435" s="361"/>
      <c r="H435" s="9"/>
      <c r="I435" s="1157"/>
      <c r="J435" s="9"/>
      <c r="K435" s="9"/>
      <c r="L435" s="9"/>
      <c r="M435" s="9"/>
      <c r="N435" s="9"/>
      <c r="O435" s="9"/>
      <c r="P435" s="9"/>
      <c r="Q435" s="9"/>
      <c r="R435" s="9"/>
      <c r="S435" s="61"/>
    </row>
    <row r="436" spans="1:23" s="39" customFormat="1" x14ac:dyDescent="0.2">
      <c r="A436" s="128">
        <f>A425-A430-A431+A432++A433-A434</f>
        <v>0</v>
      </c>
      <c r="B436" s="280">
        <f>B425-B430-B431+B432++B433-B434</f>
        <v>0</v>
      </c>
      <c r="C436" s="281">
        <f>C425-C430-C431+C432++C433-C434</f>
        <v>0</v>
      </c>
      <c r="D436" s="281">
        <f>D425-D430-D431+D432++D433-D434</f>
        <v>0</v>
      </c>
      <c r="E436" s="529">
        <f t="shared" ref="E436" si="762">E425-E430-E431+E432++E433-E434</f>
        <v>0</v>
      </c>
      <c r="F436" s="369"/>
      <c r="G436" s="363" t="s">
        <v>2447</v>
      </c>
      <c r="H436" s="280">
        <f t="shared" ref="H436:O436" si="763">H425-H430-H431+H432++H433-H434</f>
        <v>0</v>
      </c>
      <c r="I436" s="278">
        <f>IF(E436=H436,0,IF(E436=0,100,(H436-E436)/E436*100))</f>
        <v>0</v>
      </c>
      <c r="J436" s="280">
        <f t="shared" si="763"/>
        <v>100000</v>
      </c>
      <c r="K436" s="280">
        <f t="shared" si="763"/>
        <v>100000</v>
      </c>
      <c r="L436" s="280">
        <f t="shared" si="763"/>
        <v>100000</v>
      </c>
      <c r="M436" s="280">
        <f t="shared" si="763"/>
        <v>100000</v>
      </c>
      <c r="N436" s="280">
        <f t="shared" si="763"/>
        <v>100000</v>
      </c>
      <c r="O436" s="280">
        <f t="shared" si="763"/>
        <v>100000</v>
      </c>
      <c r="P436" s="280">
        <f t="shared" ref="P436:Q436" si="764">P425-P430-P431+P432++P433-P434</f>
        <v>100000</v>
      </c>
      <c r="Q436" s="280">
        <f t="shared" si="764"/>
        <v>100000</v>
      </c>
      <c r="R436" s="280">
        <f t="shared" ref="R436:S436" si="765">R425-R430-R431+R432++R433-R434</f>
        <v>100000</v>
      </c>
      <c r="S436" s="282">
        <f t="shared" si="765"/>
        <v>100000</v>
      </c>
      <c r="U436" s="34"/>
      <c r="W436" s="34"/>
    </row>
    <row r="437" spans="1:23" s="39" customFormat="1" ht="13.5" thickBot="1" x14ac:dyDescent="0.25">
      <c r="A437" s="24"/>
      <c r="B437" s="21"/>
      <c r="C437" s="139"/>
      <c r="D437" s="139"/>
      <c r="E437" s="138"/>
      <c r="F437" s="171"/>
      <c r="G437" s="877"/>
      <c r="H437" s="21"/>
      <c r="I437" s="1182"/>
      <c r="J437" s="21"/>
      <c r="K437" s="21"/>
      <c r="L437" s="21"/>
      <c r="M437" s="21"/>
      <c r="N437" s="21"/>
      <c r="O437" s="21"/>
      <c r="P437" s="21"/>
      <c r="Q437" s="21"/>
      <c r="R437" s="21"/>
      <c r="S437" s="62"/>
      <c r="U437" s="34"/>
      <c r="W437" s="34"/>
    </row>
    <row r="438" spans="1:23" s="39" customFormat="1" x14ac:dyDescent="0.2">
      <c r="A438" s="52">
        <f>A400-A420+A414+A417</f>
        <v>1204300</v>
      </c>
      <c r="B438" s="16">
        <f>B400-B420+B414+B417</f>
        <v>-471900</v>
      </c>
      <c r="C438" s="137">
        <f>C400-C420+C414+C417</f>
        <v>1619800</v>
      </c>
      <c r="D438" s="137">
        <f>D400-D420+D414+D417</f>
        <v>1901900</v>
      </c>
      <c r="E438" s="145">
        <f t="shared" ref="E438" si="766">E400-E420+E414+E417</f>
        <v>2051600</v>
      </c>
      <c r="F438" s="1088"/>
      <c r="G438" s="1089" t="s">
        <v>4728</v>
      </c>
      <c r="H438" s="16">
        <f t="shared" ref="H438:P438" si="767">H400-H420+H414+H417</f>
        <v>2033600</v>
      </c>
      <c r="I438" s="1425">
        <f>IF(E438=H438,0,IF(E438=0,100,(H438-E438)/E438*100))</f>
        <v>-0.87736400857867036</v>
      </c>
      <c r="J438" s="16">
        <f t="shared" si="767"/>
        <v>2094300</v>
      </c>
      <c r="K438" s="16">
        <f t="shared" si="767"/>
        <v>2095200</v>
      </c>
      <c r="L438" s="16">
        <f t="shared" si="767"/>
        <v>2104100</v>
      </c>
      <c r="M438" s="16">
        <f t="shared" si="767"/>
        <v>2096400</v>
      </c>
      <c r="N438" s="16">
        <f t="shared" si="767"/>
        <v>2084500</v>
      </c>
      <c r="O438" s="16">
        <f t="shared" si="767"/>
        <v>2093200</v>
      </c>
      <c r="P438" s="16">
        <f t="shared" si="767"/>
        <v>2113200</v>
      </c>
      <c r="Q438" s="16">
        <f t="shared" ref="Q438" si="768">Q400-Q420+Q414+Q417</f>
        <v>2130100</v>
      </c>
      <c r="R438" s="16">
        <f t="shared" ref="R438:S438" si="769">R400-R420+R414+R417</f>
        <v>2150400</v>
      </c>
      <c r="S438" s="60">
        <f t="shared" si="769"/>
        <v>2156200</v>
      </c>
      <c r="U438" s="34"/>
      <c r="W438" s="34"/>
    </row>
    <row r="439" spans="1:23" ht="13.5" thickBot="1" x14ac:dyDescent="0.25">
      <c r="A439" s="26"/>
      <c r="B439" s="37"/>
      <c r="C439" s="141"/>
      <c r="D439" s="141"/>
      <c r="E439" s="146"/>
      <c r="F439" s="166"/>
      <c r="G439" s="259"/>
      <c r="H439" s="23"/>
      <c r="I439" s="277"/>
      <c r="J439" s="23"/>
      <c r="K439" s="23"/>
      <c r="L439" s="23"/>
      <c r="M439" s="23"/>
      <c r="N439" s="23"/>
      <c r="O439" s="23"/>
      <c r="P439" s="23"/>
      <c r="Q439" s="23"/>
      <c r="R439" s="23"/>
      <c r="S439" s="112"/>
    </row>
    <row r="440" spans="1:23" ht="14.25" thickTop="1" thickBot="1" x14ac:dyDescent="0.25">
      <c r="A440" s="27"/>
      <c r="B440" s="27"/>
      <c r="C440" s="27"/>
      <c r="D440" s="27"/>
      <c r="F440" s="185"/>
      <c r="G440" s="27"/>
      <c r="H440" s="46"/>
      <c r="I440" s="2234"/>
      <c r="J440" s="46"/>
      <c r="K440" s="46"/>
      <c r="L440" s="46"/>
      <c r="M440" s="46"/>
      <c r="N440" s="46"/>
      <c r="O440" s="46"/>
      <c r="P440" s="46"/>
      <c r="Q440" s="46"/>
      <c r="R440" s="46"/>
      <c r="S440" s="46"/>
    </row>
    <row r="441" spans="1:23" s="38" customFormat="1" ht="18.75" customHeight="1" thickTop="1" thickBot="1" x14ac:dyDescent="0.3">
      <c r="A441" s="2588" t="str">
        <f>A57</f>
        <v>COMMUNICATIONS</v>
      </c>
      <c r="B441" s="2589"/>
      <c r="C441" s="2589"/>
      <c r="D441" s="2589"/>
      <c r="E441" s="2589"/>
      <c r="F441" s="2589"/>
      <c r="G441" s="2589"/>
      <c r="H441" s="2589"/>
      <c r="I441" s="2589"/>
      <c r="J441" s="2589"/>
      <c r="K441" s="2589"/>
      <c r="L441" s="2589"/>
      <c r="M441" s="2589"/>
      <c r="N441" s="2589"/>
      <c r="O441" s="2589"/>
      <c r="P441" s="2589"/>
      <c r="Q441" s="2589"/>
      <c r="R441" s="2589"/>
      <c r="S441" s="2590"/>
      <c r="U441" s="34"/>
      <c r="W441" s="34"/>
    </row>
    <row r="442" spans="1:23" s="39" customFormat="1" x14ac:dyDescent="0.2">
      <c r="A442" s="2620" t="s">
        <v>1824</v>
      </c>
      <c r="B442" s="2621"/>
      <c r="C442" s="2621"/>
      <c r="D442" s="2621"/>
      <c r="E442" s="2622"/>
      <c r="F442" s="150" t="s">
        <v>2616</v>
      </c>
      <c r="G442" s="126" t="s">
        <v>2213</v>
      </c>
      <c r="H442" s="2617" t="s">
        <v>2215</v>
      </c>
      <c r="I442" s="2618"/>
      <c r="J442" s="2618"/>
      <c r="K442" s="2618"/>
      <c r="L442" s="2618"/>
      <c r="M442" s="2618"/>
      <c r="N442" s="2618"/>
      <c r="O442" s="2618"/>
      <c r="P442" s="2618"/>
      <c r="Q442" s="2618"/>
      <c r="R442" s="2618"/>
      <c r="S442" s="2619"/>
      <c r="U442" s="34"/>
      <c r="W442" s="34"/>
    </row>
    <row r="443" spans="1:23" ht="13.5" thickBot="1" x14ac:dyDescent="0.25">
      <c r="A443" s="541" t="str">
        <f>A3</f>
        <v>2012/13</v>
      </c>
      <c r="B443" s="28" t="str">
        <f>B3</f>
        <v>2013/14</v>
      </c>
      <c r="C443" s="40" t="str">
        <f>C3</f>
        <v>2014/15</v>
      </c>
      <c r="D443" s="40" t="str">
        <f>D3</f>
        <v>2015/16</v>
      </c>
      <c r="E443" s="40" t="str">
        <f>E3</f>
        <v>2016/17</v>
      </c>
      <c r="F443" s="40" t="str">
        <f>SP!F273</f>
        <v>ACCOUNT</v>
      </c>
      <c r="G443" s="41"/>
      <c r="H443" s="40" t="str">
        <f>H3</f>
        <v>2017/18</v>
      </c>
      <c r="I443" s="1258" t="str">
        <f>I379</f>
        <v>%</v>
      </c>
      <c r="J443" s="40" t="str">
        <f t="shared" ref="J443:S443" si="770">J3</f>
        <v>2018/19</v>
      </c>
      <c r="K443" s="40" t="str">
        <f t="shared" si="770"/>
        <v>2019/20</v>
      </c>
      <c r="L443" s="40" t="str">
        <f t="shared" si="770"/>
        <v>2020/21</v>
      </c>
      <c r="M443" s="40" t="str">
        <f t="shared" si="770"/>
        <v>2021/22</v>
      </c>
      <c r="N443" s="40" t="str">
        <f t="shared" si="770"/>
        <v>2022/23</v>
      </c>
      <c r="O443" s="40" t="str">
        <f t="shared" si="770"/>
        <v>2023/24</v>
      </c>
      <c r="P443" s="40" t="str">
        <f t="shared" si="770"/>
        <v>2024/25</v>
      </c>
      <c r="Q443" s="28" t="str">
        <f t="shared" si="770"/>
        <v>2025/26</v>
      </c>
      <c r="R443" s="28" t="str">
        <f t="shared" si="770"/>
        <v>2026/27</v>
      </c>
      <c r="S443" s="1620" t="str">
        <f t="shared" si="770"/>
        <v>2027/28</v>
      </c>
    </row>
    <row r="444" spans="1:23" ht="12.75" customHeight="1" x14ac:dyDescent="0.2">
      <c r="A444" s="2061"/>
      <c r="B444" s="151"/>
      <c r="C444" s="151"/>
      <c r="D444" s="150"/>
      <c r="E444" s="150"/>
      <c r="F444" s="150"/>
      <c r="G444" s="46"/>
      <c r="H444" s="150"/>
      <c r="I444" s="1395"/>
      <c r="J444" s="150"/>
      <c r="K444" s="150"/>
      <c r="L444" s="150"/>
      <c r="M444" s="150"/>
      <c r="N444" s="150"/>
      <c r="O444" s="150"/>
      <c r="P444" s="150"/>
      <c r="Q444" s="150"/>
      <c r="R444" s="150"/>
      <c r="S444" s="381"/>
    </row>
    <row r="445" spans="1:23" ht="12.75" customHeight="1" x14ac:dyDescent="0.2">
      <c r="A445" s="2061"/>
      <c r="B445" s="150"/>
      <c r="C445" s="150"/>
      <c r="D445" s="150"/>
      <c r="E445" s="150"/>
      <c r="F445" s="150"/>
      <c r="G445" s="91" t="s">
        <v>1056</v>
      </c>
      <c r="H445" s="150"/>
      <c r="I445" s="1395"/>
      <c r="J445" s="150"/>
      <c r="K445" s="150"/>
      <c r="L445" s="150"/>
      <c r="M445" s="150"/>
      <c r="N445" s="150"/>
      <c r="O445" s="150"/>
      <c r="P445" s="150"/>
      <c r="Q445" s="150"/>
      <c r="R445" s="150"/>
      <c r="S445" s="381"/>
    </row>
    <row r="446" spans="1:23" ht="12.75" customHeight="1" x14ac:dyDescent="0.2">
      <c r="A446" s="2061"/>
      <c r="B446" s="150"/>
      <c r="C446" s="150"/>
      <c r="D446" s="150"/>
      <c r="E446" s="150"/>
      <c r="F446" s="150"/>
      <c r="G446" s="91"/>
      <c r="H446" s="150"/>
      <c r="I446" s="1395"/>
      <c r="J446" s="150"/>
      <c r="K446" s="150"/>
      <c r="L446" s="150"/>
      <c r="M446" s="150"/>
      <c r="N446" s="150"/>
      <c r="O446" s="150"/>
      <c r="P446" s="150"/>
      <c r="Q446" s="150"/>
      <c r="R446" s="150"/>
      <c r="S446" s="381"/>
    </row>
    <row r="447" spans="1:23" ht="12.75" customHeight="1" x14ac:dyDescent="0.2">
      <c r="A447" s="528"/>
      <c r="B447" s="150"/>
      <c r="C447" s="150"/>
      <c r="D447" s="150"/>
      <c r="E447" s="150"/>
      <c r="F447" s="150"/>
      <c r="G447" s="1189" t="s">
        <v>677</v>
      </c>
      <c r="H447" s="150"/>
      <c r="I447" s="1395"/>
      <c r="J447" s="150"/>
      <c r="K447" s="150"/>
      <c r="L447" s="150"/>
      <c r="M447" s="150"/>
      <c r="N447" s="150"/>
      <c r="O447" s="150"/>
      <c r="P447" s="150"/>
      <c r="Q447" s="150"/>
      <c r="R447" s="150"/>
      <c r="S447" s="381"/>
    </row>
    <row r="448" spans="1:23" ht="12.75" customHeight="1" x14ac:dyDescent="0.2">
      <c r="A448" s="2062">
        <v>0</v>
      </c>
      <c r="B448" s="150">
        <v>0</v>
      </c>
      <c r="C448" s="2063">
        <v>0</v>
      </c>
      <c r="D448" s="9">
        <v>4300</v>
      </c>
      <c r="E448" s="9">
        <v>0</v>
      </c>
      <c r="F448" s="469" t="s">
        <v>1669</v>
      </c>
      <c r="G448" s="385" t="s">
        <v>1460</v>
      </c>
      <c r="H448" s="9">
        <v>0</v>
      </c>
      <c r="I448" s="85">
        <f>IF(E448=H448,0,IF(E448=0,100,(H448-E448)/E448*100))</f>
        <v>0</v>
      </c>
      <c r="J448" s="9">
        <f>ROUNDUP(H448+(H448*Assumptions!I$5),-2)</f>
        <v>0</v>
      </c>
      <c r="K448" s="9">
        <f>ROUNDUP(J448+(J448*Assumptions!J$5),-2)</f>
        <v>0</v>
      </c>
      <c r="L448" s="9">
        <f>ROUNDUP(K448+(K448*Assumptions!K$5),-2)</f>
        <v>0</v>
      </c>
      <c r="M448" s="9">
        <f>ROUNDUP(L448+(L448*Assumptions!L$5),-2)</f>
        <v>0</v>
      </c>
      <c r="N448" s="9">
        <f>ROUNDUP(M448+(M448*Assumptions!M$5),-2)</f>
        <v>0</v>
      </c>
      <c r="O448" s="9">
        <f>ROUNDUP(N448+(N448*Assumptions!N$5),-2)</f>
        <v>0</v>
      </c>
      <c r="P448" s="9">
        <f>ROUNDUP(O448+(O448*Assumptions!O$5),-2)</f>
        <v>0</v>
      </c>
      <c r="Q448" s="9">
        <f>ROUNDUP(P448+(P448*Assumptions!P$5),-2)</f>
        <v>0</v>
      </c>
      <c r="R448" s="9">
        <f>ROUNDUP(Q448+(Q448*Assumptions!Q$5),-2)</f>
        <v>0</v>
      </c>
      <c r="S448" s="47">
        <f>ROUNDUP(R448+(R448*Assumptions!R$5),-2)</f>
        <v>0</v>
      </c>
    </row>
    <row r="449" spans="1:19" x14ac:dyDescent="0.2">
      <c r="A449" s="45"/>
      <c r="B449" s="150"/>
      <c r="C449" s="9"/>
      <c r="D449" s="9"/>
      <c r="E449" s="9"/>
      <c r="F449" s="175"/>
      <c r="G449" s="91"/>
      <c r="H449" s="9"/>
      <c r="I449" s="85"/>
      <c r="J449" s="9"/>
      <c r="K449" s="9"/>
      <c r="L449" s="9"/>
      <c r="M449" s="9"/>
      <c r="N449" s="9"/>
      <c r="O449" s="9"/>
      <c r="P449" s="9"/>
      <c r="Q449" s="9"/>
      <c r="R449" s="9"/>
      <c r="S449" s="47"/>
    </row>
    <row r="450" spans="1:19" x14ac:dyDescent="0.2">
      <c r="A450" s="45"/>
      <c r="B450" s="29"/>
      <c r="C450" s="9"/>
      <c r="D450" s="9"/>
      <c r="E450" s="9"/>
      <c r="F450" s="175"/>
      <c r="G450" s="542" t="s">
        <v>6916</v>
      </c>
      <c r="H450" s="9"/>
      <c r="I450" s="85"/>
      <c r="J450" s="9"/>
      <c r="K450" s="9"/>
      <c r="L450" s="9"/>
      <c r="M450" s="9"/>
      <c r="N450" s="9"/>
      <c r="O450" s="9"/>
      <c r="P450" s="9"/>
      <c r="Q450" s="9"/>
      <c r="R450" s="9"/>
      <c r="S450" s="47"/>
    </row>
    <row r="451" spans="1:19" x14ac:dyDescent="0.2">
      <c r="A451" s="54">
        <v>7300</v>
      </c>
      <c r="B451" s="9">
        <v>5500</v>
      </c>
      <c r="C451" s="9">
        <v>700</v>
      </c>
      <c r="D451" s="9">
        <v>7500</v>
      </c>
      <c r="E451" s="9">
        <v>5400</v>
      </c>
      <c r="F451" s="469" t="s">
        <v>841</v>
      </c>
      <c r="G451" s="247" t="s">
        <v>512</v>
      </c>
      <c r="H451" s="9">
        <f>8000-500</f>
        <v>7500</v>
      </c>
      <c r="I451" s="85">
        <f t="shared" ref="I451:I454" si="771">IF(E451=H451,0,IF(E451=0,100,(H451-E451)/E451*100))</f>
        <v>38.888888888888893</v>
      </c>
      <c r="J451" s="9">
        <v>7500</v>
      </c>
      <c r="K451" s="9">
        <f>ROUNDUP(J451+(J451*Assumptions!J$5),-2)</f>
        <v>7700</v>
      </c>
      <c r="L451" s="9">
        <f>ROUNDUP(K451+(K451*Assumptions!K$5),-2)</f>
        <v>7900</v>
      </c>
      <c r="M451" s="9">
        <f>ROUNDUP(L451+(L451*Assumptions!L$5),-2)</f>
        <v>8100</v>
      </c>
      <c r="N451" s="9">
        <f>ROUNDUP(M451+(M451*Assumptions!M$5),-2)</f>
        <v>8400</v>
      </c>
      <c r="O451" s="9">
        <f>ROUNDUP(N451+(N451*Assumptions!N$5),-2)</f>
        <v>8700</v>
      </c>
      <c r="P451" s="9">
        <f>ROUNDUP(O451+(O451*Assumptions!O$5),-2)</f>
        <v>9000</v>
      </c>
      <c r="Q451" s="9">
        <f>ROUNDUP(P451+(P451*Assumptions!P$5),-2)</f>
        <v>9300</v>
      </c>
      <c r="R451" s="9">
        <f>ROUNDUP(Q451+(Q451*Assumptions!Q$5),-2)</f>
        <v>9600</v>
      </c>
      <c r="S451" s="47">
        <f>ROUNDUP(R451+(R451*Assumptions!R$5),-2)</f>
        <v>9900</v>
      </c>
    </row>
    <row r="452" spans="1:19" x14ac:dyDescent="0.2">
      <c r="A452" s="54">
        <v>4400</v>
      </c>
      <c r="B452" s="9">
        <v>4600</v>
      </c>
      <c r="C452" s="9">
        <v>3200</v>
      </c>
      <c r="D452" s="9">
        <v>22900</v>
      </c>
      <c r="E452" s="9">
        <v>3600</v>
      </c>
      <c r="F452" s="469" t="s">
        <v>223</v>
      </c>
      <c r="G452" s="247" t="s">
        <v>2808</v>
      </c>
      <c r="H452" s="9">
        <f>1000+2500</f>
        <v>3500</v>
      </c>
      <c r="I452" s="85">
        <f t="shared" si="771"/>
        <v>-2.7777777777777777</v>
      </c>
      <c r="J452" s="9">
        <v>1000</v>
      </c>
      <c r="K452" s="9">
        <f>ROUNDUP(J452+(J452*Assumptions!J$5),-2)</f>
        <v>1100</v>
      </c>
      <c r="L452" s="9">
        <f>ROUNDUP(K452+(K452*Assumptions!K$5),-2)</f>
        <v>1200</v>
      </c>
      <c r="M452" s="9">
        <f>ROUNDUP(L452+(L452*Assumptions!L$5),-2)</f>
        <v>1300</v>
      </c>
      <c r="N452" s="9">
        <f>ROUNDUP(M452+(M452*Assumptions!M$5),-2)</f>
        <v>1400</v>
      </c>
      <c r="O452" s="9">
        <f>ROUNDUP(N452+(N452*Assumptions!N$5),-2)</f>
        <v>1500</v>
      </c>
      <c r="P452" s="9">
        <f>ROUNDUP(O452+(O452*Assumptions!O$5),-2)</f>
        <v>1600</v>
      </c>
      <c r="Q452" s="9">
        <f>ROUNDUP(P452+(P452*Assumptions!P$5),-2)</f>
        <v>1700</v>
      </c>
      <c r="R452" s="9">
        <f>ROUNDUP(Q452+(Q452*Assumptions!Q$5),-2)</f>
        <v>1800</v>
      </c>
      <c r="S452" s="47">
        <f>ROUNDUP(R452+(R452*Assumptions!R$5),-2)</f>
        <v>1900</v>
      </c>
    </row>
    <row r="453" spans="1:19" x14ac:dyDescent="0.2">
      <c r="A453" s="54">
        <v>2200</v>
      </c>
      <c r="B453" s="9">
        <v>3500</v>
      </c>
      <c r="C453" s="9">
        <v>5900</v>
      </c>
      <c r="D453" s="9">
        <v>4300</v>
      </c>
      <c r="E453" s="9">
        <v>4300</v>
      </c>
      <c r="F453" s="469" t="s">
        <v>842</v>
      </c>
      <c r="G453" s="772" t="s">
        <v>4532</v>
      </c>
      <c r="H453" s="9">
        <v>4000</v>
      </c>
      <c r="I453" s="85">
        <f t="shared" si="771"/>
        <v>-6.9767441860465116</v>
      </c>
      <c r="J453" s="9">
        <v>4000</v>
      </c>
      <c r="K453" s="9">
        <f>ROUNDUP(J453+(J453*Assumptions!J$5),-2)</f>
        <v>4100</v>
      </c>
      <c r="L453" s="9">
        <f>ROUNDUP(K453+(K453*Assumptions!K$5),-2)</f>
        <v>4300</v>
      </c>
      <c r="M453" s="9">
        <f>ROUNDUP(L453+(L453*Assumptions!L$5),-2)</f>
        <v>4500</v>
      </c>
      <c r="N453" s="9">
        <f>ROUNDUP(M453+(M453*Assumptions!M$5),-2)</f>
        <v>4700</v>
      </c>
      <c r="O453" s="9">
        <f>ROUNDUP(N453+(N453*Assumptions!N$5),-2)</f>
        <v>4900</v>
      </c>
      <c r="P453" s="9">
        <f>ROUNDUP(O453+(O453*Assumptions!O$5),-2)</f>
        <v>5100</v>
      </c>
      <c r="Q453" s="9">
        <f>ROUNDUP(P453+(P453*Assumptions!P$5),-2)</f>
        <v>5300</v>
      </c>
      <c r="R453" s="9">
        <f>ROUNDUP(Q453+(Q453*Assumptions!Q$5),-2)</f>
        <v>5500</v>
      </c>
      <c r="S453" s="47">
        <f>ROUNDUP(R453+(R453*Assumptions!R$5),-2)</f>
        <v>5700</v>
      </c>
    </row>
    <row r="454" spans="1:19" x14ac:dyDescent="0.2">
      <c r="A454" s="54">
        <v>4400</v>
      </c>
      <c r="B454" s="9">
        <v>5500</v>
      </c>
      <c r="C454" s="9">
        <v>7600</v>
      </c>
      <c r="D454" s="9">
        <v>7800</v>
      </c>
      <c r="E454" s="9">
        <v>7800</v>
      </c>
      <c r="F454" s="469" t="s">
        <v>843</v>
      </c>
      <c r="G454" s="247" t="s">
        <v>993</v>
      </c>
      <c r="H454" s="9">
        <v>7000</v>
      </c>
      <c r="I454" s="85">
        <f t="shared" si="771"/>
        <v>-10.256410256410255</v>
      </c>
      <c r="J454" s="9">
        <v>7000</v>
      </c>
      <c r="K454" s="9">
        <f>ROUNDUP(J454+(J454*Assumptions!J$5),-2)</f>
        <v>7200</v>
      </c>
      <c r="L454" s="9">
        <f>ROUNDUP(K454+(K454*Assumptions!K$5),-2)</f>
        <v>7400</v>
      </c>
      <c r="M454" s="9">
        <f>ROUNDUP(L454+(L454*Assumptions!L$5),-2)</f>
        <v>7600</v>
      </c>
      <c r="N454" s="9">
        <f>ROUNDUP(M454+(M454*Assumptions!M$5),-2)</f>
        <v>7800</v>
      </c>
      <c r="O454" s="9">
        <f>ROUNDUP(N454+(N454*Assumptions!N$5),-2)</f>
        <v>8000</v>
      </c>
      <c r="P454" s="9">
        <f>ROUNDUP(O454+(O454*Assumptions!O$5),-2)</f>
        <v>8200</v>
      </c>
      <c r="Q454" s="9">
        <f>ROUNDUP(P454+(P454*Assumptions!P$5),-2)</f>
        <v>8500</v>
      </c>
      <c r="R454" s="9">
        <f>ROUNDUP(Q454+(Q454*Assumptions!Q$5),-2)</f>
        <v>8800</v>
      </c>
      <c r="S454" s="47">
        <f>ROUNDUP(R454+(R454*Assumptions!R$5),-2)</f>
        <v>9100</v>
      </c>
    </row>
    <row r="455" spans="1:19" ht="13.5" thickBot="1" x14ac:dyDescent="0.25">
      <c r="A455" s="24"/>
      <c r="B455" s="75"/>
      <c r="C455" s="21"/>
      <c r="D455" s="21"/>
      <c r="E455" s="9"/>
      <c r="F455" s="239"/>
      <c r="G455" s="21"/>
      <c r="H455" s="9"/>
      <c r="I455" s="126"/>
      <c r="J455" s="9"/>
      <c r="K455" s="9"/>
      <c r="L455" s="9"/>
      <c r="M455" s="9"/>
      <c r="N455" s="9"/>
      <c r="O455" s="9"/>
      <c r="P455" s="9"/>
      <c r="Q455" s="9"/>
      <c r="R455" s="9"/>
      <c r="S455" s="47"/>
    </row>
    <row r="456" spans="1:19" x14ac:dyDescent="0.2">
      <c r="A456" s="52">
        <f>SUM(A447:A455)</f>
        <v>18300</v>
      </c>
      <c r="B456" s="102">
        <f>SUM(B447:B455)</f>
        <v>19100</v>
      </c>
      <c r="C456" s="16">
        <f>SUM(C447:C455)</f>
        <v>17400</v>
      </c>
      <c r="D456" s="16">
        <f>SUM(D447:D455)</f>
        <v>46800</v>
      </c>
      <c r="E456" s="16">
        <f>SUM(E447:E455)</f>
        <v>21100</v>
      </c>
      <c r="F456" s="239"/>
      <c r="G456" s="267" t="s">
        <v>2561</v>
      </c>
      <c r="H456" s="16">
        <f>SUM(H447:H455)</f>
        <v>22000</v>
      </c>
      <c r="I456" s="127">
        <f>IF(E456=H456,0,IF(E456=0,100,(H456-E456)/E456*100))</f>
        <v>4.2654028436018958</v>
      </c>
      <c r="J456" s="16">
        <f t="shared" ref="J456:R456" si="772">SUM(J447:J455)</f>
        <v>19500</v>
      </c>
      <c r="K456" s="16">
        <f t="shared" si="772"/>
        <v>20100</v>
      </c>
      <c r="L456" s="16">
        <f t="shared" si="772"/>
        <v>20800</v>
      </c>
      <c r="M456" s="16">
        <f t="shared" si="772"/>
        <v>21500</v>
      </c>
      <c r="N456" s="16">
        <f t="shared" si="772"/>
        <v>22300</v>
      </c>
      <c r="O456" s="16">
        <f t="shared" si="772"/>
        <v>23100</v>
      </c>
      <c r="P456" s="16">
        <f t="shared" si="772"/>
        <v>23900</v>
      </c>
      <c r="Q456" s="16">
        <f t="shared" si="772"/>
        <v>24800</v>
      </c>
      <c r="R456" s="16">
        <f t="shared" si="772"/>
        <v>25700</v>
      </c>
      <c r="S456" s="2342">
        <f t="shared" ref="S456" si="773">SUM(S447:S455)</f>
        <v>26600</v>
      </c>
    </row>
    <row r="457" spans="1:19" x14ac:dyDescent="0.2">
      <c r="A457" s="45"/>
      <c r="B457" s="29"/>
      <c r="C457" s="29"/>
      <c r="D457" s="9"/>
      <c r="E457" s="9"/>
      <c r="F457" s="175"/>
      <c r="G457" s="27"/>
      <c r="H457" s="9"/>
      <c r="I457" s="85"/>
      <c r="J457" s="9"/>
      <c r="K457" s="9"/>
      <c r="L457" s="9"/>
      <c r="M457" s="9"/>
      <c r="N457" s="9"/>
      <c r="O457" s="9"/>
      <c r="P457" s="9"/>
      <c r="Q457" s="9"/>
      <c r="R457" s="9"/>
      <c r="S457" s="47"/>
    </row>
    <row r="458" spans="1:19" x14ac:dyDescent="0.2">
      <c r="A458" s="54"/>
      <c r="B458" s="9"/>
      <c r="C458" s="9"/>
      <c r="D458" s="9"/>
      <c r="E458" s="9"/>
      <c r="F458" s="240"/>
      <c r="G458" s="91" t="s">
        <v>2169</v>
      </c>
      <c r="H458" s="9"/>
      <c r="I458" s="85"/>
      <c r="J458" s="9"/>
      <c r="K458" s="9"/>
      <c r="L458" s="9"/>
      <c r="M458" s="9"/>
      <c r="N458" s="9"/>
      <c r="O458" s="9"/>
      <c r="P458" s="9"/>
      <c r="Q458" s="9"/>
      <c r="R458" s="9"/>
      <c r="S458" s="47"/>
    </row>
    <row r="459" spans="1:19" x14ac:dyDescent="0.2">
      <c r="A459" s="54"/>
      <c r="B459" s="9"/>
      <c r="C459" s="9"/>
      <c r="D459" s="9"/>
      <c r="E459" s="9"/>
      <c r="F459" s="240"/>
      <c r="G459" s="84" t="s">
        <v>2657</v>
      </c>
      <c r="H459" s="9"/>
      <c r="I459" s="85"/>
      <c r="J459" s="9"/>
      <c r="K459" s="9"/>
      <c r="L459" s="9"/>
      <c r="M459" s="9"/>
      <c r="N459" s="9"/>
      <c r="O459" s="9"/>
      <c r="P459" s="9"/>
      <c r="Q459" s="9"/>
      <c r="R459" s="9"/>
      <c r="S459" s="47"/>
    </row>
    <row r="460" spans="1:19" x14ac:dyDescent="0.2">
      <c r="A460" s="54">
        <f>337700+114900</f>
        <v>452600</v>
      </c>
      <c r="B460" s="9">
        <f>420900+168100</f>
        <v>589000</v>
      </c>
      <c r="C460" s="9">
        <f>393800+158700+60000</f>
        <v>612500</v>
      </c>
      <c r="D460" s="9">
        <f>561800+60000</f>
        <v>621800</v>
      </c>
      <c r="E460" s="9">
        <f>667800+348200</f>
        <v>1016000</v>
      </c>
      <c r="F460" s="469" t="s">
        <v>1670</v>
      </c>
      <c r="G460" s="58" t="s">
        <v>1320</v>
      </c>
      <c r="H460" s="9">
        <f>819000-16000</f>
        <v>803000</v>
      </c>
      <c r="I460" s="85">
        <f t="shared" ref="I460:I467" si="774">IF(E460=H460,0,IF(E460=0,100,(H460-E460)/E460*100))</f>
        <v>-20.964566929133856</v>
      </c>
      <c r="J460" s="9">
        <v>823000</v>
      </c>
      <c r="K460" s="9">
        <f>ROUND((J460*Assumptions!K$13)+GM!J460,-2)</f>
        <v>841900</v>
      </c>
      <c r="L460" s="9">
        <f>ROUND((K460*Assumptions!L$13)+GM!K460,-2)</f>
        <v>861300</v>
      </c>
      <c r="M460" s="9">
        <f>ROUND((L460*Assumptions!M$13)+GM!L460,-2)</f>
        <v>881100</v>
      </c>
      <c r="N460" s="9">
        <f>ROUND((M460*Assumptions!N$13)+GM!M460,-2)</f>
        <v>901400</v>
      </c>
      <c r="O460" s="9">
        <f>ROUND((N460*Assumptions!P$13)+GM!N460,-2)</f>
        <v>922100</v>
      </c>
      <c r="P460" s="9">
        <f>ROUND((O460*Assumptions!Q$13)+GM!O460,-2)</f>
        <v>943300</v>
      </c>
      <c r="Q460" s="9">
        <f>ROUND((P460*Assumptions!R$13)+GM!P460,-2)</f>
        <v>965000</v>
      </c>
      <c r="R460" s="9">
        <f>ROUND((Q460*Assumptions!S$13)+GM!Q460,-2)</f>
        <v>965000</v>
      </c>
      <c r="S460" s="47">
        <f>ROUND((R460*Assumptions!T$13)+GM!R460,-2)</f>
        <v>965000</v>
      </c>
    </row>
    <row r="461" spans="1:19" x14ac:dyDescent="0.2">
      <c r="A461" s="54">
        <f>62000+184000</f>
        <v>246000</v>
      </c>
      <c r="B461" s="9">
        <v>250000</v>
      </c>
      <c r="C461" s="9">
        <v>286800</v>
      </c>
      <c r="D461" s="9">
        <f>315430-30</f>
        <v>315400</v>
      </c>
      <c r="E461" s="9">
        <v>0</v>
      </c>
      <c r="F461" s="771" t="s">
        <v>1670</v>
      </c>
      <c r="G461" s="58" t="s">
        <v>11952</v>
      </c>
      <c r="H461" s="9">
        <v>340000</v>
      </c>
      <c r="I461" s="85">
        <f t="shared" si="774"/>
        <v>100</v>
      </c>
      <c r="J461" s="9">
        <v>348000</v>
      </c>
      <c r="K461" s="9">
        <f>ROUNDUP(J461+(J461*Assumptions!J$13),-2)</f>
        <v>356100</v>
      </c>
      <c r="L461" s="9">
        <f>ROUNDUP(K461+(K461*Assumptions!K$13),-2)</f>
        <v>364300</v>
      </c>
      <c r="M461" s="9">
        <f>ROUNDUP(L461+(L461*Assumptions!L$13),-2)</f>
        <v>372700</v>
      </c>
      <c r="N461" s="9">
        <f>ROUNDUP(M461+(M461*Assumptions!M$13),-2)</f>
        <v>381300</v>
      </c>
      <c r="O461" s="9">
        <f>ROUNDUP(N461+(N461*Assumptions!N$13),-2)</f>
        <v>390100</v>
      </c>
      <c r="P461" s="89">
        <f>ROUNDUP(O461+(O461*Assumptions!O$13),-2)</f>
        <v>399100</v>
      </c>
      <c r="Q461" s="9">
        <f>ROUNDUP(P461+(P461*Assumptions!P$13),-2)</f>
        <v>408300</v>
      </c>
      <c r="R461" s="9">
        <f>ROUNDUP(Q461+(Q461*Assumptions!Q$13),-2)</f>
        <v>417700</v>
      </c>
      <c r="S461" s="47">
        <f>ROUNDUP(R461+(R461*Assumptions!R$13),-2)</f>
        <v>427400</v>
      </c>
    </row>
    <row r="462" spans="1:19" x14ac:dyDescent="0.2">
      <c r="A462" s="54">
        <v>9600</v>
      </c>
      <c r="B462" s="9">
        <v>8000</v>
      </c>
      <c r="C462" s="9">
        <v>8300</v>
      </c>
      <c r="D462" s="9">
        <v>8300</v>
      </c>
      <c r="E462" s="9">
        <v>13000</v>
      </c>
      <c r="F462" s="469" t="s">
        <v>1938</v>
      </c>
      <c r="G462" s="55" t="s">
        <v>598</v>
      </c>
      <c r="H462" s="9">
        <v>5000</v>
      </c>
      <c r="I462" s="85">
        <f t="shared" si="774"/>
        <v>-61.53846153846154</v>
      </c>
      <c r="J462" s="9">
        <v>5200</v>
      </c>
      <c r="K462" s="9">
        <f>ROUNDUP(J462+(J462*Assumptions!J$5),-2)</f>
        <v>5400</v>
      </c>
      <c r="L462" s="9">
        <f>ROUNDUP(K462+(K462*Assumptions!K$5),-2)</f>
        <v>5600</v>
      </c>
      <c r="M462" s="9">
        <f>ROUNDUP(L462+(L462*Assumptions!L$5),-2)</f>
        <v>5800</v>
      </c>
      <c r="N462" s="9">
        <f>ROUNDUP(M462+(M462*Assumptions!M$5),-2)</f>
        <v>6000</v>
      </c>
      <c r="O462" s="9">
        <f>ROUNDUP(N462+(N462*Assumptions!N$5),-2)</f>
        <v>6200</v>
      </c>
      <c r="P462" s="9">
        <f>ROUNDUP(O462+(O462*Assumptions!O$5),-2)</f>
        <v>6400</v>
      </c>
      <c r="Q462" s="9">
        <f>ROUNDUP(P462+(P462*Assumptions!P$5),-2)</f>
        <v>6600</v>
      </c>
      <c r="R462" s="9">
        <f>ROUNDUP(Q462+(Q462*Assumptions!Q$5),-2)</f>
        <v>6800</v>
      </c>
      <c r="S462" s="47">
        <f>ROUNDUP(R462+(R462*Assumptions!R$5),-2)</f>
        <v>7000</v>
      </c>
    </row>
    <row r="463" spans="1:19" x14ac:dyDescent="0.2">
      <c r="A463" s="54">
        <v>200</v>
      </c>
      <c r="B463" s="9">
        <v>2500</v>
      </c>
      <c r="C463" s="9">
        <v>3500</v>
      </c>
      <c r="D463" s="9">
        <v>1100</v>
      </c>
      <c r="E463" s="9">
        <v>0</v>
      </c>
      <c r="F463" s="469" t="s">
        <v>1540</v>
      </c>
      <c r="G463" s="55" t="s">
        <v>1889</v>
      </c>
      <c r="H463" s="9">
        <v>2000</v>
      </c>
      <c r="I463" s="85">
        <f t="shared" si="774"/>
        <v>100</v>
      </c>
      <c r="J463" s="9">
        <v>4000</v>
      </c>
      <c r="K463" s="9">
        <f>ROUNDUP(J463+(J463*Assumptions!J$5),-2)</f>
        <v>4100</v>
      </c>
      <c r="L463" s="9">
        <f>ROUNDUP(K463+(K463*Assumptions!K$5),-2)</f>
        <v>4300</v>
      </c>
      <c r="M463" s="9">
        <f>ROUNDUP(L463+(L463*Assumptions!L$5),-2)</f>
        <v>4500</v>
      </c>
      <c r="N463" s="9">
        <f>ROUNDUP(M463+(M463*Assumptions!M$5),-2)</f>
        <v>4700</v>
      </c>
      <c r="O463" s="9">
        <f>ROUNDUP(N463+(N463*Assumptions!N$5),-2)</f>
        <v>4900</v>
      </c>
      <c r="P463" s="9">
        <f>ROUNDUP(O463+(O463*Assumptions!O$5),-2)</f>
        <v>5100</v>
      </c>
      <c r="Q463" s="9">
        <f>ROUNDUP(P463+(P463*Assumptions!P$5),-2)</f>
        <v>5300</v>
      </c>
      <c r="R463" s="9">
        <f>ROUNDUP(Q463+(Q463*Assumptions!Q$5),-2)</f>
        <v>5500</v>
      </c>
      <c r="S463" s="47">
        <f>ROUNDUP(R463+(R463*Assumptions!R$5),-2)</f>
        <v>5700</v>
      </c>
    </row>
    <row r="464" spans="1:19" x14ac:dyDescent="0.2">
      <c r="A464" s="54">
        <v>4200</v>
      </c>
      <c r="B464" s="9">
        <v>3800</v>
      </c>
      <c r="C464" s="46">
        <v>3300</v>
      </c>
      <c r="D464" s="9">
        <v>2900</v>
      </c>
      <c r="E464" s="9">
        <v>4800</v>
      </c>
      <c r="F464" s="469" t="s">
        <v>1094</v>
      </c>
      <c r="G464" s="385" t="s">
        <v>1571</v>
      </c>
      <c r="H464" s="9">
        <v>5000</v>
      </c>
      <c r="I464" s="85">
        <f t="shared" si="774"/>
        <v>4.1666666666666661</v>
      </c>
      <c r="J464" s="9">
        <v>5000</v>
      </c>
      <c r="K464" s="9">
        <f>ROUNDUP(J464+(J464*Assumptions!J$5),-2)</f>
        <v>5200</v>
      </c>
      <c r="L464" s="9">
        <f>ROUNDUP(K464+(K464*Assumptions!K$5),-2)</f>
        <v>5400</v>
      </c>
      <c r="M464" s="9">
        <f>ROUNDUP(L464+(L464*Assumptions!L$5),-2)</f>
        <v>5600</v>
      </c>
      <c r="N464" s="9">
        <f>ROUNDUP(M464+(M464*Assumptions!M$5),-2)</f>
        <v>5800</v>
      </c>
      <c r="O464" s="9">
        <f>ROUNDUP(N464+(N464*Assumptions!N$5),-2)</f>
        <v>6000</v>
      </c>
      <c r="P464" s="9">
        <f>ROUNDUP(O464+(O464*Assumptions!O$5),-2)</f>
        <v>6200</v>
      </c>
      <c r="Q464" s="9">
        <f>ROUNDUP(P464+(P464*Assumptions!P$5),-2)</f>
        <v>6400</v>
      </c>
      <c r="R464" s="9">
        <f>ROUNDUP(Q464+(Q464*Assumptions!Q$5),-2)</f>
        <v>6600</v>
      </c>
      <c r="S464" s="47">
        <f>ROUNDUP(R464+(R464*Assumptions!R$5),-2)</f>
        <v>6800</v>
      </c>
    </row>
    <row r="465" spans="1:23" x14ac:dyDescent="0.2">
      <c r="A465" s="54">
        <v>4600</v>
      </c>
      <c r="B465" s="9">
        <v>3800</v>
      </c>
      <c r="C465" s="9">
        <v>3400</v>
      </c>
      <c r="D465" s="9">
        <v>4600</v>
      </c>
      <c r="E465" s="9">
        <f>300</f>
        <v>300</v>
      </c>
      <c r="F465" s="769" t="s">
        <v>6440</v>
      </c>
      <c r="G465" s="772" t="s">
        <v>6483</v>
      </c>
      <c r="H465" s="9">
        <v>5100</v>
      </c>
      <c r="I465" s="85">
        <f t="shared" si="774"/>
        <v>1600</v>
      </c>
      <c r="J465" s="9">
        <v>5000</v>
      </c>
      <c r="K465" s="9">
        <f>ROUNDUP(J465+(J465*Assumptions!J$5),-2)</f>
        <v>5200</v>
      </c>
      <c r="L465" s="9">
        <f>ROUNDUP(K465+(K465*Assumptions!K$5),-2)</f>
        <v>5400</v>
      </c>
      <c r="M465" s="9">
        <f>ROUNDUP(L465+(L465*Assumptions!L$5),-2)</f>
        <v>5600</v>
      </c>
      <c r="N465" s="9">
        <f>ROUNDUP(M465+(M465*Assumptions!M$5),-2)</f>
        <v>5800</v>
      </c>
      <c r="O465" s="9">
        <f>ROUNDUP(N465+(N465*Assumptions!N$5),-2)</f>
        <v>6000</v>
      </c>
      <c r="P465" s="89">
        <f>ROUNDUP(O465+(O465*Assumptions!O$5),-2)</f>
        <v>6200</v>
      </c>
      <c r="Q465" s="9">
        <f>ROUNDUP(P465+(P465*Assumptions!P$5),-2)</f>
        <v>6400</v>
      </c>
      <c r="R465" s="9">
        <f>ROUNDUP(Q465+(Q465*Assumptions!Q$5),-2)</f>
        <v>6600</v>
      </c>
      <c r="S465" s="47">
        <f>ROUNDUP(R465+(R465*Assumptions!R$5),-2)</f>
        <v>6800</v>
      </c>
    </row>
    <row r="466" spans="1:23" x14ac:dyDescent="0.2">
      <c r="A466" s="54">
        <v>54500</v>
      </c>
      <c r="B466" s="9">
        <v>53000</v>
      </c>
      <c r="C466" s="46">
        <v>59900</v>
      </c>
      <c r="D466" s="9">
        <v>68700</v>
      </c>
      <c r="E466" s="9">
        <v>66500</v>
      </c>
      <c r="F466" s="469" t="s">
        <v>2451</v>
      </c>
      <c r="G466" s="385" t="s">
        <v>1877</v>
      </c>
      <c r="H466" s="9">
        <v>75000</v>
      </c>
      <c r="I466" s="85">
        <f t="shared" si="774"/>
        <v>12.781954887218044</v>
      </c>
      <c r="J466" s="9">
        <v>77000</v>
      </c>
      <c r="K466" s="9">
        <f>ROUNDUP(J466+(J466*Assumptions!J$5),-2)</f>
        <v>79000</v>
      </c>
      <c r="L466" s="9">
        <f>ROUNDUP(K466+(K466*Assumptions!K$5),-2)</f>
        <v>81000</v>
      </c>
      <c r="M466" s="9">
        <f>ROUNDUP(L466+(L466*Assumptions!L$5),-2)</f>
        <v>83100</v>
      </c>
      <c r="N466" s="9">
        <f>ROUNDUP(M466+(M466*Assumptions!M$5),-2)</f>
        <v>85200</v>
      </c>
      <c r="O466" s="9">
        <f>ROUNDUP(N466+(N466*Assumptions!N$5),-2)</f>
        <v>87400</v>
      </c>
      <c r="P466" s="9">
        <f>ROUNDUP(O466+(O466*Assumptions!O$5),-2)</f>
        <v>89600</v>
      </c>
      <c r="Q466" s="9">
        <f>ROUNDUP(P466+(P466*Assumptions!P$5),-2)</f>
        <v>91900</v>
      </c>
      <c r="R466" s="9">
        <f>ROUNDUP(Q466+(Q466*Assumptions!Q$5),-2)</f>
        <v>94200</v>
      </c>
      <c r="S466" s="47">
        <f>ROUNDUP(R466+(R466*Assumptions!R$5),-2)</f>
        <v>96600</v>
      </c>
    </row>
    <row r="467" spans="1:23" x14ac:dyDescent="0.2">
      <c r="A467" s="54">
        <v>1100</v>
      </c>
      <c r="B467" s="9">
        <v>6100</v>
      </c>
      <c r="C467" s="9">
        <v>0</v>
      </c>
      <c r="D467" s="9">
        <v>1000</v>
      </c>
      <c r="E467" s="9">
        <v>5300</v>
      </c>
      <c r="F467" s="469" t="s">
        <v>2452</v>
      </c>
      <c r="G467" s="55" t="s">
        <v>2103</v>
      </c>
      <c r="H467" s="9">
        <f>2000+500</f>
        <v>2500</v>
      </c>
      <c r="I467" s="85">
        <f t="shared" si="774"/>
        <v>-52.830188679245282</v>
      </c>
      <c r="J467" s="9">
        <v>2500</v>
      </c>
      <c r="K467" s="9">
        <f>ROUNDUP(J467+(J467*Assumptions!J$5),-2)</f>
        <v>2600</v>
      </c>
      <c r="L467" s="9">
        <f>ROUNDUP(K467+(K467*Assumptions!K$5),-2)</f>
        <v>2700</v>
      </c>
      <c r="M467" s="9">
        <f>ROUNDUP(L467+(L467*Assumptions!L$5),-2)</f>
        <v>2800</v>
      </c>
      <c r="N467" s="9">
        <f>ROUNDUP(M467+(M467*Assumptions!M$5),-2)</f>
        <v>2900</v>
      </c>
      <c r="O467" s="9">
        <f>ROUNDUP(N467+(N467*Assumptions!N$5),-2)</f>
        <v>3000</v>
      </c>
      <c r="P467" s="9">
        <f>ROUNDUP(O467+(O467*Assumptions!O$5),-2)</f>
        <v>3100</v>
      </c>
      <c r="Q467" s="9">
        <f>ROUNDUP(P467+(P467*Assumptions!P$5),-2)</f>
        <v>3200</v>
      </c>
      <c r="R467" s="9">
        <f>ROUNDUP(Q467+(Q467*Assumptions!Q$5),-2)</f>
        <v>3300</v>
      </c>
      <c r="S467" s="47">
        <f>ROUNDUP(R467+(R467*Assumptions!R$5),-2)</f>
        <v>3400</v>
      </c>
    </row>
    <row r="468" spans="1:23" x14ac:dyDescent="0.2">
      <c r="A468" s="54"/>
      <c r="B468" s="9"/>
      <c r="C468" s="9"/>
      <c r="D468" s="9"/>
      <c r="E468" s="9"/>
      <c r="F468" s="240"/>
      <c r="G468" s="55"/>
      <c r="H468" s="9"/>
      <c r="I468" s="85"/>
      <c r="J468" s="9"/>
      <c r="K468" s="9"/>
      <c r="L468" s="9"/>
      <c r="M468" s="9"/>
      <c r="N468" s="9"/>
      <c r="O468" s="9"/>
      <c r="P468" s="9"/>
      <c r="Q468" s="9"/>
      <c r="R468" s="9"/>
      <c r="S468" s="47"/>
    </row>
    <row r="469" spans="1:23" s="39" customFormat="1" x14ac:dyDescent="0.2">
      <c r="A469" s="24"/>
      <c r="B469" s="21"/>
      <c r="C469" s="21"/>
      <c r="D469" s="9"/>
      <c r="E469" s="21"/>
      <c r="F469" s="241"/>
      <c r="G469" s="84" t="s">
        <v>252</v>
      </c>
      <c r="H469" s="21"/>
      <c r="I469" s="85"/>
      <c r="J469" s="21"/>
      <c r="K469" s="21"/>
      <c r="L469" s="21"/>
      <c r="M469" s="21"/>
      <c r="N469" s="21"/>
      <c r="O469" s="21"/>
      <c r="P469" s="21"/>
      <c r="Q469" s="21"/>
      <c r="R469" s="21"/>
      <c r="S469" s="86"/>
      <c r="U469" s="34"/>
      <c r="W469" s="34"/>
    </row>
    <row r="470" spans="1:23" x14ac:dyDescent="0.2">
      <c r="A470" s="54">
        <v>34200</v>
      </c>
      <c r="B470" s="9">
        <v>35000</v>
      </c>
      <c r="C470" s="9">
        <v>35900</v>
      </c>
      <c r="D470" s="9">
        <v>40100</v>
      </c>
      <c r="E470" s="9">
        <v>41100</v>
      </c>
      <c r="F470" s="469" t="s">
        <v>757</v>
      </c>
      <c r="G470" s="55" t="s">
        <v>758</v>
      </c>
      <c r="H470" s="9">
        <v>45000</v>
      </c>
      <c r="I470" s="85">
        <f t="shared" ref="I470:I481" si="775">IF(E470=H470,0,IF(E470=0,100,(H470-E470)/E470*100))</f>
        <v>9.4890510948905096</v>
      </c>
      <c r="J470" s="9">
        <v>46000</v>
      </c>
      <c r="K470" s="9">
        <f>ROUNDUP(J470+(J470*Assumptions!J$5),-2)</f>
        <v>47200</v>
      </c>
      <c r="L470" s="9">
        <f>ROUNDUP(K470+(K470*Assumptions!K$5),-2)</f>
        <v>48400</v>
      </c>
      <c r="M470" s="9">
        <f>ROUNDUP(L470+(L470*Assumptions!L$5),-2)</f>
        <v>49700</v>
      </c>
      <c r="N470" s="9">
        <f>ROUNDUP(M470+(M470*Assumptions!M$5),-2)</f>
        <v>51000</v>
      </c>
      <c r="O470" s="9">
        <f>ROUNDUP(N470+(N470*Assumptions!N$5),-2)</f>
        <v>52300</v>
      </c>
      <c r="P470" s="9">
        <f>ROUNDUP(O470+(O470*Assumptions!O$5),-2)</f>
        <v>53700</v>
      </c>
      <c r="Q470" s="9">
        <f>ROUNDUP(P470+(P470*Assumptions!P$5),-2)</f>
        <v>55100</v>
      </c>
      <c r="R470" s="9">
        <f>ROUNDUP(Q470+(Q470*Assumptions!Q$5),-2)</f>
        <v>56500</v>
      </c>
      <c r="S470" s="47">
        <f>ROUNDUP(R470+(R470*Assumptions!R$5),-2)</f>
        <v>58000</v>
      </c>
    </row>
    <row r="471" spans="1:23" x14ac:dyDescent="0.2">
      <c r="A471" s="54">
        <v>166400</v>
      </c>
      <c r="B471" s="9">
        <v>178100</v>
      </c>
      <c r="C471" s="9">
        <v>181100</v>
      </c>
      <c r="D471" s="9">
        <v>183800</v>
      </c>
      <c r="E471" s="9">
        <v>183700</v>
      </c>
      <c r="F471" s="469" t="s">
        <v>2065</v>
      </c>
      <c r="G471" s="58" t="s">
        <v>7198</v>
      </c>
      <c r="H471" s="9">
        <v>184000</v>
      </c>
      <c r="I471" s="85">
        <f t="shared" si="775"/>
        <v>0.16330974414806748</v>
      </c>
      <c r="J471" s="9">
        <v>188000</v>
      </c>
      <c r="K471" s="9">
        <f>ROUNDUP(J471+(J471*Assumptions!J$5),-2)</f>
        <v>192700</v>
      </c>
      <c r="L471" s="9">
        <f>ROUNDUP(K471+(K471*Assumptions!K$5),-2)</f>
        <v>197600</v>
      </c>
      <c r="M471" s="9">
        <f>ROUNDUP(L471+(L471*Assumptions!L$5),-2)</f>
        <v>202600</v>
      </c>
      <c r="N471" s="9">
        <f>ROUNDUP(M471+(M471*Assumptions!M$5),-2)</f>
        <v>207700</v>
      </c>
      <c r="O471" s="9">
        <f>ROUNDUP(N471+(N471*Assumptions!N$5),-2)</f>
        <v>212900</v>
      </c>
      <c r="P471" s="9">
        <f>ROUNDUP(O471+(O471*Assumptions!O$5),-2)</f>
        <v>218300</v>
      </c>
      <c r="Q471" s="9">
        <f>ROUNDUP(P471+(P471*Assumptions!P$5),-2)</f>
        <v>223800</v>
      </c>
      <c r="R471" s="9">
        <f>ROUNDUP(Q471+(Q471*Assumptions!Q$5),-2)</f>
        <v>229400</v>
      </c>
      <c r="S471" s="47">
        <f>ROUNDUP(R471+(R471*Assumptions!R$5),-2)</f>
        <v>235200</v>
      </c>
    </row>
    <row r="472" spans="1:23" x14ac:dyDescent="0.2">
      <c r="A472" s="54">
        <v>21800</v>
      </c>
      <c r="B472" s="9">
        <v>13300</v>
      </c>
      <c r="C472" s="9">
        <v>10100</v>
      </c>
      <c r="D472" s="9">
        <v>9500</v>
      </c>
      <c r="E472" s="9">
        <f>247400-E470-E471-E473</f>
        <v>15800</v>
      </c>
      <c r="F472" s="469" t="s">
        <v>2066</v>
      </c>
      <c r="G472" s="58" t="s">
        <v>7199</v>
      </c>
      <c r="H472" s="9">
        <v>17000</v>
      </c>
      <c r="I472" s="85">
        <f t="shared" si="775"/>
        <v>7.59493670886076</v>
      </c>
      <c r="J472" s="9">
        <v>17000</v>
      </c>
      <c r="K472" s="9">
        <f>ROUNDUP(J472+(J472*Assumptions!J$5),-2)</f>
        <v>17500</v>
      </c>
      <c r="L472" s="9">
        <f>ROUNDUP(K472+(K472*Assumptions!K$5),-2)</f>
        <v>18000</v>
      </c>
      <c r="M472" s="9">
        <f>ROUNDUP(L472+(L472*Assumptions!L$5),-2)</f>
        <v>18500</v>
      </c>
      <c r="N472" s="9">
        <f>ROUNDUP(M472+(M472*Assumptions!M$5),-2)</f>
        <v>19000</v>
      </c>
      <c r="O472" s="9">
        <f>ROUNDUP(N472+(N472*Assumptions!N$5),-2)</f>
        <v>19500</v>
      </c>
      <c r="P472" s="9">
        <f>ROUNDUP(O472+(O472*Assumptions!O$5),-2)</f>
        <v>20000</v>
      </c>
      <c r="Q472" s="9">
        <f>ROUNDUP(P472+(P472*Assumptions!P$5),-2)</f>
        <v>20500</v>
      </c>
      <c r="R472" s="9">
        <f>ROUNDUP(Q472+(Q472*Assumptions!Q$5),-2)</f>
        <v>21100</v>
      </c>
      <c r="S472" s="47">
        <f>ROUNDUP(R472+(R472*Assumptions!R$5),-2)</f>
        <v>21700</v>
      </c>
    </row>
    <row r="473" spans="1:23" x14ac:dyDescent="0.2">
      <c r="A473" s="54">
        <v>26600</v>
      </c>
      <c r="B473" s="9">
        <v>1600</v>
      </c>
      <c r="C473" s="9">
        <f>6200-700</f>
        <v>5500</v>
      </c>
      <c r="D473" s="9">
        <v>7700</v>
      </c>
      <c r="E473" s="9">
        <v>6800</v>
      </c>
      <c r="F473" s="469" t="s">
        <v>2579</v>
      </c>
      <c r="G473" s="58" t="s">
        <v>7200</v>
      </c>
      <c r="H473" s="9">
        <v>7000</v>
      </c>
      <c r="I473" s="85">
        <f t="shared" si="775"/>
        <v>2.9411764705882351</v>
      </c>
      <c r="J473" s="9">
        <v>7200</v>
      </c>
      <c r="K473" s="9">
        <f>ROUNDUP(J473+(J473*Assumptions!J$5),-2)</f>
        <v>7400</v>
      </c>
      <c r="L473" s="9">
        <f>ROUNDUP(K473+(K473*Assumptions!K$5),-2)</f>
        <v>7600</v>
      </c>
      <c r="M473" s="9">
        <f>ROUNDUP(L473+(L473*Assumptions!L$5),-2)</f>
        <v>7800</v>
      </c>
      <c r="N473" s="9">
        <f>ROUNDUP(M473+(M473*Assumptions!M$5),-2)</f>
        <v>8000</v>
      </c>
      <c r="O473" s="9">
        <f>ROUNDUP(N473+(N473*Assumptions!N$5),-2)</f>
        <v>8200</v>
      </c>
      <c r="P473" s="9">
        <f>ROUNDUP(O473+(O473*Assumptions!O$5),-2)</f>
        <v>8500</v>
      </c>
      <c r="Q473" s="9">
        <f>ROUNDUP(P473+(P473*Assumptions!P$5),-2)</f>
        <v>8800</v>
      </c>
      <c r="R473" s="9">
        <f>ROUNDUP(Q473+(Q473*Assumptions!Q$5),-2)</f>
        <v>9100</v>
      </c>
      <c r="S473" s="47">
        <f>ROUNDUP(R473+(R473*Assumptions!R$5),-2)</f>
        <v>9400</v>
      </c>
    </row>
    <row r="474" spans="1:23" x14ac:dyDescent="0.2">
      <c r="A474" s="54">
        <v>8400</v>
      </c>
      <c r="B474" s="9">
        <v>16700</v>
      </c>
      <c r="C474" s="9">
        <v>8100</v>
      </c>
      <c r="D474" s="9">
        <v>3600</v>
      </c>
      <c r="E474" s="9">
        <f>2900+500</f>
        <v>3400</v>
      </c>
      <c r="F474" s="469" t="s">
        <v>1434</v>
      </c>
      <c r="G474" s="58" t="s">
        <v>832</v>
      </c>
      <c r="H474" s="9">
        <v>7000</v>
      </c>
      <c r="I474" s="85">
        <f t="shared" si="775"/>
        <v>105.88235294117648</v>
      </c>
      <c r="J474" s="9">
        <v>7200</v>
      </c>
      <c r="K474" s="9">
        <f>ROUNDUP(J474+(J474*Assumptions!J$5),-2)</f>
        <v>7400</v>
      </c>
      <c r="L474" s="9">
        <f>ROUNDUP(K474+(K474*Assumptions!K$5),-2)</f>
        <v>7600</v>
      </c>
      <c r="M474" s="9">
        <f>ROUNDUP(L474+(L474*Assumptions!L$5),-2)</f>
        <v>7800</v>
      </c>
      <c r="N474" s="9">
        <f>ROUNDUP(M474+(M474*Assumptions!M$5),-2)</f>
        <v>8000</v>
      </c>
      <c r="O474" s="9">
        <f>ROUNDUP(N474+(N474*Assumptions!N$5),-2)</f>
        <v>8200</v>
      </c>
      <c r="P474" s="9">
        <f>ROUNDUP(O474+(O474*Assumptions!O$5),-2)</f>
        <v>8500</v>
      </c>
      <c r="Q474" s="9">
        <f>ROUNDUP(P474+(P474*Assumptions!P$5),-2)</f>
        <v>8800</v>
      </c>
      <c r="R474" s="9">
        <f>ROUNDUP(Q474+(Q474*Assumptions!Q$5),-2)</f>
        <v>9100</v>
      </c>
      <c r="S474" s="47">
        <f>ROUNDUP(R474+(R474*Assumptions!R$5),-2)</f>
        <v>9400</v>
      </c>
    </row>
    <row r="475" spans="1:23" x14ac:dyDescent="0.2">
      <c r="A475" s="54">
        <v>13300</v>
      </c>
      <c r="B475" s="9">
        <v>12800</v>
      </c>
      <c r="C475" s="9">
        <v>10600</v>
      </c>
      <c r="D475" s="9">
        <v>10300</v>
      </c>
      <c r="E475" s="9">
        <v>11300</v>
      </c>
      <c r="F475" s="469" t="s">
        <v>187</v>
      </c>
      <c r="G475" s="58" t="s">
        <v>7201</v>
      </c>
      <c r="H475" s="9">
        <v>12000</v>
      </c>
      <c r="I475" s="85">
        <f t="shared" si="775"/>
        <v>6.1946902654867255</v>
      </c>
      <c r="J475" s="9">
        <v>12000</v>
      </c>
      <c r="K475" s="9">
        <f>ROUNDUP(J475+(J475*Assumptions!J$5),-2)</f>
        <v>12300</v>
      </c>
      <c r="L475" s="9">
        <f>ROUNDUP(K475+(K475*Assumptions!K$5),-2)</f>
        <v>12700</v>
      </c>
      <c r="M475" s="9">
        <f>ROUNDUP(L475+(L475*Assumptions!L$5),-2)</f>
        <v>13100</v>
      </c>
      <c r="N475" s="9">
        <f>ROUNDUP(M475+(M475*Assumptions!M$5),-2)</f>
        <v>13500</v>
      </c>
      <c r="O475" s="9">
        <f>ROUNDUP(N475+(N475*Assumptions!N$5),-2)</f>
        <v>13900</v>
      </c>
      <c r="P475" s="9">
        <f>ROUNDUP(O475+(O475*Assumptions!O$5),-2)</f>
        <v>14300</v>
      </c>
      <c r="Q475" s="9">
        <f>ROUNDUP(P475+(P475*Assumptions!P$5),-2)</f>
        <v>14700</v>
      </c>
      <c r="R475" s="9">
        <f>ROUNDUP(Q475+(Q475*Assumptions!Q$5),-2)</f>
        <v>15100</v>
      </c>
      <c r="S475" s="47">
        <f>ROUNDUP(R475+(R475*Assumptions!R$5),-2)</f>
        <v>15500</v>
      </c>
    </row>
    <row r="476" spans="1:23" x14ac:dyDescent="0.2">
      <c r="A476" s="54">
        <v>0</v>
      </c>
      <c r="B476" s="9">
        <v>28000</v>
      </c>
      <c r="C476" s="9">
        <v>25900</v>
      </c>
      <c r="D476" s="9">
        <v>26500</v>
      </c>
      <c r="E476" s="9">
        <v>33700</v>
      </c>
      <c r="F476" s="769" t="s">
        <v>2956</v>
      </c>
      <c r="G476" s="58" t="s">
        <v>7202</v>
      </c>
      <c r="H476" s="9">
        <f>34500-500</f>
        <v>34000</v>
      </c>
      <c r="I476" s="85">
        <f t="shared" si="775"/>
        <v>0.89020771513353114</v>
      </c>
      <c r="J476" s="9">
        <v>34000</v>
      </c>
      <c r="K476" s="9">
        <f>ROUNDUP(J476+(J476*Assumptions!J$5),-2)</f>
        <v>34900</v>
      </c>
      <c r="L476" s="9">
        <f>ROUNDUP(K476+(K476*Assumptions!K$5),-2)</f>
        <v>35800</v>
      </c>
      <c r="M476" s="9">
        <f>ROUNDUP(L476+(L476*Assumptions!L$5),-2)</f>
        <v>36700</v>
      </c>
      <c r="N476" s="9">
        <f>ROUNDUP(M476+(M476*Assumptions!M$5),-2)</f>
        <v>37700</v>
      </c>
      <c r="O476" s="9">
        <f>ROUNDUP(N476+(N476*Assumptions!N$5),-2)</f>
        <v>38700</v>
      </c>
      <c r="P476" s="9">
        <f>ROUNDUP(O476+(O476*Assumptions!O$5),-2)</f>
        <v>39700</v>
      </c>
      <c r="Q476" s="9">
        <f>ROUNDUP(P476+(P476*Assumptions!P$5),-2)</f>
        <v>40700</v>
      </c>
      <c r="R476" s="9">
        <f>ROUNDUP(Q476+(Q476*Assumptions!Q$5),-2)</f>
        <v>41800</v>
      </c>
      <c r="S476" s="47">
        <f>ROUNDUP(R476+(R476*Assumptions!R$5),-2)</f>
        <v>42900</v>
      </c>
    </row>
    <row r="477" spans="1:23" x14ac:dyDescent="0.2">
      <c r="A477" s="54">
        <v>7200</v>
      </c>
      <c r="B477" s="9">
        <f>11500+100</f>
        <v>11600</v>
      </c>
      <c r="C477" s="9">
        <v>12000</v>
      </c>
      <c r="D477" s="9">
        <v>12400</v>
      </c>
      <c r="E477" s="9">
        <v>12700</v>
      </c>
      <c r="F477" s="469" t="s">
        <v>1469</v>
      </c>
      <c r="G477" s="58" t="s">
        <v>7203</v>
      </c>
      <c r="H477" s="9">
        <v>12000</v>
      </c>
      <c r="I477" s="85">
        <f t="shared" si="775"/>
        <v>-5.5118110236220472</v>
      </c>
      <c r="J477" s="9">
        <v>12300</v>
      </c>
      <c r="K477" s="9">
        <f>ROUNDUP(J477+(J477*Assumptions!J$5),-2)</f>
        <v>12700</v>
      </c>
      <c r="L477" s="9">
        <f>ROUNDUP(K477+(K477*Assumptions!K$5),-2)</f>
        <v>13100</v>
      </c>
      <c r="M477" s="9">
        <f>ROUNDUP(L477+(L477*Assumptions!L$5),-2)</f>
        <v>13500</v>
      </c>
      <c r="N477" s="9">
        <f>ROUNDUP(M477+(M477*Assumptions!M$5),-2)</f>
        <v>13900</v>
      </c>
      <c r="O477" s="9">
        <f>ROUNDUP(N477+(N477*Assumptions!N$5),-2)</f>
        <v>14300</v>
      </c>
      <c r="P477" s="9">
        <f>ROUNDUP(O477+(O477*Assumptions!O$5),-2)</f>
        <v>14700</v>
      </c>
      <c r="Q477" s="9">
        <f>ROUNDUP(P477+(P477*Assumptions!P$5),-2)</f>
        <v>15100</v>
      </c>
      <c r="R477" s="9">
        <f>ROUNDUP(Q477+(Q477*Assumptions!Q$5),-2)</f>
        <v>15500</v>
      </c>
      <c r="S477" s="47">
        <f>ROUNDUP(R477+(R477*Assumptions!R$5),-2)</f>
        <v>15900</v>
      </c>
    </row>
    <row r="478" spans="1:23" x14ac:dyDescent="0.2">
      <c r="A478" s="54">
        <v>14700</v>
      </c>
      <c r="B478" s="79">
        <f>8800-100</f>
        <v>8700</v>
      </c>
      <c r="C478" s="9">
        <v>7100</v>
      </c>
      <c r="D478" s="9">
        <v>5900</v>
      </c>
      <c r="E478" s="9">
        <v>6800</v>
      </c>
      <c r="F478" s="469" t="s">
        <v>2673</v>
      </c>
      <c r="G478" s="58" t="s">
        <v>7204</v>
      </c>
      <c r="H478" s="9">
        <v>10000</v>
      </c>
      <c r="I478" s="85">
        <f t="shared" si="775"/>
        <v>47.058823529411761</v>
      </c>
      <c r="J478" s="9">
        <v>10000</v>
      </c>
      <c r="K478" s="9">
        <f>ROUNDUP(J478+(J478*Assumptions!J$5),-2)</f>
        <v>10300</v>
      </c>
      <c r="L478" s="9">
        <f>ROUNDUP(K478+(K478*Assumptions!K$5),-2)</f>
        <v>10600</v>
      </c>
      <c r="M478" s="9">
        <f>ROUNDUP(L478+(L478*Assumptions!L$5),-2)</f>
        <v>10900</v>
      </c>
      <c r="N478" s="9">
        <f>ROUNDUP(M478+(M478*Assumptions!M$5),-2)</f>
        <v>11200</v>
      </c>
      <c r="O478" s="9">
        <f>ROUNDUP(N478+(N478*Assumptions!N$5),-2)</f>
        <v>11500</v>
      </c>
      <c r="P478" s="9">
        <f>ROUNDUP(O478+(O478*Assumptions!O$5),-2)</f>
        <v>11800</v>
      </c>
      <c r="Q478" s="9">
        <f>ROUNDUP(P478+(P478*Assumptions!P$5),-2)</f>
        <v>12100</v>
      </c>
      <c r="R478" s="9">
        <f>ROUNDUP(Q478+(Q478*Assumptions!Q$5),-2)</f>
        <v>12500</v>
      </c>
      <c r="S478" s="47">
        <f>ROUNDUP(R478+(R478*Assumptions!R$5),-2)</f>
        <v>12900</v>
      </c>
    </row>
    <row r="479" spans="1:23" x14ac:dyDescent="0.2">
      <c r="A479" s="54">
        <v>0</v>
      </c>
      <c r="B479" s="79">
        <v>0</v>
      </c>
      <c r="C479" s="9">
        <v>0</v>
      </c>
      <c r="D479" s="9">
        <v>0</v>
      </c>
      <c r="E479" s="9">
        <v>5700</v>
      </c>
      <c r="F479" s="769" t="s">
        <v>7028</v>
      </c>
      <c r="G479" s="58" t="s">
        <v>7207</v>
      </c>
      <c r="H479" s="9">
        <v>0</v>
      </c>
      <c r="I479" s="85">
        <f t="shared" si="775"/>
        <v>-100</v>
      </c>
      <c r="J479" s="9">
        <v>0</v>
      </c>
      <c r="K479" s="9">
        <f>ROUNDUP(J479+(J479*Assumptions!J$5),-2)</f>
        <v>0</v>
      </c>
      <c r="L479" s="9">
        <v>10000</v>
      </c>
      <c r="M479" s="9">
        <v>0</v>
      </c>
      <c r="N479" s="9">
        <f>ROUNDUP(M479+(M479*Assumptions!M$5),-2)</f>
        <v>0</v>
      </c>
      <c r="O479" s="9">
        <f>ROUNDUP(N479+(N479*Assumptions!N$5),-2)</f>
        <v>0</v>
      </c>
      <c r="P479" s="9">
        <v>12000</v>
      </c>
      <c r="Q479" s="9">
        <v>0</v>
      </c>
      <c r="R479" s="9">
        <f>ROUNDUP(Q479+(Q479*Assumptions!Q$5),-2)</f>
        <v>0</v>
      </c>
      <c r="S479" s="47">
        <f>ROUNDUP(R479+(R479*Assumptions!R$5),-2)</f>
        <v>0</v>
      </c>
    </row>
    <row r="480" spans="1:23" x14ac:dyDescent="0.2">
      <c r="A480" s="54">
        <v>23500</v>
      </c>
      <c r="B480" s="9">
        <v>23600</v>
      </c>
      <c r="C480" s="9">
        <v>8500</v>
      </c>
      <c r="D480" s="9">
        <v>8500</v>
      </c>
      <c r="E480" s="9">
        <v>30000</v>
      </c>
      <c r="F480" s="769" t="s">
        <v>7244</v>
      </c>
      <c r="G480" s="58" t="s">
        <v>7205</v>
      </c>
      <c r="H480" s="9">
        <v>30000</v>
      </c>
      <c r="I480" s="85">
        <f t="shared" si="775"/>
        <v>0</v>
      </c>
      <c r="J480" s="9">
        <v>31000</v>
      </c>
      <c r="K480" s="9">
        <f>ROUNDUP(J480+(J480*Assumptions!J$5),-2)</f>
        <v>31800</v>
      </c>
      <c r="L480" s="9">
        <f>ROUNDUP(K480+(K480*Assumptions!K$5),-2)</f>
        <v>32600</v>
      </c>
      <c r="M480" s="9">
        <f>ROUNDUP(L480+(L480*Assumptions!L$5),-2)</f>
        <v>33500</v>
      </c>
      <c r="N480" s="9">
        <f>ROUNDUP(M480+(M480*Assumptions!M$5),-2)</f>
        <v>34400</v>
      </c>
      <c r="O480" s="9">
        <f>ROUNDUP(N480+(N480*Assumptions!N$5),-2)</f>
        <v>35300</v>
      </c>
      <c r="P480" s="9">
        <f>ROUNDUP(O480+(O480*Assumptions!O$5),-2)</f>
        <v>36200</v>
      </c>
      <c r="Q480" s="9">
        <f>ROUNDUP(P480+(P480*Assumptions!P$5),-2)</f>
        <v>37200</v>
      </c>
      <c r="R480" s="9">
        <f>ROUNDUP(Q480+(Q480*Assumptions!Q$5),-2)</f>
        <v>38200</v>
      </c>
      <c r="S480" s="47">
        <f>ROUNDUP(R480+(R480*Assumptions!R$5),-2)</f>
        <v>39200</v>
      </c>
    </row>
    <row r="481" spans="1:23" x14ac:dyDescent="0.2">
      <c r="A481" s="54">
        <v>199800</v>
      </c>
      <c r="B481" s="9">
        <v>0</v>
      </c>
      <c r="C481" s="9">
        <v>0</v>
      </c>
      <c r="D481" s="9">
        <v>0</v>
      </c>
      <c r="E481" s="9">
        <v>246500</v>
      </c>
      <c r="F481" s="469" t="s">
        <v>1435</v>
      </c>
      <c r="G481" s="58" t="s">
        <v>7206</v>
      </c>
      <c r="H481" s="9">
        <v>0</v>
      </c>
      <c r="I481" s="85">
        <f t="shared" si="775"/>
        <v>-100</v>
      </c>
      <c r="J481" s="9">
        <v>0</v>
      </c>
      <c r="K481" s="9">
        <v>0</v>
      </c>
      <c r="L481" s="9">
        <v>260000</v>
      </c>
      <c r="M481" s="9">
        <v>0</v>
      </c>
      <c r="N481" s="9">
        <v>0</v>
      </c>
      <c r="O481" s="9">
        <v>0</v>
      </c>
      <c r="P481" s="9">
        <v>290000</v>
      </c>
      <c r="Q481" s="9">
        <v>0</v>
      </c>
      <c r="R481" s="9">
        <v>0</v>
      </c>
      <c r="S481" s="47">
        <v>0</v>
      </c>
    </row>
    <row r="482" spans="1:23" x14ac:dyDescent="0.2">
      <c r="A482" s="54"/>
      <c r="B482" s="9"/>
      <c r="C482" s="9"/>
      <c r="D482" s="9"/>
      <c r="E482" s="9"/>
      <c r="F482" s="240"/>
      <c r="G482" s="55"/>
      <c r="H482" s="9"/>
      <c r="I482" s="85"/>
      <c r="J482" s="9"/>
      <c r="K482" s="9"/>
      <c r="L482" s="9"/>
      <c r="M482" s="9"/>
      <c r="N482" s="9"/>
      <c r="O482" s="9"/>
      <c r="P482" s="9"/>
      <c r="Q482" s="9"/>
      <c r="R482" s="9"/>
      <c r="S482" s="47"/>
    </row>
    <row r="483" spans="1:23" x14ac:dyDescent="0.2">
      <c r="A483" s="54"/>
      <c r="B483" s="9"/>
      <c r="C483" s="9"/>
      <c r="D483" s="9"/>
      <c r="E483" s="9"/>
      <c r="F483" s="240"/>
      <c r="G483" s="84" t="s">
        <v>1132</v>
      </c>
      <c r="H483" s="9"/>
      <c r="I483" s="85"/>
      <c r="J483" s="9"/>
      <c r="K483" s="9"/>
      <c r="L483" s="9"/>
      <c r="M483" s="9"/>
      <c r="N483" s="9"/>
      <c r="O483" s="9"/>
      <c r="P483" s="9"/>
      <c r="Q483" s="9"/>
      <c r="R483" s="9"/>
      <c r="S483" s="47"/>
    </row>
    <row r="484" spans="1:23" x14ac:dyDescent="0.2">
      <c r="A484" s="54">
        <v>35400</v>
      </c>
      <c r="B484" s="9">
        <v>34200</v>
      </c>
      <c r="C484" s="9">
        <v>35500</v>
      </c>
      <c r="D484" s="9">
        <v>39800</v>
      </c>
      <c r="E484" s="9">
        <v>40500</v>
      </c>
      <c r="F484" s="469" t="s">
        <v>1494</v>
      </c>
      <c r="G484" s="58" t="s">
        <v>6490</v>
      </c>
      <c r="H484" s="9">
        <f>43700+2500</f>
        <v>46200</v>
      </c>
      <c r="I484" s="85">
        <f t="shared" ref="I484:I489" si="776">IF(E484=H484,0,IF(E484=0,100,(H484-E484)/E484*100))</f>
        <v>14.074074074074074</v>
      </c>
      <c r="J484" s="9">
        <v>47000</v>
      </c>
      <c r="K484" s="9">
        <f>ROUNDUP(J484+(J484*Assumptions!J$5),-2)</f>
        <v>48200</v>
      </c>
      <c r="L484" s="9">
        <f>ROUNDUP(K484+(K484*Assumptions!K$5),-2)</f>
        <v>49500</v>
      </c>
      <c r="M484" s="9">
        <f>ROUNDUP(L484+(L484*Assumptions!L$5),-2)</f>
        <v>50800</v>
      </c>
      <c r="N484" s="9">
        <f>ROUNDUP(M484+(M484*Assumptions!M$5),-2)</f>
        <v>52100</v>
      </c>
      <c r="O484" s="9">
        <f>ROUNDUP(N484+(N484*Assumptions!N$5),-2)</f>
        <v>53500</v>
      </c>
      <c r="P484" s="9">
        <f>ROUNDUP(O484+(O484*Assumptions!O$5),-2)</f>
        <v>54900</v>
      </c>
      <c r="Q484" s="9">
        <f>ROUNDUP(P484+(P484*Assumptions!P$5),-2)</f>
        <v>56300</v>
      </c>
      <c r="R484" s="9">
        <f>ROUNDUP(Q484+(Q484*Assumptions!Q$5),-2)</f>
        <v>57800</v>
      </c>
      <c r="S484" s="47">
        <f>ROUNDUP(R484+(R484*Assumptions!R$5),-2)</f>
        <v>59300</v>
      </c>
    </row>
    <row r="485" spans="1:23" x14ac:dyDescent="0.2">
      <c r="A485" s="54">
        <v>17600</v>
      </c>
      <c r="B485" s="9">
        <v>17600</v>
      </c>
      <c r="C485" s="9">
        <v>17600</v>
      </c>
      <c r="D485" s="9">
        <v>17500</v>
      </c>
      <c r="E485" s="9">
        <v>17600</v>
      </c>
      <c r="F485" s="469" t="s">
        <v>1495</v>
      </c>
      <c r="G485" s="55" t="s">
        <v>1886</v>
      </c>
      <c r="H485" s="9">
        <v>17500</v>
      </c>
      <c r="I485" s="85">
        <f t="shared" si="776"/>
        <v>-0.56818181818181823</v>
      </c>
      <c r="J485" s="9">
        <v>18000</v>
      </c>
      <c r="K485" s="9">
        <f>ROUNDUP(J485+(J485*Assumptions!J$5),-2)</f>
        <v>18500</v>
      </c>
      <c r="L485" s="9">
        <f>ROUNDUP(K485+(K485*Assumptions!K$5),-2)</f>
        <v>19000</v>
      </c>
      <c r="M485" s="9">
        <f>ROUNDUP(L485+(L485*Assumptions!L$5),-2)</f>
        <v>19500</v>
      </c>
      <c r="N485" s="9">
        <f>ROUNDUP(M485+(M485*Assumptions!M$5),-2)</f>
        <v>20000</v>
      </c>
      <c r="O485" s="9">
        <f>ROUNDUP(N485+(N485*Assumptions!N$5),-2)</f>
        <v>20500</v>
      </c>
      <c r="P485" s="9">
        <f>ROUNDUP(O485+(O485*Assumptions!O$5),-2)</f>
        <v>21100</v>
      </c>
      <c r="Q485" s="9">
        <f>ROUNDUP(P485+(P485*Assumptions!P$5),-2)</f>
        <v>21700</v>
      </c>
      <c r="R485" s="9">
        <f>ROUNDUP(Q485+(Q485*Assumptions!Q$5),-2)</f>
        <v>22300</v>
      </c>
      <c r="S485" s="47">
        <f>ROUNDUP(R485+(R485*Assumptions!R$5),-2)</f>
        <v>22900</v>
      </c>
    </row>
    <row r="486" spans="1:23" x14ac:dyDescent="0.2">
      <c r="A486" s="54">
        <v>800</v>
      </c>
      <c r="B486" s="9">
        <v>700</v>
      </c>
      <c r="C486" s="9">
        <v>700</v>
      </c>
      <c r="D486" s="9">
        <v>800</v>
      </c>
      <c r="E486" s="9">
        <v>800</v>
      </c>
      <c r="F486" s="469" t="s">
        <v>1496</v>
      </c>
      <c r="G486" s="55" t="s">
        <v>130</v>
      </c>
      <c r="H486" s="9">
        <v>1000</v>
      </c>
      <c r="I486" s="85">
        <f t="shared" si="776"/>
        <v>25</v>
      </c>
      <c r="J486" s="9">
        <v>1000</v>
      </c>
      <c r="K486" s="9">
        <f>ROUNDUP(J486+(J486*Assumptions!J$5),-2)</f>
        <v>1100</v>
      </c>
      <c r="L486" s="9">
        <f>ROUNDUP(K486+(K486*Assumptions!K$5),-2)</f>
        <v>1200</v>
      </c>
      <c r="M486" s="9">
        <f>ROUNDUP(L486+(L486*Assumptions!L$5),-2)</f>
        <v>1300</v>
      </c>
      <c r="N486" s="9">
        <f>ROUNDUP(M486+(M486*Assumptions!M$5),-2)</f>
        <v>1400</v>
      </c>
      <c r="O486" s="9">
        <f>ROUNDUP(N486+(N486*Assumptions!N$5),-2)</f>
        <v>1500</v>
      </c>
      <c r="P486" s="9">
        <f>ROUNDUP(O486+(O486*Assumptions!O$5),-2)</f>
        <v>1600</v>
      </c>
      <c r="Q486" s="9">
        <f>ROUNDUP(P486+(P486*Assumptions!P$5),-2)</f>
        <v>1700</v>
      </c>
      <c r="R486" s="9">
        <f>ROUNDUP(Q486+(Q486*Assumptions!Q$5),-2)</f>
        <v>1800</v>
      </c>
      <c r="S486" s="47">
        <f>ROUNDUP(R486+(R486*Assumptions!R$5),-2)</f>
        <v>1900</v>
      </c>
    </row>
    <row r="487" spans="1:23" x14ac:dyDescent="0.2">
      <c r="A487" s="54">
        <v>0</v>
      </c>
      <c r="B487" s="9">
        <v>0</v>
      </c>
      <c r="C487" s="89">
        <v>0</v>
      </c>
      <c r="D487" s="9">
        <v>1000</v>
      </c>
      <c r="E487" s="9">
        <v>500</v>
      </c>
      <c r="F487" s="469" t="s">
        <v>411</v>
      </c>
      <c r="G487" s="257" t="s">
        <v>131</v>
      </c>
      <c r="H487" s="9">
        <v>2000</v>
      </c>
      <c r="I487" s="85">
        <f t="shared" si="776"/>
        <v>300</v>
      </c>
      <c r="J487" s="9">
        <v>2000</v>
      </c>
      <c r="K487" s="9">
        <f>ROUNDUP(J487+(J487*Assumptions!J$5),-2)</f>
        <v>2100</v>
      </c>
      <c r="L487" s="9">
        <f>ROUNDUP(K487+(K487*Assumptions!K$5),-2)</f>
        <v>2200</v>
      </c>
      <c r="M487" s="9">
        <f>ROUNDUP(L487+(L487*Assumptions!L$5),-2)</f>
        <v>2300</v>
      </c>
      <c r="N487" s="9">
        <f>ROUNDUP(M487+(M487*Assumptions!M$5),-2)</f>
        <v>2400</v>
      </c>
      <c r="O487" s="9">
        <f>ROUNDUP(N487+(N487*Assumptions!N$5),-2)</f>
        <v>2500</v>
      </c>
      <c r="P487" s="9">
        <f>ROUNDUP(O487+(O487*Assumptions!O$5),-2)</f>
        <v>2600</v>
      </c>
      <c r="Q487" s="9">
        <f>ROUNDUP(P487+(P487*Assumptions!P$5),-2)</f>
        <v>2700</v>
      </c>
      <c r="R487" s="9">
        <f>ROUNDUP(Q487+(Q487*Assumptions!Q$5),-2)</f>
        <v>2800</v>
      </c>
      <c r="S487" s="47">
        <f>ROUNDUP(R487+(R487*Assumptions!R$5),-2)</f>
        <v>2900</v>
      </c>
    </row>
    <row r="488" spans="1:23" x14ac:dyDescent="0.2">
      <c r="A488" s="54">
        <v>2500</v>
      </c>
      <c r="B488" s="9">
        <v>2500</v>
      </c>
      <c r="C488" s="89">
        <v>2500</v>
      </c>
      <c r="D488" s="9">
        <v>2500</v>
      </c>
      <c r="E488" s="9">
        <v>2500</v>
      </c>
      <c r="F488" s="469" t="s">
        <v>412</v>
      </c>
      <c r="G488" s="634" t="s">
        <v>6491</v>
      </c>
      <c r="H488" s="9">
        <v>2800</v>
      </c>
      <c r="I488" s="85">
        <f t="shared" si="776"/>
        <v>12</v>
      </c>
      <c r="J488" s="9">
        <v>2800</v>
      </c>
      <c r="K488" s="9">
        <f>ROUNDUP(J488+(J488*Assumptions!J$5),-2)</f>
        <v>2900</v>
      </c>
      <c r="L488" s="9">
        <f>ROUNDUP(K488+(K488*Assumptions!K$5),-2)</f>
        <v>3000</v>
      </c>
      <c r="M488" s="9">
        <f>ROUNDUP(L488+(L488*Assumptions!L$5),-2)</f>
        <v>3100</v>
      </c>
      <c r="N488" s="9">
        <f>ROUNDUP(M488+(M488*Assumptions!M$5),-2)</f>
        <v>3200</v>
      </c>
      <c r="O488" s="9">
        <f>ROUNDUP(N488+(N488*Assumptions!N$5),-2)</f>
        <v>3300</v>
      </c>
      <c r="P488" s="9">
        <f>ROUNDUP(O488+(O488*Assumptions!O$5),-2)</f>
        <v>3400</v>
      </c>
      <c r="Q488" s="9">
        <f>ROUNDUP(P488+(P488*Assumptions!P$5),-2)</f>
        <v>3500</v>
      </c>
      <c r="R488" s="9">
        <f>ROUNDUP(Q488+(Q488*Assumptions!Q$5),-2)</f>
        <v>3600</v>
      </c>
      <c r="S488" s="47">
        <f>ROUNDUP(R488+(R488*Assumptions!R$5),-2)</f>
        <v>3700</v>
      </c>
    </row>
    <row r="489" spans="1:23" x14ac:dyDescent="0.2">
      <c r="A489" s="54">
        <v>500</v>
      </c>
      <c r="B489" s="9">
        <v>500</v>
      </c>
      <c r="C489" s="89">
        <v>800</v>
      </c>
      <c r="D489" s="9">
        <v>1000</v>
      </c>
      <c r="E489" s="9">
        <v>800</v>
      </c>
      <c r="F489" s="469" t="s">
        <v>36</v>
      </c>
      <c r="G489" s="634" t="s">
        <v>4573</v>
      </c>
      <c r="H489" s="9">
        <v>800</v>
      </c>
      <c r="I489" s="85">
        <f t="shared" si="776"/>
        <v>0</v>
      </c>
      <c r="J489" s="9">
        <v>900</v>
      </c>
      <c r="K489" s="9">
        <f>ROUNDUP(J489+(J489*Assumptions!J$5),-2)</f>
        <v>1000</v>
      </c>
      <c r="L489" s="9">
        <f>ROUNDUP(K489+(K489*Assumptions!K$5),-2)</f>
        <v>1100</v>
      </c>
      <c r="M489" s="9">
        <f>ROUNDUP(L489+(L489*Assumptions!L$5),-2)</f>
        <v>1200</v>
      </c>
      <c r="N489" s="9">
        <f>ROUNDUP(M489+(M489*Assumptions!M$5),-2)</f>
        <v>1300</v>
      </c>
      <c r="O489" s="9">
        <f>ROUNDUP(N489+(N489*Assumptions!N$5),-2)</f>
        <v>1400</v>
      </c>
      <c r="P489" s="9">
        <f>ROUNDUP(O489+(O489*Assumptions!O$5),-2)</f>
        <v>1500</v>
      </c>
      <c r="Q489" s="9">
        <f>ROUNDUP(P489+(P489*Assumptions!P$5),-2)</f>
        <v>1600</v>
      </c>
      <c r="R489" s="9">
        <f>ROUNDUP(Q489+(Q489*Assumptions!Q$5),-2)</f>
        <v>1700</v>
      </c>
      <c r="S489" s="47">
        <f>ROUNDUP(R489+(R489*Assumptions!R$5),-2)</f>
        <v>1800</v>
      </c>
    </row>
    <row r="490" spans="1:23" x14ac:dyDescent="0.2">
      <c r="A490" s="45"/>
      <c r="B490" s="9"/>
      <c r="C490" s="9"/>
      <c r="D490" s="9"/>
      <c r="E490" s="9"/>
      <c r="F490" s="773"/>
      <c r="G490" s="661"/>
      <c r="H490" s="9"/>
      <c r="I490" s="85"/>
      <c r="J490" s="9"/>
      <c r="K490" s="9"/>
      <c r="L490" s="9"/>
      <c r="M490" s="9"/>
      <c r="N490" s="9"/>
      <c r="O490" s="9"/>
      <c r="P490" s="9"/>
      <c r="Q490" s="9"/>
      <c r="R490" s="9"/>
      <c r="S490" s="61"/>
    </row>
    <row r="491" spans="1:23" x14ac:dyDescent="0.2">
      <c r="A491" s="45"/>
      <c r="B491" s="9"/>
      <c r="C491" s="9"/>
      <c r="D491" s="9"/>
      <c r="E491" s="9"/>
      <c r="F491" s="167"/>
      <c r="G491" s="521" t="s">
        <v>1014</v>
      </c>
      <c r="H491" s="9"/>
      <c r="I491" s="85"/>
      <c r="J491" s="9"/>
      <c r="K491" s="9"/>
      <c r="L491" s="9"/>
      <c r="M491" s="9"/>
      <c r="N491" s="9"/>
      <c r="O491" s="9"/>
      <c r="P491" s="9"/>
      <c r="Q491" s="9"/>
      <c r="R491" s="9"/>
      <c r="S491" s="61"/>
    </row>
    <row r="492" spans="1:23" ht="13.5" thickBot="1" x14ac:dyDescent="0.25">
      <c r="A492" s="1454"/>
      <c r="B492" s="23"/>
      <c r="C492" s="23"/>
      <c r="D492" s="23"/>
      <c r="E492" s="23"/>
      <c r="F492" s="168"/>
      <c r="G492" s="1448"/>
      <c r="H492" s="23"/>
      <c r="I492" s="87"/>
      <c r="J492" s="23"/>
      <c r="K492" s="23"/>
      <c r="L492" s="23"/>
      <c r="M492" s="23"/>
      <c r="N492" s="23"/>
      <c r="O492" s="23"/>
      <c r="P492" s="23"/>
      <c r="Q492" s="23"/>
      <c r="R492" s="23"/>
      <c r="S492" s="112"/>
    </row>
    <row r="493" spans="1:23" s="38" customFormat="1" ht="18.75" customHeight="1" thickTop="1" thickBot="1" x14ac:dyDescent="0.3">
      <c r="A493" s="2588" t="s">
        <v>6991</v>
      </c>
      <c r="B493" s="2589"/>
      <c r="C493" s="2589"/>
      <c r="D493" s="2589"/>
      <c r="E493" s="2589"/>
      <c r="F493" s="2589"/>
      <c r="G493" s="2589"/>
      <c r="H493" s="2589"/>
      <c r="I493" s="2589"/>
      <c r="J493" s="2589"/>
      <c r="K493" s="2589"/>
      <c r="L493" s="2589"/>
      <c r="M493" s="2589"/>
      <c r="N493" s="2589"/>
      <c r="O493" s="2589"/>
      <c r="P493" s="2589"/>
      <c r="Q493" s="2589"/>
      <c r="R493" s="2589"/>
      <c r="S493" s="2590"/>
      <c r="U493" s="34"/>
      <c r="W493" s="34"/>
    </row>
    <row r="494" spans="1:23" s="39" customFormat="1" x14ac:dyDescent="0.2">
      <c r="A494" s="2620" t="s">
        <v>1824</v>
      </c>
      <c r="B494" s="2621"/>
      <c r="C494" s="2621"/>
      <c r="D494" s="2621"/>
      <c r="E494" s="2622"/>
      <c r="F494" s="150" t="s">
        <v>2616</v>
      </c>
      <c r="G494" s="126" t="s">
        <v>2213</v>
      </c>
      <c r="H494" s="2617" t="s">
        <v>2215</v>
      </c>
      <c r="I494" s="2618"/>
      <c r="J494" s="2618"/>
      <c r="K494" s="2618"/>
      <c r="L494" s="2618"/>
      <c r="M494" s="2618"/>
      <c r="N494" s="2618"/>
      <c r="O494" s="2618"/>
      <c r="P494" s="2618"/>
      <c r="Q494" s="2618"/>
      <c r="R494" s="2618"/>
      <c r="S494" s="2619"/>
      <c r="U494" s="34"/>
      <c r="W494" s="34"/>
    </row>
    <row r="495" spans="1:23" ht="13.5" customHeight="1" thickBot="1" x14ac:dyDescent="0.25">
      <c r="A495" s="541" t="str">
        <f>A443</f>
        <v>2012/13</v>
      </c>
      <c r="B495" s="28" t="str">
        <f>B443</f>
        <v>2013/14</v>
      </c>
      <c r="C495" s="40" t="str">
        <f>C443</f>
        <v>2014/15</v>
      </c>
      <c r="D495" s="40" t="str">
        <f>D443</f>
        <v>2015/16</v>
      </c>
      <c r="E495" s="40" t="str">
        <f>E443</f>
        <v>2016/17</v>
      </c>
      <c r="F495" s="40" t="s">
        <v>2617</v>
      </c>
      <c r="G495" s="41"/>
      <c r="H495" s="40" t="str">
        <f t="shared" ref="H495:R495" si="777">H443</f>
        <v>2017/18</v>
      </c>
      <c r="I495" s="1258" t="str">
        <f t="shared" si="777"/>
        <v>%</v>
      </c>
      <c r="J495" s="40" t="str">
        <f t="shared" si="777"/>
        <v>2018/19</v>
      </c>
      <c r="K495" s="40" t="str">
        <f t="shared" si="777"/>
        <v>2019/20</v>
      </c>
      <c r="L495" s="40" t="str">
        <f t="shared" si="777"/>
        <v>2020/21</v>
      </c>
      <c r="M495" s="40" t="str">
        <f t="shared" si="777"/>
        <v>2021/22</v>
      </c>
      <c r="N495" s="40" t="str">
        <f t="shared" si="777"/>
        <v>2022/23</v>
      </c>
      <c r="O495" s="40" t="str">
        <f t="shared" si="777"/>
        <v>2023/24</v>
      </c>
      <c r="P495" s="40" t="str">
        <f t="shared" si="777"/>
        <v>2024/25</v>
      </c>
      <c r="Q495" s="28" t="str">
        <f t="shared" si="777"/>
        <v>2025/26</v>
      </c>
      <c r="R495" s="28" t="str">
        <f t="shared" si="777"/>
        <v>2026/27</v>
      </c>
      <c r="S495" s="1620" t="str">
        <f t="shared" ref="S495" si="778">S443</f>
        <v>2027/28</v>
      </c>
    </row>
    <row r="496" spans="1:23" ht="13.5" customHeight="1" x14ac:dyDescent="0.2">
      <c r="A496" s="528"/>
      <c r="B496" s="150"/>
      <c r="C496" s="150"/>
      <c r="D496" s="150"/>
      <c r="E496" s="150"/>
      <c r="F496" s="152"/>
      <c r="G496" s="46"/>
      <c r="H496" s="150"/>
      <c r="I496" s="1395"/>
      <c r="J496" s="150"/>
      <c r="K496" s="150"/>
      <c r="L496" s="150"/>
      <c r="M496" s="150"/>
      <c r="N496" s="150"/>
      <c r="O496" s="150"/>
      <c r="P496" s="150"/>
      <c r="Q496" s="150"/>
      <c r="R496" s="150"/>
      <c r="S496" s="381"/>
    </row>
    <row r="497" spans="1:19" x14ac:dyDescent="0.2">
      <c r="A497" s="54"/>
      <c r="B497" s="9"/>
      <c r="C497" s="9"/>
      <c r="D497" s="9"/>
      <c r="E497" s="9"/>
      <c r="F497" s="1153"/>
      <c r="G497" s="256" t="s">
        <v>1800</v>
      </c>
      <c r="H497" s="9"/>
      <c r="I497" s="85"/>
      <c r="J497" s="9"/>
      <c r="K497" s="9"/>
      <c r="L497" s="9"/>
      <c r="M497" s="9"/>
      <c r="N497" s="9"/>
      <c r="O497" s="9"/>
      <c r="P497" s="9"/>
      <c r="Q497" s="9"/>
      <c r="R497" s="9"/>
      <c r="S497" s="61"/>
    </row>
    <row r="498" spans="1:19" x14ac:dyDescent="0.2">
      <c r="A498" s="54"/>
      <c r="B498" s="9"/>
      <c r="C498" s="89"/>
      <c r="D498" s="9"/>
      <c r="E498" s="9"/>
      <c r="F498" s="469"/>
      <c r="G498" s="58"/>
      <c r="H498" s="9"/>
      <c r="I498" s="85"/>
      <c r="J498" s="9"/>
      <c r="K498" s="9"/>
      <c r="L498" s="9"/>
      <c r="M498" s="9"/>
      <c r="N498" s="9"/>
      <c r="O498" s="9"/>
      <c r="P498" s="9"/>
      <c r="Q498" s="9"/>
      <c r="R498" s="9"/>
      <c r="S498" s="61"/>
    </row>
    <row r="499" spans="1:19" x14ac:dyDescent="0.2">
      <c r="A499" s="54"/>
      <c r="B499" s="9"/>
      <c r="C499" s="9"/>
      <c r="D499" s="9"/>
      <c r="E499" s="9"/>
      <c r="F499" s="469"/>
      <c r="G499" s="56" t="s">
        <v>6917</v>
      </c>
      <c r="H499" s="9"/>
      <c r="I499" s="85"/>
      <c r="J499" s="9"/>
      <c r="K499" s="9"/>
      <c r="L499" s="9"/>
      <c r="M499" s="9"/>
      <c r="N499" s="9"/>
      <c r="O499" s="9"/>
      <c r="P499" s="9"/>
      <c r="Q499" s="9"/>
      <c r="R499" s="9"/>
      <c r="S499" s="61"/>
    </row>
    <row r="500" spans="1:19" x14ac:dyDescent="0.2">
      <c r="A500" s="54">
        <v>4500</v>
      </c>
      <c r="B500" s="9">
        <v>1000</v>
      </c>
      <c r="C500" s="9">
        <v>1800</v>
      </c>
      <c r="D500" s="9">
        <v>800</v>
      </c>
      <c r="E500" s="9">
        <v>500</v>
      </c>
      <c r="F500" s="469" t="s">
        <v>1539</v>
      </c>
      <c r="G500" s="55" t="s">
        <v>1889</v>
      </c>
      <c r="H500" s="9">
        <v>2000</v>
      </c>
      <c r="I500" s="85">
        <f t="shared" ref="I500:I513" si="779">IF(E500=H500,0,IF(E500=0,100,(H500-E500)/E500*100))</f>
        <v>300</v>
      </c>
      <c r="J500" s="9">
        <v>2000</v>
      </c>
      <c r="K500" s="9">
        <f>ROUNDUP(J500+(J500*Assumptions!J$5),-2)</f>
        <v>2100</v>
      </c>
      <c r="L500" s="9">
        <f>ROUNDUP(K500+(K500*Assumptions!K$5),-2)</f>
        <v>2200</v>
      </c>
      <c r="M500" s="9">
        <f>ROUNDUP(L500+(L500*Assumptions!L$5),-2)</f>
        <v>2300</v>
      </c>
      <c r="N500" s="9">
        <f>ROUNDUP(M500+(M500*Assumptions!M$5),-2)</f>
        <v>2400</v>
      </c>
      <c r="O500" s="9">
        <f>ROUNDUP(N500+(N500*Assumptions!N$5),-2)</f>
        <v>2500</v>
      </c>
      <c r="P500" s="9">
        <f>ROUNDUP(O500+(O500*Assumptions!O$5),-2)</f>
        <v>2600</v>
      </c>
      <c r="Q500" s="9">
        <f>ROUNDUP(P500+(P500*Assumptions!P$5),-2)</f>
        <v>2700</v>
      </c>
      <c r="R500" s="9">
        <f>ROUNDUP(Q500+(Q500*Assumptions!Q$5),-2)</f>
        <v>2800</v>
      </c>
      <c r="S500" s="47">
        <f>ROUNDUP(R500+(R500*Assumptions!R$5),-2)</f>
        <v>2900</v>
      </c>
    </row>
    <row r="501" spans="1:19" x14ac:dyDescent="0.2">
      <c r="A501" s="54">
        <v>2200</v>
      </c>
      <c r="B501" s="9">
        <v>2900</v>
      </c>
      <c r="C501" s="9">
        <v>4500</v>
      </c>
      <c r="D501" s="9">
        <v>8200</v>
      </c>
      <c r="E501" s="9">
        <v>6100</v>
      </c>
      <c r="F501" s="469" t="s">
        <v>1405</v>
      </c>
      <c r="G501" s="55" t="s">
        <v>1922</v>
      </c>
      <c r="H501" s="9">
        <f>4500+1200</f>
        <v>5700</v>
      </c>
      <c r="I501" s="85">
        <f t="shared" si="779"/>
        <v>-6.557377049180328</v>
      </c>
      <c r="J501" s="9">
        <v>6000</v>
      </c>
      <c r="K501" s="9">
        <f>ROUNDUP(J501+(J501*Assumptions!J$5),-2)</f>
        <v>6200</v>
      </c>
      <c r="L501" s="9">
        <f>ROUNDUP(K501+(K501*Assumptions!K$5),-2)</f>
        <v>6400</v>
      </c>
      <c r="M501" s="9">
        <f>ROUNDUP(L501+(L501*Assumptions!L$5),-2)</f>
        <v>6600</v>
      </c>
      <c r="N501" s="9">
        <f>ROUNDUP(M501+(M501*Assumptions!M$5),-2)</f>
        <v>6800</v>
      </c>
      <c r="O501" s="9">
        <f>ROUNDUP(N501+(N501*Assumptions!N$5),-2)</f>
        <v>7000</v>
      </c>
      <c r="P501" s="9">
        <f>ROUNDUP(O501+(O501*Assumptions!O$5),-2)</f>
        <v>7200</v>
      </c>
      <c r="Q501" s="9">
        <f>ROUNDUP(P501+(P501*Assumptions!P$5),-2)</f>
        <v>7400</v>
      </c>
      <c r="R501" s="9">
        <f>ROUNDUP(Q501+(Q501*Assumptions!Q$5),-2)</f>
        <v>7600</v>
      </c>
      <c r="S501" s="47">
        <f>ROUNDUP(R501+(R501*Assumptions!R$5),-2)</f>
        <v>7800</v>
      </c>
    </row>
    <row r="502" spans="1:19" x14ac:dyDescent="0.2">
      <c r="A502" s="54">
        <v>56200</v>
      </c>
      <c r="B502" s="9">
        <f>55400+1200</f>
        <v>56600</v>
      </c>
      <c r="C502" s="9">
        <f>54800+3900</f>
        <v>58700</v>
      </c>
      <c r="D502" s="9">
        <v>83600</v>
      </c>
      <c r="E502" s="9">
        <f>70800+1100</f>
        <v>71900</v>
      </c>
      <c r="F502" s="469" t="s">
        <v>2584</v>
      </c>
      <c r="G502" s="55" t="s">
        <v>638</v>
      </c>
      <c r="H502" s="9">
        <v>60000</v>
      </c>
      <c r="I502" s="85">
        <f t="shared" si="779"/>
        <v>-16.550764951321277</v>
      </c>
      <c r="J502" s="9">
        <v>62000</v>
      </c>
      <c r="K502" s="9">
        <f>ROUNDUP(J502+(J502*Assumptions!J$5),-2)</f>
        <v>63600</v>
      </c>
      <c r="L502" s="9">
        <f>ROUNDUP(K502+(K502*Assumptions!K$5),-2)</f>
        <v>65200</v>
      </c>
      <c r="M502" s="9">
        <f>ROUNDUP(L502+(L502*Assumptions!L$5),-2)</f>
        <v>66900</v>
      </c>
      <c r="N502" s="9">
        <f>ROUNDUP(M502+(M502*Assumptions!M$5),-2)</f>
        <v>68600</v>
      </c>
      <c r="O502" s="9">
        <f>ROUNDUP(N502+(N502*Assumptions!N$5),-2)</f>
        <v>70400</v>
      </c>
      <c r="P502" s="9">
        <f>ROUNDUP(O502+(O502*Assumptions!O$5),-2)</f>
        <v>72200</v>
      </c>
      <c r="Q502" s="9">
        <f>ROUNDUP(P502+(P502*Assumptions!P$5),-2)</f>
        <v>74100</v>
      </c>
      <c r="R502" s="9">
        <f>ROUNDUP(Q502+(Q502*Assumptions!Q$5),-2)</f>
        <v>76000</v>
      </c>
      <c r="S502" s="47">
        <f>ROUNDUP(R502+(R502*Assumptions!R$5),-2)</f>
        <v>77900</v>
      </c>
    </row>
    <row r="503" spans="1:19" x14ac:dyDescent="0.2">
      <c r="A503" s="54">
        <v>27100</v>
      </c>
      <c r="B503" s="9">
        <v>35200</v>
      </c>
      <c r="C503" s="9">
        <v>44200</v>
      </c>
      <c r="D503" s="9">
        <v>35400</v>
      </c>
      <c r="E503" s="9">
        <v>50700</v>
      </c>
      <c r="F503" s="469" t="s">
        <v>2583</v>
      </c>
      <c r="G503" s="55" t="s">
        <v>2832</v>
      </c>
      <c r="H503" s="9">
        <v>36000</v>
      </c>
      <c r="I503" s="85">
        <f t="shared" si="779"/>
        <v>-28.994082840236686</v>
      </c>
      <c r="J503" s="9">
        <v>37000</v>
      </c>
      <c r="K503" s="9">
        <f>ROUNDUP(J503+(J503*Assumptions!J$5),-2)</f>
        <v>38000</v>
      </c>
      <c r="L503" s="9">
        <f>ROUNDUP(K503+(K503*Assumptions!K$5),-2)</f>
        <v>39000</v>
      </c>
      <c r="M503" s="9">
        <f>ROUNDUP(L503+(L503*Assumptions!L$5),-2)</f>
        <v>40000</v>
      </c>
      <c r="N503" s="9">
        <f>ROUNDUP(M503+(M503*Assumptions!M$5),-2)</f>
        <v>41000</v>
      </c>
      <c r="O503" s="9">
        <f>ROUNDUP(N503+(N503*Assumptions!N$5),-2)</f>
        <v>42100</v>
      </c>
      <c r="P503" s="9">
        <f>ROUNDUP(O503+(O503*Assumptions!O$5),-2)</f>
        <v>43200</v>
      </c>
      <c r="Q503" s="9">
        <f>ROUNDUP(P503+(P503*Assumptions!P$5),-2)</f>
        <v>44300</v>
      </c>
      <c r="R503" s="9">
        <f>ROUNDUP(Q503+(Q503*Assumptions!Q$5),-2)</f>
        <v>45500</v>
      </c>
      <c r="S503" s="47">
        <f>ROUNDUP(R503+(R503*Assumptions!R$5),-2)</f>
        <v>46700</v>
      </c>
    </row>
    <row r="504" spans="1:19" x14ac:dyDescent="0.2">
      <c r="A504" s="54">
        <v>17500</v>
      </c>
      <c r="B504" s="9">
        <v>16700</v>
      </c>
      <c r="C504" s="9">
        <v>13000</v>
      </c>
      <c r="D504" s="9">
        <v>9800</v>
      </c>
      <c r="E504" s="9">
        <v>12000</v>
      </c>
      <c r="F504" s="469" t="s">
        <v>2585</v>
      </c>
      <c r="G504" s="55" t="s">
        <v>526</v>
      </c>
      <c r="H504" s="9">
        <v>10000</v>
      </c>
      <c r="I504" s="85">
        <f t="shared" si="779"/>
        <v>-16.666666666666664</v>
      </c>
      <c r="J504" s="9">
        <v>11000</v>
      </c>
      <c r="K504" s="9">
        <f>ROUNDUP(J504+(J504*Assumptions!J$5),-2)</f>
        <v>11300</v>
      </c>
      <c r="L504" s="9">
        <f>ROUNDUP(K504+(K504*Assumptions!K$5),-2)</f>
        <v>11600</v>
      </c>
      <c r="M504" s="9">
        <f>ROUNDUP(L504+(L504*Assumptions!L$5),-2)</f>
        <v>11900</v>
      </c>
      <c r="N504" s="9">
        <f>ROUNDUP(M504+(M504*Assumptions!M$5),-2)</f>
        <v>12200</v>
      </c>
      <c r="O504" s="9">
        <f>ROUNDUP(N504+(N504*Assumptions!N$5),-2)</f>
        <v>12600</v>
      </c>
      <c r="P504" s="9">
        <f>ROUNDUP(O504+(O504*Assumptions!O$5),-2)</f>
        <v>13000</v>
      </c>
      <c r="Q504" s="9">
        <f>ROUNDUP(P504+(P504*Assumptions!P$5),-2)</f>
        <v>13400</v>
      </c>
      <c r="R504" s="9">
        <f>ROUNDUP(Q504+(Q504*Assumptions!Q$5),-2)</f>
        <v>13800</v>
      </c>
      <c r="S504" s="47">
        <f>ROUNDUP(R504+(R504*Assumptions!R$5),-2)</f>
        <v>14200</v>
      </c>
    </row>
    <row r="505" spans="1:19" x14ac:dyDescent="0.2">
      <c r="A505" s="54">
        <v>2600</v>
      </c>
      <c r="B505" s="9">
        <v>1700</v>
      </c>
      <c r="C505" s="9">
        <v>100</v>
      </c>
      <c r="D505" s="9">
        <v>6900</v>
      </c>
      <c r="E505" s="9">
        <v>6100</v>
      </c>
      <c r="F505" s="469" t="s">
        <v>2198</v>
      </c>
      <c r="G505" s="58" t="s">
        <v>4533</v>
      </c>
      <c r="H505" s="9">
        <v>6300</v>
      </c>
      <c r="I505" s="85">
        <f t="shared" si="779"/>
        <v>3.278688524590164</v>
      </c>
      <c r="J505" s="9">
        <v>6500</v>
      </c>
      <c r="K505" s="9">
        <f>ROUNDUP(J505+(J505*Assumptions!J$5),-2)</f>
        <v>6700</v>
      </c>
      <c r="L505" s="9">
        <f>ROUNDUP(K505+(K505*Assumptions!K$5),-2)</f>
        <v>6900</v>
      </c>
      <c r="M505" s="9">
        <f>ROUNDUP(L505+(L505*Assumptions!L$5),-2)</f>
        <v>7100</v>
      </c>
      <c r="N505" s="9">
        <f>ROUNDUP(M505+(M505*Assumptions!M$5),-2)</f>
        <v>7300</v>
      </c>
      <c r="O505" s="9">
        <f>ROUNDUP(N505+(N505*Assumptions!N$5),-2)</f>
        <v>7500</v>
      </c>
      <c r="P505" s="9">
        <f>ROUNDUP(O505+(O505*Assumptions!O$5),-2)</f>
        <v>7700</v>
      </c>
      <c r="Q505" s="9">
        <f>ROUNDUP(P505+(P505*Assumptions!P$5),-2)</f>
        <v>7900</v>
      </c>
      <c r="R505" s="9">
        <f>ROUNDUP(Q505+(Q505*Assumptions!Q$5),-2)</f>
        <v>8100</v>
      </c>
      <c r="S505" s="47">
        <f>ROUNDUP(R505+(R505*Assumptions!R$5),-2)</f>
        <v>8400</v>
      </c>
    </row>
    <row r="506" spans="1:19" x14ac:dyDescent="0.2">
      <c r="A506" s="54">
        <v>10700</v>
      </c>
      <c r="B506" s="9">
        <v>13000</v>
      </c>
      <c r="C506" s="9">
        <v>9500</v>
      </c>
      <c r="D506" s="9">
        <v>12600</v>
      </c>
      <c r="E506" s="9">
        <v>32700</v>
      </c>
      <c r="F506" s="469" t="s">
        <v>1960</v>
      </c>
      <c r="G506" s="55" t="s">
        <v>833</v>
      </c>
      <c r="H506" s="9">
        <f>14300</f>
        <v>14300</v>
      </c>
      <c r="I506" s="85">
        <f t="shared" si="779"/>
        <v>-56.269113149847094</v>
      </c>
      <c r="J506" s="9">
        <v>15000</v>
      </c>
      <c r="K506" s="9">
        <f>ROUNDUP(J506+(J506*Assumptions!J$5),-2)</f>
        <v>15400</v>
      </c>
      <c r="L506" s="9">
        <f>ROUNDUP(K506+(K506*Assumptions!K$5),-2)</f>
        <v>15800</v>
      </c>
      <c r="M506" s="9">
        <f>ROUNDUP(L506+(L506*Assumptions!L$5),-2)</f>
        <v>16200</v>
      </c>
      <c r="N506" s="9">
        <f>ROUNDUP(M506+(M506*Assumptions!M$5),-2)</f>
        <v>16700</v>
      </c>
      <c r="O506" s="9">
        <f>ROUNDUP(N506+(N506*Assumptions!N$5),-2)</f>
        <v>17200</v>
      </c>
      <c r="P506" s="9">
        <f>ROUNDUP(O506+(O506*Assumptions!O$5),-2)</f>
        <v>17700</v>
      </c>
      <c r="Q506" s="9">
        <f>ROUNDUP(P506+(P506*Assumptions!P$5),-2)</f>
        <v>18200</v>
      </c>
      <c r="R506" s="9">
        <f>ROUNDUP(Q506+(Q506*Assumptions!Q$5),-2)</f>
        <v>18700</v>
      </c>
      <c r="S506" s="47">
        <f>ROUNDUP(R506+(R506*Assumptions!R$5),-2)</f>
        <v>19200</v>
      </c>
    </row>
    <row r="507" spans="1:19" x14ac:dyDescent="0.2">
      <c r="A507" s="54">
        <f>60600+30300</f>
        <v>90900</v>
      </c>
      <c r="B507" s="9">
        <f>59100+27000</f>
        <v>86100</v>
      </c>
      <c r="C507" s="9">
        <f>54400+4400</f>
        <v>58800</v>
      </c>
      <c r="D507" s="9">
        <v>78000</v>
      </c>
      <c r="E507" s="9">
        <v>56000</v>
      </c>
      <c r="F507" s="469" t="s">
        <v>2580</v>
      </c>
      <c r="G507" s="55" t="s">
        <v>930</v>
      </c>
      <c r="H507" s="9">
        <f>53000+2000</f>
        <v>55000</v>
      </c>
      <c r="I507" s="85">
        <f t="shared" si="779"/>
        <v>-1.7857142857142856</v>
      </c>
      <c r="J507" s="9">
        <v>57000</v>
      </c>
      <c r="K507" s="9">
        <f>ROUNDUP(J507+(J507*Assumptions!J$5),-2)</f>
        <v>58500</v>
      </c>
      <c r="L507" s="9">
        <f>ROUNDUP(K507+(K507*Assumptions!K$5),-2)</f>
        <v>60000</v>
      </c>
      <c r="M507" s="9">
        <f>ROUNDUP(L507+(L507*Assumptions!L$5),-2)</f>
        <v>61500</v>
      </c>
      <c r="N507" s="9">
        <f>ROUNDUP(M507+(M507*Assumptions!M$5),-2)</f>
        <v>63100</v>
      </c>
      <c r="O507" s="9">
        <f>ROUNDUP(N507+(N507*Assumptions!N$5),-2)</f>
        <v>64700</v>
      </c>
      <c r="P507" s="9">
        <f>ROUNDUP(O507+(O507*Assumptions!O$5),-2)</f>
        <v>66400</v>
      </c>
      <c r="Q507" s="9">
        <f>ROUNDUP(P507+(P507*Assumptions!P$5),-2)</f>
        <v>68100</v>
      </c>
      <c r="R507" s="9">
        <f>ROUNDUP(Q507+(Q507*Assumptions!Q$5),-2)</f>
        <v>69900</v>
      </c>
      <c r="S507" s="47">
        <f>ROUNDUP(R507+(R507*Assumptions!R$5),-2)</f>
        <v>71700</v>
      </c>
    </row>
    <row r="508" spans="1:19" x14ac:dyDescent="0.2">
      <c r="A508" s="54">
        <v>0</v>
      </c>
      <c r="B508" s="9">
        <v>0</v>
      </c>
      <c r="C508" s="9">
        <v>0</v>
      </c>
      <c r="D508" s="9">
        <v>0</v>
      </c>
      <c r="E508" s="9">
        <v>32500</v>
      </c>
      <c r="F508" s="769" t="s">
        <v>7029</v>
      </c>
      <c r="G508" s="55" t="s">
        <v>2488</v>
      </c>
      <c r="H508" s="9">
        <v>0</v>
      </c>
      <c r="I508" s="85">
        <f t="shared" si="779"/>
        <v>-100</v>
      </c>
      <c r="J508" s="9">
        <v>0</v>
      </c>
      <c r="K508" s="9">
        <f>ROUNDUP(J508+(J508*Assumptions!J$5),-2)</f>
        <v>0</v>
      </c>
      <c r="L508" s="9">
        <f>ROUNDUP(K508+(K508*Assumptions!K$5),-2)</f>
        <v>0</v>
      </c>
      <c r="M508" s="9">
        <f>ROUNDUP(L508+(L508*Assumptions!L$5),-2)</f>
        <v>0</v>
      </c>
      <c r="N508" s="9">
        <f>ROUNDUP(M508+(M508*Assumptions!M$5),-2)</f>
        <v>0</v>
      </c>
      <c r="O508" s="9">
        <f>ROUNDUP(N508+(N508*Assumptions!N$5),-2)</f>
        <v>0</v>
      </c>
      <c r="P508" s="9">
        <f>ROUNDUP(O508+(O508*Assumptions!O$5),-2)</f>
        <v>0</v>
      </c>
      <c r="Q508" s="9">
        <f>ROUNDUP(P508+(P508*Assumptions!P$5),-2)</f>
        <v>0</v>
      </c>
      <c r="R508" s="9">
        <f>ROUNDUP(Q508+(Q508*Assumptions!Q$5),-2)</f>
        <v>0</v>
      </c>
      <c r="S508" s="47">
        <f>ROUNDUP(R508+(R508*Assumptions!R$5),-2)</f>
        <v>0</v>
      </c>
    </row>
    <row r="509" spans="1:19" x14ac:dyDescent="0.2">
      <c r="A509" s="54">
        <v>30900</v>
      </c>
      <c r="B509" s="9">
        <v>42200</v>
      </c>
      <c r="C509" s="9">
        <v>19900</v>
      </c>
      <c r="D509" s="9">
        <v>31400</v>
      </c>
      <c r="E509" s="9">
        <v>49600</v>
      </c>
      <c r="F509" s="469" t="s">
        <v>2581</v>
      </c>
      <c r="G509" s="55" t="s">
        <v>2489</v>
      </c>
      <c r="H509" s="9">
        <f>53000+5000</f>
        <v>58000</v>
      </c>
      <c r="I509" s="85">
        <f t="shared" si="779"/>
        <v>16.93548387096774</v>
      </c>
      <c r="J509" s="9">
        <v>60000</v>
      </c>
      <c r="K509" s="9">
        <f>ROUNDUP(J509+(J509*Assumptions!J$5),-2)</f>
        <v>61500</v>
      </c>
      <c r="L509" s="9">
        <f>ROUNDUP(K509+(K509*Assumptions!K$5),-2)</f>
        <v>63100</v>
      </c>
      <c r="M509" s="9">
        <f>ROUNDUP(L509+(L509*Assumptions!L$5),-2)</f>
        <v>64700</v>
      </c>
      <c r="N509" s="9">
        <f>ROUNDUP(M509+(M509*Assumptions!M$5),-2)</f>
        <v>66400</v>
      </c>
      <c r="O509" s="9">
        <f>ROUNDUP(N509+(N509*Assumptions!N$5),-2)</f>
        <v>68100</v>
      </c>
      <c r="P509" s="9">
        <f>ROUNDUP(O509+(O509*Assumptions!O$5),-2)</f>
        <v>69900</v>
      </c>
      <c r="Q509" s="9">
        <f>ROUNDUP(P509+(P509*Assumptions!P$5),-2)</f>
        <v>71700</v>
      </c>
      <c r="R509" s="9">
        <f>ROUNDUP(Q509+(Q509*Assumptions!Q$5),-2)</f>
        <v>73500</v>
      </c>
      <c r="S509" s="47">
        <f>ROUNDUP(R509+(R509*Assumptions!R$5),-2)</f>
        <v>75400</v>
      </c>
    </row>
    <row r="510" spans="1:19" x14ac:dyDescent="0.2">
      <c r="A510" s="54">
        <v>3200</v>
      </c>
      <c r="B510" s="9">
        <v>5000</v>
      </c>
      <c r="C510" s="9">
        <v>5300</v>
      </c>
      <c r="D510" s="9">
        <v>6000</v>
      </c>
      <c r="E510" s="9">
        <v>7400</v>
      </c>
      <c r="F510" s="469" t="s">
        <v>2582</v>
      </c>
      <c r="G510" s="55" t="s">
        <v>4534</v>
      </c>
      <c r="H510" s="9">
        <f>6000+1500</f>
        <v>7500</v>
      </c>
      <c r="I510" s="85">
        <f t="shared" si="779"/>
        <v>1.3513513513513513</v>
      </c>
      <c r="J510" s="9">
        <v>7700</v>
      </c>
      <c r="K510" s="9">
        <f>ROUNDUP(J510+(J510*Assumptions!J$5),-2)</f>
        <v>7900</v>
      </c>
      <c r="L510" s="9">
        <f>ROUNDUP(K510+(K510*Assumptions!K$5),-2)</f>
        <v>8100</v>
      </c>
      <c r="M510" s="9">
        <f>ROUNDUP(L510+(L510*Assumptions!L$5),-2)</f>
        <v>8400</v>
      </c>
      <c r="N510" s="9">
        <f>ROUNDUP(M510+(M510*Assumptions!M$5),-2)</f>
        <v>8700</v>
      </c>
      <c r="O510" s="9">
        <f>ROUNDUP(N510+(N510*Assumptions!N$5),-2)</f>
        <v>9000</v>
      </c>
      <c r="P510" s="9">
        <f>ROUNDUP(O510+(O510*Assumptions!O$5),-2)</f>
        <v>9300</v>
      </c>
      <c r="Q510" s="9">
        <f>ROUNDUP(P510+(P510*Assumptions!P$5),-2)</f>
        <v>9600</v>
      </c>
      <c r="R510" s="9">
        <f>ROUNDUP(Q510+(Q510*Assumptions!Q$5),-2)</f>
        <v>9900</v>
      </c>
      <c r="S510" s="47">
        <f>ROUNDUP(R510+(R510*Assumptions!R$5),-2)</f>
        <v>10200</v>
      </c>
    </row>
    <row r="511" spans="1:19" x14ac:dyDescent="0.2">
      <c r="A511" s="54">
        <v>4300</v>
      </c>
      <c r="B511" s="9">
        <v>4800</v>
      </c>
      <c r="C511" s="9">
        <v>5000</v>
      </c>
      <c r="D511" s="9">
        <v>5000</v>
      </c>
      <c r="E511" s="9">
        <v>4900</v>
      </c>
      <c r="F511" s="469" t="s">
        <v>1697</v>
      </c>
      <c r="G511" s="58" t="s">
        <v>11900</v>
      </c>
      <c r="H511" s="9">
        <v>5000</v>
      </c>
      <c r="I511" s="85">
        <f t="shared" si="779"/>
        <v>2.0408163265306123</v>
      </c>
      <c r="J511" s="9">
        <v>5200</v>
      </c>
      <c r="K511" s="9">
        <f>ROUNDUP(J511+(J511*Assumptions!J$5),-2)</f>
        <v>5400</v>
      </c>
      <c r="L511" s="9">
        <f>ROUNDUP(K511+(K511*Assumptions!K$5),-2)</f>
        <v>5600</v>
      </c>
      <c r="M511" s="9">
        <f>ROUNDUP(L511+(L511*Assumptions!L$5),-2)</f>
        <v>5800</v>
      </c>
      <c r="N511" s="9">
        <f>ROUNDUP(M511+(M511*Assumptions!M$5),-2)</f>
        <v>6000</v>
      </c>
      <c r="O511" s="9">
        <f>ROUNDUP(N511+(N511*Assumptions!N$5),-2)</f>
        <v>6200</v>
      </c>
      <c r="P511" s="9">
        <f>ROUNDUP(O511+(O511*Assumptions!O$5),-2)</f>
        <v>6400</v>
      </c>
      <c r="Q511" s="9">
        <f>ROUNDUP(P511+(P511*Assumptions!P$5),-2)</f>
        <v>6600</v>
      </c>
      <c r="R511" s="9">
        <f>ROUNDUP(Q511+(Q511*Assumptions!Q$5),-2)</f>
        <v>6800</v>
      </c>
      <c r="S511" s="47">
        <f>ROUNDUP(R511+(R511*Assumptions!R$5),-2)</f>
        <v>7000</v>
      </c>
    </row>
    <row r="512" spans="1:19" x14ac:dyDescent="0.2">
      <c r="A512" s="54">
        <v>16700</v>
      </c>
      <c r="B512" s="9">
        <v>23600</v>
      </c>
      <c r="C512" s="9">
        <v>15600</v>
      </c>
      <c r="D512" s="9">
        <v>19700</v>
      </c>
      <c r="E512" s="9">
        <v>27000</v>
      </c>
      <c r="F512" s="469" t="s">
        <v>2443</v>
      </c>
      <c r="G512" s="55" t="s">
        <v>2620</v>
      </c>
      <c r="H512" s="9">
        <v>22000</v>
      </c>
      <c r="I512" s="85">
        <f t="shared" si="779"/>
        <v>-18.518518518518519</v>
      </c>
      <c r="J512" s="9">
        <v>22600</v>
      </c>
      <c r="K512" s="9">
        <f>ROUNDUP(J512+(J512*Assumptions!J$5),-2)</f>
        <v>23200</v>
      </c>
      <c r="L512" s="9">
        <f>ROUNDUP(K512+(K512*Assumptions!K$5),-2)</f>
        <v>23800</v>
      </c>
      <c r="M512" s="9">
        <f>ROUNDUP(L512+(L512*Assumptions!L$5),-2)</f>
        <v>24400</v>
      </c>
      <c r="N512" s="9">
        <f>ROUNDUP(M512+(M512*Assumptions!M$5),-2)</f>
        <v>25100</v>
      </c>
      <c r="O512" s="9">
        <f>ROUNDUP(N512+(N512*Assumptions!N$5),-2)</f>
        <v>25800</v>
      </c>
      <c r="P512" s="9">
        <f>ROUNDUP(O512+(O512*Assumptions!O$5),-2)</f>
        <v>26500</v>
      </c>
      <c r="Q512" s="9">
        <f>ROUNDUP(P512+(P512*Assumptions!P$5),-2)</f>
        <v>27200</v>
      </c>
      <c r="R512" s="9">
        <f>ROUNDUP(Q512+(Q512*Assumptions!Q$5),-2)</f>
        <v>27900</v>
      </c>
      <c r="S512" s="47">
        <f>ROUNDUP(R512+(R512*Assumptions!R$5),-2)</f>
        <v>28600</v>
      </c>
    </row>
    <row r="513" spans="1:19" x14ac:dyDescent="0.2">
      <c r="A513" s="54">
        <v>18100</v>
      </c>
      <c r="B513" s="9">
        <v>13000</v>
      </c>
      <c r="C513" s="9">
        <v>18800</v>
      </c>
      <c r="D513" s="9">
        <v>13500</v>
      </c>
      <c r="E513" s="9">
        <v>10600</v>
      </c>
      <c r="F513" s="469" t="s">
        <v>2317</v>
      </c>
      <c r="G513" s="55" t="s">
        <v>1715</v>
      </c>
      <c r="H513" s="9">
        <v>5000</v>
      </c>
      <c r="I513" s="85">
        <f t="shared" si="779"/>
        <v>-52.830188679245282</v>
      </c>
      <c r="J513" s="9">
        <v>6000</v>
      </c>
      <c r="K513" s="9">
        <f>ROUNDUP(J513+(J513*Assumptions!J$5),-2)</f>
        <v>6200</v>
      </c>
      <c r="L513" s="9">
        <f>ROUNDUP(K513+(K513*Assumptions!K$5),-2)</f>
        <v>6400</v>
      </c>
      <c r="M513" s="9">
        <f>ROUNDUP(L513+(L513*Assumptions!L$5),-2)</f>
        <v>6600</v>
      </c>
      <c r="N513" s="9">
        <f>ROUNDUP(M513+(M513*Assumptions!M$5),-2)</f>
        <v>6800</v>
      </c>
      <c r="O513" s="9">
        <f>ROUNDUP(N513+(N513*Assumptions!N$5),-2)</f>
        <v>7000</v>
      </c>
      <c r="P513" s="9">
        <f>ROUNDUP(O513+(O513*Assumptions!O$5),-2)</f>
        <v>7200</v>
      </c>
      <c r="Q513" s="9">
        <f>ROUNDUP(P513+(P513*Assumptions!P$5),-2)</f>
        <v>7400</v>
      </c>
      <c r="R513" s="9">
        <f>ROUNDUP(Q513+(Q513*Assumptions!Q$5),-2)</f>
        <v>7600</v>
      </c>
      <c r="S513" s="47">
        <f>ROUNDUP(R513+(R513*Assumptions!R$5),-2)</f>
        <v>7800</v>
      </c>
    </row>
    <row r="514" spans="1:19" x14ac:dyDescent="0.2">
      <c r="A514" s="54"/>
      <c r="B514" s="9"/>
      <c r="C514" s="9"/>
      <c r="D514" s="9"/>
      <c r="E514" s="9"/>
      <c r="F514" s="240"/>
      <c r="G514" s="55"/>
      <c r="H514" s="9"/>
      <c r="I514" s="85"/>
      <c r="J514" s="9"/>
      <c r="K514" s="9"/>
      <c r="L514" s="9"/>
      <c r="M514" s="9"/>
      <c r="N514" s="9"/>
      <c r="O514" s="9"/>
      <c r="P514" s="9"/>
      <c r="Q514" s="9"/>
      <c r="R514" s="9"/>
      <c r="S514" s="47"/>
    </row>
    <row r="515" spans="1:19" x14ac:dyDescent="0.2">
      <c r="A515" s="54"/>
      <c r="B515" s="9"/>
      <c r="C515" s="9"/>
      <c r="D515" s="9"/>
      <c r="E515" s="9"/>
      <c r="F515" s="240"/>
      <c r="G515" s="84" t="s">
        <v>199</v>
      </c>
      <c r="H515" s="9"/>
      <c r="I515" s="85"/>
      <c r="J515" s="9"/>
      <c r="K515" s="9"/>
      <c r="L515" s="9"/>
      <c r="M515" s="9"/>
      <c r="N515" s="9"/>
      <c r="O515" s="9"/>
      <c r="P515" s="9"/>
      <c r="Q515" s="9"/>
      <c r="R515" s="9"/>
      <c r="S515" s="47"/>
    </row>
    <row r="516" spans="1:19" x14ac:dyDescent="0.2">
      <c r="A516" s="54">
        <v>23800</v>
      </c>
      <c r="B516" s="9">
        <v>25300</v>
      </c>
      <c r="C516" s="136">
        <v>26400</v>
      </c>
      <c r="D516" s="9">
        <v>27800</v>
      </c>
      <c r="E516" s="9">
        <v>29500</v>
      </c>
      <c r="F516" s="469" t="s">
        <v>2322</v>
      </c>
      <c r="G516" s="662" t="s">
        <v>4567</v>
      </c>
      <c r="H516" s="9">
        <v>32000</v>
      </c>
      <c r="I516" s="85">
        <f t="shared" ref="I516:I522" si="780">IF(E516=H516,0,IF(E516=0,100,(H516-E516)/E516*100))</f>
        <v>8.4745762711864394</v>
      </c>
      <c r="J516" s="9">
        <v>33000</v>
      </c>
      <c r="K516" s="9">
        <f>ROUNDUP(J516+(J516*Assumptions!J$5),-2)</f>
        <v>33900</v>
      </c>
      <c r="L516" s="9">
        <f>ROUNDUP(K516+(K516*Assumptions!K$5),-2)</f>
        <v>34800</v>
      </c>
      <c r="M516" s="9">
        <f>ROUNDUP(L516+(L516*Assumptions!L$5),-2)</f>
        <v>35700</v>
      </c>
      <c r="N516" s="9">
        <f>ROUNDUP(M516+(M516*Assumptions!M$5),-2)</f>
        <v>36600</v>
      </c>
      <c r="O516" s="9">
        <f>ROUNDUP(N516+(N516*Assumptions!N$5),-2)</f>
        <v>37600</v>
      </c>
      <c r="P516" s="9">
        <f>ROUNDUP(O516+(O516*Assumptions!O$5),-2)</f>
        <v>38600</v>
      </c>
      <c r="Q516" s="9">
        <f>ROUNDUP(P516+(P516*Assumptions!P$5),-2)</f>
        <v>39600</v>
      </c>
      <c r="R516" s="9">
        <f>ROUNDUP(Q516+(Q516*Assumptions!Q$5),-2)</f>
        <v>40600</v>
      </c>
      <c r="S516" s="47">
        <f>ROUNDUP(R516+(R516*Assumptions!R$5),-2)</f>
        <v>41700</v>
      </c>
    </row>
    <row r="517" spans="1:19" x14ac:dyDescent="0.2">
      <c r="A517" s="54">
        <v>5000</v>
      </c>
      <c r="B517" s="9">
        <v>5000</v>
      </c>
      <c r="C517" s="136">
        <v>10000</v>
      </c>
      <c r="D517" s="9">
        <v>10000</v>
      </c>
      <c r="E517" s="9">
        <v>10000</v>
      </c>
      <c r="F517" s="469" t="s">
        <v>422</v>
      </c>
      <c r="G517" s="634" t="s">
        <v>4568</v>
      </c>
      <c r="H517" s="9">
        <v>10000</v>
      </c>
      <c r="I517" s="85">
        <f t="shared" si="780"/>
        <v>0</v>
      </c>
      <c r="J517" s="9">
        <v>10000</v>
      </c>
      <c r="K517" s="9">
        <f>ROUNDUP(J517+(J517*Assumptions!J$5),-2)</f>
        <v>10300</v>
      </c>
      <c r="L517" s="9">
        <f>ROUNDUP(K517+(K517*Assumptions!K$5),-2)</f>
        <v>10600</v>
      </c>
      <c r="M517" s="9">
        <f>ROUNDUP(L517+(L517*Assumptions!L$5),-2)</f>
        <v>10900</v>
      </c>
      <c r="N517" s="9">
        <f>ROUNDUP(M517+(M517*Assumptions!M$5),-2)</f>
        <v>11200</v>
      </c>
      <c r="O517" s="9">
        <f>ROUNDUP(N517+(N517*Assumptions!N$5),-2)</f>
        <v>11500</v>
      </c>
      <c r="P517" s="9">
        <f>ROUNDUP(O517+(O517*Assumptions!O$5),-2)</f>
        <v>11800</v>
      </c>
      <c r="Q517" s="9">
        <f>ROUNDUP(P517+(P517*Assumptions!P$5),-2)</f>
        <v>12100</v>
      </c>
      <c r="R517" s="9">
        <f>ROUNDUP(Q517+(Q517*Assumptions!Q$5),-2)</f>
        <v>12500</v>
      </c>
      <c r="S517" s="47">
        <f>ROUNDUP(R517+(R517*Assumptions!R$5),-2)</f>
        <v>12900</v>
      </c>
    </row>
    <row r="518" spans="1:19" x14ac:dyDescent="0.2">
      <c r="A518" s="54">
        <v>35300</v>
      </c>
      <c r="B518" s="9">
        <v>35900</v>
      </c>
      <c r="C518" s="9">
        <v>31400</v>
      </c>
      <c r="D518" s="9">
        <v>17400</v>
      </c>
      <c r="E518" s="9">
        <v>18600</v>
      </c>
      <c r="F518" s="469" t="s">
        <v>2323</v>
      </c>
      <c r="G518" s="58" t="s">
        <v>4569</v>
      </c>
      <c r="H518" s="9">
        <v>41000</v>
      </c>
      <c r="I518" s="85">
        <f t="shared" si="780"/>
        <v>120.43010752688173</v>
      </c>
      <c r="J518" s="9">
        <v>0</v>
      </c>
      <c r="K518" s="9">
        <f>ROUNDUP(J518+(J518*Assumptions!J$5),-2)</f>
        <v>0</v>
      </c>
      <c r="L518" s="9">
        <f>ROUNDUP(K518+(K518*Assumptions!K$5),-2)</f>
        <v>0</v>
      </c>
      <c r="M518" s="9">
        <f>ROUNDUP(L518+(L518*Assumptions!L$5),-2)</f>
        <v>0</v>
      </c>
      <c r="N518" s="9">
        <f>ROUNDUP(M518+(M518*Assumptions!M$5),-2)</f>
        <v>0</v>
      </c>
      <c r="O518" s="9">
        <f>ROUNDUP(N518+(N518*Assumptions!N$5),-2)</f>
        <v>0</v>
      </c>
      <c r="P518" s="9">
        <f>ROUNDUP(O518+(O518*Assumptions!O$5),-2)</f>
        <v>0</v>
      </c>
      <c r="Q518" s="9">
        <f>ROUNDUP(P518+(P518*Assumptions!P$5),-2)</f>
        <v>0</v>
      </c>
      <c r="R518" s="9">
        <f>ROUNDUP(Q518+(Q518*Assumptions!Q$5),-2)</f>
        <v>0</v>
      </c>
      <c r="S518" s="47">
        <f>ROUNDUP(R518+(R518*Assumptions!R$5),-2)</f>
        <v>0</v>
      </c>
    </row>
    <row r="519" spans="1:19" x14ac:dyDescent="0.2">
      <c r="A519" s="54">
        <v>6500</v>
      </c>
      <c r="B519" s="9">
        <v>6000</v>
      </c>
      <c r="C519" s="136">
        <v>7500</v>
      </c>
      <c r="D519" s="9">
        <v>6000</v>
      </c>
      <c r="E519" s="9">
        <v>6000</v>
      </c>
      <c r="F519" s="769" t="s">
        <v>2997</v>
      </c>
      <c r="G519" s="634" t="s">
        <v>4570</v>
      </c>
      <c r="H519" s="9">
        <v>5200</v>
      </c>
      <c r="I519" s="85">
        <f t="shared" si="780"/>
        <v>-13.333333333333334</v>
      </c>
      <c r="J519" s="9">
        <v>5400</v>
      </c>
      <c r="K519" s="9">
        <f>ROUNDUP(J519+(J519*Assumptions!J$5),-2)</f>
        <v>5600</v>
      </c>
      <c r="L519" s="9">
        <f>ROUNDUP(K519+(K519*Assumptions!K$5),-2)</f>
        <v>5800</v>
      </c>
      <c r="M519" s="9">
        <f>ROUNDUP(L519+(L519*Assumptions!L$5),-2)</f>
        <v>6000</v>
      </c>
      <c r="N519" s="9">
        <f>ROUNDUP(M519+(M519*Assumptions!M$5),-2)</f>
        <v>6200</v>
      </c>
      <c r="O519" s="9">
        <f>ROUNDUP(N519+(N519*Assumptions!N$5),-2)</f>
        <v>6400</v>
      </c>
      <c r="P519" s="9">
        <f>ROUNDUP(O519+(O519*Assumptions!O$5),-2)</f>
        <v>6600</v>
      </c>
      <c r="Q519" s="9">
        <f>ROUNDUP(P519+(P519*Assumptions!P$5),-2)</f>
        <v>6800</v>
      </c>
      <c r="R519" s="9">
        <f>ROUNDUP(Q519+(Q519*Assumptions!Q$5),-2)</f>
        <v>7000</v>
      </c>
      <c r="S519" s="47">
        <f>ROUNDUP(R519+(R519*Assumptions!R$5),-2)</f>
        <v>7200</v>
      </c>
    </row>
    <row r="520" spans="1:19" x14ac:dyDescent="0.2">
      <c r="A520" s="54">
        <v>75800</v>
      </c>
      <c r="B520" s="9">
        <v>63300</v>
      </c>
      <c r="C520" s="9">
        <v>35000</v>
      </c>
      <c r="D520" s="9">
        <v>83700</v>
      </c>
      <c r="E520" s="9">
        <f>51000+4400</f>
        <v>55400</v>
      </c>
      <c r="F520" s="469" t="s">
        <v>2324</v>
      </c>
      <c r="G520" s="58" t="s">
        <v>6489</v>
      </c>
      <c r="H520" s="9">
        <f>61000+5000+12700</f>
        <v>78700</v>
      </c>
      <c r="I520" s="85">
        <f t="shared" si="780"/>
        <v>42.057761732851986</v>
      </c>
      <c r="J520" s="9">
        <v>62600</v>
      </c>
      <c r="K520" s="9">
        <f>ROUNDUP(J520+(J520*Assumptions!J$5),-2)</f>
        <v>64200</v>
      </c>
      <c r="L520" s="9">
        <f>ROUNDUP(K520+(K520*Assumptions!K$5),-2)</f>
        <v>65900</v>
      </c>
      <c r="M520" s="9">
        <f>ROUNDUP(L520+(L520*Assumptions!L$5),-2)</f>
        <v>67600</v>
      </c>
      <c r="N520" s="9">
        <f>ROUNDUP(M520+(M520*Assumptions!M$5),-2)</f>
        <v>69300</v>
      </c>
      <c r="O520" s="9">
        <f>ROUNDUP(N520+(N520*Assumptions!N$5),-2)</f>
        <v>71100</v>
      </c>
      <c r="P520" s="9">
        <f>ROUNDUP(O520+(O520*Assumptions!O$5),-2)</f>
        <v>72900</v>
      </c>
      <c r="Q520" s="9">
        <f>ROUNDUP(P520+(P520*Assumptions!P$5),-2)</f>
        <v>74800</v>
      </c>
      <c r="R520" s="9">
        <f>ROUNDUP(Q520+(Q520*Assumptions!Q$5),-2)</f>
        <v>76700</v>
      </c>
      <c r="S520" s="47">
        <f>ROUNDUP(R520+(R520*Assumptions!R$5),-2)</f>
        <v>78700</v>
      </c>
    </row>
    <row r="521" spans="1:19" x14ac:dyDescent="0.2">
      <c r="A521" s="54">
        <v>0</v>
      </c>
      <c r="B521" s="9">
        <v>0</v>
      </c>
      <c r="C521" s="9">
        <v>0</v>
      </c>
      <c r="D521" s="9">
        <v>0</v>
      </c>
      <c r="E521" s="9">
        <v>30100</v>
      </c>
      <c r="F521" s="769" t="s">
        <v>6010</v>
      </c>
      <c r="G521" s="58" t="s">
        <v>6485</v>
      </c>
      <c r="H521" s="9">
        <v>20000</v>
      </c>
      <c r="I521" s="85">
        <f t="shared" si="780"/>
        <v>-33.554817275747503</v>
      </c>
      <c r="J521" s="9">
        <v>30000</v>
      </c>
      <c r="K521" s="9">
        <v>40000</v>
      </c>
      <c r="L521" s="9">
        <v>50000</v>
      </c>
      <c r="M521" s="9">
        <f>ROUNDUP(L521+(L521*Assumptions!L$5),-2)</f>
        <v>51300</v>
      </c>
      <c r="N521" s="9">
        <f>ROUNDUP(M521+(M521*Assumptions!M$5),-2)</f>
        <v>52600</v>
      </c>
      <c r="O521" s="9">
        <f>ROUNDUP(N521+(N521*Assumptions!N$5),-2)</f>
        <v>54000</v>
      </c>
      <c r="P521" s="9">
        <f>ROUNDUP(O521+(O521*Assumptions!O$5),-2)</f>
        <v>55400</v>
      </c>
      <c r="Q521" s="9">
        <f>ROUNDUP(P521+(P521*Assumptions!P$5),-2)</f>
        <v>56800</v>
      </c>
      <c r="R521" s="9">
        <f>ROUNDUP(Q521+(Q521*Assumptions!Q$5),-2)</f>
        <v>58300</v>
      </c>
      <c r="S521" s="47">
        <f>ROUNDUP(R521+(R521*Assumptions!R$5),-2)</f>
        <v>59800</v>
      </c>
    </row>
    <row r="522" spans="1:19" x14ac:dyDescent="0.2">
      <c r="A522" s="54">
        <v>0</v>
      </c>
      <c r="B522" s="9">
        <v>600</v>
      </c>
      <c r="C522" s="9">
        <v>5100</v>
      </c>
      <c r="D522" s="9">
        <v>1200</v>
      </c>
      <c r="E522" s="9">
        <v>0</v>
      </c>
      <c r="F522" s="469" t="s">
        <v>2094</v>
      </c>
      <c r="G522" s="58" t="s">
        <v>4572</v>
      </c>
      <c r="H522" s="9">
        <v>3000</v>
      </c>
      <c r="I522" s="85">
        <f t="shared" si="780"/>
        <v>100</v>
      </c>
      <c r="J522" s="9">
        <v>3000</v>
      </c>
      <c r="K522" s="9">
        <f>ROUNDUP(J522+(J522*Assumptions!J$5),-2)</f>
        <v>3100</v>
      </c>
      <c r="L522" s="9">
        <f>ROUNDUP(K522+(K522*Assumptions!K$5),-2)</f>
        <v>3200</v>
      </c>
      <c r="M522" s="9">
        <f>ROUNDUP(L522+(L522*Assumptions!L$5),-2)</f>
        <v>3300</v>
      </c>
      <c r="N522" s="9">
        <f>ROUNDUP(M522+(M522*Assumptions!M$5),-2)</f>
        <v>3400</v>
      </c>
      <c r="O522" s="9">
        <f>ROUNDUP(N522+(N522*Assumptions!N$5),-2)</f>
        <v>3500</v>
      </c>
      <c r="P522" s="9">
        <f>ROUNDUP(O522+(O522*Assumptions!O$5),-2)</f>
        <v>3600</v>
      </c>
      <c r="Q522" s="9">
        <f>ROUNDUP(P522+(P522*Assumptions!P$5),-2)</f>
        <v>3700</v>
      </c>
      <c r="R522" s="9">
        <f>ROUNDUP(Q522+(Q522*Assumptions!Q$5),-2)</f>
        <v>3800</v>
      </c>
      <c r="S522" s="47">
        <f>ROUNDUP(R522+(R522*Assumptions!R$5),-2)</f>
        <v>3900</v>
      </c>
    </row>
    <row r="523" spans="1:19" x14ac:dyDescent="0.2">
      <c r="A523" s="54"/>
      <c r="B523" s="9"/>
      <c r="C523" s="9"/>
      <c r="D523" s="9"/>
      <c r="E523" s="9"/>
      <c r="F523" s="483"/>
      <c r="G523" s="55"/>
      <c r="H523" s="9"/>
      <c r="I523" s="85"/>
      <c r="J523" s="9"/>
      <c r="K523" s="9"/>
      <c r="L523" s="9"/>
      <c r="M523" s="9"/>
      <c r="N523" s="9"/>
      <c r="O523" s="9"/>
      <c r="P523" s="9"/>
      <c r="Q523" s="9"/>
      <c r="R523" s="9"/>
      <c r="S523" s="47"/>
    </row>
    <row r="524" spans="1:19" x14ac:dyDescent="0.2">
      <c r="A524" s="54"/>
      <c r="B524" s="9"/>
      <c r="C524" s="9"/>
      <c r="D524" s="9"/>
      <c r="E524" s="9"/>
      <c r="F524" s="240"/>
      <c r="G524" s="56" t="s">
        <v>3497</v>
      </c>
      <c r="H524" s="9"/>
      <c r="I524" s="85"/>
      <c r="J524" s="9"/>
      <c r="K524" s="9"/>
      <c r="L524" s="9"/>
      <c r="M524" s="9"/>
      <c r="N524" s="9"/>
      <c r="O524" s="9"/>
      <c r="P524" s="9"/>
      <c r="Q524" s="9"/>
      <c r="R524" s="9"/>
      <c r="S524" s="47"/>
    </row>
    <row r="525" spans="1:19" x14ac:dyDescent="0.2">
      <c r="A525" s="54">
        <v>50300</v>
      </c>
      <c r="B525" s="9">
        <v>79600</v>
      </c>
      <c r="C525" s="9">
        <v>95900</v>
      </c>
      <c r="D525" s="136">
        <v>122300</v>
      </c>
      <c r="E525" s="9">
        <v>77700</v>
      </c>
      <c r="F525" s="240" t="s">
        <v>1880</v>
      </c>
      <c r="G525" s="55" t="s">
        <v>3491</v>
      </c>
      <c r="H525" s="9">
        <f>120000-5000+35000</f>
        <v>150000</v>
      </c>
      <c r="I525" s="85">
        <f>IF(E525=H525,0,IF(E525=0,100,(H525-E525)/E525*100))</f>
        <v>93.050193050193059</v>
      </c>
      <c r="J525" s="9">
        <v>120000</v>
      </c>
      <c r="K525" s="9">
        <f t="shared" ref="K525:S525" si="781">J525</f>
        <v>120000</v>
      </c>
      <c r="L525" s="9">
        <f t="shared" si="781"/>
        <v>120000</v>
      </c>
      <c r="M525" s="9">
        <f t="shared" si="781"/>
        <v>120000</v>
      </c>
      <c r="N525" s="9">
        <f t="shared" si="781"/>
        <v>120000</v>
      </c>
      <c r="O525" s="9">
        <f t="shared" si="781"/>
        <v>120000</v>
      </c>
      <c r="P525" s="9">
        <f t="shared" si="781"/>
        <v>120000</v>
      </c>
      <c r="Q525" s="9">
        <f t="shared" si="781"/>
        <v>120000</v>
      </c>
      <c r="R525" s="9">
        <f t="shared" si="781"/>
        <v>120000</v>
      </c>
      <c r="S525" s="47">
        <f t="shared" si="781"/>
        <v>120000</v>
      </c>
    </row>
    <row r="526" spans="1:19" x14ac:dyDescent="0.2">
      <c r="A526" s="54">
        <v>13200</v>
      </c>
      <c r="B526" s="9">
        <v>14600</v>
      </c>
      <c r="C526" s="136">
        <v>13500</v>
      </c>
      <c r="D526" s="136">
        <v>3900</v>
      </c>
      <c r="E526" s="134">
        <v>4000</v>
      </c>
      <c r="F526" s="469" t="s">
        <v>390</v>
      </c>
      <c r="G526" s="247" t="s">
        <v>1477</v>
      </c>
      <c r="H526" s="9">
        <v>4000</v>
      </c>
      <c r="I526" s="85">
        <f>IF(E526=H526,0,IF(E526=0,100,(H526-E526)/E526*100))</f>
        <v>0</v>
      </c>
      <c r="J526" s="9">
        <v>4000</v>
      </c>
      <c r="K526" s="9">
        <f>ROUNDUP(J526+(J526*Assumptions!J$5),-2)</f>
        <v>4100</v>
      </c>
      <c r="L526" s="9">
        <f>ROUNDUP(K526+(K526*Assumptions!K$5),-2)</f>
        <v>4300</v>
      </c>
      <c r="M526" s="9">
        <f>ROUNDUP(L526+(L526*Assumptions!L$5),-2)</f>
        <v>4500</v>
      </c>
      <c r="N526" s="9">
        <f>ROUNDUP(M526+(M526*Assumptions!M$5),-2)</f>
        <v>4700</v>
      </c>
      <c r="O526" s="9">
        <f>ROUNDUP(N526+(N526*Assumptions!N$5),-2)</f>
        <v>4900</v>
      </c>
      <c r="P526" s="9">
        <f>ROUNDUP(O526+(O526*Assumptions!O$5),-2)</f>
        <v>5100</v>
      </c>
      <c r="Q526" s="9">
        <f>ROUNDUP(P526+(P526*Assumptions!P$5),-2)</f>
        <v>5300</v>
      </c>
      <c r="R526" s="9">
        <f>ROUNDUP(Q526+(Q526*Assumptions!Q$5),-2)</f>
        <v>5500</v>
      </c>
      <c r="S526" s="47">
        <f>ROUNDUP(R526+(R526*Assumptions!R$5),-2)</f>
        <v>5700</v>
      </c>
    </row>
    <row r="527" spans="1:19" x14ac:dyDescent="0.2">
      <c r="A527" s="54">
        <v>16700</v>
      </c>
      <c r="B527" s="9">
        <v>18700</v>
      </c>
      <c r="C527" s="9">
        <v>19000</v>
      </c>
      <c r="D527" s="9">
        <v>19700</v>
      </c>
      <c r="E527" s="9">
        <v>22800</v>
      </c>
      <c r="F527" s="240" t="s">
        <v>95</v>
      </c>
      <c r="G527" s="1173" t="s">
        <v>2751</v>
      </c>
      <c r="H527" s="9">
        <v>20000</v>
      </c>
      <c r="I527" s="85">
        <f>IF(E527=H527,0,IF(E527=0,100,(H527-E527)/E527*100))</f>
        <v>-12.280701754385964</v>
      </c>
      <c r="J527" s="9">
        <v>21000</v>
      </c>
      <c r="K527" s="9">
        <f>ROUNDUP(J527+(J527*Assumptions!J$5),-2)</f>
        <v>21600</v>
      </c>
      <c r="L527" s="9">
        <f>ROUNDUP(K527+(K527*Assumptions!K$5),-2)</f>
        <v>22200</v>
      </c>
      <c r="M527" s="9">
        <f>ROUNDUP(L527+(L527*Assumptions!L$5),-2)</f>
        <v>22800</v>
      </c>
      <c r="N527" s="9">
        <f>ROUNDUP(M527+(M527*Assumptions!M$5),-2)</f>
        <v>23400</v>
      </c>
      <c r="O527" s="9">
        <f>ROUNDUP(N527+(N527*Assumptions!N$5),-2)</f>
        <v>24000</v>
      </c>
      <c r="P527" s="9">
        <f>ROUNDUP(O527+(O527*Assumptions!O$5),-2)</f>
        <v>24600</v>
      </c>
      <c r="Q527" s="9">
        <f>ROUNDUP(P527+(P527*Assumptions!P$5),-2)</f>
        <v>25300</v>
      </c>
      <c r="R527" s="9">
        <f>ROUNDUP(Q527+(Q527*Assumptions!Q$5),-2)</f>
        <v>26000</v>
      </c>
      <c r="S527" s="47">
        <f>ROUNDUP(R527+(R527*Assumptions!R$5),-2)</f>
        <v>26700</v>
      </c>
    </row>
    <row r="528" spans="1:19" ht="13.5" thickBot="1" x14ac:dyDescent="0.25">
      <c r="A528" s="54"/>
      <c r="B528" s="9"/>
      <c r="C528" s="89"/>
      <c r="D528" s="9"/>
      <c r="E528" s="9"/>
      <c r="F528" s="177"/>
      <c r="G528" s="257"/>
      <c r="H528" s="9"/>
      <c r="I528" s="85"/>
      <c r="J528" s="9"/>
      <c r="K528" s="9"/>
      <c r="L528" s="9"/>
      <c r="M528" s="9"/>
      <c r="N528" s="9"/>
      <c r="O528" s="9"/>
      <c r="P528" s="9"/>
      <c r="Q528" s="9"/>
      <c r="R528" s="9"/>
      <c r="S528" s="47"/>
    </row>
    <row r="529" spans="1:23" s="39" customFormat="1" x14ac:dyDescent="0.2">
      <c r="A529" s="52">
        <f>SUBTOTAL(9,A458:A528)</f>
        <v>1857000</v>
      </c>
      <c r="B529" s="16">
        <f>SUBTOTAL(9,B458:B528)</f>
        <v>1851900</v>
      </c>
      <c r="C529" s="16">
        <f>SUBTOTAL(9,C458:C528)</f>
        <v>1838600</v>
      </c>
      <c r="D529" s="16">
        <f>SUBTOTAL(9,D458:D528)</f>
        <v>1997600</v>
      </c>
      <c r="E529" s="16">
        <f>SUBTOTAL(9,E458:E528)</f>
        <v>2388200</v>
      </c>
      <c r="F529" s="188"/>
      <c r="G529" s="59" t="s">
        <v>556</v>
      </c>
      <c r="H529" s="16">
        <f>SUBTOTAL(9,H458:H528)</f>
        <v>2316600</v>
      </c>
      <c r="I529" s="127">
        <f>IF(E529=H529,0,IF(E529=0,100,(H529-E529)/E529*100))</f>
        <v>-2.9980738631605393</v>
      </c>
      <c r="J529" s="16">
        <f t="shared" ref="J529:S529" si="782">SUBTOTAL(9,J458:J528)</f>
        <v>2293100</v>
      </c>
      <c r="K529" s="16">
        <f t="shared" si="782"/>
        <v>2356300</v>
      </c>
      <c r="L529" s="16">
        <f t="shared" si="782"/>
        <v>2690900</v>
      </c>
      <c r="M529" s="16">
        <f t="shared" si="782"/>
        <v>2478000</v>
      </c>
      <c r="N529" s="16">
        <f t="shared" si="782"/>
        <v>2536400</v>
      </c>
      <c r="O529" s="16">
        <f t="shared" si="782"/>
        <v>2596300</v>
      </c>
      <c r="P529" s="16">
        <f t="shared" si="782"/>
        <v>2959700</v>
      </c>
      <c r="Q529" s="16">
        <f t="shared" si="782"/>
        <v>2720400</v>
      </c>
      <c r="R529" s="16">
        <f t="shared" si="782"/>
        <v>2762500</v>
      </c>
      <c r="S529" s="2342">
        <f t="shared" si="782"/>
        <v>2805700</v>
      </c>
      <c r="U529" s="34"/>
      <c r="W529" s="34"/>
    </row>
    <row r="530" spans="1:23" x14ac:dyDescent="0.2">
      <c r="A530" s="54"/>
      <c r="B530" s="9"/>
      <c r="C530" s="9"/>
      <c r="D530" s="9"/>
      <c r="E530" s="9"/>
      <c r="F530" s="177"/>
      <c r="G530" s="55"/>
      <c r="H530" s="9"/>
      <c r="I530" s="85"/>
      <c r="J530" s="9"/>
      <c r="K530" s="9"/>
      <c r="L530" s="9"/>
      <c r="M530" s="9"/>
      <c r="N530" s="9"/>
      <c r="O530" s="9"/>
      <c r="P530" s="9"/>
      <c r="Q530" s="9"/>
      <c r="R530" s="9"/>
      <c r="S530" s="47"/>
    </row>
    <row r="531" spans="1:23" s="39" customFormat="1" x14ac:dyDescent="0.2">
      <c r="A531" s="24">
        <f>A456-A529</f>
        <v>-1838700</v>
      </c>
      <c r="B531" s="21">
        <f>B456-B529</f>
        <v>-1832800</v>
      </c>
      <c r="C531" s="21">
        <f>C456-C529</f>
        <v>-1821200</v>
      </c>
      <c r="D531" s="21">
        <f>D456-D529</f>
        <v>-1950800</v>
      </c>
      <c r="E531" s="21">
        <f>E456-E529</f>
        <v>-2367100</v>
      </c>
      <c r="F531" s="188"/>
      <c r="G531" s="1161" t="s">
        <v>1002</v>
      </c>
      <c r="H531" s="21">
        <f>H456-H529</f>
        <v>-2294600</v>
      </c>
      <c r="I531" s="126">
        <f>IF(E531=H531,0,IF(E531=0,100,(H531-E531)/E531*100))</f>
        <v>-3.062819483756495</v>
      </c>
      <c r="J531" s="21">
        <f t="shared" ref="J531:S531" si="783">J456-J529</f>
        <v>-2273600</v>
      </c>
      <c r="K531" s="21">
        <f t="shared" si="783"/>
        <v>-2336200</v>
      </c>
      <c r="L531" s="21">
        <f t="shared" si="783"/>
        <v>-2670100</v>
      </c>
      <c r="M531" s="21">
        <f t="shared" si="783"/>
        <v>-2456500</v>
      </c>
      <c r="N531" s="21">
        <f t="shared" si="783"/>
        <v>-2514100</v>
      </c>
      <c r="O531" s="21">
        <f t="shared" si="783"/>
        <v>-2573200</v>
      </c>
      <c r="P531" s="21">
        <f t="shared" si="783"/>
        <v>-2935800</v>
      </c>
      <c r="Q531" s="21">
        <f t="shared" si="783"/>
        <v>-2695600</v>
      </c>
      <c r="R531" s="21">
        <f t="shared" si="783"/>
        <v>-2736800</v>
      </c>
      <c r="S531" s="86">
        <f t="shared" si="783"/>
        <v>-2779100</v>
      </c>
      <c r="U531" s="34"/>
      <c r="W531" s="34"/>
    </row>
    <row r="532" spans="1:23" x14ac:dyDescent="0.2">
      <c r="A532" s="54">
        <v>0</v>
      </c>
      <c r="B532" s="9">
        <v>0</v>
      </c>
      <c r="C532" s="9">
        <v>0</v>
      </c>
      <c r="D532" s="9">
        <v>0</v>
      </c>
      <c r="E532" s="9">
        <v>0</v>
      </c>
      <c r="F532" s="177"/>
      <c r="G532" s="217" t="s">
        <v>1943</v>
      </c>
      <c r="H532" s="9">
        <v>0</v>
      </c>
      <c r="I532" s="85">
        <f>IF(E532=H532,0,IF(E532=0,100,(H532-E532)/E532*100))</f>
        <v>0</v>
      </c>
      <c r="J532" s="9">
        <v>0</v>
      </c>
      <c r="K532" s="9">
        <v>0</v>
      </c>
      <c r="L532" s="9">
        <v>0</v>
      </c>
      <c r="M532" s="9">
        <v>0</v>
      </c>
      <c r="N532" s="9">
        <v>0</v>
      </c>
      <c r="O532" s="9">
        <v>0</v>
      </c>
      <c r="P532" s="9">
        <v>0</v>
      </c>
      <c r="Q532" s="9">
        <v>0</v>
      </c>
      <c r="R532" s="9">
        <v>0</v>
      </c>
      <c r="S532" s="47">
        <v>0</v>
      </c>
    </row>
    <row r="533" spans="1:23" s="39" customFormat="1" x14ac:dyDescent="0.2">
      <c r="A533" s="128">
        <f>A531+A532</f>
        <v>-1838700</v>
      </c>
      <c r="B533" s="280">
        <f>B531+B532</f>
        <v>-1832800</v>
      </c>
      <c r="C533" s="280">
        <f>C531+C532</f>
        <v>-1821200</v>
      </c>
      <c r="D533" s="280">
        <f>D531+D532</f>
        <v>-1950800</v>
      </c>
      <c r="E533" s="280">
        <f t="shared" ref="E533" si="784">E531+E532</f>
        <v>-2367100</v>
      </c>
      <c r="F533" s="359"/>
      <c r="G533" s="360" t="s">
        <v>1659</v>
      </c>
      <c r="H533" s="280">
        <f t="shared" ref="H533:O533" si="785">H531+H532</f>
        <v>-2294600</v>
      </c>
      <c r="I533" s="278">
        <f>IF(E533=H533,0,IF(E533=0,100,(H533-E533)/E533*100))</f>
        <v>-3.062819483756495</v>
      </c>
      <c r="J533" s="280">
        <f t="shared" si="785"/>
        <v>-2273600</v>
      </c>
      <c r="K533" s="280">
        <f t="shared" si="785"/>
        <v>-2336200</v>
      </c>
      <c r="L533" s="280">
        <f t="shared" si="785"/>
        <v>-2670100</v>
      </c>
      <c r="M533" s="280">
        <f t="shared" si="785"/>
        <v>-2456500</v>
      </c>
      <c r="N533" s="280">
        <f t="shared" si="785"/>
        <v>-2514100</v>
      </c>
      <c r="O533" s="280">
        <f t="shared" si="785"/>
        <v>-2573200</v>
      </c>
      <c r="P533" s="280">
        <f t="shared" ref="P533:Q533" si="786">P531+P532</f>
        <v>-2935800</v>
      </c>
      <c r="Q533" s="280">
        <f t="shared" si="786"/>
        <v>-2695600</v>
      </c>
      <c r="R533" s="280">
        <f t="shared" ref="R533" si="787">R531+R532</f>
        <v>-2736800</v>
      </c>
      <c r="S533" s="2343">
        <f t="shared" ref="S533" si="788">S531+S532</f>
        <v>-2779100</v>
      </c>
      <c r="U533" s="34"/>
      <c r="W533" s="34"/>
    </row>
    <row r="534" spans="1:23" ht="13.5" thickBot="1" x14ac:dyDescent="0.25">
      <c r="A534" s="118"/>
      <c r="B534" s="23"/>
      <c r="C534" s="23"/>
      <c r="D534" s="23"/>
      <c r="E534" s="23"/>
      <c r="F534" s="389"/>
      <c r="G534" s="120"/>
      <c r="H534" s="68"/>
      <c r="I534" s="87"/>
      <c r="J534" s="68"/>
      <c r="K534" s="68"/>
      <c r="L534" s="68"/>
      <c r="M534" s="68"/>
      <c r="N534" s="68"/>
      <c r="O534" s="68"/>
      <c r="P534" s="68"/>
      <c r="Q534" s="68"/>
      <c r="R534" s="68"/>
      <c r="S534" s="2344"/>
    </row>
    <row r="535" spans="1:23" ht="13.5" thickTop="1" x14ac:dyDescent="0.2">
      <c r="A535" s="270"/>
      <c r="B535" s="69"/>
      <c r="C535" s="109"/>
      <c r="D535" s="109"/>
      <c r="E535" s="74"/>
      <c r="F535" s="192"/>
      <c r="G535" s="258"/>
      <c r="H535" s="74"/>
      <c r="I535" s="352"/>
      <c r="J535" s="74"/>
      <c r="K535" s="74"/>
      <c r="L535" s="74"/>
      <c r="M535" s="74"/>
      <c r="N535" s="74"/>
      <c r="O535" s="74"/>
      <c r="P535" s="74"/>
      <c r="Q535" s="74"/>
      <c r="R535" s="74"/>
      <c r="S535" s="110"/>
    </row>
    <row r="536" spans="1:23" x14ac:dyDescent="0.2">
      <c r="A536" s="24"/>
      <c r="B536" s="75"/>
      <c r="C536" s="21"/>
      <c r="D536" s="21"/>
      <c r="E536" s="9"/>
      <c r="F536" s="189"/>
      <c r="G536" s="361" t="s">
        <v>192</v>
      </c>
      <c r="H536" s="9"/>
      <c r="I536" s="126"/>
      <c r="J536" s="9"/>
      <c r="K536" s="9"/>
      <c r="L536" s="9"/>
      <c r="M536" s="9"/>
      <c r="N536" s="9"/>
      <c r="O536" s="9"/>
      <c r="P536" s="9"/>
      <c r="Q536" s="9"/>
      <c r="R536" s="9"/>
      <c r="S536" s="61"/>
    </row>
    <row r="537" spans="1:23" x14ac:dyDescent="0.2">
      <c r="A537" s="54">
        <v>0</v>
      </c>
      <c r="B537" s="89">
        <v>0</v>
      </c>
      <c r="C537" s="89">
        <v>0</v>
      </c>
      <c r="D537" s="9">
        <v>0</v>
      </c>
      <c r="E537" s="9">
        <v>0</v>
      </c>
      <c r="F537" s="165"/>
      <c r="G537" s="257" t="s">
        <v>2848</v>
      </c>
      <c r="H537" s="9">
        <v>0</v>
      </c>
      <c r="I537" s="85"/>
      <c r="J537" s="9">
        <v>0</v>
      </c>
      <c r="K537" s="9">
        <v>0</v>
      </c>
      <c r="L537" s="9">
        <v>0</v>
      </c>
      <c r="M537" s="9">
        <v>0</v>
      </c>
      <c r="N537" s="9">
        <v>0</v>
      </c>
      <c r="O537" s="9">
        <v>0</v>
      </c>
      <c r="P537" s="9">
        <v>0</v>
      </c>
      <c r="Q537" s="9">
        <v>0</v>
      </c>
      <c r="R537" s="9">
        <v>0</v>
      </c>
      <c r="S537" s="61">
        <v>0</v>
      </c>
    </row>
    <row r="538" spans="1:23" x14ac:dyDescent="0.2">
      <c r="A538" s="54">
        <v>30800</v>
      </c>
      <c r="B538" s="89">
        <f>2000+5000</f>
        <v>7000</v>
      </c>
      <c r="C538" s="9">
        <f>178700+13500</f>
        <v>192200</v>
      </c>
      <c r="D538" s="9">
        <f>SUM('Res-Gen'!B42:B44)</f>
        <v>94000</v>
      </c>
      <c r="E538" s="9">
        <f>24600+12700+90000</f>
        <v>127300</v>
      </c>
      <c r="F538" s="70"/>
      <c r="G538" s="257" t="s">
        <v>1909</v>
      </c>
      <c r="H538" s="9">
        <f>SUM('Res-Gen'!H42:H44)</f>
        <v>30000</v>
      </c>
      <c r="I538" s="85"/>
      <c r="J538" s="9">
        <f>SUM('Res-Gen'!K42:K44)</f>
        <v>40000</v>
      </c>
      <c r="K538" s="9">
        <f>SUM('Res-Gen'!N42:N44)</f>
        <v>45000</v>
      </c>
      <c r="L538" s="9">
        <f>SUM('Res-Gen'!Q42:Q44)</f>
        <v>61500</v>
      </c>
      <c r="M538" s="9">
        <f>SUM('Res-Gen'!T42:T44)</f>
        <v>71000</v>
      </c>
      <c r="N538" s="9">
        <f>SUM('Res-Gen'!W42:W44)</f>
        <v>71000</v>
      </c>
      <c r="O538" s="9">
        <f>SUM('Res-Gen'!Z42:Z44)</f>
        <v>73000</v>
      </c>
      <c r="P538" s="9">
        <f>SUM('Res-Gen'!AC42:AC44)</f>
        <v>75000</v>
      </c>
      <c r="Q538" s="9">
        <f>SUM('Res-Gen'!AF42:AF44)</f>
        <v>80000</v>
      </c>
      <c r="R538" s="9">
        <f>SUM('Res-Gen'!AI42:AI44)</f>
        <v>85000</v>
      </c>
      <c r="S538" s="61">
        <f>SUM('Res-Gen'!AL42:AL44)</f>
        <v>90000</v>
      </c>
    </row>
    <row r="539" spans="1:23" x14ac:dyDescent="0.2">
      <c r="A539" s="54">
        <v>171000</v>
      </c>
      <c r="B539" s="89">
        <v>5800</v>
      </c>
      <c r="C539" s="9">
        <v>2000</v>
      </c>
      <c r="D539" s="9">
        <f>SUM('Res-Gen'!C42:C44)</f>
        <v>18700</v>
      </c>
      <c r="E539" s="9">
        <f>30100+14000+246500</f>
        <v>290600</v>
      </c>
      <c r="F539" s="9"/>
      <c r="G539" s="257" t="s">
        <v>2309</v>
      </c>
      <c r="H539" s="9">
        <f>SUM('Res-Gen'!I42:I44)+'Res-Gen'!I45</f>
        <v>47700</v>
      </c>
      <c r="I539" s="85"/>
      <c r="J539" s="9">
        <f>SUM('Res-Gen'!L42:L44)</f>
        <v>0</v>
      </c>
      <c r="K539" s="9">
        <f>SUM('Res-Gen'!O42:O44)</f>
        <v>0</v>
      </c>
      <c r="L539" s="9">
        <f>SUM('Res-Gen'!R42:R44)</f>
        <v>260000</v>
      </c>
      <c r="M539" s="9">
        <f>SUM('Res-Gen'!U42:U44)</f>
        <v>0</v>
      </c>
      <c r="N539" s="9">
        <f>SUM('Res-Gen'!X42:X44)</f>
        <v>0</v>
      </c>
      <c r="O539" s="9">
        <f>SUM('Res-Gen'!AA42:AA44)</f>
        <v>0</v>
      </c>
      <c r="P539" s="9">
        <f>SUM('Res-Gen'!AD42:AD44)</f>
        <v>290000</v>
      </c>
      <c r="Q539" s="9">
        <f>SUM('Res-Gen'!AG42:AG44)</f>
        <v>0</v>
      </c>
      <c r="R539" s="9">
        <f>SUM('Res-Gen'!AJ42:AJ44)</f>
        <v>0</v>
      </c>
      <c r="S539" s="61">
        <f>SUM('Res-Gen'!AM42:AM44)</f>
        <v>0</v>
      </c>
    </row>
    <row r="540" spans="1:23" x14ac:dyDescent="0.2">
      <c r="A540" s="54">
        <v>0</v>
      </c>
      <c r="B540" s="89">
        <v>0</v>
      </c>
      <c r="C540" s="9">
        <v>0</v>
      </c>
      <c r="D540" s="9">
        <v>0</v>
      </c>
      <c r="E540" s="9">
        <v>0</v>
      </c>
      <c r="F540" s="165"/>
      <c r="G540" s="257" t="s">
        <v>5847</v>
      </c>
      <c r="H540" s="9">
        <v>0</v>
      </c>
      <c r="I540" s="85"/>
      <c r="J540" s="9">
        <v>0</v>
      </c>
      <c r="K540" s="9">
        <v>0</v>
      </c>
      <c r="L540" s="9">
        <v>0</v>
      </c>
      <c r="M540" s="9">
        <v>0</v>
      </c>
      <c r="N540" s="9">
        <v>0</v>
      </c>
      <c r="O540" s="9">
        <v>0</v>
      </c>
      <c r="P540" s="9">
        <v>0</v>
      </c>
      <c r="Q540" s="9">
        <v>0</v>
      </c>
      <c r="R540" s="9">
        <v>0</v>
      </c>
      <c r="S540" s="61">
        <v>0</v>
      </c>
    </row>
    <row r="541" spans="1:23" x14ac:dyDescent="0.2">
      <c r="A541" s="54">
        <v>0</v>
      </c>
      <c r="B541" s="89">
        <v>19600</v>
      </c>
      <c r="C541" s="9">
        <v>0</v>
      </c>
      <c r="D541" s="9">
        <v>0</v>
      </c>
      <c r="E541" s="9">
        <v>0</v>
      </c>
      <c r="F541" s="165"/>
      <c r="G541" s="257" t="s">
        <v>958</v>
      </c>
      <c r="H541" s="9">
        <v>0</v>
      </c>
      <c r="I541" s="85"/>
      <c r="J541" s="9">
        <v>0</v>
      </c>
      <c r="K541" s="9">
        <v>0</v>
      </c>
      <c r="L541" s="9"/>
      <c r="M541" s="9">
        <v>0</v>
      </c>
      <c r="N541" s="9">
        <v>0</v>
      </c>
      <c r="O541" s="9">
        <v>0</v>
      </c>
      <c r="P541" s="9">
        <v>0</v>
      </c>
      <c r="Q541" s="9">
        <v>0</v>
      </c>
      <c r="R541" s="9">
        <v>0</v>
      </c>
      <c r="S541" s="61">
        <v>0</v>
      </c>
    </row>
    <row r="542" spans="1:23" s="39" customFormat="1" x14ac:dyDescent="0.2">
      <c r="A542" s="128">
        <f>A533-A537-A538+A539++A540-A541</f>
        <v>-1698500</v>
      </c>
      <c r="B542" s="266">
        <f>B533-B537-B538+B539++B540-B541</f>
        <v>-1853600</v>
      </c>
      <c r="C542" s="280">
        <f>C533-C537-C538+C539++C540-C541</f>
        <v>-2011400</v>
      </c>
      <c r="D542" s="280">
        <f>D533-D537-D538+D539++D540-D541</f>
        <v>-2026100</v>
      </c>
      <c r="E542" s="280">
        <f>E533-E537-E538+E539++E540-E541</f>
        <v>-2203800</v>
      </c>
      <c r="F542" s="362"/>
      <c r="G542" s="363" t="s">
        <v>2447</v>
      </c>
      <c r="H542" s="280">
        <f t="shared" ref="H542:P542" si="789">H533-H537-H538+H539++H540-H541</f>
        <v>-2276900</v>
      </c>
      <c r="I542" s="278">
        <f>IF(E542=H542,0,IF(E542=0,100,(H542-E542)/E542*100))</f>
        <v>3.3169979126962521</v>
      </c>
      <c r="J542" s="280">
        <f t="shared" si="789"/>
        <v>-2313600</v>
      </c>
      <c r="K542" s="280">
        <f t="shared" si="789"/>
        <v>-2381200</v>
      </c>
      <c r="L542" s="280">
        <f t="shared" si="789"/>
        <v>-2471600</v>
      </c>
      <c r="M542" s="280">
        <f t="shared" si="789"/>
        <v>-2527500</v>
      </c>
      <c r="N542" s="280">
        <f t="shared" si="789"/>
        <v>-2585100</v>
      </c>
      <c r="O542" s="280">
        <f t="shared" si="789"/>
        <v>-2646200</v>
      </c>
      <c r="P542" s="280">
        <f t="shared" si="789"/>
        <v>-2720800</v>
      </c>
      <c r="Q542" s="280">
        <f>Q533-Q537-Q538+Q539++Q540-Q541</f>
        <v>-2775600</v>
      </c>
      <c r="R542" s="280">
        <f>R533-R537-R538+R539++R540-R541</f>
        <v>-2821800</v>
      </c>
      <c r="S542" s="282">
        <f>S533-S537-S538+S539++S540-S541</f>
        <v>-2869100</v>
      </c>
      <c r="U542" s="34"/>
      <c r="W542" s="34"/>
    </row>
    <row r="543" spans="1:23" ht="13.5" thickBot="1" x14ac:dyDescent="0.25">
      <c r="A543" s="26"/>
      <c r="B543" s="81"/>
      <c r="C543" s="37"/>
      <c r="D543" s="37"/>
      <c r="E543" s="23"/>
      <c r="F543" s="190"/>
      <c r="G543" s="259"/>
      <c r="H543" s="23"/>
      <c r="I543" s="275"/>
      <c r="J543" s="23"/>
      <c r="K543" s="23"/>
      <c r="L543" s="23"/>
      <c r="M543" s="23"/>
      <c r="N543" s="23"/>
      <c r="O543" s="23"/>
      <c r="P543" s="23"/>
      <c r="Q543" s="23"/>
      <c r="R543" s="23"/>
      <c r="S543" s="112"/>
    </row>
    <row r="544" spans="1:23" ht="14.25" thickTop="1" thickBot="1" x14ac:dyDescent="0.25">
      <c r="A544" s="72"/>
      <c r="B544" s="72"/>
      <c r="C544" s="72"/>
      <c r="D544" s="72"/>
      <c r="E544" s="123"/>
      <c r="F544" s="192"/>
      <c r="G544" s="376"/>
      <c r="H544" s="123"/>
      <c r="I544" s="1424"/>
      <c r="J544" s="123"/>
      <c r="K544" s="123"/>
      <c r="L544" s="123"/>
      <c r="M544" s="123"/>
      <c r="N544" s="123"/>
      <c r="O544" s="123"/>
      <c r="P544" s="123"/>
      <c r="Q544" s="123"/>
      <c r="R544" s="123"/>
      <c r="S544" s="123"/>
    </row>
    <row r="545" spans="1:23" s="38" customFormat="1" ht="18.75" customHeight="1" thickTop="1" thickBot="1" x14ac:dyDescent="0.3">
      <c r="A545" s="2588" t="str">
        <f>A123</f>
        <v>FINANCIAL SERVICES - GENERAL PURPOSE REVENUES</v>
      </c>
      <c r="B545" s="2589"/>
      <c r="C545" s="2589"/>
      <c r="D545" s="2589"/>
      <c r="E545" s="2589"/>
      <c r="F545" s="2589"/>
      <c r="G545" s="2589"/>
      <c r="H545" s="2589"/>
      <c r="I545" s="2589"/>
      <c r="J545" s="2589"/>
      <c r="K545" s="2589"/>
      <c r="L545" s="2589"/>
      <c r="M545" s="2589"/>
      <c r="N545" s="2589"/>
      <c r="O545" s="2589"/>
      <c r="P545" s="2589"/>
      <c r="Q545" s="2589"/>
      <c r="R545" s="2589"/>
      <c r="S545" s="2590"/>
      <c r="U545" s="34"/>
      <c r="W545" s="34"/>
    </row>
    <row r="546" spans="1:23" s="39" customFormat="1" x14ac:dyDescent="0.2">
      <c r="A546" s="2620" t="s">
        <v>1824</v>
      </c>
      <c r="B546" s="2621"/>
      <c r="C546" s="2621"/>
      <c r="D546" s="2621"/>
      <c r="E546" s="2622"/>
      <c r="F546" s="150" t="s">
        <v>2616</v>
      </c>
      <c r="G546" s="126" t="s">
        <v>2213</v>
      </c>
      <c r="H546" s="2617" t="s">
        <v>2215</v>
      </c>
      <c r="I546" s="2618"/>
      <c r="J546" s="2618"/>
      <c r="K546" s="2618"/>
      <c r="L546" s="2618"/>
      <c r="M546" s="2618"/>
      <c r="N546" s="2618"/>
      <c r="O546" s="2618"/>
      <c r="P546" s="2618"/>
      <c r="Q546" s="2618"/>
      <c r="R546" s="2618"/>
      <c r="S546" s="2619"/>
      <c r="U546" s="34"/>
      <c r="W546" s="34"/>
    </row>
    <row r="547" spans="1:23" ht="13.5" thickBot="1" x14ac:dyDescent="0.25">
      <c r="A547" s="541" t="str">
        <f>A3</f>
        <v>2012/13</v>
      </c>
      <c r="B547" s="28" t="str">
        <f>B3</f>
        <v>2013/14</v>
      </c>
      <c r="C547" s="40" t="str">
        <f>C3</f>
        <v>2014/15</v>
      </c>
      <c r="D547" s="40" t="str">
        <f>D3</f>
        <v>2015/16</v>
      </c>
      <c r="E547" s="40" t="str">
        <f>E3</f>
        <v>2016/17</v>
      </c>
      <c r="F547" s="40" t="s">
        <v>2617</v>
      </c>
      <c r="G547" s="41"/>
      <c r="H547" s="40" t="str">
        <f>H3</f>
        <v>2017/18</v>
      </c>
      <c r="I547" s="2057" t="s">
        <v>492</v>
      </c>
      <c r="J547" s="40" t="str">
        <f t="shared" ref="J547:S547" si="790">J3</f>
        <v>2018/19</v>
      </c>
      <c r="K547" s="40" t="str">
        <f t="shared" si="790"/>
        <v>2019/20</v>
      </c>
      <c r="L547" s="40" t="str">
        <f t="shared" si="790"/>
        <v>2020/21</v>
      </c>
      <c r="M547" s="40" t="str">
        <f t="shared" si="790"/>
        <v>2021/22</v>
      </c>
      <c r="N547" s="40" t="str">
        <f t="shared" si="790"/>
        <v>2022/23</v>
      </c>
      <c r="O547" s="40" t="str">
        <f t="shared" si="790"/>
        <v>2023/24</v>
      </c>
      <c r="P547" s="40" t="str">
        <f t="shared" si="790"/>
        <v>2024/25</v>
      </c>
      <c r="Q547" s="28" t="str">
        <f t="shared" si="790"/>
        <v>2025/26</v>
      </c>
      <c r="R547" s="28" t="str">
        <f t="shared" si="790"/>
        <v>2026/27</v>
      </c>
      <c r="S547" s="1620" t="str">
        <f t="shared" si="790"/>
        <v>2027/28</v>
      </c>
    </row>
    <row r="548" spans="1:23" x14ac:dyDescent="0.2">
      <c r="A548" s="54"/>
      <c r="B548" s="9"/>
      <c r="C548" s="116"/>
      <c r="D548" s="9"/>
      <c r="E548" s="9"/>
      <c r="F548" s="175"/>
      <c r="G548" s="27"/>
      <c r="H548" s="9"/>
      <c r="I548" s="85"/>
      <c r="J548" s="9"/>
      <c r="K548" s="9"/>
      <c r="L548" s="9"/>
      <c r="M548" s="9"/>
      <c r="N548" s="9"/>
      <c r="O548" s="9"/>
      <c r="P548" s="9"/>
      <c r="Q548" s="9"/>
      <c r="R548" s="9"/>
      <c r="S548" s="61"/>
    </row>
    <row r="549" spans="1:23" x14ac:dyDescent="0.2">
      <c r="A549" s="54"/>
      <c r="B549" s="9"/>
      <c r="C549" s="9"/>
      <c r="D549" s="9"/>
      <c r="E549" s="9"/>
      <c r="F549" s="175"/>
      <c r="G549" s="91" t="s">
        <v>1056</v>
      </c>
      <c r="H549" s="9"/>
      <c r="I549" s="85"/>
      <c r="J549" s="9"/>
      <c r="K549" s="9"/>
      <c r="L549" s="9"/>
      <c r="M549" s="9"/>
      <c r="N549" s="9"/>
      <c r="O549" s="9"/>
      <c r="P549" s="9"/>
      <c r="Q549" s="9"/>
      <c r="R549" s="9"/>
      <c r="S549" s="61"/>
    </row>
    <row r="550" spans="1:23" x14ac:dyDescent="0.2">
      <c r="A550" s="54"/>
      <c r="B550" s="9"/>
      <c r="C550" s="9"/>
      <c r="D550" s="9"/>
      <c r="E550" s="9"/>
      <c r="F550" s="175"/>
      <c r="G550" s="9"/>
      <c r="H550" s="9"/>
      <c r="I550" s="85"/>
      <c r="J550" s="9"/>
      <c r="K550" s="9"/>
      <c r="L550" s="9"/>
      <c r="M550" s="9"/>
      <c r="N550" s="9"/>
      <c r="O550" s="9"/>
      <c r="P550" s="9"/>
      <c r="Q550" s="9"/>
      <c r="R550" s="9"/>
      <c r="S550" s="61"/>
    </row>
    <row r="551" spans="1:23" x14ac:dyDescent="0.2">
      <c r="A551" s="54"/>
      <c r="B551" s="9"/>
      <c r="C551" s="9"/>
      <c r="D551" s="9"/>
      <c r="E551" s="9"/>
      <c r="F551" s="175"/>
      <c r="G551" s="419" t="s">
        <v>1116</v>
      </c>
      <c r="H551" s="9"/>
      <c r="I551" s="85"/>
      <c r="J551" s="9"/>
      <c r="K551" s="9"/>
      <c r="L551" s="9"/>
      <c r="M551" s="9"/>
      <c r="N551" s="9"/>
      <c r="O551" s="9"/>
      <c r="P551" s="9"/>
      <c r="Q551" s="9"/>
      <c r="R551" s="9"/>
      <c r="S551" s="61"/>
    </row>
    <row r="552" spans="1:23" x14ac:dyDescent="0.2">
      <c r="A552" s="54">
        <v>12023300</v>
      </c>
      <c r="B552" s="9">
        <v>12780600</v>
      </c>
      <c r="C552" s="9">
        <v>13206900</v>
      </c>
      <c r="D552" s="9">
        <f>13968100</f>
        <v>13968100</v>
      </c>
      <c r="E552" s="79">
        <f>20453200-E553-E554</f>
        <v>14890400</v>
      </c>
      <c r="F552" s="239" t="s">
        <v>2823</v>
      </c>
      <c r="G552" s="385" t="s">
        <v>314</v>
      </c>
      <c r="H552" s="9">
        <f>15629000+5000+50000</f>
        <v>15684000</v>
      </c>
      <c r="I552" s="85">
        <f>IF(E552=H552,0,IF(E552=0,100,(H552-E552)/E552*100))</f>
        <v>5.3296083382582067</v>
      </c>
      <c r="J552" s="9">
        <f>ROUND(H552*Assumptions!I$11+GM!H552,-2)</f>
        <v>15589900</v>
      </c>
      <c r="K552" s="9">
        <f>ROUND(J552*Assumptions!J$11+GM!J552,-2)</f>
        <v>16057600</v>
      </c>
      <c r="L552" s="9">
        <f>ROUND(K552*Assumptions!K$11+GM!K552,-2)</f>
        <v>16539300</v>
      </c>
      <c r="M552" s="9">
        <f>ROUND(L552*Assumptions!L$11+GM!L552,-2)</f>
        <v>17035500</v>
      </c>
      <c r="N552" s="9">
        <f>ROUND(M552*Assumptions!M$11+GM!M552,-2)</f>
        <v>17546600</v>
      </c>
      <c r="O552" s="9">
        <f>ROUND(N552*Assumptions!N$11+GM!N552,-2)</f>
        <v>18073000</v>
      </c>
      <c r="P552" s="9">
        <f>ROUND(O552*Assumptions!O$11+GM!O552,-2)</f>
        <v>18615200</v>
      </c>
      <c r="Q552" s="9">
        <f>ROUND(P552*Assumptions!P$11+GM!P552,-2)</f>
        <v>19173700</v>
      </c>
      <c r="R552" s="9">
        <f>ROUND(Q552*Assumptions!Q$11+GM!Q552,-2)</f>
        <v>19748900</v>
      </c>
      <c r="S552" s="47">
        <f>ROUND(R552*Assumptions!R$11+GM!R552,-2)</f>
        <v>20341400</v>
      </c>
    </row>
    <row r="553" spans="1:23" x14ac:dyDescent="0.2">
      <c r="A553" s="54">
        <v>3305500</v>
      </c>
      <c r="B553" s="9">
        <v>3476100</v>
      </c>
      <c r="C553" s="9">
        <v>3644700</v>
      </c>
      <c r="D553" s="9">
        <v>3826700</v>
      </c>
      <c r="E553" s="9">
        <v>4055800</v>
      </c>
      <c r="F553" s="239" t="s">
        <v>780</v>
      </c>
      <c r="G553" s="385" t="s">
        <v>1088</v>
      </c>
      <c r="H553" s="79">
        <f>4302000+1000</f>
        <v>4303000</v>
      </c>
      <c r="I553" s="85">
        <f>IF(E553=H553,0,IF(E553=0,100,(H553-E553)/E553*100))</f>
        <v>6.0949750973913899</v>
      </c>
      <c r="J553" s="9">
        <f>ROUND(H553*Assumptions!I$11+GM!H553,-2)</f>
        <v>4277200</v>
      </c>
      <c r="K553" s="9">
        <f>ROUND(J553*Assumptions!J$11+GM!J553,-2)</f>
        <v>4405500</v>
      </c>
      <c r="L553" s="9">
        <f>ROUND(K553*Assumptions!K$11+GM!K553,-2)</f>
        <v>4537700</v>
      </c>
      <c r="M553" s="9">
        <f>ROUND(L553*Assumptions!L$11+GM!L553,-2)</f>
        <v>4673800</v>
      </c>
      <c r="N553" s="9">
        <f>ROUND(M553*Assumptions!M$11+GM!M553,-2)</f>
        <v>4814000</v>
      </c>
      <c r="O553" s="9">
        <f>ROUND(N553*Assumptions!N$11+GM!N553,-2)</f>
        <v>4958400</v>
      </c>
      <c r="P553" s="9">
        <f>ROUND(O553*Assumptions!O$11+GM!O553,-2)</f>
        <v>5107200</v>
      </c>
      <c r="Q553" s="9">
        <f>ROUND(P553*Assumptions!P$11+GM!P553,-2)</f>
        <v>5260400</v>
      </c>
      <c r="R553" s="9">
        <f>ROUND(Q553*Assumptions!Q$11+GM!Q553,-2)</f>
        <v>5418200</v>
      </c>
      <c r="S553" s="47">
        <f>ROUND(R553*Assumptions!R$11+GM!R553,-2)</f>
        <v>5580700</v>
      </c>
    </row>
    <row r="554" spans="1:23" x14ac:dyDescent="0.2">
      <c r="A554" s="54">
        <v>1302800</v>
      </c>
      <c r="B554" s="9">
        <v>1356800</v>
      </c>
      <c r="C554" s="9">
        <v>1387800</v>
      </c>
      <c r="D554" s="9">
        <v>1445600</v>
      </c>
      <c r="E554" s="9">
        <v>1507000</v>
      </c>
      <c r="F554" s="239" t="s">
        <v>781</v>
      </c>
      <c r="G554" s="385" t="s">
        <v>791</v>
      </c>
      <c r="H554" s="9">
        <f>1579000+1000</f>
        <v>1580000</v>
      </c>
      <c r="I554" s="85">
        <f>IF(E554=H554,0,IF(E554=0,100,(H554-E554)/E554*100))</f>
        <v>4.8440610484406106</v>
      </c>
      <c r="J554" s="9">
        <f>ROUND(H554*Assumptions!I$11+GM!H554,-2)</f>
        <v>1570500</v>
      </c>
      <c r="K554" s="9">
        <f>ROUND(J554*Assumptions!J$11+GM!J554,-2)</f>
        <v>1617600</v>
      </c>
      <c r="L554" s="9">
        <f>ROUND(K554*Assumptions!K$11+GM!K554,-2)</f>
        <v>1666100</v>
      </c>
      <c r="M554" s="9">
        <f>ROUND(L554*Assumptions!L$11+GM!L554,-2)</f>
        <v>1716100</v>
      </c>
      <c r="N554" s="9">
        <f>ROUND(M554*Assumptions!M$11+GM!M554,-2)</f>
        <v>1767600</v>
      </c>
      <c r="O554" s="9">
        <f>ROUND(N554*Assumptions!N$11+GM!N554,-2)</f>
        <v>1820600</v>
      </c>
      <c r="P554" s="9">
        <f>ROUND(O554*Assumptions!O$11+GM!O554,-2)</f>
        <v>1875200</v>
      </c>
      <c r="Q554" s="9">
        <f>ROUND(P554*Assumptions!P$11+GM!P554,-2)</f>
        <v>1931500</v>
      </c>
      <c r="R554" s="9">
        <f>ROUND(Q554*Assumptions!Q$11+GM!Q554,-2)</f>
        <v>1989400</v>
      </c>
      <c r="S554" s="47">
        <f>ROUND(R554*Assumptions!R$11+GM!R554,-2)</f>
        <v>2049100</v>
      </c>
    </row>
    <row r="555" spans="1:23" x14ac:dyDescent="0.2">
      <c r="A555" s="54"/>
      <c r="B555" s="9"/>
      <c r="C555" s="9"/>
      <c r="D555" s="9"/>
      <c r="E555" s="9"/>
      <c r="F555" s="239"/>
      <c r="G555" s="2064"/>
      <c r="H555" s="9"/>
      <c r="I555" s="85"/>
      <c r="J555" s="9"/>
      <c r="K555" s="9"/>
      <c r="L555" s="9"/>
      <c r="M555" s="9"/>
      <c r="N555" s="9"/>
      <c r="O555" s="9"/>
      <c r="P555" s="9"/>
      <c r="Q555" s="9"/>
      <c r="R555" s="9"/>
      <c r="S555" s="47"/>
    </row>
    <row r="556" spans="1:23" x14ac:dyDescent="0.2">
      <c r="A556" s="518"/>
      <c r="B556" s="433"/>
      <c r="C556" s="9"/>
      <c r="D556" s="9"/>
      <c r="E556" s="9"/>
      <c r="F556" s="239"/>
      <c r="G556" s="419" t="s">
        <v>562</v>
      </c>
      <c r="H556" s="9"/>
      <c r="I556" s="402"/>
      <c r="J556" s="9"/>
      <c r="K556" s="9"/>
      <c r="L556" s="9"/>
      <c r="M556" s="9"/>
      <c r="N556" s="9"/>
      <c r="O556" s="9"/>
      <c r="P556" s="9"/>
      <c r="Q556" s="9"/>
      <c r="R556" s="9"/>
      <c r="S556" s="47"/>
    </row>
    <row r="557" spans="1:23" x14ac:dyDescent="0.2">
      <c r="A557" s="54">
        <v>2000</v>
      </c>
      <c r="B557" s="9">
        <v>1500</v>
      </c>
      <c r="C557" s="9">
        <v>4900</v>
      </c>
      <c r="D557" s="9">
        <v>1000</v>
      </c>
      <c r="E557" s="9">
        <v>1100</v>
      </c>
      <c r="F557" s="239" t="s">
        <v>782</v>
      </c>
      <c r="G557" s="661" t="s">
        <v>4535</v>
      </c>
      <c r="H557" s="9">
        <v>2000</v>
      </c>
      <c r="I557" s="85">
        <f>IF(E557=H557,0,IF(E557=0,100,(H557-E557)/E557*100))</f>
        <v>81.818181818181827</v>
      </c>
      <c r="J557" s="9">
        <f>ROUND(H557*Assumptions!I$5+GM!H557,-2)</f>
        <v>2000</v>
      </c>
      <c r="K557" s="9">
        <f>ROUND(J557*Assumptions!J$5+GM!J557,-2)</f>
        <v>2100</v>
      </c>
      <c r="L557" s="9">
        <f>ROUND(K557*Assumptions!K$5+GM!K557,-2)</f>
        <v>2200</v>
      </c>
      <c r="M557" s="9">
        <f>ROUND(L557*Assumptions!L$5+GM!L557,-2)</f>
        <v>2300</v>
      </c>
      <c r="N557" s="9">
        <f>ROUND(M557*Assumptions!M$5+GM!M557,-2)</f>
        <v>2400</v>
      </c>
      <c r="O557" s="9">
        <f>ROUND(N557*Assumptions!N$5+GM!N557,-2)</f>
        <v>2500</v>
      </c>
      <c r="P557" s="9">
        <f>ROUND(O557*Assumptions!O$5+GM!O557,-2)</f>
        <v>2600</v>
      </c>
      <c r="Q557" s="9">
        <f>ROUND(P557*Assumptions!P$5+GM!P557,-2)</f>
        <v>2700</v>
      </c>
      <c r="R557" s="9">
        <f>ROUND(Q557*Assumptions!Q$5+GM!Q557,-2)</f>
        <v>2800</v>
      </c>
      <c r="S557" s="47">
        <f>ROUND(R557*Assumptions!R$5+GM!R557,-2)</f>
        <v>2900</v>
      </c>
    </row>
    <row r="558" spans="1:23" x14ac:dyDescent="0.2">
      <c r="A558" s="54">
        <v>-1500</v>
      </c>
      <c r="B558" s="9">
        <v>-2100</v>
      </c>
      <c r="C558" s="9">
        <v>-2100</v>
      </c>
      <c r="D558" s="9">
        <v>-1600</v>
      </c>
      <c r="E558" s="9">
        <f>+-2000-E565-E566-E557-E563</f>
        <v>-1000</v>
      </c>
      <c r="F558" s="239" t="s">
        <v>379</v>
      </c>
      <c r="G558" s="661" t="s">
        <v>4536</v>
      </c>
      <c r="H558" s="9">
        <v>-1500</v>
      </c>
      <c r="I558" s="85">
        <f>IF(E558=H558,0,IF(E558=0,100,(H558-E558)/E558*100))</f>
        <v>50</v>
      </c>
      <c r="J558" s="9">
        <f>ROUND(H558*Assumptions!I$5+GM!H558,-2)</f>
        <v>-1500</v>
      </c>
      <c r="K558" s="9">
        <f>ROUND(J558*Assumptions!J$5+GM!J558,-2)</f>
        <v>-1500</v>
      </c>
      <c r="L558" s="9">
        <f>ROUND(K558*Assumptions!K$5+GM!K558,-2)</f>
        <v>-1500</v>
      </c>
      <c r="M558" s="9">
        <f>ROUND(L558*Assumptions!L$5+GM!L558,-2)</f>
        <v>-1500</v>
      </c>
      <c r="N558" s="9">
        <f>ROUND(M558*Assumptions!M$5+GM!M558,-2)</f>
        <v>-1500</v>
      </c>
      <c r="O558" s="9">
        <f>ROUND(N558*Assumptions!N$5+GM!N558,-2)</f>
        <v>-1500</v>
      </c>
      <c r="P558" s="9">
        <f>ROUND(O558*Assumptions!O$5+GM!O558,-2)</f>
        <v>-1500</v>
      </c>
      <c r="Q558" s="9">
        <f>ROUND(P558*Assumptions!P$5+GM!P558,-2)</f>
        <v>-1500</v>
      </c>
      <c r="R558" s="9">
        <f>ROUND(Q558*Assumptions!Q$5+GM!Q558,-2)</f>
        <v>-1500</v>
      </c>
      <c r="S558" s="47">
        <f>ROUND(R558*Assumptions!R$5+GM!R558,-2)</f>
        <v>-1500</v>
      </c>
    </row>
    <row r="559" spans="1:23" x14ac:dyDescent="0.2">
      <c r="A559" s="54"/>
      <c r="B559" s="9"/>
      <c r="C559" s="9"/>
      <c r="D559" s="9"/>
      <c r="E559" s="9"/>
      <c r="F559" s="239"/>
      <c r="G559" s="385"/>
      <c r="H559" s="9"/>
      <c r="I559" s="85"/>
      <c r="J559" s="9"/>
      <c r="K559" s="9"/>
      <c r="L559" s="9"/>
      <c r="M559" s="9"/>
      <c r="N559" s="9"/>
      <c r="O559" s="9"/>
      <c r="P559" s="9"/>
      <c r="Q559" s="9"/>
      <c r="R559" s="9"/>
      <c r="S559" s="47"/>
    </row>
    <row r="560" spans="1:23" x14ac:dyDescent="0.2">
      <c r="A560" s="54"/>
      <c r="B560" s="9"/>
      <c r="C560" s="9"/>
      <c r="D560" s="9"/>
      <c r="E560" s="9"/>
      <c r="F560" s="239"/>
      <c r="G560" s="419" t="s">
        <v>1501</v>
      </c>
      <c r="H560" s="9"/>
      <c r="I560" s="85"/>
      <c r="J560" s="9"/>
      <c r="K560" s="9"/>
      <c r="L560" s="9"/>
      <c r="M560" s="9"/>
      <c r="N560" s="9"/>
      <c r="O560" s="9"/>
      <c r="P560" s="9"/>
      <c r="Q560" s="9"/>
      <c r="R560" s="9"/>
      <c r="S560" s="47"/>
    </row>
    <row r="561" spans="1:19" x14ac:dyDescent="0.2">
      <c r="A561" s="54">
        <v>-258200</v>
      </c>
      <c r="B561" s="9">
        <v>-260400</v>
      </c>
      <c r="C561" s="9">
        <v>-277700</v>
      </c>
      <c r="D561" s="9">
        <v>-286500</v>
      </c>
      <c r="E561" s="9">
        <v>-290400</v>
      </c>
      <c r="F561" s="239" t="s">
        <v>308</v>
      </c>
      <c r="G561" s="661" t="s">
        <v>4537</v>
      </c>
      <c r="H561" s="9">
        <v>-290200</v>
      </c>
      <c r="I561" s="85">
        <f t="shared" ref="I561:I566" si="791">IF(E561=H561,0,IF(E561=0,100,(H561-E561)/E561*100))</f>
        <v>-6.8870523415977963E-2</v>
      </c>
      <c r="J561" s="9">
        <f>ROUND(H561*Assumptions!I$8+GM!H561,-2)</f>
        <v>-291700</v>
      </c>
      <c r="K561" s="9">
        <f>ROUND(J561*Assumptions!J$8+GM!J561,-2)</f>
        <v>-293200</v>
      </c>
      <c r="L561" s="9">
        <f>ROUND(K561*Assumptions!K$8+GM!K561,-2)</f>
        <v>-294700</v>
      </c>
      <c r="M561" s="9">
        <f>ROUND(L561*Assumptions!L$8+GM!L561,-2)</f>
        <v>-296200</v>
      </c>
      <c r="N561" s="9">
        <f>ROUND(M561*Assumptions!M$8+GM!M561,-2)</f>
        <v>-297700</v>
      </c>
      <c r="O561" s="9">
        <f>ROUND(N561*Assumptions!N$8+GM!N561,-2)</f>
        <v>-299200</v>
      </c>
      <c r="P561" s="9">
        <f>ROUND(O561*Assumptions!O$8+GM!O561,-2)</f>
        <v>-300700</v>
      </c>
      <c r="Q561" s="9">
        <f>ROUND(P561*Assumptions!P$8+GM!P561,-2)</f>
        <v>-302200</v>
      </c>
      <c r="R561" s="9">
        <f>ROUND(Q561*Assumptions!Q$8+GM!Q561,-2)</f>
        <v>-303700</v>
      </c>
      <c r="S561" s="47">
        <f>ROUND(R561*Assumptions!R$8+GM!R561,-2)</f>
        <v>-305200</v>
      </c>
    </row>
    <row r="562" spans="1:19" x14ac:dyDescent="0.2">
      <c r="A562" s="54">
        <v>-315600</v>
      </c>
      <c r="B562" s="9">
        <v>-318300</v>
      </c>
      <c r="C562" s="9">
        <v>-339400</v>
      </c>
      <c r="D562" s="9">
        <v>-350200</v>
      </c>
      <c r="E562" s="9">
        <v>-355000</v>
      </c>
      <c r="F562" s="239" t="s">
        <v>246</v>
      </c>
      <c r="G562" s="661" t="s">
        <v>4538</v>
      </c>
      <c r="H562" s="9">
        <v>-354600</v>
      </c>
      <c r="I562" s="85">
        <f t="shared" si="791"/>
        <v>-0.11267605633802817</v>
      </c>
      <c r="J562" s="9">
        <f>ROUND(H562*Assumptions!I$8+GM!H562,-2)</f>
        <v>-356400</v>
      </c>
      <c r="K562" s="9">
        <f>ROUND(J562*Assumptions!J$8+GM!J562,-2)</f>
        <v>-358200</v>
      </c>
      <c r="L562" s="9">
        <f>ROUND(K562*Assumptions!K$8+GM!K562,-2)</f>
        <v>-360000</v>
      </c>
      <c r="M562" s="9">
        <f>ROUND(L562*Assumptions!L$8+GM!L562,-2)</f>
        <v>-361800</v>
      </c>
      <c r="N562" s="9">
        <f>ROUND(M562*Assumptions!M$8+GM!M562,-2)</f>
        <v>-363600</v>
      </c>
      <c r="O562" s="9">
        <f>ROUND(N562*Assumptions!N$8+GM!N562,-2)</f>
        <v>-365400</v>
      </c>
      <c r="P562" s="9">
        <f>ROUND(O562*Assumptions!O$8+GM!O562,-2)</f>
        <v>-367200</v>
      </c>
      <c r="Q562" s="9">
        <f>ROUND(P562*Assumptions!P$8+GM!P562,-2)</f>
        <v>-369000</v>
      </c>
      <c r="R562" s="9">
        <f>ROUND(Q562*Assumptions!Q$8+GM!Q562,-2)</f>
        <v>-370800</v>
      </c>
      <c r="S562" s="47">
        <f>ROUND(R562*Assumptions!R$8+GM!R562,-2)</f>
        <v>-372700</v>
      </c>
    </row>
    <row r="563" spans="1:19" x14ac:dyDescent="0.2">
      <c r="A563" s="54">
        <v>-4100</v>
      </c>
      <c r="B563" s="9">
        <v>-2200</v>
      </c>
      <c r="C563" s="9">
        <v>-17200</v>
      </c>
      <c r="D563" s="9">
        <v>-1700</v>
      </c>
      <c r="E563" s="9">
        <v>-200</v>
      </c>
      <c r="F563" s="239" t="s">
        <v>450</v>
      </c>
      <c r="G563" s="385" t="s">
        <v>763</v>
      </c>
      <c r="H563" s="9">
        <v>-9700</v>
      </c>
      <c r="I563" s="85">
        <f t="shared" si="791"/>
        <v>4750</v>
      </c>
      <c r="J563" s="9">
        <f>ROUND(H563*Assumptions!I$5+GM!H563,-2)</f>
        <v>-9900</v>
      </c>
      <c r="K563" s="9">
        <f>ROUND(J563*Assumptions!J$5+GM!J563,-2)</f>
        <v>-10100</v>
      </c>
      <c r="L563" s="9">
        <f>ROUND(K563*Assumptions!K$5+GM!K563,-2)</f>
        <v>-10400</v>
      </c>
      <c r="M563" s="9">
        <f>ROUND(L563*Assumptions!L$5+GM!L563,-2)</f>
        <v>-10700</v>
      </c>
      <c r="N563" s="9">
        <f>ROUND(M563*Assumptions!M$5+GM!M563,-2)</f>
        <v>-11000</v>
      </c>
      <c r="O563" s="9">
        <f>ROUND(N563*Assumptions!N$5+GM!N563,-2)</f>
        <v>-11300</v>
      </c>
      <c r="P563" s="9">
        <f>ROUND(O563*Assumptions!O$5+GM!O563,-2)</f>
        <v>-11600</v>
      </c>
      <c r="Q563" s="9">
        <f>ROUND(P563*Assumptions!P$5+GM!P563,-2)</f>
        <v>-11900</v>
      </c>
      <c r="R563" s="9">
        <f>ROUND(Q563*Assumptions!Q$5+GM!Q563,-2)</f>
        <v>-12200</v>
      </c>
      <c r="S563" s="47">
        <f>ROUND(R563*Assumptions!R$5+GM!R563,-2)</f>
        <v>-12500</v>
      </c>
    </row>
    <row r="564" spans="1:19" x14ac:dyDescent="0.2">
      <c r="A564" s="54">
        <v>-3000</v>
      </c>
      <c r="B564" s="9">
        <v>0</v>
      </c>
      <c r="C564" s="9">
        <v>-300</v>
      </c>
      <c r="D564" s="9">
        <v>0</v>
      </c>
      <c r="E564" s="9">
        <v>0</v>
      </c>
      <c r="F564" s="239" t="s">
        <v>1698</v>
      </c>
      <c r="G564" s="385" t="s">
        <v>265</v>
      </c>
      <c r="H564" s="9">
        <v>-300</v>
      </c>
      <c r="I564" s="85">
        <f t="shared" si="791"/>
        <v>100</v>
      </c>
      <c r="J564" s="9">
        <f>ROUND(H564*Assumptions!I$5+GM!H564,-2)</f>
        <v>-300</v>
      </c>
      <c r="K564" s="9">
        <f>ROUND(J564*Assumptions!J$5+GM!J564,-2)</f>
        <v>-300</v>
      </c>
      <c r="L564" s="9">
        <f>ROUND(K564*Assumptions!K$5+GM!K564,-2)</f>
        <v>-300</v>
      </c>
      <c r="M564" s="9">
        <f>ROUND(L564*Assumptions!L$5+GM!L564,-2)</f>
        <v>-300</v>
      </c>
      <c r="N564" s="9">
        <f>ROUND(M564*Assumptions!M$5+GM!M564,-2)</f>
        <v>-300</v>
      </c>
      <c r="O564" s="9">
        <f>ROUND(N564*Assumptions!N$5+GM!N564,-2)</f>
        <v>-300</v>
      </c>
      <c r="P564" s="9">
        <f>ROUND(O564*Assumptions!O$5+GM!O564,-2)</f>
        <v>-300</v>
      </c>
      <c r="Q564" s="9">
        <f>ROUND(P564*Assumptions!P$5+GM!P564,-2)</f>
        <v>-300</v>
      </c>
      <c r="R564" s="9">
        <f>ROUND(Q564*Assumptions!Q$5+GM!Q564,-2)</f>
        <v>-300</v>
      </c>
      <c r="S564" s="47">
        <f>ROUND(R564*Assumptions!R$5+GM!R564,-2)</f>
        <v>-300</v>
      </c>
    </row>
    <row r="565" spans="1:19" x14ac:dyDescent="0.2">
      <c r="A565" s="54">
        <v>-600</v>
      </c>
      <c r="B565" s="9">
        <v>-200</v>
      </c>
      <c r="C565" s="9">
        <v>-1100</v>
      </c>
      <c r="D565" s="9">
        <v>-300</v>
      </c>
      <c r="E565" s="9">
        <v>-1400</v>
      </c>
      <c r="F565" s="239" t="s">
        <v>834</v>
      </c>
      <c r="G565" s="385" t="s">
        <v>2695</v>
      </c>
      <c r="H565" s="9">
        <v>-1100</v>
      </c>
      <c r="I565" s="85">
        <f t="shared" si="791"/>
        <v>-21.428571428571427</v>
      </c>
      <c r="J565" s="9">
        <f>ROUND(H565*Assumptions!I$5+GM!H565,-2)</f>
        <v>-1100</v>
      </c>
      <c r="K565" s="9">
        <f>ROUND(J565*Assumptions!J$5+GM!J565,-2)</f>
        <v>-1100</v>
      </c>
      <c r="L565" s="9">
        <f>ROUND(K565*Assumptions!K$5+GM!K565,-2)</f>
        <v>-1100</v>
      </c>
      <c r="M565" s="9">
        <f>ROUND(L565*Assumptions!L$5+GM!L565,-2)</f>
        <v>-1100</v>
      </c>
      <c r="N565" s="9">
        <f>ROUND(M565*Assumptions!M$5+GM!M565,-2)</f>
        <v>-1100</v>
      </c>
      <c r="O565" s="9">
        <f>ROUND(N565*Assumptions!N$5+GM!N565,-2)</f>
        <v>-1100</v>
      </c>
      <c r="P565" s="9">
        <f>ROUND(O565*Assumptions!O$5+GM!O565,-2)</f>
        <v>-1100</v>
      </c>
      <c r="Q565" s="9">
        <f>ROUND(P565*Assumptions!P$5+GM!P565,-2)</f>
        <v>-1100</v>
      </c>
      <c r="R565" s="9">
        <f>ROUND(Q565*Assumptions!Q$5+GM!Q565,-2)</f>
        <v>-1100</v>
      </c>
      <c r="S565" s="47">
        <f>ROUND(R565*Assumptions!R$5+GM!R565,-2)</f>
        <v>-1100</v>
      </c>
    </row>
    <row r="566" spans="1:19" x14ac:dyDescent="0.2">
      <c r="A566" s="54">
        <v>-600</v>
      </c>
      <c r="B566" s="9">
        <v>-700</v>
      </c>
      <c r="C566" s="9">
        <v>-700</v>
      </c>
      <c r="D566" s="9">
        <v>-400</v>
      </c>
      <c r="E566" s="9">
        <v>-500</v>
      </c>
      <c r="F566" s="239" t="s">
        <v>353</v>
      </c>
      <c r="G566" s="385" t="s">
        <v>2220</v>
      </c>
      <c r="H566" s="9">
        <v>-1000</v>
      </c>
      <c r="I566" s="85">
        <f t="shared" si="791"/>
        <v>100</v>
      </c>
      <c r="J566" s="9">
        <f>ROUND(H566*Assumptions!I$5+GM!H566,-2)</f>
        <v>-1000</v>
      </c>
      <c r="K566" s="9">
        <f>ROUND(J566*Assumptions!J$5+GM!J566,-2)</f>
        <v>-1000</v>
      </c>
      <c r="L566" s="9">
        <f>ROUND(K566*Assumptions!K$5+GM!K566,-2)</f>
        <v>-1000</v>
      </c>
      <c r="M566" s="9">
        <f>ROUND(L566*Assumptions!L$5+GM!L566,-2)</f>
        <v>-1000</v>
      </c>
      <c r="N566" s="9">
        <f>ROUND(M566*Assumptions!M$5+GM!M566,-2)</f>
        <v>-1000</v>
      </c>
      <c r="O566" s="9">
        <f>ROUND(N566*Assumptions!N$5+GM!N566,-2)</f>
        <v>-1000</v>
      </c>
      <c r="P566" s="9">
        <f>ROUND(O566*Assumptions!O$5+GM!O566,-2)</f>
        <v>-1000</v>
      </c>
      <c r="Q566" s="9">
        <f>ROUND(P566*Assumptions!P$5+GM!P566,-2)</f>
        <v>-1000</v>
      </c>
      <c r="R566" s="9">
        <f>ROUND(Q566*Assumptions!Q$5+GM!Q566,-2)</f>
        <v>-1000</v>
      </c>
      <c r="S566" s="47">
        <f>ROUND(R566*Assumptions!R$5+GM!R566,-2)</f>
        <v>-1000</v>
      </c>
    </row>
    <row r="567" spans="1:19" x14ac:dyDescent="0.2">
      <c r="A567" s="54"/>
      <c r="B567" s="9"/>
      <c r="C567" s="9"/>
      <c r="D567" s="9"/>
      <c r="E567" s="9"/>
      <c r="F567" s="239"/>
      <c r="G567" s="385"/>
      <c r="H567" s="9"/>
      <c r="I567" s="85"/>
      <c r="J567" s="9"/>
      <c r="K567" s="9"/>
      <c r="L567" s="9"/>
      <c r="M567" s="9"/>
      <c r="N567" s="9"/>
      <c r="O567" s="9"/>
      <c r="P567" s="9"/>
      <c r="Q567" s="9"/>
      <c r="R567" s="9"/>
      <c r="S567" s="47"/>
    </row>
    <row r="568" spans="1:19" x14ac:dyDescent="0.2">
      <c r="A568" s="54"/>
      <c r="B568" s="9"/>
      <c r="C568" s="9"/>
      <c r="D568" s="9"/>
      <c r="F568" s="239"/>
      <c r="G568" s="419" t="s">
        <v>2624</v>
      </c>
      <c r="H568" s="9"/>
      <c r="I568" s="85"/>
      <c r="J568" s="9"/>
      <c r="K568" s="9"/>
      <c r="L568" s="9"/>
      <c r="M568" s="9"/>
      <c r="N568" s="9"/>
      <c r="O568" s="9"/>
      <c r="P568" s="9"/>
      <c r="Q568" s="9"/>
      <c r="R568" s="9"/>
      <c r="S568" s="47"/>
    </row>
    <row r="569" spans="1:19" x14ac:dyDescent="0.2">
      <c r="A569" s="54">
        <v>130700</v>
      </c>
      <c r="B569" s="9">
        <v>101300</v>
      </c>
      <c r="C569" s="9">
        <v>85800</v>
      </c>
      <c r="D569" s="9">
        <v>79700</v>
      </c>
      <c r="E569" s="9">
        <v>64700</v>
      </c>
      <c r="F569" s="239" t="s">
        <v>2067</v>
      </c>
      <c r="G569" s="385" t="s">
        <v>1888</v>
      </c>
      <c r="H569" s="9">
        <v>75100</v>
      </c>
      <c r="I569" s="85">
        <f>IF(E569=H569,0,IF(E569=0,100,(H569-E569)/E569*100))</f>
        <v>16.0741885625966</v>
      </c>
      <c r="J569" s="9">
        <f>ROUND(H569*Assumptions!I$5+GM!H569,-2)</f>
        <v>76800</v>
      </c>
      <c r="K569" s="9">
        <f>ROUND(J569*Assumptions!J$5+GM!J569,-2)</f>
        <v>78700</v>
      </c>
      <c r="L569" s="9">
        <f>ROUND(K569*Assumptions!K$5+GM!K569,-2)</f>
        <v>80700</v>
      </c>
      <c r="M569" s="9">
        <f>ROUND(L569*Assumptions!L$5+GM!L569,-2)</f>
        <v>82700</v>
      </c>
      <c r="N569" s="9">
        <f>ROUND(M569*Assumptions!M$5+GM!M569,-2)</f>
        <v>84800</v>
      </c>
      <c r="O569" s="9">
        <f>ROUND(N569*Assumptions!N$5+GM!N569,-2)</f>
        <v>86900</v>
      </c>
      <c r="P569" s="9">
        <f>ROUND(O569*Assumptions!O$5+GM!O569,-2)</f>
        <v>89100</v>
      </c>
      <c r="Q569" s="9">
        <f>ROUND(P569*Assumptions!P$5+GM!P569,-2)</f>
        <v>91300</v>
      </c>
      <c r="R569" s="9">
        <f>ROUND(Q569*Assumptions!Q$5+GM!Q569,-2)</f>
        <v>93600</v>
      </c>
      <c r="S569" s="47">
        <f>ROUND(R569*Assumptions!R$5+GM!R569,-2)</f>
        <v>95900</v>
      </c>
    </row>
    <row r="570" spans="1:19" x14ac:dyDescent="0.2">
      <c r="A570" s="54">
        <v>-700</v>
      </c>
      <c r="B570" s="9">
        <v>-1000</v>
      </c>
      <c r="C570" s="9">
        <v>-500</v>
      </c>
      <c r="D570" s="9">
        <v>-500</v>
      </c>
      <c r="E570" s="9">
        <v>-500</v>
      </c>
      <c r="F570" s="239" t="s">
        <v>2068</v>
      </c>
      <c r="G570" s="385" t="s">
        <v>2221</v>
      </c>
      <c r="H570" s="9">
        <v>-1000</v>
      </c>
      <c r="I570" s="85">
        <f>IF(E570=H570,0,IF(E570=0,100,(H570-E570)/E570*100))</f>
        <v>100</v>
      </c>
      <c r="J570" s="9">
        <f>ROUND(H570*Assumptions!I$5+GM!H570,-2)</f>
        <v>-1000</v>
      </c>
      <c r="K570" s="9">
        <f>ROUND(J570*Assumptions!J$5+GM!J570,-2)</f>
        <v>-1000</v>
      </c>
      <c r="L570" s="9">
        <f>ROUND(K570*Assumptions!K$5+GM!K570,-2)</f>
        <v>-1000</v>
      </c>
      <c r="M570" s="9">
        <f>ROUND(L570*Assumptions!L$5+GM!L570,-2)</f>
        <v>-1000</v>
      </c>
      <c r="N570" s="9">
        <f>ROUND(M570*Assumptions!M$5+GM!M570,-2)</f>
        <v>-1000</v>
      </c>
      <c r="O570" s="9">
        <f>ROUND(N570*Assumptions!N$5+GM!N570,-2)</f>
        <v>-1000</v>
      </c>
      <c r="P570" s="9">
        <f>ROUND(O570*Assumptions!O$5+GM!O570,-2)</f>
        <v>-1000</v>
      </c>
      <c r="Q570" s="9">
        <f>ROUND(P570*Assumptions!P$5+GM!P570,-2)</f>
        <v>-1000</v>
      </c>
      <c r="R570" s="9">
        <f>ROUND(Q570*Assumptions!Q$5+GM!Q570,-2)</f>
        <v>-1000</v>
      </c>
      <c r="S570" s="47">
        <f>ROUND(R570*Assumptions!R$5+GM!R570,-2)</f>
        <v>-1000</v>
      </c>
    </row>
    <row r="571" spans="1:19" x14ac:dyDescent="0.2">
      <c r="A571" s="54">
        <v>600</v>
      </c>
      <c r="B571" s="9">
        <v>1000</v>
      </c>
      <c r="C571" s="9">
        <v>1300</v>
      </c>
      <c r="D571" s="9">
        <v>400</v>
      </c>
      <c r="E571" s="9">
        <v>500</v>
      </c>
      <c r="F571" s="239" t="s">
        <v>2069</v>
      </c>
      <c r="G571" s="385" t="s">
        <v>2101</v>
      </c>
      <c r="H571" s="9">
        <v>1000</v>
      </c>
      <c r="I571" s="85">
        <f>IF(E571=H571,0,IF(E571=0,100,(H571-E571)/E571*100))</f>
        <v>100</v>
      </c>
      <c r="J571" s="9">
        <f>ROUND(H571*Assumptions!I$5+GM!H571,-2)</f>
        <v>1000</v>
      </c>
      <c r="K571" s="9">
        <f>ROUND(J571*Assumptions!J$5+GM!J571,-2)</f>
        <v>1000</v>
      </c>
      <c r="L571" s="9">
        <f>ROUND(K571*Assumptions!K$5+GM!K571,-2)</f>
        <v>1000</v>
      </c>
      <c r="M571" s="9">
        <f>ROUND(L571*Assumptions!L$5+GM!L571,-2)</f>
        <v>1000</v>
      </c>
      <c r="N571" s="9">
        <f>ROUND(M571*Assumptions!M$5+GM!M571,-2)</f>
        <v>1000</v>
      </c>
      <c r="O571" s="9">
        <f>ROUND(N571*Assumptions!N$5+GM!N571,-2)</f>
        <v>1000</v>
      </c>
      <c r="P571" s="9">
        <f>ROUND(O571*Assumptions!O$5+GM!O571,-2)</f>
        <v>1000</v>
      </c>
      <c r="Q571" s="9">
        <f>ROUND(P571*Assumptions!P$5+GM!P571,-2)</f>
        <v>1000</v>
      </c>
      <c r="R571" s="9">
        <f>ROUND(Q571*Assumptions!Q$5+GM!Q571,-2)</f>
        <v>1000</v>
      </c>
      <c r="S571" s="47">
        <f>ROUND(R571*Assumptions!R$5+GM!R571,-2)</f>
        <v>1000</v>
      </c>
    </row>
    <row r="572" spans="1:19" x14ac:dyDescent="0.2">
      <c r="A572" s="54"/>
      <c r="B572" s="9"/>
      <c r="C572" s="9"/>
      <c r="D572" s="9"/>
      <c r="E572" s="9"/>
      <c r="F572" s="239"/>
      <c r="G572" s="385"/>
      <c r="H572" s="9"/>
      <c r="I572" s="85"/>
      <c r="J572" s="9"/>
      <c r="K572" s="9"/>
      <c r="L572" s="9"/>
      <c r="M572" s="9"/>
      <c r="N572" s="9"/>
      <c r="O572" s="9"/>
      <c r="P572" s="9"/>
      <c r="Q572" s="9"/>
      <c r="R572" s="9"/>
      <c r="S572" s="47"/>
    </row>
    <row r="573" spans="1:19" x14ac:dyDescent="0.2">
      <c r="A573" s="54"/>
      <c r="B573" s="9"/>
      <c r="C573" s="9"/>
      <c r="D573" s="9"/>
      <c r="E573" s="9"/>
      <c r="F573" s="239"/>
      <c r="G573" s="419" t="s">
        <v>837</v>
      </c>
      <c r="H573" s="9"/>
      <c r="I573" s="85"/>
      <c r="J573" s="9"/>
      <c r="K573" s="9"/>
      <c r="L573" s="9"/>
      <c r="M573" s="9"/>
      <c r="N573" s="9"/>
      <c r="O573" s="9"/>
      <c r="P573" s="9"/>
      <c r="Q573" s="9"/>
      <c r="R573" s="9"/>
      <c r="S573" s="47"/>
    </row>
    <row r="574" spans="1:19" x14ac:dyDescent="0.2">
      <c r="A574" s="54"/>
      <c r="B574" s="9"/>
      <c r="C574" s="9"/>
      <c r="D574" s="9"/>
      <c r="E574" s="9">
        <v>92600</v>
      </c>
      <c r="F574" s="578" t="s">
        <v>7031</v>
      </c>
      <c r="G574" s="661" t="s">
        <v>7059</v>
      </c>
      <c r="H574" s="9">
        <v>0</v>
      </c>
      <c r="I574" s="85"/>
      <c r="J574" s="9">
        <v>0</v>
      </c>
      <c r="K574" s="9">
        <v>0</v>
      </c>
      <c r="L574" s="9">
        <v>0</v>
      </c>
      <c r="M574" s="9">
        <v>0</v>
      </c>
      <c r="N574" s="9">
        <v>0</v>
      </c>
      <c r="O574" s="9">
        <v>0</v>
      </c>
      <c r="P574" s="9">
        <v>0</v>
      </c>
      <c r="Q574" s="9">
        <v>0</v>
      </c>
      <c r="R574" s="9">
        <v>0</v>
      </c>
      <c r="S574" s="47">
        <v>0</v>
      </c>
    </row>
    <row r="575" spans="1:19" x14ac:dyDescent="0.2">
      <c r="A575" s="54">
        <v>3412800</v>
      </c>
      <c r="B575" s="9">
        <v>1800200</v>
      </c>
      <c r="C575" s="9">
        <v>3717800</v>
      </c>
      <c r="D575" s="9">
        <v>3831300</v>
      </c>
      <c r="E575" s="9">
        <v>6194600</v>
      </c>
      <c r="F575" s="239" t="s">
        <v>1677</v>
      </c>
      <c r="G575" s="385" t="s">
        <v>1481</v>
      </c>
      <c r="H575" s="9">
        <f>4168600+116000</f>
        <v>4284600</v>
      </c>
      <c r="I575" s="85">
        <f>IF(E575=H575,0,IF(E575=0,100,(H575-E575)/E575*100))</f>
        <v>-30.83330642817938</v>
      </c>
      <c r="J575" s="9">
        <f>ROUND(H575*Assumptions!I$12+GM!H575,-2)</f>
        <v>4370300</v>
      </c>
      <c r="K575" s="9">
        <f>ROUND(J575*Assumptions!J$12+GM!J575,-2)</f>
        <v>4457700</v>
      </c>
      <c r="L575" s="9">
        <f>ROUND(K575*Assumptions!K$12+GM!K575,-2)</f>
        <v>4546900</v>
      </c>
      <c r="M575" s="9">
        <f>ROUND(L575*Assumptions!L$12+GM!L575,-2)</f>
        <v>4637800</v>
      </c>
      <c r="N575" s="9">
        <f>ROUND(M575*Assumptions!M$12+GM!M575,-2)</f>
        <v>4730600</v>
      </c>
      <c r="O575" s="9">
        <f>ROUND(N575*Assumptions!N$12+GM!N575,-2)</f>
        <v>4825200</v>
      </c>
      <c r="P575" s="9">
        <f>ROUND(O575*Assumptions!O$12+GM!O575,-2)</f>
        <v>4921700</v>
      </c>
      <c r="Q575" s="9">
        <f>ROUND(P575*Assumptions!P$12+GM!P575,-2)</f>
        <v>5020100</v>
      </c>
      <c r="R575" s="9">
        <f>ROUND(Q575*Assumptions!Q$12+GM!Q575,-2)</f>
        <v>5120500</v>
      </c>
      <c r="S575" s="47">
        <f>ROUND(R575*Assumptions!R$12+GM!R575,-2)</f>
        <v>5222900</v>
      </c>
    </row>
    <row r="576" spans="1:19" x14ac:dyDescent="0.2">
      <c r="A576" s="54">
        <v>315600</v>
      </c>
      <c r="B576" s="9">
        <v>318300</v>
      </c>
      <c r="C576" s="9">
        <v>339400</v>
      </c>
      <c r="D576" s="9">
        <v>350200</v>
      </c>
      <c r="E576" s="9">
        <v>355000</v>
      </c>
      <c r="F576" s="239" t="s">
        <v>1678</v>
      </c>
      <c r="G576" s="385" t="s">
        <v>1150</v>
      </c>
      <c r="H576" s="9">
        <f>ROUND(-H562/11*11,-2)</f>
        <v>354600</v>
      </c>
      <c r="I576" s="85">
        <f>IF(E576=H576,0,IF(E576=0,100,(H576-E576)/E576*100))</f>
        <v>-0.11267605633802817</v>
      </c>
      <c r="J576" s="9">
        <f t="shared" ref="J576:R576" si="792">ROUND(-J562/11*10,-2)</f>
        <v>324000</v>
      </c>
      <c r="K576" s="9">
        <f t="shared" si="792"/>
        <v>325600</v>
      </c>
      <c r="L576" s="9">
        <f t="shared" si="792"/>
        <v>327300</v>
      </c>
      <c r="M576" s="9">
        <f t="shared" si="792"/>
        <v>328900</v>
      </c>
      <c r="N576" s="9">
        <f t="shared" si="792"/>
        <v>330500</v>
      </c>
      <c r="O576" s="9">
        <f t="shared" si="792"/>
        <v>332200</v>
      </c>
      <c r="P576" s="9">
        <f t="shared" si="792"/>
        <v>333800</v>
      </c>
      <c r="Q576" s="9">
        <f t="shared" si="792"/>
        <v>335500</v>
      </c>
      <c r="R576" s="9">
        <f t="shared" si="792"/>
        <v>337100</v>
      </c>
      <c r="S576" s="47">
        <f t="shared" ref="S576" si="793">ROUND(-S562/11*10,-2)</f>
        <v>338800</v>
      </c>
    </row>
    <row r="577" spans="1:23" x14ac:dyDescent="0.2">
      <c r="A577" s="54"/>
      <c r="B577" s="9"/>
      <c r="C577" s="9"/>
      <c r="D577" s="9"/>
      <c r="E577" s="9"/>
      <c r="F577" s="239"/>
      <c r="G577" s="385"/>
      <c r="H577" s="9"/>
      <c r="I577" s="85"/>
      <c r="J577" s="9"/>
      <c r="K577" s="9"/>
      <c r="L577" s="9"/>
      <c r="M577" s="9"/>
      <c r="N577" s="9"/>
      <c r="O577" s="9"/>
      <c r="P577" s="9"/>
      <c r="Q577" s="9"/>
      <c r="R577" s="9"/>
      <c r="S577" s="47"/>
    </row>
    <row r="578" spans="1:23" x14ac:dyDescent="0.2">
      <c r="A578" s="54"/>
      <c r="B578" s="9"/>
      <c r="C578" s="9"/>
      <c r="D578" s="9"/>
      <c r="E578" s="9"/>
      <c r="F578" s="239"/>
      <c r="G578" s="419" t="s">
        <v>2624</v>
      </c>
      <c r="H578" s="9"/>
      <c r="I578" s="85"/>
      <c r="J578" s="9"/>
      <c r="K578" s="9"/>
      <c r="L578" s="9"/>
      <c r="M578" s="9"/>
      <c r="N578" s="9"/>
      <c r="O578" s="9"/>
      <c r="P578" s="9"/>
      <c r="Q578" s="9"/>
      <c r="R578" s="9"/>
      <c r="S578" s="47"/>
    </row>
    <row r="579" spans="1:23" x14ac:dyDescent="0.2">
      <c r="A579" s="54">
        <v>893700</v>
      </c>
      <c r="B579" s="9">
        <v>718600</v>
      </c>
      <c r="C579" s="9">
        <v>658200</v>
      </c>
      <c r="D579" s="9">
        <v>720200</v>
      </c>
      <c r="E579" s="9">
        <v>692200</v>
      </c>
      <c r="F579" s="239" t="s">
        <v>1679</v>
      </c>
      <c r="G579" s="385" t="s">
        <v>599</v>
      </c>
      <c r="H579" s="9">
        <v>550000</v>
      </c>
      <c r="I579" s="85">
        <f>IF(E579=H579,0,IF(E579=0,100,(H579-E579)/E579*100))</f>
        <v>-20.543195608205721</v>
      </c>
      <c r="J579" s="9">
        <f>H579</f>
        <v>550000</v>
      </c>
      <c r="K579" s="9">
        <f>J579</f>
        <v>550000</v>
      </c>
      <c r="L579" s="9">
        <f t="shared" ref="L579:S579" si="794">K579</f>
        <v>550000</v>
      </c>
      <c r="M579" s="9">
        <f t="shared" si="794"/>
        <v>550000</v>
      </c>
      <c r="N579" s="9">
        <f t="shared" si="794"/>
        <v>550000</v>
      </c>
      <c r="O579" s="9">
        <f t="shared" si="794"/>
        <v>550000</v>
      </c>
      <c r="P579" s="9">
        <f t="shared" si="794"/>
        <v>550000</v>
      </c>
      <c r="Q579" s="9">
        <f t="shared" si="794"/>
        <v>550000</v>
      </c>
      <c r="R579" s="9">
        <f t="shared" si="794"/>
        <v>550000</v>
      </c>
      <c r="S579" s="47">
        <f t="shared" si="794"/>
        <v>550000</v>
      </c>
    </row>
    <row r="580" spans="1:23" x14ac:dyDescent="0.2">
      <c r="A580" s="54">
        <v>-4000</v>
      </c>
      <c r="B580" s="9">
        <v>-1900</v>
      </c>
      <c r="C580" s="9">
        <v>-6900</v>
      </c>
      <c r="D580" s="9">
        <v>-3600</v>
      </c>
      <c r="E580" s="9">
        <v>-11600</v>
      </c>
      <c r="F580" s="239" t="s">
        <v>1680</v>
      </c>
      <c r="G580" s="257" t="s">
        <v>1766</v>
      </c>
      <c r="H580" s="9">
        <v>-9200</v>
      </c>
      <c r="I580" s="85">
        <f>IF(E580=H580,0,IF(E580=0,100,(H580-E580)/E580*100))</f>
        <v>-20.689655172413794</v>
      </c>
      <c r="J580" s="9">
        <f>ROUNDUP(H580+(H580*Assumptions!I$5),-2)</f>
        <v>-9500</v>
      </c>
      <c r="K580" s="9">
        <f>ROUNDUP(J580+(J580*Assumptions!J$5),-2)</f>
        <v>-9800</v>
      </c>
      <c r="L580" s="9">
        <f>ROUNDUP(K580+(K580*Assumptions!K$5),-2)</f>
        <v>-10100</v>
      </c>
      <c r="M580" s="9">
        <f>ROUNDUP(L580+(L580*Assumptions!L$5),-2)</f>
        <v>-10400</v>
      </c>
      <c r="N580" s="9">
        <f>ROUNDUP(M580+(M580*Assumptions!M$5),-2)</f>
        <v>-10700</v>
      </c>
      <c r="O580" s="9">
        <f>ROUNDUP(N580+(N580*Assumptions!N$5),-2)</f>
        <v>-11000</v>
      </c>
      <c r="P580" s="9">
        <f>ROUNDUP(O580+(O580*Assumptions!O$5),-2)</f>
        <v>-11300</v>
      </c>
      <c r="Q580" s="9">
        <f>ROUNDUP(P580+(P580*Assumptions!P$5),-2)</f>
        <v>-11600</v>
      </c>
      <c r="R580" s="9">
        <f>ROUNDUP(Q580+(Q580*Assumptions!Q$5),-2)</f>
        <v>-11900</v>
      </c>
      <c r="S580" s="47">
        <f>ROUNDUP(R580+(R580*Assumptions!R$5),-2)</f>
        <v>-12200</v>
      </c>
    </row>
    <row r="581" spans="1:23" x14ac:dyDescent="0.2">
      <c r="A581" s="54">
        <v>414000</v>
      </c>
      <c r="B581" s="9">
        <v>333000</v>
      </c>
      <c r="C581" s="9">
        <v>-30000</v>
      </c>
      <c r="D581" s="9">
        <v>-163000</v>
      </c>
      <c r="E581" s="9">
        <v>150000</v>
      </c>
      <c r="F581" s="578" t="s">
        <v>5271</v>
      </c>
      <c r="G581" s="634" t="s">
        <v>5272</v>
      </c>
      <c r="H581" s="9">
        <v>0</v>
      </c>
      <c r="I581" s="85">
        <f>IF(E581=H581,0,IF(E581=0,100,(H581-E581)/E581*100))</f>
        <v>-100</v>
      </c>
      <c r="J581" s="9">
        <f>ROUNDUP(H581+(H581*Assumptions!I$5),-2)</f>
        <v>0</v>
      </c>
      <c r="K581" s="9">
        <f>ROUNDUP(J581+(J581*Assumptions!J$5),-2)</f>
        <v>0</v>
      </c>
      <c r="L581" s="9">
        <f>ROUNDUP(K581+(K581*Assumptions!K$5),-2)</f>
        <v>0</v>
      </c>
      <c r="M581" s="9">
        <f>ROUNDUP(L581+(L581*Assumptions!L$5),-2)</f>
        <v>0</v>
      </c>
      <c r="N581" s="9">
        <f>ROUNDUP(M581+(M581*Assumptions!M$5),-2)</f>
        <v>0</v>
      </c>
      <c r="O581" s="9">
        <f>ROUNDUP(N581+(N581*Assumptions!N$5),-2)</f>
        <v>0</v>
      </c>
      <c r="P581" s="9">
        <f>ROUNDUP(O581+(O581*Assumptions!O$5),-2)</f>
        <v>0</v>
      </c>
      <c r="Q581" s="9">
        <f>ROUNDUP(P581+(P581*Assumptions!P$5),-2)</f>
        <v>0</v>
      </c>
      <c r="R581" s="9">
        <f>ROUNDUP(Q581+(Q581*Assumptions!Q$5),-2)</f>
        <v>0</v>
      </c>
      <c r="S581" s="47">
        <f>ROUNDUP(R581+(R581*Assumptions!R$5),-2)</f>
        <v>0</v>
      </c>
    </row>
    <row r="582" spans="1:23" ht="13.5" thickBot="1" x14ac:dyDescent="0.25">
      <c r="A582" s="24"/>
      <c r="B582" s="21"/>
      <c r="C582" s="130"/>
      <c r="D582" s="21"/>
      <c r="E582" s="9"/>
      <c r="F582" s="239"/>
      <c r="G582" s="21"/>
      <c r="H582" s="9"/>
      <c r="I582" s="126"/>
      <c r="J582" s="9"/>
      <c r="K582" s="9"/>
      <c r="L582" s="9"/>
      <c r="M582" s="9"/>
      <c r="N582" s="9"/>
      <c r="O582" s="9"/>
      <c r="P582" s="9"/>
      <c r="Q582" s="9"/>
      <c r="R582" s="9"/>
      <c r="S582" s="47"/>
    </row>
    <row r="583" spans="1:23" x14ac:dyDescent="0.2">
      <c r="A583" s="52">
        <f>SUM(A549:A582)</f>
        <v>21212700</v>
      </c>
      <c r="B583" s="16">
        <f>SUM(B549:B582)</f>
        <v>20300600</v>
      </c>
      <c r="C583" s="16">
        <f>SUM(C549:C582)</f>
        <v>22370900</v>
      </c>
      <c r="D583" s="16">
        <f>SUM(D549:D582)</f>
        <v>23415400</v>
      </c>
      <c r="E583" s="16">
        <f>SUM(E549:E582)</f>
        <v>27343300</v>
      </c>
      <c r="F583" s="584"/>
      <c r="G583" s="361" t="s">
        <v>1002</v>
      </c>
      <c r="H583" s="16">
        <f>SUM(H549:H582)</f>
        <v>26165700</v>
      </c>
      <c r="I583" s="1425">
        <f>IF(E583=H583,0,IF(E583=0,100,(H583-E583)/E583*100))</f>
        <v>-4.3067223049156462</v>
      </c>
      <c r="J583" s="16">
        <f t="shared" ref="J583:R583" si="795">SUM(J549:J582)</f>
        <v>26089300</v>
      </c>
      <c r="K583" s="16">
        <f t="shared" si="795"/>
        <v>26819600</v>
      </c>
      <c r="L583" s="16">
        <f t="shared" si="795"/>
        <v>27571100</v>
      </c>
      <c r="M583" s="16">
        <f t="shared" si="795"/>
        <v>28344100</v>
      </c>
      <c r="N583" s="16">
        <f t="shared" si="795"/>
        <v>29139600</v>
      </c>
      <c r="O583" s="16">
        <f t="shared" si="795"/>
        <v>29958000</v>
      </c>
      <c r="P583" s="16">
        <f t="shared" si="795"/>
        <v>30800100</v>
      </c>
      <c r="Q583" s="16">
        <f t="shared" si="795"/>
        <v>31666600</v>
      </c>
      <c r="R583" s="16">
        <f t="shared" si="795"/>
        <v>32558000</v>
      </c>
      <c r="S583" s="2342">
        <f t="shared" ref="S583" si="796">SUM(S549:S582)</f>
        <v>33475200</v>
      </c>
    </row>
    <row r="584" spans="1:23" x14ac:dyDescent="0.2">
      <c r="A584" s="54">
        <f t="shared" ref="A584:B584" si="797">-A581</f>
        <v>-414000</v>
      </c>
      <c r="B584" s="9">
        <f t="shared" si="797"/>
        <v>-333000</v>
      </c>
      <c r="C584" s="9">
        <f>-C581</f>
        <v>30000</v>
      </c>
      <c r="D584" s="9">
        <f>-D581</f>
        <v>163000</v>
      </c>
      <c r="E584" s="9">
        <f t="shared" ref="E584" si="798">-E581</f>
        <v>-150000</v>
      </c>
      <c r="F584" s="175"/>
      <c r="G584" s="261" t="s">
        <v>5273</v>
      </c>
      <c r="H584" s="9">
        <f t="shared" ref="H584:P584" si="799">-H581</f>
        <v>0</v>
      </c>
      <c r="I584" s="85">
        <f>IF(E584=H584,0,IF(E584=0,100,(H584-E584)/E584*100))</f>
        <v>-100</v>
      </c>
      <c r="J584" s="9">
        <f t="shared" si="799"/>
        <v>0</v>
      </c>
      <c r="K584" s="9">
        <f t="shared" si="799"/>
        <v>0</v>
      </c>
      <c r="L584" s="9">
        <f t="shared" si="799"/>
        <v>0</v>
      </c>
      <c r="M584" s="9">
        <f t="shared" si="799"/>
        <v>0</v>
      </c>
      <c r="N584" s="9">
        <f t="shared" si="799"/>
        <v>0</v>
      </c>
      <c r="O584" s="9">
        <f t="shared" si="799"/>
        <v>0</v>
      </c>
      <c r="P584" s="9">
        <f t="shared" si="799"/>
        <v>0</v>
      </c>
      <c r="Q584" s="9">
        <f t="shared" ref="Q584" si="800">-Q581</f>
        <v>0</v>
      </c>
      <c r="R584" s="9">
        <f t="shared" ref="R584" si="801">-R581</f>
        <v>0</v>
      </c>
      <c r="S584" s="47">
        <f t="shared" ref="S584" si="802">-S581</f>
        <v>0</v>
      </c>
    </row>
    <row r="585" spans="1:23" s="39" customFormat="1" x14ac:dyDescent="0.2">
      <c r="A585" s="128">
        <f t="shared" ref="A585:C585" si="803">A583+A584</f>
        <v>20798700</v>
      </c>
      <c r="B585" s="280">
        <f t="shared" si="803"/>
        <v>19967600</v>
      </c>
      <c r="C585" s="280">
        <f t="shared" si="803"/>
        <v>22400900</v>
      </c>
      <c r="D585" s="280">
        <f>D583+D584</f>
        <v>23578400</v>
      </c>
      <c r="E585" s="280">
        <f t="shared" ref="E585" si="804">E583+E584</f>
        <v>27193300</v>
      </c>
      <c r="F585" s="1472"/>
      <c r="G585" s="363" t="s">
        <v>1659</v>
      </c>
      <c r="H585" s="280">
        <f t="shared" ref="H585" si="805">H583+H584</f>
        <v>26165700</v>
      </c>
      <c r="I585" s="278">
        <f>IF(E585=H585,0,IF(E585=0,100,(H585-E585)/E585*100))</f>
        <v>-3.7788720015592072</v>
      </c>
      <c r="J585" s="280">
        <f t="shared" ref="J585" si="806">J583+J584</f>
        <v>26089300</v>
      </c>
      <c r="K585" s="280">
        <f t="shared" ref="K585" si="807">K583+K584</f>
        <v>26819600</v>
      </c>
      <c r="L585" s="280">
        <f t="shared" ref="L585" si="808">L583+L584</f>
        <v>27571100</v>
      </c>
      <c r="M585" s="280">
        <f t="shared" ref="M585" si="809">M583+M584</f>
        <v>28344100</v>
      </c>
      <c r="N585" s="280">
        <f t="shared" ref="N585" si="810">N583+N584</f>
        <v>29139600</v>
      </c>
      <c r="O585" s="280">
        <f t="shared" ref="O585" si="811">O583+O584</f>
        <v>29958000</v>
      </c>
      <c r="P585" s="280">
        <f t="shared" ref="P585:Q585" si="812">P583+P584</f>
        <v>30800100</v>
      </c>
      <c r="Q585" s="280">
        <f t="shared" si="812"/>
        <v>31666600</v>
      </c>
      <c r="R585" s="280">
        <f t="shared" ref="R585" si="813">R583+R584</f>
        <v>32558000</v>
      </c>
      <c r="S585" s="2343">
        <f t="shared" ref="S585" si="814">S583+S584</f>
        <v>33475200</v>
      </c>
      <c r="U585" s="34"/>
      <c r="W585" s="34"/>
    </row>
    <row r="586" spans="1:23" ht="13.5" thickBot="1" x14ac:dyDescent="0.25">
      <c r="A586" s="26"/>
      <c r="B586" s="37"/>
      <c r="C586" s="37"/>
      <c r="D586" s="37"/>
      <c r="E586" s="23"/>
      <c r="F586" s="191"/>
      <c r="G586" s="259"/>
      <c r="H586" s="68"/>
      <c r="I586" s="275"/>
      <c r="J586" s="68"/>
      <c r="K586" s="68"/>
      <c r="L586" s="68"/>
      <c r="M586" s="68"/>
      <c r="N586" s="68"/>
      <c r="O586" s="23"/>
      <c r="P586" s="23"/>
      <c r="Q586" s="23"/>
      <c r="R586" s="23"/>
      <c r="S586" s="112"/>
    </row>
    <row r="587" spans="1:23" ht="13.5" thickTop="1" x14ac:dyDescent="0.2">
      <c r="A587" s="270"/>
      <c r="B587" s="69"/>
      <c r="C587" s="109"/>
      <c r="D587" s="109"/>
      <c r="E587" s="74"/>
      <c r="F587" s="192"/>
      <c r="G587" s="258"/>
      <c r="H587" s="74"/>
      <c r="I587" s="276"/>
      <c r="J587" s="74"/>
      <c r="K587" s="74"/>
      <c r="L587" s="74"/>
      <c r="M587" s="74"/>
      <c r="N587" s="74"/>
      <c r="O587" s="74"/>
      <c r="P587" s="74"/>
      <c r="Q587" s="74"/>
      <c r="R587" s="74"/>
      <c r="S587" s="110"/>
    </row>
    <row r="588" spans="1:23" x14ac:dyDescent="0.2">
      <c r="A588" s="24"/>
      <c r="B588" s="75"/>
      <c r="C588" s="21"/>
      <c r="D588" s="21"/>
      <c r="E588" s="9"/>
      <c r="F588" s="189"/>
      <c r="G588" s="361" t="s">
        <v>192</v>
      </c>
      <c r="H588" s="9"/>
      <c r="I588" s="1182"/>
      <c r="J588" s="9"/>
      <c r="K588" s="9"/>
      <c r="L588" s="9"/>
      <c r="M588" s="9"/>
      <c r="N588" s="9"/>
      <c r="O588" s="9"/>
      <c r="P588" s="9"/>
      <c r="Q588" s="9"/>
      <c r="R588" s="9"/>
      <c r="S588" s="61"/>
    </row>
    <row r="589" spans="1:23" x14ac:dyDescent="0.2">
      <c r="A589" s="24"/>
      <c r="B589" s="75"/>
      <c r="C589" s="21"/>
      <c r="D589" s="21"/>
      <c r="E589" s="9"/>
      <c r="F589" s="189"/>
      <c r="G589" s="260"/>
      <c r="H589" s="9"/>
      <c r="I589" s="1182"/>
      <c r="J589" s="9"/>
      <c r="K589" s="9"/>
      <c r="L589" s="9"/>
      <c r="M589" s="9"/>
      <c r="N589" s="9"/>
      <c r="O589" s="9"/>
      <c r="P589" s="9"/>
      <c r="Q589" s="9"/>
      <c r="R589" s="9"/>
      <c r="S589" s="61"/>
    </row>
    <row r="590" spans="1:23" x14ac:dyDescent="0.2">
      <c r="A590" s="54">
        <v>0</v>
      </c>
      <c r="B590" s="89">
        <v>0</v>
      </c>
      <c r="C590" s="9">
        <v>0</v>
      </c>
      <c r="D590" s="9">
        <v>0</v>
      </c>
      <c r="E590" s="9">
        <v>0</v>
      </c>
      <c r="F590" s="165"/>
      <c r="G590" s="257" t="s">
        <v>2848</v>
      </c>
      <c r="H590" s="9">
        <v>0</v>
      </c>
      <c r="I590" s="1157"/>
      <c r="J590" s="9">
        <v>0</v>
      </c>
      <c r="K590" s="9">
        <v>0</v>
      </c>
      <c r="L590" s="9">
        <v>0</v>
      </c>
      <c r="M590" s="9">
        <v>0</v>
      </c>
      <c r="N590" s="9">
        <v>0</v>
      </c>
      <c r="O590" s="9">
        <v>0</v>
      </c>
      <c r="P590" s="9">
        <v>0</v>
      </c>
      <c r="Q590" s="9">
        <v>0</v>
      </c>
      <c r="R590" s="9">
        <v>0</v>
      </c>
      <c r="S590" s="61">
        <v>0</v>
      </c>
    </row>
    <row r="591" spans="1:23" x14ac:dyDescent="0.2">
      <c r="A591" s="54">
        <v>1789000</v>
      </c>
      <c r="B591" s="89">
        <v>0</v>
      </c>
      <c r="C591" s="89">
        <v>0</v>
      </c>
      <c r="D591" s="89">
        <v>0</v>
      </c>
      <c r="E591" s="9">
        <v>2108000</v>
      </c>
      <c r="F591" s="165"/>
      <c r="G591" s="257" t="s">
        <v>1909</v>
      </c>
      <c r="H591" s="9">
        <v>0</v>
      </c>
      <c r="I591" s="1157"/>
      <c r="J591" s="9">
        <v>0</v>
      </c>
      <c r="K591" s="9">
        <v>0</v>
      </c>
      <c r="L591" s="9">
        <v>0</v>
      </c>
      <c r="M591" s="9">
        <v>0</v>
      </c>
      <c r="N591" s="9">
        <v>0</v>
      </c>
      <c r="O591" s="9">
        <v>0</v>
      </c>
      <c r="P591" s="9">
        <v>0</v>
      </c>
      <c r="Q591" s="9">
        <v>0</v>
      </c>
      <c r="R591" s="9">
        <v>0</v>
      </c>
      <c r="S591" s="61">
        <v>0</v>
      </c>
    </row>
    <row r="592" spans="1:23" x14ac:dyDescent="0.2">
      <c r="A592" s="54">
        <v>1757000</v>
      </c>
      <c r="B592" s="9">
        <v>1789000</v>
      </c>
      <c r="C592" s="9">
        <v>0</v>
      </c>
      <c r="D592" s="9">
        <v>0</v>
      </c>
      <c r="E592" s="9">
        <v>0</v>
      </c>
      <c r="F592" s="165"/>
      <c r="G592" s="257" t="s">
        <v>2309</v>
      </c>
      <c r="H592" s="9">
        <v>0</v>
      </c>
      <c r="I592" s="1157"/>
      <c r="J592" s="9">
        <v>0</v>
      </c>
      <c r="K592" s="9">
        <v>0</v>
      </c>
      <c r="L592" s="9">
        <v>0</v>
      </c>
      <c r="M592" s="9">
        <v>0</v>
      </c>
      <c r="N592" s="9">
        <v>0</v>
      </c>
      <c r="O592" s="9">
        <v>0</v>
      </c>
      <c r="P592" s="9">
        <v>0</v>
      </c>
      <c r="Q592" s="9">
        <v>0</v>
      </c>
      <c r="R592" s="9">
        <v>0</v>
      </c>
      <c r="S592" s="61">
        <v>0</v>
      </c>
    </row>
    <row r="593" spans="1:23" x14ac:dyDescent="0.2">
      <c r="A593" s="54">
        <v>0</v>
      </c>
      <c r="B593" s="89">
        <v>0</v>
      </c>
      <c r="C593" s="9">
        <v>0</v>
      </c>
      <c r="D593" s="9">
        <v>0</v>
      </c>
      <c r="E593" s="9">
        <v>0</v>
      </c>
      <c r="F593" s="165"/>
      <c r="G593" s="257" t="s">
        <v>5847</v>
      </c>
      <c r="H593" s="9">
        <v>0</v>
      </c>
      <c r="I593" s="1157"/>
      <c r="J593" s="9">
        <v>0</v>
      </c>
      <c r="K593" s="9">
        <v>0</v>
      </c>
      <c r="L593" s="9">
        <v>0</v>
      </c>
      <c r="M593" s="9">
        <v>0</v>
      </c>
      <c r="N593" s="9">
        <v>0</v>
      </c>
      <c r="O593" s="9">
        <v>0</v>
      </c>
      <c r="P593" s="9">
        <v>0</v>
      </c>
      <c r="Q593" s="9">
        <v>0</v>
      </c>
      <c r="R593" s="9">
        <v>0</v>
      </c>
      <c r="S593" s="61">
        <v>0</v>
      </c>
    </row>
    <row r="594" spans="1:23" x14ac:dyDescent="0.2">
      <c r="A594" s="54">
        <v>0</v>
      </c>
      <c r="B594" s="89">
        <v>0</v>
      </c>
      <c r="C594" s="9">
        <v>0</v>
      </c>
      <c r="D594" s="9">
        <v>0</v>
      </c>
      <c r="E594" s="9">
        <v>0</v>
      </c>
      <c r="F594" s="165"/>
      <c r="G594" s="257" t="s">
        <v>958</v>
      </c>
      <c r="H594" s="9">
        <v>0</v>
      </c>
      <c r="I594" s="1157"/>
      <c r="J594" s="9">
        <v>0</v>
      </c>
      <c r="K594" s="9">
        <v>0</v>
      </c>
      <c r="L594" s="9">
        <v>0</v>
      </c>
      <c r="M594" s="9">
        <v>0</v>
      </c>
      <c r="N594" s="9">
        <v>0</v>
      </c>
      <c r="O594" s="9">
        <v>0</v>
      </c>
      <c r="P594" s="9">
        <v>0</v>
      </c>
      <c r="Q594" s="9">
        <v>0</v>
      </c>
      <c r="R594" s="9">
        <v>0</v>
      </c>
      <c r="S594" s="61">
        <v>0</v>
      </c>
    </row>
    <row r="595" spans="1:23" x14ac:dyDescent="0.2">
      <c r="A595" s="54"/>
      <c r="B595" s="89"/>
      <c r="C595" s="9"/>
      <c r="D595" s="9"/>
      <c r="E595" s="9"/>
      <c r="F595" s="189"/>
      <c r="G595" s="361"/>
      <c r="H595" s="9"/>
      <c r="I595" s="1157"/>
      <c r="J595" s="9"/>
      <c r="K595" s="9"/>
      <c r="L595" s="9"/>
      <c r="M595" s="9"/>
      <c r="N595" s="9"/>
      <c r="O595" s="9"/>
      <c r="P595" s="9"/>
      <c r="Q595" s="9"/>
      <c r="R595" s="9"/>
      <c r="S595" s="61"/>
    </row>
    <row r="596" spans="1:23" s="39" customFormat="1" x14ac:dyDescent="0.2">
      <c r="A596" s="128">
        <f>A585-A590-A591+A592++A593-A594</f>
        <v>20766700</v>
      </c>
      <c r="B596" s="266">
        <f>B585-B590-B591+B592++B593-B594</f>
        <v>21756600</v>
      </c>
      <c r="C596" s="280">
        <f>C585-C590-C591+C592++C593-C594</f>
        <v>22400900</v>
      </c>
      <c r="D596" s="280">
        <f>D585-D590-D591+D592++D593-D594</f>
        <v>23578400</v>
      </c>
      <c r="E596" s="280">
        <f t="shared" ref="E596" si="815">E585-E590-E591+E592++E593-E594</f>
        <v>25085300</v>
      </c>
      <c r="F596" s="362"/>
      <c r="G596" s="363" t="s">
        <v>2447</v>
      </c>
      <c r="H596" s="280">
        <f t="shared" ref="H596:O596" si="816">H585-H590-H591+H592++H593-H594</f>
        <v>26165700</v>
      </c>
      <c r="I596" s="278">
        <f>IF(E596=H596,0,IF(E596=0,100,(H596-E596)/E596*100))</f>
        <v>4.3069048406835879</v>
      </c>
      <c r="J596" s="280">
        <f t="shared" si="816"/>
        <v>26089300</v>
      </c>
      <c r="K596" s="280">
        <f t="shared" si="816"/>
        <v>26819600</v>
      </c>
      <c r="L596" s="280">
        <f t="shared" si="816"/>
        <v>27571100</v>
      </c>
      <c r="M596" s="280">
        <f t="shared" si="816"/>
        <v>28344100</v>
      </c>
      <c r="N596" s="280">
        <f t="shared" si="816"/>
        <v>29139600</v>
      </c>
      <c r="O596" s="280">
        <f t="shared" si="816"/>
        <v>29958000</v>
      </c>
      <c r="P596" s="280">
        <f t="shared" ref="P596:Q596" si="817">P585-P590-P591+P592++P593-P594</f>
        <v>30800100</v>
      </c>
      <c r="Q596" s="280">
        <f t="shared" si="817"/>
        <v>31666600</v>
      </c>
      <c r="R596" s="280">
        <f t="shared" ref="R596:S596" si="818">R585-R590-R591+R592++R593-R594</f>
        <v>32558000</v>
      </c>
      <c r="S596" s="282">
        <f t="shared" si="818"/>
        <v>33475200</v>
      </c>
      <c r="U596" s="34"/>
      <c r="W596" s="34"/>
    </row>
    <row r="597" spans="1:23" ht="13.5" thickBot="1" x14ac:dyDescent="0.25">
      <c r="A597" s="26"/>
      <c r="B597" s="81"/>
      <c r="C597" s="37"/>
      <c r="D597" s="37"/>
      <c r="E597" s="23"/>
      <c r="F597" s="190"/>
      <c r="G597" s="259"/>
      <c r="H597" s="23"/>
      <c r="I597" s="275"/>
      <c r="J597" s="23"/>
      <c r="K597" s="23"/>
      <c r="L597" s="23"/>
      <c r="M597" s="23"/>
      <c r="N597" s="23"/>
      <c r="O597" s="23"/>
      <c r="P597" s="23"/>
      <c r="Q597" s="23"/>
      <c r="R597" s="23"/>
      <c r="S597" s="112"/>
    </row>
    <row r="598" spans="1:23" ht="14.25" thickTop="1" thickBot="1" x14ac:dyDescent="0.25">
      <c r="A598" s="72"/>
      <c r="B598" s="72"/>
      <c r="C598" s="72"/>
      <c r="D598" s="72"/>
      <c r="E598" s="123"/>
      <c r="F598" s="192"/>
      <c r="G598" s="376"/>
      <c r="H598" s="123"/>
      <c r="I598" s="1424"/>
      <c r="J598" s="46"/>
      <c r="K598" s="46"/>
      <c r="L598" s="46"/>
      <c r="M598" s="46"/>
      <c r="N598" s="46"/>
      <c r="O598" s="46"/>
      <c r="P598" s="46"/>
      <c r="Q598" s="46"/>
      <c r="R598" s="46"/>
      <c r="S598" s="46"/>
    </row>
    <row r="599" spans="1:23" s="38" customFormat="1" ht="18.75" customHeight="1" thickTop="1" thickBot="1" x14ac:dyDescent="0.3">
      <c r="A599" s="2588" t="str">
        <f>A169</f>
        <v>FINANCIAL SERVICES</v>
      </c>
      <c r="B599" s="2589"/>
      <c r="C599" s="2589"/>
      <c r="D599" s="2589"/>
      <c r="E599" s="2589"/>
      <c r="F599" s="2589"/>
      <c r="G599" s="2589"/>
      <c r="H599" s="2589"/>
      <c r="I599" s="2589"/>
      <c r="J599" s="2589"/>
      <c r="K599" s="2589"/>
      <c r="L599" s="2589"/>
      <c r="M599" s="2589"/>
      <c r="N599" s="2589"/>
      <c r="O599" s="2589"/>
      <c r="P599" s="2589"/>
      <c r="Q599" s="2589"/>
      <c r="R599" s="2589"/>
      <c r="S599" s="2590"/>
      <c r="U599" s="34"/>
      <c r="W599" s="34"/>
    </row>
    <row r="600" spans="1:23" s="39" customFormat="1" x14ac:dyDescent="0.2">
      <c r="A600" s="2620" t="s">
        <v>1824</v>
      </c>
      <c r="B600" s="2621"/>
      <c r="C600" s="2621"/>
      <c r="D600" s="2621"/>
      <c r="E600" s="2622"/>
      <c r="F600" s="150" t="s">
        <v>2616</v>
      </c>
      <c r="G600" s="126" t="s">
        <v>2213</v>
      </c>
      <c r="H600" s="2617" t="s">
        <v>2215</v>
      </c>
      <c r="I600" s="2618"/>
      <c r="J600" s="2618"/>
      <c r="K600" s="2618"/>
      <c r="L600" s="2618"/>
      <c r="M600" s="2618"/>
      <c r="N600" s="2618"/>
      <c r="O600" s="2618"/>
      <c r="P600" s="2618"/>
      <c r="Q600" s="2618"/>
      <c r="R600" s="2618"/>
      <c r="S600" s="2619"/>
      <c r="U600" s="34"/>
      <c r="W600" s="34"/>
    </row>
    <row r="601" spans="1:23" ht="13.5" thickBot="1" x14ac:dyDescent="0.25">
      <c r="A601" s="541" t="str">
        <f>A3</f>
        <v>2012/13</v>
      </c>
      <c r="B601" s="28" t="str">
        <f>B3</f>
        <v>2013/14</v>
      </c>
      <c r="C601" s="40" t="str">
        <f>C3</f>
        <v>2014/15</v>
      </c>
      <c r="D601" s="40" t="str">
        <f>D3</f>
        <v>2015/16</v>
      </c>
      <c r="E601" s="40" t="str">
        <f>E3</f>
        <v>2016/17</v>
      </c>
      <c r="F601" s="40" t="s">
        <v>2617</v>
      </c>
      <c r="G601" s="41"/>
      <c r="H601" s="40" t="str">
        <f>H3</f>
        <v>2017/18</v>
      </c>
      <c r="I601" s="2057" t="s">
        <v>492</v>
      </c>
      <c r="J601" s="40" t="str">
        <f t="shared" ref="J601:S601" si="819">J3</f>
        <v>2018/19</v>
      </c>
      <c r="K601" s="40" t="str">
        <f t="shared" si="819"/>
        <v>2019/20</v>
      </c>
      <c r="L601" s="40" t="str">
        <f t="shared" si="819"/>
        <v>2020/21</v>
      </c>
      <c r="M601" s="40" t="str">
        <f t="shared" si="819"/>
        <v>2021/22</v>
      </c>
      <c r="N601" s="40" t="str">
        <f t="shared" si="819"/>
        <v>2022/23</v>
      </c>
      <c r="O601" s="40" t="str">
        <f t="shared" si="819"/>
        <v>2023/24</v>
      </c>
      <c r="P601" s="40" t="str">
        <f t="shared" si="819"/>
        <v>2024/25</v>
      </c>
      <c r="Q601" s="28" t="str">
        <f t="shared" si="819"/>
        <v>2025/26</v>
      </c>
      <c r="R601" s="28" t="str">
        <f t="shared" si="819"/>
        <v>2026/27</v>
      </c>
      <c r="S601" s="1620" t="str">
        <f t="shared" si="819"/>
        <v>2027/28</v>
      </c>
    </row>
    <row r="602" spans="1:23" x14ac:dyDescent="0.2">
      <c r="A602" s="54"/>
      <c r="B602" s="9"/>
      <c r="C602" s="116"/>
      <c r="D602" s="9"/>
      <c r="E602" s="9"/>
      <c r="F602" s="175"/>
      <c r="G602" s="27"/>
      <c r="H602" s="9"/>
      <c r="I602" s="85"/>
      <c r="J602" s="9"/>
      <c r="K602" s="9"/>
      <c r="L602" s="9"/>
      <c r="M602" s="9"/>
      <c r="N602" s="9"/>
      <c r="O602" s="9"/>
      <c r="P602" s="9"/>
      <c r="Q602" s="9"/>
      <c r="R602" s="9"/>
      <c r="S602" s="61"/>
    </row>
    <row r="603" spans="1:23" x14ac:dyDescent="0.2">
      <c r="A603" s="54"/>
      <c r="B603" s="9"/>
      <c r="C603" s="9"/>
      <c r="D603" s="9"/>
      <c r="E603" s="9"/>
      <c r="F603" s="175"/>
      <c r="G603" s="91" t="s">
        <v>1056</v>
      </c>
      <c r="H603" s="9"/>
      <c r="I603" s="85"/>
      <c r="J603" s="9"/>
      <c r="K603" s="9"/>
      <c r="L603" s="9"/>
      <c r="M603" s="9"/>
      <c r="N603" s="9"/>
      <c r="O603" s="9"/>
      <c r="P603" s="9"/>
      <c r="Q603" s="9"/>
      <c r="R603" s="9"/>
      <c r="S603" s="61"/>
    </row>
    <row r="604" spans="1:23" x14ac:dyDescent="0.2">
      <c r="A604" s="54"/>
      <c r="B604" s="9"/>
      <c r="C604" s="9"/>
      <c r="E604" s="9"/>
      <c r="F604" s="239"/>
      <c r="G604" s="1189" t="s">
        <v>4445</v>
      </c>
      <c r="H604" s="9"/>
      <c r="I604" s="85"/>
      <c r="J604" s="9"/>
      <c r="K604" s="9"/>
      <c r="L604" s="9"/>
      <c r="M604" s="9"/>
      <c r="N604" s="9"/>
      <c r="O604" s="9"/>
      <c r="P604" s="9"/>
      <c r="Q604" s="9"/>
      <c r="R604" s="9"/>
      <c r="S604" s="61"/>
    </row>
    <row r="605" spans="1:23" x14ac:dyDescent="0.2">
      <c r="A605" s="54">
        <v>55400</v>
      </c>
      <c r="B605" s="9">
        <v>76300</v>
      </c>
      <c r="C605" s="9">
        <v>90400</v>
      </c>
      <c r="D605" s="9">
        <v>98800</v>
      </c>
      <c r="E605" s="9">
        <v>94600</v>
      </c>
      <c r="F605" s="240" t="s">
        <v>2646</v>
      </c>
      <c r="G605" s="385" t="s">
        <v>2558</v>
      </c>
      <c r="H605" s="9">
        <v>96500</v>
      </c>
      <c r="I605" s="85">
        <f t="shared" ref="I605:I613" si="820">IF(E605=H605,0,IF(E605=0,100,(H605-E605)/E605*100))</f>
        <v>2.00845665961945</v>
      </c>
      <c r="J605" s="9">
        <v>90000</v>
      </c>
      <c r="K605" s="9">
        <f>ROUNDUP(J605+(J605*Assumptions!J$5),-2)</f>
        <v>92300</v>
      </c>
      <c r="L605" s="9">
        <f>ROUNDUP(K605+(K605*Assumptions!K$5),-2)</f>
        <v>94700</v>
      </c>
      <c r="M605" s="9">
        <f>ROUNDUP(L605+(L605*Assumptions!L$5),-2)</f>
        <v>97100</v>
      </c>
      <c r="N605" s="9">
        <f>ROUNDUP(M605+(M605*Assumptions!M$5),-2)</f>
        <v>99600</v>
      </c>
      <c r="O605" s="9">
        <f>ROUNDUP(N605+(N605*Assumptions!N$5),-2)</f>
        <v>102100</v>
      </c>
      <c r="P605" s="9">
        <f>ROUNDUP(O605+(O605*Assumptions!O$5),-2)</f>
        <v>104700</v>
      </c>
      <c r="Q605" s="9">
        <f>ROUNDUP(P605+(P605*Assumptions!P$5),-2)</f>
        <v>107400</v>
      </c>
      <c r="R605" s="9">
        <f>ROUNDUP(Q605+(Q605*Assumptions!Q$5),-2)</f>
        <v>110100</v>
      </c>
      <c r="S605" s="47">
        <f>ROUNDUP(R605+(R605*Assumptions!R$5),-2)</f>
        <v>112900</v>
      </c>
    </row>
    <row r="606" spans="1:23" x14ac:dyDescent="0.2">
      <c r="A606" s="54">
        <v>2300</v>
      </c>
      <c r="B606" s="9">
        <v>2200</v>
      </c>
      <c r="C606" s="9">
        <v>3600</v>
      </c>
      <c r="D606" s="9">
        <v>3000</v>
      </c>
      <c r="E606" s="9">
        <v>3700</v>
      </c>
      <c r="F606" s="239" t="s">
        <v>2647</v>
      </c>
      <c r="G606" s="385" t="s">
        <v>1767</v>
      </c>
      <c r="H606" s="9">
        <v>3100</v>
      </c>
      <c r="I606" s="85">
        <f t="shared" si="820"/>
        <v>-16.216216216216218</v>
      </c>
      <c r="J606" s="9">
        <v>3200</v>
      </c>
      <c r="K606" s="9">
        <f>ROUNDUP(J606+(J606*Assumptions!J$5),-2)</f>
        <v>3300</v>
      </c>
      <c r="L606" s="9">
        <f>ROUNDUP(K606+(K606*Assumptions!K$5),-2)</f>
        <v>3400</v>
      </c>
      <c r="M606" s="9">
        <f>ROUNDUP(L606+(L606*Assumptions!L$5),-2)</f>
        <v>3500</v>
      </c>
      <c r="N606" s="9">
        <f>ROUNDUP(M606+(M606*Assumptions!M$5),-2)</f>
        <v>3600</v>
      </c>
      <c r="O606" s="9">
        <f>ROUNDUP(N606+(N606*Assumptions!N$5),-2)</f>
        <v>3700</v>
      </c>
      <c r="P606" s="9">
        <f>ROUNDUP(O606+(O606*Assumptions!O$5),-2)</f>
        <v>3800</v>
      </c>
      <c r="Q606" s="9">
        <f>ROUNDUP(P606+(P606*Assumptions!P$5),-2)</f>
        <v>3900</v>
      </c>
      <c r="R606" s="9">
        <f>ROUNDUP(Q606+(Q606*Assumptions!Q$5),-2)</f>
        <v>4000</v>
      </c>
      <c r="S606" s="47">
        <f>ROUNDUP(R606+(R606*Assumptions!R$5),-2)</f>
        <v>4100</v>
      </c>
    </row>
    <row r="607" spans="1:23" x14ac:dyDescent="0.2">
      <c r="A607" s="54">
        <v>25500</v>
      </c>
      <c r="B607" s="9">
        <f>28100+600+200</f>
        <v>28900</v>
      </c>
      <c r="C607" s="9">
        <v>4900</v>
      </c>
      <c r="D607" s="9">
        <v>5200</v>
      </c>
      <c r="E607" s="9">
        <v>5600</v>
      </c>
      <c r="F607" s="578" t="s">
        <v>3196</v>
      </c>
      <c r="G607" s="661" t="s">
        <v>4188</v>
      </c>
      <c r="H607" s="9">
        <v>6100</v>
      </c>
      <c r="I607" s="85">
        <f t="shared" si="820"/>
        <v>8.9285714285714288</v>
      </c>
      <c r="J607" s="9">
        <v>6000</v>
      </c>
      <c r="K607" s="9">
        <f>ROUNDUP(J607+(J607*Assumptions!J$5),-2)</f>
        <v>6200</v>
      </c>
      <c r="L607" s="9">
        <f>ROUNDUP(K607+(K607*Assumptions!K$5),-2)</f>
        <v>6400</v>
      </c>
      <c r="M607" s="9">
        <f>ROUNDUP(L607+(L607*Assumptions!L$5),-2)</f>
        <v>6600</v>
      </c>
      <c r="N607" s="9">
        <f>ROUNDUP(M607+(M607*Assumptions!M$5),-2)</f>
        <v>6800</v>
      </c>
      <c r="O607" s="9">
        <f>ROUNDUP(N607+(N607*Assumptions!N$5),-2)</f>
        <v>7000</v>
      </c>
      <c r="P607" s="9">
        <f>ROUNDUP(O607+(O607*Assumptions!O$5),-2)</f>
        <v>7200</v>
      </c>
      <c r="Q607" s="9">
        <f>ROUNDUP(P607+(P607*Assumptions!P$5),-2)</f>
        <v>7400</v>
      </c>
      <c r="R607" s="9">
        <f>ROUNDUP(Q607+(Q607*Assumptions!Q$5),-2)</f>
        <v>7600</v>
      </c>
      <c r="S607" s="47">
        <f>ROUNDUP(R607+(R607*Assumptions!R$5),-2)</f>
        <v>7800</v>
      </c>
    </row>
    <row r="608" spans="1:23" x14ac:dyDescent="0.2">
      <c r="A608" s="54">
        <v>0</v>
      </c>
      <c r="B608" s="9">
        <v>0</v>
      </c>
      <c r="C608" s="9">
        <v>500</v>
      </c>
      <c r="D608" s="9">
        <v>200</v>
      </c>
      <c r="E608" s="9">
        <v>0</v>
      </c>
      <c r="F608" s="578" t="s">
        <v>4185</v>
      </c>
      <c r="G608" s="661" t="s">
        <v>4189</v>
      </c>
      <c r="H608" s="9">
        <v>1000</v>
      </c>
      <c r="I608" s="85">
        <f t="shared" si="820"/>
        <v>100</v>
      </c>
      <c r="J608" s="9">
        <v>1000</v>
      </c>
      <c r="K608" s="9">
        <f>ROUNDUP(J608+(J608*Assumptions!J$5),-2)</f>
        <v>1100</v>
      </c>
      <c r="L608" s="9">
        <f>ROUNDUP(K608+(K608*Assumptions!K$5),-2)</f>
        <v>1200</v>
      </c>
      <c r="M608" s="9">
        <f>ROUNDUP(L608+(L608*Assumptions!L$5),-2)</f>
        <v>1300</v>
      </c>
      <c r="N608" s="9">
        <f>ROUNDUP(M608+(M608*Assumptions!M$5),-2)</f>
        <v>1400</v>
      </c>
      <c r="O608" s="9">
        <f>ROUNDUP(N608+(N608*Assumptions!N$5),-2)</f>
        <v>1500</v>
      </c>
      <c r="P608" s="9">
        <f>ROUNDUP(O608+(O608*Assumptions!O$5),-2)</f>
        <v>1600</v>
      </c>
      <c r="Q608" s="9">
        <f>ROUNDUP(P608+(P608*Assumptions!P$5),-2)</f>
        <v>1700</v>
      </c>
      <c r="R608" s="9">
        <f>ROUNDUP(Q608+(Q608*Assumptions!Q$5),-2)</f>
        <v>1800</v>
      </c>
      <c r="S608" s="47">
        <f>ROUNDUP(R608+(R608*Assumptions!R$5),-2)</f>
        <v>1900</v>
      </c>
    </row>
    <row r="609" spans="1:19" x14ac:dyDescent="0.2">
      <c r="A609" s="54">
        <v>0</v>
      </c>
      <c r="B609" s="9">
        <v>0</v>
      </c>
      <c r="C609" s="9">
        <v>21000</v>
      </c>
      <c r="D609" s="9">
        <v>22700</v>
      </c>
      <c r="E609" s="9">
        <v>25400</v>
      </c>
      <c r="F609" s="578" t="s">
        <v>4186</v>
      </c>
      <c r="G609" s="661" t="s">
        <v>4190</v>
      </c>
      <c r="H609" s="9">
        <v>23400</v>
      </c>
      <c r="I609" s="85">
        <f t="shared" si="820"/>
        <v>-7.8740157480314963</v>
      </c>
      <c r="J609" s="9">
        <v>24000</v>
      </c>
      <c r="K609" s="9">
        <f>ROUNDUP(J609+(J609*Assumptions!J$5),-2)</f>
        <v>24600</v>
      </c>
      <c r="L609" s="9">
        <f>ROUNDUP(K609+(K609*Assumptions!K$5),-2)</f>
        <v>25300</v>
      </c>
      <c r="M609" s="9">
        <f>ROUNDUP(L609+(L609*Assumptions!L$5),-2)</f>
        <v>26000</v>
      </c>
      <c r="N609" s="9">
        <f>ROUNDUP(M609+(M609*Assumptions!M$5),-2)</f>
        <v>26700</v>
      </c>
      <c r="O609" s="9">
        <f>ROUNDUP(N609+(N609*Assumptions!N$5),-2)</f>
        <v>27400</v>
      </c>
      <c r="P609" s="9">
        <f>ROUNDUP(O609+(O609*Assumptions!O$5),-2)</f>
        <v>28100</v>
      </c>
      <c r="Q609" s="9">
        <f>ROUNDUP(P609+(P609*Assumptions!P$5),-2)</f>
        <v>28900</v>
      </c>
      <c r="R609" s="9">
        <f>ROUNDUP(Q609+(Q609*Assumptions!Q$5),-2)</f>
        <v>29700</v>
      </c>
      <c r="S609" s="47">
        <f>ROUNDUP(R609+(R609*Assumptions!R$5),-2)</f>
        <v>30500</v>
      </c>
    </row>
    <row r="610" spans="1:19" x14ac:dyDescent="0.2">
      <c r="A610" s="54">
        <v>0</v>
      </c>
      <c r="B610" s="9">
        <v>0</v>
      </c>
      <c r="C610" s="9">
        <v>600</v>
      </c>
      <c r="D610" s="9">
        <v>800</v>
      </c>
      <c r="E610" s="9">
        <v>800</v>
      </c>
      <c r="F610" s="578" t="s">
        <v>4187</v>
      </c>
      <c r="G610" s="385" t="s">
        <v>1478</v>
      </c>
      <c r="H610" s="9">
        <v>900</v>
      </c>
      <c r="I610" s="85">
        <f t="shared" si="820"/>
        <v>12.5</v>
      </c>
      <c r="J610" s="9">
        <v>1000</v>
      </c>
      <c r="K610" s="9">
        <f>ROUNDUP(J610+(J610*Assumptions!J$5),-2)</f>
        <v>1100</v>
      </c>
      <c r="L610" s="9">
        <f>ROUNDUP(K610+(K610*Assumptions!K$5),-2)</f>
        <v>1200</v>
      </c>
      <c r="M610" s="9">
        <f>ROUNDUP(L610+(L610*Assumptions!L$5),-2)</f>
        <v>1300</v>
      </c>
      <c r="N610" s="9">
        <f>ROUNDUP(M610+(M610*Assumptions!M$5),-2)</f>
        <v>1400</v>
      </c>
      <c r="O610" s="9">
        <f>ROUNDUP(N610+(N610*Assumptions!N$5),-2)</f>
        <v>1500</v>
      </c>
      <c r="P610" s="9">
        <f>ROUNDUP(O610+(O610*Assumptions!O$5),-2)</f>
        <v>1600</v>
      </c>
      <c r="Q610" s="9">
        <f>ROUNDUP(P610+(P610*Assumptions!P$5),-2)</f>
        <v>1700</v>
      </c>
      <c r="R610" s="9">
        <f>ROUNDUP(Q610+(Q610*Assumptions!Q$5),-2)</f>
        <v>1800</v>
      </c>
      <c r="S610" s="47">
        <f>ROUNDUP(R610+(R610*Assumptions!R$5),-2)</f>
        <v>1900</v>
      </c>
    </row>
    <row r="611" spans="1:19" x14ac:dyDescent="0.2">
      <c r="A611" s="54">
        <v>100</v>
      </c>
      <c r="B611" s="9">
        <v>100</v>
      </c>
      <c r="C611" s="9">
        <v>300</v>
      </c>
      <c r="D611" s="9">
        <v>200</v>
      </c>
      <c r="E611" s="9">
        <v>200</v>
      </c>
      <c r="F611" s="578" t="s">
        <v>2790</v>
      </c>
      <c r="G611" s="385" t="s">
        <v>466</v>
      </c>
      <c r="H611" s="9">
        <v>500</v>
      </c>
      <c r="I611" s="85">
        <f t="shared" si="820"/>
        <v>150</v>
      </c>
      <c r="J611" s="9">
        <v>500</v>
      </c>
      <c r="K611" s="9">
        <f>ROUNDUP(J611+(J611*Assumptions!J$11),-2)</f>
        <v>600</v>
      </c>
      <c r="L611" s="9">
        <f>ROUNDUP(K611+(K611*Assumptions!K$11),-2)</f>
        <v>700</v>
      </c>
      <c r="M611" s="9">
        <f>ROUNDUP(L611+(L611*Assumptions!L$11),-2)</f>
        <v>800</v>
      </c>
      <c r="N611" s="9">
        <f>ROUNDUP(M611+(M611*Assumptions!M$11),-2)</f>
        <v>900</v>
      </c>
      <c r="O611" s="9">
        <f>ROUNDUP(N611+(N611*Assumptions!N$11),-2)</f>
        <v>1000</v>
      </c>
      <c r="P611" s="9">
        <f>ROUNDUP(O611+(O611*Assumptions!O$11),-2)</f>
        <v>1100</v>
      </c>
      <c r="Q611" s="9">
        <f>ROUNDUP(P611+(P611*Assumptions!P$11),-2)</f>
        <v>1200</v>
      </c>
      <c r="R611" s="9">
        <f>ROUNDUP(Q611+(Q611*Assumptions!Q$11),-2)</f>
        <v>1300</v>
      </c>
      <c r="S611" s="47">
        <f>ROUNDUP(R611+(R611*Assumptions!R$11),-2)</f>
        <v>1400</v>
      </c>
    </row>
    <row r="612" spans="1:19" x14ac:dyDescent="0.2">
      <c r="A612" s="54">
        <v>10600</v>
      </c>
      <c r="B612" s="9">
        <v>30100</v>
      </c>
      <c r="C612" s="9">
        <v>28200</v>
      </c>
      <c r="D612" s="9">
        <v>65600</v>
      </c>
      <c r="E612" s="9">
        <v>57400</v>
      </c>
      <c r="F612" s="578" t="s">
        <v>2791</v>
      </c>
      <c r="G612" s="385" t="s">
        <v>2720</v>
      </c>
      <c r="H612" s="9">
        <v>49600</v>
      </c>
      <c r="I612" s="85">
        <f t="shared" si="820"/>
        <v>-13.588850174216027</v>
      </c>
      <c r="J612" s="9">
        <v>50000</v>
      </c>
      <c r="K612" s="9">
        <f>ROUNDUP(J612+(J612*Assumptions!J$11),-2)</f>
        <v>51500</v>
      </c>
      <c r="L612" s="9">
        <f>ROUNDUP(K612+(K612*Assumptions!K$11),-2)</f>
        <v>53100</v>
      </c>
      <c r="M612" s="9">
        <f>ROUNDUP(L612+(L612*Assumptions!L$11),-2)</f>
        <v>54700</v>
      </c>
      <c r="N612" s="9">
        <f>ROUNDUP(M612+(M612*Assumptions!M$11),-2)</f>
        <v>56400</v>
      </c>
      <c r="O612" s="9">
        <f>ROUNDUP(N612+(N612*Assumptions!N$11),-2)</f>
        <v>58100</v>
      </c>
      <c r="P612" s="9">
        <f>ROUNDUP(O612+(O612*Assumptions!O$11),-2)</f>
        <v>59900</v>
      </c>
      <c r="Q612" s="9">
        <f>ROUNDUP(P612+(P612*Assumptions!P$11),-2)</f>
        <v>61700</v>
      </c>
      <c r="R612" s="9">
        <f>ROUNDUP(Q612+(Q612*Assumptions!Q$11),-2)</f>
        <v>63600</v>
      </c>
      <c r="S612" s="47">
        <f>ROUNDUP(R612+(R612*Assumptions!R$11),-2)</f>
        <v>65600</v>
      </c>
    </row>
    <row r="613" spans="1:19" x14ac:dyDescent="0.2">
      <c r="A613" s="54">
        <v>300</v>
      </c>
      <c r="B613" s="9">
        <v>100</v>
      </c>
      <c r="C613" s="9">
        <v>400</v>
      </c>
      <c r="D613" s="9">
        <v>400</v>
      </c>
      <c r="E613" s="9">
        <v>600</v>
      </c>
      <c r="F613" s="578" t="s">
        <v>2792</v>
      </c>
      <c r="G613" s="661" t="s">
        <v>1663</v>
      </c>
      <c r="H613" s="9">
        <v>700</v>
      </c>
      <c r="I613" s="85">
        <f t="shared" si="820"/>
        <v>16.666666666666664</v>
      </c>
      <c r="J613" s="9">
        <v>800</v>
      </c>
      <c r="K613" s="9">
        <f>ROUNDUP(J613+(J613*Assumptions!J$5),-2)</f>
        <v>900</v>
      </c>
      <c r="L613" s="9">
        <f>ROUNDUP(K613+(K613*Assumptions!K$5),-2)</f>
        <v>1000</v>
      </c>
      <c r="M613" s="9">
        <f>ROUNDUP(L613+(L613*Assumptions!L$5),-2)</f>
        <v>1100</v>
      </c>
      <c r="N613" s="9">
        <f>ROUNDUP(M613+(M613*Assumptions!M$5),-2)</f>
        <v>1200</v>
      </c>
      <c r="O613" s="9">
        <f>ROUNDUP(N613+(N613*Assumptions!N$5),-2)</f>
        <v>1300</v>
      </c>
      <c r="P613" s="9">
        <f>ROUNDUP(O613+(O613*Assumptions!O$5),-2)</f>
        <v>1400</v>
      </c>
      <c r="Q613" s="9">
        <f>ROUNDUP(P613+(P613*Assumptions!P$11),-2)</f>
        <v>1500</v>
      </c>
      <c r="R613" s="9">
        <f>ROUNDUP(Q613+(Q613*Assumptions!Q$11),-2)</f>
        <v>1600</v>
      </c>
      <c r="S613" s="47">
        <f>ROUNDUP(R613+(R613*Assumptions!R$11),-2)</f>
        <v>1700</v>
      </c>
    </row>
    <row r="614" spans="1:19" x14ac:dyDescent="0.2">
      <c r="A614" s="54"/>
      <c r="B614" s="9"/>
      <c r="C614" s="9"/>
      <c r="D614" s="9"/>
      <c r="E614" s="9"/>
      <c r="F614" s="578"/>
      <c r="G614" s="385"/>
      <c r="H614" s="9"/>
      <c r="I614" s="85"/>
      <c r="J614" s="9"/>
      <c r="K614" s="9"/>
      <c r="L614" s="9"/>
      <c r="M614" s="9"/>
      <c r="N614" s="9"/>
      <c r="O614" s="9"/>
      <c r="P614" s="9"/>
      <c r="Q614" s="9"/>
      <c r="R614" s="9"/>
      <c r="S614" s="47"/>
    </row>
    <row r="615" spans="1:19" x14ac:dyDescent="0.2">
      <c r="A615" s="54"/>
      <c r="B615" s="9"/>
      <c r="C615" s="9"/>
      <c r="D615" s="9"/>
      <c r="E615" s="9"/>
      <c r="F615" s="578"/>
      <c r="G615" s="1189" t="s">
        <v>1693</v>
      </c>
      <c r="H615" s="9"/>
      <c r="I615" s="85"/>
      <c r="J615" s="9"/>
      <c r="K615" s="9"/>
      <c r="L615" s="9"/>
      <c r="M615" s="9"/>
      <c r="N615" s="9"/>
      <c r="O615" s="9"/>
      <c r="P615" s="9"/>
      <c r="Q615" s="9"/>
      <c r="R615" s="9"/>
      <c r="S615" s="47"/>
    </row>
    <row r="616" spans="1:19" x14ac:dyDescent="0.2">
      <c r="A616" s="54">
        <v>61000</v>
      </c>
      <c r="B616" s="9">
        <v>54000</v>
      </c>
      <c r="C616" s="9">
        <v>54000</v>
      </c>
      <c r="D616" s="9">
        <v>77100</v>
      </c>
      <c r="E616" s="9">
        <v>71900</v>
      </c>
      <c r="F616" s="578" t="s">
        <v>1666</v>
      </c>
      <c r="G616" s="661" t="s">
        <v>4429</v>
      </c>
      <c r="H616" s="9">
        <v>54000</v>
      </c>
      <c r="I616" s="85">
        <f>IF(E616=H616,0,IF(E616=0,100,(H616-E616)/E616*100))</f>
        <v>-24.895688456189152</v>
      </c>
      <c r="J616" s="9">
        <f>H616</f>
        <v>54000</v>
      </c>
      <c r="K616" s="9">
        <f t="shared" ref="K616:S616" si="821">J616</f>
        <v>54000</v>
      </c>
      <c r="L616" s="9">
        <f t="shared" si="821"/>
        <v>54000</v>
      </c>
      <c r="M616" s="9">
        <f t="shared" si="821"/>
        <v>54000</v>
      </c>
      <c r="N616" s="9">
        <f t="shared" si="821"/>
        <v>54000</v>
      </c>
      <c r="O616" s="9">
        <f t="shared" si="821"/>
        <v>54000</v>
      </c>
      <c r="P616" s="9">
        <f t="shared" si="821"/>
        <v>54000</v>
      </c>
      <c r="Q616" s="9">
        <f t="shared" si="821"/>
        <v>54000</v>
      </c>
      <c r="R616" s="9">
        <f t="shared" si="821"/>
        <v>54000</v>
      </c>
      <c r="S616" s="47">
        <f t="shared" si="821"/>
        <v>54000</v>
      </c>
    </row>
    <row r="617" spans="1:19" ht="13.5" thickBot="1" x14ac:dyDescent="0.25">
      <c r="A617" s="24"/>
      <c r="B617" s="21"/>
      <c r="C617" s="130"/>
      <c r="D617" s="21"/>
      <c r="E617" s="9"/>
      <c r="F617" s="578"/>
      <c r="G617" s="21"/>
      <c r="H617" s="9"/>
      <c r="I617" s="126"/>
      <c r="J617" s="9"/>
      <c r="K617" s="9"/>
      <c r="L617" s="9"/>
      <c r="M617" s="9"/>
      <c r="N617" s="9"/>
      <c r="O617" s="9"/>
      <c r="P617" s="9"/>
      <c r="Q617" s="9"/>
      <c r="R617" s="9"/>
      <c r="S617" s="47"/>
    </row>
    <row r="618" spans="1:19" x14ac:dyDescent="0.2">
      <c r="A618" s="52">
        <f>SUM(A603:A617)</f>
        <v>155200</v>
      </c>
      <c r="B618" s="16">
        <f>SUM(B603:B617)</f>
        <v>191700</v>
      </c>
      <c r="C618" s="16">
        <f>SUM(C603:C617)</f>
        <v>203900</v>
      </c>
      <c r="D618" s="16">
        <f>SUM(D603:D617)</f>
        <v>274000</v>
      </c>
      <c r="E618" s="16">
        <f>SUM(E603:E617)</f>
        <v>260200</v>
      </c>
      <c r="F618" s="239"/>
      <c r="G618" s="267" t="s">
        <v>2561</v>
      </c>
      <c r="H618" s="16">
        <f>SUM(H603:H617)</f>
        <v>235800</v>
      </c>
      <c r="I618" s="1425">
        <f>IF(E618=H618,0,IF(E618=0,100,(H618-E618)/E618*100))</f>
        <v>-9.3774019984627213</v>
      </c>
      <c r="J618" s="16">
        <f t="shared" ref="J618:S618" si="822">SUM(J603:J617)</f>
        <v>230500</v>
      </c>
      <c r="K618" s="16">
        <f t="shared" si="822"/>
        <v>235600</v>
      </c>
      <c r="L618" s="16">
        <f t="shared" si="822"/>
        <v>241000</v>
      </c>
      <c r="M618" s="16">
        <f t="shared" si="822"/>
        <v>246400</v>
      </c>
      <c r="N618" s="16">
        <f t="shared" si="822"/>
        <v>252000</v>
      </c>
      <c r="O618" s="16">
        <f t="shared" si="822"/>
        <v>257600</v>
      </c>
      <c r="P618" s="16">
        <f t="shared" si="822"/>
        <v>263400</v>
      </c>
      <c r="Q618" s="16">
        <f t="shared" si="822"/>
        <v>269400</v>
      </c>
      <c r="R618" s="16">
        <f t="shared" si="822"/>
        <v>275500</v>
      </c>
      <c r="S618" s="2342">
        <f t="shared" si="822"/>
        <v>281800</v>
      </c>
    </row>
    <row r="619" spans="1:19" x14ac:dyDescent="0.2">
      <c r="A619" s="54"/>
      <c r="B619" s="9"/>
      <c r="C619" s="9"/>
      <c r="D619" s="9"/>
      <c r="E619" s="9"/>
      <c r="F619" s="239"/>
      <c r="G619" s="267"/>
      <c r="H619" s="9"/>
      <c r="I619" s="85"/>
      <c r="J619" s="9"/>
      <c r="K619" s="9"/>
      <c r="L619" s="9"/>
      <c r="M619" s="9"/>
      <c r="N619" s="9"/>
      <c r="O619" s="9"/>
      <c r="P619" s="9"/>
      <c r="Q619" s="9"/>
      <c r="R619" s="9"/>
      <c r="S619" s="47"/>
    </row>
    <row r="620" spans="1:19" x14ac:dyDescent="0.2">
      <c r="A620" s="54"/>
      <c r="B620" s="9"/>
      <c r="C620" s="9"/>
      <c r="D620" s="9"/>
      <c r="E620" s="9"/>
      <c r="F620" s="239"/>
      <c r="G620" s="256" t="s">
        <v>2169</v>
      </c>
      <c r="H620" s="9"/>
      <c r="I620" s="85"/>
      <c r="J620" s="9"/>
      <c r="K620" s="9"/>
      <c r="L620" s="9"/>
      <c r="M620" s="9"/>
      <c r="N620" s="9"/>
      <c r="O620" s="9"/>
      <c r="P620" s="9"/>
      <c r="Q620" s="9"/>
      <c r="R620" s="9"/>
      <c r="S620" s="47"/>
    </row>
    <row r="621" spans="1:19" x14ac:dyDescent="0.2">
      <c r="A621" s="54"/>
      <c r="B621" s="9"/>
      <c r="C621" s="9"/>
      <c r="D621" s="9"/>
      <c r="E621" s="9"/>
      <c r="F621" s="239"/>
      <c r="G621" s="260" t="s">
        <v>1228</v>
      </c>
      <c r="H621" s="9"/>
      <c r="I621" s="85"/>
      <c r="J621" s="9"/>
      <c r="K621" s="9"/>
      <c r="L621" s="9"/>
      <c r="M621" s="9"/>
      <c r="N621" s="9"/>
      <c r="O621" s="9"/>
      <c r="P621" s="9"/>
      <c r="Q621" s="9"/>
      <c r="R621" s="9"/>
      <c r="S621" s="47"/>
    </row>
    <row r="622" spans="1:19" x14ac:dyDescent="0.2">
      <c r="A622" s="54">
        <v>1068200</v>
      </c>
      <c r="B622" s="9">
        <f>1145000-250000</f>
        <v>895000</v>
      </c>
      <c r="C622" s="9">
        <v>1018600</v>
      </c>
      <c r="D622" s="9">
        <v>1013500</v>
      </c>
      <c r="E622" s="9">
        <f>1029100+200</f>
        <v>1029300</v>
      </c>
      <c r="F622" s="239" t="s">
        <v>1667</v>
      </c>
      <c r="G622" s="257" t="s">
        <v>1320</v>
      </c>
      <c r="H622" s="9">
        <v>1058000</v>
      </c>
      <c r="I622" s="85">
        <f>IF(E622=H622,0,IF(E622=0,100,(H622-E622)/E622*100))</f>
        <v>2.7883027300106868</v>
      </c>
      <c r="J622" s="9">
        <v>1085000</v>
      </c>
      <c r="K622" s="9">
        <f>ROUND((J622*Assumptions!J$13)+GM!J622,-2)</f>
        <v>1110000</v>
      </c>
      <c r="L622" s="9">
        <f>ROUND((K622*Assumptions!K$13)+GM!K622,-2)</f>
        <v>1135500</v>
      </c>
      <c r="M622" s="9">
        <f>ROUND((L622*Assumptions!L$13)+GM!L622,-2)</f>
        <v>1161600</v>
      </c>
      <c r="N622" s="9">
        <f>ROUND((M622*Assumptions!M$13)+GM!M622,-2)</f>
        <v>1188300</v>
      </c>
      <c r="O622" s="9">
        <f>ROUND((N622*Assumptions!N$13)+GM!N622,-2)</f>
        <v>1215600</v>
      </c>
      <c r="P622" s="9">
        <f>ROUND((O622*Assumptions!O$13)+GM!O622,-2)</f>
        <v>1243600</v>
      </c>
      <c r="Q622" s="9">
        <f>ROUND((P622*Assumptions!P$13)+GM!P622,-2)</f>
        <v>1272200</v>
      </c>
      <c r="R622" s="9">
        <f>ROUND((Q622*Assumptions!Q$13)+GM!Q622,-2)</f>
        <v>1301500</v>
      </c>
      <c r="S622" s="47">
        <f>ROUND((R622*Assumptions!R$13)+GM!R622,-2)</f>
        <v>1331400</v>
      </c>
    </row>
    <row r="623" spans="1:19" x14ac:dyDescent="0.2">
      <c r="A623" s="54">
        <v>9600</v>
      </c>
      <c r="B623" s="9">
        <v>8000</v>
      </c>
      <c r="C623" s="9">
        <v>8200</v>
      </c>
      <c r="D623" s="9">
        <v>8200</v>
      </c>
      <c r="E623" s="9">
        <v>0</v>
      </c>
      <c r="F623" s="239" t="s">
        <v>1939</v>
      </c>
      <c r="G623" s="257" t="s">
        <v>598</v>
      </c>
      <c r="H623" s="9">
        <v>5000</v>
      </c>
      <c r="I623" s="85">
        <f>IF(E623=H623,0,IF(E623=0,100,(H623-E623)/E623*100))</f>
        <v>100</v>
      </c>
      <c r="J623" s="9">
        <v>5000</v>
      </c>
      <c r="K623" s="9">
        <f>ROUND((J623*Assumptions!J$13)+GM!J623,-2)</f>
        <v>5100</v>
      </c>
      <c r="L623" s="9">
        <f>ROUND((K623*Assumptions!K$13)+GM!K623,-2)</f>
        <v>5200</v>
      </c>
      <c r="M623" s="9">
        <f>ROUND((L623*Assumptions!L$13)+GM!L623,-2)</f>
        <v>5300</v>
      </c>
      <c r="N623" s="9">
        <f>ROUND((M623*Assumptions!M$13)+GM!M623,-2)</f>
        <v>5400</v>
      </c>
      <c r="O623" s="9">
        <f>ROUND((N623*Assumptions!N$13)+GM!N623,-2)</f>
        <v>5500</v>
      </c>
      <c r="P623" s="9">
        <f>ROUND((O623*Assumptions!O$13)+GM!O623,-2)</f>
        <v>5600</v>
      </c>
      <c r="Q623" s="9">
        <f>ROUND((P623*Assumptions!P$13)+GM!P623,-2)</f>
        <v>5700</v>
      </c>
      <c r="R623" s="9">
        <f>ROUND((Q623*Assumptions!Q$13)+GM!Q623,-2)</f>
        <v>5800</v>
      </c>
      <c r="S623" s="47">
        <f>ROUND((R623*Assumptions!R$13)+GM!R623,-2)</f>
        <v>5900</v>
      </c>
    </row>
    <row r="624" spans="1:19" x14ac:dyDescent="0.2">
      <c r="A624" s="54"/>
      <c r="B624" s="9"/>
      <c r="C624" s="9"/>
      <c r="D624" s="9"/>
      <c r="E624" s="9"/>
      <c r="F624" s="239"/>
      <c r="G624" s="260" t="s">
        <v>2246</v>
      </c>
      <c r="H624" s="9"/>
      <c r="I624" s="85"/>
      <c r="J624" s="9"/>
      <c r="K624" s="9"/>
      <c r="L624" s="9"/>
      <c r="M624" s="9"/>
      <c r="N624" s="9"/>
      <c r="O624" s="9"/>
      <c r="P624" s="9"/>
      <c r="Q624" s="9"/>
      <c r="R624" s="9"/>
      <c r="S624" s="47"/>
    </row>
    <row r="625" spans="1:19" x14ac:dyDescent="0.2">
      <c r="A625" s="54">
        <v>0</v>
      </c>
      <c r="B625" s="9">
        <v>0</v>
      </c>
      <c r="C625" s="9">
        <v>10300</v>
      </c>
      <c r="D625" s="9">
        <v>10200</v>
      </c>
      <c r="E625" s="9">
        <v>3300</v>
      </c>
      <c r="F625" s="578" t="s">
        <v>4191</v>
      </c>
      <c r="G625" s="634" t="s">
        <v>4371</v>
      </c>
      <c r="H625" s="9">
        <f>10700-5000</f>
        <v>5700</v>
      </c>
      <c r="I625" s="85">
        <f t="shared" ref="I625:I633" si="823">IF(E625=H625,0,IF(E625=0,100,(H625-E625)/E625*100))</f>
        <v>72.727272727272734</v>
      </c>
      <c r="J625" s="9">
        <v>6000</v>
      </c>
      <c r="K625" s="9">
        <f>ROUNDUP(J625+(J625*Assumptions!J$5),-2)</f>
        <v>6200</v>
      </c>
      <c r="L625" s="9">
        <f>ROUNDUP(K625+(K625*Assumptions!K$5),-2)</f>
        <v>6400</v>
      </c>
      <c r="M625" s="9">
        <f>ROUNDUP(L625+(L625*Assumptions!L$5),-2)</f>
        <v>6600</v>
      </c>
      <c r="N625" s="9">
        <f>ROUNDUP(M625+(M625*Assumptions!M$5),-2)</f>
        <v>6800</v>
      </c>
      <c r="O625" s="9">
        <f>ROUNDUP(N625+(N625*Assumptions!N$5),-2)</f>
        <v>7000</v>
      </c>
      <c r="P625" s="9">
        <f>ROUNDUP(O625+(O625*Assumptions!O$5),-2)</f>
        <v>7200</v>
      </c>
      <c r="Q625" s="9">
        <f>ROUNDUP(P625+(P625*Assumptions!P$5),-2)</f>
        <v>7400</v>
      </c>
      <c r="R625" s="9">
        <f>ROUNDUP(Q625+(Q625*Assumptions!Q$5),-2)</f>
        <v>7600</v>
      </c>
      <c r="S625" s="47">
        <f>ROUNDUP(R625+(R625*Assumptions!R$5),-2)</f>
        <v>7800</v>
      </c>
    </row>
    <row r="626" spans="1:19" x14ac:dyDescent="0.2">
      <c r="A626" s="54">
        <v>0</v>
      </c>
      <c r="B626" s="9">
        <v>0</v>
      </c>
      <c r="C626" s="9">
        <v>13500</v>
      </c>
      <c r="D626" s="9">
        <v>17800</v>
      </c>
      <c r="E626" s="9">
        <v>19600</v>
      </c>
      <c r="F626" s="578" t="s">
        <v>4192</v>
      </c>
      <c r="G626" s="634" t="s">
        <v>4194</v>
      </c>
      <c r="H626" s="9">
        <f>16300+4000</f>
        <v>20300</v>
      </c>
      <c r="I626" s="85">
        <f t="shared" si="823"/>
        <v>3.5714285714285712</v>
      </c>
      <c r="J626" s="9">
        <v>21000</v>
      </c>
      <c r="K626" s="9">
        <f>ROUNDUP(J626+(J626*Assumptions!J$5),-2)</f>
        <v>21600</v>
      </c>
      <c r="L626" s="9">
        <f>ROUNDUP(K626+(K626*Assumptions!K$5),-2)</f>
        <v>22200</v>
      </c>
      <c r="M626" s="9">
        <f>ROUNDUP(L626+(L626*Assumptions!L$5),-2)</f>
        <v>22800</v>
      </c>
      <c r="N626" s="9">
        <f>ROUNDUP(M626+(M626*Assumptions!M$5),-2)</f>
        <v>23400</v>
      </c>
      <c r="O626" s="9">
        <f>ROUNDUP(N626+(N626*Assumptions!N$5),-2)</f>
        <v>24000</v>
      </c>
      <c r="P626" s="9">
        <f>ROUNDUP(O626+(O626*Assumptions!O$5),-2)</f>
        <v>24600</v>
      </c>
      <c r="Q626" s="9">
        <f>ROUNDUP(P626+(P626*Assumptions!P$5),-2)</f>
        <v>25300</v>
      </c>
      <c r="R626" s="9">
        <f>ROUNDUP(Q626+(Q626*Assumptions!Q$5),-2)</f>
        <v>26000</v>
      </c>
      <c r="S626" s="47">
        <f>ROUNDUP(R626+(R626*Assumptions!R$5),-2)</f>
        <v>26700</v>
      </c>
    </row>
    <row r="627" spans="1:19" x14ac:dyDescent="0.2">
      <c r="A627" s="54">
        <v>3100</v>
      </c>
      <c r="B627" s="9">
        <v>3000</v>
      </c>
      <c r="C627" s="29">
        <v>3100</v>
      </c>
      <c r="D627" s="9">
        <v>3300</v>
      </c>
      <c r="E627" s="9">
        <v>3500</v>
      </c>
      <c r="F627" s="239" t="s">
        <v>1668</v>
      </c>
      <c r="G627" s="257" t="s">
        <v>1</v>
      </c>
      <c r="H627" s="9">
        <v>3100</v>
      </c>
      <c r="I627" s="85">
        <f t="shared" si="823"/>
        <v>-11.428571428571429</v>
      </c>
      <c r="J627" s="9">
        <v>3200</v>
      </c>
      <c r="K627" s="9">
        <f>ROUNDUP(J627+(J627*Assumptions!J$5),-2)</f>
        <v>3300</v>
      </c>
      <c r="L627" s="9">
        <f>ROUNDUP(K627+(K627*Assumptions!K$5),-2)</f>
        <v>3400</v>
      </c>
      <c r="M627" s="9">
        <f>ROUNDUP(L627+(L627*Assumptions!L$5),-2)</f>
        <v>3500</v>
      </c>
      <c r="N627" s="9">
        <f>ROUNDUP(M627+(M627*Assumptions!M$5),-2)</f>
        <v>3600</v>
      </c>
      <c r="O627" s="9">
        <f>ROUNDUP(N627+(N627*Assumptions!N$5),-2)</f>
        <v>3700</v>
      </c>
      <c r="P627" s="9">
        <f>ROUNDUP(O627+(O627*Assumptions!O$5),-2)</f>
        <v>3800</v>
      </c>
      <c r="Q627" s="9">
        <f>ROUNDUP(P627+(P627*Assumptions!P$5),-2)</f>
        <v>3900</v>
      </c>
      <c r="R627" s="9">
        <f>ROUNDUP(Q627+(Q627*Assumptions!Q$5),-2)</f>
        <v>4000</v>
      </c>
      <c r="S627" s="47">
        <f>ROUNDUP(R627+(R627*Assumptions!R$5),-2)</f>
        <v>4100</v>
      </c>
    </row>
    <row r="628" spans="1:19" x14ac:dyDescent="0.2">
      <c r="A628" s="54">
        <v>4200</v>
      </c>
      <c r="B628" s="9">
        <v>3900</v>
      </c>
      <c r="C628" s="29">
        <v>4400</v>
      </c>
      <c r="D628" s="9">
        <v>3800</v>
      </c>
      <c r="E628" s="9">
        <v>3200</v>
      </c>
      <c r="F628" s="239" t="s">
        <v>1675</v>
      </c>
      <c r="G628" s="634" t="s">
        <v>3161</v>
      </c>
      <c r="H628" s="9">
        <v>4200</v>
      </c>
      <c r="I628" s="85">
        <f t="shared" si="823"/>
        <v>31.25</v>
      </c>
      <c r="J628" s="9">
        <v>4000</v>
      </c>
      <c r="K628" s="9">
        <f>ROUNDUP(J628+(J628*Assumptions!J$5),-2)</f>
        <v>4100</v>
      </c>
      <c r="L628" s="9">
        <f>ROUNDUP(K628+(K628*Assumptions!K$5),-2)</f>
        <v>4300</v>
      </c>
      <c r="M628" s="9">
        <f>ROUNDUP(L628+(L628*Assumptions!L$5),-2)</f>
        <v>4500</v>
      </c>
      <c r="N628" s="9">
        <f>ROUNDUP(M628+(M628*Assumptions!M$5),-2)</f>
        <v>4700</v>
      </c>
      <c r="O628" s="9">
        <f>ROUNDUP(N628+(N628*Assumptions!N$5),-2)</f>
        <v>4900</v>
      </c>
      <c r="P628" s="9">
        <f>ROUNDUP(O628+(O628*Assumptions!O$5),-2)</f>
        <v>5100</v>
      </c>
      <c r="Q628" s="9">
        <f>ROUNDUP(P628+(P628*Assumptions!P$5),-2)</f>
        <v>5300</v>
      </c>
      <c r="R628" s="9">
        <f>ROUNDUP(Q628+(Q628*Assumptions!Q$5),-2)</f>
        <v>5500</v>
      </c>
      <c r="S628" s="47">
        <f>ROUNDUP(R628+(R628*Assumptions!R$5),-2)</f>
        <v>5700</v>
      </c>
    </row>
    <row r="629" spans="1:19" x14ac:dyDescent="0.2">
      <c r="A629" s="54">
        <v>0</v>
      </c>
      <c r="B629" s="9">
        <v>0</v>
      </c>
      <c r="C629" s="29">
        <v>800</v>
      </c>
      <c r="D629" s="9">
        <v>1100</v>
      </c>
      <c r="E629" s="9">
        <v>1400</v>
      </c>
      <c r="F629" s="578" t="s">
        <v>4193</v>
      </c>
      <c r="G629" s="634" t="s">
        <v>4195</v>
      </c>
      <c r="H629" s="9">
        <v>1200</v>
      </c>
      <c r="I629" s="85">
        <f t="shared" si="823"/>
        <v>-14.285714285714285</v>
      </c>
      <c r="J629" s="9">
        <v>1200</v>
      </c>
      <c r="K629" s="9">
        <f>ROUNDUP(J629+(J629*Assumptions!J$5),-2)</f>
        <v>1300</v>
      </c>
      <c r="L629" s="9">
        <f>ROUNDUP(K629+(K629*Assumptions!K$5),-2)</f>
        <v>1400</v>
      </c>
      <c r="M629" s="9">
        <f>ROUNDUP(L629+(L629*Assumptions!L$5),-2)</f>
        <v>1500</v>
      </c>
      <c r="N629" s="9">
        <f>ROUNDUP(M629+(M629*Assumptions!M$5),-2)</f>
        <v>1600</v>
      </c>
      <c r="O629" s="9">
        <f>ROUNDUP(N629+(N629*Assumptions!N$5),-2)</f>
        <v>1700</v>
      </c>
      <c r="P629" s="9">
        <f>ROUNDUP(O629+(O629*Assumptions!O$5),-2)</f>
        <v>1800</v>
      </c>
      <c r="Q629" s="9">
        <f>ROUNDUP(P629+(P629*Assumptions!P$5),-2)</f>
        <v>1900</v>
      </c>
      <c r="R629" s="9">
        <f>ROUNDUP(Q629+(Q629*Assumptions!Q$5),-2)</f>
        <v>2000</v>
      </c>
      <c r="S629" s="47">
        <f>ROUNDUP(R629+(R629*Assumptions!R$5),-2)</f>
        <v>2100</v>
      </c>
    </row>
    <row r="630" spans="1:19" x14ac:dyDescent="0.2">
      <c r="A630" s="54">
        <v>1700</v>
      </c>
      <c r="B630" s="9">
        <v>700</v>
      </c>
      <c r="C630" s="29">
        <v>1100</v>
      </c>
      <c r="D630" s="9">
        <v>1600</v>
      </c>
      <c r="E630" s="9">
        <v>0</v>
      </c>
      <c r="F630" s="239" t="s">
        <v>2860</v>
      </c>
      <c r="G630" s="257" t="s">
        <v>2861</v>
      </c>
      <c r="H630" s="9">
        <v>1700</v>
      </c>
      <c r="I630" s="85">
        <f t="shared" si="823"/>
        <v>100</v>
      </c>
      <c r="J630" s="9">
        <v>1800</v>
      </c>
      <c r="K630" s="9">
        <f>ROUNDUP(J630+(J630*Assumptions!J$5),-2)</f>
        <v>1900</v>
      </c>
      <c r="L630" s="9">
        <f>ROUNDUP(K630+(K630*Assumptions!K$5),-2)</f>
        <v>2000</v>
      </c>
      <c r="M630" s="9">
        <f>ROUNDUP(L630+(L630*Assumptions!L$5),-2)</f>
        <v>2100</v>
      </c>
      <c r="N630" s="9">
        <f>ROUNDUP(M630+(M630*Assumptions!M$5),-2)</f>
        <v>2200</v>
      </c>
      <c r="O630" s="9">
        <f>ROUNDUP(N630+(N630*Assumptions!N$5),-2)</f>
        <v>2300</v>
      </c>
      <c r="P630" s="9">
        <f>ROUNDUP(O630+(O630*Assumptions!O$5),-2)</f>
        <v>2400</v>
      </c>
      <c r="Q630" s="9">
        <f>ROUNDUP(P630+(P630*Assumptions!P$5),-2)</f>
        <v>2500</v>
      </c>
      <c r="R630" s="9">
        <f>ROUNDUP(Q630+(Q630*Assumptions!Q$5),-2)</f>
        <v>2600</v>
      </c>
      <c r="S630" s="47">
        <f>ROUNDUP(R630+(R630*Assumptions!R$5),-2)</f>
        <v>2700</v>
      </c>
    </row>
    <row r="631" spans="1:19" x14ac:dyDescent="0.2">
      <c r="A631" s="54">
        <v>23200</v>
      </c>
      <c r="B631" s="9">
        <f>30300+1000+400</f>
        <v>31700</v>
      </c>
      <c r="C631" s="29">
        <v>27700</v>
      </c>
      <c r="D631" s="9">
        <v>31100</v>
      </c>
      <c r="E631" s="9">
        <v>39800</v>
      </c>
      <c r="F631" s="578" t="s">
        <v>2958</v>
      </c>
      <c r="G631" s="634" t="s">
        <v>3271</v>
      </c>
      <c r="H631" s="9">
        <f>34600+1000</f>
        <v>35600</v>
      </c>
      <c r="I631" s="85">
        <f t="shared" si="823"/>
        <v>-10.552763819095476</v>
      </c>
      <c r="J631" s="9">
        <v>36000</v>
      </c>
      <c r="K631" s="9">
        <f>ROUNDUP(J631+(J631*Assumptions!J$5),-2)</f>
        <v>36900</v>
      </c>
      <c r="L631" s="9">
        <f>ROUNDUP(K631+(K631*Assumptions!K$5),-2)</f>
        <v>37900</v>
      </c>
      <c r="M631" s="9">
        <f>ROUNDUP(L631+(L631*Assumptions!L$5),-2)</f>
        <v>38900</v>
      </c>
      <c r="N631" s="9">
        <f>ROUNDUP(M631+(M631*Assumptions!M$5),-2)</f>
        <v>39900</v>
      </c>
      <c r="O631" s="9">
        <f>ROUNDUP(N631+(N631*Assumptions!N$5),-2)</f>
        <v>40900</v>
      </c>
      <c r="P631" s="9">
        <f>ROUNDUP(O631+(O631*Assumptions!O$5),-2)</f>
        <v>42000</v>
      </c>
      <c r="Q631" s="9">
        <f>ROUNDUP(P631+(P631*Assumptions!P$5),-2)</f>
        <v>43100</v>
      </c>
      <c r="R631" s="9">
        <f>ROUNDUP(Q631+(Q631*Assumptions!Q$5),-2)</f>
        <v>44200</v>
      </c>
      <c r="S631" s="47">
        <f>ROUNDUP(R631+(R631*Assumptions!R$5),-2)</f>
        <v>45400</v>
      </c>
    </row>
    <row r="632" spans="1:19" x14ac:dyDescent="0.2">
      <c r="A632" s="54">
        <v>51200</v>
      </c>
      <c r="B632" s="9">
        <v>42500</v>
      </c>
      <c r="C632" s="29">
        <v>21600</v>
      </c>
      <c r="D632" s="9">
        <v>20500</v>
      </c>
      <c r="E632" s="9">
        <v>18700</v>
      </c>
      <c r="F632" s="578" t="s">
        <v>2957</v>
      </c>
      <c r="G632" s="634" t="s">
        <v>3272</v>
      </c>
      <c r="H632" s="9">
        <v>23400</v>
      </c>
      <c r="I632" s="85">
        <f t="shared" si="823"/>
        <v>25.133689839572192</v>
      </c>
      <c r="J632" s="9">
        <v>24000</v>
      </c>
      <c r="K632" s="9">
        <f>ROUNDUP(J632+(J632*Assumptions!J$5),-2)</f>
        <v>24600</v>
      </c>
      <c r="L632" s="9">
        <f>ROUNDUP(K632+(K632*Assumptions!K$5),-2)</f>
        <v>25300</v>
      </c>
      <c r="M632" s="9">
        <f>ROUNDUP(L632+(L632*Assumptions!L$5),-2)</f>
        <v>26000</v>
      </c>
      <c r="N632" s="9">
        <f>ROUNDUP(M632+(M632*Assumptions!M$5),-2)</f>
        <v>26700</v>
      </c>
      <c r="O632" s="9">
        <f>ROUNDUP(N632+(N632*Assumptions!N$5),-2)</f>
        <v>27400</v>
      </c>
      <c r="P632" s="9">
        <f>ROUNDUP(O632+(O632*Assumptions!O$5),-2)</f>
        <v>28100</v>
      </c>
      <c r="Q632" s="9">
        <f>ROUNDUP(P632+(P632*Assumptions!P$5),-2)</f>
        <v>28900</v>
      </c>
      <c r="R632" s="9">
        <f>ROUNDUP(Q632+(Q632*Assumptions!Q$5),-2)</f>
        <v>29700</v>
      </c>
      <c r="S632" s="47">
        <f>ROUNDUP(R632+(R632*Assumptions!R$5),-2)</f>
        <v>30500</v>
      </c>
    </row>
    <row r="633" spans="1:19" x14ac:dyDescent="0.2">
      <c r="A633" s="54">
        <v>1100</v>
      </c>
      <c r="B633" s="9">
        <v>3200</v>
      </c>
      <c r="C633" s="29">
        <v>800</v>
      </c>
      <c r="D633" s="9">
        <v>300</v>
      </c>
      <c r="E633" s="9">
        <v>0</v>
      </c>
      <c r="F633" s="578" t="s">
        <v>2959</v>
      </c>
      <c r="G633" s="634" t="s">
        <v>2960</v>
      </c>
      <c r="H633" s="9">
        <v>1100</v>
      </c>
      <c r="I633" s="85">
        <f t="shared" si="823"/>
        <v>100</v>
      </c>
      <c r="J633" s="9">
        <v>1200</v>
      </c>
      <c r="K633" s="9">
        <f>ROUNDUP(J633+(J633*Assumptions!J$5),-2)</f>
        <v>1300</v>
      </c>
      <c r="L633" s="9">
        <f>ROUNDUP(K633+(K633*Assumptions!K$5),-2)</f>
        <v>1400</v>
      </c>
      <c r="M633" s="9">
        <f>ROUNDUP(L633+(L633*Assumptions!L$5),-2)</f>
        <v>1500</v>
      </c>
      <c r="N633" s="9">
        <f>ROUNDUP(M633+(M633*Assumptions!M$5),-2)</f>
        <v>1600</v>
      </c>
      <c r="O633" s="9">
        <f>ROUNDUP(N633+(N633*Assumptions!N$5),-2)</f>
        <v>1700</v>
      </c>
      <c r="P633" s="9">
        <f>ROUNDUP(O633+(O633*Assumptions!O$5),-2)</f>
        <v>1800</v>
      </c>
      <c r="Q633" s="9">
        <f>ROUNDUP(P633+(P633*Assumptions!P$5),-2)</f>
        <v>1900</v>
      </c>
      <c r="R633" s="9">
        <f>ROUNDUP(Q633+(Q633*Assumptions!Q$5),-2)</f>
        <v>2000</v>
      </c>
      <c r="S633" s="47">
        <f>ROUNDUP(R633+(R633*Assumptions!R$5),-2)</f>
        <v>2100</v>
      </c>
    </row>
    <row r="634" spans="1:19" x14ac:dyDescent="0.2">
      <c r="A634" s="54"/>
      <c r="B634" s="9"/>
      <c r="C634" s="9"/>
      <c r="D634" s="9"/>
      <c r="E634" s="9"/>
      <c r="F634" s="239"/>
      <c r="G634" s="780" t="s">
        <v>7030</v>
      </c>
      <c r="H634" s="9"/>
      <c r="I634" s="85"/>
      <c r="J634" s="9"/>
      <c r="K634" s="9"/>
      <c r="L634" s="9"/>
      <c r="M634" s="9"/>
      <c r="N634" s="9"/>
      <c r="O634" s="9"/>
      <c r="P634" s="9"/>
      <c r="Q634" s="9"/>
      <c r="R634" s="9"/>
      <c r="S634" s="47"/>
    </row>
    <row r="635" spans="1:19" x14ac:dyDescent="0.2">
      <c r="A635" s="54">
        <v>0</v>
      </c>
      <c r="B635" s="9">
        <v>0</v>
      </c>
      <c r="C635" s="9">
        <v>0</v>
      </c>
      <c r="D635" s="9">
        <v>0</v>
      </c>
      <c r="E635" s="9">
        <v>0</v>
      </c>
      <c r="F635" s="578" t="s">
        <v>7032</v>
      </c>
      <c r="G635" s="634" t="s">
        <v>7030</v>
      </c>
      <c r="H635" s="9">
        <v>0</v>
      </c>
      <c r="I635" s="85">
        <f>IF(E635=H635,0,IF(E635=0,100,(H635-E635)/E635*100))</f>
        <v>0</v>
      </c>
      <c r="J635" s="9">
        <v>0</v>
      </c>
      <c r="K635" s="9">
        <f>ROUNDUP(J635+(J635*Assumptions!J$5),-2)</f>
        <v>0</v>
      </c>
      <c r="L635" s="9">
        <f>ROUNDUP(K635+(K635*Assumptions!K$5),-2)</f>
        <v>0</v>
      </c>
      <c r="M635" s="9">
        <f>ROUNDUP(L635+(L635*Assumptions!L$5),-2)</f>
        <v>0</v>
      </c>
      <c r="N635" s="9">
        <f>ROUNDUP(M635+(M635*Assumptions!M$5),-2)</f>
        <v>0</v>
      </c>
      <c r="O635" s="9">
        <f>ROUNDUP(N635+(N635*Assumptions!N$5),-2)</f>
        <v>0</v>
      </c>
      <c r="P635" s="9">
        <f>ROUNDUP(O635+(O635*Assumptions!O$5),-2)</f>
        <v>0</v>
      </c>
      <c r="Q635" s="9">
        <f>ROUNDUP(P635+(P635*Assumptions!P$5),-2)</f>
        <v>0</v>
      </c>
      <c r="R635" s="9">
        <f>ROUNDUP(Q635+(Q635*Assumptions!Q$5),-2)</f>
        <v>0</v>
      </c>
      <c r="S635" s="47">
        <f>ROUNDUP(R635+(R635*Assumptions!R$5),-2)</f>
        <v>0</v>
      </c>
    </row>
    <row r="636" spans="1:19" x14ac:dyDescent="0.2">
      <c r="A636" s="54"/>
      <c r="B636" s="9"/>
      <c r="C636" s="29"/>
      <c r="D636" s="9"/>
      <c r="E636" s="9"/>
      <c r="F636" s="239"/>
      <c r="G636" s="260" t="s">
        <v>1039</v>
      </c>
      <c r="H636" s="9"/>
      <c r="I636" s="85"/>
      <c r="J636" s="9"/>
      <c r="K636" s="9"/>
      <c r="L636" s="9"/>
      <c r="M636" s="9"/>
      <c r="N636" s="9"/>
      <c r="O636" s="9"/>
      <c r="P636" s="9"/>
      <c r="Q636" s="9"/>
      <c r="R636" s="9"/>
      <c r="S636" s="47"/>
    </row>
    <row r="637" spans="1:19" x14ac:dyDescent="0.2">
      <c r="A637" s="54">
        <v>20300</v>
      </c>
      <c r="B637" s="9">
        <v>22100</v>
      </c>
      <c r="C637" s="29">
        <v>22300</v>
      </c>
      <c r="D637" s="9">
        <v>23500</v>
      </c>
      <c r="E637" s="9">
        <v>27600</v>
      </c>
      <c r="F637" s="239" t="s">
        <v>481</v>
      </c>
      <c r="G637" s="257" t="s">
        <v>2128</v>
      </c>
      <c r="H637" s="9">
        <f>25400+5000</f>
        <v>30400</v>
      </c>
      <c r="I637" s="85">
        <f>IF(E637=H637,0,IF(E637=0,100,(H637-E637)/E637*100))</f>
        <v>10.144927536231885</v>
      </c>
      <c r="J637" s="9">
        <v>26000</v>
      </c>
      <c r="K637" s="9">
        <f>ROUNDUP(J637+(J637*Assumptions!J$5),-2)</f>
        <v>26700</v>
      </c>
      <c r="L637" s="9">
        <f>ROUNDUP(K637+(K637*Assumptions!K$5),-2)</f>
        <v>27400</v>
      </c>
      <c r="M637" s="9">
        <f>ROUNDUP(L637+(L637*Assumptions!L$5),-2)</f>
        <v>28100</v>
      </c>
      <c r="N637" s="9">
        <f>ROUNDUP(M637+(M637*Assumptions!M$5),-2)</f>
        <v>28900</v>
      </c>
      <c r="O637" s="9">
        <f>ROUNDUP(N637+(N637*Assumptions!N$5),-2)</f>
        <v>29700</v>
      </c>
      <c r="P637" s="9">
        <f>ROUNDUP(O637+(O637*Assumptions!O$5),-2)</f>
        <v>30500</v>
      </c>
      <c r="Q637" s="9">
        <f>ROUNDUP(P637+(P637*Assumptions!P$5),-2)</f>
        <v>31300</v>
      </c>
      <c r="R637" s="9">
        <f>ROUNDUP(Q637+(Q637*Assumptions!Q$5),-2)</f>
        <v>32100</v>
      </c>
      <c r="S637" s="47">
        <f>ROUNDUP(R637+(R637*Assumptions!R$5),-2)</f>
        <v>33000</v>
      </c>
    </row>
    <row r="638" spans="1:19" x14ac:dyDescent="0.2">
      <c r="A638" s="54">
        <v>0</v>
      </c>
      <c r="B638" s="9">
        <v>0</v>
      </c>
      <c r="C638" s="29">
        <v>0</v>
      </c>
      <c r="D638" s="9">
        <v>0</v>
      </c>
      <c r="E638" s="9">
        <v>700</v>
      </c>
      <c r="F638" s="578" t="s">
        <v>6459</v>
      </c>
      <c r="G638" s="634" t="s">
        <v>6460</v>
      </c>
      <c r="H638" s="9">
        <v>0</v>
      </c>
      <c r="I638" s="85">
        <f>IF(E638=H638,0,IF(E638=0,100,(H638-E638)/E638*100))</f>
        <v>-100</v>
      </c>
      <c r="J638" s="9">
        <v>0</v>
      </c>
      <c r="K638" s="9">
        <v>0</v>
      </c>
      <c r="L638" s="9">
        <v>0</v>
      </c>
      <c r="M638" s="9">
        <v>0</v>
      </c>
      <c r="N638" s="9">
        <v>0</v>
      </c>
      <c r="O638" s="9">
        <v>0</v>
      </c>
      <c r="P638" s="9">
        <v>0</v>
      </c>
      <c r="Q638" s="9">
        <f>ROUNDUP(P638+(P638*Assumptions!P$5),-2)</f>
        <v>0</v>
      </c>
      <c r="R638" s="9">
        <f>ROUNDUP(Q638+(Q638*Assumptions!Q$5),-2)</f>
        <v>0</v>
      </c>
      <c r="S638" s="47">
        <f>ROUNDUP(R638+(R638*Assumptions!R$5),-2)</f>
        <v>0</v>
      </c>
    </row>
    <row r="639" spans="1:19" x14ac:dyDescent="0.2">
      <c r="A639" s="54">
        <v>4400</v>
      </c>
      <c r="B639" s="9">
        <v>24700</v>
      </c>
      <c r="C639" s="29">
        <v>22200</v>
      </c>
      <c r="D639" s="9">
        <v>59900</v>
      </c>
      <c r="E639" s="9">
        <v>54000</v>
      </c>
      <c r="F639" s="239" t="s">
        <v>377</v>
      </c>
      <c r="G639" s="634" t="s">
        <v>6461</v>
      </c>
      <c r="H639" s="9">
        <v>44700</v>
      </c>
      <c r="I639" s="85">
        <f>IF(E639=H639,0,IF(E639=0,100,(H639-E639)/E639*100))</f>
        <v>-17.222222222222221</v>
      </c>
      <c r="J639" s="9">
        <v>46000</v>
      </c>
      <c r="K639" s="9">
        <f>ROUNDUP(J639+(J639*Assumptions!J$5),-2)</f>
        <v>47200</v>
      </c>
      <c r="L639" s="9">
        <f>ROUNDUP(K639+(K639*Assumptions!K$5),-2)</f>
        <v>48400</v>
      </c>
      <c r="M639" s="9">
        <f>ROUNDUP(L639+(L639*Assumptions!L$5),-2)</f>
        <v>49700</v>
      </c>
      <c r="N639" s="9">
        <f>ROUNDUP(M639+(M639*Assumptions!M$5),-2)</f>
        <v>51000</v>
      </c>
      <c r="O639" s="9">
        <f>ROUNDUP(N639+(N639*Assumptions!N$5),-2)</f>
        <v>52300</v>
      </c>
      <c r="P639" s="9">
        <f>ROUNDUP(O639+(O639*Assumptions!O$5),-2)</f>
        <v>53700</v>
      </c>
      <c r="Q639" s="9">
        <f>ROUNDUP(P639+(P639*Assumptions!P$5),-2)</f>
        <v>55100</v>
      </c>
      <c r="R639" s="9">
        <f>ROUNDUP(Q639+(Q639*Assumptions!Q$5),-2)</f>
        <v>56500</v>
      </c>
      <c r="S639" s="47">
        <f>ROUNDUP(R639+(R639*Assumptions!R$5),-2)</f>
        <v>58000</v>
      </c>
    </row>
    <row r="640" spans="1:19" x14ac:dyDescent="0.2">
      <c r="A640" s="54"/>
      <c r="B640" s="9"/>
      <c r="D640" s="9"/>
      <c r="E640" s="9"/>
      <c r="F640" s="239"/>
      <c r="G640" s="260" t="s">
        <v>338</v>
      </c>
      <c r="H640" s="9"/>
      <c r="I640" s="85"/>
      <c r="J640" s="9"/>
      <c r="K640" s="9"/>
      <c r="L640" s="9"/>
      <c r="M640" s="9"/>
      <c r="N640" s="9"/>
      <c r="O640" s="9"/>
      <c r="P640" s="9"/>
      <c r="Q640" s="9"/>
      <c r="R640" s="9"/>
      <c r="S640" s="47"/>
    </row>
    <row r="641" spans="1:23" x14ac:dyDescent="0.2">
      <c r="A641" s="54">
        <v>89200</v>
      </c>
      <c r="B641" s="9">
        <v>94000</v>
      </c>
      <c r="C641" s="46">
        <v>97300</v>
      </c>
      <c r="D641" s="9">
        <v>99300</v>
      </c>
      <c r="E641" s="9">
        <v>101600</v>
      </c>
      <c r="F641" s="239" t="s">
        <v>1925</v>
      </c>
      <c r="G641" s="257" t="s">
        <v>2134</v>
      </c>
      <c r="H641" s="9">
        <v>103600</v>
      </c>
      <c r="I641" s="85">
        <f>IF(E641=H641,0,IF(E641=0,100,(H641-E641)/E641*100))</f>
        <v>1.9685039370078741</v>
      </c>
      <c r="J641" s="9">
        <v>106000</v>
      </c>
      <c r="K641" s="9">
        <f>ROUNDUP(J641+(J641*Assumptions!J$5),-2)</f>
        <v>108700</v>
      </c>
      <c r="L641" s="9">
        <f>ROUNDUP(K641+(K641*Assumptions!K$5),-2)</f>
        <v>111500</v>
      </c>
      <c r="M641" s="9">
        <f>ROUNDUP(L641+(L641*Assumptions!L$5),-2)</f>
        <v>114300</v>
      </c>
      <c r="N641" s="9">
        <f>ROUNDUP(M641+(M641*Assumptions!M$5),-2)</f>
        <v>117200</v>
      </c>
      <c r="O641" s="9">
        <f>ROUNDUP(N641+(N641*Assumptions!N$5),-2)</f>
        <v>120200</v>
      </c>
      <c r="P641" s="9">
        <f>ROUNDUP(O641+(O641*Assumptions!O$5),-2)</f>
        <v>123300</v>
      </c>
      <c r="Q641" s="9">
        <f>ROUNDUP(P641+(P641*Assumptions!P$5),-2)</f>
        <v>126400</v>
      </c>
      <c r="R641" s="9">
        <f>ROUNDUP(Q641+(Q641*Assumptions!Q$5),-2)</f>
        <v>129600</v>
      </c>
      <c r="S641" s="47">
        <f>ROUNDUP(R641+(R641*Assumptions!R$5),-2)</f>
        <v>132900</v>
      </c>
    </row>
    <row r="642" spans="1:23" x14ac:dyDescent="0.2">
      <c r="A642" s="54">
        <v>0</v>
      </c>
      <c r="B642" s="9">
        <v>23300</v>
      </c>
      <c r="C642" s="46">
        <v>0</v>
      </c>
      <c r="D642" s="9">
        <v>0</v>
      </c>
      <c r="E642" s="9">
        <v>0</v>
      </c>
      <c r="F642" s="239" t="s">
        <v>1926</v>
      </c>
      <c r="G642" s="634" t="s">
        <v>4539</v>
      </c>
      <c r="H642" s="9">
        <v>8900</v>
      </c>
      <c r="I642" s="85">
        <f>IF(E642=H642,0,IF(E642=0,100,(H642-E642)/E642*100))</f>
        <v>100</v>
      </c>
      <c r="J642" s="9">
        <v>9200</v>
      </c>
      <c r="K642" s="9">
        <f>ROUNDUP(J642+(J642*Assumptions!J$5),-2)</f>
        <v>9500</v>
      </c>
      <c r="L642" s="9">
        <f>ROUNDUP(K642+(K642*Assumptions!K$5),-2)</f>
        <v>9800</v>
      </c>
      <c r="M642" s="9">
        <f>ROUNDUP(L642+(L642*Assumptions!L$5),-2)</f>
        <v>10100</v>
      </c>
      <c r="N642" s="9">
        <f>ROUNDUP(M642+(M642*Assumptions!M$5),-2)</f>
        <v>10400</v>
      </c>
      <c r="O642" s="9">
        <f>ROUNDUP(N642+(N642*Assumptions!N$5),-2)</f>
        <v>10700</v>
      </c>
      <c r="P642" s="9">
        <f>ROUNDUP(O642+(O642*Assumptions!O$5),-2)</f>
        <v>11000</v>
      </c>
      <c r="Q642" s="9">
        <f>ROUNDUP(P642+(P642*Assumptions!P$5),-2)</f>
        <v>11300</v>
      </c>
      <c r="R642" s="9">
        <f>ROUNDUP(Q642+(Q642*Assumptions!Q$5),-2)</f>
        <v>11600</v>
      </c>
      <c r="S642" s="47">
        <f>ROUNDUP(R642+(R642*Assumptions!R$5),-2)</f>
        <v>11900</v>
      </c>
    </row>
    <row r="643" spans="1:23" x14ac:dyDescent="0.2">
      <c r="A643" s="54"/>
      <c r="B643" s="9"/>
      <c r="D643" s="9"/>
      <c r="E643" s="9"/>
      <c r="F643" s="239"/>
      <c r="G643" s="260" t="s">
        <v>464</v>
      </c>
      <c r="H643" s="9"/>
      <c r="I643" s="85"/>
      <c r="J643" s="9"/>
      <c r="K643" s="9"/>
      <c r="L643" s="9"/>
      <c r="M643" s="9"/>
      <c r="N643" s="9"/>
      <c r="O643" s="9"/>
      <c r="P643" s="9"/>
      <c r="Q643" s="9"/>
      <c r="R643" s="9"/>
      <c r="S643" s="61"/>
    </row>
    <row r="644" spans="1:23" x14ac:dyDescent="0.2">
      <c r="A644" s="54">
        <v>23300</v>
      </c>
      <c r="B644" s="9">
        <v>22200</v>
      </c>
      <c r="C644" s="46">
        <v>30500</v>
      </c>
      <c r="D644" s="9">
        <v>21000</v>
      </c>
      <c r="E644" s="9">
        <v>24500</v>
      </c>
      <c r="F644" s="239" t="s">
        <v>1927</v>
      </c>
      <c r="G644" s="634" t="s">
        <v>3026</v>
      </c>
      <c r="H644" s="9">
        <v>25400</v>
      </c>
      <c r="I644" s="85">
        <f>IF(E644=H644,0,IF(E644=0,100,(H644-E644)/E644*100))</f>
        <v>3.6734693877551026</v>
      </c>
      <c r="J644" s="9">
        <v>26000</v>
      </c>
      <c r="K644" s="9">
        <f>ROUNDUP(J644+(J644*Assumptions!J$5),-2)</f>
        <v>26700</v>
      </c>
      <c r="L644" s="9">
        <f>ROUNDUP(K644+(K644*Assumptions!K$5),-2)</f>
        <v>27400</v>
      </c>
      <c r="M644" s="9">
        <f>ROUNDUP(L644+(L644*Assumptions!L$5),-2)</f>
        <v>28100</v>
      </c>
      <c r="N644" s="9">
        <f>ROUNDUP(M644+(M644*Assumptions!M$5),-2)</f>
        <v>28900</v>
      </c>
      <c r="O644" s="9">
        <f>ROUNDUP(N644+(N644*Assumptions!N$5),-2)</f>
        <v>29700</v>
      </c>
      <c r="P644" s="9">
        <f>ROUNDUP(O644+(O644*Assumptions!O$5),-2)</f>
        <v>30500</v>
      </c>
      <c r="Q644" s="9">
        <f>ROUNDUP(P644+(P644*Assumptions!P$5),-2)</f>
        <v>31300</v>
      </c>
      <c r="R644" s="9">
        <f>ROUNDUP(Q644+(Q644*Assumptions!Q$5),-2)</f>
        <v>32100</v>
      </c>
      <c r="S644" s="47">
        <f>ROUNDUP(R644+(R644*Assumptions!R$5),-2)</f>
        <v>33000</v>
      </c>
    </row>
    <row r="645" spans="1:23" x14ac:dyDescent="0.2">
      <c r="A645" s="54"/>
      <c r="B645" s="9"/>
      <c r="C645" s="144"/>
      <c r="D645" s="9"/>
      <c r="E645" s="134"/>
      <c r="F645" s="239"/>
      <c r="G645" s="260" t="s">
        <v>1743</v>
      </c>
      <c r="H645" s="9"/>
      <c r="I645" s="85"/>
      <c r="J645" s="9"/>
      <c r="K645" s="9"/>
      <c r="L645" s="9"/>
      <c r="M645" s="9"/>
      <c r="N645" s="9"/>
      <c r="O645" s="9"/>
      <c r="P645" s="9"/>
      <c r="Q645" s="9"/>
      <c r="R645" s="9"/>
      <c r="S645" s="47"/>
    </row>
    <row r="646" spans="1:23" x14ac:dyDescent="0.2">
      <c r="A646" s="54">
        <v>-4487000</v>
      </c>
      <c r="B646" s="9">
        <v>-4920000</v>
      </c>
      <c r="C646" s="29">
        <v>-5057000</v>
      </c>
      <c r="D646" s="9">
        <v>-5402000</v>
      </c>
      <c r="E646" s="9">
        <v>-5584000</v>
      </c>
      <c r="F646" s="239" t="s">
        <v>1928</v>
      </c>
      <c r="G646" s="257" t="s">
        <v>1648</v>
      </c>
      <c r="H646" s="9">
        <f>-(H933+H934+H935+H936+H989+H1102+CIV!H1632+CIV!H1749+CIV!H1842+CIV!H2008+'W&amp;W'!H222+'W&amp;W'!H408+NEWLOG!H35)</f>
        <v>-5769000</v>
      </c>
      <c r="I646" s="85">
        <f>IF(E646=H646,0,IF(E646=0,100,(H646-E646)/E646*100))</f>
        <v>3.3130372492836679</v>
      </c>
      <c r="J646" s="9">
        <f>-(J933+J934+J935+J936+J989+J1102+CIV!J1632+CIV!J1749+CIV!J1842+CIV!J2008+'W&amp;W'!J222+'W&amp;W'!J408+NEWLOG!J35)</f>
        <v>-5901700</v>
      </c>
      <c r="K646" s="9">
        <f>-(K933+K934+K935+K936+K989+K1102+CIV!K1632+CIV!K1749+CIV!K1842+CIV!K2008+'W&amp;W'!K222+'W&amp;W'!K408+NEWLOG!K35)</f>
        <v>-6050100</v>
      </c>
      <c r="L646" s="9">
        <f>-(L933+L934+L935+L936+L989+L1102+CIV!L1632+CIV!L1749+CIV!L1842+CIV!L2008+'W&amp;W'!L222+'W&amp;W'!L408+NEWLOG!L35)</f>
        <v>-6201500</v>
      </c>
      <c r="M646" s="9">
        <f>-(M933+M934+M935+M936+M989+M1102+CIV!M1632+CIV!M1749+CIV!M1842+CIV!M2008+'W&amp;W'!M222+'W&amp;W'!M408+NEWLOG!M35)</f>
        <v>-6356800</v>
      </c>
      <c r="N646" s="9">
        <f>-(N933+N934+N935+N936+N989+N1102+CIV!N1632+CIV!N1749+CIV!N1842+CIV!N2008+'W&amp;W'!N222+'W&amp;W'!N408+NEWLOG!N35)</f>
        <v>-6466200</v>
      </c>
      <c r="O646" s="9">
        <f>-(O933+O934+O935+O936+O989+O1102+CIV!O1632+CIV!O1749+CIV!O1842+CIV!O2008+'W&amp;W'!O222+'W&amp;W'!O408+NEWLOG!O35)</f>
        <v>-6627600</v>
      </c>
      <c r="P646" s="9">
        <f>-(P933+P934+P935+P936+P989+P1102+CIV!P1632+CIV!P1749+CIV!P1842+CIV!P2008+'W&amp;W'!P222+'W&amp;W'!P408+NEWLOG!P35)</f>
        <v>-6793100</v>
      </c>
      <c r="Q646" s="9">
        <f>-(Q933+Q934+Q935+Q936+Q989+Q1102+CIV!Q1632+CIV!Q1749+CIV!Q1842+CIV!Q2008+'W&amp;W'!Q222+'W&amp;W'!Q408+NEWLOG!Q35)</f>
        <v>-6962800</v>
      </c>
      <c r="R646" s="9">
        <f>-(R933+R934+R935+R936+R989+R1102+CIV!R1632+CIV!R1749+CIV!R1842+CIV!R2008+'W&amp;W'!R222+'W&amp;W'!R408+NEWLOG!R35)</f>
        <v>-7136900</v>
      </c>
      <c r="S646" s="47">
        <f>-(S933+S934+S935+S936+S989+S1102+CIV!S1632+CIV!S1749+CIV!S1842+CIV!S2008+'W&amp;W'!S222+'W&amp;W'!S408+NEWLOG!S35)</f>
        <v>-7315600</v>
      </c>
    </row>
    <row r="647" spans="1:23" ht="13.5" thickBot="1" x14ac:dyDescent="0.25">
      <c r="A647" s="24"/>
      <c r="B647" s="21"/>
      <c r="C647" s="32"/>
      <c r="D647" s="21"/>
      <c r="E647" s="9"/>
      <c r="F647" s="175"/>
      <c r="G647" s="21"/>
      <c r="H647" s="9"/>
      <c r="I647" s="85"/>
      <c r="J647" s="9"/>
      <c r="K647" s="9"/>
      <c r="L647" s="9"/>
      <c r="M647" s="9"/>
      <c r="N647" s="9"/>
      <c r="O647" s="9"/>
      <c r="P647" s="9"/>
      <c r="Q647" s="9"/>
      <c r="R647" s="9"/>
      <c r="S647" s="47"/>
    </row>
    <row r="648" spans="1:23" s="39" customFormat="1" x14ac:dyDescent="0.2">
      <c r="A648" s="52">
        <f>SUM(A620:A647)</f>
        <v>-3187500</v>
      </c>
      <c r="B648" s="16">
        <f>SUM(B620:B647)</f>
        <v>-3745700</v>
      </c>
      <c r="C648" s="323">
        <f>SUM(C620:C647)</f>
        <v>-3774600</v>
      </c>
      <c r="D648" s="16">
        <f>SUM(D620:D647)</f>
        <v>-4086900</v>
      </c>
      <c r="E648" s="16">
        <f>SUM(E620:E647)</f>
        <v>-4256800</v>
      </c>
      <c r="F648" s="1446"/>
      <c r="G648" s="267" t="s">
        <v>556</v>
      </c>
      <c r="H648" s="16">
        <f>SUM(H620:H647)</f>
        <v>-4396700</v>
      </c>
      <c r="I648" s="1425">
        <f>IF(E648=H648,0,IF(E648=0,100,(H648-E648)/E648*100))</f>
        <v>3.2865062958090587</v>
      </c>
      <c r="J648" s="16">
        <f t="shared" ref="J648:S648" si="824">SUM(J620:J647)</f>
        <v>-4500100</v>
      </c>
      <c r="K648" s="16">
        <f t="shared" si="824"/>
        <v>-4615000</v>
      </c>
      <c r="L648" s="16">
        <f t="shared" si="824"/>
        <v>-4732000</v>
      </c>
      <c r="M648" s="16">
        <f t="shared" si="824"/>
        <v>-4852200</v>
      </c>
      <c r="N648" s="16">
        <f t="shared" si="824"/>
        <v>-4925600</v>
      </c>
      <c r="O648" s="16">
        <f t="shared" si="824"/>
        <v>-5050300</v>
      </c>
      <c r="P648" s="16">
        <f t="shared" si="824"/>
        <v>-5178100</v>
      </c>
      <c r="Q648" s="16">
        <f t="shared" si="824"/>
        <v>-5309300</v>
      </c>
      <c r="R648" s="16">
        <f t="shared" si="824"/>
        <v>-5444100</v>
      </c>
      <c r="S648" s="2342">
        <f t="shared" si="824"/>
        <v>-5582400</v>
      </c>
      <c r="U648" s="34"/>
      <c r="W648" s="34"/>
    </row>
    <row r="649" spans="1:23" x14ac:dyDescent="0.2">
      <c r="A649" s="54"/>
      <c r="B649" s="9"/>
      <c r="C649" s="9"/>
      <c r="D649" s="89"/>
      <c r="E649" s="9"/>
      <c r="F649" s="177"/>
      <c r="G649" s="257"/>
      <c r="H649" s="21"/>
      <c r="I649" s="85"/>
      <c r="J649" s="9"/>
      <c r="K649" s="9"/>
      <c r="L649" s="9"/>
      <c r="M649" s="9"/>
      <c r="N649" s="9"/>
      <c r="O649" s="9"/>
      <c r="P649" s="9"/>
      <c r="Q649" s="9"/>
      <c r="R649" s="9"/>
      <c r="S649" s="47"/>
    </row>
    <row r="650" spans="1:23" s="39" customFormat="1" x14ac:dyDescent="0.2">
      <c r="A650" s="24">
        <f>A618-A648</f>
        <v>3342700</v>
      </c>
      <c r="B650" s="21">
        <f>B618-B648</f>
        <v>3937400</v>
      </c>
      <c r="C650" s="21">
        <f>C618-C648</f>
        <v>3978500</v>
      </c>
      <c r="D650" s="75">
        <f>D618-D648</f>
        <v>4360900</v>
      </c>
      <c r="E650" s="21">
        <f>E618-E648</f>
        <v>4517000</v>
      </c>
      <c r="F650" s="188"/>
      <c r="G650" s="361" t="s">
        <v>1002</v>
      </c>
      <c r="H650" s="21">
        <f>H618-H648</f>
        <v>4632500</v>
      </c>
      <c r="I650" s="126">
        <f>IF(E650=H650,0,IF(E650=0,100,(H650-E650)/E650*100))</f>
        <v>2.557006862962143</v>
      </c>
      <c r="J650" s="21">
        <f t="shared" ref="J650:S650" si="825">J618-J648</f>
        <v>4730600</v>
      </c>
      <c r="K650" s="21">
        <f t="shared" si="825"/>
        <v>4850600</v>
      </c>
      <c r="L650" s="21">
        <f t="shared" si="825"/>
        <v>4973000</v>
      </c>
      <c r="M650" s="21">
        <f t="shared" si="825"/>
        <v>5098600</v>
      </c>
      <c r="N650" s="21">
        <f t="shared" si="825"/>
        <v>5177600</v>
      </c>
      <c r="O650" s="21">
        <f t="shared" si="825"/>
        <v>5307900</v>
      </c>
      <c r="P650" s="21">
        <f t="shared" si="825"/>
        <v>5441500</v>
      </c>
      <c r="Q650" s="21">
        <f t="shared" si="825"/>
        <v>5578700</v>
      </c>
      <c r="R650" s="21">
        <f t="shared" si="825"/>
        <v>5719600</v>
      </c>
      <c r="S650" s="86">
        <f t="shared" si="825"/>
        <v>5864200</v>
      </c>
      <c r="U650" s="34"/>
      <c r="W650" s="34"/>
    </row>
    <row r="651" spans="1:23" x14ac:dyDescent="0.2">
      <c r="A651" s="54"/>
      <c r="B651" s="9"/>
      <c r="C651" s="9"/>
      <c r="D651" s="89"/>
      <c r="E651" s="9"/>
      <c r="F651" s="177"/>
      <c r="G651" s="261"/>
      <c r="H651" s="9"/>
      <c r="I651" s="85"/>
      <c r="J651" s="9"/>
      <c r="K651" s="9"/>
      <c r="L651" s="9"/>
      <c r="M651" s="9"/>
      <c r="N651" s="9"/>
      <c r="O651" s="9"/>
      <c r="P651" s="9"/>
      <c r="Q651" s="9"/>
      <c r="R651" s="9"/>
      <c r="S651" s="47"/>
    </row>
    <row r="652" spans="1:23" s="39" customFormat="1" x14ac:dyDescent="0.2">
      <c r="A652" s="128">
        <f>A650+A651</f>
        <v>3342700</v>
      </c>
      <c r="B652" s="280">
        <f>B650+B651</f>
        <v>3937400</v>
      </c>
      <c r="C652" s="280">
        <f>C650+C651</f>
        <v>3978500</v>
      </c>
      <c r="D652" s="266">
        <f>D650+D651</f>
        <v>4360900</v>
      </c>
      <c r="E652" s="280">
        <f t="shared" ref="E652" si="826">E650+E651</f>
        <v>4517000</v>
      </c>
      <c r="F652" s="359"/>
      <c r="G652" s="363" t="s">
        <v>1659</v>
      </c>
      <c r="H652" s="280">
        <f t="shared" ref="H652:O652" si="827">H650+H651</f>
        <v>4632500</v>
      </c>
      <c r="I652" s="278">
        <f>IF(E652=H652,0,IF(E652=0,100,(H652-E652)/E652*100))</f>
        <v>2.557006862962143</v>
      </c>
      <c r="J652" s="280">
        <f t="shared" si="827"/>
        <v>4730600</v>
      </c>
      <c r="K652" s="280">
        <f t="shared" si="827"/>
        <v>4850600</v>
      </c>
      <c r="L652" s="280">
        <f t="shared" si="827"/>
        <v>4973000</v>
      </c>
      <c r="M652" s="280">
        <f t="shared" si="827"/>
        <v>5098600</v>
      </c>
      <c r="N652" s="280">
        <f t="shared" si="827"/>
        <v>5177600</v>
      </c>
      <c r="O652" s="280">
        <f t="shared" si="827"/>
        <v>5307900</v>
      </c>
      <c r="P652" s="280">
        <f t="shared" ref="P652:Q652" si="828">P650+P651</f>
        <v>5441500</v>
      </c>
      <c r="Q652" s="280">
        <f t="shared" si="828"/>
        <v>5578700</v>
      </c>
      <c r="R652" s="280">
        <f t="shared" ref="R652" si="829">R650+R651</f>
        <v>5719600</v>
      </c>
      <c r="S652" s="2343">
        <f t="shared" ref="S652" si="830">S650+S651</f>
        <v>5864200</v>
      </c>
      <c r="U652" s="34"/>
      <c r="W652" s="34"/>
    </row>
    <row r="653" spans="1:23" ht="13.5" thickBot="1" x14ac:dyDescent="0.25">
      <c r="A653" s="26"/>
      <c r="B653" s="37"/>
      <c r="C653" s="37"/>
      <c r="D653" s="37"/>
      <c r="E653" s="23"/>
      <c r="F653" s="191"/>
      <c r="G653" s="88"/>
      <c r="H653" s="68"/>
      <c r="I653" s="275"/>
      <c r="J653" s="68"/>
      <c r="K653" s="68"/>
      <c r="L653" s="68"/>
      <c r="M653" s="68"/>
      <c r="N653" s="68"/>
      <c r="O653" s="68"/>
      <c r="P653" s="68"/>
      <c r="Q653" s="68"/>
      <c r="R653" s="68"/>
      <c r="S653" s="108"/>
    </row>
    <row r="654" spans="1:23" ht="13.5" thickTop="1" x14ac:dyDescent="0.2">
      <c r="A654" s="270"/>
      <c r="B654" s="69"/>
      <c r="C654" s="109"/>
      <c r="D654" s="109"/>
      <c r="E654" s="74"/>
      <c r="F654" s="192"/>
      <c r="G654" s="258"/>
      <c r="H654" s="74"/>
      <c r="I654" s="276"/>
      <c r="J654" s="74"/>
      <c r="K654" s="74"/>
      <c r="L654" s="74"/>
      <c r="M654" s="74"/>
      <c r="N654" s="74"/>
      <c r="O654" s="74"/>
      <c r="P654" s="74"/>
      <c r="Q654" s="74"/>
      <c r="R654" s="74"/>
      <c r="S654" s="110"/>
    </row>
    <row r="655" spans="1:23" x14ac:dyDescent="0.2">
      <c r="A655" s="24"/>
      <c r="B655" s="75"/>
      <c r="C655" s="21"/>
      <c r="D655" s="21"/>
      <c r="E655" s="9"/>
      <c r="F655" s="189"/>
      <c r="G655" s="361" t="s">
        <v>192</v>
      </c>
      <c r="H655" s="9"/>
      <c r="I655" s="1182"/>
      <c r="J655" s="9"/>
      <c r="K655" s="9"/>
      <c r="L655" s="9"/>
      <c r="M655" s="9"/>
      <c r="N655" s="9"/>
      <c r="O655" s="9"/>
      <c r="P655" s="9"/>
      <c r="Q655" s="9"/>
      <c r="R655" s="9"/>
      <c r="S655" s="61"/>
    </row>
    <row r="656" spans="1:23" x14ac:dyDescent="0.2">
      <c r="A656" s="54">
        <v>0</v>
      </c>
      <c r="B656" s="89">
        <v>0</v>
      </c>
      <c r="C656" s="9">
        <v>0</v>
      </c>
      <c r="D656" s="9">
        <v>0</v>
      </c>
      <c r="E656" s="9">
        <v>0</v>
      </c>
      <c r="F656" s="165"/>
      <c r="G656" s="257" t="s">
        <v>2848</v>
      </c>
      <c r="H656" s="9"/>
      <c r="I656" s="1157"/>
      <c r="J656" s="9"/>
      <c r="K656" s="9"/>
      <c r="L656" s="9"/>
      <c r="M656" s="9"/>
      <c r="N656" s="9"/>
      <c r="O656" s="9"/>
      <c r="P656" s="9"/>
      <c r="Q656" s="9"/>
      <c r="R656" s="9"/>
      <c r="S656" s="61"/>
    </row>
    <row r="657" spans="1:23" x14ac:dyDescent="0.2">
      <c r="A657" s="54">
        <v>8000</v>
      </c>
      <c r="B657" s="89">
        <v>0</v>
      </c>
      <c r="C657" s="89">
        <v>0</v>
      </c>
      <c r="D657" s="89">
        <f>'Res-Gen'!B49</f>
        <v>103500</v>
      </c>
      <c r="E657" s="9">
        <v>0</v>
      </c>
      <c r="F657" s="165"/>
      <c r="G657" s="257" t="s">
        <v>1909</v>
      </c>
      <c r="H657" s="9">
        <v>0</v>
      </c>
      <c r="I657" s="1157"/>
      <c r="J657" s="9">
        <v>0</v>
      </c>
      <c r="K657" s="9">
        <v>0</v>
      </c>
      <c r="L657" s="9">
        <v>0</v>
      </c>
      <c r="M657" s="9">
        <v>0</v>
      </c>
      <c r="N657" s="9">
        <v>0</v>
      </c>
      <c r="O657" s="9">
        <v>0</v>
      </c>
      <c r="P657" s="9">
        <v>0</v>
      </c>
      <c r="Q657" s="9">
        <v>0</v>
      </c>
      <c r="R657" s="9">
        <v>0</v>
      </c>
      <c r="S657" s="61">
        <v>0</v>
      </c>
    </row>
    <row r="658" spans="1:23" x14ac:dyDescent="0.2">
      <c r="A658" s="54">
        <v>7000</v>
      </c>
      <c r="B658" s="89">
        <v>0</v>
      </c>
      <c r="C658" s="89">
        <v>0</v>
      </c>
      <c r="D658" s="9">
        <v>0</v>
      </c>
      <c r="E658" s="9">
        <v>0</v>
      </c>
      <c r="F658" s="165"/>
      <c r="G658" s="257" t="s">
        <v>2309</v>
      </c>
      <c r="H658" s="9">
        <v>0</v>
      </c>
      <c r="I658" s="1157"/>
      <c r="J658" s="9">
        <v>0</v>
      </c>
      <c r="K658" s="9">
        <v>0</v>
      </c>
      <c r="L658" s="9">
        <v>0</v>
      </c>
      <c r="M658" s="9">
        <v>0</v>
      </c>
      <c r="N658" s="9">
        <v>0</v>
      </c>
      <c r="O658" s="9">
        <v>0</v>
      </c>
      <c r="P658" s="9">
        <v>0</v>
      </c>
      <c r="Q658" s="9">
        <v>0</v>
      </c>
      <c r="R658" s="9">
        <v>0</v>
      </c>
      <c r="S658" s="61">
        <v>0</v>
      </c>
    </row>
    <row r="659" spans="1:23" x14ac:dyDescent="0.2">
      <c r="A659" s="54">
        <v>0</v>
      </c>
      <c r="B659" s="89">
        <v>0</v>
      </c>
      <c r="C659" s="9">
        <v>0</v>
      </c>
      <c r="D659" s="9">
        <v>0</v>
      </c>
      <c r="E659" s="9">
        <v>0</v>
      </c>
      <c r="F659" s="165"/>
      <c r="G659" s="257" t="s">
        <v>5847</v>
      </c>
      <c r="H659" s="9">
        <v>0</v>
      </c>
      <c r="I659" s="1157"/>
      <c r="J659" s="9">
        <v>0</v>
      </c>
      <c r="K659" s="9">
        <v>0</v>
      </c>
      <c r="L659" s="9">
        <v>0</v>
      </c>
      <c r="M659" s="9">
        <v>0</v>
      </c>
      <c r="N659" s="9">
        <v>0</v>
      </c>
      <c r="O659" s="9">
        <v>0</v>
      </c>
      <c r="P659" s="9">
        <v>0</v>
      </c>
      <c r="Q659" s="9">
        <v>0</v>
      </c>
      <c r="R659" s="9">
        <v>0</v>
      </c>
      <c r="S659" s="61">
        <v>0</v>
      </c>
    </row>
    <row r="660" spans="1:23" x14ac:dyDescent="0.2">
      <c r="A660" s="54">
        <v>0</v>
      </c>
      <c r="B660" s="89">
        <v>0</v>
      </c>
      <c r="C660" s="9">
        <v>0</v>
      </c>
      <c r="D660" s="9">
        <v>0</v>
      </c>
      <c r="E660" s="9">
        <v>0</v>
      </c>
      <c r="F660" s="165"/>
      <c r="G660" s="257" t="s">
        <v>958</v>
      </c>
      <c r="H660" s="9">
        <v>0</v>
      </c>
      <c r="I660" s="1157"/>
      <c r="J660" s="9">
        <v>0</v>
      </c>
      <c r="K660" s="9">
        <v>0</v>
      </c>
      <c r="L660" s="9">
        <v>0</v>
      </c>
      <c r="M660" s="9">
        <v>0</v>
      </c>
      <c r="N660" s="9">
        <v>0</v>
      </c>
      <c r="O660" s="9">
        <v>0</v>
      </c>
      <c r="P660" s="9">
        <v>0</v>
      </c>
      <c r="Q660" s="9">
        <v>0</v>
      </c>
      <c r="R660" s="9">
        <v>0</v>
      </c>
      <c r="S660" s="61">
        <v>0</v>
      </c>
    </row>
    <row r="661" spans="1:23" s="39" customFormat="1" x14ac:dyDescent="0.2">
      <c r="A661" s="128">
        <f>A652-A656-A657+A658++A659-A660</f>
        <v>3341700</v>
      </c>
      <c r="B661" s="266">
        <f>B652-B656-B657+B658++B659-B660</f>
        <v>3937400</v>
      </c>
      <c r="C661" s="280">
        <f>C652-C656-C657+C658++C659-C660</f>
        <v>3978500</v>
      </c>
      <c r="D661" s="280">
        <f>D652-D656-D657+D658++D659-D660</f>
        <v>4257400</v>
      </c>
      <c r="E661" s="280">
        <f t="shared" ref="E661" si="831">E652-E656-E657+E658++E659-E660</f>
        <v>4517000</v>
      </c>
      <c r="F661" s="362"/>
      <c r="G661" s="363" t="s">
        <v>2447</v>
      </c>
      <c r="H661" s="280">
        <f t="shared" ref="H661:P661" si="832">H652-H656-H657+H658++H659-H660</f>
        <v>4632500</v>
      </c>
      <c r="I661" s="278">
        <f>IF(E661=H661,0,IF(E661=0,100,(H661-E661)/E661*100))</f>
        <v>2.557006862962143</v>
      </c>
      <c r="J661" s="280">
        <f t="shared" si="832"/>
        <v>4730600</v>
      </c>
      <c r="K661" s="280">
        <f t="shared" si="832"/>
        <v>4850600</v>
      </c>
      <c r="L661" s="280">
        <f t="shared" si="832"/>
        <v>4973000</v>
      </c>
      <c r="M661" s="280">
        <f t="shared" si="832"/>
        <v>5098600</v>
      </c>
      <c r="N661" s="280">
        <f t="shared" si="832"/>
        <v>5177600</v>
      </c>
      <c r="O661" s="280">
        <f t="shared" si="832"/>
        <v>5307900</v>
      </c>
      <c r="P661" s="280">
        <f t="shared" si="832"/>
        <v>5441500</v>
      </c>
      <c r="Q661" s="280">
        <f t="shared" ref="Q661" si="833">Q652-Q656-Q657+Q658++Q659-Q660</f>
        <v>5578700</v>
      </c>
      <c r="R661" s="280">
        <f t="shared" ref="R661:S661" si="834">R652-R656-R657+R658++R659-R660</f>
        <v>5719600</v>
      </c>
      <c r="S661" s="282">
        <f t="shared" si="834"/>
        <v>5864200</v>
      </c>
      <c r="U661" s="34"/>
      <c r="W661" s="34"/>
    </row>
    <row r="662" spans="1:23" ht="13.5" thickBot="1" x14ac:dyDescent="0.25">
      <c r="A662" s="26"/>
      <c r="B662" s="81"/>
      <c r="C662" s="37"/>
      <c r="D662" s="37"/>
      <c r="E662" s="23"/>
      <c r="F662" s="190"/>
      <c r="G662" s="259"/>
      <c r="H662" s="23"/>
      <c r="I662" s="277"/>
      <c r="J662" s="23"/>
      <c r="K662" s="23"/>
      <c r="L662" s="23"/>
      <c r="M662" s="23"/>
      <c r="N662" s="23"/>
      <c r="O662" s="23"/>
      <c r="P662" s="23"/>
      <c r="Q662" s="23"/>
      <c r="R662" s="23"/>
      <c r="S662" s="112"/>
    </row>
    <row r="663" spans="1:23" ht="14.25" thickTop="1" thickBot="1" x14ac:dyDescent="0.25">
      <c r="A663" s="46"/>
      <c r="B663" s="46"/>
      <c r="F663" s="189"/>
      <c r="G663" s="55"/>
      <c r="I663" s="70"/>
    </row>
    <row r="664" spans="1:23" s="38" customFormat="1" ht="18.75" customHeight="1" thickTop="1" thickBot="1" x14ac:dyDescent="0.3">
      <c r="A664" s="2588" t="str">
        <f>A215</f>
        <v>INFORMATION SERVICES</v>
      </c>
      <c r="B664" s="2589"/>
      <c r="C664" s="2589"/>
      <c r="D664" s="2589"/>
      <c r="E664" s="2589"/>
      <c r="F664" s="2589"/>
      <c r="G664" s="2589"/>
      <c r="H664" s="2589"/>
      <c r="I664" s="2589"/>
      <c r="J664" s="2589"/>
      <c r="K664" s="2589"/>
      <c r="L664" s="2589"/>
      <c r="M664" s="2589"/>
      <c r="N664" s="2589"/>
      <c r="O664" s="2589"/>
      <c r="P664" s="2589"/>
      <c r="Q664" s="2589"/>
      <c r="R664" s="2589"/>
      <c r="S664" s="2590"/>
      <c r="U664" s="34"/>
      <c r="W664" s="34"/>
    </row>
    <row r="665" spans="1:23" s="39" customFormat="1" x14ac:dyDescent="0.2">
      <c r="A665" s="2620" t="s">
        <v>1824</v>
      </c>
      <c r="B665" s="2621"/>
      <c r="C665" s="2621"/>
      <c r="D665" s="2621"/>
      <c r="E665" s="2622"/>
      <c r="F665" s="150" t="s">
        <v>2616</v>
      </c>
      <c r="G665" s="126" t="s">
        <v>2213</v>
      </c>
      <c r="H665" s="2617" t="s">
        <v>2215</v>
      </c>
      <c r="I665" s="2618"/>
      <c r="J665" s="2618"/>
      <c r="K665" s="2618"/>
      <c r="L665" s="2618"/>
      <c r="M665" s="2618"/>
      <c r="N665" s="2618"/>
      <c r="O665" s="2618"/>
      <c r="P665" s="2618"/>
      <c r="Q665" s="2618"/>
      <c r="R665" s="2618"/>
      <c r="S665" s="2619"/>
      <c r="U665" s="34"/>
      <c r="W665" s="34"/>
    </row>
    <row r="666" spans="1:23" ht="12.75" customHeight="1" thickBot="1" x14ac:dyDescent="0.25">
      <c r="A666" s="541" t="str">
        <f>A3</f>
        <v>2012/13</v>
      </c>
      <c r="B666" s="28" t="str">
        <f>B3</f>
        <v>2013/14</v>
      </c>
      <c r="C666" s="40" t="str">
        <f>C3</f>
        <v>2014/15</v>
      </c>
      <c r="D666" s="40" t="str">
        <f>D3</f>
        <v>2015/16</v>
      </c>
      <c r="E666" s="40" t="str">
        <f>E3</f>
        <v>2016/17</v>
      </c>
      <c r="F666" s="44" t="s">
        <v>2617</v>
      </c>
      <c r="G666" s="41"/>
      <c r="H666" s="40" t="str">
        <f t="shared" ref="H666:S666" si="835">H3</f>
        <v>2017/18</v>
      </c>
      <c r="I666" s="40" t="str">
        <f t="shared" si="835"/>
        <v>%</v>
      </c>
      <c r="J666" s="40" t="str">
        <f t="shared" si="835"/>
        <v>2018/19</v>
      </c>
      <c r="K666" s="40" t="str">
        <f t="shared" si="835"/>
        <v>2019/20</v>
      </c>
      <c r="L666" s="40" t="str">
        <f t="shared" si="835"/>
        <v>2020/21</v>
      </c>
      <c r="M666" s="40" t="str">
        <f t="shared" si="835"/>
        <v>2021/22</v>
      </c>
      <c r="N666" s="40" t="str">
        <f t="shared" si="835"/>
        <v>2022/23</v>
      </c>
      <c r="O666" s="40" t="str">
        <f t="shared" si="835"/>
        <v>2023/24</v>
      </c>
      <c r="P666" s="40" t="str">
        <f t="shared" si="835"/>
        <v>2024/25</v>
      </c>
      <c r="Q666" s="28" t="str">
        <f t="shared" si="835"/>
        <v>2025/26</v>
      </c>
      <c r="R666" s="28" t="str">
        <f t="shared" si="835"/>
        <v>2026/27</v>
      </c>
      <c r="S666" s="1620" t="str">
        <f t="shared" si="835"/>
        <v>2027/28</v>
      </c>
    </row>
    <row r="667" spans="1:23" x14ac:dyDescent="0.2">
      <c r="A667" s="45"/>
      <c r="B667" s="29"/>
      <c r="C667" s="29"/>
      <c r="D667" s="116"/>
      <c r="E667" s="116"/>
      <c r="F667" s="175"/>
      <c r="G667" s="27"/>
      <c r="H667" s="9"/>
      <c r="I667" s="1010"/>
      <c r="J667" s="9"/>
      <c r="K667" s="9"/>
      <c r="L667" s="9"/>
      <c r="M667" s="9"/>
      <c r="N667" s="9"/>
      <c r="O667" s="9"/>
      <c r="P667" s="9"/>
      <c r="Q667" s="9"/>
      <c r="R667" s="9"/>
      <c r="S667" s="61"/>
    </row>
    <row r="668" spans="1:23" x14ac:dyDescent="0.2">
      <c r="A668" s="54"/>
      <c r="B668" s="89"/>
      <c r="C668" s="9"/>
      <c r="D668" s="9"/>
      <c r="E668" s="9"/>
      <c r="F668" s="177"/>
      <c r="G668" s="256" t="s">
        <v>1056</v>
      </c>
      <c r="H668" s="9"/>
      <c r="I668" s="85"/>
      <c r="J668" s="9"/>
      <c r="K668" s="9"/>
      <c r="L668" s="9"/>
      <c r="M668" s="9"/>
      <c r="N668" s="9"/>
      <c r="O668" s="9"/>
      <c r="P668" s="9"/>
      <c r="Q668" s="9"/>
      <c r="R668" s="9"/>
      <c r="S668" s="61"/>
    </row>
    <row r="669" spans="1:23" x14ac:dyDescent="0.2">
      <c r="A669" s="45"/>
      <c r="B669" s="29"/>
      <c r="C669" s="9"/>
      <c r="D669" s="9"/>
      <c r="E669" s="9"/>
      <c r="F669" s="175"/>
      <c r="G669" s="91"/>
      <c r="H669" s="9"/>
      <c r="I669" s="85"/>
      <c r="J669" s="9"/>
      <c r="K669" s="9"/>
      <c r="L669" s="9"/>
      <c r="M669" s="9"/>
      <c r="N669" s="9"/>
      <c r="O669" s="9"/>
      <c r="P669" s="9"/>
      <c r="Q669" s="9"/>
      <c r="R669" s="9"/>
      <c r="S669" s="61"/>
    </row>
    <row r="670" spans="1:23" x14ac:dyDescent="0.2">
      <c r="A670" s="45"/>
      <c r="B670" s="29"/>
      <c r="C670" s="9"/>
      <c r="D670" s="9"/>
      <c r="E670" s="9"/>
      <c r="F670" s="175"/>
      <c r="G670" s="542" t="s">
        <v>3181</v>
      </c>
      <c r="H670" s="9"/>
      <c r="I670" s="85"/>
      <c r="J670" s="9"/>
      <c r="K670" s="9"/>
      <c r="L670" s="9"/>
      <c r="M670" s="9"/>
      <c r="N670" s="9"/>
      <c r="O670" s="9"/>
      <c r="P670" s="9"/>
      <c r="Q670" s="9"/>
      <c r="R670" s="9"/>
      <c r="S670" s="61"/>
    </row>
    <row r="671" spans="1:23" x14ac:dyDescent="0.2">
      <c r="A671" s="54">
        <v>2000</v>
      </c>
      <c r="B671" s="9">
        <v>11100</v>
      </c>
      <c r="C671" s="9">
        <v>11500</v>
      </c>
      <c r="D671" s="9">
        <v>300</v>
      </c>
      <c r="E671" s="9">
        <v>2600</v>
      </c>
      <c r="F671" s="240" t="s">
        <v>2436</v>
      </c>
      <c r="G671" s="247" t="s">
        <v>1821</v>
      </c>
      <c r="H671" s="9">
        <v>3000</v>
      </c>
      <c r="I671" s="85">
        <f>IF(E671=H671,0,IF(E671=0,100,(H671-E671)/E671*100))</f>
        <v>15.384615384615385</v>
      </c>
      <c r="J671" s="9">
        <v>3000</v>
      </c>
      <c r="K671" s="9">
        <f>ROUNDUP(J671+(J671*Assumptions!J$5),-2)</f>
        <v>3100</v>
      </c>
      <c r="L671" s="9">
        <f>ROUNDUP(K671+(K671*Assumptions!K$5),-2)</f>
        <v>3200</v>
      </c>
      <c r="M671" s="9">
        <f>ROUNDUP(L671+(L671*Assumptions!L$5),-2)</f>
        <v>3300</v>
      </c>
      <c r="N671" s="9">
        <f>ROUNDUP(M671+(M671*Assumptions!M$5),-2)</f>
        <v>3400</v>
      </c>
      <c r="O671" s="9">
        <f>ROUNDUP(N671+(N671*Assumptions!N$5),-2)</f>
        <v>3500</v>
      </c>
      <c r="P671" s="9">
        <f>ROUNDUP(O671+(O671*Assumptions!O$5),-2)</f>
        <v>3600</v>
      </c>
      <c r="Q671" s="9">
        <f>ROUNDUP(P671+(P671*Assumptions!P$5),-2)</f>
        <v>3700</v>
      </c>
      <c r="R671" s="9">
        <f>ROUNDUP(Q671+(Q671*Assumptions!Q$5),-2)</f>
        <v>3800</v>
      </c>
      <c r="S671" s="47">
        <f>ROUNDUP(R671+(R671*Assumptions!R$5),-2)</f>
        <v>3900</v>
      </c>
    </row>
    <row r="672" spans="1:23" x14ac:dyDescent="0.2">
      <c r="A672" s="54">
        <v>0</v>
      </c>
      <c r="B672" s="9">
        <v>0</v>
      </c>
      <c r="C672" s="9">
        <v>3300</v>
      </c>
      <c r="D672" s="9">
        <v>300</v>
      </c>
      <c r="E672" s="9">
        <v>900</v>
      </c>
      <c r="F672" s="577" t="s">
        <v>4196</v>
      </c>
      <c r="G672" s="772" t="s">
        <v>4197</v>
      </c>
      <c r="H672" s="9">
        <v>0</v>
      </c>
      <c r="I672" s="85">
        <f>IF(E672=H672,0,IF(E672=0,100,(H672-E672)/E672*100))</f>
        <v>-100</v>
      </c>
      <c r="J672" s="9">
        <v>0</v>
      </c>
      <c r="K672" s="9">
        <f>ROUNDUP(J672+(J672*Assumptions!J$5),-2)</f>
        <v>0</v>
      </c>
      <c r="L672" s="9">
        <f>ROUNDUP(K672+(K672*Assumptions!K$5),-2)</f>
        <v>0</v>
      </c>
      <c r="M672" s="9">
        <f>ROUNDUP(L672+(L672*Assumptions!L$5),-2)</f>
        <v>0</v>
      </c>
      <c r="N672" s="9">
        <f>ROUNDUP(M672+(M672*Assumptions!M$5),-2)</f>
        <v>0</v>
      </c>
      <c r="O672" s="9">
        <f>ROUNDUP(N672+(N672*Assumptions!N$5),-2)</f>
        <v>0</v>
      </c>
      <c r="P672" s="9">
        <f>ROUNDUP(O672+(O672*Assumptions!O$5),-2)</f>
        <v>0</v>
      </c>
      <c r="Q672" s="9">
        <f>ROUNDUP(P672+(P672*Assumptions!P$5),-2)</f>
        <v>0</v>
      </c>
      <c r="R672" s="9">
        <f>ROUNDUP(Q672+(Q672*Assumptions!Q$5),-2)</f>
        <v>0</v>
      </c>
      <c r="S672" s="47">
        <f>ROUNDUP(R672+(R672*Assumptions!R$5),-2)</f>
        <v>0</v>
      </c>
    </row>
    <row r="673" spans="1:23" x14ac:dyDescent="0.2">
      <c r="A673" s="54">
        <v>300</v>
      </c>
      <c r="B673" s="9">
        <v>500</v>
      </c>
      <c r="C673" s="9">
        <v>1500</v>
      </c>
      <c r="D673" s="9">
        <v>1300</v>
      </c>
      <c r="E673" s="79">
        <f>2000+225600</f>
        <v>227600</v>
      </c>
      <c r="F673" s="577" t="s">
        <v>6136</v>
      </c>
      <c r="G673" s="772" t="s">
        <v>5973</v>
      </c>
      <c r="H673" s="9">
        <v>100000</v>
      </c>
      <c r="I673" s="85">
        <f>IF(E673=H673,0,IF(E673=0,100,(H673-E673)/E673*100))</f>
        <v>-56.063268892794369</v>
      </c>
      <c r="J673" s="9">
        <v>90000</v>
      </c>
      <c r="K673" s="9">
        <f>ROUNDUP(J673+(J673*Assumptions!J$5),-2)</f>
        <v>92300</v>
      </c>
      <c r="L673" s="9">
        <f>ROUNDUP(K673+(K673*Assumptions!K$5),-2)</f>
        <v>94700</v>
      </c>
      <c r="M673" s="9">
        <f>ROUNDUP(L673+(L673*Assumptions!L$5),-2)</f>
        <v>97100</v>
      </c>
      <c r="N673" s="9">
        <f>ROUNDUP(M673+(M673*Assumptions!M$5),-2)</f>
        <v>99600</v>
      </c>
      <c r="O673" s="9">
        <f>ROUNDUP(N673+(N673*Assumptions!N$5),-2)</f>
        <v>102100</v>
      </c>
      <c r="P673" s="9">
        <f>ROUNDUP(O673+(O673*Assumptions!O$5),-2)</f>
        <v>104700</v>
      </c>
      <c r="Q673" s="9">
        <f>ROUNDUP(P673+(P673*Assumptions!P$5),-2)</f>
        <v>107400</v>
      </c>
      <c r="R673" s="9">
        <f>ROUNDUP(Q673+(Q673*Assumptions!Q$5),-2)</f>
        <v>110100</v>
      </c>
      <c r="S673" s="47">
        <f>ROUNDUP(R673+(R673*Assumptions!R$5),-2)</f>
        <v>112900</v>
      </c>
    </row>
    <row r="674" spans="1:23" x14ac:dyDescent="0.2">
      <c r="A674" s="54">
        <v>2000</v>
      </c>
      <c r="B674" s="9">
        <v>2000</v>
      </c>
      <c r="C674" s="9">
        <v>1300</v>
      </c>
      <c r="D674" s="9">
        <v>1200</v>
      </c>
      <c r="E674" s="9">
        <v>0</v>
      </c>
      <c r="F674" s="240" t="s">
        <v>20</v>
      </c>
      <c r="G674" s="247" t="s">
        <v>21</v>
      </c>
      <c r="H674" s="9">
        <v>0</v>
      </c>
      <c r="I674" s="85">
        <f>IF(E674=H674,0,IF(E674=0,100,(H674-E674)/E674*100))</f>
        <v>0</v>
      </c>
      <c r="J674" s="9">
        <v>0</v>
      </c>
      <c r="K674" s="9">
        <f>ROUNDUP(J674+(J674*Assumptions!J$5),-2)</f>
        <v>0</v>
      </c>
      <c r="L674" s="9">
        <f>ROUNDUP(K674+(K674*Assumptions!K$5),-2)</f>
        <v>0</v>
      </c>
      <c r="M674" s="9">
        <f>ROUNDUP(L674+(L674*Assumptions!L$5),-2)</f>
        <v>0</v>
      </c>
      <c r="N674" s="9">
        <f>ROUNDUP(M674+(M674*Assumptions!M$5),-2)</f>
        <v>0</v>
      </c>
      <c r="O674" s="9">
        <f>ROUNDUP(N674+(N674*Assumptions!N$5),-2)</f>
        <v>0</v>
      </c>
      <c r="P674" s="9">
        <f>ROUNDUP(O674+(O674*Assumptions!O$5),-2)</f>
        <v>0</v>
      </c>
      <c r="Q674" s="9">
        <f>ROUNDUP(P674+(P674*Assumptions!P$5),-2)</f>
        <v>0</v>
      </c>
      <c r="R674" s="9">
        <f>ROUNDUP(Q674+(Q674*Assumptions!Q$5),-2)</f>
        <v>0</v>
      </c>
      <c r="S674" s="47">
        <f>ROUNDUP(R674+(R674*Assumptions!R$5),-2)</f>
        <v>0</v>
      </c>
    </row>
    <row r="675" spans="1:23" ht="13.5" thickBot="1" x14ac:dyDescent="0.25">
      <c r="A675" s="54"/>
      <c r="B675" s="9"/>
      <c r="C675" s="9"/>
      <c r="D675" s="9"/>
      <c r="E675" s="9"/>
      <c r="F675" s="240"/>
      <c r="G675" s="46"/>
      <c r="H675" s="9"/>
      <c r="I675" s="85"/>
      <c r="J675" s="9"/>
      <c r="K675" s="9"/>
      <c r="L675" s="9"/>
      <c r="M675" s="9"/>
      <c r="N675" s="9"/>
      <c r="O675" s="9"/>
      <c r="P675" s="9"/>
      <c r="Q675" s="9"/>
      <c r="R675" s="9"/>
      <c r="S675" s="47"/>
    </row>
    <row r="676" spans="1:23" s="39" customFormat="1" x14ac:dyDescent="0.2">
      <c r="A676" s="52">
        <f>SUM(A669:A675)</f>
        <v>4300</v>
      </c>
      <c r="B676" s="16">
        <f>SUM(B669:B675)</f>
        <v>13600</v>
      </c>
      <c r="C676" s="16">
        <f>SUM(C669:C675)</f>
        <v>17600</v>
      </c>
      <c r="D676" s="16">
        <f>SUM(D669:D675)</f>
        <v>3100</v>
      </c>
      <c r="E676" s="16">
        <f t="shared" ref="E676" si="836">SUM(E669:E675)</f>
        <v>231100</v>
      </c>
      <c r="F676" s="241"/>
      <c r="G676" s="59" t="s">
        <v>2561</v>
      </c>
      <c r="H676" s="16">
        <f t="shared" ref="H676:O676" si="837">SUM(H669:H675)</f>
        <v>103000</v>
      </c>
      <c r="I676" s="127">
        <f>IF(E676=H676,0,IF(E676=0,100,(H676-E676)/E676*100))</f>
        <v>-55.430549545651232</v>
      </c>
      <c r="J676" s="16">
        <f t="shared" si="837"/>
        <v>93000</v>
      </c>
      <c r="K676" s="16">
        <f t="shared" si="837"/>
        <v>95400</v>
      </c>
      <c r="L676" s="16">
        <f t="shared" si="837"/>
        <v>97900</v>
      </c>
      <c r="M676" s="16">
        <f t="shared" si="837"/>
        <v>100400</v>
      </c>
      <c r="N676" s="16">
        <f t="shared" si="837"/>
        <v>103000</v>
      </c>
      <c r="O676" s="16">
        <f t="shared" si="837"/>
        <v>105600</v>
      </c>
      <c r="P676" s="16">
        <f t="shared" ref="P676:Q676" si="838">SUM(P669:P675)</f>
        <v>108300</v>
      </c>
      <c r="Q676" s="16">
        <f t="shared" si="838"/>
        <v>111100</v>
      </c>
      <c r="R676" s="16">
        <f t="shared" ref="R676" si="839">SUM(R669:R675)</f>
        <v>113900</v>
      </c>
      <c r="S676" s="2342">
        <f t="shared" ref="S676" si="840">SUM(S669:S675)</f>
        <v>116800</v>
      </c>
      <c r="U676" s="34"/>
      <c r="W676" s="34"/>
    </row>
    <row r="677" spans="1:23" x14ac:dyDescent="0.2">
      <c r="A677" s="54"/>
      <c r="B677" s="9"/>
      <c r="C677" s="9"/>
      <c r="D677" s="9"/>
      <c r="E677" s="9"/>
      <c r="F677" s="240"/>
      <c r="G677" s="46"/>
      <c r="H677" s="9"/>
      <c r="I677" s="85"/>
      <c r="J677" s="9"/>
      <c r="K677" s="9"/>
      <c r="L677" s="9"/>
      <c r="M677" s="9"/>
      <c r="N677" s="9"/>
      <c r="O677" s="9"/>
      <c r="P677" s="9"/>
      <c r="Q677" s="9"/>
      <c r="R677" s="9"/>
      <c r="S677" s="47"/>
    </row>
    <row r="678" spans="1:23" x14ac:dyDescent="0.2">
      <c r="A678" s="54"/>
      <c r="B678" s="9"/>
      <c r="C678" s="9"/>
      <c r="D678" s="9"/>
      <c r="E678" s="9"/>
      <c r="F678" s="240"/>
      <c r="G678" s="91" t="s">
        <v>2169</v>
      </c>
      <c r="H678" s="9"/>
      <c r="I678" s="85"/>
      <c r="J678" s="9"/>
      <c r="K678" s="9"/>
      <c r="L678" s="9"/>
      <c r="M678" s="9"/>
      <c r="N678" s="9"/>
      <c r="O678" s="9"/>
      <c r="P678" s="9"/>
      <c r="Q678" s="9"/>
      <c r="R678" s="9"/>
      <c r="S678" s="47"/>
    </row>
    <row r="679" spans="1:23" x14ac:dyDescent="0.2">
      <c r="A679" s="54"/>
      <c r="B679" s="9"/>
      <c r="C679" s="9"/>
      <c r="D679" s="9"/>
      <c r="E679" s="9"/>
      <c r="F679" s="240"/>
      <c r="G679" s="55"/>
      <c r="H679" s="9"/>
      <c r="I679" s="85"/>
      <c r="J679" s="9"/>
      <c r="K679" s="9"/>
      <c r="L679" s="9"/>
      <c r="M679" s="9"/>
      <c r="N679" s="9"/>
      <c r="O679" s="9"/>
      <c r="P679" s="9"/>
      <c r="Q679" s="9"/>
      <c r="R679" s="9"/>
      <c r="S679" s="47"/>
    </row>
    <row r="680" spans="1:23" x14ac:dyDescent="0.2">
      <c r="A680" s="54"/>
      <c r="B680" s="9"/>
      <c r="C680" s="9"/>
      <c r="D680" s="9"/>
      <c r="E680" s="9"/>
      <c r="F680" s="240"/>
      <c r="G680" s="84" t="s">
        <v>2219</v>
      </c>
      <c r="H680" s="9"/>
      <c r="I680" s="85"/>
      <c r="J680" s="9"/>
      <c r="K680" s="9"/>
      <c r="L680" s="9"/>
      <c r="M680" s="9"/>
      <c r="N680" s="9"/>
      <c r="O680" s="9"/>
      <c r="P680" s="9"/>
      <c r="Q680" s="9"/>
      <c r="R680" s="9"/>
      <c r="S680" s="47"/>
    </row>
    <row r="681" spans="1:23" x14ac:dyDescent="0.2">
      <c r="A681" s="54">
        <v>503200</v>
      </c>
      <c r="B681" s="9">
        <v>652600</v>
      </c>
      <c r="C681" s="9">
        <v>754900</v>
      </c>
      <c r="D681" s="9">
        <v>844600</v>
      </c>
      <c r="E681" s="9">
        <v>932600</v>
      </c>
      <c r="F681" s="240" t="s">
        <v>2437</v>
      </c>
      <c r="G681" s="55" t="s">
        <v>1320</v>
      </c>
      <c r="H681" s="9">
        <v>1143000</v>
      </c>
      <c r="I681" s="85">
        <f>IF(E681=H681,0,IF(E681=0,100,(H681-E681)/E681*100))</f>
        <v>22.56058331546215</v>
      </c>
      <c r="J681" s="9">
        <v>1171600</v>
      </c>
      <c r="K681" s="9">
        <f>ROUND((J681*Assumptions!J$13)+GM!J681,-2)</f>
        <v>1198500</v>
      </c>
      <c r="L681" s="9">
        <f>ROUND((K681*Assumptions!K$13)+GM!K681,-2)</f>
        <v>1226100</v>
      </c>
      <c r="M681" s="9">
        <f>ROUND((L681*Assumptions!L$13)+GM!L681,-2)</f>
        <v>1254300</v>
      </c>
      <c r="N681" s="9">
        <f>ROUND((M681*Assumptions!M$13)+GM!M681,-2)</f>
        <v>1283100</v>
      </c>
      <c r="O681" s="9">
        <f>ROUND((N681*Assumptions!N$13)+GM!N681,-2)</f>
        <v>1312600</v>
      </c>
      <c r="P681" s="9">
        <f>ROUND((O681*Assumptions!O$13)+GM!O681,-2)</f>
        <v>1342800</v>
      </c>
      <c r="Q681" s="9">
        <f>ROUND((P681*Assumptions!P$13)+GM!P681,-2)</f>
        <v>1373700</v>
      </c>
      <c r="R681" s="9">
        <f>ROUND((Q681*Assumptions!Q$13)+GM!Q681,-2)</f>
        <v>1405300</v>
      </c>
      <c r="S681" s="47">
        <f>ROUND((R681*Assumptions!R$13)+GM!R681,-2)</f>
        <v>1437600</v>
      </c>
    </row>
    <row r="682" spans="1:23" x14ac:dyDescent="0.2">
      <c r="A682" s="54">
        <v>239300</v>
      </c>
      <c r="B682" s="9">
        <v>374000</v>
      </c>
      <c r="C682" s="9">
        <v>262900</v>
      </c>
      <c r="D682" s="9">
        <v>272100</v>
      </c>
      <c r="E682" s="9">
        <v>272700</v>
      </c>
      <c r="F682" s="577" t="s">
        <v>6137</v>
      </c>
      <c r="G682" s="58" t="s">
        <v>6138</v>
      </c>
      <c r="H682" s="9">
        <v>331000</v>
      </c>
      <c r="I682" s="85">
        <f>IF(E682=H682,0,IF(E682=0,100,(H682-E682)/E682*100))</f>
        <v>21.37880454712138</v>
      </c>
      <c r="J682" s="9">
        <v>339000</v>
      </c>
      <c r="K682" s="9">
        <f>ROUND((J682*Assumptions!J$13)+GM!J682,-2)</f>
        <v>346800</v>
      </c>
      <c r="L682" s="9">
        <f>ROUND((K682*Assumptions!K$13)+GM!K682,-2)</f>
        <v>354800</v>
      </c>
      <c r="M682" s="9">
        <f>ROUND((L682*Assumptions!L$13)+GM!L682,-2)</f>
        <v>363000</v>
      </c>
      <c r="N682" s="9">
        <f>ROUND((M682*Assumptions!M$13)+GM!M682,-2)</f>
        <v>371300</v>
      </c>
      <c r="O682" s="9">
        <f>ROUND((N682*Assumptions!N$13)+GM!N682,-2)</f>
        <v>379800</v>
      </c>
      <c r="P682" s="9">
        <f>ROUND((O682*Assumptions!O$13)+GM!O682,-2)</f>
        <v>388500</v>
      </c>
      <c r="Q682" s="9">
        <f>ROUND((P682*Assumptions!P$13)+GM!P682,-2)</f>
        <v>397400</v>
      </c>
      <c r="R682" s="9">
        <f>ROUND((Q682*Assumptions!Q$13)+GM!Q682,-2)</f>
        <v>406500</v>
      </c>
      <c r="S682" s="47">
        <f>ROUND((R682*Assumptions!R$13)+GM!R682,-2)</f>
        <v>415800</v>
      </c>
    </row>
    <row r="683" spans="1:23" x14ac:dyDescent="0.2">
      <c r="A683" s="54">
        <v>6000</v>
      </c>
      <c r="B683" s="9">
        <v>6400</v>
      </c>
      <c r="C683" s="9">
        <v>3200</v>
      </c>
      <c r="D683" s="9">
        <v>6300</v>
      </c>
      <c r="E683" s="9">
        <v>4800</v>
      </c>
      <c r="F683" s="240" t="s">
        <v>936</v>
      </c>
      <c r="G683" s="55" t="s">
        <v>1889</v>
      </c>
      <c r="H683" s="9">
        <v>7400</v>
      </c>
      <c r="I683" s="85">
        <f>IF(E683=H683,0,IF(E683=0,100,(H683-E683)/E683*100))</f>
        <v>54.166666666666664</v>
      </c>
      <c r="J683" s="9">
        <v>7600</v>
      </c>
      <c r="K683" s="9">
        <f>ROUNDUP(J683+(J683*Assumptions!J$5),-2)</f>
        <v>7800</v>
      </c>
      <c r="L683" s="9">
        <f>ROUNDUP(K683+(K683*Assumptions!K$5),-2)</f>
        <v>8000</v>
      </c>
      <c r="M683" s="9">
        <f>ROUNDUP(L683+(L683*Assumptions!L$5),-2)</f>
        <v>8200</v>
      </c>
      <c r="N683" s="9">
        <f>ROUNDUP(M683+(M683*Assumptions!M$5),-2)</f>
        <v>8500</v>
      </c>
      <c r="O683" s="9">
        <f>ROUNDUP(N683+(N683*Assumptions!N$5),-2)</f>
        <v>8800</v>
      </c>
      <c r="P683" s="9">
        <f>ROUNDUP(O683+(O683*Assumptions!O$5),-2)</f>
        <v>9100</v>
      </c>
      <c r="Q683" s="9">
        <f>ROUNDUP(P683+(P683*Assumptions!P$5),-2)</f>
        <v>9400</v>
      </c>
      <c r="R683" s="9">
        <f>ROUNDUP(Q683+(Q683*Assumptions!Q$5),-2)</f>
        <v>9700</v>
      </c>
      <c r="S683" s="47">
        <f>ROUNDUP(R683+(R683*Assumptions!R$5),-2)</f>
        <v>10000</v>
      </c>
    </row>
    <row r="684" spans="1:23" x14ac:dyDescent="0.2">
      <c r="A684" s="54">
        <v>9600</v>
      </c>
      <c r="B684" s="9">
        <v>8000</v>
      </c>
      <c r="C684" s="9">
        <v>8300</v>
      </c>
      <c r="D684" s="9">
        <v>8300</v>
      </c>
      <c r="E684" s="9">
        <v>6000</v>
      </c>
      <c r="F684" s="240" t="s">
        <v>1940</v>
      </c>
      <c r="G684" s="55" t="s">
        <v>598</v>
      </c>
      <c r="H684" s="9">
        <v>5000</v>
      </c>
      <c r="I684" s="85">
        <f>IF(E684=H684,0,IF(E684=0,100,(H684-E684)/E684*100))</f>
        <v>-16.666666666666664</v>
      </c>
      <c r="J684" s="9">
        <v>5200</v>
      </c>
      <c r="K684" s="9">
        <f>ROUNDUP(J684+(J684*Assumptions!J$5),-2)</f>
        <v>5400</v>
      </c>
      <c r="L684" s="9">
        <f>ROUNDUP(K684+(K684*Assumptions!K$5),-2)</f>
        <v>5600</v>
      </c>
      <c r="M684" s="9">
        <f>ROUNDUP(L684+(L684*Assumptions!L$5),-2)</f>
        <v>5800</v>
      </c>
      <c r="N684" s="9">
        <f>ROUNDUP(M684+(M684*Assumptions!M$5),-2)</f>
        <v>6000</v>
      </c>
      <c r="O684" s="9">
        <f>ROUNDUP(N684+(N684*Assumptions!N$5),-2)</f>
        <v>6200</v>
      </c>
      <c r="P684" s="9">
        <f>ROUNDUP(O684+(O684*Assumptions!O$5),-2)</f>
        <v>6400</v>
      </c>
      <c r="Q684" s="9">
        <f>ROUNDUP(P684+(P684*Assumptions!P$5),-2)</f>
        <v>6600</v>
      </c>
      <c r="R684" s="9">
        <f>ROUNDUP(Q684+(Q684*Assumptions!Q$5),-2)</f>
        <v>6800</v>
      </c>
      <c r="S684" s="47">
        <f>ROUNDUP(R684+(R684*Assumptions!R$5),-2)</f>
        <v>7000</v>
      </c>
    </row>
    <row r="685" spans="1:23" x14ac:dyDescent="0.2">
      <c r="A685" s="54"/>
      <c r="B685" s="9"/>
      <c r="C685" s="9"/>
      <c r="D685" s="9"/>
      <c r="E685" s="9"/>
      <c r="F685" s="240"/>
      <c r="G685" s="84"/>
      <c r="H685" s="9"/>
      <c r="I685" s="85"/>
      <c r="J685" s="9"/>
      <c r="K685" s="9"/>
      <c r="L685" s="9"/>
      <c r="M685" s="9"/>
      <c r="N685" s="9"/>
      <c r="O685" s="9"/>
      <c r="P685" s="9"/>
      <c r="Q685" s="9"/>
      <c r="R685" s="9"/>
      <c r="S685" s="47"/>
    </row>
    <row r="686" spans="1:23" x14ac:dyDescent="0.2">
      <c r="A686" s="54"/>
      <c r="B686" s="9"/>
      <c r="C686" s="9"/>
      <c r="D686" s="9"/>
      <c r="E686" s="9"/>
      <c r="F686" s="240"/>
      <c r="G686" s="84" t="s">
        <v>2809</v>
      </c>
      <c r="H686" s="9"/>
      <c r="I686" s="85"/>
      <c r="J686" s="9"/>
      <c r="K686" s="9"/>
      <c r="L686" s="9"/>
      <c r="M686" s="9"/>
      <c r="N686" s="9"/>
      <c r="O686" s="9"/>
      <c r="P686" s="9"/>
      <c r="Q686" s="9"/>
      <c r="R686" s="9"/>
      <c r="S686" s="47"/>
    </row>
    <row r="687" spans="1:23" x14ac:dyDescent="0.2">
      <c r="A687" s="54">
        <v>278600</v>
      </c>
      <c r="B687" s="9">
        <v>175100</v>
      </c>
      <c r="C687" s="9">
        <v>174000</v>
      </c>
      <c r="D687" s="9">
        <v>186100</v>
      </c>
      <c r="E687" s="9">
        <v>179800</v>
      </c>
      <c r="F687" s="240" t="s">
        <v>2800</v>
      </c>
      <c r="G687" s="55" t="s">
        <v>97</v>
      </c>
      <c r="H687" s="9">
        <f>210000-16000</f>
        <v>194000</v>
      </c>
      <c r="I687" s="85">
        <f>IF(E687=H687,0,IF(E687=0,100,(H687-E687)/E687*100))</f>
        <v>7.8976640711902109</v>
      </c>
      <c r="J687" s="9">
        <v>199000</v>
      </c>
      <c r="K687" s="9">
        <f>ROUNDUP(J687+(J687*Assumptions!J$5),-2)</f>
        <v>204000</v>
      </c>
      <c r="L687" s="9">
        <f>ROUNDUP(K687+(K687*Assumptions!K$5),-2)</f>
        <v>209100</v>
      </c>
      <c r="M687" s="9">
        <f>ROUNDUP(L687+(L687*Assumptions!L$5),-2)</f>
        <v>214400</v>
      </c>
      <c r="N687" s="9">
        <f>ROUNDUP(M687+(M687*Assumptions!M$5),-2)</f>
        <v>219800</v>
      </c>
      <c r="O687" s="9">
        <f>ROUNDUP(N687+(N687*Assumptions!N$5),-2)</f>
        <v>225300</v>
      </c>
      <c r="P687" s="9">
        <f>ROUNDUP(O687+(O687*Assumptions!O$5),-2)</f>
        <v>231000</v>
      </c>
      <c r="Q687" s="9">
        <f>ROUNDUP(P687+(P687*Assumptions!P$5),-2)</f>
        <v>236800</v>
      </c>
      <c r="R687" s="9">
        <f>ROUNDUP(Q687+(Q687*Assumptions!Q$5),-2)</f>
        <v>242800</v>
      </c>
      <c r="S687" s="47">
        <f>ROUNDUP(R687+(R687*Assumptions!R$5),-2)</f>
        <v>248900</v>
      </c>
    </row>
    <row r="688" spans="1:23" x14ac:dyDescent="0.2">
      <c r="A688" s="54">
        <v>0</v>
      </c>
      <c r="B688" s="9">
        <v>0</v>
      </c>
      <c r="C688" s="9">
        <v>0</v>
      </c>
      <c r="D688" s="9">
        <v>400</v>
      </c>
      <c r="E688" s="9">
        <v>3600</v>
      </c>
      <c r="F688" s="577" t="s">
        <v>6139</v>
      </c>
      <c r="G688" s="58" t="s">
        <v>2488</v>
      </c>
      <c r="H688" s="9">
        <f>24400+5600</f>
        <v>30000</v>
      </c>
      <c r="I688" s="85">
        <f>IF(E688=H688,0,IF(E688=0,100,(H688-E688)/E688*100))</f>
        <v>733.33333333333326</v>
      </c>
      <c r="J688" s="9">
        <v>31000</v>
      </c>
      <c r="K688" s="9">
        <f>ROUNDUP(J688+(J688*Assumptions!J$5),-2)</f>
        <v>31800</v>
      </c>
      <c r="L688" s="9">
        <f>ROUNDUP(K688+(K688*Assumptions!K$5),-2)</f>
        <v>32600</v>
      </c>
      <c r="M688" s="9">
        <f>ROUNDUP(L688+(L688*Assumptions!L$5),-2)</f>
        <v>33500</v>
      </c>
      <c r="N688" s="9">
        <f>ROUNDUP(M688+(M688*Assumptions!M$5),-2)</f>
        <v>34400</v>
      </c>
      <c r="O688" s="9">
        <f>ROUNDUP(N688+(N688*Assumptions!N$5),-2)</f>
        <v>35300</v>
      </c>
      <c r="P688" s="9">
        <f>ROUNDUP(O688+(O688*Assumptions!O$5),-2)</f>
        <v>36200</v>
      </c>
      <c r="Q688" s="9">
        <f>ROUNDUP(P688+(P688*Assumptions!P$5),-2)</f>
        <v>37200</v>
      </c>
      <c r="R688" s="9">
        <f>ROUNDUP(Q688+(Q688*Assumptions!Q$5),-2)</f>
        <v>38200</v>
      </c>
      <c r="S688" s="47">
        <f>ROUNDUP(R688+(R688*Assumptions!R$5),-2)</f>
        <v>39200</v>
      </c>
    </row>
    <row r="689" spans="1:23" x14ac:dyDescent="0.2">
      <c r="A689" s="54">
        <v>25100</v>
      </c>
      <c r="B689" s="9">
        <v>36000</v>
      </c>
      <c r="C689" s="9">
        <v>61300</v>
      </c>
      <c r="D689" s="9">
        <v>31100</v>
      </c>
      <c r="E689" s="9">
        <f>246700-E687</f>
        <v>66900</v>
      </c>
      <c r="F689" s="240" t="s">
        <v>2801</v>
      </c>
      <c r="G689" s="55" t="s">
        <v>676</v>
      </c>
      <c r="H689" s="9">
        <v>35400</v>
      </c>
      <c r="I689" s="85">
        <f>IF(E689=H689,0,IF(E689=0,100,(H689-E689)/E689*100))</f>
        <v>-47.085201793721978</v>
      </c>
      <c r="J689" s="9">
        <v>36000</v>
      </c>
      <c r="K689" s="9">
        <f>ROUNDUP(J689+(J689*Assumptions!J$5),-2)</f>
        <v>36900</v>
      </c>
      <c r="L689" s="9">
        <f>ROUNDUP(K689+(K689*Assumptions!K$5),-2)</f>
        <v>37900</v>
      </c>
      <c r="M689" s="9">
        <f>ROUNDUP(L689+(L689*Assumptions!L$5),-2)</f>
        <v>38900</v>
      </c>
      <c r="N689" s="9">
        <f>ROUNDUP(M689+(M689*Assumptions!M$5),-2)</f>
        <v>39900</v>
      </c>
      <c r="O689" s="9">
        <f>ROUNDUP(N689+(N689*Assumptions!N$5),-2)</f>
        <v>40900</v>
      </c>
      <c r="P689" s="9">
        <f>ROUNDUP(O689+(O689*Assumptions!O$5),-2)</f>
        <v>42000</v>
      </c>
      <c r="Q689" s="9">
        <f>ROUNDUP(P689+(P689*Assumptions!P$5),-2)</f>
        <v>43100</v>
      </c>
      <c r="R689" s="9">
        <f>ROUNDUP(Q689+(Q689*Assumptions!Q$5),-2)</f>
        <v>44200</v>
      </c>
      <c r="S689" s="47">
        <f>ROUNDUP(R689+(R689*Assumptions!R$5),-2)</f>
        <v>45400</v>
      </c>
    </row>
    <row r="690" spans="1:23" x14ac:dyDescent="0.2">
      <c r="A690" s="54">
        <v>16900</v>
      </c>
      <c r="B690" s="9">
        <v>17500</v>
      </c>
      <c r="C690" s="9">
        <v>35100</v>
      </c>
      <c r="D690" s="9">
        <v>52600</v>
      </c>
      <c r="E690" s="9">
        <v>53900</v>
      </c>
      <c r="F690" s="240" t="s">
        <v>2802</v>
      </c>
      <c r="G690" s="55" t="s">
        <v>585</v>
      </c>
      <c r="H690" s="9">
        <f>44000-24000+18000</f>
        <v>38000</v>
      </c>
      <c r="I690" s="85">
        <f>IF(E690=H690,0,IF(E690=0,100,(H690-E690)/E690*100))</f>
        <v>-29.499072356215212</v>
      </c>
      <c r="J690" s="9">
        <v>54000</v>
      </c>
      <c r="K690" s="9">
        <f>ROUNDUP(J690+(J690*Assumptions!J$5),-2)</f>
        <v>55400</v>
      </c>
      <c r="L690" s="9">
        <f>ROUNDUP(K690+(K690*Assumptions!K$5),-2)</f>
        <v>56800</v>
      </c>
      <c r="M690" s="9">
        <f>ROUNDUP(L690+(L690*Assumptions!L$5),-2)</f>
        <v>58300</v>
      </c>
      <c r="N690" s="9">
        <f>ROUNDUP(M690+(M690*Assumptions!M$5),-2)</f>
        <v>59800</v>
      </c>
      <c r="O690" s="9">
        <f>ROUNDUP(N690+(N690*Assumptions!N$5),-2)</f>
        <v>61300</v>
      </c>
      <c r="P690" s="9">
        <f>ROUNDUP(O690+(O690*Assumptions!O$5),-2)</f>
        <v>62900</v>
      </c>
      <c r="Q690" s="9">
        <f>ROUNDUP(P690+(P690*Assumptions!P$5),-2)</f>
        <v>64500</v>
      </c>
      <c r="R690" s="9">
        <f>ROUNDUP(Q690+(Q690*Assumptions!Q$5),-2)</f>
        <v>66200</v>
      </c>
      <c r="S690" s="47">
        <f>ROUNDUP(R690+(R690*Assumptions!R$5),-2)</f>
        <v>67900</v>
      </c>
    </row>
    <row r="691" spans="1:23" x14ac:dyDescent="0.2">
      <c r="A691" s="54">
        <v>10000</v>
      </c>
      <c r="B691" s="9">
        <v>11500</v>
      </c>
      <c r="C691" s="9">
        <v>10400</v>
      </c>
      <c r="D691" s="9">
        <v>9300</v>
      </c>
      <c r="E691" s="9">
        <v>10500</v>
      </c>
      <c r="F691" s="240" t="s">
        <v>2803</v>
      </c>
      <c r="G691" s="55" t="s">
        <v>1134</v>
      </c>
      <c r="H691" s="9">
        <f>12500+4500</f>
        <v>17000</v>
      </c>
      <c r="I691" s="85">
        <f>IF(E691=H691,0,IF(E691=0,100,(H691-E691)/E691*100))</f>
        <v>61.904761904761905</v>
      </c>
      <c r="J691" s="9">
        <v>10000</v>
      </c>
      <c r="K691" s="9">
        <f>ROUNDUP(J691+(J691*Assumptions!J$5),-2)</f>
        <v>10300</v>
      </c>
      <c r="L691" s="9">
        <f>ROUNDUP(K691+(K691*Assumptions!K$5),-2)</f>
        <v>10600</v>
      </c>
      <c r="M691" s="9">
        <f>ROUNDUP(L691+(L691*Assumptions!L$5),-2)</f>
        <v>10900</v>
      </c>
      <c r="N691" s="9">
        <f>ROUNDUP(M691+(M691*Assumptions!M$5),-2)</f>
        <v>11200</v>
      </c>
      <c r="O691" s="9">
        <f>ROUNDUP(N691+(N691*Assumptions!N$5),-2)</f>
        <v>11500</v>
      </c>
      <c r="P691" s="9">
        <f>ROUNDUP(O691+(O691*Assumptions!O$5),-2)</f>
        <v>11800</v>
      </c>
      <c r="Q691" s="9">
        <f>ROUNDUP(P691+(P691*Assumptions!P$5),-2)</f>
        <v>12100</v>
      </c>
      <c r="R691" s="9">
        <f>ROUNDUP(Q691+(Q691*Assumptions!Q$5),-2)</f>
        <v>12500</v>
      </c>
      <c r="S691" s="47">
        <f>ROUNDUP(R691+(R691*Assumptions!R$5),-2)</f>
        <v>12900</v>
      </c>
    </row>
    <row r="692" spans="1:23" x14ac:dyDescent="0.2">
      <c r="A692" s="54"/>
      <c r="B692" s="9"/>
      <c r="C692" s="9"/>
      <c r="D692" s="9"/>
      <c r="E692" s="9"/>
      <c r="F692" s="240"/>
      <c r="G692" s="55"/>
      <c r="H692" s="9"/>
      <c r="I692" s="85"/>
      <c r="J692" s="9"/>
      <c r="K692" s="9"/>
      <c r="L692" s="9"/>
      <c r="M692" s="9"/>
      <c r="N692" s="9"/>
      <c r="O692" s="9"/>
      <c r="P692" s="9"/>
      <c r="Q692" s="9"/>
      <c r="R692" s="9"/>
      <c r="S692" s="47"/>
    </row>
    <row r="693" spans="1:23" x14ac:dyDescent="0.2">
      <c r="A693" s="54"/>
      <c r="B693" s="9"/>
      <c r="C693" s="9"/>
      <c r="D693" s="9"/>
      <c r="E693" s="9"/>
      <c r="F693" s="240"/>
      <c r="G693" s="84" t="s">
        <v>2271</v>
      </c>
      <c r="H693" s="9"/>
      <c r="I693" s="85"/>
      <c r="J693" s="9"/>
      <c r="K693" s="9"/>
      <c r="L693" s="9"/>
      <c r="M693" s="9"/>
      <c r="N693" s="9"/>
      <c r="O693" s="9"/>
      <c r="P693" s="9"/>
      <c r="Q693" s="9"/>
      <c r="R693" s="9"/>
      <c r="S693" s="47"/>
    </row>
    <row r="694" spans="1:23" x14ac:dyDescent="0.2">
      <c r="A694" s="54">
        <v>278800</v>
      </c>
      <c r="B694" s="9">
        <v>287200</v>
      </c>
      <c r="C694" s="9">
        <f>492500-150000</f>
        <v>342500</v>
      </c>
      <c r="D694" s="9">
        <v>342400</v>
      </c>
      <c r="E694" s="9">
        <v>400300</v>
      </c>
      <c r="F694" s="240" t="s">
        <v>2804</v>
      </c>
      <c r="G694" s="55" t="s">
        <v>712</v>
      </c>
      <c r="H694" s="79">
        <f>356000+74500</f>
        <v>430500</v>
      </c>
      <c r="I694" s="85">
        <f t="shared" ref="I694:I701" si="841">IF(E694=H694,0,IF(E694=0,100,(H694-E694)/E694*100))</f>
        <v>7.5443417436922307</v>
      </c>
      <c r="J694" s="9">
        <v>441000</v>
      </c>
      <c r="K694" s="9">
        <f>ROUNDUP(J694+(J694*Assumptions!J$5),-2)</f>
        <v>452100</v>
      </c>
      <c r="L694" s="9">
        <f>ROUNDUP(K694+(K694*Assumptions!K$5),-2)</f>
        <v>463500</v>
      </c>
      <c r="M694" s="9">
        <f>ROUNDUP(L694+(L694*Assumptions!L$5),-2)</f>
        <v>475100</v>
      </c>
      <c r="N694" s="9">
        <f>ROUNDUP(M694+(M694*Assumptions!M$5),-2)</f>
        <v>487000</v>
      </c>
      <c r="O694" s="9">
        <f>ROUNDUP(N694+(N694*Assumptions!N$5),-2)</f>
        <v>499200</v>
      </c>
      <c r="P694" s="9">
        <f>ROUNDUP(O694+(O694*Assumptions!O$5),-2)</f>
        <v>511700</v>
      </c>
      <c r="Q694" s="9">
        <f>ROUNDUP(P694+(P694*Assumptions!P$5),-2)</f>
        <v>524500</v>
      </c>
      <c r="R694" s="9">
        <f>ROUNDUP(Q694+(Q694*Assumptions!Q$5),-2)</f>
        <v>537700</v>
      </c>
      <c r="S694" s="47">
        <f>ROUNDUP(R694+(R694*Assumptions!R$5),-2)</f>
        <v>551200</v>
      </c>
    </row>
    <row r="695" spans="1:23" x14ac:dyDescent="0.2">
      <c r="A695" s="54">
        <v>15700</v>
      </c>
      <c r="B695" s="9">
        <v>21900</v>
      </c>
      <c r="C695" s="9">
        <v>17000</v>
      </c>
      <c r="D695" s="9">
        <v>27400</v>
      </c>
      <c r="E695" s="9">
        <v>24100</v>
      </c>
      <c r="F695" s="240" t="s">
        <v>2805</v>
      </c>
      <c r="G695" s="55" t="s">
        <v>156</v>
      </c>
      <c r="H695" s="9">
        <v>24000</v>
      </c>
      <c r="I695" s="85">
        <f t="shared" si="841"/>
        <v>-0.41493775933609961</v>
      </c>
      <c r="J695" s="9">
        <v>25000</v>
      </c>
      <c r="K695" s="9">
        <f>ROUNDUP(J695+(J695*Assumptions!J$5),-2)</f>
        <v>25700</v>
      </c>
      <c r="L695" s="9">
        <f>ROUNDUP(K695+(K695*Assumptions!K$5),-2)</f>
        <v>26400</v>
      </c>
      <c r="M695" s="9">
        <f>ROUNDUP(L695+(L695*Assumptions!L$5),-2)</f>
        <v>27100</v>
      </c>
      <c r="N695" s="9">
        <f>ROUNDUP(M695+(M695*Assumptions!M$5),-2)</f>
        <v>27800</v>
      </c>
      <c r="O695" s="9">
        <f>ROUNDUP(N695+(N695*Assumptions!N$5),-2)</f>
        <v>28500</v>
      </c>
      <c r="P695" s="9">
        <f>ROUNDUP(O695+(O695*Assumptions!O$5),-2)</f>
        <v>29300</v>
      </c>
      <c r="Q695" s="9">
        <f>ROUNDUP(P695+(P695*Assumptions!P$5),-2)</f>
        <v>30100</v>
      </c>
      <c r="R695" s="9">
        <f>ROUNDUP(Q695+(Q695*Assumptions!Q$5),-2)</f>
        <v>30900</v>
      </c>
      <c r="S695" s="47">
        <f>ROUNDUP(R695+(R695*Assumptions!R$5),-2)</f>
        <v>31700</v>
      </c>
    </row>
    <row r="696" spans="1:23" x14ac:dyDescent="0.2">
      <c r="A696" s="54">
        <v>138400</v>
      </c>
      <c r="B696" s="9">
        <f>171000+13000</f>
        <v>184000</v>
      </c>
      <c r="C696" s="9">
        <f>24200+150000</f>
        <v>174200</v>
      </c>
      <c r="D696" s="9">
        <v>187900</v>
      </c>
      <c r="E696" s="9">
        <v>219700</v>
      </c>
      <c r="F696" s="240" t="s">
        <v>2806</v>
      </c>
      <c r="G696" s="55" t="s">
        <v>939</v>
      </c>
      <c r="H696" s="9">
        <v>235000</v>
      </c>
      <c r="I696" s="85">
        <f t="shared" si="841"/>
        <v>6.9640418752844786</v>
      </c>
      <c r="J696" s="9">
        <v>241000</v>
      </c>
      <c r="K696" s="9">
        <f>ROUNDUP(J696+(J696*Assumptions!J$5),-2)</f>
        <v>247100</v>
      </c>
      <c r="L696" s="9">
        <f>ROUNDUP(K696+(K696*Assumptions!K$5),-2)</f>
        <v>253300</v>
      </c>
      <c r="M696" s="9">
        <f>ROUNDUP(L696+(L696*Assumptions!L$5),-2)</f>
        <v>259700</v>
      </c>
      <c r="N696" s="9">
        <f>ROUNDUP(M696+(M696*Assumptions!M$5),-2)</f>
        <v>266200</v>
      </c>
      <c r="O696" s="9">
        <f>ROUNDUP(N696+(N696*Assumptions!N$5),-2)</f>
        <v>272900</v>
      </c>
      <c r="P696" s="9">
        <f>ROUNDUP(O696+(O696*Assumptions!O$5),-2)</f>
        <v>279800</v>
      </c>
      <c r="Q696" s="9">
        <f>ROUNDUP(P696+(P696*Assumptions!P$5),-2)</f>
        <v>286800</v>
      </c>
      <c r="R696" s="9">
        <f>ROUNDUP(Q696+(Q696*Assumptions!Q$5),-2)</f>
        <v>294000</v>
      </c>
      <c r="S696" s="47">
        <f>ROUNDUP(R696+(R696*Assumptions!R$5),-2)</f>
        <v>301400</v>
      </c>
    </row>
    <row r="697" spans="1:23" x14ac:dyDescent="0.2">
      <c r="A697" s="54">
        <v>25300</v>
      </c>
      <c r="B697" s="9">
        <v>40400</v>
      </c>
      <c r="C697" s="9">
        <v>34200</v>
      </c>
      <c r="D697" s="9">
        <v>27700</v>
      </c>
      <c r="E697" s="9">
        <v>19000</v>
      </c>
      <c r="F697" s="240" t="s">
        <v>2807</v>
      </c>
      <c r="G697" s="55" t="s">
        <v>1038</v>
      </c>
      <c r="H697" s="9">
        <v>27000</v>
      </c>
      <c r="I697" s="85">
        <f t="shared" si="841"/>
        <v>42.105263157894733</v>
      </c>
      <c r="J697" s="9">
        <v>28000</v>
      </c>
      <c r="K697" s="9">
        <f>ROUNDUP(J697+(J697*Assumptions!J$5),-2)</f>
        <v>28700</v>
      </c>
      <c r="L697" s="9">
        <f>ROUNDUP(K697+(K697*Assumptions!K$5),-2)</f>
        <v>29500</v>
      </c>
      <c r="M697" s="9">
        <f>ROUNDUP(L697+(L697*Assumptions!L$5),-2)</f>
        <v>30300</v>
      </c>
      <c r="N697" s="9">
        <f>ROUNDUP(M697+(M697*Assumptions!M$5),-2)</f>
        <v>31100</v>
      </c>
      <c r="O697" s="9">
        <f>ROUNDUP(N697+(N697*Assumptions!N$5),-2)</f>
        <v>31900</v>
      </c>
      <c r="P697" s="9">
        <f>ROUNDUP(O697+(O697*Assumptions!O$5),-2)</f>
        <v>32700</v>
      </c>
      <c r="Q697" s="9">
        <f>ROUNDUP(P697+(P697*Assumptions!P$5),-2)</f>
        <v>33600</v>
      </c>
      <c r="R697" s="9">
        <f>ROUNDUP(Q697+(Q697*Assumptions!Q$5),-2)</f>
        <v>34500</v>
      </c>
      <c r="S697" s="47">
        <f>ROUNDUP(R697+(R697*Assumptions!R$5),-2)</f>
        <v>35400</v>
      </c>
    </row>
    <row r="698" spans="1:23" x14ac:dyDescent="0.2">
      <c r="A698" s="54">
        <v>30600</v>
      </c>
      <c r="B698" s="9">
        <v>23700</v>
      </c>
      <c r="C698" s="9">
        <v>35000</v>
      </c>
      <c r="D698" s="9">
        <v>31700</v>
      </c>
      <c r="E698" s="9">
        <v>151500</v>
      </c>
      <c r="F698" s="240" t="s">
        <v>2400</v>
      </c>
      <c r="G698" s="55" t="s">
        <v>675</v>
      </c>
      <c r="H698" s="9">
        <v>31000</v>
      </c>
      <c r="I698" s="85">
        <f t="shared" si="841"/>
        <v>-79.537953795379536</v>
      </c>
      <c r="J698" s="9">
        <v>32000</v>
      </c>
      <c r="K698" s="9">
        <f>ROUNDUP(J698+(J698*Assumptions!J$5),-2)</f>
        <v>32800</v>
      </c>
      <c r="L698" s="9">
        <f>ROUNDUP(K698+(K698*Assumptions!K$5),-2)</f>
        <v>33700</v>
      </c>
      <c r="M698" s="9">
        <f>ROUNDUP(L698+(L698*Assumptions!L$5),-2)</f>
        <v>34600</v>
      </c>
      <c r="N698" s="9">
        <f>ROUNDUP(M698+(M698*Assumptions!M$5),-2)</f>
        <v>35500</v>
      </c>
      <c r="O698" s="9">
        <f>ROUNDUP(N698+(N698*Assumptions!N$5),-2)</f>
        <v>36400</v>
      </c>
      <c r="P698" s="9">
        <f>ROUNDUP(O698+(O698*Assumptions!O$5),-2)</f>
        <v>37400</v>
      </c>
      <c r="Q698" s="9">
        <f>ROUNDUP(P698+(P698*Assumptions!P$5),-2)</f>
        <v>38400</v>
      </c>
      <c r="R698" s="9">
        <f>ROUNDUP(Q698+(Q698*Assumptions!Q$5),-2)</f>
        <v>39400</v>
      </c>
      <c r="S698" s="47">
        <f>ROUNDUP(R698+(R698*Assumptions!R$5),-2)</f>
        <v>40400</v>
      </c>
    </row>
    <row r="699" spans="1:23" x14ac:dyDescent="0.2">
      <c r="A699" s="54">
        <v>0</v>
      </c>
      <c r="B699" s="9">
        <v>0</v>
      </c>
      <c r="C699" s="9">
        <v>0</v>
      </c>
      <c r="D699" s="9">
        <v>21300</v>
      </c>
      <c r="E699" s="9">
        <v>8500</v>
      </c>
      <c r="F699" s="577" t="s">
        <v>5992</v>
      </c>
      <c r="G699" s="58" t="s">
        <v>6008</v>
      </c>
      <c r="H699" s="9">
        <v>0</v>
      </c>
      <c r="I699" s="85">
        <f t="shared" si="841"/>
        <v>-100</v>
      </c>
      <c r="J699" s="9">
        <v>0</v>
      </c>
      <c r="K699" s="9">
        <f>ROUNDUP(J699+(J699*Assumptions!J$5),-2)</f>
        <v>0</v>
      </c>
      <c r="L699" s="9">
        <f>ROUNDUP(K699+(K699*Assumptions!K$5),-2)</f>
        <v>0</v>
      </c>
      <c r="M699" s="9">
        <f>ROUNDUP(L699+(L699*Assumptions!L$5),-2)</f>
        <v>0</v>
      </c>
      <c r="N699" s="9">
        <f>ROUNDUP(M699+(M699*Assumptions!M$5),-2)</f>
        <v>0</v>
      </c>
      <c r="O699" s="9">
        <f>ROUNDUP(N699+(N699*Assumptions!N$5),-2)</f>
        <v>0</v>
      </c>
      <c r="P699" s="9">
        <f>ROUNDUP(O699+(O699*Assumptions!O$5),-2)</f>
        <v>0</v>
      </c>
      <c r="Q699" s="9">
        <f>ROUNDUP(P699+(P699*Assumptions!P$5),-2)</f>
        <v>0</v>
      </c>
      <c r="R699" s="9">
        <f>ROUNDUP(Q699+(Q699*Assumptions!Q$5),-2)</f>
        <v>0</v>
      </c>
      <c r="S699" s="47">
        <f>ROUNDUP(R699+(R699*Assumptions!R$5),-2)</f>
        <v>0</v>
      </c>
    </row>
    <row r="700" spans="1:23" x14ac:dyDescent="0.2">
      <c r="A700" s="54">
        <v>0</v>
      </c>
      <c r="B700" s="9">
        <v>0</v>
      </c>
      <c r="C700" s="9">
        <v>0</v>
      </c>
      <c r="D700" s="9">
        <v>0</v>
      </c>
      <c r="E700" s="9">
        <v>21100</v>
      </c>
      <c r="F700" s="577" t="s">
        <v>6398</v>
      </c>
      <c r="G700" s="58" t="s">
        <v>6134</v>
      </c>
      <c r="H700" s="9">
        <v>50000</v>
      </c>
      <c r="I700" s="85">
        <f t="shared" si="841"/>
        <v>136.96682464454977</v>
      </c>
      <c r="J700" s="9">
        <v>51000</v>
      </c>
      <c r="K700" s="9">
        <f>ROUNDUP(J700+(J700*Assumptions!J$5),-2)</f>
        <v>52300</v>
      </c>
      <c r="L700" s="9">
        <f>ROUNDUP(K700+(K700*Assumptions!K$5),-2)</f>
        <v>53700</v>
      </c>
      <c r="M700" s="9">
        <f>ROUNDUP(L700+(L700*Assumptions!L$5),-2)</f>
        <v>55100</v>
      </c>
      <c r="N700" s="9">
        <f>ROUNDUP(M700+(M700*Assumptions!M$5),-2)</f>
        <v>56500</v>
      </c>
      <c r="O700" s="9">
        <f>ROUNDUP(N700+(N700*Assumptions!N$5),-2)</f>
        <v>58000</v>
      </c>
      <c r="P700" s="9">
        <f>ROUNDUP(O700+(O700*Assumptions!O$5),-2)</f>
        <v>59500</v>
      </c>
      <c r="Q700" s="9">
        <f>ROUNDUP(P700+(P700*Assumptions!P$5),-2)</f>
        <v>61000</v>
      </c>
      <c r="R700" s="9">
        <f>ROUNDUP(Q700+(Q700*Assumptions!Q$5),-2)</f>
        <v>62600</v>
      </c>
      <c r="S700" s="47">
        <f>ROUNDUP(R700+(R700*Assumptions!R$5),-2)</f>
        <v>64200</v>
      </c>
    </row>
    <row r="701" spans="1:23" x14ac:dyDescent="0.2">
      <c r="A701" s="54"/>
      <c r="B701" s="9"/>
      <c r="C701" s="9"/>
      <c r="D701" s="9"/>
      <c r="E701" s="9">
        <v>0</v>
      </c>
      <c r="F701" s="577" t="s">
        <v>6886</v>
      </c>
      <c r="G701" s="58" t="s">
        <v>6881</v>
      </c>
      <c r="H701" s="9">
        <v>4700</v>
      </c>
      <c r="I701" s="85">
        <f t="shared" si="841"/>
        <v>100</v>
      </c>
      <c r="J701" s="9">
        <v>0</v>
      </c>
      <c r="K701" s="9">
        <f>ROUNDUP(J701+(J701*Assumptions!J$5),-2)</f>
        <v>0</v>
      </c>
      <c r="L701" s="9">
        <f>ROUNDUP(K701+(K701*Assumptions!K$5),-2)</f>
        <v>0</v>
      </c>
      <c r="M701" s="9">
        <f>ROUNDUP(L701+(L701*Assumptions!L$5),-2)</f>
        <v>0</v>
      </c>
      <c r="N701" s="9">
        <f>ROUNDUP(M701+(M701*Assumptions!M$5),-2)</f>
        <v>0</v>
      </c>
      <c r="O701" s="9">
        <f>ROUNDUP(N701+(N701*Assumptions!N$5),-2)</f>
        <v>0</v>
      </c>
      <c r="P701" s="9">
        <f>ROUNDUP(O701+(O701*Assumptions!O$5),-2)</f>
        <v>0</v>
      </c>
      <c r="Q701" s="9">
        <f>ROUNDUP(P701+(P701*Assumptions!P$5),-2)</f>
        <v>0</v>
      </c>
      <c r="R701" s="9">
        <f>ROUNDUP(Q701+(Q701*Assumptions!Q$5),-2)</f>
        <v>0</v>
      </c>
      <c r="S701" s="47">
        <f>ROUNDUP(R701+(R701*Assumptions!R$5),-2)</f>
        <v>0</v>
      </c>
    </row>
    <row r="702" spans="1:23" ht="13.5" thickBot="1" x14ac:dyDescent="0.25">
      <c r="A702" s="54"/>
      <c r="B702" s="9"/>
      <c r="C702" s="9"/>
      <c r="D702" s="9"/>
      <c r="E702" s="9"/>
      <c r="F702" s="177"/>
      <c r="G702" s="55"/>
      <c r="H702" s="9"/>
      <c r="I702" s="85"/>
      <c r="J702" s="9"/>
      <c r="K702" s="9"/>
      <c r="L702" s="9"/>
      <c r="M702" s="9"/>
      <c r="N702" s="9"/>
      <c r="O702" s="9"/>
      <c r="P702" s="9"/>
      <c r="Q702" s="9"/>
      <c r="R702" s="9"/>
      <c r="S702" s="47"/>
    </row>
    <row r="703" spans="1:23" s="39" customFormat="1" x14ac:dyDescent="0.2">
      <c r="A703" s="52">
        <f>SUBTOTAL(9,A678:A702)</f>
        <v>1577500</v>
      </c>
      <c r="B703" s="16">
        <f>SUBTOTAL(9,B678:B702)</f>
        <v>1838300</v>
      </c>
      <c r="C703" s="16">
        <f>SUBTOTAL(9,C678:C702)</f>
        <v>1913000</v>
      </c>
      <c r="D703" s="16">
        <f>SUBTOTAL(9,D678:D702)</f>
        <v>2049200</v>
      </c>
      <c r="E703" s="16">
        <f>SUBTOTAL(9,E678:E702)</f>
        <v>2375000</v>
      </c>
      <c r="F703" s="188"/>
      <c r="G703" s="59" t="s">
        <v>556</v>
      </c>
      <c r="H703" s="16">
        <f t="shared" ref="H703:Q703" si="842">SUBTOTAL(9,H678:H702)</f>
        <v>2603000</v>
      </c>
      <c r="I703" s="1425">
        <f>IF(E703=H703,0,IF(E703=0,100,(H703-E703)/E703*100))</f>
        <v>9.6</v>
      </c>
      <c r="J703" s="16">
        <f t="shared" si="842"/>
        <v>2671400</v>
      </c>
      <c r="K703" s="16">
        <f t="shared" si="842"/>
        <v>2735600</v>
      </c>
      <c r="L703" s="16">
        <f t="shared" si="842"/>
        <v>2801600</v>
      </c>
      <c r="M703" s="16">
        <f t="shared" si="842"/>
        <v>2869200</v>
      </c>
      <c r="N703" s="16">
        <f t="shared" si="842"/>
        <v>2938100</v>
      </c>
      <c r="O703" s="16">
        <f t="shared" si="842"/>
        <v>3008600</v>
      </c>
      <c r="P703" s="16">
        <f t="shared" si="842"/>
        <v>3081100</v>
      </c>
      <c r="Q703" s="16">
        <f t="shared" si="842"/>
        <v>3155200</v>
      </c>
      <c r="R703" s="16">
        <f t="shared" ref="R703" si="843">SUBTOTAL(9,R678:R702)</f>
        <v>3231300</v>
      </c>
      <c r="S703" s="2342">
        <f t="shared" ref="S703" si="844">SUBTOTAL(9,S678:S702)</f>
        <v>3309000</v>
      </c>
      <c r="U703" s="34"/>
      <c r="W703" s="34"/>
    </row>
    <row r="704" spans="1:23" x14ac:dyDescent="0.2">
      <c r="A704" s="54"/>
      <c r="B704" s="9"/>
      <c r="C704" s="9"/>
      <c r="D704" s="9"/>
      <c r="E704" s="9"/>
      <c r="F704" s="177"/>
      <c r="G704" s="55"/>
      <c r="H704" s="9"/>
      <c r="I704" s="85"/>
      <c r="J704" s="9"/>
      <c r="K704" s="9"/>
      <c r="L704" s="9"/>
      <c r="M704" s="9"/>
      <c r="N704" s="9"/>
      <c r="O704" s="9"/>
      <c r="P704" s="9"/>
      <c r="Q704" s="9"/>
      <c r="R704" s="9"/>
      <c r="S704" s="47"/>
    </row>
    <row r="705" spans="1:23" s="39" customFormat="1" x14ac:dyDescent="0.2">
      <c r="A705" s="24">
        <f>A676-A703</f>
        <v>-1573200</v>
      </c>
      <c r="B705" s="21">
        <f>B676-B703</f>
        <v>-1824700</v>
      </c>
      <c r="C705" s="21">
        <f>C676-C703</f>
        <v>-1895400</v>
      </c>
      <c r="D705" s="21">
        <f>D676-D703</f>
        <v>-2046100</v>
      </c>
      <c r="E705" s="21">
        <f>E676-E703</f>
        <v>-2143900</v>
      </c>
      <c r="F705" s="188"/>
      <c r="G705" s="1161" t="s">
        <v>1002</v>
      </c>
      <c r="H705" s="21">
        <f t="shared" ref="H705:Q705" si="845">H676-H703</f>
        <v>-2500000</v>
      </c>
      <c r="I705" s="126">
        <f>IF(E705=H705,0,IF(E705=0,100,(H705-E705)/E705*100))</f>
        <v>16.609916507299779</v>
      </c>
      <c r="J705" s="21">
        <f t="shared" si="845"/>
        <v>-2578400</v>
      </c>
      <c r="K705" s="21">
        <f t="shared" si="845"/>
        <v>-2640200</v>
      </c>
      <c r="L705" s="21">
        <f t="shared" si="845"/>
        <v>-2703700</v>
      </c>
      <c r="M705" s="21">
        <f t="shared" si="845"/>
        <v>-2768800</v>
      </c>
      <c r="N705" s="21">
        <f t="shared" si="845"/>
        <v>-2835100</v>
      </c>
      <c r="O705" s="21">
        <f t="shared" si="845"/>
        <v>-2903000</v>
      </c>
      <c r="P705" s="21">
        <f t="shared" si="845"/>
        <v>-2972800</v>
      </c>
      <c r="Q705" s="21">
        <f t="shared" si="845"/>
        <v>-3044100</v>
      </c>
      <c r="R705" s="21">
        <f t="shared" ref="R705" si="846">R676-R703</f>
        <v>-3117400</v>
      </c>
      <c r="S705" s="86">
        <f t="shared" ref="S705" si="847">S676-S703</f>
        <v>-3192200</v>
      </c>
      <c r="U705" s="34"/>
      <c r="W705" s="34"/>
    </row>
    <row r="706" spans="1:23" x14ac:dyDescent="0.2">
      <c r="A706" s="54">
        <v>0</v>
      </c>
      <c r="B706" s="9">
        <v>0</v>
      </c>
      <c r="C706" s="9">
        <v>0</v>
      </c>
      <c r="D706" s="9">
        <v>0</v>
      </c>
      <c r="E706" s="9">
        <v>0</v>
      </c>
      <c r="F706" s="177"/>
      <c r="G706" s="217" t="s">
        <v>1943</v>
      </c>
      <c r="H706" s="9">
        <v>0</v>
      </c>
      <c r="I706" s="85">
        <f>IF(E706=H706,0,IF(E706=0,100,(H706-E706)/E706*100))</f>
        <v>0</v>
      </c>
      <c r="J706" s="9">
        <v>0</v>
      </c>
      <c r="K706" s="9">
        <v>0</v>
      </c>
      <c r="L706" s="9">
        <v>0</v>
      </c>
      <c r="M706" s="9">
        <v>0</v>
      </c>
      <c r="N706" s="9">
        <v>0</v>
      </c>
      <c r="O706" s="9">
        <v>0</v>
      </c>
      <c r="P706" s="9">
        <v>0</v>
      </c>
      <c r="Q706" s="9">
        <v>0</v>
      </c>
      <c r="R706" s="9">
        <v>0</v>
      </c>
      <c r="S706" s="47">
        <v>0</v>
      </c>
    </row>
    <row r="707" spans="1:23" s="39" customFormat="1" x14ac:dyDescent="0.2">
      <c r="A707" s="128">
        <f>A705+A706</f>
        <v>-1573200</v>
      </c>
      <c r="B707" s="280">
        <f>B705+B706</f>
        <v>-1824700</v>
      </c>
      <c r="C707" s="280">
        <f>C705+C706</f>
        <v>-1895400</v>
      </c>
      <c r="D707" s="280">
        <f>D705+D706</f>
        <v>-2046100</v>
      </c>
      <c r="E707" s="280">
        <f t="shared" ref="E707" si="848">E705+E706</f>
        <v>-2143900</v>
      </c>
      <c r="F707" s="359"/>
      <c r="G707" s="360" t="s">
        <v>1659</v>
      </c>
      <c r="H707" s="280">
        <f t="shared" ref="H707:O707" si="849">H705+H706</f>
        <v>-2500000</v>
      </c>
      <c r="I707" s="278">
        <f>IF(E707=H707,0,IF(E707=0,100,(H707-E707)/E707*100))</f>
        <v>16.609916507299779</v>
      </c>
      <c r="J707" s="280">
        <f t="shared" si="849"/>
        <v>-2578400</v>
      </c>
      <c r="K707" s="280">
        <f t="shared" si="849"/>
        <v>-2640200</v>
      </c>
      <c r="L707" s="280">
        <f t="shared" si="849"/>
        <v>-2703700</v>
      </c>
      <c r="M707" s="280">
        <f t="shared" si="849"/>
        <v>-2768800</v>
      </c>
      <c r="N707" s="280">
        <f t="shared" si="849"/>
        <v>-2835100</v>
      </c>
      <c r="O707" s="280">
        <f t="shared" si="849"/>
        <v>-2903000</v>
      </c>
      <c r="P707" s="280">
        <f t="shared" ref="P707:Q707" si="850">P705+P706</f>
        <v>-2972800</v>
      </c>
      <c r="Q707" s="280">
        <f t="shared" si="850"/>
        <v>-3044100</v>
      </c>
      <c r="R707" s="280">
        <f t="shared" ref="R707" si="851">R705+R706</f>
        <v>-3117400</v>
      </c>
      <c r="S707" s="2343">
        <f t="shared" ref="S707" si="852">S705+S706</f>
        <v>-3192200</v>
      </c>
      <c r="U707" s="34"/>
      <c r="W707" s="34"/>
    </row>
    <row r="708" spans="1:23" ht="13.5" thickBot="1" x14ac:dyDescent="0.25">
      <c r="A708" s="118"/>
      <c r="B708" s="23"/>
      <c r="C708" s="23"/>
      <c r="D708" s="23"/>
      <c r="E708" s="23"/>
      <c r="F708" s="389"/>
      <c r="G708" s="120"/>
      <c r="H708" s="68"/>
      <c r="I708" s="87"/>
      <c r="J708" s="68"/>
      <c r="K708" s="68"/>
      <c r="L708" s="68"/>
      <c r="M708" s="68"/>
      <c r="N708" s="68"/>
      <c r="O708" s="68"/>
      <c r="P708" s="68"/>
      <c r="Q708" s="68"/>
      <c r="R708" s="68"/>
      <c r="S708" s="108"/>
    </row>
    <row r="709" spans="1:23" ht="13.5" thickTop="1" x14ac:dyDescent="0.2">
      <c r="A709" s="270"/>
      <c r="B709" s="69"/>
      <c r="C709" s="109"/>
      <c r="D709" s="109"/>
      <c r="E709" s="74"/>
      <c r="F709" s="192"/>
      <c r="G709" s="258"/>
      <c r="H709" s="74"/>
      <c r="I709" s="276"/>
      <c r="J709" s="74"/>
      <c r="K709" s="74"/>
      <c r="L709" s="74"/>
      <c r="M709" s="74"/>
      <c r="N709" s="74"/>
      <c r="O709" s="74"/>
      <c r="P709" s="74"/>
      <c r="Q709" s="74"/>
      <c r="R709" s="74"/>
      <c r="S709" s="110"/>
    </row>
    <row r="710" spans="1:23" x14ac:dyDescent="0.2">
      <c r="A710" s="24"/>
      <c r="B710" s="75"/>
      <c r="C710" s="21"/>
      <c r="D710" s="21"/>
      <c r="E710" s="9"/>
      <c r="F710" s="189"/>
      <c r="G710" s="361" t="s">
        <v>192</v>
      </c>
      <c r="H710" s="9"/>
      <c r="I710" s="1182"/>
      <c r="J710" s="9"/>
      <c r="K710" s="9"/>
      <c r="L710" s="9"/>
      <c r="M710" s="9"/>
      <c r="N710" s="9"/>
      <c r="O710" s="9"/>
      <c r="P710" s="9"/>
      <c r="Q710" s="9"/>
      <c r="R710" s="9"/>
      <c r="S710" s="61"/>
    </row>
    <row r="711" spans="1:23" x14ac:dyDescent="0.2">
      <c r="A711" s="24"/>
      <c r="B711" s="75"/>
      <c r="C711" s="75"/>
      <c r="D711" s="75"/>
      <c r="E711" s="9"/>
      <c r="F711" s="165"/>
      <c r="G711" s="260"/>
      <c r="H711" s="9"/>
      <c r="I711" s="1182"/>
      <c r="J711" s="9"/>
      <c r="K711" s="9"/>
      <c r="L711" s="9"/>
      <c r="M711" s="9"/>
      <c r="N711" s="9"/>
      <c r="O711" s="9"/>
      <c r="P711" s="9"/>
      <c r="Q711" s="9"/>
      <c r="R711" s="9"/>
      <c r="S711" s="61"/>
    </row>
    <row r="712" spans="1:23" x14ac:dyDescent="0.2">
      <c r="A712" s="54">
        <v>0</v>
      </c>
      <c r="B712" s="89">
        <v>0</v>
      </c>
      <c r="C712" s="89">
        <v>0</v>
      </c>
      <c r="D712" s="89">
        <v>0</v>
      </c>
      <c r="E712" s="9">
        <v>0</v>
      </c>
      <c r="F712" s="165"/>
      <c r="G712" s="257" t="s">
        <v>2848</v>
      </c>
      <c r="H712" s="9">
        <v>0</v>
      </c>
      <c r="I712" s="1157">
        <f>IF(E712=H712,0,IF(E712=0,100,(H712-E712)/E712*100))</f>
        <v>0</v>
      </c>
      <c r="J712" s="9">
        <v>0</v>
      </c>
      <c r="K712" s="9">
        <v>0</v>
      </c>
      <c r="L712" s="9">
        <v>0</v>
      </c>
      <c r="M712" s="9">
        <v>0</v>
      </c>
      <c r="N712" s="9">
        <v>0</v>
      </c>
      <c r="O712" s="9">
        <v>0</v>
      </c>
      <c r="P712" s="9">
        <v>0</v>
      </c>
      <c r="Q712" s="9">
        <v>0</v>
      </c>
      <c r="R712" s="9">
        <v>0</v>
      </c>
      <c r="S712" s="61">
        <v>0</v>
      </c>
    </row>
    <row r="713" spans="1:23" x14ac:dyDescent="0.2">
      <c r="A713" s="54">
        <v>0</v>
      </c>
      <c r="B713" s="89">
        <v>0</v>
      </c>
      <c r="C713" s="9">
        <v>40000</v>
      </c>
      <c r="D713" s="9">
        <f>SUM('Res-Gen'!B57:'Res-Gen'!B59)</f>
        <v>59100</v>
      </c>
      <c r="E713" s="9">
        <v>139200</v>
      </c>
      <c r="F713" s="165"/>
      <c r="G713" s="257" t="s">
        <v>1909</v>
      </c>
      <c r="H713" s="9">
        <f>SUM('Res-Gen'!H57:'Res-Gen'!H60)</f>
        <v>0</v>
      </c>
      <c r="I713" s="1157">
        <f>IF(E713=H713,0,IF(E713=0,100,(H713-E713)/E713*100))</f>
        <v>-100</v>
      </c>
      <c r="J713" s="9">
        <f>'Res-Gen'!K60</f>
        <v>0</v>
      </c>
      <c r="K713" s="9">
        <f>'Res-Gen'!N60</f>
        <v>0</v>
      </c>
      <c r="L713" s="9">
        <f>'Res-Gen'!Q60</f>
        <v>0</v>
      </c>
      <c r="M713" s="9">
        <f>'Res-Gen'!T60</f>
        <v>0</v>
      </c>
      <c r="N713" s="9">
        <f>'Res-Gen'!W60</f>
        <v>0</v>
      </c>
      <c r="O713" s="9">
        <f>'Res-Gen'!Z60</f>
        <v>0</v>
      </c>
      <c r="P713" s="9">
        <f>'Res-Gen'!AC60</f>
        <v>0</v>
      </c>
      <c r="Q713" s="9">
        <f>'Res-Gen'!AF60</f>
        <v>0</v>
      </c>
      <c r="R713" s="9">
        <f>'Res-Gen'!AG60</f>
        <v>0</v>
      </c>
      <c r="S713" s="61">
        <f>'Res-Gen'!AH60</f>
        <v>0</v>
      </c>
    </row>
    <row r="714" spans="1:23" x14ac:dyDescent="0.2">
      <c r="A714" s="54">
        <v>0</v>
      </c>
      <c r="B714" s="89">
        <v>0</v>
      </c>
      <c r="C714" s="9">
        <v>0</v>
      </c>
      <c r="D714" s="9">
        <f>SUM('Res-Gen'!C56:C60)</f>
        <v>40000</v>
      </c>
      <c r="E714" s="9">
        <v>32000</v>
      </c>
      <c r="F714" s="9"/>
      <c r="G714" s="257" t="s">
        <v>2309</v>
      </c>
      <c r="H714" s="9">
        <f>SUM('Res-Gen'!I56:I60)</f>
        <v>154200</v>
      </c>
      <c r="I714" s="1157">
        <f>IF(E714=H714,0,IF(E714=0,100,(H714-E714)/E714*100))</f>
        <v>381.875</v>
      </c>
      <c r="J714" s="9">
        <v>0</v>
      </c>
      <c r="K714" s="9">
        <v>0</v>
      </c>
      <c r="L714" s="9">
        <v>0</v>
      </c>
      <c r="M714" s="9">
        <v>0</v>
      </c>
      <c r="N714" s="9">
        <v>0</v>
      </c>
      <c r="O714" s="9">
        <v>0</v>
      </c>
      <c r="P714" s="9">
        <v>0</v>
      </c>
      <c r="Q714" s="9">
        <v>0</v>
      </c>
      <c r="R714" s="9">
        <v>0</v>
      </c>
      <c r="S714" s="61">
        <v>0</v>
      </c>
    </row>
    <row r="715" spans="1:23" x14ac:dyDescent="0.2">
      <c r="A715" s="54">
        <v>0</v>
      </c>
      <c r="B715" s="89">
        <v>0</v>
      </c>
      <c r="C715" s="9">
        <v>0</v>
      </c>
      <c r="D715" s="9">
        <v>0</v>
      </c>
      <c r="E715" s="9">
        <v>0</v>
      </c>
      <c r="F715" s="165"/>
      <c r="G715" s="257" t="s">
        <v>5847</v>
      </c>
      <c r="H715" s="9">
        <v>0</v>
      </c>
      <c r="I715" s="1157">
        <f>IF(E715=H715,0,IF(E715=0,100,(H715-E715)/E715*100))</f>
        <v>0</v>
      </c>
      <c r="J715" s="9">
        <v>0</v>
      </c>
      <c r="K715" s="9">
        <v>0</v>
      </c>
      <c r="L715" s="9">
        <v>0</v>
      </c>
      <c r="M715" s="9">
        <v>0</v>
      </c>
      <c r="N715" s="9">
        <v>0</v>
      </c>
      <c r="O715" s="9">
        <v>0</v>
      </c>
      <c r="P715" s="9">
        <v>0</v>
      </c>
      <c r="Q715" s="9">
        <v>0</v>
      </c>
      <c r="R715" s="9">
        <v>0</v>
      </c>
      <c r="S715" s="61">
        <v>0</v>
      </c>
    </row>
    <row r="716" spans="1:23" x14ac:dyDescent="0.2">
      <c r="A716" s="54">
        <v>20000</v>
      </c>
      <c r="B716" s="89">
        <v>26600</v>
      </c>
      <c r="C716" s="9">
        <v>11400</v>
      </c>
      <c r="D716" s="9">
        <f>SUM('Cap-Gen'!E29:E38)</f>
        <v>54300</v>
      </c>
      <c r="E716" s="9">
        <f>SUM('Cap-Gen'!F29:F35)</f>
        <v>66700</v>
      </c>
      <c r="F716" s="165"/>
      <c r="G716" s="257" t="s">
        <v>958</v>
      </c>
      <c r="H716" s="9">
        <f>SUM('Cap-Gen'!G29:G35)</f>
        <v>124800</v>
      </c>
      <c r="I716" s="1157">
        <f>IF(E716=H716,0,IF(E716=0,100,(H716-E716)/E716*100))</f>
        <v>87.106446776611691</v>
      </c>
      <c r="J716" s="9">
        <f>SUM('Cap-Gen'!H29:H35)</f>
        <v>23000</v>
      </c>
      <c r="K716" s="9">
        <f>SUM('Cap-Gen'!I29:I35)</f>
        <v>24000</v>
      </c>
      <c r="L716" s="9">
        <f>SUM('Cap-Gen'!J29:J35)</f>
        <v>25000</v>
      </c>
      <c r="M716" s="9">
        <f>SUM('Cap-Gen'!K29:K35)</f>
        <v>26000</v>
      </c>
      <c r="N716" s="9">
        <f>SUM('Cap-Gen'!L29:L35)</f>
        <v>27000</v>
      </c>
      <c r="O716" s="9">
        <f>SUM('Cap-Gen'!M29:M35)</f>
        <v>28000</v>
      </c>
      <c r="P716" s="9">
        <f>SUM('Cap-Gen'!N29:N35)</f>
        <v>29000</v>
      </c>
      <c r="Q716" s="9">
        <f>SUM('Cap-Gen'!O29:O35)</f>
        <v>30000</v>
      </c>
      <c r="R716" s="9">
        <f>SUM('Cap-Gen'!P29:P35)</f>
        <v>31000</v>
      </c>
      <c r="S716" s="47">
        <f>SUM('Cap-Gen'!Q29:Q35)</f>
        <v>32000</v>
      </c>
    </row>
    <row r="717" spans="1:23" x14ac:dyDescent="0.2">
      <c r="A717" s="54"/>
      <c r="B717" s="89"/>
      <c r="C717" s="9"/>
      <c r="D717" s="9"/>
      <c r="E717" s="9"/>
      <c r="F717" s="189"/>
      <c r="G717" s="361"/>
      <c r="H717" s="9"/>
      <c r="I717" s="1157"/>
      <c r="J717" s="9"/>
      <c r="K717" s="9"/>
      <c r="L717" s="9"/>
      <c r="M717" s="9"/>
      <c r="N717" s="9"/>
      <c r="O717" s="9"/>
      <c r="P717" s="9"/>
      <c r="Q717" s="9"/>
      <c r="R717" s="9"/>
      <c r="S717" s="61"/>
    </row>
    <row r="718" spans="1:23" s="39" customFormat="1" x14ac:dyDescent="0.2">
      <c r="A718" s="128">
        <f>A707-A712-A713+A714++A715-A716</f>
        <v>-1593200</v>
      </c>
      <c r="B718" s="266">
        <f>B707-B712-B713+B714++B715-B716</f>
        <v>-1851300</v>
      </c>
      <c r="C718" s="280">
        <f>C707-C712-C713+C714++C715-C716</f>
        <v>-1946800</v>
      </c>
      <c r="D718" s="280">
        <f>D707-D712-D713+D714++D715-D716</f>
        <v>-2119500</v>
      </c>
      <c r="E718" s="280">
        <f>E707-E712-E713+E714++E715-E716</f>
        <v>-2317800</v>
      </c>
      <c r="F718" s="362"/>
      <c r="G718" s="363" t="s">
        <v>2447</v>
      </c>
      <c r="H718" s="280">
        <f t="shared" ref="H718:O718" si="853">H707-H712-H713+H714++H715-H716</f>
        <v>-2470600</v>
      </c>
      <c r="I718" s="278">
        <f>IF(E718=H718,0,IF(E718=0,100,(H718-E718)/E718*100))</f>
        <v>6.5924583656916047</v>
      </c>
      <c r="J718" s="280">
        <f t="shared" si="853"/>
        <v>-2601400</v>
      </c>
      <c r="K718" s="280">
        <f t="shared" si="853"/>
        <v>-2664200</v>
      </c>
      <c r="L718" s="280">
        <f t="shared" si="853"/>
        <v>-2728700</v>
      </c>
      <c r="M718" s="280">
        <f t="shared" si="853"/>
        <v>-2794800</v>
      </c>
      <c r="N718" s="280">
        <f t="shared" si="853"/>
        <v>-2862100</v>
      </c>
      <c r="O718" s="280">
        <f t="shared" si="853"/>
        <v>-2931000</v>
      </c>
      <c r="P718" s="280">
        <f t="shared" ref="P718:Q718" si="854">P707-P712-P713+P714++P715-P716</f>
        <v>-3001800</v>
      </c>
      <c r="Q718" s="280">
        <f t="shared" si="854"/>
        <v>-3074100</v>
      </c>
      <c r="R718" s="280">
        <f t="shared" ref="R718:S718" si="855">R707-R712-R713+R714++R715-R716</f>
        <v>-3148400</v>
      </c>
      <c r="S718" s="282">
        <f t="shared" si="855"/>
        <v>-3224200</v>
      </c>
      <c r="U718" s="34"/>
      <c r="W718" s="34"/>
    </row>
    <row r="719" spans="1:23" ht="13.5" thickBot="1" x14ac:dyDescent="0.25">
      <c r="A719" s="26"/>
      <c r="B719" s="81"/>
      <c r="C719" s="37"/>
      <c r="D719" s="37"/>
      <c r="E719" s="23"/>
      <c r="F719" s="190"/>
      <c r="G719" s="259"/>
      <c r="H719" s="23"/>
      <c r="I719" s="277"/>
      <c r="J719" s="23"/>
      <c r="K719" s="23"/>
      <c r="L719" s="23"/>
      <c r="M719" s="23"/>
      <c r="N719" s="23"/>
      <c r="O719" s="23"/>
      <c r="P719" s="23"/>
      <c r="Q719" s="23"/>
      <c r="R719" s="23"/>
      <c r="S719" s="112"/>
    </row>
    <row r="720" spans="1:23" ht="14.25" thickTop="1" thickBot="1" x14ac:dyDescent="0.25">
      <c r="A720" s="46"/>
      <c r="B720" s="46"/>
      <c r="F720" s="189"/>
      <c r="G720" s="55"/>
      <c r="I720" s="70"/>
    </row>
    <row r="721" spans="1:23" s="38" customFormat="1" ht="18.75" customHeight="1" thickTop="1" thickBot="1" x14ac:dyDescent="0.3">
      <c r="A721" s="2588" t="str">
        <f>A255</f>
        <v>HUMAN RESOURCES AND RISK MANAGEMENT</v>
      </c>
      <c r="B721" s="2589"/>
      <c r="C721" s="2589"/>
      <c r="D721" s="2589"/>
      <c r="E721" s="2589"/>
      <c r="F721" s="2589"/>
      <c r="G721" s="2589"/>
      <c r="H721" s="2589"/>
      <c r="I721" s="2589"/>
      <c r="J721" s="2589"/>
      <c r="K721" s="2589"/>
      <c r="L721" s="2589"/>
      <c r="M721" s="2589"/>
      <c r="N721" s="2589"/>
      <c r="O721" s="2589"/>
      <c r="P721" s="2589"/>
      <c r="Q721" s="2589"/>
      <c r="R721" s="2589"/>
      <c r="S721" s="2590"/>
      <c r="U721" s="34"/>
      <c r="W721" s="34"/>
    </row>
    <row r="722" spans="1:23" s="39" customFormat="1" x14ac:dyDescent="0.2">
      <c r="A722" s="2620" t="s">
        <v>1824</v>
      </c>
      <c r="B722" s="2621"/>
      <c r="C722" s="2621"/>
      <c r="D722" s="2621"/>
      <c r="E722" s="2622"/>
      <c r="F722" s="150" t="s">
        <v>2616</v>
      </c>
      <c r="G722" s="126" t="s">
        <v>2213</v>
      </c>
      <c r="H722" s="2617" t="s">
        <v>2215</v>
      </c>
      <c r="I722" s="2618"/>
      <c r="J722" s="2618"/>
      <c r="K722" s="2618"/>
      <c r="L722" s="2618"/>
      <c r="M722" s="2618"/>
      <c r="N722" s="2618"/>
      <c r="O722" s="2618"/>
      <c r="P722" s="2618"/>
      <c r="Q722" s="2618"/>
      <c r="R722" s="2618"/>
      <c r="S722" s="2619"/>
      <c r="U722" s="34"/>
      <c r="W722" s="34"/>
    </row>
    <row r="723" spans="1:23" ht="13.5" thickBot="1" x14ac:dyDescent="0.25">
      <c r="A723" s="541" t="str">
        <f>A3</f>
        <v>2012/13</v>
      </c>
      <c r="B723" s="28" t="str">
        <f>B3</f>
        <v>2013/14</v>
      </c>
      <c r="C723" s="40" t="str">
        <f>C3</f>
        <v>2014/15</v>
      </c>
      <c r="D723" s="40" t="str">
        <f>D3</f>
        <v>2015/16</v>
      </c>
      <c r="E723" s="40" t="str">
        <f>E3</f>
        <v>2016/17</v>
      </c>
      <c r="F723" s="40" t="s">
        <v>2617</v>
      </c>
      <c r="G723" s="41"/>
      <c r="H723" s="40" t="str">
        <f>H3</f>
        <v>2017/18</v>
      </c>
      <c r="I723" s="2057" t="s">
        <v>492</v>
      </c>
      <c r="J723" s="40" t="str">
        <f t="shared" ref="J723:S723" si="856">J3</f>
        <v>2018/19</v>
      </c>
      <c r="K723" s="40" t="str">
        <f t="shared" si="856"/>
        <v>2019/20</v>
      </c>
      <c r="L723" s="40" t="str">
        <f t="shared" si="856"/>
        <v>2020/21</v>
      </c>
      <c r="M723" s="40" t="str">
        <f t="shared" si="856"/>
        <v>2021/22</v>
      </c>
      <c r="N723" s="40" t="str">
        <f t="shared" si="856"/>
        <v>2022/23</v>
      </c>
      <c r="O723" s="40" t="str">
        <f t="shared" si="856"/>
        <v>2023/24</v>
      </c>
      <c r="P723" s="40" t="str">
        <f t="shared" si="856"/>
        <v>2024/25</v>
      </c>
      <c r="Q723" s="28" t="str">
        <f t="shared" si="856"/>
        <v>2025/26</v>
      </c>
      <c r="R723" s="28" t="str">
        <f t="shared" si="856"/>
        <v>2026/27</v>
      </c>
      <c r="S723" s="1620" t="str">
        <f t="shared" si="856"/>
        <v>2027/28</v>
      </c>
    </row>
    <row r="724" spans="1:23" x14ac:dyDescent="0.2">
      <c r="A724" s="54"/>
      <c r="B724" s="9"/>
      <c r="C724" s="9"/>
      <c r="D724" s="9"/>
      <c r="E724" s="9"/>
      <c r="F724" s="175"/>
      <c r="G724" s="27"/>
      <c r="H724" s="9"/>
      <c r="I724" s="85"/>
      <c r="J724" s="9"/>
      <c r="K724" s="9"/>
      <c r="L724" s="9"/>
      <c r="M724" s="9"/>
      <c r="N724" s="9"/>
      <c r="O724" s="9"/>
      <c r="P724" s="9"/>
      <c r="Q724" s="9"/>
      <c r="R724" s="9"/>
      <c r="S724" s="61"/>
    </row>
    <row r="725" spans="1:23" x14ac:dyDescent="0.2">
      <c r="A725" s="54"/>
      <c r="B725" s="9"/>
      <c r="C725" s="9"/>
      <c r="D725" s="9"/>
      <c r="E725" s="9"/>
      <c r="F725" s="175"/>
      <c r="G725" s="91" t="s">
        <v>1056</v>
      </c>
      <c r="H725" s="9"/>
      <c r="I725" s="85"/>
      <c r="J725" s="9"/>
      <c r="K725" s="9"/>
      <c r="L725" s="9"/>
      <c r="M725" s="9"/>
      <c r="N725" s="9"/>
      <c r="O725" s="9"/>
      <c r="P725" s="9"/>
      <c r="Q725" s="9"/>
      <c r="R725" s="9"/>
      <c r="S725" s="61"/>
    </row>
    <row r="726" spans="1:23" x14ac:dyDescent="0.2">
      <c r="A726" s="54"/>
      <c r="B726" s="9"/>
      <c r="C726" s="9"/>
      <c r="D726" s="9"/>
      <c r="E726" s="9"/>
      <c r="F726" s="175"/>
      <c r="G726" s="256"/>
      <c r="H726" s="9"/>
      <c r="I726" s="85"/>
      <c r="J726" s="9"/>
      <c r="K726" s="9"/>
      <c r="L726" s="9"/>
      <c r="M726" s="9"/>
      <c r="N726" s="9"/>
      <c r="O726" s="9"/>
      <c r="P726" s="9"/>
      <c r="Q726" s="9"/>
      <c r="R726" s="9"/>
      <c r="S726" s="61"/>
    </row>
    <row r="727" spans="1:23" x14ac:dyDescent="0.2">
      <c r="A727" s="54"/>
      <c r="B727" s="9"/>
      <c r="C727" s="9"/>
      <c r="D727" s="9"/>
      <c r="E727" s="9"/>
      <c r="F727" s="239"/>
      <c r="G727" s="1189" t="s">
        <v>677</v>
      </c>
      <c r="H727" s="9"/>
      <c r="I727" s="85"/>
      <c r="J727" s="9"/>
      <c r="K727" s="9"/>
      <c r="L727" s="9"/>
      <c r="M727" s="9"/>
      <c r="N727" s="9"/>
      <c r="O727" s="9"/>
      <c r="P727" s="9"/>
      <c r="Q727" s="9"/>
      <c r="R727" s="9"/>
      <c r="S727" s="61"/>
    </row>
    <row r="728" spans="1:23" x14ac:dyDescent="0.2">
      <c r="A728" s="54">
        <v>13000</v>
      </c>
      <c r="B728" s="9">
        <v>47100</v>
      </c>
      <c r="C728" s="9">
        <f>3000+29000</f>
        <v>32000</v>
      </c>
      <c r="D728" s="9">
        <v>34600</v>
      </c>
      <c r="E728" s="9">
        <v>15900</v>
      </c>
      <c r="F728" s="239" t="s">
        <v>2401</v>
      </c>
      <c r="G728" s="385" t="s">
        <v>885</v>
      </c>
      <c r="H728" s="9">
        <v>18000</v>
      </c>
      <c r="I728" s="85">
        <f>IF(E728=H728,0,IF(E728=0,100,(H728-E728)/E728*100))</f>
        <v>13.20754716981132</v>
      </c>
      <c r="J728" s="9">
        <v>18000</v>
      </c>
      <c r="K728" s="9">
        <f>ROUNDUP(J728+(J728*Assumptions!J$5),-2)</f>
        <v>18500</v>
      </c>
      <c r="L728" s="9">
        <f>ROUNDUP(K728+(K728*Assumptions!K$5),-2)</f>
        <v>19000</v>
      </c>
      <c r="M728" s="9">
        <f>ROUNDUP(L728+(L728*Assumptions!L$5),-2)</f>
        <v>19500</v>
      </c>
      <c r="N728" s="9">
        <f>ROUNDUP(M728+(M728*Assumptions!M$5),-2)</f>
        <v>20000</v>
      </c>
      <c r="O728" s="9">
        <f>ROUNDUP(N728+(N728*Assumptions!N$5),-2)</f>
        <v>20500</v>
      </c>
      <c r="P728" s="9">
        <f>ROUNDUP(O728+(O728*Assumptions!O$5),-2)</f>
        <v>21100</v>
      </c>
      <c r="Q728" s="9">
        <f>ROUNDUP(P728+(P728*Assumptions!P$5),-2)</f>
        <v>21700</v>
      </c>
      <c r="R728" s="9">
        <f>ROUNDUP(Q728+(Q728*Assumptions!Q$5),-2)</f>
        <v>22300</v>
      </c>
      <c r="S728" s="47">
        <f>ROUNDUP(R728+(R728*Assumptions!R$5),-2)</f>
        <v>22900</v>
      </c>
    </row>
    <row r="729" spans="1:23" x14ac:dyDescent="0.2">
      <c r="A729" s="54">
        <v>0</v>
      </c>
      <c r="B729" s="9">
        <v>0</v>
      </c>
      <c r="C729" s="9">
        <v>0</v>
      </c>
      <c r="D729" s="9">
        <v>0</v>
      </c>
      <c r="E729" s="9">
        <v>93800</v>
      </c>
      <c r="F729" s="578" t="s">
        <v>7061</v>
      </c>
      <c r="G729" s="661" t="s">
        <v>7060</v>
      </c>
      <c r="H729" s="9">
        <v>0</v>
      </c>
      <c r="I729" s="85"/>
      <c r="J729" s="9">
        <v>0</v>
      </c>
      <c r="K729" s="9">
        <v>0</v>
      </c>
      <c r="L729" s="9">
        <v>0</v>
      </c>
      <c r="M729" s="9">
        <v>0</v>
      </c>
      <c r="N729" s="9">
        <v>0</v>
      </c>
      <c r="O729" s="9">
        <v>0</v>
      </c>
      <c r="P729" s="9">
        <v>0</v>
      </c>
      <c r="Q729" s="9">
        <v>0</v>
      </c>
      <c r="R729" s="9">
        <v>0</v>
      </c>
      <c r="S729" s="47">
        <v>0</v>
      </c>
    </row>
    <row r="730" spans="1:23" x14ac:dyDescent="0.2">
      <c r="A730" s="54">
        <v>60500</v>
      </c>
      <c r="B730" s="9">
        <v>29400</v>
      </c>
      <c r="C730" s="9">
        <v>26800</v>
      </c>
      <c r="D730" s="9">
        <v>29300</v>
      </c>
      <c r="E730" s="9">
        <v>30300</v>
      </c>
      <c r="F730" s="239" t="s">
        <v>2402</v>
      </c>
      <c r="G730" s="385" t="s">
        <v>2778</v>
      </c>
      <c r="H730" s="9">
        <f>10000+11000</f>
        <v>21000</v>
      </c>
      <c r="I730" s="85">
        <f>IF(E730=H730,0,IF(E730=0,100,(H730-E730)/E730*100))</f>
        <v>-30.693069306930692</v>
      </c>
      <c r="J730" s="9">
        <v>10000</v>
      </c>
      <c r="K730" s="9">
        <f>ROUNDUP(J730+(J730*Assumptions!J$5),-2)</f>
        <v>10300</v>
      </c>
      <c r="L730" s="9">
        <f>ROUNDUP(K730+(K730*Assumptions!K$5),-2)</f>
        <v>10600</v>
      </c>
      <c r="M730" s="9">
        <f>ROUNDUP(L730+(L730*Assumptions!L$5),-2)</f>
        <v>10900</v>
      </c>
      <c r="N730" s="9">
        <f>ROUNDUP(M730+(M730*Assumptions!M$5),-2)</f>
        <v>11200</v>
      </c>
      <c r="O730" s="9">
        <f>ROUNDUP(N730+(N730*Assumptions!N$5),-2)</f>
        <v>11500</v>
      </c>
      <c r="P730" s="9">
        <f>ROUNDUP(O730+(O730*Assumptions!O$5),-2)</f>
        <v>11800</v>
      </c>
      <c r="Q730" s="9">
        <f>ROUNDUP(P730+(P730*Assumptions!P$5),-2)</f>
        <v>12100</v>
      </c>
      <c r="R730" s="9">
        <f>ROUNDUP(Q730+(Q730*Assumptions!Q$5),-2)</f>
        <v>12500</v>
      </c>
      <c r="S730" s="47">
        <f>ROUNDUP(R730+(R730*Assumptions!R$5),-2)</f>
        <v>12900</v>
      </c>
    </row>
    <row r="731" spans="1:23" x14ac:dyDescent="0.2">
      <c r="A731" s="54">
        <v>16000</v>
      </c>
      <c r="B731" s="9">
        <v>7500</v>
      </c>
      <c r="C731" s="9">
        <v>9000</v>
      </c>
      <c r="D731" s="9">
        <v>11800</v>
      </c>
      <c r="E731" s="9">
        <v>12100</v>
      </c>
      <c r="F731" s="239" t="s">
        <v>2277</v>
      </c>
      <c r="G731" s="385" t="s">
        <v>1872</v>
      </c>
      <c r="H731" s="9">
        <v>15000</v>
      </c>
      <c r="I731" s="85">
        <f>IF(E731=H731,0,IF(E731=0,100,(H731-E731)/E731*100))</f>
        <v>23.966942148760332</v>
      </c>
      <c r="J731" s="9">
        <v>15000</v>
      </c>
      <c r="K731" s="9">
        <f>ROUNDUP(J731+(J731*Assumptions!J$5),-2)</f>
        <v>15400</v>
      </c>
      <c r="L731" s="9">
        <f>ROUNDUP(K731+(K731*Assumptions!K$5),-2)</f>
        <v>15800</v>
      </c>
      <c r="M731" s="9">
        <f>ROUNDUP(L731+(L731*Assumptions!L$5),-2)</f>
        <v>16200</v>
      </c>
      <c r="N731" s="9">
        <f>ROUNDUP(M731+(M731*Assumptions!M$5),-2)</f>
        <v>16700</v>
      </c>
      <c r="O731" s="9">
        <f>ROUNDUP(N731+(N731*Assumptions!N$5),-2)</f>
        <v>17200</v>
      </c>
      <c r="P731" s="9">
        <f>ROUNDUP(O731+(O731*Assumptions!O$5),-2)</f>
        <v>17700</v>
      </c>
      <c r="Q731" s="9">
        <f>ROUNDUP(P731+(P731*Assumptions!P$5),-2)</f>
        <v>18200</v>
      </c>
      <c r="R731" s="9">
        <f>ROUNDUP(Q731+(Q731*Assumptions!Q$5),-2)</f>
        <v>18700</v>
      </c>
      <c r="S731" s="47">
        <f>ROUNDUP(R731+(R731*Assumptions!R$5),-2)</f>
        <v>19200</v>
      </c>
    </row>
    <row r="732" spans="1:23" x14ac:dyDescent="0.2">
      <c r="A732" s="54"/>
      <c r="B732" s="9"/>
      <c r="C732" s="9"/>
      <c r="D732" s="9"/>
      <c r="E732" s="9"/>
      <c r="F732" s="239"/>
      <c r="G732" s="1189" t="s">
        <v>420</v>
      </c>
      <c r="H732" s="9"/>
      <c r="I732" s="85"/>
      <c r="J732" s="9"/>
      <c r="K732" s="9"/>
      <c r="L732" s="9"/>
      <c r="M732" s="9"/>
      <c r="N732" s="9"/>
      <c r="O732" s="9"/>
      <c r="P732" s="9"/>
      <c r="Q732" s="9"/>
      <c r="R732" s="9"/>
      <c r="S732" s="47"/>
    </row>
    <row r="733" spans="1:23" x14ac:dyDescent="0.2">
      <c r="A733" s="54">
        <v>66800</v>
      </c>
      <c r="B733" s="9">
        <v>45800</v>
      </c>
      <c r="C733" s="9">
        <v>79700</v>
      </c>
      <c r="D733" s="9">
        <v>50300</v>
      </c>
      <c r="E733" s="9">
        <v>165000</v>
      </c>
      <c r="F733" s="239" t="s">
        <v>2133</v>
      </c>
      <c r="G733" s="385" t="s">
        <v>1012</v>
      </c>
      <c r="H733" s="9">
        <v>52100</v>
      </c>
      <c r="I733" s="85">
        <f>IF(E733=H733,0,IF(E733=0,100,(H733-E733)/E733*100))</f>
        <v>-68.424242424242422</v>
      </c>
      <c r="J733" s="9">
        <v>50000</v>
      </c>
      <c r="K733" s="9">
        <f>ROUNDUP(J733+(J733*Assumptions!J$5),-2)</f>
        <v>51300</v>
      </c>
      <c r="L733" s="9">
        <f>ROUNDUP(K733+(K733*Assumptions!K$5),-2)</f>
        <v>52600</v>
      </c>
      <c r="M733" s="9">
        <f>ROUNDUP(L733+(L733*Assumptions!L$5),-2)</f>
        <v>54000</v>
      </c>
      <c r="N733" s="9">
        <f>ROUNDUP(M733+(M733*Assumptions!M$5),-2)</f>
        <v>55400</v>
      </c>
      <c r="O733" s="9">
        <f>ROUNDUP(N733+(N733*Assumptions!N$5),-2)</f>
        <v>56800</v>
      </c>
      <c r="P733" s="9">
        <f>ROUNDUP(O733+(O733*Assumptions!O$5),-2)</f>
        <v>58300</v>
      </c>
      <c r="Q733" s="9">
        <f>ROUNDUP(P733+(P733*Assumptions!P$5),-2)</f>
        <v>59800</v>
      </c>
      <c r="R733" s="9">
        <f>ROUNDUP(Q733+(Q733*Assumptions!Q$5),-2)</f>
        <v>61300</v>
      </c>
      <c r="S733" s="47">
        <f>ROUNDUP(R733+(R733*Assumptions!R$5),-2)</f>
        <v>62900</v>
      </c>
    </row>
    <row r="734" spans="1:23" x14ac:dyDescent="0.2">
      <c r="A734" s="54">
        <v>0</v>
      </c>
      <c r="B734" s="79">
        <f>1600+200</f>
        <v>1800</v>
      </c>
      <c r="C734" s="79">
        <v>700</v>
      </c>
      <c r="D734" s="9">
        <v>600</v>
      </c>
      <c r="E734" s="9">
        <v>100</v>
      </c>
      <c r="F734" s="578" t="s">
        <v>5140</v>
      </c>
      <c r="G734" s="661" t="s">
        <v>2671</v>
      </c>
      <c r="H734" s="9">
        <v>0</v>
      </c>
      <c r="I734" s="85">
        <f>IF(E734=H734,0,IF(E734=0,100,(H734-E734)/E734*100))</f>
        <v>-100</v>
      </c>
      <c r="J734" s="9">
        <v>0</v>
      </c>
      <c r="K734" s="9">
        <f>ROUNDUP(J734+(J734*Assumptions!J$5),-2)</f>
        <v>0</v>
      </c>
      <c r="L734" s="9">
        <f>ROUNDUP(K734+(K734*Assumptions!K$5),-2)</f>
        <v>0</v>
      </c>
      <c r="M734" s="9">
        <f>ROUNDUP(L734+(L734*Assumptions!L$5),-2)</f>
        <v>0</v>
      </c>
      <c r="N734" s="9">
        <f>ROUNDUP(M734+(M734*Assumptions!M$5),-2)</f>
        <v>0</v>
      </c>
      <c r="O734" s="9">
        <f>ROUNDUP(N734+(N734*Assumptions!N$5),-2)</f>
        <v>0</v>
      </c>
      <c r="P734" s="9">
        <f>ROUNDUP(O734+(O734*Assumptions!O$5),-2)</f>
        <v>0</v>
      </c>
      <c r="Q734" s="9">
        <f>ROUNDUP(P734+(P734*Assumptions!P$5),-2)</f>
        <v>0</v>
      </c>
      <c r="R734" s="9">
        <f>ROUNDUP(Q734+(Q734*Assumptions!Q$5),-2)</f>
        <v>0</v>
      </c>
      <c r="S734" s="47">
        <f>ROUNDUP(R734+(R734*Assumptions!R$5),-2)</f>
        <v>0</v>
      </c>
    </row>
    <row r="735" spans="1:23" x14ac:dyDescent="0.2">
      <c r="A735" s="54">
        <v>76400</v>
      </c>
      <c r="B735" s="9">
        <v>58300</v>
      </c>
      <c r="C735" s="9">
        <v>147200</v>
      </c>
      <c r="D735" s="9">
        <v>64800</v>
      </c>
      <c r="E735" s="79">
        <v>129300</v>
      </c>
      <c r="F735" s="239" t="s">
        <v>1354</v>
      </c>
      <c r="G735" s="385" t="s">
        <v>2418</v>
      </c>
      <c r="H735" s="9">
        <v>67000</v>
      </c>
      <c r="I735" s="85">
        <f>IF(E735=H735,0,IF(E735=0,100,(H735-E735)/E735*100))</f>
        <v>-48.182521268368134</v>
      </c>
      <c r="J735" s="9">
        <v>60000</v>
      </c>
      <c r="K735" s="9">
        <f>ROUNDUP(J735+(J735*Assumptions!J$5),-2)</f>
        <v>61500</v>
      </c>
      <c r="L735" s="9">
        <f>ROUNDUP(K735+(K735*Assumptions!K$5),-2)</f>
        <v>63100</v>
      </c>
      <c r="M735" s="9">
        <f>ROUNDUP(L735+(L735*Assumptions!L$5),-2)</f>
        <v>64700</v>
      </c>
      <c r="N735" s="9">
        <f>ROUNDUP(M735+(M735*Assumptions!M$5),-2)</f>
        <v>66400</v>
      </c>
      <c r="O735" s="9">
        <f>ROUNDUP(N735+(N735*Assumptions!N$5),-2)</f>
        <v>68100</v>
      </c>
      <c r="P735" s="9">
        <f>ROUNDUP(O735+(O735*Assumptions!O$5),-2)</f>
        <v>69900</v>
      </c>
      <c r="Q735" s="9">
        <f>ROUNDUP(P735+(P735*Assumptions!P$5),-2)</f>
        <v>71700</v>
      </c>
      <c r="R735" s="9">
        <f>ROUNDUP(Q735+(Q735*Assumptions!Q$5),-2)</f>
        <v>73500</v>
      </c>
      <c r="S735" s="47">
        <f>ROUNDUP(R735+(R735*Assumptions!R$5),-2)</f>
        <v>75400</v>
      </c>
    </row>
    <row r="736" spans="1:23" ht="13.5" thickBot="1" x14ac:dyDescent="0.25">
      <c r="A736" s="24"/>
      <c r="B736" s="21"/>
      <c r="C736" s="130"/>
      <c r="D736" s="21"/>
      <c r="E736" s="9"/>
      <c r="F736" s="239"/>
      <c r="G736" s="21"/>
      <c r="H736" s="9"/>
      <c r="I736" s="126"/>
      <c r="J736" s="9"/>
      <c r="K736" s="9"/>
      <c r="L736" s="9"/>
      <c r="M736" s="9"/>
      <c r="N736" s="9"/>
      <c r="O736" s="9"/>
      <c r="P736" s="9"/>
      <c r="Q736" s="9"/>
      <c r="R736" s="9"/>
      <c r="S736" s="47"/>
    </row>
    <row r="737" spans="1:19" x14ac:dyDescent="0.2">
      <c r="A737" s="52">
        <f>SUM(A725:A736)</f>
        <v>232700</v>
      </c>
      <c r="B737" s="16">
        <f>SUM(B725:B736)</f>
        <v>189900</v>
      </c>
      <c r="C737" s="16">
        <f>SUM(C725:C736)</f>
        <v>295400</v>
      </c>
      <c r="D737" s="16">
        <f>SUM(D725:D736)</f>
        <v>191400</v>
      </c>
      <c r="E737" s="16">
        <f t="shared" ref="E737" si="857">SUM(E725:E736)</f>
        <v>446500</v>
      </c>
      <c r="F737" s="239"/>
      <c r="G737" s="267" t="s">
        <v>2561</v>
      </c>
      <c r="H737" s="16">
        <f t="shared" ref="H737:O737" si="858">SUM(H725:H736)</f>
        <v>173100</v>
      </c>
      <c r="I737" s="1425">
        <f>IF(E737=H737,0,IF(E737=0,100,(H737-E737)/E737*100))</f>
        <v>-61.231802911534153</v>
      </c>
      <c r="J737" s="16">
        <f t="shared" si="858"/>
        <v>153000</v>
      </c>
      <c r="K737" s="16">
        <f t="shared" si="858"/>
        <v>157000</v>
      </c>
      <c r="L737" s="16">
        <f t="shared" si="858"/>
        <v>161100</v>
      </c>
      <c r="M737" s="16">
        <f t="shared" si="858"/>
        <v>165300</v>
      </c>
      <c r="N737" s="16">
        <f t="shared" si="858"/>
        <v>169700</v>
      </c>
      <c r="O737" s="16">
        <f t="shared" si="858"/>
        <v>174100</v>
      </c>
      <c r="P737" s="16">
        <f t="shared" ref="P737:Q737" si="859">SUM(P725:P736)</f>
        <v>178800</v>
      </c>
      <c r="Q737" s="16">
        <f t="shared" si="859"/>
        <v>183500</v>
      </c>
      <c r="R737" s="16">
        <f t="shared" ref="R737" si="860">SUM(R725:R736)</f>
        <v>188300</v>
      </c>
      <c r="S737" s="2342">
        <f t="shared" ref="S737" si="861">SUM(S725:S736)</f>
        <v>193300</v>
      </c>
    </row>
    <row r="738" spans="1:19" x14ac:dyDescent="0.2">
      <c r="A738" s="54"/>
      <c r="B738" s="9"/>
      <c r="C738" s="9"/>
      <c r="D738" s="9"/>
      <c r="E738" s="9"/>
      <c r="F738" s="239"/>
      <c r="G738" s="267"/>
      <c r="H738" s="9"/>
      <c r="I738" s="85"/>
      <c r="J738" s="9"/>
      <c r="K738" s="9"/>
      <c r="L738" s="9"/>
      <c r="M738" s="9"/>
      <c r="N738" s="9"/>
      <c r="O738" s="9"/>
      <c r="P738" s="9"/>
      <c r="Q738" s="9"/>
      <c r="R738" s="9"/>
      <c r="S738" s="47"/>
    </row>
    <row r="739" spans="1:19" x14ac:dyDescent="0.2">
      <c r="A739" s="54"/>
      <c r="B739" s="9"/>
      <c r="C739" s="9"/>
      <c r="D739" s="9"/>
      <c r="E739" s="9"/>
      <c r="F739" s="239"/>
      <c r="G739" s="256" t="s">
        <v>2169</v>
      </c>
      <c r="H739" s="9"/>
      <c r="I739" s="85"/>
      <c r="J739" s="9"/>
      <c r="K739" s="9"/>
      <c r="L739" s="9"/>
      <c r="M739" s="9"/>
      <c r="N739" s="9"/>
      <c r="O739" s="9"/>
      <c r="P739" s="9"/>
      <c r="Q739" s="9"/>
      <c r="R739" s="9"/>
      <c r="S739" s="47"/>
    </row>
    <row r="740" spans="1:19" x14ac:dyDescent="0.2">
      <c r="A740" s="54"/>
      <c r="B740" s="9"/>
      <c r="C740" s="9"/>
      <c r="D740" s="9"/>
      <c r="E740" s="9"/>
      <c r="F740" s="239"/>
      <c r="G740" s="256"/>
      <c r="H740" s="9"/>
      <c r="I740" s="85"/>
      <c r="J740" s="9"/>
      <c r="K740" s="9"/>
      <c r="L740" s="9"/>
      <c r="M740" s="9"/>
      <c r="N740" s="9"/>
      <c r="O740" s="9"/>
      <c r="P740" s="9"/>
      <c r="Q740" s="9"/>
      <c r="R740" s="9"/>
      <c r="S740" s="47"/>
    </row>
    <row r="741" spans="1:19" x14ac:dyDescent="0.2">
      <c r="A741" s="54"/>
      <c r="B741" s="9"/>
      <c r="C741" s="9"/>
      <c r="D741" s="9"/>
      <c r="E741" s="9"/>
      <c r="F741" s="239"/>
      <c r="G741" s="260" t="s">
        <v>1228</v>
      </c>
      <c r="H741" s="9"/>
      <c r="I741" s="85"/>
      <c r="J741" s="9"/>
      <c r="K741" s="9"/>
      <c r="L741" s="9"/>
      <c r="M741" s="9"/>
      <c r="N741" s="9"/>
      <c r="O741" s="9"/>
      <c r="P741" s="9"/>
      <c r="Q741" s="9"/>
      <c r="R741" s="9"/>
      <c r="S741" s="47"/>
    </row>
    <row r="742" spans="1:19" x14ac:dyDescent="0.2">
      <c r="A742" s="54">
        <v>687700</v>
      </c>
      <c r="B742" s="9">
        <f>642900-2900</f>
        <v>640000</v>
      </c>
      <c r="C742" s="9">
        <v>675500</v>
      </c>
      <c r="D742" s="9">
        <v>730900</v>
      </c>
      <c r="E742" s="9">
        <v>772300</v>
      </c>
      <c r="F742" s="239" t="s">
        <v>869</v>
      </c>
      <c r="G742" s="257" t="s">
        <v>1218</v>
      </c>
      <c r="H742" s="9">
        <f>761000+8000</f>
        <v>769000</v>
      </c>
      <c r="I742" s="85">
        <f>IF(E742=H742,0,IF(E742=0,100,(H742-E742)/E742*100))</f>
        <v>-0.42729509258060339</v>
      </c>
      <c r="J742" s="9">
        <v>789000</v>
      </c>
      <c r="K742" s="9">
        <f>ROUND((J742*Assumptions!J$13)+GM!J742,-2)</f>
        <v>807100</v>
      </c>
      <c r="L742" s="9">
        <f>ROUND((K742*Assumptions!K$13)+GM!K742,-2)</f>
        <v>825700</v>
      </c>
      <c r="M742" s="9">
        <f>ROUND((L742*Assumptions!L$13)+GM!L742,-2)</f>
        <v>844700</v>
      </c>
      <c r="N742" s="9">
        <f>ROUND((M742*Assumptions!M$13)+GM!M742,-2)</f>
        <v>864100</v>
      </c>
      <c r="O742" s="9">
        <f>ROUND((N742*Assumptions!N$13)+GM!N742,-2)</f>
        <v>884000</v>
      </c>
      <c r="P742" s="9">
        <f>ROUND((O742*Assumptions!O$13)+GM!O742,-2)</f>
        <v>904300</v>
      </c>
      <c r="Q742" s="9">
        <f>ROUND((P742*Assumptions!P$13)+GM!P742,-2)</f>
        <v>925100</v>
      </c>
      <c r="R742" s="9">
        <f>ROUND((Q742*Assumptions!Q$13)+GM!Q742,-2)</f>
        <v>946400</v>
      </c>
      <c r="S742" s="47">
        <f>ROUND((R742*Assumptions!R$13)+GM!R742,-2)</f>
        <v>968200</v>
      </c>
    </row>
    <row r="743" spans="1:19" x14ac:dyDescent="0.2">
      <c r="A743" s="54">
        <v>2900</v>
      </c>
      <c r="B743" s="9">
        <v>2300</v>
      </c>
      <c r="C743" s="9">
        <v>3100</v>
      </c>
      <c r="D743" s="9">
        <v>2200</v>
      </c>
      <c r="E743" s="9">
        <v>2600</v>
      </c>
      <c r="F743" s="239" t="s">
        <v>1541</v>
      </c>
      <c r="G743" s="257" t="s">
        <v>1889</v>
      </c>
      <c r="H743" s="9">
        <v>3100</v>
      </c>
      <c r="I743" s="85">
        <f>IF(E743=H743,0,IF(E743=0,100,(H743-E743)/E743*100))</f>
        <v>19.230769230769234</v>
      </c>
      <c r="J743" s="9">
        <v>3200</v>
      </c>
      <c r="K743" s="9">
        <f>ROUNDUP(J743+(J743*Assumptions!J$5),-2)</f>
        <v>3300</v>
      </c>
      <c r="L743" s="9">
        <f>ROUNDUP(K743+(K743*Assumptions!K$5),-2)</f>
        <v>3400</v>
      </c>
      <c r="M743" s="9">
        <f>ROUNDUP(L743+(L743*Assumptions!L$5),-2)</f>
        <v>3500</v>
      </c>
      <c r="N743" s="9">
        <f>ROUNDUP(M743+(M743*Assumptions!M$5),-2)</f>
        <v>3600</v>
      </c>
      <c r="O743" s="9">
        <f>ROUNDUP(N743+(N743*Assumptions!N$5),-2)</f>
        <v>3700</v>
      </c>
      <c r="P743" s="9">
        <f>ROUNDUP(O743+(O743*Assumptions!O$5),-2)</f>
        <v>3800</v>
      </c>
      <c r="Q743" s="9">
        <f>ROUNDUP(P743+(P743*Assumptions!P$5),-2)</f>
        <v>3900</v>
      </c>
      <c r="R743" s="9">
        <f>ROUNDUP(Q743+(Q743*Assumptions!Q$5),-2)</f>
        <v>4000</v>
      </c>
      <c r="S743" s="47">
        <f>ROUNDUP(R743+(R743*Assumptions!R$5),-2)</f>
        <v>4100</v>
      </c>
    </row>
    <row r="744" spans="1:19" x14ac:dyDescent="0.2">
      <c r="A744" s="54">
        <v>1700</v>
      </c>
      <c r="B744" s="9">
        <v>2900</v>
      </c>
      <c r="C744" s="9">
        <v>1100</v>
      </c>
      <c r="D744" s="9">
        <v>900</v>
      </c>
      <c r="E744" s="9">
        <v>0</v>
      </c>
      <c r="F744" s="578" t="s">
        <v>4071</v>
      </c>
      <c r="G744" s="257" t="s">
        <v>666</v>
      </c>
      <c r="H744" s="9">
        <v>4100</v>
      </c>
      <c r="I744" s="85">
        <f>IF(E744=H744,0,IF(E744=0,100,(H744-E744)/E744*100))</f>
        <v>100</v>
      </c>
      <c r="J744" s="9">
        <v>4200</v>
      </c>
      <c r="K744" s="9">
        <f>ROUNDUP(J744+(J744*Assumptions!J$5),-2)</f>
        <v>4400</v>
      </c>
      <c r="L744" s="9">
        <f>ROUNDUP(K744+(K744*Assumptions!K$5),-2)</f>
        <v>4600</v>
      </c>
      <c r="M744" s="9">
        <f>ROUNDUP(L744+(L744*Assumptions!L$5),-2)</f>
        <v>4800</v>
      </c>
      <c r="N744" s="9">
        <f>ROUNDUP(M744+(M744*Assumptions!M$5),-2)</f>
        <v>5000</v>
      </c>
      <c r="O744" s="9">
        <f>ROUNDUP(N744+(N744*Assumptions!N$5),-2)</f>
        <v>5200</v>
      </c>
      <c r="P744" s="9">
        <f>ROUNDUP(O744+(O744*Assumptions!O$5),-2)</f>
        <v>5400</v>
      </c>
      <c r="Q744" s="9">
        <f>ROUNDUP(P744+(P744*Assumptions!P$5),-2)</f>
        <v>5600</v>
      </c>
      <c r="R744" s="9">
        <f>ROUNDUP(Q744+(Q744*Assumptions!Q$5),-2)</f>
        <v>5800</v>
      </c>
      <c r="S744" s="47">
        <f>ROUNDUP(R744+(R744*Assumptions!R$5),-2)</f>
        <v>6000</v>
      </c>
    </row>
    <row r="745" spans="1:19" x14ac:dyDescent="0.2">
      <c r="A745" s="54">
        <v>9600</v>
      </c>
      <c r="B745" s="9">
        <v>7000</v>
      </c>
      <c r="C745" s="9">
        <v>7300</v>
      </c>
      <c r="D745" s="9">
        <v>7300</v>
      </c>
      <c r="E745" s="9">
        <v>0</v>
      </c>
      <c r="F745" s="239" t="s">
        <v>1941</v>
      </c>
      <c r="G745" s="257" t="s">
        <v>598</v>
      </c>
      <c r="H745" s="9">
        <v>0</v>
      </c>
      <c r="I745" s="85">
        <f>IF(E745=H745,0,IF(E745=0,100,(H745-E745)/E745*100))</f>
        <v>0</v>
      </c>
      <c r="J745" s="9">
        <v>0</v>
      </c>
      <c r="K745" s="9">
        <f>ROUNDUP(J745+(J745*Assumptions!J$5),-2)</f>
        <v>0</v>
      </c>
      <c r="L745" s="9">
        <f>ROUNDUP(K745+(K745*Assumptions!K$5),-2)</f>
        <v>0</v>
      </c>
      <c r="M745" s="9">
        <f>ROUNDUP(L745+(L745*Assumptions!L$5),-2)</f>
        <v>0</v>
      </c>
      <c r="N745" s="9">
        <f>ROUNDUP(M745+(M745*Assumptions!M$5),-2)</f>
        <v>0</v>
      </c>
      <c r="O745" s="9">
        <f>ROUNDUP(N745+(N745*Assumptions!N$5),-2)</f>
        <v>0</v>
      </c>
      <c r="P745" s="9">
        <f>ROUNDUP(O745+(O745*Assumptions!O$5),-2)</f>
        <v>0</v>
      </c>
      <c r="Q745" s="9">
        <f>ROUNDUP(P745+(P745*Assumptions!P$5),-2)</f>
        <v>0</v>
      </c>
      <c r="R745" s="9">
        <f>ROUNDUP(Q745+(Q745*Assumptions!Q$5),-2)</f>
        <v>0</v>
      </c>
      <c r="S745" s="47">
        <f>ROUNDUP(R745+(R745*Assumptions!R$5),-2)</f>
        <v>0</v>
      </c>
    </row>
    <row r="746" spans="1:19" x14ac:dyDescent="0.2">
      <c r="A746" s="54"/>
      <c r="B746" s="9"/>
      <c r="C746" s="9"/>
      <c r="D746" s="9"/>
      <c r="E746" s="9">
        <v>17800</v>
      </c>
      <c r="F746" s="578" t="s">
        <v>7062</v>
      </c>
      <c r="G746" s="634" t="s">
        <v>7060</v>
      </c>
      <c r="H746" s="9">
        <v>76100</v>
      </c>
      <c r="I746" s="85">
        <f>IF(E746=H746,0,IF(E746=0,100,(H746-E746)/E746*100))</f>
        <v>327.52808988764042</v>
      </c>
      <c r="J746" s="9">
        <v>0</v>
      </c>
      <c r="K746" s="9">
        <v>0</v>
      </c>
      <c r="L746" s="9">
        <v>0</v>
      </c>
      <c r="M746" s="9">
        <v>0</v>
      </c>
      <c r="N746" s="9">
        <v>0</v>
      </c>
      <c r="O746" s="9">
        <v>0</v>
      </c>
      <c r="P746" s="9">
        <v>0</v>
      </c>
      <c r="Q746" s="9">
        <v>0</v>
      </c>
      <c r="R746" s="9">
        <v>0</v>
      </c>
      <c r="S746" s="47">
        <v>0</v>
      </c>
    </row>
    <row r="747" spans="1:19" x14ac:dyDescent="0.2">
      <c r="A747" s="54"/>
      <c r="B747" s="9"/>
      <c r="C747" s="9"/>
      <c r="D747" s="9"/>
      <c r="E747" s="9"/>
      <c r="F747" s="239"/>
      <c r="G747" s="260" t="s">
        <v>747</v>
      </c>
      <c r="H747" s="9"/>
      <c r="I747" s="85"/>
      <c r="J747" s="9"/>
      <c r="K747" s="9"/>
      <c r="L747" s="9"/>
      <c r="M747" s="9"/>
      <c r="N747" s="9"/>
      <c r="O747" s="9"/>
      <c r="P747" s="9"/>
      <c r="Q747" s="9"/>
      <c r="R747" s="9"/>
      <c r="S747" s="47"/>
    </row>
    <row r="748" spans="1:19" x14ac:dyDescent="0.2">
      <c r="A748" s="54">
        <v>141700</v>
      </c>
      <c r="B748" s="9">
        <v>145100</v>
      </c>
      <c r="C748" s="134">
        <v>146000</v>
      </c>
      <c r="D748" s="9">
        <v>153000</v>
      </c>
      <c r="E748" s="134">
        <v>151700</v>
      </c>
      <c r="F748" s="239" t="s">
        <v>2147</v>
      </c>
      <c r="G748" s="257" t="s">
        <v>291</v>
      </c>
      <c r="H748" s="9">
        <v>155300</v>
      </c>
      <c r="I748" s="85">
        <f t="shared" ref="I748:I758" si="862">IF(E748=H748,0,IF(E748=0,100,(H748-E748)/E748*100))</f>
        <v>2.3731048121292022</v>
      </c>
      <c r="J748" s="9">
        <v>159000</v>
      </c>
      <c r="K748" s="9">
        <f>ROUNDUP(J748+(J748*Assumptions!J$5),-2)</f>
        <v>163000</v>
      </c>
      <c r="L748" s="9">
        <f>ROUNDUP(K748+(K748*Assumptions!K$5),-2)</f>
        <v>167100</v>
      </c>
      <c r="M748" s="9">
        <f>ROUNDUP(L748+(L748*Assumptions!L$5),-2)</f>
        <v>171300</v>
      </c>
      <c r="N748" s="9">
        <f>ROUNDUP(M748+(M748*Assumptions!M$5),-2)</f>
        <v>175600</v>
      </c>
      <c r="O748" s="9">
        <f>ROUNDUP(N748+(N748*Assumptions!N$5),-2)</f>
        <v>180000</v>
      </c>
      <c r="P748" s="9">
        <f>ROUNDUP(O748+(O748*Assumptions!O$5),-2)</f>
        <v>184500</v>
      </c>
      <c r="Q748" s="9">
        <f>ROUNDUP(P748+(P748*Assumptions!P$5),-2)</f>
        <v>189200</v>
      </c>
      <c r="R748" s="9">
        <f>ROUNDUP(Q748+(Q748*Assumptions!Q$5),-2)</f>
        <v>194000</v>
      </c>
      <c r="S748" s="47">
        <f>ROUNDUP(R748+(R748*Assumptions!R$5),-2)</f>
        <v>198900</v>
      </c>
    </row>
    <row r="749" spans="1:19" x14ac:dyDescent="0.2">
      <c r="A749" s="54">
        <v>80700</v>
      </c>
      <c r="B749" s="9">
        <v>95200</v>
      </c>
      <c r="C749" s="9">
        <v>95500</v>
      </c>
      <c r="D749" s="9">
        <v>135200</v>
      </c>
      <c r="E749" s="9">
        <v>136500</v>
      </c>
      <c r="F749" s="239" t="s">
        <v>901</v>
      </c>
      <c r="G749" s="257" t="s">
        <v>1449</v>
      </c>
      <c r="H749" s="9">
        <v>143200</v>
      </c>
      <c r="I749" s="85">
        <f t="shared" si="862"/>
        <v>4.9084249084249088</v>
      </c>
      <c r="J749" s="9">
        <v>147000</v>
      </c>
      <c r="K749" s="9">
        <f>ROUNDUP(J749+(J749*Assumptions!J$5),-2)</f>
        <v>150700</v>
      </c>
      <c r="L749" s="9">
        <f>ROUNDUP(K749+(K749*Assumptions!K$5),-2)</f>
        <v>154500</v>
      </c>
      <c r="M749" s="9">
        <f>ROUNDUP(L749+(L749*Assumptions!L$5),-2)</f>
        <v>158400</v>
      </c>
      <c r="N749" s="9">
        <f>ROUNDUP(M749+(M749*Assumptions!M$5),-2)</f>
        <v>162400</v>
      </c>
      <c r="O749" s="9">
        <f>ROUNDUP(N749+(N749*Assumptions!N$5),-2)</f>
        <v>166500</v>
      </c>
      <c r="P749" s="9">
        <f>ROUNDUP(O749+(O749*Assumptions!O$5),-2)</f>
        <v>170700</v>
      </c>
      <c r="Q749" s="9">
        <f>ROUNDUP(P749+(P749*Assumptions!P$5),-2)</f>
        <v>175000</v>
      </c>
      <c r="R749" s="9">
        <f>ROUNDUP(Q749+(Q749*Assumptions!Q$5),-2)</f>
        <v>179400</v>
      </c>
      <c r="S749" s="47">
        <f>ROUNDUP(R749+(R749*Assumptions!R$5),-2)</f>
        <v>183900</v>
      </c>
    </row>
    <row r="750" spans="1:19" x14ac:dyDescent="0.2">
      <c r="A750" s="54">
        <v>46900</v>
      </c>
      <c r="B750" s="9">
        <v>51000</v>
      </c>
      <c r="C750" s="9">
        <v>56700</v>
      </c>
      <c r="D750" s="9">
        <v>51100</v>
      </c>
      <c r="E750" s="9">
        <v>59900</v>
      </c>
      <c r="F750" s="239" t="s">
        <v>866</v>
      </c>
      <c r="G750" s="257" t="s">
        <v>2013</v>
      </c>
      <c r="H750" s="9">
        <v>61900</v>
      </c>
      <c r="I750" s="85">
        <f t="shared" si="862"/>
        <v>3.33889816360601</v>
      </c>
      <c r="J750" s="9">
        <v>63000</v>
      </c>
      <c r="K750" s="9">
        <f>ROUNDUP(J750+(J750*Assumptions!J$5),-2)</f>
        <v>64600</v>
      </c>
      <c r="L750" s="9">
        <f>ROUNDUP(K750+(K750*Assumptions!K$5),-2)</f>
        <v>66300</v>
      </c>
      <c r="M750" s="9">
        <f>ROUNDUP(L750+(L750*Assumptions!L$5),-2)</f>
        <v>68000</v>
      </c>
      <c r="N750" s="9">
        <f>ROUNDUP(M750+(M750*Assumptions!M$5),-2)</f>
        <v>69700</v>
      </c>
      <c r="O750" s="9">
        <f>ROUNDUP(N750+(N750*Assumptions!N$5),-2)</f>
        <v>71500</v>
      </c>
      <c r="P750" s="9">
        <f>ROUNDUP(O750+(O750*Assumptions!O$5),-2)</f>
        <v>73300</v>
      </c>
      <c r="Q750" s="9">
        <f>ROUNDUP(P750+(P750*Assumptions!P$5),-2)</f>
        <v>75200</v>
      </c>
      <c r="R750" s="9">
        <f>ROUNDUP(Q750+(Q750*Assumptions!Q$5),-2)</f>
        <v>77100</v>
      </c>
      <c r="S750" s="47">
        <f>ROUNDUP(R750+(R750*Assumptions!R$5),-2)</f>
        <v>79100</v>
      </c>
    </row>
    <row r="751" spans="1:19" x14ac:dyDescent="0.2">
      <c r="A751" s="54">
        <v>1100</v>
      </c>
      <c r="B751" s="9">
        <v>2300</v>
      </c>
      <c r="C751" s="9">
        <v>700</v>
      </c>
      <c r="D751" s="9">
        <v>1400</v>
      </c>
      <c r="E751" s="9">
        <v>1100</v>
      </c>
      <c r="F751" s="239" t="s">
        <v>126</v>
      </c>
      <c r="G751" s="634" t="s">
        <v>127</v>
      </c>
      <c r="H751" s="9">
        <v>2600</v>
      </c>
      <c r="I751" s="85">
        <f t="shared" si="862"/>
        <v>136.36363636363635</v>
      </c>
      <c r="J751" s="9">
        <v>2700</v>
      </c>
      <c r="K751" s="9">
        <f>ROUNDUP(J751+(J751*Assumptions!J$5),-2)</f>
        <v>2800</v>
      </c>
      <c r="L751" s="9">
        <f>ROUNDUP(K751+(K751*Assumptions!K$5),-2)</f>
        <v>2900</v>
      </c>
      <c r="M751" s="9">
        <f>ROUNDUP(L751+(L751*Assumptions!L$5),-2)</f>
        <v>3000</v>
      </c>
      <c r="N751" s="9">
        <f>ROUNDUP(M751+(M751*Assumptions!M$5),-2)</f>
        <v>3100</v>
      </c>
      <c r="O751" s="9">
        <f>ROUNDUP(N751+(N751*Assumptions!N$5),-2)</f>
        <v>3200</v>
      </c>
      <c r="P751" s="9">
        <f>ROUNDUP(O751+(O751*Assumptions!O$5),-2)</f>
        <v>3300</v>
      </c>
      <c r="Q751" s="9">
        <f>ROUNDUP(P751+(P751*Assumptions!P$5),-2)</f>
        <v>3400</v>
      </c>
      <c r="R751" s="9">
        <f>ROUNDUP(Q751+(Q751*Assumptions!Q$5),-2)</f>
        <v>3500</v>
      </c>
      <c r="S751" s="47">
        <f>ROUNDUP(R751+(R751*Assumptions!R$5),-2)</f>
        <v>3600</v>
      </c>
    </row>
    <row r="752" spans="1:19" x14ac:dyDescent="0.2">
      <c r="A752" s="54">
        <v>71300</v>
      </c>
      <c r="B752" s="9">
        <v>129000</v>
      </c>
      <c r="C752" s="9">
        <v>121100</v>
      </c>
      <c r="D752" s="9">
        <v>105800</v>
      </c>
      <c r="E752" s="9">
        <v>83800</v>
      </c>
      <c r="F752" s="239" t="s">
        <v>867</v>
      </c>
      <c r="G752" s="257" t="s">
        <v>98</v>
      </c>
      <c r="H752" s="9">
        <f>95500-8000</f>
        <v>87500</v>
      </c>
      <c r="I752" s="85">
        <f t="shared" si="862"/>
        <v>4.4152744630071599</v>
      </c>
      <c r="J752" s="9">
        <v>90000</v>
      </c>
      <c r="K752" s="9">
        <f>ROUNDUP(J752+(J752*Assumptions!J$5),-2)</f>
        <v>92300</v>
      </c>
      <c r="L752" s="9">
        <f>ROUNDUP(K752+(K752*Assumptions!K$5),-2)</f>
        <v>94700</v>
      </c>
      <c r="M752" s="9">
        <f>ROUNDUP(L752+(L752*Assumptions!L$5),-2)</f>
        <v>97100</v>
      </c>
      <c r="N752" s="9">
        <f>ROUNDUP(M752+(M752*Assumptions!M$5),-2)</f>
        <v>99600</v>
      </c>
      <c r="O752" s="9">
        <f>ROUNDUP(N752+(N752*Assumptions!N$5),-2)</f>
        <v>102100</v>
      </c>
      <c r="P752" s="9">
        <f>ROUNDUP(O752+(O752*Assumptions!O$5),-2)</f>
        <v>104700</v>
      </c>
      <c r="Q752" s="9">
        <f>ROUNDUP(P752+(P752*Assumptions!P$5),-2)</f>
        <v>107400</v>
      </c>
      <c r="R752" s="9">
        <f>ROUNDUP(Q752+(Q752*Assumptions!Q$5),-2)</f>
        <v>110100</v>
      </c>
      <c r="S752" s="47">
        <f>ROUNDUP(R752+(R752*Assumptions!R$5),-2)</f>
        <v>112900</v>
      </c>
    </row>
    <row r="753" spans="1:19" x14ac:dyDescent="0.2">
      <c r="A753" s="54">
        <v>10700</v>
      </c>
      <c r="B753" s="9">
        <v>7800</v>
      </c>
      <c r="C753" s="9">
        <v>15400</v>
      </c>
      <c r="D753" s="9">
        <v>4400</v>
      </c>
      <c r="E753" s="9">
        <v>2200</v>
      </c>
      <c r="F753" s="239" t="s">
        <v>988</v>
      </c>
      <c r="G753" s="257" t="s">
        <v>890</v>
      </c>
      <c r="H753" s="9">
        <v>14300</v>
      </c>
      <c r="I753" s="85">
        <f t="shared" si="862"/>
        <v>550</v>
      </c>
      <c r="J753" s="9">
        <v>4000</v>
      </c>
      <c r="K753" s="9">
        <f>ROUNDUP(J753+(J753*Assumptions!J$5),-2)</f>
        <v>4100</v>
      </c>
      <c r="L753" s="9">
        <f>ROUNDUP(K753+(K753*Assumptions!K$5),-2)</f>
        <v>4300</v>
      </c>
      <c r="M753" s="9">
        <f>ROUNDUP(L753+(L753*Assumptions!L$5),-2)</f>
        <v>4500</v>
      </c>
      <c r="N753" s="9">
        <f>ROUNDUP(M753+(M753*Assumptions!M$5),-2)</f>
        <v>4700</v>
      </c>
      <c r="O753" s="9">
        <f>ROUNDUP(N753+(N753*Assumptions!N$5),-2)</f>
        <v>4900</v>
      </c>
      <c r="P753" s="9">
        <f>ROUNDUP(O753+(O753*Assumptions!O$5),-2)</f>
        <v>5100</v>
      </c>
      <c r="Q753" s="9">
        <f>ROUNDUP(P753+(P753*Assumptions!P$5),-2)</f>
        <v>5300</v>
      </c>
      <c r="R753" s="9">
        <f>ROUNDUP(Q753+(Q753*Assumptions!Q$5),-2)</f>
        <v>5500</v>
      </c>
      <c r="S753" s="47">
        <f>ROUNDUP(R753+(R753*Assumptions!R$5),-2)</f>
        <v>5700</v>
      </c>
    </row>
    <row r="754" spans="1:19" x14ac:dyDescent="0.2">
      <c r="A754" s="54">
        <v>0</v>
      </c>
      <c r="B754" s="9">
        <v>0</v>
      </c>
      <c r="C754" s="9">
        <v>0</v>
      </c>
      <c r="D754" s="9">
        <v>0</v>
      </c>
      <c r="E754" s="9">
        <v>0</v>
      </c>
      <c r="F754" s="578" t="s">
        <v>6920</v>
      </c>
      <c r="G754" s="634" t="s">
        <v>6964</v>
      </c>
      <c r="H754" s="9">
        <v>9600</v>
      </c>
      <c r="I754" s="85">
        <f t="shared" si="862"/>
        <v>100</v>
      </c>
      <c r="J754" s="9">
        <v>10000</v>
      </c>
      <c r="K754" s="9">
        <f>ROUNDUP(J754+(J754*Assumptions!J$5),-2)</f>
        <v>10300</v>
      </c>
      <c r="L754" s="9">
        <f>ROUNDUP(K754+(K754*Assumptions!K$5),-2)</f>
        <v>10600</v>
      </c>
      <c r="M754" s="9">
        <f>ROUNDUP(L754+(L754*Assumptions!L$5),-2)</f>
        <v>10900</v>
      </c>
      <c r="N754" s="9">
        <f>ROUNDUP(M754+(M754*Assumptions!M$5),-2)</f>
        <v>11200</v>
      </c>
      <c r="O754" s="9">
        <f>ROUNDUP(N754+(N754*Assumptions!N$5),-2)</f>
        <v>11500</v>
      </c>
      <c r="P754" s="9">
        <f>ROUNDUP(O754+(O754*Assumptions!O$5),-2)</f>
        <v>11800</v>
      </c>
      <c r="Q754" s="9">
        <f>ROUNDUP(P754+(P754*Assumptions!P$5),-2)</f>
        <v>12100</v>
      </c>
      <c r="R754" s="9">
        <f>ROUNDUP(Q754+(Q754*Assumptions!Q$5),-2)</f>
        <v>12500</v>
      </c>
      <c r="S754" s="47">
        <f>ROUNDUP(R754+(R754*Assumptions!R$5),-2)</f>
        <v>12900</v>
      </c>
    </row>
    <row r="755" spans="1:19" x14ac:dyDescent="0.2">
      <c r="A755" s="54">
        <v>0</v>
      </c>
      <c r="B755" s="9">
        <v>0</v>
      </c>
      <c r="C755" s="9">
        <v>0</v>
      </c>
      <c r="D755" s="9">
        <v>0</v>
      </c>
      <c r="E755" s="9">
        <v>0</v>
      </c>
      <c r="F755" s="578" t="s">
        <v>6921</v>
      </c>
      <c r="G755" s="634" t="s">
        <v>6965</v>
      </c>
      <c r="H755" s="9">
        <v>9600</v>
      </c>
      <c r="I755" s="85">
        <f t="shared" si="862"/>
        <v>100</v>
      </c>
      <c r="J755" s="9">
        <v>10000</v>
      </c>
      <c r="K755" s="9">
        <f>ROUNDUP(J755+(J755*Assumptions!J$5),-2)</f>
        <v>10300</v>
      </c>
      <c r="L755" s="9">
        <f>ROUNDUP(K755+(K755*Assumptions!K$5),-2)</f>
        <v>10600</v>
      </c>
      <c r="M755" s="9">
        <f>ROUNDUP(L755+(L755*Assumptions!L$5),-2)</f>
        <v>10900</v>
      </c>
      <c r="N755" s="9">
        <f>ROUNDUP(M755+(M755*Assumptions!M$5),-2)</f>
        <v>11200</v>
      </c>
      <c r="O755" s="9">
        <f>ROUNDUP(N755+(N755*Assumptions!N$5),-2)</f>
        <v>11500</v>
      </c>
      <c r="P755" s="9">
        <f>ROUNDUP(O755+(O755*Assumptions!O$5),-2)</f>
        <v>11800</v>
      </c>
      <c r="Q755" s="9">
        <f>ROUNDUP(P755+(P755*Assumptions!P$5),-2)</f>
        <v>12100</v>
      </c>
      <c r="R755" s="9">
        <f>ROUNDUP(Q755+(Q755*Assumptions!Q$5),-2)</f>
        <v>12500</v>
      </c>
      <c r="S755" s="47">
        <f>ROUNDUP(R755+(R755*Assumptions!R$5),-2)</f>
        <v>12900</v>
      </c>
    </row>
    <row r="756" spans="1:19" x14ac:dyDescent="0.2">
      <c r="A756" s="54">
        <v>4600</v>
      </c>
      <c r="B756" s="9">
        <v>8400</v>
      </c>
      <c r="C756" s="9">
        <v>13000</v>
      </c>
      <c r="D756" s="9">
        <v>15800</v>
      </c>
      <c r="E756" s="9">
        <v>14200</v>
      </c>
      <c r="F756" s="239" t="s">
        <v>868</v>
      </c>
      <c r="G756" s="634" t="s">
        <v>4727</v>
      </c>
      <c r="H756" s="9">
        <v>12200</v>
      </c>
      <c r="I756" s="85">
        <f t="shared" si="862"/>
        <v>-14.084507042253522</v>
      </c>
      <c r="J756" s="9">
        <v>13000</v>
      </c>
      <c r="K756" s="9">
        <f>ROUNDUP(J756+(J756*Assumptions!J$5),-2)</f>
        <v>13400</v>
      </c>
      <c r="L756" s="9">
        <f>ROUNDUP(K756+(K756*Assumptions!K$5),-2)</f>
        <v>13800</v>
      </c>
      <c r="M756" s="9">
        <f>ROUNDUP(L756+(L756*Assumptions!L$5),-2)</f>
        <v>14200</v>
      </c>
      <c r="N756" s="9">
        <f>ROUNDUP(M756+(M756*Assumptions!M$5),-2)</f>
        <v>14600</v>
      </c>
      <c r="O756" s="9">
        <f>ROUNDUP(N756+(N756*Assumptions!N$5),-2)</f>
        <v>15000</v>
      </c>
      <c r="P756" s="9">
        <f>ROUNDUP(O756+(O756*Assumptions!O$5),-2)</f>
        <v>15400</v>
      </c>
      <c r="Q756" s="9">
        <f>ROUNDUP(P756+(P756*Assumptions!P$5),-2)</f>
        <v>15800</v>
      </c>
      <c r="R756" s="9">
        <f>ROUNDUP(Q756+(Q756*Assumptions!Q$5),-2)</f>
        <v>16200</v>
      </c>
      <c r="S756" s="47">
        <f>ROUNDUP(R756+(R756*Assumptions!R$5),-2)</f>
        <v>16700</v>
      </c>
    </row>
    <row r="757" spans="1:19" x14ac:dyDescent="0.2">
      <c r="A757" s="54">
        <v>1200</v>
      </c>
      <c r="B757" s="9">
        <v>2600</v>
      </c>
      <c r="C757" s="9">
        <v>2700</v>
      </c>
      <c r="D757" s="9">
        <v>3800</v>
      </c>
      <c r="E757" s="9">
        <v>6800</v>
      </c>
      <c r="F757" s="239" t="s">
        <v>1104</v>
      </c>
      <c r="G757" s="257" t="s">
        <v>318</v>
      </c>
      <c r="H757" s="9">
        <f>4900+2000</f>
        <v>6900</v>
      </c>
      <c r="I757" s="85">
        <f t="shared" si="862"/>
        <v>1.4705882352941175</v>
      </c>
      <c r="J757" s="9">
        <v>7000</v>
      </c>
      <c r="K757" s="9">
        <f>ROUNDUP(J757+(J757*Assumptions!J$5),-2)</f>
        <v>7200</v>
      </c>
      <c r="L757" s="9">
        <f>ROUNDUP(K757+(K757*Assumptions!K$5),-2)</f>
        <v>7400</v>
      </c>
      <c r="M757" s="9">
        <f>ROUNDUP(L757+(L757*Assumptions!L$5),-2)</f>
        <v>7600</v>
      </c>
      <c r="N757" s="9">
        <f>ROUNDUP(M757+(M757*Assumptions!M$5),-2)</f>
        <v>7800</v>
      </c>
      <c r="O757" s="9">
        <f>ROUNDUP(N757+(N757*Assumptions!N$5),-2)</f>
        <v>8000</v>
      </c>
      <c r="P757" s="9">
        <f>ROUNDUP(O757+(O757*Assumptions!O$5),-2)</f>
        <v>8200</v>
      </c>
      <c r="Q757" s="9">
        <f>ROUNDUP(P757+(P757*Assumptions!P$5),-2)</f>
        <v>8500</v>
      </c>
      <c r="R757" s="9">
        <f>ROUNDUP(Q757+(Q757*Assumptions!Q$5),-2)</f>
        <v>8800</v>
      </c>
      <c r="S757" s="47">
        <f>ROUNDUP(R757+(R757*Assumptions!R$5),-2)</f>
        <v>9100</v>
      </c>
    </row>
    <row r="758" spans="1:19" x14ac:dyDescent="0.2">
      <c r="A758" s="54">
        <v>8500</v>
      </c>
      <c r="B758" s="9">
        <v>6300</v>
      </c>
      <c r="C758" s="9">
        <v>28900</v>
      </c>
      <c r="D758" s="9">
        <v>24600</v>
      </c>
      <c r="E758" s="9">
        <v>24400</v>
      </c>
      <c r="F758" s="239" t="s">
        <v>989</v>
      </c>
      <c r="G758" s="257" t="s">
        <v>1873</v>
      </c>
      <c r="H758" s="9">
        <f>30500-5000</f>
        <v>25500</v>
      </c>
      <c r="I758" s="85">
        <f t="shared" si="862"/>
        <v>4.5081967213114753</v>
      </c>
      <c r="J758" s="9">
        <v>26000</v>
      </c>
      <c r="K758" s="9">
        <f>ROUNDUP(J758+(J758*Assumptions!J$5),-2)</f>
        <v>26700</v>
      </c>
      <c r="L758" s="9">
        <f>ROUNDUP(K758+(K758*Assumptions!K$5),-2)</f>
        <v>27400</v>
      </c>
      <c r="M758" s="9">
        <f>ROUNDUP(L758+(L758*Assumptions!L$5),-2)</f>
        <v>28100</v>
      </c>
      <c r="N758" s="9">
        <f>ROUNDUP(M758+(M758*Assumptions!M$5),-2)</f>
        <v>28900</v>
      </c>
      <c r="O758" s="9">
        <f>ROUNDUP(N758+(N758*Assumptions!N$5),-2)</f>
        <v>29700</v>
      </c>
      <c r="P758" s="9">
        <f>ROUNDUP(O758+(O758*Assumptions!O$5),-2)</f>
        <v>30500</v>
      </c>
      <c r="Q758" s="9">
        <f>ROUNDUP(P758+(P758*Assumptions!P$5),-2)</f>
        <v>31300</v>
      </c>
      <c r="R758" s="9">
        <f>ROUNDUP(Q758+(Q758*Assumptions!Q$5),-2)</f>
        <v>32100</v>
      </c>
      <c r="S758" s="47">
        <f>ROUNDUP(R758+(R758*Assumptions!R$5),-2)</f>
        <v>33000</v>
      </c>
    </row>
    <row r="759" spans="1:19" x14ac:dyDescent="0.2">
      <c r="A759" s="54"/>
      <c r="B759" s="9"/>
      <c r="C759" s="9"/>
      <c r="D759" s="9"/>
      <c r="E759" s="9"/>
      <c r="F759" s="239"/>
      <c r="G759" s="260" t="s">
        <v>373</v>
      </c>
      <c r="H759" s="9"/>
      <c r="I759" s="85"/>
      <c r="J759" s="9"/>
      <c r="K759" s="9"/>
      <c r="L759" s="9"/>
      <c r="M759" s="9"/>
      <c r="N759" s="9"/>
      <c r="O759" s="9"/>
      <c r="P759" s="9"/>
      <c r="Q759" s="9"/>
      <c r="R759" s="9"/>
      <c r="S759" s="47"/>
    </row>
    <row r="760" spans="1:19" x14ac:dyDescent="0.2">
      <c r="A760" s="54">
        <v>1171400</v>
      </c>
      <c r="B760" s="9">
        <v>1323400</v>
      </c>
      <c r="C760" s="9">
        <v>1429500</v>
      </c>
      <c r="D760" s="9">
        <v>1532800</v>
      </c>
      <c r="E760" s="9">
        <v>1646600</v>
      </c>
      <c r="F760" s="239" t="s">
        <v>1101</v>
      </c>
      <c r="G760" s="257" t="s">
        <v>994</v>
      </c>
      <c r="H760" s="9">
        <f>1648000+50000</f>
        <v>1698000</v>
      </c>
      <c r="I760" s="85">
        <f>IF(E760=H760,0,IF(E760=0,100,(H760-E760)/E760*100))</f>
        <v>3.1215838697922993</v>
      </c>
      <c r="J760" s="9">
        <v>1723000</v>
      </c>
      <c r="K760" s="9">
        <f>ROUND(ROUNDUP(J760+(J760*Assumptions!J$5),-2)*1.02,-3)</f>
        <v>1801000</v>
      </c>
      <c r="L760" s="9">
        <f>ROUND(ROUNDUP(K760+(K760*Assumptions!K$5),-2)*1.02,-3)</f>
        <v>1883000</v>
      </c>
      <c r="M760" s="9">
        <f>ROUND(ROUNDUP(L760+(L760*Assumptions!L$5),-2)*1.02,-3)</f>
        <v>1969000</v>
      </c>
      <c r="N760" s="9">
        <f>ROUND(ROUNDUP(M760+(M760*Assumptions!M$5),-2)*1.02,-3)</f>
        <v>2059000</v>
      </c>
      <c r="O760" s="9">
        <f>ROUND(ROUNDUP(N760+(N760*Assumptions!N$5),-2)*1.02,-3)</f>
        <v>2153000</v>
      </c>
      <c r="P760" s="9">
        <f>ROUND(ROUNDUP(O760+(O760*Assumptions!O$5),-2)*1.02,-3)</f>
        <v>2251000</v>
      </c>
      <c r="Q760" s="9">
        <f>ROUND(ROUNDUP(P760+(P760*Assumptions!P$5),-2)*1.02,-3)</f>
        <v>2353000</v>
      </c>
      <c r="R760" s="9">
        <f>ROUND(ROUNDUP(Q760+(Q760*Assumptions!Q$5),-2)*1.02,-3)</f>
        <v>2460000</v>
      </c>
      <c r="S760" s="47">
        <f>ROUND(ROUNDUP(R760+(R760*Assumptions!R$5),-2)*1.02,-3)</f>
        <v>2572000</v>
      </c>
    </row>
    <row r="761" spans="1:19" x14ac:dyDescent="0.2">
      <c r="A761" s="54">
        <v>786300</v>
      </c>
      <c r="B761" s="9">
        <v>718100</v>
      </c>
      <c r="C761" s="9">
        <v>674400</v>
      </c>
      <c r="D761" s="9">
        <v>624600</v>
      </c>
      <c r="E761" s="9">
        <v>598100</v>
      </c>
      <c r="F761" s="239" t="s">
        <v>1102</v>
      </c>
      <c r="G761" s="257" t="s">
        <v>86</v>
      </c>
      <c r="H761" s="9">
        <v>646000</v>
      </c>
      <c r="I761" s="85">
        <f>IF(E761=H761,0,IF(E761=0,100,(H761-E761)/E761*100))</f>
        <v>8.0086941982946005</v>
      </c>
      <c r="J761" s="9">
        <v>620000</v>
      </c>
      <c r="K761" s="9">
        <f t="shared" ref="K761:S761" si="863">ROUND(J761*0.96,-3)</f>
        <v>595000</v>
      </c>
      <c r="L761" s="9">
        <f t="shared" si="863"/>
        <v>571000</v>
      </c>
      <c r="M761" s="9">
        <f t="shared" si="863"/>
        <v>548000</v>
      </c>
      <c r="N761" s="9">
        <f t="shared" si="863"/>
        <v>526000</v>
      </c>
      <c r="O761" s="9">
        <f t="shared" si="863"/>
        <v>505000</v>
      </c>
      <c r="P761" s="9">
        <f t="shared" si="863"/>
        <v>485000</v>
      </c>
      <c r="Q761" s="9">
        <f t="shared" si="863"/>
        <v>466000</v>
      </c>
      <c r="R761" s="9">
        <f t="shared" si="863"/>
        <v>447000</v>
      </c>
      <c r="S761" s="47">
        <f t="shared" si="863"/>
        <v>429000</v>
      </c>
    </row>
    <row r="762" spans="1:19" x14ac:dyDescent="0.2">
      <c r="A762" s="54">
        <v>3100</v>
      </c>
      <c r="B762" s="9">
        <v>1900</v>
      </c>
      <c r="C762" s="136">
        <v>5200</v>
      </c>
      <c r="D762" s="9">
        <v>2400</v>
      </c>
      <c r="E762" s="134">
        <v>2000</v>
      </c>
      <c r="F762" s="240" t="s">
        <v>1103</v>
      </c>
      <c r="G762" s="257" t="s">
        <v>2525</v>
      </c>
      <c r="H762" s="9">
        <v>2100</v>
      </c>
      <c r="I762" s="85">
        <f>IF(E762=H762,0,IF(E762=0,100,(H762-E762)/E762*100))</f>
        <v>5</v>
      </c>
      <c r="J762" s="9">
        <v>2000</v>
      </c>
      <c r="K762" s="9">
        <f>ROUNDUP(J762+(J762*Assumptions!J$5),-2)</f>
        <v>2100</v>
      </c>
      <c r="L762" s="9">
        <f>ROUNDUP(K762+(K762*Assumptions!K$5),-2)</f>
        <v>2200</v>
      </c>
      <c r="M762" s="9">
        <f>ROUNDUP(L762+(L762*Assumptions!L$5),-2)</f>
        <v>2300</v>
      </c>
      <c r="N762" s="9">
        <f>ROUNDUP(M762+(M762*Assumptions!M$5),-2)</f>
        <v>2400</v>
      </c>
      <c r="O762" s="9">
        <f>ROUNDUP(N762+(N762*Assumptions!N$5),-2)</f>
        <v>2500</v>
      </c>
      <c r="P762" s="9">
        <f>ROUNDUP(O762+(O762*Assumptions!O$5),-2)</f>
        <v>2600</v>
      </c>
      <c r="Q762" s="9">
        <f>ROUNDUP(P762+(P762*Assumptions!P$5),-2)</f>
        <v>2700</v>
      </c>
      <c r="R762" s="9">
        <f>ROUNDUP(Q762+(Q762*Assumptions!Q$5),-2)</f>
        <v>2800</v>
      </c>
      <c r="S762" s="47">
        <f>ROUNDUP(R762+(R762*Assumptions!R$5),-2)</f>
        <v>2900</v>
      </c>
    </row>
    <row r="763" spans="1:19" x14ac:dyDescent="0.2">
      <c r="A763" s="54"/>
      <c r="B763" s="9"/>
      <c r="C763" s="136"/>
      <c r="D763" s="9"/>
      <c r="E763" s="134"/>
      <c r="F763" s="165"/>
      <c r="G763" s="780" t="s">
        <v>4110</v>
      </c>
      <c r="H763" s="9"/>
      <c r="I763" s="85"/>
      <c r="J763" s="9"/>
      <c r="K763" s="9"/>
      <c r="L763" s="9"/>
      <c r="M763" s="9"/>
      <c r="N763" s="9"/>
      <c r="O763" s="9"/>
      <c r="P763" s="9"/>
      <c r="Q763" s="9"/>
      <c r="R763" s="9"/>
      <c r="S763" s="47"/>
    </row>
    <row r="764" spans="1:19" x14ac:dyDescent="0.2">
      <c r="A764" s="54">
        <v>4300</v>
      </c>
      <c r="B764" s="9">
        <v>2500</v>
      </c>
      <c r="C764" s="136">
        <v>4600</v>
      </c>
      <c r="D764" s="9">
        <v>3600</v>
      </c>
      <c r="E764" s="9">
        <v>4800</v>
      </c>
      <c r="F764" s="240" t="s">
        <v>118</v>
      </c>
      <c r="G764" s="257" t="s">
        <v>1874</v>
      </c>
      <c r="H764" s="9">
        <v>5100</v>
      </c>
      <c r="I764" s="85">
        <f t="shared" ref="I764:I773" si="864">IF(E764=H764,0,IF(E764=0,100,(H764-E764)/E764*100))</f>
        <v>6.25</v>
      </c>
      <c r="J764" s="9">
        <v>5200</v>
      </c>
      <c r="K764" s="9">
        <f>ROUNDUP(J764+(J764*Assumptions!J$5),-2)</f>
        <v>5400</v>
      </c>
      <c r="L764" s="9">
        <f>ROUNDUP(K764+(K764*Assumptions!K$5),-2)</f>
        <v>5600</v>
      </c>
      <c r="M764" s="9">
        <f>ROUNDUP(L764+(L764*Assumptions!L$5),-2)</f>
        <v>5800</v>
      </c>
      <c r="N764" s="9">
        <f>ROUNDUP(M764+(M764*Assumptions!M$5),-2)</f>
        <v>6000</v>
      </c>
      <c r="O764" s="9">
        <f>ROUNDUP(N764+(N764*Assumptions!N$5),-2)</f>
        <v>6200</v>
      </c>
      <c r="P764" s="9">
        <f>ROUNDUP(O764+(O764*Assumptions!O$5),-2)</f>
        <v>6400</v>
      </c>
      <c r="Q764" s="9">
        <f>ROUNDUP(P764+(P764*Assumptions!P$5),-2)</f>
        <v>6600</v>
      </c>
      <c r="R764" s="9">
        <f>ROUNDUP(Q764+(Q764*Assumptions!Q$5),-2)</f>
        <v>6800</v>
      </c>
      <c r="S764" s="47">
        <f>ROUNDUP(R764+(R764*Assumptions!R$5),-2)</f>
        <v>7000</v>
      </c>
    </row>
    <row r="765" spans="1:19" x14ac:dyDescent="0.2">
      <c r="A765" s="54">
        <v>4700</v>
      </c>
      <c r="B765" s="9">
        <v>3700</v>
      </c>
      <c r="C765" s="89">
        <v>4400</v>
      </c>
      <c r="D765" s="9">
        <v>2400</v>
      </c>
      <c r="E765" s="9">
        <v>6100</v>
      </c>
      <c r="F765" s="240" t="s">
        <v>2747</v>
      </c>
      <c r="G765" s="385" t="s">
        <v>459</v>
      </c>
      <c r="H765" s="9">
        <v>5100</v>
      </c>
      <c r="I765" s="85">
        <f t="shared" si="864"/>
        <v>-16.393442622950818</v>
      </c>
      <c r="J765" s="9">
        <v>5200</v>
      </c>
      <c r="K765" s="9">
        <f>ROUNDUP(J765+(J765*Assumptions!J$5),-2)</f>
        <v>5400</v>
      </c>
      <c r="L765" s="9">
        <f>ROUNDUP(K765+(K765*Assumptions!K$5),-2)</f>
        <v>5600</v>
      </c>
      <c r="M765" s="9">
        <f>ROUNDUP(L765+(L765*Assumptions!L$5),-2)</f>
        <v>5800</v>
      </c>
      <c r="N765" s="9">
        <f>ROUNDUP(M765+(M765*Assumptions!M$5),-2)</f>
        <v>6000</v>
      </c>
      <c r="O765" s="9">
        <f>ROUNDUP(N765+(N765*Assumptions!N$5),-2)</f>
        <v>6200</v>
      </c>
      <c r="P765" s="9">
        <f>ROUNDUP(O765+(O765*Assumptions!O$5),-2)</f>
        <v>6400</v>
      </c>
      <c r="Q765" s="9">
        <f>ROUNDUP(P765+(P765*Assumptions!P$5),-2)</f>
        <v>6600</v>
      </c>
      <c r="R765" s="9">
        <f>ROUNDUP(Q765+(Q765*Assumptions!Q$5),-2)</f>
        <v>6800</v>
      </c>
      <c r="S765" s="47">
        <f>ROUNDUP(R765+(R765*Assumptions!R$5),-2)</f>
        <v>7000</v>
      </c>
    </row>
    <row r="766" spans="1:19" x14ac:dyDescent="0.2">
      <c r="A766" s="54">
        <v>6200</v>
      </c>
      <c r="B766" s="9">
        <v>4500</v>
      </c>
      <c r="C766" s="136">
        <v>4200</v>
      </c>
      <c r="D766" s="9">
        <v>5000</v>
      </c>
      <c r="E766" s="134">
        <v>8200</v>
      </c>
      <c r="F766" s="240" t="s">
        <v>1610</v>
      </c>
      <c r="G766" s="634" t="s">
        <v>4111</v>
      </c>
      <c r="H766" s="9">
        <v>5000</v>
      </c>
      <c r="I766" s="85">
        <f t="shared" si="864"/>
        <v>-39.024390243902438</v>
      </c>
      <c r="J766" s="9">
        <v>5200</v>
      </c>
      <c r="K766" s="9">
        <f>ROUNDUP(J766+(J766*Assumptions!J$5),-2)</f>
        <v>5400</v>
      </c>
      <c r="L766" s="9">
        <f>ROUNDUP(K766+(K766*Assumptions!K$5),-2)</f>
        <v>5600</v>
      </c>
      <c r="M766" s="9">
        <f>ROUNDUP(L766+(L766*Assumptions!L$5),-2)</f>
        <v>5800</v>
      </c>
      <c r="N766" s="9">
        <f>ROUNDUP(M766+(M766*Assumptions!M$5),-2)</f>
        <v>6000</v>
      </c>
      <c r="O766" s="9">
        <f>ROUNDUP(N766+(N766*Assumptions!N$5),-2)</f>
        <v>6200</v>
      </c>
      <c r="P766" s="9">
        <f>ROUNDUP(O766+(O766*Assumptions!O$5),-2)</f>
        <v>6400</v>
      </c>
      <c r="Q766" s="9">
        <f>ROUNDUP(P766+(P766*Assumptions!P$5),-2)</f>
        <v>6600</v>
      </c>
      <c r="R766" s="9">
        <f>ROUNDUP(Q766+(Q766*Assumptions!Q$5),-2)</f>
        <v>6800</v>
      </c>
      <c r="S766" s="47">
        <f>ROUNDUP(R766+(R766*Assumptions!R$5),-2)</f>
        <v>7000</v>
      </c>
    </row>
    <row r="767" spans="1:19" x14ac:dyDescent="0.2">
      <c r="A767" s="54">
        <v>11800</v>
      </c>
      <c r="B767" s="9">
        <v>0</v>
      </c>
      <c r="C767" s="136">
        <v>27000</v>
      </c>
      <c r="D767" s="9">
        <v>22400</v>
      </c>
      <c r="E767" s="134">
        <v>15500</v>
      </c>
      <c r="F767" s="240" t="s">
        <v>1611</v>
      </c>
      <c r="G767" s="257" t="s">
        <v>1859</v>
      </c>
      <c r="H767" s="9">
        <v>15000</v>
      </c>
      <c r="I767" s="85">
        <f t="shared" si="864"/>
        <v>-3.225806451612903</v>
      </c>
      <c r="J767" s="9">
        <v>15000</v>
      </c>
      <c r="K767" s="9">
        <f>ROUNDUP(J767+(J767*Assumptions!J$5),-2)</f>
        <v>15400</v>
      </c>
      <c r="L767" s="9">
        <f>ROUNDUP(K767+(K767*Assumptions!K$5),-2)</f>
        <v>15800</v>
      </c>
      <c r="M767" s="9">
        <f>ROUNDUP(L767+(L767*Assumptions!L$5),-2)</f>
        <v>16200</v>
      </c>
      <c r="N767" s="9">
        <f>ROUNDUP(M767+(M767*Assumptions!M$5),-2)</f>
        <v>16700</v>
      </c>
      <c r="O767" s="9">
        <f>ROUNDUP(N767+(N767*Assumptions!N$5),-2)</f>
        <v>17200</v>
      </c>
      <c r="P767" s="9">
        <f>ROUNDUP(O767+(O767*Assumptions!O$5),-2)</f>
        <v>17700</v>
      </c>
      <c r="Q767" s="9">
        <f>ROUNDUP(P767+(P767*Assumptions!P$5),-2)</f>
        <v>18200</v>
      </c>
      <c r="R767" s="9">
        <f>ROUNDUP(Q767+(Q767*Assumptions!Q$5),-2)</f>
        <v>18700</v>
      </c>
      <c r="S767" s="47">
        <f>ROUNDUP(R767+(R767*Assumptions!R$5),-2)</f>
        <v>19200</v>
      </c>
    </row>
    <row r="768" spans="1:19" x14ac:dyDescent="0.2">
      <c r="A768" s="54">
        <v>658900</v>
      </c>
      <c r="B768" s="9">
        <v>500300</v>
      </c>
      <c r="C768" s="89">
        <v>480200</v>
      </c>
      <c r="D768" s="9">
        <v>485400</v>
      </c>
      <c r="E768" s="9">
        <v>389900</v>
      </c>
      <c r="F768" s="240" t="s">
        <v>1612</v>
      </c>
      <c r="G768" s="257" t="s">
        <v>1279</v>
      </c>
      <c r="H768" s="9">
        <v>480000</v>
      </c>
      <c r="I768" s="85">
        <f t="shared" si="864"/>
        <v>23.10848935624519</v>
      </c>
      <c r="J768" s="9">
        <v>492000</v>
      </c>
      <c r="K768" s="9">
        <f>ROUNDUP(J768+(J768*Assumptions!J$5),-2)</f>
        <v>504300</v>
      </c>
      <c r="L768" s="9">
        <f>ROUNDUP(K768+(K768*Assumptions!K$5),-2)</f>
        <v>517000</v>
      </c>
      <c r="M768" s="9">
        <f>ROUNDUP(L768+(L768*Assumptions!L$5),-2)</f>
        <v>530000</v>
      </c>
      <c r="N768" s="9">
        <f>ROUNDUP(M768+(M768*Assumptions!M$5),-2)</f>
        <v>543300</v>
      </c>
      <c r="O768" s="9">
        <f>ROUNDUP(N768+(N768*Assumptions!N$5),-2)</f>
        <v>556900</v>
      </c>
      <c r="P768" s="9">
        <f>ROUNDUP(O768+(O768*Assumptions!O$5),-2)</f>
        <v>570900</v>
      </c>
      <c r="Q768" s="9">
        <f>ROUNDUP(P768+(P768*Assumptions!P$5),-2)</f>
        <v>585200</v>
      </c>
      <c r="R768" s="9">
        <f>ROUNDUP(Q768+(Q768*Assumptions!Q$5),-2)</f>
        <v>599900</v>
      </c>
      <c r="S768" s="47">
        <f>ROUNDUP(R768+(R768*Assumptions!R$5),-2)</f>
        <v>614900</v>
      </c>
    </row>
    <row r="769" spans="1:23" x14ac:dyDescent="0.2">
      <c r="A769" s="54">
        <v>13900</v>
      </c>
      <c r="B769" s="9">
        <v>17100</v>
      </c>
      <c r="C769" s="136">
        <v>19300</v>
      </c>
      <c r="D769" s="9">
        <v>18400</v>
      </c>
      <c r="E769" s="134">
        <v>21800</v>
      </c>
      <c r="F769" s="240" t="s">
        <v>1613</v>
      </c>
      <c r="G769" s="257" t="s">
        <v>828</v>
      </c>
      <c r="H769" s="9">
        <v>21400</v>
      </c>
      <c r="I769" s="85">
        <f t="shared" si="864"/>
        <v>-1.834862385321101</v>
      </c>
      <c r="J769" s="9">
        <v>22000</v>
      </c>
      <c r="K769" s="9">
        <f>ROUNDUP(J769+(J769*Assumptions!J$5),-2)</f>
        <v>22600</v>
      </c>
      <c r="L769" s="9">
        <f>ROUNDUP(K769+(K769*Assumptions!K$5),-2)</f>
        <v>23200</v>
      </c>
      <c r="M769" s="9">
        <f>ROUNDUP(L769+(L769*Assumptions!L$5),-2)</f>
        <v>23800</v>
      </c>
      <c r="N769" s="9">
        <f>ROUNDUP(M769+(M769*Assumptions!M$5),-2)</f>
        <v>24400</v>
      </c>
      <c r="O769" s="9">
        <f>ROUNDUP(N769+(N769*Assumptions!N$5),-2)</f>
        <v>25100</v>
      </c>
      <c r="P769" s="9">
        <f>ROUNDUP(O769+(O769*Assumptions!O$5),-2)</f>
        <v>25800</v>
      </c>
      <c r="Q769" s="9">
        <f>ROUNDUP(P769+(P769*Assumptions!P$5),-2)</f>
        <v>26500</v>
      </c>
      <c r="R769" s="9">
        <f>ROUNDUP(Q769+(Q769*Assumptions!Q$5),-2)</f>
        <v>27200</v>
      </c>
      <c r="S769" s="47">
        <f>ROUNDUP(R769+(R769*Assumptions!R$5),-2)</f>
        <v>27900</v>
      </c>
    </row>
    <row r="770" spans="1:23" x14ac:dyDescent="0.2">
      <c r="A770" s="54">
        <v>-43600</v>
      </c>
      <c r="B770" s="9">
        <v>-48600</v>
      </c>
      <c r="C770" s="136">
        <v>-6200</v>
      </c>
      <c r="D770" s="9">
        <v>-5600</v>
      </c>
      <c r="E770" s="134">
        <v>-5400</v>
      </c>
      <c r="F770" s="240" t="s">
        <v>2084</v>
      </c>
      <c r="G770" s="257" t="s">
        <v>514</v>
      </c>
      <c r="H770" s="9">
        <v>-8000</v>
      </c>
      <c r="I770" s="85">
        <f t="shared" si="864"/>
        <v>48.148148148148145</v>
      </c>
      <c r="J770" s="9">
        <v>-8200</v>
      </c>
      <c r="K770" s="9">
        <f>ROUNDUP(J770+(J770*Assumptions!J$5),-2)</f>
        <v>-8500</v>
      </c>
      <c r="L770" s="9">
        <f>ROUNDUP(K770+(K770*Assumptions!K$5),-2)</f>
        <v>-8800</v>
      </c>
      <c r="M770" s="9">
        <f>ROUNDUP(L770+(L770*Assumptions!L$5),-2)</f>
        <v>-9100</v>
      </c>
      <c r="N770" s="9">
        <f>ROUNDUP(M770+(M770*Assumptions!M$5),-2)</f>
        <v>-9400</v>
      </c>
      <c r="O770" s="9">
        <f>ROUNDUP(N770+(N770*Assumptions!N$5),-2)</f>
        <v>-9700</v>
      </c>
      <c r="P770" s="9">
        <f>ROUNDUP(O770+(O770*Assumptions!O$5),-2)</f>
        <v>-10000</v>
      </c>
      <c r="Q770" s="9">
        <f>ROUNDUP(P770+(P770*Assumptions!P$5),-2)</f>
        <v>-10300</v>
      </c>
      <c r="R770" s="9">
        <f>ROUNDUP(Q770+(Q770*Assumptions!Q$5),-2)</f>
        <v>-10600</v>
      </c>
      <c r="S770" s="47">
        <f>ROUNDUP(R770+(R770*Assumptions!R$5),-2)</f>
        <v>-10900</v>
      </c>
    </row>
    <row r="771" spans="1:23" x14ac:dyDescent="0.2">
      <c r="A771" s="54">
        <v>68100</v>
      </c>
      <c r="B771" s="9">
        <v>72300</v>
      </c>
      <c r="C771" s="136">
        <v>8200</v>
      </c>
      <c r="D771" s="9">
        <v>9100</v>
      </c>
      <c r="E771" s="134">
        <v>7600</v>
      </c>
      <c r="F771" s="240" t="s">
        <v>1614</v>
      </c>
      <c r="G771" s="257" t="s">
        <v>1961</v>
      </c>
      <c r="H771" s="9">
        <v>12000</v>
      </c>
      <c r="I771" s="85">
        <f t="shared" si="864"/>
        <v>57.894736842105267</v>
      </c>
      <c r="J771" s="9">
        <v>12000</v>
      </c>
      <c r="K771" s="9">
        <f>ROUNDUP(J771+(J771*Assumptions!J$5),-2)</f>
        <v>12300</v>
      </c>
      <c r="L771" s="9">
        <f>ROUNDUP(K771+(K771*Assumptions!K$5),-2)</f>
        <v>12700</v>
      </c>
      <c r="M771" s="9">
        <f>ROUNDUP(L771+(L771*Assumptions!L$5),-2)</f>
        <v>13100</v>
      </c>
      <c r="N771" s="9">
        <f>ROUNDUP(M771+(M771*Assumptions!M$5),-2)</f>
        <v>13500</v>
      </c>
      <c r="O771" s="9">
        <f>ROUNDUP(N771+(N771*Assumptions!N$5),-2)</f>
        <v>13900</v>
      </c>
      <c r="P771" s="9">
        <f>ROUNDUP(O771+(O771*Assumptions!O$5),-2)</f>
        <v>14300</v>
      </c>
      <c r="Q771" s="9">
        <f>ROUNDUP(P771+(P771*Assumptions!P$5),-2)</f>
        <v>14700</v>
      </c>
      <c r="R771" s="9">
        <f>ROUNDUP(Q771+(Q771*Assumptions!Q$5),-2)</f>
        <v>15100</v>
      </c>
      <c r="S771" s="47">
        <f>ROUNDUP(R771+(R771*Assumptions!R$5),-2)</f>
        <v>15500</v>
      </c>
    </row>
    <row r="772" spans="1:23" x14ac:dyDescent="0.2">
      <c r="A772" s="54">
        <v>12800</v>
      </c>
      <c r="B772" s="9">
        <v>8300</v>
      </c>
      <c r="C772" s="136">
        <v>18600</v>
      </c>
      <c r="D772" s="9">
        <v>16300</v>
      </c>
      <c r="E772" s="134">
        <v>27100</v>
      </c>
      <c r="F772" s="240" t="s">
        <v>1615</v>
      </c>
      <c r="G772" s="634" t="s">
        <v>4109</v>
      </c>
      <c r="H772" s="9">
        <v>25000</v>
      </c>
      <c r="I772" s="85">
        <f t="shared" si="864"/>
        <v>-7.7490774907749085</v>
      </c>
      <c r="J772" s="9">
        <v>26000</v>
      </c>
      <c r="K772" s="9">
        <f>ROUNDUP(J772+(J772*Assumptions!J$5),-2)</f>
        <v>26700</v>
      </c>
      <c r="L772" s="9">
        <f>ROUNDUP(K772+(K772*Assumptions!K$5),-2)</f>
        <v>27400</v>
      </c>
      <c r="M772" s="9">
        <f>ROUNDUP(L772+(L772*Assumptions!L$5),-2)</f>
        <v>28100</v>
      </c>
      <c r="N772" s="9">
        <f>ROUNDUP(M772+(M772*Assumptions!M$5),-2)</f>
        <v>28900</v>
      </c>
      <c r="O772" s="9">
        <f>ROUNDUP(N772+(N772*Assumptions!N$5),-2)</f>
        <v>29700</v>
      </c>
      <c r="P772" s="9">
        <f>ROUNDUP(O772+(O772*Assumptions!O$5),-2)</f>
        <v>30500</v>
      </c>
      <c r="Q772" s="9">
        <f>ROUNDUP(P772+(P772*Assumptions!P$5),-2)</f>
        <v>31300</v>
      </c>
      <c r="R772" s="9">
        <f>ROUNDUP(Q772+(Q772*Assumptions!Q$5),-2)</f>
        <v>32100</v>
      </c>
      <c r="S772" s="47">
        <f>ROUNDUP(R772+(R772*Assumptions!R$5),-2)</f>
        <v>33000</v>
      </c>
    </row>
    <row r="773" spans="1:23" x14ac:dyDescent="0.2">
      <c r="A773" s="54"/>
      <c r="B773" s="9"/>
      <c r="C773" s="136"/>
      <c r="D773" s="9"/>
      <c r="E773" s="134">
        <v>0</v>
      </c>
      <c r="F773" s="577" t="s">
        <v>6931</v>
      </c>
      <c r="G773" s="58" t="s">
        <v>6932</v>
      </c>
      <c r="H773" s="9">
        <v>15000</v>
      </c>
      <c r="I773" s="85">
        <f t="shared" si="864"/>
        <v>100</v>
      </c>
      <c r="J773" s="9">
        <v>15000</v>
      </c>
      <c r="K773" s="9">
        <f>ROUNDUP(J773+(J773*Assumptions!J$5),-2)</f>
        <v>15400</v>
      </c>
      <c r="L773" s="9">
        <f>ROUNDUP(K773+(K773*Assumptions!K$5),-2)</f>
        <v>15800</v>
      </c>
      <c r="M773" s="9">
        <f>ROUNDUP(L773+(L773*Assumptions!L$5),-2)</f>
        <v>16200</v>
      </c>
      <c r="N773" s="9">
        <f>ROUNDUP(M773+(M773*Assumptions!M$5),-2)</f>
        <v>16700</v>
      </c>
      <c r="O773" s="9">
        <f>ROUNDUP(N773+(N773*Assumptions!N$5),-2)</f>
        <v>17200</v>
      </c>
      <c r="P773" s="9">
        <f>ROUNDUP(O773+(O773*Assumptions!O$5),-2)</f>
        <v>17700</v>
      </c>
      <c r="Q773" s="9">
        <f>ROUNDUP(P773+(P773*Assumptions!P$5),-2)</f>
        <v>18200</v>
      </c>
      <c r="R773" s="9">
        <f>ROUNDUP(Q773+(Q773*Assumptions!Q$5),-2)</f>
        <v>18700</v>
      </c>
      <c r="S773" s="47">
        <f>ROUNDUP(R773+(R773*Assumptions!R$5),-2)</f>
        <v>19200</v>
      </c>
    </row>
    <row r="774" spans="1:23" s="39" customFormat="1" x14ac:dyDescent="0.2">
      <c r="A774" s="24"/>
      <c r="B774" s="21"/>
      <c r="C774" s="21"/>
      <c r="D774" s="9"/>
      <c r="E774" s="21"/>
      <c r="F774" s="240"/>
      <c r="G774" s="84" t="s">
        <v>289</v>
      </c>
      <c r="H774" s="21"/>
      <c r="I774" s="85"/>
      <c r="J774" s="21"/>
      <c r="K774" s="21"/>
      <c r="L774" s="21"/>
      <c r="M774" s="21"/>
      <c r="N774" s="21"/>
      <c r="O774" s="9"/>
      <c r="P774" s="9"/>
      <c r="Q774" s="9"/>
      <c r="R774" s="9"/>
      <c r="S774" s="47"/>
      <c r="U774" s="34"/>
      <c r="W774" s="34"/>
    </row>
    <row r="775" spans="1:23" x14ac:dyDescent="0.2">
      <c r="A775" s="54">
        <v>614100</v>
      </c>
      <c r="B775" s="9">
        <v>598000</v>
      </c>
      <c r="C775" s="9">
        <v>700100</v>
      </c>
      <c r="D775" s="9">
        <v>715200</v>
      </c>
      <c r="E775" s="9">
        <v>649800</v>
      </c>
      <c r="F775" s="240" t="s">
        <v>1616</v>
      </c>
      <c r="G775" s="55" t="s">
        <v>1440</v>
      </c>
      <c r="H775" s="9">
        <f>845000+112000</f>
        <v>957000</v>
      </c>
      <c r="I775" s="85">
        <f>IF(E775=H775,0,IF(E775=0,100,(H775-E775)/E775*100))</f>
        <v>47.276084949215139</v>
      </c>
      <c r="J775" s="9">
        <v>982000</v>
      </c>
      <c r="K775" s="9">
        <f>ROUNDUP(J775+(J775*Assumptions!J$5),-2)</f>
        <v>1006600</v>
      </c>
      <c r="L775" s="9">
        <f>ROUNDUP(K775+(K775*Assumptions!K$5),-2)</f>
        <v>1031800</v>
      </c>
      <c r="M775" s="9">
        <f>ROUNDUP(L775+(L775*Assumptions!L$5),-2)</f>
        <v>1057600</v>
      </c>
      <c r="N775" s="9">
        <f>ROUNDUP(M775+(M775*Assumptions!M$5),-2)</f>
        <v>1084100</v>
      </c>
      <c r="O775" s="9">
        <f>ROUNDUP(N775+(N775*Assumptions!N$5),-2)</f>
        <v>1111300</v>
      </c>
      <c r="P775" s="9">
        <f>ROUNDUP(O775+(O775*Assumptions!O$5),-2)</f>
        <v>1139100</v>
      </c>
      <c r="Q775" s="9">
        <f>ROUNDUP(P775+(P775*Assumptions!P$5),-2)</f>
        <v>1167600</v>
      </c>
      <c r="R775" s="9">
        <f>ROUNDUP(Q775+(Q775*Assumptions!Q$5),-2)</f>
        <v>1196800</v>
      </c>
      <c r="S775" s="47">
        <f>ROUNDUP(R775+(R775*Assumptions!R$5),-2)</f>
        <v>1226800</v>
      </c>
    </row>
    <row r="776" spans="1:23" x14ac:dyDescent="0.2">
      <c r="A776" s="54">
        <v>-11600</v>
      </c>
      <c r="B776" s="9">
        <v>-11300</v>
      </c>
      <c r="C776" s="9">
        <f>1900+2500-20500+5300</f>
        <v>-10800</v>
      </c>
      <c r="D776" s="9">
        <f>7600+1300+2200-22900+100</f>
        <v>-11700</v>
      </c>
      <c r="E776" s="9">
        <f>1039400-E775-E777-E778-E779</f>
        <v>-14500</v>
      </c>
      <c r="F776" s="240" t="s">
        <v>653</v>
      </c>
      <c r="G776" s="55" t="s">
        <v>2302</v>
      </c>
      <c r="H776" s="9">
        <v>0</v>
      </c>
      <c r="I776" s="85">
        <f>IF(E776=H776,0,IF(E776=0,100,(H776-E776)/E776*100))</f>
        <v>-100</v>
      </c>
      <c r="J776" s="9">
        <v>0</v>
      </c>
      <c r="K776" s="79">
        <v>0</v>
      </c>
      <c r="L776" s="9">
        <f>ROUNDUP(K776+(K776*Assumptions!K$5),-2)</f>
        <v>0</v>
      </c>
      <c r="M776" s="9">
        <f>ROUNDUP(L776+(L776*Assumptions!L$5),-2)</f>
        <v>0</v>
      </c>
      <c r="N776" s="9">
        <f>ROUNDUP(M776+(M776*Assumptions!M$5),-2)</f>
        <v>0</v>
      </c>
      <c r="O776" s="9">
        <f>ROUNDUP(N776+(N776*Assumptions!N$5),-2)</f>
        <v>0</v>
      </c>
      <c r="P776" s="9">
        <f>ROUNDUP(O776+(O776*Assumptions!O$5),-2)</f>
        <v>0</v>
      </c>
      <c r="Q776" s="9">
        <f>ROUNDUP(P776+(P776*Assumptions!P$5),-2)</f>
        <v>0</v>
      </c>
      <c r="R776" s="9">
        <f>ROUNDUP(Q776+(Q776*Assumptions!Q$5),-2)</f>
        <v>0</v>
      </c>
      <c r="S776" s="47">
        <f>ROUNDUP(R776+(R776*Assumptions!R$5),-2)</f>
        <v>0</v>
      </c>
    </row>
    <row r="777" spans="1:23" x14ac:dyDescent="0.2">
      <c r="A777" s="54">
        <v>276600</v>
      </c>
      <c r="B777" s="9">
        <v>224200</v>
      </c>
      <c r="C777" s="9">
        <v>326400</v>
      </c>
      <c r="D777" s="9">
        <v>309600</v>
      </c>
      <c r="E777" s="9">
        <v>205200</v>
      </c>
      <c r="F777" s="240" t="s">
        <v>654</v>
      </c>
      <c r="G777" s="55" t="s">
        <v>745</v>
      </c>
      <c r="H777" s="9">
        <v>253000</v>
      </c>
      <c r="I777" s="85">
        <f>IF(E777=H777,0,IF(E777=0,100,(H777-E777)/E777*100))</f>
        <v>23.294346978557503</v>
      </c>
      <c r="J777" s="9">
        <v>260000</v>
      </c>
      <c r="K777" s="9">
        <f>ROUNDUP(J777+(J777*Assumptions!J$5),-2)</f>
        <v>266500</v>
      </c>
      <c r="L777" s="9">
        <f>ROUNDUP(K777+(K777*Assumptions!K$5),-2)</f>
        <v>273200</v>
      </c>
      <c r="M777" s="9">
        <f>ROUNDUP(L777+(L777*Assumptions!L$5),-2)</f>
        <v>280100</v>
      </c>
      <c r="N777" s="9">
        <f>ROUNDUP(M777+(M777*Assumptions!M$5),-2)</f>
        <v>287200</v>
      </c>
      <c r="O777" s="9">
        <f>ROUNDUP(N777+(N777*Assumptions!N$5),-2)</f>
        <v>294400</v>
      </c>
      <c r="P777" s="9">
        <f>ROUNDUP(O777+(O777*Assumptions!O$5),-2)</f>
        <v>301800</v>
      </c>
      <c r="Q777" s="9">
        <f>ROUNDUP(P777+(P777*Assumptions!P$5),-2)</f>
        <v>309400</v>
      </c>
      <c r="R777" s="9">
        <f>ROUNDUP(Q777+(Q777*Assumptions!Q$5),-2)</f>
        <v>317200</v>
      </c>
      <c r="S777" s="47">
        <f>ROUNDUP(R777+(R777*Assumptions!R$5),-2)</f>
        <v>325200</v>
      </c>
    </row>
    <row r="778" spans="1:23" x14ac:dyDescent="0.2">
      <c r="A778" s="54">
        <v>335000</v>
      </c>
      <c r="B778" s="9">
        <v>455000</v>
      </c>
      <c r="C778" s="9">
        <v>477200</v>
      </c>
      <c r="D778" s="9">
        <v>382600</v>
      </c>
      <c r="E778" s="9">
        <v>155100</v>
      </c>
      <c r="F778" s="240" t="s">
        <v>655</v>
      </c>
      <c r="G778" s="55" t="s">
        <v>744</v>
      </c>
      <c r="H778" s="9">
        <v>422000</v>
      </c>
      <c r="I778" s="85">
        <f>IF(E778=H778,0,IF(E778=0,100,(H778-E778)/E778*100))</f>
        <v>172.08252740167634</v>
      </c>
      <c r="J778" s="9">
        <v>433000</v>
      </c>
      <c r="K778" s="9">
        <f>ROUNDUP(J778+(J778*Assumptions!J$5),-2)</f>
        <v>443900</v>
      </c>
      <c r="L778" s="9">
        <f>ROUNDUP(K778+(K778*Assumptions!K$5),-2)</f>
        <v>455000</v>
      </c>
      <c r="M778" s="9">
        <f>ROUNDUP(L778+(L778*Assumptions!L$5),-2)</f>
        <v>466400</v>
      </c>
      <c r="N778" s="9">
        <f>ROUNDUP(M778+(M778*Assumptions!M$5),-2)</f>
        <v>478100</v>
      </c>
      <c r="O778" s="9">
        <f>ROUNDUP(N778+(N778*Assumptions!N$5),-2)</f>
        <v>490100</v>
      </c>
      <c r="P778" s="9">
        <f>ROUNDUP(O778+(O778*Assumptions!O$5),-2)</f>
        <v>502400</v>
      </c>
      <c r="Q778" s="9">
        <f>ROUNDUP(P778+(P778*Assumptions!P$5),-2)</f>
        <v>515000</v>
      </c>
      <c r="R778" s="9">
        <f>ROUNDUP(Q778+(Q778*Assumptions!Q$5),-2)</f>
        <v>527900</v>
      </c>
      <c r="S778" s="47">
        <f>ROUNDUP(R778+(R778*Assumptions!R$5),-2)</f>
        <v>541100</v>
      </c>
    </row>
    <row r="779" spans="1:23" x14ac:dyDescent="0.2">
      <c r="A779" s="54">
        <v>19800</v>
      </c>
      <c r="B779" s="9">
        <v>26800</v>
      </c>
      <c r="C779" s="136">
        <v>20800</v>
      </c>
      <c r="D779" s="9">
        <v>16200</v>
      </c>
      <c r="E779" s="134">
        <v>43800</v>
      </c>
      <c r="F779" s="240" t="s">
        <v>656</v>
      </c>
      <c r="G779" s="257" t="s">
        <v>1736</v>
      </c>
      <c r="H779" s="9">
        <v>30000</v>
      </c>
      <c r="I779" s="85">
        <f>IF(E779=H779,0,IF(E779=0,100,(H779-E779)/E779*100))</f>
        <v>-31.506849315068493</v>
      </c>
      <c r="J779" s="9">
        <v>31000</v>
      </c>
      <c r="K779" s="9">
        <f>ROUNDUP(J779+(J779*Assumptions!J$5),-2)</f>
        <v>31800</v>
      </c>
      <c r="L779" s="9">
        <f>ROUNDUP(K779+(K779*Assumptions!K$5),-2)</f>
        <v>32600</v>
      </c>
      <c r="M779" s="9">
        <f>ROUNDUP(L779+(L779*Assumptions!L$5),-2)</f>
        <v>33500</v>
      </c>
      <c r="N779" s="9">
        <f>ROUNDUP(M779+(M779*Assumptions!M$5),-2)</f>
        <v>34400</v>
      </c>
      <c r="O779" s="9">
        <f>ROUNDUP(N779+(N779*Assumptions!N$5),-2)</f>
        <v>35300</v>
      </c>
      <c r="P779" s="9">
        <f>ROUNDUP(O779+(O779*Assumptions!O$5),-2)</f>
        <v>36200</v>
      </c>
      <c r="Q779" s="9">
        <f>ROUNDUP(P779+(P779*Assumptions!P$5),-2)</f>
        <v>37200</v>
      </c>
      <c r="R779" s="9">
        <f>ROUNDUP(Q779+(Q779*Assumptions!Q$5),-2)</f>
        <v>38200</v>
      </c>
      <c r="S779" s="47">
        <f>ROUNDUP(R779+(R779*Assumptions!R$5),-2)</f>
        <v>39200</v>
      </c>
    </row>
    <row r="780" spans="1:23" x14ac:dyDescent="0.2">
      <c r="A780" s="45"/>
      <c r="B780" s="9"/>
      <c r="C780" s="9"/>
      <c r="D780" s="9"/>
      <c r="E780" s="9"/>
      <c r="F780" s="773"/>
      <c r="G780" s="661"/>
      <c r="H780" s="9"/>
      <c r="I780" s="85"/>
      <c r="J780" s="9"/>
      <c r="K780" s="9"/>
      <c r="L780" s="9"/>
      <c r="M780" s="9"/>
      <c r="N780" s="9"/>
      <c r="O780" s="9"/>
      <c r="P780" s="9"/>
      <c r="Q780" s="9"/>
      <c r="R780" s="9"/>
      <c r="S780" s="61"/>
    </row>
    <row r="781" spans="1:23" x14ac:dyDescent="0.2">
      <c r="A781" s="45"/>
      <c r="B781" s="9"/>
      <c r="C781" s="9"/>
      <c r="D781" s="9"/>
      <c r="E781" s="9"/>
      <c r="F781" s="167"/>
      <c r="G781" s="521" t="s">
        <v>1014</v>
      </c>
      <c r="H781" s="9"/>
      <c r="I781" s="85"/>
      <c r="J781" s="9"/>
      <c r="K781" s="9"/>
      <c r="L781" s="9"/>
      <c r="M781" s="9"/>
      <c r="N781" s="9"/>
      <c r="O781" s="9"/>
      <c r="P781" s="9"/>
      <c r="Q781" s="9"/>
      <c r="R781" s="9"/>
      <c r="S781" s="61"/>
    </row>
    <row r="782" spans="1:23" ht="13.5" thickBot="1" x14ac:dyDescent="0.25">
      <c r="A782" s="1454"/>
      <c r="B782" s="23"/>
      <c r="C782" s="23"/>
      <c r="D782" s="23"/>
      <c r="E782" s="23"/>
      <c r="F782" s="168"/>
      <c r="G782" s="1448"/>
      <c r="H782" s="23"/>
      <c r="I782" s="87"/>
      <c r="J782" s="23"/>
      <c r="K782" s="23"/>
      <c r="L782" s="23"/>
      <c r="M782" s="23"/>
      <c r="N782" s="23"/>
      <c r="O782" s="23"/>
      <c r="P782" s="23"/>
      <c r="Q782" s="23"/>
      <c r="R782" s="23"/>
      <c r="S782" s="112"/>
    </row>
    <row r="783" spans="1:23" s="38" customFormat="1" ht="18.75" customHeight="1" thickTop="1" thickBot="1" x14ac:dyDescent="0.3">
      <c r="A783" s="2588" t="s">
        <v>4554</v>
      </c>
      <c r="B783" s="2589"/>
      <c r="C783" s="2589"/>
      <c r="D783" s="2589"/>
      <c r="E783" s="2589"/>
      <c r="F783" s="2589"/>
      <c r="G783" s="2589"/>
      <c r="H783" s="2589"/>
      <c r="I783" s="2589"/>
      <c r="J783" s="2589"/>
      <c r="K783" s="2589"/>
      <c r="L783" s="2589"/>
      <c r="M783" s="2589"/>
      <c r="N783" s="2589"/>
      <c r="O783" s="2589"/>
      <c r="P783" s="2589"/>
      <c r="Q783" s="2589"/>
      <c r="R783" s="2589"/>
      <c r="S783" s="2590"/>
      <c r="U783" s="34"/>
      <c r="W783" s="34"/>
    </row>
    <row r="784" spans="1:23" s="39" customFormat="1" x14ac:dyDescent="0.2">
      <c r="A784" s="2620" t="s">
        <v>1824</v>
      </c>
      <c r="B784" s="2621"/>
      <c r="C784" s="2621"/>
      <c r="D784" s="2621"/>
      <c r="E784" s="2622"/>
      <c r="F784" s="150" t="s">
        <v>2616</v>
      </c>
      <c r="G784" s="126" t="s">
        <v>2213</v>
      </c>
      <c r="H784" s="2617" t="s">
        <v>2215</v>
      </c>
      <c r="I784" s="2618"/>
      <c r="J784" s="2618"/>
      <c r="K784" s="2618"/>
      <c r="L784" s="2618"/>
      <c r="M784" s="2618"/>
      <c r="N784" s="2618"/>
      <c r="O784" s="2618"/>
      <c r="P784" s="2618"/>
      <c r="Q784" s="2618"/>
      <c r="R784" s="2618"/>
      <c r="S784" s="2619"/>
      <c r="U784" s="34"/>
      <c r="W784" s="34"/>
    </row>
    <row r="785" spans="1:23" ht="13.5" customHeight="1" thickBot="1" x14ac:dyDescent="0.25">
      <c r="A785" s="541" t="str">
        <f>A3</f>
        <v>2012/13</v>
      </c>
      <c r="B785" s="28" t="str">
        <f>B3</f>
        <v>2013/14</v>
      </c>
      <c r="C785" s="40" t="str">
        <f>C3</f>
        <v>2014/15</v>
      </c>
      <c r="D785" s="40" t="str">
        <f>D3</f>
        <v>2015/16</v>
      </c>
      <c r="E785" s="40" t="str">
        <f>E3</f>
        <v>2016/17</v>
      </c>
      <c r="F785" s="40" t="s">
        <v>2617</v>
      </c>
      <c r="G785" s="41"/>
      <c r="H785" s="40" t="str">
        <f t="shared" ref="H785:S785" si="865">H3</f>
        <v>2017/18</v>
      </c>
      <c r="I785" s="1258" t="str">
        <f t="shared" si="865"/>
        <v>%</v>
      </c>
      <c r="J785" s="40" t="str">
        <f t="shared" si="865"/>
        <v>2018/19</v>
      </c>
      <c r="K785" s="40" t="str">
        <f t="shared" si="865"/>
        <v>2019/20</v>
      </c>
      <c r="L785" s="40" t="str">
        <f t="shared" si="865"/>
        <v>2020/21</v>
      </c>
      <c r="M785" s="40" t="str">
        <f t="shared" si="865"/>
        <v>2021/22</v>
      </c>
      <c r="N785" s="40" t="str">
        <f t="shared" si="865"/>
        <v>2022/23</v>
      </c>
      <c r="O785" s="40" t="str">
        <f t="shared" si="865"/>
        <v>2023/24</v>
      </c>
      <c r="P785" s="40" t="str">
        <f t="shared" si="865"/>
        <v>2024/25</v>
      </c>
      <c r="Q785" s="28" t="str">
        <f t="shared" si="865"/>
        <v>2025/26</v>
      </c>
      <c r="R785" s="28" t="str">
        <f t="shared" si="865"/>
        <v>2026/27</v>
      </c>
      <c r="S785" s="1620" t="str">
        <f t="shared" si="865"/>
        <v>2027/28</v>
      </c>
    </row>
    <row r="786" spans="1:23" ht="13.5" customHeight="1" x14ac:dyDescent="0.2">
      <c r="A786" s="528"/>
      <c r="B786" s="150"/>
      <c r="C786" s="150"/>
      <c r="D786" s="150"/>
      <c r="E786" s="150"/>
      <c r="F786" s="152"/>
      <c r="G786" s="46"/>
      <c r="H786" s="150"/>
      <c r="I786" s="1395"/>
      <c r="J786" s="150"/>
      <c r="K786" s="150"/>
      <c r="L786" s="150"/>
      <c r="M786" s="150"/>
      <c r="N786" s="150"/>
      <c r="O786" s="150"/>
      <c r="P786" s="150"/>
      <c r="Q786" s="150"/>
      <c r="R786" s="150"/>
      <c r="S786" s="381"/>
    </row>
    <row r="787" spans="1:23" x14ac:dyDescent="0.2">
      <c r="A787" s="54"/>
      <c r="B787" s="9"/>
      <c r="C787" s="9"/>
      <c r="D787" s="9"/>
      <c r="E787" s="9"/>
      <c r="F787" s="1153"/>
      <c r="G787" s="256" t="s">
        <v>1800</v>
      </c>
      <c r="H787" s="9"/>
      <c r="I787" s="85"/>
      <c r="J787" s="9"/>
      <c r="K787" s="9"/>
      <c r="L787" s="9"/>
      <c r="M787" s="9"/>
      <c r="N787" s="9"/>
      <c r="O787" s="9"/>
      <c r="P787" s="9"/>
      <c r="Q787" s="9"/>
      <c r="R787" s="9"/>
      <c r="S787" s="61"/>
    </row>
    <row r="788" spans="1:23" x14ac:dyDescent="0.2">
      <c r="A788" s="54"/>
      <c r="B788" s="9"/>
      <c r="C788" s="89"/>
      <c r="D788" s="9"/>
      <c r="E788" s="9"/>
      <c r="F788" s="1153"/>
      <c r="G788" s="256"/>
      <c r="H788" s="9"/>
      <c r="I788" s="85"/>
      <c r="J788" s="9"/>
      <c r="K788" s="9"/>
      <c r="L788" s="9"/>
      <c r="M788" s="9"/>
      <c r="N788" s="9"/>
      <c r="O788" s="9"/>
      <c r="P788" s="9"/>
      <c r="Q788" s="9"/>
      <c r="R788" s="9"/>
      <c r="S788" s="61"/>
    </row>
    <row r="789" spans="1:23" s="39" customFormat="1" x14ac:dyDescent="0.2">
      <c r="A789" s="24"/>
      <c r="B789" s="9"/>
      <c r="C789" s="75"/>
      <c r="D789" s="9"/>
      <c r="E789" s="21"/>
      <c r="F789" s="241"/>
      <c r="G789" s="260" t="s">
        <v>288</v>
      </c>
      <c r="H789" s="21"/>
      <c r="I789" s="85"/>
      <c r="J789" s="21"/>
      <c r="K789" s="21"/>
      <c r="L789" s="21"/>
      <c r="M789" s="21"/>
      <c r="N789" s="21"/>
      <c r="O789" s="9"/>
      <c r="P789" s="9"/>
      <c r="Q789" s="9"/>
      <c r="R789" s="9"/>
      <c r="S789" s="61"/>
      <c r="U789" s="34"/>
      <c r="W789" s="34"/>
    </row>
    <row r="790" spans="1:23" x14ac:dyDescent="0.2">
      <c r="A790" s="54">
        <v>0</v>
      </c>
      <c r="B790" s="9">
        <v>80300</v>
      </c>
      <c r="C790" s="46">
        <v>0</v>
      </c>
      <c r="D790" s="9">
        <v>1600</v>
      </c>
      <c r="E790" s="9">
        <v>10700</v>
      </c>
      <c r="F790" s="240" t="s">
        <v>1843</v>
      </c>
      <c r="G790" s="257" t="s">
        <v>1415</v>
      </c>
      <c r="H790" s="9">
        <v>0</v>
      </c>
      <c r="I790" s="85">
        <f>IF(E790=H790,0,IF(E790=0,100,(H790-E790)/E790*100))</f>
        <v>-100</v>
      </c>
      <c r="J790" s="9">
        <f>ROUNDUP(H790+(H790*Assumptions!I$5),-2)</f>
        <v>0</v>
      </c>
      <c r="K790" s="9">
        <f>ROUNDUP(J790+(J790*Assumptions!J$5),-2)</f>
        <v>0</v>
      </c>
      <c r="L790" s="9">
        <f>ROUNDUP(K790+(K790*Assumptions!K$5),-2)</f>
        <v>0</v>
      </c>
      <c r="M790" s="9">
        <f>ROUNDUP(L790+(L790*Assumptions!L$5),-2)</f>
        <v>0</v>
      </c>
      <c r="N790" s="9">
        <f>ROUNDUP(M790+(M790*Assumptions!M$5),-2)</f>
        <v>0</v>
      </c>
      <c r="O790" s="9">
        <f>ROUNDUP(N790+(N790*Assumptions!N$5),-2)</f>
        <v>0</v>
      </c>
      <c r="P790" s="9">
        <f>ROUNDUP(O790+(O790*Assumptions!O$5),-2)</f>
        <v>0</v>
      </c>
      <c r="Q790" s="9">
        <f>ROUNDUP(P790+(P790*Assumptions!P$5),-2)</f>
        <v>0</v>
      </c>
      <c r="R790" s="9">
        <f>ROUNDUP(Q790+(Q790*Assumptions!Q$5),-2)</f>
        <v>0</v>
      </c>
      <c r="S790" s="47">
        <f>ROUNDUP(R790+(R790*Assumptions!R$5),-2)</f>
        <v>0</v>
      </c>
    </row>
    <row r="791" spans="1:23" x14ac:dyDescent="0.2">
      <c r="A791" s="54">
        <v>482700</v>
      </c>
      <c r="B791" s="9">
        <v>519000</v>
      </c>
      <c r="C791" s="46">
        <v>572200</v>
      </c>
      <c r="D791" s="9">
        <v>639900</v>
      </c>
      <c r="E791" s="9">
        <v>791900</v>
      </c>
      <c r="F791" s="240" t="s">
        <v>657</v>
      </c>
      <c r="G791" s="257" t="s">
        <v>1440</v>
      </c>
      <c r="H791" s="9">
        <f>555000+300</f>
        <v>555300</v>
      </c>
      <c r="I791" s="85">
        <f>IF(E791=H791,0,IF(E791=0,100,(H791-E791)/E791*100))</f>
        <v>-29.877509786589219</v>
      </c>
      <c r="J791" s="9">
        <v>570000</v>
      </c>
      <c r="K791" s="9">
        <f>ROUNDUP(J791+(J791*Assumptions!J$5),-2)-300</f>
        <v>584000</v>
      </c>
      <c r="L791" s="9">
        <f>ROUNDUP(K791+(K791*Assumptions!K$5),-2)</f>
        <v>598600</v>
      </c>
      <c r="M791" s="9">
        <f>ROUNDUP(L791+(L791*Assumptions!L$5),-2)</f>
        <v>613600</v>
      </c>
      <c r="N791" s="9">
        <f>ROUNDUP(M791+(M791*Assumptions!M$5),-2)</f>
        <v>629000</v>
      </c>
      <c r="O791" s="9">
        <f>ROUNDUP(N791+(N791*Assumptions!N$5),-2)</f>
        <v>644800</v>
      </c>
      <c r="P791" s="9">
        <f>ROUNDUP(O791+(O791*Assumptions!O$5),-2)</f>
        <v>661000</v>
      </c>
      <c r="Q791" s="9">
        <f>ROUNDUP(P791+(P791*Assumptions!P$5),-2)</f>
        <v>677600</v>
      </c>
      <c r="R791" s="9">
        <f>ROUNDUP(Q791+(Q791*Assumptions!Q$5),-2)</f>
        <v>694600</v>
      </c>
      <c r="S791" s="47">
        <f>ROUNDUP(R791+(R791*Assumptions!R$5),-2)</f>
        <v>712000</v>
      </c>
    </row>
    <row r="792" spans="1:23" x14ac:dyDescent="0.2">
      <c r="A792" s="54">
        <v>232200</v>
      </c>
      <c r="B792" s="9">
        <f>224100+21000+2200</f>
        <v>247300</v>
      </c>
      <c r="C792" s="46">
        <f>21600+23100-2600+400+208400</f>
        <v>250900</v>
      </c>
      <c r="D792" s="9">
        <f>2800+24200-2400+244000-100</f>
        <v>268500</v>
      </c>
      <c r="E792" s="9">
        <f>1804900-E791-E793-E794</f>
        <v>281600</v>
      </c>
      <c r="F792" s="577" t="s">
        <v>1990</v>
      </c>
      <c r="G792" s="257" t="s">
        <v>2302</v>
      </c>
      <c r="H792" s="9">
        <v>265000</v>
      </c>
      <c r="I792" s="85">
        <f>IF(E792=H792,0,IF(E792=0,100,(H792-E792)/E792*100))</f>
        <v>-5.8948863636363642</v>
      </c>
      <c r="J792" s="9">
        <v>272000</v>
      </c>
      <c r="K792" s="9">
        <f>ROUNDUP(J792+(J792*Assumptions!J$5),-2)</f>
        <v>278800</v>
      </c>
      <c r="L792" s="9">
        <f>ROUNDUP(K792+(K792*Assumptions!K$5),-2)</f>
        <v>285800</v>
      </c>
      <c r="M792" s="9">
        <f>ROUNDUP(L792+(L792*Assumptions!L$5),-2)</f>
        <v>293000</v>
      </c>
      <c r="N792" s="9">
        <f>ROUNDUP(M792+(M792*Assumptions!M$5),-2)</f>
        <v>300400</v>
      </c>
      <c r="O792" s="9">
        <f>ROUNDUP(N792+(N792*Assumptions!N$5),-2)</f>
        <v>308000</v>
      </c>
      <c r="P792" s="9">
        <f>ROUNDUP(O792+(O792*Assumptions!O$5),-2)</f>
        <v>315700</v>
      </c>
      <c r="Q792" s="9">
        <f>ROUNDUP(P792+(P792*Assumptions!P$5),-2)</f>
        <v>323600</v>
      </c>
      <c r="R792" s="9">
        <f>ROUNDUP(Q792+(Q792*Assumptions!Q$5),-2)</f>
        <v>331700</v>
      </c>
      <c r="S792" s="47">
        <f>ROUNDUP(R792+(R792*Assumptions!R$5),-2)</f>
        <v>340000</v>
      </c>
    </row>
    <row r="793" spans="1:23" x14ac:dyDescent="0.2">
      <c r="A793" s="54">
        <v>249800</v>
      </c>
      <c r="B793" s="9">
        <v>220000</v>
      </c>
      <c r="C793" s="46">
        <v>242400</v>
      </c>
      <c r="D793" s="9">
        <v>361700</v>
      </c>
      <c r="E793" s="9">
        <v>441600</v>
      </c>
      <c r="F793" s="240" t="s">
        <v>2191</v>
      </c>
      <c r="G793" s="257" t="s">
        <v>745</v>
      </c>
      <c r="H793" s="9">
        <v>333000</v>
      </c>
      <c r="I793" s="85">
        <f>IF(E793=H793,0,IF(E793=0,100,(H793-E793)/E793*100))</f>
        <v>-24.592391304347828</v>
      </c>
      <c r="J793" s="9">
        <v>342000</v>
      </c>
      <c r="K793" s="9">
        <f>ROUNDUP(J793+(J793*Assumptions!J$5),-2)</f>
        <v>350600</v>
      </c>
      <c r="L793" s="9">
        <f>ROUNDUP(K793+(K793*Assumptions!K$5),-2)</f>
        <v>359400</v>
      </c>
      <c r="M793" s="9">
        <f>ROUNDUP(L793+(L793*Assumptions!L$5),-2)</f>
        <v>368400</v>
      </c>
      <c r="N793" s="9">
        <f>ROUNDUP(M793+(M793*Assumptions!M$5),-2)</f>
        <v>377700</v>
      </c>
      <c r="O793" s="9">
        <f>ROUNDUP(N793+(N793*Assumptions!N$5),-2)</f>
        <v>387200</v>
      </c>
      <c r="P793" s="9">
        <f>ROUNDUP(O793+(O793*Assumptions!O$5),-2)</f>
        <v>396900</v>
      </c>
      <c r="Q793" s="9">
        <f>ROUNDUP(P793+(P793*Assumptions!P$5),-2)</f>
        <v>406900</v>
      </c>
      <c r="R793" s="9">
        <f>ROUNDUP(Q793+(Q793*Assumptions!Q$5),-2)</f>
        <v>417100</v>
      </c>
      <c r="S793" s="47">
        <f>ROUNDUP(R793+(R793*Assumptions!R$5),-2)</f>
        <v>427600</v>
      </c>
    </row>
    <row r="794" spans="1:23" x14ac:dyDescent="0.2">
      <c r="A794" s="54">
        <v>177900</v>
      </c>
      <c r="B794" s="9">
        <v>290000</v>
      </c>
      <c r="C794" s="46">
        <v>238700</v>
      </c>
      <c r="D794" s="9">
        <v>379400</v>
      </c>
      <c r="E794" s="9">
        <v>289800</v>
      </c>
      <c r="F794" s="240" t="s">
        <v>2192</v>
      </c>
      <c r="G794" s="257" t="s">
        <v>744</v>
      </c>
      <c r="H794" s="9">
        <v>278000</v>
      </c>
      <c r="I794" s="85">
        <f>IF(E794=H794,0,IF(E794=0,100,(H794-E794)/E794*100))</f>
        <v>-4.0717736369910282</v>
      </c>
      <c r="J794" s="9">
        <v>285000</v>
      </c>
      <c r="K794" s="9">
        <f>ROUNDUP(J794+(J794*Assumptions!J$5),-2)</f>
        <v>292200</v>
      </c>
      <c r="L794" s="9">
        <f>ROUNDUP(K794+(K794*Assumptions!K$5),-2)</f>
        <v>299600</v>
      </c>
      <c r="M794" s="9">
        <f>ROUNDUP(L794+(L794*Assumptions!L$5),-2)</f>
        <v>307100</v>
      </c>
      <c r="N794" s="9">
        <f>ROUNDUP(M794+(M794*Assumptions!M$5),-2)</f>
        <v>314800</v>
      </c>
      <c r="O794" s="9">
        <f>ROUNDUP(N794+(N794*Assumptions!N$5),-2)</f>
        <v>322700</v>
      </c>
      <c r="P794" s="9">
        <f>ROUNDUP(O794+(O794*Assumptions!O$5),-2)</f>
        <v>330800</v>
      </c>
      <c r="Q794" s="9">
        <f>ROUNDUP(P794+(P794*Assumptions!P$5),-2)</f>
        <v>339100</v>
      </c>
      <c r="R794" s="9">
        <f>ROUNDUP(Q794+(Q794*Assumptions!Q$5),-2)</f>
        <v>347600</v>
      </c>
      <c r="S794" s="47">
        <f>ROUNDUP(R794+(R794*Assumptions!R$5),-2)</f>
        <v>356300</v>
      </c>
    </row>
    <row r="795" spans="1:23" x14ac:dyDescent="0.2">
      <c r="A795" s="54"/>
      <c r="B795" s="9"/>
      <c r="C795" s="89"/>
      <c r="D795" s="9"/>
      <c r="E795" s="9"/>
      <c r="F795" s="240"/>
      <c r="G795" s="260" t="s">
        <v>2724</v>
      </c>
      <c r="H795" s="9"/>
      <c r="I795" s="85"/>
      <c r="J795" s="9"/>
      <c r="K795" s="9"/>
      <c r="L795" s="9"/>
      <c r="M795" s="9"/>
      <c r="N795" s="9"/>
      <c r="O795" s="9"/>
      <c r="P795" s="9"/>
      <c r="Q795" s="9"/>
      <c r="R795" s="9"/>
      <c r="S795" s="47"/>
    </row>
    <row r="796" spans="1:23" x14ac:dyDescent="0.2">
      <c r="A796" s="54">
        <v>1700</v>
      </c>
      <c r="B796" s="9">
        <v>7500</v>
      </c>
      <c r="C796" s="46">
        <v>7500</v>
      </c>
      <c r="D796" s="9">
        <v>0</v>
      </c>
      <c r="E796" s="9">
        <v>0</v>
      </c>
      <c r="F796" s="240" t="s">
        <v>2193</v>
      </c>
      <c r="G796" s="257" t="s">
        <v>995</v>
      </c>
      <c r="H796" s="9">
        <v>8200</v>
      </c>
      <c r="I796" s="85">
        <f>IF(E796=H796,0,IF(E796=0,100,(H796-E796)/E796*100))</f>
        <v>100</v>
      </c>
      <c r="J796" s="9">
        <f>ROUNDUP(H796+(H796*Assumptions!I$5),-2)</f>
        <v>8400</v>
      </c>
      <c r="K796" s="9">
        <f>ROUNDUP(J796+(J796*Assumptions!J$5),-2)</f>
        <v>8700</v>
      </c>
      <c r="L796" s="9">
        <f>ROUNDUP(K796+(K796*Assumptions!K$5),-2)</f>
        <v>9000</v>
      </c>
      <c r="M796" s="9">
        <f>ROUNDUP(L796+(L796*Assumptions!L$5),-2)</f>
        <v>9300</v>
      </c>
      <c r="N796" s="9">
        <f>ROUNDUP(M796+(M796*Assumptions!M$5),-2)</f>
        <v>9600</v>
      </c>
      <c r="O796" s="9">
        <f>ROUNDUP(N796+(N796*Assumptions!N$5),-2)</f>
        <v>9900</v>
      </c>
      <c r="P796" s="9">
        <f>ROUNDUP(O796+(O796*Assumptions!O$5),-2)</f>
        <v>10200</v>
      </c>
      <c r="Q796" s="9">
        <f>ROUNDUP(P796+(P796*Assumptions!P$5),-2)</f>
        <v>10500</v>
      </c>
      <c r="R796" s="9">
        <f>ROUNDUP(Q796+(Q796*Assumptions!Q$5),-2)</f>
        <v>10800</v>
      </c>
      <c r="S796" s="47">
        <f>ROUNDUP(R796+(R796*Assumptions!R$5),-2)</f>
        <v>11100</v>
      </c>
    </row>
    <row r="797" spans="1:23" x14ac:dyDescent="0.2">
      <c r="A797" s="54">
        <v>510400</v>
      </c>
      <c r="B797" s="9">
        <v>534500</v>
      </c>
      <c r="C797" s="46">
        <v>557200</v>
      </c>
      <c r="D797" s="9">
        <v>568700</v>
      </c>
      <c r="E797" s="9">
        <v>571900</v>
      </c>
      <c r="F797" s="240" t="s">
        <v>2194</v>
      </c>
      <c r="G797" s="257" t="s">
        <v>1978</v>
      </c>
      <c r="H797" s="9">
        <f>580600-5000</f>
        <v>575600</v>
      </c>
      <c r="I797" s="85">
        <f>IF(E797=H797,0,IF(E797=0,100,(H797-E797)/E797*100))</f>
        <v>0.64696625284140585</v>
      </c>
      <c r="J797" s="9">
        <f>ROUNDUP(H797+(H797*Assumptions!I$5),-2)</f>
        <v>588900</v>
      </c>
      <c r="K797" s="9">
        <f>ROUNDUP(J797+(J797*Assumptions!J$5),-2)</f>
        <v>603700</v>
      </c>
      <c r="L797" s="9">
        <f>ROUNDUP(K797+(K797*Assumptions!K$5),-2)</f>
        <v>618800</v>
      </c>
      <c r="M797" s="9">
        <f>ROUNDUP(L797+(L797*Assumptions!L$5),-2)</f>
        <v>634300</v>
      </c>
      <c r="N797" s="9">
        <f>ROUNDUP(M797+(M797*Assumptions!M$5),-2)</f>
        <v>650200</v>
      </c>
      <c r="O797" s="9">
        <f>ROUNDUP(N797+(N797*Assumptions!N$5),-2)</f>
        <v>666500</v>
      </c>
      <c r="P797" s="9">
        <f>ROUNDUP(O797+(O797*Assumptions!O$5),-2)</f>
        <v>683200</v>
      </c>
      <c r="Q797" s="9">
        <f>ROUNDUP(P797+(P797*Assumptions!P$5),-2)</f>
        <v>700300</v>
      </c>
      <c r="R797" s="9">
        <f>ROUNDUP(Q797+(Q797*Assumptions!Q$5),-2)</f>
        <v>717900</v>
      </c>
      <c r="S797" s="47">
        <f>ROUNDUP(R797+(R797*Assumptions!R$5),-2)</f>
        <v>735900</v>
      </c>
    </row>
    <row r="798" spans="1:23" x14ac:dyDescent="0.2">
      <c r="A798" s="54">
        <v>10100</v>
      </c>
      <c r="B798" s="9">
        <v>39700</v>
      </c>
      <c r="C798" s="46">
        <v>17700</v>
      </c>
      <c r="D798" s="9">
        <v>24800</v>
      </c>
      <c r="E798" s="9">
        <v>33600</v>
      </c>
      <c r="F798" s="240" t="s">
        <v>2195</v>
      </c>
      <c r="G798" s="257" t="s">
        <v>134</v>
      </c>
      <c r="H798" s="9">
        <v>41500</v>
      </c>
      <c r="I798" s="85">
        <f>IF(E798=H798,0,IF(E798=0,100,(H798-E798)/E798*100))</f>
        <v>23.511904761904763</v>
      </c>
      <c r="J798" s="9">
        <f>ROUNDUP(H798+(H798*Assumptions!I$5),-2)</f>
        <v>42500</v>
      </c>
      <c r="K798" s="9">
        <f>ROUNDUP(J798+(J798*Assumptions!J$5),-2)</f>
        <v>43600</v>
      </c>
      <c r="L798" s="9">
        <f>ROUNDUP(K798+(K798*Assumptions!K$5),-2)</f>
        <v>44700</v>
      </c>
      <c r="M798" s="9">
        <f>ROUNDUP(L798+(L798*Assumptions!L$5),-2)</f>
        <v>45900</v>
      </c>
      <c r="N798" s="9">
        <f>ROUNDUP(M798+(M798*Assumptions!M$5),-2)</f>
        <v>47100</v>
      </c>
      <c r="O798" s="9">
        <f>ROUNDUP(N798+(N798*Assumptions!N$5),-2)</f>
        <v>48300</v>
      </c>
      <c r="P798" s="9">
        <f>ROUNDUP(O798+(O798*Assumptions!O$5),-2)</f>
        <v>49600</v>
      </c>
      <c r="Q798" s="9">
        <f>ROUNDUP(P798+(P798*Assumptions!P$5),-2)</f>
        <v>50900</v>
      </c>
      <c r="R798" s="9">
        <f>ROUNDUP(Q798+(Q798*Assumptions!Q$5),-2)</f>
        <v>52200</v>
      </c>
      <c r="S798" s="47">
        <f>ROUNDUP(R798+(R798*Assumptions!R$5),-2)</f>
        <v>53600</v>
      </c>
    </row>
    <row r="799" spans="1:23" x14ac:dyDescent="0.2">
      <c r="A799" s="54">
        <v>0</v>
      </c>
      <c r="B799" s="9">
        <v>0</v>
      </c>
      <c r="C799" s="46">
        <v>0</v>
      </c>
      <c r="D799" s="9">
        <v>0</v>
      </c>
      <c r="E799" s="9">
        <v>19100</v>
      </c>
      <c r="F799" s="577" t="s">
        <v>6882</v>
      </c>
      <c r="G799" s="634" t="s">
        <v>6883</v>
      </c>
      <c r="H799" s="9">
        <v>40900</v>
      </c>
      <c r="I799" s="85">
        <f>IF(E799=H799,0,IF(E799=0,100,(H799-E799)/E799*100))</f>
        <v>114.13612565445025</v>
      </c>
      <c r="J799" s="9">
        <f>ROUNDUP(H799+(H799*Assumptions!I$5),-2)-42000</f>
        <v>-100</v>
      </c>
      <c r="K799" s="9">
        <f>ROUNDUP(J799+(J799*Assumptions!J$5),-2)</f>
        <v>-200</v>
      </c>
      <c r="L799" s="9">
        <f>ROUNDUP(K799+(K799*Assumptions!K$5),-2)</f>
        <v>-300</v>
      </c>
      <c r="M799" s="9">
        <f>ROUNDUP(L799+(L799*Assumptions!L$5),-2)</f>
        <v>-400</v>
      </c>
      <c r="N799" s="9">
        <f>ROUNDUP(M799+(M799*Assumptions!M$5),-2)</f>
        <v>-500</v>
      </c>
      <c r="O799" s="9">
        <f>ROUNDUP(N799+(N799*Assumptions!N$5),-2)</f>
        <v>-600</v>
      </c>
      <c r="P799" s="9">
        <f>ROUNDUP(O799+(O799*Assumptions!O$5),-2)</f>
        <v>-700</v>
      </c>
      <c r="Q799" s="9">
        <f>ROUNDUP(P799+(P799*Assumptions!P$5),-2)</f>
        <v>-800</v>
      </c>
      <c r="R799" s="9">
        <f>ROUNDUP(Q799+(Q799*Assumptions!Q$5),-2)</f>
        <v>-900</v>
      </c>
      <c r="S799" s="47">
        <f>ROUNDUP(R799+(R799*Assumptions!R$5),-2)</f>
        <v>-1000</v>
      </c>
    </row>
    <row r="800" spans="1:23" x14ac:dyDescent="0.2">
      <c r="A800" s="54"/>
      <c r="B800" s="9"/>
      <c r="D800" s="9"/>
      <c r="E800" s="9"/>
      <c r="F800" s="240"/>
      <c r="G800" s="260" t="s">
        <v>2034</v>
      </c>
      <c r="H800" s="9"/>
      <c r="I800" s="85"/>
      <c r="J800" s="9"/>
      <c r="K800" s="9"/>
      <c r="L800" s="9"/>
      <c r="M800" s="9"/>
      <c r="N800" s="9"/>
      <c r="O800" s="9"/>
      <c r="P800" s="9"/>
      <c r="Q800" s="9"/>
      <c r="R800" s="9"/>
      <c r="S800" s="47"/>
    </row>
    <row r="801" spans="1:23" x14ac:dyDescent="0.2">
      <c r="A801" s="54">
        <v>-2769400</v>
      </c>
      <c r="B801" s="9">
        <v>-2588300</v>
      </c>
      <c r="C801" s="46">
        <v>-2623800</v>
      </c>
      <c r="D801" s="9">
        <v>-2771900</v>
      </c>
      <c r="E801" s="9">
        <f>+-3032000+100</f>
        <v>-3031900</v>
      </c>
      <c r="F801" s="240" t="s">
        <v>1161</v>
      </c>
      <c r="G801" s="257" t="s">
        <v>201</v>
      </c>
      <c r="H801" s="9">
        <f>-3102000-80000</f>
        <v>-3182000</v>
      </c>
      <c r="I801" s="85">
        <f>IF(E801=H801,0,IF(E801=0,100,(H801-E801)/E801*100))</f>
        <v>4.9506909858504571</v>
      </c>
      <c r="J801" s="9">
        <f>ROUNDUP(H801+(H801*Assumptions!I$5),-2)</f>
        <v>-3255200</v>
      </c>
      <c r="K801" s="9">
        <f>ROUNDUP(J801+(J801*Assumptions!J$5),-2)</f>
        <v>-3336600</v>
      </c>
      <c r="L801" s="9">
        <f>ROUNDUP(K801+(K801*Assumptions!K$5),-2)</f>
        <v>-3420100</v>
      </c>
      <c r="M801" s="9">
        <f>ROUNDUP(L801+(L801*Assumptions!L$5),-2)</f>
        <v>-3505700</v>
      </c>
      <c r="N801" s="9">
        <f>ROUNDUP(M801+(M801*Assumptions!M$5),-2)</f>
        <v>-3593400</v>
      </c>
      <c r="O801" s="9">
        <f>ROUNDUP(N801+(N801*Assumptions!N$5),-2)</f>
        <v>-3683300</v>
      </c>
      <c r="P801" s="9">
        <f>ROUNDUP(O801+(O801*Assumptions!O$5),-2)</f>
        <v>-3775400</v>
      </c>
      <c r="Q801" s="9">
        <f>ROUNDUP(P801+(P801*Assumptions!P$5),-2)</f>
        <v>-3869800</v>
      </c>
      <c r="R801" s="9">
        <f>ROUNDUP(Q801+(Q801*Assumptions!Q$5),-2)</f>
        <v>-3966600</v>
      </c>
      <c r="S801" s="47">
        <f>ROUNDUP(R801+(R801*Assumptions!R$5),-2)</f>
        <v>-4065800</v>
      </c>
    </row>
    <row r="802" spans="1:23" x14ac:dyDescent="0.2">
      <c r="A802" s="54">
        <v>-2962800</v>
      </c>
      <c r="B802" s="9">
        <v>-2886000</v>
      </c>
      <c r="C802" s="46">
        <v>-3105600</v>
      </c>
      <c r="D802" s="9">
        <v>-3409100</v>
      </c>
      <c r="E802" s="9">
        <v>-3556000</v>
      </c>
      <c r="F802" s="240" t="s">
        <v>1869</v>
      </c>
      <c r="G802" s="257" t="s">
        <v>1639</v>
      </c>
      <c r="H802" s="9">
        <f>+-3570000-20000</f>
        <v>-3590000</v>
      </c>
      <c r="I802" s="85">
        <f>IF(E802=H802,0,IF(E802=0,100,(H802-E802)/E802*100))</f>
        <v>0.95613048368953879</v>
      </c>
      <c r="J802" s="9">
        <f>ROUNDUP(H802+(H802*Assumptions!I$5),-2)</f>
        <v>-3672600</v>
      </c>
      <c r="K802" s="9">
        <f>ROUNDUP(J802+(J802*Assumptions!J$5),-2)</f>
        <v>-3764500</v>
      </c>
      <c r="L802" s="9">
        <f>ROUNDUP(K802+(K802*Assumptions!K$5),-2)</f>
        <v>-3858700</v>
      </c>
      <c r="M802" s="9">
        <f>ROUNDUP(L802+(L802*Assumptions!L$5),-2)</f>
        <v>-3955200</v>
      </c>
      <c r="N802" s="9">
        <f>ROUNDUP(M802+(M802*Assumptions!M$5),-2)</f>
        <v>-4054100</v>
      </c>
      <c r="O802" s="9">
        <f>ROUNDUP(N802+(N802*Assumptions!N$5),-2)</f>
        <v>-4155500</v>
      </c>
      <c r="P802" s="9">
        <f>ROUNDUP(O802+(O802*Assumptions!O$5),-2)</f>
        <v>-4259400</v>
      </c>
      <c r="Q802" s="9">
        <f>ROUNDUP(P802+(P802*Assumptions!P$5),-2)</f>
        <v>-4365900</v>
      </c>
      <c r="R802" s="9">
        <f>ROUNDUP(Q802+(Q802*Assumptions!Q$5),-2)</f>
        <v>-4475100</v>
      </c>
      <c r="S802" s="47">
        <f>ROUNDUP(R802+(R802*Assumptions!R$5),-2)</f>
        <v>-4587000</v>
      </c>
    </row>
    <row r="803" spans="1:23" x14ac:dyDescent="0.2">
      <c r="A803" s="54"/>
      <c r="B803" s="9"/>
      <c r="C803" s="136"/>
      <c r="D803" s="9"/>
      <c r="E803" s="134"/>
      <c r="F803" s="240"/>
      <c r="G803" s="419" t="s">
        <v>1293</v>
      </c>
      <c r="H803" s="9"/>
      <c r="I803" s="85"/>
      <c r="J803" s="9"/>
      <c r="K803" s="9"/>
      <c r="L803" s="9"/>
      <c r="M803" s="9"/>
      <c r="N803" s="9"/>
      <c r="O803" s="9"/>
      <c r="P803" s="9"/>
      <c r="Q803" s="9"/>
      <c r="R803" s="9"/>
      <c r="S803" s="47"/>
    </row>
    <row r="804" spans="1:23" x14ac:dyDescent="0.2">
      <c r="A804" s="54">
        <v>-40200</v>
      </c>
      <c r="B804" s="9">
        <v>-51000</v>
      </c>
      <c r="C804" s="136">
        <v>-110400</v>
      </c>
      <c r="D804" s="9">
        <v>-44300</v>
      </c>
      <c r="E804" s="134">
        <v>-65900</v>
      </c>
      <c r="F804" s="240" t="s">
        <v>1870</v>
      </c>
      <c r="G804" s="634" t="s">
        <v>3244</v>
      </c>
      <c r="H804" s="9">
        <v>-59000</v>
      </c>
      <c r="I804" s="85">
        <f>IF(E804=H804,0,IF(E804=0,100,(H804-E804)/E804*100))</f>
        <v>-10.47040971168437</v>
      </c>
      <c r="J804" s="9">
        <f>ROUNDUP(H804+(H804*Assumptions!I$5),-2)</f>
        <v>-60400</v>
      </c>
      <c r="K804" s="9">
        <f>ROUNDUP(J804+(J804*Assumptions!J$5),-2)</f>
        <v>-62000</v>
      </c>
      <c r="L804" s="9">
        <f>ROUNDUP(K804+(K804*Assumptions!K$5),-2)</f>
        <v>-63600</v>
      </c>
      <c r="M804" s="9">
        <f>ROUNDUP(L804+(L804*Assumptions!L$5),-2)</f>
        <v>-65200</v>
      </c>
      <c r="N804" s="9">
        <f>ROUNDUP(M804+(M804*Assumptions!M$5),-2)</f>
        <v>-66900</v>
      </c>
      <c r="O804" s="9">
        <f>ROUNDUP(N804+(N804*Assumptions!N$5),-2)</f>
        <v>-68600</v>
      </c>
      <c r="P804" s="9">
        <f>ROUNDUP(O804+(O804*Assumptions!O$5),-2)</f>
        <v>-70400</v>
      </c>
      <c r="Q804" s="9">
        <f>ROUNDUP(P804+(P804*Assumptions!P$5),-2)</f>
        <v>-72200</v>
      </c>
      <c r="R804" s="9">
        <f>ROUNDUP(Q804+(Q804*Assumptions!Q$5),-2)</f>
        <v>-74100</v>
      </c>
      <c r="S804" s="47">
        <f>ROUNDUP(R804+(R804*Assumptions!R$5),-2)</f>
        <v>-76000</v>
      </c>
    </row>
    <row r="805" spans="1:23" x14ac:dyDescent="0.2">
      <c r="A805" s="54">
        <v>-7700</v>
      </c>
      <c r="B805" s="9">
        <v>-37700</v>
      </c>
      <c r="C805" s="136">
        <v>-30600</v>
      </c>
      <c r="D805" s="9">
        <f>-100300-2000+100</f>
        <v>-102200</v>
      </c>
      <c r="E805" s="134">
        <f>+-38700-1200</f>
        <v>-39900</v>
      </c>
      <c r="F805" s="240" t="s">
        <v>1871</v>
      </c>
      <c r="G805" s="634" t="s">
        <v>2982</v>
      </c>
      <c r="H805" s="9">
        <v>-72000</v>
      </c>
      <c r="I805" s="85">
        <f>IF(E805=H805,0,IF(E805=0,100,(H805-E805)/E805*100))</f>
        <v>80.451127819548873</v>
      </c>
      <c r="J805" s="9">
        <f>ROUNDUP(H805+(H805*Assumptions!I$5),-2)</f>
        <v>-73700</v>
      </c>
      <c r="K805" s="9">
        <f>ROUNDUP(J805+(J805*Assumptions!J$5),-2)</f>
        <v>-75600</v>
      </c>
      <c r="L805" s="9">
        <f>ROUNDUP(K805+(K805*Assumptions!K$5),-2)</f>
        <v>-77500</v>
      </c>
      <c r="M805" s="9">
        <f>ROUNDUP(L805+(L805*Assumptions!L$5),-2)</f>
        <v>-79500</v>
      </c>
      <c r="N805" s="9">
        <f>ROUNDUP(M805+(M805*Assumptions!M$5),-2)</f>
        <v>-81500</v>
      </c>
      <c r="O805" s="9">
        <f>ROUNDUP(N805+(N805*Assumptions!N$5),-2)</f>
        <v>-83600</v>
      </c>
      <c r="P805" s="9">
        <f>ROUNDUP(O805+(O805*Assumptions!O$5),-2)</f>
        <v>-85700</v>
      </c>
      <c r="Q805" s="9">
        <f>ROUNDUP(P805+(P805*Assumptions!P$5),-2)</f>
        <v>-87900</v>
      </c>
      <c r="R805" s="9">
        <f>ROUNDUP(Q805+(Q805*Assumptions!Q$5),-2)</f>
        <v>-90100</v>
      </c>
      <c r="S805" s="47">
        <f>ROUNDUP(R805+(R805*Assumptions!R$5),-2)</f>
        <v>-92400</v>
      </c>
    </row>
    <row r="806" spans="1:23" ht="13.5" thickBot="1" x14ac:dyDescent="0.25">
      <c r="A806" s="24"/>
      <c r="B806" s="21"/>
      <c r="C806" s="21"/>
      <c r="D806" s="21"/>
      <c r="E806" s="9"/>
      <c r="F806" s="175"/>
      <c r="G806" s="27"/>
      <c r="H806" s="9"/>
      <c r="I806" s="126"/>
      <c r="J806" s="9"/>
      <c r="K806" s="9"/>
      <c r="L806" s="9"/>
      <c r="M806" s="9"/>
      <c r="N806" s="9"/>
      <c r="O806" s="9"/>
      <c r="P806" s="9"/>
      <c r="Q806" s="9"/>
      <c r="R806" s="9"/>
      <c r="S806" s="47"/>
    </row>
    <row r="807" spans="1:23" s="39" customFormat="1" x14ac:dyDescent="0.2">
      <c r="A807" s="52">
        <f>SUM(A739:A806)</f>
        <v>885100</v>
      </c>
      <c r="B807" s="16">
        <f>SUM(B739:B806)</f>
        <v>1371400</v>
      </c>
      <c r="C807" s="16">
        <f>SUM(C739:C806)</f>
        <v>1366300</v>
      </c>
      <c r="D807" s="16">
        <f>SUM(D739:D806)</f>
        <v>1282200</v>
      </c>
      <c r="E807" s="16">
        <f>SUM(E739:E806)</f>
        <v>781500</v>
      </c>
      <c r="F807" s="2207"/>
      <c r="G807" s="59" t="s">
        <v>556</v>
      </c>
      <c r="H807" s="16">
        <f>SUM(H739:H806)</f>
        <v>1159100</v>
      </c>
      <c r="I807" s="1425">
        <f>IF(E807=H807,0,IF(E807=0,100,(H807-E807)/E807*100))</f>
        <v>48.317338451695456</v>
      </c>
      <c r="J807" s="16">
        <f t="shared" ref="J807:R807" si="866">SUM(J739:J806)</f>
        <v>1015300</v>
      </c>
      <c r="K807" s="16">
        <f t="shared" si="866"/>
        <v>1034200</v>
      </c>
      <c r="L807" s="16">
        <f t="shared" si="866"/>
        <v>1057700</v>
      </c>
      <c r="M807" s="16">
        <f t="shared" si="866"/>
        <v>1085200</v>
      </c>
      <c r="N807" s="16">
        <f t="shared" si="866"/>
        <v>1117200</v>
      </c>
      <c r="O807" s="16">
        <f t="shared" si="866"/>
        <v>1153100</v>
      </c>
      <c r="P807" s="16">
        <f t="shared" si="866"/>
        <v>1192800</v>
      </c>
      <c r="Q807" s="16">
        <f t="shared" si="866"/>
        <v>1236700</v>
      </c>
      <c r="R807" s="16">
        <f t="shared" si="866"/>
        <v>1284400</v>
      </c>
      <c r="S807" s="2342">
        <f t="shared" ref="S807" si="867">SUM(S739:S806)</f>
        <v>1337300</v>
      </c>
      <c r="U807" s="34"/>
      <c r="W807" s="34"/>
    </row>
    <row r="808" spans="1:23" x14ac:dyDescent="0.2">
      <c r="A808" s="54"/>
      <c r="B808" s="9"/>
      <c r="C808" s="9"/>
      <c r="D808" s="9"/>
      <c r="E808" s="9"/>
      <c r="F808" s="177"/>
      <c r="G808" s="55"/>
      <c r="H808" s="21"/>
      <c r="I808" s="85"/>
      <c r="J808" s="9"/>
      <c r="K808" s="9"/>
      <c r="L808" s="9"/>
      <c r="M808" s="9"/>
      <c r="N808" s="9"/>
      <c r="O808" s="9"/>
      <c r="P808" s="9"/>
      <c r="Q808" s="9"/>
      <c r="R808" s="9"/>
      <c r="S808" s="47"/>
    </row>
    <row r="809" spans="1:23" s="39" customFormat="1" x14ac:dyDescent="0.2">
      <c r="A809" s="24">
        <f>A737-A807</f>
        <v>-652400</v>
      </c>
      <c r="B809" s="21">
        <f>B737-B807</f>
        <v>-1181500</v>
      </c>
      <c r="C809" s="21">
        <f>C737-C807</f>
        <v>-1070900</v>
      </c>
      <c r="D809" s="21">
        <f>D737-D807</f>
        <v>-1090800</v>
      </c>
      <c r="E809" s="21">
        <f>E737-E807</f>
        <v>-335000</v>
      </c>
      <c r="F809" s="188"/>
      <c r="G809" s="1161" t="s">
        <v>1002</v>
      </c>
      <c r="H809" s="21">
        <f>H737-H807</f>
        <v>-986000</v>
      </c>
      <c r="I809" s="126">
        <f>IF(E809=H809,0,IF(E809=0,100,(H809-E809)/E809*100))</f>
        <v>194.32835820895522</v>
      </c>
      <c r="J809" s="21">
        <f t="shared" ref="J809:R809" si="868">J737-J807</f>
        <v>-862300</v>
      </c>
      <c r="K809" s="21">
        <f t="shared" si="868"/>
        <v>-877200</v>
      </c>
      <c r="L809" s="21">
        <f t="shared" si="868"/>
        <v>-896600</v>
      </c>
      <c r="M809" s="21">
        <f t="shared" si="868"/>
        <v>-919900</v>
      </c>
      <c r="N809" s="21">
        <f t="shared" si="868"/>
        <v>-947500</v>
      </c>
      <c r="O809" s="21">
        <f t="shared" si="868"/>
        <v>-979000</v>
      </c>
      <c r="P809" s="21">
        <f t="shared" si="868"/>
        <v>-1014000</v>
      </c>
      <c r="Q809" s="21">
        <f t="shared" si="868"/>
        <v>-1053200</v>
      </c>
      <c r="R809" s="21">
        <f t="shared" si="868"/>
        <v>-1096100</v>
      </c>
      <c r="S809" s="86">
        <f t="shared" ref="S809" si="869">S737-S807</f>
        <v>-1144000</v>
      </c>
      <c r="U809" s="34"/>
      <c r="W809" s="34"/>
    </row>
    <row r="810" spans="1:23" x14ac:dyDescent="0.2">
      <c r="A810" s="54"/>
      <c r="B810" s="9"/>
      <c r="C810" s="9"/>
      <c r="D810" s="9"/>
      <c r="E810" s="9"/>
      <c r="F810" s="177"/>
      <c r="G810" s="217"/>
      <c r="H810" s="9"/>
      <c r="I810" s="85"/>
      <c r="J810" s="9"/>
      <c r="K810" s="9"/>
      <c r="L810" s="9"/>
      <c r="M810" s="9"/>
      <c r="N810" s="9"/>
      <c r="O810" s="9"/>
      <c r="P810" s="9"/>
      <c r="Q810" s="9"/>
      <c r="R810" s="9"/>
      <c r="S810" s="47"/>
    </row>
    <row r="811" spans="1:23" s="39" customFormat="1" x14ac:dyDescent="0.2">
      <c r="A811" s="128">
        <f>A809+A810</f>
        <v>-652400</v>
      </c>
      <c r="B811" s="280">
        <f>B809+B810</f>
        <v>-1181500</v>
      </c>
      <c r="C811" s="280">
        <f>C809+C810</f>
        <v>-1070900</v>
      </c>
      <c r="D811" s="280">
        <f>D809+D810</f>
        <v>-1090800</v>
      </c>
      <c r="E811" s="280">
        <f t="shared" ref="E811" si="870">E809+E810</f>
        <v>-335000</v>
      </c>
      <c r="F811" s="359"/>
      <c r="G811" s="360" t="s">
        <v>1659</v>
      </c>
      <c r="H811" s="280">
        <f t="shared" ref="H811:O811" si="871">H809+H810</f>
        <v>-986000</v>
      </c>
      <c r="I811" s="278">
        <f>IF(E811=H811,0,IF(E811=0,100,(H811-E811)/E811*100))</f>
        <v>194.32835820895522</v>
      </c>
      <c r="J811" s="280">
        <f t="shared" si="871"/>
        <v>-862300</v>
      </c>
      <c r="K811" s="280">
        <f t="shared" si="871"/>
        <v>-877200</v>
      </c>
      <c r="L811" s="280">
        <f t="shared" si="871"/>
        <v>-896600</v>
      </c>
      <c r="M811" s="280">
        <f t="shared" si="871"/>
        <v>-919900</v>
      </c>
      <c r="N811" s="280">
        <f t="shared" si="871"/>
        <v>-947500</v>
      </c>
      <c r="O811" s="280">
        <f t="shared" si="871"/>
        <v>-979000</v>
      </c>
      <c r="P811" s="280">
        <f t="shared" ref="P811:Q811" si="872">P809+P810</f>
        <v>-1014000</v>
      </c>
      <c r="Q811" s="280">
        <f t="shared" si="872"/>
        <v>-1053200</v>
      </c>
      <c r="R811" s="280">
        <f t="shared" ref="R811" si="873">R809+R810</f>
        <v>-1096100</v>
      </c>
      <c r="S811" s="2343">
        <f t="shared" ref="S811" si="874">S809+S810</f>
        <v>-1144000</v>
      </c>
      <c r="U811" s="34"/>
      <c r="W811" s="34"/>
    </row>
    <row r="812" spans="1:23" ht="13.5" thickBot="1" x14ac:dyDescent="0.25">
      <c r="A812" s="26"/>
      <c r="B812" s="37"/>
      <c r="C812" s="37"/>
      <c r="D812" s="37"/>
      <c r="E812" s="23"/>
      <c r="F812" s="191"/>
      <c r="G812" s="88"/>
      <c r="H812" s="68"/>
      <c r="I812" s="275">
        <f>IF(E812=H812,0,IF(E812=0,100,(H812-E812)/E812*100))</f>
        <v>0</v>
      </c>
      <c r="J812" s="68"/>
      <c r="K812" s="68"/>
      <c r="L812" s="68"/>
      <c r="M812" s="68"/>
      <c r="N812" s="68"/>
      <c r="O812" s="68"/>
      <c r="P812" s="68"/>
      <c r="Q812" s="68"/>
      <c r="R812" s="68"/>
      <c r="S812" s="108"/>
    </row>
    <row r="813" spans="1:23" ht="13.5" thickTop="1" x14ac:dyDescent="0.2">
      <c r="A813" s="270"/>
      <c r="B813" s="69"/>
      <c r="C813" s="109"/>
      <c r="D813" s="109"/>
      <c r="E813" s="74"/>
      <c r="F813" s="192"/>
      <c r="G813" s="258"/>
      <c r="H813" s="74"/>
      <c r="I813" s="276"/>
      <c r="J813" s="74"/>
      <c r="K813" s="74"/>
      <c r="L813" s="74"/>
      <c r="M813" s="74"/>
      <c r="N813" s="74"/>
      <c r="O813" s="74"/>
      <c r="P813" s="74"/>
      <c r="Q813" s="74"/>
      <c r="R813" s="74"/>
      <c r="S813" s="110"/>
    </row>
    <row r="814" spans="1:23" x14ac:dyDescent="0.2">
      <c r="A814" s="24"/>
      <c r="B814" s="75"/>
      <c r="C814" s="21"/>
      <c r="D814" s="21"/>
      <c r="E814" s="9"/>
      <c r="F814" s="189"/>
      <c r="G814" s="361" t="s">
        <v>192</v>
      </c>
      <c r="H814" s="9"/>
      <c r="I814" s="1182"/>
      <c r="J814" s="9"/>
      <c r="K814" s="9"/>
      <c r="L814" s="9"/>
      <c r="M814" s="9"/>
      <c r="N814" s="9"/>
      <c r="O814" s="9"/>
      <c r="P814" s="9"/>
      <c r="Q814" s="9"/>
      <c r="R814" s="9"/>
      <c r="S814" s="61"/>
    </row>
    <row r="815" spans="1:23" x14ac:dyDescent="0.2">
      <c r="A815" s="54">
        <v>0</v>
      </c>
      <c r="B815" s="89">
        <v>0</v>
      </c>
      <c r="C815" s="9">
        <v>0</v>
      </c>
      <c r="D815" s="9">
        <v>0</v>
      </c>
      <c r="E815" s="9">
        <v>0</v>
      </c>
      <c r="F815" s="165"/>
      <c r="G815" s="257" t="s">
        <v>2848</v>
      </c>
      <c r="H815" s="9">
        <v>0</v>
      </c>
      <c r="I815" s="1157">
        <f t="shared" ref="I815:I820" si="875">IF(E815=H815,0,IF(E815=0,100,(H815-E815)/E815*100))</f>
        <v>0</v>
      </c>
      <c r="J815" s="9">
        <v>0</v>
      </c>
      <c r="K815" s="9">
        <v>0</v>
      </c>
      <c r="L815" s="9">
        <v>0</v>
      </c>
      <c r="M815" s="9">
        <v>0</v>
      </c>
      <c r="N815" s="9">
        <v>0</v>
      </c>
      <c r="O815" s="9">
        <v>0</v>
      </c>
      <c r="P815" s="9">
        <v>0</v>
      </c>
      <c r="Q815" s="9">
        <v>0</v>
      </c>
      <c r="R815" s="9">
        <v>0</v>
      </c>
      <c r="S815" s="61">
        <v>0</v>
      </c>
    </row>
    <row r="816" spans="1:23" x14ac:dyDescent="0.2">
      <c r="A816" s="54">
        <v>313000</v>
      </c>
      <c r="B816" s="89">
        <v>297000</v>
      </c>
      <c r="C816" s="89">
        <v>732000</v>
      </c>
      <c r="D816" s="89">
        <f>SUM('Res-Gen'!B51:B55)</f>
        <v>284000</v>
      </c>
      <c r="E816" s="9">
        <f>SUM('Res-Gen'!E51:E55)</f>
        <v>337000</v>
      </c>
      <c r="F816" s="165"/>
      <c r="G816" s="257" t="s">
        <v>1909</v>
      </c>
      <c r="H816" s="9">
        <v>0</v>
      </c>
      <c r="I816" s="1157">
        <f t="shared" si="875"/>
        <v>-100</v>
      </c>
      <c r="J816" s="9">
        <f>SUM('Res-Gen'!K51:K55)</f>
        <v>0</v>
      </c>
      <c r="K816" s="9">
        <f>SUM('Res-Gen'!N51:N55)</f>
        <v>0</v>
      </c>
      <c r="L816" s="9">
        <f>SUM('Res-Gen'!Q51:Q55)</f>
        <v>0</v>
      </c>
      <c r="M816" s="9">
        <f>SUM('Res-Gen'!T51:T55)</f>
        <v>0</v>
      </c>
      <c r="N816" s="9">
        <f>SUM('Res-Gen'!W51:W55)</f>
        <v>0</v>
      </c>
      <c r="O816" s="9">
        <f>SUM('Res-Gen'!Z51:Z55)</f>
        <v>0</v>
      </c>
      <c r="P816" s="9">
        <f>SUM('Res-Gen'!AC51:AC55)</f>
        <v>0</v>
      </c>
      <c r="Q816" s="9">
        <f>SUM('Res-Gen'!AF51:AF55)</f>
        <v>0</v>
      </c>
      <c r="R816" s="9">
        <f>SUM('Res-Gen'!AG51:AG55)</f>
        <v>0</v>
      </c>
      <c r="S816" s="61">
        <f>SUM('Res-Gen'!AH51:AH55)</f>
        <v>0</v>
      </c>
    </row>
    <row r="817" spans="1:23" x14ac:dyDescent="0.2">
      <c r="A817" s="54">
        <v>7500</v>
      </c>
      <c r="B817" s="89">
        <v>336000</v>
      </c>
      <c r="C817" s="9">
        <v>192100</v>
      </c>
      <c r="D817" s="9">
        <f>SUM('Res-Gen'!C51:C52)</f>
        <v>0</v>
      </c>
      <c r="E817" s="9">
        <f>SUM('Res-Gen'!F51:F52)</f>
        <v>0</v>
      </c>
      <c r="F817" s="165"/>
      <c r="G817" s="257" t="s">
        <v>2309</v>
      </c>
      <c r="H817" s="9">
        <f>SUM('Res-Gen'!I51:I53)</f>
        <v>117000</v>
      </c>
      <c r="I817" s="1157">
        <f t="shared" si="875"/>
        <v>100</v>
      </c>
      <c r="J817" s="9">
        <f>SUM('Res-Gen'!L51:L52)</f>
        <v>0</v>
      </c>
      <c r="K817" s="9">
        <f>SUM('Res-Gen'!O51:O52)</f>
        <v>0</v>
      </c>
      <c r="L817" s="9">
        <f>SUM('Res-Gen'!R51:R52)</f>
        <v>0</v>
      </c>
      <c r="M817" s="9">
        <f>SUM('Res-Gen'!U51:U52)</f>
        <v>0</v>
      </c>
      <c r="N817" s="9">
        <f>SUM('Res-Gen'!X51:X52)</f>
        <v>0</v>
      </c>
      <c r="O817" s="9">
        <f>SUM('Res-Gen'!AA51:AA52)</f>
        <v>0</v>
      </c>
      <c r="P817" s="9">
        <f>SUM('Res-Gen'!AD51:AD52)</f>
        <v>0</v>
      </c>
      <c r="Q817" s="9">
        <f>SUM('Res-Gen'!AG51:AG52)</f>
        <v>0</v>
      </c>
      <c r="R817" s="9">
        <f>SUM('Res-Gen'!AH51:AH52)</f>
        <v>0</v>
      </c>
      <c r="S817" s="61">
        <f>SUM('Res-Gen'!AI51:AI52)</f>
        <v>0</v>
      </c>
    </row>
    <row r="818" spans="1:23" x14ac:dyDescent="0.2">
      <c r="A818" s="54">
        <v>0</v>
      </c>
      <c r="B818" s="89">
        <f>'Cash-Gen'!A76</f>
        <v>-1957800</v>
      </c>
      <c r="C818" s="9">
        <f>'Cash-Gen'!B76</f>
        <v>-498500</v>
      </c>
      <c r="D818" s="9">
        <f>'Cash-Gen'!C76</f>
        <v>2036000</v>
      </c>
      <c r="E818" s="9">
        <v>0</v>
      </c>
      <c r="F818" s="165"/>
      <c r="G818" s="257" t="s">
        <v>5847</v>
      </c>
      <c r="H818" s="9">
        <f>'Cash-Gen'!F76</f>
        <v>200000</v>
      </c>
      <c r="I818" s="1157">
        <f t="shared" si="875"/>
        <v>100</v>
      </c>
      <c r="J818" s="9">
        <f>'Cash-Gen'!G76</f>
        <v>200000</v>
      </c>
      <c r="K818" s="9">
        <f>'Cash-Gen'!H76</f>
        <v>200000</v>
      </c>
      <c r="L818" s="9">
        <f>'Cash-Gen'!I76</f>
        <v>200000</v>
      </c>
      <c r="M818" s="9">
        <f>'Cash-Gen'!J76</f>
        <v>200000</v>
      </c>
      <c r="N818" s="9">
        <f>'Cash-Gen'!K76</f>
        <v>200000</v>
      </c>
      <c r="O818" s="9">
        <f>'Cash-Gen'!L76</f>
        <v>200000</v>
      </c>
      <c r="P818" s="9">
        <f>'Cash-Gen'!M76</f>
        <v>200000</v>
      </c>
      <c r="Q818" s="9">
        <f>'Cash-Gen'!N76</f>
        <v>200000</v>
      </c>
      <c r="R818" s="9">
        <f>'Cash-Gen'!O76</f>
        <v>200000</v>
      </c>
      <c r="S818" s="61">
        <f>'Cash-Gen'!P76</f>
        <v>200000</v>
      </c>
    </row>
    <row r="819" spans="1:23" x14ac:dyDescent="0.2">
      <c r="A819" s="54">
        <v>0</v>
      </c>
      <c r="B819" s="89">
        <v>0</v>
      </c>
      <c r="C819" s="9">
        <v>0</v>
      </c>
      <c r="D819" s="9">
        <v>0</v>
      </c>
      <c r="E819" s="9">
        <f>'Cap-Gen'!F36+'Cap-Gen'!F37</f>
        <v>36100</v>
      </c>
      <c r="F819" s="165"/>
      <c r="G819" s="257" t="s">
        <v>958</v>
      </c>
      <c r="H819" s="9">
        <v>0</v>
      </c>
      <c r="I819" s="1157">
        <f t="shared" si="875"/>
        <v>-100</v>
      </c>
      <c r="J819" s="9">
        <v>0</v>
      </c>
      <c r="K819" s="9">
        <v>0</v>
      </c>
      <c r="L819" s="9">
        <v>0</v>
      </c>
      <c r="M819" s="9">
        <v>0</v>
      </c>
      <c r="N819" s="9">
        <v>0</v>
      </c>
      <c r="O819" s="9">
        <v>0</v>
      </c>
      <c r="P819" s="9">
        <v>0</v>
      </c>
      <c r="Q819" s="9">
        <v>0</v>
      </c>
      <c r="R819" s="9">
        <v>0</v>
      </c>
      <c r="S819" s="61">
        <v>0</v>
      </c>
    </row>
    <row r="820" spans="1:23" s="39" customFormat="1" x14ac:dyDescent="0.2">
      <c r="A820" s="128">
        <f>A811-A815-A816+A817++A818-A819</f>
        <v>-957900</v>
      </c>
      <c r="B820" s="266">
        <f>B811-B815-B816+B817++B818-B819</f>
        <v>-3100300</v>
      </c>
      <c r="C820" s="280">
        <f>C811-C815-C816+C817+C818-C819</f>
        <v>-2109300</v>
      </c>
      <c r="D820" s="280">
        <f>D811-D815-D816+D817++D818-D819</f>
        <v>661200</v>
      </c>
      <c r="E820" s="280">
        <f t="shared" ref="E820" si="876">E811-E815-E816+E817++E818-E819</f>
        <v>-708100</v>
      </c>
      <c r="F820" s="362"/>
      <c r="G820" s="363" t="s">
        <v>2447</v>
      </c>
      <c r="H820" s="280">
        <f t="shared" ref="H820:O820" si="877">H811-H815-H816+H817++H818-H819</f>
        <v>-669000</v>
      </c>
      <c r="I820" s="278">
        <f t="shared" si="875"/>
        <v>-5.5218189521254057</v>
      </c>
      <c r="J820" s="280">
        <f t="shared" si="877"/>
        <v>-662300</v>
      </c>
      <c r="K820" s="280">
        <f t="shared" si="877"/>
        <v>-677200</v>
      </c>
      <c r="L820" s="280">
        <f t="shared" si="877"/>
        <v>-696600</v>
      </c>
      <c r="M820" s="280">
        <f t="shared" si="877"/>
        <v>-719900</v>
      </c>
      <c r="N820" s="280">
        <f t="shared" si="877"/>
        <v>-747500</v>
      </c>
      <c r="O820" s="280">
        <f t="shared" si="877"/>
        <v>-779000</v>
      </c>
      <c r="P820" s="280">
        <f t="shared" ref="P820:Q820" si="878">P811-P815-P816+P817++P818-P819</f>
        <v>-814000</v>
      </c>
      <c r="Q820" s="280">
        <f t="shared" si="878"/>
        <v>-853200</v>
      </c>
      <c r="R820" s="280">
        <f t="shared" ref="R820:S820" si="879">R811-R815-R816+R817++R818-R819</f>
        <v>-896100</v>
      </c>
      <c r="S820" s="282">
        <f t="shared" si="879"/>
        <v>-944000</v>
      </c>
      <c r="U820" s="34"/>
      <c r="W820" s="34"/>
    </row>
    <row r="821" spans="1:23" ht="13.5" thickBot="1" x14ac:dyDescent="0.25">
      <c r="A821" s="26"/>
      <c r="B821" s="81"/>
      <c r="C821" s="37"/>
      <c r="D821" s="37"/>
      <c r="E821" s="23"/>
      <c r="F821" s="190"/>
      <c r="G821" s="259"/>
      <c r="H821" s="23"/>
      <c r="I821" s="277"/>
      <c r="J821" s="23"/>
      <c r="K821" s="23"/>
      <c r="L821" s="23"/>
      <c r="M821" s="23"/>
      <c r="N821" s="23"/>
      <c r="O821" s="23"/>
      <c r="P821" s="23"/>
      <c r="Q821" s="23"/>
      <c r="R821" s="23"/>
      <c r="S821" s="112"/>
    </row>
    <row r="822" spans="1:23" s="46" customFormat="1" ht="14.25" thickTop="1" thickBot="1" x14ac:dyDescent="0.25">
      <c r="A822" s="27"/>
      <c r="B822" s="27"/>
      <c r="C822" s="27"/>
      <c r="D822" s="27"/>
      <c r="F822" s="179"/>
      <c r="G822" s="84"/>
      <c r="I822" s="2234"/>
      <c r="U822" s="34"/>
      <c r="W822" s="34"/>
    </row>
    <row r="823" spans="1:23" s="38" customFormat="1" ht="18.75" customHeight="1" thickTop="1" thickBot="1" x14ac:dyDescent="0.3">
      <c r="A823" s="2588" t="s">
        <v>967</v>
      </c>
      <c r="B823" s="2589"/>
      <c r="C823" s="2589"/>
      <c r="D823" s="2589"/>
      <c r="E823" s="2589"/>
      <c r="F823" s="2589"/>
      <c r="G823" s="2589"/>
      <c r="H823" s="2589"/>
      <c r="I823" s="2589"/>
      <c r="J823" s="2589"/>
      <c r="K823" s="2589"/>
      <c r="L823" s="2589"/>
      <c r="M823" s="2589"/>
      <c r="N823" s="2589"/>
      <c r="O823" s="2589"/>
      <c r="P823" s="2589"/>
      <c r="Q823" s="2589"/>
      <c r="R823" s="2589"/>
      <c r="S823" s="2590"/>
      <c r="U823" s="34"/>
      <c r="W823" s="34"/>
    </row>
    <row r="824" spans="1:23" s="39" customFormat="1" x14ac:dyDescent="0.2">
      <c r="A824" s="2620" t="s">
        <v>1824</v>
      </c>
      <c r="B824" s="2621"/>
      <c r="C824" s="2621"/>
      <c r="D824" s="2621"/>
      <c r="E824" s="2622"/>
      <c r="F824" s="150" t="s">
        <v>2616</v>
      </c>
      <c r="G824" s="126" t="s">
        <v>2213</v>
      </c>
      <c r="H824" s="2617" t="s">
        <v>2215</v>
      </c>
      <c r="I824" s="2618"/>
      <c r="J824" s="2618"/>
      <c r="K824" s="2618"/>
      <c r="L824" s="2618"/>
      <c r="M824" s="2618"/>
      <c r="N824" s="2618"/>
      <c r="O824" s="2618"/>
      <c r="P824" s="2618"/>
      <c r="Q824" s="2618"/>
      <c r="R824" s="2618"/>
      <c r="S824" s="2619"/>
      <c r="U824" s="34"/>
      <c r="W824" s="34"/>
    </row>
    <row r="825" spans="1:23" ht="13.5" thickBot="1" x14ac:dyDescent="0.25">
      <c r="A825" s="541" t="str">
        <f>A3</f>
        <v>2012/13</v>
      </c>
      <c r="B825" s="28" t="str">
        <f>B3</f>
        <v>2013/14</v>
      </c>
      <c r="C825" s="40" t="str">
        <f>C3</f>
        <v>2014/15</v>
      </c>
      <c r="D825" s="1445" t="str">
        <f>D3</f>
        <v>2015/16</v>
      </c>
      <c r="E825" s="40" t="str">
        <f>E3</f>
        <v>2016/17</v>
      </c>
      <c r="F825" s="40" t="s">
        <v>2617</v>
      </c>
      <c r="G825" s="41"/>
      <c r="H825" s="40" t="str">
        <f>H3</f>
        <v>2017/18</v>
      </c>
      <c r="I825" s="2057" t="s">
        <v>492</v>
      </c>
      <c r="J825" s="40" t="str">
        <f t="shared" ref="J825:S825" si="880">J3</f>
        <v>2018/19</v>
      </c>
      <c r="K825" s="40" t="str">
        <f t="shared" si="880"/>
        <v>2019/20</v>
      </c>
      <c r="L825" s="40" t="str">
        <f t="shared" si="880"/>
        <v>2020/21</v>
      </c>
      <c r="M825" s="40" t="str">
        <f t="shared" si="880"/>
        <v>2021/22</v>
      </c>
      <c r="N825" s="40" t="str">
        <f t="shared" si="880"/>
        <v>2022/23</v>
      </c>
      <c r="O825" s="40" t="str">
        <f t="shared" si="880"/>
        <v>2023/24</v>
      </c>
      <c r="P825" s="40" t="str">
        <f t="shared" si="880"/>
        <v>2024/25</v>
      </c>
      <c r="Q825" s="28" t="str">
        <f t="shared" si="880"/>
        <v>2025/26</v>
      </c>
      <c r="R825" s="28" t="str">
        <f t="shared" si="880"/>
        <v>2026/27</v>
      </c>
      <c r="S825" s="1620" t="str">
        <f t="shared" si="880"/>
        <v>2027/28</v>
      </c>
    </row>
    <row r="826" spans="1:23" x14ac:dyDescent="0.2">
      <c r="A826" s="430"/>
      <c r="B826" s="126"/>
      <c r="C826" s="126"/>
      <c r="D826" s="271"/>
      <c r="E826" s="9"/>
      <c r="F826" s="1446"/>
      <c r="G826" s="46"/>
      <c r="H826" s="9"/>
      <c r="I826" s="126"/>
      <c r="J826" s="9"/>
      <c r="K826" s="9"/>
      <c r="L826" s="9"/>
      <c r="M826" s="9"/>
      <c r="N826" s="9"/>
      <c r="O826" s="9"/>
      <c r="P826" s="9"/>
      <c r="Q826" s="9"/>
      <c r="R826" s="9"/>
      <c r="S826" s="61"/>
    </row>
    <row r="827" spans="1:23" x14ac:dyDescent="0.2">
      <c r="A827" s="54"/>
      <c r="B827" s="9"/>
      <c r="C827" s="9"/>
      <c r="D827" s="29"/>
      <c r="E827" s="9"/>
      <c r="F827" s="175"/>
      <c r="G827" s="91" t="s">
        <v>1056</v>
      </c>
      <c r="H827" s="9"/>
      <c r="I827" s="85"/>
      <c r="J827" s="9"/>
      <c r="K827" s="9"/>
      <c r="L827" s="9"/>
      <c r="M827" s="9"/>
      <c r="N827" s="9"/>
      <c r="O827" s="9"/>
      <c r="P827" s="9"/>
      <c r="Q827" s="9"/>
      <c r="R827" s="9"/>
      <c r="S827" s="61"/>
    </row>
    <row r="828" spans="1:23" x14ac:dyDescent="0.2">
      <c r="A828" s="54"/>
      <c r="B828" s="9"/>
      <c r="C828" s="9"/>
      <c r="D828" s="29"/>
      <c r="E828" s="9"/>
      <c r="F828" s="175"/>
      <c r="G828" s="27" t="s">
        <v>1780</v>
      </c>
      <c r="H828" s="9"/>
      <c r="I828" s="85"/>
      <c r="J828" s="9"/>
      <c r="K828" s="9"/>
      <c r="L828" s="9"/>
      <c r="M828" s="9"/>
      <c r="N828" s="9"/>
      <c r="O828" s="9"/>
      <c r="P828" s="9"/>
      <c r="Q828" s="9"/>
      <c r="R828" s="9"/>
      <c r="S828" s="61"/>
    </row>
    <row r="829" spans="1:23" x14ac:dyDescent="0.2">
      <c r="A829" s="54">
        <v>136500</v>
      </c>
      <c r="B829" s="9">
        <v>140000</v>
      </c>
      <c r="C829" s="89">
        <v>143000</v>
      </c>
      <c r="D829" s="46">
        <v>144600</v>
      </c>
      <c r="E829" s="9">
        <v>146200</v>
      </c>
      <c r="F829" s="167" t="s">
        <v>2163</v>
      </c>
      <c r="G829" s="9" t="s">
        <v>10</v>
      </c>
      <c r="H829" s="9">
        <f>149300+1100</f>
        <v>150400</v>
      </c>
      <c r="I829" s="85">
        <f t="shared" ref="I829:I838" si="881">IF(E829=H829,0,IF(E829=0,100,(H829-E829)/E829*100))</f>
        <v>2.8727770177838576</v>
      </c>
      <c r="J829" s="9">
        <v>153000</v>
      </c>
      <c r="K829" s="9">
        <f t="shared" ref="K829:S829" si="882">ROUND((J829*1.02),-2)</f>
        <v>156100</v>
      </c>
      <c r="L829" s="9">
        <f t="shared" si="882"/>
        <v>159200</v>
      </c>
      <c r="M829" s="9">
        <f t="shared" si="882"/>
        <v>162400</v>
      </c>
      <c r="N829" s="9">
        <f t="shared" si="882"/>
        <v>165600</v>
      </c>
      <c r="O829" s="9">
        <f t="shared" si="882"/>
        <v>168900</v>
      </c>
      <c r="P829" s="9">
        <f t="shared" si="882"/>
        <v>172300</v>
      </c>
      <c r="Q829" s="9">
        <f t="shared" si="882"/>
        <v>175700</v>
      </c>
      <c r="R829" s="9">
        <f t="shared" si="882"/>
        <v>179200</v>
      </c>
      <c r="S829" s="47">
        <f t="shared" si="882"/>
        <v>182800</v>
      </c>
    </row>
    <row r="830" spans="1:23" x14ac:dyDescent="0.2">
      <c r="A830" s="54">
        <v>445000</v>
      </c>
      <c r="B830" s="9">
        <f>336200+8000</f>
        <v>344200</v>
      </c>
      <c r="C830" s="77">
        <v>234000</v>
      </c>
      <c r="D830" s="46">
        <v>381100</v>
      </c>
      <c r="E830" s="9">
        <v>476500</v>
      </c>
      <c r="F830" s="167" t="s">
        <v>476</v>
      </c>
      <c r="G830" s="371" t="s">
        <v>11</v>
      </c>
      <c r="H830" s="9">
        <f>515800-33900</f>
        <v>481900</v>
      </c>
      <c r="I830" s="85">
        <f t="shared" si="881"/>
        <v>1.1332633788037776</v>
      </c>
      <c r="J830" s="9">
        <v>492000</v>
      </c>
      <c r="K830" s="9">
        <f t="shared" ref="K830:S830" si="883">ROUND((J830*1.02),-2)</f>
        <v>501800</v>
      </c>
      <c r="L830" s="9">
        <f t="shared" si="883"/>
        <v>511800</v>
      </c>
      <c r="M830" s="9">
        <f t="shared" si="883"/>
        <v>522000</v>
      </c>
      <c r="N830" s="9">
        <f t="shared" si="883"/>
        <v>532400</v>
      </c>
      <c r="O830" s="9">
        <f t="shared" si="883"/>
        <v>543000</v>
      </c>
      <c r="P830" s="9">
        <f t="shared" si="883"/>
        <v>553900</v>
      </c>
      <c r="Q830" s="9">
        <f t="shared" si="883"/>
        <v>565000</v>
      </c>
      <c r="R830" s="9">
        <f t="shared" si="883"/>
        <v>576300</v>
      </c>
      <c r="S830" s="47">
        <f t="shared" si="883"/>
        <v>587800</v>
      </c>
    </row>
    <row r="831" spans="1:23" x14ac:dyDescent="0.2">
      <c r="A831" s="54">
        <v>0</v>
      </c>
      <c r="B831" s="9">
        <v>0</v>
      </c>
      <c r="C831" s="89">
        <v>50000</v>
      </c>
      <c r="D831" s="46">
        <v>51100</v>
      </c>
      <c r="E831" s="9">
        <v>51700</v>
      </c>
      <c r="F831" s="167" t="s">
        <v>477</v>
      </c>
      <c r="G831" s="79" t="s">
        <v>5845</v>
      </c>
      <c r="H831" s="9">
        <f>52300+200</f>
        <v>52500</v>
      </c>
      <c r="I831" s="85">
        <f t="shared" si="881"/>
        <v>1.5473887814313347</v>
      </c>
      <c r="J831" s="9">
        <v>53000</v>
      </c>
      <c r="K831" s="9">
        <f t="shared" ref="K831:S831" si="884">ROUND((J831*1.02),-2)</f>
        <v>54100</v>
      </c>
      <c r="L831" s="9">
        <f t="shared" si="884"/>
        <v>55200</v>
      </c>
      <c r="M831" s="9">
        <f t="shared" si="884"/>
        <v>56300</v>
      </c>
      <c r="N831" s="9">
        <f t="shared" si="884"/>
        <v>57400</v>
      </c>
      <c r="O831" s="9">
        <f t="shared" si="884"/>
        <v>58500</v>
      </c>
      <c r="P831" s="9">
        <f t="shared" si="884"/>
        <v>59700</v>
      </c>
      <c r="Q831" s="9">
        <f t="shared" si="884"/>
        <v>60900</v>
      </c>
      <c r="R831" s="9">
        <f t="shared" si="884"/>
        <v>62100</v>
      </c>
      <c r="S831" s="47">
        <f t="shared" si="884"/>
        <v>63300</v>
      </c>
    </row>
    <row r="832" spans="1:23" x14ac:dyDescent="0.2">
      <c r="A832" s="54">
        <v>691000</v>
      </c>
      <c r="B832" s="9">
        <f>780200+4000</f>
        <v>784200</v>
      </c>
      <c r="C832" s="89">
        <v>635800</v>
      </c>
      <c r="D832" s="46">
        <v>702500</v>
      </c>
      <c r="E832" s="9">
        <v>702500</v>
      </c>
      <c r="F832" s="167" t="s">
        <v>478</v>
      </c>
      <c r="G832" s="79" t="s">
        <v>12</v>
      </c>
      <c r="H832" s="9">
        <f>703800-1300</f>
        <v>702500</v>
      </c>
      <c r="I832" s="85">
        <f t="shared" si="881"/>
        <v>0</v>
      </c>
      <c r="J832" s="9">
        <v>716000</v>
      </c>
      <c r="K832" s="9">
        <f t="shared" ref="K832:S832" si="885">ROUND((J832*1.02),-2)</f>
        <v>730300</v>
      </c>
      <c r="L832" s="9">
        <f t="shared" si="885"/>
        <v>744900</v>
      </c>
      <c r="M832" s="9">
        <f t="shared" si="885"/>
        <v>759800</v>
      </c>
      <c r="N832" s="9">
        <f t="shared" si="885"/>
        <v>775000</v>
      </c>
      <c r="O832" s="9">
        <f t="shared" si="885"/>
        <v>790500</v>
      </c>
      <c r="P832" s="9">
        <f t="shared" si="885"/>
        <v>806300</v>
      </c>
      <c r="Q832" s="9">
        <f t="shared" si="885"/>
        <v>822400</v>
      </c>
      <c r="R832" s="9">
        <f t="shared" si="885"/>
        <v>838800</v>
      </c>
      <c r="S832" s="47">
        <f t="shared" si="885"/>
        <v>855600</v>
      </c>
    </row>
    <row r="833" spans="1:19" x14ac:dyDescent="0.2">
      <c r="A833" s="54">
        <v>0</v>
      </c>
      <c r="B833" s="9">
        <v>0</v>
      </c>
      <c r="C833" s="89">
        <v>46500</v>
      </c>
      <c r="D833" s="46">
        <v>84000</v>
      </c>
      <c r="E833" s="9">
        <v>107700</v>
      </c>
      <c r="F833" s="773" t="s">
        <v>4201</v>
      </c>
      <c r="G833" s="77" t="s">
        <v>6496</v>
      </c>
      <c r="H833" s="9">
        <f>94700+17500</f>
        <v>112200</v>
      </c>
      <c r="I833" s="85">
        <f t="shared" si="881"/>
        <v>4.1782729805013927</v>
      </c>
      <c r="J833" s="9">
        <v>114000</v>
      </c>
      <c r="K833" s="9">
        <f t="shared" ref="K833:S833" si="886">ROUND((J833*1.02),-2)</f>
        <v>116300</v>
      </c>
      <c r="L833" s="9">
        <f t="shared" si="886"/>
        <v>118600</v>
      </c>
      <c r="M833" s="9">
        <f t="shared" si="886"/>
        <v>121000</v>
      </c>
      <c r="N833" s="9">
        <f t="shared" si="886"/>
        <v>123400</v>
      </c>
      <c r="O833" s="9">
        <f t="shared" si="886"/>
        <v>125900</v>
      </c>
      <c r="P833" s="9">
        <f t="shared" si="886"/>
        <v>128400</v>
      </c>
      <c r="Q833" s="9">
        <f t="shared" si="886"/>
        <v>131000</v>
      </c>
      <c r="R833" s="9">
        <f t="shared" si="886"/>
        <v>133600</v>
      </c>
      <c r="S833" s="47">
        <f t="shared" si="886"/>
        <v>136300</v>
      </c>
    </row>
    <row r="834" spans="1:19" x14ac:dyDescent="0.2">
      <c r="A834" s="54">
        <v>0</v>
      </c>
      <c r="B834" s="9">
        <v>0</v>
      </c>
      <c r="C834" s="89">
        <v>7100</v>
      </c>
      <c r="D834" s="46">
        <v>15900</v>
      </c>
      <c r="E834" s="9">
        <v>14500</v>
      </c>
      <c r="F834" s="773" t="s">
        <v>4198</v>
      </c>
      <c r="G834" s="79" t="s">
        <v>6495</v>
      </c>
      <c r="H834" s="9">
        <f>14700-100</f>
        <v>14600</v>
      </c>
      <c r="I834" s="85">
        <f t="shared" si="881"/>
        <v>0.68965517241379315</v>
      </c>
      <c r="J834" s="9">
        <v>15000</v>
      </c>
      <c r="K834" s="9">
        <f t="shared" ref="K834:S834" si="887">ROUND((J834*1.02),-2)</f>
        <v>15300</v>
      </c>
      <c r="L834" s="9">
        <f t="shared" si="887"/>
        <v>15600</v>
      </c>
      <c r="M834" s="9">
        <f t="shared" si="887"/>
        <v>15900</v>
      </c>
      <c r="N834" s="9">
        <f t="shared" si="887"/>
        <v>16200</v>
      </c>
      <c r="O834" s="9">
        <f t="shared" si="887"/>
        <v>16500</v>
      </c>
      <c r="P834" s="9">
        <f t="shared" si="887"/>
        <v>16800</v>
      </c>
      <c r="Q834" s="9">
        <f t="shared" si="887"/>
        <v>17100</v>
      </c>
      <c r="R834" s="9">
        <f t="shared" si="887"/>
        <v>17400</v>
      </c>
      <c r="S834" s="47">
        <f t="shared" si="887"/>
        <v>17700</v>
      </c>
    </row>
    <row r="835" spans="1:19" x14ac:dyDescent="0.2">
      <c r="A835" s="54">
        <v>0</v>
      </c>
      <c r="B835" s="9">
        <v>0</v>
      </c>
      <c r="C835" s="89">
        <v>6100</v>
      </c>
      <c r="D835" s="46">
        <v>1300</v>
      </c>
      <c r="E835" s="9">
        <v>1300</v>
      </c>
      <c r="F835" s="773" t="s">
        <v>4199</v>
      </c>
      <c r="G835" s="77" t="s">
        <v>6494</v>
      </c>
      <c r="H835" s="9">
        <v>1100</v>
      </c>
      <c r="I835" s="85">
        <f t="shared" si="881"/>
        <v>-15.384615384615385</v>
      </c>
      <c r="J835" s="9">
        <v>1000</v>
      </c>
      <c r="K835" s="9">
        <f>ROUND((J835*1.02),-2)</f>
        <v>1000</v>
      </c>
      <c r="L835" s="9">
        <f t="shared" ref="L835:S835" si="888">ROUND((K835*1.02),-2)</f>
        <v>1000</v>
      </c>
      <c r="M835" s="9">
        <f t="shared" si="888"/>
        <v>1000</v>
      </c>
      <c r="N835" s="9">
        <f t="shared" si="888"/>
        <v>1000</v>
      </c>
      <c r="O835" s="9">
        <f t="shared" si="888"/>
        <v>1000</v>
      </c>
      <c r="P835" s="9">
        <f t="shared" si="888"/>
        <v>1000</v>
      </c>
      <c r="Q835" s="9">
        <f t="shared" si="888"/>
        <v>1000</v>
      </c>
      <c r="R835" s="9">
        <f t="shared" si="888"/>
        <v>1000</v>
      </c>
      <c r="S835" s="47">
        <f t="shared" si="888"/>
        <v>1000</v>
      </c>
    </row>
    <row r="836" spans="1:19" x14ac:dyDescent="0.2">
      <c r="A836" s="54">
        <v>322800</v>
      </c>
      <c r="B836" s="9">
        <f>330500</f>
        <v>330500</v>
      </c>
      <c r="C836" s="89">
        <v>339600</v>
      </c>
      <c r="D836" s="46">
        <v>259300</v>
      </c>
      <c r="E836" s="9">
        <v>248900</v>
      </c>
      <c r="F836" s="167" t="s">
        <v>2281</v>
      </c>
      <c r="G836" s="89" t="s">
        <v>13</v>
      </c>
      <c r="H836" s="9">
        <f>254500-200</f>
        <v>254300</v>
      </c>
      <c r="I836" s="85">
        <f t="shared" si="881"/>
        <v>2.1695460024106068</v>
      </c>
      <c r="J836" s="9">
        <v>259000</v>
      </c>
      <c r="K836" s="9">
        <f t="shared" ref="K836:S836" si="889">ROUND((J836*1.02),-2)</f>
        <v>264200</v>
      </c>
      <c r="L836" s="9">
        <f t="shared" si="889"/>
        <v>269500</v>
      </c>
      <c r="M836" s="9">
        <f t="shared" si="889"/>
        <v>274900</v>
      </c>
      <c r="N836" s="9">
        <f t="shared" si="889"/>
        <v>280400</v>
      </c>
      <c r="O836" s="9">
        <f t="shared" si="889"/>
        <v>286000</v>
      </c>
      <c r="P836" s="9">
        <f t="shared" si="889"/>
        <v>291700</v>
      </c>
      <c r="Q836" s="9">
        <f t="shared" si="889"/>
        <v>297500</v>
      </c>
      <c r="R836" s="9">
        <f t="shared" si="889"/>
        <v>303500</v>
      </c>
      <c r="S836" s="47">
        <f t="shared" si="889"/>
        <v>309600</v>
      </c>
    </row>
    <row r="837" spans="1:19" x14ac:dyDescent="0.2">
      <c r="A837" s="54">
        <v>44800</v>
      </c>
      <c r="B837" s="9">
        <v>4500</v>
      </c>
      <c r="C837" s="89">
        <v>0</v>
      </c>
      <c r="D837" s="46">
        <v>0</v>
      </c>
      <c r="E837" s="9">
        <v>0</v>
      </c>
      <c r="F837" s="167" t="s">
        <v>1997</v>
      </c>
      <c r="G837" s="371" t="s">
        <v>1999</v>
      </c>
      <c r="H837" s="9">
        <v>0</v>
      </c>
      <c r="I837" s="85">
        <f t="shared" si="881"/>
        <v>0</v>
      </c>
      <c r="J837" s="9">
        <v>0</v>
      </c>
      <c r="K837" s="9">
        <f>ROUNDUP(J837+(J837*Assumptions!J$5),-2)</f>
        <v>0</v>
      </c>
      <c r="L837" s="9">
        <f>ROUNDUP(K837+(K837*Assumptions!K$5),-2)</f>
        <v>0</v>
      </c>
      <c r="M837" s="9">
        <f>ROUNDUP(L837+(L837*Assumptions!L$5),-2)</f>
        <v>0</v>
      </c>
      <c r="N837" s="9">
        <f>ROUNDUP(M837+(M837*Assumptions!M$5),-2)</f>
        <v>0</v>
      </c>
      <c r="O837" s="9">
        <f>ROUNDUP(N837+(N837*Assumptions!N$5),-2)</f>
        <v>0</v>
      </c>
      <c r="P837" s="9">
        <f>ROUNDUP(O837+(O837*Assumptions!O$5),-2)</f>
        <v>0</v>
      </c>
      <c r="Q837" s="9">
        <f>ROUNDUP(P837+(P837*Assumptions!P$5),-2)</f>
        <v>0</v>
      </c>
      <c r="R837" s="9">
        <f>ROUNDUP(Q837+(Q837*Assumptions!Q$5),-2)</f>
        <v>0</v>
      </c>
      <c r="S837" s="47">
        <f>ROUNDUP(R837+(R837*Assumptions!R$5),-2)</f>
        <v>0</v>
      </c>
    </row>
    <row r="838" spans="1:19" x14ac:dyDescent="0.2">
      <c r="A838" s="54">
        <v>58200</v>
      </c>
      <c r="B838" s="9">
        <v>15500</v>
      </c>
      <c r="C838" s="89">
        <v>0</v>
      </c>
      <c r="D838" s="46">
        <v>0</v>
      </c>
      <c r="E838" s="9">
        <v>0</v>
      </c>
      <c r="F838" s="167" t="s">
        <v>1998</v>
      </c>
      <c r="G838" s="371" t="s">
        <v>2000</v>
      </c>
      <c r="H838" s="9">
        <v>0</v>
      </c>
      <c r="I838" s="85">
        <f t="shared" si="881"/>
        <v>0</v>
      </c>
      <c r="J838" s="9">
        <v>0</v>
      </c>
      <c r="K838" s="9">
        <f>ROUNDUP(J838+(J838*Assumptions!J$5),-2)</f>
        <v>0</v>
      </c>
      <c r="L838" s="9">
        <f>ROUNDUP(K838+(K838*Assumptions!K$5),-2)</f>
        <v>0</v>
      </c>
      <c r="M838" s="9">
        <f>ROUNDUP(L838+(L838*Assumptions!L$5),-2)</f>
        <v>0</v>
      </c>
      <c r="N838" s="9">
        <f>ROUNDUP(M838+(M838*Assumptions!M$5),-2)</f>
        <v>0</v>
      </c>
      <c r="O838" s="9">
        <f>ROUNDUP(N838+(N838*Assumptions!N$5),-2)</f>
        <v>0</v>
      </c>
      <c r="P838" s="9">
        <f>ROUNDUP(O838+(O838*Assumptions!O$5),-2)</f>
        <v>0</v>
      </c>
      <c r="Q838" s="9">
        <f>ROUNDUP(P838+(P838*Assumptions!P$5),-2)</f>
        <v>0</v>
      </c>
      <c r="R838" s="9">
        <f>ROUNDUP(Q838+(Q838*Assumptions!Q$5),-2)</f>
        <v>0</v>
      </c>
      <c r="S838" s="47">
        <f>ROUNDUP(R838+(R838*Assumptions!R$5),-2)</f>
        <v>0</v>
      </c>
    </row>
    <row r="839" spans="1:19" x14ac:dyDescent="0.2">
      <c r="A839" s="54"/>
      <c r="B839" s="9"/>
      <c r="C839" s="89"/>
      <c r="E839" s="9"/>
      <c r="F839" s="167"/>
      <c r="G839" s="27" t="s">
        <v>1431</v>
      </c>
      <c r="H839" s="9"/>
      <c r="I839" s="85"/>
      <c r="J839" s="9"/>
      <c r="K839" s="9"/>
      <c r="L839" s="9"/>
      <c r="M839" s="9"/>
      <c r="N839" s="9"/>
      <c r="O839" s="9"/>
      <c r="P839" s="9"/>
      <c r="Q839" s="9"/>
      <c r="R839" s="9"/>
      <c r="S839" s="47"/>
    </row>
    <row r="840" spans="1:19" x14ac:dyDescent="0.2">
      <c r="A840" s="54">
        <v>5600</v>
      </c>
      <c r="B840" s="9">
        <v>104400</v>
      </c>
      <c r="C840" s="89">
        <v>1200</v>
      </c>
      <c r="D840" s="46">
        <v>0</v>
      </c>
      <c r="E840" s="9">
        <v>0</v>
      </c>
      <c r="F840" s="167" t="s">
        <v>660</v>
      </c>
      <c r="G840" s="77" t="s">
        <v>4540</v>
      </c>
      <c r="H840" s="9">
        <v>300</v>
      </c>
      <c r="I840" s="85">
        <f t="shared" ref="I840:I847" si="890">IF(E840=H840,0,IF(E840=0,100,(H840-E840)/E840*100))</f>
        <v>100</v>
      </c>
      <c r="J840" s="9">
        <v>0</v>
      </c>
      <c r="K840" s="9">
        <v>0</v>
      </c>
      <c r="L840" s="9">
        <f>ROUNDUP(K840+(K840*Assumptions!K$5),-2)</f>
        <v>0</v>
      </c>
      <c r="M840" s="9">
        <f>ROUNDUP(L840+(L840*Assumptions!L$5),-2)</f>
        <v>0</v>
      </c>
      <c r="N840" s="9">
        <f>ROUNDUP(M840+(M840*Assumptions!M$5),-2)</f>
        <v>0</v>
      </c>
      <c r="O840" s="9">
        <f>ROUNDUP(N840+(N840*Assumptions!N$5),-2)</f>
        <v>0</v>
      </c>
      <c r="P840" s="9">
        <f>ROUNDUP(O840+(O840*Assumptions!O$5),-2)</f>
        <v>0</v>
      </c>
      <c r="Q840" s="9">
        <f>ROUNDUP(P840+(P840*Assumptions!P$5),-2)</f>
        <v>0</v>
      </c>
      <c r="R840" s="9">
        <f>ROUNDUP(Q840+(Q840*Assumptions!Q$5),-2)</f>
        <v>0</v>
      </c>
      <c r="S840" s="47">
        <f>ROUNDUP(R840+(R840*Assumptions!R$5),-2)</f>
        <v>0</v>
      </c>
    </row>
    <row r="841" spans="1:19" x14ac:dyDescent="0.2">
      <c r="A841" s="54">
        <v>56400</v>
      </c>
      <c r="B841" s="9">
        <v>51300</v>
      </c>
      <c r="C841" s="89">
        <v>42200</v>
      </c>
      <c r="D841" s="46">
        <v>24300</v>
      </c>
      <c r="E841" s="9">
        <v>15600</v>
      </c>
      <c r="F841" s="167" t="s">
        <v>1394</v>
      </c>
      <c r="G841" s="371" t="s">
        <v>1966</v>
      </c>
      <c r="H841" s="9">
        <f>15900-300</f>
        <v>15600</v>
      </c>
      <c r="I841" s="85">
        <f t="shared" si="890"/>
        <v>0</v>
      </c>
      <c r="J841" s="9">
        <v>16000</v>
      </c>
      <c r="K841" s="9">
        <f t="shared" ref="K841:S841" si="891">ROUND((J841*1.02),-2)</f>
        <v>16300</v>
      </c>
      <c r="L841" s="9">
        <f t="shared" si="891"/>
        <v>16600</v>
      </c>
      <c r="M841" s="9">
        <f t="shared" si="891"/>
        <v>16900</v>
      </c>
      <c r="N841" s="9">
        <f t="shared" si="891"/>
        <v>17200</v>
      </c>
      <c r="O841" s="9">
        <f t="shared" si="891"/>
        <v>17500</v>
      </c>
      <c r="P841" s="9">
        <f t="shared" si="891"/>
        <v>17900</v>
      </c>
      <c r="Q841" s="9">
        <f t="shared" si="891"/>
        <v>18300</v>
      </c>
      <c r="R841" s="9">
        <f t="shared" si="891"/>
        <v>18700</v>
      </c>
      <c r="S841" s="47">
        <f t="shared" si="891"/>
        <v>19100</v>
      </c>
    </row>
    <row r="842" spans="1:19" x14ac:dyDescent="0.2">
      <c r="A842" s="54">
        <v>48200</v>
      </c>
      <c r="B842" s="9">
        <v>48100</v>
      </c>
      <c r="C842" s="89">
        <v>47900</v>
      </c>
      <c r="D842" s="46">
        <v>50500</v>
      </c>
      <c r="E842" s="9">
        <v>50900</v>
      </c>
      <c r="F842" s="167" t="s">
        <v>1395</v>
      </c>
      <c r="G842" s="662" t="s">
        <v>3516</v>
      </c>
      <c r="H842" s="9">
        <f>43600+5800+9000</f>
        <v>58400</v>
      </c>
      <c r="I842" s="85">
        <f t="shared" si="890"/>
        <v>14.734774066797643</v>
      </c>
      <c r="J842" s="9">
        <v>60000</v>
      </c>
      <c r="K842" s="9">
        <f>ROUNDUP(J842+(J842*Assumptions!J$5),-2)-300</f>
        <v>61200</v>
      </c>
      <c r="L842" s="9">
        <f>ROUNDUP(K842+(K842*Assumptions!K$5),-2)-300</f>
        <v>62500</v>
      </c>
      <c r="M842" s="9">
        <f>ROUNDUP(L842+(L842*Assumptions!L$5),-2)</f>
        <v>64100</v>
      </c>
      <c r="N842" s="9">
        <f>ROUNDUP(M842+(M842*Assumptions!M$5),-2)</f>
        <v>65800</v>
      </c>
      <c r="O842" s="9">
        <f>ROUNDUP(N842+(N842*Assumptions!N$5),-2)</f>
        <v>67500</v>
      </c>
      <c r="P842" s="9">
        <f>ROUNDUP(O842+(O842*Assumptions!O$5),-2)</f>
        <v>69200</v>
      </c>
      <c r="Q842" s="9">
        <f>ROUNDUP(P842+(P842*Assumptions!P$5),-2)</f>
        <v>71000</v>
      </c>
      <c r="R842" s="9">
        <f>ROUNDUP(Q842+(Q842*Assumptions!Q$5),-2)</f>
        <v>72800</v>
      </c>
      <c r="S842" s="47">
        <f>ROUNDUP(R842+(R842*Assumptions!R$5),-2)</f>
        <v>74700</v>
      </c>
    </row>
    <row r="843" spans="1:19" x14ac:dyDescent="0.2">
      <c r="A843" s="54">
        <v>28100</v>
      </c>
      <c r="B843" s="9">
        <v>29900</v>
      </c>
      <c r="C843" s="89">
        <v>30800</v>
      </c>
      <c r="D843" s="46">
        <v>36900</v>
      </c>
      <c r="E843" s="79">
        <v>34200</v>
      </c>
      <c r="F843" s="167" t="s">
        <v>702</v>
      </c>
      <c r="G843" s="371" t="s">
        <v>836</v>
      </c>
      <c r="H843" s="9">
        <f>33200+2700</f>
        <v>35900</v>
      </c>
      <c r="I843" s="85">
        <f t="shared" si="890"/>
        <v>4.9707602339181287</v>
      </c>
      <c r="J843" s="9">
        <v>37000</v>
      </c>
      <c r="K843" s="9">
        <f t="shared" ref="K843:S843" si="892">ROUND((J843*1.05),-2)</f>
        <v>38900</v>
      </c>
      <c r="L843" s="9">
        <f t="shared" si="892"/>
        <v>40800</v>
      </c>
      <c r="M843" s="9">
        <f t="shared" si="892"/>
        <v>42800</v>
      </c>
      <c r="N843" s="9">
        <f t="shared" si="892"/>
        <v>44900</v>
      </c>
      <c r="O843" s="9">
        <f t="shared" si="892"/>
        <v>47100</v>
      </c>
      <c r="P843" s="9">
        <f t="shared" si="892"/>
        <v>49500</v>
      </c>
      <c r="Q843" s="9">
        <f t="shared" si="892"/>
        <v>52000</v>
      </c>
      <c r="R843" s="9">
        <f t="shared" si="892"/>
        <v>54600</v>
      </c>
      <c r="S843" s="47">
        <f t="shared" si="892"/>
        <v>57300</v>
      </c>
    </row>
    <row r="844" spans="1:19" x14ac:dyDescent="0.2">
      <c r="A844" s="54">
        <v>71400</v>
      </c>
      <c r="B844" s="9">
        <v>63600</v>
      </c>
      <c r="C844" s="89">
        <v>42900</v>
      </c>
      <c r="D844" s="46">
        <v>46000</v>
      </c>
      <c r="E844" s="9">
        <v>55100</v>
      </c>
      <c r="F844" s="167" t="s">
        <v>703</v>
      </c>
      <c r="G844" s="662" t="s">
        <v>3517</v>
      </c>
      <c r="H844" s="9">
        <f>44600+10900+1500</f>
        <v>57000</v>
      </c>
      <c r="I844" s="85">
        <f t="shared" si="890"/>
        <v>3.4482758620689653</v>
      </c>
      <c r="J844" s="9">
        <v>58000</v>
      </c>
      <c r="K844" s="9">
        <f>ROUND((J844*1.02),-2)</f>
        <v>59200</v>
      </c>
      <c r="L844" s="9">
        <f t="shared" ref="L844:S844" si="893">ROUND((K844*1.02),-2)</f>
        <v>60400</v>
      </c>
      <c r="M844" s="9">
        <f t="shared" si="893"/>
        <v>61600</v>
      </c>
      <c r="N844" s="9">
        <f t="shared" si="893"/>
        <v>62800</v>
      </c>
      <c r="O844" s="9">
        <f t="shared" si="893"/>
        <v>64100</v>
      </c>
      <c r="P844" s="9">
        <f t="shared" si="893"/>
        <v>65400</v>
      </c>
      <c r="Q844" s="9">
        <f t="shared" si="893"/>
        <v>66700</v>
      </c>
      <c r="R844" s="9">
        <f t="shared" si="893"/>
        <v>68000</v>
      </c>
      <c r="S844" s="47">
        <f t="shared" si="893"/>
        <v>69400</v>
      </c>
    </row>
    <row r="845" spans="1:19" x14ac:dyDescent="0.2">
      <c r="A845" s="54">
        <v>12900</v>
      </c>
      <c r="B845" s="9">
        <v>19100</v>
      </c>
      <c r="C845" s="89">
        <v>17800</v>
      </c>
      <c r="D845" s="46">
        <v>19400</v>
      </c>
      <c r="E845" s="9">
        <v>7300</v>
      </c>
      <c r="F845" s="167" t="s">
        <v>536</v>
      </c>
      <c r="G845" s="371" t="s">
        <v>2776</v>
      </c>
      <c r="H845" s="9">
        <f>20800-13100</f>
        <v>7700</v>
      </c>
      <c r="I845" s="85">
        <f t="shared" si="890"/>
        <v>5.4794520547945202</v>
      </c>
      <c r="J845" s="9">
        <v>8000</v>
      </c>
      <c r="K845" s="9">
        <f>ROUNDUP(J845+(J845*Assumptions!J$5),-2)</f>
        <v>8200</v>
      </c>
      <c r="L845" s="9">
        <f>ROUNDUP(K845+(K845*Assumptions!K$5),-2)</f>
        <v>8500</v>
      </c>
      <c r="M845" s="9">
        <f>ROUNDUP(L845+(L845*Assumptions!L$5),-2)</f>
        <v>8800</v>
      </c>
      <c r="N845" s="9">
        <f>ROUNDUP(M845+(M845*Assumptions!M$5),-2)</f>
        <v>9100</v>
      </c>
      <c r="O845" s="9">
        <f>ROUNDUP(N845+(N845*Assumptions!N$5),-2)</f>
        <v>9400</v>
      </c>
      <c r="P845" s="9">
        <f>ROUNDUP(O845+(O845*Assumptions!O$5),-2)</f>
        <v>9700</v>
      </c>
      <c r="Q845" s="9">
        <f>ROUNDUP(P845+(P845*Assumptions!P$5),-2)</f>
        <v>10000</v>
      </c>
      <c r="R845" s="9">
        <f>ROUNDUP(Q845+(Q845*Assumptions!Q$5),-2)</f>
        <v>10300</v>
      </c>
      <c r="S845" s="47">
        <f>ROUNDUP(R845+(R845*Assumptions!R$5),-2)</f>
        <v>10600</v>
      </c>
    </row>
    <row r="846" spans="1:19" x14ac:dyDescent="0.2">
      <c r="A846" s="54">
        <v>34600</v>
      </c>
      <c r="B846" s="9">
        <v>35100</v>
      </c>
      <c r="C846" s="89">
        <v>35800</v>
      </c>
      <c r="D846" s="46">
        <v>48000</v>
      </c>
      <c r="E846" s="9">
        <v>48500</v>
      </c>
      <c r="F846" s="167" t="s">
        <v>704</v>
      </c>
      <c r="G846" s="79" t="s">
        <v>5920</v>
      </c>
      <c r="H846" s="9">
        <f>46600+2800+2500</f>
        <v>51900</v>
      </c>
      <c r="I846" s="85">
        <f t="shared" si="890"/>
        <v>7.0103092783505154</v>
      </c>
      <c r="J846" s="9">
        <v>53000</v>
      </c>
      <c r="K846" s="9">
        <f t="shared" ref="K846:S846" si="894">ROUND((J846*1.02),-2)</f>
        <v>54100</v>
      </c>
      <c r="L846" s="9">
        <f t="shared" si="894"/>
        <v>55200</v>
      </c>
      <c r="M846" s="9">
        <f t="shared" si="894"/>
        <v>56300</v>
      </c>
      <c r="N846" s="9">
        <f t="shared" si="894"/>
        <v>57400</v>
      </c>
      <c r="O846" s="9">
        <f t="shared" si="894"/>
        <v>58500</v>
      </c>
      <c r="P846" s="9">
        <f t="shared" si="894"/>
        <v>59700</v>
      </c>
      <c r="Q846" s="9">
        <f t="shared" si="894"/>
        <v>60900</v>
      </c>
      <c r="R846" s="9">
        <f t="shared" si="894"/>
        <v>62100</v>
      </c>
      <c r="S846" s="47">
        <f t="shared" si="894"/>
        <v>63300</v>
      </c>
    </row>
    <row r="847" spans="1:19" x14ac:dyDescent="0.2">
      <c r="A847" s="54">
        <v>3200</v>
      </c>
      <c r="B847" s="9">
        <v>2900</v>
      </c>
      <c r="C847" s="89">
        <v>0</v>
      </c>
      <c r="D847" s="46">
        <v>0</v>
      </c>
      <c r="E847" s="9">
        <v>0</v>
      </c>
      <c r="F847" s="773" t="s">
        <v>3209</v>
      </c>
      <c r="G847" s="79" t="s">
        <v>6492</v>
      </c>
      <c r="H847" s="9">
        <v>0</v>
      </c>
      <c r="I847" s="85">
        <f t="shared" si="890"/>
        <v>0</v>
      </c>
      <c r="J847" s="9">
        <v>0</v>
      </c>
      <c r="K847" s="9">
        <f>ROUNDUP(J847+(J847*Assumptions!J$5),-2)</f>
        <v>0</v>
      </c>
      <c r="L847" s="9">
        <f>ROUNDUP(K847+(K847*Assumptions!K$5),-2)</f>
        <v>0</v>
      </c>
      <c r="M847" s="9">
        <f>ROUNDUP(L847+(L847*Assumptions!L$5),-2)</f>
        <v>0</v>
      </c>
      <c r="N847" s="9">
        <f>ROUNDUP(M847+(M847*Assumptions!M$5),-2)</f>
        <v>0</v>
      </c>
      <c r="O847" s="9">
        <f>ROUNDUP(N847+(N847*Assumptions!N$5),-2)</f>
        <v>0</v>
      </c>
      <c r="P847" s="9">
        <f>ROUNDUP(O847+(O847*Assumptions!O$5),-2)</f>
        <v>0</v>
      </c>
      <c r="Q847" s="9">
        <f>ROUNDUP(P847+(P847*Assumptions!P$5),-2)</f>
        <v>0</v>
      </c>
      <c r="R847" s="9">
        <f>ROUNDUP(Q847+(Q847*Assumptions!Q$5),-2)</f>
        <v>0</v>
      </c>
      <c r="S847" s="47">
        <f>ROUNDUP(R847+(R847*Assumptions!R$5),-2)</f>
        <v>0</v>
      </c>
    </row>
    <row r="848" spans="1:19" x14ac:dyDescent="0.2">
      <c r="A848" s="54"/>
      <c r="B848" s="9"/>
      <c r="C848" s="9"/>
      <c r="E848" s="9"/>
      <c r="F848" s="239"/>
      <c r="G848" s="63" t="s">
        <v>3488</v>
      </c>
      <c r="H848" s="9"/>
      <c r="I848" s="85"/>
      <c r="J848" s="9"/>
      <c r="K848" s="9"/>
      <c r="L848" s="9"/>
      <c r="M848" s="9"/>
      <c r="N848" s="9"/>
      <c r="O848" s="9"/>
      <c r="P848" s="9"/>
      <c r="Q848" s="9"/>
      <c r="R848" s="9"/>
      <c r="S848" s="47"/>
    </row>
    <row r="849" spans="1:23" x14ac:dyDescent="0.2">
      <c r="A849" s="54">
        <v>10100</v>
      </c>
      <c r="B849" s="9">
        <v>10600</v>
      </c>
      <c r="C849" s="9">
        <v>11300</v>
      </c>
      <c r="D849" s="46">
        <v>0</v>
      </c>
      <c r="E849" s="9">
        <v>0</v>
      </c>
      <c r="F849" s="167" t="s">
        <v>1430</v>
      </c>
      <c r="G849" s="661" t="s">
        <v>2838</v>
      </c>
      <c r="H849" s="9">
        <v>0</v>
      </c>
      <c r="I849" s="85">
        <f>IF(E849=H849,0,IF(E849=0,100,(H849-E849)/E849*100))</f>
        <v>0</v>
      </c>
      <c r="J849" s="9">
        <v>0</v>
      </c>
      <c r="K849" s="9">
        <f>ROUNDUP(J849+(J849*Assumptions!J$5),-2)</f>
        <v>0</v>
      </c>
      <c r="L849" s="9">
        <f>ROUNDUP(K849+(K849*Assumptions!K$5),-2)</f>
        <v>0</v>
      </c>
      <c r="M849" s="9">
        <f>ROUNDUP(L849+(L849*Assumptions!L$5),-2)</f>
        <v>0</v>
      </c>
      <c r="N849" s="9">
        <f>ROUNDUP(M849+(M849*Assumptions!M$5),-2)</f>
        <v>0</v>
      </c>
      <c r="O849" s="9">
        <f>ROUNDUP(N849+(N849*Assumptions!N$5),-2)</f>
        <v>0</v>
      </c>
      <c r="P849" s="9">
        <f>ROUNDUP(O849+(O849*Assumptions!O$5),-2)</f>
        <v>0</v>
      </c>
      <c r="Q849" s="9">
        <f>ROUNDUP(P849+(P849*Assumptions!P$5),-2)</f>
        <v>0</v>
      </c>
      <c r="R849" s="9">
        <f>ROUNDUP(Q849+(Q849*Assumptions!Q$5),-2)</f>
        <v>0</v>
      </c>
      <c r="S849" s="47">
        <f>ROUNDUP(R849+(R849*Assumptions!R$5),-2)</f>
        <v>0</v>
      </c>
    </row>
    <row r="850" spans="1:23" x14ac:dyDescent="0.2">
      <c r="A850" s="54">
        <v>32200</v>
      </c>
      <c r="B850" s="9">
        <v>47000</v>
      </c>
      <c r="C850" s="9">
        <v>47000</v>
      </c>
      <c r="D850" s="46">
        <v>44300</v>
      </c>
      <c r="E850" s="9">
        <v>45600</v>
      </c>
      <c r="F850" s="167" t="s">
        <v>404</v>
      </c>
      <c r="G850" s="661" t="s">
        <v>4541</v>
      </c>
      <c r="H850" s="9">
        <f>46700-200-10000</f>
        <v>36500</v>
      </c>
      <c r="I850" s="85">
        <f>IF(E850=H850,0,IF(E850=0,100,(H850-E850)/E850*100))</f>
        <v>-19.956140350877195</v>
      </c>
      <c r="J850" s="9">
        <v>47000</v>
      </c>
      <c r="K850" s="9">
        <f t="shared" ref="K850:S850" si="895">ROUND((J850*1.02),-2)</f>
        <v>47900</v>
      </c>
      <c r="L850" s="9">
        <f t="shared" si="895"/>
        <v>48900</v>
      </c>
      <c r="M850" s="9">
        <f t="shared" si="895"/>
        <v>49900</v>
      </c>
      <c r="N850" s="9">
        <f t="shared" si="895"/>
        <v>50900</v>
      </c>
      <c r="O850" s="9">
        <f t="shared" si="895"/>
        <v>51900</v>
      </c>
      <c r="P850" s="9">
        <f t="shared" si="895"/>
        <v>52900</v>
      </c>
      <c r="Q850" s="9">
        <f t="shared" si="895"/>
        <v>54000</v>
      </c>
      <c r="R850" s="9">
        <f t="shared" si="895"/>
        <v>55100</v>
      </c>
      <c r="S850" s="47">
        <f t="shared" si="895"/>
        <v>56200</v>
      </c>
    </row>
    <row r="851" spans="1:23" x14ac:dyDescent="0.2">
      <c r="A851" s="54">
        <v>15100</v>
      </c>
      <c r="B851" s="9">
        <v>15400</v>
      </c>
      <c r="C851" s="9">
        <v>15700</v>
      </c>
      <c r="D851" s="46">
        <v>16000</v>
      </c>
      <c r="E851" s="9">
        <v>16100</v>
      </c>
      <c r="F851" s="167" t="s">
        <v>405</v>
      </c>
      <c r="G851" s="661" t="s">
        <v>3490</v>
      </c>
      <c r="H851" s="9">
        <f>16300+200</f>
        <v>16500</v>
      </c>
      <c r="I851" s="85">
        <f>IF(E851=H851,0,IF(E851=0,100,(H851-E851)/E851*100))</f>
        <v>2.4844720496894408</v>
      </c>
      <c r="J851" s="9">
        <v>17000</v>
      </c>
      <c r="K851" s="9">
        <f t="shared" ref="K851:S851" si="896">ROUND((J851*1.02),-2)</f>
        <v>17300</v>
      </c>
      <c r="L851" s="9">
        <f t="shared" si="896"/>
        <v>17600</v>
      </c>
      <c r="M851" s="9">
        <f t="shared" si="896"/>
        <v>18000</v>
      </c>
      <c r="N851" s="9">
        <f t="shared" si="896"/>
        <v>18400</v>
      </c>
      <c r="O851" s="9">
        <f t="shared" si="896"/>
        <v>18800</v>
      </c>
      <c r="P851" s="9">
        <f t="shared" si="896"/>
        <v>19200</v>
      </c>
      <c r="Q851" s="9">
        <f t="shared" si="896"/>
        <v>19600</v>
      </c>
      <c r="R851" s="9">
        <f t="shared" si="896"/>
        <v>20000</v>
      </c>
      <c r="S851" s="47">
        <f t="shared" si="896"/>
        <v>20400</v>
      </c>
    </row>
    <row r="852" spans="1:23" x14ac:dyDescent="0.2">
      <c r="A852" s="54">
        <v>14500</v>
      </c>
      <c r="B852" s="9">
        <f>8200+6400</f>
        <v>14600</v>
      </c>
      <c r="C852" s="9">
        <v>7400</v>
      </c>
      <c r="D852" s="46">
        <v>0</v>
      </c>
      <c r="E852" s="9">
        <v>0</v>
      </c>
      <c r="F852" s="167" t="s">
        <v>2344</v>
      </c>
      <c r="G852" s="661" t="s">
        <v>3742</v>
      </c>
      <c r="H852" s="9">
        <v>0</v>
      </c>
      <c r="I852" s="85">
        <f>IF(E852=H852,0,IF(E852=0,100,(H852-E852)/E852*100))</f>
        <v>0</v>
      </c>
      <c r="J852" s="9">
        <v>0</v>
      </c>
      <c r="K852" s="9">
        <f>ROUNDUP(J852+(J852*Assumptions!J$5),-2)</f>
        <v>0</v>
      </c>
      <c r="L852" s="9">
        <f>ROUNDUP(K852+(K852*Assumptions!K$5),-2)</f>
        <v>0</v>
      </c>
      <c r="M852" s="9">
        <f>ROUNDUP(L852+(L852*Assumptions!L$5),-2)</f>
        <v>0</v>
      </c>
      <c r="N852" s="9">
        <f>ROUNDUP(M852+(M852*Assumptions!M$5),-2)</f>
        <v>0</v>
      </c>
      <c r="O852" s="9">
        <f>ROUNDUP(N852+(N852*Assumptions!N$5),-2)</f>
        <v>0</v>
      </c>
      <c r="P852" s="9">
        <f>ROUNDUP(O852+(O852*Assumptions!O$5),-2)</f>
        <v>0</v>
      </c>
      <c r="Q852" s="9">
        <f>ROUNDUP(P852+(P852*Assumptions!P$5),-2)</f>
        <v>0</v>
      </c>
      <c r="R852" s="9">
        <f>ROUNDUP(Q852+(Q852*Assumptions!Q$5),-2)</f>
        <v>0</v>
      </c>
      <c r="S852" s="47">
        <f>ROUNDUP(R852+(R852*Assumptions!R$5),-2)</f>
        <v>0</v>
      </c>
    </row>
    <row r="853" spans="1:23" x14ac:dyDescent="0.2">
      <c r="A853" s="54">
        <v>0</v>
      </c>
      <c r="B853" s="9">
        <v>0</v>
      </c>
      <c r="C853" s="9">
        <v>0</v>
      </c>
      <c r="D853" s="46">
        <v>4200</v>
      </c>
      <c r="E853" s="9">
        <v>4100</v>
      </c>
      <c r="F853" s="773" t="s">
        <v>5807</v>
      </c>
      <c r="G853" s="661" t="s">
        <v>6497</v>
      </c>
      <c r="H853" s="9">
        <f>6300-2000</f>
        <v>4300</v>
      </c>
      <c r="I853" s="85">
        <f>IF(E853=H853,0,IF(E853=0,100,(H853-E853)/E853*100))</f>
        <v>4.8780487804878048</v>
      </c>
      <c r="J853" s="9">
        <v>6000</v>
      </c>
      <c r="K853" s="9">
        <f t="shared" ref="K853:S853" si="897">ROUND((J853*1.02),-2)</f>
        <v>6100</v>
      </c>
      <c r="L853" s="9">
        <f t="shared" si="897"/>
        <v>6200</v>
      </c>
      <c r="M853" s="9">
        <f t="shared" si="897"/>
        <v>6300</v>
      </c>
      <c r="N853" s="9">
        <f t="shared" si="897"/>
        <v>6400</v>
      </c>
      <c r="O853" s="9">
        <f t="shared" si="897"/>
        <v>6500</v>
      </c>
      <c r="P853" s="9">
        <f t="shared" si="897"/>
        <v>6600</v>
      </c>
      <c r="Q853" s="9">
        <f t="shared" si="897"/>
        <v>6700</v>
      </c>
      <c r="R853" s="9">
        <f t="shared" si="897"/>
        <v>6800</v>
      </c>
      <c r="S853" s="47">
        <f t="shared" si="897"/>
        <v>6900</v>
      </c>
    </row>
    <row r="854" spans="1:23" s="65" customFormat="1" x14ac:dyDescent="0.2">
      <c r="A854" s="54"/>
      <c r="B854" s="63"/>
      <c r="C854" s="63"/>
      <c r="D854" s="92"/>
      <c r="E854" s="63"/>
      <c r="F854" s="887"/>
      <c r="G854" s="1189" t="s">
        <v>1460</v>
      </c>
      <c r="H854" s="63"/>
      <c r="I854" s="220"/>
      <c r="J854" s="63"/>
      <c r="K854" s="63"/>
      <c r="L854" s="63"/>
      <c r="M854" s="63"/>
      <c r="N854" s="63"/>
      <c r="O854" s="63"/>
      <c r="P854" s="63"/>
      <c r="Q854" s="63"/>
      <c r="R854" s="63"/>
      <c r="S854" s="2348"/>
      <c r="U854" s="34"/>
      <c r="W854" s="34"/>
    </row>
    <row r="855" spans="1:23" x14ac:dyDescent="0.2">
      <c r="A855" s="54">
        <v>495500</v>
      </c>
      <c r="B855" s="822">
        <v>257300</v>
      </c>
      <c r="C855" s="9">
        <v>105200</v>
      </c>
      <c r="D855" s="46">
        <v>92000</v>
      </c>
      <c r="E855" s="9">
        <v>0</v>
      </c>
      <c r="F855" s="773" t="s">
        <v>3138</v>
      </c>
      <c r="G855" s="661" t="s">
        <v>6498</v>
      </c>
      <c r="H855" s="9">
        <v>0</v>
      </c>
      <c r="I855" s="85">
        <f>IF(E855=H855,0,IF(E855=0,100,(H855-E855)/E855*100))</f>
        <v>0</v>
      </c>
      <c r="J855" s="9">
        <f>ROUNDUP(H855+(H855*Assumptions!I$5),-2)</f>
        <v>0</v>
      </c>
      <c r="K855" s="9">
        <f>ROUNDUP(J855+(J855*Assumptions!J$5),-2)</f>
        <v>0</v>
      </c>
      <c r="L855" s="9">
        <f>ROUNDUP(K855+(K855*Assumptions!K$5),-2)</f>
        <v>0</v>
      </c>
      <c r="M855" s="9">
        <f>ROUNDUP(L855+(L855*Assumptions!L$5),-2)</f>
        <v>0</v>
      </c>
      <c r="N855" s="9">
        <f>ROUNDUP(M855+(M855*Assumptions!M$5),-2)</f>
        <v>0</v>
      </c>
      <c r="O855" s="9">
        <f>ROUNDUP(N855+(N855*Assumptions!N$5),-2)</f>
        <v>0</v>
      </c>
      <c r="P855" s="9">
        <f>ROUNDUP(O855+(O855*Assumptions!O$5),-2)</f>
        <v>0</v>
      </c>
      <c r="Q855" s="9">
        <f>ROUNDUP(P855+(P855*Assumptions!P$5),-2)</f>
        <v>0</v>
      </c>
      <c r="R855" s="9">
        <f>ROUNDUP(Q855+(Q855*Assumptions!Q$5),-2)</f>
        <v>0</v>
      </c>
      <c r="S855" s="47">
        <f>ROUNDUP(R855+(R855*Assumptions!R$5),-2)</f>
        <v>0</v>
      </c>
    </row>
    <row r="856" spans="1:23" x14ac:dyDescent="0.2">
      <c r="A856" s="54">
        <v>1320000</v>
      </c>
      <c r="B856" s="822">
        <v>440000</v>
      </c>
      <c r="C856" s="9">
        <v>440000</v>
      </c>
      <c r="D856" s="29">
        <f>440000-440000</f>
        <v>0</v>
      </c>
      <c r="E856" s="9">
        <v>440000</v>
      </c>
      <c r="F856" s="773" t="s">
        <v>3139</v>
      </c>
      <c r="G856" s="772" t="s">
        <v>6499</v>
      </c>
      <c r="H856" s="9">
        <v>0</v>
      </c>
      <c r="I856" s="85">
        <f>IF(E856=H856,0,IF(E856=0,100,(H856-E856)/E856*100))</f>
        <v>-100</v>
      </c>
      <c r="J856" s="9">
        <f>ROUNDUP(H856+(H856*Assumptions!I$5),-2)</f>
        <v>0</v>
      </c>
      <c r="K856" s="9">
        <f>ROUNDUP(J856+(J856*Assumptions!J$5),-2)</f>
        <v>0</v>
      </c>
      <c r="L856" s="9">
        <f>ROUNDUP(K856+(K856*Assumptions!K$5),-2)</f>
        <v>0</v>
      </c>
      <c r="M856" s="9">
        <f>ROUNDUP(L856+(L856*Assumptions!L$5),-2)</f>
        <v>0</v>
      </c>
      <c r="N856" s="9">
        <f>ROUNDUP(M856+(M856*Assumptions!M$5),-2)</f>
        <v>0</v>
      </c>
      <c r="O856" s="9">
        <f>ROUNDUP(N856+(N856*Assumptions!N$5),-2)</f>
        <v>0</v>
      </c>
      <c r="P856" s="9">
        <f>ROUNDUP(O856+(O856*Assumptions!O$5),-2)</f>
        <v>0</v>
      </c>
      <c r="Q856" s="9">
        <f>ROUNDUP(P856+(P856*Assumptions!P$5),-2)</f>
        <v>0</v>
      </c>
      <c r="R856" s="9">
        <f>ROUNDUP(Q856+(Q856*Assumptions!Q$5),-2)</f>
        <v>0</v>
      </c>
      <c r="S856" s="47">
        <f>ROUNDUP(R856+(R856*Assumptions!R$5),-2)</f>
        <v>0</v>
      </c>
    </row>
    <row r="857" spans="1:23" x14ac:dyDescent="0.2">
      <c r="A857" s="54"/>
      <c r="B857" s="9"/>
      <c r="C857" s="9"/>
      <c r="D857" s="29"/>
      <c r="E857" s="9"/>
      <c r="F857" s="1618"/>
      <c r="G857" s="319" t="s">
        <v>2624</v>
      </c>
      <c r="H857" s="9"/>
      <c r="I857" s="85"/>
      <c r="J857" s="9"/>
      <c r="K857" s="9"/>
      <c r="L857" s="9"/>
      <c r="M857" s="9"/>
      <c r="N857" s="9"/>
      <c r="O857" s="9"/>
      <c r="P857" s="9"/>
      <c r="Q857" s="9"/>
      <c r="R857" s="9"/>
      <c r="S857" s="47"/>
    </row>
    <row r="858" spans="1:23" x14ac:dyDescent="0.2">
      <c r="A858" s="54">
        <f>54000+66600</f>
        <v>120600</v>
      </c>
      <c r="B858" s="9">
        <f>17000+1000</f>
        <v>18000</v>
      </c>
      <c r="C858" s="9">
        <v>80200</v>
      </c>
      <c r="D858" s="29">
        <v>41000</v>
      </c>
      <c r="E858" s="9">
        <v>25500</v>
      </c>
      <c r="F858" s="167" t="s">
        <v>2477</v>
      </c>
      <c r="G858" s="79" t="s">
        <v>4542</v>
      </c>
      <c r="H858" s="9">
        <v>16000</v>
      </c>
      <c r="I858" s="85">
        <f>IF(E858=H858,0,IF(E858=0,100,(H858-E858)/E858*100))</f>
        <v>-37.254901960784316</v>
      </c>
      <c r="J858" s="9">
        <f>IF('Res-Bal'!J45&gt;0,ROUND('Res-Bal'!J45/2*0.05,-3),0)</f>
        <v>0</v>
      </c>
      <c r="K858" s="9">
        <f>IF('Res-Bal'!M45&gt;0,ROUND('Res-Bal'!M45/2*0.05,-3),0)</f>
        <v>2000</v>
      </c>
      <c r="L858" s="9">
        <f>IF('Res-Bal'!P45&gt;0,ROUND('Res-Bal'!P45/2*0.05,-3),0)</f>
        <v>6000</v>
      </c>
      <c r="M858" s="9">
        <f>IF('Res-Bal'!S45&gt;0,ROUND('Res-Bal'!S45/2*0.05,-3),0)</f>
        <v>3000</v>
      </c>
      <c r="N858" s="9">
        <f>IF('Res-Bal'!V45&gt;0,ROUND('Res-Bal'!V45/2*0.05,-3),0)</f>
        <v>3000</v>
      </c>
      <c r="O858" s="9">
        <f>IF('Res-Bal'!Y45&gt;0,ROUND('Res-Bal'!Y45/2*0.05,-3),0)</f>
        <v>3000</v>
      </c>
      <c r="P858" s="9">
        <f>IF('Res-Bal'!AB45&gt;0,ROUND('Res-Bal'!AB45/2*0.05,-3),0)</f>
        <v>3000</v>
      </c>
      <c r="Q858" s="9">
        <f>IF('Res-Bal'!AE45&gt;0,ROUND('Res-Bal'!AE45/2*0.05,-3),0)</f>
        <v>5000</v>
      </c>
      <c r="R858" s="9">
        <f>IF('Res-Bal'!AH45&gt;0,ROUND('Res-Bal'!AH45/2*0.05,-3),0)</f>
        <v>6000</v>
      </c>
      <c r="S858" s="47">
        <f>IF('Res-Bal'!AI45&gt;0,ROUND('Res-Bal'!AI45/2*0.05,-3),0)</f>
        <v>6000</v>
      </c>
    </row>
    <row r="859" spans="1:23" x14ac:dyDescent="0.2">
      <c r="A859" s="54">
        <v>178600</v>
      </c>
      <c r="B859" s="9">
        <v>181200</v>
      </c>
      <c r="C859" s="9">
        <v>105100</v>
      </c>
      <c r="D859" s="29">
        <v>86800</v>
      </c>
      <c r="E859" s="9">
        <v>54600</v>
      </c>
      <c r="F859" s="167" t="s">
        <v>1967</v>
      </c>
      <c r="G859" s="79" t="s">
        <v>3226</v>
      </c>
      <c r="H859" s="9">
        <v>14000</v>
      </c>
      <c r="I859" s="85">
        <f>IF(E859=H859,0,IF(E859=0,100,(H859-E859)/E859*100))</f>
        <v>-74.358974358974365</v>
      </c>
      <c r="J859" s="9">
        <f>IF('Res-Bal'!J46&gt;0,ROUND('Res-Bal'!J46/2*0.05,-3),0)</f>
        <v>58000</v>
      </c>
      <c r="K859" s="9">
        <f>IF('Res-Bal'!M46&gt;0,ROUND('Res-Bal'!M46/2*0.05,-3),0)</f>
        <v>63000</v>
      </c>
      <c r="L859" s="9">
        <f>IF('Res-Bal'!P46&gt;0,ROUND('Res-Bal'!P46/2*0.05,-3),0)</f>
        <v>15000</v>
      </c>
      <c r="M859" s="9">
        <f>IF('Res-Bal'!S46&gt;0,ROUND('Res-Bal'!S46/2*0.05,-3),0)</f>
        <v>31000</v>
      </c>
      <c r="N859" s="9">
        <f>IF('Res-Bal'!V46&gt;0,ROUND('Res-Bal'!V46/2*0.05,-3),0)</f>
        <v>30000</v>
      </c>
      <c r="O859" s="9">
        <f>IF('Res-Bal'!Y46&gt;0,ROUND('Res-Bal'!Y46/2*0.05,-3),0)</f>
        <v>36000</v>
      </c>
      <c r="P859" s="9">
        <f>IF('Res-Bal'!AB46&gt;0,ROUND('Res-Bal'!AB46/2*0.05,-3),0)</f>
        <v>29000</v>
      </c>
      <c r="Q859" s="9">
        <f>IF('Res-Bal'!AE46&gt;0,ROUND('Res-Bal'!AE46/2*0.05,-3),0)</f>
        <v>28000</v>
      </c>
      <c r="R859" s="9">
        <f>IF('Res-Bal'!AH46&gt;0,ROUND('Res-Bal'!AH46/2*0.05,-3),0)</f>
        <v>28000</v>
      </c>
      <c r="S859" s="47">
        <f>IF('Res-Bal'!AI46&gt;0,ROUND('Res-Bal'!AI46/2*0.05,-3),0)</f>
        <v>28000</v>
      </c>
    </row>
    <row r="860" spans="1:23" x14ac:dyDescent="0.2">
      <c r="A860" s="54">
        <v>101400</v>
      </c>
      <c r="B860" s="9">
        <v>0</v>
      </c>
      <c r="C860" s="9">
        <v>0</v>
      </c>
      <c r="D860" s="29">
        <v>0</v>
      </c>
      <c r="E860" s="9">
        <v>0</v>
      </c>
      <c r="F860" s="773" t="s">
        <v>3362</v>
      </c>
      <c r="G860" s="79" t="s">
        <v>4543</v>
      </c>
      <c r="H860" s="9">
        <v>0</v>
      </c>
      <c r="I860" s="85">
        <f>IF(E860=H860,0,IF(E860=0,100,(H860-E860)/E860*100))</f>
        <v>0</v>
      </c>
      <c r="J860" s="9">
        <v>0</v>
      </c>
      <c r="K860" s="9">
        <v>0</v>
      </c>
      <c r="L860" s="9">
        <v>0</v>
      </c>
      <c r="M860" s="9">
        <v>0</v>
      </c>
      <c r="N860" s="9">
        <v>0</v>
      </c>
      <c r="O860" s="9">
        <v>0</v>
      </c>
      <c r="P860" s="9">
        <v>0</v>
      </c>
      <c r="Q860" s="9">
        <v>0</v>
      </c>
      <c r="R860" s="9">
        <v>0</v>
      </c>
      <c r="S860" s="47">
        <v>0</v>
      </c>
    </row>
    <row r="861" spans="1:23" x14ac:dyDescent="0.2">
      <c r="A861" s="54"/>
      <c r="B861" s="9"/>
      <c r="C861" s="9"/>
      <c r="D861" s="29"/>
      <c r="E861" s="9"/>
      <c r="F861" s="1618"/>
      <c r="G861" s="542" t="s">
        <v>6493</v>
      </c>
      <c r="H861" s="9"/>
      <c r="I861" s="85"/>
      <c r="J861" s="9"/>
      <c r="K861" s="9"/>
      <c r="L861" s="9"/>
      <c r="M861" s="9"/>
      <c r="N861" s="9"/>
      <c r="O861" s="9"/>
      <c r="P861" s="9"/>
      <c r="Q861" s="9"/>
      <c r="R861" s="9"/>
      <c r="S861" s="47"/>
    </row>
    <row r="862" spans="1:23" x14ac:dyDescent="0.2">
      <c r="A862" s="54">
        <v>0</v>
      </c>
      <c r="B862" s="9">
        <v>0</v>
      </c>
      <c r="C862" s="9">
        <v>460100</v>
      </c>
      <c r="D862" s="29">
        <v>0</v>
      </c>
      <c r="E862" s="9">
        <v>-360400</v>
      </c>
      <c r="F862" s="167">
        <v>26060.451499999999</v>
      </c>
      <c r="G862" s="79" t="s">
        <v>5313</v>
      </c>
      <c r="H862" s="9">
        <v>0</v>
      </c>
      <c r="I862" s="85">
        <f>IF(E862=H862,0,IF(E862=0,100,(H862-E862)/E862*100))</f>
        <v>-100</v>
      </c>
      <c r="J862" s="9">
        <v>0</v>
      </c>
      <c r="K862" s="9">
        <v>0</v>
      </c>
      <c r="L862" s="9">
        <v>0</v>
      </c>
      <c r="M862" s="9">
        <v>0</v>
      </c>
      <c r="N862" s="9">
        <v>0</v>
      </c>
      <c r="O862" s="9">
        <v>0</v>
      </c>
      <c r="P862" s="9">
        <v>0</v>
      </c>
      <c r="Q862" s="9">
        <v>0</v>
      </c>
      <c r="R862" s="9">
        <v>0</v>
      </c>
      <c r="S862" s="47">
        <v>0</v>
      </c>
    </row>
    <row r="863" spans="1:23" ht="13.5" thickBot="1" x14ac:dyDescent="0.25">
      <c r="A863" s="54"/>
      <c r="B863" s="9"/>
      <c r="C863" s="9"/>
      <c r="D863" s="29"/>
      <c r="E863" s="9"/>
      <c r="F863" s="239"/>
      <c r="G863" s="46"/>
      <c r="H863" s="9"/>
      <c r="I863" s="85"/>
      <c r="J863" s="9"/>
      <c r="K863" s="9"/>
      <c r="L863" s="9"/>
      <c r="M863" s="9"/>
      <c r="N863" s="9"/>
      <c r="O863" s="9"/>
      <c r="P863" s="9"/>
      <c r="Q863" s="9"/>
      <c r="R863" s="9"/>
      <c r="S863" s="61"/>
    </row>
    <row r="864" spans="1:23" s="39" customFormat="1" x14ac:dyDescent="0.2">
      <c r="A864" s="52">
        <f>SUM(A827:A863)</f>
        <v>4246700</v>
      </c>
      <c r="B864" s="16">
        <f>SUM(B827:B863)</f>
        <v>2957400</v>
      </c>
      <c r="C864" s="16">
        <f>SUM(C827:C863)</f>
        <v>2952700</v>
      </c>
      <c r="D864" s="323">
        <f>SUM(D827:D863)</f>
        <v>2149200</v>
      </c>
      <c r="E864" s="16">
        <f>SUM(E827:E863)</f>
        <v>2186400</v>
      </c>
      <c r="F864" s="220"/>
      <c r="G864" s="59" t="s">
        <v>2561</v>
      </c>
      <c r="H864" s="16">
        <f>SUM(H827:H863)</f>
        <v>2083600</v>
      </c>
      <c r="I864" s="1425">
        <f>IF(E864=H864,0,IF(E864=0,100,(H864-E864)/E864*100))</f>
        <v>-4.7017929015733619</v>
      </c>
      <c r="J864" s="16">
        <f t="shared" ref="J864:S864" si="898">SUM(J827:J863)</f>
        <v>2163000</v>
      </c>
      <c r="K864" s="16">
        <f t="shared" si="898"/>
        <v>2213300</v>
      </c>
      <c r="L864" s="16">
        <f t="shared" si="898"/>
        <v>2213500</v>
      </c>
      <c r="M864" s="16">
        <f t="shared" si="898"/>
        <v>2272000</v>
      </c>
      <c r="N864" s="16">
        <f t="shared" si="898"/>
        <v>2317300</v>
      </c>
      <c r="O864" s="16">
        <f t="shared" si="898"/>
        <v>2370600</v>
      </c>
      <c r="P864" s="16">
        <f t="shared" si="898"/>
        <v>2412200</v>
      </c>
      <c r="Q864" s="16">
        <f t="shared" si="898"/>
        <v>2462800</v>
      </c>
      <c r="R864" s="16">
        <f t="shared" si="898"/>
        <v>2514300</v>
      </c>
      <c r="S864" s="2342">
        <f t="shared" si="898"/>
        <v>2566000</v>
      </c>
      <c r="U864" s="34"/>
      <c r="W864" s="34"/>
    </row>
    <row r="865" spans="1:23" s="46" customFormat="1" x14ac:dyDescent="0.2">
      <c r="A865" s="427"/>
      <c r="B865" s="97"/>
      <c r="C865" s="97"/>
      <c r="D865" s="1403"/>
      <c r="E865" s="9"/>
      <c r="F865" s="1447"/>
      <c r="H865" s="9"/>
      <c r="I865" s="85"/>
      <c r="J865" s="9"/>
      <c r="K865" s="9"/>
      <c r="L865" s="9"/>
      <c r="M865" s="9"/>
      <c r="N865" s="9"/>
      <c r="O865" s="9"/>
      <c r="P865" s="9"/>
      <c r="Q865" s="9"/>
      <c r="R865" s="9"/>
      <c r="S865" s="47"/>
      <c r="U865" s="34"/>
      <c r="W865" s="34"/>
    </row>
    <row r="866" spans="1:23" s="46" customFormat="1" x14ac:dyDescent="0.2">
      <c r="A866" s="54"/>
      <c r="B866" s="9"/>
      <c r="C866" s="9"/>
      <c r="D866" s="29"/>
      <c r="E866" s="9"/>
      <c r="F866" s="239"/>
      <c r="G866" s="91" t="s">
        <v>2169</v>
      </c>
      <c r="H866" s="9"/>
      <c r="I866" s="85"/>
      <c r="J866" s="9"/>
      <c r="K866" s="9"/>
      <c r="L866" s="9"/>
      <c r="M866" s="9"/>
      <c r="N866" s="9"/>
      <c r="O866" s="9"/>
      <c r="P866" s="9"/>
      <c r="Q866" s="9"/>
      <c r="R866" s="9"/>
      <c r="S866" s="47"/>
      <c r="U866" s="34"/>
      <c r="W866" s="34"/>
    </row>
    <row r="867" spans="1:23" s="46" customFormat="1" x14ac:dyDescent="0.2">
      <c r="A867" s="54"/>
      <c r="B867" s="9"/>
      <c r="C867" s="9"/>
      <c r="D867" s="29"/>
      <c r="E867" s="9"/>
      <c r="F867" s="239"/>
      <c r="G867" s="27" t="s">
        <v>2499</v>
      </c>
      <c r="H867" s="9"/>
      <c r="I867" s="85"/>
      <c r="J867" s="9"/>
      <c r="K867" s="9"/>
      <c r="L867" s="9"/>
      <c r="M867" s="9"/>
      <c r="N867" s="9"/>
      <c r="O867" s="9"/>
      <c r="P867" s="9"/>
      <c r="Q867" s="9"/>
      <c r="R867" s="9"/>
      <c r="S867" s="47"/>
      <c r="U867" s="34"/>
      <c r="W867" s="34"/>
    </row>
    <row r="868" spans="1:23" s="46" customFormat="1" x14ac:dyDescent="0.2">
      <c r="A868" s="54">
        <v>370900</v>
      </c>
      <c r="B868" s="9">
        <v>324100</v>
      </c>
      <c r="C868" s="9">
        <v>272700</v>
      </c>
      <c r="D868" s="30">
        <f>288100+2500</f>
        <v>290600</v>
      </c>
      <c r="E868" s="9">
        <f>296000+2600</f>
        <v>298600</v>
      </c>
      <c r="F868" s="167" t="s">
        <v>203</v>
      </c>
      <c r="G868" s="46" t="s">
        <v>1320</v>
      </c>
      <c r="H868" s="9">
        <v>316000</v>
      </c>
      <c r="I868" s="85">
        <f t="shared" ref="I868:I874" si="899">IF(E868=H868,0,IF(E868=0,100,(H868-E868)/E868*100))</f>
        <v>5.8271935699933017</v>
      </c>
      <c r="J868" s="9">
        <f>ROUND((H868*Assumptions!I$13)+GM!H868,-2)</f>
        <v>323300</v>
      </c>
      <c r="K868" s="9">
        <f>ROUND((J868*Assumptions!J$13)+GM!J868,-2)</f>
        <v>330700</v>
      </c>
      <c r="L868" s="9">
        <f>ROUND((K868*Assumptions!K$13)+GM!K868,-2)</f>
        <v>338300</v>
      </c>
      <c r="M868" s="9">
        <f>ROUND((L868*Assumptions!L$13)+GM!L868,-2)</f>
        <v>346100</v>
      </c>
      <c r="N868" s="9">
        <f>ROUND((M868*Assumptions!M$13)+GM!M868,-2)</f>
        <v>354100</v>
      </c>
      <c r="O868" s="9">
        <f>ROUND((N868*Assumptions!N$13)+GM!N868,-2)</f>
        <v>362200</v>
      </c>
      <c r="P868" s="9">
        <f>ROUND((O868*Assumptions!O$13)+GM!O868,-2)</f>
        <v>370500</v>
      </c>
      <c r="Q868" s="9">
        <f>ROUND((P868*Assumptions!P$13)+GM!P868,-2)</f>
        <v>379000</v>
      </c>
      <c r="R868" s="9">
        <f>ROUND((Q868*Assumptions!Q$13)+GM!Q868,-2)</f>
        <v>387700</v>
      </c>
      <c r="S868" s="47">
        <f>ROUND((R868*Assumptions!R$13)+GM!R868,-2)</f>
        <v>396600</v>
      </c>
      <c r="U868" s="34"/>
      <c r="W868" s="34"/>
    </row>
    <row r="869" spans="1:23" s="46" customFormat="1" x14ac:dyDescent="0.2">
      <c r="A869" s="54">
        <v>33600</v>
      </c>
      <c r="B869" s="9">
        <v>19500</v>
      </c>
      <c r="C869" s="9">
        <v>20100</v>
      </c>
      <c r="D869" s="29">
        <v>20100</v>
      </c>
      <c r="E869" s="9">
        <v>6000</v>
      </c>
      <c r="F869" s="167" t="s">
        <v>2716</v>
      </c>
      <c r="G869" s="46" t="s">
        <v>525</v>
      </c>
      <c r="H869" s="9">
        <v>5000</v>
      </c>
      <c r="I869" s="85">
        <f t="shared" si="899"/>
        <v>-16.666666666666664</v>
      </c>
      <c r="J869" s="9">
        <f>ROUND((H869*Assumptions!I$13)+GM!H869,-2)</f>
        <v>5100</v>
      </c>
      <c r="K869" s="9">
        <f>ROUND((J869*Assumptions!J$13)+GM!J869,-2)</f>
        <v>5200</v>
      </c>
      <c r="L869" s="9">
        <f>ROUND((K869*Assumptions!K$13)+GM!K869,-2)</f>
        <v>5300</v>
      </c>
      <c r="M869" s="9">
        <f>ROUND((L869*Assumptions!L$13)+GM!L869,-2)</f>
        <v>5400</v>
      </c>
      <c r="N869" s="9">
        <f>ROUND((M869*Assumptions!M$13)+GM!M869,-2)</f>
        <v>5500</v>
      </c>
      <c r="O869" s="9">
        <f>ROUND((N869*Assumptions!N$13)+GM!N869,-2)</f>
        <v>5600</v>
      </c>
      <c r="P869" s="9">
        <f>ROUND((O869*Assumptions!O$13)+GM!O869,-2)</f>
        <v>5700</v>
      </c>
      <c r="Q869" s="9">
        <f>ROUND((P869*Assumptions!P$13)+GM!P869,-2)</f>
        <v>5800</v>
      </c>
      <c r="R869" s="9">
        <f>ROUND((Q869*Assumptions!Q$13)+GM!Q869,-2)</f>
        <v>5900</v>
      </c>
      <c r="S869" s="47">
        <f>ROUND((R869*Assumptions!R$13)+GM!R869,-2)</f>
        <v>6000</v>
      </c>
      <c r="U869" s="34"/>
      <c r="W869" s="34"/>
    </row>
    <row r="870" spans="1:23" s="46" customFormat="1" x14ac:dyDescent="0.2">
      <c r="A870" s="54">
        <v>0</v>
      </c>
      <c r="B870" s="9">
        <v>45000</v>
      </c>
      <c r="C870" s="9">
        <f>10500+21300</f>
        <v>31800</v>
      </c>
      <c r="D870" s="29">
        <f>15400+16300</f>
        <v>31700</v>
      </c>
      <c r="E870" s="9">
        <f>13200+700</f>
        <v>13900</v>
      </c>
      <c r="F870" s="773" t="s">
        <v>4739</v>
      </c>
      <c r="G870" s="31" t="s">
        <v>6500</v>
      </c>
      <c r="H870" s="9">
        <v>0</v>
      </c>
      <c r="I870" s="85">
        <f t="shared" si="899"/>
        <v>-100</v>
      </c>
      <c r="J870" s="9">
        <f>ROUND((H870*Assumptions!I$13)+GM!H870,-2)</f>
        <v>0</v>
      </c>
      <c r="K870" s="9">
        <f>ROUND((J870*Assumptions!J$13)+GM!J870,-2)</f>
        <v>0</v>
      </c>
      <c r="L870" s="9">
        <f>ROUND((K870*Assumptions!K$13)+GM!K870,-2)</f>
        <v>0</v>
      </c>
      <c r="M870" s="9">
        <f>ROUND((L870*Assumptions!L$13)+GM!L870,-2)</f>
        <v>0</v>
      </c>
      <c r="N870" s="9">
        <f>ROUND((M870*Assumptions!M$13)+GM!M870,-2)</f>
        <v>0</v>
      </c>
      <c r="O870" s="9">
        <f>ROUND((N870*Assumptions!N$13)+GM!N870,-2)</f>
        <v>0</v>
      </c>
      <c r="P870" s="9">
        <f>ROUND((O870*Assumptions!O$13)+GM!O870,-2)</f>
        <v>0</v>
      </c>
      <c r="Q870" s="9">
        <f>ROUND((P870*Assumptions!P$13)+GM!P870,-2)</f>
        <v>0</v>
      </c>
      <c r="R870" s="9">
        <f>ROUND((Q870*Assumptions!Q$13)+GM!Q870,-2)</f>
        <v>0</v>
      </c>
      <c r="S870" s="47">
        <f>ROUND((R870*Assumptions!R$13)+GM!R870,-2)</f>
        <v>0</v>
      </c>
      <c r="U870" s="34"/>
      <c r="W870" s="34"/>
    </row>
    <row r="871" spans="1:23" x14ac:dyDescent="0.2">
      <c r="A871" s="54">
        <v>12800</v>
      </c>
      <c r="B871" s="9">
        <f>6400+15500-200</f>
        <v>21700</v>
      </c>
      <c r="C871" s="9">
        <f>5000+39000</f>
        <v>44000</v>
      </c>
      <c r="D871" s="29">
        <f>4500+9200</f>
        <v>13700</v>
      </c>
      <c r="E871" s="9">
        <v>0</v>
      </c>
      <c r="F871" s="167" t="s">
        <v>1817</v>
      </c>
      <c r="G871" s="662" t="s">
        <v>2511</v>
      </c>
      <c r="H871" s="9">
        <v>41200</v>
      </c>
      <c r="I871" s="85">
        <f t="shared" si="899"/>
        <v>100</v>
      </c>
      <c r="J871" s="9">
        <f>ROUND((H871*Assumptions!I$13)+GM!H871,-2)-20900</f>
        <v>21200</v>
      </c>
      <c r="K871" s="9">
        <f>ROUND((J871*Assumptions!J$13)+GM!J871,-2)</f>
        <v>21700</v>
      </c>
      <c r="L871" s="9">
        <f>ROUND((K871*Assumptions!K$13)+GM!K871,-2)</f>
        <v>22200</v>
      </c>
      <c r="M871" s="9">
        <f>ROUND((L871*Assumptions!L$13)+GM!L871,-2)</f>
        <v>22700</v>
      </c>
      <c r="N871" s="9">
        <f>ROUND((M871*Assumptions!M$13)+GM!M871,-2)</f>
        <v>23200</v>
      </c>
      <c r="O871" s="9">
        <f>ROUND((N871*Assumptions!N$13)+GM!N871,-2)</f>
        <v>23700</v>
      </c>
      <c r="P871" s="9">
        <f>ROUND((O871*Assumptions!O$13)+GM!O871,-2)</f>
        <v>24200</v>
      </c>
      <c r="Q871" s="9">
        <f>ROUND((P871*Assumptions!P$13)+GM!P871,-2)</f>
        <v>24800</v>
      </c>
      <c r="R871" s="9">
        <f>ROUND((Q871*Assumptions!Q$13)+GM!Q871,-2)</f>
        <v>25400</v>
      </c>
      <c r="S871" s="47">
        <f>ROUND((R871*Assumptions!R$13)+GM!R871,-2)</f>
        <v>26000</v>
      </c>
    </row>
    <row r="872" spans="1:23" x14ac:dyDescent="0.2">
      <c r="A872" s="54">
        <v>125000</v>
      </c>
      <c r="B872" s="9">
        <v>800000</v>
      </c>
      <c r="C872" s="9">
        <v>825000</v>
      </c>
      <c r="D872" s="46">
        <v>625000</v>
      </c>
      <c r="E872" s="9">
        <v>25000</v>
      </c>
      <c r="F872" s="773" t="s">
        <v>3140</v>
      </c>
      <c r="G872" s="662" t="s">
        <v>4545</v>
      </c>
      <c r="H872" s="9">
        <v>0</v>
      </c>
      <c r="I872" s="85">
        <f t="shared" si="899"/>
        <v>-100</v>
      </c>
      <c r="J872" s="9">
        <f>ROUND((H872*Assumptions!I$13)+GM!H872,-2)</f>
        <v>0</v>
      </c>
      <c r="K872" s="9">
        <f>ROUND((J872*Assumptions!J$13)+GM!J872,-2)</f>
        <v>0</v>
      </c>
      <c r="L872" s="9">
        <f>ROUND((K872*Assumptions!K$13)+GM!K872,-2)</f>
        <v>0</v>
      </c>
      <c r="M872" s="9">
        <f>ROUND((L872*Assumptions!L$13)+GM!L872,-2)</f>
        <v>0</v>
      </c>
      <c r="N872" s="9">
        <f>ROUND((M872*Assumptions!M$13)+GM!M872,-2)</f>
        <v>0</v>
      </c>
      <c r="O872" s="9">
        <f>ROUND((N872*Assumptions!N$13)+GM!N872,-2)</f>
        <v>0</v>
      </c>
      <c r="P872" s="9">
        <f>ROUND((O872*Assumptions!O$13)+GM!O872,-2)</f>
        <v>0</v>
      </c>
      <c r="Q872" s="9">
        <f>ROUND((P872*Assumptions!P$13)+GM!P872,-2)</f>
        <v>0</v>
      </c>
      <c r="R872" s="9">
        <f>ROUND((Q872*Assumptions!Q$13)+GM!Q872,-2)</f>
        <v>0</v>
      </c>
      <c r="S872" s="47">
        <f>ROUND((R872*Assumptions!R$13)+GM!R872,-2)</f>
        <v>0</v>
      </c>
    </row>
    <row r="873" spans="1:23" x14ac:dyDescent="0.2">
      <c r="A873" s="54">
        <v>100000</v>
      </c>
      <c r="B873" s="9">
        <v>575000</v>
      </c>
      <c r="C873" s="9">
        <v>500000</v>
      </c>
      <c r="D873" s="46">
        <v>400000</v>
      </c>
      <c r="E873" s="9">
        <v>700000</v>
      </c>
      <c r="F873" s="773" t="s">
        <v>3141</v>
      </c>
      <c r="G873" s="662" t="s">
        <v>4544</v>
      </c>
      <c r="H873" s="9">
        <v>725000</v>
      </c>
      <c r="I873" s="85">
        <f t="shared" si="899"/>
        <v>3.5714285714285712</v>
      </c>
      <c r="J873" s="9">
        <f>ROUND((H873*Assumptions!I$13)+GM!H873,-2)-743100</f>
        <v>-1400</v>
      </c>
      <c r="K873" s="9">
        <f>ROUND((J873*Assumptions!J$13)+GM!J873,-2)</f>
        <v>-1400</v>
      </c>
      <c r="L873" s="9">
        <f>ROUND((K873*Assumptions!K$13)+GM!K873,-2)</f>
        <v>-1400</v>
      </c>
      <c r="M873" s="9">
        <f>ROUND((L873*Assumptions!L$13)+GM!L873,-2)</f>
        <v>-1400</v>
      </c>
      <c r="N873" s="9">
        <f>ROUND((M873*Assumptions!M$13)+GM!M873,-2)</f>
        <v>-1400</v>
      </c>
      <c r="O873" s="9">
        <f>ROUND((N873*Assumptions!N$13)+GM!N873,-2)</f>
        <v>-1400</v>
      </c>
      <c r="P873" s="9">
        <f>ROUND((O873*Assumptions!O$13)+GM!O873,-2)</f>
        <v>-1400</v>
      </c>
      <c r="Q873" s="9">
        <f>ROUND((P873*Assumptions!P$13)+GM!P873,-2)</f>
        <v>-1400</v>
      </c>
      <c r="R873" s="9">
        <f>ROUND((Q873*Assumptions!Q$13)+GM!Q873,-2)</f>
        <v>-1400</v>
      </c>
      <c r="S873" s="47">
        <f>ROUND((R873*Assumptions!R$13)+GM!R873,-2)</f>
        <v>-1400</v>
      </c>
    </row>
    <row r="874" spans="1:23" x14ac:dyDescent="0.2">
      <c r="A874" s="54">
        <v>0</v>
      </c>
      <c r="B874" s="9">
        <v>0</v>
      </c>
      <c r="C874" s="9">
        <v>83300</v>
      </c>
      <c r="D874" s="46">
        <v>27500</v>
      </c>
      <c r="E874" s="9">
        <v>0</v>
      </c>
      <c r="F874" s="773" t="s">
        <v>4740</v>
      </c>
      <c r="G874" s="662" t="s">
        <v>4741</v>
      </c>
      <c r="H874" s="9">
        <v>0</v>
      </c>
      <c r="I874" s="85">
        <f t="shared" si="899"/>
        <v>0</v>
      </c>
      <c r="J874" s="9">
        <f>ROUND((H874*Assumptions!I$13)+GM!H874,-2)</f>
        <v>0</v>
      </c>
      <c r="K874" s="9">
        <f>ROUND((J874*Assumptions!J$13)+GM!J874,-2)</f>
        <v>0</v>
      </c>
      <c r="L874" s="9">
        <f>ROUND((K874*Assumptions!K$13)+GM!K874,-2)</f>
        <v>0</v>
      </c>
      <c r="M874" s="9">
        <f>ROUND((L874*Assumptions!L$13)+GM!L874,-2)</f>
        <v>0</v>
      </c>
      <c r="N874" s="9">
        <f>ROUND((M874*Assumptions!M$13)+GM!M874,-2)</f>
        <v>0</v>
      </c>
      <c r="O874" s="9">
        <f>ROUND((N874*Assumptions!N$13)+GM!N874,-2)</f>
        <v>0</v>
      </c>
      <c r="P874" s="9">
        <f>ROUND((O874*Assumptions!O$13)+GM!O874,-2)</f>
        <v>0</v>
      </c>
      <c r="Q874" s="9">
        <f>ROUND((P874*Assumptions!P$13)+GM!P874,-2)</f>
        <v>0</v>
      </c>
      <c r="R874" s="9">
        <f>ROUND((Q874*Assumptions!Q$13)+GM!Q874,-2)</f>
        <v>0</v>
      </c>
      <c r="S874" s="47">
        <f>ROUND((R874*Assumptions!R$13)+GM!R874,-2)</f>
        <v>0</v>
      </c>
    </row>
    <row r="875" spans="1:23" x14ac:dyDescent="0.2">
      <c r="A875" s="54"/>
      <c r="B875" s="9"/>
      <c r="C875" s="9"/>
      <c r="D875" s="29"/>
      <c r="E875" s="9"/>
      <c r="F875" s="239"/>
      <c r="G875" s="320" t="s">
        <v>2006</v>
      </c>
      <c r="H875" s="9"/>
      <c r="I875" s="85"/>
      <c r="J875" s="9"/>
      <c r="K875" s="9"/>
      <c r="L875" s="9"/>
      <c r="M875" s="9"/>
      <c r="N875" s="9"/>
      <c r="O875" s="9"/>
      <c r="P875" s="9"/>
      <c r="Q875" s="9"/>
      <c r="R875" s="9"/>
      <c r="S875" s="47"/>
    </row>
    <row r="876" spans="1:23" x14ac:dyDescent="0.2">
      <c r="A876" s="54">
        <v>700</v>
      </c>
      <c r="B876" s="9">
        <v>3300</v>
      </c>
      <c r="C876" s="9">
        <v>8700</v>
      </c>
      <c r="D876" s="46">
        <v>16400</v>
      </c>
      <c r="E876" s="9">
        <v>5900</v>
      </c>
      <c r="F876" s="167" t="s">
        <v>1819</v>
      </c>
      <c r="G876" s="662" t="s">
        <v>4704</v>
      </c>
      <c r="H876" s="9">
        <v>51800</v>
      </c>
      <c r="I876" s="85">
        <f t="shared" ref="I876:I883" si="900">IF(E876=H876,0,IF(E876=0,100,(H876-E876)/E876*100))</f>
        <v>777.96610169491521</v>
      </c>
      <c r="J876" s="9">
        <f>ROUNDUP(H876+(H876*Assumptions!I$5),-2)-23200</f>
        <v>29800</v>
      </c>
      <c r="K876" s="9">
        <f>ROUNDUP(J876+(J876*Assumptions!J$5),-2)</f>
        <v>30600</v>
      </c>
      <c r="L876" s="9">
        <f>ROUNDUP(K876+(K876*Assumptions!K$5),-2)</f>
        <v>31400</v>
      </c>
      <c r="M876" s="9">
        <f>ROUNDUP(L876+(L876*Assumptions!L$5),-2)</f>
        <v>32200</v>
      </c>
      <c r="N876" s="9">
        <v>0</v>
      </c>
      <c r="O876" s="9">
        <f>ROUNDUP(N876+(N876*Assumptions!N$5),-2)</f>
        <v>0</v>
      </c>
      <c r="P876" s="9">
        <f>ROUNDUP(O876+(O876*Assumptions!O$5),-2)</f>
        <v>0</v>
      </c>
      <c r="Q876" s="9">
        <f>ROUNDUP(P876+(P876*Assumptions!P$5),-2)</f>
        <v>0</v>
      </c>
      <c r="R876" s="9">
        <f>ROUNDUP(Q876+(Q876*Assumptions!Q$5),-2)</f>
        <v>0</v>
      </c>
      <c r="S876" s="47">
        <f>ROUNDUP(R876+(R876*Assumptions!R$5),-2)</f>
        <v>0</v>
      </c>
    </row>
    <row r="877" spans="1:23" x14ac:dyDescent="0.2">
      <c r="A877" s="54">
        <v>13200</v>
      </c>
      <c r="B877" s="9">
        <v>7000</v>
      </c>
      <c r="C877" s="9">
        <v>7700</v>
      </c>
      <c r="D877" s="46">
        <v>11900</v>
      </c>
      <c r="E877" s="9">
        <v>11100</v>
      </c>
      <c r="F877" s="773" t="s">
        <v>2977</v>
      </c>
      <c r="G877" s="662" t="s">
        <v>2976</v>
      </c>
      <c r="H877" s="9">
        <f>16700-2000</f>
        <v>14700</v>
      </c>
      <c r="I877" s="85">
        <f t="shared" si="900"/>
        <v>32.432432432432435</v>
      </c>
      <c r="J877" s="9">
        <f>ROUNDUP(H877+(H877*Assumptions!I$5),-2)</f>
        <v>15100</v>
      </c>
      <c r="K877" s="9">
        <f>ROUNDUP(J877+(J877*Assumptions!J$5),-2)</f>
        <v>15500</v>
      </c>
      <c r="L877" s="9">
        <f>ROUNDUP(K877+(K877*Assumptions!K$5),-2)</f>
        <v>15900</v>
      </c>
      <c r="M877" s="9">
        <f>ROUNDUP(L877+(L877*Assumptions!L$5),-2)</f>
        <v>16300</v>
      </c>
      <c r="N877" s="9">
        <v>0</v>
      </c>
      <c r="O877" s="9">
        <f>ROUNDUP(N877+(N877*Assumptions!N$5),-2)</f>
        <v>0</v>
      </c>
      <c r="P877" s="9">
        <f>ROUNDUP(O877+(O877*Assumptions!O$5),-2)</f>
        <v>0</v>
      </c>
      <c r="Q877" s="9">
        <f>ROUNDUP(P877+(P877*Assumptions!P$5),-2)</f>
        <v>0</v>
      </c>
      <c r="R877" s="9">
        <f>ROUNDUP(Q877+(Q877*Assumptions!Q$5),-2)</f>
        <v>0</v>
      </c>
      <c r="S877" s="47">
        <f>ROUNDUP(R877+(R877*Assumptions!R$5),-2)</f>
        <v>0</v>
      </c>
    </row>
    <row r="878" spans="1:23" x14ac:dyDescent="0.2">
      <c r="A878" s="54">
        <v>15200</v>
      </c>
      <c r="B878" s="9">
        <v>4100</v>
      </c>
      <c r="C878" s="9">
        <v>0</v>
      </c>
      <c r="D878" s="46">
        <v>15300</v>
      </c>
      <c r="E878" s="9">
        <v>5300</v>
      </c>
      <c r="F878" s="167" t="s">
        <v>1820</v>
      </c>
      <c r="G878" s="371" t="s">
        <v>2096</v>
      </c>
      <c r="H878" s="9">
        <v>5400</v>
      </c>
      <c r="I878" s="85">
        <f t="shared" si="900"/>
        <v>1.8867924528301887</v>
      </c>
      <c r="J878" s="9">
        <f>ROUNDUP(H878+(H878*Assumptions!I$5),-2)</f>
        <v>5600</v>
      </c>
      <c r="K878" s="9">
        <f>ROUNDUP(J878+(J878*Assumptions!J$5),-2)</f>
        <v>5800</v>
      </c>
      <c r="L878" s="9">
        <f>ROUNDUP(K878+(K878*Assumptions!K$5),-2)</f>
        <v>6000</v>
      </c>
      <c r="M878" s="9">
        <f>ROUNDUP(L878+(L878*Assumptions!L$5),-2)</f>
        <v>6200</v>
      </c>
      <c r="N878" s="9">
        <f>ROUNDUP(M878+(M878*Assumptions!M$5),-2)</f>
        <v>6400</v>
      </c>
      <c r="O878" s="9">
        <f>ROUNDUP(N878+(N878*Assumptions!N$5),-2)</f>
        <v>6600</v>
      </c>
      <c r="P878" s="9">
        <f>ROUNDUP(O878+(O878*Assumptions!O$5),-2)</f>
        <v>6800</v>
      </c>
      <c r="Q878" s="9">
        <f>ROUNDUP(P878+(P878*Assumptions!P$5),-2)</f>
        <v>7000</v>
      </c>
      <c r="R878" s="9">
        <f>ROUNDUP(Q878+(Q878*Assumptions!Q$5),-2)</f>
        <v>7200</v>
      </c>
      <c r="S878" s="47">
        <f>ROUNDUP(R878+(R878*Assumptions!R$5),-2)</f>
        <v>7400</v>
      </c>
    </row>
    <row r="879" spans="1:23" x14ac:dyDescent="0.2">
      <c r="A879" s="54">
        <v>51900</v>
      </c>
      <c r="B879" s="9">
        <v>47800</v>
      </c>
      <c r="C879" s="9">
        <v>41000</v>
      </c>
      <c r="D879" s="46">
        <v>39200</v>
      </c>
      <c r="E879" s="9">
        <v>29600</v>
      </c>
      <c r="F879" s="167" t="s">
        <v>1827</v>
      </c>
      <c r="G879" s="371" t="s">
        <v>2097</v>
      </c>
      <c r="H879" s="9">
        <f>56900-10000</f>
        <v>46900</v>
      </c>
      <c r="I879" s="85">
        <f t="shared" si="900"/>
        <v>58.445945945945944</v>
      </c>
      <c r="J879" s="9">
        <f>ROUNDUP(H879+(H879*Assumptions!I$5),-2)</f>
        <v>48000</v>
      </c>
      <c r="K879" s="9">
        <f>ROUNDUP(J879+(J879*Assumptions!J$5),-2)</f>
        <v>49200</v>
      </c>
      <c r="L879" s="9">
        <f>ROUNDUP(K879+(K879*Assumptions!K$5),-2)</f>
        <v>50500</v>
      </c>
      <c r="M879" s="9">
        <f>ROUNDUP(L879+(L879*Assumptions!L$5),-2)</f>
        <v>51800</v>
      </c>
      <c r="N879" s="9">
        <f>ROUNDUP(M879+(M879*Assumptions!M$5),-2)</f>
        <v>53100</v>
      </c>
      <c r="O879" s="9">
        <f>ROUNDUP(N879+(N879*Assumptions!N$5),-2)</f>
        <v>54500</v>
      </c>
      <c r="P879" s="9">
        <f>ROUNDUP(O879+(O879*Assumptions!O$5),-2)</f>
        <v>55900</v>
      </c>
      <c r="Q879" s="9">
        <f>ROUNDUP(P879+(P879*Assumptions!P$5),-2)</f>
        <v>57300</v>
      </c>
      <c r="R879" s="9">
        <f>ROUNDUP(Q879+(Q879*Assumptions!Q$5),-2)</f>
        <v>58800</v>
      </c>
      <c r="S879" s="47">
        <f>ROUNDUP(R879+(R879*Assumptions!R$5),-2)</f>
        <v>60300</v>
      </c>
    </row>
    <row r="880" spans="1:23" x14ac:dyDescent="0.2">
      <c r="A880" s="54">
        <v>0</v>
      </c>
      <c r="B880" s="9">
        <v>0</v>
      </c>
      <c r="C880" s="9">
        <v>0</v>
      </c>
      <c r="D880" s="46">
        <v>4300</v>
      </c>
      <c r="E880" s="9">
        <v>5500</v>
      </c>
      <c r="F880" s="773" t="s">
        <v>5470</v>
      </c>
      <c r="G880" s="662" t="s">
        <v>5471</v>
      </c>
      <c r="H880" s="9">
        <v>10000</v>
      </c>
      <c r="I880" s="85">
        <f t="shared" si="900"/>
        <v>81.818181818181827</v>
      </c>
      <c r="J880" s="9">
        <v>10000</v>
      </c>
      <c r="K880" s="9">
        <v>10000</v>
      </c>
      <c r="L880" s="9">
        <v>10000</v>
      </c>
      <c r="M880" s="9">
        <v>10000</v>
      </c>
      <c r="N880" s="9">
        <v>10000</v>
      </c>
      <c r="O880" s="9">
        <v>10000</v>
      </c>
      <c r="P880" s="9">
        <v>10000</v>
      </c>
      <c r="Q880" s="9">
        <v>10000</v>
      </c>
      <c r="R880" s="9">
        <v>10000</v>
      </c>
      <c r="S880" s="47">
        <v>10000</v>
      </c>
    </row>
    <row r="881" spans="1:23" x14ac:dyDescent="0.2">
      <c r="A881" s="54">
        <v>48100</v>
      </c>
      <c r="B881" s="9">
        <v>7300</v>
      </c>
      <c r="C881" s="9">
        <v>56900</v>
      </c>
      <c r="D881" s="46">
        <v>91900</v>
      </c>
      <c r="E881" s="9">
        <v>37800</v>
      </c>
      <c r="F881" s="167" t="s">
        <v>108</v>
      </c>
      <c r="G881" s="371" t="s">
        <v>1069</v>
      </c>
      <c r="H881" s="9">
        <v>170200</v>
      </c>
      <c r="I881" s="85">
        <f t="shared" si="900"/>
        <v>350.26455026455028</v>
      </c>
      <c r="J881" s="9">
        <v>0</v>
      </c>
      <c r="K881" s="9">
        <v>0</v>
      </c>
      <c r="L881" s="9">
        <v>0</v>
      </c>
      <c r="M881" s="9">
        <v>0</v>
      </c>
      <c r="N881" s="9">
        <v>0</v>
      </c>
      <c r="O881" s="9">
        <v>0</v>
      </c>
      <c r="P881" s="9">
        <v>0</v>
      </c>
      <c r="Q881" s="9">
        <v>0</v>
      </c>
      <c r="R881" s="9">
        <v>0</v>
      </c>
      <c r="S881" s="47">
        <v>0</v>
      </c>
    </row>
    <row r="882" spans="1:23" x14ac:dyDescent="0.2">
      <c r="A882" s="54">
        <v>0</v>
      </c>
      <c r="B882" s="9">
        <v>0</v>
      </c>
      <c r="C882" s="9">
        <v>0</v>
      </c>
      <c r="D882" s="46">
        <v>0</v>
      </c>
      <c r="E882" s="9">
        <v>800</v>
      </c>
      <c r="F882" s="167" t="s">
        <v>1828</v>
      </c>
      <c r="G882" s="371" t="s">
        <v>594</v>
      </c>
      <c r="H882" s="9">
        <v>22000</v>
      </c>
      <c r="I882" s="85">
        <f t="shared" si="900"/>
        <v>2650</v>
      </c>
      <c r="J882" s="9">
        <f>ROUNDUP(H882+(H882*Assumptions!I$5),-2)-10800</f>
        <v>11800</v>
      </c>
      <c r="K882" s="9">
        <f>ROUNDUP(J882+(J882*Assumptions!J$5),-2)</f>
        <v>12100</v>
      </c>
      <c r="L882" s="9">
        <f>ROUNDUP(K882+(K882*Assumptions!K$5),-2)</f>
        <v>12500</v>
      </c>
      <c r="M882" s="9">
        <f>ROUNDUP(L882+(L882*Assumptions!L$5),-2)</f>
        <v>12900</v>
      </c>
      <c r="N882" s="9">
        <f>ROUNDUP(M882+(M882*Assumptions!M$5),-2)</f>
        <v>13300</v>
      </c>
      <c r="O882" s="9">
        <f>ROUNDUP(N882+(N882*Assumptions!N$5),-2)</f>
        <v>13700</v>
      </c>
      <c r="P882" s="9">
        <f>ROUNDUP(O882+(O882*Assumptions!O$5),-2)</f>
        <v>14100</v>
      </c>
      <c r="Q882" s="9">
        <f>ROUNDUP(P882+(P882*Assumptions!P$5),-2)</f>
        <v>14500</v>
      </c>
      <c r="R882" s="9">
        <f>ROUNDUP(Q882+(Q882*Assumptions!Q$5),-2)</f>
        <v>14900</v>
      </c>
      <c r="S882" s="47">
        <f>ROUNDUP(R882+(R882*Assumptions!R$5),-2)</f>
        <v>15300</v>
      </c>
    </row>
    <row r="883" spans="1:23" x14ac:dyDescent="0.2">
      <c r="A883" s="54">
        <v>11500</v>
      </c>
      <c r="B883" s="9">
        <v>8500</v>
      </c>
      <c r="C883" s="9">
        <v>9000</v>
      </c>
      <c r="D883" s="29">
        <v>9800</v>
      </c>
      <c r="E883" s="9">
        <v>10500</v>
      </c>
      <c r="F883" s="167" t="s">
        <v>1829</v>
      </c>
      <c r="G883" s="371" t="s">
        <v>2005</v>
      </c>
      <c r="H883" s="9">
        <f>14600-2000</f>
        <v>12600</v>
      </c>
      <c r="I883" s="85">
        <f t="shared" si="900"/>
        <v>20</v>
      </c>
      <c r="J883" s="9">
        <f>ROUNDUP(H883+(H883*Assumptions!I$5),-2)</f>
        <v>12900</v>
      </c>
      <c r="K883" s="9">
        <f>ROUNDUP(J883+(J883*Assumptions!J$5),-2)</f>
        <v>13300</v>
      </c>
      <c r="L883" s="9">
        <f>ROUNDUP(K883+(K883*Assumptions!K$5),-2)</f>
        <v>13700</v>
      </c>
      <c r="M883" s="9">
        <f>ROUNDUP(L883+(L883*Assumptions!L$5),-2)</f>
        <v>14100</v>
      </c>
      <c r="N883" s="9">
        <f>ROUNDUP(M883+(M883*Assumptions!M$5),-2)</f>
        <v>14500</v>
      </c>
      <c r="O883" s="9">
        <f>ROUNDUP(N883+(N883*Assumptions!N$5),-2)</f>
        <v>14900</v>
      </c>
      <c r="P883" s="9">
        <f>ROUNDUP(O883+(O883*Assumptions!O$5),-2)</f>
        <v>15300</v>
      </c>
      <c r="Q883" s="9">
        <f>ROUNDUP(P883+(P883*Assumptions!P$5),-2)</f>
        <v>15700</v>
      </c>
      <c r="R883" s="9">
        <f>ROUNDUP(Q883+(Q883*Assumptions!Q$5),-2)</f>
        <v>16100</v>
      </c>
      <c r="S883" s="47">
        <f>ROUNDUP(R883+(R883*Assumptions!R$5),-2)</f>
        <v>16600</v>
      </c>
    </row>
    <row r="884" spans="1:23" x14ac:dyDescent="0.2">
      <c r="A884" s="54"/>
      <c r="B884" s="9"/>
      <c r="C884" s="9"/>
      <c r="E884" s="9"/>
      <c r="F884" s="167"/>
      <c r="G884" s="912" t="s">
        <v>5236</v>
      </c>
      <c r="H884" s="9"/>
      <c r="I884" s="85"/>
      <c r="J884" s="9"/>
      <c r="K884" s="9"/>
      <c r="L884" s="9"/>
      <c r="M884" s="9"/>
      <c r="N884" s="9"/>
      <c r="O884" s="9"/>
      <c r="P884" s="9"/>
      <c r="Q884" s="9"/>
      <c r="R884" s="9"/>
      <c r="S884" s="47"/>
    </row>
    <row r="885" spans="1:23" x14ac:dyDescent="0.2">
      <c r="A885" s="54">
        <f>-4000-97900-62800</f>
        <v>-164700</v>
      </c>
      <c r="B885" s="9">
        <f>-160400+80200-209700</f>
        <v>-289900</v>
      </c>
      <c r="C885" s="9">
        <f>-110200+63800-679300</f>
        <v>-725700</v>
      </c>
      <c r="D885" s="29">
        <f>-198500+565900-47600</f>
        <v>319800</v>
      </c>
      <c r="E885" s="9">
        <f>+-742700+441700-102000-100</f>
        <v>-403100</v>
      </c>
      <c r="F885" s="773" t="s">
        <v>5237</v>
      </c>
      <c r="G885" s="662" t="s">
        <v>5235</v>
      </c>
      <c r="H885" s="9">
        <v>0</v>
      </c>
      <c r="I885" s="85">
        <f>IF(E885=H885,0,IF(E885=0,100,(H885-E885)/E885*100))</f>
        <v>-100</v>
      </c>
      <c r="J885" s="9">
        <f>ROUNDUP(H885+(H885*Assumptions!I$5),-2)</f>
        <v>0</v>
      </c>
      <c r="K885" s="9">
        <f>ROUNDUP(J885+(J885*Assumptions!J$5),-2)</f>
        <v>0</v>
      </c>
      <c r="L885" s="9">
        <f>ROUNDUP(K885+(K885*Assumptions!K$5),-2)</f>
        <v>0</v>
      </c>
      <c r="M885" s="9">
        <f>ROUNDUP(L885+(L885*Assumptions!L$5),-2)</f>
        <v>0</v>
      </c>
      <c r="N885" s="9">
        <f>ROUNDUP(M885+(M885*Assumptions!M$5),-2)</f>
        <v>0</v>
      </c>
      <c r="O885" s="9">
        <f>ROUNDUP(N885+(N885*Assumptions!N$5),-2)</f>
        <v>0</v>
      </c>
      <c r="P885" s="9">
        <f>ROUNDUP(O885+(O885*Assumptions!O$5),-2)</f>
        <v>0</v>
      </c>
      <c r="Q885" s="9">
        <f>ROUNDUP(P885+(P885*Assumptions!P$5),-2)</f>
        <v>0</v>
      </c>
      <c r="R885" s="9">
        <f>ROUNDUP(Q885+(Q885*Assumptions!Q$5),-2)</f>
        <v>0</v>
      </c>
      <c r="S885" s="47">
        <f>ROUNDUP(R885+(R885*Assumptions!R$5),-2)</f>
        <v>0</v>
      </c>
    </row>
    <row r="886" spans="1:23" x14ac:dyDescent="0.2">
      <c r="A886" s="54"/>
      <c r="B886" s="9"/>
      <c r="C886" s="9"/>
      <c r="E886" s="9"/>
      <c r="F886" s="167"/>
      <c r="G886" s="521" t="s">
        <v>1014</v>
      </c>
      <c r="H886" s="9"/>
      <c r="I886" s="85"/>
      <c r="J886" s="9"/>
      <c r="K886" s="9"/>
      <c r="L886" s="9"/>
      <c r="M886" s="9"/>
      <c r="N886" s="9"/>
      <c r="O886" s="9"/>
      <c r="P886" s="9"/>
      <c r="Q886" s="9"/>
      <c r="R886" s="9"/>
      <c r="S886" s="61"/>
    </row>
    <row r="887" spans="1:23" ht="13.5" thickBot="1" x14ac:dyDescent="0.25">
      <c r="A887" s="118"/>
      <c r="B887" s="23"/>
      <c r="C887" s="23"/>
      <c r="D887" s="121"/>
      <c r="E887" s="23"/>
      <c r="F887" s="168"/>
      <c r="G887" s="1619"/>
      <c r="H887" s="23"/>
      <c r="I887" s="87"/>
      <c r="J887" s="23"/>
      <c r="K887" s="23"/>
      <c r="L887" s="23"/>
      <c r="M887" s="23"/>
      <c r="N887" s="23"/>
      <c r="O887" s="23"/>
      <c r="P887" s="23"/>
      <c r="Q887" s="23"/>
      <c r="R887" s="23"/>
      <c r="S887" s="112"/>
    </row>
    <row r="888" spans="1:23" s="38" customFormat="1" ht="18.75" customHeight="1" thickTop="1" thickBot="1" x14ac:dyDescent="0.3">
      <c r="A888" s="2588" t="s">
        <v>2743</v>
      </c>
      <c r="B888" s="2589"/>
      <c r="C888" s="2589"/>
      <c r="D888" s="2589"/>
      <c r="E888" s="2589"/>
      <c r="F888" s="2589"/>
      <c r="G888" s="2589"/>
      <c r="H888" s="2589"/>
      <c r="I888" s="2589"/>
      <c r="J888" s="2589"/>
      <c r="K888" s="2589"/>
      <c r="L888" s="2589"/>
      <c r="M888" s="2589"/>
      <c r="N888" s="2589"/>
      <c r="O888" s="2589"/>
      <c r="P888" s="2589"/>
      <c r="Q888" s="2589"/>
      <c r="R888" s="2589"/>
      <c r="S888" s="2590"/>
      <c r="U888" s="34"/>
      <c r="W888" s="34"/>
    </row>
    <row r="889" spans="1:23" s="39" customFormat="1" x14ac:dyDescent="0.2">
      <c r="A889" s="2620" t="s">
        <v>1824</v>
      </c>
      <c r="B889" s="2621"/>
      <c r="C889" s="2621"/>
      <c r="D889" s="2621"/>
      <c r="E889" s="2622"/>
      <c r="F889" s="150" t="s">
        <v>2616</v>
      </c>
      <c r="G889" s="126" t="s">
        <v>2213</v>
      </c>
      <c r="H889" s="2617" t="s">
        <v>2215</v>
      </c>
      <c r="I889" s="2618"/>
      <c r="J889" s="2618"/>
      <c r="K889" s="2618"/>
      <c r="L889" s="2618"/>
      <c r="M889" s="2618"/>
      <c r="N889" s="2618"/>
      <c r="O889" s="2618"/>
      <c r="P889" s="2618"/>
      <c r="Q889" s="2618"/>
      <c r="R889" s="2618"/>
      <c r="S889" s="2619"/>
      <c r="U889" s="34"/>
      <c r="W889" s="34"/>
    </row>
    <row r="890" spans="1:23" ht="13.5" customHeight="1" thickBot="1" x14ac:dyDescent="0.25">
      <c r="A890" s="541" t="str">
        <f>A825</f>
        <v>2012/13</v>
      </c>
      <c r="B890" s="28" t="str">
        <f>B825</f>
        <v>2013/14</v>
      </c>
      <c r="C890" s="40" t="str">
        <f>C825</f>
        <v>2014/15</v>
      </c>
      <c r="D890" s="40" t="str">
        <f>D825</f>
        <v>2015/16</v>
      </c>
      <c r="E890" s="40" t="str">
        <f>E825</f>
        <v>2016/17</v>
      </c>
      <c r="F890" s="40" t="s">
        <v>2617</v>
      </c>
      <c r="G890" s="41"/>
      <c r="H890" s="40" t="str">
        <f t="shared" ref="H890:S890" si="901">H825</f>
        <v>2017/18</v>
      </c>
      <c r="I890" s="1258" t="str">
        <f t="shared" si="901"/>
        <v>%</v>
      </c>
      <c r="J890" s="40" t="str">
        <f t="shared" si="901"/>
        <v>2018/19</v>
      </c>
      <c r="K890" s="40" t="str">
        <f t="shared" si="901"/>
        <v>2019/20</v>
      </c>
      <c r="L890" s="40" t="str">
        <f t="shared" si="901"/>
        <v>2020/21</v>
      </c>
      <c r="M890" s="40" t="str">
        <f t="shared" si="901"/>
        <v>2021/22</v>
      </c>
      <c r="N890" s="40" t="str">
        <f t="shared" si="901"/>
        <v>2022/23</v>
      </c>
      <c r="O890" s="40" t="str">
        <f t="shared" si="901"/>
        <v>2023/24</v>
      </c>
      <c r="P890" s="40" t="str">
        <f t="shared" si="901"/>
        <v>2024/25</v>
      </c>
      <c r="Q890" s="28" t="str">
        <f t="shared" si="901"/>
        <v>2025/26</v>
      </c>
      <c r="R890" s="28" t="str">
        <f t="shared" si="901"/>
        <v>2026/27</v>
      </c>
      <c r="S890" s="1620" t="str">
        <f t="shared" si="901"/>
        <v>2027/28</v>
      </c>
    </row>
    <row r="891" spans="1:23" x14ac:dyDescent="0.2">
      <c r="A891" s="54"/>
      <c r="B891" s="9"/>
      <c r="C891" s="9"/>
      <c r="D891" s="9"/>
      <c r="E891" s="9"/>
      <c r="F891" s="1153"/>
      <c r="G891" s="256" t="s">
        <v>1800</v>
      </c>
      <c r="H891" s="9"/>
      <c r="I891" s="85"/>
      <c r="J891" s="9"/>
      <c r="K891" s="9"/>
      <c r="L891" s="9"/>
      <c r="M891" s="9"/>
      <c r="N891" s="9"/>
      <c r="O891" s="9"/>
      <c r="P891" s="9"/>
      <c r="Q891" s="9"/>
      <c r="R891" s="9"/>
      <c r="S891" s="61"/>
    </row>
    <row r="892" spans="1:23" x14ac:dyDescent="0.2">
      <c r="A892" s="54"/>
      <c r="B892" s="9"/>
      <c r="C892" s="9"/>
      <c r="E892" s="9"/>
      <c r="F892" s="239"/>
      <c r="G892" s="419" t="s">
        <v>1780</v>
      </c>
      <c r="H892" s="9"/>
      <c r="I892" s="85"/>
      <c r="J892" s="9"/>
      <c r="K892" s="9"/>
      <c r="L892" s="9"/>
      <c r="M892" s="9"/>
      <c r="N892" s="9"/>
      <c r="O892" s="9"/>
      <c r="P892" s="9"/>
      <c r="Q892" s="9"/>
      <c r="R892" s="9"/>
      <c r="S892" s="61"/>
    </row>
    <row r="893" spans="1:23" x14ac:dyDescent="0.2">
      <c r="A893" s="54">
        <v>10100</v>
      </c>
      <c r="B893" s="9">
        <v>11300</v>
      </c>
      <c r="C893" s="9">
        <v>9300</v>
      </c>
      <c r="D893" s="46">
        <v>8400</v>
      </c>
      <c r="E893" s="9">
        <v>9100</v>
      </c>
      <c r="F893" s="167" t="s">
        <v>2462</v>
      </c>
      <c r="G893" s="385" t="s">
        <v>683</v>
      </c>
      <c r="H893" s="9">
        <f>13500-2500-2800-1600</f>
        <v>6600</v>
      </c>
      <c r="I893" s="85">
        <f t="shared" ref="I893:I908" si="902">IF(E893=H893,0,IF(E893=0,100,(H893-E893)/E893*100))</f>
        <v>-27.472527472527474</v>
      </c>
      <c r="J893" s="9">
        <f>ROUNDUP(H893+(H893*Assumptions!I$5),-2)</f>
        <v>6800</v>
      </c>
      <c r="K893" s="9">
        <f>ROUNDUP(J893+(J893*Assumptions!J$5),-2)</f>
        <v>7000</v>
      </c>
      <c r="L893" s="9">
        <f>ROUNDUP(K893+(K893*Assumptions!K$5),-2)</f>
        <v>7200</v>
      </c>
      <c r="M893" s="9">
        <f>ROUNDUP(L893+(L893*Assumptions!L$5),-2)</f>
        <v>7400</v>
      </c>
      <c r="N893" s="9">
        <f>ROUNDUP(M893+(M893*Assumptions!M$5),-2)</f>
        <v>7600</v>
      </c>
      <c r="O893" s="9">
        <f>ROUNDUP(N893+(N893*Assumptions!N$5),-2)</f>
        <v>7800</v>
      </c>
      <c r="P893" s="9">
        <f>ROUNDUP(O893+(O893*Assumptions!O$5),-2)</f>
        <v>8000</v>
      </c>
      <c r="Q893" s="9">
        <f>ROUNDUP(P893+(P893*Assumptions!P$5),-2)</f>
        <v>8200</v>
      </c>
      <c r="R893" s="9">
        <f>ROUNDUP(Q893+(Q893*Assumptions!Q$5),-2)</f>
        <v>8500</v>
      </c>
      <c r="S893" s="47">
        <f>ROUNDUP(R893+(R893*Assumptions!R$5),-2)</f>
        <v>8800</v>
      </c>
    </row>
    <row r="894" spans="1:23" x14ac:dyDescent="0.2">
      <c r="A894" s="54">
        <v>51600</v>
      </c>
      <c r="B894" s="9">
        <v>57500</v>
      </c>
      <c r="C894" s="9">
        <v>52600</v>
      </c>
      <c r="D894" s="46">
        <v>57900</v>
      </c>
      <c r="E894" s="9">
        <v>64700</v>
      </c>
      <c r="F894" s="167" t="s">
        <v>1831</v>
      </c>
      <c r="G894" s="385" t="s">
        <v>684</v>
      </c>
      <c r="H894" s="9">
        <v>62200</v>
      </c>
      <c r="I894" s="85">
        <f t="shared" si="902"/>
        <v>-3.863987635239567</v>
      </c>
      <c r="J894" s="9">
        <f>ROUNDUP(H894+(H894*Assumptions!I$5),-2)</f>
        <v>63700</v>
      </c>
      <c r="K894" s="9">
        <f>ROUNDUP(J894+(J894*Assumptions!J$5),-2)</f>
        <v>65300</v>
      </c>
      <c r="L894" s="9">
        <f>ROUNDUP(K894+(K894*Assumptions!K$5),-2)</f>
        <v>67000</v>
      </c>
      <c r="M894" s="9">
        <f>ROUNDUP(L894+(L894*Assumptions!L$5),-2)</f>
        <v>68700</v>
      </c>
      <c r="N894" s="9">
        <f>ROUNDUP(M894+(M894*Assumptions!M$5),-2)</f>
        <v>70500</v>
      </c>
      <c r="O894" s="9">
        <f>ROUNDUP(N894+(N894*Assumptions!N$5),-2)</f>
        <v>72300</v>
      </c>
      <c r="P894" s="9">
        <f>ROUNDUP(O894+(O894*Assumptions!O$5),-2)</f>
        <v>74200</v>
      </c>
      <c r="Q894" s="9">
        <f>ROUNDUP(P894+(P894*Assumptions!P$5),-2)</f>
        <v>76100</v>
      </c>
      <c r="R894" s="9">
        <f>ROUNDUP(Q894+(Q894*Assumptions!Q$5),-2)</f>
        <v>78100</v>
      </c>
      <c r="S894" s="47">
        <f>ROUNDUP(R894+(R894*Assumptions!R$5),-2)</f>
        <v>80100</v>
      </c>
    </row>
    <row r="895" spans="1:23" x14ac:dyDescent="0.2">
      <c r="A895" s="54">
        <v>31600</v>
      </c>
      <c r="B895" s="9">
        <v>30400</v>
      </c>
      <c r="C895" s="9">
        <v>29400</v>
      </c>
      <c r="D895" s="144">
        <v>33000</v>
      </c>
      <c r="E895" s="9">
        <v>32500</v>
      </c>
      <c r="F895" s="167" t="s">
        <v>1833</v>
      </c>
      <c r="G895" s="385" t="s">
        <v>670</v>
      </c>
      <c r="H895" s="9">
        <v>32200</v>
      </c>
      <c r="I895" s="85">
        <f t="shared" si="902"/>
        <v>-0.92307692307692313</v>
      </c>
      <c r="J895" s="9">
        <f>ROUNDUP(H895+(H895*Assumptions!I$5),-2)</f>
        <v>33000</v>
      </c>
      <c r="K895" s="9">
        <f>ROUNDUP(J895+(J895*Assumptions!J$5),-2)</f>
        <v>33900</v>
      </c>
      <c r="L895" s="9">
        <f>ROUNDUP(K895+(K895*Assumptions!K$5),-2)</f>
        <v>34800</v>
      </c>
      <c r="M895" s="9">
        <f>ROUNDUP(L895+(L895*Assumptions!L$5),-2)</f>
        <v>35700</v>
      </c>
      <c r="N895" s="9">
        <f>ROUNDUP(M895+(M895*Assumptions!M$5),-2)</f>
        <v>36600</v>
      </c>
      <c r="O895" s="9">
        <f>ROUNDUP(N895+(N895*Assumptions!N$5),-2)</f>
        <v>37600</v>
      </c>
      <c r="P895" s="9">
        <f>ROUNDUP(O895+(O895*Assumptions!O$5),-2)</f>
        <v>38600</v>
      </c>
      <c r="Q895" s="9">
        <f>ROUNDUP(P895+(P895*Assumptions!P$5),-2)</f>
        <v>39600</v>
      </c>
      <c r="R895" s="9">
        <f>ROUNDUP(Q895+(Q895*Assumptions!Q$5),-2)</f>
        <v>40600</v>
      </c>
      <c r="S895" s="47">
        <f>ROUNDUP(R895+(R895*Assumptions!R$5),-2)</f>
        <v>41700</v>
      </c>
    </row>
    <row r="896" spans="1:23" x14ac:dyDescent="0.2">
      <c r="A896" s="54">
        <v>2300</v>
      </c>
      <c r="B896" s="9">
        <v>700</v>
      </c>
      <c r="C896" s="9">
        <v>1900</v>
      </c>
      <c r="D896" s="46">
        <v>1800</v>
      </c>
      <c r="E896" s="9">
        <v>1800</v>
      </c>
      <c r="F896" s="167" t="s">
        <v>1832</v>
      </c>
      <c r="G896" s="385" t="s">
        <v>1185</v>
      </c>
      <c r="H896" s="9">
        <f>2200-200</f>
        <v>2000</v>
      </c>
      <c r="I896" s="85">
        <f t="shared" si="902"/>
        <v>11.111111111111111</v>
      </c>
      <c r="J896" s="9">
        <f>ROUNDUP(H896+(H896*Assumptions!I$5),-2)</f>
        <v>2100</v>
      </c>
      <c r="K896" s="9">
        <f>ROUNDUP(J896+(J896*Assumptions!J$5),-2)</f>
        <v>2200</v>
      </c>
      <c r="L896" s="9">
        <f>ROUNDUP(K896+(K896*Assumptions!K$5),-2)</f>
        <v>2300</v>
      </c>
      <c r="M896" s="9">
        <f>ROUNDUP(L896+(L896*Assumptions!L$5),-2)</f>
        <v>2400</v>
      </c>
      <c r="N896" s="9">
        <f>ROUNDUP(M896+(M896*Assumptions!M$5),-2)</f>
        <v>2500</v>
      </c>
      <c r="O896" s="9">
        <f>ROUNDUP(N896+(N896*Assumptions!N$5),-2)</f>
        <v>2600</v>
      </c>
      <c r="P896" s="9">
        <f>ROUNDUP(O896+(O896*Assumptions!O$5),-2)</f>
        <v>2700</v>
      </c>
      <c r="Q896" s="9">
        <f>ROUNDUP(P896+(P896*Assumptions!P$5),-2)</f>
        <v>2800</v>
      </c>
      <c r="R896" s="9">
        <f>ROUNDUP(Q896+(Q896*Assumptions!Q$5),-2)</f>
        <v>2900</v>
      </c>
      <c r="S896" s="47">
        <f>ROUNDUP(R896+(R896*Assumptions!R$5),-2)</f>
        <v>3000</v>
      </c>
    </row>
    <row r="897" spans="1:19" x14ac:dyDescent="0.2">
      <c r="A897" s="54">
        <v>45800</v>
      </c>
      <c r="B897" s="9">
        <v>32000</v>
      </c>
      <c r="C897" s="9">
        <v>25300</v>
      </c>
      <c r="D897" s="46">
        <v>28200</v>
      </c>
      <c r="E897" s="9">
        <v>67700</v>
      </c>
      <c r="F897" s="167" t="s">
        <v>1830</v>
      </c>
      <c r="G897" s="661" t="s">
        <v>3697</v>
      </c>
      <c r="H897" s="9">
        <f>42700-7700</f>
        <v>35000</v>
      </c>
      <c r="I897" s="85">
        <f t="shared" si="902"/>
        <v>-48.301329394386997</v>
      </c>
      <c r="J897" s="9">
        <f>ROUNDUP(H897+(H897*Assumptions!I$5),-2)</f>
        <v>35900</v>
      </c>
      <c r="K897" s="9">
        <f>ROUNDUP(J897+(J897*Assumptions!J$5),-2)+100</f>
        <v>36900</v>
      </c>
      <c r="L897" s="9">
        <f>ROUNDUP(K897+(K897*Assumptions!K$5),-2)+100</f>
        <v>38000</v>
      </c>
      <c r="M897" s="9">
        <f>ROUNDUP(L897+(L897*Assumptions!L$5),-2)</f>
        <v>39000</v>
      </c>
      <c r="N897" s="9">
        <f>ROUNDUP(M897+(M897*Assumptions!M$5),-2)</f>
        <v>40000</v>
      </c>
      <c r="O897" s="9">
        <f>ROUNDUP(N897+(N897*Assumptions!N$5),-2)</f>
        <v>41000</v>
      </c>
      <c r="P897" s="9">
        <f>ROUNDUP(O897+(O897*Assumptions!O$5),-2)</f>
        <v>42100</v>
      </c>
      <c r="Q897" s="9">
        <f>ROUNDUP(P897+(P897*Assumptions!P$5),-2)</f>
        <v>43200</v>
      </c>
      <c r="R897" s="9">
        <f>ROUNDUP(Q897+(Q897*Assumptions!Q$5),-2)</f>
        <v>44300</v>
      </c>
      <c r="S897" s="47">
        <f>ROUNDUP(R897+(R897*Assumptions!R$5),-2)</f>
        <v>45500</v>
      </c>
    </row>
    <row r="898" spans="1:19" x14ac:dyDescent="0.2">
      <c r="A898" s="54">
        <v>6600</v>
      </c>
      <c r="B898" s="9">
        <v>8400</v>
      </c>
      <c r="C898" s="9">
        <v>4300</v>
      </c>
      <c r="D898" s="46">
        <v>6600</v>
      </c>
      <c r="E898" s="9">
        <v>5700</v>
      </c>
      <c r="F898" s="167" t="s">
        <v>2463</v>
      </c>
      <c r="G898" s="385" t="s">
        <v>2348</v>
      </c>
      <c r="H898" s="9">
        <f>10400-1900</f>
        <v>8500</v>
      </c>
      <c r="I898" s="85">
        <f t="shared" si="902"/>
        <v>49.122807017543856</v>
      </c>
      <c r="J898" s="9">
        <f>ROUNDUP(H898+(H898*Assumptions!I$5),-2)</f>
        <v>8700</v>
      </c>
      <c r="K898" s="9">
        <f>ROUNDUP(J898+(J898*Assumptions!J$5),-2)</f>
        <v>9000</v>
      </c>
      <c r="L898" s="9">
        <f>ROUNDUP(K898+(K898*Assumptions!K$5),-2)</f>
        <v>9300</v>
      </c>
      <c r="M898" s="9">
        <f>ROUNDUP(L898+(L898*Assumptions!L$5),-2)</f>
        <v>9600</v>
      </c>
      <c r="N898" s="9">
        <f>ROUNDUP(M898+(M898*Assumptions!M$5),-2)</f>
        <v>9900</v>
      </c>
      <c r="O898" s="9">
        <f>ROUNDUP(N898+(N898*Assumptions!N$5),-2)</f>
        <v>10200</v>
      </c>
      <c r="P898" s="9">
        <f>ROUNDUP(O898+(O898*Assumptions!O$5),-2)</f>
        <v>10500</v>
      </c>
      <c r="Q898" s="9">
        <f>ROUNDUP(P898+(P898*Assumptions!P$5),-2)</f>
        <v>10800</v>
      </c>
      <c r="R898" s="9">
        <f>ROUNDUP(Q898+(Q898*Assumptions!Q$5),-2)</f>
        <v>11100</v>
      </c>
      <c r="S898" s="47">
        <f>ROUNDUP(R898+(R898*Assumptions!R$5),-2)</f>
        <v>11400</v>
      </c>
    </row>
    <row r="899" spans="1:19" x14ac:dyDescent="0.2">
      <c r="A899" s="54">
        <v>0</v>
      </c>
      <c r="B899" s="9">
        <v>0</v>
      </c>
      <c r="C899" s="9">
        <v>4600</v>
      </c>
      <c r="D899" s="46">
        <v>4900</v>
      </c>
      <c r="E899" s="9">
        <v>0</v>
      </c>
      <c r="F899" s="773" t="s">
        <v>4380</v>
      </c>
      <c r="G899" s="661" t="s">
        <v>4381</v>
      </c>
      <c r="H899" s="9">
        <v>0</v>
      </c>
      <c r="I899" s="85">
        <f t="shared" si="902"/>
        <v>0</v>
      </c>
      <c r="J899" s="9">
        <f>ROUNDUP(H899+(H899*Assumptions!I$5),-2)</f>
        <v>0</v>
      </c>
      <c r="K899" s="9">
        <f>ROUNDUP(J899+(J899*Assumptions!J$5),-2)</f>
        <v>0</v>
      </c>
      <c r="L899" s="9">
        <f>ROUNDUP(K899+(K899*Assumptions!K$5),-2)</f>
        <v>0</v>
      </c>
      <c r="M899" s="9">
        <f>ROUNDUP(L899+(L899*Assumptions!L$5),-2)</f>
        <v>0</v>
      </c>
      <c r="N899" s="9">
        <f>ROUNDUP(M899+(M899*Assumptions!M$5),-2)</f>
        <v>0</v>
      </c>
      <c r="O899" s="9">
        <f>ROUNDUP(N899+(N899*Assumptions!N$5),-2)</f>
        <v>0</v>
      </c>
      <c r="P899" s="9">
        <f>ROUNDUP(O899+(O899*Assumptions!O$5),-2)</f>
        <v>0</v>
      </c>
      <c r="Q899" s="9">
        <f>ROUNDUP(P899+(P899*Assumptions!P$5),-2)</f>
        <v>0</v>
      </c>
      <c r="R899" s="9">
        <f>ROUNDUP(Q899+(Q899*Assumptions!Q$5),-2)</f>
        <v>0</v>
      </c>
      <c r="S899" s="47">
        <f>ROUNDUP(R899+(R899*Assumptions!R$5),-2)</f>
        <v>0</v>
      </c>
    </row>
    <row r="900" spans="1:19" x14ac:dyDescent="0.2">
      <c r="A900" s="54">
        <v>17700</v>
      </c>
      <c r="B900" s="9">
        <v>19800</v>
      </c>
      <c r="C900" s="9">
        <v>17200</v>
      </c>
      <c r="D900" s="46">
        <v>15800</v>
      </c>
      <c r="E900" s="9">
        <v>15300</v>
      </c>
      <c r="F900" s="167" t="s">
        <v>2466</v>
      </c>
      <c r="G900" s="385" t="s">
        <v>1840</v>
      </c>
      <c r="H900" s="9">
        <f>16700-2500-4200</f>
        <v>10000</v>
      </c>
      <c r="I900" s="85">
        <f t="shared" si="902"/>
        <v>-34.640522875816991</v>
      </c>
      <c r="J900" s="9">
        <f>ROUNDUP(H900+(H900*Assumptions!I$5),-2)</f>
        <v>10300</v>
      </c>
      <c r="K900" s="9">
        <f>ROUNDUP(J900+(J900*Assumptions!J$5),-2)</f>
        <v>10600</v>
      </c>
      <c r="L900" s="9">
        <f>ROUNDUP(K900+(K900*Assumptions!K$5),-2)</f>
        <v>10900</v>
      </c>
      <c r="M900" s="9">
        <f>ROUNDUP(L900+(L900*Assumptions!L$5),-2)</f>
        <v>11200</v>
      </c>
      <c r="N900" s="9">
        <f>ROUNDUP(M900+(M900*Assumptions!M$5),-2)</f>
        <v>11500</v>
      </c>
      <c r="O900" s="9">
        <f>ROUNDUP(N900+(N900*Assumptions!N$5),-2)</f>
        <v>11800</v>
      </c>
      <c r="P900" s="9">
        <f>ROUNDUP(O900+(O900*Assumptions!O$5),-2)</f>
        <v>12100</v>
      </c>
      <c r="Q900" s="9">
        <f>ROUNDUP(P900+(P900*Assumptions!P$5),-2)</f>
        <v>12500</v>
      </c>
      <c r="R900" s="9">
        <f>ROUNDUP(Q900+(Q900*Assumptions!Q$5),-2)</f>
        <v>12900</v>
      </c>
      <c r="S900" s="47">
        <f>ROUNDUP(R900+(R900*Assumptions!R$5),-2)</f>
        <v>13300</v>
      </c>
    </row>
    <row r="901" spans="1:19" x14ac:dyDescent="0.2">
      <c r="A901" s="54">
        <v>9700</v>
      </c>
      <c r="B901" s="9">
        <v>10400</v>
      </c>
      <c r="C901" s="9">
        <v>11000</v>
      </c>
      <c r="D901" s="46">
        <v>11100</v>
      </c>
      <c r="E901" s="9">
        <v>12300</v>
      </c>
      <c r="F901" s="773" t="s">
        <v>2962</v>
      </c>
      <c r="G901" s="385" t="s">
        <v>2368</v>
      </c>
      <c r="H901" s="9">
        <f>11000+1500+3000</f>
        <v>15500</v>
      </c>
      <c r="I901" s="85">
        <f t="shared" si="902"/>
        <v>26.016260162601629</v>
      </c>
      <c r="J901" s="9">
        <f>ROUNDUP(H901+(H901*Assumptions!I$5),-2)</f>
        <v>15900</v>
      </c>
      <c r="K901" s="9">
        <f>ROUNDUP(J901+(J901*Assumptions!J$5),-2)</f>
        <v>16300</v>
      </c>
      <c r="L901" s="9">
        <f>ROUNDUP(K901+(K901*Assumptions!K$5),-2)</f>
        <v>16800</v>
      </c>
      <c r="M901" s="9">
        <f>ROUNDUP(L901+(L901*Assumptions!L$5),-2)</f>
        <v>17300</v>
      </c>
      <c r="N901" s="9">
        <f>ROUNDUP(M901+(M901*Assumptions!M$5),-2)</f>
        <v>17800</v>
      </c>
      <c r="O901" s="9">
        <f>ROUNDUP(N901+(N901*Assumptions!N$5),-2)</f>
        <v>18300</v>
      </c>
      <c r="P901" s="9">
        <f>ROUNDUP(O901+(O901*Assumptions!O$5),-2)</f>
        <v>18800</v>
      </c>
      <c r="Q901" s="9">
        <f>ROUNDUP(P901+(P901*Assumptions!P$5),-2)</f>
        <v>19300</v>
      </c>
      <c r="R901" s="9">
        <f>ROUNDUP(Q901+(Q901*Assumptions!Q$5),-2)</f>
        <v>19800</v>
      </c>
      <c r="S901" s="47">
        <f>ROUNDUP(R901+(R901*Assumptions!R$5),-2)</f>
        <v>20300</v>
      </c>
    </row>
    <row r="902" spans="1:19" x14ac:dyDescent="0.2">
      <c r="A902" s="54">
        <v>10400</v>
      </c>
      <c r="B902" s="9">
        <v>9900</v>
      </c>
      <c r="C902" s="9">
        <v>11700</v>
      </c>
      <c r="D902" s="46">
        <v>30100</v>
      </c>
      <c r="E902" s="9">
        <v>23000</v>
      </c>
      <c r="F902" s="167" t="s">
        <v>2556</v>
      </c>
      <c r="G902" s="385" t="s">
        <v>2619</v>
      </c>
      <c r="H902" s="9">
        <f>10200+14800</f>
        <v>25000</v>
      </c>
      <c r="I902" s="85">
        <f t="shared" si="902"/>
        <v>8.695652173913043</v>
      </c>
      <c r="J902" s="9">
        <f>ROUNDUP(H902+(H902*Assumptions!I$5),-2)</f>
        <v>25600</v>
      </c>
      <c r="K902" s="9">
        <f>ROUNDUP(J902+(J902*Assumptions!J$5),-2)</f>
        <v>26300</v>
      </c>
      <c r="L902" s="9">
        <f>ROUNDUP(K902+(K902*Assumptions!K$5),-2)</f>
        <v>27000</v>
      </c>
      <c r="M902" s="9">
        <f>ROUNDUP(L902+(L902*Assumptions!L$5),-2)</f>
        <v>27700</v>
      </c>
      <c r="N902" s="9">
        <f>ROUNDUP(M902+(M902*Assumptions!M$5),-2)</f>
        <v>28400</v>
      </c>
      <c r="O902" s="9">
        <f>ROUNDUP(N902+(N902*Assumptions!N$5),-2)</f>
        <v>29200</v>
      </c>
      <c r="P902" s="9">
        <f>ROUNDUP(O902+(O902*Assumptions!O$5),-2)</f>
        <v>30000</v>
      </c>
      <c r="Q902" s="9">
        <f>ROUNDUP(P902+(P902*Assumptions!P$5),-2)</f>
        <v>30800</v>
      </c>
      <c r="R902" s="9">
        <f>ROUNDUP(Q902+(Q902*Assumptions!Q$5),-2)</f>
        <v>31600</v>
      </c>
      <c r="S902" s="47">
        <f>ROUNDUP(R902+(R902*Assumptions!R$5),-2)</f>
        <v>32400</v>
      </c>
    </row>
    <row r="903" spans="1:19" x14ac:dyDescent="0.2">
      <c r="A903" s="54">
        <v>23800</v>
      </c>
      <c r="B903" s="9">
        <v>6700</v>
      </c>
      <c r="C903" s="9">
        <v>6400</v>
      </c>
      <c r="D903" s="46">
        <v>12700</v>
      </c>
      <c r="E903" s="9">
        <v>9600</v>
      </c>
      <c r="F903" s="167" t="s">
        <v>2554</v>
      </c>
      <c r="G903" s="661" t="s">
        <v>3698</v>
      </c>
      <c r="H903" s="9">
        <f>10400-400</f>
        <v>10000</v>
      </c>
      <c r="I903" s="85">
        <f t="shared" si="902"/>
        <v>4.1666666666666661</v>
      </c>
      <c r="J903" s="9">
        <f>ROUNDUP(H903+(H903*Assumptions!I$5),-2)</f>
        <v>10300</v>
      </c>
      <c r="K903" s="9">
        <f>ROUNDUP(J903+(J903*Assumptions!J$5),-2)</f>
        <v>10600</v>
      </c>
      <c r="L903" s="9">
        <f>ROUNDUP(K903+(K903*Assumptions!K$5),-2)</f>
        <v>10900</v>
      </c>
      <c r="M903" s="9">
        <f>ROUNDUP(L903+(L903*Assumptions!L$5),-2)</f>
        <v>11200</v>
      </c>
      <c r="N903" s="9">
        <f>ROUNDUP(M903+(M903*Assumptions!M$5),-2)</f>
        <v>11500</v>
      </c>
      <c r="O903" s="9">
        <f>ROUNDUP(N903+(N903*Assumptions!N$5),-2)</f>
        <v>11800</v>
      </c>
      <c r="P903" s="9">
        <f>ROUNDUP(O903+(O903*Assumptions!O$5),-2)</f>
        <v>12100</v>
      </c>
      <c r="Q903" s="9">
        <f>ROUNDUP(P903+(P903*Assumptions!P$5),-2)</f>
        <v>12500</v>
      </c>
      <c r="R903" s="9">
        <f>ROUNDUP(Q903+(Q903*Assumptions!Q$5),-2)</f>
        <v>12900</v>
      </c>
      <c r="S903" s="47">
        <f>ROUNDUP(R903+(R903*Assumptions!R$5),-2)</f>
        <v>13300</v>
      </c>
    </row>
    <row r="904" spans="1:19" x14ac:dyDescent="0.2">
      <c r="A904" s="54">
        <v>6500</v>
      </c>
      <c r="B904" s="9">
        <v>6200</v>
      </c>
      <c r="C904" s="9">
        <v>5600</v>
      </c>
      <c r="D904" s="46">
        <v>7700</v>
      </c>
      <c r="E904" s="9">
        <v>8000</v>
      </c>
      <c r="F904" s="167" t="s">
        <v>2555</v>
      </c>
      <c r="G904" s="385" t="s">
        <v>2618</v>
      </c>
      <c r="H904" s="9">
        <v>9400</v>
      </c>
      <c r="I904" s="85">
        <f t="shared" si="902"/>
        <v>17.5</v>
      </c>
      <c r="J904" s="9">
        <f>ROUNDUP(H904+(H904*Assumptions!I$5),-2)</f>
        <v>9700</v>
      </c>
      <c r="K904" s="9">
        <f>ROUNDUP(J904+(J904*Assumptions!J$5),-2)</f>
        <v>10000</v>
      </c>
      <c r="L904" s="9">
        <f>ROUNDUP(K904+(K904*Assumptions!K$5),-2)</f>
        <v>10300</v>
      </c>
      <c r="M904" s="9">
        <f>ROUNDUP(L904+(L904*Assumptions!L$5),-2)</f>
        <v>10600</v>
      </c>
      <c r="N904" s="9">
        <f>ROUNDUP(M904+(M904*Assumptions!M$5),-2)</f>
        <v>10900</v>
      </c>
      <c r="O904" s="9">
        <f>ROUNDUP(N904+(N904*Assumptions!N$5),-2)</f>
        <v>11200</v>
      </c>
      <c r="P904" s="9">
        <f>ROUNDUP(O904+(O904*Assumptions!O$5),-2)</f>
        <v>11500</v>
      </c>
      <c r="Q904" s="9">
        <f>ROUNDUP(P904+(P904*Assumptions!P$5),-2)</f>
        <v>11800</v>
      </c>
      <c r="R904" s="9">
        <f>ROUNDUP(Q904+(Q904*Assumptions!Q$5),-2)</f>
        <v>12100</v>
      </c>
      <c r="S904" s="47">
        <f>ROUNDUP(R904+(R904*Assumptions!R$5),-2)</f>
        <v>12500</v>
      </c>
    </row>
    <row r="905" spans="1:19" x14ac:dyDescent="0.2">
      <c r="A905" s="54">
        <v>5600</v>
      </c>
      <c r="B905" s="9">
        <v>3000</v>
      </c>
      <c r="C905" s="9">
        <v>1200</v>
      </c>
      <c r="D905" s="46">
        <v>6100</v>
      </c>
      <c r="E905" s="9">
        <v>0</v>
      </c>
      <c r="F905" s="167" t="s">
        <v>2446</v>
      </c>
      <c r="G905" s="661" t="s">
        <v>3699</v>
      </c>
      <c r="H905" s="9">
        <f>9400-400-4200</f>
        <v>4800</v>
      </c>
      <c r="I905" s="85">
        <f t="shared" si="902"/>
        <v>100</v>
      </c>
      <c r="J905" s="9">
        <f>ROUNDUP(H905+(H905*Assumptions!I$5),-2)</f>
        <v>5000</v>
      </c>
      <c r="K905" s="9">
        <f>ROUNDUP(J905+(J905*Assumptions!J$5),-2)</f>
        <v>5200</v>
      </c>
      <c r="L905" s="9">
        <f>ROUNDUP(K905+(K905*Assumptions!K$5),-2)</f>
        <v>5400</v>
      </c>
      <c r="M905" s="9">
        <f>ROUNDUP(L905+(L905*Assumptions!L$5),-2)</f>
        <v>5600</v>
      </c>
      <c r="N905" s="9">
        <f>ROUNDUP(M905+(M905*Assumptions!M$5),-2)</f>
        <v>5800</v>
      </c>
      <c r="O905" s="9">
        <f>ROUNDUP(N905+(N905*Assumptions!N$5),-2)</f>
        <v>6000</v>
      </c>
      <c r="P905" s="9">
        <f>ROUNDUP(O905+(O905*Assumptions!O$5),-2)</f>
        <v>6200</v>
      </c>
      <c r="Q905" s="9">
        <f>ROUNDUP(P905+(P905*Assumptions!P$5),-2)</f>
        <v>6400</v>
      </c>
      <c r="R905" s="9">
        <f>ROUNDUP(Q905+(Q905*Assumptions!Q$5),-2)</f>
        <v>6600</v>
      </c>
      <c r="S905" s="47">
        <f>ROUNDUP(R905+(R905*Assumptions!R$5),-2)</f>
        <v>6800</v>
      </c>
    </row>
    <row r="906" spans="1:19" x14ac:dyDescent="0.2">
      <c r="A906" s="54">
        <v>1700</v>
      </c>
      <c r="B906" s="9">
        <v>1900</v>
      </c>
      <c r="C906" s="9">
        <v>1500</v>
      </c>
      <c r="D906" s="46">
        <v>1400</v>
      </c>
      <c r="E906" s="9">
        <v>1400</v>
      </c>
      <c r="F906" s="773" t="s">
        <v>2988</v>
      </c>
      <c r="G906" s="661" t="s">
        <v>3018</v>
      </c>
      <c r="H906" s="9">
        <f>1800-500-500</f>
        <v>800</v>
      </c>
      <c r="I906" s="85">
        <f t="shared" si="902"/>
        <v>-42.857142857142854</v>
      </c>
      <c r="J906" s="9">
        <f>ROUNDUP(H906+(H906*Assumptions!I$5),-2)</f>
        <v>900</v>
      </c>
      <c r="K906" s="9">
        <f>ROUNDUP(J906+(J906*Assumptions!J$5),-2)</f>
        <v>1000</v>
      </c>
      <c r="L906" s="9">
        <f>ROUNDUP(K906+(K906*Assumptions!K$5),-2)</f>
        <v>1100</v>
      </c>
      <c r="M906" s="9">
        <f>ROUNDUP(L906+(L906*Assumptions!L$5),-2)</f>
        <v>1200</v>
      </c>
      <c r="N906" s="9">
        <f>ROUNDUP(M906+(M906*Assumptions!M$5),-2)</f>
        <v>1300</v>
      </c>
      <c r="O906" s="9">
        <f>ROUNDUP(N906+(N906*Assumptions!N$5),-2)</f>
        <v>1400</v>
      </c>
      <c r="P906" s="9">
        <f>ROUNDUP(O906+(O906*Assumptions!O$5),-2)</f>
        <v>1500</v>
      </c>
      <c r="Q906" s="9">
        <f>ROUNDUP(P906+(P906*Assumptions!P$5),-2)</f>
        <v>1600</v>
      </c>
      <c r="R906" s="9">
        <f>ROUNDUP(Q906+(Q906*Assumptions!Q$5),-2)</f>
        <v>1700</v>
      </c>
      <c r="S906" s="47">
        <f>ROUNDUP(R906+(R906*Assumptions!R$5),-2)</f>
        <v>1800</v>
      </c>
    </row>
    <row r="907" spans="1:19" x14ac:dyDescent="0.2">
      <c r="A907" s="54">
        <v>4200</v>
      </c>
      <c r="B907" s="9">
        <v>11500</v>
      </c>
      <c r="C907" s="9">
        <v>8300</v>
      </c>
      <c r="D907" s="46">
        <v>8800</v>
      </c>
      <c r="E907" s="9">
        <v>300</v>
      </c>
      <c r="F907" s="167" t="s">
        <v>2553</v>
      </c>
      <c r="G907" s="661" t="s">
        <v>4551</v>
      </c>
      <c r="H907" s="9">
        <v>10100</v>
      </c>
      <c r="I907" s="85">
        <f t="shared" si="902"/>
        <v>3266.6666666666665</v>
      </c>
      <c r="J907" s="9">
        <f>ROUNDUP(H907+(H907*Assumptions!I$5),-2)</f>
        <v>10400</v>
      </c>
      <c r="K907" s="9">
        <f>ROUNDUP(J907+(J907*Assumptions!J$5),-2)</f>
        <v>10700</v>
      </c>
      <c r="L907" s="9">
        <f>ROUNDUP(K907+(K907*Assumptions!K$5),-2)</f>
        <v>11000</v>
      </c>
      <c r="M907" s="9">
        <f>ROUNDUP(L907+(L907*Assumptions!L$5),-2)</f>
        <v>11300</v>
      </c>
      <c r="N907" s="9">
        <f>ROUNDUP(M907+(M907*Assumptions!M$5),-2)</f>
        <v>11600</v>
      </c>
      <c r="O907" s="9">
        <f>ROUNDUP(N907+(N907*Assumptions!N$5),-2)</f>
        <v>11900</v>
      </c>
      <c r="P907" s="9">
        <f>ROUNDUP(O907+(O907*Assumptions!O$5),-2)</f>
        <v>12200</v>
      </c>
      <c r="Q907" s="9">
        <f>ROUNDUP(P907+(P907*Assumptions!P$5),-2)</f>
        <v>12600</v>
      </c>
      <c r="R907" s="9">
        <f>ROUNDUP(Q907+(Q907*Assumptions!Q$5),-2)</f>
        <v>13000</v>
      </c>
      <c r="S907" s="47">
        <f>ROUNDUP(R907+(R907*Assumptions!R$5),-2)</f>
        <v>13400</v>
      </c>
    </row>
    <row r="908" spans="1:19" x14ac:dyDescent="0.2">
      <c r="A908" s="54">
        <v>27100</v>
      </c>
      <c r="B908" s="9">
        <v>4300</v>
      </c>
      <c r="C908" s="9">
        <v>9100</v>
      </c>
      <c r="D908" s="46">
        <v>11500</v>
      </c>
      <c r="E908" s="9">
        <v>12300</v>
      </c>
      <c r="F908" s="773" t="s">
        <v>3363</v>
      </c>
      <c r="G908" s="661" t="s">
        <v>3498</v>
      </c>
      <c r="H908" s="9">
        <f>9200+2300+3000+2500</f>
        <v>17000</v>
      </c>
      <c r="I908" s="85">
        <f t="shared" si="902"/>
        <v>38.211382113821138</v>
      </c>
      <c r="J908" s="9">
        <f>ROUNDUP(H908+(H908*Assumptions!I$5),-2)</f>
        <v>17400</v>
      </c>
      <c r="K908" s="9">
        <f>ROUNDUP(J908+(J908*Assumptions!J$5),-2)</f>
        <v>17900</v>
      </c>
      <c r="L908" s="9">
        <f>ROUNDUP(K908+(K908*Assumptions!K$5),-2)</f>
        <v>18400</v>
      </c>
      <c r="M908" s="9">
        <f>ROUNDUP(L908+(L908*Assumptions!L$5),-2)</f>
        <v>18900</v>
      </c>
      <c r="N908" s="9">
        <f>ROUNDUP(M908+(M908*Assumptions!M$5),-2)</f>
        <v>19400</v>
      </c>
      <c r="O908" s="9">
        <f>ROUNDUP(N908+(N908*Assumptions!N$5),-2)</f>
        <v>19900</v>
      </c>
      <c r="P908" s="9">
        <f>ROUNDUP(O908+(O908*Assumptions!O$5),-2)</f>
        <v>20400</v>
      </c>
      <c r="Q908" s="9">
        <f>ROUNDUP(P908+(P908*Assumptions!P$5),-2)</f>
        <v>21000</v>
      </c>
      <c r="R908" s="9">
        <f>ROUNDUP(Q908+(Q908*Assumptions!Q$5),-2)</f>
        <v>21600</v>
      </c>
      <c r="S908" s="47">
        <f>ROUNDUP(R908+(R908*Assumptions!R$5),-2)</f>
        <v>22200</v>
      </c>
    </row>
    <row r="909" spans="1:19" x14ac:dyDescent="0.2">
      <c r="A909" s="54"/>
      <c r="B909" s="9"/>
      <c r="C909" s="9"/>
      <c r="E909" s="9"/>
      <c r="F909" s="239"/>
      <c r="G909" s="419" t="s">
        <v>1093</v>
      </c>
      <c r="H909" s="9"/>
      <c r="I909" s="85"/>
      <c r="J909" s="9"/>
      <c r="K909" s="9"/>
      <c r="L909" s="9"/>
      <c r="M909" s="9"/>
      <c r="N909" s="9"/>
      <c r="O909" s="9"/>
      <c r="P909" s="9"/>
      <c r="Q909" s="9"/>
      <c r="R909" s="9"/>
      <c r="S909" s="47"/>
    </row>
    <row r="910" spans="1:19" x14ac:dyDescent="0.2">
      <c r="A910" s="54">
        <v>13200</v>
      </c>
      <c r="B910" s="9">
        <v>13600</v>
      </c>
      <c r="C910" s="9">
        <f>14000-2000</f>
        <v>12000</v>
      </c>
      <c r="D910" s="46">
        <v>11800</v>
      </c>
      <c r="E910" s="9">
        <v>12400</v>
      </c>
      <c r="F910" s="167" t="s">
        <v>2464</v>
      </c>
      <c r="G910" s="385" t="s">
        <v>2426</v>
      </c>
      <c r="H910" s="9">
        <f>18400-3500-6000</f>
        <v>8900</v>
      </c>
      <c r="I910" s="85">
        <f t="shared" ref="I910:I918" si="903">IF(E910=H910,0,IF(E910=0,100,(H910-E910)/E910*100))</f>
        <v>-28.225806451612907</v>
      </c>
      <c r="J910" s="9">
        <f>ROUNDUP(H910+(H910*Assumptions!I$5),-2)</f>
        <v>9200</v>
      </c>
      <c r="K910" s="9">
        <f>ROUNDUP(J910+(J910*Assumptions!J$5),-2)</f>
        <v>9500</v>
      </c>
      <c r="L910" s="9">
        <f>ROUNDUP(K910+(K910*Assumptions!K$5),-2)</f>
        <v>9800</v>
      </c>
      <c r="M910" s="9">
        <f>ROUNDUP(L910+(L910*Assumptions!L$5),-2)</f>
        <v>10100</v>
      </c>
      <c r="N910" s="9">
        <f>ROUNDUP(M910+(M910*Assumptions!M$5),-2)</f>
        <v>10400</v>
      </c>
      <c r="O910" s="9">
        <f>ROUNDUP(N910+(N910*Assumptions!N$5),-2)</f>
        <v>10700</v>
      </c>
      <c r="P910" s="9">
        <f>ROUNDUP(O910+(O910*Assumptions!O$5),-2)</f>
        <v>11000</v>
      </c>
      <c r="Q910" s="9">
        <f>ROUNDUP(P910+(P910*Assumptions!P$5),-2)</f>
        <v>11300</v>
      </c>
      <c r="R910" s="9">
        <f>ROUNDUP(Q910+(Q910*Assumptions!Q$5),-2)</f>
        <v>11600</v>
      </c>
      <c r="S910" s="47">
        <f>ROUNDUP(R910+(R910*Assumptions!R$5),-2)</f>
        <v>11900</v>
      </c>
    </row>
    <row r="911" spans="1:19" x14ac:dyDescent="0.2">
      <c r="A911" s="54">
        <v>17600</v>
      </c>
      <c r="B911" s="9">
        <v>26800</v>
      </c>
      <c r="C911" s="9">
        <v>28600</v>
      </c>
      <c r="D911" s="29">
        <v>33400</v>
      </c>
      <c r="E911" s="9">
        <v>31900</v>
      </c>
      <c r="F911" s="167" t="s">
        <v>1752</v>
      </c>
      <c r="G911" s="371" t="s">
        <v>298</v>
      </c>
      <c r="H911" s="9">
        <v>32200</v>
      </c>
      <c r="I911" s="85">
        <f t="shared" si="903"/>
        <v>0.94043887147335425</v>
      </c>
      <c r="J911" s="9">
        <f>ROUNDUP(H911+(H911*Assumptions!I$5),-2)</f>
        <v>33000</v>
      </c>
      <c r="K911" s="9">
        <f>ROUNDUP(J911+(J911*Assumptions!J$5),-2)</f>
        <v>33900</v>
      </c>
      <c r="L911" s="9">
        <f>ROUNDUP(K911+(K911*Assumptions!K$5),-2)</f>
        <v>34800</v>
      </c>
      <c r="M911" s="9">
        <f>ROUNDUP(L911+(L911*Assumptions!L$5),-2)</f>
        <v>35700</v>
      </c>
      <c r="N911" s="9">
        <f>ROUNDUP(M911+(M911*Assumptions!M$5),-2)</f>
        <v>36600</v>
      </c>
      <c r="O911" s="9">
        <f>ROUNDUP(N911+(N911*Assumptions!N$5),-2)</f>
        <v>37600</v>
      </c>
      <c r="P911" s="9">
        <f>ROUNDUP(O911+(O911*Assumptions!O$5),-2)</f>
        <v>38600</v>
      </c>
      <c r="Q911" s="9">
        <f>ROUNDUP(P911+(P911*Assumptions!P$5),-2)</f>
        <v>39600</v>
      </c>
      <c r="R911" s="9">
        <f>ROUNDUP(Q911+(Q911*Assumptions!Q$5),-2)</f>
        <v>40600</v>
      </c>
      <c r="S911" s="47">
        <f>ROUNDUP(R911+(R911*Assumptions!R$5),-2)</f>
        <v>41700</v>
      </c>
    </row>
    <row r="912" spans="1:19" x14ac:dyDescent="0.2">
      <c r="A912" s="54">
        <v>0</v>
      </c>
      <c r="B912" s="9">
        <v>0</v>
      </c>
      <c r="C912" s="9">
        <v>6400</v>
      </c>
      <c r="D912" s="9">
        <v>5700</v>
      </c>
      <c r="E912" s="9">
        <v>4000</v>
      </c>
      <c r="F912" s="770" t="s">
        <v>4939</v>
      </c>
      <c r="G912" s="662" t="s">
        <v>4940</v>
      </c>
      <c r="H912" s="9">
        <v>6300</v>
      </c>
      <c r="I912" s="85">
        <f t="shared" si="903"/>
        <v>57.499999999999993</v>
      </c>
      <c r="J912" s="9">
        <f>ROUNDUP(H912+(H912*Assumptions!I$5),-2)</f>
        <v>6500</v>
      </c>
      <c r="K912" s="9">
        <f>ROUNDUP(J912+(J912*Assumptions!J$5),-2)</f>
        <v>6700</v>
      </c>
      <c r="L912" s="9">
        <f>ROUNDUP(K912+(K912*Assumptions!K$5),-2)</f>
        <v>6900</v>
      </c>
      <c r="M912" s="9">
        <f>ROUNDUP(L912+(L912*Assumptions!L$5),-2)</f>
        <v>7100</v>
      </c>
      <c r="N912" s="9">
        <f>ROUNDUP(M912+(M912*Assumptions!M$5),-2)</f>
        <v>7300</v>
      </c>
      <c r="O912" s="9">
        <f>ROUNDUP(N912+(N912*Assumptions!N$5),-2)</f>
        <v>7500</v>
      </c>
      <c r="P912" s="9">
        <f>ROUNDUP(O912+(O912*Assumptions!O$5),-2)</f>
        <v>7700</v>
      </c>
      <c r="Q912" s="9">
        <f>ROUNDUP(P912+(P912*Assumptions!P$5),-2)</f>
        <v>7900</v>
      </c>
      <c r="R912" s="9">
        <f>ROUNDUP(Q912+(Q912*Assumptions!Q$5),-2)</f>
        <v>8100</v>
      </c>
      <c r="S912" s="47">
        <f>ROUNDUP(R912+(R912*Assumptions!R$5),-2)</f>
        <v>8400</v>
      </c>
    </row>
    <row r="913" spans="1:19" x14ac:dyDescent="0.2">
      <c r="A913" s="54">
        <v>54300</v>
      </c>
      <c r="B913" s="9">
        <v>24400</v>
      </c>
      <c r="C913" s="9">
        <v>18800</v>
      </c>
      <c r="D913" s="9">
        <v>16800</v>
      </c>
      <c r="E913" s="9">
        <v>22200</v>
      </c>
      <c r="F913" s="1153" t="s">
        <v>1834</v>
      </c>
      <c r="G913" s="662" t="s">
        <v>4552</v>
      </c>
      <c r="H913" s="9">
        <v>25900</v>
      </c>
      <c r="I913" s="85">
        <f t="shared" si="903"/>
        <v>16.666666666666664</v>
      </c>
      <c r="J913" s="9">
        <f>ROUNDUP(H913+(H913*Assumptions!I$5),-2)</f>
        <v>26500</v>
      </c>
      <c r="K913" s="9">
        <f>ROUNDUP(J913+(J913*Assumptions!J$5),-2)</f>
        <v>27200</v>
      </c>
      <c r="L913" s="9">
        <f>ROUNDUP(K913+(K913*Assumptions!K$5),-2)</f>
        <v>27900</v>
      </c>
      <c r="M913" s="9">
        <f>ROUNDUP(L913+(L913*Assumptions!L$5),-2)</f>
        <v>28600</v>
      </c>
      <c r="N913" s="9">
        <f>ROUNDUP(M913+(M913*Assumptions!M$5),-2)</f>
        <v>29400</v>
      </c>
      <c r="O913" s="9">
        <f>ROUNDUP(N913+(N913*Assumptions!N$5),-2)</f>
        <v>30200</v>
      </c>
      <c r="P913" s="9">
        <f>ROUNDUP(O913+(O913*Assumptions!O$5),-2)</f>
        <v>31000</v>
      </c>
      <c r="Q913" s="9">
        <f>ROUNDUP(P913+(P913*Assumptions!P$5),-2)</f>
        <v>31800</v>
      </c>
      <c r="R913" s="9">
        <f>ROUNDUP(Q913+(Q913*Assumptions!Q$5),-2)</f>
        <v>32600</v>
      </c>
      <c r="S913" s="47">
        <f>ROUNDUP(R913+(R913*Assumptions!R$5),-2)</f>
        <v>33500</v>
      </c>
    </row>
    <row r="914" spans="1:19" x14ac:dyDescent="0.2">
      <c r="A914" s="54">
        <v>4700</v>
      </c>
      <c r="B914" s="9">
        <v>6400</v>
      </c>
      <c r="C914" s="9">
        <f>5000-2000-3000</f>
        <v>0</v>
      </c>
      <c r="D914" s="9">
        <v>0</v>
      </c>
      <c r="E914" s="9">
        <v>0</v>
      </c>
      <c r="F914" s="770" t="s">
        <v>2973</v>
      </c>
      <c r="G914" s="662" t="s">
        <v>3700</v>
      </c>
      <c r="H914" s="9">
        <v>0</v>
      </c>
      <c r="I914" s="85">
        <f t="shared" si="903"/>
        <v>0</v>
      </c>
      <c r="J914" s="9">
        <f>ROUNDUP(H914+(H914*Assumptions!I$5),-2)</f>
        <v>0</v>
      </c>
      <c r="K914" s="9">
        <f>ROUNDUP(J914+(J914*Assumptions!J$5),-2)</f>
        <v>0</v>
      </c>
      <c r="L914" s="9">
        <f>ROUNDUP(K914+(K914*Assumptions!K$5),-2)</f>
        <v>0</v>
      </c>
      <c r="M914" s="9">
        <f>ROUNDUP(L914+(L914*Assumptions!L$5),-2)</f>
        <v>0</v>
      </c>
      <c r="N914" s="9">
        <f>ROUNDUP(M914+(M914*Assumptions!M$5),-2)</f>
        <v>0</v>
      </c>
      <c r="O914" s="9">
        <f>ROUNDUP(N914+(N914*Assumptions!N$5),-2)</f>
        <v>0</v>
      </c>
      <c r="P914" s="9">
        <f>ROUNDUP(O914+(O914*Assumptions!O$5),-2)</f>
        <v>0</v>
      </c>
      <c r="Q914" s="9">
        <f>ROUNDUP(P914+(P914*Assumptions!P$5),-2)</f>
        <v>0</v>
      </c>
      <c r="R914" s="9">
        <f>ROUNDUP(Q914+(Q914*Assumptions!Q$5),-2)</f>
        <v>0</v>
      </c>
      <c r="S914" s="47">
        <f>ROUNDUP(R914+(R914*Assumptions!R$5),-2)</f>
        <v>0</v>
      </c>
    </row>
    <row r="915" spans="1:19" x14ac:dyDescent="0.2">
      <c r="A915" s="54">
        <v>14400</v>
      </c>
      <c r="B915" s="9">
        <f>21300+400+100+2000</f>
        <v>23800</v>
      </c>
      <c r="C915" s="9">
        <v>16300</v>
      </c>
      <c r="D915" s="9">
        <v>7300</v>
      </c>
      <c r="E915" s="9">
        <v>21400</v>
      </c>
      <c r="F915" s="1153" t="s">
        <v>1835</v>
      </c>
      <c r="G915" s="662" t="s">
        <v>3701</v>
      </c>
      <c r="H915" s="9">
        <v>9400</v>
      </c>
      <c r="I915" s="85">
        <f t="shared" si="903"/>
        <v>-56.074766355140184</v>
      </c>
      <c r="J915" s="9">
        <f>ROUNDUP(H915+(H915*Assumptions!I$5),-2)</f>
        <v>9700</v>
      </c>
      <c r="K915" s="9">
        <f>ROUNDUP(J915+(J915*Assumptions!J$5),-2)</f>
        <v>10000</v>
      </c>
      <c r="L915" s="9">
        <f>ROUNDUP(K915+(K915*Assumptions!K$5),-2)</f>
        <v>10300</v>
      </c>
      <c r="M915" s="9">
        <f>ROUNDUP(L915+(L915*Assumptions!L$5),-2)</f>
        <v>10600</v>
      </c>
      <c r="N915" s="9">
        <f>ROUNDUP(M915+(M915*Assumptions!M$5),-2)</f>
        <v>10900</v>
      </c>
      <c r="O915" s="9">
        <f>ROUNDUP(N915+(N915*Assumptions!N$5),-2)</f>
        <v>11200</v>
      </c>
      <c r="P915" s="9">
        <f>ROUNDUP(O915+(O915*Assumptions!O$5),-2)</f>
        <v>11500</v>
      </c>
      <c r="Q915" s="9">
        <f>ROUNDUP(P915+(P915*Assumptions!P$5),-2)</f>
        <v>11800</v>
      </c>
      <c r="R915" s="9">
        <f>ROUNDUP(Q915+(Q915*Assumptions!Q$5),-2)</f>
        <v>12100</v>
      </c>
      <c r="S915" s="47">
        <f>ROUNDUP(R915+(R915*Assumptions!R$5),-2)</f>
        <v>12500</v>
      </c>
    </row>
    <row r="916" spans="1:19" x14ac:dyDescent="0.2">
      <c r="A916" s="54">
        <v>38300</v>
      </c>
      <c r="B916" s="9">
        <v>29900</v>
      </c>
      <c r="C916" s="9">
        <v>16700</v>
      </c>
      <c r="D916" s="9">
        <v>43500</v>
      </c>
      <c r="E916" s="9">
        <v>17100</v>
      </c>
      <c r="F916" s="1153" t="s">
        <v>1818</v>
      </c>
      <c r="G916" s="371" t="s">
        <v>1001</v>
      </c>
      <c r="H916" s="9">
        <v>41500</v>
      </c>
      <c r="I916" s="85">
        <f t="shared" si="903"/>
        <v>142.69005847953215</v>
      </c>
      <c r="J916" s="9">
        <f>ROUNDUP(H916+(H916*Assumptions!I$5),-2)</f>
        <v>42500</v>
      </c>
      <c r="K916" s="9">
        <f>ROUNDUP(J916+(J916*Assumptions!J$5),-2)</f>
        <v>43600</v>
      </c>
      <c r="L916" s="9">
        <f>ROUNDUP(K916+(K916*Assumptions!K$5),-2)</f>
        <v>44700</v>
      </c>
      <c r="M916" s="9">
        <f>ROUNDUP(L916+(L916*Assumptions!L$5),-2)</f>
        <v>45900</v>
      </c>
      <c r="N916" s="9">
        <f>ROUNDUP(M916+(M916*Assumptions!M$5),-2)</f>
        <v>47100</v>
      </c>
      <c r="O916" s="9">
        <f>ROUNDUP(N916+(N916*Assumptions!N$5),-2)</f>
        <v>48300</v>
      </c>
      <c r="P916" s="9">
        <f>ROUNDUP(O916+(O916*Assumptions!O$5),-2)</f>
        <v>49600</v>
      </c>
      <c r="Q916" s="9">
        <f>ROUNDUP(P916+(P916*Assumptions!P$5),-2)</f>
        <v>50900</v>
      </c>
      <c r="R916" s="9">
        <f>ROUNDUP(Q916+(Q916*Assumptions!Q$5),-2)</f>
        <v>52200</v>
      </c>
      <c r="S916" s="47">
        <f>ROUNDUP(R916+(R916*Assumptions!R$5),-2)</f>
        <v>53600</v>
      </c>
    </row>
    <row r="917" spans="1:19" x14ac:dyDescent="0.2">
      <c r="A917" s="54">
        <v>6600</v>
      </c>
      <c r="B917" s="9">
        <v>15800</v>
      </c>
      <c r="C917" s="9">
        <v>0</v>
      </c>
      <c r="D917" s="9">
        <v>0</v>
      </c>
      <c r="E917" s="9">
        <v>0</v>
      </c>
      <c r="F917" s="770" t="s">
        <v>2972</v>
      </c>
      <c r="G917" s="662" t="s">
        <v>4112</v>
      </c>
      <c r="H917" s="9">
        <v>0</v>
      </c>
      <c r="I917" s="85">
        <f t="shared" si="903"/>
        <v>0</v>
      </c>
      <c r="J917" s="9">
        <f>ROUNDUP(H917+(H917*Assumptions!I$5),-2)</f>
        <v>0</v>
      </c>
      <c r="K917" s="9">
        <f>ROUNDUP(J917+(J917*Assumptions!J$5),-2)</f>
        <v>0</v>
      </c>
      <c r="L917" s="9">
        <f>ROUNDUP(K917+(K917*Assumptions!K$5),-2)</f>
        <v>0</v>
      </c>
      <c r="M917" s="9">
        <f>ROUNDUP(L917+(L917*Assumptions!L$5),-2)</f>
        <v>0</v>
      </c>
      <c r="N917" s="9">
        <f>ROUNDUP(M917+(M917*Assumptions!M$5),-2)</f>
        <v>0</v>
      </c>
      <c r="O917" s="9">
        <f>ROUNDUP(N917+(N917*Assumptions!N$5),-2)</f>
        <v>0</v>
      </c>
      <c r="P917" s="9">
        <f>ROUNDUP(O917+(O917*Assumptions!O$5),-2)</f>
        <v>0</v>
      </c>
      <c r="Q917" s="9">
        <f>ROUNDUP(P917+(P917*Assumptions!P$5),-2)</f>
        <v>0</v>
      </c>
      <c r="R917" s="9">
        <f>ROUNDUP(Q917+(Q917*Assumptions!Q$5),-2)</f>
        <v>0</v>
      </c>
      <c r="S917" s="47">
        <f>ROUNDUP(R917+(R917*Assumptions!R$5),-2)</f>
        <v>0</v>
      </c>
    </row>
    <row r="918" spans="1:19" x14ac:dyDescent="0.2">
      <c r="A918" s="54">
        <v>15600</v>
      </c>
      <c r="B918" s="9">
        <v>16500</v>
      </c>
      <c r="C918" s="9">
        <v>0</v>
      </c>
      <c r="D918" s="9">
        <v>0</v>
      </c>
      <c r="E918" s="9">
        <v>1500</v>
      </c>
      <c r="F918" s="770" t="s">
        <v>3162</v>
      </c>
      <c r="G918" s="662" t="s">
        <v>4113</v>
      </c>
      <c r="H918" s="9">
        <v>0</v>
      </c>
      <c r="I918" s="85">
        <f t="shared" si="903"/>
        <v>-100</v>
      </c>
      <c r="J918" s="9">
        <f>ROUNDUP(H918+(H918*Assumptions!I$5),-2)</f>
        <v>0</v>
      </c>
      <c r="K918" s="9">
        <f>ROUNDUP(J918+(J918*Assumptions!J$5),-2)</f>
        <v>0</v>
      </c>
      <c r="L918" s="9">
        <f>ROUNDUP(K918+(K918*Assumptions!K$5),-2)</f>
        <v>0</v>
      </c>
      <c r="M918" s="9">
        <f>ROUNDUP(L918+(L918*Assumptions!L$5),-2)</f>
        <v>0</v>
      </c>
      <c r="N918" s="9">
        <f>ROUNDUP(M918+(M918*Assumptions!M$5),-2)</f>
        <v>0</v>
      </c>
      <c r="O918" s="9">
        <f>ROUNDUP(N918+(N918*Assumptions!N$5),-2)</f>
        <v>0</v>
      </c>
      <c r="P918" s="9">
        <f>ROUNDUP(O918+(O918*Assumptions!O$5),-2)</f>
        <v>0</v>
      </c>
      <c r="Q918" s="9">
        <f>ROUNDUP(P918+(P918*Assumptions!P$5),-2)</f>
        <v>0</v>
      </c>
      <c r="R918" s="9">
        <f>ROUNDUP(Q918+(Q918*Assumptions!Q$5),-2)</f>
        <v>0</v>
      </c>
      <c r="S918" s="47">
        <f>ROUNDUP(R918+(R918*Assumptions!R$5),-2)</f>
        <v>0</v>
      </c>
    </row>
    <row r="919" spans="1:19" x14ac:dyDescent="0.2">
      <c r="A919" s="54"/>
      <c r="B919" s="9"/>
      <c r="C919" s="9"/>
      <c r="D919" s="9"/>
      <c r="E919" s="9"/>
      <c r="F919" s="1153"/>
      <c r="G919" s="320" t="s">
        <v>853</v>
      </c>
      <c r="H919" s="9"/>
      <c r="I919" s="85"/>
      <c r="J919" s="9"/>
      <c r="K919" s="9"/>
      <c r="L919" s="9"/>
      <c r="M919" s="9"/>
      <c r="N919" s="9"/>
      <c r="O919" s="9"/>
      <c r="P919" s="9"/>
      <c r="Q919" s="9"/>
      <c r="R919" s="9"/>
      <c r="S919" s="47"/>
    </row>
    <row r="920" spans="1:19" x14ac:dyDescent="0.2">
      <c r="A920" s="54">
        <v>3800</v>
      </c>
      <c r="B920" s="9">
        <v>4200</v>
      </c>
      <c r="C920" s="9">
        <v>1900</v>
      </c>
      <c r="D920" s="9">
        <v>1800</v>
      </c>
      <c r="E920" s="9">
        <v>1600</v>
      </c>
      <c r="F920" s="1153" t="s">
        <v>2465</v>
      </c>
      <c r="G920" s="371" t="s">
        <v>2726</v>
      </c>
      <c r="H920" s="9">
        <f>4900-500-3500</f>
        <v>900</v>
      </c>
      <c r="I920" s="85">
        <f>IF(E920=H920,0,IF(E920=0,100,(H920-E920)/E920*100))</f>
        <v>-43.75</v>
      </c>
      <c r="J920" s="9">
        <f>ROUNDUP(H920+(H920*Assumptions!I$5),-2)</f>
        <v>1000</v>
      </c>
      <c r="K920" s="9">
        <f>ROUNDUP(J920+(J920*Assumptions!J$5),-2)</f>
        <v>1100</v>
      </c>
      <c r="L920" s="9">
        <f>ROUNDUP(K920+(K920*Assumptions!K$5),-2)</f>
        <v>1200</v>
      </c>
      <c r="M920" s="9">
        <f>ROUNDUP(L920+(L920*Assumptions!L$5),-2)</f>
        <v>1300</v>
      </c>
      <c r="N920" s="9">
        <f>ROUNDUP(M920+(M920*Assumptions!M$5),-2)</f>
        <v>1400</v>
      </c>
      <c r="O920" s="9">
        <f>ROUNDUP(N920+(N920*Assumptions!N$5),-2)</f>
        <v>1500</v>
      </c>
      <c r="P920" s="9">
        <f>ROUNDUP(O920+(O920*Assumptions!O$5),-2)</f>
        <v>1600</v>
      </c>
      <c r="Q920" s="9">
        <f>ROUNDUP(P920+(P920*Assumptions!P$5),-2)</f>
        <v>1700</v>
      </c>
      <c r="R920" s="9">
        <f>ROUNDUP(Q920+(Q920*Assumptions!Q$5),-2)</f>
        <v>1800</v>
      </c>
      <c r="S920" s="47">
        <f>ROUNDUP(R920+(R920*Assumptions!R$5),-2)</f>
        <v>1900</v>
      </c>
    </row>
    <row r="921" spans="1:19" x14ac:dyDescent="0.2">
      <c r="A921" s="54">
        <v>24500</v>
      </c>
      <c r="B921" s="9">
        <v>34700</v>
      </c>
      <c r="C921" s="9">
        <v>11300</v>
      </c>
      <c r="D921" s="9">
        <v>4700</v>
      </c>
      <c r="E921" s="9">
        <v>5700</v>
      </c>
      <c r="F921" s="1153" t="s">
        <v>1753</v>
      </c>
      <c r="G921" s="662" t="s">
        <v>3702</v>
      </c>
      <c r="H921" s="9">
        <v>22900</v>
      </c>
      <c r="I921" s="85">
        <f>IF(E921=H921,0,IF(E921=0,100,(H921-E921)/E921*100))</f>
        <v>301.75438596491227</v>
      </c>
      <c r="J921" s="9">
        <f>ROUNDUP(H921+(H921*Assumptions!I$5),-2)</f>
        <v>23500</v>
      </c>
      <c r="K921" s="9">
        <f>ROUNDUP(J921+(J921*Assumptions!J$5),-2)</f>
        <v>24100</v>
      </c>
      <c r="L921" s="9">
        <f>ROUNDUP(K921+(K921*Assumptions!K$5),-2)</f>
        <v>24800</v>
      </c>
      <c r="M921" s="9">
        <f>ROUNDUP(L921+(L921*Assumptions!L$5),-2)</f>
        <v>25500</v>
      </c>
      <c r="N921" s="9">
        <f>ROUNDUP(M921+(M921*Assumptions!M$5),-2)</f>
        <v>26200</v>
      </c>
      <c r="O921" s="9">
        <f>ROUNDUP(N921+(N921*Assumptions!N$5),-2)</f>
        <v>26900</v>
      </c>
      <c r="P921" s="9">
        <f>ROUNDUP(O921+(O921*Assumptions!O$5),-2)</f>
        <v>27600</v>
      </c>
      <c r="Q921" s="9">
        <f>ROUNDUP(P921+(P921*Assumptions!P$5),-2)</f>
        <v>28300</v>
      </c>
      <c r="R921" s="9">
        <f>ROUNDUP(Q921+(Q921*Assumptions!Q$5),-2)</f>
        <v>29100</v>
      </c>
      <c r="S921" s="47">
        <f>ROUNDUP(R921+(R921*Assumptions!R$5),-2)</f>
        <v>29900</v>
      </c>
    </row>
    <row r="922" spans="1:19" x14ac:dyDescent="0.2">
      <c r="A922" s="54">
        <v>19500</v>
      </c>
      <c r="B922" s="9">
        <v>19200</v>
      </c>
      <c r="C922" s="9">
        <v>15700</v>
      </c>
      <c r="D922" s="9">
        <v>15500</v>
      </c>
      <c r="E922" s="9">
        <v>20200</v>
      </c>
      <c r="F922" s="1153" t="s">
        <v>1755</v>
      </c>
      <c r="G922" s="385" t="s">
        <v>2727</v>
      </c>
      <c r="H922" s="9">
        <v>22900</v>
      </c>
      <c r="I922" s="85">
        <f>IF(E922=H922,0,IF(E922=0,100,(H922-E922)/E922*100))</f>
        <v>13.366336633663368</v>
      </c>
      <c r="J922" s="9">
        <f>ROUNDUP(H922+(H922*Assumptions!I$5),-2)</f>
        <v>23500</v>
      </c>
      <c r="K922" s="9">
        <f>ROUNDUP(J922+(J922*Assumptions!J$5),-2)</f>
        <v>24100</v>
      </c>
      <c r="L922" s="9">
        <f>ROUNDUP(K922+(K922*Assumptions!K$5),-2)</f>
        <v>24800</v>
      </c>
      <c r="M922" s="9">
        <f>ROUNDUP(L922+(L922*Assumptions!L$5),-2)</f>
        <v>25500</v>
      </c>
      <c r="N922" s="9">
        <f>ROUNDUP(M922+(M922*Assumptions!M$5),-2)</f>
        <v>26200</v>
      </c>
      <c r="O922" s="9">
        <f>ROUNDUP(N922+(N922*Assumptions!N$5),-2)</f>
        <v>26900</v>
      </c>
      <c r="P922" s="9">
        <f>ROUNDUP(O922+(O922*Assumptions!O$5),-2)</f>
        <v>27600</v>
      </c>
      <c r="Q922" s="9">
        <f>ROUNDUP(P922+(P922*Assumptions!P$5),-2)</f>
        <v>28300</v>
      </c>
      <c r="R922" s="9">
        <f>ROUNDUP(Q922+(Q922*Assumptions!Q$5),-2)</f>
        <v>29100</v>
      </c>
      <c r="S922" s="47">
        <f>ROUNDUP(R922+(R922*Assumptions!R$5),-2)</f>
        <v>29900</v>
      </c>
    </row>
    <row r="923" spans="1:19" x14ac:dyDescent="0.2">
      <c r="A923" s="54">
        <v>600</v>
      </c>
      <c r="B923" s="9">
        <v>900</v>
      </c>
      <c r="C923" s="9">
        <v>300</v>
      </c>
      <c r="D923" s="9">
        <v>300</v>
      </c>
      <c r="E923" s="9">
        <f>400+6600</f>
        <v>7000</v>
      </c>
      <c r="F923" s="1153" t="s">
        <v>1754</v>
      </c>
      <c r="G923" s="371" t="s">
        <v>2520</v>
      </c>
      <c r="H923" s="9">
        <v>1200</v>
      </c>
      <c r="I923" s="85">
        <f>IF(E923=H923,0,IF(E923=0,100,(H923-E923)/E923*100))</f>
        <v>-82.857142857142861</v>
      </c>
      <c r="J923" s="9">
        <f>ROUNDUP(H923+(H923*Assumptions!I$5),-2)</f>
        <v>1300</v>
      </c>
      <c r="K923" s="9">
        <f>ROUNDUP(J923+(J923*Assumptions!J$5),-2)</f>
        <v>1400</v>
      </c>
      <c r="L923" s="9">
        <f>ROUNDUP(K923+(K923*Assumptions!K$5),-2)</f>
        <v>1500</v>
      </c>
      <c r="M923" s="9">
        <f>ROUNDUP(L923+(L923*Assumptions!L$5),-2)</f>
        <v>1600</v>
      </c>
      <c r="N923" s="9">
        <f>ROUNDUP(M923+(M923*Assumptions!M$5),-2)</f>
        <v>1700</v>
      </c>
      <c r="O923" s="9">
        <f>ROUNDUP(N923+(N923*Assumptions!N$5),-2)</f>
        <v>1800</v>
      </c>
      <c r="P923" s="9">
        <f>ROUNDUP(O923+(O923*Assumptions!O$5),-2)</f>
        <v>1900</v>
      </c>
      <c r="Q923" s="9">
        <f>ROUNDUP(P923+(P923*Assumptions!P$5),-2)</f>
        <v>2000</v>
      </c>
      <c r="R923" s="9">
        <f>ROUNDUP(Q923+(Q923*Assumptions!Q$5),-2)</f>
        <v>2100</v>
      </c>
      <c r="S923" s="47">
        <f>ROUNDUP(R923+(R923*Assumptions!R$5),-2)</f>
        <v>2200</v>
      </c>
    </row>
    <row r="924" spans="1:19" x14ac:dyDescent="0.2">
      <c r="A924" s="54"/>
      <c r="B924" s="9"/>
      <c r="C924" s="9"/>
      <c r="D924" s="9"/>
      <c r="E924" s="9"/>
      <c r="F924" s="240"/>
      <c r="G924" s="21" t="s">
        <v>2728</v>
      </c>
      <c r="H924" s="9"/>
      <c r="I924" s="85"/>
      <c r="J924" s="9"/>
      <c r="K924" s="9"/>
      <c r="L924" s="9"/>
      <c r="M924" s="9"/>
      <c r="N924" s="9"/>
      <c r="O924" s="9"/>
      <c r="P924" s="9"/>
      <c r="Q924" s="9"/>
      <c r="R924" s="9"/>
      <c r="S924" s="47"/>
    </row>
    <row r="925" spans="1:19" x14ac:dyDescent="0.2">
      <c r="A925" s="54">
        <v>0</v>
      </c>
      <c r="B925" s="9">
        <v>8300</v>
      </c>
      <c r="C925" s="9">
        <v>8300</v>
      </c>
      <c r="D925" s="9">
        <v>8200</v>
      </c>
      <c r="E925" s="9">
        <v>8300</v>
      </c>
      <c r="F925" s="770" t="s">
        <v>3475</v>
      </c>
      <c r="G925" s="661" t="s">
        <v>3477</v>
      </c>
      <c r="H925" s="9">
        <v>8400</v>
      </c>
      <c r="I925" s="85">
        <f t="shared" ref="I925:I931" si="904">IF(E925=H925,0,IF(E925=0,100,(H925-E925)/E925*100))</f>
        <v>1.2048192771084338</v>
      </c>
      <c r="J925" s="9">
        <f>ROUNDUP(H925+(H925*Assumptions!I$5),-2)</f>
        <v>8600</v>
      </c>
      <c r="K925" s="9">
        <f>ROUNDUP(J925+(J925*Assumptions!J$5),-2)</f>
        <v>8900</v>
      </c>
      <c r="L925" s="9">
        <f>ROUNDUP(K925+(K925*Assumptions!K$5),-2)</f>
        <v>9200</v>
      </c>
      <c r="M925" s="9">
        <f>ROUNDUP(L925+(L925*Assumptions!L$5),-2)</f>
        <v>9500</v>
      </c>
      <c r="N925" s="9">
        <f>ROUNDUP(M925+(M925*Assumptions!M$5),-2)</f>
        <v>9800</v>
      </c>
      <c r="O925" s="9">
        <f>ROUNDUP(N925+(N925*Assumptions!N$5),-2)</f>
        <v>10100</v>
      </c>
      <c r="P925" s="9">
        <f>ROUNDUP(O925+(O925*Assumptions!O$5),-2)</f>
        <v>10400</v>
      </c>
      <c r="Q925" s="9">
        <f>ROUNDUP(P925+(P925*Assumptions!P$5),-2)</f>
        <v>10700</v>
      </c>
      <c r="R925" s="9">
        <f>ROUNDUP(Q925+(Q925*Assumptions!Q$5),-2)</f>
        <v>11000</v>
      </c>
      <c r="S925" s="47">
        <f>ROUNDUP(R925+(R925*Assumptions!R$5),-2)</f>
        <v>11300</v>
      </c>
    </row>
    <row r="926" spans="1:19" x14ac:dyDescent="0.2">
      <c r="A926" s="54">
        <v>0</v>
      </c>
      <c r="B926" s="9">
        <v>21100</v>
      </c>
      <c r="C926" s="9">
        <v>21100</v>
      </c>
      <c r="D926" s="9">
        <v>21100</v>
      </c>
      <c r="E926" s="9">
        <v>21100</v>
      </c>
      <c r="F926" s="770" t="s">
        <v>3476</v>
      </c>
      <c r="G926" s="661" t="s">
        <v>4657</v>
      </c>
      <c r="H926" s="9">
        <v>22400</v>
      </c>
      <c r="I926" s="85">
        <f t="shared" si="904"/>
        <v>6.1611374407582939</v>
      </c>
      <c r="J926" s="9">
        <f>ROUNDUP(H926+(H926*Assumptions!I$5),-2)</f>
        <v>23000</v>
      </c>
      <c r="K926" s="9">
        <f>ROUNDUP(J926+(J926*Assumptions!J$5),-2)</f>
        <v>23600</v>
      </c>
      <c r="L926" s="9">
        <f>ROUNDUP(K926+(K926*Assumptions!K$5),-2)</f>
        <v>24200</v>
      </c>
      <c r="M926" s="9">
        <f>ROUNDUP(L926+(L926*Assumptions!L$5),-2)</f>
        <v>24900</v>
      </c>
      <c r="N926" s="9">
        <f>ROUNDUP(M926+(M926*Assumptions!M$5),-2)</f>
        <v>25600</v>
      </c>
      <c r="O926" s="9">
        <f>ROUNDUP(N926+(N926*Assumptions!N$5),-2)</f>
        <v>26300</v>
      </c>
      <c r="P926" s="9">
        <f>ROUNDUP(O926+(O926*Assumptions!O$5),-2)</f>
        <v>27000</v>
      </c>
      <c r="Q926" s="9">
        <f>ROUNDUP(P926+(P926*Assumptions!P$5),-2)</f>
        <v>27700</v>
      </c>
      <c r="R926" s="9">
        <f>ROUNDUP(Q926+(Q926*Assumptions!Q$5),-2)</f>
        <v>28400</v>
      </c>
      <c r="S926" s="47">
        <f>ROUNDUP(R926+(R926*Assumptions!R$5),-2)</f>
        <v>29200</v>
      </c>
    </row>
    <row r="927" spans="1:19" x14ac:dyDescent="0.2">
      <c r="A927" s="54">
        <v>17900</v>
      </c>
      <c r="B927" s="9">
        <v>18400</v>
      </c>
      <c r="C927" s="9">
        <v>18900</v>
      </c>
      <c r="D927" s="9">
        <v>19300</v>
      </c>
      <c r="E927" s="9">
        <v>19500</v>
      </c>
      <c r="F927" s="1153" t="s">
        <v>15</v>
      </c>
      <c r="G927" s="385" t="s">
        <v>1151</v>
      </c>
      <c r="H927" s="9">
        <v>20300</v>
      </c>
      <c r="I927" s="85">
        <f t="shared" si="904"/>
        <v>4.1025641025641022</v>
      </c>
      <c r="J927" s="9">
        <v>21000</v>
      </c>
      <c r="K927" s="9">
        <f>ROUNDUP(J927+(J927*Assumptions!J$5),-2)</f>
        <v>21600</v>
      </c>
      <c r="L927" s="9">
        <f>ROUNDUP(K927+(K927*Assumptions!K$5),-2)</f>
        <v>22200</v>
      </c>
      <c r="M927" s="9">
        <f>ROUNDUP(L927+(L927*Assumptions!L$5),-2)</f>
        <v>22800</v>
      </c>
      <c r="N927" s="9">
        <f>ROUNDUP(M927+(M927*Assumptions!M$5),-2)</f>
        <v>23400</v>
      </c>
      <c r="O927" s="9">
        <f>ROUNDUP(N927+(N927*Assumptions!N$5),-2)</f>
        <v>24000</v>
      </c>
      <c r="P927" s="9">
        <f>ROUNDUP(O927+(O927*Assumptions!O$5),-2)</f>
        <v>24600</v>
      </c>
      <c r="Q927" s="9">
        <f>ROUNDUP(P927+(P927*Assumptions!P$5),-2)</f>
        <v>25300</v>
      </c>
      <c r="R927" s="9">
        <f>ROUNDUP(Q927+(Q927*Assumptions!Q$5),-2)</f>
        <v>26000</v>
      </c>
      <c r="S927" s="47">
        <f>ROUNDUP(R927+(R927*Assumptions!R$5),-2)</f>
        <v>26700</v>
      </c>
    </row>
    <row r="928" spans="1:19" x14ac:dyDescent="0.2">
      <c r="A928" s="54">
        <v>16500</v>
      </c>
      <c r="B928" s="9">
        <v>7200</v>
      </c>
      <c r="C928" s="9">
        <v>5100</v>
      </c>
      <c r="D928" s="9">
        <v>8000</v>
      </c>
      <c r="E928" s="9">
        <v>7200</v>
      </c>
      <c r="F928" s="1153" t="s">
        <v>1162</v>
      </c>
      <c r="G928" s="661" t="s">
        <v>4548</v>
      </c>
      <c r="H928" s="9">
        <v>7200</v>
      </c>
      <c r="I928" s="85">
        <f t="shared" si="904"/>
        <v>0</v>
      </c>
      <c r="J928" s="9">
        <v>7400</v>
      </c>
      <c r="K928" s="9">
        <f>ROUNDUP(J928+(J928*Assumptions!J$5),-2)</f>
        <v>7600</v>
      </c>
      <c r="L928" s="9">
        <f>ROUNDUP(K928+(K928*Assumptions!K$5),-2)</f>
        <v>7800</v>
      </c>
      <c r="M928" s="9">
        <f>ROUNDUP(L928+(L928*Assumptions!L$5),-2)</f>
        <v>8000</v>
      </c>
      <c r="N928" s="9">
        <f>ROUNDUP(M928+(M928*Assumptions!M$5),-2)</f>
        <v>8200</v>
      </c>
      <c r="O928" s="9">
        <f>ROUNDUP(N928+(N928*Assumptions!N$5),-2)</f>
        <v>8500</v>
      </c>
      <c r="P928" s="9">
        <f>ROUNDUP(O928+(O928*Assumptions!O$5),-2)</f>
        <v>8800</v>
      </c>
      <c r="Q928" s="9">
        <f>ROUNDUP(P928+(P928*Assumptions!P$5),-2)</f>
        <v>9100</v>
      </c>
      <c r="R928" s="9">
        <f>ROUNDUP(Q928+(Q928*Assumptions!Q$5),-2)</f>
        <v>9400</v>
      </c>
      <c r="S928" s="47">
        <f>ROUNDUP(R928+(R928*Assumptions!R$5),-2)</f>
        <v>9700</v>
      </c>
    </row>
    <row r="929" spans="1:23" x14ac:dyDescent="0.2">
      <c r="A929" s="54">
        <v>400</v>
      </c>
      <c r="B929" s="9">
        <v>3700</v>
      </c>
      <c r="C929" s="9">
        <v>1300</v>
      </c>
      <c r="D929" s="9">
        <v>300</v>
      </c>
      <c r="E929" s="9">
        <v>0</v>
      </c>
      <c r="F929" s="1153" t="s">
        <v>1163</v>
      </c>
      <c r="G929" s="661" t="s">
        <v>4549</v>
      </c>
      <c r="H929" s="9">
        <v>3100</v>
      </c>
      <c r="I929" s="85">
        <f t="shared" si="904"/>
        <v>100</v>
      </c>
      <c r="J929" s="9">
        <v>3200</v>
      </c>
      <c r="K929" s="9">
        <f>ROUNDUP(J929+(J929*Assumptions!J$5),-2)</f>
        <v>3300</v>
      </c>
      <c r="L929" s="9">
        <f>ROUNDUP(K929+(K929*Assumptions!K$5),-2)</f>
        <v>3400</v>
      </c>
      <c r="M929" s="9">
        <f>ROUNDUP(L929+(L929*Assumptions!L$5),-2)</f>
        <v>3500</v>
      </c>
      <c r="N929" s="9">
        <f>ROUNDUP(M929+(M929*Assumptions!M$5),-2)</f>
        <v>3600</v>
      </c>
      <c r="O929" s="9">
        <f>ROUNDUP(N929+(N929*Assumptions!N$5),-2)</f>
        <v>3700</v>
      </c>
      <c r="P929" s="9">
        <f>ROUNDUP(O929+(O929*Assumptions!O$5),-2)</f>
        <v>3800</v>
      </c>
      <c r="Q929" s="9">
        <f>ROUNDUP(P929+(P929*Assumptions!P$5),-2)</f>
        <v>3900</v>
      </c>
      <c r="R929" s="9">
        <f>ROUNDUP(Q929+(Q929*Assumptions!Q$5),-2)</f>
        <v>4000</v>
      </c>
      <c r="S929" s="47">
        <f>ROUNDUP(R929+(R929*Assumptions!R$5),-2)</f>
        <v>4100</v>
      </c>
    </row>
    <row r="930" spans="1:23" x14ac:dyDescent="0.2">
      <c r="A930" s="54">
        <v>500</v>
      </c>
      <c r="B930" s="9">
        <v>200</v>
      </c>
      <c r="C930" s="9">
        <v>2000</v>
      </c>
      <c r="D930" s="9">
        <v>2000</v>
      </c>
      <c r="E930" s="9">
        <v>1500</v>
      </c>
      <c r="F930" s="1153" t="s">
        <v>2599</v>
      </c>
      <c r="G930" s="662" t="s">
        <v>4550</v>
      </c>
      <c r="H930" s="9">
        <v>3100</v>
      </c>
      <c r="I930" s="85">
        <f t="shared" si="904"/>
        <v>106.66666666666667</v>
      </c>
      <c r="J930" s="9">
        <v>3200</v>
      </c>
      <c r="K930" s="9">
        <f>ROUNDUP(J930+(J930*Assumptions!J$5),-2)</f>
        <v>3300</v>
      </c>
      <c r="L930" s="9">
        <f>ROUNDUP(K930+(K930*Assumptions!K$5),-2)</f>
        <v>3400</v>
      </c>
      <c r="M930" s="9">
        <f>ROUNDUP(L930+(L930*Assumptions!L$5),-2)</f>
        <v>3500</v>
      </c>
      <c r="N930" s="9">
        <f>ROUNDUP(M930+(M930*Assumptions!M$5),-2)</f>
        <v>3600</v>
      </c>
      <c r="O930" s="9">
        <f>ROUNDUP(N930+(N930*Assumptions!N$5),-2)</f>
        <v>3700</v>
      </c>
      <c r="P930" s="9">
        <f>ROUNDUP(O930+(O930*Assumptions!O$5),-2)</f>
        <v>3800</v>
      </c>
      <c r="Q930" s="9">
        <f>ROUNDUP(P930+(P930*Assumptions!P$5),-2)</f>
        <v>3900</v>
      </c>
      <c r="R930" s="9">
        <f>ROUNDUP(Q930+(Q930*Assumptions!Q$5),-2)</f>
        <v>4000</v>
      </c>
      <c r="S930" s="47">
        <f>ROUNDUP(R930+(R930*Assumptions!R$5),-2)</f>
        <v>4100</v>
      </c>
    </row>
    <row r="931" spans="1:23" x14ac:dyDescent="0.2">
      <c r="A931" s="54">
        <v>26400</v>
      </c>
      <c r="B931" s="9">
        <v>8700</v>
      </c>
      <c r="C931" s="9">
        <v>10200</v>
      </c>
      <c r="D931" s="9">
        <v>6400</v>
      </c>
      <c r="E931" s="9">
        <v>500</v>
      </c>
      <c r="F931" s="1153" t="s">
        <v>66</v>
      </c>
      <c r="G931" s="662" t="s">
        <v>3703</v>
      </c>
      <c r="H931" s="9">
        <v>6100</v>
      </c>
      <c r="I931" s="85">
        <f t="shared" si="904"/>
        <v>1120</v>
      </c>
      <c r="J931" s="9">
        <v>6000</v>
      </c>
      <c r="K931" s="9">
        <f>ROUNDUP(J931+(J931*Assumptions!J$5),-2)</f>
        <v>6200</v>
      </c>
      <c r="L931" s="9">
        <f>ROUNDUP(K931+(K931*Assumptions!K$5),-2)</f>
        <v>6400</v>
      </c>
      <c r="M931" s="9">
        <f>ROUNDUP(L931+(L931*Assumptions!L$5),-2)</f>
        <v>6600</v>
      </c>
      <c r="N931" s="9">
        <f>ROUNDUP(M931+(M931*Assumptions!M$5),-2)</f>
        <v>6800</v>
      </c>
      <c r="O931" s="9">
        <f>ROUNDUP(N931+(N931*Assumptions!N$5),-2)</f>
        <v>7000</v>
      </c>
      <c r="P931" s="9">
        <f>ROUNDUP(O931+(O931*Assumptions!O$5),-2)</f>
        <v>7200</v>
      </c>
      <c r="Q931" s="9">
        <f>ROUNDUP(P931+(P931*Assumptions!P$5),-2)</f>
        <v>7400</v>
      </c>
      <c r="R931" s="9">
        <f>ROUNDUP(Q931+(Q931*Assumptions!Q$5),-2)</f>
        <v>7600</v>
      </c>
      <c r="S931" s="47">
        <f>ROUNDUP(R931+(R931*Assumptions!R$5),-2)</f>
        <v>7800</v>
      </c>
    </row>
    <row r="932" spans="1:23" x14ac:dyDescent="0.2">
      <c r="A932" s="54"/>
      <c r="B932" s="9"/>
      <c r="C932" s="9"/>
      <c r="D932" s="9"/>
      <c r="E932" s="134"/>
      <c r="F932" s="1153"/>
      <c r="G932" s="27" t="s">
        <v>1636</v>
      </c>
      <c r="H932" s="9"/>
      <c r="I932" s="85"/>
      <c r="J932" s="9"/>
      <c r="K932" s="9"/>
      <c r="L932" s="9"/>
      <c r="M932" s="9"/>
      <c r="N932" s="9"/>
      <c r="O932" s="9"/>
      <c r="P932" s="9"/>
      <c r="Q932" s="9"/>
      <c r="R932" s="9"/>
      <c r="S932" s="47"/>
    </row>
    <row r="933" spans="1:23" x14ac:dyDescent="0.2">
      <c r="A933" s="54">
        <v>110000</v>
      </c>
      <c r="B933" s="9">
        <v>69000</v>
      </c>
      <c r="C933" s="9">
        <v>34000</v>
      </c>
      <c r="D933" s="9">
        <v>55000</v>
      </c>
      <c r="E933" s="134">
        <v>36000</v>
      </c>
      <c r="F933" s="1153" t="s">
        <v>592</v>
      </c>
      <c r="G933" s="46" t="s">
        <v>343</v>
      </c>
      <c r="H933" s="9">
        <v>40900</v>
      </c>
      <c r="I933" s="85">
        <f>IF(E933=H933,0,IF(E933=0,100,(H933-E933)/E933*100))</f>
        <v>13.611111111111111</v>
      </c>
      <c r="J933" s="9">
        <f>ROUND(H933*Assumptions!I$5+GM!H933,-2)</f>
        <v>41800</v>
      </c>
      <c r="K933" s="9">
        <f>ROUND(J933*Assumptions!J$5+GM!J933,-2)</f>
        <v>42800</v>
      </c>
      <c r="L933" s="9">
        <f>ROUND(K933*Assumptions!K$5+GM!K933,-2)</f>
        <v>43900</v>
      </c>
      <c r="M933" s="9">
        <f>ROUND(L933*Assumptions!L$5+GM!L933,-2)</f>
        <v>45000</v>
      </c>
      <c r="N933" s="9">
        <f>ROUND(M933*Assumptions!M$5+GM!M933,-2)</f>
        <v>46100</v>
      </c>
      <c r="O933" s="9">
        <f>ROUND(N933*Assumptions!N$5+GM!N933,-2)</f>
        <v>47300</v>
      </c>
      <c r="P933" s="9">
        <f>ROUND(O933*Assumptions!O$5+GM!O933,-2)</f>
        <v>48500</v>
      </c>
      <c r="Q933" s="9">
        <f>ROUND(P933*Assumptions!P$5+GM!P933,-2)</f>
        <v>49700</v>
      </c>
      <c r="R933" s="9">
        <f>ROUND(Q933*Assumptions!Q$5+GM!Q933,-2)</f>
        <v>50900</v>
      </c>
      <c r="S933" s="47">
        <f>ROUND(R933*Assumptions!R$5+GM!R933,-2)</f>
        <v>52200</v>
      </c>
    </row>
    <row r="934" spans="1:23" x14ac:dyDescent="0.2">
      <c r="A934" s="54">
        <v>75000</v>
      </c>
      <c r="B934" s="9">
        <v>66000</v>
      </c>
      <c r="C934" s="9">
        <v>32000</v>
      </c>
      <c r="D934" s="9">
        <v>35000</v>
      </c>
      <c r="E934" s="134">
        <v>33000</v>
      </c>
      <c r="F934" s="1153" t="s">
        <v>593</v>
      </c>
      <c r="G934" s="371" t="s">
        <v>1826</v>
      </c>
      <c r="H934" s="9">
        <v>37500</v>
      </c>
      <c r="I934" s="85">
        <f>IF(E934=H934,0,IF(E934=0,100,(H934-E934)/E934*100))</f>
        <v>13.636363636363635</v>
      </c>
      <c r="J934" s="9">
        <f>ROUND(H934*Assumptions!I$5+GM!H934,-2)</f>
        <v>38400</v>
      </c>
      <c r="K934" s="9">
        <f>ROUND(J934*Assumptions!J$5+GM!J934,-2)</f>
        <v>39400</v>
      </c>
      <c r="L934" s="9">
        <f>ROUND(K934*Assumptions!K$5+GM!K934,-2)</f>
        <v>40400</v>
      </c>
      <c r="M934" s="9">
        <f>ROUND(L934*Assumptions!L$5+GM!L934,-2)</f>
        <v>41400</v>
      </c>
      <c r="N934" s="9">
        <f>ROUND(M934*Assumptions!M$5+GM!M934,-2)</f>
        <v>42400</v>
      </c>
      <c r="O934" s="9">
        <f>ROUND(N934*Assumptions!N$5+GM!N934,-2)</f>
        <v>43500</v>
      </c>
      <c r="P934" s="9">
        <f>ROUND(O934*Assumptions!O$5+GM!O934,-2)</f>
        <v>44600</v>
      </c>
      <c r="Q934" s="9">
        <f>ROUND(P934*Assumptions!P$5+GM!P934,-2)</f>
        <v>45700</v>
      </c>
      <c r="R934" s="9">
        <f>ROUND(Q934*Assumptions!Q$5+GM!Q934,-2)</f>
        <v>46800</v>
      </c>
      <c r="S934" s="47">
        <f>ROUND(R934*Assumptions!R$5+GM!R934,-2)</f>
        <v>48000</v>
      </c>
    </row>
    <row r="935" spans="1:23" x14ac:dyDescent="0.2">
      <c r="A935" s="54">
        <v>0</v>
      </c>
      <c r="B935" s="9">
        <v>75000</v>
      </c>
      <c r="C935" s="9">
        <v>37000</v>
      </c>
      <c r="D935" s="9">
        <v>55000</v>
      </c>
      <c r="E935" s="134">
        <v>39000</v>
      </c>
      <c r="F935" s="770" t="s">
        <v>2990</v>
      </c>
      <c r="G935" s="662" t="s">
        <v>2989</v>
      </c>
      <c r="H935" s="9">
        <v>44300</v>
      </c>
      <c r="I935" s="85">
        <f>IF(E935=H935,0,IF(E935=0,100,(H935-E935)/E935*100))</f>
        <v>13.589743589743589</v>
      </c>
      <c r="J935" s="9">
        <f>ROUND(H935*Assumptions!I$5+GM!H935,-2)</f>
        <v>45300</v>
      </c>
      <c r="K935" s="9">
        <f>ROUND(J935*Assumptions!J$5+GM!J935,-2)</f>
        <v>46400</v>
      </c>
      <c r="L935" s="9">
        <f>ROUND(K935*Assumptions!K$5+GM!K935,-2)</f>
        <v>47600</v>
      </c>
      <c r="M935" s="9">
        <f>ROUND(L935*Assumptions!L$5+GM!L935,-2)</f>
        <v>48800</v>
      </c>
      <c r="N935" s="9">
        <v>0</v>
      </c>
      <c r="O935" s="9">
        <f>ROUND(N935*Assumptions!N$5+GM!N935,-2)</f>
        <v>0</v>
      </c>
      <c r="P935" s="9">
        <f>ROUND(O935*Assumptions!O$5+GM!O935,-2)</f>
        <v>0</v>
      </c>
      <c r="Q935" s="9">
        <f>ROUND(P935*Assumptions!P$5+GM!P935,-2)</f>
        <v>0</v>
      </c>
      <c r="R935" s="9">
        <f>ROUND(Q935*Assumptions!Q$5+GM!Q935,-2)</f>
        <v>0</v>
      </c>
      <c r="S935" s="47">
        <f>ROUND(R935*Assumptions!R$5+GM!R935,-2)</f>
        <v>0</v>
      </c>
    </row>
    <row r="936" spans="1:23" x14ac:dyDescent="0.2">
      <c r="A936" s="54">
        <v>140000</v>
      </c>
      <c r="B936" s="9">
        <v>152000</v>
      </c>
      <c r="C936" s="9">
        <v>75000</v>
      </c>
      <c r="D936" s="9">
        <v>85000</v>
      </c>
      <c r="E936" s="134">
        <v>77000</v>
      </c>
      <c r="F936" s="1153" t="s">
        <v>2557</v>
      </c>
      <c r="G936" s="371" t="s">
        <v>2362</v>
      </c>
      <c r="H936" s="9">
        <v>87300</v>
      </c>
      <c r="I936" s="85">
        <f>IF(E936=H936,0,IF(E936=0,100,(H936-E936)/E936*100))</f>
        <v>13.376623376623375</v>
      </c>
      <c r="J936" s="9">
        <f>ROUND(H936*Assumptions!I$5+GM!H936,-2)</f>
        <v>89300</v>
      </c>
      <c r="K936" s="9">
        <f>ROUND(J936*Assumptions!J$5+GM!J936,-2)</f>
        <v>91500</v>
      </c>
      <c r="L936" s="9">
        <f>ROUND(K936*Assumptions!K$5+GM!K936,-2)</f>
        <v>93800</v>
      </c>
      <c r="M936" s="9">
        <f>ROUND(L936*Assumptions!L$5+GM!L936,-2)</f>
        <v>96100</v>
      </c>
      <c r="N936" s="9">
        <f>ROUND(M936*Assumptions!M$5+GM!M936,-2)</f>
        <v>98500</v>
      </c>
      <c r="O936" s="9">
        <f>ROUND(N936*Assumptions!N$5+GM!N936,-2)</f>
        <v>101000</v>
      </c>
      <c r="P936" s="9">
        <f>ROUND(O936*Assumptions!O$5+GM!O936,-2)</f>
        <v>103500</v>
      </c>
      <c r="Q936" s="9">
        <f>ROUND(P936*Assumptions!P$5+GM!P936,-2)</f>
        <v>106100</v>
      </c>
      <c r="R936" s="9">
        <f>ROUND(Q936*Assumptions!Q$5+GM!Q936,-2)</f>
        <v>108800</v>
      </c>
      <c r="S936" s="47">
        <f>ROUND(R936*Assumptions!R$5+GM!R936,-2)</f>
        <v>111500</v>
      </c>
    </row>
    <row r="937" spans="1:23" x14ac:dyDescent="0.2">
      <c r="A937" s="54"/>
      <c r="B937" s="9"/>
      <c r="C937" s="9"/>
      <c r="D937" s="9"/>
      <c r="E937" s="134"/>
      <c r="F937" s="1153"/>
      <c r="G937" s="912" t="s">
        <v>261</v>
      </c>
      <c r="H937" s="9"/>
      <c r="I937" s="85"/>
      <c r="J937" s="9"/>
      <c r="K937" s="9"/>
      <c r="L937" s="9"/>
      <c r="M937" s="9"/>
      <c r="N937" s="9"/>
      <c r="O937" s="9"/>
      <c r="P937" s="9"/>
      <c r="Q937" s="9"/>
      <c r="R937" s="9"/>
      <c r="S937" s="47"/>
    </row>
    <row r="938" spans="1:23" ht="13.5" thickBot="1" x14ac:dyDescent="0.25">
      <c r="A938" s="54">
        <v>150900</v>
      </c>
      <c r="B938" s="9">
        <v>183800</v>
      </c>
      <c r="C938" s="9">
        <v>95100</v>
      </c>
      <c r="D938" s="9">
        <v>97800</v>
      </c>
      <c r="E938" s="134">
        <v>100400</v>
      </c>
      <c r="F938" s="770" t="s">
        <v>1105</v>
      </c>
      <c r="G938" s="79" t="s">
        <v>3663</v>
      </c>
      <c r="H938" s="9">
        <v>96900</v>
      </c>
      <c r="I938" s="85">
        <f>IF(E938=H938,0,IF(E938=0,100,(H938-E938)/E938*100))</f>
        <v>-3.4860557768924298</v>
      </c>
      <c r="J938" s="9">
        <v>102000</v>
      </c>
      <c r="K938" s="9">
        <f>ROUNDUP(J938+(J938*Assumptions!J$18),-2)</f>
        <v>104100</v>
      </c>
      <c r="L938" s="9">
        <f>ROUNDUP(K938+(K938*Assumptions!K$18),-2)</f>
        <v>106200</v>
      </c>
      <c r="M938" s="9">
        <f>ROUNDUP(L938+(L938*Assumptions!L$18),-2)</f>
        <v>108400</v>
      </c>
      <c r="N938" s="9">
        <f>ROUNDUP(M938+(M938*Assumptions!M$18),-2)</f>
        <v>110600</v>
      </c>
      <c r="O938" s="9">
        <f>ROUNDUP(N938+(N938*Assumptions!N$18),-2)</f>
        <v>112900</v>
      </c>
      <c r="P938" s="9">
        <f>ROUNDUP(O938+(O938*Assumptions!O$18),-2)</f>
        <v>115200</v>
      </c>
      <c r="Q938" s="9">
        <f>ROUNDUP(P938+(P938*Assumptions!P$18),-2)</f>
        <v>117600</v>
      </c>
      <c r="R938" s="9">
        <f>ROUNDUP(Q938+(Q938*Assumptions!Q$18),-2)</f>
        <v>120000</v>
      </c>
      <c r="S938" s="47">
        <f>ROUNDUP(R938+(R938*Assumptions!R$18),-2)</f>
        <v>122400</v>
      </c>
    </row>
    <row r="939" spans="1:23" s="39" customFormat="1" x14ac:dyDescent="0.2">
      <c r="A939" s="52">
        <f>SUM(A924:A938)+SUM(A867:A923)</f>
        <v>1623600</v>
      </c>
      <c r="B939" s="16">
        <f>SUM(B924:B938)+SUM(B867:B923)</f>
        <v>2617000</v>
      </c>
      <c r="C939" s="16">
        <f>SUM(C924:C938)+SUM(C867:C923)</f>
        <v>1841900</v>
      </c>
      <c r="D939" s="16">
        <f>SUM(D924:D938)+SUM(D867:D923)</f>
        <v>2697100</v>
      </c>
      <c r="E939" s="16">
        <f>SUM(E924:E938)+SUM(E867:E923)</f>
        <v>1499100</v>
      </c>
      <c r="F939" s="188"/>
      <c r="G939" s="59" t="s">
        <v>556</v>
      </c>
      <c r="H939" s="16">
        <f>SUM(H924:H938)+SUM(H867:H923)</f>
        <v>2219500</v>
      </c>
      <c r="I939" s="127">
        <f>IF(E939=H939,0,IF(E939=0,100,(H939-E939)/E939*100))</f>
        <v>48.05549996664665</v>
      </c>
      <c r="J939" s="16">
        <f t="shared" ref="J939:S939" si="905">SUM(J924:J938)+SUM(J867:J923)</f>
        <v>1303000</v>
      </c>
      <c r="K939" s="16">
        <f t="shared" si="905"/>
        <v>1335900</v>
      </c>
      <c r="L939" s="16">
        <f t="shared" si="905"/>
        <v>1370000</v>
      </c>
      <c r="M939" s="16">
        <f t="shared" si="905"/>
        <v>1404500</v>
      </c>
      <c r="N939" s="16">
        <f t="shared" si="905"/>
        <v>1339800</v>
      </c>
      <c r="O939" s="16">
        <f t="shared" si="905"/>
        <v>1373400</v>
      </c>
      <c r="P939" s="16">
        <f t="shared" si="905"/>
        <v>1407500</v>
      </c>
      <c r="Q939" s="16">
        <f t="shared" si="905"/>
        <v>1442600</v>
      </c>
      <c r="R939" s="16">
        <f t="shared" si="905"/>
        <v>1478500</v>
      </c>
      <c r="S939" s="2342">
        <f t="shared" si="905"/>
        <v>1515800</v>
      </c>
      <c r="U939" s="34"/>
      <c r="W939" s="34"/>
    </row>
    <row r="940" spans="1:23" x14ac:dyDescent="0.2">
      <c r="A940" s="54"/>
      <c r="B940" s="9"/>
      <c r="C940" s="9"/>
      <c r="D940" s="9"/>
      <c r="E940" s="9"/>
      <c r="F940" s="177"/>
      <c r="G940" s="55"/>
      <c r="H940" s="9"/>
      <c r="I940" s="85"/>
      <c r="J940" s="9"/>
      <c r="K940" s="9"/>
      <c r="L940" s="9"/>
      <c r="M940" s="9"/>
      <c r="N940" s="9"/>
      <c r="O940" s="9"/>
      <c r="P940" s="9"/>
      <c r="Q940" s="9"/>
      <c r="R940" s="9"/>
      <c r="S940" s="47"/>
    </row>
    <row r="941" spans="1:23" s="39" customFormat="1" x14ac:dyDescent="0.2">
      <c r="A941" s="24">
        <f>A864-A939</f>
        <v>2623100</v>
      </c>
      <c r="B941" s="21">
        <f>B864-B939</f>
        <v>340400</v>
      </c>
      <c r="C941" s="21">
        <f>C864-C939</f>
        <v>1110800</v>
      </c>
      <c r="D941" s="21">
        <f>D864-D939</f>
        <v>-547900</v>
      </c>
      <c r="E941" s="21">
        <f>E864-E939</f>
        <v>687300</v>
      </c>
      <c r="F941" s="188"/>
      <c r="G941" s="1161" t="s">
        <v>1002</v>
      </c>
      <c r="H941" s="21">
        <f>H864-H939</f>
        <v>-135900</v>
      </c>
      <c r="I941" s="126">
        <f>IF(E941=H941,0,IF(E941=0,100,(H941-E941)/E941*100))</f>
        <v>-119.77302487996508</v>
      </c>
      <c r="J941" s="21">
        <f t="shared" ref="J941:S941" si="906">J864-J939</f>
        <v>860000</v>
      </c>
      <c r="K941" s="21">
        <f t="shared" si="906"/>
        <v>877400</v>
      </c>
      <c r="L941" s="21">
        <f t="shared" si="906"/>
        <v>843500</v>
      </c>
      <c r="M941" s="21">
        <f t="shared" si="906"/>
        <v>867500</v>
      </c>
      <c r="N941" s="21">
        <f t="shared" si="906"/>
        <v>977500</v>
      </c>
      <c r="O941" s="21">
        <f t="shared" si="906"/>
        <v>997200</v>
      </c>
      <c r="P941" s="21">
        <f t="shared" si="906"/>
        <v>1004700</v>
      </c>
      <c r="Q941" s="21">
        <f t="shared" si="906"/>
        <v>1020200</v>
      </c>
      <c r="R941" s="21">
        <f t="shared" si="906"/>
        <v>1035800</v>
      </c>
      <c r="S941" s="86">
        <f t="shared" si="906"/>
        <v>1050200</v>
      </c>
      <c r="U941" s="34"/>
      <c r="W941" s="34"/>
    </row>
    <row r="942" spans="1:23" x14ac:dyDescent="0.2">
      <c r="A942" s="54">
        <f>A938</f>
        <v>150900</v>
      </c>
      <c r="B942" s="9">
        <f>B938</f>
        <v>183800</v>
      </c>
      <c r="C942" s="9">
        <f>C938</f>
        <v>95100</v>
      </c>
      <c r="D942" s="9">
        <f>D938</f>
        <v>97800</v>
      </c>
      <c r="E942" s="9">
        <f>E938</f>
        <v>100400</v>
      </c>
      <c r="F942" s="177"/>
      <c r="G942" s="217" t="s">
        <v>1943</v>
      </c>
      <c r="H942" s="9">
        <f>H938</f>
        <v>96900</v>
      </c>
      <c r="I942" s="584">
        <f>IF(E942=H942,0,IF(E942=0,100,(H942-E942)/E942*100))</f>
        <v>-3.4860557768924298</v>
      </c>
      <c r="J942" s="9">
        <f t="shared" ref="J942:S942" si="907">J938</f>
        <v>102000</v>
      </c>
      <c r="K942" s="9">
        <f t="shared" si="907"/>
        <v>104100</v>
      </c>
      <c r="L942" s="9">
        <f t="shared" si="907"/>
        <v>106200</v>
      </c>
      <c r="M942" s="9">
        <f t="shared" si="907"/>
        <v>108400</v>
      </c>
      <c r="N942" s="9">
        <f t="shared" si="907"/>
        <v>110600</v>
      </c>
      <c r="O942" s="9">
        <f t="shared" si="907"/>
        <v>112900</v>
      </c>
      <c r="P942" s="9">
        <f t="shared" si="907"/>
        <v>115200</v>
      </c>
      <c r="Q942" s="9">
        <f t="shared" si="907"/>
        <v>117600</v>
      </c>
      <c r="R942" s="9">
        <f t="shared" si="907"/>
        <v>120000</v>
      </c>
      <c r="S942" s="47">
        <f t="shared" si="907"/>
        <v>122400</v>
      </c>
    </row>
    <row r="943" spans="1:23" x14ac:dyDescent="0.2">
      <c r="A943" s="54">
        <f>-A862</f>
        <v>0</v>
      </c>
      <c r="B943" s="9">
        <f>-B862</f>
        <v>0</v>
      </c>
      <c r="C943" s="9">
        <f>-C862</f>
        <v>-460100</v>
      </c>
      <c r="D943" s="9">
        <f>-D862</f>
        <v>0</v>
      </c>
      <c r="E943" s="9">
        <f>-E862</f>
        <v>360400</v>
      </c>
      <c r="F943" s="177"/>
      <c r="G943" s="261" t="s">
        <v>5314</v>
      </c>
      <c r="H943" s="9">
        <f>-H862</f>
        <v>0</v>
      </c>
      <c r="I943" s="584">
        <f>IF(E943=H943,0,IF(E943=0,100,(H943-E943)/E943*100))</f>
        <v>-100</v>
      </c>
      <c r="J943" s="9">
        <f t="shared" ref="J943:S943" si="908">-J862</f>
        <v>0</v>
      </c>
      <c r="K943" s="9">
        <f t="shared" si="908"/>
        <v>0</v>
      </c>
      <c r="L943" s="9">
        <f t="shared" si="908"/>
        <v>0</v>
      </c>
      <c r="M943" s="9">
        <f t="shared" si="908"/>
        <v>0</v>
      </c>
      <c r="N943" s="9">
        <f t="shared" si="908"/>
        <v>0</v>
      </c>
      <c r="O943" s="9">
        <f t="shared" si="908"/>
        <v>0</v>
      </c>
      <c r="P943" s="9">
        <f t="shared" si="908"/>
        <v>0</v>
      </c>
      <c r="Q943" s="9">
        <f t="shared" si="908"/>
        <v>0</v>
      </c>
      <c r="R943" s="9">
        <f t="shared" si="908"/>
        <v>0</v>
      </c>
      <c r="S943" s="47">
        <f t="shared" si="908"/>
        <v>0</v>
      </c>
    </row>
    <row r="944" spans="1:23" x14ac:dyDescent="0.2">
      <c r="A944" s="54">
        <f>A885</f>
        <v>-164700</v>
      </c>
      <c r="B944" s="9">
        <f>B885</f>
        <v>-289900</v>
      </c>
      <c r="C944" s="9">
        <f>C885</f>
        <v>-725700</v>
      </c>
      <c r="D944" s="9">
        <f>D885</f>
        <v>319800</v>
      </c>
      <c r="E944" s="9">
        <f>E885</f>
        <v>-403100</v>
      </c>
      <c r="F944" s="177"/>
      <c r="G944" s="217" t="s">
        <v>5285</v>
      </c>
      <c r="H944" s="9">
        <f>H885</f>
        <v>0</v>
      </c>
      <c r="I944" s="584">
        <f>IF(E944=H944,0,IF(E944=0,100,(H944-E944)/E944*100))</f>
        <v>-100</v>
      </c>
      <c r="J944" s="9">
        <f t="shared" ref="J944:S944" si="909">J885</f>
        <v>0</v>
      </c>
      <c r="K944" s="9">
        <f t="shared" si="909"/>
        <v>0</v>
      </c>
      <c r="L944" s="9">
        <f t="shared" si="909"/>
        <v>0</v>
      </c>
      <c r="M944" s="9">
        <f t="shared" si="909"/>
        <v>0</v>
      </c>
      <c r="N944" s="9">
        <f t="shared" si="909"/>
        <v>0</v>
      </c>
      <c r="O944" s="9">
        <f t="shared" si="909"/>
        <v>0</v>
      </c>
      <c r="P944" s="9">
        <f t="shared" si="909"/>
        <v>0</v>
      </c>
      <c r="Q944" s="9">
        <f t="shared" si="909"/>
        <v>0</v>
      </c>
      <c r="R944" s="9">
        <f t="shared" si="909"/>
        <v>0</v>
      </c>
      <c r="S944" s="47">
        <f t="shared" si="909"/>
        <v>0</v>
      </c>
    </row>
    <row r="945" spans="1:23" s="39" customFormat="1" x14ac:dyDescent="0.2">
      <c r="A945" s="128">
        <f t="shared" ref="A945:C945" si="910">SUM(A941:A944)</f>
        <v>2609300</v>
      </c>
      <c r="B945" s="266">
        <f t="shared" si="910"/>
        <v>234300</v>
      </c>
      <c r="C945" s="280">
        <f t="shared" si="910"/>
        <v>20100</v>
      </c>
      <c r="D945" s="280">
        <f t="shared" ref="D945:E945" si="911">SUM(D941:D944)</f>
        <v>-130300</v>
      </c>
      <c r="E945" s="280">
        <f t="shared" si="911"/>
        <v>745000</v>
      </c>
      <c r="F945" s="359"/>
      <c r="G945" s="363" t="s">
        <v>1659</v>
      </c>
      <c r="H945" s="280">
        <f t="shared" ref="H945" si="912">SUM(H941:H944)</f>
        <v>-39000</v>
      </c>
      <c r="I945" s="278">
        <f>IF(E945=H945,0,IF(E945=0,100,(H945-E945)/E945*100))</f>
        <v>-105.23489932885906</v>
      </c>
      <c r="J945" s="280">
        <f t="shared" ref="J945" si="913">SUM(J941:J944)</f>
        <v>962000</v>
      </c>
      <c r="K945" s="280">
        <f t="shared" ref="K945" si="914">SUM(K941:K944)</f>
        <v>981500</v>
      </c>
      <c r="L945" s="280">
        <f t="shared" ref="L945" si="915">SUM(L941:L944)</f>
        <v>949700</v>
      </c>
      <c r="M945" s="280">
        <f t="shared" ref="M945" si="916">SUM(M941:M944)</f>
        <v>975900</v>
      </c>
      <c r="N945" s="280">
        <f t="shared" ref="N945" si="917">SUM(N941:N944)</f>
        <v>1088100</v>
      </c>
      <c r="O945" s="280">
        <f t="shared" ref="O945" si="918">SUM(O941:O944)</f>
        <v>1110100</v>
      </c>
      <c r="P945" s="280">
        <f t="shared" ref="P945:Q945" si="919">SUM(P941:P944)</f>
        <v>1119900</v>
      </c>
      <c r="Q945" s="280">
        <f t="shared" si="919"/>
        <v>1137800</v>
      </c>
      <c r="R945" s="280">
        <f t="shared" ref="R945" si="920">SUM(R941:R944)</f>
        <v>1155800</v>
      </c>
      <c r="S945" s="2343">
        <f t="shared" ref="S945" si="921">SUM(S941:S944)</f>
        <v>1172600</v>
      </c>
      <c r="U945" s="34"/>
      <c r="W945" s="34"/>
    </row>
    <row r="946" spans="1:23" ht="13.5" thickBot="1" x14ac:dyDescent="0.25">
      <c r="A946" s="118"/>
      <c r="B946" s="113"/>
      <c r="C946" s="23"/>
      <c r="D946" s="23"/>
      <c r="E946" s="23"/>
      <c r="F946" s="389"/>
      <c r="G946" s="268"/>
      <c r="H946" s="68"/>
      <c r="I946" s="87"/>
      <c r="J946" s="68"/>
      <c r="K946" s="68"/>
      <c r="L946" s="68"/>
      <c r="M946" s="68"/>
      <c r="N946" s="68"/>
      <c r="O946" s="68"/>
      <c r="P946" s="68"/>
      <c r="Q946" s="68"/>
      <c r="R946" s="68"/>
      <c r="S946" s="108"/>
    </row>
    <row r="947" spans="1:23" ht="13.5" thickTop="1" x14ac:dyDescent="0.2">
      <c r="A947" s="24"/>
      <c r="B947" s="75"/>
      <c r="C947" s="21"/>
      <c r="D947" s="21"/>
      <c r="E947" s="9"/>
      <c r="F947" s="189"/>
      <c r="G947" s="361" t="s">
        <v>192</v>
      </c>
      <c r="H947" s="9"/>
      <c r="I947" s="126"/>
      <c r="J947" s="9"/>
      <c r="K947" s="9"/>
      <c r="L947" s="9"/>
      <c r="M947" s="9"/>
      <c r="N947" s="9"/>
      <c r="O947" s="9"/>
      <c r="P947" s="9"/>
      <c r="Q947" s="9"/>
      <c r="R947" s="9"/>
      <c r="S947" s="61"/>
    </row>
    <row r="948" spans="1:23" x14ac:dyDescent="0.2">
      <c r="A948" s="54">
        <v>0</v>
      </c>
      <c r="B948" s="89">
        <v>0</v>
      </c>
      <c r="C948" s="89">
        <v>0</v>
      </c>
      <c r="D948" s="9">
        <v>0</v>
      </c>
      <c r="E948" s="9">
        <v>0</v>
      </c>
      <c r="F948" s="165"/>
      <c r="G948" s="257" t="s">
        <v>2848</v>
      </c>
      <c r="H948" s="9">
        <v>0</v>
      </c>
      <c r="I948" s="85">
        <f t="shared" ref="I948:I953" si="922">IF(E948=H948,0,IF(E948=0,100,(H948-E948)/E948*100))</f>
        <v>0</v>
      </c>
      <c r="J948" s="9">
        <v>0</v>
      </c>
      <c r="K948" s="9">
        <v>0</v>
      </c>
      <c r="L948" s="9">
        <v>0</v>
      </c>
      <c r="M948" s="9">
        <v>0</v>
      </c>
      <c r="N948" s="9">
        <v>0</v>
      </c>
      <c r="O948" s="9">
        <f>ROUND('Debt-Gen'!Y13,-2)</f>
        <v>0</v>
      </c>
      <c r="P948" s="9">
        <f>ROUND('Debt-Gen'!AA13,-2)</f>
        <v>0</v>
      </c>
      <c r="Q948" s="9">
        <f>ROUND('Debt-Gen'!AC13,-2)</f>
        <v>0</v>
      </c>
      <c r="R948" s="9">
        <f>ROUND('Debt-Gen'!AD13,-2)</f>
        <v>0</v>
      </c>
      <c r="S948" s="61">
        <f>ROUND('Debt-Gen'!AE13,-2)</f>
        <v>0</v>
      </c>
    </row>
    <row r="949" spans="1:23" x14ac:dyDescent="0.2">
      <c r="A949" s="54">
        <v>5763500</v>
      </c>
      <c r="B949" s="89">
        <v>5053800</v>
      </c>
      <c r="C949" s="9">
        <v>6355900</v>
      </c>
      <c r="D949" s="9">
        <f>'Res-Gen'!B94+SUM('Res-Gen'!B124:B130)+'Res-Gen'!B116-SUM('Res-Gen'!B91:B91)+15000+64400-'Res-Gen'!B115-'Res-Gen'!B127-'Res-Gen'!B77-'Res-Gen'!B78</f>
        <v>4392100</v>
      </c>
      <c r="E949" s="9">
        <f>2524200+533700+520400+61700</f>
        <v>3640000</v>
      </c>
      <c r="F949" s="70"/>
      <c r="G949" s="257" t="s">
        <v>1909</v>
      </c>
      <c r="H949" s="9">
        <f>'Res-Gen'!H94++SUM('Res-Gen'!H124:H130)+'Res-Gen'!H116+2800+4200+3500+500+500</f>
        <v>10073900</v>
      </c>
      <c r="I949" s="85">
        <f t="shared" si="922"/>
        <v>176.75549450549451</v>
      </c>
      <c r="J949" s="9">
        <f>'Res-Gen'!K94++SUM('Res-Gen'!K124:K130)+'Res-Gen'!K116</f>
        <v>9484000</v>
      </c>
      <c r="K949" s="9">
        <f>'Res-Gen'!N94++SUM('Res-Gen'!N124:N130)+'Res-Gen'!N116</f>
        <v>6521300</v>
      </c>
      <c r="L949" s="9">
        <f>'Res-Gen'!Q94++SUM('Res-Gen'!Q124:Q130)+'Res-Gen'!Q116</f>
        <v>5793200</v>
      </c>
      <c r="M949" s="9">
        <f>'Res-Gen'!T94++SUM('Res-Gen'!T124:T130)+'Res-Gen'!T116</f>
        <v>4397600</v>
      </c>
      <c r="N949" s="9">
        <f>'Res-Gen'!W94++SUM('Res-Gen'!W124:W130)+'Res-Gen'!W116</f>
        <v>3388300</v>
      </c>
      <c r="O949" s="9">
        <f>'Res-Gen'!Z94++SUM('Res-Gen'!Z124:Z130)+'Res-Gen'!Z116</f>
        <v>2926600</v>
      </c>
      <c r="P949" s="9">
        <f>'Res-Gen'!AC94++SUM('Res-Gen'!AC124:AC130)+'Res-Gen'!AC116</f>
        <v>3652600</v>
      </c>
      <c r="Q949" s="9">
        <f>'Res-Gen'!AF94++SUM('Res-Gen'!AF124:AF130)+'Res-Gen'!AF116</f>
        <v>3687000</v>
      </c>
      <c r="R949" s="9">
        <f>'Res-Gen'!AI94++SUM('Res-Gen'!AI124:AI130)+'Res-Gen'!AI116</f>
        <v>3722000</v>
      </c>
      <c r="S949" s="61">
        <f>'Res-Gen'!AL94++SUM('Res-Gen'!AL124:AL130)+'Res-Gen'!AL116</f>
        <v>3756500</v>
      </c>
    </row>
    <row r="950" spans="1:23" x14ac:dyDescent="0.2">
      <c r="A950" s="54">
        <f>6925900</f>
        <v>6925900</v>
      </c>
      <c r="B950" s="89">
        <v>4428400</v>
      </c>
      <c r="C950" s="9">
        <v>6732200</v>
      </c>
      <c r="D950" s="9">
        <f>'Res-Gen'!C94++'Res-Gen'!C116+SUM('Res-Gen'!C124:C130)+'Sec 94'!E85-SUM('Res-Gen'!C91:C91)++'Sec 94'!E50+'Sec 94'!E92-'Res-Gen'!C73-'Res-Gen'!C72-'Res-Gen'!C78-'Res-Gen'!C81-'Res-Gen'!C112-'Res-Gen'!C74-'Res-Gen'!C70+196200</f>
        <v>3237000</v>
      </c>
      <c r="E950" s="9">
        <f>572300+1459400+785000+461700</f>
        <v>3278400</v>
      </c>
      <c r="F950" s="165"/>
      <c r="G950" s="257" t="s">
        <v>2309</v>
      </c>
      <c r="H950" s="9">
        <f>'Res-Gen'!I94++'Res-Gen'!I116+SUM('Res-Gen'!I124:I130)+'Sec 94'!G85-'Res-Gen'!I91+'Sec 94'!G92-'Res-Gen'!I80-'Res-Gen'!I69-'Res-Gen'!I87-'Res-Gen'!I112-'Res-Gen'!I75-'Res-Gen'!I81-'Res-Gen'!I104-'Res-Gen'!I86</f>
        <v>6342900</v>
      </c>
      <c r="I950" s="85">
        <f t="shared" si="922"/>
        <v>93.475475841874086</v>
      </c>
      <c r="J950" s="9">
        <f>'Res-Gen'!L94+'Res-Gen'!L116+SUM('Res-Gen'!L124:L130)+'Sec 94'!H85-SUM('Res-Gen'!L91:L91)+'Sec 94'!H50-'Res-Gen'!L86-'Res-Gen'!L87-'Res-Gen'!L102</f>
        <v>5447000</v>
      </c>
      <c r="K950" s="9">
        <f>'Res-Gen'!O94++'Res-Gen'!O116+SUM('Res-Gen'!O124:O130)+'Sec 94'!I85-SUM('Res-Gen'!O91:O91)++'Sec 94'!I50-'Res-Gen'!O86</f>
        <v>7584800</v>
      </c>
      <c r="L950" s="9">
        <f>'Res-Gen'!R94++'Res-Gen'!R116+SUM('Res-Gen'!R124:R130)+'Sec 94'!J85-SUM('Res-Gen'!R91:R91)++'Sec 94'!J50-'Res-Gen'!R86</f>
        <v>3253500</v>
      </c>
      <c r="M950" s="9">
        <f>'Res-Gen'!U94++'Res-Gen'!U116+SUM('Res-Gen'!U124:U130)+'Sec 94'!K85-SUM('Res-Gen'!U91:U91)++'Sec 94'!K50</f>
        <v>2421700</v>
      </c>
      <c r="N950" s="9">
        <f>'Res-Gen'!X94++'Res-Gen'!X116+SUM('Res-Gen'!X124:X130)+'Sec 94'!L85-SUM('Res-Gen'!X91:X91)++'Sec 94'!L50</f>
        <v>1740200</v>
      </c>
      <c r="O950" s="9">
        <f>'Res-Gen'!AA94++'Res-Gen'!AA116+SUM('Res-Gen'!AA124:AA130)+'Sec 94'!M85-SUM('Res-Gen'!AA91:AA91)++'Sec 94'!M50</f>
        <v>2756500</v>
      </c>
      <c r="P950" s="9">
        <f>'Res-Gen'!AD94++'Res-Gen'!AD116+SUM('Res-Gen'!AD124:AD130)+'Sec 94'!N85-SUM('Res-Gen'!AD91:AD91)++'Sec 94'!N50</f>
        <v>1972700</v>
      </c>
      <c r="Q950" s="9">
        <f>'Res-Gen'!AG94++'Res-Gen'!AG116+SUM('Res-Gen'!AG124:AG130)+'Sec 94'!O85-SUM('Res-Gen'!AG91:AG91)++'Sec 94'!O50</f>
        <v>1989200</v>
      </c>
      <c r="R950" s="9">
        <f>'Res-Gen'!AJ94++'Res-Gen'!AJ116+SUM('Res-Gen'!AJ124:AJ130)+'Sec 94'!P85-SUM('Res-Gen'!AJ91:AJ91)++'Sec 94'!P50</f>
        <v>2006200</v>
      </c>
      <c r="S950" s="61">
        <f>'Res-Gen'!AM94++'Res-Gen'!AM116+SUM('Res-Gen'!AM124:AM130)+'Sec 94'!Q85-SUM('Res-Gen'!AM91:AM91)++'Sec 94'!Q50</f>
        <v>2023900</v>
      </c>
    </row>
    <row r="951" spans="1:23" x14ac:dyDescent="0.2">
      <c r="A951" s="54">
        <v>4459000</v>
      </c>
      <c r="B951" s="89">
        <v>1615200</v>
      </c>
      <c r="C951" s="9">
        <f>'Cap Inc'!A145++SUM('Cap Inc'!A13:A14)-'Cap Inc'!A142</f>
        <v>3340400</v>
      </c>
      <c r="D951" s="9">
        <f>'Cap Inc'!B145++SUM('Cap Inc'!B13:B14)</f>
        <v>2286400</v>
      </c>
      <c r="E951" s="9">
        <v>1310300</v>
      </c>
      <c r="F951" s="165"/>
      <c r="G951" s="257" t="s">
        <v>5847</v>
      </c>
      <c r="H951" s="9">
        <f>'Cap Inc'!F145</f>
        <v>8105000</v>
      </c>
      <c r="I951" s="85">
        <f t="shared" si="922"/>
        <v>518.5606349690911</v>
      </c>
      <c r="J951" s="9">
        <f>'Cap Inc'!G145</f>
        <v>7655000</v>
      </c>
      <c r="K951" s="9">
        <f>'Cap Inc'!H145-'Cap Inc'!H140</f>
        <v>4655000</v>
      </c>
      <c r="L951" s="9">
        <f>'Cap Inc'!I145-'Cap Inc'!I140</f>
        <v>2940000</v>
      </c>
      <c r="M951" s="9">
        <f>'Cap Inc'!J145</f>
        <v>1400000</v>
      </c>
      <c r="N951" s="9">
        <f>'Cap Inc'!K145</f>
        <v>960000</v>
      </c>
      <c r="O951" s="9">
        <f>'Cap Inc'!L145</f>
        <v>960000</v>
      </c>
      <c r="P951" s="9">
        <f>'Cap Inc'!M145</f>
        <v>960000</v>
      </c>
      <c r="Q951" s="9">
        <f>'Cap Inc'!N145</f>
        <v>960000</v>
      </c>
      <c r="R951" s="9">
        <f>'Cap Inc'!O145</f>
        <v>960000</v>
      </c>
      <c r="S951" s="61">
        <f>'Cap Inc'!P145</f>
        <v>960000</v>
      </c>
    </row>
    <row r="952" spans="1:23" x14ac:dyDescent="0.2">
      <c r="A952" s="54">
        <v>6351700</v>
      </c>
      <c r="B952" s="89">
        <v>1171800</v>
      </c>
      <c r="C952" s="89">
        <v>4191700</v>
      </c>
      <c r="D952" s="9">
        <f>SUM('Cap-Gen'!E39:E53)</f>
        <v>817000</v>
      </c>
      <c r="E952" s="9">
        <f>SUM('Cap-Gen'!F39:F53)</f>
        <v>1369400</v>
      </c>
      <c r="F952" s="165"/>
      <c r="G952" s="257" t="s">
        <v>958</v>
      </c>
      <c r="H952" s="9">
        <f>SUM('Cap-Gen'!G39:G53)</f>
        <v>3935000</v>
      </c>
      <c r="I952" s="85">
        <f t="shared" si="922"/>
        <v>187.35212501825617</v>
      </c>
      <c r="J952" s="9">
        <f>SUM('Cap-Gen'!H39:H53)</f>
        <v>4180000</v>
      </c>
      <c r="K952" s="9">
        <f>SUM('Cap-Gen'!I39:I53)</f>
        <v>6300000</v>
      </c>
      <c r="L952" s="9">
        <f>SUM('Cap-Gen'!J39:J53)</f>
        <v>950000</v>
      </c>
      <c r="M952" s="9">
        <f>SUM('Cap-Gen'!K39:K53)</f>
        <v>0</v>
      </c>
      <c r="N952" s="9">
        <f>SUM('Cap-Gen'!L39:L53)</f>
        <v>0</v>
      </c>
      <c r="O952" s="9">
        <f>SUM('Cap-Gen'!M39:M53)</f>
        <v>1500000</v>
      </c>
      <c r="P952" s="9">
        <f>SUM('Cap-Gen'!N39:N53)</f>
        <v>0</v>
      </c>
      <c r="Q952" s="9">
        <f>SUM('Cap-Gen'!O39:O53)</f>
        <v>0</v>
      </c>
      <c r="R952" s="9">
        <f>SUM('Cap-Gen'!P39:P53)</f>
        <v>0</v>
      </c>
      <c r="S952" s="47">
        <f>SUM('Cap-Gen'!Q39:Q53)</f>
        <v>0</v>
      </c>
    </row>
    <row r="953" spans="1:23" s="39" customFormat="1" ht="13.5" thickBot="1" x14ac:dyDescent="0.25">
      <c r="A953" s="1017">
        <f>A945-A948-A949+A950++A951-A952</f>
        <v>1879000</v>
      </c>
      <c r="B953" s="1024">
        <f>B945-B948-B949+B950++B951-B952</f>
        <v>52300</v>
      </c>
      <c r="C953" s="1018">
        <f>C945-C948-C949+C950++C951-C952</f>
        <v>-454900</v>
      </c>
      <c r="D953" s="1018">
        <f>D945-D948-D949+D950++D951-D952</f>
        <v>184000</v>
      </c>
      <c r="E953" s="1018">
        <f>E945-E948-E949+E950++E951-E952</f>
        <v>324300</v>
      </c>
      <c r="F953" s="1025"/>
      <c r="G953" s="1020" t="s">
        <v>2447</v>
      </c>
      <c r="H953" s="1018">
        <f t="shared" ref="H953:P953" si="923">H945-H948-H949+H950++H951-H952</f>
        <v>400000</v>
      </c>
      <c r="I953" s="1022">
        <f t="shared" si="922"/>
        <v>23.34258402713537</v>
      </c>
      <c r="J953" s="1018">
        <f t="shared" si="923"/>
        <v>400000</v>
      </c>
      <c r="K953" s="1018">
        <f t="shared" si="923"/>
        <v>400000</v>
      </c>
      <c r="L953" s="1018">
        <f t="shared" si="923"/>
        <v>400000</v>
      </c>
      <c r="M953" s="1018">
        <f t="shared" si="923"/>
        <v>400000</v>
      </c>
      <c r="N953" s="1018">
        <f t="shared" si="923"/>
        <v>400000</v>
      </c>
      <c r="O953" s="1018">
        <f t="shared" si="923"/>
        <v>400000</v>
      </c>
      <c r="P953" s="1018">
        <f t="shared" si="923"/>
        <v>400000</v>
      </c>
      <c r="Q953" s="1018">
        <f t="shared" ref="Q953" si="924">Q945-Q948-Q949+Q950++Q951-Q952</f>
        <v>400000</v>
      </c>
      <c r="R953" s="1018">
        <f>R945-R948-R949+R950++R951-R952</f>
        <v>400000</v>
      </c>
      <c r="S953" s="1023">
        <f>S945-S948-S949+S950++S951-S952</f>
        <v>400000</v>
      </c>
      <c r="U953" s="34"/>
      <c r="W953" s="34"/>
    </row>
    <row r="954" spans="1:23" ht="14.25" thickTop="1" thickBot="1" x14ac:dyDescent="0.25">
      <c r="A954" s="27"/>
      <c r="B954" s="27"/>
      <c r="C954" s="27"/>
      <c r="D954" s="27"/>
      <c r="E954" s="27"/>
      <c r="F954" s="179"/>
      <c r="G954" s="84"/>
      <c r="H954" s="27"/>
      <c r="I954" s="27"/>
      <c r="J954" s="27"/>
      <c r="K954" s="27"/>
      <c r="L954" s="27"/>
      <c r="M954" s="27"/>
      <c r="N954" s="27"/>
      <c r="O954" s="27"/>
      <c r="P954" s="27"/>
      <c r="Q954" s="27"/>
      <c r="R954" s="27"/>
      <c r="S954" s="27"/>
    </row>
    <row r="955" spans="1:23" s="38" customFormat="1" ht="18.75" customHeight="1" thickTop="1" thickBot="1" x14ac:dyDescent="0.3">
      <c r="A955" s="2588" t="s">
        <v>1278</v>
      </c>
      <c r="B955" s="2589"/>
      <c r="C955" s="2589"/>
      <c r="D955" s="2589"/>
      <c r="E955" s="2589"/>
      <c r="F955" s="2589"/>
      <c r="G955" s="2589"/>
      <c r="H955" s="2589"/>
      <c r="I955" s="2589"/>
      <c r="J955" s="2589"/>
      <c r="K955" s="2589"/>
      <c r="L955" s="2589"/>
      <c r="M955" s="2589"/>
      <c r="N955" s="2589"/>
      <c r="O955" s="2589"/>
      <c r="P955" s="2589"/>
      <c r="Q955" s="2589"/>
      <c r="R955" s="2589"/>
      <c r="S955" s="2590"/>
      <c r="U955" s="34"/>
      <c r="W955" s="34"/>
    </row>
    <row r="956" spans="1:23" s="39" customFormat="1" x14ac:dyDescent="0.2">
      <c r="A956" s="2620" t="s">
        <v>1824</v>
      </c>
      <c r="B956" s="2621"/>
      <c r="C956" s="2621"/>
      <c r="D956" s="2621"/>
      <c r="E956" s="2622"/>
      <c r="F956" s="150" t="s">
        <v>2616</v>
      </c>
      <c r="G956" s="126" t="s">
        <v>2213</v>
      </c>
      <c r="H956" s="2617" t="s">
        <v>2215</v>
      </c>
      <c r="I956" s="2618"/>
      <c r="J956" s="2618"/>
      <c r="K956" s="2618"/>
      <c r="L956" s="2618"/>
      <c r="M956" s="2618"/>
      <c r="N956" s="2618"/>
      <c r="O956" s="2618"/>
      <c r="P956" s="2618"/>
      <c r="Q956" s="2618"/>
      <c r="R956" s="2618"/>
      <c r="S956" s="2619"/>
      <c r="U956" s="34"/>
      <c r="W956" s="34"/>
    </row>
    <row r="957" spans="1:23" ht="13.5" thickBot="1" x14ac:dyDescent="0.25">
      <c r="A957" s="541" t="str">
        <f>A3</f>
        <v>2012/13</v>
      </c>
      <c r="B957" s="28" t="str">
        <f>B3</f>
        <v>2013/14</v>
      </c>
      <c r="C957" s="40" t="str">
        <f>C3</f>
        <v>2014/15</v>
      </c>
      <c r="D957" s="40" t="str">
        <f>D3</f>
        <v>2015/16</v>
      </c>
      <c r="E957" s="40" t="str">
        <f>E3</f>
        <v>2016/17</v>
      </c>
      <c r="F957" s="40" t="s">
        <v>2617</v>
      </c>
      <c r="G957" s="41"/>
      <c r="H957" s="40" t="str">
        <f>H3</f>
        <v>2017/18</v>
      </c>
      <c r="I957" s="1459" t="s">
        <v>492</v>
      </c>
      <c r="J957" s="40" t="str">
        <f t="shared" ref="J957:S957" si="925">J3</f>
        <v>2018/19</v>
      </c>
      <c r="K957" s="40" t="str">
        <f t="shared" si="925"/>
        <v>2019/20</v>
      </c>
      <c r="L957" s="40" t="str">
        <f t="shared" si="925"/>
        <v>2020/21</v>
      </c>
      <c r="M957" s="40" t="str">
        <f t="shared" si="925"/>
        <v>2021/22</v>
      </c>
      <c r="N957" s="40" t="str">
        <f t="shared" si="925"/>
        <v>2022/23</v>
      </c>
      <c r="O957" s="40" t="str">
        <f t="shared" si="925"/>
        <v>2023/24</v>
      </c>
      <c r="P957" s="40" t="str">
        <f t="shared" si="925"/>
        <v>2024/25</v>
      </c>
      <c r="Q957" s="28" t="str">
        <f t="shared" si="925"/>
        <v>2025/26</v>
      </c>
      <c r="R957" s="28" t="str">
        <f t="shared" si="925"/>
        <v>2026/27</v>
      </c>
      <c r="S957" s="1620" t="str">
        <f t="shared" si="925"/>
        <v>2027/28</v>
      </c>
    </row>
    <row r="958" spans="1:23" x14ac:dyDescent="0.2">
      <c r="A958" s="54"/>
      <c r="B958" s="9"/>
      <c r="C958" s="9"/>
      <c r="D958" s="9"/>
      <c r="E958" s="9"/>
      <c r="F958" s="175"/>
      <c r="G958" s="27"/>
      <c r="H958" s="9"/>
      <c r="I958" s="85"/>
      <c r="J958" s="9"/>
      <c r="K958" s="9"/>
      <c r="L958" s="9"/>
      <c r="M958" s="9"/>
      <c r="N958" s="9"/>
      <c r="O958" s="9"/>
      <c r="P958" s="9"/>
      <c r="Q958" s="9"/>
      <c r="R958" s="9"/>
      <c r="S958" s="61"/>
    </row>
    <row r="959" spans="1:23" x14ac:dyDescent="0.2">
      <c r="A959" s="54"/>
      <c r="B959" s="9"/>
      <c r="C959" s="9"/>
      <c r="D959" s="9"/>
      <c r="E959" s="9"/>
      <c r="F959" s="175"/>
      <c r="G959" s="91" t="s">
        <v>1056</v>
      </c>
      <c r="H959" s="9"/>
      <c r="I959" s="85"/>
      <c r="J959" s="9"/>
      <c r="K959" s="9"/>
      <c r="L959" s="9"/>
      <c r="M959" s="9"/>
      <c r="N959" s="9"/>
      <c r="O959" s="9"/>
      <c r="P959" s="9"/>
      <c r="Q959" s="9"/>
      <c r="R959" s="9"/>
      <c r="S959" s="61"/>
    </row>
    <row r="960" spans="1:23" x14ac:dyDescent="0.2">
      <c r="A960" s="54"/>
      <c r="B960" s="9"/>
      <c r="C960" s="9"/>
      <c r="D960" s="9"/>
      <c r="E960" s="9"/>
      <c r="F960" s="175"/>
      <c r="G960" s="91"/>
      <c r="H960" s="9"/>
      <c r="I960" s="85"/>
      <c r="J960" s="9"/>
      <c r="K960" s="9"/>
      <c r="L960" s="9"/>
      <c r="M960" s="9"/>
      <c r="N960" s="9"/>
      <c r="O960" s="9"/>
      <c r="P960" s="9"/>
      <c r="Q960" s="9"/>
      <c r="R960" s="9"/>
      <c r="S960" s="61"/>
    </row>
    <row r="961" spans="1:19" x14ac:dyDescent="0.2">
      <c r="A961" s="54"/>
      <c r="B961" s="9"/>
      <c r="C961" s="9"/>
      <c r="D961" s="9"/>
      <c r="E961" s="9"/>
      <c r="F961" s="175"/>
      <c r="G961" s="92" t="s">
        <v>3183</v>
      </c>
      <c r="H961" s="9"/>
      <c r="I961" s="85"/>
      <c r="J961" s="9"/>
      <c r="K961" s="9"/>
      <c r="L961" s="9"/>
      <c r="M961" s="9"/>
      <c r="N961" s="9"/>
      <c r="O961" s="9"/>
      <c r="P961" s="9"/>
      <c r="Q961" s="9"/>
      <c r="R961" s="9"/>
      <c r="S961" s="61"/>
    </row>
    <row r="962" spans="1:19" x14ac:dyDescent="0.2">
      <c r="A962" s="54">
        <v>345500</v>
      </c>
      <c r="B962" s="9">
        <v>412800</v>
      </c>
      <c r="C962" s="9">
        <v>422300</v>
      </c>
      <c r="D962" s="9">
        <v>411000</v>
      </c>
      <c r="E962" s="9">
        <v>402400</v>
      </c>
      <c r="F962" s="1153" t="s">
        <v>2190</v>
      </c>
      <c r="G962" s="46" t="s">
        <v>571</v>
      </c>
      <c r="H962" s="9">
        <v>426700</v>
      </c>
      <c r="I962" s="85">
        <f>IF(E962=H962,0,IF(E962=0,100,(H962-E962)/E962*100))</f>
        <v>6.0387673956262429</v>
      </c>
      <c r="J962" s="9">
        <f>ROUNDUP(H962+(H962*Assumptions!I$5),-2)</f>
        <v>436600</v>
      </c>
      <c r="K962" s="9">
        <f>ROUNDUP(J962+(J962*Assumptions!J$5),-2)</f>
        <v>447600</v>
      </c>
      <c r="L962" s="9">
        <f>ROUNDUP(K962+(K962*Assumptions!K$5),-2)</f>
        <v>458800</v>
      </c>
      <c r="M962" s="9">
        <f>ROUNDUP(L962+(L962*Assumptions!L$5),-2)</f>
        <v>470300</v>
      </c>
      <c r="N962" s="9">
        <f>ROUNDUP(M962+(M962*Assumptions!M$5),-2)</f>
        <v>482100</v>
      </c>
      <c r="O962" s="9">
        <f>ROUNDUP(N962+(N962*Assumptions!N$5),-2)</f>
        <v>494200</v>
      </c>
      <c r="P962" s="9">
        <f>ROUNDUP(O962+(O962*Assumptions!O$5),-2)</f>
        <v>506600</v>
      </c>
      <c r="Q962" s="9">
        <f>ROUNDUP(P962+(P962*Assumptions!P$5),-2)</f>
        <v>519300</v>
      </c>
      <c r="R962" s="9">
        <f>ROUNDUP(Q962+(Q962*Assumptions!Q$5),-2)</f>
        <v>532300</v>
      </c>
      <c r="S962" s="47">
        <f>ROUNDUP(R962+(R962*Assumptions!R$5),-2)</f>
        <v>545700</v>
      </c>
    </row>
    <row r="963" spans="1:19" x14ac:dyDescent="0.2">
      <c r="A963" s="54">
        <v>9200</v>
      </c>
      <c r="B963" s="9">
        <v>9800</v>
      </c>
      <c r="C963" s="9">
        <v>10100</v>
      </c>
      <c r="D963" s="9">
        <v>10600</v>
      </c>
      <c r="E963" s="9">
        <v>11000</v>
      </c>
      <c r="F963" s="1153" t="s">
        <v>239</v>
      </c>
      <c r="G963" s="46" t="s">
        <v>1485</v>
      </c>
      <c r="H963" s="9">
        <f>10200+1300</f>
        <v>11500</v>
      </c>
      <c r="I963" s="85">
        <f>IF(E963=H963,0,IF(E963=0,100,(H963-E963)/E963*100))</f>
        <v>4.5454545454545459</v>
      </c>
      <c r="J963" s="9">
        <f>ROUNDUP(H963+(H963*Assumptions!I$5),-2)</f>
        <v>11800</v>
      </c>
      <c r="K963" s="9">
        <f>ROUNDUP(J963+(J963*Assumptions!J$5),-2)</f>
        <v>12100</v>
      </c>
      <c r="L963" s="9">
        <f>ROUNDUP(K963+(K963*Assumptions!K$5),-2)</f>
        <v>12500</v>
      </c>
      <c r="M963" s="9">
        <f>ROUNDUP(L963+(L963*Assumptions!L$5),-2)</f>
        <v>12900</v>
      </c>
      <c r="N963" s="9">
        <f>ROUNDUP(M963+(M963*Assumptions!M$5),-2)</f>
        <v>13300</v>
      </c>
      <c r="O963" s="9">
        <f>ROUNDUP(N963+(N963*Assumptions!N$5),-2)</f>
        <v>13700</v>
      </c>
      <c r="P963" s="9">
        <f>ROUNDUP(O963+(O963*Assumptions!O$5),-2)</f>
        <v>14100</v>
      </c>
      <c r="Q963" s="9">
        <f>ROUNDUP(P963+(P963*Assumptions!P$5),-2)</f>
        <v>14500</v>
      </c>
      <c r="R963" s="9">
        <f>ROUNDUP(Q963+(Q963*Assumptions!Q$5),-2)</f>
        <v>14900</v>
      </c>
      <c r="S963" s="47">
        <f>ROUNDUP(R963+(R963*Assumptions!R$5),-2)</f>
        <v>15300</v>
      </c>
    </row>
    <row r="964" spans="1:19" ht="13.5" thickBot="1" x14ac:dyDescent="0.25">
      <c r="A964" s="24"/>
      <c r="B964" s="21"/>
      <c r="C964" s="21"/>
      <c r="D964" s="21"/>
      <c r="E964" s="9"/>
      <c r="F964" s="239"/>
      <c r="G964" s="27"/>
      <c r="H964" s="9"/>
      <c r="I964" s="126"/>
      <c r="J964" s="9"/>
      <c r="K964" s="9"/>
      <c r="L964" s="9"/>
      <c r="M964" s="9"/>
      <c r="N964" s="9"/>
      <c r="O964" s="9"/>
      <c r="P964" s="9"/>
      <c r="Q964" s="9"/>
      <c r="R964" s="9"/>
      <c r="S964" s="47"/>
    </row>
    <row r="965" spans="1:19" x14ac:dyDescent="0.2">
      <c r="A965" s="52">
        <f>SUM(A960:A964)</f>
        <v>354700</v>
      </c>
      <c r="B965" s="16">
        <f>SUM(B960:B964)</f>
        <v>422600</v>
      </c>
      <c r="C965" s="16">
        <f>SUM(C960:C964)</f>
        <v>432400</v>
      </c>
      <c r="D965" s="16">
        <f>SUM(D960:D964)</f>
        <v>421600</v>
      </c>
      <c r="E965" s="16">
        <f t="shared" ref="E965" si="926">SUM(E960:E964)</f>
        <v>413400</v>
      </c>
      <c r="F965" s="239"/>
      <c r="G965" s="59" t="s">
        <v>2561</v>
      </c>
      <c r="H965" s="16">
        <f t="shared" ref="H965:O965" si="927">SUM(H960:H964)</f>
        <v>438200</v>
      </c>
      <c r="I965" s="127">
        <f>IF(E965=H965,0,IF(E965=0,100,(H965-E965)/E965*100))</f>
        <v>5.9990324141267539</v>
      </c>
      <c r="J965" s="16">
        <f t="shared" si="927"/>
        <v>448400</v>
      </c>
      <c r="K965" s="16">
        <f t="shared" si="927"/>
        <v>459700</v>
      </c>
      <c r="L965" s="16">
        <f t="shared" si="927"/>
        <v>471300</v>
      </c>
      <c r="M965" s="16">
        <f t="shared" si="927"/>
        <v>483200</v>
      </c>
      <c r="N965" s="16">
        <f t="shared" si="927"/>
        <v>495400</v>
      </c>
      <c r="O965" s="16">
        <f t="shared" si="927"/>
        <v>507900</v>
      </c>
      <c r="P965" s="16">
        <f t="shared" ref="P965:Q965" si="928">SUM(P960:P964)</f>
        <v>520700</v>
      </c>
      <c r="Q965" s="16">
        <f t="shared" si="928"/>
        <v>533800</v>
      </c>
      <c r="R965" s="16">
        <f t="shared" ref="R965" si="929">SUM(R960:R964)</f>
        <v>547200</v>
      </c>
      <c r="S965" s="2342">
        <f t="shared" ref="S965" si="930">SUM(S960:S964)</f>
        <v>561000</v>
      </c>
    </row>
    <row r="966" spans="1:19" x14ac:dyDescent="0.2">
      <c r="A966" s="54"/>
      <c r="B966" s="9"/>
      <c r="C966" s="9"/>
      <c r="D966" s="9"/>
      <c r="E966" s="9"/>
      <c r="F966" s="239"/>
      <c r="G966" s="59"/>
      <c r="H966" s="9"/>
      <c r="I966" s="85"/>
      <c r="J966" s="9"/>
      <c r="K966" s="9"/>
      <c r="L966" s="9"/>
      <c r="M966" s="9"/>
      <c r="N966" s="9"/>
      <c r="O966" s="9"/>
      <c r="P966" s="9"/>
      <c r="Q966" s="9"/>
      <c r="R966" s="9"/>
      <c r="S966" s="47"/>
    </row>
    <row r="967" spans="1:19" x14ac:dyDescent="0.2">
      <c r="A967" s="54"/>
      <c r="B967" s="9"/>
      <c r="C967" s="9"/>
      <c r="D967" s="9"/>
      <c r="E967" s="9"/>
      <c r="F967" s="239"/>
      <c r="G967" s="91" t="s">
        <v>2169</v>
      </c>
      <c r="H967" s="9"/>
      <c r="I967" s="85"/>
      <c r="J967" s="9"/>
      <c r="K967" s="9"/>
      <c r="L967" s="9"/>
      <c r="M967" s="9"/>
      <c r="N967" s="9"/>
      <c r="O967" s="9"/>
      <c r="P967" s="9"/>
      <c r="Q967" s="9"/>
      <c r="R967" s="9"/>
      <c r="S967" s="47"/>
    </row>
    <row r="968" spans="1:19" x14ac:dyDescent="0.2">
      <c r="A968" s="54"/>
      <c r="B968" s="9"/>
      <c r="C968" s="9"/>
      <c r="D968" s="9"/>
      <c r="E968" s="9"/>
      <c r="F968" s="239"/>
      <c r="G968" s="91"/>
      <c r="H968" s="9"/>
      <c r="I968" s="85"/>
      <c r="J968" s="9"/>
      <c r="K968" s="9"/>
      <c r="L968" s="9"/>
      <c r="M968" s="9"/>
      <c r="N968" s="9"/>
      <c r="O968" s="9"/>
      <c r="P968" s="9"/>
      <c r="Q968" s="9"/>
      <c r="R968" s="9"/>
      <c r="S968" s="47"/>
    </row>
    <row r="969" spans="1:19" x14ac:dyDescent="0.2">
      <c r="A969" s="54"/>
      <c r="B969" s="9"/>
      <c r="C969" s="9"/>
      <c r="D969" s="9"/>
      <c r="E969" s="9"/>
      <c r="F969" s="239"/>
      <c r="G969" s="27" t="s">
        <v>49</v>
      </c>
      <c r="H969" s="9"/>
      <c r="I969" s="85"/>
      <c r="J969" s="9"/>
      <c r="K969" s="9"/>
      <c r="L969" s="9"/>
      <c r="M969" s="9"/>
      <c r="N969" s="9"/>
      <c r="O969" s="9"/>
      <c r="P969" s="9"/>
      <c r="Q969" s="9"/>
      <c r="R969" s="9"/>
      <c r="S969" s="47"/>
    </row>
    <row r="970" spans="1:19" x14ac:dyDescent="0.2">
      <c r="A970" s="54">
        <v>5800</v>
      </c>
      <c r="B970" s="9">
        <v>3500</v>
      </c>
      <c r="C970" s="9">
        <f>5500+1500</f>
        <v>7000</v>
      </c>
      <c r="D970" s="9">
        <v>5600</v>
      </c>
      <c r="E970" s="9">
        <v>4400</v>
      </c>
      <c r="F970" s="239" t="s">
        <v>623</v>
      </c>
      <c r="G970" s="58" t="s">
        <v>4108</v>
      </c>
      <c r="H970" s="9">
        <f>5800-1000</f>
        <v>4800</v>
      </c>
      <c r="I970" s="85">
        <f t="shared" ref="I970:I986" si="931">IF(E970=H970,0,IF(E970=0,100,(H970-E970)/E970*100))</f>
        <v>9.0909090909090917</v>
      </c>
      <c r="J970" s="9">
        <v>5000</v>
      </c>
      <c r="K970" s="9">
        <f>ROUNDUP(J970+(J970*Assumptions!J$5),-2)</f>
        <v>5200</v>
      </c>
      <c r="L970" s="9">
        <f>ROUNDUP(K970+(K970*Assumptions!K$5),-2)</f>
        <v>5400</v>
      </c>
      <c r="M970" s="9">
        <f>ROUNDUP(L970+(L970*Assumptions!L$5),-2)</f>
        <v>5600</v>
      </c>
      <c r="N970" s="9">
        <f>ROUNDUP(M970+(M970*Assumptions!M$5),-2)</f>
        <v>5800</v>
      </c>
      <c r="O970" s="9">
        <f>ROUNDUP(N970+(N970*Assumptions!N$5),-2)</f>
        <v>6000</v>
      </c>
      <c r="P970" s="9">
        <f>ROUNDUP(O970+(O970*Assumptions!O$5),-2)</f>
        <v>6200</v>
      </c>
      <c r="Q970" s="9">
        <f>ROUNDUP(P970+(P970*Assumptions!P$5),-2)</f>
        <v>6400</v>
      </c>
      <c r="R970" s="9">
        <f>ROUNDUP(Q970+(Q970*Assumptions!Q$5),-2)</f>
        <v>6600</v>
      </c>
      <c r="S970" s="47">
        <f>ROUNDUP(R970+(R970*Assumptions!R$5),-2)</f>
        <v>6800</v>
      </c>
    </row>
    <row r="971" spans="1:19" x14ac:dyDescent="0.2">
      <c r="A971" s="54">
        <v>300</v>
      </c>
      <c r="B971" s="9">
        <v>1100</v>
      </c>
      <c r="C971" s="9">
        <v>0</v>
      </c>
      <c r="D971" s="9">
        <v>0</v>
      </c>
      <c r="E971" s="9">
        <v>300</v>
      </c>
      <c r="F971" s="239" t="s">
        <v>1608</v>
      </c>
      <c r="G971" s="58" t="s">
        <v>638</v>
      </c>
      <c r="H971" s="9">
        <v>1200</v>
      </c>
      <c r="I971" s="85">
        <f t="shared" si="931"/>
        <v>300</v>
      </c>
      <c r="J971" s="9">
        <v>1300</v>
      </c>
      <c r="K971" s="9">
        <f>ROUNDUP(J971+(J971*Assumptions!J$5),-2)</f>
        <v>1400</v>
      </c>
      <c r="L971" s="9">
        <f>ROUNDUP(K971+(K971*Assumptions!K$5),-2)</f>
        <v>1500</v>
      </c>
      <c r="M971" s="9">
        <f>ROUNDUP(L971+(L971*Assumptions!L$5),-2)</f>
        <v>1600</v>
      </c>
      <c r="N971" s="9">
        <f>ROUNDUP(M971+(M971*Assumptions!M$5),-2)</f>
        <v>1700</v>
      </c>
      <c r="O971" s="9">
        <f>ROUNDUP(N971+(N971*Assumptions!N$5),-2)</f>
        <v>1800</v>
      </c>
      <c r="P971" s="9">
        <f>ROUNDUP(O971+(O971*Assumptions!O$5),-2)</f>
        <v>1900</v>
      </c>
      <c r="Q971" s="9">
        <f>ROUNDUP(P971+(P971*Assumptions!P$5),-2)</f>
        <v>2000</v>
      </c>
      <c r="R971" s="9">
        <f>ROUNDUP(Q971+(Q971*Assumptions!Q$5),-2)</f>
        <v>2100</v>
      </c>
      <c r="S971" s="47">
        <f>ROUNDUP(R971+(R971*Assumptions!R$5),-2)</f>
        <v>2200</v>
      </c>
    </row>
    <row r="972" spans="1:19" x14ac:dyDescent="0.2">
      <c r="A972" s="54">
        <v>900</v>
      </c>
      <c r="B972" s="9">
        <v>800</v>
      </c>
      <c r="C972" s="9">
        <v>2200</v>
      </c>
      <c r="D972" s="9">
        <v>0</v>
      </c>
      <c r="E972" s="9">
        <v>0</v>
      </c>
      <c r="F972" s="239" t="s">
        <v>1609</v>
      </c>
      <c r="G972" s="58" t="s">
        <v>1823</v>
      </c>
      <c r="H972" s="9">
        <f>2200-1500</f>
        <v>700</v>
      </c>
      <c r="I972" s="85">
        <f t="shared" si="931"/>
        <v>100</v>
      </c>
      <c r="J972" s="9">
        <v>800</v>
      </c>
      <c r="K972" s="9">
        <f>ROUNDUP(J972+(J972*Assumptions!J$5),-2)</f>
        <v>900</v>
      </c>
      <c r="L972" s="9">
        <f>ROUNDUP(K972+(K972*Assumptions!K$5),-2)</f>
        <v>1000</v>
      </c>
      <c r="M972" s="9">
        <f>ROUNDUP(L972+(L972*Assumptions!L$5),-2)</f>
        <v>1100</v>
      </c>
      <c r="N972" s="9">
        <f>ROUNDUP(M972+(M972*Assumptions!M$5),-2)</f>
        <v>1200</v>
      </c>
      <c r="O972" s="9">
        <f>ROUNDUP(N972+(N972*Assumptions!N$5),-2)</f>
        <v>1300</v>
      </c>
      <c r="P972" s="9">
        <f>ROUNDUP(O972+(O972*Assumptions!O$5),-2)</f>
        <v>1400</v>
      </c>
      <c r="Q972" s="9">
        <f>ROUNDUP(P972+(P972*Assumptions!P$5),-2)</f>
        <v>1500</v>
      </c>
      <c r="R972" s="9">
        <f>ROUNDUP(Q972+(Q972*Assumptions!Q$5),-2)</f>
        <v>1600</v>
      </c>
      <c r="S972" s="47">
        <f>ROUNDUP(R972+(R972*Assumptions!R$5),-2)</f>
        <v>1700</v>
      </c>
    </row>
    <row r="973" spans="1:19" x14ac:dyDescent="0.2">
      <c r="A973" s="54">
        <v>2700</v>
      </c>
      <c r="B973" s="9">
        <v>2900</v>
      </c>
      <c r="C973" s="9">
        <v>3400</v>
      </c>
      <c r="D973" s="9">
        <v>3500</v>
      </c>
      <c r="E973" s="9">
        <v>3700</v>
      </c>
      <c r="F973" s="239" t="s">
        <v>2685</v>
      </c>
      <c r="G973" s="55" t="s">
        <v>708</v>
      </c>
      <c r="H973" s="9">
        <v>3300</v>
      </c>
      <c r="I973" s="85">
        <f t="shared" si="931"/>
        <v>-10.810810810810811</v>
      </c>
      <c r="J973" s="9">
        <v>3400</v>
      </c>
      <c r="K973" s="9">
        <f>ROUNDUP(J973+(J973*Assumptions!J$5),-2)</f>
        <v>3500</v>
      </c>
      <c r="L973" s="9">
        <f>ROUNDUP(K973+(K973*Assumptions!K$5),-2)</f>
        <v>3600</v>
      </c>
      <c r="M973" s="9">
        <f>ROUNDUP(L973+(L973*Assumptions!L$5),-2)</f>
        <v>3700</v>
      </c>
      <c r="N973" s="9">
        <f>ROUNDUP(M973+(M973*Assumptions!M$5),-2)</f>
        <v>3800</v>
      </c>
      <c r="O973" s="9">
        <f>ROUNDUP(N973+(N973*Assumptions!N$5),-2)</f>
        <v>3900</v>
      </c>
      <c r="P973" s="9">
        <f>ROUNDUP(O973+(O973*Assumptions!O$5),-2)</f>
        <v>4000</v>
      </c>
      <c r="Q973" s="9">
        <f>ROUNDUP(P973+(P973*Assumptions!P$5),-2)</f>
        <v>4100</v>
      </c>
      <c r="R973" s="9">
        <f>ROUNDUP(Q973+(Q973*Assumptions!Q$5),-2)</f>
        <v>4300</v>
      </c>
      <c r="S973" s="47">
        <f>ROUNDUP(R973+(R973*Assumptions!R$5),-2)</f>
        <v>4500</v>
      </c>
    </row>
    <row r="974" spans="1:19" x14ac:dyDescent="0.2">
      <c r="A974" s="54">
        <v>1400</v>
      </c>
      <c r="B974" s="9">
        <v>1500</v>
      </c>
      <c r="C974" s="9">
        <v>1300</v>
      </c>
      <c r="D974" s="9">
        <v>1200</v>
      </c>
      <c r="E974" s="9">
        <v>1100</v>
      </c>
      <c r="F974" s="239" t="s">
        <v>2684</v>
      </c>
      <c r="G974" s="55" t="s">
        <v>2724</v>
      </c>
      <c r="H974" s="9">
        <f>1800-500</f>
        <v>1300</v>
      </c>
      <c r="I974" s="85">
        <f t="shared" si="931"/>
        <v>18.181818181818183</v>
      </c>
      <c r="J974" s="9">
        <v>1400</v>
      </c>
      <c r="K974" s="9">
        <f>ROUNDUP(J974+(J974*Assumptions!J$5),-2)</f>
        <v>1500</v>
      </c>
      <c r="L974" s="9">
        <f>ROUNDUP(K974+(K974*Assumptions!K$5),-2)</f>
        <v>1600</v>
      </c>
      <c r="M974" s="9">
        <f>ROUNDUP(L974+(L974*Assumptions!L$5),-2)</f>
        <v>1700</v>
      </c>
      <c r="N974" s="9">
        <f>ROUNDUP(M974+(M974*Assumptions!M$5),-2)</f>
        <v>1800</v>
      </c>
      <c r="O974" s="9">
        <f>ROUNDUP(N974+(N974*Assumptions!N$5),-2)</f>
        <v>1900</v>
      </c>
      <c r="P974" s="9">
        <f>ROUNDUP(O974+(O974*Assumptions!O$5),-2)</f>
        <v>2000</v>
      </c>
      <c r="Q974" s="9">
        <f>ROUNDUP(P974+(P974*Assumptions!P$5),-2)</f>
        <v>2100</v>
      </c>
      <c r="R974" s="9">
        <f>ROUNDUP(Q974+(Q974*Assumptions!Q$5),-2)</f>
        <v>2200</v>
      </c>
      <c r="S974" s="47">
        <f>ROUNDUP(R974+(R974*Assumptions!R$5),-2)</f>
        <v>2300</v>
      </c>
    </row>
    <row r="975" spans="1:19" x14ac:dyDescent="0.2">
      <c r="A975" s="54">
        <v>12400</v>
      </c>
      <c r="B975" s="9">
        <v>17000</v>
      </c>
      <c r="C975" s="9">
        <v>19000</v>
      </c>
      <c r="D975" s="9">
        <v>22600</v>
      </c>
      <c r="E975" s="9">
        <v>28000</v>
      </c>
      <c r="F975" s="239" t="s">
        <v>1034</v>
      </c>
      <c r="G975" s="55" t="s">
        <v>1296</v>
      </c>
      <c r="H975" s="9">
        <f>16800+7000</f>
        <v>23800</v>
      </c>
      <c r="I975" s="85">
        <f t="shared" si="931"/>
        <v>-15</v>
      </c>
      <c r="J975" s="9">
        <v>24400</v>
      </c>
      <c r="K975" s="9">
        <f>ROUNDUP(J975+(J975*Assumptions!J$5),-2)</f>
        <v>25100</v>
      </c>
      <c r="L975" s="9">
        <f>ROUNDUP(K975+(K975*Assumptions!K$5),-2)</f>
        <v>25800</v>
      </c>
      <c r="M975" s="9">
        <f>ROUNDUP(L975+(L975*Assumptions!L$5),-2)</f>
        <v>26500</v>
      </c>
      <c r="N975" s="9">
        <f>ROUNDUP(M975+(M975*Assumptions!M$5),-2)</f>
        <v>27200</v>
      </c>
      <c r="O975" s="9">
        <f>ROUNDUP(N975+(N975*Assumptions!N$5),-2)</f>
        <v>27900</v>
      </c>
      <c r="P975" s="9">
        <f>ROUNDUP(O975+(O975*Assumptions!O$5),-2)</f>
        <v>28600</v>
      </c>
      <c r="Q975" s="9">
        <f>ROUNDUP(P975+(P975*Assumptions!P$5),-2)</f>
        <v>29400</v>
      </c>
      <c r="R975" s="9">
        <f>ROUNDUP(Q975+(Q975*Assumptions!Q$5),-2)</f>
        <v>30200</v>
      </c>
      <c r="S975" s="47">
        <f>ROUNDUP(R975+(R975*Assumptions!R$5),-2)</f>
        <v>31000</v>
      </c>
    </row>
    <row r="976" spans="1:19" x14ac:dyDescent="0.2">
      <c r="A976" s="54">
        <v>1500</v>
      </c>
      <c r="B976" s="9">
        <v>1200</v>
      </c>
      <c r="C976" s="9">
        <v>1400</v>
      </c>
      <c r="D976" s="9">
        <v>800</v>
      </c>
      <c r="E976" s="9">
        <v>500</v>
      </c>
      <c r="F976" s="239" t="s">
        <v>1892</v>
      </c>
      <c r="G976" s="55" t="s">
        <v>666</v>
      </c>
      <c r="H976" s="9">
        <f>3200-2000</f>
        <v>1200</v>
      </c>
      <c r="I976" s="85">
        <f t="shared" si="931"/>
        <v>140</v>
      </c>
      <c r="J976" s="9">
        <v>1300</v>
      </c>
      <c r="K976" s="9">
        <f>ROUNDUP(J976+(J976*Assumptions!J$5),-2)</f>
        <v>1400</v>
      </c>
      <c r="L976" s="9">
        <f>ROUNDUP(K976+(K976*Assumptions!K$5),-2)</f>
        <v>1500</v>
      </c>
      <c r="M976" s="9">
        <f>ROUNDUP(L976+(L976*Assumptions!L$5),-2)</f>
        <v>1600</v>
      </c>
      <c r="N976" s="9">
        <f>ROUNDUP(M976+(M976*Assumptions!M$5),-2)</f>
        <v>1700</v>
      </c>
      <c r="O976" s="9">
        <f>ROUNDUP(N976+(N976*Assumptions!N$5),-2)</f>
        <v>1800</v>
      </c>
      <c r="P976" s="9">
        <f>ROUNDUP(O976+(O976*Assumptions!O$5),-2)</f>
        <v>1900</v>
      </c>
      <c r="Q976" s="9">
        <f>ROUNDUP(P976+(P976*Assumptions!P$5),-2)</f>
        <v>2000</v>
      </c>
      <c r="R976" s="9">
        <f>ROUNDUP(Q976+(Q976*Assumptions!Q$5),-2)</f>
        <v>2100</v>
      </c>
      <c r="S976" s="47">
        <f>ROUNDUP(R976+(R976*Assumptions!R$5),-2)</f>
        <v>2200</v>
      </c>
    </row>
    <row r="977" spans="1:19" x14ac:dyDescent="0.2">
      <c r="A977" s="54">
        <v>4600</v>
      </c>
      <c r="B977" s="9">
        <v>10200</v>
      </c>
      <c r="C977" s="9">
        <v>9000</v>
      </c>
      <c r="D977" s="9">
        <v>700</v>
      </c>
      <c r="E977" s="9">
        <v>1600</v>
      </c>
      <c r="F977" s="239" t="s">
        <v>1033</v>
      </c>
      <c r="G977" s="58" t="s">
        <v>3665</v>
      </c>
      <c r="H977" s="9">
        <v>10400</v>
      </c>
      <c r="I977" s="85">
        <f t="shared" si="931"/>
        <v>550</v>
      </c>
      <c r="J977" s="9">
        <v>10700</v>
      </c>
      <c r="K977" s="9">
        <f>ROUNDUP(J977+(J977*Assumptions!J$5),-2)</f>
        <v>11000</v>
      </c>
      <c r="L977" s="9">
        <f>ROUNDUP(K977+(K977*Assumptions!K$5),-2)</f>
        <v>11300</v>
      </c>
      <c r="M977" s="9">
        <f>ROUNDUP(L977+(L977*Assumptions!L$5),-2)</f>
        <v>11600</v>
      </c>
      <c r="N977" s="9">
        <f>ROUNDUP(M977+(M977*Assumptions!M$5),-2)</f>
        <v>11900</v>
      </c>
      <c r="O977" s="9">
        <f>ROUNDUP(N977+(N977*Assumptions!N$5),-2)</f>
        <v>12200</v>
      </c>
      <c r="P977" s="9">
        <f>ROUNDUP(O977+(O977*Assumptions!O$5),-2)</f>
        <v>12600</v>
      </c>
      <c r="Q977" s="9">
        <f>ROUNDUP(P977+(P977*Assumptions!P$5),-2)</f>
        <v>13000</v>
      </c>
      <c r="R977" s="9">
        <f>ROUNDUP(Q977+(Q977*Assumptions!Q$5),-2)</f>
        <v>13400</v>
      </c>
      <c r="S977" s="47">
        <f>ROUNDUP(R977+(R977*Assumptions!R$5),-2)</f>
        <v>13800</v>
      </c>
    </row>
    <row r="978" spans="1:19" x14ac:dyDescent="0.2">
      <c r="A978" s="54">
        <v>9200</v>
      </c>
      <c r="B978" s="9">
        <v>7200</v>
      </c>
      <c r="C978" s="9">
        <v>11800</v>
      </c>
      <c r="D978" s="9">
        <v>6500</v>
      </c>
      <c r="E978" s="9">
        <v>6700</v>
      </c>
      <c r="F978" s="239" t="s">
        <v>380</v>
      </c>
      <c r="G978" s="55" t="s">
        <v>188</v>
      </c>
      <c r="H978" s="9">
        <f>10200-1000</f>
        <v>9200</v>
      </c>
      <c r="I978" s="85">
        <f t="shared" si="931"/>
        <v>37.313432835820898</v>
      </c>
      <c r="J978" s="9">
        <v>9500</v>
      </c>
      <c r="K978" s="9">
        <f>ROUNDUP(J978+(J978*Assumptions!J$5),-2)</f>
        <v>9800</v>
      </c>
      <c r="L978" s="9">
        <f>ROUNDUP(K978+(K978*Assumptions!K$5),-2)</f>
        <v>10100</v>
      </c>
      <c r="M978" s="9">
        <f>ROUNDUP(L978+(L978*Assumptions!L$5),-2)</f>
        <v>10400</v>
      </c>
      <c r="N978" s="9">
        <f>ROUNDUP(M978+(M978*Assumptions!M$5),-2)</f>
        <v>10700</v>
      </c>
      <c r="O978" s="9">
        <f>ROUNDUP(N978+(N978*Assumptions!N$5),-2)</f>
        <v>11000</v>
      </c>
      <c r="P978" s="9">
        <f>ROUNDUP(O978+(O978*Assumptions!O$5),-2)</f>
        <v>11300</v>
      </c>
      <c r="Q978" s="9">
        <f>ROUNDUP(P978+(P978*Assumptions!P$5),-2)</f>
        <v>11600</v>
      </c>
      <c r="R978" s="9">
        <f>ROUNDUP(Q978+(Q978*Assumptions!Q$5),-2)</f>
        <v>11900</v>
      </c>
      <c r="S978" s="47">
        <f>ROUNDUP(R978+(R978*Assumptions!R$5),-2)</f>
        <v>12200</v>
      </c>
    </row>
    <row r="979" spans="1:19" x14ac:dyDescent="0.2">
      <c r="A979" s="54">
        <v>3300</v>
      </c>
      <c r="B979" s="9">
        <v>3700</v>
      </c>
      <c r="C979" s="9">
        <v>2400</v>
      </c>
      <c r="D979" s="9">
        <v>4800</v>
      </c>
      <c r="E979" s="9">
        <v>2400</v>
      </c>
      <c r="F979" s="239" t="s">
        <v>1510</v>
      </c>
      <c r="G979" s="55" t="s">
        <v>1138</v>
      </c>
      <c r="H979" s="9">
        <v>4400</v>
      </c>
      <c r="I979" s="85">
        <f t="shared" si="931"/>
        <v>83.333333333333343</v>
      </c>
      <c r="J979" s="9">
        <v>4600</v>
      </c>
      <c r="K979" s="9">
        <f>ROUNDUP(J979+(J979*Assumptions!J$5),-2)</f>
        <v>4800</v>
      </c>
      <c r="L979" s="9">
        <f>ROUNDUP(K979+(K979*Assumptions!K$5),-2)</f>
        <v>5000</v>
      </c>
      <c r="M979" s="9">
        <f>ROUNDUP(L979+(L979*Assumptions!L$5),-2)</f>
        <v>5200</v>
      </c>
      <c r="N979" s="9">
        <f>ROUNDUP(M979+(M979*Assumptions!M$5),-2)</f>
        <v>5400</v>
      </c>
      <c r="O979" s="9">
        <f>ROUNDUP(N979+(N979*Assumptions!N$5),-2)</f>
        <v>5600</v>
      </c>
      <c r="P979" s="9">
        <f>ROUNDUP(O979+(O979*Assumptions!O$5),-2)</f>
        <v>5800</v>
      </c>
      <c r="Q979" s="9">
        <f>ROUNDUP(P979+(P979*Assumptions!P$5),-2)</f>
        <v>6000</v>
      </c>
      <c r="R979" s="9">
        <f>ROUNDUP(Q979+(Q979*Assumptions!Q$5),-2)</f>
        <v>6200</v>
      </c>
      <c r="S979" s="47">
        <f>ROUNDUP(R979+(R979*Assumptions!R$5),-2)</f>
        <v>6400</v>
      </c>
    </row>
    <row r="980" spans="1:19" x14ac:dyDescent="0.2">
      <c r="A980" s="54">
        <v>131500</v>
      </c>
      <c r="B980" s="9">
        <v>148100</v>
      </c>
      <c r="C980" s="9">
        <v>152300</v>
      </c>
      <c r="D980" s="9">
        <v>151500</v>
      </c>
      <c r="E980" s="9">
        <v>148300</v>
      </c>
      <c r="F980" s="239" t="s">
        <v>1511</v>
      </c>
      <c r="G980" s="55" t="s">
        <v>596</v>
      </c>
      <c r="H980" s="9">
        <v>159500</v>
      </c>
      <c r="I980" s="85">
        <f t="shared" si="931"/>
        <v>7.552258934592043</v>
      </c>
      <c r="J980" s="9">
        <v>163500</v>
      </c>
      <c r="K980" s="9">
        <f>ROUNDUP(J980+(J980*Assumptions!J$5),-2)</f>
        <v>167600</v>
      </c>
      <c r="L980" s="9">
        <f>ROUNDUP(K980+(K980*Assumptions!K$5),-2)</f>
        <v>171800</v>
      </c>
      <c r="M980" s="9">
        <f>ROUNDUP(L980+(L980*Assumptions!L$5),-2)</f>
        <v>176100</v>
      </c>
      <c r="N980" s="9">
        <f>ROUNDUP(M980+(M980*Assumptions!M$5),-2)</f>
        <v>180600</v>
      </c>
      <c r="O980" s="9">
        <f>ROUNDUP(N980+(N980*Assumptions!N$5),-2)</f>
        <v>185200</v>
      </c>
      <c r="P980" s="9">
        <f>ROUNDUP(O980+(O980*Assumptions!O$5),-2)</f>
        <v>189900</v>
      </c>
      <c r="Q980" s="9">
        <f>ROUNDUP(P980+(P980*Assumptions!P$5),-2)</f>
        <v>194700</v>
      </c>
      <c r="R980" s="9">
        <f>ROUNDUP(Q980+(Q980*Assumptions!Q$5),-2)</f>
        <v>199600</v>
      </c>
      <c r="S980" s="47">
        <f>ROUNDUP(R980+(R980*Assumptions!R$5),-2)</f>
        <v>204600</v>
      </c>
    </row>
    <row r="981" spans="1:19" x14ac:dyDescent="0.2">
      <c r="A981" s="54">
        <v>12100</v>
      </c>
      <c r="B981" s="9">
        <v>9500</v>
      </c>
      <c r="C981" s="9">
        <v>7800</v>
      </c>
      <c r="D981" s="9">
        <v>11800</v>
      </c>
      <c r="E981" s="9">
        <v>9400</v>
      </c>
      <c r="F981" s="239" t="s">
        <v>1515</v>
      </c>
      <c r="G981" s="55" t="s">
        <v>2008</v>
      </c>
      <c r="H981" s="9">
        <v>13000</v>
      </c>
      <c r="I981" s="85">
        <f t="shared" si="931"/>
        <v>38.297872340425535</v>
      </c>
      <c r="J981" s="9">
        <v>13400</v>
      </c>
      <c r="K981" s="9">
        <f>ROUNDUP(J981+(J981*Assumptions!J$5),-2)</f>
        <v>13800</v>
      </c>
      <c r="L981" s="9">
        <f>ROUNDUP(K981+(K981*Assumptions!K$5),-2)</f>
        <v>14200</v>
      </c>
      <c r="M981" s="9">
        <f>ROUNDUP(L981+(L981*Assumptions!L$5),-2)</f>
        <v>14600</v>
      </c>
      <c r="N981" s="9">
        <f>ROUNDUP(M981+(M981*Assumptions!M$5),-2)</f>
        <v>15000</v>
      </c>
      <c r="O981" s="9">
        <f>ROUNDUP(N981+(N981*Assumptions!N$5),-2)</f>
        <v>15400</v>
      </c>
      <c r="P981" s="9">
        <f>ROUNDUP(O981+(O981*Assumptions!O$5),-2)</f>
        <v>15800</v>
      </c>
      <c r="Q981" s="9">
        <f>ROUNDUP(P981+(P981*Assumptions!P$5),-2)</f>
        <v>16200</v>
      </c>
      <c r="R981" s="9">
        <f>ROUNDUP(Q981+(Q981*Assumptions!Q$5),-2)</f>
        <v>16700</v>
      </c>
      <c r="S981" s="47">
        <f>ROUNDUP(R981+(R981*Assumptions!R$5),-2)</f>
        <v>17200</v>
      </c>
    </row>
    <row r="982" spans="1:19" x14ac:dyDescent="0.2">
      <c r="A982" s="54">
        <v>1300</v>
      </c>
      <c r="B982" s="9">
        <v>3500</v>
      </c>
      <c r="C982" s="9">
        <v>4000</v>
      </c>
      <c r="D982" s="9">
        <v>3200</v>
      </c>
      <c r="E982" s="9">
        <v>1300</v>
      </c>
      <c r="F982" s="239" t="s">
        <v>1512</v>
      </c>
      <c r="G982" s="55" t="s">
        <v>2158</v>
      </c>
      <c r="H982" s="9">
        <v>5200</v>
      </c>
      <c r="I982" s="85">
        <f t="shared" si="931"/>
        <v>300</v>
      </c>
      <c r="J982" s="9">
        <v>5400</v>
      </c>
      <c r="K982" s="9">
        <f>ROUNDUP(J982+(J982*Assumptions!J$5),-2)</f>
        <v>5600</v>
      </c>
      <c r="L982" s="9">
        <f>ROUNDUP(K982+(K982*Assumptions!K$5),-2)</f>
        <v>5800</v>
      </c>
      <c r="M982" s="9">
        <f>ROUNDUP(L982+(L982*Assumptions!L$5),-2)</f>
        <v>6000</v>
      </c>
      <c r="N982" s="9">
        <f>ROUNDUP(M982+(M982*Assumptions!M$5),-2)</f>
        <v>6200</v>
      </c>
      <c r="O982" s="9">
        <f>ROUNDUP(N982+(N982*Assumptions!N$5),-2)</f>
        <v>6400</v>
      </c>
      <c r="P982" s="9">
        <f>ROUNDUP(O982+(O982*Assumptions!O$5),-2)</f>
        <v>6600</v>
      </c>
      <c r="Q982" s="9">
        <f>ROUNDUP(P982+(P982*Assumptions!P$5),-2)</f>
        <v>6800</v>
      </c>
      <c r="R982" s="9">
        <f>ROUNDUP(Q982+(Q982*Assumptions!Q$5),-2)</f>
        <v>7000</v>
      </c>
      <c r="S982" s="47">
        <f>ROUNDUP(R982+(R982*Assumptions!R$5),-2)</f>
        <v>7200</v>
      </c>
    </row>
    <row r="983" spans="1:19" x14ac:dyDescent="0.2">
      <c r="A983" s="54">
        <v>800</v>
      </c>
      <c r="B983" s="9">
        <v>500</v>
      </c>
      <c r="C983" s="9">
        <v>1500</v>
      </c>
      <c r="D983" s="9">
        <v>300</v>
      </c>
      <c r="E983" s="9">
        <v>7900</v>
      </c>
      <c r="F983" s="239" t="s">
        <v>1513</v>
      </c>
      <c r="G983" s="58" t="s">
        <v>3662</v>
      </c>
      <c r="H983" s="9">
        <v>3200</v>
      </c>
      <c r="I983" s="85">
        <f t="shared" si="931"/>
        <v>-59.493670886075947</v>
      </c>
      <c r="J983" s="9">
        <v>3300</v>
      </c>
      <c r="K983" s="9">
        <f>ROUNDUP(J983+(J983*Assumptions!J$5),-2)</f>
        <v>3400</v>
      </c>
      <c r="L983" s="9">
        <f>ROUNDUP(K983+(K983*Assumptions!K$5),-2)</f>
        <v>3500</v>
      </c>
      <c r="M983" s="9">
        <f>ROUNDUP(L983+(L983*Assumptions!L$5),-2)</f>
        <v>3600</v>
      </c>
      <c r="N983" s="9">
        <f>ROUNDUP(M983+(M983*Assumptions!M$5),-2)</f>
        <v>3700</v>
      </c>
      <c r="O983" s="9">
        <f>ROUNDUP(N983+(N983*Assumptions!N$5),-2)</f>
        <v>3800</v>
      </c>
      <c r="P983" s="9">
        <f>ROUNDUP(O983+(O983*Assumptions!O$5),-2)</f>
        <v>3900</v>
      </c>
      <c r="Q983" s="9">
        <f>ROUNDUP(P983+(P983*Assumptions!P$5),-2)</f>
        <v>4000</v>
      </c>
      <c r="R983" s="9">
        <f>ROUNDUP(Q983+(Q983*Assumptions!Q$5),-2)</f>
        <v>4100</v>
      </c>
      <c r="S983" s="47">
        <f>ROUNDUP(R983+(R983*Assumptions!R$5),-2)</f>
        <v>4300</v>
      </c>
    </row>
    <row r="984" spans="1:19" x14ac:dyDescent="0.2">
      <c r="A984" s="54">
        <v>600</v>
      </c>
      <c r="B984" s="9">
        <v>500</v>
      </c>
      <c r="C984" s="9">
        <v>1200</v>
      </c>
      <c r="D984" s="9">
        <v>3300</v>
      </c>
      <c r="E984" s="9">
        <v>4200</v>
      </c>
      <c r="F984" s="239" t="s">
        <v>1514</v>
      </c>
      <c r="G984" s="55" t="s">
        <v>862</v>
      </c>
      <c r="H984" s="9">
        <v>3800</v>
      </c>
      <c r="I984" s="85">
        <f t="shared" si="931"/>
        <v>-9.5238095238095237</v>
      </c>
      <c r="J984" s="9">
        <v>3900</v>
      </c>
      <c r="K984" s="9">
        <f>ROUNDUP(J984+(J984*Assumptions!J$5),-2)</f>
        <v>4000</v>
      </c>
      <c r="L984" s="9">
        <f>ROUNDUP(K984+(K984*Assumptions!K$5),-2)</f>
        <v>4100</v>
      </c>
      <c r="M984" s="9">
        <f>ROUNDUP(L984+(L984*Assumptions!L$5),-2)</f>
        <v>4300</v>
      </c>
      <c r="N984" s="9">
        <f>ROUNDUP(M984+(M984*Assumptions!M$5),-2)</f>
        <v>4500</v>
      </c>
      <c r="O984" s="9">
        <f>ROUNDUP(N984+(N984*Assumptions!N$5),-2)</f>
        <v>4700</v>
      </c>
      <c r="P984" s="9">
        <f>ROUNDUP(O984+(O984*Assumptions!O$5),-2)</f>
        <v>4900</v>
      </c>
      <c r="Q984" s="9">
        <f>ROUNDUP(P984+(P984*Assumptions!P$5),-2)</f>
        <v>5100</v>
      </c>
      <c r="R984" s="9">
        <f>ROUNDUP(Q984+(Q984*Assumptions!Q$5),-2)</f>
        <v>5300</v>
      </c>
      <c r="S984" s="47">
        <f>ROUNDUP(R984+(R984*Assumptions!R$5),-2)</f>
        <v>5500</v>
      </c>
    </row>
    <row r="985" spans="1:19" x14ac:dyDescent="0.2">
      <c r="A985" s="54">
        <v>5900</v>
      </c>
      <c r="B985" s="9">
        <v>6200</v>
      </c>
      <c r="C985" s="9">
        <v>7600</v>
      </c>
      <c r="D985" s="9">
        <v>5600</v>
      </c>
      <c r="E985" s="9">
        <v>6500</v>
      </c>
      <c r="F985" s="239" t="s">
        <v>1890</v>
      </c>
      <c r="G985" s="58" t="s">
        <v>3664</v>
      </c>
      <c r="H985" s="9">
        <f>8200-2500</f>
        <v>5700</v>
      </c>
      <c r="I985" s="85">
        <f t="shared" si="931"/>
        <v>-12.307692307692308</v>
      </c>
      <c r="J985" s="9">
        <v>5900</v>
      </c>
      <c r="K985" s="9">
        <f>ROUNDUP(J985+(J985*Assumptions!J$5),-2)</f>
        <v>6100</v>
      </c>
      <c r="L985" s="9">
        <f>ROUNDUP(K985+(K985*Assumptions!K$5),-2)</f>
        <v>6300</v>
      </c>
      <c r="M985" s="9">
        <f>ROUNDUP(L985+(L985*Assumptions!L$5),-2)</f>
        <v>6500</v>
      </c>
      <c r="N985" s="9">
        <f>ROUNDUP(M985+(M985*Assumptions!M$5),-2)</f>
        <v>6700</v>
      </c>
      <c r="O985" s="9">
        <f>ROUNDUP(N985+(N985*Assumptions!N$5),-2)</f>
        <v>6900</v>
      </c>
      <c r="P985" s="9">
        <f>ROUNDUP(O985+(O985*Assumptions!O$5),-2)</f>
        <v>7100</v>
      </c>
      <c r="Q985" s="9">
        <f>ROUNDUP(P985+(P985*Assumptions!P$5),-2)</f>
        <v>7300</v>
      </c>
      <c r="R985" s="9">
        <f>ROUNDUP(Q985+(Q985*Assumptions!Q$5),-2)</f>
        <v>7500</v>
      </c>
      <c r="S985" s="47">
        <f>ROUNDUP(R985+(R985*Assumptions!R$5),-2)</f>
        <v>7700</v>
      </c>
    </row>
    <row r="986" spans="1:19" x14ac:dyDescent="0.2">
      <c r="A986" s="54">
        <v>6900</v>
      </c>
      <c r="B986" s="9">
        <v>9600</v>
      </c>
      <c r="C986" s="9">
        <v>10600</v>
      </c>
      <c r="D986" s="9">
        <v>10200</v>
      </c>
      <c r="E986" s="9">
        <v>9500</v>
      </c>
      <c r="F986" s="239" t="s">
        <v>1891</v>
      </c>
      <c r="G986" s="55" t="s">
        <v>2009</v>
      </c>
      <c r="H986" s="9">
        <v>10200</v>
      </c>
      <c r="I986" s="85">
        <f t="shared" si="931"/>
        <v>7.3684210526315779</v>
      </c>
      <c r="J986" s="9">
        <v>10500</v>
      </c>
      <c r="K986" s="9">
        <f>ROUNDUP(J986+(J986*Assumptions!J$5),-2)</f>
        <v>10800</v>
      </c>
      <c r="L986" s="9">
        <f>ROUNDUP(K986+(K986*Assumptions!K$5),-2)</f>
        <v>11100</v>
      </c>
      <c r="M986" s="9">
        <f>ROUNDUP(L986+(L986*Assumptions!L$5),-2)</f>
        <v>11400</v>
      </c>
      <c r="N986" s="9">
        <f>ROUNDUP(M986+(M986*Assumptions!M$5),-2)</f>
        <v>11700</v>
      </c>
      <c r="O986" s="9">
        <f>ROUNDUP(N986+(N986*Assumptions!N$5),-2)</f>
        <v>12000</v>
      </c>
      <c r="P986" s="9">
        <f>ROUNDUP(O986+(O986*Assumptions!O$5),-2)</f>
        <v>12300</v>
      </c>
      <c r="Q986" s="9">
        <f>ROUNDUP(P986+(P986*Assumptions!P$5),-2)</f>
        <v>12700</v>
      </c>
      <c r="R986" s="9">
        <f>ROUNDUP(Q986+(Q986*Assumptions!Q$5),-2)</f>
        <v>13100</v>
      </c>
      <c r="S986" s="47">
        <f>ROUNDUP(R986+(R986*Assumptions!R$5),-2)</f>
        <v>13500</v>
      </c>
    </row>
    <row r="987" spans="1:19" x14ac:dyDescent="0.2">
      <c r="A987" s="54"/>
      <c r="B987" s="9"/>
      <c r="C987" s="9"/>
      <c r="D987" s="9"/>
      <c r="E987" s="9"/>
      <c r="F987" s="175"/>
      <c r="G987" s="27"/>
      <c r="H987" s="9"/>
      <c r="I987" s="85"/>
      <c r="J987" s="9"/>
      <c r="K987" s="9"/>
      <c r="L987" s="9"/>
      <c r="M987" s="9"/>
      <c r="N987" s="9"/>
      <c r="O987" s="9"/>
      <c r="P987" s="9"/>
      <c r="Q987" s="9"/>
      <c r="R987" s="9"/>
      <c r="S987" s="47"/>
    </row>
    <row r="988" spans="1:19" x14ac:dyDescent="0.2">
      <c r="A988" s="54"/>
      <c r="B988" s="9"/>
      <c r="C988" s="9"/>
      <c r="D988" s="9"/>
      <c r="E988" s="9"/>
      <c r="F988" s="239"/>
      <c r="G988" s="84" t="s">
        <v>1636</v>
      </c>
      <c r="H988" s="9"/>
      <c r="I988" s="85"/>
      <c r="J988" s="9"/>
      <c r="K988" s="9"/>
      <c r="L988" s="9"/>
      <c r="M988" s="9"/>
      <c r="N988" s="9"/>
      <c r="O988" s="9"/>
      <c r="P988" s="9"/>
      <c r="Q988" s="9"/>
      <c r="R988" s="9"/>
      <c r="S988" s="47"/>
    </row>
    <row r="989" spans="1:19" x14ac:dyDescent="0.2">
      <c r="A989" s="54">
        <v>81000</v>
      </c>
      <c r="B989" s="9">
        <v>74000</v>
      </c>
      <c r="C989" s="9">
        <v>17000</v>
      </c>
      <c r="D989" s="9">
        <v>19000</v>
      </c>
      <c r="E989" s="9">
        <v>24000</v>
      </c>
      <c r="F989" s="239" t="s">
        <v>802</v>
      </c>
      <c r="G989" s="55" t="s">
        <v>942</v>
      </c>
      <c r="H989" s="9">
        <v>25000</v>
      </c>
      <c r="I989" s="85">
        <f>IF(E989=H989,0,IF(E989=0,100,(H989-E989)/E989*100))</f>
        <v>4.1666666666666661</v>
      </c>
      <c r="J989" s="9">
        <f>ROUND(H989*Assumptions!I$5+GM!H989,-2)</f>
        <v>25600</v>
      </c>
      <c r="K989" s="9">
        <f>ROUND(J989*Assumptions!J$5+GM!J989,-2)</f>
        <v>26200</v>
      </c>
      <c r="L989" s="9">
        <f>ROUND(K989*Assumptions!K$5+GM!K989,-2)</f>
        <v>26900</v>
      </c>
      <c r="M989" s="9">
        <f>ROUND(L989*Assumptions!L$5+GM!L989,-2)</f>
        <v>27600</v>
      </c>
      <c r="N989" s="9">
        <f>ROUND(M989*Assumptions!M$5+GM!M989,-2)</f>
        <v>28300</v>
      </c>
      <c r="O989" s="9">
        <f>ROUND(N989*Assumptions!N$5+GM!N989,-2)</f>
        <v>29000</v>
      </c>
      <c r="P989" s="9">
        <f>ROUND(O989*Assumptions!O$5+GM!O989,-2)</f>
        <v>29700</v>
      </c>
      <c r="Q989" s="9">
        <f>ROUND(P989*Assumptions!P$5+GM!P989,-2)</f>
        <v>30400</v>
      </c>
      <c r="R989" s="9">
        <f>ROUND(Q989*Assumptions!Q$5+GM!Q989,-2)</f>
        <v>31200</v>
      </c>
      <c r="S989" s="47">
        <f>ROUND(R989*Assumptions!R$5+GM!R989,-2)</f>
        <v>32000</v>
      </c>
    </row>
    <row r="990" spans="1:19" x14ac:dyDescent="0.2">
      <c r="A990" s="54"/>
      <c r="B990" s="9"/>
      <c r="C990" s="9"/>
      <c r="D990" s="9"/>
      <c r="E990" s="9"/>
      <c r="F990" s="239"/>
      <c r="G990" s="46"/>
      <c r="H990" s="9"/>
      <c r="I990" s="85"/>
      <c r="J990" s="9"/>
      <c r="K990" s="9"/>
      <c r="L990" s="9"/>
      <c r="M990" s="9"/>
      <c r="N990" s="9"/>
      <c r="O990" s="9"/>
      <c r="P990" s="9"/>
      <c r="Q990" s="9"/>
      <c r="R990" s="9"/>
      <c r="S990" s="47"/>
    </row>
    <row r="991" spans="1:19" x14ac:dyDescent="0.2">
      <c r="A991" s="54"/>
      <c r="B991" s="9"/>
      <c r="C991" s="9"/>
      <c r="D991" s="9"/>
      <c r="E991" s="9"/>
      <c r="F991" s="239"/>
      <c r="G991" s="27" t="s">
        <v>1112</v>
      </c>
      <c r="H991" s="9"/>
      <c r="I991" s="85"/>
      <c r="J991" s="9"/>
      <c r="K991" s="9"/>
      <c r="L991" s="9"/>
      <c r="M991" s="9"/>
      <c r="N991" s="9"/>
      <c r="O991" s="9"/>
      <c r="P991" s="9"/>
      <c r="Q991" s="9"/>
      <c r="R991" s="9"/>
      <c r="S991" s="47"/>
    </row>
    <row r="992" spans="1:19" x14ac:dyDescent="0.2">
      <c r="A992" s="54">
        <v>2000</v>
      </c>
      <c r="B992" s="9">
        <v>0</v>
      </c>
      <c r="C992" s="9">
        <v>0</v>
      </c>
      <c r="D992" s="9">
        <v>0</v>
      </c>
      <c r="E992" s="9">
        <v>0</v>
      </c>
      <c r="F992" s="239" t="s">
        <v>1427</v>
      </c>
      <c r="G992" s="46" t="s">
        <v>1426</v>
      </c>
      <c r="H992" s="9">
        <v>0</v>
      </c>
      <c r="I992" s="85">
        <f>IF(E992=H992,0,IF(E992=0,100,(H992-E992)/E992*100))</f>
        <v>0</v>
      </c>
      <c r="J992" s="9">
        <v>0</v>
      </c>
      <c r="K992" s="9">
        <v>0</v>
      </c>
      <c r="L992" s="9">
        <v>0</v>
      </c>
      <c r="M992" s="9">
        <v>0</v>
      </c>
      <c r="N992" s="9">
        <v>0</v>
      </c>
      <c r="O992" s="9">
        <v>0</v>
      </c>
      <c r="P992" s="9">
        <v>0</v>
      </c>
      <c r="Q992" s="9">
        <v>0</v>
      </c>
      <c r="R992" s="9">
        <v>0</v>
      </c>
      <c r="S992" s="47">
        <v>0</v>
      </c>
    </row>
    <row r="993" spans="1:23" x14ac:dyDescent="0.2">
      <c r="A993" s="54"/>
      <c r="B993" s="9"/>
      <c r="C993" s="9"/>
      <c r="D993" s="9"/>
      <c r="E993" s="9"/>
      <c r="F993" s="239"/>
      <c r="G993" s="46"/>
      <c r="H993" s="9"/>
      <c r="I993" s="85"/>
      <c r="J993" s="9"/>
      <c r="K993" s="9"/>
      <c r="L993" s="9"/>
      <c r="M993" s="9"/>
      <c r="N993" s="9"/>
      <c r="O993" s="9"/>
      <c r="P993" s="9"/>
      <c r="Q993" s="9"/>
      <c r="R993" s="9"/>
      <c r="S993" s="47"/>
    </row>
    <row r="994" spans="1:23" x14ac:dyDescent="0.2">
      <c r="A994" s="54"/>
      <c r="B994" s="9"/>
      <c r="C994" s="9"/>
      <c r="D994" s="9"/>
      <c r="E994" s="9"/>
      <c r="F994" s="239"/>
      <c r="G994" s="92" t="s">
        <v>2638</v>
      </c>
      <c r="H994" s="9"/>
      <c r="I994" s="85"/>
      <c r="J994" s="9"/>
      <c r="K994" s="9"/>
      <c r="L994" s="9"/>
      <c r="M994" s="9"/>
      <c r="N994" s="9"/>
      <c r="O994" s="9"/>
      <c r="P994" s="9"/>
      <c r="Q994" s="9"/>
      <c r="R994" s="9"/>
      <c r="S994" s="47"/>
    </row>
    <row r="995" spans="1:23" x14ac:dyDescent="0.2">
      <c r="A995" s="54">
        <v>16700</v>
      </c>
      <c r="B995" s="9">
        <v>439700</v>
      </c>
      <c r="C995" s="9">
        <v>13600</v>
      </c>
      <c r="D995" s="9">
        <v>14000</v>
      </c>
      <c r="E995" s="9">
        <v>13600</v>
      </c>
      <c r="F995" s="239" t="s">
        <v>1035</v>
      </c>
      <c r="G995" s="46" t="s">
        <v>2048</v>
      </c>
      <c r="H995" s="9">
        <v>14300</v>
      </c>
      <c r="I995" s="85">
        <f>IF(E995=H995,0,IF(E995=0,100,(H995-E995)/E995*100))</f>
        <v>5.1470588235294112</v>
      </c>
      <c r="J995" s="9">
        <v>15000</v>
      </c>
      <c r="K995" s="9">
        <f>ROUNDUP(J995+(J995*Assumptions!J$18),-2)</f>
        <v>15300</v>
      </c>
      <c r="L995" s="9">
        <f>ROUNDUP(K995+(K995*Assumptions!K$18),-2)</f>
        <v>15700</v>
      </c>
      <c r="M995" s="9">
        <f>ROUNDUP(L995+(L995*Assumptions!L$18),-2)</f>
        <v>16100</v>
      </c>
      <c r="N995" s="9">
        <f>ROUNDUP(M995+(M995*Assumptions!M$18),-2)</f>
        <v>16500</v>
      </c>
      <c r="O995" s="9">
        <f>ROUNDUP(N995+(N995*Assumptions!N$18),-2)</f>
        <v>16900</v>
      </c>
      <c r="P995" s="9">
        <f>ROUNDUP(O995+(O995*Assumptions!O$18),-2)</f>
        <v>17300</v>
      </c>
      <c r="Q995" s="9">
        <f>ROUNDUP(P995+(P995*Assumptions!P$18),-2)</f>
        <v>17700</v>
      </c>
      <c r="R995" s="9">
        <f>ROUNDUP(Q995+(Q995*Assumptions!Q$18),-2)</f>
        <v>18100</v>
      </c>
      <c r="S995" s="47">
        <f>ROUNDUP(R995+(R995*Assumptions!R$18),-2)</f>
        <v>18500</v>
      </c>
    </row>
    <row r="996" spans="1:23" ht="13.5" thickBot="1" x14ac:dyDescent="0.25">
      <c r="A996" s="24"/>
      <c r="B996" s="21"/>
      <c r="C996" s="21"/>
      <c r="D996" s="21"/>
      <c r="E996" s="9"/>
      <c r="F996" s="175"/>
      <c r="G996" s="27"/>
      <c r="H996" s="9"/>
      <c r="I996" s="126"/>
      <c r="J996" s="9"/>
      <c r="K996" s="9"/>
      <c r="L996" s="9"/>
      <c r="M996" s="9"/>
      <c r="N996" s="9"/>
      <c r="O996" s="9"/>
      <c r="P996" s="9"/>
      <c r="Q996" s="9"/>
      <c r="R996" s="9"/>
      <c r="S996" s="47"/>
    </row>
    <row r="997" spans="1:23" s="39" customFormat="1" x14ac:dyDescent="0.2">
      <c r="A997" s="52">
        <f>SUM(A967:A996)</f>
        <v>300900</v>
      </c>
      <c r="B997" s="16">
        <f>SUM(B967:B996)</f>
        <v>740700</v>
      </c>
      <c r="C997" s="16">
        <f>SUM(C967:C996)</f>
        <v>273100</v>
      </c>
      <c r="D997" s="16">
        <f>SUM(D967:D996)</f>
        <v>264600</v>
      </c>
      <c r="E997" s="16">
        <f t="shared" ref="E997" si="932">SUM(E967:E996)</f>
        <v>273400</v>
      </c>
      <c r="F997" s="188"/>
      <c r="G997" s="59" t="s">
        <v>556</v>
      </c>
      <c r="H997" s="16">
        <f t="shared" ref="H997:O997" si="933">SUM(H967:H996)</f>
        <v>300200</v>
      </c>
      <c r="I997" s="127">
        <f>IF(E997=H997,0,IF(E997=0,100,(H997-E997)/E997*100))</f>
        <v>9.8024871982443305</v>
      </c>
      <c r="J997" s="16">
        <f t="shared" si="933"/>
        <v>308900</v>
      </c>
      <c r="K997" s="16">
        <f t="shared" si="933"/>
        <v>317400</v>
      </c>
      <c r="L997" s="16">
        <f t="shared" si="933"/>
        <v>326200</v>
      </c>
      <c r="M997" s="16">
        <f t="shared" si="933"/>
        <v>335200</v>
      </c>
      <c r="N997" s="16">
        <f t="shared" si="933"/>
        <v>344400</v>
      </c>
      <c r="O997" s="16">
        <f t="shared" si="933"/>
        <v>353700</v>
      </c>
      <c r="P997" s="16">
        <f t="shared" ref="P997:Q997" si="934">SUM(P967:P996)</f>
        <v>363200</v>
      </c>
      <c r="Q997" s="16">
        <f t="shared" si="934"/>
        <v>373000</v>
      </c>
      <c r="R997" s="16">
        <f t="shared" ref="R997" si="935">SUM(R967:R996)</f>
        <v>383200</v>
      </c>
      <c r="S997" s="2342">
        <f t="shared" ref="S997" si="936">SUM(S967:S996)</f>
        <v>393600</v>
      </c>
      <c r="U997" s="34"/>
      <c r="W997" s="34"/>
    </row>
    <row r="998" spans="1:23" x14ac:dyDescent="0.2">
      <c r="A998" s="54"/>
      <c r="B998" s="9"/>
      <c r="C998" s="9"/>
      <c r="D998" s="9"/>
      <c r="E998" s="9"/>
      <c r="F998" s="177"/>
      <c r="G998" s="55"/>
      <c r="H998" s="9"/>
      <c r="I998" s="85"/>
      <c r="J998" s="9"/>
      <c r="K998" s="9"/>
      <c r="L998" s="9"/>
      <c r="M998" s="9"/>
      <c r="N998" s="9"/>
      <c r="O998" s="9"/>
      <c r="P998" s="9"/>
      <c r="Q998" s="9"/>
      <c r="R998" s="9"/>
      <c r="S998" s="47"/>
    </row>
    <row r="999" spans="1:23" s="39" customFormat="1" x14ac:dyDescent="0.2">
      <c r="A999" s="24">
        <f>A965-A997</f>
        <v>53800</v>
      </c>
      <c r="B999" s="21">
        <f>B965-B997</f>
        <v>-318100</v>
      </c>
      <c r="C999" s="21">
        <f>C965-C997</f>
        <v>159300</v>
      </c>
      <c r="D999" s="21">
        <f>D965-D997</f>
        <v>157000</v>
      </c>
      <c r="E999" s="21">
        <f t="shared" ref="E999" si="937">E965-E997</f>
        <v>140000</v>
      </c>
      <c r="F999" s="188"/>
      <c r="G999" s="1161" t="s">
        <v>1002</v>
      </c>
      <c r="H999" s="21">
        <f t="shared" ref="H999:O999" si="938">H965-H997</f>
        <v>138000</v>
      </c>
      <c r="I999" s="126">
        <f>IF(E999=H999,0,IF(E999=0,100,(H999-E999)/E999*100))</f>
        <v>-1.4285714285714286</v>
      </c>
      <c r="J999" s="21">
        <f t="shared" si="938"/>
        <v>139500</v>
      </c>
      <c r="K999" s="21">
        <f t="shared" si="938"/>
        <v>142300</v>
      </c>
      <c r="L999" s="21">
        <f t="shared" si="938"/>
        <v>145100</v>
      </c>
      <c r="M999" s="21">
        <f t="shared" si="938"/>
        <v>148000</v>
      </c>
      <c r="N999" s="21">
        <f t="shared" si="938"/>
        <v>151000</v>
      </c>
      <c r="O999" s="21">
        <f t="shared" si="938"/>
        <v>154200</v>
      </c>
      <c r="P999" s="21">
        <f t="shared" ref="P999:Q999" si="939">P965-P997</f>
        <v>157500</v>
      </c>
      <c r="Q999" s="21">
        <f t="shared" si="939"/>
        <v>160800</v>
      </c>
      <c r="R999" s="21">
        <f t="shared" ref="R999" si="940">R965-R997</f>
        <v>164000</v>
      </c>
      <c r="S999" s="86">
        <f t="shared" ref="S999" si="941">S965-S997</f>
        <v>167400</v>
      </c>
      <c r="U999" s="34"/>
      <c r="W999" s="34"/>
    </row>
    <row r="1000" spans="1:23" x14ac:dyDescent="0.2">
      <c r="A1000" s="54">
        <f>A995</f>
        <v>16700</v>
      </c>
      <c r="B1000" s="9">
        <f>B995</f>
        <v>439700</v>
      </c>
      <c r="C1000" s="9">
        <f>C995</f>
        <v>13600</v>
      </c>
      <c r="D1000" s="9">
        <f>D995</f>
        <v>14000</v>
      </c>
      <c r="E1000" s="9">
        <f t="shared" ref="E1000" si="942">E995</f>
        <v>13600</v>
      </c>
      <c r="F1000" s="177"/>
      <c r="G1000" s="217" t="s">
        <v>1943</v>
      </c>
      <c r="H1000" s="9">
        <f t="shared" ref="H1000:O1000" si="943">H995</f>
        <v>14300</v>
      </c>
      <c r="I1000" s="584">
        <f>IF(E1000=H1000,0,IF(E1000=0,100,(H1000-E1000)/E1000*100))</f>
        <v>5.1470588235294112</v>
      </c>
      <c r="J1000" s="9">
        <f t="shared" si="943"/>
        <v>15000</v>
      </c>
      <c r="K1000" s="9">
        <f t="shared" si="943"/>
        <v>15300</v>
      </c>
      <c r="L1000" s="9">
        <f t="shared" si="943"/>
        <v>15700</v>
      </c>
      <c r="M1000" s="9">
        <f t="shared" si="943"/>
        <v>16100</v>
      </c>
      <c r="N1000" s="9">
        <f t="shared" si="943"/>
        <v>16500</v>
      </c>
      <c r="O1000" s="9">
        <f t="shared" si="943"/>
        <v>16900</v>
      </c>
      <c r="P1000" s="9">
        <f t="shared" ref="P1000:Q1000" si="944">P995</f>
        <v>17300</v>
      </c>
      <c r="Q1000" s="9">
        <f t="shared" si="944"/>
        <v>17700</v>
      </c>
      <c r="R1000" s="9">
        <f t="shared" ref="R1000" si="945">R995</f>
        <v>18100</v>
      </c>
      <c r="S1000" s="47">
        <f t="shared" ref="S1000" si="946">S995</f>
        <v>18500</v>
      </c>
    </row>
    <row r="1001" spans="1:23" s="39" customFormat="1" x14ac:dyDescent="0.2">
      <c r="A1001" s="128">
        <f>A999+A1000</f>
        <v>70500</v>
      </c>
      <c r="B1001" s="280">
        <f>B999+B1000</f>
        <v>121600</v>
      </c>
      <c r="C1001" s="280">
        <f>C999+C1000</f>
        <v>172900</v>
      </c>
      <c r="D1001" s="280">
        <f>D999+D1000</f>
        <v>171000</v>
      </c>
      <c r="E1001" s="280">
        <f t="shared" ref="E1001" si="947">E999+E1000</f>
        <v>153600</v>
      </c>
      <c r="F1001" s="359"/>
      <c r="G1001" s="360" t="s">
        <v>1659</v>
      </c>
      <c r="H1001" s="280">
        <f t="shared" ref="H1001:M1001" si="948">H999+H1000</f>
        <v>152300</v>
      </c>
      <c r="I1001" s="278">
        <f>IF(E1001=H1001,0,IF(E1001=0,100,(H1001-E1001)/E1001*100))</f>
        <v>-0.84635416666666663</v>
      </c>
      <c r="J1001" s="280">
        <f t="shared" si="948"/>
        <v>154500</v>
      </c>
      <c r="K1001" s="280">
        <f t="shared" si="948"/>
        <v>157600</v>
      </c>
      <c r="L1001" s="280">
        <f t="shared" si="948"/>
        <v>160800</v>
      </c>
      <c r="M1001" s="280">
        <f t="shared" si="948"/>
        <v>164100</v>
      </c>
      <c r="N1001" s="280">
        <f t="shared" ref="N1001:R1001" si="949">N999+N1000</f>
        <v>167500</v>
      </c>
      <c r="O1001" s="280">
        <f t="shared" si="949"/>
        <v>171100</v>
      </c>
      <c r="P1001" s="280">
        <f t="shared" si="949"/>
        <v>174800</v>
      </c>
      <c r="Q1001" s="280">
        <f t="shared" si="949"/>
        <v>178500</v>
      </c>
      <c r="R1001" s="280">
        <f t="shared" si="949"/>
        <v>182100</v>
      </c>
      <c r="S1001" s="2343">
        <f t="shared" ref="S1001" si="950">S999+S1000</f>
        <v>185900</v>
      </c>
      <c r="U1001" s="34"/>
      <c r="W1001" s="34"/>
    </row>
    <row r="1002" spans="1:23" ht="13.5" thickBot="1" x14ac:dyDescent="0.25">
      <c r="A1002" s="26"/>
      <c r="B1002" s="37"/>
      <c r="C1002" s="37"/>
      <c r="D1002" s="37"/>
      <c r="E1002" s="23"/>
      <c r="F1002" s="191"/>
      <c r="G1002" s="88"/>
      <c r="H1002" s="68"/>
      <c r="I1002" s="275"/>
      <c r="J1002" s="68"/>
      <c r="K1002" s="68"/>
      <c r="L1002" s="68"/>
      <c r="M1002" s="68"/>
      <c r="N1002" s="68"/>
      <c r="O1002" s="68"/>
      <c r="P1002" s="68"/>
      <c r="Q1002" s="68"/>
      <c r="R1002" s="68"/>
      <c r="S1002" s="108"/>
    </row>
    <row r="1003" spans="1:23" ht="13.5" thickTop="1" x14ac:dyDescent="0.2">
      <c r="A1003" s="270"/>
      <c r="B1003" s="69"/>
      <c r="C1003" s="109"/>
      <c r="D1003" s="109"/>
      <c r="E1003" s="74"/>
      <c r="F1003" s="192"/>
      <c r="G1003" s="258"/>
      <c r="H1003" s="74"/>
      <c r="I1003" s="352"/>
      <c r="J1003" s="74"/>
      <c r="K1003" s="74"/>
      <c r="L1003" s="74"/>
      <c r="M1003" s="74"/>
      <c r="N1003" s="74"/>
      <c r="O1003" s="74"/>
      <c r="P1003" s="74"/>
      <c r="Q1003" s="74"/>
      <c r="R1003" s="74"/>
      <c r="S1003" s="110"/>
    </row>
    <row r="1004" spans="1:23" x14ac:dyDescent="0.2">
      <c r="A1004" s="24"/>
      <c r="B1004" s="75"/>
      <c r="C1004" s="21"/>
      <c r="D1004" s="21"/>
      <c r="E1004" s="9"/>
      <c r="F1004" s="189"/>
      <c r="G1004" s="361" t="s">
        <v>192</v>
      </c>
      <c r="H1004" s="9"/>
      <c r="I1004" s="126"/>
      <c r="J1004" s="9"/>
      <c r="K1004" s="9"/>
      <c r="L1004" s="9"/>
      <c r="M1004" s="9"/>
      <c r="N1004" s="9"/>
      <c r="O1004" s="9"/>
      <c r="P1004" s="9"/>
      <c r="Q1004" s="9"/>
      <c r="R1004" s="9"/>
      <c r="S1004" s="61"/>
    </row>
    <row r="1005" spans="1:23" x14ac:dyDescent="0.2">
      <c r="A1005" s="54">
        <v>40200</v>
      </c>
      <c r="B1005" s="89">
        <v>0</v>
      </c>
      <c r="C1005" s="89">
        <v>0</v>
      </c>
      <c r="D1005" s="9">
        <v>0</v>
      </c>
      <c r="E1005" s="9">
        <v>0</v>
      </c>
      <c r="F1005" s="165"/>
      <c r="G1005" s="257" t="s">
        <v>2848</v>
      </c>
      <c r="H1005" s="9">
        <v>0</v>
      </c>
      <c r="I1005" s="85">
        <f>IF(E1005=H1005,0,IF(E1005=0,100,(H1005-E1005)/E1005*100))</f>
        <v>0</v>
      </c>
      <c r="J1005" s="9">
        <v>0</v>
      </c>
      <c r="K1005" s="9">
        <v>0</v>
      </c>
      <c r="L1005" s="9">
        <v>0</v>
      </c>
      <c r="M1005" s="9">
        <v>0</v>
      </c>
      <c r="N1005" s="9">
        <v>0</v>
      </c>
      <c r="O1005" s="9">
        <v>0</v>
      </c>
      <c r="P1005" s="9">
        <v>0</v>
      </c>
      <c r="Q1005" s="9">
        <v>0</v>
      </c>
      <c r="R1005" s="9">
        <v>0</v>
      </c>
      <c r="S1005" s="61">
        <v>0</v>
      </c>
    </row>
    <row r="1006" spans="1:23" x14ac:dyDescent="0.2">
      <c r="A1006" s="54">
        <v>70800</v>
      </c>
      <c r="B1006" s="89">
        <v>121600</v>
      </c>
      <c r="C1006" s="9">
        <v>172900</v>
      </c>
      <c r="D1006" s="9">
        <f>'Res-Gen'!B131</f>
        <v>171000</v>
      </c>
      <c r="E1006" s="9">
        <f>'Res-Gen'!E131</f>
        <v>153600</v>
      </c>
      <c r="F1006" s="165"/>
      <c r="G1006" s="257" t="s">
        <v>1909</v>
      </c>
      <c r="H1006" s="9">
        <f>'Res-Gen'!H131+500</f>
        <v>152300</v>
      </c>
      <c r="I1006" s="85">
        <f>IF(E1006=H1006,0,IF(E1006=0,100,(H1006-E1006)/E1006*100))</f>
        <v>-0.84635416666666663</v>
      </c>
      <c r="J1006" s="9">
        <f>'Res-Gen'!K131</f>
        <v>154500</v>
      </c>
      <c r="K1006" s="9">
        <f>'Res-Gen'!N131</f>
        <v>157600</v>
      </c>
      <c r="L1006" s="9">
        <f>'Res-Gen'!Q131</f>
        <v>160800</v>
      </c>
      <c r="M1006" s="9">
        <f>'Res-Gen'!T131</f>
        <v>164100</v>
      </c>
      <c r="N1006" s="9">
        <f>'Res-Gen'!W131</f>
        <v>167500</v>
      </c>
      <c r="O1006" s="9">
        <f>'Res-Gen'!Z131</f>
        <v>171100</v>
      </c>
      <c r="P1006" s="9">
        <f>'Res-Gen'!AC131</f>
        <v>174800</v>
      </c>
      <c r="Q1006" s="9">
        <f>'Res-Gen'!AF131</f>
        <v>178500</v>
      </c>
      <c r="R1006" s="9">
        <f>'Res-Gen'!AI131</f>
        <v>182100</v>
      </c>
      <c r="S1006" s="61">
        <f>'Res-Gen'!AL131</f>
        <v>185900</v>
      </c>
    </row>
    <row r="1007" spans="1:23" x14ac:dyDescent="0.2">
      <c r="A1007" s="54">
        <v>52200</v>
      </c>
      <c r="B1007" s="89">
        <v>8000</v>
      </c>
      <c r="C1007" s="9">
        <v>0</v>
      </c>
      <c r="D1007" s="9">
        <f>'Res-Gen'!C131</f>
        <v>0</v>
      </c>
      <c r="E1007" s="9">
        <f>'Res-Gen'!F131</f>
        <v>0</v>
      </c>
      <c r="F1007" s="165"/>
      <c r="G1007" s="257" t="s">
        <v>2309</v>
      </c>
      <c r="H1007" s="9">
        <f>'Res-Gen'!I131-150000</f>
        <v>120000</v>
      </c>
      <c r="I1007" s="85">
        <f>IF(E1007=H1007,0,IF(E1007=0,100,(H1007-E1007)/E1007*100))</f>
        <v>100</v>
      </c>
      <c r="J1007" s="9">
        <f>'Res-Gen'!L131</f>
        <v>60000</v>
      </c>
      <c r="K1007" s="9">
        <f>'Res-Gen'!O131</f>
        <v>100000</v>
      </c>
      <c r="L1007" s="9">
        <f>'Res-Gen'!R131</f>
        <v>20000</v>
      </c>
      <c r="M1007" s="9">
        <f>'Res-Gen'!U131</f>
        <v>21000</v>
      </c>
      <c r="N1007" s="9">
        <f>'Res-Gen'!X131</f>
        <v>22000</v>
      </c>
      <c r="O1007" s="9">
        <f>'Res-Gen'!AA131</f>
        <v>23000</v>
      </c>
      <c r="P1007" s="9">
        <f>'Res-Gen'!AD131</f>
        <v>24000</v>
      </c>
      <c r="Q1007" s="9">
        <f>'Res-Gen'!AG131</f>
        <v>25000</v>
      </c>
      <c r="R1007" s="9">
        <f>'Res-Gen'!AJ131</f>
        <v>26000</v>
      </c>
      <c r="S1007" s="61">
        <f>'Res-Gen'!AM131</f>
        <v>27000</v>
      </c>
    </row>
    <row r="1008" spans="1:23" x14ac:dyDescent="0.2">
      <c r="A1008" s="54">
        <v>0</v>
      </c>
      <c r="B1008" s="89">
        <v>0</v>
      </c>
      <c r="C1008" s="89">
        <v>0</v>
      </c>
      <c r="D1008" s="9">
        <f>SUM('Cap-Gen'!R54:T55)</f>
        <v>0</v>
      </c>
      <c r="E1008" s="9">
        <f>SUM('Cap-Gen'!W54:Y55)</f>
        <v>0</v>
      </c>
      <c r="F1008" s="165"/>
      <c r="G1008" s="257" t="s">
        <v>5847</v>
      </c>
      <c r="H1008" s="9">
        <f>SUM('Cap-Gen'!AB54:AD55)</f>
        <v>0</v>
      </c>
      <c r="I1008" s="85">
        <f>IF(E1008=H1008,0,IF(E1008=0,100,(H1008-E1008)/E1008*100))</f>
        <v>0</v>
      </c>
      <c r="J1008" s="9">
        <f>SUM('Cap-Gen'!AG54:AI55)</f>
        <v>0</v>
      </c>
      <c r="K1008" s="9">
        <f>SUM('Cap-Gen'!AL54:AN55)</f>
        <v>0</v>
      </c>
      <c r="L1008" s="9">
        <f>SUM('Cap-Gen'!AQ54:AS55)</f>
        <v>0</v>
      </c>
      <c r="M1008" s="9">
        <f>SUM('Cap-Gen'!AV54:AX55)</f>
        <v>0</v>
      </c>
      <c r="N1008" s="9">
        <f>SUM('Cap-Gen'!BA54:BC55)</f>
        <v>0</v>
      </c>
      <c r="O1008" s="9">
        <f>SUM('Cap-Gen'!BF54:BH55)</f>
        <v>0</v>
      </c>
      <c r="P1008" s="9">
        <f>SUM('Cap-Gen'!BK54:BM55)</f>
        <v>0</v>
      </c>
      <c r="Q1008" s="9">
        <f>SUM('Cap-Gen'!BP55:BR55)</f>
        <v>0</v>
      </c>
      <c r="R1008" s="9">
        <f>SUM('Cap-Gen'!BU55:BU55)</f>
        <v>0</v>
      </c>
      <c r="S1008" s="61">
        <f>SUM('Cap-Gen'!BV55:BV55)</f>
        <v>0</v>
      </c>
    </row>
    <row r="1009" spans="1:23" x14ac:dyDescent="0.2">
      <c r="A1009" s="54">
        <v>11700</v>
      </c>
      <c r="B1009" s="89">
        <v>8000</v>
      </c>
      <c r="C1009" s="9">
        <v>0</v>
      </c>
      <c r="D1009" s="9">
        <f>SUM('Cap-Gen'!E54:E55)</f>
        <v>0</v>
      </c>
      <c r="E1009" s="9">
        <f>SUM('Cap-Gen'!F54:F55)</f>
        <v>0</v>
      </c>
      <c r="F1009" s="165"/>
      <c r="G1009" s="257" t="s">
        <v>958</v>
      </c>
      <c r="H1009" s="9">
        <f>SUM('Cap-Gen'!G54:G55)</f>
        <v>120000</v>
      </c>
      <c r="I1009" s="85">
        <f>IF(E1009=H1009,0,IF(E1009=0,100,(H1009-E1009)/E1009*100))</f>
        <v>100</v>
      </c>
      <c r="J1009" s="9">
        <f>SUM('Cap-Gen'!H54:H55)</f>
        <v>60000</v>
      </c>
      <c r="K1009" s="9">
        <f>SUM('Cap-Gen'!I54:I55)</f>
        <v>100000</v>
      </c>
      <c r="L1009" s="9">
        <f>SUM('Cap-Gen'!J54:J55)</f>
        <v>20000</v>
      </c>
      <c r="M1009" s="9">
        <f>SUM('Cap-Gen'!K54:K55)</f>
        <v>21000</v>
      </c>
      <c r="N1009" s="9">
        <f>SUM('Cap-Gen'!L54:L55)</f>
        <v>22000</v>
      </c>
      <c r="O1009" s="9">
        <f>SUM('Cap-Gen'!M54:M55)</f>
        <v>23000</v>
      </c>
      <c r="P1009" s="9">
        <f>SUM('Cap-Gen'!N54:N55)</f>
        <v>24000</v>
      </c>
      <c r="Q1009" s="9">
        <f>SUM('Cap-Gen'!O54:O55)</f>
        <v>25000</v>
      </c>
      <c r="R1009" s="9">
        <f>SUM('Cap-Gen'!P54:P55)</f>
        <v>26000</v>
      </c>
      <c r="S1009" s="47">
        <f>SUM('Cap-Gen'!Q54:Q55)</f>
        <v>27000</v>
      </c>
    </row>
    <row r="1010" spans="1:23" x14ac:dyDescent="0.2">
      <c r="A1010" s="54"/>
      <c r="B1010" s="89"/>
      <c r="C1010" s="9"/>
      <c r="D1010" s="9"/>
      <c r="E1010" s="9"/>
      <c r="F1010" s="189"/>
      <c r="G1010" s="361"/>
      <c r="H1010" s="9"/>
      <c r="I1010" s="85"/>
      <c r="J1010" s="9"/>
      <c r="K1010" s="9"/>
      <c r="L1010" s="9"/>
      <c r="M1010" s="9"/>
      <c r="N1010" s="9"/>
      <c r="O1010" s="9"/>
      <c r="P1010" s="9"/>
      <c r="Q1010" s="9"/>
      <c r="R1010" s="9"/>
      <c r="S1010" s="61"/>
    </row>
    <row r="1011" spans="1:23" s="39" customFormat="1" x14ac:dyDescent="0.2">
      <c r="A1011" s="128">
        <f>A1001-A1005-A1006+A1007++A1008-A1009</f>
        <v>0</v>
      </c>
      <c r="B1011" s="266">
        <f>B1001-B1005-B1006+B1007++B1008-B1009</f>
        <v>0</v>
      </c>
      <c r="C1011" s="280">
        <f>C1001-C1005-C1006+C1007++C1008-C1009</f>
        <v>0</v>
      </c>
      <c r="D1011" s="280">
        <f>D1001-D1005-D1006+D1007++D1008-D1009</f>
        <v>0</v>
      </c>
      <c r="E1011" s="280">
        <f t="shared" ref="E1011" si="951">E1001-E1005-E1006+E1007++E1008-E1009</f>
        <v>0</v>
      </c>
      <c r="F1011" s="566"/>
      <c r="G1011" s="363" t="s">
        <v>2447</v>
      </c>
      <c r="H1011" s="280">
        <f t="shared" ref="H1011:M1011" si="952">H1001-H1005-H1006+H1007++H1008-H1009</f>
        <v>0</v>
      </c>
      <c r="I1011" s="278">
        <f>IF(E1011=H1011,0,IF(E1011=0,100,(H1011-E1011)/E1011*100))</f>
        <v>0</v>
      </c>
      <c r="J1011" s="280">
        <f t="shared" si="952"/>
        <v>0</v>
      </c>
      <c r="K1011" s="280">
        <f t="shared" si="952"/>
        <v>0</v>
      </c>
      <c r="L1011" s="280">
        <f t="shared" si="952"/>
        <v>0</v>
      </c>
      <c r="M1011" s="280">
        <f t="shared" si="952"/>
        <v>0</v>
      </c>
      <c r="N1011" s="280">
        <f t="shared" ref="N1011:S1011" si="953">N1001-N1005-N1006+N1007++N1008-N1009</f>
        <v>0</v>
      </c>
      <c r="O1011" s="280">
        <f t="shared" si="953"/>
        <v>0</v>
      </c>
      <c r="P1011" s="280">
        <f t="shared" si="953"/>
        <v>0</v>
      </c>
      <c r="Q1011" s="280">
        <f t="shared" si="953"/>
        <v>0</v>
      </c>
      <c r="R1011" s="280">
        <f t="shared" si="953"/>
        <v>0</v>
      </c>
      <c r="S1011" s="282">
        <f t="shared" si="953"/>
        <v>0</v>
      </c>
      <c r="U1011" s="34"/>
      <c r="W1011" s="34"/>
    </row>
    <row r="1012" spans="1:23" ht="13.5" thickBot="1" x14ac:dyDescent="0.25">
      <c r="A1012" s="26"/>
      <c r="B1012" s="81"/>
      <c r="C1012" s="37"/>
      <c r="D1012" s="37"/>
      <c r="E1012" s="23"/>
      <c r="F1012" s="400"/>
      <c r="G1012" s="259"/>
      <c r="H1012" s="23"/>
      <c r="I1012" s="275"/>
      <c r="J1012" s="23"/>
      <c r="K1012" s="23"/>
      <c r="L1012" s="23"/>
      <c r="M1012" s="23"/>
      <c r="N1012" s="23"/>
      <c r="O1012" s="23"/>
      <c r="P1012" s="23"/>
      <c r="Q1012" s="23"/>
      <c r="R1012" s="23"/>
      <c r="S1012" s="112"/>
    </row>
    <row r="1013" spans="1:23" s="46" customFormat="1" ht="14.25" thickTop="1" thickBot="1" x14ac:dyDescent="0.25">
      <c r="A1013" s="27"/>
      <c r="B1013" s="27"/>
      <c r="C1013" s="143"/>
      <c r="D1013" s="143"/>
      <c r="E1013" s="143"/>
      <c r="F1013" s="169"/>
      <c r="G1013" s="84"/>
      <c r="I1013" s="2234"/>
      <c r="U1013" s="34"/>
      <c r="W1013" s="34"/>
    </row>
    <row r="1014" spans="1:23" s="38" customFormat="1" ht="18.75" customHeight="1" thickTop="1" thickBot="1" x14ac:dyDescent="0.3">
      <c r="A1014" s="2588" t="s">
        <v>1683</v>
      </c>
      <c r="B1014" s="2589"/>
      <c r="C1014" s="2589"/>
      <c r="D1014" s="2589"/>
      <c r="E1014" s="2589"/>
      <c r="F1014" s="2589"/>
      <c r="G1014" s="2589"/>
      <c r="H1014" s="2589"/>
      <c r="I1014" s="2589"/>
      <c r="J1014" s="2589"/>
      <c r="K1014" s="2589"/>
      <c r="L1014" s="2589"/>
      <c r="M1014" s="2589"/>
      <c r="N1014" s="2589"/>
      <c r="O1014" s="2589"/>
      <c r="P1014" s="2589"/>
      <c r="Q1014" s="2589"/>
      <c r="R1014" s="2589"/>
      <c r="S1014" s="2590"/>
      <c r="U1014" s="34"/>
      <c r="W1014" s="34"/>
    </row>
    <row r="1015" spans="1:23" s="39" customFormat="1" x14ac:dyDescent="0.2">
      <c r="A1015" s="2620" t="s">
        <v>1824</v>
      </c>
      <c r="B1015" s="2621"/>
      <c r="C1015" s="2621"/>
      <c r="D1015" s="2621"/>
      <c r="E1015" s="2622"/>
      <c r="F1015" s="150" t="s">
        <v>2616</v>
      </c>
      <c r="G1015" s="126" t="s">
        <v>2213</v>
      </c>
      <c r="H1015" s="2617" t="s">
        <v>2215</v>
      </c>
      <c r="I1015" s="2618"/>
      <c r="J1015" s="2618"/>
      <c r="K1015" s="2618"/>
      <c r="L1015" s="2618"/>
      <c r="M1015" s="2618"/>
      <c r="N1015" s="2618"/>
      <c r="O1015" s="2618"/>
      <c r="P1015" s="2618"/>
      <c r="Q1015" s="2618"/>
      <c r="R1015" s="2618"/>
      <c r="S1015" s="2619"/>
      <c r="U1015" s="34"/>
      <c r="W1015" s="34"/>
    </row>
    <row r="1016" spans="1:23" ht="12.75" customHeight="1" thickBot="1" x14ac:dyDescent="0.25">
      <c r="A1016" s="541" t="str">
        <f>CIV!A3</f>
        <v>2012/13</v>
      </c>
      <c r="B1016" s="28" t="str">
        <f>CIV!B3</f>
        <v>2013/14</v>
      </c>
      <c r="C1016" s="40" t="str">
        <f>CIV!C3</f>
        <v>2014/15</v>
      </c>
      <c r="D1016" s="40" t="str">
        <f>CIV!D3</f>
        <v>2015/16</v>
      </c>
      <c r="E1016" s="40" t="str">
        <f>CIV!E3</f>
        <v>2016/17</v>
      </c>
      <c r="F1016" s="40" t="s">
        <v>2617</v>
      </c>
      <c r="G1016" s="41"/>
      <c r="H1016" s="40" t="str">
        <f>CIV!H3</f>
        <v>2017/18</v>
      </c>
      <c r="I1016" s="1258" t="str">
        <f>I957</f>
        <v>%</v>
      </c>
      <c r="J1016" s="40" t="str">
        <f>CIV!J3</f>
        <v>2018/19</v>
      </c>
      <c r="K1016" s="40" t="str">
        <f>CIV!K3</f>
        <v>2019/20</v>
      </c>
      <c r="L1016" s="40" t="str">
        <f>CIV!L3</f>
        <v>2020/21</v>
      </c>
      <c r="M1016" s="40" t="str">
        <f>CIV!M3</f>
        <v>2021/22</v>
      </c>
      <c r="N1016" s="40" t="str">
        <f>CIV!N3</f>
        <v>2022/23</v>
      </c>
      <c r="O1016" s="40" t="str">
        <f>CIV!O3</f>
        <v>2023/24</v>
      </c>
      <c r="P1016" s="40" t="str">
        <f>CIV!P3</f>
        <v>2024/25</v>
      </c>
      <c r="Q1016" s="28" t="str">
        <f>CIV!Q3</f>
        <v>2025/26</v>
      </c>
      <c r="R1016" s="28" t="str">
        <f>CIV!R3</f>
        <v>2026/27</v>
      </c>
      <c r="S1016" s="1620" t="str">
        <f>CIV!S3</f>
        <v>2027/28</v>
      </c>
    </row>
    <row r="1017" spans="1:23" ht="12.75" customHeight="1" x14ac:dyDescent="0.2">
      <c r="A1017" s="2061"/>
      <c r="B1017" s="150"/>
      <c r="C1017" s="150"/>
      <c r="D1017" s="150"/>
      <c r="E1017" s="150"/>
      <c r="F1017" s="151"/>
      <c r="G1017" s="46"/>
      <c r="H1017" s="150"/>
      <c r="I1017" s="1395"/>
      <c r="J1017" s="150"/>
      <c r="K1017" s="150"/>
      <c r="L1017" s="150"/>
      <c r="M1017" s="150"/>
      <c r="N1017" s="150"/>
      <c r="O1017" s="150"/>
      <c r="P1017" s="150"/>
      <c r="Q1017" s="150"/>
      <c r="R1017" s="150"/>
      <c r="S1017" s="381"/>
    </row>
    <row r="1018" spans="1:23" x14ac:dyDescent="0.2">
      <c r="A1018" s="45"/>
      <c r="B1018" s="9"/>
      <c r="C1018" s="134"/>
      <c r="D1018" s="134"/>
      <c r="E1018" s="134"/>
      <c r="F1018" s="1152"/>
      <c r="G1018" s="256" t="s">
        <v>1056</v>
      </c>
      <c r="H1018" s="9"/>
      <c r="I1018" s="85"/>
      <c r="J1018" s="9"/>
      <c r="K1018" s="9"/>
      <c r="L1018" s="9"/>
      <c r="M1018" s="9"/>
      <c r="N1018" s="9"/>
      <c r="O1018" s="9"/>
      <c r="P1018" s="9"/>
      <c r="Q1018" s="9"/>
      <c r="R1018" s="9"/>
      <c r="S1018" s="61"/>
    </row>
    <row r="1019" spans="1:23" x14ac:dyDescent="0.2">
      <c r="A1019" s="45"/>
      <c r="B1019" s="9"/>
      <c r="C1019" s="136"/>
      <c r="D1019" s="134"/>
      <c r="E1019" s="134"/>
      <c r="F1019" s="1152"/>
      <c r="G1019" s="1189" t="s">
        <v>3181</v>
      </c>
      <c r="H1019" s="9"/>
      <c r="I1019" s="85"/>
      <c r="J1019" s="9"/>
      <c r="K1019" s="9"/>
      <c r="L1019" s="9"/>
      <c r="M1019" s="9"/>
      <c r="N1019" s="9"/>
      <c r="O1019" s="9"/>
      <c r="P1019" s="9"/>
      <c r="Q1019" s="9"/>
      <c r="R1019" s="9"/>
      <c r="S1019" s="61"/>
    </row>
    <row r="1020" spans="1:23" x14ac:dyDescent="0.2">
      <c r="A1020" s="54">
        <v>1931200</v>
      </c>
      <c r="B1020" s="9">
        <f>162600+563100+1283800+47600-100</f>
        <v>2057000</v>
      </c>
      <c r="C1020" s="707">
        <f>123800+566700+1397000+51100</f>
        <v>2138600</v>
      </c>
      <c r="D1020" s="134">
        <f>90075+636584+1445600+41</f>
        <v>2172300</v>
      </c>
      <c r="E1020" s="134">
        <f>87300+758500+1479400+27900</f>
        <v>2353100</v>
      </c>
      <c r="F1020" s="520" t="s">
        <v>1708</v>
      </c>
      <c r="G1020" s="661" t="s">
        <v>6006</v>
      </c>
      <c r="H1020" s="9">
        <v>2509000</v>
      </c>
      <c r="I1020" s="85">
        <f>IF(E1020=H1020,0,IF(E1020=0,100,(H1020-E1020)/E1020*100))</f>
        <v>6.6253027920615351</v>
      </c>
      <c r="J1020" s="9">
        <v>2533000</v>
      </c>
      <c r="K1020" s="9">
        <v>2547000</v>
      </c>
      <c r="L1020" s="9">
        <v>2562000</v>
      </c>
      <c r="M1020" s="9">
        <v>2575000</v>
      </c>
      <c r="N1020" s="9">
        <v>2591000</v>
      </c>
      <c r="O1020" s="9">
        <v>2605000</v>
      </c>
      <c r="P1020" s="9">
        <v>2621000</v>
      </c>
      <c r="Q1020" s="9">
        <v>2634000</v>
      </c>
      <c r="R1020" s="9">
        <v>2649000</v>
      </c>
      <c r="S1020" s="47">
        <v>2649000</v>
      </c>
    </row>
    <row r="1021" spans="1:23" x14ac:dyDescent="0.2">
      <c r="A1021" s="54">
        <v>64900</v>
      </c>
      <c r="B1021" s="9">
        <v>56000</v>
      </c>
      <c r="C1021" s="136">
        <v>39100</v>
      </c>
      <c r="D1021" s="134">
        <f>41600+17200</f>
        <v>58800</v>
      </c>
      <c r="E1021" s="134">
        <v>47400</v>
      </c>
      <c r="F1021" s="520" t="s">
        <v>1709</v>
      </c>
      <c r="G1021" s="661" t="s">
        <v>6889</v>
      </c>
      <c r="H1021" s="9">
        <v>34000</v>
      </c>
      <c r="I1021" s="85">
        <f>IF(E1021=H1021,0,IF(E1021=0,100,(H1021-E1021)/E1021*100))</f>
        <v>-28.270042194092827</v>
      </c>
      <c r="J1021" s="9">
        <f>ROUNDUP(H1021+(H1021*Assumptions!I$16),-2)</f>
        <v>35100</v>
      </c>
      <c r="K1021" s="9">
        <f>ROUNDUP(J1021+(J1021*Assumptions!J$16),-2)</f>
        <v>36200</v>
      </c>
      <c r="L1021" s="9">
        <f>ROUNDUP(K1021+(K1021*Assumptions!K$16),-2)</f>
        <v>37300</v>
      </c>
      <c r="M1021" s="9">
        <f>ROUNDUP(L1021+(L1021*Assumptions!L$16),-2)</f>
        <v>38500</v>
      </c>
      <c r="N1021" s="9">
        <f>ROUNDUP(M1021+(M1021*Assumptions!M$16),-2)</f>
        <v>39700</v>
      </c>
      <c r="O1021" s="9">
        <f>ROUNDUP(N1021+(N1021*Assumptions!N$16),-2)</f>
        <v>40900</v>
      </c>
      <c r="P1021" s="9">
        <f>ROUNDUP(O1021+(O1021*Assumptions!O$16),-2)</f>
        <v>42200</v>
      </c>
      <c r="Q1021" s="9">
        <f>ROUNDUP(P1021+(P1021*Assumptions!P$16),-2)</f>
        <v>43500</v>
      </c>
      <c r="R1021" s="9">
        <f>ROUNDUP(Q1021+(Q1021*Assumptions!Q$16),-2)</f>
        <v>44900</v>
      </c>
      <c r="S1021" s="47">
        <f>ROUNDUP(R1021+(R1021*Assumptions!R$16),-2)</f>
        <v>46300</v>
      </c>
    </row>
    <row r="1022" spans="1:23" x14ac:dyDescent="0.2">
      <c r="A1022" s="54">
        <v>0</v>
      </c>
      <c r="B1022" s="9">
        <v>0</v>
      </c>
      <c r="C1022" s="136">
        <v>0</v>
      </c>
      <c r="D1022" s="134">
        <v>0</v>
      </c>
      <c r="E1022" s="134">
        <v>69300</v>
      </c>
      <c r="F1022" s="1272" t="s">
        <v>6888</v>
      </c>
      <c r="G1022" s="661" t="s">
        <v>6952</v>
      </c>
      <c r="H1022" s="9">
        <v>31000</v>
      </c>
      <c r="I1022" s="85">
        <f>IF(E1022=H1022,0,IF(E1022=0,100,(H1022-E1022)/E1022*100))</f>
        <v>-55.266955266955264</v>
      </c>
      <c r="J1022" s="9">
        <f>ROUNDUP(H1022+(H1022*Assumptions!I$16),-2)</f>
        <v>32000</v>
      </c>
      <c r="K1022" s="9">
        <f>ROUNDUP(J1022+(J1022*Assumptions!J$16),-2)</f>
        <v>33000</v>
      </c>
      <c r="L1022" s="9">
        <f>ROUNDUP(K1022+(K1022*Assumptions!K$16),-2)</f>
        <v>34000</v>
      </c>
      <c r="M1022" s="9">
        <f>ROUNDUP(L1022+(L1022*Assumptions!L$16),-2)</f>
        <v>35100</v>
      </c>
      <c r="N1022" s="9">
        <f>ROUNDUP(M1022+(M1022*Assumptions!M$16),-2)</f>
        <v>36200</v>
      </c>
      <c r="O1022" s="9">
        <f>ROUNDUP(N1022+(N1022*Assumptions!N$16),-2)</f>
        <v>37300</v>
      </c>
      <c r="P1022" s="9">
        <f>ROUNDUP(O1022+(O1022*Assumptions!O$16),-2)</f>
        <v>38500</v>
      </c>
      <c r="Q1022" s="9">
        <f>ROUNDUP(P1022+(P1022*Assumptions!P$16),-2)</f>
        <v>39700</v>
      </c>
      <c r="R1022" s="9">
        <f>ROUNDUP(Q1022+(Q1022*Assumptions!Q$16),-2)</f>
        <v>40900</v>
      </c>
      <c r="S1022" s="47">
        <f>ROUNDUP(R1022+(R1022*Assumptions!R$16),-2)</f>
        <v>42200</v>
      </c>
    </row>
    <row r="1023" spans="1:23" x14ac:dyDescent="0.2">
      <c r="A1023" s="54">
        <v>847700</v>
      </c>
      <c r="B1023" s="9">
        <v>1078000</v>
      </c>
      <c r="C1023" s="136">
        <v>1067000</v>
      </c>
      <c r="D1023" s="134">
        <v>1265100</v>
      </c>
      <c r="E1023" s="134">
        <v>1375400</v>
      </c>
      <c r="F1023" s="520" t="s">
        <v>2332</v>
      </c>
      <c r="G1023" s="385" t="s">
        <v>973</v>
      </c>
      <c r="H1023" s="9">
        <f>1464000-40000</f>
        <v>1424000</v>
      </c>
      <c r="I1023" s="85">
        <f>IF(E1023=H1023,0,IF(E1023=0,100,(H1023-E1023)/E1023*100))</f>
        <v>3.5335175221753676</v>
      </c>
      <c r="J1023" s="9">
        <f>ROUNDUP(H1023+(H1023*Assumptions!I$16),-2)</f>
        <v>1466800</v>
      </c>
      <c r="K1023" s="9">
        <f>ROUNDUP(J1023+(J1023*Assumptions!J$16),-2)</f>
        <v>1510900</v>
      </c>
      <c r="L1023" s="9">
        <f>ROUNDUP(K1023+(K1023*Assumptions!K$16),-2)</f>
        <v>1556300</v>
      </c>
      <c r="M1023" s="9">
        <f>ROUNDUP(L1023+(L1023*Assumptions!L$16),-2)</f>
        <v>1603000</v>
      </c>
      <c r="N1023" s="9">
        <f>ROUNDUP(M1023+(M1023*Assumptions!M$16),-2)</f>
        <v>1651100</v>
      </c>
      <c r="O1023" s="9">
        <f>ROUNDUP(N1023+(N1023*Assumptions!N$16),-2)</f>
        <v>1700700</v>
      </c>
      <c r="P1023" s="9">
        <f>ROUNDUP(O1023+(O1023*Assumptions!O$16),-2)</f>
        <v>1751800</v>
      </c>
      <c r="Q1023" s="9">
        <f>ROUNDUP(P1023+(P1023*Assumptions!P$16),-2)</f>
        <v>1804400</v>
      </c>
      <c r="R1023" s="9">
        <f>ROUNDUP(Q1023+(Q1023*Assumptions!Q$16),-2)</f>
        <v>1858600</v>
      </c>
      <c r="S1023" s="47">
        <f>ROUNDUP(R1023+(R1023*Assumptions!R$16),-2)</f>
        <v>1914400</v>
      </c>
    </row>
    <row r="1024" spans="1:23" x14ac:dyDescent="0.2">
      <c r="A1024" s="54"/>
      <c r="B1024" s="9"/>
      <c r="C1024" s="136"/>
      <c r="D1024" s="134"/>
      <c r="E1024" s="134"/>
      <c r="F1024" s="520"/>
      <c r="G1024" s="1189" t="s">
        <v>677</v>
      </c>
      <c r="H1024" s="9"/>
      <c r="I1024" s="85"/>
      <c r="J1024" s="9"/>
      <c r="K1024" s="9"/>
      <c r="L1024" s="9"/>
      <c r="M1024" s="9"/>
      <c r="N1024" s="9"/>
      <c r="O1024" s="9"/>
      <c r="P1024" s="9"/>
      <c r="Q1024" s="9"/>
      <c r="R1024" s="9"/>
      <c r="S1024" s="47"/>
    </row>
    <row r="1025" spans="1:19" x14ac:dyDescent="0.2">
      <c r="A1025" s="54">
        <v>0</v>
      </c>
      <c r="B1025" s="9">
        <v>63500</v>
      </c>
      <c r="C1025" s="136">
        <v>46200</v>
      </c>
      <c r="D1025" s="134">
        <v>83800</v>
      </c>
      <c r="E1025" s="134">
        <v>57900</v>
      </c>
      <c r="F1025" s="578" t="s">
        <v>4742</v>
      </c>
      <c r="G1025" s="662" t="s">
        <v>6953</v>
      </c>
      <c r="H1025" s="9">
        <v>72000</v>
      </c>
      <c r="I1025" s="85">
        <f>IF(E1025=H1025,0,IF(E1025=0,100,(H1025-E1025)/E1025*100))</f>
        <v>24.352331606217618</v>
      </c>
      <c r="J1025" s="9">
        <f>ROUNDUP(H1025+(H1025*Assumptions!I$16),-2)</f>
        <v>74200</v>
      </c>
      <c r="K1025" s="9">
        <f>ROUNDUP(J1025+(J1025*Assumptions!J$16),-2)</f>
        <v>76500</v>
      </c>
      <c r="L1025" s="9">
        <f>ROUNDUP(K1025+(K1025*Assumptions!K$16),-2)</f>
        <v>78800</v>
      </c>
      <c r="M1025" s="9">
        <f>ROUNDUP(L1025+(L1025*Assumptions!L$16),-2)</f>
        <v>81200</v>
      </c>
      <c r="N1025" s="9">
        <f>ROUNDUP(M1025+(M1025*Assumptions!M$16),-2)</f>
        <v>83700</v>
      </c>
      <c r="O1025" s="9">
        <f>ROUNDUP(N1025+(N1025*Assumptions!N$16),-2)</f>
        <v>86300</v>
      </c>
      <c r="P1025" s="9">
        <f>ROUNDUP(O1025+(O1025*Assumptions!O$16),-2)</f>
        <v>88900</v>
      </c>
      <c r="Q1025" s="9">
        <f>ROUNDUP(P1025+(P1025*Assumptions!P$16),-2)</f>
        <v>91600</v>
      </c>
      <c r="R1025" s="9">
        <f>ROUNDUP(Q1025+(Q1025*Assumptions!Q$16),-2)</f>
        <v>94400</v>
      </c>
      <c r="S1025" s="47">
        <f>ROUNDUP(R1025+(R1025*Assumptions!R$16),-2)</f>
        <v>97300</v>
      </c>
    </row>
    <row r="1026" spans="1:19" x14ac:dyDescent="0.2">
      <c r="A1026" s="54">
        <v>0</v>
      </c>
      <c r="B1026" s="9">
        <v>0</v>
      </c>
      <c r="C1026" s="136">
        <v>0</v>
      </c>
      <c r="D1026" s="134">
        <v>0</v>
      </c>
      <c r="E1026" s="134">
        <v>99300</v>
      </c>
      <c r="F1026" s="578" t="s">
        <v>11757</v>
      </c>
      <c r="G1026" s="662" t="s">
        <v>6007</v>
      </c>
      <c r="H1026" s="9">
        <v>341000</v>
      </c>
      <c r="I1026" s="85">
        <f>IF(E1026=H1026,0,IF(E1026=0,100,(H1026-E1026)/E1026*100))</f>
        <v>243.40382678751257</v>
      </c>
      <c r="J1026" s="9">
        <v>350000</v>
      </c>
      <c r="K1026" s="9">
        <v>361000</v>
      </c>
      <c r="L1026" s="9">
        <v>371000</v>
      </c>
      <c r="M1026" s="9">
        <v>382000</v>
      </c>
      <c r="N1026" s="9">
        <v>394000</v>
      </c>
      <c r="O1026" s="9">
        <v>406000</v>
      </c>
      <c r="P1026" s="9">
        <v>418000</v>
      </c>
      <c r="Q1026" s="9">
        <f>ROUNDUP(P1026+(P1026*Assumptions!P$16),-2)</f>
        <v>430600</v>
      </c>
      <c r="R1026" s="9">
        <f>ROUNDUP(Q1026+(Q1026*Assumptions!Q$16),-2)</f>
        <v>443600</v>
      </c>
      <c r="S1026" s="47">
        <f>ROUNDUP(R1026+(R1026*Assumptions!R$16),-2)</f>
        <v>457000</v>
      </c>
    </row>
    <row r="1027" spans="1:19" x14ac:dyDescent="0.2">
      <c r="A1027" s="54">
        <v>138600</v>
      </c>
      <c r="B1027" s="9">
        <v>259700</v>
      </c>
      <c r="C1027" s="136">
        <v>240100</v>
      </c>
      <c r="D1027" s="134">
        <v>214100</v>
      </c>
      <c r="E1027" s="134">
        <v>188800</v>
      </c>
      <c r="F1027" s="520" t="s">
        <v>2816</v>
      </c>
      <c r="G1027" s="661" t="s">
        <v>2890</v>
      </c>
      <c r="H1027" s="9">
        <v>157300</v>
      </c>
      <c r="I1027" s="85">
        <f>IF(E1027=H1027,0,IF(E1027=0,100,(H1027-E1027)/E1027*100))</f>
        <v>-16.684322033898304</v>
      </c>
      <c r="J1027" s="9">
        <v>129100</v>
      </c>
      <c r="K1027" s="9">
        <v>99700</v>
      </c>
      <c r="L1027" s="9">
        <v>69100</v>
      </c>
      <c r="M1027" s="9">
        <v>37300</v>
      </c>
      <c r="N1027" s="9">
        <v>6300</v>
      </c>
      <c r="O1027" s="9">
        <v>0</v>
      </c>
      <c r="P1027" s="9">
        <v>0</v>
      </c>
      <c r="Q1027" s="9">
        <f>ROUNDUP(P1027+(P1027*Assumptions!P$16),-2)</f>
        <v>0</v>
      </c>
      <c r="R1027" s="9">
        <f>ROUNDUP(Q1027+(Q1027*Assumptions!Q$16),-2)</f>
        <v>0</v>
      </c>
      <c r="S1027" s="47">
        <f>ROUNDUP(R1027+(R1027*Assumptions!R$16),-2)</f>
        <v>0</v>
      </c>
    </row>
    <row r="1028" spans="1:19" x14ac:dyDescent="0.2">
      <c r="A1028" s="54"/>
      <c r="B1028" s="9"/>
      <c r="C1028" s="136"/>
      <c r="D1028" s="134"/>
      <c r="E1028" s="134"/>
      <c r="F1028" s="520"/>
      <c r="G1028" s="1189" t="s">
        <v>341</v>
      </c>
      <c r="H1028" s="9"/>
      <c r="I1028" s="85"/>
      <c r="J1028" s="9"/>
      <c r="K1028" s="9"/>
      <c r="L1028" s="9"/>
      <c r="M1028" s="9"/>
      <c r="N1028" s="9"/>
      <c r="O1028" s="9"/>
      <c r="P1028" s="9"/>
      <c r="Q1028" s="9"/>
      <c r="R1028" s="9"/>
      <c r="S1028" s="47"/>
    </row>
    <row r="1029" spans="1:19" x14ac:dyDescent="0.2">
      <c r="A1029" s="54">
        <v>89200</v>
      </c>
      <c r="B1029" s="9">
        <v>72000</v>
      </c>
      <c r="C1029" s="136">
        <v>0</v>
      </c>
      <c r="D1029" s="134">
        <v>0</v>
      </c>
      <c r="E1029" s="134">
        <v>0</v>
      </c>
      <c r="F1029" s="520" t="s">
        <v>2815</v>
      </c>
      <c r="G1029" s="661" t="s">
        <v>3695</v>
      </c>
      <c r="H1029" s="9">
        <f>ROUND(IF('Res-Bal'!G60&lt;0,0,'Res-Bal'!G60*Assumptions!H14),-3)</f>
        <v>0</v>
      </c>
      <c r="I1029" s="85">
        <f>IF(E1029=H1029,0,IF(E1029=0,100,(H1029-E1029)/E1029*100))</f>
        <v>0</v>
      </c>
      <c r="J1029" s="9">
        <v>0</v>
      </c>
      <c r="K1029" s="9">
        <v>0</v>
      </c>
      <c r="L1029" s="9">
        <v>0</v>
      </c>
      <c r="M1029" s="9">
        <v>0</v>
      </c>
      <c r="N1029" s="9">
        <v>0</v>
      </c>
      <c r="O1029" s="9">
        <v>0</v>
      </c>
      <c r="P1029" s="9">
        <v>0</v>
      </c>
      <c r="Q1029" s="9">
        <v>0</v>
      </c>
      <c r="R1029" s="9">
        <v>0</v>
      </c>
      <c r="S1029" s="47">
        <v>0</v>
      </c>
    </row>
    <row r="1030" spans="1:19" x14ac:dyDescent="0.2">
      <c r="A1030" s="54"/>
      <c r="B1030" s="9"/>
      <c r="C1030" s="136"/>
      <c r="D1030" s="134"/>
      <c r="E1030" s="134"/>
      <c r="F1030" s="520"/>
      <c r="G1030" s="1189" t="s">
        <v>420</v>
      </c>
      <c r="H1030" s="9"/>
      <c r="I1030" s="85"/>
      <c r="J1030" s="9"/>
      <c r="K1030" s="9"/>
      <c r="L1030" s="9"/>
      <c r="M1030" s="9"/>
      <c r="N1030" s="9"/>
      <c r="O1030" s="9"/>
      <c r="P1030" s="9"/>
      <c r="Q1030" s="9"/>
      <c r="R1030" s="9"/>
      <c r="S1030" s="47"/>
    </row>
    <row r="1031" spans="1:19" x14ac:dyDescent="0.2">
      <c r="A1031" s="54">
        <v>210300</v>
      </c>
      <c r="B1031" s="9">
        <v>228800</v>
      </c>
      <c r="C1031" s="136">
        <v>278500</v>
      </c>
      <c r="D1031" s="134">
        <v>329200</v>
      </c>
      <c r="E1031" s="134">
        <v>484300</v>
      </c>
      <c r="F1031" s="239" t="s">
        <v>1710</v>
      </c>
      <c r="G1031" s="371" t="s">
        <v>1558</v>
      </c>
      <c r="H1031" s="9">
        <v>418200</v>
      </c>
      <c r="I1031" s="85">
        <f t="shared" ref="I1031:I1042" si="954">IF(E1031=H1031,0,IF(E1031=0,100,(H1031-E1031)/E1031*100))</f>
        <v>-13.648564939087343</v>
      </c>
      <c r="J1031" s="9">
        <f>ROUNDUP(H1031+(H1031*Assumptions!I$16),-2)</f>
        <v>430800</v>
      </c>
      <c r="K1031" s="9">
        <f>ROUNDUP(J1031+(J1031*Assumptions!J$16),-2)</f>
        <v>443800</v>
      </c>
      <c r="L1031" s="9">
        <f>ROUNDUP(K1031+(K1031*Assumptions!K$16),-2)</f>
        <v>457200</v>
      </c>
      <c r="M1031" s="9">
        <f>ROUNDUP(L1031+(L1031*Assumptions!L$16),-2)</f>
        <v>471000</v>
      </c>
      <c r="N1031" s="9">
        <f>ROUNDUP(M1031+(M1031*Assumptions!M$16),-2)</f>
        <v>485200</v>
      </c>
      <c r="O1031" s="9">
        <f>ROUNDUP(N1031+(N1031*Assumptions!N$16),-2)</f>
        <v>499800</v>
      </c>
      <c r="P1031" s="9">
        <f>ROUNDUP(O1031+(O1031*Assumptions!O$16),-2)</f>
        <v>514800</v>
      </c>
      <c r="Q1031" s="9">
        <f>ROUNDUP(P1031+(P1031*Assumptions!P$16),-2)</f>
        <v>530300</v>
      </c>
      <c r="R1031" s="9">
        <f>ROUNDUP(Q1031+(Q1031*Assumptions!Q$16),-2)</f>
        <v>546300</v>
      </c>
      <c r="S1031" s="47">
        <f>ROUNDUP(R1031+(R1031*Assumptions!R$16),-2)</f>
        <v>562700</v>
      </c>
    </row>
    <row r="1032" spans="1:19" x14ac:dyDescent="0.2">
      <c r="A1032" s="54">
        <v>60200</v>
      </c>
      <c r="B1032" s="9">
        <v>62400</v>
      </c>
      <c r="C1032" s="136">
        <v>64200</v>
      </c>
      <c r="D1032" s="134">
        <v>59200</v>
      </c>
      <c r="E1032" s="134">
        <v>62100</v>
      </c>
      <c r="F1032" s="239" t="s">
        <v>1543</v>
      </c>
      <c r="G1032" s="371" t="s">
        <v>2373</v>
      </c>
      <c r="H1032" s="9">
        <v>65700</v>
      </c>
      <c r="I1032" s="85">
        <f t="shared" si="954"/>
        <v>5.7971014492753623</v>
      </c>
      <c r="J1032" s="9">
        <f>ROUNDUP(H1032+(H1032*Assumptions!I$16),-2)</f>
        <v>67700</v>
      </c>
      <c r="K1032" s="9">
        <f>ROUNDUP(J1032+(J1032*Assumptions!J$16),-2)</f>
        <v>69800</v>
      </c>
      <c r="L1032" s="9">
        <f>ROUNDUP(K1032+(K1032*Assumptions!K$16),-2)</f>
        <v>71900</v>
      </c>
      <c r="M1032" s="9">
        <f>ROUNDUP(L1032+(L1032*Assumptions!L$16),-2)</f>
        <v>74100</v>
      </c>
      <c r="N1032" s="9">
        <f>ROUNDUP(M1032+(M1032*Assumptions!M$16),-2)</f>
        <v>76400</v>
      </c>
      <c r="O1032" s="9">
        <f>ROUNDUP(N1032+(N1032*Assumptions!N$16),-2)</f>
        <v>78700</v>
      </c>
      <c r="P1032" s="9">
        <f>ROUNDUP(O1032+(O1032*Assumptions!O$16),-2)</f>
        <v>81100</v>
      </c>
      <c r="Q1032" s="9">
        <f>ROUNDUP(P1032+(P1032*Assumptions!P$16),-2)</f>
        <v>83600</v>
      </c>
      <c r="R1032" s="9">
        <f>ROUNDUP(Q1032+(Q1032*Assumptions!Q$16),-2)</f>
        <v>86200</v>
      </c>
      <c r="S1032" s="47">
        <f>ROUNDUP(R1032+(R1032*Assumptions!R$16),-2)</f>
        <v>88800</v>
      </c>
    </row>
    <row r="1033" spans="1:19" x14ac:dyDescent="0.2">
      <c r="A1033" s="54">
        <v>26800</v>
      </c>
      <c r="B1033" s="9">
        <v>36800</v>
      </c>
      <c r="C1033" s="136">
        <v>37100</v>
      </c>
      <c r="D1033" s="134">
        <v>38700</v>
      </c>
      <c r="E1033" s="134">
        <v>39000</v>
      </c>
      <c r="F1033" s="239" t="s">
        <v>2614</v>
      </c>
      <c r="G1033" s="371" t="s">
        <v>395</v>
      </c>
      <c r="H1033" s="9">
        <v>39800</v>
      </c>
      <c r="I1033" s="85">
        <f t="shared" si="954"/>
        <v>2.0512820512820511</v>
      </c>
      <c r="J1033" s="9">
        <f>ROUNDUP(H1033+(H1033*Assumptions!I$16),-2)</f>
        <v>41000</v>
      </c>
      <c r="K1033" s="9">
        <f>ROUNDUP(J1033+(J1033*Assumptions!J$16),-2)</f>
        <v>42300</v>
      </c>
      <c r="L1033" s="9">
        <f>ROUNDUP(K1033+(K1033*Assumptions!K$16),-2)</f>
        <v>43600</v>
      </c>
      <c r="M1033" s="9">
        <f>ROUNDUP(L1033+(L1033*Assumptions!L$16),-2)</f>
        <v>45000</v>
      </c>
      <c r="N1033" s="9">
        <f>ROUNDUP(M1033+(M1033*Assumptions!M$16),-2)</f>
        <v>46400</v>
      </c>
      <c r="O1033" s="9">
        <f>ROUNDUP(N1033+(N1033*Assumptions!N$16),-2)</f>
        <v>47800</v>
      </c>
      <c r="P1033" s="9">
        <f>ROUNDUP(O1033+(O1033*Assumptions!O$16),-2)</f>
        <v>49300</v>
      </c>
      <c r="Q1033" s="9">
        <f>ROUNDUP(P1033+(P1033*Assumptions!P$16),-2)</f>
        <v>50800</v>
      </c>
      <c r="R1033" s="9">
        <f>ROUNDUP(Q1033+(Q1033*Assumptions!Q$16),-2)</f>
        <v>52400</v>
      </c>
      <c r="S1033" s="47">
        <f>ROUNDUP(R1033+(R1033*Assumptions!R$16),-2)</f>
        <v>54000</v>
      </c>
    </row>
    <row r="1034" spans="1:19" x14ac:dyDescent="0.2">
      <c r="A1034" s="54">
        <v>47300</v>
      </c>
      <c r="B1034" s="9">
        <v>51000</v>
      </c>
      <c r="C1034" s="136">
        <v>83900</v>
      </c>
      <c r="D1034" s="134">
        <v>58200</v>
      </c>
      <c r="E1034" s="134">
        <v>63100</v>
      </c>
      <c r="F1034" s="239" t="s">
        <v>1576</v>
      </c>
      <c r="G1034" s="662" t="s">
        <v>6799</v>
      </c>
      <c r="H1034" s="9">
        <v>51200</v>
      </c>
      <c r="I1034" s="85">
        <f t="shared" si="954"/>
        <v>-18.858954041204438</v>
      </c>
      <c r="J1034" s="9">
        <f>ROUNDUP(H1034+(H1034*Assumptions!I$16),-2)</f>
        <v>52800</v>
      </c>
      <c r="K1034" s="9">
        <f>ROUNDUP(J1034+(J1034*Assumptions!J$16),-2)</f>
        <v>54400</v>
      </c>
      <c r="L1034" s="9">
        <f>ROUNDUP(K1034+(K1034*Assumptions!K$16),-2)</f>
        <v>56100</v>
      </c>
      <c r="M1034" s="9">
        <f>ROUNDUP(L1034+(L1034*Assumptions!L$16),-2)</f>
        <v>57800</v>
      </c>
      <c r="N1034" s="9">
        <f>ROUNDUP(M1034+(M1034*Assumptions!M$16),-2)</f>
        <v>59600</v>
      </c>
      <c r="O1034" s="9">
        <f>ROUNDUP(N1034+(N1034*Assumptions!N$16),-2)</f>
        <v>61400</v>
      </c>
      <c r="P1034" s="9">
        <f>ROUNDUP(O1034+(O1034*Assumptions!O$16),-2)</f>
        <v>63300</v>
      </c>
      <c r="Q1034" s="9">
        <f>ROUNDUP(P1034+(P1034*Assumptions!P$16),-2)</f>
        <v>65200</v>
      </c>
      <c r="R1034" s="9">
        <f>ROUNDUP(Q1034+(Q1034*Assumptions!Q$16),-2)</f>
        <v>67200</v>
      </c>
      <c r="S1034" s="47">
        <f>ROUNDUP(R1034+(R1034*Assumptions!R$16),-2)</f>
        <v>69300</v>
      </c>
    </row>
    <row r="1035" spans="1:19" x14ac:dyDescent="0.2">
      <c r="A1035" s="54">
        <v>0</v>
      </c>
      <c r="B1035" s="9">
        <v>0</v>
      </c>
      <c r="C1035" s="136">
        <v>0</v>
      </c>
      <c r="D1035" s="134">
        <v>0</v>
      </c>
      <c r="E1035" s="134"/>
      <c r="F1035" s="578" t="s">
        <v>11883</v>
      </c>
      <c r="G1035" s="662" t="s">
        <v>6798</v>
      </c>
      <c r="H1035" s="9">
        <f>50000-50000</f>
        <v>0</v>
      </c>
      <c r="I1035" s="85">
        <f t="shared" si="954"/>
        <v>0</v>
      </c>
      <c r="J1035" s="9">
        <v>100000</v>
      </c>
      <c r="K1035" s="9">
        <v>120000</v>
      </c>
      <c r="L1035" s="9">
        <v>150000</v>
      </c>
      <c r="M1035" s="9">
        <f>ROUNDUP(L1035+(L1035*Assumptions!L$16),-2)</f>
        <v>154500</v>
      </c>
      <c r="N1035" s="9">
        <f>ROUNDUP(M1035+(M1035*Assumptions!M$16),-2)</f>
        <v>159200</v>
      </c>
      <c r="O1035" s="9">
        <f>ROUNDUP(N1035+(N1035*Assumptions!N$16),-2)</f>
        <v>164000</v>
      </c>
      <c r="P1035" s="9">
        <f>ROUNDUP(O1035+(O1035*Assumptions!O$16),-2)</f>
        <v>169000</v>
      </c>
      <c r="Q1035" s="9">
        <f>ROUNDUP(P1035+(P1035*Assumptions!P$16),-2)</f>
        <v>174100</v>
      </c>
      <c r="R1035" s="9">
        <f>ROUNDUP(Q1035+(Q1035*Assumptions!Q$16),-2)</f>
        <v>179400</v>
      </c>
      <c r="S1035" s="47">
        <f>ROUNDUP(R1035+(R1035*Assumptions!R$16),-2)</f>
        <v>184800</v>
      </c>
    </row>
    <row r="1036" spans="1:19" x14ac:dyDescent="0.2">
      <c r="A1036" s="54">
        <v>20400</v>
      </c>
      <c r="B1036" s="9">
        <v>20400</v>
      </c>
      <c r="C1036" s="136">
        <v>22800</v>
      </c>
      <c r="D1036" s="134">
        <v>14500</v>
      </c>
      <c r="E1036" s="134">
        <v>24300</v>
      </c>
      <c r="F1036" s="239" t="s">
        <v>1577</v>
      </c>
      <c r="G1036" s="371" t="s">
        <v>864</v>
      </c>
      <c r="H1036" s="9">
        <v>25000</v>
      </c>
      <c r="I1036" s="85">
        <f t="shared" si="954"/>
        <v>2.880658436213992</v>
      </c>
      <c r="J1036" s="9">
        <f>ROUNDUP(H1036+(H1036*Assumptions!I$16),-2)</f>
        <v>25800</v>
      </c>
      <c r="K1036" s="9">
        <f>ROUNDUP(J1036+(J1036*Assumptions!J$16),-2)</f>
        <v>26600</v>
      </c>
      <c r="L1036" s="9">
        <f>ROUNDUP(K1036+(K1036*Assumptions!K$16),-2)</f>
        <v>27400</v>
      </c>
      <c r="M1036" s="9">
        <f>ROUNDUP(L1036+(L1036*Assumptions!L$16),-2)</f>
        <v>28300</v>
      </c>
      <c r="N1036" s="9">
        <f>ROUNDUP(M1036+(M1036*Assumptions!M$16),-2)</f>
        <v>29200</v>
      </c>
      <c r="O1036" s="9">
        <f>ROUNDUP(N1036+(N1036*Assumptions!N$16),-2)</f>
        <v>30100</v>
      </c>
      <c r="P1036" s="9">
        <f>ROUNDUP(O1036+(O1036*Assumptions!O$16),-2)</f>
        <v>31100</v>
      </c>
      <c r="Q1036" s="9">
        <f>ROUNDUP(P1036+(P1036*Assumptions!P$16),-2)</f>
        <v>32100</v>
      </c>
      <c r="R1036" s="9">
        <f>ROUNDUP(Q1036+(Q1036*Assumptions!Q$16),-2)</f>
        <v>33100</v>
      </c>
      <c r="S1036" s="47">
        <f>ROUNDUP(R1036+(R1036*Assumptions!R$16),-2)</f>
        <v>34100</v>
      </c>
    </row>
    <row r="1037" spans="1:19" x14ac:dyDescent="0.2">
      <c r="A1037" s="54">
        <v>9000</v>
      </c>
      <c r="B1037" s="9">
        <v>3800</v>
      </c>
      <c r="C1037" s="136">
        <v>5300</v>
      </c>
      <c r="D1037" s="134">
        <v>3100</v>
      </c>
      <c r="E1037" s="134">
        <v>9500</v>
      </c>
      <c r="F1037" s="239" t="s">
        <v>2333</v>
      </c>
      <c r="G1037" s="371" t="s">
        <v>527</v>
      </c>
      <c r="H1037" s="9">
        <v>5200</v>
      </c>
      <c r="I1037" s="85">
        <f t="shared" si="954"/>
        <v>-45.263157894736842</v>
      </c>
      <c r="J1037" s="9">
        <f>ROUNDUP(H1037+(H1037*Assumptions!I$16),-2)</f>
        <v>5400</v>
      </c>
      <c r="K1037" s="9">
        <f>ROUNDUP(J1037+(J1037*Assumptions!J$16),-2)</f>
        <v>5600</v>
      </c>
      <c r="L1037" s="9">
        <f>ROUNDUP(K1037+(K1037*Assumptions!K$16),-2)</f>
        <v>5800</v>
      </c>
      <c r="M1037" s="9">
        <f>ROUNDUP(L1037+(L1037*Assumptions!L$16),-2)</f>
        <v>6000</v>
      </c>
      <c r="N1037" s="9">
        <f>ROUNDUP(M1037+(M1037*Assumptions!M$16),-2)</f>
        <v>6200</v>
      </c>
      <c r="O1037" s="9">
        <f>ROUNDUP(N1037+(N1037*Assumptions!N$16),-2)</f>
        <v>6400</v>
      </c>
      <c r="P1037" s="9">
        <f>ROUNDUP(O1037+(O1037*Assumptions!O$16),-2)</f>
        <v>6600</v>
      </c>
      <c r="Q1037" s="9">
        <f>ROUNDUP(P1037+(P1037*Assumptions!P$16),-2)</f>
        <v>6800</v>
      </c>
      <c r="R1037" s="9">
        <f>ROUNDUP(Q1037+(Q1037*Assumptions!Q$16),-2)</f>
        <v>7100</v>
      </c>
      <c r="S1037" s="47">
        <f>ROUNDUP(R1037+(R1037*Assumptions!R$16),-2)</f>
        <v>7400</v>
      </c>
    </row>
    <row r="1038" spans="1:19" x14ac:dyDescent="0.2">
      <c r="A1038" s="54">
        <v>362700</v>
      </c>
      <c r="B1038" s="9">
        <v>414900</v>
      </c>
      <c r="C1038" s="136">
        <v>467200</v>
      </c>
      <c r="D1038" s="134">
        <v>568000</v>
      </c>
      <c r="E1038" s="134">
        <v>641200</v>
      </c>
      <c r="F1038" s="239" t="s">
        <v>2334</v>
      </c>
      <c r="G1038" s="371" t="s">
        <v>1875</v>
      </c>
      <c r="H1038" s="9">
        <v>660000</v>
      </c>
      <c r="I1038" s="85">
        <f t="shared" si="954"/>
        <v>2.9320024953212727</v>
      </c>
      <c r="J1038" s="9">
        <f>ROUNDUP(H1038+(H1038*Assumptions!I$16),-2)</f>
        <v>679800</v>
      </c>
      <c r="K1038" s="9">
        <f>ROUNDUP(J1038+(J1038*Assumptions!J$16),-2)</f>
        <v>700200</v>
      </c>
      <c r="L1038" s="9">
        <f>ROUNDUP(K1038+(K1038*Assumptions!K$16),-2)</f>
        <v>721300</v>
      </c>
      <c r="M1038" s="9">
        <f>ROUNDUP(L1038+(L1038*Assumptions!L$16),-2)</f>
        <v>743000</v>
      </c>
      <c r="N1038" s="9">
        <f>ROUNDUP(M1038+(M1038*Assumptions!M$16),-2)</f>
        <v>765300</v>
      </c>
      <c r="O1038" s="9">
        <f>ROUNDUP(N1038+(N1038*Assumptions!N$16),-2)</f>
        <v>788300</v>
      </c>
      <c r="P1038" s="9">
        <f>ROUNDUP(O1038+(O1038*Assumptions!O$16),-2)</f>
        <v>812000</v>
      </c>
      <c r="Q1038" s="9">
        <f>ROUNDUP(P1038+(P1038*Assumptions!P$16),-2)</f>
        <v>836400</v>
      </c>
      <c r="R1038" s="9">
        <f>ROUNDUP(Q1038+(Q1038*Assumptions!Q$16),-2)</f>
        <v>861500</v>
      </c>
      <c r="S1038" s="47">
        <f>ROUNDUP(R1038+(R1038*Assumptions!R$16),-2)</f>
        <v>887400</v>
      </c>
    </row>
    <row r="1039" spans="1:19" x14ac:dyDescent="0.2">
      <c r="A1039" s="54">
        <v>56500</v>
      </c>
      <c r="B1039" s="9">
        <v>65400</v>
      </c>
      <c r="C1039" s="136">
        <v>66700</v>
      </c>
      <c r="D1039" s="134">
        <v>72400</v>
      </c>
      <c r="E1039" s="134">
        <v>73300</v>
      </c>
      <c r="F1039" s="239" t="s">
        <v>2331</v>
      </c>
      <c r="G1039" s="371" t="s">
        <v>526</v>
      </c>
      <c r="H1039" s="9">
        <v>73000</v>
      </c>
      <c r="I1039" s="85">
        <f t="shared" si="954"/>
        <v>-0.40927694406548432</v>
      </c>
      <c r="J1039" s="9">
        <v>106500</v>
      </c>
      <c r="K1039" s="9">
        <f>ROUNDUP(J1039+(J1039*Assumptions!J$16),-2)</f>
        <v>109700</v>
      </c>
      <c r="L1039" s="9">
        <f>ROUNDUP(K1039+(K1039*Assumptions!K$16),-2)</f>
        <v>113000</v>
      </c>
      <c r="M1039" s="9">
        <f>ROUNDUP(L1039+(L1039*Assumptions!L$16),-2)</f>
        <v>116400</v>
      </c>
      <c r="N1039" s="9">
        <f>ROUNDUP(M1039+(M1039*Assumptions!M$16),-2)</f>
        <v>119900</v>
      </c>
      <c r="O1039" s="9">
        <f>ROUNDUP(N1039+(N1039*Assumptions!N$16),-2)</f>
        <v>123500</v>
      </c>
      <c r="P1039" s="9">
        <f>ROUNDUP(O1039+(O1039*Assumptions!O$16),-2)</f>
        <v>127300</v>
      </c>
      <c r="Q1039" s="9">
        <f>ROUNDUP(P1039+(P1039*Assumptions!P$16),-2)</f>
        <v>131200</v>
      </c>
      <c r="R1039" s="9">
        <f>ROUNDUP(Q1039+(Q1039*Assumptions!Q$16),-2)</f>
        <v>135200</v>
      </c>
      <c r="S1039" s="47">
        <f>ROUNDUP(R1039+(R1039*Assumptions!R$16),-2)</f>
        <v>139300</v>
      </c>
    </row>
    <row r="1040" spans="1:19" x14ac:dyDescent="0.2">
      <c r="A1040" s="54">
        <v>117400</v>
      </c>
      <c r="B1040" s="9">
        <v>119000</v>
      </c>
      <c r="C1040" s="136">
        <v>131700</v>
      </c>
      <c r="D1040" s="1442">
        <v>143000</v>
      </c>
      <c r="E1040" s="134">
        <v>143100</v>
      </c>
      <c r="F1040" s="239" t="s">
        <v>2282</v>
      </c>
      <c r="G1040" s="371" t="s">
        <v>531</v>
      </c>
      <c r="H1040" s="9">
        <v>148000</v>
      </c>
      <c r="I1040" s="85">
        <f t="shared" si="954"/>
        <v>3.4241788958770094</v>
      </c>
      <c r="J1040" s="9">
        <f>ROUNDUP(H1040+(H1040*Assumptions!I$16),-2)</f>
        <v>152500</v>
      </c>
      <c r="K1040" s="9">
        <f>ROUNDUP(J1040+(J1040*Assumptions!J$16),-2)</f>
        <v>157100</v>
      </c>
      <c r="L1040" s="9">
        <f>ROUNDUP(K1040+(K1040*Assumptions!K$16),-2)</f>
        <v>161900</v>
      </c>
      <c r="M1040" s="9">
        <f>ROUNDUP(L1040+(L1040*Assumptions!L$16),-2)</f>
        <v>166800</v>
      </c>
      <c r="N1040" s="9">
        <f>ROUNDUP(M1040+(M1040*Assumptions!M$16),-2)</f>
        <v>171900</v>
      </c>
      <c r="O1040" s="9">
        <f>ROUNDUP(N1040+(N1040*Assumptions!N$16),-2)</f>
        <v>177100</v>
      </c>
      <c r="P1040" s="9">
        <f>ROUNDUP(O1040+(O1040*Assumptions!O$16),-2)</f>
        <v>182500</v>
      </c>
      <c r="Q1040" s="9">
        <f>ROUNDUP(P1040+(P1040*Assumptions!P$16),-2)</f>
        <v>188000</v>
      </c>
      <c r="R1040" s="9">
        <f>ROUNDUP(Q1040+(Q1040*Assumptions!Q$16),-2)</f>
        <v>193700</v>
      </c>
      <c r="S1040" s="47">
        <f>ROUNDUP(R1040+(R1040*Assumptions!R$16),-2)</f>
        <v>199600</v>
      </c>
    </row>
    <row r="1041" spans="1:23" x14ac:dyDescent="0.2">
      <c r="A1041" s="54">
        <v>23300</v>
      </c>
      <c r="B1041" s="9">
        <v>29100</v>
      </c>
      <c r="C1041" s="136">
        <v>21300</v>
      </c>
      <c r="D1041" s="1442">
        <v>31500</v>
      </c>
      <c r="E1041" s="134">
        <v>34300</v>
      </c>
      <c r="F1041" s="239" t="s">
        <v>2335</v>
      </c>
      <c r="G1041" s="371" t="s">
        <v>1000</v>
      </c>
      <c r="H1041" s="9">
        <v>25000</v>
      </c>
      <c r="I1041" s="85">
        <f t="shared" si="954"/>
        <v>-27.113702623906704</v>
      </c>
      <c r="J1041" s="9">
        <f>ROUNDUP(H1041+(H1041*Assumptions!I$16),-2)</f>
        <v>25800</v>
      </c>
      <c r="K1041" s="9">
        <f>ROUNDUP(J1041+(J1041*Assumptions!J$16),-2)</f>
        <v>26600</v>
      </c>
      <c r="L1041" s="9">
        <f>ROUNDUP(K1041+(K1041*Assumptions!K$16),-2)</f>
        <v>27400</v>
      </c>
      <c r="M1041" s="9">
        <f>ROUNDUP(L1041+(L1041*Assumptions!L$16),-2)</f>
        <v>28300</v>
      </c>
      <c r="N1041" s="9">
        <f>ROUNDUP(M1041+(M1041*Assumptions!M$16),-2)</f>
        <v>29200</v>
      </c>
      <c r="O1041" s="9">
        <f>ROUNDUP(N1041+(N1041*Assumptions!N$16),-2)</f>
        <v>30100</v>
      </c>
      <c r="P1041" s="9">
        <f>ROUNDUP(O1041+(O1041*Assumptions!O$16),-2)</f>
        <v>31100</v>
      </c>
      <c r="Q1041" s="9">
        <f>ROUNDUP(P1041+(P1041*Assumptions!P$16),-2)</f>
        <v>32100</v>
      </c>
      <c r="R1041" s="9">
        <f>ROUNDUP(Q1041+(Q1041*Assumptions!Q$16),-2)</f>
        <v>33100</v>
      </c>
      <c r="S1041" s="47">
        <f>ROUNDUP(R1041+(R1041*Assumptions!R$16),-2)</f>
        <v>34100</v>
      </c>
    </row>
    <row r="1042" spans="1:23" x14ac:dyDescent="0.2">
      <c r="A1042" s="54"/>
      <c r="B1042" s="9"/>
      <c r="C1042" s="136"/>
      <c r="D1042" s="1442"/>
      <c r="E1042" s="134">
        <v>14700</v>
      </c>
      <c r="F1042" s="578" t="s">
        <v>7239</v>
      </c>
      <c r="G1042" s="662" t="s">
        <v>6887</v>
      </c>
      <c r="H1042" s="9">
        <v>17000</v>
      </c>
      <c r="I1042" s="85">
        <f t="shared" si="954"/>
        <v>15.646258503401361</v>
      </c>
      <c r="J1042" s="9">
        <f>ROUNDUP(H1042+(H1042*Assumptions!I$16),-2)</f>
        <v>17600</v>
      </c>
      <c r="K1042" s="9">
        <f>ROUNDUP(J1042+(J1042*Assumptions!J$16),-2)</f>
        <v>18200</v>
      </c>
      <c r="L1042" s="9">
        <f>ROUNDUP(K1042+(K1042*Assumptions!K$16),-2)</f>
        <v>18800</v>
      </c>
      <c r="M1042" s="9">
        <f>ROUNDUP(L1042+(L1042*Assumptions!L$16),-2)</f>
        <v>19400</v>
      </c>
      <c r="N1042" s="9">
        <f>ROUNDUP(M1042+(M1042*Assumptions!M$16),-2)</f>
        <v>20000</v>
      </c>
      <c r="O1042" s="9">
        <f>ROUNDUP(N1042+(N1042*Assumptions!N$16),-2)</f>
        <v>20600</v>
      </c>
      <c r="P1042" s="9">
        <f>ROUNDUP(O1042+(O1042*Assumptions!O$16),-2)</f>
        <v>21300</v>
      </c>
      <c r="Q1042" s="9">
        <f>ROUNDUP(P1042+(P1042*Assumptions!P$16),-2)</f>
        <v>22000</v>
      </c>
      <c r="R1042" s="9">
        <f>ROUNDUP(Q1042+(Q1042*Assumptions!Q$16),-2)</f>
        <v>22700</v>
      </c>
      <c r="S1042" s="47">
        <f>ROUNDUP(R1042+(R1042*Assumptions!R$16),-2)</f>
        <v>23400</v>
      </c>
    </row>
    <row r="1043" spans="1:23" ht="13.5" thickBot="1" x14ac:dyDescent="0.25">
      <c r="A1043" s="54"/>
      <c r="B1043" s="9"/>
      <c r="C1043" s="134"/>
      <c r="D1043" s="1442"/>
      <c r="E1043" s="134"/>
      <c r="F1043" s="167"/>
      <c r="G1043" s="29"/>
      <c r="H1043" s="9"/>
      <c r="I1043" s="85"/>
      <c r="J1043" s="9"/>
      <c r="K1043" s="9"/>
      <c r="L1043" s="9"/>
      <c r="M1043" s="9"/>
      <c r="N1043" s="9"/>
      <c r="O1043" s="9"/>
      <c r="P1043" s="9"/>
      <c r="Q1043" s="9"/>
      <c r="R1043" s="9"/>
      <c r="S1043" s="47"/>
    </row>
    <row r="1044" spans="1:23" s="39" customFormat="1" x14ac:dyDescent="0.2">
      <c r="A1044" s="52">
        <f>SUM(A1018:A1043)</f>
        <v>4005500</v>
      </c>
      <c r="B1044" s="16">
        <f>(SUM(B1018:B1043))</f>
        <v>4617800</v>
      </c>
      <c r="C1044" s="145">
        <f>SUM(C1018:C1043)</f>
        <v>4709700</v>
      </c>
      <c r="D1044" s="1443">
        <f>SUM(D1018:D1043)</f>
        <v>5111900</v>
      </c>
      <c r="E1044" s="145">
        <f>SUM(E1018:E1043)</f>
        <v>5780100</v>
      </c>
      <c r="F1044" s="126"/>
      <c r="G1044" s="1158" t="s">
        <v>2561</v>
      </c>
      <c r="H1044" s="16">
        <f t="shared" ref="H1044:R1044" si="955">SUM(H1018:H1043)</f>
        <v>6096400</v>
      </c>
      <c r="I1044" s="127">
        <f>IF(E1044=H1044,0,IF(E1044=0,100,(H1044-E1044)/E1044*100))</f>
        <v>5.4722236639504507</v>
      </c>
      <c r="J1044" s="16">
        <f t="shared" si="955"/>
        <v>6325900</v>
      </c>
      <c r="K1044" s="16">
        <f t="shared" si="955"/>
        <v>6438600</v>
      </c>
      <c r="L1044" s="16">
        <f t="shared" si="955"/>
        <v>6562900</v>
      </c>
      <c r="M1044" s="16">
        <f t="shared" si="955"/>
        <v>6662700</v>
      </c>
      <c r="N1044" s="16">
        <f t="shared" si="955"/>
        <v>6770500</v>
      </c>
      <c r="O1044" s="16">
        <f t="shared" si="955"/>
        <v>6904000</v>
      </c>
      <c r="P1044" s="16">
        <f t="shared" si="955"/>
        <v>7049800</v>
      </c>
      <c r="Q1044" s="16">
        <f t="shared" si="955"/>
        <v>7196400</v>
      </c>
      <c r="R1044" s="16">
        <f t="shared" si="955"/>
        <v>7349300</v>
      </c>
      <c r="S1044" s="2342">
        <f t="shared" ref="S1044" si="956">SUM(S1018:S1043)</f>
        <v>7491100</v>
      </c>
      <c r="U1044" s="34"/>
      <c r="W1044" s="34"/>
    </row>
    <row r="1045" spans="1:23" s="39" customFormat="1" x14ac:dyDescent="0.2">
      <c r="A1045" s="544"/>
      <c r="B1045" s="21"/>
      <c r="C1045" s="138"/>
      <c r="D1045" s="1444"/>
      <c r="E1045" s="138"/>
      <c r="F1045" s="173"/>
      <c r="G1045" s="1158"/>
      <c r="H1045" s="21"/>
      <c r="I1045" s="126"/>
      <c r="J1045" s="21"/>
      <c r="K1045" s="21"/>
      <c r="L1045" s="21"/>
      <c r="M1045" s="21"/>
      <c r="N1045" s="21"/>
      <c r="O1045" s="21"/>
      <c r="P1045" s="21"/>
      <c r="Q1045" s="21"/>
      <c r="R1045" s="21"/>
      <c r="S1045" s="86"/>
      <c r="U1045" s="34"/>
      <c r="W1045" s="34"/>
    </row>
    <row r="1046" spans="1:23" x14ac:dyDescent="0.2">
      <c r="A1046" s="45"/>
      <c r="B1046" s="9"/>
      <c r="C1046" s="134"/>
      <c r="D1046" s="1442"/>
      <c r="E1046" s="134"/>
      <c r="F1046" s="167"/>
      <c r="G1046" s="50" t="s">
        <v>2169</v>
      </c>
      <c r="H1046" s="9"/>
      <c r="I1046" s="85"/>
      <c r="J1046" s="9"/>
      <c r="K1046" s="9"/>
      <c r="L1046" s="9"/>
      <c r="M1046" s="9"/>
      <c r="N1046" s="9"/>
      <c r="O1046" s="9"/>
      <c r="P1046" s="9"/>
      <c r="Q1046" s="9"/>
      <c r="R1046" s="9"/>
      <c r="S1046" s="47"/>
    </row>
    <row r="1047" spans="1:23" ht="13.5" customHeight="1" x14ac:dyDescent="0.2">
      <c r="A1047" s="54"/>
      <c r="B1047" s="9"/>
      <c r="C1047" s="136"/>
      <c r="D1047" s="1442"/>
      <c r="E1047" s="134"/>
      <c r="F1047" s="2065"/>
      <c r="G1047" s="320" t="s">
        <v>104</v>
      </c>
      <c r="H1047" s="9"/>
      <c r="I1047" s="85"/>
      <c r="J1047" s="9"/>
      <c r="K1047" s="9"/>
      <c r="L1047" s="9"/>
      <c r="M1047" s="9"/>
      <c r="N1047" s="9"/>
      <c r="O1047" s="9"/>
      <c r="P1047" s="9"/>
      <c r="Q1047" s="9"/>
      <c r="R1047" s="9"/>
      <c r="S1047" s="47"/>
    </row>
    <row r="1048" spans="1:23" ht="13.5" customHeight="1" x14ac:dyDescent="0.2">
      <c r="A1048" s="54">
        <v>436000</v>
      </c>
      <c r="B1048" s="9">
        <v>425600</v>
      </c>
      <c r="C1048" s="136">
        <v>451000</v>
      </c>
      <c r="D1048" s="1442">
        <v>440500</v>
      </c>
      <c r="E1048" s="134">
        <v>448000</v>
      </c>
      <c r="F1048" s="239" t="s">
        <v>895</v>
      </c>
      <c r="G1048" s="371" t="s">
        <v>1320</v>
      </c>
      <c r="H1048" s="9">
        <f>501000-80000</f>
        <v>421000</v>
      </c>
      <c r="I1048" s="85">
        <f>IF(E1048=H1048,0,IF(E1048=0,100,(H1048-E1048)/E1048*100))</f>
        <v>-6.0267857142857144</v>
      </c>
      <c r="J1048" s="9">
        <v>540100</v>
      </c>
      <c r="K1048" s="9">
        <f>ROUND(J1048*Assumptions!J$13+GM!J1048,-2)</f>
        <v>552500</v>
      </c>
      <c r="L1048" s="9">
        <f>ROUND(K1048*Assumptions!K$13+GM!K1048,-2)</f>
        <v>565200</v>
      </c>
      <c r="M1048" s="9">
        <f>ROUND(L1048*Assumptions!L$13+GM!L1048,-2)</f>
        <v>578200</v>
      </c>
      <c r="N1048" s="9">
        <f>ROUND(M1048*Assumptions!M$13+GM!M1048,-2)</f>
        <v>591500</v>
      </c>
      <c r="O1048" s="9">
        <f>ROUND(N1048*Assumptions!N$13+GM!N1048,-2)</f>
        <v>605100</v>
      </c>
      <c r="P1048" s="9">
        <f>ROUND(O1048*Assumptions!O$13+GM!O1048,-2)</f>
        <v>619000</v>
      </c>
      <c r="Q1048" s="9">
        <f>ROUND(P1048*Assumptions!P$13+GM!P1048,-2)</f>
        <v>633200</v>
      </c>
      <c r="R1048" s="9">
        <f>ROUND(Q1048*Assumptions!Q$13+GM!Q1048,-2)</f>
        <v>647800</v>
      </c>
      <c r="S1048" s="47">
        <f>ROUND(R1048*Assumptions!R$13+GM!R1048,-2)</f>
        <v>662700</v>
      </c>
    </row>
    <row r="1049" spans="1:23" ht="13.5" customHeight="1" x14ac:dyDescent="0.2">
      <c r="A1049" s="54">
        <v>17000</v>
      </c>
      <c r="B1049" s="9">
        <v>18900</v>
      </c>
      <c r="C1049" s="136">
        <v>16400</v>
      </c>
      <c r="D1049" s="1442">
        <v>18200</v>
      </c>
      <c r="E1049" s="134">
        <v>20400</v>
      </c>
      <c r="F1049" s="578" t="s">
        <v>3207</v>
      </c>
      <c r="G1049" s="662" t="s">
        <v>3203</v>
      </c>
      <c r="H1049" s="9">
        <v>15000</v>
      </c>
      <c r="I1049" s="85">
        <f>IF(E1049=H1049,0,IF(E1049=0,100,(H1049-E1049)/E1049*100))</f>
        <v>-26.47058823529412</v>
      </c>
      <c r="J1049" s="9">
        <f>ROUND(H1049*Assumptions!I$13+GM!H1049,-2)</f>
        <v>15300</v>
      </c>
      <c r="K1049" s="9">
        <f>ROUND(J1049*Assumptions!J$5+GM!J1049,-2)</f>
        <v>15700</v>
      </c>
      <c r="L1049" s="9">
        <f>ROUND(K1049*Assumptions!K$5+GM!K1049,-2)</f>
        <v>16100</v>
      </c>
      <c r="M1049" s="9">
        <f>ROUND(L1049*Assumptions!L$5+GM!L1049,-2)</f>
        <v>16500</v>
      </c>
      <c r="N1049" s="9">
        <f>ROUND(M1049*Assumptions!M$5+GM!M1049,-2)</f>
        <v>16900</v>
      </c>
      <c r="O1049" s="9">
        <f>ROUND(N1049*Assumptions!N$5+GM!N1049,-2)</f>
        <v>17300</v>
      </c>
      <c r="P1049" s="9">
        <f>ROUND(O1049*Assumptions!O$5+GM!O1049,-2)</f>
        <v>17700</v>
      </c>
      <c r="Q1049" s="9">
        <f>ROUND(P1049*Assumptions!P$5+GM!P1049,-2)</f>
        <v>18100</v>
      </c>
      <c r="R1049" s="9">
        <f>ROUND(Q1049*Assumptions!Q$5+GM!Q1049,-2)</f>
        <v>18600</v>
      </c>
      <c r="S1049" s="47">
        <f>ROUND(R1049*Assumptions!R$5+GM!R1049,-2)</f>
        <v>19100</v>
      </c>
    </row>
    <row r="1050" spans="1:23" ht="13.5" customHeight="1" x14ac:dyDescent="0.2">
      <c r="A1050" s="54">
        <v>44800</v>
      </c>
      <c r="B1050" s="9">
        <v>36300</v>
      </c>
      <c r="C1050" s="136">
        <v>32100</v>
      </c>
      <c r="D1050" s="1442">
        <v>35700</v>
      </c>
      <c r="E1050" s="134">
        <v>36000</v>
      </c>
      <c r="F1050" s="239" t="s">
        <v>1304</v>
      </c>
      <c r="G1050" s="371" t="s">
        <v>2514</v>
      </c>
      <c r="H1050" s="9">
        <v>30000</v>
      </c>
      <c r="I1050" s="85">
        <f>IF(E1050=H1050,0,IF(E1050=0,100,(H1050-E1050)/E1050*100))</f>
        <v>-16.666666666666664</v>
      </c>
      <c r="J1050" s="9">
        <f>ROUND(H1050*Assumptions!I$13+GM!H1050,-2)</f>
        <v>30700</v>
      </c>
      <c r="K1050" s="9">
        <f>ROUND(J1050*Assumptions!J$5+GM!J1050,-2)</f>
        <v>31500</v>
      </c>
      <c r="L1050" s="9">
        <f>ROUND(K1050*Assumptions!K$5+GM!K1050,-2)</f>
        <v>32300</v>
      </c>
      <c r="M1050" s="9">
        <f>ROUND(L1050*Assumptions!L$5+GM!L1050,-2)</f>
        <v>33100</v>
      </c>
      <c r="N1050" s="9">
        <f>ROUND(M1050*Assumptions!M$5+GM!M1050,-2)</f>
        <v>33900</v>
      </c>
      <c r="O1050" s="9">
        <f>ROUND(N1050*Assumptions!N$5+GM!N1050,-2)</f>
        <v>34700</v>
      </c>
      <c r="P1050" s="9">
        <f>ROUND(O1050*Assumptions!O$5+GM!O1050,-2)</f>
        <v>35600</v>
      </c>
      <c r="Q1050" s="9">
        <f>ROUND(P1050*Assumptions!P$5+GM!P1050,-2)</f>
        <v>36500</v>
      </c>
      <c r="R1050" s="9">
        <f>ROUND(Q1050*Assumptions!Q$5+GM!Q1050,-2)</f>
        <v>37400</v>
      </c>
      <c r="S1050" s="47">
        <f>ROUND(R1050*Assumptions!R$5+GM!R1050,-2)</f>
        <v>38300</v>
      </c>
    </row>
    <row r="1051" spans="1:23" ht="13.5" customHeight="1" x14ac:dyDescent="0.2">
      <c r="A1051" s="54">
        <v>21600</v>
      </c>
      <c r="B1051" s="9">
        <v>19500</v>
      </c>
      <c r="C1051" s="136">
        <v>20100</v>
      </c>
      <c r="D1051" s="1442">
        <v>20100</v>
      </c>
      <c r="E1051" s="134">
        <v>19000</v>
      </c>
      <c r="F1051" s="239" t="s">
        <v>933</v>
      </c>
      <c r="G1051" s="371" t="s">
        <v>632</v>
      </c>
      <c r="H1051" s="9">
        <v>17000</v>
      </c>
      <c r="I1051" s="85">
        <f>IF(E1051=H1051,0,IF(E1051=0,100,(H1051-E1051)/E1051*100))</f>
        <v>-10.526315789473683</v>
      </c>
      <c r="J1051" s="9">
        <f>ROUND(H1051*Assumptions!I$13+GM!H1051,-2)</f>
        <v>17400</v>
      </c>
      <c r="K1051" s="9">
        <f>ROUND(J1051*Assumptions!J$5+GM!J1051,-2)</f>
        <v>17800</v>
      </c>
      <c r="L1051" s="9">
        <f>ROUND(K1051*Assumptions!K$5+GM!K1051,-2)</f>
        <v>18200</v>
      </c>
      <c r="M1051" s="9">
        <f>ROUND(L1051*Assumptions!L$5+GM!L1051,-2)</f>
        <v>18700</v>
      </c>
      <c r="N1051" s="9">
        <f>ROUND(M1051*Assumptions!M$5+GM!M1051,-2)</f>
        <v>19200</v>
      </c>
      <c r="O1051" s="9">
        <f>ROUND(N1051*Assumptions!N$5+GM!N1051,-2)</f>
        <v>19700</v>
      </c>
      <c r="P1051" s="9">
        <f>ROUND(O1051*Assumptions!O$5+GM!O1051,-2)</f>
        <v>20200</v>
      </c>
      <c r="Q1051" s="9">
        <f>ROUND(P1051*Assumptions!P$5+GM!P1051,-2)</f>
        <v>20700</v>
      </c>
      <c r="R1051" s="9">
        <f>ROUND(Q1051*Assumptions!Q$5+GM!Q1051,-2)</f>
        <v>21200</v>
      </c>
      <c r="S1051" s="47">
        <f>ROUND(R1051*Assumptions!R$5+GM!R1051,-2)</f>
        <v>21700</v>
      </c>
    </row>
    <row r="1052" spans="1:23" ht="13.5" customHeight="1" x14ac:dyDescent="0.2">
      <c r="A1052" s="54"/>
      <c r="B1052" s="9"/>
      <c r="C1052" s="136"/>
      <c r="D1052" s="1442"/>
      <c r="E1052" s="134"/>
      <c r="F1052" s="2065"/>
      <c r="G1052" s="912" t="s">
        <v>3661</v>
      </c>
      <c r="H1052" s="9"/>
      <c r="I1052" s="85"/>
      <c r="J1052" s="9"/>
      <c r="K1052" s="9"/>
      <c r="L1052" s="9"/>
      <c r="M1052" s="9"/>
      <c r="N1052" s="9"/>
      <c r="O1052" s="9"/>
      <c r="P1052" s="9"/>
      <c r="Q1052" s="9"/>
      <c r="R1052" s="9"/>
      <c r="S1052" s="47"/>
    </row>
    <row r="1053" spans="1:23" ht="13.5" customHeight="1" x14ac:dyDescent="0.2">
      <c r="A1053" s="54">
        <v>121100</v>
      </c>
      <c r="B1053" s="9">
        <v>117100</v>
      </c>
      <c r="C1053" s="136">
        <v>113700</v>
      </c>
      <c r="D1053" s="1442">
        <v>101100</v>
      </c>
      <c r="E1053" s="134">
        <v>114300</v>
      </c>
      <c r="F1053" s="239" t="s">
        <v>1018</v>
      </c>
      <c r="G1053" s="371" t="s">
        <v>1500</v>
      </c>
      <c r="H1053" s="9">
        <v>152000</v>
      </c>
      <c r="I1053" s="85">
        <f>IF(E1053=H1053,0,IF(E1053=0,100,(H1053-E1053)/E1053*100))</f>
        <v>32.983377077865264</v>
      </c>
      <c r="J1053" s="9">
        <v>171600</v>
      </c>
      <c r="K1053" s="9">
        <f>ROUND(J1053*Assumptions!J$5+GM!J1053,-2)</f>
        <v>175900</v>
      </c>
      <c r="L1053" s="9">
        <f>ROUND(K1053*Assumptions!K$5+GM!K1053,-2)+1000</f>
        <v>181300</v>
      </c>
      <c r="M1053" s="9">
        <v>176000</v>
      </c>
      <c r="N1053" s="9">
        <v>181300</v>
      </c>
      <c r="O1053" s="9">
        <v>186700</v>
      </c>
      <c r="P1053" s="9">
        <f>ROUND(O1053*Assumptions!O$5+GM!O1053,-2)</f>
        <v>191400</v>
      </c>
      <c r="Q1053" s="9">
        <f>ROUND(P1053*Assumptions!P$5+GM!P1053,-2)</f>
        <v>196200</v>
      </c>
      <c r="R1053" s="9">
        <f>ROUND(Q1053*Assumptions!Q$5+GM!Q1053,-2)</f>
        <v>201100</v>
      </c>
      <c r="S1053" s="47">
        <f>ROUND(R1053*Assumptions!R$5+GM!R1053,-2)</f>
        <v>206100</v>
      </c>
    </row>
    <row r="1054" spans="1:23" ht="13.5" customHeight="1" x14ac:dyDescent="0.2">
      <c r="A1054" s="54">
        <v>145400</v>
      </c>
      <c r="B1054" s="9">
        <v>95500</v>
      </c>
      <c r="C1054" s="136">
        <v>98300</v>
      </c>
      <c r="D1054" s="1442">
        <v>119700</v>
      </c>
      <c r="E1054" s="134">
        <v>118900</v>
      </c>
      <c r="F1054" s="239" t="s">
        <v>115</v>
      </c>
      <c r="G1054" s="662" t="s">
        <v>3696</v>
      </c>
      <c r="H1054" s="9">
        <v>75000</v>
      </c>
      <c r="I1054" s="85">
        <f>IF(E1054=H1054,0,IF(E1054=0,100,(H1054-E1054)/E1054*100))</f>
        <v>-36.921783010933559</v>
      </c>
      <c r="J1054" s="9">
        <f>ROUND(H1054*Assumptions!I$13+GM!H1054,-2)</f>
        <v>76700</v>
      </c>
      <c r="K1054" s="9">
        <f>ROUND(J1054*Assumptions!J$5+GM!J1054,-2)</f>
        <v>78600</v>
      </c>
      <c r="L1054" s="9">
        <f>ROUND(K1054*Assumptions!K$5+GM!K1054,-2)</f>
        <v>80600</v>
      </c>
      <c r="M1054" s="9">
        <f>ROUND(L1054*Assumptions!L$5+GM!L1054,-2)</f>
        <v>82600</v>
      </c>
      <c r="N1054" s="9">
        <f>ROUND(M1054*Assumptions!M$5+GM!M1054,-2)</f>
        <v>84700</v>
      </c>
      <c r="O1054" s="9">
        <f>ROUND(N1054*Assumptions!N$5+GM!N1054,-2)</f>
        <v>86800</v>
      </c>
      <c r="P1054" s="9">
        <f>ROUND(O1054*Assumptions!O$5+GM!O1054,-2)</f>
        <v>89000</v>
      </c>
      <c r="Q1054" s="9">
        <f>ROUND(P1054*Assumptions!P$5+GM!P1054,-2)</f>
        <v>91200</v>
      </c>
      <c r="R1054" s="9">
        <f>ROUND(Q1054*Assumptions!Q$5+GM!Q1054,-2)</f>
        <v>93500</v>
      </c>
      <c r="S1054" s="47">
        <f>ROUND(R1054*Assumptions!R$5+GM!R1054,-2)</f>
        <v>95800</v>
      </c>
    </row>
    <row r="1055" spans="1:23" ht="13.5" customHeight="1" x14ac:dyDescent="0.2">
      <c r="A1055" s="54">
        <v>40800</v>
      </c>
      <c r="B1055" s="9">
        <f>45800+1900+9000</f>
        <v>56700</v>
      </c>
      <c r="C1055" s="136">
        <v>35700</v>
      </c>
      <c r="D1055" s="1442">
        <v>49700</v>
      </c>
      <c r="E1055" s="134">
        <v>35400</v>
      </c>
      <c r="F1055" s="239" t="s">
        <v>114</v>
      </c>
      <c r="G1055" s="662" t="s">
        <v>4546</v>
      </c>
      <c r="H1055" s="9">
        <v>56000</v>
      </c>
      <c r="I1055" s="85">
        <f>IF(E1055=H1055,0,IF(E1055=0,100,(H1055-E1055)/E1055*100))</f>
        <v>58.192090395480221</v>
      </c>
      <c r="J1055" s="9">
        <f>ROUND(H1055*Assumptions!I$13+GM!H1055,-2)</f>
        <v>57300</v>
      </c>
      <c r="K1055" s="9">
        <f>ROUND(J1055*Assumptions!J$5+GM!J1055,-2)</f>
        <v>58700</v>
      </c>
      <c r="L1055" s="9">
        <f>ROUND(K1055*Assumptions!K$5+GM!K1055,-2)</f>
        <v>60200</v>
      </c>
      <c r="M1055" s="9">
        <f>ROUND(L1055*Assumptions!L$5+GM!L1055,-2)</f>
        <v>61700</v>
      </c>
      <c r="N1055" s="9">
        <f>ROUND(M1055*Assumptions!M$5+GM!M1055,-2)</f>
        <v>63200</v>
      </c>
      <c r="O1055" s="9">
        <f>ROUND(N1055*Assumptions!N$5+GM!N1055,-2)</f>
        <v>64800</v>
      </c>
      <c r="P1055" s="9">
        <f>ROUND(O1055*Assumptions!O$5+GM!O1055,-2)</f>
        <v>66400</v>
      </c>
      <c r="Q1055" s="9">
        <f>ROUND(P1055*Assumptions!P$5+GM!P1055,-2)</f>
        <v>68100</v>
      </c>
      <c r="R1055" s="9">
        <f>ROUND(Q1055*Assumptions!Q$5+GM!Q1055,-2)</f>
        <v>69800</v>
      </c>
      <c r="S1055" s="47">
        <f>ROUND(R1055*Assumptions!R$5+GM!R1055,-2)</f>
        <v>71500</v>
      </c>
    </row>
    <row r="1056" spans="1:23" x14ac:dyDescent="0.2">
      <c r="A1056" s="54"/>
      <c r="B1056" s="9"/>
      <c r="C1056" s="9"/>
      <c r="E1056" s="9"/>
      <c r="F1056" s="773"/>
      <c r="G1056" s="662"/>
      <c r="H1056" s="9"/>
      <c r="I1056" s="85"/>
      <c r="J1056" s="9"/>
      <c r="K1056" s="9"/>
      <c r="L1056" s="9"/>
      <c r="M1056" s="9"/>
      <c r="N1056" s="9"/>
      <c r="O1056" s="9"/>
      <c r="P1056" s="9"/>
      <c r="Q1056" s="9"/>
      <c r="R1056" s="9"/>
      <c r="S1056" s="61"/>
    </row>
    <row r="1057" spans="1:23" x14ac:dyDescent="0.2">
      <c r="A1057" s="54"/>
      <c r="B1057" s="9"/>
      <c r="C1057" s="9"/>
      <c r="E1057" s="9"/>
      <c r="F1057" s="167"/>
      <c r="G1057" s="521" t="s">
        <v>1014</v>
      </c>
      <c r="H1057" s="9"/>
      <c r="I1057" s="85"/>
      <c r="J1057" s="9"/>
      <c r="K1057" s="9"/>
      <c r="L1057" s="9"/>
      <c r="M1057" s="9"/>
      <c r="N1057" s="9"/>
      <c r="O1057" s="9"/>
      <c r="P1057" s="9"/>
      <c r="Q1057" s="9"/>
      <c r="R1057" s="9"/>
      <c r="S1057" s="61"/>
    </row>
    <row r="1058" spans="1:23" ht="13.5" thickBot="1" x14ac:dyDescent="0.25">
      <c r="A1058" s="118"/>
      <c r="B1058" s="23"/>
      <c r="C1058" s="23"/>
      <c r="D1058" s="121"/>
      <c r="E1058" s="23"/>
      <c r="F1058" s="168"/>
      <c r="G1058" s="1619"/>
      <c r="H1058" s="23"/>
      <c r="I1058" s="87"/>
      <c r="J1058" s="23"/>
      <c r="K1058" s="23"/>
      <c r="L1058" s="23"/>
      <c r="M1058" s="23"/>
      <c r="N1058" s="23"/>
      <c r="O1058" s="23"/>
      <c r="P1058" s="23"/>
      <c r="Q1058" s="23"/>
      <c r="R1058" s="23"/>
      <c r="S1058" s="112"/>
    </row>
    <row r="1059" spans="1:23" s="46" customFormat="1" ht="14.25" thickTop="1" thickBot="1" x14ac:dyDescent="0.25">
      <c r="F1059" s="165"/>
      <c r="G1059" s="247"/>
      <c r="I1059" s="70"/>
      <c r="U1059" s="34"/>
      <c r="W1059" s="34"/>
    </row>
    <row r="1060" spans="1:23" s="38" customFormat="1" ht="18.75" customHeight="1" thickTop="1" thickBot="1" x14ac:dyDescent="0.3">
      <c r="A1060" s="2588" t="s">
        <v>4553</v>
      </c>
      <c r="B1060" s="2589"/>
      <c r="C1060" s="2589"/>
      <c r="D1060" s="2589"/>
      <c r="E1060" s="2589"/>
      <c r="F1060" s="2589"/>
      <c r="G1060" s="2589"/>
      <c r="H1060" s="2589"/>
      <c r="I1060" s="2589"/>
      <c r="J1060" s="2589"/>
      <c r="K1060" s="2589"/>
      <c r="L1060" s="2589"/>
      <c r="M1060" s="2589"/>
      <c r="N1060" s="2589"/>
      <c r="O1060" s="2589"/>
      <c r="P1060" s="2589"/>
      <c r="Q1060" s="2589"/>
      <c r="R1060" s="2589"/>
      <c r="S1060" s="2590"/>
      <c r="U1060" s="34"/>
      <c r="W1060" s="34"/>
    </row>
    <row r="1061" spans="1:23" s="39" customFormat="1" x14ac:dyDescent="0.2">
      <c r="A1061" s="2620" t="s">
        <v>1824</v>
      </c>
      <c r="B1061" s="2621"/>
      <c r="C1061" s="2621"/>
      <c r="D1061" s="2621"/>
      <c r="E1061" s="2622"/>
      <c r="F1061" s="150" t="s">
        <v>2616</v>
      </c>
      <c r="G1061" s="126" t="s">
        <v>2213</v>
      </c>
      <c r="H1061" s="2617" t="s">
        <v>2215</v>
      </c>
      <c r="I1061" s="2618"/>
      <c r="J1061" s="2618"/>
      <c r="K1061" s="2618"/>
      <c r="L1061" s="2618"/>
      <c r="M1061" s="2618"/>
      <c r="N1061" s="2618"/>
      <c r="O1061" s="2618"/>
      <c r="P1061" s="2618"/>
      <c r="Q1061" s="2618"/>
      <c r="R1061" s="2618"/>
      <c r="S1061" s="2619"/>
      <c r="U1061" s="34"/>
      <c r="W1061" s="34"/>
    </row>
    <row r="1062" spans="1:23" ht="13.5" customHeight="1" thickBot="1" x14ac:dyDescent="0.25">
      <c r="A1062" s="541" t="str">
        <f>A3</f>
        <v>2012/13</v>
      </c>
      <c r="B1062" s="28" t="str">
        <f>B3</f>
        <v>2013/14</v>
      </c>
      <c r="C1062" s="40" t="str">
        <f>C3</f>
        <v>2014/15</v>
      </c>
      <c r="D1062" s="40" t="str">
        <f>D3</f>
        <v>2015/16</v>
      </c>
      <c r="E1062" s="40" t="str">
        <f>E3</f>
        <v>2016/17</v>
      </c>
      <c r="F1062" s="40" t="s">
        <v>2617</v>
      </c>
      <c r="G1062" s="41"/>
      <c r="H1062" s="40" t="str">
        <f t="shared" ref="H1062:S1062" si="957">H3</f>
        <v>2017/18</v>
      </c>
      <c r="I1062" s="1258" t="str">
        <f t="shared" si="957"/>
        <v>%</v>
      </c>
      <c r="J1062" s="40" t="str">
        <f t="shared" si="957"/>
        <v>2018/19</v>
      </c>
      <c r="K1062" s="40" t="str">
        <f t="shared" si="957"/>
        <v>2019/20</v>
      </c>
      <c r="L1062" s="40" t="str">
        <f t="shared" si="957"/>
        <v>2020/21</v>
      </c>
      <c r="M1062" s="40" t="str">
        <f t="shared" si="957"/>
        <v>2021/22</v>
      </c>
      <c r="N1062" s="40" t="str">
        <f t="shared" si="957"/>
        <v>2022/23</v>
      </c>
      <c r="O1062" s="40" t="str">
        <f t="shared" si="957"/>
        <v>2023/24</v>
      </c>
      <c r="P1062" s="40" t="str">
        <f t="shared" si="957"/>
        <v>2024/25</v>
      </c>
      <c r="Q1062" s="28" t="str">
        <f t="shared" si="957"/>
        <v>2025/26</v>
      </c>
      <c r="R1062" s="28" t="str">
        <f t="shared" si="957"/>
        <v>2026/27</v>
      </c>
      <c r="S1062" s="1620" t="str">
        <f t="shared" si="957"/>
        <v>2027/28</v>
      </c>
    </row>
    <row r="1063" spans="1:23" x14ac:dyDescent="0.2">
      <c r="A1063" s="54"/>
      <c r="B1063" s="9"/>
      <c r="C1063" s="9"/>
      <c r="D1063" s="9"/>
      <c r="E1063" s="9"/>
      <c r="F1063" s="1153"/>
      <c r="G1063" s="256" t="s">
        <v>1800</v>
      </c>
      <c r="H1063" s="9"/>
      <c r="I1063" s="85"/>
      <c r="J1063" s="9"/>
      <c r="K1063" s="9"/>
      <c r="L1063" s="9"/>
      <c r="M1063" s="9"/>
      <c r="N1063" s="9"/>
      <c r="O1063" s="9"/>
      <c r="P1063" s="9"/>
      <c r="Q1063" s="9"/>
      <c r="R1063" s="9"/>
      <c r="S1063" s="61"/>
    </row>
    <row r="1064" spans="1:23" ht="13.5" customHeight="1" x14ac:dyDescent="0.2">
      <c r="A1064" s="54"/>
      <c r="B1064" s="9"/>
      <c r="C1064" s="136"/>
      <c r="D1064" s="134"/>
      <c r="E1064" s="134"/>
      <c r="F1064" s="239"/>
      <c r="G1064" s="320" t="s">
        <v>497</v>
      </c>
      <c r="H1064" s="9"/>
      <c r="I1064" s="85"/>
      <c r="J1064" s="9"/>
      <c r="K1064" s="9"/>
      <c r="L1064" s="9"/>
      <c r="M1064" s="9"/>
      <c r="N1064" s="9"/>
      <c r="O1064" s="9"/>
      <c r="P1064" s="9"/>
      <c r="Q1064" s="9"/>
      <c r="R1064" s="9"/>
      <c r="S1064" s="61"/>
    </row>
    <row r="1065" spans="1:23" ht="13.5" customHeight="1" x14ac:dyDescent="0.2">
      <c r="A1065" s="54">
        <v>0</v>
      </c>
      <c r="B1065" s="9">
        <v>143100</v>
      </c>
      <c r="C1065" s="136">
        <v>203900</v>
      </c>
      <c r="D1065" s="134">
        <v>213700</v>
      </c>
      <c r="E1065" s="134">
        <v>256100</v>
      </c>
      <c r="F1065" s="578" t="s">
        <v>3367</v>
      </c>
      <c r="G1065" s="662" t="s">
        <v>3368</v>
      </c>
      <c r="H1065" s="9">
        <f>251600+50000</f>
        <v>301600</v>
      </c>
      <c r="I1065" s="85">
        <f t="shared" ref="I1065:I1100" si="958">IF(E1065=H1065,0,IF(E1065=0,100,(H1065-E1065)/E1065*100))</f>
        <v>17.766497461928935</v>
      </c>
      <c r="J1065" s="9">
        <v>284100</v>
      </c>
      <c r="K1065" s="9">
        <v>292600</v>
      </c>
      <c r="L1065" s="9">
        <f>ROUND(K1065*Assumptions!K$5+GM!K1065,-2)</f>
        <v>299900</v>
      </c>
      <c r="M1065" s="9">
        <f>ROUND(L1065*Assumptions!L$5+GM!L1065,-2)</f>
        <v>307400</v>
      </c>
      <c r="N1065" s="9">
        <f>ROUND(M1065*Assumptions!M$5+GM!M1065,-2)</f>
        <v>315100</v>
      </c>
      <c r="O1065" s="9">
        <f>ROUND(N1065*Assumptions!N$5+GM!N1065,-2)</f>
        <v>323000</v>
      </c>
      <c r="P1065" s="9">
        <f>ROUND(O1065*Assumptions!O$5+GM!O1065,-2)</f>
        <v>331100</v>
      </c>
      <c r="Q1065" s="9">
        <f>ROUND(P1065*Assumptions!P$5+GM!P1065,-2)</f>
        <v>339400</v>
      </c>
      <c r="R1065" s="9">
        <f>ROUND(Q1065*Assumptions!Q$5+GM!Q1065,-2)</f>
        <v>347900</v>
      </c>
      <c r="S1065" s="47">
        <f>ROUND(R1065*Assumptions!R$5+GM!R1065,-2)</f>
        <v>356600</v>
      </c>
    </row>
    <row r="1066" spans="1:23" ht="13.5" customHeight="1" x14ac:dyDescent="0.2">
      <c r="A1066" s="54">
        <v>14600</v>
      </c>
      <c r="B1066" s="9">
        <v>4900</v>
      </c>
      <c r="C1066" s="136">
        <v>1700</v>
      </c>
      <c r="D1066" s="134">
        <v>1400</v>
      </c>
      <c r="E1066" s="134">
        <v>7900</v>
      </c>
      <c r="F1066" s="239" t="s">
        <v>1020</v>
      </c>
      <c r="G1066" s="371" t="s">
        <v>1635</v>
      </c>
      <c r="H1066" s="9">
        <v>7000</v>
      </c>
      <c r="I1066" s="85">
        <f t="shared" si="958"/>
        <v>-11.39240506329114</v>
      </c>
      <c r="J1066" s="9">
        <f>ROUND(H1066*Assumptions!I$13+GM!H1066,-2)</f>
        <v>7200</v>
      </c>
      <c r="K1066" s="9">
        <f>ROUND(J1066*Assumptions!J$5+GM!J1066,-2)</f>
        <v>7400</v>
      </c>
      <c r="L1066" s="9">
        <f>ROUND(K1066*Assumptions!K$5+GM!K1066,-2)</f>
        <v>7600</v>
      </c>
      <c r="M1066" s="9">
        <f>ROUND(L1066*Assumptions!L$5+GM!L1066,-2)</f>
        <v>7800</v>
      </c>
      <c r="N1066" s="9">
        <f>ROUND(M1066*Assumptions!M$5+GM!M1066,-2)</f>
        <v>8000</v>
      </c>
      <c r="O1066" s="9">
        <f>ROUND(N1066*Assumptions!N$5+GM!N1066,-2)</f>
        <v>8200</v>
      </c>
      <c r="P1066" s="9">
        <f>ROUND(O1066*Assumptions!O$5+GM!O1066,-2)</f>
        <v>8400</v>
      </c>
      <c r="Q1066" s="9">
        <f>ROUND(P1066*Assumptions!P$5+GM!P1066,-2)</f>
        <v>8600</v>
      </c>
      <c r="R1066" s="9">
        <f>ROUND(Q1066*Assumptions!Q$5+GM!Q1066,-2)</f>
        <v>8800</v>
      </c>
      <c r="S1066" s="47">
        <f>ROUND(R1066*Assumptions!R$5+GM!R1066,-2)</f>
        <v>9000</v>
      </c>
    </row>
    <row r="1067" spans="1:23" ht="13.5" customHeight="1" x14ac:dyDescent="0.2">
      <c r="A1067" s="54">
        <v>7800</v>
      </c>
      <c r="B1067" s="9">
        <v>7200</v>
      </c>
      <c r="C1067" s="136">
        <v>7400</v>
      </c>
      <c r="D1067" s="134">
        <v>7300</v>
      </c>
      <c r="E1067" s="134">
        <v>6900</v>
      </c>
      <c r="F1067" s="239" t="s">
        <v>2686</v>
      </c>
      <c r="G1067" s="371" t="s">
        <v>2683</v>
      </c>
      <c r="H1067" s="9">
        <v>8000</v>
      </c>
      <c r="I1067" s="85">
        <f t="shared" si="958"/>
        <v>15.942028985507244</v>
      </c>
      <c r="J1067" s="9">
        <f>ROUND(H1067*Assumptions!I$13+GM!H1067,-2)</f>
        <v>8200</v>
      </c>
      <c r="K1067" s="9">
        <f>ROUND(J1067*Assumptions!J$5+GM!J1067,-2)</f>
        <v>8400</v>
      </c>
      <c r="L1067" s="9">
        <f>ROUND(K1067*Assumptions!K$5+GM!K1067,-2)</f>
        <v>8600</v>
      </c>
      <c r="M1067" s="9">
        <f>ROUND(L1067*Assumptions!L$5+GM!L1067,-2)</f>
        <v>8800</v>
      </c>
      <c r="N1067" s="9">
        <f>ROUND(M1067*Assumptions!M$5+GM!M1067,-2)</f>
        <v>9000</v>
      </c>
      <c r="O1067" s="9">
        <f>ROUND(N1067*Assumptions!N$5+GM!N1067,-2)</f>
        <v>9200</v>
      </c>
      <c r="P1067" s="9">
        <f>ROUND(O1067*Assumptions!O$5+GM!O1067,-2)</f>
        <v>9400</v>
      </c>
      <c r="Q1067" s="9">
        <f>ROUND(P1067*Assumptions!P$5+GM!P1067,-2)</f>
        <v>9600</v>
      </c>
      <c r="R1067" s="9">
        <f>ROUND(Q1067*Assumptions!Q$5+GM!Q1067,-2)</f>
        <v>9800</v>
      </c>
      <c r="S1067" s="47">
        <f>ROUND(R1067*Assumptions!R$5+GM!R1067,-2)</f>
        <v>10000</v>
      </c>
    </row>
    <row r="1068" spans="1:23" ht="13.5" customHeight="1" x14ac:dyDescent="0.2">
      <c r="A1068" s="54">
        <v>76600</v>
      </c>
      <c r="B1068" s="9">
        <v>89300</v>
      </c>
      <c r="C1068" s="136">
        <v>95300</v>
      </c>
      <c r="D1068" s="134">
        <v>78800</v>
      </c>
      <c r="E1068" s="134">
        <f>97700-100</f>
        <v>97600</v>
      </c>
      <c r="F1068" s="239" t="s">
        <v>1457</v>
      </c>
      <c r="G1068" s="371" t="s">
        <v>1983</v>
      </c>
      <c r="H1068" s="9">
        <v>80000</v>
      </c>
      <c r="I1068" s="85">
        <f t="shared" si="958"/>
        <v>-18.032786885245901</v>
      </c>
      <c r="J1068" s="9">
        <f>ROUND(H1068*Assumptions!I$13+GM!H1068,-2)</f>
        <v>81800</v>
      </c>
      <c r="K1068" s="9">
        <f>ROUND(J1068*Assumptions!J$5+GM!J1068,-2)</f>
        <v>83800</v>
      </c>
      <c r="L1068" s="9">
        <f>ROUND(K1068*Assumptions!K$5+GM!K1068,-2)</f>
        <v>85900</v>
      </c>
      <c r="M1068" s="9">
        <f>ROUND(L1068*Assumptions!L$5+GM!L1068,-2)</f>
        <v>88000</v>
      </c>
      <c r="N1068" s="9">
        <f>ROUND(M1068*Assumptions!M$5+GM!M1068,-2)</f>
        <v>90200</v>
      </c>
      <c r="O1068" s="9">
        <f>ROUND(N1068*Assumptions!N$5+GM!N1068,-2)</f>
        <v>92500</v>
      </c>
      <c r="P1068" s="9">
        <f>ROUND(O1068*Assumptions!O$5+GM!O1068,-2)</f>
        <v>94800</v>
      </c>
      <c r="Q1068" s="9">
        <f>ROUND(P1068*Assumptions!P$5+GM!P1068,-2)</f>
        <v>97200</v>
      </c>
      <c r="R1068" s="9">
        <f>ROUND(Q1068*Assumptions!Q$5+GM!Q1068,-2)</f>
        <v>99600</v>
      </c>
      <c r="S1068" s="47">
        <f>ROUND(R1068*Assumptions!R$5+GM!R1068,-2)</f>
        <v>102100</v>
      </c>
    </row>
    <row r="1069" spans="1:23" ht="13.5" customHeight="1" x14ac:dyDescent="0.2">
      <c r="A1069" s="54">
        <v>4200</v>
      </c>
      <c r="B1069" s="9">
        <v>5200</v>
      </c>
      <c r="C1069" s="136">
        <v>6200</v>
      </c>
      <c r="D1069" s="134">
        <v>8000</v>
      </c>
      <c r="E1069" s="134">
        <v>9300</v>
      </c>
      <c r="F1069" s="239" t="s">
        <v>624</v>
      </c>
      <c r="G1069" s="371" t="s">
        <v>622</v>
      </c>
      <c r="H1069" s="9">
        <v>11000</v>
      </c>
      <c r="I1069" s="85">
        <f t="shared" si="958"/>
        <v>18.27956989247312</v>
      </c>
      <c r="J1069" s="9">
        <f>ROUND(H1069*Assumptions!I$13+GM!H1069,-2)</f>
        <v>11300</v>
      </c>
      <c r="K1069" s="9">
        <f>ROUND(J1069*Assumptions!J$5+GM!J1069,-2)</f>
        <v>11600</v>
      </c>
      <c r="L1069" s="9">
        <f>ROUND(K1069*Assumptions!K$5+GM!K1069,-2)</f>
        <v>11900</v>
      </c>
      <c r="M1069" s="9">
        <f>ROUND(L1069*Assumptions!L$5+GM!L1069,-2)</f>
        <v>12200</v>
      </c>
      <c r="N1069" s="9">
        <f>ROUND(M1069*Assumptions!M$5+GM!M1069,-2)</f>
        <v>12500</v>
      </c>
      <c r="O1069" s="9">
        <f>ROUND(N1069*Assumptions!N$5+GM!N1069,-2)</f>
        <v>12800</v>
      </c>
      <c r="P1069" s="9">
        <f>ROUND(O1069*Assumptions!O$5+GM!O1069,-2)</f>
        <v>13100</v>
      </c>
      <c r="Q1069" s="9">
        <f>ROUND(P1069*Assumptions!P$5+GM!P1069,-2)</f>
        <v>13400</v>
      </c>
      <c r="R1069" s="9">
        <f>ROUND(Q1069*Assumptions!Q$5+GM!Q1069,-2)</f>
        <v>13700</v>
      </c>
      <c r="S1069" s="47">
        <f>ROUND(R1069*Assumptions!R$5+GM!R1069,-2)</f>
        <v>14000</v>
      </c>
    </row>
    <row r="1070" spans="1:23" ht="13.5" customHeight="1" x14ac:dyDescent="0.2">
      <c r="A1070" s="54">
        <v>0</v>
      </c>
      <c r="B1070" s="9">
        <v>0</v>
      </c>
      <c r="C1070" s="136">
        <v>0</v>
      </c>
      <c r="D1070" s="134">
        <v>20000</v>
      </c>
      <c r="E1070" s="134">
        <v>0</v>
      </c>
      <c r="F1070" s="578" t="s">
        <v>11806</v>
      </c>
      <c r="G1070" s="662" t="s">
        <v>11917</v>
      </c>
      <c r="H1070" s="9">
        <v>0</v>
      </c>
      <c r="I1070" s="85">
        <f t="shared" si="958"/>
        <v>0</v>
      </c>
      <c r="J1070" s="9">
        <f>ROUND(H1070*Assumptions!I$13+GM!H1070,-2)</f>
        <v>0</v>
      </c>
      <c r="K1070" s="9">
        <f>ROUND(J1070*Assumptions!J$5+GM!J1070,-2)</f>
        <v>0</v>
      </c>
      <c r="L1070" s="9">
        <f>ROUND(K1070*Assumptions!K$5+GM!K1070,-2)</f>
        <v>0</v>
      </c>
      <c r="M1070" s="9">
        <f>ROUND(L1070*Assumptions!L$5+GM!L1070,-2)</f>
        <v>0</v>
      </c>
      <c r="N1070" s="9">
        <f>ROUND(M1070*Assumptions!M$5+GM!M1070,-2)</f>
        <v>0</v>
      </c>
      <c r="O1070" s="9">
        <f>ROUND(N1070*Assumptions!N$5+GM!N1070,-2)</f>
        <v>0</v>
      </c>
      <c r="P1070" s="9">
        <f>ROUND(O1070*Assumptions!O$5+GM!O1070,-2)</f>
        <v>0</v>
      </c>
      <c r="Q1070" s="9">
        <f>ROUND(P1070*Assumptions!P$5+GM!P1070,-2)</f>
        <v>0</v>
      </c>
      <c r="R1070" s="9">
        <f>ROUND(Q1070*Assumptions!Q$5+GM!Q1070,-2)</f>
        <v>0</v>
      </c>
      <c r="S1070" s="47">
        <f>ROUND(R1070*Assumptions!R$5+GM!R1070,-2)</f>
        <v>0</v>
      </c>
    </row>
    <row r="1071" spans="1:23" ht="13.5" customHeight="1" x14ac:dyDescent="0.2">
      <c r="A1071" s="54">
        <v>22900</v>
      </c>
      <c r="B1071" s="9">
        <v>21900</v>
      </c>
      <c r="C1071" s="136">
        <v>41400</v>
      </c>
      <c r="D1071" s="134">
        <v>71000</v>
      </c>
      <c r="E1071" s="134">
        <v>69800</v>
      </c>
      <c r="F1071" s="239" t="s">
        <v>1458</v>
      </c>
      <c r="G1071" s="371" t="s">
        <v>2724</v>
      </c>
      <c r="H1071" s="9">
        <f>79000-30000-4700</f>
        <v>44300</v>
      </c>
      <c r="I1071" s="85">
        <f t="shared" si="958"/>
        <v>-36.532951289398277</v>
      </c>
      <c r="J1071" s="9">
        <f>ROUND(H1071*Assumptions!I$13+GM!H1071,-2)</f>
        <v>45300</v>
      </c>
      <c r="K1071" s="9">
        <f>ROUND(J1071*Assumptions!J$5+GM!J1071,-2)</f>
        <v>46400</v>
      </c>
      <c r="L1071" s="9">
        <f>ROUND(K1071*Assumptions!K$5+GM!K1071,-2)</f>
        <v>47600</v>
      </c>
      <c r="M1071" s="9">
        <f>ROUND(L1071*Assumptions!L$5+GM!L1071,-2)</f>
        <v>48800</v>
      </c>
      <c r="N1071" s="9">
        <f>ROUND(M1071*Assumptions!M$5+GM!M1071,-2)</f>
        <v>50000</v>
      </c>
      <c r="O1071" s="9">
        <f>ROUND(N1071*Assumptions!N$5+GM!N1071,-2)</f>
        <v>51300</v>
      </c>
      <c r="P1071" s="9">
        <f>ROUND(O1071*Assumptions!O$5+GM!O1071,-2)</f>
        <v>52600</v>
      </c>
      <c r="Q1071" s="9">
        <f>ROUND(P1071*Assumptions!P$5+GM!P1071,-2)</f>
        <v>53900</v>
      </c>
      <c r="R1071" s="9">
        <f>ROUND(Q1071*Assumptions!Q$5+GM!Q1071,-2)</f>
        <v>55200</v>
      </c>
      <c r="S1071" s="47">
        <f>ROUND(R1071*Assumptions!R$5+GM!R1071,-2)</f>
        <v>56600</v>
      </c>
    </row>
    <row r="1072" spans="1:23" ht="13.5" customHeight="1" x14ac:dyDescent="0.2">
      <c r="A1072" s="54">
        <v>28700</v>
      </c>
      <c r="B1072" s="9">
        <v>31000</v>
      </c>
      <c r="C1072" s="136">
        <v>46900</v>
      </c>
      <c r="D1072" s="134">
        <v>43400</v>
      </c>
      <c r="E1072" s="134">
        <v>30600</v>
      </c>
      <c r="F1072" s="239" t="s">
        <v>1021</v>
      </c>
      <c r="G1072" s="371" t="s">
        <v>1296</v>
      </c>
      <c r="H1072" s="9">
        <v>40000</v>
      </c>
      <c r="I1072" s="85">
        <f t="shared" si="958"/>
        <v>30.718954248366014</v>
      </c>
      <c r="J1072" s="9">
        <f>ROUND(H1072*Assumptions!I$13+GM!H1072,-2)</f>
        <v>40900</v>
      </c>
      <c r="K1072" s="9">
        <f>ROUND(J1072*Assumptions!J$5+GM!J1072,-2)</f>
        <v>41900</v>
      </c>
      <c r="L1072" s="9">
        <f>ROUND(K1072*Assumptions!K$5+GM!K1072,-2)</f>
        <v>42900</v>
      </c>
      <c r="M1072" s="9">
        <f>ROUND(L1072*Assumptions!L$5+GM!L1072,-2)</f>
        <v>44000</v>
      </c>
      <c r="N1072" s="9">
        <f>ROUND(M1072*Assumptions!M$5+GM!M1072,-2)</f>
        <v>45100</v>
      </c>
      <c r="O1072" s="9">
        <f>ROUND(N1072*Assumptions!N$5+GM!N1072,-2)</f>
        <v>46200</v>
      </c>
      <c r="P1072" s="9">
        <f>ROUND(O1072*Assumptions!O$5+GM!O1072,-2)</f>
        <v>47400</v>
      </c>
      <c r="Q1072" s="9">
        <f>ROUND(P1072*Assumptions!P$5+GM!P1072,-2)</f>
        <v>48600</v>
      </c>
      <c r="R1072" s="9">
        <f>ROUND(Q1072*Assumptions!Q$5+GM!Q1072,-2)</f>
        <v>49800</v>
      </c>
      <c r="S1072" s="47">
        <f>ROUND(R1072*Assumptions!R$5+GM!R1072,-2)</f>
        <v>51000</v>
      </c>
    </row>
    <row r="1073" spans="1:19" ht="13.5" customHeight="1" x14ac:dyDescent="0.2">
      <c r="A1073" s="54">
        <v>757800</v>
      </c>
      <c r="B1073" s="9">
        <v>901700</v>
      </c>
      <c r="C1073" s="136">
        <v>955600</v>
      </c>
      <c r="D1073" s="134">
        <v>999200</v>
      </c>
      <c r="E1073" s="134">
        <v>1051800</v>
      </c>
      <c r="F1073" s="239" t="s">
        <v>1019</v>
      </c>
      <c r="G1073" s="371" t="s">
        <v>213</v>
      </c>
      <c r="H1073" s="9">
        <v>1244000</v>
      </c>
      <c r="I1073" s="85">
        <f t="shared" si="958"/>
        <v>18.273436014451416</v>
      </c>
      <c r="J1073" s="9">
        <f t="shared" ref="J1073:S1073" si="959">ROUND(J1023*0.85,-3)</f>
        <v>1247000</v>
      </c>
      <c r="K1073" s="9">
        <f t="shared" si="959"/>
        <v>1284000</v>
      </c>
      <c r="L1073" s="9">
        <f t="shared" si="959"/>
        <v>1323000</v>
      </c>
      <c r="M1073" s="9">
        <f t="shared" si="959"/>
        <v>1363000</v>
      </c>
      <c r="N1073" s="9">
        <f t="shared" si="959"/>
        <v>1403000</v>
      </c>
      <c r="O1073" s="9">
        <f t="shared" si="959"/>
        <v>1446000</v>
      </c>
      <c r="P1073" s="9">
        <f t="shared" si="959"/>
        <v>1489000</v>
      </c>
      <c r="Q1073" s="9">
        <f t="shared" si="959"/>
        <v>1534000</v>
      </c>
      <c r="R1073" s="9">
        <f t="shared" si="959"/>
        <v>1580000</v>
      </c>
      <c r="S1073" s="47">
        <f t="shared" si="959"/>
        <v>1627000</v>
      </c>
    </row>
    <row r="1074" spans="1:19" ht="13.5" customHeight="1" x14ac:dyDescent="0.2">
      <c r="A1074" s="54">
        <v>25300</v>
      </c>
      <c r="B1074" s="9">
        <v>26200</v>
      </c>
      <c r="C1074" s="136">
        <v>17300</v>
      </c>
      <c r="D1074" s="134">
        <v>3000</v>
      </c>
      <c r="E1074" s="134">
        <v>9700</v>
      </c>
      <c r="F1074" s="239" t="s">
        <v>1022</v>
      </c>
      <c r="G1074" s="371" t="s">
        <v>1414</v>
      </c>
      <c r="H1074" s="9">
        <v>8000</v>
      </c>
      <c r="I1074" s="85">
        <f t="shared" si="958"/>
        <v>-17.525773195876287</v>
      </c>
      <c r="J1074" s="9">
        <f>ROUND(H1074*Assumptions!I$13+GM!H1074,-2)</f>
        <v>8200</v>
      </c>
      <c r="K1074" s="9">
        <f>ROUND(J1074*Assumptions!J$5+GM!J1074,-2)</f>
        <v>8400</v>
      </c>
      <c r="L1074" s="9">
        <f>ROUND(K1074*Assumptions!K$5+GM!K1074,-2)</f>
        <v>8600</v>
      </c>
      <c r="M1074" s="9">
        <f>ROUND(L1074*Assumptions!L$5+GM!L1074,-2)</f>
        <v>8800</v>
      </c>
      <c r="N1074" s="9">
        <f>ROUND(M1074*Assumptions!M$5+GM!M1074,-2)</f>
        <v>9000</v>
      </c>
      <c r="O1074" s="9">
        <f>ROUND(N1074*Assumptions!N$5+GM!N1074,-2)</f>
        <v>9200</v>
      </c>
      <c r="P1074" s="9">
        <f>ROUND(O1074*Assumptions!O$5+GM!O1074,-2)</f>
        <v>9400</v>
      </c>
      <c r="Q1074" s="9">
        <f>ROUND(P1074*Assumptions!P$5+GM!P1074,-2)</f>
        <v>9600</v>
      </c>
      <c r="R1074" s="9">
        <f>ROUND(Q1074*Assumptions!Q$5+GM!Q1074,-2)</f>
        <v>9800</v>
      </c>
      <c r="S1074" s="47">
        <f>ROUND(R1074*Assumptions!R$5+GM!R1074,-2)</f>
        <v>10000</v>
      </c>
    </row>
    <row r="1075" spans="1:19" ht="13.5" customHeight="1" x14ac:dyDescent="0.2">
      <c r="A1075" s="54">
        <v>0</v>
      </c>
      <c r="B1075" s="9">
        <v>0</v>
      </c>
      <c r="C1075" s="136">
        <v>0</v>
      </c>
      <c r="D1075" s="134">
        <v>67400</v>
      </c>
      <c r="E1075" s="706">
        <v>270200</v>
      </c>
      <c r="F1075" s="578" t="s">
        <v>7245</v>
      </c>
      <c r="G1075" s="662" t="s">
        <v>5798</v>
      </c>
      <c r="H1075" s="9">
        <f>325000+50000</f>
        <v>375000</v>
      </c>
      <c r="I1075" s="85">
        <f t="shared" si="958"/>
        <v>38.786084381939304</v>
      </c>
      <c r="J1075" s="9">
        <f>ROUND(H1075*Assumptions!I$13+GM!H1075,-2)</f>
        <v>383600</v>
      </c>
      <c r="K1075" s="9">
        <f>ROUND(J1075*Assumptions!J$5+GM!J1075,-2)</f>
        <v>393200</v>
      </c>
      <c r="L1075" s="9">
        <f>ROUND(K1075*Assumptions!K$5+GM!K1075,-2)</f>
        <v>403000</v>
      </c>
      <c r="M1075" s="9">
        <f>ROUND(L1075*Assumptions!L$5+GM!L1075,-2)</f>
        <v>413100</v>
      </c>
      <c r="N1075" s="9">
        <f>ROUND(M1075*Assumptions!M$5+GM!M1075,-2)</f>
        <v>423400</v>
      </c>
      <c r="O1075" s="9">
        <f>ROUND(N1075*Assumptions!N$5+GM!N1075,-2)</f>
        <v>434000</v>
      </c>
      <c r="P1075" s="9">
        <f>ROUND(O1075*Assumptions!O$5+GM!O1075,-2)</f>
        <v>444900</v>
      </c>
      <c r="Q1075" s="9">
        <f>ROUND(P1075*Assumptions!P$5+GM!P1075,-2)</f>
        <v>456000</v>
      </c>
      <c r="R1075" s="9">
        <f>ROUND(Q1075*Assumptions!Q$5+GM!Q1075,-2)</f>
        <v>467400</v>
      </c>
      <c r="S1075" s="47">
        <f>ROUND(R1075*Assumptions!R$5+GM!R1075,-2)</f>
        <v>479100</v>
      </c>
    </row>
    <row r="1076" spans="1:19" ht="13.5" customHeight="1" x14ac:dyDescent="0.2">
      <c r="A1076" s="54">
        <v>10600</v>
      </c>
      <c r="B1076" s="9">
        <v>6400</v>
      </c>
      <c r="C1076" s="136">
        <v>6700</v>
      </c>
      <c r="D1076" s="134">
        <v>8100</v>
      </c>
      <c r="E1076" s="134">
        <v>8600</v>
      </c>
      <c r="F1076" s="239" t="s">
        <v>1023</v>
      </c>
      <c r="G1076" s="371" t="s">
        <v>2346</v>
      </c>
      <c r="H1076" s="9">
        <v>9000</v>
      </c>
      <c r="I1076" s="85">
        <f t="shared" si="958"/>
        <v>4.6511627906976747</v>
      </c>
      <c r="J1076" s="9">
        <f>ROUND(H1076*Assumptions!I$13+GM!H1076,-2)</f>
        <v>9200</v>
      </c>
      <c r="K1076" s="9">
        <f>ROUND(J1076*Assumptions!J$5+GM!J1076,-2)</f>
        <v>9400</v>
      </c>
      <c r="L1076" s="9">
        <f>ROUND(K1076*Assumptions!K$5+GM!K1076,-2)</f>
        <v>9600</v>
      </c>
      <c r="M1076" s="9">
        <f>ROUND(L1076*Assumptions!L$5+GM!L1076,-2)</f>
        <v>9800</v>
      </c>
      <c r="N1076" s="9">
        <f>ROUND(M1076*Assumptions!M$5+GM!M1076,-2)</f>
        <v>10000</v>
      </c>
      <c r="O1076" s="9">
        <f>ROUND(N1076*Assumptions!N$5+GM!N1076,-2)</f>
        <v>10300</v>
      </c>
      <c r="P1076" s="9">
        <f>ROUND(O1076*Assumptions!O$5+GM!O1076,-2)</f>
        <v>10600</v>
      </c>
      <c r="Q1076" s="9">
        <f>ROUND(P1076*Assumptions!P$5+GM!P1076,-2)</f>
        <v>10900</v>
      </c>
      <c r="R1076" s="9">
        <f>ROUND(Q1076*Assumptions!Q$5+GM!Q1076,-2)</f>
        <v>11200</v>
      </c>
      <c r="S1076" s="47">
        <f>ROUND(R1076*Assumptions!R$5+GM!R1076,-2)</f>
        <v>11500</v>
      </c>
    </row>
    <row r="1077" spans="1:19" ht="13.5" customHeight="1" x14ac:dyDescent="0.2">
      <c r="A1077" s="54">
        <v>83000</v>
      </c>
      <c r="B1077" s="9">
        <v>79700</v>
      </c>
      <c r="C1077" s="136">
        <v>63600</v>
      </c>
      <c r="D1077" s="134">
        <v>71300</v>
      </c>
      <c r="E1077" s="134">
        <v>58100</v>
      </c>
      <c r="F1077" s="239" t="s">
        <v>2873</v>
      </c>
      <c r="G1077" s="371" t="s">
        <v>1399</v>
      </c>
      <c r="H1077" s="9">
        <v>77000</v>
      </c>
      <c r="I1077" s="85">
        <f t="shared" si="958"/>
        <v>32.53012048192771</v>
      </c>
      <c r="J1077" s="9">
        <f>ROUND(H1077*Assumptions!I$13+GM!H1077,-2)</f>
        <v>78800</v>
      </c>
      <c r="K1077" s="9">
        <f>ROUND(J1077*Assumptions!J$5+GM!J1077,-2)</f>
        <v>80800</v>
      </c>
      <c r="L1077" s="9">
        <f>ROUND(K1077*Assumptions!K$5+GM!K1077,-2)</f>
        <v>82800</v>
      </c>
      <c r="M1077" s="9">
        <f>ROUND(L1077*Assumptions!L$5+GM!L1077,-2)</f>
        <v>84900</v>
      </c>
      <c r="N1077" s="9">
        <f>ROUND(M1077*Assumptions!M$5+GM!M1077,-2)</f>
        <v>87000</v>
      </c>
      <c r="O1077" s="9">
        <f>ROUND(N1077*Assumptions!N$5+GM!N1077,-2)</f>
        <v>89200</v>
      </c>
      <c r="P1077" s="9">
        <f>ROUND(O1077*Assumptions!O$5+GM!O1077,-2)</f>
        <v>91400</v>
      </c>
      <c r="Q1077" s="9">
        <f>ROUND(P1077*Assumptions!P$5+GM!P1077,-2)</f>
        <v>93700</v>
      </c>
      <c r="R1077" s="9">
        <f>ROUND(Q1077*Assumptions!Q$5+GM!Q1077,-2)</f>
        <v>96000</v>
      </c>
      <c r="S1077" s="47">
        <f>ROUND(R1077*Assumptions!R$5+GM!R1077,-2)</f>
        <v>98400</v>
      </c>
    </row>
    <row r="1078" spans="1:19" ht="13.5" customHeight="1" x14ac:dyDescent="0.2">
      <c r="A1078" s="54">
        <v>400</v>
      </c>
      <c r="B1078" s="9">
        <v>100</v>
      </c>
      <c r="C1078" s="136">
        <v>300</v>
      </c>
      <c r="D1078" s="134">
        <v>300</v>
      </c>
      <c r="E1078" s="134">
        <v>300</v>
      </c>
      <c r="F1078" s="239" t="s">
        <v>2874</v>
      </c>
      <c r="G1078" s="371" t="s">
        <v>2326</v>
      </c>
      <c r="H1078" s="9">
        <v>500</v>
      </c>
      <c r="I1078" s="85">
        <f t="shared" si="958"/>
        <v>66.666666666666657</v>
      </c>
      <c r="J1078" s="9">
        <f>ROUND(H1078*Assumptions!I$13+GM!H1078,-2)</f>
        <v>500</v>
      </c>
      <c r="K1078" s="9">
        <f>ROUND(J1078*Assumptions!J$5+GM!J1078,-2)</f>
        <v>500</v>
      </c>
      <c r="L1078" s="9">
        <f>ROUND(K1078*Assumptions!K$5+GM!K1078,-2)</f>
        <v>500</v>
      </c>
      <c r="M1078" s="9">
        <f>ROUND(L1078*Assumptions!L$5+GM!L1078,-2)</f>
        <v>500</v>
      </c>
      <c r="N1078" s="9">
        <f>ROUND(M1078*Assumptions!M$5+GM!M1078,-2)</f>
        <v>500</v>
      </c>
      <c r="O1078" s="9">
        <f>ROUND(N1078*Assumptions!N$5+GM!N1078,-2)</f>
        <v>500</v>
      </c>
      <c r="P1078" s="9">
        <f>ROUND(O1078*Assumptions!O$5+GM!O1078,-2)</f>
        <v>500</v>
      </c>
      <c r="Q1078" s="9">
        <f>ROUND(P1078*Assumptions!P$5+GM!P1078,-2)</f>
        <v>500</v>
      </c>
      <c r="R1078" s="9">
        <f>ROUND(Q1078*Assumptions!Q$5+GM!Q1078,-2)</f>
        <v>500</v>
      </c>
      <c r="S1078" s="47">
        <f>ROUND(R1078*Assumptions!R$5+GM!R1078,-2)</f>
        <v>500</v>
      </c>
    </row>
    <row r="1079" spans="1:19" ht="13.5" customHeight="1" x14ac:dyDescent="0.2">
      <c r="A1079" s="54">
        <v>96100</v>
      </c>
      <c r="B1079" s="9">
        <v>67600</v>
      </c>
      <c r="C1079" s="136">
        <v>49200</v>
      </c>
      <c r="D1079" s="134">
        <v>14700</v>
      </c>
      <c r="E1079" s="134">
        <v>23000</v>
      </c>
      <c r="F1079" s="239" t="s">
        <v>2875</v>
      </c>
      <c r="G1079" s="371" t="s">
        <v>1114</v>
      </c>
      <c r="H1079" s="9">
        <v>21000</v>
      </c>
      <c r="I1079" s="85">
        <f t="shared" si="958"/>
        <v>-8.695652173913043</v>
      </c>
      <c r="J1079" s="9">
        <f>ROUND(H1079*Assumptions!I$13+GM!H1079,-2)</f>
        <v>21500</v>
      </c>
      <c r="K1079" s="9">
        <f>ROUND(J1079*Assumptions!J$5+GM!J1079,-2)</f>
        <v>22000</v>
      </c>
      <c r="L1079" s="9">
        <f>ROUND(K1079*Assumptions!K$5+GM!K1079,-2)</f>
        <v>22600</v>
      </c>
      <c r="M1079" s="9">
        <f>ROUND(L1079*Assumptions!L$5+GM!L1079,-2)</f>
        <v>23200</v>
      </c>
      <c r="N1079" s="9">
        <f>ROUND(M1079*Assumptions!M$5+GM!M1079,-2)</f>
        <v>23800</v>
      </c>
      <c r="O1079" s="9">
        <f>ROUND(N1079*Assumptions!N$5+GM!N1079,-2)</f>
        <v>24400</v>
      </c>
      <c r="P1079" s="9">
        <f>ROUND(O1079*Assumptions!O$5+GM!O1079,-2)</f>
        <v>25000</v>
      </c>
      <c r="Q1079" s="9">
        <f>ROUND(P1079*Assumptions!P$5+GM!P1079,-2)</f>
        <v>25600</v>
      </c>
      <c r="R1079" s="9">
        <f>ROUND(Q1079*Assumptions!Q$5+GM!Q1079,-2)</f>
        <v>26200</v>
      </c>
      <c r="S1079" s="47">
        <f>ROUND(R1079*Assumptions!R$5+GM!R1079,-2)</f>
        <v>26900</v>
      </c>
    </row>
    <row r="1080" spans="1:19" ht="13.5" customHeight="1" x14ac:dyDescent="0.2">
      <c r="A1080" s="54">
        <v>100100</v>
      </c>
      <c r="B1080" s="9">
        <v>88000</v>
      </c>
      <c r="C1080" s="136">
        <v>41800</v>
      </c>
      <c r="D1080" s="134">
        <v>8000</v>
      </c>
      <c r="E1080" s="134">
        <v>5200</v>
      </c>
      <c r="F1080" s="239" t="s">
        <v>979</v>
      </c>
      <c r="G1080" s="371" t="s">
        <v>2041</v>
      </c>
      <c r="H1080" s="9">
        <v>10000</v>
      </c>
      <c r="I1080" s="85">
        <f t="shared" si="958"/>
        <v>92.307692307692307</v>
      </c>
      <c r="J1080" s="9">
        <f>ROUND(H1080*Assumptions!I$13+GM!H1080,-2)</f>
        <v>10200</v>
      </c>
      <c r="K1080" s="9">
        <f>ROUND(J1080*Assumptions!J$5+GM!J1080,-2)</f>
        <v>10500</v>
      </c>
      <c r="L1080" s="9">
        <f>ROUND(K1080*Assumptions!K$5+GM!K1080,-2)</f>
        <v>10800</v>
      </c>
      <c r="M1080" s="9">
        <f>ROUND(L1080*Assumptions!L$5+GM!L1080,-2)</f>
        <v>11100</v>
      </c>
      <c r="N1080" s="9">
        <f>ROUND(M1080*Assumptions!M$5+GM!M1080,-2)</f>
        <v>11400</v>
      </c>
      <c r="O1080" s="9">
        <f>ROUND(N1080*Assumptions!N$5+GM!N1080,-2)</f>
        <v>11700</v>
      </c>
      <c r="P1080" s="9">
        <f>ROUND(O1080*Assumptions!O$5+GM!O1080,-2)</f>
        <v>12000</v>
      </c>
      <c r="Q1080" s="9">
        <f>ROUND(P1080*Assumptions!P$5+GM!P1080,-2)</f>
        <v>12300</v>
      </c>
      <c r="R1080" s="9">
        <f>ROUND(Q1080*Assumptions!Q$5+GM!Q1080,-2)</f>
        <v>12600</v>
      </c>
      <c r="S1080" s="47">
        <f>ROUND(R1080*Assumptions!R$5+GM!R1080,-2)</f>
        <v>12900</v>
      </c>
    </row>
    <row r="1081" spans="1:19" ht="13.5" customHeight="1" x14ac:dyDescent="0.2">
      <c r="A1081" s="54">
        <v>21100</v>
      </c>
      <c r="B1081" s="9">
        <v>17800</v>
      </c>
      <c r="C1081" s="136">
        <v>18900</v>
      </c>
      <c r="D1081" s="134">
        <v>20400</v>
      </c>
      <c r="E1081" s="134">
        <v>23400</v>
      </c>
      <c r="F1081" s="239" t="s">
        <v>980</v>
      </c>
      <c r="G1081" s="371" t="s">
        <v>416</v>
      </c>
      <c r="H1081" s="9">
        <v>21000</v>
      </c>
      <c r="I1081" s="85">
        <f t="shared" si="958"/>
        <v>-10.256410256410255</v>
      </c>
      <c r="J1081" s="9">
        <f>ROUND(H1081*Assumptions!I$13+GM!H1081,-2)</f>
        <v>21500</v>
      </c>
      <c r="K1081" s="9">
        <f>ROUND(J1081*Assumptions!J$5+GM!J1081,-2)</f>
        <v>22000</v>
      </c>
      <c r="L1081" s="9">
        <f>ROUND(K1081*Assumptions!K$5+GM!K1081,-2)</f>
        <v>22600</v>
      </c>
      <c r="M1081" s="9">
        <f>ROUND(L1081*Assumptions!L$5+GM!L1081,-2)</f>
        <v>23200</v>
      </c>
      <c r="N1081" s="9">
        <f>ROUND(M1081*Assumptions!M$5+GM!M1081,-2)</f>
        <v>23800</v>
      </c>
      <c r="O1081" s="9">
        <f>ROUND(N1081*Assumptions!N$5+GM!N1081,-2)</f>
        <v>24400</v>
      </c>
      <c r="P1081" s="9">
        <f>ROUND(O1081*Assumptions!O$5+GM!O1081,-2)</f>
        <v>25000</v>
      </c>
      <c r="Q1081" s="9">
        <f>ROUND(P1081*Assumptions!P$5+GM!P1081,-2)</f>
        <v>25600</v>
      </c>
      <c r="R1081" s="9">
        <f>ROUND(Q1081*Assumptions!Q$5+GM!Q1081,-2)</f>
        <v>26200</v>
      </c>
      <c r="S1081" s="47">
        <f>ROUND(R1081*Assumptions!R$5+GM!R1081,-2)</f>
        <v>26900</v>
      </c>
    </row>
    <row r="1082" spans="1:19" ht="13.5" customHeight="1" x14ac:dyDescent="0.2">
      <c r="A1082" s="54">
        <v>4300</v>
      </c>
      <c r="B1082" s="9">
        <v>6900</v>
      </c>
      <c r="C1082" s="136">
        <v>3000</v>
      </c>
      <c r="D1082" s="134">
        <v>2300</v>
      </c>
      <c r="E1082" s="134">
        <v>2000</v>
      </c>
      <c r="F1082" s="239" t="s">
        <v>981</v>
      </c>
      <c r="G1082" s="371" t="s">
        <v>1389</v>
      </c>
      <c r="H1082" s="9">
        <v>6300</v>
      </c>
      <c r="I1082" s="85">
        <f t="shared" si="958"/>
        <v>215</v>
      </c>
      <c r="J1082" s="9">
        <f>ROUND(H1082*Assumptions!I$13+GM!H1082,-2)</f>
        <v>6400</v>
      </c>
      <c r="K1082" s="9">
        <f>ROUND(J1082*Assumptions!J$5+GM!J1082,-2)</f>
        <v>6600</v>
      </c>
      <c r="L1082" s="9">
        <f>ROUND(K1082*Assumptions!K$5+GM!K1082,-2)</f>
        <v>6800</v>
      </c>
      <c r="M1082" s="9">
        <f>ROUND(L1082*Assumptions!L$5+GM!L1082,-2)</f>
        <v>7000</v>
      </c>
      <c r="N1082" s="9">
        <f>ROUND(M1082*Assumptions!M$5+GM!M1082,-2)</f>
        <v>7200</v>
      </c>
      <c r="O1082" s="9">
        <f>ROUND(N1082*Assumptions!N$5+GM!N1082,-2)</f>
        <v>7400</v>
      </c>
      <c r="P1082" s="9">
        <f>ROUND(O1082*Assumptions!O$5+GM!O1082,-2)</f>
        <v>7600</v>
      </c>
      <c r="Q1082" s="9">
        <f>ROUND(P1082*Assumptions!P$5+GM!P1082,-2)</f>
        <v>7800</v>
      </c>
      <c r="R1082" s="9">
        <f>ROUND(Q1082*Assumptions!Q$5+GM!Q1082,-2)</f>
        <v>8000</v>
      </c>
      <c r="S1082" s="47">
        <f>ROUND(R1082*Assumptions!R$5+GM!R1082,-2)</f>
        <v>8200</v>
      </c>
    </row>
    <row r="1083" spans="1:19" ht="13.5" customHeight="1" x14ac:dyDescent="0.2">
      <c r="A1083" s="54">
        <v>1500</v>
      </c>
      <c r="B1083" s="9">
        <v>300</v>
      </c>
      <c r="C1083" s="136">
        <f>1000-1000</f>
        <v>0</v>
      </c>
      <c r="D1083" s="134">
        <v>400</v>
      </c>
      <c r="E1083" s="134">
        <v>1000</v>
      </c>
      <c r="F1083" s="239" t="s">
        <v>982</v>
      </c>
      <c r="G1083" s="371" t="s">
        <v>1013</v>
      </c>
      <c r="H1083" s="9">
        <v>1000</v>
      </c>
      <c r="I1083" s="85">
        <f t="shared" si="958"/>
        <v>0</v>
      </c>
      <c r="J1083" s="9">
        <f>ROUND(H1083*Assumptions!I$13+GM!H1083,-2)</f>
        <v>1000</v>
      </c>
      <c r="K1083" s="9">
        <f>ROUND(J1083*Assumptions!J$5+GM!J1083,-2)</f>
        <v>1000</v>
      </c>
      <c r="L1083" s="9">
        <f>ROUND(K1083*Assumptions!K$5+GM!K1083,-2)</f>
        <v>1000</v>
      </c>
      <c r="M1083" s="9">
        <f>ROUND(L1083*Assumptions!L$5+GM!L1083,-2)</f>
        <v>1000</v>
      </c>
      <c r="N1083" s="9">
        <f>ROUND(M1083*Assumptions!M$5+GM!M1083,-2)</f>
        <v>1000</v>
      </c>
      <c r="O1083" s="9">
        <f>ROUND(N1083*Assumptions!N$5+GM!N1083,-2)</f>
        <v>1000</v>
      </c>
      <c r="P1083" s="9">
        <f>ROUND(O1083*Assumptions!O$5+GM!O1083,-2)</f>
        <v>1000</v>
      </c>
      <c r="Q1083" s="9">
        <f>ROUND(P1083*Assumptions!P$5+GM!P1083,-2)</f>
        <v>1000</v>
      </c>
      <c r="R1083" s="9">
        <f>ROUND(Q1083*Assumptions!Q$5+GM!Q1083,-2)</f>
        <v>1000</v>
      </c>
      <c r="S1083" s="47">
        <f>ROUND(R1083*Assumptions!R$5+GM!R1083,-2)</f>
        <v>1000</v>
      </c>
    </row>
    <row r="1084" spans="1:19" ht="13.5" customHeight="1" x14ac:dyDescent="0.2">
      <c r="A1084" s="54">
        <v>8400</v>
      </c>
      <c r="B1084" s="9">
        <v>8100</v>
      </c>
      <c r="C1084" s="136">
        <v>7700</v>
      </c>
      <c r="D1084" s="134">
        <v>9700</v>
      </c>
      <c r="E1084" s="134">
        <v>1100</v>
      </c>
      <c r="F1084" s="239" t="s">
        <v>983</v>
      </c>
      <c r="G1084" s="371" t="s">
        <v>2182</v>
      </c>
      <c r="H1084" s="9">
        <v>1200</v>
      </c>
      <c r="I1084" s="85">
        <f t="shared" si="958"/>
        <v>9.0909090909090917</v>
      </c>
      <c r="J1084" s="9">
        <f>ROUND(H1084*Assumptions!I$13+GM!H1084,-2)</f>
        <v>1200</v>
      </c>
      <c r="K1084" s="9">
        <f>ROUND(J1084*Assumptions!J$5+GM!J1084,-2)</f>
        <v>1200</v>
      </c>
      <c r="L1084" s="9">
        <f>ROUND(K1084*Assumptions!K$5+GM!K1084,-2)</f>
        <v>1200</v>
      </c>
      <c r="M1084" s="9">
        <f>ROUND(L1084*Assumptions!L$5+GM!L1084,-2)</f>
        <v>1200</v>
      </c>
      <c r="N1084" s="9">
        <f>ROUND(M1084*Assumptions!M$5+GM!M1084,-2)</f>
        <v>1200</v>
      </c>
      <c r="O1084" s="9">
        <f>ROUND(N1084*Assumptions!N$5+GM!N1084,-2)</f>
        <v>1200</v>
      </c>
      <c r="P1084" s="9">
        <f>ROUND(O1084*Assumptions!O$5+GM!O1084,-2)</f>
        <v>1200</v>
      </c>
      <c r="Q1084" s="9">
        <f>ROUND(P1084*Assumptions!P$5+GM!P1084,-2)</f>
        <v>1200</v>
      </c>
      <c r="R1084" s="9">
        <f>ROUND(Q1084*Assumptions!Q$5+GM!Q1084,-2)</f>
        <v>1200</v>
      </c>
      <c r="S1084" s="47">
        <f>ROUND(R1084*Assumptions!R$5+GM!R1084,-2)</f>
        <v>1200</v>
      </c>
    </row>
    <row r="1085" spans="1:19" ht="13.5" customHeight="1" x14ac:dyDescent="0.2">
      <c r="A1085" s="54">
        <v>100</v>
      </c>
      <c r="B1085" s="9">
        <v>800</v>
      </c>
      <c r="C1085" s="136">
        <v>1600</v>
      </c>
      <c r="D1085" s="134">
        <v>0</v>
      </c>
      <c r="E1085" s="134">
        <v>8300</v>
      </c>
      <c r="F1085" s="239" t="s">
        <v>984</v>
      </c>
      <c r="G1085" s="371" t="s">
        <v>2544</v>
      </c>
      <c r="H1085" s="9">
        <v>4500</v>
      </c>
      <c r="I1085" s="85">
        <f t="shared" si="958"/>
        <v>-45.783132530120483</v>
      </c>
      <c r="J1085" s="9">
        <f>ROUND(H1085*Assumptions!I$13+GM!H1085,-2)</f>
        <v>4600</v>
      </c>
      <c r="K1085" s="9">
        <f>ROUND(J1085*Assumptions!J$5+GM!J1085,-2)</f>
        <v>4700</v>
      </c>
      <c r="L1085" s="9">
        <f>ROUND(K1085*Assumptions!K$5+GM!K1085,-2)</f>
        <v>4800</v>
      </c>
      <c r="M1085" s="9">
        <f>ROUND(L1085*Assumptions!L$5+GM!L1085,-2)</f>
        <v>4900</v>
      </c>
      <c r="N1085" s="9">
        <f>ROUND(M1085*Assumptions!M$5+GM!M1085,-2)</f>
        <v>5000</v>
      </c>
      <c r="O1085" s="9">
        <f>ROUND(N1085*Assumptions!N$5+GM!N1085,-2)</f>
        <v>5100</v>
      </c>
      <c r="P1085" s="9">
        <f>ROUND(O1085*Assumptions!O$5+GM!O1085,-2)</f>
        <v>5200</v>
      </c>
      <c r="Q1085" s="9">
        <f>ROUND(P1085*Assumptions!P$5+GM!P1085,-2)</f>
        <v>5300</v>
      </c>
      <c r="R1085" s="9">
        <f>ROUND(Q1085*Assumptions!Q$5+GM!Q1085,-2)</f>
        <v>5400</v>
      </c>
      <c r="S1085" s="47">
        <f>ROUND(R1085*Assumptions!R$5+GM!R1085,-2)</f>
        <v>5500</v>
      </c>
    </row>
    <row r="1086" spans="1:19" ht="13.5" customHeight="1" x14ac:dyDescent="0.2">
      <c r="A1086" s="54">
        <v>3900</v>
      </c>
      <c r="B1086" s="9">
        <v>3600</v>
      </c>
      <c r="C1086" s="136">
        <v>2100</v>
      </c>
      <c r="D1086" s="134">
        <v>7700</v>
      </c>
      <c r="E1086" s="134">
        <v>25500</v>
      </c>
      <c r="F1086" s="239" t="s">
        <v>985</v>
      </c>
      <c r="G1086" s="371" t="s">
        <v>1446</v>
      </c>
      <c r="H1086" s="9">
        <v>16000</v>
      </c>
      <c r="I1086" s="85">
        <f t="shared" si="958"/>
        <v>-37.254901960784316</v>
      </c>
      <c r="J1086" s="9">
        <f>ROUND(H1086*Assumptions!I$13+GM!H1086,-2)</f>
        <v>16400</v>
      </c>
      <c r="K1086" s="9">
        <f>ROUND(J1086*Assumptions!J$5+GM!J1086,-2)</f>
        <v>16800</v>
      </c>
      <c r="L1086" s="9">
        <f>ROUND(K1086*Assumptions!K$5+GM!K1086,-2)</f>
        <v>17200</v>
      </c>
      <c r="M1086" s="9">
        <f>ROUND(L1086*Assumptions!L$5+GM!L1086,-2)</f>
        <v>17600</v>
      </c>
      <c r="N1086" s="9">
        <f>ROUND(M1086*Assumptions!M$5+GM!M1086,-2)</f>
        <v>18000</v>
      </c>
      <c r="O1086" s="9">
        <f>ROUND(N1086*Assumptions!N$5+GM!N1086,-2)</f>
        <v>18500</v>
      </c>
      <c r="P1086" s="9">
        <f>ROUND(O1086*Assumptions!O$5+GM!O1086,-2)</f>
        <v>19000</v>
      </c>
      <c r="Q1086" s="9">
        <f>ROUND(P1086*Assumptions!P$5+GM!P1086,-2)</f>
        <v>19500</v>
      </c>
      <c r="R1086" s="9">
        <f>ROUND(Q1086*Assumptions!Q$5+GM!Q1086,-2)</f>
        <v>20000</v>
      </c>
      <c r="S1086" s="47">
        <f>ROUND(R1086*Assumptions!R$5+GM!R1086,-2)</f>
        <v>20500</v>
      </c>
    </row>
    <row r="1087" spans="1:19" ht="13.5" customHeight="1" x14ac:dyDescent="0.2">
      <c r="A1087" s="54">
        <v>2600</v>
      </c>
      <c r="B1087" s="9">
        <v>8400</v>
      </c>
      <c r="C1087" s="136">
        <v>34000</v>
      </c>
      <c r="D1087" s="134">
        <v>15600</v>
      </c>
      <c r="E1087" s="134">
        <v>17500</v>
      </c>
      <c r="F1087" s="239" t="s">
        <v>2233</v>
      </c>
      <c r="G1087" s="371" t="s">
        <v>2715</v>
      </c>
      <c r="H1087" s="9">
        <v>21000</v>
      </c>
      <c r="I1087" s="85">
        <f t="shared" si="958"/>
        <v>20</v>
      </c>
      <c r="J1087" s="9">
        <f>ROUND(H1087*Assumptions!I$13+GM!H1087,-2)</f>
        <v>21500</v>
      </c>
      <c r="K1087" s="9">
        <f>ROUND(J1087*Assumptions!J$5+GM!J1087,-2)</f>
        <v>22000</v>
      </c>
      <c r="L1087" s="9">
        <f>ROUND(K1087*Assumptions!K$5+GM!K1087,-2)</f>
        <v>22600</v>
      </c>
      <c r="M1087" s="9">
        <f>ROUND(L1087*Assumptions!L$5+GM!L1087,-2)</f>
        <v>23200</v>
      </c>
      <c r="N1087" s="9">
        <f>ROUND(M1087*Assumptions!M$5+GM!M1087,-2)</f>
        <v>23800</v>
      </c>
      <c r="O1087" s="9">
        <f>ROUND(N1087*Assumptions!N$5+GM!N1087,-2)</f>
        <v>24400</v>
      </c>
      <c r="P1087" s="9">
        <f>ROUND(O1087*Assumptions!O$5+GM!O1087,-2)</f>
        <v>25000</v>
      </c>
      <c r="Q1087" s="9">
        <f>ROUND(P1087*Assumptions!P$5+GM!P1087,-2)</f>
        <v>25600</v>
      </c>
      <c r="R1087" s="9">
        <f>ROUND(Q1087*Assumptions!Q$5+GM!Q1087,-2)</f>
        <v>26200</v>
      </c>
      <c r="S1087" s="47">
        <f>ROUND(R1087*Assumptions!R$5+GM!R1087,-2)</f>
        <v>26900</v>
      </c>
    </row>
    <row r="1088" spans="1:19" ht="13.5" customHeight="1" x14ac:dyDescent="0.2">
      <c r="A1088" s="54">
        <v>100</v>
      </c>
      <c r="B1088" s="9">
        <v>100</v>
      </c>
      <c r="C1088" s="136">
        <v>6500</v>
      </c>
      <c r="D1088" s="134">
        <v>4200</v>
      </c>
      <c r="E1088" s="134">
        <v>0</v>
      </c>
      <c r="F1088" s="239" t="s">
        <v>2234</v>
      </c>
      <c r="G1088" s="371" t="s">
        <v>1464</v>
      </c>
      <c r="H1088" s="9">
        <f>2000+8000</f>
        <v>10000</v>
      </c>
      <c r="I1088" s="85">
        <f t="shared" si="958"/>
        <v>100</v>
      </c>
      <c r="J1088" s="9">
        <f>ROUND(H1088*Assumptions!I$13+GM!H1088,-2)</f>
        <v>10200</v>
      </c>
      <c r="K1088" s="9">
        <f>ROUND(J1088*Assumptions!J$5+GM!J1088,-2)</f>
        <v>10500</v>
      </c>
      <c r="L1088" s="9">
        <f>ROUND(K1088*Assumptions!K$5+GM!K1088,-2)</f>
        <v>10800</v>
      </c>
      <c r="M1088" s="9">
        <f>ROUND(L1088*Assumptions!L$5+GM!L1088,-2)</f>
        <v>11100</v>
      </c>
      <c r="N1088" s="9">
        <f>ROUND(M1088*Assumptions!M$5+GM!M1088,-2)</f>
        <v>11400</v>
      </c>
      <c r="O1088" s="9">
        <f>ROUND(N1088*Assumptions!N$5+GM!N1088,-2)</f>
        <v>11700</v>
      </c>
      <c r="P1088" s="9">
        <f>ROUND(O1088*Assumptions!O$5+GM!O1088,-2)</f>
        <v>12000</v>
      </c>
      <c r="Q1088" s="9">
        <f>ROUND(P1088*Assumptions!P$5+GM!P1088,-2)</f>
        <v>12300</v>
      </c>
      <c r="R1088" s="9">
        <f>ROUND(Q1088*Assumptions!Q$5+GM!Q1088,-2)</f>
        <v>12600</v>
      </c>
      <c r="S1088" s="47">
        <f>ROUND(R1088*Assumptions!R$5+GM!R1088,-2)</f>
        <v>12900</v>
      </c>
    </row>
    <row r="1089" spans="1:19" ht="13.5" customHeight="1" x14ac:dyDescent="0.2">
      <c r="A1089" s="54">
        <v>14400</v>
      </c>
      <c r="B1089" s="9">
        <v>6800</v>
      </c>
      <c r="C1089" s="136">
        <v>9800</v>
      </c>
      <c r="D1089" s="134">
        <v>1600</v>
      </c>
      <c r="E1089" s="134">
        <v>30600</v>
      </c>
      <c r="F1089" s="239" t="s">
        <v>2235</v>
      </c>
      <c r="G1089" s="371" t="s">
        <v>2020</v>
      </c>
      <c r="H1089" s="9">
        <v>15000</v>
      </c>
      <c r="I1089" s="85">
        <f t="shared" si="958"/>
        <v>-50.980392156862742</v>
      </c>
      <c r="J1089" s="9">
        <f>ROUND(H1089*Assumptions!I$13+GM!H1089,-2)</f>
        <v>15300</v>
      </c>
      <c r="K1089" s="9">
        <f>ROUND(J1089*Assumptions!J$5+GM!J1089,-2)</f>
        <v>15700</v>
      </c>
      <c r="L1089" s="9">
        <f>ROUND(K1089*Assumptions!K$5+GM!K1089,-2)</f>
        <v>16100</v>
      </c>
      <c r="M1089" s="9">
        <f>ROUND(L1089*Assumptions!L$5+GM!L1089,-2)</f>
        <v>16500</v>
      </c>
      <c r="N1089" s="9">
        <f>ROUND(M1089*Assumptions!M$5+GM!M1089,-2)</f>
        <v>16900</v>
      </c>
      <c r="O1089" s="9">
        <f>ROUND(N1089*Assumptions!N$5+GM!N1089,-2)</f>
        <v>17300</v>
      </c>
      <c r="P1089" s="9">
        <f>ROUND(O1089*Assumptions!O$5+GM!O1089,-2)</f>
        <v>17700</v>
      </c>
      <c r="Q1089" s="9">
        <f>ROUND(P1089*Assumptions!P$5+GM!P1089,-2)</f>
        <v>18100</v>
      </c>
      <c r="R1089" s="9">
        <f>ROUND(Q1089*Assumptions!Q$5+GM!Q1089,-2)</f>
        <v>18600</v>
      </c>
      <c r="S1089" s="47">
        <f>ROUND(R1089*Assumptions!R$5+GM!R1089,-2)</f>
        <v>19100</v>
      </c>
    </row>
    <row r="1090" spans="1:19" ht="13.5" customHeight="1" x14ac:dyDescent="0.2">
      <c r="A1090" s="54">
        <v>132100</v>
      </c>
      <c r="B1090" s="9">
        <v>109600</v>
      </c>
      <c r="C1090" s="136">
        <v>140700</v>
      </c>
      <c r="D1090" s="134">
        <v>111000</v>
      </c>
      <c r="E1090" s="134">
        <v>106200</v>
      </c>
      <c r="F1090" s="239" t="s">
        <v>2236</v>
      </c>
      <c r="G1090" s="371" t="s">
        <v>1825</v>
      </c>
      <c r="H1090" s="9">
        <v>145000</v>
      </c>
      <c r="I1090" s="85">
        <f t="shared" si="958"/>
        <v>36.534839924670429</v>
      </c>
      <c r="J1090" s="9">
        <f>ROUND(H1090*Assumptions!I$13+GM!H1090,-2)</f>
        <v>148300</v>
      </c>
      <c r="K1090" s="9">
        <f>ROUND(J1090*Assumptions!J$5+GM!J1090,-2)</f>
        <v>152000</v>
      </c>
      <c r="L1090" s="9">
        <f>ROUND(K1090*Assumptions!K$5+GM!K1090,-2)</f>
        <v>155800</v>
      </c>
      <c r="M1090" s="9">
        <f>ROUND(L1090*Assumptions!L$5+GM!L1090,-2)</f>
        <v>159700</v>
      </c>
      <c r="N1090" s="9">
        <f>ROUND(M1090*Assumptions!M$5+GM!M1090,-2)</f>
        <v>163700</v>
      </c>
      <c r="O1090" s="9">
        <f>ROUND(N1090*Assumptions!N$5+GM!N1090,-2)</f>
        <v>167800</v>
      </c>
      <c r="P1090" s="9">
        <f>ROUND(O1090*Assumptions!O$5+GM!O1090,-2)</f>
        <v>172000</v>
      </c>
      <c r="Q1090" s="9">
        <f>ROUND(P1090*Assumptions!P$5+GM!P1090,-2)</f>
        <v>176300</v>
      </c>
      <c r="R1090" s="9">
        <f>ROUND(Q1090*Assumptions!Q$5+GM!Q1090,-2)</f>
        <v>180700</v>
      </c>
      <c r="S1090" s="47">
        <f>ROUND(R1090*Assumptions!R$5+GM!R1090,-2)</f>
        <v>185200</v>
      </c>
    </row>
    <row r="1091" spans="1:19" ht="13.5" customHeight="1" x14ac:dyDescent="0.2">
      <c r="A1091" s="54">
        <v>2200</v>
      </c>
      <c r="B1091" s="9">
        <v>2200</v>
      </c>
      <c r="C1091" s="136">
        <v>600</v>
      </c>
      <c r="D1091" s="134">
        <v>1500</v>
      </c>
      <c r="E1091" s="134">
        <v>3000</v>
      </c>
      <c r="F1091" s="240" t="s">
        <v>1275</v>
      </c>
      <c r="G1091" s="371" t="s">
        <v>2821</v>
      </c>
      <c r="H1091" s="9">
        <v>5000</v>
      </c>
      <c r="I1091" s="85">
        <f t="shared" si="958"/>
        <v>66.666666666666657</v>
      </c>
      <c r="J1091" s="9">
        <f>ROUND(H1091*Assumptions!I$13+GM!H1091,-2)</f>
        <v>5100</v>
      </c>
      <c r="K1091" s="9">
        <f>ROUND(J1091*Assumptions!J$5+GM!J1091,-2)</f>
        <v>5200</v>
      </c>
      <c r="L1091" s="9">
        <f>ROUND(K1091*Assumptions!K$5+GM!K1091,-2)</f>
        <v>5300</v>
      </c>
      <c r="M1091" s="9">
        <f>ROUND(L1091*Assumptions!L$5+GM!L1091,-2)</f>
        <v>5400</v>
      </c>
      <c r="N1091" s="9">
        <f>ROUND(M1091*Assumptions!M$5+GM!M1091,-2)</f>
        <v>5500</v>
      </c>
      <c r="O1091" s="9">
        <f>ROUND(N1091*Assumptions!N$5+GM!N1091,-2)</f>
        <v>5600</v>
      </c>
      <c r="P1091" s="9">
        <f>ROUND(O1091*Assumptions!O$5+GM!O1091,-2)</f>
        <v>5700</v>
      </c>
      <c r="Q1091" s="9">
        <f>ROUND(P1091*Assumptions!P$5+GM!P1091,-2)</f>
        <v>5800</v>
      </c>
      <c r="R1091" s="9">
        <f>ROUND(Q1091*Assumptions!Q$5+GM!Q1091,-2)</f>
        <v>5900</v>
      </c>
      <c r="S1091" s="47">
        <f>ROUND(R1091*Assumptions!R$5+GM!R1091,-2)</f>
        <v>6000</v>
      </c>
    </row>
    <row r="1092" spans="1:19" ht="13.5" customHeight="1" x14ac:dyDescent="0.2">
      <c r="A1092" s="54">
        <v>191800</v>
      </c>
      <c r="B1092" s="9">
        <v>187300</v>
      </c>
      <c r="C1092" s="136">
        <v>163900</v>
      </c>
      <c r="D1092" s="134">
        <v>213800</v>
      </c>
      <c r="E1092" s="134">
        <v>294400</v>
      </c>
      <c r="F1092" s="239" t="s">
        <v>1276</v>
      </c>
      <c r="G1092" s="371" t="s">
        <v>2298</v>
      </c>
      <c r="H1092" s="9">
        <f>230000+30000</f>
        <v>260000</v>
      </c>
      <c r="I1092" s="85">
        <f t="shared" si="958"/>
        <v>-11.684782608695652</v>
      </c>
      <c r="J1092" s="9">
        <f>ROUND(H1092*Assumptions!I$13+GM!H1092,-2)</f>
        <v>266000</v>
      </c>
      <c r="K1092" s="9">
        <f>ROUND(J1092*Assumptions!J$5+GM!J1092,-2)</f>
        <v>272700</v>
      </c>
      <c r="L1092" s="9">
        <f>ROUND(K1092*Assumptions!K$5+GM!K1092,-2)</f>
        <v>279500</v>
      </c>
      <c r="M1092" s="9">
        <f>ROUND(L1092*Assumptions!L$5+GM!L1092,-2)</f>
        <v>286500</v>
      </c>
      <c r="N1092" s="9">
        <f>ROUND(M1092*Assumptions!M$5+GM!M1092,-2)</f>
        <v>293700</v>
      </c>
      <c r="O1092" s="9">
        <f>ROUND(N1092*Assumptions!N$5+GM!N1092,-2)</f>
        <v>301000</v>
      </c>
      <c r="P1092" s="9">
        <f>ROUND(O1092*Assumptions!O$5+GM!O1092,-2)</f>
        <v>308500</v>
      </c>
      <c r="Q1092" s="9">
        <f>ROUND(P1092*Assumptions!P$5+GM!P1092,-2)</f>
        <v>316200</v>
      </c>
      <c r="R1092" s="9">
        <f>ROUND(Q1092*Assumptions!Q$5+GM!Q1092,-2)</f>
        <v>324100</v>
      </c>
      <c r="S1092" s="47">
        <f>ROUND(R1092*Assumptions!R$5+GM!R1092,-2)</f>
        <v>332200</v>
      </c>
    </row>
    <row r="1093" spans="1:19" ht="13.5" customHeight="1" x14ac:dyDescent="0.2">
      <c r="A1093" s="54">
        <v>6000</v>
      </c>
      <c r="B1093" s="9">
        <v>6100</v>
      </c>
      <c r="C1093" s="136">
        <v>6200</v>
      </c>
      <c r="D1093" s="134">
        <v>6200</v>
      </c>
      <c r="E1093" s="134">
        <v>6200</v>
      </c>
      <c r="F1093" s="239" t="s">
        <v>1277</v>
      </c>
      <c r="G1093" s="371" t="s">
        <v>1845</v>
      </c>
      <c r="H1093" s="9">
        <v>7000</v>
      </c>
      <c r="I1093" s="85">
        <f t="shared" si="958"/>
        <v>12.903225806451612</v>
      </c>
      <c r="J1093" s="9">
        <f>ROUND(H1093*Assumptions!I$13+GM!H1093,-2)</f>
        <v>7200</v>
      </c>
      <c r="K1093" s="9">
        <f>ROUND(J1093*Assumptions!J$5+GM!J1093,-2)</f>
        <v>7400</v>
      </c>
      <c r="L1093" s="9">
        <f>ROUND(K1093*Assumptions!K$5+GM!K1093,-2)</f>
        <v>7600</v>
      </c>
      <c r="M1093" s="9">
        <f>ROUND(L1093*Assumptions!L$5+GM!L1093,-2)</f>
        <v>7800</v>
      </c>
      <c r="N1093" s="9">
        <f>ROUND(M1093*Assumptions!M$5+GM!M1093,-2)</f>
        <v>8000</v>
      </c>
      <c r="O1093" s="9">
        <f>ROUND(N1093*Assumptions!N$5+GM!N1093,-2)</f>
        <v>8200</v>
      </c>
      <c r="P1093" s="9">
        <f>ROUND(O1093*Assumptions!O$5+GM!O1093,-2)</f>
        <v>8400</v>
      </c>
      <c r="Q1093" s="9">
        <f>ROUND(P1093*Assumptions!P$5+GM!P1093,-2)</f>
        <v>8600</v>
      </c>
      <c r="R1093" s="9">
        <f>ROUND(Q1093*Assumptions!Q$5+GM!Q1093,-2)</f>
        <v>8800</v>
      </c>
      <c r="S1093" s="47">
        <f>ROUND(R1093*Assumptions!R$5+GM!R1093,-2)</f>
        <v>9000</v>
      </c>
    </row>
    <row r="1094" spans="1:19" ht="13.5" customHeight="1" x14ac:dyDescent="0.2">
      <c r="A1094" s="54">
        <v>200</v>
      </c>
      <c r="B1094" s="9">
        <v>600</v>
      </c>
      <c r="C1094" s="136">
        <v>200</v>
      </c>
      <c r="D1094" s="134">
        <v>200</v>
      </c>
      <c r="E1094" s="134">
        <v>100</v>
      </c>
      <c r="F1094" s="239" t="s">
        <v>1367</v>
      </c>
      <c r="G1094" s="371" t="s">
        <v>1716</v>
      </c>
      <c r="H1094" s="9">
        <v>200</v>
      </c>
      <c r="I1094" s="85">
        <f t="shared" si="958"/>
        <v>100</v>
      </c>
      <c r="J1094" s="9">
        <f>ROUND(H1094*Assumptions!I$13+GM!H1094,-2)</f>
        <v>200</v>
      </c>
      <c r="K1094" s="9">
        <f>ROUND(J1094*Assumptions!J$5+GM!J1094,-2)</f>
        <v>200</v>
      </c>
      <c r="L1094" s="9">
        <f>ROUND(K1094*Assumptions!K$5+GM!K1094,-2)</f>
        <v>200</v>
      </c>
      <c r="M1094" s="9">
        <f>ROUND(L1094*Assumptions!L$5+GM!L1094,-2)</f>
        <v>200</v>
      </c>
      <c r="N1094" s="9">
        <f>ROUND(M1094*Assumptions!M$5+GM!M1094,-2)</f>
        <v>200</v>
      </c>
      <c r="O1094" s="9">
        <f>ROUND(N1094*Assumptions!N$5+GM!N1094,-2)</f>
        <v>200</v>
      </c>
      <c r="P1094" s="9">
        <f>ROUND(O1094*Assumptions!O$5+GM!O1094,-2)</f>
        <v>200</v>
      </c>
      <c r="Q1094" s="9">
        <f>ROUND(P1094*Assumptions!P$5+GM!P1094,-2)</f>
        <v>200</v>
      </c>
      <c r="R1094" s="9">
        <f>ROUND(Q1094*Assumptions!Q$5+GM!Q1094,-2)</f>
        <v>200</v>
      </c>
      <c r="S1094" s="47">
        <f>ROUND(R1094*Assumptions!R$5+GM!R1094,-2)</f>
        <v>200</v>
      </c>
    </row>
    <row r="1095" spans="1:19" ht="13.5" customHeight="1" x14ac:dyDescent="0.2">
      <c r="A1095" s="54">
        <v>64500</v>
      </c>
      <c r="B1095" s="9">
        <v>70900</v>
      </c>
      <c r="C1095" s="136">
        <v>61400</v>
      </c>
      <c r="D1095" s="134">
        <v>49400</v>
      </c>
      <c r="E1095" s="134">
        <v>55800</v>
      </c>
      <c r="F1095" s="239" t="s">
        <v>1368</v>
      </c>
      <c r="G1095" s="371" t="s">
        <v>2752</v>
      </c>
      <c r="H1095" s="9">
        <v>60000</v>
      </c>
      <c r="I1095" s="85">
        <f t="shared" si="958"/>
        <v>7.5268817204301079</v>
      </c>
      <c r="J1095" s="9">
        <f>ROUND(H1095*Assumptions!I$13+GM!H1095,-2)</f>
        <v>61400</v>
      </c>
      <c r="K1095" s="9">
        <f>ROUND(J1095*Assumptions!J$5+GM!J1095,-2)</f>
        <v>62900</v>
      </c>
      <c r="L1095" s="9">
        <f>ROUND(K1095*Assumptions!K$5+GM!K1095,-2)</f>
        <v>64500</v>
      </c>
      <c r="M1095" s="9">
        <f>ROUND(L1095*Assumptions!L$5+GM!L1095,-2)</f>
        <v>66100</v>
      </c>
      <c r="N1095" s="9">
        <f>ROUND(M1095*Assumptions!M$5+GM!M1095,-2)</f>
        <v>67800</v>
      </c>
      <c r="O1095" s="9">
        <f>ROUND(N1095*Assumptions!N$5+GM!N1095,-2)</f>
        <v>69500</v>
      </c>
      <c r="P1095" s="9">
        <f>ROUND(O1095*Assumptions!O$5+GM!O1095,-2)</f>
        <v>71200</v>
      </c>
      <c r="Q1095" s="9">
        <f>ROUND(P1095*Assumptions!P$5+GM!P1095,-2)</f>
        <v>73000</v>
      </c>
      <c r="R1095" s="9">
        <f>ROUND(Q1095*Assumptions!Q$5+GM!Q1095,-2)</f>
        <v>74800</v>
      </c>
      <c r="S1095" s="47">
        <f>ROUND(R1095*Assumptions!R$5+GM!R1095,-2)</f>
        <v>76700</v>
      </c>
    </row>
    <row r="1096" spans="1:19" ht="13.5" customHeight="1" x14ac:dyDescent="0.2">
      <c r="A1096" s="54">
        <v>0</v>
      </c>
      <c r="B1096" s="9">
        <f>36600+1200</f>
        <v>37800</v>
      </c>
      <c r="C1096" s="136">
        <v>0</v>
      </c>
      <c r="D1096" s="134">
        <v>10900</v>
      </c>
      <c r="E1096" s="134">
        <v>0</v>
      </c>
      <c r="F1096" s="578" t="s">
        <v>5142</v>
      </c>
      <c r="G1096" s="662" t="s">
        <v>3474</v>
      </c>
      <c r="H1096" s="9">
        <v>0</v>
      </c>
      <c r="I1096" s="85">
        <f t="shared" si="958"/>
        <v>0</v>
      </c>
      <c r="J1096" s="9">
        <f>ROUND(H1096*Assumptions!I$13+GM!H1096,-2)</f>
        <v>0</v>
      </c>
      <c r="K1096" s="9">
        <f>ROUND(J1096*Assumptions!J$5+GM!J1096,-2)</f>
        <v>0</v>
      </c>
      <c r="L1096" s="9">
        <f>ROUND(K1096*Assumptions!K$5+GM!K1096,-2)</f>
        <v>0</v>
      </c>
      <c r="M1096" s="9">
        <f>ROUND(L1096*Assumptions!L$5+GM!L1096,-2)</f>
        <v>0</v>
      </c>
      <c r="N1096" s="9">
        <f>ROUND(M1096*Assumptions!M$5+GM!M1096,-2)</f>
        <v>0</v>
      </c>
      <c r="O1096" s="9">
        <f>ROUND(N1096*Assumptions!N$5+GM!N1096,-2)</f>
        <v>0</v>
      </c>
      <c r="P1096" s="9">
        <f>ROUND(O1096*Assumptions!O$5+GM!O1096,-2)</f>
        <v>0</v>
      </c>
      <c r="Q1096" s="9">
        <f>ROUND(P1096*Assumptions!P$5+GM!P1096,-2)</f>
        <v>0</v>
      </c>
      <c r="R1096" s="9">
        <f>ROUND(Q1096*Assumptions!Q$5+GM!Q1096,-2)</f>
        <v>0</v>
      </c>
      <c r="S1096" s="47">
        <f>ROUND(R1096*Assumptions!R$5+GM!R1096,-2)</f>
        <v>0</v>
      </c>
    </row>
    <row r="1097" spans="1:19" ht="13.5" customHeight="1" x14ac:dyDescent="0.2">
      <c r="A1097" s="54">
        <v>6100</v>
      </c>
      <c r="B1097" s="9">
        <v>5000</v>
      </c>
      <c r="C1097" s="136">
        <v>13500</v>
      </c>
      <c r="D1097" s="134">
        <v>2900</v>
      </c>
      <c r="E1097" s="134">
        <v>2300</v>
      </c>
      <c r="F1097" s="239" t="s">
        <v>1369</v>
      </c>
      <c r="G1097" s="371" t="s">
        <v>2250</v>
      </c>
      <c r="H1097" s="9">
        <v>8200</v>
      </c>
      <c r="I1097" s="85">
        <f t="shared" si="958"/>
        <v>256.52173913043475</v>
      </c>
      <c r="J1097" s="9">
        <f>ROUND(H1097*Assumptions!I$13+GM!H1097,-2)</f>
        <v>8400</v>
      </c>
      <c r="K1097" s="9">
        <f>ROUND(J1097*Assumptions!J$5+GM!J1097,-2)</f>
        <v>8600</v>
      </c>
      <c r="L1097" s="9">
        <f>ROUND(K1097*Assumptions!K$5+GM!K1097,-2)</f>
        <v>8800</v>
      </c>
      <c r="M1097" s="9">
        <f>ROUND(L1097*Assumptions!L$5+GM!L1097,-2)</f>
        <v>9000</v>
      </c>
      <c r="N1097" s="9">
        <f>ROUND(M1097*Assumptions!M$5+GM!M1097,-2)</f>
        <v>9200</v>
      </c>
      <c r="O1097" s="9">
        <f>ROUND(N1097*Assumptions!N$5+GM!N1097,-2)</f>
        <v>9400</v>
      </c>
      <c r="P1097" s="9">
        <f>ROUND(O1097*Assumptions!O$5+GM!O1097,-2)</f>
        <v>9600</v>
      </c>
      <c r="Q1097" s="9">
        <f>ROUND(P1097*Assumptions!P$5+GM!P1097,-2)</f>
        <v>9800</v>
      </c>
      <c r="R1097" s="9">
        <f>ROUND(Q1097*Assumptions!Q$5+GM!Q1097,-2)</f>
        <v>10000</v>
      </c>
      <c r="S1097" s="47">
        <f>ROUND(R1097*Assumptions!R$5+GM!R1097,-2)</f>
        <v>10300</v>
      </c>
    </row>
    <row r="1098" spans="1:19" ht="13.5" customHeight="1" x14ac:dyDescent="0.2">
      <c r="A1098" s="54">
        <v>7000</v>
      </c>
      <c r="B1098" s="9">
        <v>6100</v>
      </c>
      <c r="C1098" s="136">
        <v>13200</v>
      </c>
      <c r="D1098" s="134">
        <v>0</v>
      </c>
      <c r="E1098" s="134">
        <v>0</v>
      </c>
      <c r="F1098" s="240" t="s">
        <v>1370</v>
      </c>
      <c r="G1098" s="371" t="s">
        <v>1447</v>
      </c>
      <c r="H1098" s="9">
        <v>0</v>
      </c>
      <c r="I1098" s="85">
        <f t="shared" si="958"/>
        <v>0</v>
      </c>
      <c r="J1098" s="9">
        <f>ROUND(H1098*Assumptions!I$13+GM!H1098,-2)</f>
        <v>0</v>
      </c>
      <c r="K1098" s="9">
        <f>ROUND(J1098*Assumptions!J$5+GM!J1098,-2)</f>
        <v>0</v>
      </c>
      <c r="L1098" s="9">
        <f>ROUND(K1098*Assumptions!K$5+GM!K1098,-2)</f>
        <v>0</v>
      </c>
      <c r="M1098" s="9">
        <f>ROUND(L1098*Assumptions!L$5+GM!L1098,-2)</f>
        <v>0</v>
      </c>
      <c r="N1098" s="9">
        <f>ROUND(M1098*Assumptions!M$5+GM!M1098,-2)</f>
        <v>0</v>
      </c>
      <c r="O1098" s="9">
        <f>ROUND(N1098*Assumptions!N$5+GM!N1098,-2)</f>
        <v>0</v>
      </c>
      <c r="P1098" s="9">
        <f>ROUND(O1098*Assumptions!O$5+GM!O1098,-2)</f>
        <v>0</v>
      </c>
      <c r="Q1098" s="9">
        <f>ROUND(P1098*Assumptions!P$5+GM!P1098,-2)</f>
        <v>0</v>
      </c>
      <c r="R1098" s="9">
        <f>ROUND(Q1098*Assumptions!Q$5+GM!Q1098,-2)</f>
        <v>0</v>
      </c>
      <c r="S1098" s="47">
        <f>ROUND(R1098*Assumptions!R$5+GM!R1098,-2)</f>
        <v>0</v>
      </c>
    </row>
    <row r="1099" spans="1:19" ht="13.5" customHeight="1" x14ac:dyDescent="0.2">
      <c r="A1099" s="54">
        <v>0</v>
      </c>
      <c r="B1099" s="9">
        <v>0</v>
      </c>
      <c r="C1099" s="136">
        <v>0</v>
      </c>
      <c r="D1099" s="134">
        <f>33800-7200</f>
        <v>26600</v>
      </c>
      <c r="E1099" s="134">
        <v>51000</v>
      </c>
      <c r="F1099" s="577" t="s">
        <v>5202</v>
      </c>
      <c r="G1099" s="662" t="s">
        <v>4764</v>
      </c>
      <c r="H1099" s="9">
        <v>69000</v>
      </c>
      <c r="I1099" s="85">
        <f t="shared" si="958"/>
        <v>35.294117647058826</v>
      </c>
      <c r="J1099" s="9">
        <f>ROUND(H1099*Assumptions!I$13+GM!H1099,-2)</f>
        <v>70600</v>
      </c>
      <c r="K1099" s="9">
        <f>ROUND(J1099*Assumptions!J$5+GM!J1099,-2)</f>
        <v>72400</v>
      </c>
      <c r="L1099" s="9">
        <f>ROUND(K1099*Assumptions!K$5+GM!K1099,-2)</f>
        <v>74200</v>
      </c>
      <c r="M1099" s="9">
        <f>ROUND(L1099*Assumptions!L$5+GM!L1099,-2)</f>
        <v>76100</v>
      </c>
      <c r="N1099" s="9">
        <f>ROUND(M1099*Assumptions!M$5+GM!M1099,-2)</f>
        <v>78000</v>
      </c>
      <c r="O1099" s="9">
        <f>ROUND(N1099*Assumptions!N$5+GM!N1099,-2)</f>
        <v>80000</v>
      </c>
      <c r="P1099" s="9">
        <f>ROUND(O1099*Assumptions!O$5+GM!O1099,-2)</f>
        <v>82000</v>
      </c>
      <c r="Q1099" s="9">
        <f>ROUND(P1099*Assumptions!P$5+GM!P1099,-2)</f>
        <v>84100</v>
      </c>
      <c r="R1099" s="9">
        <f>ROUND(Q1099*Assumptions!Q$5+GM!Q1099,-2)</f>
        <v>86200</v>
      </c>
      <c r="S1099" s="47">
        <f>ROUND(R1099*Assumptions!R$5+GM!R1099,-2)</f>
        <v>88400</v>
      </c>
    </row>
    <row r="1100" spans="1:19" ht="13.5" customHeight="1" x14ac:dyDescent="0.2">
      <c r="A1100" s="54">
        <v>0</v>
      </c>
      <c r="B1100" s="9">
        <v>0</v>
      </c>
      <c r="C1100" s="136">
        <v>0</v>
      </c>
      <c r="D1100" s="134">
        <v>0</v>
      </c>
      <c r="E1100" s="134">
        <v>25000</v>
      </c>
      <c r="F1100" s="577" t="s">
        <v>6462</v>
      </c>
      <c r="G1100" s="662" t="s">
        <v>6446</v>
      </c>
      <c r="H1100" s="9">
        <v>0</v>
      </c>
      <c r="I1100" s="85">
        <f t="shared" si="958"/>
        <v>-100</v>
      </c>
      <c r="J1100" s="9">
        <v>0</v>
      </c>
      <c r="K1100" s="9">
        <v>0</v>
      </c>
      <c r="L1100" s="9">
        <v>0</v>
      </c>
      <c r="M1100" s="9">
        <v>0</v>
      </c>
      <c r="N1100" s="9">
        <v>0</v>
      </c>
      <c r="O1100" s="9">
        <v>0</v>
      </c>
      <c r="P1100" s="9">
        <v>0</v>
      </c>
      <c r="Q1100" s="9">
        <v>0</v>
      </c>
      <c r="R1100" s="9">
        <v>0</v>
      </c>
      <c r="S1100" s="47">
        <v>0</v>
      </c>
    </row>
    <row r="1101" spans="1:19" ht="13.5" customHeight="1" x14ac:dyDescent="0.2">
      <c r="A1101" s="54"/>
      <c r="B1101" s="9"/>
      <c r="C1101" s="136"/>
      <c r="D1101" s="134"/>
      <c r="E1101" s="134"/>
      <c r="F1101" s="730"/>
      <c r="G1101" s="320" t="s">
        <v>2272</v>
      </c>
      <c r="H1101" s="9"/>
      <c r="I1101" s="85"/>
      <c r="J1101" s="9"/>
      <c r="K1101" s="9"/>
      <c r="L1101" s="9"/>
      <c r="M1101" s="9"/>
      <c r="N1101" s="9"/>
      <c r="O1101" s="9"/>
      <c r="P1101" s="9"/>
      <c r="Q1101" s="9"/>
      <c r="R1101" s="9"/>
      <c r="S1101" s="47"/>
    </row>
    <row r="1102" spans="1:19" ht="13.5" customHeight="1" x14ac:dyDescent="0.2">
      <c r="A1102" s="54">
        <v>280000</v>
      </c>
      <c r="B1102" s="9">
        <v>294000</v>
      </c>
      <c r="C1102" s="136">
        <v>302000</v>
      </c>
      <c r="D1102" s="134">
        <v>325000</v>
      </c>
      <c r="E1102" s="134">
        <v>378000</v>
      </c>
      <c r="F1102" s="239" t="s">
        <v>68</v>
      </c>
      <c r="G1102" s="371" t="s">
        <v>811</v>
      </c>
      <c r="H1102" s="9">
        <v>410000</v>
      </c>
      <c r="I1102" s="85">
        <f>IF(E1102=H1102,0,IF(E1102=0,100,(H1102-E1102)/E1102*100))</f>
        <v>8.4656084656084651</v>
      </c>
      <c r="J1102" s="9">
        <f>ROUND(H1102*Assumptions!I$5+GM!H1102,-2)</f>
        <v>419400</v>
      </c>
      <c r="K1102" s="9">
        <f>ROUND(J1102*Assumptions!J$5+GM!J1102,-2)</f>
        <v>429900</v>
      </c>
      <c r="L1102" s="9">
        <f>ROUND(K1102*Assumptions!K$5+GM!K1102,-2)</f>
        <v>440600</v>
      </c>
      <c r="M1102" s="9">
        <f>ROUND(L1102*Assumptions!L$5+GM!L1102,-2)</f>
        <v>451600</v>
      </c>
      <c r="N1102" s="9">
        <f>ROUND(M1102*Assumptions!M$5+GM!M1102,-2)</f>
        <v>462900</v>
      </c>
      <c r="O1102" s="9">
        <f>ROUND(N1102*Assumptions!N$5+GM!N1102,-2)</f>
        <v>474500</v>
      </c>
      <c r="P1102" s="9">
        <f>ROUND(O1102*Assumptions!O$5+GM!O1102,-2)</f>
        <v>486400</v>
      </c>
      <c r="Q1102" s="9">
        <f>ROUND(P1102*Assumptions!P$5+GM!P1102,-2)</f>
        <v>498600</v>
      </c>
      <c r="R1102" s="9">
        <f>ROUND(Q1102*Assumptions!Q$5+GM!Q1102,-2)</f>
        <v>511100</v>
      </c>
      <c r="S1102" s="47">
        <f>ROUND(R1102*Assumptions!R$5+GM!R1102,-2)</f>
        <v>523900</v>
      </c>
    </row>
    <row r="1103" spans="1:19" ht="13.5" customHeight="1" x14ac:dyDescent="0.2">
      <c r="A1103" s="54">
        <v>423700</v>
      </c>
      <c r="B1103" s="9">
        <v>554100</v>
      </c>
      <c r="C1103" s="9">
        <v>502300</v>
      </c>
      <c r="D1103" s="9">
        <f>ROUND('Debt-Gen'!J63,-2)</f>
        <v>473000</v>
      </c>
      <c r="E1103" s="134">
        <v>422600</v>
      </c>
      <c r="F1103" s="239" t="s">
        <v>69</v>
      </c>
      <c r="G1103" s="371" t="s">
        <v>2731</v>
      </c>
      <c r="H1103" s="9">
        <f>ROUND('Debt-Gen'!N63,-2)</f>
        <v>428500</v>
      </c>
      <c r="I1103" s="85">
        <f>IF(E1103=H1103,0,IF(E1103=0,100,(H1103-E1103)/E1103*100))</f>
        <v>1.3961192617132039</v>
      </c>
      <c r="J1103" s="9">
        <f>ROUND('Debt-Gen'!P63,-2)</f>
        <v>427700</v>
      </c>
      <c r="K1103" s="9">
        <f>ROUND('Debt-Gen'!R63,-2)</f>
        <v>359400</v>
      </c>
      <c r="L1103" s="9">
        <f>ROUND('Debt-Gen'!T63,-2)</f>
        <v>286500</v>
      </c>
      <c r="M1103" s="9">
        <f>ROUND('Debt-Gen'!V63,-2)</f>
        <v>211700</v>
      </c>
      <c r="N1103" s="9">
        <f>ROUND('Debt-Gen'!X63,-2)</f>
        <v>136800</v>
      </c>
      <c r="O1103" s="9">
        <f>ROUND('Debt-Gen'!Z63,-2)</f>
        <v>99500</v>
      </c>
      <c r="P1103" s="9">
        <f>ROUND('Debt-Gen'!AB63,-2)</f>
        <v>82500</v>
      </c>
      <c r="Q1103" s="9">
        <f>ROUND('Debt-Gen'!AD63,-2)</f>
        <v>73500</v>
      </c>
      <c r="R1103" s="9">
        <f>ROUND('Debt-Gen'!AF63,-2)</f>
        <v>64000</v>
      </c>
      <c r="S1103" s="47">
        <f>ROUND('Debt-Gen'!AH63,-2)</f>
        <v>55000</v>
      </c>
    </row>
    <row r="1104" spans="1:19" x14ac:dyDescent="0.2">
      <c r="A1104" s="54"/>
      <c r="B1104" s="9"/>
      <c r="C1104" s="136"/>
      <c r="D1104" s="9"/>
      <c r="E1104" s="134"/>
      <c r="F1104" s="239"/>
      <c r="G1104" s="260" t="str">
        <f>CIV!G101</f>
        <v>Non-Cash Expenses</v>
      </c>
      <c r="H1104" s="9"/>
      <c r="I1104" s="85"/>
      <c r="J1104" s="9"/>
      <c r="K1104" s="9"/>
      <c r="L1104" s="9"/>
      <c r="M1104" s="9"/>
      <c r="N1104" s="9"/>
      <c r="O1104" s="9"/>
      <c r="P1104" s="9"/>
      <c r="Q1104" s="9"/>
      <c r="R1104" s="9"/>
      <c r="S1104" s="47"/>
    </row>
    <row r="1105" spans="1:23" x14ac:dyDescent="0.2">
      <c r="A1105" s="54">
        <v>831200</v>
      </c>
      <c r="B1105" s="9">
        <v>760600</v>
      </c>
      <c r="C1105" s="136">
        <v>770700</v>
      </c>
      <c r="D1105" s="134">
        <v>830400</v>
      </c>
      <c r="E1105" s="134">
        <v>220500</v>
      </c>
      <c r="F1105" s="239" t="s">
        <v>70</v>
      </c>
      <c r="G1105" s="9" t="s">
        <v>1912</v>
      </c>
      <c r="H1105" s="9">
        <v>999000</v>
      </c>
      <c r="I1105" s="85">
        <f>IF(E1105=H1105,0,IF(E1105=0,100,(H1105-E1105)/E1105*100))</f>
        <v>353.0612244897959</v>
      </c>
      <c r="J1105" s="9">
        <v>1030000</v>
      </c>
      <c r="K1105" s="9">
        <v>1062000</v>
      </c>
      <c r="L1105" s="9">
        <f>ROUND(K1105*Assumptions!K$18+GM!K1105,-2)</f>
        <v>1083200</v>
      </c>
      <c r="M1105" s="9">
        <f>ROUND(L1105*Assumptions!L$18+GM!L1105,-2)</f>
        <v>1104900</v>
      </c>
      <c r="N1105" s="9">
        <f>ROUND(M1105*Assumptions!M$18+GM!M1105,-2)</f>
        <v>1127000</v>
      </c>
      <c r="O1105" s="9">
        <f>ROUND(N1105*Assumptions!N$18+GM!N1105,-2)</f>
        <v>1149500</v>
      </c>
      <c r="P1105" s="9">
        <f>ROUND(O1105*Assumptions!O$18+GM!O1105,-2)</f>
        <v>1172500</v>
      </c>
      <c r="Q1105" s="9">
        <f>ROUND(P1105*Assumptions!P$18+GM!P1105,-2)</f>
        <v>1196000</v>
      </c>
      <c r="R1105" s="9">
        <f>ROUND(Q1105*Assumptions!Q$18+GM!Q1105,-2)</f>
        <v>1219900</v>
      </c>
      <c r="S1105" s="47">
        <f>ROUND(R1105*Assumptions!R$18+GM!R1105,-2)</f>
        <v>1244300</v>
      </c>
    </row>
    <row r="1106" spans="1:23" ht="13.5" thickBot="1" x14ac:dyDescent="0.25">
      <c r="A1106" s="54">
        <v>0</v>
      </c>
      <c r="B1106" s="9">
        <v>2075400</v>
      </c>
      <c r="C1106" s="136">
        <v>0</v>
      </c>
      <c r="D1106" s="134">
        <v>0</v>
      </c>
      <c r="E1106" s="134">
        <v>0</v>
      </c>
      <c r="F1106" s="578" t="s">
        <v>4458</v>
      </c>
      <c r="G1106" s="79" t="s">
        <v>4766</v>
      </c>
      <c r="H1106" s="9">
        <v>0</v>
      </c>
      <c r="I1106" s="85">
        <f>IF(E1106=H1106,0,IF(E1106=0,100,(H1106-E1106)/E1106*100))</f>
        <v>0</v>
      </c>
      <c r="J1106" s="9">
        <f>ROUND(H1106*Assumptions!I$13+GM!H1106,-2)</f>
        <v>0</v>
      </c>
      <c r="K1106" s="9">
        <f>ROUND(J1106*Assumptions!J$5+GM!J1106,-2)</f>
        <v>0</v>
      </c>
      <c r="L1106" s="9">
        <f>ROUND(K1106*Assumptions!K$5+GM!K1106,-2)</f>
        <v>0</v>
      </c>
      <c r="M1106" s="9">
        <f>ROUND(L1106*Assumptions!L$5+GM!L1106,-2)</f>
        <v>0</v>
      </c>
      <c r="N1106" s="9">
        <f>ROUND(M1106*Assumptions!M$5+GM!M1106,-2)</f>
        <v>0</v>
      </c>
      <c r="O1106" s="9">
        <f>ROUND(N1106*Assumptions!N$5+GM!N1106,-2)</f>
        <v>0</v>
      </c>
      <c r="P1106" s="9">
        <f>ROUND(O1106*Assumptions!O$5+GM!O1106,-2)</f>
        <v>0</v>
      </c>
      <c r="Q1106" s="9">
        <f>ROUND(P1106*Assumptions!P$5+GM!P1106,-2)</f>
        <v>0</v>
      </c>
      <c r="R1106" s="9">
        <f>ROUND(Q1106*Assumptions!Q$5+GM!Q1106,-2)</f>
        <v>0</v>
      </c>
      <c r="S1106" s="47">
        <f>ROUND(R1106*Assumptions!R$5+GM!R1106,-2)</f>
        <v>0</v>
      </c>
    </row>
    <row r="1107" spans="1:23" s="39" customFormat="1" x14ac:dyDescent="0.2">
      <c r="A1107" s="52">
        <f>SUBTOTAL(9,A1047:A1106)</f>
        <v>4056000</v>
      </c>
      <c r="B1107" s="16">
        <f>(SUBTOTAL(9,B1047:B1106))</f>
        <v>6404400</v>
      </c>
      <c r="C1107" s="137">
        <f>SUBTOTAL(9,C1047:C1106)</f>
        <v>4362900</v>
      </c>
      <c r="D1107" s="145">
        <f>SUBTOTAL(9,D1047:D1106)</f>
        <v>4513400</v>
      </c>
      <c r="E1107" s="145">
        <f>SUBTOTAL(9,E1047:E1106)</f>
        <v>4371600</v>
      </c>
      <c r="F1107" s="1182"/>
      <c r="G1107" s="267" t="s">
        <v>556</v>
      </c>
      <c r="H1107" s="16">
        <f>SUBTOTAL(9,H1047:H1106)</f>
        <v>5490300</v>
      </c>
      <c r="I1107" s="127">
        <f>IF(E1107=H1107,0,IF(E1107=0,100,(H1107-E1107)/E1107*100))</f>
        <v>25.59017293439473</v>
      </c>
      <c r="J1107" s="16">
        <f t="shared" ref="J1107:S1107" si="960">SUBTOTAL(9,J1047:J1106)</f>
        <v>5689300</v>
      </c>
      <c r="K1107" s="16">
        <f t="shared" si="960"/>
        <v>5764800</v>
      </c>
      <c r="L1107" s="16">
        <f t="shared" si="960"/>
        <v>5828500</v>
      </c>
      <c r="M1107" s="16">
        <f t="shared" si="960"/>
        <v>5882900</v>
      </c>
      <c r="N1107" s="16">
        <f t="shared" si="960"/>
        <v>5949800</v>
      </c>
      <c r="O1107" s="16">
        <f t="shared" si="960"/>
        <v>6059800</v>
      </c>
      <c r="P1107" s="16">
        <f t="shared" si="960"/>
        <v>6191600</v>
      </c>
      <c r="Q1107" s="16">
        <f t="shared" si="960"/>
        <v>6335800</v>
      </c>
      <c r="R1107" s="16">
        <f t="shared" si="960"/>
        <v>6482800</v>
      </c>
      <c r="S1107" s="2342">
        <f t="shared" si="960"/>
        <v>6634200</v>
      </c>
      <c r="U1107" s="34"/>
      <c r="W1107" s="34"/>
    </row>
    <row r="1108" spans="1:23" x14ac:dyDescent="0.2">
      <c r="A1108" s="54"/>
      <c r="B1108" s="9"/>
      <c r="C1108" s="136"/>
      <c r="D1108" s="134"/>
      <c r="E1108" s="134"/>
      <c r="F1108" s="1153"/>
      <c r="G1108" s="257"/>
      <c r="H1108" s="9">
        <f>+H1107-H1105-4491300</f>
        <v>0</v>
      </c>
      <c r="I1108" s="85"/>
      <c r="J1108" s="9"/>
      <c r="K1108" s="9"/>
      <c r="L1108" s="9"/>
      <c r="M1108" s="9"/>
      <c r="N1108" s="9"/>
      <c r="O1108" s="9"/>
      <c r="P1108" s="9"/>
      <c r="Q1108" s="9"/>
      <c r="R1108" s="9"/>
      <c r="S1108" s="47"/>
    </row>
    <row r="1109" spans="1:23" s="39" customFormat="1" x14ac:dyDescent="0.2">
      <c r="A1109" s="24">
        <f>A1044-A1107</f>
        <v>-50500</v>
      </c>
      <c r="B1109" s="21">
        <f>B1044-B1107</f>
        <v>-1786600</v>
      </c>
      <c r="C1109" s="139">
        <f>C1044-C1107</f>
        <v>346800</v>
      </c>
      <c r="D1109" s="138">
        <f>D1044-D1107</f>
        <v>598500</v>
      </c>
      <c r="E1109" s="138">
        <f>E1044-E1107</f>
        <v>1408500</v>
      </c>
      <c r="F1109" s="164"/>
      <c r="G1109" s="361" t="s">
        <v>1002</v>
      </c>
      <c r="H1109" s="21">
        <f>H1044-H1107</f>
        <v>606100</v>
      </c>
      <c r="I1109" s="126">
        <f>IF(E1109=H1109,0,IF(E1109=0,100,(H1109-E1109)/E1109*100))</f>
        <v>-56.968406105786293</v>
      </c>
      <c r="J1109" s="21">
        <f t="shared" ref="J1109:S1109" si="961">J1044-J1107</f>
        <v>636600</v>
      </c>
      <c r="K1109" s="21">
        <f t="shared" si="961"/>
        <v>673800</v>
      </c>
      <c r="L1109" s="21">
        <f t="shared" si="961"/>
        <v>734400</v>
      </c>
      <c r="M1109" s="21">
        <f t="shared" si="961"/>
        <v>779800</v>
      </c>
      <c r="N1109" s="21">
        <f t="shared" si="961"/>
        <v>820700</v>
      </c>
      <c r="O1109" s="21">
        <f t="shared" si="961"/>
        <v>844200</v>
      </c>
      <c r="P1109" s="21">
        <f t="shared" si="961"/>
        <v>858200</v>
      </c>
      <c r="Q1109" s="21">
        <f t="shared" si="961"/>
        <v>860600</v>
      </c>
      <c r="R1109" s="21">
        <f t="shared" si="961"/>
        <v>866500</v>
      </c>
      <c r="S1109" s="86">
        <f t="shared" si="961"/>
        <v>856900</v>
      </c>
      <c r="U1109" s="34"/>
      <c r="W1109" s="34"/>
    </row>
    <row r="1110" spans="1:23" x14ac:dyDescent="0.2">
      <c r="A1110" s="54">
        <f>SUM(A1104:A1105)</f>
        <v>831200</v>
      </c>
      <c r="B1110" s="9">
        <f>SUM(B1104:B1105)</f>
        <v>760600</v>
      </c>
      <c r="C1110" s="136">
        <f>SUM(C1104:C1105)</f>
        <v>770700</v>
      </c>
      <c r="D1110" s="134">
        <f>SUM(D1104:D1105)</f>
        <v>830400</v>
      </c>
      <c r="E1110" s="134">
        <f>SUM(E1104:E1105)</f>
        <v>220500</v>
      </c>
      <c r="F1110" s="1153"/>
      <c r="G1110" s="261" t="s">
        <v>1943</v>
      </c>
      <c r="H1110" s="9">
        <f>SUM(H1104:H1105)</f>
        <v>999000</v>
      </c>
      <c r="I1110" s="85">
        <f>IF(E1110=H1110,0,IF(E1110=0,100,(H1110-E1110)/E1110*100))</f>
        <v>353.0612244897959</v>
      </c>
      <c r="J1110" s="9">
        <f t="shared" ref="J1110:S1110" si="962">SUM(J1104:J1105)</f>
        <v>1030000</v>
      </c>
      <c r="K1110" s="9">
        <f t="shared" si="962"/>
        <v>1062000</v>
      </c>
      <c r="L1110" s="9">
        <f t="shared" si="962"/>
        <v>1083200</v>
      </c>
      <c r="M1110" s="9">
        <f t="shared" si="962"/>
        <v>1104900</v>
      </c>
      <c r="N1110" s="9">
        <f t="shared" si="962"/>
        <v>1127000</v>
      </c>
      <c r="O1110" s="9">
        <f t="shared" si="962"/>
        <v>1149500</v>
      </c>
      <c r="P1110" s="9">
        <f t="shared" si="962"/>
        <v>1172500</v>
      </c>
      <c r="Q1110" s="9">
        <f t="shared" si="962"/>
        <v>1196000</v>
      </c>
      <c r="R1110" s="9">
        <f t="shared" si="962"/>
        <v>1219900</v>
      </c>
      <c r="S1110" s="47">
        <f t="shared" si="962"/>
        <v>1244300</v>
      </c>
    </row>
    <row r="1111" spans="1:23" x14ac:dyDescent="0.2">
      <c r="A1111" s="54">
        <f>SUM(A1106:A1106)</f>
        <v>0</v>
      </c>
      <c r="B1111" s="9">
        <f>SUM(B1106:B1106)</f>
        <v>2075400</v>
      </c>
      <c r="C1111" s="136">
        <f>SUM(C1106:C1106)</f>
        <v>0</v>
      </c>
      <c r="D1111" s="134">
        <f>SUM(D1106:D1106)</f>
        <v>0</v>
      </c>
      <c r="E1111" s="134">
        <f>SUM(E1106:E1106)</f>
        <v>0</v>
      </c>
      <c r="F1111" s="1153"/>
      <c r="G1111" s="261" t="s">
        <v>4765</v>
      </c>
      <c r="H1111" s="9">
        <f>SUM(H1106:H1106)</f>
        <v>0</v>
      </c>
      <c r="I1111" s="85">
        <f>IF(E1111=H1111,0,IF(E1111=0,100,(H1111-E1111)/E1111*100))</f>
        <v>0</v>
      </c>
      <c r="J1111" s="9">
        <f t="shared" ref="J1111:S1111" si="963">SUM(J1106:J1106)</f>
        <v>0</v>
      </c>
      <c r="K1111" s="9">
        <f t="shared" si="963"/>
        <v>0</v>
      </c>
      <c r="L1111" s="9">
        <f t="shared" si="963"/>
        <v>0</v>
      </c>
      <c r="M1111" s="9">
        <f t="shared" si="963"/>
        <v>0</v>
      </c>
      <c r="N1111" s="9">
        <f t="shared" si="963"/>
        <v>0</v>
      </c>
      <c r="O1111" s="9">
        <f t="shared" si="963"/>
        <v>0</v>
      </c>
      <c r="P1111" s="9">
        <f t="shared" si="963"/>
        <v>0</v>
      </c>
      <c r="Q1111" s="9">
        <f t="shared" si="963"/>
        <v>0</v>
      </c>
      <c r="R1111" s="9">
        <f t="shared" si="963"/>
        <v>0</v>
      </c>
      <c r="S1111" s="47">
        <f t="shared" si="963"/>
        <v>0</v>
      </c>
    </row>
    <row r="1112" spans="1:23" s="39" customFormat="1" x14ac:dyDescent="0.2">
      <c r="A1112" s="128">
        <f>A1110+A1109+A1111+A1111</f>
        <v>780700</v>
      </c>
      <c r="B1112" s="280">
        <f>B1110+B1109+B1111</f>
        <v>1049400</v>
      </c>
      <c r="C1112" s="281">
        <f>C1110+C1109+C1111+C1111</f>
        <v>1117500</v>
      </c>
      <c r="D1112" s="529">
        <f>D1110+D1109+D1111+D1111</f>
        <v>1428900</v>
      </c>
      <c r="E1112" s="529">
        <f t="shared" ref="E1112" si="964">E1110+E1109+E1111+E1111</f>
        <v>1629000</v>
      </c>
      <c r="F1112" s="367"/>
      <c r="G1112" s="363" t="s">
        <v>1659</v>
      </c>
      <c r="H1112" s="280">
        <f t="shared" ref="H1112:P1112" si="965">H1110+H1109+H1111+H1111</f>
        <v>1605100</v>
      </c>
      <c r="I1112" s="278">
        <f>IF(E1112=H1112,0,IF(E1112=0,100,(H1112-E1112)/E1112*100))</f>
        <v>-1.467157765500307</v>
      </c>
      <c r="J1112" s="280">
        <f t="shared" si="965"/>
        <v>1666600</v>
      </c>
      <c r="K1112" s="280">
        <f t="shared" si="965"/>
        <v>1735800</v>
      </c>
      <c r="L1112" s="280">
        <f t="shared" si="965"/>
        <v>1817600</v>
      </c>
      <c r="M1112" s="280">
        <f t="shared" si="965"/>
        <v>1884700</v>
      </c>
      <c r="N1112" s="280">
        <f t="shared" si="965"/>
        <v>1947700</v>
      </c>
      <c r="O1112" s="280">
        <f t="shared" si="965"/>
        <v>1993700</v>
      </c>
      <c r="P1112" s="280">
        <f t="shared" si="965"/>
        <v>2030700</v>
      </c>
      <c r="Q1112" s="280">
        <f t="shared" ref="Q1112" si="966">Q1110+Q1109+Q1111+Q1111</f>
        <v>2056600</v>
      </c>
      <c r="R1112" s="280">
        <f t="shared" ref="R1112" si="967">R1110+R1109+R1111+R1111</f>
        <v>2086400</v>
      </c>
      <c r="S1112" s="2343">
        <f t="shared" ref="S1112" si="968">S1110+S1109+S1111+S1111</f>
        <v>2101200</v>
      </c>
      <c r="U1112" s="34"/>
      <c r="W1112" s="34"/>
    </row>
    <row r="1113" spans="1:23" ht="13.5" thickBot="1" x14ac:dyDescent="0.25">
      <c r="A1113" s="432"/>
      <c r="B1113" s="37"/>
      <c r="C1113" s="146"/>
      <c r="D1113" s="146"/>
      <c r="E1113" s="146"/>
      <c r="F1113" s="1169"/>
      <c r="G1113" s="66"/>
      <c r="H1113" s="68"/>
      <c r="I1113" s="275"/>
      <c r="J1113" s="68"/>
      <c r="K1113" s="68"/>
      <c r="L1113" s="68"/>
      <c r="M1113" s="68"/>
      <c r="N1113" s="68"/>
      <c r="O1113" s="68"/>
      <c r="P1113" s="68"/>
      <c r="Q1113" s="68"/>
      <c r="R1113" s="68"/>
      <c r="S1113" s="108"/>
    </row>
    <row r="1114" spans="1:23" ht="13.5" thickTop="1" x14ac:dyDescent="0.2">
      <c r="A1114" s="24"/>
      <c r="B1114" s="75"/>
      <c r="C1114" s="139"/>
      <c r="D1114" s="138"/>
      <c r="E1114" s="138"/>
      <c r="F1114" s="165"/>
      <c r="G1114" s="361" t="s">
        <v>192</v>
      </c>
      <c r="H1114" s="9"/>
      <c r="I1114" s="126"/>
      <c r="J1114" s="9"/>
      <c r="K1114" s="9"/>
      <c r="L1114" s="9"/>
      <c r="M1114" s="9"/>
      <c r="N1114" s="9"/>
      <c r="O1114" s="9"/>
      <c r="P1114" s="9"/>
      <c r="Q1114" s="9"/>
      <c r="R1114" s="9"/>
      <c r="S1114" s="61"/>
    </row>
    <row r="1115" spans="1:23" x14ac:dyDescent="0.2">
      <c r="A1115" s="54">
        <v>532100</v>
      </c>
      <c r="B1115" s="89">
        <f>ROUND('Debt-Gen'!E63,-2)</f>
        <v>838700</v>
      </c>
      <c r="C1115" s="89">
        <f>ROUND('Debt-Gen'!G63,-2)</f>
        <v>845500</v>
      </c>
      <c r="D1115" s="9">
        <f>ROUND('Debt-Gen'!I63,-2)</f>
        <v>970600</v>
      </c>
      <c r="E1115" s="134">
        <f>ROUND('Debt-Gen'!K63,-2)</f>
        <v>1073300</v>
      </c>
      <c r="F1115" s="165"/>
      <c r="G1115" s="257" t="s">
        <v>2848</v>
      </c>
      <c r="H1115" s="9">
        <f>ROUND('Debt-Gen'!M63,-2)</f>
        <v>1176800</v>
      </c>
      <c r="I1115" s="85">
        <f t="shared" ref="I1115:I1120" si="969">IF(E1115=H1115,0,IF(E1115=0,100,(H1115-E1115)/E1115*100))</f>
        <v>9.6431566197707994</v>
      </c>
      <c r="J1115" s="9">
        <f>ROUND('Debt-Gen'!O63,-2)</f>
        <v>1301600</v>
      </c>
      <c r="K1115" s="9">
        <f>ROUND('Debt-Gen'!Q63,-2)</f>
        <v>1369900</v>
      </c>
      <c r="L1115" s="9">
        <f>ROUND('Debt-Gen'!S63,-2)</f>
        <v>1443000</v>
      </c>
      <c r="M1115" s="9">
        <f>ROUND('Debt-Gen'!U63,-2)</f>
        <v>1452600</v>
      </c>
      <c r="N1115" s="9">
        <f>ROUND('Debt-Gen'!W63,-2)</f>
        <v>1052700</v>
      </c>
      <c r="O1115" s="9">
        <f>ROUND('Debt-Gen'!Y63,-2)</f>
        <v>406400</v>
      </c>
      <c r="P1115" s="9">
        <f>ROUND('Debt-Gen'!AA63,-2)</f>
        <v>208100</v>
      </c>
      <c r="Q1115" s="9">
        <f>ROUND('Debt-Gen'!AC63,-2)</f>
        <v>217100</v>
      </c>
      <c r="R1115" s="9">
        <f>ROUND('Debt-Gen'!AE63,-2)</f>
        <v>167000</v>
      </c>
      <c r="S1115" s="61">
        <f>ROUND('Debt-Gen'!AG63,-2)</f>
        <v>176000</v>
      </c>
    </row>
    <row r="1116" spans="1:23" x14ac:dyDescent="0.2">
      <c r="A1116" s="54">
        <v>4647700</v>
      </c>
      <c r="B1116" s="89">
        <v>210700</v>
      </c>
      <c r="C1116" s="136">
        <v>272000</v>
      </c>
      <c r="D1116" s="134">
        <f>SUM('Res-Gen'!B133:B133)</f>
        <v>458300</v>
      </c>
      <c r="E1116" s="134">
        <f>SUM('Res-Gen'!E133:E133)</f>
        <v>556200</v>
      </c>
      <c r="F1116" s="165"/>
      <c r="G1116" s="257" t="s">
        <v>1909</v>
      </c>
      <c r="H1116" s="9">
        <f>SUM('Res-Gen'!H133:H133)+4700</f>
        <v>3928300</v>
      </c>
      <c r="I1116" s="85">
        <f t="shared" si="969"/>
        <v>606.274721323265</v>
      </c>
      <c r="J1116" s="9">
        <f>SUM('Res-Gen'!K133:K133)</f>
        <v>365000</v>
      </c>
      <c r="K1116" s="9">
        <f>SUM('Res-Gen'!N133:N133)</f>
        <v>365900</v>
      </c>
      <c r="L1116" s="9">
        <f>SUM('Res-Gen'!Q133:Q133)</f>
        <v>374600</v>
      </c>
      <c r="M1116" s="9">
        <f>SUM('Res-Gen'!T133:T133)</f>
        <v>432100</v>
      </c>
      <c r="N1116" s="9">
        <f>SUM('Res-Gen'!W133:W133)</f>
        <v>895000</v>
      </c>
      <c r="O1116" s="9">
        <f>SUM('Res-Gen'!Z133:Z133)</f>
        <v>1587300</v>
      </c>
      <c r="P1116" s="9">
        <f>SUM('Res-Gen'!AC133:AC133)</f>
        <v>1822600</v>
      </c>
      <c r="Q1116" s="9">
        <f>SUM('Res-Gen'!AF133:AF133)</f>
        <v>1839500</v>
      </c>
      <c r="R1116" s="9">
        <f>SUM('Res-Gen'!AI133:AI133)</f>
        <v>1919400</v>
      </c>
      <c r="S1116" s="61">
        <f>SUM('Res-Gen'!AL133:AL133)</f>
        <v>1925200</v>
      </c>
    </row>
    <row r="1117" spans="1:23" x14ac:dyDescent="0.2">
      <c r="A1117" s="54">
        <f>541400</f>
        <v>541400</v>
      </c>
      <c r="B1117" s="89">
        <v>4996600</v>
      </c>
      <c r="C1117" s="136">
        <v>403800</v>
      </c>
      <c r="D1117" s="134">
        <f>SUM('Res-Gen'!C133:C133)</f>
        <v>88000</v>
      </c>
      <c r="E1117" s="134">
        <f>SUM('Res-Gen'!F133:F133)</f>
        <v>699500</v>
      </c>
      <c r="F1117" s="165"/>
      <c r="G1117" s="257" t="s">
        <v>2309</v>
      </c>
      <c r="H1117" s="9">
        <f>SUM('Res-Gen'!I133:I133)</f>
        <v>93000</v>
      </c>
      <c r="I1117" s="85">
        <f t="shared" si="969"/>
        <v>-86.70478913509649</v>
      </c>
      <c r="J1117" s="9">
        <f>SUM('Res-Gen'!L133:L133)</f>
        <v>3300000</v>
      </c>
      <c r="K1117" s="9">
        <f>SUM('Res-Gen'!O133:O133)</f>
        <v>300000</v>
      </c>
      <c r="L1117" s="9">
        <f>SUM('Res-Gen'!R133:R133)</f>
        <v>300000</v>
      </c>
      <c r="M1117" s="9">
        <f>SUM('Res-Gen'!U133:U133)</f>
        <v>200000</v>
      </c>
      <c r="N1117" s="9">
        <f>SUM('Res-Gen'!X133:X133)</f>
        <v>603000</v>
      </c>
      <c r="O1117" s="9">
        <f>SUM('Res-Gen'!AA133:AA133)</f>
        <v>2206000</v>
      </c>
      <c r="P1117" s="9">
        <f>SUM('Res-Gen'!AD133:AD133)</f>
        <v>2209000</v>
      </c>
      <c r="Q1117" s="9">
        <f>SUM('Res-Gen'!AG133:AG133)</f>
        <v>1712000</v>
      </c>
      <c r="R1117" s="9">
        <f>SUM('Res-Gen'!AJ133:AJ133)</f>
        <v>1715000</v>
      </c>
      <c r="S1117" s="61">
        <f>SUM('Res-Gen'!AM133:AM133)</f>
        <v>2018000</v>
      </c>
    </row>
    <row r="1118" spans="1:23" x14ac:dyDescent="0.2">
      <c r="A1118" s="54">
        <v>9644400</v>
      </c>
      <c r="B1118" s="136">
        <v>0</v>
      </c>
      <c r="C1118" s="136">
        <v>725000</v>
      </c>
      <c r="D1118" s="134">
        <f>SUM('Cap-Gen'!R64:T64)+'Cap Inc'!B19</f>
        <v>2791400</v>
      </c>
      <c r="E1118" s="134">
        <f>SUM('Cap-Gen'!W64:Y64)</f>
        <v>400</v>
      </c>
      <c r="F1118" s="165"/>
      <c r="G1118" s="257" t="s">
        <v>5847</v>
      </c>
      <c r="H1118" s="9">
        <f>SUM('Cap-Gen'!AB64:AD64)+'Cap Inc'!F17</f>
        <v>6900000</v>
      </c>
      <c r="I1118" s="85">
        <f t="shared" si="969"/>
        <v>1724900</v>
      </c>
      <c r="J1118" s="9">
        <f>SUM('Cap-Gen'!AG64:AI64)</f>
        <v>0</v>
      </c>
      <c r="K1118" s="9">
        <f>SUM('Cap-Gen'!AL64:AN64)</f>
        <v>0</v>
      </c>
      <c r="L1118" s="9">
        <f>SUM('Cap-Gen'!AQ64:AS64)</f>
        <v>0</v>
      </c>
      <c r="M1118" s="9">
        <f>SUM('Cap-Gen'!AV64:AX64)</f>
        <v>0</v>
      </c>
      <c r="N1118" s="9">
        <f>SUM('Cap-Gen'!BA64:BC64)</f>
        <v>0</v>
      </c>
      <c r="O1118" s="9">
        <f>SUM('Cap-Gen'!BF64:BH64)</f>
        <v>0</v>
      </c>
      <c r="P1118" s="9">
        <f>SUM('Cap-Gen'!BK64:BM64)</f>
        <v>0</v>
      </c>
      <c r="Q1118" s="9">
        <f>SUM('Cap-Gen'!BP64:BR64)</f>
        <v>0</v>
      </c>
      <c r="R1118" s="9">
        <f>SUM('Cap-Gen'!BU64:BU64)</f>
        <v>0</v>
      </c>
      <c r="S1118" s="61">
        <f>SUM('Cap-Gen'!BZ64:CB64)</f>
        <v>0</v>
      </c>
    </row>
    <row r="1119" spans="1:23" x14ac:dyDescent="0.2">
      <c r="A1119" s="54">
        <v>5786700</v>
      </c>
      <c r="B1119" s="89">
        <v>4996600</v>
      </c>
      <c r="C1119" s="136">
        <v>1128800</v>
      </c>
      <c r="D1119" s="134">
        <f>SUM('Cap-Gen'!E64:E64)</f>
        <v>2879400</v>
      </c>
      <c r="E1119" s="134">
        <f>SUM('Cap-Gen'!F64:F64)</f>
        <v>699400</v>
      </c>
      <c r="F1119" s="165"/>
      <c r="G1119" s="257" t="s">
        <v>958</v>
      </c>
      <c r="H1119" s="9">
        <f>SUM('Cap-Gen'!G64:G64)</f>
        <v>3493000</v>
      </c>
      <c r="I1119" s="85">
        <f t="shared" si="969"/>
        <v>399.42808121246787</v>
      </c>
      <c r="J1119" s="9">
        <f>SUM('Cap-Gen'!H64:H64)</f>
        <v>3200000</v>
      </c>
      <c r="K1119" s="9">
        <f>SUM('Cap-Gen'!I64:I64)</f>
        <v>200000</v>
      </c>
      <c r="L1119" s="9">
        <f>SUM('Cap-Gen'!J64:J64)</f>
        <v>200000</v>
      </c>
      <c r="M1119" s="9">
        <f>SUM('Cap-Gen'!K64:K64)</f>
        <v>100000</v>
      </c>
      <c r="N1119" s="9">
        <f>SUM('Cap-Gen'!L64:L64)</f>
        <v>503000</v>
      </c>
      <c r="O1119" s="9">
        <f>SUM('Cap-Gen'!M64:M64)</f>
        <v>2106000</v>
      </c>
      <c r="P1119" s="9">
        <f>SUM('Cap-Gen'!N64:N64)</f>
        <v>2109000</v>
      </c>
      <c r="Q1119" s="9">
        <f>SUM('Cap-Gen'!O64:O64)</f>
        <v>1612000</v>
      </c>
      <c r="R1119" s="9">
        <f>SUM('Cap-Gen'!P64:P64)</f>
        <v>1615000</v>
      </c>
      <c r="S1119" s="47">
        <f>SUM('Cap-Gen'!Q64:Q64)</f>
        <v>1918000</v>
      </c>
    </row>
    <row r="1120" spans="1:23" s="39" customFormat="1" x14ac:dyDescent="0.2">
      <c r="A1120" s="128">
        <f>A1112-A1115-A1116+A1117++A1118-A1119</f>
        <v>0</v>
      </c>
      <c r="B1120" s="266">
        <f>B1112-B1115-B1116+B1117++B1118-B1119</f>
        <v>0</v>
      </c>
      <c r="C1120" s="281">
        <f>C1112-C1115-C1116+C1117++C1118-C1119</f>
        <v>0</v>
      </c>
      <c r="D1120" s="529">
        <f>D1112-D1115-D1116+D1117++D1118-D1119</f>
        <v>0</v>
      </c>
      <c r="E1120" s="529">
        <f>E1112-E1115-E1116+E1117++E1118-E1119</f>
        <v>0</v>
      </c>
      <c r="F1120" s="369"/>
      <c r="G1120" s="363" t="s">
        <v>2447</v>
      </c>
      <c r="H1120" s="280">
        <f>H1112-H1115-H1116+H1117+H1118-H1119</f>
        <v>0</v>
      </c>
      <c r="I1120" s="278">
        <f t="shared" si="969"/>
        <v>0</v>
      </c>
      <c r="J1120" s="280">
        <f t="shared" ref="J1120:S1120" si="970">J1112-J1115-J1116+J1117++J1118-J1119</f>
        <v>100000</v>
      </c>
      <c r="K1120" s="280">
        <f t="shared" si="970"/>
        <v>100000</v>
      </c>
      <c r="L1120" s="280">
        <f t="shared" si="970"/>
        <v>100000</v>
      </c>
      <c r="M1120" s="280">
        <f t="shared" si="970"/>
        <v>100000</v>
      </c>
      <c r="N1120" s="280">
        <f t="shared" si="970"/>
        <v>100000</v>
      </c>
      <c r="O1120" s="280">
        <f t="shared" si="970"/>
        <v>100000</v>
      </c>
      <c r="P1120" s="280">
        <f t="shared" si="970"/>
        <v>100000</v>
      </c>
      <c r="Q1120" s="280">
        <f t="shared" si="970"/>
        <v>100000</v>
      </c>
      <c r="R1120" s="280">
        <f t="shared" si="970"/>
        <v>100000</v>
      </c>
      <c r="S1120" s="282">
        <f t="shared" si="970"/>
        <v>100000</v>
      </c>
      <c r="U1120" s="34"/>
      <c r="W1120" s="34"/>
    </row>
    <row r="1121" spans="1:23" ht="13.5" thickBot="1" x14ac:dyDescent="0.25">
      <c r="A1121" s="26"/>
      <c r="B1121" s="81"/>
      <c r="C1121" s="141"/>
      <c r="D1121" s="146"/>
      <c r="E1121" s="146"/>
      <c r="F1121" s="166"/>
      <c r="G1121" s="259"/>
      <c r="H1121" s="23"/>
      <c r="I1121" s="275"/>
      <c r="J1121" s="23"/>
      <c r="K1121" s="23"/>
      <c r="L1121" s="23"/>
      <c r="M1121" s="23"/>
      <c r="N1121" s="23"/>
      <c r="O1121" s="23"/>
      <c r="P1121" s="23"/>
      <c r="Q1121" s="23"/>
      <c r="R1121" s="23"/>
      <c r="S1121" s="112"/>
    </row>
    <row r="1122" spans="1:23" ht="14.25" thickTop="1" thickBot="1" x14ac:dyDescent="0.25">
      <c r="A1122" s="27"/>
      <c r="B1122" s="27"/>
      <c r="C1122" s="27"/>
      <c r="D1122" s="27"/>
      <c r="F1122" s="179"/>
      <c r="G1122" s="84"/>
      <c r="H1122" s="46"/>
      <c r="I1122" s="2234"/>
      <c r="J1122" s="46"/>
      <c r="K1122" s="46"/>
      <c r="L1122" s="46"/>
      <c r="M1122" s="46"/>
      <c r="N1122" s="46"/>
      <c r="O1122" s="46"/>
      <c r="P1122" s="46"/>
      <c r="Q1122" s="46"/>
      <c r="R1122" s="46"/>
      <c r="S1122" s="46"/>
    </row>
    <row r="1123" spans="1:23" s="39" customFormat="1" ht="13.5" thickTop="1" x14ac:dyDescent="0.2">
      <c r="A1123" s="2610" t="s">
        <v>1824</v>
      </c>
      <c r="B1123" s="2611"/>
      <c r="C1123" s="2611"/>
      <c r="D1123" s="2611"/>
      <c r="E1123" s="2612"/>
      <c r="F1123" s="2408" t="s">
        <v>2616</v>
      </c>
      <c r="G1123" s="352" t="s">
        <v>2213</v>
      </c>
      <c r="H1123" s="2593" t="s">
        <v>2215</v>
      </c>
      <c r="I1123" s="2594"/>
      <c r="J1123" s="2594"/>
      <c r="K1123" s="2594"/>
      <c r="L1123" s="2594"/>
      <c r="M1123" s="2594"/>
      <c r="N1123" s="2594"/>
      <c r="O1123" s="2594"/>
      <c r="P1123" s="2594"/>
      <c r="Q1123" s="2594"/>
      <c r="R1123" s="2594"/>
      <c r="S1123" s="2595"/>
      <c r="U1123" s="34"/>
      <c r="W1123" s="34"/>
    </row>
    <row r="1124" spans="1:23" s="2226" customFormat="1" ht="13.5" thickBot="1" x14ac:dyDescent="0.25">
      <c r="A1124" s="2066" t="str">
        <f>A3</f>
        <v>2012/13</v>
      </c>
      <c r="B1124" s="94" t="str">
        <f>B3</f>
        <v>2013/14</v>
      </c>
      <c r="C1124" s="94" t="str">
        <f>C3</f>
        <v>2014/15</v>
      </c>
      <c r="D1124" s="94" t="str">
        <f>D3</f>
        <v>2015/16</v>
      </c>
      <c r="E1124" s="94" t="str">
        <f>E3</f>
        <v>2016/17</v>
      </c>
      <c r="F1124" s="2067" t="s">
        <v>2617</v>
      </c>
      <c r="G1124" s="2068"/>
      <c r="H1124" s="94" t="str">
        <f t="shared" ref="H1124:S1124" si="971">H3</f>
        <v>2017/18</v>
      </c>
      <c r="I1124" s="2069" t="str">
        <f t="shared" si="971"/>
        <v>%</v>
      </c>
      <c r="J1124" s="94" t="str">
        <f t="shared" si="971"/>
        <v>2018/19</v>
      </c>
      <c r="K1124" s="94" t="str">
        <f t="shared" si="971"/>
        <v>2019/20</v>
      </c>
      <c r="L1124" s="94" t="str">
        <f t="shared" si="971"/>
        <v>2020/21</v>
      </c>
      <c r="M1124" s="94" t="str">
        <f t="shared" si="971"/>
        <v>2021/22</v>
      </c>
      <c r="N1124" s="94" t="str">
        <f t="shared" si="971"/>
        <v>2022/23</v>
      </c>
      <c r="O1124" s="94" t="str">
        <f t="shared" si="971"/>
        <v>2023/24</v>
      </c>
      <c r="P1124" s="94" t="str">
        <f t="shared" si="971"/>
        <v>2024/25</v>
      </c>
      <c r="Q1124" s="94" t="str">
        <f t="shared" si="971"/>
        <v>2025/26</v>
      </c>
      <c r="R1124" s="94" t="str">
        <f t="shared" si="971"/>
        <v>2026/27</v>
      </c>
      <c r="S1124" s="1762" t="str">
        <f t="shared" si="971"/>
        <v>2027/28</v>
      </c>
      <c r="U1124" s="34"/>
      <c r="W1124" s="34"/>
    </row>
    <row r="1125" spans="1:23" s="2226" customFormat="1" x14ac:dyDescent="0.2">
      <c r="A1125" s="25"/>
      <c r="B1125" s="79"/>
      <c r="C1125" s="706"/>
      <c r="D1125" s="706"/>
      <c r="E1125" s="706"/>
      <c r="F1125" s="773"/>
      <c r="G1125" s="92"/>
      <c r="H1125" s="79"/>
      <c r="I1125" s="584"/>
      <c r="J1125" s="79"/>
      <c r="K1125" s="79"/>
      <c r="L1125" s="79"/>
      <c r="M1125" s="79"/>
      <c r="N1125" s="79"/>
      <c r="O1125" s="79"/>
      <c r="P1125" s="79"/>
      <c r="Q1125" s="79"/>
      <c r="R1125" s="79"/>
      <c r="S1125" s="78"/>
      <c r="U1125" s="34"/>
      <c r="W1125" s="34"/>
    </row>
    <row r="1126" spans="1:23" s="2226" customFormat="1" x14ac:dyDescent="0.2">
      <c r="A1126" s="25">
        <f>A110</f>
        <v>-1840100</v>
      </c>
      <c r="B1126" s="79">
        <f>B110</f>
        <v>-1832800</v>
      </c>
      <c r="C1126" s="706">
        <f>C110</f>
        <v>-1821200</v>
      </c>
      <c r="D1126" s="706">
        <f>D110</f>
        <v>-1950800</v>
      </c>
      <c r="E1126" s="706">
        <f>E110</f>
        <v>-2367100</v>
      </c>
      <c r="F1126" s="773"/>
      <c r="G1126" s="31" t="s">
        <v>6989</v>
      </c>
      <c r="H1126" s="79">
        <f>H110</f>
        <v>-2294600</v>
      </c>
      <c r="I1126" s="584"/>
      <c r="J1126" s="79">
        <f t="shared" ref="J1126:S1126" si="972">J110</f>
        <v>-2273600</v>
      </c>
      <c r="K1126" s="79">
        <f t="shared" si="972"/>
        <v>-2336200</v>
      </c>
      <c r="L1126" s="79">
        <f t="shared" si="972"/>
        <v>-2670100</v>
      </c>
      <c r="M1126" s="79">
        <f t="shared" si="972"/>
        <v>-2456500</v>
      </c>
      <c r="N1126" s="79">
        <f t="shared" si="972"/>
        <v>-2514100</v>
      </c>
      <c r="O1126" s="79">
        <f t="shared" si="972"/>
        <v>-2573200</v>
      </c>
      <c r="P1126" s="79">
        <f t="shared" si="972"/>
        <v>-2935800</v>
      </c>
      <c r="Q1126" s="79">
        <f t="shared" si="972"/>
        <v>-2695600</v>
      </c>
      <c r="R1126" s="79">
        <f t="shared" si="972"/>
        <v>-2736800</v>
      </c>
      <c r="S1126" s="78">
        <f t="shared" si="972"/>
        <v>-2779100</v>
      </c>
      <c r="U1126" s="34"/>
      <c r="W1126" s="34"/>
    </row>
    <row r="1127" spans="1:23" s="2226" customFormat="1" x14ac:dyDescent="0.2">
      <c r="A1127" s="25">
        <f>A240</f>
        <v>-1573000</v>
      </c>
      <c r="B1127" s="79">
        <f>B240</f>
        <v>-1824700</v>
      </c>
      <c r="C1127" s="706">
        <f>C240</f>
        <v>-1895400</v>
      </c>
      <c r="D1127" s="706">
        <f>D240</f>
        <v>-2046100</v>
      </c>
      <c r="E1127" s="706">
        <f>E240</f>
        <v>-2143900</v>
      </c>
      <c r="F1127" s="773"/>
      <c r="G1127" s="31" t="s">
        <v>87</v>
      </c>
      <c r="H1127" s="79">
        <f>H240</f>
        <v>-2500000</v>
      </c>
      <c r="I1127" s="584"/>
      <c r="J1127" s="79">
        <f t="shared" ref="J1127:S1127" si="973">J240</f>
        <v>-2578400</v>
      </c>
      <c r="K1127" s="79">
        <f t="shared" si="973"/>
        <v>-2640200</v>
      </c>
      <c r="L1127" s="79">
        <f t="shared" si="973"/>
        <v>-2703700</v>
      </c>
      <c r="M1127" s="79">
        <f t="shared" si="973"/>
        <v>-2768800</v>
      </c>
      <c r="N1127" s="79">
        <f t="shared" si="973"/>
        <v>-2835100</v>
      </c>
      <c r="O1127" s="79">
        <f t="shared" si="973"/>
        <v>-2903000</v>
      </c>
      <c r="P1127" s="79">
        <f t="shared" si="973"/>
        <v>-2972800</v>
      </c>
      <c r="Q1127" s="79">
        <f t="shared" si="973"/>
        <v>-3044100</v>
      </c>
      <c r="R1127" s="79">
        <f t="shared" si="973"/>
        <v>-3117400</v>
      </c>
      <c r="S1127" s="78">
        <f t="shared" si="973"/>
        <v>-3192200</v>
      </c>
      <c r="U1127" s="34"/>
      <c r="W1127" s="34"/>
    </row>
    <row r="1128" spans="1:23" s="2226" customFormat="1" x14ac:dyDescent="0.2">
      <c r="A1128" s="25">
        <f>A154</f>
        <v>20799000</v>
      </c>
      <c r="B1128" s="79">
        <f>B154</f>
        <v>19967600</v>
      </c>
      <c r="C1128" s="706">
        <f>C154</f>
        <v>22400900</v>
      </c>
      <c r="D1128" s="706">
        <f>D154</f>
        <v>23578400</v>
      </c>
      <c r="E1128" s="706">
        <f>E154</f>
        <v>27193300</v>
      </c>
      <c r="F1128" s="773"/>
      <c r="G1128" s="31" t="s">
        <v>5277</v>
      </c>
      <c r="H1128" s="79">
        <f>H154</f>
        <v>26165700</v>
      </c>
      <c r="I1128" s="584"/>
      <c r="J1128" s="79">
        <f t="shared" ref="J1128:S1128" si="974">J154</f>
        <v>26089300</v>
      </c>
      <c r="K1128" s="79">
        <f t="shared" si="974"/>
        <v>26819600</v>
      </c>
      <c r="L1128" s="79">
        <f t="shared" si="974"/>
        <v>27571100</v>
      </c>
      <c r="M1128" s="79">
        <f t="shared" si="974"/>
        <v>28344100</v>
      </c>
      <c r="N1128" s="79">
        <f t="shared" si="974"/>
        <v>29139600</v>
      </c>
      <c r="O1128" s="79">
        <f t="shared" si="974"/>
        <v>29958000</v>
      </c>
      <c r="P1128" s="79">
        <f t="shared" si="974"/>
        <v>30800100</v>
      </c>
      <c r="Q1128" s="79">
        <f t="shared" si="974"/>
        <v>31666600</v>
      </c>
      <c r="R1128" s="79">
        <f t="shared" si="974"/>
        <v>32558000</v>
      </c>
      <c r="S1128" s="78">
        <f t="shared" si="974"/>
        <v>33475200</v>
      </c>
      <c r="U1128" s="34"/>
      <c r="W1128" s="34"/>
    </row>
    <row r="1129" spans="1:23" s="2226" customFormat="1" x14ac:dyDescent="0.2">
      <c r="A1129" s="25">
        <f>A201</f>
        <v>3343000</v>
      </c>
      <c r="B1129" s="79">
        <f>B201</f>
        <v>3937400</v>
      </c>
      <c r="C1129" s="706">
        <f>C201</f>
        <v>3978500</v>
      </c>
      <c r="D1129" s="706">
        <f>D201</f>
        <v>4360900</v>
      </c>
      <c r="E1129" s="706">
        <f>E201</f>
        <v>4517000</v>
      </c>
      <c r="F1129" s="773"/>
      <c r="G1129" s="31" t="s">
        <v>2273</v>
      </c>
      <c r="H1129" s="79">
        <f>H201</f>
        <v>4632500</v>
      </c>
      <c r="I1129" s="584"/>
      <c r="J1129" s="79">
        <f t="shared" ref="J1129:S1129" si="975">J201</f>
        <v>4730600</v>
      </c>
      <c r="K1129" s="79">
        <f t="shared" si="975"/>
        <v>4850600</v>
      </c>
      <c r="L1129" s="79">
        <f t="shared" si="975"/>
        <v>4973000</v>
      </c>
      <c r="M1129" s="79">
        <f t="shared" si="975"/>
        <v>5098600</v>
      </c>
      <c r="N1129" s="79">
        <f t="shared" si="975"/>
        <v>5177600</v>
      </c>
      <c r="O1129" s="79">
        <f t="shared" si="975"/>
        <v>5307900</v>
      </c>
      <c r="P1129" s="79">
        <f t="shared" si="975"/>
        <v>5441500</v>
      </c>
      <c r="Q1129" s="79">
        <f t="shared" si="975"/>
        <v>5578700</v>
      </c>
      <c r="R1129" s="79">
        <f t="shared" si="975"/>
        <v>5719600</v>
      </c>
      <c r="S1129" s="78">
        <f t="shared" si="975"/>
        <v>5864200</v>
      </c>
      <c r="U1129" s="34"/>
      <c r="W1129" s="34"/>
    </row>
    <row r="1130" spans="1:23" s="2226" customFormat="1" x14ac:dyDescent="0.2">
      <c r="A1130" s="25">
        <f>A296</f>
        <v>-653000</v>
      </c>
      <c r="B1130" s="79">
        <f>B296</f>
        <v>-1181500</v>
      </c>
      <c r="C1130" s="706">
        <f>C296</f>
        <v>-1070900</v>
      </c>
      <c r="D1130" s="706">
        <f>D296</f>
        <v>-1090800</v>
      </c>
      <c r="E1130" s="706">
        <f>E296</f>
        <v>-335000</v>
      </c>
      <c r="F1130" s="773"/>
      <c r="G1130" s="31" t="s">
        <v>5278</v>
      </c>
      <c r="H1130" s="79">
        <f>H296</f>
        <v>-986000</v>
      </c>
      <c r="I1130" s="584"/>
      <c r="J1130" s="79">
        <f t="shared" ref="J1130:S1130" si="976">J296</f>
        <v>-862300</v>
      </c>
      <c r="K1130" s="79">
        <f t="shared" si="976"/>
        <v>-877200</v>
      </c>
      <c r="L1130" s="79">
        <f t="shared" si="976"/>
        <v>-896600</v>
      </c>
      <c r="M1130" s="79">
        <f t="shared" si="976"/>
        <v>-919900</v>
      </c>
      <c r="N1130" s="79">
        <f t="shared" si="976"/>
        <v>-947500</v>
      </c>
      <c r="O1130" s="79">
        <f t="shared" si="976"/>
        <v>-979000</v>
      </c>
      <c r="P1130" s="79">
        <f t="shared" si="976"/>
        <v>-1014000</v>
      </c>
      <c r="Q1130" s="79">
        <f t="shared" si="976"/>
        <v>-1053200</v>
      </c>
      <c r="R1130" s="79">
        <f t="shared" si="976"/>
        <v>-1096100</v>
      </c>
      <c r="S1130" s="78">
        <f t="shared" si="976"/>
        <v>-1144000</v>
      </c>
      <c r="U1130" s="34"/>
      <c r="W1130" s="34"/>
    </row>
    <row r="1131" spans="1:23" s="2226" customFormat="1" x14ac:dyDescent="0.2">
      <c r="A1131" s="25">
        <f>A363</f>
        <v>2678500</v>
      </c>
      <c r="B1131" s="79">
        <f>B363</f>
        <v>355900</v>
      </c>
      <c r="C1131" s="706">
        <f>C363</f>
        <v>193000</v>
      </c>
      <c r="D1131" s="706">
        <f>D363</f>
        <v>40700</v>
      </c>
      <c r="E1131" s="706">
        <f>E363</f>
        <v>898600</v>
      </c>
      <c r="F1131" s="773"/>
      <c r="G1131" s="31" t="s">
        <v>2499</v>
      </c>
      <c r="H1131" s="79">
        <f>H363</f>
        <v>113300</v>
      </c>
      <c r="I1131" s="584"/>
      <c r="J1131" s="79">
        <f t="shared" ref="J1131:S1131" si="977">J363</f>
        <v>1116500</v>
      </c>
      <c r="K1131" s="79">
        <f t="shared" si="977"/>
        <v>1139100</v>
      </c>
      <c r="L1131" s="79">
        <f t="shared" si="977"/>
        <v>1110500</v>
      </c>
      <c r="M1131" s="79">
        <f t="shared" si="977"/>
        <v>1140000</v>
      </c>
      <c r="N1131" s="79">
        <f t="shared" si="977"/>
        <v>1255600</v>
      </c>
      <c r="O1131" s="79">
        <f t="shared" si="977"/>
        <v>1281200</v>
      </c>
      <c r="P1131" s="79">
        <f t="shared" si="977"/>
        <v>1294700</v>
      </c>
      <c r="Q1131" s="79">
        <f t="shared" si="977"/>
        <v>1316300</v>
      </c>
      <c r="R1131" s="79">
        <f t="shared" si="977"/>
        <v>1337900</v>
      </c>
      <c r="S1131" s="78">
        <f t="shared" si="977"/>
        <v>1358500</v>
      </c>
      <c r="U1131" s="34"/>
      <c r="W1131" s="34"/>
    </row>
    <row r="1132" spans="1:23" s="2226" customFormat="1" x14ac:dyDescent="0.2">
      <c r="A1132" s="25">
        <f>A425</f>
        <v>780300</v>
      </c>
      <c r="B1132" s="79">
        <f>B425</f>
        <v>1049400</v>
      </c>
      <c r="C1132" s="706">
        <f>C425</f>
        <v>1117500</v>
      </c>
      <c r="D1132" s="706">
        <f>D425</f>
        <v>1428900</v>
      </c>
      <c r="E1132" s="706">
        <f>E425</f>
        <v>1629000</v>
      </c>
      <c r="F1132" s="773"/>
      <c r="G1132" s="31" t="str">
        <f>G1147</f>
        <v>Ballina Byron Gateway Airport</v>
      </c>
      <c r="H1132" s="79">
        <f>H425</f>
        <v>1605100</v>
      </c>
      <c r="I1132" s="584"/>
      <c r="J1132" s="79">
        <f t="shared" ref="J1132:S1132" si="978">J425</f>
        <v>1666600</v>
      </c>
      <c r="K1132" s="79">
        <f t="shared" si="978"/>
        <v>1735800</v>
      </c>
      <c r="L1132" s="79">
        <f t="shared" si="978"/>
        <v>1817600</v>
      </c>
      <c r="M1132" s="79">
        <f t="shared" si="978"/>
        <v>1884700</v>
      </c>
      <c r="N1132" s="79">
        <f t="shared" si="978"/>
        <v>1947700</v>
      </c>
      <c r="O1132" s="79">
        <f t="shared" si="978"/>
        <v>1993700</v>
      </c>
      <c r="P1132" s="79">
        <f t="shared" si="978"/>
        <v>2030700</v>
      </c>
      <c r="Q1132" s="79">
        <f t="shared" si="978"/>
        <v>2056600</v>
      </c>
      <c r="R1132" s="79">
        <f t="shared" si="978"/>
        <v>2086400</v>
      </c>
      <c r="S1132" s="78">
        <f t="shared" si="978"/>
        <v>2101200</v>
      </c>
      <c r="U1132" s="34"/>
      <c r="W1132" s="34"/>
    </row>
    <row r="1133" spans="1:23" s="2226" customFormat="1" ht="13.5" thickBot="1" x14ac:dyDescent="0.25">
      <c r="A1133" s="198"/>
      <c r="B1133" s="63"/>
      <c r="C1133" s="1004"/>
      <c r="D1133" s="1004"/>
      <c r="E1133" s="1004"/>
      <c r="F1133" s="773"/>
      <c r="G1133" s="31"/>
      <c r="H1133" s="79"/>
      <c r="I1133" s="1004"/>
      <c r="J1133" s="79"/>
      <c r="K1133" s="79"/>
      <c r="L1133" s="79"/>
      <c r="M1133" s="79"/>
      <c r="N1133" s="79"/>
      <c r="O1133" s="79"/>
      <c r="P1133" s="79"/>
      <c r="Q1133" s="79"/>
      <c r="R1133" s="79"/>
      <c r="S1133" s="78"/>
      <c r="U1133" s="34"/>
      <c r="W1133" s="34"/>
    </row>
    <row r="1134" spans="1:23" s="2226" customFormat="1" x14ac:dyDescent="0.2">
      <c r="A1134" s="125">
        <f>SUM(A1126:A1133)</f>
        <v>23534700</v>
      </c>
      <c r="B1134" s="53">
        <f>SUM(B1126:B1133)</f>
        <v>20471300</v>
      </c>
      <c r="C1134" s="888">
        <f>SUM(C1126:C1133)</f>
        <v>22902400</v>
      </c>
      <c r="D1134" s="888">
        <f>SUM(D1126:D1133)</f>
        <v>24321200</v>
      </c>
      <c r="E1134" s="888">
        <f>SUM(E1126:E1133)</f>
        <v>29391900</v>
      </c>
      <c r="F1134" s="773"/>
      <c r="G1134" s="877" t="s">
        <v>361</v>
      </c>
      <c r="H1134" s="53">
        <f t="shared" ref="H1134:R1134" si="979">SUM(H1126:H1133)</f>
        <v>26736000</v>
      </c>
      <c r="I1134" s="584"/>
      <c r="J1134" s="53">
        <f t="shared" si="979"/>
        <v>27888700</v>
      </c>
      <c r="K1134" s="53">
        <f t="shared" si="979"/>
        <v>28691500</v>
      </c>
      <c r="L1134" s="53">
        <f t="shared" si="979"/>
        <v>29201800</v>
      </c>
      <c r="M1134" s="53">
        <f t="shared" si="979"/>
        <v>30322200</v>
      </c>
      <c r="N1134" s="53">
        <f t="shared" si="979"/>
        <v>31223800</v>
      </c>
      <c r="O1134" s="53">
        <f t="shared" si="979"/>
        <v>32085600</v>
      </c>
      <c r="P1134" s="53">
        <f t="shared" si="979"/>
        <v>32644400</v>
      </c>
      <c r="Q1134" s="53">
        <f t="shared" si="979"/>
        <v>33825300</v>
      </c>
      <c r="R1134" s="53">
        <f t="shared" si="979"/>
        <v>34751600</v>
      </c>
      <c r="S1134" s="104">
        <f t="shared" ref="S1134" si="980">SUM(S1126:S1133)</f>
        <v>35683800</v>
      </c>
      <c r="U1134" s="34"/>
      <c r="W1134" s="34"/>
    </row>
    <row r="1135" spans="1:23" s="2226" customFormat="1" ht="13.5" thickBot="1" x14ac:dyDescent="0.25">
      <c r="A1135" s="866"/>
      <c r="B1135" s="851"/>
      <c r="C1135" s="893"/>
      <c r="D1135" s="893"/>
      <c r="E1135" s="893"/>
      <c r="F1135" s="2409"/>
      <c r="G1135" s="868"/>
      <c r="H1135" s="592"/>
      <c r="I1135" s="893"/>
      <c r="J1135" s="592"/>
      <c r="K1135" s="592"/>
      <c r="L1135" s="592"/>
      <c r="M1135" s="592"/>
      <c r="N1135" s="592"/>
      <c r="O1135" s="592"/>
      <c r="P1135" s="592"/>
      <c r="Q1135" s="592"/>
      <c r="R1135" s="592"/>
      <c r="S1135" s="594"/>
      <c r="U1135" s="34"/>
      <c r="W1135" s="34"/>
    </row>
    <row r="1136" spans="1:23" ht="13.5" thickTop="1" x14ac:dyDescent="0.2">
      <c r="A1136" s="27"/>
      <c r="B1136" s="27"/>
      <c r="C1136" s="27"/>
      <c r="D1136" s="27"/>
      <c r="F1136" s="179"/>
      <c r="G1136" s="84"/>
      <c r="H1136" s="46"/>
      <c r="I1136" s="2234"/>
      <c r="J1136" s="46"/>
      <c r="K1136" s="46"/>
      <c r="L1136" s="46"/>
      <c r="M1136" s="46"/>
      <c r="N1136" s="46"/>
      <c r="O1136" s="46"/>
      <c r="P1136" s="46"/>
      <c r="Q1136" s="46"/>
      <c r="R1136" s="46"/>
      <c r="S1136" s="46"/>
    </row>
    <row r="1137" spans="1:23" ht="13.5" thickBot="1" x14ac:dyDescent="0.25">
      <c r="A1137" s="27"/>
      <c r="B1137" s="27"/>
      <c r="C1137" s="27"/>
      <c r="D1137" s="27"/>
      <c r="F1137" s="179"/>
      <c r="G1137" s="84"/>
      <c r="H1137" s="46"/>
      <c r="I1137" s="2234"/>
      <c r="J1137" s="46"/>
      <c r="K1137" s="46"/>
      <c r="L1137" s="46"/>
      <c r="M1137" s="46"/>
      <c r="N1137" s="46"/>
      <c r="O1137" s="46"/>
      <c r="P1137" s="46"/>
      <c r="Q1137" s="46"/>
      <c r="R1137" s="46"/>
      <c r="S1137" s="46"/>
    </row>
    <row r="1138" spans="1:23" s="39" customFormat="1" ht="13.5" thickTop="1" x14ac:dyDescent="0.2">
      <c r="A1138" s="2610" t="s">
        <v>1824</v>
      </c>
      <c r="B1138" s="2611"/>
      <c r="C1138" s="2611"/>
      <c r="D1138" s="2611"/>
      <c r="E1138" s="2612"/>
      <c r="F1138" s="2408" t="s">
        <v>2616</v>
      </c>
      <c r="G1138" s="352" t="s">
        <v>2213</v>
      </c>
      <c r="H1138" s="2593" t="s">
        <v>2215</v>
      </c>
      <c r="I1138" s="2594"/>
      <c r="J1138" s="2594"/>
      <c r="K1138" s="2594"/>
      <c r="L1138" s="2594"/>
      <c r="M1138" s="2594"/>
      <c r="N1138" s="2594"/>
      <c r="O1138" s="2594"/>
      <c r="P1138" s="2594"/>
      <c r="Q1138" s="2594"/>
      <c r="R1138" s="2594"/>
      <c r="S1138" s="2595"/>
      <c r="U1138" s="34"/>
      <c r="W1138" s="34"/>
    </row>
    <row r="1139" spans="1:23" ht="13.5" thickBot="1" x14ac:dyDescent="0.25">
      <c r="A1139" s="541" t="str">
        <f>A3</f>
        <v>2012/13</v>
      </c>
      <c r="B1139" s="28" t="str">
        <f>B3</f>
        <v>2013/14</v>
      </c>
      <c r="C1139" s="28" t="str">
        <f>C3</f>
        <v>2014/15</v>
      </c>
      <c r="D1139" s="1441" t="str">
        <f>D3</f>
        <v>2015/16</v>
      </c>
      <c r="E1139" s="28" t="str">
        <f>E3</f>
        <v>2016/17</v>
      </c>
      <c r="F1139" s="187" t="str">
        <f>F1124</f>
        <v>ACCOUNT</v>
      </c>
      <c r="G1139" s="68"/>
      <c r="H1139" s="28" t="str">
        <f>H3</f>
        <v>2017/18</v>
      </c>
      <c r="I1139" s="2069" t="s">
        <v>492</v>
      </c>
      <c r="J1139" s="28" t="str">
        <f t="shared" ref="J1139:S1139" si="981">J3</f>
        <v>2018/19</v>
      </c>
      <c r="K1139" s="28" t="str">
        <f t="shared" si="981"/>
        <v>2019/20</v>
      </c>
      <c r="L1139" s="28" t="str">
        <f t="shared" si="981"/>
        <v>2020/21</v>
      </c>
      <c r="M1139" s="28" t="str">
        <f t="shared" si="981"/>
        <v>2021/22</v>
      </c>
      <c r="N1139" s="28" t="str">
        <f t="shared" si="981"/>
        <v>2022/23</v>
      </c>
      <c r="O1139" s="28" t="str">
        <f t="shared" si="981"/>
        <v>2023/24</v>
      </c>
      <c r="P1139" s="28" t="str">
        <f t="shared" si="981"/>
        <v>2024/25</v>
      </c>
      <c r="Q1139" s="28" t="str">
        <f t="shared" si="981"/>
        <v>2025/26</v>
      </c>
      <c r="R1139" s="28" t="str">
        <f t="shared" si="981"/>
        <v>2026/27</v>
      </c>
      <c r="S1139" s="1262" t="str">
        <f t="shared" si="981"/>
        <v>2027/28</v>
      </c>
    </row>
    <row r="1140" spans="1:23" x14ac:dyDescent="0.2">
      <c r="A1140" s="54"/>
      <c r="B1140" s="9"/>
      <c r="C1140" s="9"/>
      <c r="D1140" s="116"/>
      <c r="E1140" s="9"/>
      <c r="F1140" s="175"/>
      <c r="G1140" s="21"/>
      <c r="H1140" s="9"/>
      <c r="I1140" s="85"/>
      <c r="J1140" s="9"/>
      <c r="K1140" s="9"/>
      <c r="L1140" s="9"/>
      <c r="M1140" s="9"/>
      <c r="N1140" s="9"/>
      <c r="O1140" s="9"/>
      <c r="P1140" s="9"/>
      <c r="Q1140" s="9"/>
      <c r="R1140" s="9"/>
      <c r="S1140" s="61"/>
    </row>
    <row r="1141" spans="1:23" x14ac:dyDescent="0.2">
      <c r="A1141" s="54">
        <f>A108</f>
        <v>-1840100</v>
      </c>
      <c r="B1141" s="9">
        <f>B108</f>
        <v>-1832800</v>
      </c>
      <c r="C1141" s="9">
        <f>C108</f>
        <v>-1821200</v>
      </c>
      <c r="D1141" s="9">
        <f>D108</f>
        <v>-1950800</v>
      </c>
      <c r="E1141" s="9">
        <f>E108</f>
        <v>-2367100</v>
      </c>
      <c r="F1141" s="175"/>
      <c r="G1141" s="9" t="str">
        <f t="shared" ref="G1141:G1146" si="982">G1126</f>
        <v>Communications</v>
      </c>
      <c r="H1141" s="9">
        <f>H108</f>
        <v>-2294600</v>
      </c>
      <c r="I1141" s="85"/>
      <c r="J1141" s="9">
        <f t="shared" ref="J1141:S1141" si="983">J108</f>
        <v>-2273600</v>
      </c>
      <c r="K1141" s="9">
        <f t="shared" si="983"/>
        <v>-2336200</v>
      </c>
      <c r="L1141" s="9">
        <f t="shared" si="983"/>
        <v>-2670100</v>
      </c>
      <c r="M1141" s="9">
        <f t="shared" si="983"/>
        <v>-2456500</v>
      </c>
      <c r="N1141" s="9">
        <f t="shared" si="983"/>
        <v>-2514100</v>
      </c>
      <c r="O1141" s="9">
        <f t="shared" si="983"/>
        <v>-2573200</v>
      </c>
      <c r="P1141" s="9">
        <f t="shared" si="983"/>
        <v>-2935800</v>
      </c>
      <c r="Q1141" s="9">
        <f t="shared" si="983"/>
        <v>-2695600</v>
      </c>
      <c r="R1141" s="9">
        <f t="shared" si="983"/>
        <v>-2736800</v>
      </c>
      <c r="S1141" s="61">
        <f t="shared" si="983"/>
        <v>-2779100</v>
      </c>
    </row>
    <row r="1142" spans="1:23" x14ac:dyDescent="0.2">
      <c r="A1142" s="54">
        <f>A238</f>
        <v>-1573000</v>
      </c>
      <c r="B1142" s="9">
        <f>B238</f>
        <v>-1824700</v>
      </c>
      <c r="C1142" s="9">
        <f>C199</f>
        <v>3978500</v>
      </c>
      <c r="D1142" s="9">
        <f>D238</f>
        <v>-2046100</v>
      </c>
      <c r="E1142" s="9">
        <f>E238</f>
        <v>-2143900</v>
      </c>
      <c r="F1142" s="175"/>
      <c r="G1142" s="9" t="str">
        <f t="shared" si="982"/>
        <v>Financial Services</v>
      </c>
      <c r="H1142" s="9">
        <f>H238</f>
        <v>-2500000</v>
      </c>
      <c r="I1142" s="85"/>
      <c r="J1142" s="9">
        <f t="shared" ref="J1142:S1142" si="984">J238</f>
        <v>-2578400</v>
      </c>
      <c r="K1142" s="9">
        <f t="shared" si="984"/>
        <v>-2640200</v>
      </c>
      <c r="L1142" s="9">
        <f t="shared" si="984"/>
        <v>-2703700</v>
      </c>
      <c r="M1142" s="9">
        <f t="shared" si="984"/>
        <v>-2768800</v>
      </c>
      <c r="N1142" s="9">
        <f t="shared" si="984"/>
        <v>-2835100</v>
      </c>
      <c r="O1142" s="9">
        <f t="shared" si="984"/>
        <v>-2903000</v>
      </c>
      <c r="P1142" s="9">
        <f t="shared" si="984"/>
        <v>-2972800</v>
      </c>
      <c r="Q1142" s="9">
        <f t="shared" si="984"/>
        <v>-3044100</v>
      </c>
      <c r="R1142" s="9">
        <f t="shared" si="984"/>
        <v>-3117400</v>
      </c>
      <c r="S1142" s="61">
        <f t="shared" si="984"/>
        <v>-3192200</v>
      </c>
    </row>
    <row r="1143" spans="1:23" x14ac:dyDescent="0.2">
      <c r="A1143" s="54">
        <f>A152</f>
        <v>21213000</v>
      </c>
      <c r="B1143" s="9">
        <f>B152</f>
        <v>20300600</v>
      </c>
      <c r="C1143" s="9">
        <f>C152</f>
        <v>22370900</v>
      </c>
      <c r="D1143" s="9">
        <f>D152</f>
        <v>23415400</v>
      </c>
      <c r="E1143" s="9">
        <f>E152</f>
        <v>27343300</v>
      </c>
      <c r="F1143" s="175"/>
      <c r="G1143" s="9" t="str">
        <f t="shared" si="982"/>
        <v xml:space="preserve">Financial Services - General Purpose </v>
      </c>
      <c r="H1143" s="9">
        <f>H152</f>
        <v>26165700</v>
      </c>
      <c r="I1143" s="85"/>
      <c r="J1143" s="9">
        <f t="shared" ref="J1143:S1143" si="985">J152</f>
        <v>26089300</v>
      </c>
      <c r="K1143" s="9">
        <f t="shared" si="985"/>
        <v>26819600</v>
      </c>
      <c r="L1143" s="9">
        <f t="shared" si="985"/>
        <v>27571100</v>
      </c>
      <c r="M1143" s="9">
        <f t="shared" si="985"/>
        <v>28344100</v>
      </c>
      <c r="N1143" s="9">
        <f t="shared" si="985"/>
        <v>29139600</v>
      </c>
      <c r="O1143" s="9">
        <f t="shared" si="985"/>
        <v>29958000</v>
      </c>
      <c r="P1143" s="9">
        <f t="shared" si="985"/>
        <v>30800100</v>
      </c>
      <c r="Q1143" s="9">
        <f t="shared" si="985"/>
        <v>31666600</v>
      </c>
      <c r="R1143" s="9">
        <f t="shared" si="985"/>
        <v>32558000</v>
      </c>
      <c r="S1143" s="61">
        <f t="shared" si="985"/>
        <v>33475200</v>
      </c>
    </row>
    <row r="1144" spans="1:23" x14ac:dyDescent="0.2">
      <c r="A1144" s="54">
        <f>A199</f>
        <v>3343000</v>
      </c>
      <c r="B1144" s="9">
        <f>B199</f>
        <v>3937400</v>
      </c>
      <c r="C1144" s="9">
        <f>C238</f>
        <v>-1895400</v>
      </c>
      <c r="D1144" s="9">
        <f>D199</f>
        <v>4360900</v>
      </c>
      <c r="E1144" s="9">
        <f>E199</f>
        <v>4517000</v>
      </c>
      <c r="F1144" s="175"/>
      <c r="G1144" s="9" t="str">
        <f t="shared" si="982"/>
        <v>Information Services</v>
      </c>
      <c r="H1144" s="9">
        <f>H199</f>
        <v>4632500</v>
      </c>
      <c r="I1144" s="85"/>
      <c r="J1144" s="9">
        <f t="shared" ref="J1144:S1144" si="986">J199</f>
        <v>4730600</v>
      </c>
      <c r="K1144" s="9">
        <f t="shared" si="986"/>
        <v>4850600</v>
      </c>
      <c r="L1144" s="9">
        <f t="shared" si="986"/>
        <v>4973000</v>
      </c>
      <c r="M1144" s="9">
        <f t="shared" si="986"/>
        <v>5098600</v>
      </c>
      <c r="N1144" s="9">
        <f t="shared" si="986"/>
        <v>5177600</v>
      </c>
      <c r="O1144" s="9">
        <f t="shared" si="986"/>
        <v>5307900</v>
      </c>
      <c r="P1144" s="9">
        <f t="shared" si="986"/>
        <v>5441500</v>
      </c>
      <c r="Q1144" s="9">
        <f t="shared" si="986"/>
        <v>5578700</v>
      </c>
      <c r="R1144" s="9">
        <f t="shared" si="986"/>
        <v>5719600</v>
      </c>
      <c r="S1144" s="61">
        <f t="shared" si="986"/>
        <v>5864200</v>
      </c>
    </row>
    <row r="1145" spans="1:23" x14ac:dyDescent="0.2">
      <c r="A1145" s="54">
        <f>A294</f>
        <v>-653000</v>
      </c>
      <c r="B1145" s="9">
        <f>B294</f>
        <v>-1181500</v>
      </c>
      <c r="C1145" s="9">
        <f>C294</f>
        <v>-1070900</v>
      </c>
      <c r="D1145" s="9">
        <f>D294</f>
        <v>-1090800</v>
      </c>
      <c r="E1145" s="9">
        <f>E294</f>
        <v>-335000</v>
      </c>
      <c r="F1145" s="175"/>
      <c r="G1145" s="9" t="str">
        <f t="shared" si="982"/>
        <v xml:space="preserve">Human Resources and Risk </v>
      </c>
      <c r="H1145" s="9">
        <f>H294</f>
        <v>-986000</v>
      </c>
      <c r="I1145" s="85"/>
      <c r="J1145" s="9">
        <f t="shared" ref="J1145:S1145" si="987">J294</f>
        <v>-862300</v>
      </c>
      <c r="K1145" s="9">
        <f t="shared" si="987"/>
        <v>-877200</v>
      </c>
      <c r="L1145" s="9">
        <f t="shared" si="987"/>
        <v>-896600</v>
      </c>
      <c r="M1145" s="9">
        <f t="shared" si="987"/>
        <v>-919900</v>
      </c>
      <c r="N1145" s="9">
        <f t="shared" si="987"/>
        <v>-947500</v>
      </c>
      <c r="O1145" s="9">
        <f t="shared" si="987"/>
        <v>-979000</v>
      </c>
      <c r="P1145" s="9">
        <f t="shared" si="987"/>
        <v>-1014000</v>
      </c>
      <c r="Q1145" s="9">
        <f t="shared" si="987"/>
        <v>-1053200</v>
      </c>
      <c r="R1145" s="9">
        <f t="shared" si="987"/>
        <v>-1096100</v>
      </c>
      <c r="S1145" s="61">
        <f t="shared" si="987"/>
        <v>-1144000</v>
      </c>
    </row>
    <row r="1146" spans="1:23" x14ac:dyDescent="0.2">
      <c r="A1146" s="54">
        <f>A359</f>
        <v>2675900</v>
      </c>
      <c r="B1146" s="9">
        <f>B359</f>
        <v>22300</v>
      </c>
      <c r="C1146" s="9">
        <f>C359</f>
        <v>1270100</v>
      </c>
      <c r="D1146" s="9">
        <f>D359</f>
        <v>-390900</v>
      </c>
      <c r="E1146" s="9">
        <f>E359</f>
        <v>827300</v>
      </c>
      <c r="F1146" s="175"/>
      <c r="G1146" s="9" t="str">
        <f t="shared" si="982"/>
        <v>Property Management</v>
      </c>
      <c r="H1146" s="9">
        <f>H359</f>
        <v>2100</v>
      </c>
      <c r="I1146" s="85"/>
      <c r="J1146" s="9">
        <f t="shared" ref="J1146:S1146" si="988">J359</f>
        <v>999500</v>
      </c>
      <c r="K1146" s="9">
        <f t="shared" si="988"/>
        <v>1019700</v>
      </c>
      <c r="L1146" s="9">
        <f t="shared" si="988"/>
        <v>988600</v>
      </c>
      <c r="M1146" s="9">
        <f t="shared" si="988"/>
        <v>1015500</v>
      </c>
      <c r="N1146" s="9">
        <f t="shared" si="988"/>
        <v>1128500</v>
      </c>
      <c r="O1146" s="9">
        <f t="shared" si="988"/>
        <v>1151400</v>
      </c>
      <c r="P1146" s="9">
        <f t="shared" si="988"/>
        <v>1162200</v>
      </c>
      <c r="Q1146" s="9">
        <f t="shared" si="988"/>
        <v>1181000</v>
      </c>
      <c r="R1146" s="9">
        <f t="shared" si="988"/>
        <v>1199800</v>
      </c>
      <c r="S1146" s="61">
        <f t="shared" si="988"/>
        <v>1217600</v>
      </c>
    </row>
    <row r="1147" spans="1:23" x14ac:dyDescent="0.2">
      <c r="A1147" s="54">
        <f>A422</f>
        <v>-50900</v>
      </c>
      <c r="B1147" s="9">
        <f>B422</f>
        <v>-1786600</v>
      </c>
      <c r="C1147" s="9">
        <f>C422</f>
        <v>346800</v>
      </c>
      <c r="D1147" s="9">
        <f>D422</f>
        <v>598500</v>
      </c>
      <c r="E1147" s="9">
        <f>E422</f>
        <v>1408500</v>
      </c>
      <c r="F1147" s="175"/>
      <c r="G1147" s="9" t="s">
        <v>2093</v>
      </c>
      <c r="H1147" s="9">
        <f>H422</f>
        <v>606100</v>
      </c>
      <c r="I1147" s="85"/>
      <c r="J1147" s="9">
        <f t="shared" ref="J1147:S1147" si="989">J422</f>
        <v>636600</v>
      </c>
      <c r="K1147" s="9">
        <f t="shared" si="989"/>
        <v>673800</v>
      </c>
      <c r="L1147" s="9">
        <f t="shared" si="989"/>
        <v>734400</v>
      </c>
      <c r="M1147" s="9">
        <f t="shared" si="989"/>
        <v>779800</v>
      </c>
      <c r="N1147" s="9">
        <f t="shared" si="989"/>
        <v>820700</v>
      </c>
      <c r="O1147" s="9">
        <f t="shared" si="989"/>
        <v>844200</v>
      </c>
      <c r="P1147" s="9">
        <f t="shared" si="989"/>
        <v>858200</v>
      </c>
      <c r="Q1147" s="9">
        <f t="shared" si="989"/>
        <v>860600</v>
      </c>
      <c r="R1147" s="9">
        <f t="shared" si="989"/>
        <v>866500</v>
      </c>
      <c r="S1147" s="61">
        <f t="shared" si="989"/>
        <v>856900</v>
      </c>
    </row>
    <row r="1148" spans="1:23" ht="13.5" thickBot="1" x14ac:dyDescent="0.25">
      <c r="A1148" s="24"/>
      <c r="B1148" s="21"/>
      <c r="C1148" s="21"/>
      <c r="D1148" s="21"/>
      <c r="E1148" s="9"/>
      <c r="F1148" s="175"/>
      <c r="G1148" s="9"/>
      <c r="H1148" s="9"/>
      <c r="I1148" s="85"/>
      <c r="J1148" s="9"/>
      <c r="K1148" s="9"/>
      <c r="L1148" s="9"/>
      <c r="M1148" s="9"/>
      <c r="N1148" s="9"/>
      <c r="O1148" s="9"/>
      <c r="P1148" s="9"/>
      <c r="Q1148" s="9"/>
      <c r="R1148" s="9"/>
      <c r="S1148" s="61"/>
    </row>
    <row r="1149" spans="1:23" x14ac:dyDescent="0.2">
      <c r="A1149" s="52">
        <f>SUM(A1140:A1148)</f>
        <v>23114900</v>
      </c>
      <c r="B1149" s="16">
        <f>SUM(B1140:B1148)</f>
        <v>17634700</v>
      </c>
      <c r="C1149" s="16">
        <f>SUM(C1140:C1148)</f>
        <v>23178800</v>
      </c>
      <c r="D1149" s="16">
        <f>SUM(D1140:D1148)</f>
        <v>22896200</v>
      </c>
      <c r="E1149" s="16">
        <f>SUM(E1140:E1148)</f>
        <v>29250100</v>
      </c>
      <c r="F1149" s="175"/>
      <c r="G1149" s="361" t="s">
        <v>361</v>
      </c>
      <c r="H1149" s="16">
        <f t="shared" ref="H1149:R1149" si="990">SUM(H1140:H1148)</f>
        <v>25625800</v>
      </c>
      <c r="I1149" s="126"/>
      <c r="J1149" s="16">
        <f t="shared" si="990"/>
        <v>26741700</v>
      </c>
      <c r="K1149" s="16">
        <f t="shared" si="990"/>
        <v>27510100</v>
      </c>
      <c r="L1149" s="16">
        <f t="shared" si="990"/>
        <v>27996700</v>
      </c>
      <c r="M1149" s="16">
        <f t="shared" si="990"/>
        <v>29092800</v>
      </c>
      <c r="N1149" s="16">
        <f t="shared" si="990"/>
        <v>29969700</v>
      </c>
      <c r="O1149" s="16">
        <f t="shared" si="990"/>
        <v>30806300</v>
      </c>
      <c r="P1149" s="16">
        <f t="shared" si="990"/>
        <v>31339400</v>
      </c>
      <c r="Q1149" s="16">
        <f t="shared" si="990"/>
        <v>32494000</v>
      </c>
      <c r="R1149" s="16">
        <f t="shared" si="990"/>
        <v>33393600</v>
      </c>
      <c r="S1149" s="60">
        <f t="shared" ref="S1149" si="991">SUM(S1140:S1148)</f>
        <v>34298600</v>
      </c>
    </row>
    <row r="1150" spans="1:23" x14ac:dyDescent="0.2">
      <c r="A1150" s="24"/>
      <c r="B1150" s="21"/>
      <c r="C1150" s="21"/>
      <c r="D1150" s="21"/>
      <c r="E1150" s="21"/>
      <c r="F1150" s="175"/>
      <c r="G1150" s="361"/>
      <c r="H1150" s="21"/>
      <c r="I1150" s="126"/>
      <c r="J1150" s="21"/>
      <c r="K1150" s="21"/>
      <c r="L1150" s="21"/>
      <c r="M1150" s="21"/>
      <c r="N1150" s="21"/>
      <c r="O1150" s="21"/>
      <c r="P1150" s="21"/>
      <c r="Q1150" s="21"/>
      <c r="R1150" s="21"/>
      <c r="S1150" s="62"/>
    </row>
    <row r="1151" spans="1:23" x14ac:dyDescent="0.2">
      <c r="A1151" s="24">
        <f>A1134</f>
        <v>23534700</v>
      </c>
      <c r="B1151" s="21">
        <f>B1134</f>
        <v>20471300</v>
      </c>
      <c r="C1151" s="21">
        <f>C1134</f>
        <v>22902400</v>
      </c>
      <c r="D1151" s="21">
        <f>D1134</f>
        <v>24321200</v>
      </c>
      <c r="E1151" s="21">
        <f>E1134</f>
        <v>29391900</v>
      </c>
      <c r="F1151" s="175"/>
      <c r="G1151" s="361" t="s">
        <v>2755</v>
      </c>
      <c r="H1151" s="21">
        <f t="shared" ref="H1151:R1151" si="992">H1134</f>
        <v>26736000</v>
      </c>
      <c r="I1151" s="126"/>
      <c r="J1151" s="21">
        <f t="shared" si="992"/>
        <v>27888700</v>
      </c>
      <c r="K1151" s="21">
        <f t="shared" si="992"/>
        <v>28691500</v>
      </c>
      <c r="L1151" s="21">
        <f t="shared" si="992"/>
        <v>29201800</v>
      </c>
      <c r="M1151" s="21">
        <f t="shared" si="992"/>
        <v>30322200</v>
      </c>
      <c r="N1151" s="21">
        <f t="shared" si="992"/>
        <v>31223800</v>
      </c>
      <c r="O1151" s="21">
        <f t="shared" si="992"/>
        <v>32085600</v>
      </c>
      <c r="P1151" s="21">
        <f t="shared" si="992"/>
        <v>32644400</v>
      </c>
      <c r="Q1151" s="21">
        <f t="shared" si="992"/>
        <v>33825300</v>
      </c>
      <c r="R1151" s="21">
        <f t="shared" si="992"/>
        <v>34751600</v>
      </c>
      <c r="S1151" s="62">
        <f t="shared" ref="S1151" si="993">S1134</f>
        <v>35683800</v>
      </c>
    </row>
    <row r="1152" spans="1:23" x14ac:dyDescent="0.2">
      <c r="A1152" s="24"/>
      <c r="B1152" s="21"/>
      <c r="C1152" s="21"/>
      <c r="D1152" s="21"/>
      <c r="E1152" s="21"/>
      <c r="F1152" s="175"/>
      <c r="G1152" s="361"/>
      <c r="H1152" s="21"/>
      <c r="I1152" s="126"/>
      <c r="J1152" s="21"/>
      <c r="K1152" s="21"/>
      <c r="L1152" s="21"/>
      <c r="M1152" s="21"/>
      <c r="N1152" s="21"/>
      <c r="O1152" s="21"/>
      <c r="P1152" s="21"/>
      <c r="Q1152" s="21"/>
      <c r="R1152" s="21"/>
      <c r="S1152" s="62"/>
    </row>
    <row r="1153" spans="1:19" x14ac:dyDescent="0.2">
      <c r="A1153" s="24">
        <f>-(A1110+A1000+A942)</f>
        <v>-998800</v>
      </c>
      <c r="B1153" s="21">
        <f>-(B1110+B1000+B942)</f>
        <v>-1384100</v>
      </c>
      <c r="C1153" s="21">
        <f>-(C1110+C1000+C942)</f>
        <v>-879400</v>
      </c>
      <c r="D1153" s="21">
        <f>-(D1110+D1000+D942)</f>
        <v>-942200</v>
      </c>
      <c r="E1153" s="21">
        <f>-(E1110+E1000+E942)</f>
        <v>-334500</v>
      </c>
      <c r="F1153" s="175"/>
      <c r="G1153" s="361" t="s">
        <v>2035</v>
      </c>
      <c r="H1153" s="21">
        <f>-(H1110+H1000+H942)</f>
        <v>-1110200</v>
      </c>
      <c r="I1153" s="126"/>
      <c r="J1153" s="21">
        <f t="shared" ref="J1153:S1153" si="994">-(J1110+J1000+J942)</f>
        <v>-1147000</v>
      </c>
      <c r="K1153" s="21">
        <f t="shared" si="994"/>
        <v>-1181400</v>
      </c>
      <c r="L1153" s="21">
        <f t="shared" si="994"/>
        <v>-1205100</v>
      </c>
      <c r="M1153" s="21">
        <f t="shared" si="994"/>
        <v>-1229400</v>
      </c>
      <c r="N1153" s="21">
        <f t="shared" si="994"/>
        <v>-1254100</v>
      </c>
      <c r="O1153" s="21">
        <f t="shared" si="994"/>
        <v>-1279300</v>
      </c>
      <c r="P1153" s="21">
        <f t="shared" si="994"/>
        <v>-1305000</v>
      </c>
      <c r="Q1153" s="21">
        <f t="shared" si="994"/>
        <v>-1331300</v>
      </c>
      <c r="R1153" s="21">
        <f t="shared" si="994"/>
        <v>-1358000</v>
      </c>
      <c r="S1153" s="62">
        <f t="shared" si="994"/>
        <v>-1385200</v>
      </c>
    </row>
    <row r="1154" spans="1:19" x14ac:dyDescent="0.2">
      <c r="A1154" s="24">
        <f>-A584</f>
        <v>414000</v>
      </c>
      <c r="B1154" s="21">
        <f>-B584</f>
        <v>333000</v>
      </c>
      <c r="C1154" s="21">
        <f>-C584</f>
        <v>-30000</v>
      </c>
      <c r="D1154" s="21">
        <f>-D584</f>
        <v>-163000</v>
      </c>
      <c r="E1154" s="21">
        <f>-E584</f>
        <v>150000</v>
      </c>
      <c r="F1154" s="175"/>
      <c r="G1154" s="877" t="s">
        <v>5276</v>
      </c>
      <c r="H1154" s="21">
        <f>-H584</f>
        <v>0</v>
      </c>
      <c r="I1154" s="126"/>
      <c r="J1154" s="21">
        <f t="shared" ref="J1154:S1154" si="995">-J584</f>
        <v>0</v>
      </c>
      <c r="K1154" s="21">
        <f t="shared" si="995"/>
        <v>0</v>
      </c>
      <c r="L1154" s="21">
        <f t="shared" si="995"/>
        <v>0</v>
      </c>
      <c r="M1154" s="21">
        <f t="shared" si="995"/>
        <v>0</v>
      </c>
      <c r="N1154" s="21">
        <f t="shared" si="995"/>
        <v>0</v>
      </c>
      <c r="O1154" s="21">
        <f t="shared" si="995"/>
        <v>0</v>
      </c>
      <c r="P1154" s="21">
        <f t="shared" si="995"/>
        <v>0</v>
      </c>
      <c r="Q1154" s="21">
        <f t="shared" si="995"/>
        <v>0</v>
      </c>
      <c r="R1154" s="21">
        <f t="shared" si="995"/>
        <v>0</v>
      </c>
      <c r="S1154" s="62">
        <f t="shared" si="995"/>
        <v>0</v>
      </c>
    </row>
    <row r="1155" spans="1:19" x14ac:dyDescent="0.2">
      <c r="A1155" s="24">
        <f>-A1111</f>
        <v>0</v>
      </c>
      <c r="B1155" s="21">
        <f>-B1111</f>
        <v>-2075400</v>
      </c>
      <c r="C1155" s="21">
        <f>-C1111</f>
        <v>0</v>
      </c>
      <c r="D1155" s="21">
        <f>-D1111</f>
        <v>0</v>
      </c>
      <c r="E1155" s="21">
        <f>-E1111</f>
        <v>0</v>
      </c>
      <c r="F1155" s="175"/>
      <c r="G1155" s="877" t="s">
        <v>4448</v>
      </c>
      <c r="H1155" s="21">
        <f>-H1111</f>
        <v>0</v>
      </c>
      <c r="I1155" s="126"/>
      <c r="J1155" s="21">
        <f t="shared" ref="J1155:S1155" si="996">-J1111</f>
        <v>0</v>
      </c>
      <c r="K1155" s="21">
        <f t="shared" si="996"/>
        <v>0</v>
      </c>
      <c r="L1155" s="21">
        <f t="shared" si="996"/>
        <v>0</v>
      </c>
      <c r="M1155" s="21">
        <f t="shared" si="996"/>
        <v>0</v>
      </c>
      <c r="N1155" s="21">
        <f t="shared" si="996"/>
        <v>0</v>
      </c>
      <c r="O1155" s="21">
        <f t="shared" si="996"/>
        <v>0</v>
      </c>
      <c r="P1155" s="21">
        <f t="shared" si="996"/>
        <v>0</v>
      </c>
      <c r="Q1155" s="21">
        <f t="shared" si="996"/>
        <v>0</v>
      </c>
      <c r="R1155" s="21">
        <f t="shared" si="996"/>
        <v>0</v>
      </c>
      <c r="S1155" s="62">
        <f t="shared" si="996"/>
        <v>0</v>
      </c>
    </row>
    <row r="1156" spans="1:19" x14ac:dyDescent="0.2">
      <c r="A1156" s="24">
        <f>-A361</f>
        <v>0</v>
      </c>
      <c r="B1156" s="21">
        <f>-B361</f>
        <v>0</v>
      </c>
      <c r="C1156" s="21">
        <f>-C361</f>
        <v>460100</v>
      </c>
      <c r="D1156" s="21">
        <f>-D361</f>
        <v>0</v>
      </c>
      <c r="E1156" s="21">
        <f>-E361</f>
        <v>-360400</v>
      </c>
      <c r="F1156" s="175"/>
      <c r="G1156" s="877" t="s">
        <v>5313</v>
      </c>
      <c r="H1156" s="21">
        <f>-H361</f>
        <v>0</v>
      </c>
      <c r="I1156" s="126"/>
      <c r="J1156" s="21">
        <f t="shared" ref="J1156:S1156" si="997">-J361</f>
        <v>0</v>
      </c>
      <c r="K1156" s="21">
        <f t="shared" si="997"/>
        <v>0</v>
      </c>
      <c r="L1156" s="21">
        <f t="shared" si="997"/>
        <v>0</v>
      </c>
      <c r="M1156" s="21">
        <f t="shared" si="997"/>
        <v>0</v>
      </c>
      <c r="N1156" s="21">
        <f t="shared" si="997"/>
        <v>0</v>
      </c>
      <c r="O1156" s="21">
        <f t="shared" si="997"/>
        <v>0</v>
      </c>
      <c r="P1156" s="21">
        <f t="shared" si="997"/>
        <v>0</v>
      </c>
      <c r="Q1156" s="21">
        <f t="shared" si="997"/>
        <v>0</v>
      </c>
      <c r="R1156" s="21">
        <f t="shared" si="997"/>
        <v>0</v>
      </c>
      <c r="S1156" s="62">
        <f t="shared" si="997"/>
        <v>0</v>
      </c>
    </row>
    <row r="1157" spans="1:19" x14ac:dyDescent="0.2">
      <c r="A1157" s="24">
        <f>-A944</f>
        <v>164700</v>
      </c>
      <c r="B1157" s="21">
        <f>-B944</f>
        <v>289900</v>
      </c>
      <c r="C1157" s="21">
        <f>-C944</f>
        <v>725700</v>
      </c>
      <c r="D1157" s="21">
        <f>-D944</f>
        <v>-319800</v>
      </c>
      <c r="E1157" s="21">
        <f>-E944</f>
        <v>403100</v>
      </c>
      <c r="F1157" s="175"/>
      <c r="G1157" s="877" t="s">
        <v>5288</v>
      </c>
      <c r="H1157" s="21">
        <f>-H944</f>
        <v>0</v>
      </c>
      <c r="I1157" s="126"/>
      <c r="J1157" s="21">
        <f t="shared" ref="J1157:S1157" si="998">-J944</f>
        <v>0</v>
      </c>
      <c r="K1157" s="21">
        <f t="shared" si="998"/>
        <v>0</v>
      </c>
      <c r="L1157" s="21">
        <f t="shared" si="998"/>
        <v>0</v>
      </c>
      <c r="M1157" s="21">
        <f t="shared" si="998"/>
        <v>0</v>
      </c>
      <c r="N1157" s="21">
        <f t="shared" si="998"/>
        <v>0</v>
      </c>
      <c r="O1157" s="21">
        <f t="shared" si="998"/>
        <v>0</v>
      </c>
      <c r="P1157" s="21">
        <f t="shared" si="998"/>
        <v>0</v>
      </c>
      <c r="Q1157" s="21">
        <f t="shared" si="998"/>
        <v>0</v>
      </c>
      <c r="R1157" s="21">
        <f t="shared" si="998"/>
        <v>0</v>
      </c>
      <c r="S1157" s="62">
        <f t="shared" si="998"/>
        <v>0</v>
      </c>
    </row>
    <row r="1158" spans="1:19" x14ac:dyDescent="0.2">
      <c r="A1158" s="24"/>
      <c r="B1158" s="21"/>
      <c r="C1158" s="21"/>
      <c r="D1158" s="21"/>
      <c r="E1158" s="21"/>
      <c r="F1158" s="175"/>
      <c r="G1158" s="361"/>
      <c r="H1158" s="21"/>
      <c r="I1158" s="126"/>
      <c r="J1158" s="21"/>
      <c r="K1158" s="21"/>
      <c r="L1158" s="21"/>
      <c r="M1158" s="21"/>
      <c r="N1158" s="21"/>
      <c r="O1158" s="21"/>
      <c r="P1158" s="21"/>
      <c r="Q1158" s="21"/>
      <c r="R1158" s="21"/>
      <c r="S1158" s="62"/>
    </row>
    <row r="1159" spans="1:19" x14ac:dyDescent="0.2">
      <c r="A1159" s="24">
        <f>ROUND(SUM(A1151:A1158)-A1149,-3)</f>
        <v>0</v>
      </c>
      <c r="B1159" s="21">
        <f t="shared" ref="B1159" si="999">SUM(B1151:B1158)-B1149</f>
        <v>0</v>
      </c>
      <c r="C1159" s="21">
        <f t="shared" ref="C1159" si="1000">SUM(C1151:C1158)-C1149</f>
        <v>0</v>
      </c>
      <c r="D1159" s="21">
        <f t="shared" ref="D1159:E1159" si="1001">SUM(D1151:D1158)-D1149</f>
        <v>0</v>
      </c>
      <c r="E1159" s="21">
        <f t="shared" si="1001"/>
        <v>0</v>
      </c>
      <c r="F1159" s="175"/>
      <c r="G1159" s="361" t="s">
        <v>1731</v>
      </c>
      <c r="H1159" s="21">
        <f t="shared" ref="H1159" si="1002">SUM(H1151:H1158)-H1149</f>
        <v>0</v>
      </c>
      <c r="I1159" s="126"/>
      <c r="J1159" s="21">
        <f t="shared" ref="J1159" si="1003">SUM(J1151:J1158)-J1149</f>
        <v>0</v>
      </c>
      <c r="K1159" s="21">
        <f t="shared" ref="K1159" si="1004">SUM(K1151:K1158)-K1149</f>
        <v>0</v>
      </c>
      <c r="L1159" s="21">
        <f t="shared" ref="L1159" si="1005">SUM(L1151:L1158)-L1149</f>
        <v>0</v>
      </c>
      <c r="M1159" s="21">
        <f t="shared" ref="M1159" si="1006">SUM(M1151:M1158)-M1149</f>
        <v>0</v>
      </c>
      <c r="N1159" s="21">
        <f t="shared" ref="N1159" si="1007">SUM(N1151:N1158)-N1149</f>
        <v>0</v>
      </c>
      <c r="O1159" s="21">
        <f t="shared" ref="O1159" si="1008">SUM(O1151:O1158)-O1149</f>
        <v>0</v>
      </c>
      <c r="P1159" s="21">
        <f t="shared" ref="P1159:Q1159" si="1009">SUM(P1151:P1158)-P1149</f>
        <v>0</v>
      </c>
      <c r="Q1159" s="21">
        <f t="shared" si="1009"/>
        <v>0</v>
      </c>
      <c r="R1159" s="21">
        <f t="shared" ref="R1159:S1159" si="1010">SUM(R1151:R1158)-R1149</f>
        <v>0</v>
      </c>
      <c r="S1159" s="62">
        <f t="shared" si="1010"/>
        <v>0</v>
      </c>
    </row>
    <row r="1160" spans="1:19" ht="13.5" thickBot="1" x14ac:dyDescent="0.25">
      <c r="A1160" s="26"/>
      <c r="B1160" s="37"/>
      <c r="C1160" s="37"/>
      <c r="D1160" s="37"/>
      <c r="E1160" s="23"/>
      <c r="F1160" s="191"/>
      <c r="G1160" s="259"/>
      <c r="H1160" s="23"/>
      <c r="I1160" s="275"/>
      <c r="J1160" s="23"/>
      <c r="K1160" s="23"/>
      <c r="L1160" s="23"/>
      <c r="M1160" s="23"/>
      <c r="N1160" s="23"/>
      <c r="O1160" s="23"/>
      <c r="P1160" s="23"/>
      <c r="Q1160" s="23"/>
      <c r="R1160" s="23"/>
      <c r="S1160" s="112"/>
    </row>
    <row r="1161" spans="1:19" ht="13.5" thickTop="1" x14ac:dyDescent="0.2"/>
    <row r="1165" spans="1:19" x14ac:dyDescent="0.2">
      <c r="A1165" s="329"/>
    </row>
    <row r="1166" spans="1:19" x14ac:dyDescent="0.2">
      <c r="A1166" s="329"/>
    </row>
    <row r="1167" spans="1:19" x14ac:dyDescent="0.2">
      <c r="A1167" s="329"/>
    </row>
    <row r="1168" spans="1:19" x14ac:dyDescent="0.2">
      <c r="A1168" s="46"/>
    </row>
    <row r="1169" spans="1:1" x14ac:dyDescent="0.2">
      <c r="A1169" s="46"/>
    </row>
    <row r="1170" spans="1:1" x14ac:dyDescent="0.2">
      <c r="A1170" s="46"/>
    </row>
    <row r="1171" spans="1:1" x14ac:dyDescent="0.2">
      <c r="A1171" s="46"/>
    </row>
    <row r="1172" spans="1:1" x14ac:dyDescent="0.2">
      <c r="A1172" s="46"/>
    </row>
  </sheetData>
  <mergeCells count="64">
    <mergeCell ref="A1014:S1014"/>
    <mergeCell ref="A1015:E1015"/>
    <mergeCell ref="A1061:E1061"/>
    <mergeCell ref="A1123:E1123"/>
    <mergeCell ref="A1138:E1138"/>
    <mergeCell ref="H1015:S1015"/>
    <mergeCell ref="H1061:S1061"/>
    <mergeCell ref="H1123:S1123"/>
    <mergeCell ref="H1138:S1138"/>
    <mergeCell ref="A1060:S1060"/>
    <mergeCell ref="A170:E170"/>
    <mergeCell ref="A311:E311"/>
    <mergeCell ref="A378:E378"/>
    <mergeCell ref="A442:E442"/>
    <mergeCell ref="A665:E665"/>
    <mergeCell ref="A377:S377"/>
    <mergeCell ref="A310:S310"/>
    <mergeCell ref="A255:S255"/>
    <mergeCell ref="A215:S215"/>
    <mergeCell ref="H546:S546"/>
    <mergeCell ref="H600:S600"/>
    <mergeCell ref="A216:E216"/>
    <mergeCell ref="A256:E256"/>
    <mergeCell ref="H378:S378"/>
    <mergeCell ref="A169:S169"/>
    <mergeCell ref="A123:S123"/>
    <mergeCell ref="A664:S664"/>
    <mergeCell ref="A599:S599"/>
    <mergeCell ref="A545:S545"/>
    <mergeCell ref="A493:S493"/>
    <mergeCell ref="H170:S170"/>
    <mergeCell ref="H216:S216"/>
    <mergeCell ref="H256:S256"/>
    <mergeCell ref="H311:S311"/>
    <mergeCell ref="H442:S442"/>
    <mergeCell ref="A441:S441"/>
    <mergeCell ref="A494:E494"/>
    <mergeCell ref="A546:E546"/>
    <mergeCell ref="A600:E600"/>
    <mergeCell ref="H494:S494"/>
    <mergeCell ref="H2:S2"/>
    <mergeCell ref="A1:S1"/>
    <mergeCell ref="H58:S58"/>
    <mergeCell ref="A57:S57"/>
    <mergeCell ref="H124:S124"/>
    <mergeCell ref="A2:E2"/>
    <mergeCell ref="A58:E58"/>
    <mergeCell ref="A124:E124"/>
    <mergeCell ref="H824:S824"/>
    <mergeCell ref="H889:S889"/>
    <mergeCell ref="H665:S665"/>
    <mergeCell ref="H956:S956"/>
    <mergeCell ref="A955:S955"/>
    <mergeCell ref="A888:S888"/>
    <mergeCell ref="A823:S823"/>
    <mergeCell ref="A783:S783"/>
    <mergeCell ref="A784:E784"/>
    <mergeCell ref="A824:E824"/>
    <mergeCell ref="A889:E889"/>
    <mergeCell ref="A956:E956"/>
    <mergeCell ref="A722:E722"/>
    <mergeCell ref="A721:S721"/>
    <mergeCell ref="H722:S722"/>
    <mergeCell ref="H784:S784"/>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20" manualBreakCount="20">
    <brk id="56" max="16383" man="1"/>
    <brk id="121" max="16383" man="1"/>
    <brk id="167" max="16383" man="1"/>
    <brk id="213" max="16383" man="1"/>
    <brk id="253" max="16383" man="1"/>
    <brk id="309" max="16383" man="1"/>
    <brk id="374" max="16383" man="1"/>
    <brk id="439" max="16383" man="1"/>
    <brk id="492" max="16383" man="1"/>
    <brk id="544" max="16383" man="1"/>
    <brk id="598" max="16383" man="1"/>
    <brk id="662" max="16383" man="1"/>
    <brk id="720" max="16383" man="1"/>
    <brk id="782" max="16383" man="1"/>
    <brk id="822" max="16383" man="1"/>
    <brk id="887" max="16383" man="1"/>
    <brk id="953" max="16383" man="1"/>
    <brk id="1013" max="16383" man="1"/>
    <brk id="1058" max="16383" man="1"/>
    <brk id="112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29</vt:i4>
      </vt:variant>
    </vt:vector>
  </HeadingPairs>
  <TitlesOfParts>
    <vt:vector size="63" baseType="lpstr">
      <vt:lpstr>Checks</vt:lpstr>
      <vt:lpstr>Cash-Gen</vt:lpstr>
      <vt:lpstr>Assumptions</vt:lpstr>
      <vt:lpstr>LTFP</vt:lpstr>
      <vt:lpstr>BS&amp;Ratios</vt:lpstr>
      <vt:lpstr>SP</vt:lpstr>
      <vt:lpstr>DEH</vt:lpstr>
      <vt:lpstr>CIV</vt:lpstr>
      <vt:lpstr>GM</vt:lpstr>
      <vt:lpstr>W&amp;W</vt:lpstr>
      <vt:lpstr>Cap-Gen</vt:lpstr>
      <vt:lpstr>Cap Inc</vt:lpstr>
      <vt:lpstr>Sec 94</vt:lpstr>
      <vt:lpstr>Res-Gen</vt:lpstr>
      <vt:lpstr>Res-Bal</vt:lpstr>
      <vt:lpstr>Debt-Gen</vt:lpstr>
      <vt:lpstr>Cash-W</vt:lpstr>
      <vt:lpstr>Cap-Water</vt:lpstr>
      <vt:lpstr>Cash-WW</vt:lpstr>
      <vt:lpstr>Cap-WW</vt:lpstr>
      <vt:lpstr>Res Jnls 1617 Budget</vt:lpstr>
      <vt:lpstr>Debt-Water</vt:lpstr>
      <vt:lpstr>Debt-WW</vt:lpstr>
      <vt:lpstr>Salaries</vt:lpstr>
      <vt:lpstr>NEWLOG</vt:lpstr>
      <vt:lpstr>Recs</vt:lpstr>
      <vt:lpstr>Summaries</vt:lpstr>
      <vt:lpstr>Overheads</vt:lpstr>
      <vt:lpstr>LTFP to AMPs</vt:lpstr>
      <vt:lpstr>Sec 94 Roads</vt:lpstr>
      <vt:lpstr>Internals</vt:lpstr>
      <vt:lpstr>DWM</vt:lpstr>
      <vt:lpstr>SRV</vt:lpstr>
      <vt:lpstr>GL Dump</vt:lpstr>
      <vt:lpstr>'Cap-Gen'!OLE_LINK1</vt:lpstr>
      <vt:lpstr>'Cap-Gen'!OLE_LINK2</vt:lpstr>
      <vt:lpstr>Assumptions!Print_Area</vt:lpstr>
      <vt:lpstr>'BS&amp;Ratios'!Print_Area</vt:lpstr>
      <vt:lpstr>'Cap Inc'!Print_Area</vt:lpstr>
      <vt:lpstr>'Cap-Gen'!Print_Area</vt:lpstr>
      <vt:lpstr>'Cap-Water'!Print_Area</vt:lpstr>
      <vt:lpstr>'Cap-WW'!Print_Area</vt:lpstr>
      <vt:lpstr>'Cash-W'!Print_Area</vt:lpstr>
      <vt:lpstr>'Cash-WW'!Print_Area</vt:lpstr>
      <vt:lpstr>Checks!Print_Area</vt:lpstr>
      <vt:lpstr>CIV!Print_Area</vt:lpstr>
      <vt:lpstr>'Debt-Gen'!Print_Area</vt:lpstr>
      <vt:lpstr>'Debt-WW'!Print_Area</vt:lpstr>
      <vt:lpstr>DEH!Print_Area</vt:lpstr>
      <vt:lpstr>GM!Print_Area</vt:lpstr>
      <vt:lpstr>Internals!Print_Area</vt:lpstr>
      <vt:lpstr>LTFP!Print_Area</vt:lpstr>
      <vt:lpstr>NEWLOG!Print_Area</vt:lpstr>
      <vt:lpstr>Recs!Print_Area</vt:lpstr>
      <vt:lpstr>'Res Jnls 1617 Budget'!Print_Area</vt:lpstr>
      <vt:lpstr>'Res-Bal'!Print_Area</vt:lpstr>
      <vt:lpstr>'Res-Gen'!Print_Area</vt:lpstr>
      <vt:lpstr>'Sec 94'!Print_Area</vt:lpstr>
      <vt:lpstr>'Sec 94 Roads'!Print_Area</vt:lpstr>
      <vt:lpstr>SP!Print_Area</vt:lpstr>
      <vt:lpstr>Summaries!Print_Area</vt:lpstr>
      <vt:lpstr>'W&amp;W'!Print_Area</vt:lpstr>
      <vt:lpstr>'Res-Gen'!RESERVE_FUND_MOVEMENTS___GENERAL_FUND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2006/2007 Draft Budget</dc:title>
  <dc:creator>Paul Hickey</dc:creator>
  <cp:lastModifiedBy>Tracy Lister</cp:lastModifiedBy>
  <cp:lastPrinted>2018-01-30T07:21:33Z</cp:lastPrinted>
  <dcterms:created xsi:type="dcterms:W3CDTF">2000-01-05T03:38:22Z</dcterms:created>
  <dcterms:modified xsi:type="dcterms:W3CDTF">2018-02-06T23:03:56Z</dcterms:modified>
</cp:coreProperties>
</file>